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sta" sheetId="1" r:id="rId4"/>
    <sheet state="visible" name="PV" sheetId="2" r:id="rId5"/>
    <sheet state="visible" name="(INGESTA)Datos_consumo_datadis" sheetId="3" r:id="rId6"/>
    <sheet state="visible" name="(no tocar)Ajusteconsumo" sheetId="4" r:id="rId7"/>
    <sheet state="visible" name="2023" sheetId="5" r:id="rId8"/>
  </sheets>
  <definedNames>
    <definedName hidden="1" localSheetId="3" name="_xlnm._FilterDatabase">'(no tocar)Ajusteconsumo'!$A$1:$I$11105</definedName>
  </definedNames>
  <calcPr/>
</workbook>
</file>

<file path=xl/sharedStrings.xml><?xml version="1.0" encoding="utf-8"?>
<sst xmlns="http://schemas.openxmlformats.org/spreadsheetml/2006/main" count="16695" uniqueCount="16691">
  <si>
    <t>Mes</t>
  </si>
  <si>
    <t>Febrero</t>
  </si>
  <si>
    <t>Paquetes (de 0,5kWp)</t>
  </si>
  <si>
    <t>LAt</t>
  </si>
  <si>
    <t>lon</t>
  </si>
  <si>
    <t>peakpower</t>
  </si>
  <si>
    <t>inclinacion</t>
  </si>
  <si>
    <t>orientacion</t>
  </si>
  <si>
    <t>date</t>
  </si>
  <si>
    <t>time</t>
  </si>
  <si>
    <t>Producción (W)</t>
  </si>
  <si>
    <t>41.65611436230523</t>
  </si>
  <si>
    <t>-0.8913535980595906</t>
  </si>
  <si>
    <t>78</t>
  </si>
  <si>
    <t>Producción Total (W)</t>
  </si>
  <si>
    <t>Hora</t>
  </si>
  <si>
    <t>Producción Promedio (W)</t>
  </si>
  <si>
    <t>Ver en la grafica</t>
  </si>
  <si>
    <t>41.65611436230523, -0.8913535980595906</t>
  </si>
  <si>
    <t>0 Sur; 90 Oeste; -90 Este</t>
  </si>
  <si>
    <t>Enero</t>
  </si>
  <si>
    <t>kW prod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</si>
  <si>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</si>
  <si>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</si>
  <si>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</si>
  <si>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</si>
  <si>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</si>
  <si>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</si>
  <si>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</si>
  <si>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</si>
  <si>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</si>
  <si>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</si>
  <si>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cups,date,time,consumptionKWh,obtainMethod,surplusEnergyKWh</t>
  </si>
  <si>
    <t>ES0031408323131005HX0F,2022/11/01,01:00,0.324,Real,</t>
  </si>
  <si>
    <t>ES0031408323131005HX0F,2022/11/01,02:00,0.136,Real,</t>
  </si>
  <si>
    <t>ES0031408323131005HX0F,2022/11/01,03:00,0.111,Real,</t>
  </si>
  <si>
    <t>ES0031408323131005HX0F,2022/11/01,04:00,0.073,Real,</t>
  </si>
  <si>
    <t>ES0031408323131005HX0F,2022/11/01,05:00,0.024,Real,</t>
  </si>
  <si>
    <t>ES0031408323131005HX0F,2022/11/01,06:00,0.085,Real,</t>
  </si>
  <si>
    <t>ES0031408323131005HX0F,2022/11/01,07:00,0.109,Real,</t>
  </si>
  <si>
    <t>ES0031408323131005HX0F,2022/11/01,08:00,0.544,Real,</t>
  </si>
  <si>
    <t>ES0031408323131005HX0F,2022/11/01,09:00,0.8,Real,</t>
  </si>
  <si>
    <t>ES0031408323131005HX0F,2022/11/01,10:00,0.121,Real,</t>
  </si>
  <si>
    <t>ES0031408323131005HX0F,2022/11/01,11:00,0.016,Real,</t>
  </si>
  <si>
    <t>ES0031408323131005HX0F,2022/11/01,12:00,0.0,Real,</t>
  </si>
  <si>
    <t>ES0031408323131005HX0F,2022/11/01,13:00,0.0,Real,</t>
  </si>
  <si>
    <t>ES0031408323131005HX0F,2022/11/01,14:00,0.0,Real,</t>
  </si>
  <si>
    <t>ES0031408323131005HX0F,2022/11/01,15:00,0.0,Real,</t>
  </si>
  <si>
    <t>ES0031408323131005HX0F,2022/11/01,16:00,0.0,Real,</t>
  </si>
  <si>
    <t>ES0031408323131005HX0F,2022/11/01,17:00,0.0,Real,</t>
  </si>
  <si>
    <t>ES0031408323131005HX0F,2022/11/01,18:00,0.0,Real,</t>
  </si>
  <si>
    <t>ES0031408323131005HX0F,2022/11/01,19:00,0.0,Real,</t>
  </si>
  <si>
    <t>ES0031408323131005HX0F,2022/11/01,20:00,0.0,Real,</t>
  </si>
  <si>
    <t>ES0031408323131005HX0F,2022/11/01,21:00,0.0,Real,</t>
  </si>
  <si>
    <t>ES0031408323131005HX0F,2022/11/01,22:00,0.0,Real,</t>
  </si>
  <si>
    <t>ES0031408323131005HX0F,2022/11/01,23:00,0.0,Real,</t>
  </si>
  <si>
    <t>ES0031408323131005HX0F,2022/11/01,24:00,0.0,Real,</t>
  </si>
  <si>
    <t>ES0031408323131005HX0F,2022/11/02,01:00,0.0,Real,</t>
  </si>
  <si>
    <t>ES0031408323131005HX0F,2022/11/02,02:00,0.0,Real,</t>
  </si>
  <si>
    <t>ES0031408323131005HX0F,2022/11/02,03:00,0.0,Real,</t>
  </si>
  <si>
    <t>ES0031408323131005HX0F,2022/11/02,04:00,0.0,Real,</t>
  </si>
  <si>
    <t>ES0031408323131005HX0F,2022/11/02,05:00,0.0,Real,</t>
  </si>
  <si>
    <t>ES0031408323131005HX0F,2022/11/02,06:00,0.0,Real,</t>
  </si>
  <si>
    <t>ES0031408323131005HX0F,2022/11/02,07:00,0.0,Real,</t>
  </si>
  <si>
    <t>ES0031408323131005HX0F,2022/11/02,08:00,0.0,Real,</t>
  </si>
  <si>
    <t>ES0031408323131005HX0F,2022/11/02,09:00,0.0,Real,</t>
  </si>
  <si>
    <t>ES0031408323131005HX0F,2022/11/02,10:00,0.0,Real,</t>
  </si>
  <si>
    <t>ES0031408323131005HX0F,2022/11/02,11:00,0.0,Real,</t>
  </si>
  <si>
    <t>ES0031408323131005HX0F,2022/11/02,12:00,0.0,Real,</t>
  </si>
  <si>
    <t>ES0031408323131005HX0F,2022/11/02,13:00,0.0,Real,</t>
  </si>
  <si>
    <t>ES0031408323131005HX0F,2022/11/02,14:00,0.0,Real,</t>
  </si>
  <si>
    <t>ES0031408323131005HX0F,2022/11/02,15:00,0.0,Real,</t>
  </si>
  <si>
    <t>ES0031408323131005HX0F,2022/11/02,16:00,0.0,Real,</t>
  </si>
  <si>
    <t>ES0031408323131005HX0F,2022/11/02,17:00,0.0,Real,</t>
  </si>
  <si>
    <t>ES0031408323131005HX0F,2022/11/02,18:00,0.0,Real,</t>
  </si>
  <si>
    <t>ES0031408323131005HX0F,2022/11/02,19:00,0.0,Real,</t>
  </si>
  <si>
    <t>ES0031408323131005HX0F,2022/11/02,20:00,0.0,Real,</t>
  </si>
  <si>
    <t>ES0031408323131005HX0F,2022/11/02,21:00,0.0,Real,</t>
  </si>
  <si>
    <t>ES0031408323131005HX0F,2022/11/02,22:00,0.0,Real,</t>
  </si>
  <si>
    <t>ES0031408323131005HX0F,2022/11/02,23:00,0.0,Real,</t>
  </si>
  <si>
    <t>ES0031408323131005HX0F,2022/11/02,24:00,0.0,Real,</t>
  </si>
  <si>
    <t>ES0031408323131005HX0F,2022/11/03,01:00,0.0,Real,</t>
  </si>
  <si>
    <t>ES0031408323131005HX0F,2022/11/03,02:00,0.0,Real,</t>
  </si>
  <si>
    <t>ES0031408323131005HX0F,2022/11/03,03:00,0.0,Real,</t>
  </si>
  <si>
    <t>ES0031408323131005HX0F,2022/11/03,04:00,0.0,Real,</t>
  </si>
  <si>
    <t>ES0031408323131005HX0F,2022/11/03,05:00,0.0,Real,</t>
  </si>
  <si>
    <t>ES0031408323131005HX0F,2022/11/03,06:00,0.0,Real,</t>
  </si>
  <si>
    <t>ES0031408323131005HX0F,2022/11/03,07:00,0.0,Real,</t>
  </si>
  <si>
    <t>ES0031408323131005HX0F,2022/11/03,08:00,0.0,Real,</t>
  </si>
  <si>
    <t>ES0031408323131005HX0F,2022/11/03,09:00,0.0,Real,</t>
  </si>
  <si>
    <t>ES0031408323131005HX0F,2022/11/03,10:00,0.0,Real,</t>
  </si>
  <si>
    <t>ES0031408323131005HX0F,2022/11/03,11:00,0.0,Real,</t>
  </si>
  <si>
    <t>ES0031408323131005HX0F,2022/11/03,12:00,0.0,Real,</t>
  </si>
  <si>
    <t>ES0031408323131005HX0F,2022/11/03,13:00,0.0,Real,</t>
  </si>
  <si>
    <t>ES0031408323131005HX0F,2022/11/03,14:00,0.0,Real,</t>
  </si>
  <si>
    <t>ES0031408323131005HX0F,2022/11/03,15:00,0.0,Real,</t>
  </si>
  <si>
    <t>ES0031408323131005HX0F,2022/11/03,16:00,0.0,Real,</t>
  </si>
  <si>
    <t>ES0031408323131005HX0F,2022/11/03,17:00,0.0,Real,</t>
  </si>
  <si>
    <t>ES0031408323131005HX0F,2022/11/03,18:00,0.0,Real,</t>
  </si>
  <si>
    <t>ES0031408323131005HX0F,2022/11/03,19:00,0.0,Real,</t>
  </si>
  <si>
    <t>ES0031408323131005HX0F,2022/11/03,20:00,0.0,Real,</t>
  </si>
  <si>
    <t>ES0031408323131005HX0F,2022/11/03,21:00,0.0,Real,</t>
  </si>
  <si>
    <t>ES0031408323131005HX0F,2022/11/03,22:00,0.0,Real,</t>
  </si>
  <si>
    <t>ES0031408323131005HX0F,2022/11/03,23:00,0.0,Real,</t>
  </si>
  <si>
    <t>ES0031408323131005HX0F,2022/11/03,24:00,0.0,Real,</t>
  </si>
  <si>
    <t>ES0031408323131005HX0F,2022/11/04,01:00,0.0,Real,</t>
  </si>
  <si>
    <t>ES0031408323131005HX0F,2022/11/04,02:00,0.0,Real,</t>
  </si>
  <si>
    <t>ES0031408323131005HX0F,2022/11/04,03:00,0.0,Real,</t>
  </si>
  <si>
    <t>ES0031408323131005HX0F,2022/11/04,04:00,0.0,Real,</t>
  </si>
  <si>
    <t>ES0031408323131005HX0F,2022/11/04,05:00,0.0,Real,</t>
  </si>
  <si>
    <t>ES0031408323131005HX0F,2022/11/04,06:00,0.0,Real,</t>
  </si>
  <si>
    <t>ES0031408323131005HX0F,2022/11/04,07:00,0.0,Real,</t>
  </si>
  <si>
    <t>ES0031408323131005HX0F,2022/11/04,08:00,0.0,Real,</t>
  </si>
  <si>
    <t>ES0031408323131005HX0F,2022/11/04,09:00,0.0,Real,</t>
  </si>
  <si>
    <t>ES0031408323131005HX0F,2022/11/04,10:00,0.0,Real,</t>
  </si>
  <si>
    <t>ES0031408323131005HX0F,2022/11/04,11:00,0.0,Real,</t>
  </si>
  <si>
    <t>ES0031408323131005HX0F,2022/11/04,12:00,0.0,Real,</t>
  </si>
  <si>
    <t>ES0031408323131005HX0F,2022/11/04,13:00,0.0,Real,</t>
  </si>
  <si>
    <t>ES0031408323131005HX0F,2022/11/04,14:00,0.0,Real,</t>
  </si>
  <si>
    <t>ES0031408323131005HX0F,2022/11/04,15:00,0.0,Real,</t>
  </si>
  <si>
    <t>ES0031408323131005HX0F,2022/11/04,16:00,0.0,Real,</t>
  </si>
  <si>
    <t>ES0031408323131005HX0F,2022/11/04,17:00,0.0,Real,</t>
  </si>
  <si>
    <t>ES0031408323131005HX0F,2022/11/04,18:00,0.0,Real,</t>
  </si>
  <si>
    <t>ES0031408323131005HX0F,2022/11/04,19:00,0.0,Real,</t>
  </si>
  <si>
    <t>ES0031408323131005HX0F,2022/11/04,20:00,0.0,Real,</t>
  </si>
  <si>
    <t>ES0031408323131005HX0F,2022/11/04,21:00,0.0,Real,</t>
  </si>
  <si>
    <t>ES0031408323131005HX0F,2022/11/04,22:00,0.0,Real,</t>
  </si>
  <si>
    <t>ES0031408323131005HX0F,2022/11/04,23:00,0.0,Real,</t>
  </si>
  <si>
    <t>ES0031408323131005HX0F,2022/11/04,24:00,0.0,Real,</t>
  </si>
  <si>
    <t>ES0031408323131005HX0F,2022/11/05,01:00,0.0,Real,</t>
  </si>
  <si>
    <t>ES0031408323131005HX0F,2022/11/05,02:00,0.0,Real,</t>
  </si>
  <si>
    <t>ES0031408323131005HX0F,2022/11/05,03:00,0.0,Real,</t>
  </si>
  <si>
    <t>ES0031408323131005HX0F,2022/11/05,04:00,0.0,Real,</t>
  </si>
  <si>
    <t>ES0031408323131005HX0F,2022/11/05,05:00,0.0,Real,</t>
  </si>
  <si>
    <t>ES0031408323131005HX0F,2022/11/05,06:00,0.0,Real,</t>
  </si>
  <si>
    <t>ES0031408323131005HX0F,2022/11/05,07:00,0.0,Real,</t>
  </si>
  <si>
    <t>ES0031408323131005HX0F,2022/11/05,08:00,0.0,Real,</t>
  </si>
  <si>
    <t>ES0031408323131005HX0F,2022/11/05,09:00,0.0,Real,</t>
  </si>
  <si>
    <t>ES0031408323131005HX0F,2022/11/05,10:00,0.0,Real,</t>
  </si>
  <si>
    <t>ES0031408323131005HX0F,2022/11/05,11:00,0.0,Real,</t>
  </si>
  <si>
    <t>ES0031408323131005HX0F,2022/11/05,12:00,0.0,Real,</t>
  </si>
  <si>
    <t>ES0031408323131005HX0F,2022/11/05,13:00,0.0,Real,</t>
  </si>
  <si>
    <t>ES0031408323131005HX0F,2022/11/05,14:00,0.0,Real,</t>
  </si>
  <si>
    <t>ES0031408323131005HX0F,2022/11/05,15:00,0.0,Real,</t>
  </si>
  <si>
    <t>ES0031408323131005HX0F,2022/11/05,16:00,0.0,Real,</t>
  </si>
  <si>
    <t>ES0031408323131005HX0F,2022/11/05,17:00,0.0,Real,</t>
  </si>
  <si>
    <t>ES0031408323131005HX0F,2022/11/05,18:00,0.0,Real,</t>
  </si>
  <si>
    <t>ES0031408323131005HX0F,2022/11/05,19:00,0.0,Real,</t>
  </si>
  <si>
    <t>ES0031408323131005HX0F,2022/11/05,20:00,0.0,Real,</t>
  </si>
  <si>
    <t>ES0031408323131005HX0F,2022/11/05,21:00,0.0,Real,</t>
  </si>
  <si>
    <t>ES0031408323131005HX0F,2022/11/05,22:00,0.0,Real,</t>
  </si>
  <si>
    <t>ES0031408323131005HX0F,2022/11/05,23:00,0.0,Real,</t>
  </si>
  <si>
    <t>ES0031408323131005HX0F,2022/11/05,24:00,0.0,Real,</t>
  </si>
  <si>
    <t>ES0031408323131005HX0F,2022/11/06,01:00,0.0,Real,</t>
  </si>
  <si>
    <t>ES0031408323131005HX0F,2022/11/06,02:00,0.0,Real,</t>
  </si>
  <si>
    <t>ES0031408323131005HX0F,2022/11/06,03:00,0.0,Real,</t>
  </si>
  <si>
    <t>ES0031408323131005HX0F,2022/11/06,04:00,0.0,Real,</t>
  </si>
  <si>
    <t>ES0031408323131005HX0F,2022/11/06,05:00,0.0,Real,</t>
  </si>
  <si>
    <t>ES0031408323131005HX0F,2022/11/06,06:00,0.0,Real,</t>
  </si>
  <si>
    <t>ES0031408323131005HX0F,2022/11/06,07:00,0.0,Real,</t>
  </si>
  <si>
    <t>ES0031408323131005HX0F,2022/11/06,08:00,0.0,Real,</t>
  </si>
  <si>
    <t>ES0031408323131005HX0F,2022/11/06,09:00,0.0,Real,</t>
  </si>
  <si>
    <t>ES0031408323131005HX0F,2022/11/06,10:00,0.0,Real,</t>
  </si>
  <si>
    <t>ES0031408323131005HX0F,2022/11/06,11:00,0.0,Real,</t>
  </si>
  <si>
    <t>ES0031408323131005HX0F,2022/11/06,12:00,0.0,Real,</t>
  </si>
  <si>
    <t>ES0031408323131005HX0F,2022/11/06,13:00,0.0,Real,</t>
  </si>
  <si>
    <t>ES0031408323131005HX0F,2022/11/06,14:00,0.0,Real,</t>
  </si>
  <si>
    <t>ES0031408323131005HX0F,2022/11/06,15:00,0.0,Real,</t>
  </si>
  <si>
    <t>ES0031408323131005HX0F,2022/11/06,16:00,0.0,Real,</t>
  </si>
  <si>
    <t>ES0031408323131005HX0F,2022/11/06,17:00,0.0,Real,</t>
  </si>
  <si>
    <t>ES0031408323131005HX0F,2022/11/06,18:00,0.0,Real,</t>
  </si>
  <si>
    <t>ES0031408323131005HX0F,2022/11/06,19:00,0.0,Real,</t>
  </si>
  <si>
    <t>ES0031408323131005HX0F,2022/11/06,20:00,0.0,Real,</t>
  </si>
  <si>
    <t>ES0031408323131005HX0F,2022/11/06,21:00,0.0,Real,</t>
  </si>
  <si>
    <t>ES0031408323131005HX0F,2022/11/06,22:00,0.0,Real,</t>
  </si>
  <si>
    <t>ES0031408323131005HX0F,2022/11/06,23:00,0.0,Real,</t>
  </si>
  <si>
    <t>ES0031408323131005HX0F,2022/11/06,24:00,0.0,Real,</t>
  </si>
  <si>
    <t>ES0031408323131005HX0F,2022/11/07,01:00,0.0,Real,</t>
  </si>
  <si>
    <t>ES0031408323131005HX0F,2022/11/07,02:00,0.0,Real,</t>
  </si>
  <si>
    <t>ES0031408323131005HX0F,2022/11/07,03:00,0.0,Real,</t>
  </si>
  <si>
    <t>ES0031408323131005HX0F,2022/11/07,04:00,0.0,Real,</t>
  </si>
  <si>
    <t>ES0031408323131005HX0F,2022/11/07,05:00,0.0,Real,</t>
  </si>
  <si>
    <t>ES0031408323131005HX0F,2022/11/07,06:00,0.0,Real,</t>
  </si>
  <si>
    <t>ES0031408323131005HX0F,2022/11/07,07:00,0.0,Real,</t>
  </si>
  <si>
    <t>ES0031408323131005HX0F,2022/11/07,08:00,0.0,Real,</t>
  </si>
  <si>
    <t>ES0031408323131005HX0F,2022/11/07,09:00,0.0,Real,</t>
  </si>
  <si>
    <t>ES0031408323131005HX0F,2022/11/07,10:00,0.0,Real,</t>
  </si>
  <si>
    <t>ES0031408323131005HX0F,2022/11/07,11:00,0.0,Real,</t>
  </si>
  <si>
    <t>ES0031408323131005HX0F,2022/11/07,12:00,0.027,Real,</t>
  </si>
  <si>
    <t>ES0031408323131005HX0F,2022/11/07,13:00,0.0,Real,</t>
  </si>
  <si>
    <t>ES0031408323131005HX0F,2022/11/07,14:00,0.0,Real,</t>
  </si>
  <si>
    <t>ES0031408323131005HX0F,2022/11/07,15:00,0.0,Real,</t>
  </si>
  <si>
    <t>ES0031408323131005HX0F,2022/11/07,16:00,0.0,Real,</t>
  </si>
  <si>
    <t>ES0031408323131005HX0F,2022/11/07,17:00,0.0,Real,</t>
  </si>
  <si>
    <t>ES0031408323131005HX0F,2022/11/07,18:00,0.0,Real,</t>
  </si>
  <si>
    <t>ES0031408323131005HX0F,2022/11/07,19:00,0.0,Real,</t>
  </si>
  <si>
    <t>ES0031408323131005HX0F,2022/11/07,20:00,0.0,Real,</t>
  </si>
  <si>
    <t>ES0031408323131005HX0F,2022/11/07,21:00,0.0,Real,</t>
  </si>
  <si>
    <t>ES0031408323131005HX0F,2022/11/07,22:00,0.0,Real,</t>
  </si>
  <si>
    <t>ES0031408323131005HX0F,2022/11/07,23:00,0.0,Real,</t>
  </si>
  <si>
    <t>ES0031408323131005HX0F,2022/11/07,24:00,0.0,Real,</t>
  </si>
  <si>
    <t>ES0031408323131005HX0F,2022/11/08,01:00,0.0,Real,</t>
  </si>
  <si>
    <t>ES0031408323131005HX0F,2022/11/08,02:00,0.0,Real,</t>
  </si>
  <si>
    <t>ES0031408323131005HX0F,2022/11/08,03:00,0.0,Real,</t>
  </si>
  <si>
    <t>ES0031408323131005HX0F,2022/11/08,04:00,0.0,Real,</t>
  </si>
  <si>
    <t>ES0031408323131005HX0F,2022/11/08,05:00,0.0,Real,</t>
  </si>
  <si>
    <t>ES0031408323131005HX0F,2022/11/08,06:00,0.0,Real,</t>
  </si>
  <si>
    <t>ES0031408323131005HX0F,2022/11/08,07:00,0.0,Real,</t>
  </si>
  <si>
    <t>ES0031408323131005HX0F,2022/11/08,08:00,0.0,Real,</t>
  </si>
  <si>
    <t>ES0031408323131005HX0F,2022/11/08,09:00,0.0,Real,</t>
  </si>
  <si>
    <t>ES0031408323131005HX0F,2022/11/08,10:00,0.0,Real,</t>
  </si>
  <si>
    <t>ES0031408323131005HX0F,2022/11/08,11:00,0.0,Real,</t>
  </si>
  <si>
    <t>ES0031408323131005HX0F,2022/11/08,12:00,0.0,Real,</t>
  </si>
  <si>
    <t>ES0031408323131005HX0F,2022/11/08,13:00,0.0,Real,</t>
  </si>
  <si>
    <t>ES0031408323131005HX0F,2022/11/08,14:00,0.0,Real,</t>
  </si>
  <si>
    <t>ES0031408323131005HX0F,2022/11/08,15:00,0.0,Real,</t>
  </si>
  <si>
    <t>ES0031408323131005HX0F,2022/11/08,16:00,0.0,Real,</t>
  </si>
  <si>
    <t>ES0031408323131005HX0F,2022/11/08,17:00,0.0,Real,</t>
  </si>
  <si>
    <t>ES0031408323131005HX0F,2022/11/08,18:00,0.0,Real,</t>
  </si>
  <si>
    <t>ES0031408323131005HX0F,2022/11/08,19:00,0.0,Real,</t>
  </si>
  <si>
    <t>ES0031408323131005HX0F,2022/11/08,20:00,0.0,Real,</t>
  </si>
  <si>
    <t>ES0031408323131005HX0F,2022/11/08,21:00,0.0,Real,</t>
  </si>
  <si>
    <t>ES0031408323131005HX0F,2022/11/08,22:00,0.0,Real,</t>
  </si>
  <si>
    <t>ES0031408323131005HX0F,2022/11/08,23:00,0.0,Real,</t>
  </si>
  <si>
    <t>ES0031408323131005HX0F,2022/11/08,24:00,0.0,Real,</t>
  </si>
  <si>
    <t>ES0031408323131005HX0F,2022/11/09,01:00,0.0,Real,</t>
  </si>
  <si>
    <t>ES0031408323131005HX0F,2022/11/09,02:00,0.0,Real,</t>
  </si>
  <si>
    <t>ES0031408323131005HX0F,2022/11/09,03:00,0.0,Real,</t>
  </si>
  <si>
    <t>ES0031408323131005HX0F,2022/11/09,04:00,0.0,Real,</t>
  </si>
  <si>
    <t>ES0031408323131005HX0F,2022/11/09,05:00,0.0,Real,</t>
  </si>
  <si>
    <t>ES0031408323131005HX0F,2022/11/09,06:00,0.0,Real,</t>
  </si>
  <si>
    <t>ES0031408323131005HX0F,2022/11/09,07:00,0.0,Real,</t>
  </si>
  <si>
    <t>ES0031408323131005HX0F,2022/11/09,08:00,0.0,Real,</t>
  </si>
  <si>
    <t>ES0031408323131005HX0F,2022/11/09,09:00,0.0,Real,</t>
  </si>
  <si>
    <t>ES0031408323131005HX0F,2022/11/09,10:00,0.0,Real,</t>
  </si>
  <si>
    <t>ES0031408323131005HX0F,2022/11/09,11:00,0.0,Real,</t>
  </si>
  <si>
    <t>ES0031408323131005HX0F,2022/11/09,12:00,0.0,Real,</t>
  </si>
  <si>
    <t>ES0031408323131005HX0F,2022/11/09,13:00,0.0,Real,</t>
  </si>
  <si>
    <t>ES0031408323131005HX0F,2022/11/09,14:00,0.0,Real,</t>
  </si>
  <si>
    <t>ES0031408323131005HX0F,2022/11/09,15:00,0.0,Real,</t>
  </si>
  <si>
    <t>ES0031408323131005HX0F,2022/11/09,16:00,0.0,Real,</t>
  </si>
  <si>
    <t>ES0031408323131005HX0F,2022/11/09,17:00,0.0,Real,</t>
  </si>
  <si>
    <t>ES0031408323131005HX0F,2022/11/09,18:00,0.0,Real,</t>
  </si>
  <si>
    <t>ES0031408323131005HX0F,2022/11/09,19:00,0.0,Real,</t>
  </si>
  <si>
    <t>ES0031408323131005HX0F,2022/11/09,20:00,0.0,Real,</t>
  </si>
  <si>
    <t>ES0031408323131005HX0F,2022/11/09,21:00,0.0,Real,</t>
  </si>
  <si>
    <t>ES0031408323131005HX0F,2022/11/09,22:00,0.0,Real,</t>
  </si>
  <si>
    <t>ES0031408323131005HX0F,2022/11/09,23:00,0.0,Real,</t>
  </si>
  <si>
    <t>ES0031408323131005HX0F,2022/11/09,24:00,0.0,Real,</t>
  </si>
  <si>
    <t>ES0031408323131005HX0F,2022/11/10,01:00,0.0,Real,</t>
  </si>
  <si>
    <t>ES0031408323131005HX0F,2022/11/10,02:00,0.0,Real,</t>
  </si>
  <si>
    <t>ES0031408323131005HX0F,2022/11/10,03:00,0.0,Real,</t>
  </si>
  <si>
    <t>ES0031408323131005HX0F,2022/11/10,04:00,0.0,Real,</t>
  </si>
  <si>
    <t>ES0031408323131005HX0F,2022/11/10,05:00,0.0,Real,</t>
  </si>
  <si>
    <t>ES0031408323131005HX0F,2022/11/10,06:00,0.0,Real,</t>
  </si>
  <si>
    <t>ES0031408323131005HX0F,2022/11/10,07:00,0.0,Real,</t>
  </si>
  <si>
    <t>ES0031408323131005HX0F,2022/11/10,08:00,0.0,Real,</t>
  </si>
  <si>
    <t>ES0031408323131005HX0F,2022/11/10,09:00,0.0,Real,</t>
  </si>
  <si>
    <t>ES0031408323131005HX0F,2022/11/10,10:00,0.0,Real,</t>
  </si>
  <si>
    <t>ES0031408323131005HX0F,2022/11/10,11:00,0.0,Real,</t>
  </si>
  <si>
    <t>ES0031408323131005HX0F,2022/11/10,12:00,0.0,Real,</t>
  </si>
  <si>
    <t>ES0031408323131005HX0F,2022/11/10,13:00,0.0,Real,</t>
  </si>
  <si>
    <t>ES0031408323131005HX0F,2022/11/10,14:00,0.0,Real,</t>
  </si>
  <si>
    <t>ES0031408323131005HX0F,2022/11/10,15:00,0.0,Real,</t>
  </si>
  <si>
    <t>ES0031408323131005HX0F,2022/11/10,16:00,0.0,Real,</t>
  </si>
  <si>
    <t>ES0031408323131005HX0F,2022/11/10,17:00,0.0,Real,</t>
  </si>
  <si>
    <t>ES0031408323131005HX0F,2022/11/10,18:00,0.0,Real,</t>
  </si>
  <si>
    <t>ES0031408323131005HX0F,2022/11/10,19:00,0.0,Real,</t>
  </si>
  <si>
    <t>ES0031408323131005HX0F,2022/11/10,20:00,0.0,Real,</t>
  </si>
  <si>
    <t>ES0031408323131005HX0F,2022/11/10,21:00,0.0,Real,</t>
  </si>
  <si>
    <t>ES0031408323131005HX0F,2022/11/10,22:00,0.0,Real,</t>
  </si>
  <si>
    <t>ES0031408323131005HX0F,2022/11/10,23:00,0.0,Real,</t>
  </si>
  <si>
    <t>ES0031408323131005HX0F,2022/11/10,24:00,0.0,Real,</t>
  </si>
  <si>
    <t>ES0031408323131005HX0F,2022/11/11,01:00,0.0,Real,</t>
  </si>
  <si>
    <t>ES0031408323131005HX0F,2022/11/11,02:00,0.0,Real,</t>
  </si>
  <si>
    <t>ES0031408323131005HX0F,2022/11/11,03:00,0.0,Real,</t>
  </si>
  <si>
    <t>ES0031408323131005HX0F,2022/11/11,04:00,0.0,Real,</t>
  </si>
  <si>
    <t>ES0031408323131005HX0F,2022/11/11,05:00,0.0,Real,</t>
  </si>
  <si>
    <t>ES0031408323131005HX0F,2022/11/11,06:00,0.0,Real,</t>
  </si>
  <si>
    <t>ES0031408323131005HX0F,2022/11/11,07:00,0.0,Real,</t>
  </si>
  <si>
    <t>ES0031408323131005HX0F,2022/11/11,08:00,0.0,Real,</t>
  </si>
  <si>
    <t>ES0031408323131005HX0F,2022/11/11,09:00,0.0,Real,</t>
  </si>
  <si>
    <t>ES0031408323131005HX0F,2022/11/11,10:00,0.0,Real,</t>
  </si>
  <si>
    <t>ES0031408323131005HX0F,2022/11/11,11:00,0.0,Real,</t>
  </si>
  <si>
    <t>ES0031408323131005HX0F,2022/11/11,12:00,0.0,Real,</t>
  </si>
  <si>
    <t>ES0031408323131005HX0F,2022/11/11,13:00,0.0,Real,</t>
  </si>
  <si>
    <t>ES0031408323131005HX0F,2022/11/11,14:00,0.0,Real,</t>
  </si>
  <si>
    <t>ES0031408323131005HX0F,2022/11/11,15:00,0.0,Real,</t>
  </si>
  <si>
    <t>ES0031408323131005HX0F,2022/11/11,16:00,0.0,Real,</t>
  </si>
  <si>
    <t>ES0031408323131005HX0F,2022/11/11,17:00,0.0,Real,</t>
  </si>
  <si>
    <t>ES0031408323131005HX0F,2022/11/11,18:00,0.0,Real,</t>
  </si>
  <si>
    <t>ES0031408323131005HX0F,2022/11/11,19:00,0.0,Real,</t>
  </si>
  <si>
    <t>ES0031408323131005HX0F,2022/11/11,20:00,0.0,Real,</t>
  </si>
  <si>
    <t>ES0031408323131005HX0F,2022/11/11,21:00,0.0,Real,</t>
  </si>
  <si>
    <t>ES0031408323131005HX0F,2022/11/11,22:00,0.0,Real,</t>
  </si>
  <si>
    <t>ES0031408323131005HX0F,2022/11/11,23:00,0.0,Real,</t>
  </si>
  <si>
    <t>ES0031408323131005HX0F,2022/11/11,24:00,0.0,Real,</t>
  </si>
  <si>
    <t>ES0031408323131005HX0F,2022/11/12,01:00,0.0,Real,</t>
  </si>
  <si>
    <t>ES0031408323131005HX0F,2022/11/12,02:00,0.0,Real,</t>
  </si>
  <si>
    <t>ES0031408323131005HX0F,2022/11/12,03:00,0.0,Real,</t>
  </si>
  <si>
    <t>ES0031408323131005HX0F,2022/11/12,04:00,0.0,Real,</t>
  </si>
  <si>
    <t>ES0031408323131005HX0F,2022/11/12,05:00,0.0,Real,</t>
  </si>
  <si>
    <t>ES0031408323131005HX0F,2022/11/12,06:00,0.0,Real,</t>
  </si>
  <si>
    <t>ES0031408323131005HX0F,2022/11/12,07:00,0.0,Real,</t>
  </si>
  <si>
    <t>ES0031408323131005HX0F,2022/11/12,08:00,0.0,Real,</t>
  </si>
  <si>
    <t>ES0031408323131005HX0F,2022/11/12,09:00,0.0,Real,</t>
  </si>
  <si>
    <t>ES0031408323131005HX0F,2022/11/12,10:00,0.0,Real,</t>
  </si>
  <si>
    <t>ES0031408323131005HX0F,2022/11/12,11:00,0.0,Real,</t>
  </si>
  <si>
    <t>ES0031408323131005HX0F,2022/11/12,12:00,0.0,Real,</t>
  </si>
  <si>
    <t>ES0031408323131005HX0F,2022/11/12,13:00,0.0,Real,</t>
  </si>
  <si>
    <t>ES0031408323131005HX0F,2022/11/12,14:00,0.0,Real,</t>
  </si>
  <si>
    <t>ES0031408323131005HX0F,2022/11/12,15:00,0.0,Real,</t>
  </si>
  <si>
    <t>ES0031408323131005HX0F,2022/11/12,16:00,0.0,Real,</t>
  </si>
  <si>
    <t>ES0031408323131005HX0F,2022/11/12,17:00,0.0,Real,</t>
  </si>
  <si>
    <t>ES0031408323131005HX0F,2022/11/12,18:00,0.0,Real,</t>
  </si>
  <si>
    <t>ES0031408323131005HX0F,2022/11/12,19:00,0.0,Real,</t>
  </si>
  <si>
    <t>ES0031408323131005HX0F,2022/11/12,20:00,0.0,Real,</t>
  </si>
  <si>
    <t>ES0031408323131005HX0F,2022/11/12,21:00,0.0,Real,</t>
  </si>
  <si>
    <t>ES0031408323131005HX0F,2022/11/12,22:00,0.0,Real,</t>
  </si>
  <si>
    <t>ES0031408323131005HX0F,2022/11/12,23:00,0.0,Real,</t>
  </si>
  <si>
    <t>ES0031408323131005HX0F,2022/11/12,24:00,0.0,Real,</t>
  </si>
  <si>
    <t>ES0031408323131005HX0F,2022/11/13,01:00,0.0,Real,</t>
  </si>
  <si>
    <t>ES0031408323131005HX0F,2022/11/13,02:00,0.0,Real,</t>
  </si>
  <si>
    <t>ES0031408323131005HX0F,2022/11/13,03:00,0.0,Real,</t>
  </si>
  <si>
    <t>ES0031408323131005HX0F,2022/11/13,04:00,0.0,Real,</t>
  </si>
  <si>
    <t>ES0031408323131005HX0F,2022/11/13,05:00,0.0,Real,</t>
  </si>
  <si>
    <t>ES0031408323131005HX0F,2022/11/13,06:00,0.0,Real,</t>
  </si>
  <si>
    <t>ES0031408323131005HX0F,2022/11/13,07:00,0.0,Real,</t>
  </si>
  <si>
    <t>ES0031408323131005HX0F,2022/11/13,08:00,0.0,Real,</t>
  </si>
  <si>
    <t>ES0031408323131005HX0F,2022/11/13,09:00,0.0,Real,</t>
  </si>
  <si>
    <t>ES0031408323131005HX0F,2022/11/13,10:00,0.0,Real,</t>
  </si>
  <si>
    <t>ES0031408323131005HX0F,2022/11/13,11:00,0.0,Real,</t>
  </si>
  <si>
    <t>ES0031408323131005HX0F,2022/11/13,12:00,0.0,Real,</t>
  </si>
  <si>
    <t>ES0031408323131005HX0F,2022/11/13,13:00,0.0,Real,</t>
  </si>
  <si>
    <t>ES0031408323131005HX0F,2022/11/13,14:00,0.0,Real,</t>
  </si>
  <si>
    <t>ES0031408323131005HX0F,2022/11/13,15:00,0.0,Real,</t>
  </si>
  <si>
    <t>ES0031408323131005HX0F,2022/11/13,16:00,0.0,Real,</t>
  </si>
  <si>
    <t>ES0031408323131005HX0F,2022/11/13,17:00,0.0,Real,</t>
  </si>
  <si>
    <t>ES0031408323131005HX0F,2022/11/13,18:00,0.0,Real,</t>
  </si>
  <si>
    <t>ES0031408323131005HX0F,2022/11/13,19:00,0.0,Real,</t>
  </si>
  <si>
    <t>ES0031408323131005HX0F,2022/11/13,20:00,0.0,Real,</t>
  </si>
  <si>
    <t>ES0031408323131005HX0F,2022/11/13,21:00,0.0,Real,</t>
  </si>
  <si>
    <t>ES0031408323131005HX0F,2022/11/13,22:00,0.0,Real,</t>
  </si>
  <si>
    <t>ES0031408323131005HX0F,2022/11/13,23:00,0.0,Real,</t>
  </si>
  <si>
    <t>ES0031408323131005HX0F,2022/11/13,24:00,0.0,Real,</t>
  </si>
  <si>
    <t>ES0031408323131005HX0F,2022/11/14,01:00,0.0,Real,</t>
  </si>
  <si>
    <t>ES0031408323131005HX0F,2022/11/14,02:00,0.0,Real,</t>
  </si>
  <si>
    <t>ES0031408323131005HX0F,2022/11/14,03:00,0.0,Real,</t>
  </si>
  <si>
    <t>ES0031408323131005HX0F,2022/11/14,04:00,0.0,Real,</t>
  </si>
  <si>
    <t>ES0031408323131005HX0F,2022/11/14,05:00,0.0,Real,</t>
  </si>
  <si>
    <t>ES0031408323131005HX0F,2022/11/14,06:00,0.0,Real,</t>
  </si>
  <si>
    <t>ES0031408323131005HX0F,2022/11/14,07:00,0.0,Real,</t>
  </si>
  <si>
    <t>ES0031408323131005HX0F,2022/11/14,08:00,0.0,Real,</t>
  </si>
  <si>
    <t>ES0031408323131005HX0F,2022/11/14,09:00,0.0,Real,</t>
  </si>
  <si>
    <t>ES0031408323131005HX0F,2022/11/14,10:00,0.0,Real,</t>
  </si>
  <si>
    <t>ES0031408323131005HX0F,2022/11/14,11:00,0.0,Real,</t>
  </si>
  <si>
    <t>ES0031408323131005HX0F,2022/11/14,12:00,0.0,Real,</t>
  </si>
  <si>
    <t>ES0031408323131005HX0F,2022/11/14,13:00,0.0,Real,</t>
  </si>
  <si>
    <t>ES0031408323131005HX0F,2022/11/14,14:00,0.0,Real,</t>
  </si>
  <si>
    <t>ES0031408323131005HX0F,2022/11/14,15:00,0.0,Real,</t>
  </si>
  <si>
    <t>ES0031408323131005HX0F,2022/11/14,16:00,0.0,Real,</t>
  </si>
  <si>
    <t>ES0031408323131005HX0F,2022/11/14,17:00,0.0,Real,</t>
  </si>
  <si>
    <t>ES0031408323131005HX0F,2022/11/14,18:00,0.0,Real,</t>
  </si>
  <si>
    <t>ES0031408323131005HX0F,2022/11/14,19:00,0.0,Real,</t>
  </si>
  <si>
    <t>ES0031408323131005HX0F,2022/11/14,20:00,0.0,Real,</t>
  </si>
  <si>
    <t>ES0031408323131005HX0F,2022/11/14,21:00,0.0,Real,</t>
  </si>
  <si>
    <t>ES0031408323131005HX0F,2022/11/14,22:00,0.0,Real,</t>
  </si>
  <si>
    <t>ES0031408323131005HX0F,2022/11/14,23:00,0.0,Real,</t>
  </si>
  <si>
    <t>ES0031408323131005HX0F,2022/11/14,24:00,0.0,Real,</t>
  </si>
  <si>
    <t>ES0031408323131005HX0F,2022/11/15,01:00,0.0,Real,</t>
  </si>
  <si>
    <t>ES0031408323131005HX0F,2022/11/15,02:00,0.0,Real,</t>
  </si>
  <si>
    <t>ES0031408323131005HX0F,2022/11/15,03:00,0.0,Real,</t>
  </si>
  <si>
    <t>ES0031408323131005HX0F,2022/11/15,04:00,0.0,Real,</t>
  </si>
  <si>
    <t>ES0031408323131005HX0F,2022/11/15,05:00,0.0,Real,</t>
  </si>
  <si>
    <t>ES0031408323131005HX0F,2022/11/15,06:00,0.0,Real,</t>
  </si>
  <si>
    <t>ES0031408323131005HX0F,2022/11/15,07:00,0.0,Real,</t>
  </si>
  <si>
    <t>ES0031408323131005HX0F,2022/11/15,08:00,0.0,Real,</t>
  </si>
  <si>
    <t>ES0031408323131005HX0F,2022/11/15,09:00,0.0,Real,</t>
  </si>
  <si>
    <t>ES0031408323131005HX0F,2022/11/15,10:00,0.0,Real,</t>
  </si>
  <si>
    <t>ES0031408323131005HX0F,2022/11/15,11:00,0.0,Real,</t>
  </si>
  <si>
    <t>ES0031408323131005HX0F,2022/11/15,12:00,0.0,Real,</t>
  </si>
  <si>
    <t>ES0031408323131005HX0F,2022/11/15,13:00,0.0,Real,</t>
  </si>
  <si>
    <t>ES0031408323131005HX0F,2022/11/15,14:00,0.0,Real,</t>
  </si>
  <si>
    <t>ES0031408323131005HX0F,2022/11/15,15:00,0.0,Real,</t>
  </si>
  <si>
    <t>ES0031408323131005HX0F,2022/11/15,16:00,0.0,Real,</t>
  </si>
  <si>
    <t>ES0031408323131005HX0F,2022/11/15,17:00,0.0,Real,</t>
  </si>
  <si>
    <t>ES0031408323131005HX0F,2022/11/15,18:00,0.0,Real,</t>
  </si>
  <si>
    <t>ES0031408323131005HX0F,2022/11/15,19:00,0.0,Real,</t>
  </si>
  <si>
    <t>ES0031408323131005HX0F,2022/11/15,20:00,0.0,Real,</t>
  </si>
  <si>
    <t>ES0031408323131005HX0F,2022/11/15,21:00,0.0,Real,</t>
  </si>
  <si>
    <t>ES0031408323131005HX0F,2022/11/15,22:00,0.0,Real,</t>
  </si>
  <si>
    <t>ES0031408323131005HX0F,2022/11/15,23:00,0.0,Real,</t>
  </si>
  <si>
    <t>ES0031408323131005HX0F,2022/11/15,24:00,0.0,Real,</t>
  </si>
  <si>
    <t>ES0031408323131005HX0F,2022/11/16,01:00,0.0,Real,</t>
  </si>
  <si>
    <t>ES0031408323131005HX0F,2022/11/16,02:00,0.0,Real,</t>
  </si>
  <si>
    <t>ES0031408323131005HX0F,2022/11/16,03:00,0.0,Real,</t>
  </si>
  <si>
    <t>ES0031408323131005HX0F,2022/11/16,04:00,0.0,Real,</t>
  </si>
  <si>
    <t>ES0031408323131005HX0F,2022/11/16,05:00,0.0,Real,</t>
  </si>
  <si>
    <t>ES0031408323131005HX0F,2022/11/16,06:00,0.0,Real,</t>
  </si>
  <si>
    <t>ES0031408323131005HX0F,2022/11/16,07:00,0.0,Real,</t>
  </si>
  <si>
    <t>ES0031408323131005HX0F,2022/11/16,08:00,0.0,Real,</t>
  </si>
  <si>
    <t>ES0031408323131005HX0F,2022/11/16,09:00,0.0,Real,</t>
  </si>
  <si>
    <t>ES0031408323131005HX0F,2022/11/16,10:00,0.0,Real,</t>
  </si>
  <si>
    <t>ES0031408323131005HX0F,2022/11/16,11:00,0.0,Real,</t>
  </si>
  <si>
    <t>ES0031408323131005HX0F,2022/11/16,12:00,0.0,Real,</t>
  </si>
  <si>
    <t>ES0031408323131005HX0F,2022/11/16,13:00,0.0,Real,</t>
  </si>
  <si>
    <t>ES0031408323131005HX0F,2022/11/16,14:00,0.0,Real,</t>
  </si>
  <si>
    <t>ES0031408323131005HX0F,2022/11/16,15:00,0.0,Real,</t>
  </si>
  <si>
    <t>ES0031408323131005HX0F,2022/11/16,16:00,0.0,Real,</t>
  </si>
  <si>
    <t>ES0031408323131005HX0F,2022/11/16,17:00,0.0,Real,</t>
  </si>
  <si>
    <t>ES0031408323131005HX0F,2022/11/16,18:00,0.0,Real,</t>
  </si>
  <si>
    <t>ES0031408323131005HX0F,2022/11/16,19:00,0.0,Real,</t>
  </si>
  <si>
    <t>ES0031408323131005HX0F,2022/11/16,20:00,0.0,Real,</t>
  </si>
  <si>
    <t>ES0031408323131005HX0F,2022/11/16,21:00,0.0,Real,</t>
  </si>
  <si>
    <t>ES0031408323131005HX0F,2022/11/16,22:00,0.0,Real,</t>
  </si>
  <si>
    <t>ES0031408323131005HX0F,2022/11/16,23:00,0.0,Real,</t>
  </si>
  <si>
    <t>ES0031408323131005HX0F,2022/11/16,24:00,0.0,Real,</t>
  </si>
  <si>
    <t>ES0031408323131005HX0F,2022/11/17,01:00,0.0,Real,</t>
  </si>
  <si>
    <t>ES0031408323131005HX0F,2022/11/17,02:00,0.0,Real,</t>
  </si>
  <si>
    <t>ES0031408323131005HX0F,2022/11/17,03:00,0.0,Real,</t>
  </si>
  <si>
    <t>ES0031408323131005HX0F,2022/11/17,04:00,0.0,Real,</t>
  </si>
  <si>
    <t>ES0031408323131005HX0F,2022/11/17,05:00,0.0,Real,</t>
  </si>
  <si>
    <t>ES0031408323131005HX0F,2022/11/17,06:00,0.0,Real,</t>
  </si>
  <si>
    <t>ES0031408323131005HX0F,2022/11/17,07:00,0.0,Real,</t>
  </si>
  <si>
    <t>ES0031408323131005HX0F,2022/11/17,08:00,0.0,Real,</t>
  </si>
  <si>
    <t>ES0031408323131005HX0F,2022/11/17,09:00,0.0,Real,</t>
  </si>
  <si>
    <t>ES0031408323131005HX0F,2022/11/17,10:00,0.0,Real,</t>
  </si>
  <si>
    <t>ES0031408323131005HX0F,2022/11/17,11:00,0.0,Real,</t>
  </si>
  <si>
    <t>ES0031408323131005HX0F,2022/11/17,12:00,0.0,Real,</t>
  </si>
  <si>
    <t>ES0031408323131005HX0F,2022/11/17,13:00,0.0,Real,</t>
  </si>
  <si>
    <t>ES0031408323131005HX0F,2022/11/17,14:00,0.0,Real,</t>
  </si>
  <si>
    <t>ES0031408323131005HX0F,2022/11/17,15:00,0.0,Real,</t>
  </si>
  <si>
    <t>ES0031408323131005HX0F,2022/11/17,16:00,0.0,Real,</t>
  </si>
  <si>
    <t>ES0031408323131005HX0F,2022/11/17,17:00,0.0,Real,</t>
  </si>
  <si>
    <t>ES0031408323131005HX0F,2022/11/17,18:00,0.0,Real,</t>
  </si>
  <si>
    <t>ES0031408323131005HX0F,2022/11/17,19:00,0.0,Real,</t>
  </si>
  <si>
    <t>ES0031408323131005HX0F,2022/11/17,20:00,0.0,Real,</t>
  </si>
  <si>
    <t>ES0031408323131005HX0F,2022/11/17,21:00,0.0,Real,</t>
  </si>
  <si>
    <t>ES0031408323131005HX0F,2022/11/17,22:00,0.0,Real,</t>
  </si>
  <si>
    <t>ES0031408323131005HX0F,2022/11/17,23:00,0.0,Real,</t>
  </si>
  <si>
    <t>ES0031408323131005HX0F,2022/11/17,24:00,0.0,Real,</t>
  </si>
  <si>
    <t>ES0031408323131005HX0F,2022/11/18,01:00,0.0,Real,</t>
  </si>
  <si>
    <t>ES0031408323131005HX0F,2022/11/18,02:00,0.0,Real,</t>
  </si>
  <si>
    <t>ES0031408323131005HX0F,2022/11/18,03:00,0.0,Real,</t>
  </si>
  <si>
    <t>ES0031408323131005HX0F,2022/11/18,04:00,0.0,Real,</t>
  </si>
  <si>
    <t>ES0031408323131005HX0F,2022/11/18,05:00,0.0,Real,</t>
  </si>
  <si>
    <t>ES0031408323131005HX0F,2022/11/18,06:00,0.0,Real,</t>
  </si>
  <si>
    <t>ES0031408323131005HX0F,2022/11/18,07:00,0.0,Real,</t>
  </si>
  <si>
    <t>ES0031408323131005HX0F,2022/11/18,08:00,0.0,Real,</t>
  </si>
  <si>
    <t>ES0031408323131005HX0F,2022/11/18,09:00,0.0,Real,</t>
  </si>
  <si>
    <t>ES0031408323131005HX0F,2022/11/18,10:00,0.0,Real,</t>
  </si>
  <si>
    <t>ES0031408323131005HX0F,2022/11/18,11:00,0.0,Real,</t>
  </si>
  <si>
    <t>ES0031408323131005HX0F,2022/11/18,12:00,0.0,Real,</t>
  </si>
  <si>
    <t>ES0031408323131005HX0F,2022/11/18,13:00,0.0,Real,</t>
  </si>
  <si>
    <t>ES0031408323131005HX0F,2022/11/18,14:00,0.0,Real,</t>
  </si>
  <si>
    <t>ES0031408323131005HX0F,2022/11/18,15:00,0.0,Real,</t>
  </si>
  <si>
    <t>ES0031408323131005HX0F,2022/11/18,16:00,0.0,Real,</t>
  </si>
  <si>
    <t>ES0031408323131005HX0F,2022/11/18,17:00,0.0,Real,</t>
  </si>
  <si>
    <t>ES0031408323131005HX0F,2022/11/18,18:00,0.0,Real,</t>
  </si>
  <si>
    <t>ES0031408323131005HX0F,2022/11/18,19:00,0.0,Real,</t>
  </si>
  <si>
    <t>ES0031408323131005HX0F,2022/11/18,20:00,0.0,Real,</t>
  </si>
  <si>
    <t>ES0031408323131005HX0F,2022/11/18,21:00,0.0,Real,</t>
  </si>
  <si>
    <t>ES0031408323131005HX0F,2022/11/18,22:00,0.0,Real,</t>
  </si>
  <si>
    <t>ES0031408323131005HX0F,2022/11/18,23:00,0.0,Real,</t>
  </si>
  <si>
    <t>ES0031408323131005HX0F,2022/11/18,24:00,0.0,Real,</t>
  </si>
  <si>
    <t>ES0031408323131005HX0F,2022/11/19,01:00,0.0,Real,</t>
  </si>
  <si>
    <t>ES0031408323131005HX0F,2022/11/19,02:00,0.0,Real,</t>
  </si>
  <si>
    <t>ES0031408323131005HX0F,2022/11/19,03:00,0.0,Real,</t>
  </si>
  <si>
    <t>ES0031408323131005HX0F,2022/11/19,04:00,0.0,Real,</t>
  </si>
  <si>
    <t>ES0031408323131005HX0F,2022/11/19,05:00,0.0,Real,</t>
  </si>
  <si>
    <t>ES0031408323131005HX0F,2022/11/19,06:00,0.0,Real,</t>
  </si>
  <si>
    <t>ES0031408323131005HX0F,2022/11/19,07:00,0.0,Real,</t>
  </si>
  <si>
    <t>ES0031408323131005HX0F,2022/11/19,08:00,0.0,Real,</t>
  </si>
  <si>
    <t>ES0031408323131005HX0F,2022/11/19,09:00,0.0,Real,</t>
  </si>
  <si>
    <t>ES0031408323131005HX0F,2022/11/19,10:00,0.0,Real,</t>
  </si>
  <si>
    <t>ES0031408323131005HX0F,2022/11/19,11:00,0.0,Real,</t>
  </si>
  <si>
    <t>ES0031408323131005HX0F,2022/11/19,12:00,0.0,Real,</t>
  </si>
  <si>
    <t>ES0031408323131005HX0F,2022/11/19,13:00,0.0,Real,</t>
  </si>
  <si>
    <t>ES0031408323131005HX0F,2022/11/19,14:00,0.0,Real,</t>
  </si>
  <si>
    <t>ES0031408323131005HX0F,2022/11/19,15:00,0.0,Real,</t>
  </si>
  <si>
    <t>ES0031408323131005HX0F,2022/11/19,16:00,0.0,Real,</t>
  </si>
  <si>
    <t>ES0031408323131005HX0F,2022/11/19,17:00,0.0,Real,</t>
  </si>
  <si>
    <t>ES0031408323131005HX0F,2022/11/19,18:00,0.0,Real,</t>
  </si>
  <si>
    <t>ES0031408323131005HX0F,2022/11/19,19:00,0.0,Real,</t>
  </si>
  <si>
    <t>ES0031408323131005HX0F,2022/11/19,20:00,0.0,Real,</t>
  </si>
  <si>
    <t>ES0031408323131005HX0F,2022/11/19,21:00,0.0,Real,</t>
  </si>
  <si>
    <t>ES0031408323131005HX0F,2022/11/19,22:00,0.0,Real,</t>
  </si>
  <si>
    <t>ES0031408323131005HX0F,2022/11/19,23:00,0.0,Real,</t>
  </si>
  <si>
    <t>ES0031408323131005HX0F,2022/11/19,24:00,0.0,Real,</t>
  </si>
  <si>
    <t>ES0031408323131005HX0F,2022/11/20,01:00,0.0,Real,</t>
  </si>
  <si>
    <t>ES0031408323131005HX0F,2022/11/20,02:00,0.0,Real,</t>
  </si>
  <si>
    <t>ES0031408323131005HX0F,2022/11/20,03:00,0.0,Real,</t>
  </si>
  <si>
    <t>ES0031408323131005HX0F,2022/11/20,04:00,0.0,Real,</t>
  </si>
  <si>
    <t>ES0031408323131005HX0F,2022/11/20,05:00,0.0,Real,</t>
  </si>
  <si>
    <t>ES0031408323131005HX0F,2022/11/20,06:00,0.0,Real,</t>
  </si>
  <si>
    <t>ES0031408323131005HX0F,2022/11/20,07:00,0.0,Real,</t>
  </si>
  <si>
    <t>ES0031408323131005HX0F,2022/11/20,08:00,0.0,Real,</t>
  </si>
  <si>
    <t>ES0031408323131005HX0F,2022/11/20,09:00,0.0,Real,</t>
  </si>
  <si>
    <t>ES0031408323131005HX0F,2022/11/20,10:00,0.0,Real,</t>
  </si>
  <si>
    <t>ES0031408323131005HX0F,2022/11/20,11:00,0.0,Real,</t>
  </si>
  <si>
    <t>ES0031408323131005HX0F,2022/11/20,12:00,0.0,Real,</t>
  </si>
  <si>
    <t>ES0031408323131005HX0F,2022/11/20,13:00,0.0,Real,</t>
  </si>
  <si>
    <t>ES0031408323131005HX0F,2022/11/20,14:00,0.0,Real,</t>
  </si>
  <si>
    <t>ES0031408323131005HX0F,2022/11/20,15:00,0.0,Real,</t>
  </si>
  <si>
    <t>ES0031408323131005HX0F,2022/11/20,16:00,0.0,Real,</t>
  </si>
  <si>
    <t>ES0031408323131005HX0F,2022/11/20,17:00,0.0,Real,</t>
  </si>
  <si>
    <t>ES0031408323131005HX0F,2022/11/20,18:00,0.0,Real,</t>
  </si>
  <si>
    <t>ES0031408323131005HX0F,2022/11/20,19:00,0.0,Real,</t>
  </si>
  <si>
    <t>ES0031408323131005HX0F,2022/11/20,20:00,0.0,Real,</t>
  </si>
  <si>
    <t>ES0031408323131005HX0F,2022/11/20,21:00,0.0,Real,</t>
  </si>
  <si>
    <t>ES0031408323131005HX0F,2022/11/20,22:00,0.0,Real,</t>
  </si>
  <si>
    <t>ES0031408323131005HX0F,2022/11/20,23:00,0.0,Real,</t>
  </si>
  <si>
    <t>ES0031408323131005HX0F,2022/11/20,24:00,0.0,Real,</t>
  </si>
  <si>
    <t>ES0031408323131005HX0F,2022/11/21,01:00,0.0,Real,</t>
  </si>
  <si>
    <t>ES0031408323131005HX0F,2022/11/21,02:00,0.0,Real,</t>
  </si>
  <si>
    <t>ES0031408323131005HX0F,2022/11/21,03:00,0.0,Real,</t>
  </si>
  <si>
    <t>ES0031408323131005HX0F,2022/11/21,04:00,0.0,Real,</t>
  </si>
  <si>
    <t>ES0031408323131005HX0F,2022/11/21,05:00,0.0,Real,</t>
  </si>
  <si>
    <t>ES0031408323131005HX0F,2022/11/21,06:00,0.0,Real,</t>
  </si>
  <si>
    <t>ES0031408323131005HX0F,2022/11/21,07:00,0.0,Real,</t>
  </si>
  <si>
    <t>ES0031408323131005HX0F,2022/11/21,08:00,0.0,Real,</t>
  </si>
  <si>
    <t>ES0031408323131005HX0F,2022/11/21,09:00,0.0,Real,</t>
  </si>
  <si>
    <t>ES0031408323131005HX0F,2022/11/21,10:00,0.0,Real,</t>
  </si>
  <si>
    <t>ES0031408323131005HX0F,2022/11/21,11:00,0.0,Real,</t>
  </si>
  <si>
    <t>ES0031408323131005HX0F,2022/11/21,12:00,0.0,Real,</t>
  </si>
  <si>
    <t>ES0031408323131005HX0F,2022/11/21,13:00,0.0,Real,</t>
  </si>
  <si>
    <t>ES0031408323131005HX0F,2022/11/21,14:00,0.0,Real,</t>
  </si>
  <si>
    <t>ES0031408323131005HX0F,2022/11/21,15:00,0.0,Real,</t>
  </si>
  <si>
    <t>ES0031408323131005HX0F,2022/11/21,16:00,0.0,Real,</t>
  </si>
  <si>
    <t>ES0031408323131005HX0F,2022/11/21,17:00,0.0,Real,</t>
  </si>
  <si>
    <t>ES0031408323131005HX0F,2022/11/21,18:00,0.0,Real,</t>
  </si>
  <si>
    <t>ES0031408323131005HX0F,2022/11/21,19:00,0.0,Real,</t>
  </si>
  <si>
    <t>ES0031408323131005HX0F,2022/11/21,20:00,0.0,Real,</t>
  </si>
  <si>
    <t>ES0031408323131005HX0F,2022/11/21,21:00,0.0,Real,</t>
  </si>
  <si>
    <t>ES0031408323131005HX0F,2022/11/21,22:00,0.0,Real,</t>
  </si>
  <si>
    <t>ES0031408323131005HX0F,2022/11/21,23:00,0.0,Real,</t>
  </si>
  <si>
    <t>ES0031408323131005HX0F,2022/11/21,24:00,0.0,Real,</t>
  </si>
  <si>
    <t>ES0031408323131005HX0F,2022/11/22,01:00,0.0,Real,</t>
  </si>
  <si>
    <t>ES0031408323131005HX0F,2022/11/22,02:00,0.0,Real,</t>
  </si>
  <si>
    <t>ES0031408323131005HX0F,2022/11/22,03:00,0.0,Real,</t>
  </si>
  <si>
    <t>ES0031408323131005HX0F,2022/11/22,04:00,0.0,Real,</t>
  </si>
  <si>
    <t>ES0031408323131005HX0F,2022/11/22,05:00,0.0,Real,</t>
  </si>
  <si>
    <t>ES0031408323131005HX0F,2022/11/22,06:00,0.0,Real,</t>
  </si>
  <si>
    <t>ES0031408323131005HX0F,2022/11/22,07:00,0.0,Real,</t>
  </si>
  <si>
    <t>ES0031408323131005HX0F,2022/11/22,08:00,0.0,Real,</t>
  </si>
  <si>
    <t>ES0031408323131005HX0F,2022/11/22,09:00,0.0,Real,</t>
  </si>
  <si>
    <t>ES0031408323131005HX0F,2022/11/22,10:00,0.0,Real,</t>
  </si>
  <si>
    <t>ES0031408323131005HX0F,2022/11/22,11:00,0.0,Real,</t>
  </si>
  <si>
    <t>ES0031408323131005HX0F,2022/11/22,12:00,0.0,Real,</t>
  </si>
  <si>
    <t>ES0031408323131005HX0F,2022/11/22,13:00,0.0,Real,</t>
  </si>
  <si>
    <t>ES0031408323131005HX0F,2022/11/22,14:00,0.0,Real,</t>
  </si>
  <si>
    <t>ES0031408323131005HX0F,2022/11/22,15:00,0.0,Real,</t>
  </si>
  <si>
    <t>ES0031408323131005HX0F,2022/11/22,16:00,0.0,Real,</t>
  </si>
  <si>
    <t>ES0031408323131005HX0F,2022/11/22,17:00,0.0,Real,</t>
  </si>
  <si>
    <t>ES0031408323131005HX0F,2022/11/22,18:00,0.0,Real,</t>
  </si>
  <si>
    <t>ES0031408323131005HX0F,2022/11/22,19:00,0.0,Real,</t>
  </si>
  <si>
    <t>ES0031408323131005HX0F,2022/11/22,20:00,0.0,Real,</t>
  </si>
  <si>
    <t>ES0031408323131005HX0F,2022/11/22,21:00,0.0,Real,</t>
  </si>
  <si>
    <t>ES0031408323131005HX0F,2022/11/22,22:00,0.0,Real,</t>
  </si>
  <si>
    <t>ES0031408323131005HX0F,2022/11/22,23:00,0.0,Real,</t>
  </si>
  <si>
    <t>ES0031408323131005HX0F,2022/11/22,24:00,0.0,Real,</t>
  </si>
  <si>
    <t>ES0031408323131005HX0F,2022/11/23,01:00,0.0,Real,</t>
  </si>
  <si>
    <t>ES0031408323131005HX0F,2022/11/23,02:00,0.0,Real,</t>
  </si>
  <si>
    <t>ES0031408323131005HX0F,2022/11/23,03:00,0.0,Real,</t>
  </si>
  <si>
    <t>ES0031408323131005HX0F,2022/11/23,04:00,0.0,Real,</t>
  </si>
  <si>
    <t>ES0031408323131005HX0F,2022/11/23,05:00,0.0,Real,</t>
  </si>
  <si>
    <t>ES0031408323131005HX0F,2022/11/23,06:00,0.0,Real,</t>
  </si>
  <si>
    <t>ES0031408323131005HX0F,2022/11/23,07:00,0.0,Real,</t>
  </si>
  <si>
    <t>ES0031408323131005HX0F,2022/11/23,08:00,0.0,Real,</t>
  </si>
  <si>
    <t>ES0031408323131005HX0F,2022/11/23,09:00,0.0,Real,</t>
  </si>
  <si>
    <t>ES0031408323131005HX0F,2022/11/23,10:00,0.0,Real,</t>
  </si>
  <si>
    <t>ES0031408323131005HX0F,2022/11/23,11:00,0.0,Real,</t>
  </si>
  <si>
    <t>ES0031408323131005HX0F,2022/11/23,12:00,2.102,Real,</t>
  </si>
  <si>
    <t>ES0031408323131005HX0F,2022/11/23,13:00,2.581,Real,</t>
  </si>
  <si>
    <t>ES0031408323131005HX0F,2022/11/23,14:00,1.796,Real,</t>
  </si>
  <si>
    <t>ES0031408323131005HX0F,2022/11/23,15:00,0.136,Real,</t>
  </si>
  <si>
    <t>ES0031408323131005HX0F,2022/11/23,16:00,0.045,Real,</t>
  </si>
  <si>
    <t>ES0031408323131005HX0F,2022/11/23,17:00,0.099,Real,</t>
  </si>
  <si>
    <t>ES0031408323131005HX0F,2022/11/23,18:00,0.131,Real,</t>
  </si>
  <si>
    <t>ES0031408323131005HX0F,2022/11/23,19:00,0.471,Real,</t>
  </si>
  <si>
    <t>ES0031408323131005HX0F,2022/11/23,20:00,0.275,Real,</t>
  </si>
  <si>
    <t>ES0031408323131005HX0F,2022/11/23,21:00,0.076,Real,</t>
  </si>
  <si>
    <t>ES0031408323131005HX0F,2022/11/23,22:00,0.037,Real,</t>
  </si>
  <si>
    <t>ES0031408323131005HX0F,2022/11/23,23:00,0.067,Real,</t>
  </si>
  <si>
    <t>ES0031408323131005HX0F,2022/11/23,24:00,0.041,Real,</t>
  </si>
  <si>
    <t>ES0031408323131005HX0F,2022/11/24,01:00,0.382,Real,</t>
  </si>
  <si>
    <t>ES0031408323131005HX0F,2022/11/24,02:00,0.069,Real,</t>
  </si>
  <si>
    <t>ES0031408323131005HX0F,2022/11/24,03:00,0.051,Real,</t>
  </si>
  <si>
    <t>ES0031408323131005HX0F,2022/11/24,04:00,0.095,Real,</t>
  </si>
  <si>
    <t>ES0031408323131005HX0F,2022/11/24,05:00,0.045,Real,</t>
  </si>
  <si>
    <t>ES0031408323131005HX0F,2022/11/24,06:00,0.306,Real,</t>
  </si>
  <si>
    <t>ES0031408323131005HX0F,2022/11/24,07:00,0.176,Real,</t>
  </si>
  <si>
    <t>ES0031408323131005HX0F,2022/11/24,08:00,0.049,Real,</t>
  </si>
  <si>
    <t>ES0031408323131005HX0F,2022/11/24,09:00,0.056,Real,</t>
  </si>
  <si>
    <t>ES0031408323131005HX0F,2022/11/24,10:00,0.021,Real,</t>
  </si>
  <si>
    <t>ES0031408323131005HX0F,2022/11/24,11:00,0.068,Real,</t>
  </si>
  <si>
    <t>ES0031408323131005HX0F,2022/11/24,12:00,0.352,Real,</t>
  </si>
  <si>
    <t>ES0031408323131005HX0F,2022/11/24,13:00,0.08,Real,</t>
  </si>
  <si>
    <t>ES0031408323131005HX0F,2022/11/24,14:00,0.086,Real,</t>
  </si>
  <si>
    <t>ES0031408323131005HX0F,2022/11/24,15:00,0.037,Real,</t>
  </si>
  <si>
    <t>ES0031408323131005HX0F,2022/11/24,16:00,0.069,Real,</t>
  </si>
  <si>
    <t>ES0031408323131005HX0F,2022/11/24,17:00,0.037,Real,</t>
  </si>
  <si>
    <t>ES0031408323131005HX0F,2022/11/24,18:00,0.36,Real,</t>
  </si>
  <si>
    <t>ES0031408323131005HX0F,2022/11/24,19:00,0.06,Real,</t>
  </si>
  <si>
    <t>ES0031408323131005HX0F,2022/11/24,20:00,0.019,Real,</t>
  </si>
  <si>
    <t>ES0031408323131005HX0F,2022/11/24,21:00,0.064,Real,</t>
  </si>
  <si>
    <t>ES0031408323131005HX0F,2022/11/24,22:00,0.034,Real,</t>
  </si>
  <si>
    <t>ES0031408323131005HX0F,2022/11/24,23:00,0.009,Real,</t>
  </si>
  <si>
    <t>ES0031408323131005HX0F,2022/11/24,24:00,0.313,Real,</t>
  </si>
  <si>
    <t>ES0031408323131005HX0F,2022/11/25,01:00,0.137,Real,</t>
  </si>
  <si>
    <t>ES0031408323131005HX0F,2022/11/25,02:00,0.043,Real,</t>
  </si>
  <si>
    <t>ES0031408323131005HX0F,2022/11/25,03:00,0.036,Real,</t>
  </si>
  <si>
    <t>ES0031408323131005HX0F,2022/11/25,04:00,0.086,Real,</t>
  </si>
  <si>
    <t>ES0031408323131005HX0F,2022/11/25,05:00,0.067,Real,</t>
  </si>
  <si>
    <t>ES0031408323131005HX0F,2022/11/25,06:00,0.403,Real,</t>
  </si>
  <si>
    <t>ES0031408323131005HX0F,2022/11/25,07:00,0.011,Real,</t>
  </si>
  <si>
    <t>ES0031408323131005HX0F,2022/11/25,08:00,0.046,Real,</t>
  </si>
  <si>
    <t>ES0031408323131005HX0F,2022/11/25,09:00,0.058,Real,</t>
  </si>
  <si>
    <t>ES0031408323131005HX0F,2022/11/25,10:00,0.054,Real,</t>
  </si>
  <si>
    <t>ES0031408323131005HX0F,2022/11/25,11:00,0.011,Real,</t>
  </si>
  <si>
    <t>ES0031408323131005HX0F,2022/11/25,12:00,0.315,Real,</t>
  </si>
  <si>
    <t>ES0031408323131005HX0F,2022/11/25,13:00,0.078,Real,</t>
  </si>
  <si>
    <t>ES0031408323131005HX0F,2022/11/25,14:00,0.036,Real,</t>
  </si>
  <si>
    <t>ES0031408323131005HX0F,2022/11/25,15:00,0.031,Real,</t>
  </si>
  <si>
    <t>ES0031408323131005HX0F,2022/11/25,16:00,0.009,Real,</t>
  </si>
  <si>
    <t>ES0031408323131005HX0F,2022/11/25,17:00,0.084,Real,</t>
  </si>
  <si>
    <t>ES0031408323131005HX0F,2022/11/25,18:00,0.342,Real,</t>
  </si>
  <si>
    <t>ES0031408323131005HX0F,2022/11/25,19:00,0.034,Real,</t>
  </si>
  <si>
    <t>ES0031408323131005HX0F,2022/11/25,20:00,0.009,Real,</t>
  </si>
  <si>
    <t>ES0031408323131005HX0F,2022/11/25,21:00,0.074,Real,</t>
  </si>
  <si>
    <t>ES0031408323131005HX0F,2022/11/25,22:00,0.044,Real,</t>
  </si>
  <si>
    <t>ES0031408323131005HX0F,2022/11/25,23:00,0.034,Real,</t>
  </si>
  <si>
    <t>ES0031408323131005HX0F,2022/11/25,24:00,0.302,Real,</t>
  </si>
  <si>
    <t>ES0031408323131005HX0F,2022/11/26,01:00,0.061,Real,</t>
  </si>
  <si>
    <t>ES0031408323131005HX0F,2022/11/26,02:00,0.068,Real,</t>
  </si>
  <si>
    <t>ES0031408323131005HX0F,2022/11/26,03:00,0.077,Real,</t>
  </si>
  <si>
    <t>ES0031408323131005HX0F,2022/11/26,04:00,0.024,Real,</t>
  </si>
  <si>
    <t>ES0031408323131005HX0F,2022/11/26,05:00,0.029,Real,</t>
  </si>
  <si>
    <t>ES0031408323131005HX0F,2022/11/26,06:00,0.439,Real,</t>
  </si>
  <si>
    <t>ES0031408323131005HX0F,2022/11/26,07:00,0.052,Real,</t>
  </si>
  <si>
    <t>ES0031408323131005HX0F,2022/11/26,08:00,0.025,Real,</t>
  </si>
  <si>
    <t>ES0031408323131005HX0F,2022/11/26,09:00,0.011,Real,</t>
  </si>
  <si>
    <t>ES0031408323131005HX0F,2022/11/26,10:00,0.1,Real,</t>
  </si>
  <si>
    <t>ES0031408323131005HX0F,2022/11/26,11:00,0.41,Real,</t>
  </si>
  <si>
    <t>ES0031408323131005HX0F,2022/11/26,12:00,0.04,Real,</t>
  </si>
  <si>
    <t>ES0031408323131005HX0F,2022/11/26,13:00,0.011,Real,</t>
  </si>
  <si>
    <t>ES0031408323131005HX0F,2022/11/26,14:00,0.083,Real,</t>
  </si>
  <si>
    <t>ES0031408323131005HX0F,2022/11/26,15:00,0.054,Real,</t>
  </si>
  <si>
    <t>ES0031408323131005HX0F,2022/11/26,16:00,0.04,Real,</t>
  </si>
  <si>
    <t>ES0031408323131005HX0F,2022/11/26,17:00,0.463,Real,</t>
  </si>
  <si>
    <t>ES0031408323131005HX0F,2022/11/26,18:00,0.054,Real,</t>
  </si>
  <si>
    <t>ES0031408323131005HX0F,2022/11/26,19:00,0.088,Real,</t>
  </si>
  <si>
    <t>ES0031408323131005HX0F,2022/11/26,20:00,0.062,Real,</t>
  </si>
  <si>
    <t>ES0031408323131005HX0F,2022/11/26,21:00,0.017,Real,</t>
  </si>
  <si>
    <t>ES0031408323131005HX0F,2022/11/26,22:00,0.011,Real,</t>
  </si>
  <si>
    <t>ES0031408323131005HX0F,2022/11/26,23:00,0.1,Real,</t>
  </si>
  <si>
    <t>ES0031408323131005HX0F,2022/11/26,24:00,0.383,Real,</t>
  </si>
  <si>
    <t>ES0031408323131005HX0F,2022/11/27,01:00,0.04,Real,</t>
  </si>
  <si>
    <t>ES0031408323131005HX0F,2022/11/27,02:00,0.011,Real,</t>
  </si>
  <si>
    <t>ES0031408323131005HX0F,2022/11/27,03:00,0.114,Real,</t>
  </si>
  <si>
    <t>ES0031408323131005HX0F,2022/11/27,04:00,0.062,Real,</t>
  </si>
  <si>
    <t>ES0031408323131005HX0F,2022/11/27,05:00,0.039,Real,</t>
  </si>
  <si>
    <t>ES0031408323131005HX0F,2022/11/27,06:00,0.345,Real,</t>
  </si>
  <si>
    <t>ES0031408323131005HX0F,2022/11/27,07:00,0.052,Real,</t>
  </si>
  <si>
    <t>ES0031408323131005HX0F,2022/11/27,08:00,0.07,Real,</t>
  </si>
  <si>
    <t>ES0031408323131005HX0F,2022/11/27,09:00,0.052,Real,</t>
  </si>
  <si>
    <t>ES0031408323131005HX0F,2022/11/27,10:00,0.012,Real,</t>
  </si>
  <si>
    <t>ES0031408323131005HX0F,2022/11/27,11:00,0.376,Real,</t>
  </si>
  <si>
    <t>ES0031408323131005HX0F,2022/11/27,12:00,0.096,Real,</t>
  </si>
  <si>
    <t>ES0031408323131005HX0F,2022/11/27,13:00,0.04,Real,</t>
  </si>
  <si>
    <t>ES0031408323131005HX0F,2022/11/27,14:00,0.039,Real,</t>
  </si>
  <si>
    <t>ES0031408323131005HX0F,2022/11/27,15:00,0.012,Real,</t>
  </si>
  <si>
    <t>ES0031408323131005HX0F,2022/11/27,16:00,0.083,Real,</t>
  </si>
  <si>
    <t>ES0031408323131005HX0F,2022/11/27,17:00,0.401,Real,</t>
  </si>
  <si>
    <t>ES0031408323131005HX0F,2022/11/27,18:00,0.039,Real,</t>
  </si>
  <si>
    <t>ES0031408323131005HX0F,2022/11/27,19:00,0.012,Real,</t>
  </si>
  <si>
    <t>ES0031408323131005HX0F,2022/11/27,20:00,0.039,Real,</t>
  </si>
  <si>
    <t>ES0031408323131005HX0F,2022/11/27,21:00,0.074,Real,</t>
  </si>
  <si>
    <t>ES0031408323131005HX0F,2022/11/27,22:00,0.203,Real,</t>
  </si>
  <si>
    <t>ES0031408323131005HX0F,2022/11/27,23:00,0.23,Real,</t>
  </si>
  <si>
    <t>ES0031408323131005HX0F,2022/11/27,24:00,0.011,Real,</t>
  </si>
  <si>
    <t>ES0031408323131005HX0F,2022/11/28,01:00,0.099,Real,</t>
  </si>
  <si>
    <t>ES0031408323131005HX0F,2022/11/28,02:00,0.039,Real,</t>
  </si>
  <si>
    <t>ES0031408323131005HX0F,2022/11/28,03:00,0.065,Real,</t>
  </si>
  <si>
    <t>ES0031408323131005HX0F,2022/11/28,04:00,0.382,Real,</t>
  </si>
  <si>
    <t>ES0031408323131005HX0F,2022/11/28,05:00,0.073,Real,</t>
  </si>
  <si>
    <t>ES0031408323131005HX0F,2022/11/28,06:00,0.065,Real,</t>
  </si>
  <si>
    <t>ES0031408323131005HX0F,2022/11/28,07:00,0.039,Real,</t>
  </si>
  <si>
    <t>ES0031408323131005HX0F,2022/11/28,08:00,0.011,Real,</t>
  </si>
  <si>
    <t>ES0031408323131005HX0F,2022/11/28,09:00,0.019,Real,</t>
  </si>
  <si>
    <t>ES0031408323131005HX0F,2022/11/28,10:00,0.366,Real,</t>
  </si>
  <si>
    <t>ES0031408323131005HX0F,2022/11/28,11:00,0.043,Real,</t>
  </si>
  <si>
    <t>ES0031408323131005HX0F,2022/11/28,12:00,0.023,Real,</t>
  </si>
  <si>
    <t>ES0031408323131005HX0F,2022/11/28,13:00,0.009,Real,</t>
  </si>
  <si>
    <t>ES0031408323131005HX0F,2022/11/28,14:00,0.081,Real,</t>
  </si>
  <si>
    <t>ES0031408323131005HX0F,2022/11/28,15:00,0.333,Real,</t>
  </si>
  <si>
    <t>ES0031408323131005HX0F,2022/11/28,16:00,0.033,Real,</t>
  </si>
  <si>
    <t>ES0031408323131005HX0F,2022/11/28,17:00,0.009,Real,</t>
  </si>
  <si>
    <t>ES0031408323131005HX0F,2022/11/28,18:00,0.044,Real,</t>
  </si>
  <si>
    <t>ES0031408323131005HX0F,2022/11/28,19:00,0.059,Real,</t>
  </si>
  <si>
    <t>ES0031408323131005HX0F,2022/11/28,20:00,0.044,Real,</t>
  </si>
  <si>
    <t>ES0031408323131005HX0F,2022/11/28,21:00,0.309,Real,</t>
  </si>
  <si>
    <t>ES0031408323131005HX0F,2022/11/28,22:00,0.009,Real,</t>
  </si>
  <si>
    <t>ES0031408323131005HX0F,2022/11/28,23:00,0.083,Real,</t>
  </si>
  <si>
    <t>ES0031408323131005HX0F,2022/11/28,24:00,0.057,Real,</t>
  </si>
  <si>
    <t>ES0031408323131005HX0F,2022/11/29,01:00,0.058,Real,</t>
  </si>
  <si>
    <t>ES0031408323131005HX0F,2022/11/29,02:00,0.301,Real,</t>
  </si>
  <si>
    <t>ES0031408323131005HX0F,2022/11/29,03:00,0.106,Real,</t>
  </si>
  <si>
    <t>ES0031408323131005HX0F,2022/11/29,04:00,0.111,Real,</t>
  </si>
  <si>
    <t>ES0031408323131005HX0F,2022/11/29,05:00,0.039,Real,</t>
  </si>
  <si>
    <t>ES0031408323131005HX0F,2022/11/29,06:00,0.04,Real,</t>
  </si>
  <si>
    <t>ES0031408323131005HX0F,2022/11/29,07:00,0.011,Real,</t>
  </si>
  <si>
    <t>ES0031408323131005HX0F,2022/11/29,08:00,0.439,Real,</t>
  </si>
  <si>
    <t>ES0031408323131005HX0F,2022/11/29,09:00,0.05,Real,</t>
  </si>
  <si>
    <t>ES0031408323131005HX0F,2022/11/29,10:00,0.033,Real,</t>
  </si>
  <si>
    <t>ES0031408323131005HX0F,2022/11/29,11:00,0.009,Real,</t>
  </si>
  <si>
    <t>ES0031408323131005HX0F,2022/11/29,12:00,0.021,Real,</t>
  </si>
  <si>
    <t>ES0031408323131005HX0F,2022/11/29,13:00,0.069,Real,</t>
  </si>
  <si>
    <t>ES0031408323131005HX0F,2022/11/29,14:00,0.34,Real,</t>
  </si>
  <si>
    <t>ES0031408323131005HX0F,2022/11/29,15:00,0.022,Real,</t>
  </si>
  <si>
    <t>ES0031408323131005HX0F,2022/11/29,16:00,0.01,Real,</t>
  </si>
  <si>
    <t>ES0031408323131005HX0F,2022/11/29,17:00,0.078,Real,</t>
  </si>
  <si>
    <t>ES0031408323131005HX0F,2022/11/29,18:00,0.035,Real,</t>
  </si>
  <si>
    <t>ES0031408323131005HX0F,2022/11/29,19:00,0.332,Real,</t>
  </si>
  <si>
    <t>ES0031408323131005HX0F,2022/11/29,20:00,0.009,Real,</t>
  </si>
  <si>
    <t>ES0031408323131005HX0F,2022/11/29,21:00,0.039,Real,</t>
  </si>
  <si>
    <t>ES0031408323131005HX0F,2022/11/29,22:00,0.059,Real,</t>
  </si>
  <si>
    <t>ES0031408323131005HX0F,2022/11/29,23:00,0.048,Real,</t>
  </si>
  <si>
    <t>ES0031408323131005HX0F,2022/11/29,24:00,0.01,Real,</t>
  </si>
  <si>
    <t>ES0031408323131005HX0F,2022/11/30,01:00,0.379,Real,</t>
  </si>
  <si>
    <t>ES0031408323131005HX0F,2022/11/30,02:00,0.096,Real,</t>
  </si>
  <si>
    <t>ES0031408323131005HX0F,2022/11/30,03:00,0.064,Real,</t>
  </si>
  <si>
    <t>ES0031408323131005HX0F,2022/11/30,04:00,0.052,Real,</t>
  </si>
  <si>
    <t>ES0031408323131005HX0F,2022/11/30,05:00,0.011,Real,</t>
  </si>
  <si>
    <t>ES0031408323131005HX0F,2022/11/30,06:00,0.165,Real,</t>
  </si>
  <si>
    <t>ES0031408323131005HX0F,2022/11/30,07:00,0.332,Real,</t>
  </si>
  <si>
    <t>ES0031408323131005HX0F,2022/11/30,08:00,0.042,Real,</t>
  </si>
  <si>
    <t>ES0031408323131005HX0F,2022/11/30,09:00,0.01,Real,</t>
  </si>
  <si>
    <t>ES0031408323131005HX0F,2022/11/30,10:00,0.009,Real,</t>
  </si>
  <si>
    <t>ES0031408323131005HX0F,2022/11/30,11:00,0.081,Real,</t>
  </si>
  <si>
    <t>ES0031408323131005HX0F,2022/11/30,12:00,0.334,Real,</t>
  </si>
  <si>
    <t>ES0031408323131005HX0F,2022/11/30,13:00,0.033,Real,</t>
  </si>
  <si>
    <t>ES0031408323131005HX0F,2022/11/30,14:00,0.009,Real,</t>
  </si>
  <si>
    <t>ES0031408323131005HX0F,2022/11/30,15:00,0.056,Real,</t>
  </si>
  <si>
    <t>ES0031408323131005HX0F,2022/11/30,16:00,0.057,Real,</t>
  </si>
  <si>
    <t>ES0031408323131005HX0F,2022/11/30,17:00,0.033,Real,</t>
  </si>
  <si>
    <t>ES0031408323131005HX0F,2022/11/30,18:00,0.315,Real,</t>
  </si>
  <si>
    <t>ES0031408323131005HX0F,2022/11/30,19:00,0.009,Real,</t>
  </si>
  <si>
    <t>ES0031408323131005HX0F,2022/11/30,20:00,0.081,Real,</t>
  </si>
  <si>
    <t>ES0031408323131005HX0F,2022/11/30,21:00,0.032,Real,</t>
  </si>
  <si>
    <t>ES0031408323131005HX0F,2022/11/30,22:00,0.033,Real,</t>
  </si>
  <si>
    <t>ES0031408323131005HX0F,2022/11/30,23:00,0.323,Real,</t>
  </si>
  <si>
    <t>ES0031408323131005HX0F,2022/11/30,24:00,0.062,Real,</t>
  </si>
  <si>
    <t>ES0031408323131005HX0F,2022/12/01,01:00,0.061,Real,</t>
  </si>
  <si>
    <t>ES0031408323131005HX0F,2022/12/01,02:00,0.04,Real,</t>
  </si>
  <si>
    <t>ES0031408323131005HX0F,2022/12/01,03:00,0.036,Real,</t>
  </si>
  <si>
    <t>ES0031408323131005HX0F,2022/12/01,04:00,0.026,Real,</t>
  </si>
  <si>
    <t>ES0031408323131005HX0F,2022/12/01,05:00,0.491,Real,</t>
  </si>
  <si>
    <t>ES0031408323131005HX0F,2022/12/01,06:00,0.038,Real,</t>
  </si>
  <si>
    <t>ES0031408323131005HX0F,2022/12/01,07:00,0.038,Real,</t>
  </si>
  <si>
    <t>ES0031408323131005HX0F,2022/12/01,08:00,0.012,Real,</t>
  </si>
  <si>
    <t>ES0031408323131005HX0F,2022/12/01,09:00,0.05,Real,</t>
  </si>
  <si>
    <t>ES0031408323131005HX0F,2022/12/01,10:00,0.06,Real,</t>
  </si>
  <si>
    <t>ES0031408323131005HX0F,2022/12/01,11:00,0.324,Real,</t>
  </si>
  <si>
    <t>ES0031408323131005HX0F,2022/12/01,12:00,0.009,Real,</t>
  </si>
  <si>
    <t>ES0031408323131005HX0F,2022/12/01,13:00,0.009,Real,</t>
  </si>
  <si>
    <t>ES0031408323131005HX0F,2022/12/01,14:00,0.08,Real,</t>
  </si>
  <si>
    <t>ES0031408323131005HX0F,2022/12/01,15:00,0.032,Real,</t>
  </si>
  <si>
    <t>ES0031408323131005HX0F,2022/12/01,16:00,0.326,Real,</t>
  </si>
  <si>
    <t>ES0031408323131005HX0F,2022/12/01,17:00,0.009,Real,</t>
  </si>
  <si>
    <t>ES0031408323131005HX0F,2022/12/01,18:00,0.052,Real,</t>
  </si>
  <si>
    <t>ES0031408323131005HX0F,2022/12/01,19:00,0.064,Real,</t>
  </si>
  <si>
    <t>ES0031408323131005HX0F,2022/12/01,20:00,0.178,Real,</t>
  </si>
  <si>
    <t>ES0031408323131005HX0F,2022/12/01,21:00,0.622,Real,</t>
  </si>
  <si>
    <t>ES0031408323131005HX0F,2022/12/01,22:00,0.009,Real,</t>
  </si>
  <si>
    <t>ES0031408323131005HX0F,2022/12/01,23:00,0.079,Real,</t>
  </si>
  <si>
    <t>ES0031408323131005HX0F,2022/12/01,24:00,0.033,Real,</t>
  </si>
  <si>
    <t>ES0031408323131005HX0F,2022/12/02,01:00,0.388,Real,</t>
  </si>
  <si>
    <t>ES0031408323131005HX0F,2022/12/02,02:00,0.011,Real,</t>
  </si>
  <si>
    <t>ES0031408323131005HX0F,2022/12/02,03:00,0.08,Real,</t>
  </si>
  <si>
    <t>ES0031408323131005HX0F,2022/12/02,04:00,0.083,Real,</t>
  </si>
  <si>
    <t>ES0031408323131005HX0F,2022/12/02,05:00,0.048,Real,</t>
  </si>
  <si>
    <t>ES0031408323131005HX0F,2022/12/02,06:00,0.011,Real,</t>
  </si>
  <si>
    <t>ES0031408323131005HX0F,2022/12/02,07:00,0.363,Real,</t>
  </si>
  <si>
    <t>ES0031408323131005HX0F,2022/12/02,08:00,0.094,Real,</t>
  </si>
  <si>
    <t>ES0031408323131005HX0F,2022/12/02,09:00,0.033,Real,</t>
  </si>
  <si>
    <t>ES0031408323131005HX0F,2022/12/02,10:00,0.033,Real,</t>
  </si>
  <si>
    <t>ES0031408323131005HX0F,2022/12/02,11:00,0.009,Real,</t>
  </si>
  <si>
    <t>ES0031408323131005HX0F,2022/12/02,12:00,0.328,Real,</t>
  </si>
  <si>
    <t>ES0031408323131005HX0F,2022/12/02,13:00,0.059,Real,</t>
  </si>
  <si>
    <t>ES0031408323131005HX0F,2022/12/02,14:00,0.046,Real,</t>
  </si>
  <si>
    <t>ES0031408323131005HX0F,2022/12/02,15:00,0.017,Real,</t>
  </si>
  <si>
    <t>ES0031408323131005HX0F,2022/12/02,16:00,0.009,Real,</t>
  </si>
  <si>
    <t>ES0031408323131005HX0F,2022/12/02,17:00,0.071,Real,</t>
  </si>
  <si>
    <t>ES0031408323131005HX0F,2022/12/02,18:00,0.332,Real,</t>
  </si>
  <si>
    <t>ES0031408323131005HX0F,2022/12/02,19:00,0.033,Real,</t>
  </si>
  <si>
    <t>ES0031408323131005HX0F,2022/12/02,20:00,0.01,Real,</t>
  </si>
  <si>
    <t>ES0031408323131005HX0F,2022/12/02,21:00,0.01,Real,</t>
  </si>
  <si>
    <t>ES0031408323131005HX0F,2022/12/02,22:00,0.077,Real,</t>
  </si>
  <si>
    <t>ES0031408323131005HX0F,2022/12/02,23:00,0.334,Real,</t>
  </si>
  <si>
    <t>ES0031408323131005HX0F,2022/12/02,24:00,0.032,Real,</t>
  </si>
  <si>
    <t>ES0031408323131005HX0F,2022/12/03,01:00,0.012,Real,</t>
  </si>
  <si>
    <t>ES0031408323131005HX0F,2022/12/03,02:00,0.059,Real,</t>
  </si>
  <si>
    <t>ES0031408323131005HX0F,2022/12/03,03:00,0.094,Real,</t>
  </si>
  <si>
    <t>ES0031408323131005HX0F,2022/12/03,04:00,0.055,Real,</t>
  </si>
  <si>
    <t>ES0031408323131005HX0F,2022/12/03,05:00,0.382,Real,</t>
  </si>
  <si>
    <t>ES0031408323131005HX0F,2022/12/03,06:00,0.011,Real,</t>
  </si>
  <si>
    <t>ES0031408323131005HX0F,2022/12/03,07:00,0.09,Real,</t>
  </si>
  <si>
    <t>ES0031408323131005HX0F,2022/12/03,08:00,0.039,Real,</t>
  </si>
  <si>
    <t>ES0031408323131005HX0F,2022/12/03,09:00,0.039,Real,</t>
  </si>
  <si>
    <t>ES0031408323131005HX0F,2022/12/03,10:00,0.484,Real,</t>
  </si>
  <si>
    <t>ES0031408323131005HX0F,2022/12/03,11:00,0.621,Real,</t>
  </si>
  <si>
    <t>ES0031408323131005HX0F,2022/12/03,12:00,0.076,Real,</t>
  </si>
  <si>
    <t>ES0031408323131005HX0F,2022/12/03,13:00,0.058,Real,</t>
  </si>
  <si>
    <t>ES0031408323131005HX0F,2022/12/03,14:00,0.014,Real,</t>
  </si>
  <si>
    <t>ES0031408323131005HX0F,2022/12/03,15:00,0.011,Real,</t>
  </si>
  <si>
    <t>ES0031408323131005HX0F,2022/12/03,16:00,0.45,Real,</t>
  </si>
  <si>
    <t>ES0031408323131005HX0F,2022/12/03,17:00,0.039,Real,</t>
  </si>
  <si>
    <t>ES0031408323131005HX0F,2022/12/03,18:00,0.055,Real,</t>
  </si>
  <si>
    <t>ES0031408323131005HX0F,2022/12/03,19:00,0.365,Real,</t>
  </si>
  <si>
    <t>ES0031408323131005HX0F,2022/12/03,20:00,0.618,Real,</t>
  </si>
  <si>
    <t>ES0031408323131005HX0F,2022/12/03,21:00,0.061,Real,</t>
  </si>
  <si>
    <t>ES0031408323131005HX0F,2022/12/03,22:00,0.046,Real,</t>
  </si>
  <si>
    <t>ES0031408323131005HX0F,2022/12/03,23:00,0.07,Real,</t>
  </si>
  <si>
    <t>ES0031408323131005HX0F,2022/12/03,24:00,0.383,Real,</t>
  </si>
  <si>
    <t>ES0031408323131005HX0F,2022/12/04,01:00,0.057,Real,</t>
  </si>
  <si>
    <t>ES0031408323131005HX0F,2022/12/04,02:00,0.036,Real,</t>
  </si>
  <si>
    <t>ES0031408323131005HX0F,2022/12/04,03:00,0.099,Real,</t>
  </si>
  <si>
    <t>ES0031408323131005HX0F,2022/12/04,04:00,0.057,Real,</t>
  </si>
  <si>
    <t>ES0031408323131005HX0F,2022/12/04,05:00,0.395,Real,</t>
  </si>
  <si>
    <t>ES0031408323131005HX0F,2022/12/04,06:00,0.065,Real,</t>
  </si>
  <si>
    <t>ES0031408323131005HX0F,2022/12/04,07:00,0.024,Real,</t>
  </si>
  <si>
    <t>ES0031408323131005HX0F,2022/12/04,08:00,0.07,Real,</t>
  </si>
  <si>
    <t>ES0031408323131005HX0F,2022/12/04,09:00,0.043,Real,</t>
  </si>
  <si>
    <t>ES0031408323131005HX0F,2022/12/04,10:00,0.051,Real,</t>
  </si>
  <si>
    <t>ES0031408323131005HX0F,2022/12/04,11:00,0.419,Real,</t>
  </si>
  <si>
    <t>ES0031408323131005HX0F,2022/12/04,12:00,0.017,Real,</t>
  </si>
  <si>
    <t>ES0031408323131005HX0F,2022/12/04,13:00,0.073,Real,</t>
  </si>
  <si>
    <t>ES0031408323131005HX0F,2022/12/04,14:00,0.162,Real,</t>
  </si>
  <si>
    <t>ES0031408323131005HX0F,2022/12/04,15:00,0.143,Real,</t>
  </si>
  <si>
    <t>ES0031408323131005HX0F,2022/12/04,16:00,1.761,Real,</t>
  </si>
  <si>
    <t>ES0031408323131005HX0F,2022/12/04,17:00,1.527,Real,</t>
  </si>
  <si>
    <t>ES0031408323131005HX0F,2022/12/04,18:00,2.873,Real,</t>
  </si>
  <si>
    <t>ES0031408323131005HX0F,2022/12/04,19:00,2.689,Real,</t>
  </si>
  <si>
    <t>ES0031408323131005HX0F,2022/12/04,20:00,0.099,Real,</t>
  </si>
  <si>
    <t>ES0031408323131005HX0F,2022/12/04,21:00,1.687,Real,</t>
  </si>
  <si>
    <t>ES0031408323131005HX0F,2022/12/04,22:00,2.092,Real,</t>
  </si>
  <si>
    <t>ES0031408323131005HX0F,2022/12/04,23:00,2.924,Real,</t>
  </si>
  <si>
    <t>ES0031408323131005HX0F,2022/12/04,24:00,0.994,Real,</t>
  </si>
  <si>
    <t>ES0031408323131005HX0F,2022/12/05,01:00,0.253,Real,</t>
  </si>
  <si>
    <t>ES0031408323131005HX0F,2022/12/05,02:00,0.316,Real,</t>
  </si>
  <si>
    <t>ES0031408323131005HX0F,2022/12/05,03:00,0.319,Real,</t>
  </si>
  <si>
    <t>ES0031408323131005HX0F,2022/12/05,04:00,0.549,Real,</t>
  </si>
  <si>
    <t>ES0031408323131005HX0F,2022/12/05,05:00,0.435,Real,</t>
  </si>
  <si>
    <t>ES0031408323131005HX0F,2022/12/05,06:00,0.377,Real,</t>
  </si>
  <si>
    <t>ES0031408323131005HX0F,2022/12/05,07:00,0.37,Real,</t>
  </si>
  <si>
    <t>ES0031408323131005HX0F,2022/12/05,08:00,0.476,Real,</t>
  </si>
  <si>
    <t>ES0031408323131005HX0F,2022/12/05,09:00,0.625,Real,</t>
  </si>
  <si>
    <t>ES0031408323131005HX0F,2022/12/05,10:00,0.06,Real,</t>
  </si>
  <si>
    <t>ES0031408323131005HX0F,2022/12/05,11:00,1.062,Real,</t>
  </si>
  <si>
    <t>ES0031408323131005HX0F,2022/12/05,12:00,0.392,Real,</t>
  </si>
  <si>
    <t>ES0031408323131005HX0F,2022/12/05,13:00,0.417,Real,</t>
  </si>
  <si>
    <t>ES0031408323131005HX0F,2022/12/05,14:00,0.506,Real,</t>
  </si>
  <si>
    <t>ES0031408323131005HX0F,2022/12/05,15:00,0.953,Real,</t>
  </si>
  <si>
    <t>ES0031408323131005HX0F,2022/12/05,16:00,0.445,Real,</t>
  </si>
  <si>
    <t>ES0031408323131005HX0F,2022/12/05,17:00,0.052,Real,</t>
  </si>
  <si>
    <t>ES0031408323131005HX0F,2022/12/05,18:00,0.032,Real,</t>
  </si>
  <si>
    <t>ES0031408323131005HX0F,2022/12/05,19:00,0.057,Real,</t>
  </si>
  <si>
    <t>ES0031408323131005HX0F,2022/12/05,20:00,0.338,Real,</t>
  </si>
  <si>
    <t>ES0031408323131005HX0F,2022/12/05,21:00,1.648,Real,</t>
  </si>
  <si>
    <t>ES0031408323131005HX0F,2022/12/05,22:00,3.055,Real,</t>
  </si>
  <si>
    <t>ES0031408323131005HX0F,2022/12/05,23:00,3.128,Real,</t>
  </si>
  <si>
    <t>ES0031408323131005HX0F,2022/12/05,24:00,2.049,Real,</t>
  </si>
  <si>
    <t>ES0031408323131005HX0F,2022/12/06,01:00,1.676,Real,</t>
  </si>
  <si>
    <t>ES0031408323131005HX0F,2022/12/06,02:00,1.523,Real,</t>
  </si>
  <si>
    <t>ES0031408323131005HX0F,2022/12/06,03:00,1.442,Real,</t>
  </si>
  <si>
    <t>ES0031408323131005HX0F,2022/12/06,04:00,1.898,Real,</t>
  </si>
  <si>
    <t>ES0031408323131005HX0F,2022/12/06,05:00,1.501,Real,</t>
  </si>
  <si>
    <t>ES0031408323131005HX0F,2022/12/06,06:00,1.471,Real,</t>
  </si>
  <si>
    <t>ES0031408323131005HX0F,2022/12/06,07:00,2.0,Real,</t>
  </si>
  <si>
    <t>ES0031408323131005HX0F,2022/12/06,08:00,1.949,Real,</t>
  </si>
  <si>
    <t>ES0031408323131005HX0F,2022/12/06,09:00,1.949,Real,</t>
  </si>
  <si>
    <t>ES0031408323131005HX0F,2022/12/06,10:00,2.324,Real,</t>
  </si>
  <si>
    <t>ES0031408323131005HX0F,2022/12/06,11:00,0.904,Real,</t>
  </si>
  <si>
    <t>ES0031408323131005HX0F,2022/12/06,12:00,0.056,Real,</t>
  </si>
  <si>
    <t>ES0031408323131005HX0F,2022/12/06,13:00,0.341,Real,</t>
  </si>
  <si>
    <t>ES0031408323131005HX0F,2022/12/06,14:00,0.106,Real,</t>
  </si>
  <si>
    <t>ES0031408323131005HX0F,2022/12/06,15:00,1.404,Real,</t>
  </si>
  <si>
    <t>ES0031408323131005HX0F,2022/12/06,16:00,1.848,Real,</t>
  </si>
  <si>
    <t>ES0031408323131005HX0F,2022/12/06,17:00,2.16,Real,</t>
  </si>
  <si>
    <t>ES0031408323131005HX0F,2022/12/06,18:00,1.486,Real,</t>
  </si>
  <si>
    <t>ES0031408323131005HX0F,2022/12/06,19:00,1.337,Real,</t>
  </si>
  <si>
    <t>ES0031408323131005HX0F,2022/12/06,20:00,0.068,Real,</t>
  </si>
  <si>
    <t>ES0031408323131005HX0F,2022/12/06,21:00,0.596,Real,</t>
  </si>
  <si>
    <t>ES0031408323131005HX0F,2022/12/06,22:00,3.604,Real,</t>
  </si>
  <si>
    <t>ES0031408323131005HX0F,2022/12/06,23:00,2.847,Real,</t>
  </si>
  <si>
    <t>ES0031408323131005HX0F,2022/12/06,24:00,1.576,Real,</t>
  </si>
  <si>
    <t>ES0031408323131005HX0F,2022/12/07,01:00,0.222,Real,</t>
  </si>
  <si>
    <t>ES0031408323131005HX0F,2022/12/07,02:00,0.389,Real,</t>
  </si>
  <si>
    <t>ES0031408323131005HX0F,2022/12/07,03:00,0.142,Real,</t>
  </si>
  <si>
    <t>ES0031408323131005HX0F,2022/12/07,04:00,0.121,Real,</t>
  </si>
  <si>
    <t>ES0031408323131005HX0F,2022/12/07,05:00,0.054,Real,</t>
  </si>
  <si>
    <t>ES0031408323131005HX0F,2022/12/07,06:00,0.144,Real,</t>
  </si>
  <si>
    <t>ES0031408323131005HX0F,2022/12/07,07:00,0.409,Real,</t>
  </si>
  <si>
    <t>ES0031408323131005HX0F,2022/12/07,08:00,1.094,Real,</t>
  </si>
  <si>
    <t>ES0031408323131005HX0F,2022/12/07,09:00,0.305,Real,</t>
  </si>
  <si>
    <t>ES0031408323131005HX0F,2022/12/07,10:00,0.228,Real,</t>
  </si>
  <si>
    <t>ES0031408323131005HX0F,2022/12/07,11:00,0.2,Real,</t>
  </si>
  <si>
    <t>ES0031408323131005HX0F,2022/12/07,12:00,0.052,Real,</t>
  </si>
  <si>
    <t>ES0031408323131005HX0F,2022/12/07,13:00,0.36,Real,</t>
  </si>
  <si>
    <t>ES0031408323131005HX0F,2022/12/07,14:00,0.05,Real,</t>
  </si>
  <si>
    <t>ES0031408323131005HX0F,2022/12/07,15:00,0.015,Real,</t>
  </si>
  <si>
    <t>ES0031408323131005HX0F,2022/12/07,16:00,0.068,Real,</t>
  </si>
  <si>
    <t>ES0031408323131005HX0F,2022/12/07,17:00,0.04,Real,</t>
  </si>
  <si>
    <t>ES0031408323131005HX0F,2022/12/07,18:00,0.052,Real,</t>
  </si>
  <si>
    <t>ES0031408323131005HX0F,2022/12/07,19:00,0.355,Real,</t>
  </si>
  <si>
    <t>ES0031408323131005HX0F,2022/12/07,20:00,0.055,Real,</t>
  </si>
  <si>
    <t>ES0031408323131005HX0F,2022/12/07,21:00,0.102,Real,</t>
  </si>
  <si>
    <t>ES0031408323131005HX0F,2022/12/07,22:00,0.039,Real,</t>
  </si>
  <si>
    <t>ES0031408323131005HX0F,2022/12/07,23:00,0.039,Real,</t>
  </si>
  <si>
    <t>ES0031408323131005HX0F,2022/12/07,24:00,0.464,Real,</t>
  </si>
  <si>
    <t>ES0031408323131005HX0F,2022/12/08,01:00,2.739,Real,</t>
  </si>
  <si>
    <t>ES0031408323131005HX0F,2022/12/08,02:00,1.05,Real,</t>
  </si>
  <si>
    <t>ES0031408323131005HX0F,2022/12/08,03:00,0.986,Real,</t>
  </si>
  <si>
    <t>ES0031408323131005HX0F,2022/12/08,04:00,1.369,Real,</t>
  </si>
  <si>
    <t>ES0031408323131005HX0F,2022/12/08,05:00,0.969,Real,</t>
  </si>
  <si>
    <t>ES0031408323131005HX0F,2022/12/08,06:00,0.978,Real,</t>
  </si>
  <si>
    <t>ES0031408323131005HX0F,2022/12/08,07:00,0.994,Real,</t>
  </si>
  <si>
    <t>ES0031408323131005HX0F,2022/12/08,08:00,0.93,Real,</t>
  </si>
  <si>
    <t>ES0031408323131005HX0F,2022/12/08,09:00,0.995,Real,</t>
  </si>
  <si>
    <t>ES0031408323131005HX0F,2022/12/08,10:00,1.09,Real,</t>
  </si>
  <si>
    <t>ES0031408323131005HX0F,2022/12/08,11:00,1.728,Real,</t>
  </si>
  <si>
    <t>ES0031408323131005HX0F,2022/12/08,12:00,1.762,Real,</t>
  </si>
  <si>
    <t>ES0031408323131005HX0F,2022/12/08,13:00,1.03,Real,</t>
  </si>
  <si>
    <t>ES0031408323131005HX0F,2022/12/08,14:00,1.394,Real,</t>
  </si>
  <si>
    <t>ES0031408323131005HX0F,2022/12/08,15:00,2.235,Real,</t>
  </si>
  <si>
    <t>ES0031408323131005HX0F,2022/12/08,16:00,1.343,Real,</t>
  </si>
  <si>
    <t>ES0031408323131005HX0F,2022/12/08,17:00,1.591,Real,</t>
  </si>
  <si>
    <t>ES0031408323131005HX0F,2022/12/08,18:00,0.043,Real,</t>
  </si>
  <si>
    <t>ES0031408323131005HX0F,2022/12/08,19:00,0.074,Real,</t>
  </si>
  <si>
    <t>ES0031408323131005HX0F,2022/12/08,20:00,0.042,Real,</t>
  </si>
  <si>
    <t>ES0031408323131005HX0F,2022/12/08,21:00,0.144,Real,</t>
  </si>
  <si>
    <t>ES0031408323131005HX0F,2022/12/08,22:00,1.842,Real,</t>
  </si>
  <si>
    <t>ES0031408323131005HX0F,2022/12/08,23:00,1.218,Real,</t>
  </si>
  <si>
    <t>ES0031408323131005HX0F,2022/12/08,24:00,1.653,Real,</t>
  </si>
  <si>
    <t>ES0031408323131005HX0F,2022/12/09,01:00,0.966,Real,</t>
  </si>
  <si>
    <t>ES0031408323131005HX0F,2022/12/09,02:00,0.969,Real,</t>
  </si>
  <si>
    <t>ES0031408323131005HX0F,2022/12/09,03:00,1.018,Real,</t>
  </si>
  <si>
    <t>ES0031408323131005HX0F,2022/12/09,04:00,0.944,Real,</t>
  </si>
  <si>
    <t>ES0031408323131005HX0F,2022/12/09,05:00,1.322,Real,</t>
  </si>
  <si>
    <t>ES0031408323131005HX0F,2022/12/09,06:00,0.951,Real,</t>
  </si>
  <si>
    <t>ES0031408323131005HX0F,2022/12/09,07:00,0.863,Real,</t>
  </si>
  <si>
    <t>ES0031408323131005HX0F,2022/12/09,08:00,0.061,Real,</t>
  </si>
  <si>
    <t>ES0031408323131005HX0F,2022/12/09,09:00,0.064,Real,</t>
  </si>
  <si>
    <t>ES0031408323131005HX0F,2022/12/09,10:00,0.321,Real,</t>
  </si>
  <si>
    <t>ES0031408323131005HX0F,2022/12/09,11:00,0.035,Real,</t>
  </si>
  <si>
    <t>ES0031408323131005HX0F,2022/12/09,12:00,0.069,Real,</t>
  </si>
  <si>
    <t>ES0031408323131005HX0F,2022/12/09,13:00,0.016,Real,</t>
  </si>
  <si>
    <t>ES0031408323131005HX0F,2022/12/09,14:00,0.067,Real,</t>
  </si>
  <si>
    <t>ES0031408323131005HX0F,2022/12/09,15:00,0.035,Real,</t>
  </si>
  <si>
    <t>ES0031408323131005HX0F,2022/12/09,16:00,0.346,Real,</t>
  </si>
  <si>
    <t>ES0031408323131005HX0F,2022/12/09,17:00,0.039,Real,</t>
  </si>
  <si>
    <t>ES0031408323131005HX0F,2022/12/09,18:00,0.548,Real,</t>
  </si>
  <si>
    <t>ES0031408323131005HX0F,2022/12/09,19:00,0.991,Real,</t>
  </si>
  <si>
    <t>ES0031408323131005HX0F,2022/12/09,20:00,2.408,Real,</t>
  </si>
  <si>
    <t>ES0031408323131005HX0F,2022/12/09,21:00,2.293,Real,</t>
  </si>
  <si>
    <t>ES0031408323131005HX0F,2022/12/09,22:00,1.243,Real,</t>
  </si>
  <si>
    <t>ES0031408323131005HX0F,2022/12/09,23:00,0.069,Real,</t>
  </si>
  <si>
    <t>ES0031408323131005HX0F,2022/12/09,24:00,0.05,Real,</t>
  </si>
  <si>
    <t>ES0031408323131005HX0F,2022/12/10,01:00,0.044,Real,</t>
  </si>
  <si>
    <t>ES0031408323131005HX0F,2022/12/10,02:00,1.119,Real,</t>
  </si>
  <si>
    <t>ES0031408323131005HX0F,2022/12/10,03:00,0.146,Real,</t>
  </si>
  <si>
    <t>ES0031408323131005HX0F,2022/12/10,04:00,1.479,Real,</t>
  </si>
  <si>
    <t>ES0031408323131005HX0F,2022/12/10,05:00,1.058,Real,</t>
  </si>
  <si>
    <t>ES0031408323131005HX0F,2022/12/10,06:00,1.064,Real,</t>
  </si>
  <si>
    <t>ES0031408323131005HX0F,2022/12/10,07:00,1.083,Real,</t>
  </si>
  <si>
    <t>ES0031408323131005HX0F,2022/12/10,08:00,1.041,Real,</t>
  </si>
  <si>
    <t>ES0031408323131005HX0F,2022/12/10,09:00,1.08,Real,</t>
  </si>
  <si>
    <t>ES0031408323131005HX0F,2022/12/10,10:00,1.442,Real,</t>
  </si>
  <si>
    <t>ES0031408323131005HX0F,2022/12/10,11:00,0.168,Real,</t>
  </si>
  <si>
    <t>ES0031408323131005HX0F,2022/12/10,12:00,0.071,Real,</t>
  </si>
  <si>
    <t>ES0031408323131005HX0F,2022/12/10,13:00,0.043,Real,</t>
  </si>
  <si>
    <t>ES0031408323131005HX0F,2022/12/10,14:00,1.173,Real,</t>
  </si>
  <si>
    <t>ES0031408323131005HX0F,2022/12/10,15:00,1.236,Real,</t>
  </si>
  <si>
    <t>ES0031408323131005HX0F,2022/12/10,16:00,0.082,Real,</t>
  </si>
  <si>
    <t>ES0031408323131005HX0F,2022/12/10,17:00,0.049,Real,</t>
  </si>
  <si>
    <t>ES0031408323131005HX0F,2022/12/10,18:00,0.049,Real,</t>
  </si>
  <si>
    <t>ES0031408323131005HX0F,2022/12/10,19:00,0.409,Real,</t>
  </si>
  <si>
    <t>ES0031408323131005HX0F,2022/12/10,20:00,0.017,Real,</t>
  </si>
  <si>
    <t>ES0031408323131005HX0F,2022/12/10,21:00,0.083,Real,</t>
  </si>
  <si>
    <t>ES0031408323131005HX0F,2022/12/10,22:00,0.044,Real,</t>
  </si>
  <si>
    <t>ES0031408323131005HX0F,2022/12/10,23:00,0.017,Real,</t>
  </si>
  <si>
    <t>ES0031408323131005HX0F,2022/12/10,24:00,0.087,Real,</t>
  </si>
  <si>
    <t>ES0031408323131005HX0F,2022/12/11,01:00,0.123,Real,</t>
  </si>
  <si>
    <t>ES0031408323131005HX0F,2022/12/11,02:00,0.211,Real,</t>
  </si>
  <si>
    <t>ES0031408323131005HX0F,2022/12/11,03:00,0.078,Real,</t>
  </si>
  <si>
    <t>ES0031408323131005HX0F,2022/12/11,04:00,0.021,Real,</t>
  </si>
  <si>
    <t>ES0031408323131005HX0F,2022/12/11,05:00,0.061,Real,</t>
  </si>
  <si>
    <t>ES0031408323131005HX0F,2022/12/11,06:00,0.8,Real,</t>
  </si>
  <si>
    <t>ES0031408323131005HX0F,2022/12/11,07:00,0.941,Real,</t>
  </si>
  <si>
    <t>ES0031408323131005HX0F,2022/12/11,08:00,0.986,Real,</t>
  </si>
  <si>
    <t>ES0031408323131005HX0F,2022/12/11,09:00,0.788,Real,</t>
  </si>
  <si>
    <t>ES0031408323131005HX0F,2022/12/11,10:00,0.785,Real,</t>
  </si>
  <si>
    <t>ES0031408323131005HX0F,2022/12/11,11:00,0.74,Real,</t>
  </si>
  <si>
    <t>ES0031408323131005HX0F,2022/12/11,12:00,0.799,Real,</t>
  </si>
  <si>
    <t>ES0031408323131005HX0F,2022/12/11,13:00,0.767,Real,</t>
  </si>
  <si>
    <t>ES0031408323131005HX0F,2022/12/11,14:00,1.011,Real,</t>
  </si>
  <si>
    <t>ES0031408323131005HX0F,2022/12/11,15:00,1.29,Real,</t>
  </si>
  <si>
    <t>ES0031408323131005HX0F,2022/12/11,16:00,0.992,Real,</t>
  </si>
  <si>
    <t>ES0031408323131005HX0F,2022/12/11,17:00,0.826,Real,</t>
  </si>
  <si>
    <t>ES0031408323131005HX0F,2022/12/11,18:00,0.859,Real,</t>
  </si>
  <si>
    <t>ES0031408323131005HX0F,2022/12/11,19:00,0.341,Real,</t>
  </si>
  <si>
    <t>ES0031408323131005HX0F,2022/12/11,20:00,1.284,Real,</t>
  </si>
  <si>
    <t>ES0031408323131005HX0F,2022/12/11,21:00,2.256,Real,</t>
  </si>
  <si>
    <t>ES0031408323131005HX0F,2022/12/11,22:00,0.711,Real,</t>
  </si>
  <si>
    <t>ES0031408323131005HX0F,2022/12/11,23:00,1.105,Real,</t>
  </si>
  <si>
    <t>ES0031408323131005HX0F,2022/12/11,24:00,0.89,Real,</t>
  </si>
  <si>
    <t>ES0031408323131005HX0F,2022/12/12,01:00,0.854,Real,</t>
  </si>
  <si>
    <t>ES0031408323131005HX0F,2022/12/12,02:00,0.867,Real,</t>
  </si>
  <si>
    <t>ES0031408323131005HX0F,2022/12/12,03:00,1.148,Real,</t>
  </si>
  <si>
    <t>ES0031408323131005HX0F,2022/12/12,04:00,0.835,Real,</t>
  </si>
  <si>
    <t>ES0031408323131005HX0F,2022/12/12,05:00,0.872,Real,</t>
  </si>
  <si>
    <t>ES0031408323131005HX0F,2022/12/12,06:00,0.844,Real,</t>
  </si>
  <si>
    <t>ES0031408323131005HX0F,2022/12/12,07:00,0.871,Real,</t>
  </si>
  <si>
    <t>ES0031408323131005HX0F,2022/12/12,08:00,0.695,Real,</t>
  </si>
  <si>
    <t>ES0031408323131005HX0F,2022/12/12,09:00,0.286,Real,</t>
  </si>
  <si>
    <t>ES0031408323131005HX0F,2022/12/12,10:00,0.078,Real,</t>
  </si>
  <si>
    <t>ES0031408323131005HX0F,2022/12/12,11:00,0.069,Real,</t>
  </si>
  <si>
    <t>ES0031408323131005HX0F,2022/12/12,12:00,0.073,Real,</t>
  </si>
  <si>
    <t>ES0031408323131005HX0F,2022/12/12,13:00,0.064,Real,</t>
  </si>
  <si>
    <t>ES0031408323131005HX0F,2022/12/12,14:00,0.015,Real,</t>
  </si>
  <si>
    <t>ES0031408323131005HX0F,2022/12/12,15:00,0.336,Real,</t>
  </si>
  <si>
    <t>ES0031408323131005HX0F,2022/12/12,16:00,0.037,Real,</t>
  </si>
  <si>
    <t>ES0031408323131005HX0F,2022/12/12,17:00,0.035,Real,</t>
  </si>
  <si>
    <t>ES0031408323131005HX0F,2022/12/12,18:00,0.068,Real,</t>
  </si>
  <si>
    <t>ES0031408323131005HX0F,2022/12/12,19:00,0.015,Real,</t>
  </si>
  <si>
    <t>ES0031408323131005HX0F,2022/12/12,20:00,0.084,Real,</t>
  </si>
  <si>
    <t>ES0031408323131005HX0F,2022/12/12,21:00,0.555,Real,</t>
  </si>
  <si>
    <t>ES0031408323131005HX0F,2022/12/12,22:00,3.053,Real,</t>
  </si>
  <si>
    <t>ES0031408323131005HX0F,2022/12/12,23:00,2.442,Real,</t>
  </si>
  <si>
    <t>ES0031408323131005HX0F,2022/12/12,24:00,1.662,Real,</t>
  </si>
  <si>
    <t>ES0031408323131005HX0F,2022/12/13,01:00,1.089,Real,</t>
  </si>
  <si>
    <t>ES0031408323131005HX0F,2022/12/13,02:00,0.979,Real,</t>
  </si>
  <si>
    <t>ES0031408323131005HX0F,2022/12/13,03:00,1.027,Real,</t>
  </si>
  <si>
    <t>ES0031408323131005HX0F,2022/12/13,04:00,1.183,Real,</t>
  </si>
  <si>
    <t>ES0031408323131005HX0F,2022/12/13,05:00,0.753,Real,</t>
  </si>
  <si>
    <t>ES0031408323131005HX0F,2022/12/13,06:00,0.797,Real,</t>
  </si>
  <si>
    <t>ES0031408323131005HX0F,2022/12/13,07:00,0.765,Real,</t>
  </si>
  <si>
    <t>ES0031408323131005HX0F,2022/12/13,08:00,0.95,Real,</t>
  </si>
  <si>
    <t>ES0031408323131005HX0F,2022/12/13,09:00,0.308,Real,</t>
  </si>
  <si>
    <t>ES0031408323131005HX0F,2022/12/13,10:00,0.288,Real,</t>
  </si>
  <si>
    <t>ES0031408323131005HX0F,2022/12/13,11:00,0.534,Real,</t>
  </si>
  <si>
    <t>ES0031408323131005HX0F,2022/12/13,12:00,1.851,Real,</t>
  </si>
  <si>
    <t>ES0031408323131005HX0F,2022/12/13,13:00,0.861,Real,</t>
  </si>
  <si>
    <t>ES0031408323131005HX0F,2022/12/13,14:00,0.073,Real,</t>
  </si>
  <si>
    <t>ES0031408323131005HX0F,2022/12/13,15:00,0.085,Real,</t>
  </si>
  <si>
    <t>ES0031408323131005HX0F,2022/12/13,16:00,0.051,Real,</t>
  </si>
  <si>
    <t>ES0031408323131005HX0F,2022/12/13,17:00,0.083,Real,</t>
  </si>
  <si>
    <t>ES0031408323131005HX0F,2022/12/13,18:00,0.03,Real,</t>
  </si>
  <si>
    <t>ES0031408323131005HX0F,2022/12/13,19:00,0.045,Real,</t>
  </si>
  <si>
    <t>ES0031408323131005HX0F,2022/12/13,20:00,1.337,Real,</t>
  </si>
  <si>
    <t>ES0031408323131005HX0F,2022/12/13,21:00,1.515,Real,</t>
  </si>
  <si>
    <t>ES0031408323131005HX0F,2022/12/13,22:00,2.003,Real,</t>
  </si>
  <si>
    <t>ES0031408323131005HX0F,2022/12/13,23:00,1.666,Real,</t>
  </si>
  <si>
    <t>ES0031408323131005HX0F,2022/12/13,24:00,1.071,Real,</t>
  </si>
  <si>
    <t>ES0031408323131005HX0F,2022/12/14,01:00,1.282,Real,</t>
  </si>
  <si>
    <t>ES0031408323131005HX0F,2022/12/14,02:00,1.015,Real,</t>
  </si>
  <si>
    <t>ES0031408323131005HX0F,2022/12/14,03:00,0.979,Real,</t>
  </si>
  <si>
    <t>ES0031408323131005HX0F,2022/12/14,04:00,0.994,Real,</t>
  </si>
  <si>
    <t>ES0031408323131005HX0F,2022/12/14,05:00,0.989,Real,</t>
  </si>
  <si>
    <t>ES0031408323131005HX0F,2022/12/14,06:00,0.986,Real,</t>
  </si>
  <si>
    <t>ES0031408323131005HX0F,2022/12/14,07:00,1.044,Real,</t>
  </si>
  <si>
    <t>ES0031408323131005HX0F,2022/12/14,08:00,0.71,Real,</t>
  </si>
  <si>
    <t>ES0031408323131005HX0F,2022/12/14,09:00,0.078,Real,</t>
  </si>
  <si>
    <t>ES0031408323131005HX0F,2022/12/14,10:00,0.015,Real,</t>
  </si>
  <si>
    <t>ES0031408323131005HX0F,2022/12/14,11:00,0.066,Real,</t>
  </si>
  <si>
    <t>ES0031408323131005HX0F,2022/12/14,12:00,0.04,Real,</t>
  </si>
  <si>
    <t>ES0031408323131005HX0F,2022/12/14,13:00,0.312,Real,</t>
  </si>
  <si>
    <t>ES0031408323131005HX0F,2022/12/14,14:00,0.045,Real,</t>
  </si>
  <si>
    <t>ES0031408323131005HX0F,2022/12/14,15:00,0.021,Real,</t>
  </si>
  <si>
    <t>ES0031408323131005HX0F,2022/12/14,16:00,0.081,Real,</t>
  </si>
  <si>
    <t>ES0031408323131005HX0F,2022/12/14,17:00,0.021,Real,</t>
  </si>
  <si>
    <t>ES0031408323131005HX0F,2022/12/14,18:00,0.07,Real,</t>
  </si>
  <si>
    <t>ES0031408323131005HX0F,2022/12/14,19:00,0.38,Real,</t>
  </si>
  <si>
    <t>ES0031408323131005HX0F,2022/12/14,20:00,0.064,Real,</t>
  </si>
  <si>
    <t>ES0031408323131005HX0F,2022/12/14,21:00,0.07,Real,</t>
  </si>
  <si>
    <t>ES0031408323131005HX0F,2022/12/14,22:00,1.261,Real,</t>
  </si>
  <si>
    <t>ES0031408323131005HX0F,2022/12/14,23:00,1.785,Real,</t>
  </si>
  <si>
    <t>ES0031408323131005HX0F,2022/12/14,24:00,0.874,Real,</t>
  </si>
  <si>
    <t>ES0031408323131005HX0F,2022/12/15,01:00,0.796,Real,</t>
  </si>
  <si>
    <t>ES0031408323131005HX0F,2022/12/15,02:00,0.759,Real,</t>
  </si>
  <si>
    <t>ES0031408323131005HX0F,2022/12/15,03:00,0.787,Real,</t>
  </si>
  <si>
    <t>ES0031408323131005HX0F,2022/12/15,04:00,1.052,Real,</t>
  </si>
  <si>
    <t>ES0031408323131005HX0F,2022/12/15,05:00,0.738,Real,</t>
  </si>
  <si>
    <t>ES0031408323131005HX0F,2022/12/15,06:00,0.783,Real,</t>
  </si>
  <si>
    <t>ES0031408323131005HX0F,2022/12/15,07:00,0.777,Real,</t>
  </si>
  <si>
    <t>ES0031408323131005HX0F,2022/12/15,08:00,0.717,Real,</t>
  </si>
  <si>
    <t>ES0031408323131005HX0F,2022/12/15,09:00,0.58,Real,</t>
  </si>
  <si>
    <t>ES0031408323131005HX0F,2022/12/15,10:00,0.043,Real,</t>
  </si>
  <si>
    <t>ES0031408323131005HX0F,2022/12/15,11:00,0.041,Real,</t>
  </si>
  <si>
    <t>ES0031408323131005HX0F,2022/12/15,12:00,0.07,Real,</t>
  </si>
  <si>
    <t>ES0031408323131005HX0F,2022/12/15,13:00,0.014,Real,</t>
  </si>
  <si>
    <t>ES0031408323131005HX0F,2022/12/15,14:00,0.346,Real,</t>
  </si>
  <si>
    <t>ES0031408323131005HX0F,2022/12/15,15:00,0.039,Real,</t>
  </si>
  <si>
    <t>ES0031408323131005HX0F,2022/12/15,16:00,0.029,Real,</t>
  </si>
  <si>
    <t>ES0031408323131005HX0F,2022/12/15,17:00,0.078,Real,</t>
  </si>
  <si>
    <t>ES0031408323131005HX0F,2022/12/15,18:00,0.019,Real,</t>
  </si>
  <si>
    <t>ES0031408323131005HX0F,2022/12/15,19:00,0.065,Real,</t>
  </si>
  <si>
    <t>ES0031408323131005HX0F,2022/12/15,20:00,0.427,Real,</t>
  </si>
  <si>
    <t>ES0031408323131005HX0F,2022/12/15,21:00,3.288,Real,</t>
  </si>
  <si>
    <t>ES0031408323131005HX0F,2022/12/15,22:00,2.988,Real,</t>
  </si>
  <si>
    <t>ES0031408323131005HX0F,2022/12/15,23:00,1.477,Real,</t>
  </si>
  <si>
    <t>ES0031408323131005HX0F,2022/12/15,24:00,0.871,Real,</t>
  </si>
  <si>
    <t>ES0031408323131005HX0F,2022/12/16,01:00,0.772,Real,</t>
  </si>
  <si>
    <t>ES0031408323131005HX0F,2022/12/16,02:00,0.794,Real,</t>
  </si>
  <si>
    <t>ES0031408323131005HX0F,2022/12/16,03:00,0.793,Real,</t>
  </si>
  <si>
    <t>ES0031408323131005HX0F,2022/12/16,04:00,1.003,Real,</t>
  </si>
  <si>
    <t>ES0031408323131005HX0F,2022/12/16,05:00,0.799,Real,</t>
  </si>
  <si>
    <t>ES0031408323131005HX0F,2022/12/16,06:00,0.75,Real,</t>
  </si>
  <si>
    <t>ES0031408323131005HX0F,2022/12/16,07:00,0.973,Real,</t>
  </si>
  <si>
    <t>ES0031408323131005HX0F,2022/12/16,08:00,0.791,Real,</t>
  </si>
  <si>
    <t>ES0031408323131005HX0F,2022/12/16,09:00,0.045,Real,</t>
  </si>
  <si>
    <t>ES0031408323131005HX0F,2022/12/16,10:00,0.067,Real,</t>
  </si>
  <si>
    <t>ES0031408323131005HX0F,2022/12/16,11:00,0.015,Real,</t>
  </si>
  <si>
    <t>ES0031408323131005HX0F,2022/12/16,12:00,0.079,Real,</t>
  </si>
  <si>
    <t>ES0031408323131005HX0F,2022/12/16,13:00,0.029,Real,</t>
  </si>
  <si>
    <t>ES0031408323131005HX0F,2022/12/16,14:00,0.349,Real,</t>
  </si>
  <si>
    <t>ES0031408323131005HX0F,2022/12/16,15:00,0.043,Real,</t>
  </si>
  <si>
    <t>ES0031408323131005HX0F,2022/12/16,16:00,0.037,Real,</t>
  </si>
  <si>
    <t>ES0031408323131005HX0F,2022/12/16,17:00,0.075,Real,</t>
  </si>
  <si>
    <t>ES0031408323131005HX0F,2022/12/16,18:00,0.015,Real,</t>
  </si>
  <si>
    <t>ES0031408323131005HX0F,2022/12/16,19:00,0.12,Real,</t>
  </si>
  <si>
    <t>ES0031408323131005HX0F,2022/12/16,20:00,0.452,Real,</t>
  </si>
  <si>
    <t>ES0031408323131005HX0F,2022/12/16,21:00,0.105,Real,</t>
  </si>
  <si>
    <t>ES0031408323131005HX0F,2022/12/16,22:00,1.746,Real,</t>
  </si>
  <si>
    <t>ES0031408323131005HX0F,2022/12/16,23:00,1.858,Real,</t>
  </si>
  <si>
    <t>ES0031408323131005HX0F,2022/12/16,24:00,1.374,Real,</t>
  </si>
  <si>
    <t>ES0031408323131005HX0F,2022/12/17,01:00,1.203,Real,</t>
  </si>
  <si>
    <t>ES0031408323131005HX0F,2022/12/17,02:00,1.148,Real,</t>
  </si>
  <si>
    <t>ES0031408323131005HX0F,2022/12/17,03:00,1.494,Real,</t>
  </si>
  <si>
    <t>ES0031408323131005HX0F,2022/12/17,04:00,1.211,Real,</t>
  </si>
  <si>
    <t>ES0031408323131005HX0F,2022/12/17,05:00,1.197,Real,</t>
  </si>
  <si>
    <t>ES0031408323131005HX0F,2022/12/17,06:00,1.138,Real,</t>
  </si>
  <si>
    <t>ES0031408323131005HX0F,2022/12/17,07:00,0.069,Real,</t>
  </si>
  <si>
    <t>ES0031408323131005HX0F,2022/12/17,08:00,0.295,Real,</t>
  </si>
  <si>
    <t>ES0031408323131005HX0F,2022/12/17,09:00,0.072,Real,</t>
  </si>
  <si>
    <t>ES0031408323131005HX0F,2022/12/17,10:00,0.017,Real,</t>
  </si>
  <si>
    <t>ES0031408323131005HX0F,2022/12/17,11:00,0.142,Real,</t>
  </si>
  <si>
    <t>ES0031408323131005HX0F,2022/12/17,12:00,0.07,Real,</t>
  </si>
  <si>
    <t>ES0031408323131005HX0F,2022/12/17,13:00,0.286,Real,</t>
  </si>
  <si>
    <t>ES0031408323131005HX0F,2022/12/17,14:00,0.121,Real,</t>
  </si>
  <si>
    <t>ES0031408323131005HX0F,2022/12/17,15:00,0.316,Real,</t>
  </si>
  <si>
    <t>ES0031408323131005HX0F,2022/12/17,16:00,0.801,Real,</t>
  </si>
  <si>
    <t>ES0031408323131005HX0F,2022/12/17,17:00,1.075,Real,</t>
  </si>
  <si>
    <t>ES0031408323131005HX0F,2022/12/17,18:00,0.892,Real,</t>
  </si>
  <si>
    <t>ES0031408323131005HX0F,2022/12/17,19:00,0.118,Real,</t>
  </si>
  <si>
    <t>ES0031408323131005HX0F,2022/12/17,20:00,0.414,Real,</t>
  </si>
  <si>
    <t>ES0031408323131005HX0F,2022/12/17,21:00,3.059,Real,</t>
  </si>
  <si>
    <t>ES0031408323131005HX0F,2022/12/17,22:00,1.546,Real,</t>
  </si>
  <si>
    <t>ES0031408323131005HX0F,2022/12/17,23:00,1.398,Real,</t>
  </si>
  <si>
    <t>ES0031408323131005HX0F,2022/12/17,24:00,1.16,Real,</t>
  </si>
  <si>
    <t>ES0031408323131005HX0F,2022/12/18,01:00,0.975,Real,</t>
  </si>
  <si>
    <t>ES0031408323131005HX0F,2022/12/18,02:00,1.215,Real,</t>
  </si>
  <si>
    <t>ES0031408323131005HX0F,2022/12/18,03:00,1.061,Real,</t>
  </si>
  <si>
    <t>ES0031408323131005HX0F,2022/12/18,04:00,0.996,Real,</t>
  </si>
  <si>
    <t>ES0031408323131005HX0F,2022/12/18,05:00,0.963,Real,</t>
  </si>
  <si>
    <t>ES0031408323131005HX0F,2022/12/18,06:00,0.942,Real,</t>
  </si>
  <si>
    <t>ES0031408323131005HX0F,2022/12/18,07:00,1.015,Real,</t>
  </si>
  <si>
    <t>ES0031408323131005HX0F,2022/12/18,08:00,1.201,Real,</t>
  </si>
  <si>
    <t>ES0031408323131005HX0F,2022/12/18,09:00,0.997,Real,</t>
  </si>
  <si>
    <t>ES0031408323131005HX0F,2022/12/18,10:00,0.663,Real,</t>
  </si>
  <si>
    <t>ES0031408323131005HX0F,2022/12/18,11:00,1.638,Real,</t>
  </si>
  <si>
    <t>ES0031408323131005HX0F,2022/12/18,12:00,0.014,Real,</t>
  </si>
  <si>
    <t>ES0031408323131005HX0F,2022/12/18,13:00,0.076,Real,</t>
  </si>
  <si>
    <t>ES0031408323131005HX0F,2022/12/18,14:00,0.04,Real,</t>
  </si>
  <si>
    <t>ES0031408323131005HX0F,2022/12/18,15:00,0.753,Real,</t>
  </si>
  <si>
    <t>ES0031408323131005HX0F,2022/12/18,16:00,1.583,Real,</t>
  </si>
  <si>
    <t>ES0031408323131005HX0F,2022/12/18,17:00,1.428,Real,</t>
  </si>
  <si>
    <t>ES0031408323131005HX0F,2022/12/18,18:00,0.759,Real,</t>
  </si>
  <si>
    <t>ES0031408323131005HX0F,2022/12/18,19:00,0.076,Real,</t>
  </si>
  <si>
    <t>ES0031408323131005HX0F,2022/12/18,20:00,0.051,Real,</t>
  </si>
  <si>
    <t>ES0031408323131005HX0F,2022/12/18,21:00,0.014,Real,</t>
  </si>
  <si>
    <t>ES0031408323131005HX0F,2022/12/18,22:00,0.081,Real,</t>
  </si>
  <si>
    <t>ES0031408323131005HX0F,2022/12/18,23:00,0.959,Real,</t>
  </si>
  <si>
    <t>ES0031408323131005HX0F,2022/12/18,24:00,1.138,Real,</t>
  </si>
  <si>
    <t>ES0031408323131005HX0F,2022/12/19,01:00,1.122,Real,</t>
  </si>
  <si>
    <t>ES0031408323131005HX0F,2022/12/19,02:00,1.361,Real,</t>
  </si>
  <si>
    <t>ES0031408323131005HX0F,2022/12/19,03:00,1.105,Real,</t>
  </si>
  <si>
    <t>ES0031408323131005HX0F,2022/12/19,04:00,1.101,Real,</t>
  </si>
  <si>
    <t>ES0031408323131005HX0F,2022/12/19,05:00,1.081,Real,</t>
  </si>
  <si>
    <t>ES0031408323131005HX0F,2022/12/19,06:00,1.092,Real,</t>
  </si>
  <si>
    <t>ES0031408323131005HX0F,2022/12/19,07:00,1.134,Real,</t>
  </si>
  <si>
    <t>ES0031408323131005HX0F,2022/12/19,08:00,0.991,Real,</t>
  </si>
  <si>
    <t>ES0031408323131005HX0F,2022/12/19,09:00,0.438,Real,</t>
  </si>
  <si>
    <t>ES0031408323131005HX0F,2022/12/19,10:00,0.415,Real,</t>
  </si>
  <si>
    <t>ES0031408323131005HX0F,2022/12/19,11:00,0.555,Real,</t>
  </si>
  <si>
    <t>ES0031408323131005HX0F,2022/12/19,12:00,1.388,Real,</t>
  </si>
  <si>
    <t>ES0031408323131005HX0F,2022/12/19,13:00,0.865,Real,</t>
  </si>
  <si>
    <t>ES0031408323131005HX0F,2022/12/19,14:00,0.942,Real,</t>
  </si>
  <si>
    <t>ES0031408323131005HX0F,2022/12/19,15:00,0.028,Real,</t>
  </si>
  <si>
    <t>ES0031408323131005HX0F,2022/12/19,16:00,0.081,Real,</t>
  </si>
  <si>
    <t>ES0031408323131005HX0F,2022/12/19,17:00,0.06,Real,</t>
  </si>
  <si>
    <t>ES0031408323131005HX0F,2022/12/19,18:00,0.289,Real,</t>
  </si>
  <si>
    <t>ES0031408323131005HX0F,2022/12/19,19:00,0.093,Real,</t>
  </si>
  <si>
    <t>ES0031408323131005HX0F,2022/12/19,20:00,0.05,Real,</t>
  </si>
  <si>
    <t>ES0031408323131005HX0F,2022/12/19,21:00,0.015,Real,</t>
  </si>
  <si>
    <t>ES0031408323131005HX0F,2022/12/19,22:00,0.172,Real,</t>
  </si>
  <si>
    <t>ES0031408323131005HX0F,2022/12/19,23:00,0.663,Real,</t>
  </si>
  <si>
    <t>ES0031408323131005HX0F,2022/12/19,24:00,1.02,Real,</t>
  </si>
  <si>
    <t>ES0031408323131005HX0F,2022/12/20,01:00,0.816,Real,</t>
  </si>
  <si>
    <t>ES0031408323131005HX0F,2022/12/20,02:00,0.745,Real,</t>
  </si>
  <si>
    <t>ES0031408323131005HX0F,2022/12/20,03:00,1.087,Real,</t>
  </si>
  <si>
    <t>ES0031408323131005HX0F,2022/12/20,04:00,0.773,Real,</t>
  </si>
  <si>
    <t>ES0031408323131005HX0F,2022/12/20,05:00,0.751,Real,</t>
  </si>
  <si>
    <t>ES0031408323131005HX0F,2022/12/20,06:00,0.814,Real,</t>
  </si>
  <si>
    <t>ES0031408323131005HX0F,2022/12/20,07:00,0.75,Real,</t>
  </si>
  <si>
    <t>ES0031408323131005HX0F,2022/12/20,08:00,0.783,Real,</t>
  </si>
  <si>
    <t>ES0031408323131005HX0F,2022/12/20,09:00,0.875,Real,</t>
  </si>
  <si>
    <t>ES0031408323131005HX0F,2022/12/20,10:00,1.05,Real,</t>
  </si>
  <si>
    <t>ES0031408323131005HX0F,2022/12/20,11:00,0.234,Real,</t>
  </si>
  <si>
    <t>ES0031408323131005HX0F,2022/12/20,12:00,0.068,Real,</t>
  </si>
  <si>
    <t>ES0031408323131005HX0F,2022/12/20,13:00,0.334,Real,</t>
  </si>
  <si>
    <t>ES0031408323131005HX0F,2022/12/20,14:00,0.965,Real,</t>
  </si>
  <si>
    <t>ES0031408323131005HX0F,2022/12/20,15:00,0.36,Real,</t>
  </si>
  <si>
    <t>ES0031408323131005HX0F,2022/12/20,16:00,0.026,Real,</t>
  </si>
  <si>
    <t>ES0031408323131005HX0F,2022/12/20,17:00,0.089,Real,</t>
  </si>
  <si>
    <t>ES0031408323131005HX0F,2022/12/20,18:00,0.023,Real,</t>
  </si>
  <si>
    <t>ES0031408323131005HX0F,2022/12/20,19:00,0.066,Real,</t>
  </si>
  <si>
    <t>ES0031408323131005HX0F,2022/12/20,20:00,0.052,Real,</t>
  </si>
  <si>
    <t>ES0031408323131005HX0F,2022/12/20,21:00,0.295,Real,</t>
  </si>
  <si>
    <t>ES0031408323131005HX0F,2022/12/20,22:00,0.107,Real,</t>
  </si>
  <si>
    <t>ES0031408323131005HX0F,2022/12/20,23:00,0.927,Real,</t>
  </si>
  <si>
    <t>ES0031408323131005HX0F,2022/12/20,24:00,1.326,Real,</t>
  </si>
  <si>
    <t>ES0031408323131005HX0F,2022/12/21,01:00,1.444,Real,</t>
  </si>
  <si>
    <t>ES0031408323131005HX0F,2022/12/21,02:00,1.117,Real,</t>
  </si>
  <si>
    <t>ES0031408323131005HX0F,2022/12/21,03:00,1.19,Real,</t>
  </si>
  <si>
    <t>ES0031408323131005HX0F,2022/12/21,04:00,1.119,Real,</t>
  </si>
  <si>
    <t>ES0031408323131005HX0F,2022/12/21,05:00,0.984,Real,</t>
  </si>
  <si>
    <t>ES0031408323131005HX0F,2022/12/21,06:00,0.918,Real,</t>
  </si>
  <si>
    <t>ES0031408323131005HX0F,2022/12/21,07:00,0.846,Real,</t>
  </si>
  <si>
    <t>ES0031408323131005HX0F,2022/12/21,08:00,1.009,Real,</t>
  </si>
  <si>
    <t>ES0031408323131005HX0F,2022/12/21,09:00,0.032,Real,</t>
  </si>
  <si>
    <t>ES0031408323131005HX0F,2022/12/21,10:00,0.069,Real,</t>
  </si>
  <si>
    <t>ES0031408323131005HX0F,2022/12/21,11:00,0.047,Real,</t>
  </si>
  <si>
    <t>ES0031408323131005HX0F,2022/12/21,12:00,0.015,Real,</t>
  </si>
  <si>
    <t>ES0031408323131005HX0F,2022/12/21,13:00,0.339,Real,</t>
  </si>
  <si>
    <t>ES0031408323131005HX0F,2022/12/21,14:00,0.085,Real,</t>
  </si>
  <si>
    <t>ES0031408323131005HX0F,2022/12/21,15:00,1.28,Real,</t>
  </si>
  <si>
    <t>ES0031408323131005HX0F,2022/12/21,16:00,0.34,Real,</t>
  </si>
  <si>
    <t>ES0031408323131005HX0F,2022/12/21,17:00,1.168,Real,</t>
  </si>
  <si>
    <t>ES0031408323131005HX0F,2022/12/21,18:00,0.078,Real,</t>
  </si>
  <si>
    <t>ES0031408323131005HX0F,2022/12/21,19:00,0.06,Real,</t>
  </si>
  <si>
    <t>ES0031408323131005HX0F,2022/12/21,20:00,0.279,Real,</t>
  </si>
  <si>
    <t>ES0031408323131005HX0F,2022/12/21,21:00,0.104,Real,</t>
  </si>
  <si>
    <t>ES0031408323131005HX0F,2022/12/21,22:00,1.194,Real,</t>
  </si>
  <si>
    <t>ES0031408323131005HX0F,2022/12/21,23:00,1.767,Real,</t>
  </si>
  <si>
    <t>ES0031408323131005HX0F,2022/12/21,24:00,0.898,Real,</t>
  </si>
  <si>
    <t>ES0031408323131005HX0F,2022/12/22,01:00,0.781,Real,</t>
  </si>
  <si>
    <t>ES0031408323131005HX0F,2022/12/22,02:00,0.744,Real,</t>
  </si>
  <si>
    <t>ES0031408323131005HX0F,2022/12/22,03:00,0.819,Real,</t>
  </si>
  <si>
    <t>ES0031408323131005HX0F,2022/12/22,04:00,1.023,Real,</t>
  </si>
  <si>
    <t>ES0031408323131005HX0F,2022/12/22,05:00,0.74,Real,</t>
  </si>
  <si>
    <t>ES0031408323131005HX0F,2022/12/22,06:00,0.792,Real,</t>
  </si>
  <si>
    <t>ES0031408323131005HX0F,2022/12/22,07:00,0.76,Real,</t>
  </si>
  <si>
    <t>ES0031408323131005HX0F,2022/12/22,08:00,0.766,Real,</t>
  </si>
  <si>
    <t>ES0031408323131005HX0F,2022/12/22,09:00,0.837,Real,</t>
  </si>
  <si>
    <t>ES0031408323131005HX0F,2022/12/22,10:00,1.38,Real,</t>
  </si>
  <si>
    <t>ES0031408323131005HX0F,2022/12/22,11:00,0.432,Real,</t>
  </si>
  <si>
    <t>ES0031408323131005HX0F,2022/12/22,12:00,0.96,Real,</t>
  </si>
  <si>
    <t>ES0031408323131005HX0F,2022/12/22,13:00,2.037,Real,</t>
  </si>
  <si>
    <t>ES0031408323131005HX0F,2022/12/22,14:00,0.047,Real,</t>
  </si>
  <si>
    <t>ES0031408323131005HX0F,2022/12/22,15:00,0.017,Real,</t>
  </si>
  <si>
    <t>ES0031408323131005HX0F,2022/12/22,16:00,0.076,Real,</t>
  </si>
  <si>
    <t>ES0031408323131005HX0F,2022/12/22,17:00,0.117,Real,</t>
  </si>
  <si>
    <t>ES0031408323131005HX0F,2022/12/22,18:00,0.292,Real,</t>
  </si>
  <si>
    <t>ES0031408323131005HX0F,2022/12/22,19:00,0.091,Real,</t>
  </si>
  <si>
    <t>ES0031408323131005HX0F,2022/12/22,20:00,0.048,Real,</t>
  </si>
  <si>
    <t>ES0031408323131005HX0F,2022/12/22,21:00,0.045,Real,</t>
  </si>
  <si>
    <t>ES0031408323131005HX0F,2022/12/22,22:00,0.078,Real,</t>
  </si>
  <si>
    <t>ES0031408323131005HX0F,2022/12/22,23:00,0.1,Real,</t>
  </si>
  <si>
    <t>ES0031408323131005HX0F,2022/12/22,24:00,1.367,Real,</t>
  </si>
  <si>
    <t>ES0031408323131005HX0F,2022/12/23,01:00,2.089,Real,</t>
  </si>
  <si>
    <t>ES0031408323131005HX0F,2022/12/23,02:00,0.758,Real,</t>
  </si>
  <si>
    <t>ES0031408323131005HX0F,2022/12/23,03:00,0.823,Real,</t>
  </si>
  <si>
    <t>ES0031408323131005HX0F,2022/12/23,04:00,0.77,Real,</t>
  </si>
  <si>
    <t>ES0031408323131005HX0F,2022/12/23,05:00,0.78,Real,</t>
  </si>
  <si>
    <t>ES0031408323131005HX0F,2022/12/23,06:00,0.78,Real,</t>
  </si>
  <si>
    <t>ES0031408323131005HX0F,2022/12/23,07:00,0.999,Real,</t>
  </si>
  <si>
    <t>ES0031408323131005HX0F,2022/12/23,08:00,0.796,Real,</t>
  </si>
  <si>
    <t>ES0031408323131005HX0F,2022/12/23,09:00,0.686,Real,</t>
  </si>
  <si>
    <t>ES0031408323131005HX0F,2022/12/23,10:00,0.093,Real,</t>
  </si>
  <si>
    <t>ES0031408323131005HX0F,2022/12/23,11:00,0.069,Real,</t>
  </si>
  <si>
    <t>ES0031408323131005HX0F,2022/12/23,12:00,0.321,Real,</t>
  </si>
  <si>
    <t>ES0031408323131005HX0F,2022/12/23,13:00,0.663,Real,</t>
  </si>
  <si>
    <t>ES0031408323131005HX0F,2022/12/23,14:00,0.045,Real,</t>
  </si>
  <si>
    <t>ES0031408323131005HX0F,2022/12/23,15:00,0.033,Real,</t>
  </si>
  <si>
    <t>ES0031408323131005HX0F,2022/12/23,16:00,0.075,Real,</t>
  </si>
  <si>
    <t>ES0031408323131005HX0F,2022/12/23,17:00,0.267,Real,</t>
  </si>
  <si>
    <t>ES0031408323131005HX0F,2022/12/23,18:00,0.096,Real,</t>
  </si>
  <si>
    <t>ES0031408323131005HX0F,2022/12/23,19:00,0.057,Real,</t>
  </si>
  <si>
    <t>ES0031408323131005HX0F,2022/12/23,20:00,0.015,Real,</t>
  </si>
  <si>
    <t>ES0031408323131005HX0F,2022/12/23,21:00,0.079,Real,</t>
  </si>
  <si>
    <t>ES0031408323131005HX0F,2022/12/23,22:00,0.112,Real,</t>
  </si>
  <si>
    <t>ES0031408323131005HX0F,2022/12/23,23:00,0.076,Real,</t>
  </si>
  <si>
    <t>ES0031408323131005HX0F,2022/12/23,24:00,0.537,Real,</t>
  </si>
  <si>
    <t>ES0031408323131005HX0F,2022/12/24,01:00,0.312,Real,</t>
  </si>
  <si>
    <t>ES0031408323131005HX0F,2022/12/24,02:00,0.371,Real,</t>
  </si>
  <si>
    <t>ES0031408323131005HX0F,2022/12/24,03:00,0.041,Real,</t>
  </si>
  <si>
    <t>ES0031408323131005HX0F,2022/12/24,04:00,0.062,Real,</t>
  </si>
  <si>
    <t>ES0031408323131005HX0F,2022/12/24,05:00,0.046,Real,</t>
  </si>
  <si>
    <t>ES0031408323131005HX0F,2022/12/24,06:00,0.324,Real,</t>
  </si>
  <si>
    <t>ES0031408323131005HX0F,2022/12/24,07:00,0.058,Real,</t>
  </si>
  <si>
    <t>ES0031408323131005HX0F,2022/12/24,08:00,0.015,Real,</t>
  </si>
  <si>
    <t>ES0031408323131005HX0F,2022/12/24,09:00,0.075,Real,</t>
  </si>
  <si>
    <t>ES0031408323131005HX0F,2022/12/24,10:00,0.15,Real,</t>
  </si>
  <si>
    <t>ES0031408323131005HX0F,2022/12/24,11:00,1.754,Real,</t>
  </si>
  <si>
    <t>ES0031408323131005HX0F,2022/12/24,12:00,0.073,Real,</t>
  </si>
  <si>
    <t>ES0031408323131005HX0F,2022/12/24,13:00,0.025,Real,</t>
  </si>
  <si>
    <t>ES0031408323131005HX0F,2022/12/24,14:00,0.073,Real,</t>
  </si>
  <si>
    <t>ES0031408323131005HX0F,2022/12/24,15:00,0.043,Real,</t>
  </si>
  <si>
    <t>ES0031408323131005HX0F,2022/12/24,16:00,0.026,Real,</t>
  </si>
  <si>
    <t>ES0031408323131005HX0F,2022/12/24,17:00,0.326,Real,</t>
  </si>
  <si>
    <t>ES0031408323131005HX0F,2022/12/24,18:00,0.031,Real,</t>
  </si>
  <si>
    <t>ES0031408323131005HX0F,2022/12/24,19:00,0.062,Real,</t>
  </si>
  <si>
    <t>ES0031408323131005HX0F,2022/12/24,20:00,0.053,Real,</t>
  </si>
  <si>
    <t>ES0031408323131005HX0F,2022/12/24,21:00,0.015,Real,</t>
  </si>
  <si>
    <t>ES0031408323131005HX0F,2022/12/24,22:00,0.073,Real,</t>
  </si>
  <si>
    <t>ES0031408323131005HX0F,2022/12/24,23:00,0.191,Real,</t>
  </si>
  <si>
    <t>ES0031408323131005HX0F,2022/12/24,24:00,0.187,Real,</t>
  </si>
  <si>
    <t>ES0031408323131005HX0F,2022/12/25,01:00,0.161,Real,</t>
  </si>
  <si>
    <t>ES0031408323131005HX0F,2022/12/25,02:00,1.74,Real,</t>
  </si>
  <si>
    <t>ES0031408323131005HX0F,2022/12/25,03:00,0.299,Real,</t>
  </si>
  <si>
    <t>ES0031408323131005HX0F,2022/12/25,04:00,0.058,Real,</t>
  </si>
  <si>
    <t>ES0031408323131005HX0F,2022/12/25,05:00,0.053,Real,</t>
  </si>
  <si>
    <t>ES0031408323131005HX0F,2022/12/25,06:00,0.073,Real,</t>
  </si>
  <si>
    <t>ES0031408323131005HX0F,2022/12/25,07:00,0.017,Real,</t>
  </si>
  <si>
    <t>ES0031408323131005HX0F,2022/12/25,08:00,0.354,Real,</t>
  </si>
  <si>
    <t>ES0031408323131005HX0F,2022/12/25,09:00,0.062,Real,</t>
  </si>
  <si>
    <t>ES0031408323131005HX0F,2022/12/25,10:00,0.043,Real,</t>
  </si>
  <si>
    <t>ES0031408323131005HX0F,2022/12/25,11:00,0.25,Real,</t>
  </si>
  <si>
    <t>ES0031408323131005HX0F,2022/12/25,12:00,0.567,Real,</t>
  </si>
  <si>
    <t>ES0031408323131005HX0F,2022/12/25,13:00,0.657,Real,</t>
  </si>
  <si>
    <t>ES0031408323131005HX0F,2022/12/25,14:00,0.957,Real,</t>
  </si>
  <si>
    <t>ES0031408323131005HX0F,2022/12/25,15:00,0.042,Real,</t>
  </si>
  <si>
    <t>ES0031408323131005HX0F,2022/12/25,16:00,0.075,Real,</t>
  </si>
  <si>
    <t>ES0031408323131005HX0F,2022/12/25,17:00,0.03,Real,</t>
  </si>
  <si>
    <t>ES0031408323131005HX0F,2022/12/25,18:00,0.327,Real,</t>
  </si>
  <si>
    <t>ES0031408323131005HX0F,2022/12/25,19:00,0.05,Real,</t>
  </si>
  <si>
    <t>ES0031408323131005HX0F,2022/12/25,20:00,0.279,Real,</t>
  </si>
  <si>
    <t>ES0031408323131005HX0F,2022/12/25,21:00,0.754,Real,</t>
  </si>
  <si>
    <t>ES0031408323131005HX0F,2022/12/25,22:00,1.297,Real,</t>
  </si>
  <si>
    <t>ES0031408323131005HX0F,2022/12/25,23:00,1.659,Real,</t>
  </si>
  <si>
    <t>ES0031408323131005HX0F,2022/12/25,24:00,0.895,Real,</t>
  </si>
  <si>
    <t>ES0031408323131005HX0F,2022/12/26,01:00,0.947,Real,</t>
  </si>
  <si>
    <t>ES0031408323131005HX0F,2022/12/26,02:00,0.388,Real,</t>
  </si>
  <si>
    <t>ES0031408323131005HX0F,2022/12/26,03:00,0.329,Real,</t>
  </si>
  <si>
    <t>ES0031408323131005HX0F,2022/12/26,04:00,0.084,Real,</t>
  </si>
  <si>
    <t>ES0031408323131005HX0F,2022/12/26,05:00,0.083,Real,</t>
  </si>
  <si>
    <t>ES0031408323131005HX0F,2022/12/26,06:00,0.089,Real,</t>
  </si>
  <si>
    <t>ES0031408323131005HX0F,2022/12/26,07:00,0.094,Real,</t>
  </si>
  <si>
    <t>ES0031408323131005HX0F,2022/12/26,08:00,0.123,Real,</t>
  </si>
  <si>
    <t>ES0031408323131005HX0F,2022/12/26,09:00,0.603,Real,</t>
  </si>
  <si>
    <t>ES0031408323131005HX0F,2022/12/26,10:00,0.045,Real,</t>
  </si>
  <si>
    <t>ES0031408323131005HX0F,2022/12/26,11:00,0.041,Real,</t>
  </si>
  <si>
    <t>ES0031408323131005HX0F,2022/12/26,12:00,0.151,Real,</t>
  </si>
  <si>
    <t>ES0031408323131005HX0F,2022/12/26,13:00,1.738,Real,</t>
  </si>
  <si>
    <t>ES0031408323131005HX0F,2022/12/26,14:00,0.536,Real,</t>
  </si>
  <si>
    <t>ES0031408323131005HX0F,2022/12/26,15:00,0.045,Real,</t>
  </si>
  <si>
    <t>ES0031408323131005HX0F,2022/12/26,16:00,0.038,Real,</t>
  </si>
  <si>
    <t>ES0031408323131005HX0F,2022/12/26,17:00,0.078,Real,</t>
  </si>
  <si>
    <t>ES0031408323131005HX0F,2022/12/26,18:00,0.018,Real,</t>
  </si>
  <si>
    <t>ES0031408323131005HX0F,2022/12/26,19:00,0.37,Real,</t>
  </si>
  <si>
    <t>ES0031408323131005HX0F,2022/12/26,20:00,0.416,Real,</t>
  </si>
  <si>
    <t>ES0031408323131005HX0F,2022/12/26,21:00,1.184,Real,</t>
  </si>
  <si>
    <t>ES0031408323131005HX0F,2022/12/26,22:00,2.143,Real,</t>
  </si>
  <si>
    <t>ES0031408323131005HX0F,2022/12/26,23:00,0.66,Real,</t>
  </si>
  <si>
    <t>ES0031408323131005HX0F,2022/12/26,24:00,1.938,Real,</t>
  </si>
  <si>
    <t>ES0031408323131005HX0F,2022/12/27,01:00,0.944,Real,</t>
  </si>
  <si>
    <t>ES0031408323131005HX0F,2022/12/27,02:00,0.994,Real,</t>
  </si>
  <si>
    <t>ES0031408323131005HX0F,2022/12/27,03:00,1.534,Real,</t>
  </si>
  <si>
    <t>ES0031408323131005HX0F,2022/12/27,04:00,1.192,Real,</t>
  </si>
  <si>
    <t>ES0031408323131005HX0F,2022/12/27,05:00,1.209,Real,</t>
  </si>
  <si>
    <t>ES0031408323131005HX0F,2022/12/27,06:00,1.217,Real,</t>
  </si>
  <si>
    <t>ES0031408323131005HX0F,2022/12/27,07:00,1.182,Real,</t>
  </si>
  <si>
    <t>ES0031408323131005HX0F,2022/12/27,08:00,1.235,Real,</t>
  </si>
  <si>
    <t>ES0031408323131005HX0F,2022/12/27,09:00,0.584,Real,</t>
  </si>
  <si>
    <t>ES0031408323131005HX0F,2022/12/27,10:00,0.378,Real,</t>
  </si>
  <si>
    <t>ES0031408323131005HX0F,2022/12/27,11:00,0.047,Real,</t>
  </si>
  <si>
    <t>ES0031408323131005HX0F,2022/12/27,12:00,0.032,Real,</t>
  </si>
  <si>
    <t>ES0031408323131005HX0F,2022/12/27,13:00,0.083,Real,</t>
  </si>
  <si>
    <t>ES0031408323131005HX0F,2022/12/27,14:00,0.018,Real,</t>
  </si>
  <si>
    <t>ES0031408323131005HX0F,2022/12/27,15:00,0.074,Real,</t>
  </si>
  <si>
    <t>ES0031408323131005HX0F,2022/12/27,16:00,0.043,Real,</t>
  </si>
  <si>
    <t>ES0031408323131005HX0F,2022/12/27,17:00,0.334,Real,</t>
  </si>
  <si>
    <t>ES0031408323131005HX0F,2022/12/27,18:00,0.082,Real,</t>
  </si>
  <si>
    <t>ES0031408323131005HX0F,2022/12/27,19:00,0.871,Real,</t>
  </si>
  <si>
    <t>ES0031408323131005HX0F,2022/12/27,20:00,1.295,Real,</t>
  </si>
  <si>
    <t>ES0031408323131005HX0F,2022/12/27,21:00,1.066,Real,</t>
  </si>
  <si>
    <t>ES0031408323131005HX0F,2022/12/27,22:00,1.583,Real,</t>
  </si>
  <si>
    <t>ES0031408323131005HX0F,2022/12/27,23:00,1.627,Real,</t>
  </si>
  <si>
    <t>ES0031408323131005HX0F,2022/12/27,24:00,0.848,Real,</t>
  </si>
  <si>
    <t>ES0031408323131005HX0F,2022/12/28,01:00,0.772,Real,</t>
  </si>
  <si>
    <t>ES0031408323131005HX0F,2022/12/28,02:00,0.787,Real,</t>
  </si>
  <si>
    <t>ES0031408323131005HX0F,2022/12/28,03:00,0.76,Real,</t>
  </si>
  <si>
    <t>ES0031408323131005HX0F,2022/12/28,04:00,1.076,Real,</t>
  </si>
  <si>
    <t>ES0031408323131005HX0F,2022/12/28,05:00,0.761,Real,</t>
  </si>
  <si>
    <t>ES0031408323131005HX0F,2022/12/28,06:00,0.757,Real,</t>
  </si>
  <si>
    <t>ES0031408323131005HX0F,2022/12/28,07:00,0.794,Real,</t>
  </si>
  <si>
    <t>ES0031408323131005HX0F,2022/12/28,08:00,0.747,Real,</t>
  </si>
  <si>
    <t>ES0031408323131005HX0F,2022/12/28,09:00,0.844,Real,</t>
  </si>
  <si>
    <t>ES0031408323131005HX0F,2022/12/28,10:00,0.809,Real,</t>
  </si>
  <si>
    <t>ES0031408323131005HX0F,2022/12/28,11:00,0.876,Real,</t>
  </si>
  <si>
    <t>ES0031408323131005HX0F,2022/12/28,12:00,0.887,Real,</t>
  </si>
  <si>
    <t>ES0031408323131005HX0F,2022/12/28,13:00,0.099,Real,</t>
  </si>
  <si>
    <t>ES0031408323131005HX0F,2022/12/28,14:00,0.448,Real,</t>
  </si>
  <si>
    <t>ES0031408323131005HX0F,2022/12/28,15:00,0.685,Real,</t>
  </si>
  <si>
    <t>ES0031408323131005HX0F,2022/12/28,16:00,1.132,Real,</t>
  </si>
  <si>
    <t>ES0031408323131005HX0F,2022/12/28,17:00,0.549,Real,</t>
  </si>
  <si>
    <t>ES0031408323131005HX0F,2022/12/28,18:00,1.692,Real,</t>
  </si>
  <si>
    <t>ES0031408323131005HX0F,2022/12/28,19:00,0.13,Real,</t>
  </si>
  <si>
    <t>ES0031408323131005HX0F,2022/12/28,20:00,0.847,Real,</t>
  </si>
  <si>
    <t>ES0031408323131005HX0F,2022/12/28,21:00,2.919,Real,</t>
  </si>
  <si>
    <t>ES0031408323131005HX0F,2022/12/28,22:00,1.69,Real,</t>
  </si>
  <si>
    <t>ES0031408323131005HX0F,2022/12/28,23:00,1.163,Real,</t>
  </si>
  <si>
    <t>ES0031408323131005HX0F,2022/12/28,24:00,0.86,Real,</t>
  </si>
  <si>
    <t>ES0031408323131005HX0F,2022/12/29,01:00,0.395,Real,</t>
  </si>
  <si>
    <t>ES0031408323131005HX0F,2022/12/29,02:00,0.035,Real,</t>
  </si>
  <si>
    <t>ES0031408323131005HX0F,2022/12/29,03:00,0.076,Real,</t>
  </si>
  <si>
    <t>ES0031408323131005HX0F,2022/12/29,04:00,0.315,Real,</t>
  </si>
  <si>
    <t>ES0031408323131005HX0F,2022/12/29,05:00,0.027,Real,</t>
  </si>
  <si>
    <t>ES0031408323131005HX0F,2022/12/29,06:00,0.049,Real,</t>
  </si>
  <si>
    <t>ES0031408323131005HX0F,2022/12/29,07:00,0.066,Real,</t>
  </si>
  <si>
    <t>ES0031408323131005HX0F,2022/12/29,08:00,0.023,Real,</t>
  </si>
  <si>
    <t>ES0031408323131005HX0F,2022/12/29,09:00,0.049,Real,</t>
  </si>
  <si>
    <t>ES0031408323131005HX0F,2022/12/29,10:00,0.073,Real,</t>
  </si>
  <si>
    <t>ES0031408323131005HX0F,2022/12/29,11:00,0.317,Real,</t>
  </si>
  <si>
    <t>ES0031408323131005HX0F,2022/12/29,12:00,0.569,Real,</t>
  </si>
  <si>
    <t>ES0031408323131005HX0F,2022/12/29,13:00,0.436,Real,</t>
  </si>
  <si>
    <t>ES0031408323131005HX0F,2022/12/29,14:00,0.194,Real,</t>
  </si>
  <si>
    <t>ES0031408323131005HX0F,2022/12/29,15:00,1.917,Real,</t>
  </si>
  <si>
    <t>ES0031408323131005HX0F,2022/12/29,16:00,1.04,Real,</t>
  </si>
  <si>
    <t>ES0031408323131005HX0F,2022/12/29,17:00,1.189,Real,</t>
  </si>
  <si>
    <t>ES0031408323131005HX0F,2022/12/29,18:00,0.892,Real,</t>
  </si>
  <si>
    <t>ES0031408323131005HX0F,2022/12/29,19:00,1.223,Real,</t>
  </si>
  <si>
    <t>ES0031408323131005HX0F,2022/12/29,20:00,1.109,Real,</t>
  </si>
  <si>
    <t>ES0031408323131005HX0F,2022/12/29,21:00,0.015,Real,</t>
  </si>
  <si>
    <t>ES0031408323131005HX0F,2022/12/29,22:00,0.253,Real,</t>
  </si>
  <si>
    <t>ES0031408323131005HX0F,2022/12/29,23:00,1.83,Real,</t>
  </si>
  <si>
    <t>ES0031408323131005HX0F,2022/12/29,24:00,0.555,Real,</t>
  </si>
  <si>
    <t>ES0031408323131005HX0F,2022/12/30,01:00,0.332,Real,</t>
  </si>
  <si>
    <t>ES0031408323131005HX0F,2022/12/30,02:00,0.309,Real,</t>
  </si>
  <si>
    <t>ES0031408323131005HX0F,2022/12/30,03:00,0.298,Real,</t>
  </si>
  <si>
    <t>ES0031408323131005HX0F,2022/12/30,04:00,0.322,Real,</t>
  </si>
  <si>
    <t>ES0031408323131005HX0F,2022/12/30,05:00,0.313,Real,</t>
  </si>
  <si>
    <t>ES0031408323131005HX0F,2022/12/30,06:00,0.272,Real,</t>
  </si>
  <si>
    <t>ES0031408323131005HX0F,2022/12/30,07:00,0.585,Real,</t>
  </si>
  <si>
    <t>ES0031408323131005HX0F,2022/12/30,08:00,0.548,Real,</t>
  </si>
  <si>
    <t>ES0031408323131005HX0F,2022/12/30,09:00,1.072,Real,</t>
  </si>
  <si>
    <t>ES0031408323131005HX0F,2022/12/30,10:00,0.08,Real,</t>
  </si>
  <si>
    <t>ES0031408323131005HX0F,2022/12/30,11:00,0.042,Real,</t>
  </si>
  <si>
    <t>ES0031408323131005HX0F,2022/12/30,12:00,0.018,Real,</t>
  </si>
  <si>
    <t>ES0031408323131005HX0F,2022/12/30,13:00,0.397,Real,</t>
  </si>
  <si>
    <t>ES0031408323131005HX0F,2022/12/30,14:00,0.043,Real,</t>
  </si>
  <si>
    <t>ES0031408323131005HX0F,2022/12/30,15:00,0.023,Real,</t>
  </si>
  <si>
    <t>ES0031408323131005HX0F,2022/12/30,16:00,0.074,Real,</t>
  </si>
  <si>
    <t>ES0031408323131005HX0F,2022/12/30,17:00,0.042,Real,</t>
  </si>
  <si>
    <t>ES0031408323131005HX0F,2022/12/30,18:00,0.024,Real,</t>
  </si>
  <si>
    <t>ES0031408323131005HX0F,2022/12/30,19:00,0.198,Real,</t>
  </si>
  <si>
    <t>ES0031408323131005HX0F,2022/12/30,20:00,1.734,Real,</t>
  </si>
  <si>
    <t>ES0031408323131005HX0F,2022/12/30,21:00,0.845,Real,</t>
  </si>
  <si>
    <t>ES0031408323131005HX0F,2022/12/30,22:00,2.01,Real,</t>
  </si>
  <si>
    <t>ES0031408323131005HX0F,2022/12/30,23:00,2.576,Real,</t>
  </si>
  <si>
    <t>ES0031408323131005HX0F,2022/12/30,24:00,1.303,Real,</t>
  </si>
  <si>
    <t>ES0031408323131005HX0F,2022/12/31,01:00,0.944,Real,</t>
  </si>
  <si>
    <t>ES0031408323131005HX0F,2022/12/31,02:00,0.59,Real,</t>
  </si>
  <si>
    <t>ES0031408323131005HX0F,2022/12/31,03:00,0.559,Real,</t>
  </si>
  <si>
    <t>ES0031408323131005HX0F,2022/12/31,04:00,0.828,Real,</t>
  </si>
  <si>
    <t>ES0031408323131005HX0F,2022/12/31,05:00,0.562,Real,</t>
  </si>
  <si>
    <t>ES0031408323131005HX0F,2022/12/31,06:00,0.54,Real,</t>
  </si>
  <si>
    <t>ES0031408323131005HX0F,2022/12/31,07:00,0.836,Real,</t>
  </si>
  <si>
    <t>ES0031408323131005HX0F,2022/12/31,08:00,1.534,Real,</t>
  </si>
  <si>
    <t>ES0031408323131005HX0F,2022/12/31,09:00,1.258,Real,</t>
  </si>
  <si>
    <t>ES0031408323131005HX0F,2022/12/31,10:00,1.287,Real,</t>
  </si>
  <si>
    <t>ES0031408323131005HX0F,2022/12/31,11:00,1.249,Real,</t>
  </si>
  <si>
    <t>ES0031408323131005HX0F,2022/12/31,12:00,1.206,Real,</t>
  </si>
  <si>
    <t>ES0031408323131005HX0F,2022/12/31,13:00,0.516,Real,</t>
  </si>
  <si>
    <t>ES0031408323131005HX0F,2022/12/31,14:00,0.043,Real,</t>
  </si>
  <si>
    <t>ES0031408323131005HX0F,2022/12/31,15:00,0.057,Real,</t>
  </si>
  <si>
    <t>ES0031408323131005HX0F,2022/12/31,16:00,0.056,Real,</t>
  </si>
  <si>
    <t>ES0031408323131005HX0F,2022/12/31,17:00,0.014,Real,</t>
  </si>
  <si>
    <t>ES0031408323131005HX0F,2022/12/31,18:00,0.945,Real,</t>
  </si>
  <si>
    <t>ES0031408323131005HX0F,2022/12/31,19:00,1.174,Real,</t>
  </si>
  <si>
    <t>ES0031408323131005HX0F,2022/12/31,20:00,2.113,Real,</t>
  </si>
  <si>
    <t>ES0031408323131005HX0F,2022/12/31,21:00,1.893,Real,</t>
  </si>
  <si>
    <t>ES0031408323131005HX0F,2022/12/31,22:00,0.137,Real,</t>
  </si>
  <si>
    <t>ES0031408323131005HX0F,2022/12/31,23:00,0.081,Real,</t>
  </si>
  <si>
    <t>ES0031408323131005HX0F,2022/12/31,24:00,0.105,Real,</t>
  </si>
  <si>
    <t>ES0031408323131005HX0F,2023/01/01,01:00,0.045,Real,</t>
  </si>
  <si>
    <t>ES0031408323131005HX0F,2023/01/01,02:00,0.932,Real,</t>
  </si>
  <si>
    <t>ES0031408323131005HX0F,2023/01/01,03:00,1.079,Real,</t>
  </si>
  <si>
    <t>ES0031408323131005HX0F,2023/01/01,04:00,1.089,Real,</t>
  </si>
  <si>
    <t>ES0031408323131005HX0F,2023/01/01,05:00,0.912,Real,</t>
  </si>
  <si>
    <t>ES0031408323131005HX0F,2023/01/01,06:00,0.923,Real,</t>
  </si>
  <si>
    <t>ES0031408323131005HX0F,2023/01/01,07:00,0.88,Real,</t>
  </si>
  <si>
    <t>ES0031408323131005HX0F,2023/01/01,08:00,1.07,Real,</t>
  </si>
  <si>
    <t>ES0031408323131005HX0F,2023/01/01,09:00,1.243,Real,</t>
  </si>
  <si>
    <t>ES0031408323131005HX0F,2023/01/01,10:00,1.387,Real,</t>
  </si>
  <si>
    <t>ES0031408323131005HX0F,2023/01/01,11:00,1.34,Real,</t>
  </si>
  <si>
    <t>ES0031408323131005HX0F,2023/01/01,12:00,1.456,Real,</t>
  </si>
  <si>
    <t>ES0031408323131005HX0F,2023/01/01,13:00,0.777,Real,</t>
  </si>
  <si>
    <t>ES0031408323131005HX0F,2023/01/01,14:00,0.069,Real,</t>
  </si>
  <si>
    <t>ES0031408323131005HX0F,2023/01/01,15:00,1.306,Real,</t>
  </si>
  <si>
    <t>ES0031408323131005HX0F,2023/01/01,16:00,0.48,Real,</t>
  </si>
  <si>
    <t>ES0031408323131005HX0F,2023/01/01,17:00,0.072,Real,</t>
  </si>
  <si>
    <t>ES0031408323131005HX0F,2023/01/01,18:00,0.025,Real,</t>
  </si>
  <si>
    <t>ES0031408323131005HX0F,2023/01/01,19:00,0.299,Real,</t>
  </si>
  <si>
    <t>ES0031408323131005HX0F,2023/01/01,20:00,2.141,Real,</t>
  </si>
  <si>
    <t>ES0031408323131005HX0F,2023/01/01,21:00,0.825,Real,</t>
  </si>
  <si>
    <t>ES0031408323131005HX0F,2023/01/01,22:00,1.563,Real,</t>
  </si>
  <si>
    <t>ES0031408323131005HX0F,2023/01/01,23:00,0.939,Real,</t>
  </si>
  <si>
    <t>ES0031408323131005HX0F,2023/01/01,24:00,1.617,Real,</t>
  </si>
  <si>
    <t>ES0031408323131005HX0F,2023/01/02,01:00,1.785,Real,</t>
  </si>
  <si>
    <t>ES0031408323131005HX0F,2023/01/02,02:00,1.189,Real,</t>
  </si>
  <si>
    <t>ES0031408323131005HX0F,2023/01/02,03:00,1.306,Real,</t>
  </si>
  <si>
    <t>ES0031408323131005HX0F,2023/01/02,04:00,1.249,Real,</t>
  </si>
  <si>
    <t>ES0031408323131005HX0F,2023/01/02,05:00,1.251,Real,</t>
  </si>
  <si>
    <t>ES0031408323131005HX0F,2023/01/02,06:00,1.147,Real,</t>
  </si>
  <si>
    <t>ES0031408323131005HX0F,2023/01/02,07:00,1.245,Real,</t>
  </si>
  <si>
    <t>ES0031408323131005HX0F,2023/01/02,08:00,1.305,Real,</t>
  </si>
  <si>
    <t>ES0031408323131005HX0F,2023/01/02,09:00,1.478,Real,</t>
  </si>
  <si>
    <t>ES0031408323131005HX0F,2023/01/02,10:00,1.317,Real,</t>
  </si>
  <si>
    <t>ES0031408323131005HX0F,2023/01/02,11:00,1.212,Real,</t>
  </si>
  <si>
    <t>ES0031408323131005HX0F,2023/01/02,12:00,0.525,Real,</t>
  </si>
  <si>
    <t>ES0031408323131005HX0F,2023/01/02,13:00,1.281,Real,</t>
  </si>
  <si>
    <t>ES0031408323131005HX0F,2023/01/02,14:00,0.243,Real,</t>
  </si>
  <si>
    <t>ES0031408323131005HX0F,2023/01/02,15:00,0.091,Real,</t>
  </si>
  <si>
    <t>ES0031408323131005HX0F,2023/01/02,16:00,0.058,Real,</t>
  </si>
  <si>
    <t>ES0031408323131005HX0F,2023/01/02,17:00,0.017,Real,</t>
  </si>
  <si>
    <t>ES0031408323131005HX0F,2023/01/02,18:00,0.084,Real,</t>
  </si>
  <si>
    <t>ES0031408323131005HX0F,2023/01/02,19:00,0.341,Real,</t>
  </si>
  <si>
    <t>ES0031408323131005HX0F,2023/01/02,20:00,0.016,Real,</t>
  </si>
  <si>
    <t>ES0031408323131005HX0F,2023/01/02,21:00,0.082,Real,</t>
  </si>
  <si>
    <t>ES0031408323131005HX0F,2023/01/02,22:00,0.044,Real,</t>
  </si>
  <si>
    <t>ES0031408323131005HX0F,2023/01/02,23:00,1.161,Real,</t>
  </si>
  <si>
    <t>ES0031408323131005HX0F,2023/01/02,24:00,0.961,Real,</t>
  </si>
  <si>
    <t>ES0031408323131005HX0F,2023/01/03,01:00,0.833,Real,</t>
  </si>
  <si>
    <t>ES0031408323131005HX0F,2023/01/03,02:00,1.03,Real,</t>
  </si>
  <si>
    <t>ES0031408323131005HX0F,2023/01/03,03:00,0.79,Real,</t>
  </si>
  <si>
    <t>ES0031408323131005HX0F,2023/01/03,04:00,0.743,Real,</t>
  </si>
  <si>
    <t>ES0031408323131005HX0F,2023/01/03,05:00,0.817,Real,</t>
  </si>
  <si>
    <t>ES0031408323131005HX0F,2023/01/03,06:00,0.772,Real,</t>
  </si>
  <si>
    <t>ES0031408323131005HX0F,2023/01/03,07:00,0.78,Real,</t>
  </si>
  <si>
    <t>ES0031408323131005HX0F,2023/01/03,08:00,0.809,Real,</t>
  </si>
  <si>
    <t>ES0031408323131005HX0F,2023/01/03,09:00,1.154,Real,</t>
  </si>
  <si>
    <t>ES0031408323131005HX0F,2023/01/03,10:00,0.809,Real,</t>
  </si>
  <si>
    <t>ES0031408323131005HX0F,2023/01/03,11:00,0.231,Real,</t>
  </si>
  <si>
    <t>ES0031408323131005HX0F,2023/01/03,12:00,0.084,Real,</t>
  </si>
  <si>
    <t>ES0031408323131005HX0F,2023/01/03,13:00,0.379,Real,</t>
  </si>
  <si>
    <t>ES0031408323131005HX0F,2023/01/03,14:00,0.408,Real,</t>
  </si>
  <si>
    <t>ES0031408323131005HX0F,2023/01/03,15:00,1.577,Real,</t>
  </si>
  <si>
    <t>ES0031408323131005HX0F,2023/01/03,16:00,0.828,Real,</t>
  </si>
  <si>
    <t>ES0031408323131005HX0F,2023/01/03,17:00,0.022,Real,</t>
  </si>
  <si>
    <t>ES0031408323131005HX0F,2023/01/03,18:00,0.094,Real,</t>
  </si>
  <si>
    <t>ES0031408323131005HX0F,2023/01/03,19:00,0.05,Real,</t>
  </si>
  <si>
    <t>ES0031408323131005HX0F,2023/01/03,20:00,0.016,Real,</t>
  </si>
  <si>
    <t>ES0031408323131005HX0F,2023/01/03,21:00,0.358,Real,</t>
  </si>
  <si>
    <t>ES0031408323131005HX0F,2023/01/03,22:00,0.057,Real,</t>
  </si>
  <si>
    <t>ES0031408323131005HX0F,2023/01/03,23:00,1.329,Real,</t>
  </si>
  <si>
    <t>ES0031408323131005HX0F,2023/01/03,24:00,0.984,Real,</t>
  </si>
  <si>
    <t>ES0031408323131005HX0F,2023/01/04,01:00,0.782,Real,</t>
  </si>
  <si>
    <t>ES0031408323131005HX0F,2023/01/04,02:00,0.755,Real,</t>
  </si>
  <si>
    <t>ES0031408323131005HX0F,2023/01/04,03:00,0.786,Real,</t>
  </si>
  <si>
    <t>ES0031408323131005HX0F,2023/01/04,04:00,1.071,Real,</t>
  </si>
  <si>
    <t>ES0031408323131005HX0F,2023/01/04,05:00,0.759,Real,</t>
  </si>
  <si>
    <t>ES0031408323131005HX0F,2023/01/04,06:00,0.754,Real,</t>
  </si>
  <si>
    <t>ES0031408323131005HX0F,2023/01/04,07:00,0.793,Real,</t>
  </si>
  <si>
    <t>ES0031408323131005HX0F,2023/01/04,08:00,0.765,Real,</t>
  </si>
  <si>
    <t>ES0031408323131005HX0F,2023/01/04,09:00,0.784,Real,</t>
  </si>
  <si>
    <t>ES0031408323131005HX0F,2023/01/04,10:00,0.475,Real,</t>
  </si>
  <si>
    <t>ES0031408323131005HX0F,2023/01/04,11:00,0.815,Real,</t>
  </si>
  <si>
    <t>ES0031408323131005HX0F,2023/01/04,12:00,0.062,Real,</t>
  </si>
  <si>
    <t>ES0031408323131005HX0F,2023/01/04,13:00,0.026,Real,</t>
  </si>
  <si>
    <t>ES0031408323131005HX0F,2023/01/04,14:00,0.378,Real,</t>
  </si>
  <si>
    <t>ES0031408323131005HX0F,2023/01/04,15:00,0.058,Real,</t>
  </si>
  <si>
    <t>ES0031408323131005HX0F,2023/01/04,16:00,0.015,Real,</t>
  </si>
  <si>
    <t>ES0031408323131005HX0F,2023/01/04,17:00,0.071,Real,</t>
  </si>
  <si>
    <t>ES0031408323131005HX0F,2023/01/04,18:00,0.055,Real,</t>
  </si>
  <si>
    <t>ES0031408323131005HX0F,2023/01/04,19:00,0.015,Real,</t>
  </si>
  <si>
    <t>ES0031408323131005HX0F,2023/01/04,20:00,0.358,Real,</t>
  </si>
  <si>
    <t>ES0031408323131005HX0F,2023/01/04,21:00,0.058,Real,</t>
  </si>
  <si>
    <t>ES0031408323131005HX0F,2023/01/04,22:00,0.015,Real,</t>
  </si>
  <si>
    <t>ES0031408323131005HX0F,2023/01/04,23:00,0.623,Real,</t>
  </si>
  <si>
    <t>ES0031408323131005HX0F,2023/01/04,24:00,1.83,Real,</t>
  </si>
  <si>
    <t>ES0031408323131005HX0F,2023/01/05,01:00,1.271,Real,</t>
  </si>
  <si>
    <t>ES0031408323131005HX0F,2023/01/05,02:00,1.384,Real,</t>
  </si>
  <si>
    <t>ES0031408323131005HX0F,2023/01/05,03:00,1.384,Real,</t>
  </si>
  <si>
    <t>ES0031408323131005HX0F,2023/01/05,04:00,1.223,Real,</t>
  </si>
  <si>
    <t>ES0031408323131005HX0F,2023/01/05,05:00,1.197,Real,</t>
  </si>
  <si>
    <t>ES0031408323131005HX0F,2023/01/05,06:00,1.267,Real,</t>
  </si>
  <si>
    <t>ES0031408323131005HX0F,2023/01/05,07:00,1.204,Real,</t>
  </si>
  <si>
    <t>ES0031408323131005HX0F,2023/01/05,08:00,0.469,Real,</t>
  </si>
  <si>
    <t>ES0031408323131005HX0F,2023/01/05,09:00,0.894,Real,</t>
  </si>
  <si>
    <t>ES0031408323131005HX0F,2023/01/05,10:00,0.53,Real,</t>
  </si>
  <si>
    <t>ES0031408323131005HX0F,2023/01/05,11:00,0.54,Real,</t>
  </si>
  <si>
    <t>ES0031408323131005HX0F,2023/01/05,12:00,1.152,Real,</t>
  </si>
  <si>
    <t>ES0031408323131005HX0F,2023/01/05,13:00,1.114,Real,</t>
  </si>
  <si>
    <t>ES0031408323131005HX0F,2023/01/05,14:00,0.077,Real,</t>
  </si>
  <si>
    <t>ES0031408323131005HX0F,2023/01/05,15:00,0.414,Real,</t>
  </si>
  <si>
    <t>ES0031408323131005HX0F,2023/01/05,16:00,0.242,Real,</t>
  </si>
  <si>
    <t>ES0031408323131005HX0F,2023/01/05,17:00,0.19,Real,</t>
  </si>
  <si>
    <t>ES0031408323131005HX0F,2023/01/05,18:00,1.529,Real,</t>
  </si>
  <si>
    <t>ES0031408323131005HX0F,2023/01/05,19:00,0.065,Real,</t>
  </si>
  <si>
    <t>ES0031408323131005HX0F,2023/01/05,20:00,0.069,Real,</t>
  </si>
  <si>
    <t>ES0031408323131005HX0F,2023/01/05,21:00,0.045,Real,</t>
  </si>
  <si>
    <t>ES0031408323131005HX0F,2023/01/05,22:00,0.031,Real,</t>
  </si>
  <si>
    <t>ES0031408323131005HX0F,2023/01/05,23:00,0.355,Real,</t>
  </si>
  <si>
    <t>ES0031408323131005HX0F,2023/01/05,24:00,0.049,Real,</t>
  </si>
  <si>
    <t>ES0031408323131005HX0F,2023/01/06,01:00,0.831,Real,</t>
  </si>
  <si>
    <t>ES0031408323131005HX0F,2023/01/06,02:00,1.223,Real,</t>
  </si>
  <si>
    <t>ES0031408323131005HX0F,2023/01/06,03:00,1.211,Real,</t>
  </si>
  <si>
    <t>ES0031408323131005HX0F,2023/01/06,04:00,1.311,Real,</t>
  </si>
  <si>
    <t>ES0031408323131005HX0F,2023/01/06,05:00,1.635,Real,</t>
  </si>
  <si>
    <t>ES0031408323131005HX0F,2023/01/06,06:00,1.319,Real,</t>
  </si>
  <si>
    <t>ES0031408323131005HX0F,2023/01/06,07:00,1.311,Real,</t>
  </si>
  <si>
    <t>ES0031408323131005HX0F,2023/01/06,08:00,1.361,Real,</t>
  </si>
  <si>
    <t>ES0031408323131005HX0F,2023/01/06,09:00,1.353,Real,</t>
  </si>
  <si>
    <t>ES0031408323131005HX0F,2023/01/06,10:00,1.293,Real,</t>
  </si>
  <si>
    <t>ES0031408323131005HX0F,2023/01/06,11:00,1.489,Real,</t>
  </si>
  <si>
    <t>ES0031408323131005HX0F,2023/01/06,12:00,0.755,Real,</t>
  </si>
  <si>
    <t>ES0031408323131005HX0F,2023/01/06,13:00,2.025,Real,</t>
  </si>
  <si>
    <t>ES0031408323131005HX0F,2023/01/06,14:00,1.682,Real,</t>
  </si>
  <si>
    <t>ES0031408323131005HX0F,2023/01/06,15:00,0.196,Real,</t>
  </si>
  <si>
    <t>ES0031408323131005HX0F,2023/01/06,16:00,0.039,Real,</t>
  </si>
  <si>
    <t>ES0031408323131005HX0F,2023/01/06,17:00,0.029,Real,</t>
  </si>
  <si>
    <t>ES0031408323131005HX0F,2023/01/06,18:00,0.114,Real,</t>
  </si>
  <si>
    <t>ES0031408323131005HX0F,2023/01/06,19:00,0.554,Real,</t>
  </si>
  <si>
    <t>ES0031408323131005HX0F,2023/01/06,20:00,1.279,Real,</t>
  </si>
  <si>
    <t>ES0031408323131005HX0F,2023/01/06,21:00,0.845,Real,</t>
  </si>
  <si>
    <t>ES0031408323131005HX0F,2023/01/06,22:00,1.638,Real,</t>
  </si>
  <si>
    <t>ES0031408323131005HX0F,2023/01/06,23:00,1.333,Real,</t>
  </si>
  <si>
    <t>ES0031408323131005HX0F,2023/01/06,24:00,1.556,Real,</t>
  </si>
  <si>
    <t>ES0031408323131005HX0F,2023/01/07,01:00,0.629,Real,</t>
  </si>
  <si>
    <t>ES0031408323131005HX0F,2023/01/07,02:00,0.624,Real,</t>
  </si>
  <si>
    <t>ES0031408323131005HX0F,2023/01/07,03:00,0.901,Real,</t>
  </si>
  <si>
    <t>ES0031408323131005HX0F,2023/01/07,04:00,0.646,Real,</t>
  </si>
  <si>
    <t>ES0031408323131005HX0F,2023/01/07,05:00,0.616,Real,</t>
  </si>
  <si>
    <t>ES0031408323131005HX0F,2023/01/07,06:00,0.605,Real,</t>
  </si>
  <si>
    <t>ES0031408323131005HX0F,2023/01/07,07:00,0.599,Real,</t>
  </si>
  <si>
    <t>ES0031408323131005HX0F,2023/01/07,08:00,0.634,Real,</t>
  </si>
  <si>
    <t>ES0031408323131005HX0F,2023/01/07,09:00,0.868,Real,</t>
  </si>
  <si>
    <t>ES0031408323131005HX0F,2023/01/07,10:00,0.626,Real,</t>
  </si>
  <si>
    <t>ES0031408323131005HX0F,2023/01/07,11:00,0.828,Real,</t>
  </si>
  <si>
    <t>ES0031408323131005HX0F,2023/01/07,12:00,0.793,Real,</t>
  </si>
  <si>
    <t>ES0031408323131005HX0F,2023/01/07,13:00,0.866,Real,</t>
  </si>
  <si>
    <t>ES0031408323131005HX0F,2023/01/07,14:00,2.369,Real,</t>
  </si>
  <si>
    <t>ES0031408323131005HX0F,2023/01/07,15:00,0.359,Real,</t>
  </si>
  <si>
    <t>ES0031408323131005HX0F,2023/01/07,16:00,0.096,Real,</t>
  </si>
  <si>
    <t>ES0031408323131005HX0F,2023/01/07,17:00,0.028,Real,</t>
  </si>
  <si>
    <t>ES0031408323131005HX0F,2023/01/07,18:00,0.015,Real,</t>
  </si>
  <si>
    <t>ES0031408323131005HX0F,2023/01/07,19:00,0.075,Real,</t>
  </si>
  <si>
    <t>ES0031408323131005HX0F,2023/01/07,20:00,0.364,Real,</t>
  </si>
  <si>
    <t>ES0031408323131005HX0F,2023/01/07,21:00,0.05,Real,</t>
  </si>
  <si>
    <t>ES0031408323131005HX0F,2023/01/07,22:00,0.015,Real,</t>
  </si>
  <si>
    <t>ES0031408323131005HX0F,2023/01/07,23:00,0.014,Real,</t>
  </si>
  <si>
    <t>ES0031408323131005HX0F,2023/01/07,24:00,0.085,Real,</t>
  </si>
  <si>
    <t>ES0031408323131005HX0F,2023/01/08,01:00,0.039,Real,</t>
  </si>
  <si>
    <t>ES0031408323131005HX0F,2023/01/08,02:00,0.578,Real,</t>
  </si>
  <si>
    <t>ES0031408323131005HX0F,2023/01/08,03:00,0.872,Real,</t>
  </si>
  <si>
    <t>ES0031408323131005HX0F,2023/01/08,04:00,0.78,Real,</t>
  </si>
  <si>
    <t>ES0031408323131005HX0F,2023/01/08,05:00,0.763,Real,</t>
  </si>
  <si>
    <t>ES0031408323131005HX0F,2023/01/08,06:00,0.765,Real,</t>
  </si>
  <si>
    <t>ES0031408323131005HX0F,2023/01/08,07:00,0.816,Real,</t>
  </si>
  <si>
    <t>ES0031408323131005HX0F,2023/01/08,08:00,1.041,Real,</t>
  </si>
  <si>
    <t>ES0031408323131005HX0F,2023/01/08,09:00,0.738,Real,</t>
  </si>
  <si>
    <t>ES0031408323131005HX0F,2023/01/08,10:00,0.628,Real,</t>
  </si>
  <si>
    <t>ES0031408323131005HX0F,2023/01/08,11:00,1.436,Real,</t>
  </si>
  <si>
    <t>ES0031408323131005HX0F,2023/01/08,12:00,0.393,Real,</t>
  </si>
  <si>
    <t>ES0031408323131005HX0F,2023/01/08,13:00,0.016,Real,</t>
  </si>
  <si>
    <t>ES0031408323131005HX0F,2023/01/08,14:00,0.621,Real,</t>
  </si>
  <si>
    <t>ES0031408323131005HX0F,2023/01/08,15:00,1.509,Real,</t>
  </si>
  <si>
    <t>ES0031408323131005HX0F,2023/01/08,16:00,0.73,Real,</t>
  </si>
  <si>
    <t>ES0031408323131005HX0F,2023/01/08,17:00,0.842,Real,</t>
  </si>
  <si>
    <t>ES0031408323131005HX0F,2023/01/08,18:00,0.824,Real,</t>
  </si>
  <si>
    <t>ES0031408323131005HX0F,2023/01/08,19:00,0.015,Real,</t>
  </si>
  <si>
    <t>ES0031408323131005HX0F,2023/01/08,20:00,0.441,Real,</t>
  </si>
  <si>
    <t>ES0031408323131005HX0F,2023/01/08,21:00,1.751,Real,</t>
  </si>
  <si>
    <t>ES0031408323131005HX0F,2023/01/08,22:00,2.418,Real,</t>
  </si>
  <si>
    <t>ES0031408323131005HX0F,2023/01/08,23:00,1.373,Real,</t>
  </si>
  <si>
    <t>ES0031408323131005HX0F,2023/01/08,24:00,1.331,Real,</t>
  </si>
  <si>
    <t>ES0031408323131005HX0F,2023/01/09,01:00,1.314,Real,</t>
  </si>
  <si>
    <t>ES0031408323131005HX0F,2023/01/09,02:00,1.554,Real,</t>
  </si>
  <si>
    <t>ES0031408323131005HX0F,2023/01/09,03:00,1.262,Real,</t>
  </si>
  <si>
    <t>ES0031408323131005HX0F,2023/01/09,04:00,1.347,Real,</t>
  </si>
  <si>
    <t>ES0031408323131005HX0F,2023/01/09,05:00,1.297,Real,</t>
  </si>
  <si>
    <t>ES0031408323131005HX0F,2023/01/09,06:00,1.241,Real,</t>
  </si>
  <si>
    <t>ES0031408323131005HX0F,2023/01/09,07:00,1.34,Real,</t>
  </si>
  <si>
    <t>ES0031408323131005HX0F,2023/01/09,08:00,0.826,Real,</t>
  </si>
  <si>
    <t>ES0031408323131005HX0F,2023/01/09,09:00,0.057,Real,</t>
  </si>
  <si>
    <t>ES0031408323131005HX0F,2023/01/09,10:00,0.035,Real,</t>
  </si>
  <si>
    <t>ES0031408323131005HX0F,2023/01/09,11:00,0.076,Real,</t>
  </si>
  <si>
    <t>ES0031408323131005HX0F,2023/01/09,12:00,0.041,Real,</t>
  </si>
  <si>
    <t>ES0031408323131005HX0F,2023/01/09,13:00,0.017,Real,</t>
  </si>
  <si>
    <t>ES0031408323131005HX0F,2023/01/09,14:00,0.405,Real,</t>
  </si>
  <si>
    <t>ES0031408323131005HX0F,2023/01/09,15:00,0.041,Real,</t>
  </si>
  <si>
    <t>ES0031408323131005HX0F,2023/01/09,16:00,0.016,Real,</t>
  </si>
  <si>
    <t>ES0031408323131005HX0F,2023/01/09,17:00,0.087,Real,</t>
  </si>
  <si>
    <t>ES0031408323131005HX0F,2023/01/09,18:00,0.048,Real,</t>
  </si>
  <si>
    <t>ES0031408323131005HX0F,2023/01/09,19:00,0.016,Real,</t>
  </si>
  <si>
    <t>ES0031408323131005HX0F,2023/01/09,20:00,0.059,Real,</t>
  </si>
  <si>
    <t>ES0031408323131005HX0F,2023/01/09,21:00,0.378,Real,</t>
  </si>
  <si>
    <t>ES0031408323131005HX0F,2023/01/09,22:00,0.118,Real,</t>
  </si>
  <si>
    <t>ES0031408323131005HX0F,2023/01/09,23:00,2.336,Real,</t>
  </si>
  <si>
    <t>ES0031408323131005HX0F,2023/01/09,24:00,2.404,Real,</t>
  </si>
  <si>
    <t>ES0031408323131005HX0F,2023/01/10,01:00,0.985,Real,</t>
  </si>
  <si>
    <t>ES0031408323131005HX0F,2023/01/10,02:00,0.98,Real,</t>
  </si>
  <si>
    <t>ES0031408323131005HX0F,2023/01/10,03:00,1.054,Real,</t>
  </si>
  <si>
    <t>ES0031408323131005HX0F,2023/01/10,04:00,1.016,Real,</t>
  </si>
  <si>
    <t>ES0031408323131005HX0F,2023/01/10,05:00,1.492,Real,</t>
  </si>
  <si>
    <t>ES0031408323131005HX0F,2023/01/10,06:00,0.933,Real,</t>
  </si>
  <si>
    <t>ES0031408323131005HX0F,2023/01/10,07:00,0.995,Real,</t>
  </si>
  <si>
    <t>ES0031408323131005HX0F,2023/01/10,08:00,0.892,Real,</t>
  </si>
  <si>
    <t>ES0031408323131005HX0F,2023/01/10,09:00,0.016,Real,</t>
  </si>
  <si>
    <t>ES0031408323131005HX0F,2023/01/10,10:00,0.092,Real,</t>
  </si>
  <si>
    <t>ES0031408323131005HX0F,2023/01/10,11:00,0.042,Real,</t>
  </si>
  <si>
    <t>ES0031408323131005HX0F,2023/01/10,12:00,0.299,Real,</t>
  </si>
  <si>
    <t>ES0031408323131005HX0F,2023/01/10,13:00,0.085,Real,</t>
  </si>
  <si>
    <t>ES0031408323131005HX0F,2023/01/10,14:00,0.041,Real,</t>
  </si>
  <si>
    <t>ES0031408323131005HX0F,2023/01/10,15:00,0.015,Real,</t>
  </si>
  <si>
    <t>ES0031408323131005HX0F,2023/01/10,16:00,0.079,Real,</t>
  </si>
  <si>
    <t>ES0031408323131005HX0F,2023/01/10,17:00,0.051,Real,</t>
  </si>
  <si>
    <t>ES0031408323131005HX0F,2023/01/10,18:00,0.325,Real,</t>
  </si>
  <si>
    <t>ES0031408323131005HX0F,2023/01/10,19:00,0.165,Real,</t>
  </si>
  <si>
    <t>ES0031408323131005HX0F,2023/01/10,20:00,0.534,Real,</t>
  </si>
  <si>
    <t>ES0031408323131005HX0F,2023/01/10,21:00,1.96,Real,</t>
  </si>
  <si>
    <t>ES0031408323131005HX0F,2023/01/10,22:00,2.529,Real,</t>
  </si>
  <si>
    <t>ES0031408323131005HX0F,2023/01/10,23:00,1.54,Real,</t>
  </si>
  <si>
    <t>ES0031408323131005HX0F,2023/01/10,24:00,1.33,Real,</t>
  </si>
  <si>
    <t>ES0031408323131005HX0F,2023/01/11,01:00,1.348,Real,</t>
  </si>
  <si>
    <t>ES0031408323131005HX0F,2023/01/11,02:00,1.349,Real,</t>
  </si>
  <si>
    <t>ES0031408323131005HX0F,2023/01/11,03:00,1.552,Real,</t>
  </si>
  <si>
    <t>ES0031408323131005HX0F,2023/01/11,04:00,1.386,Real,</t>
  </si>
  <si>
    <t>ES0031408323131005HX0F,2023/01/11,05:00,1.301,Real,</t>
  </si>
  <si>
    <t>ES0031408323131005HX0F,2023/01/11,06:00,1.316,Real,</t>
  </si>
  <si>
    <t>ES0031408323131005HX0F,2023/01/11,07:00,1.473,Real,</t>
  </si>
  <si>
    <t>ES0031408323131005HX0F,2023/01/11,08:00,1.482,Real,</t>
  </si>
  <si>
    <t>ES0031408323131005HX0F,2023/01/11,09:00,0.092,Real,</t>
  </si>
  <si>
    <t>ES0031408323131005HX0F,2023/01/11,10:00,0.041,Real,</t>
  </si>
  <si>
    <t>ES0031408323131005HX0F,2023/01/11,11:00,0.016,Real,</t>
  </si>
  <si>
    <t>ES0031408323131005HX0F,2023/01/11,12:00,0.311,Real,</t>
  </si>
  <si>
    <t>ES0031408323131005HX0F,2023/01/11,13:00,0.087,Real,</t>
  </si>
  <si>
    <t>ES0031408323131005HX0F,2023/01/11,14:00,0.04,Real,</t>
  </si>
  <si>
    <t>ES0031408323131005HX0F,2023/01/11,15:00,0.015,Real,</t>
  </si>
  <si>
    <t>ES0031408323131005HX0F,2023/01/11,16:00,0.089,Real,</t>
  </si>
  <si>
    <t>ES0031408323131005HX0F,2023/01/11,17:00,0.044,Real,</t>
  </si>
  <si>
    <t>ES0031408323131005HX0F,2023/01/11,18:00,0.038,Real,</t>
  </si>
  <si>
    <t>ES0031408323131005HX0F,2023/01/11,19:00,0.308,Real,</t>
  </si>
  <si>
    <t>ES0031408323131005HX0F,2023/01/11,20:00,0.105,Real,</t>
  </si>
  <si>
    <t>ES0031408323131005HX0F,2023/01/11,21:00,0.043,Real,</t>
  </si>
  <si>
    <t>ES0031408323131005HX0F,2023/01/11,22:00,2.355,Real,</t>
  </si>
  <si>
    <t>ES0031408323131005HX0F,2023/01/11,23:00,3.522,Real,</t>
  </si>
  <si>
    <t>ES0031408323131005HX0F,2023/01/11,24:00,2.333,Real,</t>
  </si>
  <si>
    <t>ES0031408323131005HX0F,2023/01/12,01:00,1.48,Real,</t>
  </si>
  <si>
    <t>ES0031408323131005HX0F,2023/01/12,02:00,1.501,Real,</t>
  </si>
  <si>
    <t>ES0031408323131005HX0F,2023/01/12,03:00,1.555,Real,</t>
  </si>
  <si>
    <t>ES0031408323131005HX0F,2023/01/12,04:00,1.62,Real,</t>
  </si>
  <si>
    <t>ES0031408323131005HX0F,2023/01/12,05:00,1.549,Real,</t>
  </si>
  <si>
    <t>ES0031408323131005HX0F,2023/01/12,06:00,1.832,Real,</t>
  </si>
  <si>
    <t>ES0031408323131005HX0F,2023/01/12,07:00,1.527,Real,</t>
  </si>
  <si>
    <t>ES0031408323131005HX0F,2023/01/12,08:00,1.109,Real,</t>
  </si>
  <si>
    <t>ES0031408323131005HX0F,2023/01/12,09:00,0.065,Real,</t>
  </si>
  <si>
    <t>ES0031408323131005HX0F,2023/01/12,10:00,0.428,Real,</t>
  </si>
  <si>
    <t>ES0031408323131005HX0F,2023/01/12,11:00,0.599,Real,</t>
  </si>
  <si>
    <t>ES0031408323131005HX0F,2023/01/12,12:00,2.094,Real,</t>
  </si>
  <si>
    <t>ES0031408323131005HX0F,2023/01/12,13:00,1.29,Real,</t>
  </si>
  <si>
    <t>ES0031408323131005HX0F,2023/01/12,14:00,0.041,Real,</t>
  </si>
  <si>
    <t>ES0031408323131005HX0F,2023/01/12,15:00,0.017,Real,</t>
  </si>
  <si>
    <t>ES0031408323131005HX0F,2023/01/12,16:00,0.072,Real,</t>
  </si>
  <si>
    <t>ES0031408323131005HX0F,2023/01/12,17:00,0.06,Real,</t>
  </si>
  <si>
    <t>ES0031408323131005HX0F,2023/01/12,18:00,0.041,Real,</t>
  </si>
  <si>
    <t>ES0031408323131005HX0F,2023/01/12,19:00,0.301,Real,</t>
  </si>
  <si>
    <t>ES0031408323131005HX0F,2023/01/12,20:00,0.088,Real,</t>
  </si>
  <si>
    <t>ES0031408323131005HX0F,2023/01/12,21:00,0.896,Real,</t>
  </si>
  <si>
    <t>ES0031408323131005HX0F,2023/01/12,22:00,2.894,Real,</t>
  </si>
  <si>
    <t>ES0031408323131005HX0F,2023/01/12,23:00,2.313,Real,</t>
  </si>
  <si>
    <t>ES0031408323131005HX0F,2023/01/12,24:00,1.742,Real,</t>
  </si>
  <si>
    <t>ES0031408323131005HX0F,2023/01/13,01:00,1.419,Real,</t>
  </si>
  <si>
    <t>ES0031408323131005HX0F,2023/01/13,02:00,1.414,Real,</t>
  </si>
  <si>
    <t>ES0031408323131005HX0F,2023/01/13,03:00,1.662,Real,</t>
  </si>
  <si>
    <t>ES0031408323131005HX0F,2023/01/13,04:00,1.453,Real,</t>
  </si>
  <si>
    <t>ES0031408323131005HX0F,2023/01/13,05:00,1.431,Real,</t>
  </si>
  <si>
    <t>ES0031408323131005HX0F,2023/01/13,06:00,1.376,Real,</t>
  </si>
  <si>
    <t>ES0031408323131005HX0F,2023/01/13,07:00,1.443,Real,</t>
  </si>
  <si>
    <t>ES0031408323131005HX0F,2023/01/13,08:00,1.384,Real,</t>
  </si>
  <si>
    <t>ES0031408323131005HX0F,2023/01/13,09:00,0.63,Real,</t>
  </si>
  <si>
    <t>ES0031408323131005HX0F,2023/01/13,10:00,0.555,Real,</t>
  </si>
  <si>
    <t>ES0031408323131005HX0F,2023/01/13,11:00,0.06,Real,</t>
  </si>
  <si>
    <t>ES0031408323131005HX0F,2023/01/13,12:00,0.078,Real,</t>
  </si>
  <si>
    <t>ES0031408323131005HX0F,2023/01/13,13:00,0.357,Real,</t>
  </si>
  <si>
    <t>ES0031408323131005HX0F,2023/01/13,14:00,0.029,Real,</t>
  </si>
  <si>
    <t>ES0031408323131005HX0F,2023/01/13,15:00,0.123,Real,</t>
  </si>
  <si>
    <t>ES0031408323131005HX0F,2023/01/13,16:00,0.111,Real,</t>
  </si>
  <si>
    <t>ES0031408323131005HX0F,2023/01/13,17:00,0.037,Real,</t>
  </si>
  <si>
    <t>ES0031408323131005HX0F,2023/01/13,18:00,0.301,Real,</t>
  </si>
  <si>
    <t>ES0031408323131005HX0F,2023/01/13,19:00,0.041,Real,</t>
  </si>
  <si>
    <t>ES0031408323131005HX0F,2023/01/13,20:00,0.076,Real,</t>
  </si>
  <si>
    <t>ES0031408323131005HX0F,2023/01/13,21:00,0.042,Real,</t>
  </si>
  <si>
    <t>ES0031408323131005HX0F,2023/01/13,22:00,0.017,Real,</t>
  </si>
  <si>
    <t>ES0031408323131005HX0F,2023/01/13,23:00,0.724,Real,</t>
  </si>
  <si>
    <t>ES0031408323131005HX0F,2023/01/13,24:00,2.028,Real,</t>
  </si>
  <si>
    <t>ES0031408323131005HX0F,2023/01/14,01:00,1.167,Real,</t>
  </si>
  <si>
    <t>ES0031408323131005HX0F,2023/01/14,02:00,1.164,Real,</t>
  </si>
  <si>
    <t>ES0031408323131005HX0F,2023/01/14,03:00,1.244,Real,</t>
  </si>
  <si>
    <t>ES0031408323131005HX0F,2023/01/14,04:00,1.177,Real,</t>
  </si>
  <si>
    <t>ES0031408323131005HX0F,2023/01/14,05:00,1.389,Real,</t>
  </si>
  <si>
    <t>ES0031408323131005HX0F,2023/01/14,06:00,1.212,Real,</t>
  </si>
  <si>
    <t>ES0031408323131005HX0F,2023/01/14,07:00,1.196,Real,</t>
  </si>
  <si>
    <t>ES0031408323131005HX0F,2023/01/14,08:00,1.566,Real,</t>
  </si>
  <si>
    <t>ES0031408323131005HX0F,2023/01/14,09:00,1.25,Real,</t>
  </si>
  <si>
    <t>ES0031408323131005HX0F,2023/01/14,10:00,1.217,Real,</t>
  </si>
  <si>
    <t>ES0031408323131005HX0F,2023/01/14,11:00,1.377,Real,</t>
  </si>
  <si>
    <t>ES0031408323131005HX0F,2023/01/14,12:00,1.037,Real,</t>
  </si>
  <si>
    <t>ES0031408323131005HX0F,2023/01/14,13:00,0.459,Real,</t>
  </si>
  <si>
    <t>ES0031408323131005HX0F,2023/01/14,14:00,0.104,Real,</t>
  </si>
  <si>
    <t>ES0031408323131005HX0F,2023/01/14,15:00,0.034,Real,</t>
  </si>
  <si>
    <t>ES0031408323131005HX0F,2023/01/14,16:00,0.079,Real,</t>
  </si>
  <si>
    <t>ES0031408323131005HX0F,2023/01/14,17:00,0.044,Real,</t>
  </si>
  <si>
    <t>ES0031408323131005HX0F,2023/01/14,18:00,0.332,Real,</t>
  </si>
  <si>
    <t>ES0031408323131005HX0F,2023/01/14,19:00,0.311,Real,</t>
  </si>
  <si>
    <t>ES0031408323131005HX0F,2023/01/14,20:00,0.095,Real,</t>
  </si>
  <si>
    <t>ES0031408323131005HX0F,2023/01/14,21:00,3.128,Real,</t>
  </si>
  <si>
    <t>ES0031408323131005HX0F,2023/01/14,22:00,2.938,Real,</t>
  </si>
  <si>
    <t>ES0031408323131005HX0F,2023/01/14,23:00,3.853,Real,</t>
  </si>
  <si>
    <t>ES0031408323131005HX0F,2023/01/14,24:00,2.201,Real,</t>
  </si>
  <si>
    <t>ES0031408323131005HX0F,2023/01/15,01:00,1.641,Real,</t>
  </si>
  <si>
    <t>ES0031408323131005HX0F,2023/01/15,02:00,1.639,Real,</t>
  </si>
  <si>
    <t>ES0031408323131005HX0F,2023/01/15,03:00,1.706,Real,</t>
  </si>
  <si>
    <t>ES0031408323131005HX0F,2023/01/15,04:00,1.655,Real,</t>
  </si>
  <si>
    <t>ES0031408323131005HX0F,2023/01/15,05:00,1.636,Real,</t>
  </si>
  <si>
    <t>ES0031408323131005HX0F,2023/01/15,06:00,1.639,Real,</t>
  </si>
  <si>
    <t>ES0031408323131005HX0F,2023/01/15,07:00,1.961,Real,</t>
  </si>
  <si>
    <t>ES0031408323131005HX0F,2023/01/15,08:00,1.659,Real,</t>
  </si>
  <si>
    <t>ES0031408323131005HX0F,2023/01/15,09:00,0.541,Real,</t>
  </si>
  <si>
    <t>ES0031408323131005HX0F,2023/01/15,10:00,0.101,Real,</t>
  </si>
  <si>
    <t>ES0031408323131005HX0F,2023/01/15,11:00,0.047,Real,</t>
  </si>
  <si>
    <t>ES0031408323131005HX0F,2023/01/15,12:00,0.024,Real,</t>
  </si>
  <si>
    <t>ES0031408323131005HX0F,2023/01/15,13:00,0.054,Real,</t>
  </si>
  <si>
    <t>ES0031408323131005HX0F,2023/01/15,14:00,0.556,Real,</t>
  </si>
  <si>
    <t>ES0031408323131005HX0F,2023/01/15,15:00,0.447,Real,</t>
  </si>
  <si>
    <t>ES0031408323131005HX0F,2023/01/15,16:00,0.831,Real,</t>
  </si>
  <si>
    <t>ES0031408323131005HX0F,2023/01/15,17:00,0.041,Real,</t>
  </si>
  <si>
    <t>ES0031408323131005HX0F,2023/01/15,18:00,0.083,Real,</t>
  </si>
  <si>
    <t>ES0031408323131005HX0F,2023/01/15,19:00,0.042,Real,</t>
  </si>
  <si>
    <t>ES0031408323131005HX0F,2023/01/15,20:00,0.212,Real,</t>
  </si>
  <si>
    <t>ES0031408323131005HX0F,2023/01/15,21:00,0.355,Real,</t>
  </si>
  <si>
    <t>ES0031408323131005HX0F,2023/01/15,22:00,2.281,Real,</t>
  </si>
  <si>
    <t>ES0031408323131005HX0F,2023/01/15,23:00,1.47,Real,</t>
  </si>
  <si>
    <t>ES0031408323131005HX0F,2023/01/15,24:00,0.746,Real,</t>
  </si>
  <si>
    <t>ES0031408323131005HX0F,2023/01/16,01:00,0.845,Real,</t>
  </si>
  <si>
    <t>ES0031408323131005HX0F,2023/01/16,02:00,0.823,Real,</t>
  </si>
  <si>
    <t>ES0031408323131005HX0F,2023/01/16,03:00,0.801,Real,</t>
  </si>
  <si>
    <t>ES0031408323131005HX0F,2023/01/16,04:00,1.109,Real,</t>
  </si>
  <si>
    <t>ES0031408323131005HX0F,2023/01/16,05:00,0.827,Real,</t>
  </si>
  <si>
    <t>ES0031408323131005HX0F,2023/01/16,06:00,0.783,Real,</t>
  </si>
  <si>
    <t>ES0031408323131005HX0F,2023/01/16,07:00,0.84,Real,</t>
  </si>
  <si>
    <t>ES0031408323131005HX0F,2023/01/16,08:00,0.653,Real,</t>
  </si>
  <si>
    <t>ES0031408323131005HX0F,2023/01/16,09:00,0.927,Real,</t>
  </si>
  <si>
    <t>ES0031408323131005HX0F,2023/01/16,10:00,1.368,Real,</t>
  </si>
  <si>
    <t>ES0031408323131005HX0F,2023/01/16,11:00,1.411,Real,</t>
  </si>
  <si>
    <t>ES0031408323131005HX0F,2023/01/16,12:00,0.531,Real,</t>
  </si>
  <si>
    <t>ES0031408323131005HX0F,2023/01/16,13:00,0.929,Real,</t>
  </si>
  <si>
    <t>ES0031408323131005HX0F,2023/01/16,14:00,1.464,Real,</t>
  </si>
  <si>
    <t>ES0031408323131005HX0F,2023/01/16,15:00,1.138,Real,</t>
  </si>
  <si>
    <t>ES0031408323131005HX0F,2023/01/16,16:00,0.901,Real,</t>
  </si>
  <si>
    <t>ES0031408323131005HX0F,2023/01/16,17:00,1.238,Real,</t>
  </si>
  <si>
    <t>ES0031408323131005HX0F,2023/01/16,18:00,0.745,Real,</t>
  </si>
  <si>
    <t>ES0031408323131005HX0F,2023/01/16,19:00,1.29,Real,</t>
  </si>
  <si>
    <t>ES0031408323131005HX0F,2023/01/16,20:00,0.868,Real,</t>
  </si>
  <si>
    <t>ES0031408323131005HX0F,2023/01/16,21:00,1.149,Real,</t>
  </si>
  <si>
    <t>ES0031408323131005HX0F,2023/01/16,22:00,1.323,Real,</t>
  </si>
  <si>
    <t>ES0031408323131005HX0F,2023/01/16,23:00,1.204,Real,</t>
  </si>
  <si>
    <t>ES0031408323131005HX0F,2023/01/16,24:00,1.468,Real,</t>
  </si>
  <si>
    <t>ES0031408323131005HX0F,2023/01/17,01:00,1.416,Real,</t>
  </si>
  <si>
    <t>ES0031408323131005HX0F,2023/01/17,02:00,1.635,Real,</t>
  </si>
  <si>
    <t>ES0031408323131005HX0F,2023/01/17,03:00,1.387,Real,</t>
  </si>
  <si>
    <t>ES0031408323131005HX0F,2023/01/17,04:00,1.329,Real,</t>
  </si>
  <si>
    <t>ES0031408323131005HX0F,2023/01/17,05:00,1.39,Real,</t>
  </si>
  <si>
    <t>ES0031408323131005HX0F,2023/01/17,06:00,1.36,Real,</t>
  </si>
  <si>
    <t>ES0031408323131005HX0F,2023/01/17,07:00,1.282,Real,</t>
  </si>
  <si>
    <t>ES0031408323131005HX0F,2023/01/17,08:00,1.147,Real,</t>
  </si>
  <si>
    <t>ES0031408323131005HX0F,2023/01/17,09:00,0.098,Real,</t>
  </si>
  <si>
    <t>ES0031408323131005HX0F,2023/01/17,10:00,0.273,Real,</t>
  </si>
  <si>
    <t>ES0031408323131005HX0F,2023/01/17,11:00,0.489,Real,</t>
  </si>
  <si>
    <t>ES0031408323131005HX0F,2023/01/17,12:00,2.109,Real,</t>
  </si>
  <si>
    <t>ES0031408323131005HX0F,2023/01/17,13:00,0.093,Real,</t>
  </si>
  <si>
    <t>ES0031408323131005HX0F,2023/01/17,14:00,0.041,Real,</t>
  </si>
  <si>
    <t>ES0031408323131005HX0F,2023/01/17,15:00,0.016,Real,</t>
  </si>
  <si>
    <t>ES0031408323131005HX0F,2023/01/17,16:00,0.066,Real,</t>
  </si>
  <si>
    <t>ES0031408323131005HX0F,2023/01/17,17:00,0.058,Real,</t>
  </si>
  <si>
    <t>ES0031408323131005HX0F,2023/01/17,18:00,0.318,Real,</t>
  </si>
  <si>
    <t>ES0031408323131005HX0F,2023/01/17,19:00,0.016,Real,</t>
  </si>
  <si>
    <t>ES0031408323131005HX0F,2023/01/17,20:00,0.102,Real,</t>
  </si>
  <si>
    <t>ES0031408323131005HX0F,2023/01/17,21:00,0.047,Real,</t>
  </si>
  <si>
    <t>ES0031408323131005HX0F,2023/01/17,22:00,0.02,Real,</t>
  </si>
  <si>
    <t>ES0031408323131005HX0F,2023/01/17,23:00,1.474,Real,</t>
  </si>
  <si>
    <t>ES0031408323131005HX0F,2023/01/17,24:00,2.148,Real,</t>
  </si>
  <si>
    <t>ES0031408323131005HX0F,2023/01/18,01:00,1.573,Real,</t>
  </si>
  <si>
    <t>ES0031408323131005HX0F,2023/01/18,02:00,1.557,Real,</t>
  </si>
  <si>
    <t>ES0031408323131005HX0F,2023/01/18,03:00,1.595,Real,</t>
  </si>
  <si>
    <t>ES0031408323131005HX0F,2023/01/18,04:00,1.908,Real,</t>
  </si>
  <si>
    <t>ES0031408323131005HX0F,2023/01/18,05:00,1.633,Real,</t>
  </si>
  <si>
    <t>ES0031408323131005HX0F,2023/01/18,06:00,1.538,Real,</t>
  </si>
  <si>
    <t>ES0031408323131005HX0F,2023/01/18,07:00,1.524,Real,</t>
  </si>
  <si>
    <t>ES0031408323131005HX0F,2023/01/18,08:00,0.908,Real,</t>
  </si>
  <si>
    <t>ES0031408323131005HX0F,2023/01/18,09:00,0.067,Real,</t>
  </si>
  <si>
    <t>ES0031408323131005HX0F,2023/01/18,10:00,0.041,Real,</t>
  </si>
  <si>
    <t>ES0031408323131005HX0F,2023/01/18,11:00,0.016,Real,</t>
  </si>
  <si>
    <t>ES0031408323131005HX0F,2023/01/18,12:00,0.106,Real,</t>
  </si>
  <si>
    <t>ES0031408323131005HX0F,2023/01/18,13:00,0.04,Real,</t>
  </si>
  <si>
    <t>ES0031408323131005HX0F,2023/01/18,14:00,0.297,Real,</t>
  </si>
  <si>
    <t>ES0031408323131005HX0F,2023/01/18,15:00,0.057,Real,</t>
  </si>
  <si>
    <t>ES0031408323131005HX0F,2023/01/18,16:00,0.062,Real,</t>
  </si>
  <si>
    <t>ES0031408323131005HX0F,2023/01/18,17:00,0.04,Real,</t>
  </si>
  <si>
    <t>ES0031408323131005HX0F,2023/01/18,18:00,0.015,Real,</t>
  </si>
  <si>
    <t>ES0031408323131005HX0F,2023/01/18,19:00,0.097,Real,</t>
  </si>
  <si>
    <t>ES0031408323131005HX0F,2023/01/18,20:00,0.226,Real,</t>
  </si>
  <si>
    <t>ES0031408323131005HX0F,2023/01/18,21:00,0.122,Real,</t>
  </si>
  <si>
    <t>ES0031408323131005HX0F,2023/01/18,22:00,0.273,Real,</t>
  </si>
  <si>
    <t>ES0031408323131005HX0F,2023/01/18,23:00,3.072,Real,</t>
  </si>
  <si>
    <t>ES0031408323131005HX0F,2023/01/18,24:00,1.642,Real,</t>
  </si>
  <si>
    <t>ES0031408323131005HX0F,2023/01/19,01:00,1.576,Real,</t>
  </si>
  <si>
    <t>ES0031408323131005HX0F,2023/01/19,02:00,1.902,Real,</t>
  </si>
  <si>
    <t>ES0031408323131005HX0F,2023/01/19,03:00,1.606,Real,</t>
  </si>
  <si>
    <t>ES0031408323131005HX0F,2023/01/19,04:00,1.587,Real,</t>
  </si>
  <si>
    <t>ES0031408323131005HX0F,2023/01/19,05:00,1.571,Real,</t>
  </si>
  <si>
    <t>ES0031408323131005HX0F,2023/01/19,06:00,1.587,Real,</t>
  </si>
  <si>
    <t>ES0031408323131005HX0F,2023/01/19,07:00,1.585,Real,</t>
  </si>
  <si>
    <t>ES0031408323131005HX0F,2023/01/19,08:00,1.378,Real,</t>
  </si>
  <si>
    <t>ES0031408323131005HX0F,2023/01/19,09:00,0.078,Real,</t>
  </si>
  <si>
    <t>ES0031408323131005HX0F,2023/01/19,10:00,0.142,Real,</t>
  </si>
  <si>
    <t>ES0031408323131005HX0F,2023/01/19,11:00,0.431,Real,</t>
  </si>
  <si>
    <t>ES0031408323131005HX0F,2023/01/19,12:00,0.285,Real,</t>
  </si>
  <si>
    <t>ES0031408323131005HX0F,2023/01/19,13:00,2.938,Real,</t>
  </si>
  <si>
    <t>ES0031408323131005HX0F,2023/01/19,14:00,1.542,Real,</t>
  </si>
  <si>
    <t>ES0031408323131005HX0F,2023/01/19,15:00,0.09,Real,</t>
  </si>
  <si>
    <t>ES0031408323131005HX0F,2023/01/19,16:00,0.04,Real,</t>
  </si>
  <si>
    <t>ES0031408323131005HX0F,2023/01/19,17:00,0.015,Real,</t>
  </si>
  <si>
    <t>ES0031408323131005HX0F,2023/01/19,18:00,0.084,Real,</t>
  </si>
  <si>
    <t>ES0031408323131005HX0F,2023/01/19,19:00,0.041,Real,</t>
  </si>
  <si>
    <t>ES0031408323131005HX0F,2023/01/19,20:00,0.296,Real,</t>
  </si>
  <si>
    <t>ES0031408323131005HX0F,2023/01/19,21:00,0.072,Real,</t>
  </si>
  <si>
    <t>ES0031408323131005HX0F,2023/01/19,22:00,1.002,Real,</t>
  </si>
  <si>
    <t>ES0031408323131005HX0F,2023/01/19,23:00,2.063,Real,</t>
  </si>
  <si>
    <t>ES0031408323131005HX0F,2023/01/19,24:00,1.652,Real,</t>
  </si>
  <si>
    <t>ES0031408323131005HX0F,2023/01/20,01:00,1.57,Real,</t>
  </si>
  <si>
    <t>ES0031408323131005HX0F,2023/01/20,02:00,1.589,Real,</t>
  </si>
  <si>
    <t>ES0031408323131005HX0F,2023/01/20,03:00,1.628,Real,</t>
  </si>
  <si>
    <t>ES0031408323131005HX0F,2023/01/20,04:00,1.876,Real,</t>
  </si>
  <si>
    <t>ES0031408323131005HX0F,2023/01/20,05:00,1.602,Real,</t>
  </si>
  <si>
    <t>ES0031408323131005HX0F,2023/01/20,06:00,1.518,Real,</t>
  </si>
  <si>
    <t>ES0031408323131005HX0F,2023/01/20,07:00,1.628,Real,</t>
  </si>
  <si>
    <t>ES0031408323131005HX0F,2023/01/20,08:00,1.232,Real,</t>
  </si>
  <si>
    <t>ES0031408323131005HX0F,2023/01/20,09:00,0.015,Real,</t>
  </si>
  <si>
    <t>ES0031408323131005HX0F,2023/01/20,10:00,0.104,Real,</t>
  </si>
  <si>
    <t>ES0031408323131005HX0F,2023/01/20,11:00,1.234,Real,</t>
  </si>
  <si>
    <t>ES0031408323131005HX0F,2023/01/20,12:00,1.04,Real,</t>
  </si>
  <si>
    <t>ES0031408323131005HX0F,2023/01/20,13:00,1.337,Real,</t>
  </si>
  <si>
    <t>ES0031408323131005HX0F,2023/01/20,14:00,1.035,Real,</t>
  </si>
  <si>
    <t>ES0031408323131005HX0F,2023/01/20,15:00,0.072,Real,</t>
  </si>
  <si>
    <t>ES0031408323131005HX0F,2023/01/20,16:00,0.069,Real,</t>
  </si>
  <si>
    <t>ES0031408323131005HX0F,2023/01/20,17:00,0.017,Real,</t>
  </si>
  <si>
    <t>ES0031408323131005HX0F,2023/01/20,18:00,0.316,Real,</t>
  </si>
  <si>
    <t>ES0031408323131005HX0F,2023/01/20,19:00,0.062,Real,</t>
  </si>
  <si>
    <t>ES0031408323131005HX0F,2023/01/20,20:00,0.04,Real,</t>
  </si>
  <si>
    <t>ES0031408323131005HX0F,2023/01/20,21:00,0.015,Real,</t>
  </si>
  <si>
    <t>ES0031408323131005HX0F,2023/01/20,22:00,0.278,Real,</t>
  </si>
  <si>
    <t>ES0031408323131005HX0F,2023/01/20,23:00,2.792,Real,</t>
  </si>
  <si>
    <t>ES0031408323131005HX0F,2023/01/20,24:00,2.051,Real,</t>
  </si>
  <si>
    <t>ES0031408323131005HX0F,2023/01/21,01:00,1.519,Real,</t>
  </si>
  <si>
    <t>ES0031408323131005HX0F,2023/01/21,02:00,1.446,Real,</t>
  </si>
  <si>
    <t>ES0031408323131005HX0F,2023/01/21,03:00,1.454,Real,</t>
  </si>
  <si>
    <t>ES0031408323131005HX0F,2023/01/21,04:00,1.766,Real,</t>
  </si>
  <si>
    <t>ES0031408323131005HX0F,2023/01/21,05:00,1.484,Real,</t>
  </si>
  <si>
    <t>ES0031408323131005HX0F,2023/01/21,06:00,1.412,Real,</t>
  </si>
  <si>
    <t>ES0031408323131005HX0F,2023/01/21,07:00,1.498,Real,</t>
  </si>
  <si>
    <t>ES0031408323131005HX0F,2023/01/21,08:00,1.49,Real,</t>
  </si>
  <si>
    <t>ES0031408323131005HX0F,2023/01/21,09:00,1.415,Real,</t>
  </si>
  <si>
    <t>ES0031408323131005HX0F,2023/01/21,10:00,1.132,Real,</t>
  </si>
  <si>
    <t>ES0031408323131005HX0F,2023/01/21,11:00,1.014,Real,</t>
  </si>
  <si>
    <t>ES0031408323131005HX0F,2023/01/21,12:00,0.604,Real,</t>
  </si>
  <si>
    <t>ES0031408323131005HX0F,2023/01/21,13:00,0.076,Real,</t>
  </si>
  <si>
    <t>ES0031408323131005HX0F,2023/01/21,14:00,0.041,Real,</t>
  </si>
  <si>
    <t>ES0031408323131005HX0F,2023/01/21,15:00,0.055,Real,</t>
  </si>
  <si>
    <t>ES0031408323131005HX0F,2023/01/21,16:00,1.406,Real,</t>
  </si>
  <si>
    <t>ES0031408323131005HX0F,2023/01/21,17:00,1.919,Real,</t>
  </si>
  <si>
    <t>ES0031408323131005HX0F,2023/01/21,18:00,2.719,Real,</t>
  </si>
  <si>
    <t>ES0031408323131005HX0F,2023/01/21,19:00,1.185,Real,</t>
  </si>
  <si>
    <t>ES0031408323131005HX0F,2023/01/21,20:00,1.724,Real,</t>
  </si>
  <si>
    <t>ES0031408323131005HX0F,2023/01/21,21:00,1.952,Real,</t>
  </si>
  <si>
    <t>ES0031408323131005HX0F,2023/01/21,22:00,3.036,Real,</t>
  </si>
  <si>
    <t>ES0031408323131005HX0F,2023/01/21,23:00,1.803,Real,</t>
  </si>
  <si>
    <t>ES0031408323131005HX0F,2023/01/21,24:00,1.583,Real,</t>
  </si>
  <si>
    <t>ES0031408323131005HX0F,2023/01/22,01:00,1.742,Real,</t>
  </si>
  <si>
    <t>ES0031408323131005HX0F,2023/01/22,02:00,1.851,Real,</t>
  </si>
  <si>
    <t>ES0031408323131005HX0F,2023/01/22,03:00,1.374,Real,</t>
  </si>
  <si>
    <t>ES0031408323131005HX0F,2023/01/22,04:00,1.408,Real,</t>
  </si>
  <si>
    <t>ES0031408323131005HX0F,2023/01/22,05:00,1.358,Real,</t>
  </si>
  <si>
    <t>ES0031408323131005HX0F,2023/01/22,06:00,1.492,Real,</t>
  </si>
  <si>
    <t>ES0031408323131005HX0F,2023/01/22,07:00,1.542,Real,</t>
  </si>
  <si>
    <t>ES0031408323131005HX0F,2023/01/22,08:00,1.394,Real,</t>
  </si>
  <si>
    <t>ES0031408323131005HX0F,2023/01/22,09:00,1.338,Real,</t>
  </si>
  <si>
    <t>ES0031408323131005HX0F,2023/01/22,10:00,1.396,Real,</t>
  </si>
  <si>
    <t>ES0031408323131005HX0F,2023/01/22,11:00,1.188,Real,</t>
  </si>
  <si>
    <t>ES0031408323131005HX0F,2023/01/22,12:00,2.383,Real,</t>
  </si>
  <si>
    <t>ES0031408323131005HX0F,2023/01/22,13:00,1.683,Real,</t>
  </si>
  <si>
    <t>ES0031408323131005HX0F,2023/01/22,14:00,0.093,Real,</t>
  </si>
  <si>
    <t>ES0031408323131005HX0F,2023/01/22,15:00,1.02,Real,</t>
  </si>
  <si>
    <t>ES0031408323131005HX0F,2023/01/22,16:00,1.428,Real,</t>
  </si>
  <si>
    <t>ES0031408323131005HX0F,2023/01/22,17:00,1.868,Real,</t>
  </si>
  <si>
    <t>ES0031408323131005HX0F,2023/01/22,18:00,1.942,Real,</t>
  </si>
  <si>
    <t>ES0031408323131005HX0F,2023/01/22,19:00,2.811,Real,</t>
  </si>
  <si>
    <t>ES0031408323131005HX0F,2023/01/22,20:00,1.077,Real,</t>
  </si>
  <si>
    <t>ES0031408323131005HX0F,2023/01/22,21:00,0.98,Real,</t>
  </si>
  <si>
    <t>ES0031408323131005HX0F,2023/01/22,22:00,1.682,Real,</t>
  </si>
  <si>
    <t>ES0031408323131005HX0F,2023/01/22,23:00,2.692,Real,</t>
  </si>
  <si>
    <t>ES0031408323131005HX0F,2023/01/22,24:00,3.042,Real,</t>
  </si>
  <si>
    <t>ES0031408323131005HX0F,2023/01/23,01:00,2.356,Real,</t>
  </si>
  <si>
    <t>ES0031408323131005HX0F,2023/01/23,02:00,1.646,Real,</t>
  </si>
  <si>
    <t>ES0031408323131005HX0F,2023/01/23,03:00,1.67,Real,</t>
  </si>
  <si>
    <t>ES0031408323131005HX0F,2023/01/23,04:00,1.637,Real,</t>
  </si>
  <si>
    <t>ES0031408323131005HX0F,2023/01/23,05:00,1.616,Real,</t>
  </si>
  <si>
    <t>ES0031408323131005HX0F,2023/01/23,06:00,1.613,Real,</t>
  </si>
  <si>
    <t>ES0031408323131005HX0F,2023/01/23,07:00,1.976,Real,</t>
  </si>
  <si>
    <t>ES0031408323131005HX0F,2023/01/23,08:00,1.923,Real,</t>
  </si>
  <si>
    <t>ES0031408323131005HX0F,2023/01/23,09:00,1.121,Real,</t>
  </si>
  <si>
    <t>ES0031408323131005HX0F,2023/01/23,10:00,1.432,Real,</t>
  </si>
  <si>
    <t>ES0031408323131005HX0F,2023/01/23,11:00,1.912,Real,</t>
  </si>
  <si>
    <t>ES0031408323131005HX0F,2023/01/23,12:00,0.602,Real,</t>
  </si>
  <si>
    <t>ES0031408323131005HX0F,2023/01/23,13:00,1.195,Real,</t>
  </si>
  <si>
    <t>ES0031408323131005HX0F,2023/01/23,14:00,1.944,Real,</t>
  </si>
  <si>
    <t>ES0031408323131005HX0F,2023/01/23,15:00,1.173,Real,</t>
  </si>
  <si>
    <t>ES0031408323131005HX0F,2023/01/23,16:00,0.053,Real,</t>
  </si>
  <si>
    <t>ES0031408323131005HX0F,2023/01/23,17:00,0.02,Real,</t>
  </si>
  <si>
    <t>ES0031408323131005HX0F,2023/01/23,18:00,0.07,Real,</t>
  </si>
  <si>
    <t>ES0031408323131005HX0F,2023/01/23,19:00,0.042,Real,</t>
  </si>
  <si>
    <t>ES0031408323131005HX0F,2023/01/23,20:00,0.377,Real,</t>
  </si>
  <si>
    <t>ES0031408323131005HX0F,2023/01/23,21:00,2.74,Real,</t>
  </si>
  <si>
    <t>ES0031408323131005HX0F,2023/01/23,22:00,3.472,Real,</t>
  </si>
  <si>
    <t>ES0031408323131005HX0F,2023/01/23,23:00,1.908,Real,</t>
  </si>
  <si>
    <t>ES0031408323131005HX0F,2023/01/23,24:00,2.44,Real,</t>
  </si>
  <si>
    <t>ES0031408323131005HX0F,2023/01/24,01:00,1.43,Real,</t>
  </si>
  <si>
    <t>ES0031408323131005HX0F,2023/01/24,02:00,1.354,Real,</t>
  </si>
  <si>
    <t>ES0031408323131005HX0F,2023/01/24,03:00,1.421,Real,</t>
  </si>
  <si>
    <t>ES0031408323131005HX0F,2023/01/24,04:00,1.67,Real,</t>
  </si>
  <si>
    <t>ES0031408323131005HX0F,2023/01/24,05:00,1.39,Real,</t>
  </si>
  <si>
    <t>ES0031408323131005HX0F,2023/01/24,06:00,1.418,Real,</t>
  </si>
  <si>
    <t>ES0031408323131005HX0F,2023/01/24,07:00,1.381,Real,</t>
  </si>
  <si>
    <t>ES0031408323131005HX0F,2023/01/24,08:00,0.779,Real,</t>
  </si>
  <si>
    <t>ES0031408323131005HX0F,2023/01/24,09:00,0.069,Real,</t>
  </si>
  <si>
    <t>ES0031408323131005HX0F,2023/01/24,10:00,0.229,Real,</t>
  </si>
  <si>
    <t>ES0031408323131005HX0F,2023/01/24,11:00,0.109,Real,</t>
  </si>
  <si>
    <t>ES0031408323131005HX0F,2023/01/24,12:00,0.066,Real,</t>
  </si>
  <si>
    <t>ES0031408323131005HX0F,2023/01/24,13:00,0.041,Real,</t>
  </si>
  <si>
    <t>ES0031408323131005HX0F,2023/01/24,14:00,0.015,Real,</t>
  </si>
  <si>
    <t>ES0031408323131005HX0F,2023/01/24,15:00,0.065,Real,</t>
  </si>
  <si>
    <t>ES0031408323131005HX0F,2023/01/24,16:00,0.341,Real,</t>
  </si>
  <si>
    <t>ES0031408323131005HX0F,2023/01/24,17:00,0.015,Real,</t>
  </si>
  <si>
    <t>ES0031408323131005HX0F,2023/01/24,18:00,0.065,Real,</t>
  </si>
  <si>
    <t>ES0031408323131005HX0F,2023/01/24,19:00,0.04,Real,</t>
  </si>
  <si>
    <t>ES0031408323131005HX0F,2023/01/24,20:00,0.328,Real,</t>
  </si>
  <si>
    <t>ES0031408323131005HX0F,2023/01/24,21:00,2.365,Real,</t>
  </si>
  <si>
    <t>ES0031408323131005HX0F,2023/01/24,22:00,2.933,Real,</t>
  </si>
  <si>
    <t>ES0031408323131005HX0F,2023/01/24,23:00,2.904,Real,</t>
  </si>
  <si>
    <t>ES0031408323131005HX0F,2023/01/24,24:00,2.865,Real,</t>
  </si>
  <si>
    <t>ES0031408323131005HX0F,2023/01/25,01:00,1.55,Real,</t>
  </si>
  <si>
    <t>ES0031408323131005HX0F,2023/01/25,02:00,1.539,Real,</t>
  </si>
  <si>
    <t>ES0031408323131005HX0F,2023/01/25,03:00,1.508,Real,</t>
  </si>
  <si>
    <t>ES0031408323131005HX0F,2023/01/25,04:00,1.756,Real,</t>
  </si>
  <si>
    <t>ES0031408323131005HX0F,2023/01/25,05:00,1.517,Real,</t>
  </si>
  <si>
    <t>ES0031408323131005HX0F,2023/01/25,06:00,1.489,Real,</t>
  </si>
  <si>
    <t>ES0031408323131005HX0F,2023/01/25,07:00,1.502,Real,</t>
  </si>
  <si>
    <t>ES0031408323131005HX0F,2023/01/25,08:00,1.545,Real,</t>
  </si>
  <si>
    <t>ES0031408323131005HX0F,2023/01/25,09:00,1.42,Real,</t>
  </si>
  <si>
    <t>ES0031408323131005HX0F,2023/01/25,10:00,0.068,Real,</t>
  </si>
  <si>
    <t>ES0031408323131005HX0F,2023/01/25,11:00,0.041,Real,</t>
  </si>
  <si>
    <t>ES0031408323131005HX0F,2023/01/25,12:00,0.015,Real,</t>
  </si>
  <si>
    <t>ES0031408323131005HX0F,2023/01/25,13:00,0.354,Real,</t>
  </si>
  <si>
    <t>ES0031408323131005HX0F,2023/01/25,14:00,0.04,Real,</t>
  </si>
  <si>
    <t>ES0031408323131005HX0F,2023/01/25,15:00,0.016,Real,</t>
  </si>
  <si>
    <t>ES0031408323131005HX0F,2023/01/25,16:00,0.065,Real,</t>
  </si>
  <si>
    <t>ES0031408323131005HX0F,2023/01/25,17:00,0.04,Real,</t>
  </si>
  <si>
    <t>ES0031408323131005HX0F,2023/01/25,18:00,0.025,Real,</t>
  </si>
  <si>
    <t>ES0031408323131005HX0F,2023/01/25,19:00,0.303,Real,</t>
  </si>
  <si>
    <t>ES0031408323131005HX0F,2023/01/25,20:00,0.077,Real,</t>
  </si>
  <si>
    <t>ES0031408323131005HX0F,2023/01/25,21:00,0.035,Real,</t>
  </si>
  <si>
    <t>ES0031408323131005HX0F,2023/01/25,22:00,0.07,Real,</t>
  </si>
  <si>
    <t>ES0031408323131005HX0F,2023/01/25,23:00,0.865,Real,</t>
  </si>
  <si>
    <t>ES0031408323131005HX0F,2023/01/25,24:00,1.67,Real,</t>
  </si>
  <si>
    <t>ES0031408323131005HX0F,2023/01/26,01:00,1.411,Real,</t>
  </si>
  <si>
    <t>ES0031408323131005HX0F,2023/01/26,02:00,0.875,Real,</t>
  </si>
  <si>
    <t>ES0031408323131005HX0F,2023/01/26,03:00,0.94,Real,</t>
  </si>
  <si>
    <t>ES0031408323131005HX0F,2023/01/26,04:00,0.908,Real,</t>
  </si>
  <si>
    <t>ES0031408323131005HX0F,2023/01/26,05:00,1.19,Real,</t>
  </si>
  <si>
    <t>ES0031408323131005HX0F,2023/01/26,06:00,0.954,Real,</t>
  </si>
  <si>
    <t>ES0031408323131005HX0F,2023/01/26,07:00,0.891,Real,</t>
  </si>
  <si>
    <t>ES0031408323131005HX0F,2023/01/26,08:00,1.079,Real,</t>
  </si>
  <si>
    <t>ES0031408323131005HX0F,2023/01/26,09:00,0.566,Real,</t>
  </si>
  <si>
    <t>ES0031408323131005HX0F,2023/01/26,10:00,0.052,Real,</t>
  </si>
  <si>
    <t>ES0031408323131005HX0F,2023/01/26,11:00,0.031,Real,</t>
  </si>
  <si>
    <t>ES0031408323131005HX0F,2023/01/26,12:00,0.073,Real,</t>
  </si>
  <si>
    <t>ES0031408323131005HX0F,2023/01/26,13:00,0.15,Real,</t>
  </si>
  <si>
    <t>ES0031408323131005HX0F,2023/01/26,14:00,0.197,Real,</t>
  </si>
  <si>
    <t>ES0031408323131005HX0F,2023/01/26,15:00,0.061,Real,</t>
  </si>
  <si>
    <t>ES0031408323131005HX0F,2023/01/26,16:00,0.017,Real,</t>
  </si>
  <si>
    <t>ES0031408323131005HX0F,2023/01/26,17:00,0.063,Real,</t>
  </si>
  <si>
    <t>ES0031408323131005HX0F,2023/01/26,18:00,0.042,Real,</t>
  </si>
  <si>
    <t>ES0031408323131005HX0F,2023/01/26,19:00,0.317,Real,</t>
  </si>
  <si>
    <t>ES0031408323131005HX0F,2023/01/26,20:00,0.879,Real,</t>
  </si>
  <si>
    <t>ES0031408323131005HX0F,2023/01/26,21:00,2.841,Real,</t>
  </si>
  <si>
    <t>ES0031408323131005HX0F,2023/01/26,22:00,4.798,Real,</t>
  </si>
  <si>
    <t>ES0031408323131005HX0F,2023/01/26,23:00,3.283,Real,</t>
  </si>
  <si>
    <t>ES0031408323131005HX0F,2023/01/26,24:00,1.911,Real,</t>
  </si>
  <si>
    <t>ES0031408323131005HX0F,2023/01/27,01:00,1.135,Real,</t>
  </si>
  <si>
    <t>ES0031408323131005HX0F,2023/01/27,02:00,1.082,Real,</t>
  </si>
  <si>
    <t>ES0031408323131005HX0F,2023/01/27,03:00,1.18,Real,</t>
  </si>
  <si>
    <t>ES0031408323131005HX0F,2023/01/27,04:00,1.4,Real,</t>
  </si>
  <si>
    <t>ES0031408323131005HX0F,2023/01/27,05:00,1.089,Real,</t>
  </si>
  <si>
    <t>ES0031408323131005HX0F,2023/01/27,06:00,1.156,Real,</t>
  </si>
  <si>
    <t>ES0031408323131005HX0F,2023/01/27,07:00,1.151,Real,</t>
  </si>
  <si>
    <t>ES0031408323131005HX0F,2023/01/27,08:00,0.735,Real,</t>
  </si>
  <si>
    <t>ES0031408323131005HX0F,2023/01/27,09:00,0.088,Real,</t>
  </si>
  <si>
    <t>ES0031408323131005HX0F,2023/01/27,10:00,0.362,Real,</t>
  </si>
  <si>
    <t>ES0031408323131005HX0F,2023/01/27,11:00,0.043,Real,</t>
  </si>
  <si>
    <t>ES0031408323131005HX0F,2023/01/27,12:00,0.016,Real,</t>
  </si>
  <si>
    <t>ES0031408323131005HX0F,2023/01/27,13:00,0.079,Real,</t>
  </si>
  <si>
    <t>ES0031408323131005HX0F,2023/01/27,14:00,0.047,Real,</t>
  </si>
  <si>
    <t>ES0031408323131005HX0F,2023/01/27,15:00,0.016,Real,</t>
  </si>
  <si>
    <t>ES0031408323131005HX0F,2023/01/27,16:00,0.344,Real,</t>
  </si>
  <si>
    <t>ES0031408323131005HX0F,2023/01/27,17:00,0.061,Real,</t>
  </si>
  <si>
    <t>ES0031408323131005HX0F,2023/01/27,18:00,0.041,Real,</t>
  </si>
  <si>
    <t>ES0031408323131005HX0F,2023/01/27,19:00,0.016,Real,</t>
  </si>
  <si>
    <t>ES0031408323131005HX0F,2023/01/27,20:00,0.079,Real,</t>
  </si>
  <si>
    <t>ES0031408323131005HX0F,2023/01/27,21:00,0.654,Real,</t>
  </si>
  <si>
    <t>ES0031408323131005HX0F,2023/01/27,22:00,2.88,Real,</t>
  </si>
  <si>
    <t>ES0031408323131005HX0F,2023/01/27,23:00,2.859,Real,</t>
  </si>
  <si>
    <t>ES0031408323131005HX0F,2023/01/27,24:00,2.59,Real,</t>
  </si>
  <si>
    <t>ES0031408323131005HX0F,2023/01/28,01:00,1.498,Real,</t>
  </si>
  <si>
    <t>ES0031408323131005HX0F,2023/01/28,02:00,1.548,Real,</t>
  </si>
  <si>
    <t>ES0031408323131005HX0F,2023/01/28,03:00,1.512,Real,</t>
  </si>
  <si>
    <t>ES0031408323131005HX0F,2023/01/28,04:00,1.805,Real,</t>
  </si>
  <si>
    <t>ES0031408323131005HX0F,2023/01/28,05:00,1.482,Real,</t>
  </si>
  <si>
    <t>ES0031408323131005HX0F,2023/01/28,06:00,1.559,Real,</t>
  </si>
  <si>
    <t>ES0031408323131005HX0F,2023/01/28,07:00,1.576,Real,</t>
  </si>
  <si>
    <t>ES0031408323131005HX0F,2023/01/28,08:00,1.949,Real,</t>
  </si>
  <si>
    <t>ES0031408323131005HX0F,2023/01/28,09:00,1.641,Real,</t>
  </si>
  <si>
    <t>ES0031408323131005HX0F,2023/01/28,10:00,1.612,Real,</t>
  </si>
  <si>
    <t>ES0031408323131005HX0F,2023/01/28,11:00,1.797,Real,</t>
  </si>
  <si>
    <t>ES0031408323131005HX0F,2023/01/28,12:00,1.032,Real,</t>
  </si>
  <si>
    <t>ES0031408323131005HX0F,2023/01/28,13:00,0.417,Real,</t>
  </si>
  <si>
    <t>ES0031408323131005HX0F,2023/01/28,14:00,0.04,Real,</t>
  </si>
  <si>
    <t>ES0031408323131005HX0F,2023/01/28,15:00,0.017,Real,</t>
  </si>
  <si>
    <t>ES0031408323131005HX0F,2023/01/28,16:00,0.06,Real,</t>
  </si>
  <si>
    <t>ES0031408323131005HX0F,2023/01/28,17:00,0.06,Real,</t>
  </si>
  <si>
    <t>ES0031408323131005HX0F,2023/01/28,18:00,1.15,Real,</t>
  </si>
  <si>
    <t>ES0031408323131005HX0F,2023/01/28,19:00,3.344,Real,</t>
  </si>
  <si>
    <t>ES0031408323131005HX0F,2023/01/28,20:00,2.596,Real,</t>
  </si>
  <si>
    <t>ES0031408323131005HX0F,2023/01/28,21:00,2.485,Real,</t>
  </si>
  <si>
    <t>ES0031408323131005HX0F,2023/01/28,22:00,2.606,Real,</t>
  </si>
  <si>
    <t>ES0031408323131005HX0F,2023/01/28,23:00,3.241,Real,</t>
  </si>
  <si>
    <t>ES0031408323131005HX0F,2023/01/28,24:00,2.051,Real,</t>
  </si>
  <si>
    <t>ES0031408323131005HX0F,2023/01/29,01:00,1.707,Real,</t>
  </si>
  <si>
    <t>ES0031408323131005HX0F,2023/01/29,02:00,1.386,Real,</t>
  </si>
  <si>
    <t>ES0031408323131005HX0F,2023/01/29,03:00,1.421,Real,</t>
  </si>
  <si>
    <t>ES0031408323131005HX0F,2023/01/29,04:00,1.692,Real,</t>
  </si>
  <si>
    <t>ES0031408323131005HX0F,2023/01/29,05:00,1.416,Real,</t>
  </si>
  <si>
    <t>ES0031408323131005HX0F,2023/01/29,06:00,1.337,Real,</t>
  </si>
  <si>
    <t>ES0031408323131005HX0F,2023/01/29,07:00,1.418,Real,</t>
  </si>
  <si>
    <t>ES0031408323131005HX0F,2023/01/29,08:00,1.431,Real,</t>
  </si>
  <si>
    <t>ES0031408323131005HX0F,2023/01/29,09:00,1.406,Real,</t>
  </si>
  <si>
    <t>ES0031408323131005HX0F,2023/01/29,10:00,1.771,Real,</t>
  </si>
  <si>
    <t>ES0031408323131005HX0F,2023/01/29,11:00,2.365,Real,</t>
  </si>
  <si>
    <t>ES0031408323131005HX0F,2023/01/29,12:00,1.614,Real,</t>
  </si>
  <si>
    <t>ES0031408323131005HX0F,2023/01/29,13:00,1.705,Real,</t>
  </si>
  <si>
    <t>ES0031408323131005HX0F,2023/01/29,14:00,1.932,Real,</t>
  </si>
  <si>
    <t>ES0031408323131005HX0F,2023/01/29,15:00,2.866,Real,</t>
  </si>
  <si>
    <t>ES0031408323131005HX0F,2023/01/29,16:00,3.752,Real,</t>
  </si>
  <si>
    <t>ES0031408323131005HX0F,2023/01/29,17:00,1.992,Real,</t>
  </si>
  <si>
    <t>ES0031408323131005HX0F,2023/01/29,18:00,1.787,Real,</t>
  </si>
  <si>
    <t>ES0031408323131005HX0F,2023/01/29,19:00,0.876,Real,</t>
  </si>
  <si>
    <t>ES0031408323131005HX0F,2023/01/29,20:00,0.016,Real,</t>
  </si>
  <si>
    <t>ES0031408323131005HX0F,2023/01/29,21:00,0.073,Real,</t>
  </si>
  <si>
    <t>ES0031408323131005HX0F,2023/01/29,22:00,1.917,Real,</t>
  </si>
  <si>
    <t>ES0031408323131005HX0F,2023/01/29,23:00,2.507,Real,</t>
  </si>
  <si>
    <t>ES0031408323131005HX0F,2023/01/29,24:00,2.972,Real,</t>
  </si>
  <si>
    <t>ES0031408323131005HX0F,2023/01/30,01:00,1.855,Real,</t>
  </si>
  <si>
    <t>ES0031408323131005HX0F,2023/01/30,02:00,2.132,Real,</t>
  </si>
  <si>
    <t>ES0031408323131005HX0F,2023/01/30,03:00,1.853,Real,</t>
  </si>
  <si>
    <t>ES0031408323131005HX0F,2023/01/30,04:00,1.865,Real,</t>
  </si>
  <si>
    <t>ES0031408323131005HX0F,2023/01/30,05:00,1.831,Real,</t>
  </si>
  <si>
    <t>ES0031408323131005HX0F,2023/01/30,06:00,1.802,Real,</t>
  </si>
  <si>
    <t>ES0031408323131005HX0F,2023/01/30,07:00,1.881,Real,</t>
  </si>
  <si>
    <t>ES0031408323131005HX0F,2023/01/30,08:00,2.242,Real,</t>
  </si>
  <si>
    <t>ES0031408323131005HX0F,2023/01/30,09:00,0.845,Real,</t>
  </si>
  <si>
    <t>ES0031408323131005HX0F,2023/01/30,10:00,0.085,Real,</t>
  </si>
  <si>
    <t>ES0031408323131005HX0F,2023/01/30,11:00,0.982,Real,</t>
  </si>
  <si>
    <t>ES0031408323131005HX0F,2023/01/30,12:00,2.566,Real,</t>
  </si>
  <si>
    <t>ES0031408323131005HX0F,2023/01/30,13:00,1.796,Real,</t>
  </si>
  <si>
    <t>ES0031408323131005HX0F,2023/01/30,14:00,2.146,Real,</t>
  </si>
  <si>
    <t>ES0031408323131005HX0F,2023/01/30,15:00,0.999,Real,</t>
  </si>
  <si>
    <t>ES0031408323131005HX0F,2023/01/30,16:00,0.018,Real,</t>
  </si>
  <si>
    <t>ES0031408323131005HX0F,2023/01/30,17:00,0.074,Real,</t>
  </si>
  <si>
    <t>ES0031408323131005HX0F,2023/01/30,18:00,0.04,Real,</t>
  </si>
  <si>
    <t>ES0031408323131005HX0F,2023/01/30,19:00,0.308,Real,</t>
  </si>
  <si>
    <t>ES0031408323131005HX0F,2023/01/30,20:00,0.057,Real,</t>
  </si>
  <si>
    <t>ES0031408323131005HX0F,2023/01/30,21:00,0.112,Real,</t>
  </si>
  <si>
    <t>ES0031408323131005HX0F,2023/01/30,22:00,0.286,Real,</t>
  </si>
  <si>
    <t>ES0031408323131005HX0F,2023/01/30,23:00,3.728,Real,</t>
  </si>
  <si>
    <t>ES0031408323131005HX0F,2023/01/30,24:00,2.336,Real,</t>
  </si>
  <si>
    <t>ES0031408323131005HX0F,2023/01/31,01:00,2.166,Real,</t>
  </si>
  <si>
    <t>ES0031408323131005HX0F,2023/01/31,02:00,1.366,Real,</t>
  </si>
  <si>
    <t>ES0031408323131005HX0F,2023/01/31,03:00,1.071,Real,</t>
  </si>
  <si>
    <t>ES0031408323131005HX0F,2023/01/31,04:00,1.136,Real,</t>
  </si>
  <si>
    <t>ES0031408323131005HX0F,2023/01/31,05:00,2.176,Real,</t>
  </si>
  <si>
    <t>ES0031408323131005HX0F,2023/01/31,06:00,1.783,Real,</t>
  </si>
  <si>
    <t>ES0031408323131005HX0F,2023/01/31,07:00,1.464,Real,</t>
  </si>
  <si>
    <t>ES0031408323131005HX0F,2023/01/31,08:00,1.392,Real,</t>
  </si>
  <si>
    <t>ES0031408323131005HX0F,2023/01/31,09:00,1.271,Real,</t>
  </si>
  <si>
    <t>ES0031408323131005HX0F,2023/01/31,10:00,1.001,Real,</t>
  </si>
  <si>
    <t>ES0031408323131005HX0F,2023/01/31,11:00,1.805,Real,</t>
  </si>
  <si>
    <t>ES0031408323131005HX0F,2023/01/31,12:00,1.32,Real,</t>
  </si>
  <si>
    <t>ES0031408323131005HX0F,2023/01/31,13:00,2.673,Real,</t>
  </si>
  <si>
    <t>ES0031408323131005HX0F,2023/01/31,14:00,2.195,Real,</t>
  </si>
  <si>
    <t>ES0031408323131005HX0F,2023/01/31,15:00,1.824,Real,</t>
  </si>
  <si>
    <t>ES0031408323131005HX0F,2023/01/31,16:00,1.805,Real,</t>
  </si>
  <si>
    <t>ES0031408323131005HX0F,2023/01/31,17:00,1.829,Real,</t>
  </si>
  <si>
    <t>ES0031408323131005HX0F,2023/01/31,18:00,1.761,Real,</t>
  </si>
  <si>
    <t>ES0031408323131005HX0F,2023/01/31,19:00,3.131,Real,</t>
  </si>
  <si>
    <t>ES0031408323131005HX0F,2023/01/31,20:00,1.299,Real,</t>
  </si>
  <si>
    <t>ES0031408323131005HX0F,2023/01/31,21:00,0.222,Real,</t>
  </si>
  <si>
    <t>ES0031408323131005HX0F,2023/01/31,22:00,1.848,Real,</t>
  </si>
  <si>
    <t>ES0031408323131005HX0F,2023/01/31,23:00,2.395,Real,</t>
  </si>
  <si>
    <t>ES0031408323131005HX0F,2023/01/31,24:00,2.07,Real,</t>
  </si>
  <si>
    <t>ES0031408323131005HX0F,2023/02/01,01:00,1.524,Real,</t>
  </si>
  <si>
    <t>ES0031408323131005HX0F,2023/02/01,02:00,0.881,Real,</t>
  </si>
  <si>
    <t>ES0031408323131005HX0F,2023/02/01,03:00,0.815,Real,</t>
  </si>
  <si>
    <t>ES0031408323131005HX0F,2023/02/01,04:00,0.805,Real,</t>
  </si>
  <si>
    <t>ES0031408323131005HX0F,2023/02/01,05:00,0.82,Real,</t>
  </si>
  <si>
    <t>ES0031408323131005HX0F,2023/02/01,06:00,0.779,Real,</t>
  </si>
  <si>
    <t>ES0031408323131005HX0F,2023/02/01,07:00,1.086,Real,</t>
  </si>
  <si>
    <t>ES0031408323131005HX0F,2023/02/01,08:00,0.837,Real,</t>
  </si>
  <si>
    <t>ES0031408323131005HX0F,2023/02/01,09:00,0.745,Real,</t>
  </si>
  <si>
    <t>ES0031408323131005HX0F,2023/02/01,10:00,1.497,Real,</t>
  </si>
  <si>
    <t>ES0031408323131005HX0F,2023/02/01,11:00,1.668,Real,</t>
  </si>
  <si>
    <t>ES0031408323131005HX0F,2023/02/01,12:00,0.388,Real,</t>
  </si>
  <si>
    <t>ES0031408323131005HX0F,2023/02/01,13:00,0.047,Real,</t>
  </si>
  <si>
    <t>ES0031408323131005HX0F,2023/02/01,14:00,0.623,Real,</t>
  </si>
  <si>
    <t>ES0031408323131005HX0F,2023/02/01,15:00,0.395,Real,</t>
  </si>
  <si>
    <t>ES0031408323131005HX0F,2023/02/01,16:00,0.385,Real,</t>
  </si>
  <si>
    <t>ES0031408323131005HX0F,2023/02/01,17:00,0.044,Real,</t>
  </si>
  <si>
    <t>ES0031408323131005HX0F,2023/02/01,18:00,0.04,Real,</t>
  </si>
  <si>
    <t>ES0031408323131005HX0F,2023/02/01,19:00,0.016,Real,</t>
  </si>
  <si>
    <t>ES0031408323131005HX0F,2023/02/01,20:00,0.076,Real,</t>
  </si>
  <si>
    <t>ES0031408323131005HX0F,2023/02/01,21:00,0.041,Real,</t>
  </si>
  <si>
    <t>ES0031408323131005HX0F,2023/02/01,22:00,0.527,Real,</t>
  </si>
  <si>
    <t>ES0031408323131005HX0F,2023/02/01,23:00,2.501,Real,</t>
  </si>
  <si>
    <t>ES0031408323131005HX0F,2023/02/01,24:00,2.101,Real,</t>
  </si>
  <si>
    <t>ES0031408323131005HX0F,2023/02/02,01:00,2.092,Real,</t>
  </si>
  <si>
    <t>ES0031408323131005HX0F,2023/02/02,02:00,1.442,Real,</t>
  </si>
  <si>
    <t>ES0031408323131005HX0F,2023/02/02,03:00,0.931,Real,</t>
  </si>
  <si>
    <t>ES0031408323131005HX0F,2023/02/02,04:00,0.985,Real,</t>
  </si>
  <si>
    <t>ES0031408323131005HX0F,2023/02/02,05:00,0.936,Real,</t>
  </si>
  <si>
    <t>ES0031408323131005HX0F,2023/02/02,06:00,0.895,Real,</t>
  </si>
  <si>
    <t>ES0031408323131005HX0F,2023/02/02,07:00,0.868,Real,</t>
  </si>
  <si>
    <t>ES0031408323131005HX0F,2023/02/02,08:00,1.199,Real,</t>
  </si>
  <si>
    <t>ES0031408323131005HX0F,2023/02/02,09:00,0.936,Real,</t>
  </si>
  <si>
    <t>ES0031408323131005HX0F,2023/02/02,10:00,0.893,Real,</t>
  </si>
  <si>
    <t>ES0031408323131005HX0F,2023/02/02,11:00,0.802,Real,</t>
  </si>
  <si>
    <t>ES0031408323131005HX0F,2023/02/02,12:00,0.827,Real,</t>
  </si>
  <si>
    <t>ES0031408323131005HX0F,2023/02/02,13:00,0.4,Real,</t>
  </si>
  <si>
    <t>ES0031408323131005HX0F,2023/02/02,14:00,2.173,Real,</t>
  </si>
  <si>
    <t>ES0031408323131005HX0F,2023/02/02,15:00,0.228,Real,</t>
  </si>
  <si>
    <t>ES0031408323131005HX0F,2023/02/02,16:00,0.066,Real,</t>
  </si>
  <si>
    <t>ES0031408323131005HX0F,2023/02/02,17:00,0.051,Real,</t>
  </si>
  <si>
    <t>ES0031408323131005HX0F,2023/02/02,18:00,0.055,Real,</t>
  </si>
  <si>
    <t>ES0031408323131005HX0F,2023/02/02,19:00,0.016,Real,</t>
  </si>
  <si>
    <t>ES0031408323131005HX0F,2023/02/02,20:00,0.332,Real,</t>
  </si>
  <si>
    <t>ES0031408323131005HX0F,2023/02/02,21:00,0.067,Real,</t>
  </si>
  <si>
    <t>ES0031408323131005HX0F,2023/02/02,22:00,0.042,Real,</t>
  </si>
  <si>
    <t>ES0031408323131005HX0F,2023/02/02,23:00,1.491,Real,</t>
  </si>
  <si>
    <t>ES0031408323131005HX0F,2023/02/02,24:00,1.853,Real,</t>
  </si>
  <si>
    <t>ES0031408323131005HX0F,2023/02/03,01:00,2.135,Real,</t>
  </si>
  <si>
    <t>ES0031408323131005HX0F,2023/02/03,02:00,1.765,Real,</t>
  </si>
  <si>
    <t>ES0031408323131005HX0F,2023/02/03,03:00,1.554,Real,</t>
  </si>
  <si>
    <t>ES0031408323131005HX0F,2023/02/03,04:00,1.549,Real,</t>
  </si>
  <si>
    <t>ES0031408323131005HX0F,2023/02/03,05:00,1.518,Real,</t>
  </si>
  <si>
    <t>ES0031408323131005HX0F,2023/02/03,06:00,1.861,Real,</t>
  </si>
  <si>
    <t>ES0031408323131005HX0F,2023/02/03,07:00,1.519,Real,</t>
  </si>
  <si>
    <t>ES0031408323131005HX0F,2023/02/03,08:00,1.056,Real,</t>
  </si>
  <si>
    <t>ES0031408323131005HX0F,2023/02/03,09:00,0.786,Real,</t>
  </si>
  <si>
    <t>ES0031408323131005HX0F,2023/02/03,10:00,0.158,Real,</t>
  </si>
  <si>
    <t>ES0031408323131005HX0F,2023/02/03,11:00,0.018,Real,</t>
  </si>
  <si>
    <t>ES0031408323131005HX0F,2023/02/03,12:00,0.034,Real,</t>
  </si>
  <si>
    <t>ES0031408323131005HX0F,2023/02/03,13:00,0.09,Real,</t>
  </si>
  <si>
    <t>ES0031408323131005HX0F,2023/02/03,14:00,0.68,Real,</t>
  </si>
  <si>
    <t>ES0031408323131005HX0F,2023/02/03,15:00,0.713,Real,</t>
  </si>
  <si>
    <t>ES0031408323131005HX0F,2023/02/03,16:00,0.104,Real,</t>
  </si>
  <si>
    <t>ES0031408323131005HX0F,2023/02/03,17:00,0.102,Real,</t>
  </si>
  <si>
    <t>ES0031408323131005HX0F,2023/02/03,18:00,0.101,Real,</t>
  </si>
  <si>
    <t>ES0031408323131005HX0F,2023/02/03,19:00,0.336,Real,</t>
  </si>
  <si>
    <t>ES0031408323131005HX0F,2023/02/03,20:00,0.016,Real,</t>
  </si>
  <si>
    <t>ES0031408323131005HX0F,2023/02/03,21:00,0.049,Real,</t>
  </si>
  <si>
    <t>ES0031408323131005HX0F,2023/02/03,22:00,0.1,Real,</t>
  </si>
  <si>
    <t>ES0031408323131005HX0F,2023/02/03,23:00,0.016,Real,</t>
  </si>
  <si>
    <t>ES0031408323131005HX0F,2023/02/03,24:00,1.959,Real,</t>
  </si>
  <si>
    <t>ES0031408323131005HX0F,2023/02/04,01:00,2.45,Real,</t>
  </si>
  <si>
    <t>ES0031408323131005HX0F,2023/02/04,02:00,1.72,Real,</t>
  </si>
  <si>
    <t>ES0031408323131005HX0F,2023/02/04,03:00,1.638,Real,</t>
  </si>
  <si>
    <t>ES0031408323131005HX0F,2023/02/04,04:00,1.78,Real,</t>
  </si>
  <si>
    <t>ES0031408323131005HX0F,2023/02/04,05:00,1.615,Real,</t>
  </si>
  <si>
    <t>ES0031408323131005HX0F,2023/02/04,06:00,1.554,Real,</t>
  </si>
  <si>
    <t>ES0031408323131005HX0F,2023/02/04,07:00,1.563,Real,</t>
  </si>
  <si>
    <t>ES0031408323131005HX0F,2023/02/04,08:00,1.601,Real,</t>
  </si>
  <si>
    <t>ES0031408323131005HX0F,2023/02/04,09:00,1.534,Real,</t>
  </si>
  <si>
    <t>ES0031408323131005HX0F,2023/02/04,10:00,1.59,Real,</t>
  </si>
  <si>
    <t>ES0031408323131005HX0F,2023/02/04,11:00,2.239,Real,</t>
  </si>
  <si>
    <t>ES0031408323131005HX0F,2023/02/04,12:00,2.121,Real,</t>
  </si>
  <si>
    <t>ES0031408323131005HX0F,2023/02/04,13:00,0.424,Real,</t>
  </si>
  <si>
    <t>ES0031408323131005HX0F,2023/02/04,14:00,0.04,Real,</t>
  </si>
  <si>
    <t>ES0031408323131005HX0F,2023/02/04,15:00,0.071,Real,</t>
  </si>
  <si>
    <t>ES0031408323131005HX0F,2023/02/04,16:00,0.016,Real,</t>
  </si>
  <si>
    <t>ES0031408323131005HX0F,2023/02/04,17:00,0.288,Real,</t>
  </si>
  <si>
    <t>ES0031408323131005HX0F,2023/02/04,18:00,0.11,Real,</t>
  </si>
  <si>
    <t>ES0031408323131005HX0F,2023/02/04,19:00,0.039,Real,</t>
  </si>
  <si>
    <t>ES0031408323131005HX0F,2023/02/04,20:00,0.046,Real,</t>
  </si>
  <si>
    <t>ES0031408323131005HX0F,2023/02/04,21:00,0.017,Real,</t>
  </si>
  <si>
    <t>ES0031408323131005HX0F,2023/02/04,22:00,0.052,Real,</t>
  </si>
  <si>
    <t>ES0031408323131005HX0F,2023/02/04,23:00,1.248,Real,</t>
  </si>
  <si>
    <t>ES0031408323131005HX0F,2023/02/04,24:00,0.605,Real,</t>
  </si>
  <si>
    <t>ES0031408323131005HX0F,2023/02/05,01:00,0.191,Real,</t>
  </si>
  <si>
    <t>ES0031408323131005HX0F,2023/02/05,02:00,0.411,Real,</t>
  </si>
  <si>
    <t>ES0031408323131005HX0F,2023/02/05,03:00,1.149,Real,</t>
  </si>
  <si>
    <t>ES0031408323131005HX0F,2023/02/05,04:00,1.215,Real,</t>
  </si>
  <si>
    <t>ES0031408323131005HX0F,2023/02/05,05:00,1.547,Real,</t>
  </si>
  <si>
    <t>ES0031408323131005HX0F,2023/02/05,06:00,1.428,Real,</t>
  </si>
  <si>
    <t>ES0031408323131005HX0F,2023/02/05,07:00,1.286,Real,</t>
  </si>
  <si>
    <t>ES0031408323131005HX0F,2023/02/05,08:00,0.886,Real,</t>
  </si>
  <si>
    <t>ES0031408323131005HX0F,2023/02/05,09:00,1.21,Real,</t>
  </si>
  <si>
    <t>ES0031408323131005HX0F,2023/02/05,10:00,1.054,Real,</t>
  </si>
  <si>
    <t>ES0031408323131005HX0F,2023/02/05,11:00,1.225,Real,</t>
  </si>
  <si>
    <t>ES0031408323131005HX0F,2023/02/05,12:00,0.308,Real,</t>
  </si>
  <si>
    <t>ES0031408323131005HX0F,2023/02/05,13:00,0.6,Real,</t>
  </si>
  <si>
    <t>ES0031408323131005HX0F,2023/02/05,14:00,1.517,Real,</t>
  </si>
  <si>
    <t>ES0031408323131005HX0F,2023/02/05,15:00,1.044,Real,</t>
  </si>
  <si>
    <t>ES0031408323131005HX0F,2023/02/05,16:00,2.948,Real,</t>
  </si>
  <si>
    <t>ES0031408323131005HX0F,2023/02/05,17:00,1.159,Real,</t>
  </si>
  <si>
    <t>ES0031408323131005HX0F,2023/02/05,18:00,1.644,Real,</t>
  </si>
  <si>
    <t>ES0031408323131005HX0F,2023/02/05,19:00,0.966,Real,</t>
  </si>
  <si>
    <t>ES0031408323131005HX0F,2023/02/05,20:00,0.881,Real,</t>
  </si>
  <si>
    <t>ES0031408323131005HX0F,2023/02/05,21:00,2.918,Real,</t>
  </si>
  <si>
    <t>ES0031408323131005HX0F,2023/02/05,22:00,2.286,Real,</t>
  </si>
  <si>
    <t>ES0031408323131005HX0F,2023/02/05,23:00,1.728,Real,</t>
  </si>
  <si>
    <t>ES0031408323131005HX0F,2023/02/05,24:00,1.989,Real,</t>
  </si>
  <si>
    <t>ES0031408323131005HX0F,2023/02/06,01:00,1.666,Real,</t>
  </si>
  <si>
    <t>ES0031408323131005HX0F,2023/02/06,02:00,1.486,Real,</t>
  </si>
  <si>
    <t>ES0031408323131005HX0F,2023/02/06,03:00,1.543,Real,</t>
  </si>
  <si>
    <t>ES0031408323131005HX0F,2023/02/06,04:00,1.533,Real,</t>
  </si>
  <si>
    <t>ES0031408323131005HX0F,2023/02/06,05:00,1.541,Real,</t>
  </si>
  <si>
    <t>ES0031408323131005HX0F,2023/02/06,06:00,1.781,Real,</t>
  </si>
  <si>
    <t>ES0031408323131005HX0F,2023/02/06,07:00,1.501,Real,</t>
  </si>
  <si>
    <t>ES0031408323131005HX0F,2023/02/06,08:00,0.939,Real,</t>
  </si>
  <si>
    <t>ES0031408323131005HX0F,2023/02/06,09:00,0.678,Real,</t>
  </si>
  <si>
    <t>ES0031408323131005HX0F,2023/02/06,10:00,2.233,Real,</t>
  </si>
  <si>
    <t>ES0031408323131005HX0F,2023/02/06,11:00,1.291,Real,</t>
  </si>
  <si>
    <t>ES0031408323131005HX0F,2023/02/06,12:00,0.762,Real,</t>
  </si>
  <si>
    <t>ES0031408323131005HX0F,2023/02/06,13:00,0.716,Real,</t>
  </si>
  <si>
    <t>ES0031408323131005HX0F,2023/02/06,14:00,0.804,Real,</t>
  </si>
  <si>
    <t>ES0031408323131005HX0F,2023/02/06,15:00,0.701,Real,</t>
  </si>
  <si>
    <t>ES0031408323131005HX0F,2023/02/06,16:00,0.963,Real,</t>
  </si>
  <si>
    <t>ES0031408323131005HX0F,2023/02/06,17:00,0.793,Real,</t>
  </si>
  <si>
    <t>ES0031408323131005HX0F,2023/02/06,18:00,0.695,Real,</t>
  </si>
  <si>
    <t>ES0031408323131005HX0F,2023/02/06,19:00,0.709,Real,</t>
  </si>
  <si>
    <t>ES0031408323131005HX0F,2023/02/06,20:00,0.742,Real,</t>
  </si>
  <si>
    <t>ES0031408323131005HX0F,2023/02/06,21:00,0.75,Real,</t>
  </si>
  <si>
    <t>ES0031408323131005HX0F,2023/02/06,22:00,0.503,Real,</t>
  </si>
  <si>
    <t>ES0031408323131005HX0F,2023/02/06,23:00,2.618,Real,</t>
  </si>
  <si>
    <t>ES0031408323131005HX0F,2023/02/06,24:00,1.98,Real,</t>
  </si>
  <si>
    <t>ES0031408323131005HX0F,2023/02/07,01:00,1.479,Real,</t>
  </si>
  <si>
    <t>ES0031408323131005HX0F,2023/02/07,02:00,1.517,Real,</t>
  </si>
  <si>
    <t>ES0031408323131005HX0F,2023/02/07,03:00,1.509,Real,</t>
  </si>
  <si>
    <t>ES0031408323131005HX0F,2023/02/07,04:00,1.538,Real,</t>
  </si>
  <si>
    <t>ES0031408323131005HX0F,2023/02/07,05:00,1.743,Real,</t>
  </si>
  <si>
    <t>ES0031408323131005HX0F,2023/02/07,06:00,1.503,Real,</t>
  </si>
  <si>
    <t>ES0031408323131005HX0F,2023/02/07,07:00,1.413,Real,</t>
  </si>
  <si>
    <t>ES0031408323131005HX0F,2023/02/07,08:00,0.365,Real,</t>
  </si>
  <si>
    <t>ES0031408323131005HX0F,2023/02/07,09:00,0.113,Real,</t>
  </si>
  <si>
    <t>ES0031408323131005HX0F,2023/02/07,10:00,0.572,Real,</t>
  </si>
  <si>
    <t>ES0031408323131005HX0F,2023/02/07,11:00,1.082,Real,</t>
  </si>
  <si>
    <t>ES0031408323131005HX0F,2023/02/07,12:00,0.855,Real,</t>
  </si>
  <si>
    <t>ES0031408323131005HX0F,2023/02/07,13:00,0.115,Real,</t>
  </si>
  <si>
    <t>ES0031408323131005HX0F,2023/02/07,14:00,0.219,Real,</t>
  </si>
  <si>
    <t>ES0031408323131005HX0F,2023/02/07,15:00,0.164,Real,</t>
  </si>
  <si>
    <t>ES0031408323131005HX0F,2023/02/07,16:00,0.301,Real,</t>
  </si>
  <si>
    <t>ES0031408323131005HX0F,2023/02/07,17:00,1.161,Real,</t>
  </si>
  <si>
    <t>ES0031408323131005HX0F,2023/02/07,18:00,1.313,Real,</t>
  </si>
  <si>
    <t>ES0031408323131005HX0F,2023/02/07,19:00,1.485,Real,</t>
  </si>
  <si>
    <t>ES0031408323131005HX0F,2023/02/07,20:00,1.748,Real,</t>
  </si>
  <si>
    <t>ES0031408323131005HX0F,2023/02/07,21:00,1.899,Real,</t>
  </si>
  <si>
    <t>ES0031408323131005HX0F,2023/02/07,22:00,4.08,Real,</t>
  </si>
  <si>
    <t>ES0031408323131005HX0F,2023/02/07,23:00,1.921,Real,</t>
  </si>
  <si>
    <t>ES0031408323131005HX0F,2023/02/07,24:00,0.837,Real,</t>
  </si>
  <si>
    <t>ES0031408323131005HX0F,2023/02/08,01:00,0.826,Real,</t>
  </si>
  <si>
    <t>ES0031408323131005HX0F,2023/02/08,02:00,0.81,Real,</t>
  </si>
  <si>
    <t>ES0031408323131005HX0F,2023/02/08,03:00,1.114,Real,</t>
  </si>
  <si>
    <t>ES0031408323131005HX0F,2023/02/08,04:00,0.79,Real,</t>
  </si>
  <si>
    <t>ES0031408323131005HX0F,2023/02/08,05:00,0.851,Real,</t>
  </si>
  <si>
    <t>ES0031408323131005HX0F,2023/02/08,06:00,0.814,Real,</t>
  </si>
  <si>
    <t>ES0031408323131005HX0F,2023/02/08,07:00,1.567,Real,</t>
  </si>
  <si>
    <t>ES0031408323131005HX0F,2023/02/08,08:00,2.08,Real,</t>
  </si>
  <si>
    <t>ES0031408323131005HX0F,2023/02/08,09:00,1.113,Real,</t>
  </si>
  <si>
    <t>ES0031408323131005HX0F,2023/02/08,10:00,1.229,Real,</t>
  </si>
  <si>
    <t>ES0031408323131005HX0F,2023/02/08,11:00,1.343,Real,</t>
  </si>
  <si>
    <t>ES0031408323131005HX0F,2023/02/08,12:00,0.413,Real,</t>
  </si>
  <si>
    <t>ES0031408323131005HX0F,2023/02/08,13:00,0.39,Real,</t>
  </si>
  <si>
    <t>ES0031408323131005HX0F,2023/02/08,14:00,2.049,Real,</t>
  </si>
  <si>
    <t>ES0031408323131005HX0F,2023/02/08,15:00,1.114,Real,</t>
  </si>
  <si>
    <t>ES0031408323131005HX0F,2023/02/08,16:00,0.048,Real,</t>
  </si>
  <si>
    <t>ES0031408323131005HX0F,2023/02/08,17:00,0.059,Real,</t>
  </si>
  <si>
    <t>ES0031408323131005HX0F,2023/02/08,18:00,0.059,Real,</t>
  </si>
  <si>
    <t>ES0031408323131005HX0F,2023/02/08,19:00,0.017,Real,</t>
  </si>
  <si>
    <t>ES0031408323131005HX0F,2023/02/08,20:00,0.381,Real,</t>
  </si>
  <si>
    <t>ES0031408323131005HX0F,2023/02/08,21:00,2.428,Real,</t>
  </si>
  <si>
    <t>ES0031408323131005HX0F,2023/02/08,22:00,2.416,Real,</t>
  </si>
  <si>
    <t>ES0031408323131005HX0F,2023/02/08,23:00,1.911,Real,</t>
  </si>
  <si>
    <t>ES0031408323131005HX0F,2023/02/08,24:00,1.183,Real,</t>
  </si>
  <si>
    <t>ES0031408323131005HX0F,2023/02/09,01:00,1.014,Real,</t>
  </si>
  <si>
    <t>ES0031408323131005HX0F,2023/02/09,02:00,1.484,Real,</t>
  </si>
  <si>
    <t>ES0031408323131005HX0F,2023/02/09,03:00,0.851,Real,</t>
  </si>
  <si>
    <t>ES0031408323131005HX0F,2023/02/09,04:00,0.803,Real,</t>
  </si>
  <si>
    <t>ES0031408323131005HX0F,2023/02/09,05:00,0.813,Real,</t>
  </si>
  <si>
    <t>ES0031408323131005HX0F,2023/02/09,06:00,1.231,Real,</t>
  </si>
  <si>
    <t>ES0031408323131005HX0F,2023/02/09,07:00,0.778,Real,</t>
  </si>
  <si>
    <t>ES0031408323131005HX0F,2023/02/09,08:00,0.81,Real,</t>
  </si>
  <si>
    <t>ES0031408323131005HX0F,2023/02/09,09:00,0.825,Real,</t>
  </si>
  <si>
    <t>ES0031408323131005HX0F,2023/02/09,10:00,0.775,Real,</t>
  </si>
  <si>
    <t>ES0031408323131005HX0F,2023/02/09,11:00,0.679,Real,</t>
  </si>
  <si>
    <t>ES0031408323131005HX0F,2023/02/09,12:00,0.108,Real,</t>
  </si>
  <si>
    <t>ES0031408323131005HX0F,2023/02/09,13:00,0.101,Real,</t>
  </si>
  <si>
    <t>ES0031408323131005HX0F,2023/02/09,14:00,0.096,Real,</t>
  </si>
  <si>
    <t>ES0031408323131005HX0F,2023/02/09,15:00,0.354,Real,</t>
  </si>
  <si>
    <t>ES0031408323131005HX0F,2023/02/09,16:00,0.017,Real,</t>
  </si>
  <si>
    <t>ES0031408323131005HX0F,2023/02/09,17:00,0.064,Real,</t>
  </si>
  <si>
    <t>ES0031408323131005HX0F,2023/02/09,18:00,0.056,Real,</t>
  </si>
  <si>
    <t>ES0031408323131005HX0F,2023/02/09,19:00,0.017,Real,</t>
  </si>
  <si>
    <t>ES0031408323131005HX0F,2023/02/09,20:00,0.059,Real,</t>
  </si>
  <si>
    <t>ES0031408323131005HX0F,2023/02/09,21:00,1.153,Real,</t>
  </si>
  <si>
    <t>ES0031408323131005HX0F,2023/02/09,22:00,1.875,Real,</t>
  </si>
  <si>
    <t>ES0031408323131005HX0F,2023/02/09,23:00,2.101,Real,</t>
  </si>
  <si>
    <t>ES0031408323131005HX0F,2023/02/09,24:00,2.287,Real,</t>
  </si>
  <si>
    <t>ES0031408323131005HX0F,2023/02/10,01:00,1.445,Real,</t>
  </si>
  <si>
    <t>ES0031408323131005HX0F,2023/02/10,02:00,1.778,Real,</t>
  </si>
  <si>
    <t>ES0031408323131005HX0F,2023/02/10,03:00,1.517,Real,</t>
  </si>
  <si>
    <t>ES0031408323131005HX0F,2023/02/10,04:00,1.468,Real,</t>
  </si>
  <si>
    <t>ES0031408323131005HX0F,2023/02/10,05:00,1.464,Real,</t>
  </si>
  <si>
    <t>ES0031408323131005HX0F,2023/02/10,06:00,1.522,Real,</t>
  </si>
  <si>
    <t>ES0031408323131005HX0F,2023/02/10,07:00,1.486,Real,</t>
  </si>
  <si>
    <t>ES0031408323131005HX0F,2023/02/10,08:00,1.733,Real,</t>
  </si>
  <si>
    <t>ES0031408323131005HX0F,2023/02/10,09:00,1.435,Real,</t>
  </si>
  <si>
    <t>ES0031408323131005HX0F,2023/02/10,10:00,1.493,Real,</t>
  </si>
  <si>
    <t>ES0031408323131005HX0F,2023/02/10,11:00,1.022,Real,</t>
  </si>
  <si>
    <t>ES0031408323131005HX0F,2023/02/10,12:00,1.6,Real,</t>
  </si>
  <si>
    <t>ES0031408323131005HX0F,2023/02/10,13:00,1.266,Real,</t>
  </si>
  <si>
    <t>ES0031408323131005HX0F,2023/02/10,14:00,1.518,Real,</t>
  </si>
  <si>
    <t>ES0031408323131005HX0F,2023/02/10,15:00,1.585,Real,</t>
  </si>
  <si>
    <t>ES0031408323131005HX0F,2023/02/10,16:00,0.092,Real,</t>
  </si>
  <si>
    <t>ES0031408323131005HX0F,2023/02/10,17:00,0.033,Real,</t>
  </si>
  <si>
    <t>ES0031408323131005HX0F,2023/02/10,18:00,0.106,Real,</t>
  </si>
  <si>
    <t>ES0031408323131005HX0F,2023/02/10,19:00,0.049,Real,</t>
  </si>
  <si>
    <t>ES0031408323131005HX0F,2023/02/10,20:00,2.101,Real,</t>
  </si>
  <si>
    <t>ES0031408323131005HX0F,2023/02/10,21:00,1.919,Real,</t>
  </si>
  <si>
    <t>ES0031408323131005HX0F,2023/02/10,22:00,3.141,Real,</t>
  </si>
  <si>
    <t>ES0031408323131005HX0F,2023/02/10,23:00,3.493,Real,</t>
  </si>
  <si>
    <t>ES0031408323131005HX0F,2023/02/10,24:00,1.854,Real,</t>
  </si>
  <si>
    <t>ES0031408323131005HX0F,2023/02/11,01:00,1.901,Real,</t>
  </si>
  <si>
    <t>ES0031408323131005HX0F,2023/02/11,02:00,2.016,Real,</t>
  </si>
  <si>
    <t>ES0031408323131005HX0F,2023/02/11,03:00,1.865,Real,</t>
  </si>
  <si>
    <t>ES0031408323131005HX0F,2023/02/11,04:00,1.813,Real,</t>
  </si>
  <si>
    <t>ES0031408323131005HX0F,2023/02/11,05:00,1.762,Real,</t>
  </si>
  <si>
    <t>ES0031408323131005HX0F,2023/02/11,06:00,1.785,Real,</t>
  </si>
  <si>
    <t>ES0031408323131005HX0F,2023/02/11,07:00,1.809,Real,</t>
  </si>
  <si>
    <t>ES0031408323131005HX0F,2023/02/11,08:00,1.837,Real,</t>
  </si>
  <si>
    <t>ES0031408323131005HX0F,2023/02/11,09:00,1.952,Real,</t>
  </si>
  <si>
    <t>ES0031408323131005HX0F,2023/02/11,10:00,1.826,Real,</t>
  </si>
  <si>
    <t>ES0031408323131005HX0F,2023/02/11,11:00,1.337,Real,</t>
  </si>
  <si>
    <t>ES0031408323131005HX0F,2023/02/11,12:00,0.144,Real,</t>
  </si>
  <si>
    <t>ES0031408323131005HX0F,2023/02/11,13:00,0.081,Real,</t>
  </si>
  <si>
    <t>ES0031408323131005HX0F,2023/02/11,14:00,0.347,Real,</t>
  </si>
  <si>
    <t>ES0031408323131005HX0F,2023/02/11,15:00,0.016,Real,</t>
  </si>
  <si>
    <t>ES0031408323131005HX0F,2023/02/11,16:00,0.05,Real,</t>
  </si>
  <si>
    <t>ES0031408323131005HX0F,2023/02/11,17:00,0.05,Real,</t>
  </si>
  <si>
    <t>ES0031408323131005HX0F,2023/02/11,18:00,0.044,Real,</t>
  </si>
  <si>
    <t>ES0031408323131005HX0F,2023/02/11,19:00,0.154,Real,</t>
  </si>
  <si>
    <t>ES0031408323131005HX0F,2023/02/11,20:00,1.478,Real,</t>
  </si>
  <si>
    <t>ES0031408323131005HX0F,2023/02/11,21:00,3.203,Real,</t>
  </si>
  <si>
    <t>ES0031408323131005HX0F,2023/02/11,22:00,4.263,Real,</t>
  </si>
  <si>
    <t>ES0031408323131005HX0F,2023/02/11,23:00,2.532,Real,</t>
  </si>
  <si>
    <t>ES0031408323131005HX0F,2023/02/11,24:00,2.549,Real,</t>
  </si>
  <si>
    <t>ES0031408323131005HX0F,2023/02/12,01:00,1.96,Real,</t>
  </si>
  <si>
    <t>ES0031408323131005HX0F,2023/02/12,02:00,1.788,Real,</t>
  </si>
  <si>
    <t>ES0031408323131005HX0F,2023/02/12,03:00,1.746,Real,</t>
  </si>
  <si>
    <t>ES0031408323131005HX0F,2023/02/12,04:00,1.714,Real,</t>
  </si>
  <si>
    <t>ES0031408323131005HX0F,2023/02/12,05:00,1.759,Real,</t>
  </si>
  <si>
    <t>ES0031408323131005HX0F,2023/02/12,06:00,1.738,Real,</t>
  </si>
  <si>
    <t>ES0031408323131005HX0F,2023/02/12,07:00,1.986,Real,</t>
  </si>
  <si>
    <t>ES0031408323131005HX0F,2023/02/12,08:00,1.73,Real,</t>
  </si>
  <si>
    <t>ES0031408323131005HX0F,2023/02/12,09:00,1.73,Real,</t>
  </si>
  <si>
    <t>ES0031408323131005HX0F,2023/02/12,10:00,1.729,Real,</t>
  </si>
  <si>
    <t>ES0031408323131005HX0F,2023/02/12,11:00,1.276,Real,</t>
  </si>
  <si>
    <t>ES0031408323131005HX0F,2023/02/12,12:00,1.36,Real,</t>
  </si>
  <si>
    <t>ES0031408323131005HX0F,2023/02/12,13:00,1.633,Real,</t>
  </si>
  <si>
    <t>ES0031408323131005HX0F,2023/02/12,14:00,1.588,Real,</t>
  </si>
  <si>
    <t>ES0031408323131005HX0F,2023/02/12,15:00,0.089,Real,</t>
  </si>
  <si>
    <t>ES0031408323131005HX0F,2023/02/12,16:00,0.382,Real,</t>
  </si>
  <si>
    <t>ES0031408323131005HX0F,2023/02/12,17:00,2.241,Real,</t>
  </si>
  <si>
    <t>ES0031408323131005HX0F,2023/02/12,18:00,2.786,Real,</t>
  </si>
  <si>
    <t>ES0031408323131005HX0F,2023/02/12,19:00,2.814,Real,</t>
  </si>
  <si>
    <t>ES0031408323131005HX0F,2023/02/12,20:00,2.241,Real,</t>
  </si>
  <si>
    <t>ES0031408323131005HX0F,2023/02/12,21:00,2.292,Real,</t>
  </si>
  <si>
    <t>ES0031408323131005HX0F,2023/02/12,22:00,3.107,Real,</t>
  </si>
  <si>
    <t>ES0031408323131005HX0F,2023/02/12,23:00,2.882,Real,</t>
  </si>
  <si>
    <t>ES0031408323131005HX0F,2023/02/12,24:00,2.053,Real,</t>
  </si>
  <si>
    <t>ES0031408323131005HX0F,2023/02/13,01:00,1.829,Real,</t>
  </si>
  <si>
    <t>ES0031408323131005HX0F,2023/02/13,02:00,2.116,Real,</t>
  </si>
  <si>
    <t>ES0031408323131005HX0F,2023/02/13,03:00,1.897,Real,</t>
  </si>
  <si>
    <t>ES0031408323131005HX0F,2023/02/13,04:00,1.795,Real,</t>
  </si>
  <si>
    <t>ES0031408323131005HX0F,2023/02/13,05:00,1.849,Real,</t>
  </si>
  <si>
    <t>ES0031408323131005HX0F,2023/02/13,06:00,1.853,Real,</t>
  </si>
  <si>
    <t>ES0031408323131005HX0F,2023/02/13,07:00,1.787,Real,</t>
  </si>
  <si>
    <t>ES0031408323131005HX0F,2023/02/13,08:00,1.436,Real,</t>
  </si>
  <si>
    <t>ES0031408323131005HX0F,2023/02/13,09:00,0.051,Real,</t>
  </si>
  <si>
    <t>ES0031408323131005HX0F,2023/02/13,10:00,1.454,Real,</t>
  </si>
  <si>
    <t>ES0031408323131005HX0F,2023/02/13,11:00,4.089,Real,</t>
  </si>
  <si>
    <t>ES0031408323131005HX0F,2023/02/13,12:00,2.473,Real,</t>
  </si>
  <si>
    <t>ES0031408323131005HX0F,2023/02/13,13:00,1.764,Real,</t>
  </si>
  <si>
    <t>ES0031408323131005HX0F,2023/02/13,14:00,2.147,Real,</t>
  </si>
  <si>
    <t>ES0031408323131005HX0F,2023/02/13,15:00,0.186,Real,</t>
  </si>
  <si>
    <t>ES0031408323131005HX0F,2023/02/13,16:00,0.342,Real,</t>
  </si>
  <si>
    <t>ES0031408323131005HX0F,2023/02/13,17:00,0.017,Real,</t>
  </si>
  <si>
    <t>ES0031408323131005HX0F,2023/02/13,18:00,0.054,Real,</t>
  </si>
  <si>
    <t>ES0031408323131005HX0F,2023/02/13,19:00,0.054,Real,</t>
  </si>
  <si>
    <t>ES0031408323131005HX0F,2023/02/13,20:00,0.045,Real,</t>
  </si>
  <si>
    <t>ES0031408323131005HX0F,2023/02/13,21:00,0.017,Real,</t>
  </si>
  <si>
    <t>ES0031408323131005HX0F,2023/02/13,22:00,1.324,Real,</t>
  </si>
  <si>
    <t>ES0031408323131005HX0F,2023/02/13,23:00,1.7,Real,</t>
  </si>
  <si>
    <t>ES0031408323131005HX0F,2023/02/13,24:00,0.017,Real,</t>
  </si>
  <si>
    <t>ES0031408323131005HX0F,2023/02/14,01:00,1.948,Real,</t>
  </si>
  <si>
    <t>ES0031408323131005HX0F,2023/02/14,02:00,1.868,Real,</t>
  </si>
  <si>
    <t>ES0031408323131005HX0F,2023/02/14,03:00,1.488,Real,</t>
  </si>
  <si>
    <t>ES0031408323131005HX0F,2023/02/14,04:00,1.541,Real,</t>
  </si>
  <si>
    <t>ES0031408323131005HX0F,2023/02/14,05:00,1.526,Real,</t>
  </si>
  <si>
    <t>ES0031408323131005HX0F,2023/02/14,06:00,1.509,Real,</t>
  </si>
  <si>
    <t>ES0031408323131005HX0F,2023/02/14,07:00,1.704,Real,</t>
  </si>
  <si>
    <t>ES0031408323131005HX0F,2023/02/14,08:00,1.392,Real,</t>
  </si>
  <si>
    <t>ES0031408323131005HX0F,2023/02/14,09:00,0.894,Real,</t>
  </si>
  <si>
    <t>ES0031408323131005HX0F,2023/02/14,10:00,0.865,Real,</t>
  </si>
  <si>
    <t>ES0031408323131005HX0F,2023/02/14,11:00,1.513,Real,</t>
  </si>
  <si>
    <t>ES0031408323131005HX0F,2023/02/14,12:00,1.547,Real,</t>
  </si>
  <si>
    <t>ES0031408323131005HX0F,2023/02/14,13:00,0.112,Real,</t>
  </si>
  <si>
    <t>ES0031408323131005HX0F,2023/02/14,14:00,0.968,Real,</t>
  </si>
  <si>
    <t>ES0031408323131005HX0F,2023/02/14,15:00,0.538,Real,</t>
  </si>
  <si>
    <t>ES0031408323131005HX0F,2023/02/14,16:00,0.062,Real,</t>
  </si>
  <si>
    <t>ES0031408323131005HX0F,2023/02/14,17:00,0.283,Real,</t>
  </si>
  <si>
    <t>ES0031408323131005HX0F,2023/02/14,18:00,0.083,Real,</t>
  </si>
  <si>
    <t>ES0031408323131005HX0F,2023/02/14,19:00,0.049,Real,</t>
  </si>
  <si>
    <t>ES0031408323131005HX0F,2023/02/14,20:00,0.017,Real,</t>
  </si>
  <si>
    <t>ES0031408323131005HX0F,2023/02/14,21:00,0.049,Real,</t>
  </si>
  <si>
    <t>ES0031408323131005HX0F,2023/02/14,22:00,0.056,Real,</t>
  </si>
  <si>
    <t>ES0031408323131005HX0F,2023/02/14,23:00,2.289,Real,</t>
  </si>
  <si>
    <t>ES0031408323131005HX0F,2023/02/14,24:00,2.237,Real,</t>
  </si>
  <si>
    <t>ES0031408323131005HX0F,2023/02/15,01:00,1.58,Real,</t>
  </si>
  <si>
    <t>ES0031408323131005HX0F,2023/02/15,02:00,1.226,Real,</t>
  </si>
  <si>
    <t>ES0031408323131005HX0F,2023/02/15,03:00,1.564,Real,</t>
  </si>
  <si>
    <t>ES0031408323131005HX0F,2023/02/15,04:00,1.336,Real,</t>
  </si>
  <si>
    <t>ES0031408323131005HX0F,2023/02/15,05:00,1.253,Real,</t>
  </si>
  <si>
    <t>ES0031408323131005HX0F,2023/02/15,06:00,1.259,Real,</t>
  </si>
  <si>
    <t>ES0031408323131005HX0F,2023/02/15,07:00,1.33,Real,</t>
  </si>
  <si>
    <t>ES0031408323131005HX0F,2023/02/15,08:00,1.425,Real,</t>
  </si>
  <si>
    <t>ES0031408323131005HX0F,2023/02/15,09:00,1.063,Real,</t>
  </si>
  <si>
    <t>ES0031408323131005HX0F,2023/02/15,10:00,0.016,Real,</t>
  </si>
  <si>
    <t>ES0031408323131005HX0F,2023/02/15,11:00,0.06,Real,</t>
  </si>
  <si>
    <t>ES0031408323131005HX0F,2023/02/15,12:00,0.08,Real,</t>
  </si>
  <si>
    <t>ES0031408323131005HX0F,2023/02/15,13:00,0.016,Real,</t>
  </si>
  <si>
    <t>ES0031408323131005HX0F,2023/02/15,14:00,1.289,Real,</t>
  </si>
  <si>
    <t>ES0031408323131005HX0F,2023/02/15,15:00,1.458,Real,</t>
  </si>
  <si>
    <t>ES0031408323131005HX0F,2023/02/15,16:00,0.015,Real,</t>
  </si>
  <si>
    <t>ES0031408323131005HX0F,2023/02/15,17:00,0.069,Real,</t>
  </si>
  <si>
    <t>ES0031408323131005HX0F,2023/02/15,18:00,0.041,Real,</t>
  </si>
  <si>
    <t>ES0031408323131005HX0F,2023/02/15,19:00,0.018,Real,</t>
  </si>
  <si>
    <t>ES0031408323131005HX0F,2023/02/15,20:00,0.349,Real,</t>
  </si>
  <si>
    <t>ES0031408323131005HX0F,2023/02/15,21:00,0.03,Real,</t>
  </si>
  <si>
    <t>ES0031408323131005HX0F,2023/02/15,22:00,0.047,Real,</t>
  </si>
  <si>
    <t>ES0031408323131005HX0F,2023/02/15,23:00,2.957,Real,</t>
  </si>
  <si>
    <t>ES0031408323131005HX0F,2023/02/15,24:00,2.253,Real,</t>
  </si>
  <si>
    <t>ES0031408323131005HX0F,2023/02/16,01:00,0.991,Real,</t>
  </si>
  <si>
    <t>ES0031408323131005HX0F,2023/02/16,02:00,1.298,Real,</t>
  </si>
  <si>
    <t>ES0031408323131005HX0F,2023/02/16,03:00,1.022,Real,</t>
  </si>
  <si>
    <t>ES0031408323131005HX0F,2023/02/16,04:00,1.056,Real,</t>
  </si>
  <si>
    <t>ES0031408323131005HX0F,2023/02/16,05:00,1.014,Real,</t>
  </si>
  <si>
    <t>ES0031408323131005HX0F,2023/02/16,06:00,0.957,Real,</t>
  </si>
  <si>
    <t>ES0031408323131005HX0F,2023/02/16,07:00,1.327,Real,</t>
  </si>
  <si>
    <t>ES0031408323131005HX0F,2023/02/16,08:00,0.676,Real,</t>
  </si>
  <si>
    <t>ES0031408323131005HX0F,2023/02/16,09:00,0.068,Real,</t>
  </si>
  <si>
    <t>ES0031408323131005HX0F,2023/02/16,10:00,1.0,Real,</t>
  </si>
  <si>
    <t>ES0031408323131005HX0F,2023/02/16,11:00,0.657,Real,</t>
  </si>
  <si>
    <t>ES0031408323131005HX0F,2023/02/16,12:00,0.129,Real,</t>
  </si>
  <si>
    <t>ES0031408323131005HX0F,2023/02/16,13:00,0.059,Real,</t>
  </si>
  <si>
    <t>ES0031408323131005HX0F,2023/02/16,14:00,0.016,Real,</t>
  </si>
  <si>
    <t>ES0031408323131005HX0F,2023/02/16,15:00,0.344,Real,</t>
  </si>
  <si>
    <t>ES0031408323131005HX0F,2023/02/16,16:00,0.039,Real,</t>
  </si>
  <si>
    <t>ES0031408323131005HX0F,2023/02/16,17:00,0.033,Real,</t>
  </si>
  <si>
    <t>ES0031408323131005HX0F,2023/02/16,18:00,0.075,Real,</t>
  </si>
  <si>
    <t>ES0031408323131005HX0F,2023/02/16,19:00,0.016,Real,</t>
  </si>
  <si>
    <t>ES0031408323131005HX0F,2023/02/16,20:00,0.134,Real,</t>
  </si>
  <si>
    <t>ES0031408323131005HX0F,2023/02/16,21:00,1.05,Real,</t>
  </si>
  <si>
    <t>ES0031408323131005HX0F,2023/02/16,22:00,2.064,Real,</t>
  </si>
  <si>
    <t>ES0031408323131005HX0F,2023/02/16,23:00,1.942,Real,</t>
  </si>
  <si>
    <t>ES0031408323131005HX0F,2023/02/16,24:00,1.207,Real,</t>
  </si>
  <si>
    <t>ES0031408323131005HX0F,2023/02/17,01:00,1.069,Real,</t>
  </si>
  <si>
    <t>ES0031408323131005HX0F,2023/02/17,02:00,0.958,Real,</t>
  </si>
  <si>
    <t>ES0031408323131005HX0F,2023/02/17,03:00,0.939,Real,</t>
  </si>
  <si>
    <t>ES0031408323131005HX0F,2023/02/17,04:00,0.939,Real,</t>
  </si>
  <si>
    <t>ES0031408323131005HX0F,2023/02/17,05:00,0.924,Real,</t>
  </si>
  <si>
    <t>ES0031408323131005HX0F,2023/02/17,06:00,1.168,Real,</t>
  </si>
  <si>
    <t>ES0031408323131005HX0F,2023/02/17,07:00,0.927,Real,</t>
  </si>
  <si>
    <t>ES0031408323131005HX0F,2023/02/17,08:00,0.758,Real,</t>
  </si>
  <si>
    <t>ES0031408323131005HX0F,2023/02/17,09:00,0.306,Real,</t>
  </si>
  <si>
    <t>ES0031408323131005HX0F,2023/02/17,10:00,1.375,Real,</t>
  </si>
  <si>
    <t>ES0031408323131005HX0F,2023/02/17,11:00,3.042,Real,</t>
  </si>
  <si>
    <t>ES0031408323131005HX0F,2023/02/17,12:00,1.665,Real,</t>
  </si>
  <si>
    <t>ES0031408323131005HX0F,2023/02/17,13:00,2.221,Real,</t>
  </si>
  <si>
    <t>ES0031408323131005HX0F,2023/02/17,14:00,1.255,Real,</t>
  </si>
  <si>
    <t>ES0031408323131005HX0F,2023/02/17,15:00,0.65,Real,</t>
  </si>
  <si>
    <t>ES0031408323131005HX0F,2023/02/17,16:00,0.111,Real,</t>
  </si>
  <si>
    <t>ES0031408323131005HX0F,2023/02/17,17:00,0.071,Real,</t>
  </si>
  <si>
    <t>ES0031408323131005HX0F,2023/02/17,18:00,0.068,Real,</t>
  </si>
  <si>
    <t>ES0031408323131005HX0F,2023/02/17,19:00,0.016,Real,</t>
  </si>
  <si>
    <t>ES0031408323131005HX0F,2023/02/17,20:00,0.333,Real,</t>
  </si>
  <si>
    <t>ES0031408323131005HX0F,2023/02/17,21:00,0.048,Real,</t>
  </si>
  <si>
    <t>ES0031408323131005HX0F,2023/02/17,22:00,0.045,Real,</t>
  </si>
  <si>
    <t>ES0031408323131005HX0F,2023/02/17,23:00,0.235,Real,</t>
  </si>
  <si>
    <t>ES0031408323131005HX0F,2023/02/17,24:00,2.181,Real,</t>
  </si>
  <si>
    <t>ES0031408323131005HX0F,2023/02/18,01:00,1.794,Real,</t>
  </si>
  <si>
    <t>ES0031408323131005HX0F,2023/02/18,02:00,0.693,Real,</t>
  </si>
  <si>
    <t>ES0031408323131005HX0F,2023/02/18,03:00,1.408,Real,</t>
  </si>
  <si>
    <t>ES0031408323131005HX0F,2023/02/18,04:00,1.408,Real,</t>
  </si>
  <si>
    <t>ES0031408323131005HX0F,2023/02/18,05:00,1.334,Real,</t>
  </si>
  <si>
    <t>ES0031408323131005HX0F,2023/02/18,06:00,1.627,Real,</t>
  </si>
  <si>
    <t>ES0031408323131005HX0F,2023/02/18,07:00,1.432,Real,</t>
  </si>
  <si>
    <t>ES0031408323131005HX0F,2023/02/18,08:00,1.354,Real,</t>
  </si>
  <si>
    <t>ES0031408323131005HX0F,2023/02/18,09:00,1.4,Real,</t>
  </si>
  <si>
    <t>ES0031408323131005HX0F,2023/02/18,10:00,1.645,Real,</t>
  </si>
  <si>
    <t>ES0031408323131005HX0F,2023/02/18,11:00,1.244,Real,</t>
  </si>
  <si>
    <t>ES0031408323131005HX0F,2023/02/18,12:00,0.576,Real,</t>
  </si>
  <si>
    <t>ES0031408323131005HX0F,2023/02/18,13:00,2.393,Real,</t>
  </si>
  <si>
    <t>ES0031408323131005HX0F,2023/02/18,14:00,1.112,Real,</t>
  </si>
  <si>
    <t>ES0031408323131005HX0F,2023/02/18,15:00,0.03,Real,</t>
  </si>
  <si>
    <t>ES0031408323131005HX0F,2023/02/18,16:00,0.082,Real,</t>
  </si>
  <si>
    <t>ES0031408323131005HX0F,2023/02/18,17:00,0.046,Real,</t>
  </si>
  <si>
    <t>ES0031408323131005HX0F,2023/02/18,18:00,0.016,Real,</t>
  </si>
  <si>
    <t>ES0031408323131005HX0F,2023/02/18,19:00,0.381,Real,</t>
  </si>
  <si>
    <t>ES0031408323131005HX0F,2023/02/18,20:00,0.097,Real,</t>
  </si>
  <si>
    <t>ES0031408323131005HX0F,2023/02/18,21:00,0.044,Real,</t>
  </si>
  <si>
    <t>ES0031408323131005HX0F,2023/02/18,22:00,0.016,Real,</t>
  </si>
  <si>
    <t>ES0031408323131005HX0F,2023/02/18,23:00,0.907,Real,</t>
  </si>
  <si>
    <t>ES0031408323131005HX0F,2023/02/18,24:00,2.38,Real,</t>
  </si>
  <si>
    <t>ES0031408323131005HX0F,2023/02/19,01:00,1.895,Real,</t>
  </si>
  <si>
    <t>ES0031408323131005HX0F,2023/02/19,02:00,1.321,Real,</t>
  </si>
  <si>
    <t>ES0031408323131005HX0F,2023/02/19,03:00,0.824,Real,</t>
  </si>
  <si>
    <t>ES0031408323131005HX0F,2023/02/19,04:00,0.454,Real,</t>
  </si>
  <si>
    <t>ES0031408323131005HX0F,2023/02/19,05:00,0.253,Real,</t>
  </si>
  <si>
    <t>ES0031408323131005HX0F,2023/02/19,06:00,0.085,Real,</t>
  </si>
  <si>
    <t>ES0031408323131005HX0F,2023/02/19,07:00,0.028,Real,</t>
  </si>
  <si>
    <t>ES0031408323131005HX0F,2023/02/19,08:00,0.053,Real,</t>
  </si>
  <si>
    <t>ES0031408323131005HX0F,2023/02/19,09:00,0.96,Real,</t>
  </si>
  <si>
    <t>ES0031408323131005HX0F,2023/02/19,10:00,0.234,Real,</t>
  </si>
  <si>
    <t>ES0031408323131005HX0F,2023/02/19,11:00,0.366,Real,</t>
  </si>
  <si>
    <t>ES0031408323131005HX0F,2023/02/19,12:00,0.055,Real,</t>
  </si>
  <si>
    <t>ES0031408323131005HX0F,2023/02/19,13:00,0.042,Real,</t>
  </si>
  <si>
    <t>ES0031408323131005HX0F,2023/02/19,14:00,0.026,Real,</t>
  </si>
  <si>
    <t>ES0031408323131005HX0F,2023/02/19,15:00,0.075,Real,</t>
  </si>
  <si>
    <t>ES0031408323131005HX0F,2023/02/19,16:00,0.297,Real,</t>
  </si>
  <si>
    <t>ES0031408323131005HX0F,2023/02/19,17:00,0.017,Real,</t>
  </si>
  <si>
    <t>ES0031408323131005HX0F,2023/02/19,18:00,0.588,Real,</t>
  </si>
  <si>
    <t>ES0031408323131005HX0F,2023/02/19,19:00,2.225,Real,</t>
  </si>
  <si>
    <t>ES0031408323131005HX0F,2023/02/19,20:00,1.749,Real,</t>
  </si>
  <si>
    <t>ES0031408323131005HX0F,2023/02/19,21:00,0.739,Real,</t>
  </si>
  <si>
    <t>ES0031408323131005HX0F,2023/02/19,22:00,1.774,Real,</t>
  </si>
  <si>
    <t>ES0031408323131005HX0F,2023/02/19,23:00,2.739,Real,</t>
  </si>
  <si>
    <t>ES0031408323131005HX0F,2023/02/19,24:00,1.297,Real,</t>
  </si>
  <si>
    <t>ES0031408323131005HX0F,2023/02/20,01:00,1.06,Real,</t>
  </si>
  <si>
    <t>ES0031408323131005HX0F,2023/02/20,02:00,1.019,Real,</t>
  </si>
  <si>
    <t>ES0031408323131005HX0F,2023/02/20,03:00,1.351,Real,</t>
  </si>
  <si>
    <t>ES0031408323131005HX0F,2023/02/20,04:00,1.067,Real,</t>
  </si>
  <si>
    <t>ES0031408323131005HX0F,2023/02/20,05:00,0.462,Real,</t>
  </si>
  <si>
    <t>ES0031408323131005HX0F,2023/02/20,06:00,0.065,Real,</t>
  </si>
  <si>
    <t>ES0031408323131005HX0F,2023/02/20,07:00,0.198,Real,</t>
  </si>
  <si>
    <t>ES0031408323131005HX0F,2023/02/20,08:00,1.596,Real,</t>
  </si>
  <si>
    <t>ES0031408323131005HX0F,2023/02/20,09:00,1.798,Real,</t>
  </si>
  <si>
    <t>ES0031408323131005HX0F,2023/02/20,10:00,2.032,Real,</t>
  </si>
  <si>
    <t>ES0031408323131005HX0F,2023/02/20,11:00,1.17,Real,</t>
  </si>
  <si>
    <t>ES0031408323131005HX0F,2023/02/20,12:00,0.068,Real,</t>
  </si>
  <si>
    <t>ES0031408323131005HX0F,2023/02/20,13:00,0.909,Real,</t>
  </si>
  <si>
    <t>ES0031408323131005HX0F,2023/02/20,14:00,0.229,Real,</t>
  </si>
  <si>
    <t>ES0031408323131005HX0F,2023/02/20,15:00,0.216,Real,</t>
  </si>
  <si>
    <t>ES0031408323131005HX0F,2023/02/20,16:00,0.081,Real,</t>
  </si>
  <si>
    <t>ES0031408323131005HX0F,2023/02/20,17:00,0.051,Real,</t>
  </si>
  <si>
    <t>ES0031408323131005HX0F,2023/02/20,18:00,0.02,Real,</t>
  </si>
  <si>
    <t>ES0031408323131005HX0F,2023/02/20,19:00,0.049,Real,</t>
  </si>
  <si>
    <t>ES0031408323131005HX0F,2023/02/20,20:00,0.319,Real,</t>
  </si>
  <si>
    <t>ES0031408323131005HX0F,2023/02/20,21:00,3.265,Real,</t>
  </si>
  <si>
    <t>ES0031408323131005HX0F,2023/02/20,22:00,2.149,Real,</t>
  </si>
  <si>
    <t>ES0031408323131005HX0F,2023/02/20,23:00,1.035,Real,</t>
  </si>
  <si>
    <t>ES0031408323131005HX0F,2023/02/20,24:00,1.226,Real,</t>
  </si>
  <si>
    <t>ES0031408323131005HX0F,2023/02/21,01:00,1.862,Real,</t>
  </si>
  <si>
    <t>ES0031408323131005HX0F,2023/02/21,02:00,1.49,Real,</t>
  </si>
  <si>
    <t>ES0031408323131005HX0F,2023/02/21,03:00,0.889,Real,</t>
  </si>
  <si>
    <t>ES0031408323131005HX0F,2023/02/21,04:00,0.853,Real,</t>
  </si>
  <si>
    <t>ES0031408323131005HX0F,2023/02/21,05:00,0.787,Real,</t>
  </si>
  <si>
    <t>ES0031408323131005HX0F,2023/02/21,06:00,0.792,Real,</t>
  </si>
  <si>
    <t>ES0031408323131005HX0F,2023/02/21,07:00,1.144,Real,</t>
  </si>
  <si>
    <t>ES0031408323131005HX0F,2023/02/21,08:00,0.315,Real,</t>
  </si>
  <si>
    <t>ES0031408323131005HX0F,2023/02/21,09:00,0.34,Real,</t>
  </si>
  <si>
    <t>ES0031408323131005HX0F,2023/02/21,10:00,0.078,Real,</t>
  </si>
  <si>
    <t>ES0031408323131005HX0F,2023/02/21,11:00,0.052,Real,</t>
  </si>
  <si>
    <t>ES0031408323131005HX0F,2023/02/21,12:00,0.016,Real,</t>
  </si>
  <si>
    <t>ES0031408323131005HX0F,2023/02/21,13:00,0.089,Real,</t>
  </si>
  <si>
    <t>ES0031408323131005HX0F,2023/02/21,14:00,0.304,Real,</t>
  </si>
  <si>
    <t>ES0031408323131005HX0F,2023/02/21,15:00,0.016,Real,</t>
  </si>
  <si>
    <t>ES0031408323131005HX0F,2023/02/21,16:00,0.073,Real,</t>
  </si>
  <si>
    <t>ES0031408323131005HX0F,2023/02/21,17:00,0.056,Real,</t>
  </si>
  <si>
    <t>ES0031408323131005HX0F,2023/02/21,18:00,0.016,Real,</t>
  </si>
  <si>
    <t>ES0031408323131005HX0F,2023/02/21,19:00,0.059,Real,</t>
  </si>
  <si>
    <t>ES0031408323131005HX0F,2023/02/21,20:00,0.325,Real,</t>
  </si>
  <si>
    <t>ES0031408323131005HX0F,2023/02/21,21:00,0.026,Real,</t>
  </si>
  <si>
    <t>ES0031408323131005HX0F,2023/02/21,22:00,0.254,Real,</t>
  </si>
  <si>
    <t>ES0031408323131005HX0F,2023/02/21,23:00,1.412,Real,</t>
  </si>
  <si>
    <t>ES0031408323131005HX0F,2023/02/21,24:00,2.851,Real,</t>
  </si>
  <si>
    <t>ES0031408323131005HX0F,2023/02/22,01:00,1.039,Real,</t>
  </si>
  <si>
    <t>ES0031408323131005HX0F,2023/02/22,02:00,1.06,Real,</t>
  </si>
  <si>
    <t>ES0031408323131005HX0F,2023/02/22,03:00,0.655,Real,</t>
  </si>
  <si>
    <t>ES0031408323131005HX0F,2023/02/22,04:00,0.674,Real,</t>
  </si>
  <si>
    <t>ES0031408323131005HX0F,2023/02/22,05:00,0.679,Real,</t>
  </si>
  <si>
    <t>ES0031408323131005HX0F,2023/02/22,06:00,0.633,Real,</t>
  </si>
  <si>
    <t>ES0031408323131005HX0F,2023/02/22,07:00,1.215,Real,</t>
  </si>
  <si>
    <t>ES0031408323131005HX0F,2023/02/22,08:00,0.743,Real,</t>
  </si>
  <si>
    <t>ES0031408323131005HX0F,2023/02/22,09:00,0.321,Real,</t>
  </si>
  <si>
    <t>ES0031408323131005HX0F,2023/02/22,10:00,0.059,Real,</t>
  </si>
  <si>
    <t>ES0031408323131005HX0F,2023/02/22,11:00,0.068,Real,</t>
  </si>
  <si>
    <t>ES0031408323131005HX0F,2023/02/22,12:00,0.016,Real,</t>
  </si>
  <si>
    <t>ES0031408323131005HX0F,2023/02/22,13:00,0.043,Real,</t>
  </si>
  <si>
    <t>ES0031408323131005HX0F,2023/02/22,14:00,0.171,Real,</t>
  </si>
  <si>
    <t>ES0031408323131005HX0F,2023/02/22,15:00,0.198,Real,</t>
  </si>
  <si>
    <t>ES0031408323131005HX0F,2023/02/22,16:00,0.019,Real,</t>
  </si>
  <si>
    <t>ES0031408323131005HX0F,2023/02/22,17:00,0.087,Real,</t>
  </si>
  <si>
    <t>ES0031408323131005HX0F,2023/02/22,18:00,0.042,Real,</t>
  </si>
  <si>
    <t>ES0031408323131005HX0F,2023/02/22,19:00,0.016,Real,</t>
  </si>
  <si>
    <t>ES0031408323131005HX0F,2023/02/22,20:00,0.088,Real,</t>
  </si>
  <si>
    <t>ES0031408323131005HX0F,2023/02/22,21:00,0.311,Real,</t>
  </si>
  <si>
    <t>ES0031408323131005HX0F,2023/02/22,22:00,1.641,Real,</t>
  </si>
  <si>
    <t>ES0031408323131005HX0F,2023/02/22,23:00,2.276,Real,</t>
  </si>
  <si>
    <t>ES0031408323131005HX0F,2023/02/22,24:00,1.864,Real,</t>
  </si>
  <si>
    <t>ES0031408323131005HX0F,2023/02/23,01:00,2.041,Real,</t>
  </si>
  <si>
    <t>ES0031408323131005HX0F,2023/02/23,02:00,1.701,Real,</t>
  </si>
  <si>
    <t>ES0031408323131005HX0F,2023/02/23,03:00,1.777,Real,</t>
  </si>
  <si>
    <t>ES0031408323131005HX0F,2023/02/23,04:00,0.914,Real,</t>
  </si>
  <si>
    <t>ES0031408323131005HX0F,2023/02/23,05:00,0.882,Real,</t>
  </si>
  <si>
    <t>ES0031408323131005HX0F,2023/02/23,06:00,0.893,Real,</t>
  </si>
  <si>
    <t>ES0031408323131005HX0F,2023/02/23,07:00,1.438,Real,</t>
  </si>
  <si>
    <t>ES0031408323131005HX0F,2023/02/23,08:00,1.057,Real,</t>
  </si>
  <si>
    <t>ES0031408323131005HX0F,2023/02/23,09:00,0.333,Real,</t>
  </si>
  <si>
    <t>ES0031408323131005HX0F,2023/02/23,10:00,0.109,Real,</t>
  </si>
  <si>
    <t>ES0031408323131005HX0F,2023/02/23,11:00,0.116,Real,</t>
  </si>
  <si>
    <t>ES0031408323131005HX0F,2023/02/23,12:00,0.041,Real,</t>
  </si>
  <si>
    <t>ES0031408323131005HX0F,2023/02/23,13:00,0.016,Real,</t>
  </si>
  <si>
    <t>ES0031408323131005HX0F,2023/02/23,14:00,0.355,Real,</t>
  </si>
  <si>
    <t>ES0031408323131005HX0F,2023/02/23,15:00,0.043,Real,</t>
  </si>
  <si>
    <t>ES0031408323131005HX0F,2023/02/23,16:00,0.016,Real,</t>
  </si>
  <si>
    <t>ES0031408323131005HX0F,2023/02/23,17:00,0.072,Real,</t>
  </si>
  <si>
    <t>ES0031408323131005HX0F,2023/02/23,18:00,0.058,Real,</t>
  </si>
  <si>
    <t>ES0031408323131005HX0F,2023/02/23,19:00,0.016,Real,</t>
  </si>
  <si>
    <t>ES0031408323131005HX0F,2023/02/23,20:00,1.979,Real,</t>
  </si>
  <si>
    <t>ES0031408323131005HX0F,2023/02/23,21:00,2.446,Real,</t>
  </si>
  <si>
    <t>ES0031408323131005HX0F,2023/02/23,22:00,1.716,Real,</t>
  </si>
  <si>
    <t>ES0031408323131005HX0F,2023/02/23,23:00,2.352,Real,</t>
  </si>
  <si>
    <t>ES0031408323131005HX0F,2023/02/23,24:00,1.585,Real,</t>
  </si>
  <si>
    <t>ES0031408323131005HX0F,2023/02/24,01:00,0.166,Real,</t>
  </si>
  <si>
    <t>ES0031408323131005HX0F,2023/02/24,02:00,0.221,Real,</t>
  </si>
  <si>
    <t>ES0031408323131005HX0F,2023/02/24,03:00,0.083,Real,</t>
  </si>
  <si>
    <t>ES0031408323131005HX0F,2023/02/24,04:00,0.028,Real,</t>
  </si>
  <si>
    <t>ES0031408323131005HX0F,2023/02/24,05:00,0.091,Real,</t>
  </si>
  <si>
    <t>ES0031408323131005HX0F,2023/02/24,06:00,0.072,Real,</t>
  </si>
  <si>
    <t>ES0031408323131005HX0F,2023/02/24,07:00,0.273,Real,</t>
  </si>
  <si>
    <t>ES0031408323131005HX0F,2023/02/24,08:00,0.059,Real,</t>
  </si>
  <si>
    <t>ES0031408323131005HX0F,2023/02/24,09:00,0.06,Real,</t>
  </si>
  <si>
    <t>ES0031408323131005HX0F,2023/02/24,10:00,0.028,Real,</t>
  </si>
  <si>
    <t>ES0031408323131005HX0F,2023/02/24,11:00,0.22,Real,</t>
  </si>
  <si>
    <t>ES0031408323131005HX0F,2023/02/24,12:00,2.021,Real,</t>
  </si>
  <si>
    <t>ES0031408323131005HX0F,2023/02/24,13:00,1.225,Real,</t>
  </si>
  <si>
    <t>ES0031408323131005HX0F,2023/02/24,14:00,0.057,Real,</t>
  </si>
  <si>
    <t>ES0031408323131005HX0F,2023/02/24,15:00,0.113,Real,</t>
  </si>
  <si>
    <t>ES0031408323131005HX0F,2023/02/24,16:00,0.049,Real,</t>
  </si>
  <si>
    <t>ES0031408323131005HX0F,2023/02/24,17:00,0.015,Real,</t>
  </si>
  <si>
    <t>ES0031408323131005HX0F,2023/02/24,18:00,0.428,Real,</t>
  </si>
  <si>
    <t>ES0031408323131005HX0F,2023/02/24,19:00,0.084,Real,</t>
  </si>
  <si>
    <t>ES0031408323131005HX0F,2023/02/24,20:00,2.505,Real,</t>
  </si>
  <si>
    <t>ES0031408323131005HX0F,2023/02/24,21:00,2.277,Real,</t>
  </si>
  <si>
    <t>ES0031408323131005HX0F,2023/02/24,22:00,2.387,Real,</t>
  </si>
  <si>
    <t>ES0031408323131005HX0F,2023/02/24,23:00,2.067,Real,</t>
  </si>
  <si>
    <t>ES0031408323131005HX0F,2023/02/24,24:00,0.101,Real,</t>
  </si>
  <si>
    <t>ES0031408323131005HX0F,2023/02/25,01:00,0.362,Real,</t>
  </si>
  <si>
    <t>ES0031408323131005HX0F,2023/02/25,02:00,0.017,Real,</t>
  </si>
  <si>
    <t>ES0031408323131005HX0F,2023/02/25,03:00,0.113,Real,</t>
  </si>
  <si>
    <t>ES0031408323131005HX0F,2023/02/25,04:00,0.049,Real,</t>
  </si>
  <si>
    <t>ES0031408323131005HX0F,2023/02/25,05:00,0.041,Real,</t>
  </si>
  <si>
    <t>ES0031408323131005HX0F,2023/02/25,06:00,0.017,Real,</t>
  </si>
  <si>
    <t>ES0031408323131005HX0F,2023/02/25,07:00,0.393,Real,</t>
  </si>
  <si>
    <t>ES0031408323131005HX0F,2023/02/25,08:00,0.044,Real,</t>
  </si>
  <si>
    <t>ES0031408323131005HX0F,2023/02/25,09:00,0.026,Real,</t>
  </si>
  <si>
    <t>ES0031408323131005HX0F,2023/02/25,10:00,0.016,Real,</t>
  </si>
  <si>
    <t>ES0031408323131005HX0F,2023/02/25,11:00,0.341,Real,</t>
  </si>
  <si>
    <t>ES0031408323131005HX0F,2023/02/25,12:00,0.048,Real,</t>
  </si>
  <si>
    <t>ES0031408323131005HX0F,2023/02/25,13:00,0.017,Real,</t>
  </si>
  <si>
    <t>ES0031408323131005HX0F,2023/02/25,14:00,0.038,Real,</t>
  </si>
  <si>
    <t>ES0031408323131005HX0F,2023/02/25,15:00,0.071,Real,</t>
  </si>
  <si>
    <t>ES0031408323131005HX0F,2023/02/25,16:00,0.317,Real,</t>
  </si>
  <si>
    <t>ES0031408323131005HX0F,2023/02/25,17:00,0.016,Real,</t>
  </si>
  <si>
    <t>ES0031408323131005HX0F,2023/02/25,18:00,0.076,Real,</t>
  </si>
  <si>
    <t>ES0031408323131005HX0F,2023/02/25,19:00,0.113,Real,</t>
  </si>
  <si>
    <t>ES0031408323131005HX0F,2023/02/25,20:00,0.052,Real,</t>
  </si>
  <si>
    <t>ES0031408323131005HX0F,2023/02/25,21:00,1.921,Real,</t>
  </si>
  <si>
    <t>ES0031408323131005HX0F,2023/02/25,22:00,3.639,Real,</t>
  </si>
  <si>
    <t>ES0031408323131005HX0F,2023/02/25,23:00,2.445,Real,</t>
  </si>
  <si>
    <t>ES0031408323131005HX0F,2023/02/25,24:00,0.965,Real,</t>
  </si>
  <si>
    <t>ES0031408323131005HX0F,2023/02/26,01:00,0.154,Real,</t>
  </si>
  <si>
    <t>ES0031408323131005HX0F,2023/02/26,02:00,0.841,Real,</t>
  </si>
  <si>
    <t>ES0031408323131005HX0F,2023/02/26,03:00,1.082,Real,</t>
  </si>
  <si>
    <t>ES0031408323131005HX0F,2023/02/26,04:00,0.8,Real,</t>
  </si>
  <si>
    <t>ES0031408323131005HX0F,2023/02/26,05:00,0.794,Real,</t>
  </si>
  <si>
    <t>ES0031408323131005HX0F,2023/02/26,06:00,0.832,Real,</t>
  </si>
  <si>
    <t>ES0031408323131005HX0F,2023/02/26,07:00,0.803,Real,</t>
  </si>
  <si>
    <t>ES0031408323131005HX0F,2023/02/26,08:00,0.774,Real,</t>
  </si>
  <si>
    <t>ES0031408323131005HX0F,2023/02/26,09:00,1.092,Real,</t>
  </si>
  <si>
    <t>ES0031408323131005HX0F,2023/02/26,10:00,0.987,Real,</t>
  </si>
  <si>
    <t>ES0031408323131005HX0F,2023/02/26,11:00,1.734,Real,</t>
  </si>
  <si>
    <t>ES0031408323131005HX0F,2023/02/26,12:00,1.64,Real,</t>
  </si>
  <si>
    <t>ES0031408323131005HX0F,2023/02/26,13:00,0.755,Real,</t>
  </si>
  <si>
    <t>ES0031408323131005HX0F,2023/02/26,14:00,0.055,Real,</t>
  </si>
  <si>
    <t>ES0031408323131005HX0F,2023/02/26,15:00,0.056,Real,</t>
  </si>
  <si>
    <t>ES0031408323131005HX0F,2023/02/26,16:00,0.912,Real,</t>
  </si>
  <si>
    <t>ES0031408323131005HX0F,2023/02/26,17:00,1.825,Real,</t>
  </si>
  <si>
    <t>ES0031408323131005HX0F,2023/02/26,18:00,2.687,Real,</t>
  </si>
  <si>
    <t>ES0031408323131005HX0F,2023/02/26,19:00,2.187,Real,</t>
  </si>
  <si>
    <t>ES0031408323131005HX0F,2023/02/26,20:00,0.354,Real,</t>
  </si>
  <si>
    <t>ES0031408323131005HX0F,2023/02/26,21:00,2.02,Real,</t>
  </si>
  <si>
    <t>ES0031408323131005HX0F,2023/02/26,22:00,2.678,Real,</t>
  </si>
  <si>
    <t>ES0031408323131005HX0F,2023/02/26,23:00,1.862,Real,</t>
  </si>
  <si>
    <t>ES0031408323131005HX0F,2023/02/26,24:00,2.594,Real,</t>
  </si>
  <si>
    <t>ES0031408323131005HX0F,2023/02/27,01:00,0.156,Real,</t>
  </si>
  <si>
    <t>ES0031408323131005HX0F,2023/02/27,02:00,0.042,Real,</t>
  </si>
  <si>
    <t>ES0031408323131005HX0F,2023/02/27,03:00,0.084,Real,</t>
  </si>
  <si>
    <t>ES0031408323131005HX0F,2023/02/27,04:00,0.326,Real,</t>
  </si>
  <si>
    <t>ES0031408323131005HX0F,2023/02/27,05:00,0.02,Real,</t>
  </si>
  <si>
    <t>ES0031408323131005HX0F,2023/02/27,06:00,0.796,Real,</t>
  </si>
  <si>
    <t>ES0031408323131005HX0F,2023/02/27,07:00,0.817,Real,</t>
  </si>
  <si>
    <t>ES0031408323131005HX0F,2023/02/27,08:00,1.734,Real,</t>
  </si>
  <si>
    <t>ES0031408323131005HX0F,2023/02/27,09:00,0.12,Real,</t>
  </si>
  <si>
    <t>ES0031408323131005HX0F,2023/02/27,10:00,1.843,Real,</t>
  </si>
  <si>
    <t>ES0031408323131005HX0F,2023/02/27,11:00,1.899,Real,</t>
  </si>
  <si>
    <t>ES0031408323131005HX0F,2023/02/27,12:00,1.383,Real,</t>
  </si>
  <si>
    <t>ES0031408323131005HX0F,2023/02/27,13:00,0.441,Real,</t>
  </si>
  <si>
    <t>ES0031408323131005HX0F,2023/02/27,14:00,0.068,Real,</t>
  </si>
  <si>
    <t>ES0031408323131005HX0F,2023/02/27,15:00,0.016,Real,</t>
  </si>
  <si>
    <t>ES0031408323131005HX0F,2023/02/27,16:00,0.087,Real,</t>
  </si>
  <si>
    <t>ES0031408323131005HX0F,2023/02/27,17:00,0.039,Real,</t>
  </si>
  <si>
    <t>ES0031408323131005HX0F,2023/02/27,18:00,0.028,Real,</t>
  </si>
  <si>
    <t>ES0031408323131005HX0F,2023/02/27,19:00,0.275,Real,</t>
  </si>
  <si>
    <t>ES0031408323131005HX0F,2023/02/27,20:00,0.07,Real,</t>
  </si>
  <si>
    <t>ES0031408323131005HX0F,2023/02/27,21:00,0.04,Real,</t>
  </si>
  <si>
    <t>ES0031408323131005HX0F,2023/02/27,22:00,0.028,Real,</t>
  </si>
  <si>
    <t>ES0031408323131005HX0F,2023/02/27,23:00,2.779,Real,</t>
  </si>
  <si>
    <t>ES0031408323131005HX0F,2023/02/27,24:00,2.878,Real,</t>
  </si>
  <si>
    <t>ES0031408323131005HX0F,2023/02/28,01:00,1.579,Real,</t>
  </si>
  <si>
    <t>ES0031408323131005HX0F,2023/02/28,02:00,1.455,Real,</t>
  </si>
  <si>
    <t>ES0031408323131005HX0F,2023/02/28,03:00,1.488,Real,</t>
  </si>
  <si>
    <t>ES0031408323131005HX0F,2023/02/28,04:00,1.73,Real,</t>
  </si>
  <si>
    <t>ES0031408323131005HX0F,2023/02/28,05:00,1.45,Real,</t>
  </si>
  <si>
    <t>ES0031408323131005HX0F,2023/02/28,06:00,1.383,Real,</t>
  </si>
  <si>
    <t>ES0031408323131005HX0F,2023/02/28,07:00,1.568,Real,</t>
  </si>
  <si>
    <t>ES0031408323131005HX0F,2023/02/28,08:00,1.734,Real,</t>
  </si>
  <si>
    <t>ES0031408323131005HX0F,2023/02/28,09:00,0.349,Real,</t>
  </si>
  <si>
    <t>ES0031408323131005HX0F,2023/02/28,10:00,2.411,Real,</t>
  </si>
  <si>
    <t>ES0031408323131005HX0F,2023/02/28,11:00,1.983,Real,</t>
  </si>
  <si>
    <t>ES0031408323131005HX0F,2023/02/28,12:00,2.122,Real,</t>
  </si>
  <si>
    <t>ES0031408323131005HX0F,2023/02/28,13:00,0.196,Real,</t>
  </si>
  <si>
    <t>ES0031408323131005HX0F,2023/02/28,14:00,0.359,Real,</t>
  </si>
  <si>
    <t>ES0031408323131005HX0F,2023/02/28,15:00,0.042,Real,</t>
  </si>
  <si>
    <t>ES0031408323131005HX0F,2023/02/28,16:00,0.016,Real,</t>
  </si>
  <si>
    <t>ES0031408323131005HX0F,2023/02/28,17:00,0.061,Real,</t>
  </si>
  <si>
    <t>ES0031408323131005HX0F,2023/02/28,18:00,0.055,Real,</t>
  </si>
  <si>
    <t>ES0031408323131005HX0F,2023/02/28,19:00,0.028,Real,</t>
  </si>
  <si>
    <t>ES0031408323131005HX0F,2023/02/28,20:00,0.262,Real,</t>
  </si>
  <si>
    <t>ES0031408323131005HX0F,2023/02/28,21:00,0.083,Real,</t>
  </si>
  <si>
    <t>ES0031408323131005HX0F,2023/02/28,22:00,0.041,Real,</t>
  </si>
  <si>
    <t>ES0031408323131005HX0F,2023/02/28,23:00,2.328,Real,</t>
  </si>
  <si>
    <t>ES0031408323131005HX0F,2023/02/28,24:00,1.798,Real,</t>
  </si>
  <si>
    <t>ES0031408323131005HX0F,2023/03/01,01:00,1.46,Real,</t>
  </si>
  <si>
    <t>ES0031408323131005HX0F,2023/03/01,02:00,1.501,Real,</t>
  </si>
  <si>
    <t>ES0031408323131005HX0F,2023/03/01,03:00,1.603,Real,</t>
  </si>
  <si>
    <t>ES0031408323131005HX0F,2023/03/01,04:00,1.725,Real,</t>
  </si>
  <si>
    <t>ES0031408323131005HX0F,2023/03/01,05:00,1.46,Real,</t>
  </si>
  <si>
    <t>ES0031408323131005HX0F,2023/03/01,06:00,1.501,Real,</t>
  </si>
  <si>
    <t>ES0031408323131005HX0F,2023/03/01,07:00,1.574,Real,</t>
  </si>
  <si>
    <t>ES0031408323131005HX0F,2023/03/01,08:00,1.894,Real,</t>
  </si>
  <si>
    <t>ES0031408323131005HX0F,2023/03/01,09:00,1.383,Real,</t>
  </si>
  <si>
    <t>ES0031408323131005HX0F,2023/03/01,10:00,1.64,Real,</t>
  </si>
  <si>
    <t>ES0031408323131005HX0F,2023/03/01,11:00,0.966,Real,</t>
  </si>
  <si>
    <t>ES0031408323131005HX0F,2023/03/01,12:00,0.781,Real,</t>
  </si>
  <si>
    <t>ES0031408323131005HX0F,2023/03/01,13:00,1.93,Real,</t>
  </si>
  <si>
    <t>ES0031408323131005HX0F,2023/03/01,14:00,2.597,Real,</t>
  </si>
  <si>
    <t>ES0031408323131005HX0F,2023/03/01,15:00,0.561,Real,</t>
  </si>
  <si>
    <t>ES0031408323131005HX0F,2023/03/01,16:00,0.038,Real,</t>
  </si>
  <si>
    <t>ES0031408323131005HX0F,2023/03/01,17:00,0.077,Real,</t>
  </si>
  <si>
    <t>ES0031408323131005HX0F,2023/03/01,18:00,0.043,Real,</t>
  </si>
  <si>
    <t>ES0031408323131005HX0F,2023/03/01,19:00,0.017,Real,</t>
  </si>
  <si>
    <t>ES0031408323131005HX0F,2023/03/01,20:00,0.324,Real,</t>
  </si>
  <si>
    <t>ES0031408323131005HX0F,2023/03/01,21:00,0.049,Real,</t>
  </si>
  <si>
    <t>ES0031408323131005HX0F,2023/03/01,22:00,0.024,Real,</t>
  </si>
  <si>
    <t>ES0031408323131005HX0F,2023/03/01,23:00,1.502,Real,</t>
  </si>
  <si>
    <t>ES0031408323131005HX0F,2023/03/01,24:00,2.154,Real,</t>
  </si>
  <si>
    <t>ES0031408323131005HX0F,2023/03/02,01:00,2.072,Real,</t>
  </si>
  <si>
    <t>ES0031408323131005HX0F,2023/03/02,02:00,1.508,Real,</t>
  </si>
  <si>
    <t>ES0031408323131005HX0F,2023/03/02,03:00,1.652,Real,</t>
  </si>
  <si>
    <t>ES0031408323131005HX0F,2023/03/02,04:00,1.511,Real,</t>
  </si>
  <si>
    <t>ES0031408323131005HX0F,2023/03/02,05:00,1.688,Real,</t>
  </si>
  <si>
    <t>ES0031408323131005HX0F,2023/03/02,06:00,1.67,Real,</t>
  </si>
  <si>
    <t>ES0031408323131005HX0F,2023/03/02,07:00,1.538,Real,</t>
  </si>
  <si>
    <t>ES0031408323131005HX0F,2023/03/02,08:00,0.975,Real,</t>
  </si>
  <si>
    <t>ES0031408323131005HX0F,2023/03/02,09:00,0.054,Real,</t>
  </si>
  <si>
    <t>ES0031408323131005HX0F,2023/03/02,10:00,0.403,Real,</t>
  </si>
  <si>
    <t>ES0031408323131005HX0F,2023/03/02,11:00,0.055,Real,</t>
  </si>
  <si>
    <t>ES0031408323131005HX0F,2023/03/02,12:00,0.016,Real,</t>
  </si>
  <si>
    <t>ES0031408323131005HX0F,2023/03/02,13:00,0.037,Real,</t>
  </si>
  <si>
    <t>ES0031408323131005HX0F,2023/03/02,14:00,0.551,Real,</t>
  </si>
  <si>
    <t>ES0031408323131005HX0F,2023/03/02,15:00,0.9,Real,</t>
  </si>
  <si>
    <t>ES0031408323131005HX0F,2023/03/02,16:00,0.018,Real,</t>
  </si>
  <si>
    <t>ES0031408323131005HX0F,2023/03/02,17:00,0.08,Real,</t>
  </si>
  <si>
    <t>ES0031408323131005HX0F,2023/03/02,18:00,0.042,Real,</t>
  </si>
  <si>
    <t>ES0031408323131005HX0F,2023/03/02,19:00,0.287,Real,</t>
  </si>
  <si>
    <t>ES0031408323131005HX0F,2023/03/02,20:00,0.045,Real,</t>
  </si>
  <si>
    <t>ES0031408323131005HX0F,2023/03/02,21:00,0.056,Real,</t>
  </si>
  <si>
    <t>ES0031408323131005HX0F,2023/03/02,22:00,0.575,Real,</t>
  </si>
  <si>
    <t>ES0031408323131005HX0F,2023/03/02,23:00,3.457,Real,</t>
  </si>
  <si>
    <t>ES0031408323131005HX0F,2023/03/02,24:00,2.619,Real,</t>
  </si>
  <si>
    <t>ES0031408323131005HX0F,2023/03/03,01:00,2.271,Real,</t>
  </si>
  <si>
    <t>ES0031408323131005HX0F,2023/03/03,02:00,1.12,Real,</t>
  </si>
  <si>
    <t>ES0031408323131005HX0F,2023/03/03,03:00,0.347,Real,</t>
  </si>
  <si>
    <t>ES0031408323131005HX0F,2023/03/03,04:00,0.078,Real,</t>
  </si>
  <si>
    <t>ES0031408323131005HX0F,2023/03/03,05:00,0.042,Real,</t>
  </si>
  <si>
    <t>ES0031408323131005HX0F,2023/03/03,06:00,0.019,Real,</t>
  </si>
  <si>
    <t>ES0031408323131005HX0F,2023/03/03,07:00,0.085,Real,</t>
  </si>
  <si>
    <t>ES0031408323131005HX0F,2023/03/03,08:00,0.314,Real,</t>
  </si>
  <si>
    <t>ES0031408323131005HX0F,2023/03/03,09:00,0.022,Real,</t>
  </si>
  <si>
    <t>ES0031408323131005HX0F,2023/03/03,10:00,0.044,Real,</t>
  </si>
  <si>
    <t>ES0031408323131005HX0F,2023/03/03,11:00,0.606,Real,</t>
  </si>
  <si>
    <t>ES0031408323131005HX0F,2023/03/03,12:00,1.171,Real,</t>
  </si>
  <si>
    <t>ES0031408323131005HX0F,2023/03/03,13:00,0.579,Real,</t>
  </si>
  <si>
    <t>ES0031408323131005HX0F,2023/03/03,14:00,0.457,Real,</t>
  </si>
  <si>
    <t>ES0031408323131005HX0F,2023/03/03,15:00,0.957,Real,</t>
  </si>
  <si>
    <t>ES0031408323131005HX0F,2023/03/03,16:00,0.017,Real,</t>
  </si>
  <si>
    <t>ES0031408323131005HX0F,2023/03/03,17:00,0.073,Real,</t>
  </si>
  <si>
    <t>ES0031408323131005HX0F,2023/03/03,18:00,0.051,Real,</t>
  </si>
  <si>
    <t>ES0031408323131005HX0F,2023/03/03,19:00,0.019,Real,</t>
  </si>
  <si>
    <t>ES0031408323131005HX0F,2023/03/03,20:00,0.327,Real,</t>
  </si>
  <si>
    <t>ES0031408323131005HX0F,2023/03/03,21:00,0.051,Real,</t>
  </si>
  <si>
    <t>ES0031408323131005HX0F,2023/03/03,22:00,0.041,Real,</t>
  </si>
  <si>
    <t>ES0031408323131005HX0F,2023/03/03,23:00,2.187,Real,</t>
  </si>
  <si>
    <t>ES0031408323131005HX0F,2023/03/03,24:00,2.308,Real,</t>
  </si>
  <si>
    <t>ES0031408323131005HX0F,2023/03/04,01:00,2.659,Real,</t>
  </si>
  <si>
    <t>ES0031408323131005HX0F,2023/03/04,02:00,2.575,Real,</t>
  </si>
  <si>
    <t>ES0031408323131005HX0F,2023/03/04,03:00,2.274,Real,</t>
  </si>
  <si>
    <t>ES0031408323131005HX0F,2023/03/04,04:00,2.556,Real,</t>
  </si>
  <si>
    <t>ES0031408323131005HX0F,2023/03/04,05:00,2.666,Real,</t>
  </si>
  <si>
    <t>ES0031408323131005HX0F,2023/03/04,06:00,2.441,Real,</t>
  </si>
  <si>
    <t>ES0031408323131005HX0F,2023/03/04,07:00,2.125,Real,</t>
  </si>
  <si>
    <t>ES0031408323131005HX0F,2023/03/04,08:00,2.159,Real,</t>
  </si>
  <si>
    <t>ES0031408323131005HX0F,2023/03/04,09:00,2.2,Real,</t>
  </si>
  <si>
    <t>ES0031408323131005HX0F,2023/03/04,10:00,2.612,Real,</t>
  </si>
  <si>
    <t>ES0031408323131005HX0F,2023/03/04,11:00,1.511,Real,</t>
  </si>
  <si>
    <t>ES0031408323131005HX0F,2023/03/04,12:00,1.95,Real,</t>
  </si>
  <si>
    <t>ES0031408323131005HX0F,2023/03/04,13:00,0.651,Real,</t>
  </si>
  <si>
    <t>ES0031408323131005HX0F,2023/03/04,14:00,0.084,Real,</t>
  </si>
  <si>
    <t>ES0031408323131005HX0F,2023/03/04,15:00,0.049,Real,</t>
  </si>
  <si>
    <t>ES0031408323131005HX0F,2023/03/04,16:00,0.017,Real,</t>
  </si>
  <si>
    <t>ES0031408323131005HX0F,2023/03/04,17:00,0.093,Real,</t>
  </si>
  <si>
    <t>ES0031408323131005HX0F,2023/03/04,18:00,0.487,Real,</t>
  </si>
  <si>
    <t>ES0031408323131005HX0F,2023/03/04,19:00,0.088,Real,</t>
  </si>
  <si>
    <t>ES0031408323131005HX0F,2023/03/04,20:00,1.306,Real,</t>
  </si>
  <si>
    <t>ES0031408323131005HX0F,2023/03/04,21:00,1.688,Real,</t>
  </si>
  <si>
    <t>ES0031408323131005HX0F,2023/03/04,22:00,1.888,Real,</t>
  </si>
  <si>
    <t>ES0031408323131005HX0F,2023/03/04,23:00,1.573,Real,</t>
  </si>
  <si>
    <t>ES0031408323131005HX0F,2023/03/04,24:00,1.733,Real,</t>
  </si>
  <si>
    <t>ES0031408323131005HX0F,2023/03/05,01:00,1.544,Real,</t>
  </si>
  <si>
    <t>ES0031408323131005HX0F,2023/03/05,02:00,0.262,Real,</t>
  </si>
  <si>
    <t>ES0031408323131005HX0F,2023/03/05,03:00,0.259,Real,</t>
  </si>
  <si>
    <t>ES0031408323131005HX0F,2023/03/05,04:00,0.075,Real,</t>
  </si>
  <si>
    <t>ES0031408323131005HX0F,2023/03/05,05:00,0.024,Real,</t>
  </si>
  <si>
    <t>ES0031408323131005HX0F,2023/03/05,06:00,0.053,Real,</t>
  </si>
  <si>
    <t>ES0031408323131005HX0F,2023/03/05,07:00,0.326,Real,</t>
  </si>
  <si>
    <t>ES0031408323131005HX0F,2023/03/05,08:00,0.037,Real,</t>
  </si>
  <si>
    <t>ES0031408323131005HX0F,2023/03/05,09:00,0.021,Real,</t>
  </si>
  <si>
    <t>ES0031408323131005HX0F,2023/03/05,10:00,0.887,Real,</t>
  </si>
  <si>
    <t>ES0031408323131005HX0F,2023/03/05,11:00,0.068,Real,</t>
  </si>
  <si>
    <t>ES0031408323131005HX0F,2023/03/05,12:00,0.02,Real,</t>
  </si>
  <si>
    <t>ES0031408323131005HX0F,2023/03/05,13:00,0.071,Real,</t>
  </si>
  <si>
    <t>ES0031408323131005HX0F,2023/03/05,14:00,0.307,Real,</t>
  </si>
  <si>
    <t>ES0031408323131005HX0F,2023/03/05,15:00,0.049,Real,</t>
  </si>
  <si>
    <t>ES0031408323131005HX0F,2023/03/05,16:00,0.021,Real,</t>
  </si>
  <si>
    <t>ES0031408323131005HX0F,2023/03/05,17:00,0.077,Real,</t>
  </si>
  <si>
    <t>ES0031408323131005HX0F,2023/03/05,18:00,1.951,Real,</t>
  </si>
  <si>
    <t>ES0031408323131005HX0F,2023/03/05,19:00,1.879,Real,</t>
  </si>
  <si>
    <t>ES0031408323131005HX0F,2023/03/05,20:00,3.052,Real,</t>
  </si>
  <si>
    <t>ES0031408323131005HX0F,2023/03/05,21:00,1.103,Real,</t>
  </si>
  <si>
    <t>ES0031408323131005HX0F,2023/03/05,22:00,1.62,Real,</t>
  </si>
  <si>
    <t>ES0031408323131005HX0F,2023/03/05,23:00,2.415,Real,</t>
  </si>
  <si>
    <t>ES0031408323131005HX0F,2023/03/05,24:00,2.03,Real,</t>
  </si>
  <si>
    <t>ES0031408323131005HX0F,2023/03/06,01:00,2.26,Real,</t>
  </si>
  <si>
    <t>ES0031408323131005HX0F,2023/03/06,02:00,1.768,Real,</t>
  </si>
  <si>
    <t>ES0031408323131005HX0F,2023/03/06,03:00,2.169,Real,</t>
  </si>
  <si>
    <t>ES0031408323131005HX0F,2023/03/06,04:00,1.756,Real,</t>
  </si>
  <si>
    <t>ES0031408323131005HX0F,2023/03/06,05:00,1.72,Real,</t>
  </si>
  <si>
    <t>ES0031408323131005HX0F,2023/03/06,06:00,1.938,Real,</t>
  </si>
  <si>
    <t>ES0031408323131005HX0F,2023/03/06,07:00,2.046,Real,</t>
  </si>
  <si>
    <t>ES0031408323131005HX0F,2023/03/06,08:00,1.196,Real,</t>
  </si>
  <si>
    <t>ES0031408323131005HX0F,2023/03/06,09:00,0.443,Real,</t>
  </si>
  <si>
    <t>ES0031408323131005HX0F,2023/03/06,10:00,0.105,Real,</t>
  </si>
  <si>
    <t>ES0031408323131005HX0F,2023/03/06,11:00,0.117,Real,</t>
  </si>
  <si>
    <t>ES0031408323131005HX0F,2023/03/06,12:00,0.383,Real,</t>
  </si>
  <si>
    <t>ES0031408323131005HX0F,2023/03/06,13:00,0.029,Real,</t>
  </si>
  <si>
    <t>ES0031408323131005HX0F,2023/03/06,14:00,0.077,Real,</t>
  </si>
  <si>
    <t>ES0031408323131005HX0F,2023/03/06,15:00,0.049,Real,</t>
  </si>
  <si>
    <t>ES0031408323131005HX0F,2023/03/06,16:00,0.017,Real,</t>
  </si>
  <si>
    <t>ES0031408323131005HX0F,2023/03/06,17:00,0.368,Real,</t>
  </si>
  <si>
    <t>ES0031408323131005HX0F,2023/03/06,18:00,0.049,Real,</t>
  </si>
  <si>
    <t>ES0031408323131005HX0F,2023/03/06,19:00,0.017,Real,</t>
  </si>
  <si>
    <t>ES0031408323131005HX0F,2023/03/06,20:00,0.056,Real,</t>
  </si>
  <si>
    <t>ES0031408323131005HX0F,2023/03/06,21:00,0.591,Real,</t>
  </si>
  <si>
    <t>ES0031408323131005HX0F,2023/03/06,22:00,2.89,Real,</t>
  </si>
  <si>
    <t>ES0031408323131005HX0F,2023/03/06,23:00,2.925,Real,</t>
  </si>
  <si>
    <t>ES0031408323131005HX0F,2023/03/06,24:00,0.873,Real,</t>
  </si>
  <si>
    <t>ES0031408323131005HX0F,2023/03/07,01:00,1.805,Real,</t>
  </si>
  <si>
    <t>ES0031408323131005HX0F,2023/03/07,02:00,1.77,Real,</t>
  </si>
  <si>
    <t>ES0031408323131005HX0F,2023/03/07,03:00,1.73,Real,</t>
  </si>
  <si>
    <t>ES0031408323131005HX0F,2023/03/07,04:00,1.706,Real,</t>
  </si>
  <si>
    <t>ES0031408323131005HX0F,2023/03/07,05:00,1.919,Real,</t>
  </si>
  <si>
    <t>ES0031408323131005HX0F,2023/03/07,06:00,1.669,Real,</t>
  </si>
  <si>
    <t>ES0031408323131005HX0F,2023/03/07,07:00,1.658,Real,</t>
  </si>
  <si>
    <t>ES0031408323131005HX0F,2023/03/07,08:00,0.83,Real,</t>
  </si>
  <si>
    <t>ES0031408323131005HX0F,2023/03/07,09:00,0.327,Real,</t>
  </si>
  <si>
    <t>ES0031408323131005HX0F,2023/03/07,10:00,0.017,Real,</t>
  </si>
  <si>
    <t>ES0031408323131005HX0F,2023/03/07,11:00,0.073,Real,</t>
  </si>
  <si>
    <t>ES0031408323131005HX0F,2023/03/07,12:00,0.058,Real,</t>
  </si>
  <si>
    <t>ES0031408323131005HX0F,2023/03/07,13:00,0.016,Real,</t>
  </si>
  <si>
    <t>ES0031408323131005HX0F,2023/03/07,14:00,0.049,Real,</t>
  </si>
  <si>
    <t>ES0031408323131005HX0F,2023/03/07,15:00,0.332,Real,</t>
  </si>
  <si>
    <t>ES0031408323131005HX0F,2023/03/07,16:00,0.037,Real,</t>
  </si>
  <si>
    <t>ES0031408323131005HX0F,2023/03/07,17:00,0.02,Real,</t>
  </si>
  <si>
    <t>ES0031408323131005HX0F,2023/03/07,18:00,0.08,Real,</t>
  </si>
  <si>
    <t>ES0031408323131005HX0F,2023/03/07,19:00,0.052,Real,</t>
  </si>
  <si>
    <t>ES0031408323131005HX0F,2023/03/07,20:00,0.103,Real,</t>
  </si>
  <si>
    <t>ES0031408323131005HX0F,2023/03/07,21:00,3.936,Real,</t>
  </si>
  <si>
    <t>ES0031408323131005HX0F,2023/03/07,22:00,2.032,Real,</t>
  </si>
  <si>
    <t>ES0031408323131005HX0F,2023/03/07,23:00,1.592,Real,</t>
  </si>
  <si>
    <t>ES0031408323131005HX0F,2023/03/07,24:00,1.702,Real,</t>
  </si>
  <si>
    <t>ES0031408323131005HX0F,2023/03/08,01:00,1.681,Real,</t>
  </si>
  <si>
    <t>ES0031408323131005HX0F,2023/03/08,02:00,1.932,Real,</t>
  </si>
  <si>
    <t>ES0031408323131005HX0F,2023/03/08,03:00,1.237,Real,</t>
  </si>
  <si>
    <t>ES0031408323131005HX0F,2023/03/08,04:00,0.875,Real,</t>
  </si>
  <si>
    <t>ES0031408323131005HX0F,2023/03/08,05:00,0.399,Real,</t>
  </si>
  <si>
    <t>ES0031408323131005HX0F,2023/03/08,06:00,0.063,Real,</t>
  </si>
  <si>
    <t>ES0031408323131005HX0F,2023/03/08,07:00,0.018,Real,</t>
  </si>
  <si>
    <t>ES0031408323131005HX0F,2023/03/08,08:00,0.911,Real,</t>
  </si>
  <si>
    <t>ES0031408323131005HX0F,2023/03/08,09:00,0.063,Real,</t>
  </si>
  <si>
    <t>ES0031408323131005HX0F,2023/03/08,10:00,0.017,Real,</t>
  </si>
  <si>
    <t>ES0031408323131005HX0F,2023/03/08,11:00,0.054,Real,</t>
  </si>
  <si>
    <t>ES0031408323131005HX0F,2023/03/08,12:00,0.066,Real,</t>
  </si>
  <si>
    <t>ES0031408323131005HX0F,2023/03/08,13:00,0.025,Real,</t>
  </si>
  <si>
    <t>ES0031408323131005HX0F,2023/03/08,14:00,0.332,Real,</t>
  </si>
  <si>
    <t>ES0031408323131005HX0F,2023/03/08,15:00,0.063,Real,</t>
  </si>
  <si>
    <t>ES0031408323131005HX0F,2023/03/08,16:00,0.039,Real,</t>
  </si>
  <si>
    <t>ES0031408323131005HX0F,2023/03/08,17:00,0.031,Real,</t>
  </si>
  <si>
    <t>ES0031408323131005HX0F,2023/03/08,18:00,0.075,Real,</t>
  </si>
  <si>
    <t>ES0031408323131005HX0F,2023/03/08,19:00,0.042,Real,</t>
  </si>
  <si>
    <t>ES0031408323131005HX0F,2023/03/08,20:00,0.295,Real,</t>
  </si>
  <si>
    <t>ES0031408323131005HX0F,2023/03/08,21:00,0.115,Real,</t>
  </si>
  <si>
    <t>ES0031408323131005HX0F,2023/03/08,22:00,1.364,Real,</t>
  </si>
  <si>
    <t>ES0031408323131005HX0F,2023/03/08,23:00,3.007,Real,</t>
  </si>
  <si>
    <t>ES0031408323131005HX0F,2023/03/08,24:00,2.577,Real,</t>
  </si>
  <si>
    <t>ES0031408323131005HX0F,2023/03/09,01:00,0.325,Real,</t>
  </si>
  <si>
    <t>ES0031408323131005HX0F,2023/03/09,02:00,0.03,Real,</t>
  </si>
  <si>
    <t>ES0031408323131005HX0F,2023/03/09,03:00,0.038,Real,</t>
  </si>
  <si>
    <t>ES0031408323131005HX0F,2023/03/09,04:00,0.084,Real,</t>
  </si>
  <si>
    <t>ES0031408323131005HX0F,2023/03/09,05:00,0.299,Real,</t>
  </si>
  <si>
    <t>ES0031408323131005HX0F,2023/03/09,06:00,0.032,Real,</t>
  </si>
  <si>
    <t>ES0031408323131005HX0F,2023/03/09,07:00,0.722,Real,</t>
  </si>
  <si>
    <t>ES0031408323131005HX0F,2023/03/09,08:00,0.555,Real,</t>
  </si>
  <si>
    <t>ES0031408323131005HX0F,2023/03/09,09:00,0.111,Real,</t>
  </si>
  <si>
    <t>ES0031408323131005HX0F,2023/03/09,10:00,0.342,Real,</t>
  </si>
  <si>
    <t>ES0031408323131005HX0F,2023/03/09,11:00,0.029,Real,</t>
  </si>
  <si>
    <t>ES0031408323131005HX0F,2023/03/09,12:00,0.017,Real,</t>
  </si>
  <si>
    <t>ES0031408323131005HX0F,2023/03/09,13:00,0.103,Real,</t>
  </si>
  <si>
    <t>ES0031408323131005HX0F,2023/03/09,14:00,0.047,Real,</t>
  </si>
  <si>
    <t>ES0031408323131005HX0F,2023/03/09,15:00,0.034,Real,</t>
  </si>
  <si>
    <t>ES0031408323131005HX0F,2023/03/09,16:00,0.274,Real,</t>
  </si>
  <si>
    <t>ES0031408323131005HX0F,2023/03/09,17:00,0.109,Real,</t>
  </si>
  <si>
    <t>ES0031408323131005HX0F,2023/03/09,18:00,0.043,Real,</t>
  </si>
  <si>
    <t>ES0031408323131005HX0F,2023/03/09,19:00,0.062,Real,</t>
  </si>
  <si>
    <t>ES0031408323131005HX0F,2023/03/09,20:00,0.464,Real,</t>
  </si>
  <si>
    <t>ES0031408323131005HX0F,2023/03/09,21:00,1.219,Real,</t>
  </si>
  <si>
    <t>ES0031408323131005HX0F,2023/03/09,22:00,2.596,Real,</t>
  </si>
  <si>
    <t>ES0031408323131005HX0F,2023/03/09,23:00,2.039,Real,</t>
  </si>
  <si>
    <t>ES0031408323131005HX0F,2023/03/09,24:00,1.712,Real,</t>
  </si>
  <si>
    <t>ES0031408323131005HX0F,2023/03/10,01:00,0.897,Real,</t>
  </si>
  <si>
    <t>ES0031408323131005HX0F,2023/03/10,02:00,0.935,Real,</t>
  </si>
  <si>
    <t>ES0031408323131005HX0F,2023/03/10,03:00,1.17,Real,</t>
  </si>
  <si>
    <t>ES0031408323131005HX0F,2023/03/10,04:00,0.945,Real,</t>
  </si>
  <si>
    <t>ES0031408323131005HX0F,2023/03/10,05:00,0.901,Real,</t>
  </si>
  <si>
    <t>ES0031408323131005HX0F,2023/03/10,06:00,0.918,Real,</t>
  </si>
  <si>
    <t>ES0031408323131005HX0F,2023/03/10,07:00,0.883,Real,</t>
  </si>
  <si>
    <t>ES0031408323131005HX0F,2023/03/10,08:00,0.764,Real,</t>
  </si>
  <si>
    <t>ES0031408323131005HX0F,2023/03/10,09:00,0.424,Real,</t>
  </si>
  <si>
    <t>ES0031408323131005HX0F,2023/03/10,10:00,0.079,Real,</t>
  </si>
  <si>
    <t>ES0031408323131005HX0F,2023/03/10,11:00,0.045,Real,</t>
  </si>
  <si>
    <t>ES0031408323131005HX0F,2023/03/10,12:00,0.016,Real,</t>
  </si>
  <si>
    <t>ES0031408323131005HX0F,2023/03/10,13:00,0.07,Real,</t>
  </si>
  <si>
    <t>ES0031408323131005HX0F,2023/03/10,14:00,0.064,Real,</t>
  </si>
  <si>
    <t>ES0031408323131005HX0F,2023/03/10,15:00,0.306,Real,</t>
  </si>
  <si>
    <t>ES0031408323131005HX0F,2023/03/10,16:00,0.049,Real,</t>
  </si>
  <si>
    <t>ES0031408323131005HX0F,2023/03/10,17:00,1.025,Real,</t>
  </si>
  <si>
    <t>ES0031408323131005HX0F,2023/03/10,18:00,1.089,Real,</t>
  </si>
  <si>
    <t>ES0031408323131005HX0F,2023/03/10,19:00,0.561,Real,</t>
  </si>
  <si>
    <t>ES0031408323131005HX0F,2023/03/10,20:00,0.021,Real,</t>
  </si>
  <si>
    <t>ES0031408323131005HX0F,2023/03/10,21:00,0.098,Real,</t>
  </si>
  <si>
    <t>ES0031408323131005HX0F,2023/03/10,22:00,0.625,Real,</t>
  </si>
  <si>
    <t>ES0031408323131005HX0F,2023/03/10,23:00,1.103,Real,</t>
  </si>
  <si>
    <t>ES0031408323131005HX0F,2023/03/10,24:00,0.029,Real,</t>
  </si>
  <si>
    <t>ES0031408323131005HX0F,2023/03/11,01:00,0.104,Real,</t>
  </si>
  <si>
    <t>ES0031408323131005HX0F,2023/03/11,02:00,0.337,Real,</t>
  </si>
  <si>
    <t>ES0031408323131005HX0F,2023/03/11,03:00,0.049,Real,</t>
  </si>
  <si>
    <t>ES0031408323131005HX0F,2023/03/11,04:00,0.049,Real,</t>
  </si>
  <si>
    <t>ES0031408323131005HX0F,2023/03/11,05:00,0.099,Real,</t>
  </si>
  <si>
    <t>ES0031408323131005HX0F,2023/03/11,06:00,0.441,Real,</t>
  </si>
  <si>
    <t>ES0031408323131005HX0F,2023/03/11,07:00,0.337,Real,</t>
  </si>
  <si>
    <t>ES0031408323131005HX0F,2023/03/11,08:00,1.182,Real,</t>
  </si>
  <si>
    <t>ES0031408323131005HX0F,2023/03/11,09:00,0.087,Real,</t>
  </si>
  <si>
    <t>ES0031408323131005HX0F,2023/03/11,10:00,0.052,Real,</t>
  </si>
  <si>
    <t>ES0031408323131005HX0F,2023/03/11,11:00,0.017,Real,</t>
  </si>
  <si>
    <t>ES0031408323131005HX0F,2023/03/11,12:00,0.082,Real,</t>
  </si>
  <si>
    <t>ES0031408323131005HX0F,2023/03/11,13:00,0.404,Real,</t>
  </si>
  <si>
    <t>ES0031408323131005HX0F,2023/03/11,14:00,0.083,Real,</t>
  </si>
  <si>
    <t>ES0031408323131005HX0F,2023/03/11,15:00,0.044,Real,</t>
  </si>
  <si>
    <t>ES0031408323131005HX0F,2023/03/11,16:00,0.023,Real,</t>
  </si>
  <si>
    <t>ES0031408323131005HX0F,2023/03/11,17:00,0.095,Real,</t>
  </si>
  <si>
    <t>ES0031408323131005HX0F,2023/03/11,18:00,0.061,Real,</t>
  </si>
  <si>
    <t>ES0031408323131005HX0F,2023/03/11,19:00,0.059,Real,</t>
  </si>
  <si>
    <t>ES0031408323131005HX0F,2023/03/11,20:00,0.657,Real,</t>
  </si>
  <si>
    <t>ES0031408323131005HX0F,2023/03/11,21:00,0.729,Real,</t>
  </si>
  <si>
    <t>ES0031408323131005HX0F,2023/03/11,22:00,0.149,Real,</t>
  </si>
  <si>
    <t>ES0031408323131005HX0F,2023/03/11,23:00,0.031,Real,</t>
  </si>
  <si>
    <t>ES0031408323131005HX0F,2023/03/11,24:00,0.077,Real,</t>
  </si>
  <si>
    <t>ES0031408323131005HX0F,2023/03/12,01:00,0.017,Real,</t>
  </si>
  <si>
    <t>ES0031408323131005HX0F,2023/03/12,02:00,0.368,Real,</t>
  </si>
  <si>
    <t>ES0031408323131005HX0F,2023/03/12,03:00,0.083,Real,</t>
  </si>
  <si>
    <t>ES0031408323131005HX0F,2023/03/12,04:00,0.069,Real,</t>
  </si>
  <si>
    <t>ES0031408323131005HX0F,2023/03/12,05:00,0.017,Real,</t>
  </si>
  <si>
    <t>ES0031408323131005HX0F,2023/03/12,06:00,0.098,Real,</t>
  </si>
  <si>
    <t>ES0031408323131005HX0F,2023/03/12,07:00,0.327,Real,</t>
  </si>
  <si>
    <t>ES0031408323131005HX0F,2023/03/12,08:00,0.051,Real,</t>
  </si>
  <si>
    <t>ES0031408323131005HX0F,2023/03/12,09:00,0.017,Real,</t>
  </si>
  <si>
    <t>ES0031408323131005HX0F,2023/03/12,10:00,0.113,Real,</t>
  </si>
  <si>
    <t>ES0031408323131005HX0F,2023/03/12,11:00,0.109,Real,</t>
  </si>
  <si>
    <t>ES0031408323131005HX0F,2023/03/12,12:00,0.572,Real,</t>
  </si>
  <si>
    <t>ES0031408323131005HX0F,2023/03/12,13:00,0.708,Real,</t>
  </si>
  <si>
    <t>ES0031408323131005HX0F,2023/03/12,14:00,0.679,Real,</t>
  </si>
  <si>
    <t>ES0031408323131005HX0F,2023/03/12,15:00,0.127,Real,</t>
  </si>
  <si>
    <t>ES0031408323131005HX0F,2023/03/12,16:00,0.068,Real,</t>
  </si>
  <si>
    <t>ES0031408323131005HX0F,2023/03/12,17:00,0.056,Real,</t>
  </si>
  <si>
    <t>ES0031408323131005HX0F,2023/03/12,18:00,0.02,Real,</t>
  </si>
  <si>
    <t>ES0031408323131005HX0F,2023/03/12,19:00,0.404,Real,</t>
  </si>
  <si>
    <t>ES0031408323131005HX0F,2023/03/12,20:00,0.602,Real,</t>
  </si>
  <si>
    <t>ES0031408323131005HX0F,2023/03/12,21:00,1.088,Real,</t>
  </si>
  <si>
    <t>ES0031408323131005HX0F,2023/03/12,22:00,0.854,Real,</t>
  </si>
  <si>
    <t>ES0031408323131005HX0F,2023/03/12,23:00,0.728,Real,</t>
  </si>
  <si>
    <t>ES0031408323131005HX0F,2023/03/12,24:00,0.163,Real,</t>
  </si>
  <si>
    <t>ES0031408323131005HX0F,2023/03/13,01:00,0.37,Real,</t>
  </si>
  <si>
    <t>ES0031408323131005HX0F,2023/03/13,02:00,0.024,Real,</t>
  </si>
  <si>
    <t>ES0031408323131005HX0F,2023/03/13,03:00,0.066,Real,</t>
  </si>
  <si>
    <t>ES0031408323131005HX0F,2023/03/13,04:00,0.115,Real,</t>
  </si>
  <si>
    <t>ES0031408323131005HX0F,2023/03/13,05:00,0.052,Real,</t>
  </si>
  <si>
    <t>ES0031408323131005HX0F,2023/03/13,06:00,0.027,Real,</t>
  </si>
  <si>
    <t>ES0031408323131005HX0F,2023/03/13,07:00,0.047,Real,</t>
  </si>
  <si>
    <t>ES0031408323131005HX0F,2023/03/13,08:00,0.407,Real,</t>
  </si>
  <si>
    <t>ES0031408323131005HX0F,2023/03/13,09:00,0.104,Real,</t>
  </si>
  <si>
    <t>ES0031408323131005HX0F,2023/03/13,10:00,0.211,Real,</t>
  </si>
  <si>
    <t>ES0031408323131005HX0F,2023/03/13,11:00,0.228,Real,</t>
  </si>
  <si>
    <t>ES0031408323131005HX0F,2023/03/13,12:00,0.237,Real,</t>
  </si>
  <si>
    <t>ES0031408323131005HX0F,2023/03/13,13:00,2.66,Real,</t>
  </si>
  <si>
    <t>ES0031408323131005HX0F,2023/03/13,14:00,0.777,Real,</t>
  </si>
  <si>
    <t>ES0031408323131005HX0F,2023/03/13,15:00,0.133,Real,</t>
  </si>
  <si>
    <t>ES0031408323131005HX0F,2023/03/13,16:00,0.062,Real,</t>
  </si>
  <si>
    <t>ES0031408323131005HX0F,2023/03/13,17:00,0.016,Real,</t>
  </si>
  <si>
    <t>ES0031408323131005HX0F,2023/03/13,18:00,0.097,Real,</t>
  </si>
  <si>
    <t>ES0031408323131005HX0F,2023/03/13,19:00,0.322,Real,</t>
  </si>
  <si>
    <t>ES0031408323131005HX0F,2023/03/13,20:00,0.059,Real,</t>
  </si>
  <si>
    <t>ES0031408323131005HX0F,2023/03/13,21:00,0.016,Real,</t>
  </si>
  <si>
    <t>ES0031408323131005HX0F,2023/03/13,22:00,0.103,Real,</t>
  </si>
  <si>
    <t>ES0031408323131005HX0F,2023/03/13,23:00,0.545,Real,</t>
  </si>
  <si>
    <t>ES0031408323131005HX0F,2023/03/13,24:00,0.674,Real,</t>
  </si>
  <si>
    <t>ES0031408323131005HX0F,2023/03/14,01:00,0.019,Real,</t>
  </si>
  <si>
    <t>ES0031408323131005HX0F,2023/03/14,02:00,0.079,Real,</t>
  </si>
  <si>
    <t>ES0031408323131005HX0F,2023/03/14,03:00,0.075,Real,</t>
  </si>
  <si>
    <t>ES0031408323131005HX0F,2023/03/14,04:00,0.063,Real,</t>
  </si>
  <si>
    <t>ES0031408323131005HX0F,2023/03/14,05:00,0.018,Real,</t>
  </si>
  <si>
    <t>ES0031408323131005HX0F,2023/03/14,06:00,0.387,Real,</t>
  </si>
  <si>
    <t>ES0031408323131005HX0F,2023/03/14,07:00,0.059,Real,</t>
  </si>
  <si>
    <t>ES0031408323131005HX0F,2023/03/14,08:00,0.087,Real,</t>
  </si>
  <si>
    <t>ES0031408323131005HX0F,2023/03/14,09:00,0.091,Real,</t>
  </si>
  <si>
    <t>ES0031408323131005HX0F,2023/03/14,10:00,0.34,Real,</t>
  </si>
  <si>
    <t>ES0031408323131005HX0F,2023/03/14,11:00,0.181,Real,</t>
  </si>
  <si>
    <t>ES0031408323131005HX0F,2023/03/14,12:00,0.604,Real,</t>
  </si>
  <si>
    <t>ES0031408323131005HX0F,2023/03/14,13:00,0.301,Real,</t>
  </si>
  <si>
    <t>ES0031408323131005HX0F,2023/03/14,14:00,0.895,Real,</t>
  </si>
  <si>
    <t>ES0031408323131005HX0F,2023/03/14,15:00,0.536,Real,</t>
  </si>
  <si>
    <t>ES0031408323131005HX0F,2023/03/14,16:00,0.116,Real,</t>
  </si>
  <si>
    <t>ES0031408323131005HX0F,2023/03/14,17:00,0.062,Real,</t>
  </si>
  <si>
    <t>ES0031408323131005HX0F,2023/03/14,18:00,0.065,Real,</t>
  </si>
  <si>
    <t>ES0031408323131005HX0F,2023/03/14,19:00,0.291,Real,</t>
  </si>
  <si>
    <t>ES0031408323131005HX0F,2023/03/14,20:00,0.106,Real,</t>
  </si>
  <si>
    <t>ES0031408323131005HX0F,2023/03/14,21:00,0.107,Real,</t>
  </si>
  <si>
    <t>ES0031408323131005HX0F,2023/03/14,22:00,1.094,Real,</t>
  </si>
  <si>
    <t>ES0031408323131005HX0F,2023/03/14,23:00,0.152,Real,</t>
  </si>
  <si>
    <t>ES0031408323131005HX0F,2023/03/14,24:00,0.681,Real,</t>
  </si>
  <si>
    <t>ES0031408323131005HX0F,2023/03/15,01:00,0.204,Real,</t>
  </si>
  <si>
    <t>ES0031408323131005HX0F,2023/03/15,02:00,0.371,Real,</t>
  </si>
  <si>
    <t>ES0031408323131005HX0F,2023/03/15,03:00,0.058,Real,</t>
  </si>
  <si>
    <t>ES0031408323131005HX0F,2023/03/15,04:00,0.04,Real,</t>
  </si>
  <si>
    <t>ES0031408323131005HX0F,2023/03/15,05:00,0.097,Real,</t>
  </si>
  <si>
    <t>ES0031408323131005HX0F,2023/03/15,06:00,0.06,Real,</t>
  </si>
  <si>
    <t>ES0031408323131005HX0F,2023/03/15,07:00,0.32,Real,</t>
  </si>
  <si>
    <t>ES0031408323131005HX0F,2023/03/15,08:00,0.049,Real,</t>
  </si>
  <si>
    <t>ES0031408323131005HX0F,2023/03/15,09:00,0.097,Real,</t>
  </si>
  <si>
    <t>ES0031408323131005HX0F,2023/03/15,10:00,1.848,Real,</t>
  </si>
  <si>
    <t>ES0031408323131005HX0F,2023/03/15,11:00,0.026,Real,</t>
  </si>
  <si>
    <t>ES0031408323131005HX0F,2023/03/15,12:00,0.074,Real,</t>
  </si>
  <si>
    <t>ES0031408323131005HX0F,2023/03/15,13:00,0.514,Real,</t>
  </si>
  <si>
    <t>ES0031408323131005HX0F,2023/03/15,14:00,1.27,Real,</t>
  </si>
  <si>
    <t>ES0031408323131005HX0F,2023/03/15,15:00,0.04,Real,</t>
  </si>
  <si>
    <t>ES0031408323131005HX0F,2023/03/15,16:00,0.105,Real,</t>
  </si>
  <si>
    <t>ES0031408323131005HX0F,2023/03/15,17:00,0.125,Real,</t>
  </si>
  <si>
    <t>ES0031408323131005HX0F,2023/03/15,18:00,0.064,Real,</t>
  </si>
  <si>
    <t>ES0031408323131005HX0F,2023/03/15,19:00,0.296,Real,</t>
  </si>
  <si>
    <t>ES0031408323131005HX0F,2023/03/15,20:00,0.022,Real,</t>
  </si>
  <si>
    <t>ES0031408323131005HX0F,2023/03/15,21:00,0.11,Real,</t>
  </si>
  <si>
    <t>ES0031408323131005HX0F,2023/03/15,22:00,0.071,Real,</t>
  </si>
  <si>
    <t>ES0031408323131005HX0F,2023/03/15,23:00,1.896,Real,</t>
  </si>
  <si>
    <t>ES0031408323131005HX0F,2023/03/15,24:00,0.962,Real,</t>
  </si>
  <si>
    <t>ES0031408323131005HX0F,2023/03/16,01:00,0.07,Real,</t>
  </si>
  <si>
    <t>ES0031408323131005HX0F,2023/03/16,02:00,0.02,Real,</t>
  </si>
  <si>
    <t>ES0031408323131005HX0F,2023/03/16,03:00,0.399,Real,</t>
  </si>
  <si>
    <t>ES0031408323131005HX0F,2023/03/16,04:00,0.055,Real,</t>
  </si>
  <si>
    <t>ES0031408323131005HX0F,2023/03/16,05:00,0.053,Real,</t>
  </si>
  <si>
    <t>ES0031408323131005HX0F,2023/03/16,06:00,0.024,Real,</t>
  </si>
  <si>
    <t>ES0031408323131005HX0F,2023/03/16,07:00,0.103,Real,</t>
  </si>
  <si>
    <t>ES0031408323131005HX0F,2023/03/16,08:00,0.346,Real,</t>
  </si>
  <si>
    <t>ES0031408323131005HX0F,2023/03/16,09:00,0.016,Real,</t>
  </si>
  <si>
    <t>ES0031408323131005HX0F,2023/03/16,10:00,0.639,Real,</t>
  </si>
  <si>
    <t>ES0031408323131005HX0F,2023/03/16,11:00,0.351,Real,</t>
  </si>
  <si>
    <t>ES0031408323131005HX0F,2023/03/16,12:00,0.041,Real,</t>
  </si>
  <si>
    <t>ES0031408323131005HX0F,2023/03/16,13:00,0.031,Real,</t>
  </si>
  <si>
    <t>ES0031408323131005HX0F,2023/03/16,14:00,0.092,Real,</t>
  </si>
  <si>
    <t>ES0031408323131005HX0F,2023/03/16,15:00,0.321,Real,</t>
  </si>
  <si>
    <t>ES0031408323131005HX0F,2023/03/16,16:00,0.017,Real,</t>
  </si>
  <si>
    <t>ES0031408323131005HX0F,2023/03/16,17:00,0.09,Real,</t>
  </si>
  <si>
    <t>ES0031408323131005HX0F,2023/03/16,18:00,0.123,Real,</t>
  </si>
  <si>
    <t>ES0031408323131005HX0F,2023/03/16,19:00,0.077,Real,</t>
  </si>
  <si>
    <t>ES0031408323131005HX0F,2023/03/16,20:00,0.017,Real,</t>
  </si>
  <si>
    <t>ES0031408323131005HX0F,2023/03/16,21:00,0.317,Real,</t>
  </si>
  <si>
    <t>ES0031408323131005HX0F,2023/03/16,22:00,0.073,Real,</t>
  </si>
  <si>
    <t>ES0031408323131005HX0F,2023/03/16,23:00,0.286,Real,</t>
  </si>
  <si>
    <t>ES0031408323131005HX0F,2023/03/16,24:00,1.938,Real,</t>
  </si>
  <si>
    <t>ES0031408323131005HX0F,2023/03/17,01:00,0.513,Real,</t>
  </si>
  <si>
    <t>ES0031408323131005HX0F,2023/03/17,02:00,0.072,Real,</t>
  </si>
  <si>
    <t>ES0031408323131005HX0F,2023/03/17,03:00,0.33,Real,</t>
  </si>
  <si>
    <t>ES0031408323131005HX0F,2023/03/17,04:00,0.109,Real,</t>
  </si>
  <si>
    <t>ES0031408323131005HX0F,2023/03/17,05:00,0.051,Real,</t>
  </si>
  <si>
    <t>ES0031408323131005HX0F,2023/03/17,06:00,0.018,Real,</t>
  </si>
  <si>
    <t>ES0031408323131005HX0F,2023/03/17,07:00,0.349,Real,</t>
  </si>
  <si>
    <t>ES0031408323131005HX0F,2023/03/17,08:00,1.517,Real,</t>
  </si>
  <si>
    <t>ES0031408323131005HX0F,2023/03/17,09:00,1.094,Real,</t>
  </si>
  <si>
    <t>ES0031408323131005HX0F,2023/03/17,10:00,0.028,Real,</t>
  </si>
  <si>
    <t>ES0031408323131005HX0F,2023/03/17,11:00,0.213,Real,</t>
  </si>
  <si>
    <t>ES0031408323131005HX0F,2023/03/17,12:00,0.1,Real,</t>
  </si>
  <si>
    <t>ES0031408323131005HX0F,2023/03/17,13:00,0.404,Real,</t>
  </si>
  <si>
    <t>ES0031408323131005HX0F,2023/03/17,14:00,0.017,Real,</t>
  </si>
  <si>
    <t>ES0031408323131005HX0F,2023/03/17,15:00,0.108,Real,</t>
  </si>
  <si>
    <t>ES0031408323131005HX0F,2023/03/17,16:00,0.034,Real,</t>
  </si>
  <si>
    <t>ES0031408323131005HX0F,2023/03/17,17:00,0.073,Real,</t>
  </si>
  <si>
    <t>ES0031408323131005HX0F,2023/03/17,18:00,0.28,Real,</t>
  </si>
  <si>
    <t>ES0031408323131005HX0F,2023/03/17,19:00,0.092,Real,</t>
  </si>
  <si>
    <t>ES0031408323131005HX0F,2023/03/17,20:00,0.047,Real,</t>
  </si>
  <si>
    <t>ES0031408323131005HX0F,2023/03/17,21:00,0.077,Real,</t>
  </si>
  <si>
    <t>ES0031408323131005HX0F,2023/03/17,22:00,0.071,Real,</t>
  </si>
  <si>
    <t>ES0031408323131005HX0F,2023/03/17,23:00,0.891,Real,</t>
  </si>
  <si>
    <t>ES0031408323131005HX0F,2023/03/17,24:00,1.216,Real,</t>
  </si>
  <si>
    <t>ES0031408323131005HX0F,2023/03/18,01:00,1.159,Real,</t>
  </si>
  <si>
    <t>ES0031408323131005HX0F,2023/03/18,02:00,1.328,Real,</t>
  </si>
  <si>
    <t>ES0031408323131005HX0F,2023/03/18,03:00,1.297,Real,</t>
  </si>
  <si>
    <t>ES0031408323131005HX0F,2023/03/18,04:00,1.241,Real,</t>
  </si>
  <si>
    <t>ES0031408323131005HX0F,2023/03/18,05:00,1.284,Real,</t>
  </si>
  <si>
    <t>ES0031408323131005HX0F,2023/03/18,06:00,1.545,Real,</t>
  </si>
  <si>
    <t>ES0031408323131005HX0F,2023/03/18,07:00,1.251,Real,</t>
  </si>
  <si>
    <t>ES0031408323131005HX0F,2023/03/18,08:00,1.215,Real,</t>
  </si>
  <si>
    <t>ES0031408323131005HX0F,2023/03/18,09:00,1.276,Real,</t>
  </si>
  <si>
    <t>ES0031408323131005HX0F,2023/03/18,10:00,1.265,Real,</t>
  </si>
  <si>
    <t>ES0031408323131005HX0F,2023/03/18,11:00,1.917,Real,</t>
  </si>
  <si>
    <t>ES0031408323131005HX0F,2023/03/18,12:00,2.52,Real,</t>
  </si>
  <si>
    <t>ES0031408323131005HX0F,2023/03/18,13:00,1.195,Real,</t>
  </si>
  <si>
    <t>ES0031408323131005HX0F,2023/03/18,14:00,0.077,Real,</t>
  </si>
  <si>
    <t>ES0031408323131005HX0F,2023/03/18,15:00,0.027,Real,</t>
  </si>
  <si>
    <t>ES0031408323131005HX0F,2023/03/18,16:00,0.1,Real,</t>
  </si>
  <si>
    <t>ES0031408323131005HX0F,2023/03/18,17:00,0.048,Real,</t>
  </si>
  <si>
    <t>ES0031408323131005HX0F,2023/03/18,18:00,0.016,Real,</t>
  </si>
  <si>
    <t>ES0031408323131005HX0F,2023/03/18,19:00,0.336,Real,</t>
  </si>
  <si>
    <t>ES0031408323131005HX0F,2023/03/18,20:00,0.061,Real,</t>
  </si>
  <si>
    <t>ES0031408323131005HX0F,2023/03/18,21:00,0.031,Real,</t>
  </si>
  <si>
    <t>ES0031408323131005HX0F,2023/03/18,22:00,0.039,Real,</t>
  </si>
  <si>
    <t>ES0031408323131005HX0F,2023/03/18,23:00,0.115,Real,</t>
  </si>
  <si>
    <t>ES0031408323131005HX0F,2023/03/18,24:00,0.853,Real,</t>
  </si>
  <si>
    <t>ES0031408323131005HX0F,2023/03/19,01:00,2.112,Real,</t>
  </si>
  <si>
    <t>ES0031408323131005HX0F,2023/03/19,02:00,1.092,Real,</t>
  </si>
  <si>
    <t>ES0031408323131005HX0F,2023/03/19,03:00,1.195,Real,</t>
  </si>
  <si>
    <t>ES0031408323131005HX0F,2023/03/19,04:00,0.592,Real,</t>
  </si>
  <si>
    <t>ES0031408323131005HX0F,2023/03/19,05:00,0.376,Real,</t>
  </si>
  <si>
    <t>ES0031408323131005HX0F,2023/03/19,06:00,0.752,Real,</t>
  </si>
  <si>
    <t>ES0031408323131005HX0F,2023/03/19,07:00,0.391,Real,</t>
  </si>
  <si>
    <t>ES0031408323131005HX0F,2023/03/19,08:00,0.409,Real,</t>
  </si>
  <si>
    <t>ES0031408323131005HX0F,2023/03/19,09:00,0.644,Real,</t>
  </si>
  <si>
    <t>ES0031408323131005HX0F,2023/03/19,10:00,0.506,Real,</t>
  </si>
  <si>
    <t>ES0031408323131005HX0F,2023/03/19,11:00,0.808,Real,</t>
  </si>
  <si>
    <t>ES0031408323131005HX0F,2023/03/19,12:00,0.082,Real,</t>
  </si>
  <si>
    <t>ES0031408323131005HX0F,2023/03/19,13:00,0.057,Real,</t>
  </si>
  <si>
    <t>ES0031408323131005HX0F,2023/03/19,14:00,0.024,Real,</t>
  </si>
  <si>
    <t>ES0031408323131005HX0F,2023/03/19,15:00,0.305,Real,</t>
  </si>
  <si>
    <t>ES0031408323131005HX0F,2023/03/19,16:00,0.08,Real,</t>
  </si>
  <si>
    <t>ES0031408323131005HX0F,2023/03/19,17:00,0.037,Real,</t>
  </si>
  <si>
    <t>ES0031408323131005HX0F,2023/03/19,18:00,0.047,Real,</t>
  </si>
  <si>
    <t>ES0031408323131005HX0F,2023/03/19,19:00,0.065,Real,</t>
  </si>
  <si>
    <t>ES0031408323131005HX0F,2023/03/19,20:00,0.044,Real,</t>
  </si>
  <si>
    <t>ES0031408323131005HX0F,2023/03/19,21:00,1.039,Real,</t>
  </si>
  <si>
    <t>ES0031408323131005HX0F,2023/03/19,22:00,1.954,Real,</t>
  </si>
  <si>
    <t>ES0031408323131005HX0F,2023/03/19,23:00,1.89,Real,</t>
  </si>
  <si>
    <t>ES0031408323131005HX0F,2023/03/19,24:00,2.359,Real,</t>
  </si>
  <si>
    <t>ES0031408323131005HX0F,2023/03/20,01:00,1.231,Real,</t>
  </si>
  <si>
    <t>ES0031408323131005HX0F,2023/03/20,02:00,1.221,Real,</t>
  </si>
  <si>
    <t>ES0031408323131005HX0F,2023/03/20,03:00,1.225,Real,</t>
  </si>
  <si>
    <t>ES0031408323131005HX0F,2023/03/20,04:00,1.099,Real,</t>
  </si>
  <si>
    <t>ES0031408323131005HX0F,2023/03/20,05:00,0.557,Real,</t>
  </si>
  <si>
    <t>ES0031408323131005HX0F,2023/03/20,06:00,0.091,Real,</t>
  </si>
  <si>
    <t>ES0031408323131005HX0F,2023/03/20,07:00,0.046,Real,</t>
  </si>
  <si>
    <t>ES0031408323131005HX0F,2023/03/20,08:00,0.228,Real,</t>
  </si>
  <si>
    <t>ES0031408323131005HX0F,2023/03/20,09:00,0.355,Real,</t>
  </si>
  <si>
    <t>ES0031408323131005HX0F,2023/03/20,10:00,0.042,Real,</t>
  </si>
  <si>
    <t>ES0031408323131005HX0F,2023/03/20,11:00,0.048,Real,</t>
  </si>
  <si>
    <t>ES0031408323131005HX0F,2023/03/20,12:00,0.073,Real,</t>
  </si>
  <si>
    <t>ES0031408323131005HX0F,2023/03/20,13:00,0.019,Real,</t>
  </si>
  <si>
    <t>ES0031408323131005HX0F,2023/03/20,14:00,0.07,Real,</t>
  </si>
  <si>
    <t>ES0031408323131005HX0F,2023/03/20,15:00,0.308,Real,</t>
  </si>
  <si>
    <t>ES0031408323131005HX0F,2023/03/20,16:00,0.016,Real,</t>
  </si>
  <si>
    <t>ES0031408323131005HX0F,2023/03/20,17:00,0.084,Real,</t>
  </si>
  <si>
    <t>ES0031408323131005HX0F,2023/03/20,18:00,0.042,Real,</t>
  </si>
  <si>
    <t>ES0031408323131005HX0F,2023/03/20,19:00,0.145,Real,</t>
  </si>
  <si>
    <t>ES0031408323131005HX0F,2023/03/20,20:00,0.648,Real,</t>
  </si>
  <si>
    <t>ES0031408323131005HX0F,2023/03/20,21:00,1.495,Real,</t>
  </si>
  <si>
    <t>ES0031408323131005HX0F,2023/03/20,22:00,3.052,Real,</t>
  </si>
  <si>
    <t>ES0031408323131005HX0F,2023/03/20,23:00,1.073,Real,</t>
  </si>
  <si>
    <t>ES0031408323131005HX0F,2023/03/20,24:00,0.118,Real,</t>
  </si>
  <si>
    <t>ES0031408323131005HX0F,2023/03/21,01:00,0.132,Real,</t>
  </si>
  <si>
    <t>ES0031408323131005HX0F,2023/03/21,02:00,0.113,Real,</t>
  </si>
  <si>
    <t>ES0031408323131005HX0F,2023/03/21,03:00,0.38,Real,</t>
  </si>
  <si>
    <t>ES0031408323131005HX0F,2023/03/21,04:00,0.043,Real,</t>
  </si>
  <si>
    <t>ES0031408323131005HX0F,2023/03/21,05:00,0.018,Real,</t>
  </si>
  <si>
    <t>ES0031408323131005HX0F,2023/03/21,06:00,0.073,Real,</t>
  </si>
  <si>
    <t>ES0031408323131005HX0F,2023/03/21,07:00,0.089,Real,</t>
  </si>
  <si>
    <t>ES0031408323131005HX0F,2023/03/21,08:00,0.862,Real,</t>
  </si>
  <si>
    <t>ES0031408323131005HX0F,2023/03/21,09:00,0.022,Real,</t>
  </si>
  <si>
    <t>ES0031408323131005HX0F,2023/03/21,10:00,0.016,Real,</t>
  </si>
  <si>
    <t>ES0031408323131005HX0F,2023/03/21,11:00,0.104,Real,</t>
  </si>
  <si>
    <t>ES0031408323131005HX0F,2023/03/21,12:00,0.109,Real,</t>
  </si>
  <si>
    <t>ES0031408323131005HX0F,2023/03/21,13:00,0.236,Real,</t>
  </si>
  <si>
    <t>ES0031408323131005HX0F,2023/03/21,14:00,0.016,Real,</t>
  </si>
  <si>
    <t>ES0031408323131005HX0F,2023/03/21,15:00,0.094,Real,</t>
  </si>
  <si>
    <t>ES0031408323131005HX0F,2023/03/21,16:00,0.053,Real,</t>
  </si>
  <si>
    <t>ES0031408323131005HX0F,2023/03/21,17:00,0.028,Real,</t>
  </si>
  <si>
    <t>ES0031408323131005HX0F,2023/03/21,18:00,0.023,Real,</t>
  </si>
  <si>
    <t>ES0031408323131005HX0F,2023/03/21,19:00,0.361,Real,</t>
  </si>
  <si>
    <t>ES0031408323131005HX0F,2023/03/21,20:00,0.123,Real,</t>
  </si>
  <si>
    <t>ES0031408323131005HX0F,2023/03/21,21:00,1.002,Real,</t>
  </si>
  <si>
    <t>ES0031408323131005HX0F,2023/03/21,22:00,0.084,Real,</t>
  </si>
  <si>
    <t>ES0031408323131005HX0F,2023/03/21,23:00,0.022,Real,</t>
  </si>
  <si>
    <t>ES0031408323131005HX0F,2023/03/21,24:00,0.149,Real,</t>
  </si>
  <si>
    <t>ES0031408323131005HX0F,2023/03/22,01:00,0.941,Real,</t>
  </si>
  <si>
    <t>ES0031408323131005HX0F,2023/03/22,02:00,0.978,Real,</t>
  </si>
  <si>
    <t>ES0031408323131005HX0F,2023/03/22,03:00,0.101,Real,</t>
  </si>
  <si>
    <t>ES0031408323131005HX0F,2023/03/22,04:00,0.093,Real,</t>
  </si>
  <si>
    <t>ES0031408323131005HX0F,2023/03/22,05:00,0.112,Real,</t>
  </si>
  <si>
    <t>ES0031408323131005HX0F,2023/03/22,06:00,0.554,Real,</t>
  </si>
  <si>
    <t>ES0031408323131005HX0F,2023/03/22,07:00,0.063,Real,</t>
  </si>
  <si>
    <t>ES0031408323131005HX0F,2023/03/22,08:00,0.017,Real,</t>
  </si>
  <si>
    <t>ES0031408323131005HX0F,2023/03/22,09:00,0.084,Real,</t>
  </si>
  <si>
    <t>ES0031408323131005HX0F,2023/03/22,10:00,0.329,Real,</t>
  </si>
  <si>
    <t>ES0031408323131005HX0F,2023/03/22,11:00,0.059,Real,</t>
  </si>
  <si>
    <t>ES0031408323131005HX0F,2023/03/22,12:00,0.028,Real,</t>
  </si>
  <si>
    <t>ES0031408323131005HX0F,2023/03/22,13:00,0.091,Real,</t>
  </si>
  <si>
    <t>ES0031408323131005HX0F,2023/03/22,14:00,1.166,Real,</t>
  </si>
  <si>
    <t>ES0031408323131005HX0F,2023/03/22,15:00,1.744,Real,</t>
  </si>
  <si>
    <t>ES0031408323131005HX0F,2023/03/22,16:00,1.873,Real,</t>
  </si>
  <si>
    <t>ES0031408323131005HX0F,2023/03/22,17:00,1.219,Real,</t>
  </si>
  <si>
    <t>ES0031408323131005HX0F,2023/03/22,18:00,0.899,Real,</t>
  </si>
  <si>
    <t>ES0031408323131005HX0F,2023/03/22,19:00,0.054,Real,</t>
  </si>
  <si>
    <t>ES0031408323131005HX0F,2023/03/22,20:00,0.018,Real,</t>
  </si>
  <si>
    <t>ES0031408323131005HX0F,2023/03/22,21:00,0.119,Real,</t>
  </si>
  <si>
    <t>ES0031408323131005HX0F,2023/03/22,22:00,0.765,Real,</t>
  </si>
  <si>
    <t>ES0031408323131005HX0F,2023/03/22,23:00,0.588,Real,</t>
  </si>
  <si>
    <t>ES0031408323131005HX0F,2023/03/22,24:00,2.949,Real,</t>
  </si>
  <si>
    <t>ES0031408323131005HX0F,2023/03/23,01:00,0.962,Real,</t>
  </si>
  <si>
    <t>ES0031408323131005HX0F,2023/03/23,02:00,0.061,Real,</t>
  </si>
  <si>
    <t>ES0031408323131005HX0F,2023/03/23,03:00,0.038,Real,</t>
  </si>
  <si>
    <t>ES0031408323131005HX0F,2023/03/23,04:00,0.358,Real,</t>
  </si>
  <si>
    <t>ES0031408323131005HX0F,2023/03/23,05:00,0.062,Real,</t>
  </si>
  <si>
    <t>ES0031408323131005HX0F,2023/03/23,06:00,0.06,Real,</t>
  </si>
  <si>
    <t>ES0031408323131005HX0F,2023/03/23,07:00,0.079,Real,</t>
  </si>
  <si>
    <t>ES0031408323131005HX0F,2023/03/23,08:00,0.971,Real,</t>
  </si>
  <si>
    <t>ES0031408323131005HX0F,2023/03/23,09:00,0.053,Real,</t>
  </si>
  <si>
    <t>ES0031408323131005HX0F,2023/03/23,10:00,0.016,Real,</t>
  </si>
  <si>
    <t>ES0031408323131005HX0F,2023/03/23,11:00,0.056,Real,</t>
  </si>
  <si>
    <t>ES0031408323131005HX0F,2023/03/23,12:00,0.067,Real,</t>
  </si>
  <si>
    <t>ES0031408323131005HX0F,2023/03/23,13:00,0.033,Real,</t>
  </si>
  <si>
    <t>ES0031408323131005HX0F,2023/03/23,14:00,0.296,Real,</t>
  </si>
  <si>
    <t>ES0031408323131005HX0F,2023/03/23,15:00,0.092,Real,</t>
  </si>
  <si>
    <t>ES0031408323131005HX0F,2023/03/23,16:00,0.041,Real,</t>
  </si>
  <si>
    <t>ES0031408323131005HX0F,2023/03/23,17:00,0.016,Real,</t>
  </si>
  <si>
    <t>ES0031408323131005HX0F,2023/03/23,18:00,0.094,Real,</t>
  </si>
  <si>
    <t>ES0031408323131005HX0F,2023/03/23,19:00,0.058,Real,</t>
  </si>
  <si>
    <t>ES0031408323131005HX0F,2023/03/23,20:00,0.437,Real,</t>
  </si>
  <si>
    <t>ES0031408323131005HX0F,2023/03/23,21:00,0.79,Real,</t>
  </si>
  <si>
    <t>ES0031408323131005HX0F,2023/03/23,22:00,1.673,Real,</t>
  </si>
  <si>
    <t>ES0031408323131005HX0F,2023/03/23,23:00,1.936,Real,</t>
  </si>
  <si>
    <t>ES0031408323131005HX0F,2023/03/23,24:00,0.436,Real,</t>
  </si>
  <si>
    <t>ES0031408323131005HX0F,2023/03/24,01:00,0.091,Real,</t>
  </si>
  <si>
    <t>ES0031408323131005HX0F,2023/03/24,02:00,0.029,Real,</t>
  </si>
  <si>
    <t>ES0031408323131005HX0F,2023/03/24,03:00,0.095,Real,</t>
  </si>
  <si>
    <t>ES0031408323131005HX0F,2023/03/24,04:00,0.07,Real,</t>
  </si>
  <si>
    <t>ES0031408323131005HX0F,2023/03/24,05:00,0.316,Real,</t>
  </si>
  <si>
    <t>ES0031408323131005HX0F,2023/03/24,06:00,0.02,Real,</t>
  </si>
  <si>
    <t>ES0031408323131005HX0F,2023/03/24,07:00,0.102,Real,</t>
  </si>
  <si>
    <t>ES0031408323131005HX0F,2023/03/24,08:00,0.6,Real,</t>
  </si>
  <si>
    <t>ES0031408323131005HX0F,2023/03/24,09:00,0.105,Real,</t>
  </si>
  <si>
    <t>ES0031408323131005HX0F,2023/03/24,10:00,0.033,Real,</t>
  </si>
  <si>
    <t>ES0031408323131005HX0F,2023/03/24,11:00,0.117,Real,</t>
  </si>
  <si>
    <t>ES0031408323131005HX0F,2023/03/24,12:00,0.065,Real,</t>
  </si>
  <si>
    <t>ES0031408323131005HX0F,2023/03/24,13:00,0.284,Real,</t>
  </si>
  <si>
    <t>ES0031408323131005HX0F,2023/03/24,14:00,0.032,Real,</t>
  </si>
  <si>
    <t>ES0031408323131005HX0F,2023/03/24,15:00,0.094,Real,</t>
  </si>
  <si>
    <t>ES0031408323131005HX0F,2023/03/24,16:00,0.051,Real,</t>
  </si>
  <si>
    <t>ES0031408323131005HX0F,2023/03/24,17:00,0.018,Real,</t>
  </si>
  <si>
    <t>ES0031408323131005HX0F,2023/03/24,18:00,0.074,Real,</t>
  </si>
  <si>
    <t>ES0031408323131005HX0F,2023/03/24,19:00,0.333,Real,</t>
  </si>
  <si>
    <t>ES0031408323131005HX0F,2023/03/24,20:00,0.171,Real,</t>
  </si>
  <si>
    <t>ES0031408323131005HX0F,2023/03/24,21:00,0.197,Real,</t>
  </si>
  <si>
    <t>ES0031408323131005HX0F,2023/03/24,22:00,0.848,Real,</t>
  </si>
  <si>
    <t>ES0031408323131005HX0F,2023/03/24,23:00,1.256,Real,</t>
  </si>
  <si>
    <t>ES0031408323131005HX0F,2023/03/24,24:00,2.521,Real,</t>
  </si>
  <si>
    <t>ES0031408323131005HX0F,2023/03/25,01:00,1.065,Real,</t>
  </si>
  <si>
    <t>ES0031408323131005HX0F,2023/03/25,02:00,0.073,Real,</t>
  </si>
  <si>
    <t>ES0031408323131005HX0F,2023/03/25,03:00,0.094,Real,</t>
  </si>
  <si>
    <t>ES0031408323131005HX0F,2023/03/25,04:00,0.082,Real,</t>
  </si>
  <si>
    <t>ES0031408323131005HX0F,2023/03/25,05:00,0.276,Real,</t>
  </si>
  <si>
    <t>ES0031408323131005HX0F,2023/03/25,06:00,0.029,Real,</t>
  </si>
  <si>
    <t>ES0031408323131005HX0F,2023/03/25,07:00,0.153,Real,</t>
  </si>
  <si>
    <t>ES0031408323131005HX0F,2023/03/25,08:00,0.919,Real,</t>
  </si>
  <si>
    <t>ES0031408323131005HX0F,2023/03/25,09:00,0.919,Real,</t>
  </si>
  <si>
    <t>ES0031408323131005HX0F,2023/03/25,10:00,1.221,Real,</t>
  </si>
  <si>
    <t>ES0031408323131005HX0F,2023/03/25,11:00,0.311,Real,</t>
  </si>
  <si>
    <t>ES0031408323131005HX0F,2023/03/25,12:00,0.141,Real,</t>
  </si>
  <si>
    <t>ES0031408323131005HX0F,2023/03/25,13:00,0.402,Real,</t>
  </si>
  <si>
    <t>ES0031408323131005HX0F,2023/03/25,14:00,0.448,Real,</t>
  </si>
  <si>
    <t>ES0031408323131005HX0F,2023/03/25,15:00,0.117,Real,</t>
  </si>
  <si>
    <t>ES0031408323131005HX0F,2023/03/25,16:00,0.494,Real,</t>
  </si>
  <si>
    <t>ES0031408323131005HX0F,2023/03/25,17:00,0.582,Real,</t>
  </si>
  <si>
    <t>ES0031408323131005HX0F,2023/03/25,18:00,0.244,Real,</t>
  </si>
  <si>
    <t>ES0031408323131005HX0F,2023/03/25,19:00,0.309,Real,</t>
  </si>
  <si>
    <t>ES0031408323131005HX0F,2023/03/25,20:00,0.079,Real,</t>
  </si>
  <si>
    <t>ES0031408323131005HX0F,2023/03/25,21:00,0.071,Real,</t>
  </si>
  <si>
    <t>ES0031408323131005HX0F,2023/03/25,22:00,0.912,Real,</t>
  </si>
  <si>
    <t>ES0031408323131005HX0F,2023/03/25,23:00,1.875,Real,</t>
  </si>
  <si>
    <t>ES0031408323131005HX0F,2023/03/25,24:00,0.638,Real,</t>
  </si>
  <si>
    <t>ES0031408323131005HX0F,2023/03/26,01:00,1.135,Real,</t>
  </si>
  <si>
    <t>ES0031408323131005HX0F,2023/03/26,02:00,0.962,Real,</t>
  </si>
  <si>
    <t>ES0031408323131005HX0F,2023/03/26,04:00,0.932,Real,</t>
  </si>
  <si>
    <t>ES0031408323131005HX0F,2023/03/26,05:00,0.929,Real,</t>
  </si>
  <si>
    <t>ES0031408323131005HX0F,2023/03/26,06:00,0.884,Real,</t>
  </si>
  <si>
    <t>ES0031408323131005HX0F,2023/03/26,07:00,0.943,Real,</t>
  </si>
  <si>
    <t>ES0031408323131005HX0F,2023/03/26,08:00,1.172,Real,</t>
  </si>
  <si>
    <t>ES0031408323131005HX0F,2023/03/26,09:00,0.357,Real,</t>
  </si>
  <si>
    <t>ES0031408323131005HX0F,2023/03/26,10:00,0.077,Real,</t>
  </si>
  <si>
    <t>ES0031408323131005HX0F,2023/03/26,11:00,0.1,Real,</t>
  </si>
  <si>
    <t>ES0031408323131005HX0F,2023/03/26,12:00,0.746,Real,</t>
  </si>
  <si>
    <t>ES0031408323131005HX0F,2023/03/26,13:00,0.125,Real,</t>
  </si>
  <si>
    <t>ES0031408323131005HX0F,2023/03/26,14:00,0.078,Real,</t>
  </si>
  <si>
    <t>ES0031408323131005HX0F,2023/03/26,15:00,0.018,Real,</t>
  </si>
  <si>
    <t>ES0031408323131005HX0F,2023/03/26,16:00,1.103,Real,</t>
  </si>
  <si>
    <t>ES0031408323131005HX0F,2023/03/26,17:00,0.675,Real,</t>
  </si>
  <si>
    <t>ES0031408323131005HX0F,2023/03/26,18:00,0.165,Real,</t>
  </si>
  <si>
    <t>ES0031408323131005HX0F,2023/03/26,19:00,0.213,Real,</t>
  </si>
  <si>
    <t>ES0031408323131005HX0F,2023/03/26,20:00,0.352,Real,</t>
  </si>
  <si>
    <t>ES0031408323131005HX0F,2023/03/26,21:00,0.998,Real,</t>
  </si>
  <si>
    <t>ES0031408323131005HX0F,2023/03/26,22:00,2.087,Real,</t>
  </si>
  <si>
    <t>ES0031408323131005HX0F,2023/03/26,23:00,1.041,Real,</t>
  </si>
  <si>
    <t>ES0031408323131005HX0F,2023/03/26,24:00,0.625,Real,</t>
  </si>
  <si>
    <t>ES0031408323131005HX0F,2023/03/27,01:00,0.287,Real,</t>
  </si>
  <si>
    <t>ES0031408323131005HX0F,2023/03/27,02:00,0.051,Real,</t>
  </si>
  <si>
    <t>ES0031408323131005HX0F,2023/03/27,03:00,0.096,Real,</t>
  </si>
  <si>
    <t>ES0031408323131005HX0F,2023/03/27,04:00,0.049,Real,</t>
  </si>
  <si>
    <t>ES0031408323131005HX0F,2023/03/27,05:00,0.317,Real,</t>
  </si>
  <si>
    <t>ES0031408323131005HX0F,2023/03/27,06:00,0.084,Real,</t>
  </si>
  <si>
    <t>ES0031408323131005HX0F,2023/03/27,07:00,0.072,Real,</t>
  </si>
  <si>
    <t>ES0031408323131005HX0F,2023/03/27,08:00,0.159,Real,</t>
  </si>
  <si>
    <t>ES0031408323131005HX0F,2023/03/27,09:00,0.31,Real,</t>
  </si>
  <si>
    <t>ES0031408323131005HX0F,2023/03/27,10:00,0.499,Real,</t>
  </si>
  <si>
    <t>ES0031408323131005HX0F,2023/03/27,11:00,0.789,Real,</t>
  </si>
  <si>
    <t>ES0031408323131005HX0F,2023/03/27,12:00,0.37,Real,</t>
  </si>
  <si>
    <t>ES0031408323131005HX0F,2023/03/27,13:00,0.122,Real,</t>
  </si>
  <si>
    <t>ES0031408323131005HX0F,2023/03/27,14:00,0.085,Real,</t>
  </si>
  <si>
    <t>ES0031408323131005HX0F,2023/03/27,15:00,0.066,Real,</t>
  </si>
  <si>
    <t>ES0031408323131005HX0F,2023/03/27,16:00,0.268,Real,</t>
  </si>
  <si>
    <t>ES0031408323131005HX0F,2023/03/27,17:00,0.06,Real,</t>
  </si>
  <si>
    <t>ES0031408323131005HX0F,2023/03/27,18:00,0.074,Real,</t>
  </si>
  <si>
    <t>ES0031408323131005HX0F,2023/03/27,19:00,0.064,Real,</t>
  </si>
  <si>
    <t>ES0031408323131005HX0F,2023/03/27,20:00,0.017,Real,</t>
  </si>
  <si>
    <t>ES0031408323131005HX0F,2023/03/27,21:00,0.065,Real,</t>
  </si>
  <si>
    <t>ES0031408323131005HX0F,2023/03/27,22:00,0.328,Real,</t>
  </si>
  <si>
    <t>ES0031408323131005HX0F,2023/03/27,23:00,0.242,Real,</t>
  </si>
  <si>
    <t>ES0031408323131005HX0F,2023/03/27,24:00,0.377,Real,</t>
  </si>
  <si>
    <t>ES0031408323131005HX0F,2023/03/28,01:00,0.117,Real,</t>
  </si>
  <si>
    <t>ES0031408323131005HX0F,2023/03/28,02:00,0.053,Real,</t>
  </si>
  <si>
    <t>ES0031408323131005HX0F,2023/03/28,03:00,0.06,Real,</t>
  </si>
  <si>
    <t>ES0031408323131005HX0F,2023/03/28,04:00,0.038,Real,</t>
  </si>
  <si>
    <t>ES0031408323131005HX0F,2023/03/28,05:00,0.358,Real,</t>
  </si>
  <si>
    <t>ES0031408323131005HX0F,2023/03/28,06:00,0.058,Real,</t>
  </si>
  <si>
    <t>ES0031408323131005HX0F,2023/03/28,07:00,0.061,Real,</t>
  </si>
  <si>
    <t>ES0031408323131005HX0F,2023/03/28,08:00,0.698,Real,</t>
  </si>
  <si>
    <t>ES0031408323131005HX0F,2023/03/28,09:00,0.099,Real,</t>
  </si>
  <si>
    <t>ES0031408323131005HX0F,2023/03/28,10:00,0.054,Real,</t>
  </si>
  <si>
    <t>ES0031408323131005HX0F,2023/03/28,11:00,0.037,Real,</t>
  </si>
  <si>
    <t>ES0031408323131005HX0F,2023/03/28,12:00,0.33,Real,</t>
  </si>
  <si>
    <t>ES0031408323131005HX0F,2023/03/28,13:00,0.098,Real,</t>
  </si>
  <si>
    <t>ES0031408323131005HX0F,2023/03/28,14:00,0.064,Real,</t>
  </si>
  <si>
    <t>ES0031408323131005HX0F,2023/03/28,15:00,0.062,Real,</t>
  </si>
  <si>
    <t>ES0031408323131005HX0F,2023/03/28,16:00,0.054,Real,</t>
  </si>
  <si>
    <t>ES0031408323131005HX0F,2023/03/28,17:00,0.102,Real,</t>
  </si>
  <si>
    <t>ES0031408323131005HX0F,2023/03/28,18:00,0.323,Real,</t>
  </si>
  <si>
    <t>ES0031408323131005HX0F,2023/03/28,19:00,0.016,Real,</t>
  </si>
  <si>
    <t>ES0031408323131005HX0F,2023/03/28,20:00,0.07,Real,</t>
  </si>
  <si>
    <t>ES0031408323131005HX0F,2023/03/28,21:00,0.062,Real,</t>
  </si>
  <si>
    <t>ES0031408323131005HX0F,2023/03/28,22:00,0.05,Real,</t>
  </si>
  <si>
    <t>ES0031408323131005HX0F,2023/03/28,23:00,0.508,Real,</t>
  </si>
  <si>
    <t>ES0031408323131005HX0F,2023/03/28,24:00,0.552,Real,</t>
  </si>
  <si>
    <t>ES0031408323131005HX0F,2023/03/29,01:00,0.57,Real,</t>
  </si>
  <si>
    <t>ES0031408323131005HX0F,2023/03/29,02:00,0.907,Real,</t>
  </si>
  <si>
    <t>ES0031408323131005HX0F,2023/03/29,03:00,0.891,Real,</t>
  </si>
  <si>
    <t>ES0031408323131005HX0F,2023/03/29,04:00,0.978,Real,</t>
  </si>
  <si>
    <t>ES0031408323131005HX0F,2023/03/29,05:00,0.925,Real,</t>
  </si>
  <si>
    <t>ES0031408323131005HX0F,2023/03/29,06:00,1.1,Real,</t>
  </si>
  <si>
    <t>ES0031408323131005HX0F,2023/03/29,07:00,0.961,Real,</t>
  </si>
  <si>
    <t>ES0031408323131005HX0F,2023/03/29,08:00,0.42,Real,</t>
  </si>
  <si>
    <t>ES0031408323131005HX0F,2023/03/29,09:00,0.358,Real,</t>
  </si>
  <si>
    <t>ES0031408323131005HX0F,2023/03/29,10:00,0.554,Real,</t>
  </si>
  <si>
    <t>ES0031408323131005HX0F,2023/03/29,11:00,1.065,Real,</t>
  </si>
  <si>
    <t>ES0031408323131005HX0F,2023/03/29,12:00,0.045,Real,</t>
  </si>
  <si>
    <t>ES0031408323131005HX0F,2023/03/29,13:00,0.075,Real,</t>
  </si>
  <si>
    <t>ES0031408323131005HX0F,2023/03/29,14:00,0.017,Real,</t>
  </si>
  <si>
    <t>ES0031408323131005HX0F,2023/03/29,15:00,0.318,Real,</t>
  </si>
  <si>
    <t>ES0031408323131005HX0F,2023/03/29,16:00,0.085,Real,</t>
  </si>
  <si>
    <t>ES0031408323131005HX0F,2023/03/29,17:00,0.023,Real,</t>
  </si>
  <si>
    <t>ES0031408323131005HX0F,2023/03/29,18:00,0.049,Real,</t>
  </si>
  <si>
    <t>ES0031408323131005HX0F,2023/03/29,19:00,0.124,Real,</t>
  </si>
  <si>
    <t>ES0031408323131005HX0F,2023/03/29,20:00,0.1,Real,</t>
  </si>
  <si>
    <t>ES0031408323131005HX0F,2023/03/29,21:00,0.049,Real,</t>
  </si>
  <si>
    <t>ES0031408323131005HX0F,2023/03/29,22:00,0.566,Real,</t>
  </si>
  <si>
    <t>ES0031408323131005HX0F,2023/03/29,23:00,2.506,Real,</t>
  </si>
  <si>
    <t>ES0031408323131005HX0F,2023/03/29,24:00,1.244,Real,</t>
  </si>
  <si>
    <t>ES0031408323131005HX0F,2023/03/30,01:00,0.766,Real,</t>
  </si>
  <si>
    <t>ES0031408323131005HX0F,2023/03/30,02:00,1.053,Real,</t>
  </si>
  <si>
    <t>ES0031408323131005HX0F,2023/03/30,03:00,0.061,Real,</t>
  </si>
  <si>
    <t>ES0031408323131005HX0F,2023/03/30,04:00,0.103,Real,</t>
  </si>
  <si>
    <t>ES0031408323131005HX0F,2023/03/30,05:00,0.051,Real,</t>
  </si>
  <si>
    <t>ES0031408323131005HX0F,2023/03/30,06:00,0.36,Real,</t>
  </si>
  <si>
    <t>ES0031408323131005HX0F,2023/03/30,07:00,0.173,Real,</t>
  </si>
  <si>
    <t>ES0031408323131005HX0F,2023/03/30,08:00,0.069,Real,</t>
  </si>
  <si>
    <t>ES0031408323131005HX0F,2023/03/30,09:00,0.053,Real,</t>
  </si>
  <si>
    <t>ES0031408323131005HX0F,2023/03/30,10:00,0.583,Real,</t>
  </si>
  <si>
    <t>ES0031408323131005HX0F,2023/03/30,11:00,0.059,Real,</t>
  </si>
  <si>
    <t>ES0031408323131005HX0F,2023/03/30,12:00,0.021,Real,</t>
  </si>
  <si>
    <t>ES0031408323131005HX0F,2023/03/30,13:00,0.093,Real,</t>
  </si>
  <si>
    <t>ES0031408323131005HX0F,2023/03/30,14:00,0.386,Real,</t>
  </si>
  <si>
    <t>ES0031408323131005HX0F,2023/03/30,15:00,0.018,Real,</t>
  </si>
  <si>
    <t>ES0031408323131005HX0F,2023/03/30,16:00,0.085,Real,</t>
  </si>
  <si>
    <t>ES0031408323131005HX0F,2023/03/30,17:00,0.057,Real,</t>
  </si>
  <si>
    <t>ES0031408323131005HX0F,2023/03/30,18:00,0.017,Real,</t>
  </si>
  <si>
    <t>ES0031408323131005HX0F,2023/03/30,19:00,0.322,Real,</t>
  </si>
  <si>
    <t>ES0031408323131005HX0F,2023/03/30,20:00,0.082,Real,</t>
  </si>
  <si>
    <t>ES0031408323131005HX0F,2023/03/30,21:00,0.042,Real,</t>
  </si>
  <si>
    <t>ES0031408323131005HX0F,2023/03/30,22:00,2.325,Real,</t>
  </si>
  <si>
    <t>ES0031408323131005HX0F,2023/03/30,23:00,0.615,Real,</t>
  </si>
  <si>
    <t>ES0031408323131005HX0F,2023/03/30,24:00,0.827,Real,</t>
  </si>
  <si>
    <t>ES0031408323131005HX0F,2023/03/31,01:00,0.076,Real,</t>
  </si>
  <si>
    <t>ES0031408323131005HX0F,2023/03/31,02:00,0.285,Real,</t>
  </si>
  <si>
    <t>ES0031408323131005HX0F,2023/03/31,03:00,0.064,Real,</t>
  </si>
  <si>
    <t>ES0031408323131005HX0F,2023/03/31,04:00,0.094,Real,</t>
  </si>
  <si>
    <t>ES0031408323131005HX0F,2023/03/31,05:00,0.042,Real,</t>
  </si>
  <si>
    <t>ES0031408323131005HX0F,2023/03/31,06:00,0.053,Real,</t>
  </si>
  <si>
    <t>ES0031408323131005HX0F,2023/03/31,07:00,0.352,Real,</t>
  </si>
  <si>
    <t>ES0031408323131005HX0F,2023/03/31,08:00,0.054,Real,</t>
  </si>
  <si>
    <t>ES0031408323131005HX0F,2023/03/31,09:00,0.026,Real,</t>
  </si>
  <si>
    <t>ES0031408323131005HX0F,2023/03/31,10:00,0.092,Real,</t>
  </si>
  <si>
    <t>ES0031408323131005HX0F,2023/03/31,11:00,0.652,Real,</t>
  </si>
  <si>
    <t>ES0031408323131005HX0F,2023/03/31,12:00,0.022,Real,</t>
  </si>
  <si>
    <t>ES0031408323131005HX0F,2023/03/31,13:00,1.391,Real,</t>
  </si>
  <si>
    <t>ES0031408323131005HX0F,2023/03/31,14:00,0.487,Real,</t>
  </si>
  <si>
    <t>ES0031408323131005HX0F,2023/03/31,15:00,1.295,Real,</t>
  </si>
  <si>
    <t>ES0031408323131005HX0F,2023/03/31,16:00,0.022,Real,</t>
  </si>
  <si>
    <t>ES0031408323131005HX0F,2023/03/31,17:00,0.07,Real,</t>
  </si>
  <si>
    <t>ES0031408323131005HX0F,2023/03/31,18:00,0.073,Real,</t>
  </si>
  <si>
    <t>ES0031408323131005HX0F,2023/03/31,19:00,0.063,Real,</t>
  </si>
  <si>
    <t>ES0031408323131005HX0F,2023/03/31,20:00,0.273,Real,</t>
  </si>
  <si>
    <t>ES0031408323131005HX0F,2023/03/31,21:00,0.104,Real,</t>
  </si>
  <si>
    <t>ES0031408323131005HX0F,2023/03/31,22:00,0.057,Real,</t>
  </si>
  <si>
    <t>ES0031408323131005HX0F,2023/03/31,23:00,0.067,Real,</t>
  </si>
  <si>
    <t>ES0031408323131005HX0F,2023/03/31,24:00,0.574,Real,</t>
  </si>
  <si>
    <t>ES0031408323131005HX0F,2023/04/01,01:00,0.858,Real,</t>
  </si>
  <si>
    <t>ES0031408323131005HX0F,2023/04/01,02:00,0.311,Real,</t>
  </si>
  <si>
    <t>ES0031408323131005HX0F,2023/04/01,03:00,0.5,Real,</t>
  </si>
  <si>
    <t>ES0031408323131005HX0F,2023/04/01,04:00,0.206,Real,</t>
  </si>
  <si>
    <t>ES0031408323131005HX0F,2023/04/01,05:00,0.252,Real,</t>
  </si>
  <si>
    <t>ES0031408323131005HX0F,2023/04/01,06:00,0.075,Real,</t>
  </si>
  <si>
    <t>ES0031408323131005HX0F,2023/04/01,07:00,0.021,Real,</t>
  </si>
  <si>
    <t>ES0031408323131005HX0F,2023/04/01,08:00,0.064,Real,</t>
  </si>
  <si>
    <t>ES0031408323131005HX0F,2023/04/01,09:00,0.478,Real,</t>
  </si>
  <si>
    <t>ES0031408323131005HX0F,2023/04/01,10:00,0.338,Real,</t>
  </si>
  <si>
    <t>ES0031408323131005HX0F,2023/04/01,11:00,0.465,Real,</t>
  </si>
  <si>
    <t>ES0031408323131005HX0F,2023/04/01,12:00,0.313,Real,</t>
  </si>
  <si>
    <t>ES0031408323131005HX0F,2023/04/01,13:00,0.476,Real,</t>
  </si>
  <si>
    <t>ES0031408323131005HX0F,2023/04/01,14:00,2.103,Real,</t>
  </si>
  <si>
    <t>ES0031408323131005HX0F,2023/04/01,15:00,0.076,Real,</t>
  </si>
  <si>
    <t>ES0031408323131005HX0F,2023/04/01,16:00,0.063,Real,</t>
  </si>
  <si>
    <t>ES0031408323131005HX0F,2023/04/01,17:00,0.022,Real,</t>
  </si>
  <si>
    <t>ES0031408323131005HX0F,2023/04/01,18:00,0.097,Real,</t>
  </si>
  <si>
    <t>ES0031408323131005HX0F,2023/04/01,19:00,0.326,Real,</t>
  </si>
  <si>
    <t>ES0031408323131005HX0F,2023/04/01,20:00,0.018,Real,</t>
  </si>
  <si>
    <t>ES0031408323131005HX0F,2023/04/01,21:00,0.087,Real,</t>
  </si>
  <si>
    <t>ES0031408323131005HX0F,2023/04/01,22:00,0.068,Real,</t>
  </si>
  <si>
    <t>ES0031408323131005HX0F,2023/04/01,23:00,0.021,Real,</t>
  </si>
  <si>
    <t>ES0031408323131005HX0F,2023/04/01,24:00,0.057,Real,</t>
  </si>
  <si>
    <t>ES0031408323131005HX0F,2023/04/02,01:00,0.326,Real,</t>
  </si>
  <si>
    <t>ES0031408323131005HX0F,2023/04/02,02:00,0.878,Real,</t>
  </si>
  <si>
    <t>ES0031408323131005HX0F,2023/04/02,03:00,0.036,Real,</t>
  </si>
  <si>
    <t>ES0031408323131005HX0F,2023/04/02,04:00,0.111,Real,</t>
  </si>
  <si>
    <t>ES0031408323131005HX0F,2023/04/02,05:00,0.386,Real,</t>
  </si>
  <si>
    <t>ES0031408323131005HX0F,2023/04/02,06:00,0.038,Real,</t>
  </si>
  <si>
    <t>ES0031408323131005HX0F,2023/04/02,07:00,0.122,Real,</t>
  </si>
  <si>
    <t>ES0031408323131005HX0F,2023/04/02,08:00,0.051,Real,</t>
  </si>
  <si>
    <t>ES0031408323131005HX0F,2023/04/02,09:00,0.021,Real,</t>
  </si>
  <si>
    <t>ES0031408323131005HX0F,2023/04/02,10:00,0.094,Real,</t>
  </si>
  <si>
    <t>ES0031408323131005HX0F,2023/04/02,11:00,0.318,Real,</t>
  </si>
  <si>
    <t>ES0031408323131005HX0F,2023/04/02,12:00,0.019,Real,</t>
  </si>
  <si>
    <t>ES0031408323131005HX0F,2023/04/02,13:00,0.137,Real,</t>
  </si>
  <si>
    <t>ES0031408323131005HX0F,2023/04/02,14:00,0.048,Real,</t>
  </si>
  <si>
    <t>ES0031408323131005HX0F,2023/04/02,15:00,0.321,Real,</t>
  </si>
  <si>
    <t>ES0031408323131005HX0F,2023/04/02,16:00,1.171,Real,</t>
  </si>
  <si>
    <t>ES0031408323131005HX0F,2023/04/02,17:00,0.406,Real,</t>
  </si>
  <si>
    <t>ES0031408323131005HX0F,2023/04/02,18:00,0.169,Real,</t>
  </si>
  <si>
    <t>ES0031408323131005HX0F,2023/04/02,19:00,0.491,Real,</t>
  </si>
  <si>
    <t>ES0031408323131005HX0F,2023/04/02,20:00,0.795,Real,</t>
  </si>
  <si>
    <t>ES0031408323131005HX0F,2023/04/02,21:00,0.473,Real,</t>
  </si>
  <si>
    <t>ES0031408323131005HX0F,2023/04/02,22:00,2.056,Real,</t>
  </si>
  <si>
    <t>ES0031408323131005HX0F,2023/04/02,23:00,1.976,Real,</t>
  </si>
  <si>
    <t>ES0031408323131005HX0F,2023/04/02,24:00,3.417,Real,</t>
  </si>
  <si>
    <t>ES0031408323131005HX0F,2023/04/03,01:00,0.553,Real,</t>
  </si>
  <si>
    <t>ES0031408323131005HX0F,2023/04/03,02:00,0.173,Real,</t>
  </si>
  <si>
    <t>ES0031408323131005HX0F,2023/04/03,03:00,0.034,Real,</t>
  </si>
  <si>
    <t>ES0031408323131005HX0F,2023/04/03,04:00,0.12,Real,</t>
  </si>
  <si>
    <t>ES0031408323131005HX0F,2023/04/03,05:00,0.073,Real,</t>
  </si>
  <si>
    <t>ES0031408323131005HX0F,2023/04/03,06:00,0.26,Real,</t>
  </si>
  <si>
    <t>ES0031408323131005HX0F,2023/04/03,07:00,0.051,Real,</t>
  </si>
  <si>
    <t>ES0031408323131005HX0F,2023/04/03,08:00,0.127,Real,</t>
  </si>
  <si>
    <t>ES0031408323131005HX0F,2023/04/03,09:00,0.511,Real,</t>
  </si>
  <si>
    <t>ES0031408323131005HX0F,2023/04/03,10:00,0.369,Real,</t>
  </si>
  <si>
    <t>ES0031408323131005HX0F,2023/04/03,11:00,0.031,Real,</t>
  </si>
  <si>
    <t>ES0031408323131005HX0F,2023/04/03,12:00,0.035,Real,</t>
  </si>
  <si>
    <t>ES0031408323131005HX0F,2023/04/03,13:00,0.086,Real,</t>
  </si>
  <si>
    <t>ES0031408323131005HX0F,2023/04/03,14:00,0.055,Real,</t>
  </si>
  <si>
    <t>ES0031408323131005HX0F,2023/04/03,15:00,0.086,Real,</t>
  </si>
  <si>
    <t>ES0031408323131005HX0F,2023/04/03,16:00,0.265,Real,</t>
  </si>
  <si>
    <t>ES0031408323131005HX0F,2023/04/03,17:00,0.059,Real,</t>
  </si>
  <si>
    <t>ES0031408323131005HX0F,2023/04/03,18:00,0.044,Real,</t>
  </si>
  <si>
    <t>ES0031408323131005HX0F,2023/04/03,19:00,0.016,Real,</t>
  </si>
  <si>
    <t>ES0031408323131005HX0F,2023/04/03,20:00,0.106,Real,</t>
  </si>
  <si>
    <t>ES0031408323131005HX0F,2023/04/03,21:00,0.145,Real,</t>
  </si>
  <si>
    <t>ES0031408323131005HX0F,2023/04/03,22:00,2.295,Real,</t>
  </si>
  <si>
    <t>ES0031408323131005HX0F,2023/04/03,23:00,2.617,Real,</t>
  </si>
  <si>
    <t>ES0031408323131005HX0F,2023/04/03,24:00,0.735,Real,</t>
  </si>
  <si>
    <t>ES0031408323131005HX0F,2023/04/04,01:00,0.483,Real,</t>
  </si>
  <si>
    <t>ES0031408323131005HX0F,2023/04/04,02:00,0.19,Real,</t>
  </si>
  <si>
    <t>ES0031408323131005HX0F,2023/04/04,03:00,0.533,Real,</t>
  </si>
  <si>
    <t>ES0031408323131005HX0F,2023/04/04,04:00,0.161,Real,</t>
  </si>
  <si>
    <t>ES0031408323131005HX0F,2023/04/04,05:00,0.03,Real,</t>
  </si>
  <si>
    <t>ES0031408323131005HX0F,2023/04/04,06:00,0.062,Real,</t>
  </si>
  <si>
    <t>ES0031408323131005HX0F,2023/04/04,07:00,0.058,Real,</t>
  </si>
  <si>
    <t>ES0031408323131005HX0F,2023/04/04,08:00,0.107,Real,</t>
  </si>
  <si>
    <t>ES0031408323131005HX0F,2023/04/04,09:00,0.771,Real,</t>
  </si>
  <si>
    <t>ES0031408323131005HX0F,2023/04/04,10:00,0.213,Real,</t>
  </si>
  <si>
    <t>ES0031408323131005HX0F,2023/04/04,11:00,0.093,Real,</t>
  </si>
  <si>
    <t>ES0031408323131005HX0F,2023/04/04,12:00,0.088,Real,</t>
  </si>
  <si>
    <t>ES0031408323131005HX0F,2023/04/04,13:00,0.308,Real,</t>
  </si>
  <si>
    <t>ES0031408323131005HX0F,2023/04/04,14:00,0.058,Real,</t>
  </si>
  <si>
    <t>ES0031408323131005HX0F,2023/04/04,15:00,0.015,Real,</t>
  </si>
  <si>
    <t>ES0031408323131005HX0F,2023/04/04,16:00,0.084,Real,</t>
  </si>
  <si>
    <t>ES0031408323131005HX0F,2023/04/04,17:00,0.055,Real,</t>
  </si>
  <si>
    <t>ES0031408323131005HX0F,2023/04/04,18:00,0.016,Real,</t>
  </si>
  <si>
    <t>ES0031408323131005HX0F,2023/04/04,19:00,0.456,Real,</t>
  </si>
  <si>
    <t>ES0031408323131005HX0F,2023/04/04,20:00,0.252,Real,</t>
  </si>
  <si>
    <t>ES0031408323131005HX0F,2023/04/04,21:00,0.751,Real,</t>
  </si>
  <si>
    <t>ES0031408323131005HX0F,2023/04/04,22:00,0.986,Real,</t>
  </si>
  <si>
    <t>ES0031408323131005HX0F,2023/04/04,23:00,0.543,Real,</t>
  </si>
  <si>
    <t>ES0031408323131005HX0F,2023/04/04,24:00,1.158,Real,</t>
  </si>
  <si>
    <t>ES0031408323131005HX0F,2023/04/05,01:00,0.107,Real,</t>
  </si>
  <si>
    <t>ES0031408323131005HX0F,2023/04/05,02:00,0.069,Real,</t>
  </si>
  <si>
    <t>ES0031408323131005HX0F,2023/04/05,03:00,0.044,Real,</t>
  </si>
  <si>
    <t>ES0031408323131005HX0F,2023/04/05,04:00,0.064,Real,</t>
  </si>
  <si>
    <t>ES0031408323131005HX0F,2023/04/05,05:00,0.351,Real,</t>
  </si>
  <si>
    <t>ES0031408323131005HX0F,2023/04/05,06:00,0.066,Real,</t>
  </si>
  <si>
    <t>ES0031408323131005HX0F,2023/04/05,07:00,0.019,Real,</t>
  </si>
  <si>
    <t>ES0031408323131005HX0F,2023/04/05,08:00,0.098,Real,</t>
  </si>
  <si>
    <t>ES0031408323131005HX0F,2023/04/05,09:00,0.734,Real,</t>
  </si>
  <si>
    <t>ES0031408323131005HX0F,2023/04/05,10:00,0.051,Real,</t>
  </si>
  <si>
    <t>ES0031408323131005HX0F,2023/04/05,11:00,0.033,Real,</t>
  </si>
  <si>
    <t>ES0031408323131005HX0F,2023/04/05,12:00,0.079,Real,</t>
  </si>
  <si>
    <t>ES0031408323131005HX0F,2023/04/05,13:00,0.058,Real,</t>
  </si>
  <si>
    <t>ES0031408323131005HX0F,2023/04/05,14:00,0.28,Real,</t>
  </si>
  <si>
    <t>ES0031408323131005HX0F,2023/04/05,15:00,0.091,Real,</t>
  </si>
  <si>
    <t>ES0031408323131005HX0F,2023/04/05,16:00,0.434,Real,</t>
  </si>
  <si>
    <t>ES0031408323131005HX0F,2023/04/05,17:00,0.261,Real,</t>
  </si>
  <si>
    <t>ES0031408323131005HX0F,2023/04/05,18:00,0.109,Real,</t>
  </si>
  <si>
    <t>ES0031408323131005HX0F,2023/04/05,19:00,0.37,Real,</t>
  </si>
  <si>
    <t>ES0031408323131005HX0F,2023/04/05,20:00,0.061,Real,</t>
  </si>
  <si>
    <t>ES0031408323131005HX0F,2023/04/05,21:00,0.202,Real,</t>
  </si>
  <si>
    <t>ES0031408323131005HX0F,2023/04/05,22:00,1.476,Real,</t>
  </si>
  <si>
    <t>ES0031408323131005HX0F,2023/04/05,23:00,2.346,Real,</t>
  </si>
  <si>
    <t>ES0031408323131005HX0F,2023/04/05,24:00,0.778,Real,</t>
  </si>
  <si>
    <t>ES0031408323131005HX0F,2023/04/06,01:00,0.068,Real,</t>
  </si>
  <si>
    <t>ES0031408323131005HX0F,2023/04/06,02:00,0.07,Real,</t>
  </si>
  <si>
    <t>ES0031408323131005HX0F,2023/04/06,03:00,0.039,Real,</t>
  </si>
  <si>
    <t>ES0031408323131005HX0F,2023/04/06,04:00,0.09,Real,</t>
  </si>
  <si>
    <t>ES0031408323131005HX0F,2023/04/06,05:00,0.321,Real,</t>
  </si>
  <si>
    <t>ES0031408323131005HX0F,2023/04/06,06:00,0.078,Real,</t>
  </si>
  <si>
    <t>ES0031408323131005HX0F,2023/04/06,07:00,0.018,Real,</t>
  </si>
  <si>
    <t>ES0031408323131005HX0F,2023/04/06,08:00,0.368,Real,</t>
  </si>
  <si>
    <t>ES0031408323131005HX0F,2023/04/06,09:00,0.385,Real,</t>
  </si>
  <si>
    <t>ES0031408323131005HX0F,2023/04/06,10:00,1.779,Real,</t>
  </si>
  <si>
    <t>ES0031408323131005HX0F,2023/04/06,11:00,0.064,Real,</t>
  </si>
  <si>
    <t>ES0031408323131005HX0F,2023/04/06,12:00,0.056,Real,</t>
  </si>
  <si>
    <t>ES0031408323131005HX0F,2023/04/06,13:00,0.045,Real,</t>
  </si>
  <si>
    <t>ES0031408323131005HX0F,2023/04/06,14:00,0.023,Real,</t>
  </si>
  <si>
    <t>ES0031408323131005HX0F,2023/04/06,15:00,0.363,Real,</t>
  </si>
  <si>
    <t>ES0031408323131005HX0F,2023/04/06,16:00,0.053,Real,</t>
  </si>
  <si>
    <t>ES0031408323131005HX0F,2023/04/06,17:00,0.017,Real,</t>
  </si>
  <si>
    <t>ES0031408323131005HX0F,2023/04/06,18:00,0.959,Real,</t>
  </si>
  <si>
    <t>ES0031408323131005HX0F,2023/04/06,19:00,0.441,Real,</t>
  </si>
  <si>
    <t>ES0031408323131005HX0F,2023/04/06,20:00,0.368,Real,</t>
  </si>
  <si>
    <t>ES0031408323131005HX0F,2023/04/06,21:00,0.916,Real,</t>
  </si>
  <si>
    <t>ES0031408323131005HX0F,2023/04/06,22:00,0.233,Real,</t>
  </si>
  <si>
    <t>ES0031408323131005HX0F,2023/04/06,23:00,0.053,Real,</t>
  </si>
  <si>
    <t>ES0031408323131005HX0F,2023/04/06,24:00,0.048,Real,</t>
  </si>
  <si>
    <t>ES0031408323131005HX0F,2023/04/07,01:00,0.022,Real,</t>
  </si>
  <si>
    <t>ES0031408323131005HX0F,2023/04/07,02:00,1.263,Real,</t>
  </si>
  <si>
    <t>ES0031408323131005HX0F,2023/04/07,03:00,0.298,Real,</t>
  </si>
  <si>
    <t>ES0031408323131005HX0F,2023/04/07,04:00,0.031,Real,</t>
  </si>
  <si>
    <t>ES0031408323131005HX0F,2023/04/07,05:00,0.075,Real,</t>
  </si>
  <si>
    <t>ES0031408323131005HX0F,2023/04/07,06:00,0.325,Real,</t>
  </si>
  <si>
    <t>ES0031408323131005HX0F,2023/04/07,07:00,0.025,Real,</t>
  </si>
  <si>
    <t>ES0031408323131005HX0F,2023/04/07,08:00,0.05,Real,</t>
  </si>
  <si>
    <t>ES0031408323131005HX0F,2023/04/07,09:00,0.061,Real,</t>
  </si>
  <si>
    <t>ES0031408323131005HX0F,2023/04/07,10:00,0.051,Real,</t>
  </si>
  <si>
    <t>ES0031408323131005HX0F,2023/04/07,11:00,0.021,Real,</t>
  </si>
  <si>
    <t>ES0031408323131005HX0F,2023/04/07,12:00,0.64,Real,</t>
  </si>
  <si>
    <t>ES0031408323131005HX0F,2023/04/07,13:00,0.979,Real,</t>
  </si>
  <si>
    <t>ES0031408323131005HX0F,2023/04/07,14:00,1.221,Real,</t>
  </si>
  <si>
    <t>ES0031408323131005HX0F,2023/04/07,15:00,0.312,Real,</t>
  </si>
  <si>
    <t>ES0031408323131005HX0F,2023/04/07,16:00,0.058,Real,</t>
  </si>
  <si>
    <t>ES0031408323131005HX0F,2023/04/07,17:00,0.806,Real,</t>
  </si>
  <si>
    <t>ES0031408323131005HX0F,2023/04/07,18:00,0.029,Real,</t>
  </si>
  <si>
    <t>ES0031408323131005HX0F,2023/04/07,19:00,0.104,Real,</t>
  </si>
  <si>
    <t>ES0031408323131005HX0F,2023/04/07,20:00,0.055,Real,</t>
  </si>
  <si>
    <t>ES0031408323131005HX0F,2023/04/07,21:00,0.017,Real,</t>
  </si>
  <si>
    <t>ES0031408323131005HX0F,2023/04/07,22:00,2.185,Real,</t>
  </si>
  <si>
    <t>ES0031408323131005HX0F,2023/04/07,23:00,1.374,Real,</t>
  </si>
  <si>
    <t>ES0031408323131005HX0F,2023/04/07,24:00,1.88,Real,</t>
  </si>
  <si>
    <t>ES0031408323131005HX0F,2023/04/08,01:00,0.791,Real,</t>
  </si>
  <si>
    <t>ES0031408323131005HX0F,2023/04/08,02:00,0.208,Real,</t>
  </si>
  <si>
    <t>ES0031408323131005HX0F,2023/04/08,03:00,0.186,Real,</t>
  </si>
  <si>
    <t>ES0031408323131005HX0F,2023/04/08,04:00,0.059,Real,</t>
  </si>
  <si>
    <t>ES0031408323131005HX0F,2023/04/08,05:00,0.282,Real,</t>
  </si>
  <si>
    <t>ES0031408323131005HX0F,2023/04/08,06:00,0.062,Real,</t>
  </si>
  <si>
    <t>ES0031408323131005HX0F,2023/04/08,07:00,0.098,Real,</t>
  </si>
  <si>
    <t>ES0031408323131005HX0F,2023/04/08,08:00,0.057,Real,</t>
  </si>
  <si>
    <t>ES0031408323131005HX0F,2023/04/08,09:00,0.016,Real,</t>
  </si>
  <si>
    <t>ES0031408323131005HX0F,2023/04/08,10:00,0.096,Real,</t>
  </si>
  <si>
    <t>ES0031408323131005HX0F,2023/04/08,11:00,0.475,Real,</t>
  </si>
  <si>
    <t>ES0031408323131005HX0F,2023/04/08,12:00,0.265,Real,</t>
  </si>
  <si>
    <t>ES0031408323131005HX0F,2023/04/08,13:00,0.081,Real,</t>
  </si>
  <si>
    <t>ES0031408323131005HX0F,2023/04/08,14:00,0.059,Real,</t>
  </si>
  <si>
    <t>ES0031408323131005HX0F,2023/04/08,15:00,0.282,Real,</t>
  </si>
  <si>
    <t>ES0031408323131005HX0F,2023/04/08,16:00,0.055,Real,</t>
  </si>
  <si>
    <t>ES0031408323131005HX0F,2023/04/08,17:00,0.061,Real,</t>
  </si>
  <si>
    <t>ES0031408323131005HX0F,2023/04/08,18:00,0.047,Real,</t>
  </si>
  <si>
    <t>ES0031408323131005HX0F,2023/04/08,19:00,0.029,Real,</t>
  </si>
  <si>
    <t>ES0031408323131005HX0F,2023/04/08,20:00,0.087,Real,</t>
  </si>
  <si>
    <t>ES0031408323131005HX0F,2023/04/08,21:00,0.304,Real,</t>
  </si>
  <si>
    <t>ES0031408323131005HX0F,2023/04/08,22:00,1.201,Real,</t>
  </si>
  <si>
    <t>ES0031408323131005HX0F,2023/04/08,23:00,1.692,Real,</t>
  </si>
  <si>
    <t>ES0031408323131005HX0F,2023/04/08,24:00,3.048,Real,</t>
  </si>
  <si>
    <t>ES0031408323131005HX0F,2023/04/09,01:00,2.322,Real,</t>
  </si>
  <si>
    <t>ES0031408323131005HX0F,2023/04/09,02:00,0.321,Real,</t>
  </si>
  <si>
    <t>ES0031408323131005HX0F,2023/04/09,03:00,0.237,Real,</t>
  </si>
  <si>
    <t>ES0031408323131005HX0F,2023/04/09,04:00,0.065,Real,</t>
  </si>
  <si>
    <t>ES0031408323131005HX0F,2023/04/09,05:00,0.021,Real,</t>
  </si>
  <si>
    <t>ES0031408323131005HX0F,2023/04/09,06:00,0.322,Real,</t>
  </si>
  <si>
    <t>ES0031408323131005HX0F,2023/04/09,07:00,0.06,Real,</t>
  </si>
  <si>
    <t>ES0031408323131005HX0F,2023/04/09,08:00,0.053,Real,</t>
  </si>
  <si>
    <t>ES0031408323131005HX0F,2023/04/09,09:00,0.022,Real,</t>
  </si>
  <si>
    <t>ES0031408323131005HX0F,2023/04/09,10:00,0.107,Real,</t>
  </si>
  <si>
    <t>ES0031408323131005HX0F,2023/04/09,11:00,0.524,Real,</t>
  </si>
  <si>
    <t>ES0031408323131005HX0F,2023/04/09,12:00,1.005,Real,</t>
  </si>
  <si>
    <t>ES0031408323131005HX0F,2023/04/09,13:00,0.445,Real,</t>
  </si>
  <si>
    <t>ES0031408323131005HX0F,2023/04/09,14:00,0.108,Real,</t>
  </si>
  <si>
    <t>ES0031408323131005HX0F,2023/04/09,15:00,0.042,Real,</t>
  </si>
  <si>
    <t>ES0031408323131005HX0F,2023/04/09,16:00,0.36,Real,</t>
  </si>
  <si>
    <t>ES0031408323131005HX0F,2023/04/09,17:00,0.028,Real,</t>
  </si>
  <si>
    <t>ES0031408323131005HX0F,2023/04/09,18:00,0.078,Real,</t>
  </si>
  <si>
    <t>ES0031408323131005HX0F,2023/04/09,19:00,0.046,Real,</t>
  </si>
  <si>
    <t>ES0031408323131005HX0F,2023/04/09,20:00,0.056,Real,</t>
  </si>
  <si>
    <t>ES0031408323131005HX0F,2023/04/09,21:00,0.017,Real,</t>
  </si>
  <si>
    <t>ES0031408323131005HX0F,2023/04/09,22:00,0.348,Real,</t>
  </si>
  <si>
    <t>ES0031408323131005HX0F,2023/04/09,23:00,0.054,Real,</t>
  </si>
  <si>
    <t>ES0031408323131005HX0F,2023/04/09,24:00,0.15,Real,</t>
  </si>
  <si>
    <t>ES0031408323131005HX0F,2023/04/10,01:00,0.567,Real,</t>
  </si>
  <si>
    <t>ES0031408323131005HX0F,2023/04/10,02:00,0.052,Real,</t>
  </si>
  <si>
    <t>ES0031408323131005HX0F,2023/04/10,03:00,0.347,Real,</t>
  </si>
  <si>
    <t>ES0031408323131005HX0F,2023/04/10,04:00,0.044,Real,</t>
  </si>
  <si>
    <t>ES0031408323131005HX0F,2023/04/10,05:00,0.142,Real,</t>
  </si>
  <si>
    <t>ES0031408323131005HX0F,2023/04/10,06:00,0.146,Real,</t>
  </si>
  <si>
    <t>ES0031408323131005HX0F,2023/04/10,07:00,0.437,Real,</t>
  </si>
  <si>
    <t>ES0031408323131005HX0F,2023/04/10,08:00,1.37,Real,</t>
  </si>
  <si>
    <t>ES0031408323131005HX0F,2023/04/10,09:00,0.058,Real,</t>
  </si>
  <si>
    <t>ES0031408323131005HX0F,2023/04/10,10:00,0.035,Real,</t>
  </si>
  <si>
    <t>ES0031408323131005HX0F,2023/04/10,11:00,0.069,Real,</t>
  </si>
  <si>
    <t>ES0031408323131005HX0F,2023/04/10,12:00,0.062,Real,</t>
  </si>
  <si>
    <t>ES0031408323131005HX0F,2023/04/10,13:00,0.284,Real,</t>
  </si>
  <si>
    <t>ES0031408323131005HX0F,2023/04/10,14:00,0.068,Real,</t>
  </si>
  <si>
    <t>ES0031408323131005HX0F,2023/04/10,15:00,0.068,Real,</t>
  </si>
  <si>
    <t>ES0031408323131005HX0F,2023/04/10,16:00,0.018,Real,</t>
  </si>
  <si>
    <t>ES0031408323131005HX0F,2023/04/10,17:00,0.072,Real,</t>
  </si>
  <si>
    <t>ES0031408323131005HX0F,2023/04/10,18:00,0.064,Real,</t>
  </si>
  <si>
    <t>ES0031408323131005HX0F,2023/04/10,19:00,0.297,Real,</t>
  </si>
  <si>
    <t>ES0031408323131005HX0F,2023/04/10,20:00,0.09,Real,</t>
  </si>
  <si>
    <t>ES0031408323131005HX0F,2023/04/10,21:00,2.319,Real,</t>
  </si>
  <si>
    <t>ES0031408323131005HX0F,2023/04/10,22:00,1.193,Real,</t>
  </si>
  <si>
    <t>ES0031408323131005HX0F,2023/04/10,23:00,0.516,Real,</t>
  </si>
  <si>
    <t>ES0031408323131005HX0F,2023/04/10,24:00,1.194,Real,</t>
  </si>
  <si>
    <t>ES0031408323131005HX0F,2023/04/11,01:00,0.083,Real,</t>
  </si>
  <si>
    <t>ES0031408323131005HX0F,2023/04/11,02:00,0.291,Real,</t>
  </si>
  <si>
    <t>ES0031408323131005HX0F,2023/04/11,03:00,0.145,Real,</t>
  </si>
  <si>
    <t>ES0031408323131005HX0F,2023/04/11,04:00,0.066,Real,</t>
  </si>
  <si>
    <t>ES0031408323131005HX0F,2023/04/11,05:00,0.027,Real,</t>
  </si>
  <si>
    <t>ES0031408323131005HX0F,2023/04/11,06:00,0.168,Real,</t>
  </si>
  <si>
    <t>ES0031408323131005HX0F,2023/04/11,07:00,0.063,Real,</t>
  </si>
  <si>
    <t>ES0031408323131005HX0F,2023/04/11,08:00,0.345,Real,</t>
  </si>
  <si>
    <t>ES0031408323131005HX0F,2023/04/11,09:00,0.07,Real,</t>
  </si>
  <si>
    <t>ES0031408323131005HX0F,2023/04/11,10:00,0.159,Real,</t>
  </si>
  <si>
    <t>ES0031408323131005HX0F,2023/04/11,11:00,0.57,Real,</t>
  </si>
  <si>
    <t>ES0031408323131005HX0F,2023/04/11,12:00,0.367,Real,</t>
  </si>
  <si>
    <t>ES0031408323131005HX0F,2023/04/11,13:00,0.103,Real,</t>
  </si>
  <si>
    <t>ES0031408323131005HX0F,2023/04/11,14:00,1.808,Real,</t>
  </si>
  <si>
    <t>ES0031408323131005HX0F,2023/04/11,15:00,0.936,Real,</t>
  </si>
  <si>
    <t>ES0031408323131005HX0F,2023/04/11,16:00,0.938,Real,</t>
  </si>
  <si>
    <t>ES0031408323131005HX0F,2023/04/11,17:00,0.06,Real,</t>
  </si>
  <si>
    <t>ES0031408323131005HX0F,2023/04/11,18:00,0.05,Real,</t>
  </si>
  <si>
    <t>ES0031408323131005HX0F,2023/04/11,19:00,0.045,Real,</t>
  </si>
  <si>
    <t>ES0031408323131005HX0F,2023/04/11,20:00,0.074,Real,</t>
  </si>
  <si>
    <t>ES0031408323131005HX0F,2023/04/11,21:00,0.296,Real,</t>
  </si>
  <si>
    <t>ES0031408323131005HX0F,2023/04/11,22:00,0.055,Real,</t>
  </si>
  <si>
    <t>ES0031408323131005HX0F,2023/04/11,23:00,1.166,Real,</t>
  </si>
  <si>
    <t>ES0031408323131005HX0F,2023/04/11,24:00,1.519,Real,</t>
  </si>
  <si>
    <t>ES0031408323131005HX0F,2023/04/12,01:00,1.35,Real,</t>
  </si>
  <si>
    <t>ES0031408323131005HX0F,2023/04/12,02:00,0.956,Real,</t>
  </si>
  <si>
    <t>ES0031408323131005HX0F,2023/04/12,03:00,0.697,Real,</t>
  </si>
  <si>
    <t>ES0031408323131005HX0F,2023/04/12,04:00,1.096,Real,</t>
  </si>
  <si>
    <t>ES0031408323131005HX0F,2023/04/12,05:00,0.744,Real,</t>
  </si>
  <si>
    <t>ES0031408323131005HX0F,2023/04/12,06:00,0.85,Real,</t>
  </si>
  <si>
    <t>ES0031408323131005HX0F,2023/04/12,07:00,0.778,Real,</t>
  </si>
  <si>
    <t>ES0031408323131005HX0F,2023/04/12,08:00,0.954,Real,</t>
  </si>
  <si>
    <t>ES0031408323131005HX0F,2023/04/12,09:00,0.638,Real,</t>
  </si>
  <si>
    <t>ES0031408323131005HX0F,2023/04/12,10:00,0.626,Real,</t>
  </si>
  <si>
    <t>ES0031408323131005HX0F,2023/04/12,11:00,0.382,Real,</t>
  </si>
  <si>
    <t>ES0031408323131005HX0F,2023/04/12,12:00,0.966,Real,</t>
  </si>
  <si>
    <t>ES0031408323131005HX0F,2023/04/12,13:00,0.109,Real,</t>
  </si>
  <si>
    <t>ES0031408323131005HX0F,2023/04/12,14:00,0.041,Real,</t>
  </si>
  <si>
    <t>ES0031408323131005HX0F,2023/04/12,15:00,0.06,Real,</t>
  </si>
  <si>
    <t>ES0031408323131005HX0F,2023/04/12,16:00,0.129,Real,</t>
  </si>
  <si>
    <t>ES0031408323131005HX0F,2023/04/12,17:00,0.225,Real,</t>
  </si>
  <si>
    <t>ES0031408323131005HX0F,2023/04/12,18:00,0.077,Real,</t>
  </si>
  <si>
    <t>ES0031408323131005HX0F,2023/04/12,19:00,0.064,Real,</t>
  </si>
  <si>
    <t>ES0031408323131005HX0F,2023/04/12,20:00,0.017,Real,</t>
  </si>
  <si>
    <t>ES0031408323131005HX0F,2023/04/12,21:00,0.087,Real,</t>
  </si>
  <si>
    <t>ES0031408323131005HX0F,2023/04/12,22:00,0.053,Real,</t>
  </si>
  <si>
    <t>ES0031408323131005HX0F,2023/04/12,23:00,0.388,Real,</t>
  </si>
  <si>
    <t>ES0031408323131005HX0F,2023/04/12,24:00,1.004,Real,</t>
  </si>
  <si>
    <t>ES0031408323131005HX0F,2023/04/13,01:00,0.142,Real,</t>
  </si>
  <si>
    <t>ES0031408323131005HX0F,2023/04/13,02:00,0.045,Real,</t>
  </si>
  <si>
    <t>ES0031408323131005HX0F,2023/04/13,03:00,0.156,Real,</t>
  </si>
  <si>
    <t>ES0031408323131005HX0F,2023/04/13,04:00,0.29,Real,</t>
  </si>
  <si>
    <t>ES0031408323131005HX0F,2023/04/13,05:00,0.045,Real,</t>
  </si>
  <si>
    <t>ES0031408323131005HX0F,2023/04/13,06:00,0.087,Real,</t>
  </si>
  <si>
    <t>ES0031408323131005HX0F,2023/04/13,07:00,0.086,Real,</t>
  </si>
  <si>
    <t>ES0031408323131005HX0F,2023/04/13,08:00,0.955,Real,</t>
  </si>
  <si>
    <t>ES0031408323131005HX0F,2023/04/13,09:00,0.158,Real,</t>
  </si>
  <si>
    <t>ES0031408323131005HX0F,2023/04/13,10:00,0.51,Real,</t>
  </si>
  <si>
    <t>ES0031408323131005HX0F,2023/04/13,11:00,1.605,Real,</t>
  </si>
  <si>
    <t>ES0031408323131005HX0F,2023/04/13,12:00,0.114,Real,</t>
  </si>
  <si>
    <t>ES0031408323131005HX0F,2023/04/13,13:00,0.059,Real,</t>
  </si>
  <si>
    <t>ES0031408323131005HX0F,2023/04/13,14:00,0.342,Real,</t>
  </si>
  <si>
    <t>ES0031408323131005HX0F,2023/04/13,15:00,0.127,Real,</t>
  </si>
  <si>
    <t>ES0031408323131005HX0F,2023/04/13,16:00,0.084,Real,</t>
  </si>
  <si>
    <t>ES0031408323131005HX0F,2023/04/13,17:00,0.036,Real,</t>
  </si>
  <si>
    <t>ES0031408323131005HX0F,2023/04/13,18:00,0.043,Real,</t>
  </si>
  <si>
    <t>ES0031408323131005HX0F,2023/04/13,19:00,0.081,Real,</t>
  </si>
  <si>
    <t>ES0031408323131005HX0F,2023/04/13,20:00,0.289,Real,</t>
  </si>
  <si>
    <t>ES0031408323131005HX0F,2023/04/13,21:00,0.042,Real,</t>
  </si>
  <si>
    <t>ES0031408323131005HX0F,2023/04/13,22:00,0.077,Real,</t>
  </si>
  <si>
    <t>ES0031408323131005HX0F,2023/04/13,23:00,0.043,Real,</t>
  </si>
  <si>
    <t>ES0031408323131005HX0F,2023/04/13,24:00,0.211,Real,</t>
  </si>
  <si>
    <t>ES0031408323131005HX0F,2023/04/14,01:00,0.459,Real,</t>
  </si>
  <si>
    <t>ES0031408323131005HX0F,2023/04/14,02:00,0.06,Real,</t>
  </si>
  <si>
    <t>ES0031408323131005HX0F,2023/04/14,03:00,0.062,Real,</t>
  </si>
  <si>
    <t>ES0031408323131005HX0F,2023/04/14,04:00,0.084,Real,</t>
  </si>
  <si>
    <t>ES0031408323131005HX0F,2023/04/14,05:00,0.049,Real,</t>
  </si>
  <si>
    <t>ES0031408323131005HX0F,2023/04/14,06:00,0.339,Real,</t>
  </si>
  <si>
    <t>ES0031408323131005HX0F,2023/04/14,07:00,0.095,Real,</t>
  </si>
  <si>
    <t>ES0031408323131005HX0F,2023/04/14,08:00,0.62,Real,</t>
  </si>
  <si>
    <t>ES0031408323131005HX0F,2023/04/14,09:00,0.057,Real,</t>
  </si>
  <si>
    <t>ES0031408323131005HX0F,2023/04/14,10:00,0.062,Real,</t>
  </si>
  <si>
    <t>ES0031408323131005HX0F,2023/04/14,11:00,0.107,Real,</t>
  </si>
  <si>
    <t>ES0031408323131005HX0F,2023/04/14,12:00,0.159,Real,</t>
  </si>
  <si>
    <t>ES0031408323131005HX0F,2023/04/14,13:00,0.744,Real,</t>
  </si>
  <si>
    <t>ES0031408323131005HX0F,2023/04/14,14:00,0.086,Real,</t>
  </si>
  <si>
    <t>ES0031408323131005HX0F,2023/04/14,15:00,0.273,Real,</t>
  </si>
  <si>
    <t>ES0031408323131005HX0F,2023/04/14,16:00,0.119,Real,</t>
  </si>
  <si>
    <t>ES0031408323131005HX0F,2023/04/14,17:00,0.048,Real,</t>
  </si>
  <si>
    <t>ES0031408323131005HX0F,2023/04/14,18:00,0.027,Real,</t>
  </si>
  <si>
    <t>ES0031408323131005HX0F,2023/04/14,19:00,0.118,Real,</t>
  </si>
  <si>
    <t>ES0031408323131005HX0F,2023/04/14,20:00,0.076,Real,</t>
  </si>
  <si>
    <t>ES0031408323131005HX0F,2023/04/14,21:00,0.291,Real,</t>
  </si>
  <si>
    <t>ES0031408323131005HX0F,2023/04/14,22:00,0.05,Real,</t>
  </si>
  <si>
    <t>ES0031408323131005HX0F,2023/04/14,23:00,0.076,Real,</t>
  </si>
  <si>
    <t>ES0031408323131005HX0F,2023/04/14,24:00,1.198,Real,</t>
  </si>
  <si>
    <t>ES0031408323131005HX0F,2023/04/15,01:00,1.286,Real,</t>
  </si>
  <si>
    <t>ES0031408323131005HX0F,2023/04/15,02:00,0.303,Real,</t>
  </si>
  <si>
    <t>ES0031408323131005HX0F,2023/04/15,03:00,0.021,Real,</t>
  </si>
  <si>
    <t>ES0031408323131005HX0F,2023/04/15,04:00,0.069,Real,</t>
  </si>
  <si>
    <t>ES0031408323131005HX0F,2023/04/15,05:00,0.069,Real,</t>
  </si>
  <si>
    <t>ES0031408323131005HX0F,2023/04/15,06:00,0.029,Real,</t>
  </si>
  <si>
    <t>ES0031408323131005HX0F,2023/04/15,07:00,0.328,Real,</t>
  </si>
  <si>
    <t>ES0031408323131005HX0F,2023/04/15,08:00,0.069,Real,</t>
  </si>
  <si>
    <t>ES0031408323131005HX0F,2023/04/15,09:00,0.079,Real,</t>
  </si>
  <si>
    <t>ES0031408323131005HX0F,2023/04/15,10:00,0.058,Real,</t>
  </si>
  <si>
    <t>ES0031408323131005HX0F,2023/04/15,11:00,0.063,Real,</t>
  </si>
  <si>
    <t>ES0031408323131005HX0F,2023/04/15,12:00,0.316,Real,</t>
  </si>
  <si>
    <t>ES0031408323131005HX0F,2023/04/15,13:00,0.041,Real,</t>
  </si>
  <si>
    <t>ES0031408323131005HX0F,2023/04/15,14:00,0.071,Real,</t>
  </si>
  <si>
    <t>ES0031408323131005HX0F,2023/04/15,15:00,0.192,Real,</t>
  </si>
  <si>
    <t>ES0031408323131005HX0F,2023/04/15,16:00,0.168,Real,</t>
  </si>
  <si>
    <t>ES0031408323131005HX0F,2023/04/15,17:00,0.061,Real,</t>
  </si>
  <si>
    <t>ES0031408323131005HX0F,2023/04/15,18:00,0.325,Real,</t>
  </si>
  <si>
    <t>ES0031408323131005HX0F,2023/04/15,19:00,0.111,Real,</t>
  </si>
  <si>
    <t>ES0031408323131005HX0F,2023/04/15,20:00,0.922,Real,</t>
  </si>
  <si>
    <t>ES0031408323131005HX0F,2023/04/15,21:00,1.794,Real,</t>
  </si>
  <si>
    <t>ES0031408323131005HX0F,2023/04/15,22:00,0.179,Real,</t>
  </si>
  <si>
    <t>ES0031408323131005HX0F,2023/04/15,23:00,0.091,Real,</t>
  </si>
  <si>
    <t>ES0031408323131005HX0F,2023/04/15,24:00,0.079,Real,</t>
  </si>
  <si>
    <t>ES0031408323131005HX0F,2023/04/16,01:00,0.038,Real,</t>
  </si>
  <si>
    <t>ES0031408323131005HX0F,2023/04/16,02:00,0.339,Real,</t>
  </si>
  <si>
    <t>ES0031408323131005HX0F,2023/04/16,03:00,0.097,Real,</t>
  </si>
  <si>
    <t>ES0031408323131005HX0F,2023/04/16,04:00,0.047,Real,</t>
  </si>
  <si>
    <t>ES0031408323131005HX0F,2023/04/16,05:00,0.046,Real,</t>
  </si>
  <si>
    <t>ES0031408323131005HX0F,2023/04/16,06:00,0.077,Real,</t>
  </si>
  <si>
    <t>ES0031408323131005HX0F,2023/04/16,07:00,0.268,Real,</t>
  </si>
  <si>
    <t>ES0031408323131005HX0F,2023/04/16,08:00,0.073,Real,</t>
  </si>
  <si>
    <t>ES0031408323131005HX0F,2023/04/16,09:00,0.083,Real,</t>
  </si>
  <si>
    <t>ES0031408323131005HX0F,2023/04/16,10:00,0.066,Real,</t>
  </si>
  <si>
    <t>ES0031408323131005HX0F,2023/04/16,11:00,0.037,Real,</t>
  </si>
  <si>
    <t>ES0031408323131005HX0F,2023/04/16,12:00,0.457,Real,</t>
  </si>
  <si>
    <t>ES0031408323131005HX0F,2023/04/16,13:00,0.138,Real,</t>
  </si>
  <si>
    <t>ES0031408323131005HX0F,2023/04/16,14:00,1.437,Real,</t>
  </si>
  <si>
    <t>ES0031408323131005HX0F,2023/04/16,15:00,0.11,Real,</t>
  </si>
  <si>
    <t>ES0031408323131005HX0F,2023/04/16,16:00,0.047,Real,</t>
  </si>
  <si>
    <t>ES0031408323131005HX0F,2023/04/16,17:00,0.079,Real,</t>
  </si>
  <si>
    <t>ES0031408323131005HX0F,2023/04/16,18:00,0.018,Real,</t>
  </si>
  <si>
    <t>ES0031408323131005HX0F,2023/04/16,19:00,0.355,Real,</t>
  </si>
  <si>
    <t>ES0031408323131005HX0F,2023/04/16,20:00,1.192,Real,</t>
  </si>
  <si>
    <t>ES0031408323131005HX0F,2023/04/16,21:00,0.134,Real,</t>
  </si>
  <si>
    <t>ES0031408323131005HX0F,2023/04/16,22:00,0.725,Real,</t>
  </si>
  <si>
    <t>ES0031408323131005HX0F,2023/04/16,23:00,1.281,Real,</t>
  </si>
  <si>
    <t>ES0031408323131005HX0F,2023/04/16,24:00,0.698,Real,</t>
  </si>
  <si>
    <t>ES0031408323131005HX0F,2023/04/17,01:00,0.099,Real,</t>
  </si>
  <si>
    <t>ES0031408323131005HX0F,2023/04/17,02:00,0.122,Real,</t>
  </si>
  <si>
    <t>ES0031408323131005HX0F,2023/04/17,03:00,0.085,Real,</t>
  </si>
  <si>
    <t>ES0031408323131005HX0F,2023/04/17,04:00,0.052,Real,</t>
  </si>
  <si>
    <t>ES0031408323131005HX0F,2023/04/17,05:00,0.027,Real,</t>
  </si>
  <si>
    <t>ES0031408323131005HX0F,2023/04/17,06:00,0.191,Real,</t>
  </si>
  <si>
    <t>ES0031408323131005HX0F,2023/04/17,07:00,0.238,Real,</t>
  </si>
  <si>
    <t>ES0031408323131005HX0F,2023/04/17,08:00,0.076,Real,</t>
  </si>
  <si>
    <t>ES0031408323131005HX0F,2023/04/17,09:00,0.06,Real,</t>
  </si>
  <si>
    <t>ES0031408323131005HX0F,2023/04/17,10:00,0.07,Real,</t>
  </si>
  <si>
    <t>ES0031408323131005HX0F,2023/04/17,11:00,0.461,Real,</t>
  </si>
  <si>
    <t>ES0031408323131005HX0F,2023/04/17,12:00,1.096,Real,</t>
  </si>
  <si>
    <t>ES0031408323131005HX0F,2023/04/17,13:00,0.642,Real,</t>
  </si>
  <si>
    <t>ES0031408323131005HX0F,2023/04/17,14:00,0.488,Real,</t>
  </si>
  <si>
    <t>ES0031408323131005HX0F,2023/04/17,15:00,0.254,Real,</t>
  </si>
  <si>
    <t>ES0031408323131005HX0F,2023/04/17,16:00,0.018,Real,</t>
  </si>
  <si>
    <t>ES0031408323131005HX0F,2023/04/17,17:00,0.083,Real,</t>
  </si>
  <si>
    <t>ES0031408323131005HX0F,2023/04/17,18:00,0.085,Real,</t>
  </si>
  <si>
    <t>ES0031408323131005HX0F,2023/04/17,19:00,0.326,Real,</t>
  </si>
  <si>
    <t>ES0031408323131005HX0F,2023/04/17,20:00,0.059,Real,</t>
  </si>
  <si>
    <t>ES0031408323131005HX0F,2023/04/17,21:00,0.693,Real,</t>
  </si>
  <si>
    <t>ES0031408323131005HX0F,2023/04/17,22:00,1.543,Real,</t>
  </si>
  <si>
    <t>ES0031408323131005HX0F,2023/04/17,23:00,2.323,Real,</t>
  </si>
  <si>
    <t>ES0031408323131005HX0F,2023/04/17,24:00,1.859,Real,</t>
  </si>
  <si>
    <t>ES0031408323131005HX0F,2023/04/18,01:00,0.166,Real,</t>
  </si>
  <si>
    <t>ES0031408323131005HX0F,2023/04/18,02:00,0.022,Real,</t>
  </si>
  <si>
    <t>ES0031408323131005HX0F,2023/04/18,03:00,0.131,Real,</t>
  </si>
  <si>
    <t>ES0031408323131005HX0F,2023/04/18,04:00,0.06,Real,</t>
  </si>
  <si>
    <t>ES0031408323131005HX0F,2023/04/18,05:00,0.264,Real,</t>
  </si>
  <si>
    <t>ES0031408323131005HX0F,2023/04/18,06:00,0.1,Real,</t>
  </si>
  <si>
    <t>ES0031408323131005HX0F,2023/04/18,07:00,0.076,Real,</t>
  </si>
  <si>
    <t>ES0031408323131005HX0F,2023/04/18,08:00,0.381,Real,</t>
  </si>
  <si>
    <t>ES0031408323131005HX0F,2023/04/18,09:00,0.112,Real,</t>
  </si>
  <si>
    <t>ES0031408323131005HX0F,2023/04/18,10:00,0.06,Real,</t>
  </si>
  <si>
    <t>ES0031408323131005HX0F,2023/04/18,11:00,0.016,Real,</t>
  </si>
  <si>
    <t>ES0031408323131005HX0F,2023/04/18,12:00,0.072,Real,</t>
  </si>
  <si>
    <t>ES0031408323131005HX0F,2023/04/18,13:00,0.07,Real,</t>
  </si>
  <si>
    <t>ES0031408323131005HX0F,2023/04/18,14:00,0.271,Real,</t>
  </si>
  <si>
    <t>ES0031408323131005HX0F,2023/04/18,15:00,0.056,Real,</t>
  </si>
  <si>
    <t>ES0031408323131005HX0F,2023/04/18,16:00,0.199,Real,</t>
  </si>
  <si>
    <t>ES0031408323131005HX0F,2023/04/18,17:00,0.347,Real,</t>
  </si>
  <si>
    <t>ES0031408323131005HX0F,2023/04/18,18:00,0.42,Real,</t>
  </si>
  <si>
    <t>ES0031408323131005HX0F,2023/04/18,19:00,0.635,Real,</t>
  </si>
  <si>
    <t>ES0031408323131005HX0F,2023/04/18,20:00,1.043,Real,</t>
  </si>
  <si>
    <t>ES0031408323131005HX0F,2023/04/18,21:00,0.038,Real,</t>
  </si>
  <si>
    <t>ES0031408323131005HX0F,2023/04/18,22:00,0.547,Real,</t>
  </si>
  <si>
    <t>ES0031408323131005HX0F,2023/04/18,23:00,1.403,Real,</t>
  </si>
  <si>
    <t>ES0031408323131005HX0F,2023/04/18,24:00,0.714,Real,</t>
  </si>
  <si>
    <t>ES0031408323131005HX0F,2023/04/19,01:00,0.358,Real,</t>
  </si>
  <si>
    <t>ES0031408323131005HX0F,2023/04/19,02:00,0.023,Real,</t>
  </si>
  <si>
    <t>ES0031408323131005HX0F,2023/04/19,03:00,0.054,Real,</t>
  </si>
  <si>
    <t>ES0031408323131005HX0F,2023/04/19,04:00,0.134,Real,</t>
  </si>
  <si>
    <t>ES0031408323131005HX0F,2023/04/19,05:00,0.062,Real,</t>
  </si>
  <si>
    <t>ES0031408323131005HX0F,2023/04/19,06:00,0.125,Real,</t>
  </si>
  <si>
    <t>ES0031408323131005HX0F,2023/04/19,07:00,0.355,Real,</t>
  </si>
  <si>
    <t>ES0031408323131005HX0F,2023/04/19,08:00,0.072,Real,</t>
  </si>
  <si>
    <t>ES0031408323131005HX0F,2023/04/19,09:00,0.088,Real,</t>
  </si>
  <si>
    <t>ES0031408323131005HX0F,2023/04/19,10:00,0.492,Real,</t>
  </si>
  <si>
    <t>ES0031408323131005HX0F,2023/04/19,11:00,0.062,Real,</t>
  </si>
  <si>
    <t>ES0031408323131005HX0F,2023/04/19,12:00,0.068,Real,</t>
  </si>
  <si>
    <t>ES0031408323131005HX0F,2023/04/19,13:00,0.018,Real,</t>
  </si>
  <si>
    <t>ES0031408323131005HX0F,2023/04/19,14:00,0.355,Real,</t>
  </si>
  <si>
    <t>ES0031408323131005HX0F,2023/04/19,15:00,0.056,Real,</t>
  </si>
  <si>
    <t>ES0031408323131005HX0F,2023/04/19,16:00,0.587,Real,</t>
  </si>
  <si>
    <t>ES0031408323131005HX0F,2023/04/19,17:00,0.111,Real,</t>
  </si>
  <si>
    <t>ES0031408323131005HX0F,2023/04/19,18:00,0.074,Real,</t>
  </si>
  <si>
    <t>ES0031408323131005HX0F,2023/04/19,19:00,0.288,Real,</t>
  </si>
  <si>
    <t>ES0031408323131005HX0F,2023/04/19,20:00,0.061,Real,</t>
  </si>
  <si>
    <t>ES0031408323131005HX0F,2023/04/19,21:00,0.273,Real,</t>
  </si>
  <si>
    <t>ES0031408323131005HX0F,2023/04/19,22:00,1.556,Real,</t>
  </si>
  <si>
    <t>ES0031408323131005HX0F,2023/04/19,23:00,2.66,Real,</t>
  </si>
  <si>
    <t>ES0031408323131005HX0F,2023/04/19,24:00,1.154,Real,</t>
  </si>
  <si>
    <t>ES0031408323131005HX0F,2023/04/20,01:00,0.114,Real,</t>
  </si>
  <si>
    <t>ES0031408323131005HX0F,2023/04/20,02:00,0.072,Real,</t>
  </si>
  <si>
    <t>ES0031408323131005HX0F,2023/04/20,03:00,0.04,Real,</t>
  </si>
  <si>
    <t>ES0031408323131005HX0F,2023/04/20,04:00,0.327,Real,</t>
  </si>
  <si>
    <t>ES0031408323131005HX0F,2023/04/20,05:00,0.074,Real,</t>
  </si>
  <si>
    <t>ES0031408323131005HX0F,2023/04/20,06:00,0.043,Real,</t>
  </si>
  <si>
    <t>ES0031408323131005HX0F,2023/04/20,07:00,0.045,Real,</t>
  </si>
  <si>
    <t>ES0031408323131005HX0F,2023/04/20,08:00,0.175,Real,</t>
  </si>
  <si>
    <t>ES0031408323131005HX0F,2023/04/20,09:00,0.3,Real,</t>
  </si>
  <si>
    <t>ES0031408323131005HX0F,2023/04/20,10:00,0.032,Real,</t>
  </si>
  <si>
    <t>ES0031408323131005HX0F,2023/04/20,11:00,0.046,Real,</t>
  </si>
  <si>
    <t>ES0031408323131005HX0F,2023/04/20,12:00,0.073,Real,</t>
  </si>
  <si>
    <t>ES0031408323131005HX0F,2023/04/20,13:00,0.051,Real,</t>
  </si>
  <si>
    <t>ES0031408323131005HX0F,2023/04/20,14:00,0.018,Real,</t>
  </si>
  <si>
    <t>ES0031408323131005HX0F,2023/04/20,15:00,0.354,Real,</t>
  </si>
  <si>
    <t>ES0031408323131005HX0F,2023/04/20,16:00,0.053,Real,</t>
  </si>
  <si>
    <t>ES0031408323131005HX0F,2023/04/20,17:00,0.017,Real,</t>
  </si>
  <si>
    <t>ES0031408323131005HX0F,2023/04/20,18:00,0.084,Real,</t>
  </si>
  <si>
    <t>ES0031408323131005HX0F,2023/04/20,19:00,0.341,Real,</t>
  </si>
  <si>
    <t>ES0031408323131005HX0F,2023/04/20,20:00,0.197,Real,</t>
  </si>
  <si>
    <t>ES0031408323131005HX0F,2023/04/20,21:00,0.404,Real,</t>
  </si>
  <si>
    <t>ES0031408323131005HX0F,2023/04/20,22:00,1.166,Real,</t>
  </si>
  <si>
    <t>ES0031408323131005HX0F,2023/04/20,23:00,1.698,Real,</t>
  </si>
  <si>
    <t>ES0031408323131005HX0F,2023/04/20,24:00,0.666,Real,</t>
  </si>
  <si>
    <t>ES0031408323131005HX0F,2023/04/21,01:00,0.087,Real,</t>
  </si>
  <si>
    <t>ES0031408323131005HX0F,2023/04/21,02:00,0.083,Real,</t>
  </si>
  <si>
    <t>ES0031408323131005HX0F,2023/04/21,03:00,0.061,Real,</t>
  </si>
  <si>
    <t>ES0031408323131005HX0F,2023/04/21,04:00,0.323,Real,</t>
  </si>
  <si>
    <t>ES0031408323131005HX0F,2023/04/21,05:00,0.117,Real,</t>
  </si>
  <si>
    <t>ES0031408323131005HX0F,2023/04/21,06:00,0.076,Real,</t>
  </si>
  <si>
    <t>ES0031408323131005HX0F,2023/04/21,07:00,0.018,Real,</t>
  </si>
  <si>
    <t>ES0031408323131005HX0F,2023/04/21,08:00,0.165,Real,</t>
  </si>
  <si>
    <t>ES0031408323131005HX0F,2023/04/21,09:00,0.087,Real,</t>
  </si>
  <si>
    <t>ES0031408323131005HX0F,2023/04/21,10:00,0.325,Real,</t>
  </si>
  <si>
    <t>ES0031408323131005HX0F,2023/04/21,11:00,0.049,Real,</t>
  </si>
  <si>
    <t>ES0031408323131005HX0F,2023/04/21,12:00,0.679,Real,</t>
  </si>
  <si>
    <t>ES0031408323131005HX0F,2023/04/21,13:00,1.173,Real,</t>
  </si>
  <si>
    <t>ES0031408323131005HX0F,2023/04/21,14:00,1.717,Real,</t>
  </si>
  <si>
    <t>ES0031408323131005HX0F,2023/04/21,15:00,0.111,Real,</t>
  </si>
  <si>
    <t>ES0031408323131005HX0F,2023/04/21,16:00,0.025,Real,</t>
  </si>
  <si>
    <t>ES0031408323131005HX0F,2023/04/21,17:00,0.083,Real,</t>
  </si>
  <si>
    <t>ES0031408323131005HX0F,2023/04/21,18:00,0.072,Real,</t>
  </si>
  <si>
    <t>ES0031408323131005HX0F,2023/04/21,19:00,0.338,Real,</t>
  </si>
  <si>
    <t>ES0031408323131005HX0F,2023/04/21,20:00,0.141,Real,</t>
  </si>
  <si>
    <t>ES0031408323131005HX0F,2023/04/21,21:00,0.207,Real,</t>
  </si>
  <si>
    <t>ES0031408323131005HX0F,2023/04/21,22:00,0.089,Real,</t>
  </si>
  <si>
    <t>ES0031408323131005HX0F,2023/04/21,23:00,0.916,Real,</t>
  </si>
  <si>
    <t>ES0031408323131005HX0F,2023/04/21,24:00,1.435,Real,</t>
  </si>
  <si>
    <t>ES0031408323131005HX0F,2023/04/22,01:00,0.294,Real,</t>
  </si>
  <si>
    <t>ES0031408323131005HX0F,2023/04/22,02:00,0.068,Real,</t>
  </si>
  <si>
    <t>ES0031408323131005HX0F,2023/04/22,03:00,0.039,Real,</t>
  </si>
  <si>
    <t>ES0031408323131005HX0F,2023/04/22,04:00,0.098,Real,</t>
  </si>
  <si>
    <t>ES0031408323131005HX0F,2023/04/22,05:00,0.118,Real,</t>
  </si>
  <si>
    <t>ES0031408323131005HX0F,2023/04/22,06:00,0.326,Real,</t>
  </si>
  <si>
    <t>ES0031408323131005HX0F,2023/04/22,07:00,0.482,Real,</t>
  </si>
  <si>
    <t>ES0031408323131005HX0F,2023/04/22,08:00,0.059,Real,</t>
  </si>
  <si>
    <t>ES0031408323131005HX0F,2023/04/22,09:00,0.074,Real,</t>
  </si>
  <si>
    <t>ES0031408323131005HX0F,2023/04/22,10:00,0.085,Real,</t>
  </si>
  <si>
    <t>ES0031408323131005HX0F,2023/04/22,11:00,0.101,Real,</t>
  </si>
  <si>
    <t>ES0031408323131005HX0F,2023/04/22,12:00,0.275,Real,</t>
  </si>
  <si>
    <t>ES0031408323131005HX0F,2023/04/22,13:00,0.056,Real,</t>
  </si>
  <si>
    <t>ES0031408323131005HX0F,2023/04/22,14:00,0.016,Real,</t>
  </si>
  <si>
    <t>ES0031408323131005HX0F,2023/04/22,15:00,0.066,Real,</t>
  </si>
  <si>
    <t>ES0031408323131005HX0F,2023/04/22,16:00,0.067,Real,</t>
  </si>
  <si>
    <t>ES0031408323131005HX0F,2023/04/22,17:00,0.05,Real,</t>
  </si>
  <si>
    <t>ES0031408323131005HX0F,2023/04/22,18:00,0.267,Real,</t>
  </si>
  <si>
    <t>ES0031408323131005HX0F,2023/04/22,19:00,0.111,Real,</t>
  </si>
  <si>
    <t>ES0031408323131005HX0F,2023/04/22,20:00,0.052,Real,</t>
  </si>
  <si>
    <t>ES0031408323131005HX0F,2023/04/22,21:00,0.016,Real,</t>
  </si>
  <si>
    <t>ES0031408323131005HX0F,2023/04/22,22:00,0.073,Real,</t>
  </si>
  <si>
    <t>ES0031408323131005HX0F,2023/04/22,23:00,0.075,Real,</t>
  </si>
  <si>
    <t>ES0031408323131005HX0F,2023/04/22,24:00,2.374,Real,</t>
  </si>
  <si>
    <t>ES0031408323131005HX0F,2023/04/23,01:00,2.291,Real,</t>
  </si>
  <si>
    <t>ES0031408323131005HX0F,2023/04/23,02:00,0.303,Real,</t>
  </si>
  <si>
    <t>ES0031408323131005HX0F,2023/04/23,03:00,0.064,Real,</t>
  </si>
  <si>
    <t>ES0031408323131005HX0F,2023/04/23,04:00,0.042,Real,</t>
  </si>
  <si>
    <t>ES0031408323131005HX0F,2023/04/23,05:00,0.032,Real,</t>
  </si>
  <si>
    <t>ES0031408323131005HX0F,2023/04/23,06:00,0.124,Real,</t>
  </si>
  <si>
    <t>ES0031408323131005HX0F,2023/04/23,07:00,0.385,Real,</t>
  </si>
  <si>
    <t>ES0031408323131005HX0F,2023/04/23,08:00,0.066,Real,</t>
  </si>
  <si>
    <t>ES0031408323131005HX0F,2023/04/23,09:00,0.016,Real,</t>
  </si>
  <si>
    <t>ES0031408323131005HX0F,2023/04/23,10:00,0.106,Real,</t>
  </si>
  <si>
    <t>ES0031408323131005HX0F,2023/04/23,11:00,0.899,Real,</t>
  </si>
  <si>
    <t>ES0031408323131005HX0F,2023/04/23,12:00,0.086,Real,</t>
  </si>
  <si>
    <t>ES0031408323131005HX0F,2023/04/23,13:00,0.039,Real,</t>
  </si>
  <si>
    <t>ES0031408323131005HX0F,2023/04/23,14:00,0.076,Real,</t>
  </si>
  <si>
    <t>ES0031408323131005HX0F,2023/04/23,15:00,0.094,Real,</t>
  </si>
  <si>
    <t>ES0031408323131005HX0F,2023/04/23,16:00,0.347,Real,</t>
  </si>
  <si>
    <t>ES0031408323131005HX0F,2023/04/23,17:00,0.038,Real,</t>
  </si>
  <si>
    <t>ES0031408323131005HX0F,2023/04/23,18:00,0.199,Real,</t>
  </si>
  <si>
    <t>ES0031408323131005HX0F,2023/04/23,19:00,0.205,Real,</t>
  </si>
  <si>
    <t>ES0031408323131005HX0F,2023/04/23,20:00,0.891,Real,</t>
  </si>
  <si>
    <t>ES0031408323131005HX0F,2023/04/23,21:00,0.171,Real,</t>
  </si>
  <si>
    <t>ES0031408323131005HX0F,2023/04/23,22:00,1.845,Real,</t>
  </si>
  <si>
    <t>ES0031408323131005HX0F,2023/04/23,23:00,2.658,Real,</t>
  </si>
  <si>
    <t>ES0031408323131005HX0F,2023/04/23,24:00,1.336,Real,</t>
  </si>
  <si>
    <t>ES0031408323131005HX0F,2023/04/24,01:00,0.092,Real,</t>
  </si>
  <si>
    <t>ES0031408323131005HX0F,2023/04/24,02:00,0.037,Real,</t>
  </si>
  <si>
    <t>ES0031408323131005HX0F,2023/04/24,03:00,0.121,Real,</t>
  </si>
  <si>
    <t>ES0031408323131005HX0F,2023/04/24,04:00,0.085,Real,</t>
  </si>
  <si>
    <t>ES0031408323131005HX0F,2023/04/24,05:00,0.284,Real,</t>
  </si>
  <si>
    <t>ES0031408323131005HX0F,2023/04/24,06:00,0.07,Real,</t>
  </si>
  <si>
    <t>ES0031408323131005HX0F,2023/04/24,07:00,0.125,Real,</t>
  </si>
  <si>
    <t>ES0031408323131005HX0F,2023/04/24,08:00,0.209,Real,</t>
  </si>
  <si>
    <t>ES0031408323131005HX0F,2023/04/24,09:00,0.068,Real,</t>
  </si>
  <si>
    <t>ES0031408323131005HX0F,2023/04/24,10:00,0.616,Real,</t>
  </si>
  <si>
    <t>ES0031408323131005HX0F,2023/04/24,11:00,0.556,Real,</t>
  </si>
  <si>
    <t>ES0031408323131005HX0F,2023/04/24,12:00,0.48,Real,</t>
  </si>
  <si>
    <t>ES0031408323131005HX0F,2023/04/24,13:00,0.04,Real,</t>
  </si>
  <si>
    <t>ES0031408323131005HX0F,2023/04/24,14:00,0.063,Real,</t>
  </si>
  <si>
    <t>ES0031408323131005HX0F,2023/04/24,15:00,0.073,Real,</t>
  </si>
  <si>
    <t>ES0031408323131005HX0F,2023/04/24,16:00,0.058,Real,</t>
  </si>
  <si>
    <t>ES0031408323131005HX0F,2023/04/24,17:00,0.275,Real,</t>
  </si>
  <si>
    <t>ES0031408323131005HX0F,2023/04/24,18:00,0.113,Real,</t>
  </si>
  <si>
    <t>ES0031408323131005HX0F,2023/04/24,19:00,0.059,Real,</t>
  </si>
  <si>
    <t>ES0031408323131005HX0F,2023/04/24,20:00,0.019,Real,</t>
  </si>
  <si>
    <t>ES0031408323131005HX0F,2023/04/24,21:00,0.079,Real,</t>
  </si>
  <si>
    <t>ES0031408323131005HX0F,2023/04/24,22:00,0.072,Real,</t>
  </si>
  <si>
    <t>ES0031408323131005HX0F,2023/04/24,23:00,0.04,Real,</t>
  </si>
  <si>
    <t>ES0031408323131005HX0F,2023/04/24,24:00,0.331,Real,</t>
  </si>
  <si>
    <t>ES0031408323131005HX0F,2023/04/25,01:00,0.116,Real,</t>
  </si>
  <si>
    <t>ES0031408323131005HX0F,2023/04/25,02:00,0.079,Real,</t>
  </si>
  <si>
    <t>ES0031408323131005HX0F,2023/04/25,03:00,0.051,Real,</t>
  </si>
  <si>
    <t>ES0031408323131005HX0F,2023/04/25,04:00,0.397,Real,</t>
  </si>
  <si>
    <t>ES0031408323131005HX0F,2023/04/25,05:00,0.068,Real,</t>
  </si>
  <si>
    <t>ES0031408323131005HX0F,2023/04/25,06:00,0.023,Real,</t>
  </si>
  <si>
    <t>ES0031408323131005HX0F,2023/04/25,07:00,0.073,Real,</t>
  </si>
  <si>
    <t>ES0031408323131005HX0F,2023/04/25,08:00,1.08,Real,</t>
  </si>
  <si>
    <t>ES0031408323131005HX0F,2023/04/25,09:00,0.117,Real,</t>
  </si>
  <si>
    <t>ES0031408323131005HX0F,2023/04/25,10:00,0.076,Real,</t>
  </si>
  <si>
    <t>ES0031408323131005HX0F,2023/04/25,11:00,0.017,Real,</t>
  </si>
  <si>
    <t>ES0031408323131005HX0F,2023/04/25,12:00,0.422,Real,</t>
  </si>
  <si>
    <t>ES0031408323131005HX0F,2023/04/25,13:00,0.805,Real,</t>
  </si>
  <si>
    <t>ES0031408323131005HX0F,2023/04/25,14:00,1.101,Real,</t>
  </si>
  <si>
    <t>ES0031408323131005HX0F,2023/04/25,15:00,0.067,Real,</t>
  </si>
  <si>
    <t>ES0031408323131005HX0F,2023/04/25,16:00,0.061,Real,</t>
  </si>
  <si>
    <t>ES0031408323131005HX0F,2023/04/25,17:00,0.373,Real,</t>
  </si>
  <si>
    <t>ES0031408323131005HX0F,2023/04/25,18:00,0.062,Real,</t>
  </si>
  <si>
    <t>ES0031408323131005HX0F,2023/04/25,19:00,0.018,Real,</t>
  </si>
  <si>
    <t>ES0031408323131005HX0F,2023/04/25,20:00,0.098,Real,</t>
  </si>
  <si>
    <t>ES0031408323131005HX0F,2023/04/25,21:00,0.927,Real,</t>
  </si>
  <si>
    <t>ES0031408323131005HX0F,2023/04/25,22:00,2.458,Real,</t>
  </si>
  <si>
    <t>ES0031408323131005HX0F,2023/04/25,23:00,1.305,Real,</t>
  </si>
  <si>
    <t>ES0031408323131005HX0F,2023/04/25,24:00,0.863,Real,</t>
  </si>
  <si>
    <t>ES0031408323131005HX0F,2023/04/26,01:00,0.084,Real,</t>
  </si>
  <si>
    <t>ES0031408323131005HX0F,2023/04/26,02:00,0.084,Real,</t>
  </si>
  <si>
    <t>ES0031408323131005HX0F,2023/04/26,03:00,0.041,Real,</t>
  </si>
  <si>
    <t>ES0031408323131005HX0F,2023/04/26,04:00,0.069,Real,</t>
  </si>
  <si>
    <t>ES0031408323131005HX0F,2023/04/26,05:00,0.339,Real,</t>
  </si>
  <si>
    <t>ES0031408323131005HX0F,2023/04/26,06:00,0.1,Real,</t>
  </si>
  <si>
    <t>ES0031408323131005HX0F,2023/04/26,07:00,0.048,Real,</t>
  </si>
  <si>
    <t>ES0031408323131005HX0F,2023/04/26,08:00,0.518,Real,</t>
  </si>
  <si>
    <t>ES0031408323131005HX0F,2023/04/26,09:00,0.365,Real,</t>
  </si>
  <si>
    <t>ES0031408323131005HX0F,2023/04/26,10:00,0.062,Real,</t>
  </si>
  <si>
    <t>ES0031408323131005HX0F,2023/04/26,11:00,0.175,Real,</t>
  </si>
  <si>
    <t>ES0031408323131005HX0F,2023/04/26,12:00,0.401,Real,</t>
  </si>
  <si>
    <t>ES0031408323131005HX0F,2023/04/26,13:00,0.038,Real,</t>
  </si>
  <si>
    <t>ES0031408323131005HX0F,2023/04/26,14:00,0.047,Real,</t>
  </si>
  <si>
    <t>ES0031408323131005HX0F,2023/04/26,15:00,0.233,Real,</t>
  </si>
  <si>
    <t>ES0031408323131005HX0F,2023/04/26,16:00,0.753,Real,</t>
  </si>
  <si>
    <t>ES0031408323131005HX0F,2023/04/26,17:00,0.036,Real,</t>
  </si>
  <si>
    <t>ES0031408323131005HX0F,2023/04/26,18:00,0.112,Real,</t>
  </si>
  <si>
    <t>ES0031408323131005HX0F,2023/04/26,19:00,0.079,Real,</t>
  </si>
  <si>
    <t>ES0031408323131005HX0F,2023/04/26,20:00,0.025,Real,</t>
  </si>
  <si>
    <t>ES0031408323131005HX0F,2023/04/26,21:00,0.323,Real,</t>
  </si>
  <si>
    <t>ES0031408323131005HX0F,2023/04/26,22:00,0.078,Real,</t>
  </si>
  <si>
    <t>ES0031408323131005HX0F,2023/04/26,23:00,0.077,Real,</t>
  </si>
  <si>
    <t>ES0031408323131005HX0F,2023/04/26,24:00,0.105,Real,</t>
  </si>
  <si>
    <t>ES0031408323131005HX0F,2023/04/27,01:00,0.102,Real,</t>
  </si>
  <si>
    <t>ES0031408323131005HX0F,2023/04/27,02:00,0.081,Real,</t>
  </si>
  <si>
    <t>ES0031408323131005HX0F,2023/04/27,03:00,0.316,Real,</t>
  </si>
  <si>
    <t>ES0031408323131005HX0F,2023/04/27,04:00,0.073,Real,</t>
  </si>
  <si>
    <t>ES0031408323131005HX0F,2023/04/27,05:00,0.07,Real,</t>
  </si>
  <si>
    <t>ES0031408323131005HX0F,2023/04/27,06:00,0.059,Real,</t>
  </si>
  <si>
    <t>ES0031408323131005HX0F,2023/04/27,07:00,0.022,Real,</t>
  </si>
  <si>
    <t>ES0031408323131005HX0F,2023/04/27,08:00,0.127,Real,</t>
  </si>
  <si>
    <t>ES0031408323131005HX0F,2023/04/27,09:00,0.423,Real,</t>
  </si>
  <si>
    <t>ES0031408323131005HX0F,2023/04/27,10:00,0.073,Real,</t>
  </si>
  <si>
    <t>ES0031408323131005HX0F,2023/04/27,11:00,0.269,Real,</t>
  </si>
  <si>
    <t>ES0031408323131005HX0F,2023/04/27,12:00,1.334,Real,</t>
  </si>
  <si>
    <t>ES0031408323131005HX0F,2023/04/27,13:00,2.269,Real,</t>
  </si>
  <si>
    <t>ES0031408323131005HX0F,2023/04/27,14:00,0.039,Real,</t>
  </si>
  <si>
    <t>ES0031408323131005HX0F,2023/04/27,15:00,0.075,Real,</t>
  </si>
  <si>
    <t>ES0031408323131005HX0F,2023/04/27,16:00,0.074,Real,</t>
  </si>
  <si>
    <t>ES0031408323131005HX0F,2023/04/27,17:00,0.053,Real,</t>
  </si>
  <si>
    <t>ES0031408323131005HX0F,2023/04/27,18:00,0.038,Real,</t>
  </si>
  <si>
    <t>ES0031408323131005HX0F,2023/04/27,19:00,0.368,Real,</t>
  </si>
  <si>
    <t>ES0031408323131005HX0F,2023/04/27,20:00,0.055,Real,</t>
  </si>
  <si>
    <t>ES0031408323131005HX0F,2023/04/27,21:00,0.017,Real,</t>
  </si>
  <si>
    <t>ES0031408323131005HX0F,2023/04/27,22:00,0.106,Real,</t>
  </si>
  <si>
    <t>ES0031408323131005HX0F,2023/04/27,23:00,0.066,Real,</t>
  </si>
  <si>
    <t>ES0031408323131005HX0F,2023/04/27,24:00,0.129,Real,</t>
  </si>
  <si>
    <t>ES0031408323131005HX0F,2023/04/28,01:00,0.655,Real,</t>
  </si>
  <si>
    <t>ES0031408323131005HX0F,2023/04/28,02:00,0.296,Real,</t>
  </si>
  <si>
    <t>ES0031408323131005HX0F,2023/04/28,03:00,0.303,Real,</t>
  </si>
  <si>
    <t>ES0031408323131005HX0F,2023/04/28,04:00,0.037,Real,</t>
  </si>
  <si>
    <t>ES0031408323131005HX0F,2023/04/28,05:00,0.09,Real,</t>
  </si>
  <si>
    <t>ES0031408323131005HX0F,2023/04/28,06:00,0.294,Real,</t>
  </si>
  <si>
    <t>ES0031408323131005HX0F,2023/04/28,07:00,0.092,Real,</t>
  </si>
  <si>
    <t>ES0031408323131005HX0F,2023/04/28,08:00,0.114,Real,</t>
  </si>
  <si>
    <t>ES0031408323131005HX0F,2023/04/28,09:00,1.149,Real,</t>
  </si>
  <si>
    <t>ES0031408323131005HX0F,2023/04/28,10:00,0.82,Real,</t>
  </si>
  <si>
    <t>ES0031408323131005HX0F,2023/04/28,11:00,0.537,Real,</t>
  </si>
  <si>
    <t>ES0031408323131005HX0F,2023/04/28,12:00,0.439,Real,</t>
  </si>
  <si>
    <t>ES0031408323131005HX0F,2023/04/28,13:00,0.253,Real,</t>
  </si>
  <si>
    <t>ES0031408323131005HX0F,2023/04/28,14:00,0.384,Real,</t>
  </si>
  <si>
    <t>ES0031408323131005HX0F,2023/04/28,15:00,0.109,Real,</t>
  </si>
  <si>
    <t>ES0031408323131005HX0F,2023/04/28,16:00,0.049,Real,</t>
  </si>
  <si>
    <t>ES0031408323131005HX0F,2023/04/28,17:00,0.082,Real,</t>
  </si>
  <si>
    <t>ES0031408323131005HX0F,2023/04/28,18:00,0.046,Real,</t>
  </si>
  <si>
    <t>ES0031408323131005HX0F,2023/04/28,19:00,0.054,Real,</t>
  </si>
  <si>
    <t>ES0031408323131005HX0F,2023/04/28,20:00,0.087,Real,</t>
  </si>
  <si>
    <t>ES0031408323131005HX0F,2023/04/28,21:00,0.353,Real,</t>
  </si>
  <si>
    <t>ES0031408323131005HX0F,2023/04/28,22:00,0.021,Real,</t>
  </si>
  <si>
    <t>ES0031408323131005HX0F,2023/04/28,23:00,0.067,Real,</t>
  </si>
  <si>
    <t>ES0031408323131005HX0F,2023/04/28,24:00,0.242,Real,</t>
  </si>
  <si>
    <t>ES0031408323131005HX0F,2023/04/29,01:00,0.448,Real,</t>
  </si>
  <si>
    <t>ES0031408323131005HX0F,2023/04/29,02:00,0.183,Real,</t>
  </si>
  <si>
    <t>ES0031408323131005HX0F,2023/04/29,03:00,0.217,Real,</t>
  </si>
  <si>
    <t>ES0031408323131005HX0F,2023/04/29,04:00,0.468,Real,</t>
  </si>
  <si>
    <t>ES0031408323131005HX0F,2023/04/29,05:00,0.088,Real,</t>
  </si>
  <si>
    <t>ES0031408323131005HX0F,2023/04/29,06:00,0.056,Real,</t>
  </si>
  <si>
    <t>ES0031408323131005HX0F,2023/04/29,07:00,0.017,Real,</t>
  </si>
  <si>
    <t>ES0031408323131005HX0F,2023/04/29,08:00,0.108,Real,</t>
  </si>
  <si>
    <t>ES0031408323131005HX0F,2023/04/29,09:00,0.071,Real,</t>
  </si>
  <si>
    <t>ES0031408323131005HX0F,2023/04/29,10:00,0.119,Real,</t>
  </si>
  <si>
    <t>ES0031408323131005HX0F,2023/04/29,11:00,0.536,Real,</t>
  </si>
  <si>
    <t>ES0031408323131005HX0F,2023/04/29,12:00,0.536,Real,</t>
  </si>
  <si>
    <t>ES0031408323131005HX0F,2023/04/29,13:00,2.187,Real,</t>
  </si>
  <si>
    <t>ES0031408323131005HX0F,2023/04/29,14:00,1.236,Real,</t>
  </si>
  <si>
    <t>ES0031408323131005HX0F,2023/04/29,15:00,0.021,Real,</t>
  </si>
  <si>
    <t>ES0031408323131005HX0F,2023/04/29,16:00,0.057,Real,</t>
  </si>
  <si>
    <t>ES0031408323131005HX0F,2023/04/29,17:00,0.068,Real,</t>
  </si>
  <si>
    <t>ES0031408323131005HX0F,2023/04/29,18:00,0.061,Real,</t>
  </si>
  <si>
    <t>ES0031408323131005HX0F,2023/04/29,19:00,0.023,Real,</t>
  </si>
  <si>
    <t>ES0031408323131005HX0F,2023/04/29,20:00,0.381,Real,</t>
  </si>
  <si>
    <t>ES0031408323131005HX0F,2023/04/29,21:00,0.065,Real,</t>
  </si>
  <si>
    <t>ES0031408323131005HX0F,2023/04/29,22:00,0.017,Real,</t>
  </si>
  <si>
    <t>ES0031408323131005HX0F,2023/04/29,23:00,0.183,Real,</t>
  </si>
  <si>
    <t>ES0031408323131005HX0F,2023/04/29,24:00,0.803,Real,</t>
  </si>
  <si>
    <t>ES0031408323131005HX0F,2023/04/30,01:00,0.145,Real,</t>
  </si>
  <si>
    <t>ES0031408323131005HX0F,2023/04/30,02:00,0.141,Real,</t>
  </si>
  <si>
    <t>ES0031408323131005HX0F,2023/04/30,03:00,0.146,Real,</t>
  </si>
  <si>
    <t>ES0031408323131005HX0F,2023/04/30,04:00,0.364,Real,</t>
  </si>
  <si>
    <t>ES0031408323131005HX0F,2023/04/30,05:00,0.03,Real,</t>
  </si>
  <si>
    <t>ES0031408323131005HX0F,2023/04/30,06:00,0.117,Real,</t>
  </si>
  <si>
    <t>ES0031408323131005HX0F,2023/04/30,07:00,0.09,Real,</t>
  </si>
  <si>
    <t>ES0031408323131005HX0F,2023/04/30,08:00,0.024,Real,</t>
  </si>
  <si>
    <t>ES0031408323131005HX0F,2023/04/30,09:00,0.096,Real,</t>
  </si>
  <si>
    <t>ES0031408323131005HX0F,2023/04/30,10:00,0.348,Real,</t>
  </si>
  <si>
    <t>ES0031408323131005HX0F,2023/04/30,11:00,0.128,Real,</t>
  </si>
  <si>
    <t>ES0031408323131005HX0F,2023/04/30,12:00,0.367,Real,</t>
  </si>
  <si>
    <t>ES0031408323131005HX0F,2023/04/30,13:00,0.755,Real,</t>
  </si>
  <si>
    <t>ES0031408323131005HX0F,2023/04/30,14:00,0.554,Real,</t>
  </si>
  <si>
    <t>ES0031408323131005HX0F,2023/04/30,15:00,0.675,Real,</t>
  </si>
  <si>
    <t>ES0031408323131005HX0F,2023/04/30,16:00,0.162,Real,</t>
  </si>
  <si>
    <t>ES0031408323131005HX0F,2023/04/30,17:00,0.054,Real,</t>
  </si>
  <si>
    <t>ES0031408323131005HX0F,2023/04/30,18:00,0.665,Real,</t>
  </si>
  <si>
    <t>ES0031408323131005HX0F,2023/04/30,19:00,0.121,Real,</t>
  </si>
  <si>
    <t>ES0031408323131005HX0F,2023/04/30,20:00,0.061,Real,</t>
  </si>
  <si>
    <t>ES0031408323131005HX0F,2023/04/30,21:00,0.345,Real,</t>
  </si>
  <si>
    <t>ES0031408323131005HX0F,2023/04/30,22:00,0.897,Real,</t>
  </si>
  <si>
    <t>ES0031408323131005HX0F,2023/04/30,23:00,0.649,Real,</t>
  </si>
  <si>
    <t>ES0031408323131005HX0F,2023/04/30,24:00,0.109,Real,</t>
  </si>
  <si>
    <t>ES0031408323131005HX0F,2023/05/01,01:00,0.087,Real,</t>
  </si>
  <si>
    <t>ES0031408323131005HX0F,2023/05/01,02:00,0.036,Real,</t>
  </si>
  <si>
    <t>ES0031408323131005HX0F,2023/05/01,03:00,0.144,Real,</t>
  </si>
  <si>
    <t>ES0031408323131005HX0F,2023/05/01,04:00,0.326,Real,</t>
  </si>
  <si>
    <t>ES0031408323131005HX0F,2023/05/01,05:00,0.085,Real,</t>
  </si>
  <si>
    <t>ES0031408323131005HX0F,2023/05/01,06:00,0.024,Real,</t>
  </si>
  <si>
    <t>ES0031408323131005HX0F,2023/05/01,07:00,0.112,Real,</t>
  </si>
  <si>
    <t>ES0031408323131005HX0F,2023/05/01,08:00,0.067,Real,</t>
  </si>
  <si>
    <t>ES0031408323131005HX0F,2023/05/01,09:00,0.063,Real,</t>
  </si>
  <si>
    <t>ES0031408323131005HX0F,2023/05/01,10:00,0.028,Real,</t>
  </si>
  <si>
    <t>ES0031408323131005HX0F,2023/05/01,11:00,0.305,Real,</t>
  </si>
  <si>
    <t>ES0031408323131005HX0F,2023/05/01,12:00,0.229,Real,</t>
  </si>
  <si>
    <t>ES0031408323131005HX0F,2023/05/01,13:00,0.08,Real,</t>
  </si>
  <si>
    <t>ES0031408323131005HX0F,2023/05/01,14:00,0.475,Real,</t>
  </si>
  <si>
    <t>ES0031408323131005HX0F,2023/05/01,15:00,0.656,Real,</t>
  </si>
  <si>
    <t>ES0031408323131005HX0F,2023/05/01,16:00,0.521,Real,</t>
  </si>
  <si>
    <t>ES0031408323131005HX0F,2023/05/01,17:00,0.045,Real,</t>
  </si>
  <si>
    <t>ES0031408323131005HX0F,2023/05/01,18:00,0.31,Real,</t>
  </si>
  <si>
    <t>ES0031408323131005HX0F,2023/05/01,19:00,0.196,Real,</t>
  </si>
  <si>
    <t>ES0031408323131005HX0F,2023/05/01,20:00,0.368,Real,</t>
  </si>
  <si>
    <t>ES0031408323131005HX0F,2023/05/01,21:00,1.135,Real,</t>
  </si>
  <si>
    <t>ES0031408323131005HX0F,2023/05/01,22:00,1.949,Real,</t>
  </si>
  <si>
    <t>ES0031408323131005HX0F,2023/05/01,23:00,0.667,Real,</t>
  </si>
  <si>
    <t>ES0031408323131005HX0F,2023/05/01,24:00,0.278,Real,</t>
  </si>
  <si>
    <t>ES0031408323131005HX0F,2023/05/02,01:00,0.131,Real,</t>
  </si>
  <si>
    <t>ES0031408323131005HX0F,2023/05/02,02:00,0.032,Real,</t>
  </si>
  <si>
    <t>ES0031408323131005HX0F,2023/05/02,03:00,0.118,Real,</t>
  </si>
  <si>
    <t>ES0031408323131005HX0F,2023/05/02,04:00,0.351,Real,</t>
  </si>
  <si>
    <t>ES0031408323131005HX0F,2023/05/02,05:00,0.056,Real,</t>
  </si>
  <si>
    <t>ES0031408323131005HX0F,2023/05/02,06:00,0.037,Real,</t>
  </si>
  <si>
    <t>ES0031408323131005HX0F,2023/05/02,07:00,0.108,Real,</t>
  </si>
  <si>
    <t>ES0031408323131005HX0F,2023/05/02,08:00,0.135,Real,</t>
  </si>
  <si>
    <t>ES0031408323131005HX0F,2023/05/02,09:00,0.069,Real,</t>
  </si>
  <si>
    <t>ES0031408323131005HX0F,2023/05/02,10:00,0.075,Real,</t>
  </si>
  <si>
    <t>ES0031408323131005HX0F,2023/05/02,11:00,0.088,Real,</t>
  </si>
  <si>
    <t>ES0031408323131005HX0F,2023/05/02,12:00,0.328,Real,</t>
  </si>
  <si>
    <t>ES0031408323131005HX0F,2023/05/02,13:00,0.03,Real,</t>
  </si>
  <si>
    <t>ES0031408323131005HX0F,2023/05/02,14:00,0.064,Real,</t>
  </si>
  <si>
    <t>ES0031408323131005HX0F,2023/05/02,15:00,0.085,Real,</t>
  </si>
  <si>
    <t>ES0031408323131005HX0F,2023/05/02,16:00,0.096,Real,</t>
  </si>
  <si>
    <t>ES0031408323131005HX0F,2023/05/02,17:00,0.039,Real,</t>
  </si>
  <si>
    <t>ES0031408323131005HX0F,2023/05/02,18:00,0.115,Real,</t>
  </si>
  <si>
    <t>ES0031408323131005HX0F,2023/05/02,19:00,0.335,Real,</t>
  </si>
  <si>
    <t>ES0031408323131005HX0F,2023/05/02,20:00,0.033,Real,</t>
  </si>
  <si>
    <t>ES0031408323131005HX0F,2023/05/02,21:00,0.051,Real,</t>
  </si>
  <si>
    <t>ES0031408323131005HX0F,2023/05/02,22:00,0.391,Real,</t>
  </si>
  <si>
    <t>ES0031408323131005HX0F,2023/05/02,23:00,1.506,Real,</t>
  </si>
  <si>
    <t>ES0031408323131005HX0F,2023/05/02,24:00,0.448,Real,</t>
  </si>
  <si>
    <t>ES0031408323131005HX0F,2023/05/03,01:00,0.045,Real,</t>
  </si>
  <si>
    <t>ES0031408323131005HX0F,2023/05/03,02:00,0.085,Real,</t>
  </si>
  <si>
    <t>ES0031408323131005HX0F,2023/05/03,03:00,0.293,Real,</t>
  </si>
  <si>
    <t>ES0031408323131005HX0F,2023/05/03,04:00,0.121,Real,</t>
  </si>
  <si>
    <t>ES0031408323131005HX0F,2023/05/03,05:00,0.061,Real,</t>
  </si>
  <si>
    <t>ES0031408323131005HX0F,2023/05/03,06:00,0.026,Real,</t>
  </si>
  <si>
    <t>ES0031408323131005HX0F,2023/05/03,07:00,0.089,Real,</t>
  </si>
  <si>
    <t>ES0031408323131005HX0F,2023/05/03,08:00,0.324,Real,</t>
  </si>
  <si>
    <t>ES0031408323131005HX0F,2023/05/03,09:00,0.064,Real,</t>
  </si>
  <si>
    <t>ES0031408323131005HX0F,2023/05/03,10:00,0.28,Real,</t>
  </si>
  <si>
    <t>ES0031408323131005HX0F,2023/05/03,11:00,0.095,Real,</t>
  </si>
  <si>
    <t>ES0031408323131005HX0F,2023/05/03,12:00,0.067,Real,</t>
  </si>
  <si>
    <t>ES0031408323131005HX0F,2023/05/03,13:00,0.028,Real,</t>
  </si>
  <si>
    <t>ES0031408323131005HX0F,2023/05/03,14:00,0.068,Real,</t>
  </si>
  <si>
    <t>ES0031408323131005HX0F,2023/05/03,15:00,0.126,Real,</t>
  </si>
  <si>
    <t>ES0031408323131005HX0F,2023/05/03,16:00,0.099,Real,</t>
  </si>
  <si>
    <t>ES0031408323131005HX0F,2023/05/03,17:00,0.214,Real,</t>
  </si>
  <si>
    <t>ES0031408323131005HX0F,2023/05/03,18:00,0.137,Real,</t>
  </si>
  <si>
    <t>ES0031408323131005HX0F,2023/05/03,19:00,0.108,Real,</t>
  </si>
  <si>
    <t>ES0031408323131005HX0F,2023/05/03,20:00,0.074,Real,</t>
  </si>
  <si>
    <t>ES0031408323131005HX0F,2023/05/03,21:00,0.017,Real,</t>
  </si>
  <si>
    <t>ES0031408323131005HX0F,2023/05/03,22:00,0.489,Real,</t>
  </si>
  <si>
    <t>ES0031408323131005HX0F,2023/05/03,23:00,1.672,Real,</t>
  </si>
  <si>
    <t>ES0031408323131005HX0F,2023/05/03,24:00,1.569,Real,</t>
  </si>
  <si>
    <t>ES0031408323131005HX0F,2023/05/04,01:00,0.124,Real,</t>
  </si>
  <si>
    <t>ES0031408323131005HX0F,2023/05/04,02:00,0.035,Real,</t>
  </si>
  <si>
    <t>ES0031408323131005HX0F,2023/05/04,03:00,0.119,Real,</t>
  </si>
  <si>
    <t>ES0031408323131005HX0F,2023/05/04,04:00,0.341,Real,</t>
  </si>
  <si>
    <t>ES0031408323131005HX0F,2023/05/04,05:00,0.027,Real,</t>
  </si>
  <si>
    <t>ES0031408323131005HX0F,2023/05/04,06:00,0.079,Real,</t>
  </si>
  <si>
    <t>ES0031408323131005HX0F,2023/05/04,07:00,0.071,Real,</t>
  </si>
  <si>
    <t>ES0031408323131005HX0F,2023/05/04,08:00,0.204,Real,</t>
  </si>
  <si>
    <t>ES0031408323131005HX0F,2023/05/04,09:00,0.371,Real,</t>
  </si>
  <si>
    <t>ES0031408323131005HX0F,2023/05/04,10:00,0.06,Real,</t>
  </si>
  <si>
    <t>ES0031408323131005HX0F,2023/05/04,11:00,0.018,Real,</t>
  </si>
  <si>
    <t>ES0031408323131005HX0F,2023/05/04,12:00,0.088,Real,</t>
  </si>
  <si>
    <t>ES0031408323131005HX0F,2023/05/04,13:00,0.054,Real,</t>
  </si>
  <si>
    <t>ES0031408323131005HX0F,2023/05/04,14:00,0.054,Real,</t>
  </si>
  <si>
    <t>ES0031408323131005HX0F,2023/05/04,15:00,0.124,Real,</t>
  </si>
  <si>
    <t>ES0031408323131005HX0F,2023/05/04,16:00,0.353,Real,</t>
  </si>
  <si>
    <t>ES0031408323131005HX0F,2023/05/04,17:00,0.046,Real,</t>
  </si>
  <si>
    <t>ES0031408323131005HX0F,2023/05/04,18:00,0.345,Real,</t>
  </si>
  <si>
    <t>ES0031408323131005HX0F,2023/05/04,19:00,0.92,Real,</t>
  </si>
  <si>
    <t>ES0031408323131005HX0F,2023/05/04,20:00,0.14,Real,</t>
  </si>
  <si>
    <t>ES0031408323131005HX0F,2023/05/04,21:00,0.129,Real,</t>
  </si>
  <si>
    <t>ES0031408323131005HX0F,2023/05/04,22:00,0.16,Real,</t>
  </si>
  <si>
    <t>ES0031408323131005HX0F,2023/05/04,23:00,0.527,Real,</t>
  </si>
  <si>
    <t>ES0031408323131005HX0F,2023/05/04,24:00,0.534,Real,</t>
  </si>
  <si>
    <t>ES0031408323131005HX0F,2023/05/05,01:00,0.373,Real,</t>
  </si>
  <si>
    <t>ES0031408323131005HX0F,2023/05/05,02:00,0.081,Real,</t>
  </si>
  <si>
    <t>ES0031408323131005HX0F,2023/05/05,03:00,0.047,Real,</t>
  </si>
  <si>
    <t>ES0031408323131005HX0F,2023/05/05,04:00,0.394,Real,</t>
  </si>
  <si>
    <t>ES0031408323131005HX0F,2023/05/05,05:00,0.061,Real,</t>
  </si>
  <si>
    <t>ES0031408323131005HX0F,2023/05/05,06:00,0.033,Real,</t>
  </si>
  <si>
    <t>ES0031408323131005HX0F,2023/05/05,07:00,0.085,Real,</t>
  </si>
  <si>
    <t>ES0031408323131005HX0F,2023/05/05,08:00,0.167,Real,</t>
  </si>
  <si>
    <t>ES0031408323131005HX0F,2023/05/05,09:00,0.617,Real,</t>
  </si>
  <si>
    <t>ES0031408323131005HX0F,2023/05/05,10:00,0.147,Real,</t>
  </si>
  <si>
    <t>ES0031408323131005HX0F,2023/05/05,11:00,0.058,Real,</t>
  </si>
  <si>
    <t>ES0031408323131005HX0F,2023/05/05,12:00,0.056,Real,</t>
  </si>
  <si>
    <t>ES0031408323131005HX0F,2023/05/05,13:00,0.081,Real,</t>
  </si>
  <si>
    <t>ES0031408323131005HX0F,2023/05/05,14:00,0.046,Real,</t>
  </si>
  <si>
    <t>ES0031408323131005HX0F,2023/05/05,15:00,0.314,Real,</t>
  </si>
  <si>
    <t>ES0031408323131005HX0F,2023/05/05,16:00,0.091,Real,</t>
  </si>
  <si>
    <t>ES0031408323131005HX0F,2023/05/05,17:00,0.112,Real,</t>
  </si>
  <si>
    <t>ES0031408323131005HX0F,2023/05/05,18:00,0.057,Real,</t>
  </si>
  <si>
    <t>ES0031408323131005HX0F,2023/05/05,19:00,1.319,Real,</t>
  </si>
  <si>
    <t>ES0031408323131005HX0F,2023/05/05,20:00,0.311,Real,</t>
  </si>
  <si>
    <t>ES0031408323131005HX0F,2023/05/05,21:00,0.141,Real,</t>
  </si>
  <si>
    <t>ES0031408323131005HX0F,2023/05/05,22:00,0.805,Real,</t>
  </si>
  <si>
    <t>ES0031408323131005HX0F,2023/05/05,23:00,0.93,Real,</t>
  </si>
  <si>
    <t>ES0031408323131005HX0F,2023/05/05,24:00,0.145,Real,</t>
  </si>
  <si>
    <t>ES0031408323131005HX0F,2023/05/06,01:00,0.115,Real,</t>
  </si>
  <si>
    <t>ES0031408323131005HX0F,2023/05/06,02:00,0.061,Real,</t>
  </si>
  <si>
    <t>ES0031408323131005HX0F,2023/05/06,03:00,0.038,Real,</t>
  </si>
  <si>
    <t>ES0031408323131005HX0F,2023/05/06,04:00,0.106,Real,</t>
  </si>
  <si>
    <t>ES0031408323131005HX0F,2023/05/06,05:00,0.133,Real,</t>
  </si>
  <si>
    <t>ES0031408323131005HX0F,2023/05/06,06:00,0.228,Real,</t>
  </si>
  <si>
    <t>ES0031408323131005HX0F,2023/05/06,07:00,0.227,Real,</t>
  </si>
  <si>
    <t>ES0031408323131005HX0F,2023/05/06,08:00,0.291,Real,</t>
  </si>
  <si>
    <t>ES0031408323131005HX0F,2023/05/06,09:00,0.021,Real,</t>
  </si>
  <si>
    <t>ES0031408323131005HX0F,2023/05/06,10:00,0.099,Real,</t>
  </si>
  <si>
    <t>ES0031408323131005HX0F,2023/05/06,11:00,0.054,Real,</t>
  </si>
  <si>
    <t>ES0031408323131005HX0F,2023/05/06,12:00,0.037,Real,</t>
  </si>
  <si>
    <t>ES0031408323131005HX0F,2023/05/06,13:00,0.084,Real,</t>
  </si>
  <si>
    <t>ES0031408323131005HX0F,2023/05/06,14:00,0.317,Real,</t>
  </si>
  <si>
    <t>ES0031408323131005HX0F,2023/05/06,15:00,0.046,Real,</t>
  </si>
  <si>
    <t>ES0031408323131005HX0F,2023/05/06,16:00,0.085,Real,</t>
  </si>
  <si>
    <t>ES0031408323131005HX0F,2023/05/06,17:00,0.053,Real,</t>
  </si>
  <si>
    <t>ES0031408323131005HX0F,2023/05/06,18:00,0.057,Real,</t>
  </si>
  <si>
    <t>ES0031408323131005HX0F,2023/05/06,19:00,0.485,Real,</t>
  </si>
  <si>
    <t>ES0031408323131005HX0F,2023/05/06,20:00,0.18,Real,</t>
  </si>
  <si>
    <t>ES0031408323131005HX0F,2023/05/06,21:00,0.079,Real,</t>
  </si>
  <si>
    <t>ES0031408323131005HX0F,2023/05/06,22:00,0.088,Real,</t>
  </si>
  <si>
    <t>ES0031408323131005HX0F,2023/05/06,23:00,1.79,Real,</t>
  </si>
  <si>
    <t>ES0031408323131005HX0F,2023/05/06,24:00,1.808,Real,</t>
  </si>
  <si>
    <t>ES0031408323131005HX0F,2023/05/07,01:00,0.351,Real,</t>
  </si>
  <si>
    <t>ES0031408323131005HX0F,2023/05/07,02:00,0.276,Real,</t>
  </si>
  <si>
    <t>ES0031408323131005HX0F,2023/05/07,03:00,0.081,Real,</t>
  </si>
  <si>
    <t>ES0031408323131005HX0F,2023/05/07,04:00,0.095,Real,</t>
  </si>
  <si>
    <t>ES0031408323131005HX0F,2023/05/07,05:00,0.063,Real,</t>
  </si>
  <si>
    <t>ES0031408323131005HX0F,2023/05/07,06:00,0.294,Real,</t>
  </si>
  <si>
    <t>ES0031408323131005HX0F,2023/05/07,07:00,0.101,Real,</t>
  </si>
  <si>
    <t>ES0031408323131005HX0F,2023/05/07,08:00,0.058,Real,</t>
  </si>
  <si>
    <t>ES0031408323131005HX0F,2023/05/07,09:00,0.043,Real,</t>
  </si>
  <si>
    <t>ES0031408323131005HX0F,2023/05/07,10:00,0.383,Real,</t>
  </si>
  <si>
    <t>ES0031408323131005HX0F,2023/05/07,11:00,1.785,Real,</t>
  </si>
  <si>
    <t>ES0031408323131005HX0F,2023/05/07,12:00,1.035,Real,</t>
  </si>
  <si>
    <t>ES0031408323131005HX0F,2023/05/07,13:00,0.119,Real,</t>
  </si>
  <si>
    <t>ES0031408323131005HX0F,2023/05/07,14:00,0.018,Real,</t>
  </si>
  <si>
    <t>ES0031408323131005HX0F,2023/05/07,15:00,0.334,Real,</t>
  </si>
  <si>
    <t>ES0031408323131005HX0F,2023/05/07,16:00,0.058,Real,</t>
  </si>
  <si>
    <t>ES0031408323131005HX0F,2023/05/07,17:00,0.028,Real,</t>
  </si>
  <si>
    <t>ES0031408323131005HX0F,2023/05/07,18:00,0.091,Real,</t>
  </si>
  <si>
    <t>ES0031408323131005HX0F,2023/05/07,19:00,0.058,Real,</t>
  </si>
  <si>
    <t>ES0031408323131005HX0F,2023/05/07,20:00,0.044,Real,</t>
  </si>
  <si>
    <t>ES0031408323131005HX0F,2023/05/07,21:00,0.528,Real,</t>
  </si>
  <si>
    <t>ES0031408323131005HX0F,2023/05/07,22:00,0.766,Real,</t>
  </si>
  <si>
    <t>ES0031408323131005HX0F,2023/05/07,23:00,0.31,Real,</t>
  </si>
  <si>
    <t>ES0031408323131005HX0F,2023/05/07,24:00,0.175,Real,</t>
  </si>
  <si>
    <t>ES0031408323131005HX0F,2023/05/08,01:00,0.095,Real,</t>
  </si>
  <si>
    <t>ES0031408323131005HX0F,2023/05/08,02:00,0.122,Real,</t>
  </si>
  <si>
    <t>ES0031408323131005HX0F,2023/05/08,03:00,0.372,Real,</t>
  </si>
  <si>
    <t>ES0031408323131005HX0F,2023/05/08,04:00,0.028,Real,</t>
  </si>
  <si>
    <t>ES0031408323131005HX0F,2023/05/08,05:00,0.095,Real,</t>
  </si>
  <si>
    <t>ES0031408323131005HX0F,2023/05/08,06:00,0.069,Real,</t>
  </si>
  <si>
    <t>ES0031408323131005HX0F,2023/05/08,07:00,0.019,Real,</t>
  </si>
  <si>
    <t>ES0031408323131005HX0F,2023/05/08,08:00,0.102,Real,</t>
  </si>
  <si>
    <t>ES0031408323131005HX0F,2023/05/08,09:00,0.058,Real,</t>
  </si>
  <si>
    <t>ES0031408323131005HX0F,2023/05/08,10:00,0.331,Real,</t>
  </si>
  <si>
    <t>ES0031408323131005HX0F,2023/05/08,11:00,0.123,Real,</t>
  </si>
  <si>
    <t>ES0031408323131005HX0F,2023/05/08,12:00,0.198,Real,</t>
  </si>
  <si>
    <t>ES0031408323131005HX0F,2023/05/08,13:00,0.632,Real,</t>
  </si>
  <si>
    <t>ES0031408323131005HX0F,2023/05/08,14:00,1.001,Real,</t>
  </si>
  <si>
    <t>ES0031408323131005HX0F,2023/05/08,15:00,0.68,Real,</t>
  </si>
  <si>
    <t>ES0031408323131005HX0F,2023/05/08,16:00,0.783,Real,</t>
  </si>
  <si>
    <t>ES0031408323131005HX0F,2023/05/08,17:00,0.073,Real,</t>
  </si>
  <si>
    <t>ES0031408323131005HX0F,2023/05/08,18:00,0.032,Real,</t>
  </si>
  <si>
    <t>ES0031408323131005HX0F,2023/05/08,19:00,0.355,Real,</t>
  </si>
  <si>
    <t>ES0031408323131005HX0F,2023/05/08,20:00,0.061,Real,</t>
  </si>
  <si>
    <t>ES0031408323131005HX0F,2023/05/08,21:00,0.017,Real,</t>
  </si>
  <si>
    <t>ES0031408323131005HX0F,2023/05/08,22:00,0.112,Real,</t>
  </si>
  <si>
    <t>ES0031408323131005HX0F,2023/05/08,23:00,0.093,Real,</t>
  </si>
  <si>
    <t>ES0031408323131005HX0F,2023/05/08,24:00,0.218,Real,</t>
  </si>
  <si>
    <t>ES0031408323131005HX0F,2023/05/09,01:00,0.43,Real,</t>
  </si>
  <si>
    <t>ES0031408323131005HX0F,2023/05/09,02:00,0.136,Real,</t>
  </si>
  <si>
    <t>ES0031408323131005HX0F,2023/05/09,03:00,0.138,Real,</t>
  </si>
  <si>
    <t>ES0031408323131005HX0F,2023/05/09,04:00,0.119,Real,</t>
  </si>
  <si>
    <t>ES0031408323131005HX0F,2023/05/09,05:00,0.038,Real,</t>
  </si>
  <si>
    <t>ES0031408323131005HX0F,2023/05/09,06:00,0.073,Real,</t>
  </si>
  <si>
    <t>ES0031408323131005HX0F,2023/05/09,07:00,0.242,Real,</t>
  </si>
  <si>
    <t>ES0031408323131005HX0F,2023/05/09,08:00,0.914,Real,</t>
  </si>
  <si>
    <t>ES0031408323131005HX0F,2023/05/09,09:00,0.101,Real,</t>
  </si>
  <si>
    <t>ES0031408323131005HX0F,2023/05/09,10:00,0.063,Real,</t>
  </si>
  <si>
    <t>ES0031408323131005HX0F,2023/05/09,11:00,0.082,Real,</t>
  </si>
  <si>
    <t>ES0031408323131005HX0F,2023/05/09,12:00,0.681,Real,</t>
  </si>
  <si>
    <t>ES0031408323131005HX0F,2023/05/09,13:00,1.432,Real,</t>
  </si>
  <si>
    <t>ES0031408323131005HX0F,2023/05/09,14:00,0.789,Real,</t>
  </si>
  <si>
    <t>ES0031408323131005HX0F,2023/05/09,15:00,0.108,Real,</t>
  </si>
  <si>
    <t>ES0031408323131005HX0F,2023/05/09,16:00,0.056,Real,</t>
  </si>
  <si>
    <t>ES0031408323131005HX0F,2023/05/09,17:00,0.365,Real,</t>
  </si>
  <si>
    <t>ES0031408323131005HX0F,2023/05/09,18:00,0.118,Real,</t>
  </si>
  <si>
    <t>ES0031408323131005HX0F,2023/05/09,19:00,0.091,Real,</t>
  </si>
  <si>
    <t>ES0031408323131005HX0F,2023/05/09,20:00,0.03,Real,</t>
  </si>
  <si>
    <t>ES0031408323131005HX0F,2023/05/09,21:00,0.072,Real,</t>
  </si>
  <si>
    <t>ES0031408323131005HX0F,2023/05/09,22:00,0.087,Real,</t>
  </si>
  <si>
    <t>ES0031408323131005HX0F,2023/05/09,23:00,0.044,Real,</t>
  </si>
  <si>
    <t>ES0031408323131005HX0F,2023/05/09,24:00,0.399,Real,</t>
  </si>
  <si>
    <t>ES0031408323131005HX0F,2023/05/10,01:00,0.108,Real,</t>
  </si>
  <si>
    <t>ES0031408323131005HX0F,2023/05/10,02:00,0.079,Real,</t>
  </si>
  <si>
    <t>ES0031408323131005HX0F,2023/05/10,03:00,0.045,Real,</t>
  </si>
  <si>
    <t>ES0031408323131005HX0F,2023/05/10,04:00,0.114,Real,</t>
  </si>
  <si>
    <t>ES0031408323131005HX0F,2023/05/10,05:00,0.057,Real,</t>
  </si>
  <si>
    <t>ES0031408323131005HX0F,2023/05/10,06:00,0.024,Real,</t>
  </si>
  <si>
    <t>ES0031408323131005HX0F,2023/05/10,07:00,0.421,Real,</t>
  </si>
  <si>
    <t>ES0031408323131005HX0F,2023/05/10,08:00,0.689,Real,</t>
  </si>
  <si>
    <t>ES0031408323131005HX0F,2023/05/10,09:00,0.048,Real,</t>
  </si>
  <si>
    <t>ES0031408323131005HX0F,2023/05/10,10:00,0.113,Real,</t>
  </si>
  <si>
    <t>ES0031408323131005HX0F,2023/05/10,11:00,0.2,Real,</t>
  </si>
  <si>
    <t>ES0031408323131005HX0F,2023/05/10,12:00,0.63,Real,</t>
  </si>
  <si>
    <t>ES0031408323131005HX0F,2023/05/10,13:00,0.267,Real,</t>
  </si>
  <si>
    <t>ES0031408323131005HX0F,2023/05/10,14:00,0.064,Real,</t>
  </si>
  <si>
    <t>ES0031408323131005HX0F,2023/05/10,15:00,0.099,Real,</t>
  </si>
  <si>
    <t>ES0031408323131005HX0F,2023/05/10,16:00,0.098,Real,</t>
  </si>
  <si>
    <t>ES0031408323131005HX0F,2023/05/10,17:00,0.356,Real,</t>
  </si>
  <si>
    <t>ES0031408323131005HX0F,2023/05/10,18:00,0.038,Real,</t>
  </si>
  <si>
    <t>ES0031408323131005HX0F,2023/05/10,19:00,0.073,Real,</t>
  </si>
  <si>
    <t>ES0031408323131005HX0F,2023/05/10,20:00,0.085,Real,</t>
  </si>
  <si>
    <t>ES0031408323131005HX0F,2023/05/10,21:00,0.016,Real,</t>
  </si>
  <si>
    <t>ES0031408323131005HX0F,2023/05/10,22:00,0.095,Real,</t>
  </si>
  <si>
    <t>ES0031408323131005HX0F,2023/05/10,23:00,0.12,Real,</t>
  </si>
  <si>
    <t>ES0031408323131005HX0F,2023/05/10,24:00,0.493,Real,</t>
  </si>
  <si>
    <t>ES0031408323131005HX0F,2023/05/11,01:00,0.121,Real,</t>
  </si>
  <si>
    <t>ES0031408323131005HX0F,2023/05/11,02:00,0.074,Real,</t>
  </si>
  <si>
    <t>ES0031408323131005HX0F,2023/05/11,03:00,0.061,Real,</t>
  </si>
  <si>
    <t>ES0031408323131005HX0F,2023/05/11,04:00,0.358,Real,</t>
  </si>
  <si>
    <t>ES0031408323131005HX0F,2023/05/11,05:00,0.058,Real,</t>
  </si>
  <si>
    <t>ES0031408323131005HX0F,2023/05/11,06:00,0.037,Real,</t>
  </si>
  <si>
    <t>ES0031408323131005HX0F,2023/05/11,07:00,0.105,Real,</t>
  </si>
  <si>
    <t>ES0031408323131005HX0F,2023/05/11,08:00,0.572,Real,</t>
  </si>
  <si>
    <t>ES0031408323131005HX0F,2023/05/11,09:00,0.089,Real,</t>
  </si>
  <si>
    <t>ES0031408323131005HX0F,2023/05/11,10:00,0.071,Real,</t>
  </si>
  <si>
    <t>ES0031408323131005HX0F,2023/05/11,11:00,0.017,Real,</t>
  </si>
  <si>
    <t>ES0031408323131005HX0F,2023/05/11,12:00,0.099,Real,</t>
  </si>
  <si>
    <t>ES0031408323131005HX0F,2023/05/11,13:00,0.796,Real,</t>
  </si>
  <si>
    <t>ES0031408323131005HX0F,2023/05/11,14:00,0.565,Real,</t>
  </si>
  <si>
    <t>ES0031408323131005HX0F,2023/05/11,15:00,0.712,Real,</t>
  </si>
  <si>
    <t>ES0031408323131005HX0F,2023/05/11,16:00,0.119,Real,</t>
  </si>
  <si>
    <t>ES0031408323131005HX0F,2023/05/11,17:00,0.117,Real,</t>
  </si>
  <si>
    <t>ES0031408323131005HX0F,2023/05/11,18:00,0.324,Real,</t>
  </si>
  <si>
    <t>ES0031408323131005HX0F,2023/05/11,19:00,0.139,Real,</t>
  </si>
  <si>
    <t>ES0031408323131005HX0F,2023/05/11,20:00,1.623,Real,</t>
  </si>
  <si>
    <t>ES0031408323131005HX0F,2023/05/11,21:00,0.152,Real,</t>
  </si>
  <si>
    <t>ES0031408323131005HX0F,2023/05/11,22:00,1.326,Real,</t>
  </si>
  <si>
    <t>ES0031408323131005HX0F,2023/05/11,23:00,0.391,Real,</t>
  </si>
  <si>
    <t>ES0031408323131005HX0F,2023/05/11,24:00,0.109,Real,</t>
  </si>
  <si>
    <t>ES0031408323131005HX0F,2023/05/12,01:00,0.066,Real,</t>
  </si>
  <si>
    <t>ES0031408323131005HX0F,2023/05/12,02:00,0.09,Real,</t>
  </si>
  <si>
    <t>ES0031408323131005HX0F,2023/05/12,03:00,0.105,Real,</t>
  </si>
  <si>
    <t>ES0031408323131005HX0F,2023/05/12,04:00,0.302,Real,</t>
  </si>
  <si>
    <t>ES0031408323131005HX0F,2023/05/12,05:00,0.074,Real,</t>
  </si>
  <si>
    <t>ES0031408323131005HX0F,2023/05/12,06:00,0.082,Real,</t>
  </si>
  <si>
    <t>ES0031408323131005HX0F,2023/05/12,07:00,0.02,Real,</t>
  </si>
  <si>
    <t>ES0031408323131005HX0F,2023/05/12,08:00,0.178,Real,</t>
  </si>
  <si>
    <t>ES0031408323131005HX0F,2023/05/12,09:00,0.067,Real,</t>
  </si>
  <si>
    <t>ES0031408323131005HX0F,2023/05/12,10:00,0.386,Estimada,</t>
  </si>
  <si>
    <t>ES0031408323131005HX0F,2023/05/12,11:00,0.173,Estimada,</t>
  </si>
  <si>
    <t>ES0031408323131005HX0F,2023/05/12,12:00,0.176,Estimada,</t>
  </si>
  <si>
    <t>ES0031408323131005HX0F,2023/05/12,13:00,0.181,Estimada,</t>
  </si>
  <si>
    <t>ES0031408323131005HX0F,2023/05/12,14:00,0.191,Estimada,</t>
  </si>
  <si>
    <t>ES0031408323131005HX0F,2023/05/12,15:00,0.444,Estimada,</t>
  </si>
  <si>
    <t>ES0031408323131005HX0F,2023/05/12,16:00,0.41,Estimada,</t>
  </si>
  <si>
    <t>ES0031408323131005HX0F,2023/05/12,17:00,0.388,Estimada,</t>
  </si>
  <si>
    <t>ES0031408323131005HX0F,2023/05/12,18:00,0.388,Estimada,</t>
  </si>
  <si>
    <t>ES0031408323131005HX0F,2023/05/12,19:00,0.167,Estimada,</t>
  </si>
  <si>
    <t>ES0031408323131005HX0F,2023/05/12,20:00,0.17,Estimada,</t>
  </si>
  <si>
    <t>ES0031408323131005HX0F,2023/05/12,21:00,0.181,Estimada,</t>
  </si>
  <si>
    <t>ES0031408323131005HX0F,2023/05/12,22:00,0.211,Estimada,</t>
  </si>
  <si>
    <t>ES0031408323131005HX0F,2023/05/12,23:00,0.488,Estimada,</t>
  </si>
  <si>
    <t>ES0031408323131005HX0F,2023/05/12,24:00,0.424,Estimada,</t>
  </si>
  <si>
    <t>ES0031408323131005HX0F,2023/05/13,01:00,0.262,Estimada,</t>
  </si>
  <si>
    <t>ES0031408323131005HX0F,2023/05/13,02:00,0.22,Estimada,</t>
  </si>
  <si>
    <t>ES0031408323131005HX0F,2023/05/13,03:00,0.193,Estimada,</t>
  </si>
  <si>
    <t>ES0031408323131005HX0F,2023/05/13,04:00,0.18,Estimada,</t>
  </si>
  <si>
    <t>ES0031408323131005HX0F,2023/05/13,05:00,0.173,Estimada,</t>
  </si>
  <si>
    <t>ES0031408323131005HX0F,2023/05/13,06:00,0.173,Estimada,</t>
  </si>
  <si>
    <t>ES0031408323131005HX0F,2023/05/13,07:00,0.176,Estimada,</t>
  </si>
  <si>
    <t>ES0031408323131005HX0F,2023/05/13,08:00,0.182,Estimada,</t>
  </si>
  <si>
    <t>ES0031408323131005HX0F,2023/05/13,09:00,0.229,Estimada,</t>
  </si>
  <si>
    <t>ES0031408323131005HX0F,2023/05/13,10:00,0.286,Estimada,</t>
  </si>
  <si>
    <t>ES0031408323131005HX0F,2023/05/13,11:00,0.321,Estimada,</t>
  </si>
  <si>
    <t>ES0031408323131005HX0F,2023/05/13,12:00,0.329,Estimada,</t>
  </si>
  <si>
    <t>ES0031408323131005HX0F,2023/05/13,13:00,0.332,Estimada,</t>
  </si>
  <si>
    <t>ES0031408323131005HX0F,2023/05/13,14:00,0.351,Estimada,</t>
  </si>
  <si>
    <t>ES0031408323131005HX0F,2023/05/13,15:00,0.344,Estimada,</t>
  </si>
  <si>
    <t>ES0031408323131005HX0F,2023/05/13,16:00,0.301,Estimada,</t>
  </si>
  <si>
    <t>ES0031408323131005HX0F,2023/05/13,17:00,0.274,Estimada,</t>
  </si>
  <si>
    <t>ES0031408323131005HX0F,2023/05/13,18:00,0.266,Estimada,</t>
  </si>
  <si>
    <t>ES0031408323131005HX0F,2023/05/13,19:00,0.266,Estimada,</t>
  </si>
  <si>
    <t>ES0031408323131005HX0F,2023/05/13,20:00,0.27,Estimada,</t>
  </si>
  <si>
    <t>ES0031408323131005HX0F,2023/05/13,21:00,0.291,Estimada,</t>
  </si>
  <si>
    <t>ES0031408323131005HX0F,2023/05/13,22:00,0.346,Estimada,</t>
  </si>
  <si>
    <t>ES0031408323131005HX0F,2023/05/13,23:00,0.349,Estimada,</t>
  </si>
  <si>
    <t>ES0031408323131005HX0F,2023/05/13,24:00,0.308,Estimada,</t>
  </si>
  <si>
    <t>ES0031408323131005HX0F,2023/05/14,01:00,0.267,Estimada,</t>
  </si>
  <si>
    <t>ES0031408323131005HX0F,2023/05/14,02:00,0.226,Estimada,</t>
  </si>
  <si>
    <t>ES0031408323131005HX0F,2023/05/14,03:00,0.197,Estimada,</t>
  </si>
  <si>
    <t>ES0031408323131005HX0F,2023/05/14,04:00,0.182,Estimada,</t>
  </si>
  <si>
    <t>ES0031408323131005HX0F,2023/05/14,05:00,0.174,Estimada,</t>
  </si>
  <si>
    <t>ES0031408323131005HX0F,2023/05/14,06:00,0.173,Estimada,</t>
  </si>
  <si>
    <t>ES0031408323131005HX0F,2023/05/14,07:00,0.172,Estimada,</t>
  </si>
  <si>
    <t>ES0031408323131005HX0F,2023/05/14,08:00,0.172,Estimada,</t>
  </si>
  <si>
    <t>ES0031408323131005HX0F,2023/05/14,09:00,0.209,Estimada,</t>
  </si>
  <si>
    <t>ES0031408323131005HX0F,2023/05/14,10:00,0.266,Estimada,</t>
  </si>
  <si>
    <t>ES0031408323131005HX0F,2023/05/14,11:00,0.311,Estimada,</t>
  </si>
  <si>
    <t>ES0031408323131005HX0F,2023/05/14,12:00,0.329,Estimada,</t>
  </si>
  <si>
    <t>ES0031408323131005HX0F,2023/05/14,13:00,0.334,Estimada,</t>
  </si>
  <si>
    <t>ES0031408323131005HX0F,2023/05/14,14:00,0.349,Estimada,</t>
  </si>
  <si>
    <t>ES0031408323131005HX0F,2023/05/14,15:00,0.341,Estimada,</t>
  </si>
  <si>
    <t>ES0031408323131005HX0F,2023/05/14,16:00,0.296,Estimada,</t>
  </si>
  <si>
    <t>ES0031408323131005HX0F,2023/05/14,17:00,0.27,Estimada,</t>
  </si>
  <si>
    <t>ES0031408323131005HX0F,2023/05/14,18:00,0.263,Estimada,</t>
  </si>
  <si>
    <t>ES0031408323131005HX0F,2023/05/14,19:00,0.268,Estimada,</t>
  </si>
  <si>
    <t>ES0031408323131005HX0F,2023/05/14,20:00,0.282,Estimada,</t>
  </si>
  <si>
    <t>ES0031408323131005HX0F,2023/05/14,21:00,0.315,Estimada,</t>
  </si>
  <si>
    <t>ES0031408323131005HX0F,2023/05/14,22:00,0.374,Estimada,</t>
  </si>
  <si>
    <t>ES0031408323131005HX0F,2023/05/14,23:00,0.367,Estimada,</t>
  </si>
  <si>
    <t>ES0031408323131005HX0F,2023/05/14,24:00,0.311,Estimada,</t>
  </si>
  <si>
    <t>ES0031408323131005HX0F,2023/05/15,01:00,0.248,Estimada,</t>
  </si>
  <si>
    <t>ES0031408323131005HX0F,2023/05/15,02:00,0.206,Estimada,</t>
  </si>
  <si>
    <t>ES0031408323131005HX0F,2023/05/15,03:00,0.183,Estimada,</t>
  </si>
  <si>
    <t>ES0031408323131005HX0F,2023/05/15,04:00,0.173,Estimada,</t>
  </si>
  <si>
    <t>ES0031408323131005HX0F,2023/05/15,05:00,0.169,Estimada,</t>
  </si>
  <si>
    <t>ES0031408323131005HX0F,2023/05/15,06:00,0.173,Estimada,</t>
  </si>
  <si>
    <t>ES0031408323131005HX0F,2023/05/15,07:00,0.188,Estimada,</t>
  </si>
  <si>
    <t>ES0031408323131005HX0F,2023/05/15,08:00,0.222,Estimada,</t>
  </si>
  <si>
    <t>ES0031408323131005HX0F,2023/05/15,09:00,0.245,Estimada,</t>
  </si>
  <si>
    <t>ES0031408323131005HX0F,2023/05/15,10:00,0.265,Estimada,</t>
  </si>
  <si>
    <t>ES0031408323131005HX0F,2023/05/15,11:00,0.295,Estimada,</t>
  </si>
  <si>
    <t>ES0031408323131005HX0F,2023/05/15,12:00,0.302,Estimada,</t>
  </si>
  <si>
    <t>ES0031408323131005HX0F,2023/05/15,13:00,0.313,Estimada,</t>
  </si>
  <si>
    <t>ES0031408323131005HX0F,2023/05/15,14:00,0.332,Estimada,</t>
  </si>
  <si>
    <t>ES0031408323131005HX0F,2023/05/15,15:00,0.312,Estimada,</t>
  </si>
  <si>
    <t>ES0031408323131005HX0F,2023/05/15,16:00,0.284,Estimada,</t>
  </si>
  <si>
    <t>ES0031408323131005HX0F,2023/05/15,17:00,0.267,Estimada,</t>
  </si>
  <si>
    <t>ES0031408323131005HX0F,2023/05/15,18:00,0.266,Estimada,</t>
  </si>
  <si>
    <t>ES0031408323131005HX0F,2023/05/15,19:00,0.285,Estimada,</t>
  </si>
  <si>
    <t>ES0031408323131005HX0F,2023/05/15,20:00,0.299,Estimada,</t>
  </si>
  <si>
    <t>ES0031408323131005HX0F,2023/05/15,21:00,0.335,Estimada,</t>
  </si>
  <si>
    <t>ES0031408323131005HX0F,2023/05/15,22:00,0.387,Estimada,</t>
  </si>
  <si>
    <t>ES0031408323131005HX0F,2023/05/15,23:00,0.353,Estimada,</t>
  </si>
  <si>
    <t>ES0031408323131005HX0F,2023/05/15,24:00,0.29,Estimada,</t>
  </si>
  <si>
    <t>ES0031408323131005HX0F,2023/05/16,01:00,0.245,Estimada,</t>
  </si>
  <si>
    <t>ES0031408323131005HX0F,2023/05/16,02:00,0.204,Estimada,</t>
  </si>
  <si>
    <t>ES0031408323131005HX0F,2023/05/16,03:00,0.182,Estimada,</t>
  </si>
  <si>
    <t>ES0031408323131005HX0F,2023/05/16,04:00,0.172,Estimada,</t>
  </si>
  <si>
    <t>ES0031408323131005HX0F,2023/05/16,05:00,0.169,Estimada,</t>
  </si>
  <si>
    <t>ES0031408323131005HX0F,2023/05/16,06:00,0.173,Estimada,</t>
  </si>
  <si>
    <t>ES0031408323131005HX0F,2023/05/16,07:00,0.19,Estimada,</t>
  </si>
  <si>
    <t>ES0031408323131005HX0F,2023/05/16,08:00,0.227,Estimada,</t>
  </si>
  <si>
    <t>ES0031408323131005HX0F,2023/05/16,09:00,0.251,Estimada,</t>
  </si>
  <si>
    <t>ES0031408323131005HX0F,2023/05/16,10:00,0.266,Estimada,</t>
  </si>
  <si>
    <t>ES0031408323131005HX0F,2023/05/16,11:00,0.293,Estimada,</t>
  </si>
  <si>
    <t>ES0031408323131005HX0F,2023/05/16,12:00,0.298,Estimada,</t>
  </si>
  <si>
    <t>ES0031408323131005HX0F,2023/05/16,13:00,0.309,Estimada,</t>
  </si>
  <si>
    <t>ES0031408323131005HX0F,2023/05/16,14:00,0.328,Estimada,</t>
  </si>
  <si>
    <t>ES0031408323131005HX0F,2023/05/16,15:00,0.308,Estimada,</t>
  </si>
  <si>
    <t>ES0031408323131005HX0F,2023/05/16,16:00,0.282,Estimada,</t>
  </si>
  <si>
    <t>ES0031408323131005HX0F,2023/05/16,17:00,0.266,Estimada,</t>
  </si>
  <si>
    <t>ES0031408323131005HX0F,2023/05/16,18:00,0.267,Estimada,</t>
  </si>
  <si>
    <t>ES0031408323131005HX0F,2023/05/16,19:00,0.286,Estimada,</t>
  </si>
  <si>
    <t>ES0031408323131005HX0F,2023/05/16,20:00,0.3,Estimada,</t>
  </si>
  <si>
    <t>ES0031408323131005HX0F,2023/05/16,21:00,0.334,Estimada,</t>
  </si>
  <si>
    <t>ES0031408323131005HX0F,2023/05/16,22:00,0.385,Estimada,</t>
  </si>
  <si>
    <t>ES0031408323131005HX0F,2023/05/16,23:00,0.353,Estimada,</t>
  </si>
  <si>
    <t>ES0031408323131005HX0F,2023/05/16,24:00,0.292,Estimada,</t>
  </si>
  <si>
    <t>ES0031408323131005HX0F,2023/05/17,01:00,0.248,Estimada,</t>
  </si>
  <si>
    <t>ES0031408323131005HX0F,2023/05/17,02:00,0.206,Estimada,</t>
  </si>
  <si>
    <t>ES0031408323131005HX0F,2023/05/17,03:00,0.184,Estimada,</t>
  </si>
  <si>
    <t>ES0031408323131005HX0F,2023/05/17,04:00,0.174,Estimada,</t>
  </si>
  <si>
    <t>ES0031408323131005HX0F,2023/05/17,05:00,0.171,Estimada,</t>
  </si>
  <si>
    <t>ES0031408323131005HX0F,2023/05/17,06:00,0.175,Estimada,</t>
  </si>
  <si>
    <t>ES0031408323131005HX0F,2023/05/17,07:00,0.192,Estimada,</t>
  </si>
  <si>
    <t>ES0031408323131005HX0F,2023/05/17,08:00,0.229,Estimada,</t>
  </si>
  <si>
    <t>ES0031408323131005HX0F,2023/05/17,09:00,0.253,Estimada,</t>
  </si>
  <si>
    <t>ES0031408323131005HX0F,2023/05/17,10:00,0.268,Estimada,</t>
  </si>
  <si>
    <t>ES0031408323131005HX0F,2023/05/17,11:00,0.295,Estimada,</t>
  </si>
  <si>
    <t>ES0031408323131005HX0F,2023/05/17,12:00,0.3,Estimada,</t>
  </si>
  <si>
    <t>ES0031408323131005HX0F,2023/05/17,13:00,0.311,Estimada,</t>
  </si>
  <si>
    <t>ES0031408323131005HX0F,2023/05/17,14:00,0.331,Estimada,</t>
  </si>
  <si>
    <t>ES0031408323131005HX0F,2023/05/17,15:00,0.311,Estimada,</t>
  </si>
  <si>
    <t>ES0031408323131005HX0F,2023/05/17,16:00,0.285,Estimada,</t>
  </si>
  <si>
    <t>ES0031408323131005HX0F,2023/05/17,17:00,0.269,Estimada,</t>
  </si>
  <si>
    <t>ES0031408323131005HX0F,2023/05/17,18:00,0.269,Estimada,</t>
  </si>
  <si>
    <t>ES0031408323131005HX0F,2023/05/17,19:00,0.288,Estimada,</t>
  </si>
  <si>
    <t>ES0031408323131005HX0F,2023/05/17,20:00,0.302,Estimada,</t>
  </si>
  <si>
    <t>ES0031408323131005HX0F,2023/05/17,21:00,0.335,Estimada,</t>
  </si>
  <si>
    <t>ES0031408323131005HX0F,2023/05/17,22:00,0.386,Estimada,</t>
  </si>
  <si>
    <t>ES0031408323131005HX0F,2023/05/17,23:00,0.353,Estimada,</t>
  </si>
  <si>
    <t>ES0031408323131005HX0F,2023/05/17,24:00,0.293,Estimada,</t>
  </si>
  <si>
    <t>ES0031408323131005HX0F,2023/05/18,01:00,0.25,Estimada,</t>
  </si>
  <si>
    <t>ES0031408323131005HX0F,2023/05/18,02:00,0.207,Estimada,</t>
  </si>
  <si>
    <t>ES0031408323131005HX0F,2023/05/18,03:00,0.185,Estimada,</t>
  </si>
  <si>
    <t>ES0031408323131005HX0F,2023/05/18,04:00,0.175,Estimada,</t>
  </si>
  <si>
    <t>ES0031408323131005HX0F,2023/05/18,05:00,0.171,Estimada,</t>
  </si>
  <si>
    <t>ES0031408323131005HX0F,2023/05/18,06:00,0.175,Estimada,</t>
  </si>
  <si>
    <t>ES0031408323131005HX0F,2023/05/18,07:00,0.192,Estimada,</t>
  </si>
  <si>
    <t>ES0031408323131005HX0F,2023/05/18,08:00,0.229,Estimada,</t>
  </si>
  <si>
    <t>ES0031408323131005HX0F,2023/05/18,09:00,0.253,Estimada,</t>
  </si>
  <si>
    <t>ES0031408323131005HX0F,2023/05/18,10:00,0.268,Estimada,</t>
  </si>
  <si>
    <t>ES0031408323131005HX0F,2023/05/18,11:00,0.295,Estimada,</t>
  </si>
  <si>
    <t>ES0031408323131005HX0F,2023/05/18,12:00,0.301,Estimada,</t>
  </si>
  <si>
    <t>ES0031408323131005HX0F,2023/05/18,13:00,0.311,Estimada,</t>
  </si>
  <si>
    <t>ES0031408323131005HX0F,2023/05/18,14:00,0.331,Estimada,</t>
  </si>
  <si>
    <t>ES0031408323131005HX0F,2023/05/18,15:00,0.311,Estimada,</t>
  </si>
  <si>
    <t>ES0031408323131005HX0F,2023/05/18,16:00,0.285,Estimada,</t>
  </si>
  <si>
    <t>ES0031408323131005HX0F,2023/05/18,17:00,0.269,Estimada,</t>
  </si>
  <si>
    <t>ES0031408323131005HX0F,2023/05/18,18:00,0.27,Estimada,</t>
  </si>
  <si>
    <t>ES0031408323131005HX0F,2023/05/18,19:00,0.289,Estimada,</t>
  </si>
  <si>
    <t>ES0031408323131005HX0F,2023/05/18,20:00,0.303,Estimada,</t>
  </si>
  <si>
    <t>ES0031408323131005HX0F,2023/05/18,21:00,0.337,Estimada,</t>
  </si>
  <si>
    <t>ES0031408323131005HX0F,2023/05/18,22:00,0.388,Estimada,</t>
  </si>
  <si>
    <t>ES0031408323131005HX0F,2023/05/18,23:00,0.355,Estimada,</t>
  </si>
  <si>
    <t>ES0031408323131005HX0F,2023/05/18,24:00,0.294,Estimada,</t>
  </si>
  <si>
    <t>ES0031408323131005HX0F,2023/05/19,01:00,0.251,Estimada,</t>
  </si>
  <si>
    <t>ES0031408323131005HX0F,2023/05/19,02:00,0.209,Estimada,</t>
  </si>
  <si>
    <t>ES0031408323131005HX0F,2023/05/19,03:00,0.185,Estimada,</t>
  </si>
  <si>
    <t>ES0031408323131005HX0F,2023/05/19,04:00,0.175,Estimada,</t>
  </si>
  <si>
    <t>ES0031408323131005HX0F,2023/05/19,05:00,0.171,Estimada,</t>
  </si>
  <si>
    <t>ES0031408323131005HX0F,2023/05/19,06:00,0.175,Estimada,</t>
  </si>
  <si>
    <t>ES0031408323131005HX0F,2023/05/19,07:00,0.192,Estimada,</t>
  </si>
  <si>
    <t>ES0031408323131005HX0F,2023/05/19,08:00,0.229,Estimada,</t>
  </si>
  <si>
    <t>ES0031408323131005HX0F,2023/05/19,09:00,0.254,Estimada,</t>
  </si>
  <si>
    <t>ES0031408323131005HX0F,2023/05/19,10:00,0.271,Estimada,</t>
  </si>
  <si>
    <t>ES0031408323131005HX0F,2023/05/19,11:00,0.299,Estimada,</t>
  </si>
  <si>
    <t>ES0031408323131005HX0F,2023/05/19,12:00,0.303,Estimada,</t>
  </si>
  <si>
    <t>ES0031408323131005HX0F,2023/05/19,13:00,0.313,Estimada,</t>
  </si>
  <si>
    <t>ES0031408323131005HX0F,2023/05/19,14:00,0.33,Estimada,</t>
  </si>
  <si>
    <t>ES0031408323131005HX0F,2023/05/19,15:00,0.313,Estimada,</t>
  </si>
  <si>
    <t>ES0031408323131005HX0F,2023/05/19,16:00,0.288,Estimada,</t>
  </si>
  <si>
    <t>ES0031408323131005HX0F,2023/05/19,17:00,0.273,Estimada,</t>
  </si>
  <si>
    <t>ES0031408323131005HX0F,2023/05/19,18:00,0.272,Estimada,</t>
  </si>
  <si>
    <t>ES0031408323131005HX0F,2023/05/19,19:00,0.287,Estimada,</t>
  </si>
  <si>
    <t>ES0031408323131005HX0F,2023/05/19,20:00,0.292,Estimada,</t>
  </si>
  <si>
    <t>ES0031408323131005HX0F,2023/05/19,21:00,0.311,Estimada,</t>
  </si>
  <si>
    <t>ES0031408323131005HX0F,2023/05/19,22:00,0.361,Estimada,</t>
  </si>
  <si>
    <t>ES0031408323131005HX0F,2023/05/19,23:00,0.343,Estimada,</t>
  </si>
  <si>
    <t>ES0031408323131005HX0F,2023/05/19,24:00,0.298,Estimada,</t>
  </si>
  <si>
    <t>ES0031408323131005HX0F,2023/05/20,01:00,0.263,Estimada,</t>
  </si>
  <si>
    <t>ES0031408323131005HX0F,2023/05/20,02:00,0.221,Estimada,</t>
  </si>
  <si>
    <t>ES0031408323131005HX0F,2023/05/20,03:00,0.194,Estimada,</t>
  </si>
  <si>
    <t>ES0031408323131005HX0F,2023/05/20,04:00,0.18,Estimada,</t>
  </si>
  <si>
    <t>ES0031408323131005HX0F,2023/05/20,05:00,0.174,Estimada,</t>
  </si>
  <si>
    <t>ES0031408323131005HX0F,2023/05/20,06:00,0.173,Estimada,</t>
  </si>
  <si>
    <t>ES0031408323131005HX0F,2023/05/20,07:00,0.175,Estimada,</t>
  </si>
  <si>
    <t>ES0031408323131005HX0F,2023/05/20,08:00,0.182,Estimada,</t>
  </si>
  <si>
    <t>ES0031408323131005HX0F,2023/05/20,09:00,0.229,Estimada,</t>
  </si>
  <si>
    <t>ES0031408323131005HX0F,2023/05/20,10:00,0.285,Estimada,</t>
  </si>
  <si>
    <t>ES0031408323131005HX0F,2023/05/20,11:00,0.32,Estimada,</t>
  </si>
  <si>
    <t>ES0031408323131005HX0F,2023/05/20,12:00,0.328,Estimada,</t>
  </si>
  <si>
    <t>ES0031408323131005HX0F,2023/05/20,13:00,0.332,Estimada,</t>
  </si>
  <si>
    <t>ES0031408323131005HX0F,2023/05/20,14:00,0.35,Estimada,</t>
  </si>
  <si>
    <t>ES0031408323131005HX0F,2023/05/20,15:00,0.344,Estimada,</t>
  </si>
  <si>
    <t>ES0031408323131005HX0F,2023/05/20,16:00,0.301,Estimada,</t>
  </si>
  <si>
    <t>ES0031408323131005HX0F,2023/05/20,17:00,0.275,Estimada,</t>
  </si>
  <si>
    <t>ES0031408323131005HX0F,2023/05/20,18:00,0.267,Estimada,</t>
  </si>
  <si>
    <t>ES0031408323131005HX0F,2023/05/20,19:00,0.267,Estimada,</t>
  </si>
  <si>
    <t>ES0031408323131005HX0F,2023/05/20,20:00,0.271,Estimada,</t>
  </si>
  <si>
    <t>ES0031408323131005HX0F,2023/05/20,21:00,0.291,Estimada,</t>
  </si>
  <si>
    <t>ES0031408323131005HX0F,2023/05/20,22:00,0.344,Estimada,</t>
  </si>
  <si>
    <t>ES0031408323131005HX0F,2023/05/20,23:00,0.35,Estimada,</t>
  </si>
  <si>
    <t>ES0031408323131005HX0F,2023/05/20,24:00,0.309,Estimada,</t>
  </si>
  <si>
    <t>ES0031408323131005HX0F,2023/05/21,01:00,0.268,Estimada,</t>
  </si>
  <si>
    <t>ES0031408323131005HX0F,2023/05/21,02:00,0.228,Estimada,</t>
  </si>
  <si>
    <t>ES0031408323131005HX0F,2023/05/21,03:00,0.199,Estimada,</t>
  </si>
  <si>
    <t>ES0031408323131005HX0F,2023/05/21,04:00,0.184,Estimada,</t>
  </si>
  <si>
    <t>ES0031408323131005HX0F,2023/05/21,05:00,0.177,Estimada,</t>
  </si>
  <si>
    <t>ES0031408323131005HX0F,2023/05/21,06:00,0.175,Estimada,</t>
  </si>
  <si>
    <t>ES0031408323131005HX0F,2023/05/21,07:00,0.173,Estimada,</t>
  </si>
  <si>
    <t>ES0031408323131005HX0F,2023/05/21,08:00,0.173,Estimada,</t>
  </si>
  <si>
    <t>ES0031408323131005HX0F,2023/05/21,09:00,0.211,Estimada,</t>
  </si>
  <si>
    <t>ES0031408323131005HX0F,2023/05/21,10:00,0.267,Estimada,</t>
  </si>
  <si>
    <t>ES0031408323131005HX0F,2023/05/21,11:00,0.312,Estimada,</t>
  </si>
  <si>
    <t>ES0031408323131005HX0F,2023/05/21,12:00,0.33,Estimada,</t>
  </si>
  <si>
    <t>ES0031408323131005HX0F,2023/05/21,13:00,0.336,Estimada,</t>
  </si>
  <si>
    <t>ES0031408323131005HX0F,2023/05/21,14:00,0.351,Estimada,</t>
  </si>
  <si>
    <t>ES0031408323131005HX0F,2023/05/21,15:00,0.344,Estimada,</t>
  </si>
  <si>
    <t>ES0031408323131005HX0F,2023/05/21,16:00,0.298,Estimada,</t>
  </si>
  <si>
    <t>ES0031408323131005HX0F,2023/05/21,17:00,0.272,Estimada,</t>
  </si>
  <si>
    <t>ES0031408323131005HX0F,2023/05/21,18:00,0.265,Estimada,</t>
  </si>
  <si>
    <t>ES0031408323131005HX0F,2023/05/21,19:00,0.271,Estimada,</t>
  </si>
  <si>
    <t>ES0031408323131005HX0F,2023/05/21,20:00,0.284,Estimada,</t>
  </si>
  <si>
    <t>ES0031408323131005HX0F,2023/05/21,21:00,0.317,Estimada,</t>
  </si>
  <si>
    <t>ES0031408323131005HX0F,2023/05/21,22:00,0.372,Estimada,</t>
  </si>
  <si>
    <t>ES0031408323131005HX0F,2023/05/21,23:00,0.368,Estimada,</t>
  </si>
  <si>
    <t>ES0031408323131005HX0F,2023/05/21,24:00,0.312,Estimada,</t>
  </si>
  <si>
    <t>ES0031408323131005HX0F,2023/05/22,01:00,0.249,Estimada,</t>
  </si>
  <si>
    <t>ES0031408323131005HX0F,2023/05/22,02:00,0.208,Estimada,</t>
  </si>
  <si>
    <t>ES0031408323131005HX0F,2023/05/22,03:00,0.185,Estimada,</t>
  </si>
  <si>
    <t>ES0031408323131005HX0F,2023/05/22,04:00,0.174,Estimada,</t>
  </si>
  <si>
    <t>ES0031408323131005HX0F,2023/05/22,05:00,0.17,Estimada,</t>
  </si>
  <si>
    <t>ES0031408323131005HX0F,2023/05/22,06:00,0.174,Estimada,</t>
  </si>
  <si>
    <t>ES0031408323131005HX0F,2023/05/22,07:00,0.189,Estimada,</t>
  </si>
  <si>
    <t>ES0031408323131005HX0F,2023/05/22,08:00,0.224,Estimada,</t>
  </si>
  <si>
    <t>ES0031408323131005HX0F,2023/05/22,09:00,0.248,Estimada,</t>
  </si>
  <si>
    <t>ES0031408323131005HX0F,2023/05/22,10:00,0.268,Estimada,</t>
  </si>
  <si>
    <t>ES0031408323131005HX0F,2023/05/22,11:00,0.299,Estimada,</t>
  </si>
  <si>
    <t>ES0031408323131005HX0F,2023/05/22,12:00,0.306,Estimada,</t>
  </si>
  <si>
    <t>ES0031408323131005HX0F,2023/05/22,13:00,0.317,Estimada,</t>
  </si>
  <si>
    <t>ES0031408323131005HX0F,2023/05/22,14:00,0.337,Estimada,</t>
  </si>
  <si>
    <t>ES0031408323131005HX0F,2023/05/22,15:00,0.317,Estimada,</t>
  </si>
  <si>
    <t>ES0031408323131005HX0F,2023/05/22,16:00,0.289,Estimada,</t>
  </si>
  <si>
    <t>ES0031408323131005HX0F,2023/05/22,17:00,0.272,Estimada,</t>
  </si>
  <si>
    <t>ES0031408323131005HX0F,2023/05/22,18:00,0.272,Estimada,</t>
  </si>
  <si>
    <t>ES0031408323131005HX0F,2023/05/22,19:00,0.291,Estimada,</t>
  </si>
  <si>
    <t>ES0031408323131005HX0F,2023/05/22,20:00,0.305,Estimada,</t>
  </si>
  <si>
    <t>ES0031408323131005HX0F,2023/05/22,21:00,0.339,Estimada,</t>
  </si>
  <si>
    <t>ES0031408323131005HX0F,2023/05/22,22:00,0.388,Estimada,</t>
  </si>
  <si>
    <t>ES0031408323131005HX0F,2023/05/22,23:00,0.355,Estimada,</t>
  </si>
  <si>
    <t>ES0031408323131005HX0F,2023/05/22,24:00,0.292,Estimada,</t>
  </si>
  <si>
    <t>ES0031408323131005HX0F,2023/05/23,01:00,0.246,Estimada,</t>
  </si>
  <si>
    <t>ES0031408323131005HX0F,2023/05/23,02:00,0.205,Estimada,</t>
  </si>
  <si>
    <t>ES0031408323131005HX0F,2023/05/23,03:00,0.183,Estimada,</t>
  </si>
  <si>
    <t>ES0031408323131005HX0F,2023/05/23,04:00,0.173,Estimada,</t>
  </si>
  <si>
    <t>ES0031408323131005HX0F,2023/05/23,05:00,0.17,Estimada,</t>
  </si>
  <si>
    <t>ES0031408323131005HX0F,2023/05/23,06:00,0.174,Estimada,</t>
  </si>
  <si>
    <t>ES0031408323131005HX0F,2023/05/23,07:00,0.191,Estimada,</t>
  </si>
  <si>
    <t>ES0031408323131005HX0F,2023/05/23,08:00,0.229,Estimada,</t>
  </si>
  <si>
    <t>ES0031408323131005HX0F,2023/05/23,09:00,0.254,Estimada,</t>
  </si>
  <si>
    <t>ES0031408323131005HX0F,2023/05/23,10:00,0.269,Estimada,</t>
  </si>
  <si>
    <t>ES0031408323131005HX0F,2023/05/23,11:00,0.296,Estimada,</t>
  </si>
  <si>
    <t>ES0031408323131005HX0F,2023/05/23,12:00,0.302,Estimada,</t>
  </si>
  <si>
    <t>ES0031408323131005HX0F,2023/05/23,13:00,0.313,Estimada,</t>
  </si>
  <si>
    <t>ES0031408323131005HX0F,2023/05/23,14:00,0.332,Estimada,</t>
  </si>
  <si>
    <t>ES0031408323131005HX0F,2023/05/23,15:00,0.312,Estimada,</t>
  </si>
  <si>
    <t>ES0031408323131005HX0F,2023/05/23,16:00,0.285,Estimada,</t>
  </si>
  <si>
    <t>ES0031408323131005HX0F,2023/05/23,17:00,0.27,Estimada,</t>
  </si>
  <si>
    <t>ES0031408323131005HX0F,2023/05/23,18:00,0.271,Estimada,</t>
  </si>
  <si>
    <t>ES0031408323131005HX0F,2023/05/23,19:00,0.289,Estimada,</t>
  </si>
  <si>
    <t>ES0031408323131005HX0F,2023/05/23,20:00,0.302,Estimada,</t>
  </si>
  <si>
    <t>ES0031408323131005HX0F,2023/05/23,21:00,0.335,Estimada,</t>
  </si>
  <si>
    <t>ES0031408323131005HX0F,2023/05/23,22:00,0.383,Estimada,</t>
  </si>
  <si>
    <t>ES0031408323131005HX0F,2023/05/23,23:00,0.354,Estimada,</t>
  </si>
  <si>
    <t>ES0031408323131005HX0F,2023/05/23,24:00,0.293,Estimada,</t>
  </si>
  <si>
    <t>ES0031408323131005HX0F,2023/05/24,01:00,0.248,Estimada,</t>
  </si>
  <si>
    <t>ES0031408323131005HX0F,2023/05/24,02:00,0.206,Estimada,</t>
  </si>
  <si>
    <t>ES0031408323131005HX0F,2023/05/24,03:00,0.184,Estimada,</t>
  </si>
  <si>
    <t>ES0031408323131005HX0F,2023/05/24,04:00,0.174,Estimada,</t>
  </si>
  <si>
    <t>ES0031408323131005HX0F,2023/05/24,05:00,0.171,Estimada,</t>
  </si>
  <si>
    <t>ES0031408323131005HX0F,2023/05/24,06:00,0.175,Estimada,</t>
  </si>
  <si>
    <t>ES0031408323131005HX0F,2023/05/24,07:00,0.192,Estimada,</t>
  </si>
  <si>
    <t>ES0031408323131005HX0F,2023/05/24,08:00,0.23,Estimada,</t>
  </si>
  <si>
    <t>ES0031408323131005HX0F,2023/05/24,09:00,0.254,Estimada,</t>
  </si>
  <si>
    <t>ES0031408323131005HX0F,2023/05/24,10:00,0.269,Estimada,</t>
  </si>
  <si>
    <t>ES0031408323131005HX0F,2023/05/24,11:00,0.296,Estimada,</t>
  </si>
  <si>
    <t>ES0031408323131005HX0F,2023/05/24,12:00,0.301,Estimada,</t>
  </si>
  <si>
    <t>ES0031408323131005HX0F,2023/05/24,13:00,0.313,Estimada,</t>
  </si>
  <si>
    <t>ES0031408323131005HX0F,2023/05/24,14:00,0.332,Estimada,</t>
  </si>
  <si>
    <t>ES0031408323131005HX0F,2023/05/24,15:00,0.312,Estimada,</t>
  </si>
  <si>
    <t>ES0031408323131005HX0F,2023/05/24,16:00,0.285,Estimada,</t>
  </si>
  <si>
    <t>ES0031408323131005HX0F,2023/05/24,17:00,0.27,Estimada,</t>
  </si>
  <si>
    <t>ES0031408323131005HX0F,2023/05/24,18:00,0.271,Estimada,</t>
  </si>
  <si>
    <t>ES0031408323131005HX0F,2023/05/24,19:00,0.289,Estimada,</t>
  </si>
  <si>
    <t>ES0031408323131005HX0F,2023/05/24,20:00,0.303,Estimada,</t>
  </si>
  <si>
    <t>ES0031408323131005HX0F,2023/05/24,21:00,0.336,Estimada,</t>
  </si>
  <si>
    <t>ES0031408323131005HX0F,2023/05/24,22:00,0.384,Estimada,</t>
  </si>
  <si>
    <t>ES0031408323131005HX0F,2023/05/24,23:00,0.354,Estimada,</t>
  </si>
  <si>
    <t>ES0031408323131005HX0F,2023/05/24,24:00,0.294,Estimada,</t>
  </si>
  <si>
    <t>ES0031408323131005HX0F,2023/05/25,01:00,0.185,Estimada,</t>
  </si>
  <si>
    <t>ES0031408323131005HX0F,2023/05/25,02:00,0.153,Estimada,</t>
  </si>
  <si>
    <t>ES0031408323131005HX0F,2023/05/25,03:00,0.137,Estimada,</t>
  </si>
  <si>
    <t>ES0031408323131005HX0F,2023/05/25,04:00,0.129,Estimada,</t>
  </si>
  <si>
    <t>ES0031408323131005HX0F,2023/05/25,05:00,0.127,Estimada,</t>
  </si>
  <si>
    <t>ES0031408323131005HX0F,2023/05/25,06:00,0.129,Estimada,</t>
  </si>
  <si>
    <t>ES0031408323131005HX0F,2023/05/25,07:00,0.141,Estimada,</t>
  </si>
  <si>
    <t>ES0031408323131005HX0F,2023/05/25,08:00,0.456,Real,</t>
  </si>
  <si>
    <t>ES0031408323131005HX0F,2023/05/25,09:00,0.218,Real,</t>
  </si>
  <si>
    <t>ES0031408323131005HX0F,2023/05/25,10:00,0.091,Real,</t>
  </si>
  <si>
    <t>ES0031408323131005HX0F,2023/05/25,11:00,0.111,Real,</t>
  </si>
  <si>
    <t>ES0031408323131005HX0F,2023/05/25,12:00,0.117,Real,</t>
  </si>
  <si>
    <t>ES0031408323131005HX0F,2023/05/25,13:00,0.108,Real,</t>
  </si>
  <si>
    <t>ES0031408323131005HX0F,2023/05/25,14:00,0.933,Real,</t>
  </si>
  <si>
    <t>ES0031408323131005HX0F,2023/05/25,15:00,1.424,Real,</t>
  </si>
  <si>
    <t>ES0031408323131005HX0F,2023/05/25,16:00,0.109,Real,</t>
  </si>
  <si>
    <t>ES0031408323131005HX0F,2023/05/25,17:00,0.297,Real,</t>
  </si>
  <si>
    <t>ES0031408323131005HX0F,2023/05/25,18:00,0.08,Real,</t>
  </si>
  <si>
    <t>ES0031408323131005HX0F,2023/05/25,19:00,0.06,Real,</t>
  </si>
  <si>
    <t>ES0031408323131005HX0F,2023/05/25,20:00,0.078,Real,</t>
  </si>
  <si>
    <t>ES0031408323131005HX0F,2023/05/25,21:00,0.018,Real,</t>
  </si>
  <si>
    <t>ES0031408323131005HX0F,2023/05/25,22:00,0.088,Real,</t>
  </si>
  <si>
    <t>ES0031408323131005HX0F,2023/05/25,23:00,0.36,Real,</t>
  </si>
  <si>
    <t>ES0031408323131005HX0F,2023/05/25,24:00,0.687,Real,</t>
  </si>
  <si>
    <t>ES0031408323131005HX0F,2023/05/26,01:00,0.123,Real,</t>
  </si>
  <si>
    <t>ES0031408323131005HX0F,2023/05/26,02:00,0.117,Real,</t>
  </si>
  <si>
    <t>ES0031408323131005HX0F,2023/05/26,03:00,0.091,Real,</t>
  </si>
  <si>
    <t>ES0031408323131005HX0F,2023/05/26,04:00,0.027,Real,</t>
  </si>
  <si>
    <t>ES0031408323131005HX0F,2023/05/26,05:00,0.346,Real,</t>
  </si>
  <si>
    <t>ES0031408323131005HX0F,2023/05/26,06:00,0.076,Real,</t>
  </si>
  <si>
    <t>ES0031408323131005HX0F,2023/05/26,07:00,0.039,Real,</t>
  </si>
  <si>
    <t>ES0031408323131005HX0F,2023/05/26,08:00,0.138,Real,</t>
  </si>
  <si>
    <t>ES0031408323131005HX0F,2023/05/26,09:00,0.358,Real,</t>
  </si>
  <si>
    <t>ES0031408323131005HX0F,2023/05/26,10:00,0.581,Real,</t>
  </si>
  <si>
    <t>ES0031408323131005HX0F,2023/05/26,11:00,0.128,Real,</t>
  </si>
  <si>
    <t>ES0031408323131005HX0F,2023/05/26,12:00,0.412,Real,</t>
  </si>
  <si>
    <t>ES0031408323131005HX0F,2023/05/26,13:00,2.006,Real,</t>
  </si>
  <si>
    <t>ES0031408323131005HX0F,2023/05/26,14:00,0.073,Real,</t>
  </si>
  <si>
    <t>ES0031408323131005HX0F,2023/05/26,15:00,0.073,Real,</t>
  </si>
  <si>
    <t>ES0031408323131005HX0F,2023/05/26,16:00,0.065,Real,</t>
  </si>
  <si>
    <t>ES0031408323131005HX0F,2023/05/26,17:00,0.044,Real,</t>
  </si>
  <si>
    <t>ES0031408323131005HX0F,2023/05/26,18:00,0.048,Real,</t>
  </si>
  <si>
    <t>ES0031408323131005HX0F,2023/05/26,19:00,0.37,Real,</t>
  </si>
  <si>
    <t>ES0031408323131005HX0F,2023/05/26,20:00,0.05,Real,</t>
  </si>
  <si>
    <t>ES0031408323131005HX0F,2023/05/26,21:00,0.036,Real,</t>
  </si>
  <si>
    <t>ES0031408323131005HX0F,2023/05/26,22:00,0.094,Real,</t>
  </si>
  <si>
    <t>ES0031408323131005HX0F,2023/05/26,23:00,0.089,Real,</t>
  </si>
  <si>
    <t>ES0031408323131005HX0F,2023/05/26,24:00,0.49,Real,</t>
  </si>
  <si>
    <t>ES0031408323131005HX0F,2023/05/27,01:00,0.39,Real,</t>
  </si>
  <si>
    <t>ES0031408323131005HX0F,2023/05/27,02:00,1.58,Real,</t>
  </si>
  <si>
    <t>ES0031408323131005HX0F,2023/05/27,03:00,0.083,Real,</t>
  </si>
  <si>
    <t>ES0031408323131005HX0F,2023/05/27,04:00,0.065,Real,</t>
  </si>
  <si>
    <t>ES0031408323131005HX0F,2023/05/27,05:00,0.087,Real,</t>
  </si>
  <si>
    <t>ES0031408323131005HX0F,2023/05/27,06:00,0.054,Real,</t>
  </si>
  <si>
    <t>ES0031408323131005HX0F,2023/05/27,07:00,0.062,Real,</t>
  </si>
  <si>
    <t>ES0031408323131005HX0F,2023/05/27,08:00,0.369,Real,</t>
  </si>
  <si>
    <t>ES0031408323131005HX0F,2023/05/27,09:00,0.531,Real,</t>
  </si>
  <si>
    <t>ES0031408323131005HX0F,2023/05/27,10:00,0.025,Real,</t>
  </si>
  <si>
    <t>ES0031408323131005HX0F,2023/05/27,11:00,0.175,Real,</t>
  </si>
  <si>
    <t>ES0031408323131005HX0F,2023/05/27,12:00,0.29,Real,</t>
  </si>
  <si>
    <t>ES0031408323131005HX0F,2023/05/27,13:00,0.049,Real,</t>
  </si>
  <si>
    <t>ES0031408323131005HX0F,2023/05/27,14:00,0.667,Real,</t>
  </si>
  <si>
    <t>ES0031408323131005HX0F,2023/05/27,15:00,0.163,Real,</t>
  </si>
  <si>
    <t>ES0031408323131005HX0F,2023/05/27,16:00,0.114,Real,</t>
  </si>
  <si>
    <t>ES0031408323131005HX0F,2023/05/27,17:00,0.177,Real,</t>
  </si>
  <si>
    <t>ES0031408323131005HX0F,2023/05/27,18:00,0.075,Real,</t>
  </si>
  <si>
    <t>ES0031408323131005HX0F,2023/05/27,19:00,0.023,Real,</t>
  </si>
  <si>
    <t>ES0031408323131005HX0F,2023/05/27,20:00,0.074,Real,</t>
  </si>
  <si>
    <t>ES0031408323131005HX0F,2023/05/27,21:00,0.357,Real,</t>
  </si>
  <si>
    <t>ES0031408323131005HX0F,2023/05/27,22:00,0.034,Real,</t>
  </si>
  <si>
    <t>ES0031408323131005HX0F,2023/05/27,23:00,0.22,Real,</t>
  </si>
  <si>
    <t>ES0031408323131005HX0F,2023/05/27,24:00,0.706,Real,</t>
  </si>
  <si>
    <t>ES0031408323131005HX0F,2023/05/28,01:00,0.102,Real,</t>
  </si>
  <si>
    <t>ES0031408323131005HX0F,2023/05/28,02:00,0.115,Real,</t>
  </si>
  <si>
    <t>ES0031408323131005HX0F,2023/05/28,03:00,0.118,Real,</t>
  </si>
  <si>
    <t>ES0031408323131005HX0F,2023/05/28,04:00,0.047,Real,</t>
  </si>
  <si>
    <t>ES0031408323131005HX0F,2023/05/28,05:00,0.32,Real,</t>
  </si>
  <si>
    <t>ES0031408323131005HX0F,2023/05/28,06:00,0.086,Real,</t>
  </si>
  <si>
    <t>ES0031408323131005HX0F,2023/05/28,07:00,0.042,Real,</t>
  </si>
  <si>
    <t>ES0031408323131005HX0F,2023/05/28,08:00,0.054,Real,</t>
  </si>
  <si>
    <t>ES0031408323131005HX0F,2023/05/28,09:00,0.742,Real,</t>
  </si>
  <si>
    <t>ES0031408323131005HX0F,2023/05/28,10:00,0.272,Real,</t>
  </si>
  <si>
    <t>ES0031408323131005HX0F,2023/05/28,11:00,0.017,Real,</t>
  </si>
  <si>
    <t>ES0031408323131005HX0F,2023/05/28,12:00,0.105,Real,</t>
  </si>
  <si>
    <t>ES0031408323131005HX0F,2023/05/28,13:00,0.325,Real,</t>
  </si>
  <si>
    <t>ES0031408323131005HX0F,2023/05/28,14:00,0.017,Real,</t>
  </si>
  <si>
    <t>ES0031408323131005HX0F,2023/05/28,15:00,0.102,Real,</t>
  </si>
  <si>
    <t>ES0031408323131005HX0F,2023/05/28,16:00,0.061,Real,</t>
  </si>
  <si>
    <t>ES0031408323131005HX0F,2023/05/28,17:00,0.017,Real,</t>
  </si>
  <si>
    <t>ES0031408323131005HX0F,2023/05/28,18:00,0.099,Real,</t>
  </si>
  <si>
    <t>ES0031408323131005HX0F,2023/05/28,19:00,0.064,Real,</t>
  </si>
  <si>
    <t>ES0031408323131005HX0F,2023/05/28,20:00,0.279,Real,</t>
  </si>
  <si>
    <t>ES0031408323131005HX0F,2023/05/28,21:00,0.096,Real,</t>
  </si>
  <si>
    <t>ES0031408323131005HX0F,2023/05/28,22:00,0.093,Real,</t>
  </si>
  <si>
    <t>ES0031408323131005HX0F,2023/05/28,23:00,0.358,Real,</t>
  </si>
  <si>
    <t>ES0031408323131005HX0F,2023/05/28,24:00,0.329,Real,</t>
  </si>
  <si>
    <t>ES0031408323131005HX0F,2023/05/29,01:00,0.728,Real,</t>
  </si>
  <si>
    <t>ES0031408323131005HX0F,2023/05/29,02:00,0.099,Real,</t>
  </si>
  <si>
    <t>ES0031408323131005HX0F,2023/05/29,03:00,0.11,Real,</t>
  </si>
  <si>
    <t>ES0031408323131005HX0F,2023/05/29,04:00,0.114,Real,</t>
  </si>
  <si>
    <t>ES0031408323131005HX0F,2023/05/29,05:00,0.315,Real,</t>
  </si>
  <si>
    <t>ES0031408323131005HX0F,2023/05/29,06:00,0.032,Real,</t>
  </si>
  <si>
    <t>ES0031408323131005HX0F,2023/05/29,07:00,0.115,Real,</t>
  </si>
  <si>
    <t>ES0031408323131005HX0F,2023/05/29,08:00,0.125,Real,</t>
  </si>
  <si>
    <t>ES0031408323131005HX0F,2023/05/29,09:00,0.481,Real,</t>
  </si>
  <si>
    <t>ES0031408323131005HX0F,2023/05/29,10:00,0.477,Real,</t>
  </si>
  <si>
    <t>ES0031408323131005HX0F,2023/05/29,11:00,0.426,Real,</t>
  </si>
  <si>
    <t>ES0031408323131005HX0F,2023/05/29,12:00,2.096,Real,</t>
  </si>
  <si>
    <t>ES0031408323131005HX0F,2023/05/29,13:00,0.612,Real,</t>
  </si>
  <si>
    <t>ES0031408323131005HX0F,2023/05/29,14:00,0.107,Real,</t>
  </si>
  <si>
    <t>ES0031408323131005HX0F,2023/05/29,15:00,0.062,Real,</t>
  </si>
  <si>
    <t>ES0031408323131005HX0F,2023/05/29,16:00,0.015,Real,</t>
  </si>
  <si>
    <t>ES0031408323131005HX0F,2023/05/29,17:00,0.082,Real,</t>
  </si>
  <si>
    <t>ES0031408323131005HX0F,2023/05/29,18:00,0.326,Real,</t>
  </si>
  <si>
    <t>ES0031408323131005HX0F,2023/05/29,19:00,0.05,Real,</t>
  </si>
  <si>
    <t>ES0031408323131005HX0F,2023/05/29,20:00,0.119,Real,</t>
  </si>
  <si>
    <t>ES0031408323131005HX0F,2023/05/29,21:00,0.089,Real,</t>
  </si>
  <si>
    <t>ES0031408323131005HX0F,2023/05/29,22:00,0.053,Real,</t>
  </si>
  <si>
    <t>ES0031408323131005HX0F,2023/05/29,23:00,0.815,Real,</t>
  </si>
  <si>
    <t>ES0031408323131005HX0F,2023/05/29,24:00,1.017,Real,</t>
  </si>
  <si>
    <t>ES0031408323131005HX0F,2023/05/30,01:00,0.588,Real,</t>
  </si>
  <si>
    <t>ES0031408323131005HX0F,2023/05/30,02:00,0.106,Real,</t>
  </si>
  <si>
    <t>ES0031408323131005HX0F,2023/05/30,03:00,0.028,Real,</t>
  </si>
  <si>
    <t>ES0031408323131005HX0F,2023/05/30,04:00,0.11,Real,</t>
  </si>
  <si>
    <t>ES0031408323131005HX0F,2023/05/30,05:00,0.052,Real,</t>
  </si>
  <si>
    <t>ES0031408323131005HX0F,2023/05/30,06:00,0.295,Real,</t>
  </si>
  <si>
    <t>ES0031408323131005HX0F,2023/05/30,07:00,0.371,Real,</t>
  </si>
  <si>
    <t>ES0031408323131005HX0F,2023/05/30,08:00,0.291,Real,</t>
  </si>
  <si>
    <t>ES0031408323131005HX0F,2023/05/30,09:00,0.351,Real,</t>
  </si>
  <si>
    <t>ES0031408323131005HX0F,2023/05/30,10:00,0.074,Real,</t>
  </si>
  <si>
    <t>ES0031408323131005HX0F,2023/05/30,11:00,0.053,Real,</t>
  </si>
  <si>
    <t>ES0031408323131005HX0F,2023/05/30,12:00,0.063,Real,</t>
  </si>
  <si>
    <t>ES0031408323131005HX0F,2023/05/30,13:00,0.064,Real,</t>
  </si>
  <si>
    <t>ES0031408323131005HX0F,2023/05/30,14:00,0.04,Real,</t>
  </si>
  <si>
    <t>ES0031408323131005HX0F,2023/05/30,15:00,0.349,Real,</t>
  </si>
  <si>
    <t>ES0031408323131005HX0F,2023/05/30,16:00,0.064,Real,</t>
  </si>
  <si>
    <t>ES0031408323131005HX0F,2023/05/30,17:00,0.022,Real,</t>
  </si>
  <si>
    <t>ES0031408323131005HX0F,2023/05/30,18:00,0.101,Real,</t>
  </si>
  <si>
    <t>ES0031408323131005HX0F,2023/05/30,19:00,0.064,Real,</t>
  </si>
  <si>
    <t>ES0031408323131005HX0F,2023/05/30,20:00,0.024,Real,</t>
  </si>
  <si>
    <t>ES0031408323131005HX0F,2023/05/30,21:00,0.096,Real,</t>
  </si>
  <si>
    <t>ES0031408323131005HX0F,2023/05/30,22:00,0.053,Real,</t>
  </si>
  <si>
    <t>ES0031408323131005HX0F,2023/05/30,23:00,0.341,Real,</t>
  </si>
  <si>
    <t>ES0031408323131005HX0F,2023/05/30,24:00,0.123,Real,</t>
  </si>
  <si>
    <t>ES0031408323131005HX0F,2023/05/31,01:00,0.117,Real,</t>
  </si>
  <si>
    <t>ES0031408323131005HX0F,2023/05/31,02:00,0.057,Real,</t>
  </si>
  <si>
    <t>ES0031408323131005HX0F,2023/05/31,03:00,0.082,Real,</t>
  </si>
  <si>
    <t>ES0031408323131005HX0F,2023/05/31,04:00,0.075,Real,</t>
  </si>
  <si>
    <t>ES0031408323131005HX0F,2023/05/31,05:00,0.05,Real,</t>
  </si>
  <si>
    <t>ES0031408323131005HX0F,2023/05/31,06:00,0.38,Real,</t>
  </si>
  <si>
    <t>ES0031408323131005HX0F,2023/05/31,07:00,0.066,Real,</t>
  </si>
  <si>
    <t>ES0031408323131005HX0F,2023/05/31,08:00,0.031,Real,</t>
  </si>
  <si>
    <t>ES0031408323131005HX0F,2023/05/31,09:00,0.092,Real,</t>
  </si>
  <si>
    <t>ES0031408323131005HX0F,2023/05/31,10:00,0.062,Real,</t>
  </si>
  <si>
    <t>ES0031408323131005HX0F,2023/05/31,11:00,0.015,Real,</t>
  </si>
  <si>
    <t>ES0031408323131005HX0F,2023/05/31,12:00,0.101,Real,</t>
  </si>
  <si>
    <t>ES0031408323131005HX0F,2023/05/31,13:00,0.051,Real,</t>
  </si>
  <si>
    <t>ES0031408323131005HX0F,2023/05/31,14:00,0.339,Real,</t>
  </si>
  <si>
    <t>ES0031408323131005HX0F,2023/05/31,15:00,0.079,Real,</t>
  </si>
  <si>
    <t>ES0031408323131005HX0F,2023/05/31,16:00,0.051,Real,</t>
  </si>
  <si>
    <t>ES0031408323131005HX0F,2023/05/31,17:00,0.059,Real,</t>
  </si>
  <si>
    <t>ES0031408323131005HX0F,2023/05/31,18:00,0.067,Real,</t>
  </si>
  <si>
    <t>ES0031408323131005HX0F,2023/05/31,19:00,0.043,Real,</t>
  </si>
  <si>
    <t>ES0031408323131005HX0F,2023/05/31,20:00,0.081,Real,</t>
  </si>
  <si>
    <t>ES0031408323131005HX0F,2023/05/31,21:00,0.372,Real,</t>
  </si>
  <si>
    <t>ES0031408323131005HX0F,2023/05/31,22:00,0.023,Real,</t>
  </si>
  <si>
    <t>ES0031408323131005HX0F,2023/05/31,23:00,0.063,Real,</t>
  </si>
  <si>
    <t>ES0031408323131005HX0F,2023/05/31,24:00,0.067,Real,</t>
  </si>
  <si>
    <t>ES0031408323131005HX0F,2023/06/01,01:00,0.069,Real,</t>
  </si>
  <si>
    <t>ES0031408323131005HX0F,2023/06/01,02:00,0.01,Real,</t>
  </si>
  <si>
    <t>ES0031408323131005HX0F,2023/06/01,03:00,0.051,Real,</t>
  </si>
  <si>
    <t>ES0031408323131005HX0F,2023/06/01,04:00,0.186,Real,</t>
  </si>
  <si>
    <t>ES0031408323131005HX0F,2023/06/01,05:00,0.289,Real,</t>
  </si>
  <si>
    <t>ES0031408323131005HX0F,2023/06/01,06:00,0.042,Real,</t>
  </si>
  <si>
    <t>ES0031408323131005HX0F,2023/06/01,07:00,0.01,Real,</t>
  </si>
  <si>
    <t>ES0031408323131005HX0F,2023/06/01,08:00,0.093,Real,</t>
  </si>
  <si>
    <t>ES0031408323131005HX0F,2023/06/01,09:00,0.068,Real,</t>
  </si>
  <si>
    <t>ES0031408323131005HX0F,2023/06/01,10:00,0.049,Real,</t>
  </si>
  <si>
    <t>ES0031408323131005HX0F,2023/06/01,11:00,0.01,Real,</t>
  </si>
  <si>
    <t>ES0031408323131005HX0F,2023/06/01,12:00,0.365,Real,</t>
  </si>
  <si>
    <t>ES0031408323131005HX0F,2023/06/01,13:00,0.086,Real,</t>
  </si>
  <si>
    <t>ES0031408323131005HX0F,2023/06/01,14:00,0.059,Real,</t>
  </si>
  <si>
    <t>ES0031408323131005HX0F,2023/06/01,15:00,0.02,Real,</t>
  </si>
  <si>
    <t>ES0031408323131005HX0F,2023/06/01,16:00,0.015,Real,</t>
  </si>
  <si>
    <t>ES0031408323131005HX0F,2023/06/01,17:00,0.113,Real,</t>
  </si>
  <si>
    <t>ES0031408323131005HX0F,2023/06/01,18:00,0.048,Real,</t>
  </si>
  <si>
    <t>ES0031408323131005HX0F,2023/06/01,19:00,0.043,Real,</t>
  </si>
  <si>
    <t>ES0031408323131005HX0F,2023/06/01,20:00,0.315,Real,</t>
  </si>
  <si>
    <t>ES0031408323131005HX0F,2023/06/01,21:00,0.083,Real,</t>
  </si>
  <si>
    <t>ES0031408323131005HX0F,2023/06/01,22:00,0.07,Real,</t>
  </si>
  <si>
    <t>ES0031408323131005HX0F,2023/06/01,23:00,0.055,Real,</t>
  </si>
  <si>
    <t>ES0031408323131005HX0F,2023/06/01,24:00,0.009,Real,</t>
  </si>
  <si>
    <t>ES0031408323131005HX0F,2023/06/02,01:00,0.052,Real,</t>
  </si>
  <si>
    <t>ES0031408323131005HX0F,2023/06/02,02:00,0.09,Real,</t>
  </si>
  <si>
    <t>ES0031408323131005HX0F,2023/06/02,03:00,0.376,Real,</t>
  </si>
  <si>
    <t>ES0031408323131005HX0F,2023/06/02,04:00,0.029,Real,</t>
  </si>
  <si>
    <t>ES0031408323131005HX0F,2023/06/02,05:00,0.043,Real,</t>
  </si>
  <si>
    <t>ES0031408323131005HX0F,2023/06/02,06:00,0.114,Real,</t>
  </si>
  <si>
    <t>ES0031408323131005HX0F,2023/06/02,07:00,0.043,Real,</t>
  </si>
  <si>
    <t>ES0031408323131005HX0F,2023/06/02,08:00,0.042,Real,</t>
  </si>
  <si>
    <t>ES0031408323131005HX0F,2023/06/02,09:00,0.009,Real,</t>
  </si>
  <si>
    <t>ES0031408323131005HX0F,2023/06/02,10:00,0.421,Real,</t>
  </si>
  <si>
    <t>ES0031408323131005HX0F,2023/06/02,11:00,0.07,Real,</t>
  </si>
  <si>
    <t>ES0031408323131005HX0F,2023/06/02,12:00,0.043,Real,</t>
  </si>
  <si>
    <t>ES0031408323131005HX0F,2023/06/02,13:00,0.01,Real,</t>
  </si>
  <si>
    <t>ES0031408323131005HX0F,2023/06/02,14:00,0.063,Real,</t>
  </si>
  <si>
    <t>ES0031408323131005HX0F,2023/06/02,15:00,0.078,Real,</t>
  </si>
  <si>
    <t>ES0031408323131005HX0F,2023/06/02,16:00,0.068,Real,</t>
  </si>
  <si>
    <t>ES0031408323131005HX0F,2023/06/02,17:00,0.01,Real,</t>
  </si>
  <si>
    <t>ES0031408323131005HX0F,2023/06/02,18:00,0.359,Real,</t>
  </si>
  <si>
    <t>ES0031408323131005HX0F,2023/06/02,19:00,0.112,Real,</t>
  </si>
  <si>
    <t>ES0031408323131005HX0F,2023/06/02,20:00,0.037,Real,</t>
  </si>
  <si>
    <t>ES0031408323131005HX0F,2023/06/02,21:00,0.04,Real,</t>
  </si>
  <si>
    <t>ES0031408323131005HX0F,2023/06/02,22:00,0.01,Real,</t>
  </si>
  <si>
    <t>ES0031408323131005HX0F,2023/06/02,23:00,0.102,Real,</t>
  </si>
  <si>
    <t>ES0031408323131005HX0F,2023/06/02,24:00,0.067,Real,</t>
  </si>
  <si>
    <t>ES0031408323131005HX0F,2023/06/03,01:00,0.041,Real,</t>
  </si>
  <si>
    <t>ES0031408323131005HX0F,2023/06/03,02:00,0.329,Real,</t>
  </si>
  <si>
    <t>ES0031408323131005HX0F,2023/06/03,03:00,0.09,Real,</t>
  </si>
  <si>
    <t>ES0031408323131005HX0F,2023/06/03,04:00,0.081,Real,</t>
  </si>
  <si>
    <t>ES0031408323131005HX0F,2023/06/03,05:00,0.069,Real,</t>
  </si>
  <si>
    <t>ES0031408323131005HX0F,2023/06/03,06:00,0.011,Real,</t>
  </si>
  <si>
    <t>ES0031408323131005HX0F,2023/06/03,07:00,0.03,Real,</t>
  </si>
  <si>
    <t>ES0031408323131005HX0F,2023/06/03,08:00,0.112,Real,</t>
  </si>
  <si>
    <t>ES0031408323131005HX0F,2023/06/03,09:00,0.035,Real,</t>
  </si>
  <si>
    <t>ES0031408323131005HX0F,2023/06/03,10:00,0.339,Real,</t>
  </si>
  <si>
    <t>ES0031408323131005HX0F,2023/06/03,11:00,0.01,Real,</t>
  </si>
  <si>
    <t>ES0031408323131005HX0F,2023/06/03,12:00,0.096,Real,</t>
  </si>
  <si>
    <t>ES0031408323131005HX0F,2023/06/03,13:00,0.068,Real,</t>
  </si>
  <si>
    <t>ES0031408323131005HX0F,2023/06/03,14:00,0.046,Real,</t>
  </si>
  <si>
    <t>ES0031408323131005HX0F,2023/06/03,15:00,0.009,Real,</t>
  </si>
  <si>
    <t>ES0031408323131005HX0F,2023/06/03,16:00,0.064,Real,</t>
  </si>
  <si>
    <t>ES0031408323131005HX0F,2023/06/03,17:00,0.393,Real,</t>
  </si>
  <si>
    <t>ES0031408323131005HX0F,2023/06/03,18:00,0.067,Real,</t>
  </si>
  <si>
    <t>ES0031408323131005HX0F,2023/06/03,19:00,0.011,Real,</t>
  </si>
  <si>
    <t>ES0031408323131005HX0F,2023/06/03,20:00,0.03,Real,</t>
  </si>
  <si>
    <t>ES0031408323131005HX0F,2023/06/03,21:00,0.113,Real,</t>
  </si>
  <si>
    <t>ES0031408323131005HX0F,2023/06/03,22:00,0.037,Real,</t>
  </si>
  <si>
    <t>ES0031408323131005HX0F,2023/06/03,23:00,0.042,Real,</t>
  </si>
  <si>
    <t>ES0031408323131005HX0F,2023/06/03,24:00,0.202,Real,</t>
  </si>
  <si>
    <t>ES0031408323131005HX0F,2023/06/04,01:00,0.198,Real,</t>
  </si>
  <si>
    <t>ES0031408323131005HX0F,2023/06/04,02:00,0.068,Real,</t>
  </si>
  <si>
    <t>ES0031408323131005HX0F,2023/06/04,03:00,0.065,Real,</t>
  </si>
  <si>
    <t>ES0031408323131005HX0F,2023/06/04,04:00,0.017,Real,</t>
  </si>
  <si>
    <t>ES0031408323131005HX0F,2023/06/04,05:00,0.068,Real,</t>
  </si>
  <si>
    <t>ES0031408323131005HX0F,2023/06/04,06:00,0.075,Real,</t>
  </si>
  <si>
    <t>ES0031408323131005HX0F,2023/06/04,07:00,0.067,Real,</t>
  </si>
  <si>
    <t>ES0031408323131005HX0F,2023/06/04,08:00,0.321,Real,</t>
  </si>
  <si>
    <t>ES0031408323131005HX0F,2023/06/04,09:00,0.034,Real,</t>
  </si>
  <si>
    <t>ES0031408323131005HX0F,2023/06/04,10:00,0.11,Real,</t>
  </si>
  <si>
    <t>ES0031408323131005HX0F,2023/06/04,11:00,0.071,Real,</t>
  </si>
  <si>
    <t>ES0031408323131005HX0F,2023/06/04,12:00,0.041,Real,</t>
  </si>
  <si>
    <t>ES0031408323131005HX0F,2023/06/04,13:00,0.01,Real,</t>
  </si>
  <si>
    <t>ES0031408323131005HX0F,2023/06/04,14:00,0.083,Real,</t>
  </si>
  <si>
    <t>ES0031408323131005HX0F,2023/06/04,15:00,0.393,Real,</t>
  </si>
  <si>
    <t>ES0031408323131005HX0F,2023/06/04,16:00,0.059,Real,</t>
  </si>
  <si>
    <t>ES0031408323131005HX0F,2023/06/04,17:00,0.01,Real,</t>
  </si>
  <si>
    <t>ES0031408323131005HX0F,2023/06/04,18:00,0.05,Real,</t>
  </si>
  <si>
    <t>ES0031408323131005HX0F,2023/06/04,19:00,0.096,Real,</t>
  </si>
  <si>
    <t>ES0031408323131005HX0F,2023/06/04,20:00,0.055,Real,</t>
  </si>
  <si>
    <t>ES0031408323131005HX0F,2023/06/04,21:00,0.025,Real,</t>
  </si>
  <si>
    <t>ES0031408323131005HX0F,2023/06/04,22:00,0.017,Real,</t>
  </si>
  <si>
    <t>ES0031408323131005HX0F,2023/06/04,23:00,0.421,Real,</t>
  </si>
  <si>
    <t>ES0031408323131005HX0F,2023/06/04,24:00,0.053,Real,</t>
  </si>
  <si>
    <t>ES0031408323131005HX0F,2023/06/05,01:00,0.043,Real,</t>
  </si>
  <si>
    <t>ES0031408323131005HX0F,2023/06/05,02:00,0.01,Real,</t>
  </si>
  <si>
    <t>ES0031408323131005HX0F,2023/06/05,03:00,0.112,Real,</t>
  </si>
  <si>
    <t>ES0031408323131005HX0F,2023/06/05,04:00,0.081,Real,</t>
  </si>
  <si>
    <t>ES0031408323131005HX0F,2023/06/05,05:00,0.054,Real,</t>
  </si>
  <si>
    <t>ES0031408323131005HX0F,2023/06/05,06:00,0.319,Real,</t>
  </si>
  <si>
    <t>ES0031408323131005HX0F,2023/06/05,07:00,0.06,Real,</t>
  </si>
  <si>
    <t>ES0031408323131005HX0F,2023/06/05,08:00,0.086,Real,</t>
  </si>
  <si>
    <t>ES0031408323131005HX0F,2023/06/05,09:00,0.062,Real,</t>
  </si>
  <si>
    <t>ES0031408323131005HX0F,2023/06/05,10:00,0.016,Real,</t>
  </si>
  <si>
    <t>ES0031408323131005HX0F,2023/06/05,11:00,0.028,Real,</t>
  </si>
  <si>
    <t>ES0031408323131005HX0F,2023/06/05,12:00,0.113,Real,</t>
  </si>
  <si>
    <t>ES0031408323131005HX0F,2023/06/05,13:00,0.041,Real,</t>
  </si>
  <si>
    <t>ES0031408323131005HX0F,2023/06/05,14:00,0.347,Real,</t>
  </si>
  <si>
    <t>ES0031408323131005HX0F,2023/06/05,15:00,0.01,Real,</t>
  </si>
  <si>
    <t>ES0031408323131005HX0F,2023/06/05,16:00,0.101,Real,</t>
  </si>
  <si>
    <t>ES0031408323131005HX0F,2023/06/05,17:00,0.071,Real,</t>
  </si>
  <si>
    <t>ES0031408323131005HX0F,2023/06/05,18:00,0.045,Real,</t>
  </si>
  <si>
    <t>ES0031408323131005HX0F,2023/06/05,19:00,0.01,Real,</t>
  </si>
  <si>
    <t>ES0031408323131005HX0F,2023/06/05,20:00,0.07,Real,</t>
  </si>
  <si>
    <t>ES0031408323131005HX0F,2023/06/05,21:00,0.167,Real,</t>
  </si>
  <si>
    <t>ES0031408323131005HX0F,2023/06/05,22:00,0.294,Real,</t>
  </si>
  <si>
    <t>ES0031408323131005HX0F,2023/06/05,23:00,0.027,Real,</t>
  </si>
  <si>
    <t>ES0031408323131005HX0F,2023/06/05,24:00,0.014,Real,</t>
  </si>
  <si>
    <t>ES0031408323131005HX0F,2023/06/06,01:00,0.115,Real,</t>
  </si>
  <si>
    <t>ES0031408323131005HX0F,2023/06/06,02:00,0.067,Real,</t>
  </si>
  <si>
    <t>ES0031408323131005HX0F,2023/06/06,03:00,0.065,Real,</t>
  </si>
  <si>
    <t>ES0031408323131005HX0F,2023/06/06,04:00,0.02,Real,</t>
  </si>
  <si>
    <t>ES0031408323131005HX0F,2023/06/06,05:00,0.393,Real,</t>
  </si>
  <si>
    <t>ES0031408323131005HX0F,2023/06/06,06:00,0.081,Real,</t>
  </si>
  <si>
    <t>ES0031408323131005HX0F,2023/06/06,07:00,0.069,Real,</t>
  </si>
  <si>
    <t>ES0031408323131005HX0F,2023/06/06,08:00,0.01,Real,</t>
  </si>
  <si>
    <t>ES0031408323131005HX0F,2023/06/06,09:00,0.037,Real,</t>
  </si>
  <si>
    <t>ES0031408323131005HX0F,2023/06/06,10:00,0.112,Real,</t>
  </si>
  <si>
    <t>ES0031408323131005HX0F,2023/06/06,11:00,0.045,Real,</t>
  </si>
  <si>
    <t>ES0031408323131005HX0F,2023/06/06,12:00,0.044,Real,</t>
  </si>
  <si>
    <t>ES0031408323131005HX0F,2023/06/06,13:00,0.316,Real,</t>
  </si>
  <si>
    <t>ES0031408323131005HX0F,2023/06/06,14:00,0.092,Real,</t>
  </si>
  <si>
    <t>ES0031408323131005HX0F,2023/06/06,15:00,0.092,Real,</t>
  </si>
  <si>
    <t>ES0031408323131005HX0F,2023/06/06,16:00,0.065,Real,</t>
  </si>
  <si>
    <t>ES0031408323131005HX0F,2023/06/06,17:00,0.035,Real,</t>
  </si>
  <si>
    <t>ES0031408323131005HX0F,2023/06/06,18:00,0.014,Real,</t>
  </si>
  <si>
    <t>ES0031408323131005HX0F,2023/06/06,19:00,0.114,Real,</t>
  </si>
  <si>
    <t>ES0031408323131005HX0F,2023/06/06,20:00,0.063,Real,</t>
  </si>
  <si>
    <t>ES0031408323131005HX0F,2023/06/06,21:00,0.355,Real,</t>
  </si>
  <si>
    <t>ES0031408323131005HX0F,2023/06/06,22:00,0.009,Real,</t>
  </si>
  <si>
    <t>ES0031408323131005HX0F,2023/06/06,23:00,0.08,Real,</t>
  </si>
  <si>
    <t>ES0031408323131005HX0F,2023/06/06,24:00,0.074,Real,</t>
  </si>
  <si>
    <t>ES0031408323131005HX0F,2023/06/07,01:00,0.075,Real,</t>
  </si>
  <si>
    <t>ES0031408323131005HX0F,2023/06/07,02:00,0.01,Real,</t>
  </si>
  <si>
    <t>ES0031408323131005HX0F,2023/06/07,03:00,0.06,Real,</t>
  </si>
  <si>
    <t>ES0031408323131005HX0F,2023/06/07,04:00,0.122,Real,</t>
  </si>
  <si>
    <t>ES0031408323131005HX0F,2023/06/07,05:00,0.356,Real,</t>
  </si>
  <si>
    <t>ES0031408323131005HX0F,2023/06/07,06:00,0.045,Real,</t>
  </si>
  <si>
    <t>ES0031408323131005HX0F,2023/06/07,07:00,0.01,Real,</t>
  </si>
  <si>
    <t>ES0031408323131005HX0F,2023/06/07,08:00,0.101,Real,</t>
  </si>
  <si>
    <t>ES0031408323131005HX0F,2023/06/07,09:00,0.071,Real,</t>
  </si>
  <si>
    <t>ES0031408323131005HX0F,2023/06/07,10:00,0.058,Real,</t>
  </si>
  <si>
    <t>ES0031408323131005HX0F,2023/06/07,11:00,0.009,Real,</t>
  </si>
  <si>
    <t>ES0031408323131005HX0F,2023/06/07,12:00,0.059,Real,</t>
  </si>
  <si>
    <t>ES0031408323131005HX0F,2023/06/07,13:00,0.404,Real,</t>
  </si>
  <si>
    <t>ES0031408323131005HX0F,2023/06/07,14:00,0.058,Real,</t>
  </si>
  <si>
    <t>ES0031408323131005HX0F,2023/06/07,15:00,0.028,Real,</t>
  </si>
  <si>
    <t>ES0031408323131005HX0F,2023/06/07,16:00,0.017,Real,</t>
  </si>
  <si>
    <t>ES0031408323131005HX0F,2023/06/07,17:00,0.115,Real,</t>
  </si>
  <si>
    <t>ES0031408323131005HX0F,2023/06/07,18:00,0.061,Real,</t>
  </si>
  <si>
    <t>ES0031408323131005HX0F,2023/06/07,19:00,0.044,Real,</t>
  </si>
  <si>
    <t>ES0031408323131005HX0F,2023/06/07,20:00,0.009,Real,</t>
  </si>
  <si>
    <t>ES0031408323131005HX0F,2023/06/07,21:00,0.412,Real,</t>
  </si>
  <si>
    <t>ES0031408323131005HX0F,2023/06/07,22:00,0.072,Real,</t>
  </si>
  <si>
    <t>ES0031408323131005HX0F,2023/06/07,23:00,0.067,Real,</t>
  </si>
  <si>
    <t>ES0031408323131005HX0F,2023/06/07,24:00,0.01,Real,</t>
  </si>
  <si>
    <t>ES0031408323131005HX0F,2023/06/08,01:00,0.051,Real,</t>
  </si>
  <si>
    <t>ES0031408323131005HX0F,2023/06/08,02:00,0.104,Real,</t>
  </si>
  <si>
    <t>ES0031408323131005HX0F,2023/06/08,03:00,0.073,Real,</t>
  </si>
  <si>
    <t>ES0031408323131005HX0F,2023/06/08,04:00,0.037,Real,</t>
  </si>
  <si>
    <t>ES0031408323131005HX0F,2023/06/08,05:00,0.323,Real,</t>
  </si>
  <si>
    <t>ES0031408323131005HX0F,2023/06/08,06:00,0.115,Real,</t>
  </si>
  <si>
    <t>ES0031408323131005HX0F,2023/06/08,07:00,0.065,Real,</t>
  </si>
  <si>
    <t>ES0031408323131005HX0F,2023/06/08,08:00,0.044,Real,</t>
  </si>
  <si>
    <t>ES0031408323131005HX0F,2023/06/08,09:00,0.01,Real,</t>
  </si>
  <si>
    <t>ES0031408323131005HX0F,2023/06/08,10:00,0.077,Real,</t>
  </si>
  <si>
    <t>ES0031408323131005HX0F,2023/06/08,11:00,0.073,Real,</t>
  </si>
  <si>
    <t>ES0031408323131005HX0F,2023/06/08,12:00,0.126,Real,</t>
  </si>
  <si>
    <t>ES0031408323131005HX0F,2023/06/08,13:00,0.378,Real,</t>
  </si>
  <si>
    <t>ES0031408323131005HX0F,2023/06/08,14:00,0.108,Real,</t>
  </si>
  <si>
    <t>ES0031408323131005HX0F,2023/06/08,15:00,0.222,Real,</t>
  </si>
  <si>
    <t>ES0031408323131005HX0F,2023/06/08,16:00,0.203,Real,</t>
  </si>
  <si>
    <t>ES0031408323131005HX0F,2023/06/08,17:00,0.633,Real,</t>
  </si>
  <si>
    <t>ES0031408323131005HX0F,2023/06/08,18:00,0.194,Real,</t>
  </si>
  <si>
    <t>ES0031408323131005HX0F,2023/06/08,19:00,0.061,Real,</t>
  </si>
  <si>
    <t>ES0031408323131005HX0F,2023/06/08,20:00,0.045,Real,</t>
  </si>
  <si>
    <t>ES0031408323131005HX0F,2023/06/08,21:00,0.27,Real,</t>
  </si>
  <si>
    <t>ES0031408323131005HX0F,2023/06/08,22:00,0.272,Real,</t>
  </si>
  <si>
    <t>ES0031408323131005HX0F,2023/06/08,23:00,0.586,Real,</t>
  </si>
  <si>
    <t>ES0031408323131005HX0F,2023/06/08,24:00,0.367,Real,</t>
  </si>
  <si>
    <t>ES0031408323131005HX0F,2023/06/09,01:00,0.325,Real,</t>
  </si>
  <si>
    <t>ES0031408323131005HX0F,2023/06/09,02:00,0.319,Real,</t>
  </si>
  <si>
    <t>ES0031408323131005HX0F,2023/06/09,03:00,0.296,Real,</t>
  </si>
  <si>
    <t>ES0031408323131005HX0F,2023/06/09,04:00,0.253,Real,</t>
  </si>
  <si>
    <t>ES0031408323131005HX0F,2023/06/09,05:00,0.131,Real,</t>
  </si>
  <si>
    <t>ES0031408323131005HX0F,2023/06/09,06:00,0.098,Real,</t>
  </si>
  <si>
    <t>ES0031408323131005HX0F,2023/06/09,07:00,0.336,Real,</t>
  </si>
  <si>
    <t>ES0031408323131005HX0F,2023/06/09,08:00,0.116,Real,</t>
  </si>
  <si>
    <t>ES0031408323131005HX0F,2023/06/09,09:00,0.101,Real,</t>
  </si>
  <si>
    <t>ES0031408323131005HX0F,2023/06/09,10:00,0.271,Real,</t>
  </si>
  <si>
    <t>ES0031408323131005HX0F,2023/06/09,11:00,0.126,Real,</t>
  </si>
  <si>
    <t>ES0031408323131005HX0F,2023/06/09,12:00,0.404,Real,</t>
  </si>
  <si>
    <t>ES0031408323131005HX0F,2023/06/09,13:00,0.101,Real,</t>
  </si>
  <si>
    <t>ES0031408323131005HX0F,2023/06/09,14:00,0.122,Real,</t>
  </si>
  <si>
    <t>ES0031408323131005HX0F,2023/06/09,15:00,0.128,Real,</t>
  </si>
  <si>
    <t>ES0031408323131005HX0F,2023/06/09,16:00,0.105,Real,</t>
  </si>
  <si>
    <t>ES0031408323131005HX0F,2023/06/09,17:00,0.047,Real,</t>
  </si>
  <si>
    <t>ES0031408323131005HX0F,2023/06/09,18:00,0.121,Real,</t>
  </si>
  <si>
    <t>ES0031408323131005HX0F,2023/06/09,19:00,0.803,Real,</t>
  </si>
  <si>
    <t>ES0031408323131005HX0F,2023/06/09,20:00,0.945,Real,</t>
  </si>
  <si>
    <t>ES0031408323131005HX0F,2023/06/09,21:00,0.275,Real,</t>
  </si>
  <si>
    <t>ES0031408323131005HX0F,2023/06/09,22:00,0.121,Real,</t>
  </si>
  <si>
    <t>ES0031408323131005HX0F,2023/06/09,23:00,0.295,Real,</t>
  </si>
  <si>
    <t>ES0031408323131005HX0F,2023/06/09,24:00,0.367,Real,</t>
  </si>
  <si>
    <t>ES0031408323131005HX0F,2023/06/10,01:00,0.144,Real,</t>
  </si>
  <si>
    <t>ES0031408323131005HX0F,2023/06/10,02:00,0.098,Real,</t>
  </si>
  <si>
    <t>ES0031408323131005HX0F,2023/06/10,03:00,0.025,Real,</t>
  </si>
  <si>
    <t>ES0031408323131005HX0F,2023/06/10,04:00,0.1,Real,</t>
  </si>
  <si>
    <t>ES0031408323131005HX0F,2023/06/10,05:00,0.392,Real,</t>
  </si>
  <si>
    <t>ES0031408323131005HX0F,2023/06/10,06:00,0.058,Real,</t>
  </si>
  <si>
    <t>ES0031408323131005HX0F,2023/06/10,07:00,0.083,Real,</t>
  </si>
  <si>
    <t>ES0031408323131005HX0F,2023/06/10,08:00,0.089,Real,</t>
  </si>
  <si>
    <t>ES0031408323131005HX0F,2023/06/10,09:00,0.195,Real,</t>
  </si>
  <si>
    <t>ES0031408323131005HX0F,2023/06/10,10:00,0.118,Real,</t>
  </si>
  <si>
    <t>ES0031408323131005HX0F,2023/06/10,11:00,0.078,Real,</t>
  </si>
  <si>
    <t>ES0031408323131005HX0F,2023/06/10,12:00,0.145,Real,</t>
  </si>
  <si>
    <t>ES0031408323131005HX0F,2023/06/10,13:00,0.448,Real,</t>
  </si>
  <si>
    <t>ES0031408323131005HX0F,2023/06/10,14:00,0.237,Real,</t>
  </si>
  <si>
    <t>ES0031408323131005HX0F,2023/06/10,15:00,0.123,Real,</t>
  </si>
  <si>
    <t>ES0031408323131005HX0F,2023/06/10,16:00,0.021,Real,</t>
  </si>
  <si>
    <t>ES0031408323131005HX0F,2023/06/10,17:00,0.124,Real,</t>
  </si>
  <si>
    <t>ES0031408323131005HX0F,2023/06/10,18:00,0.207,Real,</t>
  </si>
  <si>
    <t>ES0031408323131005HX0F,2023/06/10,19:00,1.499,Real,</t>
  </si>
  <si>
    <t>ES0031408323131005HX0F,2023/06/10,20:00,1.165,Real,</t>
  </si>
  <si>
    <t>ES0031408323131005HX0F,2023/06/10,21:00,0.092,Real,</t>
  </si>
  <si>
    <t>ES0031408323131005HX0F,2023/06/10,22:00,0.085,Real,</t>
  </si>
  <si>
    <t>ES0031408323131005HX0F,2023/06/10,23:00,0.038,Real,</t>
  </si>
  <si>
    <t>ES0031408323131005HX0F,2023/06/10,24:00,0.166,Real,</t>
  </si>
  <si>
    <t>ES0031408323131005HX0F,2023/06/11,01:00,0.132,Real,</t>
  </si>
  <si>
    <t>ES0031408323131005HX0F,2023/06/11,02:00,0.348,Real,</t>
  </si>
  <si>
    <t>ES0031408323131005HX0F,2023/06/11,03:00,0.07,Real,</t>
  </si>
  <si>
    <t>ES0031408323131005HX0F,2023/06/11,04:00,0.101,Real,</t>
  </si>
  <si>
    <t>ES0031408323131005HX0F,2023/06/11,05:00,0.084,Real,</t>
  </si>
  <si>
    <t>ES0031408323131005HX0F,2023/06/11,06:00,0.051,Real,</t>
  </si>
  <si>
    <t>ES0031408323131005HX0F,2023/06/11,07:00,0.089,Real,</t>
  </si>
  <si>
    <t>ES0031408323131005HX0F,2023/06/11,08:00,0.11,Real,</t>
  </si>
  <si>
    <t>ES0031408323131005HX0F,2023/06/11,09:00,0.1,Real,</t>
  </si>
  <si>
    <t>ES0031408323131005HX0F,2023/06/11,10:00,0.102,Real,</t>
  </si>
  <si>
    <t>ES0031408323131005HX0F,2023/06/11,11:00,0.421,Real,</t>
  </si>
  <si>
    <t>ES0031408323131005HX0F,2023/06/11,12:00,0.591,Real,</t>
  </si>
  <si>
    <t>ES0031408323131005HX0F,2023/06/11,13:00,0.499,Real,</t>
  </si>
  <si>
    <t>ES0031408323131005HX0F,2023/06/11,14:00,0.088,Real,</t>
  </si>
  <si>
    <t>ES0031408323131005HX0F,2023/06/11,15:00,0.047,Real,</t>
  </si>
  <si>
    <t>ES0031408323131005HX0F,2023/06/11,16:00,0.329,Real,</t>
  </si>
  <si>
    <t>ES0031408323131005HX0F,2023/06/11,17:00,0.453,Real,</t>
  </si>
  <si>
    <t>ES0031408323131005HX0F,2023/06/11,18:00,0.113,Real,</t>
  </si>
  <si>
    <t>ES0031408323131005HX0F,2023/06/11,19:00,0.392,Real,</t>
  </si>
  <si>
    <t>ES0031408323131005HX0F,2023/06/11,20:00,0.06,Real,</t>
  </si>
  <si>
    <t>ES0031408323131005HX0F,2023/06/11,21:00,0.069,Real,</t>
  </si>
  <si>
    <t>ES0031408323131005HX0F,2023/06/11,22:00,0.114,Real,</t>
  </si>
  <si>
    <t>ES0031408323131005HX0F,2023/06/11,23:00,0.086,Real,</t>
  </si>
  <si>
    <t>ES0031408323131005HX0F,2023/06/11,24:00,0.022,Real,</t>
  </si>
  <si>
    <t>ES0031408323131005HX0F,2023/06/12,01:00,0.115,Real,</t>
  </si>
  <si>
    <t>ES0031408323131005HX0F,2023/06/12,02:00,0.082,Real,</t>
  </si>
  <si>
    <t>ES0031408323131005HX0F,2023/06/12,03:00,0.154,Real,</t>
  </si>
  <si>
    <t>ES0031408323131005HX0F,2023/06/12,04:00,0.306,Real,</t>
  </si>
  <si>
    <t>ES0031408323131005HX0F,2023/06/12,05:00,0.085,Real,</t>
  </si>
  <si>
    <t>ES0031408323131005HX0F,2023/06/12,06:00,0.079,Real,</t>
  </si>
  <si>
    <t>ES0031408323131005HX0F,2023/06/12,07:00,0.118,Real,</t>
  </si>
  <si>
    <t>ES0031408323131005HX0F,2023/06/12,08:00,0.09,Real,</t>
  </si>
  <si>
    <t>ES0031408323131005HX0F,2023/06/12,09:00,0.019,Real,</t>
  </si>
  <si>
    <t>ES0031408323131005HX0F,2023/06/12,10:00,0.103,Real,</t>
  </si>
  <si>
    <t>ES0031408323131005HX0F,2023/06/12,11:00,0.08,Real,</t>
  </si>
  <si>
    <t>ES0031408323131005HX0F,2023/06/12,12:00,0.368,Real,</t>
  </si>
  <si>
    <t>ES0031408323131005HX0F,2023/06/12,13:00,0.101,Real,</t>
  </si>
  <si>
    <t>ES0031408323131005HX0F,2023/06/12,14:00,0.078,Real,</t>
  </si>
  <si>
    <t>ES0031408323131005HX0F,2023/06/12,15:00,0.024,Real,</t>
  </si>
  <si>
    <t>ES0031408323131005HX0F,2023/06/12,16:00,0.102,Real,</t>
  </si>
  <si>
    <t>ES0031408323131005HX0F,2023/06/12,17:00,0.079,Real,</t>
  </si>
  <si>
    <t>ES0031408323131005HX0F,2023/06/12,18:00,0.024,Real,</t>
  </si>
  <si>
    <t>ES0031408323131005HX0F,2023/06/12,19:00,0.101,Real,</t>
  </si>
  <si>
    <t>ES0031408323131005HX0F,2023/06/12,20:00,0.177,Real,</t>
  </si>
  <si>
    <t>ES0031408323131005HX0F,2023/06/12,21:00,0.265,Real,</t>
  </si>
  <si>
    <t>ES0031408323131005HX0F,2023/06/12,22:00,0.01,Real,</t>
  </si>
  <si>
    <t>ES0031408323131005HX0F,2023/06/12,23:00,0.073,Real,</t>
  </si>
  <si>
    <t>ES0031408323131005HX0F,2023/06/12,24:00,0.097,Real,</t>
  </si>
  <si>
    <t>ES0031408323131005HX0F,2023/06/13,01:00,0.068,Real,</t>
  </si>
  <si>
    <t>ES0031408323131005HX0F,2023/06/13,02:00,0.029,Real,</t>
  </si>
  <si>
    <t>ES0031408323131005HX0F,2023/06/13,03:00,0.043,Real,</t>
  </si>
  <si>
    <t>ES0031408323131005HX0F,2023/06/13,04:00,0.126,Real,</t>
  </si>
  <si>
    <t>ES0031408323131005HX0F,2023/06/13,05:00,0.378,Real,</t>
  </si>
  <si>
    <t>ES0031408323131005HX0F,2023/06/13,06:00,0.051,Real,</t>
  </si>
  <si>
    <t>ES0031408323131005HX0F,2023/06/13,07:00,0.01,Real,</t>
  </si>
  <si>
    <t>ES0031408323131005HX0F,2023/06/13,08:00,0.08,Real,</t>
  </si>
  <si>
    <t>ES0031408323131005HX0F,2023/06/13,09:00,0.092,Real,</t>
  </si>
  <si>
    <t>ES0031408323131005HX0F,2023/06/13,10:00,0.07,Real,</t>
  </si>
  <si>
    <t>ES0031408323131005HX0F,2023/06/13,11:00,0.025,Real,</t>
  </si>
  <si>
    <t>ES0031408323131005HX0F,2023/06/13,12:00,0.026,Real,</t>
  </si>
  <si>
    <t>ES0031408323131005HX0F,2023/06/13,13:00,0.414,Real,</t>
  </si>
  <si>
    <t>ES0031408323131005HX0F,2023/06/13,14:00,0.077,Real,</t>
  </si>
  <si>
    <t>ES0031408323131005HX0F,2023/06/13,15:00,0.049,Real,</t>
  </si>
  <si>
    <t>ES0031408323131005HX0F,2023/06/13,16:00,0.01,Real,</t>
  </si>
  <si>
    <t>ES0031408323131005HX0F,2023/06/13,17:00,0.082,Real,</t>
  </si>
  <si>
    <t>ES0031408323131005HX0F,2023/06/13,18:00,0.091,Real,</t>
  </si>
  <si>
    <t>ES0031408323131005HX0F,2023/06/13,19:00,0.075,Real,</t>
  </si>
  <si>
    <t>ES0031408323131005HX0F,2023/06/13,20:00,0.018,Real,</t>
  </si>
  <si>
    <t>ES0031408323131005HX0F,2023/06/13,21:00,0.343,Real,</t>
  </si>
  <si>
    <t>ES0031408323131005HX0F,2023/06/13,22:00,0.115,Real,</t>
  </si>
  <si>
    <t>ES0031408323131005HX0F,2023/06/13,23:00,0.078,Real,</t>
  </si>
  <si>
    <t>ES0031408323131005HX0F,2023/06/13,24:00,0.041,Real,</t>
  </si>
  <si>
    <t>ES0031408323131005HX0F,2023/06/14,01:00,0.01,Real,</t>
  </si>
  <si>
    <t>ES0031408323131005HX0F,2023/06/14,02:00,0.09,Real,</t>
  </si>
  <si>
    <t>ES0031408323131005HX0F,2023/06/14,03:00,0.103,Real,</t>
  </si>
  <si>
    <t>ES0031408323131005HX0F,2023/06/14,04:00,0.087,Real,</t>
  </si>
  <si>
    <t>ES0031408323131005HX0F,2023/06/14,05:00,0.334,Real,</t>
  </si>
  <si>
    <t>ES0031408323131005HX0F,2023/06/14,06:00,0.038,Real,</t>
  </si>
  <si>
    <t>ES0031408323131005HX0F,2023/06/14,07:00,0.113,Real,</t>
  </si>
  <si>
    <t>ES0031408323131005HX0F,2023/06/14,08:00,0.07,Real,</t>
  </si>
  <si>
    <t>ES0031408323131005HX0F,2023/06/14,09:00,0.041,Real,</t>
  </si>
  <si>
    <t>ES0031408323131005HX0F,2023/06/14,10:00,0.01,Real,</t>
  </si>
  <si>
    <t>ES0031408323131005HX0F,2023/06/14,11:00,0.113,Real,</t>
  </si>
  <si>
    <t>ES0031408323131005HX0F,2023/06/14,12:00,0.082,Real,</t>
  </si>
  <si>
    <t>ES0031408323131005HX0F,2023/06/14,13:00,0.081,Real,</t>
  </si>
  <si>
    <t>ES0031408323131005HX0F,2023/06/14,14:00,0.322,Real,</t>
  </si>
  <si>
    <t>ES0031408323131005HX0F,2023/06/14,15:00,0.041,Real,</t>
  </si>
  <si>
    <t>ES0031408323131005HX0F,2023/06/14,16:00,0.114,Real,</t>
  </si>
  <si>
    <t>ES0031408323131005HX0F,2023/06/14,17:00,0.067,Real,</t>
  </si>
  <si>
    <t>ES0031408323131005HX0F,2023/06/14,18:00,0.044,Real,</t>
  </si>
  <si>
    <t>ES0031408323131005HX0F,2023/06/14,19:00,0.01,Real,</t>
  </si>
  <si>
    <t>ES0031408323131005HX0F,2023/06/14,20:00,0.094,Real,</t>
  </si>
  <si>
    <t>ES0031408323131005HX0F,2023/06/14,21:00,0.077,Real,</t>
  </si>
  <si>
    <t>ES0031408323131005HX0F,2023/06/14,22:00,0.41,Real,</t>
  </si>
  <si>
    <t>ES0031408323131005HX0F,2023/06/14,23:00,0.01,Real,</t>
  </si>
  <si>
    <t>ES0031408323131005HX0F,2023/06/14,24:00,0.048,Real,</t>
  </si>
  <si>
    <t>ES0031408323131005HX0F,2023/06/15,01:00,0.113,Real,</t>
  </si>
  <si>
    <t>ES0031408323131005HX0F,2023/06/15,02:00,0.062,Real,</t>
  </si>
  <si>
    <t>ES0031408323131005HX0F,2023/06/15,03:00,0.06,Real,</t>
  </si>
  <si>
    <t>ES0031408323131005HX0F,2023/06/15,04:00,0.017,Real,</t>
  </si>
  <si>
    <t>ES0031408323131005HX0F,2023/06/15,05:00,0.107,Real,</t>
  </si>
  <si>
    <t>ES0031408323131005HX0F,2023/06/15,06:00,0.198,Real,</t>
  </si>
  <si>
    <t>ES0031408323131005HX0F,2023/06/15,07:00,0.367,Real,</t>
  </si>
  <si>
    <t>ES0031408323131005HX0F,2023/06/15,08:00,0.01,Real,</t>
  </si>
  <si>
    <t>ES0031408323131005HX0F,2023/06/15,09:00,0.059,Real,</t>
  </si>
  <si>
    <t>ES0031408323131005HX0F,2023/06/15,10:00,0.108,Real,</t>
  </si>
  <si>
    <t>ES0031408323131005HX0F,2023/06/15,11:00,0.056,Real,</t>
  </si>
  <si>
    <t>ES0031408323131005HX0F,2023/06/15,12:00,0.036,Real,</t>
  </si>
  <si>
    <t>ES0031408323131005HX0F,2023/06/15,13:00,0.014,Real,</t>
  </si>
  <si>
    <t>ES0031408323131005HX0F,2023/06/15,14:00,0.115,Real,</t>
  </si>
  <si>
    <t>ES0031408323131005HX0F,2023/06/15,15:00,0.075,Real,</t>
  </si>
  <si>
    <t>ES0031408323131005HX0F,2023/06/15,16:00,0.052,Real,</t>
  </si>
  <si>
    <t>ES0031408323131005HX0F,2023/06/15,17:00,0.31,Real,</t>
  </si>
  <si>
    <t>ES0031408323131005HX0F,2023/06/15,18:00,0.078,Real,</t>
  </si>
  <si>
    <t>ES0031408323131005HX0F,2023/06/15,19:00,0.09,Real,</t>
  </si>
  <si>
    <t>ES0031408323131005HX0F,2023/06/15,20:00,0.07,Real,</t>
  </si>
  <si>
    <t>ES0031408323131005HX0F,2023/06/15,21:00,0.023,Real,</t>
  </si>
  <si>
    <t>ES0031408323131005HX0F,2023/06/15,22:00,0.027,Real,</t>
  </si>
  <si>
    <t>ES0031408323131005HX0F,2023/06/15,23:00,0.115,Real,</t>
  </si>
  <si>
    <t>ES0031408323131005HX0F,2023/06/15,24:00,0.076,Real,</t>
  </si>
  <si>
    <t>ES0031408323131005HX0F,2023/06/16,01:00,0.363,Real,</t>
  </si>
  <si>
    <t>ES0031408323131005HX0F,2023/06/16,02:00,0.01,Real,</t>
  </si>
  <si>
    <t>ES0031408323131005HX0F,2023/06/16,03:00,0.107,Real,</t>
  </si>
  <si>
    <t>ES0031408323131005HX0F,2023/06/16,04:00,0.09,Real,</t>
  </si>
  <si>
    <t>ES0031408323131005HX0F,2023/06/16,05:00,0.079,Real,</t>
  </si>
  <si>
    <t>ES0031408323131005HX0F,2023/06/16,06:00,0.011,Real,</t>
  </si>
  <si>
    <t>ES0031408323131005HX0F,2023/06/16,07:00,0.04,Real,</t>
  </si>
  <si>
    <t>ES0031408323131005HX0F,2023/06/16,08:00,0.113,Real,</t>
  </si>
  <si>
    <t>ES0031408323131005HX0F,2023/06/16,09:00,0.066,Real,</t>
  </si>
  <si>
    <t>ES0031408323131005HX0F,2023/06/16,10:00,0.353,Real,</t>
  </si>
  <si>
    <t>ES0031408323131005HX0F,2023/06/16,11:00,0.01,Real,</t>
  </si>
  <si>
    <t>ES0031408323131005HX0F,2023/06/16,12:00,0.099,Real,</t>
  </si>
  <si>
    <t>ES0031408323131005HX0F,2023/06/16,13:00,0.075,Real,</t>
  </si>
  <si>
    <t>ES0031408323131005HX0F,2023/06/16,14:00,0.072,Real,</t>
  </si>
  <si>
    <t>ES0031408323131005HX0F,2023/06/16,15:00,0.023,Real,</t>
  </si>
  <si>
    <t>ES0031408323131005HX0F,2023/06/16,16:00,0.073,Real,</t>
  </si>
  <si>
    <t>ES0031408323131005HX0F,2023/06/16,17:00,0.105,Real,</t>
  </si>
  <si>
    <t>ES0031408323131005HX0F,2023/06/16,18:00,0.37,Real,</t>
  </si>
  <si>
    <t>ES0031408323131005HX0F,2023/06/16,19:00,0.033,Real,</t>
  </si>
  <si>
    <t>ES0031408323131005HX0F,2023/06/16,20:00,0.018,Real,</t>
  </si>
  <si>
    <t>ES0031408323131005HX0F,2023/06/16,21:00,0.116,Real,</t>
  </si>
  <si>
    <t>ES0031408323131005HX0F,2023/06/16,22:00,0.075,Real,</t>
  </si>
  <si>
    <t>ES0031408323131005HX0F,2023/06/16,23:00,0.057,Real,</t>
  </si>
  <si>
    <t>ES0031408323131005HX0F,2023/06/16,24:00,0.01,Real,</t>
  </si>
  <si>
    <t>ES0031408323131005HX0F,2023/06/17,01:00,0.075,Real,</t>
  </si>
  <si>
    <t>ES0031408323131005HX0F,2023/06/17,02:00,0.186,Real,</t>
  </si>
  <si>
    <t>ES0031408323131005HX0F,2023/06/17,03:00,0.289,Real,</t>
  </si>
  <si>
    <t>ES0031408323131005HX0F,2023/06/17,04:00,0.034,Real,</t>
  </si>
  <si>
    <t>ES0031408323131005HX0F,2023/06/17,05:00,0.026,Real,</t>
  </si>
  <si>
    <t>ES0031408323131005HX0F,2023/06/17,06:00,0.115,Real,</t>
  </si>
  <si>
    <t>ES0031408323131005HX0F,2023/06/17,07:00,0.076,Real,</t>
  </si>
  <si>
    <t>ES0031408323131005HX0F,2023/06/17,08:00,0.048,Real,</t>
  </si>
  <si>
    <t>ES0031408323131005HX0F,2023/06/17,09:00,0.01,Real,</t>
  </si>
  <si>
    <t>ES0031408323131005HX0F,2023/06/17,10:00,0.358,Real,</t>
  </si>
  <si>
    <t>ES0031408323131005HX0F,2023/06/17,11:00,0.089,Real,</t>
  </si>
  <si>
    <t>ES0031408323131005HX0F,2023/06/17,12:00,0.075,Real,</t>
  </si>
  <si>
    <t>ES0031408323131005HX0F,2023/06/17,13:00,0.018,Real,</t>
  </si>
  <si>
    <t>ES0031408323131005HX0F,2023/06/17,14:00,0.036,Real,</t>
  </si>
  <si>
    <t>ES0031408323131005HX0F,2023/06/17,15:00,0.113,Real,</t>
  </si>
  <si>
    <t>ES0031408323131005HX0F,2023/06/17,16:00,0.077,Real,</t>
  </si>
  <si>
    <t>ES0031408323131005HX0F,2023/06/17,17:00,0.041,Real,</t>
  </si>
  <si>
    <t>ES0031408323131005HX0F,2023/06/17,18:00,0.305,Real,</t>
  </si>
  <si>
    <t>ES0031408323131005HX0F,2023/06/17,19:00,0.09,Real,</t>
  </si>
  <si>
    <t>ES0031408323131005HX0F,2023/06/17,20:00,0.086,Real,</t>
  </si>
  <si>
    <t>ES0031408323131005HX0F,2023/06/17,21:00,0.079,Real,</t>
  </si>
  <si>
    <t>ES0031408323131005HX0F,2023/06/17,22:00,0.017,Real,</t>
  </si>
  <si>
    <t>ES0031408323131005HX0F,2023/06/17,23:00,0.036,Real,</t>
  </si>
  <si>
    <t>ES0031408323131005HX0F,2023/06/17,24:00,0.114,Real,</t>
  </si>
  <si>
    <t>ES0031408323131005HX0F,2023/06/18,01:00,0.079,Real,</t>
  </si>
  <si>
    <t>ES0031408323131005HX0F,2023/06/18,02:00,0.343,Real,</t>
  </si>
  <si>
    <t>ES0031408323131005HX0F,2023/06/18,03:00,0.03,Real,</t>
  </si>
  <si>
    <t>ES0031408323131005HX0F,2023/06/18,04:00,0.1,Real,</t>
  </si>
  <si>
    <t>ES0031408323131005HX0F,2023/06/18,05:00,0.084,Real,</t>
  </si>
  <si>
    <t>ES0031408323131005HX0F,2023/06/18,06:00,0.081,Real,</t>
  </si>
  <si>
    <t>ES0031408323131005HX0F,2023/06/18,07:00,0.016,Real,</t>
  </si>
  <si>
    <t>ES0031408323131005HX0F,2023/06/18,08:00,0.037,Real,</t>
  </si>
  <si>
    <t>ES0031408323131005HX0F,2023/06/18,09:00,0.114,Real,</t>
  </si>
  <si>
    <t>ES0031408323131005HX0F,2023/06/18,10:00,0.353,Real,</t>
  </si>
  <si>
    <t>ES0031408323131005HX0F,2023/06/18,11:00,0.041,Real,</t>
  </si>
  <si>
    <t>ES0031408323131005HX0F,2023/06/18,12:00,0.01,Real,</t>
  </si>
  <si>
    <t>ES0031408323131005HX0F,2023/06/18,13:00,0.091,Real,</t>
  </si>
  <si>
    <t>ES0031408323131005HX0F,2023/06/18,14:00,0.084,Real,</t>
  </si>
  <si>
    <t>ES0031408323131005HX0F,2023/06/18,15:00,0.078,Real,</t>
  </si>
  <si>
    <t>ES0031408323131005HX0F,2023/06/18,16:00,0.016,Real,</t>
  </si>
  <si>
    <t>ES0031408323131005HX0F,2023/06/18,17:00,0.137,Real,</t>
  </si>
  <si>
    <t>ES0031408323131005HX0F,2023/06/18,18:00,0.323,Real,</t>
  </si>
  <si>
    <t>ES0031408323131005HX0F,2023/06/18,19:00,0.075,Real,</t>
  </si>
  <si>
    <t>ES0031408323131005HX0F,2023/06/18,20:00,0.06,Real,</t>
  </si>
  <si>
    <t>ES0031408323131005HX0F,2023/06/18,21:00,0.01,Real,</t>
  </si>
  <si>
    <t>ES0031408323131005HX0F,2023/06/18,22:00,0.095,Real,</t>
  </si>
  <si>
    <t>ES0031408323131005HX0F,2023/06/18,23:00,0.088,Real,</t>
  </si>
  <si>
    <t>ES0031408323131005HX0F,2023/06/18,24:00,0.077,Real,</t>
  </si>
  <si>
    <t>ES0031408323131005HX0F,2023/06/19,01:00,0.017,Real,</t>
  </si>
  <si>
    <t>ES0031408323131005HX0F,2023/06/19,02:00,0.324,Real,</t>
  </si>
  <si>
    <t>ES0031408323131005HX0F,2023/06/19,03:00,0.135,Real,</t>
  </si>
  <si>
    <t>ES0031408323131005HX0F,2023/06/19,04:00,0.083,Real,</t>
  </si>
  <si>
    <t>ES0031408323131005HX0F,2023/06/19,05:00,0.045,Real,</t>
  </si>
  <si>
    <t>ES0031408323131005HX0F,2023/06/19,06:00,0.01,Real,</t>
  </si>
  <si>
    <t>ES0031408323131005HX0F,2023/06/19,07:00,0.083,Real,</t>
  </si>
  <si>
    <t>ES0031408323131005HX0F,2023/06/19,08:00,0.088,Real,</t>
  </si>
  <si>
    <t>ES0031408323131005HX0F,2023/06/19,09:00,0.073,Real,</t>
  </si>
  <si>
    <t>ES0031408323131005HX0F,2023/06/19,10:00,0.311,Real,</t>
  </si>
  <si>
    <t>ES0031408323131005HX0F,2023/06/19,11:00,0.031,Real,</t>
  </si>
  <si>
    <t>ES0031408323131005HX0F,2023/06/19,12:00,0.114,Real,</t>
  </si>
  <si>
    <t>ES0031408323131005HX0F,2023/06/19,13:00,0.075,Real,</t>
  </si>
  <si>
    <t>ES0031408323131005HX0F,2023/06/19,14:00,0.042,Real,</t>
  </si>
  <si>
    <t>ES0031408323131005HX0F,2023/06/19,15:00,0.01,Real,</t>
  </si>
  <si>
    <t>ES0031408323131005HX0F,2023/06/19,16:00,0.088,Real,</t>
  </si>
  <si>
    <t>ES0031408323131005HX0F,2023/06/19,17:00,0.189,Real,</t>
  </si>
  <si>
    <t>ES0031408323131005HX0F,2023/06/19,18:00,0.273,Real,</t>
  </si>
  <si>
    <t>ES0031408323131005HX0F,2023/06/19,19:00,0.018,Real,</t>
  </si>
  <si>
    <t>ES0031408323131005HX0F,2023/06/19,20:00,0.032,Real,</t>
  </si>
  <si>
    <t>ES0031408323131005HX0F,2023/06/19,21:00,0.114,Real,</t>
  </si>
  <si>
    <t>ES0031408323131005HX0F,2023/06/19,22:00,0.074,Real,</t>
  </si>
  <si>
    <t>ES0031408323131005HX0F,2023/06/19,23:00,0.052,Real,</t>
  </si>
  <si>
    <t>ES0031408323131005HX0F,2023/06/19,24:00,0.01,Real,</t>
  </si>
  <si>
    <t>ES0031408323131005HX0F,2023/06/20,01:00,0.076,Real,</t>
  </si>
  <si>
    <t>ES0031408323131005HX0F,2023/06/20,02:00,0.398,Real,</t>
  </si>
  <si>
    <t>ES0031408323131005HX0F,2023/06/20,03:00,0.084,Real,</t>
  </si>
  <si>
    <t>ES0031408323131005HX0F,2023/06/20,04:00,0.039,Real,</t>
  </si>
  <si>
    <t>ES0031408323131005HX0F,2023/06/20,05:00,0.017,Real,</t>
  </si>
  <si>
    <t>ES0031408323131005HX0F,2023/06/20,06:00,0.116,Real,</t>
  </si>
  <si>
    <t>ES0031408323131005HX0F,2023/06/20,07:00,0.074,Real,</t>
  </si>
  <si>
    <t>ES0031408323131005HX0F,2023/06/20,08:00,0.063,Real,</t>
  </si>
  <si>
    <t>ES0031408323131005HX0F,2023/06/20,09:00,0.01,Real,</t>
  </si>
  <si>
    <t>ES0031408323131005HX0F,2023/06/20,10:00,0.349,Real,</t>
  </si>
  <si>
    <t>ES0031408323131005HX0F,2023/06/20,11:00,0.109,Real,</t>
  </si>
  <si>
    <t>ES0031408323131005HX0F,2023/06/20,12:00,0.054,Real,</t>
  </si>
  <si>
    <t>ES0031408323131005HX0F,2023/06/20,13:00,0.04,Real,</t>
  </si>
  <si>
    <t>ES0031408323131005HX0F,2023/06/20,14:00,0.01,Real,</t>
  </si>
  <si>
    <t>ES0031408323131005HX0F,2023/06/20,15:00,0.114,Real,</t>
  </si>
  <si>
    <t>ES0031408323131005HX0F,2023/06/20,16:00,0.075,Real,</t>
  </si>
  <si>
    <t>ES0031408323131005HX0F,2023/06/20,17:00,0.125,Real,</t>
  </si>
  <si>
    <t>ES0031408323131005HX0F,2023/06/20,18:00,0.239,Real,</t>
  </si>
  <si>
    <t>ES0031408323131005HX0F,2023/06/20,19:00,0.056,Real,</t>
  </si>
  <si>
    <t>ES0031408323131005HX0F,2023/06/20,20:00,0.113,Real,</t>
  </si>
  <si>
    <t>ES0031408323131005HX0F,2023/06/20,21:00,0.058,Real,</t>
  </si>
  <si>
    <t>ES0031408323131005HX0F,2023/06/20,22:00,0.043,Real,</t>
  </si>
  <si>
    <t>ES0031408323131005HX0F,2023/06/20,23:00,0.01,Real,</t>
  </si>
  <si>
    <t>ES0031408323131005HX0F,2023/06/20,24:00,0.105,Real,</t>
  </si>
  <si>
    <t>ES0031408323131005HX0F,2023/06/21,01:00,0.378,Real,</t>
  </si>
  <si>
    <t>ES0031408323131005HX0F,2023/06/21,02:00,0.089,Real,</t>
  </si>
  <si>
    <t>ES0031408323131005HX0F,2023/06/21,03:00,0.079,Real,</t>
  </si>
  <si>
    <t>ES0031408323131005HX0F,2023/06/21,04:00,0.016,Real,</t>
  </si>
  <si>
    <t>ES0031408323131005HX0F,2023/06/21,05:00,0.066,Real,</t>
  </si>
  <si>
    <t>ES0031408323131005HX0F,2023/06/21,06:00,0.108,Real,</t>
  </si>
  <si>
    <t>ES0031408323131005HX0F,2023/06/21,07:00,0.056,Real,</t>
  </si>
  <si>
    <t>ES0031408323131005HX0F,2023/06/21,08:00,0.04,Real,</t>
  </si>
  <si>
    <t>ES0031408323131005HX0F,2023/06/21,09:00,0.324,Real,</t>
  </si>
  <si>
    <t>ES0031408323131005HX0F,2023/06/21,10:00,0.115,Real,</t>
  </si>
  <si>
    <t>ES0031408323131005HX0F,2023/06/21,11:00,0.075,Real,</t>
  </si>
  <si>
    <t>ES0031408323131005HX0F,2023/06/21,12:00,0.069,Real,</t>
  </si>
  <si>
    <t>ES0031408323131005HX0F,2023/06/21,13:00,0.01,Real,</t>
  </si>
  <si>
    <t>ES0031408323131005HX0F,2023/06/21,14:00,0.063,Real,</t>
  </si>
  <si>
    <t>ES0031408323131005HX0F,2023/06/21,15:00,0.112,Real,</t>
  </si>
  <si>
    <t>ES0031408323131005HX0F,2023/06/21,16:00,0.055,Real,</t>
  </si>
  <si>
    <t>ES0031408323131005HX0F,2023/06/21,17:00,0.114,Real,</t>
  </si>
  <si>
    <t>ES0031408323131005HX0F,2023/06/21,18:00,0.25,Real,</t>
  </si>
  <si>
    <t>ES0031408323131005HX0F,2023/06/21,19:00,0.106,Real,</t>
  </si>
  <si>
    <t>ES0031408323131005HX0F,2023/06/21,20:00,0.076,Real,</t>
  </si>
  <si>
    <t>ES0031408323131005HX0F,2023/06/21,21:00,0.084,Real,</t>
  </si>
  <si>
    <t>ES0031408323131005HX0F,2023/06/21,22:00,0.01,Real,</t>
  </si>
  <si>
    <t>ES0031408323131005HX0F,2023/06/21,23:00,0.045,Real,</t>
  </si>
  <si>
    <t>ES0031408323131005HX0F,2023/06/21,24:00,0.114,Real,</t>
  </si>
  <si>
    <t>ES0031408323131005HX0F,2023/06/22,01:00,0.071,Real,</t>
  </si>
  <si>
    <t>ES0031408323131005HX0F,2023/06/22,02:00,0.346,Real,</t>
  </si>
  <si>
    <t>ES0031408323131005HX0F,2023/06/22,03:00,0.03,Real,</t>
  </si>
  <si>
    <t>ES0031408323131005HX0F,2023/06/22,04:00,0.098,Real,</t>
  </si>
  <si>
    <t>ES0031408323131005HX0F,2023/06/22,05:00,0.088,Real,</t>
  </si>
  <si>
    <t>ES0031408323131005HX0F,2023/06/22,06:00,0.076,Real,</t>
  </si>
  <si>
    <t>ES0031408323131005HX0F,2023/06/22,07:00,0.023,Real,</t>
  </si>
  <si>
    <t>ES0031408323131005HX0F,2023/06/22,08:00,0.027,Real,</t>
  </si>
  <si>
    <t>ES0031408323131005HX0F,2023/06/22,09:00,0.115,Real,</t>
  </si>
  <si>
    <t>ES0031408323131005HX0F,2023/06/22,10:00,0.368,Real,</t>
  </si>
  <si>
    <t>ES0031408323131005HX0F,2023/06/22,11:00,0.058,Real,</t>
  </si>
  <si>
    <t>ES0031408323131005HX0F,2023/06/22,12:00,0.01,Real,</t>
  </si>
  <si>
    <t>ES0031408323131005HX0F,2023/06/22,13:00,0.072,Real,</t>
  </si>
  <si>
    <t>ES0031408323131005HX0F,2023/06/22,14:00,0.106,Real,</t>
  </si>
  <si>
    <t>ES0031408323131005HX0F,2023/06/22,15:00,0.059,Real,</t>
  </si>
  <si>
    <t>ES0031408323131005HX0F,2023/06/22,16:00,0.037,Real,</t>
  </si>
  <si>
    <t>ES0031408323131005HX0F,2023/06/22,17:00,0.013,Real,</t>
  </si>
  <si>
    <t>ES0031408323131005HX0F,2023/06/22,18:00,0.392,Real,</t>
  </si>
  <si>
    <t>ES0031408323131005HX0F,2023/06/22,19:00,0.077,Real,</t>
  </si>
  <si>
    <t>ES0031408323131005HX0F,2023/06/22,20:00,0.075,Real,</t>
  </si>
  <si>
    <t>ES0031408323131005HX0F,2023/06/22,21:00,0.01,Real,</t>
  </si>
  <si>
    <t>ES0031408323131005HX0F,2023/06/22,22:00,0.056,Real,</t>
  </si>
  <si>
    <t>ES0031408323131005HX0F,2023/06/22,23:00,0.113,Real,</t>
  </si>
  <si>
    <t>ES0031408323131005HX0F,2023/06/22,24:00,0.066,Real,</t>
  </si>
  <si>
    <t>ES0031408323131005HX0F,2023/06/23,01:00,0.047,Real,</t>
  </si>
  <si>
    <t>ES0031408323131005HX0F,2023/06/23,02:00,0.286,Real,</t>
  </si>
  <si>
    <t>ES0031408323131005HX0F,2023/06/23,03:00,0.121,Real,</t>
  </si>
  <si>
    <t>ES0031408323131005HX0F,2023/06/23,04:00,0.092,Real,</t>
  </si>
  <si>
    <t>ES0031408323131005HX0F,2023/06/23,05:00,0.084,Real,</t>
  </si>
  <si>
    <t>ES0031408323131005HX0F,2023/06/23,06:00,0.03,Real,</t>
  </si>
  <si>
    <t>ES0031408323131005HX0F,2023/06/23,07:00,0.051,Real,</t>
  </si>
  <si>
    <t>ES0031408323131005HX0F,2023/06/23,08:00,0.115,Real,</t>
  </si>
  <si>
    <t>ES0031408323131005HX0F,2023/06/23,09:00,0.079,Real,</t>
  </si>
  <si>
    <t>ES0031408323131005HX0F,2023/06/23,10:00,0.327,Real,</t>
  </si>
  <si>
    <t>ES0031408323131005HX0F,2023/06/23,11:00,0.01,Real,</t>
  </si>
  <si>
    <t>ES0031408323131005HX0F,2023/06/23,12:00,0.092,Real,</t>
  </si>
  <si>
    <t>ES0031408323131005HX0F,2023/06/23,13:00,0.09,Real,</t>
  </si>
  <si>
    <t>ES0031408323131005HX0F,2023/06/23,14:00,0.076,Real,</t>
  </si>
  <si>
    <t>ES0031408323131005HX0F,2023/06/23,15:00,0.024,Real,</t>
  </si>
  <si>
    <t>ES0031408323131005HX0F,2023/06/23,16:00,0.029,Real,</t>
  </si>
  <si>
    <t>ES0031408323131005HX0F,2023/06/23,17:00,0.116,Real,</t>
  </si>
  <si>
    <t>ES0031408323131005HX0F,2023/06/23,18:00,0.402,Real,</t>
  </si>
  <si>
    <t>ES0031408323131005HX0F,2023/06/23,19:00,0.135,Real,</t>
  </si>
  <si>
    <t>ES0031408323131005HX0F,2023/06/23,20:00,0.043,Real,</t>
  </si>
  <si>
    <t>ES0031408323131005HX0F,2023/06/23,21:00,0.722,Real,</t>
  </si>
  <si>
    <t>ES0031408323131005HX0F,2023/06/23,22:00,0.491,Real,</t>
  </si>
  <si>
    <t>ES0031408323131005HX0F,2023/06/23,23:00,0.127,Real,</t>
  </si>
  <si>
    <t>ES0031408323131005HX0F,2023/06/23,24:00,0.125,Real,</t>
  </si>
  <si>
    <t>ES0031408323131005HX0F,2023/06/24,01:00,0.235,Real,</t>
  </si>
  <si>
    <t>ES0031408323131005HX0F,2023/06/24,02:00,0.315,Real,</t>
  </si>
  <si>
    <t>ES0031408323131005HX0F,2023/06/24,03:00,0.151,Real,</t>
  </si>
  <si>
    <t>ES0031408323131005HX0F,2023/06/24,04:00,0.393,Real,</t>
  </si>
  <si>
    <t>ES0031408323131005HX0F,2023/06/24,05:00,0.098,Real,</t>
  </si>
  <si>
    <t>ES0031408323131005HX0F,2023/06/24,06:00,0.054,Real,</t>
  </si>
  <si>
    <t>ES0031408323131005HX0F,2023/06/24,07:00,0.111,Real,</t>
  </si>
  <si>
    <t>ES0031408323131005HX0F,2023/06/24,08:00,0.125,Real,</t>
  </si>
  <si>
    <t>ES0031408323131005HX0F,2023/06/24,09:00,0.226,Real,</t>
  </si>
  <si>
    <t>ES0031408323131005HX0F,2023/06/24,10:00,0.113,Real,</t>
  </si>
  <si>
    <t>ES0031408323131005HX0F,2023/06/24,11:00,0.092,Real,</t>
  </si>
  <si>
    <t>ES0031408323131005HX0F,2023/06/24,12:00,0.158,Real,</t>
  </si>
  <si>
    <t>ES0031408323131005HX0F,2023/06/24,13:00,0.127,Real,</t>
  </si>
  <si>
    <t>ES0031408323131005HX0F,2023/06/24,14:00,0.409,Real,</t>
  </si>
  <si>
    <t>ES0031408323131005HX0F,2023/06/24,15:00,0.124,Real,</t>
  </si>
  <si>
    <t>ES0031408323131005HX0F,2023/06/24,16:00,0.103,Real,</t>
  </si>
  <si>
    <t>ES0031408323131005HX0F,2023/06/24,17:00,0.078,Real,</t>
  </si>
  <si>
    <t>ES0031408323131005HX0F,2023/06/24,18:00,0.133,Real,</t>
  </si>
  <si>
    <t>ES0031408323131005HX0F,2023/06/24,19:00,0.117,Real,</t>
  </si>
  <si>
    <t>ES0031408323131005HX0F,2023/06/24,20:00,1.147,Real,</t>
  </si>
  <si>
    <t>ES0031408323131005HX0F,2023/06/24,21:00,0.825,Real,</t>
  </si>
  <si>
    <t>ES0031408323131005HX0F,2023/06/24,22:00,0.132,Real,</t>
  </si>
  <si>
    <t>ES0031408323131005HX0F,2023/06/24,23:00,0.105,Real,</t>
  </si>
  <si>
    <t>ES0031408323131005HX0F,2023/06/24,24:00,0.033,Real,</t>
  </si>
  <si>
    <t>ES0031408323131005HX0F,2023/06/25,01:00,2.132,Real,</t>
  </si>
  <si>
    <t>ES0031408323131005HX0F,2023/06/25,02:00,0.576,Real,</t>
  </si>
  <si>
    <t>ES0031408323131005HX0F,2023/06/25,03:00,0.068,Real,</t>
  </si>
  <si>
    <t>ES0031408323131005HX0F,2023/06/25,04:00,0.113,Real,</t>
  </si>
  <si>
    <t>ES0031408323131005HX0F,2023/06/25,05:00,0.099,Real,</t>
  </si>
  <si>
    <t>ES0031408323131005HX0F,2023/06/25,06:00,0.038,Real,</t>
  </si>
  <si>
    <t>ES0031408323131005HX0F,2023/06/25,07:00,0.124,Real,</t>
  </si>
  <si>
    <t>ES0031408323131005HX0F,2023/06/25,08:00,0.143,Real,</t>
  </si>
  <si>
    <t>ES0031408323131005HX0F,2023/06/25,09:00,0.085,Real,</t>
  </si>
  <si>
    <t>ES0031408323131005HX0F,2023/06/25,10:00,0.153,Real,</t>
  </si>
  <si>
    <t>ES0031408323131005HX0F,2023/06/25,11:00,0.58,Real,</t>
  </si>
  <si>
    <t>ES0031408323131005HX0F,2023/06/25,12:00,0.094,Real,</t>
  </si>
  <si>
    <t>ES0031408323131005HX0F,2023/06/25,13:00,0.132,Real,</t>
  </si>
  <si>
    <t>ES0031408323131005HX0F,2023/06/25,14:00,0.206,Real,</t>
  </si>
  <si>
    <t>ES0031408323131005HX0F,2023/06/25,15:00,1.215,Real,</t>
  </si>
  <si>
    <t>ES0031408323131005HX0F,2023/06/25,16:00,0.091,Real,</t>
  </si>
  <si>
    <t>ES0031408323131005HX0F,2023/06/25,17:00,0.033,Real,</t>
  </si>
  <si>
    <t>ES0031408323131005HX0F,2023/06/25,18:00,0.089,Real,</t>
  </si>
  <si>
    <t>ES0031408323131005HX0F,2023/06/25,19:00,0.092,Real,</t>
  </si>
  <si>
    <t>ES0031408323131005HX0F,2023/06/25,20:00,0.054,Real,</t>
  </si>
  <si>
    <t>ES0031408323131005HX0F,2023/06/25,21:00,0.34,Real,</t>
  </si>
  <si>
    <t>ES0031408323131005HX0F,2023/06/25,22:00,0.091,Real,</t>
  </si>
  <si>
    <t>ES0031408323131005HX0F,2023/06/25,23:00,0.052,Real,</t>
  </si>
  <si>
    <t>ES0031408323131005HX0F,2023/06/25,24:00,0.075,Real,</t>
  </si>
  <si>
    <t>ES0031408323131005HX0F,2023/06/26,01:00,0.092,Real,</t>
  </si>
  <si>
    <t>ES0031408323131005HX0F,2023/06/26,02:00,0.05,Real,</t>
  </si>
  <si>
    <t>ES0031408323131005HX0F,2023/06/26,03:00,0.099,Real,</t>
  </si>
  <si>
    <t>ES0031408323131005HX0F,2023/06/26,04:00,0.097,Real,</t>
  </si>
  <si>
    <t>ES0031408323131005HX0F,2023/06/26,05:00,0.099,Real,</t>
  </si>
  <si>
    <t>ES0031408323131005HX0F,2023/06/26,06:00,0.39,Real,</t>
  </si>
  <si>
    <t>ES0031408323131005HX0F,2023/06/26,07:00,0.114,Real,</t>
  </si>
  <si>
    <t>ES0031408323131005HX0F,2023/06/26,08:00,0.086,Real,</t>
  </si>
  <si>
    <t>ES0031408323131005HX0F,2023/06/26,09:00,0.016,Real,</t>
  </si>
  <si>
    <t>ES0031408323131005HX0F,2023/06/26,10:00,0.115,Real,</t>
  </si>
  <si>
    <t>ES0031408323131005HX0F,2023/06/26,11:00,0.082,Real,</t>
  </si>
  <si>
    <t>ES0031408323131005HX0F,2023/06/26,12:00,0.022,Real,</t>
  </si>
  <si>
    <t>ES0031408323131005HX0F,2023/06/26,13:00,0.114,Real,</t>
  </si>
  <si>
    <t>ES0031408323131005HX0F,2023/06/26,14:00,0.08,Real,</t>
  </si>
  <si>
    <t>ES0031408323131005HX0F,2023/06/26,15:00,0.324,Real,</t>
  </si>
  <si>
    <t>ES0031408323131005HX0F,2023/06/26,16:00,0.114,Real,</t>
  </si>
  <si>
    <t>ES0031408323131005HX0F,2023/06/26,17:00,0.076,Real,</t>
  </si>
  <si>
    <t>ES0031408323131005HX0F,2023/06/26,18:00,0.029,Real,</t>
  </si>
  <si>
    <t>ES0031408323131005HX0F,2023/06/26,19:00,0.114,Real,</t>
  </si>
  <si>
    <t>ES0031408323131005HX0F,2023/06/26,20:00,0.07,Real,</t>
  </si>
  <si>
    <t>ES0031408323131005HX0F,2023/06/26,21:00,0.048,Real,</t>
  </si>
  <si>
    <t>ES0031408323131005HX0F,2023/06/26,22:00,0.01,Real,</t>
  </si>
  <si>
    <t>ES0031408323131005HX0F,2023/06/26,23:00,0.402,Real,</t>
  </si>
  <si>
    <t>ES0031408323131005HX0F,2023/06/26,24:00,0.09,Real,</t>
  </si>
  <si>
    <t>ES0031408323131005HX0F,2023/06/27,01:00,0.089,Real,</t>
  </si>
  <si>
    <t>ES0031408323131005HX0F,2023/06/27,02:00,0.011,Real,</t>
  </si>
  <si>
    <t>ES0031408323131005HX0F,2023/06/27,03:00,0.069,Real,</t>
  </si>
  <si>
    <t>ES0031408323131005HX0F,2023/06/27,04:00,0.121,Real,</t>
  </si>
  <si>
    <t>ES0031408323131005HX0F,2023/06/27,05:00,0.088,Real,</t>
  </si>
  <si>
    <t>ES0031408323131005HX0F,2023/06/27,06:00,0.051,Real,</t>
  </si>
  <si>
    <t>ES0031408323131005HX0F,2023/06/27,07:00,0.009,Real,</t>
  </si>
  <si>
    <t>ES0031408323131005HX0F,2023/06/27,08:00,0.389,Real,</t>
  </si>
  <si>
    <t>ES0031408323131005HX0F,2023/06/27,09:00,0.09,Real,</t>
  </si>
  <si>
    <t>ES0031408323131005HX0F,2023/06/27,10:00,0.089,Real,</t>
  </si>
  <si>
    <t>ES0031408323131005HX0F,2023/06/27,11:00,0.028,Real,</t>
  </si>
  <si>
    <t>ES0031408323131005HX0F,2023/06/27,12:00,0.029,Real,</t>
  </si>
  <si>
    <t>ES0031408323131005HX0F,2023/06/27,13:00,0.116,Real,</t>
  </si>
  <si>
    <t>ES0031408323131005HX0F,2023/06/27,14:00,0.09,Real,</t>
  </si>
  <si>
    <t>ES0031408323131005HX0F,2023/06/27,15:00,0.069,Real,</t>
  </si>
  <si>
    <t>ES0031408323131005HX0F,2023/06/27,16:00,0.009,Real,</t>
  </si>
  <si>
    <t>ES0031408323131005HX0F,2023/06/27,17:00,0.37,Real,</t>
  </si>
  <si>
    <t>ES0031408323131005HX0F,2023/06/27,18:00,0.112,Real,</t>
  </si>
  <si>
    <t>ES0031408323131005HX0F,2023/06/27,19:00,0.073,Real,</t>
  </si>
  <si>
    <t>ES0031408323131005HX0F,2023/06/27,20:00,0.054,Real,</t>
  </si>
  <si>
    <t>ES0031408323131005HX0F,2023/06/27,21:00,0.009,Real,</t>
  </si>
  <si>
    <t>ES0031408323131005HX0F,2023/06/27,22:00,0.102,Real,</t>
  </si>
  <si>
    <t>ES0031408323131005HX0F,2023/06/27,23:00,0.09,Real,</t>
  </si>
  <si>
    <t>ES0031408323131005HX0F,2023/06/27,24:00,0.089,Real,</t>
  </si>
  <si>
    <t>ES0031408323131005HX0F,2023/06/28,01:00,0.03,Real,</t>
  </si>
  <si>
    <t>ES0031408323131005HX0F,2023/06/28,02:00,0.351,Real,</t>
  </si>
  <si>
    <t>ES0031408323131005HX0F,2023/06/28,03:00,0.137,Real,</t>
  </si>
  <si>
    <t>ES0031408323131005HX0F,2023/06/28,04:00,0.1,Real,</t>
  </si>
  <si>
    <t>ES0031408323131005HX0F,2023/06/28,05:00,0.074,Real,</t>
  </si>
  <si>
    <t>ES0031408323131005HX0F,2023/06/28,06:00,0.009,Real,</t>
  </si>
  <si>
    <t>ES0031408323131005HX0F,2023/06/28,07:00,0.068,Real,</t>
  </si>
  <si>
    <t>ES0031408323131005HX0F,2023/06/28,08:00,0.113,Real,</t>
  </si>
  <si>
    <t>ES0031408323131005HX0F,2023/06/28,09:00,0.073,Real,</t>
  </si>
  <si>
    <t>ES0031408323131005HX0F,2023/06/28,10:00,0.063,Real,</t>
  </si>
  <si>
    <t>ES0031408323131005HX0F,2023/06/28,11:00,0.294,Real,</t>
  </si>
  <si>
    <t>ES0031408323131005HX0F,2023/06/28,12:00,0.117,Real,</t>
  </si>
  <si>
    <t>ES0031408323131005HX0F,2023/06/28,13:00,0.092,Real,</t>
  </si>
  <si>
    <t>ES0031408323131005HX0F,2023/06/28,14:00,0.089,Real,</t>
  </si>
  <si>
    <t>ES0031408323131005HX0F,2023/06/28,15:00,0.021,Real,</t>
  </si>
  <si>
    <t>ES0031408323131005HX0F,2023/06/28,16:00,0.038,Real,</t>
  </si>
  <si>
    <t>ES0031408323131005HX0F,2023/06/28,17:00,0.115,Real,</t>
  </si>
  <si>
    <t>ES0031408323131005HX0F,2023/06/28,18:00,0.087,Real,</t>
  </si>
  <si>
    <t>ES0031408323131005HX0F,2023/06/28,19:00,0.066,Real,</t>
  </si>
  <si>
    <t>ES0031408323131005HX0F,2023/06/28,20:00,0.31,Real,</t>
  </si>
  <si>
    <t>ES0031408323131005HX0F,2023/06/28,21:00,0.073,Real,</t>
  </si>
  <si>
    <t>ES0031408323131005HX0F,2023/06/28,22:00,0.112,Real,</t>
  </si>
  <si>
    <t>ES0031408323131005HX0F,2023/06/28,23:00,0.068,Real,</t>
  </si>
  <si>
    <t>ES0031408323131005HX0F,2023/06/28,24:00,0.056,Real,</t>
  </si>
  <si>
    <t>ES0031408323131005HX0F,2023/06/29,01:00,0.009,Real,</t>
  </si>
  <si>
    <t>ES0031408323131005HX0F,2023/06/29,02:00,0.104,Real,</t>
  </si>
  <si>
    <t>ES0031408323131005HX0F,2023/06/29,03:00,0.108,Real,</t>
  </si>
  <si>
    <t>ES0031408323131005HX0F,2023/06/29,04:00,0.106,Real,</t>
  </si>
  <si>
    <t>ES0031408323131005HX0F,2023/06/29,05:00,0.314,Real,</t>
  </si>
  <si>
    <t>ES0031408323131005HX0F,2023/06/29,06:00,0.029,Real,</t>
  </si>
  <si>
    <t>ES0031408323131005HX0F,2023/06/29,07:00,0.118,Real,</t>
  </si>
  <si>
    <t>ES0031408323131005HX0F,2023/06/29,08:00,0.144,Real,</t>
  </si>
  <si>
    <t>ES0031408323131005HX0F,2023/06/29,09:00,0.118,Real,</t>
  </si>
  <si>
    <t>ES0031408323131005HX0F,2023/06/29,10:00,0.093,Real,</t>
  </si>
  <si>
    <t>ES0031408323131005HX0F,2023/06/29,11:00,0.066,Real,</t>
  </si>
  <si>
    <t>ES0031408323131005HX0F,2023/06/29,12:00,0.062,Real,</t>
  </si>
  <si>
    <t>ES0031408323131005HX0F,2023/06/29,13:00,0.307,Real,</t>
  </si>
  <si>
    <t>ES0031408323131005HX0F,2023/06/29,14:00,0.153,Real,</t>
  </si>
  <si>
    <t>ES0031408323131005HX0F,2023/06/29,15:00,0.052,Real,</t>
  </si>
  <si>
    <t>ES0031408323131005HX0F,2023/06/29,16:00,0.107,Real,</t>
  </si>
  <si>
    <t>ES0031408323131005HX0F,2023/06/29,17:00,0.072,Real,</t>
  </si>
  <si>
    <t>ES0031408323131005HX0F,2023/06/29,18:00,0.039,Real,</t>
  </si>
  <si>
    <t>ES0031408323131005HX0F,2023/06/29,19:00,0.113,Real,</t>
  </si>
  <si>
    <t>ES0031408323131005HX0F,2023/06/29,20:00,0.081,Real,</t>
  </si>
  <si>
    <t>ES0031408323131005HX0F,2023/06/29,21:00,0.025,Real,</t>
  </si>
  <si>
    <t>ES0031408323131005HX0F,2023/06/29,22:00,0.414,Real,</t>
  </si>
  <si>
    <t>ES0031408323131005HX0F,2023/06/29,23:00,0.087,Real,</t>
  </si>
  <si>
    <t>ES0031408323131005HX0F,2023/06/29,24:00,0.025,Real,</t>
  </si>
  <si>
    <t>ES0031408323131005HX0F,2023/06/30,01:00,0.106,Real,</t>
  </si>
  <si>
    <t>ES0031408323131005HX0F,2023/06/30,02:00,0.125,Real,</t>
  </si>
  <si>
    <t>ES0031408323131005HX0F,2023/06/30,03:00,0.119,Real,</t>
  </si>
  <si>
    <t>ES0031408323131005HX0F,2023/06/30,04:00,0.093,Real,</t>
  </si>
  <si>
    <t>ES0031408323131005HX0F,2023/06/30,05:00,0.055,Real,</t>
  </si>
  <si>
    <t>ES0031408323131005HX0F,2023/06/30,06:00,0.071,Real,</t>
  </si>
  <si>
    <t>ES0031408323131005HX0F,2023/06/30,07:00,0.372,Real,</t>
  </si>
  <si>
    <t>ES0031408323131005HX0F,2023/06/30,08:00,0.062,Real,</t>
  </si>
  <si>
    <t>ES0031408323131005HX0F,2023/06/30,09:00,0.079,Real,</t>
  </si>
  <si>
    <t>ES0031408323131005HX0F,2023/06/30,10:00,0.102,Real,</t>
  </si>
  <si>
    <t>ES0031408323131005HX0F,2023/06/30,11:00,0.089,Real,</t>
  </si>
  <si>
    <t>ES0031408323131005HX0F,2023/06/30,12:00,0.024,Real,</t>
  </si>
  <si>
    <t>ES0031408323131005HX0F,2023/06/30,13:00,0.034,Real,</t>
  </si>
  <si>
    <t>ES0031408323131005HX0F,2023/06/30,14:00,0.115,Real,</t>
  </si>
  <si>
    <t>ES0031408323131005HX0F,2023/06/30,15:00,0.087,Real,</t>
  </si>
  <si>
    <t>ES0031408323131005HX0F,2023/06/30,16:00,0.354,Real,</t>
  </si>
  <si>
    <t>ES0031408323131005HX0F,2023/06/30,17:00,0.009,Real,</t>
  </si>
  <si>
    <t>ES0031408323131005HX0F,2023/06/30,18:00,0.081,Real,</t>
  </si>
  <si>
    <t>ES0031408323131005HX0F,2023/06/30,19:00,0.102,Real,</t>
  </si>
  <si>
    <t>ES0031408323131005HX0F,2023/06/30,20:00,0.075,Real,</t>
  </si>
  <si>
    <t>ES0031408323131005HX0F,2023/06/30,21:00,0.05,Real,</t>
  </si>
  <si>
    <t>ES0031408323131005HX0F,2023/06/30,22:00,0.134,Real,</t>
  </si>
  <si>
    <t>ES0031408323131005HX0F,2023/06/30,23:00,0.135,Real,</t>
  </si>
  <si>
    <t>ES0031408323131005HX0F,2023/06/30,24:00,0.432,Real,</t>
  </si>
  <si>
    <t>ES0031408323131005HX0F,2023/07/01,01:00,0.123,Real,</t>
  </si>
  <si>
    <t>ES0031408323131005HX0F,2023/07/01,02:00,0.127,Real,</t>
  </si>
  <si>
    <t>ES0031408323131005HX0F,2023/07/01,03:00,0.123,Real,</t>
  </si>
  <si>
    <t>ES0031408323131005HX0F,2023/07/01,04:00,0.121,Real,</t>
  </si>
  <si>
    <t>ES0031408323131005HX0F,2023/07/01,05:00,0.121,Real,</t>
  </si>
  <si>
    <t>ES0031408323131005HX0F,2023/07/01,06:00,0.1,Real,</t>
  </si>
  <si>
    <t>ES0031408323131005HX0F,2023/07/01,07:00,0.071,Real,</t>
  </si>
  <si>
    <t>ES0031408323131005HX0F,2023/07/01,08:00,0.352,Real,</t>
  </si>
  <si>
    <t>ES0031408323131005HX0F,2023/07/01,09:00,0.173,Real,</t>
  </si>
  <si>
    <t>ES0031408323131005HX0F,2023/07/01,10:00,0.119,Real,</t>
  </si>
  <si>
    <t>ES0031408323131005HX0F,2023/07/01,11:00,0.092,Real,</t>
  </si>
  <si>
    <t>ES0031408323131005HX0F,2023/07/01,12:00,0.042,Real,</t>
  </si>
  <si>
    <t>ES0031408323131005HX0F,2023/07/01,13:00,0.128,Real,</t>
  </si>
  <si>
    <t>ES0031408323131005HX0F,2023/07/01,14:00,0.206,Real,</t>
  </si>
  <si>
    <t>ES0031408323131005HX0F,2023/07/01,15:00,1.535,Real,</t>
  </si>
  <si>
    <t>ES0031408323131005HX0F,2023/07/01,16:00,0.072,Real,</t>
  </si>
  <si>
    <t>ES0031408323131005HX0F,2023/07/01,17:00,0.067,Real,</t>
  </si>
  <si>
    <t>ES0031408323131005HX0F,2023/07/01,18:00,0.061,Real,</t>
  </si>
  <si>
    <t>ES0031408323131005HX0F,2023/07/01,19:00,0.761,Real,</t>
  </si>
  <si>
    <t>ES0031408323131005HX0F,2023/07/01,20:00,0.851,Real,</t>
  </si>
  <si>
    <t>ES0031408323131005HX0F,2023/07/01,21:00,0.046,Real,</t>
  </si>
  <si>
    <t>ES0031408323131005HX0F,2023/07/01,22:00,0.078,Real,</t>
  </si>
  <si>
    <t>ES0031408323131005HX0F,2023/07/01,23:00,0.081,Real,</t>
  </si>
  <si>
    <t>ES0031408323131005HX0F,2023/07/01,24:00,0.062,Real,</t>
  </si>
  <si>
    <t>ES0031408323131005HX0F,2023/07/02,01:00,0.088,Real,</t>
  </si>
  <si>
    <t>ES0031408323131005HX0F,2023/07/02,02:00,0.378,Real,</t>
  </si>
  <si>
    <t>ES0031408323131005HX0F,2023/07/02,03:00,0.07,Real,</t>
  </si>
  <si>
    <t>ES0031408323131005HX0F,2023/07/02,04:00,0.075,Real,</t>
  </si>
  <si>
    <t>ES0031408323131005HX0F,2023/07/02,05:00,0.089,Real,</t>
  </si>
  <si>
    <t>ES0031408323131005HX0F,2023/07/02,06:00,0.067,Real,</t>
  </si>
  <si>
    <t>ES0031408323131005HX0F,2023/07/02,07:00,0.08,Real,</t>
  </si>
  <si>
    <t>ES0031408323131005HX0F,2023/07/02,08:00,0.127,Real,</t>
  </si>
  <si>
    <t>ES0031408323131005HX0F,2023/07/02,09:00,0.129,Real,</t>
  </si>
  <si>
    <t>ES0031408323131005HX0F,2023/07/02,10:00,0.091,Real,</t>
  </si>
  <si>
    <t>ES0031408323131005HX0F,2023/07/02,11:00,0.38,Real,</t>
  </si>
  <si>
    <t>ES0031408323131005HX0F,2023/07/02,12:00,0.703,Real,</t>
  </si>
  <si>
    <t>ES0031408323131005HX0F,2023/07/02,13:00,0.082,Real,</t>
  </si>
  <si>
    <t>ES0031408323131005HX0F,2023/07/02,14:00,0.068,Real,</t>
  </si>
  <si>
    <t>ES0031408323131005HX0F,2023/07/02,15:00,1.346,Real,</t>
  </si>
  <si>
    <t>ES0031408323131005HX0F,2023/07/02,16:00,0.112,Real,</t>
  </si>
  <si>
    <t>ES0031408323131005HX0F,2023/07/02,17:00,0.121,Real,</t>
  </si>
  <si>
    <t>ES0031408323131005HX0F,2023/07/02,18:00,0.105,Real,</t>
  </si>
  <si>
    <t>ES0031408323131005HX0F,2023/07/02,19:00,0.107,Real,</t>
  </si>
  <si>
    <t>ES0031408323131005HX0F,2023/07/02,20:00,0.016,Real,</t>
  </si>
  <si>
    <t>ES0031408323131005HX0F,2023/07/02,21:00,0.372,Real,</t>
  </si>
  <si>
    <t>ES0031408323131005HX0F,2023/07/02,22:00,0.079,Real,</t>
  </si>
  <si>
    <t>ES0031408323131005HX0F,2023/07/02,23:00,0.021,Real,</t>
  </si>
  <si>
    <t>ES0031408323131005HX0F,2023/07/02,24:00,0.12,Real,</t>
  </si>
  <si>
    <t>ES0031408323131005HX0F,2023/07/03,01:00,0.121,Real,</t>
  </si>
  <si>
    <t>ES0031408323131005HX0F,2023/07/03,02:00,0.102,Real,</t>
  </si>
  <si>
    <t>ES0031408323131005HX0F,2023/07/03,03:00,0.067,Real,</t>
  </si>
  <si>
    <t>ES0031408323131005HX0F,2023/07/03,04:00,0.05,Real,</t>
  </si>
  <si>
    <t>ES0031408323131005HX0F,2023/07/03,05:00,0.368,Real,</t>
  </si>
  <si>
    <t>ES0031408323131005HX0F,2023/07/03,06:00,0.063,Real,</t>
  </si>
  <si>
    <t>ES0031408323131005HX0F,2023/07/03,07:00,0.055,Real,</t>
  </si>
  <si>
    <t>ES0031408323131005HX0F,2023/07/03,08:00,0.091,Real,</t>
  </si>
  <si>
    <t>ES0031408323131005HX0F,2023/07/03,09:00,0.076,Real,</t>
  </si>
  <si>
    <t>ES0031408323131005HX0F,2023/07/03,10:00,0.078,Real,</t>
  </si>
  <si>
    <t>ES0031408323131005HX0F,2023/07/03,11:00,0.085,Real,</t>
  </si>
  <si>
    <t>ES0031408323131005HX0F,2023/07/03,12:00,0.058,Real,</t>
  </si>
  <si>
    <t>ES0031408323131005HX0F,2023/07/03,13:00,0.358,Real,</t>
  </si>
  <si>
    <t>ES0031408323131005HX0F,2023/07/03,14:00,0.086,Real,</t>
  </si>
  <si>
    <t>ES0031408323131005HX0F,2023/07/03,15:00,0.05,Real,</t>
  </si>
  <si>
    <t>ES0031408323131005HX0F,2023/07/03,16:00,0.081,Real,</t>
  </si>
  <si>
    <t>ES0031408323131005HX0F,2023/07/03,17:00,0.098,Real,</t>
  </si>
  <si>
    <t>ES0031408323131005HX0F,2023/07/03,18:00,0.1,Real,</t>
  </si>
  <si>
    <t>ES0031408323131005HX0F,2023/07/03,19:00,0.023,Real,</t>
  </si>
  <si>
    <t>ES0031408323131005HX0F,2023/07/03,20:00,0.13,Real,</t>
  </si>
  <si>
    <t>ES0031408323131005HX0F,2023/07/03,21:00,0.255,Real,</t>
  </si>
  <si>
    <t>ES0031408323131005HX0F,2023/07/03,22:00,0.238,Real,</t>
  </si>
  <si>
    <t>ES0031408323131005HX0F,2023/07/03,23:00,0.06,Real,</t>
  </si>
  <si>
    <t>ES0031408323131005HX0F,2023/07/03,24:00,0.066,Real,</t>
  </si>
  <si>
    <t>ES0031408323131005HX0F,2023/07/04,01:00,0.087,Real,</t>
  </si>
  <si>
    <t>ES0031408323131005HX0F,2023/07/04,02:00,0.061,Real,</t>
  </si>
  <si>
    <t>ES0031408323131005HX0F,2023/07/04,03:00,0.07,Real,</t>
  </si>
  <si>
    <t>ES0031408323131005HX0F,2023/07/04,04:00,0.085,Real,</t>
  </si>
  <si>
    <t>ES0031408323131005HX0F,2023/07/04,05:00,0.056,Real,</t>
  </si>
  <si>
    <t>ES0031408323131005HX0F,2023/07/04,06:00,0.389,Real,</t>
  </si>
  <si>
    <t>ES0031408323131005HX0F,2023/07/04,07:00,0.086,Real,</t>
  </si>
  <si>
    <t>ES0031408323131005HX0F,2023/07/04,08:00,0.047,Real,</t>
  </si>
  <si>
    <t>ES0031408323131005HX0F,2023/07/04,09:00,0.084,Real,</t>
  </si>
  <si>
    <t>ES0031408323131005HX0F,2023/07/04,10:00,0.085,Real,</t>
  </si>
  <si>
    <t>ES0031408323131005HX0F,2023/07/04,11:00,0.038,Real,</t>
  </si>
  <si>
    <t>ES0031408323131005HX0F,2023/07/04,12:00,0.092,Real,</t>
  </si>
  <si>
    <t>ES0031408323131005HX0F,2023/07/04,13:00,0.086,Real,</t>
  </si>
  <si>
    <t>ES0031408323131005HX0F,2023/07/04,14:00,0.029,Real,</t>
  </si>
  <si>
    <t>ES0031408323131005HX0F,2023/07/04,15:00,0.4,Real,</t>
  </si>
  <si>
    <t>ES0031408323131005HX0F,2023/07/04,16:00,0.125,Real,</t>
  </si>
  <si>
    <t>ES0031408323131005HX0F,2023/07/04,17:00,0.116,Real,</t>
  </si>
  <si>
    <t>ES0031408323131005HX0F,2023/07/04,18:00,0.091,Real,</t>
  </si>
  <si>
    <t>ES0031408323131005HX0F,2023/07/04,19:00,0.025,Real,</t>
  </si>
  <si>
    <t>ES0031408323131005HX0F,2023/07/04,20:00,0.131,Real,</t>
  </si>
  <si>
    <t>ES0031408323131005HX0F,2023/07/04,21:00,0.082,Real,</t>
  </si>
  <si>
    <t>ES0031408323131005HX0F,2023/07/04,22:00,0.045,Real,</t>
  </si>
  <si>
    <t>ES0031408323131005HX0F,2023/07/04,23:00,0.296,Real,</t>
  </si>
  <si>
    <t>ES0031408323131005HX0F,2023/07/04,24:00,0.098,Real,</t>
  </si>
  <si>
    <t>ES0031408323131005HX0F,2023/07/05,01:00,0.086,Real,</t>
  </si>
  <si>
    <t>ES0031408323131005HX0F,2023/07/05,02:00,0.09,Real,</t>
  </si>
  <si>
    <t>ES0031408323131005HX0F,2023/07/05,03:00,0.015,Real,</t>
  </si>
  <si>
    <t>ES0031408323131005HX0F,2023/07/05,04:00,0.04,Real,</t>
  </si>
  <si>
    <t>ES0031408323131005HX0F,2023/07/05,05:00,0.115,Real,</t>
  </si>
  <si>
    <t>ES0031408323131005HX0F,2023/07/05,06:00,0.084,Real,</t>
  </si>
  <si>
    <t>ES0031408323131005HX0F,2023/07/05,07:00,0.048,Real,</t>
  </si>
  <si>
    <t>ES0031408323131005HX0F,2023/07/05,08:00,0.298,Real,</t>
  </si>
  <si>
    <t>ES0031408323131005HX0F,2023/07/05,09:00,0.09,Real,</t>
  </si>
  <si>
    <t>ES0031408323131005HX0F,2023/07/05,10:00,0.089,Real,</t>
  </si>
  <si>
    <t>ES0031408323131005HX0F,2023/07/05,11:00,0.086,Real,</t>
  </si>
  <si>
    <t>ES0031408323131005HX0F,2023/07/05,12:00,0.019,Real,</t>
  </si>
  <si>
    <t>ES0031408323131005HX0F,2023/07/05,13:00,0.035,Real,</t>
  </si>
  <si>
    <t>ES0031408323131005HX0F,2023/07/05,14:00,0.115,Real,</t>
  </si>
  <si>
    <t>ES0031408323131005HX0F,2023/07/05,15:00,0.083,Real,</t>
  </si>
  <si>
    <t>ES0031408323131005HX0F,2023/07/05,16:00,0.334,Real,</t>
  </si>
  <si>
    <t>ES0031408323131005HX0F,2023/07/05,17:00,0.009,Real,</t>
  </si>
  <si>
    <t>ES0031408323131005HX0F,2023/07/05,18:00,0.086,Real,</t>
  </si>
  <si>
    <t>ES0031408323131005HX0F,2023/07/05,19:00,0.104,Real,</t>
  </si>
  <si>
    <t>ES0031408323131005HX0F,2023/07/05,20:00,0.097,Real,</t>
  </si>
  <si>
    <t>ES0031408323131005HX0F,2023/07/05,21:00,0.025,Real,</t>
  </si>
  <si>
    <t>ES0031408323131005HX0F,2023/07/05,22:00,0.027,Real,</t>
  </si>
  <si>
    <t>ES0031408323131005HX0F,2023/07/05,23:00,0.116,Real,</t>
  </si>
  <si>
    <t>ES0031408323131005HX0F,2023/07/05,24:00,0.369,Real,</t>
  </si>
  <si>
    <t>ES0031408323131005HX0F,2023/07/06,01:00,0.061,Real,</t>
  </si>
  <si>
    <t>ES0031408323131005HX0F,2023/07/06,02:00,0.009,Real,</t>
  </si>
  <si>
    <t>ES0031408323131005HX0F,2023/07/06,03:00,0.075,Real,</t>
  </si>
  <si>
    <t>ES0031408323131005HX0F,2023/07/06,04:00,0.102,Real,</t>
  </si>
  <si>
    <t>ES0031408323131005HX0F,2023/07/06,05:00,0.071,Real,</t>
  </si>
  <si>
    <t>ES0031408323131005HX0F,2023/07/06,06:00,0.034,Real,</t>
  </si>
  <si>
    <t>ES0031408323131005HX0F,2023/07/06,07:00,0.019,Real,</t>
  </si>
  <si>
    <t>ES0031408323131005HX0F,2023/07/06,08:00,0.116,Real,</t>
  </si>
  <si>
    <t>ES0031408323131005HX0F,2023/07/06,09:00,0.363,Real,</t>
  </si>
  <si>
    <t>ES0031408323131005HX0F,2023/07/06,10:00,0.062,Real,</t>
  </si>
  <si>
    <t>ES0031408323131005HX0F,2023/07/06,11:00,0.009,Real,</t>
  </si>
  <si>
    <t>ES0031408323131005HX0F,2023/07/06,12:00,0.073,Real,</t>
  </si>
  <si>
    <t>ES0031408323131005HX0F,2023/07/06,13:00,0.103,Real,</t>
  </si>
  <si>
    <t>ES0031408323131005HX0F,2023/07/06,14:00,0.07,Real,</t>
  </si>
  <si>
    <t>ES0031408323131005HX0F,2023/07/06,15:00,0.034,Real,</t>
  </si>
  <si>
    <t>ES0031408323131005HX0F,2023/07/06,16:00,0.018,Real,</t>
  </si>
  <si>
    <t>ES0031408323131005HX0F,2023/07/06,17:00,0.39,Real,</t>
  </si>
  <si>
    <t>ES0031408323131005HX0F,2023/07/06,18:00,0.083,Real,</t>
  </si>
  <si>
    <t>ES0031408323131005HX0F,2023/07/06,19:00,0.073,Real,</t>
  </si>
  <si>
    <t>ES0031408323131005HX0F,2023/07/06,20:00,0.027,Real,</t>
  </si>
  <si>
    <t>ES0031408323131005HX0F,2023/07/06,21:00,0.078,Real,</t>
  </si>
  <si>
    <t>ES0031408323131005HX0F,2023/07/06,22:00,0.114,Real,</t>
  </si>
  <si>
    <t>ES0031408323131005HX0F,2023/07/06,23:00,0.086,Real,</t>
  </si>
  <si>
    <t>ES0031408323131005HX0F,2023/07/06,24:00,0.056,Real,</t>
  </si>
  <si>
    <t>ES0031408323131005HX0F,2023/07/07,01:00,0.295,Real,</t>
  </si>
  <si>
    <t>ES0031408323131005HX0F,2023/07/07,02:00,0.084,Real,</t>
  </si>
  <si>
    <t>ES0031408323131005HX0F,2023/07/07,03:00,0.097,Real,</t>
  </si>
  <si>
    <t>ES0031408323131005HX0F,2023/07/07,04:00,0.08,Real,</t>
  </si>
  <si>
    <t>ES0031408323131005HX0F,2023/07/07,05:00,0.027,Real,</t>
  </si>
  <si>
    <t>ES0031408323131005HX0F,2023/07/07,06:00,0.029,Real,</t>
  </si>
  <si>
    <t>ES0031408323131005HX0F,2023/07/07,07:00,0.116,Real,</t>
  </si>
  <si>
    <t>ES0031408323131005HX0F,2023/07/07,08:00,0.084,Real,</t>
  </si>
  <si>
    <t>ES0031408323131005HX0F,2023/07/07,09:00,0.328,Real,</t>
  </si>
  <si>
    <t>ES0031408323131005HX0F,2023/07/07,10:00,0.009,Real,</t>
  </si>
  <si>
    <t>ES0031408323131005HX0F,2023/07/07,11:00,0.085,Real,</t>
  </si>
  <si>
    <t>ES0031408323131005HX0F,2023/07/07,12:00,0.092,Real,</t>
  </si>
  <si>
    <t>ES0031408323131005HX0F,2023/07/07,13:00,0.084,Real,</t>
  </si>
  <si>
    <t>ES0031408323131005HX0F,2023/07/07,14:00,0.018,Real,</t>
  </si>
  <si>
    <t>ES0031408323131005HX0F,2023/07/07,15:00,0.039,Real,</t>
  </si>
  <si>
    <t>ES0031408323131005HX0F,2023/07/07,16:00,0.114,Real,</t>
  </si>
  <si>
    <t>ES0031408323131005HX0F,2023/07/07,17:00,0.36,Real,</t>
  </si>
  <si>
    <t>ES0031408323131005HX0F,2023/07/07,18:00,0.051,Real,</t>
  </si>
  <si>
    <t>ES0031408323131005HX0F,2023/07/07,19:00,0.02,Real,</t>
  </si>
  <si>
    <t>ES0031408323131005HX0F,2023/07/07,20:00,0.105,Real,</t>
  </si>
  <si>
    <t>ES0031408323131005HX0F,2023/07/07,21:00,0.094,Real,</t>
  </si>
  <si>
    <t>ES0031408323131005HX0F,2023/07/07,22:00,0.081,Real,</t>
  </si>
  <si>
    <t>ES0031408323131005HX0F,2023/07/07,23:00,0.026,Real,</t>
  </si>
  <si>
    <t>ES0031408323131005HX0F,2023/07/07,24:00,0.029,Real,</t>
  </si>
  <si>
    <t>ES0031408323131005HX0F,2023/07/08,01:00,0.396,Real,</t>
  </si>
  <si>
    <t>ES0031408323131005HX0F,2023/07/08,02:00,0.085,Real,</t>
  </si>
  <si>
    <t>ES0031408323131005HX0F,2023/07/08,03:00,0.058,Real,</t>
  </si>
  <si>
    <t>ES0031408323131005HX0F,2023/07/08,04:00,0.009,Real,</t>
  </si>
  <si>
    <t>ES0031408323131005HX0F,2023/07/08,05:00,0.081,Real,</t>
  </si>
  <si>
    <t>ES0031408323131005HX0F,2023/07/08,06:00,0.101,Real,</t>
  </si>
  <si>
    <t>ES0031408323131005HX0F,2023/07/08,07:00,0.074,Real,</t>
  </si>
  <si>
    <t>ES0031408323131005HX0F,2023/07/08,08:00,0.034,Real,</t>
  </si>
  <si>
    <t>ES0031408323131005HX0F,2023/07/08,09:00,0.305,Real,</t>
  </si>
  <si>
    <t>ES0031408323131005HX0F,2023/07/08,10:00,0.115,Real,</t>
  </si>
  <si>
    <t>ES0031408323131005HX0F,2023/07/08,11:00,0.085,Real,</t>
  </si>
  <si>
    <t>ES0031408323131005HX0F,2023/07/08,12:00,0.066,Real,</t>
  </si>
  <si>
    <t>ES0031408323131005HX0F,2023/07/08,13:00,0.01,Real,</t>
  </si>
  <si>
    <t>ES0031408323131005HX0F,2023/07/08,14:00,0.071,Real,</t>
  </si>
  <si>
    <t>ES0031408323131005HX0F,2023/07/08,15:00,0.111,Real,</t>
  </si>
  <si>
    <t>ES0031408323131005HX0F,2023/07/08,16:00,0.066,Real,</t>
  </si>
  <si>
    <t>ES0031408323131005HX0F,2023/07/08,17:00,0.202,Real,</t>
  </si>
  <si>
    <t>ES0031408323131005HX0F,2023/07/08,18:00,0.123,Real,</t>
  </si>
  <si>
    <t>ES0031408323131005HX0F,2023/07/08,19:00,0.127,Real,</t>
  </si>
  <si>
    <t>ES0031408323131005HX0F,2023/07/08,20:00,0.104,Real,</t>
  </si>
  <si>
    <t>ES0031408323131005HX0F,2023/07/08,21:00,0.077,Real,</t>
  </si>
  <si>
    <t>ES0031408323131005HX0F,2023/07/08,22:00,0.009,Real,</t>
  </si>
  <si>
    <t>ES0031408323131005HX0F,2023/07/08,23:00,0.061,Real,</t>
  </si>
  <si>
    <t>ES0031408323131005HX0F,2023/07/08,24:00,0.114,Real,</t>
  </si>
  <si>
    <t>ES0031408323131005HX0F,2023/07/09,01:00,0.349,Real,</t>
  </si>
  <si>
    <t>ES0031408323131005HX0F,2023/07/09,02:00,0.049,Real,</t>
  </si>
  <si>
    <t>ES0031408323131005HX0F,2023/07/09,03:00,0.028,Real,</t>
  </si>
  <si>
    <t>ES0031408323131005HX0F,2023/07/09,04:00,0.117,Real,</t>
  </si>
  <si>
    <t>ES0031408323131005HX0F,2023/07/09,05:00,0.088,Real,</t>
  </si>
  <si>
    <t>ES0031408323131005HX0F,2023/07/09,06:00,0.077,Real,</t>
  </si>
  <si>
    <t>ES0031408323131005HX0F,2023/07/09,07:00,0.01,Real,</t>
  </si>
  <si>
    <t>ES0031408323131005HX0F,2023/07/09,08:00,0.058,Real,</t>
  </si>
  <si>
    <t>ES0031408323131005HX0F,2023/07/09,09:00,0.235,Real,</t>
  </si>
  <si>
    <t>ES0031408323131005HX0F,2023/07/09,10:00,0.224,Real,</t>
  </si>
  <si>
    <t>ES0031408323131005HX0F,2023/07/09,11:00,0.047,Real,</t>
  </si>
  <si>
    <t>ES0031408323131005HX0F,2023/07/09,12:00,0.009,Real,</t>
  </si>
  <si>
    <t>ES0031408323131005HX0F,2023/07/09,13:00,0.112,Real,</t>
  </si>
  <si>
    <t>ES0031408323131005HX0F,2023/07/09,14:00,0.085,Real,</t>
  </si>
  <si>
    <t>ES0031408323131005HX0F,2023/07/09,15:00,0.086,Real,</t>
  </si>
  <si>
    <t>ES0031408323131005HX0F,2023/07/09,16:00,0.009,Real,</t>
  </si>
  <si>
    <t>ES0031408323131005HX0F,2023/07/09,17:00,0.066,Real,</t>
  </si>
  <si>
    <t>ES0031408323131005HX0F,2023/07/09,18:00,0.4,Real,</t>
  </si>
  <si>
    <t>ES0031408323131005HX0F,2023/07/09,19:00,0.089,Real,</t>
  </si>
  <si>
    <t>ES0031408323131005HX0F,2023/07/09,20:00,0.068,Real,</t>
  </si>
  <si>
    <t>ES0031408323131005HX0F,2023/07/09,21:00,0.009,Real,</t>
  </si>
  <si>
    <t>ES0031408323131005HX0F,2023/07/09,22:00,0.099,Real,</t>
  </si>
  <si>
    <t>ES0031408323131005HX0F,2023/07/09,23:00,0.088,Real,</t>
  </si>
  <si>
    <t>ES0031408323131005HX0F,2023/07/09,24:00,0.089,Real,</t>
  </si>
  <si>
    <t>ES0031408323131005HX0F,2023/07/10,01:00,0.021,Real,</t>
  </si>
  <si>
    <t>ES0031408323131005HX0F,2023/07/10,02:00,0.251,Real,</t>
  </si>
  <si>
    <t>ES0031408323131005HX0F,2023/07/10,03:00,0.178,Real,</t>
  </si>
  <si>
    <t>ES0031408323131005HX0F,2023/07/10,04:00,0.086,Real,</t>
  </si>
  <si>
    <t>ES0031408323131005HX0F,2023/07/10,05:00,0.058,Real,</t>
  </si>
  <si>
    <t>ES0031408323131005HX0F,2023/07/10,06:00,0.01,Real,</t>
  </si>
  <si>
    <t>ES0031408323131005HX0F,2023/07/10,07:00,0.084,Real,</t>
  </si>
  <si>
    <t>ES0031408323131005HX0F,2023/07/10,08:00,0.104,Real,</t>
  </si>
  <si>
    <t>ES0031408323131005HX0F,2023/07/10,09:00,0.073,Real,</t>
  </si>
  <si>
    <t>ES0031408323131005HX0F,2023/07/10,10:00,0.036,Real,</t>
  </si>
  <si>
    <t>ES0031408323131005HX0F,2023/07/10,11:00,0.308,Real,</t>
  </si>
  <si>
    <t>ES0031408323131005HX0F,2023/07/10,12:00,0.116,Real,</t>
  </si>
  <si>
    <t>ES0031408323131005HX0F,2023/07/10,13:00,0.086,Real,</t>
  </si>
  <si>
    <t>ES0031408323131005HX0F,2023/07/10,14:00,0.074,Real,</t>
  </si>
  <si>
    <t>ES0031408323131005HX0F,2023/07/10,15:00,0.01,Real,</t>
  </si>
  <si>
    <t>ES0031408323131005HX0F,2023/07/10,16:00,0.067,Real,</t>
  </si>
  <si>
    <t>ES0031408323131005HX0F,2023/07/10,17:00,0.113,Real,</t>
  </si>
  <si>
    <t>ES0031408323131005HX0F,2023/07/10,18:00,0.071,Real,</t>
  </si>
  <si>
    <t>ES0031408323131005HX0F,2023/07/10,19:00,0.338,Real,</t>
  </si>
  <si>
    <t>ES0031408323131005HX0F,2023/07/10,20:00,0.038,Real,</t>
  </si>
  <si>
    <t>ES0031408323131005HX0F,2023/07/10,21:00,0.107,Real,</t>
  </si>
  <si>
    <t>ES0031408323131005HX0F,2023/07/10,22:00,0.087,Real,</t>
  </si>
  <si>
    <t>ES0031408323131005HX0F,2023/07/10,23:00,0.091,Real,</t>
  </si>
  <si>
    <t>ES0031408323131005HX0F,2023/07/10,24:00,0.02,Real,</t>
  </si>
  <si>
    <t>ES0031408323131005HX0F,2023/07/11,01:00,0.039,Real,</t>
  </si>
  <si>
    <t>ES0031408323131005HX0F,2023/07/11,02:00,0.116,Real,</t>
  </si>
  <si>
    <t>ES0031408323131005HX0F,2023/07/11,03:00,0.086,Real,</t>
  </si>
  <si>
    <t>ES0031408323131005HX0F,2023/07/11,04:00,0.345,Real,</t>
  </si>
  <si>
    <t>ES0031408323131005HX0F,2023/07/11,05:00,0.01,Real,</t>
  </si>
  <si>
    <t>ES0031408323131005HX0F,2023/07/11,06:00,0.08,Real,</t>
  </si>
  <si>
    <t>ES0031408323131005HX0F,2023/07/11,07:00,0.112,Real,</t>
  </si>
  <si>
    <t>ES0031408323131005HX0F,2023/07/11,08:00,0.09,Real,</t>
  </si>
  <si>
    <t>ES0031408323131005HX0F,2023/07/11,09:00,0.073,Real,</t>
  </si>
  <si>
    <t>ES0031408323131005HX0F,2023/07/11,10:00,0.01,Real,</t>
  </si>
  <si>
    <t>ES0031408323131005HX0F,2023/07/11,11:00,0.069,Real,</t>
  </si>
  <si>
    <t>ES0031408323131005HX0F,2023/07/11,12:00,0.397,Real,</t>
  </si>
  <si>
    <t>ES0031408323131005HX0F,2023/07/11,13:00,0.071,Real,</t>
  </si>
  <si>
    <t>ES0031408323131005HX0F,2023/07/11,14:00,0.05,Real,</t>
  </si>
  <si>
    <t>ES0031408323131005HX0F,2023/07/11,15:00,0.009,Real,</t>
  </si>
  <si>
    <t>ES0031408323131005HX0F,2023/07/11,16:00,0.107,Real,</t>
  </si>
  <si>
    <t>ES0031408323131005HX0F,2023/07/11,17:00,0.084,Real,</t>
  </si>
  <si>
    <t>ES0031408323131005HX0F,2023/07/11,18:00,0.091,Real,</t>
  </si>
  <si>
    <t>ES0031408323131005HX0F,2023/07/11,19:00,0.031,Real,</t>
  </si>
  <si>
    <t>ES0031408323131005HX0F,2023/07/11,20:00,0.058,Real,</t>
  </si>
  <si>
    <t>ES0031408323131005HX0F,2023/07/11,21:00,0.398,Real,</t>
  </si>
  <si>
    <t>ES0031408323131005HX0F,2023/07/11,22:00,0.083,Real,</t>
  </si>
  <si>
    <t>ES0031408323131005HX0F,2023/07/11,23:00,0.07,Real,</t>
  </si>
  <si>
    <t>ES0031408323131005HX0F,2023/07/11,24:00,0.01,Real,</t>
  </si>
  <si>
    <t>ES0031408323131005HX0F,2023/07/12,01:00,0.071,Real,</t>
  </si>
  <si>
    <t>ES0031408323131005HX0F,2023/07/12,02:00,0.113,Real,</t>
  </si>
  <si>
    <t>ES0031408323131005HX0F,2023/07/12,03:00,0.07,Real,</t>
  </si>
  <si>
    <t>ES0031408323131005HX0F,2023/07/12,04:00,0.054,Real,</t>
  </si>
  <si>
    <t>ES0031408323131005HX0F,2023/07/12,05:00,0.057,Real,</t>
  </si>
  <si>
    <t>ES0031408323131005HX0F,2023/07/12,06:00,0.352,Real,</t>
  </si>
  <si>
    <t>ES0031408323131005HX0F,2023/07/12,07:00,0.092,Real,</t>
  </si>
  <si>
    <t>ES0031408323131005HX0F,2023/07/12,08:00,0.082,Real,</t>
  </si>
  <si>
    <t>ES0031408323131005HX0F,2023/07/12,09:00,0.028,Real,</t>
  </si>
  <si>
    <t>ES0031408323131005HX0F,2023/07/12,10:00,0.028,Real,</t>
  </si>
  <si>
    <t>ES0031408323131005HX0F,2023/07/12,11:00,0.116,Real,</t>
  </si>
  <si>
    <t>ES0031408323131005HX0F,2023/07/12,12:00,0.084,Real,</t>
  </si>
  <si>
    <t>ES0031408323131005HX0F,2023/07/12,13:00,0.074,Real,</t>
  </si>
  <si>
    <t>ES0031408323131005HX0F,2023/07/12,14:00,0.256,Real,</t>
  </si>
  <si>
    <t>ES0031408323131005HX0F,2023/07/12,15:00,0.102,Real,</t>
  </si>
  <si>
    <t>ES0031408323131005HX0F,2023/07/12,16:00,0.113,Real,</t>
  </si>
  <si>
    <t>ES0031408323131005HX0F,2023/07/12,17:00,0.073,Real,</t>
  </si>
  <si>
    <t>ES0031408323131005HX0F,2023/07/12,18:00,0.052,Real,</t>
  </si>
  <si>
    <t>ES0031408323131005HX0F,2023/07/12,19:00,0.02,Real,</t>
  </si>
  <si>
    <t>ES0031408323131005HX0F,2023/07/12,20:00,0.12,Real,</t>
  </si>
  <si>
    <t>ES0031408323131005HX0F,2023/07/12,21:00,0.097,Real,</t>
  </si>
  <si>
    <t>ES0031408323131005HX0F,2023/07/12,22:00,0.075,Real,</t>
  </si>
  <si>
    <t>ES0031408323131005HX0F,2023/07/12,23:00,0.32,Real,</t>
  </si>
  <si>
    <t>ES0031408323131005HX0F,2023/07/12,24:00,0.018,Real,</t>
  </si>
  <si>
    <t>ES0031408323131005HX0F,2023/07/13,01:00,0.117,Real,</t>
  </si>
  <si>
    <t>ES0031408323131005HX0F,2023/07/13,02:00,0.084,Real,</t>
  </si>
  <si>
    <t>ES0031408323131005HX0F,2023/07/13,03:00,0.09,Real,</t>
  </si>
  <si>
    <t>ES0031408323131005HX0F,2023/07/13,04:00,0.009,Real,</t>
  </si>
  <si>
    <t>ES0031408323131005HX0F,2023/07/13,05:00,0.051,Real,</t>
  </si>
  <si>
    <t>ES0031408323131005HX0F,2023/07/13,06:00,0.114,Real,</t>
  </si>
  <si>
    <t>ES0031408323131005HX0F,2023/07/13,07:00,0.095,Real,</t>
  </si>
  <si>
    <t>ES0031408323131005HX0F,2023/07/13,08:00,0.334,Real,</t>
  </si>
  <si>
    <t>ES0031408323131005HX0F,2023/07/13,09:00,0.009,Real,</t>
  </si>
  <si>
    <t>ES0031408323131005HX0F,2023/07/13,10:00,0.087,Real,</t>
  </si>
  <si>
    <t>ES0031408323131005HX0F,2023/07/13,11:00,0.104,Real,</t>
  </si>
  <si>
    <t>ES0031408323131005HX0F,2023/07/13,12:00,0.104,Real,</t>
  </si>
  <si>
    <t>ES0031408323131005HX0F,2023/07/13,13:00,0.069,Real,</t>
  </si>
  <si>
    <t>ES0031408323131005HX0F,2023/07/13,14:00,0.03,Real,</t>
  </si>
  <si>
    <t>ES0031408323131005HX0F,2023/07/13,15:00,0.025,Real,</t>
  </si>
  <si>
    <t>ES0031408323131005HX0F,2023/07/13,16:00,0.401,Real,</t>
  </si>
  <si>
    <t>ES0031408323131005HX0F,2023/07/13,17:00,0.083,Real,</t>
  </si>
  <si>
    <t>ES0031408323131005HX0F,2023/07/13,18:00,0.077,Real,</t>
  </si>
  <si>
    <t>ES0031408323131005HX0F,2023/07/13,19:00,0.02,Real,</t>
  </si>
  <si>
    <t>ES0031408323131005HX0F,2023/07/13,20:00,0.085,Real,</t>
  </si>
  <si>
    <t>ES0031408323131005HX0F,2023/07/13,21:00,0.116,Real,</t>
  </si>
  <si>
    <t>ES0031408323131005HX0F,2023/07/13,22:00,0.076,Real,</t>
  </si>
  <si>
    <t>ES0031408323131005HX0F,2023/07/13,23:00,0.053,Real,</t>
  </si>
  <si>
    <t>ES0031408323131005HX0F,2023/07/13,24:00,0.009,Real,</t>
  </si>
  <si>
    <t>ES0031408323131005HX0F,2023/07/14,01:00,0.406,Real,</t>
  </si>
  <si>
    <t>ES0031408323131005HX0F,2023/07/14,02:00,0.099,Real,</t>
  </si>
  <si>
    <t>ES0031408323131005HX0F,2023/07/14,03:00,0.078,Real,</t>
  </si>
  <si>
    <t>ES0031408323131005HX0F,2023/07/14,04:00,0.033,Real,</t>
  </si>
  <si>
    <t>ES0031408323131005HX0F,2023/07/14,05:00,0.023,Real,</t>
  </si>
  <si>
    <t>ES0031408323131005HX0F,2023/07/14,06:00,0.117,Real,</t>
  </si>
  <si>
    <t>ES0031408323131005HX0F,2023/07/14,07:00,0.084,Real,</t>
  </si>
  <si>
    <t>ES0031408323131005HX0F,2023/07/14,08:00,0.084,Real,</t>
  </si>
  <si>
    <t>ES0031408323131005HX0F,2023/07/14,09:00,0.01,Real,</t>
  </si>
  <si>
    <t>ES0031408323131005HX0F,2023/07/14,10:00,0.364,Real,</t>
  </si>
  <si>
    <t>ES0031408323131005HX0F,2023/07/14,11:00,0.114,Real,</t>
  </si>
  <si>
    <t>ES0031408323131005HX0F,2023/07/14,12:00,0.083,Real,</t>
  </si>
  <si>
    <t>ES0031408323131005HX0F,2023/07/14,13:00,0.054,Real,</t>
  </si>
  <si>
    <t>ES0031408323131005HX0F,2023/07/14,14:00,0.009,Real,</t>
  </si>
  <si>
    <t>ES0031408323131005HX0F,2023/07/14,15:00,0.087,Real,</t>
  </si>
  <si>
    <t>ES0031408323131005HX0F,2023/07/14,16:00,0.111,Real,</t>
  </si>
  <si>
    <t>ES0031408323131005HX0F,2023/07/14,17:00,0.063,Real,</t>
  </si>
  <si>
    <t>ES0031408323131005HX0F,2023/07/14,18:00,0.047,Real,</t>
  </si>
  <si>
    <t>ES0031408323131005HX0F,2023/07/14,19:00,0.152,Real,</t>
  </si>
  <si>
    <t>ES0031408323131005HX0F,2023/07/14,20:00,0.286,Real,</t>
  </si>
  <si>
    <t>ES0031408323131005HX0F,2023/07/14,21:00,0.088,Real,</t>
  </si>
  <si>
    <t>ES0031408323131005HX0F,2023/07/14,22:00,0.088,Real,</t>
  </si>
  <si>
    <t>ES0031408323131005HX0F,2023/07/14,23:00,0.026,Real,</t>
  </si>
  <si>
    <t>ES0031408323131005HX0F,2023/07/14,24:00,0.032,Real,</t>
  </si>
  <si>
    <t>ES0031408323131005HX0F,2023/07/15,01:00,0.116,Real,</t>
  </si>
  <si>
    <t>ES0031408323131005HX0F,2023/07/15,02:00,0.084,Real,</t>
  </si>
  <si>
    <t>ES0031408323131005HX0F,2023/07/15,03:00,0.084,Real,</t>
  </si>
  <si>
    <t>ES0031408323131005HX0F,2023/07/15,04:00,0.304,Real,</t>
  </si>
  <si>
    <t>ES0031408323131005HX0F,2023/07/15,05:00,0.058,Real,</t>
  </si>
  <si>
    <t>ES0031408323131005HX0F,2023/07/15,06:00,0.114,Real,</t>
  </si>
  <si>
    <t>ES0031408323131005HX0F,2023/07/15,07:00,0.084,Real,</t>
  </si>
  <si>
    <t>ES0031408323131005HX0F,2023/07/15,08:00,0.059,Real,</t>
  </si>
  <si>
    <t>ES0031408323131005HX0F,2023/07/15,09:00,0.009,Real,</t>
  </si>
  <si>
    <t>ES0031408323131005HX0F,2023/07/15,10:00,0.084,Real,</t>
  </si>
  <si>
    <t>ES0031408323131005HX0F,2023/07/15,11:00,0.112,Real,</t>
  </si>
  <si>
    <t>ES0031408323131005HX0F,2023/07/15,12:00,0.068,Real,</t>
  </si>
  <si>
    <t>ES0031408323131005HX0F,2023/07/15,13:00,0.331,Real,</t>
  </si>
  <si>
    <t>ES0031408323131005HX0F,2023/07/15,14:00,0.009,Real,</t>
  </si>
  <si>
    <t>ES0031408323131005HX0F,2023/07/15,15:00,0.102,Real,</t>
  </si>
  <si>
    <t>ES0031408323131005HX0F,2023/07/15,16:00,0.112,Real,</t>
  </si>
  <si>
    <t>ES0031408323131005HX0F,2023/07/15,17:00,0.09,Real,</t>
  </si>
  <si>
    <t>ES0031408323131005HX0F,2023/07/15,18:00,0.078,Real,</t>
  </si>
  <si>
    <t>ES0031408323131005HX0F,2023/07/15,19:00,0.035,Real,</t>
  </si>
  <si>
    <t>ES0031408323131005HX0F,2023/07/15,20:00,0.053,Real,</t>
  </si>
  <si>
    <t>ES0031408323131005HX0F,2023/07/15,21:00,0.116,Real,</t>
  </si>
  <si>
    <t>ES0031408323131005HX0F,2023/07/15,22:00,0.363,Real,</t>
  </si>
  <si>
    <t>ES0031408323131005HX0F,2023/07/15,23:00,0.089,Real,</t>
  </si>
  <si>
    <t>ES0031408323131005HX0F,2023/07/15,24:00,0.01,Real,</t>
  </si>
  <si>
    <t>ES0031408323131005HX0F,2023/07/16,01:00,0.051,Real,</t>
  </si>
  <si>
    <t>ES0031408323131005HX0F,2023/07/16,02:00,0.115,Real,</t>
  </si>
  <si>
    <t>ES0031408323131005HX0F,2023/07/16,03:00,0.084,Real,</t>
  </si>
  <si>
    <t>ES0031408323131005HX0F,2023/07/16,04:00,0.072,Real,</t>
  </si>
  <si>
    <t>ES0031408323131005HX0F,2023/07/16,05:00,0.01,Real,</t>
  </si>
  <si>
    <t>ES0031408323131005HX0F,2023/07/16,06:00,0.073,Real,</t>
  </si>
  <si>
    <t>ES0031408323131005HX0F,2023/07/16,07:00,0.404,Real,</t>
  </si>
  <si>
    <t>ES0031408323131005HX0F,2023/07/16,08:00,0.083,Real,</t>
  </si>
  <si>
    <t>ES0031408323131005HX0F,2023/07/16,09:00,0.052,Real,</t>
  </si>
  <si>
    <t>ES0031408323131005HX0F,2023/07/16,10:00,0.01,Real,</t>
  </si>
  <si>
    <t>ES0031408323131005HX0F,2023/07/16,11:00,0.091,Real,</t>
  </si>
  <si>
    <t>ES0031408323131005HX0F,2023/07/16,12:00,0.11,Real,</t>
  </si>
  <si>
    <t>ES0031408323131005HX0F,2023/07/16,13:00,0.066,Real,</t>
  </si>
  <si>
    <t>ES0031408323131005HX0F,2023/07/16,14:00,0.047,Real,</t>
  </si>
  <si>
    <t>ES0031408323131005HX0F,2023/07/16,15:00,0.016,Real,</t>
  </si>
  <si>
    <t>ES0031408323131005HX0F,2023/07/16,16:00,0.378,Real,</t>
  </si>
  <si>
    <t>ES0031408323131005HX0F,2023/07/16,17:00,0.085,Real,</t>
  </si>
  <si>
    <t>ES0031408323131005HX0F,2023/07/16,18:00,0.088,Real,</t>
  </si>
  <si>
    <t>ES0031408323131005HX0F,2023/07/16,19:00,0.038,Real,</t>
  </si>
  <si>
    <t>ES0031408323131005HX0F,2023/07/16,20:00,0.051,Real,</t>
  </si>
  <si>
    <t>ES0031408323131005HX0F,2023/07/16,21:00,0.116,Real,</t>
  </si>
  <si>
    <t>ES0031408323131005HX0F,2023/07/16,22:00,0.083,Real,</t>
  </si>
  <si>
    <t>ES0031408323131005HX0F,2023/07/16,23:00,0.09,Real,</t>
  </si>
  <si>
    <t>ES0031408323131005HX0F,2023/07/16,24:00,0.276,Real,</t>
  </si>
  <si>
    <t>ES0031408323131005HX0F,2023/07/17,01:00,0.052,Real,</t>
  </si>
  <si>
    <t>ES0031408323131005HX0F,2023/07/17,02:00,0.114,Real,</t>
  </si>
  <si>
    <t>ES0031408323131005HX0F,2023/07/17,03:00,0.083,Real,</t>
  </si>
  <si>
    <t>ES0031408323131005HX0F,2023/07/17,04:00,0.069,Real,</t>
  </si>
  <si>
    <t>ES0031408323131005HX0F,2023/07/17,05:00,0.009,Real,</t>
  </si>
  <si>
    <t>ES0031408323131005HX0F,2023/07/17,06:00,0.074,Real,</t>
  </si>
  <si>
    <t>ES0031408323131005HX0F,2023/07/17,07:00,0.114,Real,</t>
  </si>
  <si>
    <t>ES0031408323131005HX0F,2023/07/17,08:00,0.362,Real,</t>
  </si>
  <si>
    <t>ES0031408323131005HX0F,2023/07/17,09:00,0.053,Real,</t>
  </si>
  <si>
    <t>ES0031408323131005HX0F,2023/07/17,10:00,0.009,Real,</t>
  </si>
  <si>
    <t>ES0031408323131005HX0F,2023/07/17,11:00,0.096,Real,</t>
  </si>
  <si>
    <t>ES0031408323131005HX0F,2023/07/17,12:00,0.106,Real,</t>
  </si>
  <si>
    <t>ES0031408323131005HX0F,2023/07/17,13:00,0.068,Real,</t>
  </si>
  <si>
    <t>ES0031408323131005HX0F,2023/07/17,14:00,0.045,Real,</t>
  </si>
  <si>
    <t>ES0031408323131005HX0F,2023/07/17,15:00,0.011,Real,</t>
  </si>
  <si>
    <t>ES0031408323131005HX0F,2023/07/17,16:00,0.117,Real,</t>
  </si>
  <si>
    <t>ES0031408323131005HX0F,2023/07/17,17:00,0.346,Real,</t>
  </si>
  <si>
    <t>ES0031408323131005HX0F,2023/07/17,18:00,0.088,Real,</t>
  </si>
  <si>
    <t>ES0031408323131005HX0F,2023/07/17,19:00,0.038,Real,</t>
  </si>
  <si>
    <t>ES0031408323131005HX0F,2023/07/17,20:00,0.051,Real,</t>
  </si>
  <si>
    <t>ES0031408323131005HX0F,2023/07/17,21:00,0.111,Real,</t>
  </si>
  <si>
    <t>ES0031408323131005HX0F,2023/07/17,22:00,0.114,Real,</t>
  </si>
  <si>
    <t>ES0031408323131005HX0F,2023/07/17,23:00,0.083,Real,</t>
  </si>
  <si>
    <t>ES0031408323131005HX0F,2023/07/17,24:00,0.052,Real,</t>
  </si>
  <si>
    <t>ES0031408323131005HX0F,2023/07/18,01:00,0.292,Real,</t>
  </si>
  <si>
    <t>ES0031408323131005HX0F,2023/07/18,02:00,0.099,Real,</t>
  </si>
  <si>
    <t>ES0031408323131005HX0F,2023/07/18,03:00,0.111,Real,</t>
  </si>
  <si>
    <t>ES0031408323131005HX0F,2023/07/18,04:00,0.069,Real,</t>
  </si>
  <si>
    <t>ES0031408323131005HX0F,2023/07/18,05:00,0.05,Real,</t>
  </si>
  <si>
    <t>ES0031408323131005HX0F,2023/07/18,06:00,0.01,Real,</t>
  </si>
  <si>
    <t>ES0031408323131005HX0F,2023/07/18,07:00,0.116,Real,</t>
  </si>
  <si>
    <t>ES0031408323131005HX0F,2023/07/18,08:00,0.089,Real,</t>
  </si>
  <si>
    <t>ES0031408323131005HX0F,2023/07/18,09:00,0.089,Real,</t>
  </si>
  <si>
    <t>ES0031408323131005HX0F,2023/07/18,10:00,0.295,Real,</t>
  </si>
  <si>
    <t>ES0031408323131005HX0F,2023/07/18,11:00,0.033,Real,</t>
  </si>
  <si>
    <t>ES0031408323131005HX0F,2023/07/18,12:00,0.116,Real,</t>
  </si>
  <si>
    <t>ES0031408323131005HX0F,2023/07/18,13:00,0.086,Real,</t>
  </si>
  <si>
    <t>ES0031408323131005HX0F,2023/07/18,14:00,0.579,Real,</t>
  </si>
  <si>
    <t>ES0031408323131005HX0F,2023/07/18,15:00,0.342,Real,</t>
  </si>
  <si>
    <t>ES0031408323131005HX0F,2023/07/18,16:00,1.81,Real,</t>
  </si>
  <si>
    <t>ES0031408323131005HX0F,2023/07/18,17:00,0.48,Real,</t>
  </si>
  <si>
    <t>ES0031408323131005HX0F,2023/07/18,18:00,0.698,Real,</t>
  </si>
  <si>
    <t>ES0031408323131005HX0F,2023/07/18,19:00,0.243,Real,</t>
  </si>
  <si>
    <t>ES0031408323131005HX0F,2023/07/18,20:00,0.144,Real,</t>
  </si>
  <si>
    <t>ES0031408323131005HX0F,2023/07/18,21:00,0.733,Real,</t>
  </si>
  <si>
    <t>ES0031408323131005HX0F,2023/07/18,22:00,0.71,Real,</t>
  </si>
  <si>
    <t>ES0031408323131005HX0F,2023/07/18,23:00,1.425,Real,</t>
  </si>
  <si>
    <t>ES0031408323131005HX0F,2023/07/18,24:00,0.295,Real,</t>
  </si>
  <si>
    <t>ES0031408323131005HX0F,2023/07/19,01:00,0.05,Real,</t>
  </si>
  <si>
    <t>ES0031408323131005HX0F,2023/07/19,02:00,0.128,Real,</t>
  </si>
  <si>
    <t>ES0031408323131005HX0F,2023/07/19,03:00,0.388,Real,</t>
  </si>
  <si>
    <t>ES0031408323131005HX0F,2023/07/19,04:00,0.147,Real,</t>
  </si>
  <si>
    <t>ES0031408323131005HX0F,2023/07/19,05:00,0.144,Real,</t>
  </si>
  <si>
    <t>ES0031408323131005HX0F,2023/07/19,06:00,0.132,Real,</t>
  </si>
  <si>
    <t>ES0031408323131005HX0F,2023/07/19,07:00,0.127,Real,</t>
  </si>
  <si>
    <t>ES0031408323131005HX0F,2023/07/19,08:00,0.097,Real,</t>
  </si>
  <si>
    <t>ES0031408323131005HX0F,2023/07/19,09:00,0.049,Real,</t>
  </si>
  <si>
    <t>ES0031408323131005HX0F,2023/07/19,10:00,0.422,Real,</t>
  </si>
  <si>
    <t>ES0031408323131005HX0F,2023/07/19,11:00,0.447,Real,</t>
  </si>
  <si>
    <t>ES0031408323131005HX0F,2023/07/19,12:00,0.13,Real,</t>
  </si>
  <si>
    <t>ES0031408323131005HX0F,2023/07/19,13:00,0.128,Real,</t>
  </si>
  <si>
    <t>ES0031408323131005HX0F,2023/07/19,14:00,2.091,Real,</t>
  </si>
  <si>
    <t>ES0031408323131005HX0F,2023/07/19,15:00,2.256,Real,</t>
  </si>
  <si>
    <t>ES0031408323131005HX0F,2023/07/19,16:00,1.064,Real,</t>
  </si>
  <si>
    <t>ES0031408323131005HX0F,2023/07/19,17:00,0.333,Real,</t>
  </si>
  <si>
    <t>ES0031408323131005HX0F,2023/07/19,18:00,0.142,Real,</t>
  </si>
  <si>
    <t>ES0031408323131005HX0F,2023/07/19,19:00,0.418,Real,</t>
  </si>
  <si>
    <t>ES0031408323131005HX0F,2023/07/19,20:00,0.152,Real,</t>
  </si>
  <si>
    <t>ES0031408323131005HX0F,2023/07/19,21:00,0.324,Real,</t>
  </si>
  <si>
    <t>ES0031408323131005HX0F,2023/07/19,22:00,2.354,Real,</t>
  </si>
  <si>
    <t>ES0031408323131005HX0F,2023/07/19,23:00,1.477,Real,</t>
  </si>
  <si>
    <t>ES0031408323131005HX0F,2023/07/19,24:00,1.062,Real,</t>
  </si>
  <si>
    <t>ES0031408323131005HX0F,2023/07/20,01:00,0.185,Real,</t>
  </si>
  <si>
    <t>ES0031408323131005HX0F,2023/07/20,02:00,0.134,Real,</t>
  </si>
  <si>
    <t>ES0031408323131005HX0F,2023/07/20,03:00,0.106,Real,</t>
  </si>
  <si>
    <t>ES0031408323131005HX0F,2023/07/20,04:00,0.282,Real,</t>
  </si>
  <si>
    <t>ES0031408323131005HX0F,2023/07/20,05:00,0.122,Real,</t>
  </si>
  <si>
    <t>ES0031408323131005HX0F,2023/07/20,06:00,0.126,Real,</t>
  </si>
  <si>
    <t>ES0031408323131005HX0F,2023/07/20,07:00,0.137,Real,</t>
  </si>
  <si>
    <t>ES0031408323131005HX0F,2023/07/20,08:00,0.132,Real,</t>
  </si>
  <si>
    <t>ES0031408323131005HX0F,2023/07/20,09:00,0.187,Real,</t>
  </si>
  <si>
    <t>ES0031408323131005HX0F,2023/07/20,10:00,0.378,Real,</t>
  </si>
  <si>
    <t>ES0031408323131005HX0F,2023/07/20,11:00,0.421,Real,</t>
  </si>
  <si>
    <t>ES0031408323131005HX0F,2023/07/20,12:00,0.648,Real,</t>
  </si>
  <si>
    <t>ES0031408323131005HX0F,2023/07/20,13:00,0.434,Real,</t>
  </si>
  <si>
    <t>ES0031408323131005HX0F,2023/07/20,14:00,0.687,Real,</t>
  </si>
  <si>
    <t>ES0031408323131005HX0F,2023/07/20,15:00,0.401,Real,</t>
  </si>
  <si>
    <t>ES0031408323131005HX0F,2023/07/20,16:00,0.598,Real,</t>
  </si>
  <si>
    <t>ES0031408323131005HX0F,2023/07/20,17:00,0.12,Real,</t>
  </si>
  <si>
    <t>ES0031408323131005HX0F,2023/07/20,18:00,0.118,Real,</t>
  </si>
  <si>
    <t>ES0031408323131005HX0F,2023/07/20,19:00,0.116,Real,</t>
  </si>
  <si>
    <t>ES0031408323131005HX0F,2023/07/20,20:00,0.132,Real,</t>
  </si>
  <si>
    <t>ES0031408323131005HX0F,2023/07/20,21:00,0.121,Real,</t>
  </si>
  <si>
    <t>ES0031408323131005HX0F,2023/07/20,22:00,0.331,Real,</t>
  </si>
  <si>
    <t>ES0031408323131005HX0F,2023/07/20,23:00,0.071,Real,</t>
  </si>
  <si>
    <t>ES0031408323131005HX0F,2023/07/20,24:00,0.11,Real,</t>
  </si>
  <si>
    <t>ES0031408323131005HX0F,2023/07/21,01:00,0.111,Real,</t>
  </si>
  <si>
    <t>ES0031408323131005HX0F,2023/07/21,02:00,0.083,Real,</t>
  </si>
  <si>
    <t>ES0031408323131005HX0F,2023/07/21,03:00,0.062,Real,</t>
  </si>
  <si>
    <t>ES0031408323131005HX0F,2023/07/21,04:00,0.129,Real,</t>
  </si>
  <si>
    <t>ES0031408323131005HX0F,2023/07/21,05:00,0.091,Real,</t>
  </si>
  <si>
    <t>ES0031408323131005HX0F,2023/07/21,06:00,0.042,Real,</t>
  </si>
  <si>
    <t>ES0031408323131005HX0F,2023/07/21,07:00,0.371,Real,</t>
  </si>
  <si>
    <t>ES0031408323131005HX0F,2023/07/21,08:00,0.092,Real,</t>
  </si>
  <si>
    <t>ES0031408323131005HX0F,2023/07/21,09:00,0.074,Real,</t>
  </si>
  <si>
    <t>ES0031408323131005HX0F,2023/07/21,10:00,0.067,Real,</t>
  </si>
  <si>
    <t>ES0031408323131005HX0F,2023/07/21,11:00,0.116,Real,</t>
  </si>
  <si>
    <t>ES0031408323131005HX0F,2023/07/21,12:00,0.076,Real,</t>
  </si>
  <si>
    <t>ES0031408323131005HX0F,2023/07/21,13:00,0.04,Real,</t>
  </si>
  <si>
    <t>ES0031408323131005HX0F,2023/07/21,14:00,0.133,Real,</t>
  </si>
  <si>
    <t>ES0031408323131005HX0F,2023/07/21,15:00,0.12,Real,</t>
  </si>
  <si>
    <t>ES0031408323131005HX0F,2023/07/21,16:00,0.376,Real,</t>
  </si>
  <si>
    <t>ES0031408323131005HX0F,2023/07/21,17:00,0.081,Real,</t>
  </si>
  <si>
    <t>ES0031408323131005HX0F,2023/07/21,18:00,0.035,Real,</t>
  </si>
  <si>
    <t>ES0031408323131005HX0F,2023/07/21,19:00,0.12,Real,</t>
  </si>
  <si>
    <t>ES0031408323131005HX0F,2023/07/21,20:00,0.093,Real,</t>
  </si>
  <si>
    <t>ES0031408323131005HX0F,2023/07/21,21:00,0.078,Real,</t>
  </si>
  <si>
    <t>ES0031408323131005HX0F,2023/07/21,22:00,0.014,Real,</t>
  </si>
  <si>
    <t>ES0031408323131005HX0F,2023/07/21,23:00,0.068,Real,</t>
  </si>
  <si>
    <t>ES0031408323131005HX0F,2023/07/21,24:00,0.399,Real,</t>
  </si>
  <si>
    <t>ES0031408323131005HX0F,2023/07/22,01:00,0.093,Real,</t>
  </si>
  <si>
    <t>ES0031408323131005HX0F,2023/07/22,02:00,0.074,Real,</t>
  </si>
  <si>
    <t>ES0031408323131005HX0F,2023/07/22,03:00,0.034,Real,</t>
  </si>
  <si>
    <t>ES0031408323131005HX0F,2023/07/22,04:00,0.086,Real,</t>
  </si>
  <si>
    <t>ES0031408323131005HX0F,2023/07/22,05:00,0.118,Real,</t>
  </si>
  <si>
    <t>ES0031408323131005HX0F,2023/07/22,06:00,0.094,Real,</t>
  </si>
  <si>
    <t>ES0031408323131005HX0F,2023/07/22,07:00,0.068,Real,</t>
  </si>
  <si>
    <t>ES0031408323131005HX0F,2023/07/22,08:00,0.114,Real,</t>
  </si>
  <si>
    <t>ES0031408323131005HX0F,2023/07/22,09:00,0.249,Real,</t>
  </si>
  <si>
    <t>ES0031408323131005HX0F,2023/07/22,10:00,0.118,Real,</t>
  </si>
  <si>
    <t>ES0031408323131005HX0F,2023/07/22,11:00,0.089,Real,</t>
  </si>
  <si>
    <t>ES0031408323131005HX0F,2023/07/22,12:00,0.061,Real,</t>
  </si>
  <si>
    <t>ES0031408323131005HX0F,2023/07/22,13:00,0.014,Real,</t>
  </si>
  <si>
    <t>ES0031408323131005HX0F,2023/07/22,14:00,0.09,Real,</t>
  </si>
  <si>
    <t>ES0031408323131005HX0F,2023/07/22,15:00,0.117,Real,</t>
  </si>
  <si>
    <t>ES0031408323131005HX0F,2023/07/22,16:00,0.078,Real,</t>
  </si>
  <si>
    <t>ES0031408323131005HX0F,2023/07/22,17:00,0.335,Real,</t>
  </si>
  <si>
    <t>ES0031408323131005HX0F,2023/07/22,18:00,0.014,Real,</t>
  </si>
  <si>
    <t>ES0031408323131005HX0F,2023/07/22,19:00,0.1,Real,</t>
  </si>
  <si>
    <t>ES0031408323131005HX0F,2023/07/22,20:00,0.117,Real,</t>
  </si>
  <si>
    <t>ES0031408323131005HX0F,2023/07/22,21:00,0.071,Real,</t>
  </si>
  <si>
    <t>ES0031408323131005HX0F,2023/07/22,22:00,0.062,Real,</t>
  </si>
  <si>
    <t>ES0031408323131005HX0F,2023/07/22,23:00,0.014,Real,</t>
  </si>
  <si>
    <t>ES0031408323131005HX0F,2023/07/22,24:00,0.109,Real,</t>
  </si>
  <si>
    <t>ES0031408323131005HX0F,2023/07/23,01:00,0.383,Real,</t>
  </si>
  <si>
    <t>ES0031408323131005HX0F,2023/07/23,02:00,0.076,Real,</t>
  </si>
  <si>
    <t>ES0031408323131005HX0F,2023/07/23,03:00,0.078,Real,</t>
  </si>
  <si>
    <t>ES0031408323131005HX0F,2023/07/23,04:00,0.025,Real,</t>
  </si>
  <si>
    <t>ES0031408323131005HX0F,2023/07/23,05:00,0.113,Real,</t>
  </si>
  <si>
    <t>ES0031408323131005HX0F,2023/07/23,06:00,0.108,Real,</t>
  </si>
  <si>
    <t>ES0031408323131005HX0F,2023/07/23,07:00,0.08,Real,</t>
  </si>
  <si>
    <t>ES0031408323131005HX0F,2023/07/23,08:00,0.053,Real,</t>
  </si>
  <si>
    <t>ES0031408323131005HX0F,2023/07/23,09:00,0.278,Real,</t>
  </si>
  <si>
    <t>ES0031408323131005HX0F,2023/07/23,10:00,0.116,Real,</t>
  </si>
  <si>
    <t>ES0031408323131005HX0F,2023/07/23,11:00,0.1,Real,</t>
  </si>
  <si>
    <t>ES0031408323131005HX0F,2023/07/23,12:00,0.088,Real,</t>
  </si>
  <si>
    <t>ES0031408323131005HX0F,2023/07/23,13:00,0.043,Real,</t>
  </si>
  <si>
    <t>ES0031408323131005HX0F,2023/07/23,14:00,0.019,Real,</t>
  </si>
  <si>
    <t>ES0031408323131005HX0F,2023/07/23,15:00,0.122,Real,</t>
  </si>
  <si>
    <t>ES0031408323131005HX0F,2023/07/23,16:00,0.092,Real,</t>
  </si>
  <si>
    <t>ES0031408323131005HX0F,2023/07/23,17:00,0.181,Real,</t>
  </si>
  <si>
    <t>ES0031408323131005HX0F,2023/07/23,18:00,0.211,Real,</t>
  </si>
  <si>
    <t>ES0031408323131005HX0F,2023/07/23,19:00,0.039,Real,</t>
  </si>
  <si>
    <t>ES0031408323131005HX0F,2023/07/23,20:00,0.124,Real,</t>
  </si>
  <si>
    <t>ES0031408323131005HX0F,2023/07/23,21:00,0.109,Real,</t>
  </si>
  <si>
    <t>ES0031408323131005HX0F,2023/07/23,22:00,0.077,Real,</t>
  </si>
  <si>
    <t>ES0031408323131005HX0F,2023/07/23,23:00,0.058,Real,</t>
  </si>
  <si>
    <t>ES0031408323131005HX0F,2023/07/23,24:00,0.014,Real,</t>
  </si>
  <si>
    <t>ES0031408323131005HX0F,2023/07/24,01:00,0.134,Real,</t>
  </si>
  <si>
    <t>ES0031408323131005HX0F,2023/07/24,02:00,0.352,Real,</t>
  </si>
  <si>
    <t>ES0031408323131005HX0F,2023/07/24,03:00,0.094,Real,</t>
  </si>
  <si>
    <t>ES0031408323131005HX0F,2023/07/24,04:00,0.07,Real,</t>
  </si>
  <si>
    <t>ES0031408323131005HX0F,2023/07/24,05:00,0.014,Real,</t>
  </si>
  <si>
    <t>ES0031408323131005HX0F,2023/07/24,06:00,0.113,Real,</t>
  </si>
  <si>
    <t>ES0031408323131005HX0F,2023/07/24,07:00,0.111,Real,</t>
  </si>
  <si>
    <t>ES0031408323131005HX0F,2023/07/24,08:00,0.076,Real,</t>
  </si>
  <si>
    <t>ES0031408323131005HX0F,2023/07/24,09:00,0.058,Real,</t>
  </si>
  <si>
    <t>ES0031408323131005HX0F,2023/07/24,10:00,0.295,Real,</t>
  </si>
  <si>
    <t>ES0031408323131005HX0F,2023/07/24,11:00,0.112,Real,</t>
  </si>
  <si>
    <t>ES0031408323131005HX0F,2023/07/24,12:00,0.111,Real,</t>
  </si>
  <si>
    <t>ES0031408323131005HX0F,2023/07/24,13:00,0.075,Real,</t>
  </si>
  <si>
    <t>ES0031408323131005HX0F,2023/07/24,14:00,0.058,Real,</t>
  </si>
  <si>
    <t>ES0031408323131005HX0F,2023/07/24,15:00,0.014,Real,</t>
  </si>
  <si>
    <t>ES0031408323131005HX0F,2023/07/24,16:00,0.112,Real,</t>
  </si>
  <si>
    <t>ES0031408323131005HX0F,2023/07/24,17:00,0.114,Real,</t>
  </si>
  <si>
    <t>ES0031408323131005HX0F,2023/07/24,18:00,0.34,Real,</t>
  </si>
  <si>
    <t>ES0031408323131005HX0F,2023/07/24,19:00,0.062,Real,</t>
  </si>
  <si>
    <t>ES0031408323131005HX0F,2023/07/24,20:00,0.014,Real,</t>
  </si>
  <si>
    <t>ES0031408323131005HX0F,2023/07/24,21:00,0.112,Real,</t>
  </si>
  <si>
    <t>ES0031408323131005HX0F,2023/07/24,22:00,0.116,Real,</t>
  </si>
  <si>
    <t>ES0031408323131005HX0F,2023/07/24,23:00,0.071,Real,</t>
  </si>
  <si>
    <t>ES0031408323131005HX0F,2023/07/24,24:00,0.064,Real,</t>
  </si>
  <si>
    <t>ES0031408323131005HX0F,2023/07/25,01:00,0.014,Real,</t>
  </si>
  <si>
    <t>ES0031408323131005HX0F,2023/07/25,02:00,0.295,Real,</t>
  </si>
  <si>
    <t>ES0031408323131005HX0F,2023/07/25,03:00,0.221,Real,</t>
  </si>
  <si>
    <t>ES0031408323131005HX0F,2023/07/25,04:00,0.082,Real,</t>
  </si>
  <si>
    <t>ES0031408323131005HX0F,2023/07/25,05:00,0.065,Real,</t>
  </si>
  <si>
    <t>ES0031408323131005HX0F,2023/07/25,06:00,0.014,Real,</t>
  </si>
  <si>
    <t>ES0031408323131005HX0F,2023/07/25,07:00,0.104,Real,</t>
  </si>
  <si>
    <t>ES0031408323131005HX0F,2023/07/25,08:00,0.118,Real,</t>
  </si>
  <si>
    <t>ES0031408323131005HX0F,2023/07/25,09:00,0.07,Real,</t>
  </si>
  <si>
    <t>ES0031408323131005HX0F,2023/07/25,10:00,0.06,Real,</t>
  </si>
  <si>
    <t>ES0031408323131005HX0F,2023/07/25,11:00,0.283,Real,</t>
  </si>
  <si>
    <t>ES0031408323131005HX0F,2023/07/25,12:00,0.11,Real,</t>
  </si>
  <si>
    <t>ES0031408323131005HX0F,2023/07/25,13:00,0.105,Real,</t>
  </si>
  <si>
    <t>ES0031408323131005HX0F,2023/07/25,14:00,0.081,Real,</t>
  </si>
  <si>
    <t>ES0031408323131005HX0F,2023/07/25,15:00,0.049,Real,</t>
  </si>
  <si>
    <t>ES0031408323131005HX0F,2023/07/25,16:00,0.014,Real,</t>
  </si>
  <si>
    <t>ES0031408323131005HX0F,2023/07/25,17:00,0.121,Real,</t>
  </si>
  <si>
    <t>ES0031408323131005HX0F,2023/07/25,18:00,0.097,Real,</t>
  </si>
  <si>
    <t>ES0031408323131005HX0F,2023/07/25,19:00,0.361,Real,</t>
  </si>
  <si>
    <t>ES0031408323131005HX0F,2023/07/25,20:00,0.039,Real,</t>
  </si>
  <si>
    <t>ES0031408323131005HX0F,2023/07/25,21:00,0.023,Real,</t>
  </si>
  <si>
    <t>ES0031408323131005HX0F,2023/07/25,22:00,0.121,Real,</t>
  </si>
  <si>
    <t>ES0031408323131005HX0F,2023/07/25,23:00,0.089,Real,</t>
  </si>
  <si>
    <t>ES0031408323131005HX0F,2023/07/25,24:00,0.107,Real,</t>
  </si>
  <si>
    <t>ES0031408323131005HX0F,2023/07/26,01:00,0.096,Real,</t>
  </si>
  <si>
    <t>ES0031408323131005HX0F,2023/07/26,02:00,0.078,Real,</t>
  </si>
  <si>
    <t>ES0031408323131005HX0F,2023/07/26,03:00,0.302,Real,</t>
  </si>
  <si>
    <t>ES0031408323131005HX0F,2023/07/26,04:00,0.074,Real,</t>
  </si>
  <si>
    <t>ES0031408323131005HX0F,2023/07/26,05:00,0.119,Real,</t>
  </si>
  <si>
    <t>ES0031408323131005HX0F,2023/07/26,06:00,0.087,Real,</t>
  </si>
  <si>
    <t>ES0031408323131005HX0F,2023/07/26,07:00,0.059,Real,</t>
  </si>
  <si>
    <t>ES0031408323131005HX0F,2023/07/26,08:00,0.014,Real,</t>
  </si>
  <si>
    <t>ES0031408323131005HX0F,2023/07/26,09:00,0.091,Real,</t>
  </si>
  <si>
    <t>ES0031408323131005HX0F,2023/07/26,10:00,0.113,Real,</t>
  </si>
  <si>
    <t>ES0031408323131005HX0F,2023/07/26,11:00,0.363,Real,</t>
  </si>
  <si>
    <t>ES0031408323131005HX0F,2023/07/26,12:00,0.052,Real,</t>
  </si>
  <si>
    <t>ES0031408323131005HX0F,2023/07/26,13:00,0.014,Real,</t>
  </si>
  <si>
    <t>ES0031408323131005HX0F,2023/07/26,14:00,0.115,Real,</t>
  </si>
  <si>
    <t>ES0031408323131005HX0F,2023/07/26,15:00,0.089,Real,</t>
  </si>
  <si>
    <t>ES0031408323131005HX0F,2023/07/26,16:00,0.091,Real,</t>
  </si>
  <si>
    <t>ES0031408323131005HX0F,2023/07/26,17:00,0.032,Real,</t>
  </si>
  <si>
    <t>ES0031408323131005HX0F,2023/07/26,18:00,0.028,Real,</t>
  </si>
  <si>
    <t>ES0031408323131005HX0F,2023/07/26,19:00,0.127,Real,</t>
  </si>
  <si>
    <t>ES0031408323131005HX0F,2023/07/26,20:00,0.351,Real,</t>
  </si>
  <si>
    <t>ES0031408323131005HX0F,2023/07/26,21:00,0.093,Real,</t>
  </si>
  <si>
    <t>ES0031408323131005HX0F,2023/07/26,22:00,0.02,Real,</t>
  </si>
  <si>
    <t>ES0031408323131005HX0F,2023/07/26,23:00,0.042,Real,</t>
  </si>
  <si>
    <t>ES0031408323131005HX0F,2023/07/26,24:00,0.12,Real,</t>
  </si>
  <si>
    <t>ES0031408323131005HX0F,2023/07/27,01:00,0.087,Real,</t>
  </si>
  <si>
    <t>ES0031408323131005HX0F,2023/07/27,02:00,0.085,Real,</t>
  </si>
  <si>
    <t>ES0031408323131005HX0F,2023/07/27,03:00,0.035,Real,</t>
  </si>
  <si>
    <t>ES0031408323131005HX0F,2023/07/27,04:00,0.335,Real,</t>
  </si>
  <si>
    <t>ES0031408323131005HX0F,2023/07/27,05:00,0.118,Real,</t>
  </si>
  <si>
    <t>ES0031408323131005HX0F,2023/07/27,06:00,0.086,Real,</t>
  </si>
  <si>
    <t>ES0031408323131005HX0F,2023/07/27,07:00,0.069,Real,</t>
  </si>
  <si>
    <t>ES0031408323131005HX0F,2023/07/27,08:00,0.015,Real,</t>
  </si>
  <si>
    <t>ES0031408323131005HX0F,2023/07/27,09:00,0.073,Real,</t>
  </si>
  <si>
    <t>ES0031408323131005HX0F,2023/07/27,10:00,0.117,Real,</t>
  </si>
  <si>
    <t>ES0031408323131005HX0F,2023/07/27,11:00,0.078,Real,</t>
  </si>
  <si>
    <t>ES0031408323131005HX0F,2023/07/27,12:00,0.338,Real,</t>
  </si>
  <si>
    <t>ES0031408323131005HX0F,2023/07/27,13:00,0.015,Real,</t>
  </si>
  <si>
    <t>ES0031408323131005HX0F,2023/07/27,14:00,0.095,Real,</t>
  </si>
  <si>
    <t>ES0031408323131005HX0F,2023/07/27,15:00,0.111,Real,</t>
  </si>
  <si>
    <t>ES0031408323131005HX0F,2023/07/27,16:00,0.07,Real,</t>
  </si>
  <si>
    <t>ES0031408323131005HX0F,2023/07/27,17:00,0.052,Real,</t>
  </si>
  <si>
    <t>ES0031408323131005HX0F,2023/07/27,18:00,0.014,Real,</t>
  </si>
  <si>
    <t>ES0031408323131005HX0F,2023/07/27,19:00,0.115,Real,</t>
  </si>
  <si>
    <t>ES0031408323131005HX0F,2023/07/27,20:00,0.382,Real,</t>
  </si>
  <si>
    <t>ES0031408323131005HX0F,2023/07/27,21:00,0.086,Real,</t>
  </si>
  <si>
    <t>ES0031408323131005HX0F,2023/07/27,22:00,0.04,Real,</t>
  </si>
  <si>
    <t>ES0031408323131005HX0F,2023/07/27,23:00,0.019,Real,</t>
  </si>
  <si>
    <t>ES0031408323131005HX0F,2023/07/27,24:00,0.123,Real,</t>
  </si>
  <si>
    <t>ES0031408323131005HX0F,2023/07/28,01:00,0.088,Real,</t>
  </si>
  <si>
    <t>ES0031408323131005HX0F,2023/07/28,02:00,0.095,Real,</t>
  </si>
  <si>
    <t>ES0031408323131005HX0F,2023/07/28,03:00,0.046,Real,</t>
  </si>
  <si>
    <t>ES0031408323131005HX0F,2023/07/28,04:00,0.042,Real,</t>
  </si>
  <si>
    <t>ES0031408323131005HX0F,2023/07/28,05:00,0.411,Real,</t>
  </si>
  <si>
    <t>ES0031408323131005HX0F,2023/07/28,06:00,0.118,Real,</t>
  </si>
  <si>
    <t>ES0031408323131005HX0F,2023/07/28,07:00,0.071,Real,</t>
  </si>
  <si>
    <t>ES0031408323131005HX0F,2023/07/28,08:00,0.054,Real,</t>
  </si>
  <si>
    <t>ES0031408323131005HX0F,2023/07/28,09:00,0.014,Real,</t>
  </si>
  <si>
    <t>ES0031408323131005HX0F,2023/07/28,10:00,0.115,Real,</t>
  </si>
  <si>
    <t>ES0031408323131005HX0F,2023/07/28,11:00,0.091,Real,</t>
  </si>
  <si>
    <t>ES0031408323131005HX0F,2023/07/28,12:00,0.091,Real,</t>
  </si>
  <si>
    <t>ES0031408323131005HX0F,2023/07/28,13:00,0.305,Real,</t>
  </si>
  <si>
    <t>ES0031408323131005HX0F,2023/07/28,14:00,0.032,Real,</t>
  </si>
  <si>
    <t>ES0031408323131005HX0F,2023/07/28,15:00,0.12,Real,</t>
  </si>
  <si>
    <t>ES0031408323131005HX0F,2023/07/28,16:00,0.087,Real,</t>
  </si>
  <si>
    <t>ES0031408323131005HX0F,2023/07/28,17:00,0.092,Real,</t>
  </si>
  <si>
    <t>ES0031408323131005HX0F,2023/07/28,18:00,0.015,Real,</t>
  </si>
  <si>
    <t>ES0031408323131005HX0F,2023/07/28,19:00,0.047,Real,</t>
  </si>
  <si>
    <t>ES0031408323131005HX0F,2023/07/28,20:00,0.119,Real,</t>
  </si>
  <si>
    <t>ES0031408323131005HX0F,2023/07/28,21:00,0.087,Real,</t>
  </si>
  <si>
    <t>ES0031408323131005HX0F,2023/07/28,22:00,0.366,Real,</t>
  </si>
  <si>
    <t>ES0031408323131005HX0F,2023/07/28,23:00,0.014,Real,</t>
  </si>
  <si>
    <t>ES0031408323131005HX0F,2023/07/28,24:00,0.061,Real,</t>
  </si>
  <si>
    <t>ES0031408323131005HX0F,2023/07/29,01:00,0.118,Real,</t>
  </si>
  <si>
    <t>ES0031408323131005HX0F,2023/07/29,02:00,0.088,Real,</t>
  </si>
  <si>
    <t>ES0031408323131005HX0F,2023/07/29,03:00,0.095,Real,</t>
  </si>
  <si>
    <t>ES0031408323131005HX0F,2023/07/29,04:00,0.022,Real,</t>
  </si>
  <si>
    <t>ES0031408323131005HX0F,2023/07/29,05:00,0.067,Real,</t>
  </si>
  <si>
    <t>ES0031408323131005HX0F,2023/07/29,06:00,0.396,Real,</t>
  </si>
  <si>
    <t>ES0031408323131005HX0F,2023/07/29,07:00,0.086,Real,</t>
  </si>
  <si>
    <t>ES0031408323131005HX0F,2023/07/29,08:00,0.072,Real,</t>
  </si>
  <si>
    <t>ES0031408323131005HX0F,2023/07/29,09:00,0.014,Real,</t>
  </si>
  <si>
    <t>ES0031408323131005HX0F,2023/07/29,10:00,0.069,Real,</t>
  </si>
  <si>
    <t>ES0031408323131005HX0F,2023/07/29,11:00,0.121,Real,</t>
  </si>
  <si>
    <t>ES0031408323131005HX0F,2023/07/29,12:00,0.158,Real,</t>
  </si>
  <si>
    <t>ES0031408323131005HX0F,2023/07/29,13:00,0.128,Real,</t>
  </si>
  <si>
    <t>ES0031408323131005HX0F,2023/07/29,14:00,0.096,Real,</t>
  </si>
  <si>
    <t>ES0031408323131005HX0F,2023/07/29,15:00,0.347,Real,</t>
  </si>
  <si>
    <t>ES0031408323131005HX0F,2023/07/29,16:00,0.082,Real,</t>
  </si>
  <si>
    <t>ES0031408323131005HX0F,2023/07/29,17:00,0.104,Real,</t>
  </si>
  <si>
    <t>ES0031408323131005HX0F,2023/07/29,18:00,0.075,Real,</t>
  </si>
  <si>
    <t>ES0031408323131005HX0F,2023/07/29,19:00,0.05,Real,</t>
  </si>
  <si>
    <t>ES0031408323131005HX0F,2023/07/29,20:00,0.118,Real,</t>
  </si>
  <si>
    <t>ES0031408323131005HX0F,2023/07/29,21:00,0.088,Real,</t>
  </si>
  <si>
    <t>ES0031408323131005HX0F,2023/07/29,22:00,0.026,Real,</t>
  </si>
  <si>
    <t>ES0031408323131005HX0F,2023/07/29,23:00,0.168,Real,</t>
  </si>
  <si>
    <t>ES0031408323131005HX0F,2023/07/29,24:00,0.296,Real,</t>
  </si>
  <si>
    <t>ES0031408323131005HX0F,2023/07/30,01:00,0.06,Real,</t>
  </si>
  <si>
    <t>ES0031408323131005HX0F,2023/07/30,02:00,0.082,Real,</t>
  </si>
  <si>
    <t>ES0031408323131005HX0F,2023/07/30,03:00,0.098,Real,</t>
  </si>
  <si>
    <t>ES0031408323131005HX0F,2023/07/30,04:00,0.106,Real,</t>
  </si>
  <si>
    <t>ES0031408323131005HX0F,2023/07/30,05:00,0.089,Real,</t>
  </si>
  <si>
    <t>ES0031408323131005HX0F,2023/07/30,06:00,0.038,Real,</t>
  </si>
  <si>
    <t>ES0031408323131005HX0F,2023/07/30,07:00,0.134,Real,</t>
  </si>
  <si>
    <t>ES0031408323131005HX0F,2023/07/30,08:00,0.41,Real,</t>
  </si>
  <si>
    <t>ES0031408323131005HX0F,2023/07/30,09:00,0.092,Real,</t>
  </si>
  <si>
    <t>ES0031408323131005HX0F,2023/07/30,10:00,0.068,Real,</t>
  </si>
  <si>
    <t>ES0031408323131005HX0F,2023/07/30,11:00,0.071,Real,</t>
  </si>
  <si>
    <t>ES0031408323131005HX0F,2023/07/30,12:00,0.116,Real,</t>
  </si>
  <si>
    <t>ES0031408323131005HX0F,2023/07/30,13:00,0.079,Real,</t>
  </si>
  <si>
    <t>ES0031408323131005HX0F,2023/07/30,14:00,0.034,Real,</t>
  </si>
  <si>
    <t>ES0031408323131005HX0F,2023/07/30,15:00,0.118,Real,</t>
  </si>
  <si>
    <t>ES0031408323131005HX0F,2023/07/30,16:00,0.278,Real,</t>
  </si>
  <si>
    <t>ES0031408323131005HX0F,2023/07/30,17:00,0.136,Real,</t>
  </si>
  <si>
    <t>ES0031408323131005HX0F,2023/07/30,18:00,0.095,Real,</t>
  </si>
  <si>
    <t>ES0031408323131005HX0F,2023/07/30,19:00,0.089,Real,</t>
  </si>
  <si>
    <t>ES0031408323131005HX0F,2023/07/30,20:00,0.083,Real,</t>
  </si>
  <si>
    <t>ES0031408323131005HX0F,2023/07/30,21:00,0.05,Real,</t>
  </si>
  <si>
    <t>ES0031408323131005HX0F,2023/07/30,22:00,0.117,Real,</t>
  </si>
  <si>
    <t>ES0031408323131005HX0F,2023/07/30,23:00,0.085,Real,</t>
  </si>
  <si>
    <t>ES0031408323131005HX0F,2023/07/30,24:00,0.032,Real,</t>
  </si>
  <si>
    <t>ES0031408323131005HX0F,2023/07/31,01:00,0.39,Real,</t>
  </si>
  <si>
    <t>ES0031408323131005HX0F,2023/07/31,02:00,0.126,Real,</t>
  </si>
  <si>
    <t>ES0031408323131005HX0F,2023/07/31,03:00,0.118,Real,</t>
  </si>
  <si>
    <t>ES0031408323131005HX0F,2023/07/31,04:00,0.092,Real,</t>
  </si>
  <si>
    <t>ES0031408323131005HX0F,2023/07/31,05:00,0.021,Real,</t>
  </si>
  <si>
    <t>ES0031408323131005HX0F,2023/07/31,06:00,0.137,Real,</t>
  </si>
  <si>
    <t>ES0031408323131005HX0F,2023/07/31,07:00,0.102,Real,</t>
  </si>
  <si>
    <t>ES0031408323131005HX0F,2023/07/31,08:00,0.092,Real,</t>
  </si>
  <si>
    <t>ES0031408323131005HX0F,2023/07/31,09:00,0.03,Real,</t>
  </si>
  <si>
    <t>ES0031408323131005HX0F,2023/07/31,10:00,0.306,Real,</t>
  </si>
  <si>
    <t>ES0031408323131005HX0F,2023/07/31,11:00,0.12,Real,</t>
  </si>
  <si>
    <t>ES0031408323131005HX0F,2023/07/31,12:00,0.088,Real,</t>
  </si>
  <si>
    <t>ES0031408323131005HX0F,2023/07/31,13:00,0.093,Real,</t>
  </si>
  <si>
    <t>ES0031408323131005HX0F,2023/07/31,14:00,0.036,Real,</t>
  </si>
  <si>
    <t>ES0031408323131005HX0F,2023/07/31,15:00,0.027,Real,</t>
  </si>
  <si>
    <t>ES0031408323131005HX0F,2023/07/31,16:00,0.122,Real,</t>
  </si>
  <si>
    <t>ES0031408323131005HX0F,2023/07/31,17:00,0.096,Real,</t>
  </si>
  <si>
    <t>ES0031408323131005HX0F,2023/07/31,18:00,0.368,Real,</t>
  </si>
  <si>
    <t>ES0031408323131005HX0F,2023/07/31,19:00,0.05,Real,</t>
  </si>
  <si>
    <t>ES0031408323131005HX0F,2023/07/31,20:00,0.014,Real,</t>
  </si>
  <si>
    <t>ES0031408323131005HX0F,2023/07/31,21:00,0.12,Real,</t>
  </si>
  <si>
    <t>ES0031408323131005HX0F,2023/07/31,22:00,0.113,Real,</t>
  </si>
  <si>
    <t>ES0031408323131005HX0F,2023/07/31,23:00,0.076,Real,</t>
  </si>
  <si>
    <t>ES0031408323131005HX0F,2023/07/31,24:00,0.062,Real,</t>
  </si>
  <si>
    <t>ES0031408323131005HX0F,2023/08/01,01:00,0.014,Real,</t>
  </si>
  <si>
    <t>ES0031408323131005HX0F,2023/08/01,02:00,0.101,Real,</t>
  </si>
  <si>
    <t>ES0031408323131005HX0F,2023/08/01,03:00,0.385,Real,</t>
  </si>
  <si>
    <t>ES0031408323131005HX0F,2023/08/01,04:00,0.089,Real,</t>
  </si>
  <si>
    <t>ES0031408323131005HX0F,2023/08/01,05:00,0.069,Real,</t>
  </si>
  <si>
    <t>ES0031408323131005HX0F,2023/08/01,06:00,0.031,Real,</t>
  </si>
  <si>
    <t>ES0031408323131005HX0F,2023/08/01,07:00,0.094,Real,</t>
  </si>
  <si>
    <t>ES0031408323131005HX0F,2023/08/01,08:00,0.118,Real,</t>
  </si>
  <si>
    <t>ES0031408323131005HX0F,2023/08/01,09:00,0.089,Real,</t>
  </si>
  <si>
    <t>ES0031408323131005HX0F,2023/08/01,10:00,0.083,Real,</t>
  </si>
  <si>
    <t>ES0031408323131005HX0F,2023/08/01,11:00,0.281,Real,</t>
  </si>
  <si>
    <t>ES0031408323131005HX0F,2023/08/01,12:00,0.063,Real,</t>
  </si>
  <si>
    <t>ES0031408323131005HX0F,2023/08/01,13:00,0.119,Real,</t>
  </si>
  <si>
    <t>ES0031408323131005HX0F,2023/08/01,14:00,0.087,Real,</t>
  </si>
  <si>
    <t>ES0031408323131005HX0F,2023/08/01,15:00,0.092,Real,</t>
  </si>
  <si>
    <t>ES0031408323131005HX0F,2023/08/01,16:00,0.018,Real,</t>
  </si>
  <si>
    <t>ES0031408323131005HX0F,2023/08/01,17:00,0.048,Real,</t>
  </si>
  <si>
    <t>ES0031408323131005HX0F,2023/08/01,18:00,0.121,Real,</t>
  </si>
  <si>
    <t>ES0031408323131005HX0F,2023/08/01,19:00,0.217,Real,</t>
  </si>
  <si>
    <t>ES0031408323131005HX0F,2023/08/01,20:00,0.316,Real,</t>
  </si>
  <si>
    <t>ES0031408323131005HX0F,2023/08/01,21:00,0.193,Real,</t>
  </si>
  <si>
    <t>ES0031408323131005HX0F,2023/08/01,22:00,0.145,Real,</t>
  </si>
  <si>
    <t>ES0031408323131005HX0F,2023/08/01,23:00,0.132,Real,</t>
  </si>
  <si>
    <t>ES0031408323131005HX0F,2023/08/01,24:00,0.121,Real,</t>
  </si>
  <si>
    <t>ES0031408323131005HX0F,2023/08/02,01:00,0.099,Real,</t>
  </si>
  <si>
    <t>ES0031408323131005HX0F,2023/08/02,02:00,0.029,Real,</t>
  </si>
  <si>
    <t>ES0031408323131005HX0F,2023/08/02,03:00,0.124,Real,</t>
  </si>
  <si>
    <t>ES0031408323131005HX0F,2023/08/02,04:00,0.362,Real,</t>
  </si>
  <si>
    <t>ES0031408323131005HX0F,2023/08/02,05:00,0.088,Real,</t>
  </si>
  <si>
    <t>ES0031408323131005HX0F,2023/08/02,06:00,0.09,Real,</t>
  </si>
  <si>
    <t>ES0031408323131005HX0F,2023/08/02,07:00,0.143,Real,</t>
  </si>
  <si>
    <t>ES0031408323131005HX0F,2023/08/02,08:00,0.087,Real,</t>
  </si>
  <si>
    <t>ES0031408323131005HX0F,2023/08/02,09:00,0.086,Real,</t>
  </si>
  <si>
    <t>ES0031408323131005HX0F,2023/08/02,10:00,0.375,Real,</t>
  </si>
  <si>
    <t>ES0031408323131005HX0F,2023/08/02,11:00,0.123,Real,</t>
  </si>
  <si>
    <t>ES0031408323131005HX0F,2023/08/02,12:00,0.128,Real,</t>
  </si>
  <si>
    <t>ES0031408323131005HX0F,2023/08/02,13:00,0.548,Real,</t>
  </si>
  <si>
    <t>ES0031408323131005HX0F,2023/08/02,14:00,0.178,Real,</t>
  </si>
  <si>
    <t>ES0031408323131005HX0F,2023/08/02,15:00,1.664,Real,</t>
  </si>
  <si>
    <t>ES0031408323131005HX0F,2023/08/02,16:00,1.095,Real,</t>
  </si>
  <si>
    <t>ES0031408323131005HX0F,2023/08/02,17:00,0.4,Real,</t>
  </si>
  <si>
    <t>ES0031408323131005HX0F,2023/08/02,18:00,0.296,Real,</t>
  </si>
  <si>
    <t>ES0031408323131005HX0F,2023/08/02,19:00,0.149,Real,</t>
  </si>
  <si>
    <t>ES0031408323131005HX0F,2023/08/02,20:00,0.129,Real,</t>
  </si>
  <si>
    <t>ES0031408323131005HX0F,2023/08/02,21:00,0.399,Real,</t>
  </si>
  <si>
    <t>ES0031408323131005HX0F,2023/08/02,22:00,1.148,Real,</t>
  </si>
  <si>
    <t>ES0031408323131005HX0F,2023/08/02,23:00,2.515,Real,</t>
  </si>
  <si>
    <t>ES0031408323131005HX0F,2023/08/02,24:00,0.249,Real,</t>
  </si>
  <si>
    <t>ES0031408323131005HX0F,2023/08/03,01:00,0.135,Real,</t>
  </si>
  <si>
    <t>ES0031408323131005HX0F,2023/08/03,02:00,0.128,Real,</t>
  </si>
  <si>
    <t>ES0031408323131005HX0F,2023/08/03,03:00,0.121,Real,</t>
  </si>
  <si>
    <t>ES0031408323131005HX0F,2023/08/03,04:00,0.077,Real,</t>
  </si>
  <si>
    <t>ES0031408323131005HX0F,2023/08/03,05:00,0.342,Real,</t>
  </si>
  <si>
    <t>ES0031408323131005HX0F,2023/08/03,06:00,0.118,Real,</t>
  </si>
  <si>
    <t>ES0031408323131005HX0F,2023/08/03,07:00,0.084,Real,</t>
  </si>
  <si>
    <t>ES0031408323131005HX0F,2023/08/03,08:00,0.059,Real,</t>
  </si>
  <si>
    <t>ES0031408323131005HX0F,2023/08/03,09:00,0.206,Real,</t>
  </si>
  <si>
    <t>ES0031408323131005HX0F,2023/08/03,10:00,0.229,Real,</t>
  </si>
  <si>
    <t>ES0031408323131005HX0F,2023/08/03,11:00,0.162,Real,</t>
  </si>
  <si>
    <t>ES0031408323131005HX0F,2023/08/03,12:00,0.116,Real,</t>
  </si>
  <si>
    <t>ES0031408323131005HX0F,2023/08/03,13:00,0.326,Real,</t>
  </si>
  <si>
    <t>ES0031408323131005HX0F,2023/08/03,14:00,0.092,Real,</t>
  </si>
  <si>
    <t>ES0031408323131005HX0F,2023/08/03,15:00,0.064,Real,</t>
  </si>
  <si>
    <t>ES0031408323131005HX0F,2023/08/03,16:00,0.068,Real,</t>
  </si>
  <si>
    <t>ES0031408323131005HX0F,2023/08/03,17:00,0.465,Real,</t>
  </si>
  <si>
    <t>ES0031408323131005HX0F,2023/08/03,18:00,0.868,Real,</t>
  </si>
  <si>
    <t>ES0031408323131005HX0F,2023/08/03,19:00,0.572,Real,</t>
  </si>
  <si>
    <t>ES0031408323131005HX0F,2023/08/03,20:00,1.475,Real,</t>
  </si>
  <si>
    <t>ES0031408323131005HX0F,2023/08/03,21:00,1.048,Real,</t>
  </si>
  <si>
    <t>ES0031408323131005HX0F,2023/08/03,22:00,0.397,Real,</t>
  </si>
  <si>
    <t>ES0031408323131005HX0F,2023/08/03,23:00,0.348,Real,</t>
  </si>
  <si>
    <t>ES0031408323131005HX0F,2023/08/03,24:00,0.149,Real,</t>
  </si>
  <si>
    <t>ES0031408323131005HX0F,2023/08/04,01:00,0.035,Real,</t>
  </si>
  <si>
    <t>ES0031408323131005HX0F,2023/08/04,02:00,0.121,Real,</t>
  </si>
  <si>
    <t>ES0031408323131005HX0F,2023/08/04,03:00,0.331,Real,</t>
  </si>
  <si>
    <t>ES0031408323131005HX0F,2023/08/04,04:00,0.065,Real,</t>
  </si>
  <si>
    <t>ES0031408323131005HX0F,2023/08/04,05:00,0.091,Real,</t>
  </si>
  <si>
    <t>ES0031408323131005HX0F,2023/08/04,06:00,0.082,Real,</t>
  </si>
  <si>
    <t>ES0031408323131005HX0F,2023/08/04,07:00,0.07,Real,</t>
  </si>
  <si>
    <t>ES0031408323131005HX0F,2023/08/04,08:00,0.066,Real,</t>
  </si>
  <si>
    <t>ES0031408323131005HX0F,2023/08/04,09:00,0.273,Real,</t>
  </si>
  <si>
    <t>ES0031408323131005HX0F,2023/08/04,10:00,0.265,Real,</t>
  </si>
  <si>
    <t>ES0031408323131005HX0F,2023/08/04,11:00,0.4,Real,</t>
  </si>
  <si>
    <t>ES0031408323131005HX0F,2023/08/04,12:00,1.252,Real,</t>
  </si>
  <si>
    <t>ES0031408323131005HX0F,2023/08/04,13:00,0.095,Real,</t>
  </si>
  <si>
    <t>ES0031408323131005HX0F,2023/08/04,14:00,0.126,Real,</t>
  </si>
  <si>
    <t>ES0031408323131005HX0F,2023/08/04,15:00,0.293,Real,</t>
  </si>
  <si>
    <t>ES0031408323131005HX0F,2023/08/04,16:00,0.468,Real,</t>
  </si>
  <si>
    <t>ES0031408323131005HX0F,2023/08/04,17:00,0.369,Real,</t>
  </si>
  <si>
    <t>ES0031408323131005HX0F,2023/08/04,18:00,0.119,Real,</t>
  </si>
  <si>
    <t>ES0031408323131005HX0F,2023/08/04,19:00,0.102,Real,</t>
  </si>
  <si>
    <t>ES0031408323131005HX0F,2023/08/04,20:00,0.117,Real,</t>
  </si>
  <si>
    <t>ES0031408323131005HX0F,2023/08/04,21:00,0.279,Real,</t>
  </si>
  <si>
    <t>ES0031408323131005HX0F,2023/08/04,22:00,0.116,Real,</t>
  </si>
  <si>
    <t>ES0031408323131005HX0F,2023/08/04,23:00,0.784,Real,</t>
  </si>
  <si>
    <t>ES0031408323131005HX0F,2023/08/04,24:00,0.276,Real,</t>
  </si>
  <si>
    <t>ES0031408323131005HX0F,2023/08/05,01:00,0.375,Real,</t>
  </si>
  <si>
    <t>ES0031408323131005HX0F,2023/08/05,02:00,0.119,Real,</t>
  </si>
  <si>
    <t>ES0031408323131005HX0F,2023/08/05,03:00,0.136,Real,</t>
  </si>
  <si>
    <t>ES0031408323131005HX0F,2023/08/05,04:00,0.125,Real,</t>
  </si>
  <si>
    <t>ES0031408323131005HX0F,2023/08/05,05:00,0.048,Real,</t>
  </si>
  <si>
    <t>ES0031408323131005HX0F,2023/08/05,06:00,0.053,Real,</t>
  </si>
  <si>
    <t>ES0031408323131005HX0F,2023/08/05,07:00,0.118,Real,</t>
  </si>
  <si>
    <t>ES0031408323131005HX0F,2023/08/05,08:00,0.325,Real,</t>
  </si>
  <si>
    <t>ES0031408323131005HX0F,2023/08/05,09:00,0.115,Real,</t>
  </si>
  <si>
    <t>ES0031408323131005HX0F,2023/08/05,10:00,0.351,Real,</t>
  </si>
  <si>
    <t>ES0031408323131005HX0F,2023/08/05,11:00,0.088,Real,</t>
  </si>
  <si>
    <t>ES0031408323131005HX0F,2023/08/05,12:00,0.044,Real,</t>
  </si>
  <si>
    <t>ES0031408323131005HX0F,2023/08/05,13:00,0.112,Real,</t>
  </si>
  <si>
    <t>ES0031408323131005HX0F,2023/08/05,14:00,0.664,Real,</t>
  </si>
  <si>
    <t>ES0031408323131005HX0F,2023/08/05,15:00,0.4,Real,</t>
  </si>
  <si>
    <t>ES0031408323131005HX0F,2023/08/05,16:00,0.096,Real,</t>
  </si>
  <si>
    <t>ES0031408323131005HX0F,2023/08/05,17:00,0.178,Real,</t>
  </si>
  <si>
    <t>ES0031408323131005HX0F,2023/08/05,18:00,0.129,Real,</t>
  </si>
  <si>
    <t>ES0031408323131005HX0F,2023/08/05,19:00,0.121,Real,</t>
  </si>
  <si>
    <t>ES0031408323131005HX0F,2023/08/05,20:00,0.118,Real,</t>
  </si>
  <si>
    <t>ES0031408323131005HX0F,2023/08/05,21:00,0.808,Real,</t>
  </si>
  <si>
    <t>ES0031408323131005HX0F,2023/08/05,22:00,0.029,Real,</t>
  </si>
  <si>
    <t>ES0031408323131005HX0F,2023/08/05,23:00,0.131,Real,</t>
  </si>
  <si>
    <t>ES0031408323131005HX0F,2023/08/05,24:00,0.229,Real,</t>
  </si>
  <si>
    <t>ES0031408323131005HX0F,2023/08/06,01:00,0.245,Real,</t>
  </si>
  <si>
    <t>ES0031408323131005HX0F,2023/08/06,02:00,0.081,Real,</t>
  </si>
  <si>
    <t>ES0031408323131005HX0F,2023/08/06,03:00,0.4,Real,</t>
  </si>
  <si>
    <t>ES0031408323131005HX0F,2023/08/06,04:00,0.086,Real,</t>
  </si>
  <si>
    <t>ES0031408323131005HX0F,2023/08/06,05:00,0.033,Real,</t>
  </si>
  <si>
    <t>ES0031408323131005HX0F,2023/08/06,06:00,0.12,Real,</t>
  </si>
  <si>
    <t>ES0031408323131005HX0F,2023/08/06,07:00,0.086,Real,</t>
  </si>
  <si>
    <t>ES0031408323131005HX0F,2023/08/06,08:00,0.091,Real,</t>
  </si>
  <si>
    <t>ES0031408323131005HX0F,2023/08/06,09:00,0.176,Real,</t>
  </si>
  <si>
    <t>ES0031408323131005HX0F,2023/08/06,10:00,0.404,Real,</t>
  </si>
  <si>
    <t>ES0031408323131005HX0F,2023/08/06,11:00,0.126,Real,</t>
  </si>
  <si>
    <t>ES0031408323131005HX0F,2023/08/06,12:00,0.133,Real,</t>
  </si>
  <si>
    <t>ES0031408323131005HX0F,2023/08/06,13:00,0.091,Real,</t>
  </si>
  <si>
    <t>ES0031408323131005HX0F,2023/08/06,14:00,0.04,Real,</t>
  </si>
  <si>
    <t>ES0031408323131005HX0F,2023/08/06,15:00,0.414,Real,</t>
  </si>
  <si>
    <t>ES0031408323131005HX0F,2023/08/06,16:00,0.981,Real,</t>
  </si>
  <si>
    <t>ES0031408323131005HX0F,2023/08/06,17:00,0.694,Real,</t>
  </si>
  <si>
    <t>ES0031408323131005HX0F,2023/08/06,18:00,0.424,Real,</t>
  </si>
  <si>
    <t>ES0031408323131005HX0F,2023/08/06,19:00,0.171,Real,</t>
  </si>
  <si>
    <t>ES0031408323131005HX0F,2023/08/06,20:00,0.142,Real,</t>
  </si>
  <si>
    <t>ES0031408323131005HX0F,2023/08/06,21:00,0.663,Real,</t>
  </si>
  <si>
    <t>ES0031408323131005HX0F,2023/08/06,22:00,0.233,Real,</t>
  </si>
  <si>
    <t>ES0031408323131005HX0F,2023/08/06,23:00,0.317,Real,</t>
  </si>
  <si>
    <t>ES0031408323131005HX0F,2023/08/06,24:00,0.34,Real,</t>
  </si>
  <si>
    <t>ES0031408323131005HX0F,2023/08/07,01:00,0.363,Real,</t>
  </si>
  <si>
    <t>ES0031408323131005HX0F,2023/08/07,02:00,0.286,Real,</t>
  </si>
  <si>
    <t>ES0031408323131005HX0F,2023/08/07,03:00,0.36,Real,</t>
  </si>
  <si>
    <t>ES0031408323131005HX0F,2023/08/07,04:00,0.048,Real,</t>
  </si>
  <si>
    <t>ES0031408323131005HX0F,2023/08/07,05:00,0.129,Real,</t>
  </si>
  <si>
    <t>ES0031408323131005HX0F,2023/08/07,06:00,0.091,Real,</t>
  </si>
  <si>
    <t>ES0031408323131005HX0F,2023/08/07,07:00,0.04,Real,</t>
  </si>
  <si>
    <t>ES0031408323131005HX0F,2023/08/07,08:00,0.102,Real,</t>
  </si>
  <si>
    <t>ES0031408323131005HX0F,2023/08/07,09:00,0.087,Real,</t>
  </si>
  <si>
    <t>ES0031408323131005HX0F,2023/08/07,10:00,0.273,Real,</t>
  </si>
  <si>
    <t>ES0031408323131005HX0F,2023/08/07,11:00,0.5,Real,</t>
  </si>
  <si>
    <t>ES0031408323131005HX0F,2023/08/07,12:00,0.665,Real,</t>
  </si>
  <si>
    <t>ES0031408323131005HX0F,2023/08/07,13:00,0.132,Real,</t>
  </si>
  <si>
    <t>ES0031408323131005HX0F,2023/08/07,14:00,0.128,Real,</t>
  </si>
  <si>
    <t>ES0031408323131005HX0F,2023/08/07,15:00,0.224,Real,</t>
  </si>
  <si>
    <t>ES0031408323131005HX0F,2023/08/07,16:00,0.399,Real,</t>
  </si>
  <si>
    <t>ES0031408323131005HX0F,2023/08/07,17:00,0.445,Real,</t>
  </si>
  <si>
    <t>ES0031408323131005HX0F,2023/08/07,18:00,0.233,Real,</t>
  </si>
  <si>
    <t>ES0031408323131005HX0F,2023/08/07,19:00,0.421,Real,</t>
  </si>
  <si>
    <t>ES0031408323131005HX0F,2023/08/07,20:00,0.13,Real,</t>
  </si>
  <si>
    <t>ES0031408323131005HX0F,2023/08/07,21:00,0.073,Real,</t>
  </si>
  <si>
    <t>ES0031408323131005HX0F,2023/08/07,22:00,0.277,Real,</t>
  </si>
  <si>
    <t>ES0031408323131005HX0F,2023/08/07,23:00,0.343,Real,</t>
  </si>
  <si>
    <t>ES0031408323131005HX0F,2023/08/07,24:00,0.314,Real,</t>
  </si>
  <si>
    <t>ES0031408323131005HX0F,2023/08/08,01:00,0.3,Real,</t>
  </si>
  <si>
    <t>ES0031408323131005HX0F,2023/08/08,02:00,0.312,Real,</t>
  </si>
  <si>
    <t>ES0031408323131005HX0F,2023/08/08,03:00,0.399,Real,</t>
  </si>
  <si>
    <t>ES0031408323131005HX0F,2023/08/08,04:00,0.138,Real,</t>
  </si>
  <si>
    <t>ES0031408323131005HX0F,2023/08/08,05:00,0.095,Real,</t>
  </si>
  <si>
    <t>ES0031408323131005HX0F,2023/08/08,06:00,0.049,Real,</t>
  </si>
  <si>
    <t>ES0031408323131005HX0F,2023/08/08,07:00,0.132,Real,</t>
  </si>
  <si>
    <t>ES0031408323131005HX0F,2023/08/08,08:00,0.098,Real,</t>
  </si>
  <si>
    <t>ES0031408323131005HX0F,2023/08/08,09:00,0.089,Real,</t>
  </si>
  <si>
    <t>ES0031408323131005HX0F,2023/08/08,10:00,0.262,Real,</t>
  </si>
  <si>
    <t>ES0031408323131005HX0F,2023/08/08,11:00,0.537,Real,</t>
  </si>
  <si>
    <t>ES0031408323131005HX0F,2023/08/08,12:00,0.144,Real,</t>
  </si>
  <si>
    <t>ES0031408323131005HX0F,2023/08/08,13:00,0.151,Real,</t>
  </si>
  <si>
    <t>ES0031408323131005HX0F,2023/08/08,14:00,0.127,Real,</t>
  </si>
  <si>
    <t>ES0031408323131005HX0F,2023/08/08,15:00,0.126,Real,</t>
  </si>
  <si>
    <t>ES0031408323131005HX0F,2023/08/08,16:00,0.547,Real,</t>
  </si>
  <si>
    <t>ES0031408323131005HX0F,2023/08/08,17:00,0.392,Real,</t>
  </si>
  <si>
    <t>ES0031408323131005HX0F,2023/08/08,18:00,0.146,Real,</t>
  </si>
  <si>
    <t>ES0031408323131005HX0F,2023/08/08,19:00,0.095,Real,</t>
  </si>
  <si>
    <t>ES0031408323131005HX0F,2023/08/08,20:00,0.129,Real,</t>
  </si>
  <si>
    <t>ES0031408323131005HX0F,2023/08/08,21:00,0.124,Real,</t>
  </si>
  <si>
    <t>ES0031408323131005HX0F,2023/08/08,22:00,0.156,Real,</t>
  </si>
  <si>
    <t>ES0031408323131005HX0F,2023/08/08,23:00,0.675,Real,</t>
  </si>
  <si>
    <t>ES0031408323131005HX0F,2023/08/08,24:00,0.335,Real,</t>
  </si>
  <si>
    <t>ES0031408323131005HX0F,2023/08/09,01:00,0.326,Real,</t>
  </si>
  <si>
    <t>ES0031408323131005HX0F,2023/08/09,02:00,0.105,Real,</t>
  </si>
  <si>
    <t>ES0031408323131005HX0F,2023/08/09,03:00,0.092,Real,</t>
  </si>
  <si>
    <t>ES0031408323131005HX0F,2023/08/09,04:00,0.056,Real,</t>
  </si>
  <si>
    <t>ES0031408323131005HX0F,2023/08/09,05:00,0.128,Real,</t>
  </si>
  <si>
    <t>ES0031408323131005HX0F,2023/08/09,06:00,0.102,Real,</t>
  </si>
  <si>
    <t>ES0031408323131005HX0F,2023/08/09,07:00,0.03,Real,</t>
  </si>
  <si>
    <t>ES0031408323131005HX0F,2023/08/09,08:00,0.431,Real,</t>
  </si>
  <si>
    <t>ES0031408323131005HX0F,2023/08/09,09:00,0.147,Real,</t>
  </si>
  <si>
    <t>ES0031408323131005HX0F,2023/08/09,10:00,0.346,Real,</t>
  </si>
  <si>
    <t>ES0031408323131005HX0F,2023/08/09,11:00,0.288,Real,</t>
  </si>
  <si>
    <t>ES0031408323131005HX0F,2023/08/09,12:00,0.217,Real,</t>
  </si>
  <si>
    <t>ES0031408323131005HX0F,2023/08/09,13:00,0.383,Real,</t>
  </si>
  <si>
    <t>ES0031408323131005HX0F,2023/08/09,14:00,0.422,Real,</t>
  </si>
  <si>
    <t>ES0031408323131005HX0F,2023/08/09,15:00,0.23,Real,</t>
  </si>
  <si>
    <t>ES0031408323131005HX0F,2023/08/09,16:00,0.206,Real,</t>
  </si>
  <si>
    <t>ES0031408323131005HX0F,2023/08/09,17:00,0.397,Real,</t>
  </si>
  <si>
    <t>ES0031408323131005HX0F,2023/08/09,18:00,0.34,Real,</t>
  </si>
  <si>
    <t>ES0031408323131005HX0F,2023/08/09,19:00,0.396,Real,</t>
  </si>
  <si>
    <t>ES0031408323131005HX0F,2023/08/09,20:00,0.058,Real,</t>
  </si>
  <si>
    <t>ES0031408323131005HX0F,2023/08/09,21:00,0.13,Real,</t>
  </si>
  <si>
    <t>ES0031408323131005HX0F,2023/08/09,22:00,1.602,Real,</t>
  </si>
  <si>
    <t>ES0031408323131005HX0F,2023/08/09,23:00,1.532,Real,</t>
  </si>
  <si>
    <t>ES0031408323131005HX0F,2023/08/09,24:00,0.153,Real,</t>
  </si>
  <si>
    <t>ES0031408323131005HX0F,2023/08/10,01:00,0.464,Real,</t>
  </si>
  <si>
    <t>ES0031408323131005HX0F,2023/08/10,02:00,0.04,Real,</t>
  </si>
  <si>
    <t>ES0031408323131005HX0F,2023/08/10,03:00,0.442,Real,</t>
  </si>
  <si>
    <t>ES0031408323131005HX0F,2023/08/10,04:00,0.11,Real,</t>
  </si>
  <si>
    <t>ES0031408323131005HX0F,2023/08/10,05:00,0.038,Real,</t>
  </si>
  <si>
    <t>ES0031408323131005HX0F,2023/08/10,06:00,0.138,Real,</t>
  </si>
  <si>
    <t>ES0031408323131005HX0F,2023/08/10,07:00,0.132,Real,</t>
  </si>
  <si>
    <t>ES0031408323131005HX0F,2023/08/10,08:00,0.109,Real,</t>
  </si>
  <si>
    <t>ES0031408323131005HX0F,2023/08/10,09:00,0.483,Real,</t>
  </si>
  <si>
    <t>ES0031408323131005HX0F,2023/08/10,10:00,0.233,Real,</t>
  </si>
  <si>
    <t>ES0031408323131005HX0F,2023/08/10,11:00,0.218,Real,</t>
  </si>
  <si>
    <t>ES0031408323131005HX0F,2023/08/10,12:00,0.723,Real,</t>
  </si>
  <si>
    <t>ES0031408323131005HX0F,2023/08/10,13:00,0.489,Real,</t>
  </si>
  <si>
    <t>ES0031408323131005HX0F,2023/08/10,14:00,0.221,Real,</t>
  </si>
  <si>
    <t>ES0031408323131005HX0F,2023/08/10,15:00,0.154,Real,</t>
  </si>
  <si>
    <t>ES0031408323131005HX0F,2023/08/10,16:00,0.135,Real,</t>
  </si>
  <si>
    <t>ES0031408323131005HX0F,2023/08/10,17:00,0.132,Real,</t>
  </si>
  <si>
    <t>ES0031408323131005HX0F,2023/08/10,18:00,0.132,Real,</t>
  </si>
  <si>
    <t>ES0031408323131005HX0F,2023/08/10,19:00,0.06,Real,</t>
  </si>
  <si>
    <t>ES0031408323131005HX0F,2023/08/10,20:00,0.434,Real,</t>
  </si>
  <si>
    <t>ES0031408323131005HX0F,2023/08/10,21:00,0.184,Real,</t>
  </si>
  <si>
    <t>ES0031408323131005HX0F,2023/08/10,22:00,0.326,Real,</t>
  </si>
  <si>
    <t>ES0031408323131005HX0F,2023/08/10,23:00,2.008,Real,</t>
  </si>
  <si>
    <t>ES0031408323131005HX0F,2023/08/10,24:00,0.911,Real,</t>
  </si>
  <si>
    <t>ES0031408323131005HX0F,2023/08/11,01:00,0.132,Real,</t>
  </si>
  <si>
    <t>ES0031408323131005HX0F,2023/08/11,02:00,0.13,Real,</t>
  </si>
  <si>
    <t>ES0031408323131005HX0F,2023/08/11,03:00,0.15,Real,</t>
  </si>
  <si>
    <t>ES0031408323131005HX0F,2023/08/11,04:00,0.139,Real,</t>
  </si>
  <si>
    <t>ES0031408323131005HX0F,2023/08/11,05:00,0.36,Real,</t>
  </si>
  <si>
    <t>ES0031408323131005HX0F,2023/08/11,06:00,0.099,Real,</t>
  </si>
  <si>
    <t>ES0031408323131005HX0F,2023/08/11,07:00,0.128,Real,</t>
  </si>
  <si>
    <t>ES0031408323131005HX0F,2023/08/11,08:00,0.127,Real,</t>
  </si>
  <si>
    <t>ES0031408323131005HX0F,2023/08/11,09:00,0.424,Real,</t>
  </si>
  <si>
    <t>ES0031408323131005HX0F,2023/08/11,10:00,0.276,Real,</t>
  </si>
  <si>
    <t>ES0031408323131005HX0F,2023/08/11,11:00,0.167,Real,</t>
  </si>
  <si>
    <t>ES0031408323131005HX0F,2023/08/11,12:00,0.313,Real,</t>
  </si>
  <si>
    <t>ES0031408323131005HX0F,2023/08/11,13:00,0.478,Real,</t>
  </si>
  <si>
    <t>ES0031408323131005HX0F,2023/08/11,14:00,1.105,Real,</t>
  </si>
  <si>
    <t>ES0031408323131005HX0F,2023/08/11,15:00,1.079,Real,</t>
  </si>
  <si>
    <t>ES0031408323131005HX0F,2023/08/11,16:00,0.733,Real,</t>
  </si>
  <si>
    <t>ES0031408323131005HX0F,2023/08/11,17:00,1.298,Real,</t>
  </si>
  <si>
    <t>ES0031408323131005HX0F,2023/08/11,18:00,1.987,Real,</t>
  </si>
  <si>
    <t>ES0031408323131005HX0F,2023/08/11,19:00,1.561,Real,</t>
  </si>
  <si>
    <t>ES0031408323131005HX0F,2023/08/11,20:00,1.834,Real,</t>
  </si>
  <si>
    <t>ES0031408323131005HX0F,2023/08/11,21:00,2.081,Real,</t>
  </si>
  <si>
    <t>ES0031408323131005HX0F,2023/08/11,22:00,0.65,Real,</t>
  </si>
  <si>
    <t>ES0031408323131005HX0F,2023/08/11,23:00,1.168,Real,</t>
  </si>
  <si>
    <t>ES0031408323131005HX0F,2023/08/11,24:00,0.68,Real,</t>
  </si>
  <si>
    <t>ES0031408323131005HX0F,2023/08/12,01:00,0.085,Real,</t>
  </si>
  <si>
    <t>ES0031408323131005HX0F,2023/08/12,02:00,0.122,Real,</t>
  </si>
  <si>
    <t>ES0031408323131005HX0F,2023/08/12,03:00,0.142,Real,</t>
  </si>
  <si>
    <t>ES0031408323131005HX0F,2023/08/12,04:00,0.232,Real,</t>
  </si>
  <si>
    <t>ES0031408323131005HX0F,2023/08/12,05:00,0.278,Real,</t>
  </si>
  <si>
    <t>ES0031408323131005HX0F,2023/08/12,06:00,0.116,Real,</t>
  </si>
  <si>
    <t>ES0031408323131005HX0F,2023/08/12,07:00,0.133,Real,</t>
  </si>
  <si>
    <t>ES0031408323131005HX0F,2023/08/12,08:00,1.252,Real,</t>
  </si>
  <si>
    <t>ES0031408323131005HX0F,2023/08/12,09:00,0.982,Real,</t>
  </si>
  <si>
    <t>ES0031408323131005HX0F,2023/08/12,10:00,0.273,Real,</t>
  </si>
  <si>
    <t>ES0031408323131005HX0F,2023/08/12,11:00,0.406,Real,</t>
  </si>
  <si>
    <t>ES0031408323131005HX0F,2023/08/12,12:00,0.2,Real,</t>
  </si>
  <si>
    <t>ES0031408323131005HX0F,2023/08/12,13:00,0.241,Real,</t>
  </si>
  <si>
    <t>ES0031408323131005HX0F,2023/08/12,14:00,0.283,Real,</t>
  </si>
  <si>
    <t>ES0031408323131005HX0F,2023/08/12,15:00,2.337,Real,</t>
  </si>
  <si>
    <t>ES0031408323131005HX0F,2023/08/12,16:00,0.226,Real,</t>
  </si>
  <si>
    <t>ES0031408323131005HX0F,2023/08/12,17:00,0.19,Real,</t>
  </si>
  <si>
    <t>ES0031408323131005HX0F,2023/08/12,18:00,1.147,Real,</t>
  </si>
  <si>
    <t>ES0031408323131005HX0F,2023/08/12,19:00,0.905,Real,</t>
  </si>
  <si>
    <t>ES0031408323131005HX0F,2023/08/12,20:00,0.109,Real,</t>
  </si>
  <si>
    <t>ES0031408323131005HX0F,2023/08/12,21:00,0.069,Real,</t>
  </si>
  <si>
    <t>ES0031408323131005HX0F,2023/08/12,22:00,1.531,Real,</t>
  </si>
  <si>
    <t>ES0031408323131005HX0F,2023/08/12,23:00,0.614,Real,</t>
  </si>
  <si>
    <t>ES0031408323131005HX0F,2023/08/12,24:00,0.139,Real,</t>
  </si>
  <si>
    <t>ES0031408323131005HX0F,2023/08/13,01:00,0.138,Real,</t>
  </si>
  <si>
    <t>ES0031408323131005HX0F,2023/08/13,02:00,0.391,Real,</t>
  </si>
  <si>
    <t>ES0031408323131005HX0F,2023/08/13,03:00,0.813,Real,</t>
  </si>
  <si>
    <t>ES0031408323131005HX0F,2023/08/13,04:00,0.386,Real,</t>
  </si>
  <si>
    <t>ES0031408323131005HX0F,2023/08/13,05:00,0.13,Real,</t>
  </si>
  <si>
    <t>ES0031408323131005HX0F,2023/08/13,06:00,0.145,Real,</t>
  </si>
  <si>
    <t>ES0031408323131005HX0F,2023/08/13,07:00,0.128,Real,</t>
  </si>
  <si>
    <t>ES0031408323131005HX0F,2023/08/13,08:00,0.14,Real,</t>
  </si>
  <si>
    <t>ES0031408323131005HX0F,2023/08/13,09:00,0.398,Real,</t>
  </si>
  <si>
    <t>ES0031408323131005HX0F,2023/08/13,10:00,0.792,Real,</t>
  </si>
  <si>
    <t>ES0031408323131005HX0F,2023/08/13,11:00,0.127,Real,</t>
  </si>
  <si>
    <t>ES0031408323131005HX0F,2023/08/13,12:00,0.393,Real,</t>
  </si>
  <si>
    <t>ES0031408323131005HX0F,2023/08/13,13:00,0.141,Real,</t>
  </si>
  <si>
    <t>ES0031408323131005HX0F,2023/08/13,14:00,0.131,Real,</t>
  </si>
  <si>
    <t>ES0031408323131005HX0F,2023/08/13,15:00,0.341,Real,</t>
  </si>
  <si>
    <t>ES0031408323131005HX0F,2023/08/13,16:00,0.637,Real,</t>
  </si>
  <si>
    <t>ES0031408323131005HX0F,2023/08/13,17:00,0.989,Real,</t>
  </si>
  <si>
    <t>ES0031408323131005HX0F,2023/08/13,18:00,2.036,Real,</t>
  </si>
  <si>
    <t>ES0031408323131005HX0F,2023/08/13,19:00,0.706,Real,</t>
  </si>
  <si>
    <t>ES0031408323131005HX0F,2023/08/13,20:00,2.518,Real,</t>
  </si>
  <si>
    <t>ES0031408323131005HX0F,2023/08/13,21:00,1.678,Real,</t>
  </si>
  <si>
    <t>ES0031408323131005HX0F,2023/08/13,22:00,0.439,Real,</t>
  </si>
  <si>
    <t>ES0031408323131005HX0F,2023/08/13,23:00,0.123,Real,</t>
  </si>
  <si>
    <t>ES0031408323131005HX0F,2023/08/13,24:00,0.123,Real,</t>
  </si>
  <si>
    <t>ES0031408323131005HX0F,2023/08/14,01:00,0.122,Real,</t>
  </si>
  <si>
    <t>ES0031408323131005HX0F,2023/08/14,02:00,0.148,Real,</t>
  </si>
  <si>
    <t>ES0031408323131005HX0F,2023/08/14,03:00,0.16,Real,</t>
  </si>
  <si>
    <t>ES0031408323131005HX0F,2023/08/14,04:00,0.13,Real,</t>
  </si>
  <si>
    <t>ES0031408323131005HX0F,2023/08/14,05:00,0.028,Real,</t>
  </si>
  <si>
    <t>ES0031408323131005HX0F,2023/08/14,06:00,0.13,Real,</t>
  </si>
  <si>
    <t>ES0031408323131005HX0F,2023/08/14,07:00,0.285,Real,</t>
  </si>
  <si>
    <t>ES0031408323131005HX0F,2023/08/14,08:00,0.292,Real,</t>
  </si>
  <si>
    <t>ES0031408323131005HX0F,2023/08/14,09:00,0.247,Real,</t>
  </si>
  <si>
    <t>ES0031408323131005HX0F,2023/08/14,10:00,0.43,Real,</t>
  </si>
  <si>
    <t>ES0031408323131005HX0F,2023/08/14,11:00,0.215,Real,</t>
  </si>
  <si>
    <t>ES0031408323131005HX0F,2023/08/14,12:00,0.392,Real,</t>
  </si>
  <si>
    <t>ES0031408323131005HX0F,2023/08/14,13:00,0.731,Real,</t>
  </si>
  <si>
    <t>ES0031408323131005HX0F,2023/08/14,14:00,1.29,Real,</t>
  </si>
  <si>
    <t>ES0031408323131005HX0F,2023/08/14,15:00,0.758,Real,</t>
  </si>
  <si>
    <t>ES0031408323131005HX0F,2023/08/14,16:00,1.168,Real,</t>
  </si>
  <si>
    <t>ES0031408323131005HX0F,2023/08/14,17:00,2.509,Real,</t>
  </si>
  <si>
    <t>ES0031408323131005HX0F,2023/08/14,18:00,2.561,Real,</t>
  </si>
  <si>
    <t>ES0031408323131005HX0F,2023/08/14,19:00,2.455,Real,</t>
  </si>
  <si>
    <t>ES0031408323131005HX0F,2023/08/14,20:00,2.462,Real,</t>
  </si>
  <si>
    <t>ES0031408323131005HX0F,2023/08/14,21:00,1.563,Real,</t>
  </si>
  <si>
    <t>ES0031408323131005HX0F,2023/08/14,22:00,0.481,Real,</t>
  </si>
  <si>
    <t>ES0031408323131005HX0F,2023/08/14,23:00,0.416,Real,</t>
  </si>
  <si>
    <t>ES0031408323131005HX0F,2023/08/14,24:00,0.416,Real,</t>
  </si>
  <si>
    <t>ES0031408323131005HX0F,2023/08/15,01:00,0.369,Real,</t>
  </si>
  <si>
    <t>ES0031408323131005HX0F,2023/08/15,02:00,0.685,Real,</t>
  </si>
  <si>
    <t>ES0031408323131005HX0F,2023/08/15,03:00,0.417,Real,</t>
  </si>
  <si>
    <t>ES0031408323131005HX0F,2023/08/15,04:00,0.153,Real,</t>
  </si>
  <si>
    <t>ES0031408323131005HX0F,2023/08/15,05:00,0.063,Real,</t>
  </si>
  <si>
    <t>ES0031408323131005HX0F,2023/08/15,06:00,0.103,Real,</t>
  </si>
  <si>
    <t>ES0031408323131005HX0F,2023/08/15,07:00,0.159,Real,</t>
  </si>
  <si>
    <t>ES0031408323131005HX0F,2023/08/15,08:00,0.15,Real,</t>
  </si>
  <si>
    <t>ES0031408323131005HX0F,2023/08/15,09:00,0.452,Real,</t>
  </si>
  <si>
    <t>ES0031408323131005HX0F,2023/08/15,10:00,0.4,Real,</t>
  </si>
  <si>
    <t>ES0031408323131005HX0F,2023/08/15,11:00,0.895,Real,</t>
  </si>
  <si>
    <t>ES0031408323131005HX0F,2023/08/15,12:00,0.421,Real,</t>
  </si>
  <si>
    <t>ES0031408323131005HX0F,2023/08/15,13:00,0.282,Real,</t>
  </si>
  <si>
    <t>ES0031408323131005HX0F,2023/08/15,14:00,0.125,Real,</t>
  </si>
  <si>
    <t>ES0031408323131005HX0F,2023/08/15,15:00,0.753,Real,</t>
  </si>
  <si>
    <t>ES0031408323131005HX0F,2023/08/15,16:00,2.536,Real,</t>
  </si>
  <si>
    <t>ES0031408323131005HX0F,2023/08/15,17:00,2.53,Real,</t>
  </si>
  <si>
    <t>ES0031408323131005HX0F,2023/08/15,18:00,2.139,Real,</t>
  </si>
  <si>
    <t>ES0031408323131005HX0F,2023/08/15,19:00,0.379,Real,</t>
  </si>
  <si>
    <t>ES0031408323131005HX0F,2023/08/15,20:00,0.142,Real,</t>
  </si>
  <si>
    <t>ES0031408323131005HX0F,2023/08/15,21:00,0.538,Real,</t>
  </si>
  <si>
    <t>ES0031408323131005HX0F,2023/08/15,22:00,0.678,Real,</t>
  </si>
  <si>
    <t>ES0031408323131005HX0F,2023/08/15,23:00,0.865,Real,</t>
  </si>
  <si>
    <t>ES0031408323131005HX0F,2023/08/15,24:00,2.319,Real,</t>
  </si>
  <si>
    <t>ES0031408323131005HX0F,2023/08/16,01:00,0.498,Real,</t>
  </si>
  <si>
    <t>ES0031408323131005HX0F,2023/08/16,02:00,0.241,Real,</t>
  </si>
  <si>
    <t>ES0031408323131005HX0F,2023/08/16,03:00,0.146,Real,</t>
  </si>
  <si>
    <t>ES0031408323131005HX0F,2023/08/16,04:00,0.399,Real,</t>
  </si>
  <si>
    <t>ES0031408323131005HX0F,2023/08/16,05:00,0.118,Real,</t>
  </si>
  <si>
    <t>ES0031408323131005HX0F,2023/08/16,06:00,0.079,Real,</t>
  </si>
  <si>
    <t>ES0031408323131005HX0F,2023/08/16,07:00,0.084,Real,</t>
  </si>
  <si>
    <t>ES0031408323131005HX0F,2023/08/16,08:00,0.126,Real,</t>
  </si>
  <si>
    <t>ES0031408323131005HX0F,2023/08/16,09:00,0.197,Real,</t>
  </si>
  <si>
    <t>ES0031408323131005HX0F,2023/08/16,10:00,0.23,Real,</t>
  </si>
  <si>
    <t>ES0031408323131005HX0F,2023/08/16,11:00,0.361,Real,</t>
  </si>
  <si>
    <t>ES0031408323131005HX0F,2023/08/16,12:00,0.126,Real,</t>
  </si>
  <si>
    <t>ES0031408323131005HX0F,2023/08/16,13:00,0.355,Real,</t>
  </si>
  <si>
    <t>ES0031408323131005HX0F,2023/08/16,14:00,0.483,Real,</t>
  </si>
  <si>
    <t>ES0031408323131005HX0F,2023/08/16,15:00,0.524,Real,</t>
  </si>
  <si>
    <t>ES0031408323131005HX0F,2023/08/16,16:00,0.759,Real,</t>
  </si>
  <si>
    <t>ES0031408323131005HX0F,2023/08/16,17:00,0.14,Real,</t>
  </si>
  <si>
    <t>ES0031408323131005HX0F,2023/08/16,18:00,0.136,Real,</t>
  </si>
  <si>
    <t>ES0031408323131005HX0F,2023/08/16,19:00,0.122,Real,</t>
  </si>
  <si>
    <t>ES0031408323131005HX0F,2023/08/16,20:00,0.815,Real,</t>
  </si>
  <si>
    <t>ES0031408323131005HX0F,2023/08/16,21:00,0.126,Real,</t>
  </si>
  <si>
    <t>ES0031408323131005HX0F,2023/08/16,22:00,0.124,Real,</t>
  </si>
  <si>
    <t>ES0031408323131005HX0F,2023/08/16,23:00,0.319,Real,</t>
  </si>
  <si>
    <t>ES0031408323131005HX0F,2023/08/16,24:00,2.365,Real,</t>
  </si>
  <si>
    <t>ES0031408323131005HX0F,2023/08/17,01:00,2.347,Real,</t>
  </si>
  <si>
    <t>ES0031408323131005HX0F,2023/08/17,02:00,1.797,Real,</t>
  </si>
  <si>
    <t>ES0031408323131005HX0F,2023/08/17,03:00,0.412,Real,</t>
  </si>
  <si>
    <t>ES0031408323131005HX0F,2023/08/17,04:00,0.096,Real,</t>
  </si>
  <si>
    <t>ES0031408323131005HX0F,2023/08/17,05:00,0.079,Real,</t>
  </si>
  <si>
    <t>ES0031408323131005HX0F,2023/08/17,06:00,0.063,Real,</t>
  </si>
  <si>
    <t>ES0031408323131005HX0F,2023/08/17,07:00,0.209,Real,</t>
  </si>
  <si>
    <t>ES0031408323131005HX0F,2023/08/17,08:00,0.143,Real,</t>
  </si>
  <si>
    <t>ES0031408323131005HX0F,2023/08/17,09:00,0.3,Real,</t>
  </si>
  <si>
    <t>ES0031408323131005HX0F,2023/08/17,10:00,0.631,Real,</t>
  </si>
  <si>
    <t>ES0031408323131005HX0F,2023/08/17,11:00,0.315,Real,</t>
  </si>
  <si>
    <t>ES0031408323131005HX0F,2023/08/17,12:00,0.468,Real,</t>
  </si>
  <si>
    <t>ES0031408323131005HX0F,2023/08/17,13:00,0.587,Real,</t>
  </si>
  <si>
    <t>ES0031408323131005HX0F,2023/08/17,14:00,0.086,Real,</t>
  </si>
  <si>
    <t>ES0031408323131005HX0F,2023/08/17,15:00,0.134,Real,</t>
  </si>
  <si>
    <t>ES0031408323131005HX0F,2023/08/17,16:00,0.129,Real,</t>
  </si>
  <si>
    <t>ES0031408323131005HX0F,2023/08/17,17:00,0.131,Real,</t>
  </si>
  <si>
    <t>ES0031408323131005HX0F,2023/08/17,18:00,2.201,Real,</t>
  </si>
  <si>
    <t>ES0031408323131005HX0F,2023/08/17,19:00,1.178,Real,</t>
  </si>
  <si>
    <t>ES0031408323131005HX0F,2023/08/17,20:00,0.449,Real,</t>
  </si>
  <si>
    <t>ES0031408323131005HX0F,2023/08/17,21:00,0.547,Real,</t>
  </si>
  <si>
    <t>ES0031408323131005HX0F,2023/08/17,22:00,0.187,Real,</t>
  </si>
  <si>
    <t>ES0031408323131005HX0F,2023/08/17,23:00,1.651,Real,</t>
  </si>
  <si>
    <t>ES0031408323131005HX0F,2023/08/17,24:00,0.108,Real,</t>
  </si>
  <si>
    <t>ES0031408323131005HX0F,2023/08/18,01:00,0.135,Real,</t>
  </si>
  <si>
    <t>ES0031408323131005HX0F,2023/08/18,02:00,0.129,Real,</t>
  </si>
  <si>
    <t>ES0031408323131005HX0F,2023/08/18,03:00,0.164,Real,</t>
  </si>
  <si>
    <t>ES0031408323131005HX0F,2023/08/18,04:00,0.144,Real,</t>
  </si>
  <si>
    <t>ES0031408323131005HX0F,2023/08/18,05:00,0.374,Real,</t>
  </si>
  <si>
    <t>ES0031408323131005HX0F,2023/08/18,06:00,0.126,Real,</t>
  </si>
  <si>
    <t>ES0031408323131005HX0F,2023/08/18,07:00,0.128,Real,</t>
  </si>
  <si>
    <t>ES0031408323131005HX0F,2023/08/18,08:00,0.36,Real,</t>
  </si>
  <si>
    <t>ES0031408323131005HX0F,2023/08/18,09:00,0.453,Real,</t>
  </si>
  <si>
    <t>ES0031408323131005HX0F,2023/08/18,10:00,0.151,Real,</t>
  </si>
  <si>
    <t>ES0031408323131005HX0F,2023/08/18,11:00,0.153,Real,</t>
  </si>
  <si>
    <t>ES0031408323131005HX0F,2023/08/18,12:00,0.265,Real,</t>
  </si>
  <si>
    <t>ES0031408323131005HX0F,2023/08/18,13:00,0.396,Real,</t>
  </si>
  <si>
    <t>ES0031408323131005HX0F,2023/08/18,14:00,0.154,Real,</t>
  </si>
  <si>
    <t>ES0031408323131005HX0F,2023/08/18,15:00,0.181,Real,</t>
  </si>
  <si>
    <t>ES0031408323131005HX0F,2023/08/18,16:00,2.094,Real,</t>
  </si>
  <si>
    <t>ES0031408323131005HX0F,2023/08/18,17:00,0.49,Real,</t>
  </si>
  <si>
    <t>ES0031408323131005HX0F,2023/08/18,18:00,2.21,Real,</t>
  </si>
  <si>
    <t>ES0031408323131005HX0F,2023/08/18,19:00,1.344,Real,</t>
  </si>
  <si>
    <t>ES0031408323131005HX0F,2023/08/18,20:00,0.315,Real,</t>
  </si>
  <si>
    <t>ES0031408323131005HX0F,2023/08/18,21:00,0.227,Real,</t>
  </si>
  <si>
    <t>ES0031408323131005HX0F,2023/08/18,22:00,2.163,Real,</t>
  </si>
  <si>
    <t>ES0031408323131005HX0F,2023/08/18,23:00,2.281,Real,</t>
  </si>
  <si>
    <t>ES0031408323131005HX0F,2023/08/18,24:00,1.726,Real,</t>
  </si>
  <si>
    <t>ES0031408323131005HX0F,2023/08/19,01:00,0.198,Real,</t>
  </si>
  <si>
    <t>ES0031408323131005HX0F,2023/08/19,02:00,0.332,Real,</t>
  </si>
  <si>
    <t>ES0031408323131005HX0F,2023/08/19,03:00,0.111,Real,</t>
  </si>
  <si>
    <t>ES0031408323131005HX0F,2023/08/19,04:00,0.075,Real,</t>
  </si>
  <si>
    <t>ES0031408323131005HX0F,2023/08/19,05:00,0.141,Real,</t>
  </si>
  <si>
    <t>ES0031408323131005HX0F,2023/08/19,06:00,0.129,Real,</t>
  </si>
  <si>
    <t>ES0031408323131005HX0F,2023/08/19,07:00,0.126,Real,</t>
  </si>
  <si>
    <t>ES0031408323131005HX0F,2023/08/19,08:00,0.153,Real,</t>
  </si>
  <si>
    <t>ES0031408323131005HX0F,2023/08/19,09:00,0.28,Real,</t>
  </si>
  <si>
    <t>ES0031408323131005HX0F,2023/08/19,10:00,0.426,Real,</t>
  </si>
  <si>
    <t>ES0031408323131005HX0F,2023/08/19,11:00,0.211,Real,</t>
  </si>
  <si>
    <t>ES0031408323131005HX0F,2023/08/19,12:00,0.153,Real,</t>
  </si>
  <si>
    <t>ES0031408323131005HX0F,2023/08/19,13:00,0.067,Real,</t>
  </si>
  <si>
    <t>ES0031408323131005HX0F,2023/08/19,14:00,1.147,Real,</t>
  </si>
  <si>
    <t>ES0031408323131005HX0F,2023/08/19,15:00,0.787,Real,</t>
  </si>
  <si>
    <t>ES0031408323131005HX0F,2023/08/19,16:00,0.12,Real,</t>
  </si>
  <si>
    <t>ES0031408323131005HX0F,2023/08/19,17:00,0.12,Real,</t>
  </si>
  <si>
    <t>ES0031408323131005HX0F,2023/08/19,18:00,0.134,Real,</t>
  </si>
  <si>
    <t>ES0031408323131005HX0F,2023/08/19,19:00,0.132,Real,</t>
  </si>
  <si>
    <t>ES0031408323131005HX0F,2023/08/19,20:00,0.153,Real,</t>
  </si>
  <si>
    <t>ES0031408323131005HX0F,2023/08/19,21:00,0.995,Real,</t>
  </si>
  <si>
    <t>ES0031408323131005HX0F,2023/08/19,22:00,0.674,Real,</t>
  </si>
  <si>
    <t>ES0031408323131005HX0F,2023/08/19,23:00,0.053,Real,</t>
  </si>
  <si>
    <t>ES0031408323131005HX0F,2023/08/19,24:00,0.121,Real,</t>
  </si>
  <si>
    <t>ES0031408323131005HX0F,2023/08/20,01:00,0.483,Real,</t>
  </si>
  <si>
    <t>ES0031408323131005HX0F,2023/08/20,02:00,1.706,Real,</t>
  </si>
  <si>
    <t>ES0031408323131005HX0F,2023/08/20,03:00,1.128,Real,</t>
  </si>
  <si>
    <t>ES0031408323131005HX0F,2023/08/20,04:00,0.977,Real,</t>
  </si>
  <si>
    <t>ES0031408323131005HX0F,2023/08/20,05:00,1.079,Real,</t>
  </si>
  <si>
    <t>ES0031408323131005HX0F,2023/08/20,06:00,0.365,Real,</t>
  </si>
  <si>
    <t>ES0031408323131005HX0F,2023/08/20,07:00,0.132,Real,</t>
  </si>
  <si>
    <t>ES0031408323131005HX0F,2023/08/20,08:00,0.081,Real,</t>
  </si>
  <si>
    <t>ES0031408323131005HX0F,2023/08/20,09:00,0.786,Real,</t>
  </si>
  <si>
    <t>ES0031408323131005HX0F,2023/08/20,10:00,0.674,Real,</t>
  </si>
  <si>
    <t>ES0031408323131005HX0F,2023/08/20,11:00,0.289,Real,</t>
  </si>
  <si>
    <t>ES0031408323131005HX0F,2023/08/20,12:00,1.269,Real,</t>
  </si>
  <si>
    <t>ES0031408323131005HX0F,2023/08/20,13:00,0.122,Real,</t>
  </si>
  <si>
    <t>ES0031408323131005HX0F,2023/08/20,14:00,3.007,Real,</t>
  </si>
  <si>
    <t>ES0031408323131005HX0F,2023/08/20,15:00,2.048,Real,</t>
  </si>
  <si>
    <t>ES0031408323131005HX0F,2023/08/20,16:00,0.454,Real,</t>
  </si>
  <si>
    <t>ES0031408323131005HX0F,2023/08/20,17:00,2.89,Real,</t>
  </si>
  <si>
    <t>ES0031408323131005HX0F,2023/08/20,18:00,2.349,Real,</t>
  </si>
  <si>
    <t>ES0031408323131005HX0F,2023/08/20,19:00,2.646,Real,</t>
  </si>
  <si>
    <t>ES0031408323131005HX0F,2023/08/20,20:00,0.643,Real,</t>
  </si>
  <si>
    <t>ES0031408323131005HX0F,2023/08/20,21:00,1.6,Real,</t>
  </si>
  <si>
    <t>ES0031408323131005HX0F,2023/08/20,22:00,2.111,Real,</t>
  </si>
  <si>
    <t>ES0031408323131005HX0F,2023/08/20,23:00,0.354,Real,</t>
  </si>
  <si>
    <t>ES0031408323131005HX0F,2023/08/20,24:00,0.334,Real,</t>
  </si>
  <si>
    <t>ES0031408323131005HX0F,2023/08/21,01:00,0.37,Real,</t>
  </si>
  <si>
    <t>ES0031408323131005HX0F,2023/08/21,02:00,0.128,Real,</t>
  </si>
  <si>
    <t>ES0031408323131005HX0F,2023/08/21,03:00,0.561,Real,</t>
  </si>
  <si>
    <t>ES0031408323131005HX0F,2023/08/21,04:00,1.264,Real,</t>
  </si>
  <si>
    <t>ES0031408323131005HX0F,2023/08/21,05:00,0.089,Real,</t>
  </si>
  <si>
    <t>ES0031408323131005HX0F,2023/08/21,06:00,0.053,Real,</t>
  </si>
  <si>
    <t>ES0031408323131005HX0F,2023/08/21,07:00,0.112,Real,</t>
  </si>
  <si>
    <t>ES0031408323131005HX0F,2023/08/21,08:00,0.112,Real,</t>
  </si>
  <si>
    <t>ES0031408323131005HX0F,2023/08/21,09:00,0.565,Real,</t>
  </si>
  <si>
    <t>ES0031408323131005HX0F,2023/08/21,10:00,0.994,Real,</t>
  </si>
  <si>
    <t>ES0031408323131005HX0F,2023/08/21,11:00,0.117,Real,</t>
  </si>
  <si>
    <t>ES0031408323131005HX0F,2023/08/21,12:00,0.117,Real,</t>
  </si>
  <si>
    <t>ES0031408323131005HX0F,2023/08/21,13:00,0.116,Real,</t>
  </si>
  <si>
    <t>ES0031408323131005HX0F,2023/08/21,14:00,0.115,Real,</t>
  </si>
  <si>
    <t>ES0031408323131005HX0F,2023/08/21,15:00,0.061,Real,</t>
  </si>
  <si>
    <t>ES0031408323131005HX0F,2023/08/21,16:00,0.049,Real,</t>
  </si>
  <si>
    <t>ES0031408323131005HX0F,2023/08/21,17:00,0.117,Real,</t>
  </si>
  <si>
    <t>ES0031408323131005HX0F,2023/08/21,18:00,0.114,Real,</t>
  </si>
  <si>
    <t>ES0031408323131005HX0F,2023/08/21,19:00,1.532,Real,</t>
  </si>
  <si>
    <t>ES0031408323131005HX0F,2023/08/21,20:00,1.827,Real,</t>
  </si>
  <si>
    <t>ES0031408323131005HX0F,2023/08/21,21:00,0.699,Real,</t>
  </si>
  <si>
    <t>ES0031408323131005HX0F,2023/08/21,22:00,0.655,Real,</t>
  </si>
  <si>
    <t>ES0031408323131005HX0F,2023/08/21,23:00,0.249,Real,</t>
  </si>
  <si>
    <t>ES0031408323131005HX0F,2023/08/21,24:00,0.31,Real,</t>
  </si>
  <si>
    <t>ES0031408323131005HX0F,2023/08/22,01:00,0.258,Real,</t>
  </si>
  <si>
    <t>ES0031408323131005HX0F,2023/08/22,02:00,0.14,Real,</t>
  </si>
  <si>
    <t>ES0031408323131005HX0F,2023/08/22,03:00,0.136,Real,</t>
  </si>
  <si>
    <t>ES0031408323131005HX0F,2023/08/22,04:00,0.206,Real,</t>
  </si>
  <si>
    <t>ES0031408323131005HX0F,2023/08/22,05:00,0.29,Real,</t>
  </si>
  <si>
    <t>ES0031408323131005HX0F,2023/08/22,06:00,0.121,Real,</t>
  </si>
  <si>
    <t>ES0031408323131005HX0F,2023/08/22,07:00,0.1,Real,</t>
  </si>
  <si>
    <t>ES0031408323131005HX0F,2023/08/22,08:00,0.19,Real,</t>
  </si>
  <si>
    <t>ES0031408323131005HX0F,2023/08/22,09:00,0.213,Real,</t>
  </si>
  <si>
    <t>ES0031408323131005HX0F,2023/08/22,10:00,0.168,Real,</t>
  </si>
  <si>
    <t>ES0031408323131005HX0F,2023/08/22,11:00,0.381,Real,</t>
  </si>
  <si>
    <t>ES0031408323131005HX0F,2023/08/22,12:00,0.291,Real,</t>
  </si>
  <si>
    <t>ES0031408323131005HX0F,2023/08/22,13:00,0.263,Real,</t>
  </si>
  <si>
    <t>ES0031408323131005HX0F,2023/08/22,14:00,0.584,Real,</t>
  </si>
  <si>
    <t>ES0031408323131005HX0F,2023/08/22,15:00,0.453,Real,</t>
  </si>
  <si>
    <t>ES0031408323131005HX0F,2023/08/22,16:00,0.68,Real,</t>
  </si>
  <si>
    <t>ES0031408323131005HX0F,2023/08/22,17:00,0.324,Real,</t>
  </si>
  <si>
    <t>ES0031408323131005HX0F,2023/08/22,18:00,1.562,Real,</t>
  </si>
  <si>
    <t>ES0031408323131005HX0F,2023/08/22,19:00,2.198,Real,</t>
  </si>
  <si>
    <t>ES0031408323131005HX0F,2023/08/22,20:00,0.729,Real,</t>
  </si>
  <si>
    <t>ES0031408323131005HX0F,2023/08/22,21:00,0.537,Real,</t>
  </si>
  <si>
    <t>ES0031408323131005HX0F,2023/08/22,22:00,0.936,Real,</t>
  </si>
  <si>
    <t>ES0031408323131005HX0F,2023/08/22,23:00,0.398,Real,</t>
  </si>
  <si>
    <t>ES0031408323131005HX0F,2023/08/22,24:00,1.406,Real,</t>
  </si>
  <si>
    <t>ES0031408323131005HX0F,2023/08/23,01:00,2.471,Real,</t>
  </si>
  <si>
    <t>ES0031408323131005HX0F,2023/08/23,02:00,1.802,Real,</t>
  </si>
  <si>
    <t>ES0031408323131005HX0F,2023/08/23,03:00,0.235,Real,</t>
  </si>
  <si>
    <t>ES0031408323131005HX0F,2023/08/23,04:00,0.144,Real,</t>
  </si>
  <si>
    <t>ES0031408323131005HX0F,2023/08/23,05:00,0.124,Real,</t>
  </si>
  <si>
    <t>ES0031408323131005HX0F,2023/08/23,06:00,0.381,Real,</t>
  </si>
  <si>
    <t>ES0031408323131005HX0F,2023/08/23,07:00,0.191,Real,</t>
  </si>
  <si>
    <t>ES0031408323131005HX0F,2023/08/23,08:00,1.019,Real,</t>
  </si>
  <si>
    <t>ES0031408323131005HX0F,2023/08/23,09:00,0.809,Real,</t>
  </si>
  <si>
    <t>ES0031408323131005HX0F,2023/08/23,10:00,0.84,Real,</t>
  </si>
  <si>
    <t>ES0031408323131005HX0F,2023/08/23,11:00,0.248,Real,</t>
  </si>
  <si>
    <t>ES0031408323131005HX0F,2023/08/23,12:00,0.12,Real,</t>
  </si>
  <si>
    <t>ES0031408323131005HX0F,2023/08/23,13:00,0.12,Real,</t>
  </si>
  <si>
    <t>ES0031408323131005HX0F,2023/08/23,14:00,1.643,Real,</t>
  </si>
  <si>
    <t>ES0031408323131005HX0F,2023/08/23,15:00,1.503,Real,</t>
  </si>
  <si>
    <t>ES0031408323131005HX0F,2023/08/23,16:00,0.303,Real,</t>
  </si>
  <si>
    <t>ES0031408323131005HX0F,2023/08/23,17:00,2.494,Real,</t>
  </si>
  <si>
    <t>ES0031408323131005HX0F,2023/08/23,18:00,2.773,Real,</t>
  </si>
  <si>
    <t>ES0031408323131005HX0F,2023/08/23,19:00,0.6,Real,</t>
  </si>
  <si>
    <t>ES0031408323131005HX0F,2023/08/23,20:00,0.065,Real,</t>
  </si>
  <si>
    <t>ES0031408323131005HX0F,2023/08/23,21:00,0.598,Real,</t>
  </si>
  <si>
    <t>ES0031408323131005HX0F,2023/08/23,22:00,1.57,Real,</t>
  </si>
  <si>
    <t>ES0031408323131005HX0F,2023/08/23,23:00,0.545,Real,</t>
  </si>
  <si>
    <t>ES0031408323131005HX0F,2023/08/23,24:00,0.119,Real,</t>
  </si>
  <si>
    <t>ES0031408323131005HX0F,2023/08/24,01:00,1.801,Real,</t>
  </si>
  <si>
    <t>ES0031408323131005HX0F,2023/08/24,02:00,1.834,Real,</t>
  </si>
  <si>
    <t>ES0031408323131005HX0F,2023/08/24,03:00,0.143,Real,</t>
  </si>
  <si>
    <t>ES0031408323131005HX0F,2023/08/24,04:00,0.136,Real,</t>
  </si>
  <si>
    <t>ES0031408323131005HX0F,2023/08/24,05:00,0.252,Real,</t>
  </si>
  <si>
    <t>ES0031408323131005HX0F,2023/08/24,06:00,0.199,Real,</t>
  </si>
  <si>
    <t>ES0031408323131005HX0F,2023/08/24,07:00,0.131,Real,</t>
  </si>
  <si>
    <t>ES0031408323131005HX0F,2023/08/24,08:00,0.188,Real,</t>
  </si>
  <si>
    <t>ES0031408323131005HX0F,2023/08/24,09:00,0.139,Real,</t>
  </si>
  <si>
    <t>ES0031408323131005HX0F,2023/08/24,10:00,0.361,Real,</t>
  </si>
  <si>
    <t>ES0031408323131005HX0F,2023/08/24,11:00,0.225,Real,</t>
  </si>
  <si>
    <t>ES0031408323131005HX0F,2023/08/24,12:00,0.591,Real,</t>
  </si>
  <si>
    <t>ES0031408323131005HX0F,2023/08/24,13:00,0.135,Real,</t>
  </si>
  <si>
    <t>ES0031408323131005HX0F,2023/08/24,14:00,0.11,Real,</t>
  </si>
  <si>
    <t>ES0031408323131005HX0F,2023/08/24,15:00,0.86,Real,</t>
  </si>
  <si>
    <t>ES0031408323131005HX0F,2023/08/24,16:00,0.688,Real,</t>
  </si>
  <si>
    <t>ES0031408323131005HX0F,2023/08/24,17:00,1.032,Real,</t>
  </si>
  <si>
    <t>ES0031408323131005HX0F,2023/08/24,18:00,2.767,Real,</t>
  </si>
  <si>
    <t>ES0031408323131005HX0F,2023/08/24,19:00,0.788,Real,</t>
  </si>
  <si>
    <t>ES0031408323131005HX0F,2023/08/24,20:00,0.136,Real,</t>
  </si>
  <si>
    <t>ES0031408323131005HX0F,2023/08/24,21:00,0.829,Real,</t>
  </si>
  <si>
    <t>ES0031408323131005HX0F,2023/08/24,22:00,0.15,Real,</t>
  </si>
  <si>
    <t>ES0031408323131005HX0F,2023/08/24,23:00,0.13,Real,</t>
  </si>
  <si>
    <t>ES0031408323131005HX0F,2023/08/24,24:00,1.928,Real,</t>
  </si>
  <si>
    <t>ES0031408323131005HX0F,2023/08/25,01:00,2.095,Real,</t>
  </si>
  <si>
    <t>ES0031408323131005HX0F,2023/08/25,02:00,0.459,Real,</t>
  </si>
  <si>
    <t>ES0031408323131005HX0F,2023/08/25,03:00,0.153,Real,</t>
  </si>
  <si>
    <t>ES0031408323131005HX0F,2023/08/25,04:00,0.405,Real,</t>
  </si>
  <si>
    <t>ES0031408323131005HX0F,2023/08/25,05:00,0.138,Real,</t>
  </si>
  <si>
    <t>ES0031408323131005HX0F,2023/08/25,06:00,0.133,Real,</t>
  </si>
  <si>
    <t>ES0031408323131005HX0F,2023/08/25,07:00,0.128,Real,</t>
  </si>
  <si>
    <t>ES0031408323131005HX0F,2023/08/25,08:00,0.182,Real,</t>
  </si>
  <si>
    <t>ES0031408323131005HX0F,2023/08/25,09:00,0.142,Real,</t>
  </si>
  <si>
    <t>ES0031408323131005HX0F,2023/08/25,10:00,0.36,Real,</t>
  </si>
  <si>
    <t>ES0031408323131005HX0F,2023/08/25,11:00,0.569,Real,</t>
  </si>
  <si>
    <t>ES0031408323131005HX0F,2023/08/25,12:00,0.194,Real,</t>
  </si>
  <si>
    <t>ES0031408323131005HX0F,2023/08/25,13:00,1.266,Real,</t>
  </si>
  <si>
    <t>ES0031408323131005HX0F,2023/08/25,14:00,2.343,Real,</t>
  </si>
  <si>
    <t>ES0031408323131005HX0F,2023/08/25,15:00,1.53,Real,</t>
  </si>
  <si>
    <t>ES0031408323131005HX0F,2023/08/25,16:00,0.348,Real,</t>
  </si>
  <si>
    <t>ES0031408323131005HX0F,2023/08/25,17:00,0.459,Real,</t>
  </si>
  <si>
    <t>ES0031408323131005HX0F,2023/08/25,18:00,0.554,Real,</t>
  </si>
  <si>
    <t>ES0031408323131005HX0F,2023/08/25,19:00,1.06,Real,</t>
  </si>
  <si>
    <t>ES0031408323131005HX0F,2023/08/25,20:00,0.119,Real,</t>
  </si>
  <si>
    <t>ES0031408323131005HX0F,2023/08/25,21:00,0.779,Real,</t>
  </si>
  <si>
    <t>ES0031408323131005HX0F,2023/08/25,22:00,0.836,Real,</t>
  </si>
  <si>
    <t>ES0031408323131005HX0F,2023/08/25,23:00,0.072,Real,</t>
  </si>
  <si>
    <t>ES0031408323131005HX0F,2023/08/25,24:00,2.38,Real,</t>
  </si>
  <si>
    <t>ES0031408323131005HX0F,2023/08/26,01:00,2.421,Real,</t>
  </si>
  <si>
    <t>ES0031408323131005HX0F,2023/08/26,02:00,0.923,Real,</t>
  </si>
  <si>
    <t>ES0031408323131005HX0F,2023/08/26,03:00,0.145,Real,</t>
  </si>
  <si>
    <t>ES0031408323131005HX0F,2023/08/26,04:00,0.116,Real,</t>
  </si>
  <si>
    <t>ES0031408323131005HX0F,2023/08/26,05:00,0.117,Real,</t>
  </si>
  <si>
    <t>ES0031408323131005HX0F,2023/08/26,06:00,0.381,Real,</t>
  </si>
  <si>
    <t>ES0031408323131005HX0F,2023/08/26,07:00,0.125,Real,</t>
  </si>
  <si>
    <t>ES0031408323131005HX0F,2023/08/26,08:00,0.149,Real,</t>
  </si>
  <si>
    <t>ES0031408323131005HX0F,2023/08/26,09:00,0.15,Real,</t>
  </si>
  <si>
    <t>ES0031408323131005HX0F,2023/08/26,10:00,0.144,Real,</t>
  </si>
  <si>
    <t>ES0031408323131005HX0F,2023/08/26,11:00,0.168,Real,</t>
  </si>
  <si>
    <t>ES0031408323131005HX0F,2023/08/26,12:00,0.842,Real,</t>
  </si>
  <si>
    <t>ES0031408323131005HX0F,2023/08/26,13:00,0.197,Real,</t>
  </si>
  <si>
    <t>ES0031408323131005HX0F,2023/08/26,14:00,0.453,Real,</t>
  </si>
  <si>
    <t>ES0031408323131005HX0F,2023/08/26,15:00,0.117,Real,</t>
  </si>
  <si>
    <t>ES0031408323131005HX0F,2023/08/26,16:00,0.398,Real,</t>
  </si>
  <si>
    <t>ES0031408323131005HX0F,2023/08/26,17:00,0.116,Real,</t>
  </si>
  <si>
    <t>ES0031408323131005HX0F,2023/08/26,18:00,0.733,Real,</t>
  </si>
  <si>
    <t>ES0031408323131005HX0F,2023/08/26,19:00,2.878,Real,</t>
  </si>
  <si>
    <t>ES0031408323131005HX0F,2023/08/26,20:00,2.228,Real,</t>
  </si>
  <si>
    <t>ES0031408323131005HX0F,2023/08/26,21:00,1.935,Real,</t>
  </si>
  <si>
    <t>ES0031408323131005HX0F,2023/08/26,22:00,1.026,Real,</t>
  </si>
  <si>
    <t>ES0031408323131005HX0F,2023/08/26,23:00,0.126,Real,</t>
  </si>
  <si>
    <t>ES0031408323131005HX0F,2023/08/26,24:00,2.384,Real,</t>
  </si>
  <si>
    <t>ES0031408323131005HX0F,2023/08/27,01:00,1.814,Real,</t>
  </si>
  <si>
    <t>ES0031408323131005HX0F,2023/08/27,02:00,1.565,Real,</t>
  </si>
  <si>
    <t>ES0031408323131005HX0F,2023/08/27,03:00,0.402,Real,</t>
  </si>
  <si>
    <t>ES0031408323131005HX0F,2023/08/27,04:00,0.109,Real,</t>
  </si>
  <si>
    <t>ES0031408323131005HX0F,2023/08/27,05:00,0.025,Real,</t>
  </si>
  <si>
    <t>ES0031408323131005HX0F,2023/08/27,06:00,0.098,Real,</t>
  </si>
  <si>
    <t>ES0031408323131005HX0F,2023/08/27,07:00,0.123,Real,</t>
  </si>
  <si>
    <t>ES0031408323131005HX0F,2023/08/27,08:00,0.273,Real,</t>
  </si>
  <si>
    <t>ES0031408323131005HX0F,2023/08/27,09:00,0.293,Real,</t>
  </si>
  <si>
    <t>ES0031408323131005HX0F,2023/08/27,10:00,0.302,Real,</t>
  </si>
  <si>
    <t>ES0031408323131005HX0F,2023/08/27,11:00,0.276,Real,</t>
  </si>
  <si>
    <t>ES0031408323131005HX0F,2023/08/27,12:00,0.296,Real,</t>
  </si>
  <si>
    <t>ES0031408323131005HX0F,2023/08/27,13:00,0.113,Real,</t>
  </si>
  <si>
    <t>ES0031408323131005HX0F,2023/08/27,14:00,0.114,Real,</t>
  </si>
  <si>
    <t>ES0031408323131005HX0F,2023/08/27,15:00,0.021,Real,</t>
  </si>
  <si>
    <t>ES0031408323131005HX0F,2023/08/27,16:00,0.062,Real,</t>
  </si>
  <si>
    <t>ES0031408323131005HX0F,2023/08/27,17:00,0.106,Real,</t>
  </si>
  <si>
    <t>ES0031408323131005HX0F,2023/08/27,18:00,0.113,Real,</t>
  </si>
  <si>
    <t>ES0031408323131005HX0F,2023/08/27,19:00,0.115,Real,</t>
  </si>
  <si>
    <t>ES0031408323131005HX0F,2023/08/27,20:00,0.386,Real,</t>
  </si>
  <si>
    <t>ES0031408323131005HX0F,2023/08/27,21:00,0.1,Real,</t>
  </si>
  <si>
    <t>ES0031408323131005HX0F,2023/08/27,22:00,0.016,Real,</t>
  </si>
  <si>
    <t>ES0031408323131005HX0F,2023/08/27,23:00,0.079,Real,</t>
  </si>
  <si>
    <t>ES0031408323131005HX0F,2023/08/27,24:00,0.106,Real,</t>
  </si>
  <si>
    <t>ES0031408323131005HX0F,2023/08/28,01:00,0.125,Real,</t>
  </si>
  <si>
    <t>ES0031408323131005HX0F,2023/08/28,02:00,0.109,Real,</t>
  </si>
  <si>
    <t>ES0031408323131005HX0F,2023/08/28,03:00,0.11,Real,</t>
  </si>
  <si>
    <t>ES0031408323131005HX0F,2023/08/28,04:00,0.115,Real,</t>
  </si>
  <si>
    <t>ES0031408323131005HX0F,2023/08/28,05:00,0.413,Real,</t>
  </si>
  <si>
    <t>ES0031408323131005HX0F,2023/08/28,06:00,0.085,Real,</t>
  </si>
  <si>
    <t>ES0031408323131005HX0F,2023/08/28,07:00,0.114,Real,</t>
  </si>
  <si>
    <t>ES0031408323131005HX0F,2023/08/28,08:00,0.029,Real,</t>
  </si>
  <si>
    <t>ES0031408323131005HX0F,2023/08/28,09:00,0.051,Real,</t>
  </si>
  <si>
    <t>ES0031408323131005HX0F,2023/08/28,10:00,0.107,Real,</t>
  </si>
  <si>
    <t>ES0031408323131005HX0F,2023/08/28,11:00,0.108,Real,</t>
  </si>
  <si>
    <t>ES0031408323131005HX0F,2023/08/28,12:00,0.079,Real,</t>
  </si>
  <si>
    <t>ES0031408323131005HX0F,2023/08/28,13:00,0.08,Real,</t>
  </si>
  <si>
    <t>ES0031408323131005HX0F,2023/08/28,14:00,0.304,Real,</t>
  </si>
  <si>
    <t>ES0031408323131005HX0F,2023/08/28,15:00,0.083,Real,</t>
  </si>
  <si>
    <t>ES0031408323131005HX0F,2023/08/28,16:00,0.105,Real,</t>
  </si>
  <si>
    <t>ES0031408323131005HX0F,2023/08/28,17:00,0.07,Real,</t>
  </si>
  <si>
    <t>ES0031408323131005HX0F,2023/08/28,18:00,0.099,Real,</t>
  </si>
  <si>
    <t>ES0031408323131005HX0F,2023/08/28,19:00,0.07,Real,</t>
  </si>
  <si>
    <t>ES0031408323131005HX0F,2023/08/28,20:00,0.028,Real,</t>
  </si>
  <si>
    <t>ES0031408323131005HX0F,2023/08/28,21:00,0.007,Real,</t>
  </si>
  <si>
    <t>ES0031408323131005HX0F,2023/08/28,22:00,0.346,Real,</t>
  </si>
  <si>
    <t>ES0031408323131005HX0F,2023/08/28,23:00,0.107,Real,</t>
  </si>
  <si>
    <t>ES0031408323131005HX0F,2023/08/28,24:00,0.104,Real,</t>
  </si>
  <si>
    <t>ES0031408323131005HX0F,2023/08/29,01:00,0.071,Real,</t>
  </si>
  <si>
    <t>ES0031408323131005HX0F,2023/08/29,02:00,0.07,Real,</t>
  </si>
  <si>
    <t>ES0031408323131005HX0F,2023/08/29,03:00,0.057,Real,</t>
  </si>
  <si>
    <t>ES0031408323131005HX0F,2023/08/29,04:00,0.007,Real,</t>
  </si>
  <si>
    <t>ES0031408323131005HX0F,2023/08/29,05:00,0.025,Real,</t>
  </si>
  <si>
    <t>ES0031408323131005HX0F,2023/08/29,06:00,0.312,Real,</t>
  </si>
  <si>
    <t>ES0031408323131005HX0F,2023/08/29,07:00,0.196,Real,</t>
  </si>
  <si>
    <t>ES0031408323131005HX0F,2023/08/29,08:00,0.078,Real,</t>
  </si>
  <si>
    <t>ES0031408323131005HX0F,2023/08/29,09:00,0.095,Real,</t>
  </si>
  <si>
    <t>ES0031408323131005HX0F,2023/08/29,10:00,0.059,Real,</t>
  </si>
  <si>
    <t>ES0031408323131005HX0F,2023/08/29,11:00,0.006,Real,</t>
  </si>
  <si>
    <t>ES0031408323131005HX0F,2023/08/29,12:00,0.007,Real,</t>
  </si>
  <si>
    <t>ES0031408323131005HX0F,2023/08/29,13:00,0.088,Real,</t>
  </si>
  <si>
    <t>ES0031408323131005HX0F,2023/08/29,14:00,0.105,Real,</t>
  </si>
  <si>
    <t>ES0031408323131005HX0F,2023/08/29,15:00,0.389,Real,</t>
  </si>
  <si>
    <t>ES0031408323131005HX0F,2023/08/29,16:00,0.074,Real,</t>
  </si>
  <si>
    <t>ES0031408323131005HX0F,2023/08/29,17:00,0.066,Real,</t>
  </si>
  <si>
    <t>ES0031408323131005HX0F,2023/08/29,18:00,0.017,Real,</t>
  </si>
  <si>
    <t>ES0031408323131005HX0F,2023/08/29,19:00,0.007,Real,</t>
  </si>
  <si>
    <t>ES0031408323131005HX0F,2023/08/29,20:00,0.069,Real,</t>
  </si>
  <si>
    <t>ES0031408323131005HX0F,2023/08/29,21:00,0.107,Real,</t>
  </si>
  <si>
    <t>ES0031408323131005HX0F,2023/08/29,22:00,0.104,Real,</t>
  </si>
  <si>
    <t>ES0031408323131005HX0F,2023/08/29,23:00,0.373,Real,</t>
  </si>
  <si>
    <t>ES0031408323131005HX0F,2023/08/29,24:00,0.067,Real,</t>
  </si>
  <si>
    <t>ES0031408323131005HX0F,2023/08/30,01:00,0.042,Real,</t>
  </si>
  <si>
    <t>ES0031408323131005HX0F,2023/08/30,02:00,0.007,Real,</t>
  </si>
  <si>
    <t>ES0031408323131005HX0F,2023/08/30,03:00,0.04,Real,</t>
  </si>
  <si>
    <t>ES0031408323131005HX0F,2023/08/30,04:00,0.107,Real,</t>
  </si>
  <si>
    <t>ES0031408323131005HX0F,2023/08/30,05:00,0.106,Real,</t>
  </si>
  <si>
    <t>ES0031408323131005HX0F,2023/08/30,06:00,0.097,Real,</t>
  </si>
  <si>
    <t>ES0031408323131005HX0F,2023/08/30,07:00,0.369,Real,</t>
  </si>
  <si>
    <t>ES0031408323131005HX0F,2023/08/30,08:00,0.058,Real,</t>
  </si>
  <si>
    <t>ES0031408323131005HX0F,2023/08/30,09:00,0.092,Real,</t>
  </si>
  <si>
    <t>ES0031408323131005HX0F,2023/08/30,10:00,0.006,Real,</t>
  </si>
  <si>
    <t>ES0031408323131005HX0F,2023/08/30,11:00,0.007,Real,</t>
  </si>
  <si>
    <t>ES0031408323131005HX0F,2023/08/30,12:00,0.085,Real,</t>
  </si>
  <si>
    <t>ES0031408323131005HX0F,2023/08/30,13:00,0.105,Real,</t>
  </si>
  <si>
    <t>ES0031408323131005HX0F,2023/08/30,14:00,0.073,Real,</t>
  </si>
  <si>
    <t>ES0031408323131005HX0F,2023/08/30,15:00,0.376,Real,</t>
  </si>
  <si>
    <t>ES0031408323131005HX0F,2023/08/30,16:00,0.055,Real,</t>
  </si>
  <si>
    <t>ES0031408323131005HX0F,2023/08/30,17:00,0.006,Real,</t>
  </si>
  <si>
    <t>ES0031408323131005HX0F,2023/08/30,18:00,0.007,Real,</t>
  </si>
  <si>
    <t>ES0031408323131005HX0F,2023/08/30,19:00,0.103,Real,</t>
  </si>
  <si>
    <t>ES0031408323131005HX0F,2023/08/30,20:00,0.107,Real,</t>
  </si>
  <si>
    <t>ES0031408323131005HX0F,2023/08/30,21:00,0.077,Real,</t>
  </si>
  <si>
    <t>ES0031408323131005HX0F,2023/08/30,22:00,0.093,Real,</t>
  </si>
  <si>
    <t>ES0031408323131005HX0F,2023/08/30,23:00,0.303,Real,</t>
  </si>
  <si>
    <t>ES0031408323131005HX0F,2023/08/30,24:00,0.05,Real,</t>
  </si>
  <si>
    <t>ES0031408323131005HX0F,2023/08/31,01:00,0.006,Real,</t>
  </si>
  <si>
    <t>ES0031408323131005HX0F,2023/08/31,02:00,0.096,Real,</t>
  </si>
  <si>
    <t>ES0031408323131005HX0F,2023/08/31,03:00,0.107,Real,</t>
  </si>
  <si>
    <t>ES0031408323131005HX0F,2023/08/31,04:00,0.081,Real,</t>
  </si>
  <si>
    <t>ES0031408323131005HX0F,2023/08/31,05:00,0.09,Real,</t>
  </si>
  <si>
    <t>ES0031408323131005HX0F,2023/08/31,06:00,0.053,Real,</t>
  </si>
  <si>
    <t>ES0031408323131005HX0F,2023/08/31,07:00,0.007,Real,</t>
  </si>
  <si>
    <t>ES0031408323131005HX0F,2023/08/31,08:00,0.286,Real,</t>
  </si>
  <si>
    <t>ES0031408323131005HX0F,2023/08/31,09:00,0.099,Real,</t>
  </si>
  <si>
    <t>ES0031408323131005HX0F,2023/08/31,10:00,0.106,Real,</t>
  </si>
  <si>
    <t>ES0031408323131005HX0F,2023/08/31,11:00,0.071,Real,</t>
  </si>
  <si>
    <t>ES0031408323131005HX0F,2023/08/31,12:00,0.082,Real,</t>
  </si>
  <si>
    <t>ES0031408323131005HX0F,2023/08/31,13:00,0.053,Real,</t>
  </si>
  <si>
    <t>ES0031408323131005HX0F,2023/08/31,14:00,0.007,Real,</t>
  </si>
  <si>
    <t>ES0031408323131005HX0F,2023/08/31,15:00,0.287,Real,</t>
  </si>
  <si>
    <t>ES0031408323131005HX0F,2023/08/31,16:00,0.109,Real,</t>
  </si>
  <si>
    <t>ES0031408323131005HX0F,2023/08/31,17:00,0.105,Real,</t>
  </si>
  <si>
    <t>ES0031408323131005HX0F,2023/08/31,18:00,0.072,Real,</t>
  </si>
  <si>
    <t>ES0031408323131005HX0F,2023/08/31,19:00,0.068,Real,</t>
  </si>
  <si>
    <t>ES0031408323131005HX0F,2023/08/31,20:00,0.05,Real,</t>
  </si>
  <si>
    <t>ES0031408323131005HX0F,2023/08/31,21:00,0.006,Real,</t>
  </si>
  <si>
    <t>ES0031408323131005HX0F,2023/08/31,22:00,0.032,Real,</t>
  </si>
  <si>
    <t>ES0031408323131005HX0F,2023/08/31,23:00,0.374,Real,</t>
  </si>
  <si>
    <t>ES0031408323131005HX0F,2023/08/31,24:00,0.105,Real,</t>
  </si>
  <si>
    <t>ES0031408323131005HX0F,2023/09/01,01:00,0.145,Real,</t>
  </si>
  <si>
    <t>ES0031408323131005HX0F,2023/09/01,02:00,0.131,Real,</t>
  </si>
  <si>
    <t>ES0031408323131005HX0F,2023/09/01,03:00,0.118,Real,</t>
  </si>
  <si>
    <t>ES0031408323131005HX0F,2023/09/01,04:00,0.116,Real,</t>
  </si>
  <si>
    <t>ES0031408323131005HX0F,2023/09/01,05:00,0.073,Real,</t>
  </si>
  <si>
    <t>ES0031408323131005HX0F,2023/09/01,06:00,0.064,Real,</t>
  </si>
  <si>
    <t>ES0031408323131005HX0F,2023/09/01,07:00,0.387,Real,</t>
  </si>
  <si>
    <t>ES0031408323131005HX0F,2023/09/01,08:00,0.105,Real,</t>
  </si>
  <si>
    <t>ES0031408323131005HX0F,2023/09/01,09:00,0.124,Real,</t>
  </si>
  <si>
    <t>ES0031408323131005HX0F,2023/09/01,10:00,0.06,Real,</t>
  </si>
  <si>
    <t>ES0031408323131005HX0F,2023/09/01,11:00,0.077,Real,</t>
  </si>
  <si>
    <t>ES0031408323131005HX0F,2023/09/01,12:00,0.127,Real,</t>
  </si>
  <si>
    <t>ES0031408323131005HX0F,2023/09/01,13:00,0.102,Real,</t>
  </si>
  <si>
    <t>ES0031408323131005HX0F,2023/09/01,14:00,0.417,Real,</t>
  </si>
  <si>
    <t>ES0031408323131005HX0F,2023/09/01,15:00,0.045,Real,</t>
  </si>
  <si>
    <t>ES0031408323131005HX0F,2023/09/01,16:00,0.093,Real,</t>
  </si>
  <si>
    <t>ES0031408323131005HX0F,2023/09/01,17:00,0.126,Real,</t>
  </si>
  <si>
    <t>ES0031408323131005HX0F,2023/09/01,18:00,0.144,Real,</t>
  </si>
  <si>
    <t>ES0031408323131005HX0F,2023/09/01,19:00,0.13,Real,</t>
  </si>
  <si>
    <t>ES0031408323131005HX0F,2023/09/01,20:00,0.115,Real,</t>
  </si>
  <si>
    <t>ES0031408323131005HX0F,2023/09/01,21:00,0.117,Real,</t>
  </si>
  <si>
    <t>ES0031408323131005HX0F,2023/09/01,22:00,0.338,Real,</t>
  </si>
  <si>
    <t>ES0031408323131005HX0F,2023/09/01,23:00,0.064,Real,</t>
  </si>
  <si>
    <t>ES0031408323131005HX0F,2023/09/01,24:00,0.128,Real,</t>
  </si>
  <si>
    <t>ES0031408323131005HX0F,2023/09/02,01:00,0.117,Real,</t>
  </si>
  <si>
    <t>ES0031408323131005HX0F,2023/09/02,02:00,0.114,Real,</t>
  </si>
  <si>
    <t>ES0031408323131005HX0F,2023/09/02,03:00,0.079,Real,</t>
  </si>
  <si>
    <t>ES0031408323131005HX0F,2023/09/02,04:00,0.039,Real,</t>
  </si>
  <si>
    <t>ES0031408323131005HX0F,2023/09/02,05:00,0.13,Real,</t>
  </si>
  <si>
    <t>ES0031408323131005HX0F,2023/09/02,06:00,0.399,Real,</t>
  </si>
  <si>
    <t>ES0031408323131005HX0F,2023/09/02,07:00,0.093,Real,</t>
  </si>
  <si>
    <t>ES0031408323131005HX0F,2023/09/02,08:00,0.089,Real,</t>
  </si>
  <si>
    <t>ES0031408323131005HX0F,2023/09/02,09:00,0.05,Real,</t>
  </si>
  <si>
    <t>ES0031408323131005HX0F,2023/09/02,10:00,0.028,Real,</t>
  </si>
  <si>
    <t>ES0031408323131005HX0F,2023/09/02,11:00,0.077,Real,</t>
  </si>
  <si>
    <t>ES0031408323131005HX0F,2023/09/02,12:00,0.129,Real,</t>
  </si>
  <si>
    <t>ES0031408323131005HX0F,2023/09/02,13:00,0.189,Real,</t>
  </si>
  <si>
    <t>ES0031408323131005HX0F,2023/09/02,14:00,0.303,Real,</t>
  </si>
  <si>
    <t>ES0031408323131005HX0F,2023/09/02,15:00,0.091,Real,</t>
  </si>
  <si>
    <t>ES0031408323131005HX0F,2023/09/02,16:00,0.064,Real,</t>
  </si>
  <si>
    <t>ES0031408323131005HX0F,2023/09/02,17:00,0.028,Real,</t>
  </si>
  <si>
    <t>ES0031408323131005HX0F,2023/09/02,18:00,0.062,Real,</t>
  </si>
  <si>
    <t>ES0031408323131005HX0F,2023/09/02,19:00,0.129,Real,</t>
  </si>
  <si>
    <t>ES0031408323131005HX0F,2023/09/02,20:00,0.126,Real,</t>
  </si>
  <si>
    <t>ES0031408323131005HX0F,2023/09/02,21:00,0.336,Real,</t>
  </si>
  <si>
    <t>ES0031408323131005HX0F,2023/09/02,22:00,0.094,Real,</t>
  </si>
  <si>
    <t>ES0031408323131005HX0F,2023/09/02,23:00,0.075,Real,</t>
  </si>
  <si>
    <t>ES0031408323131005HX0F,2023/09/02,24:00,0.028,Real,</t>
  </si>
  <si>
    <t>ES0031408323131005HX0F,2023/09/03,01:00,0.047,Real,</t>
  </si>
  <si>
    <t>ES0031408323131005HX0F,2023/09/03,02:00,0.131,Real,</t>
  </si>
  <si>
    <t>ES0031408323131005HX0F,2023/09/03,03:00,0.127,Real,</t>
  </si>
  <si>
    <t>ES0031408323131005HX0F,2023/09/03,04:00,0.173,Real,</t>
  </si>
  <si>
    <t>ES0031408323131005HX0F,2023/09/03,05:00,0.274,Real,</t>
  </si>
  <si>
    <t>ES0031408323131005HX0F,2023/09/03,06:00,0.073,Real,</t>
  </si>
  <si>
    <t>ES0031408323131005HX0F,2023/09/03,07:00,0.028,Real,</t>
  </si>
  <si>
    <t>ES0031408323131005HX0F,2023/09/03,08:00,0.037,Real,</t>
  </si>
  <si>
    <t>ES0031408323131005HX0F,2023/09/03,09:00,0.132,Real,</t>
  </si>
  <si>
    <t>ES0031408323131005HX0F,2023/09/03,10:00,0.127,Real,</t>
  </si>
  <si>
    <t>ES0031408323131005HX0F,2023/09/03,11:00,0.091,Real,</t>
  </si>
  <si>
    <t>ES0031408323131005HX0F,2023/09/03,12:00,0.335,Real,</t>
  </si>
  <si>
    <t>ES0031408323131005HX0F,2023/09/03,13:00,0.073,Real,</t>
  </si>
  <si>
    <t>ES0031408323131005HX0F,2023/09/03,14:00,0.028,Real,</t>
  </si>
  <si>
    <t>ES0031408323131005HX0F,2023/09/03,15:00,0.031,Real,</t>
  </si>
  <si>
    <t>ES0031408323131005HX0F,2023/09/03,16:00,0.131,Real,</t>
  </si>
  <si>
    <t>ES0031408323131005HX0F,2023/09/03,17:00,0.128,Real,</t>
  </si>
  <si>
    <t>ES0031408323131005HX0F,2023/09/03,18:00,0.21,Real,</t>
  </si>
  <si>
    <t>ES0031408323131005HX0F,2023/09/03,19:00,0.223,Real,</t>
  </si>
  <si>
    <t>ES0031408323131005HX0F,2023/09/03,20:00,0.073,Real,</t>
  </si>
  <si>
    <t>ES0031408323131005HX0F,2023/09/03,21:00,0.028,Real,</t>
  </si>
  <si>
    <t>ES0031408323131005HX0F,2023/09/03,22:00,0.035,Real,</t>
  </si>
  <si>
    <t>ES0031408323131005HX0F,2023/09/03,23:00,0.13,Real,</t>
  </si>
  <si>
    <t>ES0031408323131005HX0F,2023/09/03,24:00,0.13,Real,</t>
  </si>
  <si>
    <t>ES0031408323131005HX0F,2023/09/04,01:00,0.361,Real,</t>
  </si>
  <si>
    <t>ES0031408323131005HX0F,2023/09/04,02:00,0.095,Real,</t>
  </si>
  <si>
    <t>ES0031408323131005HX0F,2023/09/04,03:00,0.089,Real,</t>
  </si>
  <si>
    <t>ES0031408323131005HX0F,2023/09/04,04:00,0.049,Real,</t>
  </si>
  <si>
    <t>ES0031408323131005HX0F,2023/09/04,05:00,0.028,Real,</t>
  </si>
  <si>
    <t>ES0031408323131005HX0F,2023/09/04,06:00,0.078,Real,</t>
  </si>
  <si>
    <t>ES0031408323131005HX0F,2023/09/04,07:00,0.13,Real,</t>
  </si>
  <si>
    <t>ES0031408323131005HX0F,2023/09/04,08:00,0.359,Real,</t>
  </si>
  <si>
    <t>ES0031408323131005HX0F,2023/09/04,09:00,0.092,Real,</t>
  </si>
  <si>
    <t>ES0031408323131005HX0F,2023/09/04,10:00,0.091,Real,</t>
  </si>
  <si>
    <t>ES0031408323131005HX0F,2023/09/04,11:00,0.057,Real,</t>
  </si>
  <si>
    <t>ES0031408323131005HX0F,2023/09/04,12:00,0.027,Real,</t>
  </si>
  <si>
    <t>ES0031408323131005HX0F,2023/09/04,13:00,0.071,Real,</t>
  </si>
  <si>
    <t>ES0031408323131005HX0F,2023/09/04,14:00,0.13,Real,</t>
  </si>
  <si>
    <t>ES0031408323131005HX0F,2023/09/04,15:00,0.38,Real,</t>
  </si>
  <si>
    <t>ES0031408323131005HX0F,2023/09/04,16:00,0.092,Real,</t>
  </si>
  <si>
    <t>ES0031408323131005HX0F,2023/09/04,17:00,0.094,Real,</t>
  </si>
  <si>
    <t>ES0031408323131005HX0F,2023/09/04,18:00,0.067,Real,</t>
  </si>
  <si>
    <t>ES0031408323131005HX0F,2023/09/04,19:00,0.027,Real,</t>
  </si>
  <si>
    <t>ES0031408323131005HX0F,2023/09/04,20:00,0.06,Real,</t>
  </si>
  <si>
    <t>ES0031408323131005HX0F,2023/09/04,21:00,0.13,Real,</t>
  </si>
  <si>
    <t>ES0031408323131005HX0F,2023/09/04,22:00,0.363,Real,</t>
  </si>
  <si>
    <t>ES0031408323131005HX0F,2023/09/04,23:00,0.094,Real,</t>
  </si>
  <si>
    <t>ES0031408323131005HX0F,2023/09/04,24:00,0.106,Real,</t>
  </si>
  <si>
    <t>ES0031408323131005HX0F,2023/09/05,01:00,0.073,Real,</t>
  </si>
  <si>
    <t>ES0031408323131005HX0F,2023/09/05,02:00,0.028,Real,</t>
  </si>
  <si>
    <t>ES0031408323131005HX0F,2023/09/05,03:00,0.042,Real,</t>
  </si>
  <si>
    <t>ES0031408323131005HX0F,2023/09/05,04:00,0.131,Real,</t>
  </si>
  <si>
    <t>ES0031408323131005HX0F,2023/09/05,05:00,0.365,Real,</t>
  </si>
  <si>
    <t>ES0031408323131005HX0F,2023/09/05,06:00,0.104,Real,</t>
  </si>
  <si>
    <t>ES0031408323131005HX0F,2023/09/05,07:00,0.113,Real,</t>
  </si>
  <si>
    <t>ES0031408323131005HX0F,2023/09/05,08:00,0.074,Real,</t>
  </si>
  <si>
    <t>ES0031408323131005HX0F,2023/09/05,09:00,0.027,Real,</t>
  </si>
  <si>
    <t>ES0031408323131005HX0F,2023/09/05,10:00,0.028,Real,</t>
  </si>
  <si>
    <t>ES0031408323131005HX0F,2023/09/05,11:00,0.126,Real,</t>
  </si>
  <si>
    <t>ES0031408323131005HX0F,2023/09/05,12:00,0.374,Real,</t>
  </si>
  <si>
    <t>ES0031408323131005HX0F,2023/09/05,13:00,0.115,Real,</t>
  </si>
  <si>
    <t>ES0031408323131005HX0F,2023/09/05,14:00,0.106,Real,</t>
  </si>
  <si>
    <t>ES0031408323131005HX0F,2023/09/05,15:00,0.092,Real,</t>
  </si>
  <si>
    <t>ES0031408323131005HX0F,2023/09/05,16:00,0.03,Real,</t>
  </si>
  <si>
    <t>ES0031408323131005HX0F,2023/09/05,17:00,0.028,Real,</t>
  </si>
  <si>
    <t>ES0031408323131005HX0F,2023/09/05,18:00,0.101,Real,</t>
  </si>
  <si>
    <t>ES0031408323131005HX0F,2023/09/05,19:00,0.27,Real,</t>
  </si>
  <si>
    <t>ES0031408323131005HX0F,2023/09/05,20:00,0.254,Real,</t>
  </si>
  <si>
    <t>ES0031408323131005HX0F,2023/09/05,21:00,0.094,Real,</t>
  </si>
  <si>
    <t>ES0031408323131005HX0F,2023/09/05,22:00,0.093,Real,</t>
  </si>
  <si>
    <t>ES0031408323131005HX0F,2023/09/05,23:00,0.054,Real,</t>
  </si>
  <si>
    <t>ES0031408323131005HX0F,2023/09/05,24:00,0.028,Real,</t>
  </si>
  <si>
    <t>ES0031408323131005HX0F,2023/09/06,01:00,0.075,Real,</t>
  </si>
  <si>
    <t>ES0031408323131005HX0F,2023/09/06,02:00,0.131,Real,</t>
  </si>
  <si>
    <t>ES0031408323131005HX0F,2023/09/06,03:00,0.393,Real,</t>
  </si>
  <si>
    <t>ES0031408323131005HX0F,2023/09/06,04:00,0.124,Real,</t>
  </si>
  <si>
    <t>ES0031408323131005HX0F,2023/09/06,05:00,0.094,Real,</t>
  </si>
  <si>
    <t>ES0031408323131005HX0F,2023/09/06,06:00,0.09,Real,</t>
  </si>
  <si>
    <t>ES0031408323131005HX0F,2023/09/06,07:00,0.101,Real,</t>
  </si>
  <si>
    <t>ES0031408323131005HX0F,2023/09/06,08:00,0.027,Real,</t>
  </si>
  <si>
    <t>ES0031408323131005HX0F,2023/09/06,09:00,0.028,Real,</t>
  </si>
  <si>
    <t>ES0031408323131005HX0F,2023/09/06,10:00,0.13,Real,</t>
  </si>
  <si>
    <t>ES0031408323131005HX0F,2023/09/06,11:00,0.375,Real,</t>
  </si>
  <si>
    <t>ES0031408323131005HX0F,2023/09/06,12:00,0.096,Real,</t>
  </si>
  <si>
    <t>ES0031408323131005HX0F,2023/09/06,13:00,0.112,Real,</t>
  </si>
  <si>
    <t>ES0031408323131005HX0F,2023/09/06,14:00,0.072,Real,</t>
  </si>
  <si>
    <t>ES0031408323131005HX0F,2023/09/06,15:00,0.028,Real,</t>
  </si>
  <si>
    <t>ES0031408323131005HX0F,2023/09/06,16:00,0.039,Real,</t>
  </si>
  <si>
    <t>ES0031408323131005HX0F,2023/09/06,17:00,0.132,Real,</t>
  </si>
  <si>
    <t>ES0031408323131005HX0F,2023/09/06,18:00,0.129,Real,</t>
  </si>
  <si>
    <t>ES0031408323131005HX0F,2023/09/06,19:00,0.343,Real,</t>
  </si>
  <si>
    <t>ES0031408323131005HX0F,2023/09/06,20:00,0.111,Real,</t>
  </si>
  <si>
    <t>ES0031408323131005HX0F,2023/09/06,21:00,0.072,Real,</t>
  </si>
  <si>
    <t>ES0031408323131005HX0F,2023/09/06,22:00,0.028,Real,</t>
  </si>
  <si>
    <t>ES0031408323131005HX0F,2023/09/06,23:00,0.031,Real,</t>
  </si>
  <si>
    <t>ES0031408323131005HX0F,2023/09/06,24:00,0.133,Real,</t>
  </si>
  <si>
    <t>ES0031408323131005HX0F,2023/09/07,01:00,0.129,Real,</t>
  </si>
  <si>
    <t>ES0031408323131005HX0F,2023/09/07,02:00,0.337,Real,</t>
  </si>
  <si>
    <t>ES0031408323131005HX0F,2023/09/07,03:00,0.095,Real,</t>
  </si>
  <si>
    <t>ES0031408323131005HX0F,2023/09/07,04:00,0.089,Real,</t>
  </si>
  <si>
    <t>ES0031408323131005HX0F,2023/09/07,05:00,0.028,Real,</t>
  </si>
  <si>
    <t>ES0031408323131005HX0F,2023/09/07,06:00,0.028,Real,</t>
  </si>
  <si>
    <t>ES0031408323131005HX0F,2023/09/07,07:00,0.126,Real,</t>
  </si>
  <si>
    <t>ES0031408323131005HX0F,2023/09/07,08:00,0.129,Real,</t>
  </si>
  <si>
    <t>ES0031408323131005HX0F,2023/09/07,09:00,0.351,Real,</t>
  </si>
  <si>
    <t>ES0031408323131005HX0F,2023/09/07,10:00,0.103,Real,</t>
  </si>
  <si>
    <t>ES0031408323131005HX0F,2023/09/07,11:00,0.072,Real,</t>
  </si>
  <si>
    <t>ES0031408323131005HX0F,2023/09/07,12:00,0.028,Real,</t>
  </si>
  <si>
    <t>ES0031408323131005HX0F,2023/09/07,13:00,0.032,Real,</t>
  </si>
  <si>
    <t>ES0031408323131005HX0F,2023/09/07,14:00,0.133,Real,</t>
  </si>
  <si>
    <t>ES0031408323131005HX0F,2023/09/07,15:00,0.159,Real,</t>
  </si>
  <si>
    <t>ES0031408323131005HX0F,2023/09/07,16:00,0.291,Real,</t>
  </si>
  <si>
    <t>ES0031408323131005HX0F,2023/09/07,17:00,0.089,Real,</t>
  </si>
  <si>
    <t>ES0031408323131005HX0F,2023/09/07,18:00,0.102,Real,</t>
  </si>
  <si>
    <t>ES0031408323131005HX0F,2023/09/07,19:00,0.027,Real,</t>
  </si>
  <si>
    <t>ES0031408323131005HX0F,2023/09/07,20:00,0.028,Real,</t>
  </si>
  <si>
    <t>ES0031408323131005HX0F,2023/09/07,21:00,0.129,Real,</t>
  </si>
  <si>
    <t>ES0031408323131005HX0F,2023/09/07,22:00,0.378,Real,</t>
  </si>
  <si>
    <t>ES0031408323131005HX0F,2023/09/07,23:00,0.104,Real,</t>
  </si>
  <si>
    <t>ES0031408323131005HX0F,2023/09/07,24:00,0.106,Real,</t>
  </si>
  <si>
    <t>ES0031408323131005HX0F,2023/09/08,01:00,0.071,Real,</t>
  </si>
  <si>
    <t>ES0031408323131005HX0F,2023/09/08,02:00,0.027,Real,</t>
  </si>
  <si>
    <t>ES0031408323131005HX0F,2023/09/08,03:00,0.045,Real,</t>
  </si>
  <si>
    <t>ES0031408323131005HX0F,2023/09/08,04:00,0.133,Real,</t>
  </si>
  <si>
    <t>ES0031408323131005HX0F,2023/09/08,05:00,0.338,Real,</t>
  </si>
  <si>
    <t>ES0031408323131005HX0F,2023/09/08,06:00,0.14,Real,</t>
  </si>
  <si>
    <t>ES0031408323131005HX0F,2023/09/08,07:00,0.095,Real,</t>
  </si>
  <si>
    <t>ES0031408323131005HX0F,2023/09/08,08:00,0.079,Real,</t>
  </si>
  <si>
    <t>ES0031408323131005HX0F,2023/09/08,09:00,0.037,Real,</t>
  </si>
  <si>
    <t>ES0031408323131005HX0F,2023/09/08,10:00,0.067,Real,</t>
  </si>
  <si>
    <t>ES0031408323131005HX0F,2023/09/08,11:00,0.132,Real,</t>
  </si>
  <si>
    <t>ES0031408323131005HX0F,2023/09/08,12:00,0.128,Real,</t>
  </si>
  <si>
    <t>ES0031408323131005HX0F,2023/09/08,13:00,0.354,Real,</t>
  </si>
  <si>
    <t>ES0031408323131005HX0F,2023/09/08,14:00,0.095,Real,</t>
  </si>
  <si>
    <t>ES0031408323131005HX0F,2023/09/08,15:00,0.045,Real,</t>
  </si>
  <si>
    <t>ES0031408323131005HX0F,2023/09/08,16:00,0.028,Real,</t>
  </si>
  <si>
    <t>ES0031408323131005HX0F,2023/09/08,17:00,0.086,Real,</t>
  </si>
  <si>
    <t>ES0031408323131005HX0F,2023/09/08,18:00,0.13,Real,</t>
  </si>
  <si>
    <t>ES0031408323131005HX0F,2023/09/08,19:00,0.127,Real,</t>
  </si>
  <si>
    <t>ES0031408323131005HX0F,2023/09/08,20:00,0.326,Real,</t>
  </si>
  <si>
    <t>ES0031408323131005HX0F,2023/09/08,21:00,0.098,Real,</t>
  </si>
  <si>
    <t>ES0031408323131005HX0F,2023/09/08,22:00,0.028,Real,</t>
  </si>
  <si>
    <t>ES0031408323131005HX0F,2023/09/08,23:00,0.028,Real,</t>
  </si>
  <si>
    <t>ES0031408323131005HX0F,2023/09/08,24:00,0.114,Real,</t>
  </si>
  <si>
    <t>ES0031408323131005HX0F,2023/09/09,01:00,0.129,Real,</t>
  </si>
  <si>
    <t>ES0031408323131005HX0F,2023/09/09,02:00,0.107,Real,</t>
  </si>
  <si>
    <t>ES0031408323131005HX0F,2023/09/09,03:00,0.343,Real,</t>
  </si>
  <si>
    <t>ES0031408323131005HX0F,2023/09/09,04:00,0.098,Real,</t>
  </si>
  <si>
    <t>ES0031408323131005HX0F,2023/09/09,05:00,0.028,Real,</t>
  </si>
  <si>
    <t>ES0031408323131005HX0F,2023/09/09,06:00,0.028,Real,</t>
  </si>
  <si>
    <t>ES0031408323131005HX0F,2023/09/09,07:00,0.134,Real,</t>
  </si>
  <si>
    <t>ES0031408323131005HX0F,2023/09/09,08:00,0.128,Real,</t>
  </si>
  <si>
    <t>ES0031408323131005HX0F,2023/09/09,09:00,0.097,Real,</t>
  </si>
  <si>
    <t>ES0031408323131005HX0F,2023/09/09,10:00,0.093,Real,</t>
  </si>
  <si>
    <t>ES0031408323131005HX0F,2023/09/09,11:00,0.314,Real,</t>
  </si>
  <si>
    <t>ES0031408323131005HX0F,2023/09/09,12:00,0.028,Real,</t>
  </si>
  <si>
    <t>ES0031408323131005HX0F,2023/09/09,13:00,0.061,Real,</t>
  </si>
  <si>
    <t>ES0031408323131005HX0F,2023/09/09,14:00,0.131,Real,</t>
  </si>
  <si>
    <t>ES0031408323131005HX0F,2023/09/09,15:00,0.128,Real,</t>
  </si>
  <si>
    <t>ES0031408323131005HX0F,2023/09/09,16:00,0.097,Real,</t>
  </si>
  <si>
    <t>ES0031408323131005HX0F,2023/09/09,17:00,0.093,Real,</t>
  </si>
  <si>
    <t>ES0031408323131005HX0F,2023/09/09,18:00,0.293,Real,</t>
  </si>
  <si>
    <t>ES0031408323131005HX0F,2023/09/09,19:00,0.027,Real,</t>
  </si>
  <si>
    <t>ES0031408323131005HX0F,2023/09/09,20:00,0.091,Real,</t>
  </si>
  <si>
    <t>ES0031408323131005HX0F,2023/09/09,21:00,0.129,Real,</t>
  </si>
  <si>
    <t>ES0031408323131005HX0F,2023/09/09,22:00,0.118,Real,</t>
  </si>
  <si>
    <t>ES0031408323131005HX0F,2023/09/09,23:00,0.086,Real,</t>
  </si>
  <si>
    <t>ES0031408323131005HX0F,2023/09/09,24:00,0.099,Real,</t>
  </si>
  <si>
    <t>ES0031408323131005HX0F,2023/09/10,01:00,0.289,Real,</t>
  </si>
  <si>
    <t>ES0031408323131005HX0F,2023/09/10,02:00,0.027,Real,</t>
  </si>
  <si>
    <t>ES0031408323131005HX0F,2023/09/10,03:00,0.12,Real,</t>
  </si>
  <si>
    <t>ES0031408323131005HX0F,2023/09/10,04:00,0.13,Real,</t>
  </si>
  <si>
    <t>ES0031408323131005HX0F,2023/09/10,05:00,0.102,Real,</t>
  </si>
  <si>
    <t>ES0031408323131005HX0F,2023/09/10,06:00,0.092,Real,</t>
  </si>
  <si>
    <t>ES0031408323131005HX0F,2023/09/10,07:00,0.081,Real,</t>
  </si>
  <si>
    <t>ES0031408323131005HX0F,2023/09/10,08:00,0.028,Real,</t>
  </si>
  <si>
    <t>ES0031408323131005HX0F,2023/09/10,09:00,0.325,Real,</t>
  </si>
  <si>
    <t>ES0031408323131005HX0F,2023/09/10,10:00,0.132,Real,</t>
  </si>
  <si>
    <t>ES0031408323131005HX0F,2023/09/10,11:00,0.128,Real,</t>
  </si>
  <si>
    <t>ES0031408323131005HX0F,2023/09/10,12:00,0.1,Real,</t>
  </si>
  <si>
    <t>ES0031408323131005HX0F,2023/09/10,13:00,0.094,Real,</t>
  </si>
  <si>
    <t>ES0031408323131005HX0F,2023/09/10,14:00,0.028,Real,</t>
  </si>
  <si>
    <t>ES0031408323131005HX0F,2023/09/10,15:00,0.028,Real,</t>
  </si>
  <si>
    <t>ES0031408323131005HX0F,2023/09/10,16:00,0.312,Real,</t>
  </si>
  <si>
    <t>ES0031408323131005HX0F,2023/09/10,17:00,0.199,Real,</t>
  </si>
  <si>
    <t>ES0031408323131005HX0F,2023/09/10,18:00,0.113,Real,</t>
  </si>
  <si>
    <t>ES0031408323131005HX0F,2023/09/10,19:00,0.084,Real,</t>
  </si>
  <si>
    <t>ES0031408323131005HX0F,2023/09/10,20:00,0.088,Real,</t>
  </si>
  <si>
    <t>ES0031408323131005HX0F,2023/09/10,21:00,0.027,Real,</t>
  </si>
  <si>
    <t>ES0031408323131005HX0F,2023/09/10,22:00,0.04,Real,</t>
  </si>
  <si>
    <t>ES0031408323131005HX0F,2023/09/10,23:00,0.132,Real,</t>
  </si>
  <si>
    <t>ES0031408323131005HX0F,2023/09/10,24:00,0.385,Real,</t>
  </si>
  <si>
    <t>ES0031408323131005HX0F,2023/09/11,01:00,0.101,Real,</t>
  </si>
  <si>
    <t>ES0031408323131005HX0F,2023/09/11,02:00,0.095,Real,</t>
  </si>
  <si>
    <t>ES0031408323131005HX0F,2023/09/11,03:00,0.048,Real,</t>
  </si>
  <si>
    <t>ES0031408323131005HX0F,2023/09/11,04:00,0.028,Real,</t>
  </si>
  <si>
    <t>ES0031408323131005HX0F,2023/09/11,05:00,0.083,Real,</t>
  </si>
  <si>
    <t>ES0031408323131005HX0F,2023/09/11,06:00,0.131,Real,</t>
  </si>
  <si>
    <t>ES0031408323131005HX0F,2023/09/11,07:00,0.374,Real,</t>
  </si>
  <si>
    <t>ES0031408323131005HX0F,2023/09/11,08:00,0.091,Real,</t>
  </si>
  <si>
    <t>ES0031408323131005HX0F,2023/09/11,09:00,0.082,Real,</t>
  </si>
  <si>
    <t>ES0031408323131005HX0F,2023/09/11,10:00,0.028,Real,</t>
  </si>
  <si>
    <t>ES0031408323131005HX0F,2023/09/11,11:00,0.043,Real,</t>
  </si>
  <si>
    <t>ES0031408323131005HX0F,2023/09/11,12:00,0.132,Real,</t>
  </si>
  <si>
    <t>ES0031408323131005HX0F,2023/09/11,13:00,0.128,Real,</t>
  </si>
  <si>
    <t>ES0031408323131005HX0F,2023/09/11,14:00,0.098,Real,</t>
  </si>
  <si>
    <t>ES0031408323131005HX0F,2023/09/11,15:00,0.34,Real,</t>
  </si>
  <si>
    <t>ES0031408323131005HX0F,2023/09/11,16:00,0.028,Real,</t>
  </si>
  <si>
    <t>ES0031408323131005HX0F,2023/09/11,17:00,0.028,Real,</t>
  </si>
  <si>
    <t>ES0031408323131005HX0F,2023/09/11,18:00,0.121,Real,</t>
  </si>
  <si>
    <t>ES0031408323131005HX0F,2023/09/11,19:00,0.129,Real,</t>
  </si>
  <si>
    <t>ES0031408323131005HX0F,2023/09/11,20:00,0.103,Real,</t>
  </si>
  <si>
    <t>ES0031408323131005HX0F,2023/09/11,21:00,0.1,Real,</t>
  </si>
  <si>
    <t>ES0031408323131005HX0F,2023/09/11,22:00,0.293,Real,</t>
  </si>
  <si>
    <t>ES0031408323131005HX0F,2023/09/11,23:00,0.028,Real,</t>
  </si>
  <si>
    <t>ES0031408323131005HX0F,2023/09/11,24:00,0.086,Real,</t>
  </si>
  <si>
    <t>ES0031408323131005HX0F,2023/09/12,01:00,0.131,Real,</t>
  </si>
  <si>
    <t>ES0031408323131005HX0F,2023/09/12,02:00,0.109,Real,</t>
  </si>
  <si>
    <t>ES0031408323131005HX0F,2023/09/12,03:00,0.096,Real,</t>
  </si>
  <si>
    <t>ES0031408323131005HX0F,2023/09/12,04:00,0.07,Real,</t>
  </si>
  <si>
    <t>ES0031408323131005HX0F,2023/09/12,05:00,0.132,Real,</t>
  </si>
  <si>
    <t>ES0031408323131005HX0F,2023/09/12,06:00,0.235,Real,</t>
  </si>
  <si>
    <t>ES0031408323131005HX0F,2023/09/12,07:00,0.132,Real,</t>
  </si>
  <si>
    <t>ES0031408323131005HX0F,2023/09/12,08:00,0.128,Real,</t>
  </si>
  <si>
    <t>ES0031408323131005HX0F,2023/09/12,09:00,0.092,Real,</t>
  </si>
  <si>
    <t>ES0031408323131005HX0F,2023/09/12,10:00,0.079,Real,</t>
  </si>
  <si>
    <t>ES0031408323131005HX0F,2023/09/12,11:00,0.028,Real,</t>
  </si>
  <si>
    <t>ES0031408323131005HX0F,2023/09/12,12:00,0.031,Real,</t>
  </si>
  <si>
    <t>ES0031408323131005HX0F,2023/09/12,13:00,0.364,Real,</t>
  </si>
  <si>
    <t>ES0031408323131005HX0F,2023/09/12,14:00,0.167,Real,</t>
  </si>
  <si>
    <t>ES0031408323131005HX0F,2023/09/12,15:00,0.103,Real,</t>
  </si>
  <si>
    <t>ES0031408323131005HX0F,2023/09/12,16:00,0.093,Real,</t>
  </si>
  <si>
    <t>ES0031408323131005HX0F,2023/09/12,17:00,0.028,Real,</t>
  </si>
  <si>
    <t>ES0031408323131005HX0F,2023/09/12,18:00,0.051,Real,</t>
  </si>
  <si>
    <t>ES0031408323131005HX0F,2023/09/12,19:00,0.135,Real,</t>
  </si>
  <si>
    <t>ES0031408323131005HX0F,2023/09/12,20:00,0.129,Real,</t>
  </si>
  <si>
    <t>ES0031408323131005HX0F,2023/09/12,21:00,0.367,Real,</t>
  </si>
  <si>
    <t>ES0031408323131005HX0F,2023/09/12,22:00,0.096,Real,</t>
  </si>
  <si>
    <t>ES0031408323131005HX0F,2023/09/12,23:00,0.028,Real,</t>
  </si>
  <si>
    <t>ES0031408323131005HX0F,2023/09/12,24:00,0.028,Real,</t>
  </si>
  <si>
    <t>ES0031408323131005HX0F,2023/09/13,01:00,0.115,Real,</t>
  </si>
  <si>
    <t>ES0031408323131005HX0F,2023/09/13,02:00,0.13,Real,</t>
  </si>
  <si>
    <t>ES0031408323131005HX0F,2023/09/13,03:00,0.104,Real,</t>
  </si>
  <si>
    <t>ES0031408323131005HX0F,2023/09/13,04:00,0.101,Real,</t>
  </si>
  <si>
    <t>ES0031408323131005HX0F,2023/09/13,05:00,0.312,Real,</t>
  </si>
  <si>
    <t>ES0031408323131005HX0F,2023/09/13,06:00,0.028,Real,</t>
  </si>
  <si>
    <t>ES0031408323131005HX0F,2023/09/13,07:00,0.08,Real,</t>
  </si>
  <si>
    <t>ES0031408323131005HX0F,2023/09/13,08:00,0.131,Real,</t>
  </si>
  <si>
    <t>ES0031408323131005HX0F,2023/09/13,09:00,0.117,Real,</t>
  </si>
  <si>
    <t>ES0031408323131005HX0F,2023/09/13,10:00,0.091,Real,</t>
  </si>
  <si>
    <t>ES0031408323131005HX0F,2023/09/13,11:00,0.081,Real,</t>
  </si>
  <si>
    <t>ES0031408323131005HX0F,2023/09/13,12:00,0.264,Real,</t>
  </si>
  <si>
    <t>ES0031408323131005HX0F,2023/09/13,13:00,0.077,Real,</t>
  </si>
  <si>
    <t>ES0031408323131005HX0F,2023/09/13,14:00,0.133,Real,</t>
  </si>
  <si>
    <t>ES0031408323131005HX0F,2023/09/13,15:00,0.128,Real,</t>
  </si>
  <si>
    <t>ES0031408323131005HX0F,2023/09/13,16:00,0.1,Real,</t>
  </si>
  <si>
    <t>ES0031408323131005HX0F,2023/09/13,17:00,0.079,Real,</t>
  </si>
  <si>
    <t>ES0031408323131005HX0F,2023/09/13,18:00,0.028,Real,</t>
  </si>
  <si>
    <t>ES0031408323131005HX0F,2023/09/13,19:00,0.028,Real,</t>
  </si>
  <si>
    <t>ES0031408323131005HX0F,2023/09/13,20:00,0.406,Real,</t>
  </si>
  <si>
    <t>ES0031408323131005HX0F,2023/09/13,21:00,0.129,Real,</t>
  </si>
  <si>
    <t>ES0031408323131005HX0F,2023/09/13,22:00,0.104,Real,</t>
  </si>
  <si>
    <t>ES0031408323131005HX0F,2023/09/13,23:00,0.101,Real,</t>
  </si>
  <si>
    <t>ES0031408323131005HX0F,2023/09/13,24:00,0.028,Real,</t>
  </si>
  <si>
    <t>ES0031408323131005HX0F,2023/09/14,01:00,0.028,Real,</t>
  </si>
  <si>
    <t>ES0031408323131005HX0F,2023/09/14,02:00,0.105,Real,</t>
  </si>
  <si>
    <t>ES0031408323131005HX0F,2023/09/14,03:00,0.129,Real,</t>
  </si>
  <si>
    <t>ES0031408323131005HX0F,2023/09/14,04:00,0.382,Real,</t>
  </si>
  <si>
    <t>ES0031408323131005HX0F,2023/09/14,05:00,0.102,Real,</t>
  </si>
  <si>
    <t>ES0031408323131005HX0F,2023/09/14,06:00,0.04,Real,</t>
  </si>
  <si>
    <t>ES0031408323131005HX0F,2023/09/14,07:00,0.028,Real,</t>
  </si>
  <si>
    <t>ES0031408323131005HX0F,2023/09/14,08:00,0.092,Real,</t>
  </si>
  <si>
    <t>ES0031408323131005HX0F,2023/09/14,09:00,0.13,Real,</t>
  </si>
  <si>
    <t>ES0031408323131005HX0F,2023/09/14,10:00,0.103,Real,</t>
  </si>
  <si>
    <t>ES0031408323131005HX0F,2023/09/14,11:00,0.101,Real,</t>
  </si>
  <si>
    <t>ES0031408323131005HX0F,2023/09/14,12:00,0.324,Real,</t>
  </si>
  <si>
    <t>ES0031408323131005HX0F,2023/09/14,13:00,0.028,Real,</t>
  </si>
  <si>
    <t>ES0031408323131005HX0F,2023/09/14,14:00,0.074,Real,</t>
  </si>
  <si>
    <t>ES0031408323131005HX0F,2023/09/14,15:00,0.13,Real,</t>
  </si>
  <si>
    <t>ES0031408323131005HX0F,2023/09/14,16:00,0.105,Real,</t>
  </si>
  <si>
    <t>ES0031408323131005HX0F,2023/09/14,17:00,0.103,Real,</t>
  </si>
  <si>
    <t>ES0031408323131005HX0F,2023/09/14,18:00,0.069,Real,</t>
  </si>
  <si>
    <t>ES0031408323131005HX0F,2023/09/14,19:00,0.028,Real,</t>
  </si>
  <si>
    <t>ES0031408323131005HX0F,2023/09/14,20:00,0.321,Real,</t>
  </si>
  <si>
    <t>ES0031408323131005HX0F,2023/09/14,21:00,0.132,Real,</t>
  </si>
  <si>
    <t>ES0031408323131005HX0F,2023/09/14,22:00,0.111,Real,</t>
  </si>
  <si>
    <t>ES0031408323131005HX0F,2023/09/14,23:00,0.117,Real,</t>
  </si>
  <si>
    <t>ES0031408323131005HX0F,2023/09/14,24:00,0.11,Real,</t>
  </si>
  <si>
    <t>ES0031408323131005HX0F,2023/09/15,01:00,0.089,Real,</t>
  </si>
  <si>
    <t>ES0031408323131005HX0F,2023/09/15,02:00,0.067,Real,</t>
  </si>
  <si>
    <t>ES0031408323131005HX0F,2023/09/15,03:00,0.298,Real,</t>
  </si>
  <si>
    <t>ES0031408323131005HX0F,2023/09/15,04:00,0.062,Real,</t>
  </si>
  <si>
    <t>ES0031408323131005HX0F,2023/09/15,05:00,0.132,Real,</t>
  </si>
  <si>
    <t>ES0031408323131005HX0F,2023/09/15,06:00,0.108,Real,</t>
  </si>
  <si>
    <t>ES0031408323131005HX0F,2023/09/15,07:00,0.101,Real,</t>
  </si>
  <si>
    <t>ES0031408323131005HX0F,2023/09/15,08:00,0.077,Real,</t>
  </si>
  <si>
    <t>ES0031408323131005HX0F,2023/09/15,09:00,0.027,Real,</t>
  </si>
  <si>
    <t>ES0031408323131005HX0F,2023/09/15,10:00,0.05,Real,</t>
  </si>
  <si>
    <t>ES0031408323131005HX0F,2023/09/15,11:00,0.394,Real,</t>
  </si>
  <si>
    <t>ES0031408323131005HX0F,2023/09/15,12:00,0.116,Real,</t>
  </si>
  <si>
    <t>ES0031408323131005HX0F,2023/09/15,13:00,0.098,Real,</t>
  </si>
  <si>
    <t>ES0031408323131005HX0F,2023/09/15,14:00,0.08,Real,</t>
  </si>
  <si>
    <t>ES0031408323131005HX0F,2023/09/15,15:00,0.028,Real,</t>
  </si>
  <si>
    <t>ES0031408323131005HX0F,2023/09/15,16:00,0.04,Real,</t>
  </si>
  <si>
    <t>ES0031408323131005HX0F,2023/09/15,17:00,0.132,Real,</t>
  </si>
  <si>
    <t>ES0031408323131005HX0F,2023/09/15,18:00,0.125,Real,</t>
  </si>
  <si>
    <t>ES0031408323131005HX0F,2023/09/15,19:00,0.343,Real,</t>
  </si>
  <si>
    <t>ES0031408323131005HX0F,2023/09/15,20:00,0.081,Real,</t>
  </si>
  <si>
    <t>ES0031408323131005HX0F,2023/09/15,21:00,0.028,Real,</t>
  </si>
  <si>
    <t>ES0031408323131005HX0F,2023/09/15,22:00,0.028,Real,</t>
  </si>
  <si>
    <t>ES0031408323131005HX0F,2023/09/15,23:00,0.134,Real,</t>
  </si>
  <si>
    <t>ES0031408323131005HX0F,2023/09/15,24:00,0.129,Real,</t>
  </si>
  <si>
    <t>ES0031408323131005HX0F,2023/09/16,01:00,0.094,Real,</t>
  </si>
  <si>
    <t>ES0031408323131005HX0F,2023/09/16,02:00,0.325,Real,</t>
  </si>
  <si>
    <t>ES0031408323131005HX0F,2023/09/16,03:00,0.028,Real,</t>
  </si>
  <si>
    <t>ES0031408323131005HX0F,2023/09/16,04:00,0.029,Real,</t>
  </si>
  <si>
    <t>ES0031408323131005HX0F,2023/09/16,05:00,0.134,Real,</t>
  </si>
  <si>
    <t>ES0031408323131005HX0F,2023/09/16,06:00,0.121,Real,</t>
  </si>
  <si>
    <t>ES0031408323131005HX0F,2023/09/16,07:00,0.092,Real,</t>
  </si>
  <si>
    <t>ES0031408323131005HX0F,2023/09/16,08:00,0.078,Real,</t>
  </si>
  <si>
    <t>ES0031408323131005HX0F,2023/09/16,09:00,0.282,Real,</t>
  </si>
  <si>
    <t>ES0031408323131005HX0F,2023/09/16,10:00,0.042,Real,</t>
  </si>
  <si>
    <t>ES0031408323131005HX0F,2023/09/16,11:00,0.133,Real,</t>
  </si>
  <si>
    <t>ES0031408323131005HX0F,2023/09/16,12:00,0.107,Real,</t>
  </si>
  <si>
    <t>ES0031408323131005HX0F,2023/09/16,13:00,0.099,Real,</t>
  </si>
  <si>
    <t>ES0031408323131005HX0F,2023/09/16,14:00,0.072,Real,</t>
  </si>
  <si>
    <t>ES0031408323131005HX0F,2023/09/16,15:00,0.028,Real,</t>
  </si>
  <si>
    <t>ES0031408323131005HX0F,2023/09/16,16:00,0.33,Real,</t>
  </si>
  <si>
    <t>ES0031408323131005HX0F,2023/09/16,17:00,0.131,Real,</t>
  </si>
  <si>
    <t>ES0031408323131005HX0F,2023/09/16,18:00,0.103,Real,</t>
  </si>
  <si>
    <t>ES0031408323131005HX0F,2023/09/16,19:00,0.103,Real,</t>
  </si>
  <si>
    <t>ES0031408323131005HX0F,2023/09/16,20:00,0.065,Real,</t>
  </si>
  <si>
    <t>ES0031408323131005HX0F,2023/09/16,21:00,0.028,Real,</t>
  </si>
  <si>
    <t>ES0031408323131005HX0F,2023/09/16,22:00,0.064,Real,</t>
  </si>
  <si>
    <t>ES0031408323131005HX0F,2023/09/16,23:00,0.37,Real,</t>
  </si>
  <si>
    <t>ES0031408323131005HX0F,2023/09/16,24:00,0.149,Real,</t>
  </si>
  <si>
    <t>ES0031408323131005HX0F,2023/09/17,01:00,0.102,Real,</t>
  </si>
  <si>
    <t>ES0031408323131005HX0F,2023/09/17,02:00,0.057,Real,</t>
  </si>
  <si>
    <t>ES0031408323131005HX0F,2023/09/17,03:00,0.028,Real,</t>
  </si>
  <si>
    <t>ES0031408323131005HX0F,2023/09/17,04:00,0.079,Real,</t>
  </si>
  <si>
    <t>ES0031408323131005HX0F,2023/09/17,05:00,0.133,Real,</t>
  </si>
  <si>
    <t>ES0031408323131005HX0F,2023/09/17,06:00,0.123,Real,</t>
  </si>
  <si>
    <t>ES0031408323131005HX0F,2023/09/17,07:00,0.368,Real,</t>
  </si>
  <si>
    <t>ES0031408323131005HX0F,2023/09/17,08:00,0.08,Real,</t>
  </si>
  <si>
    <t>ES0031408323131005HX0F,2023/09/17,09:00,0.028,Real,</t>
  </si>
  <si>
    <t>ES0031408323131005HX0F,2023/09/17,10:00,0.035,Real,</t>
  </si>
  <si>
    <t>ES0031408323131005HX0F,2023/09/17,11:00,0.134,Real,</t>
  </si>
  <si>
    <t>ES0031408323131005HX0F,2023/09/17,12:00,0.119,Real,</t>
  </si>
  <si>
    <t>ES0031408323131005HX0F,2023/09/17,13:00,0.092,Real,</t>
  </si>
  <si>
    <t>ES0031408323131005HX0F,2023/09/17,14:00,0.078,Real,</t>
  </si>
  <si>
    <t>ES0031408323131005HX0F,2023/09/17,15:00,0.301,Real,</t>
  </si>
  <si>
    <t>ES0031408323131005HX0F,2023/09/17,16:00,0.046,Real,</t>
  </si>
  <si>
    <t>ES0031408323131005HX0F,2023/09/17,17:00,0.133,Real,</t>
  </si>
  <si>
    <t>ES0031408323131005HX0F,2023/09/17,18:00,0.115,Real,</t>
  </si>
  <si>
    <t>ES0031408323131005HX0F,2023/09/17,19:00,0.093,Real,</t>
  </si>
  <si>
    <t>ES0031408323131005HX0F,2023/09/17,20:00,0.08,Real,</t>
  </si>
  <si>
    <t>ES0031408323131005HX0F,2023/09/17,21:00,0.028,Real,</t>
  </si>
  <si>
    <t>ES0031408323131005HX0F,2023/09/17,22:00,0.047,Real,</t>
  </si>
  <si>
    <t>ES0031408323131005HX0F,2023/09/17,23:00,0.391,Real,</t>
  </si>
  <si>
    <t>ES0031408323131005HX0F,2023/09/17,24:00,0.111,Real,</t>
  </si>
  <si>
    <t>ES0031408323131005HX0F,2023/09/18,01:00,0.097,Real,</t>
  </si>
  <si>
    <t>ES0031408323131005HX0F,2023/09/18,02:00,0.072,Real,</t>
  </si>
  <si>
    <t>ES0031408323131005HX0F,2023/09/18,03:00,0.028,Real,</t>
  </si>
  <si>
    <t>ES0031408323131005HX0F,2023/09/18,04:00,0.055,Real,</t>
  </si>
  <si>
    <t>ES0031408323131005HX0F,2023/09/18,05:00,0.132,Real,</t>
  </si>
  <si>
    <t>ES0031408323131005HX0F,2023/09/18,06:00,0.376,Real,</t>
  </si>
  <si>
    <t>ES0031408323131005HX0F,2023/09/18,07:00,0.097,Real,</t>
  </si>
  <si>
    <t>ES0031408323131005HX0F,2023/09/18,08:00,0.073,Real,</t>
  </si>
  <si>
    <t>ES0031408323131005HX0F,2023/09/18,09:00,0.028,Real,</t>
  </si>
  <si>
    <t>ES0031408323131005HX0F,2023/09/18,10:00,0.053,Real,</t>
  </si>
  <si>
    <t>ES0031408323131005HX0F,2023/09/18,11:00,0.132,Real,</t>
  </si>
  <si>
    <t>ES0031408323131005HX0F,2023/09/18,12:00,0.109,Real,</t>
  </si>
  <si>
    <t>ES0031408323131005HX0F,2023/09/18,13:00,0.098,Real,</t>
  </si>
  <si>
    <t>ES0031408323131005HX0F,2023/09/18,14:00,0.352,Real,</t>
  </si>
  <si>
    <t>ES0031408323131005HX0F,2023/09/18,15:00,0.028,Real,</t>
  </si>
  <si>
    <t>ES0031408323131005HX0F,2023/09/18,16:00,0.059,Real,</t>
  </si>
  <si>
    <t>ES0031408323131005HX0F,2023/09/18,17:00,0.132,Real,</t>
  </si>
  <si>
    <t>ES0031408323131005HX0F,2023/09/18,18:00,0.105,Real,</t>
  </si>
  <si>
    <t>ES0031408323131005HX0F,2023/09/18,19:00,0.102,Real,</t>
  </si>
  <si>
    <t>ES0031408323131005HX0F,2023/09/18,20:00,0.067,Real,</t>
  </si>
  <si>
    <t>ES0031408323131005HX0F,2023/09/18,21:00,0.134,Real,</t>
  </si>
  <si>
    <t>ES0031408323131005HX0F,2023/09/18,22:00,0.229,Real,</t>
  </si>
  <si>
    <t>ES0031408323131005HX0F,2023/09/18,23:00,0.131,Real,</t>
  </si>
  <si>
    <t>ES0031408323131005HX0F,2023/09/18,24:00,0.104,Real,</t>
  </si>
  <si>
    <t>ES0031408323131005HX0F,2023/09/19,01:00,0.104,Real,</t>
  </si>
  <si>
    <t>ES0031408323131005HX0F,2023/09/19,02:00,0.067,Real,</t>
  </si>
  <si>
    <t>ES0031408323131005HX0F,2023/09/19,03:00,0.028,Real,</t>
  </si>
  <si>
    <t>ES0031408323131005HX0F,2023/09/19,04:00,0.062,Real,</t>
  </si>
  <si>
    <t>ES0031408323131005HX0F,2023/09/19,05:00,0.4,Real,</t>
  </si>
  <si>
    <t>ES0031408323131005HX0F,2023/09/19,06:00,0.102,Real,</t>
  </si>
  <si>
    <t>ES0031408323131005HX0F,2023/09/19,07:00,0.104,Real,</t>
  </si>
  <si>
    <t>ES0031408323131005HX0F,2023/09/19,08:00,0.063,Real,</t>
  </si>
  <si>
    <t>ES0031408323131005HX0F,2023/09/19,09:00,0.042,Real,</t>
  </si>
  <si>
    <t>ES0031408323131005HX0F,2023/09/19,10:00,0.084,Real,</t>
  </si>
  <si>
    <t>ES0031408323131005HX0F,2023/09/19,11:00,0.131,Real,</t>
  </si>
  <si>
    <t>ES0031408323131005HX0F,2023/09/19,12:00,0.106,Real,</t>
  </si>
  <si>
    <t>ES0031408323131005HX0F,2023/09/19,13:00,0.373,Real,</t>
  </si>
  <si>
    <t>ES0031408323131005HX0F,2023/09/19,14:00,0.036,Real,</t>
  </si>
  <si>
    <t>ES0031408323131005HX0F,2023/09/19,15:00,0.028,Real,</t>
  </si>
  <si>
    <t>ES0031408323131005HX0F,2023/09/19,16:00,0.096,Real,</t>
  </si>
  <si>
    <t>ES0031408323131005HX0F,2023/09/19,17:00,0.13,Real,</t>
  </si>
  <si>
    <t>ES0031408323131005HX0F,2023/09/19,18:00,0.104,Real,</t>
  </si>
  <si>
    <t>ES0031408323131005HX0F,2023/09/19,19:00,0.103,Real,</t>
  </si>
  <si>
    <t>ES0031408323131005HX0F,2023/09/19,20:00,0.199,Real,</t>
  </si>
  <si>
    <t>ES0031408323131005HX0F,2023/09/19,21:00,0.128,Real,</t>
  </si>
  <si>
    <t>ES0031408323131005HX0F,2023/09/19,22:00,0.1,Real,</t>
  </si>
  <si>
    <t>ES0031408323131005HX0F,2023/09/19,23:00,0.13,Real,</t>
  </si>
  <si>
    <t>ES0031408323131005HX0F,2023/09/19,24:00,0.104,Real,</t>
  </si>
  <si>
    <t>ES0031408323131005HX0F,2023/09/20,01:00,0.102,Real,</t>
  </si>
  <si>
    <t>ES0031408323131005HX0F,2023/09/20,02:00,0.029,Real,</t>
  </si>
  <si>
    <t>ES0031408323131005HX0F,2023/09/20,03:00,0.027,Real,</t>
  </si>
  <si>
    <t>ES0031408323131005HX0F,2023/09/20,04:00,0.371,Real,</t>
  </si>
  <si>
    <t>ES0031408323131005HX0F,2023/09/20,05:00,0.129,Real,</t>
  </si>
  <si>
    <t>ES0031408323131005HX0F,2023/09/20,06:00,0.103,Real,</t>
  </si>
  <si>
    <t>ES0031408323131005HX0F,2023/09/20,07:00,0.089,Real,</t>
  </si>
  <si>
    <t>ES0031408323131005HX0F,2023/09/20,08:00,0.027,Real,</t>
  </si>
  <si>
    <t>ES0031408323131005HX0F,2023/09/20,09:00,0.028,Real,</t>
  </si>
  <si>
    <t>ES0031408323131005HX0F,2023/09/20,10:00,0.118,Real,</t>
  </si>
  <si>
    <t>ES0031408323131005HX0F,2023/09/20,11:00,0.276,Real,</t>
  </si>
  <si>
    <t>ES0031408323131005HX0F,2023/09/20,12:00,0.223,Real,</t>
  </si>
  <si>
    <t>ES0031408323131005HX0F,2023/09/20,13:00,0.077,Real,</t>
  </si>
  <si>
    <t>ES0031408323131005HX0F,2023/09/20,14:00,0.027,Real,</t>
  </si>
  <si>
    <t>ES0031408323131005HX0F,2023/09/20,15:00,0.029,Real,</t>
  </si>
  <si>
    <t>ES0031408323131005HX0F,2023/09/20,16:00,0.134,Real,</t>
  </si>
  <si>
    <t>ES0031408323131005HX0F,2023/09/20,17:00,0.118,Real,</t>
  </si>
  <si>
    <t>ES0031408323131005HX0F,2023/09/20,18:00,0.09,Real,</t>
  </si>
  <si>
    <t>ES0031408323131005HX0F,2023/09/20,19:00,0.351,Real,</t>
  </si>
  <si>
    <t>ES0031408323131005HX0F,2023/09/20,20:00,0.028,Real,</t>
  </si>
  <si>
    <t>ES0031408323131005HX0F,2023/09/20,21:00,0.048,Real,</t>
  </si>
  <si>
    <t>ES0031408323131005HX0F,2023/09/20,22:00,0.133,Real,</t>
  </si>
  <si>
    <t>ES0031408323131005HX0F,2023/09/20,23:00,0.105,Real,</t>
  </si>
  <si>
    <t>ES0031408323131005HX0F,2023/09/20,24:00,0.101,Real,</t>
  </si>
  <si>
    <t>ES0031408323131005HX0F,2023/09/21,01:00,0.066,Real,</t>
  </si>
  <si>
    <t>ES0031408323131005HX0F,2023/09/21,02:00,0.027,Real,</t>
  </si>
  <si>
    <t>ES0031408323131005HX0F,2023/09/21,03:00,0.332,Real,</t>
  </si>
  <si>
    <t>ES0031408323131005HX0F,2023/09/21,04:00,0.131,Real,</t>
  </si>
  <si>
    <t>ES0031408323131005HX0F,2023/09/21,05:00,0.102,Real,</t>
  </si>
  <si>
    <t>ES0031408323131005HX0F,2023/09/21,06:00,0.102,Real,</t>
  </si>
  <si>
    <t>ES0031408323131005HX0F,2023/09/21,07:00,0.046,Real,</t>
  </si>
  <si>
    <t>ES0031408323131005HX0F,2023/09/21,08:00,0.028,Real,</t>
  </si>
  <si>
    <t>ES0031408323131005HX0F,2023/09/21,09:00,0.085,Real,</t>
  </si>
  <si>
    <t>ES0031408323131005HX0F,2023/09/21,10:00,0.41,Real,</t>
  </si>
  <si>
    <t>ES0031408323131005HX0F,2023/09/21,11:00,0.102,Real,</t>
  </si>
  <si>
    <t>ES0031408323131005HX0F,2023/09/21,12:00,0.094,Real,</t>
  </si>
  <si>
    <t>ES0031408323131005HX0F,2023/09/21,13:00,0.028,Real,</t>
  </si>
  <si>
    <t>ES0031408323131005HX0F,2023/09/21,14:00,0.041,Real,</t>
  </si>
  <si>
    <t>ES0031408323131005HX0F,2023/09/21,15:00,0.129,Real,</t>
  </si>
  <si>
    <t>ES0031408323131005HX0F,2023/09/21,16:00,0.129,Real,</t>
  </si>
  <si>
    <t>ES0031408323131005HX0F,2023/09/21,17:00,0.087,Real,</t>
  </si>
  <si>
    <t>ES0031408323131005HX0F,2023/09/21,18:00,0.341,Real,</t>
  </si>
  <si>
    <t>ES0031408323131005HX0F,2023/09/21,19:00,0.027,Real,</t>
  </si>
  <si>
    <t>ES0031408323131005HX0F,2023/09/21,20:00,0.045,Real,</t>
  </si>
  <si>
    <t>ES0031408323131005HX0F,2023/09/21,21:00,0.133,Real,</t>
  </si>
  <si>
    <t>ES0031408323131005HX0F,2023/09/21,22:00,0.105,Real,</t>
  </si>
  <si>
    <t>ES0031408323131005HX0F,2023/09/21,23:00,0.102,Real,</t>
  </si>
  <si>
    <t>ES0031408323131005HX0F,2023/09/21,24:00,0.062,Real,</t>
  </si>
  <si>
    <t>ES0031408323131005HX0F,2023/09/22,01:00,0.318,Real,</t>
  </si>
  <si>
    <t>ES0031408323131005HX0F,2023/09/22,02:00,0.068,Real,</t>
  </si>
  <si>
    <t>ES0031408323131005HX0F,2023/09/22,03:00,0.131,Real,</t>
  </si>
  <si>
    <t>ES0031408323131005HX0F,2023/09/22,04:00,0.101,Real,</t>
  </si>
  <si>
    <t>ES0031408323131005HX0F,2023/09/22,05:00,0.102,Real,</t>
  </si>
  <si>
    <t>ES0031408323131005HX0F,2023/09/22,06:00,0.04,Real,</t>
  </si>
  <si>
    <t>ES0031408323131005HX0F,2023/09/22,07:00,0.028,Real,</t>
  </si>
  <si>
    <t>ES0031408323131005HX0F,2023/09/22,08:00,0.092,Real,</t>
  </si>
  <si>
    <t>ES0031408323131005HX0F,2023/09/22,09:00,0.416,Real,</t>
  </si>
  <si>
    <t>ES0031408323131005HX0F,2023/09/22,10:00,0.102,Real,</t>
  </si>
  <si>
    <t>ES0031408323131005HX0F,2023/09/22,11:00,0.078,Real,</t>
  </si>
  <si>
    <t>ES0031408323131005HX0F,2023/09/22,12:00,0.054,Real,</t>
  </si>
  <si>
    <t>ES0031408323131005HX0F,2023/09/22,13:00,0.009,Real,</t>
  </si>
  <si>
    <t>ES0031408323131005HX0F,2023/09/22,14:00,0.112,Real,</t>
  </si>
  <si>
    <t>ES0031408323131005HX0F,2023/09/22,15:00,0.17,Real,</t>
  </si>
  <si>
    <t>ES0031408323131005HX0F,2023/09/22,16:00,0.354,Real,</t>
  </si>
  <si>
    <t>ES0031408323131005HX0F,2023/09/22,17:00,0.245,Real,</t>
  </si>
  <si>
    <t>ES0031408323131005HX0F,2023/09/22,18:00,0.359,Real,</t>
  </si>
  <si>
    <t>ES0031408323131005HX0F,2023/09/22,19:00,0.107,Real,</t>
  </si>
  <si>
    <t>ES0031408323131005HX0F,2023/09/22,20:00,0.074,Real,</t>
  </si>
  <si>
    <t>ES0031408323131005HX0F,2023/09/22,21:00,0.055,Real,</t>
  </si>
  <si>
    <t>ES0031408323131005HX0F,2023/09/22,22:00,0.11,Real,</t>
  </si>
  <si>
    <t>ES0031408323131005HX0F,2023/09/22,23:00,0.341,Real,</t>
  </si>
  <si>
    <t>ES0031408323131005HX0F,2023/09/22,24:00,0.201,Real,</t>
  </si>
  <si>
    <t>ES0031408323131005HX0F,2023/09/23,01:00,0.112,Real,</t>
  </si>
  <si>
    <t>ES0031408323131005HX0F,2023/09/23,02:00,0.09,Real,</t>
  </si>
  <si>
    <t>ES0031408323131005HX0F,2023/09/23,03:00,0.1,Real,</t>
  </si>
  <si>
    <t>ES0031408323131005HX0F,2023/09/23,04:00,0.024,Real,</t>
  </si>
  <si>
    <t>ES0031408323131005HX0F,2023/09/23,05:00,0.371,Real,</t>
  </si>
  <si>
    <t>ES0031408323131005HX0F,2023/09/23,06:00,0.073,Real,</t>
  </si>
  <si>
    <t>ES0031408323131005HX0F,2023/09/23,07:00,0.058,Real,</t>
  </si>
  <si>
    <t>ES0031408323131005HX0F,2023/09/23,08:00,0.031,Real,</t>
  </si>
  <si>
    <t>ES0031408323131005HX0F,2023/09/23,09:00,0.17,Real,</t>
  </si>
  <si>
    <t>ES0031408323131005HX0F,2023/09/23,10:00,0.352,Real,</t>
  </si>
  <si>
    <t>ES0031408323131005HX0F,2023/09/23,11:00,0.806,Real,</t>
  </si>
  <si>
    <t>ES0031408323131005HX0F,2023/09/23,12:00,0.516,Real,</t>
  </si>
  <si>
    <t>ES0031408323131005HX0F,2023/09/23,13:00,0.108,Real,</t>
  </si>
  <si>
    <t>ES0031408323131005HX0F,2023/09/23,14:00,0.106,Real,</t>
  </si>
  <si>
    <t>ES0031408323131005HX0F,2023/09/23,15:00,0.106,Real,</t>
  </si>
  <si>
    <t>ES0031408323131005HX0F,2023/09/23,16:00,0.04,Real,</t>
  </si>
  <si>
    <t>ES0031408323131005HX0F,2023/09/23,17:00,0.393,Real,</t>
  </si>
  <si>
    <t>ES0031408323131005HX0F,2023/09/23,18:00,0.802,Real,</t>
  </si>
  <si>
    <t>ES0031408323131005HX0F,2023/09/23,19:00,1.581,Real,</t>
  </si>
  <si>
    <t>ES0031408323131005HX0F,2023/09/23,20:00,0.215,Real,</t>
  </si>
  <si>
    <t>ES0031408323131005HX0F,2023/09/23,21:00,0.076,Real,</t>
  </si>
  <si>
    <t>ES0031408323131005HX0F,2023/09/23,22:00,0.019,Real,</t>
  </si>
  <si>
    <t>ES0031408323131005HX0F,2023/09/23,23:00,0.33,Real,</t>
  </si>
  <si>
    <t>ES0031408323131005HX0F,2023/09/23,24:00,0.324,Real,</t>
  </si>
  <si>
    <t>ES0031408323131005HX0F,2023/09/24,01:00,0.32,Real,</t>
  </si>
  <si>
    <t>ES0031408323131005HX0F,2023/09/24,02:00,0.442,Real,</t>
  </si>
  <si>
    <t>ES0031408323131005HX0F,2023/09/24,03:00,0.136,Real,</t>
  </si>
  <si>
    <t>ES0031408323131005HX0F,2023/09/24,04:00,0.12,Real,</t>
  </si>
  <si>
    <t>ES0031408323131005HX0F,2023/09/24,05:00,0.096,Real,</t>
  </si>
  <si>
    <t>ES0031408323131005HX0F,2023/09/24,06:00,0.081,Real,</t>
  </si>
  <si>
    <t>ES0031408323131005HX0F,2023/09/24,07:00,0.021,Real,</t>
  </si>
  <si>
    <t>ES0031408323131005HX0F,2023/09/24,08:00,0.113,Real,</t>
  </si>
  <si>
    <t>ES0031408323131005HX0F,2023/09/24,09:00,0.457,Real,</t>
  </si>
  <si>
    <t>ES0031408323131005HX0F,2023/09/24,10:00,0.319,Real,</t>
  </si>
  <si>
    <t>ES0031408323131005HX0F,2023/09/24,11:00,0.166,Real,</t>
  </si>
  <si>
    <t>ES0031408323131005HX0F,2023/09/24,12:00,0.111,Real,</t>
  </si>
  <si>
    <t>ES0031408323131005HX0F,2023/09/24,13:00,0.451,Real,</t>
  </si>
  <si>
    <t>ES0031408323131005HX0F,2023/09/24,14:00,0.527,Real,</t>
  </si>
  <si>
    <t>ES0031408323131005HX0F,2023/09/24,15:00,0.997,Real,</t>
  </si>
  <si>
    <t>ES0031408323131005HX0F,2023/09/24,16:00,0.34,Real,</t>
  </si>
  <si>
    <t>ES0031408323131005HX0F,2023/09/24,17:00,0.283,Real,</t>
  </si>
  <si>
    <t>ES0031408323131005HX0F,2023/09/24,18:00,0.365,Real,</t>
  </si>
  <si>
    <t>ES0031408323131005HX0F,2023/09/24,19:00,0.764,Real,</t>
  </si>
  <si>
    <t>ES0031408323131005HX0F,2023/09/24,20:00,0.822,Real,</t>
  </si>
  <si>
    <t>ES0031408323131005HX0F,2023/09/24,21:00,0.248,Real,</t>
  </si>
  <si>
    <t>ES0031408323131005HX0F,2023/09/24,22:00,0.595,Real,</t>
  </si>
  <si>
    <t>ES0031408323131005HX0F,2023/09/24,23:00,0.172,Real,</t>
  </si>
  <si>
    <t>ES0031408323131005HX0F,2023/09/24,24:00,0.133,Real,</t>
  </si>
  <si>
    <t>ES0031408323131005HX0F,2023/09/25,01:00,0.115,Real,</t>
  </si>
  <si>
    <t>ES0031408323131005HX0F,2023/09/25,02:00,0.098,Real,</t>
  </si>
  <si>
    <t>ES0031408323131005HX0F,2023/09/25,03:00,0.041,Real,</t>
  </si>
  <si>
    <t>ES0031408323131005HX0F,2023/09/25,04:00,0.104,Real,</t>
  </si>
  <si>
    <t>ES0031408323131005HX0F,2023/09/25,05:00,0.368,Real,</t>
  </si>
  <si>
    <t>ES0031408323131005HX0F,2023/09/25,06:00,0.086,Real,</t>
  </si>
  <si>
    <t>ES0031408323131005HX0F,2023/09/25,07:00,0.02,Real,</t>
  </si>
  <si>
    <t>ES0031408323131005HX0F,2023/09/25,08:00,0.093,Real,</t>
  </si>
  <si>
    <t>ES0031408323131005HX0F,2023/09/25,09:00,0.33,Real,</t>
  </si>
  <si>
    <t>ES0031408323131005HX0F,2023/09/25,10:00,0.621,Real,</t>
  </si>
  <si>
    <t>ES0031408323131005HX0F,2023/09/25,11:00,0.459,Real,</t>
  </si>
  <si>
    <t>ES0031408323131005HX0F,2023/09/25,12:00,0.286,Real,</t>
  </si>
  <si>
    <t>ES0031408323131005HX0F,2023/09/25,13:00,0.504,Real,</t>
  </si>
  <si>
    <t>ES0031408323131005HX0F,2023/09/25,14:00,0.212,Real,</t>
  </si>
  <si>
    <t>ES0031408323131005HX0F,2023/09/25,15:00,0.632,Real,</t>
  </si>
  <si>
    <t>ES0031408323131005HX0F,2023/09/25,16:00,1.045,Real,</t>
  </si>
  <si>
    <t>ES0031408323131005HX0F,2023/09/25,17:00,0.372,Real,</t>
  </si>
  <si>
    <t>ES0031408323131005HX0F,2023/09/25,18:00,0.327,Real,</t>
  </si>
  <si>
    <t>ES0031408323131005HX0F,2023/09/25,19:00,0.112,Real,</t>
  </si>
  <si>
    <t>ES0031408323131005HX0F,2023/09/25,20:00,0.235,Real,</t>
  </si>
  <si>
    <t>ES0031408323131005HX0F,2023/09/25,21:00,0.57,Real,</t>
  </si>
  <si>
    <t>ES0031408323131005HX0F,2023/09/25,22:00,0.52,Real,</t>
  </si>
  <si>
    <t>ES0031408323131005HX0F,2023/09/25,23:00,0.363,Real,</t>
  </si>
  <si>
    <t>ES0031408323131005HX0F,2023/09/25,24:00,0.436,Real,</t>
  </si>
  <si>
    <t>ES0031408323131005HX0F,2023/09/26,01:00,0.096,Real,</t>
  </si>
  <si>
    <t>ES0031408323131005HX0F,2023/09/26,02:00,0.12,Real,</t>
  </si>
  <si>
    <t>ES0031408323131005HX0F,2023/09/26,03:00,0.104,Real,</t>
  </si>
  <si>
    <t>ES0031408323131005HX0F,2023/09/26,04:00,0.127,Real,</t>
  </si>
  <si>
    <t>ES0031408323131005HX0F,2023/09/26,05:00,0.108,Real,</t>
  </si>
  <si>
    <t>ES0031408323131005HX0F,2023/09/26,06:00,0.094,Real,</t>
  </si>
  <si>
    <t>ES0031408323131005HX0F,2023/09/26,07:00,0.353,Real,</t>
  </si>
  <si>
    <t>ES0031408323131005HX0F,2023/09/26,08:00,0.121,Real,</t>
  </si>
  <si>
    <t>ES0031408323131005HX0F,2023/09/26,09:00,0.108,Real,</t>
  </si>
  <si>
    <t>ES0031408323131005HX0F,2023/09/26,10:00,0.354,Real,</t>
  </si>
  <si>
    <t>ES0031408323131005HX0F,2023/09/26,11:00,0.171,Real,</t>
  </si>
  <si>
    <t>ES0031408323131005HX0F,2023/09/26,12:00,0.632,Real,</t>
  </si>
  <si>
    <t>ES0031408323131005HX0F,2023/09/26,13:00,0.395,Real,</t>
  </si>
  <si>
    <t>ES0031408323131005HX0F,2023/09/26,14:00,1.007,Real,</t>
  </si>
  <si>
    <t>ES0031408323131005HX0F,2023/09/26,15:00,0.441,Real,</t>
  </si>
  <si>
    <t>ES0031408323131005HX0F,2023/09/26,16:00,0.344,Real,</t>
  </si>
  <si>
    <t>ES0031408323131005HX0F,2023/09/26,17:00,0.451,Real,</t>
  </si>
  <si>
    <t>ES0031408323131005HX0F,2023/09/26,18:00,0.333,Real,</t>
  </si>
  <si>
    <t>ES0031408323131005HX0F,2023/09/26,19:00,0.091,Real,</t>
  </si>
  <si>
    <t>ES0031408323131005HX0F,2023/09/26,20:00,0.073,Real,</t>
  </si>
  <si>
    <t>ES0031408323131005HX0F,2023/09/26,21:00,0.566,Real,</t>
  </si>
  <si>
    <t>ES0031408323131005HX0F,2023/09/26,22:00,0.694,Real,</t>
  </si>
  <si>
    <t>ES0031408323131005HX0F,2023/09/26,23:00,0.753,Real,</t>
  </si>
  <si>
    <t>ES0031408323131005HX0F,2023/09/26,24:00,0.145,Real,</t>
  </si>
  <si>
    <t>ES0031408323131005HX0F,2023/09/27,01:00,0.077,Real,</t>
  </si>
  <si>
    <t>ES0031408323131005HX0F,2023/09/27,02:00,0.098,Real,</t>
  </si>
  <si>
    <t>ES0031408323131005HX0F,2023/09/27,03:00,0.046,Real,</t>
  </si>
  <si>
    <t>ES0031408323131005HX0F,2023/09/27,04:00,0.34,Real,</t>
  </si>
  <si>
    <t>ES0031408323131005HX0F,2023/09/27,05:00,0.094,Real,</t>
  </si>
  <si>
    <t>ES0031408323131005HX0F,2023/09/27,06:00,0.108,Real,</t>
  </si>
  <si>
    <t>ES0031408323131005HX0F,2023/09/27,07:00,0.064,Real,</t>
  </si>
  <si>
    <t>ES0031408323131005HX0F,2023/09/27,08:00,0.082,Real,</t>
  </si>
  <si>
    <t>ES0031408323131005HX0F,2023/09/27,09:00,0.149,Real,</t>
  </si>
  <si>
    <t>ES0031408323131005HX0F,2023/09/27,10:00,0.491,Real,</t>
  </si>
  <si>
    <t>ES0031408323131005HX0F,2023/09/27,11:00,0.423,Real,</t>
  </si>
  <si>
    <t>ES0031408323131005HX0F,2023/09/27,12:00,0.232,Real,</t>
  </si>
  <si>
    <t>ES0031408323131005HX0F,2023/09/27,13:00,0.139,Real,</t>
  </si>
  <si>
    <t>ES0031408323131005HX0F,2023/09/27,14:00,0.097,Real,</t>
  </si>
  <si>
    <t>ES0031408323131005HX0F,2023/09/27,15:00,0.028,Real,</t>
  </si>
  <si>
    <t>ES0031408323131005HX0F,2023/09/27,16:00,0.128,Real,</t>
  </si>
  <si>
    <t>ES0031408323131005HX0F,2023/09/27,17:00,0.335,Real,</t>
  </si>
  <si>
    <t>ES0031408323131005HX0F,2023/09/27,18:00,0.733,Real,</t>
  </si>
  <si>
    <t>ES0031408323131005HX0F,2023/09/27,19:00,0.12,Real,</t>
  </si>
  <si>
    <t>ES0031408323131005HX0F,2023/09/27,20:00,0.046,Real,</t>
  </si>
  <si>
    <t>ES0031408323131005HX0F,2023/09/27,21:00,0.121,Real,</t>
  </si>
  <si>
    <t>ES0031408323131005HX0F,2023/09/27,22:00,0.375,Real,</t>
  </si>
  <si>
    <t>ES0031408323131005HX0F,2023/09/27,23:00,0.355,Real,</t>
  </si>
  <si>
    <t>ES0031408323131005HX0F,2023/09/27,24:00,0.555,Real,</t>
  </si>
  <si>
    <t>ES0031408323131005HX0F,2023/09/28,01:00,0.386,Real,</t>
  </si>
  <si>
    <t>ES0031408323131005HX0F,2023/09/28,02:00,0.337,Real,</t>
  </si>
  <si>
    <t>ES0031408323131005HX0F,2023/09/28,03:00,0.302,Real,</t>
  </si>
  <si>
    <t>ES0031408323131005HX0F,2023/09/28,04:00,0.049,Real,</t>
  </si>
  <si>
    <t>ES0031408323131005HX0F,2023/09/28,05:00,0.116,Real,</t>
  </si>
  <si>
    <t>ES0031408323131005HX0F,2023/09/28,06:00,0.077,Real,</t>
  </si>
  <si>
    <t>ES0031408323131005HX0F,2023/09/28,07:00,0.096,Real,</t>
  </si>
  <si>
    <t>ES0031408323131005HX0F,2023/09/28,08:00,0.315,Real,</t>
  </si>
  <si>
    <t>ES0031408323131005HX0F,2023/09/28,09:00,0.301,Real,</t>
  </si>
  <si>
    <t>ES0031408323131005HX0F,2023/09/28,10:00,0.256,Real,</t>
  </si>
  <si>
    <t>ES0031408323131005HX0F,2023/09/28,11:00,0.19,Real,</t>
  </si>
  <si>
    <t>ES0031408323131005HX0F,2023/09/28,12:00,0.154,Real,</t>
  </si>
  <si>
    <t>ES0031408323131005HX0F,2023/09/28,13:00,0.191,Real,</t>
  </si>
  <si>
    <t>ES0031408323131005HX0F,2023/09/28,14:00,0.42,Real,</t>
  </si>
  <si>
    <t>ES0031408323131005HX0F,2023/09/28,15:00,0.064,Real,</t>
  </si>
  <si>
    <t>ES0031408323131005HX0F,2023/09/28,16:00,0.159,Real,</t>
  </si>
  <si>
    <t>ES0031408323131005HX0F,2023/09/28,17:00,0.11,Real,</t>
  </si>
  <si>
    <t>ES0031408323131005HX0F,2023/09/28,18:00,0.078,Real,</t>
  </si>
  <si>
    <t>ES0031408323131005HX0F,2023/09/28,19:00,0.091,Real,</t>
  </si>
  <si>
    <t>ES0031408323131005HX0F,2023/09/28,20:00,0.048,Real,</t>
  </si>
  <si>
    <t>ES0031408323131005HX0F,2023/09/28,21:00,0.38,Real,</t>
  </si>
  <si>
    <t>ES0031408323131005HX0F,2023/09/28,22:00,0.071,Real,</t>
  </si>
  <si>
    <t>ES0031408323131005HX0F,2023/09/28,23:00,0.06,Real,</t>
  </si>
  <si>
    <t>ES0031408323131005HX0F,2023/09/28,24:00,0.069,Real,</t>
  </si>
  <si>
    <t>ES0031408323131005HX0F,2023/09/29,01:00,0.091,Real,</t>
  </si>
  <si>
    <t>ES0031408323131005HX0F,2023/09/29,02:00,0.095,Real,</t>
  </si>
  <si>
    <t>ES0031408323131005HX0F,2023/09/29,03:00,0.092,Real,</t>
  </si>
  <si>
    <t>ES0031408323131005HX0F,2023/09/29,04:00,0.344,Real,</t>
  </si>
  <si>
    <t>ES0031408323131005HX0F,2023/09/29,05:00,0.114,Real,</t>
  </si>
  <si>
    <t>ES0031408323131005HX0F,2023/09/29,06:00,0.099,Real,</t>
  </si>
  <si>
    <t>ES0031408323131005HX0F,2023/09/29,07:00,0.098,Real,</t>
  </si>
  <si>
    <t>ES0031408323131005HX0F,2023/09/29,08:00,0.043,Real,</t>
  </si>
  <si>
    <t>ES0031408323131005HX0F,2023/09/29,09:00,0.094,Real,</t>
  </si>
  <si>
    <t>ES0031408323131005HX0F,2023/09/29,10:00,0.069,Real,</t>
  </si>
  <si>
    <t>ES0031408323131005HX0F,2023/09/29,11:00,0.377,Real,</t>
  </si>
  <si>
    <t>ES0031408323131005HX0F,2023/09/29,12:00,0.075,Real,</t>
  </si>
  <si>
    <t>ES0031408323131005HX0F,2023/09/29,13:00,0.161,Real,</t>
  </si>
  <si>
    <t>ES0031408323131005HX0F,2023/09/29,14:00,0.111,Real,</t>
  </si>
  <si>
    <t>ES0031408323131005HX0F,2023/09/29,15:00,0.038,Real,</t>
  </si>
  <si>
    <t>ES0031408323131005HX0F,2023/09/29,16:00,0.109,Real,</t>
  </si>
  <si>
    <t>ES0031408323131005HX0F,2023/09/29,17:00,0.066,Real,</t>
  </si>
  <si>
    <t>ES0031408323131005HX0F,2023/09/29,18:00,0.336,Real,</t>
  </si>
  <si>
    <t>ES0031408323131005HX0F,2023/09/29,19:00,0.039,Real,</t>
  </si>
  <si>
    <t>ES0031408323131005HX0F,2023/09/29,20:00,0.11,Real,</t>
  </si>
  <si>
    <t>ES0031408323131005HX0F,2023/09/29,21:00,0.072,Real,</t>
  </si>
  <si>
    <t>ES0031408323131005HX0F,2023/09/29,22:00,0.112,Real,</t>
  </si>
  <si>
    <t>ES0031408323131005HX0F,2023/09/29,23:00,0.075,Real,</t>
  </si>
  <si>
    <t>ES0031408323131005HX0F,2023/09/29,24:00,0.149,Real,</t>
  </si>
  <si>
    <t>ES0031408323131005HX0F,2023/09/30,01:00,0.295,Real,</t>
  </si>
  <si>
    <t>ES0031408323131005HX0F,2023/09/30,02:00,0.031,Real,</t>
  </si>
  <si>
    <t>ES0031408323131005HX0F,2023/09/30,03:00,0.111,Real,</t>
  </si>
  <si>
    <t>ES0031408323131005HX0F,2023/09/30,04:00,0.076,Real,</t>
  </si>
  <si>
    <t>ES0031408323131005HX0F,2023/09/30,05:00,0.11,Real,</t>
  </si>
  <si>
    <t>ES0031408323131005HX0F,2023/09/30,06:00,0.031,Real,</t>
  </si>
  <si>
    <t>ES0031408323131005HX0F,2023/09/30,07:00,0.35,Real,</t>
  </si>
  <si>
    <t>ES0031408323131005HX0F,2023/09/30,08:00,0.071,Real,</t>
  </si>
  <si>
    <t>ES0031408323131005HX0F,2023/09/30,09:00,0.076,Real,</t>
  </si>
  <si>
    <t>ES0031408323131005HX0F,2023/09/30,10:00,0.05,Real,</t>
  </si>
  <si>
    <t>ES0031408323131005HX0F,2023/09/30,11:00,0.108,Real,</t>
  </si>
  <si>
    <t>ES0031408323131005HX0F,2023/09/30,12:00,0.076,Real,</t>
  </si>
  <si>
    <t>ES0031408323131005HX0F,2023/09/30,13:00,0.319,Real,</t>
  </si>
  <si>
    <t>ES0031408323131005HX0F,2023/09/30,14:00,0.089,Real,</t>
  </si>
  <si>
    <t>ES0031408323131005HX0F,2023/09/30,15:00,0.126,Real,</t>
  </si>
  <si>
    <t>ES0031408323131005HX0F,2023/09/30,16:00,0.071,Real,</t>
  </si>
  <si>
    <t>ES0031408323131005HX0F,2023/09/30,17:00,0.164,Real,</t>
  </si>
  <si>
    <t>ES0031408323131005HX0F,2023/09/30,18:00,0.119,Real,</t>
  </si>
  <si>
    <t>ES0031408323131005HX0F,2023/09/30,19:00,0.083,Real,</t>
  </si>
  <si>
    <t>ES0031408323131005HX0F,2023/09/30,20:00,0.362,Real,</t>
  </si>
  <si>
    <t>ES0031408323131005HX0F,2023/09/30,21:00,0.036,Real,</t>
  </si>
  <si>
    <t>ES0031408323131005HX0F,2023/09/30,22:00,0.11,Real,</t>
  </si>
  <si>
    <t>ES0031408323131005HX0F,2023/09/30,23:00,0.076,Real,</t>
  </si>
  <si>
    <t>ES0031408323131005HX0F,2023/09/30,24:00,0.106,Real,</t>
  </si>
  <si>
    <t>ES0031408323131005HX0F,2023/10/01,01:00,0.036,Real,</t>
  </si>
  <si>
    <t>ES0031408323131005HX0F,2023/10/01,02:00,0.112,Real,</t>
  </si>
  <si>
    <t>ES0031408323131005HX0F,2023/10/01,03:00,0.361,Real,</t>
  </si>
  <si>
    <t>ES0031408323131005HX0F,2023/10/01,04:00,0.082,Real,</t>
  </si>
  <si>
    <t>ES0031408323131005HX0F,2023/10/01,05:00,0.051,Real,</t>
  </si>
  <si>
    <t>ES0031408323131005HX0F,2023/10/01,06:00,0.109,Real,</t>
  </si>
  <si>
    <t>ES0031408323131005HX0F,2023/10/01,07:00,0.076,Real,</t>
  </si>
  <si>
    <t>ES0031408323131005HX0F,2023/10/01,08:00,0.089,Real,</t>
  </si>
  <si>
    <t>ES0031408323131005HX0F,2023/10/01,09:00,0.05,Real,</t>
  </si>
  <si>
    <t>ES0031408323131005HX0F,2023/10/01,10:00,0.397,Real,</t>
  </si>
  <si>
    <t>ES0031408323131005HX0F,2023/10/01,11:00,0.084,Real,</t>
  </si>
  <si>
    <t>ES0031408323131005HX0F,2023/10/01,12:00,0.075,Real,</t>
  </si>
  <si>
    <t>ES0031408323131005HX0F,2023/10/01,13:00,0.114,Real,</t>
  </si>
  <si>
    <t>ES0031408323131005HX0F,2023/10/01,14:00,0.087,Real,</t>
  </si>
  <si>
    <t>ES0031408323131005HX0F,2023/10/01,15:00,0.066,Real,</t>
  </si>
  <si>
    <t>ES0031408323131005HX0F,2023/10/01,16:00,0.077,Real,</t>
  </si>
  <si>
    <t>ES0031408323131005HX0F,2023/10/01,17:00,0.089,Real,</t>
  </si>
  <si>
    <t>ES0031408323131005HX0F,2023/10/01,18:00,0.401,Real,</t>
  </si>
  <si>
    <t>ES0031408323131005HX0F,2023/10/01,19:00,0.632,Real,</t>
  </si>
  <si>
    <t>ES0031408323131005HX0F,2023/10/01,20:00,0.074,Real,</t>
  </si>
  <si>
    <t>ES0031408323131005HX0F,2023/10/01,21:00,0.125,Real,</t>
  </si>
  <si>
    <t>ES0031408323131005HX0F,2023/10/01,22:00,0.066,Real,</t>
  </si>
  <si>
    <t>ES0031408323131005HX0F,2023/10/01,23:00,0.073,Real,</t>
  </si>
  <si>
    <t>ES0031408323131005HX0F,2023/10/01,24:00,0.086,Real,</t>
  </si>
  <si>
    <t>ES0031408323131005HX0F,2023/10/02,01:00,0.367,Real,</t>
  </si>
  <si>
    <t>ES0031408323131005HX0F,2023/10/02,02:00,0.076,Real,</t>
  </si>
  <si>
    <t>ES0031408323131005HX0F,2023/10/02,03:00,0.091,Real,</t>
  </si>
  <si>
    <t>ES0031408323131005HX0F,2023/10/02,04:00,0.082,Real,</t>
  </si>
  <si>
    <t>ES0031408323131005HX0F,2023/10/02,05:00,0.127,Real,</t>
  </si>
  <si>
    <t>ES0031408323131005HX0F,2023/10/02,06:00,0.124,Real,</t>
  </si>
  <si>
    <t>ES0031408323131005HX0F,2023/10/02,07:00,0.098,Real,</t>
  </si>
  <si>
    <t>ES0031408323131005HX0F,2023/10/02,08:00,0.13,Real,</t>
  </si>
  <si>
    <t>ES0031408323131005HX0F,2023/10/02,09:00,0.285,Real,</t>
  </si>
  <si>
    <t>ES0031408323131005HX0F,2023/10/02,10:00,0.118,Real,</t>
  </si>
  <si>
    <t>ES0031408323131005HX0F,2023/10/02,11:00,0.081,Real,</t>
  </si>
  <si>
    <t>ES0031408323131005HX0F,2023/10/02,12:00,0.12,Real,</t>
  </si>
  <si>
    <t>ES0031408323131005HX0F,2023/10/02,13:00,0.123,Real,</t>
  </si>
  <si>
    <t>ES0031408323131005HX0F,2023/10/02,14:00,0.114,Real,</t>
  </si>
  <si>
    <t>ES0031408323131005HX0F,2023/10/02,15:00,0.115,Real,</t>
  </si>
  <si>
    <t>ES0031408323131005HX0F,2023/10/02,16:00,0.343,Real,</t>
  </si>
  <si>
    <t>ES0031408323131005HX0F,2023/10/02,17:00,0.137,Real,</t>
  </si>
  <si>
    <t>ES0031408323131005HX0F,2023/10/02,18:00,0.102,Real,</t>
  </si>
  <si>
    <t>ES0031408323131005HX0F,2023/10/02,19:00,0.087,Real,</t>
  </si>
  <si>
    <t>ES0031408323131005HX0F,2023/10/02,20:00,0.099,Real,</t>
  </si>
  <si>
    <t>ES0031408323131005HX0F,2023/10/02,21:00,0.12,Real,</t>
  </si>
  <si>
    <t>ES0031408323131005HX0F,2023/10/02,22:00,0.125,Real,</t>
  </si>
  <si>
    <t>ES0031408323131005HX0F,2023/10/02,23:00,1.101,Real,</t>
  </si>
  <si>
    <t>ES0031408323131005HX0F,2023/10/02,24:00,0.216,Real,</t>
  </si>
  <si>
    <t>ES0031408323131005HX0F,2023/10/03,01:00,0.197,Real,</t>
  </si>
  <si>
    <t>ES0031408323131005HX0F,2023/10/03,02:00,0.118,Real,</t>
  </si>
  <si>
    <t>ES0031408323131005HX0F,2023/10/03,03:00,0.114,Real,</t>
  </si>
  <si>
    <t>ES0031408323131005HX0F,2023/10/03,04:00,0.068,Real,</t>
  </si>
  <si>
    <t>ES0031408323131005HX0F,2023/10/03,05:00,0.107,Real,</t>
  </si>
  <si>
    <t>ES0031408323131005HX0F,2023/10/03,06:00,0.303,Real,</t>
  </si>
  <si>
    <t>ES0031408323131005HX0F,2023/10/03,07:00,0.079,Real,</t>
  </si>
  <si>
    <t>ES0031408323131005HX0F,2023/10/03,08:00,0.116,Real,</t>
  </si>
  <si>
    <t>ES0031408323131005HX0F,2023/10/03,09:00,0.069,Real,</t>
  </si>
  <si>
    <t>ES0031408323131005HX0F,2023/10/03,10:00,0.024,Real,</t>
  </si>
  <si>
    <t>ES0031408323131005HX0F,2023/10/03,11:00,0.088,Real,</t>
  </si>
  <si>
    <t>ES0031408323131005HX0F,2023/10/03,12:00,0.081,Real,</t>
  </si>
  <si>
    <t>ES0031408323131005HX0F,2023/10/03,13:00,0.17,Real,</t>
  </si>
  <si>
    <t>ES0031408323131005HX0F,2023/10/03,14:00,0.3,Real,</t>
  </si>
  <si>
    <t>ES0031408323131005HX0F,2023/10/03,15:00,0.083,Real,</t>
  </si>
  <si>
    <t>ES0031408323131005HX0F,2023/10/03,16:00,0.132,Real,</t>
  </si>
  <si>
    <t>ES0031408323131005HX0F,2023/10/03,17:00,0.113,Real,</t>
  </si>
  <si>
    <t>ES0031408323131005HX0F,2023/10/03,18:00,0.084,Real,</t>
  </si>
  <si>
    <t>ES0031408323131005HX0F,2023/10/03,19:00,0.034,Real,</t>
  </si>
  <si>
    <t>ES0031408323131005HX0F,2023/10/03,20:00,0.892,Real,</t>
  </si>
  <si>
    <t>ES0031408323131005HX0F,2023/10/03,21:00,0.134,Real,</t>
  </si>
  <si>
    <t>ES0031408323131005HX0F,2023/10/03,22:00,0.392,Real,</t>
  </si>
  <si>
    <t>ES0031408323131005HX0F,2023/10/03,23:00,0.371,Real,</t>
  </si>
  <si>
    <t>ES0031408323131005HX0F,2023/10/03,24:00,0.207,Real,</t>
  </si>
  <si>
    <t>ES0031408323131005HX0F,2023/10/04,01:00,0.109,Real,</t>
  </si>
  <si>
    <t>ES0031408323131005HX0F,2023/10/04,02:00,0.073,Real,</t>
  </si>
  <si>
    <t>ES0031408323131005HX0F,2023/10/04,03:00,0.129,Real,</t>
  </si>
  <si>
    <t>ES0031408323131005HX0F,2023/10/04,04:00,0.031,Real,</t>
  </si>
  <si>
    <t>ES0031408323131005HX0F,2023/10/04,05:00,0.102,Real,</t>
  </si>
  <si>
    <t>ES0031408323131005HX0F,2023/10/04,06:00,0.33,Real,</t>
  </si>
  <si>
    <t>ES0031408323131005HX0F,2023/10/04,07:00,0.108,Real,</t>
  </si>
  <si>
    <t>ES0031408323131005HX0F,2023/10/04,08:00,0.026,Real,</t>
  </si>
  <si>
    <t>ES0031408323131005HX0F,2023/10/04,09:00,0.119,Real,</t>
  </si>
  <si>
    <t>ES0031408323131005HX0F,2023/10/04,10:00,0.122,Real,</t>
  </si>
  <si>
    <t>ES0031408323131005HX0F,2023/10/04,11:00,0.107,Real,</t>
  </si>
  <si>
    <t>ES0031408323131005HX0F,2023/10/04,12:00,0.072,Real,</t>
  </si>
  <si>
    <t>ES0031408323131005HX0F,2023/10/04,13:00,0.038,Real,</t>
  </si>
  <si>
    <t>ES0031408323131005HX0F,2023/10/04,14:00,0.375,Real,</t>
  </si>
  <si>
    <t>ES0031408323131005HX0F,2023/10/04,15:00,0.082,Real,</t>
  </si>
  <si>
    <t>ES0031408323131005HX0F,2023/10/04,16:00,0.108,Real,</t>
  </si>
  <si>
    <t>ES0031408323131005HX0F,2023/10/04,17:00,0.028,Real,</t>
  </si>
  <si>
    <t>ES0031408323131005HX0F,2023/10/04,18:00,0.112,Real,</t>
  </si>
  <si>
    <t>ES0031408323131005HX0F,2023/10/04,19:00,0.149,Real,</t>
  </si>
  <si>
    <t>ES0031408323131005HX0F,2023/10/04,20:00,0.378,Real,</t>
  </si>
  <si>
    <t>ES0031408323131005HX0F,2023/10/04,21:00,0.099,Real,</t>
  </si>
  <si>
    <t>ES0031408323131005HX0F,2023/10/04,22:00,0.357,Real,</t>
  </si>
  <si>
    <t>ES0031408323131005HX0F,2023/10/04,23:00,0.111,Real,</t>
  </si>
  <si>
    <t>ES0031408323131005HX0F,2023/10/04,24:00,0.097,Real,</t>
  </si>
  <si>
    <t>ES0031408323131005HX0F,2023/10/05,01:00,0.141,Real,</t>
  </si>
  <si>
    <t>ES0031408323131005HX0F,2023/10/05,02:00,0.02,Real,</t>
  </si>
  <si>
    <t>ES0031408323131005HX0F,2023/10/05,03:00,0.14,Real,</t>
  </si>
  <si>
    <t>ES0031408323131005HX0F,2023/10/05,04:00,0.128,Real,</t>
  </si>
  <si>
    <t>ES0031408323131005HX0F,2023/10/05,05:00,0.111,Real,</t>
  </si>
  <si>
    <t>ES0031408323131005HX0F,2023/10/05,06:00,0.364,Real,</t>
  </si>
  <si>
    <t>ES0031408323131005HX0F,2023/10/05,07:00,0.041,Real,</t>
  </si>
  <si>
    <t>ES0031408323131005HX0F,2023/10/05,08:00,0.118,Real,</t>
  </si>
  <si>
    <t>ES0031408323131005HX0F,2023/10/05,09:00,0.072,Real,</t>
  </si>
  <si>
    <t>ES0031408323131005HX0F,2023/10/05,10:00,0.122,Real,</t>
  </si>
  <si>
    <t>ES0031408323131005HX0F,2023/10/05,11:00,0.067,Real,</t>
  </si>
  <si>
    <t>ES0031408323131005HX0F,2023/10/05,12:00,0.069,Real,</t>
  </si>
  <si>
    <t>ES0031408323131005HX0F,2023/10/05,13:00,0.143,Real,</t>
  </si>
  <si>
    <t>ES0031408323131005HX0F,2023/10/05,14:00,0.33,Real,</t>
  </si>
  <si>
    <t>ES0031408323131005HX0F,2023/10/05,15:00,0.1,Real,</t>
  </si>
  <si>
    <t>ES0031408323131005HX0F,2023/10/05,16:00,0.044,Real,</t>
  </si>
  <si>
    <t>ES0031408323131005HX0F,2023/10/05,17:00,0.111,Real,</t>
  </si>
  <si>
    <t>ES0031408323131005HX0F,2023/10/05,18:00,0.078,Real,</t>
  </si>
  <si>
    <t>ES0031408323131005HX0F,2023/10/05,19:00,0.117,Real,</t>
  </si>
  <si>
    <t>ES0031408323131005HX0F,2023/10/05,20:00,0.309,Real,</t>
  </si>
  <si>
    <t>ES0031408323131005HX0F,2023/10/05,21:00,0.149,Real,</t>
  </si>
  <si>
    <t>ES0031408323131005HX0F,2023/10/05,22:00,0.119,Real,</t>
  </si>
  <si>
    <t>ES0031408323131005HX0F,2023/10/05,23:00,0.104,Real,</t>
  </si>
  <si>
    <t>ES0031408323131005HX0F,2023/10/05,24:00,0.129,Real,</t>
  </si>
  <si>
    <t>ES0031408323131005HX0F,2023/10/06,01:00,0.099,Real,</t>
  </si>
  <si>
    <t>ES0031408323131005HX0F,2023/10/06,02:00,0.015,Real,</t>
  </si>
  <si>
    <t>ES0031408323131005HX0F,2023/10/06,03:00,0.192,Real,</t>
  </si>
  <si>
    <t>ES0031408323131005HX0F,2023/10/06,04:00,0.297,Real,</t>
  </si>
  <si>
    <t>ES0031408323131005HX0F,2023/10/06,05:00,0.084,Real,</t>
  </si>
  <si>
    <t>ES0031408323131005HX0F,2023/10/06,06:00,0.014,Real,</t>
  </si>
  <si>
    <t>ES0031408323131005HX0F,2023/10/06,07:00,0.114,Real,</t>
  </si>
  <si>
    <t>ES0031408323131005HX0F,2023/10/06,08:00,0.112,Real,</t>
  </si>
  <si>
    <t>ES0031408323131005HX0F,2023/10/06,09:00,0.953,Real,</t>
  </si>
  <si>
    <t>ES0031408323131005HX0F,2023/10/06,10:00,0.021,Real,</t>
  </si>
  <si>
    <t>ES0031408323131005HX0F,2023/10/06,11:00,0.113,Real,</t>
  </si>
  <si>
    <t>ES0031408323131005HX0F,2023/10/06,12:00,0.076,Real,</t>
  </si>
  <si>
    <t>ES0031408323131005HX0F,2023/10/06,13:00,0.12,Real,</t>
  </si>
  <si>
    <t>ES0031408323131005HX0F,2023/10/06,14:00,0.048,Real,</t>
  </si>
  <si>
    <t>ES0031408323131005HX0F,2023/10/06,15:00,0.195,Real,</t>
  </si>
  <si>
    <t>ES0031408323131005HX0F,2023/10/06,16:00,0.301,Real,</t>
  </si>
  <si>
    <t>ES0031408323131005HX0F,2023/10/06,17:00,0.11,Real,</t>
  </si>
  <si>
    <t>ES0031408323131005HX0F,2023/10/06,18:00,0.072,Real,</t>
  </si>
  <si>
    <t>ES0031408323131005HX0F,2023/10/06,19:00,0.014,Real,</t>
  </si>
  <si>
    <t>ES0031408323131005HX0F,2023/10/06,20:00,0.139,Real,</t>
  </si>
  <si>
    <t>ES0031408323131005HX0F,2023/10/06,21:00,1.111,Real,</t>
  </si>
  <si>
    <t>ES0031408323131005HX0F,2023/10/06,22:00,0.178,Real,</t>
  </si>
  <si>
    <t>ES0031408323131005HX0F,2023/10/06,23:00,0.11,Real,</t>
  </si>
  <si>
    <t>ES0031408323131005HX0F,2023/10/06,24:00,0.108,Real,</t>
  </si>
  <si>
    <t>ES0031408323131005HX0F,2023/10/07,01:00,0.118,Real,</t>
  </si>
  <si>
    <t>ES0031408323131005HX0F,2023/10/07,02:00,0.125,Real,</t>
  </si>
  <si>
    <t>ES0031408323131005HX0F,2023/10/07,03:00,0.457,Real,</t>
  </si>
  <si>
    <t>ES0031408323131005HX0F,2023/10/07,04:00,0.127,Real,</t>
  </si>
  <si>
    <t>ES0031408323131005HX0F,2023/10/07,05:00,0.015,Real,</t>
  </si>
  <si>
    <t>ES0031408323131005HX0F,2023/10/07,06:00,0.123,Real,</t>
  </si>
  <si>
    <t>ES0031408323131005HX0F,2023/10/07,07:00,0.118,Real,</t>
  </si>
  <si>
    <t>ES0031408323131005HX0F,2023/10/07,08:00,0.086,Real,</t>
  </si>
  <si>
    <t>ES0031408323131005HX0F,2023/10/07,09:00,0.061,Real,</t>
  </si>
  <si>
    <t>ES0031408323131005HX0F,2023/10/07,10:00,0.072,Real,</t>
  </si>
  <si>
    <t>ES0031408323131005HX0F,2023/10/07,11:00,0.084,Real,</t>
  </si>
  <si>
    <t>ES0031408323131005HX0F,2023/10/07,12:00,0.06,Real,</t>
  </si>
  <si>
    <t>ES0031408323131005HX0F,2023/10/07,13:00,0.224,Real,</t>
  </si>
  <si>
    <t>ES0031408323131005HX0F,2023/10/07,14:00,0.265,Real,</t>
  </si>
  <si>
    <t>ES0031408323131005HX0F,2023/10/07,15:00,0.066,Real,</t>
  </si>
  <si>
    <t>ES0031408323131005HX0F,2023/10/07,16:00,0.042,Real,</t>
  </si>
  <si>
    <t>ES0031408323131005HX0F,2023/10/07,17:00,0.075,Real,</t>
  </si>
  <si>
    <t>ES0031408323131005HX0F,2023/10/07,18:00,0.086,Real,</t>
  </si>
  <si>
    <t>ES0031408323131005HX0F,2023/10/07,19:00,0.049,Real,</t>
  </si>
  <si>
    <t>ES0031408323131005HX0F,2023/10/07,20:00,0.083,Real,</t>
  </si>
  <si>
    <t>ES0031408323131005HX0F,2023/10/07,21:00,0.1,Real,</t>
  </si>
  <si>
    <t>ES0031408323131005HX0F,2023/10/07,22:00,0.347,Real,</t>
  </si>
  <si>
    <t>ES0031408323131005HX0F,2023/10/07,23:00,0.093,Real,</t>
  </si>
  <si>
    <t>ES0031408323131005HX0F,2023/10/07,24:00,0.086,Real,</t>
  </si>
  <si>
    <t>ES0031408323131005HX0F,2023/10/08,01:00,0.036,Real,</t>
  </si>
  <si>
    <t>ES0031408323131005HX0F,2023/10/08,02:00,0.13,Real,</t>
  </si>
  <si>
    <t>ES0031408323131005HX0F,2023/10/08,03:00,0.149,Real,</t>
  </si>
  <si>
    <t>ES0031408323131005HX0F,2023/10/08,04:00,0.108,Real,</t>
  </si>
  <si>
    <t>ES0031408323131005HX0F,2023/10/08,05:00,0.127,Real,</t>
  </si>
  <si>
    <t>ES0031408323131005HX0F,2023/10/08,06:00,0.345,Real,</t>
  </si>
  <si>
    <t>ES0031408323131005HX0F,2023/10/08,07:00,0.108,Real,</t>
  </si>
  <si>
    <t>ES0031408323131005HX0F,2023/10/08,08:00,0.092,Real,</t>
  </si>
  <si>
    <t>ES0031408323131005HX0F,2023/10/08,09:00,0.026,Real,</t>
  </si>
  <si>
    <t>ES0031408323131005HX0F,2023/10/08,10:00,0.122,Real,</t>
  </si>
  <si>
    <t>ES0031408323131005HX0F,2023/10/08,11:00,0.075,Real,</t>
  </si>
  <si>
    <t>ES0031408323131005HX0F,2023/10/08,12:00,0.805,Real,</t>
  </si>
  <si>
    <t>ES0031408323131005HX0F,2023/10/08,13:00,0.459,Real,</t>
  </si>
  <si>
    <t>ES0031408323131005HX0F,2023/10/08,14:00,0.079,Real,</t>
  </si>
  <si>
    <t>ES0031408323131005HX0F,2023/10/08,15:00,0.084,Real,</t>
  </si>
  <si>
    <t>ES0031408323131005HX0F,2023/10/08,16:00,0.021,Real,</t>
  </si>
  <si>
    <t>ES0031408323131005HX0F,2023/10/08,17:00,0.118,Real,</t>
  </si>
  <si>
    <t>ES0031408323131005HX0F,2023/10/08,18:00,0.087,Real,</t>
  </si>
  <si>
    <t>ES0031408323131005HX0F,2023/10/08,19:00,0.301,Real,</t>
  </si>
  <si>
    <t>ES0031408323131005HX0F,2023/10/08,20:00,0.122,Real,</t>
  </si>
  <si>
    <t>ES0031408323131005HX0F,2023/10/08,21:00,0.125,Real,</t>
  </si>
  <si>
    <t>ES0031408323131005HX0F,2023/10/08,22:00,0.261,Real,</t>
  </si>
  <si>
    <t>ES0031408323131005HX0F,2023/10/08,23:00,0.797,Real,</t>
  </si>
  <si>
    <t>ES0031408323131005HX0F,2023/10/08,24:00,0.117,Real,</t>
  </si>
  <si>
    <t>ES0031408323131005HX0F,2023/10/09,01:00,0.113,Real,</t>
  </si>
  <si>
    <t>ES0031408323131005HX0F,2023/10/09,02:00,0.11,Real,</t>
  </si>
  <si>
    <t>ES0031408323131005HX0F,2023/10/09,03:00,0.095,Real,</t>
  </si>
  <si>
    <t>ES0031408323131005HX0F,2023/10/09,04:00,0.07,Real,</t>
  </si>
  <si>
    <t>ES0031408323131005HX0F,2023/10/09,05:00,0.289,Real,</t>
  </si>
  <si>
    <t>ES0031408323131005HX0F,2023/10/09,06:00,0.11,Real,</t>
  </si>
  <si>
    <t>ES0031408323131005HX0F,2023/10/09,07:00,0.096,Real,</t>
  </si>
  <si>
    <t>ES0031408323131005HX0F,2023/10/09,08:00,0.097,Real,</t>
  </si>
  <si>
    <t>ES0031408323131005HX0F,2023/10/09,09:00,0.023,Real,</t>
  </si>
  <si>
    <t>ES0031408323131005HX0F,2023/10/09,10:00,0.089,Real,</t>
  </si>
  <si>
    <t>ES0031408323131005HX0F,2023/10/09,11:00,0.094,Real,</t>
  </si>
  <si>
    <t>ES0031408323131005HX0F,2023/10/09,12:00,0.082,Real,</t>
  </si>
  <si>
    <t>ES0031408323131005HX0F,2023/10/09,13:00,0.302,Real,</t>
  </si>
  <si>
    <t>ES0031408323131005HX0F,2023/10/09,14:00,0.126,Real,</t>
  </si>
  <si>
    <t>ES0031408323131005HX0F,2023/10/09,15:00,0.244,Real,</t>
  </si>
  <si>
    <t>ES0031408323131005HX0F,2023/10/09,16:00,0.116,Real,</t>
  </si>
  <si>
    <t>ES0031408323131005HX0F,2023/10/09,17:00,0.113,Real,</t>
  </si>
  <si>
    <t>ES0031408323131005HX0F,2023/10/09,18:00,0.08,Real,</t>
  </si>
  <si>
    <t>ES0031408323131005HX0F,2023/10/09,19:00,0.107,Real,</t>
  </si>
  <si>
    <t>ES0031408323131005HX0F,2023/10/09,20:00,0.109,Real,</t>
  </si>
  <si>
    <t>ES0031408323131005HX0F,2023/10/09,21:00,0.318,Real,</t>
  </si>
  <si>
    <t>ES0031408323131005HX0F,2023/10/09,22:00,0.085,Real,</t>
  </si>
  <si>
    <t>ES0031408323131005HX0F,2023/10/09,23:00,0.09,Real,</t>
  </si>
  <si>
    <t>ES0031408323131005HX0F,2023/10/09,24:00,0.152,Real,</t>
  </si>
  <si>
    <t>ES0031408323131005HX0F,2023/10/10,01:00,0.132,Real,</t>
  </si>
  <si>
    <t>ES0031408323131005HX0F,2023/10/10,02:00,0.121,Real,</t>
  </si>
  <si>
    <t>ES0031408323131005HX0F,2023/10/10,03:00,0.139,Real,</t>
  </si>
  <si>
    <t>ES0031408323131005HX0F,2023/10/10,04:00,0.139,Real,</t>
  </si>
  <si>
    <t>ES0031408323131005HX0F,2023/10/10,05:00,0.21,Real,</t>
  </si>
  <si>
    <t>ES0031408323131005HX0F,2023/10/10,06:00,0.281,Real,</t>
  </si>
  <si>
    <t>ES0031408323131005HX0F,2023/10/10,07:00,0.122,Real,</t>
  </si>
  <si>
    <t>ES0031408323131005HX0F,2023/10/10,08:00,0.121,Real,</t>
  </si>
  <si>
    <t>ES0031408323131005HX0F,2023/10/10,09:00,0.111,Real,</t>
  </si>
  <si>
    <t>ES0031408323131005HX0F,2023/10/10,10:00,0.056,Real,</t>
  </si>
  <si>
    <t>ES0031408323131005HX0F,2023/10/10,11:00,0.103,Real,</t>
  </si>
  <si>
    <t>ES0031408323131005HX0F,2023/10/10,12:00,0.311,Real,</t>
  </si>
  <si>
    <t>ES0031408323131005HX0F,2023/10/10,13:00,0.09,Real,</t>
  </si>
  <si>
    <t>ES0031408323131005HX0F,2023/10/10,14:00,0.113,Real,</t>
  </si>
  <si>
    <t>ES0031408323131005HX0F,2023/10/10,15:00,0.204,Real,</t>
  </si>
  <si>
    <t>ES0031408323131005HX0F,2023/10/10,16:00,0.284,Real,</t>
  </si>
  <si>
    <t>ES0031408323131005HX0F,2023/10/10,17:00,0.216,Real,</t>
  </si>
  <si>
    <t>ES0031408323131005HX0F,2023/10/10,18:00,0.096,Real,</t>
  </si>
  <si>
    <t>ES0031408323131005HX0F,2023/10/10,19:00,0.113,Real,</t>
  </si>
  <si>
    <t>ES0031408323131005HX0F,2023/10/10,20:00,0.413,Real,</t>
  </si>
  <si>
    <t>ES0031408323131005HX0F,2023/10/10,21:00,0.076,Real,</t>
  </si>
  <si>
    <t>ES0031408323131005HX0F,2023/10/10,22:00,1.004,Real,</t>
  </si>
  <si>
    <t>ES0031408323131005HX0F,2023/10/10,23:00,0.144,Real,</t>
  </si>
  <si>
    <t>ES0031408323131005HX0F,2023/10/10,24:00,0.126,Real,</t>
  </si>
  <si>
    <t>ES0031408323131005HX0F,2023/10/11,01:00,0.087,Real,</t>
  </si>
  <si>
    <t>ES0031408323131005HX0F,2023/10/11,02:00,0.092,Real,</t>
  </si>
  <si>
    <t>ES0031408323131005HX0F,2023/10/11,03:00,0.041,Real,</t>
  </si>
  <si>
    <t>ES0031408323131005HX0F,2023/10/11,04:00,0.38,Real,</t>
  </si>
  <si>
    <t>ES0031408323131005HX0F,2023/10/11,05:00,0.075,Real,</t>
  </si>
  <si>
    <t>ES0031408323131005HX0F,2023/10/11,06:00,0.052,Real,</t>
  </si>
  <si>
    <t>ES0031408323131005HX0F,2023/10/11,07:00,0.067,Real,</t>
  </si>
  <si>
    <t>ES0031408323131005HX0F,2023/10/11,08:00,0.099,Real,</t>
  </si>
  <si>
    <t>ES0031408323131005HX0F,2023/10/11,09:00,0.073,Real,</t>
  </si>
  <si>
    <t>ES0031408323131005HX0F,2023/10/11,10:00,0.055,Real,</t>
  </si>
  <si>
    <t>ES0031408323131005HX0F,2023/10/11,11:00,0.103,Real,</t>
  </si>
  <si>
    <t>ES0031408323131005HX0F,2023/10/11,12:00,0.349,Real,</t>
  </si>
  <si>
    <t>ES0031408323131005HX0F,2023/10/11,13:00,0.044,Real,</t>
  </si>
  <si>
    <t>ES0031408323131005HX0F,2023/10/11,14:00,0.116,Real,</t>
  </si>
  <si>
    <t>ES0031408323131005HX0F,2023/10/11,15:00,0.07,Real,</t>
  </si>
  <si>
    <t>ES0031408323131005HX0F,2023/10/11,16:00,0.031,Real,</t>
  </si>
  <si>
    <t>ES0031408323131005HX0F,2023/10/11,17:00,0.13,Real,</t>
  </si>
  <si>
    <t>ES0031408323131005HX0F,2023/10/11,18:00,0.126,Real,</t>
  </si>
  <si>
    <t>ES0031408323131005HX0F,2023/10/11,19:00,0.412,Real,</t>
  </si>
  <si>
    <t>ES0031408323131005HX0F,2023/10/11,20:00,0.112,Real,</t>
  </si>
  <si>
    <t>ES0031408323131005HX0F,2023/10/11,21:00,0.062,Real,</t>
  </si>
  <si>
    <t>ES0031408323131005HX0F,2023/10/11,22:00,0.059,Real,</t>
  </si>
  <si>
    <t>ES0031408323131005HX0F,2023/10/11,23:00,0.083,Real,</t>
  </si>
  <si>
    <t>ES0031408323131005HX0F,2023/10/11,24:00,0.418,Real,</t>
  </si>
  <si>
    <t>ES0031408323131005HX0F,2023/10/12,01:00,0.086,Real,</t>
  </si>
  <si>
    <t>ES0031408323131005HX0F,2023/10/12,02:00,0.045,Real,</t>
  </si>
  <si>
    <t>ES0031408323131005HX0F,2023/10/12,03:00,0.091,Real,</t>
  </si>
  <si>
    <t>ES0031408323131005HX0F,2023/10/12,04:00,0.121,Real,</t>
  </si>
  <si>
    <t>ES0031408323131005HX0F,2023/10/12,05:00,0.072,Real,</t>
  </si>
  <si>
    <t>ES0031408323131005HX0F,2023/10/12,06:00,0.072,Real,</t>
  </si>
  <si>
    <t>ES0031408323131005HX0F,2023/10/12,07:00,0.337,Real,</t>
  </si>
  <si>
    <t>ES0031408323131005HX0F,2023/10/12,08:00,0.11,Real,</t>
  </si>
  <si>
    <t>ES0031408323131005HX0F,2023/10/12,09:00,0.068,Real,</t>
  </si>
  <si>
    <t>ES0031408323131005HX0F,2023/10/12,10:00,0.788,Real,</t>
  </si>
  <si>
    <t>ES0031408323131005HX0F,2023/10/12,11:00,0.118,Real,</t>
  </si>
  <si>
    <t>ES0031408323131005HX0F,2023/10/12,12:00,0.072,Real,</t>
  </si>
  <si>
    <t>ES0031408323131005HX0F,2023/10/12,13:00,0.077,Real,</t>
  </si>
  <si>
    <t>ES0031408323131005HX0F,2023/10/12,14:00,0.124,Real,</t>
  </si>
  <si>
    <t>ES0031408323131005HX0F,2023/10/12,15:00,0.264,Real,</t>
  </si>
  <si>
    <t>ES0031408323131005HX0F,2023/10/12,16:00,0.197,Real,</t>
  </si>
  <si>
    <t>ES0031408323131005HX0F,2023/10/12,17:00,0.066,Real,</t>
  </si>
  <si>
    <t>ES0031408323131005HX0F,2023/10/12,18:00,0.089,Real,</t>
  </si>
  <si>
    <t>ES0031408323131005HX0F,2023/10/12,19:00,0.072,Real,</t>
  </si>
  <si>
    <t>ES0031408323131005HX0F,2023/10/12,20:00,0.234,Real,</t>
  </si>
  <si>
    <t>ES0031408323131005HX0F,2023/10/12,21:00,1.126,Real,</t>
  </si>
  <si>
    <t>ES0031408323131005HX0F,2023/10/12,22:00,0.242,Real,</t>
  </si>
  <si>
    <t>ES0031408323131005HX0F,2023/10/12,23:00,0.246,Real,</t>
  </si>
  <si>
    <t>ES0031408323131005HX0F,2023/10/12,24:00,0.284,Real,</t>
  </si>
  <si>
    <t>ES0031408323131005HX0F,2023/10/13,01:00,0.22,Real,</t>
  </si>
  <si>
    <t>ES0031408323131005HX0F,2023/10/13,02:00,0.124,Real,</t>
  </si>
  <si>
    <t>ES0031408323131005HX0F,2023/10/13,03:00,0.36,Real,</t>
  </si>
  <si>
    <t>ES0031408323131005HX0F,2023/10/13,04:00,0.071,Real,</t>
  </si>
  <si>
    <t>ES0031408323131005HX0F,2023/10/13,05:00,0.053,Real,</t>
  </si>
  <si>
    <t>ES0031408323131005HX0F,2023/10/13,06:00,0.095,Real,</t>
  </si>
  <si>
    <t>ES0031408323131005HX0F,2023/10/13,07:00,0.071,Real,</t>
  </si>
  <si>
    <t>ES0031408323131005HX0F,2023/10/13,08:00,0.056,Real,</t>
  </si>
  <si>
    <t>ES0031408323131005HX0F,2023/10/13,09:00,0.132,Real,</t>
  </si>
  <si>
    <t>ES0031408323131005HX0F,2023/10/13,10:00,0.158,Real,</t>
  </si>
  <si>
    <t>ES0031408323131005HX0F,2023/10/13,11:00,1.397,Real,</t>
  </si>
  <si>
    <t>ES0031408323131005HX0F,2023/10/13,12:00,0.137,Real,</t>
  </si>
  <si>
    <t>ES0031408323131005HX0F,2023/10/13,13:00,0.143,Real,</t>
  </si>
  <si>
    <t>ES0031408323131005HX0F,2023/10/13,14:00,0.175,Real,</t>
  </si>
  <si>
    <t>ES0031408323131005HX0F,2023/10/13,15:00,0.159,Real,</t>
  </si>
  <si>
    <t>ES0031408323131005HX0F,2023/10/13,16:00,0.107,Real,</t>
  </si>
  <si>
    <t>ES0031408323131005HX0F,2023/10/13,17:00,0.373,Real,</t>
  </si>
  <si>
    <t>ES0031408323131005HX0F,2023/10/13,18:00,0.075,Real,</t>
  </si>
  <si>
    <t>ES0031408323131005HX0F,2023/10/13,19:00,0.067,Real,</t>
  </si>
  <si>
    <t>ES0031408323131005HX0F,2023/10/13,20:00,0.143,Real,</t>
  </si>
  <si>
    <t>ES0031408323131005HX0F,2023/10/13,21:00,0.112,Real,</t>
  </si>
  <si>
    <t>ES0031408323131005HX0F,2023/10/13,22:00,0.111,Real,</t>
  </si>
  <si>
    <t>ES0031408323131005HX0F,2023/10/13,23:00,0.111,Real,</t>
  </si>
  <si>
    <t>ES0031408323131005HX0F,2023/10/13,24:00,0.111,Real,</t>
  </si>
  <si>
    <t>ES0031408323131005HX0F,2023/10/14,01:00,0.374,Real,</t>
  </si>
  <si>
    <t>ES0031408323131005HX0F,2023/10/14,02:00,0.088,Real,</t>
  </si>
  <si>
    <t>ES0031408323131005HX0F,2023/10/14,03:00,0.139,Real,</t>
  </si>
  <si>
    <t>ES0031408323131005HX0F,2023/10/14,04:00,0.095,Real,</t>
  </si>
  <si>
    <t>ES0031408323131005HX0F,2023/10/14,05:00,0.039,Real,</t>
  </si>
  <si>
    <t>ES0031408323131005HX0F,2023/10/14,06:00,0.104,Real,</t>
  </si>
  <si>
    <t>ES0031408323131005HX0F,2023/10/14,07:00,0.083,Real,</t>
  </si>
  <si>
    <t>ES0031408323131005HX0F,2023/10/14,08:00,0.028,Real,</t>
  </si>
  <si>
    <t>ES0031408323131005HX0F,2023/10/14,09:00,0.399,Real,</t>
  </si>
  <si>
    <t>ES0031408323131005HX0F,2023/10/14,10:00,0.07,Real,</t>
  </si>
  <si>
    <t>ES0031408323131005HX0F,2023/10/14,11:00,0.052,Real,</t>
  </si>
  <si>
    <t>ES0031408323131005HX0F,2023/10/14,12:00,0.089,Real,</t>
  </si>
  <si>
    <t>ES0031408323131005HX0F,2023/10/14,13:00,0.061,Real,</t>
  </si>
  <si>
    <t>ES0031408323131005HX0F,2023/10/14,14:00,0.079,Real,</t>
  </si>
  <si>
    <t>ES0031408323131005HX0F,2023/10/14,15:00,0.09,Real,</t>
  </si>
  <si>
    <t>ES0031408323131005HX0F,2023/10/14,16:00,0.045,Real,</t>
  </si>
  <si>
    <t>ES0031408323131005HX0F,2023/10/14,17:00,0.82,Real,</t>
  </si>
  <si>
    <t>ES0031408323131005HX0F,2023/10/14,18:00,0.668,Real,</t>
  </si>
  <si>
    <t>ES0031408323131005HX0F,2023/10/14,19:00,0.112,Real,</t>
  </si>
  <si>
    <t>ES0031408323131005HX0F,2023/10/14,20:00,0.404,Real,</t>
  </si>
  <si>
    <t>ES0031408323131005HX0F,2023/10/14,21:00,1.901,Real,</t>
  </si>
  <si>
    <t>ES0031408323131005HX0F,2023/10/14,22:00,0.644,Real,</t>
  </si>
  <si>
    <t>ES0031408323131005HX0F,2023/10/14,23:00,1.014,Real,</t>
  </si>
  <si>
    <t>ES0031408323131005HX0F,2023/10/14,24:00,0.381,Real,</t>
  </si>
  <si>
    <t>ES0031408323131005HX0F,2023/10/15,01:00,0.186,Real,</t>
  </si>
  <si>
    <t>ES0031408323131005HX0F,2023/10/15,02:00,0.319,Real,</t>
  </si>
  <si>
    <t>ES0031408323131005HX0F,2023/10/15,03:00,0.122,Real,</t>
  </si>
  <si>
    <t>ES0031408323131005HX0F,2023/10/15,04:00,0.074,Real,</t>
  </si>
  <si>
    <t>ES0031408323131005HX0F,2023/10/15,05:00,0.035,Real,</t>
  </si>
  <si>
    <t>ES0031408323131005HX0F,2023/10/15,06:00,0.096,Real,</t>
  </si>
  <si>
    <t>ES0031408323131005HX0F,2023/10/15,07:00,0.088,Real,</t>
  </si>
  <si>
    <t>ES0031408323131005HX0F,2023/10/15,08:00,0.049,Real,</t>
  </si>
  <si>
    <t>ES0031408323131005HX0F,2023/10/15,09:00,0.102,Real,</t>
  </si>
  <si>
    <t>ES0031408323131005HX0F,2023/10/15,10:00,0.334,Real,</t>
  </si>
  <si>
    <t>ES0031408323131005HX0F,2023/10/15,11:00,0.756,Real,</t>
  </si>
  <si>
    <t>ES0031408323131005HX0F,2023/10/15,12:00,0.114,Real,</t>
  </si>
  <si>
    <t>ES0031408323131005HX0F,2023/10/15,13:00,0.139,Real,</t>
  </si>
  <si>
    <t>ES0031408323131005HX0F,2023/10/15,14:00,0.33,Real,</t>
  </si>
  <si>
    <t>ES0031408323131005HX0F,2023/10/15,15:00,0.36,Real,</t>
  </si>
  <si>
    <t>ES0031408323131005HX0F,2023/10/15,16:00,0.609,Real,</t>
  </si>
  <si>
    <t>ES0031408323131005HX0F,2023/10/15,17:00,0.322,Real,</t>
  </si>
  <si>
    <t>ES0031408323131005HX0F,2023/10/15,18:00,0.112,Real,</t>
  </si>
  <si>
    <t>ES0031408323131005HX0F,2023/10/15,19:00,0.128,Real,</t>
  </si>
  <si>
    <t>ES0031408323131005HX0F,2023/10/15,20:00,0.091,Real,</t>
  </si>
  <si>
    <t>ES0031408323131005HX0F,2023/10/15,21:00,0.09,Real,</t>
  </si>
  <si>
    <t>ES0031408323131005HX0F,2023/10/15,22:00,0.13,Real,</t>
  </si>
  <si>
    <t>ES0031408323131005HX0F,2023/10/15,23:00,0.378,Real,</t>
  </si>
  <si>
    <t>ES0031408323131005HX0F,2023/10/15,24:00,0.158,Real,</t>
  </si>
  <si>
    <t>ES0031408323131005HX0F,2023/10/16,01:00,0.126,Real,</t>
  </si>
  <si>
    <t>ES0031408323131005HX0F,2023/10/16,02:00,0.377,Real,</t>
  </si>
  <si>
    <t>ES0031408323131005HX0F,2023/10/16,03:00,0.152,Real,</t>
  </si>
  <si>
    <t>ES0031408323131005HX0F,2023/10/16,04:00,0.131,Real,</t>
  </si>
  <si>
    <t>ES0031408323131005HX0F,2023/10/16,05:00,0.119,Real,</t>
  </si>
  <si>
    <t>ES0031408323131005HX0F,2023/10/16,06:00,0.034,Real,</t>
  </si>
  <si>
    <t>ES0031408323131005HX0F,2023/10/16,07:00,0.108,Real,</t>
  </si>
  <si>
    <t>ES0031408323131005HX0F,2023/10/16,08:00,0.142,Real,</t>
  </si>
  <si>
    <t>ES0031408323131005HX0F,2023/10/16,09:00,0.192,Real,</t>
  </si>
  <si>
    <t>ES0031408323131005HX0F,2023/10/16,10:00,0.286,Real,</t>
  </si>
  <si>
    <t>ES0031408323131005HX0F,2023/10/16,11:00,0.087,Real,</t>
  </si>
  <si>
    <t>ES0031408323131005HX0F,2023/10/16,12:00,0.021,Real,</t>
  </si>
  <si>
    <t>ES0031408323131005HX0F,2023/10/16,13:00,0.075,Real,</t>
  </si>
  <si>
    <t>ES0031408323131005HX0F,2023/10/16,14:00,0.105,Real,</t>
  </si>
  <si>
    <t>ES0031408323131005HX0F,2023/10/16,15:00,0.174,Real,</t>
  </si>
  <si>
    <t>ES0031408323131005HX0F,2023/10/16,16:00,0.097,Real,</t>
  </si>
  <si>
    <t>ES0031408323131005HX0F,2023/10/16,17:00,0.326,Real,</t>
  </si>
  <si>
    <t>ES0031408323131005HX0F,2023/10/16,18:00,0.058,Real,</t>
  </si>
  <si>
    <t>ES0031408323131005HX0F,2023/10/16,19:00,0.126,Real,</t>
  </si>
  <si>
    <t>ES0031408323131005HX0F,2023/10/16,20:00,0.114,Real,</t>
  </si>
  <si>
    <t>ES0031408323131005HX0F,2023/10/16,21:00,0.1,Real,</t>
  </si>
  <si>
    <t>ES0031408323131005HX0F,2023/10/16,22:00,0.311,Real,</t>
  </si>
  <si>
    <t>ES0031408323131005HX0F,2023/10/16,23:00,0.421,Real,</t>
  </si>
  <si>
    <t>ES0031408323131005HX0F,2023/10/16,24:00,0.192,Real,</t>
  </si>
  <si>
    <t>ES0031408323131005HX0F,2023/10/17,01:00,0.388,Real,</t>
  </si>
  <si>
    <t>ES0031408323131005HX0F,2023/10/17,02:00,0.105,Real,</t>
  </si>
  <si>
    <t>ES0031408323131005HX0F,2023/10/17,03:00,0.068,Real,</t>
  </si>
  <si>
    <t>ES0031408323131005HX0F,2023/10/17,04:00,0.022,Real,</t>
  </si>
  <si>
    <t>ES0031408323131005HX0F,2023/10/17,05:00,0.097,Real,</t>
  </si>
  <si>
    <t>ES0031408323131005HX0F,2023/10/17,06:00,0.107,Real,</t>
  </si>
  <si>
    <t>ES0031408323131005HX0F,2023/10/17,07:00,0.059,Real,</t>
  </si>
  <si>
    <t>ES0031408323131005HX0F,2023/10/17,08:00,0.397,Real,</t>
  </si>
  <si>
    <t>ES0031408323131005HX0F,2023/10/17,09:00,0.062,Real,</t>
  </si>
  <si>
    <t>ES0031408323131005HX0F,2023/10/17,10:00,0.015,Real,</t>
  </si>
  <si>
    <t>ES0031408323131005HX0F,2023/10/17,11:00,0.114,Real,</t>
  </si>
  <si>
    <t>ES0031408323131005HX0F,2023/10/17,12:00,0.115,Real,</t>
  </si>
  <si>
    <t>ES0031408323131005HX0F,2023/10/17,13:00,0.109,Real,</t>
  </si>
  <si>
    <t>ES0031408323131005HX0F,2023/10/17,14:00,0.082,Real,</t>
  </si>
  <si>
    <t>ES0031408323131005HX0F,2023/10/17,15:00,0.628,Real,</t>
  </si>
  <si>
    <t>ES0031408323131005HX0F,2023/10/17,16:00,0.106,Real,</t>
  </si>
  <si>
    <t>ES0031408323131005HX0F,2023/10/17,17:00,0.049,Real,</t>
  </si>
  <si>
    <t>ES0031408323131005HX0F,2023/10/17,18:00,0.015,Real,</t>
  </si>
  <si>
    <t>ES0031408323131005HX0F,2023/10/17,19:00,0.097,Real,</t>
  </si>
  <si>
    <t>ES0031408323131005HX0F,2023/10/17,20:00,0.78,Real,</t>
  </si>
  <si>
    <t>ES0031408323131005HX0F,2023/10/17,21:00,0.106,Real,</t>
  </si>
  <si>
    <t>ES0031408323131005HX0F,2023/10/17,22:00,1.893,Real,</t>
  </si>
  <si>
    <t>ES0031408323131005HX0F,2023/10/17,23:00,0.333,Real,</t>
  </si>
  <si>
    <t>ES0031408323131005HX0F,2023/10/17,24:00,0.215,Real,</t>
  </si>
  <si>
    <t>ES0031408323131005HX0F,2023/10/18,01:00,0.231,Real,</t>
  </si>
  <si>
    <t>ES0031408323131005HX0F,2023/10/18,02:00,0.517,Real,</t>
  </si>
  <si>
    <t>ES0031408323131005HX0F,2023/10/18,03:00,0.237,Real,</t>
  </si>
  <si>
    <t>ES0031408323131005HX0F,2023/10/18,04:00,0.131,Real,</t>
  </si>
  <si>
    <t>ES0031408323131005HX0F,2023/10/18,05:00,0.204,Real,</t>
  </si>
  <si>
    <t>ES0031408323131005HX0F,2023/10/18,06:00,0.211,Real,</t>
  </si>
  <si>
    <t>ES0031408323131005HX0F,2023/10/18,07:00,0.166,Real,</t>
  </si>
  <si>
    <t>ES0031408323131005HX0F,2023/10/18,08:00,0.123,Real,</t>
  </si>
  <si>
    <t>ES0031408323131005HX0F,2023/10/18,09:00,0.303,Real,</t>
  </si>
  <si>
    <t>ES0031408323131005HX0F,2023/10/18,10:00,0.121,Real,</t>
  </si>
  <si>
    <t>ES0031408323131005HX0F,2023/10/18,11:00,0.144,Real,</t>
  </si>
  <si>
    <t>ES0031408323131005HX0F,2023/10/18,12:00,0.135,Real,</t>
  </si>
  <si>
    <t>ES0031408323131005HX0F,2023/10/18,13:00,0.055,Real,</t>
  </si>
  <si>
    <t>ES0031408323131005HX0F,2023/10/18,14:00,0.087,Real,</t>
  </si>
  <si>
    <t>ES0031408323131005HX0F,2023/10/18,15:00,0.093,Real,</t>
  </si>
  <si>
    <t>ES0031408323131005HX0F,2023/10/18,16:00,0.071,Real,</t>
  </si>
  <si>
    <t>ES0031408323131005HX0F,2023/10/18,17:00,0.306,Real,</t>
  </si>
  <si>
    <t>ES0031408323131005HX0F,2023/10/18,18:00,0.084,Real,</t>
  </si>
  <si>
    <t>ES0031408323131005HX0F,2023/10/18,19:00,0.099,Real,</t>
  </si>
  <si>
    <t>ES0031408323131005HX0F,2023/10/18,20:00,0.165,Real,</t>
  </si>
  <si>
    <t>ES0031408323131005HX0F,2023/10/18,21:00,0.081,Real,</t>
  </si>
  <si>
    <t>ES0031408323131005HX0F,2023/10/18,22:00,0.093,Real,</t>
  </si>
  <si>
    <t>ES0031408323131005HX0F,2023/10/18,23:00,0.111,Real,</t>
  </si>
  <si>
    <t>ES0031408323131005HX0F,2023/10/18,24:00,0.398,Real,</t>
  </si>
  <si>
    <t>ES0031408323131005HX0F,2023/10/19,01:00,0.084,Real,</t>
  </si>
  <si>
    <t>ES0031408323131005HX0F,2023/10/19,02:00,0.026,Real,</t>
  </si>
  <si>
    <t>ES0031408323131005HX0F,2023/10/19,03:00,0.062,Real,</t>
  </si>
  <si>
    <t>ES0031408323131005HX0F,2023/10/19,04:00,0.121,Real,</t>
  </si>
  <si>
    <t>ES0031408323131005HX0F,2023/10/19,05:00,0.075,Real,</t>
  </si>
  <si>
    <t>ES0031408323131005HX0F,2023/10/19,06:00,0.063,Real,</t>
  </si>
  <si>
    <t>ES0031408323131005HX0F,2023/10/19,07:00,0.142,Real,</t>
  </si>
  <si>
    <t>ES0031408323131005HX0F,2023/10/19,08:00,0.782,Real,</t>
  </si>
  <si>
    <t>ES0031408323131005HX0F,2023/10/19,09:00,0.102,Real,</t>
  </si>
  <si>
    <t>ES0031408323131005HX0F,2023/10/19,10:00,0.074,Real,</t>
  </si>
  <si>
    <t>ES0031408323131005HX0F,2023/10/19,11:00,0.014,Real,</t>
  </si>
  <si>
    <t>ES0031408323131005HX0F,2023/10/19,12:00,0.059,Real,</t>
  </si>
  <si>
    <t>ES0031408323131005HX0F,2023/10/19,13:00,0.362,Real,</t>
  </si>
  <si>
    <t>ES0031408323131005HX0F,2023/10/19,14:00,0.075,Real,</t>
  </si>
  <si>
    <t>ES0031408323131005HX0F,2023/10/19,15:00,0.043,Real,</t>
  </si>
  <si>
    <t>ES0031408323131005HX0F,2023/10/19,16:00,0.02,Real,</t>
  </si>
  <si>
    <t>ES0031408323131005HX0F,2023/10/19,17:00,0.112,Real,</t>
  </si>
  <si>
    <t>ES0031408323131005HX0F,2023/10/19,18:00,0.125,Real,</t>
  </si>
  <si>
    <t>ES0031408323131005HX0F,2023/10/19,19:00,0.174,Real,</t>
  </si>
  <si>
    <t>ES0031408323131005HX0F,2023/10/19,20:00,0.524,Real,</t>
  </si>
  <si>
    <t>ES0031408323131005HX0F,2023/10/19,21:00,1.668,Real,</t>
  </si>
  <si>
    <t>ES0031408323131005HX0F,2023/10/19,22:00,2.0,Real,</t>
  </si>
  <si>
    <t>ES0031408323131005HX0F,2023/10/19,23:00,0.306,Real,</t>
  </si>
  <si>
    <t>ES0031408323131005HX0F,2023/10/19,24:00,0.177,Real,</t>
  </si>
  <si>
    <t>ES0031408323131005HX0F,2023/10/20,01:00,0.291,Real,</t>
  </si>
  <si>
    <t>ES0031408323131005HX0F,2023/10/20,02:00,0.015,Real,</t>
  </si>
  <si>
    <t>ES0031408323131005HX0F,2023/10/20,03:00,0.096,Real,</t>
  </si>
  <si>
    <t>ES0031408323131005HX0F,2023/10/20,04:00,0.12,Real,</t>
  </si>
  <si>
    <t>ES0031408323131005HX0F,2023/10/20,05:00,0.052,Real,</t>
  </si>
  <si>
    <t>ES0031408323131005HX0F,2023/10/20,06:00,0.092,Real,</t>
  </si>
  <si>
    <t>ES0031408323131005HX0F,2023/10/20,07:00,0.015,Real,</t>
  </si>
  <si>
    <t>ES0031408323131005HX0F,2023/10/20,08:00,1.067,Real,</t>
  </si>
  <si>
    <t>ES0031408323131005HX0F,2023/10/20,09:00,0.12,Real,</t>
  </si>
  <si>
    <t>ES0031408323131005HX0F,2023/10/20,10:00,0.118,Real,</t>
  </si>
  <si>
    <t>ES0031408323131005HX0F,2023/10/20,11:00,0.112,Real,</t>
  </si>
  <si>
    <t>ES0031408323131005HX0F,2023/10/20,12:00,0.111,Real,</t>
  </si>
  <si>
    <t>ES0031408323131005HX0F,2023/10/20,13:00,0.109,Real,</t>
  </si>
  <si>
    <t>ES0031408323131005HX0F,2023/10/20,14:00,0.383,Real,</t>
  </si>
  <si>
    <t>ES0031408323131005HX0F,2023/10/20,15:00,0.107,Real,</t>
  </si>
  <si>
    <t>ES0031408323131005HX0F,2023/10/20,16:00,0.082,Real,</t>
  </si>
  <si>
    <t>ES0031408323131005HX0F,2023/10/20,17:00,0.014,Real,</t>
  </si>
  <si>
    <t>ES0031408323131005HX0F,2023/10/20,18:00,0.071,Real,</t>
  </si>
  <si>
    <t>ES0031408323131005HX0F,2023/10/20,19:00,0.109,Real,</t>
  </si>
  <si>
    <t>ES0031408323131005HX0F,2023/10/20,20:00,0.611,Real,</t>
  </si>
  <si>
    <t>ES0031408323131005HX0F,2023/10/20,21:00,0.105,Real,</t>
  </si>
  <si>
    <t>ES0031408323131005HX0F,2023/10/20,22:00,0.105,Real,</t>
  </si>
  <si>
    <t>ES0031408323131005HX0F,2023/10/20,23:00,0.086,Real,</t>
  </si>
  <si>
    <t>ES0031408323131005HX0F,2023/10/20,24:00,0.014,Real,</t>
  </si>
  <si>
    <t>ES0031408323131005HX0F,2023/10/21,01:00,0.15,Real,</t>
  </si>
  <si>
    <t>ES0031408323131005HX0F,2023/10/21,02:00,0.321,Real,</t>
  </si>
  <si>
    <t>ES0031408323131005HX0F,2023/10/21,03:00,0.142,Real,</t>
  </si>
  <si>
    <t>ES0031408323131005HX0F,2023/10/21,04:00,0.084,Real,</t>
  </si>
  <si>
    <t>ES0031408323131005HX0F,2023/10/21,05:00,0.053,Real,</t>
  </si>
  <si>
    <t>ES0031408323131005HX0F,2023/10/21,06:00,0.019,Real,</t>
  </si>
  <si>
    <t>ES0031408323131005HX0F,2023/10/21,07:00,0.096,Real,</t>
  </si>
  <si>
    <t>ES0031408323131005HX0F,2023/10/21,08:00,0.091,Real,</t>
  </si>
  <si>
    <t>ES0031408323131005HX0F,2023/10/21,09:00,0.334,Real,</t>
  </si>
  <si>
    <t>ES0031408323131005HX0F,2023/10/21,10:00,0.129,Real,</t>
  </si>
  <si>
    <t>ES0031408323131005HX0F,2023/10/21,11:00,0.092,Real,</t>
  </si>
  <si>
    <t>ES0031408323131005HX0F,2023/10/21,12:00,0.106,Real,</t>
  </si>
  <si>
    <t>ES0031408323131005HX0F,2023/10/21,13:00,0.061,Real,</t>
  </si>
  <si>
    <t>ES0031408323131005HX0F,2023/10/21,14:00,0.331,Real,</t>
  </si>
  <si>
    <t>ES0031408323131005HX0F,2023/10/21,15:00,0.182,Real,</t>
  </si>
  <si>
    <t>ES0031408323131005HX0F,2023/10/21,16:00,0.35,Real,</t>
  </si>
  <si>
    <t>ES0031408323131005HX0F,2023/10/21,17:00,0.322,Real,</t>
  </si>
  <si>
    <t>ES0031408323131005HX0F,2023/10/21,18:00,0.144,Real,</t>
  </si>
  <si>
    <t>ES0031408323131005HX0F,2023/10/21,19:00,0.038,Real,</t>
  </si>
  <si>
    <t>ES0031408323131005HX0F,2023/10/21,20:00,0.52,Real,</t>
  </si>
  <si>
    <t>ES0031408323131005HX0F,2023/10/21,21:00,0.122,Real,</t>
  </si>
  <si>
    <t>ES0031408323131005HX0F,2023/10/21,22:00,1.295,Real,</t>
  </si>
  <si>
    <t>ES0031408323131005HX0F,2023/10/21,23:00,1.645,Real,</t>
  </si>
  <si>
    <t>ES0031408323131005HX0F,2023/10/21,24:00,0.465,Real,</t>
  </si>
  <si>
    <t>ES0031408323131005HX0F,2023/10/22,01:00,0.456,Real,</t>
  </si>
  <si>
    <t>ES0031408323131005HX0F,2023/10/22,02:00,0.245,Real,</t>
  </si>
  <si>
    <t>ES0031408323131005HX0F,2023/10/22,03:00,0.176,Real,</t>
  </si>
  <si>
    <t>ES0031408323131005HX0F,2023/10/22,04:00,0.178,Real,</t>
  </si>
  <si>
    <t>ES0031408323131005HX0F,2023/10/22,05:00,0.084,Real,</t>
  </si>
  <si>
    <t>ES0031408323131005HX0F,2023/10/22,06:00,0.079,Real,</t>
  </si>
  <si>
    <t>ES0031408323131005HX0F,2023/10/22,07:00,0.339,Real,</t>
  </si>
  <si>
    <t>ES0031408323131005HX0F,2023/10/22,08:00,0.032,Real,</t>
  </si>
  <si>
    <t>ES0031408323131005HX0F,2023/10/22,09:00,0.091,Real,</t>
  </si>
  <si>
    <t>ES0031408323131005HX0F,2023/10/22,10:00,0.089,Real,</t>
  </si>
  <si>
    <t>ES0031408323131005HX0F,2023/10/22,11:00,0.026,Real,</t>
  </si>
  <si>
    <t>ES0031408323131005HX0F,2023/10/22,12:00,0.11,Real,</t>
  </si>
  <si>
    <t>ES0031408323131005HX0F,2023/10/22,13:00,0.068,Real,</t>
  </si>
  <si>
    <t>ES0031408323131005HX0F,2023/10/22,14:00,0.324,Real,</t>
  </si>
  <si>
    <t>ES0031408323131005HX0F,2023/10/22,15:00,0.05,Real,</t>
  </si>
  <si>
    <t>ES0031408323131005HX0F,2023/10/22,16:00,0.086,Real,</t>
  </si>
  <si>
    <t>ES0031408323131005HX0F,2023/10/22,17:00,0.082,Real,</t>
  </si>
  <si>
    <t>ES0031408323131005HX0F,2023/10/22,18:00,0.09,Real,</t>
  </si>
  <si>
    <t>ES0031408323131005HX0F,2023/10/22,19:00,0.314,Real,</t>
  </si>
  <si>
    <t>ES0031408323131005HX0F,2023/10/22,20:00,0.562,Real,</t>
  </si>
  <si>
    <t>ES0031408323131005HX0F,2023/10/22,21:00,0.017,Real,</t>
  </si>
  <si>
    <t>ES0031408323131005HX0F,2023/10/22,22:00,0.11,Real,</t>
  </si>
  <si>
    <t>ES0031408323131005HX0F,2023/10/22,23:00,0.073,Real,</t>
  </si>
  <si>
    <t>ES0031408323131005HX0F,2023/10/22,24:00,0.051,Real,</t>
  </si>
  <si>
    <t>ES0031408323131005HX0F,2023/10/23,01:00,0.108,Real,</t>
  </si>
  <si>
    <t>ES0031408323131005HX0F,2023/10/23,02:00,0.078,Real,</t>
  </si>
  <si>
    <t>ES0031408323131005HX0F,2023/10/23,03:00,0.33,Real,</t>
  </si>
  <si>
    <t>ES0031408323131005HX0F,2023/10/23,04:00,0.117,Real,</t>
  </si>
  <si>
    <t>ES0031408323131005HX0F,2023/10/23,05:00,0.076,Real,</t>
  </si>
  <si>
    <t>ES0031408323131005HX0F,2023/10/23,06:00,0.018,Real,</t>
  </si>
  <si>
    <t>ES0031408323131005HX0F,2023/10/23,07:00,0.105,Real,</t>
  </si>
  <si>
    <t>ES0031408323131005HX0F,2023/10/23,08:00,0.298,Real,</t>
  </si>
  <si>
    <t>ES0031408323131005HX0F,2023/10/23,09:00,0.099,Real,</t>
  </si>
  <si>
    <t>ES0031408323131005HX0F,2023/10/23,10:00,0.106,Real,</t>
  </si>
  <si>
    <t>ES0031408323131005HX0F,2023/10/23,11:00,0.076,Real,</t>
  </si>
  <si>
    <t>ES0031408323131005HX0F,2023/10/23,12:00,0.018,Real,</t>
  </si>
  <si>
    <t>ES0031408323131005HX0F,2023/10/23,13:00,0.1,Real,</t>
  </si>
  <si>
    <t>ES0031408323131005HX0F,2023/10/23,14:00,0.08,Real,</t>
  </si>
  <si>
    <t>ES0031408323131005HX0F,2023/10/23,15:00,0.285,Real,</t>
  </si>
  <si>
    <t>ES0031408323131005HX0F,2023/10/23,16:00,0.105,Real,</t>
  </si>
  <si>
    <t>ES0031408323131005HX0F,2023/10/23,17:00,0.114,Real,</t>
  </si>
  <si>
    <t>ES0031408323131005HX0F,2023/10/23,18:00,0.086,Real,</t>
  </si>
  <si>
    <t>ES0031408323131005HX0F,2023/10/23,19:00,0.036,Real,</t>
  </si>
  <si>
    <t>ES0031408323131005HX0F,2023/10/23,20:00,0.072,Real,</t>
  </si>
  <si>
    <t>ES0031408323131005HX0F,2023/10/23,21:00,0.364,Real,</t>
  </si>
  <si>
    <t>ES0031408323131005HX0F,2023/10/23,22:00,0.045,Real,</t>
  </si>
  <si>
    <t>ES0031408323131005HX0F,2023/10/23,23:00,0.063,Real,</t>
  </si>
  <si>
    <t>ES0031408323131005HX0F,2023/10/23,24:00,0.099,Real,</t>
  </si>
  <si>
    <t>ES0031408323131005HX0F,2023/10/24,01:00,0.106,Real,</t>
  </si>
  <si>
    <t>ES0031408323131005HX0F,2023/10/24,02:00,0.017,Real,</t>
  </si>
  <si>
    <t>ES0031408323131005HX0F,2023/10/24,03:00,0.089,Real,</t>
  </si>
  <si>
    <t>ES0031408323131005HX0F,2023/10/24,04:00,0.372,Real,</t>
  </si>
  <si>
    <t>ES0031408323131005HX0F,2023/10/24,05:00,0.061,Real,</t>
  </si>
  <si>
    <t>ES0031408323131005HX0F,2023/10/24,06:00,0.026,Real,</t>
  </si>
  <si>
    <t>ES0031408323131005HX0F,2023/10/24,07:00,0.09,Real,</t>
  </si>
  <si>
    <t>ES0031408323131005HX0F,2023/10/24,08:00,0.081,Real,</t>
  </si>
  <si>
    <t>ES0031408323131005HX0F,2023/10/24,09:00,0.103,Real,</t>
  </si>
  <si>
    <t>ES0031408323131005HX0F,2023/10/24,10:00,0.293,Real,</t>
  </si>
  <si>
    <t>ES0031408323131005HX0F,2023/10/24,11:00,0.088,Real,</t>
  </si>
  <si>
    <t>ES0031408323131005HX0F,2023/10/24,12:00,0.075,Real,</t>
  </si>
  <si>
    <t>ES0031408323131005HX0F,2023/10/24,13:00,0.066,Real,</t>
  </si>
  <si>
    <t>ES0031408323131005HX0F,2023/10/24,14:00,0.014,Real,</t>
  </si>
  <si>
    <t>ES0031408323131005HX0F,2023/10/24,15:00,0.097,Real,</t>
  </si>
  <si>
    <t>ES0031408323131005HX0F,2023/10/24,16:00,0.114,Real,</t>
  </si>
  <si>
    <t>ES0031408323131005HX0F,2023/10/24,17:00,0.337,Real,</t>
  </si>
  <si>
    <t>ES0031408323131005HX0F,2023/10/24,18:00,0.057,Real,</t>
  </si>
  <si>
    <t>ES0031408323131005HX0F,2023/10/24,19:00,0.036,Real,</t>
  </si>
  <si>
    <t>ES0031408323131005HX0F,2023/10/24,20:00,0.136,Real,</t>
  </si>
  <si>
    <t>ES0031408323131005HX0F,2023/10/24,21:00,0.106,Real,</t>
  </si>
  <si>
    <t>ES0031408323131005HX0F,2023/10/24,22:00,0.478,Real,</t>
  </si>
  <si>
    <t>ES0031408323131005HX0F,2023/10/24,23:00,1.989,Real,</t>
  </si>
  <si>
    <t>ES0031408323131005HX0F,2023/10/24,24:00,0.141,Real,</t>
  </si>
  <si>
    <t>ES0031408323131005HX0F,2023/10/25,01:00,0.024,Real,</t>
  </si>
  <si>
    <t>ES0031408323131005HX0F,2023/10/25,02:00,0.101,Real,</t>
  </si>
  <si>
    <t>ES0031408323131005HX0F,2023/10/25,03:00,0.082,Real,</t>
  </si>
  <si>
    <t>ES0031408323131005HX0F,2023/10/25,04:00,0.341,Real,</t>
  </si>
  <si>
    <t>ES0031408323131005HX0F,2023/10/25,05:00,0.042,Real,</t>
  </si>
  <si>
    <t>ES0031408323131005HX0F,2023/10/25,06:00,0.079,Real,</t>
  </si>
  <si>
    <t>ES0031408323131005HX0F,2023/10/25,07:00,0.067,Real,</t>
  </si>
  <si>
    <t>ES0031408323131005HX0F,2023/10/25,08:00,0.065,Real,</t>
  </si>
  <si>
    <t>ES0031408323131005HX0F,2023/10/25,09:00,0.061,Real,</t>
  </si>
  <si>
    <t>ES0031408323131005HX0F,2023/10/25,10:00,0.095,Real,</t>
  </si>
  <si>
    <t>ES0031408323131005HX0F,2023/10/25,11:00,0.353,Real,</t>
  </si>
  <si>
    <t>ES0031408323131005HX0F,2023/10/25,12:00,0.043,Real,</t>
  </si>
  <si>
    <t>ES0031408323131005HX0F,2023/10/25,13:00,0.116,Real,</t>
  </si>
  <si>
    <t>ES0031408323131005HX0F,2023/10/25,14:00,0.095,Real,</t>
  </si>
  <si>
    <t>ES0031408323131005HX0F,2023/10/25,15:00,0.043,Real,</t>
  </si>
  <si>
    <t>ES0031408323131005HX0F,2023/10/25,16:00,0.07,Real,</t>
  </si>
  <si>
    <t>ES0031408323131005HX0F,2023/10/25,17:00,0.351,Real,</t>
  </si>
  <si>
    <t>ES0031408323131005HX0F,2023/10/25,18:00,0.198,Real,</t>
  </si>
  <si>
    <t>ES0031408323131005HX0F,2023/10/25,19:00,0.099,Real,</t>
  </si>
  <si>
    <t>ES0031408323131005HX0F,2023/10/25,20:00,0.121,Real,</t>
  </si>
  <si>
    <t>ES0031408323131005HX0F,2023/10/25,21:00,0.898,Real,</t>
  </si>
  <si>
    <t>ES0031408323131005HX0F,2023/10/25,22:00,0.581,Real,</t>
  </si>
  <si>
    <t>ES0031408323131005HX0F,2023/10/25,23:00,0.329,Real,</t>
  </si>
  <si>
    <t>ES0031408323131005HX0F,2023/10/25,24:00,0.361,Real,</t>
  </si>
  <si>
    <t>ES0031408323131005HX0F,2023/10/26,01:00,0.119,Real,</t>
  </si>
  <si>
    <t>ES0031408323131005HX0F,2023/10/26,02:00,0.116,Real,</t>
  </si>
  <si>
    <t>ES0031408323131005HX0F,2023/10/26,03:00,0.102,Real,</t>
  </si>
  <si>
    <t>ES0031408323131005HX0F,2023/10/26,04:00,0.026,Real,</t>
  </si>
  <si>
    <t>ES0031408323131005HX0F,2023/10/26,05:00,0.098,Real,</t>
  </si>
  <si>
    <t>ES0031408323131005HX0F,2023/10/26,06:00,0.128,Real,</t>
  </si>
  <si>
    <t>ES0031408323131005HX0F,2023/10/26,07:00,0.114,Real,</t>
  </si>
  <si>
    <t>ES0031408323131005HX0F,2023/10/26,08:00,0.36,Real,</t>
  </si>
  <si>
    <t>ES0031408323131005HX0F,2023/10/26,09:00,0.022,Real,</t>
  </si>
  <si>
    <t>ES0031408323131005HX0F,2023/10/26,10:00,0.107,Real,</t>
  </si>
  <si>
    <t>ES0031408323131005HX0F,2023/10/26,11:00,0.097,Real,</t>
  </si>
  <si>
    <t>ES0031408323131005HX0F,2023/10/26,12:00,0.048,Real,</t>
  </si>
  <si>
    <t>ES0031408323131005HX0F,2023/10/26,13:00,0.059,Real,</t>
  </si>
  <si>
    <t>ES0031408323131005HX0F,2023/10/26,14:00,0.09,Real,</t>
  </si>
  <si>
    <t>ES0031408323131005HX0F,2023/10/26,15:00,0.351,Real,</t>
  </si>
  <si>
    <t>ES0031408323131005HX0F,2023/10/26,16:00,0.022,Real,</t>
  </si>
  <si>
    <t>ES0031408323131005HX0F,2023/10/26,17:00,0.088,Real,</t>
  </si>
  <si>
    <t>ES0031408323131005HX0F,2023/10/26,18:00,0.117,Real,</t>
  </si>
  <si>
    <t>ES0031408323131005HX0F,2023/10/26,19:00,0.024,Real,</t>
  </si>
  <si>
    <t>ES0031408323131005HX0F,2023/10/26,20:00,0.21,Real,</t>
  </si>
  <si>
    <t>ES0031408323131005HX0F,2023/10/26,21:00,1.078,Real,</t>
  </si>
  <si>
    <t>ES0031408323131005HX0F,2023/10/26,22:00,0.107,Real,</t>
  </si>
  <si>
    <t>ES0031408323131005HX0F,2023/10/26,23:00,0.106,Real,</t>
  </si>
  <si>
    <t>ES0031408323131005HX0F,2023/10/26,24:00,0.123,Real,</t>
  </si>
  <si>
    <t>ES0031408323131005HX0F,2023/10/27,01:00,0.14,Real,</t>
  </si>
  <si>
    <t>ES0031408323131005HX0F,2023/10/27,02:00,0.387,Real,</t>
  </si>
  <si>
    <t>ES0031408323131005HX0F,2023/10/27,03:00,0.132,Real,</t>
  </si>
  <si>
    <t>ES0031408323131005HX0F,2023/10/27,04:00,0.115,Real,</t>
  </si>
  <si>
    <t>ES0031408323131005HX0F,2023/10/27,05:00,0.014,Real,</t>
  </si>
  <si>
    <t>ES0031408323131005HX0F,2023/10/27,06:00,0.085,Real,</t>
  </si>
  <si>
    <t>ES0031408323131005HX0F,2023/10/27,07:00,0.067,Real,</t>
  </si>
  <si>
    <t>ES0031408323131005HX0F,2023/10/27,08:00,0.067,Real,</t>
  </si>
  <si>
    <t>ES0031408323131005HX0F,2023/10/27,09:00,0.343,Real,</t>
  </si>
  <si>
    <t>ES0031408323131005HX0F,2023/10/27,10:00,0.091,Real,</t>
  </si>
  <si>
    <t>ES0031408323131005HX0F,2023/10/27,11:00,0.068,Real,</t>
  </si>
  <si>
    <t>ES0031408323131005HX0F,2023/10/27,12:00,0.02,Real,</t>
  </si>
  <si>
    <t>ES0031408323131005HX0F,2023/10/27,13:00,0.106,Real,</t>
  </si>
  <si>
    <t>ES0031408323131005HX0F,2023/10/27,14:00,0.096,Real,</t>
  </si>
  <si>
    <t>ES0031408323131005HX0F,2023/10/27,15:00,0.067,Real,</t>
  </si>
  <si>
    <t>ES0031408323131005HX0F,2023/10/27,16:00,0.024,Real,</t>
  </si>
  <si>
    <t>ES0031408323131005HX0F,2023/10/27,17:00,0.394,Real,</t>
  </si>
  <si>
    <t>ES0031408323131005HX0F,2023/10/27,18:00,0.248,Real,</t>
  </si>
  <si>
    <t>ES0031408323131005HX0F,2023/10/27,19:00,0.337,Real,</t>
  </si>
  <si>
    <t>ES0031408323131005HX0F,2023/10/27,20:00,0.423,Real,</t>
  </si>
  <si>
    <t>ES0031408323131005HX0F,2023/10/27,21:00,0.199,Real,</t>
  </si>
  <si>
    <t>ES0031408323131005HX0F,2023/10/27,22:00,1.414,Real,</t>
  </si>
  <si>
    <t>ES0031408323131005HX0F,2023/10/27,23:00,0.853,Real,</t>
  </si>
  <si>
    <t>ES0031408323131005HX0F,2023/10/27,24:00,0.155,Real,</t>
  </si>
  <si>
    <t>ES0031408323131005HX0F,2023/10/28,01:00,0.115,Real,</t>
  </si>
  <si>
    <t>ES0031408323131005HX0F,2023/10/28,02:00,0.036,Real,</t>
  </si>
  <si>
    <t>ES0031408323131005HX0F,2023/10/28,03:00,0.117,Real,</t>
  </si>
  <si>
    <t>ES0031408323131005HX0F,2023/10/28,04:00,0.325,Real,</t>
  </si>
  <si>
    <t>ES0031408323131005HX0F,2023/10/28,05:00,0.095,Real,</t>
  </si>
  <si>
    <t>ES0031408323131005HX0F,2023/10/28,06:00,0.019,Real,</t>
  </si>
  <si>
    <t>ES0031408323131005HX0F,2023/10/28,07:00,0.092,Real,</t>
  </si>
  <si>
    <t>ES0031408323131005HX0F,2023/10/28,08:00,0.085,Real,</t>
  </si>
  <si>
    <t>ES0031408323131005HX0F,2023/10/28,09:00,0.045,Real,</t>
  </si>
  <si>
    <t>ES0031408323131005HX0F,2023/10/28,10:00,0.053,Real,</t>
  </si>
  <si>
    <t>ES0031408323131005HX0F,2023/10/28,11:00,0.372,Real,</t>
  </si>
  <si>
    <t>ES0031408323131005HX0F,2023/10/28,12:00,0.186,Real,</t>
  </si>
  <si>
    <t>ES0031408323131005HX0F,2023/10/28,13:00,0.016,Real,</t>
  </si>
  <si>
    <t>ES0031408323131005HX0F,2023/10/28,14:00,0.357,Real,</t>
  </si>
  <si>
    <t>ES0031408323131005HX0F,2023/10/28,15:00,0.985,Real,</t>
  </si>
  <si>
    <t>ES0031408323131005HX0F,2023/10/28,16:00,0.392,Real,</t>
  </si>
  <si>
    <t>ES0031408323131005HX0F,2023/10/28,17:00,0.16,Real,</t>
  </si>
  <si>
    <t>ES0031408323131005HX0F,2023/10/28,18:00,0.108,Real,</t>
  </si>
  <si>
    <t>ES0031408323131005HX0F,2023/10/28,19:00,0.068,Real,</t>
  </si>
  <si>
    <t>ES0031408323131005HX0F,2023/10/28,20:00,0.3,Real,</t>
  </si>
  <si>
    <t>ES0031408323131005HX0F,2023/10/28,21:00,0.311,Real,</t>
  </si>
  <si>
    <t>ES0031408323131005HX0F,2023/10/28,22:00,1.334,Real,</t>
  </si>
  <si>
    <t>ES0031408323131005HX0F,2023/10/28,23:00,0.18,Real,</t>
  </si>
  <si>
    <t>ES0031408323131005HX0F,2023/10/28,24:00,0.212,Real,</t>
  </si>
  <si>
    <t>ES0031408323131005HX0F,2023/10/29,01:00,0.112,Real,</t>
  </si>
  <si>
    <t>ES0031408323131005HX0F,2023/10/29,02:00,0.112,Real,</t>
  </si>
  <si>
    <t>ES0031408323131005HX0F,2023/10/29,03:00,0.121,Real,</t>
  </si>
  <si>
    <t>ES0031408323131005HX0F,2023/10/29,03:00,0.307,Real,</t>
  </si>
  <si>
    <t>ES0031408323131005HX0F,2023/10/29,04:00,0.019,Real,</t>
  </si>
  <si>
    <t>ES0031408323131005HX0F,2023/10/29,05:00,0.03,Real,</t>
  </si>
  <si>
    <t>ES0031408323131005HX0F,2023/10/29,06:00,0.11,Real,</t>
  </si>
  <si>
    <t>ES0031408323131005HX0F,2023/10/29,07:00,0.129,Real,</t>
  </si>
  <si>
    <t>ES0031408323131005HX0F,2023/10/29,08:00,0.101,Real,</t>
  </si>
  <si>
    <t>ES0031408323131005HX0F,2023/10/29,09:00,0.382,Real,</t>
  </si>
  <si>
    <t>ES0031408323131005HX0F,2023/10/29,10:00,1.114,Real,</t>
  </si>
  <si>
    <t>ES0031408323131005HX0F,2023/10/29,11:00,0.614,Real,</t>
  </si>
  <si>
    <t>ES0031408323131005HX0F,2023/10/29,12:00,0.239,Real,</t>
  </si>
  <si>
    <t>ES0031408323131005HX0F,2023/10/29,13:00,1.328,Real,</t>
  </si>
  <si>
    <t>ES0031408323131005HX0F,2023/10/29,14:00,0.772,Real,</t>
  </si>
  <si>
    <t>ES0031408323131005HX0F,2023/10/29,15:00,0.617,Real,</t>
  </si>
  <si>
    <t>ES0031408323131005HX0F,2023/10/29,16:00,0.861,Real,</t>
  </si>
  <si>
    <t>ES0031408323131005HX0F,2023/10/29,17:00,0.292,Real,</t>
  </si>
  <si>
    <t>ES0031408323131005HX0F,2023/10/29,18:00,0.271,Real,</t>
  </si>
  <si>
    <t>ES0031408323131005HX0F,2023/10/29,19:00,0.239,Real,</t>
  </si>
  <si>
    <t>ES0031408323131005HX0F,2023/10/29,20:00,0.401,Real,</t>
  </si>
  <si>
    <t>ES0031408323131005HX0F,2023/10/29,21:00,0.128,Real,</t>
  </si>
  <si>
    <t>ES0031408323131005HX0F,2023/10/29,22:00,0.014,Real,</t>
  </si>
  <si>
    <t>ES0031408323131005HX0F,2023/10/29,23:00,0.018,Real,</t>
  </si>
  <si>
    <t>ES0031408323131005HX0F,2023/10/29,24:00,0.123,Real,</t>
  </si>
  <si>
    <t>ES0031408323131005HX0F,2023/10/30,01:00,0.127,Real,</t>
  </si>
  <si>
    <t>ES0031408323131005HX0F,2023/10/30,02:00,0.116,Real,</t>
  </si>
  <si>
    <t>ES0031408323131005HX0F,2023/10/30,03:00,0.108,Real,</t>
  </si>
  <si>
    <t>ES0031408323131005HX0F,2023/10/30,04:00,0.398,Real,</t>
  </si>
  <si>
    <t>ES0031408323131005HX0F,2023/10/30,05:00,0.052,Real,</t>
  </si>
  <si>
    <t>ES0031408323131005HX0F,2023/10/30,06:00,0.02,Real,</t>
  </si>
  <si>
    <t>ES0031408323131005HX0F,2023/10/30,07:00,0.094,Real,</t>
  </si>
  <si>
    <t>ES0031408323131005HX0F,2023/10/30,08:00,0.093,Real,</t>
  </si>
  <si>
    <t>ES0031408323131005HX0F,2023/10/30,09:00,0.097,Real,</t>
  </si>
  <si>
    <t>ES0031408323131005HX0F,2023/10/30,10:00,0.305,Real,</t>
  </si>
  <si>
    <t>ES0031408323131005HX0F,2023/10/30,11:00,0.076,Real,</t>
  </si>
  <si>
    <t>ES0031408323131005HX0F,2023/10/30,12:00,0.08,Real,</t>
  </si>
  <si>
    <t>ES0031408323131005HX0F,2023/10/30,13:00,0.058,Real,</t>
  </si>
  <si>
    <t>ES0031408323131005HX0F,2023/10/30,14:00,0.045,Real,</t>
  </si>
  <si>
    <t>ES0031408323131005HX0F,2023/10/30,15:00,0.087,Real,</t>
  </si>
  <si>
    <t>ES0031408323131005HX0F,2023/10/30,16:00,0.079,Real,</t>
  </si>
  <si>
    <t>ES0031408323131005HX0F,2023/10/30,17:00,0.315,Real,</t>
  </si>
  <si>
    <t>ES0031408323131005HX0F,2023/10/30,18:00,0.107,Real,</t>
  </si>
  <si>
    <t>ES0031408323131005HX0F,2023/10/30,19:00,0.092,Real,</t>
  </si>
  <si>
    <t>ES0031408323131005HX0F,2023/10/30,20:00,0.071,Real,</t>
  </si>
  <si>
    <t>ES0031408323131005HX0F,2023/10/30,21:00,0.123,Real,</t>
  </si>
  <si>
    <t>ES0031408323131005HX0F,2023/10/30,22:00,1.424,Real,</t>
  </si>
  <si>
    <t>ES0031408323131005HX0F,2023/10/30,23:00,0.953,Real,</t>
  </si>
  <si>
    <t>ES0031408323131005HX0F,2023/10/30,24:00,0.075,Real,</t>
  </si>
  <si>
    <t>ES0031408323131005HX0F,2023/10/31,01:00,0.069,Real,</t>
  </si>
  <si>
    <t>ES0031408323131005HX0F,2023/10/31,02:00,0.04,Real,</t>
  </si>
  <si>
    <t>ES0031408323131005HX0F,2023/10/31,03:00,0.117,Real,</t>
  </si>
  <si>
    <t>ES0031408323131005HX0F,2023/10/31,04:00,0.343,Real,</t>
  </si>
  <si>
    <t>ES0031408323131005HX0F,2023/10/31,05:00,0.025,Real,</t>
  </si>
  <si>
    <t>ES0031408323131005HX0F,2023/10/31,06:00,0.11,Real,</t>
  </si>
  <si>
    <t>ES0031408323131005HX0F,2023/10/31,07:00,0.06,Real,</t>
  </si>
  <si>
    <t>ES0031408323131005HX0F,2023/10/31,08:00,0.047,Real,</t>
  </si>
  <si>
    <t>ES0031408323131005HX0F,2023/10/31,09:00,0.233,Real,</t>
  </si>
  <si>
    <t>ES0031408323131005HX0F,2023/10/31,10:00,0.126,Real,</t>
  </si>
  <si>
    <t>ES0031408323131005HX0F,2023/10/31,11:00,0.287,Real,</t>
  </si>
  <si>
    <t>ES0031408323131005HX0F,2023/10/31,12:00,0.015,Real,</t>
  </si>
  <si>
    <t>ES0031408323131005HX0F,2023/10/31,13:00,0.083,Real,</t>
  </si>
  <si>
    <t>ES0031408323131005HX0F,2023/10/31,14:00,0.079,Real,</t>
  </si>
  <si>
    <t>ES0031408323131005HX0F,2023/10/31,15:00,0.043,Real,</t>
  </si>
  <si>
    <t>ES0031408323131005HX0F,2023/10/31,16:00,0.057,Real,</t>
  </si>
  <si>
    <t>ES0031408323131005HX0F,2023/10/31,17:00,0.383,Real,</t>
  </si>
  <si>
    <t>ES0031408323131005HX0F,2023/10/31,18:00,0.062,Real,</t>
  </si>
  <si>
    <t>ES0031408323131005HX0F,2023/10/31,19:00,0.074,Real,</t>
  </si>
  <si>
    <t>ES0031408323131005HX0F,2023/10/31,20:00,0.856,Real,</t>
  </si>
  <si>
    <t>ES0031408323131005HX0F,2023/10/31,21:00,0.204,Real,</t>
  </si>
  <si>
    <t>ES0031408323131005HX0F,2023/10/31,22:00,0.154,Real,</t>
  </si>
  <si>
    <t>ES0031408323131005HX0F,2023/10/31,23:00,0.13,Real,</t>
  </si>
  <si>
    <t>ES0031408323131005HX0F,2023/10/31,24:00,0.107,Real,</t>
  </si>
  <si>
    <t>ES0031408323131005HX0F,2023/11/01,01:00,0.311,Real,</t>
  </si>
  <si>
    <t>ES0031408323131005HX0F,2023/11/01,02:00,0.116,Real,</t>
  </si>
  <si>
    <t>ES0031408323131005HX0F,2023/11/01,03:00,0.078,Real,</t>
  </si>
  <si>
    <t>ES0031408323131005HX0F,2023/11/01,04:00,0.022,Real,</t>
  </si>
  <si>
    <t>ES0031408323131005HX0F,2023/11/01,05:00,0.104,Real,</t>
  </si>
  <si>
    <t>ES0031408323131005HX0F,2023/11/01,06:00,0.057,Real,</t>
  </si>
  <si>
    <t>ES0031408323131005HX0F,2023/11/01,07:00,0.026,Real,</t>
  </si>
  <si>
    <t>ES0031408323131005HX0F,2023/11/01,08:00,0.362,Real,</t>
  </si>
  <si>
    <t>ES0031408323131005HX0F,2023/11/01,09:00,0.07,Real,</t>
  </si>
  <si>
    <t>ES0031408323131005HX0F,2023/11/01,10:00,0.058,Real,</t>
  </si>
  <si>
    <t>ES0031408323131005HX0F,2023/11/01,11:00,0.082,Real,</t>
  </si>
  <si>
    <t>ES0031408323131005HX0F,2023/11/01,12:00,0.548,Real,</t>
  </si>
  <si>
    <t>ES0031408323131005HX0F,2023/11/01,13:00,0.74,Real,</t>
  </si>
  <si>
    <t>ES0031408323131005HX0F,2023/11/01,14:00,0.163,Real,</t>
  </si>
  <si>
    <t>ES0031408323131005HX0F,2023/11/01,15:00,0.258,Real,</t>
  </si>
  <si>
    <t>ES0031408323131005HX0F,2023/11/01,16:00,0.159,Real,</t>
  </si>
  <si>
    <t>ES0031408323131005HX0F,2023/11/01,17:00,0.379,Real,</t>
  </si>
  <si>
    <t>ES0031408323131005HX0F,2023/11/01,18:00,0.664,Real,</t>
  </si>
  <si>
    <t>ES0031408323131005HX0F,2023/11/01,19:00,0.159,Real,</t>
  </si>
  <si>
    <t>ES0031408323131005HX0F,2023/11/01,20:00,0.099,Real,</t>
  </si>
  <si>
    <t>ES0031408323131005HX0F,2023/11/01,21:00,0.893,Real,</t>
  </si>
  <si>
    <t>ES0031408323131005HX0F,2023/11/01,22:00,1.399,Real,</t>
  </si>
  <si>
    <t>ES0031408323131005HX0F,2023/11/01,23:00,0.476,Real,</t>
  </si>
  <si>
    <t>ES0031408323131005HX0F,2023/11/01,24:00,0.331,Real,</t>
  </si>
  <si>
    <t>ES0031408323131005HX0F,2023/11/02,01:00,0.201,Real,</t>
  </si>
  <si>
    <t>ES0031408323131005HX0F,2023/11/02,02:00,0.144,Real,</t>
  </si>
  <si>
    <t>ES0031408323131005HX0F,2023/11/02,03:00,0.19,Real,</t>
  </si>
  <si>
    <t>ES0031408323131005HX0F,2023/11/02,04:00,0.1,Real,</t>
  </si>
  <si>
    <t>ES0031408323131005HX0F,2023/11/02,05:00,0.094,Real,</t>
  </si>
  <si>
    <t>ES0031408323131005HX0F,2023/11/02,06:00,0.264,Real,</t>
  </si>
  <si>
    <t>ES0031408323131005HX0F,2023/11/02,07:00,0.151,Real,</t>
  </si>
  <si>
    <t>ES0031408323131005HX0F,2023/11/02,08:00,0.102,Real,</t>
  </si>
  <si>
    <t>ES0031408323131005HX0F,2023/11/02,09:00,0.084,Real,</t>
  </si>
  <si>
    <t>ES0031408323131005HX0F,2023/11/02,10:00,0.015,Real,</t>
  </si>
  <si>
    <t>ES0031408323131005HX0F,2023/11/02,11:00,0.115,Real,</t>
  </si>
  <si>
    <t>ES0031408323131005HX0F,2023/11/02,12:00,0.112,Real,</t>
  </si>
  <si>
    <t>ES0031408323131005HX0F,2023/11/02,13:00,0.367,Real,</t>
  </si>
  <si>
    <t>ES0031408323131005HX0F,2023/11/02,14:00,0.377,Real,</t>
  </si>
  <si>
    <t>ES0031408323131005HX0F,2023/11/02,15:00,0.098,Real,</t>
  </si>
  <si>
    <t>ES0031408323131005HX0F,2023/11/02,16:00,0.084,Real,</t>
  </si>
  <si>
    <t>ES0031408323131005HX0F,2023/11/02,17:00,0.072,Real,</t>
  </si>
  <si>
    <t>ES0031408323131005HX0F,2023/11/02,18:00,0.015,Real,</t>
  </si>
  <si>
    <t>ES0031408323131005HX0F,2023/11/02,19:00,0.079,Real,</t>
  </si>
  <si>
    <t>ES0031408323131005HX0F,2023/11/02,20:00,0.432,Real,</t>
  </si>
  <si>
    <t>ES0031408323131005HX0F,2023/11/02,21:00,2.18,Real,</t>
  </si>
  <si>
    <t>ES0031408323131005HX0F,2023/11/02,22:00,0.464,Real,</t>
  </si>
  <si>
    <t>ES0031408323131005HX0F,2023/11/02,23:00,0.67,Real,</t>
  </si>
  <si>
    <t>ES0031408323131005HX0F,2023/11/02,24:00,0.031,Real,</t>
  </si>
  <si>
    <t>ES0031408323131005HX0F,2023/11/03,01:00,0.083,Real,</t>
  </si>
  <si>
    <t>ES0031408323131005HX0F,2023/11/03,02:00,0.105,Real,</t>
  </si>
  <si>
    <t>ES0031408323131005HX0F,2023/11/03,03:00,0.373,Real,</t>
  </si>
  <si>
    <t>ES0031408323131005HX0F,2023/11/03,04:00,0.088,Real,</t>
  </si>
  <si>
    <t>ES0031408323131005HX0F,2023/11/03,05:00,0.05,Real,</t>
  </si>
  <si>
    <t>ES0031408323131005HX0F,2023/11/03,06:00,0.063,Real,</t>
  </si>
  <si>
    <t>ES0031408323131005HX0F,2023/11/03,07:00,0.12,Real,</t>
  </si>
  <si>
    <t>ES0031408323131005HX0F,2023/11/03,08:00,0.089,Real,</t>
  </si>
  <si>
    <t>ES0031408323131005HX0F,2023/11/03,09:00,0.044,Real,</t>
  </si>
  <si>
    <t>ES0031408323131005HX0F,2023/11/03,10:00,0.033,Real,</t>
  </si>
  <si>
    <t>ES0031408323131005HX0F,2023/11/03,11:00,0.35,Real,</t>
  </si>
  <si>
    <t>ES0031408323131005HX0F,2023/11/03,12:00,0.06,Real,</t>
  </si>
  <si>
    <t>ES0031408323131005HX0F,2023/11/03,13:00,0.033,Real,</t>
  </si>
  <si>
    <t>ES0031408323131005HX0F,2023/11/03,14:00,0.132,Real,</t>
  </si>
  <si>
    <t>ES0031408323131005HX0F,2023/11/03,15:00,0.477,Real,</t>
  </si>
  <si>
    <t>ES0031408323131005HX0F,2023/11/03,16:00,0.522,Real,</t>
  </si>
  <si>
    <t>ES0031408323131005HX0F,2023/11/03,17:00,0.087,Real,</t>
  </si>
  <si>
    <t>ES0031408323131005HX0F,2023/11/03,18:00,0.049,Real,</t>
  </si>
  <si>
    <t>ES0031408323131005HX0F,2023/11/03,19:00,0.512,Real,</t>
  </si>
  <si>
    <t>ES0031408323131005HX0F,2023/11/03,20:00,0.332,Real,</t>
  </si>
  <si>
    <t>ES0031408323131005HX0F,2023/11/03,21:00,0.939,Real,</t>
  </si>
  <si>
    <t>ES0031408323131005HX0F,2023/11/03,22:00,0.051,Real,</t>
  </si>
  <si>
    <t>ES0031408323131005HX0F,2023/11/03,23:00,0.344,Real,</t>
  </si>
  <si>
    <t>ES0031408323131005HX0F,2023/11/03,24:00,0.092,Real,</t>
  </si>
  <si>
    <t>ES0031408323131005HX0F,2023/11/04,01:00,0.063,Real,</t>
  </si>
  <si>
    <t>ES0031408323131005HX0F,2023/11/04,02:00,0.037,Real,</t>
  </si>
  <si>
    <t>ES0031408323131005HX0F,2023/11/04,03:00,0.136,Real,</t>
  </si>
  <si>
    <t>ES0031408323131005HX0F,2023/11/04,04:00,0.102,Real,</t>
  </si>
  <si>
    <t>ES0031408323131005HX0F,2023/11/04,05:00,0.024,Real,</t>
  </si>
  <si>
    <t>ES0031408323131005HX0F,2023/11/04,06:00,0.372,Real,</t>
  </si>
  <si>
    <t>ES0031408323131005HX0F,2023/11/04,07:00,0.094,Real,</t>
  </si>
  <si>
    <t>ES0031408323131005HX0F,2023/11/04,08:00,0.098,Real,</t>
  </si>
  <si>
    <t>ES0031408323131005HX0F,2023/11/04,09:00,0.061,Real,</t>
  </si>
  <si>
    <t>ES0031408323131005HX0F,2023/11/04,10:00,0.45,Real,</t>
  </si>
  <si>
    <t>ES0031408323131005HX0F,2023/11/04,11:00,0.197,Real,</t>
  </si>
  <si>
    <t>ES0031408323131005HX0F,2023/11/04,12:00,0.053,Real,</t>
  </si>
  <si>
    <t>ES0031408323131005HX0F,2023/11/04,13:00,0.073,Real,</t>
  </si>
  <si>
    <t>ES0031408323131005HX0F,2023/11/04,14:00,0.054,Real,</t>
  </si>
  <si>
    <t>ES0031408323131005HX0F,2023/11/04,15:00,0.029,Real,</t>
  </si>
  <si>
    <t>ES0031408323131005HX0F,2023/11/04,16:00,0.383,Real,</t>
  </si>
  <si>
    <t>ES0031408323131005HX0F,2023/11/04,17:00,0.577,Real,</t>
  </si>
  <si>
    <t>ES0031408323131005HX0F,2023/11/04,18:00,0.578,Real,</t>
  </si>
  <si>
    <t>ES0031408323131005HX0F,2023/11/04,19:00,0.076,Real,</t>
  </si>
  <si>
    <t>ES0031408323131005HX0F,2023/11/04,20:00,0.079,Real,</t>
  </si>
  <si>
    <t>ES0031408323131005HX0F,2023/11/04,21:00,0.387,Real,</t>
  </si>
  <si>
    <t>ES0031408323131005HX0F,2023/11/04,22:00,0.722,Real,</t>
  </si>
  <si>
    <t>ES0031408323131005HX0F,2023/11/04,23:00,0.101,Real,</t>
  </si>
  <si>
    <t>ES0031408323131005HX0F,2023/11/04,24:00,0.127,Real,</t>
  </si>
  <si>
    <t>ES0031408323131005HX0F,2023/11/05,01:00,0.112,Real,</t>
  </si>
  <si>
    <t>ES0031408323131005HX0F,2023/11/05,02:00,0.216,Real,</t>
  </si>
  <si>
    <t>ES0031408323131005HX0F,2023/11/05,03:00,0.183,Real,</t>
  </si>
  <si>
    <t>ES0031408323131005HX0F,2023/11/05,04:00,0.038,Real,</t>
  </si>
  <si>
    <t>ES0031408323131005HX0F,2023/11/05,05:00,0.122,Real,</t>
  </si>
  <si>
    <t>ES0031408323131005HX0F,2023/11/05,06:00,0.093,Real,</t>
  </si>
  <si>
    <t>ES0031408323131005HX0F,2023/11/05,07:00,0.066,Real,</t>
  </si>
  <si>
    <t>ES0031408323131005HX0F,2023/11/05,08:00,0.017,Real,</t>
  </si>
  <si>
    <t>ES0031408323131005HX0F,2023/11/05,09:00,0.37,Real,</t>
  </si>
  <si>
    <t>ES0031408323131005HX0F,2023/11/05,10:00,0.069,Real,</t>
  </si>
  <si>
    <t>ES0031408323131005HX0F,2023/11/05,11:00,0.028,Real,</t>
  </si>
  <si>
    <t>ES0031408323131005HX0F,2023/11/05,12:00,0.102,Real,</t>
  </si>
  <si>
    <t>ES0031408323131005HX0F,2023/11/05,13:00,0.072,Real,</t>
  </si>
  <si>
    <t>ES0031408323131005HX0F,2023/11/05,14:00,0.019,Real,</t>
  </si>
  <si>
    <t>ES0031408323131005HX0F,2023/11/05,15:00,0.358,Real,</t>
  </si>
  <si>
    <t>ES0031408323131005HX0F,2023/11/05,16:00,0.628,Real,</t>
  </si>
  <si>
    <t>ES0031408323131005HX0F,2023/11/05,17:00,0.538,Real,</t>
  </si>
  <si>
    <t>ES0031408323131005HX0F,2023/11/05,18:00,0.077,Real,</t>
  </si>
  <si>
    <t>ES0031408323131005HX0F,2023/11/05,19:00,0.331,Real,</t>
  </si>
  <si>
    <t>ES0031408323131005HX0F,2023/11/05,20:00,0.171,Real,</t>
  </si>
  <si>
    <t>ES0031408323131005HX0F,2023/11/05,21:00,0.058,Real,</t>
  </si>
  <si>
    <t>ES0031408323131005HX0F,2023/11/05,22:00,0.078,Real,</t>
  </si>
  <si>
    <t>ES0031408323131005HX0F,2023/11/05,23:00,0.405,Real,</t>
  </si>
  <si>
    <t>ES0031408323131005HX0F,2023/11/05,24:00,0.082,Real,</t>
  </si>
  <si>
    <t>ES0031408323131005HX0F,2023/11/06,01:00,0.306,Real,</t>
  </si>
  <si>
    <t>ES0031408323131005HX0F,2023/11/06,02:00,0.129,Real,</t>
  </si>
  <si>
    <t>ES0031408323131005HX0F,2023/11/06,03:00,0.195,Real,</t>
  </si>
  <si>
    <t>ES0031408323131005HX0F,2023/11/06,04:00,0.234,Real,</t>
  </si>
  <si>
    <t>ES0031408323131005HX0F,2023/11/06,05:00,0.356,Real,</t>
  </si>
  <si>
    <t>ES0031408323131005HX0F,2023/11/06,06:00,0.078,Real,</t>
  </si>
  <si>
    <t>ES0031408323131005HX0F,2023/11/06,07:00,0.02,Real,</t>
  </si>
  <si>
    <t>ES0031408323131005HX0F,2023/11/06,08:00,0.194,Real,</t>
  </si>
  <si>
    <t>ES0031408323131005HX0F,2023/11/06,09:00,0.078,Real,</t>
  </si>
  <si>
    <t>ES0031408323131005HX0F,2023/11/06,10:00,0.301,Real,</t>
  </si>
  <si>
    <t>ES0031408323131005HX0F,2023/11/06,11:00,0.064,Real,</t>
  </si>
  <si>
    <t>ES0031408323131005HX0F,2023/11/06,12:00,0.073,Real,</t>
  </si>
  <si>
    <t>ES0031408323131005HX0F,2023/11/06,13:00,0.073,Real,</t>
  </si>
  <si>
    <t>ES0031408323131005HX0F,2023/11/06,14:00,0.022,Real,</t>
  </si>
  <si>
    <t>ES0031408323131005HX0F,2023/11/06,15:00,0.102,Real,</t>
  </si>
  <si>
    <t>ES0031408323131005HX0F,2023/11/06,16:00,0.365,Real,</t>
  </si>
  <si>
    <t>ES0031408323131005HX0F,2023/11/06,17:00,0.021,Real,</t>
  </si>
  <si>
    <t>ES0031408323131005HX0F,2023/11/06,18:00,0.075,Real,</t>
  </si>
  <si>
    <t>ES0031408323131005HX0F,2023/11/06,19:00,0.074,Real,</t>
  </si>
  <si>
    <t>ES0031408323131005HX0F,2023/11/06,20:00,0.087,Real,</t>
  </si>
  <si>
    <t>ES0031408323131005HX0F,2023/11/06,21:00,0.085,Real,</t>
  </si>
  <si>
    <t>ES0031408323131005HX0F,2023/11/06,22:00,1.446,Real,</t>
  </si>
  <si>
    <t>ES0031408323131005HX0F,2023/11/06,23:00,1.309,Real,</t>
  </si>
  <si>
    <t>ES0031408323131005HX0F,2023/11/06,24:00,0.049,Real,</t>
  </si>
  <si>
    <t>ES0031408323131005HX0F,2023/11/07,01:00,0.092,Real,</t>
  </si>
  <si>
    <t>ES0031408323131005HX0F,2023/11/07,02:00,0.069,Real,</t>
  </si>
  <si>
    <t>ES0031408323131005HX0F,2023/11/07,03:00,0.111,Real,</t>
  </si>
  <si>
    <t>ES0031408323131005HX0F,2023/11/07,04:00,0.386,Real,</t>
  </si>
  <si>
    <t>ES0031408323131005HX0F,2023/11/07,05:00,0.081,Real,</t>
  </si>
  <si>
    <t>ES0031408323131005HX0F,2023/11/07,06:00,0.062,Real,</t>
  </si>
  <si>
    <t>ES0031408323131005HX0F,2023/11/07,07:00,0.061,Real,</t>
  </si>
  <si>
    <t>ES0031408323131005HX0F,2023/11/07,08:00,0.401,Real,</t>
  </si>
  <si>
    <t>ES0031408323131005HX0F,2023/11/07,09:00,0.166,Real,</t>
  </si>
  <si>
    <t>ES0031408323131005HX0F,2023/11/07,10:00,0.037,Real,</t>
  </si>
  <si>
    <t>ES0031408323131005HX0F,2023/11/07,11:00,0.084,Real,</t>
  </si>
  <si>
    <t>ES0031408323131005HX0F,2023/11/07,12:00,0.058,Real,</t>
  </si>
  <si>
    <t>ES0031408323131005HX0F,2023/11/07,13:00,0.047,Real,</t>
  </si>
  <si>
    <t>ES0031408323131005HX0F,2023/11/07,14:00,0.083,Real,</t>
  </si>
  <si>
    <t>ES0031408323131005HX0F,2023/11/07,15:00,0.342,Real,</t>
  </si>
  <si>
    <t>ES0031408323131005HX0F,2023/11/07,16:00,0.051,Real,</t>
  </si>
  <si>
    <t>ES0031408323131005HX0F,2023/11/07,17:00,0.085,Real,</t>
  </si>
  <si>
    <t>ES0031408323131005HX0F,2023/11/07,18:00,0.043,Real,</t>
  </si>
  <si>
    <t>ES0031408323131005HX0F,2023/11/07,19:00,0.057,Real,</t>
  </si>
  <si>
    <t>ES0031408323131005HX0F,2023/11/07,20:00,0.142,Real,</t>
  </si>
  <si>
    <t>ES0031408323131005HX0F,2023/11/07,21:00,0.447,Real,</t>
  </si>
  <si>
    <t>ES0031408323131005HX0F,2023/11/07,22:00,0.292,Real,</t>
  </si>
  <si>
    <t>ES0031408323131005HX0F,2023/11/07,23:00,0.49,Real,</t>
  </si>
  <si>
    <t>ES0031408323131005HX0F,2023/11/07,24:00,0.098,Real,</t>
  </si>
  <si>
    <t>ES0031408323131005HX0F,2023/11/08,01:00,0.042,Real,</t>
  </si>
  <si>
    <t>ES0031408323131005HX0F,2023/11/08,02:00,0.105,Real,</t>
  </si>
  <si>
    <t>ES0031408323131005HX0F,2023/11/08,03:00,0.126,Real,</t>
  </si>
  <si>
    <t>ES0031408323131005HX0F,2023/11/08,04:00,0.128,Real,</t>
  </si>
  <si>
    <t>ES0031408323131005HX0F,2023/11/08,05:00,0.064,Real,</t>
  </si>
  <si>
    <t>ES0031408323131005HX0F,2023/11/08,06:00,0.302,Real,</t>
  </si>
  <si>
    <t>ES0031408323131005HX0F,2023/11/08,07:00,0.075,Real,</t>
  </si>
  <si>
    <t>ES0031408323131005HX0F,2023/11/08,08:00,0.104,Real,</t>
  </si>
  <si>
    <t>ES0031408323131005HX0F,2023/11/08,09:00,0.322,Real,</t>
  </si>
  <si>
    <t>ES0031408323131005HX0F,2023/11/08,10:00,0.06,Real,</t>
  </si>
  <si>
    <t>ES0031408323131005HX0F,2023/11/08,11:00,0.058,Real,</t>
  </si>
  <si>
    <t>ES0031408323131005HX0F,2023/11/08,12:00,0.061,Real,</t>
  </si>
  <si>
    <t>ES0031408323131005HX0F,2023/11/08,13:00,0.017,Real,</t>
  </si>
  <si>
    <t>ES0031408323131005HX0F,2023/11/08,14:00,0.089,Real,</t>
  </si>
  <si>
    <t>ES0031408323131005HX0F,2023/11/08,15:00,0.055,Real,</t>
  </si>
  <si>
    <t>ES0031408323131005HX0F,2023/11/08,16:00,0.302,Real,</t>
  </si>
  <si>
    <t>ES0031408323131005HX0F,2023/11/08,17:00,0.093,Real,</t>
  </si>
  <si>
    <t>ES0031408323131005HX0F,2023/11/08,18:00,0.762,Real,</t>
  </si>
  <si>
    <t>ES0031408323131005HX0F,2023/11/08,19:00,0.523,Real,</t>
  </si>
  <si>
    <t>ES0031408323131005HX0F,2023/11/08,20:00,0.332,Real,</t>
  </si>
  <si>
    <t>ES0031408323131005HX0F,2023/11/08,21:00,1.154,Real,</t>
  </si>
  <si>
    <t>ES0031408323131005HX0F,2023/11/08,22:00,0.028,Real,</t>
  </si>
  <si>
    <t>ES0031408323131005HX0F,2023/11/08,23:00,0.078,Real,</t>
  </si>
  <si>
    <t>ES0031408323131005HX0F,2023/11/08,24:00,0.073,Real,</t>
  </si>
  <si>
    <t>ES0031408323131005HX0F,2023/11/09,01:00,0.069,Real,</t>
  </si>
  <si>
    <t>ES0031408323131005HX0F,2023/11/09,02:00,0.091,Real,</t>
  </si>
  <si>
    <t>ES0031408323131005HX0F,2023/11/09,03:00,0.395,Real,</t>
  </si>
  <si>
    <t>ES0031408323131005HX0F,2023/11/09,04:00,0.069,Real,</t>
  </si>
  <si>
    <t>ES0031408323131005HX0F,2023/11/09,05:00,0.117,Real,</t>
  </si>
  <si>
    <t>ES0031408323131005HX0F,2023/11/09,06:00,0.072,Real,</t>
  </si>
  <si>
    <t>ES0031408323131005HX0F,2023/11/09,07:00,0.033,Real,</t>
  </si>
  <si>
    <t>ES0031408323131005HX0F,2023/11/09,08:00,0.096,Real,</t>
  </si>
  <si>
    <t>ES0031408323131005HX0F,2023/11/09,09:00,0.348,Real,</t>
  </si>
  <si>
    <t>ES0031408323131005HX0F,2023/11/09,10:00,0.032,Real,</t>
  </si>
  <si>
    <t>ES0031408323131005HX0F,2023/11/09,11:00,0.061,Real,</t>
  </si>
  <si>
    <t>ES0031408323131005HX0F,2023/11/09,12:00,0.078,Real,</t>
  </si>
  <si>
    <t>ES0031408323131005HX0F,2023/11/09,13:00,0.044,Real,</t>
  </si>
  <si>
    <t>ES0031408323131005HX0F,2023/11/09,14:00,0.05,Real,</t>
  </si>
  <si>
    <t>ES0031408323131005HX0F,2023/11/09,15:00,0.378,Real,</t>
  </si>
  <si>
    <t>ES0031408323131005HX0F,2023/11/09,16:00,0.063,Real,</t>
  </si>
  <si>
    <t>ES0031408323131005HX0F,2023/11/09,17:00,0.049,Real,</t>
  </si>
  <si>
    <t>ES0031408323131005HX0F,2023/11/09,18:00,0.172,Real,</t>
  </si>
  <si>
    <t>ES0031408323131005HX0F,2023/11/09,19:00,0.066,Real,</t>
  </si>
  <si>
    <t>ES0031408323131005HX0F,2023/11/09,20:00,0.026,Real,</t>
  </si>
  <si>
    <t>ES0031408323131005HX0F,2023/11/09,21:00,0.405,Real,</t>
  </si>
  <si>
    <t>ES0031408323131005HX0F,2023/11/09,22:00,0.303,Real,</t>
  </si>
  <si>
    <t>ES0031408323131005HX0F,2023/11/09,23:00,0.125,Real,</t>
  </si>
  <si>
    <t>ES0031408323131005HX0F,2023/11/09,24:00,0.039,Real,</t>
  </si>
  <si>
    <t>ES0031408323131005HX0F,2023/11/10,01:00,0.065,Real,</t>
  </si>
  <si>
    <t>ES0031408323131005HX0F,2023/11/10,02:00,0.076,Real,</t>
  </si>
  <si>
    <t>ES0031408323131005HX0F,2023/11/10,03:00,0.417,Real,</t>
  </si>
  <si>
    <t>ES0031408323131005HX0F,2023/11/10,04:00,0.054,Real,</t>
  </si>
  <si>
    <t>ES0031408323131005HX0F,2023/11/10,05:00,0.112,Real,</t>
  </si>
  <si>
    <t>ES0031408323131005HX0F,2023/11/10,06:00,0.069,Real,</t>
  </si>
  <si>
    <t>ES0031408323131005HX0F,2023/11/10,07:00,0.038,Real,</t>
  </si>
  <si>
    <t>ES0031408323131005HX0F,2023/11/10,08:00,0.068,Real,</t>
  </si>
  <si>
    <t>ES0031408323131005HX0F,2023/11/10,09:00,0.374,Real,</t>
  </si>
  <si>
    <t>ES0031408323131005HX0F,2023/11/10,10:00,0.06,Real,</t>
  </si>
  <si>
    <t>ES0031408323131005HX0F,2023/11/10,11:00,0.031,Real,</t>
  </si>
  <si>
    <t>ES0031408323131005HX0F,2023/11/10,12:00,0.057,Real,</t>
  </si>
  <si>
    <t>ES0031408323131005HX0F,2023/11/10,13:00,0.07,Real,</t>
  </si>
  <si>
    <t>ES0031408323131005HX0F,2023/11/10,14:00,0.079,Real,</t>
  </si>
  <si>
    <t>ES0031408323131005HX0F,2023/11/10,15:00,0.306,Real,</t>
  </si>
  <si>
    <t>ES0031408323131005HX0F,2023/11/10,16:00,0.08,Real,</t>
  </si>
  <si>
    <t>ES0031408323131005HX0F,2023/11/10,17:00,0.071,Real,</t>
  </si>
  <si>
    <t>ES0031408323131005HX0F,2023/11/10,18:00,0.077,Real,</t>
  </si>
  <si>
    <t>ES0031408323131005HX0F,2023/11/10,19:00,0.015,Real,</t>
  </si>
  <si>
    <t>ES0031408323131005HX0F,2023/11/10,20:00,0.093,Real,</t>
  </si>
  <si>
    <t>ES0031408323131005HX0F,2023/11/10,21:00,0.347,Real,</t>
  </si>
  <si>
    <t>ES0031408323131005HX0F,2023/11/10,22:00,0.042,Real,</t>
  </si>
  <si>
    <t>ES0031408323131005HX0F,2023/11/10,23:00,0.49,Real,</t>
  </si>
  <si>
    <t>ES0031408323131005HX0F,2023/11/10,24:00,0.159,Real,</t>
  </si>
  <si>
    <t>ES0031408323131005HX0F,2023/11/11,01:00,0.189,Real,</t>
  </si>
  <si>
    <t>ES0031408323131005HX0F,2023/11/11,02:00,0.082,Real,</t>
  </si>
  <si>
    <t>ES0031408323131005HX0F,2023/11/11,03:00,0.138,Real,</t>
  </si>
  <si>
    <t>ES0031408323131005HX0F,2023/11/11,04:00,0.139,Real,</t>
  </si>
  <si>
    <t>ES0031408323131005HX0F,2023/11/11,05:00,0.086,Real,</t>
  </si>
  <si>
    <t>ES0031408323131005HX0F,2023/11/11,06:00,0.365,Real,</t>
  </si>
  <si>
    <t>ES0031408323131005HX0F,2023/11/11,07:00,0.025,Real,</t>
  </si>
  <si>
    <t>ES0031408323131005HX0F,2023/11/11,08:00,0.125,Real,</t>
  </si>
  <si>
    <t>ES0031408323131005HX0F,2023/11/11,09:00,0.081,Real,</t>
  </si>
  <si>
    <t>ES0031408323131005HX0F,2023/11/11,10:00,0.04,Real,</t>
  </si>
  <si>
    <t>ES0031408323131005HX0F,2023/11/11,11:00,0.041,Real,</t>
  </si>
  <si>
    <t>ES0031408323131005HX0F,2023/11/11,12:00,0.345,Real,</t>
  </si>
  <si>
    <t>ES0031408323131005HX0F,2023/11/11,13:00,0.096,Real,</t>
  </si>
  <si>
    <t>ES0031408323131005HX0F,2023/11/11,14:00,0.018,Real,</t>
  </si>
  <si>
    <t>ES0031408323131005HX0F,2023/11/11,15:00,0.077,Real,</t>
  </si>
  <si>
    <t>ES0031408323131005HX0F,2023/11/11,16:00,0.075,Real,</t>
  </si>
  <si>
    <t>ES0031408323131005HX0F,2023/11/11,17:00,0.065,Real,</t>
  </si>
  <si>
    <t>ES0031408323131005HX0F,2023/11/11,18:00,0.288,Real,</t>
  </si>
  <si>
    <t>ES0031408323131005HX0F,2023/11/11,19:00,0.412,Real,</t>
  </si>
  <si>
    <t>ES0031408323131005HX0F,2023/11/11,20:00,0.663,Real,</t>
  </si>
  <si>
    <t>ES0031408323131005HX0F,2023/11/11,21:00,0.132,Real,</t>
  </si>
  <si>
    <t>ES0031408323131005HX0F,2023/11/11,22:00,0.094,Real,</t>
  </si>
  <si>
    <t>ES0031408323131005HX0F,2023/11/11,23:00,0.072,Real,</t>
  </si>
  <si>
    <t>ES0031408323131005HX0F,2023/11/11,24:00,0.301,Real,</t>
  </si>
  <si>
    <t>ES0031408323131005HX0F,2023/11/12,01:00,0.052,Real,</t>
  </si>
  <si>
    <t>ES0031408323131005HX0F,2023/11/12,02:00,0.102,Real,</t>
  </si>
  <si>
    <t>ES0031408323131005HX0F,2023/11/12,03:00,0.083,Real,</t>
  </si>
  <si>
    <t>ES0031408323131005HX0F,2023/11/12,04:00,0.038,Real,</t>
  </si>
  <si>
    <t>ES0031408323131005HX0F,2023/11/12,05:00,0.099,Real,</t>
  </si>
  <si>
    <t>ES0031408323131005HX0F,2023/11/12,06:00,0.391,Real,</t>
  </si>
  <si>
    <t>ES0031408323131005HX0F,2023/11/12,07:00,0.071,Real,</t>
  </si>
  <si>
    <t>ES0031408323131005HX0F,2023/11/12,08:00,0.087,Real,</t>
  </si>
  <si>
    <t>ES0031408323131005HX0F,2023/11/12,09:00,0.02,Real,</t>
  </si>
  <si>
    <t>ES0031408323131005HX0F,2023/11/12,10:00,0.1,Real,</t>
  </si>
  <si>
    <t>ES0031408323131005HX0F,2023/11/12,11:00,0.358,Real,</t>
  </si>
  <si>
    <t>ES0031408323131005HX0F,2023/11/12,12:00,0.065,Real,</t>
  </si>
  <si>
    <t>ES0031408323131005HX0F,2023/11/12,13:00,0.022,Real,</t>
  </si>
  <si>
    <t>ES0031408323131005HX0F,2023/11/12,14:00,0.114,Real,</t>
  </si>
  <si>
    <t>ES0031408323131005HX0F,2023/11/12,15:00,0.105,Real,</t>
  </si>
  <si>
    <t>ES0031408323131005HX0F,2023/11/12,16:00,0.104,Real,</t>
  </si>
  <si>
    <t>ES0031408323131005HX0F,2023/11/12,17:00,0.181,Real,</t>
  </si>
  <si>
    <t>ES0031408323131005HX0F,2023/11/12,18:00,0.313,Real,</t>
  </si>
  <si>
    <t>ES0031408323131005HX0F,2023/11/12,19:00,0.051,Real,</t>
  </si>
  <si>
    <t>ES0031408323131005HX0F,2023/11/12,20:00,0.08,Real,</t>
  </si>
  <si>
    <t>ES0031408323131005HX0F,2023/11/12,21:00,0.026,Real,</t>
  </si>
  <si>
    <t>ES0031408323131005HX0F,2023/11/12,22:00,0.105,Real,</t>
  </si>
  <si>
    <t>ES0031408323131005HX0F,2023/11/12,23:00,0.045,Real,</t>
  </si>
  <si>
    <t>ES0031408323131005HX0F,2023/11/12,24:00,0.566,Real,</t>
  </si>
  <si>
    <t>ES0031408323131005HX0F,2023/11/13,01:00,0.122,Real,</t>
  </si>
  <si>
    <t>ES0031408323131005HX0F,2023/11/13,02:00,0.07,Real,</t>
  </si>
  <si>
    <t>ES0031408323131005HX0F,2023/11/13,03:00,0.38,Real,</t>
  </si>
  <si>
    <t>ES0031408323131005HX0F,2023/11/13,04:00,0.077,Real,</t>
  </si>
  <si>
    <t>ES0031408323131005HX0F,2023/11/13,05:00,0.07,Real,</t>
  </si>
  <si>
    <t>ES0031408323131005HX0F,2023/11/13,06:00,0.038,Real,</t>
  </si>
  <si>
    <t>ES0031408323131005HX0F,2023/11/13,07:00,0.059,Real,</t>
  </si>
  <si>
    <t>ES0031408323131005HX0F,2023/11/13,08:00,0.111,Real,</t>
  </si>
  <si>
    <t>ES0031408323131005HX0F,2023/11/13,09:00,0.102,Real,</t>
  </si>
  <si>
    <t>ES0031408323131005HX0F,2023/11/13,10:00,0.283,Real,</t>
  </si>
  <si>
    <t>ES0031408323131005HX0F,2023/11/13,11:00,0.099,Real,</t>
  </si>
  <si>
    <t>ES0031408323131005HX0F,2023/11/13,12:00,0.057,Real,</t>
  </si>
  <si>
    <t>ES0031408323131005HX0F,2023/11/13,13:00,0.047,Real,</t>
  </si>
  <si>
    <t>ES0031408323131005HX0F,2023/11/13,14:00,0.037,Real,</t>
  </si>
  <si>
    <t>ES0031408323131005HX0F,2023/11/13,15:00,0.075,Real,</t>
  </si>
  <si>
    <t>ES0031408323131005HX0F,2023/11/13,16:00,0.345,Real,</t>
  </si>
  <si>
    <t>ES0031408323131005HX0F,2023/11/13,17:00,0.026,Real,</t>
  </si>
  <si>
    <t>ES0031408323131005HX0F,2023/11/13,18:00,0.086,Real,</t>
  </si>
  <si>
    <t>ES0031408323131005HX0F,2023/11/13,19:00,0.059,Real,</t>
  </si>
  <si>
    <t>ES0031408323131005HX0F,2023/11/13,20:00,0.026,Real,</t>
  </si>
  <si>
    <t>ES0031408323131005HX0F,2023/11/13,21:00,0.084,Real,</t>
  </si>
  <si>
    <t>ES0031408323131005HX0F,2023/11/13,22:00,0.06,Real,</t>
  </si>
  <si>
    <t>ES0031408323131005HX0F,2023/11/13,23:00,0.479,Real,</t>
  </si>
  <si>
    <t>ES0031408323131005HX0F,2023/11/13,24:00,0.535,Real,</t>
  </si>
  <si>
    <t>ES0031408323131005HX0F,2023/11/14,01:00,0.123,Real,</t>
  </si>
  <si>
    <t>ES0031408323131005HX0F,2023/11/14,02:00,0.063,Real,</t>
  </si>
  <si>
    <t>ES0031408323131005HX0F,2023/11/14,03:00,0.081,Real,</t>
  </si>
  <si>
    <t>ES0031408323131005HX0F,2023/11/14,04:00,0.118,Real,</t>
  </si>
  <si>
    <t>ES0031408323131005HX0F,2023/11/14,05:00,0.061,Real,</t>
  </si>
  <si>
    <t>ES0031408323131005HX0F,2023/11/14,06:00,0.288,Real,</t>
  </si>
  <si>
    <t>ES0031408323131005HX0F,2023/11/14,07:00,0.064,Real,</t>
  </si>
  <si>
    <t>ES0031408323131005HX0F,2023/11/14,08:00,0.097,Real,</t>
  </si>
  <si>
    <t>ES0031408323131005HX0F,2023/11/14,09:00,0.05,Real,</t>
  </si>
  <si>
    <t>ES0031408323131005HX0F,2023/11/14,10:00,0.015,Real,</t>
  </si>
  <si>
    <t>ES0031408323131005HX0F,2023/11/14,11:00,0.109,Real,</t>
  </si>
  <si>
    <t>ES0031408323131005HX0F,2023/11/14,12:00,0.328,Real,</t>
  </si>
  <si>
    <t>ES0031408323131005HX0F,2023/11/14,13:00,0.019,Real,</t>
  </si>
  <si>
    <t>ES0031408323131005HX0F,2023/11/14,14:00,0.086,Real,</t>
  </si>
  <si>
    <t>ES0031408323131005HX0F,2023/11/14,15:00,0.078,Real,</t>
  </si>
  <si>
    <t>ES0031408323131005HX0F,2023/11/14,16:00,0.026,Real,</t>
  </si>
  <si>
    <t>ES0031408323131005HX0F,2023/11/14,17:00,0.061,Real,</t>
  </si>
  <si>
    <t>ES0031408323131005HX0F,2023/11/14,18:00,0.155,Real,</t>
  </si>
  <si>
    <t>ES0031408323131005HX0F,2023/11/14,19:00,0.258,Real,</t>
  </si>
  <si>
    <t>ES0031408323131005HX0F,2023/11/14,20:00,0.078,Real,</t>
  </si>
  <si>
    <t>ES0031408323131005HX0F,2023/11/14,21:00,0.102,Real,</t>
  </si>
  <si>
    <t>ES0031408323131005HX0F,2023/11/14,22:00,0.073,Real,</t>
  </si>
  <si>
    <t>ES0031408323131005HX0F,2023/11/14,23:00,0.014,Real,</t>
  </si>
  <si>
    <t>ES0031408323131005HX0F,2023/11/14,24:00,0.212,Real,</t>
  </si>
  <si>
    <t>ES0031408323131005HX0F,2023/11/15,01:00,0.342,Real,</t>
  </si>
  <si>
    <t>ES0031408323131005HX0F,2023/11/15,02:00,0.23,Real,</t>
  </si>
  <si>
    <t>ES0031408323131005HX0F,2023/11/15,03:00,0.171,Real,</t>
  </si>
  <si>
    <t>ES0031408323131005HX0F,2023/11/15,04:00,0.155,Real,</t>
  </si>
  <si>
    <t>ES0031408323131005HX0F,2023/11/15,05:00,0.022,Real,</t>
  </si>
  <si>
    <t>ES0031408323131005HX0F,2023/11/15,06:00,0.097,Real,</t>
  </si>
  <si>
    <t>ES0031408323131005HX0F,2023/11/15,07:00,0.336,Real,</t>
  </si>
  <si>
    <t>ES0031408323131005HX0F,2023/11/15,08:00,0.861,Real,</t>
  </si>
  <si>
    <t>ES0031408323131005HX0F,2023/11/15,09:00,0.439,Real,</t>
  </si>
  <si>
    <t>ES0031408323131005HX0F,2023/11/15,10:00,0.975,Real,</t>
  </si>
  <si>
    <t>ES0031408323131005HX0F,2023/11/15,11:00,0.056,Real,</t>
  </si>
  <si>
    <t>ES0031408323131005HX0F,2023/11/15,12:00,0.342,Real,</t>
  </si>
  <si>
    <t>ES0031408323131005HX0F,2023/11/15,13:00,0.018,Real,</t>
  </si>
  <si>
    <t>ES0031408323131005HX0F,2023/11/15,14:00,0.197,Real,</t>
  </si>
  <si>
    <t>ES0031408323131005HX0F,2023/11/15,15:00,0.107,Real,</t>
  </si>
  <si>
    <t>ES0031408323131005HX0F,2023/11/15,16:00,0.041,Real,</t>
  </si>
  <si>
    <t>ES0031408323131005HX0F,2023/11/15,17:00,0.082,Real,</t>
  </si>
  <si>
    <t>ES0031408323131005HX0F,2023/11/15,18:00,0.616,Real,</t>
  </si>
  <si>
    <t>ES0031408323131005HX0F,2023/11/15,19:00,0.235,Real,</t>
  </si>
  <si>
    <t>ES0031408323131005HX0F,2023/11/15,20:00,0.272,Real,</t>
  </si>
  <si>
    <t>ES0031408323131005HX0F,2023/11/15,21:00,0.087,Real,</t>
  </si>
  <si>
    <t>ES0031408323131005HX0F,2023/11/15,22:00,0.034,Real,</t>
  </si>
  <si>
    <t>ES0031408323131005HX0F,2023/11/15,23:00,0.184,Real,</t>
  </si>
  <si>
    <t>ES0031408323131005HX0F,2023/11/15,24:00,0.279,Real,</t>
  </si>
  <si>
    <t>ES0031408323131005HX0F,2023/11/16,01:00,0.244,Real,</t>
  </si>
  <si>
    <t>ES0031408323131005HX0F,2023/11/16,02:00,0.108,Real,</t>
  </si>
  <si>
    <t>ES0031408323131005HX0F,2023/11/16,03:00,0.128,Real,</t>
  </si>
  <si>
    <t>ES0031408323131005HX0F,2023/11/16,04:00,0.081,Real,</t>
  </si>
  <si>
    <t>ES0031408323131005HX0F,2023/11/16,05:00,0.066,Real,</t>
  </si>
  <si>
    <t>ES0031408323131005HX0F,2023/11/16,06:00,0.039,Real,</t>
  </si>
  <si>
    <t>ES0031408323131005HX0F,2023/11/16,07:00,0.286,Real,</t>
  </si>
  <si>
    <t>ES0031408323131005HX0F,2023/11/16,08:00,0.159,Real,</t>
  </si>
  <si>
    <t>ES0031408323131005HX0F,2023/11/16,09:00,0.055,Real,</t>
  </si>
  <si>
    <t>ES0031408323131005HX0F,2023/11/16,10:00,0.083,Real,</t>
  </si>
  <si>
    <t>ES0031408323131005HX0F,2023/11/16,11:00,1.127,Real,</t>
  </si>
  <si>
    <t>ES0031408323131005HX0F,2023/11/16,12:00,1.673,Real,</t>
  </si>
  <si>
    <t>ES0031408323131005HX0F,2023/11/16,13:00,0.078,Real,</t>
  </si>
  <si>
    <t>ES0031408323131005HX0F,2023/11/16,14:00,0.092,Real,</t>
  </si>
  <si>
    <t>ES0031408323131005HX0F,2023/11/16,15:00,0.052,Real,</t>
  </si>
  <si>
    <t>ES0031408323131005HX0F,2023/11/16,16:00,0.316,Real,</t>
  </si>
  <si>
    <t>ES0031408323131005HX0F,2023/11/16,17:00,0.122,Real,</t>
  </si>
  <si>
    <t>ES0031408323131005HX0F,2023/11/16,18:00,0.108,Real,</t>
  </si>
  <si>
    <t>ES0031408323131005HX0F,2023/11/16,19:00,0.117,Real,</t>
  </si>
  <si>
    <t>ES0031408323131005HX0F,2023/11/16,20:00,0.422,Real,</t>
  </si>
  <si>
    <t>ES0031408323131005HX0F,2023/11/16,21:00,0.073,Real,</t>
  </si>
  <si>
    <t>ES0031408323131005HX0F,2023/11/16,22:00,0.206,Real,</t>
  </si>
  <si>
    <t>ES0031408323131005HX0F,2023/11/16,23:00,0.517,Real,</t>
  </si>
  <si>
    <t>ES0031408323131005HX0F,2023/11/16,24:00,0.257,Real,</t>
  </si>
  <si>
    <t>ES0031408323131005HX0F,2023/11/17,01:00,0.176,Real,</t>
  </si>
  <si>
    <t>ES0031408323131005HX0F,2023/11/17,02:00,0.211,Real,</t>
  </si>
  <si>
    <t>ES0031408323131005HX0F,2023/11/17,03:00,0.123,Real,</t>
  </si>
  <si>
    <t>ES0031408323131005HX0F,2023/11/17,04:00,0.04,Real,</t>
  </si>
  <si>
    <t>ES0031408323131005HX0F,2023/11/17,05:00,0.327,Real,</t>
  </si>
  <si>
    <t>ES0031408323131005HX0F,2023/11/17,06:00,0.092,Real,</t>
  </si>
  <si>
    <t>ES0031408323131005HX0F,2023/11/17,07:00,1.372,Real,</t>
  </si>
  <si>
    <t>ES0031408323131005HX0F,2023/11/17,08:00,0.084,Real,</t>
  </si>
  <si>
    <t>ES0031408323131005HX0F,2023/11/17,09:00,0.056,Real,</t>
  </si>
  <si>
    <t>ES0031408323131005HX0F,2023/11/17,10:00,0.12,Real,</t>
  </si>
  <si>
    <t>ES0031408323131005HX0F,2023/11/17,11:00,0.113,Real,</t>
  </si>
  <si>
    <t>ES0031408323131005HX0F,2023/11/17,12:00,0.371,Real,</t>
  </si>
  <si>
    <t>ES0031408323131005HX0F,2023/11/17,13:00,0.025,Real,</t>
  </si>
  <si>
    <t>ES0031408323131005HX0F,2023/11/17,14:00,0.053,Real,</t>
  </si>
  <si>
    <t>ES0031408323131005HX0F,2023/11/17,15:00,0.079,Real,</t>
  </si>
  <si>
    <t>ES0031408323131005HX0F,2023/11/17,16:00,0.051,Real,</t>
  </si>
  <si>
    <t>ES0031408323131005HX0F,2023/11/17,17:00,0.035,Real,</t>
  </si>
  <si>
    <t>ES0031408323131005HX0F,2023/11/17,18:00,0.085,Real,</t>
  </si>
  <si>
    <t>ES0031408323131005HX0F,2023/11/17,19:00,0.387,Real,</t>
  </si>
  <si>
    <t>ES0031408323131005HX0F,2023/11/17,20:00,0.151,Real,</t>
  </si>
  <si>
    <t>ES0031408323131005HX0F,2023/11/17,21:00,0.086,Real,</t>
  </si>
  <si>
    <t>ES0031408323131005HX0F,2023/11/17,22:00,0.42,Real,</t>
  </si>
  <si>
    <t>ES0031408323131005HX0F,2023/11/17,23:00,2.52,Real,</t>
  </si>
  <si>
    <t>ES0031408323131005HX0F,2023/11/17,24:00,0.853,Real,</t>
  </si>
  <si>
    <t>ES0031408323131005HX0F,2023/11/18,01:00,0.572,Real,</t>
  </si>
  <si>
    <t>ES0031408323131005HX0F,2023/11/18,02:00,0.612,Real,</t>
  </si>
  <si>
    <t>ES0031408323131005HX0F,2023/11/18,03:00,0.189,Real,</t>
  </si>
  <si>
    <t>ES0031408323131005HX0F,2023/11/18,04:00,0.061,Real,</t>
  </si>
  <si>
    <t>ES0031408323131005HX0F,2023/11/18,05:00,0.085,Real,</t>
  </si>
  <si>
    <t>ES0031408323131005HX0F,2023/11/18,06:00,0.24,Real,</t>
  </si>
  <si>
    <t>ES0031408323131005HX0F,2023/11/18,07:00,0.22,Real,</t>
  </si>
  <si>
    <t>ES0031408323131005HX0F,2023/11/18,08:00,0.024,Real,</t>
  </si>
  <si>
    <t>ES0031408323131005HX0F,2023/11/18,09:00,0.27,Real,</t>
  </si>
  <si>
    <t>ES0031408323131005HX0F,2023/11/18,10:00,0.107,Real,</t>
  </si>
  <si>
    <t>ES0031408323131005HX0F,2023/11/18,11:00,0.322,Real,</t>
  </si>
  <si>
    <t>ES0031408323131005HX0F,2023/11/18,12:00,0.014,Real,</t>
  </si>
  <si>
    <t>ES0031408323131005HX0F,2023/11/18,13:00,0.047,Real,</t>
  </si>
  <si>
    <t>ES0031408323131005HX0F,2023/11/18,14:00,0.085,Real,</t>
  </si>
  <si>
    <t>ES0031408323131005HX0F,2023/11/18,15:00,0.451,Real,</t>
  </si>
  <si>
    <t>ES0031408323131005HX0F,2023/11/18,16:00,0.037,Real,</t>
  </si>
  <si>
    <t>ES0031408323131005HX0F,2023/11/18,17:00,0.165,Real,</t>
  </si>
  <si>
    <t>ES0031408323131005HX0F,2023/11/18,18:00,0.105,Real,</t>
  </si>
  <si>
    <t>ES0031408323131005HX0F,2023/11/18,19:00,0.095,Real,</t>
  </si>
  <si>
    <t>ES0031408323131005HX0F,2023/11/18,20:00,0.049,Real,</t>
  </si>
  <si>
    <t>ES0031408323131005HX0F,2023/11/18,21:00,1.119,Real,</t>
  </si>
  <si>
    <t>ES0031408323131005HX0F,2023/11/18,22:00,0.769,Real,</t>
  </si>
  <si>
    <t>ES0031408323131005HX0F,2023/11/18,23:00,0.025,Real,</t>
  </si>
  <si>
    <t>ES0031408323131005HX0F,2023/11/18,24:00,0.14,Real,</t>
  </si>
  <si>
    <t>ES0031408323131005HX0F,2023/11/19,01:00,0.108,Real,</t>
  </si>
  <si>
    <t>ES0031408323131005HX0F,2023/11/19,02:00,0.081,Real,</t>
  </si>
  <si>
    <t>ES0031408323131005HX0F,2023/11/19,03:00,0.379,Real,</t>
  </si>
  <si>
    <t>ES0031408323131005HX0F,2023/11/19,04:00,0.117,Real,</t>
  </si>
  <si>
    <t>ES0031408323131005HX0F,2023/11/19,05:00,0.062,Real,</t>
  </si>
  <si>
    <t>ES0031408323131005HX0F,2023/11/19,06:00,0.072,Real,</t>
  </si>
  <si>
    <t>ES0031408323131005HX0F,2023/11/19,07:00,0.022,Real,</t>
  </si>
  <si>
    <t>ES0031408323131005HX0F,2023/11/19,08:00,0.089,Real,</t>
  </si>
  <si>
    <t>ES0031408323131005HX0F,2023/11/19,09:00,0.338,Real,</t>
  </si>
  <si>
    <t>ES0031408323131005HX0F,2023/11/19,10:00,0.076,Real,</t>
  </si>
  <si>
    <t>ES0031408323131005HX0F,2023/11/19,11:00,0.052,Real,</t>
  </si>
  <si>
    <t>ES0031408323131005HX0F,2023/11/19,12:00,0.11,Real,</t>
  </si>
  <si>
    <t>ES0031408323131005HX0F,2023/11/19,13:00,0.068,Real,</t>
  </si>
  <si>
    <t>ES0031408323131005HX0F,2023/11/19,14:00,0.332,Real,</t>
  </si>
  <si>
    <t>ES0031408323131005HX0F,2023/11/19,15:00,0.928,Real,</t>
  </si>
  <si>
    <t>ES0031408323131005HX0F,2023/11/19,16:00,0.109,Real,</t>
  </si>
  <si>
    <t>ES0031408323131005HX0F,2023/11/19,17:00,0.065,Real,</t>
  </si>
  <si>
    <t>ES0031408323131005HX0F,2023/11/19,18:00,0.557,Real,</t>
  </si>
  <si>
    <t>ES0031408323131005HX0F,2023/11/19,19:00,0.289,Real,</t>
  </si>
  <si>
    <t>ES0031408323131005HX0F,2023/11/19,20:00,0.26,Real,</t>
  </si>
  <si>
    <t>ES0031408323131005HX0F,2023/11/19,21:00,0.177,Real,</t>
  </si>
  <si>
    <t>ES0031408323131005HX0F,2023/11/19,22:00,0.142,Real,</t>
  </si>
  <si>
    <t>ES0031408323131005HX0F,2023/11/19,23:00,0.117,Real,</t>
  </si>
  <si>
    <t>ES0031408323131005HX0F,2023/11/19,24:00,0.066,Real,</t>
  </si>
  <si>
    <t>ES0031408323131005HX0F,2023/11/20,01:00,0.11,Real,</t>
  </si>
  <si>
    <t>ES0031408323131005HX0F,2023/11/20,02:00,0.349,Real,</t>
  </si>
  <si>
    <t>ES0031408323131005HX0F,2023/11/20,03:00,0.13,Real,</t>
  </si>
  <si>
    <t>ES0031408323131005HX0F,2023/11/20,04:00,0.065,Real,</t>
  </si>
  <si>
    <t>ES0031408323131005HX0F,2023/11/20,05:00,0.039,Real,</t>
  </si>
  <si>
    <t>ES0031408323131005HX0F,2023/11/20,06:00,0.062,Real,</t>
  </si>
  <si>
    <t>ES0031408323131005HX0F,2023/11/20,07:00,0.26,Real,</t>
  </si>
  <si>
    <t>ES0031408323131005HX0F,2023/11/20,08:00,0.206,Real,</t>
  </si>
  <si>
    <t>ES0031408323131005HX0F,2023/11/20,09:00,0.018,Real,</t>
  </si>
  <si>
    <t>ES0031408323131005HX0F,2023/11/20,10:00,0.106,Real,</t>
  </si>
  <si>
    <t>ES0031408323131005HX0F,2023/11/20,11:00,0.068,Real,</t>
  </si>
  <si>
    <t>ES0031408323131005HX0F,2023/11/20,12:00,0.081,Real,</t>
  </si>
  <si>
    <t>ES0031408323131005HX0F,2023/11/20,13:00,0.292,Real,</t>
  </si>
  <si>
    <t>ES0031408323131005HX0F,2023/11/20,14:00,0.078,Real,</t>
  </si>
  <si>
    <t>ES0031408323131005HX0F,2023/11/20,15:00,0.093,Real,</t>
  </si>
  <si>
    <t>ES0031408323131005HX0F,2023/11/20,16:00,0.02,Real,</t>
  </si>
  <si>
    <t>ES0031408323131005HX0F,2023/11/20,17:00,0.075,Real,</t>
  </si>
  <si>
    <t>ES0031408323131005HX0F,2023/11/20,18:00,0.068,Real,</t>
  </si>
  <si>
    <t>ES0031408323131005HX0F,2023/11/20,19:00,0.414,Real,</t>
  </si>
  <si>
    <t>ES0031408323131005HX0F,2023/11/20,20:00,0.015,Real,</t>
  </si>
  <si>
    <t>ES0031408323131005HX0F,2023/11/20,21:00,0.091,Real,</t>
  </si>
  <si>
    <t>ES0031408323131005HX0F,2023/11/20,22:00,0.25,Real,</t>
  </si>
  <si>
    <t>ES0031408323131005HX0F,2023/11/20,23:00,0.464,Real,</t>
  </si>
  <si>
    <t>ES0031408323131005HX0F,2023/11/20,24:00,0.128,Real,</t>
  </si>
  <si>
    <t>ES0031408323131005HX0F,2023/11/21,01:00,0.109,Real,</t>
  </si>
  <si>
    <t>ES0031408323131005HX0F,2023/11/21,02:00,0.11,Real,</t>
  </si>
  <si>
    <t>ES0031408323131005HX0F,2023/11/21,03:00,0.084,Real,</t>
  </si>
  <si>
    <t>ES0031408323131005HX0F,2023/11/21,04:00,0.346,Real,</t>
  </si>
  <si>
    <t>ES0031408323131005HX0F,2023/11/21,05:00,0.039,Real,</t>
  </si>
  <si>
    <t>ES0031408323131005HX0F,2023/11/21,06:00,0.026,Real,</t>
  </si>
  <si>
    <t>ES0031408323131005HX0F,2023/11/21,07:00,0.098,Real,</t>
  </si>
  <si>
    <t>ES0031408323131005HX0F,2023/11/21,08:00,0.064,Real,</t>
  </si>
  <si>
    <t>ES0031408323131005HX0F,2023/11/21,09:00,0.034,Real,</t>
  </si>
  <si>
    <t>ES0031408323131005HX0F,2023/11/21,10:00,0.328,Real,</t>
  </si>
  <si>
    <t>ES0031408323131005HX0F,2023/11/21,11:00,0.082,Real,</t>
  </si>
  <si>
    <t>ES0031408323131005HX0F,2023/11/21,12:00,0.059,Real,</t>
  </si>
  <si>
    <t>ES0031408323131005HX0F,2023/11/21,13:00,0.02,Real,</t>
  </si>
  <si>
    <t>ES0031408323131005HX0F,2023/11/21,14:00,0.069,Real,</t>
  </si>
  <si>
    <t>ES0031408323131005HX0F,2023/11/21,15:00,0.06,Real,</t>
  </si>
  <si>
    <t>ES0031408323131005HX0F,2023/11/21,16:00,0.235,Real,</t>
  </si>
  <si>
    <t>ES0031408323131005HX0F,2023/11/21,17:00,0.12,Real,</t>
  </si>
  <si>
    <t>ES0031408323131005HX0F,2023/11/21,18:00,0.083,Real,</t>
  </si>
  <si>
    <t>ES0031408323131005HX0F,2023/11/21,19:00,0.117,Real,</t>
  </si>
  <si>
    <t>ES0031408323131005HX0F,2023/11/21,20:00,0.432,Real,</t>
  </si>
  <si>
    <t>ES0031408323131005HX0F,2023/11/21,21:00,0.553,Real,</t>
  </si>
  <si>
    <t>ES0031408323131005HX0F,2023/11/21,22:00,0.596,Real,</t>
  </si>
  <si>
    <t>ES0031408323131005HX0F,2023/11/21,23:00,1.037,Real,</t>
  </si>
  <si>
    <t>ES0031408323131005HX0F,2023/11/21,24:00,0.52,Real,</t>
  </si>
  <si>
    <t>ES0031408323131005HX0F,2023/11/22,01:00,0.426,Real,</t>
  </si>
  <si>
    <t>ES0031408323131005HX0F,2023/11/22,02:00,0.123,Real,</t>
  </si>
  <si>
    <t>ES0031408323131005HX0F,2023/11/22,03:00,0.114,Real,</t>
  </si>
  <si>
    <t>ES0031408323131005HX0F,2023/11/22,04:00,0.199,Real,</t>
  </si>
  <si>
    <t>ES0031408323131005HX0F,2023/11/22,05:00,0.197,Real,</t>
  </si>
  <si>
    <t>ES0031408323131005HX0F,2023/11/22,06:00,0.018,Real,</t>
  </si>
  <si>
    <t>ES0031408323131005HX0F,2023/11/22,07:00,0.086,Real,</t>
  </si>
  <si>
    <t>ES0031408323131005HX0F,2023/11/22,08:00,0.063,Real,</t>
  </si>
  <si>
    <t>ES0031408323131005HX0F,2023/11/22,09:00,0.06,Real,</t>
  </si>
  <si>
    <t>ES0031408323131005HX0F,2023/11/22,10:00,0.015,Real,</t>
  </si>
  <si>
    <t>ES0031408323131005HX0F,2023/11/22,11:00,0.368,Real,</t>
  </si>
  <si>
    <t>ES0031408323131005HX0F,2023/11/22,12:00,0.057,Real,</t>
  </si>
  <si>
    <t>ES0031408323131005HX0F,2023/11/22,13:00,0.017,Real,</t>
  </si>
  <si>
    <t>ES0031408323131005HX0F,2023/11/22,14:00,0.053,Real,</t>
  </si>
  <si>
    <t>ES0031408323131005HX0F,2023/11/22,15:00,0.076,Real,</t>
  </si>
  <si>
    <t>ES0031408323131005HX0F,2023/11/22,16:00,0.044,Real,</t>
  </si>
  <si>
    <t>ES0031408323131005HX0F,2023/11/22,17:00,0.33,Real,</t>
  </si>
  <si>
    <t>ES0031408323131005HX0F,2023/11/22,18:00,0.083,Real,</t>
  </si>
  <si>
    <t>ES0031408323131005HX0F,2023/11/22,19:00,0.235,Real,</t>
  </si>
  <si>
    <t>ES0031408323131005HX0F,2023/11/22,20:00,0.278,Real,</t>
  </si>
  <si>
    <t>ES0031408323131005HX0F,2023/11/22,21:00,1.224,Real,</t>
  </si>
  <si>
    <t>ES0031408323131005HX0F,2023/11/22,22:00,0.539,Real,</t>
  </si>
  <si>
    <t>ES0031408323131005HX0F,2023/11/22,23:00,0.095,Real,</t>
  </si>
  <si>
    <t>ES0031408323131005HX0F,2023/11/22,24:00,0.069,Real,</t>
  </si>
  <si>
    <t>ES0031408323131005HX0F,2023/11/23,01:00,0.024,Real,</t>
  </si>
  <si>
    <t>ES0031408323131005HX0F,2023/11/23,02:00,0.082,Real,</t>
  </si>
  <si>
    <t>ES0031408323131005HX0F,2023/11/23,03:00,0.355,Real,</t>
  </si>
  <si>
    <t>ES0031408323131005HX0F,2023/11/23,04:00,0.056,Real,</t>
  </si>
  <si>
    <t>ES0031408323131005HX0F,2023/11/23,05:00,0.018,Real,</t>
  </si>
  <si>
    <t>ES0031408323131005HX0F,2023/11/23,06:00,0.109,Real,</t>
  </si>
  <si>
    <t>ES0031408323131005HX0F,2023/11/23,07:00,0.056,Real,</t>
  </si>
  <si>
    <t>ES0031408323131005HX0F,2023/11/23,08:00,0.03,Real,</t>
  </si>
  <si>
    <t>ES0031408323131005HX0F,2023/11/23,09:00,0.195,Real,</t>
  </si>
  <si>
    <t>ES0031408323131005HX0F,2023/11/23,10:00,0.218,Real,</t>
  </si>
  <si>
    <t>ES0031408323131005HX0F,2023/11/23,11:00,0.041,Real,</t>
  </si>
  <si>
    <t>ES0031408323131005HX0F,2023/11/23,12:00,0.031,Real,</t>
  </si>
  <si>
    <t>ES0031408323131005HX0F,2023/11/23,13:00,0.091,Real,</t>
  </si>
  <si>
    <t>ES0031408323131005HX0F,2023/11/23,14:00,0.053,Real,</t>
  </si>
  <si>
    <t>ES0031408323131005HX0F,2023/11/23,15:00,0.02,Real,</t>
  </si>
  <si>
    <t>ES0031408323131005HX0F,2023/11/23,16:00,0.361,Real,</t>
  </si>
  <si>
    <t>ES0031408323131005HX0F,2023/11/23,17:00,0.063,Real,</t>
  </si>
  <si>
    <t>ES0031408323131005HX0F,2023/11/23,18:00,0.034,Real,</t>
  </si>
  <si>
    <t>ES0031408323131005HX0F,2023/11/23,19:00,0.038,Real,</t>
  </si>
  <si>
    <t>ES0031408323131005HX0F,2023/11/23,20:00,0.082,Real,</t>
  </si>
  <si>
    <t>ES0031408323131005HX0F,2023/11/23,21:00,0.261,Real,</t>
  </si>
  <si>
    <t>ES0031408323131005HX0F,2023/11/23,22:00,2.134,Real,</t>
  </si>
  <si>
    <t>ES0031408323131005HX0F,2023/11/23,23:00,2.182,Real,</t>
  </si>
  <si>
    <t>ES0031408323131005HX0F,2023/11/23,24:00,0.524,Real,</t>
  </si>
  <si>
    <t>ES0031408323131005HX0F,2023/11/24,01:00,0.555,Real,</t>
  </si>
  <si>
    <t>ES0031408323131005HX0F,2023/11/24,02:00,0.162,Real,</t>
  </si>
  <si>
    <t>ES0031408323131005HX0F,2023/11/24,03:00,0.054,Real,</t>
  </si>
  <si>
    <t>ES0031408323131005HX0F,2023/11/24,04:00,0.393,Real,</t>
  </si>
  <si>
    <t>ES0031408323131005HX0F,2023/11/24,05:00,0.059,Real,</t>
  </si>
  <si>
    <t>ES0031408323131005HX0F,2023/11/24,06:00,0.068,Real,</t>
  </si>
  <si>
    <t>ES0031408323131005HX0F,2023/11/24,07:00,0.016,Real,</t>
  </si>
  <si>
    <t>ES0031408323131005HX0F,2023/11/24,08:00,0.223,Real,</t>
  </si>
  <si>
    <t>ES0031408323131005HX0F,2023/11/24,09:00,0.389,Real,</t>
  </si>
  <si>
    <t>ES0031408323131005HX0F,2023/11/24,10:00,0.019,Real,</t>
  </si>
  <si>
    <t>ES0031408323131005HX0F,2023/11/24,11:00,0.066,Real,</t>
  </si>
  <si>
    <t>ES0031408323131005HX0F,2023/11/24,12:00,0.072,Real,</t>
  </si>
  <si>
    <t>ES0031408323131005HX0F,2023/11/24,13:00,0.023,Real,</t>
  </si>
  <si>
    <t>ES0031408323131005HX0F,2023/11/24,14:00,0.323,Real,</t>
  </si>
  <si>
    <t>ES0031408323131005HX0F,2023/11/24,15:00,0.074,Real,</t>
  </si>
  <si>
    <t>ES0031408323131005HX0F,2023/11/24,16:00,0.035,Real,</t>
  </si>
  <si>
    <t>ES0031408323131005HX0F,2023/11/24,17:00,0.074,Real,</t>
  </si>
  <si>
    <t>ES0031408323131005HX0F,2023/11/24,18:00,0.319,Real,</t>
  </si>
  <si>
    <t>ES0031408323131005HX0F,2023/11/24,19:00,0.046,Real,</t>
  </si>
  <si>
    <t>ES0031408323131005HX0F,2023/11/24,20:00,0.014,Real,</t>
  </si>
  <si>
    <t>ES0031408323131005HX0F,2023/11/24,21:00,0.091,Real,</t>
  </si>
  <si>
    <t>ES0031408323131005HX0F,2023/11/24,22:00,0.056,Real,</t>
  </si>
  <si>
    <t>ES0031408323131005HX0F,2023/11/24,23:00,0.017,Real,</t>
  </si>
  <si>
    <t>ES0031408323131005HX0F,2023/11/24,24:00,0.343,Real,</t>
  </si>
  <si>
    <t>ES0031408323131005HX0F,2023/11/25,01:00,0.056,Real,</t>
  </si>
  <si>
    <t>ES0031408323131005HX0F,2023/11/25,02:00,0.019,Real,</t>
  </si>
  <si>
    <t>ES0031408323131005HX0F,2023/11/25,03:00,0.103,Real,</t>
  </si>
  <si>
    <t>ES0031408323131005HX0F,2023/11/25,04:00,0.127,Real,</t>
  </si>
  <si>
    <t>ES0031408323131005HX0F,2023/11/25,05:00,0.355,Real,</t>
  </si>
  <si>
    <t>ES0031408323131005HX0F,2023/11/25,06:00,0.037,Real,</t>
  </si>
  <si>
    <t>ES0031408323131005HX0F,2023/11/25,07:00,0.029,Real,</t>
  </si>
  <si>
    <t>ES0031408323131005HX0F,2023/11/25,08:00,0.082,Real,</t>
  </si>
  <si>
    <t>ES0031408323131005HX0F,2023/11/25,09:00,0.071,Real,</t>
  </si>
  <si>
    <t>ES0031408323131005HX0F,2023/11/25,10:00,0.015,Real,</t>
  </si>
  <si>
    <t>ES0031408323131005HX0F,2023/11/25,11:00,0.392,Real,</t>
  </si>
  <si>
    <t>ES0031408323131005HX0F,2023/11/25,12:00,0.055,Real,</t>
  </si>
  <si>
    <t>ES0031408323131005HX0F,2023/11/25,13:00,0.018,Real,</t>
  </si>
  <si>
    <t>ES0031408323131005HX0F,2023/11/25,14:00,0.079,Real,</t>
  </si>
  <si>
    <t>ES0031408323131005HX0F,2023/11/25,15:00,0.063,Real,</t>
  </si>
  <si>
    <t>ES0031408323131005HX0F,2023/11/25,16:00,0.02,Real,</t>
  </si>
  <si>
    <t>ES0031408323131005HX0F,2023/11/25,17:00,0.355,Real,</t>
  </si>
  <si>
    <t>ES0031408323131005HX0F,2023/11/25,18:00,0.074,Real,</t>
  </si>
  <si>
    <t>ES0031408323131005HX0F,2023/11/25,19:00,0.021,Real,</t>
  </si>
  <si>
    <t>ES0031408323131005HX0F,2023/11/25,20:00,0.055,Real,</t>
  </si>
  <si>
    <t>ES0031408323131005HX0F,2023/11/25,21:00,0.075,Real,</t>
  </si>
  <si>
    <t>ES0031408323131005HX0F,2023/11/25,22:00,0.044,Real,</t>
  </si>
  <si>
    <t>ES0031408323131005HX0F,2023/11/25,23:00,0.282,Real,</t>
  </si>
  <si>
    <t>ES0031408323131005HX0F,2023/11/25,24:00,0.009,Real,</t>
  </si>
  <si>
    <t>ES0031408323131005HX0F,2023/11/26,01:00,0.094,Real,</t>
  </si>
  <si>
    <t>ES0031408323131005HX0F,2023/11/26,02:00,0.049,Real,</t>
  </si>
  <si>
    <t>ES0031408323131005HX0F,2023/11/26,03:00,0.051,Real,</t>
  </si>
  <si>
    <t>ES0031408323131005HX0F,2023/11/26,04:00,0.02,Real,</t>
  </si>
  <si>
    <t>ES0031408323131005HX0F,2023/11/26,05:00,0.356,Real,</t>
  </si>
  <si>
    <t>ES0031408323131005HX0F,2023/11/26,06:00,0.069,Real,</t>
  </si>
  <si>
    <t>ES0031408323131005HX0F,2023/11/26,07:00,0.04,Real,</t>
  </si>
  <si>
    <t>ES0031408323131005HX0F,2023/11/26,08:00,0.009,Real,</t>
  </si>
  <si>
    <t>ES0031408323131005HX0F,2023/11/26,09:00,0.009,Real,</t>
  </si>
  <si>
    <t>ES0031408323131005HX0F,2023/11/26,10:00,0.091,Real,</t>
  </si>
  <si>
    <t>ES0031408323131005HX0F,2023/11/26,11:00,0.347,Real,</t>
  </si>
  <si>
    <t>ES0031408323131005HX0F,2023/11/26,12:00,0.028,Real,</t>
  </si>
  <si>
    <t>ES0031408323131005HX0F,2023/11/26,13:00,0.009,Real,</t>
  </si>
  <si>
    <t>ES0031408323131005HX0F,2023/11/26,14:00,0.059,Real,</t>
  </si>
  <si>
    <t>ES0031408323131005HX0F,2023/11/26,15:00,0.068,Real,</t>
  </si>
  <si>
    <t>ES0031408323131005HX0F,2023/11/26,16:00,0.039,Real,</t>
  </si>
  <si>
    <t>ES0031408323131005HX0F,2023/11/26,17:00,0.31,Real,</t>
  </si>
  <si>
    <t>ES0031408323131005HX0F,2023/11/26,18:00,0.009,Real,</t>
  </si>
  <si>
    <t>ES0031408323131005HX0F,2023/11/26,19:00,0.091,Real,</t>
  </si>
  <si>
    <t>ES0031408323131005HX0F,2023/11/26,20:00,0.275,Real,</t>
  </si>
  <si>
    <t>ES0031408323131005HX0F,2023/11/26,21:00,2.26,Real,</t>
  </si>
  <si>
    <t>ES0031408323131005HX0F,2023/11/26,22:00,0.747,Real,</t>
  </si>
  <si>
    <t>ES0031408323131005HX0F,2023/11/26,23:00,0.154,Real,</t>
  </si>
  <si>
    <t>ES0031408323131005HX0F,2023/11/26,24:00,0.153,Real,</t>
  </si>
  <si>
    <t>ES0031408323131005HX0F,2023/11/27,01:00,0.058,Real,</t>
  </si>
  <si>
    <t>ES0031408323131005HX0F,2023/11/27,02:00,0.074,Real,</t>
  </si>
  <si>
    <t>ES0031408323131005HX0F,2023/11/27,03:00,0.354,Real,</t>
  </si>
  <si>
    <t>ES0031408323131005HX0F,2023/11/27,04:00,0.029,Real,</t>
  </si>
  <si>
    <t>ES0031408323131005HX0F,2023/11/27,05:00,0.082,Real,</t>
  </si>
  <si>
    <t>ES0031408323131005HX0F,2023/11/27,06:00,0.055,Real,</t>
  </si>
  <si>
    <t>ES0031408323131005HX0F,2023/11/27,07:00,0.017,Real,</t>
  </si>
  <si>
    <t>ES0031408323131005HX0F,2023/11/27,08:00,0.404,Real,</t>
  </si>
  <si>
    <t>ES0031408323131005HX0F,2023/11/27,09:00,0.27,Real,</t>
  </si>
  <si>
    <t>ES0031408323131005HX0F,2023/11/27,10:00,0.017,Real,</t>
  </si>
  <si>
    <t>ES0031408323131005HX0F,2023/11/27,11:00,0.086,Real,</t>
  </si>
  <si>
    <t>ES0031408323131005HX0F,2023/11/27,12:00,0.068,Real,</t>
  </si>
  <si>
    <t>ES0031408323131005HX0F,2023/11/27,13:00,0.122,Real,</t>
  </si>
  <si>
    <t>ES0031408323131005HX0F,2023/11/27,14:00,0.253,Real,</t>
  </si>
  <si>
    <t>ES0031408323131005HX0F,2023/11/27,15:00,0.07,Real,</t>
  </si>
  <si>
    <t>ES0031408323131005HX0F,2023/11/27,16:00,0.016,Real,</t>
  </si>
  <si>
    <t>ES0031408323131005HX0F,2023/11/27,17:00,0.083,Real,</t>
  </si>
  <si>
    <t>ES0031408323131005HX0F,2023/11/27,18:00,0.069,Real,</t>
  </si>
  <si>
    <t>ES0031408323131005HX0F,2023/11/27,19:00,0.311,Real,</t>
  </si>
  <si>
    <t>ES0031408323131005HX0F,2023/11/27,20:00,0.237,Real,</t>
  </si>
  <si>
    <t>ES0031408323131005HX0F,2023/11/27,21:00,0.454,Real,</t>
  </si>
  <si>
    <t>ES0031408323131005HX0F,2023/11/27,22:00,0.227,Real,</t>
  </si>
  <si>
    <t>ES0031408323131005HX0F,2023/11/27,23:00,0.071,Real,</t>
  </si>
  <si>
    <t>ES0031408323131005HX0F,2023/11/27,24:00,0.645,Real,</t>
  </si>
  <si>
    <t>ES0031408323131005HX0F,2023/11/28,01:00,0.143,Real,</t>
  </si>
  <si>
    <t>ES0031408323131005HX0F,2023/11/28,02:00,0.087,Real,</t>
  </si>
  <si>
    <t>ES0031408323131005HX0F,2023/11/28,03:00,0.054,Real,</t>
  </si>
  <si>
    <t>ES0031408323131005HX0F,2023/11/28,04:00,0.073,Real,</t>
  </si>
  <si>
    <t>ES0031408323131005HX0F,2023/11/28,05:00,0.345,Real,</t>
  </si>
  <si>
    <t>ES0031408323131005HX0F,2023/11/28,06:00,0.039,Real,</t>
  </si>
  <si>
    <t>ES0031408323131005HX0F,2023/11/28,07:00,0.046,Real,</t>
  </si>
  <si>
    <t>ES0031408323131005HX0F,2023/11/28,08:00,0.487,Real,</t>
  </si>
  <si>
    <t>ES0031408323131005HX0F,2023/11/28,09:00,0.061,Real,</t>
  </si>
  <si>
    <t>ES0031408323131005HX0F,2023/11/28,10:00,0.027,Real,</t>
  </si>
  <si>
    <t>ES0031408323131005HX0F,2023/11/28,11:00,0.075,Real,</t>
  </si>
  <si>
    <t>ES0031408323131005HX0F,2023/11/28,12:00,0.08,Real,</t>
  </si>
  <si>
    <t>ES0031408323131005HX0F,2023/11/28,13:00,0.016,Real,</t>
  </si>
  <si>
    <t>ES0031408323131005HX0F,2023/11/28,14:00,0.355,Real,</t>
  </si>
  <si>
    <t>ES0031408323131005HX0F,2023/11/28,15:00,0.08,Real,</t>
  </si>
  <si>
    <t>ES0031408323131005HX0F,2023/11/28,16:00,0.019,Real,</t>
  </si>
  <si>
    <t>ES0031408323131005HX0F,2023/11/28,17:00,0.076,Real,</t>
  </si>
  <si>
    <t>ES0031408323131005HX0F,2023/11/28,18:00,0.078,Real,</t>
  </si>
  <si>
    <t>ES0031408323131005HX0F,2023/11/28,19:00,0.03,Real,</t>
  </si>
  <si>
    <t>ES0031408323131005HX0F,2023/11/28,20:00,0.326,Real,</t>
  </si>
  <si>
    <t>ES0031408323131005HX0F,2023/11/28,21:00,0.075,Real,</t>
  </si>
  <si>
    <t>ES0031408323131005HX0F,2023/11/28,22:00,0.06,Real,</t>
  </si>
  <si>
    <t>ES0031408323131005HX0F,2023/11/28,23:00,0.027,Real,</t>
  </si>
  <si>
    <t>ES0031408323131005HX0F,2023/11/28,24:00,1.289,Real,</t>
  </si>
  <si>
    <t>ES0031408323131005HX0F,2023/11/29,01:00,0.071,Real,</t>
  </si>
  <si>
    <t>ES0031408323131005HX0F,2023/11/29,02:00,0.034,Real,</t>
  </si>
  <si>
    <t>ES0031408323131005HX0F,2023/11/29,03:00,0.112,Real,</t>
  </si>
  <si>
    <t>ES0031408323131005HX0F,2023/11/29,04:00,0.204,Real,</t>
  </si>
  <si>
    <t>ES0031408323131005HX0F,2023/11/29,05:00,0.241,Real,</t>
  </si>
  <si>
    <t>ES0031408323131005HX0F,2023/11/29,06:00,0.106,Real,</t>
  </si>
  <si>
    <t>ES0031408323131005HX0F,2023/11/29,07:00,0.086,Real,</t>
  </si>
  <si>
    <t>ES0031408323131005HX0F,2023/11/29,08:00,0.994,Real,</t>
  </si>
  <si>
    <t>ES0031408323131005HX0F,2023/11/29,09:00,0.625,Real,</t>
  </si>
  <si>
    <t>ES0031408323131005HX0F,2023/11/29,10:00,0.073,Real,</t>
  </si>
  <si>
    <t>ES0031408323131005HX0F,2023/11/29,11:00,0.018,Real,</t>
  </si>
  <si>
    <t>ES0031408323131005HX0F,2023/11/29,12:00,0.085,Real,</t>
  </si>
  <si>
    <t>ES0031408323131005HX0F,2023/11/29,13:00,0.367,Real,</t>
  </si>
  <si>
    <t>ES0031408323131005HX0F,2023/11/29,14:00,0.019,Real,</t>
  </si>
  <si>
    <t>ES0031408323131005HX0F,2023/11/29,15:00,0.078,Real,</t>
  </si>
  <si>
    <t>ES0031408323131005HX0F,2023/11/29,16:00,0.083,Real,</t>
  </si>
  <si>
    <t>ES0031408323131005HX0F,2023/11/29,17:00,0.019,Real,</t>
  </si>
  <si>
    <t>ES0031408323131005HX0F,2023/11/29,18:00,0.072,Real,</t>
  </si>
  <si>
    <t>ES0031408323131005HX0F,2023/11/29,19:00,0.335,Real,</t>
  </si>
  <si>
    <t>ES0031408323131005HX0F,2023/11/29,20:00,0.026,Real,</t>
  </si>
  <si>
    <t>ES0031408323131005HX0F,2023/11/29,21:00,0.063,Real,</t>
  </si>
  <si>
    <t>ES0031408323131005HX0F,2023/11/29,22:00,0.082,Real,</t>
  </si>
  <si>
    <t>ES0031408323131005HX0F,2023/11/29,23:00,0.035,Real,</t>
  </si>
  <si>
    <t>ES0031408323131005HX0F,2023/11/29,24:00,0.057,Real,</t>
  </si>
  <si>
    <t>ES0031408323131005HX0F,2023/11/30,01:00,0.382,Real,</t>
  </si>
  <si>
    <t>ES0031408323131005HX0F,2023/11/30,02:00,0.044,Real,</t>
  </si>
  <si>
    <t>ES0031408323131005HX0F,2023/11/30,03:00,0.069,Real,</t>
  </si>
  <si>
    <t>ES0031408323131005HX0F,2023/11/30,04:00,0.091,Real,</t>
  </si>
  <si>
    <t>ES0031408323131005HX0F,2023/11/30,05:00,0.051,Real,</t>
  </si>
  <si>
    <t>ES0031408323131005HX0F,2023/11/30,06:00,0.043,Real,</t>
  </si>
  <si>
    <t>ES0031408323131005HX0F,2023/11/30,07:00,0.409,Real,</t>
  </si>
  <si>
    <t>ES0031408323131005HX0F,2023/11/30,08:00,0.103,Real,</t>
  </si>
  <si>
    <t>ES0031408323131005HX0F,2023/11/30,09:00,0.064,Real,</t>
  </si>
  <si>
    <t>ES0031408323131005HX0F,2023/11/30,10:00,0.019,Real,</t>
  </si>
  <si>
    <t>ES0031408323131005HX0F,2023/11/30,11:00,0.08,Real,</t>
  </si>
  <si>
    <t>ES0031408323131005HX0F,2023/11/30,12:00,0.07,Real,</t>
  </si>
  <si>
    <t>ES0031408323131005HX0F,2023/11/30,13:00,0.349,Real,</t>
  </si>
  <si>
    <t>ES0031408323131005HX0F,2023/11/30,14:00,0.009,Real,</t>
  </si>
  <si>
    <t>ES0031408323131005HX0F,2023/11/30,15:00,0.015,Real,</t>
  </si>
  <si>
    <t>ES0031408323131005HX0F,2023/11/30,16:00,0.089,Real,</t>
  </si>
  <si>
    <t>ES0031408323131005HX0F,2023/11/30,17:00,0.047,Real,</t>
  </si>
  <si>
    <t>ES0031408323131005HX0F,2023/11/30,18:00,0.041,Real,</t>
  </si>
  <si>
    <t>ES0031408323131005HX0F,2023/11/30,19:00,0.294,Real,</t>
  </si>
  <si>
    <t>ES0031408323131005HX0F,2023/11/30,20:00,0.046,Real,</t>
  </si>
  <si>
    <t>ES0031408323131005HX0F,2023/11/30,21:00,0.067,Real,</t>
  </si>
  <si>
    <t>ES0031408323131005HX0F,2023/11/30,22:00,0.064,Real,</t>
  </si>
  <si>
    <t>ES0031408323131005HX0F,2023/11/30,23:00,0.133,Real,</t>
  </si>
  <si>
    <t>ES0031408323131005HX0F,2023/11/30,24:00,0.395,Real,</t>
  </si>
  <si>
    <t>ES0031408323131005HX0F,2023/12/01,01:00,0.458,Real,</t>
  </si>
  <si>
    <t>ES0031408323131005HX0F,2023/12/01,02:00,0.127,Real,</t>
  </si>
  <si>
    <t>ES0031408323131005HX0F,2023/12/01,03:00,0.161,Real,</t>
  </si>
  <si>
    <t>ES0031408323131005HX0F,2023/12/01,04:00,0.085,Real,</t>
  </si>
  <si>
    <t>ES0031408323131005HX0F,2023/12/01,05:00,0.033,Real,</t>
  </si>
  <si>
    <t>ES0031408323131005HX0F,2023/12/01,06:00,0.08,Real,</t>
  </si>
  <si>
    <t>ES0031408323131005HX0F,2023/12/01,07:00,0.342,Real,</t>
  </si>
  <si>
    <t>ES0031408323131005HX0F,2023/12/01,08:00,0.12,Real,</t>
  </si>
  <si>
    <t>ES0031408323131005HX0F,2023/12/01,09:00,0.019,Real,</t>
  </si>
  <si>
    <t>ES0031408323131005HX0F,2023/12/01,10:00,0.115,Real,</t>
  </si>
  <si>
    <t>ES0031408323131005HX0F,2023/12/01,11:00,0.115,Real,</t>
  </si>
  <si>
    <t>ES0031408323131005HX0F,2023/12/01,12:00,0.227,Real,</t>
  </si>
  <si>
    <t>ES0031408323131005HX0F,2023/12/01,13:00,0.18,Real,</t>
  </si>
  <si>
    <t>ES0031408323131005HX0F,2023/12/01,14:00,0.043,Real,</t>
  </si>
  <si>
    <t>ES0031408323131005HX0F,2023/12/01,15:00,0.077,Real,</t>
  </si>
  <si>
    <t>ES0031408323131005HX0F,2023/12/01,16:00,0.073,Real,</t>
  </si>
  <si>
    <t>ES0031408323131005HX0F,2023/12/01,17:00,0.017,Real,</t>
  </si>
  <si>
    <t>ES0031408323131005HX0F,2023/12/01,18:00,0.102,Real,</t>
  </si>
  <si>
    <t>ES0031408323131005HX0F,2023/12/01,19:00,0.424,Real,</t>
  </si>
  <si>
    <t>ES0031408323131005HX0F,2023/12/01,20:00,1.898,Real,</t>
  </si>
  <si>
    <t>ES0031408323131005HX0F,2023/12/01,21:00,1.071,Real,</t>
  </si>
  <si>
    <t>ES0031408323131005HX0F,2023/12/01,22:00,1.397,Real,</t>
  </si>
  <si>
    <t>ES0031408323131005HX0F,2023/12/01,23:00,0.518,Real,</t>
  </si>
  <si>
    <t>ES0031408323131005HX0F,2023/12/01,24:00,0.321,Real,</t>
  </si>
  <si>
    <t>ES0031408323131005HX0F,2023/12/02,01:00,0.11,Real,</t>
  </si>
  <si>
    <t>ES0031408323131005HX0F,2023/12/02,02:00,0.041,Real,</t>
  </si>
  <si>
    <t>ES0031408323131005HX0F,2023/12/02,03:00,0.308,Real,</t>
  </si>
  <si>
    <t>ES0031408323131005HX0F,2023/12/02,04:00,0.128,Real,</t>
  </si>
  <si>
    <t>ES0031408323131005HX0F,2023/12/02,05:00,0.118,Real,</t>
  </si>
  <si>
    <t>ES0031408323131005HX0F,2023/12/02,06:00,0.08,Real,</t>
  </si>
  <si>
    <t>ES0031408323131005HX0F,2023/12/02,07:00,0.07,Real,</t>
  </si>
  <si>
    <t>ES0031408323131005HX0F,2023/12/02,08:00,0.274,Real,</t>
  </si>
  <si>
    <t>ES0031408323131005HX0F,2023/12/02,09:00,0.155,Real,</t>
  </si>
  <si>
    <t>ES0031408323131005HX0F,2023/12/02,10:00,0.358,Real,</t>
  </si>
  <si>
    <t>ES0031408323131005HX0F,2023/12/02,11:00,3.03,Real,</t>
  </si>
  <si>
    <t>ES0031408323131005HX0F,2023/12/02,12:00,0.248,Real,</t>
  </si>
  <si>
    <t>ES0031408323131005HX0F,2023/12/02,13:00,0.104,Real,</t>
  </si>
  <si>
    <t>ES0031408323131005HX0F,2023/12/02,14:00,0.666,Real,</t>
  </si>
  <si>
    <t>ES0031408323131005HX0F,2023/12/02,15:00,1.232,Real,</t>
  </si>
  <si>
    <t>ES0031408323131005HX0F,2023/12/02,16:00,0.137,Real,</t>
  </si>
  <si>
    <t>ES0031408323131005HX0F,2023/12/02,17:00,1.376,Real,</t>
  </si>
  <si>
    <t>ES0031408323131005HX0F,2023/12/02,18:00,1.111,Real,</t>
  </si>
  <si>
    <t>ES0031408323131005HX0F,2023/12/02,19:00,0.688,Real,</t>
  </si>
  <si>
    <t>ES0031408323131005HX0F,2023/12/02,20:00,0.055,Real,</t>
  </si>
  <si>
    <t>ES0031408323131005HX0F,2023/12/02,21:00,0.05,Real,</t>
  </si>
  <si>
    <t>ES0031408323131005HX0F,2023/12/02,22:00,0.029,Real,</t>
  </si>
  <si>
    <t>ES0031408323131005HX0F,2023/12/02,23:00,0.131,Real,</t>
  </si>
  <si>
    <t>ES0031408323131005HX0F,2023/12/02,24:00,0.318,Real,</t>
  </si>
  <si>
    <t>ES0031408323131005HX0F,2023/12/03,01:00,0.11,Real,</t>
  </si>
  <si>
    <t>ES0031408323131005HX0F,2023/12/03,02:00,0.117,Real,</t>
  </si>
  <si>
    <t>ES0031408323131005HX0F,2023/12/03,03:00,0.13,Real,</t>
  </si>
  <si>
    <t>ES0031408323131005HX0F,2023/12/03,04:00,0.114,Real,</t>
  </si>
  <si>
    <t>ES0031408323131005HX0F,2023/12/03,05:00,0.048,Real,</t>
  </si>
  <si>
    <t>ES0031408323131005HX0F,2023/12/03,06:00,0.344,Real,</t>
  </si>
  <si>
    <t>ES0031408323131005HX0F,2023/12/03,07:00,0.015,Real,</t>
  </si>
  <si>
    <t>ES0031408323131005HX0F,2023/12/03,08:00,0.105,Real,</t>
  </si>
  <si>
    <t>ES0031408323131005HX0F,2023/12/03,09:00,0.046,Real,</t>
  </si>
  <si>
    <t>ES0031408323131005HX0F,2023/12/03,10:00,0.05,Real,</t>
  </si>
  <si>
    <t>ES0031408323131005HX0F,2023/12/03,11:00,0.395,Real,</t>
  </si>
  <si>
    <t>ES0031408323131005HX0F,2023/12/03,12:00,0.093,Real,</t>
  </si>
  <si>
    <t>ES0031408323131005HX0F,2023/12/03,13:00,0.07,Real,</t>
  </si>
  <si>
    <t>ES0031408323131005HX0F,2023/12/03,14:00,0.088,Real,</t>
  </si>
  <si>
    <t>ES0031408323131005HX0F,2023/12/03,15:00,1.117,Real,</t>
  </si>
  <si>
    <t>ES0031408323131005HX0F,2023/12/03,16:00,1.526,Real,</t>
  </si>
  <si>
    <t>ES0031408323131005HX0F,2023/12/03,17:00,0.465,Real,</t>
  </si>
  <si>
    <t>ES0031408323131005HX0F,2023/12/03,18:00,0.157,Real,</t>
  </si>
  <si>
    <t>ES0031408323131005HX0F,2023/12/03,19:00,0.146,Real,</t>
  </si>
  <si>
    <t>ES0031408323131005HX0F,2023/12/03,20:00,0.26,Real,</t>
  </si>
  <si>
    <t>ES0031408323131005HX0F,2023/12/03,21:00,0.543,Real,</t>
  </si>
  <si>
    <t>ES0031408323131005HX0F,2023/12/03,22:00,1.216,Real,</t>
  </si>
  <si>
    <t>ES0031408323131005HX0F,2023/12/03,23:00,0.69,Real,</t>
  </si>
  <si>
    <t>ES0031408323131005HX0F,2023/12/03,24:00,0.603,Real,</t>
  </si>
  <si>
    <t>ES0031408323131005HX0F,2023/12/04,01:00,0.486,Real,</t>
  </si>
  <si>
    <t>ES0031408323131005HX0F,2023/12/04,02:00,0.111,Real,</t>
  </si>
  <si>
    <t>ES0031408323131005HX0F,2023/12/04,03:00,0.103,Real,</t>
  </si>
  <si>
    <t>ES0031408323131005HX0F,2023/12/04,04:00,0.079,Real,</t>
  </si>
  <si>
    <t>ES0031408323131005HX0F,2023/12/04,05:00,0.347,Real,</t>
  </si>
  <si>
    <t>ES0031408323131005HX0F,2023/12/04,06:00,0.027,Real,</t>
  </si>
  <si>
    <t>ES0031408323131005HX0F,2023/12/04,07:00,0.086,Real,</t>
  </si>
  <si>
    <t>ES0031408323131005HX0F,2023/12/04,08:00,0.121,Real,</t>
  </si>
  <si>
    <t>ES0031408323131005HX0F,2023/12/04,09:00,0.033,Real,</t>
  </si>
  <si>
    <t>ES0031408323131005HX0F,2023/12/04,10:00,0.082,Real,</t>
  </si>
  <si>
    <t>ES0031408323131005HX0F,2023/12/04,11:00,0.055,Real,</t>
  </si>
  <si>
    <t>ES0031408323131005HX0F,2023/12/04,12:00,0.342,Real,</t>
  </si>
  <si>
    <t>ES0031408323131005HX0F,2023/12/04,13:00,0.082,Real,</t>
  </si>
  <si>
    <t>ES0031408323131005HX0F,2023/12/04,14:00,0.88,Real,</t>
  </si>
  <si>
    <t>ES0031408323131005HX0F,2023/12/04,15:00,0.085,Real,</t>
  </si>
  <si>
    <t>ES0031408323131005HX0F,2023/12/04,16:00,0.09,Real,</t>
  </si>
  <si>
    <t>ES0031408323131005HX0F,2023/12/04,17:00,0.351,Real,</t>
  </si>
  <si>
    <t>ES0031408323131005HX0F,2023/12/04,18:00,0.08,Real,</t>
  </si>
  <si>
    <t>ES0031408323131005HX0F,2023/12/04,19:00,0.054,Real,</t>
  </si>
  <si>
    <t>ES0031408323131005HX0F,2023/12/04,20:00,0.065,Real,</t>
  </si>
  <si>
    <t>ES0031408323131005HX0F,2023/12/04,21:00,0.085,Real,</t>
  </si>
  <si>
    <t>ES0031408323131005HX0F,2023/12/04,22:00,1.92,Real,</t>
  </si>
  <si>
    <t>ES0031408323131005HX0F,2023/12/04,23:00,0.463,Real,</t>
  </si>
  <si>
    <t>ES0031408323131005HX0F,2023/12/04,24:00,0.466,Real,</t>
  </si>
  <si>
    <t>ES0031408323131005HX0F,2023/12/05,01:00,0.494,Real,</t>
  </si>
  <si>
    <t>ES0031408323131005HX0F,2023/12/05,02:00,0.122,Real,</t>
  </si>
  <si>
    <t>ES0031408323131005HX0F,2023/12/05,03:00,0.1,Real,</t>
  </si>
  <si>
    <t>ES0031408323131005HX0F,2023/12/05,04:00,0.106,Real,</t>
  </si>
  <si>
    <t>ES0031408323131005HX0F,2023/12/05,05:00,0.356,Real,</t>
  </si>
  <si>
    <t>ES0031408323131005HX0F,2023/12/05,06:00,0.076,Real,</t>
  </si>
  <si>
    <t>ES0031408323131005HX0F,2023/12/05,07:00,0.036,Real,</t>
  </si>
  <si>
    <t>ES0031408323131005HX0F,2023/12/05,08:00,0.097,Real,</t>
  </si>
  <si>
    <t>ES0031408323131005HX0F,2023/12/05,09:00,0.072,Real,</t>
  </si>
  <si>
    <t>ES0031408323131005HX0F,2023/12/05,10:00,0.279,Real,</t>
  </si>
  <si>
    <t>ES0031408323131005HX0F,2023/12/05,11:00,0.112,Real,</t>
  </si>
  <si>
    <t>ES0031408323131005HX0F,2023/12/05,12:00,0.065,Real,</t>
  </si>
  <si>
    <t>ES0031408323131005HX0F,2023/12/05,13:00,0.022,Real,</t>
  </si>
  <si>
    <t>ES0031408323131005HX0F,2023/12/05,14:00,0.092,Real,</t>
  </si>
  <si>
    <t>ES0031408323131005HX0F,2023/12/05,15:00,0.44,Real,</t>
  </si>
  <si>
    <t>ES0031408323131005HX0F,2023/12/05,16:00,0.263,Real,</t>
  </si>
  <si>
    <t>ES0031408323131005HX0F,2023/12/05,17:00,1.14,Real,</t>
  </si>
  <si>
    <t>ES0031408323131005HX0F,2023/12/05,18:00,0.227,Real,</t>
  </si>
  <si>
    <t>ES0031408323131005HX0F,2023/12/05,19:00,0.032,Real,</t>
  </si>
  <si>
    <t>ES0031408323131005HX0F,2023/12/05,20:00,0.059,Real,</t>
  </si>
  <si>
    <t>ES0031408323131005HX0F,2023/12/05,21:00,0.074,Real,</t>
  </si>
  <si>
    <t>ES0031408323131005HX0F,2023/12/05,22:00,0.331,Real,</t>
  </si>
  <si>
    <t>ES0031408323131005HX0F,2023/12/05,23:00,0.067,Real,</t>
  </si>
  <si>
    <t>ES0031408323131005HX0F,2023/12/05,24:00,0.084,Real,</t>
  </si>
  <si>
    <t>ES0031408323131005HX0F,2023/12/06,01:00,0.06,Real,</t>
  </si>
  <si>
    <t>ES0031408323131005HX0F,2023/12/06,02:00,0.058,Real,</t>
  </si>
  <si>
    <t>ES0031408323131005HX0F,2023/12/06,03:00,0.098,Real,</t>
  </si>
  <si>
    <t>ES0031408323131005HX0F,2023/12/06,04:00,0.342,Real,</t>
  </si>
  <si>
    <t>ES0031408323131005HX0F,2023/12/06,05:00,0.046,Real,</t>
  </si>
  <si>
    <t>ES0031408323131005HX0F,2023/12/06,06:00,0.082,Real,</t>
  </si>
  <si>
    <t>ES0031408323131005HX0F,2023/12/06,07:00,0.124,Real,</t>
  </si>
  <si>
    <t>ES0031408323131005HX0F,2023/12/06,08:00,0.137,Real,</t>
  </si>
  <si>
    <t>ES0031408323131005HX0F,2023/12/06,09:00,0.348,Real,</t>
  </si>
  <si>
    <t>ES0031408323131005HX0F,2023/12/06,10:00,0.039,Real,</t>
  </si>
  <si>
    <t>ES0031408323131005HX0F,2023/12/06,11:00,0.078,Real,</t>
  </si>
  <si>
    <t>ES0031408323131005HX0F,2023/12/06,12:00,0.064,Real,</t>
  </si>
  <si>
    <t>ES0031408323131005HX0F,2023/12/06,13:00,0.018,Real,</t>
  </si>
  <si>
    <t>ES0031408323131005HX0F,2023/12/06,14:00,0.379,Real,</t>
  </si>
  <si>
    <t>ES0031408323131005HX0F,2023/12/06,15:00,0.063,Real,</t>
  </si>
  <si>
    <t>ES0031408323131005HX0F,2023/12/06,16:00,0.021,Real,</t>
  </si>
  <si>
    <t>ES0031408323131005HX0F,2023/12/06,17:00,0.091,Real,</t>
  </si>
  <si>
    <t>ES0031408323131005HX0F,2023/12/06,18:00,0.063,Real,</t>
  </si>
  <si>
    <t>ES0031408323131005HX0F,2023/12/06,19:00,0.573,Real,</t>
  </si>
  <si>
    <t>ES0031408323131005HX0F,2023/12/06,20:00,1.792,Real,</t>
  </si>
  <si>
    <t>ES0031408323131005HX0F,2023/12/06,21:00,1.334,Real,</t>
  </si>
  <si>
    <t>ES0031408323131005HX0F,2023/12/06,22:00,0.051,Real,</t>
  </si>
  <si>
    <t>ES0031408323131005HX0F,2023/12/06,23:00,0.945,Real,</t>
  </si>
  <si>
    <t>ES0031408323131005HX0F,2023/12/06,24:00,0.425,Real,</t>
  </si>
  <si>
    <t>ES0031408323131005HX0F,2023/12/07,01:00,0.053,Real,</t>
  </si>
  <si>
    <t>ES0031408323131005HX0F,2023/12/07,02:00,0.123,Real,</t>
  </si>
  <si>
    <t>ES0031408323131005HX0F,2023/12/07,03:00,0.133,Real,</t>
  </si>
  <si>
    <t>ES0031408323131005HX0F,2023/12/07,04:00,0.034,Real,</t>
  </si>
  <si>
    <t>ES0031408323131005HX0F,2023/12/07,05:00,0.081,Real,</t>
  </si>
  <si>
    <t>ES0031408323131005HX0F,2023/12/07,06:00,0.039,Real,</t>
  </si>
  <si>
    <t>ES0031408323131005HX0F,2023/12/07,07:00,0.342,Real,</t>
  </si>
  <si>
    <t>ES0031408323131005HX0F,2023/12/07,08:00,0.125,Real,</t>
  </si>
  <si>
    <t>ES0031408323131005HX0F,2023/12/07,09:00,0.103,Real,</t>
  </si>
  <si>
    <t>ES0031408323131005HX0F,2023/12/07,10:00,0.073,Real,</t>
  </si>
  <si>
    <t>ES0031408323131005HX0F,2023/12/07,11:00,0.024,Real,</t>
  </si>
  <si>
    <t>ES0031408323131005HX0F,2023/12/07,12:00,0.073,Real,</t>
  </si>
  <si>
    <t>ES0031408323131005HX0F,2023/12/07,13:00,0.852,Real,</t>
  </si>
  <si>
    <t>ES0031408323131005HX0F,2023/12/07,14:00,0.846,Real,</t>
  </si>
  <si>
    <t>ES0031408323131005HX0F,2023/12/07,15:00,0.445,Real,</t>
  </si>
  <si>
    <t>ES0031408323131005HX0F,2023/12/07,16:00,0.078,Real,</t>
  </si>
  <si>
    <t>ES0031408323131005HX0F,2023/12/07,17:00,0.058,Real,</t>
  </si>
  <si>
    <t>ES0031408323131005HX0F,2023/12/07,18:00,0.106,Real,</t>
  </si>
  <si>
    <t>ES0031408323131005HX0F,2023/12/07,19:00,0.303,Real,</t>
  </si>
  <si>
    <t>ES0031408323131005HX0F,2023/12/07,20:00,0.799,Real,</t>
  </si>
  <si>
    <t>ES0031408323131005HX0F,2023/12/07,21:00,2.094,Real,</t>
  </si>
  <si>
    <t>ES0031408323131005HX0F,2023/12/07,22:00,1.597,Real,</t>
  </si>
  <si>
    <t>ES0031408323131005HX0F,2023/12/07,23:00,0.19,Real,</t>
  </si>
  <si>
    <t>ES0031408323131005HX0F,2023/12/07,24:00,0.107,Real,</t>
  </si>
  <si>
    <t>ES0031408323131005HX0F,2023/12/08,01:00,0.302,Real,</t>
  </si>
  <si>
    <t>ES0031408323131005HX0F,2023/12/08,02:00,0.061,Real,</t>
  </si>
  <si>
    <t>ES0031408323131005HX0F,2023/12/08,03:00,0.084,Real,</t>
  </si>
  <si>
    <t>ES0031408323131005HX0F,2023/12/08,04:00,0.093,Real,</t>
  </si>
  <si>
    <t>ES0031408323131005HX0F,2023/12/08,05:00,0.082,Real,</t>
  </si>
  <si>
    <t>ES0031408323131005HX0F,2023/12/08,06:00,0.041,Real,</t>
  </si>
  <si>
    <t>ES0031408323131005HX0F,2023/12/08,07:00,0.387,Real,</t>
  </si>
  <si>
    <t>ES0031408323131005HX0F,2023/12/08,08:00,0.076,Real,</t>
  </si>
  <si>
    <t>ES0031408323131005HX0F,2023/12/08,09:00,0.036,Real,</t>
  </si>
  <si>
    <t>ES0031408323131005HX0F,2023/12/08,10:00,0.087,Real,</t>
  </si>
  <si>
    <t>ES0031408323131005HX0F,2023/12/08,11:00,0.073,Real,</t>
  </si>
  <si>
    <t>ES0031408323131005HX0F,2023/12/08,12:00,0.315,Real,</t>
  </si>
  <si>
    <t>ES0031408323131005HX0F,2023/12/08,13:00,0.051,Real,</t>
  </si>
  <si>
    <t>ES0031408323131005HX0F,2023/12/08,14:00,0.071,Real,</t>
  </si>
  <si>
    <t>ES0031408323131005HX0F,2023/12/08,15:00,0.063,Real,</t>
  </si>
  <si>
    <t>ES0031408323131005HX0F,2023/12/08,16:00,0.018,Real,</t>
  </si>
  <si>
    <t>ES0031408323131005HX0F,2023/12/08,17:00,0.097,Real,</t>
  </si>
  <si>
    <t>ES0031408323131005HX0F,2023/12/08,18:00,0.336,Real,</t>
  </si>
  <si>
    <t>ES0031408323131005HX0F,2023/12/08,19:00,0.022,Real,</t>
  </si>
  <si>
    <t>ES0031408323131005HX0F,2023/12/08,20:00,0.078,Real,</t>
  </si>
  <si>
    <t>ES0031408323131005HX0F,2023/12/08,21:00,1.152,Real,</t>
  </si>
  <si>
    <t>ES0031408323131005HX0F,2023/12/08,22:00,1.904,Real,</t>
  </si>
  <si>
    <t>ES0031408323131005HX0F,2023/12/08,23:00,1.05,Real,</t>
  </si>
  <si>
    <t>ES0031408323131005HX0F,2023/12/08,24:00,0.108,Real,</t>
  </si>
  <si>
    <t>ES0031408323131005HX0F,2023/12/09,01:00,0.05,Real,</t>
  </si>
  <si>
    <t>ES0031408323131005HX0F,2023/12/09,02:00,0.097,Real,</t>
  </si>
  <si>
    <t>ES0031408323131005HX0F,2023/12/09,03:00,0.055,Real,</t>
  </si>
  <si>
    <t>ES0031408323131005HX0F,2023/12/09,04:00,0.402,Real,</t>
  </si>
  <si>
    <t>ES0031408323131005HX0F,2023/12/09,05:00,0.052,Real,</t>
  </si>
  <si>
    <t>ES0031408323131005HX0F,2023/12/09,06:00,0.092,Real,</t>
  </si>
  <si>
    <t>ES0031408323131005HX0F,2023/12/09,07:00,0.029,Real,</t>
  </si>
  <si>
    <t>ES0031408323131005HX0F,2023/12/09,08:00,0.035,Real,</t>
  </si>
  <si>
    <t>ES0031408323131005HX0F,2023/12/09,09:00,0.375,Real,</t>
  </si>
  <si>
    <t>ES0031408323131005HX0F,2023/12/09,10:00,0.388,Real,</t>
  </si>
  <si>
    <t>ES0031408323131005HX0F,2023/12/09,11:00,0.146,Real,</t>
  </si>
  <si>
    <t>ES0031408323131005HX0F,2023/12/09,12:00,0.129,Real,</t>
  </si>
  <si>
    <t>ES0031408323131005HX0F,2023/12/09,13:00,0.04,Real,</t>
  </si>
  <si>
    <t>ES0031408323131005HX0F,2023/12/09,14:00,0.1,Real,</t>
  </si>
  <si>
    <t>ES0031408323131005HX0F,2023/12/09,15:00,0.369,Real,</t>
  </si>
  <si>
    <t>ES0031408323131005HX0F,2023/12/09,16:00,0.038,Real,</t>
  </si>
  <si>
    <t>ES0031408323131005HX0F,2023/12/09,17:00,0.654,Real,</t>
  </si>
  <si>
    <t>ES0031408323131005HX0F,2023/12/09,18:00,2.256,Real,</t>
  </si>
  <si>
    <t>ES0031408323131005HX0F,2023/12/09,19:00,0.596,Real,</t>
  </si>
  <si>
    <t>ES0031408323131005HX0F,2023/12/09,20:00,0.104,Real,</t>
  </si>
  <si>
    <t>ES0031408323131005HX0F,2023/12/09,21:00,0.019,Real,</t>
  </si>
  <si>
    <t>ES0031408323131005HX0F,2023/12/09,22:00,0.042,Real,</t>
  </si>
  <si>
    <t>ES0031408323131005HX0F,2023/12/09,23:00,0.376,Real,</t>
  </si>
  <si>
    <t>ES0031408323131005HX0F,2023/12/09,24:00,0.09,Real,</t>
  </si>
  <si>
    <t>ES0031408323131005HX0F,2023/12/10,01:00,0.074,Real,</t>
  </si>
  <si>
    <t>ES0031408323131005HX0F,2023/12/10,02:00,0.028,Real,</t>
  </si>
  <si>
    <t>ES0031408323131005HX0F,2023/12/10,03:00,0.114,Real,</t>
  </si>
  <si>
    <t>ES0031408323131005HX0F,2023/12/10,04:00,0.091,Real,</t>
  </si>
  <si>
    <t>ES0031408323131005HX0F,2023/12/10,05:00,0.344,Real,</t>
  </si>
  <si>
    <t>ES0031408323131005HX0F,2023/12/10,06:00,0.03,Real,</t>
  </si>
  <si>
    <t>ES0031408323131005HX0F,2023/12/10,07:00,0.023,Real,</t>
  </si>
  <si>
    <t>ES0031408323131005HX0F,2023/12/10,08:00,0.115,Real,</t>
  </si>
  <si>
    <t>ES0031408323131005HX0F,2023/12/10,09:00,0.06,Real,</t>
  </si>
  <si>
    <t>ES0031408323131005HX0F,2023/12/10,10:00,0.425,Real,</t>
  </si>
  <si>
    <t>ES0031408323131005HX0F,2023/12/10,11:00,0.019,Real,</t>
  </si>
  <si>
    <t>ES0031408323131005HX0F,2023/12/10,12:00,0.102,Real,</t>
  </si>
  <si>
    <t>ES0031408323131005HX0F,2023/12/10,13:00,0.109,Real,</t>
  </si>
  <si>
    <t>ES0031408323131005HX0F,2023/12/10,14:00,0.079,Real,</t>
  </si>
  <si>
    <t>ES0031408323131005HX0F,2023/12/10,15:00,0.323,Real,</t>
  </si>
  <si>
    <t>ES0031408323131005HX0F,2023/12/10,16:00,0.019,Real,</t>
  </si>
  <si>
    <t>ES0031408323131005HX0F,2023/12/10,17:00,0.089,Real,</t>
  </si>
  <si>
    <t>ES0031408323131005HX0F,2023/12/10,18:00,0.066,Real,</t>
  </si>
  <si>
    <t>ES0031408323131005HX0F,2023/12/10,19:00,0.078,Real,</t>
  </si>
  <si>
    <t>ES0031408323131005HX0F,2023/12/10,20:00,1.965,Real,</t>
  </si>
  <si>
    <t>ES0031408323131005HX0F,2023/12/10,21:00,2.404,Real,</t>
  </si>
  <si>
    <t>ES0031408323131005HX0F,2023/12/10,22:00,0.226,Real,</t>
  </si>
  <si>
    <t>ES0031408323131005HX0F,2023/12/10,23:00,0.203,Real,</t>
  </si>
  <si>
    <t>ES0031408323131005HX0F,2023/12/10,24:00,0.083,Real,</t>
  </si>
  <si>
    <t>ES0031408323131005HX0F,2023/12/11,01:00,0.034,Real,</t>
  </si>
  <si>
    <t>ES0031408323131005HX0F,2023/12/11,02:00,0.365,Real,</t>
  </si>
  <si>
    <t>ES0031408323131005HX0F,2023/12/11,03:00,0.128,Real,</t>
  </si>
  <si>
    <t>ES0031408323131005HX0F,2023/12/11,04:00,0.083,Real,</t>
  </si>
  <si>
    <t>ES0031408323131005HX0F,2023/12/11,05:00,0.02,Real,</t>
  </si>
  <si>
    <t>ES0031408323131005HX0F,2023/12/11,06:00,0.02,Real,</t>
  </si>
  <si>
    <t>ES0031408323131005HX0F,2023/12/11,07:00,0.151,Real,</t>
  </si>
  <si>
    <t>ES0031408323131005HX0F,2023/12/11,08:00,0.345,Real,</t>
  </si>
  <si>
    <t>ES0031408323131005HX0F,2023/12/11,09:00,0.04,Real,</t>
  </si>
  <si>
    <t>ES0031408323131005HX0F,2023/12/11,10:00,0.018,Real,</t>
  </si>
  <si>
    <t>ES0031408323131005HX0F,2023/12/11,11:00,0.08,Real,</t>
  </si>
  <si>
    <t>ES0031408323131005HX0F,2023/12/11,12:00,0.127,Real,</t>
  </si>
  <si>
    <t>ES0031408323131005HX0F,2023/12/11,13:00,0.093,Real,</t>
  </si>
  <si>
    <t>ES0031408323131005HX0F,2023/12/11,14:00,0.38,Real,</t>
  </si>
  <si>
    <t>ES0031408323131005HX0F,2023/12/11,15:00,0.021,Real,</t>
  </si>
  <si>
    <t>ES0031408323131005HX0F,2023/12/11,16:00,0.724,Real,</t>
  </si>
  <si>
    <t>ES0031408323131005HX0F,2023/12/11,17:00,0.656,Real,</t>
  </si>
  <si>
    <t>ES0031408323131005HX0F,2023/12/11,18:00,0.158,Real,</t>
  </si>
  <si>
    <t>ES0031408323131005HX0F,2023/12/11,19:00,0.099,Real,</t>
  </si>
  <si>
    <t>ES0031408323131005HX0F,2023/12/11,20:00,0.037,Real,</t>
  </si>
  <si>
    <t>ES0031408323131005HX0F,2023/12/11,21:00,0.038,Real,</t>
  </si>
  <si>
    <t>ES0031408323131005HX0F,2023/12/11,22:00,0.679,Real,</t>
  </si>
  <si>
    <t>ES0031408323131005HX0F,2023/12/11,23:00,0.56,Real,</t>
  </si>
  <si>
    <t>ES0031408323131005HX0F,2023/12/11,24:00,0.051,Real,</t>
  </si>
  <si>
    <t>ES0031408323131005HX0F,2023/12/12,01:00,0.065,Real,</t>
  </si>
  <si>
    <t>ES0031408323131005HX0F,2023/12/12,02:00,0.021,Real,</t>
  </si>
  <si>
    <t>ES0031408323131005HX0F,2023/12/12,03:00,0.116,Real,</t>
  </si>
  <si>
    <t>ES0031408323131005HX0F,2023/12/12,04:00,0.094,Real,</t>
  </si>
  <si>
    <t>ES0031408323131005HX0F,2023/12/12,05:00,0.284,Real,</t>
  </si>
  <si>
    <t>ES0031408323131005HX0F,2023/12/12,06:00,0.058,Real,</t>
  </si>
  <si>
    <t>ES0031408323131005HX0F,2023/12/12,07:00,0.083,Real,</t>
  </si>
  <si>
    <t>ES0031408323131005HX0F,2023/12/12,08:00,0.091,Real,</t>
  </si>
  <si>
    <t>ES0031408323131005HX0F,2023/12/12,09:00,0.035,Real,</t>
  </si>
  <si>
    <t>ES0031408323131005HX0F,2023/12/12,10:00,0.277,Real,</t>
  </si>
  <si>
    <t>ES0031408323131005HX0F,2023/12/12,11:00,0.118,Real,</t>
  </si>
  <si>
    <t>ES0031408323131005HX0F,2023/12/12,12:00,0.109,Real,</t>
  </si>
  <si>
    <t>ES0031408323131005HX0F,2023/12/12,13:00,0.08,Real,</t>
  </si>
  <si>
    <t>ES0031408323131005HX0F,2023/12/12,14:00,0.066,Real,</t>
  </si>
  <si>
    <t>ES0031408323131005HX0F,2023/12/12,15:00,0.015,Real,</t>
  </si>
  <si>
    <t>ES0031408323131005HX0F,2023/12/12,16:00,0.338,Real,</t>
  </si>
  <si>
    <t>ES0031408323131005HX0F,2023/12/12,17:00,0.071,Real,</t>
  </si>
  <si>
    <t>ES0031408323131005HX0F,2023/12/12,18:00,0.067,Real,</t>
  </si>
  <si>
    <t>ES0031408323131005HX0F,2023/12/12,19:00,0.019,Real,</t>
  </si>
  <si>
    <t>ES0031408323131005HX0F,2023/12/12,20:00,0.068,Real,</t>
  </si>
  <si>
    <t>ES0031408323131005HX0F,2023/12/12,21:00,0.071,Real,</t>
  </si>
  <si>
    <t>ES0031408323131005HX0F,2023/12/12,22:00,0.344,Real,</t>
  </si>
  <si>
    <t>ES0031408323131005HX0F,2023/12/12,23:00,0.019,Real,</t>
  </si>
  <si>
    <t>ES0031408323131005HX0F,2023/12/12,24:00,0.13,Real,</t>
  </si>
  <si>
    <t>ES0031408323131005HX0F,2023/12/13,01:00,0.07,Real,</t>
  </si>
  <si>
    <t>ES0031408323131005HX0F,2023/12/13,02:00,0.073,Real,</t>
  </si>
  <si>
    <t>ES0031408323131005HX0F,2023/12/13,03:00,0.043,Real,</t>
  </si>
  <si>
    <t>ES0031408323131005HX0F,2023/12/13,04:00,0.397,Real,</t>
  </si>
  <si>
    <t>ES0031408323131005HX0F,2023/12/13,05:00,0.088,Real,</t>
  </si>
  <si>
    <t>ES0031408323131005HX0F,2023/12/13,06:00,0.069,Real,</t>
  </si>
  <si>
    <t>ES0031408323131005HX0F,2023/12/13,07:00,0.038,Real,</t>
  </si>
  <si>
    <t>ES0031408323131005HX0F,2023/12/13,08:00,0.03,Real,</t>
  </si>
  <si>
    <t>ES0031408323131005HX0F,2023/12/13,09:00,0.388,Real,</t>
  </si>
  <si>
    <t>ES0031408323131005HX0F,2023/12/13,10:00,0.061,Real,</t>
  </si>
  <si>
    <t>ES0031408323131005HX0F,2023/12/13,11:00,0.028,Real,</t>
  </si>
  <si>
    <t>ES0031408323131005HX0F,2023/12/13,12:00,0.029,Real,</t>
  </si>
  <si>
    <t>ES0031408323131005HX0F,2023/12/13,13:00,0.124,Real,</t>
  </si>
  <si>
    <t>ES0031408323131005HX0F,2023/12/13,14:00,0.11,Real,</t>
  </si>
  <si>
    <t>ES0031408323131005HX0F,2023/12/13,15:00,0.384,Real,</t>
  </si>
  <si>
    <t>ES0031408323131005HX0F,2023/12/13,16:00,0.06,Real,</t>
  </si>
  <si>
    <t>ES0031408323131005HX0F,2023/12/13,17:00,0.025,Real,</t>
  </si>
  <si>
    <t>ES0031408323131005HX0F,2023/12/13,18:00,0.52,Real,</t>
  </si>
  <si>
    <t>ES0031408323131005HX0F,2023/12/13,19:00,0.509,Real,</t>
  </si>
  <si>
    <t>ES0031408323131005HX0F,2023/12/13,20:00,0.118,Real,</t>
  </si>
  <si>
    <t>ES0031408323131005HX0F,2023/12/13,21:00,1.386,Real,</t>
  </si>
  <si>
    <t>ES0031408323131005HX0F,2023/12/13,22:00,0.095,Real,</t>
  </si>
  <si>
    <t>ES0031408323131005HX0F,2023/12/13,23:00,0.057,Real,</t>
  </si>
  <si>
    <t>ES0031408323131005HX0F,2023/12/13,24:00,0.07,Real,</t>
  </si>
  <si>
    <t>ES0031408323131005HX0F,2023/12/14,01:00,0.037,Real,</t>
  </si>
  <si>
    <t>ES0031408323131005HX0F,2023/12/14,02:00,0.398,Real,</t>
  </si>
  <si>
    <t>ES0031408323131005HX0F,2023/12/14,03:00,0.133,Real,</t>
  </si>
  <si>
    <t>ES0031408323131005HX0F,2023/12/14,04:00,0.067,Real,</t>
  </si>
  <si>
    <t>ES0031408323131005HX0F,2023/12/14,05:00,0.081,Real,</t>
  </si>
  <si>
    <t>ES0031408323131005HX0F,2023/12/14,06:00,0.016,Real,</t>
  </si>
  <si>
    <t>ES0031408323131005HX0F,2023/12/14,07:00,0.153,Real,</t>
  </si>
  <si>
    <t>ES0031408323131005HX0F,2023/12/14,08:00,0.296,Real,</t>
  </si>
  <si>
    <t>ES0031408323131005HX0F,2023/12/14,09:00,0.089,Real,</t>
  </si>
  <si>
    <t>ES0031408323131005HX0F,2023/12/14,10:00,0.015,Real,</t>
  </si>
  <si>
    <t>ES0031408323131005HX0F,2023/12/14,11:00,0.036,Real,</t>
  </si>
  <si>
    <t>ES0031408323131005HX0F,2023/12/14,12:00,0.105,Real,</t>
  </si>
  <si>
    <t>ES0031408323131005HX0F,2023/12/14,13:00,0.348,Real,</t>
  </si>
  <si>
    <t>ES0031408323131005HX0F,2023/12/14,14:00,0.066,Real,</t>
  </si>
  <si>
    <t>ES0031408323131005HX0F,2023/12/14,15:00,0.172,Real,</t>
  </si>
  <si>
    <t>ES0031408323131005HX0F,2023/12/14,16:00,0.113,Real,</t>
  </si>
  <si>
    <t>ES0031408323131005HX0F,2023/12/14,17:00,0.102,Real,</t>
  </si>
  <si>
    <t>ES0031408323131005HX0F,2023/12/14,18:00,0.049,Real,</t>
  </si>
  <si>
    <t>ES0031408323131005HX0F,2023/12/14,19:00,0.099,Real,</t>
  </si>
  <si>
    <t>ES0031408323131005HX0F,2023/12/14,20:00,0.309,Real,</t>
  </si>
  <si>
    <t>ES0031408323131005HX0F,2023/12/14,21:00,0.064,Real,</t>
  </si>
  <si>
    <t>ES0031408323131005HX0F,2023/12/14,22:00,0.075,Real,</t>
  </si>
  <si>
    <t>ES0031408323131005HX0F,2023/12/14,23:00,0.024,Real,</t>
  </si>
  <si>
    <t>ES0031408323131005HX0F,2023/12/14,24:00,0.117,Real,</t>
  </si>
  <si>
    <t>ES0031408323131005HX0F,2023/12/15,01:00,0.098,Real,</t>
  </si>
  <si>
    <t>ES0031408323131005HX0F,2023/12/15,02:00,0.378,Real,</t>
  </si>
  <si>
    <t>ES0031408323131005HX0F,2023/12/15,03:00,0.051,Real,</t>
  </si>
  <si>
    <t>ES0031408323131005HX0F,2023/12/15,04:00,0.028,Real,</t>
  </si>
  <si>
    <t>ES0031408323131005HX0F,2023/12/15,05:00,0.098,Real,</t>
  </si>
  <si>
    <t>ES0031408323131005HX0F,2023/12/15,06:00,0.06,Real,</t>
  </si>
  <si>
    <t>ES0031408323131005HX0F,2023/12/15,07:00,0.042,Real,</t>
  </si>
  <si>
    <t>ES0031408323131005HX0F,2023/12/15,08:00,0.356,Real,</t>
  </si>
  <si>
    <t>ES0031408323131005HX0F,2023/12/15,09:00,0.107,Real,</t>
  </si>
  <si>
    <t>ES0031408323131005HX0F,2023/12/15,10:00,0.059,Real,</t>
  </si>
  <si>
    <t>ES0031408323131005HX0F,2023/12/15,11:00,0.032,Real,</t>
  </si>
  <si>
    <t>ES0031408323131005HX0F,2023/12/15,12:00,0.017,Real,</t>
  </si>
  <si>
    <t>ES0031408323131005HX0F,2023/12/15,13:00,0.108,Real,</t>
  </si>
  <si>
    <t>ES0031408323131005HX0F,2023/12/15,14:00,0.424,Real,</t>
  </si>
  <si>
    <t>ES0031408323131005HX0F,2023/12/15,15:00,0.082,Real,</t>
  </si>
  <si>
    <t>ES0031408323131005HX0F,2023/12/15,16:00,0.078,Real,</t>
  </si>
  <si>
    <t>ES0031408323131005HX0F,2023/12/15,17:00,0.02,Real,</t>
  </si>
  <si>
    <t>ES0031408323131005HX0F,2023/12/15,18:00,0.048,Real,</t>
  </si>
  <si>
    <t>ES0031408323131005HX0F,2023/12/15,19:00,0.187,Real,</t>
  </si>
  <si>
    <t>ES0031408323131005HX0F,2023/12/15,20:00,1.943,Real,</t>
  </si>
  <si>
    <t>ES0031408323131005HX0F,2023/12/15,21:00,2.144,Real,</t>
  </si>
  <si>
    <t>ES0031408323131005HX0F,2023/12/15,22:00,0.151,Real,</t>
  </si>
  <si>
    <t>ES0031408323131005HX0F,2023/12/15,23:00,0.115,Real,</t>
  </si>
  <si>
    <t>ES0031408323131005HX0F,2023/12/15,24:00,0.054,Real,</t>
  </si>
  <si>
    <t>ES0031408323131005HX0F,2023/12/16,01:00,0.036,Real,</t>
  </si>
  <si>
    <t>ES0031408323131005HX0F,2023/12/16,02:00,0.073,Real,</t>
  </si>
  <si>
    <t>ES0031408323131005HX0F,2023/12/16,03:00,0.378,Real,</t>
  </si>
  <si>
    <t>ES0031408323131005HX0F,2023/12/16,04:00,0.097,Real,</t>
  </si>
  <si>
    <t>ES0031408323131005HX0F,2023/12/16,05:00,0.015,Real,</t>
  </si>
  <si>
    <t>ES0031408323131005HX0F,2023/12/16,06:00,0.024,Real,</t>
  </si>
  <si>
    <t>ES0031408323131005HX0F,2023/12/16,07:00,0.106,Real,</t>
  </si>
  <si>
    <t>ES0031408323131005HX0F,2023/12/16,08:00,0.376,Real,</t>
  </si>
  <si>
    <t>ES0031408323131005HX0F,2023/12/16,09:00,0.032,Real,</t>
  </si>
  <si>
    <t>ES0031408323131005HX0F,2023/12/16,10:00,0.46,Real,</t>
  </si>
  <si>
    <t>ES0031408323131005HX0F,2023/12/16,11:00,0.179,Real,</t>
  </si>
  <si>
    <t>ES0031408323131005HX0F,2023/12/16,12:00,0.122,Real,</t>
  </si>
  <si>
    <t>ES0031408323131005HX0F,2023/12/16,13:00,0.114,Real,</t>
  </si>
  <si>
    <t>ES0031408323131005HX0F,2023/12/16,14:00,0.303,Real,</t>
  </si>
  <si>
    <t>ES0031408323131005HX0F,2023/12/16,15:00,0.07,Real,</t>
  </si>
  <si>
    <t>ES0031408323131005HX0F,2023/12/16,16:00,0.118,Real,</t>
  </si>
  <si>
    <t>ES0031408323131005HX0F,2023/12/16,17:00,0.113,Real,</t>
  </si>
  <si>
    <t>ES0031408323131005HX0F,2023/12/16,18:00,0.074,Real,</t>
  </si>
  <si>
    <t>ES0031408323131005HX0F,2023/12/16,19:00,0.022,Real,</t>
  </si>
  <si>
    <t>ES0031408323131005HX0F,2023/12/16,20:00,0.144,Real,</t>
  </si>
  <si>
    <t>ES0031408323131005HX0F,2023/12/16,21:00,0.411,Real,</t>
  </si>
  <si>
    <t>ES0031408323131005HX0F,2023/12/16,22:00,2.979,Real,</t>
  </si>
  <si>
    <t>ES0031408323131005HX0F,2023/12/16,23:00,0.395,Real,</t>
  </si>
  <si>
    <t>ES0031408323131005HX0F,2023/12/16,24:00,0.091,Real,</t>
  </si>
  <si>
    <t>ES0031408323131005HX0F,2023/12/17,01:00,0.068,Real,</t>
  </si>
  <si>
    <t>ES0031408323131005HX0F,2023/12/17,02:00,0.306,Real,</t>
  </si>
  <si>
    <t>ES0031408323131005HX0F,2023/12/17,03:00,0.127,Real,</t>
  </si>
  <si>
    <t>ES0031408323131005HX0F,2023/12/17,04:00,0.062,Real,</t>
  </si>
  <si>
    <t>ES0031408323131005HX0F,2023/12/17,05:00,0.089,Real,</t>
  </si>
  <si>
    <t>ES0031408323131005HX0F,2023/12/17,06:00,0.029,Real,</t>
  </si>
  <si>
    <t>ES0031408323131005HX0F,2023/12/17,07:00,0.016,Real,</t>
  </si>
  <si>
    <t>ES0031408323131005HX0F,2023/12/17,08:00,0.38,Real,</t>
  </si>
  <si>
    <t>ES0031408323131005HX0F,2023/12/17,09:00,0.048,Real,</t>
  </si>
  <si>
    <t>ES0031408323131005HX0F,2023/12/17,10:00,0.065,Real,</t>
  </si>
  <si>
    <t>ES0031408323131005HX0F,2023/12/17,11:00,0.034,Real,</t>
  </si>
  <si>
    <t>ES0031408323131005HX0F,2023/12/17,12:00,0.866,Real,</t>
  </si>
  <si>
    <t>ES0031408323131005HX0F,2023/12/17,13:00,0.306,Real,</t>
  </si>
  <si>
    <t>ES0031408323131005HX0F,2023/12/17,14:00,0.303,Real,</t>
  </si>
  <si>
    <t>ES0031408323131005HX0F,2023/12/17,15:00,0.037,Real,</t>
  </si>
  <si>
    <t>ES0031408323131005HX0F,2023/12/17,16:00,0.064,Real,</t>
  </si>
  <si>
    <t>ES0031408323131005HX0F,2023/12/17,17:00,0.391,Real,</t>
  </si>
  <si>
    <t>ES0031408323131005HX0F,2023/12/17,18:00,0.103,Real,</t>
  </si>
  <si>
    <t>ES0031408323131005HX0F,2023/12/17,19:00,0.046,Real,</t>
  </si>
  <si>
    <t>ES0031408323131005HX0F,2023/12/17,20:00,0.074,Real,</t>
  </si>
  <si>
    <t>ES0031408323131005HX0F,2023/12/17,21:00,1.725,Real,</t>
  </si>
  <si>
    <t>ES0031408323131005HX0F,2023/12/17,22:00,0.918,Real,</t>
  </si>
  <si>
    <t>ES0031408323131005HX0F,2023/12/17,23:00,0.079,Real,</t>
  </si>
  <si>
    <t>ES0031408323131005HX0F,2023/12/17,24:00,0.079,Real,</t>
  </si>
  <si>
    <t>ES0031408323131005HX0F,2023/12/18,01:00,0.348,Real,</t>
  </si>
  <si>
    <t>ES0031408323131005HX0F,2023/12/18,02:00,0.067,Real,</t>
  </si>
  <si>
    <t>ES0031408323131005HX0F,2023/12/18,03:00,0.036,Real,</t>
  </si>
  <si>
    <t>ES0031408323131005HX0F,2023/12/18,04:00,0.053,Real,</t>
  </si>
  <si>
    <t>ES0031408323131005HX0F,2023/12/18,05:00,0.098,Real,</t>
  </si>
  <si>
    <t>ES0031408323131005HX0F,2023/12/18,06:00,0.061,Real,</t>
  </si>
  <si>
    <t>ES0031408323131005HX0F,2023/12/18,07:00,0.315,Real,</t>
  </si>
  <si>
    <t>ES0031408323131005HX0F,2023/12/18,08:00,0.038,Real,</t>
  </si>
  <si>
    <t>ES0031408323131005HX0F,2023/12/18,09:00,0.094,Real,</t>
  </si>
  <si>
    <t>ES0031408323131005HX0F,2023/12/18,10:00,0.136,Real,</t>
  </si>
  <si>
    <t>ES0031408323131005HX0F,2023/12/18,11:00,0.252,Real,</t>
  </si>
  <si>
    <t>ES0031408323131005HX0F,2023/12/18,12:00,0.355,Real,</t>
  </si>
  <si>
    <t>ES0031408323131005HX0F,2023/12/18,13:00,0.015,Real,</t>
  </si>
  <si>
    <t>ES0031408323131005HX0F,2023/12/18,14:00,0.105,Real,</t>
  </si>
  <si>
    <t>ES0031408323131005HX0F,2023/12/18,15:00,0.241,Real,</t>
  </si>
  <si>
    <t>ES0031408323131005HX0F,2023/12/18,16:00,0.342,Real,</t>
  </si>
  <si>
    <t>ES0031408323131005HX0F,2023/12/18,17:00,0.537,Real,</t>
  </si>
  <si>
    <t>ES0031408323131005HX0F,2023/12/18,18:00,0.136,Real,</t>
  </si>
  <si>
    <t>ES0031408323131005HX0F,2023/12/18,19:00,0.069,Real,</t>
  </si>
  <si>
    <t>ES0031408323131005HX0F,2023/12/18,20:00,0.077,Real,</t>
  </si>
  <si>
    <t>ES0031408323131005HX0F,2023/12/18,21:00,0.087,Real,</t>
  </si>
  <si>
    <t>ES0031408323131005HX0F,2023/12/18,22:00,0.786,Real,</t>
  </si>
  <si>
    <t>ES0031408323131005HX0F,2023/12/18,23:00,1.118,Real,</t>
  </si>
  <si>
    <t>ES0031408323131005HX0F,2023/12/18,24:00,2.234,Real,</t>
  </si>
  <si>
    <t>ES0031408323131005HX0F,2023/12/19,01:00,1.07,Real,</t>
  </si>
  <si>
    <t>ES0031408323131005HX0F,2023/12/19,02:00,0.328,Real,</t>
  </si>
  <si>
    <t>ES0031408323131005HX0F,2023/12/19,03:00,0.043,Real,</t>
  </si>
  <si>
    <t>ES0031408323131005HX0F,2023/12/19,04:00,0.05,Real,</t>
  </si>
  <si>
    <t>ES0031408323131005HX0F,2023/12/19,05:00,0.113,Real,</t>
  </si>
  <si>
    <t>ES0031408323131005HX0F,2023/12/19,06:00,0.309,Real,</t>
  </si>
  <si>
    <t>ES0031408323131005HX0F,2023/12/19,07:00,0.067,Real,</t>
  </si>
  <si>
    <t>ES0031408323131005HX0F,2023/12/19,08:00,0.677,Real,</t>
  </si>
  <si>
    <t>ES0031408323131005HX0F,2023/12/19,09:00,0.106,Real,</t>
  </si>
  <si>
    <t>ES0031408323131005HX0F,2023/12/19,10:00,0.252,Real,</t>
  </si>
  <si>
    <t>ES0031408323131005HX0F,2023/12/19,11:00,0.492,Real,</t>
  </si>
  <si>
    <t>ES0031408323131005HX0F,2023/12/19,12:00,0.033,Real,</t>
  </si>
  <si>
    <t>ES0031408323131005HX0F,2023/12/19,13:00,0.038,Real,</t>
  </si>
  <si>
    <t>ES0031408323131005HX0F,2023/12/19,14:00,0.096,Real,</t>
  </si>
  <si>
    <t>ES0031408323131005HX0F,2023/12/19,15:00,0.046,Real,</t>
  </si>
  <si>
    <t>ES0031408323131005HX0F,2023/12/19,16:00,0.333,Real,</t>
  </si>
  <si>
    <t>ES0031408323131005HX0F,2023/12/19,17:00,0.022,Real,</t>
  </si>
  <si>
    <t>ES0031408323131005HX0F,2023/12/19,18:00,0.072,Real,</t>
  </si>
  <si>
    <t>ES0031408323131005HX0F,2023/12/19,19:00,0.085,Real,</t>
  </si>
  <si>
    <t>ES0031408323131005HX0F,2023/12/19,20:00,0.072,Real,</t>
  </si>
  <si>
    <t>ES0031408323131005HX0F,2023/12/19,21:00,0.045,Real,</t>
  </si>
  <si>
    <t>ES0031408323131005HX0F,2023/12/19,22:00,0.757,Real,</t>
  </si>
  <si>
    <t>ES0031408323131005HX0F,2023/12/19,23:00,0.44,Real,</t>
  </si>
  <si>
    <t>ES0031408323131005HX0F,2023/12/19,24:00,1.073,Real,</t>
  </si>
  <si>
    <t>ES0031408323131005HX0F,2023/12/20,01:00,0.5,Real,</t>
  </si>
  <si>
    <t>ES0031408323131005HX0F,2023/12/20,02:00,0.051,Real,</t>
  </si>
  <si>
    <t>ES0031408323131005HX0F,2023/12/20,03:00,0.064,Real,</t>
  </si>
  <si>
    <t>ES0031408323131005HX0F,2023/12/20,04:00,0.384,Real,</t>
  </si>
  <si>
    <t>ES0031408323131005HX0F,2023/12/20,05:00,0.073,Real,</t>
  </si>
  <si>
    <t>ES0031408323131005HX0F,2023/12/20,06:00,0.051,Real,</t>
  </si>
  <si>
    <t>ES0031408323131005HX0F,2023/12/20,07:00,0.018,Real,</t>
  </si>
  <si>
    <t>ES0031408323131005HX0F,2023/12/20,08:00,0.108,Real,</t>
  </si>
  <si>
    <t>ES0031408323131005HX0F,2023/12/20,09:00,0.06,Real,</t>
  </si>
  <si>
    <t>ES0031408323131005HX0F,2023/12/20,10:00,0.812,Real,</t>
  </si>
  <si>
    <t>ES0031408323131005HX0F,2023/12/20,11:00,0.362,Real,</t>
  </si>
  <si>
    <t>ES0031408323131005HX0F,2023/12/20,12:00,0.088,Real,</t>
  </si>
  <si>
    <t>ES0031408323131005HX0F,2023/12/20,13:00,0.046,Real,</t>
  </si>
  <si>
    <t>ES0031408323131005HX0F,2023/12/20,14:00,0.094,Real,</t>
  </si>
  <si>
    <t>ES0031408323131005HX0F,2023/12/20,15:00,0.021,Real,</t>
  </si>
  <si>
    <t>ES0031408323131005HX0F,2023/12/20,16:00,0.33,Real,</t>
  </si>
  <si>
    <t>ES0031408323131005HX0F,2023/12/20,17:00,0.068,Real,</t>
  </si>
  <si>
    <t>ES0031408323131005HX0F,2023/12/20,18:00,0.091,Real,</t>
  </si>
  <si>
    <t>ES0031408323131005HX0F,2023/12/20,19:00,0.034,Real,</t>
  </si>
  <si>
    <t>ES0031408323131005HX0F,2023/12/20,20:00,0.026,Real,</t>
  </si>
  <si>
    <t>ES0031408323131005HX0F,2023/12/20,21:00,0.327,Real,</t>
  </si>
  <si>
    <t>ES0031408323131005HX0F,2023/12/20,22:00,0.403,Real,</t>
  </si>
  <si>
    <t>ES0031408323131005HX0F,2023/12/20,23:00,0.117,Real,</t>
  </si>
  <si>
    <t>ES0031408323131005HX0F,2023/12/20,24:00,0.083,Real,</t>
  </si>
  <si>
    <t>ES0031408323131005HX0F,2023/12/21,01:00,0.135,Real,</t>
  </si>
  <si>
    <t>ES0031408323131005HX0F,2023/12/21,02:00,0.18,Real,</t>
  </si>
  <si>
    <t>ES0031408323131005HX0F,2023/12/21,03:00,0.39,Real,</t>
  </si>
  <si>
    <t>ES0031408323131005HX0F,2023/12/21,04:00,0.071,Real,</t>
  </si>
  <si>
    <t>ES0031408323131005HX0F,2023/12/21,05:00,0.03,Real,</t>
  </si>
  <si>
    <t>ES0031408323131005HX0F,2023/12/21,06:00,0.054,Real,</t>
  </si>
  <si>
    <t>ES0031408323131005HX0F,2023/12/21,07:00,0.087,Real,</t>
  </si>
  <si>
    <t>ES0031408323131005HX0F,2023/12/21,08:00,0.08,Real,</t>
  </si>
  <si>
    <t>ES0031408323131005HX0F,2023/12/21,09:00,0.414,Real,</t>
  </si>
  <si>
    <t>ES0031408323131005HX0F,2023/12/21,10:00,0.02,Real,</t>
  </si>
  <si>
    <t>ES0031408323131005HX0F,2023/12/21,11:00,0.106,Real,</t>
  </si>
  <si>
    <t>ES0031408323131005HX0F,2023/12/21,12:00,0.046,Real,</t>
  </si>
  <si>
    <t>ES0031408323131005HX0F,2023/12/21,13:00,0.097,Real,</t>
  </si>
  <si>
    <t>ES0031408323131005HX0F,2023/12/21,14:00,0.322,Real,</t>
  </si>
  <si>
    <t>ES0031408323131005HX0F,2023/12/21,15:00,0.074,Real,</t>
  </si>
  <si>
    <t>ES0031408323131005HX0F,2023/12/21,16:00,0.066,Real,</t>
  </si>
  <si>
    <t>ES0031408323131005HX0F,2023/12/21,17:00,0.091,Real,</t>
  </si>
  <si>
    <t>ES0031408323131005HX0F,2023/12/21,18:00,0.046,Real,</t>
  </si>
  <si>
    <t>ES0031408323131005HX0F,2023/12/21,19:00,0.019,Real,</t>
  </si>
  <si>
    <t>ES0031408323131005HX0F,2023/12/21,20:00,0.394,Real,</t>
  </si>
  <si>
    <t>ES0031408323131005HX0F,2023/12/21,21:00,0.044,Real,</t>
  </si>
  <si>
    <t>ES0031408323131005HX0F,2023/12/21,22:00,0.566,Real,</t>
  </si>
  <si>
    <t>ES0031408323131005HX0F,2023/12/21,23:00,0.565,Real,</t>
  </si>
  <si>
    <t>ES0031408323131005HX0F,2023/12/21,24:00,0.031,Real,</t>
  </si>
  <si>
    <t>ES0031408323131005HX0F,2023/12/22,01:00,0.117,Real,</t>
  </si>
  <si>
    <t>ES0031408323131005HX0F,2023/12/22,02:00,0.134,Real,</t>
  </si>
  <si>
    <t>ES0031408323131005HX0F,2023/12/22,03:00,0.094,Real,</t>
  </si>
  <si>
    <t>ES0031408323131005HX0F,2023/12/22,04:00,0.355,Real,</t>
  </si>
  <si>
    <t>ES0031408323131005HX0F,2023/12/22,05:00,0.026,Real,</t>
  </si>
  <si>
    <t>ES0031408323131005HX0F,2023/12/22,06:00,0.101,Real,</t>
  </si>
  <si>
    <t>ES0031408323131005HX0F,2023/12/22,07:00,0.059,Real,</t>
  </si>
  <si>
    <t>ES0031408323131005HX0F,2023/12/22,08:00,0.078,Real,</t>
  </si>
  <si>
    <t>ES0031408323131005HX0F,2023/12/22,09:00,0.317,Real,</t>
  </si>
  <si>
    <t>ES0031408323131005HX0F,2023/12/22,10:00,0.137,Real,</t>
  </si>
  <si>
    <t>ES0031408323131005HX0F,2023/12/22,11:00,0.11,Real,</t>
  </si>
  <si>
    <t>ES0031408323131005HX0F,2023/12/22,12:00,0.157,Real,</t>
  </si>
  <si>
    <t>ES0031408323131005HX0F,2023/12/22,13:00,0.385,Real,</t>
  </si>
  <si>
    <t>ES0031408323131005HX0F,2023/12/22,14:00,0.098,Real,</t>
  </si>
  <si>
    <t>ES0031408323131005HX0F,2023/12/22,15:00,0.118,Real,</t>
  </si>
  <si>
    <t>ES0031408323131005HX0F,2023/12/22,16:00,0.121,Real,</t>
  </si>
  <si>
    <t>ES0031408323131005HX0F,2023/12/22,17:00,0.091,Real,</t>
  </si>
  <si>
    <t>ES0031408323131005HX0F,2023/12/22,18:00,0.058,Real,</t>
  </si>
  <si>
    <t>ES0031408323131005HX0F,2023/12/22,19:00,0.408,Real,</t>
  </si>
  <si>
    <t>ES0031408323131005HX0F,2023/12/22,20:00,0.086,Real,</t>
  </si>
  <si>
    <t>ES0031408323131005HX0F,2023/12/22,21:00,1.266,Real,</t>
  </si>
  <si>
    <t>ES0031408323131005HX0F,2023/12/22,22:00,1.442,Real,</t>
  </si>
  <si>
    <t>ES0031408323131005HX0F,2023/12/22,23:00,0.104,Real,</t>
  </si>
  <si>
    <t>ES0031408323131005HX0F,2023/12/22,24:00,0.075,Real,</t>
  </si>
  <si>
    <t>ES0031408323131005HX0F,2023/12/23,01:00,0.063,Real,</t>
  </si>
  <si>
    <t>ES0031408323131005HX0F,2023/12/23,02:00,0.071,Real,</t>
  </si>
  <si>
    <t>ES0031408323131005HX0F,2023/12/23,03:00,0.368,Real,</t>
  </si>
  <si>
    <t>ES0031408323131005HX0F,2023/12/23,04:00,0.136,Real,</t>
  </si>
  <si>
    <t>ES0031408323131005HX0F,2023/12/23,05:00,0.088,Real,</t>
  </si>
  <si>
    <t>ES0031408323131005HX0F,2023/12/23,06:00,0.093,Real,</t>
  </si>
  <si>
    <t>ES0031408323131005HX0F,2023/12/23,07:00,0.033,Real,</t>
  </si>
  <si>
    <t>ES0031408323131005HX0F,2023/12/23,08:00,0.845,Real,</t>
  </si>
  <si>
    <t>ES0031408323131005HX0F,2023/12/23,09:00,0.53,Real,</t>
  </si>
  <si>
    <t>ES0031408323131005HX0F,2023/12/23,10:00,0.27,Real,</t>
  </si>
  <si>
    <t>ES0031408323131005HX0F,2023/12/23,11:00,0.137,Real,</t>
  </si>
  <si>
    <t>ES0031408323131005HX0F,2023/12/23,12:00,0.133,Real,</t>
  </si>
  <si>
    <t>ES0031408323131005HX0F,2023/12/23,13:00,0.359,Real,</t>
  </si>
  <si>
    <t>ES0031408323131005HX0F,2023/12/23,14:00,0.056,Real,</t>
  </si>
  <si>
    <t>ES0031408323131005HX0F,2023/12/23,15:00,0.04,Real,</t>
  </si>
  <si>
    <t>ES0031408323131005HX0F,2023/12/23,16:00,0.168,Real,</t>
  </si>
  <si>
    <t>ES0031408323131005HX0F,2023/12/23,17:00,0.117,Real,</t>
  </si>
  <si>
    <t>ES0031408323131005HX0F,2023/12/23,18:00,0.052,Real,</t>
  </si>
  <si>
    <t>ES0031408323131005HX0F,2023/12/23,19:00,0.395,Real,</t>
  </si>
  <si>
    <t>ES0031408323131005HX0F,2023/12/23,20:00,0.666,Real,</t>
  </si>
  <si>
    <t>ES0031408323131005HX0F,2023/12/23,21:00,1.539,Real,</t>
  </si>
  <si>
    <t>ES0031408323131005HX0F,2023/12/23,22:00,0.055,Real,</t>
  </si>
  <si>
    <t>ES0031408323131005HX0F,2023/12/23,23:00,0.107,Real,</t>
  </si>
  <si>
    <t>ES0031408323131005HX0F,2023/12/23,24:00,0.03,Real,</t>
  </si>
  <si>
    <t>ES0031408323131005HX0F,2023/12/24,01:00,0.084,Real,</t>
  </si>
  <si>
    <t>ES0031408323131005HX0F,2023/12/24,02:00,0.379,Real,</t>
  </si>
  <si>
    <t>ES0031408323131005HX0F,2023/12/24,03:00,0.105,Real,</t>
  </si>
  <si>
    <t>ES0031408323131005HX0F,2023/12/24,04:00,0.071,Real,</t>
  </si>
  <si>
    <t>ES0031408323131005HX0F,2023/12/24,05:00,0.074,Real,</t>
  </si>
  <si>
    <t>ES0031408323131005HX0F,2023/12/24,06:00,0.117,Real,</t>
  </si>
  <si>
    <t>ES0031408323131005HX0F,2023/12/24,07:00,0.078,Real,</t>
  </si>
  <si>
    <t>ES0031408323131005HX0F,2023/12/24,08:00,0.322,Real,</t>
  </si>
  <si>
    <t>ES0031408323131005HX0F,2023/12/24,09:00,0.067,Real,</t>
  </si>
  <si>
    <t>ES0031408323131005HX0F,2023/12/24,10:00,0.098,Real,</t>
  </si>
  <si>
    <t>ES0031408323131005HX0F,2023/12/24,11:00,0.082,Real,</t>
  </si>
  <si>
    <t>ES0031408323131005HX0F,2023/12/24,12:00,0.053,Real,</t>
  </si>
  <si>
    <t>ES0031408323131005HX0F,2023/12/24,13:00,0.034,Real,</t>
  </si>
  <si>
    <t>ES0031408323131005HX0F,2023/12/24,14:00,0.391,Real,</t>
  </si>
  <si>
    <t>ES0031408323131005HX0F,2023/12/24,15:00,0.059,Real,</t>
  </si>
  <si>
    <t>ES0031408323131005HX0F,2023/12/24,16:00,0.082,Real,</t>
  </si>
  <si>
    <t>ES0031408323131005HX0F,2023/12/24,17:00,0.027,Real,</t>
  </si>
  <si>
    <t>ES0031408323131005HX0F,2023/12/24,18:00,0.093,Real,</t>
  </si>
  <si>
    <t>ES0031408323131005HX0F,2023/12/24,19:00,0.729,Real,</t>
  </si>
  <si>
    <t>ES0031408323131005HX0F,2023/12/24,20:00,0.219,Real,</t>
  </si>
  <si>
    <t>ES0031408323131005HX0F,2023/12/24,21:00,0.432,Real,</t>
  </si>
  <si>
    <t>ES0031408323131005HX0F,2023/12/24,22:00,0.096,Real,</t>
  </si>
  <si>
    <t>ES0031408323131005HX0F,2023/12/24,23:00,0.066,Real,</t>
  </si>
  <si>
    <t>ES0031408323131005HX0F,2023/12/24,24:00,0.111,Real,</t>
  </si>
  <si>
    <t>ES0031408323131005HX0F,2023/12/25,01:00,0.311,Real,</t>
  </si>
  <si>
    <t>ES0031408323131005HX0F,2023/12/25,02:00,0.043,Real,</t>
  </si>
  <si>
    <t>ES0031408323131005HX0F,2023/12/25,03:00,0.129,Real,</t>
  </si>
  <si>
    <t>ES0031408323131005HX0F,2023/12/25,04:00,0.071,Real,</t>
  </si>
  <si>
    <t>ES0031408323131005HX0F,2023/12/25,05:00,0.086,Real,</t>
  </si>
  <si>
    <t>ES0031408323131005HX0F,2023/12/25,06:00,0.318,Real,</t>
  </si>
  <si>
    <t>ES0031408323131005HX0F,2023/12/25,07:00,0.098,Real,</t>
  </si>
  <si>
    <t>ES0031408323131005HX0F,2023/12/25,08:00,0.119,Real,</t>
  </si>
  <si>
    <t>ES0031408323131005HX0F,2023/12/25,09:00,0.067,Real,</t>
  </si>
  <si>
    <t>ES0031408323131005HX0F,2023/12/25,10:00,0.08,Real,</t>
  </si>
  <si>
    <t>ES0031408323131005HX0F,2023/12/25,11:00,0.028,Real,</t>
  </si>
  <si>
    <t>ES0031408323131005HX0F,2023/12/25,12:00,0.371,Real,</t>
  </si>
  <si>
    <t>ES0031408323131005HX0F,2023/12/25,13:00,0.065,Real,</t>
  </si>
  <si>
    <t>ES0031408323131005HX0F,2023/12/25,14:00,0.105,Real,</t>
  </si>
  <si>
    <t>ES0031408323131005HX0F,2023/12/25,15:00,0.033,Real,</t>
  </si>
  <si>
    <t>ES0031408323131005HX0F,2023/12/25,16:00,0.055,Real,</t>
  </si>
  <si>
    <t>ES0031408323131005HX0F,2023/12/25,17:00,0.127,Real,</t>
  </si>
  <si>
    <t>ES0031408323131005HX0F,2023/12/25,18:00,0.339,Real,</t>
  </si>
  <si>
    <t>ES0031408323131005HX0F,2023/12/25,19:00,0.066,Real,</t>
  </si>
  <si>
    <t>ES0031408323131005HX0F,2023/12/25,20:00,0.027,Real,</t>
  </si>
  <si>
    <t>ES0031408323131005HX0F,2023/12/25,21:00,0.099,Real,</t>
  </si>
  <si>
    <t>ES0031408323131005HX0F,2023/12/25,22:00,0.053,Real,</t>
  </si>
  <si>
    <t>ES0031408323131005HX0F,2023/12/25,23:00,0.403,Real,</t>
  </si>
  <si>
    <t>ES0031408323131005HX0F,2023/12/25,24:00,0.042,Real,</t>
  </si>
  <si>
    <t>ES0031408323131005HX0F,2023/12/26,01:00,0.018,Real,</t>
  </si>
  <si>
    <t>ES0031408323131005HX0F,2023/12/26,02:00,0.018,Real,</t>
  </si>
  <si>
    <t>ES0031408323131005HX0F,2023/12/26,03:00,0.114,Real,</t>
  </si>
  <si>
    <t>ES0031408323131005HX0F,2023/12/26,04:00,0.051,Real,</t>
  </si>
  <si>
    <t>ES0031408323131005HX0F,2023/12/26,05:00,0.363,Real,</t>
  </si>
  <si>
    <t>ES0031408323131005HX0F,2023/12/26,06:00,0.018,Real,</t>
  </si>
  <si>
    <t>ES0031408323131005HX0F,2023/12/26,07:00,0.042,Real,</t>
  </si>
  <si>
    <t>ES0031408323131005HX0F,2023/12/26,08:00,0.077,Real,</t>
  </si>
  <si>
    <t>ES0031408323131005HX0F,2023/12/26,09:00,0.052,Real,</t>
  </si>
  <si>
    <t>ES0031408323131005HX0F,2023/12/26,10:00,0.018,Real,</t>
  </si>
  <si>
    <t>ES0031408323131005HX0F,2023/12/26,11:00,0.175,Real,</t>
  </si>
  <si>
    <t>ES0031408323131005HX0F,2023/12/26,12:00,0.237,Real,</t>
  </si>
  <si>
    <t>ES0031408323131005HX0F,2023/12/26,13:00,0.049,Real,</t>
  </si>
  <si>
    <t>ES0031408323131005HX0F,2023/12/26,14:00,0.034,Real,</t>
  </si>
  <si>
    <t>ES0031408323131005HX0F,2023/12/26,15:00,0.017,Real,</t>
  </si>
  <si>
    <t>ES0031408323131005HX0F,2023/12/26,16:00,0.068,Real,</t>
  </si>
  <si>
    <t>ES0031408323131005HX0F,2023/12/26,17:00,0.254,Real,</t>
  </si>
  <si>
    <t>ES0031408323131005HX0F,2023/12/26,18:00,0.176,Real,</t>
  </si>
  <si>
    <t>ES0031408323131005HX0F,2023/12/26,19:00,0.059,Real,</t>
  </si>
  <si>
    <t>ES0031408323131005HX0F,2023/12/26,20:00,0.103,Real,</t>
  </si>
  <si>
    <t>ES0031408323131005HX0F,2023/12/26,21:00,0.075,Real,</t>
  </si>
  <si>
    <t>ES0031408323131005HX0F,2023/12/26,22:00,0.023,Real,</t>
  </si>
  <si>
    <t>ES0031408323131005HX0F,2023/12/26,23:00,0.372,Real,</t>
  </si>
  <si>
    <t>ES0031408323131005HX0F,2023/12/26,24:00,0.073,Real,</t>
  </si>
  <si>
    <t>ES0031408323131005HX0F,2023/12/27,01:00,0.026,Real,</t>
  </si>
  <si>
    <t>ES0031408323131005HX0F,2023/12/27,02:00,0.075,Real,</t>
  </si>
  <si>
    <t>ES0031408323131005HX0F,2023/12/27,03:00,0.091,Real,</t>
  </si>
  <si>
    <t>ES0031408323131005HX0F,2023/12/27,04:00,0.066,Real,</t>
  </si>
  <si>
    <t>ES0031408323131005HX0F,2023/12/27,05:00,0.345,Real,</t>
  </si>
  <si>
    <t>ES0031408323131005HX0F,2023/12/27,06:00,0.081,Real,</t>
  </si>
  <si>
    <t>ES0031408323131005HX0F,2023/12/27,07:00,0.083,Real,</t>
  </si>
  <si>
    <t>ES0031408323131005HX0F,2023/12/27,08:00,0.025,Real,</t>
  </si>
  <si>
    <t>ES0031408323131005HX0F,2023/12/27,09:00,0.089,Real,</t>
  </si>
  <si>
    <t>ES0031408323131005HX0F,2023/12/27,10:00,0.063,Real,</t>
  </si>
  <si>
    <t>ES0031408323131005HX0F,2023/12/27,11:00,0.335,Real,</t>
  </si>
  <si>
    <t>ES0031408323131005HX0F,2023/12/27,12:00,0.028,Real,</t>
  </si>
  <si>
    <t>ES0031408323131005HX0F,2023/12/27,13:00,0.085,Real,</t>
  </si>
  <si>
    <t>ES0031408323131005HX0F,2023/12/27,14:00,0.087,Real,</t>
  </si>
  <si>
    <t>ES0031408323131005HX0F,2023/12/27,15:00,0.027,Real,</t>
  </si>
  <si>
    <t>ES0031408323131005HX0F,2023/12/27,16:00,0.353,Real,</t>
  </si>
  <si>
    <t>ES0031408323131005HX0F,2023/12/27,17:00,0.06,Real,</t>
  </si>
  <si>
    <t>ES0031408323131005HX0F,2023/12/27,18:00,0.083,Real,</t>
  </si>
  <si>
    <t>ES0031408323131005HX0F,2023/12/27,19:00,0.023,Real,</t>
  </si>
  <si>
    <t>ES0031408323131005HX0F,2023/12/27,20:00,0.091,Real,</t>
  </si>
  <si>
    <t>ES0031408323131005HX0F,2023/12/27,21:00,0.073,Real,</t>
  </si>
  <si>
    <t>ES0031408323131005HX0F,2023/12/27,22:00,0.34,Real,</t>
  </si>
  <si>
    <t>ES0031408323131005HX0F,2023/12/27,23:00,0.084,Real,</t>
  </si>
  <si>
    <t>ES0031408323131005HX0F,2023/12/27,24:00,0.085,Real,</t>
  </si>
  <si>
    <t>ES0031408323131005HX0F,2023/12/28,01:00,0.055,Real,</t>
  </si>
  <si>
    <t>ES0031408323131005HX0F,2023/12/28,02:00,0.042,Real,</t>
  </si>
  <si>
    <t>ES0031408323131005HX0F,2023/12/28,03:00,0.382,Real,</t>
  </si>
  <si>
    <t>ES0031408323131005HX0F,2023/12/28,04:00,0.084,Real,</t>
  </si>
  <si>
    <t>ES0031408323131005HX0F,2023/12/28,05:00,0.022,Real,</t>
  </si>
  <si>
    <t>ES0031408323131005HX0F,2023/12/28,06:00,0.093,Real,</t>
  </si>
  <si>
    <t>ES0031408323131005HX0F,2023/12/28,07:00,0.081,Real,</t>
  </si>
  <si>
    <t>ES0031408323131005HX0F,2023/12/28,08:00,0.17,Real,</t>
  </si>
  <si>
    <t>ES0031408323131005HX0F,2023/12/28,09:00,0.193,Real,</t>
  </si>
  <si>
    <t>ES0031408323131005HX0F,2023/12/28,10:00,0.062,Real,</t>
  </si>
  <si>
    <t>ES0031408323131005HX0F,2023/12/28,11:00,0.082,Real,</t>
  </si>
  <si>
    <t>ES0031408323131005HX0F,2023/12/28,12:00,0.023,Real,</t>
  </si>
  <si>
    <t>ES0031408323131005HX0F,2023/12/28,13:00,0.089,Real,</t>
  </si>
  <si>
    <t>ES0031408323131005HX0F,2023/12/28,14:00,0.313,Real,</t>
  </si>
  <si>
    <t>ES0031408323131005HX0F,2023/12/28,15:00,0.039,Real,</t>
  </si>
  <si>
    <t>ES0031408323131005HX0F,2023/12/28,16:00,0.015,Real,</t>
  </si>
  <si>
    <t>ES0031408323131005HX0F,2023/12/28,17:00,0.033,Real,</t>
  </si>
  <si>
    <t>ES0031408323131005HX0F,2023/12/28,18:00,0.075,Real,</t>
  </si>
  <si>
    <t>ES0031408323131005HX0F,2023/12/28,19:00,0.329,Real,</t>
  </si>
  <si>
    <t>ES0031408323131005HX0F,2023/12/28,20:00,0.062,Real,</t>
  </si>
  <si>
    <t>ES0031408323131005HX0F,2023/12/28,21:00,0.015,Real,</t>
  </si>
  <si>
    <t>ES0031408323131005HX0F,2023/12/28,22:00,0.083,Real,</t>
  </si>
  <si>
    <t>ES0031408323131005HX0F,2023/12/28,23:00,0.043,Real,</t>
  </si>
  <si>
    <t>ES0031408323131005HX0F,2023/12/28,24:00,0.308,Real,</t>
  </si>
  <si>
    <t>ES0031408323131005HX0F,2023/12/29,01:00,0.014,Real,</t>
  </si>
  <si>
    <t>ES0031408323131005HX0F,2023/12/29,02:00,0.063,Real,</t>
  </si>
  <si>
    <t>ES0031408323131005HX0F,2023/12/29,03:00,0.08,Real,</t>
  </si>
  <si>
    <t>ES0031408323131005HX0F,2023/12/29,04:00,0.049,Real,</t>
  </si>
  <si>
    <t>ES0031408323131005HX0F,2023/12/29,05:00,0.015,Real,</t>
  </si>
  <si>
    <t>ES0031408323131005HX0F,2023/12/29,06:00,0.298,Real,</t>
  </si>
  <si>
    <t>ES0031408323131005HX0F,2023/12/29,07:00,0.075,Real,</t>
  </si>
  <si>
    <t>ES0031408323131005HX0F,2023/12/29,08:00,0.057,Real,</t>
  </si>
  <si>
    <t>ES0031408323131005HX0F,2023/12/29,09:00,0.015,Real,</t>
  </si>
  <si>
    <t>ES0031408323131005HX0F,2023/12/29,10:00,0.015,Real,</t>
  </si>
  <si>
    <t>ES0031408323131005HX0F,2023/12/29,11:00,0.358,Real,</t>
  </si>
  <si>
    <t>ES0031408323131005HX0F,2023/12/29,12:00,0.038,Real,</t>
  </si>
  <si>
    <t>ES0031408323131005HX0F,2023/12/29,13:00,0.038,Real,</t>
  </si>
  <si>
    <t>ES0031408323131005HX0F,2023/12/29,14:00,0.014,Real,</t>
  </si>
  <si>
    <t>ES0031408323131005HX0F,2023/12/29,15:00,0.053,Real,</t>
  </si>
  <si>
    <t>ES0031408323131005HX0F,2023/12/29,16:00,0.339,Real,</t>
  </si>
  <si>
    <t>ES0031408323131005HX0F,2023/12/29,17:00,0.038,Real,</t>
  </si>
  <si>
    <t>ES0031408323131005HX0F,2023/12/29,18:00,0.014,Real,</t>
  </si>
  <si>
    <t>ES0031408323131005HX0F,2023/12/29,19:00,0.019,Real,</t>
  </si>
  <si>
    <t>ES0031408323131005HX0F,2023/12/29,20:00,0.079,Real,</t>
  </si>
  <si>
    <t>ES0031408323131005HX0F,2023/12/29,21:00,0.329,Real,</t>
  </si>
  <si>
    <t>ES0031408323131005HX0F,2023/12/29,22:00,0.015,Real,</t>
  </si>
  <si>
    <t>ES0031408323131005HX0F,2023/12/29,23:00,0.015,Real,</t>
  </si>
  <si>
    <t>ES0031408323131005HX0F,2023/12/29,24:00,0.083,Real,</t>
  </si>
  <si>
    <t>ES0031408323131005HX0F,2023/12/30,01:00,0.039,Real,</t>
  </si>
  <si>
    <t>ES0031408323131005HX0F,2023/12/30,02:00,0.298,Real,</t>
  </si>
  <si>
    <t>ES0031408323131005HX0F,2023/12/30,03:00,0.036,Real,</t>
  </si>
  <si>
    <t>ES0031408323131005HX0F,2023/12/30,04:00,0.072,Real,</t>
  </si>
  <si>
    <t>ES0031408323131005HX0F,2023/12/30,05:00,0.075,Real,</t>
  </si>
  <si>
    <t>ES0031408323131005HX0F,2023/12/30,06:00,0.048,Real,</t>
  </si>
  <si>
    <t>ES0031408323131005HX0F,2023/12/30,07:00,0.196,Real,</t>
  </si>
  <si>
    <t>ES0031408323131005HX0F,2023/12/30,08:00,0.12,Real,</t>
  </si>
  <si>
    <t>ES0031408323131005HX0F,2023/12/30,09:00,0.083,Real,</t>
  </si>
  <si>
    <t>ES0031408323131005HX0F,2023/12/30,10:00,0.047,Real,</t>
  </si>
  <si>
    <t>ES0031408323131005HX0F,2023/12/30,11:00,0.028,Real,</t>
  </si>
  <si>
    <t>ES0031408323131005HX0F,2023/12/30,12:00,0.015,Real,</t>
  </si>
  <si>
    <t>ES0031408323131005HX0F,2023/12/30,13:00,0.35,Real,</t>
  </si>
  <si>
    <t>ES0031408323131005HX0F,2023/12/30,14:00,0.053,Real,</t>
  </si>
  <si>
    <t>ES0031408323131005HX0F,2023/12/30,15:00,0.038,Real,</t>
  </si>
  <si>
    <t>ES0031408323131005HX0F,2023/12/30,16:00,0.015,Real,</t>
  </si>
  <si>
    <t>ES0031408323131005HX0F,2023/12/30,17:00,0.034,Real,</t>
  </si>
  <si>
    <t>ES0031408323131005HX0F,2023/12/30,18:00,0.347,Real,</t>
  </si>
  <si>
    <t>ES0031408323131005HX0F,2023/12/30,19:00,0.05,Real,</t>
  </si>
  <si>
    <t>ES0031408323131005HX0F,2023/12/30,20:00,0.015,Real,</t>
  </si>
  <si>
    <t>ES0031408323131005HX0F,2023/12/30,21:00,0.015,Real,</t>
  </si>
  <si>
    <t>ES0031408323131005HX0F,2023/12/30,22:00,0.083,Real,</t>
  </si>
  <si>
    <t>ES0031408323131005HX0F,2023/12/30,23:00,0.154,Real,</t>
  </si>
  <si>
    <t>ES0031408323131005HX0F,2023/12/30,24:00,0.174,Real,</t>
  </si>
  <si>
    <t>ES0031408323131005HX0F,2023/12/31,01:00,0.014,Real,</t>
  </si>
  <si>
    <t>ES0031408323131005HX0F,2023/12/31,02:00,0.064,Real,</t>
  </si>
  <si>
    <t>ES0031408323131005HX0F,2023/12/31,03:00,0.079,Real,</t>
  </si>
  <si>
    <t>ES0031408323131005HX0F,2023/12/31,04:00,0.252,Real,</t>
  </si>
  <si>
    <t>ES0031408323131005HX0F,2023/12/31,05:00,0.085,Real,</t>
  </si>
  <si>
    <t>ES0031408323131005HX0F,2023/12/31,06:00,0.027,Real,</t>
  </si>
  <si>
    <t>ES0031408323131005HX0F,2023/12/31,07:00,0.074,Real,</t>
  </si>
  <si>
    <t>ES0031408323131005HX0F,2023/12/31,08:00,0.058,Real,</t>
  </si>
  <si>
    <t>ES0031408323131005HX0F,2023/12/31,09:00,0.015,Real,</t>
  </si>
  <si>
    <t>ES0031408323131005HX0F,2023/12/31,10:00,0.317,Real,</t>
  </si>
  <si>
    <t>ES0031408323131005HX0F,2023/12/31,11:00,0.081,Real,</t>
  </si>
  <si>
    <t>ES0031408323131005HX0F,2023/12/31,12:00,0.038,Real,</t>
  </si>
  <si>
    <t>ES0031408323131005HX0F,2023/12/31,13:00,0.038,Real,</t>
  </si>
  <si>
    <t>ES0031408323131005HX0F,2023/12/31,14:00,0.015,Real,</t>
  </si>
  <si>
    <t>ES0031408323131005HX0F,2023/12/31,15:00,0.317,Real,</t>
  </si>
  <si>
    <t>ES0031408323131005HX0F,2023/12/31,16:00,0.071,Real,</t>
  </si>
  <si>
    <t>ES0031408323131005HX0F,2023/12/31,17:00,0.039,Real,</t>
  </si>
  <si>
    <t>ES0031408323131005HX0F,2023/12/31,18:00,0.015,Real,</t>
  </si>
  <si>
    <t>ES0031408323131005HX0F,2023/12/31,19:00,0.095,Real,</t>
  </si>
  <si>
    <t>ES0031408323131005HX0F,2023/12/31,20:00,0.266,Real,</t>
  </si>
  <si>
    <t>ES0031408323131005HX0F,2023/12/31,21:00,0.193,Real,</t>
  </si>
  <si>
    <t>ES0031408323131005HX0F,2023/12/31,22:00,0.026,Real,</t>
  </si>
  <si>
    <t>ES0031408323131005HX0F,2023/12/31,23:00,0.073,Real,</t>
  </si>
  <si>
    <t>ES0031408323131005HX0F,2023/12/31,24:00,0.073,Real,</t>
  </si>
  <si>
    <t>ES0031408323131005HX0F,2024/01/01,01:00,0.046,Real,</t>
  </si>
  <si>
    <t>ES0031408323131005HX0F,2024/01/01,02:00,0.324,Real,</t>
  </si>
  <si>
    <t>ES0031408323131005HX0F,2024/01/01,03:00,0.094,Real,</t>
  </si>
  <si>
    <t>ES0031408323131005HX0F,2024/01/01,04:00,0.092,Real,</t>
  </si>
  <si>
    <t>ES0031408323131005HX0F,2024/01/01,05:00,0.024,Real,</t>
  </si>
  <si>
    <t>ES0031408323131005HX0F,2024/01/01,06:00,0.084,Real,</t>
  </si>
  <si>
    <t>ES0031408323131005HX0F,2024/01/01,07:00,0.337,Real,</t>
  </si>
  <si>
    <t>ES0031408323131005HX0F,2024/01/01,08:00,0.057,Real,</t>
  </si>
  <si>
    <t>ES0031408323131005HX0F,2024/01/01,09:00,0.03,Real,</t>
  </si>
  <si>
    <t>ES0031408323131005HX0F,2024/01/01,10:00,0.082,Real,</t>
  </si>
  <si>
    <t>ES0031408323131005HX0F,2024/01/01,11:00,0.087,Real,</t>
  </si>
  <si>
    <t>ES0031408323131005HX0F,2024/01/01,12:00,0.293,Real,</t>
  </si>
  <si>
    <t>ES0031408323131005HX0F,2024/01/01,13:00,0.069,Real,</t>
  </si>
  <si>
    <t>ES0031408323131005HX0F,2024/01/01,14:00,0.06,Real,</t>
  </si>
  <si>
    <t>ES0031408323131005HX0F,2024/01/01,15:00,0.076,Real,</t>
  </si>
  <si>
    <t>ES0031408323131005HX0F,2024/01/01,16:00,0.022,Real,</t>
  </si>
  <si>
    <t>ES0031408323131005HX0F,2024/01/01,17:00,0.37,Real,</t>
  </si>
  <si>
    <t>ES0031408323131005HX0F,2024/01/01,18:00,0.077,Real,</t>
  </si>
  <si>
    <t>ES0031408323131005HX0F,2024/01/01,19:00,0.04,Real,</t>
  </si>
  <si>
    <t>ES0031408323131005HX0F,2024/01/01,20:00,0.047,Real,</t>
  </si>
  <si>
    <t>ES0031408323131005HX0F,2024/01/01,21:00,0.067,Real,</t>
  </si>
  <si>
    <t>ES0031408323131005HX0F,2024/01/01,22:00,0.291,Real,</t>
  </si>
  <si>
    <t>ES0031408323131005HX0F,2024/01/01,23:00,0.076,Real,</t>
  </si>
  <si>
    <t>ES0031408323131005HX0F,2024/01/01,24:00,0.015,Real,</t>
  </si>
  <si>
    <t>ES0031408323131005HX0F,2024/01/02,01:00,0.089,Real,</t>
  </si>
  <si>
    <t>ES0031408323131005HX0F,2024/01/02,02:00,0.044,Real,</t>
  </si>
  <si>
    <t>ES0031408323131005HX0F,2024/01/02,03:00,0.326,Real,</t>
  </si>
  <si>
    <t>ES0031408323131005HX0F,2024/01/02,04:00,0.028,Real,</t>
  </si>
  <si>
    <t>ES0031408323131005HX0F,2024/01/02,05:00,0.054,Real,</t>
  </si>
  <si>
    <t>ES0031408323131005HX0F,2024/01/02,06:00,0.064,Real,</t>
  </si>
  <si>
    <t>ES0031408323131005HX0F,2024/01/02,07:00,0.038,Real,</t>
  </si>
  <si>
    <t>ES0031408323131005HX0F,2024/01/02,08:00,0.176,Real,</t>
  </si>
  <si>
    <t>ES0031408323131005HX0F,2024/01/02,09:00,0.117,Real,</t>
  </si>
  <si>
    <t>ES0031408323131005HX0F,2024/01/02,10:00,0.075,Real,</t>
  </si>
  <si>
    <t>ES0031408323131005HX0F,2024/01/02,11:00,0.059,Real,</t>
  </si>
  <si>
    <t>ES0031408323131005HX0F,2024/01/02,12:00,0.018,Real,</t>
  </si>
  <si>
    <t>ES0031408323131005HX0F,2024/01/02,13:00,0.271,Real,</t>
  </si>
  <si>
    <t>ES0031408323131005HX0F,2024/01/02,14:00,0.078,Real,</t>
  </si>
  <si>
    <t>ES0031408323131005HX0F,2024/01/02,15:00,0.038,Real,</t>
  </si>
  <si>
    <t>ES0031408323131005HX0F,2024/01/02,16:00,0.038,Real,</t>
  </si>
  <si>
    <t>ES0031408323131005HX0F,2024/01/02,17:00,0.014,Real,</t>
  </si>
  <si>
    <t>ES0031408323131005HX0F,2024/01/02,18:00,0.319,Real,</t>
  </si>
  <si>
    <t>ES0031408323131005HX0F,2024/01/02,19:00,0.071,Real,</t>
  </si>
  <si>
    <t>ES0031408323131005HX0F,2024/01/02,20:00,0.039,Real,</t>
  </si>
  <si>
    <t>ES0031408323131005HX0F,2024/01/02,21:00,0.014,Real,</t>
  </si>
  <si>
    <t>ES0031408323131005HX0F,2024/01/02,22:00,0.015,Real,</t>
  </si>
  <si>
    <t>ES0031408323131005HX0F,2024/01/02,23:00,0.358,Real,</t>
  </si>
  <si>
    <t>ES0031408323131005HX0F,2024/01/02,24:00,0.053,Real,</t>
  </si>
  <si>
    <t>ES0031408323131005HX0F,2024/01/03,01:00,0.063,Real,</t>
  </si>
  <si>
    <t>ES0031408323131005HX0F,2024/01/03,02:00,0.05,Real,</t>
  </si>
  <si>
    <t>ES0031408323131005HX0F,2024/01/03,03:00,0.036,Real,</t>
  </si>
  <si>
    <t>ES0031408323131005HX0F,2024/01/03,04:00,0.254,Real,</t>
  </si>
  <si>
    <t>ES0031408323131005HX0F,2024/01/03,05:00,0.137,Real,</t>
  </si>
  <si>
    <t>ES0031408323131005HX0F,2024/01/03,06:00,0.038,Real,</t>
  </si>
  <si>
    <t>ES0031408323131005HX0F,2024/01/03,07:00,0.038,Real,</t>
  </si>
  <si>
    <t>ES0031408323131005HX0F,2024/01/03,08:00,0.015,Real,</t>
  </si>
  <si>
    <t>ES0031408323131005HX0F,2024/01/03,09:00,0.056,Real,</t>
  </si>
  <si>
    <t>ES0031408323131005HX0F,2024/01/03,10:00,0.34,Real,</t>
  </si>
  <si>
    <t>ES0031408323131005HX0F,2024/01/03,11:00,0.038,Real,</t>
  </si>
  <si>
    <t>ES0031408323131005HX0F,2024/01/03,12:00,0.014,Real,</t>
  </si>
  <si>
    <t>ES0031408323131005HX0F,2024/01/03,13:00,0.024,Real,</t>
  </si>
  <si>
    <t>ES0031408323131005HX0F,2024/01/03,14:00,0.077,Real,</t>
  </si>
  <si>
    <t>ES0031408323131005HX0F,2024/01/03,15:00,0.32,Real,</t>
  </si>
  <si>
    <t>ES0031408323131005HX0F,2024/01/03,16:00,0.015,Real,</t>
  </si>
  <si>
    <t>ES0031408323131005HX0F,2024/01/03,17:00,0.015,Real,</t>
  </si>
  <si>
    <t>ES0031408323131005HX0F,2024/01/03,18:00,0.083,Real,</t>
  </si>
  <si>
    <t>ES0031408323131005HX0F,2024/01/03,19:00,0.039,Real,</t>
  </si>
  <si>
    <t>ES0031408323131005HX0F,2024/01/03,20:00,0.306,Real,</t>
  </si>
  <si>
    <t>ES0031408323131005HX0F,2024/01/03,21:00,0.015,Real,</t>
  </si>
  <si>
    <t>ES0031408323131005HX0F,2024/01/03,22:00,0.054,Real,</t>
  </si>
  <si>
    <t>ES0031408323131005HX0F,2024/01/03,23:00,0.07,Real,</t>
  </si>
  <si>
    <t>ES0031408323131005HX0F,2024/01/03,24:00,0.038,Real,</t>
  </si>
  <si>
    <t>ES0031408323131005HX0F,2024/01/04,01:00,0.282,Real,</t>
  </si>
  <si>
    <t>ES0031408323131005HX0F,2024/01/04,02:00,0.02,Real,</t>
  </si>
  <si>
    <t>ES0031408323131005HX0F,2024/01/04,03:00,0.103,Real,</t>
  </si>
  <si>
    <t>ES0031408323131005HX0F,2024/01/04,04:00,0.07,Real,</t>
  </si>
  <si>
    <t>ES0031408323131005HX0F,2024/01/04,05:00,0.014,Real,</t>
  </si>
  <si>
    <t>ES0031408323131005HX0F,2024/01/04,06:00,0.24,Real,</t>
  </si>
  <si>
    <t>ES0031408323131005HX0F,2024/01/04,07:00,0.124,Real,</t>
  </si>
  <si>
    <t>ES0031408323131005HX0F,2024/01/04,08:00,0.039,Real,</t>
  </si>
  <si>
    <t>ES0031408323131005HX0F,2024/01/04,09:00,0.037,Real,</t>
  </si>
  <si>
    <t>ES0031408323131005HX0F,2024/01/04,10:00,0.015,Real,</t>
  </si>
  <si>
    <t>ES0031408323131005HX0F,2024/01/04,11:00,0.12,Real,</t>
  </si>
  <si>
    <t>ES0031408323131005HX0F,2024/01/04,12:00,0.269,Real,</t>
  </si>
  <si>
    <t>ES0031408323131005HX0F,2024/01/04,13:00,0.038,Real,</t>
  </si>
  <si>
    <t>ES0031408323131005HX0F,2024/01/04,14:00,0.015,Real,</t>
  </si>
  <si>
    <t>ES0031408323131005HX0F,2024/01/04,15:00,0.03,Real,</t>
  </si>
  <si>
    <t>ES0031408323131005HX0F,2024/01/04,16:00,0.08,Real,</t>
  </si>
  <si>
    <t>ES0031408323131005HX0F,2024/01/04,17:00,0.361,Real,</t>
  </si>
  <si>
    <t>ES0031408323131005HX0F,2024/01/04,18:00,0.015,Real,</t>
  </si>
  <si>
    <t>ES0031408323131005HX0F,2024/01/04,19:00,0.015,Real,</t>
  </si>
  <si>
    <t>ES0031408323131005HX0F,2024/01/04,20:00,0.088,Real,</t>
  </si>
  <si>
    <t>ES0031408323131005HX0F,2024/01/04,21:00,0.044,Real,</t>
  </si>
  <si>
    <t>ES0031408323131005HX0F,2024/01/04,22:00,0.264,Real,</t>
  </si>
  <si>
    <t>ES0031408323131005HX0F,2024/01/04,23:00,0.073,Real,</t>
  </si>
  <si>
    <t>ES0031408323131005HX0F,2024/01/04,24:00,0.064,Real,</t>
  </si>
  <si>
    <t>ES0031408323131005HX0F,2024/01/05,01:00,0.062,Real,</t>
  </si>
  <si>
    <t>ES0031408323131005HX0F,2024/01/05,02:00,0.04,Real,</t>
  </si>
  <si>
    <t>ES0031408323131005HX0F,2024/01/05,03:00,0.036,Real,</t>
  </si>
  <si>
    <t>ES0031408323131005HX0F,2024/01/05,04:00,0.32,Real,</t>
  </si>
  <si>
    <t>ES0031408323131005HX0F,2024/01/05,05:00,0.08,Real,</t>
  </si>
  <si>
    <t>ES0031408323131005HX0F,2024/01/05,06:00,0.074,Real,</t>
  </si>
  <si>
    <t>ES0031408323131005HX0F,2024/01/05,07:00,0.042,Real,</t>
  </si>
  <si>
    <t>ES0031408323131005HX0F,2024/01/05,08:00,0.035,Real,</t>
  </si>
  <si>
    <t>ES0031408323131005HX0F,2024/01/05,09:00,0.018,Real,</t>
  </si>
  <si>
    <t>ES0031408323131005HX0F,2024/01/05,10:00,0.31,Real,</t>
  </si>
  <si>
    <t>ES0031408323131005HX0F,2024/01/05,11:00,0.064,Real,</t>
  </si>
  <si>
    <t>ES0031408323131005HX0F,2024/01/05,12:00,0.039,Real,</t>
  </si>
  <si>
    <t>ES0031408323131005HX0F,2024/01/05,13:00,0.015,Real,</t>
  </si>
  <si>
    <t>ES0031408323131005HX0F,2024/01/05,14:00,0.028,Real,</t>
  </si>
  <si>
    <t>ES0031408323131005HX0F,2024/01/05,15:00,0.345,Real,</t>
  </si>
  <si>
    <t>ES0031408323131005HX0F,2024/01/05,16:00,0.057,Real,</t>
  </si>
  <si>
    <t>ES0031408323131005HX0F,2024/01/05,17:00,0.014,Real,</t>
  </si>
  <si>
    <t>ES0031408323131005HX0F,2024/01/05,18:00,0.015,Real,</t>
  </si>
  <si>
    <t>ES0031408323131005HX0F,2024/01/05,19:00,0.089,Real,</t>
  </si>
  <si>
    <t>ES0031408323131005HX0F,2024/01/05,20:00,0.32,Real,</t>
  </si>
  <si>
    <t>ES0031408323131005HX0F,2024/01/05,21:00,0.032,Real,</t>
  </si>
  <si>
    <t>ES0031408323131005HX0F,2024/01/05,22:00,0.015,Real,</t>
  </si>
  <si>
    <t>ES0031408323131005HX0F,2024/01/05,23:00,0.064,Real,</t>
  </si>
  <si>
    <t>ES0031408323131005HX0F,2024/01/05,24:00,0.062,Real,</t>
  </si>
  <si>
    <t>ES0031408323131005HX0F,2024/01/06,01:00,0.311,Real,</t>
  </si>
  <si>
    <t>ES0031408323131005HX0F,2024/01/06,02:00,0.016,Real,</t>
  </si>
  <si>
    <t>ES0031408323131005HX0F,2024/01/06,03:00,0.054,Real,</t>
  </si>
  <si>
    <t>ES0031408323131005HX0F,2024/01/06,04:00,0.089,Real,</t>
  </si>
  <si>
    <t>ES0031408323131005HX0F,2024/01/06,05:00,0.05,Real,</t>
  </si>
  <si>
    <t>ES0031408323131005HX0F,2024/01/06,06:00,0.282,Real,</t>
  </si>
  <si>
    <t>ES0031408323131005HX0F,2024/01/06,07:00,0.015,Real,</t>
  </si>
  <si>
    <t>ES0031408323131005HX0F,2024/01/06,08:00,0.086,Real,</t>
  </si>
  <si>
    <t>ES0031408323131005HX0F,2024/01/06,09:00,0.05,Real,</t>
  </si>
  <si>
    <t>ES0031408323131005HX0F,2024/01/06,10:00,0.026,Real,</t>
  </si>
  <si>
    <t>ES0031408323131005HX0F,2024/01/06,11:00,0.074,Real,</t>
  </si>
  <si>
    <t>ES0031408323131005HX0F,2024/01/06,12:00,0.275,Real,</t>
  </si>
  <si>
    <t>ES0031408323131005HX0F,2024/01/06,13:00,0.065,Real,</t>
  </si>
  <si>
    <t>ES0031408323131005HX0F,2024/01/06,14:00,0.407,Real,</t>
  </si>
  <si>
    <t>ES0031408323131005HX0F,2024/01/06,15:00,0.02,Real,</t>
  </si>
  <si>
    <t>ES0031408323131005HX0F,2024/01/06,16:00,0.107,Real,</t>
  </si>
  <si>
    <t>ES0031408323131005HX0F,2024/01/06,17:00,0.076,Real,</t>
  </si>
  <si>
    <t>ES0031408323131005HX0F,2024/01/06,18:00,0.024,Real,</t>
  </si>
  <si>
    <t>ES0031408323131005HX0F,2024/01/06,19:00,0.09,Real,</t>
  </si>
  <si>
    <t>ES0031408323131005HX0F,2024/01/06,20:00,0.372,Real,</t>
  </si>
  <si>
    <t>ES0031408323131005HX0F,2024/01/06,21:00,0.026,Real,</t>
  </si>
  <si>
    <t>ES0031408323131005HX0F,2024/01/06,22:00,0.066,Real,</t>
  </si>
  <si>
    <t>ES0031408323131005HX0F,2024/01/06,23:00,0.064,Real,</t>
  </si>
  <si>
    <t>ES0031408323131005HX0F,2024/01/06,24:00,0.071,Real,</t>
  </si>
  <si>
    <t>ES0031408323131005HX0F,2024/01/07,01:00,0.021,Real,</t>
  </si>
  <si>
    <t>ES0031408323131005HX0F,2024/01/07,02:00,0.395,Real,</t>
  </si>
  <si>
    <t>ES0031408323131005HX0F,2024/01/07,03:00,0.103,Real,</t>
  </si>
  <si>
    <t>ES0031408323131005HX0F,2024/01/07,04:00,0.042,Real,</t>
  </si>
  <si>
    <t>ES0031408323131005HX0F,2024/01/07,05:00,0.054,Real,</t>
  </si>
  <si>
    <t>ES0031408323131005HX0F,2024/01/07,06:00,0.061,Real,</t>
  </si>
  <si>
    <t>ES0031408323131005HX0F,2024/01/07,07:00,0.375,Real,</t>
  </si>
  <si>
    <t>ES0031408323131005HX0F,2024/01/07,08:00,0.023,Real,</t>
  </si>
  <si>
    <t>ES0031408323131005HX0F,2024/01/07,09:00,0.087,Real,</t>
  </si>
  <si>
    <t>ES0031408323131005HX0F,2024/01/07,10:00,0.06,Real,</t>
  </si>
  <si>
    <t>ES0031408323131005HX0F,2024/01/07,11:00,0.06,Real,</t>
  </si>
  <si>
    <t>ES0031408323131005HX0F,2024/01/07,12:00,0.026,Real,</t>
  </si>
  <si>
    <t>ES0031408323131005HX0F,2024/01/07,13:00,0.39,Real,</t>
  </si>
  <si>
    <t>ES0031408323131005HX0F,2024/01/07,14:00,0.087,Real,</t>
  </si>
  <si>
    <t>ES0031408323131005HX0F,2024/01/07,15:00,0.028,Real,</t>
  </si>
  <si>
    <t>ES0031408323131005HX0F,2024/01/07,16:00,0.055,Real,</t>
  </si>
  <si>
    <t>ES0031408323131005HX0F,2024/01/07,17:00,0.06,Real,</t>
  </si>
  <si>
    <t>ES0031408323131005HX0F,2024/01/07,18:00,0.084,Real,</t>
  </si>
  <si>
    <t>ES0031408323131005HX0F,2024/01/07,19:00,0.311,Real,</t>
  </si>
  <si>
    <t>ES0031408323131005HX0F,2024/01/07,20:00,0.014,Real,</t>
  </si>
  <si>
    <t>ES0031408323131005HX0F,2024/01/07,21:00,0.026,Real,</t>
  </si>
  <si>
    <t>ES0031408323131005HX0F,2024/01/07,22:00,0.073,Real,</t>
  </si>
  <si>
    <t>ES0031408323131005HX0F,2024/01/07,23:00,0.052,Real,</t>
  </si>
  <si>
    <t>ES0031408323131005HX0F,2024/01/07,24:00,0.303,Real,</t>
  </si>
  <si>
    <t>ES0031408323131005HX0F,2024/01/08,01:00,0.015,Real,</t>
  </si>
  <si>
    <t>ES0031408323131005HX0F,2024/01/08,02:00,0.073,Real,</t>
  </si>
  <si>
    <t>ES0031408323131005HX0F,2024/01/08,03:00,0.068,Real,</t>
  </si>
  <si>
    <t>ES0031408323131005HX0F,2024/01/08,04:00,0.048,Real,</t>
  </si>
  <si>
    <t>ES0031408323131005HX0F,2024/01/08,05:00,0.327,Real,</t>
  </si>
  <si>
    <t>ES0031408323131005HX0F,2024/01/08,06:00,0.023,Real,</t>
  </si>
  <si>
    <t>ES0031408323131005HX0F,2024/01/08,07:00,0.073,Real,</t>
  </si>
  <si>
    <t>ES0031408323131005HX0F,2024/01/08,08:00,0.051,Real,</t>
  </si>
  <si>
    <t>ES0031408323131005HX0F,2024/01/08,09:00,0.024,Real,</t>
  </si>
  <si>
    <t>ES0031408323131005HX0F,2024/01/08,10:00,0.014,Real,</t>
  </si>
  <si>
    <t>ES0031408323131005HX0F,2024/01/08,11:00,0.345,Real,</t>
  </si>
  <si>
    <t>ES0031408323131005HX0F,2024/01/08,12:00,0.045,Real,</t>
  </si>
  <si>
    <t>ES0031408323131005HX0F,2024/01/08,13:00,0.037,Real,</t>
  </si>
  <si>
    <t>ES0031408323131005HX0F,2024/01/08,14:00,0.015,Real,</t>
  </si>
  <si>
    <t>ES0031408323131005HX0F,2024/01/08,15:00,0.021,Real,</t>
  </si>
  <si>
    <t>ES0031408323131005HX0F,2024/01/08,16:00,0.351,Real,</t>
  </si>
  <si>
    <t>ES0031408323131005HX0F,2024/01/08,17:00,0.048,Real,</t>
  </si>
  <si>
    <t>ES0031408323131005HX0F,2024/01/08,18:00,0.027,Real,</t>
  </si>
  <si>
    <t>ES0031408323131005HX0F,2024/01/08,19:00,0.027,Real,</t>
  </si>
  <si>
    <t>ES0031408323131005HX0F,2024/01/08,20:00,0.069,Real,</t>
  </si>
  <si>
    <t>ES0031408323131005HX0F,2024/01/08,21:00,0.341,Real,</t>
  </si>
  <si>
    <t>ES0031408323131005HX0F,2024/01/08,22:00,0.038,Real,</t>
  </si>
  <si>
    <t>ES0031408323131005HX0F,2024/01/08,23:00,0.014,Real,</t>
  </si>
  <si>
    <t>ES0031408323131005HX0F,2024/01/08,24:00,0.015,Real,</t>
  </si>
  <si>
    <t>ES0031408323131005HX0F,2024/01/09,01:00,0.079,Real,</t>
  </si>
  <si>
    <t>ES0031408323131005HX0F,2024/01/09,02:00,0.174,Real,</t>
  </si>
  <si>
    <t>ES0031408323131005HX0F,2024/01/09,03:00,0.212,Real,</t>
  </si>
  <si>
    <t>ES0031408323131005HX0F,2024/01/09,04:00,0.025,Real,</t>
  </si>
  <si>
    <t>ES0031408323131005HX0F,2024/01/09,05:00,0.056,Real,</t>
  </si>
  <si>
    <t>ES0031408323131005HX0F,2024/01/09,06:00,0.059,Real,</t>
  </si>
  <si>
    <t>ES0031408323131005HX0F,2024/01/09,07:00,0.039,Real,</t>
  </si>
  <si>
    <t>ES0031408323131005HX0F,2024/01/09,08:00,0.288,Real,</t>
  </si>
  <si>
    <t>ES0031408323131005HX0F,2024/01/09,09:00,0.015,Real,</t>
  </si>
  <si>
    <t>ES0031408323131005HX0F,2024/01/09,10:00,0.077,Real,</t>
  </si>
  <si>
    <t>ES0031408323131005HX0F,2024/01/09,11:00,0.037,Real,</t>
  </si>
  <si>
    <t>ES0031408323131005HX0F,2024/01/09,12:00,0.038,Real,</t>
  </si>
  <si>
    <t>ES0031408323131005HX0F,2024/01/09,13:00,0.309,Real,</t>
  </si>
  <si>
    <t>ES0031408323131005HX0F,2024/01/09,14:00,0.044,Real,</t>
  </si>
  <si>
    <t>ES0031408323131005HX0F,2024/01/09,15:00,0.06,Real,</t>
  </si>
  <si>
    <t>ES0031408323131005HX0F,2024/01/09,16:00,0.049,Real,</t>
  </si>
  <si>
    <t>ES0031408323131005HX0F,2024/01/09,17:00,0.014,Real,</t>
  </si>
  <si>
    <t>ES0031408323131005HX0F,2024/01/09,18:00,0.284,Real,</t>
  </si>
  <si>
    <t>ES0031408323131005HX0F,2024/01/09,19:00,0.077,Real,</t>
  </si>
  <si>
    <t>ES0031408323131005HX0F,2024/01/09,20:00,0.037,Real,</t>
  </si>
  <si>
    <t>ES0031408323131005HX0F,2024/01/09,21:00,0.038,Real,</t>
  </si>
  <si>
    <t>ES0031408323131005HX0F,2024/01/09,22:00,0.014,Real,</t>
  </si>
  <si>
    <t>ES0031408323131005HX0F,2024/01/09,23:00,0.333,Real,</t>
  </si>
  <si>
    <t>ES0031408323131005HX0F,2024/01/09,24:00,0.061,Real,</t>
  </si>
  <si>
    <t>ES0031408323131005HX0F,2024/01/10,01:00,0.055,Real,</t>
  </si>
  <si>
    <t>ES0031408323131005HX0F,2024/01/10,02:00,0.018,Real,</t>
  </si>
  <si>
    <t>ES0031408323131005HX0F,2024/01/10,03:00,0.035,Real,</t>
  </si>
  <si>
    <t>ES0031408323131005HX0F,2024/01/10,04:00,0.087,Real,</t>
  </si>
  <si>
    <t>ES0031408323131005HX0F,2024/01/10,05:00,0.319,Real,</t>
  </si>
  <si>
    <t>ES0031408323131005HX0F,2024/01/10,06:00,0.037,Real,</t>
  </si>
  <si>
    <t>ES0031408323131005HX0F,2024/01/10,07:00,0.014,Real,</t>
  </si>
  <si>
    <t>ES0031408323131005HX0F,2024/01/10,08:00,0.028,Real,</t>
  </si>
  <si>
    <t>ES0031408323131005HX0F,2024/01/10,09:00,0.065,Real,</t>
  </si>
  <si>
    <t>ES0031408323131005HX0F,2024/01/10,10:00,0.349,Real,</t>
  </si>
  <si>
    <t>ES0031408323131005HX0F,2024/01/10,11:00,0.021,Real,</t>
  </si>
  <si>
    <t>ES0031408323131005HX0F,2024/01/10,12:00,0.015,Real,</t>
  </si>
  <si>
    <t>ES0031408323131005HX0F,2024/01/10,13:00,0.073,Real,</t>
  </si>
  <si>
    <t>ES0031408323131005HX0F,2024/01/10,14:00,0.042,Real,</t>
  </si>
  <si>
    <t>ES0031408323131005HX0F,2024/01/10,15:00,0.328,Real,</t>
  </si>
  <si>
    <t>ES0031408323131005HX0F,2024/01/10,16:00,0.014,Real,</t>
  </si>
  <si>
    <t>ES0031408323131005HX0F,2024/01/10,17:00,0.023,Real,</t>
  </si>
  <si>
    <t>ES0031408323131005HX0F,2024/01/10,18:00,0.07,Real,</t>
  </si>
  <si>
    <t>ES0031408323131005HX0F,2024/01/10,19:00,0.049,Real,</t>
  </si>
  <si>
    <t>ES0031408323131005HX0F,2024/01/10,20:00,0.029,Real,</t>
  </si>
  <si>
    <t>ES0031408323131005HX0F,2024/01/10,21:00,0.284,Real,</t>
  </si>
  <si>
    <t>ES0031408323131005HX0F,2024/01/10,22:00,0.068,Real,</t>
  </si>
  <si>
    <t>ES0031408323131005HX0F,2024/01/10,23:00,0.049,Real,</t>
  </si>
  <si>
    <t>ES0031408323131005HX0F,2024/01/10,24:00,0.038,Real,</t>
  </si>
  <si>
    <t>ES0031408323131005HX0F,2024/01/11,01:00,0.028,Real,</t>
  </si>
  <si>
    <t>ES0031408323131005HX0F,2024/01/11,02:00,0.306,Real,</t>
  </si>
  <si>
    <t>ES0031408323131005HX0F,2024/01/11,03:00,0.109,Real,</t>
  </si>
  <si>
    <t>ES0031408323131005HX0F,2024/01/11,04:00,0.048,Real,</t>
  </si>
  <si>
    <t>ES0031408323131005HX0F,2024/01/11,05:00,0.038,Real,</t>
  </si>
  <si>
    <t>ES0031408323131005HX0F,2024/01/11,06:00,0.014,Real,</t>
  </si>
  <si>
    <t>ES0031408323131005HX0F,2024/01/11,07:00,0.332,Real,</t>
  </si>
  <si>
    <t>ES0031408323131005HX0F,2024/01/11,08:00,0.06,Real,</t>
  </si>
  <si>
    <t>ES0031408323131005HX0F,2024/01/11,09:00,0.039,Real,</t>
  </si>
  <si>
    <t>ES0031408323131005HX0F,2024/01/11,10:00,0.014,Real,</t>
  </si>
  <si>
    <t>ES0031408323131005HX0F,2024/01/11,11:00,0.015,Real,</t>
  </si>
  <si>
    <t>ES0031408323131005HX0F,2024/01/11,12:00,0.365,Real,</t>
  </si>
  <si>
    <t>ES0031408323131005HX0F,2024/01/11,13:00,0.036,Real,</t>
  </si>
  <si>
    <t>ES0031408323131005HX0F,2024/01/11,14:00,0.038,Real,</t>
  </si>
  <si>
    <t>ES0031408323131005HX0F,2024/01/11,15:00,0.014,Real,</t>
  </si>
  <si>
    <t>ES0031408323131005HX0F,2024/01/11,16:00,0.052,Real,</t>
  </si>
  <si>
    <t>ES0031408323131005HX0F,2024/01/11,17:00,0.322,Real,</t>
  </si>
  <si>
    <t>ES0031408323131005HX0F,2024/01/11,18:00,0.04,Real,</t>
  </si>
  <si>
    <t>ES0031408323131005HX0F,2024/01/11,19:00,0.015,Real,</t>
  </si>
  <si>
    <t>ES0031408323131005HX0F,2024/01/11,20:00,0.014,Real,</t>
  </si>
  <si>
    <t>ES0031408323131005HX0F,2024/01/11,21:00,0.077,Real,</t>
  </si>
  <si>
    <t>ES0031408323131005HX0F,2024/01/11,22:00,0.331,Real,</t>
  </si>
  <si>
    <t>ES0031408323131005HX0F,2024/01/11,23:00,0.038,Real,</t>
  </si>
  <si>
    <t>ES0031408323131005HX0F,2024/01/11,24:00,0.014,Real,</t>
  </si>
  <si>
    <t>ES0031408323131005HX0F,2024/01/12,01:00,0.044,Real,</t>
  </si>
  <si>
    <t>ES0031408323131005HX0F,2024/01/12,02:00,0.061,Real,</t>
  </si>
  <si>
    <t>ES0031408323131005HX0F,2024/01/12,03:00,0.135,Real,</t>
  </si>
  <si>
    <t>ES0031408323131005HX0F,2024/01/12,04:00,0.245,Real,</t>
  </si>
  <si>
    <t>ES0031408323131005HX0F,2024/01/12,05:00,0.015,Real,</t>
  </si>
  <si>
    <t>ES0031408323131005HX0F,2024/01/12,06:00,0.076,Real,</t>
  </si>
  <si>
    <t>ES0031408323131005HX0F,2024/01/12,07:00,0.038,Real,</t>
  </si>
  <si>
    <t>ES0031408323131005HX0F,2024/01/12,08:00,0.037,Real,</t>
  </si>
  <si>
    <t>ES0031408323131005HX0F,2024/01/12,09:00,0.297,Real,</t>
  </si>
  <si>
    <t>ES0031408323131005HX0F,2024/01/12,10:00,0.031,Real,</t>
  </si>
  <si>
    <t>ES0031408323131005HX0F,2024/01/12,11:00,0.058,Real,</t>
  </si>
  <si>
    <t>ES0031408323131005HX0F,2024/01/12,12:00,0.05,Real,</t>
  </si>
  <si>
    <t>ES0031408323131005HX0F,2024/01/12,13:00,0.026,Real,</t>
  </si>
  <si>
    <t>ES0031408323131005HX0F,2024/01/12,14:00,0.321,Real,</t>
  </si>
  <si>
    <t>ES0031408323131005HX0F,2024/01/12,15:00,0.069,Real,</t>
  </si>
  <si>
    <t>ES0031408323131005HX0F,2024/01/12,16:00,0.042,Real,</t>
  </si>
  <si>
    <t>ES0031408323131005HX0F,2024/01/12,17:00,0.037,Real,</t>
  </si>
  <si>
    <t>ES0031408323131005HX0F,2024/01/12,18:00,0.015,Real,</t>
  </si>
  <si>
    <t>ES0031408323131005HX0F,2024/01/12,19:00,0.326,Real,</t>
  </si>
  <si>
    <t>ES0031408323131005HX0F,2024/01/12,20:00,0.072,Real,</t>
  </si>
  <si>
    <t>ES0031408323131005HX0F,2024/01/12,21:00,0.04,Real,</t>
  </si>
  <si>
    <t>ES0031408323131005HX0F,2024/01/12,22:00,0.034,Real,</t>
  </si>
  <si>
    <t>ES0031408323131005HX0F,2024/01/12,23:00,0.014,Real,</t>
  </si>
  <si>
    <t>ES0031408323131005HX0F,2024/01/12,24:00,0.061,Real,</t>
  </si>
  <si>
    <t>ES0031408323131005HX0F,2024/01/13,01:00,0.349,Real,</t>
  </si>
  <si>
    <t>ES0031408323131005HX0F,2024/01/13,02:00,0.038,Real,</t>
  </si>
  <si>
    <t>ES0031408323131005HX0F,2024/01/13,03:00,0.036,Real,</t>
  </si>
  <si>
    <t>ES0031408323131005HX0F,2024/01/13,04:00,0.024,Real,</t>
  </si>
  <si>
    <t>ES0031408323131005HX0F,2024/01/13,05:00,0.074,Real,</t>
  </si>
  <si>
    <t>ES0031408323131005HX0F,2024/01/13,06:00,0.341,Real,</t>
  </si>
  <si>
    <t>ES0031408323131005HX0F,2024/01/13,07:00,0.037,Real,</t>
  </si>
  <si>
    <t>ES0031408323131005HX0F,2024/01/13,08:00,0.038,Real,</t>
  </si>
  <si>
    <t>ES0031408323131005HX0F,2024/01/13,09:00,0.015,Real,</t>
  </si>
  <si>
    <t>ES0031408323131005HX0F,2024/01/13,10:00,0.051,Real,</t>
  </si>
  <si>
    <t>ES0031408323131005HX0F,2024/01/13,11:00,0.352,Real,</t>
  </si>
  <si>
    <t>ES0031408323131005HX0F,2024/01/13,12:00,0.041,Real,</t>
  </si>
  <si>
    <t>ES0031408323131005HX0F,2024/01/13,13:00,0.015,Real,</t>
  </si>
  <si>
    <t>ES0031408323131005HX0F,2024/01/13,14:00,0.015,Real,</t>
  </si>
  <si>
    <t>ES0031408323131005HX0F,2024/01/13,15:00,0.072,Real,</t>
  </si>
  <si>
    <t>ES0031408323131005HX0F,2024/01/13,16:00,0.226,Real,</t>
  </si>
  <si>
    <t>ES0031408323131005HX0F,2024/01/13,17:00,0.151,Real,</t>
  </si>
  <si>
    <t>ES0031408323131005HX0F,2024/01/13,18:00,0.015,Real,</t>
  </si>
  <si>
    <t>ES0031408323131005HX0F,2024/01/13,19:00,0.035,Real,</t>
  </si>
  <si>
    <t>ES0031408323131005HX0F,2024/01/13,20:00,0.057,Real,</t>
  </si>
  <si>
    <t>ES0031408323131005HX0F,2024/01/13,21:00,0.053,Real,</t>
  </si>
  <si>
    <t>ES0031408323131005HX0F,2024/01/13,22:00,0.318,Real,</t>
  </si>
  <si>
    <t>ES0031408323131005HX0F,2024/01/13,23:00,0.014,Real,</t>
  </si>
  <si>
    <t>ES0031408323131005HX0F,2024/01/13,24:00,0.074,Real,</t>
  </si>
  <si>
    <t>ES0031408323131005HX0F,2024/01/14,01:00,0.037,Real,</t>
  </si>
  <si>
    <t>ES0031408323131005HX0F,2024/01/14,02:00,0.039,Real,</t>
  </si>
  <si>
    <t>ES0031408323131005HX0F,2024/01/14,03:00,0.323,Real,</t>
  </si>
  <si>
    <t>ES0031408323131005HX0F,2024/01/14,04:00,0.032,Real,</t>
  </si>
  <si>
    <t>ES0031408323131005HX0F,2024/01/14,05:00,0.066,Real,</t>
  </si>
  <si>
    <t>ES0031408323131005HX0F,2024/01/14,06:00,0.044,Real,</t>
  </si>
  <si>
    <t>ES0031408323131005HX0F,2024/01/14,07:00,0.031,Real,</t>
  </si>
  <si>
    <t>ES0031408323131005HX0F,2024/01/14,08:00,0.297,Real,</t>
  </si>
  <si>
    <t>ES0031408323131005HX0F,2024/01/14,09:00,0.105,Real,</t>
  </si>
  <si>
    <t>ES0031408323131005HX0F,2024/01/14,10:00,0.047,Real,</t>
  </si>
  <si>
    <t>ES0031408323131005HX0F,2024/01/14,11:00,0.038,Real,</t>
  </si>
  <si>
    <t>ES0031408323131005HX0F,2024/01/14,12:00,0.015,Real,</t>
  </si>
  <si>
    <t>ES0031408323131005HX0F,2024/01/14,13:00,0.014,Real,</t>
  </si>
  <si>
    <t>ES0031408323131005HX0F,2024/01/14,14:00,0.371,Real,</t>
  </si>
  <si>
    <t>ES0031408323131005HX0F,2024/01/14,15:00,0.037,Real,</t>
  </si>
  <si>
    <t>ES0031408323131005HX0F,2024/01/14,16:00,0.038,Real,</t>
  </si>
  <si>
    <t>ES0031408323131005HX0F,2024/01/14,17:00,0.015,Real,</t>
  </si>
  <si>
    <t>ES0031408323131005HX0F,2024/01/14,18:00,0.05,Real,</t>
  </si>
  <si>
    <t>ES0031408323131005HX0F,2024/01/14,19:00,0.229,Real,</t>
  </si>
  <si>
    <t>ES0031408323131005HX0F,2024/01/14,20:00,0.152,Real,</t>
  </si>
  <si>
    <t>ES0031408323131005HX0F,2024/01/14,21:00,0.014,Real,</t>
  </si>
  <si>
    <t>ES0031408323131005HX0F,2024/01/14,22:00,0.015,Real,</t>
  </si>
  <si>
    <t>ES0031408323131005HX0F,2024/01/14,23:00,0.078,Real,</t>
  </si>
  <si>
    <t>ES0031408323131005HX0F,2024/01/14,24:00,0.037,Real,</t>
  </si>
  <si>
    <t>ES0031408323131005HX0F,2024/01/15,01:00,0.334,Real,</t>
  </si>
  <si>
    <t>ES0031408323131005HX0F,2024/01/15,02:00,0.016,Real,</t>
  </si>
  <si>
    <t>ES0031408323131005HX0F,2024/01/15,03:00,0.066,Real,</t>
  </si>
  <si>
    <t>ES0031408323131005HX0F,2024/01/15,04:00,0.072,Real,</t>
  </si>
  <si>
    <t>ES0031408323131005HX0F,2024/01/15,05:00,0.048,Real,</t>
  </si>
  <si>
    <t>ES0031408323131005HX0F,2024/01/15,06:00,0.294,Real,</t>
  </si>
  <si>
    <t>ES0031408323131005HX0F,2024/01/15,07:00,0.015,Real,</t>
  </si>
  <si>
    <t>ES0031408323131005HX0F,2024/01/15,08:00,0.08,Real,</t>
  </si>
  <si>
    <t>ES0031408323131005HX0F,2024/01/15,09:00,0.088,Real,</t>
  </si>
  <si>
    <t>ES0031408323131005HX0F,2024/01/15,10:00,1.705,Real,</t>
  </si>
  <si>
    <t>ES0031408323131005HX0F,2024/01/15,11:00,1.953,Real,</t>
  </si>
  <si>
    <t>ES0031408323131005HX0F,2024/01/15,12:00,1.624,Real,</t>
  </si>
  <si>
    <t>ES0031408323131005HX0F,2024/01/15,13:00,0.045,Real,</t>
  </si>
  <si>
    <t>ES0031408323131005HX0F,2024/01/15,14:00,0.138,Real,</t>
  </si>
  <si>
    <t>ES0031408323131005HX0F,2024/01/15,15:00,0.243,Real,</t>
  </si>
  <si>
    <t>ES0031408323131005HX0F,2024/01/15,16:00,0.05,Real,</t>
  </si>
  <si>
    <t>ES0031408323131005HX0F,2024/01/15,17:00,0.081,Real,</t>
  </si>
  <si>
    <t>ES0031408323131005HX0F,2024/01/15,18:00,0.03,Real,</t>
  </si>
  <si>
    <t>ES0031408323131005HX0F,2024/01/15,19:00,0.082,Real,</t>
  </si>
  <si>
    <t>ES0031408323131005HX0F,2024/01/15,20:00,0.332,Real,</t>
  </si>
  <si>
    <t>ES0031408323131005HX0F,2024/01/15,21:00,0.045,Real,</t>
  </si>
  <si>
    <t>ES0031408323131005HX0F,2024/01/15,22:00,0.068,Real,</t>
  </si>
  <si>
    <t>ES0031408323131005HX0F,2024/01/15,23:00,0.044,Real,</t>
  </si>
  <si>
    <t>ES0031408323131005HX0F,2024/01/15,24:00,0.08,Real,</t>
  </si>
  <si>
    <t>ES0031408323131005HX0F,2024/01/16,01:00,0.3,Real,</t>
  </si>
  <si>
    <t>ES0031408323131005HX0F,2024/01/16,02:00,0.091,Real,</t>
  </si>
  <si>
    <t>ES0031408323131005HX0F,2024/01/16,03:00,0.077,Real,</t>
  </si>
  <si>
    <t>ES0031408323131005HX0F,2024/01/16,04:00,0.069,Real,</t>
  </si>
  <si>
    <t>ES0031408323131005HX0F,2024/01/16,05:00,0.056,Real,</t>
  </si>
  <si>
    <t>ES0031408323131005HX0F,2024/01/16,06:00,0.057,Real,</t>
  </si>
  <si>
    <t>ES0031408323131005HX0F,2024/01/16,07:00,0.365,Real,</t>
  </si>
  <si>
    <t>ES0031408323131005HX0F,2024/01/16,08:00,0.025,Real,</t>
  </si>
  <si>
    <t>ES0031408323131005HX0F,2024/01/16,09:00,0.089,Real,</t>
  </si>
  <si>
    <t>ES0031408323131005HX0F,2024/01/16,10:00,0.041,Real,</t>
  </si>
  <si>
    <t>ES0031408323131005HX0F,2024/01/16,11:00,0.073,Real,</t>
  </si>
  <si>
    <t>ES0031408323131005HX0F,2024/01/16,12:00,0.316,Real,</t>
  </si>
  <si>
    <t>ES0031408323131005HX0F,2024/01/16,13:00,0.12,Real,</t>
  </si>
  <si>
    <t>ES0031408323131005HX0F,2024/01/16,14:00,0.066,Real,</t>
  </si>
  <si>
    <t>ES0031408323131005HX0F,2024/01/16,15:00,0.059,Real,</t>
  </si>
  <si>
    <t>ES0031408323131005HX0F,2024/01/16,16:00,0.01,Real,</t>
  </si>
  <si>
    <t>ES0031408323131005HX0F,2024/01/16,17:00,0.01,Real,</t>
  </si>
  <si>
    <t>ES0031408323131005HX0F,2024/01/16,18:00,0.361,Real,</t>
  </si>
  <si>
    <t>ES0031408323131005HX0F,2024/01/16,19:00,0.039,Real,</t>
  </si>
  <si>
    <t>ES0031408323131005HX0F,2024/01/16,20:00,0.034,Real,</t>
  </si>
  <si>
    <t>ES0031408323131005HX0F,2024/01/16,21:00,0.009,Real,</t>
  </si>
  <si>
    <t>ES0031408323131005HX0F,2024/01/16,22:00,0.027,Real,</t>
  </si>
  <si>
    <t>ES0031408323131005HX0F,2024/01/16,23:00,0.346,Real,</t>
  </si>
  <si>
    <t>ES0031408323131005HX0F,2024/01/16,24:00,0.047,Real,</t>
  </si>
  <si>
    <t>ES0031408323131005HX0F,2024/01/17,01:00,0.02,Real,</t>
  </si>
  <si>
    <t>ES0031408323131005HX0F,2024/01/17,02:00,0.011,Real,</t>
  </si>
  <si>
    <t>ES0031408323131005HX0F,2024/01/17,03:00,0.089,Real,</t>
  </si>
  <si>
    <t>ES0031408323131005HX0F,2024/01/17,04:00,0.343,Real,</t>
  </si>
  <si>
    <t>ES0031408323131005HX0F,2024/01/17,05:00,0.033,Real,</t>
  </si>
  <si>
    <t>ES0031408323131005HX0F,2024/01/17,06:00,0.01,Real,</t>
  </si>
  <si>
    <t>ES0031408323131005HX0F,2024/01/17,07:00,0.01,Real,</t>
  </si>
  <si>
    <t>ES0031408323131005HX0F,2024/01/17,08:00,0.091,Real,</t>
  </si>
  <si>
    <t>ES0031408323131005HX0F,2024/01/17,09:00,0.035,Real,</t>
  </si>
  <si>
    <t>ES0031408323131005HX0F,2024/01/17,10:00,0.299,Real,</t>
  </si>
  <si>
    <t>ES0031408323131005HX0F,2024/01/17,11:00,0.009,Real,</t>
  </si>
  <si>
    <t>ES0031408323131005HX0F,2024/01/17,12:00,0.054,Real,</t>
  </si>
  <si>
    <t>ES0031408323131005HX0F,2024/01/17,13:00,0.061,Real,</t>
  </si>
  <si>
    <t>ES0031408323131005HX0F,2024/01/17,14:00,0.043,Real,</t>
  </si>
  <si>
    <t>ES0031408323131005HX0F,2024/01/17,15:00,0.272,Real,</t>
  </si>
  <si>
    <t>ES0031408323131005HX0F,2024/01/17,16:00,0.01,Real,</t>
  </si>
  <si>
    <t>ES0031408323131005HX0F,2024/01/17,17:00,0.092,Real,</t>
  </si>
  <si>
    <t>ES0031408323131005HX0F,2024/01/17,18:00,0.033,Real,</t>
  </si>
  <si>
    <t>ES0031408323131005HX0F,2024/01/17,19:00,0.034,Real,</t>
  </si>
  <si>
    <t>ES0031408323131005HX0F,2024/01/17,20:00,0.295,Real,</t>
  </si>
  <si>
    <t>ES0031408323131005HX0F,2024/01/17,21:00,0.041,Real,</t>
  </si>
  <si>
    <t>ES0031408323131005HX0F,2024/01/17,22:00,0.071,Real,</t>
  </si>
  <si>
    <t>ES0031408323131005HX0F,2024/01/17,23:00,0.046,Real,</t>
  </si>
  <si>
    <t>ES0031408323131005HX0F,2024/01/17,24:00,0.023,Real,</t>
  </si>
  <si>
    <t>ES0031408323131005HX0F,2024/01/18,01:00,0.261,Real,</t>
  </si>
  <si>
    <t>ES0031408323131005HX0F,2024/01/18,02:00,0.067,Real,</t>
  </si>
  <si>
    <t>ES0031408323131005HX0F,2024/01/18,03:00,0.079,Real,</t>
  </si>
  <si>
    <t>ES0031408323131005HX0F,2024/01/18,04:00,0.048,Real,</t>
  </si>
  <si>
    <t>ES0031408323131005HX0F,2024/01/18,05:00,0.009,Real,</t>
  </si>
  <si>
    <t>ES0031408323131005HX0F,2024/01/18,06:00,0.289,Real,</t>
  </si>
  <si>
    <t>ES0031408323131005HX0F,2024/01/18,07:00,0.094,Real,</t>
  </si>
  <si>
    <t>ES0031408323131005HX0F,2024/01/18,08:00,0.04,Real,</t>
  </si>
  <si>
    <t>ES0031408323131005HX0F,2024/01/18,09:00,0.033,Real,</t>
  </si>
  <si>
    <t>ES0031408323131005HX0F,2024/01/18,10:00,0.01,Real,</t>
  </si>
  <si>
    <t>ES0031408323131005HX0F,2024/01/18,11:00,0.022,Real,</t>
  </si>
  <si>
    <t>ES0031408323131005HX0F,2024/01/18,12:00,0.367,Real,</t>
  </si>
  <si>
    <t>ES0031408323131005HX0F,2024/01/18,13:00,0.035,Real,</t>
  </si>
  <si>
    <t>ES0031408323131005HX0F,2024/01/18,14:00,0.034,Real,</t>
  </si>
  <si>
    <t>ES0031408323131005HX0F,2024/01/18,15:00,0.01,Real,</t>
  </si>
  <si>
    <t>ES0031408323131005HX0F,2024/01/18,16:00,0.049,Real,</t>
  </si>
  <si>
    <t>ES0031408323131005HX0F,2024/01/18,17:00,0.328,Real,</t>
  </si>
  <si>
    <t>ES0031408323131005HX0F,2024/01/18,18:00,0.079,Real,</t>
  </si>
  <si>
    <t>ES0031408323131005HX0F,2024/01/18,19:00,0.039,Real,</t>
  </si>
  <si>
    <t>ES0031408323131005HX0F,2024/01/18,20:00,0.056,Real,</t>
  </si>
  <si>
    <t>ES0031408323131005HX0F,2024/01/18,21:00,0.034,Real,</t>
  </si>
  <si>
    <t>ES0031408323131005HX0F,2024/01/18,22:00,0.073,Real,</t>
  </si>
  <si>
    <t>ES0031408323131005HX0F,2024/01/18,23:00,0.351,Real,</t>
  </si>
  <si>
    <t>ES0031408323131005HX0F,2024/01/18,24:00,0.032,Real,</t>
  </si>
  <si>
    <t>ES0031408323131005HX0F,2024/01/19,01:00,0.084,Real,</t>
  </si>
  <si>
    <t>ES0031408323131005HX0F,2024/01/19,02:00,0.077,Real,</t>
  </si>
  <si>
    <t>ES0031408323131005HX0F,2024/01/19,03:00,0.056,Real,</t>
  </si>
  <si>
    <t>ES0031408323131005HX0F,2024/01/19,04:00,0.375,Real,</t>
  </si>
  <si>
    <t>ES0031408323131005HX0F,2024/01/19,05:00,0.048,Real,</t>
  </si>
  <si>
    <t>ES0031408323131005HX0F,2024/01/19,06:00,0.075,Real,</t>
  </si>
  <si>
    <t>ES0031408323131005HX0F,2024/01/19,07:00,0.049,Real,</t>
  </si>
  <si>
    <t>ES0031408323131005HX0F,2024/01/19,08:00,0.067,Real,</t>
  </si>
  <si>
    <t>ES0031408323131005HX0F,2024/01/19,09:00,0.09,Real,</t>
  </si>
  <si>
    <t>ES0031408323131005HX0F,2024/01/19,10:00,0.329,Real,</t>
  </si>
  <si>
    <t>ES0031408323131005HX0F,2024/01/19,11:00,0.092,Real,</t>
  </si>
  <si>
    <t>ES0031408323131005HX0F,2024/01/19,12:00,0.051,Real,</t>
  </si>
  <si>
    <t>ES0031408323131005HX0F,2024/01/19,13:00,0.066,Real,</t>
  </si>
  <si>
    <t>ES0031408323131005HX0F,2024/01/19,14:00,0.079,Real,</t>
  </si>
  <si>
    <t>ES0031408323131005HX0F,2024/01/19,15:00,0.33,Real,</t>
  </si>
  <si>
    <t>ES0031408323131005HX0F,2024/01/19,16:00,0.091,Real,</t>
  </si>
  <si>
    <t>ES0031408323131005HX0F,2024/01/19,17:00,0.022,Real,</t>
  </si>
  <si>
    <t>ES0031408323131005HX0F,2024/01/19,18:00,0.092,Real,</t>
  </si>
  <si>
    <t>ES0031408323131005HX0F,2024/01/19,19:00,0.058,Real,</t>
  </si>
  <si>
    <t>ES0031408323131005HX0F,2024/01/19,20:00,0.057,Real,</t>
  </si>
  <si>
    <t>ES0031408323131005HX0F,2024/01/19,21:00,0.375,Real,</t>
  </si>
  <si>
    <t>ES0031408323131005HX0F,2024/01/19,22:00,0.108,Real,</t>
  </si>
  <si>
    <t>ES0031408323131005HX0F,2024/01/19,23:00,0.061,Real,</t>
  </si>
  <si>
    <t>ES0031408323131005HX0F,2024/01/19,24:00,0.029,Real,</t>
  </si>
  <si>
    <t>ES0031408323131005HX0F,2024/01/20,01:00,0.086,Real,</t>
  </si>
  <si>
    <t>ES0031408323131005HX0F,2024/01/20,02:00,0.343,Real,</t>
  </si>
  <si>
    <t>ES0031408323131005HX0F,2024/01/20,03:00,0.078,Real,</t>
  </si>
  <si>
    <t>ES0031408323131005HX0F,2024/01/20,04:00,0.091,Real,</t>
  </si>
  <si>
    <t>ES0031408323131005HX0F,2024/01/20,05:00,0.044,Real,</t>
  </si>
  <si>
    <t>ES0031408323131005HX0F,2024/01/20,06:00,0.076,Real,</t>
  </si>
  <si>
    <t>ES0031408323131005HX0F,2024/01/20,07:00,0.046,Real,</t>
  </si>
  <si>
    <t>ES0031408323131005HX0F,2024/01/20,08:00,0.345,Real,</t>
  </si>
  <si>
    <t>ES0031408323131005HX0F,2024/01/20,09:00,0.085,Real,</t>
  </si>
  <si>
    <t>ES0031408323131005HX0F,2024/01/20,10:00,0.028,Real,</t>
  </si>
  <si>
    <t>ES0031408323131005HX0F,2024/01/20,11:00,0.086,Real,</t>
  </si>
  <si>
    <t>ES0031408323131005HX0F,2024/01/20,12:00,0.088,Real,</t>
  </si>
  <si>
    <t>ES0031408323131005HX0F,2024/01/20,13:00,0.532,Real,</t>
  </si>
  <si>
    <t>ES0031408323131005HX0F,2024/01/20,14:00,0.091,Real,</t>
  </si>
  <si>
    <t>ES0031408323131005HX0F,2024/01/20,15:00,0.114,Real,</t>
  </si>
  <si>
    <t>ES0031408323131005HX0F,2024/01/20,16:00,0.133,Real,</t>
  </si>
  <si>
    <t>ES0031408323131005HX0F,2024/01/20,17:00,0.026,Real,</t>
  </si>
  <si>
    <t>ES0031408323131005HX0F,2024/01/20,18:00,0.085,Real,</t>
  </si>
  <si>
    <t>ES0031408323131005HX0F,2024/01/20,19:00,0.307,Real,</t>
  </si>
  <si>
    <t>ES0031408323131005HX0F,2024/01/20,20:00,0.408,Real,</t>
  </si>
  <si>
    <t>ES0031408323131005HX0F,2024/01/20,21:00,1.642,Real,</t>
  </si>
  <si>
    <t>ES0031408323131005HX0F,2024/01/20,22:00,3.597,Real,</t>
  </si>
  <si>
    <t>ES0031408323131005HX0F,2024/01/20,23:00,3.514,Real,</t>
  </si>
  <si>
    <t>ES0031408323131005HX0F,2024/01/20,24:00,2.95,Real,</t>
  </si>
  <si>
    <t>ES0031408323131005HX0F,2024/01/21,01:00,0.89,Real,</t>
  </si>
  <si>
    <t>ES0031408323131005HX0F,2024/01/21,02:00,0.063,Real,</t>
  </si>
  <si>
    <t>ES0031408323131005HX0F,2024/01/21,03:00,0.307,Real,</t>
  </si>
  <si>
    <t>ES0031408323131005HX0F,2024/01/21,04:00,0.019,Real,</t>
  </si>
  <si>
    <t>ES0031408323131005HX0F,2024/01/21,05:00,0.096,Real,</t>
  </si>
  <si>
    <t>ES0031408323131005HX0F,2024/01/21,06:00,0.06,Real,</t>
  </si>
  <si>
    <t>ES0031408323131005HX0F,2024/01/21,07:00,0.047,Real,</t>
  </si>
  <si>
    <t>ES0031408323131005HX0F,2024/01/21,08:00,0.03,Real,</t>
  </si>
  <si>
    <t>ES0031408323131005HX0F,2024/01/21,09:00,0.338,Real,</t>
  </si>
  <si>
    <t>ES0031408323131005HX0F,2024/01/21,10:00,0.163,Real,</t>
  </si>
  <si>
    <t>ES0031408323131005HX0F,2024/01/21,11:00,0.441,Real,</t>
  </si>
  <si>
    <t>ES0031408323131005HX0F,2024/01/21,12:00,0.528,Real,</t>
  </si>
  <si>
    <t>ES0031408323131005HX0F,2024/01/21,13:00,0.064,Real,</t>
  </si>
  <si>
    <t>ES0031408323131005HX0F,2024/01/21,14:00,0.076,Real,</t>
  </si>
  <si>
    <t>ES0031408323131005HX0F,2024/01/21,15:00,0.023,Real,</t>
  </si>
  <si>
    <t>ES0031408323131005HX0F,2024/01/21,16:00,0.324,Real,</t>
  </si>
  <si>
    <t>ES0031408323131005HX0F,2024/01/21,17:00,0.055,Real,</t>
  </si>
  <si>
    <t>ES0031408323131005HX0F,2024/01/21,18:00,0.122,Real,</t>
  </si>
  <si>
    <t>ES0031408323131005HX0F,2024/01/21,19:00,0.021,Real,</t>
  </si>
  <si>
    <t>ES0031408323131005HX0F,2024/01/21,20:00,0.948,Real,</t>
  </si>
  <si>
    <t>ES0031408323131005HX0F,2024/01/21,21:00,5.473,Real,</t>
  </si>
  <si>
    <t>ES0031408323131005HX0F,2024/01/21,22:00,3.052,Real,</t>
  </si>
  <si>
    <t>ES0031408323131005HX0F,2024/01/21,23:00,1.975,Real,</t>
  </si>
  <si>
    <t>ES0031408323131005HX0F,2024/01/21,24:00,1.523,Real,</t>
  </si>
  <si>
    <t>ES0031408323131005HX0F,2024/01/22,01:00,0.315,Real,</t>
  </si>
  <si>
    <t>ES0031408323131005HX0F,2024/01/22,02:00,0.019,Real,</t>
  </si>
  <si>
    <t>ES0031408323131005HX0F,2024/01/22,03:00,0.072,Real,</t>
  </si>
  <si>
    <t>ES0031408323131005HX0F,2024/01/22,04:00,0.083,Real,</t>
  </si>
  <si>
    <t>ES0031408323131005HX0F,2024/01/22,05:00,0.057,Real,</t>
  </si>
  <si>
    <t>ES0031408323131005HX0F,2024/01/22,06:00,0.407,Real,</t>
  </si>
  <si>
    <t>ES0031408323131005HX0F,2024/01/22,07:00,0.106,Real,</t>
  </si>
  <si>
    <t>ES0031408323131005HX0F,2024/01/22,08:00,0.085,Real,</t>
  </si>
  <si>
    <t>ES0031408323131005HX0F,2024/01/22,09:00,0.05,Real,</t>
  </si>
  <si>
    <t>ES0031408323131005HX0F,2024/01/22,10:00,0.552,Real,</t>
  </si>
  <si>
    <t>ES0031408323131005HX0F,2024/01/22,11:00,0.387,Real,</t>
  </si>
  <si>
    <t>ES0031408323131005HX0F,2024/01/22,12:00,0.076,Real,</t>
  </si>
  <si>
    <t>ES0031408323131005HX0F,2024/01/22,13:00,0.289,Real,</t>
  </si>
  <si>
    <t>ES0031408323131005HX0F,2024/01/22,14:00,0.052,Real,</t>
  </si>
  <si>
    <t>ES0031408323131005HX0F,2024/01/22,15:00,0.066,Real,</t>
  </si>
  <si>
    <t>ES0031408323131005HX0F,2024/01/22,16:00,0.098,Real,</t>
  </si>
  <si>
    <t>ES0031408323131005HX0F,2024/01/22,17:00,0.084,Real,</t>
  </si>
  <si>
    <t>ES0031408323131005HX0F,2024/01/22,18:00,0.339,Real,</t>
  </si>
  <si>
    <t>ES0031408323131005HX0F,2024/01/22,19:00,0.039,Real,</t>
  </si>
  <si>
    <t>ES0031408323131005HX0F,2024/01/22,20:00,1.56,Real,</t>
  </si>
  <si>
    <t>ES0031408323131005HX0F,2024/01/22,21:00,3.81,Real,</t>
  </si>
  <si>
    <t>ES0031408323131005HX0F,2024/01/22,22:00,2.887,Real,</t>
  </si>
  <si>
    <t>ES0031408323131005HX0F,2024/01/22,23:00,1.561,Real,</t>
  </si>
  <si>
    <t>ES0031408323131005HX0F,2024/01/22,24:00,0.883,Real,</t>
  </si>
  <si>
    <t>ES0031408323131005HX0F,2024/01/23,01:00,0.098,Real,</t>
  </si>
  <si>
    <t>ES0031408323131005HX0F,2024/01/23,02:00,0.075,Real,</t>
  </si>
  <si>
    <t>ES0031408323131005HX0F,2024/01/23,03:00,0.1,Real,</t>
  </si>
  <si>
    <t>ES0031408323131005HX0F,2024/01/23,04:00,0.067,Real,</t>
  </si>
  <si>
    <t>ES0031408323131005HX0F,2024/01/23,05:00,0.259,Real,</t>
  </si>
  <si>
    <t>ES0031408323131005HX0F,2024/01/23,06:00,0.128,Real,</t>
  </si>
  <si>
    <t>ES0031408323131005HX0F,2024/01/23,07:00,0.359,Real,</t>
  </si>
  <si>
    <t>ES0031408323131005HX0F,2024/01/23,08:00,0.563,Real,</t>
  </si>
  <si>
    <t>ES0031408323131005HX0F,2024/01/23,09:00,0.047,Real,</t>
  </si>
  <si>
    <t>ES0031408323131005HX0F,2024/01/23,10:00,0.062,Real,</t>
  </si>
  <si>
    <t>ES0031408323131005HX0F,2024/01/23,11:00,0.043,Real,</t>
  </si>
  <si>
    <t>ES0031408323131005HX0F,2024/01/23,12:00,0.033,Real,</t>
  </si>
  <si>
    <t>ES0031408323131005HX0F,2024/01/23,13:00,0.316,Real,</t>
  </si>
  <si>
    <t>ES0031408323131005HX0F,2024/01/23,14:00,0.073,Real,</t>
  </si>
  <si>
    <t>ES0031408323131005HX0F,2024/01/23,15:00,0.013,Real,</t>
  </si>
  <si>
    <t>ES0031408323131005HX0F,2024/01/23,16:00,0.078,Real,</t>
  </si>
  <si>
    <t>ES0031408323131005HX0F,2024/01/23,17:00,0.078,Real,</t>
  </si>
  <si>
    <t>ES0031408323131005HX0F,2024/01/23,18:00,0.027,Real,</t>
  </si>
  <si>
    <t>ES0031408323131005HX0F,2024/01/23,19:00,0.776,Real,</t>
  </si>
  <si>
    <t>ES0031408323131005HX0F,2024/01/23,20:00,0.998,Real,</t>
  </si>
  <si>
    <t>ES0031408323131005HX0F,2024/01/23,21:00,1.855,Real,</t>
  </si>
  <si>
    <t>ES0031408323131005HX0F,2024/01/23,22:00,3.411,Real,</t>
  </si>
  <si>
    <t>ES0031408323131005HX0F,2024/01/23,23:00,2.678,Real,</t>
  </si>
  <si>
    <t>ES0031408323131005HX0F,2024/01/23,24:00,0.451,Real,</t>
  </si>
  <si>
    <t>ES0031408323131005HX0F,2024/01/24,01:00,0.091,Real,</t>
  </si>
  <si>
    <t>ES0031408323131005HX0F,2024/01/24,02:00,0.04,Real,</t>
  </si>
  <si>
    <t>ES0031408323131005HX0F,2024/01/24,03:00,0.108,Real,</t>
  </si>
  <si>
    <t>ES0031408323131005HX0F,2024/01/24,04:00,0.322,Real,</t>
  </si>
  <si>
    <t>ES0031408323131005HX0F,2024/01/24,05:00,0.013,Real,</t>
  </si>
  <si>
    <t>ES0031408323131005HX0F,2024/01/24,06:00,0.118,Real,</t>
  </si>
  <si>
    <t>ES0031408323131005HX0F,2024/01/24,07:00,0.404,Real,</t>
  </si>
  <si>
    <t>ES0031408323131005HX0F,2024/01/24,08:00,0.411,Real,</t>
  </si>
  <si>
    <t>ES0031408323131005HX0F,2024/01/24,09:00,0.024,Real,</t>
  </si>
  <si>
    <t>ES0031408323131005HX0F,2024/01/24,10:00,0.084,Real,</t>
  </si>
  <si>
    <t>ES0031408323131005HX0F,2024/01/24,11:00,0.105,Real,</t>
  </si>
  <si>
    <t>ES0031408323131005HX0F,2024/01/24,12:00,0.535,Real,</t>
  </si>
  <si>
    <t>ES0031408323131005HX0F,2024/01/24,13:00,0.858,Real,</t>
  </si>
  <si>
    <t>ES0031408323131005HX0F,2024/01/24,14:00,0.502,Real,</t>
  </si>
  <si>
    <t>ES0031408323131005HX0F,2024/01/24,15:00,0.613,Real,</t>
  </si>
  <si>
    <t>ES0031408323131005HX0F,2024/01/24,16:00,0.692,Real,</t>
  </si>
  <si>
    <t>ES0031408323131005HX0F,2024/01/24,17:00,0.086,Real,</t>
  </si>
  <si>
    <t>ES0031408323131005HX0F,2024/01/24,18:00,0.068,Real,</t>
  </si>
  <si>
    <t>ES0031408323131005HX0F,2024/01/24,19:00,0.295,Real,</t>
  </si>
  <si>
    <t>ES0031408323131005HX0F,2024/01/24,20:00,1.272,Real,</t>
  </si>
  <si>
    <t>ES0031408323131005HX0F,2024/01/24,21:00,1.987,Real,</t>
  </si>
  <si>
    <t>ES0031408323131005HX0F,2024/01/24,22:00,2.324,Real,</t>
  </si>
  <si>
    <t>ES0031408323131005HX0F,2024/01/24,23:00,2.395,Real,</t>
  </si>
  <si>
    <t>ES0031408323131005HX0F,2024/01/24,24:00,0.067,Real,</t>
  </si>
  <si>
    <t>ES0031408323131005HX0F,2024/01/25,01:00,0.06,Real,</t>
  </si>
  <si>
    <t>ES0031408323131005HX0F,2024/01/25,02:00,0.063,Real,</t>
  </si>
  <si>
    <t>ES0031408323131005HX0F,2024/01/25,03:00,0.016,Real,</t>
  </si>
  <si>
    <t>ES0031408323131005HX0F,2024/01/25,04:00,0.087,Real,</t>
  </si>
  <si>
    <t>ES0031408323131005HX0F,2024/01/25,05:00,0.374,Real,</t>
  </si>
  <si>
    <t>ES0031408323131005HX0F,2024/01/25,06:00,0.142,Real,</t>
  </si>
  <si>
    <t>ES0031408323131005HX0F,2024/01/25,07:00,0.11,Real,</t>
  </si>
  <si>
    <t>ES0031408323131005HX0F,2024/01/25,08:00,0.393,Real,</t>
  </si>
  <si>
    <t>ES0031408323131005HX0F,2024/01/25,09:00,0.064,Real,</t>
  </si>
  <si>
    <t>ES0031408323131005HX0F,2024/01/25,10:00,0.074,Real,</t>
  </si>
  <si>
    <t>ES0031408323131005HX0F,2024/01/25,11:00,0.013,Real,</t>
  </si>
  <si>
    <t>ES0031408323131005HX0F,2024/01/25,12:00,0.089,Real,</t>
  </si>
  <si>
    <t>ES0031408323131005HX0F,2024/01/25,13:00,0.058,Real,</t>
  </si>
  <si>
    <t>ES0031408323131005HX0F,2024/01/25,14:00,0.298,Real,</t>
  </si>
  <si>
    <t>ES0031408323131005HX0F,2024/01/25,15:00,0.023,Real,</t>
  </si>
  <si>
    <t>ES0031408323131005HX0F,2024/01/25,16:00,0.083,Real,</t>
  </si>
  <si>
    <t>ES0031408323131005HX0F,2024/01/25,17:00,0.073,Real,</t>
  </si>
  <si>
    <t>ES0031408323131005HX0F,2024/01/25,18:00,0.019,Real,</t>
  </si>
  <si>
    <t>ES0031408323131005HX0F,2024/01/25,19:00,0.05,Real,</t>
  </si>
  <si>
    <t>ES0031408323131005HX0F,2024/01/25,20:00,0.963,Real,</t>
  </si>
  <si>
    <t>ES0031408323131005HX0F,2024/01/25,21:00,1.336,Real,</t>
  </si>
  <si>
    <t>ES0031408323131005HX0F,2024/01/25,22:00,1.593,Real,</t>
  </si>
  <si>
    <t>ES0031408323131005HX0F,2024/01/25,23:00,0.693,Real,</t>
  </si>
  <si>
    <t>ES0031408323131005HX0F,2024/01/25,24:00,0.139,Real,</t>
  </si>
  <si>
    <t>ES0031408323131005HX0F,2024/01/26,01:00,0.105,Real,</t>
  </si>
  <si>
    <t>ES0031408323131005HX0F,2024/01/26,02:00,0.101,Real,</t>
  </si>
  <si>
    <t>ES0031408323131005HX0F,2024/01/26,03:00,0.292,Real,</t>
  </si>
  <si>
    <t>ES0031408323131005HX0F,2024/01/26,04:00,0.091,Real,</t>
  </si>
  <si>
    <t>ES0031408323131005HX0F,2024/01/26,05:00,0.093,Real,</t>
  </si>
  <si>
    <t>ES0031408323131005HX0F,2024/01/26,06:00,0.094,Real,</t>
  </si>
  <si>
    <t>ES0031408323131005HX0F,2024/01/26,07:00,0.404,Real,</t>
  </si>
  <si>
    <t>ES0031408323131005HX0F,2024/01/26,08:00,0.476,Real,</t>
  </si>
  <si>
    <t>ES0031408323131005HX0F,2024/01/26,09:00,0.054,Real,</t>
  </si>
  <si>
    <t>ES0031408323131005HX0F,2024/01/26,10:00,0.014,Real,</t>
  </si>
  <si>
    <t>ES0031408323131005HX0F,2024/01/26,11:00,0.103,Real,</t>
  </si>
  <si>
    <t>ES0031408323131005HX0F,2024/01/26,12:00,0.064,Real,</t>
  </si>
  <si>
    <t>ES0031408323131005HX0F,2024/01/26,13:00,0.045,Real,</t>
  </si>
  <si>
    <t>ES0031408323131005HX0F,2024/01/26,14:00,0.288,Real,</t>
  </si>
  <si>
    <t>ES0031408323131005HX0F,2024/01/26,15:00,0.291,Real,</t>
  </si>
  <si>
    <t>ES0031408323131005HX0F,2024/01/26,16:00,1.51,Real,</t>
  </si>
  <si>
    <t>ES0031408323131005HX0F,2024/01/26,17:00,0.032,Real,</t>
  </si>
  <si>
    <t>ES0031408323131005HX0F,2024/01/26,18:00,0.019,Real,</t>
  </si>
  <si>
    <t>ES0031408323131005HX0F,2024/01/26,19:00,0.493,Real,</t>
  </si>
  <si>
    <t>ES0031408323131005HX0F,2024/01/26,20:00,0.878,Real,</t>
  </si>
  <si>
    <t>ES0031408323131005HX0F,2024/01/26,21:00,0.117,Real,</t>
  </si>
  <si>
    <t>ES0031408323131005HX0F,2024/01/26,22:00,2.138,Real,</t>
  </si>
  <si>
    <t>ES0031408323131005HX0F,2024/01/26,23:00,0.086,Real,</t>
  </si>
  <si>
    <t>ES0031408323131005HX0F,2024/01/26,24:00,0.059,Real,</t>
  </si>
  <si>
    <t>ES0031408323131005HX0F,2024/01/27,01:00,0.013,Real,</t>
  </si>
  <si>
    <t>ES0031408323131005HX0F,2024/01/27,02:00,0.067,Real,</t>
  </si>
  <si>
    <t>ES0031408323131005HX0F,2024/01/27,03:00,0.054,Real,</t>
  </si>
  <si>
    <t>ES0031408323131005HX0F,2024/01/27,04:00,0.043,Real,</t>
  </si>
  <si>
    <t>ES0031408323131005HX0F,2024/01/27,05:00,0.294,Real,</t>
  </si>
  <si>
    <t>ES0031408323131005HX0F,2024/01/27,06:00,0.088,Real,</t>
  </si>
  <si>
    <t>ES0031408323131005HX0F,2024/01/27,07:00,0.449,Real,</t>
  </si>
  <si>
    <t>ES0031408323131005HX0F,2024/01/27,08:00,2.192,Real,</t>
  </si>
  <si>
    <t>ES0031408323131005HX0F,2024/01/27,09:00,1.933,Real,</t>
  </si>
  <si>
    <t>ES0031408323131005HX0F,2024/01/27,10:00,1.616,Real,</t>
  </si>
  <si>
    <t>ES0031408323131005HX0F,2024/01/27,11:00,0.759,Real,</t>
  </si>
  <si>
    <t>ES0031408323131005HX0F,2024/01/27,12:00,0.61,Real,</t>
  </si>
  <si>
    <t>ES0031408323131005HX0F,2024/01/27,13:00,0.013,Real,</t>
  </si>
  <si>
    <t>ES0031408323131005HX0F,2024/01/27,14:00,0.597,Real,</t>
  </si>
  <si>
    <t>ES0031408323131005HX0F,2024/01/27,15:00,0.193,Real,</t>
  </si>
  <si>
    <t>ES0031408323131005HX0F,2024/01/27,16:00,0.281,Real,</t>
  </si>
  <si>
    <t>ES0031408323131005HX0F,2024/01/27,17:00,0.847,Real,</t>
  </si>
  <si>
    <t>ES0031408323131005HX0F,2024/01/27,18:00,1.324,Real,</t>
  </si>
  <si>
    <t>ES0031408323131005HX0F,2024/01/27,19:00,0.499,Real,</t>
  </si>
  <si>
    <t>ES0031408323131005HX0F,2024/01/27,20:00,0.244,Real,</t>
  </si>
  <si>
    <t>ES0031408323131005HX0F,2024/01/27,21:00,1.579,Real,</t>
  </si>
  <si>
    <t>ES0031408323131005HX0F,2024/01/27,22:00,0.548,Real,</t>
  </si>
  <si>
    <t>ES0031408323131005HX0F,2024/01/27,23:00,0.117,Real,</t>
  </si>
  <si>
    <t>ES0031408323131005HX0F,2024/01/27,24:00,0.016,Real,</t>
  </si>
  <si>
    <t>ES0031408323131005HX0F,2024/01/28,01:00,0.16,Real,</t>
  </si>
  <si>
    <t>ES0031408323131005HX0F,2024/01/28,02:00,0.36,Real,</t>
  </si>
  <si>
    <t>ES0031408323131005HX0F,2024/01/28,03:00,0.037,Real,</t>
  </si>
  <si>
    <t>ES0031408323131005HX0F,2024/01/28,04:00,0.065,Real,</t>
  </si>
  <si>
    <t>ES0031408323131005HX0F,2024/01/28,05:00,0.061,Real,</t>
  </si>
  <si>
    <t>ES0031408323131005HX0F,2024/01/28,06:00,0.075,Real,</t>
  </si>
  <si>
    <t>ES0031408323131005HX0F,2024/01/28,07:00,0.016,Real,</t>
  </si>
  <si>
    <t>ES0031408323131005HX0F,2024/01/28,08:00,0.362,Real,</t>
  </si>
  <si>
    <t>ES0031408323131005HX0F,2024/01/28,09:00,0.058,Real,</t>
  </si>
  <si>
    <t>ES0031408323131005HX0F,2024/01/28,10:00,0.383,Real,</t>
  </si>
  <si>
    <t>ES0031408323131005HX0F,2024/01/28,11:00,0.348,Real,</t>
  </si>
  <si>
    <t>ES0031408323131005HX0F,2024/01/28,12:00,0.109,Real,</t>
  </si>
  <si>
    <t>ES0031408323131005HX0F,2024/01/28,13:00,0.396,Real,</t>
  </si>
  <si>
    <t>ES0031408323131005HX0F,2024/01/28,14:00,0.05,Real,</t>
  </si>
  <si>
    <t>ES0031408323131005HX0F,2024/01/28,15:00,0.037,Real,</t>
  </si>
  <si>
    <t>ES0031408323131005HX0F,2024/01/28,16:00,0.072,Real,</t>
  </si>
  <si>
    <t>ES0031408323131005HX0F,2024/01/28,17:00,0.338,Real,</t>
  </si>
  <si>
    <t>ES0031408323131005HX0F,2024/01/28,18:00,0.018,Real,</t>
  </si>
  <si>
    <t>ES0031408323131005HX0F,2024/01/28,19:00,0.073,Real,</t>
  </si>
  <si>
    <t>ES0031408323131005HX0F,2024/01/28,20:00,1.692,Real,</t>
  </si>
  <si>
    <t>ES0031408323131005HX0F,2024/01/28,21:00,4.426,Real,</t>
  </si>
  <si>
    <t>ES0031408323131005HX0F,2024/01/28,22:00,0.877,Real,</t>
  </si>
  <si>
    <t>ES0031408323131005HX0F,2024/01/28,23:00,0.09,Real,</t>
  </si>
  <si>
    <t>ES0031408323131005HX0F,2024/01/28,24:00,0.365,Real,</t>
  </si>
  <si>
    <t>ES0031408323131005HX0F,2024/01/29,01:00,0.032,Real,</t>
  </si>
  <si>
    <t>ES0031408323131005HX0F,2024/01/29,02:00,0.091,Real,</t>
  </si>
  <si>
    <t>ES0031408323131005HX0F,2024/01/29,03:00,0.071,Real,</t>
  </si>
  <si>
    <t>ES0031408323131005HX0F,2024/01/29,04:00,0.078,Real,</t>
  </si>
  <si>
    <t>ES0031408323131005HX0F,2024/01/29,05:00,0.023,Real,</t>
  </si>
  <si>
    <t>ES0031408323131005HX0F,2024/01/29,06:00,0.35,Real,</t>
  </si>
  <si>
    <t>ES0031408323131005HX0F,2024/01/29,07:00,0.071,Real,</t>
  </si>
  <si>
    <t>ES0031408323131005HX0F,2024/01/29,08:00,0.12,Real,</t>
  </si>
  <si>
    <t>ES0031408323131005HX0F,2024/01/29,09:00,0.534,Real,</t>
  </si>
  <si>
    <t>ES0031408323131005HX0F,2024/01/29,10:00,0.057,Real,</t>
  </si>
  <si>
    <t>ES0031408323131005HX0F,2024/01/29,11:00,0.033,Real,</t>
  </si>
  <si>
    <t>ES0031408323131005HX0F,2024/01/29,12:00,0.044,Real,</t>
  </si>
  <si>
    <t>ES0031408323131005HX0F,2024/01/29,13:00,0.711,Real,</t>
  </si>
  <si>
    <t>ES0031408323131005HX0F,2024/01/29,14:00,0.925,Real,</t>
  </si>
  <si>
    <t>ES0031408323131005HX0F,2024/01/29,15:00,0.965,Real,</t>
  </si>
  <si>
    <t>ES0031408323131005HX0F,2024/01/29,16:00,0.606,Real,</t>
  </si>
  <si>
    <t>ES0031408323131005HX0F,2024/01/29,17:00,0.147,Real,</t>
  </si>
  <si>
    <t>ES0031408323131005HX0F,2024/01/29,18:00,0.108,Real,</t>
  </si>
  <si>
    <t>ES0031408323131005HX0F,2024/01/29,19:00,0.041,Real,</t>
  </si>
  <si>
    <t>ES0031408323131005HX0F,2024/01/29,20:00,0.786,Real,</t>
  </si>
  <si>
    <t>ES0031408323131005HX0F,2024/01/29,21:00,0.193,Real,</t>
  </si>
  <si>
    <t>ES0031408323131005HX0F,2024/01/29,22:00,0.177,Real,</t>
  </si>
  <si>
    <t>ES0031408323131005HX0F,2024/01/29,23:00,0.414,Real,</t>
  </si>
  <si>
    <t>ES0031408323131005HX0F,2024/01/29,24:00,1.326,Real,</t>
  </si>
  <si>
    <t>ES0031408323131005HX0F,2024/01/30,01:00,0.062,Real,</t>
  </si>
  <si>
    <t>ES0031408323131005HX0F,2024/01/30,02:00,0.088,Real,</t>
  </si>
  <si>
    <t>ES0031408323131005HX0F,2024/01/30,03:00,0.053,Real,</t>
  </si>
  <si>
    <t>ES0031408323131005HX0F,2024/01/30,04:00,0.016,Real,</t>
  </si>
  <si>
    <t>ES0031408323131005HX0F,2024/01/30,05:00,0.347,Real,</t>
  </si>
  <si>
    <t>ES0031408323131005HX0F,2024/01/30,06:00,0.058,Real,</t>
  </si>
  <si>
    <t>ES0031408323131005HX0F,2024/01/30,07:00,0.034,Real,</t>
  </si>
  <si>
    <t>ES0031408323131005HX0F,2024/01/30,08:00,0.033,Real,</t>
  </si>
  <si>
    <t>ES0031408323131005HX0F,2024/01/30,09:00,0.1,Real,</t>
  </si>
  <si>
    <t>ES0031408323131005HX0F,2024/01/30,10:00,0.329,Real,</t>
  </si>
  <si>
    <t>ES0031408323131005HX0F,2024/01/30,11:00,0.036,Real,</t>
  </si>
  <si>
    <t>ES0031408323131005HX0F,2024/01/30,12:00,1.42,Real,</t>
  </si>
  <si>
    <t>ES0031408323131005HX0F,2024/01/30,13:00,0.472,Real,</t>
  </si>
  <si>
    <t>ES0031408323131005HX0F,2024/01/30,14:00,0.37,Real,</t>
  </si>
  <si>
    <t>ES0031408323131005HX0F,2024/01/30,15:00,0.404,Real,</t>
  </si>
  <si>
    <t>ES0031408323131005HX0F,2024/01/30,16:00,0.133,Real,</t>
  </si>
  <si>
    <t>ES0031408323131005HX0F,2024/01/30,17:00,0.186,Real,</t>
  </si>
  <si>
    <t>ES0031408323131005HX0F,2024/01/30,18:00,0.184,Real,</t>
  </si>
  <si>
    <t>ES0031408323131005HX0F,2024/01/30,19:00,0.069,Real,</t>
  </si>
  <si>
    <t>ES0031408323131005HX0F,2024/01/30,20:00,0.325,Real,</t>
  </si>
  <si>
    <t>ES0031408323131005HX0F,2024/01/30,21:00,1.129,Real,</t>
  </si>
  <si>
    <t>ES0031408323131005HX0F,2024/01/30,22:00,0.185,Real,</t>
  </si>
  <si>
    <t>ES0031408323131005HX0F,2024/01/30,23:00,0.578,Real,</t>
  </si>
  <si>
    <t>ES0031408323131005HX0F,2024/01/30,24:00,0.664,Real,</t>
  </si>
  <si>
    <t>ES0031408323131005HX0F,2024/01/31,01:00,0.11,Real,</t>
  </si>
  <si>
    <t>ES0031408323131005HX0F,2024/01/31,02:00,0.041,Real,</t>
  </si>
  <si>
    <t>ES0031408323131005HX0F,2024/01/31,03:00,0.076,Real,</t>
  </si>
  <si>
    <t>ES0031408323131005HX0F,2024/01/31,04:00,0.339,Real,</t>
  </si>
  <si>
    <t>ES0031408323131005HX0F,2024/01/31,05:00,0.051,Real,</t>
  </si>
  <si>
    <t>ES0031408323131005HX0F,2024/01/31,06:00,0.046,Real,</t>
  </si>
  <si>
    <t>ES0031408323131005HX0F,2024/01/31,07:00,0.079,Real,</t>
  </si>
  <si>
    <t>ES0031408323131005HX0F,2024/01/31,08:00,0.095,Real,</t>
  </si>
  <si>
    <t>ES0031408323131005HX0F,2024/01/31,09:00,0.209,Real,</t>
  </si>
  <si>
    <t>ES0031408323131005HX0F,2024/01/31,10:00,1.157,Real,</t>
  </si>
  <si>
    <t>ES0031408323131005HX0F,2024/01/31,11:00,0.385,Real,</t>
  </si>
  <si>
    <t>ES0031408323131005HX0F,2024/01/31,12:00,0.219,Real,</t>
  </si>
  <si>
    <t>ES0031408323131005HX0F,2024/01/31,13:00,0.653,Real,</t>
  </si>
  <si>
    <t>ES0031408323131005HX0F,2024/01/31,14:00,0.926,Real,</t>
  </si>
  <si>
    <t>ES0031408323131005HX0F,2024/01/31,15:00,0.038,Real,</t>
  </si>
  <si>
    <t>ES0031408323131005HX0F,2024/01/31,16:00,0.082,Real,</t>
  </si>
  <si>
    <t>ES0031408323131005HX0F,2024/01/31,17:00,0.072,Real,</t>
  </si>
  <si>
    <t>ES0031408323131005HX0F,2024/01/31,18:00,0.387,Real,</t>
  </si>
  <si>
    <t>ES0031408323131005HX0F,2024/01/31,19:00,0.115,Real,</t>
  </si>
  <si>
    <t>ES0031408323131005HX0F,2024/01/31,20:00,0.975,Real,</t>
  </si>
  <si>
    <t>ES0031408323131005HX0F,2024/01/31,21:00,1.93,Real,</t>
  </si>
  <si>
    <t>ES0031408323131005HX0F,2024/01/31,22:00,1.674,Real,</t>
  </si>
  <si>
    <t>ES0031408323131005HX0F,2024/01/31,23:00,0.285,Real,</t>
  </si>
  <si>
    <t>ES0031408323131005HX0F,2024/01/31,24:00,1.142,Real,</t>
  </si>
  <si>
    <t>ES0031408323131005HX0F,2024/02/01,01:00,0.122,Real,</t>
  </si>
  <si>
    <t>ES0031408323131005HX0F,2024/02/01,02:00,0.092,Real,</t>
  </si>
  <si>
    <t>ES0031408323131005HX0F,2024/02/01,03:00,0.032,Real,</t>
  </si>
  <si>
    <t>ES0031408323131005HX0F,2024/02/01,04:00,0.065,Real,</t>
  </si>
  <si>
    <t>ES0031408323131005HX0F,2024/02/01,05:00,0.359,Real,</t>
  </si>
  <si>
    <t>ES0031408323131005HX0F,2024/02/01,06:00,0.092,Real,</t>
  </si>
  <si>
    <t>ES0031408323131005HX0F,2024/02/01,07:00,0.029,Real,</t>
  </si>
  <si>
    <t>ES0031408323131005HX0F,2024/02/01,08:00,0.092,Real,</t>
  </si>
  <si>
    <t>ES0031408323131005HX0F,2024/02/01,09:00,0.072,Real,</t>
  </si>
  <si>
    <t>ES0031408323131005HX0F,2024/02/01,10:00,0.698,Real,</t>
  </si>
  <si>
    <t>ES0031408323131005HX0F,2024/02/01,11:00,0.587,Real,</t>
  </si>
  <si>
    <t>ES0031408323131005HX0F,2024/02/01,12:00,0.393,Real,</t>
  </si>
  <si>
    <t>ES0031408323131005HX0F,2024/02/01,13:00,1.004,Real,</t>
  </si>
  <si>
    <t>ES0031408323131005HX0F,2024/02/01,14:00,0.563,Real,</t>
  </si>
  <si>
    <t>ES0031408323131005HX0F,2024/02/01,15:00,0.163,Real,</t>
  </si>
  <si>
    <t>ES0031408323131005HX0F,2024/02/01,16:00,0.11,Real,</t>
  </si>
  <si>
    <t>ES0031408323131005HX0F,2024/02/01,17:00,1.742,Real,</t>
  </si>
  <si>
    <t>ES0031408323131005HX0F,2024/02/01,18:00,2.249,Real,</t>
  </si>
  <si>
    <t>ES0031408323131005HX0F,2024/02/01,19:00,0.476,Real,</t>
  </si>
  <si>
    <t>ES0031408323131005HX0F,2024/02/01,20:00,0.683,Real,</t>
  </si>
  <si>
    <t>ES0031408323131005HX0F,2024/02/01,21:00,0.688,Real,</t>
  </si>
  <si>
    <t>ES0031408323131005HX0F,2024/02/01,22:00,1.424,Real,</t>
  </si>
  <si>
    <t>ES0031408323131005HX0F,2024/02/01,23:00,0.289,Real,</t>
  </si>
  <si>
    <t>ES0031408323131005HX0F,2024/02/01,24:00,1.362,Real,</t>
  </si>
  <si>
    <t>ES0031408323131005HX0F,2024/02/02,01:00,0.23,Real,</t>
  </si>
  <si>
    <t>ES0031408323131005HX0F,2024/02/02,02:00,0.044,Real,</t>
  </si>
  <si>
    <t>ES0031408323131005HX0F,2024/02/02,03:00,0.07,Real,</t>
  </si>
  <si>
    <t>ES0031408323131005HX0F,2024/02/02,04:00,0.082,Real,</t>
  </si>
  <si>
    <t>ES0031408323131005HX0F,2024/02/02,05:00,0.337,Real,</t>
  </si>
  <si>
    <t>ES0031408323131005HX0F,2024/02/02,06:00,0.067,Real,</t>
  </si>
  <si>
    <t>ES0031408323131005HX0F,2024/02/02,07:00,0.085,Real,</t>
  </si>
  <si>
    <t>ES0031408323131005HX0F,2024/02/02,08:00,0.039,Real,</t>
  </si>
  <si>
    <t>ES0031408323131005HX0F,2024/02/02,09:00,0.063,Real,</t>
  </si>
  <si>
    <t>ES0031408323131005HX0F,2024/02/02,10:00,0.68,Real,</t>
  </si>
  <si>
    <t>ES0031408323131005HX0F,2024/02/02,11:00,0.696,Real,</t>
  </si>
  <si>
    <t>ES0031408323131005HX0F,2024/02/02,12:00,0.036,Real,</t>
  </si>
  <si>
    <t>ES0031408323131005HX0F,2024/02/02,13:00,0.352,Real,</t>
  </si>
  <si>
    <t>ES0031408323131005HX0F,2024/02/02,14:00,0.065,Real,</t>
  </si>
  <si>
    <t>ES0031408323131005HX0F,2024/02/02,15:00,0.782,Real,</t>
  </si>
  <si>
    <t>ES0031408323131005HX0F,2024/02/02,16:00,0.843,Real,</t>
  </si>
  <si>
    <t>ES0031408323131005HX0F,2024/02/02,17:00,0.491,Real,</t>
  </si>
  <si>
    <t>ES0031408323131005HX0F,2024/02/02,18:00,0.242,Real,</t>
  </si>
  <si>
    <t>ES0031408323131005HX0F,2024/02/02,19:00,0.3,Real,</t>
  </si>
  <si>
    <t>ES0031408323131005HX0F,2024/02/02,20:00,1.325,Real,</t>
  </si>
  <si>
    <t>ES0031408323131005HX0F,2024/02/02,21:00,0.537,Real,</t>
  </si>
  <si>
    <t>ES0031408323131005HX0F,2024/02/02,22:00,0.117,Real,</t>
  </si>
  <si>
    <t>ES0031408323131005HX0F,2024/02/02,23:00,0.062,Real,</t>
  </si>
  <si>
    <t>ES0031408323131005HX0F,2024/02/02,24:00,0.326,Real,</t>
  </si>
  <si>
    <t>ES0031408323131005HX0F,2024/02/03,01:00,0.383,Real,</t>
  </si>
  <si>
    <t>ES0031408323131005HX0F,2024/02/03,02:00,0.064,Real,</t>
  </si>
  <si>
    <t>ES0031408323131005HX0F,2024/02/03,03:00,0.052,Real,</t>
  </si>
  <si>
    <t>ES0031408323131005HX0F,2024/02/03,04:00,0.085,Real,</t>
  </si>
  <si>
    <t>ES0031408323131005HX0F,2024/02/03,05:00,0.302,Real,</t>
  </si>
  <si>
    <t>ES0031408323131005HX0F,2024/02/03,06:00,0.074,Real,</t>
  </si>
  <si>
    <t>ES0031408323131005HX0F,2024/02/03,07:00,0.066,Real,</t>
  </si>
  <si>
    <t>ES0031408323131005HX0F,2024/02/03,08:00,0.026,Real,</t>
  </si>
  <si>
    <t>ES0031408323131005HX0F,2024/02/03,09:00,0.437,Real,</t>
  </si>
  <si>
    <t>ES0031408323131005HX0F,2024/02/03,10:00,0.231,Real,</t>
  </si>
  <si>
    <t>ES0031408323131005HX0F,2024/02/03,11:00,0.319,Real,</t>
  </si>
  <si>
    <t>ES0031408323131005HX0F,2024/02/03,12:00,0.072,Real,</t>
  </si>
  <si>
    <t>ES0031408323131005HX0F,2024/02/03,13:00,0.026,Real,</t>
  </si>
  <si>
    <t>ES0031408323131005HX0F,2024/02/03,14:00,0.074,Real,</t>
  </si>
  <si>
    <t>ES0031408323131005HX0F,2024/02/03,15:00,0.049,Real,</t>
  </si>
  <si>
    <t>ES0031408323131005HX0F,2024/02/03,16:00,1.423,Real,</t>
  </si>
  <si>
    <t>ES0031408323131005HX0F,2024/02/03,17:00,0.491,Real,</t>
  </si>
  <si>
    <t>ES0031408323131005HX0F,2024/02/03,18:00,0.05,Real,</t>
  </si>
  <si>
    <t>ES0031408323131005HX0F,2024/02/03,19:00,0.198,Real,</t>
  </si>
  <si>
    <t>ES0031408323131005HX0F,2024/02/03,20:00,1.344,Real,</t>
  </si>
  <si>
    <t>ES0031408323131005HX0F,2024/02/03,21:00,1.504,Real,</t>
  </si>
  <si>
    <t>ES0031408323131005HX0F,2024/02/03,22:00,0.534,Real,</t>
  </si>
  <si>
    <t>ES0031408323131005HX0F,2024/02/03,23:00,0.058,Real,</t>
  </si>
  <si>
    <t>ES0031408323131005HX0F,2024/02/03,24:00,0.067,Real,</t>
  </si>
  <si>
    <t>ES0031408323131005HX0F,2024/02/04,01:00,0.509,Real,</t>
  </si>
  <si>
    <t>ES0031408323131005HX0F,2024/02/04,02:00,0.167,Real,</t>
  </si>
  <si>
    <t>ES0031408323131005HX0F,2024/02/04,03:00,0.32,Real,</t>
  </si>
  <si>
    <t>ES0031408323131005HX0F,2024/02/04,04:00,0.071,Real,</t>
  </si>
  <si>
    <t>ES0031408323131005HX0F,2024/02/04,05:00,0.055,Real,</t>
  </si>
  <si>
    <t>ES0031408323131005HX0F,2024/02/04,06:00,0.035,Real,</t>
  </si>
  <si>
    <t>ES0031408323131005HX0F,2024/02/04,07:00,0.079,Real,</t>
  </si>
  <si>
    <t>ES0031408323131005HX0F,2024/02/04,08:00,0.035,Real,</t>
  </si>
  <si>
    <t>ES0031408323131005HX0F,2024/02/04,09:00,0.333,Real,</t>
  </si>
  <si>
    <t>ES0031408323131005HX0F,2024/02/04,10:00,0.715,Real,</t>
  </si>
  <si>
    <t>ES0031408323131005HX0F,2024/02/04,11:00,2.498,Real,</t>
  </si>
  <si>
    <t>ES0031408323131005HX0F,2024/02/04,12:00,0.526,Real,</t>
  </si>
  <si>
    <t>ES0031408323131005HX0F,2024/02/04,13:00,0.164,Real,</t>
  </si>
  <si>
    <t>ES0031408323131005HX0F,2024/02/04,14:00,0.856,Real,</t>
  </si>
  <si>
    <t>ES0031408323131005HX0F,2024/02/04,15:00,0.348,Real,</t>
  </si>
  <si>
    <t>ES0031408323131005HX0F,2024/02/04,16:00,0.189,Real,</t>
  </si>
  <si>
    <t>ES0031408323131005HX0F,2024/02/04,17:00,0.163,Real,</t>
  </si>
  <si>
    <t>ES0031408323131005HX0F,2024/02/04,18:00,0.174,Real,</t>
  </si>
  <si>
    <t>ES0031408323131005HX0F,2024/02/04,19:00,0.405,Real,</t>
  </si>
  <si>
    <t>ES0031408323131005HX0F,2024/02/04,20:00,0.326,Real,</t>
  </si>
  <si>
    <t>ES0031408323131005HX0F,2024/02/04,21:00,1.548,Real,</t>
  </si>
  <si>
    <t>ES0031408323131005HX0F,2024/02/04,22:00,0.204,Real,</t>
  </si>
  <si>
    <t>ES0031408323131005HX0F,2024/02/04,23:00,0.093,Real,</t>
  </si>
  <si>
    <t>ES0031408323131005HX0F,2024/02/04,24:00,0.223,Real,</t>
  </si>
  <si>
    <t>ES0031408323131005HX0F,2024/02/05,01:00,0.172,Real,</t>
  </si>
  <si>
    <t>ES0031408323131005HX0F,2024/02/05,02:00,0.093,Real,</t>
  </si>
  <si>
    <t>ES0031408323131005HX0F,2024/02/05,03:00,0.053,Real,</t>
  </si>
  <si>
    <t>ES0031408323131005HX0F,2024/02/05,04:00,0.032,Real,</t>
  </si>
  <si>
    <t>ES0031408323131005HX0F,2024/02/05,05:00,0.13,Real,</t>
  </si>
  <si>
    <t>ES0031408323131005HX0F,2024/02/05,06:00,0.462,Real,</t>
  </si>
  <si>
    <t>ES0031408323131005HX0F,2024/02/05,07:00,0.07,Real,</t>
  </si>
  <si>
    <t>ES0031408323131005HX0F,2024/02/05,08:00,0.046,Real,</t>
  </si>
  <si>
    <t>ES0031408323131005HX0F,2024/02/05,09:00,0.087,Real,</t>
  </si>
  <si>
    <t>ES0031408323131005HX0F,2024/02/05,10:00,0.733,Real,</t>
  </si>
  <si>
    <t>ES0031408323131005HX0F,2024/02/05,11:00,0.726,Real,</t>
  </si>
  <si>
    <t>ES0031408323131005HX0F,2024/02/05,12:00,1.332,Real,</t>
  </si>
  <si>
    <t>ES0031408323131005HX0F,2024/02/05,13:00,0.256,Real,</t>
  </si>
  <si>
    <t>ES0031408323131005HX0F,2024/02/05,14:00,0.438,Real,</t>
  </si>
  <si>
    <t>ES0031408323131005HX0F,2024/02/05,15:00,0.315,Real,</t>
  </si>
  <si>
    <t>ES0031408323131005HX0F,2024/02/05,16:00,1.318,Real,</t>
  </si>
  <si>
    <t>ES0031408323131005HX0F,2024/02/05,17:00,0.062,Real,</t>
  </si>
  <si>
    <t>ES0031408323131005HX0F,2024/02/05,18:00,0.026,Real,</t>
  </si>
  <si>
    <t>ES0031408323131005HX0F,2024/02/05,19:00,0.093,Real,</t>
  </si>
  <si>
    <t>ES0031408323131005HX0F,2024/02/05,20:00,0.385,Real,</t>
  </si>
  <si>
    <t>ES0031408323131005HX0F,2024/02/05,21:00,0.79,Real,</t>
  </si>
  <si>
    <t>ES0031408323131005HX0F,2024/02/05,22:00,0.672,Real,</t>
  </si>
  <si>
    <t>ES0031408323131005HX0F,2024/02/05,23:00,0.492,Real,</t>
  </si>
  <si>
    <t>ES0031408323131005HX0F,2024/02/05,24:00,0.521,Real,</t>
  </si>
  <si>
    <t>ES0031408323131005HX0F,2024/02/06,01:00,0.356,Real,</t>
  </si>
  <si>
    <t>ES0031408323131005HX0F,2024/02/06,02:00,0.041,Real,</t>
  </si>
  <si>
    <t>ES0031408323131005HX0F,2024/02/06,03:00,0.08,Real,</t>
  </si>
  <si>
    <t>ES0031408323131005HX0F,2024/02/06,04:00,0.063,Real,</t>
  </si>
  <si>
    <t>ES0031408323131005HX0F,2024/02/06,05:00,0.077,Real,</t>
  </si>
  <si>
    <t>ES0031408323131005HX0F,2024/02/06,06:00,0.354,Real,</t>
  </si>
  <si>
    <t>ES0031408323131005HX0F,2024/02/06,07:00,0.137,Real,</t>
  </si>
  <si>
    <t>ES0031408323131005HX0F,2024/02/06,08:00,0.108,Real,</t>
  </si>
  <si>
    <t>ES0031408323131005HX0F,2024/02/06,09:00,0.133,Real,</t>
  </si>
  <si>
    <t>ES0031408323131005HX0F,2024/02/06,10:00,0.341,Real,</t>
  </si>
  <si>
    <t>ES0031408323131005HX0F,2024/02/06,11:00,0.426,Real,</t>
  </si>
  <si>
    <t>ES0031408323131005HX0F,2024/02/06,12:00,1.67,Real,</t>
  </si>
  <si>
    <t>ES0031408323131005HX0F,2024/02/06,13:00,0.133,Real,</t>
  </si>
  <si>
    <t>ES0031408323131005HX0F,2024/02/06,14:00,0.064,Real,</t>
  </si>
  <si>
    <t>ES0031408323131005HX0F,2024/02/06,15:00,0.404,Real,</t>
  </si>
  <si>
    <t>ES0031408323131005HX0F,2024/02/06,16:00,0.056,Real,</t>
  </si>
  <si>
    <t>ES0031408323131005HX0F,2024/02/06,17:00,0.026,Real,</t>
  </si>
  <si>
    <t>ES0031408323131005HX0F,2024/02/06,18:00,0.083,Real,</t>
  </si>
  <si>
    <t>ES0031408323131005HX0F,2024/02/06,19:00,0.232,Real,</t>
  </si>
  <si>
    <t>ES0031408323131005HX0F,2024/02/06,20:00,3.031,Real,</t>
  </si>
  <si>
    <t>ES0031408323131005HX0F,2024/02/06,21:00,1.54,Real,</t>
  </si>
  <si>
    <t>ES0031408323131005HX0F,2024/02/06,22:00,1.365,Real,</t>
  </si>
  <si>
    <t>ES0031408323131005HX0F,2024/02/06,23:00,1.083,Real,</t>
  </si>
  <si>
    <t>ES0031408323131005HX0F,2024/02/06,24:00,0.081,Real,</t>
  </si>
  <si>
    <t>ES0031408323131005HX0F,2024/02/07,01:00,0.027,Real,</t>
  </si>
  <si>
    <t>ES0031408323131005HX0F,2024/02/07,02:00,0.09,Real,</t>
  </si>
  <si>
    <t>ES0031408323131005HX0F,2024/02/07,03:00,0.332,Real,</t>
  </si>
  <si>
    <t>ES0031408323131005HX0F,2024/02/07,04:00,0.038,Real,</t>
  </si>
  <si>
    <t>ES0031408323131005HX0F,2024/02/07,05:00,0.075,Real,</t>
  </si>
  <si>
    <t>ES0031408323131005HX0F,2024/02/07,06:00,0.139,Real,</t>
  </si>
  <si>
    <t>ES0031408323131005HX0F,2024/02/07,07:00,0.416,Real,</t>
  </si>
  <si>
    <t>ES0031408323131005HX0F,2024/02/07,08:00,0.168,Real,</t>
  </si>
  <si>
    <t>ES0031408323131005HX0F,2024/02/07,09:00,0.042,Real,</t>
  </si>
  <si>
    <t>ES0031408323131005HX0F,2024/02/07,10:00,0.333,Real,</t>
  </si>
  <si>
    <t>ES0031408323131005HX0F,2024/02/07,11:00,0.048,Real,</t>
  </si>
  <si>
    <t>ES0031408323131005HX0F,2024/02/07,12:00,0.074,Real,</t>
  </si>
  <si>
    <t>ES0031408323131005HX0F,2024/02/07,13:00,0.128,Real,</t>
  </si>
  <si>
    <t>ES0031408323131005HX0F,2024/02/07,14:00,0.073,Real,</t>
  </si>
  <si>
    <t>ES0031408323131005HX0F,2024/02/07,15:00,0.037,Real,</t>
  </si>
  <si>
    <t>ES0031408323131005HX0F,2024/02/07,16:00,0.147,Real,</t>
  </si>
  <si>
    <t>ES0031408323131005HX0F,2024/02/07,17:00,0.285,Real,</t>
  </si>
  <si>
    <t>ES0031408323131005HX0F,2024/02/07,18:00,0.148,Real,</t>
  </si>
  <si>
    <t>ES0031408323131005HX0F,2024/02/07,19:00,0.11,Real,</t>
  </si>
  <si>
    <t>ES0031408323131005HX0F,2024/02/07,20:00,0.594,Real,</t>
  </si>
  <si>
    <t>ES0031408323131005HX0F,2024/02/07,21:00,1.14,Real,</t>
  </si>
  <si>
    <t>ES0031408323131005HX0F,2024/02/07,22:00,0.824,Real,</t>
  </si>
  <si>
    <t>ES0031408323131005HX0F,2024/02/07,23:00,1.064,Real,</t>
  </si>
  <si>
    <t>ES0031408323131005HX0F,2024/02/07,24:00,0.097,Real,</t>
  </si>
  <si>
    <t>ES0031408323131005HX0F,2024/02/08,01:00,0.096,Real,</t>
  </si>
  <si>
    <t>ES0031408323131005HX0F,2024/02/08,02:00,0.06,Real,</t>
  </si>
  <si>
    <t>ES0031408323131005HX0F,2024/02/08,03:00,0.069,Real,</t>
  </si>
  <si>
    <t>ES0031408323131005HX0F,2024/02/08,04:00,0.351,Real,</t>
  </si>
  <si>
    <t>ES0031408323131005HX0F,2024/02/08,05:00,0.077,Real,</t>
  </si>
  <si>
    <t>ES0031408323131005HX0F,2024/02/08,06:00,0.108,Real,</t>
  </si>
  <si>
    <t>ES0031408323131005HX0F,2024/02/08,07:00,0.442,Real,</t>
  </si>
  <si>
    <t>ES0031408323131005HX0F,2024/02/08,08:00,1.596,Real,</t>
  </si>
  <si>
    <t>ES0031408323131005HX0F,2024/02/08,09:00,0.219,Real,</t>
  </si>
  <si>
    <t>ES0031408323131005HX0F,2024/02/08,10:00,0.512,Real,</t>
  </si>
  <si>
    <t>ES0031408323131005HX0F,2024/02/08,11:00,0.555,Real,</t>
  </si>
  <si>
    <t>ES0031408323131005HX0F,2024/02/08,12:00,1.761,Real,</t>
  </si>
  <si>
    <t>ES0031408323131005HX0F,2024/02/08,13:00,0.103,Real,</t>
  </si>
  <si>
    <t>ES0031408323131005HX0F,2024/02/08,14:00,0.962,Real,</t>
  </si>
  <si>
    <t>ES0031408323131005HX0F,2024/02/08,15:00,0.984,Real,</t>
  </si>
  <si>
    <t>ES0031408323131005HX0F,2024/02/08,16:00,0.474,Real,</t>
  </si>
  <si>
    <t>ES0031408323131005HX0F,2024/02/08,17:00,0.424,Real,</t>
  </si>
  <si>
    <t>ES0031408323131005HX0F,2024/02/08,18:00,0.497,Real,</t>
  </si>
  <si>
    <t>ES0031408323131005HX0F,2024/02/08,19:00,0.302,Real,</t>
  </si>
  <si>
    <t>ES0031408323131005HX0F,2024/02/08,20:00,1.04,Real,</t>
  </si>
  <si>
    <t>ES0031408323131005HX0F,2024/02/08,21:00,0.354,Real,</t>
  </si>
  <si>
    <t>ES0031408323131005HX0F,2024/02/08,22:00,0.901,Real,</t>
  </si>
  <si>
    <t>ES0031408323131005HX0F,2024/02/08,23:00,0.555,Real,</t>
  </si>
  <si>
    <t>ES0031408323131005HX0F,2024/02/08,24:00,0.058,Real,</t>
  </si>
  <si>
    <t>ES0031408323131005HX0F,2024/02/09,01:00,0.099,Real,</t>
  </si>
  <si>
    <t>ES0031408323131005HX0F,2024/02/09,02:00,0.052,Real,</t>
  </si>
  <si>
    <t>ES0031408323131005HX0F,2024/02/09,03:00,0.086,Real,</t>
  </si>
  <si>
    <t>ES0031408323131005HX0F,2024/02/09,04:00,0.302,Real,</t>
  </si>
  <si>
    <t>ES0031408323131005HX0F,2024/02/09,05:00,0.055,Real,</t>
  </si>
  <si>
    <t>ES0031408323131005HX0F,2024/02/09,06:00,0.077,Real,</t>
  </si>
  <si>
    <t>ES0031408323131005HX0F,2024/02/09,07:00,0.034,Real,</t>
  </si>
  <si>
    <t>ES0031408323131005HX0F,2024/02/09,08:00,0.191,Real,</t>
  </si>
  <si>
    <t>ES0031408323131005HX0F,2024/02/09,09:00,0.699,Real,</t>
  </si>
  <si>
    <t>ES0031408323131005HX0F,2024/02/09,10:00,0.158,Real,</t>
  </si>
  <si>
    <t>ES0031408323131005HX0F,2024/02/09,11:00,1.187,Real,</t>
  </si>
  <si>
    <t>ES0031408323131005HX0F,2024/02/09,12:00,0.845,Real,</t>
  </si>
  <si>
    <t>ES0031408323131005HX0F,2024/02/09,13:00,0.076,Real,</t>
  </si>
  <si>
    <t>ES0031408323131005HX0F,2024/02/09,14:00,0.056,Real,</t>
  </si>
  <si>
    <t>ES0031408323131005HX0F,2024/02/09,15:00,0.256,Real,</t>
  </si>
  <si>
    <t>ES0031408323131005HX0F,2024/02/09,16:00,0.392,Real,</t>
  </si>
  <si>
    <t>ES0031408323131005HX0F,2024/02/09,17:00,0.158,Real,</t>
  </si>
  <si>
    <t>ES0031408323131005HX0F,2024/02/09,18:00,0.195,Real,</t>
  </si>
  <si>
    <t>ES0031408323131005HX0F,2024/02/09,19:00,0.493,Real,</t>
  </si>
  <si>
    <t>ES0031408323131005HX0F,2024/02/09,20:00,0.792,Real,</t>
  </si>
  <si>
    <t>ES0031408323131005HX0F,2024/02/09,21:00,0.897,Real,</t>
  </si>
  <si>
    <t>ES0031408323131005HX0F,2024/02/09,22:00,0.694,Real,</t>
  </si>
  <si>
    <t>ES0031408323131005HX0F,2024/02/09,23:00,0.956,Real,</t>
  </si>
  <si>
    <t>ES0031408323131005HX0F,2024/02/09,24:00,0.086,Real,</t>
  </si>
  <si>
    <t>ES0031408323131005HX0F,2024/02/10,01:00,0.052,Real,</t>
  </si>
  <si>
    <t>ES0031408323131005HX0F,2024/02/10,02:00,0.082,Real,</t>
  </si>
  <si>
    <t>ES0031408323131005HX0F,2024/02/10,03:00,0.028,Real,</t>
  </si>
  <si>
    <t>ES0031408323131005HX0F,2024/02/10,04:00,0.086,Real,</t>
  </si>
  <si>
    <t>ES0031408323131005HX0F,2024/02/10,05:00,0.309,Real,</t>
  </si>
  <si>
    <t>ES0031408323131005HX0F,2024/02/10,06:00,0.045,Real,</t>
  </si>
  <si>
    <t>ES0031408323131005HX0F,2024/02/10,07:00,0.079,Real,</t>
  </si>
  <si>
    <t>ES0031408323131005HX0F,2024/02/10,08:00,0.034,Real,</t>
  </si>
  <si>
    <t>ES0031408323131005HX0F,2024/02/10,09:00,1.232,Real,</t>
  </si>
  <si>
    <t>ES0031408323131005HX0F,2024/02/10,10:00,0.439,Real,</t>
  </si>
  <si>
    <t>ES0031408323131005HX0F,2024/02/10,11:00,0.595,Real,</t>
  </si>
  <si>
    <t>ES0031408323131005HX0F,2024/02/10,12:00,0.255,Real,</t>
  </si>
  <si>
    <t>ES0031408323131005HX0F,2024/02/10,13:00,0.442,Real,</t>
  </si>
  <si>
    <t>ES0031408323131005HX0F,2024/02/10,14:00,0.653,Real,</t>
  </si>
  <si>
    <t>ES0031408323131005HX0F,2024/02/10,15:00,0.159,Real,</t>
  </si>
  <si>
    <t>ES0031408323131005HX0F,2024/02/10,16:00,0.189,Real,</t>
  </si>
  <si>
    <t>ES0031408323131005HX0F,2024/02/10,17:00,0.454,Real,</t>
  </si>
  <si>
    <t>ES0031408323131005HX0F,2024/02/10,18:00,0.489,Real,</t>
  </si>
  <si>
    <t>ES0031408323131005HX0F,2024/02/10,19:00,0.034,Real,</t>
  </si>
  <si>
    <t>ES0031408323131005HX0F,2024/02/10,20:00,0.662,Real,</t>
  </si>
  <si>
    <t>ES0031408323131005HX0F,2024/02/10,21:00,1.918,Real,</t>
  </si>
  <si>
    <t>ES0031408323131005HX0F,2024/02/10,22:00,1.416,Real,</t>
  </si>
  <si>
    <t>ES0031408323131005HX0F,2024/02/10,23:00,0.868,Real,</t>
  </si>
  <si>
    <t>ES0031408323131005HX0F,2024/02/10,24:00,0.083,Real,</t>
  </si>
  <si>
    <t>ES0031408323131005HX0F,2024/02/11,01:00,0.128,Real,</t>
  </si>
  <si>
    <t>ES0031408323131005HX0F,2024/02/11,02:00,0.035,Real,</t>
  </si>
  <si>
    <t>ES0031408323131005HX0F,2024/02/11,03:00,0.299,Real,</t>
  </si>
  <si>
    <t>ES0031408323131005HX0F,2024/02/11,04:00,0.11,Real,</t>
  </si>
  <si>
    <t>ES0031408323131005HX0F,2024/02/11,05:00,0.066,Real,</t>
  </si>
  <si>
    <t>ES0031408323131005HX0F,2024/02/11,06:00,0.052,Real,</t>
  </si>
  <si>
    <t>ES0031408323131005HX0F,2024/02/11,07:00,0.031,Real,</t>
  </si>
  <si>
    <t>ES0031408323131005HX0F,2024/02/11,08:00,0.088,Real,</t>
  </si>
  <si>
    <t>ES0031408323131005HX0F,2024/02/11,09:00,0.317,Real,</t>
  </si>
  <si>
    <t>ES0031408323131005HX0F,2024/02/11,10:00,0.365,Real,</t>
  </si>
  <si>
    <t>ES0031408323131005HX0F,2024/02/11,11:00,1.231,Real,</t>
  </si>
  <si>
    <t>ES0031408323131005HX0F,2024/02/11,12:00,0.474,Real,</t>
  </si>
  <si>
    <t>ES0031408323131005HX0F,2024/02/11,13:00,0.713,Real,</t>
  </si>
  <si>
    <t>ES0031408323131005HX0F,2024/02/11,14:00,0.281,Real,</t>
  </si>
  <si>
    <t>ES0031408323131005HX0F,2024/02/11,15:00,1.136,Real,</t>
  </si>
  <si>
    <t>ES0031408323131005HX0F,2024/02/11,16:00,0.192,Real,</t>
  </si>
  <si>
    <t>ES0031408323131005HX0F,2024/02/11,17:00,0.695,Real,</t>
  </si>
  <si>
    <t>ES0031408323131005HX0F,2024/02/11,18:00,0.117,Real,</t>
  </si>
  <si>
    <t>ES0031408323131005HX0F,2024/02/11,19:00,0.121,Real,</t>
  </si>
  <si>
    <t>ES0031408323131005HX0F,2024/02/11,20:00,0.65,Real,</t>
  </si>
  <si>
    <t>ES0031408323131005HX0F,2024/02/11,21:00,2.65,Real,</t>
  </si>
  <si>
    <t>ES0031408323131005HX0F,2024/02/11,22:00,1.595,Real,</t>
  </si>
  <si>
    <t>ES0031408323131005HX0F,2024/02/11,23:00,1.493,Real,</t>
  </si>
  <si>
    <t>ES0031408323131005HX0F,2024/02/11,24:00,0.09,Real,</t>
  </si>
  <si>
    <t>ES0031408323131005HX0F,2024/02/12,01:00,0.071,Real,</t>
  </si>
  <si>
    <t>ES0031408323131005HX0F,2024/02/12,02:00,0.119,Real,</t>
  </si>
  <si>
    <t>ES0031408323131005HX0F,2024/02/12,03:00,0.055,Real,</t>
  </si>
  <si>
    <t>ES0031408323131005HX0F,2024/02/12,04:00,0.31,Real,</t>
  </si>
  <si>
    <t>ES0031408323131005HX0F,2024/02/12,05:00,0.087,Real,</t>
  </si>
  <si>
    <t>ES0031408323131005HX0F,2024/02/12,06:00,0.05,Real,</t>
  </si>
  <si>
    <t>ES0031408323131005HX0F,2024/02/12,07:00,0.028,Real,</t>
  </si>
  <si>
    <t>ES0031408323131005HX0F,2024/02/12,08:00,0.08,Real,</t>
  </si>
  <si>
    <t>ES0031408323131005HX0F,2024/02/12,09:00,0.125,Real,</t>
  </si>
  <si>
    <t>ES0031408323131005HX0F,2024/02/12,10:00,1.377,Real,</t>
  </si>
  <si>
    <t>ES0031408323131005HX0F,2024/02/12,11:00,0.534,Real,</t>
  </si>
  <si>
    <t>ES0031408323131005HX0F,2024/02/12,12:00,0.787,Real,</t>
  </si>
  <si>
    <t>ES0031408323131005HX0F,2024/02/12,13:00,0.437,Real,</t>
  </si>
  <si>
    <t>ES0031408323131005HX0F,2024/02/12,14:00,0.063,Real,</t>
  </si>
  <si>
    <t>ES0031408323131005HX0F,2024/02/12,15:00,0.03,Real,</t>
  </si>
  <si>
    <t>ES0031408323131005HX0F,2024/02/12,16:00,0.085,Real,</t>
  </si>
  <si>
    <t>ES0031408323131005HX0F,2024/02/12,17:00,0.054,Real,</t>
  </si>
  <si>
    <t>ES0031408323131005HX0F,2024/02/12,18:00,0.055,Real,</t>
  </si>
  <si>
    <t>ES0031408323131005HX0F,2024/02/12,19:00,0.359,Real,</t>
  </si>
  <si>
    <t>ES0031408323131005HX0F,2024/02/12,20:00,0.039,Real,</t>
  </si>
  <si>
    <t>ES0031408323131005HX0F,2024/02/12,21:00,0.077,Real,</t>
  </si>
  <si>
    <t>ES0031408323131005HX0F,2024/02/12,22:00,0.067,Real,</t>
  </si>
  <si>
    <t>ES0031408323131005HX0F,2024/02/12,23:00,0.236,Real,</t>
  </si>
  <si>
    <t>ES0031408323131005HX0F,2024/02/12,24:00,1.468,Real,</t>
  </si>
  <si>
    <t>ES0031408323131005HX0F,2024/02/13,01:00,1.563,Real,</t>
  </si>
  <si>
    <t>ES0031408323131005HX0F,2024/02/13,02:00,0.061,Real,</t>
  </si>
  <si>
    <t>ES0031408323131005HX0F,2024/02/13,03:00,0.075,Real,</t>
  </si>
  <si>
    <t>ES0031408323131005HX0F,2024/02/13,04:00,0.042,Real,</t>
  </si>
  <si>
    <t>ES0031408323131005HX0F,2024/02/13,05:00,0.088,Real,</t>
  </si>
  <si>
    <t>ES0031408323131005HX0F,2024/02/13,06:00,0.62,Real,</t>
  </si>
  <si>
    <t>ES0031408323131005HX0F,2024/02/13,07:00,0.051,Real,</t>
  </si>
  <si>
    <t>ES0031408323131005HX0F,2024/02/13,08:00,0.023,Real,</t>
  </si>
  <si>
    <t>ES0031408323131005HX0F,2024/02/13,09:00,0.085,Real,</t>
  </si>
  <si>
    <t>ES0031408323131005HX0F,2024/02/13,10:00,0.049,Real,</t>
  </si>
  <si>
    <t>ES0031408323131005HX0F,2024/02/13,11:00,0.32,Real,</t>
  </si>
  <si>
    <t>ES0031408323131005HX0F,2024/02/13,12:00,0.071,Real,</t>
  </si>
  <si>
    <t>ES0031408323131005HX0F,2024/02/13,13:00,0.046,Real,</t>
  </si>
  <si>
    <t>ES0031408323131005HX0F,2024/02/13,14:00,0.054,Real,</t>
  </si>
  <si>
    <t>ES0031408323131005HX0F,2024/02/13,15:00,0.505,Real,</t>
  </si>
  <si>
    <t>ES0031408323131005HX0F,2024/02/13,16:00,0.592,Real,</t>
  </si>
  <si>
    <t>ES0031408323131005HX0F,2024/02/13,17:00,1.84,Real,</t>
  </si>
  <si>
    <t>ES0031408323131005HX0F,2024/02/13,18:00,0.186,Real,</t>
  </si>
  <si>
    <t>ES0031408323131005HX0F,2024/02/13,19:00,0.025,Real,</t>
  </si>
  <si>
    <t>ES0031408323131005HX0F,2024/02/13,20:00,0.084,Real,</t>
  </si>
  <si>
    <t>ES0031408323131005HX0F,2024/02/13,21:00,0.495,Real,</t>
  </si>
  <si>
    <t>ES0031408323131005HX0F,2024/02/13,22:00,0.857,Real,</t>
  </si>
  <si>
    <t>ES0031408323131005HX0F,2024/02/13,23:00,0.12,Real,</t>
  </si>
  <si>
    <t>ES0031408323131005HX0F,2024/02/13,24:00,0.494,Real,</t>
  </si>
  <si>
    <t>ES0031408323131005HX0F,2024/02/14,01:00,0.136,Real,</t>
  </si>
  <si>
    <t>ES0031408323131005HX0F,2024/02/14,02:00,0.2,Real,</t>
  </si>
  <si>
    <t>ES0031408323131005HX0F,2024/02/14,03:00,0.066,Real,</t>
  </si>
  <si>
    <t>ES0031408323131005HX0F,2024/02/14,04:00,0.089,Real,</t>
  </si>
  <si>
    <t>ES0031408323131005HX0F,2024/02/14,05:00,0.322,Real,</t>
  </si>
  <si>
    <t>ES0031408323131005HX0F,2024/02/14,06:00,0.148,Real,</t>
  </si>
  <si>
    <t>ES0031408323131005HX0F,2024/02/14,07:00,0.053,Real,</t>
  </si>
  <si>
    <t>ES0031408323131005HX0F,2024/02/14,08:00,0.028,Real,</t>
  </si>
  <si>
    <t>ES0031408323131005HX0F,2024/02/14,09:00,0.194,Real,</t>
  </si>
  <si>
    <t>ES0031408323131005HX0F,2024/02/14,10:00,0.738,Real,</t>
  </si>
  <si>
    <t>ES0031408323131005HX0F,2024/02/14,11:00,0.381,Real,</t>
  </si>
  <si>
    <t>ES0031408323131005HX0F,2024/02/14,12:00,0.52,Real,</t>
  </si>
  <si>
    <t>ES0031408323131005HX0F,2024/02/14,13:00,0.078,Real,</t>
  </si>
  <si>
    <t>ES0031408323131005HX0F,2024/02/14,14:00,0.392,Real,</t>
  </si>
  <si>
    <t>ES0031408323131005HX0F,2024/02/14,15:00,0.889,Real,</t>
  </si>
  <si>
    <t>ES0031408323131005HX0F,2024/02/14,16:00,1.808,Real,</t>
  </si>
  <si>
    <t>ES0031408323131005HX0F,2024/02/14,17:00,0.063,Real,</t>
  </si>
  <si>
    <t>ES0031408323131005HX0F,2024/02/14,18:00,0.753,Real,</t>
  </si>
  <si>
    <t>ES0031408323131005HX0F,2024/02/14,19:00,0.082,Real,</t>
  </si>
  <si>
    <t>ES0031408323131005HX0F,2024/02/14,20:00,1.276,Real,</t>
  </si>
  <si>
    <t>ES0031408323131005HX0F,2024/02/14,21:00,1.238,Real,</t>
  </si>
  <si>
    <t>ES0031408323131005HX0F,2024/02/14,22:00,0.873,Real,</t>
  </si>
  <si>
    <t>ES0031408323131005HX0F,2024/02/14,23:00,0.579,Real,</t>
  </si>
  <si>
    <t>ES0031408323131005HX0F,2024/02/14,24:00,0.321,Real,</t>
  </si>
  <si>
    <t>ES0031408323131005HX0F,2024/02/15,01:00,0.106,Real,</t>
  </si>
  <si>
    <t>ES0031408323131005HX0F,2024/02/15,02:00,0.07,Real,</t>
  </si>
  <si>
    <t>ES0031408323131005HX0F,2024/02/15,03:00,0.04,Real,</t>
  </si>
  <si>
    <t>ES0031408323131005HX0F,2024/02/15,04:00,0.357,Real,</t>
  </si>
  <si>
    <t>ES0031408323131005HX0F,2024/02/15,05:00,0.049,Real,</t>
  </si>
  <si>
    <t>ES0031408323131005HX0F,2024/02/15,06:00,0.051,Real,</t>
  </si>
  <si>
    <t>ES0031408323131005HX0F,2024/02/15,07:00,0.076,Real,</t>
  </si>
  <si>
    <t>ES0031408323131005HX0F,2024/02/15,08:00,0.077,Real,</t>
  </si>
  <si>
    <t>ES0031408323131005HX0F,2024/02/15,09:00,0.353,Real,</t>
  </si>
  <si>
    <t>ES0031408323131005HX0F,2024/02/15,10:00,0.083,Real,</t>
  </si>
  <si>
    <t>ES0031408323131005HX0F,2024/02/15,11:00,0.353,Real,</t>
  </si>
  <si>
    <t>ES0031408323131005HX0F,2024/02/15,12:00,1.364,Real,</t>
  </si>
  <si>
    <t>ES0031408323131005HX0F,2024/02/15,13:00,1.116,Real,</t>
  </si>
  <si>
    <t>ES0031408323131005HX0F,2024/02/15,14:00,0.412,Real,</t>
  </si>
  <si>
    <t>ES0031408323131005HX0F,2024/02/15,15:00,3.351,Real,</t>
  </si>
  <si>
    <t>ES0031408323131005HX0F,2024/02/15,16:00,0.67,Real,</t>
  </si>
  <si>
    <t>ES0031408323131005HX0F,2024/02/15,17:00,0.483,Real,</t>
  </si>
  <si>
    <t>ES0031408323131005HX0F,2024/02/15,18:00,0.097,Real,</t>
  </si>
  <si>
    <t>ES0031408323131005HX0F,2024/02/15,19:00,0.027,Real,</t>
  </si>
  <si>
    <t>ES0031408323131005HX0F,2024/02/15,20:00,0.365,Real,</t>
  </si>
  <si>
    <t>ES0031408323131005HX0F,2024/02/15,21:00,0.113,Real,</t>
  </si>
  <si>
    <t>ES0031408323131005HX0F,2024/02/15,22:00,0.453,Real,</t>
  </si>
  <si>
    <t>ES0031408323131005HX0F,2024/02/15,23:00,0.491,Real,</t>
  </si>
  <si>
    <t>ES0031408323131005HX0F,2024/02/15,24:00,0.128,Real,</t>
  </si>
  <si>
    <t>ES0031408323131005HX0F,2024/02/16,01:00,0.104,Real,</t>
  </si>
  <si>
    <t>ES0031408323131005HX0F,2024/02/16,02:00,0.062,Real,</t>
  </si>
  <si>
    <t>ES0031408323131005HX0F,2024/02/16,03:00,0.064,Real,</t>
  </si>
  <si>
    <t>ES0031408323131005HX0F,2024/02/16,04:00,0.362,Real,</t>
  </si>
  <si>
    <t>ES0031408323131005HX0F,2024/02/16,05:00,0.022,Real,</t>
  </si>
  <si>
    <t>ES0031408323131005HX0F,2024/02/16,06:00,0.084,Real,</t>
  </si>
  <si>
    <t>ES0031408323131005HX0F,2024/02/16,07:00,0.047,Real,</t>
  </si>
  <si>
    <t>ES0031408323131005HX0F,2024/02/16,08:00,0.049,Real,</t>
  </si>
  <si>
    <t>ES0031408323131005HX0F,2024/02/16,09:00,0.956,Real,</t>
  </si>
  <si>
    <t>ES0031408323131005HX0F,2024/02/16,10:00,1.673,Real,</t>
  </si>
  <si>
    <t>ES0031408323131005HX0F,2024/02/16,11:00,0.527,Real,</t>
  </si>
  <si>
    <t>ES0031408323131005HX0F,2024/02/16,12:00,0.048,Real,</t>
  </si>
  <si>
    <t>ES0031408323131005HX0F,2024/02/16,13:00,0.06,Real,</t>
  </si>
  <si>
    <t>ES0031408323131005HX0F,2024/02/16,14:00,0.073,Real,</t>
  </si>
  <si>
    <t>ES0031408323131005HX0F,2024/02/16,15:00,0.318,Real,</t>
  </si>
  <si>
    <t>ES0031408323131005HX0F,2024/02/16,16:00,0.934,Real,</t>
  </si>
  <si>
    <t>ES0031408323131005HX0F,2024/02/16,17:00,1.178,Real,</t>
  </si>
  <si>
    <t>ES0031408323131005HX0F,2024/02/16,18:00,0.588,Real,</t>
  </si>
  <si>
    <t>ES0031408323131005HX0F,2024/02/16,19:00,0.136,Real,</t>
  </si>
  <si>
    <t>ES0031408323131005HX0F,2024/02/16,20:00,0.461,Real,</t>
  </si>
  <si>
    <t>ES0031408323131005HX0F,2024/02/16,21:00,0.152,Real,</t>
  </si>
  <si>
    <t>ES0031408323131005HX0F,2024/02/16,22:00,1.129,Real,</t>
  </si>
  <si>
    <t>ES0031408323131005HX0F,2024/02/16,23:00,0.99,Real,</t>
  </si>
  <si>
    <t>ES0031408323131005HX0F,2024/02/16,24:00,0.068,Real,</t>
  </si>
  <si>
    <t>ES0031408323131005HX0F,2024/02/17,01:00,0.093,Real,</t>
  </si>
  <si>
    <t>ES0031408323131005HX0F,2024/02/17,02:00,0.039,Real,</t>
  </si>
  <si>
    <t>ES0031408323131005HX0F,2024/02/17,03:00,0.377,Real,</t>
  </si>
  <si>
    <t>ES0031408323131005HX0F,2024/02/17,04:00,0.047,Real,</t>
  </si>
  <si>
    <t>ES0031408323131005HX0F,2024/02/17,05:00,0.058,Real,</t>
  </si>
  <si>
    <t>ES0031408323131005HX0F,2024/02/17,06:00,0.066,Real,</t>
  </si>
  <si>
    <t>ES0031408323131005HX0F,2024/02/17,07:00,0.022,Real,</t>
  </si>
  <si>
    <t>ES0031408323131005HX0F,2024/02/17,08:00,0.078,Real,</t>
  </si>
  <si>
    <t>ES0031408323131005HX0F,2024/02/17,09:00,0.748,Real,</t>
  </si>
  <si>
    <t>ES0031408323131005HX0F,2024/02/17,10:00,0.664,Real,</t>
  </si>
  <si>
    <t>ES0031408323131005HX0F,2024/02/17,11:00,0.817,Real,</t>
  </si>
  <si>
    <t>ES0031408323131005HX0F,2024/02/17,12:00,0.154,Real,</t>
  </si>
  <si>
    <t>ES0031408323131005HX0F,2024/02/17,13:00,0.257,Real,</t>
  </si>
  <si>
    <t>ES0031408323131005HX0F,2024/02/17,14:00,1.215,Real,</t>
  </si>
  <si>
    <t>ES0031408323131005HX0F,2024/02/17,15:00,0.86,Real,</t>
  </si>
  <si>
    <t>ES0031408323131005HX0F,2024/02/17,16:00,0.423,Real,</t>
  </si>
  <si>
    <t>ES0031408323131005HX0F,2024/02/17,17:00,0.061,Real,</t>
  </si>
  <si>
    <t>ES0031408323131005HX0F,2024/02/17,18:00,0.144,Real,</t>
  </si>
  <si>
    <t>ES0031408323131005HX0F,2024/02/17,19:00,0.203,Real,</t>
  </si>
  <si>
    <t>ES0031408323131005HX0F,2024/02/17,20:00,0.763,Real,</t>
  </si>
  <si>
    <t>ES0031408323131005HX0F,2024/02/17,21:00,0.185,Real,</t>
  </si>
  <si>
    <t>ES0031408323131005HX0F,2024/02/17,22:00,0.361,Real,</t>
  </si>
  <si>
    <t>ES0031408323131005HX0F,2024/02/17,23:00,0.443,Real,</t>
  </si>
  <si>
    <t>ES0031408323131005HX0F,2024/02/17,24:00,0.113,Real,</t>
  </si>
  <si>
    <t>ES0031408323131005HX0F,2024/02/18,01:00,0.363,Real,</t>
  </si>
  <si>
    <t>ES0031408323131005HX0F,2024/02/18,02:00,0.045,Real,</t>
  </si>
  <si>
    <t>ES0031408323131005HX0F,2024/02/18,03:00,0.098,Real,</t>
  </si>
  <si>
    <t>ES0031408323131005HX0F,2024/02/18,04:00,0.05,Real,</t>
  </si>
  <si>
    <t>ES0031408323131005HX0F,2024/02/18,05:00,0.022,Real,</t>
  </si>
  <si>
    <t>ES0031408323131005HX0F,2024/02/18,06:00,0.083,Real,</t>
  </si>
  <si>
    <t>ES0031408323131005HX0F,2024/02/18,07:00,0.341,Real,</t>
  </si>
  <si>
    <t>ES0031408323131005HX0F,2024/02/18,08:00,0.048,Real,</t>
  </si>
  <si>
    <t>ES0031408323131005HX0F,2024/02/18,09:00,0.418,Real,</t>
  </si>
  <si>
    <t>ES0031408323131005HX0F,2024/02/18,10:00,1.056,Real,</t>
  </si>
  <si>
    <t>ES0031408323131005HX0F,2024/02/18,11:00,1.799,Real,</t>
  </si>
  <si>
    <t>ES0031408323131005HX0F,2024/02/18,12:00,0.888,Real,</t>
  </si>
  <si>
    <t>ES0031408323131005HX0F,2024/02/18,13:00,0.024,Real,</t>
  </si>
  <si>
    <t>ES0031408323131005HX0F,2024/02/18,14:00,0.083,Real,</t>
  </si>
  <si>
    <t>ES0031408323131005HX0F,2024/02/18,15:00,0.347,Real,</t>
  </si>
  <si>
    <t>ES0031408323131005HX0F,2024/02/18,16:00,0.187,Real,</t>
  </si>
  <si>
    <t>ES0031408323131005HX0F,2024/02/18,17:00,0.164,Real,</t>
  </si>
  <si>
    <t>ES0031408323131005HX0F,2024/02/18,18:00,0.16,Real,</t>
  </si>
  <si>
    <t>ES0031408323131005HX0F,2024/02/18,19:00,0.455,Real,</t>
  </si>
  <si>
    <t>ES0031408323131005HX0F,2024/02/18,20:00,0.267,Real,</t>
  </si>
  <si>
    <t>ES0031408323131005HX0F,2024/02/18,21:00,0.177,Real,</t>
  </si>
  <si>
    <t>ES0031408323131005HX0F,2024/02/18,22:00,0.209,Real,</t>
  </si>
  <si>
    <t>ES0031408323131005HX0F,2024/02/18,23:00,1.201,Real,</t>
  </si>
  <si>
    <t>ES0031408323131005HX0F,2024/02/18,24:00,2.508,Real,</t>
  </si>
  <si>
    <t>ES0031408323131005HX0F,2024/02/19,01:00,4.267,Real,</t>
  </si>
  <si>
    <t>ES0031408323131005HX0F,2024/02/19,02:00,2.734,Real,</t>
  </si>
  <si>
    <t>ES0031408323131005HX0F,2024/02/19,03:00,1.845,Real,</t>
  </si>
  <si>
    <t>ES0031408323131005HX0F,2024/02/19,04:00,1.745,Real,</t>
  </si>
  <si>
    <t>ES0031408323131005HX0F,2024/02/19,05:00,1.404,Real,</t>
  </si>
  <si>
    <t>ES0031408323131005HX0F,2024/02/19,06:00,1.643,Real,</t>
  </si>
  <si>
    <t>ES0031408323131005HX0F,2024/02/19,07:00,1.387,Real,</t>
  </si>
  <si>
    <t>ES0031408323131005HX0F,2024/02/19,08:00,1.758,Real,</t>
  </si>
  <si>
    <t>ES0031408323131005HX0F,2024/02/19,09:00,0.881,Real,</t>
  </si>
  <si>
    <t>ES0031408323131005HX0F,2024/02/19,10:00,1.077,Real,</t>
  </si>
  <si>
    <t>ES0031408323131005HX0F,2024/02/19,11:00,0.654,Real,</t>
  </si>
  <si>
    <t>ES0031408323131005HX0F,2024/02/19,12:00,0.593,Real,</t>
  </si>
  <si>
    <t>ES0031408323131005HX0F,2024/02/19,13:00,0.041,Real,</t>
  </si>
  <si>
    <t>ES0031408323131005HX0F,2024/02/19,14:00,0.342,Real,</t>
  </si>
  <si>
    <t>ES0031408323131005HX0F,2024/02/19,15:00,0.162,Real,</t>
  </si>
  <si>
    <t>ES0031408323131005HX0F,2024/02/19,16:00,0.305,Real,</t>
  </si>
  <si>
    <t>ES0031408323131005HX0F,2024/02/19,17:00,0.083,Real,</t>
  </si>
  <si>
    <t>ES0031408323131005HX0F,2024/02/19,18:00,0.048,Real,</t>
  </si>
  <si>
    <t>ES0031408323131005HX0F,2024/02/19,19:00,0.11,Real,</t>
  </si>
  <si>
    <t>ES0031408323131005HX0F,2024/02/19,20:00,0.838,Real,</t>
  </si>
  <si>
    <t>ES0031408323131005HX0F,2024/02/19,21:00,0.552,Real,</t>
  </si>
  <si>
    <t>ES0031408323131005HX0F,2024/02/19,22:00,0.813,Real,</t>
  </si>
  <si>
    <t>ES0031408323131005HX0F,2024/02/19,23:00,0.165,Real,</t>
  </si>
  <si>
    <t>ES0031408323131005HX0F,2024/02/19,24:00,0.116,Real,</t>
  </si>
  <si>
    <t>ES0031408323131005HX0F,2024/02/20,01:00,0.416,Real,</t>
  </si>
  <si>
    <t>ES0031408323131005HX0F,2024/02/20,02:00,0.084,Real,</t>
  </si>
  <si>
    <t>ES0031408323131005HX0F,2024/02/20,03:00,0.024,Real,</t>
  </si>
  <si>
    <t>ES0031408323131005HX0F,2024/02/20,04:00,0.089,Real,</t>
  </si>
  <si>
    <t>ES0031408323131005HX0F,2024/02/20,05:00,0.056,Real,</t>
  </si>
  <si>
    <t>ES0031408323131005HX0F,2024/02/20,06:00,0.022,Real,</t>
  </si>
  <si>
    <t>ES0031408323131005HX0F,2024/02/20,07:00,0.721,Real,</t>
  </si>
  <si>
    <t>ES0031408323131005HX0F,2024/02/20,08:00,1.476,Real,</t>
  </si>
  <si>
    <t>ES0031408323131005HX0F,2024/02/20,09:00,0.434,Real,</t>
  </si>
  <si>
    <t>ES0031408323131005HX0F,2024/02/20,10:00,0.076,Real,</t>
  </si>
  <si>
    <t>ES0031408323131005HX0F,2024/02/20,11:00,0.024,Real,</t>
  </si>
  <si>
    <t>ES0031408323131005HX0F,2024/02/20,12:00,1.326,Real,</t>
  </si>
  <si>
    <t>ES0031408323131005HX0F,2024/02/20,13:00,0.188,Real,</t>
  </si>
  <si>
    <t>ES0031408323131005HX0F,2024/02/20,14:00,0.519,Real,</t>
  </si>
  <si>
    <t>ES0031408323131005HX0F,2024/02/20,15:00,0.579,Real,</t>
  </si>
  <si>
    <t>ES0031408323131005HX0F,2024/02/20,16:00,0.488,Real,</t>
  </si>
  <si>
    <t>ES0031408323131005HX0F,2024/02/20,17:00,0.073,Real,</t>
  </si>
  <si>
    <t>ES0031408323131005HX0F,2024/02/20,18:00,0.151,Real,</t>
  </si>
  <si>
    <t>ES0031408323131005HX0F,2024/02/20,19:00,0.297,Real,</t>
  </si>
  <si>
    <t>ES0031408323131005HX0F,2024/02/20,20:00,2.949,Real,</t>
  </si>
  <si>
    <t>ES0031408323131005HX0F,2024/02/20,21:00,3.334,Real,</t>
  </si>
  <si>
    <t>ES0031408323131005HX0F,2024/02/20,22:00,1.058,Real,</t>
  </si>
  <si>
    <t>ES0031408323131005HX0F,2024/02/20,23:00,1.277,Real,</t>
  </si>
  <si>
    <t>ES0031408323131005HX0F,2024/02/20,24:00,0.066,Real,</t>
  </si>
  <si>
    <t>ES0031408323131005HX0F,2024/02/21,01:00,0.083,Real,</t>
  </si>
  <si>
    <t>ES0031408323131005HX0F,2024/02/21,02:00,0.068,Real,</t>
  </si>
  <si>
    <t>ES0031408323131005HX0F,2024/02/21,03:00,0.077,Real,</t>
  </si>
  <si>
    <t>ES0031408323131005HX0F,2024/02/21,04:00,0.347,Real,</t>
  </si>
  <si>
    <t>ES0031408323131005HX0F,2024/02/21,05:00,0.114,Real,</t>
  </si>
  <si>
    <t>ES0031408323131005HX0F,2024/02/21,06:00,0.056,Real,</t>
  </si>
  <si>
    <t>ES0031408323131005HX0F,2024/02/21,07:00,0.022,Real,</t>
  </si>
  <si>
    <t>ES0031408323131005HX0F,2024/02/21,08:00,0.418,Real,</t>
  </si>
  <si>
    <t>ES0031408323131005HX0F,2024/02/21,09:00,0.816,Real,</t>
  </si>
  <si>
    <t>ES0031408323131005HX0F,2024/02/21,10:00,0.349,Real,</t>
  </si>
  <si>
    <t>ES0031408323131005HX0F,2024/02/21,11:00,0.093,Real,</t>
  </si>
  <si>
    <t>ES0031408323131005HX0F,2024/02/21,12:00,0.862,Real,</t>
  </si>
  <si>
    <t>ES0031408323131005HX0F,2024/02/21,13:00,0.088,Real,</t>
  </si>
  <si>
    <t>ES0031408323131005HX0F,2024/02/21,14:00,0.047,Real,</t>
  </si>
  <si>
    <t>ES0031408323131005HX0F,2024/02/21,15:00,0.037,Real,</t>
  </si>
  <si>
    <t>ES0031408323131005HX0F,2024/02/21,16:00,0.085,Real,</t>
  </si>
  <si>
    <t>ES0031408323131005HX0F,2024/02/21,17:00,0.303,Real,</t>
  </si>
  <si>
    <t>ES0031408323131005HX0F,2024/02/21,18:00,0.068,Real,</t>
  </si>
  <si>
    <t>ES0031408323131005HX0F,2024/02/21,19:00,0.067,Real,</t>
  </si>
  <si>
    <t>ES0031408323131005HX0F,2024/02/21,20:00,0.553,Real,</t>
  </si>
  <si>
    <t>ES0031408323131005HX0F,2024/02/21,21:00,2.902,Real,</t>
  </si>
  <si>
    <t>ES0031408323131005HX0F,2024/02/21,22:00,2.202,Real,</t>
  </si>
  <si>
    <t>ES0031408323131005HX0F,2024/02/21,23:00,0.533,Real,</t>
  </si>
  <si>
    <t>ES0031408323131005HX0F,2024/02/21,24:00,0.885,Real,</t>
  </si>
  <si>
    <t>ES0031408323131005HX0F,2024/02/22,01:00,0.065,Real,</t>
  </si>
  <si>
    <t>ES0031408323131005HX0F,2024/02/22,02:00,0.025,Real,</t>
  </si>
  <si>
    <t>ES0031408323131005HX0F,2024/02/22,03:00,0.091,Real,</t>
  </si>
  <si>
    <t>ES0031408323131005HX0F,2024/02/22,04:00,0.311,Real,</t>
  </si>
  <si>
    <t>ES0031408323131005HX0F,2024/02/22,05:00,0.054,Real,</t>
  </si>
  <si>
    <t>ES0031408323131005HX0F,2024/02/22,06:00,0.08,Real,</t>
  </si>
  <si>
    <t>ES0031408323131005HX0F,2024/02/22,07:00,0.544,Real,</t>
  </si>
  <si>
    <t>ES0031408323131005HX0F,2024/02/22,08:00,0.984,Real,</t>
  </si>
  <si>
    <t>ES0031408323131005HX0F,2024/02/22,09:00,1.112,Real,</t>
  </si>
  <si>
    <t>ES0031408323131005HX0F,2024/02/22,10:00,0.175,Real,</t>
  </si>
  <si>
    <t>ES0031408323131005HX0F,2024/02/22,11:00,0.383,Real,</t>
  </si>
  <si>
    <t>ES0031408323131005HX0F,2024/02/22,12:00,0.082,Real,</t>
  </si>
  <si>
    <t>ES0031408323131005HX0F,2024/02/22,13:00,0.046,Real,</t>
  </si>
  <si>
    <t>ES0031408323131005HX0F,2024/02/22,14:00,1.022,Real,</t>
  </si>
  <si>
    <t>ES0031408323131005HX0F,2024/02/22,15:00,0.277,Real,</t>
  </si>
  <si>
    <t>ES0031408323131005HX0F,2024/02/22,16:00,0.023,Real,</t>
  </si>
  <si>
    <t>ES0031408323131005HX0F,2024/02/22,17:00,0.098,Real,</t>
  </si>
  <si>
    <t>ES0031408323131005HX0F,2024/02/22,18:00,0.057,Real,</t>
  </si>
  <si>
    <t>ES0031408323131005HX0F,2024/02/22,19:00,0.025,Real,</t>
  </si>
  <si>
    <t>ES0031408323131005HX0F,2024/02/22,20:00,0.525,Real,</t>
  </si>
  <si>
    <t>ES0031408323131005HX0F,2024/02/22,21:00,0.866,Real,</t>
  </si>
  <si>
    <t>ES0031408323131005HX0F,2024/02/22,22:00,2.947,Real,</t>
  </si>
  <si>
    <t>ES0031408323131005HX0F,2024/02/22,23:00,2.533,Real,</t>
  </si>
  <si>
    <t>ES0031408323131005HX0F,2024/02/22,24:00,0.321,Real,</t>
  </si>
  <si>
    <t>ES0031408323131005HX0F,2024/02/23,01:00,0.106,Real,</t>
  </si>
  <si>
    <t>ES0031408323131005HX0F,2024/02/23,02:00,0.303,Real,</t>
  </si>
  <si>
    <t>ES0031408323131005HX0F,2024/02/23,03:00,0.057,Real,</t>
  </si>
  <si>
    <t>ES0031408323131005HX0F,2024/02/23,04:00,0.082,Real,</t>
  </si>
  <si>
    <t>ES0031408323131005HX0F,2024/02/23,05:00,0.022,Real,</t>
  </si>
  <si>
    <t>ES0031408323131005HX0F,2024/02/23,06:00,0.089,Real,</t>
  </si>
  <si>
    <t>ES0031408323131005HX0F,2024/02/23,07:00,0.051,Real,</t>
  </si>
  <si>
    <t>ES0031408323131005HX0F,2024/02/23,08:00,0.578,Real,</t>
  </si>
  <si>
    <t>ES0031408323131005HX0F,2024/02/23,09:00,0.446,Real,</t>
  </si>
  <si>
    <t>ES0031408323131005HX0F,2024/02/23,10:00,0.154,Real,</t>
  </si>
  <si>
    <t>ES0031408323131005HX0F,2024/02/23,11:00,0.751,Real,</t>
  </si>
  <si>
    <t>ES0031408323131005HX0F,2024/02/23,12:00,1.155,Real,</t>
  </si>
  <si>
    <t>ES0031408323131005HX0F,2024/02/23,13:00,0.052,Real,</t>
  </si>
  <si>
    <t>ES0031408323131005HX0F,2024/02/23,14:00,0.044,Real,</t>
  </si>
  <si>
    <t>ES0031408323131005HX0F,2024/02/23,15:00,0.671,Real,</t>
  </si>
  <si>
    <t>ES0031408323131005HX0F,2024/02/23,16:00,0.746,Real,</t>
  </si>
  <si>
    <t>ES0031408323131005HX0F,2024/02/23,17:00,0.834,Real,</t>
  </si>
  <si>
    <t>ES0031408323131005HX0F,2024/02/23,18:00,0.071,Real,</t>
  </si>
  <si>
    <t>ES0031408323131005HX0F,2024/02/23,19:00,0.099,Real,</t>
  </si>
  <si>
    <t>ES0031408323131005HX0F,2024/02/23,20:00,3.077,Real,</t>
  </si>
  <si>
    <t>ES0031408323131005HX0F,2024/02/23,21:00,3.531,Real,</t>
  </si>
  <si>
    <t>ES0031408323131005HX0F,2024/02/23,22:00,2.075,Real,</t>
  </si>
  <si>
    <t>ES0031408323131005HX0F,2024/02/23,23:00,1.517,Real,</t>
  </si>
  <si>
    <t>ES0031408323131005HX0F,2024/02/23,24:00,0.124,Real,</t>
  </si>
  <si>
    <t>ES0031408323131005HX0F,2024/02/24,01:00,0.107,Real,</t>
  </si>
  <si>
    <t>ES0031408323131005HX0F,2024/02/24,02:00,0.342,Real,</t>
  </si>
  <si>
    <t>ES0031408323131005HX0F,2024/02/24,03:00,0.045,Real,</t>
  </si>
  <si>
    <t>ES0031408323131005HX0F,2024/02/24,04:00,0.108,Real,</t>
  </si>
  <si>
    <t>ES0031408323131005HX0F,2024/02/24,05:00,0.069,Real,</t>
  </si>
  <si>
    <t>ES0031408323131005HX0F,2024/02/24,06:00,0.069,Real,</t>
  </si>
  <si>
    <t>ES0031408323131005HX0F,2024/02/24,07:00,0.082,Real,</t>
  </si>
  <si>
    <t>ES0031408323131005HX0F,2024/02/24,08:00,0.315,Real,</t>
  </si>
  <si>
    <t>ES0031408323131005HX0F,2024/02/24,09:00,0.094,Real,</t>
  </si>
  <si>
    <t>ES0031408323131005HX0F,2024/02/24,10:00,0.158,Real,</t>
  </si>
  <si>
    <t>ES0031408323131005HX0F,2024/02/24,11:00,1.056,Real,</t>
  </si>
  <si>
    <t>ES0031408323131005HX0F,2024/02/24,12:00,1.356,Real,</t>
  </si>
  <si>
    <t>ES0031408323131005HX0F,2024/02/24,13:00,0.124,Real,</t>
  </si>
  <si>
    <t>ES0031408323131005HX0F,2024/02/24,14:00,1.15,Real,</t>
  </si>
  <si>
    <t>ES0031408323131005HX0F,2024/02/24,15:00,1.533,Real,</t>
  </si>
  <si>
    <t>ES0031408323131005HX0F,2024/02/24,16:00,0.247,Real,</t>
  </si>
  <si>
    <t>ES0031408323131005HX0F,2024/02/24,17:00,1.568,Real,</t>
  </si>
  <si>
    <t>ES0031408323131005HX0F,2024/02/24,18:00,1.459,Real,</t>
  </si>
  <si>
    <t>ES0031408323131005HX0F,2024/02/24,19:00,0.065,Real,</t>
  </si>
  <si>
    <t>ES0031408323131005HX0F,2024/02/24,20:00,0.031,Real,</t>
  </si>
  <si>
    <t>ES0031408323131005HX0F,2024/02/24,21:00,0.086,Real,</t>
  </si>
  <si>
    <t>ES0031408323131005HX0F,2024/02/24,22:00,2.659,Real,</t>
  </si>
  <si>
    <t>ES0031408323131005HX0F,2024/02/24,23:00,1.328,Real,</t>
  </si>
  <si>
    <t>ES0031408323131005HX0F,2024/02/24,24:00,1.276,Real,</t>
  </si>
  <si>
    <t>ES0031408323131005HX0F,2024/02/25,01:00,0.094,Real,</t>
  </si>
  <si>
    <t>ES0031408323131005HX0F,2024/02/25,02:00,0.079,Real,</t>
  </si>
  <si>
    <t>ES0031408323131005HX0F,2024/02/25,03:00,0.035,Real,</t>
  </si>
  <si>
    <t>ES0031408323131005HX0F,2024/02/25,04:00,0.349,Real,</t>
  </si>
  <si>
    <t>ES0031408323131005HX0F,2024/02/25,05:00,0.047,Real,</t>
  </si>
  <si>
    <t>ES0031408323131005HX0F,2024/02/25,06:00,0.075,Real,</t>
  </si>
  <si>
    <t>ES0031408323131005HX0F,2024/02/25,07:00,0.053,Real,</t>
  </si>
  <si>
    <t>ES0031408323131005HX0F,2024/02/25,08:00,0.031,Real,</t>
  </si>
  <si>
    <t>ES0031408323131005HX0F,2024/02/25,09:00,0.355,Real,</t>
  </si>
  <si>
    <t>ES0031408323131005HX0F,2024/02/25,10:00,0.628,Real,</t>
  </si>
  <si>
    <t>ES0031408323131005HX0F,2024/02/25,11:00,1.632,Real,</t>
  </si>
  <si>
    <t>ES0031408323131005HX0F,2024/02/25,12:00,0.352,Real,</t>
  </si>
  <si>
    <t>ES0031408323131005HX0F,2024/02/25,13:00,0.061,Real,</t>
  </si>
  <si>
    <t>ES0031408323131005HX0F,2024/02/25,14:00,0.271,Real,</t>
  </si>
  <si>
    <t>ES0031408323131005HX0F,2024/02/25,15:00,1.731,Real,</t>
  </si>
  <si>
    <t>ES0031408323131005HX0F,2024/02/25,16:00,3.183,Real,</t>
  </si>
  <si>
    <t>ES0031408323131005HX0F,2024/02/25,17:00,4.385,Real,</t>
  </si>
  <si>
    <t>ES0031408323131005HX0F,2024/02/25,18:00,0.77,Real,</t>
  </si>
  <si>
    <t>ES0031408323131005HX0F,2024/02/25,19:00,0.038,Real,</t>
  </si>
  <si>
    <t>ES0031408323131005HX0F,2024/02/25,20:00,0.486,Real,</t>
  </si>
  <si>
    <t>ES0031408323131005HX0F,2024/02/25,21:00,1.236,Real,</t>
  </si>
  <si>
    <t>ES0031408323131005HX0F,2024/02/25,22:00,1.131,Real,</t>
  </si>
  <si>
    <t>ES0031408323131005HX0F,2024/02/25,23:00,0.579,Real,</t>
  </si>
  <si>
    <t>ES0031408323131005HX0F,2024/02/25,24:00,0.361,Real,</t>
  </si>
  <si>
    <t>ES0031408323131005HX0F,2024/02/26,01:00,0.082,Real,</t>
  </si>
  <si>
    <t>ES0031408323131005HX0F,2024/02/26,02:00,0.096,Real,</t>
  </si>
  <si>
    <t>ES0031408323131005HX0F,2024/02/26,03:00,0.038,Real,</t>
  </si>
  <si>
    <t>ES0031408323131005HX0F,2024/02/26,04:00,0.355,Real,</t>
  </si>
  <si>
    <t>ES0031408323131005HX0F,2024/02/26,05:00,0.052,Real,</t>
  </si>
  <si>
    <t>ES0031408323131005HX0F,2024/02/26,06:00,0.051,Real,</t>
  </si>
  <si>
    <t>ES0031408323131005HX0F,2024/02/26,07:00,0.078,Real,</t>
  </si>
  <si>
    <t>ES0031408323131005HX0F,2024/02/26,08:00,2.395,Real,</t>
  </si>
  <si>
    <t>ES0031408323131005HX0F,2024/02/26,09:00,0.894,Real,</t>
  </si>
  <si>
    <t>ES0031408323131005HX0F,2024/02/26,10:00,0.05,Real,</t>
  </si>
  <si>
    <t>ES0031408323131005HX0F,2024/02/26,11:00,0.043,Real,</t>
  </si>
  <si>
    <t>ES0031408323131005HX0F,2024/02/26,12:00,0.077,Real,</t>
  </si>
  <si>
    <t>ES0031408323131005HX0F,2024/02/26,13:00,0.579,Real,</t>
  </si>
  <si>
    <t>ES0031408323131005HX0F,2024/02/26,14:00,0.597,Real,</t>
  </si>
  <si>
    <t>ES0031408323131005HX0F,2024/02/26,15:00,0.062,Real,</t>
  </si>
  <si>
    <t>ES0031408323131005HX0F,2024/02/26,16:00,0.022,Real,</t>
  </si>
  <si>
    <t>ES0031408323131005HX0F,2024/02/26,17:00,0.088,Real,</t>
  </si>
  <si>
    <t>ES0031408323131005HX0F,2024/02/26,18:00,0.081,Real,</t>
  </si>
  <si>
    <t>ES0031408323131005HX0F,2024/02/26,19:00,0.294,Real,</t>
  </si>
  <si>
    <t>ES0031408323131005HX0F,2024/02/26,20:00,0.117,Real,</t>
  </si>
  <si>
    <t>ES0031408323131005HX0F,2024/02/26,21:00,0.608,Real,</t>
  </si>
  <si>
    <t>ES0031408323131005HX0F,2024/02/26,22:00,3.118,Real,</t>
  </si>
  <si>
    <t>ES0031408323131005HX0F,2024/02/26,23:00,3.3,Real,</t>
  </si>
  <si>
    <t>ES0031408323131005HX0F,2024/02/26,24:00,2.914,Real,</t>
  </si>
  <si>
    <t>ES0031408323131005HX0F,2024/02/27,01:00,1.862,Real,</t>
  </si>
  <si>
    <t>ES0031408323131005HX0F,2024/02/27,02:00,0.15,Real,</t>
  </si>
  <si>
    <t>ES0031408323131005HX0F,2024/02/27,03:00,0.121,Real,</t>
  </si>
  <si>
    <t>ES0031408323131005HX0F,2024/02/27,04:00,0.14,Real,</t>
  </si>
  <si>
    <t>ES0031408323131005HX0F,2024/02/27,05:00,0.135,Real,</t>
  </si>
  <si>
    <t>ES0031408323131005HX0F,2024/02/27,06:00,0.361,Real,</t>
  </si>
  <si>
    <t>ES0031408323131005HX0F,2024/02/27,07:00,0.157,Real,</t>
  </si>
  <si>
    <t>ES0031408323131005HX0F,2024/02/27,08:00,0.236,Real,</t>
  </si>
  <si>
    <t>ES0031408323131005HX0F,2024/02/27,09:00,0.596,Real,</t>
  </si>
  <si>
    <t>ES0031408323131005HX0F,2024/02/27,10:00,0.14,Real,</t>
  </si>
  <si>
    <t>ES0031408323131005HX0F,2024/02/27,11:00,0.1,Real,</t>
  </si>
  <si>
    <t>ES0031408323131005HX0F,2024/02/27,12:00,0.145,Real,</t>
  </si>
  <si>
    <t>ES0031408323131005HX0F,2024/02/27,13:00,1.137,Real,</t>
  </si>
  <si>
    <t>ES0031408323131005HX0F,2024/02/27,14:00,0.914,Real,</t>
  </si>
  <si>
    <t>ES0031408323131005HX0F,2024/02/27,15:00,0.608,Real,</t>
  </si>
  <si>
    <t>ES0031408323131005HX0F,2024/02/27,16:00,0.119,Real,</t>
  </si>
  <si>
    <t>ES0031408323131005HX0F,2024/02/27,17:00,0.088,Real,</t>
  </si>
  <si>
    <t>ES0031408323131005HX0F,2024/02/27,18:00,0.163,Real,</t>
  </si>
  <si>
    <t>ES0031408323131005HX0F,2024/02/27,19:00,0.358,Real,</t>
  </si>
  <si>
    <t>ES0031408323131005HX0F,2024/02/27,20:00,0.089,Real,</t>
  </si>
  <si>
    <t>ES0031408323131005HX0F,2024/02/27,21:00,0.246,Real,</t>
  </si>
  <si>
    <t>ES0031408323131005HX0F,2024/02/27,22:00,1.146,Real,</t>
  </si>
  <si>
    <t>ES0031408323131005HX0F,2024/02/27,23:00,3.776,Real,</t>
  </si>
  <si>
    <t>ES0031408323131005HX0F,2024/02/27,24:00,2.145,Real,</t>
  </si>
  <si>
    <t>ES0031408323131005HX0F,2024/02/28,01:00,0.885,Real,</t>
  </si>
  <si>
    <t>ES0031408323131005HX0F,2024/02/28,02:00,0.05,Real,</t>
  </si>
  <si>
    <t>ES0031408323131005HX0F,2024/02/28,03:00,0.074,Real,</t>
  </si>
  <si>
    <t>ES0031408323131005HX0F,2024/02/28,04:00,0.053,Real,</t>
  </si>
  <si>
    <t>ES0031408323131005HX0F,2024/02/28,05:00,0.059,Real,</t>
  </si>
  <si>
    <t>ES0031408323131005HX0F,2024/02/28,06:00,0.332,Real,</t>
  </si>
  <si>
    <t>ES0031408323131005HX0F,2024/02/28,07:00,0.04,Real,</t>
  </si>
  <si>
    <t>ES0031408323131005HX0F,2024/02/28,08:00,0.068,Real,</t>
  </si>
  <si>
    <t>ES0031408323131005HX0F,2024/02/28,09:00,0.068,Real,</t>
  </si>
  <si>
    <t>ES0031408323131005HX0F,2024/02/28,10:00,0.53,Real,</t>
  </si>
  <si>
    <t>ES0031408323131005HX0F,2024/02/28,11:00,0.682,Real,</t>
  </si>
  <si>
    <t>ES0031408323131005HX0F,2024/02/28,12:00,0.055,Real,</t>
  </si>
  <si>
    <t>ES0031408323131005HX0F,2024/02/28,13:00,1.082,Real,</t>
  </si>
  <si>
    <t>ES0031408323131005HX0F,2024/02/28,14:00,0.846,Real,</t>
  </si>
  <si>
    <t>ES0031408323131005HX0F,2024/02/28,15:00,0.428,Real,</t>
  </si>
  <si>
    <t>ES0031408323131005HX0F,2024/02/28,16:00,0.06,Real,</t>
  </si>
  <si>
    <t>ES0031408323131005HX0F,2024/02/28,17:00,0.066,Real,</t>
  </si>
  <si>
    <t>ES0031408323131005HX0F,2024/02/28,18:00,0.039,Real,</t>
  </si>
  <si>
    <t>ES0031408323131005HX0F,2024/02/28,19:00,0.068,Real,</t>
  </si>
  <si>
    <t>ES0031408323131005HX0F,2024/02/28,20:00,0.065,Real,</t>
  </si>
  <si>
    <t>ES0031408323131005HX0F,2024/02/28,21:00,0.909,Real,</t>
  </si>
  <si>
    <t>ES0031408323131005HX0F,2024/02/28,22:00,3.103,Real,</t>
  </si>
  <si>
    <t>ES0031408323131005HX0F,2024/02/28,23:00,2.634,Real,</t>
  </si>
  <si>
    <t>ES0031408323131005HX0F,2024/02/28,24:00,1.273,Real,</t>
  </si>
  <si>
    <t>ES0031408323131005HX0F,2024/02/29,01:00,0.489,Real,</t>
  </si>
  <si>
    <t>ES0031408323131005HX0F,2024/02/29,02:00,0.096,Real,</t>
  </si>
  <si>
    <t>ES0031408323131005HX0F,2024/02/29,03:00,0.106,Real,</t>
  </si>
  <si>
    <t>ES0031408323131005HX0F,2024/02/29,04:00,0.336,Real,</t>
  </si>
  <si>
    <t>ES0031408323131005HX0F,2024/02/29,05:00,0.04,Real,</t>
  </si>
  <si>
    <t>ES0031408323131005HX0F,2024/02/29,06:00,0.09,Real,</t>
  </si>
  <si>
    <t>ES0031408323131005HX0F,2024/02/29,07:00,0.054,Real,</t>
  </si>
  <si>
    <t>ES0031408323131005HX0F,2024/02/29,08:00,0.025,Real,</t>
  </si>
  <si>
    <t>ES0031408323131005HX0F,2024/02/29,09:00,0.489,Real,</t>
  </si>
  <si>
    <t>ES0031408323131005HX0F,2024/02/29,10:00,0.397,Real,</t>
  </si>
  <si>
    <t>ES0031408323131005HX0F,2024/02/29,11:00,0.044,Real,</t>
  </si>
  <si>
    <t>ES0031408323131005HX0F,2024/02/29,12:00,0.067,Real,</t>
  </si>
  <si>
    <t>ES0031408323131005HX0F,2024/02/29,13:00,0.049,Real,</t>
  </si>
  <si>
    <t>ES0031408323131005HX0F,2024/02/29,14:00,0.453,Real,</t>
  </si>
  <si>
    <t>ES0031408323131005HX0F,2024/02/29,15:00,0.068,Real,</t>
  </si>
  <si>
    <t>ES0031408323131005HX0F,2024/02/29,16:00,0.163,Real,</t>
  </si>
  <si>
    <t>ES0031408323131005HX0F,2024/02/29,17:00,0.247,Real,</t>
  </si>
  <si>
    <t>ES0031408323131005HX0F,2024/02/29,18:00,1.69,Real,</t>
  </si>
  <si>
    <t>ES0031408323131005HX0F,2024/02/29,19:00,1.092,Real,</t>
  </si>
  <si>
    <t>ES0031408323131005HX0F,2024/02/29,20:00,1.242,Real,</t>
  </si>
  <si>
    <t>ES0031408323131005HX0F,2024/02/29,21:00,2.366,Real,</t>
  </si>
  <si>
    <t>ES0031408323131005HX0F,2024/02/29,22:00,2.233,Real,</t>
  </si>
  <si>
    <t>ES0031408323131005HX0F,2024/02/29,23:00,2.4,Real,</t>
  </si>
  <si>
    <t>ES0031408323131005HX0F,2024/02/29,24:00,0.808,Real,</t>
  </si>
  <si>
    <t>ES0031408323131005HX0F,2024/03/01,01:00,0.177,Real,</t>
  </si>
  <si>
    <t>ES0031408323131005HX0F,2024/03/01,02:00,1.137,Real,</t>
  </si>
  <si>
    <t>ES0031408323131005HX0F,2024/03/01,03:00,1.327,Real,</t>
  </si>
  <si>
    <t>ES0031408323131005HX0F,2024/03/01,04:00,1.37,Real,</t>
  </si>
  <si>
    <t>ES0031408323131005HX0F,2024/03/01,05:00,1.214,Real,</t>
  </si>
  <si>
    <t>ES0031408323131005HX0F,2024/03/01,06:00,1.033,Real,</t>
  </si>
  <si>
    <t>ES0031408323131005HX0F,2024/03/01,07:00,0.978,Real,</t>
  </si>
  <si>
    <t>ES0031408323131005HX0F,2024/03/01,08:00,1.02,Real,</t>
  </si>
  <si>
    <t>ES0031408323131005HX0F,2024/03/01,09:00,1.082,Real,</t>
  </si>
  <si>
    <t>ES0031408323131005HX0F,2024/03/01,10:00,0.977,Real,</t>
  </si>
  <si>
    <t>ES0031408323131005HX0F,2024/03/01,11:00,0.694,Real,</t>
  </si>
  <si>
    <t>ES0031408323131005HX0F,2024/03/01,12:00,0.069,Real,</t>
  </si>
  <si>
    <t>ES0031408323131005HX0F,2024/03/01,13:00,0.804,Real,</t>
  </si>
  <si>
    <t>ES0031408323131005HX0F,2024/03/01,14:00,0.04,Real,</t>
  </si>
  <si>
    <t>ES0031408323131005HX0F,2024/03/01,15:00,0.079,Real,</t>
  </si>
  <si>
    <t>ES0031408323131005HX0F,2024/03/01,16:00,0.065,Real,</t>
  </si>
  <si>
    <t>ES0031408323131005HX0F,2024/03/01,17:00,0.027,Real,</t>
  </si>
  <si>
    <t>ES0031408323131005HX0F,2024/03/01,18:00,0.345,Real,</t>
  </si>
  <si>
    <t>ES0031408323131005HX0F,2024/03/01,19:00,0.055,Real,</t>
  </si>
  <si>
    <t>ES0031408323131005HX0F,2024/03/01,20:00,0.437,Real,</t>
  </si>
  <si>
    <t>ES0031408323131005HX0F,2024/03/01,21:00,2.066,Real,</t>
  </si>
  <si>
    <t>ES0031408323131005HX0F,2024/03/01,22:00,1.294,Real,</t>
  </si>
  <si>
    <t>ES0031408323131005HX0F,2024/03/01,23:00,3.672,Real,</t>
  </si>
  <si>
    <t>ES0031408323131005HX0F,2024/03/01,24:00,2.121,Real,</t>
  </si>
  <si>
    <t>ES0031408323131005HX0F,2024/03/02,01:00,1.836,Real,</t>
  </si>
  <si>
    <t>ES0031408323131005HX0F,2024/03/02,02:00,0.784,Real,</t>
  </si>
  <si>
    <t>ES0031408323131005HX0F,2024/03/02,03:00,0.528,Real,</t>
  </si>
  <si>
    <t>ES0031408323131005HX0F,2024/03/02,04:00,0.213,Real,</t>
  </si>
  <si>
    <t>ES0031408323131005HX0F,2024/03/02,05:00,0.367,Real,</t>
  </si>
  <si>
    <t>ES0031408323131005HX0F,2024/03/02,06:00,0.056,Real,</t>
  </si>
  <si>
    <t>ES0031408323131005HX0F,2024/03/02,07:00,0.033,Real,</t>
  </si>
  <si>
    <t>ES0031408323131005HX0F,2024/03/02,08:00,0.129,Real,</t>
  </si>
  <si>
    <t>ES0031408323131005HX0F,2024/03/02,09:00,0.515,Real,</t>
  </si>
  <si>
    <t>ES0031408323131005HX0F,2024/03/02,10:00,0.934,Real,</t>
  </si>
  <si>
    <t>ES0031408323131005HX0F,2024/03/02,11:00,0.137,Real,</t>
  </si>
  <si>
    <t>ES0031408323131005HX0F,2024/03/02,12:00,0.474,Real,</t>
  </si>
  <si>
    <t>ES0031408323131005HX0F,2024/03/02,13:00,0.063,Real,</t>
  </si>
  <si>
    <t>ES0031408323131005HX0F,2024/03/02,14:00,0.326,Real,</t>
  </si>
  <si>
    <t>ES0031408323131005HX0F,2024/03/02,15:00,2.479,Real,</t>
  </si>
  <si>
    <t>ES0031408323131005HX0F,2024/03/02,16:00,3.195,Real,</t>
  </si>
  <si>
    <t>ES0031408323131005HX0F,2024/03/02,17:00,1.066,Real,</t>
  </si>
  <si>
    <t>ES0031408323131005HX0F,2024/03/02,18:00,1.309,Real,</t>
  </si>
  <si>
    <t>ES0031408323131005HX0F,2024/03/02,19:00,0.971,Real,</t>
  </si>
  <si>
    <t>ES0031408323131005HX0F,2024/03/02,20:00,0.502,Real,</t>
  </si>
  <si>
    <t>ES0031408323131005HX0F,2024/03/02,21:00,1.131,Real,</t>
  </si>
  <si>
    <t>ES0031408323131005HX0F,2024/03/02,22:00,0.071,Real,</t>
  </si>
  <si>
    <t>ES0031408323131005HX0F,2024/03/02,23:00,1.27,Real,</t>
  </si>
  <si>
    <t>ES0031408323131005HX0F,2024/03/02,24:00,1.648,Real,</t>
  </si>
  <si>
    <t>ES0031408323131005HX0F,2024/03/03,01:00,0.425,Real,</t>
  </si>
  <si>
    <t>ES0031408323131005HX0F,2024/03/03,02:00,0.059,Real,</t>
  </si>
  <si>
    <t>ES0031408323131005HX0F,2024/03/03,03:00,0.031,Real,</t>
  </si>
  <si>
    <t>ES0031408323131005HX0F,2024/03/03,04:00,0.095,Real,</t>
  </si>
  <si>
    <t>ES0031408323131005HX0F,2024/03/03,05:00,0.315,Real,</t>
  </si>
  <si>
    <t>ES0031408323131005HX0F,2024/03/03,06:00,0.05,Real,</t>
  </si>
  <si>
    <t>ES0031408323131005HX0F,2024/03/03,07:00,1.132,Real,</t>
  </si>
  <si>
    <t>ES0031408323131005HX0F,2024/03/03,08:00,1.738,Real,</t>
  </si>
  <si>
    <t>ES0031408323131005HX0F,2024/03/03,09:00,1.241,Real,</t>
  </si>
  <si>
    <t>ES0031408323131005HX0F,2024/03/03,10:00,1.416,Real,</t>
  </si>
  <si>
    <t>ES0031408323131005HX0F,2024/03/03,11:00,0.512,Real,</t>
  </si>
  <si>
    <t>ES0031408323131005HX0F,2024/03/03,12:00,0.567,Real,</t>
  </si>
  <si>
    <t>ES0031408323131005HX0F,2024/03/03,13:00,0.131,Real,</t>
  </si>
  <si>
    <t>ES0031408323131005HX0F,2024/03/03,14:00,0.477,Real,</t>
  </si>
  <si>
    <t>ES0031408323131005HX0F,2024/03/03,15:00,1.651,Real,</t>
  </si>
  <si>
    <t>ES0031408323131005HX0F,2024/03/03,16:00,2.649,Real,</t>
  </si>
  <si>
    <t>ES0031408323131005HX0F,2024/03/03,17:00,2.053,Real,</t>
  </si>
  <si>
    <t>ES0031408323131005HX0F,2024/03/03,18:00,0.988,Real,</t>
  </si>
  <si>
    <t>ES0031408323131005HX0F,2024/03/03,19:00,0.561,Real,</t>
  </si>
  <si>
    <t>ES0031408323131005HX0F,2024/03/03,20:00,0.808,Real,</t>
  </si>
  <si>
    <t>ES0031408323131005HX0F,2024/03/03,21:00,0.459,Real,</t>
  </si>
  <si>
    <t>ES0031408323131005HX0F,2024/03/03,22:00,1.554,Real,</t>
  </si>
  <si>
    <t>ES0031408323131005HX0F,2024/03/03,23:00,0.594,Real,</t>
  </si>
  <si>
    <t>ES0031408323131005HX0F,2024/03/03,24:00,0.561,Real,</t>
  </si>
  <si>
    <t>ES0031408323131005HX0F,2024/03/04,01:00,0.51,Real,</t>
  </si>
  <si>
    <t>ES0031408323131005HX0F,2024/03/04,02:00,0.07,Real,</t>
  </si>
  <si>
    <t>ES0031408323131005HX0F,2024/03/04,03:00,0.022,Real,</t>
  </si>
  <si>
    <t>ES0031408323131005HX0F,2024/03/04,04:00,0.095,Real,</t>
  </si>
  <si>
    <t>ES0031408323131005HX0F,2024/03/04,05:00,0.128,Real,</t>
  </si>
  <si>
    <t>ES0031408323131005HX0F,2024/03/04,06:00,0.385,Real,</t>
  </si>
  <si>
    <t>ES0031408323131005HX0F,2024/03/04,07:00,0.086,Real,</t>
  </si>
  <si>
    <t>ES0031408323131005HX0F,2024/03/04,08:00,0.333,Real,</t>
  </si>
  <si>
    <t>ES0031408323131005HX0F,2024/03/04,09:00,0.184,Real,</t>
  </si>
  <si>
    <t>ES0031408323131005HX0F,2024/03/04,10:00,0.399,Real,</t>
  </si>
  <si>
    <t>ES0031408323131005HX0F,2024/03/04,11:00,0.098,Real,</t>
  </si>
  <si>
    <t>ES0031408323131005HX0F,2024/03/04,12:00,0.076,Real,</t>
  </si>
  <si>
    <t>ES0031408323131005HX0F,2024/03/04,13:00,0.057,Real,</t>
  </si>
  <si>
    <t>ES0031408323131005HX0F,2024/03/04,14:00,0.096,Real,</t>
  </si>
  <si>
    <t>ES0031408323131005HX0F,2024/03/04,15:00,0.074,Real,</t>
  </si>
  <si>
    <t>ES0031408323131005HX0F,2024/03/04,16:00,0.273,Real,</t>
  </si>
  <si>
    <t>ES0031408323131005HX0F,2024/03/04,17:00,0.132,Real,</t>
  </si>
  <si>
    <t>ES0031408323131005HX0F,2024/03/04,18:00,0.074,Real,</t>
  </si>
  <si>
    <t>ES0031408323131005HX0F,2024/03/04,19:00,0.067,Real,</t>
  </si>
  <si>
    <t>ES0031408323131005HX0F,2024/03/04,20:00,0.335,Real,</t>
  </si>
  <si>
    <t>ES0031408323131005HX0F,2024/03/04,21:00,0.989,Real,</t>
  </si>
  <si>
    <t>ES0031408323131005HX0F,2024/03/04,22:00,2.297,Real,</t>
  </si>
  <si>
    <t>ES0031408323131005HX0F,2024/03/04,23:00,2.965,Real,</t>
  </si>
  <si>
    <t>ES0031408323131005HX0F,2024/03/04,24:00,0.057,Real,</t>
  </si>
  <si>
    <t>ES0031408323131005HX0F,2024/03/05,01:00,0.083,Real,</t>
  </si>
  <si>
    <t>ES0031408323131005HX0F,2024/03/05,02:00,0.07,Real,</t>
  </si>
  <si>
    <t>ES0031408323131005HX0F,2024/03/05,03:00,0.028,Real,</t>
  </si>
  <si>
    <t>ES0031408323131005HX0F,2024/03/05,04:00,0.341,Real,</t>
  </si>
  <si>
    <t>ES0031408323131005HX0F,2024/03/05,05:00,0.057,Real,</t>
  </si>
  <si>
    <t>ES0031408323131005HX0F,2024/03/05,06:00,2.186,Real,</t>
  </si>
  <si>
    <t>ES0031408323131005HX0F,2024/03/05,07:00,1.491,Real,</t>
  </si>
  <si>
    <t>ES0031408323131005HX0F,2024/03/05,08:00,0.112,Real,</t>
  </si>
  <si>
    <t>ES0031408323131005HX0F,2024/03/05,09:00,0.035,Real,</t>
  </si>
  <si>
    <t>ES0031408323131005HX0F,2024/03/05,10:00,0.328,Real,</t>
  </si>
  <si>
    <t>ES0031408323131005HX0F,2024/03/05,11:00,0.05,Real,</t>
  </si>
  <si>
    <t>ES0031408323131005HX0F,2024/03/05,12:00,0.043,Real,</t>
  </si>
  <si>
    <t>ES0031408323131005HX0F,2024/03/05,13:00,0.851,Real,</t>
  </si>
  <si>
    <t>ES0031408323131005HX0F,2024/03/05,14:00,1.431,Real,</t>
  </si>
  <si>
    <t>ES0031408323131005HX0F,2024/03/05,15:00,0.792,Real,</t>
  </si>
  <si>
    <t>ES0031408323131005HX0F,2024/03/05,16:00,1.551,Real,</t>
  </si>
  <si>
    <t>ES0031408323131005HX0F,2024/03/05,17:00,0.863,Real,</t>
  </si>
  <si>
    <t>ES0031408323131005HX0F,2024/03/05,18:00,0.046,Real,</t>
  </si>
  <si>
    <t>ES0031408323131005HX0F,2024/03/05,19:00,0.075,Real,</t>
  </si>
  <si>
    <t>ES0031408323131005HX0F,2024/03/05,20:00,0.76,Real,</t>
  </si>
  <si>
    <t>ES0031408323131005HX0F,2024/03/05,21:00,1.406,Real,</t>
  </si>
  <si>
    <t>ES0031408323131005HX0F,2024/03/05,22:00,2.754,Real,</t>
  </si>
  <si>
    <t>ES0031408323131005HX0F,2024/03/05,23:00,1.885,Real,</t>
  </si>
  <si>
    <t>ES0031408323131005HX0F,2024/03/05,24:00,0.516,Real,</t>
  </si>
  <si>
    <t>ES0031408323131005HX0F,2024/03/06,01:00,0.051,Real,</t>
  </si>
  <si>
    <t>ES0031408323131005HX0F,2024/03/06,02:00,0.081,Real,</t>
  </si>
  <si>
    <t>ES0031408323131005HX0F,2024/03/06,03:00,0.052,Real,</t>
  </si>
  <si>
    <t>ES0031408323131005HX0F,2024/03/06,04:00,0.049,Real,</t>
  </si>
  <si>
    <t>ES0031408323131005HX0F,2024/03/06,05:00,0.336,Real,</t>
  </si>
  <si>
    <t>ES0031408323131005HX0F,2024/03/06,06:00,0.247,Real,</t>
  </si>
  <si>
    <t>ES0031408323131005HX0F,2024/03/06,07:00,0.296,Real,</t>
  </si>
  <si>
    <t>ES0031408323131005HX0F,2024/03/06,08:00,0.137,Real,</t>
  </si>
  <si>
    <t>ES0031408323131005HX0F,2024/03/06,09:00,0.045,Real,</t>
  </si>
  <si>
    <t>ES0031408323131005HX0F,2024/03/06,10:00,0.318,Real,</t>
  </si>
  <si>
    <t>ES0031408323131005HX0F,2024/03/06,11:00,0.074,Real,</t>
  </si>
  <si>
    <t>ES0031408323131005HX0F,2024/03/06,12:00,0.027,Real,</t>
  </si>
  <si>
    <t>ES0031408323131005HX0F,2024/03/06,13:00,0.073,Real,</t>
  </si>
  <si>
    <t>ES0031408323131005HX0F,2024/03/06,14:00,0.07,Real,</t>
  </si>
  <si>
    <t>ES0031408323131005HX0F,2024/03/06,15:00,0.358,Real,</t>
  </si>
  <si>
    <t>ES0031408323131005HX0F,2024/03/06,16:00,0.086,Real,</t>
  </si>
  <si>
    <t>ES0031408323131005HX0F,2024/03/06,17:00,0.421,Real,</t>
  </si>
  <si>
    <t>ES0031408323131005HX0F,2024/03/06,18:00,0.051,Real,</t>
  </si>
  <si>
    <t>ES0031408323131005HX0F,2024/03/06,19:00,0.114,Real,</t>
  </si>
  <si>
    <t>ES0031408323131005HX0F,2024/03/06,20:00,0.267,Real,</t>
  </si>
  <si>
    <t>ES0031408323131005HX0F,2024/03/06,21:00,2.771,Real,</t>
  </si>
  <si>
    <t>ES0031408323131005HX0F,2024/03/06,22:00,0.642,Real,</t>
  </si>
  <si>
    <t>ES0031408323131005HX0F,2024/03/06,23:00,1.926,Real,</t>
  </si>
  <si>
    <t>ES0031408323131005HX0F,2024/03/06,24:00,2.555,Real,</t>
  </si>
  <si>
    <t>ES0031408323131005HX0F,2024/03/07,01:00,0.191,Real,</t>
  </si>
  <si>
    <t>ES0031408323131005HX0F,2024/03/07,02:00,0.062,Real,</t>
  </si>
  <si>
    <t>ES0031408323131005HX0F,2024/03/07,03:00,0.117,Real,</t>
  </si>
  <si>
    <t>ES0031408323131005HX0F,2024/03/07,04:00,0.071,Real,</t>
  </si>
  <si>
    <t>ES0031408323131005HX0F,2024/03/07,05:00,0.303,Real,</t>
  </si>
  <si>
    <t>ES0031408323131005HX0F,2024/03/07,06:00,0.163,Real,</t>
  </si>
  <si>
    <t>ES0031408323131005HX0F,2024/03/07,07:00,0.417,Real,</t>
  </si>
  <si>
    <t>ES0031408323131005HX0F,2024/03/07,08:00,0.08,Real,</t>
  </si>
  <si>
    <t>ES0031408323131005HX0F,2024/03/07,09:00,0.095,Real,</t>
  </si>
  <si>
    <t>ES0031408323131005HX0F,2024/03/07,10:00,0.055,Real,</t>
  </si>
  <si>
    <t>ES0031408323131005HX0F,2024/03/07,11:00,0.149,Real,</t>
  </si>
  <si>
    <t>ES0031408323131005HX0F,2024/03/07,12:00,0.226,Real,</t>
  </si>
  <si>
    <t>ES0031408323131005HX0F,2024/03/07,13:00,0.055,Real,</t>
  </si>
  <si>
    <t>ES0031408323131005HX0F,2024/03/07,14:00,0.022,Real,</t>
  </si>
  <si>
    <t>ES0031408323131005HX0F,2024/03/07,15:00,0.416,Real,</t>
  </si>
  <si>
    <t>ES0031408323131005HX0F,2024/03/07,16:00,0.059,Real,</t>
  </si>
  <si>
    <t>ES0031408323131005HX0F,2024/03/07,17:00,0.022,Real,</t>
  </si>
  <si>
    <t>ES0031408323131005HX0F,2024/03/07,18:00,0.113,Real,</t>
  </si>
  <si>
    <t>ES0031408323131005HX0F,2024/03/07,19:00,0.383,Real,</t>
  </si>
  <si>
    <t>ES0031408323131005HX0F,2024/03/07,20:00,0.709,Real,</t>
  </si>
  <si>
    <t>ES0031408323131005HX0F,2024/03/07,21:00,2.106,Real,</t>
  </si>
  <si>
    <t>ES0031408323131005HX0F,2024/03/07,22:00,3.83,Real,</t>
  </si>
  <si>
    <t>ES0031408323131005HX0F,2024/03/07,23:00,1.857,Real,</t>
  </si>
  <si>
    <t>ES0031408323131005HX0F,2024/03/07,24:00,1.335,Real,</t>
  </si>
  <si>
    <t>ES0031408323131005HX0F,2024/03/08,01:00,1.234,Real,</t>
  </si>
  <si>
    <t>ES0031408323131005HX0F,2024/03/08,02:00,1.189,Real,</t>
  </si>
  <si>
    <t>ES0031408323131005HX0F,2024/03/08,03:00,1.205,Real,</t>
  </si>
  <si>
    <t>ES0031408323131005HX0F,2024/03/08,04:00,1.088,Real,</t>
  </si>
  <si>
    <t>ES0031408323131005HX0F,2024/03/08,05:00,0.828,Real,</t>
  </si>
  <si>
    <t>ES0031408323131005HX0F,2024/03/08,06:00,1.352,Real,</t>
  </si>
  <si>
    <t>ES0031408323131005HX0F,2024/03/08,07:00,0.951,Real,</t>
  </si>
  <si>
    <t>ES0031408323131005HX0F,2024/03/08,08:00,0.382,Real,</t>
  </si>
  <si>
    <t>ES0031408323131005HX0F,2024/03/08,09:00,0.1,Real,</t>
  </si>
  <si>
    <t>ES0031408323131005HX0F,2024/03/08,10:00,0.057,Real,</t>
  </si>
  <si>
    <t>ES0031408323131005HX0F,2024/03/08,11:00,0.025,Real,</t>
  </si>
  <si>
    <t>ES0031408323131005HX0F,2024/03/08,12:00,0.093,Real,</t>
  </si>
  <si>
    <t>ES0031408323131005HX0F,2024/03/08,13:00,0.055,Real,</t>
  </si>
  <si>
    <t>ES0031408323131005HX0F,2024/03/08,14:00,0.311,Real,</t>
  </si>
  <si>
    <t>ES0031408323131005HX0F,2024/03/08,15:00,0.463,Real,</t>
  </si>
  <si>
    <t>ES0031408323131005HX0F,2024/03/08,16:00,1.037,Real,</t>
  </si>
  <si>
    <t>ES0031408323131005HX0F,2024/03/08,17:00,0.037,Real,</t>
  </si>
  <si>
    <t>ES0031408323131005HX0F,2024/03/08,18:00,0.079,Real,</t>
  </si>
  <si>
    <t>ES0031408323131005HX0F,2024/03/08,19:00,0.058,Real,</t>
  </si>
  <si>
    <t>ES0031408323131005HX0F,2024/03/08,20:00,0.613,Real,</t>
  </si>
  <si>
    <t>ES0031408323131005HX0F,2024/03/08,21:00,0.498,Real,</t>
  </si>
  <si>
    <t>ES0031408323131005HX0F,2024/03/08,22:00,0.524,Real,</t>
  </si>
  <si>
    <t>ES0031408323131005HX0F,2024/03/08,23:00,0.184,Real,</t>
  </si>
  <si>
    <t>ES0031408323131005HX0F,2024/03/08,24:00,0.517,Real,</t>
  </si>
  <si>
    <t>ES0031408323131005HX0F,2024/03/09,01:00,0.104,Real,</t>
  </si>
  <si>
    <t>ES0031408323131005HX0F,2024/03/09,02:00,0.068,Real,</t>
  </si>
  <si>
    <t>ES0031408323131005HX0F,2024/03/09,03:00,0.027,Real,</t>
  </si>
  <si>
    <t>ES0031408323131005HX0F,2024/03/09,04:00,0.075,Real,</t>
  </si>
  <si>
    <t>ES0031408323131005HX0F,2024/03/09,05:00,0.311,Real,</t>
  </si>
  <si>
    <t>ES0031408323131005HX0F,2024/03/09,06:00,0.037,Real,</t>
  </si>
  <si>
    <t>ES0031408323131005HX0F,2024/03/09,07:00,0.062,Real,</t>
  </si>
  <si>
    <t>ES0031408323131005HX0F,2024/03/09,08:00,0.066,Real,</t>
  </si>
  <si>
    <t>ES0031408323131005HX0F,2024/03/09,09:00,0.126,Real,</t>
  </si>
  <si>
    <t>ES0031408323131005HX0F,2024/03/09,10:00,1.698,Real,</t>
  </si>
  <si>
    <t>ES0031408323131005HX0F,2024/03/09,11:00,1.577,Real,</t>
  </si>
  <si>
    <t>ES0031408323131005HX0F,2024/03/09,12:00,0.419,Real,</t>
  </si>
  <si>
    <t>ES0031408323131005HX0F,2024/03/09,13:00,0.057,Real,</t>
  </si>
  <si>
    <t>ES0031408323131005HX0F,2024/03/09,14:00,0.069,Real,</t>
  </si>
  <si>
    <t>ES0031408323131005HX0F,2024/03/09,15:00,0.053,Real,</t>
  </si>
  <si>
    <t>ES0031408323131005HX0F,2024/03/09,16:00,0.528,Real,</t>
  </si>
  <si>
    <t>ES0031408323131005HX0F,2024/03/09,17:00,2.161,Real,</t>
  </si>
  <si>
    <t>ES0031408323131005HX0F,2024/03/09,18:00,1.915,Real,</t>
  </si>
  <si>
    <t>ES0031408323131005HX0F,2024/03/09,19:00,1.13,Real,</t>
  </si>
  <si>
    <t>ES0031408323131005HX0F,2024/03/09,20:00,1.259,Real,</t>
  </si>
  <si>
    <t>ES0031408323131005HX0F,2024/03/09,21:00,1.685,Real,</t>
  </si>
  <si>
    <t>ES0031408323131005HX0F,2024/03/09,22:00,0.992,Real,</t>
  </si>
  <si>
    <t>ES0031408323131005HX0F,2024/03/09,23:00,1.807,Real,</t>
  </si>
  <si>
    <t>ES0031408323131005HX0F,2024/03/09,24:00,3.146,Real,</t>
  </si>
  <si>
    <t>ES0031408323131005HX0F,2024/03/10,01:00,1.017,Real,</t>
  </si>
  <si>
    <t>ES0031408323131005HX0F,2024/03/10,02:00,0.033,Real,</t>
  </si>
  <si>
    <t>ES0031408323131005HX0F,2024/03/10,03:00,0.106,Real,</t>
  </si>
  <si>
    <t>ES0031408323131005HX0F,2024/03/10,04:00,0.058,Real,</t>
  </si>
  <si>
    <t>ES0031408323131005HX0F,2024/03/10,05:00,0.287,Real,</t>
  </si>
  <si>
    <t>ES0031408323131005HX0F,2024/03/10,06:00,0.104,Real,</t>
  </si>
  <si>
    <t>ES0031408323131005HX0F,2024/03/10,07:00,0.057,Real,</t>
  </si>
  <si>
    <t>ES0031408323131005HX0F,2024/03/10,08:00,0.022,Real,</t>
  </si>
  <si>
    <t>ES0031408323131005HX0F,2024/03/10,09:00,0.089,Real,</t>
  </si>
  <si>
    <t>ES0031408323131005HX0F,2024/03/10,10:00,0.708,Real,</t>
  </si>
  <si>
    <t>ES0031408323131005HX0F,2024/03/10,11:00,1.678,Real,</t>
  </si>
  <si>
    <t>ES0031408323131005HX0F,2024/03/10,12:00,1.367,Real,</t>
  </si>
  <si>
    <t>ES0031408323131005HX0F,2024/03/10,13:00,0.31,Real,</t>
  </si>
  <si>
    <t>ES0031408323131005HX0F,2024/03/10,14:00,0.603,Real,</t>
  </si>
  <si>
    <t>ES0031408323131005HX0F,2024/03/10,15:00,1.084,Real,</t>
  </si>
  <si>
    <t>ES0031408323131005HX0F,2024/03/10,16:00,0.819,Real,</t>
  </si>
  <si>
    <t>ES0031408323131005HX0F,2024/03/10,17:00,0.662,Real,</t>
  </si>
  <si>
    <t>ES0031408323131005HX0F,2024/03/10,18:00,0.859,Real,</t>
  </si>
  <si>
    <t>ES0031408323131005HX0F,2024/03/10,19:00,0.197,Real,</t>
  </si>
  <si>
    <t>ES0031408323131005HX0F,2024/03/10,20:00,0.804,Real,</t>
  </si>
  <si>
    <t>ES0031408323131005HX0F,2024/03/10,21:00,2.664,Real,</t>
  </si>
  <si>
    <t>ES0031408323131005HX0F,2024/03/10,22:00,1.794,Real,</t>
  </si>
  <si>
    <t>ES0031408323131005HX0F,2024/03/10,23:00,1.138,Real,</t>
  </si>
  <si>
    <t>ES0031408323131005HX0F,2024/03/10,24:00,1.3,Real,</t>
  </si>
  <si>
    <t>ES0031408323131005HX0F,2024/03/11,01:00,1.044,Real,</t>
  </si>
  <si>
    <t>ES0031408323131005HX0F,2024/03/11,02:00,0.91,Real,</t>
  </si>
  <si>
    <t>ES0031408323131005HX0F,2024/03/11,03:00,0.916,Real,</t>
  </si>
  <si>
    <t>ES0031408323131005HX0F,2024/03/11,04:00,1.012,Real,</t>
  </si>
  <si>
    <t>ES0031408323131005HX0F,2024/03/11,05:00,0.84,Real,</t>
  </si>
  <si>
    <t>ES0031408323131005HX0F,2024/03/11,06:00,0.936,Real,</t>
  </si>
  <si>
    <t>ES0031408323131005HX0F,2024/03/11,07:00,1.036,Real,</t>
  </si>
  <si>
    <t>ES0031408323131005HX0F,2024/03/11,08:00,1.216,Real,</t>
  </si>
  <si>
    <t>ES0031408323131005HX0F,2024/03/11,09:00,0.666,Real,</t>
  </si>
  <si>
    <t>ES0031408323131005HX0F,2024/03/11,10:00,0.183,Real,</t>
  </si>
  <si>
    <t>ES0031408323131005HX0F,2024/03/11,11:00,2.675,Real,</t>
  </si>
  <si>
    <t>ES0031408323131005HX0F,2024/03/11,12:00,1.191,Real,</t>
  </si>
  <si>
    <t>ES0031408323131005HX0F,2024/03/11,13:00,0.991,Real,</t>
  </si>
  <si>
    <t>ES0031408323131005HX0F,2024/03/11,14:00,0.763,Real,</t>
  </si>
  <si>
    <t>ES0031408323131005HX0F,2024/03/11,15:00,0.477,Real,</t>
  </si>
  <si>
    <t>ES0031408323131005HX0F,2024/03/11,16:00,0.061,Real,</t>
  </si>
  <si>
    <t>ES0031408323131005HX0F,2024/03/11,17:00,0.023,Real,</t>
  </si>
  <si>
    <t>ES0031408323131005HX0F,2024/03/11,18:00,0.694,Real,</t>
  </si>
  <si>
    <t>ES0031408323131005HX0F,2024/03/11,19:00,2.711,Real,</t>
  </si>
  <si>
    <t>ES0031408323131005HX0F,2024/03/11,20:00,0.113,Real,</t>
  </si>
  <si>
    <t>ES0031408323131005HX0F,2024/03/11,21:00,0.778,Real,</t>
  </si>
  <si>
    <t>ES0031408323131005HX0F,2024/03/11,22:00,0.762,Real,</t>
  </si>
  <si>
    <t>ES0031408323131005HX0F,2024/03/11,23:00,0.175,Real,</t>
  </si>
  <si>
    <t>ES0031408323131005HX0F,2024/03/11,24:00,1.331,Real,</t>
  </si>
  <si>
    <t>ES0031408323131005HX0F,2024/03/12,01:00,1.531,Real,</t>
  </si>
  <si>
    <t>ES0031408323131005HX0F,2024/03/12,02:00,0.984,Real,</t>
  </si>
  <si>
    <t>ES0031408323131005HX0F,2024/03/12,03:00,1.211,Real,</t>
  </si>
  <si>
    <t>ES0031408323131005HX0F,2024/03/12,04:00,0.874,Real,</t>
  </si>
  <si>
    <t>ES0031408323131005HX0F,2024/03/12,05:00,0.933,Real,</t>
  </si>
  <si>
    <t>ES0031408323131005HX0F,2024/03/12,06:00,1.146,Real,</t>
  </si>
  <si>
    <t>ES0031408323131005HX0F,2024/03/12,07:00,1.572,Real,</t>
  </si>
  <si>
    <t>ES0031408323131005HX0F,2024/03/12,08:00,0.89,Real,</t>
  </si>
  <si>
    <t>ES0031408323131005HX0F,2024/03/12,09:00,0.902,Real,</t>
  </si>
  <si>
    <t>ES0031408323131005HX0F,2024/03/12,10:00,0.746,Real,</t>
  </si>
  <si>
    <t>ES0031408323131005HX0F,2024/03/12,11:00,0.758,Real,</t>
  </si>
  <si>
    <t>ES0031408323131005HX0F,2024/03/12,12:00,1.024,Real,</t>
  </si>
  <si>
    <t>ES0031408323131005HX0F,2024/03/12,13:00,1.987,Real,</t>
  </si>
  <si>
    <t>ES0031408323131005HX0F,2024/03/12,14:00,0.24,Real,</t>
  </si>
  <si>
    <t>ES0031408323131005HX0F,2024/03/12,15:00,0.168,Real,</t>
  </si>
  <si>
    <t>ES0031408323131005HX0F,2024/03/12,16:00,0.863,Real,</t>
  </si>
  <si>
    <t>ES0031408323131005HX0F,2024/03/12,17:00,0.436,Real,</t>
  </si>
  <si>
    <t>ES0031408323131005HX0F,2024/03/12,18:00,0.467,Real,</t>
  </si>
  <si>
    <t>ES0031408323131005HX0F,2024/03/12,19:00,0.091,Real,</t>
  </si>
  <si>
    <t>ES0031408323131005HX0F,2024/03/12,20:00,0.377,Real,</t>
  </si>
  <si>
    <t>ES0031408323131005HX0F,2024/03/12,21:00,0.467,Real,</t>
  </si>
  <si>
    <t>ES0031408323131005HX0F,2024/03/12,22:00,2.207,Real,</t>
  </si>
  <si>
    <t>ES0031408323131005HX0F,2024/03/12,23:00,1.801,Real,</t>
  </si>
  <si>
    <t>ES0031408323131005HX0F,2024/03/12,24:00,1.258,Real,</t>
  </si>
  <si>
    <t>ES0031408323131005HX0F,2024/03/13,01:00,1.382,Real,</t>
  </si>
  <si>
    <t>ES0031408323131005HX0F,2024/03/13,02:00,0.924,Real,</t>
  </si>
  <si>
    <t>ES0031408323131005HX0F,2024/03/13,03:00,0.242,Real,</t>
  </si>
  <si>
    <t>ES0031408323131005HX0F,2024/03/13,04:00,0.067,Real,</t>
  </si>
  <si>
    <t>ES0031408323131005HX0F,2024/03/13,05:00,0.334,Real,</t>
  </si>
  <si>
    <t>ES0031408323131005HX0F,2024/03/13,06:00,0.053,Real,</t>
  </si>
  <si>
    <t>ES0031408323131005HX0F,2024/03/13,07:00,1.223,Real,</t>
  </si>
  <si>
    <t>ES0031408323131005HX0F,2024/03/13,08:00,0.703,Real,</t>
  </si>
  <si>
    <t>ES0031408323131005HX0F,2024/03/13,09:00,0.028,Real,</t>
  </si>
  <si>
    <t>ES0031408323131005HX0F,2024/03/13,10:00,0.097,Real,</t>
  </si>
  <si>
    <t>ES0031408323131005HX0F,2024/03/13,11:00,0.319,Real,</t>
  </si>
  <si>
    <t>ES0031408323131005HX0F,2024/03/13,12:00,0.72,Real,</t>
  </si>
  <si>
    <t>ES0031408323131005HX0F,2024/03/13,13:00,0.958,Real,</t>
  </si>
  <si>
    <t>ES0031408323131005HX0F,2024/03/13,14:00,0.123,Real,</t>
  </si>
  <si>
    <t>ES0031408323131005HX0F,2024/03/13,15:00,0.914,Real,</t>
  </si>
  <si>
    <t>ES0031408323131005HX0F,2024/03/13,16:00,0.094,Real,</t>
  </si>
  <si>
    <t>ES0031408323131005HX0F,2024/03/13,17:00,0.038,Real,</t>
  </si>
  <si>
    <t>ES0031408323131005HX0F,2024/03/13,18:00,0.11,Real,</t>
  </si>
  <si>
    <t>ES0031408323131005HX0F,2024/03/13,19:00,0.321,Real,</t>
  </si>
  <si>
    <t>ES0031408323131005HX0F,2024/03/13,20:00,0.604,Real,</t>
  </si>
  <si>
    <t>ES0031408323131005HX0F,2024/03/13,21:00,1.903,Real,</t>
  </si>
  <si>
    <t>ES0031408323131005HX0F,2024/03/13,22:00,1.696,Real,</t>
  </si>
  <si>
    <t>ES0031408323131005HX0F,2024/03/13,23:00,1.563,Real,</t>
  </si>
  <si>
    <t>ES0031408323131005HX0F,2024/03/13,24:00,1.343,Real,</t>
  </si>
  <si>
    <t>ES0031408323131005HX0F,2024/03/14,01:00,0.951,Real,</t>
  </si>
  <si>
    <t>ES0031408323131005HX0F,2024/03/14,02:00,1.156,Real,</t>
  </si>
  <si>
    <t>ES0031408323131005HX0F,2024/03/14,03:00,0.858,Real,</t>
  </si>
  <si>
    <t>ES0031408323131005HX0F,2024/03/14,04:00,0.826,Real,</t>
  </si>
  <si>
    <t>ES0031408323131005HX0F,2024/03/14,05:00,0.926,Real,</t>
  </si>
  <si>
    <t>ES0031408323131005HX0F,2024/03/14,06:00,0.871,Real,</t>
  </si>
  <si>
    <t>ES0031408323131005HX0F,2024/03/14,07:00,1.325,Real,</t>
  </si>
  <si>
    <t>ES0031408323131005HX0F,2024/03/14,08:00,0.4,Real,</t>
  </si>
  <si>
    <t>ES0031408323131005HX0F,2024/03/14,09:00,0.068,Real,</t>
  </si>
  <si>
    <t>ES0031408323131005HX0F,2024/03/14,10:00,0.088,Real,</t>
  </si>
  <si>
    <t>ES0031408323131005HX0F,2024/03/14,11:00,0.105,Real,</t>
  </si>
  <si>
    <t>ES0031408323131005HX0F,2024/03/14,12:00,0.967,Real,</t>
  </si>
  <si>
    <t>ES0031408323131005HX0F,2024/03/14,13:00,0.68,Real,</t>
  </si>
  <si>
    <t>ES0031408323131005HX0F,2024/03/14,14:00,0.038,Real,</t>
  </si>
  <si>
    <t>ES0031408323131005HX0F,2024/03/14,15:00,0.35,Real,</t>
  </si>
  <si>
    <t>ES0031408323131005HX0F,2024/03/14,16:00,0.91,Real,</t>
  </si>
  <si>
    <t>ES0031408323131005HX0F,2024/03/14,17:00,0.333,Real,</t>
  </si>
  <si>
    <t>ES0031408323131005HX0F,2024/03/14,18:00,0.097,Real,</t>
  </si>
  <si>
    <t>ES0031408323131005HX0F,2024/03/14,19:00,0.048,Real,</t>
  </si>
  <si>
    <t>ES0031408323131005HX0F,2024/03/14,20:00,0.072,Real,</t>
  </si>
  <si>
    <t>ES0031408323131005HX0F,2024/03/14,21:00,2.371,Real,</t>
  </si>
  <si>
    <t>ES0031408323131005HX0F,2024/03/14,22:00,1.909,Real,</t>
  </si>
  <si>
    <t>ES0031408323131005HX0F,2024/03/14,23:00,0.392,Real,</t>
  </si>
  <si>
    <t>ES0031408323131005HX0F,2024/03/14,24:00,0.979,Real,</t>
  </si>
  <si>
    <t>ES0031408323131005HX0F,2024/03/15,01:00,0.035,Real,</t>
  </si>
  <si>
    <t>ES0031408323131005HX0F,2024/03/15,02:00,0.097,Real,</t>
  </si>
  <si>
    <t>ES0031408323131005HX0F,2024/03/15,03:00,0.096,Real,</t>
  </si>
  <si>
    <t>ES0031408323131005HX0F,2024/03/15,04:00,0.058,Real,</t>
  </si>
  <si>
    <t>ES0031408323131005HX0F,2024/03/15,05:00,0.381,Real,</t>
  </si>
  <si>
    <t>ES0031408323131005HX0F,2024/03/15,06:00,0.053,Real,</t>
  </si>
  <si>
    <t>ES0031408323131005HX0F,2024/03/15,07:00,0.68,Real,</t>
  </si>
  <si>
    <t>ES0031408323131005HX0F,2024/03/15,08:00,1.322,Real,</t>
  </si>
  <si>
    <t>ES0031408323131005HX0F,2024/03/15,09:00,0.038,Real,</t>
  </si>
  <si>
    <t>ES0031408323131005HX0F,2024/03/15,10:00,0.097,Real,</t>
  </si>
  <si>
    <t>ES0031408323131005HX0F,2024/03/15,11:00,0.055,Real,</t>
  </si>
  <si>
    <t>ES0031408323131005HX0F,2024/03/15,12:00,0.859,Real,</t>
  </si>
  <si>
    <t>ES0031408323131005HX0F,2024/03/15,13:00,0.934,Real,</t>
  </si>
  <si>
    <t>ES0031408323131005HX0F,2024/03/15,14:00,0.573,Real,</t>
  </si>
  <si>
    <t>ES0031408323131005HX0F,2024/03/15,15:00,0.084,Real,</t>
  </si>
  <si>
    <t>ES0031408323131005HX0F,2024/03/15,16:00,0.284,Real,</t>
  </si>
  <si>
    <t>ES0031408323131005HX0F,2024/03/15,17:00,2.385,Real,</t>
  </si>
  <si>
    <t>ES0031408323131005HX0F,2024/03/15,18:00,0.102,Real,</t>
  </si>
  <si>
    <t>ES0031408323131005HX0F,2024/03/15,19:00,0.031,Real,</t>
  </si>
  <si>
    <t>ES0031408323131005HX0F,2024/03/15,20:00,0.088,Real,</t>
  </si>
  <si>
    <t>ES0031408323131005HX0F,2024/03/15,21:00,0.055,Real,</t>
  </si>
  <si>
    <t>ES0031408323131005HX0F,2024/03/15,22:00,3.903,Real,</t>
  </si>
  <si>
    <t>ES0031408323131005HX0F,2024/03/15,23:00,1.735,Real,</t>
  </si>
  <si>
    <t>ES0031408323131005HX0F,2024/03/15,24:00,1.58,Real,</t>
  </si>
  <si>
    <t>ES0031408323131005HX0F,2024/03/16,01:00,0.923,Real,</t>
  </si>
  <si>
    <t>ES0031408323131005HX0F,2024/03/16,02:00,0.531,Real,</t>
  </si>
  <si>
    <t>ES0031408323131005HX0F,2024/03/16,03:00,0.052,Real,</t>
  </si>
  <si>
    <t>ES0031408323131005HX0F,2024/03/16,04:00,0.042,Real,</t>
  </si>
  <si>
    <t>ES0031408323131005HX0F,2024/03/16,05:00,0.129,Real,</t>
  </si>
  <si>
    <t>ES0031408323131005HX0F,2024/03/16,06:00,0.106,Real,</t>
  </si>
  <si>
    <t>ES0031408323131005HX0F,2024/03/16,07:00,0.053,Real,</t>
  </si>
  <si>
    <t>ES0031408323131005HX0F,2024/03/16,08:00,0.295,Real,</t>
  </si>
  <si>
    <t>ES0031408323131005HX0F,2024/03/16,09:00,0.096,Real,</t>
  </si>
  <si>
    <t>ES0031408323131005HX0F,2024/03/16,10:00,0.05,Real,</t>
  </si>
  <si>
    <t>ES0031408323131005HX0F,2024/03/16,11:00,0.876,Real,</t>
  </si>
  <si>
    <t>ES0031408323131005HX0F,2024/03/16,12:00,0.508,Real,</t>
  </si>
  <si>
    <t>ES0031408323131005HX0F,2024/03/16,13:00,0.442,Real,</t>
  </si>
  <si>
    <t>ES0031408323131005HX0F,2024/03/16,14:00,0.103,Real,</t>
  </si>
  <si>
    <t>ES0031408323131005HX0F,2024/03/16,15:00,0.056,Real,</t>
  </si>
  <si>
    <t>ES0031408323131005HX0F,2024/03/16,16:00,1.004,Real,</t>
  </si>
  <si>
    <t>ES0031408323131005HX0F,2024/03/16,17:00,2.805,Real,</t>
  </si>
  <si>
    <t>ES0031408323131005HX0F,2024/03/16,18:00,1.165,Real,</t>
  </si>
  <si>
    <t>ES0031408323131005HX0F,2024/03/16,19:00,1.139,Real,</t>
  </si>
  <si>
    <t>ES0031408323131005HX0F,2024/03/16,20:00,0.198,Real,</t>
  </si>
  <si>
    <t>ES0031408323131005HX0F,2024/03/16,21:00,2.653,Real,</t>
  </si>
  <si>
    <t>ES0031408323131005HX0F,2024/03/16,22:00,0.535,Real,</t>
  </si>
  <si>
    <t>ES0031408323131005HX0F,2024/03/16,23:00,1.013,Real,</t>
  </si>
  <si>
    <t>ES0031408323131005HX0F,2024/03/16,24:00,0.525,Real,</t>
  </si>
  <si>
    <t>ES0031408323131005HX0F,2024/03/17,01:00,0.069,Real,</t>
  </si>
  <si>
    <t>ES0031408323131005HX0F,2024/03/17,02:00,0.074,Real,</t>
  </si>
  <si>
    <t>ES0031408323131005HX0F,2024/03/17,03:00,1.293,Real,</t>
  </si>
  <si>
    <t>ES0031408323131005HX0F,2024/03/17,04:00,0.047,Real,</t>
  </si>
  <si>
    <t>ES0031408323131005HX0F,2024/03/17,05:00,0.093,Real,</t>
  </si>
  <si>
    <t>ES0031408323131005HX0F,2024/03/17,06:00,0.118,Real,</t>
  </si>
  <si>
    <t>ES0031408323131005HX0F,2024/03/17,07:00,0.078,Real,</t>
  </si>
  <si>
    <t>ES0031408323131005HX0F,2024/03/17,08:00,0.299,Real,</t>
  </si>
  <si>
    <t>ES0031408323131005HX0F,2024/03/17,09:00,0.081,Real,</t>
  </si>
  <si>
    <t>ES0031408323131005HX0F,2024/03/17,10:00,0.111,Real,</t>
  </si>
  <si>
    <t>ES0031408323131005HX0F,2024/03/17,11:00,1.047,Real,</t>
  </si>
  <si>
    <t>ES0031408323131005HX0F,2024/03/17,12:00,0.82,Real,</t>
  </si>
  <si>
    <t>ES0031408323131005HX0F,2024/03/17,13:00,0.068,Real,</t>
  </si>
  <si>
    <t>ES0031408323131005HX0F,2024/03/17,14:00,0.022,Real,</t>
  </si>
  <si>
    <t>ES0031408323131005HX0F,2024/03/17,15:00,3.015,Real,</t>
  </si>
  <si>
    <t>ES0031408323131005HX0F,2024/03/17,16:00,1.371,Real,</t>
  </si>
  <si>
    <t>ES0031408323131005HX0F,2024/03/17,17:00,1.146,Real,</t>
  </si>
  <si>
    <t>ES0031408323131005HX0F,2024/03/17,18:00,0.86,Real,</t>
  </si>
  <si>
    <t>ES0031408323131005HX0F,2024/03/17,19:00,0.977,Real,</t>
  </si>
  <si>
    <t>ES0031408323131005HX0F,2024/03/17,20:00,0.623,Real,</t>
  </si>
  <si>
    <t>ES0031408323131005HX0F,2024/03/17,21:00,1.389,Real,</t>
  </si>
  <si>
    <t>ES0031408323131005HX0F,2024/03/17,22:00,1.112,Real,</t>
  </si>
  <si>
    <t>ES0031408323131005HX0F,2024/03/17,23:00,0.99,Real,</t>
  </si>
  <si>
    <t>ES0031408323131005HX0F,2024/03/17,24:00,0.316,Real,</t>
  </si>
  <si>
    <t>ES0031408323131005HX0F,2024/03/18,01:00,0.08,Real,</t>
  </si>
  <si>
    <t>ES0031408323131005HX0F,2024/03/18,02:00,0.291,Real,</t>
  </si>
  <si>
    <t>ES0031408323131005HX0F,2024/03/18,03:00,0.111,Real,</t>
  </si>
  <si>
    <t>ES0031408323131005HX0F,2024/03/18,04:00,0.053,Real,</t>
  </si>
  <si>
    <t>ES0031408323131005HX0F,2024/03/18,05:00,0.042,Real,</t>
  </si>
  <si>
    <t>ES0031408323131005HX0F,2024/03/18,06:00,0.129,Real,</t>
  </si>
  <si>
    <t>ES0031408323131005HX0F,2024/03/18,07:00,1.25,Real,</t>
  </si>
  <si>
    <t>ES0031408323131005HX0F,2024/03/18,08:00,0.619,Real,</t>
  </si>
  <si>
    <t>ES0031408323131005HX0F,2024/03/18,09:00,0.024,Real,</t>
  </si>
  <si>
    <t>ES0031408323131005HX0F,2024/03/18,10:00,0.662,Real,</t>
  </si>
  <si>
    <t>ES0031408323131005HX0F,2024/03/18,11:00,0.728,Real,</t>
  </si>
  <si>
    <t>ES0031408323131005HX0F,2024/03/18,12:00,1.977,Real,</t>
  </si>
  <si>
    <t>ES0031408323131005HX0F,2024/03/18,13:00,1.272,Real,</t>
  </si>
  <si>
    <t>ES0031408323131005HX0F,2024/03/18,14:00,0.282,Real,</t>
  </si>
  <si>
    <t>ES0031408323131005HX0F,2024/03/18,15:00,1.597,Real,</t>
  </si>
  <si>
    <t>ES0031408323131005HX0F,2024/03/18,16:00,1.347,Real,</t>
  </si>
  <si>
    <t>ES0031408323131005HX0F,2024/03/18,17:00,0.479,Real,</t>
  </si>
  <si>
    <t>ES0031408323131005HX0F,2024/03/18,18:00,0.096,Real,</t>
  </si>
  <si>
    <t>ES0031408323131005HX0F,2024/03/18,19:00,0.059,Real,</t>
  </si>
  <si>
    <t>ES0031408323131005HX0F,2024/03/18,20:00,0.489,Real,</t>
  </si>
  <si>
    <t>ES0031408323131005HX0F,2024/03/18,21:00,1.912,Real,</t>
  </si>
  <si>
    <t>ES0031408323131005HX0F,2024/03/18,22:00,1.467,Real,</t>
  </si>
  <si>
    <t>ES0031408323131005HX0F,2024/03/18,23:00,1.524,Real,</t>
  </si>
  <si>
    <t>ES0031408323131005HX0F,2024/03/18,24:00,0.71,Real,</t>
  </si>
  <si>
    <t>ES0031408323131005HX0F,2024/03/19,01:00,0.763,Real,</t>
  </si>
  <si>
    <t>ES0031408323131005HX0F,2024/03/19,02:00,0.814,Real,</t>
  </si>
  <si>
    <t>ES0031408323131005HX0F,2024/03/19,03:00,0.341,Real,</t>
  </si>
  <si>
    <t>ES0031408323131005HX0F,2024/03/19,04:00,0.102,Real,</t>
  </si>
  <si>
    <t>ES0031408323131005HX0F,2024/03/19,05:00,0.313,Real,</t>
  </si>
  <si>
    <t>ES0031408323131005HX0F,2024/03/19,06:00,0.042,Real,</t>
  </si>
  <si>
    <t>ES0031408323131005HX0F,2024/03/19,07:00,0.197,Real,</t>
  </si>
  <si>
    <t>ES0031408323131005HX0F,2024/03/19,08:00,0.253,Real,</t>
  </si>
  <si>
    <t>ES0031408323131005HX0F,2024/03/19,09:00,0.137,Real,</t>
  </si>
  <si>
    <t>ES0031408323131005HX0F,2024/03/19,10:00,0.957,Real,</t>
  </si>
  <si>
    <t>ES0031408323131005HX0F,2024/03/19,11:00,1.106,Real,</t>
  </si>
  <si>
    <t>ES0031408323131005HX0F,2024/03/19,12:00,0.152,Real,</t>
  </si>
  <si>
    <t>ES0031408323131005HX0F,2024/03/19,13:00,0.917,Real,</t>
  </si>
  <si>
    <t>ES0031408323131005HX0F,2024/03/19,14:00,1.385,Real,</t>
  </si>
  <si>
    <t>ES0031408323131005HX0F,2024/03/19,15:00,0.191,Real,</t>
  </si>
  <si>
    <t>ES0031408323131005HX0F,2024/03/19,16:00,1.095,Real,</t>
  </si>
  <si>
    <t>ES0031408323131005HX0F,2024/03/19,17:00,0.094,Real,</t>
  </si>
  <si>
    <t>ES0031408323131005HX0F,2024/03/19,18:00,0.022,Real,</t>
  </si>
  <si>
    <t>ES0031408323131005HX0F,2024/03/19,19:00,0.096,Real,</t>
  </si>
  <si>
    <t>ES0031408323131005HX0F,2024/03/19,20:00,0.636,Real,</t>
  </si>
  <si>
    <t>ES0031408323131005HX0F,2024/03/19,21:00,3.464,Real,</t>
  </si>
  <si>
    <t>ES0031408323131005HX0F,2024/03/19,22:00,1.273,Real,</t>
  </si>
  <si>
    <t>ES0031408323131005HX0F,2024/03/19,23:00,1.095,Real,</t>
  </si>
  <si>
    <t>ES0031408323131005HX0F,2024/03/19,24:00,0.865,Real,</t>
  </si>
  <si>
    <t>ES0031408323131005HX0F,2024/03/20,01:00,0.03,Real,</t>
  </si>
  <si>
    <t>ES0031408323131005HX0F,2024/03/20,02:00,0.101,Real,</t>
  </si>
  <si>
    <t>ES0031408323131005HX0F,2024/03/20,03:00,0.051,Real,</t>
  </si>
  <si>
    <t>ES0031408323131005HX0F,2024/03/20,04:00,0.042,Real,</t>
  </si>
  <si>
    <t>ES0031408323131005HX0F,2024/03/20,05:00,0.175,Real,</t>
  </si>
  <si>
    <t>ES0031408323131005HX0F,2024/03/20,06:00,0.32,Real,</t>
  </si>
  <si>
    <t>ES0031408323131005HX0F,2024/03/20,07:00,0.064,Real,</t>
  </si>
  <si>
    <t>ES0031408323131005HX0F,2024/03/20,08:00,1.07,Real,</t>
  </si>
  <si>
    <t>ES0031408323131005HX0F,2024/03/20,09:00,0.447,Real,</t>
  </si>
  <si>
    <t>ES0031408323131005HX0F,2024/03/20,10:00,0.938,Real,</t>
  </si>
  <si>
    <t>ES0031408323131005HX0F,2024/03/20,11:00,0.064,Real,</t>
  </si>
  <si>
    <t>ES0031408323131005HX0F,2024/03/20,12:00,0.091,Real,</t>
  </si>
  <si>
    <t>ES0031408323131005HX0F,2024/03/20,13:00,0.769,Real,</t>
  </si>
  <si>
    <t>ES0031408323131005HX0F,2024/03/20,14:00,0.794,Real,</t>
  </si>
  <si>
    <t>ES0031408323131005HX0F,2024/03/20,15:00,0.484,Real,</t>
  </si>
  <si>
    <t>ES0031408323131005HX0F,2024/03/20,16:00,0.541,Real,</t>
  </si>
  <si>
    <t>ES0031408323131005HX0F,2024/03/20,17:00,0.108,Real,</t>
  </si>
  <si>
    <t>ES0031408323131005HX0F,2024/03/20,18:00,0.048,Real,</t>
  </si>
  <si>
    <t>ES0031408323131005HX0F,2024/03/20,19:00,0.059,Real,</t>
  </si>
  <si>
    <t>ES0031408323131005HX0F,2024/03/20,20:00,1.451,Real,</t>
  </si>
  <si>
    <t>ES0031408323131005HX0F,2024/03/20,21:00,1.493,Real,</t>
  </si>
  <si>
    <t>ES0031408323131005HX0F,2024/03/20,22:00,1.059,Real,</t>
  </si>
  <si>
    <t>ES0031408323131005HX0F,2024/03/20,23:00,1.28,Real,</t>
  </si>
  <si>
    <t>ES0031408323131005HX0F,2024/03/20,24:00,0.141,Real,</t>
  </si>
  <si>
    <t>ES0031408323131005HX0F,2024/03/21,01:00,0.105,Real,</t>
  </si>
  <si>
    <t>ES0031408323131005HX0F,2024/03/21,02:00,0.04,Real,</t>
  </si>
  <si>
    <t>ES0031408323131005HX0F,2024/03/21,03:00,0.094,Real,</t>
  </si>
  <si>
    <t>ES0031408323131005HX0F,2024/03/21,04:00,0.189,Real,</t>
  </si>
  <si>
    <t>ES0031408323131005HX0F,2024/03/21,05:00,0.199,Real,</t>
  </si>
  <si>
    <t>ES0031408323131005HX0F,2024/03/21,06:00,0.056,Real,</t>
  </si>
  <si>
    <t>ES0031408323131005HX0F,2024/03/21,07:00,0.319,Real,</t>
  </si>
  <si>
    <t>ES0031408323131005HX0F,2024/03/21,08:00,1.136,Real,</t>
  </si>
  <si>
    <t>ES0031408323131005HX0F,2024/03/21,09:00,0.922,Real,</t>
  </si>
  <si>
    <t>ES0031408323131005HX0F,2024/03/21,10:00,0.188,Real,</t>
  </si>
  <si>
    <t>ES0031408323131005HX0F,2024/03/21,11:00,0.846,Real,</t>
  </si>
  <si>
    <t>ES0031408323131005HX0F,2024/03/21,12:00,0.088,Real,</t>
  </si>
  <si>
    <t>ES0031408323131005HX0F,2024/03/21,13:00,0.025,Real,</t>
  </si>
  <si>
    <t>ES0031408323131005HX0F,2024/03/21,14:00,0.091,Real,</t>
  </si>
  <si>
    <t>ES0031408323131005HX0F,2024/03/21,15:00,0.05,Real,</t>
  </si>
  <si>
    <t>ES0031408323131005HX0F,2024/03/21,16:00,0.495,Real,</t>
  </si>
  <si>
    <t>ES0031408323131005HX0F,2024/03/21,17:00,0.517,Real,</t>
  </si>
  <si>
    <t>ES0031408323131005HX0F,2024/03/21,18:00,0.024,Real,</t>
  </si>
  <si>
    <t>ES0031408323131005HX0F,2024/03/21,19:00,0.121,Real,</t>
  </si>
  <si>
    <t>ES0031408323131005HX0F,2024/03/21,20:00,1.245,Real,</t>
  </si>
  <si>
    <t>ES0031408323131005HX0F,2024/03/21,21:00,0.724,Real,</t>
  </si>
  <si>
    <t>ES0031408323131005HX0F,2024/03/21,22:00,1.055,Real,</t>
  </si>
  <si>
    <t>ES0031408323131005HX0F,2024/03/21,23:00,0.885,Real,</t>
  </si>
  <si>
    <t>ES0031408323131005HX0F,2024/03/21,24:00,0.11,Real,</t>
  </si>
  <si>
    <t>ES0031408323131005HX0F,2024/03/22,01:00,0.065,Real,</t>
  </si>
  <si>
    <t>ES0031408323131005HX0F,2024/03/22,02:00,0.045,Real,</t>
  </si>
  <si>
    <t>ES0031408323131005HX0F,2024/03/22,03:00,0.353,Real,</t>
  </si>
  <si>
    <t>ES0031408323131005HX0F,2024/03/22,04:00,0.045,Real,</t>
  </si>
  <si>
    <t>ES0031408323131005HX0F,2024/03/22,05:00,0.06,Real,</t>
  </si>
  <si>
    <t>ES0031408323131005HX0F,2024/03/22,06:00,0.079,Real,</t>
  </si>
  <si>
    <t>ES0031408323131005HX0F,2024/03/22,07:00,0.023,Real,</t>
  </si>
  <si>
    <t>ES0031408323131005HX0F,2024/03/22,08:00,0.969,Real,</t>
  </si>
  <si>
    <t>ES0031408323131005HX0F,2024/03/22,09:00,0.469,Real,</t>
  </si>
  <si>
    <t>ES0031408323131005HX0F,2024/03/22,10:00,0.03,Real,</t>
  </si>
  <si>
    <t>ES0031408323131005HX0F,2024/03/22,11:00,0.133,Real,</t>
  </si>
  <si>
    <t>ES0031408323131005HX0F,2024/03/22,12:00,0.45,Real,</t>
  </si>
  <si>
    <t>ES0031408323131005HX0F,2024/03/22,13:00,0.055,Real,</t>
  </si>
  <si>
    <t>ES0031408323131005HX0F,2024/03/22,14:00,0.028,Real,</t>
  </si>
  <si>
    <t>ES0031408323131005HX0F,2024/03/22,15:00,0.101,Real,</t>
  </si>
  <si>
    <t>ES0031408323131005HX0F,2024/03/22,16:00,0.051,Real,</t>
  </si>
  <si>
    <t>ES0031408323131005HX0F,2024/03/22,17:00,0.054,Real,</t>
  </si>
  <si>
    <t>ES0031408323131005HX0F,2024/03/22,18:00,0.337,Real,</t>
  </si>
  <si>
    <t>ES0031408323131005HX0F,2024/03/22,19:00,0.053,Real,</t>
  </si>
  <si>
    <t>ES0031408323131005HX0F,2024/03/22,20:00,0.099,Real,</t>
  </si>
  <si>
    <t>ES0031408323131005HX0F,2024/03/22,21:00,1.416,Real,</t>
  </si>
  <si>
    <t>ES0031408323131005HX0F,2024/03/22,22:00,0.581,Real,</t>
  </si>
  <si>
    <t>ES0031408323131005HX0F,2024/03/22,23:00,1.31,Real,</t>
  </si>
  <si>
    <t>ES0031408323131005HX0F,2024/03/22,24:00,0.624,Real,</t>
  </si>
  <si>
    <t>ES0031408323131005HX0F,2024/03/23,01:00,0.074,Real,</t>
  </si>
  <si>
    <t>ES0031408323131005HX0F,2024/03/23,02:00,0.022,Real,</t>
  </si>
  <si>
    <t>ES0031408323131005HX0F,2024/03/23,03:00,0.091,Real,</t>
  </si>
  <si>
    <t>ES0031408323131005HX0F,2024/03/23,04:00,0.317,Real,</t>
  </si>
  <si>
    <t>ES0031408323131005HX0F,2024/03/23,05:00,0.044,Real,</t>
  </si>
  <si>
    <t>ES0031408323131005HX0F,2024/03/23,06:00,0.095,Real,</t>
  </si>
  <si>
    <t>ES0031408323131005HX0F,2024/03/23,07:00,0.044,Real,</t>
  </si>
  <si>
    <t>ES0031408323131005HX0F,2024/03/23,08:00,0.339,Real,</t>
  </si>
  <si>
    <t>ES0031408323131005HX0F,2024/03/23,09:00,1.184,Real,</t>
  </si>
  <si>
    <t>ES0031408323131005HX0F,2024/03/23,10:00,0.575,Real,</t>
  </si>
  <si>
    <t>ES0031408323131005HX0F,2024/03/23,11:00,0.894,Real,</t>
  </si>
  <si>
    <t>ES0031408323131005HX0F,2024/03/23,12:00,0.077,Real,</t>
  </si>
  <si>
    <t>ES0031408323131005HX0F,2024/03/23,13:00,0.105,Real,</t>
  </si>
  <si>
    <t>ES0031408323131005HX0F,2024/03/23,14:00,1.477,Real,</t>
  </si>
  <si>
    <t>ES0031408323131005HX0F,2024/03/23,15:00,0.814,Real,</t>
  </si>
  <si>
    <t>ES0031408323131005HX0F,2024/03/23,16:00,0.298,Real,</t>
  </si>
  <si>
    <t>ES0031408323131005HX0F,2024/03/23,17:00,0.218,Real,</t>
  </si>
  <si>
    <t>ES0031408323131005HX0F,2024/03/23,18:00,0.668,Real,</t>
  </si>
  <si>
    <t>ES0031408323131005HX0F,2024/03/23,19:00,0.088,Real,</t>
  </si>
  <si>
    <t>ES0031408323131005HX0F,2024/03/23,20:00,0.097,Real,</t>
  </si>
  <si>
    <t>ES0031408323131005HX0F,2024/03/23,21:00,3.354,Real,</t>
  </si>
  <si>
    <t>ES0031408323131005HX0F,2024/03/23,22:00,1.88,Real,</t>
  </si>
  <si>
    <t>ES0031408323131005HX0F,2024/03/23,23:00,1.114,Real,</t>
  </si>
  <si>
    <t>ES0031408323131005HX0F,2024/03/23,24:00,0.062,Real,</t>
  </si>
  <si>
    <t>ES0031408323131005HX0F,2024/03/24,01:00,0.11,Real,</t>
  </si>
  <si>
    <t>ES0031408323131005HX0F,2024/03/24,02:00,0.066,Real,</t>
  </si>
  <si>
    <t>ES0031408323131005HX0F,2024/03/24,03:00,0.07,Real,</t>
  </si>
  <si>
    <t>ES0031408323131005HX0F,2024/03/24,04:00,0.308,Real,</t>
  </si>
  <si>
    <t>ES0031408323131005HX0F,2024/03/24,05:00,0.057,Real,</t>
  </si>
  <si>
    <t>ES0031408323131005HX0F,2024/03/24,06:00,0.057,Real,</t>
  </si>
  <si>
    <t>ES0031408323131005HX0F,2024/03/24,07:00,0.044,Real,</t>
  </si>
  <si>
    <t>ES0031408323131005HX0F,2024/03/24,08:00,0.068,Real,</t>
  </si>
  <si>
    <t>ES0031408323131005HX0F,2024/03/24,09:00,1.521,Real,</t>
  </si>
  <si>
    <t>ES0031408323131005HX0F,2024/03/24,10:00,2.241,Real,</t>
  </si>
  <si>
    <t>ES0031408323131005HX0F,2024/03/24,11:00,0.677,Real,</t>
  </si>
  <si>
    <t>ES0031408323131005HX0F,2024/03/24,12:00,0.269,Real,</t>
  </si>
  <si>
    <t>ES0031408323131005HX0F,2024/03/24,13:00,0.192,Real,</t>
  </si>
  <si>
    <t>ES0031408323131005HX0F,2024/03/24,14:00,0.102,Real,</t>
  </si>
  <si>
    <t>ES0031408323131005HX0F,2024/03/24,15:00,0.386,Real,</t>
  </si>
  <si>
    <t>ES0031408323131005HX0F,2024/03/24,16:00,0.165,Real,</t>
  </si>
  <si>
    <t>ES0031408323131005HX0F,2024/03/24,17:00,0.928,Real,</t>
  </si>
  <si>
    <t>ES0031408323131005HX0F,2024/03/24,18:00,0.399,Real,</t>
  </si>
  <si>
    <t>ES0031408323131005HX0F,2024/03/24,19:00,0.403,Real,</t>
  </si>
  <si>
    <t>ES0031408323131005HX0F,2024/03/24,20:00,0.167,Real,</t>
  </si>
  <si>
    <t>ES0031408323131005HX0F,2024/03/24,21:00,0.427,Real,</t>
  </si>
  <si>
    <t>ES0031408323131005HX0F,2024/03/24,22:00,1.494,Real,</t>
  </si>
  <si>
    <t>ES0031408323131005HX0F,2024/03/24,23:00,0.986,Real,</t>
  </si>
  <si>
    <t>ES0031408323131005HX0F,2024/03/24,24:00,0.114,Real,</t>
  </si>
  <si>
    <t>ES0031408323131005HX0F,2024/03/25,01:00,0.072,Real,</t>
  </si>
  <si>
    <t>ES0031408323131005HX0F,2024/03/25,02:00,0.074,Real,</t>
  </si>
  <si>
    <t>ES0031408323131005HX0F,2024/03/25,03:00,0.135,Real,</t>
  </si>
  <si>
    <t>ES0031408323131005HX0F,2024/03/25,04:00,0.234,Real,</t>
  </si>
  <si>
    <t>ES0031408323131005HX0F,2024/03/25,05:00,0.089,Real,</t>
  </si>
  <si>
    <t>ES0031408323131005HX0F,2024/03/25,06:00,0.056,Real,</t>
  </si>
  <si>
    <t>ES0031408323131005HX0F,2024/03/25,07:00,0.078,Real,</t>
  </si>
  <si>
    <t>ES0031408323131005HX0F,2024/03/25,08:00,0.062,Real,</t>
  </si>
  <si>
    <t>ES0031408323131005HX0F,2024/03/25,09:00,0.334,Real,</t>
  </si>
  <si>
    <t>ES0031408323131005HX0F,2024/03/25,10:00,0.064,Real,</t>
  </si>
  <si>
    <t>ES0031408323131005HX0F,2024/03/25,11:00,0.134,Real,</t>
  </si>
  <si>
    <t>ES0031408323131005HX0F,2024/03/25,12:00,1.83,Real,</t>
  </si>
  <si>
    <t>ES0031408323131005HX0F,2024/03/25,13:00,1.192,Real,</t>
  </si>
  <si>
    <t>ES0031408323131005HX0F,2024/03/25,14:00,0.545,Real,</t>
  </si>
  <si>
    <t>ES0031408323131005HX0F,2024/03/25,15:00,0.194,Real,</t>
  </si>
  <si>
    <t>ES0031408323131005HX0F,2024/03/25,16:00,0.09,Real,</t>
  </si>
  <si>
    <t>ES0031408323131005HX0F,2024/03/25,17:00,0.073,Real,</t>
  </si>
  <si>
    <t>ES0031408323131005HX0F,2024/03/25,18:00,0.062,Real,</t>
  </si>
  <si>
    <t>ES0031408323131005HX0F,2024/03/25,19:00,0.323,Real,</t>
  </si>
  <si>
    <t>ES0031408323131005HX0F,2024/03/25,20:00,1.54,Real,</t>
  </si>
  <si>
    <t>ES0031408323131005HX0F,2024/03/25,21:00,2.841,Real,</t>
  </si>
  <si>
    <t>ES0031408323131005HX0F,2024/03/25,22:00,1.464,Real,</t>
  </si>
  <si>
    <t>ES0031408323131005HX0F,2024/03/25,23:00,2.025,Real,</t>
  </si>
  <si>
    <t>ES0031408323131005HX0F,2024/03/25,24:00,2.205,Real,</t>
  </si>
  <si>
    <t>ES0031408323131005HX0F,2024/03/26,01:00,0.936,Real,</t>
  </si>
  <si>
    <t>ES0031408323131005HX0F,2024/03/26,02:00,0.726,Real,</t>
  </si>
  <si>
    <t>ES0031408323131005HX0F,2024/03/26,03:00,0.08,Real,</t>
  </si>
  <si>
    <t>ES0031408323131005HX0F,2024/03/26,04:00,0.075,Real,</t>
  </si>
  <si>
    <t>ES0031408323131005HX0F,2024/03/26,05:00,0.344,Real,</t>
  </si>
  <si>
    <t>ES0031408323131005HX0F,2024/03/26,06:00,0.07,Real,</t>
  </si>
  <si>
    <t>ES0031408323131005HX0F,2024/03/26,07:00,0.058,Real,</t>
  </si>
  <si>
    <t>ES0031408323131005HX0F,2024/03/26,08:00,0.051,Real,</t>
  </si>
  <si>
    <t>ES0031408323131005HX0F,2024/03/26,09:00,0.073,Real,</t>
  </si>
  <si>
    <t>ES0031408323131005HX0F,2024/03/26,10:00,0.613,Real,</t>
  </si>
  <si>
    <t>ES0031408323131005HX0F,2024/03/26,11:00,0.526,Real,</t>
  </si>
  <si>
    <t>ES0031408323131005HX0F,2024/03/26,12:00,0.077,Real,</t>
  </si>
  <si>
    <t>ES0031408323131005HX0F,2024/03/26,13:00,0.078,Real,</t>
  </si>
  <si>
    <t>ES0031408323131005HX0F,2024/03/26,14:00,0.409,Real,</t>
  </si>
  <si>
    <t>ES0031408323131005HX0F,2024/03/26,15:00,0.515,Real,</t>
  </si>
  <si>
    <t>ES0031408323131005HX0F,2024/03/26,16:00,1.082,Real,</t>
  </si>
  <si>
    <t>ES0031408323131005HX0F,2024/03/26,17:00,0.924,Real,</t>
  </si>
  <si>
    <t>ES0031408323131005HX0F,2024/03/26,18:00,0.844,Real,</t>
  </si>
  <si>
    <t>ES0031408323131005HX0F,2024/03/26,19:00,0.994,Real,</t>
  </si>
  <si>
    <t>ES0031408323131005HX0F,2024/03/26,20:00,0.235,Real,</t>
  </si>
  <si>
    <t>ES0031408323131005HX0F,2024/03/26,21:00,0.231,Real,</t>
  </si>
  <si>
    <t>ES0031408323131005HX0F,2024/03/26,22:00,1.086,Real,</t>
  </si>
  <si>
    <t>ES0031408323131005HX0F,2024/03/26,23:00,1.206,Real,</t>
  </si>
  <si>
    <t>ES0031408323131005HX0F,2024/03/26,24:00,1.604,Real,</t>
  </si>
  <si>
    <t>ES0031408323131005HX0F,2024/03/27,01:00,1.444,Real,</t>
  </si>
  <si>
    <t>ES0031408323131005HX0F,2024/03/27,02:00,0.068,Real,</t>
  </si>
  <si>
    <t>ES0031408323131005HX0F,2024/03/27,03:00,0.064,Real,</t>
  </si>
  <si>
    <t>ES0031408323131005HX0F,2024/03/27,04:00,0.057,Real,</t>
  </si>
  <si>
    <t>ES0031408323131005HX0F,2024/03/27,05:00,0.064,Real,</t>
  </si>
  <si>
    <t>ES0031408323131005HX0F,2024/03/27,06:00,0.33,Real,</t>
  </si>
  <si>
    <t>ES0031408323131005HX0F,2024/03/27,07:00,0.037,Real,</t>
  </si>
  <si>
    <t>ES0031408323131005HX0F,2024/03/27,08:00,0.054,Real,</t>
  </si>
  <si>
    <t>ES0031408323131005HX0F,2024/03/27,09:00,0.501,Real,</t>
  </si>
  <si>
    <t>ES0031408323131005HX0F,2024/03/27,10:00,0.382,Real,</t>
  </si>
  <si>
    <t>ES0031408323131005HX0F,2024/03/27,11:00,0.055,Real,</t>
  </si>
  <si>
    <t>ES0031408323131005HX0F,2024/03/27,12:00,0.059,Real,</t>
  </si>
  <si>
    <t>ES0031408323131005HX0F,2024/03/27,13:00,0.055,Real,</t>
  </si>
  <si>
    <t>ES0031408323131005HX0F,2024/03/27,14:00,0.386,Real,</t>
  </si>
  <si>
    <t>ES0031408323131005HX0F,2024/03/27,15:00,0.103,Real,</t>
  </si>
  <si>
    <t>ES0031408323131005HX0F,2024/03/27,16:00,0.05,Real,</t>
  </si>
  <si>
    <t>ES0031408323131005HX0F,2024/03/27,17:00,0.066,Real,</t>
  </si>
  <si>
    <t>ES0031408323131005HX0F,2024/03/27,18:00,0.043,Real,</t>
  </si>
  <si>
    <t>ES0031408323131005HX0F,2024/03/27,19:00,0.593,Real,</t>
  </si>
  <si>
    <t>ES0031408323131005HX0F,2024/03/27,20:00,1.984,Real,</t>
  </si>
  <si>
    <t>ES0031408323131005HX0F,2024/03/27,21:00,1.163,Real,</t>
  </si>
  <si>
    <t>ES0031408323131005HX0F,2024/03/27,22:00,3.714,Real,</t>
  </si>
  <si>
    <t>ES0031408323131005HX0F,2024/03/27,23:00,1.254,Real,</t>
  </si>
  <si>
    <t>ES0031408323131005HX0F,2024/03/27,24:00,1.916,Real,</t>
  </si>
  <si>
    <t>ES0031408323131005HX0F,2024/03/28,01:00,1.554,Real,</t>
  </si>
  <si>
    <t>ES0031408323131005HX0F,2024/03/28,02:00,0.086,Real,</t>
  </si>
  <si>
    <t>ES0031408323131005HX0F,2024/03/28,03:00,0.058,Real,</t>
  </si>
  <si>
    <t>ES0031408323131005HX0F,2024/03/28,04:00,0.362,Real,</t>
  </si>
  <si>
    <t>ES0031408323131005HX0F,2024/03/28,05:00,0.063,Real,</t>
  </si>
  <si>
    <t>ES0031408323131005HX0F,2024/03/28,06:00,0.073,Real,</t>
  </si>
  <si>
    <t>ES0031408323131005HX0F,2024/03/28,07:00,0.061,Real,</t>
  </si>
  <si>
    <t>ES0031408323131005HX0F,2024/03/28,08:00,0.069,Real,</t>
  </si>
  <si>
    <t>ES0031408323131005HX0F,2024/03/28,09:00,1.818,Real,</t>
  </si>
  <si>
    <t>ES0031408323131005HX0F,2024/03/28,10:00,2.758,Real,</t>
  </si>
  <si>
    <t>ES0031408323131005HX0F,2024/03/28,11:00,0.459,Real,</t>
  </si>
  <si>
    <t>ES0031408323131005HX0F,2024/03/28,12:00,0.058,Real,</t>
  </si>
  <si>
    <t>ES0031408323131005HX0F,2024/03/28,13:00,0.06,Real,</t>
  </si>
  <si>
    <t>ES0031408323131005HX0F,2024/03/28,14:00,0.075,Real,</t>
  </si>
  <si>
    <t>ES0031408323131005HX0F,2024/03/28,15:00,0.969,Real,</t>
  </si>
  <si>
    <t>ES0031408323131005HX0F,2024/03/28,16:00,0.86,Real,</t>
  </si>
  <si>
    <t>ES0031408323131005HX0F,2024/03/28,17:00,1.816,Real,</t>
  </si>
  <si>
    <t>ES0031408323131005HX0F,2024/03/28,18:00,1.586,Real,</t>
  </si>
  <si>
    <t>ES0031408323131005HX0F,2024/03/28,19:00,1.256,Real,</t>
  </si>
  <si>
    <t>ES0031408323131005HX0F,2024/03/28,20:00,0.136,Real,</t>
  </si>
  <si>
    <t>ES0031408323131005HX0F,2024/03/28,21:00,0.102,Real,</t>
  </si>
  <si>
    <t>ES0031408323131005HX0F,2024/03/28,22:00,1.558,Real,</t>
  </si>
  <si>
    <t>ES0031408323131005HX0F,2024/03/28,23:00,0.968,Real,</t>
  </si>
  <si>
    <t>ES0031408323131005HX0F,2024/03/28,24:00,0.066,Real,</t>
  </si>
  <si>
    <t>ES0031408323131005HX0F,2024/03/29,01:00,0.69,Real,</t>
  </si>
  <si>
    <t>ES0031408323131005HX0F,2024/03/29,02:00,0.895,Real,</t>
  </si>
  <si>
    <t>ES0031408323131005HX0F,2024/03/29,03:00,0.056,Real,</t>
  </si>
  <si>
    <t>ES0031408323131005HX0F,2024/03/29,04:00,0.086,Real,</t>
  </si>
  <si>
    <t>ES0031408323131005HX0F,2024/03/29,05:00,0.058,Real,</t>
  </si>
  <si>
    <t>ES0031408323131005HX0F,2024/03/29,06:00,0.356,Real,</t>
  </si>
  <si>
    <t>ES0031408323131005HX0F,2024/03/29,07:00,0.057,Real,</t>
  </si>
  <si>
    <t>ES0031408323131005HX0F,2024/03/29,08:00,0.039,Real,</t>
  </si>
  <si>
    <t>ES0031408323131005HX0F,2024/03/29,09:00,0.06,Real,</t>
  </si>
  <si>
    <t>ES0031408323131005HX0F,2024/03/29,10:00,0.076,Real,</t>
  </si>
  <si>
    <t>ES0031408323131005HX0F,2024/03/29,11:00,1.137,Real,</t>
  </si>
  <si>
    <t>ES0031408323131005HX0F,2024/03/29,12:00,0.702,Real,</t>
  </si>
  <si>
    <t>ES0031408323131005HX0F,2024/03/29,13:00,0.129,Real,</t>
  </si>
  <si>
    <t>ES0031408323131005HX0F,2024/03/29,14:00,1.466,Real,</t>
  </si>
  <si>
    <t>ES0031408323131005HX0F,2024/03/29,15:00,1.55,Real,</t>
  </si>
  <si>
    <t>ES0031408323131005HX0F,2024/03/29,16:00,1.296,Real,</t>
  </si>
  <si>
    <t>ES0031408323131005HX0F,2024/03/29,17:00,1.666,Real,</t>
  </si>
  <si>
    <t>ES0031408323131005HX0F,2024/03/29,18:00,0.668,Real,</t>
  </si>
  <si>
    <t>ES0031408323131005HX0F,2024/03/29,19:00,0.321,Real,</t>
  </si>
  <si>
    <t>ES0031408323131005HX0F,2024/03/29,20:00,0.08,Real,</t>
  </si>
  <si>
    <t>ES0031408323131005HX0F,2024/03/29,21:00,0.037,Real,</t>
  </si>
  <si>
    <t>ES0031408323131005HX0F,2024/03/29,22:00,0.964,Real,</t>
  </si>
  <si>
    <t>ES0031408323131005HX0F,2024/03/29,23:00,2.359,Real,</t>
  </si>
  <si>
    <t>ES0031408323131005HX0F,2024/03/29,24:00,0.724,Real,</t>
  </si>
  <si>
    <t>ES0031408323131005HX0F,2024/03/30,01:00,0.803,Real,</t>
  </si>
  <si>
    <t>ES0031408323131005HX0F,2024/03/30,02:00,0.081,Real,</t>
  </si>
  <si>
    <t>ES0031408323131005HX0F,2024/03/30,03:00,0.054,Real,</t>
  </si>
  <si>
    <t>ES0031408323131005HX0F,2024/03/30,04:00,0.071,Real,</t>
  </si>
  <si>
    <t>ES0031408323131005HX0F,2024/03/30,05:00,0.334,Real,</t>
  </si>
  <si>
    <t>ES0031408323131005HX0F,2024/03/30,06:00,0.072,Real,</t>
  </si>
  <si>
    <t>ES0031408323131005HX0F,2024/03/30,07:00,0.061,Real,</t>
  </si>
  <si>
    <t>ES0031408323131005HX0F,2024/03/30,08:00,0.051,Real,</t>
  </si>
  <si>
    <t>ES0031408323131005HX0F,2024/03/30,09:00,0.06,Real,</t>
  </si>
  <si>
    <t>ES0031408323131005HX0F,2024/03/30,10:00,1.468,Real,</t>
  </si>
  <si>
    <t>ES0031408323131005HX0F,2024/03/30,11:00,0.804,Real,</t>
  </si>
  <si>
    <t>ES0031408323131005HX0F,2024/03/30,12:00,0.173,Real,</t>
  </si>
  <si>
    <t>ES0031408323131005HX0F,2024/03/30,13:00,0.332,Real,</t>
  </si>
  <si>
    <t>ES0031408323131005HX0F,2024/03/30,14:00,0.056,Real,</t>
  </si>
  <si>
    <t>ES0031408323131005HX0F,2024/03/30,15:00,0.063,Real,</t>
  </si>
  <si>
    <t>ES0031408323131005HX0F,2024/03/30,16:00,0.058,Real,</t>
  </si>
  <si>
    <t>ES0031408323131005HX0F,2024/03/30,17:00,0.583,Real,</t>
  </si>
  <si>
    <t>ES0031408323131005HX0F,2024/03/30,18:00,1.428,Real,</t>
  </si>
  <si>
    <t>ES0031408323131005HX0F,2024/03/30,19:00,0.095,Real,</t>
  </si>
  <si>
    <t>ES0031408323131005HX0F,2024/03/30,20:00,0.065,Real,</t>
  </si>
  <si>
    <t>ES0031408323131005HX0F,2024/03/30,21:00,2.328,Real,</t>
  </si>
  <si>
    <t>ES0031408323131005HX0F,2024/03/30,22:00,1.088,Real,</t>
  </si>
  <si>
    <t>ES0031408323131005HX0F,2024/03/30,23:00,1.379,Real,</t>
  </si>
  <si>
    <t>ES0031408323131005HX0F,2024/03/30,24:00,0.062,Real,</t>
  </si>
  <si>
    <t>ES0031408323131005HX0F,2024/03/31,01:00,0.092,Real,</t>
  </si>
  <si>
    <t>ES0031408323131005HX0F,2024/03/31,02:00,0.352,Real,</t>
  </si>
  <si>
    <t>ES0031408323131005HX0F,2024/03/31,04:00,0.07,Real,</t>
  </si>
  <si>
    <t>ES0031408323131005HX0F,2024/03/31,05:00,0.058,Real,</t>
  </si>
  <si>
    <t>ES0031408323131005HX0F,2024/03/31,06:00,0.04,Real,</t>
  </si>
  <si>
    <t>ES0031408323131005HX0F,2024/03/31,07:00,0.06,Real,</t>
  </si>
  <si>
    <t>ES0031408323131005HX0F,2024/03/31,08:00,0.046,Real,</t>
  </si>
  <si>
    <t>ES0031408323131005HX0F,2024/03/31,09:00,1.932,Real,</t>
  </si>
  <si>
    <t>ES0031408323131005HX0F,2024/03/31,10:00,2.534,Real,</t>
  </si>
  <si>
    <t>ES0031408323131005HX0F,2024/03/31,11:00,1.223,Real,</t>
  </si>
  <si>
    <t>ES0031408323131005HX0F,2024/03/31,12:00,1.24,Real,</t>
  </si>
  <si>
    <t>ES0031408323131005HX0F,2024/03/31,13:00,0.775,Real,</t>
  </si>
  <si>
    <t>ES0031408323131005HX0F,2024/03/31,14:00,0.372,Real,</t>
  </si>
  <si>
    <t>ES0031408323131005HX0F,2024/03/31,15:00,0.201,Real,</t>
  </si>
  <si>
    <t>ES0031408323131005HX0F,2024/03/31,16:00,0.467,Real,</t>
  </si>
  <si>
    <t>ES0031408323131005HX0F,2024/03/31,17:00,0.159,Real,</t>
  </si>
  <si>
    <t>ES0031408323131005HX0F,2024/03/31,18:00,0.12,Real,</t>
  </si>
  <si>
    <t>ES0031408323131005HX0F,2024/03/31,19:00,0.068,Real,</t>
  </si>
  <si>
    <t>ES0031408323131005HX0F,2024/03/31,20:00,0.427,Real,</t>
  </si>
  <si>
    <t>ES0031408323131005HX0F,2024/03/31,21:00,0.455,Real,</t>
  </si>
  <si>
    <t>ES0031408323131005HX0F,2024/03/31,22:00,1.358,Real,</t>
  </si>
  <si>
    <t>ES0031408323131005HX0F,2024/03/31,23:00,0.61,Real,</t>
  </si>
  <si>
    <t>ES0031408323131005HX0F,2024/03/31,24:00,1.225,Real,</t>
  </si>
  <si>
    <t>ES0031408323131005HX0F,2024/04/01,01:00,1.692,Real,</t>
  </si>
  <si>
    <t>ES0031408323131005HX0F,2024/04/01,02:00,0.095,Real,</t>
  </si>
  <si>
    <t>ES0031408323131005HX0F,2024/04/01,03:00,0.067,Real,</t>
  </si>
  <si>
    <t>ES0031408323131005HX0F,2024/04/01,04:00,0.358,Real,</t>
  </si>
  <si>
    <t>ES0031408323131005HX0F,2024/04/01,05:00,0.065,Real,</t>
  </si>
  <si>
    <t>ES0031408323131005HX0F,2024/04/01,06:00,0.027,Real,</t>
  </si>
  <si>
    <t>ES0031408323131005HX0F,2024/04/01,07:00,0.07,Real,</t>
  </si>
  <si>
    <t>ES0031408323131005HX0F,2024/04/01,08:00,0.058,Real,</t>
  </si>
  <si>
    <t>ES0031408323131005HX0F,2024/04/01,09:00,0.07,Real,</t>
  </si>
  <si>
    <t>ES0031408323131005HX0F,2024/04/01,10:00,0.058,Real,</t>
  </si>
  <si>
    <t>ES0031408323131005HX0F,2024/04/01,11:00,1.405,Real,</t>
  </si>
  <si>
    <t>ES0031408323131005HX0F,2024/04/01,12:00,0.561,Real,</t>
  </si>
  <si>
    <t>ES0031408323131005HX0F,2024/04/01,13:00,0.55,Real,</t>
  </si>
  <si>
    <t>ES0031408323131005HX0F,2024/04/01,14:00,0.074,Real,</t>
  </si>
  <si>
    <t>ES0031408323131005HX0F,2024/04/01,15:00,0.062,Real,</t>
  </si>
  <si>
    <t>ES0031408323131005HX0F,2024/04/01,16:00,0.07,Real,</t>
  </si>
  <si>
    <t>ES0031408323131005HX0F,2024/04/01,17:00,0.062,Real,</t>
  </si>
  <si>
    <t>ES0031408323131005HX0F,2024/04/01,18:00,0.268,Real,</t>
  </si>
  <si>
    <t>ES0031408323131005HX0F,2024/04/01,19:00,0.129,Real,</t>
  </si>
  <si>
    <t>ES0031408323131005HX0F,2024/04/01,20:00,0.258,Real,</t>
  </si>
  <si>
    <t>ES0031408323131005HX0F,2024/04/01,21:00,2.156,Real,</t>
  </si>
  <si>
    <t>ES0031408323131005HX0F,2024/04/01,22:00,2.906,Real,</t>
  </si>
  <si>
    <t>ES0031408323131005HX0F,2024/04/01,23:00,2.2,Real,</t>
  </si>
  <si>
    <t>ES0031408323131005HX0F,2024/04/01,24:00,1.693,Real,</t>
  </si>
  <si>
    <t>ES0031408323131005HX0F,2024/04/02,01:00,0.082,Real,</t>
  </si>
  <si>
    <t>ES0031408323131005HX0F,2024/04/02,02:00,0.062,Real,</t>
  </si>
  <si>
    <t>ES0031408323131005HX0F,2024/04/02,03:00,0.144,Real,</t>
  </si>
  <si>
    <t>ES0031408323131005HX0F,2024/04/02,04:00,0.093,Real,</t>
  </si>
  <si>
    <t>ES0031408323131005HX0F,2024/04/02,05:00,0.307,Real,</t>
  </si>
  <si>
    <t>ES0031408323131005HX0F,2024/04/02,06:00,0.076,Real,</t>
  </si>
  <si>
    <t>ES0031408323131005HX0F,2024/04/02,07:00,0.072,Real,</t>
  </si>
  <si>
    <t>ES0031408323131005HX0F,2024/04/02,08:00,0.726,Real,</t>
  </si>
  <si>
    <t>ES0031408323131005HX0F,2024/04/02,09:00,1.097,Real,</t>
  </si>
  <si>
    <t>ES0031408323131005HX0F,2024/04/02,10:00,0.069,Real,</t>
  </si>
  <si>
    <t>ES0031408323131005HX0F,2024/04/02,11:00,0.049,Real,</t>
  </si>
  <si>
    <t>ES0031408323131005HX0F,2024/04/02,12:00,0.057,Real,</t>
  </si>
  <si>
    <t>ES0031408323131005HX0F,2024/04/02,13:00,1.045,Real,</t>
  </si>
  <si>
    <t>ES0031408323131005HX0F,2024/04/02,14:00,0.129,Real,</t>
  </si>
  <si>
    <t>ES0031408323131005HX0F,2024/04/02,15:00,1.827,Real,</t>
  </si>
  <si>
    <t>ES0031408323131005HX0F,2024/04/02,16:00,2.261,Real,</t>
  </si>
  <si>
    <t>ES0031408323131005HX0F,2024/04/02,17:00,1.616,Real,</t>
  </si>
  <si>
    <t>ES0031408323131005HX0F,2024/04/02,18:00,1.031,Real,</t>
  </si>
  <si>
    <t>ES0031408323131005HX0F,2024/04/02,19:00,0.086,Real,</t>
  </si>
  <si>
    <t>ES0031408323131005HX0F,2024/04/02,20:00,0.105,Real,</t>
  </si>
  <si>
    <t>ES0031408323131005HX0F,2024/04/02,21:00,2.209,Real,</t>
  </si>
  <si>
    <t>ES0031408323131005HX0F,2024/04/02,22:00,0.804,Real,</t>
  </si>
  <si>
    <t>ES0031408323131005HX0F,2024/04/02,23:00,1.319,Real,</t>
  </si>
  <si>
    <t>ES0031408323131005HX0F,2024/04/02,24:00,1.58,Real,</t>
  </si>
  <si>
    <t>ES0031408323131005HX0F,2024/04/03,01:00,0.066,Real,</t>
  </si>
  <si>
    <t>ES0031408323131005HX0F,2024/04/03,02:00,0.1,Real,</t>
  </si>
  <si>
    <t>ES0031408323131005HX0F,2024/04/03,03:00,0.078,Real,</t>
  </si>
  <si>
    <t>ES0031408323131005HX0F,2024/04/03,04:00,0.092,Real,</t>
  </si>
  <si>
    <t>ES0031408323131005HX0F,2024/04/03,05:00,0.116,Real,</t>
  </si>
  <si>
    <t>ES0031408323131005HX0F,2024/04/03,06:00,0.35,Real,</t>
  </si>
  <si>
    <t>ES0031408323131005HX0F,2024/04/03,07:00,0.486,Real,</t>
  </si>
  <si>
    <t>ES0031408323131005HX0F,2024/04/03,08:00,1.202,Real,</t>
  </si>
  <si>
    <t>ES0031408323131005HX0F,2024/04/03,09:00,0.056,Real,</t>
  </si>
  <si>
    <t>ES0031408323131005HX0F,2024/04/03,10:00,0.07,Real,</t>
  </si>
  <si>
    <t>ES0031408323131005HX0F,2024/04/03,11:00,0.054,Real,</t>
  </si>
  <si>
    <t>ES0031408323131005HX0F,2024/04/03,12:00,0.768,Real,</t>
  </si>
  <si>
    <t>ES0031408323131005HX0F,2024/04/03,13:00,0.695,Real,</t>
  </si>
  <si>
    <t>ES0031408323131005HX0F,2024/04/03,14:00,1.645,Real,</t>
  </si>
  <si>
    <t>ES0031408323131005HX0F,2024/04/03,15:00,2.905,Real,</t>
  </si>
  <si>
    <t>ES0031408323131005HX0F,2024/04/03,16:00,0.242,Real,</t>
  </si>
  <si>
    <t>ES0031408323131005HX0F,2024/04/03,17:00,0.134,Real,</t>
  </si>
  <si>
    <t>ES0031408323131005HX0F,2024/04/03,18:00,0.345,Real,</t>
  </si>
  <si>
    <t>ES0031408323131005HX0F,2024/04/03,19:00,0.052,Real,</t>
  </si>
  <si>
    <t>ES0031408323131005HX0F,2024/04/03,20:00,0.095,Real,</t>
  </si>
  <si>
    <t>ES0031408323131005HX0F,2024/04/03,21:00,1.081,Real,</t>
  </si>
  <si>
    <t>ES0031408323131005HX0F,2024/04/03,22:00,2.28,Real,</t>
  </si>
  <si>
    <t>ES0031408323131005HX0F,2024/04/03,23:00,1.453,Real,</t>
  </si>
  <si>
    <t>ES0031408323131005HX0F,2024/04/03,24:00,1.16,Real,</t>
  </si>
  <si>
    <t>ES0031408323131005HX0F,2024/04/04,01:00,0.319,Real,</t>
  </si>
  <si>
    <t>ES0031408323131005HX0F,2024/04/04,02:00,0.085,Real,</t>
  </si>
  <si>
    <t>ES0031408323131005HX0F,2024/04/04,03:00,0.299,Real,</t>
  </si>
  <si>
    <t>ES0031408323131005HX0F,2024/04/04,04:00,0.068,Real,</t>
  </si>
  <si>
    <t>ES0031408323131005HX0F,2024/04/04,05:00,0.049,Real,</t>
  </si>
  <si>
    <t>ES0031408323131005HX0F,2024/04/04,06:00,0.068,Real,</t>
  </si>
  <si>
    <t>ES0031408323131005HX0F,2024/04/04,07:00,0.648,Real,</t>
  </si>
  <si>
    <t>ES0031408323131005HX0F,2024/04/04,08:00,0.944,Real,</t>
  </si>
  <si>
    <t>ES0031408323131005HX0F,2024/04/04,09:00,0.071,Real,</t>
  </si>
  <si>
    <t>ES0031408323131005HX0F,2024/04/04,10:00,0.039,Real,</t>
  </si>
  <si>
    <t>ES0031408323131005HX0F,2024/04/04,11:00,0.067,Real,</t>
  </si>
  <si>
    <t>ES0031408323131005HX0F,2024/04/04,12:00,0.509,Real,</t>
  </si>
  <si>
    <t>ES0031408323131005HX0F,2024/04/04,13:00,1.065,Real,</t>
  </si>
  <si>
    <t>ES0031408323131005HX0F,2024/04/04,14:00,0.879,Real,</t>
  </si>
  <si>
    <t>ES0031408323131005HX0F,2024/04/04,15:00,0.799,Real,</t>
  </si>
  <si>
    <t>ES0031408323131005HX0F,2024/04/04,16:00,0.726,Real,</t>
  </si>
  <si>
    <t>ES0031408323131005HX0F,2024/04/04,17:00,0.437,Real,</t>
  </si>
  <si>
    <t>ES0031408323131005HX0F,2024/04/04,18:00,0.054,Real,</t>
  </si>
  <si>
    <t>ES0031408323131005HX0F,2024/04/04,19:00,0.071,Real,</t>
  </si>
  <si>
    <t>ES0031408323131005HX0F,2024/04/04,20:00,0.057,Real,</t>
  </si>
  <si>
    <t>ES0031408323131005HX0F,2024/04/04,21:00,1.077,Real,</t>
  </si>
  <si>
    <t>ES0031408323131005HX0F,2024/04/04,22:00,1.52,Real,</t>
  </si>
  <si>
    <t>ES0031408323131005HX0F,2024/04/04,23:00,1.873,Real,</t>
  </si>
  <si>
    <t>ES0031408323131005HX0F,2024/04/04,24:00,0.792,Real,</t>
  </si>
  <si>
    <t>ES0031408323131005HX0F,2024/04/05,01:00,0.317,Real,</t>
  </si>
  <si>
    <t>ES0031408323131005HX0F,2024/04/05,02:00,0.053,Real,</t>
  </si>
  <si>
    <t>ES0031408323131005HX0F,2024/04/05,03:00,0.065,Real,</t>
  </si>
  <si>
    <t>ES0031408323131005HX0F,2024/04/05,04:00,0.052,Real,</t>
  </si>
  <si>
    <t>ES0031408323131005HX0F,2024/04/05,05:00,0.063,Real,</t>
  </si>
  <si>
    <t>ES0031408323131005HX0F,2024/04/05,06:00,0.053,Real,</t>
  </si>
  <si>
    <t>ES0031408323131005HX0F,2024/04/05,07:00,0.613,Real,</t>
  </si>
  <si>
    <t>ES0031408323131005HX0F,2024/04/05,08:00,0.825,Real,</t>
  </si>
  <si>
    <t>ES0031408323131005HX0F,2024/04/05,09:00,0.09,Real,</t>
  </si>
  <si>
    <t>ES0031408323131005HX0F,2024/04/05,10:00,0.075,Real,</t>
  </si>
  <si>
    <t>ES0031408323131005HX0F,2024/04/05,11:00,0.038,Real,</t>
  </si>
  <si>
    <t>ES0031408323131005HX0F,2024/04/05,12:00,0.463,Real,</t>
  </si>
  <si>
    <t>ES0031408323131005HX0F,2024/04/05,13:00,1.656,Real,</t>
  </si>
  <si>
    <t>ES0031408323131005HX0F,2024/04/05,14:00,0.743,Real,</t>
  </si>
  <si>
    <t>ES0031408323131005HX0F,2024/04/05,15:00,0.119,Real,</t>
  </si>
  <si>
    <t>ES0031408323131005HX0F,2024/04/05,16:00,0.622,Real,</t>
  </si>
  <si>
    <t>ES0031408323131005HX0F,2024/04/05,17:00,0.109,Real,</t>
  </si>
  <si>
    <t>ES0031408323131005HX0F,2024/04/05,18:00,0.07,Real,</t>
  </si>
  <si>
    <t>ES0031408323131005HX0F,2024/04/05,19:00,0.045,Real,</t>
  </si>
  <si>
    <t>ES0031408323131005HX0F,2024/04/05,20:00,0.811,Real,</t>
  </si>
  <si>
    <t>ES0031408323131005HX0F,2024/04/05,21:00,1.217,Real,</t>
  </si>
  <si>
    <t>ES0031408323131005HX0F,2024/04/05,22:00,1.779,Real,</t>
  </si>
  <si>
    <t>ES0031408323131005HX0F,2024/04/05,23:00,1.181,Real,</t>
  </si>
  <si>
    <t>ES0031408323131005HX0F,2024/04/05,24:00,0.583,Real,</t>
  </si>
  <si>
    <t>ES0031408323131005HX0F,2024/04/06,01:00,0.086,Real,</t>
  </si>
  <si>
    <t>ES0031408323131005HX0F,2024/04/06,02:00,0.079,Real,</t>
  </si>
  <si>
    <t>ES0031408323131005HX0F,2024/04/06,03:00,0.042,Real,</t>
  </si>
  <si>
    <t>ES0031408323131005HX0F,2024/04/06,04:00,0.066,Real,</t>
  </si>
  <si>
    <t>ES0031408323131005HX0F,2024/04/06,05:00,0.049,Real,</t>
  </si>
  <si>
    <t>ES0031408323131005HX0F,2024/04/06,06:00,0.312,Real,</t>
  </si>
  <si>
    <t>ES0031408323131005HX0F,2024/04/06,07:00,0.058,Real,</t>
  </si>
  <si>
    <t>ES0031408323131005HX0F,2024/04/06,08:00,0.061,Real,</t>
  </si>
  <si>
    <t>ES0031408323131005HX0F,2024/04/06,09:00,0.052,Real,</t>
  </si>
  <si>
    <t>ES0031408323131005HX0F,2024/04/06,10:00,0.062,Real,</t>
  </si>
  <si>
    <t>ES0031408323131005HX0F,2024/04/06,11:00,0.712,Real,</t>
  </si>
  <si>
    <t>ES0031408323131005HX0F,2024/04/06,12:00,0.491,Real,</t>
  </si>
  <si>
    <t>ES0031408323131005HX0F,2024/04/06,13:00,0.127,Real,</t>
  </si>
  <si>
    <t>ES0031408323131005HX0F,2024/04/06,14:00,0.362,Real,</t>
  </si>
  <si>
    <t>ES0031408323131005HX0F,2024/04/06,15:00,0.089,Real,</t>
  </si>
  <si>
    <t>ES0031408323131005HX0F,2024/04/06,16:00,0.404,Real,</t>
  </si>
  <si>
    <t>ES0031408323131005HX0F,2024/04/06,17:00,0.28,Real,</t>
  </si>
  <si>
    <t>ES0031408323131005HX0F,2024/04/06,18:00,0.088,Real,</t>
  </si>
  <si>
    <t>ES0031408323131005HX0F,2024/04/06,19:00,0.306,Real,</t>
  </si>
  <si>
    <t>ES0031408323131005HX0F,2024/04/06,20:00,0.069,Real,</t>
  </si>
  <si>
    <t>ES0031408323131005HX0F,2024/04/06,21:00,0.628,Real,</t>
  </si>
  <si>
    <t>ES0031408323131005HX0F,2024/04/06,22:00,0.549,Real,</t>
  </si>
  <si>
    <t>ES0031408323131005HX0F,2024/04/06,23:00,0.841,Real,</t>
  </si>
  <si>
    <t>ES0031408323131005HX0F,2024/04/06,24:00,2.315,Real,</t>
  </si>
  <si>
    <t>ES0031408323131005HX0F,2024/04/07,01:00,0.087,Real,</t>
  </si>
  <si>
    <t>ES0031408323131005HX0F,2024/04/07,02:00,0.064,Real,</t>
  </si>
  <si>
    <t>ES0031408323131005HX0F,2024/04/07,03:00,0.07,Real,</t>
  </si>
  <si>
    <t>ES0031408323131005HX0F,2024/04/07,04:00,0.058,Real,</t>
  </si>
  <si>
    <t>ES0031408323131005HX0F,2024/04/07,05:00,0.323,Real,</t>
  </si>
  <si>
    <t>ES0031408323131005HX0F,2024/04/07,06:00,0.057,Real,</t>
  </si>
  <si>
    <t>ES0031408323131005HX0F,2024/04/07,07:00,0.067,Real,</t>
  </si>
  <si>
    <t>ES0031408323131005HX0F,2024/04/07,08:00,0.058,Real,</t>
  </si>
  <si>
    <t>ES0031408323131005HX0F,2024/04/07,09:00,0.067,Real,</t>
  </si>
  <si>
    <t>ES0031408323131005HX0F,2024/04/07,10:00,0.278,Real,</t>
  </si>
  <si>
    <t>ES0031408323131005HX0F,2024/04/07,11:00,0.162,Real,</t>
  </si>
  <si>
    <t>ES0031408323131005HX0F,2024/04/07,12:00,0.38,Real,</t>
  </si>
  <si>
    <t>ES0031408323131005HX0F,2024/04/07,13:00,0.23,Real,</t>
  </si>
  <si>
    <t>ES0031408323131005HX0F,2024/04/07,14:00,0.486,Real,</t>
  </si>
  <si>
    <t>ES0031408323131005HX0F,2024/04/07,15:00,0.802,Real,</t>
  </si>
  <si>
    <t>ES0031408323131005HX0F,2024/04/07,16:00,0.132,Real,</t>
  </si>
  <si>
    <t>ES0031408323131005HX0F,2024/04/07,17:00,0.094,Real,</t>
  </si>
  <si>
    <t>ES0031408323131005HX0F,2024/04/07,18:00,0.065,Real,</t>
  </si>
  <si>
    <t>ES0031408323131005HX0F,2024/04/07,19:00,0.087,Real,</t>
  </si>
  <si>
    <t>ES0031408323131005HX0F,2024/04/07,20:00,0.336,Real,</t>
  </si>
  <si>
    <t>ES0031408323131005HX0F,2024/04/07,21:00,1.876,Real,</t>
  </si>
  <si>
    <t>ES0031408323131005HX0F,2024/04/07,22:00,2.621,Real,</t>
  </si>
  <si>
    <t>ES0031408323131005HX0F,2024/04/07,23:00,1.184,Real,</t>
  </si>
  <si>
    <t>ES0031408323131005HX0F,2024/04/07,24:00,0.104,Real,</t>
  </si>
  <si>
    <t>ES0031408323131005HX0F,2024/04/08,01:00,0.319,Real,</t>
  </si>
  <si>
    <t>ES0031408323131005HX0F,2024/04/08,02:00,0.118,Real,</t>
  </si>
  <si>
    <t>ES0031408323131005HX0F,2024/04/08,03:00,0.057,Real,</t>
  </si>
  <si>
    <t>ES0031408323131005HX0F,2024/04/08,04:00,0.084,Real,</t>
  </si>
  <si>
    <t>ES0031408323131005HX0F,2024/04/08,05:00,0.055,Real,</t>
  </si>
  <si>
    <t>ES0031408323131005HX0F,2024/04/08,06:00,0.062,Real,</t>
  </si>
  <si>
    <t>ES0031408323131005HX0F,2024/04/08,07:00,0.322,Real,</t>
  </si>
  <si>
    <t>ES0031408323131005HX0F,2024/04/08,08:00,0.044,Real,</t>
  </si>
  <si>
    <t>ES0031408323131005HX0F,2024/04/08,09:00,0.071,Real,</t>
  </si>
  <si>
    <t>ES0031408323131005HX0F,2024/04/08,10:00,0.435,Real,</t>
  </si>
  <si>
    <t>ES0031408323131005HX0F,2024/04/08,11:00,0.641,Real,</t>
  </si>
  <si>
    <t>ES0031408323131005HX0F,2024/04/08,12:00,0.084,Real,</t>
  </si>
  <si>
    <t>ES0031408323131005HX0F,2024/04/08,13:00,0.061,Real,</t>
  </si>
  <si>
    <t>ES0031408323131005HX0F,2024/04/08,14:00,0.086,Real,</t>
  </si>
  <si>
    <t>ES0031408323131005HX0F,2024/04/08,15:00,0.058,Real,</t>
  </si>
  <si>
    <t>ES0031408323131005HX0F,2024/04/08,16:00,0.07,Real,</t>
  </si>
  <si>
    <t>ES0031408323131005HX0F,2024/04/08,17:00,0.081,Real,</t>
  </si>
  <si>
    <t>ES0031408323131005HX0F,2024/04/08,18:00,0.255,Real,</t>
  </si>
  <si>
    <t>ES0031408323131005HX0F,2024/04/08,19:00,0.241,Real,</t>
  </si>
  <si>
    <t>ES0031408323131005HX0F,2024/04/08,20:00,0.256,Real,</t>
  </si>
  <si>
    <t>ES0031408323131005HX0F,2024/04/08,21:00,0.986,Real,</t>
  </si>
  <si>
    <t>ES0031408323131005HX0F,2024/04/08,22:00,0.5,Real,</t>
  </si>
  <si>
    <t>ES0031408323131005HX0F,2024/04/08,23:00,2.653,Real,</t>
  </si>
  <si>
    <t>ES0031408323131005HX0F,2024/04/08,24:00,1.182,Real,</t>
  </si>
  <si>
    <t>ES0031408323131005HX0F,2024/04/09,01:00,1.176,Real,</t>
  </si>
  <si>
    <t>ES0031408323131005HX0F,2024/04/09,02:00,0.677,Real,</t>
  </si>
  <si>
    <t>ES0031408323131005HX0F,2024/04/09,03:00,0.101,Real,</t>
  </si>
  <si>
    <t>ES0031408323131005HX0F,2024/04/09,04:00,0.073,Real,</t>
  </si>
  <si>
    <t>ES0031408323131005HX0F,2024/04/09,05:00,0.217,Real,</t>
  </si>
  <si>
    <t>ES0031408323131005HX0F,2024/04/09,06:00,0.186,Real,</t>
  </si>
  <si>
    <t>ES0031408323131005HX0F,2024/04/09,07:00,0.053,Real,</t>
  </si>
  <si>
    <t>ES0031408323131005HX0F,2024/04/09,08:00,1.481,Real,</t>
  </si>
  <si>
    <t>ES0031408323131005HX0F,2024/04/09,09:00,0.636,Real,</t>
  </si>
  <si>
    <t>ES0031408323131005HX0F,2024/04/09,10:00,0.693,Real,</t>
  </si>
  <si>
    <t>ES0031408323131005HX0F,2024/04/09,11:00,0.056,Real,</t>
  </si>
  <si>
    <t>ES0031408323131005HX0F,2024/04/09,12:00,0.112,Real,</t>
  </si>
  <si>
    <t>ES0031408323131005HX0F,2024/04/09,13:00,0.356,Real,</t>
  </si>
  <si>
    <t>ES0031408323131005HX0F,2024/04/09,14:00,0.114,Real,</t>
  </si>
  <si>
    <t>ES0031408323131005HX0F,2024/04/09,15:00,0.054,Real,</t>
  </si>
  <si>
    <t>ES0031408323131005HX0F,2024/04/09,16:00,0.351,Real,</t>
  </si>
  <si>
    <t>ES0031408323131005HX0F,2024/04/09,17:00,0.03,Real,</t>
  </si>
  <si>
    <t>ES0031408323131005HX0F,2024/04/09,18:00,0.196,Real,</t>
  </si>
  <si>
    <t>ES0031408323131005HX0F,2024/04/09,19:00,0.062,Real,</t>
  </si>
  <si>
    <t>ES0031408323131005HX0F,2024/04/09,20:00,2.494,Real,</t>
  </si>
  <si>
    <t>ES0031408323131005HX0F,2024/04/09,21:00,2.578,Real,</t>
  </si>
  <si>
    <t>ES0031408323131005HX0F,2024/04/09,22:00,1.303,Real,</t>
  </si>
  <si>
    <t>ES0031408323131005HX0F,2024/04/09,23:00,1.784,Real,</t>
  </si>
  <si>
    <t>ES0031408323131005HX0F,2024/04/09,24:00,1.656,Real,</t>
  </si>
  <si>
    <t>ES0031408323131005HX0F,2024/04/10,01:00,0.138,Real,</t>
  </si>
  <si>
    <t>ES0031408323131005HX0F,2024/04/10,02:00,0.04,Real,</t>
  </si>
  <si>
    <t>ES0031408323131005HX0F,2024/04/10,03:00,0.076,Real,</t>
  </si>
  <si>
    <t>ES0031408323131005HX0F,2024/04/10,04:00,0.049,Real,</t>
  </si>
  <si>
    <t>ES0031408323131005HX0F,2024/04/10,05:00,0.329,Real,</t>
  </si>
  <si>
    <t>ES0031408323131005HX0F,2024/04/10,06:00,0.053,Real,</t>
  </si>
  <si>
    <t>ES0031408323131005HX0F,2024/04/10,07:00,0.065,Real,</t>
  </si>
  <si>
    <t>ES0031408323131005HX0F,2024/04/10,08:00,2.043,Real,</t>
  </si>
  <si>
    <t>ES0031408323131005HX0F,2024/04/10,09:00,1.419,Real,</t>
  </si>
  <si>
    <t>ES0031408323131005HX0F,2024/04/10,10:00,0.054,Real,</t>
  </si>
  <si>
    <t>ES0031408323131005HX0F,2024/04/10,11:00,0.049,Real,</t>
  </si>
  <si>
    <t>ES0031408323131005HX0F,2024/04/10,12:00,0.07,Real,</t>
  </si>
  <si>
    <t>ES0031408323131005HX0F,2024/04/10,13:00,0.037,Real,</t>
  </si>
  <si>
    <t>ES0031408323131005HX0F,2024/04/10,14:00,0.311,Real,</t>
  </si>
  <si>
    <t>ES0031408323131005HX0F,2024/04/10,15:00,0.097,Real,</t>
  </si>
  <si>
    <t>ES0031408323131005HX0F,2024/04/10,16:00,0.108,Real,</t>
  </si>
  <si>
    <t>ES0031408323131005HX0F,2024/04/10,17:00,0.057,Real,</t>
  </si>
  <si>
    <t>ES0031408323131005HX0F,2024/04/10,18:00,0.05,Real,</t>
  </si>
  <si>
    <t>ES0031408323131005HX0F,2024/04/10,19:00,0.132,Real,</t>
  </si>
  <si>
    <t>ES0031408323131005HX0F,2024/04/10,20:00,1.116,Real,</t>
  </si>
  <si>
    <t>ES0031408323131005HX0F,2024/04/10,21:00,1.418,Real,</t>
  </si>
  <si>
    <t>ES0031408323131005HX0F,2024/04/10,22:00,0.234,Real,</t>
  </si>
  <si>
    <t>ES0031408323131005HX0F,2024/04/10,23:00,1.404,Real,</t>
  </si>
  <si>
    <t>ES0031408323131005HX0F,2024/04/10,24:00,1.842,Real,</t>
  </si>
  <si>
    <t>ES0031408323131005HX0F,2024/04/11,01:00,0.365,Real,</t>
  </si>
  <si>
    <t>ES0031408323131005HX0F,2024/04/11,02:00,0.056,Real,</t>
  </si>
  <si>
    <t>ES0031408323131005HX0F,2024/04/11,03:00,0.067,Real,</t>
  </si>
  <si>
    <t>ES0031408323131005HX0F,2024/04/11,04:00,0.054,Real,</t>
  </si>
  <si>
    <t>ES0031408323131005HX0F,2024/04/11,05:00,0.308,Real,</t>
  </si>
  <si>
    <t>ES0031408323131005HX0F,2024/04/11,06:00,0.08,Real,</t>
  </si>
  <si>
    <t>ES0031408323131005HX0F,2024/04/11,07:00,0.259,Real,</t>
  </si>
  <si>
    <t>ES0031408323131005HX0F,2024/04/11,08:00,1.847,Real,</t>
  </si>
  <si>
    <t>ES0031408323131005HX0F,2024/04/11,09:00,1.684,Real,</t>
  </si>
  <si>
    <t>ES0031408323131005HX0F,2024/04/11,10:00,1.415,Real,</t>
  </si>
  <si>
    <t>ES0031408323131005HX0F,2024/04/11,11:00,0.076,Real,</t>
  </si>
  <si>
    <t>ES0031408323131005HX0F,2024/04/11,12:00,0.084,Real,</t>
  </si>
  <si>
    <t>ES0031408323131005HX0F,2024/04/11,13:00,0.401,Real,</t>
  </si>
  <si>
    <t>ES0031408323131005HX0F,2024/04/11,14:00,0.492,Real,</t>
  </si>
  <si>
    <t>ES0031408323131005HX0F,2024/04/11,15:00,1.292,Real,</t>
  </si>
  <si>
    <t>ES0031408323131005HX0F,2024/04/11,16:00,0.136,Real,</t>
  </si>
  <si>
    <t>ES0031408323131005HX0F,2024/04/11,17:00,0.112,Real,</t>
  </si>
  <si>
    <t>ES0031408323131005HX0F,2024/04/11,18:00,0.07,Real,</t>
  </si>
  <si>
    <t>ES0031408323131005HX0F,2024/04/11,19:00,0.063,Real,</t>
  </si>
  <si>
    <t>ES0031408323131005HX0F,2024/04/11,20:00,0.487,Real,</t>
  </si>
  <si>
    <t>ES0031408323131005HX0F,2024/04/11,21:00,1.63,Real,</t>
  </si>
  <si>
    <t>ES0031408323131005HX0F,2024/04/11,22:00,0.702,Real,</t>
  </si>
  <si>
    <t>ES0031408323131005HX0F,2024/04/11,23:00,1.863,Real,</t>
  </si>
  <si>
    <t>ES0031408323131005HX0F,2024/04/11,24:00,0.571,Real,</t>
  </si>
  <si>
    <t>ES0031408323131005HX0F,2024/04/12,01:00,0.076,Real,</t>
  </si>
  <si>
    <t>ES0031408323131005HX0F,2024/04/12,02:00,0.084,Real,</t>
  </si>
  <si>
    <t>ES0031408323131005HX0F,2024/04/12,03:00,0.322,Real,</t>
  </si>
  <si>
    <t>ES0031408323131005HX0F,2024/04/12,04:00,0.051,Real,</t>
  </si>
  <si>
    <t>ES0031408323131005HX0F,2024/04/12,05:00,0.071,Real,</t>
  </si>
  <si>
    <t>ES0031408323131005HX0F,2024/04/12,06:00,0.035,Real,</t>
  </si>
  <si>
    <t>ES0031408323131005HX0F,2024/04/12,07:00,0.073,Real,</t>
  </si>
  <si>
    <t>ES0031408323131005HX0F,2024/04/12,08:00,1.356,Real,</t>
  </si>
  <si>
    <t>ES0031408323131005HX0F,2024/04/12,09:00,1.035,Real,</t>
  </si>
  <si>
    <t>ES0031408323131005HX0F,2024/04/12,10:00,0.203,Real,</t>
  </si>
  <si>
    <t>ES0031408323131005HX0F,2024/04/12,11:00,0.084,Real,</t>
  </si>
  <si>
    <t>ES0031408323131005HX0F,2024/04/12,12:00,0.069,Real,</t>
  </si>
  <si>
    <t>ES0031408323131005HX0F,2024/04/12,13:00,0.349,Real,</t>
  </si>
  <si>
    <t>ES0031408323131005HX0F,2024/04/12,14:00,0.078,Real,</t>
  </si>
  <si>
    <t>ES0031408323131005HX0F,2024/04/12,15:00,0.09,Real,</t>
  </si>
  <si>
    <t>ES0031408323131005HX0F,2024/04/12,16:00,1.132,Real,</t>
  </si>
  <si>
    <t>ES0031408323131005HX0F,2024/04/12,17:00,0.139,Real,</t>
  </si>
  <si>
    <t>ES0031408323131005HX0F,2024/04/12,18:00,0.087,Real,</t>
  </si>
  <si>
    <t>ES0031408323131005HX0F,2024/04/12,19:00,0.128,Real,</t>
  </si>
  <si>
    <t>ES0031408323131005HX0F,2024/04/12,20:00,0.206,Real,</t>
  </si>
  <si>
    <t>ES0031408323131005HX0F,2024/04/12,21:00,1.239,Real,</t>
  </si>
  <si>
    <t>ES0031408323131005HX0F,2024/04/12,22:00,0.524,Real,</t>
  </si>
  <si>
    <t>ES0031408323131005HX0F,2024/04/12,23:00,1.224,Real,</t>
  </si>
  <si>
    <t>ES0031408323131005HX0F,2024/04/12,24:00,1.276,Real,</t>
  </si>
  <si>
    <t>ES0031408323131005HX0F,2024/04/13,01:00,0.872,Real,</t>
  </si>
  <si>
    <t>ES0031408323131005HX0F,2024/04/13,02:00,0.357,Real,</t>
  </si>
  <si>
    <t>ES0031408323131005HX0F,2024/04/13,03:00,0.031,Real,</t>
  </si>
  <si>
    <t>ES0031408323131005HX0F,2024/04/13,04:00,0.073,Real,</t>
  </si>
  <si>
    <t>ES0031408323131005HX0F,2024/04/13,05:00,0.044,Real,</t>
  </si>
  <si>
    <t>ES0031408323131005HX0F,2024/04/13,06:00,0.068,Real,</t>
  </si>
  <si>
    <t>ES0031408323131005HX0F,2024/04/13,07:00,0.053,Real,</t>
  </si>
  <si>
    <t>ES0031408323131005HX0F,2024/04/13,08:00,0.335,Real,</t>
  </si>
  <si>
    <t>ES0031408323131005HX0F,2024/04/13,09:00,1.577,Real,</t>
  </si>
  <si>
    <t>ES0031408323131005HX0F,2024/04/13,10:00,0.617,Real,</t>
  </si>
  <si>
    <t>ES0031408323131005HX0F,2024/04/13,11:00,1.145,Real,</t>
  </si>
  <si>
    <t>ES0031408323131005HX0F,2024/04/13,12:00,2.176,Real,</t>
  </si>
  <si>
    <t>ES0031408323131005HX0F,2024/04/13,13:00,0.095,Real,</t>
  </si>
  <si>
    <t>ES0031408323131005HX0F,2024/04/13,14:00,0.649,Real,</t>
  </si>
  <si>
    <t>ES0031408323131005HX0F,2024/04/13,15:00,0.362,Real,</t>
  </si>
  <si>
    <t>ES0031408323131005HX0F,2024/04/13,16:00,0.257,Real,</t>
  </si>
  <si>
    <t>ES0031408323131005HX0F,2024/04/13,17:00,0.195,Real,</t>
  </si>
  <si>
    <t>ES0031408323131005HX0F,2024/04/13,18:00,0.573,Real,</t>
  </si>
  <si>
    <t>ES0031408323131005HX0F,2024/04/13,19:00,0.1,Real,</t>
  </si>
  <si>
    <t>ES0031408323131005HX0F,2024/04/13,20:00,0.292,Real,</t>
  </si>
  <si>
    <t>ES0031408323131005HX0F,2024/04/13,21:00,0.888,Real,</t>
  </si>
  <si>
    <t>ES0031408323131005HX0F,2024/04/13,22:00,0.682,Real,</t>
  </si>
  <si>
    <t>ES0031408323131005HX0F,2024/04/13,23:00,0.18,Real,</t>
  </si>
  <si>
    <t>ES0031408323131005HX0F,2024/04/13,24:00,0.141,Real,</t>
  </si>
  <si>
    <t>ES0031408323131005HX0F,2024/04/14,01:00,0.105,Real,</t>
  </si>
  <si>
    <t>ES0031408323131005HX0F,2024/04/14,02:00,0.346,Real,</t>
  </si>
  <si>
    <t>ES0031408323131005HX0F,2024/04/14,03:00,0.072,Real,</t>
  </si>
  <si>
    <t>ES0031408323131005HX0F,2024/04/14,04:00,0.037,Real,</t>
  </si>
  <si>
    <t>ES0031408323131005HX0F,2024/04/14,05:00,0.074,Real,</t>
  </si>
  <si>
    <t>ES0031408323131005HX0F,2024/04/14,06:00,0.038,Real,</t>
  </si>
  <si>
    <t>ES0031408323131005HX0F,2024/04/14,07:00,0.077,Real,</t>
  </si>
  <si>
    <t>ES0031408323131005HX0F,2024/04/14,08:00,0.336,Real,</t>
  </si>
  <si>
    <t>ES0031408323131005HX0F,2024/04/14,09:00,0.12,Real,</t>
  </si>
  <si>
    <t>ES0031408323131005HX0F,2024/04/14,10:00,0.403,Real,</t>
  </si>
  <si>
    <t>ES0031408323131005HX0F,2024/04/14,11:00,2.322,Real,</t>
  </si>
  <si>
    <t>ES0031408323131005HX0F,2024/04/14,12:00,0.559,Real,</t>
  </si>
  <si>
    <t>ES0031408323131005HX0F,2024/04/14,13:00,0.071,Real,</t>
  </si>
  <si>
    <t>ES0031408323131005HX0F,2024/04/14,14:00,1.211,Real,</t>
  </si>
  <si>
    <t>ES0031408323131005HX0F,2024/04/14,15:00,0.212,Real,</t>
  </si>
  <si>
    <t>ES0031408323131005HX0F,2024/04/14,16:00,0.193,Real,</t>
  </si>
  <si>
    <t>ES0031408323131005HX0F,2024/04/14,17:00,0.247,Real,</t>
  </si>
  <si>
    <t>ES0031408323131005HX0F,2024/04/14,18:00,0.085,Real,</t>
  </si>
  <si>
    <t>ES0031408323131005HX0F,2024/04/14,19:00,0.065,Real,</t>
  </si>
  <si>
    <t>ES0031408323131005HX0F,2024/04/14,20:00,1.116,Real,</t>
  </si>
  <si>
    <t>ES0031408323131005HX0F,2024/04/14,21:00,0.27,Real,</t>
  </si>
  <si>
    <t>ES0031408323131005HX0F,2024/04/14,22:00,0.894,Real,</t>
  </si>
  <si>
    <t>ES0031408323131005HX0F,2024/04/14,23:00,1.847,Real,</t>
  </si>
  <si>
    <t>ES0031408323131005HX0F,2024/04/14,24:00,1.12,Real,</t>
  </si>
  <si>
    <t>ES0031408323131005HX0F,2024/04/15,01:00,0.07,Real,</t>
  </si>
  <si>
    <t>ES0031408323131005HX0F,2024/04/15,02:00,0.076,Real,</t>
  </si>
  <si>
    <t>ES0031408323131005HX0F,2024/04/15,03:00,0.032,Real,</t>
  </si>
  <si>
    <t>ES0031408323131005HX0F,2024/04/15,04:00,0.078,Real,</t>
  </si>
  <si>
    <t>ES0031408323131005HX0F,2024/04/15,05:00,0.304,Real,</t>
  </si>
  <si>
    <t>ES0031408323131005HX0F,2024/04/15,06:00,0.421,Real,</t>
  </si>
  <si>
    <t>ES0031408323131005HX0F,2024/04/15,07:00,0.053,Real,</t>
  </si>
  <si>
    <t>ES0031408323131005HX0F,2024/04/15,08:00,0.079,Real,</t>
  </si>
  <si>
    <t>ES0031408323131005HX0F,2024/04/15,09:00,0.052,Real,</t>
  </si>
  <si>
    <t>ES0031408323131005HX0F,2024/04/15,10:00,0.051,Real,</t>
  </si>
  <si>
    <t>ES0031408323131005HX0F,2024/04/15,11:00,0.088,Real,</t>
  </si>
  <si>
    <t>ES0031408323131005HX0F,2024/04/15,12:00,0.289,Real,</t>
  </si>
  <si>
    <t>ES0031408323131005HX0F,2024/04/15,13:00,0.076,Real,</t>
  </si>
  <si>
    <t>ES0031408323131005HX0F,2024/04/15,14:00,0.04,Real,</t>
  </si>
  <si>
    <t>ES0031408323131005HX0F,2024/04/15,15:00,0.077,Real,</t>
  </si>
  <si>
    <t>ES0031408323131005HX0F,2024/04/15,16:00,0.078,Real,</t>
  </si>
  <si>
    <t>ES0031408323131005HX0F,2024/04/15,17:00,1.317,Real,</t>
  </si>
  <si>
    <t>ES0031408323131005HX0F,2024/04/15,18:00,0.658,Real,</t>
  </si>
  <si>
    <t>ES0031408323131005HX0F,2024/04/15,19:00,0.083,Real,</t>
  </si>
  <si>
    <t>ES0031408323131005HX0F,2024/04/15,20:00,0.064,Real,</t>
  </si>
  <si>
    <t>ES0031408323131005HX0F,2024/04/15,21:00,0.112,Real,</t>
  </si>
  <si>
    <t>ES0031408323131005HX0F,2024/04/15,22:00,0.811,Real,</t>
  </si>
  <si>
    <t>ES0031408323131005HX0F,2024/04/15,23:00,0.099,Real,</t>
  </si>
  <si>
    <t>ES0031408323131005HX0F,2024/04/15,24:00,0.141,Real,</t>
  </si>
  <si>
    <t>ES0031408323131005HX0F,2024/04/16,01:00,0.081,Real,</t>
  </si>
  <si>
    <t>ES0031408323131005HX0F,2024/04/16,02:00,0.056,Real,</t>
  </si>
  <si>
    <t>ES0031408323131005HX0F,2024/04/16,03:00,0.079,Real,</t>
  </si>
  <si>
    <t>ES0031408323131005HX0F,2024/04/16,04:00,0.329,Real,</t>
  </si>
  <si>
    <t>ES0031408323131005HX0F,2024/04/16,05:00,0.06,Real,</t>
  </si>
  <si>
    <t>ES0031408323131005HX0F,2024/04/16,06:00,0.473,Real,</t>
  </si>
  <si>
    <t>ES0031408323131005HX0F,2024/04/16,07:00,0.053,Real,</t>
  </si>
  <si>
    <t>ES0031408323131005HX0F,2024/04/16,08:00,0.073,Real,</t>
  </si>
  <si>
    <t>ES0031408323131005HX0F,2024/04/16,09:00,0.029,Real,</t>
  </si>
  <si>
    <t>ES0031408323131005HX0F,2024/04/16,10:00,0.071,Real,</t>
  </si>
  <si>
    <t>ES0031408323131005HX0F,2024/04/16,11:00,0.059,Real,</t>
  </si>
  <si>
    <t>ES0031408323131005HX0F,2024/04/16,12:00,0.314,Real,</t>
  </si>
  <si>
    <t>ES0031408323131005HX0F,2024/04/16,13:00,0.053,Real,</t>
  </si>
  <si>
    <t>ES0031408323131005HX0F,2024/04/16,14:00,0.069,Real,</t>
  </si>
  <si>
    <t>ES0031408323131005HX0F,2024/04/16,15:00,0.387,Real,</t>
  </si>
  <si>
    <t>ES0031408323131005HX0F,2024/04/16,16:00,0.407,Real,</t>
  </si>
  <si>
    <t>ES0031408323131005HX0F,2024/04/16,17:00,0.983,Real,</t>
  </si>
  <si>
    <t>ES0031408323131005HX0F,2024/04/16,18:00,0.767,Real,</t>
  </si>
  <si>
    <t>ES0031408323131005HX0F,2024/04/16,19:00,0.085,Real,</t>
  </si>
  <si>
    <t>ES0031408323131005HX0F,2024/04/16,20:00,0.048,Real,</t>
  </si>
  <si>
    <t>ES0031408323131005HX0F,2024/04/16,21:00,0.075,Real,</t>
  </si>
  <si>
    <t>ES0031408323131005HX0F,2024/04/16,22:00,0.04,Real,</t>
  </si>
  <si>
    <t>ES0031408323131005HX0F,2024/04/16,23:00,0.581,Real,</t>
  </si>
  <si>
    <t>ES0031408323131005HX0F,2024/04/16,24:00,0.138,Real,</t>
  </si>
  <si>
    <t>ES0031408323131005HX0F,2024/04/17,01:00,1.171,Real,</t>
  </si>
  <si>
    <t>ES0031408323131005HX0F,2024/04/17,02:00,1.349,Real,</t>
  </si>
  <si>
    <t>ES0031408323131005HX0F,2024/04/17,03:00,0.931,Real,</t>
  </si>
  <si>
    <t>ES0031408323131005HX0F,2024/04/17,04:00,1.001,Real,</t>
  </si>
  <si>
    <t>ES0031408323131005HX0F,2024/04/17,05:00,0.883,Real,</t>
  </si>
  <si>
    <t>ES0031408323131005HX0F,2024/04/17,06:00,0.544,Real,</t>
  </si>
  <si>
    <t>ES0031408323131005HX0F,2024/04/17,07:00,0.056,Real,</t>
  </si>
  <si>
    <t>ES0031408323131005HX0F,2024/04/17,08:00,0.082,Real,</t>
  </si>
  <si>
    <t>ES0031408323131005HX0F,2024/04/17,09:00,0.047,Real,</t>
  </si>
  <si>
    <t>ES0031408323131005HX0F,2024/04/17,10:00,0.08,Real,</t>
  </si>
  <si>
    <t>ES0031408323131005HX0F,2024/04/17,11:00,0.057,Real,</t>
  </si>
  <si>
    <t>ES0031408323131005HX0F,2024/04/17,12:00,0.08,Real,</t>
  </si>
  <si>
    <t>ES0031408323131005HX0F,2024/04/17,13:00,0.322,Real,</t>
  </si>
  <si>
    <t>ES0031408323131005HX0F,2024/04/17,14:00,0.073,Real,</t>
  </si>
  <si>
    <t>ES0031408323131005HX0F,2024/04/17,15:00,0.472,Real,</t>
  </si>
  <si>
    <t>ES0031408323131005HX0F,2024/04/17,16:00,0.702,Real,</t>
  </si>
  <si>
    <t>ES0031408323131005HX0F,2024/04/17,17:00,0.206,Real,</t>
  </si>
  <si>
    <t>ES0031408323131005HX0F,2024/04/17,18:00,1.757,Real,</t>
  </si>
  <si>
    <t>ES0031408323131005HX0F,2024/04/17,19:00,0.359,Real,</t>
  </si>
  <si>
    <t>ES0031408323131005HX0F,2024/04/17,20:00,0.074,Real,</t>
  </si>
  <si>
    <t>ES0031408323131005HX0F,2024/04/17,21:00,1.197,Real,</t>
  </si>
  <si>
    <t>ES0031408323131005HX0F,2024/04/17,22:00,0.273,Real,</t>
  </si>
  <si>
    <t>ES0031408323131005HX0F,2024/04/17,23:00,1.208,Real,</t>
  </si>
  <si>
    <t>ES0031408323131005HX0F,2024/04/17,24:00,0.209,Real,</t>
  </si>
  <si>
    <t>ES0031408323131005HX0F,2024/04/18,01:00,0.096,Real,</t>
  </si>
  <si>
    <t>ES0031408323131005HX0F,2024/04/18,02:00,0.054,Real,</t>
  </si>
  <si>
    <t>ES0031408323131005HX0F,2024/04/18,03:00,0.061,Real,</t>
  </si>
  <si>
    <t>ES0031408323131005HX0F,2024/04/18,04:00,0.405,Real,</t>
  </si>
  <si>
    <t>ES0031408323131005HX0F,2024/04/18,05:00,0.084,Real,</t>
  </si>
  <si>
    <t>ES0031408323131005HX0F,2024/04/18,06:00,0.401,Real,</t>
  </si>
  <si>
    <t>ES0031408323131005HX0F,2024/04/18,07:00,0.075,Real,</t>
  </si>
  <si>
    <t>ES0031408323131005HX0F,2024/04/18,08:00,0.057,Real,</t>
  </si>
  <si>
    <t>ES0031408323131005HX0F,2024/04/18,09:00,0.072,Real,</t>
  </si>
  <si>
    <t>ES0031408323131005HX0F,2024/04/18,10:00,0.062,Real,</t>
  </si>
  <si>
    <t>ES0031408323131005HX0F,2024/04/18,11:00,0.786,Real,</t>
  </si>
  <si>
    <t>ES0031408323131005HX0F,2024/04/18,12:00,0.145,Real,</t>
  </si>
  <si>
    <t>ES0031408323131005HX0F,2024/04/18,13:00,0.428,Real,</t>
  </si>
  <si>
    <t>ES0031408323131005HX0F,2024/04/18,14:00,0.07,Real,</t>
  </si>
  <si>
    <t>ES0031408323131005HX0F,2024/04/18,15:00,0.295,Real,</t>
  </si>
  <si>
    <t>ES0031408323131005HX0F,2024/04/18,16:00,1.105,Real,</t>
  </si>
  <si>
    <t>ES0031408323131005HX0F,2024/04/18,17:00,1.096,Real,</t>
  </si>
  <si>
    <t>ES0031408323131005HX0F,2024/04/18,18:00,0.05,Real,</t>
  </si>
  <si>
    <t>ES0031408323131005HX0F,2024/04/18,19:00,0.068,Real,</t>
  </si>
  <si>
    <t>ES0031408323131005HX0F,2024/04/18,20:00,0.058,Real,</t>
  </si>
  <si>
    <t>ES0031408323131005HX0F,2024/04/18,21:00,1.344,Real,</t>
  </si>
  <si>
    <t>ES0031408323131005HX0F,2024/04/18,22:00,2.688,Real,</t>
  </si>
  <si>
    <t>ES0031408323131005HX0F,2024/04/18,23:00,0.848,Real,</t>
  </si>
  <si>
    <t>ES0031408323131005HX0F,2024/04/18,24:00,0.086,Real,</t>
  </si>
  <si>
    <t>ES0031408323131005HX0F,2024/04/19,01:00,0.061,Real,</t>
  </si>
  <si>
    <t>ES0031408323131005HX0F,2024/04/19,02:00,0.074,Real,</t>
  </si>
  <si>
    <t>ES0031408323131005HX0F,2024/04/19,03:00,0.306,Real,</t>
  </si>
  <si>
    <t>ES0031408323131005HX0F,2024/04/19,04:00,0.075,Real,</t>
  </si>
  <si>
    <t>ES0031408323131005HX0F,2024/04/19,05:00,0.061,Real,</t>
  </si>
  <si>
    <t>ES0031408323131005HX0F,2024/04/19,06:00,0.488,Real,</t>
  </si>
  <si>
    <t>ES0031408323131005HX0F,2024/04/19,07:00,0.116,Real,</t>
  </si>
  <si>
    <t>ES0031408323131005HX0F,2024/04/19,08:00,0.061,Real,</t>
  </si>
  <si>
    <t>ES0031408323131005HX0F,2024/04/19,09:00,0.049,Real,</t>
  </si>
  <si>
    <t>ES0031408323131005HX0F,2024/04/19,10:00,0.302,Real,</t>
  </si>
  <si>
    <t>ES0031408323131005HX0F,2024/04/19,11:00,0.39,Real,</t>
  </si>
  <si>
    <t>ES0031408323131005HX0F,2024/04/19,12:00,1.49,Real,</t>
  </si>
  <si>
    <t>ES0031408323131005HX0F,2024/04/19,13:00,0.121,Real,</t>
  </si>
  <si>
    <t>ES0031408323131005HX0F,2024/04/19,14:00,1.73,Real,</t>
  </si>
  <si>
    <t>ES0031408323131005HX0F,2024/04/19,15:00,1.647,Real,</t>
  </si>
  <si>
    <t>ES0031408323131005HX0F,2024/04/19,16:00,0.564,Real,</t>
  </si>
  <si>
    <t>ES0031408323131005HX0F,2024/04/19,17:00,0.071,Real,</t>
  </si>
  <si>
    <t>ES0031408323131005HX0F,2024/04/19,18:00,0.073,Real,</t>
  </si>
  <si>
    <t>ES0031408323131005HX0F,2024/04/19,19:00,0.084,Real,</t>
  </si>
  <si>
    <t>ES0031408323131005HX0F,2024/04/19,20:00,0.299,Real,</t>
  </si>
  <si>
    <t>ES0031408323131005HX0F,2024/04/19,21:00,0.071,Real,</t>
  </si>
  <si>
    <t>ES0031408323131005HX0F,2024/04/19,22:00,2.828,Real,</t>
  </si>
  <si>
    <t>ES0031408323131005HX0F,2024/04/19,23:00,1.635,Real,</t>
  </si>
  <si>
    <t>ES0031408323131005HX0F,2024/04/19,24:00,0.649,Real,</t>
  </si>
  <si>
    <t>ES0031408323131005HX0F,2024/04/20,01:00,0.258,Real,</t>
  </si>
  <si>
    <t>ES0031408323131005HX0F,2024/04/20,02:00,0.088,Real,</t>
  </si>
  <si>
    <t>ES0031408323131005HX0F,2024/04/20,03:00,0.047,Real,</t>
  </si>
  <si>
    <t>ES0031408323131005HX0F,2024/04/20,04:00,0.106,Real,</t>
  </si>
  <si>
    <t>ES0031408323131005HX0F,2024/04/20,05:00,0.217,Real,</t>
  </si>
  <si>
    <t>ES0031408323131005HX0F,2024/04/20,06:00,0.239,Real,</t>
  </si>
  <si>
    <t>ES0031408323131005HX0F,2024/04/20,07:00,0.079,Real,</t>
  </si>
  <si>
    <t>ES0031408323131005HX0F,2024/04/20,08:00,0.041,Real,</t>
  </si>
  <si>
    <t>ES0031408323131005HX0F,2024/04/20,09:00,2.356,Real,</t>
  </si>
  <si>
    <t>ES0031408323131005HX0F,2024/04/20,10:00,1.043,Real,</t>
  </si>
  <si>
    <t>ES0031408323131005HX0F,2024/04/20,11:00,0.045,Real,</t>
  </si>
  <si>
    <t>ES0031408323131005HX0F,2024/04/20,12:00,0.089,Real,</t>
  </si>
  <si>
    <t>ES0031408323131005HX0F,2024/04/20,13:00,0.069,Real,</t>
  </si>
  <si>
    <t>ES0031408323131005HX0F,2024/04/20,14:00,0.063,Real,</t>
  </si>
  <si>
    <t>ES0031408323131005HX0F,2024/04/20,15:00,0.321,Real,</t>
  </si>
  <si>
    <t>ES0031408323131005HX0F,2024/04/20,16:00,0.043,Real,</t>
  </si>
  <si>
    <t>ES0031408323131005HX0F,2024/04/20,17:00,0.091,Real,</t>
  </si>
  <si>
    <t>ES0031408323131005HX0F,2024/04/20,18:00,0.067,Real,</t>
  </si>
  <si>
    <t>ES0031408323131005HX0F,2024/04/20,19:00,0.042,Real,</t>
  </si>
  <si>
    <t>ES0031408323131005HX0F,2024/04/20,20:00,0.078,Real,</t>
  </si>
  <si>
    <t>ES0031408323131005HX0F,2024/04/20,21:00,1.532,Real,</t>
  </si>
  <si>
    <t>ES0031408323131005HX0F,2024/04/20,22:00,2.278,Real,</t>
  </si>
  <si>
    <t>ES0031408323131005HX0F,2024/04/20,23:00,1.042,Real,</t>
  </si>
  <si>
    <t>ES0031408323131005HX0F,2024/04/20,24:00,0.676,Real,</t>
  </si>
  <si>
    <t>ES0031408323131005HX0F,2024/04/21,01:00,0.37,Real,</t>
  </si>
  <si>
    <t>ES0031408323131005HX0F,2024/04/21,02:00,0.098,Real,</t>
  </si>
  <si>
    <t>ES0031408323131005HX0F,2024/04/21,03:00,0.078,Real,</t>
  </si>
  <si>
    <t>ES0031408323131005HX0F,2024/04/21,04:00,0.055,Real,</t>
  </si>
  <si>
    <t>ES0031408323131005HX0F,2024/04/21,05:00,0.073,Real,</t>
  </si>
  <si>
    <t>ES0031408323131005HX0F,2024/04/21,06:00,0.058,Real,</t>
  </si>
  <si>
    <t>ES0031408323131005HX0F,2024/04/21,07:00,0.295,Real,</t>
  </si>
  <si>
    <t>ES0031408323131005HX0F,2024/04/21,08:00,0.07,Real,</t>
  </si>
  <si>
    <t>ES0031408323131005HX0F,2024/04/21,09:00,0.115,Real,</t>
  </si>
  <si>
    <t>ES0031408323131005HX0F,2024/04/21,10:00,0.186,Real,</t>
  </si>
  <si>
    <t>ES0031408323131005HX0F,2024/04/21,11:00,0.414,Real,</t>
  </si>
  <si>
    <t>ES0031408323131005HX0F,2024/04/21,12:00,0.081,Real,</t>
  </si>
  <si>
    <t>ES0031408323131005HX0F,2024/04/21,13:00,0.058,Real,</t>
  </si>
  <si>
    <t>ES0031408323131005HX0F,2024/04/21,14:00,1.467,Real,</t>
  </si>
  <si>
    <t>ES0031408323131005HX0F,2024/04/21,15:00,0.272,Real,</t>
  </si>
  <si>
    <t>ES0031408323131005HX0F,2024/04/21,16:00,0.425,Real,</t>
  </si>
  <si>
    <t>ES0031408323131005HX0F,2024/04/21,17:00,0.483,Real,</t>
  </si>
  <si>
    <t>ES0031408323131005HX0F,2024/04/21,18:00,0.251,Real,</t>
  </si>
  <si>
    <t>ES0031408323131005HX0F,2024/04/21,19:00,0.336,Real,</t>
  </si>
  <si>
    <t>ES0031408323131005HX0F,2024/04/21,20:00,0.496,Real,</t>
  </si>
  <si>
    <t>ES0031408323131005HX0F,2024/04/21,21:00,0.489,Real,</t>
  </si>
  <si>
    <t>ES0031408323131005HX0F,2024/04/21,22:00,0.058,Real,</t>
  </si>
  <si>
    <t>ES0031408323131005HX0F,2024/04/21,23:00,0.056,Real,</t>
  </si>
  <si>
    <t>ES0031408323131005HX0F,2024/04/21,24:00,0.304,Real,</t>
  </si>
  <si>
    <t>ES0031408323131005HX0F,2024/04/22,01:00,0.036,Real,</t>
  </si>
  <si>
    <t>ES0031408323131005HX0F,2024/04/22,02:00,0.074,Real,</t>
  </si>
  <si>
    <t>ES0031408323131005HX0F,2024/04/22,03:00,0.043,Real,</t>
  </si>
  <si>
    <t>ES0031408323131005HX0F,2024/04/22,04:00,0.111,Real,</t>
  </si>
  <si>
    <t>ES0031408323131005HX0F,2024/04/22,05:00,0.366,Real,</t>
  </si>
  <si>
    <t>ES0031408323131005HX0F,2024/04/22,06:00,0.063,Real,</t>
  </si>
  <si>
    <t>ES0031408323131005HX0F,2024/04/22,07:00,1.856,Real,</t>
  </si>
  <si>
    <t>ES0031408323131005HX0F,2024/04/22,08:00,1.312,Real,</t>
  </si>
  <si>
    <t>ES0031408323131005HX0F,2024/04/22,09:00,0.089,Real,</t>
  </si>
  <si>
    <t>ES0031408323131005HX0F,2024/04/22,10:00,2.14,Real,</t>
  </si>
  <si>
    <t>ES0031408323131005HX0F,2024/04/22,11:00,1.56,Real,</t>
  </si>
  <si>
    <t>ES0031408323131005HX0F,2024/04/22,12:00,1.438,Real,</t>
  </si>
  <si>
    <t>ES0031408323131005HX0F,2024/04/22,13:00,1.287,Real,</t>
  </si>
  <si>
    <t>ES0031408323131005HX0F,2024/04/22,14:00,0.597,Real,</t>
  </si>
  <si>
    <t>ES0031408323131005HX0F,2024/04/22,15:00,0.083,Real,</t>
  </si>
  <si>
    <t>ES0031408323131005HX0F,2024/04/22,16:00,0.067,Real,</t>
  </si>
  <si>
    <t>ES0031408323131005HX0F,2024/04/22,17:00,0.657,Real,</t>
  </si>
  <si>
    <t>ES0031408323131005HX0F,2024/04/22,18:00,0.068,Real,</t>
  </si>
  <si>
    <t>ES0031408323131005HX0F,2024/04/22,19:00,0.075,Real,</t>
  </si>
  <si>
    <t>ES0031408323131005HX0F,2024/04/22,20:00,0.664,Real,</t>
  </si>
  <si>
    <t>ES0031408323131005HX0F,2024/04/22,21:00,2.175,Real,</t>
  </si>
  <si>
    <t>ES0031408323131005HX0F,2024/04/22,22:00,1.368,Real,</t>
  </si>
  <si>
    <t>ES0031408323131005HX0F,2024/04/22,23:00,1.133,Real,</t>
  </si>
  <si>
    <t>ES0031408323131005HX0F,2024/04/22,24:00,0.969,Real,</t>
  </si>
  <si>
    <t>ES0031408323131005HX0F,2024/04/23,01:00,0.476,Real,</t>
  </si>
  <si>
    <t>ES0031408323131005HX0F,2024/04/23,02:00,0.043,Real,</t>
  </si>
  <si>
    <t>ES0031408323131005HX0F,2024/04/23,03:00,0.132,Real,</t>
  </si>
  <si>
    <t>ES0031408323131005HX0F,2024/04/23,04:00,0.361,Real,</t>
  </si>
  <si>
    <t>ES0031408323131005HX0F,2024/04/23,05:00,0.061,Real,</t>
  </si>
  <si>
    <t>ES0031408323131005HX0F,2024/04/23,06:00,0.051,Real,</t>
  </si>
  <si>
    <t>ES0031408323131005HX0F,2024/04/23,07:00,1.645,Real,</t>
  </si>
  <si>
    <t>ES0031408323131005HX0F,2024/04/23,08:00,1.05,Real,</t>
  </si>
  <si>
    <t>ES0031408323131005HX0F,2024/04/23,09:00,0.549,Real,</t>
  </si>
  <si>
    <t>ES0031408323131005HX0F,2024/04/23,10:00,0.469,Real,</t>
  </si>
  <si>
    <t>ES0031408323131005HX0F,2024/04/23,11:00,1.546,Real,</t>
  </si>
  <si>
    <t>ES0031408323131005HX0F,2024/04/23,12:00,0.041,Real,</t>
  </si>
  <si>
    <t>ES0031408323131005HX0F,2024/04/23,13:00,0.075,Real,</t>
  </si>
  <si>
    <t>ES0031408323131005HX0F,2024/04/23,14:00,0.054,Real,</t>
  </si>
  <si>
    <t>ES0031408323131005HX0F,2024/04/23,15:00,0.067,Real,</t>
  </si>
  <si>
    <t>ES0031408323131005HX0F,2024/04/23,16:00,0.844,Real,</t>
  </si>
  <si>
    <t>ES0031408323131005HX0F,2024/04/23,17:00,0.415,Real,</t>
  </si>
  <si>
    <t>ES0031408323131005HX0F,2024/04/23,18:00,0.056,Real,</t>
  </si>
  <si>
    <t>ES0031408323131005HX0F,2024/04/23,19:00,0.047,Real,</t>
  </si>
  <si>
    <t>ES0031408323131005HX0F,2024/04/23,20:00,0.073,Real,</t>
  </si>
  <si>
    <t>ES0031408323131005HX0F,2024/04/23,21:00,2.459,Real,</t>
  </si>
  <si>
    <t>ES0031408323131005HX0F,2024/04/23,22:00,1.898,Real,</t>
  </si>
  <si>
    <t>ES0031408323131005HX0F,2024/04/23,23:00,1.211,Real,</t>
  </si>
  <si>
    <t>ES0031408323131005HX0F,2024/04/23,24:00,1.719,Real,</t>
  </si>
  <si>
    <t>ES0031408323131005HX0F,2024/04/24,01:00,0.233,Real,</t>
  </si>
  <si>
    <t>ES0031408323131005HX0F,2024/04/24,02:00,0.085,Real,</t>
  </si>
  <si>
    <t>ES0031408323131005HX0F,2024/04/24,03:00,0.054,Real,</t>
  </si>
  <si>
    <t>ES0031408323131005HX0F,2024/04/24,04:00,0.072,Real,</t>
  </si>
  <si>
    <t>ES0031408323131005HX0F,2024/04/24,05:00,0.046,Real,</t>
  </si>
  <si>
    <t>ES0031408323131005HX0F,2024/04/24,06:00,0.387,Real,</t>
  </si>
  <si>
    <t>ES0031408323131005HX0F,2024/04/24,07:00,1.38,Real,</t>
  </si>
  <si>
    <t>ES0031408323131005HX0F,2024/04/24,08:00,1.187,Real,</t>
  </si>
  <si>
    <t>ES0031408323131005HX0F,2024/04/24,09:00,0.498,Real,</t>
  </si>
  <si>
    <t>ES0031408323131005HX0F,2024/04/24,10:00,0.948,Real,</t>
  </si>
  <si>
    <t>ES0031408323131005HX0F,2024/04/24,11:00,0.079,Real,</t>
  </si>
  <si>
    <t>ES0031408323131005HX0F,2024/04/24,12:00,0.06,Real,</t>
  </si>
  <si>
    <t>ES0031408323131005HX0F,2024/04/24,13:00,0.297,Real,</t>
  </si>
  <si>
    <t>ES0031408323131005HX0F,2024/04/24,14:00,0.098,Real,</t>
  </si>
  <si>
    <t>ES0031408323131005HX0F,2024/04/24,15:00,0.056,Real,</t>
  </si>
  <si>
    <t>ES0031408323131005HX0F,2024/04/24,16:00,0.574,Real,</t>
  </si>
  <si>
    <t>ES0031408323131005HX0F,2024/04/24,17:00,0.127,Real,</t>
  </si>
  <si>
    <t>ES0031408323131005HX0F,2024/04/24,18:00,0.163,Real,</t>
  </si>
  <si>
    <t>ES0031408323131005HX0F,2024/04/24,19:00,0.147,Real,</t>
  </si>
  <si>
    <t>ES0031408323131005HX0F,2024/04/24,20:00,0.907,Real,</t>
  </si>
  <si>
    <t>ES0031408323131005HX0F,2024/04/24,21:00,1.478,Real,</t>
  </si>
  <si>
    <t>ES0031408323131005HX0F,2024/04/24,22:00,0.769,Real,</t>
  </si>
  <si>
    <t>ES0031408323131005HX0F,2024/04/24,23:00,2.159,Real,</t>
  </si>
  <si>
    <t>ES0031408323131005HX0F,2024/04/24,24:00,1.107,Real,</t>
  </si>
  <si>
    <t>ES0031408323131005HX0F,2024/04/25,01:00,0.069,Real,</t>
  </si>
  <si>
    <t>ES0031408323131005HX0F,2024/04/25,02:00,0.076,Real,</t>
  </si>
  <si>
    <t>ES0031408323131005HX0F,2024/04/25,03:00,0.038,Real,</t>
  </si>
  <si>
    <t>ES0031408323131005HX0F,2024/04/25,04:00,0.073,Real,</t>
  </si>
  <si>
    <t>ES0031408323131005HX0F,2024/04/25,05:00,0.049,Real,</t>
  </si>
  <si>
    <t>ES0031408323131005HX0F,2024/04/25,06:00,0.35,Real,</t>
  </si>
  <si>
    <t>ES0031408323131005HX0F,2024/04/25,07:00,0.085,Real,</t>
  </si>
  <si>
    <t>ES0031408323131005HX0F,2024/04/25,08:00,1.924,Real,</t>
  </si>
  <si>
    <t>ES0031408323131005HX0F,2024/04/25,09:00,0.296,Real,</t>
  </si>
  <si>
    <t>ES0031408323131005HX0F,2024/04/25,10:00,0.425,Real,</t>
  </si>
  <si>
    <t>ES0031408323131005HX0F,2024/04/25,11:00,0.107,Real,</t>
  </si>
  <si>
    <t>ES0031408323131005HX0F,2024/04/25,12:00,0.064,Real,</t>
  </si>
  <si>
    <t>ES0031408323131005HX0F,2024/04/25,13:00,0.074,Real,</t>
  </si>
  <si>
    <t>ES0031408323131005HX0F,2024/04/25,14:00,0.059,Real,</t>
  </si>
  <si>
    <t>ES0031408323131005HX0F,2024/04/25,15:00,0.071,Real,</t>
  </si>
  <si>
    <t>ES0031408323131005HX0F,2024/04/25,16:00,0.465,Real,</t>
  </si>
  <si>
    <t>ES0031408323131005HX0F,2024/04/25,17:00,0.062,Real,</t>
  </si>
  <si>
    <t>ES0031408323131005HX0F,2024/04/25,18:00,0.067,Real,</t>
  </si>
  <si>
    <t>ES0031408323131005HX0F,2024/04/25,19:00,0.048,Real,</t>
  </si>
  <si>
    <t>ES0031408323131005HX0F,2024/04/25,20:00,0.445,Real,</t>
  </si>
  <si>
    <t>ES0031408323131005HX0F,2024/04/25,21:00,0.63,Real,</t>
  </si>
  <si>
    <t>ES0031408323131005HX0F,2024/04/25,22:00,2.148,Real,</t>
  </si>
  <si>
    <t>ES0031408323131005HX0F,2024/04/25,23:00,1.545,Real,</t>
  </si>
  <si>
    <t>ES0031408323131005HX0F,2024/04/25,24:00,1.146,Real,</t>
  </si>
  <si>
    <t>ES0031408323131005HX0F,2024/04/26,01:00,0.9,Real,</t>
  </si>
  <si>
    <t>ES0031408323131005HX0F,2024/04/26,02:00,0.095,Real,</t>
  </si>
  <si>
    <t>ES0031408323131005HX0F,2024/04/26,03:00,0.07,Real,</t>
  </si>
  <si>
    <t>ES0031408323131005HX0F,2024/04/26,04:00,0.035,Real,</t>
  </si>
  <si>
    <t>ES0031408323131005HX0F,2024/04/26,05:00,0.242,Real,</t>
  </si>
  <si>
    <t>ES0031408323131005HX0F,2024/04/26,06:00,0.166,Real,</t>
  </si>
  <si>
    <t>ES0031408323131005HX0F,2024/04/26,07:00,1.339,Real,</t>
  </si>
  <si>
    <t>ES0031408323131005HX0F,2024/04/26,08:00,1.358,Real,</t>
  </si>
  <si>
    <t>ES0031408323131005HX0F,2024/04/26,09:00,1.093,Real,</t>
  </si>
  <si>
    <t>ES0031408323131005HX0F,2024/04/26,10:00,0.083,Real,</t>
  </si>
  <si>
    <t>ES0031408323131005HX0F,2024/04/26,11:00,0.033,Real,</t>
  </si>
  <si>
    <t>ES0031408323131005HX0F,2024/04/26,12:00,0.132,Real,</t>
  </si>
  <si>
    <t>ES0031408323131005HX0F,2024/04/26,13:00,0.102,Real,</t>
  </si>
  <si>
    <t>ES0031408323131005HX0F,2024/04/26,14:00,0.832,Real,</t>
  </si>
  <si>
    <t>ES0031408323131005HX0F,2024/04/26,15:00,0.628,Real,</t>
  </si>
  <si>
    <t>ES0031408323131005HX0F,2024/04/26,16:00,1.5,Real,</t>
  </si>
  <si>
    <t>ES0031408323131005HX0F,2024/04/26,17:00,0.278,Real,</t>
  </si>
  <si>
    <t>ES0031408323131005HX0F,2024/04/26,18:00,0.07,Real,</t>
  </si>
  <si>
    <t>ES0031408323131005HX0F,2024/04/26,19:00,0.052,Real,</t>
  </si>
  <si>
    <t>ES0031408323131005HX0F,2024/04/26,20:00,0.215,Real,</t>
  </si>
  <si>
    <t>ES0031408323131005HX0F,2024/04/26,21:00,1.891,Real,</t>
  </si>
  <si>
    <t>ES0031408323131005HX0F,2024/04/26,22:00,1.059,Real,</t>
  </si>
  <si>
    <t>ES0031408323131005HX0F,2024/04/26,23:00,1.62,Real,</t>
  </si>
  <si>
    <t>ES0031408323131005HX0F,2024/04/26,24:00,0.083,Real,</t>
  </si>
  <si>
    <t>ES0031408323131005HX0F,2024/04/27,01:00,0.081,Real,</t>
  </si>
  <si>
    <t>ES0031408323131005HX0F,2024/04/27,02:00,0.048,Real,</t>
  </si>
  <si>
    <t>ES0031408323131005HX0F,2024/04/27,03:00,0.371,Real,</t>
  </si>
  <si>
    <t>ES0031408323131005HX0F,2024/04/27,04:00,0.057,Real,</t>
  </si>
  <si>
    <t>ES0031408323131005HX0F,2024/04/27,05:00,0.06,Real,</t>
  </si>
  <si>
    <t>ES0031408323131005HX0F,2024/04/27,06:00,0.068,Real,</t>
  </si>
  <si>
    <t>ES0031408323131005HX0F,2024/04/27,07:00,0.036,Real,</t>
  </si>
  <si>
    <t>ES0031408323131005HX0F,2024/04/27,08:00,0.102,Real,</t>
  </si>
  <si>
    <t>ES0031408323131005HX0F,2024/04/27,09:00,0.511,Real,</t>
  </si>
  <si>
    <t>ES0031408323131005HX0F,2024/04/27,10:00,0.529,Real,</t>
  </si>
  <si>
    <t>ES0031408323131005HX0F,2024/04/27,11:00,1.011,Real,</t>
  </si>
  <si>
    <t>ES0031408323131005HX0F,2024/04/27,12:00,0.235,Real,</t>
  </si>
  <si>
    <t>ES0031408323131005HX0F,2024/04/27,13:00,0.54,Real,</t>
  </si>
  <si>
    <t>ES0031408323131005HX0F,2024/04/27,14:00,0.726,Real,</t>
  </si>
  <si>
    <t>ES0031408323131005HX0F,2024/04/27,15:00,0.5,Real,</t>
  </si>
  <si>
    <t>ES0031408323131005HX0F,2024/04/27,16:00,0.202,Real,</t>
  </si>
  <si>
    <t>ES0031408323131005HX0F,2024/04/27,17:00,0.224,Real,</t>
  </si>
  <si>
    <t>ES0031408323131005HX0F,2024/04/27,18:00,1.426,Real,</t>
  </si>
  <si>
    <t>ES0031408323131005HX0F,2024/04/27,19:00,0.371,Real,</t>
  </si>
  <si>
    <t>ES0031408323131005HX0F,2024/04/27,20:00,0.094,Real,</t>
  </si>
  <si>
    <t>ES0031408323131005HX0F,2024/04/27,21:00,1.553,Real,</t>
  </si>
  <si>
    <t>ES0031408323131005HX0F,2024/04/27,22:00,0.837,Real,</t>
  </si>
  <si>
    <t>ES0031408323131005HX0F,2024/04/27,23:00,1.686,Real,</t>
  </si>
  <si>
    <t>ES0031408323131005HX0F,2024/04/27,24:00,1.791,Real,</t>
  </si>
  <si>
    <t>ES0031408323131005HX0F,2024/04/28,01:00,0.087,Real,</t>
  </si>
  <si>
    <t>ES0031408323131005HX0F,2024/04/28,02:00,0.061,Real,</t>
  </si>
  <si>
    <t>ES0031408323131005HX0F,2024/04/28,03:00,0.057,Real,</t>
  </si>
  <si>
    <t>ES0031408323131005HX0F,2024/04/28,04:00,0.078,Real,</t>
  </si>
  <si>
    <t>ES0031408323131005HX0F,2024/04/28,05:00,0.292,Real,</t>
  </si>
  <si>
    <t>ES0031408323131005HX0F,2024/04/28,06:00,0.082,Real,</t>
  </si>
  <si>
    <t>ES0031408323131005HX0F,2024/04/28,07:00,0.037,Real,</t>
  </si>
  <si>
    <t>ES0031408323131005HX0F,2024/04/28,08:00,0.092,Real,</t>
  </si>
  <si>
    <t>ES0031408323131005HX0F,2024/04/28,09:00,0.115,Real,</t>
  </si>
  <si>
    <t>ES0031408323131005HX0F,2024/04/28,10:00,1.726,Real,</t>
  </si>
  <si>
    <t>ES0031408323131005HX0F,2024/04/28,11:00,1.212,Real,</t>
  </si>
  <si>
    <t>ES0031408323131005HX0F,2024/04/28,12:00,0.474,Real,</t>
  </si>
  <si>
    <t>ES0031408323131005HX0F,2024/04/28,13:00,0.257,Real,</t>
  </si>
  <si>
    <t>ES0031408323131005HX0F,2024/04/28,14:00,0.988,Real,</t>
  </si>
  <si>
    <t>ES0031408323131005HX0F,2024/04/28,15:00,0.18,Real,</t>
  </si>
  <si>
    <t>ES0031408323131005HX0F,2024/04/28,16:00,0.858,Real,</t>
  </si>
  <si>
    <t>ES0031408323131005HX0F,2024/04/28,17:00,0.762,Real,</t>
  </si>
  <si>
    <t>ES0031408323131005HX0F,2024/04/28,18:00,0.299,Real,</t>
  </si>
  <si>
    <t>ES0031408323131005HX0F,2024/04/28,19:00,0.165,Real,</t>
  </si>
  <si>
    <t>ES0031408323131005HX0F,2024/04/28,20:00,1.18,Real,</t>
  </si>
  <si>
    <t>ES0031408323131005HX0F,2024/04/28,21:00,2.03,Real,</t>
  </si>
  <si>
    <t>ES0031408323131005HX0F,2024/04/28,22:00,1.238,Real,</t>
  </si>
  <si>
    <t>ES0031408323131005HX0F,2024/04/28,23:00,0.08,Real,</t>
  </si>
  <si>
    <t>ES0031408323131005HX0F,2024/04/28,24:00,0.077,Real,</t>
  </si>
  <si>
    <t>ES0031408323131005HX0F,2024/04/29,01:00,0.045,Real,</t>
  </si>
  <si>
    <t>ES0031408323131005HX0F,2024/04/29,02:00,0.07,Real,</t>
  </si>
  <si>
    <t>ES0031408323131005HX0F,2024/04/29,03:00,0.328,Real,</t>
  </si>
  <si>
    <t>ES0031408323131005HX0F,2024/04/29,04:00,0.095,Real,</t>
  </si>
  <si>
    <t>ES0031408323131005HX0F,2024/04/29,05:00,0.046,Real,</t>
  </si>
  <si>
    <t>ES0031408323131005HX0F,2024/04/29,06:00,0.07,Real,</t>
  </si>
  <si>
    <t>ES0031408323131005HX0F,2024/04/29,07:00,0.052,Real,</t>
  </si>
  <si>
    <t>ES0031408323131005HX0F,2024/04/29,08:00,0.801,Real,</t>
  </si>
  <si>
    <t>ES0031408323131005HX0F,2024/04/29,09:00,1.174,Real,</t>
  </si>
  <si>
    <t>ES0031408323131005HX0F,2024/04/29,10:00,0.172,Real,</t>
  </si>
  <si>
    <t>ES0031408323131005HX0F,2024/04/29,11:00,0.148,Real,</t>
  </si>
  <si>
    <t>ES0031408323131005HX0F,2024/04/29,12:00,0.372,Real,</t>
  </si>
  <si>
    <t>ES0031408323131005HX0F,2024/04/29,13:00,0.395,Real,</t>
  </si>
  <si>
    <t>ES0031408323131005HX0F,2024/04/29,14:00,0.465,Real,</t>
  </si>
  <si>
    <t>ES0031408323131005HX0F,2024/04/29,15:00,0.264,Real,</t>
  </si>
  <si>
    <t>ES0031408323131005HX0F,2024/04/29,16:00,0.525,Real,</t>
  </si>
  <si>
    <t>ES0031408323131005HX0F,2024/04/29,17:00,0.325,Real,</t>
  </si>
  <si>
    <t>ES0031408323131005HX0F,2024/04/29,18:00,0.044,Real,</t>
  </si>
  <si>
    <t>ES0031408323131005HX0F,2024/04/29,19:00,0.076,Real,</t>
  </si>
  <si>
    <t>ES0031408323131005HX0F,2024/04/29,20:00,0.038,Real,</t>
  </si>
  <si>
    <t>ES0031408323131005HX0F,2024/04/29,21:00,0.076,Real,</t>
  </si>
  <si>
    <t>ES0031408323131005HX0F,2024/04/29,22:00,0.04,Real,</t>
  </si>
  <si>
    <t>ES0031408323131005HX0F,2024/04/29,23:00,1.368,Real,</t>
  </si>
  <si>
    <t>ES0031408323131005HX0F,2024/04/29,24:00,3.018,Real,</t>
  </si>
  <si>
    <t>ES0031408323131005HX0F,2024/04/30,01:00,0.31,Real,</t>
  </si>
  <si>
    <t>ES0031408323131005HX0F,2024/04/30,02:00,0.062,Real,</t>
  </si>
  <si>
    <t>ES0031408323131005HX0F,2024/04/30,03:00,0.058,Real,</t>
  </si>
  <si>
    <t>ES0031408323131005HX0F,2024/04/30,04:00,0.053,Real,</t>
  </si>
  <si>
    <t>ES0031408323131005HX0F,2024/04/30,05:00,0.322,Real,</t>
  </si>
  <si>
    <t>ES0031408323131005HX0F,2024/04/30,06:00,0.055,Real,</t>
  </si>
  <si>
    <t>ES0031408323131005HX0F,2024/04/30,07:00,0.054,Real,</t>
  </si>
  <si>
    <t>ES0031408323131005HX0F,2024/04/30,08:00,0.593,Real,</t>
  </si>
  <si>
    <t>ES0031408323131005HX0F,2024/04/30,09:00,0.096,Real,</t>
  </si>
  <si>
    <t>ES0031408323131005HX0F,2024/04/30,10:00,0.644,Real,</t>
  </si>
  <si>
    <t>ES0031408323131005HX0F,2024/04/30,11:00,0.321,Real,</t>
  </si>
  <si>
    <t>ES0031408323131005HX0F,2024/04/30,12:00,0.387,Real,</t>
  </si>
  <si>
    <t>ES0031408323131005HX0F,2024/04/30,13:00,0.186,Real,</t>
  </si>
  <si>
    <t>ES0031408323131005HX0F,2024/04/30,14:00,0.365,Real,</t>
  </si>
  <si>
    <t>ES0031408323131005HX0F,2024/04/30,15:00,0.052,Real,</t>
  </si>
  <si>
    <t>ES0031408323131005HX0F,2024/04/30,16:00,0.069,Real,</t>
  </si>
  <si>
    <t>ES0031408323131005HX0F,2024/04/30,17:00,0.046,Real,</t>
  </si>
  <si>
    <t>ES0031408323131005HX0F,2024/04/30,18:00,0.101,Real,</t>
  </si>
  <si>
    <t>ES0031408323131005HX0F,2024/04/30,19:00,0.115,Real,</t>
  </si>
  <si>
    <t>ES0031408323131005HX0F,2024/04/30,20:00,0.357,Real,</t>
  </si>
  <si>
    <t>ES0031408323131005HX0F,2024/04/30,21:00,0.056,Real,</t>
  </si>
  <si>
    <t>ES0031408323131005HX0F,2024/04/30,22:00,0.059,Real,</t>
  </si>
  <si>
    <t>ES0031408323131005HX0F,2024/04/30,23:00,0.809,Real,</t>
  </si>
  <si>
    <t>ES0031408323131005HX0F,2024/04/30,24:00,0.269,Real,</t>
  </si>
  <si>
    <t>ES0031408323131005HX0F,2024/05/01,01:00,1.633,Real,</t>
  </si>
  <si>
    <t>ES0031408323131005HX0F,2024/05/01,02:00,0.693,Real,</t>
  </si>
  <si>
    <t>ES0031408323131005HX0F,2024/05/01,03:00,0.078,Real,</t>
  </si>
  <si>
    <t>ES0031408323131005HX0F,2024/05/01,04:00,0.034,Real,</t>
  </si>
  <si>
    <t>ES0031408323131005HX0F,2024/05/01,05:00,0.077,Real,</t>
  </si>
  <si>
    <t>ES0031408323131005HX0F,2024/05/01,06:00,0.042,Real,</t>
  </si>
  <si>
    <t>ES0031408323131005HX0F,2024/05/01,07:00,0.344,Real,</t>
  </si>
  <si>
    <t>ES0031408323131005HX0F,2024/05/01,08:00,1.516,Real,</t>
  </si>
  <si>
    <t>ES0031408323131005HX0F,2024/05/01,09:00,1.153,Real,</t>
  </si>
  <si>
    <t>ES0031408323131005HX0F,2024/05/01,10:00,0.07,Real,</t>
  </si>
  <si>
    <t>ES0031408323131005HX0F,2024/05/01,11:00,0.045,Real,</t>
  </si>
  <si>
    <t>ES0031408323131005HX0F,2024/05/01,12:00,0.071,Real,</t>
  </si>
  <si>
    <t>ES0031408323131005HX0F,2024/05/01,13:00,0.034,Real,</t>
  </si>
  <si>
    <t>ES0031408323131005HX0F,2024/05/01,14:00,0.361,Real,</t>
  </si>
  <si>
    <t>ES0031408323131005HX0F,2024/05/01,15:00,0.17,Real,</t>
  </si>
  <si>
    <t>ES0031408323131005HX0F,2024/05/01,16:00,0.197,Real,</t>
  </si>
  <si>
    <t>ES0031408323131005HX0F,2024/05/01,17:00,1.106,Real,</t>
  </si>
  <si>
    <t>ES0031408323131005HX0F,2024/05/01,18:00,0.07,Real,</t>
  </si>
  <si>
    <t>ES0031408323131005HX0F,2024/05/01,19:00,0.049,Real,</t>
  </si>
  <si>
    <t>ES0031408323131005HX0F,2024/05/01,20:00,0.066,Real,</t>
  </si>
  <si>
    <t>ES0031408323131005HX0F,2024/05/01,21:00,0.052,Real,</t>
  </si>
  <si>
    <t>ES0031408323131005HX0F,2024/05/01,22:00,0.381,Real,</t>
  </si>
  <si>
    <t>ES0031408323131005HX0F,2024/05/01,23:00,1.026,Real,</t>
  </si>
  <si>
    <t>ES0031408323131005HX0F,2024/05/01,24:00,2.509,Real,</t>
  </si>
  <si>
    <t>ES0031408323131005HX0F,2024/05/02,01:00,0.062,Real,</t>
  </si>
  <si>
    <t>ES0031408323131005HX0F,2024/05/02,02:00,0.081,Real,</t>
  </si>
  <si>
    <t>ES0031408323131005HX0F,2024/05/02,03:00,0.036,Real,</t>
  </si>
  <si>
    <t>ES0031408323131005HX0F,2024/05/02,04:00,0.34,Real,</t>
  </si>
  <si>
    <t>ES0031408323131005HX0F,2024/05/02,05:00,0.052,Real,</t>
  </si>
  <si>
    <t>ES0031408323131005HX0F,2024/05/02,06:00,0.064,Real,</t>
  </si>
  <si>
    <t>ES0031408323131005HX0F,2024/05/02,07:00,0.051,Real,</t>
  </si>
  <si>
    <t>ES0031408323131005HX0F,2024/05/02,08:00,0.063,Real,</t>
  </si>
  <si>
    <t>ES0031408323131005HX0F,2024/05/02,09:00,0.051,Real,</t>
  </si>
  <si>
    <t>ES0031408323131005HX0F,2024/05/02,10:00,0.337,Real,</t>
  </si>
  <si>
    <t>ES0031408323131005HX0F,2024/05/02,11:00,0.215,Real,</t>
  </si>
  <si>
    <t>ES0031408323131005HX0F,2024/05/02,12:00,0.033,Real,</t>
  </si>
  <si>
    <t>ES0031408323131005HX0F,2024/05/02,13:00,0.065,Real,</t>
  </si>
  <si>
    <t>ES0031408323131005HX0F,2024/05/02,14:00,0.05,Real,</t>
  </si>
  <si>
    <t>ES0031408323131005HX0F,2024/05/02,15:00,0.362,Real,</t>
  </si>
  <si>
    <t>ES0031408323131005HX0F,2024/05/02,16:00,0.052,Real,</t>
  </si>
  <si>
    <t>ES0031408323131005HX0F,2024/05/02,17:00,0.065,Real,</t>
  </si>
  <si>
    <t>ES0031408323131005HX0F,2024/05/02,18:00,0.052,Real,</t>
  </si>
  <si>
    <t>ES0031408323131005HX0F,2024/05/02,19:00,0.054,Real,</t>
  </si>
  <si>
    <t>ES0031408323131005HX0F,2024/05/02,20:00,0.063,Real,</t>
  </si>
  <si>
    <t>ES0031408323131005HX0F,2024/05/02,21:00,0.31,Real,</t>
  </si>
  <si>
    <t>ES0031408323131005HX0F,2024/05/02,22:00,0.067,Real,</t>
  </si>
  <si>
    <t>ES0031408323131005HX0F,2024/05/02,23:00,0.417,Real,</t>
  </si>
  <si>
    <t>ES0031408323131005HX0F,2024/05/02,24:00,3.664,Real,</t>
  </si>
  <si>
    <t>ES0031408323131005HX0F,2024/05/03,01:00,1.025,Real,</t>
  </si>
  <si>
    <t>ES0031408323131005HX0F,2024/05/03,02:00,0.142,Real,</t>
  </si>
  <si>
    <t>ES0031408323131005HX0F,2024/05/03,03:00,0.118,Real,</t>
  </si>
  <si>
    <t>ES0031408323131005HX0F,2024/05/03,04:00,0.347,Real,</t>
  </si>
  <si>
    <t>ES0031408323131005HX0F,2024/05/03,05:00,0.053,Real,</t>
  </si>
  <si>
    <t>ES0031408323131005HX0F,2024/05/03,06:00,0.069,Real,</t>
  </si>
  <si>
    <t>ES0031408323131005HX0F,2024/05/03,07:00,0.033,Real,</t>
  </si>
  <si>
    <t>ES0031408323131005HX0F,2024/05/03,08:00,0.067,Real,</t>
  </si>
  <si>
    <t>ES0031408323131005HX0F,2024/05/03,09:00,1.266,Real,</t>
  </si>
  <si>
    <t>ES0031408323131005HX0F,2024/05/03,10:00,0.484,Real,</t>
  </si>
  <si>
    <t>ES0031408323131005HX0F,2024/05/03,11:00,0.095,Real,</t>
  </si>
  <si>
    <t>ES0031408323131005HX0F,2024/05/03,12:00,0.117,Real,</t>
  </si>
  <si>
    <t>ES0031408323131005HX0F,2024/05/03,13:00,0.113,Real,</t>
  </si>
  <si>
    <t>ES0031408323131005HX0F,2024/05/03,14:00,0.113,Real,</t>
  </si>
  <si>
    <t>ES0031408323131005HX0F,2024/05/03,15:00,0.384,Real,</t>
  </si>
  <si>
    <t>ES0031408323131005HX0F,2024/05/03,16:00,0.111,Real,</t>
  </si>
  <si>
    <t>ES0031408323131005HX0F,2024/05/03,17:00,0.077,Real,</t>
  </si>
  <si>
    <t>ES0031408323131005HX0F,2024/05/03,18:00,0.036,Real,</t>
  </si>
  <si>
    <t>ES0031408323131005HX0F,2024/05/03,19:00,0.049,Real,</t>
  </si>
  <si>
    <t>ES0031408323131005HX0F,2024/05/03,20:00,0.059,Real,</t>
  </si>
  <si>
    <t>ES0031408323131005HX0F,2024/05/03,21:00,0.34,Real,</t>
  </si>
  <si>
    <t>ES0031408323131005HX0F,2024/05/03,22:00,0.025,Real,</t>
  </si>
  <si>
    <t>ES0031408323131005HX0F,2024/05/03,23:00,0.886,Real,</t>
  </si>
  <si>
    <t>ES0031408323131005HX0F,2024/05/03,24:00,1.49,Real,</t>
  </si>
  <si>
    <t>ES0031408323131005HX0F,2024/05/04,01:00,1.074,Real,</t>
  </si>
  <si>
    <t>ES0031408323131005HX0F,2024/05/04,02:00,0.058,Real,</t>
  </si>
  <si>
    <t>ES0031408323131005HX0F,2024/05/04,03:00,0.068,Real,</t>
  </si>
  <si>
    <t>ES0031408323131005HX0F,2024/05/04,04:00,0.031,Real,</t>
  </si>
  <si>
    <t>ES0031408323131005HX0F,2024/05/04,05:00,0.067,Real,</t>
  </si>
  <si>
    <t>ES0031408323131005HX0F,2024/05/04,06:00,0.325,Real,</t>
  </si>
  <si>
    <t>ES0031408323131005HX0F,2024/05/04,07:00,0.065,Real,</t>
  </si>
  <si>
    <t>ES0031408323131005HX0F,2024/05/04,08:00,0.063,Real,</t>
  </si>
  <si>
    <t>ES0031408323131005HX0F,2024/05/04,09:00,0.87,Real,</t>
  </si>
  <si>
    <t>ES0031408323131005HX0F,2024/05/04,10:00,1.025,Real,</t>
  </si>
  <si>
    <t>ES0031408323131005HX0F,2024/05/04,11:00,0.058,Real,</t>
  </si>
  <si>
    <t>ES0031408323131005HX0F,2024/05/04,12:00,0.057,Real,</t>
  </si>
  <si>
    <t>ES0031408323131005HX0F,2024/05/04,13:00,0.053,Real,</t>
  </si>
  <si>
    <t>ES0031408323131005HX0F,2024/05/04,14:00,0.185,Real,</t>
  </si>
  <si>
    <t>ES0031408323131005HX0F,2024/05/04,15:00,0.18,Real,</t>
  </si>
  <si>
    <t>ES0031408323131005HX0F,2024/05/04,16:00,0.067,Real,</t>
  </si>
  <si>
    <t>ES0031408323131005HX0F,2024/05/04,17:00,0.044,Real,</t>
  </si>
  <si>
    <t>ES0031408323131005HX0F,2024/05/04,18:00,0.215,Real,</t>
  </si>
  <si>
    <t>ES0031408323131005HX0F,2024/05/04,19:00,0.057,Real,</t>
  </si>
  <si>
    <t>ES0031408323131005HX0F,2024/05/04,20:00,0.347,Real,</t>
  </si>
  <si>
    <t>ES0031408323131005HX0F,2024/05/04,21:00,0.682,Real,</t>
  </si>
  <si>
    <t>ES0031408323131005HX0F,2024/05/04,22:00,0.364,Real,</t>
  </si>
  <si>
    <t>ES0031408323131005HX0F,2024/05/04,23:00,0.06,Real,</t>
  </si>
  <si>
    <t>ES0031408323131005HX0F,2024/05/04,24:00,0.065,Real,</t>
  </si>
  <si>
    <t>ES0031408323131005HX0F,2024/05/05,01:00,0.447,Real,</t>
  </si>
  <si>
    <t>ES0031408323131005HX0F,2024/05/05,02:00,0.083,Real,</t>
  </si>
  <si>
    <t>ES0031408323131005HX0F,2024/05/05,03:00,0.145,Real,</t>
  </si>
  <si>
    <t>ES0031408323131005HX0F,2024/05/05,04:00,0.076,Real,</t>
  </si>
  <si>
    <t>ES0031408323131005HX0F,2024/05/05,05:00,0.057,Real,</t>
  </si>
  <si>
    <t>ES0031408323131005HX0F,2024/05/05,06:00,0.071,Real,</t>
  </si>
  <si>
    <t>ES0031408323131005HX0F,2024/05/05,07:00,0.321,Real,</t>
  </si>
  <si>
    <t>ES0031408323131005HX0F,2024/05/05,08:00,0.097,Real,</t>
  </si>
  <si>
    <t>ES0031408323131005HX0F,2024/05/05,09:00,0.71,Real,</t>
  </si>
  <si>
    <t>ES0031408323131005HX0F,2024/05/05,10:00,0.177,Real,</t>
  </si>
  <si>
    <t>ES0031408323131005HX0F,2024/05/05,11:00,0.142,Real,</t>
  </si>
  <si>
    <t>ES0031408323131005HX0F,2024/05/05,12:00,0.373,Real,</t>
  </si>
  <si>
    <t>ES0031408323131005HX0F,2024/05/05,13:00,0.066,Real,</t>
  </si>
  <si>
    <t>ES0031408323131005HX0F,2024/05/05,14:00,0.055,Real,</t>
  </si>
  <si>
    <t>ES0031408323131005HX0F,2024/05/05,15:00,0.066,Real,</t>
  </si>
  <si>
    <t>ES0031408323131005HX0F,2024/05/05,16:00,1.782,Real,</t>
  </si>
  <si>
    <t>ES0031408323131005HX0F,2024/05/05,17:00,0.388,Real,</t>
  </si>
  <si>
    <t>ES0031408323131005HX0F,2024/05/05,18:00,0.054,Real,</t>
  </si>
  <si>
    <t>ES0031408323131005HX0F,2024/05/05,19:00,0.062,Real,</t>
  </si>
  <si>
    <t>ES0031408323131005HX0F,2024/05/05,20:00,0.057,Real,</t>
  </si>
  <si>
    <t>ES0031408323131005HX0F,2024/05/05,21:00,0.325,Real,</t>
  </si>
  <si>
    <t>ES0031408323131005HX0F,2024/05/05,22:00,0.065,Real,</t>
  </si>
  <si>
    <t>ES0031408323131005HX0F,2024/05/05,23:00,0.367,Real,</t>
  </si>
  <si>
    <t>ES0031408323131005HX0F,2024/05/05,24:00,1.429,Real,</t>
  </si>
  <si>
    <t>ES0031408323131005HX0F,2024/05/06,01:00,0.095,Real,</t>
  </si>
  <si>
    <t>ES0031408323131005HX0F,2024/05/06,02:00,0.078,Real,</t>
  </si>
  <si>
    <t>ES0031408323131005HX0F,2024/05/06,03:00,0.322,Real,</t>
  </si>
  <si>
    <t>ES0031408323131005HX0F,2024/05/06,04:00,0.071,Real,</t>
  </si>
  <si>
    <t>ES0031408323131005HX0F,2024/05/06,05:00,0.04,Real,</t>
  </si>
  <si>
    <t>ES0031408323131005HX0F,2024/05/06,06:00,0.126,Real,</t>
  </si>
  <si>
    <t>ES0031408323131005HX0F,2024/05/06,07:00,0.075,Real,</t>
  </si>
  <si>
    <t>ES0031408323131005HX0F,2024/05/06,08:00,0.119,Real,</t>
  </si>
  <si>
    <t>ES0031408323131005HX0F,2024/05/06,09:00,0.372,Real,</t>
  </si>
  <si>
    <t>ES0031408323131005HX0F,2024/05/06,10:00,1.532,Real,</t>
  </si>
  <si>
    <t>ES0031408323131005HX0F,2024/05/06,11:00,0.122,Real,</t>
  </si>
  <si>
    <t>ES0031408323131005HX0F,2024/05/06,12:00,0.054,Real,</t>
  </si>
  <si>
    <t>ES0031408323131005HX0F,2024/05/06,13:00,0.068,Real,</t>
  </si>
  <si>
    <t>ES0031408323131005HX0F,2024/05/06,14:00,0.311,Real,</t>
  </si>
  <si>
    <t>ES0031408323131005HX0F,2024/05/06,15:00,0.063,Real,</t>
  </si>
  <si>
    <t>ES0031408323131005HX0F,2024/05/06,16:00,0.067,Real,</t>
  </si>
  <si>
    <t>ES0031408323131005HX0F,2024/05/06,17:00,0.698,Real,</t>
  </si>
  <si>
    <t>ES0031408323131005HX0F,2024/05/06,18:00,0.071,Real,</t>
  </si>
  <si>
    <t>ES0031408323131005HX0F,2024/05/06,19:00,0.04,Real,</t>
  </si>
  <si>
    <t>ES0031408323131005HX0F,2024/05/06,20:00,0.597,Real,</t>
  </si>
  <si>
    <t>ES0031408323131005HX0F,2024/05/06,21:00,0.594,Real,</t>
  </si>
  <si>
    <t>ES0031408323131005HX0F,2024/05/06,22:00,0.808,Real,</t>
  </si>
  <si>
    <t>ES0031408323131005HX0F,2024/05/06,23:00,1.325,Real,</t>
  </si>
  <si>
    <t>ES0031408323131005HX0F,2024/05/06,24:00,0.47,Real,</t>
  </si>
  <si>
    <t>ES0031408323131005HX0F,2024/05/07,01:00,0.473,Real,</t>
  </si>
  <si>
    <t>ES0031408323131005HX0F,2024/05/07,02:00,0.332,Real,</t>
  </si>
  <si>
    <t>ES0031408323131005HX0F,2024/05/07,03:00,0.057,Real,</t>
  </si>
  <si>
    <t>ES0031408323131005HX0F,2024/05/07,04:00,0.08,Real,</t>
  </si>
  <si>
    <t>ES0031408323131005HX0F,2024/05/07,05:00,0.055,Real,</t>
  </si>
  <si>
    <t>ES0031408323131005HX0F,2024/05/07,06:00,0.066,Real,</t>
  </si>
  <si>
    <t>ES0031408323131005HX0F,2024/05/07,07:00,1.909,Real,</t>
  </si>
  <si>
    <t>ES0031408323131005HX0F,2024/05/07,08:00,0.131,Real,</t>
  </si>
  <si>
    <t>ES0031408323131005HX0F,2024/05/07,09:00,0.076,Real,</t>
  </si>
  <si>
    <t>ES0031408323131005HX0F,2024/05/07,10:00,0.044,Real,</t>
  </si>
  <si>
    <t>ES0031408323131005HX0F,2024/05/07,11:00,0.072,Real,</t>
  </si>
  <si>
    <t>ES0031408323131005HX0F,2024/05/07,12:00,0.315,Real,</t>
  </si>
  <si>
    <t>ES0031408323131005HX0F,2024/05/07,13:00,0.068,Real,</t>
  </si>
  <si>
    <t>ES0031408323131005HX0F,2024/05/07,14:00,0.055,Real,</t>
  </si>
  <si>
    <t>ES0031408323131005HX0F,2024/05/07,15:00,0.072,Real,</t>
  </si>
  <si>
    <t>ES0031408323131005HX0F,2024/05/07,16:00,0.059,Real,</t>
  </si>
  <si>
    <t>ES0031408323131005HX0F,2024/05/07,17:00,0.047,Real,</t>
  </si>
  <si>
    <t>ES0031408323131005HX0F,2024/05/07,18:00,0.328,Real,</t>
  </si>
  <si>
    <t>ES0031408323131005HX0F,2024/05/07,19:00,0.034,Real,</t>
  </si>
  <si>
    <t>ES0031408323131005HX0F,2024/05/07,20:00,0.072,Real,</t>
  </si>
  <si>
    <t>ES0031408323131005HX0F,2024/05/07,21:00,0.052,Real,</t>
  </si>
  <si>
    <t>ES0031408323131005HX0F,2024/05/07,22:00,0.597,Real,</t>
  </si>
  <si>
    <t>ES0031408323131005HX0F,2024/05/07,23:00,0.71,Real,</t>
  </si>
  <si>
    <t>ES0031408323131005HX0F,2024/05/07,24:00,0.09,Real,</t>
  </si>
  <si>
    <t>ES0031408323131005HX0F,2024/05/08,01:00,0.057,Real,</t>
  </si>
  <si>
    <t>ES0031408323131005HX0F,2024/05/08,02:00,0.078,Real,</t>
  </si>
  <si>
    <t>ES0031408323131005HX0F,2024/05/08,03:00,0.056,Real,</t>
  </si>
  <si>
    <t>ES0031408323131005HX0F,2024/05/08,04:00,0.07,Real,</t>
  </si>
  <si>
    <t>ES0031408323131005HX0F,2024/05/08,05:00,0.335,Real,</t>
  </si>
  <si>
    <t>ES0031408323131005HX0F,2024/05/08,06:00,0.049,Real,</t>
  </si>
  <si>
    <t>ES0031408323131005HX0F,2024/05/08,07:00,2.081,Real,</t>
  </si>
  <si>
    <t>ES0031408323131005HX0F,2024/05/08,08:00,0.55,Real,</t>
  </si>
  <si>
    <t>ES0031408323131005HX0F,2024/05/08,09:00,0.126,Real,</t>
  </si>
  <si>
    <t>ES0031408323131005HX0F,2024/05/08,10:00,0.085,Real,</t>
  </si>
  <si>
    <t>ES0031408323131005HX0F,2024/05/08,11:00,0.056,Real,</t>
  </si>
  <si>
    <t>ES0031408323131005HX0F,2024/05/08,12:00,0.07,Real,</t>
  </si>
  <si>
    <t>ES0031408323131005HX0F,2024/05/08,13:00,0.055,Real,</t>
  </si>
  <si>
    <t>ES0031408323131005HX0F,2024/05/08,14:00,0.312,Real,</t>
  </si>
  <si>
    <t>ES0031408323131005HX0F,2024/05/08,15:00,0.066,Real,</t>
  </si>
  <si>
    <t>ES0031408323131005HX0F,2024/05/08,16:00,1.062,Real,</t>
  </si>
  <si>
    <t>ES0031408323131005HX0F,2024/05/08,17:00,0.135,Real,</t>
  </si>
  <si>
    <t>ES0031408323131005HX0F,2024/05/08,18:00,0.076,Real,</t>
  </si>
  <si>
    <t>ES0031408323131005HX0F,2024/05/08,19:00,0.288,Real,</t>
  </si>
  <si>
    <t>ES0031408323131005HX0F,2024/05/08,20:00,1.249,Real,</t>
  </si>
  <si>
    <t>ES0031408323131005HX0F,2024/05/08,21:00,0.855,Real,</t>
  </si>
  <si>
    <t>ES0031408323131005HX0F,2024/05/08,22:00,1.009,Real,</t>
  </si>
  <si>
    <t>ES0031408323131005HX0F,2024/05/08,23:00,0.819,Real,</t>
  </si>
  <si>
    <t>ES0031408323131005HX0F,2024/05/08,24:00,0.241,Real,</t>
  </si>
  <si>
    <t>ES0031408323131005HX0F,2024/05/09,01:00,0.085,Real,</t>
  </si>
  <si>
    <t>ES0031408323131005HX0F,2024/05/09,02:00,0.334,Real,</t>
  </si>
  <si>
    <t>ES0031408323131005HX0F,2024/05/09,03:00,0.051,Real,</t>
  </si>
  <si>
    <t>ES0031408323131005HX0F,2024/05/09,04:00,0.074,Real,</t>
  </si>
  <si>
    <t>ES0031408323131005HX0F,2024/05/09,05:00,0.034,Real,</t>
  </si>
  <si>
    <t>ES0031408323131005HX0F,2024/05/09,06:00,0.069,Real,</t>
  </si>
  <si>
    <t>ES0031408323131005HX0F,2024/05/09,07:00,1.508,Real,</t>
  </si>
  <si>
    <t>ES0031408323131005HX0F,2024/05/09,08:00,0.52,Real,</t>
  </si>
  <si>
    <t>ES0031408323131005HX0F,2024/05/09,09:00,0.054,Real,</t>
  </si>
  <si>
    <t>ES0031408323131005HX0F,2024/05/09,10:00,0.111,Real,</t>
  </si>
  <si>
    <t>ES0031408323131005HX0F,2024/05/09,11:00,0.115,Real,</t>
  </si>
  <si>
    <t>ES0031408323131005HX0F,2024/05/09,12:00,0.059,Real,</t>
  </si>
  <si>
    <t>ES0031408323131005HX0F,2024/05/09,13:00,0.052,Real,</t>
  </si>
  <si>
    <t>ES0031408323131005HX0F,2024/05/09,14:00,0.337,Real,</t>
  </si>
  <si>
    <t>ES0031408323131005HX0F,2024/05/09,15:00,0.043,Real,</t>
  </si>
  <si>
    <t>ES0031408323131005HX0F,2024/05/09,16:00,0.073,Real,</t>
  </si>
  <si>
    <t>ES0031408323131005HX0F,2024/05/09,17:00,0.324,Real,</t>
  </si>
  <si>
    <t>ES0031408323131005HX0F,2024/05/09,18:00,0.132,Real,</t>
  </si>
  <si>
    <t>ES0031408323131005HX0F,2024/05/09,19:00,0.285,Real,</t>
  </si>
  <si>
    <t>ES0031408323131005HX0F,2024/05/09,20:00,0.378,Real,</t>
  </si>
  <si>
    <t>ES0031408323131005HX0F,2024/05/09,21:00,0.364,Real,</t>
  </si>
  <si>
    <t>ES0031408323131005HX0F,2024/05/09,22:00,0.532,Real,</t>
  </si>
  <si>
    <t>ES0031408323131005HX0F,2024/05/09,23:00,1.451,Real,</t>
  </si>
  <si>
    <t>ES0031408323131005HX0F,2024/05/09,24:00,0.088,Real,</t>
  </si>
  <si>
    <t>ES0031408323131005HX0F,2024/05/10,01:00,0.077,Real,</t>
  </si>
  <si>
    <t>ES0031408323131005HX0F,2024/05/10,02:00,0.047,Real,</t>
  </si>
  <si>
    <t>ES0031408323131005HX0F,2024/05/10,03:00,0.071,Real,</t>
  </si>
  <si>
    <t>ES0031408323131005HX0F,2024/05/10,04:00,0.304,Real,</t>
  </si>
  <si>
    <t>ES0031408323131005HX0F,2024/05/10,05:00,0.077,Real,</t>
  </si>
  <si>
    <t>ES0031408323131005HX0F,2024/05/10,06:00,0.055,Real,</t>
  </si>
  <si>
    <t>ES0031408323131005HX0F,2024/05/10,07:00,1.414,Real,</t>
  </si>
  <si>
    <t>ES0031408323131005HX0F,2024/05/10,08:00,0.381,Real,</t>
  </si>
  <si>
    <t>ES0031408323131005HX0F,2024/05/10,09:00,0.055,Real,</t>
  </si>
  <si>
    <t>ES0031408323131005HX0F,2024/05/10,10:00,0.085,Real,</t>
  </si>
  <si>
    <t>ES0031408323131005HX0F,2024/05/10,11:00,0.126,Real,</t>
  </si>
  <si>
    <t>ES0031408323131005HX0F,2024/05/10,12:00,0.076,Real,</t>
  </si>
  <si>
    <t>ES0031408323131005HX0F,2024/05/10,13:00,0.463,Real,</t>
  </si>
  <si>
    <t>ES0031408323131005HX0F,2024/05/10,14:00,0.721,Real,</t>
  </si>
  <si>
    <t>ES0031408323131005HX0F,2024/05/10,15:00,0.045,Real,</t>
  </si>
  <si>
    <t>ES0031408323131005HX0F,2024/05/10,16:00,0.08,Real,</t>
  </si>
  <si>
    <t>ES0031408323131005HX0F,2024/05/10,17:00,0.056,Real,</t>
  </si>
  <si>
    <t>ES0031408323131005HX0F,2024/05/10,18:00,0.335,Real,</t>
  </si>
  <si>
    <t>ES0031408323131005HX0F,2024/05/10,19:00,0.056,Real,</t>
  </si>
  <si>
    <t>ES0031408323131005HX0F,2024/05/10,20:00,0.064,Real,</t>
  </si>
  <si>
    <t>ES0031408323131005HX0F,2024/05/10,21:00,0.833,Real,</t>
  </si>
  <si>
    <t>ES0031408323131005HX0F,2024/05/10,22:00,0.497,Real,</t>
  </si>
  <si>
    <t>ES0031408323131005HX0F,2024/05/10,23:00,0.539,Real,</t>
  </si>
  <si>
    <t>ES0031408323131005HX0F,2024/05/10,24:00,0.049,Real,</t>
  </si>
  <si>
    <t>ES0031408323131005HX0F,2024/05/11,01:00,0.075,Real,</t>
  </si>
  <si>
    <t>ES0031408323131005HX0F,2024/05/11,02:00,0.307,Real,</t>
  </si>
  <si>
    <t>ES0031408323131005HX0F,2024/05/11,03:00,0.083,Real,</t>
  </si>
  <si>
    <t>ES0031408323131005HX0F,2024/05/11,04:00,0.058,Real,</t>
  </si>
  <si>
    <t>ES0031408323131005HX0F,2024/05/11,05:00,0.077,Real,</t>
  </si>
  <si>
    <t>ES0031408323131005HX0F,2024/05/11,06:00,0.061,Real,</t>
  </si>
  <si>
    <t>ES0031408323131005HX0F,2024/05/11,07:00,0.053,Real,</t>
  </si>
  <si>
    <t>ES0031408323131005HX0F,2024/05/11,08:00,0.324,Real,</t>
  </si>
  <si>
    <t>ES0031408323131005HX0F,2024/05/11,09:00,0.944,Real,</t>
  </si>
  <si>
    <t>ES0031408323131005HX0F,2024/05/11,10:00,0.164,Real,</t>
  </si>
  <si>
    <t>ES0031408323131005HX0F,2024/05/11,11:00,0.106,Real,</t>
  </si>
  <si>
    <t>ES0031408323131005HX0F,2024/05/11,12:00,0.198,Real,</t>
  </si>
  <si>
    <t>ES0031408323131005HX0F,2024/05/11,13:00,0.123,Real,</t>
  </si>
  <si>
    <t>ES0031408323131005HX0F,2024/05/11,14:00,0.981,Real,</t>
  </si>
  <si>
    <t>ES0031408323131005HX0F,2024/05/11,15:00,0.21,Real,</t>
  </si>
  <si>
    <t>ES0031408323131005HX0F,2024/05/11,16:00,0.152,Real,</t>
  </si>
  <si>
    <t>ES0031408323131005HX0F,2024/05/11,17:00,0.182,Real,</t>
  </si>
  <si>
    <t>ES0031408323131005HX0F,2024/05/11,18:00,0.455,Real,</t>
  </si>
  <si>
    <t>ES0031408323131005HX0F,2024/05/11,19:00,0.837,Real,</t>
  </si>
  <si>
    <t>ES0031408323131005HX0F,2024/05/11,20:00,0.079,Real,</t>
  </si>
  <si>
    <t>ES0031408323131005HX0F,2024/05/11,21:00,0.042,Real,</t>
  </si>
  <si>
    <t>ES0031408323131005HX0F,2024/05/11,22:00,0.082,Real,</t>
  </si>
  <si>
    <t>ES0031408323131005HX0F,2024/05/11,23:00,0.056,Real,</t>
  </si>
  <si>
    <t>ES0031408323131005HX0F,2024/05/11,24:00,0.493,Real,</t>
  </si>
  <si>
    <t>ES0031408323131005HX0F,2024/05/12,01:00,0.069,Real,</t>
  </si>
  <si>
    <t>ES0031408323131005HX0F,2024/05/12,02:00,0.071,Real,</t>
  </si>
  <si>
    <t>ES0031408323131005HX0F,2024/05/12,03:00,0.072,Real,</t>
  </si>
  <si>
    <t>ES0031408323131005HX0F,2024/05/12,04:00,0.042,Real,</t>
  </si>
  <si>
    <t>ES0031408323131005HX0F,2024/05/12,05:00,0.071,Real,</t>
  </si>
  <si>
    <t>ES0031408323131005HX0F,2024/05/12,06:00,0.286,Real,</t>
  </si>
  <si>
    <t>ES0031408323131005HX0F,2024/05/12,07:00,0.075,Real,</t>
  </si>
  <si>
    <t>ES0031408323131005HX0F,2024/05/12,08:00,0.051,Real,</t>
  </si>
  <si>
    <t>ES0031408323131005HX0F,2024/05/12,09:00,0.08,Real,</t>
  </si>
  <si>
    <t>ES0031408323131005HX0F,2024/05/12,10:00,0.124,Real,</t>
  </si>
  <si>
    <t>ES0031408323131005HX0F,2024/05/12,11:00,0.188,Real,</t>
  </si>
  <si>
    <t>ES0031408323131005HX0F,2024/05/12,12:00,0.56,Real,</t>
  </si>
  <si>
    <t>ES0031408323131005HX0F,2024/05/12,13:00,0.159,Real,</t>
  </si>
  <si>
    <t>ES0031408323131005HX0F,2024/05/12,14:00,0.582,Real,</t>
  </si>
  <si>
    <t>ES0031408323131005HX0F,2024/05/12,15:00,0.438,Real,</t>
  </si>
  <si>
    <t>ES0031408323131005HX0F,2024/05/12,16:00,0.499,Real,</t>
  </si>
  <si>
    <t>ES0031408323131005HX0F,2024/05/12,17:00,0.551,Real,</t>
  </si>
  <si>
    <t>ES0031408323131005HX0F,2024/05/12,18:00,0.328,Real,</t>
  </si>
  <si>
    <t>ES0031408323131005HX0F,2024/05/12,19:00,0.994,Real,</t>
  </si>
  <si>
    <t>ES0031408323131005HX0F,2024/05/12,20:00,0.134,Real,</t>
  </si>
  <si>
    <t>ES0031408323131005HX0F,2024/05/12,21:00,0.582,Real,</t>
  </si>
  <si>
    <t>ES0031408323131005HX0F,2024/05/12,22:00,0.278,Real,</t>
  </si>
  <si>
    <t>ES0031408323131005HX0F,2024/05/12,23:00,0.058,Real,</t>
  </si>
  <si>
    <t>ES0031408323131005HX0F,2024/05/12,24:00,0.078,Real,</t>
  </si>
  <si>
    <t>ES0031408323131005HX0F,2024/05/13,01:00,0.342,Real,</t>
  </si>
  <si>
    <t>ES0031408323131005HX0F,2024/05/13,02:00,0.058,Real,</t>
  </si>
  <si>
    <t>ES0031408323131005HX0F,2024/05/13,03:00,0.074,Real,</t>
  </si>
  <si>
    <t>ES0031408323131005HX0F,2024/05/13,04:00,0.042,Real,</t>
  </si>
  <si>
    <t>ES0031408323131005HX0F,2024/05/13,05:00,0.075,Real,</t>
  </si>
  <si>
    <t>ES0031408323131005HX0F,2024/05/13,06:00,0.05,Real,</t>
  </si>
  <si>
    <t>ES0031408323131005HX0F,2024/05/13,07:00,0.119,Real,</t>
  </si>
  <si>
    <t>ES0031408323131005HX0F,2024/05/13,08:00,0.321,Real,</t>
  </si>
  <si>
    <t>ES0031408323131005HX0F,2024/05/13,09:00,0.079,Real,</t>
  </si>
  <si>
    <t>ES0031408323131005HX0F,2024/05/13,10:00,0.056,Real,</t>
  </si>
  <si>
    <t>ES0031408323131005HX0F,2024/05/13,11:00,0.071,Real,</t>
  </si>
  <si>
    <t>ES0031408323131005HX0F,2024/05/13,12:00,1.314,Real,</t>
  </si>
  <si>
    <t>ES0031408323131005HX0F,2024/05/13,13:00,0.627,Real,</t>
  </si>
  <si>
    <t>ES0031408323131005HX0F,2024/05/13,14:00,0.046,Real,</t>
  </si>
  <si>
    <t>ES0031408323131005HX0F,2024/05/13,15:00,0.207,Real,</t>
  </si>
  <si>
    <t>ES0031408323131005HX0F,2024/05/13,16:00,0.075,Real,</t>
  </si>
  <si>
    <t>ES0031408323131005HX0F,2024/05/13,17:00,0.374,Real,</t>
  </si>
  <si>
    <t>ES0031408323131005HX0F,2024/05/13,18:00,0.073,Real,</t>
  </si>
  <si>
    <t>ES0031408323131005HX0F,2024/05/13,19:00,0.069,Real,</t>
  </si>
  <si>
    <t>ES0031408323131005HX0F,2024/05/13,20:00,0.076,Real,</t>
  </si>
  <si>
    <t>ES0031408323131005HX0F,2024/05/13,21:00,0.042,Real,</t>
  </si>
  <si>
    <t>ES0031408323131005HX0F,2024/05/13,22:00,0.305,Real,</t>
  </si>
  <si>
    <t>ES0031408323131005HX0F,2024/05/13,23:00,0.177,Real,</t>
  </si>
  <si>
    <t>ES0031408323131005HX0F,2024/05/13,24:00,0.502,Real,</t>
  </si>
  <si>
    <t>ES0031408323131005HX0F,2024/05/14,01:00,0.077,Real,</t>
  </si>
  <si>
    <t>ES0031408323131005HX0F,2024/05/14,02:00,0.088,Real,</t>
  </si>
  <si>
    <t>ES0031408323131005HX0F,2024/05/14,03:00,0.058,Real,</t>
  </si>
  <si>
    <t>ES0031408323131005HX0F,2024/05/14,04:00,0.076,Real,</t>
  </si>
  <si>
    <t>ES0031408323131005HX0F,2024/05/14,05:00,0.063,Real,</t>
  </si>
  <si>
    <t>ES0031408323131005HX0F,2024/05/14,06:00,0.125,Real,</t>
  </si>
  <si>
    <t>ES0031408323131005HX0F,2024/05/14,07:00,0.275,Real,</t>
  </si>
  <si>
    <t>ES0031408323131005HX0F,2024/05/14,08:00,0.269,Real,</t>
  </si>
  <si>
    <t>ES0031408323131005HX0F,2024/05/14,09:00,0.074,Real,</t>
  </si>
  <si>
    <t>ES0031408323131005HX0F,2024/05/14,10:00,0.041,Real,</t>
  </si>
  <si>
    <t>ES0031408323131005HX0F,2024/05/14,11:00,0.129,Real,</t>
  </si>
  <si>
    <t>ES0031408323131005HX0F,2024/05/14,12:00,0.098,Real,</t>
  </si>
  <si>
    <t>ES0031408323131005HX0F,2024/05/14,13:00,0.32,Real,</t>
  </si>
  <si>
    <t>ES0031408323131005HX0F,2024/05/14,14:00,0.069,Real,</t>
  </si>
  <si>
    <t>ES0031408323131005HX0F,2024/05/14,15:00,0.063,Real,</t>
  </si>
  <si>
    <t>ES0031408323131005HX0F,2024/05/14,16:00,0.056,Real,</t>
  </si>
  <si>
    <t>ES0031408323131005HX0F,2024/05/14,17:00,0.073,Real,</t>
  </si>
  <si>
    <t>ES0031408323131005HX0F,2024/05/14,18:00,0.039,Real,</t>
  </si>
  <si>
    <t>ES0031408323131005HX0F,2024/05/14,19:00,0.359,Real,</t>
  </si>
  <si>
    <t>ES0031408323131005HX0F,2024/05/14,20:00,0.129,Real,</t>
  </si>
  <si>
    <t>ES0031408323131005HX0F,2024/05/14,21:00,0.157,Real,</t>
  </si>
  <si>
    <t>ES0031408323131005HX0F,2024/05/14,22:00,0.769,Real,</t>
  </si>
  <si>
    <t>ES0031408323131005HX0F,2024/05/14,23:00,0.657,Real,</t>
  </si>
  <si>
    <t>ES0031408323131005HX0F,2024/05/14,24:00,1.289,Real,</t>
  </si>
  <si>
    <t>ES0031408323131005HX0F,2024/05/15,01:00,1.183,Real,</t>
  </si>
  <si>
    <t>ES0031408323131005HX0F,2024/05/15,02:00,0.086,Real,</t>
  </si>
  <si>
    <t>ES0031408323131005HX0F,2024/05/15,03:00,0.055,Real,</t>
  </si>
  <si>
    <t>ES0031408323131005HX0F,2024/05/15,04:00,0.073,Real,</t>
  </si>
  <si>
    <t>ES0031408323131005HX0F,2024/05/15,05:00,0.307,Real,</t>
  </si>
  <si>
    <t>ES0031408323131005HX0F,2024/05/15,06:00,0.073,Real,</t>
  </si>
  <si>
    <t>ES0031408323131005HX0F,2024/05/15,07:00,0.059,Real,</t>
  </si>
  <si>
    <t>ES0031408323131005HX0F,2024/05/15,08:00,0.082,Real,</t>
  </si>
  <si>
    <t>ES0031408323131005HX0F,2024/05/15,09:00,0.061,Real,</t>
  </si>
  <si>
    <t>ES0031408323131005HX0F,2024/05/15,10:00,0.229,Real,</t>
  </si>
  <si>
    <t>ES0031408323131005HX0F,2024/05/15,11:00,0.385,Real,</t>
  </si>
  <si>
    <t>ES0031408323131005HX0F,2024/05/15,12:00,0.075,Real,</t>
  </si>
  <si>
    <t>ES0031408323131005HX0F,2024/05/15,13:00,0.045,Real,</t>
  </si>
  <si>
    <t>ES0031408323131005HX0F,2024/05/15,14:00,0.083,Real,</t>
  </si>
  <si>
    <t>ES0031408323131005HX0F,2024/05/15,15:00,0.377,Real,</t>
  </si>
  <si>
    <t>ES0031408323131005HX0F,2024/05/15,16:00,0.183,Real,</t>
  </si>
  <si>
    <t>ES0031408323131005HX0F,2024/05/15,17:00,0.582,Real,</t>
  </si>
  <si>
    <t>ES0031408323131005HX0F,2024/05/15,18:00,0.659,Real,</t>
  </si>
  <si>
    <t>ES0031408323131005HX0F,2024/05/15,19:00,0.071,Real,</t>
  </si>
  <si>
    <t>ES0031408323131005HX0F,2024/05/15,20:00,0.046,Real,</t>
  </si>
  <si>
    <t>ES0031408323131005HX0F,2024/05/15,21:00,0.072,Real,</t>
  </si>
  <si>
    <t>ES0031408323131005HX0F,2024/05/15,22:00,0.065,Real,</t>
  </si>
  <si>
    <t>ES0031408323131005HX0F,2024/05/15,23:00,0.199,Real,</t>
  </si>
  <si>
    <t>ES0031408323131005HX0F,2024/05/15,24:00,0.591,Real,</t>
  </si>
  <si>
    <t>ES0031408323131005HX0F,2024/05/16,01:00,0.498,Real,</t>
  </si>
  <si>
    <t>ES0031408323131005HX0F,2024/05/16,02:00,0.478,Real,</t>
  </si>
  <si>
    <t>ES0031408323131005HX0F,2024/05/16,03:00,0.068,Real,</t>
  </si>
  <si>
    <t>ES0031408323131005HX0F,2024/05/16,04:00,0.073,Real,</t>
  </si>
  <si>
    <t>ES0031408323131005HX0F,2024/05/16,05:00,0.042,Real,</t>
  </si>
  <si>
    <t>ES0031408323131005HX0F,2024/05/16,06:00,0.341,Real,</t>
  </si>
  <si>
    <t>ES0031408323131005HX0F,2024/05/16,07:00,0.058,Real,</t>
  </si>
  <si>
    <t>ES0031408323131005HX0F,2024/05/16,08:00,0.109,Real,</t>
  </si>
  <si>
    <t>ES0031408323131005HX0F,2024/05/16,09:00,0.059,Real,</t>
  </si>
  <si>
    <t>ES0031408323131005HX0F,2024/05/16,10:00,0.093,Real,</t>
  </si>
  <si>
    <t>ES0031408323131005HX0F,2024/05/16,11:00,0.371,Real,</t>
  </si>
  <si>
    <t>ES0031408323131005HX0F,2024/05/16,12:00,0.077,Real,</t>
  </si>
  <si>
    <t>ES0031408323131005HX0F,2024/05/16,13:00,1.572,Real,</t>
  </si>
  <si>
    <t>ES0031408323131005HX0F,2024/05/16,14:00,0.433,Real,</t>
  </si>
  <si>
    <t>ES0031408323131005HX0F,2024/05/16,15:00,0.17,Real,</t>
  </si>
  <si>
    <t>ES0031408323131005HX0F,2024/05/16,16:00,0.128,Real,</t>
  </si>
  <si>
    <t>ES0031408323131005HX0F,2024/05/16,17:00,0.06,Real,</t>
  </si>
  <si>
    <t>ES0031408323131005HX0F,2024/05/16,18:00,0.322,Real,</t>
  </si>
  <si>
    <t>ES0031408323131005HX0F,2024/05/16,19:00,0.058,Real,</t>
  </si>
  <si>
    <t>ES0031408323131005HX0F,2024/05/16,20:00,0.072,Real,</t>
  </si>
  <si>
    <t>ES0031408323131005HX0F,2024/05/16,21:00,0.764,Real,</t>
  </si>
  <si>
    <t>ES0031408323131005HX0F,2024/05/16,22:00,1.036,Real,</t>
  </si>
  <si>
    <t>ES0031408323131005HX0F,2024/05/16,23:00,0.161,Real,</t>
  </si>
  <si>
    <t>ES0031408323131005HX0F,2024/05/16,24:00,0.088,Real,</t>
  </si>
  <si>
    <t>ES0031408323131005HX0F,2024/05/17,01:00,0.093,Real,</t>
  </si>
  <si>
    <t>ES0031408323131005HX0F,2024/05/17,02:00,0.045,Real,</t>
  </si>
  <si>
    <t>ES0031408323131005HX0F,2024/05/17,03:00,0.332,Real,</t>
  </si>
  <si>
    <t>ES0031408323131005HX0F,2024/05/17,04:00,0.058,Real,</t>
  </si>
  <si>
    <t>ES0031408323131005HX0F,2024/05/17,05:00,0.081,Real,</t>
  </si>
  <si>
    <t>ES0031408323131005HX0F,2024/05/17,06:00,0.058,Real,</t>
  </si>
  <si>
    <t>ES0031408323131005HX0F,2024/05/17,07:00,0.069,Real,</t>
  </si>
  <si>
    <t>ES0031408323131005HX0F,2024/05/17,08:00,0.06,Real,</t>
  </si>
  <si>
    <t>ES0031408323131005HX0F,2024/05/17,09:00,0.474,Real,</t>
  </si>
  <si>
    <t>ES0031408323131005HX0F,2024/05/17,10:00,0.314,Real,</t>
  </si>
  <si>
    <t>ES0031408323131005HX0F,2024/05/17,11:00,0.096,Real,</t>
  </si>
  <si>
    <t>ES0031408323131005HX0F,2024/05/17,12:00,0.084,Real,</t>
  </si>
  <si>
    <t>ES0031408323131005HX0F,2024/05/17,13:00,0.063,Real,</t>
  </si>
  <si>
    <t>ES0031408323131005HX0F,2024/05/17,14:00,0.079,Real,</t>
  </si>
  <si>
    <t>ES0031408323131005HX0F,2024/05/17,15:00,1.488,Real,</t>
  </si>
  <si>
    <t>ES0031408323131005HX0F,2024/05/17,16:00,0.103,Real,</t>
  </si>
  <si>
    <t>ES0031408323131005HX0F,2024/05/17,17:00,0.064,Real,</t>
  </si>
  <si>
    <t>ES0031408323131005HX0F,2024/05/17,18:00,0.088,Real,</t>
  </si>
  <si>
    <t>ES0031408323131005HX0F,2024/05/17,19:00,0.048,Real,</t>
  </si>
  <si>
    <t>ES0031408323131005HX0F,2024/05/17,20:00,0.348,Real,</t>
  </si>
  <si>
    <t>ES0031408323131005HX0F,2024/05/17,21:00,0.089,Real,</t>
  </si>
  <si>
    <t>ES0031408323131005HX0F,2024/05/17,22:00,0.286,Real,</t>
  </si>
  <si>
    <t>ES0031408323131005HX0F,2024/05/17,23:00,1.385,Real,</t>
  </si>
  <si>
    <t>ES0031408323131005HX0F,2024/05/17,24:00,0.102,Real,</t>
  </si>
  <si>
    <t>ES0031408323131005HX0F,2024/05/18,01:00,0.063,Real,</t>
  </si>
  <si>
    <t>ES0031408323131005HX0F,2024/05/18,02:00,0.073,Real,</t>
  </si>
  <si>
    <t>ES0031408323131005HX0F,2024/05/18,03:00,0.056,Real,</t>
  </si>
  <si>
    <t>ES0031408323131005HX0F,2024/05/18,04:00,0.344,Real,</t>
  </si>
  <si>
    <t>ES0031408323131005HX0F,2024/05/18,05:00,0.056,Real,</t>
  </si>
  <si>
    <t>ES0031408323131005HX0F,2024/05/18,06:00,0.069,Real,</t>
  </si>
  <si>
    <t>ES0031408323131005HX0F,2024/05/18,07:00,0.059,Real,</t>
  </si>
  <si>
    <t>ES0031408323131005HX0F,2024/05/18,08:00,0.066,Real,</t>
  </si>
  <si>
    <t>ES0031408323131005HX0F,2024/05/18,09:00,0.616,Real,</t>
  </si>
  <si>
    <t>ES0031408323131005HX0F,2024/05/18,10:00,0.048,Real,</t>
  </si>
  <si>
    <t>ES0031408323131005HX0F,2024/05/18,11:00,0.091,Real,</t>
  </si>
  <si>
    <t>ES0031408323131005HX0F,2024/05/18,12:00,0.392,Real,</t>
  </si>
  <si>
    <t>ES0031408323131005HX0F,2024/05/18,13:00,0.058,Real,</t>
  </si>
  <si>
    <t>ES0031408323131005HX0F,2024/05/18,14:00,0.254,Real,</t>
  </si>
  <si>
    <t>ES0031408323131005HX0F,2024/05/18,15:00,1.208,Real,</t>
  </si>
  <si>
    <t>ES0031408323131005HX0F,2024/05/18,16:00,0.105,Real,</t>
  </si>
  <si>
    <t>ES0031408323131005HX0F,2024/05/18,17:00,0.069,Real,</t>
  </si>
  <si>
    <t>ES0031408323131005HX0F,2024/05/18,18:00,0.558,Real,</t>
  </si>
  <si>
    <t>ES0031408323131005HX0F,2024/05/18,19:00,0.065,Real,</t>
  </si>
  <si>
    <t>ES0031408323131005HX0F,2024/05/18,20:00,0.078,Real,</t>
  </si>
  <si>
    <t>ES0031408323131005HX0F,2024/05/18,21:00,0.046,Real,</t>
  </si>
  <si>
    <t>ES0031408323131005HX0F,2024/05/18,22:00,0.078,Real,</t>
  </si>
  <si>
    <t>ES0031408323131005HX0F,2024/05/18,23:00,0.046,Real,</t>
  </si>
  <si>
    <t>ES0031408323131005HX0F,2024/05/18,24:00,0.418,Real,</t>
  </si>
  <si>
    <t>ES0031408323131005HX0F,2024/05/19,01:00,0.047,Real,</t>
  </si>
  <si>
    <t>ES0031408323131005HX0F,2024/05/19,02:00,0.079,Real,</t>
  </si>
  <si>
    <t>ES0031408323131005HX0F,2024/05/19,03:00,0.043,Real,</t>
  </si>
  <si>
    <t>ES0031408323131005HX0F,2024/05/19,04:00,0.084,Real,</t>
  </si>
  <si>
    <t>ES0031408323131005HX0F,2024/05/19,05:00,0.039,Real,</t>
  </si>
  <si>
    <t>ES0031408323131005HX0F,2024/05/19,06:00,0.087,Real,</t>
  </si>
  <si>
    <t>ES0031408323131005HX0F,2024/05/19,07:00,0.321,Real,</t>
  </si>
  <si>
    <t>ES0031408323131005HX0F,2024/05/19,08:00,0.114,Real,</t>
  </si>
  <si>
    <t>ES0031408323131005HX0F,2024/05/19,09:00,0.052,Real,</t>
  </si>
  <si>
    <t>ES0031408323131005HX0F,2024/05/19,10:00,0.103,Real,</t>
  </si>
  <si>
    <t>ES0031408323131005HX0F,2024/05/19,11:00,0.049,Real,</t>
  </si>
  <si>
    <t>ES0031408323131005HX0F,2024/05/19,12:00,0.134,Real,</t>
  </si>
  <si>
    <t>ES0031408323131005HX0F,2024/05/19,13:00,1.204,Real,</t>
  </si>
  <si>
    <t>ES0031408323131005HX0F,2024/05/19,14:00,0.832,Real,</t>
  </si>
  <si>
    <t>ES0031408323131005HX0F,2024/05/19,15:00,0.21,Real,</t>
  </si>
  <si>
    <t>ES0031408323131005HX0F,2024/05/19,16:00,0.053,Real,</t>
  </si>
  <si>
    <t>ES0031408323131005HX0F,2024/05/19,17:00,0.102,Real,</t>
  </si>
  <si>
    <t>ES0031408323131005HX0F,2024/05/19,18:00,0.194,Real,</t>
  </si>
  <si>
    <t>ES0031408323131005HX0F,2024/05/19,19:00,0.304,Real,</t>
  </si>
  <si>
    <t>ES0031408323131005HX0F,2024/05/19,20:00,0.303,Real,</t>
  </si>
  <si>
    <t>ES0031408323131005HX0F,2024/05/19,21:00,0.072,Real,</t>
  </si>
  <si>
    <t>ES0031408323131005HX0F,2024/05/19,22:00,0.61,Real,</t>
  </si>
  <si>
    <t>ES0031408323131005HX0F,2024/05/19,23:00,0.834,Real,</t>
  </si>
  <si>
    <t>ES0031408323131005HX0F,2024/05/19,24:00,0.695,Real,</t>
  </si>
  <si>
    <t>ES0031408323131005HX0F,2024/05/20,01:00,0.202,Real,</t>
  </si>
  <si>
    <t>ES0031408323131005HX0F,2024/05/20,02:00,0.463,Real,</t>
  </si>
  <si>
    <t>ES0031408323131005HX0F,2024/05/20,03:00,0.176,Real,</t>
  </si>
  <si>
    <t>ES0031408323131005HX0F,2024/05/20,04:00,0.241,Real,</t>
  </si>
  <si>
    <t>ES0031408323131005HX0F,2024/05/20,05:00,0.047,Real,</t>
  </si>
  <si>
    <t>ES0031408323131005HX0F,2024/05/20,06:00,0.084,Real,</t>
  </si>
  <si>
    <t>ES0031408323131005HX0F,2024/05/20,07:00,0.047,Real,</t>
  </si>
  <si>
    <t>ES0031408323131005HX0F,2024/05/20,08:00,0.082,Real,</t>
  </si>
  <si>
    <t>ES0031408323131005HX0F,2024/05/20,09:00,0.046,Real,</t>
  </si>
  <si>
    <t>ES0031408323131005HX0F,2024/05/20,10:00,0.281,Real,</t>
  </si>
  <si>
    <t>ES0031408323131005HX0F,2024/05/20,11:00,0.485,Real,</t>
  </si>
  <si>
    <t>ES0031408323131005HX0F,2024/05/20,12:00,0.117,Real,</t>
  </si>
  <si>
    <t>ES0031408323131005HX0F,2024/05/20,13:00,0.12,Real,</t>
  </si>
  <si>
    <t>ES0031408323131005HX0F,2024/05/20,14:00,0.226,Real,</t>
  </si>
  <si>
    <t>ES0031408323131005HX0F,2024/05/20,15:00,1.037,Real,</t>
  </si>
  <si>
    <t>ES0031408323131005HX0F,2024/05/20,16:00,0.176,Real,</t>
  </si>
  <si>
    <t>ES0031408323131005HX0F,2024/05/20,17:00,0.803,Real,</t>
  </si>
  <si>
    <t>ES0031408323131005HX0F,2024/05/20,18:00,0.638,Real,</t>
  </si>
  <si>
    <t>ES0031408323131005HX0F,2024/05/20,19:00,0.06,Real,</t>
  </si>
  <si>
    <t>ES0031408323131005HX0F,2024/05/20,20:00,0.263,Real,</t>
  </si>
  <si>
    <t>ES0031408323131005HX0F,2024/05/20,21:00,0.357,Real,</t>
  </si>
  <si>
    <t>ES0031408323131005HX0F,2024/05/20,22:00,0.1,Real,</t>
  </si>
  <si>
    <t>ES0031408323131005HX0F,2024/05/20,23:00,0.085,Real,</t>
  </si>
  <si>
    <t>ES0031408323131005HX0F,2024/05/20,24:00,0.329,Real,</t>
  </si>
  <si>
    <t>ES0031408323131005HX0F,2024/05/21,01:00,0.106,Real,</t>
  </si>
  <si>
    <t>ES0031408323131005HX0F,2024/05/21,02:00,0.047,Real,</t>
  </si>
  <si>
    <t>ES0031408323131005HX0F,2024/05/21,03:00,0.083,Real,</t>
  </si>
  <si>
    <t>ES0031408323131005HX0F,2024/05/21,04:00,0.042,Real,</t>
  </si>
  <si>
    <t>ES0031408323131005HX0F,2024/05/21,05:00,0.09,Real,</t>
  </si>
  <si>
    <t>ES0031408323131005HX0F,2024/05/21,06:00,0.041,Real,</t>
  </si>
  <si>
    <t>ES0031408323131005HX0F,2024/05/21,07:00,0.363,Real,</t>
  </si>
  <si>
    <t>ES0031408323131005HX0F,2024/05/21,08:00,0.492,Real,</t>
  </si>
  <si>
    <t>ES0031408323131005HX0F,2024/05/21,09:00,0.456,Real,</t>
  </si>
  <si>
    <t>ES0031408323131005HX0F,2024/05/21,10:00,0.076,Real,</t>
  </si>
  <si>
    <t>ES0031408323131005HX0F,2024/05/21,11:00,0.045,Real,</t>
  </si>
  <si>
    <t>ES0031408323131005HX0F,2024/05/21,12:00,0.105,Real,</t>
  </si>
  <si>
    <t>ES0031408323131005HX0F,2024/05/21,13:00,0.932,Real,</t>
  </si>
  <si>
    <t>ES0031408323131005HX0F,2024/05/21,14:00,0.131,Real,</t>
  </si>
  <si>
    <t>ES0031408323131005HX0F,2024/05/21,15:00,0.054,Real,</t>
  </si>
  <si>
    <t>ES0031408323131005HX0F,2024/05/21,16:00,0.74,Real,</t>
  </si>
  <si>
    <t>ES0031408323131005HX0F,2024/05/21,17:00,0.438,Real,</t>
  </si>
  <si>
    <t>ES0031408323131005HX0F,2024/05/21,18:00,0.518,Real,</t>
  </si>
  <si>
    <t>ES0031408323131005HX0F,2024/05/21,19:00,0.087,Real,</t>
  </si>
  <si>
    <t>ES0031408323131005HX0F,2024/05/21,20:00,0.095,Real,</t>
  </si>
  <si>
    <t>ES0031408323131005HX0F,2024/05/21,21:00,1.415,Real,</t>
  </si>
  <si>
    <t>ES0031408323131005HX0F,2024/05/21,22:00,0.179,Real,</t>
  </si>
  <si>
    <t>ES0031408323131005HX0F,2024/05/21,23:00,0.084,Real,</t>
  </si>
  <si>
    <t>ES0031408323131005HX0F,2024/05/21,24:00,0.103,Real,</t>
  </si>
  <si>
    <t>ES0031408323131005HX0F,2024/05/22,01:00,0.059,Real,</t>
  </si>
  <si>
    <t>ES0031408323131005HX0F,2024/05/22,02:00,0.097,Real,</t>
  </si>
  <si>
    <t>ES0031408323131005HX0F,2024/05/22,03:00,0.313,Real,</t>
  </si>
  <si>
    <t>ES0031408323131005HX0F,2024/05/22,04:00,0.094,Real,</t>
  </si>
  <si>
    <t>ES0031408323131005HX0F,2024/05/22,05:00,0.03,Real,</t>
  </si>
  <si>
    <t>ES0031408323131005HX0F,2024/05/22,06:00,0.094,Real,</t>
  </si>
  <si>
    <t>ES0031408323131005HX0F,2024/05/22,07:00,0.038,Real,</t>
  </si>
  <si>
    <t>ES0031408323131005HX0F,2024/05/22,08:00,1.471,Real,</t>
  </si>
  <si>
    <t>ES0031408323131005HX0F,2024/05/22,09:00,0.248,Real,</t>
  </si>
  <si>
    <t>ES0031408323131005HX0F,2024/05/22,10:00,0.094,Real,</t>
  </si>
  <si>
    <t>ES0031408323131005HX0F,2024/05/22,11:00,0.098,Real,</t>
  </si>
  <si>
    <t>ES0031408323131005HX0F,2024/05/22,12:00,0.094,Real,</t>
  </si>
  <si>
    <t>ES0031408323131005HX0F,2024/05/22,13:00,0.096,Real,</t>
  </si>
  <si>
    <t>ES0031408323131005HX0F,2024/05/22,14:00,0.447,Real,</t>
  </si>
  <si>
    <t>ES0031408323131005HX0F,2024/05/22,15:00,0.389,Real,</t>
  </si>
  <si>
    <t>ES0031408323131005HX0F,2024/05/22,16:00,0.044,Real,</t>
  </si>
  <si>
    <t>ES0031408323131005HX0F,2024/05/22,17:00,0.101,Real,</t>
  </si>
  <si>
    <t>ES0031408323131005HX0F,2024/05/22,18:00,0.05,Real,</t>
  </si>
  <si>
    <t>ES0031408323131005HX0F,2024/05/22,19:00,0.091,Real,</t>
  </si>
  <si>
    <t>ES0031408323131005HX0F,2024/05/22,20:00,0.051,Real,</t>
  </si>
  <si>
    <t>ES0031408323131005HX0F,2024/05/22,21:00,0.912,Real,</t>
  </si>
  <si>
    <t>ES0031408323131005HX0F,2024/05/22,22:00,0.167,Real,</t>
  </si>
  <si>
    <t>ES0031408323131005HX0F,2024/05/22,23:00,0.475,Real,</t>
  </si>
  <si>
    <t>ES0031408323131005HX0F,2024/05/22,24:00,0.448,Real,</t>
  </si>
  <si>
    <t>ES0031408323131005HX0F,2024/05/23,01:00,0.093,Real,</t>
  </si>
  <si>
    <t>ES0031408323131005HX0F,2024/05/23,02:00,0.038,Real,</t>
  </si>
  <si>
    <t>ES0031408323131005HX0F,2024/05/23,03:00,0.372,Real,</t>
  </si>
  <si>
    <t>ES0031408323131005HX0F,2024/05/23,04:00,0.032,Real,</t>
  </si>
  <si>
    <t>ES0031408323131005HX0F,2024/05/23,05:00,0.093,Real,</t>
  </si>
  <si>
    <t>ES0031408323131005HX0F,2024/05/23,06:00,0.045,Real,</t>
  </si>
  <si>
    <t>ES0031408323131005HX0F,2024/05/23,07:00,0.09,Real,</t>
  </si>
  <si>
    <t>ES0031408323131005HX0F,2024/05/23,08:00,0.625,Real,</t>
  </si>
  <si>
    <t>ES0031408323131005HX0F,2024/05/23,09:00,0.491,Real,</t>
  </si>
  <si>
    <t>ES0031408323131005HX0F,2024/05/23,10:00,0.034,Real,</t>
  </si>
  <si>
    <t>ES0031408323131005HX0F,2024/05/23,11:00,0.127,Real,</t>
  </si>
  <si>
    <t>ES0031408323131005HX0F,2024/05/23,12:00,0.113,Real,</t>
  </si>
  <si>
    <t>ES0031408323131005HX0F,2024/05/23,13:00,0.047,Real,</t>
  </si>
  <si>
    <t>ES0031408323131005HX0F,2024/05/23,14:00,0.077,Real,</t>
  </si>
  <si>
    <t>ES0031408323131005HX0F,2024/05/23,15:00,0.057,Real,</t>
  </si>
  <si>
    <t>ES0031408323131005HX0F,2024/05/23,16:00,0.332,Real,</t>
  </si>
  <si>
    <t>ES0031408323131005HX0F,2024/05/23,17:00,0.066,Real,</t>
  </si>
  <si>
    <t>ES0031408323131005HX0F,2024/05/23,18:00,0.056,Real,</t>
  </si>
  <si>
    <t>ES0031408323131005HX0F,2024/05/23,19:00,0.077,Real,</t>
  </si>
  <si>
    <t>ES0031408323131005HX0F,2024/05/23,20:00,1.182,Real,</t>
  </si>
  <si>
    <t>ES0031408323131005HX0F,2024/05/23,21:00,0.635,Real,</t>
  </si>
  <si>
    <t>ES0031408323131005HX0F,2024/05/23,22:00,0.376,Real,</t>
  </si>
  <si>
    <t>ES0031408323131005HX0F,2024/05/23,23:00,0.086,Real,</t>
  </si>
  <si>
    <t>ES0031408323131005HX0F,2024/05/23,24:00,0.102,Real,</t>
  </si>
  <si>
    <t>ES0031408323131005HX0F,2024/05/24,01:00,0.028,Real,</t>
  </si>
  <si>
    <t>ES0031408323131005HX0F,2024/05/24,02:00,0.093,Real,</t>
  </si>
  <si>
    <t>ES0031408323131005HX0F,2024/05/24,03:00,0.057,Real,</t>
  </si>
  <si>
    <t>ES0031408323131005HX0F,2024/05/24,04:00,0.324,Real,</t>
  </si>
  <si>
    <t>ES0031408323131005HX0F,2024/05/24,05:00,0.078,Real,</t>
  </si>
  <si>
    <t>ES0031408323131005HX0F,2024/05/24,06:00,0.04,Real,</t>
  </si>
  <si>
    <t>ES0031408323131005HX0F,2024/05/24,07:00,0.086,Real,</t>
  </si>
  <si>
    <t>ES0031408323131005HX0F,2024/05/24,08:00,0.301,Real,</t>
  </si>
  <si>
    <t>ES0031408323131005HX0F,2024/05/24,09:00,0.376,Real,</t>
  </si>
  <si>
    <t>ES0031408323131005HX0F,2024/05/24,10:00,0.073,Real,</t>
  </si>
  <si>
    <t>ES0031408323131005HX0F,2024/05/24,11:00,0.034,Real,</t>
  </si>
  <si>
    <t>ES0031408323131005HX0F,2024/05/24,12:00,0.131,Real,</t>
  </si>
  <si>
    <t>ES0031408323131005HX0F,2024/05/24,13:00,0.097,Real,</t>
  </si>
  <si>
    <t>ES0031408323131005HX0F,2024/05/24,14:00,0.067,Real,</t>
  </si>
  <si>
    <t>ES0031408323131005HX0F,2024/05/24,15:00,0.12,Real,</t>
  </si>
  <si>
    <t>ES0031408323131005HX0F,2024/05/24,16:00,0.366,Real,</t>
  </si>
  <si>
    <t>ES0031408323131005HX0F,2024/05/24,17:00,0.033,Real,</t>
  </si>
  <si>
    <t>ES0031408323131005HX0F,2024/05/24,18:00,0.094,Real,</t>
  </si>
  <si>
    <t>ES0031408323131005HX0F,2024/05/24,19:00,0.055,Real,</t>
  </si>
  <si>
    <t>ES0031408323131005HX0F,2024/05/24,20:00,0.097,Real,</t>
  </si>
  <si>
    <t>ES0031408323131005HX0F,2024/05/24,21:00,2.245,Real,</t>
  </si>
  <si>
    <t>ES0031408323131005HX0F,2024/05/24,22:00,0.442,Real,</t>
  </si>
  <si>
    <t>ES0031408323131005HX0F,2024/05/24,23:00,0.605,Real,</t>
  </si>
  <si>
    <t>ES0031408323131005HX0F,2024/05/24,24:00,0.564,Real,</t>
  </si>
  <si>
    <t>ES0031408323131005HX0F,2024/05/25,01:00,0.09,Real,</t>
  </si>
  <si>
    <t>ES0031408323131005HX0F,2024/05/25,02:00,0.058,Real,</t>
  </si>
  <si>
    <t>ES0031408323131005HX0F,2024/05/25,03:00,0.349,Real,</t>
  </si>
  <si>
    <t>ES0031408323131005HX0F,2024/05/25,04:00,0.059,Real,</t>
  </si>
  <si>
    <t>ES0031408323131005HX0F,2024/05/25,05:00,0.068,Real,</t>
  </si>
  <si>
    <t>ES0031408323131005HX0F,2024/05/25,06:00,0.076,Real,</t>
  </si>
  <si>
    <t>ES0031408323131005HX0F,2024/05/25,07:00,0.044,Real,</t>
  </si>
  <si>
    <t>ES0031408323131005HX0F,2024/05/25,08:00,0.35,Real,</t>
  </si>
  <si>
    <t>ES0031408323131005HX0F,2024/05/25,09:00,1.64,Real,</t>
  </si>
  <si>
    <t>ES0031408323131005HX0F,2024/05/25,10:00,0.331,Real,</t>
  </si>
  <si>
    <t>ES0031408323131005HX0F,2024/05/25,11:00,0.242,Real,</t>
  </si>
  <si>
    <t>ES0031408323131005HX0F,2024/05/25,12:00,0.114,Real,</t>
  </si>
  <si>
    <t>ES0031408323131005HX0F,2024/05/25,13:00,0.064,Real,</t>
  </si>
  <si>
    <t>ES0031408323131005HX0F,2024/05/25,14:00,0.069,Real,</t>
  </si>
  <si>
    <t>ES0031408323131005HX0F,2024/05/25,15:00,0.346,Real,</t>
  </si>
  <si>
    <t>ES0031408323131005HX0F,2024/05/25,16:00,0.047,Real,</t>
  </si>
  <si>
    <t>ES0031408323131005HX0F,2024/05/25,17:00,0.077,Real,</t>
  </si>
  <si>
    <t>ES0031408323131005HX0F,2024/05/25,18:00,0.043,Real,</t>
  </si>
  <si>
    <t>ES0031408323131005HX0F,2024/05/25,19:00,1.049,Real,</t>
  </si>
  <si>
    <t>ES0031408323131005HX0F,2024/05/25,20:00,1.16,Real,</t>
  </si>
  <si>
    <t>ES0031408323131005HX0F,2024/05/25,21:00,0.085,Real,</t>
  </si>
  <si>
    <t>ES0031408323131005HX0F,2024/05/25,22:00,0.759,Real,</t>
  </si>
  <si>
    <t>ES0031408323131005HX0F,2024/05/25,23:00,0.923,Real,</t>
  </si>
  <si>
    <t>ES0031408323131005HX0F,2024/05/25,24:00,0.161,Real,</t>
  </si>
  <si>
    <t>ES0031408323131005HX0F,2024/05/26,01:00,0.377,Real,</t>
  </si>
  <si>
    <t>ES0031408323131005HX0F,2024/05/26,02:00,0.08,Real,</t>
  </si>
  <si>
    <t>ES0031408323131005HX0F,2024/05/26,03:00,0.09,Real,</t>
  </si>
  <si>
    <t>ES0031408323131005HX0F,2024/05/26,04:00,0.061,Real,</t>
  </si>
  <si>
    <t>ES0031408323131005HX0F,2024/05/26,05:00,0.066,Real,</t>
  </si>
  <si>
    <t>ES0031408323131005HX0F,2024/05/26,06:00,0.075,Real,</t>
  </si>
  <si>
    <t>ES0031408323131005HX0F,2024/05/26,07:00,0.048,Real,</t>
  </si>
  <si>
    <t>ES0031408323131005HX0F,2024/05/26,08:00,0.386,Real,</t>
  </si>
  <si>
    <t>ES0031408323131005HX0F,2024/05/26,09:00,0.197,Real,</t>
  </si>
  <si>
    <t>ES0031408323131005HX0F,2024/05/26,10:00,0.622,Real,</t>
  </si>
  <si>
    <t>ES0031408323131005HX0F,2024/05/26,11:00,0.401,Real,</t>
  </si>
  <si>
    <t>ES0031408323131005HX0F,2024/05/26,12:00,0.075,Real,</t>
  </si>
  <si>
    <t>ES0031408323131005HX0F,2024/05/26,13:00,0.079,Real,</t>
  </si>
  <si>
    <t>ES0031408323131005HX0F,2024/05/26,14:00,0.055,Real,</t>
  </si>
  <si>
    <t>ES0031408323131005HX0F,2024/05/26,15:00,0.081,Real,</t>
  </si>
  <si>
    <t>ES0031408323131005HX0F,2024/05/26,16:00,0.049,Real,</t>
  </si>
  <si>
    <t>ES0031408323131005HX0F,2024/05/26,17:00,0.083,Real,</t>
  </si>
  <si>
    <t>ES0031408323131005HX0F,2024/05/26,18:00,0.296,Real,</t>
  </si>
  <si>
    <t>ES0031408323131005HX0F,2024/05/26,19:00,0.089,Real,</t>
  </si>
  <si>
    <t>ES0031408323131005HX0F,2024/05/26,20:00,0.062,Real,</t>
  </si>
  <si>
    <t>ES0031408323131005HX0F,2024/05/26,21:00,0.891,Real,</t>
  </si>
  <si>
    <t>ES0031408323131005HX0F,2024/05/26,22:00,0.934,Real,</t>
  </si>
  <si>
    <t>ES0031408323131005HX0F,2024/05/26,23:00,0.098,Real,</t>
  </si>
  <si>
    <t>ES0031408323131005HX0F,2024/05/26,24:00,0.096,Real,</t>
  </si>
  <si>
    <t>ES0031408323131005HX0F,2024/05/27,01:00,0.085,Real,</t>
  </si>
  <si>
    <t>ES0031408323131005HX0F,2024/05/27,02:00,0.061,Real,</t>
  </si>
  <si>
    <t>ES0031408323131005HX0F,2024/05/27,03:00,0.075,Real,</t>
  </si>
  <si>
    <t>ES0031408323131005HX0F,2024/05/27,04:00,0.05,Real,</t>
  </si>
  <si>
    <t>ES0031408323131005HX0F,2024/05/27,05:00,0.335,Real,</t>
  </si>
  <si>
    <t>ES0031408323131005HX0F,2024/05/27,06:00,0.046,Real,</t>
  </si>
  <si>
    <t>ES0031408323131005HX0F,2024/05/27,07:00,0.081,Real,</t>
  </si>
  <si>
    <t>ES0031408323131005HX0F,2024/05/27,08:00,0.233,Real,</t>
  </si>
  <si>
    <t>ES0031408323131005HX0F,2024/05/27,09:00,0.858,Real,</t>
  </si>
  <si>
    <t>ES0031408323131005HX0F,2024/05/27,10:00,0.485,Real,</t>
  </si>
  <si>
    <t>ES0031408323131005HX0F,2024/05/27,11:00,0.057,Real,</t>
  </si>
  <si>
    <t>ES0031408323131005HX0F,2024/05/27,12:00,0.079,Real,</t>
  </si>
  <si>
    <t>ES0031408323131005HX0F,2024/05/27,13:00,0.048,Real,</t>
  </si>
  <si>
    <t>ES0031408323131005HX0F,2024/05/27,14:00,0.811,Real,</t>
  </si>
  <si>
    <t>ES0031408323131005HX0F,2024/05/27,15:00,0.081,Real,</t>
  </si>
  <si>
    <t>ES0031408323131005HX0F,2024/05/27,16:00,0.1,Real,</t>
  </si>
  <si>
    <t>ES0031408323131005HX0F,2024/05/27,17:00,0.074,Real,</t>
  </si>
  <si>
    <t>ES0031408323131005HX0F,2024/05/27,18:00,0.265,Real,</t>
  </si>
  <si>
    <t>ES0031408323131005HX0F,2024/05/27,19:00,0.451,Real,</t>
  </si>
  <si>
    <t>ES0031408323131005HX0F,2024/05/27,20:00,0.051,Real,</t>
  </si>
  <si>
    <t>ES0031408323131005HX0F,2024/05/27,21:00,0.08,Real,</t>
  </si>
  <si>
    <t>ES0031408323131005HX0F,2024/05/27,22:00,0.049,Real,</t>
  </si>
  <si>
    <t>ES0031408323131005HX0F,2024/05/27,23:00,0.139,Real,</t>
  </si>
  <si>
    <t>ES0031408323131005HX0F,2024/05/27,24:00,0.194,Real,</t>
  </si>
  <si>
    <t>ES0031408323131005HX0F,2024/05/28,01:00,0.348,Real,</t>
  </si>
  <si>
    <t>ES0031408323131005HX0F,2024/05/28,02:00,0.086,Real,</t>
  </si>
  <si>
    <t>ES0031408323131005HX0F,2024/05/28,03:00,0.073,Real,</t>
  </si>
  <si>
    <t>ES0031408323131005HX0F,2024/05/28,04:00,0.081,Real,</t>
  </si>
  <si>
    <t>ES0031408323131005HX0F,2024/05/28,05:00,0.13,Real,</t>
  </si>
  <si>
    <t>ES0031408323131005HX0F,2024/05/28,06:00,0.099,Real,</t>
  </si>
  <si>
    <t>ES0031408323131005HX0F,2024/05/28,07:00,0.069,Real,</t>
  </si>
  <si>
    <t>ES0031408323131005HX0F,2024/05/28,08:00,0.378,Real,</t>
  </si>
  <si>
    <t>ES0031408323131005HX0F,2024/05/28,09:00,0.151,Real,</t>
  </si>
  <si>
    <t>ES0031408323131005HX0F,2024/05/28,10:00,0.049,Real,</t>
  </si>
  <si>
    <t>ES0031408323131005HX0F,2024/05/28,11:00,0.099,Real,</t>
  </si>
  <si>
    <t>ES0031408323131005HX0F,2024/05/28,12:00,0.332,Real,</t>
  </si>
  <si>
    <t>ES0031408323131005HX0F,2024/05/28,13:00,0.06,Real,</t>
  </si>
  <si>
    <t>ES0031408323131005HX0F,2024/05/28,14:00,0.073,Real,</t>
  </si>
  <si>
    <t>ES0031408323131005HX0F,2024/05/28,15:00,0.047,Real,</t>
  </si>
  <si>
    <t>ES0031408323131005HX0F,2024/05/28,16:00,0.149,Real,</t>
  </si>
  <si>
    <t>ES0031408323131005HX0F,2024/05/28,17:00,0.08,Real,</t>
  </si>
  <si>
    <t>ES0031408323131005HX0F,2024/05/28,18:00,0.256,Real,</t>
  </si>
  <si>
    <t>ES0031408323131005HX0F,2024/05/28,19:00,0.43,Real,</t>
  </si>
  <si>
    <t>ES0031408323131005HX0F,2024/05/28,20:00,0.12,Real,</t>
  </si>
  <si>
    <t>ES0031408323131005HX0F,2024/05/28,21:00,0.181,Real,</t>
  </si>
  <si>
    <t>ES0031408323131005HX0F,2024/05/28,22:00,0.063,Real,</t>
  </si>
  <si>
    <t>ES0031408323131005HX0F,2024/05/28,23:00,1.252,Real,</t>
  </si>
  <si>
    <t>ES0031408323131005HX0F,2024/05/28,24:00,0.333,Real,</t>
  </si>
  <si>
    <t>ES0031408323131005HX0F,2024/05/29,01:00,0.058,Real,</t>
  </si>
  <si>
    <t>ES0031408323131005HX0F,2024/05/29,02:00,0.123,Real,</t>
  </si>
  <si>
    <t>ES0031408323131005HX0F,2024/05/29,03:00,0.118,Real,</t>
  </si>
  <si>
    <t>ES0031408323131005HX0F,2024/05/29,04:00,0.075,Real,</t>
  </si>
  <si>
    <t>ES0031408323131005HX0F,2024/05/29,05:00,0.325,Real,</t>
  </si>
  <si>
    <t>ES0031408323131005HX0F,2024/05/29,06:00,0.089,Real,</t>
  </si>
  <si>
    <t>ES0031408323131005HX0F,2024/05/29,07:00,0.073,Real,</t>
  </si>
  <si>
    <t>ES0031408323131005HX0F,2024/05/29,08:00,0.039,Real,</t>
  </si>
  <si>
    <t>ES0031408323131005HX0F,2024/05/29,09:00,0.084,Real,</t>
  </si>
  <si>
    <t>ES0031408323131005HX0F,2024/05/29,10:00,0.126,Real,</t>
  </si>
  <si>
    <t>ES0031408323131005HX0F,2024/05/29,11:00,0.823,Real,</t>
  </si>
  <si>
    <t>ES0031408323131005HX0F,2024/05/29,12:00,0.487,Real,</t>
  </si>
  <si>
    <t>ES0031408323131005HX0F,2024/05/29,13:00,0.166,Real,</t>
  </si>
  <si>
    <t>ES0031408323131005HX0F,2024/05/29,14:00,1.013,Real,</t>
  </si>
  <si>
    <t>ES0031408323131005HX0F,2024/05/29,15:00,0.419,Real,</t>
  </si>
  <si>
    <t>ES0031408323131005HX0F,2024/05/29,16:00,0.203,Real,</t>
  </si>
  <si>
    <t>ES0031408323131005HX0F,2024/05/29,17:00,0.707,Real,</t>
  </si>
  <si>
    <t>ES0031408323131005HX0F,2024/05/29,18:00,0.059,Real,</t>
  </si>
  <si>
    <t>ES0031408323131005HX0F,2024/05/29,19:00,0.078,Real,</t>
  </si>
  <si>
    <t>ES0031408323131005HX0F,2024/05/29,20:00,0.06,Real,</t>
  </si>
  <si>
    <t>ES0031408323131005HX0F,2024/05/29,21:00,2.673,Real,</t>
  </si>
  <si>
    <t>ES0031408323131005HX0F,2024/05/29,22:00,0.854,Real,</t>
  </si>
  <si>
    <t>ES0031408323131005HX0F,2024/05/29,23:00,0.147,Real,</t>
  </si>
  <si>
    <t>ES0031408323131005HX0F,2024/05/29,24:00,0.144,Real,</t>
  </si>
  <si>
    <t>ES0031408323131005HX0F,2024/05/30,01:00,0.098,Real,</t>
  </si>
  <si>
    <t>ES0031408323131005HX0F,2024/05/30,02:00,0.059,Real,</t>
  </si>
  <si>
    <t>ES0031408323131005HX0F,2024/05/30,03:00,0.102,Real,</t>
  </si>
  <si>
    <t>ES0031408323131005HX0F,2024/05/30,04:00,0.316,Real,</t>
  </si>
  <si>
    <t>ES0031408323131005HX0F,2024/05/30,05:00,0.059,Real,</t>
  </si>
  <si>
    <t>ES0031408323131005HX0F,2024/05/30,06:00,0.082,Real,</t>
  </si>
  <si>
    <t>ES0031408323131005HX0F,2024/05/30,07:00,0.043,Real,</t>
  </si>
  <si>
    <t>ES0031408323131005HX0F,2024/05/30,08:00,0.099,Real,</t>
  </si>
  <si>
    <t>ES0031408323131005HX0F,2024/05/30,09:00,0.09,Real,</t>
  </si>
  <si>
    <t>ES0031408323131005HX0F,2024/05/30,10:00,0.475,Real,</t>
  </si>
  <si>
    <t>ES0031408323131005HX0F,2024/05/30,11:00,0.072,Real,</t>
  </si>
  <si>
    <t>ES0031408323131005HX0F,2024/05/30,12:00,0.06,Real,</t>
  </si>
  <si>
    <t>ES0031408323131005HX0F,2024/05/30,13:00,0.094,Real,</t>
  </si>
  <si>
    <t>ES0031408323131005HX0F,2024/05/30,14:00,0.084,Real,</t>
  </si>
  <si>
    <t>ES0031408323131005HX0F,2024/05/30,15:00,0.097,Real,</t>
  </si>
  <si>
    <t>ES0031408323131005HX0F,2024/05/30,16:00,0.089,Real,</t>
  </si>
  <si>
    <t>ES0031408323131005HX0F,2024/05/30,17:00,0.309,Real,</t>
  </si>
  <si>
    <t>ES0031408323131005HX0F,2024/05/30,18:00,0.102,Real,</t>
  </si>
  <si>
    <t>ES0031408323131005HX0F,2024/05/30,19:00,0.077,Real,</t>
  </si>
  <si>
    <t>ES0031408323131005HX0F,2024/05/30,20:00,1.261,Real,</t>
  </si>
  <si>
    <t>ES0031408323131005HX0F,2024/05/30,21:00,0.235,Real,</t>
  </si>
  <si>
    <t>ES0031408323131005HX0F,2024/05/30,22:00,0.226,Real,</t>
  </si>
  <si>
    <t>ES0031408323131005HX0F,2024/05/30,23:00,0.485,Real,</t>
  </si>
  <si>
    <t>ES0031408323131005HX0F,2024/05/30,24:00,0.355,Real,</t>
  </si>
  <si>
    <t>ES0031408323131005HX0F,2024/05/31,01:00,0.104,Real,</t>
  </si>
  <si>
    <t>ES0031408323131005HX0F,2024/05/31,02:00,0.062,Real,</t>
  </si>
  <si>
    <t>ES0031408323131005HX0F,2024/05/31,03:00,0.1,Real,</t>
  </si>
  <si>
    <t>ES0031408323131005HX0F,2024/05/31,04:00,0.045,Real,</t>
  </si>
  <si>
    <t>ES0031408323131005HX0F,2024/05/31,05:00,0.094,Real,</t>
  </si>
  <si>
    <t>ES0031408323131005HX0F,2024/05/31,06:00,0.28,Real,</t>
  </si>
  <si>
    <t>ES0031408323131005HX0F,2024/05/31,07:00,0.128,Real,</t>
  </si>
  <si>
    <t>ES0031408323131005HX0F,2024/05/31,08:00,0.055,Real,</t>
  </si>
  <si>
    <t>ES0031408323131005HX0F,2024/05/31,09:00,0.069,Real,</t>
  </si>
  <si>
    <t>ES0031408323131005HX0F,2024/05/31,10:00,0.181,Real,</t>
  </si>
  <si>
    <t>ES0031408323131005HX0F,2024/05/31,11:00,0.409,Real,</t>
  </si>
  <si>
    <t>ES0031408323131005HX0F,2024/05/31,12:00,0.168,Real,</t>
  </si>
  <si>
    <t>ES0031408323131005HX0F,2024/05/31,13:00,0.312,Real,</t>
  </si>
  <si>
    <t>ES0031408323131005HX0F,2024/05/31,14:00,0.085,Real,</t>
  </si>
  <si>
    <t>ES0031408323131005HX0F,2024/05/31,15:00,0.038,Real,</t>
  </si>
  <si>
    <t>ES0031408323131005HX0F,2024/05/31,16:00,0.09,Real,</t>
  </si>
  <si>
    <t>ES0031408323131005HX0F,2024/05/31,17:00,0.051,Real,</t>
  </si>
  <si>
    <t>ES0031408323131005HX0F,2024/05/31,18:00,0.144,Real,</t>
  </si>
  <si>
    <t>ES0031408323131005HX0F,2024/05/31,19:00,0.112,Real,</t>
  </si>
  <si>
    <t>ES0031408323131005HX0F,2024/05/31,20:00,0.253,Real,</t>
  </si>
  <si>
    <t>ES0031408323131005HX0F,2024/05/31,21:00,0.133,Real,</t>
  </si>
  <si>
    <t>ES0031408323131005HX0F,2024/05/31,22:00,1.479,Real,</t>
  </si>
  <si>
    <t>ES0031408323131005HX0F,2024/05/31,23:00,0.954,Real,</t>
  </si>
  <si>
    <t>ES0031408323131005HX0F,2024/05/31,24:00,0.083,Real,</t>
  </si>
  <si>
    <t>ES0031408323131005HX0F,2024/06/01,01:00,0.078,Real,</t>
  </si>
  <si>
    <t>ES0031408323131005HX0F,2024/06/01,02:00,0.059,Real,</t>
  </si>
  <si>
    <t>ES0031408323131005HX0F,2024/06/01,03:00,0.079,Real,</t>
  </si>
  <si>
    <t>ES0031408323131005HX0F,2024/06/01,04:00,0.065,Real,</t>
  </si>
  <si>
    <t>ES0031408323131005HX0F,2024/06/01,05:00,0.353,Real,</t>
  </si>
  <si>
    <t>ES0031408323131005HX0F,2024/06/01,06:00,0.064,Real,</t>
  </si>
  <si>
    <t>ES0031408323131005HX0F,2024/06/01,07:00,0.059,Real,</t>
  </si>
  <si>
    <t>ES0031408323131005HX0F,2024/06/01,08:00,0.898,Real,</t>
  </si>
  <si>
    <t>ES0031408323131005HX0F,2024/06/01,09:00,0.174,Real,</t>
  </si>
  <si>
    <t>ES0031408323131005HX0F,2024/06/01,10:00,0.12,Real,</t>
  </si>
  <si>
    <t>ES0031408323131005HX0F,2024/06/01,11:00,0.058,Real,</t>
  </si>
  <si>
    <t>ES0031408323131005HX0F,2024/06/01,12:00,0.334,Real,</t>
  </si>
  <si>
    <t>ES0031408323131005HX0F,2024/06/01,13:00,0.066,Real,</t>
  </si>
  <si>
    <t>ES0031408323131005HX0F,2024/06/01,14:00,0.059,Real,</t>
  </si>
  <si>
    <t>ES0031408323131005HX0F,2024/06/01,15:00,0.078,Real,</t>
  </si>
  <si>
    <t>ES0031408323131005HX0F,2024/06/01,16:00,0.046,Real,</t>
  </si>
  <si>
    <t>ES0031408323131005HX0F,2024/06/01,17:00,0.135,Real,</t>
  </si>
  <si>
    <t>ES0031408323131005HX0F,2024/06/01,18:00,0.376,Real,</t>
  </si>
  <si>
    <t>ES0031408323131005HX0F,2024/06/01,19:00,0.061,Real,</t>
  </si>
  <si>
    <t>ES0031408323131005HX0F,2024/06/01,20:00,0.081,Real,</t>
  </si>
  <si>
    <t>ES0031408323131005HX0F,2024/06/01,21:00,0.073,Real,</t>
  </si>
  <si>
    <t>ES0031408323131005HX0F,2024/06/01,22:00,0.054,Real,</t>
  </si>
  <si>
    <t>ES0031408323131005HX0F,2024/06/01,23:00,0.081,Real,</t>
  </si>
  <si>
    <t>ES0031408323131005HX0F,2024/06/01,24:00,0.045,Real,</t>
  </si>
  <si>
    <t>ES0031408323131005HX0F,2024/06/02,01:00,0.382,Real,</t>
  </si>
  <si>
    <t>ES0031408323131005HX0F,2024/06/02,02:00,0.059,Real,</t>
  </si>
  <si>
    <t>ES0031408323131005HX0F,2024/06/02,03:00,0.091,Real,</t>
  </si>
  <si>
    <t>ES0031408323131005HX0F,2024/06/02,04:00,0.058,Real,</t>
  </si>
  <si>
    <t>ES0031408323131005HX0F,2024/06/02,05:00,0.074,Real,</t>
  </si>
  <si>
    <t>ES0031408323131005HX0F,2024/06/02,06:00,0.074,Real,</t>
  </si>
  <si>
    <t>ES0031408323131005HX0F,2024/06/02,07:00,0.049,Real,</t>
  </si>
  <si>
    <t>ES0031408323131005HX0F,2024/06/02,08:00,0.375,Real,</t>
  </si>
  <si>
    <t>ES0031408323131005HX0F,2024/06/02,09:00,0.045,Real,</t>
  </si>
  <si>
    <t>ES0031408323131005HX0F,2024/06/02,10:00,0.107,Real,</t>
  </si>
  <si>
    <t>ES0031408323131005HX0F,2024/06/02,11:00,0.069,Real,</t>
  </si>
  <si>
    <t>ES0031408323131005HX0F,2024/06/02,12:00,0.089,Real,</t>
  </si>
  <si>
    <t>ES0031408323131005HX0F,2024/06/02,13:00,0.057,Real,</t>
  </si>
  <si>
    <t>ES0031408323131005HX0F,2024/06/02,14:00,0.021,Real,</t>
  </si>
  <si>
    <t>ES0031408323131005HX0F,2024/06/02,15:00,0.388,Real,</t>
  </si>
  <si>
    <t>ES0031408323131005HX0F,2024/06/02,16:00,0.063,Real,</t>
  </si>
  <si>
    <t>ES0031408323131005HX0F,2024/06/02,17:00,0.052,Real,</t>
  </si>
  <si>
    <t>ES0031408323131005HX0F,2024/06/02,18:00,0.02,Real,</t>
  </si>
  <si>
    <t>ES0031408323131005HX0F,2024/06/02,19:00,0.104,Real,</t>
  </si>
  <si>
    <t>ES0031408323131005HX0F,2024/06/02,20:00,0.075,Real,</t>
  </si>
  <si>
    <t>ES0031408323131005HX0F,2024/06/02,21:00,0.052,Real,</t>
  </si>
  <si>
    <t>ES0031408323131005HX0F,2024/06/02,22:00,0.317,Real,</t>
  </si>
  <si>
    <t>ES0031408323131005HX0F,2024/06/02,23:00,0.091,Real,</t>
  </si>
  <si>
    <t>ES0031408323131005HX0F,2024/06/02,24:00,0.079,Real,</t>
  </si>
  <si>
    <t>ES0031408323131005HX0F,2024/06/03,01:00,0.061,Real,</t>
  </si>
  <si>
    <t>ES0031408323131005HX0F,2024/06/03,02:00,0.021,Real,</t>
  </si>
  <si>
    <t>ES0031408323131005HX0F,2024/06/03,03:00,0.077,Real,</t>
  </si>
  <si>
    <t>ES0031408323131005HX0F,2024/06/03,04:00,0.079,Real,</t>
  </si>
  <si>
    <t>ES0031408323131005HX0F,2024/06/03,05:00,0.358,Real,</t>
  </si>
  <si>
    <t>ES0031408323131005HX0F,2024/06/03,06:00,0.02,Real,</t>
  </si>
  <si>
    <t>ES0031408323131005HX0F,2024/06/03,07:00,0.062,Real,</t>
  </si>
  <si>
    <t>ES0031408323131005HX0F,2024/06/03,08:00,0.083,Real,</t>
  </si>
  <si>
    <t>ES0031408323131005HX0F,2024/06/03,09:00,0.076,Real,</t>
  </si>
  <si>
    <t>ES0031408323131005HX0F,2024/06/03,10:00,0.048,Real,</t>
  </si>
  <si>
    <t>ES0031408323131005HX0F,2024/06/03,11:00,0.057,Real,</t>
  </si>
  <si>
    <t>ES0031408323131005HX0F,2024/06/03,12:00,0.406,Real,</t>
  </si>
  <si>
    <t>ES0031408323131005HX0F,2024/06/03,13:00,0.062,Real,</t>
  </si>
  <si>
    <t>ES0031408323131005HX0F,2024/06/03,14:00,0.043,Real,</t>
  </si>
  <si>
    <t>ES0031408323131005HX0F,2024/06/03,15:00,0.033,Real,</t>
  </si>
  <si>
    <t>ES0031408323131005HX0F,2024/06/03,16:00,0.113,Real,</t>
  </si>
  <si>
    <t>ES0031408323131005HX0F,2024/06/03,17:00,0.054,Real,</t>
  </si>
  <si>
    <t>ES0031408323131005HX0F,2024/06/03,18:00,0.053,Real,</t>
  </si>
  <si>
    <t>ES0031408323131005HX0F,2024/06/03,19:00,0.339,Real,</t>
  </si>
  <si>
    <t>ES0031408323131005HX0F,2024/06/03,20:00,0.119,Real,</t>
  </si>
  <si>
    <t>ES0031408323131005HX0F,2024/06/03,21:00,0.061,Real,</t>
  </si>
  <si>
    <t>ES0031408323131005HX0F,2024/06/03,22:00,0.057,Real,</t>
  </si>
  <si>
    <t>ES0031408323131005HX0F,2024/06/03,23:00,0.025,Real,</t>
  </si>
  <si>
    <t>ES0031408323131005HX0F,2024/06/03,24:00,0.123,Real,</t>
  </si>
  <si>
    <t>ES0031408323131005HX0F,2024/06/04,01:00,0.068,Real,</t>
  </si>
  <si>
    <t>ES0031408323131005HX0F,2024/06/04,02:00,0.054,Real,</t>
  </si>
  <si>
    <t>ES0031408323131005HX0F,2024/06/04,03:00,0.267,Real,</t>
  </si>
  <si>
    <t>ES0031408323131005HX0F,2024/06/04,04:00,0.102,Real,</t>
  </si>
  <si>
    <t>ES0031408323131005HX0F,2024/06/04,05:00,0.077,Real,</t>
  </si>
  <si>
    <t>ES0031408323131005HX0F,2024/06/04,06:00,0.052,Real,</t>
  </si>
  <si>
    <t>ES0031408323131005HX0F,2024/06/04,07:00,0.02,Real,</t>
  </si>
  <si>
    <t>ES0031408323131005HX0F,2024/06/04,08:00,0.09,Real,</t>
  </si>
  <si>
    <t>ES0031408323131005HX0F,2024/06/04,09:00,0.356,Real,</t>
  </si>
  <si>
    <t>ES0031408323131005HX0F,2024/06/04,10:00,0.082,Real,</t>
  </si>
  <si>
    <t>ES0031408323131005HX0F,2024/06/04,11:00,0.032,Real,</t>
  </si>
  <si>
    <t>ES0031408323131005HX0F,2024/06/04,12:00,0.075,Real,</t>
  </si>
  <si>
    <t>ES0031408323131005HX0F,2024/06/04,13:00,0.551,Real,</t>
  </si>
  <si>
    <t>ES0031408323131005HX0F,2024/06/04,14:00,0.814,Real,</t>
  </si>
  <si>
    <t>ES0031408323131005HX0F,2024/06/04,15:00,0.076,Real,</t>
  </si>
  <si>
    <t>ES0031408323131005HX0F,2024/06/04,16:00,0.123,Real,</t>
  </si>
  <si>
    <t>ES0031408323131005HX0F,2024/06/04,17:00,0.138,Real,</t>
  </si>
  <si>
    <t>ES0031408323131005HX0F,2024/06/04,18:00,0.134,Real,</t>
  </si>
  <si>
    <t>ES0031408323131005HX0F,2024/06/04,19:00,0.352,Real,</t>
  </si>
  <si>
    <t>ES0031408323131005HX0F,2024/06/04,20:00,0.117,Real,</t>
  </si>
  <si>
    <t>ES0031408323131005HX0F,2024/06/04,21:00,0.144,Real,</t>
  </si>
  <si>
    <t>ES0031408323131005HX0F,2024/06/04,22:00,0.13,Real,</t>
  </si>
  <si>
    <t>ES0031408323131005HX0F,2024/06/04,23:00,0.088,Real,</t>
  </si>
  <si>
    <t>ES0031408323131005HX0F,2024/06/04,24:00,0.108,Real,</t>
  </si>
  <si>
    <t>ES0031408323131005HX0F,2024/06/05,01:00,0.152,Real,</t>
  </si>
  <si>
    <t>ES0031408323131005HX0F,2024/06/05,02:00,0.124,Real,</t>
  </si>
  <si>
    <t>ES0031408323131005HX0F,2024/06/05,03:00,0.421,Real,</t>
  </si>
  <si>
    <t>ES0031408323131005HX0F,2024/06/05,04:00,0.1,Real,</t>
  </si>
  <si>
    <t>ES0031408323131005HX0F,2024/06/05,05:00,0.16,Real,</t>
  </si>
  <si>
    <t>ES0031408323131005HX0F,2024/06/05,06:00,0.116,Real,</t>
  </si>
  <si>
    <t>ES0031408323131005HX0F,2024/06/05,07:00,0.103,Real,</t>
  </si>
  <si>
    <t>ES0031408323131005HX0F,2024/06/05,08:00,0.088,Real,</t>
  </si>
  <si>
    <t>ES0031408323131005HX0F,2024/06/05,09:00,0.17,Real,</t>
  </si>
  <si>
    <t>ES0031408323131005HX0F,2024/06/05,10:00,0.141,Real,</t>
  </si>
  <si>
    <t>ES0031408323131005HX0F,2024/06/05,11:00,0.402,Real,</t>
  </si>
  <si>
    <t>ES0031408323131005HX0F,2024/06/05,12:00,0.079,Real,</t>
  </si>
  <si>
    <t>ES0031408323131005HX0F,2024/06/05,13:00,0.178,Real,</t>
  </si>
  <si>
    <t>ES0031408323131005HX0F,2024/06/05,14:00,0.112,Real,</t>
  </si>
  <si>
    <t>ES0031408323131005HX0F,2024/06/05,15:00,0.109,Real,</t>
  </si>
  <si>
    <t>ES0031408323131005HX0F,2024/06/05,16:00,0.076,Real,</t>
  </si>
  <si>
    <t>ES0031408323131005HX0F,2024/06/05,17:00,0.177,Real,</t>
  </si>
  <si>
    <t>ES0031408323131005HX0F,2024/06/05,18:00,0.399,Real,</t>
  </si>
  <si>
    <t>ES0031408323131005HX0F,2024/06/05,19:00,0.143,Real,</t>
  </si>
  <si>
    <t>ES0031408323131005HX0F,2024/06/05,20:00,0.147,Real,</t>
  </si>
  <si>
    <t>ES0031408323131005HX0F,2024/06/05,21:00,0.253,Real,</t>
  </si>
  <si>
    <t>ES0031408323131005HX0F,2024/06/05,22:00,0.215,Real,</t>
  </si>
  <si>
    <t>ES0031408323131005HX0F,2024/06/05,23:00,0.341,Real,</t>
  </si>
  <si>
    <t>ES0031408323131005HX0F,2024/06/05,24:00,0.185,Real,</t>
  </si>
  <si>
    <t>ES0031408323131005HX0F,2024/06/06,01:00,0.393,Real,</t>
  </si>
  <si>
    <t>ES0031408323131005HX0F,2024/06/06,02:00,0.046,Real,</t>
  </si>
  <si>
    <t>ES0031408323131005HX0F,2024/06/06,03:00,0.109,Real,</t>
  </si>
  <si>
    <t>ES0031408323131005HX0F,2024/06/06,04:00,0.061,Real,</t>
  </si>
  <si>
    <t>ES0031408323131005HX0F,2024/06/06,05:00,0.095,Real,</t>
  </si>
  <si>
    <t>ES0031408323131005HX0F,2024/06/06,06:00,0.047,Real,</t>
  </si>
  <si>
    <t>ES0031408323131005HX0F,2024/06/06,07:00,0.068,Real,</t>
  </si>
  <si>
    <t>ES0031408323131005HX0F,2024/06/06,08:00,0.367,Real,</t>
  </si>
  <si>
    <t>ES0031408323131005HX0F,2024/06/06,09:00,0.185,Real,</t>
  </si>
  <si>
    <t>ES0031408323131005HX0F,2024/06/06,10:00,1.039,Real,</t>
  </si>
  <si>
    <t>ES0031408323131005HX0F,2024/06/06,11:00,1.75,Real,</t>
  </si>
  <si>
    <t>ES0031408323131005HX0F,2024/06/06,12:00,0.847,Real,</t>
  </si>
  <si>
    <t>ES0031408323131005HX0F,2024/06/06,13:00,0.098,Real,</t>
  </si>
  <si>
    <t>ES0031408323131005HX0F,2024/06/06,14:00,0.095,Real,</t>
  </si>
  <si>
    <t>ES0031408323131005HX0F,2024/06/06,15:00,0.211,Real,</t>
  </si>
  <si>
    <t>ES0031408323131005HX0F,2024/06/06,16:00,0.133,Real,</t>
  </si>
  <si>
    <t>ES0031408323131005HX0F,2024/06/06,17:00,0.14,Real,</t>
  </si>
  <si>
    <t>ES0031408323131005HX0F,2024/06/06,18:00,0.115,Real,</t>
  </si>
  <si>
    <t>ES0031408323131005HX0F,2024/06/06,19:00,0.06,Real,</t>
  </si>
  <si>
    <t>ES0031408323131005HX0F,2024/06/06,20:00,0.1,Real,</t>
  </si>
  <si>
    <t>ES0031408323131005HX0F,2024/06/06,21:00,0.94,Real,</t>
  </si>
  <si>
    <t>ES0031408323131005HX0F,2024/06/06,22:00,0.513,Real,</t>
  </si>
  <si>
    <t>ES0031408323131005HX0F,2024/06/06,23:00,0.126,Real,</t>
  </si>
  <si>
    <t>ES0031408323131005HX0F,2024/06/06,24:00,0.09,Real,</t>
  </si>
  <si>
    <t>ES0031408323131005HX0F,2024/06/07,01:00,0.11,Real,</t>
  </si>
  <si>
    <t>ES0031408323131005HX0F,2024/06/07,02:00,0.061,Real,</t>
  </si>
  <si>
    <t>ES0031408323131005HX0F,2024/06/07,03:00,0.364,Real,</t>
  </si>
  <si>
    <t>ES0031408323131005HX0F,2024/06/07,04:00,0.082,Real,</t>
  </si>
  <si>
    <t>ES0031408323131005HX0F,2024/06/07,05:00,0.051,Real,</t>
  </si>
  <si>
    <t>ES0031408323131005HX0F,2024/06/07,06:00,0.079,Real,</t>
  </si>
  <si>
    <t>ES0031408323131005HX0F,2024/06/07,07:00,0.045,Real,</t>
  </si>
  <si>
    <t>ES0031408323131005HX0F,2024/06/07,08:00,0.09,Real,</t>
  </si>
  <si>
    <t>ES0031408323131005HX0F,2024/06/07,09:00,0.228,Real,</t>
  </si>
  <si>
    <t>ES0031408323131005HX0F,2024/06/07,10:00,0.137,Real,</t>
  </si>
  <si>
    <t>ES0031408323131005HX0F,2024/06/07,11:00,0.349,Real,</t>
  </si>
  <si>
    <t>ES0031408323131005HX0F,2024/06/07,12:00,0.099,Real,</t>
  </si>
  <si>
    <t>ES0031408323131005HX0F,2024/06/07,13:00,0.061,Real,</t>
  </si>
  <si>
    <t>ES0031408323131005HX0F,2024/06/07,14:00,0.169,Real,</t>
  </si>
  <si>
    <t>ES0031408323131005HX0F,2024/06/07,15:00,0.301,Real,</t>
  </si>
  <si>
    <t>ES0031408323131005HX0F,2024/06/07,16:00,0.327,Real,</t>
  </si>
  <si>
    <t>ES0031408323131005HX0F,2024/06/07,17:00,0.595,Real,</t>
  </si>
  <si>
    <t>ES0031408323131005HX0F,2024/06/07,18:00,0.517,Real,</t>
  </si>
  <si>
    <t>ES0031408323131005HX0F,2024/06/07,19:00,0.37,Real,</t>
  </si>
  <si>
    <t>ES0031408323131005HX0F,2024/06/07,20:00,0.161,Real,</t>
  </si>
  <si>
    <t>ES0031408323131005HX0F,2024/06/07,21:00,0.153,Real,</t>
  </si>
  <si>
    <t>ES0031408323131005HX0F,2024/06/07,22:00,0.214,Real,</t>
  </si>
  <si>
    <t>ES0031408323131005HX0F,2024/06/07,23:00,0.125,Real,</t>
  </si>
  <si>
    <t>ES0031408323131005HX0F,2024/06/07,24:00,0.075,Real,</t>
  </si>
  <si>
    <t>ES0031408323131005HX0F,2024/06/08,01:00,0.143,Real,</t>
  </si>
  <si>
    <t>ES0031408323131005HX0F,2024/06/08,02:00,0.131,Real,</t>
  </si>
  <si>
    <t>ES0031408323131005HX0F,2024/06/08,03:00,0.442,Real,</t>
  </si>
  <si>
    <t>ES0031408323131005HX0F,2024/06/08,04:00,0.135,Real,</t>
  </si>
  <si>
    <t>ES0031408323131005HX0F,2024/06/08,05:00,0.117,Real,</t>
  </si>
  <si>
    <t>ES0031408323131005HX0F,2024/06/08,06:00,0.09,Real,</t>
  </si>
  <si>
    <t>ES0031408323131005HX0F,2024/06/08,07:00,0.055,Real,</t>
  </si>
  <si>
    <t>ES0031408323131005HX0F,2024/06/08,08:00,0.116,Real,</t>
  </si>
  <si>
    <t>ES0031408323131005HX0F,2024/06/08,09:00,0.763,Real,</t>
  </si>
  <si>
    <t>ES0031408323131005HX0F,2024/06/08,10:00,0.138,Real,</t>
  </si>
  <si>
    <t>ES0031408323131005HX0F,2024/06/08,11:00,0.2,Real,</t>
  </si>
  <si>
    <t>ES0031408323131005HX0F,2024/06/08,12:00,0.795,Real,</t>
  </si>
  <si>
    <t>ES0031408323131005HX0F,2024/06/08,13:00,0.27,Real,</t>
  </si>
  <si>
    <t>ES0031408323131005HX0F,2024/06/08,14:00,0.132,Real,</t>
  </si>
  <si>
    <t>ES0031408323131005HX0F,2024/06/08,15:00,0.207,Real,</t>
  </si>
  <si>
    <t>ES0031408323131005HX0F,2024/06/08,16:00,0.166,Real,</t>
  </si>
  <si>
    <t>ES0031408323131005HX0F,2024/06/08,17:00,0.239,Real,</t>
  </si>
  <si>
    <t>ES0031408323131005HX0F,2024/06/08,18:00,0.095,Real,</t>
  </si>
  <si>
    <t>ES0031408323131005HX0F,2024/06/08,19:00,0.052,Real,</t>
  </si>
  <si>
    <t>ES0031408323131005HX0F,2024/06/08,20:00,0.433,Real,</t>
  </si>
  <si>
    <t>ES0031408323131005HX0F,2024/06/08,21:00,0.414,Real,</t>
  </si>
  <si>
    <t>ES0031408323131005HX0F,2024/06/08,22:00,0.12,Real,</t>
  </si>
  <si>
    <t>ES0031408323131005HX0F,2024/06/08,23:00,0.116,Real,</t>
  </si>
  <si>
    <t>ES0031408323131005HX0F,2024/06/08,24:00,0.088,Real,</t>
  </si>
  <si>
    <t>ES0031408323131005HX0F,2024/06/09,01:00,0.105,Real,</t>
  </si>
  <si>
    <t>ES0031408323131005HX0F,2024/06/09,02:00,0.092,Real,</t>
  </si>
  <si>
    <t>ES0031408323131005HX0F,2024/06/09,03:00,0.069,Real,</t>
  </si>
  <si>
    <t>ES0031408323131005HX0F,2024/06/09,04:00,0.101,Real,</t>
  </si>
  <si>
    <t>ES0031408323131005HX0F,2024/06/09,05:00,0.335,Real,</t>
  </si>
  <si>
    <t>ES0031408323131005HX0F,2024/06/09,06:00,0.1,Real,</t>
  </si>
  <si>
    <t>ES0031408323131005HX0F,2024/06/09,07:00,0.083,Real,</t>
  </si>
  <si>
    <t>ES0031408323131005HX0F,2024/06/09,08:00,0.078,Real,</t>
  </si>
  <si>
    <t>ES0031408323131005HX0F,2024/06/09,09:00,0.141,Real,</t>
  </si>
  <si>
    <t>ES0031408323131005HX0F,2024/06/09,10:00,0.73,Real,</t>
  </si>
  <si>
    <t>ES0031408323131005HX0F,2024/06/09,11:00,0.874,Real,</t>
  </si>
  <si>
    <t>ES0031408323131005HX0F,2024/06/09,12:00,0.284,Real,</t>
  </si>
  <si>
    <t>ES0031408323131005HX0F,2024/06/09,13:00,0.075,Real,</t>
  </si>
  <si>
    <t>ES0031408323131005HX0F,2024/06/09,14:00,0.07,Real,</t>
  </si>
  <si>
    <t>ES0031408323131005HX0F,2024/06/09,15:00,0.035,Real,</t>
  </si>
  <si>
    <t>ES0031408323131005HX0F,2024/06/09,16:00,0.073,Real,</t>
  </si>
  <si>
    <t>ES0031408323131005HX0F,2024/06/09,17:00,0.095,Real,</t>
  </si>
  <si>
    <t>ES0031408323131005HX0F,2024/06/09,18:00,0.109,Real,</t>
  </si>
  <si>
    <t>ES0031408323131005HX0F,2024/06/09,19:00,0.073,Real,</t>
  </si>
  <si>
    <t>ES0031408323131005HX0F,2024/06/09,20:00,0.31,Real,</t>
  </si>
  <si>
    <t>ES0031408323131005HX0F,2024/06/09,21:00,0.094,Real,</t>
  </si>
  <si>
    <t>ES0031408323131005HX0F,2024/06/09,22:00,0.049,Real,</t>
  </si>
  <si>
    <t>ES0031408323131005HX0F,2024/06/09,23:00,0.067,Real,</t>
  </si>
  <si>
    <t>ES0031408323131005HX0F,2024/06/09,24:00,0.071,Real,</t>
  </si>
  <si>
    <t>ES0031408323131005HX0F,2024/06/10,01:00,0.035,Real,</t>
  </si>
  <si>
    <t>ES0031408323131005HX0F,2024/06/10,02:00,0.073,Real,</t>
  </si>
  <si>
    <t>ES0031408323131005HX0F,2024/06/10,03:00,0.047,Real,</t>
  </si>
  <si>
    <t>ES0031408323131005HX0F,2024/06/10,04:00,0.371,Real,</t>
  </si>
  <si>
    <t>ES0031408323131005HX0F,2024/06/10,05:00,0.048,Real,</t>
  </si>
  <si>
    <t>ES0031408323131005HX0F,2024/06/10,06:00,0.06,Real,</t>
  </si>
  <si>
    <t>ES0031408323131005HX0F,2024/06/10,07:00,0.07,Real,</t>
  </si>
  <si>
    <t>ES0031408323131005HX0F,2024/06/10,08:00,0.035,Real,</t>
  </si>
  <si>
    <t>ES0031408323131005HX0F,2024/06/10,09:00,0.073,Real,</t>
  </si>
  <si>
    <t>ES0031408323131005HX0F,2024/06/10,10:00,0.044,Real,</t>
  </si>
  <si>
    <t>ES0031408323131005HX0F,2024/06/10,11:00,0.365,Real,</t>
  </si>
  <si>
    <t>ES0031408323131005HX0F,2024/06/10,12:00,0.047,Real,</t>
  </si>
  <si>
    <t>ES0031408323131005HX0F,2024/06/10,13:00,0.068,Real,</t>
  </si>
  <si>
    <t>ES0031408323131005HX0F,2024/06/10,14:00,0.08,Real,</t>
  </si>
  <si>
    <t>ES0031408323131005HX0F,2024/06/10,15:00,0.088,Real,</t>
  </si>
  <si>
    <t>ES0031408323131005HX0F,2024/06/10,16:00,0.097,Real,</t>
  </si>
  <si>
    <t>ES0031408323131005HX0F,2024/06/10,17:00,0.049,Real,</t>
  </si>
  <si>
    <t>ES0031408323131005HX0F,2024/06/10,18:00,0.258,Real,</t>
  </si>
  <si>
    <t>ES0031408323131005HX0F,2024/06/10,19:00,0.068,Real,</t>
  </si>
  <si>
    <t>ES0031408323131005HX0F,2024/06/10,20:00,0.108,Real,</t>
  </si>
  <si>
    <t>ES0031408323131005HX0F,2024/06/10,21:00,0.057,Real,</t>
  </si>
  <si>
    <t>ES0031408323131005HX0F,2024/06/10,22:00,0.042,Real,</t>
  </si>
  <si>
    <t>ES0031408323131005HX0F,2024/06/10,23:00,0.006,Real,</t>
  </si>
  <si>
    <t>ES0031408323131005HX0F,2024/06/10,24:00,0.096,Real,</t>
  </si>
  <si>
    <t>ES0031408323131005HX0F,2024/06/11,01:00,0.07,Real,</t>
  </si>
  <si>
    <t>ES0031408323131005HX0F,2024/06/11,02:00,0.337,Real,</t>
  </si>
  <si>
    <t>ES0031408323131005HX0F,2024/06/11,03:00,0.006,Real,</t>
  </si>
  <si>
    <t>ES0031408323131005HX0F,2024/06/11,04:00,0.078,Real,</t>
  </si>
  <si>
    <t>ES0031408323131005HX0F,2024/06/11,05:00,0.071,Real,</t>
  </si>
  <si>
    <t>ES0031408323131005HX0F,2024/06/11,06:00,0.059,Real,</t>
  </si>
  <si>
    <t>ES0031408323131005HX0F,2024/06/11,07:00,0.006,Real,</t>
  </si>
  <si>
    <t>ES0031408323131005HX0F,2024/06/11,08:00,0.064,Real,</t>
  </si>
  <si>
    <t>ES0031408323131005HX0F,2024/06/11,09:00,0.362,Real,</t>
  </si>
  <si>
    <t>ES0031408323131005HX0F,2024/06/11,10:00,0.067,Real,</t>
  </si>
  <si>
    <t>ES0031408323131005HX0F,2024/06/11,11:00,0.007,Real,</t>
  </si>
  <si>
    <t>ES0031408323131005HX0F,2024/06/11,12:00,0.054,Real,</t>
  </si>
  <si>
    <t>ES0031408323131005HX0F,2024/06/11,13:00,0.072,Real,</t>
  </si>
  <si>
    <t>ES0031408323131005HX0F,2024/06/11,14:00,0.067,Real,</t>
  </si>
  <si>
    <t>ES0031408323131005HX0F,2024/06/11,15:00,0.016,Real,</t>
  </si>
  <si>
    <t>ES0031408323131005HX0F,2024/06/11,16:00,0.177,Real,</t>
  </si>
  <si>
    <t>ES0031408323131005HX0F,2024/06/11,17:00,0.213,Real,</t>
  </si>
  <si>
    <t>ES0031408323131005HX0F,2024/06/11,18:00,0.057,Real,</t>
  </si>
  <si>
    <t>ES0031408323131005HX0F,2024/06/11,19:00,0.024,Real,</t>
  </si>
  <si>
    <t>ES0031408323131005HX0F,2024/06/11,20:00,0.029,Real,</t>
  </si>
  <si>
    <t>ES0031408323131005HX0F,2024/06/11,21:00,0.093,Real,</t>
  </si>
  <si>
    <t>ES0031408323131005HX0F,2024/06/11,22:00,0.047,Real,</t>
  </si>
  <si>
    <t>ES0031408323131005HX0F,2024/06/11,23:00,0.312,Real,</t>
  </si>
  <si>
    <t>ES0031408323131005HX0F,2024/06/11,24:00,0.016,Real,</t>
  </si>
  <si>
    <t>ES0031408323131005HX0F,2024/06/12,01:00,0.105,Real,</t>
  </si>
  <si>
    <t>ES0031408323131005HX0F,2024/06/12,02:00,0.04,Real,</t>
  </si>
  <si>
    <t>ES0031408323131005HX0F,2024/06/12,03:00,0.04,Real,</t>
  </si>
  <si>
    <t>ES0031408323131005HX0F,2024/06/12,04:00,0.006,Real,</t>
  </si>
  <si>
    <t>ES0031408323131005HX0F,2024/06/12,05:00,0.106,Real,</t>
  </si>
  <si>
    <t>ES0031408323131005HX0F,2024/06/12,06:00,0.327,Real,</t>
  </si>
  <si>
    <t>ES0031408323131005HX0F,2024/06/12,07:00,0.039,Real,</t>
  </si>
  <si>
    <t>ES0031408323131005HX0F,2024/06/12,08:00,0.006,Real,</t>
  </si>
  <si>
    <t>ES0031408323131005HX0F,2024/06/12,09:00,0.093,Real,</t>
  </si>
  <si>
    <t>ES0031408323131005HX0F,2024/06/12,10:00,0.06,Real,</t>
  </si>
  <si>
    <t>ES0031408323131005HX0F,2024/06/12,11:00,0.039,Real,</t>
  </si>
  <si>
    <t>ES0031408323131005HX0F,2024/06/12,12:00,0.006,Real,</t>
  </si>
  <si>
    <t>ES0031408323131005HX0F,2024/06/12,13:00,0.355,Real,</t>
  </si>
  <si>
    <t>ES0031408323131005HX0F,2024/06/12,14:00,0.067,Real,</t>
  </si>
  <si>
    <t>ES0031408323131005HX0F,2024/06/12,15:00,0.043,Real,</t>
  </si>
  <si>
    <t>ES0031408323131005HX0F,2024/06/12,16:00,0.007,Real,</t>
  </si>
  <si>
    <t>ES0031408323131005HX0F,2024/06/12,17:00,0.069,Real,</t>
  </si>
  <si>
    <t>ES0031408323131005HX0F,2024/06/12,18:00,0.068,Real,</t>
  </si>
  <si>
    <t>ES0031408323131005HX0F,2024/06/12,19:00,0.055,Real,</t>
  </si>
  <si>
    <t>ES0031408323131005HX0F,2024/06/12,20:00,0.29,Real,</t>
  </si>
  <si>
    <t>ES0031408323131005HX0F,2024/06/12,21:00,0.071,Real,</t>
  </si>
  <si>
    <t>ES0031408323131005HX0F,2024/06/12,22:00,0.069,Real,</t>
  </si>
  <si>
    <t>ES0031408323131005HX0F,2024/06/12,23:00,0.065,Real,</t>
  </si>
  <si>
    <t>ES0031408323131005HX0F,2024/06/12,24:00,0.006,Real,</t>
  </si>
  <si>
    <t>ES0031408323131005HX0F,2024/06/13,01:00,0.047,Real,</t>
  </si>
  <si>
    <t>ES0031408323131005HX0F,2024/06/13,02:00,0.115,Real,</t>
  </si>
  <si>
    <t>ES0031408323131005HX0F,2024/06/13,03:00,0.295,Real,</t>
  </si>
  <si>
    <t>ES0031408323131005HX0F,2024/06/13,04:00,0.015,Real,</t>
  </si>
  <si>
    <t>ES0031408323131005HX0F,2024/06/13,05:00,0.034,Real,</t>
  </si>
  <si>
    <t>ES0031408323131005HX0F,2024/06/13,06:00,0.085,Real,</t>
  </si>
  <si>
    <t>ES0031408323131005HX0F,2024/06/13,07:00,0.053,Real,</t>
  </si>
  <si>
    <t>ES0031408323131005HX0F,2024/06/13,08:00,0.026,Real,</t>
  </si>
  <si>
    <t>ES0031408323131005HX0F,2024/06/13,09:00,0.312,Real,</t>
  </si>
  <si>
    <t>ES0031408323131005HX0F,2024/06/13,10:00,0.095,Real,</t>
  </si>
  <si>
    <t>ES0031408323131005HX0F,2024/06/13,11:00,0.043,Real,</t>
  </si>
  <si>
    <t>ES0031408323131005HX0F,2024/06/13,12:00,0.036,Real,</t>
  </si>
  <si>
    <t>ES0031408323131005HX0F,2024/06/13,13:00,0.008,Real,</t>
  </si>
  <si>
    <t>ES0031408323131005HX0F,2024/06/13,14:00,0.107,Real,</t>
  </si>
  <si>
    <t>ES0031408323131005HX0F,2024/06/13,15:00,0.042,Real,</t>
  </si>
  <si>
    <t>ES0031408323131005HX0F,2024/06/13,16:00,0.323,Real,</t>
  </si>
  <si>
    <t>ES0031408323131005HX0F,2024/06/13,17:00,0.007,Real,</t>
  </si>
  <si>
    <t>ES0031408323131005HX0F,2024/06/13,18:00,0.099,Real,</t>
  </si>
  <si>
    <t>ES0031408323131005HX0F,2024/06/13,19:00,0.053,Real,</t>
  </si>
  <si>
    <t>ES0031408323131005HX0F,2024/06/13,20:00,0.04,Real,</t>
  </si>
  <si>
    <t>ES0031408323131005HX0F,2024/06/13,21:00,0.006,Real,</t>
  </si>
  <si>
    <t>ES0031408323131005HX0F,2024/06/13,22:00,0.087,Real,</t>
  </si>
  <si>
    <t>ES0031408323131005HX0F,2024/06/13,23:00,0.334,Real,</t>
  </si>
  <si>
    <t>ES0031408323131005HX0F,2024/06/13,24:00,0.039,Real,</t>
  </si>
  <si>
    <t>ES0031408323131005HX0F,2024/06/14,01:00,0.006,Real,</t>
  </si>
  <si>
    <t>ES0031408323131005HX0F,2024/06/14,02:00,0.075,Real,</t>
  </si>
  <si>
    <t>ES0031408323131005HX0F,2024/06/14,03:00,0.068,Real,</t>
  </si>
  <si>
    <t>ES0031408323131005HX0F,2024/06/14,04:00,0.051,Real,</t>
  </si>
  <si>
    <t>ES0031408323131005HX0F,2024/06/14,05:00,0.006,Real,</t>
  </si>
  <si>
    <t>ES0031408323131005HX0F,2024/06/14,06:00,0.356,Real,</t>
  </si>
  <si>
    <t>ES0031408323131005HX0F,2024/06/14,07:00,0.069,Real,</t>
  </si>
  <si>
    <t>ES0031408323131005HX0F,2024/06/14,08:00,0.061,Real,</t>
  </si>
  <si>
    <t>ES0031408323131005HX0F,2024/06/14,09:00,0.006,Real,</t>
  </si>
  <si>
    <t>ES0031408323131005HX0F,2024/06/14,10:00,0.05,Real,</t>
  </si>
  <si>
    <t>ES0031408323131005HX0F,2024/06/14,11:00,0.07,Real,</t>
  </si>
  <si>
    <t>ES0031408323131005HX0F,2024/06/14,12:00,0.066,Real,</t>
  </si>
  <si>
    <t>ES0031408323131005HX0F,2024/06/14,13:00,0.276,Real,</t>
  </si>
  <si>
    <t>ES0031408323131005HX0F,2024/06/14,14:00,0.038,Real,</t>
  </si>
  <si>
    <t>ES0031408323131005HX0F,2024/06/14,15:00,0.081,Real,</t>
  </si>
  <si>
    <t>ES0031408323131005HX0F,2024/06/14,16:00,0.057,Real,</t>
  </si>
  <si>
    <t>ES0031408323131005HX0F,2024/06/14,17:00,0.023,Real,</t>
  </si>
  <si>
    <t>ES0031408323131005HX0F,2024/06/14,18:00,0.027,Real,</t>
  </si>
  <si>
    <t>ES0031408323131005HX0F,2024/06/14,19:00,0.093,Real,</t>
  </si>
  <si>
    <t>ES0031408323131005HX0F,2024/06/14,20:00,0.334,Real,</t>
  </si>
  <si>
    <t>ES0031408323131005HX0F,2024/06/14,21:00,0.033,Real,</t>
  </si>
  <si>
    <t>ES0031408323131005HX0F,2024/06/14,22:00,0.017,Real,</t>
  </si>
  <si>
    <t>ES0031408323131005HX0F,2024/06/14,23:00,0.104,Real,</t>
  </si>
  <si>
    <t>ES0031408323131005HX0F,2024/06/14,24:00,0.094,Real,</t>
  </si>
  <si>
    <t>ES0031408323131005HX0F,2024/06/15,01:00,0.118,Real,</t>
  </si>
  <si>
    <t>ES0031408323131005HX0F,2024/06/15,02:00,0.109,Real,</t>
  </si>
  <si>
    <t>ES0031408323131005HX0F,2024/06/15,03:00,0.381,Real,</t>
  </si>
  <si>
    <t>ES0031408323131005HX0F,2024/06/15,04:00,0.08,Real,</t>
  </si>
  <si>
    <t>ES0031408323131005HX0F,2024/06/15,05:00,0.047,Real,</t>
  </si>
  <si>
    <t>ES0031408323131005HX0F,2024/06/15,06:00,0.062,Real,</t>
  </si>
  <si>
    <t>ES0031408323131005HX0F,2024/06/15,07:00,0.053,Real,</t>
  </si>
  <si>
    <t>ES0031408323131005HX0F,2024/06/15,08:00,0.088,Real,</t>
  </si>
  <si>
    <t>ES0031408323131005HX0F,2024/06/15,09:00,0.057,Real,</t>
  </si>
  <si>
    <t>ES0031408323131005HX0F,2024/06/15,10:00,0.546,Real,</t>
  </si>
  <si>
    <t>ES0031408323131005HX0F,2024/06/15,11:00,0.086,Real,</t>
  </si>
  <si>
    <t>ES0031408323131005HX0F,2024/06/15,12:00,0.075,Real,</t>
  </si>
  <si>
    <t>ES0031408323131005HX0F,2024/06/15,13:00,0.073,Real,</t>
  </si>
  <si>
    <t>ES0031408323131005HX0F,2024/06/15,14:00,0.063,Real,</t>
  </si>
  <si>
    <t>ES0031408323131005HX0F,2024/06/15,15:00,0.042,Real,</t>
  </si>
  <si>
    <t>ES0031408323131005HX0F,2024/06/15,16:00,0.078,Real,</t>
  </si>
  <si>
    <t>ES0031408323131005HX0F,2024/06/15,17:00,0.33,Real,</t>
  </si>
  <si>
    <t>ES0031408323131005HX0F,2024/06/15,18:00,0.075,Real,</t>
  </si>
  <si>
    <t>ES0031408323131005HX0F,2024/06/15,19:00,0.067,Real,</t>
  </si>
  <si>
    <t>ES0031408323131005HX0F,2024/06/15,20:00,0.092,Real,</t>
  </si>
  <si>
    <t>ES0031408323131005HX0F,2024/06/15,21:00,0.122,Real,</t>
  </si>
  <si>
    <t>ES0031408323131005HX0F,2024/06/15,22:00,1.573,Real,</t>
  </si>
  <si>
    <t>ES0031408323131005HX0F,2024/06/15,23:00,0.455,Real,</t>
  </si>
  <si>
    <t>ES0031408323131005HX0F,2024/06/15,24:00,0.068,Real,</t>
  </si>
  <si>
    <t>ES0031408323131005HX0F,2024/06/16,01:00,0.061,Real,</t>
  </si>
  <si>
    <t>ES0031408323131005HX0F,2024/06/16,02:00,0.085,Real,</t>
  </si>
  <si>
    <t>ES0031408323131005HX0F,2024/06/16,03:00,0.062,Real,</t>
  </si>
  <si>
    <t>ES0031408323131005HX0F,2024/06/16,04:00,0.323,Real,</t>
  </si>
  <si>
    <t>ES0031408323131005HX0F,2024/06/16,05:00,0.065,Real,</t>
  </si>
  <si>
    <t>ES0031408323131005HX0F,2024/06/16,06:00,0.055,Real,</t>
  </si>
  <si>
    <t>ES0031408323131005HX0F,2024/06/16,07:00,0.081,Real,</t>
  </si>
  <si>
    <t>ES0031408323131005HX0F,2024/06/16,08:00,0.061,Real,</t>
  </si>
  <si>
    <t>ES0031408323131005HX0F,2024/06/16,09:00,0.035,Real,</t>
  </si>
  <si>
    <t>ES0031408323131005HX0F,2024/06/16,10:00,0.175,Real,</t>
  </si>
  <si>
    <t>ES0031408323131005HX0F,2024/06/16,11:00,0.093,Real,</t>
  </si>
  <si>
    <t>ES0031408323131005HX0F,2024/06/16,12:00,0.365,Real,</t>
  </si>
  <si>
    <t>ES0031408323131005HX0F,2024/06/16,13:00,0.063,Real,</t>
  </si>
  <si>
    <t>ES0031408323131005HX0F,2024/06/16,14:00,0.045,Real,</t>
  </si>
  <si>
    <t>ES0031408323131005HX0F,2024/06/16,15:00,0.069,Real,</t>
  </si>
  <si>
    <t>ES0031408323131005HX0F,2024/06/16,16:00,0.089,Real,</t>
  </si>
  <si>
    <t>ES0031408323131005HX0F,2024/06/16,17:00,0.115,Real,</t>
  </si>
  <si>
    <t>ES0031408323131005HX0F,2024/06/16,18:00,0.099,Real,</t>
  </si>
  <si>
    <t>ES0031408323131005HX0F,2024/06/16,19:00,0.363,Real,</t>
  </si>
  <si>
    <t>ES0031408323131005HX0F,2024/06/16,20:00,0.104,Real,</t>
  </si>
  <si>
    <t>ES0031408323131005HX0F,2024/06/16,21:00,0.09,Real,</t>
  </si>
  <si>
    <t>ES0031408323131005HX0F,2024/06/16,22:00,0.825,Real,</t>
  </si>
  <si>
    <t>ES0031408323131005HX0F,2024/06/16,23:00,0.264,Real,</t>
  </si>
  <si>
    <t>ES0031408323131005HX0F,2024/06/16,24:00,0.191,Real,</t>
  </si>
  <si>
    <t>ES0031408323131005HX0F,2024/06/17,01:00,0.1,Real,</t>
  </si>
  <si>
    <t>ES0031408323131005HX0F,2024/06/17,02:00,0.061,Real,</t>
  </si>
  <si>
    <t>ES0031408323131005HX0F,2024/06/17,03:00,0.38,Real,</t>
  </si>
  <si>
    <t>ES0031408323131005HX0F,2024/06/17,04:00,0.059,Real,</t>
  </si>
  <si>
    <t>ES0031408323131005HX0F,2024/06/17,05:00,0.052,Real,</t>
  </si>
  <si>
    <t>ES0031408323131005HX0F,2024/06/17,06:00,0.071,Real,</t>
  </si>
  <si>
    <t>ES0031408323131005HX0F,2024/06/17,07:00,0.041,Real,</t>
  </si>
  <si>
    <t>ES0031408323131005HX0F,2024/06/17,08:00,0.093,Real,</t>
  </si>
  <si>
    <t>ES0031408323131005HX0F,2024/06/17,09:00,0.054,Real,</t>
  </si>
  <si>
    <t>ES0031408323131005HX0F,2024/06/17,10:00,0.204,Real,</t>
  </si>
  <si>
    <t>ES0031408323131005HX0F,2024/06/17,11:00,0.589,Real,</t>
  </si>
  <si>
    <t>ES0031408323131005HX0F,2024/06/17,12:00,0.149,Real,</t>
  </si>
  <si>
    <t>ES0031408323131005HX0F,2024/06/17,13:00,0.122,Real,</t>
  </si>
  <si>
    <t>ES0031408323131005HX0F,2024/06/17,14:00,0.079,Real,</t>
  </si>
  <si>
    <t>ES0031408323131005HX0F,2024/06/17,15:00,1.651,Real,</t>
  </si>
  <si>
    <t>ES0031408323131005HX0F,2024/06/17,16:00,0.107,Real,</t>
  </si>
  <si>
    <t>ES0031408323131005HX0F,2024/06/17,17:00,0.15,Real,</t>
  </si>
  <si>
    <t>ES0031408323131005HX0F,2024/06/17,18:00,0.152,Real,</t>
  </si>
  <si>
    <t>ES0031408323131005HX0F,2024/06/17,19:00,0.075,Real,</t>
  </si>
  <si>
    <t>ES0031408323131005HX0F,2024/06/17,20:00,0.053,Real,</t>
  </si>
  <si>
    <t>ES0031408323131005HX0F,2024/06/17,21:00,0.355,Real,</t>
  </si>
  <si>
    <t>ES0031408323131005HX0F,2024/06/17,22:00,0.045,Real,</t>
  </si>
  <si>
    <t>ES0031408323131005HX0F,2024/06/17,23:00,0.09,Real,</t>
  </si>
  <si>
    <t>ES0031408323131005HX0F,2024/06/17,24:00,0.053,Real,</t>
  </si>
  <si>
    <t>ES0031408323131005HX0F,2024/06/18,01:00,0.089,Real,</t>
  </si>
  <si>
    <t>ES0031408323131005HX0F,2024/06/18,02:00,0.06,Real,</t>
  </si>
  <si>
    <t>ES0031408323131005HX0F,2024/06/18,03:00,0.06,Real,</t>
  </si>
  <si>
    <t>ES0031408323131005HX0F,2024/06/18,04:00,0.357,Real,</t>
  </si>
  <si>
    <t>ES0031408323131005HX0F,2024/06/18,05:00,0.042,Real,</t>
  </si>
  <si>
    <t>ES0031408323131005HX0F,2024/06/18,06:00,0.082,Real,</t>
  </si>
  <si>
    <t>ES0031408323131005HX0F,2024/06/18,07:00,0.054,Real,</t>
  </si>
  <si>
    <t>ES0031408323131005HX0F,2024/06/18,08:00,0.103,Real,</t>
  </si>
  <si>
    <t>ES0031408323131005HX0F,2024/06/18,09:00,0.117,Real,</t>
  </si>
  <si>
    <t>ES0031408323131005HX0F,2024/06/18,10:00,0.076,Real,</t>
  </si>
  <si>
    <t>ES0031408323131005HX0F,2024/06/18,11:00,0.052,Real,</t>
  </si>
  <si>
    <t>ES0031408323131005HX0F,2024/06/18,12:00,0.375,Real,</t>
  </si>
  <si>
    <t>ES0031408323131005HX0F,2024/06/18,13:00,0.056,Real,</t>
  </si>
  <si>
    <t>ES0031408323131005HX0F,2024/06/18,14:00,0.062,Real,</t>
  </si>
  <si>
    <t>ES0031408323131005HX0F,2024/06/18,15:00,0.074,Real,</t>
  </si>
  <si>
    <t>ES0031408323131005HX0F,2024/06/18,16:00,0.039,Real,</t>
  </si>
  <si>
    <t>ES0031408323131005HX0F,2024/06/18,17:00,0.089,Real,</t>
  </si>
  <si>
    <t>ES0031408323131005HX0F,2024/06/18,18:00,0.054,Real,</t>
  </si>
  <si>
    <t>ES0031408323131005HX0F,2024/06/18,19:00,0.364,Real,</t>
  </si>
  <si>
    <t>ES0031408323131005HX0F,2024/06/18,20:00,0.066,Real,</t>
  </si>
  <si>
    <t>ES0031408323131005HX0F,2024/06/18,21:00,0.051,Real,</t>
  </si>
  <si>
    <t>ES0031408323131005HX0F,2024/06/18,22:00,0.074,Real,</t>
  </si>
  <si>
    <t>ES0031408323131005HX0F,2024/06/18,23:00,0.07,Real,</t>
  </si>
  <si>
    <t>ES0031408323131005HX0F,2024/06/18,24:00,0.011,Real,</t>
  </si>
  <si>
    <t>ES0031408323131005HX0F,2024/06/19,01:00,0.058,Real,</t>
  </si>
  <si>
    <t>ES0031408323131005HX0F,2024/06/19,02:00,0.087,Real,</t>
  </si>
  <si>
    <t>ES0031408323131005HX0F,2024/06/19,03:00,0.343,Real,</t>
  </si>
  <si>
    <t>ES0031408323131005HX0F,2024/06/19,04:00,0.034,Real,</t>
  </si>
  <si>
    <t>ES0031408323131005HX0F,2024/06/19,05:00,0.035,Real,</t>
  </si>
  <si>
    <t>ES0031408323131005HX0F,2024/06/19,06:00,0.11,Real,</t>
  </si>
  <si>
    <t>ES0031408323131005HX0F,2024/06/19,07:00,0.05,Real,</t>
  </si>
  <si>
    <t>ES0031408323131005HX0F,2024/06/19,08:00,0.048,Real,</t>
  </si>
  <si>
    <t>ES0031408323131005HX0F,2024/06/19,09:00,0.011,Real,</t>
  </si>
  <si>
    <t>ES0031408323131005HX0F,2024/06/19,10:00,0.407,Real,</t>
  </si>
  <si>
    <t>ES0031408323131005HX0F,2024/06/19,11:00,0.071,Real,</t>
  </si>
  <si>
    <t>ES0031408323131005HX0F,2024/06/19,12:00,0.048,Real,</t>
  </si>
  <si>
    <t>ES0031408323131005HX0F,2024/06/19,13:00,0.011,Real,</t>
  </si>
  <si>
    <t>ES0031408323131005HX0F,2024/06/19,14:00,0.094,Real,</t>
  </si>
  <si>
    <t>ES0031408323131005HX0F,2024/06/19,15:00,0.075,Real,</t>
  </si>
  <si>
    <t>ES0031408323131005HX0F,2024/06/19,16:00,0.065,Real,</t>
  </si>
  <si>
    <t>ES0031408323131005HX0F,2024/06/19,17:00,0.011,Real,</t>
  </si>
  <si>
    <t>ES0031408323131005HX0F,2024/06/19,18:00,0.369,Real,</t>
  </si>
  <si>
    <t>ES0031408323131005HX0F,2024/06/19,19:00,0.077,Real,</t>
  </si>
  <si>
    <t>ES0031408323131005HX0F,2024/06/19,20:00,0.073,Real,</t>
  </si>
  <si>
    <t>ES0031408323131005HX0F,2024/06/19,21:00,0.02,Real,</t>
  </si>
  <si>
    <t>ES0031408323131005HX0F,2024/06/19,22:00,0.057,Real,</t>
  </si>
  <si>
    <t>ES0031408323131005HX0F,2024/06/19,23:00,0.091,Real,</t>
  </si>
  <si>
    <t>ES0031408323131005HX0F,2024/06/19,24:00,0.06,Real,</t>
  </si>
  <si>
    <t>ES0031408323131005HX0F,2024/06/20,01:00,0.039,Real,</t>
  </si>
  <si>
    <t>ES0031408323131005HX0F,2024/06/20,02:00,0.323,Real,</t>
  </si>
  <si>
    <t>ES0031408323131005HX0F,2024/06/20,03:00,0.111,Real,</t>
  </si>
  <si>
    <t>ES0031408323131005HX0F,2024/06/20,04:00,0.05,Real,</t>
  </si>
  <si>
    <t>ES0031408323131005HX0F,2024/06/20,05:00,0.048,Real,</t>
  </si>
  <si>
    <t>ES0031408323131005HX0F,2024/06/20,06:00,0.017,Real,</t>
  </si>
  <si>
    <t>ES0031408323131005HX0F,2024/06/20,07:00,0.114,Real,</t>
  </si>
  <si>
    <t>ES0031408323131005HX0F,2024/06/20,08:00,0.067,Real,</t>
  </si>
  <si>
    <t>ES0031408323131005HX0F,2024/06/20,09:00,0.34,Real,</t>
  </si>
  <si>
    <t>ES0031408323131005HX0F,2024/06/20,10:00,0.011,Real,</t>
  </si>
  <si>
    <t>ES0031408323131005HX0F,2024/06/20,11:00,0.102,Real,</t>
  </si>
  <si>
    <t>ES0031408323131005HX0F,2024/06/20,12:00,0.074,Real,</t>
  </si>
  <si>
    <t>ES0031408323131005HX0F,2024/06/20,13:00,0.058,Real,</t>
  </si>
  <si>
    <t>ES0031408323131005HX0F,2024/06/20,14:00,0.024,Real,</t>
  </si>
  <si>
    <t>ES0031408323131005HX0F,2024/06/20,15:00,0.1,Real,</t>
  </si>
  <si>
    <t>ES0031408323131005HX0F,2024/06/20,16:00,0.076,Real,</t>
  </si>
  <si>
    <t>ES0031408323131005HX0F,2024/06/20,17:00,0.354,Real,</t>
  </si>
  <si>
    <t>ES0031408323131005HX0F,2024/06/20,18:00,0.011,Real,</t>
  </si>
  <si>
    <t>ES0031408323131005HX0F,2024/06/20,19:00,0.069,Real,</t>
  </si>
  <si>
    <t>ES0031408323131005HX0F,2024/06/20,20:00,0.082,Real,</t>
  </si>
  <si>
    <t>ES0031408323131005HX0F,2024/06/20,21:00,0.07,Real,</t>
  </si>
  <si>
    <t>ES0031408323131005HX0F,2024/06/20,22:00,0.03,Real,</t>
  </si>
  <si>
    <t>ES0031408323131005HX0F,2024/06/20,23:00,0.046,Real,</t>
  </si>
  <si>
    <t>ES0031408323131005HX0F,2024/06/20,24:00,0.104,Real,</t>
  </si>
  <si>
    <t>ES0031408323131005HX0F,2024/06/21,01:00,0.354,Real,</t>
  </si>
  <si>
    <t>ES0031408323131005HX0F,2024/06/21,02:00,0.048,Real,</t>
  </si>
  <si>
    <t>ES0031408323131005HX0F,2024/06/21,03:00,0.025,Real,</t>
  </si>
  <si>
    <t>ES0031408323131005HX0F,2024/06/21,04:00,0.113,Real,</t>
  </si>
  <si>
    <t>ES0031408323131005HX0F,2024/06/21,05:00,0.058,Real,</t>
  </si>
  <si>
    <t>ES0031408323131005HX0F,2024/06/21,06:00,0.048,Real,</t>
  </si>
  <si>
    <t>ES0031408323131005HX0F,2024/06/21,07:00,0.011,Real,</t>
  </si>
  <si>
    <t>ES0031408323131005HX0F,2024/06/21,08:00,0.175,Real,</t>
  </si>
  <si>
    <t>ES0031408323131005HX0F,2024/06/21,09:00,0.299,Real,</t>
  </si>
  <si>
    <t>ES0031408323131005HX0F,2024/06/21,10:00,0.048,Real,</t>
  </si>
  <si>
    <t>ES0031408323131005HX0F,2024/06/21,11:00,0.011,Real,</t>
  </si>
  <si>
    <t>ES0031408323131005HX0F,2024/06/21,12:00,0.096,Real,</t>
  </si>
  <si>
    <t>ES0031408323131005HX0F,2024/06/21,13:00,0.074,Real,</t>
  </si>
  <si>
    <t>ES0031408323131005HX0F,2024/06/21,14:00,0.055,Real,</t>
  </si>
  <si>
    <t>ES0031408323131005HX0F,2024/06/21,15:00,0.011,Real,</t>
  </si>
  <si>
    <t>ES0031408323131005HX0F,2024/06/21,16:00,0.381,Real,</t>
  </si>
  <si>
    <t>ES0031408323131005HX0F,2024/06/21,17:00,0.076,Real,</t>
  </si>
  <si>
    <t>ES0031408323131005HX0F,2024/06/21,18:00,0.065,Real,</t>
  </si>
  <si>
    <t>ES0031408323131005HX0F,2024/06/21,19:00,0.011,Real,</t>
  </si>
  <si>
    <t>ES0031408323131005HX0F,2024/06/21,20:00,0.074,Real,</t>
  </si>
  <si>
    <t>ES0031408323131005HX0F,2024/06/21,21:00,0.077,Real,</t>
  </si>
  <si>
    <t>ES0031408323131005HX0F,2024/06/21,22:00,0.073,Real,</t>
  </si>
  <si>
    <t>ES0031408323131005HX0F,2024/06/21,23:00,0.016,Real,</t>
  </si>
  <si>
    <t>ES0031408323131005HX0F,2024/06/21,24:00,0.347,Real,</t>
  </si>
  <si>
    <t>ES0031408323131005HX0F,2024/06/22,01:00,0.082,Real,</t>
  </si>
  <si>
    <t>ES0031408323131005HX0F,2024/06/22,02:00,0.069,Real,</t>
  </si>
  <si>
    <t>ES0031408323131005HX0F,2024/06/22,03:00,0.027,Real,</t>
  </si>
  <si>
    <t>ES0031408323131005HX0F,2024/06/22,04:00,0.049,Real,</t>
  </si>
  <si>
    <t>ES0031408323131005HX0F,2024/06/22,05:00,0.094,Real,</t>
  </si>
  <si>
    <t>ES0031408323131005HX0F,2024/06/22,06:00,0.059,Real,</t>
  </si>
  <si>
    <t>ES0031408323131005HX0F,2024/06/22,07:00,0.096,Real,</t>
  </si>
  <si>
    <t>ES0031408323131005HX0F,2024/06/22,08:00,0.238,Real,</t>
  </si>
  <si>
    <t>ES0031408323131005HX0F,2024/06/22,09:00,0.105,Real,</t>
  </si>
  <si>
    <t>ES0031408323131005HX0F,2024/06/22,10:00,0.048,Real,</t>
  </si>
  <si>
    <t>ES0031408323131005HX0F,2024/06/22,11:00,0.046,Real,</t>
  </si>
  <si>
    <t>ES0031408323131005HX0F,2024/06/22,12:00,0.027,Real,</t>
  </si>
  <si>
    <t>ES0031408323131005HX0F,2024/06/22,13:00,0.112,Real,</t>
  </si>
  <si>
    <t>ES0031408323131005HX0F,2024/06/22,14:00,0.072,Real,</t>
  </si>
  <si>
    <t>ES0031408323131005HX0F,2024/06/22,15:00,0.299,Real,</t>
  </si>
  <si>
    <t>ES0031408323131005HX0F,2024/06/22,16:00,0.012,Real,</t>
  </si>
  <si>
    <t>ES0031408323131005HX0F,2024/06/22,17:00,0.114,Real,</t>
  </si>
  <si>
    <t>ES0031408323131005HX0F,2024/06/22,18:00,0.067,Real,</t>
  </si>
  <si>
    <t>ES0031408323131005HX0F,2024/06/22,19:00,0.096,Real,</t>
  </si>
  <si>
    <t>ES0031408323131005HX0F,2024/06/22,20:00,0.048,Real,</t>
  </si>
  <si>
    <t>ES0031408323131005HX0F,2024/06/22,21:00,0.047,Real,</t>
  </si>
  <si>
    <t>ES0031408323131005HX0F,2024/06/22,22:00,0.306,Real,</t>
  </si>
  <si>
    <t>ES0031408323131005HX0F,2024/06/22,23:00,0.114,Real,</t>
  </si>
  <si>
    <t>ES0031408323131005HX0F,2024/06/22,24:00,0.059,Real,</t>
  </si>
  <si>
    <t>ES0031408323131005HX0F,2024/06/23,01:00,0.049,Real,</t>
  </si>
  <si>
    <t>ES0031408323131005HX0F,2024/06/23,02:00,0.011,Real,</t>
  </si>
  <si>
    <t>ES0031408323131005HX0F,2024/06/23,03:00,0.112,Real,</t>
  </si>
  <si>
    <t>ES0031408323131005HX0F,2024/06/23,04:00,0.073,Real,</t>
  </si>
  <si>
    <t>ES0031408323131005HX0F,2024/06/23,05:00,0.345,Real,</t>
  </si>
  <si>
    <t>ES0031408323131005HX0F,2024/06/23,06:00,0.011,Real,</t>
  </si>
  <si>
    <t>ES0031408323131005HX0F,2024/06/23,07:00,0.097,Real,</t>
  </si>
  <si>
    <t>ES0031408323131005HX0F,2024/06/23,08:00,0.076,Real,</t>
  </si>
  <si>
    <t>ES0031408323131005HX0F,2024/06/23,09:00,0.059,Real,</t>
  </si>
  <si>
    <t>ES0031408323131005HX0F,2024/06/23,10:00,0.011,Real,</t>
  </si>
  <si>
    <t>ES0031408323131005HX0F,2024/06/23,11:00,0.083,Real,</t>
  </si>
  <si>
    <t>ES0031408323131005HX0F,2024/06/23,12:00,0.077,Real,</t>
  </si>
  <si>
    <t>ES0031408323131005HX0F,2024/06/23,13:00,0.376,Real,</t>
  </si>
  <si>
    <t>ES0031408323131005HX0F,2024/06/23,14:00,0.011,Real,</t>
  </si>
  <si>
    <t>ES0031408323131005HX0F,2024/06/23,15:00,0.071,Real,</t>
  </si>
  <si>
    <t>ES0031408323131005HX0F,2024/06/23,16:00,0.078,Real,</t>
  </si>
  <si>
    <t>ES0031408323131005HX0F,2024/06/23,17:00,0.074,Real,</t>
  </si>
  <si>
    <t>ES0031408323131005HX0F,2024/06/23,18:00,0.016,Real,</t>
  </si>
  <si>
    <t>ES0031408323131005HX0F,2024/06/23,19:00,0.062,Real,</t>
  </si>
  <si>
    <t>ES0031408323131005HX0F,2024/06/23,20:00,0.084,Real,</t>
  </si>
  <si>
    <t>ES0031408323131005HX0F,2024/06/23,21:00,0.349,Real,</t>
  </si>
  <si>
    <t>ES0031408323131005HX0F,2024/06/23,22:00,0.025,Real,</t>
  </si>
  <si>
    <t>ES0031408323131005HX0F,2024/06/23,23:00,0.052,Real,</t>
  </si>
  <si>
    <t>ES0031408323131005HX0F,2024/06/23,24:00,0.093,Real,</t>
  </si>
  <si>
    <t>ES0031408323131005HX0F,2024/06/24,01:00,0.062,Real,</t>
  </si>
  <si>
    <t>ES0031408323131005HX0F,2024/06/24,02:00,0.033,Real,</t>
  </si>
  <si>
    <t>ES0031408323131005HX0F,2024/06/24,03:00,0.043,Real,</t>
  </si>
  <si>
    <t>ES0031408323131005HX0F,2024/06/24,04:00,0.102,Real,</t>
  </si>
  <si>
    <t>ES0031408323131005HX0F,2024/06/24,05:00,0.328,Real,</t>
  </si>
  <si>
    <t>ES0031408323131005HX0F,2024/06/24,06:00,0.042,Real,</t>
  </si>
  <si>
    <t>ES0031408323131005HX0F,2024/06/24,07:00,0.033,Real,</t>
  </si>
  <si>
    <t>ES0031408323131005HX0F,2024/06/24,08:00,0.112,Real,</t>
  </si>
  <si>
    <t>ES0031408323131005HX0F,2024/06/24,09:00,0.048,Real,</t>
  </si>
  <si>
    <t>ES0031408323131005HX0F,2024/06/24,10:00,0.046,Real,</t>
  </si>
  <si>
    <t>ES0031408323131005HX0F,2024/06/24,11:00,0.024,Real,</t>
  </si>
  <si>
    <t>ES0031408323131005HX0F,2024/06/24,12:00,0.402,Real,</t>
  </si>
  <si>
    <t>ES0031408323131005HX0F,2024/06/24,13:00,0.055,Real,</t>
  </si>
  <si>
    <t>ES0031408323131005HX0F,2024/06/24,14:00,0.047,Real,</t>
  </si>
  <si>
    <t>ES0031408323131005HX0F,2024/06/24,15:00,0.015,Real,</t>
  </si>
  <si>
    <t>ES0031408323131005HX0F,2024/06/24,16:00,0.114,Real,</t>
  </si>
  <si>
    <t>ES0031408323131005HX0F,2024/06/24,17:00,0.063,Real,</t>
  </si>
  <si>
    <t>ES0031408323131005HX0F,2024/06/24,18:00,0.047,Real,</t>
  </si>
  <si>
    <t>ES0031408323131005HX0F,2024/06/24,19:00,0.011,Real,</t>
  </si>
  <si>
    <t>ES0031408323131005HX0F,2024/06/24,20:00,0.389,Real,</t>
  </si>
  <si>
    <t>ES0031408323131005HX0F,2024/06/24,21:00,0.07,Real,</t>
  </si>
  <si>
    <t>ES0031408323131005HX0F,2024/06/24,22:00,0.057,Real,</t>
  </si>
  <si>
    <t>ES0031408323131005HX0F,2024/06/24,23:00,0.012,Real,</t>
  </si>
  <si>
    <t>ES0031408323131005HX0F,2024/06/24,24:00,0.104,Real,</t>
  </si>
  <si>
    <t>ES0031408323131005HX0F,2024/06/25,01:00,0.079,Real,</t>
  </si>
  <si>
    <t>ES0031408323131005HX0F,2024/06/25,02:00,0.076,Real,</t>
  </si>
  <si>
    <t>ES0031408323131005HX0F,2024/06/25,03:00,0.305,Real,</t>
  </si>
  <si>
    <t>ES0031408323131005HX0F,2024/06/25,04:00,0.062,Real,</t>
  </si>
  <si>
    <t>ES0031408323131005HX0F,2024/06/25,05:00,0.087,Real,</t>
  </si>
  <si>
    <t>ES0031408323131005HX0F,2024/06/25,06:00,0.069,Real,</t>
  </si>
  <si>
    <t>ES0031408323131005HX0F,2024/06/25,07:00,0.026,Real,</t>
  </si>
  <si>
    <t>ES0031408323131005HX0F,2024/06/25,08:00,0.053,Real,</t>
  </si>
  <si>
    <t>ES0031408323131005HX0F,2024/06/25,09:00,0.095,Real,</t>
  </si>
  <si>
    <t>ES0031408323131005HX0F,2024/06/25,10:00,0.06,Real,</t>
  </si>
  <si>
    <t>ES0031408323131005HX0F,2024/06/25,11:00,0.335,Real,</t>
  </si>
  <si>
    <t>ES0031408323131005HX0F,2024/06/25,12:00,0.042,Real,</t>
  </si>
  <si>
    <t>ES0031408323131005HX0F,2024/06/25,13:00,0.105,Real,</t>
  </si>
  <si>
    <t>ES0031408323131005HX0F,2024/06/25,14:00,0.054,Real,</t>
  </si>
  <si>
    <t>ES0031408323131005HX0F,2024/06/25,15:00,0.051,Real,</t>
  </si>
  <si>
    <t>ES0031408323131005HX0F,2024/06/25,16:00,0.014,Real,</t>
  </si>
  <si>
    <t>ES0031408323131005HX0F,2024/06/25,17:00,0.116,Real,</t>
  </si>
  <si>
    <t>ES0031408323131005HX0F,2024/06/25,18:00,0.07,Real,</t>
  </si>
  <si>
    <t>ES0031408323131005HX0F,2024/06/25,19:00,0.34,Real,</t>
  </si>
  <si>
    <t>ES0031408323131005HX0F,2024/06/25,20:00,0.011,Real,</t>
  </si>
  <si>
    <t>ES0031408323131005HX0F,2024/06/25,21:00,0.108,Real,</t>
  </si>
  <si>
    <t>ES0031408323131005HX0F,2024/06/25,22:00,0.076,Real,</t>
  </si>
  <si>
    <t>ES0031408323131005HX0F,2024/06/25,23:00,0.065,Real,</t>
  </si>
  <si>
    <t>ES0031408323131005HX0F,2024/06/25,24:00,0.011,Real,</t>
  </si>
  <si>
    <t>ES0031408323131005HX0F,2024/06/26,01:00,0.074,Real,</t>
  </si>
  <si>
    <t>ES0031408323131005HX0F,2024/06/26,02:00,0.081,Real,</t>
  </si>
  <si>
    <t>ES0031408323131005HX0F,2024/06/26,03:00,0.384,Real,</t>
  </si>
  <si>
    <t>ES0031408323131005HX0F,2024/06/26,04:00,0.028,Real,</t>
  </si>
  <si>
    <t>ES0031408323131005HX0F,2024/06/26,05:00,0.041,Real,</t>
  </si>
  <si>
    <t>ES0031408323131005HX0F,2024/06/26,06:00,0.112,Real,</t>
  </si>
  <si>
    <t>ES0031408323131005HX0F,2024/06/26,07:00,0.049,Real,</t>
  </si>
  <si>
    <t>ES0031408323131005HX0F,2024/06/26,08:00,0.047,Real,</t>
  </si>
  <si>
    <t>ES0031408323131005HX0F,2024/06/26,09:00,0.027,Real,</t>
  </si>
  <si>
    <t>ES0031408323131005HX0F,2024/06/26,10:00,0.113,Real,</t>
  </si>
  <si>
    <t>ES0031408323131005HX0F,2024/06/26,11:00,0.329,Real,</t>
  </si>
  <si>
    <t>ES0031408323131005HX0F,2024/06/26,12:00,0.057,Real,</t>
  </si>
  <si>
    <t>ES0031408323131005HX0F,2024/06/26,13:00,0.011,Real,</t>
  </si>
  <si>
    <t>ES0031408323131005HX0F,2024/06/26,14:00,0.105,Real,</t>
  </si>
  <si>
    <t>ES0031408323131005HX0F,2024/06/26,15:00,0.077,Real,</t>
  </si>
  <si>
    <t>ES0031408323131005HX0F,2024/06/26,16:00,0.063,Real,</t>
  </si>
  <si>
    <t>ES0031408323131005HX0F,2024/06/26,17:00,0.011,Real,</t>
  </si>
  <si>
    <t>ES0031408323131005HX0F,2024/06/26,18:00,0.077,Real,</t>
  </si>
  <si>
    <t>ES0031408323131005HX0F,2024/06/26,19:00,0.384,Real,</t>
  </si>
  <si>
    <t>ES0031408323131005HX0F,2024/06/26,20:00,0.078,Real,</t>
  </si>
  <si>
    <t>ES0031408323131005HX0F,2024/06/26,21:00,0.023,Real,</t>
  </si>
  <si>
    <t>ES0031408323131005HX0F,2024/06/26,22:00,0.047,Real,</t>
  </si>
  <si>
    <t>ES0031408323131005HX0F,2024/06/26,23:00,0.106,Real,</t>
  </si>
  <si>
    <t>ES0031408323131005HX0F,2024/06/26,24:00,0.054,Real,</t>
  </si>
  <si>
    <t>ES0031408323131005HX0F,2024/06/27,01:00,0.054,Real,</t>
  </si>
  <si>
    <t>ES0031408323131005HX0F,2024/06/27,02:00,0.015,Real,</t>
  </si>
  <si>
    <t>ES0031408323131005HX0F,2024/06/27,03:00,0.383,Real,</t>
  </si>
  <si>
    <t>ES0031408323131005HX0F,2024/06/27,04:00,0.07,Real,</t>
  </si>
  <si>
    <t>ES0031408323131005HX0F,2024/06/27,05:00,0.1,Real,</t>
  </si>
  <si>
    <t>ES0031408323131005HX0F,2024/06/27,06:00,0.047,Real,</t>
  </si>
  <si>
    <t>ES0031408323131005HX0F,2024/06/27,07:00,0.059,Real,</t>
  </si>
  <si>
    <t>ES0031408323131005HX0F,2024/06/27,08:00,0.011,Real,</t>
  </si>
  <si>
    <t>ES0031408323131005HX0F,2024/06/27,09:00,0.113,Real,</t>
  </si>
  <si>
    <t>ES0031408323131005HX0F,2024/06/27,10:00,0.191,Real,</t>
  </si>
  <si>
    <t>ES0031408323131005HX0F,2024/06/27,11:00,0.218,Real,</t>
  </si>
  <si>
    <t>ES0031408323131005HX0F,2024/06/27,12:00,0.011,Real,</t>
  </si>
  <si>
    <t>ES0031408323131005HX0F,2024/06/27,13:00,0.105,Real,</t>
  </si>
  <si>
    <t>ES0031408323131005HX0F,2024/06/27,14:00,0.078,Real,</t>
  </si>
  <si>
    <t>ES0031408323131005HX0F,2024/06/27,15:00,0.061,Real,</t>
  </si>
  <si>
    <t>ES0031408323131005HX0F,2024/06/27,16:00,0.011,Real,</t>
  </si>
  <si>
    <t>ES0031408323131005HX0F,2024/06/27,17:00,0.079,Real,</t>
  </si>
  <si>
    <t>ES0031408323131005HX0F,2024/06/27,18:00,0.361,Real,</t>
  </si>
  <si>
    <t>ES0031408323131005HX0F,2024/06/27,19:00,0.078,Real,</t>
  </si>
  <si>
    <t>ES0031408323131005HX0F,2024/06/27,20:00,0.021,Real,</t>
  </si>
  <si>
    <t>ES0031408323131005HX0F,2024/06/27,21:00,0.05,Real,</t>
  </si>
  <si>
    <t>ES0031408323131005HX0F,2024/06/27,22:00,0.105,Real,</t>
  </si>
  <si>
    <t>ES0031408323131005HX0F,2024/06/27,23:00,0.056,Real,</t>
  </si>
  <si>
    <t>ES0031408323131005HX0F,2024/06/27,24:00,0.052,Real,</t>
  </si>
  <si>
    <t>ES0031408323131005HX0F,2024/06/28,01:00,0.017,Real,</t>
  </si>
  <si>
    <t>ES0031408323131005HX0F,2024/06/28,02:00,0.404,Real,</t>
  </si>
  <si>
    <t>ES0031408323131005HX0F,2024/06/28,03:00,0.071,Real,</t>
  </si>
  <si>
    <t>ES0031408323131005HX0F,2024/06/28,04:00,0.059,Real,</t>
  </si>
  <si>
    <t>ES0031408323131005HX0F,2024/06/28,05:00,0.011,Real,</t>
  </si>
  <si>
    <t>ES0031408323131005HX0F,2024/06/28,06:00,0.093,Real,</t>
  </si>
  <si>
    <t>ES0031408323131005HX0F,2024/06/28,07:00,0.079,Real,</t>
  </si>
  <si>
    <t>ES0031408323131005HX0F,2024/06/28,08:00,0.078,Real,</t>
  </si>
  <si>
    <t>ES0031408323131005HX0F,2024/06/28,09:00,0.011,Real,</t>
  </si>
  <si>
    <t>ES0031408323131005HX0F,2024/06/28,10:00,0.362,Real,</t>
  </si>
  <si>
    <t>ES0031408323131005HX0F,2024/06/28,11:00,0.09,Real,</t>
  </si>
  <si>
    <t>ES0031408323131005HX0F,2024/06/28,12:00,0.069,Real,</t>
  </si>
  <si>
    <t>ES0031408323131005HX0F,2024/06/28,13:00,0.039,Real,</t>
  </si>
  <si>
    <t>ES0031408323131005HX0F,2024/06/28,14:00,0.029,Real,</t>
  </si>
  <si>
    <t>ES0031408323131005HX0F,2024/06/28,15:00,0.114,Real,</t>
  </si>
  <si>
    <t>ES0031408323131005HX0F,2024/06/28,16:00,0.058,Real,</t>
  </si>
  <si>
    <t>ES0031408323131005HX0F,2024/06/28,17:00,0.059,Real,</t>
  </si>
  <si>
    <t>ES0031408323131005HX0F,2024/06/28,18:00,0.691,Real,</t>
  </si>
  <si>
    <t>ES0031408323131005HX0F,2024/06/28,19:00,0.24,Real,</t>
  </si>
  <si>
    <t>ES0031408323131005HX0F,2024/06/28,20:00,0.142,Real,</t>
  </si>
  <si>
    <t>ES0031408323131005HX0F,2024/06/28,21:00,0.199,Real,</t>
  </si>
  <si>
    <t>ES0031408323131005HX0F,2024/06/28,22:00,0.089,Real,</t>
  </si>
  <si>
    <t>ES0031408323131005HX0F,2024/06/28,23:00,0.173,Real,</t>
  </si>
  <si>
    <t>ES0031408323131005HX0F,2024/06/28,24:00,0.112,Real,</t>
  </si>
  <si>
    <t>ES0031408323131005HX0F,2024/06/29,01:00,0.067,Real,</t>
  </si>
  <si>
    <t>ES0031408323131005HX0F,2024/06/29,02:00,0.199,Real,</t>
  </si>
  <si>
    <t>ES0031408323131005HX0F,2024/06/29,03:00,0.263,Real,</t>
  </si>
  <si>
    <t>ES0031408323131005HX0F,2024/06/29,04:00,0.122,Real,</t>
  </si>
  <si>
    <t>ES0031408323131005HX0F,2024/06/29,05:00,0.084,Real,</t>
  </si>
  <si>
    <t>ES0031408323131005HX0F,2024/06/29,06:00,0.102,Real,</t>
  </si>
  <si>
    <t>ES0031408323131005HX0F,2024/06/29,07:00,0.092,Real,</t>
  </si>
  <si>
    <t>ES0031408323131005HX0F,2024/06/29,08:00,0.126,Real,</t>
  </si>
  <si>
    <t>ES0031408323131005HX0F,2024/06/29,09:00,0.444,Real,</t>
  </si>
  <si>
    <t>ES0031408323131005HX0F,2024/06/29,10:00,0.48,Real,</t>
  </si>
  <si>
    <t>ES0031408323131005HX0F,2024/06/29,11:00,0.568,Real,</t>
  </si>
  <si>
    <t>ES0031408323131005HX0F,2024/06/29,12:00,0.267,Real,</t>
  </si>
  <si>
    <t>ES0031408323131005HX0F,2024/06/29,13:00,0.151,Real,</t>
  </si>
  <si>
    <t>ES0031408323131005HX0F,2024/06/29,14:00,0.161,Real,</t>
  </si>
  <si>
    <t>ES0031408323131005HX0F,2024/06/29,15:00,0.306,Real,</t>
  </si>
  <si>
    <t>ES0031408323131005HX0F,2024/06/29,16:00,0.425,Real,</t>
  </si>
  <si>
    <t>ES0031408323131005HX0F,2024/06/29,17:00,0.37,Real,</t>
  </si>
  <si>
    <t>ES0031408323131005HX0F,2024/06/29,18:00,0.428,Real,</t>
  </si>
  <si>
    <t>ES0031408323131005HX0F,2024/06/29,19:00,1.177,Real,</t>
  </si>
  <si>
    <t>ES0031408323131005HX0F,2024/06/29,20:00,0.216,Real,</t>
  </si>
  <si>
    <t>ES0031408323131005HX0F,2024/06/29,21:00,1.291,Real,</t>
  </si>
  <si>
    <t>ES0031408323131005HX0F,2024/06/29,22:00,0.1,Real,</t>
  </si>
  <si>
    <t>ES0031408323131005HX0F,2024/06/29,23:00,0.064,Real,</t>
  </si>
  <si>
    <t>ES0031408323131005HX0F,2024/06/29,24:00,0.115,Real,</t>
  </si>
  <si>
    <t>ES0031408323131005HX0F,2024/06/30,01:00,0.076,Real,</t>
  </si>
  <si>
    <t>ES0031408323131005HX0F,2024/06/30,02:00,0.107,Real,</t>
  </si>
  <si>
    <t>ES0031408323131005HX0F,2024/06/30,03:00,0.375,Real,</t>
  </si>
  <si>
    <t>ES0031408323131005HX0F,2024/06/30,04:00,0.068,Real,</t>
  </si>
  <si>
    <t>ES0031408323131005HX0F,2024/06/30,05:00,0.098,Real,</t>
  </si>
  <si>
    <t>ES0031408323131005HX0F,2024/06/30,06:00,0.071,Real,</t>
  </si>
  <si>
    <t>ES0031408323131005HX0F,2024/06/30,07:00,0.136,Real,</t>
  </si>
  <si>
    <t>ES0031408323131005HX0F,2024/06/30,08:00,0.136,Real,</t>
  </si>
  <si>
    <t>ES0031408323131005HX0F,2024/06/30,09:00,0.172,Real,</t>
  </si>
  <si>
    <t>ES0031408323131005HX0F,2024/06/30,10:00,0.557,Real,</t>
  </si>
  <si>
    <t>ES0031408323131005HX0F,2024/06/30,11:00,0.36,Real,</t>
  </si>
  <si>
    <t>ES0031408323131005HX0F,2024/06/30,12:00,0.148,Real,</t>
  </si>
  <si>
    <t>ES0031408323131005HX0F,2024/06/30,13:00,0.12,Real,</t>
  </si>
  <si>
    <t>ES0031408323131005HX0F,2024/06/30,14:00,0.098,Real,</t>
  </si>
  <si>
    <t>ES0031408323131005HX0F,2024/06/30,15:00,0.395,Real,</t>
  </si>
  <si>
    <t>ES0031408323131005HX0F,2024/06/30,16:00,0.962,Real,</t>
  </si>
  <si>
    <t>ES0031408323131005HX0F,2024/06/30,17:00,0.119,Real,</t>
  </si>
  <si>
    <t>ES0031408323131005HX0F,2024/06/30,18:00,0.086,Real,</t>
  </si>
  <si>
    <t>ES0031408323131005HX0F,2024/06/30,19:00,0.054,Real,</t>
  </si>
  <si>
    <t>ES0031408323131005HX0F,2024/06/30,20:00,0.103,Real,</t>
  </si>
  <si>
    <t>ES0031408323131005HX0F,2024/06/30,21:00,0.081,Real,</t>
  </si>
  <si>
    <t>ES0031408323131005HX0F,2024/06/30,22:00,0.051,Real,</t>
  </si>
  <si>
    <t>ES0031408323131005HX0F,2024/06/30,23:00,0.4,Real,</t>
  </si>
  <si>
    <t>ES0031408323131005HX0F,2024/06/30,24:00,0.121,Real,</t>
  </si>
  <si>
    <t>ES0031408323131005HX0F,2024/07/01,01:00,0.082,Real,</t>
  </si>
  <si>
    <t>ES0031408323131005HX0F,2024/07/01,02:00,0.049,Real,</t>
  </si>
  <si>
    <t>ES0031408323131005HX0F,2024/07/01,03:00,0.116,Real,</t>
  </si>
  <si>
    <t>ES0031408323131005HX0F,2024/07/01,04:00,0.065,Real,</t>
  </si>
  <si>
    <t>ES0031408323131005HX0F,2024/07/01,05:00,0.068,Real,</t>
  </si>
  <si>
    <t>ES0031408323131005HX0F,2024/07/01,06:00,0.082,Real,</t>
  </si>
  <si>
    <t>ES0031408323131005HX0F,2024/07/01,07:00,0.333,Real,</t>
  </si>
  <si>
    <t>ES0031408323131005HX0F,2024/07/01,08:00,0.112,Real,</t>
  </si>
  <si>
    <t>ES0031408323131005HX0F,2024/07/01,09:00,0.062,Real,</t>
  </si>
  <si>
    <t>ES0031408323131005HX0F,2024/07/01,10:00,0.07,Real,</t>
  </si>
  <si>
    <t>ES0031408323131005HX0F,2024/07/01,11:00,0.082,Real,</t>
  </si>
  <si>
    <t>ES0031408323131005HX0F,2024/07/01,12:00,0.047,Real,</t>
  </si>
  <si>
    <t>ES0031408323131005HX0F,2024/07/01,13:00,0.113,Real,</t>
  </si>
  <si>
    <t>ES0031408323131005HX0F,2024/07/01,14:00,0.072,Real,</t>
  </si>
  <si>
    <t>ES0031408323131005HX0F,2024/07/01,15:00,0.358,Real,</t>
  </si>
  <si>
    <t>ES0031408323131005HX0F,2024/07/01,16:00,0.079,Real,</t>
  </si>
  <si>
    <t>ES0031408323131005HX0F,2024/07/01,17:00,0.048,Real,</t>
  </si>
  <si>
    <t>ES0031408323131005HX0F,2024/07/01,18:00,0.085,Real,</t>
  </si>
  <si>
    <t>ES0031408323131005HX0F,2024/07/01,19:00,0.096,Real,</t>
  </si>
  <si>
    <t>ES0031408323131005HX0F,2024/07/01,20:00,0.126,Real,</t>
  </si>
  <si>
    <t>ES0031408323131005HX0F,2024/07/01,21:00,0.08,Real,</t>
  </si>
  <si>
    <t>ES0031408323131005HX0F,2024/07/01,22:00,0.363,Real,</t>
  </si>
  <si>
    <t>ES0031408323131005HX0F,2024/07/01,23:00,0.032,Real,</t>
  </si>
  <si>
    <t>ES0031408323131005HX0F,2024/07/01,24:00,0.053,Real,</t>
  </si>
  <si>
    <t>ES0031408323131005HX0F,2024/07/02,01:00,0.114,Real,</t>
  </si>
  <si>
    <t>ES0031408323131005HX0F,2024/07/02,02:00,0.057,Real,</t>
  </si>
  <si>
    <t>ES0031408323131005HX0F,2024/07/02,03:00,0.065,Real,</t>
  </si>
  <si>
    <t>ES0031408323131005HX0F,2024/07/02,04:00,0.015,Real,</t>
  </si>
  <si>
    <t>ES0031408323131005HX0F,2024/07/02,05:00,0.106,Real,</t>
  </si>
  <si>
    <t>ES0031408323131005HX0F,2024/07/02,06:00,0.369,Real,</t>
  </si>
  <si>
    <t>ES0031408323131005HX0F,2024/07/02,07:00,0.077,Real,</t>
  </si>
  <si>
    <t>ES0031408323131005HX0F,2024/07/02,08:00,0.024,Real,</t>
  </si>
  <si>
    <t>ES0031408323131005HX0F,2024/07/02,09:00,0.053,Real,</t>
  </si>
  <si>
    <t>ES0031408323131005HX0F,2024/07/02,10:00,0.109,Real,</t>
  </si>
  <si>
    <t>ES0031408323131005HX0F,2024/07/02,11:00,0.055,Real,</t>
  </si>
  <si>
    <t>ES0031408323131005HX0F,2024/07/02,12:00,0.054,Real,</t>
  </si>
  <si>
    <t>ES0031408323131005HX0F,2024/07/02,13:00,0.036,Real,</t>
  </si>
  <si>
    <t>ES0031408323131005HX0F,2024/07/02,14:00,0.39,Real,</t>
  </si>
  <si>
    <t>ES0031408323131005HX0F,2024/07/02,15:00,0.069,Real,</t>
  </si>
  <si>
    <t>ES0031408323131005HX0F,2024/07/02,16:00,0.065,Real,</t>
  </si>
  <si>
    <t>ES0031408323131005HX0F,2024/07/02,17:00,0.015,Real,</t>
  </si>
  <si>
    <t>ES0031408323131005HX0F,2024/07/02,18:00,0.088,Real,</t>
  </si>
  <si>
    <t>ES0031408323131005HX0F,2024/07/02,19:00,0.08,Real,</t>
  </si>
  <si>
    <t>ES0031408323131005HX0F,2024/07/02,20:00,0.078,Real,</t>
  </si>
  <si>
    <t>ES0031408323131005HX0F,2024/07/02,21:00,0.326,Real,</t>
  </si>
  <si>
    <t>ES0031408323131005HX0F,2024/07/02,22:00,0.04,Real,</t>
  </si>
  <si>
    <t>ES0031408323131005HX0F,2024/07/02,23:00,0.117,Real,</t>
  </si>
  <si>
    <t>ES0031408323131005HX0F,2024/07/02,24:00,0.061,Real,</t>
  </si>
  <si>
    <t>ES0031408323131005HX0F,2024/07/03,01:00,0.065,Real,</t>
  </si>
  <si>
    <t>ES0031408323131005HX0F,2024/07/03,02:00,0.015,Real,</t>
  </si>
  <si>
    <t>ES0031408323131005HX0F,2024/07/03,03:00,0.099,Real,</t>
  </si>
  <si>
    <t>ES0031408323131005HX0F,2024/07/03,04:00,0.08,Real,</t>
  </si>
  <si>
    <t>ES0031408323131005HX0F,2024/07/03,05:00,0.356,Real,</t>
  </si>
  <si>
    <t>ES0031408323131005HX0F,2024/07/03,06:00,0.026,Real,</t>
  </si>
  <si>
    <t>ES0031408323131005HX0F,2024/07/03,07:00,0.05,Real,</t>
  </si>
  <si>
    <t>ES0031408323131005HX0F,2024/07/03,08:00,0.111,Real,</t>
  </si>
  <si>
    <t>ES0031408323131005HX0F,2024/07/03,09:00,0.055,Real,</t>
  </si>
  <si>
    <t>ES0031408323131005HX0F,2024/07/03,10:00,0.053,Real,</t>
  </si>
  <si>
    <t>ES0031408323131005HX0F,2024/07/03,11:00,0.025,Real,</t>
  </si>
  <si>
    <t>ES0031408323131005HX0F,2024/07/03,12:00,0.395,Real,</t>
  </si>
  <si>
    <t>ES0031408323131005HX0F,2024/07/03,13:00,0.079,Real,</t>
  </si>
  <si>
    <t>ES0031408323131005HX0F,2024/07/03,14:00,0.064,Real,</t>
  </si>
  <si>
    <t>ES0031408323131005HX0F,2024/07/03,15:00,0.015,Real,</t>
  </si>
  <si>
    <t>ES0031408323131005HX0F,2024/07/03,16:00,0.111,Real,</t>
  </si>
  <si>
    <t>ES0031408323131005HX0F,2024/07/03,17:00,0.078,Real,</t>
  </si>
  <si>
    <t>ES0031408323131005HX0F,2024/07/03,18:00,0.071,Real,</t>
  </si>
  <si>
    <t>ES0031408323131005HX0F,2024/07/03,19:00,0.015,Real,</t>
  </si>
  <si>
    <t>ES0031408323131005HX0F,2024/07/03,20:00,0.339,Real,</t>
  </si>
  <si>
    <t>ES0031408323131005HX0F,2024/07/03,21:00,0.092,Real,</t>
  </si>
  <si>
    <t>ES0031408323131005HX0F,2024/07/03,22:00,0.067,Real,</t>
  </si>
  <si>
    <t>ES0031408323131005HX0F,2024/07/03,23:00,0.04,Real,</t>
  </si>
  <si>
    <t>ES0031408323131005HX0F,2024/07/03,24:00,0.063,Real,</t>
  </si>
  <si>
    <t>ES0031408323131005HX0F,2024/07/04,01:00,0.118,Real,</t>
  </si>
  <si>
    <t>ES0031408323131005HX0F,2024/07/04,02:00,0.066,Real,</t>
  </si>
  <si>
    <t>ES0031408323131005HX0F,2024/07/04,03:00,0.348,Real,</t>
  </si>
  <si>
    <t>ES0031408323131005HX0F,2024/07/04,04:00,0.016,Real,</t>
  </si>
  <si>
    <t>ES0031408323131005HX0F,2024/07/04,05:00,0.093,Real,</t>
  </si>
  <si>
    <t>ES0031408323131005HX0F,2024/07/04,06:00,0.08,Real,</t>
  </si>
  <si>
    <t>ES0031408323131005HX0F,2024/07/04,07:00,0.076,Real,</t>
  </si>
  <si>
    <t>ES0031408323131005HX0F,2024/07/04,08:00,0.02,Real,</t>
  </si>
  <si>
    <t>ES0031408323131005HX0F,2024/07/04,09:00,0.068,Real,</t>
  </si>
  <si>
    <t>ES0031408323131005HX0F,2024/07/04,10:00,0.356,Real,</t>
  </si>
  <si>
    <t>ES0031408323131005HX0F,2024/07/04,11:00,0.066,Real,</t>
  </si>
  <si>
    <t>ES0031408323131005HX0F,2024/07/04,12:00,0.041,Real,</t>
  </si>
  <si>
    <t>ES0031408323131005HX0F,2024/07/04,13:00,0.055,Real,</t>
  </si>
  <si>
    <t>ES0031408323131005HX0F,2024/07/04,14:00,0.125,Real,</t>
  </si>
  <si>
    <t>ES0031408323131005HX0F,2024/07/04,15:00,0.055,Real,</t>
  </si>
  <si>
    <t>ES0031408323131005HX0F,2024/07/04,16:00,0.063,Real,</t>
  </si>
  <si>
    <t>ES0031408323131005HX0F,2024/07/04,17:00,0.015,Real,</t>
  </si>
  <si>
    <t>ES0031408323131005HX0F,2024/07/04,18:00,0.373,Real,</t>
  </si>
  <si>
    <t>ES0031408323131005HX0F,2024/07/04,19:00,0.08,Real,</t>
  </si>
  <si>
    <t>ES0031408323131005HX0F,2024/07/04,20:00,0.065,Real,</t>
  </si>
  <si>
    <t>ES0031408323131005HX0F,2024/07/04,21:00,0.015,Real,</t>
  </si>
  <si>
    <t>ES0031408323131005HX0F,2024/07/04,22:00,0.087,Real,</t>
  </si>
  <si>
    <t>ES0031408323131005HX0F,2024/07/04,23:00,0.08,Real,</t>
  </si>
  <si>
    <t>ES0031408323131005HX0F,2024/07/04,24:00,0.079,Real,</t>
  </si>
  <si>
    <t>ES0031408323131005HX0F,2024/07/05,01:00,0.293,Real,</t>
  </si>
  <si>
    <t>ES0031408323131005HX0F,2024/07/05,02:00,0.049,Real,</t>
  </si>
  <si>
    <t>ES0031408323131005HX0F,2024/07/05,03:00,0.112,Real,</t>
  </si>
  <si>
    <t>ES0031408323131005HX0F,2024/07/05,04:00,0.054,Real,</t>
  </si>
  <si>
    <t>ES0031408323131005HX0F,2024/07/05,05:00,0.053,Real,</t>
  </si>
  <si>
    <t>ES0031408323131005HX0F,2024/07/05,06:00,0.026,Real,</t>
  </si>
  <si>
    <t>ES0031408323131005HX0F,2024/07/05,07:00,0.119,Real,</t>
  </si>
  <si>
    <t>ES0031408323131005HX0F,2024/07/05,08:00,0.341,Real,</t>
  </si>
  <si>
    <t>ES0031408323131005HX0F,2024/07/05,09:00,0.063,Real,</t>
  </si>
  <si>
    <t>ES0031408323131005HX0F,2024/07/05,10:00,0.015,Real,</t>
  </si>
  <si>
    <t>ES0031408323131005HX0F,2024/07/05,11:00,0.09,Real,</t>
  </si>
  <si>
    <t>ES0031408323131005HX0F,2024/07/05,12:00,0.08,Real,</t>
  </si>
  <si>
    <t>ES0031408323131005HX0F,2024/07/05,13:00,0.086,Real,</t>
  </si>
  <si>
    <t>ES0031408323131005HX0F,2024/07/05,14:00,0.033,Real,</t>
  </si>
  <si>
    <t>ES0031408323131005HX0F,2024/07/05,15:00,0.354,Real,</t>
  </si>
  <si>
    <t>ES0031408323131005HX0F,2024/07/05,16:00,0.091,Real,</t>
  </si>
  <si>
    <t>ES0031408323131005HX0F,2024/07/05,17:00,0.067,Real,</t>
  </si>
  <si>
    <t>ES0031408323131005HX0F,2024/07/05,18:00,0.051,Real,</t>
  </si>
  <si>
    <t>ES0031408323131005HX0F,2024/07/05,19:00,0.024,Real,</t>
  </si>
  <si>
    <t>ES0031408323131005HX0F,2024/07/05,20:00,0.119,Real,</t>
  </si>
  <si>
    <t>ES0031408323131005HX0F,2024/07/05,21:00,0.074,Real,</t>
  </si>
  <si>
    <t>ES0031408323131005HX0F,2024/07/05,22:00,0.063,Real,</t>
  </si>
  <si>
    <t>ES0031408323131005HX0F,2024/07/05,23:00,0.283,Real,</t>
  </si>
  <si>
    <t>ES0031408323131005HX0F,2024/07/05,24:00,0.088,Real,</t>
  </si>
  <si>
    <t>ES0031408323131005HX0F,2024/07/06,01:00,0.082,Real,</t>
  </si>
  <si>
    <t>ES0031408323131005HX0F,2024/07/06,02:00,0.079,Real,</t>
  </si>
  <si>
    <t>ES0031408323131005HX0F,2024/07/06,03:00,0.033,Real,</t>
  </si>
  <si>
    <t>ES0031408323131005HX0F,2024/07/06,04:00,0.045,Real,</t>
  </si>
  <si>
    <t>ES0031408323131005HX0F,2024/07/06,05:00,0.115,Real,</t>
  </si>
  <si>
    <t>ES0031408323131005HX0F,2024/07/06,06:00,0.346,Real,</t>
  </si>
  <si>
    <t>ES0031408323131005HX0F,2024/07/06,07:00,0.079,Real,</t>
  </si>
  <si>
    <t>ES0031408323131005HX0F,2024/07/06,08:00,0.035,Real,</t>
  </si>
  <si>
    <t>ES0031408323131005HX0F,2024/07/06,09:00,0.043,Real,</t>
  </si>
  <si>
    <t>ES0031408323131005HX0F,2024/07/06,10:00,0.117,Real,</t>
  </si>
  <si>
    <t>ES0031408323131005HX0F,2024/07/06,11:00,0.061,Real,</t>
  </si>
  <si>
    <t>ES0031408323131005HX0F,2024/07/06,12:00,0.064,Real,</t>
  </si>
  <si>
    <t>ES0031408323131005HX0F,2024/07/06,13:00,0.305,Real,</t>
  </si>
  <si>
    <t>ES0031408323131005HX0F,2024/07/06,14:00,0.112,Real,</t>
  </si>
  <si>
    <t>ES0031408323131005HX0F,2024/07/06,15:00,0.082,Real,</t>
  </si>
  <si>
    <t>ES0031408323131005HX0F,2024/07/06,16:00,0.079,Real,</t>
  </si>
  <si>
    <t>ES0031408323131005HX0F,2024/07/06,17:00,0.026,Real,</t>
  </si>
  <si>
    <t>ES0031408323131005HX0F,2024/07/06,18:00,0.057,Real,</t>
  </si>
  <si>
    <t>ES0031408323131005HX0F,2024/07/06,19:00,0.113,Real,</t>
  </si>
  <si>
    <t>ES0031408323131005HX0F,2024/07/06,20:00,0.056,Real,</t>
  </si>
  <si>
    <t>ES0031408323131005HX0F,2024/07/06,21:00,0.345,Real,</t>
  </si>
  <si>
    <t>ES0031408323131005HX0F,2024/07/06,22:00,0.015,Real,</t>
  </si>
  <si>
    <t>ES0031408323131005HX0F,2024/07/06,23:00,0.112,Real,</t>
  </si>
  <si>
    <t>ES0031408323131005HX0F,2024/07/06,24:00,0.081,Real,</t>
  </si>
  <si>
    <t>ES0031408323131005HX0F,2024/07/07,01:00,0.08,Real,</t>
  </si>
  <si>
    <t>ES0031408323131005HX0F,2024/07/07,02:00,0.018,Real,</t>
  </si>
  <si>
    <t>ES0031408323131005HX0F,2024/07/07,03:00,0.065,Real,</t>
  </si>
  <si>
    <t>ES0031408323131005HX0F,2024/07/07,04:00,0.106,Real,</t>
  </si>
  <si>
    <t>ES0031408323131005HX0F,2024/07/07,05:00,0.338,Real,</t>
  </si>
  <si>
    <t>ES0031408323131005HX0F,2024/07/07,06:00,0.061,Real,</t>
  </si>
  <si>
    <t>ES0031408323131005HX0F,2024/07/07,07:00,0.016,Real,</t>
  </si>
  <si>
    <t>ES0031408323131005HX0F,2024/07/07,08:00,0.121,Real,</t>
  </si>
  <si>
    <t>ES0031408323131005HX0F,2024/07/07,09:00,0.078,Real,</t>
  </si>
  <si>
    <t>ES0031408323131005HX0F,2024/07/07,10:00,0.068,Real,</t>
  </si>
  <si>
    <t>ES0031408323131005HX0F,2024/07/07,11:00,0.015,Real,</t>
  </si>
  <si>
    <t>ES0031408323131005HX0F,2024/07/07,12:00,0.376,Real,</t>
  </si>
  <si>
    <t>ES0031408323131005HX0F,2024/07/07,13:00,0.092,Real,</t>
  </si>
  <si>
    <t>ES0031408323131005HX0F,2024/07/07,14:00,0.09,Real,</t>
  </si>
  <si>
    <t>ES0031408323131005HX0F,2024/07/07,15:00,0.039,Real,</t>
  </si>
  <si>
    <t>ES0031408323131005HX0F,2024/07/07,16:00,0.039,Real,</t>
  </si>
  <si>
    <t>ES0031408323131005HX0F,2024/07/07,17:00,0.117,Real,</t>
  </si>
  <si>
    <t>ES0031408323131005HX0F,2024/07/07,18:00,0.062,Real,</t>
  </si>
  <si>
    <t>ES0031408323131005HX0F,2024/07/07,19:00,0.064,Real,</t>
  </si>
  <si>
    <t>ES0031408323131005HX0F,2024/07/07,20:00,0.288,Real,</t>
  </si>
  <si>
    <t>ES0031408323131005HX0F,2024/07/07,21:00,0.1,Real,</t>
  </si>
  <si>
    <t>ES0031408323131005HX0F,2024/07/07,22:00,0.08,Real,</t>
  </si>
  <si>
    <t>ES0031408323131005HX0F,2024/07/07,23:00,0.078,Real,</t>
  </si>
  <si>
    <t>ES0031408323131005HX0F,2024/07/07,24:00,0.024,Real,</t>
  </si>
  <si>
    <t>ES0031408323131005HX0F,2024/07/08,01:00,0.057,Real,</t>
  </si>
  <si>
    <t>ES0031408323131005HX0F,2024/07/08,02:00,0.107,Real,</t>
  </si>
  <si>
    <t>ES0031408323131005HX0F,2024/07/08,03:00,0.055,Real,</t>
  </si>
  <si>
    <t>ES0031408323131005HX0F,2024/07/08,04:00,0.351,Real,</t>
  </si>
  <si>
    <t>ES0031408323131005HX0F,2024/07/08,05:00,0.015,Real,</t>
  </si>
  <si>
    <t>ES0031408323131005HX0F,2024/07/08,06:00,0.12,Real,</t>
  </si>
  <si>
    <t>ES0031408323131005HX0F,2024/07/08,07:00,0.078,Real,</t>
  </si>
  <si>
    <t>ES0031408323131005HX0F,2024/07/08,08:00,0.069,Real,</t>
  </si>
  <si>
    <t>ES0031408323131005HX0F,2024/07/08,09:00,0.015,Real,</t>
  </si>
  <si>
    <t>ES0031408323131005HX0F,2024/07/08,10:00,0.072,Real,</t>
  </si>
  <si>
    <t>ES0031408323131005HX0F,2024/07/08,11:00,0.378,Real,</t>
  </si>
  <si>
    <t>ES0031408323131005HX0F,2024/07/08,12:00,0.103,Real,</t>
  </si>
  <si>
    <t>ES0031408323131005HX0F,2024/07/08,13:00,0.076,Real,</t>
  </si>
  <si>
    <t>ES0031408323131005HX0F,2024/07/08,14:00,0.026,Real,</t>
  </si>
  <si>
    <t>ES0031408323131005HX0F,2024/07/08,15:00,0.088,Real,</t>
  </si>
  <si>
    <t>ES0031408323131005HX0F,2024/07/08,16:00,0.083,Real,</t>
  </si>
  <si>
    <t>ES0031408323131005HX0F,2024/07/08,17:00,0.079,Real,</t>
  </si>
  <si>
    <t>ES0031408323131005HX0F,2024/07/08,18:00,0.038,Real,</t>
  </si>
  <si>
    <t>ES0031408323131005HX0F,2024/07/08,19:00,0.336,Real,</t>
  </si>
  <si>
    <t>ES0031408323131005HX0F,2024/07/08,20:00,0.117,Real,</t>
  </si>
  <si>
    <t>ES0031408323131005HX0F,2024/07/08,21:00,0.066,Real,</t>
  </si>
  <si>
    <t>ES0031408323131005HX0F,2024/07/08,22:00,0.067,Real,</t>
  </si>
  <si>
    <t>ES0031408323131005HX0F,2024/07/08,23:00,0.015,Real,</t>
  </si>
  <si>
    <t>ES0031408323131005HX0F,2024/07/08,24:00,0.097,Real,</t>
  </si>
  <si>
    <t>ES0031408323131005HX0F,2024/07/09,01:00,0.082,Real,</t>
  </si>
  <si>
    <t>ES0031408323131005HX0F,2024/07/09,02:00,0.08,Real,</t>
  </si>
  <si>
    <t>ES0031408323131005HX0F,2024/07/09,03:00,0.338,Real,</t>
  </si>
  <si>
    <t>ES0031408323131005HX0F,2024/07/09,04:00,0.047,Real,</t>
  </si>
  <si>
    <t>ES0031408323131005HX0F,2024/07/09,05:00,0.117,Real,</t>
  </si>
  <si>
    <t>ES0031408323131005HX0F,2024/07/09,06:00,0.062,Real,</t>
  </si>
  <si>
    <t>ES0031408323131005HX0F,2024/07/09,07:00,0.065,Real,</t>
  </si>
  <si>
    <t>ES0031408323131005HX0F,2024/07/09,08:00,0.015,Real,</t>
  </si>
  <si>
    <t>ES0031408323131005HX0F,2024/07/09,09:00,0.104,Real,</t>
  </si>
  <si>
    <t>ES0031408323131005HX0F,2024/07/09,10:00,0.08,Real,</t>
  </si>
  <si>
    <t>ES0031408323131005HX0F,2024/07/09,11:00,0.079,Real,</t>
  </si>
  <si>
    <t>ES0031408323131005HX0F,2024/07/09,12:00,0.301,Real,</t>
  </si>
  <si>
    <t>ES0031408323131005HX0F,2024/07/09,13:00,0.07,Real,</t>
  </si>
  <si>
    <t>ES0031408323131005HX0F,2024/07/09,14:00,0.12,Real,</t>
  </si>
  <si>
    <t>ES0031408323131005HX0F,2024/07/09,15:00,0.482,Real,</t>
  </si>
  <si>
    <t>ES0031408323131005HX0F,2024/07/09,16:00,0.312,Real,</t>
  </si>
  <si>
    <t>ES0031408323131005HX0F,2024/07/09,17:00,0.147,Real,</t>
  </si>
  <si>
    <t>ES0031408323131005HX0F,2024/07/09,18:00,0.201,Real,</t>
  </si>
  <si>
    <t>ES0031408323131005HX0F,2024/07/09,19:00,0.427,Real,</t>
  </si>
  <si>
    <t>ES0031408323131005HX0F,2024/07/09,20:00,0.101,Real,</t>
  </si>
  <si>
    <t>ES0031408323131005HX0F,2024/07/09,21:00,0.062,Real,</t>
  </si>
  <si>
    <t>ES0031408323131005HX0F,2024/07/09,22:00,0.297,Real,</t>
  </si>
  <si>
    <t>ES0031408323131005HX0F,2024/07/09,23:00,0.402,Real,</t>
  </si>
  <si>
    <t>ES0031408323131005HX0F,2024/07/09,24:00,0.279,Real,</t>
  </si>
  <si>
    <t>ES0031408323131005HX0F,2024/07/10,01:00,0.057,Real,</t>
  </si>
  <si>
    <t>ES0031408323131005HX0F,2024/07/10,02:00,0.122,Real,</t>
  </si>
  <si>
    <t>ES0031408323131005HX0F,2024/07/10,03:00,0.093,Real,</t>
  </si>
  <si>
    <t>ES0031408323131005HX0F,2024/07/10,04:00,0.354,Real,</t>
  </si>
  <si>
    <t>ES0031408323131005HX0F,2024/07/10,05:00,0.103,Real,</t>
  </si>
  <si>
    <t>ES0031408323131005HX0F,2024/07/10,06:00,0.092,Real,</t>
  </si>
  <si>
    <t>ES0031408323131005HX0F,2024/07/10,07:00,0.109,Real,</t>
  </si>
  <si>
    <t>ES0031408323131005HX0F,2024/07/10,08:00,0.129,Real,</t>
  </si>
  <si>
    <t>ES0031408323131005HX0F,2024/07/10,09:00,0.192,Real,</t>
  </si>
  <si>
    <t>ES0031408323131005HX0F,2024/07/10,10:00,0.25,Real,</t>
  </si>
  <si>
    <t>ES0031408323131005HX0F,2024/07/10,11:00,0.628,Real,</t>
  </si>
  <si>
    <t>ES0031408323131005HX0F,2024/07/10,12:00,0.149,Real,</t>
  </si>
  <si>
    <t>ES0031408323131005HX0F,2024/07/10,13:00,0.175,Real,</t>
  </si>
  <si>
    <t>ES0031408323131005HX0F,2024/07/10,14:00,0.127,Real,</t>
  </si>
  <si>
    <t>ES0031408323131005HX0F,2024/07/10,15:00,0.119,Real,</t>
  </si>
  <si>
    <t>ES0031408323131005HX0F,2024/07/10,16:00,0.079,Real,</t>
  </si>
  <si>
    <t>ES0031408323131005HX0F,2024/07/10,17:00,0.949,Real,</t>
  </si>
  <si>
    <t>ES0031408323131005HX0F,2024/07/10,18:00,0.4,Real,</t>
  </si>
  <si>
    <t>ES0031408323131005HX0F,2024/07/10,19:00,0.055,Real,</t>
  </si>
  <si>
    <t>ES0031408323131005HX0F,2024/07/10,20:00,0.13,Real,</t>
  </si>
  <si>
    <t>ES0031408323131005HX0F,2024/07/10,21:00,0.09,Real,</t>
  </si>
  <si>
    <t>ES0031408323131005HX0F,2024/07/10,22:00,1.145,Real,</t>
  </si>
  <si>
    <t>ES0031408323131005HX0F,2024/07/10,23:00,0.534,Real,</t>
  </si>
  <si>
    <t>ES0031408323131005HX0F,2024/07/10,24:00,0.226,Real,</t>
  </si>
  <si>
    <t>ES0031408323131005HX0F,2024/07/11,01:00,0.352,Real,</t>
  </si>
  <si>
    <t>ES0031408323131005HX0F,2024/07/11,02:00,0.069,Real,</t>
  </si>
  <si>
    <t>ES0031408323131005HX0F,2024/07/11,03:00,0.136,Real,</t>
  </si>
  <si>
    <t>ES0031408323131005HX0F,2024/07/11,04:00,0.066,Real,</t>
  </si>
  <si>
    <t>ES0031408323131005HX0F,2024/07/11,05:00,0.084,Real,</t>
  </si>
  <si>
    <t>ES0031408323131005HX0F,2024/07/11,06:00,0.088,Real,</t>
  </si>
  <si>
    <t>ES0031408323131005HX0F,2024/07/11,07:00,0.053,Real,</t>
  </si>
  <si>
    <t>ES0031408323131005HX0F,2024/07/11,08:00,0.112,Real,</t>
  </si>
  <si>
    <t>ES0031408323131005HX0F,2024/07/11,09:00,0.296,Real,</t>
  </si>
  <si>
    <t>ES0031408323131005HX0F,2024/07/11,10:00,0.505,Real,</t>
  </si>
  <si>
    <t>ES0031408323131005HX0F,2024/07/11,11:00,0.484,Real,</t>
  </si>
  <si>
    <t>ES0031408323131005HX0F,2024/07/11,12:00,0.804,Real,</t>
  </si>
  <si>
    <t>ES0031408323131005HX0F,2024/07/11,13:00,0.349,Real,</t>
  </si>
  <si>
    <t>ES0031408323131005HX0F,2024/07/11,14:00,0.763,Real,</t>
  </si>
  <si>
    <t>ES0031408323131005HX0F,2024/07/11,15:00,0.672,Real,</t>
  </si>
  <si>
    <t>ES0031408323131005HX0F,2024/07/11,16:00,0.114,Real,</t>
  </si>
  <si>
    <t>ES0031408323131005HX0F,2024/07/11,17:00,0.344,Real,</t>
  </si>
  <si>
    <t>ES0031408323131005HX0F,2024/07/11,18:00,0.042,Real,</t>
  </si>
  <si>
    <t>ES0031408323131005HX0F,2024/07/11,19:00,0.106,Real,</t>
  </si>
  <si>
    <t>ES0031408323131005HX0F,2024/07/11,20:00,0.056,Real,</t>
  </si>
  <si>
    <t>ES0031408323131005HX0F,2024/07/11,21:00,0.087,Real,</t>
  </si>
  <si>
    <t>ES0031408323131005HX0F,2024/07/11,22:00,0.08,Real,</t>
  </si>
  <si>
    <t>ES0031408323131005HX0F,2024/07/11,23:00,0.052,Real,</t>
  </si>
  <si>
    <t>ES0031408323131005HX0F,2024/07/11,24:00,0.085,Real,</t>
  </si>
  <si>
    <t>ES0031408323131005HX0F,2024/07/12,01:00,0.272,Real,</t>
  </si>
  <si>
    <t>ES0031408323131005HX0F,2024/07/12,02:00,0.168,Real,</t>
  </si>
  <si>
    <t>ES0031408323131005HX0F,2024/07/12,03:00,0.054,Real,</t>
  </si>
  <si>
    <t>ES0031408323131005HX0F,2024/07/12,04:00,0.082,Real,</t>
  </si>
  <si>
    <t>ES0031408323131005HX0F,2024/07/12,05:00,0.082,Real,</t>
  </si>
  <si>
    <t>ES0031408323131005HX0F,2024/07/12,06:00,0.05,Real,</t>
  </si>
  <si>
    <t>ES0031408323131005HX0F,2024/07/12,07:00,0.084,Real,</t>
  </si>
  <si>
    <t>ES0031408323131005HX0F,2024/07/12,08:00,0.051,Real,</t>
  </si>
  <si>
    <t>ES0031408323131005HX0F,2024/07/12,09:00,0.122,Real,</t>
  </si>
  <si>
    <t>ES0031408323131005HX0F,2024/07/12,10:00,0.405,Real,</t>
  </si>
  <si>
    <t>ES0031408323131005HX0F,2024/07/12,11:00,0.083,Real,</t>
  </si>
  <si>
    <t>ES0031408323131005HX0F,2024/07/12,12:00,0.051,Real,</t>
  </si>
  <si>
    <t>ES0031408323131005HX0F,2024/07/12,13:00,0.103,Real,</t>
  </si>
  <si>
    <t>ES0031408323131005HX0F,2024/07/12,14:00,0.065,Real,</t>
  </si>
  <si>
    <t>ES0031408323131005HX0F,2024/07/12,15:00,0.1,Real,</t>
  </si>
  <si>
    <t>ES0031408323131005HX0F,2024/07/12,16:00,0.066,Real,</t>
  </si>
  <si>
    <t>ES0031408323131005HX0F,2024/07/12,17:00,0.066,Real,</t>
  </si>
  <si>
    <t>ES0031408323131005HX0F,2024/07/12,18:00,0.367,Real,</t>
  </si>
  <si>
    <t>ES0031408323131005HX0F,2024/07/12,19:00,0.081,Real,</t>
  </si>
  <si>
    <t>ES0031408323131005HX0F,2024/07/12,20:00,0.011,Real,</t>
  </si>
  <si>
    <t>ES0031408323131005HX0F,2024/07/12,21:00,0.072,Real,</t>
  </si>
  <si>
    <t>ES0031408323131005HX0F,2024/07/12,22:00,0.1,Real,</t>
  </si>
  <si>
    <t>ES0031408323131005HX0F,2024/07/12,23:00,0.068,Real,</t>
  </si>
  <si>
    <t>ES0031408323131005HX0F,2024/07/12,24:00,0.042,Real,</t>
  </si>
  <si>
    <t>ES0031408323131005HX0F,2024/07/13,01:00,0.04,Real,</t>
  </si>
  <si>
    <t>ES0031408323131005HX0F,2024/07/13,02:00,0.412,Real,</t>
  </si>
  <si>
    <t>ES0031408323131005HX0F,2024/07/13,03:00,0.063,Real,</t>
  </si>
  <si>
    <t>ES0031408323131005HX0F,2024/07/13,04:00,0.059,Real,</t>
  </si>
  <si>
    <t>ES0031408323131005HX0F,2024/07/13,05:00,0.013,Real,</t>
  </si>
  <si>
    <t>ES0031408323131005HX0F,2024/07/13,06:00,0.118,Real,</t>
  </si>
  <si>
    <t>ES0031408323131005HX0F,2024/07/13,07:00,0.082,Real,</t>
  </si>
  <si>
    <t>ES0031408323131005HX0F,2024/07/13,08:00,0.063,Real,</t>
  </si>
  <si>
    <t>ES0031408323131005HX0F,2024/07/13,09:00,0.011,Real,</t>
  </si>
  <si>
    <t>ES0031408323131005HX0F,2024/07/13,10:00,0.093,Real,</t>
  </si>
  <si>
    <t>ES0031408323131005HX0F,2024/07/13,11:00,0.396,Real,</t>
  </si>
  <si>
    <t>ES0031408323131005HX0F,2024/07/13,12:00,0.08,Real,</t>
  </si>
  <si>
    <t>ES0031408323131005HX0F,2024/07/13,13:00,0.027,Real,</t>
  </si>
  <si>
    <t>ES0031408323131005HX0F,2024/07/13,14:00,0.081,Real,</t>
  </si>
  <si>
    <t>ES0031408323131005HX0F,2024/07/13,15:00,0.095,Real,</t>
  </si>
  <si>
    <t>ES0031408323131005HX0F,2024/07/13,16:00,0.07,Real,</t>
  </si>
  <si>
    <t>ES0031408323131005HX0F,2024/07/13,17:00,0.034,Real,</t>
  </si>
  <si>
    <t>ES0031408323131005HX0F,2024/07/13,18:00,0.049,Real,</t>
  </si>
  <si>
    <t>ES0031408323131005HX0F,2024/07/13,19:00,0.113,Real,</t>
  </si>
  <si>
    <t>ES0031408323131005HX0F,2024/07/13,20:00,0.363,Real,</t>
  </si>
  <si>
    <t>ES0031408323131005HX0F,2024/07/13,21:00,0.059,Real,</t>
  </si>
  <si>
    <t>ES0031408323131005HX0F,2024/07/13,22:00,0.022,Real,</t>
  </si>
  <si>
    <t>ES0031408323131005HX0F,2024/07/13,23:00,0.117,Real,</t>
  </si>
  <si>
    <t>ES0031408323131005HX0F,2024/07/13,24:00,0.075,Real,</t>
  </si>
  <si>
    <t>ES0031408323131005HX0F,2024/07/14,01:00,0.059,Real,</t>
  </si>
  <si>
    <t>ES0031408323131005HX0F,2024/07/14,02:00,0.01,Real,</t>
  </si>
  <si>
    <t>ES0031408323131005HX0F,2024/07/14,03:00,0.106,Real,</t>
  </si>
  <si>
    <t>ES0031408323131005HX0F,2024/07/14,04:00,0.082,Real,</t>
  </si>
  <si>
    <t>ES0031408323131005HX0F,2024/07/14,05:00,0.374,Real,</t>
  </si>
  <si>
    <t>ES0031408323131005HX0F,2024/07/14,06:00,0.011,Real,</t>
  </si>
  <si>
    <t>ES0031408323131005HX0F,2024/07/14,07:00,0.084,Real,</t>
  </si>
  <si>
    <t>ES0031408323131005HX0F,2024/07/14,08:00,0.085,Real,</t>
  </si>
  <si>
    <t>ES0031408323131005HX0F,2024/07/14,09:00,0.081,Real,</t>
  </si>
  <si>
    <t>ES0031408323131005HX0F,2024/07/14,10:00,0.019,Real,</t>
  </si>
  <si>
    <t>ES0031408323131005HX0F,2024/07/14,11:00,0.064,Real,</t>
  </si>
  <si>
    <t>ES0031408323131005HX0F,2024/07/14,12:00,0.1,Real,</t>
  </si>
  <si>
    <t>ES0031408323131005HX0F,2024/07/14,13:00,0.079,Real,</t>
  </si>
  <si>
    <t>ES0031408323131005HX0F,2024/07/14,14:00,0.358,Real,</t>
  </si>
  <si>
    <t>ES0031408323131005HX0F,2024/07/14,15:00,0.058,Real,</t>
  </si>
  <si>
    <t>ES0031408323131005HX0F,2024/07/14,16:00,0.214,Real,</t>
  </si>
  <si>
    <t>ES0031408323131005HX0F,2024/07/14,17:00,0.354,Real,</t>
  </si>
  <si>
    <t>ES0031408323131005HX0F,2024/07/14,18:00,0.214,Real,</t>
  </si>
  <si>
    <t>ES0031408323131005HX0F,2024/07/14,19:00,0.665,Real,</t>
  </si>
  <si>
    <t>ES0031408323131005HX0F,2024/07/14,20:00,1.885,Real,</t>
  </si>
  <si>
    <t>ES0031408323131005HX0F,2024/07/14,21:00,0.53,Real,</t>
  </si>
  <si>
    <t>ES0031408323131005HX0F,2024/07/14,22:00,0.53,Real,</t>
  </si>
  <si>
    <t>ES0031408323131005HX0F,2024/07/14,23:00,0.52,Real,</t>
  </si>
  <si>
    <t>ES0031408323131005HX0F,2024/07/14,24:00,0.261,Real,</t>
  </si>
  <si>
    <t>ES0031408323131005HX0F,2024/07/15,01:00,0.238,Real,</t>
  </si>
  <si>
    <t>ES0031408323131005HX0F,2024/07/15,02:00,0.531,Real,</t>
  </si>
  <si>
    <t>ES0031408323131005HX0F,2024/07/15,03:00,0.249,Real,</t>
  </si>
  <si>
    <t>ES0031408323131005HX0F,2024/07/15,04:00,0.237,Real,</t>
  </si>
  <si>
    <t>ES0031408323131005HX0F,2024/07/15,05:00,0.232,Real,</t>
  </si>
  <si>
    <t>ES0031408323131005HX0F,2024/07/15,06:00,0.229,Real,</t>
  </si>
  <si>
    <t>ES0031408323131005HX0F,2024/07/15,07:00,0.228,Real,</t>
  </si>
  <si>
    <t>ES0031408323131005HX0F,2024/07/15,08:00,0.226,Real,</t>
  </si>
  <si>
    <t>ES0031408323131005HX0F,2024/07/15,09:00,0.229,Real,</t>
  </si>
  <si>
    <t>ES0031408323131005HX0F,2024/07/15,10:00,0.231,Real,</t>
  </si>
  <si>
    <t>ES0031408323131005HX0F,2024/07/15,11:00,0.504,Real,</t>
  </si>
  <si>
    <t>ES0031408323131005HX0F,2024/07/15,12:00,0.256,Real,</t>
  </si>
  <si>
    <t>ES0031408323131005HX0F,2024/07/15,13:00,0.061,Real,</t>
  </si>
  <si>
    <t>ES0031408323131005HX0F,2024/07/15,14:00,1.108,Real,</t>
  </si>
  <si>
    <t>ES0031408323131005HX0F,2024/07/15,15:00,0.23,Real,</t>
  </si>
  <si>
    <t>ES0031408323131005HX0F,2024/07/15,16:00,0.452,Real,</t>
  </si>
  <si>
    <t>ES0031408323131005HX0F,2024/07/15,17:00,0.347,Real,</t>
  </si>
  <si>
    <t>ES0031408323131005HX0F,2024/07/15,18:00,0.12,Real,</t>
  </si>
  <si>
    <t>ES0031408323131005HX0F,2024/07/15,19:00,0.379,Real,</t>
  </si>
  <si>
    <t>ES0031408323131005HX0F,2024/07/15,20:00,2.219,Real,</t>
  </si>
  <si>
    <t>ES0031408323131005HX0F,2024/07/15,21:00,2.293,Real,</t>
  </si>
  <si>
    <t>ES0031408323131005HX0F,2024/07/15,22:00,0.517,Real,</t>
  </si>
  <si>
    <t>ES0031408323131005HX0F,2024/07/15,23:00,0.129,Real,</t>
  </si>
  <si>
    <t>ES0031408323131005HX0F,2024/07/15,24:00,0.56,Real,</t>
  </si>
  <si>
    <t>ES0031408323131005HX0F,2024/07/16,01:00,0.338,Real,</t>
  </si>
  <si>
    <t>ES0031408323131005HX0F,2024/07/16,02:00,0.139,Real,</t>
  </si>
  <si>
    <t>ES0031408323131005HX0F,2024/07/16,03:00,0.394,Real,</t>
  </si>
  <si>
    <t>ES0031408323131005HX0F,2024/07/16,04:00,0.123,Real,</t>
  </si>
  <si>
    <t>ES0031408323131005HX0F,2024/07/16,05:00,0.133,Real,</t>
  </si>
  <si>
    <t>ES0031408323131005HX0F,2024/07/16,06:00,0.056,Real,</t>
  </si>
  <si>
    <t>ES0031408323131005HX0F,2024/07/16,07:00,0.092,Real,</t>
  </si>
  <si>
    <t>ES0031408323131005HX0F,2024/07/16,08:00,0.123,Real,</t>
  </si>
  <si>
    <t>ES0031408323131005HX0F,2024/07/16,09:00,0.134,Real,</t>
  </si>
  <si>
    <t>ES0031408323131005HX0F,2024/07/16,10:00,0.181,Real,</t>
  </si>
  <si>
    <t>ES0031408323131005HX0F,2024/07/16,11:00,0.466,Real,</t>
  </si>
  <si>
    <t>ES0031408323131005HX0F,2024/07/16,12:00,0.293,Real,</t>
  </si>
  <si>
    <t>ES0031408323131005HX0F,2024/07/16,13:00,0.894,Real,</t>
  </si>
  <si>
    <t>ES0031408323131005HX0F,2024/07/16,14:00,1.223,Real,</t>
  </si>
  <si>
    <t>ES0031408323131005HX0F,2024/07/16,15:00,0.883,Real,</t>
  </si>
  <si>
    <t>ES0031408323131005HX0F,2024/07/16,16:00,0.688,Real,</t>
  </si>
  <si>
    <t>ES0031408323131005HX0F,2024/07/16,17:00,0.272,Real,</t>
  </si>
  <si>
    <t>ES0031408323131005HX0F,2024/07/16,18:00,0.078,Real,</t>
  </si>
  <si>
    <t>ES0031408323131005HX0F,2024/07/16,19:00,0.118,Real,</t>
  </si>
  <si>
    <t>ES0031408323131005HX0F,2024/07/16,20:00,0.86,Real,</t>
  </si>
  <si>
    <t>ES0031408323131005HX0F,2024/07/16,21:00,2.052,Real,</t>
  </si>
  <si>
    <t>ES0031408323131005HX0F,2024/07/16,22:00,0.574,Real,</t>
  </si>
  <si>
    <t>ES0031408323131005HX0F,2024/07/16,23:00,0.535,Real,</t>
  </si>
  <si>
    <t>ES0031408323131005HX0F,2024/07/16,24:00,0.616,Real,</t>
  </si>
  <si>
    <t>ES0031408323131005HX0F,2024/07/17,01:00,0.375,Real,</t>
  </si>
  <si>
    <t>ES0031408323131005HX0F,2024/07/17,02:00,0.411,Real,</t>
  </si>
  <si>
    <t>ES0031408323131005HX0F,2024/07/17,03:00,0.139,Real,</t>
  </si>
  <si>
    <t>ES0031408323131005HX0F,2024/07/17,04:00,0.096,Real,</t>
  </si>
  <si>
    <t>ES0031408323131005HX0F,2024/07/17,05:00,0.044,Real,</t>
  </si>
  <si>
    <t>ES0031408323131005HX0F,2024/07/17,06:00,0.117,Real,</t>
  </si>
  <si>
    <t>ES0031408323131005HX0F,2024/07/17,07:00,0.086,Real,</t>
  </si>
  <si>
    <t>ES0031408323131005HX0F,2024/07/17,08:00,0.077,Real,</t>
  </si>
  <si>
    <t>ES0031408323131005HX0F,2024/07/17,09:00,0.103,Real,</t>
  </si>
  <si>
    <t>ES0031408323131005HX0F,2024/07/17,10:00,0.119,Real,</t>
  </si>
  <si>
    <t>ES0031408323131005HX0F,2024/07/17,11:00,0.445,Real,</t>
  </si>
  <si>
    <t>ES0031408323131005HX0F,2024/07/17,12:00,0.23,Real,</t>
  </si>
  <si>
    <t>ES0031408323131005HX0F,2024/07/17,13:00,0.239,Real,</t>
  </si>
  <si>
    <t>ES0031408323131005HX0F,2024/07/17,14:00,0.633,Real,</t>
  </si>
  <si>
    <t>ES0031408323131005HX0F,2024/07/17,15:00,0.649,Real,</t>
  </si>
  <si>
    <t>ES0031408323131005HX0F,2024/07/17,16:00,0.499,Real,</t>
  </si>
  <si>
    <t>ES0031408323131005HX0F,2024/07/17,17:00,0.497,Real,</t>
  </si>
  <si>
    <t>ES0031408323131005HX0F,2024/07/17,18:00,0.161,Real,</t>
  </si>
  <si>
    <t>ES0031408323131005HX0F,2024/07/17,19:00,0.21,Real,</t>
  </si>
  <si>
    <t>ES0031408323131005HX0F,2024/07/17,20:00,0.571,Real,</t>
  </si>
  <si>
    <t>ES0031408323131005HX0F,2024/07/17,21:00,1.888,Real,</t>
  </si>
  <si>
    <t>ES0031408323131005HX0F,2024/07/17,22:00,0.245,Real,</t>
  </si>
  <si>
    <t>ES0031408323131005HX0F,2024/07/17,23:00,0.511,Real,</t>
  </si>
  <si>
    <t>ES0031408323131005HX0F,2024/07/17,24:00,0.615,Real,</t>
  </si>
  <si>
    <t>ES0031408323131005HX0F,2024/07/18,01:00,0.457,Real,</t>
  </si>
  <si>
    <t>ES0031408323131005HX0F,2024/07/18,02:00,0.469,Real,</t>
  </si>
  <si>
    <t>ES0031408323131005HX0F,2024/07/18,03:00,0.34,Real,</t>
  </si>
  <si>
    <t>ES0031408323131005HX0F,2024/07/18,04:00,0.388,Real,</t>
  </si>
  <si>
    <t>ES0031408323131005HX0F,2024/07/18,05:00,0.358,Real,</t>
  </si>
  <si>
    <t>ES0031408323131005HX0F,2024/07/18,06:00,0.338,Real,</t>
  </si>
  <si>
    <t>ES0031408323131005HX0F,2024/07/18,07:00,0.6,Real,</t>
  </si>
  <si>
    <t>ES0031408323131005HX0F,2024/07/18,08:00,0.285,Real,</t>
  </si>
  <si>
    <t>ES0031408323131005HX0F,2024/07/18,09:00,0.257,Real,</t>
  </si>
  <si>
    <t>ES0031408323131005HX0F,2024/07/18,10:00,0.817,Real,</t>
  </si>
  <si>
    <t>ES0031408323131005HX0F,2024/07/18,11:00,0.086,Real,</t>
  </si>
  <si>
    <t>ES0031408323131005HX0F,2024/07/18,12:00,0.103,Real,</t>
  </si>
  <si>
    <t>ES0031408323131005HX0F,2024/07/18,13:00,0.131,Real,</t>
  </si>
  <si>
    <t>ES0031408323131005HX0F,2024/07/18,14:00,0.099,Real,</t>
  </si>
  <si>
    <t>ES0031408323131005HX0F,2024/07/18,15:00,0.548,Real,</t>
  </si>
  <si>
    <t>ES0031408323131005HX0F,2024/07/18,16:00,0.668,Real,</t>
  </si>
  <si>
    <t>ES0031408323131005HX0F,2024/07/18,17:00,0.661,Real,</t>
  </si>
  <si>
    <t>ES0031408323131005HX0F,2024/07/18,18:00,0.118,Real,</t>
  </si>
  <si>
    <t>ES0031408323131005HX0F,2024/07/18,19:00,0.105,Real,</t>
  </si>
  <si>
    <t>ES0031408323131005HX0F,2024/07/18,20:00,0.429,Real,</t>
  </si>
  <si>
    <t>ES0031408323131005HX0F,2024/07/18,21:00,2.28,Real,</t>
  </si>
  <si>
    <t>ES0031408323131005HX0F,2024/07/18,22:00,0.451,Real,</t>
  </si>
  <si>
    <t>ES0031408323131005HX0F,2024/07/18,23:00,0.104,Real,</t>
  </si>
  <si>
    <t>ES0031408323131005HX0F,2024/07/18,24:00,1.112,Real,</t>
  </si>
  <si>
    <t>ES0031408323131005HX0F,2024/07/19,01:00,0.44,Real,</t>
  </si>
  <si>
    <t>ES0031408323131005HX0F,2024/07/19,02:00,0.234,Real,</t>
  </si>
  <si>
    <t>ES0031408323131005HX0F,2024/07/19,03:00,0.369,Real,</t>
  </si>
  <si>
    <t>ES0031408323131005HX0F,2024/07/19,04:00,0.118,Real,</t>
  </si>
  <si>
    <t>ES0031408323131005HX0F,2024/07/19,05:00,0.081,Real,</t>
  </si>
  <si>
    <t>ES0031408323131005HX0F,2024/07/19,06:00,0.13,Real,</t>
  </si>
  <si>
    <t>ES0031408323131005HX0F,2024/07/19,07:00,0.138,Real,</t>
  </si>
  <si>
    <t>ES0031408323131005HX0F,2024/07/19,08:00,0.164,Real,</t>
  </si>
  <si>
    <t>ES0031408323131005HX0F,2024/07/19,09:00,0.123,Real,</t>
  </si>
  <si>
    <t>ES0031408323131005HX0F,2024/07/19,10:00,0.236,Real,</t>
  </si>
  <si>
    <t>ES0031408323131005HX0F,2024/07/19,11:00,0.627,Real,</t>
  </si>
  <si>
    <t>ES0031408323131005HX0F,2024/07/19,12:00,0.169,Real,</t>
  </si>
  <si>
    <t>ES0031408323131005HX0F,2024/07/19,13:00,0.116,Real,</t>
  </si>
  <si>
    <t>ES0031408323131005HX0F,2024/07/19,14:00,0.42,Real,</t>
  </si>
  <si>
    <t>ES0031408323131005HX0F,2024/07/19,15:00,0.305,Real,</t>
  </si>
  <si>
    <t>ES0031408323131005HX0F,2024/07/19,16:00,0.48,Real,</t>
  </si>
  <si>
    <t>ES0031408323131005HX0F,2024/07/19,17:00,0.337,Real,</t>
  </si>
  <si>
    <t>ES0031408323131005HX0F,2024/07/19,18:00,0.138,Real,</t>
  </si>
  <si>
    <t>ES0031408323131005HX0F,2024/07/19,19:00,0.362,Real,</t>
  </si>
  <si>
    <t>ES0031408323131005HX0F,2024/07/19,20:00,1.695,Real,</t>
  </si>
  <si>
    <t>ES0031408323131005HX0F,2024/07/19,21:00,1.541,Real,</t>
  </si>
  <si>
    <t>ES0031408323131005HX0F,2024/07/19,22:00,0.174,Real,</t>
  </si>
  <si>
    <t>ES0031408323131005HX0F,2024/07/19,23:00,0.176,Real,</t>
  </si>
  <si>
    <t>ES0031408323131005HX0F,2024/07/19,24:00,0.93,Real,</t>
  </si>
  <si>
    <t>ES0031408323131005HX0F,2024/07/20,01:00,0.781,Real,</t>
  </si>
  <si>
    <t>ES0031408323131005HX0F,2024/07/20,02:00,0.891,Real,</t>
  </si>
  <si>
    <t>ES0031408323131005HX0F,2024/07/20,03:00,0.399,Real,</t>
  </si>
  <si>
    <t>ES0031408323131005HX0F,2024/07/20,04:00,0.294,Real,</t>
  </si>
  <si>
    <t>ES0031408323131005HX0F,2024/07/20,05:00,0.245,Real,</t>
  </si>
  <si>
    <t>ES0031408323131005HX0F,2024/07/20,06:00,0.16,Real,</t>
  </si>
  <si>
    <t>ES0031408323131005HX0F,2024/07/20,07:00,0.167,Real,</t>
  </si>
  <si>
    <t>ES0031408323131005HX0F,2024/07/20,08:00,0.2,Real,</t>
  </si>
  <si>
    <t>ES0031408323131005HX0F,2024/07/20,09:00,0.185,Real,</t>
  </si>
  <si>
    <t>ES0031408323131005HX0F,2024/07/20,10:00,0.491,Real,</t>
  </si>
  <si>
    <t>ES0031408323131005HX0F,2024/07/20,11:00,0.272,Real,</t>
  </si>
  <si>
    <t>ES0031408323131005HX0F,2024/07/20,12:00,0.132,Real,</t>
  </si>
  <si>
    <t>ES0031408323131005HX0F,2024/07/20,13:00,0.121,Real,</t>
  </si>
  <si>
    <t>ES0031408323131005HX0F,2024/07/20,14:00,2.181,Real,</t>
  </si>
  <si>
    <t>ES0031408323131005HX0F,2024/07/20,15:00,1.064,Real,</t>
  </si>
  <si>
    <t>ES0031408323131005HX0F,2024/07/20,16:00,0.484,Real,</t>
  </si>
  <si>
    <t>ES0031408323131005HX0F,2024/07/20,17:00,0.509,Real,</t>
  </si>
  <si>
    <t>ES0031408323131005HX0F,2024/07/20,18:00,0.351,Real,</t>
  </si>
  <si>
    <t>ES0031408323131005HX0F,2024/07/20,19:00,0.109,Real,</t>
  </si>
  <si>
    <t>ES0031408323131005HX0F,2024/07/20,20:00,0.952,Real,</t>
  </si>
  <si>
    <t>ES0031408323131005HX0F,2024/07/20,21:00,2.106,Real,</t>
  </si>
  <si>
    <t>ES0031408323131005HX0F,2024/07/20,22:00,0.331,Real,</t>
  </si>
  <si>
    <t>ES0031408323131005HX0F,2024/07/20,23:00,0.106,Real,</t>
  </si>
  <si>
    <t>ES0031408323131005HX0F,2024/07/20,24:00,0.222,Real,</t>
  </si>
  <si>
    <t>ES0031408323131005HX0F,2024/07/21,01:00,0.425,Real,</t>
  </si>
  <si>
    <t>ES0031408323131005HX0F,2024/07/21,02:00,0.159,Real,</t>
  </si>
  <si>
    <t>ES0031408323131005HX0F,2024/07/21,03:00,0.302,Real,</t>
  </si>
  <si>
    <t>ES0031408323131005HX0F,2024/07/21,04:00,0.205,Real,</t>
  </si>
  <si>
    <t>ES0031408323131005HX0F,2024/07/21,05:00,0.116,Real,</t>
  </si>
  <si>
    <t>ES0031408323131005HX0F,2024/07/21,06:00,0.04,Real,</t>
  </si>
  <si>
    <t>ES0031408323131005HX0F,2024/07/21,07:00,0.129,Real,</t>
  </si>
  <si>
    <t>ES0031408323131005HX0F,2024/07/21,08:00,0.1,Real,</t>
  </si>
  <si>
    <t>ES0031408323131005HX0F,2024/07/21,09:00,0.081,Real,</t>
  </si>
  <si>
    <t>ES0031408323131005HX0F,2024/07/21,10:00,0.103,Real,</t>
  </si>
  <si>
    <t>ES0031408323131005HX0F,2024/07/21,11:00,0.139,Real,</t>
  </si>
  <si>
    <t>ES0031408323131005HX0F,2024/07/21,12:00,0.546,Real,</t>
  </si>
  <si>
    <t>ES0031408323131005HX0F,2024/07/21,13:00,0.361,Real,</t>
  </si>
  <si>
    <t>ES0031408323131005HX0F,2024/07/21,14:00,0.146,Real,</t>
  </si>
  <si>
    <t>ES0031408323131005HX0F,2024/07/21,15:00,0.114,Real,</t>
  </si>
  <si>
    <t>ES0031408323131005HX0F,2024/07/21,16:00,0.317,Real,</t>
  </si>
  <si>
    <t>ES0031408323131005HX0F,2024/07/21,17:00,0.293,Real,</t>
  </si>
  <si>
    <t>ES0031408323131005HX0F,2024/07/21,18:00,0.137,Real,</t>
  </si>
  <si>
    <t>ES0031408323131005HX0F,2024/07/21,19:00,0.11,Real,</t>
  </si>
  <si>
    <t>ES0031408323131005HX0F,2024/07/21,20:00,0.579,Real,</t>
  </si>
  <si>
    <t>ES0031408323131005HX0F,2024/07/21,21:00,1.988,Real,</t>
  </si>
  <si>
    <t>ES0031408323131005HX0F,2024/07/21,22:00,0.255,Real,</t>
  </si>
  <si>
    <t>ES0031408323131005HX0F,2024/07/21,23:00,0.098,Real,</t>
  </si>
  <si>
    <t>ES0031408323131005HX0F,2024/07/21,24:00,0.381,Real,</t>
  </si>
  <si>
    <t>ES0031408323131005HX0F,2024/07/22,01:00,0.403,Real,</t>
  </si>
  <si>
    <t>ES0031408323131005HX0F,2024/07/22,02:00,0.137,Real,</t>
  </si>
  <si>
    <t>ES0031408323131005HX0F,2024/07/22,03:00,0.381,Real,</t>
  </si>
  <si>
    <t>ES0031408323131005HX0F,2024/07/22,04:00,0.072,Real,</t>
  </si>
  <si>
    <t>ES0031408323131005HX0F,2024/07/22,05:00,0.104,Real,</t>
  </si>
  <si>
    <t>ES0031408323131005HX0F,2024/07/22,06:00,0.097,Real,</t>
  </si>
  <si>
    <t>ES0031408323131005HX0F,2024/07/22,07:00,0.082,Real,</t>
  </si>
  <si>
    <t>ES0031408323131005HX0F,2024/07/22,08:00,0.137,Real,</t>
  </si>
  <si>
    <t>ES0031408323131005HX0F,2024/07/22,09:00,0.136,Real,</t>
  </si>
  <si>
    <t>ES0031408323131005HX0F,2024/07/22,10:00,0.2,Real,</t>
  </si>
  <si>
    <t>ES0031408323131005HX0F,2024/07/22,11:00,1.247,Real,</t>
  </si>
  <si>
    <t>ES0031408323131005HX0F,2024/07/22,12:00,0.116,Real,</t>
  </si>
  <si>
    <t>ES0031408323131005HX0F,2024/07/22,13:00,0.104,Real,</t>
  </si>
  <si>
    <t>ES0031408323131005HX0F,2024/07/22,14:00,0.855,Real,</t>
  </si>
  <si>
    <t>ES0031408323131005HX0F,2024/07/22,15:00,0.295,Real,</t>
  </si>
  <si>
    <t>ES0031408323131005HX0F,2024/07/22,16:00,0.427,Real,</t>
  </si>
  <si>
    <t>ES0031408323131005HX0F,2024/07/22,17:00,0.178,Real,</t>
  </si>
  <si>
    <t>ES0031408323131005HX0F,2024/07/22,18:00,0.117,Real,</t>
  </si>
  <si>
    <t>ES0031408323131005HX0F,2024/07/22,19:00,0.398,Real,</t>
  </si>
  <si>
    <t>ES0031408323131005HX0F,2024/07/22,20:00,1.259,Real,</t>
  </si>
  <si>
    <t>ES0031408323131005HX0F,2024/07/22,21:00,2.126,Real,</t>
  </si>
  <si>
    <t>ES0031408323131005HX0F,2024/07/22,22:00,0.263,Real,</t>
  </si>
  <si>
    <t>ES0031408323131005HX0F,2024/07/22,23:00,0.129,Real,</t>
  </si>
  <si>
    <t>ES0031408323131005HX0F,2024/07/22,24:00,0.395,Real,</t>
  </si>
  <si>
    <t>ES0031408323131005HX0F,2024/07/23,01:00,0.389,Real,</t>
  </si>
  <si>
    <t>ES0031408323131005HX0F,2024/07/23,02:00,0.511,Real,</t>
  </si>
  <si>
    <t>ES0031408323131005HX0F,2024/07/23,03:00,0.219,Real,</t>
  </si>
  <si>
    <t>ES0031408323131005HX0F,2024/07/23,04:00,0.09,Real,</t>
  </si>
  <si>
    <t>ES0031408323131005HX0F,2024/07/23,05:00,0.097,Real,</t>
  </si>
  <si>
    <t>ES0031408323131005HX0F,2024/07/23,06:00,0.081,Real,</t>
  </si>
  <si>
    <t>ES0031408323131005HX0F,2024/07/23,07:00,0.112,Real,</t>
  </si>
  <si>
    <t>ES0031408323131005HX0F,2024/07/23,08:00,0.095,Real,</t>
  </si>
  <si>
    <t>ES0031408323131005HX0F,2024/07/23,09:00,0.071,Real,</t>
  </si>
  <si>
    <t>ES0031408323131005HX0F,2024/07/23,10:00,0.165,Real,</t>
  </si>
  <si>
    <t>ES0031408323131005HX0F,2024/07/23,11:00,0.601,Real,</t>
  </si>
  <si>
    <t>ES0031408323131005HX0F,2024/07/23,12:00,0.153,Real,</t>
  </si>
  <si>
    <t>ES0031408323131005HX0F,2024/07/23,13:00,0.398,Real,</t>
  </si>
  <si>
    <t>ES0031408323131005HX0F,2024/07/23,14:00,1.307,Real,</t>
  </si>
  <si>
    <t>ES0031408323131005HX0F,2024/07/23,15:00,0.264,Real,</t>
  </si>
  <si>
    <t>ES0031408323131005HX0F,2024/07/23,16:00,0.452,Real,</t>
  </si>
  <si>
    <t>ES0031408323131005HX0F,2024/07/23,17:00,0.21,Real,</t>
  </si>
  <si>
    <t>ES0031408323131005HX0F,2024/07/23,18:00,0.122,Real,</t>
  </si>
  <si>
    <t>ES0031408323131005HX0F,2024/07/23,19:00,0.118,Real,</t>
  </si>
  <si>
    <t>ES0031408323131005HX0F,2024/07/23,20:00,1.408,Real,</t>
  </si>
  <si>
    <t>ES0031408323131005HX0F,2024/07/23,21:00,2.314,Real,</t>
  </si>
  <si>
    <t>ES0031408323131005HX0F,2024/07/23,22:00,0.671,Real,</t>
  </si>
  <si>
    <t>ES0031408323131005HX0F,2024/07/23,23:00,0.562,Real,</t>
  </si>
  <si>
    <t>ES0031408323131005HX0F,2024/07/23,24:00,0.427,Real,</t>
  </si>
  <si>
    <t>ES0031408323131005HX0F,2024/07/24,01:00,0.679,Real,</t>
  </si>
  <si>
    <t>ES0031408323131005HX0F,2024/07/24,02:00,0.264,Real,</t>
  </si>
  <si>
    <t>ES0031408323131005HX0F,2024/07/24,03:00,0.133,Real,</t>
  </si>
  <si>
    <t>ES0031408323131005HX0F,2024/07/24,04:00,0.129,Real,</t>
  </si>
  <si>
    <t>ES0031408323131005HX0F,2024/07/24,05:00,0.098,Real,</t>
  </si>
  <si>
    <t>ES0031408323131005HX0F,2024/07/24,06:00,0.099,Real,</t>
  </si>
  <si>
    <t>ES0031408323131005HX0F,2024/07/24,07:00,0.085,Real,</t>
  </si>
  <si>
    <t>ES0031408323131005HX0F,2024/07/24,08:00,0.095,Real,</t>
  </si>
  <si>
    <t>ES0031408323131005HX0F,2024/07/24,09:00,0.354,Real,</t>
  </si>
  <si>
    <t>ES0031408323131005HX0F,2024/07/24,10:00,0.182,Real,</t>
  </si>
  <si>
    <t>ES0031408323131005HX0F,2024/07/24,11:00,0.12,Real,</t>
  </si>
  <si>
    <t>ES0031408323131005HX0F,2024/07/24,12:00,0.149,Real,</t>
  </si>
  <si>
    <t>ES0031408323131005HX0F,2024/07/24,13:00,0.078,Real,</t>
  </si>
  <si>
    <t>ES0031408323131005HX0F,2024/07/24,14:00,0.596,Real,</t>
  </si>
  <si>
    <t>ES0031408323131005HX0F,2024/07/24,15:00,0.302,Real,</t>
  </si>
  <si>
    <t>ES0031408323131005HX0F,2024/07/24,16:00,0.463,Real,</t>
  </si>
  <si>
    <t>ES0031408323131005HX0F,2024/07/24,17:00,0.257,Real,</t>
  </si>
  <si>
    <t>ES0031408323131005HX0F,2024/07/24,18:00,0.144,Real,</t>
  </si>
  <si>
    <t>ES0031408323131005HX0F,2024/07/24,19:00,0.144,Real,</t>
  </si>
  <si>
    <t>ES0031408323131005HX0F,2024/07/24,20:00,1.135,Real,</t>
  </si>
  <si>
    <t>ES0031408323131005HX0F,2024/07/24,21:00,2.471,Real,</t>
  </si>
  <si>
    <t>ES0031408323131005HX0F,2024/07/24,22:00,0.266,Real,</t>
  </si>
  <si>
    <t>ES0031408323131005HX0F,2024/07/24,23:00,0.196,Real,</t>
  </si>
  <si>
    <t>ES0031408323131005HX0F,2024/07/24,24:00,0.372,Real,</t>
  </si>
  <si>
    <t>ES0031408323131005HX0F,2024/07/25,01:00,0.279,Real,</t>
  </si>
  <si>
    <t>ES0031408323131005HX0F,2024/07/25,02:00,0.15,Real,</t>
  </si>
  <si>
    <t>ES0031408323131005HX0F,2024/07/25,03:00,0.224,Real,</t>
  </si>
  <si>
    <t>ES0031408323131005HX0F,2024/07/25,04:00,0.248,Real,</t>
  </si>
  <si>
    <t>ES0031408323131005HX0F,2024/07/25,05:00,0.13,Real,</t>
  </si>
  <si>
    <t>ES0031408323131005HX0F,2024/07/25,06:00,0.132,Real,</t>
  </si>
  <si>
    <t>ES0031408323131005HX0F,2024/07/25,07:00,0.142,Real,</t>
  </si>
  <si>
    <t>ES0031408323131005HX0F,2024/07/25,08:00,0.131,Real,</t>
  </si>
  <si>
    <t>ES0031408323131005HX0F,2024/07/25,09:00,0.12,Real,</t>
  </si>
  <si>
    <t>ES0031408323131005HX0F,2024/07/25,10:00,0.204,Real,</t>
  </si>
  <si>
    <t>ES0031408323131005HX0F,2024/07/25,11:00,0.113,Real,</t>
  </si>
  <si>
    <t>ES0031408323131005HX0F,2024/07/25,12:00,0.408,Real,</t>
  </si>
  <si>
    <t>ES0031408323131005HX0F,2024/07/25,13:00,0.104,Real,</t>
  </si>
  <si>
    <t>ES0031408323131005HX0F,2024/07/25,14:00,1.195,Real,</t>
  </si>
  <si>
    <t>ES0031408323131005HX0F,2024/07/25,15:00,0.351,Real,</t>
  </si>
  <si>
    <t>ES0031408323131005HX0F,2024/07/25,16:00,0.434,Real,</t>
  </si>
  <si>
    <t>ES0031408323131005HX0F,2024/07/25,17:00,0.188,Real,</t>
  </si>
  <si>
    <t>ES0031408323131005HX0F,2024/07/25,18:00,0.126,Real,</t>
  </si>
  <si>
    <t>ES0031408323131005HX0F,2024/07/25,19:00,0.1,Real,</t>
  </si>
  <si>
    <t>ES0031408323131005HX0F,2024/07/25,20:00,1.679,Real,</t>
  </si>
  <si>
    <t>ES0031408323131005HX0F,2024/07/25,21:00,2.001,Real,</t>
  </si>
  <si>
    <t>ES0031408323131005HX0F,2024/07/25,22:00,0.518,Real,</t>
  </si>
  <si>
    <t>ES0031408323131005HX0F,2024/07/25,23:00,0.529,Real,</t>
  </si>
  <si>
    <t>ES0031408323131005HX0F,2024/07/25,24:00,0.42,Real,</t>
  </si>
  <si>
    <t>ES0031408323131005HX0F,2024/07/26,01:00,0.393,Real,</t>
  </si>
  <si>
    <t>ES0031408323131005HX0F,2024/07/26,02:00,0.352,Real,</t>
  </si>
  <si>
    <t>ES0031408323131005HX0F,2024/07/26,03:00,0.384,Real,</t>
  </si>
  <si>
    <t>ES0031408323131005HX0F,2024/07/26,04:00,0.091,Real,</t>
  </si>
  <si>
    <t>ES0031408323131005HX0F,2024/07/26,05:00,0.107,Real,</t>
  </si>
  <si>
    <t>ES0031408323131005HX0F,2024/07/26,06:00,0.101,Real,</t>
  </si>
  <si>
    <t>ES0031408323131005HX0F,2024/07/26,07:00,0.072,Real,</t>
  </si>
  <si>
    <t>ES0031408323131005HX0F,2024/07/26,08:00,0.097,Real,</t>
  </si>
  <si>
    <t>ES0031408323131005HX0F,2024/07/26,09:00,0.079,Real,</t>
  </si>
  <si>
    <t>ES0031408323131005HX0F,2024/07/26,10:00,0.219,Real,</t>
  </si>
  <si>
    <t>ES0031408323131005HX0F,2024/07/26,11:00,0.187,Real,</t>
  </si>
  <si>
    <t>ES0031408323131005HX0F,2024/07/26,12:00,0.346,Real,</t>
  </si>
  <si>
    <t>ES0031408323131005HX0F,2024/07/26,13:00,0.139,Real,</t>
  </si>
  <si>
    <t>ES0031408323131005HX0F,2024/07/26,14:00,0.472,Real,</t>
  </si>
  <si>
    <t>ES0031408323131005HX0F,2024/07/26,15:00,0.35,Real,</t>
  </si>
  <si>
    <t>ES0031408323131005HX0F,2024/07/26,16:00,0.439,Real,</t>
  </si>
  <si>
    <t>ES0031408323131005HX0F,2024/07/26,17:00,0.139,Real,</t>
  </si>
  <si>
    <t>ES0031408323131005HX0F,2024/07/26,18:00,0.102,Real,</t>
  </si>
  <si>
    <t>ES0031408323131005HX0F,2024/07/26,19:00,0.051,Real,</t>
  </si>
  <si>
    <t>ES0031408323131005HX0F,2024/07/26,20:00,1.847,Real,</t>
  </si>
  <si>
    <t>ES0031408323131005HX0F,2024/07/26,21:00,3.189,Real,</t>
  </si>
  <si>
    <t>ES0031408323131005HX0F,2024/07/26,22:00,1.477,Real,</t>
  </si>
  <si>
    <t>ES0031408323131005HX0F,2024/07/26,23:00,0.897,Real,</t>
  </si>
  <si>
    <t>ES0031408323131005HX0F,2024/07/26,24:00,0.823,Real,</t>
  </si>
  <si>
    <t>ES0031408323131005HX0F,2024/07/27,01:00,0.777,Real,</t>
  </si>
  <si>
    <t>ES0031408323131005HX0F,2024/07/27,02:00,0.532,Real,</t>
  </si>
  <si>
    <t>ES0031408323131005HX0F,2024/07/27,03:00,0.672,Real,</t>
  </si>
  <si>
    <t>ES0031408323131005HX0F,2024/07/27,04:00,0.407,Real,</t>
  </si>
  <si>
    <t>ES0031408323131005HX0F,2024/07/27,05:00,0.418,Real,</t>
  </si>
  <si>
    <t>ES0031408323131005HX0F,2024/07/27,06:00,0.5,Real,</t>
  </si>
  <si>
    <t>ES0031408323131005HX0F,2024/07/27,07:00,0.419,Real,</t>
  </si>
  <si>
    <t>ES0031408323131005HX0F,2024/07/27,08:00,0.358,Real,</t>
  </si>
  <si>
    <t>ES0031408323131005HX0F,2024/07/27,09:00,0.426,Real,</t>
  </si>
  <si>
    <t>ES0031408323131005HX0F,2024/07/27,10:00,0.434,Real,</t>
  </si>
  <si>
    <t>ES0031408323131005HX0F,2024/07/27,11:00,0.605,Real,</t>
  </si>
  <si>
    <t>ES0031408323131005HX0F,2024/07/27,12:00,0.359,Real,</t>
  </si>
  <si>
    <t>ES0031408323131005HX0F,2024/07/27,13:00,0.395,Real,</t>
  </si>
  <si>
    <t>ES0031408323131005HX0F,2024/07/27,14:00,0.496,Real,</t>
  </si>
  <si>
    <t>ES0031408323131005HX0F,2024/07/27,15:00,0.385,Real,</t>
  </si>
  <si>
    <t>ES0031408323131005HX0F,2024/07/27,16:00,0.742,Real,</t>
  </si>
  <si>
    <t>ES0031408323131005HX0F,2024/07/27,17:00,0.732,Real,</t>
  </si>
  <si>
    <t>ES0031408323131005HX0F,2024/07/27,18:00,0.391,Real,</t>
  </si>
  <si>
    <t>ES0031408323131005HX0F,2024/07/27,19:00,0.709,Real,</t>
  </si>
  <si>
    <t>ES0031408323131005HX0F,2024/07/27,20:00,1.934,Real,</t>
  </si>
  <si>
    <t>ES0031408323131005HX0F,2024/07/27,21:00,1.425,Real,</t>
  </si>
  <si>
    <t>ES0031408323131005HX0F,2024/07/27,22:00,0.53,Real,</t>
  </si>
  <si>
    <t>ES0031408323131005HX0F,2024/07/27,23:00,0.453,Real,</t>
  </si>
  <si>
    <t>ES0031408323131005HX0F,2024/07/27,24:00,0.557,Real,</t>
  </si>
  <si>
    <t>ES0031408323131005HX0F,2024/07/28,01:00,0.667,Real,</t>
  </si>
  <si>
    <t>ES0031408323131005HX0F,2024/07/28,02:00,0.702,Real,</t>
  </si>
  <si>
    <t>ES0031408323131005HX0F,2024/07/28,03:00,0.706,Real,</t>
  </si>
  <si>
    <t>ES0031408323131005HX0F,2024/07/28,04:00,0.444,Real,</t>
  </si>
  <si>
    <t>ES0031408323131005HX0F,2024/07/28,05:00,0.415,Real,</t>
  </si>
  <si>
    <t>ES0031408323131005HX0F,2024/07/28,06:00,0.36,Real,</t>
  </si>
  <si>
    <t>ES0031408323131005HX0F,2024/07/28,07:00,0.371,Real,</t>
  </si>
  <si>
    <t>ES0031408323131005HX0F,2024/07/28,08:00,0.254,Real,</t>
  </si>
  <si>
    <t>ES0031408323131005HX0F,2024/07/28,09:00,0.283,Real,</t>
  </si>
  <si>
    <t>ES0031408323131005HX0F,2024/07/28,10:00,0.36,Real,</t>
  </si>
  <si>
    <t>ES0031408323131005HX0F,2024/07/28,11:00,0.277,Real,</t>
  </si>
  <si>
    <t>ES0031408323131005HX0F,2024/07/28,12:00,0.088,Real,</t>
  </si>
  <si>
    <t>ES0031408323131005HX0F,2024/07/28,13:00,0.139,Real,</t>
  </si>
  <si>
    <t>ES0031408323131005HX0F,2024/07/28,14:00,0.138,Real,</t>
  </si>
  <si>
    <t>ES0031408323131005HX0F,2024/07/28,15:00,0.088,Real,</t>
  </si>
  <si>
    <t>ES0031408323131005HX0F,2024/07/28,16:00,0.218,Real,</t>
  </si>
  <si>
    <t>ES0031408323131005HX0F,2024/07/28,17:00,0.136,Real,</t>
  </si>
  <si>
    <t>ES0031408323131005HX0F,2024/07/28,18:00,0.413,Real,</t>
  </si>
  <si>
    <t>ES0031408323131005HX0F,2024/07/28,19:00,0.127,Real,</t>
  </si>
  <si>
    <t>ES0031408323131005HX0F,2024/07/28,20:00,0.159,Real,</t>
  </si>
  <si>
    <t>ES0031408323131005HX0F,2024/07/28,21:00,0.142,Real,</t>
  </si>
  <si>
    <t>ES0031408323131005HX0F,2024/07/28,22:00,0.109,Real,</t>
  </si>
  <si>
    <t>ES0031408323131005HX0F,2024/07/28,23:00,0.174,Real,</t>
  </si>
  <si>
    <t>ES0031408323131005HX0F,2024/07/28,24:00,0.14,Real,</t>
  </si>
  <si>
    <t>ES0031408323131005HX0F,2024/07/29,01:00,0.118,Real,</t>
  </si>
  <si>
    <t>ES0031408323131005HX0F,2024/07/29,02:00,0.237,Real,</t>
  </si>
  <si>
    <t>ES0031408323131005HX0F,2024/07/29,03:00,0.318,Real,</t>
  </si>
  <si>
    <t>ES0031408323131005HX0F,2024/07/29,04:00,0.149,Real,</t>
  </si>
  <si>
    <t>ES0031408323131005HX0F,2024/07/29,05:00,0.143,Real,</t>
  </si>
  <si>
    <t>ES0031408323131005HX0F,2024/07/29,06:00,0.11,Real,</t>
  </si>
  <si>
    <t>ES0031408323131005HX0F,2024/07/29,07:00,0.196,Real,</t>
  </si>
  <si>
    <t>ES0031408323131005HX0F,2024/07/29,08:00,0.181,Real,</t>
  </si>
  <si>
    <t>ES0031408323131005HX0F,2024/07/29,09:00,0.159,Real,</t>
  </si>
  <si>
    <t>ES0031408323131005HX0F,2024/07/29,10:00,0.143,Real,</t>
  </si>
  <si>
    <t>ES0031408323131005HX0F,2024/07/29,11:00,0.415,Real,</t>
  </si>
  <si>
    <t>ES0031408323131005HX0F,2024/07/29,12:00,0.544,Real,</t>
  </si>
  <si>
    <t>ES0031408323131005HX0F,2024/07/29,13:00,0.436,Real,</t>
  </si>
  <si>
    <t>ES0031408323131005HX0F,2024/07/29,14:00,1.029,Real,</t>
  </si>
  <si>
    <t>ES0031408323131005HX0F,2024/07/29,15:00,0.72,Real,</t>
  </si>
  <si>
    <t>ES0031408323131005HX0F,2024/07/29,16:00,0.784,Real,</t>
  </si>
  <si>
    <t>ES0031408323131005HX0F,2024/07/29,17:00,0.594,Real,</t>
  </si>
  <si>
    <t>ES0031408323131005HX0F,2024/07/29,18:00,0.549,Real,</t>
  </si>
  <si>
    <t>ES0031408323131005HX0F,2024/07/29,19:00,1.017,Real,</t>
  </si>
  <si>
    <t>ES0031408323131005HX0F,2024/07/29,20:00,0.809,Real,</t>
  </si>
  <si>
    <t>ES0031408323131005HX0F,2024/07/29,21:00,1.638,Real,</t>
  </si>
  <si>
    <t>ES0031408323131005HX0F,2024/07/29,22:00,0.36,Real,</t>
  </si>
  <si>
    <t>ES0031408323131005HX0F,2024/07/29,23:00,0.347,Real,</t>
  </si>
  <si>
    <t>ES0031408323131005HX0F,2024/07/29,24:00,0.294,Real,</t>
  </si>
  <si>
    <t>ES0031408323131005HX0F,2024/07/30,01:00,2.324,Real,</t>
  </si>
  <si>
    <t>ES0031408323131005HX0F,2024/07/30,02:00,2.276,Real,</t>
  </si>
  <si>
    <t>ES0031408323131005HX0F,2024/07/30,03:00,0.168,Real,</t>
  </si>
  <si>
    <t>ES0031408323131005HX0F,2024/07/30,04:00,0.05,Real,</t>
  </si>
  <si>
    <t>ES0031408323131005HX0F,2024/07/30,05:00,0.118,Real,</t>
  </si>
  <si>
    <t>ES0031408323131005HX0F,2024/07/30,06:00,0.081,Real,</t>
  </si>
  <si>
    <t>ES0031408323131005HX0F,2024/07/30,07:00,0.051,Real,</t>
  </si>
  <si>
    <t>ES0031408323131005HX0F,2024/07/30,08:00,0.111,Real,</t>
  </si>
  <si>
    <t>ES0031408323131005HX0F,2024/07/30,09:00,0.365,Real,</t>
  </si>
  <si>
    <t>ES0031408323131005HX0F,2024/07/30,10:00,0.46,Real,</t>
  </si>
  <si>
    <t>ES0031408323131005HX0F,2024/07/30,11:00,1.302,Real,</t>
  </si>
  <si>
    <t>ES0031408323131005HX0F,2024/07/30,12:00,0.379,Real,</t>
  </si>
  <si>
    <t>ES0031408323131005HX0F,2024/07/30,13:00,0.419,Real,</t>
  </si>
  <si>
    <t>ES0031408323131005HX0F,2024/07/30,14:00,1.677,Real,</t>
  </si>
  <si>
    <t>ES0031408323131005HX0F,2024/07/30,15:00,1.028,Real,</t>
  </si>
  <si>
    <t>ES0031408323131005HX0F,2024/07/30,16:00,0.326,Real,</t>
  </si>
  <si>
    <t>ES0031408323131005HX0F,2024/07/30,17:00,0.234,Real,</t>
  </si>
  <si>
    <t>ES0031408323131005HX0F,2024/07/30,18:00,0.088,Real,</t>
  </si>
  <si>
    <t>ES0031408323131005HX0F,2024/07/30,19:00,0.045,Real,</t>
  </si>
  <si>
    <t>ES0031408323131005HX0F,2024/07/30,20:00,0.12,Real,</t>
  </si>
  <si>
    <t>ES0031408323131005HX0F,2024/07/30,21:00,1.05,Real,</t>
  </si>
  <si>
    <t>ES0031408323131005HX0F,2024/07/30,22:00,1.295,Real,</t>
  </si>
  <si>
    <t>ES0031408323131005HX0F,2024/07/30,23:00,0.386,Real,</t>
  </si>
  <si>
    <t>ES0031408323131005HX0F,2024/07/30,24:00,0.259,Real,</t>
  </si>
  <si>
    <t>ES0031408323131005HX0F,2024/07/31,01:00,0.097,Real,</t>
  </si>
  <si>
    <t>ES0031408323131005HX0F,2024/07/31,02:00,0.101,Real,</t>
  </si>
  <si>
    <t>ES0031408323131005HX0F,2024/07/31,03:00,0.062,Real,</t>
  </si>
  <si>
    <t>ES0031408323131005HX0F,2024/07/31,04:00,0.413,Real,</t>
  </si>
  <si>
    <t>ES0031408323131005HX0F,2024/07/31,05:00,0.126,Real,</t>
  </si>
  <si>
    <t>ES0031408323131005HX0F,2024/07/31,06:00,0.094,Real,</t>
  </si>
  <si>
    <t>ES0031408323131005HX0F,2024/07/31,07:00,0.098,Real,</t>
  </si>
  <si>
    <t>ES0031408323131005HX0F,2024/07/31,08:00,0.056,Real,</t>
  </si>
  <si>
    <t>ES0031408323131005HX0F,2024/07/31,09:00,0.238,Real,</t>
  </si>
  <si>
    <t>ES0031408323131005HX0F,2024/07/31,10:00,0.442,Real,</t>
  </si>
  <si>
    <t>ES0031408323131005HX0F,2024/07/31,11:00,0.253,Real,</t>
  </si>
  <si>
    <t>ES0031408323131005HX0F,2024/07/31,12:00,0.12,Real,</t>
  </si>
  <si>
    <t>ES0031408323131005HX0F,2024/07/31,13:00,0.379,Real,</t>
  </si>
  <si>
    <t>ES0031408323131005HX0F,2024/07/31,14:00,0.334,Real,</t>
  </si>
  <si>
    <t>ES0031408323131005HX0F,2024/07/31,15:00,0.442,Real,</t>
  </si>
  <si>
    <t>ES0031408323131005HX0F,2024/07/31,16:00,0.422,Real,</t>
  </si>
  <si>
    <t>ES0031408323131005HX0F,2024/07/31,17:00,0.186,Real,</t>
  </si>
  <si>
    <t>ES0031408323131005HX0F,2024/07/31,18:00,0.814,Real,</t>
  </si>
  <si>
    <t>ES0031408323131005HX0F,2024/07/31,19:00,0.396,Real,</t>
  </si>
  <si>
    <t>ES0031408323131005HX0F,2024/07/31,20:00,0.143,Real,</t>
  </si>
  <si>
    <t>ES0031408323131005HX0F,2024/07/31,21:00,0.34,Real,</t>
  </si>
  <si>
    <t>ES0031408323131005HX0F,2024/07/31,22:00,0.723,Real,</t>
  </si>
  <si>
    <t>ES0031408323131005HX0F,2024/07/31,23:00,2.321,Real,</t>
  </si>
  <si>
    <t>ES0031408323131005HX0F,2024/07/31,24:00,0.775,Real,</t>
  </si>
  <si>
    <t>ES0031408323131005HX0F,2024/08/01,01:00,0.614,Real,</t>
  </si>
  <si>
    <t>ES0031408323131005HX0F,2024/08/01,02:00,0.146,Real,</t>
  </si>
  <si>
    <t>ES0031408323131005HX0F,2024/08/01,03:00,0.094,Real,</t>
  </si>
  <si>
    <t>ES0031408323131005HX0F,2024/08/01,04:00,0.088,Real,</t>
  </si>
  <si>
    <t>ES0031408323131005HX0F,2024/08/01,05:00,0.1,Real,</t>
  </si>
  <si>
    <t>ES0031408323131005HX0F,2024/08/01,06:00,0.321,Real,</t>
  </si>
  <si>
    <t>ES0031408323131005HX0F,2024/08/01,07:00,0.128,Real,</t>
  </si>
  <si>
    <t>ES0031408323131005HX0F,2024/08/01,08:00,0.071,Real,</t>
  </si>
  <si>
    <t>ES0031408323131005HX0F,2024/08/01,09:00,1.092,Real,</t>
  </si>
  <si>
    <t>ES0031408323131005HX0F,2024/08/01,10:00,0.206,Real,</t>
  </si>
  <si>
    <t>ES0031408323131005HX0F,2024/08/01,11:00,0.122,Real,</t>
  </si>
  <si>
    <t>ES0031408323131005HX0F,2024/08/01,12:00,0.124,Real,</t>
  </si>
  <si>
    <t>ES0031408323131005HX0F,2024/08/01,13:00,0.127,Real,</t>
  </si>
  <si>
    <t>ES0031408323131005HX0F,2024/08/01,14:00,0.515,Real,</t>
  </si>
  <si>
    <t>ES0031408323131005HX0F,2024/08/01,15:00,0.087,Real,</t>
  </si>
  <si>
    <t>ES0031408323131005HX0F,2024/08/01,16:00,0.064,Real,</t>
  </si>
  <si>
    <t>ES0031408323131005HX0F,2024/08/01,17:00,0.092,Real,</t>
  </si>
  <si>
    <t>ES0031408323131005HX0F,2024/08/01,18:00,0.059,Real,</t>
  </si>
  <si>
    <t>ES0031408323131005HX0F,2024/08/01,19:00,0.098,Real,</t>
  </si>
  <si>
    <t>ES0031408323131005HX0F,2024/08/01,20:00,0.085,Real,</t>
  </si>
  <si>
    <t>ES0031408323131005HX0F,2024/08/01,21:00,0.051,Real,</t>
  </si>
  <si>
    <t>ES0031408323131005HX0F,2024/08/01,22:00,0.098,Real,</t>
  </si>
  <si>
    <t>ES0031408323131005HX0F,2024/08/01,23:00,0.34,Real,</t>
  </si>
  <si>
    <t>ES0031408323131005HX0F,2024/08/01,24:00,0.096,Real,</t>
  </si>
  <si>
    <t>ES0031408323131005HX0F,2024/08/02,01:00,0.083,Real,</t>
  </si>
  <si>
    <t>ES0031408323131005HX0F,2024/08/02,02:00,0.052,Real,</t>
  </si>
  <si>
    <t>ES0031408323131005HX0F,2024/08/02,03:00,0.09,Real,</t>
  </si>
  <si>
    <t>ES0031408323131005HX0F,2024/08/02,04:00,0.054,Real,</t>
  </si>
  <si>
    <t>ES0031408323131005HX0F,2024/08/02,05:00,0.116,Real,</t>
  </si>
  <si>
    <t>ES0031408323131005HX0F,2024/08/02,06:00,0.12,Real,</t>
  </si>
  <si>
    <t>ES0031408323131005HX0F,2024/08/02,07:00,0.369,Real,</t>
  </si>
  <si>
    <t>ES0031408323131005HX0F,2024/08/02,08:00,0.054,Real,</t>
  </si>
  <si>
    <t>ES0031408323131005HX0F,2024/08/02,09:00,0.105,Real,</t>
  </si>
  <si>
    <t>ES0031408323131005HX0F,2024/08/02,10:00,0.083,Real,</t>
  </si>
  <si>
    <t>ES0031408323131005HX0F,2024/08/02,11:00,0.051,Real,</t>
  </si>
  <si>
    <t>ES0031408323131005HX0F,2024/08/02,12:00,0.091,Real,</t>
  </si>
  <si>
    <t>ES0031408323131005HX0F,2024/08/02,13:00,0.066,Real,</t>
  </si>
  <si>
    <t>ES0031408323131005HX0F,2024/08/02,14:00,0.112,Real,</t>
  </si>
  <si>
    <t>ES0031408323131005HX0F,2024/08/02,15:00,0.079,Real,</t>
  </si>
  <si>
    <t>ES0031408323131005HX0F,2024/08/02,16:00,0.338,Real,</t>
  </si>
  <si>
    <t>ES0031408323131005HX0F,2024/08/02,17:00,0.088,Real,</t>
  </si>
  <si>
    <t>ES0031408323131005HX0F,2024/08/02,18:00,0.08,Real,</t>
  </si>
  <si>
    <t>ES0031408323131005HX0F,2024/08/02,19:00,0.032,Real,</t>
  </si>
  <si>
    <t>ES0031408323131005HX0F,2024/08/02,20:00,0.048,Real,</t>
  </si>
  <si>
    <t>ES0031408323131005HX0F,2024/08/02,21:00,0.115,Real,</t>
  </si>
  <si>
    <t>ES0031408323131005HX0F,2024/08/02,22:00,0.074,Real,</t>
  </si>
  <si>
    <t>ES0031408323131005HX0F,2024/08/02,23:00,0.068,Real,</t>
  </si>
  <si>
    <t>ES0031408323131005HX0F,2024/08/02,24:00,0.011,Real,</t>
  </si>
  <si>
    <t>ES0031408323131005HX0F,2024/08/03,01:00,0.383,Real,</t>
  </si>
  <si>
    <t>ES0031408323131005HX0F,2024/08/03,02:00,0.09,Real,</t>
  </si>
  <si>
    <t>ES0031408323131005HX0F,2024/08/03,03:00,0.081,Real,</t>
  </si>
  <si>
    <t>ES0031408323131005HX0F,2024/08/03,04:00,0.039,Real,</t>
  </si>
  <si>
    <t>ES0031408323131005HX0F,2024/08/03,05:00,0.042,Real,</t>
  </si>
  <si>
    <t>ES0031408323131005HX0F,2024/08/03,06:00,0.116,Real,</t>
  </si>
  <si>
    <t>ES0031408323131005HX0F,2024/08/03,07:00,0.08,Real,</t>
  </si>
  <si>
    <t>ES0031408323131005HX0F,2024/08/03,08:00,0.067,Real,</t>
  </si>
  <si>
    <t>ES0031408323131005HX0F,2024/08/03,09:00,0.048,Real,</t>
  </si>
  <si>
    <t>ES0031408323131005HX0F,2024/08/03,10:00,0.324,Real,</t>
  </si>
  <si>
    <t>ES0031408323131005HX0F,2024/08/03,11:00,0.092,Real,</t>
  </si>
  <si>
    <t>ES0031408323131005HX0F,2024/08/03,12:00,0.077,Real,</t>
  </si>
  <si>
    <t>ES0031408323131005HX0F,2024/08/03,13:00,0.049,Real,</t>
  </si>
  <si>
    <t>ES0031408323131005HX0F,2024/08/03,14:00,0.052,Real,</t>
  </si>
  <si>
    <t>ES0031408323131005HX0F,2024/08/03,15:00,0.116,Real,</t>
  </si>
  <si>
    <t>ES0031408323131005HX0F,2024/08/03,16:00,0.077,Real,</t>
  </si>
  <si>
    <t>ES0031408323131005HX0F,2024/08/03,17:00,0.066,Real,</t>
  </si>
  <si>
    <t>ES0031408323131005HX0F,2024/08/03,18:00,0.298,Real,</t>
  </si>
  <si>
    <t>ES0031408323131005HX0F,2024/08/03,19:00,0.095,Real,</t>
  </si>
  <si>
    <t>ES0031408323131005HX0F,2024/08/03,20:00,0.089,Real,</t>
  </si>
  <si>
    <t>ES0031408323131005HX0F,2024/08/03,21:00,0.081,Real,</t>
  </si>
  <si>
    <t>ES0031408323131005HX0F,2024/08/03,22:00,0.036,Real,</t>
  </si>
  <si>
    <t>ES0031408323131005HX0F,2024/08/03,23:00,0.044,Real,</t>
  </si>
  <si>
    <t>ES0031408323131005HX0F,2024/08/03,24:00,0.116,Real,</t>
  </si>
  <si>
    <t>ES0031408323131005HX0F,2024/08/04,01:00,0.073,Real,</t>
  </si>
  <si>
    <t>ES0031408323131005HX0F,2024/08/04,02:00,0.325,Real,</t>
  </si>
  <si>
    <t>ES0031408323131005HX0F,2024/08/04,03:00,0.011,Real,</t>
  </si>
  <si>
    <t>ES0031408323131005HX0F,2024/08/04,04:00,0.1,Real,</t>
  </si>
  <si>
    <t>ES0031408323131005HX0F,2024/08/04,05:00,0.086,Real,</t>
  </si>
  <si>
    <t>ES0031408323131005HX0F,2024/08/04,06:00,0.084,Real,</t>
  </si>
  <si>
    <t>ES0031408323131005HX0F,2024/08/04,07:00,0.029,Real,</t>
  </si>
  <si>
    <t>ES0031408323131005HX0F,2024/08/04,08:00,0.053,Real,</t>
  </si>
  <si>
    <t>ES0031408323131005HX0F,2024/08/04,09:00,0.115,Real,</t>
  </si>
  <si>
    <t>ES0031408323131005HX0F,2024/08/04,10:00,0.356,Real,</t>
  </si>
  <si>
    <t>ES0031408323131005HX0F,2024/08/04,11:00,0.085,Real,</t>
  </si>
  <si>
    <t>ES0031408323131005HX0F,2024/08/04,12:00,0.083,Real,</t>
  </si>
  <si>
    <t>ES0031408323131005HX0F,2024/08/04,13:00,0.036,Real,</t>
  </si>
  <si>
    <t>ES0031408323131005HX0F,2024/08/04,14:00,0.067,Real,</t>
  </si>
  <si>
    <t>ES0031408323131005HX0F,2024/08/04,15:00,0.113,Real,</t>
  </si>
  <si>
    <t>ES0031408323131005HX0F,2024/08/04,16:00,0.062,Real,</t>
  </si>
  <si>
    <t>ES0031408323131005HX0F,2024/08/04,17:00,0.064,Real,</t>
  </si>
  <si>
    <t>ES0031408323131005HX0F,2024/08/04,18:00,0.039,Real,</t>
  </si>
  <si>
    <t>ES0031408323131005HX0F,2024/08/04,19:00,0.371,Real,</t>
  </si>
  <si>
    <t>ES0031408323131005HX0F,2024/08/04,20:00,0.085,Real,</t>
  </si>
  <si>
    <t>ES0031408323131005HX0F,2024/08/04,21:00,0.083,Real,</t>
  </si>
  <si>
    <t>ES0031408323131005HX0F,2024/08/04,22:00,0.012,Real,</t>
  </si>
  <si>
    <t>ES0031408323131005HX0F,2024/08/04,23:00,0.072,Real,</t>
  </si>
  <si>
    <t>ES0031408323131005HX0F,2024/08/04,24:00,0.111,Real,</t>
  </si>
  <si>
    <t>ES0031408323131005HX0F,2024/08/05,01:00,0.058,Real,</t>
  </si>
  <si>
    <t>ES0031408323131005HX0F,2024/08/05,02:00,0.056,Real,</t>
  </si>
  <si>
    <t>ES0031408323131005HX0F,2024/08/05,03:00,0.305,Real,</t>
  </si>
  <si>
    <t>ES0031408323131005HX0F,2024/08/05,04:00,0.118,Real,</t>
  </si>
  <si>
    <t>ES0031408323131005HX0F,2024/08/05,05:00,0.084,Real,</t>
  </si>
  <si>
    <t>ES0031408323131005HX0F,2024/08/05,06:00,0.076,Real,</t>
  </si>
  <si>
    <t>ES0031408323131005HX0F,2024/08/05,07:00,0.011,Real,</t>
  </si>
  <si>
    <t>ES0031408323131005HX0F,2024/08/05,08:00,0.082,Real,</t>
  </si>
  <si>
    <t>ES0031408323131005HX0F,2024/08/05,09:00,0.102,Real,</t>
  </si>
  <si>
    <t>ES0031408323131005HX0F,2024/08/05,10:00,0.067,Real,</t>
  </si>
  <si>
    <t>ES0031408323131005HX0F,2024/08/05,11:00,0.047,Real,</t>
  </si>
  <si>
    <t>ES0031408323131005HX0F,2024/08/05,12:00,0.305,Real,</t>
  </si>
  <si>
    <t>ES0031408323131005HX0F,2024/08/05,13:00,0.128,Real,</t>
  </si>
  <si>
    <t>ES0031408323131005HX0F,2024/08/05,14:00,0.091,Real,</t>
  </si>
  <si>
    <t>ES0031408323131005HX0F,2024/08/05,15:00,0.065,Real,</t>
  </si>
  <si>
    <t>ES0031408323131005HX0F,2024/08/05,16:00,0.011,Real,</t>
  </si>
  <si>
    <t>ES0031408323131005HX0F,2024/08/05,17:00,0.095,Real,</t>
  </si>
  <si>
    <t>ES0031408323131005HX0F,2024/08/05,18:00,0.088,Real,</t>
  </si>
  <si>
    <t>ES0031408323131005HX0F,2024/08/05,19:00,0.081,Real,</t>
  </si>
  <si>
    <t>ES0031408323131005HX0F,2024/08/05,20:00,0.314,Real,</t>
  </si>
  <si>
    <t>ES0031408323131005HX0F,2024/08/05,21:00,0.047,Real,</t>
  </si>
  <si>
    <t>ES0031408323131005HX0F,2024/08/05,22:00,0.115,Real,</t>
  </si>
  <si>
    <t>ES0031408323131005HX0F,2024/08/05,23:00,0.07,Real,</t>
  </si>
  <si>
    <t>ES0031408323131005HX0F,2024/08/05,24:00,0.067,Real,</t>
  </si>
  <si>
    <t>ES0031408323131005HX0F,2024/08/06,01:00,0.011,Real,</t>
  </si>
  <si>
    <t>ES0031408323131005HX0F,2024/08/06,02:00,0.106,Real,</t>
  </si>
  <si>
    <t>ES0031408323131005HX0F,2024/08/06,03:00,0.086,Real,</t>
  </si>
  <si>
    <t>ES0031408323131005HX0F,2024/08/06,04:00,0.082,Real,</t>
  </si>
  <si>
    <t>ES0031408323131005HX0F,2024/08/06,05:00,0.289,Real,</t>
  </si>
  <si>
    <t>ES0031408323131005HX0F,2024/08/06,06:00,0.051,Real,</t>
  </si>
  <si>
    <t>ES0031408323131005HX0F,2024/08/06,07:00,0.116,Real,</t>
  </si>
  <si>
    <t>ES0031408323131005HX0F,2024/08/06,08:00,0.069,Real,</t>
  </si>
  <si>
    <t>ES0031408323131005HX0F,2024/08/06,09:00,0.067,Real,</t>
  </si>
  <si>
    <t>ES0031408323131005HX0F,2024/08/06,10:00,0.011,Real,</t>
  </si>
  <si>
    <t>ES0031408323131005HX0F,2024/08/06,11:00,0.106,Real,</t>
  </si>
  <si>
    <t>ES0031408323131005HX0F,2024/08/06,12:00,0.086,Real,</t>
  </si>
  <si>
    <t>ES0031408323131005HX0F,2024/08/06,13:00,0.378,Real,</t>
  </si>
  <si>
    <t>ES0031408323131005HX0F,2024/08/06,14:00,0.032,Real,</t>
  </si>
  <si>
    <t>ES0031408323131005HX0F,2024/08/06,15:00,0.056,Real,</t>
  </si>
  <si>
    <t>ES0031408323131005HX0F,2024/08/06,16:00,0.118,Real,</t>
  </si>
  <si>
    <t>ES0031408323131005HX0F,2024/08/06,17:00,0.084,Real,</t>
  </si>
  <si>
    <t>ES0031408323131005HX0F,2024/08/06,18:00,0.085,Real,</t>
  </si>
  <si>
    <t>ES0031408323131005HX0F,2024/08/06,19:00,0.019,Real,</t>
  </si>
  <si>
    <t>ES0031408323131005HX0F,2024/08/06,20:00,0.061,Real,</t>
  </si>
  <si>
    <t>ES0031408323131005HX0F,2024/08/06,21:00,0.399,Real,</t>
  </si>
  <si>
    <t>ES0031408323131005HX0F,2024/08/06,22:00,0.065,Real,</t>
  </si>
  <si>
    <t>ES0031408323131005HX0F,2024/08/06,23:00,0.069,Real,</t>
  </si>
  <si>
    <t>ES0031408323131005HX0F,2024/08/06,24:00,0.011,Real,</t>
  </si>
  <si>
    <t>ES0031408323131005HX0F,2024/08/07,01:00,0.107,Real,</t>
  </si>
  <si>
    <t>ES0031408323131005HX0F,2024/08/07,02:00,0.086,Real,</t>
  </si>
  <si>
    <t>ES0031408323131005HX0F,2024/08/07,03:00,0.086,Real,</t>
  </si>
  <si>
    <t>ES0031408323131005HX0F,2024/08/07,04:00,0.031,Real,</t>
  </si>
  <si>
    <t>ES0031408323131005HX0F,2024/08/07,05:00,0.05,Real,</t>
  </si>
  <si>
    <t>ES0031408323131005HX0F,2024/08/07,06:00,0.402,Real,</t>
  </si>
  <si>
    <t>ES0031408323131005HX0F,2024/08/07,07:00,0.076,Real,</t>
  </si>
  <si>
    <t>ES0031408323131005HX0F,2024/08/07,08:00,0.071,Real,</t>
  </si>
  <si>
    <t>ES0031408323131005HX0F,2024/08/07,09:00,0.011,Real,</t>
  </si>
  <si>
    <t>ES0031408323131005HX0F,2024/08/07,10:00,0.098,Real,</t>
  </si>
  <si>
    <t>ES0031408323131005HX0F,2024/08/07,11:00,0.092,Real,</t>
  </si>
  <si>
    <t>ES0031408323131005HX0F,2024/08/07,12:00,0.077,Real,</t>
  </si>
  <si>
    <t>ES0031408323131005HX0F,2024/08/07,13:00,0.054,Real,</t>
  </si>
  <si>
    <t>ES0031408323131005HX0F,2024/08/07,14:00,0.051,Real,</t>
  </si>
  <si>
    <t>ES0031408323131005HX0F,2024/08/07,15:00,0.377,Real,</t>
  </si>
  <si>
    <t>ES0031408323131005HX0F,2024/08/07,16:00,0.082,Real,</t>
  </si>
  <si>
    <t>ES0031408323131005HX0F,2024/08/07,17:00,0.074,Real,</t>
  </si>
  <si>
    <t>ES0031408323131005HX0F,2024/08/07,18:00,0.011,Real,</t>
  </si>
  <si>
    <t>ES0031408323131005HX0F,2024/08/07,19:00,0.084,Real,</t>
  </si>
  <si>
    <t>ES0031408323131005HX0F,2024/08/07,20:00,0.109,Real,</t>
  </si>
  <si>
    <t>ES0031408323131005HX0F,2024/08/07,21:00,0.06,Real,</t>
  </si>
  <si>
    <t>ES0031408323131005HX0F,2024/08/07,22:00,0.066,Real,</t>
  </si>
  <si>
    <t>ES0031408323131005HX0F,2024/08/07,23:00,0.289,Real,</t>
  </si>
  <si>
    <t>ES0031408323131005HX0F,2024/08/07,24:00,0.119,Real,</t>
  </si>
  <si>
    <t>ES0031408323131005HX0F,2024/08/08,01:00,0.085,Real,</t>
  </si>
  <si>
    <t>ES0031408323131005HX0F,2024/08/08,02:00,0.084,Real,</t>
  </si>
  <si>
    <t>ES0031408323131005HX0F,2024/08/08,03:00,0.024,Real,</t>
  </si>
  <si>
    <t>ES0031408323131005HX0F,2024/08/08,04:00,0.059,Real,</t>
  </si>
  <si>
    <t>ES0031408323131005HX0F,2024/08/08,05:00,0.115,Real,</t>
  </si>
  <si>
    <t>ES0031408323131005HX0F,2024/08/08,06:00,0.068,Real,</t>
  </si>
  <si>
    <t>ES0031408323131005HX0F,2024/08/08,07:00,0.069,Real,</t>
  </si>
  <si>
    <t>ES0031408323131005HX0F,2024/08/08,08:00,0.285,Real,</t>
  </si>
  <si>
    <t>ES0031408323131005HX0F,2024/08/08,09:00,0.107,Real,</t>
  </si>
  <si>
    <t>ES0031408323131005HX0F,2024/08/08,10:00,0.085,Real,</t>
  </si>
  <si>
    <t>ES0031408323131005HX0F,2024/08/08,11:00,0.084,Real,</t>
  </si>
  <si>
    <t>ES0031408323131005HX0F,2024/08/08,12:00,0.032,Real,</t>
  </si>
  <si>
    <t>ES0031408323131005HX0F,2024/08/08,13:00,0.062,Real,</t>
  </si>
  <si>
    <t>ES0031408323131005HX0F,2024/08/08,14:00,0.125,Real,</t>
  </si>
  <si>
    <t>ES0031408323131005HX0F,2024/08/08,15:00,0.072,Real,</t>
  </si>
  <si>
    <t>ES0031408323131005HX0F,2024/08/08,16:00,0.355,Real,</t>
  </si>
  <si>
    <t>ES0031408323131005HX0F,2024/08/08,17:00,0.011,Real,</t>
  </si>
  <si>
    <t>ES0031408323131005HX0F,2024/08/08,18:00,0.102,Real,</t>
  </si>
  <si>
    <t>ES0031408323131005HX0F,2024/08/08,19:00,0.089,Real,</t>
  </si>
  <si>
    <t>ES0031408323131005HX0F,2024/08/08,20:00,0.086,Real,</t>
  </si>
  <si>
    <t>ES0031408323131005HX0F,2024/08/08,21:00,0.013,Real,</t>
  </si>
  <si>
    <t>ES0031408323131005HX0F,2024/08/08,22:00,0.098,Real,</t>
  </si>
  <si>
    <t>ES0031408323131005HX0F,2024/08/08,23:00,0.112,Real,</t>
  </si>
  <si>
    <t>ES0031408323131005HX0F,2024/08/08,24:00,0.063,Real,</t>
  </si>
  <si>
    <t>ES0031408323131005HX0F,2024/08/09,01:00,0.35,Real,</t>
  </si>
  <si>
    <t>ES0031408323131005HX0F,2024/08/09,02:00,0.014,Real,</t>
  </si>
  <si>
    <t>ES0031408323131005HX0F,2024/08/09,03:00,0.117,Real,</t>
  </si>
  <si>
    <t>ES0031408323131005HX0F,2024/08/09,04:00,0.086,Real,</t>
  </si>
  <si>
    <t>ES0031408323131005HX0F,2024/08/09,05:00,0.085,Real,</t>
  </si>
  <si>
    <t>ES0031408323131005HX0F,2024/08/09,06:00,0.028,Real,</t>
  </si>
  <si>
    <t>ES0031408323131005HX0F,2024/08/09,07:00,0.058,Real,</t>
  </si>
  <si>
    <t>ES0031408323131005HX0F,2024/08/09,08:00,0.115,Real,</t>
  </si>
  <si>
    <t>ES0031408323131005HX0F,2024/08/09,09:00,0.07,Real,</t>
  </si>
  <si>
    <t>ES0031408323131005HX0F,2024/08/09,10:00,0.33,Real,</t>
  </si>
  <si>
    <t>ES0031408323131005HX0F,2024/08/09,11:00,0.019,Real,</t>
  </si>
  <si>
    <t>ES0031408323131005HX0F,2024/08/09,12:00,0.568,Real,</t>
  </si>
  <si>
    <t>ES0031408323131005HX0F,2024/08/09,13:00,0.73,Real,</t>
  </si>
  <si>
    <t>ES0031408323131005HX0F,2024/08/09,14:00,0.181,Real,</t>
  </si>
  <si>
    <t>ES0031408323131005HX0F,2024/08/09,15:00,2.757,Real,</t>
  </si>
  <si>
    <t>ES0031408323131005HX0F,2024/08/09,16:00,2.731,Real,</t>
  </si>
  <si>
    <t>ES0031408323131005HX0F,2024/08/09,17:00,2.521,Real,</t>
  </si>
  <si>
    <t>ES0031408323131005HX0F,2024/08/09,18:00,2.278,Real,</t>
  </si>
  <si>
    <t>ES0031408323131005HX0F,2024/08/09,19:00,1.981,Real,</t>
  </si>
  <si>
    <t>ES0031408323131005HX0F,2024/08/09,20:00,0.224,Real,</t>
  </si>
  <si>
    <t>ES0031408323131005HX0F,2024/08/09,21:00,0.117,Real,</t>
  </si>
  <si>
    <t>ES0031408323131005HX0F,2024/08/09,22:00,1.024,Real,</t>
  </si>
  <si>
    <t>ES0031408323131005HX0F,2024/08/09,23:00,1.312,Real,</t>
  </si>
  <si>
    <t>ES0031408323131005HX0F,2024/08/09,24:00,2.058,Real,</t>
  </si>
  <si>
    <t>ES0031408323131005HX0F,2024/08/10,01:00,1.007,Real,</t>
  </si>
  <si>
    <t>ES0031408323131005HX0F,2024/08/10,02:00,0.954,Real,</t>
  </si>
  <si>
    <t>ES0031408323131005HX0F,2024/08/10,03:00,0.688,Real,</t>
  </si>
  <si>
    <t>ES0031408323131005HX0F,2024/08/10,04:00,0.689,Real,</t>
  </si>
  <si>
    <t>ES0031408323131005HX0F,2024/08/10,05:00,0.489,Real,</t>
  </si>
  <si>
    <t>ES0031408323131005HX0F,2024/08/10,06:00,0.12,Real,</t>
  </si>
  <si>
    <t>ES0031408323131005HX0F,2024/08/10,07:00,0.117,Real,</t>
  </si>
  <si>
    <t>ES0031408323131005HX0F,2024/08/10,08:00,0.139,Real,</t>
  </si>
  <si>
    <t>ES0031408323131005HX0F,2024/08/10,09:00,0.508,Real,</t>
  </si>
  <si>
    <t>ES0031408323131005HX0F,2024/08/10,10:00,0.699,Real,</t>
  </si>
  <si>
    <t>ES0031408323131005HX0F,2024/08/10,11:00,0.599,Real,</t>
  </si>
  <si>
    <t>ES0031408323131005HX0F,2024/08/10,12:00,0.48,Real,</t>
  </si>
  <si>
    <t>ES0031408323131005HX0F,2024/08/10,13:00,0.405,Real,</t>
  </si>
  <si>
    <t>ES0031408323131005HX0F,2024/08/10,14:00,0.136,Real,</t>
  </si>
  <si>
    <t>ES0031408323131005HX0F,2024/08/10,15:00,0.12,Real,</t>
  </si>
  <si>
    <t>ES0031408323131005HX0F,2024/08/10,16:00,0.572,Real,</t>
  </si>
  <si>
    <t>ES0031408323131005HX0F,2024/08/10,17:00,3.096,Real,</t>
  </si>
  <si>
    <t>ES0031408323131005HX0F,2024/08/10,18:00,2.637,Real,</t>
  </si>
  <si>
    <t>ES0031408323131005HX0F,2024/08/10,19:00,1.747,Real,</t>
  </si>
  <si>
    <t>ES0031408323131005HX0F,2024/08/10,20:00,0.156,Real,</t>
  </si>
  <si>
    <t>ES0031408323131005HX0F,2024/08/10,21:00,1.2,Real,</t>
  </si>
  <si>
    <t>ES0031408323131005HX0F,2024/08/10,22:00,0.954,Real,</t>
  </si>
  <si>
    <t>ES0031408323131005HX0F,2024/08/10,23:00,0.14,Real,</t>
  </si>
  <si>
    <t>ES0031408323131005HX0F,2024/08/10,24:00,1.049,Real,</t>
  </si>
  <si>
    <t>ES0031408323131005HX0F,2024/08/11,01:00,0.137,Real,</t>
  </si>
  <si>
    <t>ES0031408323131005HX0F,2024/08/11,02:00,0.135,Real,</t>
  </si>
  <si>
    <t>ES0031408323131005HX0F,2024/08/11,03:00,0.133,Real,</t>
  </si>
  <si>
    <t>ES0031408323131005HX0F,2024/08/11,04:00,0.109,Real,</t>
  </si>
  <si>
    <t>ES0031408323131005HX0F,2024/08/11,05:00,0.237,Real,</t>
  </si>
  <si>
    <t>ES0031408323131005HX0F,2024/08/11,06:00,0.213,Real,</t>
  </si>
  <si>
    <t>ES0031408323131005HX0F,2024/08/11,07:00,0.14,Real,</t>
  </si>
  <si>
    <t>ES0031408323131005HX0F,2024/08/11,08:00,0.164,Real,</t>
  </si>
  <si>
    <t>ES0031408323131005HX0F,2024/08/11,09:00,0.235,Real,</t>
  </si>
  <si>
    <t>ES0031408323131005HX0F,2024/08/11,10:00,0.604,Real,</t>
  </si>
  <si>
    <t>ES0031408323131005HX0F,2024/08/11,11:00,0.968,Real,</t>
  </si>
  <si>
    <t>ES0031408323131005HX0F,2024/08/11,12:00,0.925,Real,</t>
  </si>
  <si>
    <t>ES0031408323131005HX0F,2024/08/11,13:00,0.137,Real,</t>
  </si>
  <si>
    <t>ES0031408323131005HX0F,2024/08/11,14:00,0.374,Real,</t>
  </si>
  <si>
    <t>ES0031408323131005HX0F,2024/08/11,15:00,0.081,Real,</t>
  </si>
  <si>
    <t>ES0031408323131005HX0F,2024/08/11,16:00,0.131,Real,</t>
  </si>
  <si>
    <t>ES0031408323131005HX0F,2024/08/11,17:00,1.078,Real,</t>
  </si>
  <si>
    <t>ES0031408323131005HX0F,2024/08/11,18:00,2.32,Real,</t>
  </si>
  <si>
    <t>ES0031408323131005HX0F,2024/08/11,19:00,2.196,Real,</t>
  </si>
  <si>
    <t>ES0031408323131005HX0F,2024/08/11,20:00,0.887,Real,</t>
  </si>
  <si>
    <t>ES0031408323131005HX0F,2024/08/11,21:00,1.15,Real,</t>
  </si>
  <si>
    <t>ES0031408323131005HX0F,2024/08/11,22:00,0.33,Real,</t>
  </si>
  <si>
    <t>ES0031408323131005HX0F,2024/08/11,23:00,1.982,Real,</t>
  </si>
  <si>
    <t>ES0031408323131005HX0F,2024/08/11,24:00,0.271,Real,</t>
  </si>
  <si>
    <t>ES0031408323131005HX0F,2024/08/12,01:00,0.242,Real,</t>
  </si>
  <si>
    <t>ES0031408323131005HX0F,2024/08/12,02:00,0.136,Real,</t>
  </si>
  <si>
    <t>ES0031408323131005HX0F,2024/08/12,03:00,0.134,Real,</t>
  </si>
  <si>
    <t>ES0031408323131005HX0F,2024/08/12,04:00,0.516,Real,</t>
  </si>
  <si>
    <t>ES0031408323131005HX0F,2024/08/12,05:00,0.132,Real,</t>
  </si>
  <si>
    <t>ES0031408323131005HX0F,2024/08/12,06:00,0.129,Real,</t>
  </si>
  <si>
    <t>ES0031408323131005HX0F,2024/08/12,07:00,0.136,Real,</t>
  </si>
  <si>
    <t>ES0031408323131005HX0F,2024/08/12,08:00,0.252,Real,</t>
  </si>
  <si>
    <t>ES0031408323131005HX0F,2024/08/12,09:00,0.258,Real,</t>
  </si>
  <si>
    <t>ES0031408323131005HX0F,2024/08/12,10:00,0.163,Real,</t>
  </si>
  <si>
    <t>ES0031408323131005HX0F,2024/08/12,11:00,0.847,Real,</t>
  </si>
  <si>
    <t>ES0031408323131005HX0F,2024/08/12,12:00,3.578,Real,</t>
  </si>
  <si>
    <t>ES0031408323131005HX0F,2024/08/12,13:00,3.429,Real,</t>
  </si>
  <si>
    <t>ES0031408323131005HX0F,2024/08/12,14:00,1.808,Real,</t>
  </si>
  <si>
    <t>ES0031408323131005HX0F,2024/08/12,15:00,2.101,Real,</t>
  </si>
  <si>
    <t>ES0031408323131005HX0F,2024/08/12,16:00,2.06,Real,</t>
  </si>
  <si>
    <t>ES0031408323131005HX0F,2024/08/12,17:00,1.62,Real,</t>
  </si>
  <si>
    <t>ES0031408323131005HX0F,2024/08/12,18:00,1.383,Real,</t>
  </si>
  <si>
    <t>ES0031408323131005HX0F,2024/08/12,19:00,2.442,Real,</t>
  </si>
  <si>
    <t>ES0031408323131005HX0F,2024/08/12,20:00,0.192,Real,</t>
  </si>
  <si>
    <t>ES0031408323131005HX0F,2024/08/12,21:00,0.384,Real,</t>
  </si>
  <si>
    <t>ES0031408323131005HX0F,2024/08/12,22:00,0.143,Real,</t>
  </si>
  <si>
    <t>ES0031408323131005HX0F,2024/08/12,23:00,1.762,Real,</t>
  </si>
  <si>
    <t>ES0031408323131005HX0F,2024/08/12,24:00,0.147,Real,</t>
  </si>
  <si>
    <t>ES0031408323131005HX0F,2024/08/13,01:00,1.208,Real,</t>
  </si>
  <si>
    <t>ES0031408323131005HX0F,2024/08/13,02:00,0.141,Real,</t>
  </si>
  <si>
    <t>ES0031408323131005HX0F,2024/08/13,03:00,0.14,Real,</t>
  </si>
  <si>
    <t>ES0031408323131005HX0F,2024/08/13,04:00,0.12,Real,</t>
  </si>
  <si>
    <t>ES0031408323131005HX0F,2024/08/13,05:00,0.307,Real,</t>
  </si>
  <si>
    <t>ES0031408323131005HX0F,2024/08/13,06:00,0.136,Real,</t>
  </si>
  <si>
    <t>ES0031408323131005HX0F,2024/08/13,07:00,0.167,Real,</t>
  </si>
  <si>
    <t>ES0031408323131005HX0F,2024/08/13,08:00,0.131,Real,</t>
  </si>
  <si>
    <t>ES0031408323131005HX0F,2024/08/13,09:00,0.379,Real,</t>
  </si>
  <si>
    <t>ES0031408323131005HX0F,2024/08/13,10:00,0.19,Real,</t>
  </si>
  <si>
    <t>ES0031408323131005HX0F,2024/08/13,11:00,0.229,Real,</t>
  </si>
  <si>
    <t>ES0031408323131005HX0F,2024/08/13,12:00,2.15,Real,</t>
  </si>
  <si>
    <t>ES0031408323131005HX0F,2024/08/13,13:00,2.92,Real,</t>
  </si>
  <si>
    <t>ES0031408323131005HX0F,2024/08/13,14:00,2.608,Real,</t>
  </si>
  <si>
    <t>ES0031408323131005HX0F,2024/08/13,15:00,1.68,Real,</t>
  </si>
  <si>
    <t>ES0031408323131005HX0F,2024/08/13,16:00,1.786,Real,</t>
  </si>
  <si>
    <t>ES0031408323131005HX0F,2024/08/13,17:00,0.695,Real,</t>
  </si>
  <si>
    <t>ES0031408323131005HX0F,2024/08/13,18:00,0.714,Real,</t>
  </si>
  <si>
    <t>ES0031408323131005HX0F,2024/08/13,19:00,0.172,Real,</t>
  </si>
  <si>
    <t>ES0031408323131005HX0F,2024/08/13,20:00,0.167,Real,</t>
  </si>
  <si>
    <t>ES0031408323131005HX0F,2024/08/13,21:00,1.118,Real,</t>
  </si>
  <si>
    <t>ES0031408323131005HX0F,2024/08/13,22:00,0.761,Real,</t>
  </si>
  <si>
    <t>ES0031408323131005HX0F,2024/08/13,23:00,0.121,Real,</t>
  </si>
  <si>
    <t>ES0031408323131005HX0F,2024/08/13,24:00,0.101,Real,</t>
  </si>
  <si>
    <t>ES0031408323131005HX0F,2024/08/14,01:00,0.374,Real,</t>
  </si>
  <si>
    <t>ES0031408323131005HX0F,2024/08/14,02:00,0.141,Real,</t>
  </si>
  <si>
    <t>ES0031408323131005HX0F,2024/08/14,03:00,0.131,Real,</t>
  </si>
  <si>
    <t>ES0031408323131005HX0F,2024/08/14,04:00,0.128,Real,</t>
  </si>
  <si>
    <t>ES0031408323131005HX0F,2024/08/14,05:00,0.132,Real,</t>
  </si>
  <si>
    <t>ES0031408323131005HX0F,2024/08/14,06:00,0.435,Real,</t>
  </si>
  <si>
    <t>ES0031408323131005HX0F,2024/08/14,07:00,0.128,Real,</t>
  </si>
  <si>
    <t>ES0031408323131005HX0F,2024/08/14,08:00,1.212,Real,</t>
  </si>
  <si>
    <t>ES0031408323131005HX0F,2024/08/14,09:00,0.284,Real,</t>
  </si>
  <si>
    <t>ES0031408323131005HX0F,2024/08/14,10:00,0.544,Real,</t>
  </si>
  <si>
    <t>ES0031408323131005HX0F,2024/08/14,11:00,0.149,Real,</t>
  </si>
  <si>
    <t>ES0031408323131005HX0F,2024/08/14,12:00,0.167,Real,</t>
  </si>
  <si>
    <t>ES0031408323131005HX0F,2024/08/14,13:00,0.139,Real,</t>
  </si>
  <si>
    <t>ES0031408323131005HX0F,2024/08/14,14:00,0.184,Real,</t>
  </si>
  <si>
    <t>ES0031408323131005HX0F,2024/08/14,15:00,0.126,Real,</t>
  </si>
  <si>
    <t>ES0031408323131005HX0F,2024/08/14,16:00,0.126,Real,</t>
  </si>
  <si>
    <t>ES0031408323131005HX0F,2024/08/14,17:00,0.123,Real,</t>
  </si>
  <si>
    <t>ES0031408323131005HX0F,2024/08/14,18:00,0.324,Real,</t>
  </si>
  <si>
    <t>ES0031408323131005HX0F,2024/08/14,19:00,0.458,Real,</t>
  </si>
  <si>
    <t>ES0031408323131005HX0F,2024/08/14,20:00,0.122,Real,</t>
  </si>
  <si>
    <t>ES0031408323131005HX0F,2024/08/14,21:00,1.687,Real,</t>
  </si>
  <si>
    <t>ES0031408323131005HX0F,2024/08/14,22:00,0.119,Real,</t>
  </si>
  <si>
    <t>ES0031408323131005HX0F,2024/08/14,23:00,0.119,Real,</t>
  </si>
  <si>
    <t>ES0031408323131005HX0F,2024/08/14,24:00,1.341,Real,</t>
  </si>
  <si>
    <t>ES0031408323131005HX0F,2024/08/15,01:00,0.148,Real,</t>
  </si>
  <si>
    <t>ES0031408323131005HX0F,2024/08/15,02:00,0.128,Real,</t>
  </si>
  <si>
    <t>ES0031408323131005HX0F,2024/08/15,03:00,0.399,Real,</t>
  </si>
  <si>
    <t>ES0031408323131005HX0F,2024/08/15,04:00,0.045,Real,</t>
  </si>
  <si>
    <t>ES0031408323131005HX0F,2024/08/15,05:00,0.054,Real,</t>
  </si>
  <si>
    <t>ES0031408323131005HX0F,2024/08/15,06:00,0.127,Real,</t>
  </si>
  <si>
    <t>ES0031408323131005HX0F,2024/08/15,07:00,0.122,Real,</t>
  </si>
  <si>
    <t>ES0031408323131005HX0F,2024/08/15,08:00,0.12,Real,</t>
  </si>
  <si>
    <t>ES0031408323131005HX0F,2024/08/15,09:00,0.248,Real,</t>
  </si>
  <si>
    <t>ES0031408323131005HX0F,2024/08/15,10:00,0.305,Real,</t>
  </si>
  <si>
    <t>ES0031408323131005HX0F,2024/08/15,11:00,0.274,Real,</t>
  </si>
  <si>
    <t>ES0031408323131005HX0F,2024/08/15,12:00,0.232,Real,</t>
  </si>
  <si>
    <t>ES0031408323131005HX0F,2024/08/15,13:00,1.527,Real,</t>
  </si>
  <si>
    <t>ES0031408323131005HX0F,2024/08/15,14:00,0.996,Real,</t>
  </si>
  <si>
    <t>ES0031408323131005HX0F,2024/08/15,15:00,0.025,Real,</t>
  </si>
  <si>
    <t>ES0031408323131005HX0F,2024/08/15,16:00,0.053,Real,</t>
  </si>
  <si>
    <t>ES0031408323131005HX0F,2024/08/15,17:00,1.323,Real,</t>
  </si>
  <si>
    <t>ES0031408323131005HX0F,2024/08/15,18:00,0.132,Real,</t>
  </si>
  <si>
    <t>ES0031408323131005HX0F,2024/08/15,19:00,0.125,Real,</t>
  </si>
  <si>
    <t>ES0031408323131005HX0F,2024/08/15,20:00,0.405,Real,</t>
  </si>
  <si>
    <t>ES0031408323131005HX0F,2024/08/15,21:00,0.541,Real,</t>
  </si>
  <si>
    <t>ES0031408323131005HX0F,2024/08/15,22:00,0.459,Real,</t>
  </si>
  <si>
    <t>ES0031408323131005HX0F,2024/08/15,23:00,0.121,Real,</t>
  </si>
  <si>
    <t>ES0031408323131005HX0F,2024/08/15,24:00,0.071,Real,</t>
  </si>
  <si>
    <t>ES0031408323131005HX0F,2024/08/16,01:00,0.25,Real,</t>
  </si>
  <si>
    <t>ES0031408323131005HX0F,2024/08/16,02:00,0.094,Real,</t>
  </si>
  <si>
    <t>ES0031408323131005HX0F,2024/08/16,03:00,0.129,Real,</t>
  </si>
  <si>
    <t>ES0031408323131005HX0F,2024/08/16,04:00,0.124,Real,</t>
  </si>
  <si>
    <t>ES0031408323131005HX0F,2024/08/16,05:00,0.388,Real,</t>
  </si>
  <si>
    <t>ES0031408323131005HX0F,2024/08/16,06:00,0.139,Real,</t>
  </si>
  <si>
    <t>ES0031408323131005HX0F,2024/08/16,07:00,0.133,Real,</t>
  </si>
  <si>
    <t>ES0031408323131005HX0F,2024/08/16,08:00,0.124,Real,</t>
  </si>
  <si>
    <t>ES0031408323131005HX0F,2024/08/16,09:00,0.097,Real,</t>
  </si>
  <si>
    <t>ES0031408323131005HX0F,2024/08/16,10:00,0.356,Real,</t>
  </si>
  <si>
    <t>ES0031408323131005HX0F,2024/08/16,11:00,0.065,Real,</t>
  </si>
  <si>
    <t>ES0031408323131005HX0F,2024/08/16,12:00,0.085,Real,</t>
  </si>
  <si>
    <t>ES0031408323131005HX0F,2024/08/16,13:00,0.405,Real,</t>
  </si>
  <si>
    <t>ES0031408323131005HX0F,2024/08/16,14:00,0.133,Real,</t>
  </si>
  <si>
    <t>ES0031408323131005HX0F,2024/08/16,15:00,0.121,Real,</t>
  </si>
  <si>
    <t>ES0031408323131005HX0F,2024/08/16,16:00,0.12,Real,</t>
  </si>
  <si>
    <t>ES0031408323131005HX0F,2024/08/16,17:00,0.075,Real,</t>
  </si>
  <si>
    <t>ES0031408323131005HX0F,2024/08/16,18:00,0.129,Real,</t>
  </si>
  <si>
    <t>ES0031408323131005HX0F,2024/08/16,19:00,0.087,Real,</t>
  </si>
  <si>
    <t>ES0031408323131005HX0F,2024/08/16,20:00,0.031,Real,</t>
  </si>
  <si>
    <t>ES0031408323131005HX0F,2024/08/16,21:00,0.408,Real,</t>
  </si>
  <si>
    <t>ES0031408323131005HX0F,2024/08/16,22:00,0.151,Real,</t>
  </si>
  <si>
    <t>ES0031408323131005HX0F,2024/08/16,23:00,0.485,Real,</t>
  </si>
  <si>
    <t>ES0031408323131005HX0F,2024/08/16,24:00,0.157,Real,</t>
  </si>
  <si>
    <t>ES0031408323131005HX0F,2024/08/17,01:00,0.134,Real,</t>
  </si>
  <si>
    <t>ES0031408323131005HX0F,2024/08/17,02:00,0.123,Real,</t>
  </si>
  <si>
    <t>ES0031408323131005HX0F,2024/08/17,03:00,0.122,Real,</t>
  </si>
  <si>
    <t>ES0031408323131005HX0F,2024/08/17,04:00,0.122,Real,</t>
  </si>
  <si>
    <t>ES0031408323131005HX0F,2024/08/17,05:00,0.404,Real,</t>
  </si>
  <si>
    <t>ES0031408323131005HX0F,2024/08/17,06:00,0.038,Real,</t>
  </si>
  <si>
    <t>ES0031408323131005HX0F,2024/08/17,07:00,0.029,Real,</t>
  </si>
  <si>
    <t>ES0031408323131005HX0F,2024/08/17,08:00,0.147,Real,</t>
  </si>
  <si>
    <t>ES0031408323131005HX0F,2024/08/17,09:00,0.262,Real,</t>
  </si>
  <si>
    <t>ES0031408323131005HX0F,2024/08/17,10:00,0.161,Real,</t>
  </si>
  <si>
    <t>ES0031408323131005HX0F,2024/08/17,11:00,0.14,Real,</t>
  </si>
  <si>
    <t>ES0031408323131005HX0F,2024/08/17,12:00,0.136,Real,</t>
  </si>
  <si>
    <t>ES0031408323131005HX0F,2024/08/17,13:00,0.142,Real,</t>
  </si>
  <si>
    <t>ES0031408323131005HX0F,2024/08/17,14:00,0.42,Real,</t>
  </si>
  <si>
    <t>ES0031408323131005HX0F,2024/08/17,15:00,0.122,Real,</t>
  </si>
  <si>
    <t>ES0031408323131005HX0F,2024/08/17,16:00,0.11,Real,</t>
  </si>
  <si>
    <t>ES0031408323131005HX0F,2024/08/17,17:00,1.891,Real,</t>
  </si>
  <si>
    <t>ES0031408323131005HX0F,2024/08/17,18:00,1.811,Real,</t>
  </si>
  <si>
    <t>ES0031408323131005HX0F,2024/08/17,19:00,0.154,Real,</t>
  </si>
  <si>
    <t>ES0031408323131005HX0F,2024/08/17,20:00,0.132,Real,</t>
  </si>
  <si>
    <t>ES0031408323131005HX0F,2024/08/17,21:00,0.138,Real,</t>
  </si>
  <si>
    <t>ES0031408323131005HX0F,2024/08/17,22:00,0.636,Real,</t>
  </si>
  <si>
    <t>ES0031408323131005HX0F,2024/08/17,23:00,1.364,Real,</t>
  </si>
  <si>
    <t>ES0031408323131005HX0F,2024/08/17,24:00,0.349,Real,</t>
  </si>
  <si>
    <t>ES0031408323131005HX0F,2024/08/18,01:00,0.215,Real,</t>
  </si>
  <si>
    <t>ES0031408323131005HX0F,2024/08/18,02:00,0.112,Real,</t>
  </si>
  <si>
    <t>ES0031408323131005HX0F,2024/08/18,03:00,0.078,Real,</t>
  </si>
  <si>
    <t>ES0031408323131005HX0F,2024/08/18,04:00,0.131,Real,</t>
  </si>
  <si>
    <t>ES0031408323131005HX0F,2024/08/18,05:00,0.126,Real,</t>
  </si>
  <si>
    <t>ES0031408323131005HX0F,2024/08/18,06:00,0.126,Real,</t>
  </si>
  <si>
    <t>ES0031408323131005HX0F,2024/08/18,07:00,0.393,Real,</t>
  </si>
  <si>
    <t>ES0031408323131005HX0F,2024/08/18,08:00,0.097,Real,</t>
  </si>
  <si>
    <t>ES0031408323131005HX0F,2024/08/18,09:00,0.365,Real,</t>
  </si>
  <si>
    <t>ES0031408323131005HX0F,2024/08/18,10:00,0.83,Real,</t>
  </si>
  <si>
    <t>ES0031408323131005HX0F,2024/08/18,11:00,0.534,Real,</t>
  </si>
  <si>
    <t>ES0031408323131005HX0F,2024/08/18,12:00,0.057,Real,</t>
  </si>
  <si>
    <t>ES0031408323131005HX0F,2024/08/18,13:00,0.064,Real,</t>
  </si>
  <si>
    <t>ES0031408323131005HX0F,2024/08/18,14:00,0.132,Real,</t>
  </si>
  <si>
    <t>ES0031408323131005HX0F,2024/08/18,15:00,0.119,Real,</t>
  </si>
  <si>
    <t>ES0031408323131005HX0F,2024/08/18,16:00,0.12,Real,</t>
  </si>
  <si>
    <t>ES0031408323131005HX0F,2024/08/18,17:00,0.135,Real,</t>
  </si>
  <si>
    <t>ES0031408323131005HX0F,2024/08/18,18:00,0.121,Real,</t>
  </si>
  <si>
    <t>ES0031408323131005HX0F,2024/08/18,19:00,0.258,Real,</t>
  </si>
  <si>
    <t>ES0031408323131005HX0F,2024/08/18,20:00,0.253,Real,</t>
  </si>
  <si>
    <t>ES0031408323131005HX0F,2024/08/18,21:00,0.086,Real,</t>
  </si>
  <si>
    <t>ES0031408323131005HX0F,2024/08/18,22:00,0.075,Real,</t>
  </si>
  <si>
    <t>ES0031408323131005HX0F,2024/08/18,23:00,0.024,Real,</t>
  </si>
  <si>
    <t>ES0031408323131005HX0F,2024/08/18,24:00,0.092,Real,</t>
  </si>
  <si>
    <t>ES0031408323131005HX0F,2024/08/19,01:00,0.121,Real,</t>
  </si>
  <si>
    <t>ES0031408323131005HX0F,2024/08/19,02:00,0.12,Real,</t>
  </si>
  <si>
    <t>ES0031408323131005HX0F,2024/08/19,03:00,0.119,Real,</t>
  </si>
  <si>
    <t>ES0031408323131005HX0F,2024/08/19,04:00,0.38,Real,</t>
  </si>
  <si>
    <t>ES0031408323131005HX0F,2024/08/19,05:00,0.052,Real,</t>
  </si>
  <si>
    <t>ES0031408323131005HX0F,2024/08/19,06:00,0.024,Real,</t>
  </si>
  <si>
    <t>ES0031408323131005HX0F,2024/08/19,07:00,0.114,Real,</t>
  </si>
  <si>
    <t>ES0031408323131005HX0F,2024/08/19,08:00,0.121,Real,</t>
  </si>
  <si>
    <t>ES0031408323131005HX0F,2024/08/19,09:00,0.133,Real,</t>
  </si>
  <si>
    <t>ES0031408323131005HX0F,2024/08/19,10:00,0.126,Real,</t>
  </si>
  <si>
    <t>ES0031408323131005HX0F,2024/08/19,11:00,0.121,Real,</t>
  </si>
  <si>
    <t>ES0031408323131005HX0F,2024/08/19,12:00,0.104,Real,</t>
  </si>
  <si>
    <t>ES0031408323131005HX0F,2024/08/19,13:00,0.371,Real,</t>
  </si>
  <si>
    <t>ES0031408323131005HX0F,2024/08/19,14:00,0.034,Real,</t>
  </si>
  <si>
    <t>ES0031408323131005HX0F,2024/08/19,15:00,0.042,Real,</t>
  </si>
  <si>
    <t>ES0031408323131005HX0F,2024/08/19,16:00,0.123,Real,</t>
  </si>
  <si>
    <t>ES0031408323131005HX0F,2024/08/19,17:00,0.12,Real,</t>
  </si>
  <si>
    <t>ES0031408323131005HX0F,2024/08/19,18:00,0.119,Real,</t>
  </si>
  <si>
    <t>ES0031408323131005HX0F,2024/08/19,19:00,0.085,Real,</t>
  </si>
  <si>
    <t>ES0031408323131005HX0F,2024/08/19,20:00,0.093,Real,</t>
  </si>
  <si>
    <t>ES0031408323131005HX0F,2024/08/19,21:00,0.028,Real,</t>
  </si>
  <si>
    <t>ES0031408323131005HX0F,2024/08/19,22:00,0.298,Real,</t>
  </si>
  <si>
    <t>ES0031408323131005HX0F,2024/08/19,23:00,0.087,Real,</t>
  </si>
  <si>
    <t>ES0031408323131005HX0F,2024/08/19,24:00,0.122,Real,</t>
  </si>
  <si>
    <t>ES0031408323131005HX0F,2024/08/20,01:00,0.12,Real,</t>
  </si>
  <si>
    <t>ES0031408323131005HX0F,2024/08/20,02:00,0.092,Real,</t>
  </si>
  <si>
    <t>ES0031408323131005HX0F,2024/08/20,03:00,0.092,Real,</t>
  </si>
  <si>
    <t>ES0031408323131005HX0F,2024/08/20,04:00,0.073,Real,</t>
  </si>
  <si>
    <t>ES0031408323131005HX0F,2024/08/20,05:00,0.019,Real,</t>
  </si>
  <si>
    <t>ES0031408323131005HX0F,2024/08/20,06:00,0.333,Real,</t>
  </si>
  <si>
    <t>ES0031408323131005HX0F,2024/08/20,07:00,0.125,Real,</t>
  </si>
  <si>
    <t>ES0031408323131005HX0F,2024/08/20,08:00,0.121,Real,</t>
  </si>
  <si>
    <t>ES0031408323131005HX0F,2024/08/20,09:00,0.119,Real,</t>
  </si>
  <si>
    <t>ES0031408323131005HX0F,2024/08/20,10:00,0.086,Real,</t>
  </si>
  <si>
    <t>ES0031408323131005HX0F,2024/08/20,11:00,0.077,Real,</t>
  </si>
  <si>
    <t>ES0031408323131005HX0F,2024/08/20,12:00,0.539,Real,</t>
  </si>
  <si>
    <t>ES0031408323131005HX0F,2024/08/20,13:00,0.663,Real,</t>
  </si>
  <si>
    <t>ES0031408323131005HX0F,2024/08/20,14:00,1.208,Real,</t>
  </si>
  <si>
    <t>ES0031408323131005HX0F,2024/08/20,15:00,0.725,Real,</t>
  </si>
  <si>
    <t>ES0031408323131005HX0F,2024/08/20,16:00,0.439,Real,</t>
  </si>
  <si>
    <t>ES0031408323131005HX0F,2024/08/20,17:00,0.423,Real,</t>
  </si>
  <si>
    <t>ES0031408323131005HX0F,2024/08/20,18:00,0.18,Real,</t>
  </si>
  <si>
    <t>ES0031408323131005HX0F,2024/08/20,19:00,0.144,Real,</t>
  </si>
  <si>
    <t>ES0031408323131005HX0F,2024/08/20,20:00,0.125,Real,</t>
  </si>
  <si>
    <t>ES0031408323131005HX0F,2024/08/20,21:00,0.708,Real,</t>
  </si>
  <si>
    <t>ES0031408323131005HX0F,2024/08/20,22:00,1.518,Real,</t>
  </si>
  <si>
    <t>ES0031408323131005HX0F,2024/08/20,23:00,0.119,Real,</t>
  </si>
  <si>
    <t>ES0031408323131005HX0F,2024/08/20,24:00,1.246,Real,</t>
  </si>
  <si>
    <t>ES0031408323131005HX0F,2024/08/21,01:00,1.403,Real,</t>
  </si>
  <si>
    <t>ES0031408323131005HX0F,2024/08/21,02:00,0.387,Real,</t>
  </si>
  <si>
    <t>ES0031408323131005HX0F,2024/08/21,03:00,0.137,Real,</t>
  </si>
  <si>
    <t>ES0031408323131005HX0F,2024/08/21,04:00,0.133,Real,</t>
  </si>
  <si>
    <t>ES0031408323131005HX0F,2024/08/21,05:00,0.397,Real,</t>
  </si>
  <si>
    <t>ES0031408323131005HX0F,2024/08/21,06:00,0.096,Real,</t>
  </si>
  <si>
    <t>ES0031408323131005HX0F,2024/08/21,07:00,0.115,Real,</t>
  </si>
  <si>
    <t>ES0031408323131005HX0F,2024/08/21,08:00,0.067,Real,</t>
  </si>
  <si>
    <t>ES0031408323131005HX0F,2024/08/21,09:00,0.371,Real,</t>
  </si>
  <si>
    <t>ES0031408323131005HX0F,2024/08/21,10:00,0.163,Real,</t>
  </si>
  <si>
    <t>ES0031408323131005HX0F,2024/08/21,11:00,0.125,Real,</t>
  </si>
  <si>
    <t>ES0031408323131005HX0F,2024/08/21,12:00,0.208,Real,</t>
  </si>
  <si>
    <t>ES0031408323131005HX0F,2024/08/21,13:00,0.437,Real,</t>
  </si>
  <si>
    <t>ES0031408323131005HX0F,2024/08/21,14:00,0.134,Real,</t>
  </si>
  <si>
    <t>ES0031408323131005HX0F,2024/08/21,15:00,0.869,Real,</t>
  </si>
  <si>
    <t>ES0031408323131005HX0F,2024/08/21,16:00,1.928,Real,</t>
  </si>
  <si>
    <t>ES0031408323131005HX0F,2024/08/21,17:00,2.38,Real,</t>
  </si>
  <si>
    <t>ES0031408323131005HX0F,2024/08/21,18:00,0.892,Real,</t>
  </si>
  <si>
    <t>ES0031408323131005HX0F,2024/08/21,19:00,0.151,Real,</t>
  </si>
  <si>
    <t>ES0031408323131005HX0F,2024/08/21,20:00,0.136,Real,</t>
  </si>
  <si>
    <t>ES0031408323131005HX0F,2024/08/21,21:00,0.934,Real,</t>
  </si>
  <si>
    <t>ES0031408323131005HX0F,2024/08/21,22:00,0.129,Real,</t>
  </si>
  <si>
    <t>ES0031408323131005HX0F,2024/08/21,23:00,0.81,Real,</t>
  </si>
  <si>
    <t>ES0031408323131005HX0F,2024/08/21,24:00,0.56,Real,</t>
  </si>
  <si>
    <t>ES0031408323131005HX0F,2024/08/22,01:00,0.552,Real,</t>
  </si>
  <si>
    <t>ES0031408323131005HX0F,2024/08/22,02:00,0.309,Real,</t>
  </si>
  <si>
    <t>ES0031408323131005HX0F,2024/08/22,03:00,0.152,Real,</t>
  </si>
  <si>
    <t>ES0031408323131005HX0F,2024/08/22,04:00,0.344,Real,</t>
  </si>
  <si>
    <t>ES0031408323131005HX0F,2024/08/22,05:00,0.144,Real,</t>
  </si>
  <si>
    <t>ES0031408323131005HX0F,2024/08/22,06:00,0.136,Real,</t>
  </si>
  <si>
    <t>ES0031408323131005HX0F,2024/08/22,07:00,0.13,Real,</t>
  </si>
  <si>
    <t>ES0031408323131005HX0F,2024/08/22,08:00,0.628,Real,</t>
  </si>
  <si>
    <t>ES0031408323131005HX0F,2024/08/22,09:00,0.822,Real,</t>
  </si>
  <si>
    <t>ES0031408323131005HX0F,2024/08/22,10:00,0.385,Real,</t>
  </si>
  <si>
    <t>ES0031408323131005HX0F,2024/08/22,11:00,0.124,Real,</t>
  </si>
  <si>
    <t>ES0031408323131005HX0F,2024/08/22,12:00,0.124,Real,</t>
  </si>
  <si>
    <t>ES0031408323131005HX0F,2024/08/22,13:00,0.06,Real,</t>
  </si>
  <si>
    <t>ES0031408323131005HX0F,2024/08/22,14:00,0.11,Real,</t>
  </si>
  <si>
    <t>ES0031408323131005HX0F,2024/08/22,15:00,0.762,Real,</t>
  </si>
  <si>
    <t>ES0031408323131005HX0F,2024/08/22,16:00,2.54,Real,</t>
  </si>
  <si>
    <t>ES0031408323131005HX0F,2024/08/22,17:00,0.884,Real,</t>
  </si>
  <si>
    <t>ES0031408323131005HX0F,2024/08/22,18:00,0.657,Real,</t>
  </si>
  <si>
    <t>ES0031408323131005HX0F,2024/08/22,19:00,0.154,Real,</t>
  </si>
  <si>
    <t>ES0031408323131005HX0F,2024/08/22,20:00,0.148,Real,</t>
  </si>
  <si>
    <t>ES0031408323131005HX0F,2024/08/22,21:00,1.032,Real,</t>
  </si>
  <si>
    <t>ES0031408323131005HX0F,2024/08/22,22:00,0.129,Real,</t>
  </si>
  <si>
    <t>ES0031408323131005HX0F,2024/08/22,23:00,0.479,Real,</t>
  </si>
  <si>
    <t>ES0031408323131005HX0F,2024/08/22,24:00,2.361,Real,</t>
  </si>
  <si>
    <t>ES0031408323131005HX0F,2024/08/23,01:00,2.373,Real,</t>
  </si>
  <si>
    <t>ES0031408323131005HX0F,2024/08/23,02:00,1.749,Real,</t>
  </si>
  <si>
    <t>ES0031408323131005HX0F,2024/08/23,03:00,0.129,Real,</t>
  </si>
  <si>
    <t>ES0031408323131005HX0F,2024/08/23,04:00,0.378,Real,</t>
  </si>
  <si>
    <t>ES0031408323131005HX0F,2024/08/23,05:00,0.105,Real,</t>
  </si>
  <si>
    <t>ES0031408323131005HX0F,2024/08/23,06:00,0.072,Real,</t>
  </si>
  <si>
    <t>ES0031408323131005HX0F,2024/08/23,07:00,0.034,Real,</t>
  </si>
  <si>
    <t>ES0031408323131005HX0F,2024/08/23,08:00,0.172,Real,</t>
  </si>
  <si>
    <t>ES0031408323131005HX0F,2024/08/23,09:00,0.252,Real,</t>
  </si>
  <si>
    <t>ES0031408323131005HX0F,2024/08/23,10:00,0.685,Real,</t>
  </si>
  <si>
    <t>ES0031408323131005HX0F,2024/08/23,11:00,0.302,Real,</t>
  </si>
  <si>
    <t>ES0031408323131005HX0F,2024/08/23,12:00,0.379,Real,</t>
  </si>
  <si>
    <t>ES0031408323131005HX0F,2024/08/23,13:00,0.161,Real,</t>
  </si>
  <si>
    <t>ES0031408323131005HX0F,2024/08/23,14:00,0.137,Real,</t>
  </si>
  <si>
    <t>ES0031408323131005HX0F,2024/08/23,15:00,0.126,Real,</t>
  </si>
  <si>
    <t>ES0031408323131005HX0F,2024/08/23,16:00,0.107,Real,</t>
  </si>
  <si>
    <t>ES0031408323131005HX0F,2024/08/23,17:00,0.049,Real,</t>
  </si>
  <si>
    <t>ES0031408323131005HX0F,2024/08/23,18:00,0.128,Real,</t>
  </si>
  <si>
    <t>ES0031408323131005HX0F,2024/08/23,19:00,0.403,Real,</t>
  </si>
  <si>
    <t>ES0031408323131005HX0F,2024/08/23,20:00,0.125,Real,</t>
  </si>
  <si>
    <t>ES0031408323131005HX0F,2024/08/23,21:00,1.084,Real,</t>
  </si>
  <si>
    <t>ES0031408323131005HX0F,2024/08/23,22:00,0.21,Real,</t>
  </si>
  <si>
    <t>ES0031408323131005HX0F,2024/08/23,23:00,0.142,Real,</t>
  </si>
  <si>
    <t>ES0031408323131005HX0F,2024/08/23,24:00,1.943,Real,</t>
  </si>
  <si>
    <t>ES0031408323131005HX0F,2024/08/24,01:00,1.278,Real,</t>
  </si>
  <si>
    <t>ES0031408323131005HX0F,2024/08/24,02:00,0.756,Real,</t>
  </si>
  <si>
    <t>ES0031408323131005HX0F,2024/08/24,03:00,0.034,Real,</t>
  </si>
  <si>
    <t>ES0031408323131005HX0F,2024/08/24,04:00,0.129,Real,</t>
  </si>
  <si>
    <t>ES0031408323131005HX0F,2024/08/24,05:00,0.365,Real,</t>
  </si>
  <si>
    <t>ES0031408323131005HX0F,2024/08/24,06:00,0.135,Real,</t>
  </si>
  <si>
    <t>ES0031408323131005HX0F,2024/08/24,07:00,0.127,Real,</t>
  </si>
  <si>
    <t>ES0031408323131005HX0F,2024/08/24,08:00,0.133,Real,</t>
  </si>
  <si>
    <t>ES0031408323131005HX0F,2024/08/24,09:00,0.475,Real,</t>
  </si>
  <si>
    <t>ES0031408323131005HX0F,2024/08/24,10:00,0.564,Real,</t>
  </si>
  <si>
    <t>ES0031408323131005HX0F,2024/08/24,11:00,0.572,Real,</t>
  </si>
  <si>
    <t>ES0031408323131005HX0F,2024/08/24,12:00,0.178,Real,</t>
  </si>
  <si>
    <t>ES0031408323131005HX0F,2024/08/24,13:00,2.341,Real,</t>
  </si>
  <si>
    <t>ES0031408323131005HX0F,2024/08/24,14:00,0.547,Real,</t>
  </si>
  <si>
    <t>ES0031408323131005HX0F,2024/08/24,15:00,1.957,Real,</t>
  </si>
  <si>
    <t>ES0031408323131005HX0F,2024/08/24,16:00,2.47,Real,</t>
  </si>
  <si>
    <t>ES0031408323131005HX0F,2024/08/24,17:00,1.509,Real,</t>
  </si>
  <si>
    <t>ES0031408323131005HX0F,2024/08/24,18:00,0.5,Real,</t>
  </si>
  <si>
    <t>ES0031408323131005HX0F,2024/08/24,19:00,0.182,Real,</t>
  </si>
  <si>
    <t>ES0031408323131005HX0F,2024/08/24,20:00,0.125,Real,</t>
  </si>
  <si>
    <t>ES0031408323131005HX0F,2024/08/24,21:00,0.89,Real,</t>
  </si>
  <si>
    <t>ES0031408323131005HX0F,2024/08/24,22:00,0.236,Real,</t>
  </si>
  <si>
    <t>ES0031408323131005HX0F,2024/08/24,23:00,0.104,Real,</t>
  </si>
  <si>
    <t>ES0031408323131005HX0F,2024/08/24,24:00,0.714,Real,</t>
  </si>
  <si>
    <t>ES0031408323131005HX0F,2024/08/25,01:00,1.367,Real,</t>
  </si>
  <si>
    <t>ES0031408323131005HX0F,2024/08/25,02:00,0.405,Real,</t>
  </si>
  <si>
    <t>ES0031408323131005HX0F,2024/08/25,03:00,0.141,Real,</t>
  </si>
  <si>
    <t>ES0031408323131005HX0F,2024/08/25,04:00,0.385,Real,</t>
  </si>
  <si>
    <t>ES0031408323131005HX0F,2024/08/25,05:00,0.138,Real,</t>
  </si>
  <si>
    <t>ES0031408323131005HX0F,2024/08/25,06:00,0.135,Real,</t>
  </si>
  <si>
    <t>ES0031408323131005HX0F,2024/08/25,07:00,0.178,Real,</t>
  </si>
  <si>
    <t>ES0031408323131005HX0F,2024/08/25,08:00,0.598,Real,</t>
  </si>
  <si>
    <t>ES0031408323131005HX0F,2024/08/25,09:00,0.747,Real,</t>
  </si>
  <si>
    <t>ES0031408323131005HX0F,2024/08/25,10:00,0.253,Real,</t>
  </si>
  <si>
    <t>ES0031408323131005HX0F,2024/08/25,11:00,0.969,Real,</t>
  </si>
  <si>
    <t>ES0031408323131005HX0F,2024/08/25,12:00,0.128,Real,</t>
  </si>
  <si>
    <t>ES0031408323131005HX0F,2024/08/25,13:00,0.108,Real,</t>
  </si>
  <si>
    <t>ES0031408323131005HX0F,2024/08/25,14:00,0.107,Real,</t>
  </si>
  <si>
    <t>ES0031408323131005HX0F,2024/08/25,15:00,0.127,Real,</t>
  </si>
  <si>
    <t>ES0031408323131005HX0F,2024/08/25,16:00,0.116,Real,</t>
  </si>
  <si>
    <t>ES0031408323131005HX0F,2024/08/25,17:00,0.11,Real,</t>
  </si>
  <si>
    <t>ES0031408323131005HX0F,2024/08/25,18:00,0.276,Real,</t>
  </si>
  <si>
    <t>ES0031408323131005HX0F,2024/08/25,19:00,0.061,Real,</t>
  </si>
  <si>
    <t>ES0031408323131005HX0F,2024/08/25,20:00,0.113,Real,</t>
  </si>
  <si>
    <t>ES0031408323131005HX0F,2024/08/25,21:00,0.11,Real,</t>
  </si>
  <si>
    <t>ES0031408323131005HX0F,2024/08/25,22:00,0.101,Real,</t>
  </si>
  <si>
    <t>ES0031408323131005HX0F,2024/08/25,23:00,0.084,Real,</t>
  </si>
  <si>
    <t>ES0031408323131005HX0F,2024/08/25,24:00,0.039,Real,</t>
  </si>
  <si>
    <t>ES0031408323131005HX0F,2024/08/26,01:00,0.025,Real,</t>
  </si>
  <si>
    <t>ES0031408323131005HX0F,2024/08/26,02:00,0.394,Real,</t>
  </si>
  <si>
    <t>ES0031408323131005HX0F,2024/08/26,03:00,0.111,Real,</t>
  </si>
  <si>
    <t>ES0031408323131005HX0F,2024/08/26,04:00,0.087,Real,</t>
  </si>
  <si>
    <t>ES0031408323131005HX0F,2024/08/26,05:00,0.1,Real,</t>
  </si>
  <si>
    <t>ES0031408323131005HX0F,2024/08/26,06:00,0.015,Real,</t>
  </si>
  <si>
    <t>ES0031408323131005HX0F,2024/08/26,07:00,0.053,Real,</t>
  </si>
  <si>
    <t>ES0031408323131005HX0F,2024/08/26,08:00,0.115,Real,</t>
  </si>
  <si>
    <t>ES0031408323131005HX0F,2024/08/26,09:00,0.129,Real,</t>
  </si>
  <si>
    <t>ES0031408323131005HX0F,2024/08/26,10:00,0.114,Real,</t>
  </si>
  <si>
    <t>ES0031408323131005HX0F,2024/08/26,11:00,0.401,Real,</t>
  </si>
  <si>
    <t>ES0031408323131005HX0F,2024/08/26,12:00,0.084,Real,</t>
  </si>
  <si>
    <t>ES0031408323131005HX0F,2024/08/26,13:00,0.075,Real,</t>
  </si>
  <si>
    <t>ES0031408323131005HX0F,2024/08/26,14:00,0.024,Real,</t>
  </si>
  <si>
    <t>ES0031408323131005HX0F,2024/08/26,15:00,0.078,Real,</t>
  </si>
  <si>
    <t>ES0031408323131005HX0F,2024/08/26,16:00,0.111,Real,</t>
  </si>
  <si>
    <t>ES0031408323131005HX0F,2024/08/26,17:00,0.11,Real,</t>
  </si>
  <si>
    <t>ES0031408323131005HX0F,2024/08/26,18:00,0.078,Real,</t>
  </si>
  <si>
    <t>ES0031408323131005HX0F,2024/08/26,19:00,0.368,Real,</t>
  </si>
  <si>
    <t>ES0031408323131005HX0F,2024/08/26,20:00,0.025,Real,</t>
  </si>
  <si>
    <t>ES0031408323131005HX0F,2024/08/26,21:00,0.01,Real,</t>
  </si>
  <si>
    <t>ES0031408323131005HX0F,2024/08/26,22:00,0.071,Real,</t>
  </si>
  <si>
    <t>ES0031408323131005HX0F,2024/08/26,23:00,0.113,Real,</t>
  </si>
  <si>
    <t>ES0031408323131005HX0F,2024/08/26,24:00,0.111,Real,</t>
  </si>
  <si>
    <t>ES0031408323131005HX0F,2024/08/27,01:00,0.082,Real,</t>
  </si>
  <si>
    <t>ES0031408323131005HX0F,2024/08/27,02:00,0.089,Real,</t>
  </si>
  <si>
    <t>ES0031408323131005HX0F,2024/08/27,03:00,0.032,Real,</t>
  </si>
  <si>
    <t>ES0031408323131005HX0F,2024/08/27,04:00,0.299,Real,</t>
  </si>
  <si>
    <t>ES0031408323131005HX0F,2024/08/27,05:00,0.064,Real,</t>
  </si>
  <si>
    <t>ES0031408323131005HX0F,2024/08/27,06:00,0.114,Real,</t>
  </si>
  <si>
    <t>ES0031408323131005HX0F,2024/08/27,07:00,0.111,Real,</t>
  </si>
  <si>
    <t>ES0031408323131005HX0F,2024/08/27,08:00,0.083,Real,</t>
  </si>
  <si>
    <t>ES0031408323131005HX0F,2024/08/27,09:00,0.089,Real,</t>
  </si>
  <si>
    <t>ES0031408323131005HX0F,2024/08/27,10:00,0.043,Real,</t>
  </si>
  <si>
    <t>ES0031408323131005HX0F,2024/08/27,11:00,0.01,Real,</t>
  </si>
  <si>
    <t>ES0031408323131005HX0F,2024/08/27,12:00,0.105,Real,</t>
  </si>
  <si>
    <t>ES0031408323131005HX0F,2024/08/27,13:00,0.346,Real,</t>
  </si>
  <si>
    <t>ES0031408323131005HX0F,2024/08/27,14:00,0.121,Real,</t>
  </si>
  <si>
    <t>ES0031408323131005HX0F,2024/08/27,15:00,0.08,Real,</t>
  </si>
  <si>
    <t>ES0031408323131005HX0F,2024/08/27,16:00,0.089,Real,</t>
  </si>
  <si>
    <t>ES0031408323131005HX0F,2024/08/27,17:00,0.061,Real,</t>
  </si>
  <si>
    <t>ES0031408323131005HX0F,2024/08/27,18:00,0.01,Real,</t>
  </si>
  <si>
    <t>ES0031408323131005HX0F,2024/08/27,19:00,0.032,Real,</t>
  </si>
  <si>
    <t>ES0031408323131005HX0F,2024/08/27,20:00,0.116,Real,</t>
  </si>
  <si>
    <t>ES0031408323131005HX0F,2024/08/27,21:00,0.375,Real,</t>
  </si>
  <si>
    <t>ES0031408323131005HX0F,2024/08/27,22:00,0.096,Real,</t>
  </si>
  <si>
    <t>ES0031408323131005HX0F,2024/08/27,23:00,0.085,Real,</t>
  </si>
  <si>
    <t>ES0031408323131005HX0F,2024/08/27,24:00,0.077,Real,</t>
  </si>
  <si>
    <t>ES0031408323131005HX0F,2024/08/28,01:00,0.01,Real,</t>
  </si>
  <si>
    <t>ES0031408323131005HX0F,2024/08/28,02:00,0.01,Real,</t>
  </si>
  <si>
    <t>ES0031408323131005HX0F,2024/08/28,03:00,0.112,Real,</t>
  </si>
  <si>
    <t>ES0031408323131005HX0F,2024/08/28,04:00,0.112,Real,</t>
  </si>
  <si>
    <t>ES0031408323131005HX0F,2024/08/28,05:00,0.399,Real,</t>
  </si>
  <si>
    <t>ES0031408323131005HX0F,2024/08/28,06:00,0.081,Real,</t>
  </si>
  <si>
    <t>ES0031408323131005HX0F,2024/08/28,07:00,0.089,Real,</t>
  </si>
  <si>
    <t>ES0031408323131005HX0F,2024/08/28,08:00,0.01,Real,</t>
  </si>
  <si>
    <t>ES0031408323131005HX0F,2024/08/28,09:00,0.01,Real,</t>
  </si>
  <si>
    <t>ES0031408323131005HX0F,2024/08/28,10:00,0.089,Real,</t>
  </si>
  <si>
    <t>ES0031408323131005HX0F,2024/08/28,11:00,0.113,Real,</t>
  </si>
  <si>
    <t>ES0031408323131005HX0F,2024/08/28,12:00,0.11,Real,</t>
  </si>
  <si>
    <t>ES0031408323131005HX0F,2024/08/28,13:00,0.093,Real,</t>
  </si>
  <si>
    <t>ES0031408323131005HX0F,2024/08/28,14:00,0.398,Real,</t>
  </si>
  <si>
    <t>ES0031408323131005HX0F,2024/08/28,15:00,0.088,Real,</t>
  </si>
  <si>
    <t>ES0031408323131005HX0F,2024/08/28,16:00,0.087,Real,</t>
  </si>
  <si>
    <t>ES0031408323131005HX0F,2024/08/28,17:00,0.018,Real,</t>
  </si>
  <si>
    <t>ES0031408323131005HX0F,2024/08/28,18:00,0.01,Real,</t>
  </si>
  <si>
    <t>ES0031408323131005HX0F,2024/08/28,19:00,0.078,Real,</t>
  </si>
  <si>
    <t>ES0031408323131005HX0F,2024/08/28,20:00,0.114,Real,</t>
  </si>
  <si>
    <t>ES0031408323131005HX0F,2024/08/28,21:00,0.11,Real,</t>
  </si>
  <si>
    <t>ES0031408323131005HX0F,2024/08/28,22:00,0.352,Real,</t>
  </si>
  <si>
    <t>ES0031408323131005HX0F,2024/08/28,23:00,0.109,Real,</t>
  </si>
  <si>
    <t>ES0031408323131005HX0F,2024/08/28,24:00,0.217,Real,</t>
  </si>
  <si>
    <t>ES0031408323131005HX0F,2024/08/29,01:00,0.127,Real,</t>
  </si>
  <si>
    <t>ES0031408323131005HX0F,2024/08/29,02:00,0.125,Real,</t>
  </si>
  <si>
    <t>ES0031408323131005HX0F,2024/08/29,03:00,0.066,Real,</t>
  </si>
  <si>
    <t>ES0031408323131005HX0F,2024/08/29,04:00,0.032,Real,</t>
  </si>
  <si>
    <t>ES0031408323131005HX0F,2024/08/29,05:00,0.125,Real,</t>
  </si>
  <si>
    <t>ES0031408323131005HX0F,2024/08/29,06:00,0.175,Real,</t>
  </si>
  <si>
    <t>ES0031408323131005HX0F,2024/08/29,07:00,0.353,Real,</t>
  </si>
  <si>
    <t>ES0031408323131005HX0F,2024/08/29,08:00,0.119,Real,</t>
  </si>
  <si>
    <t>ES0031408323131005HX0F,2024/08/29,09:00,0.139,Real,</t>
  </si>
  <si>
    <t>ES0031408323131005HX0F,2024/08/29,10:00,0.517,Real,</t>
  </si>
  <si>
    <t>ES0031408323131005HX0F,2024/08/29,11:00,0.317,Real,</t>
  </si>
  <si>
    <t>ES0031408323131005HX0F,2024/08/29,12:00,0.145,Real,</t>
  </si>
  <si>
    <t>ES0031408323131005HX0F,2024/08/29,13:00,0.152,Real,</t>
  </si>
  <si>
    <t>ES0031408323131005HX0F,2024/08/29,14:00,0.096,Real,</t>
  </si>
  <si>
    <t>ES0031408323131005HX0F,2024/08/29,15:00,0.838,Real,</t>
  </si>
  <si>
    <t>ES0031408323131005HX0F,2024/08/29,16:00,1.663,Real,</t>
  </si>
  <si>
    <t>ES0031408323131005HX0F,2024/08/29,17:00,0.358,Real,</t>
  </si>
  <si>
    <t>ES0031408323131005HX0F,2024/08/29,18:00,0.386,Real,</t>
  </si>
  <si>
    <t>ES0031408323131005HX0F,2024/08/29,19:00,1.793,Real,</t>
  </si>
  <si>
    <t>ES0031408323131005HX0F,2024/08/29,20:00,0.392,Real,</t>
  </si>
  <si>
    <t>ES0031408323131005HX0F,2024/08/29,21:00,0.157,Real,</t>
  </si>
  <si>
    <t>ES0031408323131005HX0F,2024/08/29,22:00,0.513,Real,</t>
  </si>
  <si>
    <t>ES0031408323131005HX0F,2024/08/29,23:00,0.515,Real,</t>
  </si>
  <si>
    <t>ES0031408323131005HX0F,2024/08/29,24:00,0.337,Real,</t>
  </si>
  <si>
    <t>ES0031408323131005HX0F,2024/08/30,01:00,0.338,Real,</t>
  </si>
  <si>
    <t>ES0031408323131005HX0F,2024/08/30,02:00,0.338,Real,</t>
  </si>
  <si>
    <t>ES0031408323131005HX0F,2024/08/30,03:00,0.145,Real,</t>
  </si>
  <si>
    <t>ES0031408323131005HX0F,2024/08/30,04:00,0.132,Real,</t>
  </si>
  <si>
    <t>ES0031408323131005HX0F,2024/08/30,05:00,0.131,Real,</t>
  </si>
  <si>
    <t>ES0031408323131005HX0F,2024/08/30,06:00,0.129,Real,</t>
  </si>
  <si>
    <t>ES0031408323131005HX0F,2024/08/30,07:00,0.4,Real,</t>
  </si>
  <si>
    <t>ES0031408323131005HX0F,2024/08/30,08:00,0.109,Real,</t>
  </si>
  <si>
    <t>ES0031408323131005HX0F,2024/08/30,09:00,0.141,Real,</t>
  </si>
  <si>
    <t>ES0031408323131005HX0F,2024/08/30,10:00,0.517,Real,</t>
  </si>
  <si>
    <t>ES0031408323131005HX0F,2024/08/30,11:00,0.438,Real,</t>
  </si>
  <si>
    <t>ES0031408323131005HX0F,2024/08/30,12:00,0.161,Real,</t>
  </si>
  <si>
    <t>ES0031408323131005HX0F,2024/08/30,13:00,0.395,Real,</t>
  </si>
  <si>
    <t>ES0031408323131005HX0F,2024/08/30,14:00,0.134,Real,</t>
  </si>
  <si>
    <t>ES0031408323131005HX0F,2024/08/30,15:00,0.134,Real,</t>
  </si>
  <si>
    <t>ES0031408323131005HX0F,2024/08/30,16:00,0.135,Real,</t>
  </si>
  <si>
    <t>ES0031408323131005HX0F,2024/08/30,17:00,0.898,Real,</t>
  </si>
  <si>
    <t>ES0031408323131005HX0F,2024/08/30,18:00,0.153,Real,</t>
  </si>
  <si>
    <t>ES0031408323131005HX0F,2024/08/30,19:00,0.842,Real,</t>
  </si>
  <si>
    <t>ES0031408323131005HX0F,2024/08/30,20:00,1.313,Real,</t>
  </si>
  <si>
    <t>ES0031408323131005HX0F,2024/08/30,21:00,0.22,Real,</t>
  </si>
  <si>
    <t>ES0031408323131005HX0F,2024/08/30,22:00,0.189,Real,</t>
  </si>
  <si>
    <t>ES0031408323131005HX0F,2024/08/30,23:00,0.396,Real,</t>
  </si>
  <si>
    <t>ES0031408323131005HX0F,2024/08/30,24:00,0.13,Real,</t>
  </si>
  <si>
    <t>ES0031408323131005HX0F,2024/08/31,01:00,0.13,Real,</t>
  </si>
  <si>
    <t>ES0031408323131005HX0F,2024/08/31,02:00,0.821,Real,</t>
  </si>
  <si>
    <t>ES0031408323131005HX0F,2024/08/31,03:00,0.275,Real,</t>
  </si>
  <si>
    <t>ES0031408323131005HX0F,2024/08/31,04:00,0.133,Real,</t>
  </si>
  <si>
    <t>ES0031408323131005HX0F,2024/08/31,05:00,0.13,Real,</t>
  </si>
  <si>
    <t>ES0031408323131005HX0F,2024/08/31,06:00,0.128,Real,</t>
  </si>
  <si>
    <t>ES0031408323131005HX0F,2024/08/31,07:00,0.129,Real,</t>
  </si>
  <si>
    <t>ES0031408323131005HX0F,2024/08/31,08:00,0.39,Real,</t>
  </si>
  <si>
    <t>ES0031408323131005HX0F,2024/08/31,09:00,0.636,Real,</t>
  </si>
  <si>
    <t>ES0031408323131005HX0F,2024/08/31,10:00,0.735,Real,</t>
  </si>
  <si>
    <t>ES0031408323131005HX0F,2024/08/31,11:00,0.669,Real,</t>
  </si>
  <si>
    <t>ES0031408323131005HX0F,2024/08/31,12:00,0.389,Real,</t>
  </si>
  <si>
    <t>ES0031408323131005HX0F,2024/08/31,13:00,0.538,Real,</t>
  </si>
  <si>
    <t>ES0031408323131005HX0F,2024/08/31,14:00,0.127,Real,</t>
  </si>
  <si>
    <t>ES0031408323131005HX0F,2024/08/31,15:00,1.826,Real,</t>
  </si>
  <si>
    <t>ES0031408323131005HX0F,2024/08/31,16:00,0.983,Real,</t>
  </si>
  <si>
    <t>ES0031408323131005HX0F,2024/08/31,17:00,0.552,Real,</t>
  </si>
  <si>
    <t>ES0031408323131005HX0F,2024/08/31,18:00,0.648,Real,</t>
  </si>
  <si>
    <t>ES0031408323131005HX0F,2024/08/31,19:00,0.469,Real,</t>
  </si>
  <si>
    <t>ES0031408323131005HX0F,2024/08/31,20:00,1.252,Real,</t>
  </si>
  <si>
    <t>ES0031408323131005HX0F,2024/08/31,21:00,0.174,Real,</t>
  </si>
  <si>
    <t>ES0031408323131005HX0F,2024/08/31,22:00,0.139,Real,</t>
  </si>
  <si>
    <t>ES0031408323131005HX0F,2024/08/31,23:00,0.134,Real,</t>
  </si>
  <si>
    <t>ES0031408323131005HX0F,2024/08/31,24:00,0.133,Real,</t>
  </si>
  <si>
    <t>ES0031408323131005HX0F,2024/09/01,01:00,0.183,Real,</t>
  </si>
  <si>
    <t>ES0031408323131005HX0F,2024/09/01,02:00,0.142,Real,</t>
  </si>
  <si>
    <t>ES0031408323131005HX0F,2024/09/01,03:00,0.13,Real,</t>
  </si>
  <si>
    <t>ES0031408323131005HX0F,2024/09/01,04:00,0.128,Real,</t>
  </si>
  <si>
    <t>ES0031408323131005HX0F,2024/09/01,05:00,0.128,Real,</t>
  </si>
  <si>
    <t>ES0031408323131005HX0F,2024/09/01,06:00,0.38,Real,</t>
  </si>
  <si>
    <t>ES0031408323131005HX0F,2024/09/01,07:00,0.122,Real,</t>
  </si>
  <si>
    <t>ES0031408323131005HX0F,2024/09/01,08:00,0.042,Real,</t>
  </si>
  <si>
    <t>ES0031408323131005HX0F,2024/09/01,09:00,1.237,Real,</t>
  </si>
  <si>
    <t>ES0031408323131005HX0F,2024/09/01,10:00,0.255,Real,</t>
  </si>
  <si>
    <t>ES0031408323131005HX0F,2024/09/01,11:00,0.798,Real,</t>
  </si>
  <si>
    <t>ES0031408323131005HX0F,2024/09/01,12:00,0.134,Real,</t>
  </si>
  <si>
    <t>ES0031408323131005HX0F,2024/09/01,13:00,0.147,Real,</t>
  </si>
  <si>
    <t>ES0031408323131005HX0F,2024/09/01,14:00,0.143,Real,</t>
  </si>
  <si>
    <t>ES0031408323131005HX0F,2024/09/01,15:00,0.183,Real,</t>
  </si>
  <si>
    <t>ES0031408323131005HX0F,2024/09/01,16:00,0.181,Real,</t>
  </si>
  <si>
    <t>ES0031408323131005HX0F,2024/09/01,17:00,0.773,Real,</t>
  </si>
  <si>
    <t>ES0031408323131005HX0F,2024/09/01,18:00,1.886,Real,</t>
  </si>
  <si>
    <t>ES0031408323131005HX0F,2024/09/01,19:00,1.244,Real,</t>
  </si>
  <si>
    <t>ES0031408323131005HX0F,2024/09/01,20:00,1.041,Real,</t>
  </si>
  <si>
    <t>ES0031408323131005HX0F,2024/09/01,21:00,0.175,Real,</t>
  </si>
  <si>
    <t>ES0031408323131005HX0F,2024/09/01,22:00,0.33,Real,</t>
  </si>
  <si>
    <t>ES0031408323131005HX0F,2024/09/01,23:00,0.23,Real,</t>
  </si>
  <si>
    <t>ES0031408323131005HX0F,2024/09/01,24:00,0.136,Real,</t>
  </si>
  <si>
    <t>ES0031408323131005HX0F,2024/09/02,01:00,0.4,Real,</t>
  </si>
  <si>
    <t>ES0031408323131005HX0F,2024/09/02,02:00,0.129,Real,</t>
  </si>
  <si>
    <t>ES0031408323131005HX0F,2024/09/02,03:00,0.127,Real,</t>
  </si>
  <si>
    <t>ES0031408323131005HX0F,2024/09/02,04:00,0.127,Real,</t>
  </si>
  <si>
    <t>ES0031408323131005HX0F,2024/09/02,05:00,0.124,Real,</t>
  </si>
  <si>
    <t>ES0031408323131005HX0F,2024/09/02,06:00,0.108,Real,</t>
  </si>
  <si>
    <t>ES0031408323131005HX0F,2024/09/02,07:00,0.049,Real,</t>
  </si>
  <si>
    <t>ES0031408323131005HX0F,2024/09/02,08:00,0.131,Real,</t>
  </si>
  <si>
    <t>ES0031408323131005HX0F,2024/09/02,09:00,0.8,Real,</t>
  </si>
  <si>
    <t>ES0031408323131005HX0F,2024/09/02,10:00,0.473,Real,</t>
  </si>
  <si>
    <t>ES0031408323131005HX0F,2024/09/02,11:00,0.183,Real,</t>
  </si>
  <si>
    <t>ES0031408323131005HX0F,2024/09/02,12:00,0.449,Real,</t>
  </si>
  <si>
    <t>ES0031408323131005HX0F,2024/09/02,13:00,0.149,Real,</t>
  </si>
  <si>
    <t>ES0031408323131005HX0F,2024/09/02,14:00,0.224,Real,</t>
  </si>
  <si>
    <t>ES0031408323131005HX0F,2024/09/02,15:00,0.332,Real,</t>
  </si>
  <si>
    <t>ES0031408323131005HX0F,2024/09/02,16:00,0.222,Real,</t>
  </si>
  <si>
    <t>ES0031408323131005HX0F,2024/09/02,17:00,0.171,Real,</t>
  </si>
  <si>
    <t>ES0031408323131005HX0F,2024/09/02,18:00,0.522,Real,</t>
  </si>
  <si>
    <t>ES0031408323131005HX0F,2024/09/02,19:00,0.138,Real,</t>
  </si>
  <si>
    <t>ES0031408323131005HX0F,2024/09/02,20:00,0.137,Real,</t>
  </si>
  <si>
    <t>ES0031408323131005HX0F,2024/09/02,21:00,0.477,Real,</t>
  </si>
  <si>
    <t>ES0031408323131005HX0F,2024/09/02,22:00,1.43,Real,</t>
  </si>
  <si>
    <t>ES0031408323131005HX0F,2024/09/02,23:00,1.189,Real,</t>
  </si>
  <si>
    <t>ES0031408323131005HX0F,2024/09/02,24:00,1.004,Real,</t>
  </si>
  <si>
    <t>ES0031408323131005HX0F,2024/09/03,01:00,1.117,Real,</t>
  </si>
  <si>
    <t>ES0031408323131005HX0F,2024/09/03,02:00,0.605,Real,</t>
  </si>
  <si>
    <t>ES0031408323131005HX0F,2024/09/03,03:00,0.446,Real,</t>
  </si>
  <si>
    <t>ES0031408323131005HX0F,2024/09/03,04:00,0.39,Real,</t>
  </si>
  <si>
    <t>ES0031408323131005HX0F,2024/09/03,05:00,0.126,Real,</t>
  </si>
  <si>
    <t>ES0031408323131005HX0F,2024/09/03,06:00,0.118,Real,</t>
  </si>
  <si>
    <t>ES0031408323131005HX0F,2024/09/03,07:00,0.1,Real,</t>
  </si>
  <si>
    <t>ES0031408323131005HX0F,2024/09/03,08:00,0.098,Real,</t>
  </si>
  <si>
    <t>ES0031408323131005HX0F,2024/09/03,09:00,0.335,Real,</t>
  </si>
  <si>
    <t>ES0031408323131005HX0F,2024/09/03,10:00,0.343,Real,</t>
  </si>
  <si>
    <t>ES0031408323131005HX0F,2024/09/03,11:00,0.343,Real,</t>
  </si>
  <si>
    <t>ES0031408323131005HX0F,2024/09/03,12:00,0.677,Real,</t>
  </si>
  <si>
    <t>ES0031408323131005HX0F,2024/09/03,13:00,1.329,Real,</t>
  </si>
  <si>
    <t>ES0031408323131005HX0F,2024/09/03,14:00,1.371,Real,</t>
  </si>
  <si>
    <t>ES0031408323131005HX0F,2024/09/03,15:00,0.355,Real,</t>
  </si>
  <si>
    <t>ES0031408323131005HX0F,2024/09/03,16:00,1.022,Real,</t>
  </si>
  <si>
    <t>ES0031408323131005HX0F,2024/09/03,17:00,0.128,Real,</t>
  </si>
  <si>
    <t>ES0031408323131005HX0F,2024/09/03,18:00,0.091,Real,</t>
  </si>
  <si>
    <t>ES0031408323131005HX0F,2024/09/03,19:00,0.015,Real,</t>
  </si>
  <si>
    <t>ES0031408323131005HX0F,2024/09/03,20:00,0.106,Real,</t>
  </si>
  <si>
    <t>ES0031408323131005HX0F,2024/09/03,21:00,0.357,Real,</t>
  </si>
  <si>
    <t>ES0031408323131005HX0F,2024/09/03,22:00,0.109,Real,</t>
  </si>
  <si>
    <t>ES0031408323131005HX0F,2024/09/03,23:00,0.1,Real,</t>
  </si>
  <si>
    <t>ES0031408323131005HX0F,2024/09/03,24:00,0.083,Real,</t>
  </si>
  <si>
    <t>ES0031408323131005HX0F,2024/09/04,01:00,0.046,Real,</t>
  </si>
  <si>
    <t>ES0031408323131005HX0F,2024/09/04,02:00,0.045,Real,</t>
  </si>
  <si>
    <t>ES0031408323131005HX0F,2024/09/04,03:00,0.111,Real,</t>
  </si>
  <si>
    <t>ES0031408323131005HX0F,2024/09/04,04:00,0.1,Real,</t>
  </si>
  <si>
    <t>ES0031408323131005HX0F,2024/09/04,05:00,0.346,Real,</t>
  </si>
  <si>
    <t>ES0031408323131005HX0F,2024/09/04,06:00,0.031,Real,</t>
  </si>
  <si>
    <t>ES0031408323131005HX0F,2024/09/04,07:00,0.079,Real,</t>
  </si>
  <si>
    <t>ES0031408323131005HX0F,2024/09/04,08:00,0.11,Real,</t>
  </si>
  <si>
    <t>ES0031408323131005HX0F,2024/09/04,09:00,0.081,Real,</t>
  </si>
  <si>
    <t>ES0031408323131005HX0F,2024/09/04,10:00,0.094,Real,</t>
  </si>
  <si>
    <t>ES0031408323131005HX0F,2024/09/04,11:00,0.073,Real,</t>
  </si>
  <si>
    <t>ES0031408323131005HX0F,2024/09/04,12:00,0.374,Real,</t>
  </si>
  <si>
    <t>ES0031408323131005HX0F,2024/09/04,13:00,0.122,Real,</t>
  </si>
  <si>
    <t>ES0031408323131005HX0F,2024/09/04,14:00,0.101,Real,</t>
  </si>
  <si>
    <t>ES0031408323131005HX0F,2024/09/04,15:00,0.12,Real,</t>
  </si>
  <si>
    <t>ES0031408323131005HX0F,2024/09/04,16:00,0.084,Real,</t>
  </si>
  <si>
    <t>ES0031408323131005HX0F,2024/09/04,17:00,0.025,Real,</t>
  </si>
  <si>
    <t>ES0031408323131005HX0F,2024/09/04,18:00,0.113,Real,</t>
  </si>
  <si>
    <t>ES0031408323131005HX0F,2024/09/04,19:00,0.094,Real,</t>
  </si>
  <si>
    <t>ES0031408323131005HX0F,2024/09/04,20:00,0.353,Real,</t>
  </si>
  <si>
    <t>ES0031408323131005HX0F,2024/09/04,21:00,0.081,Real,</t>
  </si>
  <si>
    <t>ES0031408323131005HX0F,2024/09/04,22:00,0.011,Real,</t>
  </si>
  <si>
    <t>ES0031408323131005HX0F,2024/09/04,23:00,0.01,Real,</t>
  </si>
  <si>
    <t>ES0031408323131005HX0F,2024/09/04,24:00,0.107,Real,</t>
  </si>
  <si>
    <t>ES0031408323131005HX0F,2024/09/05,01:00,0.119,Real,</t>
  </si>
  <si>
    <t>ES0031408323131005HX0F,2024/09/05,02:00,0.091,Real,</t>
  </si>
  <si>
    <t>ES0031408323131005HX0F,2024/09/05,03:00,0.396,Real,</t>
  </si>
  <si>
    <t>ES0031408323131005HX0F,2024/09/05,04:00,0.049,Real,</t>
  </si>
  <si>
    <t>ES0031408323131005HX0F,2024/09/05,05:00,0.124,Real,</t>
  </si>
  <si>
    <t>ES0031408323131005HX0F,2024/09/05,06:00,0.115,Real,</t>
  </si>
  <si>
    <t>ES0031408323131005HX0F,2024/09/05,07:00,0.108,Real,</t>
  </si>
  <si>
    <t>ES0031408323131005HX0F,2024/09/05,08:00,0.105,Real,</t>
  </si>
  <si>
    <t>ES0031408323131005HX0F,2024/09/05,09:00,0.093,Real,</t>
  </si>
  <si>
    <t>ES0031408323131005HX0F,2024/09/05,10:00,0.193,Real,</t>
  </si>
  <si>
    <t>ES0031408323131005HX0F,2024/09/05,11:00,0.227,Real,</t>
  </si>
  <si>
    <t>ES0031408323131005HX0F,2024/09/05,12:00,0.087,Real,</t>
  </si>
  <si>
    <t>ES0031408323131005HX0F,2024/09/05,13:00,0.094,Real,</t>
  </si>
  <si>
    <t>ES0031408323131005HX0F,2024/09/05,14:00,0.023,Real,</t>
  </si>
  <si>
    <t>ES0031408323131005HX0F,2024/09/05,15:00,0.106,Real,</t>
  </si>
  <si>
    <t>ES0031408323131005HX0F,2024/09/05,16:00,0.099,Real,</t>
  </si>
  <si>
    <t>ES0031408323131005HX0F,2024/09/05,17:00,0.094,Real,</t>
  </si>
  <si>
    <t>ES0031408323131005HX0F,2024/09/05,18:00,0.296,Real,</t>
  </si>
  <si>
    <t>ES0031408323131005HX0F,2024/09/05,19:00,0.094,Real,</t>
  </si>
  <si>
    <t>ES0031408323131005HX0F,2024/09/05,20:00,0.112,Real,</t>
  </si>
  <si>
    <t>ES0031408323131005HX0F,2024/09/05,21:00,0.101,Real,</t>
  </si>
  <si>
    <t>ES0031408323131005HX0F,2024/09/05,22:00,0.035,Real,</t>
  </si>
  <si>
    <t>ES0031408323131005HX0F,2024/09/05,23:00,0.124,Real,</t>
  </si>
  <si>
    <t>ES0031408323131005HX0F,2024/09/05,24:00,0.115,Real,</t>
  </si>
  <si>
    <t>ES0031408323131005HX0F,2024/09/06,01:00,0.319,Real,</t>
  </si>
  <si>
    <t>ES0031408323131005HX0F,2024/09/06,02:00,0.187,Real,</t>
  </si>
  <si>
    <t>ES0031408323131005HX0F,2024/09/06,03:00,0.071,Real,</t>
  </si>
  <si>
    <t>ES0031408323131005HX0F,2024/09/06,04:00,0.013,Real,</t>
  </si>
  <si>
    <t>ES0031408323131005HX0F,2024/09/06,05:00,0.05,Real,</t>
  </si>
  <si>
    <t>ES0031408323131005HX0F,2024/09/06,06:00,0.116,Real,</t>
  </si>
  <si>
    <t>ES0031408323131005HX0F,2024/09/06,07:00,0.091,Real,</t>
  </si>
  <si>
    <t>ES0031408323131005HX0F,2024/09/06,08:00,0.089,Real,</t>
  </si>
  <si>
    <t>ES0031408323131005HX0F,2024/09/06,09:00,0.353,Real,</t>
  </si>
  <si>
    <t>ES0031408323131005HX0F,2024/09/06,10:00,0.013,Real,</t>
  </si>
  <si>
    <t>ES0031408323131005HX0F,2024/09/06,11:00,0.013,Real,</t>
  </si>
  <si>
    <t>ES0031408323131005HX0F,2024/09/06,12:00,0.115,Real,</t>
  </si>
  <si>
    <t>ES0031408323131005HX0F,2024/09/06,13:00,0.113,Real,</t>
  </si>
  <si>
    <t>ES0031408323131005HX0F,2024/09/06,14:00,0.085,Real,</t>
  </si>
  <si>
    <t>ES0031408323131005HX0F,2024/09/06,15:00,0.08,Real,</t>
  </si>
  <si>
    <t>ES0031408323131005HX0F,2024/09/06,16:00,0.287,Real,</t>
  </si>
  <si>
    <t>ES0031408323131005HX0F,2024/09/06,17:00,0.013,Real,</t>
  </si>
  <si>
    <t>ES0031408323131005HX0F,2024/09/06,18:00,0.079,Real,</t>
  </si>
  <si>
    <t>ES0031408323131005HX0F,2024/09/06,19:00,0.114,Real,</t>
  </si>
  <si>
    <t>ES0031408323131005HX0F,2024/09/06,20:00,0.086,Real,</t>
  </si>
  <si>
    <t>ES0031408323131005HX0F,2024/09/06,21:00,0.081,Real,</t>
  </si>
  <si>
    <t>ES0031408323131005HX0F,2024/09/06,22:00,0.051,Real,</t>
  </si>
  <si>
    <t>ES0031408323131005HX0F,2024/09/06,23:00,0.014,Real,</t>
  </si>
  <si>
    <t>ES0031408323131005HX0F,2024/09/06,24:00,0.316,Real,</t>
  </si>
  <si>
    <t>ES0031408323131005HX0F,2024/09/07,01:00,0.116,Real,</t>
  </si>
  <si>
    <t>ES0031408323131005HX0F,2024/09/07,02:00,0.107,Real,</t>
  </si>
  <si>
    <t>ES0031408323131005HX0F,2024/09/07,03:00,0.089,Real,</t>
  </si>
  <si>
    <t>ES0031408323131005HX0F,2024/09/07,04:00,0.076,Real,</t>
  </si>
  <si>
    <t>ES0031408323131005HX0F,2024/09/07,05:00,0.014,Real,</t>
  </si>
  <si>
    <t>ES0031408323131005HX0F,2024/09/07,06:00,0.013,Real,</t>
  </si>
  <si>
    <t>ES0031408323131005HX0F,2024/09/07,07:00,0.383,Real,</t>
  </si>
  <si>
    <t>ES0031408323131005HX0F,2024/09/07,08:00,0.113,Real,</t>
  </si>
  <si>
    <t>ES0031408323131005HX0F,2024/09/07,09:00,0.088,Real,</t>
  </si>
  <si>
    <t>ES0031408323131005HX0F,2024/09/07,10:00,0.081,Real,</t>
  </si>
  <si>
    <t>ES0031408323131005HX0F,2024/09/07,11:00,0.021,Real,</t>
  </si>
  <si>
    <t>ES0031408323131005HX0F,2024/09/07,12:00,0.013,Real,</t>
  </si>
  <si>
    <t>ES0031408323131005HX0F,2024/09/07,13:00,0.079,Real,</t>
  </si>
  <si>
    <t>ES0031408323131005HX0F,2024/09/07,14:00,0.383,Real,</t>
  </si>
  <si>
    <t>ES0031408323131005HX0F,2024/09/07,15:00,0.086,Real,</t>
  </si>
  <si>
    <t>ES0031408323131005HX0F,2024/09/07,16:00,0.081,Real,</t>
  </si>
  <si>
    <t>ES0031408323131005HX0F,2024/09/07,17:00,0.062,Real,</t>
  </si>
  <si>
    <t>ES0031408323131005HX0F,2024/09/07,18:00,0.013,Real,</t>
  </si>
  <si>
    <t>ES0031408323131005HX0F,2024/09/07,19:00,0.035,Real,</t>
  </si>
  <si>
    <t>ES0031408323131005HX0F,2024/09/07,20:00,0.117,Real,</t>
  </si>
  <si>
    <t>ES0031408323131005HX0F,2024/09/07,21:00,0.108,Real,</t>
  </si>
  <si>
    <t>ES0031408323131005HX0F,2024/09/07,22:00,0.356,Real,</t>
  </si>
  <si>
    <t>ES0031408323131005HX0F,2024/09/07,23:00,0.08,Real,</t>
  </si>
  <si>
    <t>ES0031408323131005HX0F,2024/09/07,24:00,0.013,Real,</t>
  </si>
  <si>
    <t>ES0031408323131005HX0F,2024/09/08,01:00,0.013,Real,</t>
  </si>
  <si>
    <t>ES0031408323131005HX0F,2024/09/08,02:00,0.11,Real,</t>
  </si>
  <si>
    <t>ES0031408323131005HX0F,2024/09/08,03:00,0.117,Real,</t>
  </si>
  <si>
    <t>ES0031408323131005HX0F,2024/09/08,04:00,0.113,Real,</t>
  </si>
  <si>
    <t>ES0031408323131005HX0F,2024/09/08,05:00,0.365,Real,</t>
  </si>
  <si>
    <t>ES0031408323131005HX0F,2024/09/08,06:00,0.081,Real,</t>
  </si>
  <si>
    <t>ES0031408323131005HX0F,2024/09/08,07:00,0.02,Real,</t>
  </si>
  <si>
    <t>ES0031408323131005HX0F,2024/09/08,08:00,0.014,Real,</t>
  </si>
  <si>
    <t>ES0031408323131005HX0F,2024/09/08,09:00,0.081,Real,</t>
  </si>
  <si>
    <t>ES0031408323131005HX0F,2024/09/08,10:00,0.114,Real,</t>
  </si>
  <si>
    <t>ES0031408323131005HX0F,2024/09/08,11:00,0.087,Real,</t>
  </si>
  <si>
    <t>ES0031408323131005HX0F,2024/09/08,12:00,0.082,Real,</t>
  </si>
  <si>
    <t>ES0031408323131005HX0F,2024/09/08,13:00,0.356,Real,</t>
  </si>
  <si>
    <t>ES0031408323131005HX0F,2024/09/08,14:00,0.013,Real,</t>
  </si>
  <si>
    <t>ES0031408323131005HX0F,2024/09/08,15:00,0.021,Real,</t>
  </si>
  <si>
    <t>ES0031408323131005HX0F,2024/09/08,16:00,0.119,Real,</t>
  </si>
  <si>
    <t>ES0031408323131005HX0F,2024/09/08,17:00,0.113,Real,</t>
  </si>
  <si>
    <t>ES0031408323131005HX0F,2024/09/08,18:00,0.087,Real,</t>
  </si>
  <si>
    <t>ES0031408323131005HX0F,2024/09/08,19:00,0.083,Real,</t>
  </si>
  <si>
    <t>ES0031408323131005HX0F,2024/09/08,20:00,0.325,Real,</t>
  </si>
  <si>
    <t>ES0031408323131005HX0F,2024/09/08,21:00,0.013,Real,</t>
  </si>
  <si>
    <t>ES0031408323131005HX0F,2024/09/08,22:00,0.07,Real,</t>
  </si>
  <si>
    <t>ES0031408323131005HX0F,2024/09/08,23:00,0.115,Real,</t>
  </si>
  <si>
    <t>ES0031408323131005HX0F,2024/09/08,24:00,0.088,Real,</t>
  </si>
  <si>
    <t>ES0031408323131005HX0F,2024/09/09,01:00,0.093,Real,</t>
  </si>
  <si>
    <t>ES0031408323131005HX0F,2024/09/09,02:00,0.099,Real,</t>
  </si>
  <si>
    <t>ES0031408323131005HX0F,2024/09/09,03:00,0.018,Real,</t>
  </si>
  <si>
    <t>ES0031408323131005HX0F,2024/09/09,04:00,0.167,Real,</t>
  </si>
  <si>
    <t>ES0031408323131005HX0F,2024/09/09,05:00,0.246,Real,</t>
  </si>
  <si>
    <t>ES0031408323131005HX0F,2024/09/09,06:00,0.114,Real,</t>
  </si>
  <si>
    <t>ES0031408323131005HX0F,2024/09/09,07:00,0.086,Real,</t>
  </si>
  <si>
    <t>ES0031408323131005HX0F,2024/09/09,08:00,0.082,Real,</t>
  </si>
  <si>
    <t>ES0031408323131005HX0F,2024/09/09,09:00,0.048,Real,</t>
  </si>
  <si>
    <t>ES0031408323131005HX0F,2024/09/09,10:00,0.013,Real,</t>
  </si>
  <si>
    <t>ES0031408323131005HX0F,2024/09/09,11:00,0.051,Real,</t>
  </si>
  <si>
    <t>ES0031408323131005HX0F,2024/09/09,12:00,0.293,Real,</t>
  </si>
  <si>
    <t>ES0031408323131005HX0F,2024/09/09,13:00,0.172,Real,</t>
  </si>
  <si>
    <t>ES0031408323131005HX0F,2024/09/09,14:00,0.088,Real,</t>
  </si>
  <si>
    <t>ES0031408323131005HX0F,2024/09/09,15:00,0.078,Real,</t>
  </si>
  <si>
    <t>ES0031408323131005HX0F,2024/09/09,16:00,0.013,Real,</t>
  </si>
  <si>
    <t>ES0031408323131005HX0F,2024/09/09,17:00,0.013,Real,</t>
  </si>
  <si>
    <t>ES0031408323131005HX0F,2024/09/09,18:00,0.113,Real,</t>
  </si>
  <si>
    <t>ES0031408323131005HX0F,2024/09/09,19:00,0.113,Real,</t>
  </si>
  <si>
    <t>ES0031408323131005HX0F,2024/09/09,20:00,0.356,Real,</t>
  </si>
  <si>
    <t>ES0031408323131005HX0F,2024/09/09,21:00,0.081,Real,</t>
  </si>
  <si>
    <t>ES0031408323131005HX0F,2024/09/09,22:00,0.036,Real,</t>
  </si>
  <si>
    <t>ES0031408323131005HX0F,2024/09/09,23:00,0.013,Real,</t>
  </si>
  <si>
    <t>ES0031408323131005HX0F,2024/09/09,24:00,0.064,Real,</t>
  </si>
  <si>
    <t>ES0031408323131005HX0F,2024/09/10,01:00,0.116,Real,</t>
  </si>
  <si>
    <t>ES0031408323131005HX0F,2024/09/10,02:00,0.103,Real,</t>
  </si>
  <si>
    <t>ES0031408323131005HX0F,2024/09/10,03:00,0.378,Real,</t>
  </si>
  <si>
    <t>ES0031408323131005HX0F,2024/09/10,04:00,0.079,Real,</t>
  </si>
  <si>
    <t>ES0031408323131005HX0F,2024/09/10,05:00,0.013,Real,</t>
  </si>
  <si>
    <t>ES0031408323131005HX0F,2024/09/10,06:00,0.015,Real,</t>
  </si>
  <si>
    <t>ES0031408323131005HX0F,2024/09/10,07:00,0.118,Real,</t>
  </si>
  <si>
    <t>ES0031408323131005HX0F,2024/09/10,08:00,0.113,Real,</t>
  </si>
  <si>
    <t>ES0031408323131005HX0F,2024/09/10,09:00,0.091,Real,</t>
  </si>
  <si>
    <t>ES0031408323131005HX0F,2024/09/10,10:00,0.123,Real,</t>
  </si>
  <si>
    <t>ES0031408323131005HX0F,2024/09/10,11:00,0.365,Real,</t>
  </si>
  <si>
    <t>ES0031408323131005HX0F,2024/09/10,12:00,0.013,Real,</t>
  </si>
  <si>
    <t>ES0031408323131005HX0F,2024/09/10,13:00,0.014,Real,</t>
  </si>
  <si>
    <t>ES0031408323131005HX0F,2024/09/10,14:00,0.112,Real,</t>
  </si>
  <si>
    <t>ES0031408323131005HX0F,2024/09/10,15:00,0.113,Real,</t>
  </si>
  <si>
    <t>ES0031408323131005HX0F,2024/09/10,16:00,0.085,Real,</t>
  </si>
  <si>
    <t>ES0031408323131005HX0F,2024/09/10,17:00,0.08,Real,</t>
  </si>
  <si>
    <t>ES0031408323131005HX0F,2024/09/10,18:00,0.027,Real,</t>
  </si>
  <si>
    <t>ES0031408323131005HX0F,2024/09/10,19:00,0.288,Real,</t>
  </si>
  <si>
    <t>ES0031408323131005HX0F,2024/09/10,20:00,0.075,Real,</t>
  </si>
  <si>
    <t>ES0031408323131005HX0F,2024/09/10,21:00,0.115,Real,</t>
  </si>
  <si>
    <t>ES0031408323131005HX0F,2024/09/10,22:00,0.085,Real,</t>
  </si>
  <si>
    <t>ES0031408323131005HX0F,2024/09/10,23:00,0.08,Real,</t>
  </si>
  <si>
    <t>ES0031408323131005HX0F,2024/09/10,24:00,0.075,Real,</t>
  </si>
  <si>
    <t>ES0031408323131005HX0F,2024/09/11,01:00,0.013,Real,</t>
  </si>
  <si>
    <t>ES0031408323131005HX0F,2024/09/11,02:00,0.32,Real,</t>
  </si>
  <si>
    <t>ES0031408323131005HX0F,2024/09/11,03:00,0.123,Real,</t>
  </si>
  <si>
    <t>ES0031408323131005HX0F,2024/09/11,04:00,0.114,Real,</t>
  </si>
  <si>
    <t>ES0031408323131005HX0F,2024/09/11,05:00,0.085,Real,</t>
  </si>
  <si>
    <t>ES0031408323131005HX0F,2024/09/11,06:00,0.079,Real,</t>
  </si>
  <si>
    <t>ES0031408323131005HX0F,2024/09/11,07:00,0.025,Real,</t>
  </si>
  <si>
    <t>ES0031408323131005HX0F,2024/09/11,08:00,0.013,Real,</t>
  </si>
  <si>
    <t>ES0031408323131005HX0F,2024/09/11,09:00,0.076,Real,</t>
  </si>
  <si>
    <t>ES0031408323131005HX0F,2024/09/11,10:00,0.39,Real,</t>
  </si>
  <si>
    <t>ES0031408323131005HX0F,2024/09/11,11:00,0.084,Real,</t>
  </si>
  <si>
    <t>ES0031408323131005HX0F,2024/09/11,12:00,0.079,Real,</t>
  </si>
  <si>
    <t>ES0031408323131005HX0F,2024/09/11,13:00,0.06,Real,</t>
  </si>
  <si>
    <t>ES0031408323131005HX0F,2024/09/11,14:00,0.013,Real,</t>
  </si>
  <si>
    <t>ES0031408323131005HX0F,2024/09/11,15:00,0.037,Real,</t>
  </si>
  <si>
    <t>ES0031408323131005HX0F,2024/09/11,16:00,0.117,Real,</t>
  </si>
  <si>
    <t>ES0031408323131005HX0F,2024/09/11,17:00,0.369,Real,</t>
  </si>
  <si>
    <t>ES0031408323131005HX0F,2024/09/11,18:00,0.088,Real,</t>
  </si>
  <si>
    <t>ES0031408323131005HX0F,2024/09/11,19:00,0.078,Real,</t>
  </si>
  <si>
    <t>ES0031408323131005HX0F,2024/09/11,20:00,0.014,Real,</t>
  </si>
  <si>
    <t>ES0031408323131005HX0F,2024/09/11,21:00,0.013,Real,</t>
  </si>
  <si>
    <t>ES0031408323131005HX0F,2024/09/11,22:00,0.108,Real,</t>
  </si>
  <si>
    <t>ES0031408323131005HX0F,2024/09/11,23:00,0.114,Real,</t>
  </si>
  <si>
    <t>ES0031408323131005HX0F,2024/09/11,24:00,0.374,Real,</t>
  </si>
  <si>
    <t>ES0031408323131005HX0F,2024/09/12,01:00,0.08,Real,</t>
  </si>
  <si>
    <t>ES0031408323131005HX0F,2024/09/12,02:00,0.041,Real,</t>
  </si>
  <si>
    <t>ES0031408323131005HX0F,2024/09/12,03:00,0.018,Real,</t>
  </si>
  <si>
    <t>ES0031408323131005HX0F,2024/09/12,04:00,0.076,Real,</t>
  </si>
  <si>
    <t>ES0031408323131005HX0F,2024/09/12,05:00,0.115,Real,</t>
  </si>
  <si>
    <t>ES0031408323131005HX0F,2024/09/12,06:00,0.085,Real,</t>
  </si>
  <si>
    <t>ES0031408323131005HX0F,2024/09/12,07:00,0.079,Real,</t>
  </si>
  <si>
    <t>ES0031408323131005HX0F,2024/09/12,08:00,0.332,Real,</t>
  </si>
  <si>
    <t>ES0031408323131005HX0F,2024/09/12,09:00,0.014,Real,</t>
  </si>
  <si>
    <t>ES0031408323131005HX0F,2024/09/12,10:00,0.043,Real,</t>
  </si>
  <si>
    <t>ES0031408323131005HX0F,2024/09/12,11:00,0.117,Real,</t>
  </si>
  <si>
    <t>ES0031408323131005HX0F,2024/09/12,12:00,0.083,Real,</t>
  </si>
  <si>
    <t>ES0031408323131005HX0F,2024/09/12,13:00,0.111,Real,</t>
  </si>
  <si>
    <t>ES0031408323131005HX0F,2024/09/12,14:00,0.077,Real,</t>
  </si>
  <si>
    <t>ES0031408323131005HX0F,2024/09/12,15:00,0.349,Real,</t>
  </si>
  <si>
    <t>ES0031408323131005HX0F,2024/09/12,16:00,0.058,Real,</t>
  </si>
  <si>
    <t>ES0031408323131005HX0F,2024/09/12,17:00,0.013,Real,</t>
  </si>
  <si>
    <t>ES0031408323131005HX0F,2024/09/12,18:00,0.039,Real,</t>
  </si>
  <si>
    <t>ES0031408323131005HX0F,2024/09/12,19:00,0.117,Real,</t>
  </si>
  <si>
    <t>ES0031408323131005HX0F,2024/09/12,20:00,0.088,Real,</t>
  </si>
  <si>
    <t>ES0031408323131005HX0F,2024/09/12,21:00,0.086,Real,</t>
  </si>
  <si>
    <t>ES0031408323131005HX0F,2024/09/12,22:00,0.078,Real,</t>
  </si>
  <si>
    <t>ES0031408323131005HX0F,2024/09/12,23:00,0.3,Real,</t>
  </si>
  <si>
    <t>ES0031408323131005HX0F,2024/09/12,24:00,0.013,Real,</t>
  </si>
  <si>
    <t>ES0031408323131005HX0F,2024/09/13,01:00,0.113,Real,</t>
  </si>
  <si>
    <t>ES0031408323131005HX0F,2024/09/13,02:00,0.131,Real,</t>
  </si>
  <si>
    <t>ES0031408323131005HX0F,2024/09/13,03:00,0.088,Real,</t>
  </si>
  <si>
    <t>ES0031408323131005HX0F,2024/09/13,04:00,0.078,Real,</t>
  </si>
  <si>
    <t>ES0031408323131005HX0F,2024/09/13,05:00,0.019,Real,</t>
  </si>
  <si>
    <t>ES0031408323131005HX0F,2024/09/13,06:00,0.307,Real,</t>
  </si>
  <si>
    <t>ES0031408323131005HX0F,2024/09/13,07:00,0.082,Real,</t>
  </si>
  <si>
    <t>ES0031408323131005HX0F,2024/09/13,08:00,0.114,Real,</t>
  </si>
  <si>
    <t>ES0031408323131005HX0F,2024/09/13,09:00,0.084,Real,</t>
  </si>
  <si>
    <t>ES0031408323131005HX0F,2024/09/13,10:00,0.077,Real,</t>
  </si>
  <si>
    <t>ES0031408323131005HX0F,2024/09/13,11:00,0.033,Real,</t>
  </si>
  <si>
    <t>ES0031408323131005HX0F,2024/09/13,12:00,0.013,Real,</t>
  </si>
  <si>
    <t>ES0031408323131005HX0F,2024/09/13,13:00,0.067,Real,</t>
  </si>
  <si>
    <t>ES0031408323131005HX0F,2024/09/13,14:00,0.411,Real,</t>
  </si>
  <si>
    <t>ES0031408323131005HX0F,2024/09/13,15:00,0.083,Real,</t>
  </si>
  <si>
    <t>ES0031408323131005HX0F,2024/09/13,16:00,0.076,Real,</t>
  </si>
  <si>
    <t>ES0031408323131005HX0F,2024/09/13,17:00,0.042,Real,</t>
  </si>
  <si>
    <t>ES0031408323131005HX0F,2024/09/13,18:00,0.014,Real,</t>
  </si>
  <si>
    <t>ES0031408323131005HX0F,2024/09/13,19:00,0.057,Real,</t>
  </si>
  <si>
    <t>ES0031408323131005HX0F,2024/09/13,20:00,0.115,Real,</t>
  </si>
  <si>
    <t>ES0031408323131005HX0F,2024/09/13,21:00,0.375,Real,</t>
  </si>
  <si>
    <t>ES0031408323131005HX0F,2024/09/13,22:00,0.081,Real,</t>
  </si>
  <si>
    <t>ES0031408323131005HX0F,2024/09/13,23:00,0.052,Real,</t>
  </si>
  <si>
    <t>ES0031408323131005HX0F,2024/09/13,24:00,0.013,Real,</t>
  </si>
  <si>
    <t>ES0031408323131005HX0F,2024/09/14,01:00,0.046,Real,</t>
  </si>
  <si>
    <t>ES0031408323131005HX0F,2024/09/14,02:00,0.134,Real,</t>
  </si>
  <si>
    <t>ES0031408323131005HX0F,2024/09/14,03:00,0.087,Real,</t>
  </si>
  <si>
    <t>ES0031408323131005HX0F,2024/09/14,04:00,0.075,Real,</t>
  </si>
  <si>
    <t>ES0031408323131005HX0F,2024/09/14,05:00,0.345,Real,</t>
  </si>
  <si>
    <t>ES0031408323131005HX0F,2024/09/14,06:00,0.014,Real,</t>
  </si>
  <si>
    <t>ES0031408323131005HX0F,2024/09/14,07:00,0.033,Real,</t>
  </si>
  <si>
    <t>ES0031408323131005HX0F,2024/09/14,08:00,0.117,Real,</t>
  </si>
  <si>
    <t>ES0031408323131005HX0F,2024/09/14,09:00,0.082,Real,</t>
  </si>
  <si>
    <t>ES0031408323131005HX0F,2024/09/14,10:00,0.075,Real,</t>
  </si>
  <si>
    <t>ES0031408323131005HX0F,2024/09/14,11:00,0.064,Real,</t>
  </si>
  <si>
    <t>ES0031408323131005HX0F,2024/09/14,12:00,0.295,Real,</t>
  </si>
  <si>
    <t>ES0031408323131005HX0F,2024/09/14,13:00,0.034,Real,</t>
  </si>
  <si>
    <t>ES0031408323131005HX0F,2024/09/14,14:00,0.116,Real,</t>
  </si>
  <si>
    <t>ES0031408323131005HX0F,2024/09/14,15:00,0.082,Real,</t>
  </si>
  <si>
    <t>ES0031408323131005HX0F,2024/09/14,16:00,0.074,Real,</t>
  </si>
  <si>
    <t>ES0031408323131005HX0F,2024/09/14,17:00,0.057,Real,</t>
  </si>
  <si>
    <t>ES0031408323131005HX0F,2024/09/14,18:00,0.027,Real,</t>
  </si>
  <si>
    <t>ES0031408323131005HX0F,2024/09/14,19:00,0.327,Real,</t>
  </si>
  <si>
    <t>ES0031408323131005HX0F,2024/09/14,20:00,0.117,Real,</t>
  </si>
  <si>
    <t>ES0031408323131005HX0F,2024/09/14,21:00,0.086,Real,</t>
  </si>
  <si>
    <t>ES0031408323131005HX0F,2024/09/14,22:00,0.077,Real,</t>
  </si>
  <si>
    <t>ES0031408323131005HX0F,2024/09/14,23:00,0.07,Real,</t>
  </si>
  <si>
    <t>ES0031408323131005HX0F,2024/09/14,24:00,0.013,Real,</t>
  </si>
  <si>
    <t>ES0031408323131005HX0F,2024/09/15,01:00,0.021,Real,</t>
  </si>
  <si>
    <t>ES0031408323131005HX0F,2024/09/15,02:00,0.139,Real,</t>
  </si>
  <si>
    <t>ES0031408323131005HX0F,2024/09/15,03:00,0.351,Real,</t>
  </si>
  <si>
    <t>ES0031408323131005HX0F,2024/09/15,04:00,0.077,Real,</t>
  </si>
  <si>
    <t>ES0031408323131005HX0F,2024/09/15,05:00,0.07,Real,</t>
  </si>
  <si>
    <t>ES0031408323131005HX0F,2024/09/15,06:00,0.013,Real,</t>
  </si>
  <si>
    <t>ES0031408323131005HX0F,2024/09/15,07:00,0.024,Real,</t>
  </si>
  <si>
    <t>ES0031408323131005HX0F,2024/09/15,08:00,0.117,Real,</t>
  </si>
  <si>
    <t>ES0031408323131005HX0F,2024/09/15,09:00,0.32,Real,</t>
  </si>
  <si>
    <t>ES0031408323131005HX0F,2024/09/15,10:00,0.126,Real,</t>
  </si>
  <si>
    <t>ES0031408323131005HX0F,2024/09/15,11:00,0.063,Real,</t>
  </si>
  <si>
    <t>ES0031408323131005HX0F,2024/09/15,12:00,0.014,Real,</t>
  </si>
  <si>
    <t>ES0031408323131005HX0F,2024/09/15,13:00,0.034,Real,</t>
  </si>
  <si>
    <t>ES0031408323131005HX0F,2024/09/15,14:00,0.115,Real,</t>
  </si>
  <si>
    <t>ES0031408323131005HX0F,2024/09/15,15:00,0.081,Real,</t>
  </si>
  <si>
    <t>ES0031408323131005HX0F,2024/09/15,16:00,0.073,Real,</t>
  </si>
  <si>
    <t>ES0031408323131005HX0F,2024/09/15,17:00,0.359,Real,</t>
  </si>
  <si>
    <t>ES0031408323131005HX0F,2024/09/15,18:00,0.013,Real,</t>
  </si>
  <si>
    <t>ES0031408323131005HX0F,2024/09/15,19:00,0.044,Real,</t>
  </si>
  <si>
    <t>ES0031408323131005HX0F,2024/09/15,20:00,0.116,Real,</t>
  </si>
  <si>
    <t>ES0031408323131005HX0F,2024/09/15,21:00,0.081,Real,</t>
  </si>
  <si>
    <t>ES0031408323131005HX0F,2024/09/15,22:00,0.075,Real,</t>
  </si>
  <si>
    <t>ES0031408323131005HX0F,2024/09/15,23:00,0.045,Real,</t>
  </si>
  <si>
    <t>ES0031408323131005HX0F,2024/09/15,24:00,0.284,Real,</t>
  </si>
  <si>
    <t>ES0031408323131005HX0F,2024/09/16,01:00,0.053,Real,</t>
  </si>
  <si>
    <t>ES0031408323131005HX0F,2024/09/16,02:00,0.133,Real,</t>
  </si>
  <si>
    <t>ES0031408323131005HX0F,2024/09/16,03:00,0.086,Real,</t>
  </si>
  <si>
    <t>ES0031408323131005HX0F,2024/09/16,04:00,0.074,Real,</t>
  </si>
  <si>
    <t>ES0031408323131005HX0F,2024/09/16,05:00,0.043,Real,</t>
  </si>
  <si>
    <t>ES0031408323131005HX0F,2024/09/16,06:00,0.013,Real,</t>
  </si>
  <si>
    <t>ES0031408323131005HX0F,2024/09/16,07:00,0.348,Real,</t>
  </si>
  <si>
    <t>ES0031408323131005HX0F,2024/09/16,08:00,0.114,Real,</t>
  </si>
  <si>
    <t>ES0031408323131005HX0F,2024/09/16,09:00,0.082,Real,</t>
  </si>
  <si>
    <t>ES0031408323131005HX0F,2024/09/16,10:00,0.073,Real,</t>
  </si>
  <si>
    <t>ES0031408323131005HX0F,2024/09/16,11:00,0.034,Real,</t>
  </si>
  <si>
    <t>ES0031408323131005HX0F,2024/09/16,12:00,0.013,Real,</t>
  </si>
  <si>
    <t>ES0031408323131005HX0F,2024/09/16,13:00,0.064,Real,</t>
  </si>
  <si>
    <t>ES0031408323131005HX0F,2024/09/16,14:00,0.407,Real,</t>
  </si>
  <si>
    <t>ES0031408323131005HX0F,2024/09/16,15:00,0.08,Real,</t>
  </si>
  <si>
    <t>ES0031408323131005HX0F,2024/09/16,16:00,0.074,Real,</t>
  </si>
  <si>
    <t>ES0031408323131005HX0F,2024/09/16,17:00,0.019,Real,</t>
  </si>
  <si>
    <t>ES0031408323131005HX0F,2024/09/16,18:00,0.013,Real,</t>
  </si>
  <si>
    <t>ES0031408323131005HX0F,2024/09/16,19:00,0.081,Real,</t>
  </si>
  <si>
    <t>ES0031408323131005HX0F,2024/09/16,20:00,0.113,Real,</t>
  </si>
  <si>
    <t>ES0031408323131005HX0F,2024/09/16,21:00,0.196,Real,</t>
  </si>
  <si>
    <t>ES0031408323131005HX0F,2024/09/16,22:00,0.247,Real,</t>
  </si>
  <si>
    <t>ES0031408323131005HX0F,2024/09/16,23:00,0.026,Real,</t>
  </si>
  <si>
    <t>ES0031408323131005HX0F,2024/09/16,24:00,0.014,Real,</t>
  </si>
  <si>
    <t>ES0031408323131005HX0F,2024/09/17,01:00,0.09,Real,</t>
  </si>
  <si>
    <t>ES0031408323131005HX0F,2024/09/17,02:00,0.132,Real,</t>
  </si>
  <si>
    <t>ES0031408323131005HX0F,2024/09/17,03:00,0.085,Real,</t>
  </si>
  <si>
    <t>ES0031408323131005HX0F,2024/09/17,04:00,0.076,Real,</t>
  </si>
  <si>
    <t>ES0031408323131005HX0F,2024/09/17,05:00,0.314,Real,</t>
  </si>
  <si>
    <t>ES0031408323131005HX0F,2024/09/17,06:00,0.014,Real,</t>
  </si>
  <si>
    <t>ES0031408323131005HX0F,2024/09/17,07:00,0.07,Real,</t>
  </si>
  <si>
    <t>ES0031408323131005HX0F,2024/09/17,08:00,0.114,Real,</t>
  </si>
  <si>
    <t>ES0031408323131005HX0F,2024/09/17,09:00,0.081,Real,</t>
  </si>
  <si>
    <t>ES0031408323131005HX0F,2024/09/17,10:00,0.073,Real,</t>
  </si>
  <si>
    <t>ES0031408323131005HX0F,2024/09/17,11:00,0.02,Real,</t>
  </si>
  <si>
    <t>ES0031408323131005HX0F,2024/09/17,12:00,0.286,Real,</t>
  </si>
  <si>
    <t>ES0031408323131005HX0F,2024/09/17,13:00,0.08,Real,</t>
  </si>
  <si>
    <t>ES0031408323131005HX0F,2024/09/17,14:00,0.113,Real,</t>
  </si>
  <si>
    <t>ES0031408323131005HX0F,2024/09/17,15:00,0.08,Real,</t>
  </si>
  <si>
    <t>ES0031408323131005HX0F,2024/09/17,16:00,0.073,Real,</t>
  </si>
  <si>
    <t>ES0031408323131005HX0F,2024/09/17,17:00,0.013,Real,</t>
  </si>
  <si>
    <t>ES0031408323131005HX0F,2024/09/17,18:00,0.014,Real,</t>
  </si>
  <si>
    <t>ES0031408323131005HX0F,2024/09/17,19:00,0.36,Real,</t>
  </si>
  <si>
    <t>ES0031408323131005HX0F,2024/09/17,20:00,0.109,Real,</t>
  </si>
  <si>
    <t>ES0031408323131005HX0F,2024/09/17,21:00,0.079,Real,</t>
  </si>
  <si>
    <t>ES0031408323131005HX0F,2024/09/17,22:00,0.072,Real,</t>
  </si>
  <si>
    <t>ES0031408323131005HX0F,2024/09/17,23:00,0.013,Real,</t>
  </si>
  <si>
    <t>ES0031408323131005HX0F,2024/09/17,24:00,0.014,Real,</t>
  </si>
  <si>
    <t>ES0031408323131005HX0F,2024/09/18,01:00,0.116,Real,</t>
  </si>
  <si>
    <t>ES0031408323131005HX0F,2024/09/18,02:00,0.389,Real,</t>
  </si>
  <si>
    <t>ES0031408323131005HX0F,2024/09/18,03:00,0.085,Real,</t>
  </si>
  <si>
    <t>ES0031408323131005HX0F,2024/09/18,04:00,0.073,Real,</t>
  </si>
  <si>
    <t>ES0031408323131005HX0F,2024/09/18,05:00,0.014,Real,</t>
  </si>
  <si>
    <t>ES0031408323131005HX0F,2024/09/18,06:00,0.013,Real,</t>
  </si>
  <si>
    <t>ES0031408323131005HX0F,2024/09/18,07:00,0.091,Real,</t>
  </si>
  <si>
    <t>ES0031408323131005HX0F,2024/09/18,08:00,0.11,Real,</t>
  </si>
  <si>
    <t>ES0031408323131005HX0F,2024/09/18,09:00,0.35,Real,</t>
  </si>
  <si>
    <t>ES0031408323131005HX0F,2024/09/18,10:00,0.071,Real,</t>
  </si>
  <si>
    <t>ES0031408323131005HX0F,2024/09/18,11:00,0.013,Real,</t>
  </si>
  <si>
    <t>ES0031408323131005HX0F,2024/09/18,12:00,0.014,Real,</t>
  </si>
  <si>
    <t>ES0031408323131005HX0F,2024/09/18,13:00,0.096,Real,</t>
  </si>
  <si>
    <t>ES0031408323131005HX0F,2024/09/18,14:00,0.101,Real,</t>
  </si>
  <si>
    <t>ES0031408323131005HX0F,2024/09/18,15:00,0.077,Real,</t>
  </si>
  <si>
    <t>ES0031408323131005HX0F,2024/09/18,16:00,0.355,Real,</t>
  </si>
  <si>
    <t>ES0031408323131005HX0F,2024/09/18,17:00,0.014,Real,</t>
  </si>
  <si>
    <t>ES0031408323131005HX0F,2024/09/18,18:00,0.013,Real,</t>
  </si>
  <si>
    <t>ES0031408323131005HX0F,2024/09/18,19:00,0.103,Real,</t>
  </si>
  <si>
    <t>ES0031408323131005HX0F,2024/09/18,20:00,0.096,Real,</t>
  </si>
  <si>
    <t>ES0031408323131005HX0F,2024/09/18,21:00,0.079,Real,</t>
  </si>
  <si>
    <t>ES0031408323131005HX0F,2024/09/18,22:00,0.072,Real,</t>
  </si>
  <si>
    <t>ES0031408323131005HX0F,2024/09/18,23:00,0.294,Real,</t>
  </si>
  <si>
    <t>ES0031408323131005HX0F,2024/09/18,24:00,0.014,Real,</t>
  </si>
  <si>
    <t>ES0031408323131005HX0F,2024/09/19,01:00,0.106,Real,</t>
  </si>
  <si>
    <t>ES0031408323131005HX0F,2024/09/19,02:00,0.114,Real,</t>
  </si>
  <si>
    <t>ES0031408323131005HX0F,2024/09/19,03:00,0.083,Real,</t>
  </si>
  <si>
    <t>ES0031408323131005HX0F,2024/09/19,04:00,0.053,Real,</t>
  </si>
  <si>
    <t>ES0031408323131005HX0F,2024/09/19,05:00,0.013,Real,</t>
  </si>
  <si>
    <t>ES0031408323131005HX0F,2024/09/19,06:00,0.311,Real,</t>
  </si>
  <si>
    <t>ES0031408323131005HX0F,2024/09/19,07:00,0.118,Real,</t>
  </si>
  <si>
    <t>ES0031408323131005HX0F,2024/09/19,08:00,0.098,Real,</t>
  </si>
  <si>
    <t>ES0031408323131005HX0F,2024/09/19,09:00,0.08,Real,</t>
  </si>
  <si>
    <t>ES0031408323131005HX0F,2024/09/19,10:00,0.073,Real,</t>
  </si>
  <si>
    <t>ES0031408323131005HX0F,2024/09/19,11:00,0.013,Real,</t>
  </si>
  <si>
    <t>ES0031408323131005HX0F,2024/09/19,12:00,0.014,Real,</t>
  </si>
  <si>
    <t>ES0031408323131005HX0F,2024/09/19,13:00,0.382,Real,</t>
  </si>
  <si>
    <t>ES0031408323131005HX0F,2024/09/19,14:00,0.094,Real,</t>
  </si>
  <si>
    <t>ES0031408323131005HX0F,2024/09/19,15:00,0.078,Real,</t>
  </si>
  <si>
    <t>ES0031408323131005HX0F,2024/09/19,16:00,0.071,Real,</t>
  </si>
  <si>
    <t>ES0031408323131005HX0F,2024/09/19,17:00,0.014,Real,</t>
  </si>
  <si>
    <t>ES0031408323131005HX0F,2024/09/19,18:00,0.013,Real,</t>
  </si>
  <si>
    <t>ES0031408323131005HX0F,2024/09/19,19:00,0.111,Real,</t>
  </si>
  <si>
    <t>ES0031408323131005HX0F,2024/09/19,20:00,0.352,Real,</t>
  </si>
  <si>
    <t>ES0031408323131005HX0F,2024/09/19,21:00,0.079,Real,</t>
  </si>
  <si>
    <t>ES0031408323131005HX0F,2024/09/19,22:00,0.072,Real,</t>
  </si>
  <si>
    <t>ES0031408323131005HX0F,2024/09/19,23:00,0.013,Real,</t>
  </si>
  <si>
    <t>ES0031408323131005HX0F,2024/09/19,24:00,0.014,Real,</t>
  </si>
  <si>
    <t>ES0031408323131005HX0F,2024/09/20,01:00,0.112,Real,</t>
  </si>
  <si>
    <t>ES0031408323131005HX0F,2024/09/20,02:00,0.319,Real,</t>
  </si>
  <si>
    <t>ES0031408323131005HX0F,2024/09/20,03:00,0.138,Real,</t>
  </si>
  <si>
    <t>ES0031408323131005HX0F,2024/09/20,04:00,0.072,Real,</t>
  </si>
  <si>
    <t>ES0031408323131005HX0F,2024/09/20,05:00,0.014,Real,</t>
  </si>
  <si>
    <t>ES0031408323131005HX0F,2024/09/20,06:00,0.013,Real,</t>
  </si>
  <si>
    <t>ES0031408323131005HX0F,2024/09/20,07:00,0.115,Real,</t>
  </si>
  <si>
    <t>ES0031408323131005HX0F,2024/09/20,08:00,0.082,Real,</t>
  </si>
  <si>
    <t>ES0031408323131005HX0F,2024/09/20,09:00,0.35,Real,</t>
  </si>
  <si>
    <t>ES0031408323131005HX0F,2024/09/20,10:00,0.073,Real,</t>
  </si>
  <si>
    <t>ES0031408323131005HX0F,2024/09/20,11:00,0.013,Real,</t>
  </si>
  <si>
    <t>ES0031408323131005HX0F,2024/09/20,12:00,0.014,Real,</t>
  </si>
  <si>
    <t>ES0031408323131005HX0F,2024/09/20,13:00,0.118,Real,</t>
  </si>
  <si>
    <t>ES0031408323131005HX0F,2024/09/20,14:00,0.079,Real,</t>
  </si>
  <si>
    <t>ES0031408323131005HX0F,2024/09/20,15:00,0.073,Real,</t>
  </si>
  <si>
    <t>ES0031408323131005HX0F,2024/09/20,16:00,0.342,Real,</t>
  </si>
  <si>
    <t>ES0031408323131005HX0F,2024/09/20,17:00,0.013,Real,</t>
  </si>
  <si>
    <t>ES0031408323131005HX0F,2024/09/20,18:00,0.026,Real,</t>
  </si>
  <si>
    <t>ES0031408323131005HX0F,2024/09/20,19:00,0.116,Real,</t>
  </si>
  <si>
    <t>ES0031408323131005HX0F,2024/09/20,20:00,0.08,Real,</t>
  </si>
  <si>
    <t>ES0031408323131005HX0F,2024/09/20,21:00,0.118,Real,</t>
  </si>
  <si>
    <t>ES0031408323131005HX0F,2024/09/20,22:00,0.114,Real,</t>
  </si>
  <si>
    <t>ES0031408323131005HX0F,2024/09/20,23:00,0.392,Real,</t>
  </si>
  <si>
    <t>ES0031408323131005HX0F,2024/09/20,24:00,0.087,Real,</t>
  </si>
  <si>
    <t>ES0031408323131005HX0F,2024/09/21,01:00,0.111,Real,</t>
  </si>
  <si>
    <t>ES0031408323131005HX0F,2024/09/21,02:00,0.023,Real,</t>
  </si>
  <si>
    <t>ES0031408323131005HX0F,2024/09/21,03:00,0.1,Real,</t>
  </si>
  <si>
    <t>ES0031408323131005HX0F,2024/09/21,04:00,0.074,Real,</t>
  </si>
  <si>
    <t>ES0031408323131005HX0F,2024/09/21,05:00,0.171,Real,</t>
  </si>
  <si>
    <t>ES0031408323131005HX0F,2024/09/21,06:00,0.223,Real,</t>
  </si>
  <si>
    <t>ES0031408323131005HX0F,2024/09/21,07:00,0.115,Real,</t>
  </si>
  <si>
    <t>ES0031408323131005HX0F,2024/09/21,08:00,0.073,Real,</t>
  </si>
  <si>
    <t>ES0031408323131005HX0F,2024/09/21,09:00,0.062,Real,</t>
  </si>
  <si>
    <t>ES0031408323131005HX0F,2024/09/21,10:00,0.049,Real,</t>
  </si>
  <si>
    <t>ES0031408323131005HX0F,2024/09/21,11:00,0.113,Real,</t>
  </si>
  <si>
    <t>ES0031408323131005HX0F,2024/09/21,12:00,0.18,Real,</t>
  </si>
  <si>
    <t>ES0031408323131005HX0F,2024/09/21,13:00,0.204,Real,</t>
  </si>
  <si>
    <t>ES0031408323131005HX0F,2024/09/21,14:00,0.072,Real,</t>
  </si>
  <si>
    <t>ES0031408323131005HX0F,2024/09/21,15:00,0.096,Real,</t>
  </si>
  <si>
    <t>ES0031408323131005HX0F,2024/09/21,16:00,0.081,Real,</t>
  </si>
  <si>
    <t>ES0031408323131005HX0F,2024/09/21,17:00,0.025,Real,</t>
  </si>
  <si>
    <t>ES0031408323131005HX0F,2024/09/21,18:00,0.102,Real,</t>
  </si>
  <si>
    <t>ES0031408323131005HX0F,2024/09/21,19:00,0.402,Real,</t>
  </si>
  <si>
    <t>ES0031408323131005HX0F,2024/09/21,20:00,0.106,Real,</t>
  </si>
  <si>
    <t>ES0031408323131005HX0F,2024/09/21,21:00,0.098,Real,</t>
  </si>
  <si>
    <t>ES0031408323131005HX0F,2024/09/21,22:00,0.052,Real,</t>
  </si>
  <si>
    <t>ES0031408323131005HX0F,2024/09/21,23:00,0.061,Real,</t>
  </si>
  <si>
    <t>ES0031408323131005HX0F,2024/09/21,24:00,0.126,Real,</t>
  </si>
  <si>
    <t>ES0031408323131005HX0F,2024/09/22,01:00,0.079,Real,</t>
  </si>
  <si>
    <t>ES0031408323131005HX0F,2024/09/22,02:00,0.34,Real,</t>
  </si>
  <si>
    <t>ES0031408323131005HX0F,2024/09/22,03:00,0.022,Real,</t>
  </si>
  <si>
    <t>ES0031408323131005HX0F,2024/09/22,04:00,0.014,Real,</t>
  </si>
  <si>
    <t>ES0031408323131005HX0F,2024/09/22,05:00,0.077,Real,</t>
  </si>
  <si>
    <t>ES0031408323131005HX0F,2024/09/22,06:00,0.106,Real,</t>
  </si>
  <si>
    <t>ES0031408323131005HX0F,2024/09/22,07:00,0.075,Real,</t>
  </si>
  <si>
    <t>ES0031408323131005HX0F,2024/09/22,08:00,0.067,Real,</t>
  </si>
  <si>
    <t>ES0031408323131005HX0F,2024/09/22,09:00,0.281,Real,</t>
  </si>
  <si>
    <t>ES0031408323131005HX0F,2024/09/22,10:00,0.013,Real,</t>
  </si>
  <si>
    <t>ES0031408323131005HX0F,2024/09/22,11:00,0.103,Real,</t>
  </si>
  <si>
    <t>ES0031408323131005HX0F,2024/09/22,12:00,0.079,Real,</t>
  </si>
  <si>
    <t>ES0031408323131005HX0F,2024/09/22,13:00,0.075,Real,</t>
  </si>
  <si>
    <t>ES0031408323131005HX0F,2024/09/22,14:00,0.069,Real,</t>
  </si>
  <si>
    <t>ES0031408323131005HX0F,2024/09/22,15:00,0.118,Real,</t>
  </si>
  <si>
    <t>ES0031408323131005HX0F,2024/09/22,16:00,0.185,Real,</t>
  </si>
  <si>
    <t>ES0031408323131005HX0F,2024/09/22,17:00,0.116,Real,</t>
  </si>
  <si>
    <t>ES0031408323131005HX0F,2024/09/22,18:00,0.08,Real,</t>
  </si>
  <si>
    <t>ES0031408323131005HX0F,2024/09/22,19:00,0.072,Real,</t>
  </si>
  <si>
    <t>ES0031408323131005HX0F,2024/09/22,20:00,0.049,Real,</t>
  </si>
  <si>
    <t>ES0031408323131005HX0F,2024/09/22,21:00,0.013,Real,</t>
  </si>
  <si>
    <t>ES0031408323131005HX0F,2024/09/22,22:00,0.317,Real,</t>
  </si>
  <si>
    <t>ES0031408323131005HX0F,2024/09/22,23:00,0.114,Real,</t>
  </si>
  <si>
    <t>ES0031408323131005HX0F,2024/09/22,24:00,0.093,Real,</t>
  </si>
  <si>
    <t>ES0031408323131005HX0F,2024/09/23,01:00,0.081,Real,</t>
  </si>
  <si>
    <t>ES0031408323131005HX0F,2024/09/23,02:00,0.028,Real,</t>
  </si>
  <si>
    <t>ES0031408323131005HX0F,2024/09/23,03:00,0.013,Real,</t>
  </si>
  <si>
    <t>ES0031408323131005HX0F,2024/09/23,04:00,0.073,Real,</t>
  </si>
  <si>
    <t>ES0031408323131005HX0F,2024/09/23,05:00,0.397,Real,</t>
  </si>
  <si>
    <t>ES0031408323131005HX0F,2024/09/23,06:00,0.076,Real,</t>
  </si>
  <si>
    <t>ES0031408323131005HX0F,2024/09/23,07:00,0.068,Real,</t>
  </si>
  <si>
    <t>ES0031408323131005HX0F,2024/09/23,08:00,0.014,Real,</t>
  </si>
  <si>
    <t>ES0031408323131005HX0F,2024/09/23,09:00,0.013,Real,</t>
  </si>
  <si>
    <t>ES0031408323131005HX0F,2024/09/23,10:00,0.095,Real,</t>
  </si>
  <si>
    <t>ES0031408323131005HX0F,2024/09/23,11:00,0.09,Real,</t>
  </si>
  <si>
    <t>ES0031408323131005HX0F,2024/09/23,12:00,0.35,Real,</t>
  </si>
  <si>
    <t>ES0031408323131005HX0F,2024/09/23,13:00,0.066,Real,</t>
  </si>
  <si>
    <t>ES0031408323131005HX0F,2024/09/23,14:00,0.013,Real,</t>
  </si>
  <si>
    <t>ES0031408323131005HX0F,2024/09/23,15:00,0.017,Real,</t>
  </si>
  <si>
    <t>ES0031408323131005HX0F,2024/09/23,16:00,0.118,Real,</t>
  </si>
  <si>
    <t>ES0031408323131005HX0F,2024/09/23,17:00,0.081,Real,</t>
  </si>
  <si>
    <t>ES0031408323131005HX0F,2024/09/23,18:00,0.185,Real,</t>
  </si>
  <si>
    <t>ES0031408323131005HX0F,2024/09/23,19:00,0.216,Real,</t>
  </si>
  <si>
    <t>ES0031408323131005HX0F,2024/09/23,20:00,0.014,Real,</t>
  </si>
  <si>
    <t>ES0031408323131005HX0F,2024/09/23,21:00,0.043,Real,</t>
  </si>
  <si>
    <t>ES0031408323131005HX0F,2024/09/23,22:00,0.115,Real,</t>
  </si>
  <si>
    <t>ES0031408323131005HX0F,2024/09/23,23:00,0.083,Real,</t>
  </si>
  <si>
    <t>ES0031408323131005HX0F,2024/09/23,24:00,0.114,Real,</t>
  </si>
  <si>
    <t>ES0031408323131005HX0F,2024/09/24,01:00,0.359,Real,</t>
  </si>
  <si>
    <t>ES0031408323131005HX0F,2024/09/24,02:00,0.063,Real,</t>
  </si>
  <si>
    <t>ES0031408323131005HX0F,2024/09/24,03:00,0.013,Real,</t>
  </si>
  <si>
    <t>ES0031408323131005HX0F,2024/09/24,04:00,0.013,Real,</t>
  </si>
  <si>
    <t>ES0031408323131005HX0F,2024/09/24,05:00,0.104,Real,</t>
  </si>
  <si>
    <t>ES0031408323131005HX0F,2024/09/24,06:00,0.082,Real,</t>
  </si>
  <si>
    <t>ES0031408323131005HX0F,2024/09/24,07:00,0.076,Real,</t>
  </si>
  <si>
    <t>ES0031408323131005HX0F,2024/09/24,08:00,0.361,Real,</t>
  </si>
  <si>
    <t>ES0031408323131005HX0F,2024/09/24,09:00,0.013,Real,</t>
  </si>
  <si>
    <t>ES0031408323131005HX0F,2024/09/24,10:00,0.021,Real,</t>
  </si>
  <si>
    <t>ES0031408323131005HX0F,2024/09/24,11:00,0.117,Real,</t>
  </si>
  <si>
    <t>ES0031408323131005HX0F,2024/09/24,12:00,0.079,Real,</t>
  </si>
  <si>
    <t>ES0031408323131005HX0F,2024/09/24,13:00,0.073,Real,</t>
  </si>
  <si>
    <t>ES0031408323131005HX0F,2024/09/24,14:00,0.053,Real,</t>
  </si>
  <si>
    <t>ES0031408323131005HX0F,2024/09/24,15:00,0.186,Real,</t>
  </si>
  <si>
    <t>ES0031408323131005HX0F,2024/09/24,16:00,0.186,Real,</t>
  </si>
  <si>
    <t>ES0031408323131005HX0F,2024/09/24,17:00,0.116,Real,</t>
  </si>
  <si>
    <t>ES0031408323131005HX0F,2024/09/24,18:00,0.08,Real,</t>
  </si>
  <si>
    <t>ES0031408323131005HX0F,2024/09/24,19:00,0.074,Real,</t>
  </si>
  <si>
    <t>ES0031408323131005HX0F,2024/09/24,20:00,0.031,Real,</t>
  </si>
  <si>
    <t>ES0031408323131005HX0F,2024/09/24,21:00,0.014,Real,</t>
  </si>
  <si>
    <t>ES0031408323131005HX0F,2024/09/24,22:00,0.067,Real,</t>
  </si>
  <si>
    <t>ES0031408323131005HX0F,2024/09/24,23:00,0.382,Real,</t>
  </si>
  <si>
    <t>ES0031408323131005HX0F,2024/09/24,24:00,0.094,Real,</t>
  </si>
  <si>
    <t>mes</t>
  </si>
  <si>
    <t>dia</t>
  </si>
  <si>
    <t>hora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</si>
</sst>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/mm/dd"/>
    <numFmt numFmtId="165" formatCode="mm/dd h:mm"/>
    <numFmt numFmtId="166" formatCode="m/d h:mm"/>
    <numFmt numFmtId="167" formatCode="yyyy/m/d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theme="1"/>
      <name val="Arial"/>
      <scheme val="minor"/>
    </font>
    <font>
      <sz val="11.0"/>
      <color rgb="FF000000"/>
      <name val="&quot;Aptos Narrow&quot;"/>
    </font>
    <font>
      <sz val="9.0"/>
      <color rgb="FF000000"/>
      <name val="&quot;Google Sans Mono&quot;"/>
    </font>
  </fonts>
  <fills count="4">
    <fill>
      <patternFill patternType="none"/>
    </fill>
    <fill>
      <patternFill patternType="lightGray"/>
    </fill>
    <fill>
      <patternFill patternType="solid">
        <fgColor rgb="FFFF9900"/>
        <bgColor rgb="FFFF9900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49" xfId="0" applyAlignment="1" applyFont="1" applyNumberFormat="1">
      <alignment readingOrder="0"/>
    </xf>
    <xf borderId="0" fillId="2" fontId="1" numFmtId="0" xfId="0" applyAlignment="1" applyFill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3" numFmtId="0" xfId="0" applyAlignment="1" applyFont="1">
      <alignment readingOrder="0" shrinkToFit="0" vertical="bottom" wrapText="0"/>
    </xf>
    <xf borderId="0" fillId="0" fontId="1" numFmtId="164" xfId="0" applyFont="1" applyNumberFormat="1"/>
    <xf borderId="0" fillId="0" fontId="1" numFmtId="20" xfId="0" applyFont="1" applyNumberFormat="1"/>
    <xf borderId="0" fillId="3" fontId="4" numFmtId="0" xfId="0" applyFill="1" applyFont="1"/>
    <xf borderId="0" fillId="3" fontId="4" numFmtId="0" xfId="0" applyFont="1"/>
    <xf borderId="0" fillId="0" fontId="1" numFmtId="46" xfId="0" applyFont="1" applyNumberFormat="1"/>
    <xf borderId="0" fillId="0" fontId="1" numFmtId="16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areaChart>
        <c:ser>
          <c:idx val="0"/>
          <c:order val="0"/>
          <c:tx>
            <c:v>Producción(Excedente)</c:v>
          </c:tx>
          <c:spPr>
            <a:solidFill>
              <a:schemeClr val="accent3">
                <a:alpha val="70000"/>
              </a:schemeClr>
            </a:solidFill>
            <a:ln cmpd="sng">
              <a:solidFill>
                <a:schemeClr val="accent3"/>
              </a:solidFill>
            </a:ln>
          </c:spPr>
          <c:cat>
            <c:strRef>
              <c:f>PV!$P$3:$P$26</c:f>
            </c:strRef>
          </c:cat>
          <c:val>
            <c:numRef>
              <c:f>PV!$W$4:$W$27</c:f>
              <c:numCache/>
            </c:numRef>
          </c:val>
        </c:ser>
        <c:ser>
          <c:idx val="1"/>
          <c:order val="1"/>
          <c:tx>
            <c:v>Consumo</c:v>
          </c:tx>
          <c:spPr>
            <a:solidFill>
              <a:srgbClr val="4A86E8">
                <a:alpha val="70000"/>
              </a:srgbClr>
            </a:solidFill>
            <a:ln cmpd="sng">
              <a:solidFill>
                <a:srgbClr val="4A86E8">
                  <a:alpha val="100000"/>
                </a:srgbClr>
              </a:solidFill>
            </a:ln>
          </c:spPr>
          <c:cat>
            <c:strRef>
              <c:f>PV!$P$3:$P$26</c:f>
            </c:strRef>
          </c:cat>
          <c:val>
            <c:numRef>
              <c:f>'(no tocar)Ajusteconsumo'!$M$2:$M$25</c:f>
              <c:numCache/>
            </c:numRef>
          </c:val>
        </c:ser>
        <c:ser>
          <c:idx val="2"/>
          <c:order val="2"/>
          <c:tx>
            <c:v>Autoconusmo</c:v>
          </c:tx>
          <c:spPr>
            <a:solidFill>
              <a:srgbClr val="93C47D">
                <a:alpha val="90000"/>
              </a:srgbClr>
            </a:solidFill>
            <a:ln cmpd="sng">
              <a:solidFill>
                <a:srgbClr val="93C47D">
                  <a:alpha val="100000"/>
                </a:srgbClr>
              </a:solidFill>
            </a:ln>
          </c:spPr>
          <c:cat>
            <c:strRef>
              <c:f>PV!$P$3:$P$26</c:f>
            </c:strRef>
          </c:cat>
          <c:val>
            <c:numRef>
              <c:f>'(no tocar)Ajusteconsumo'!$N$2:$N$25</c:f>
              <c:numCache/>
            </c:numRef>
          </c:val>
        </c:ser>
        <c:axId val="1602175371"/>
        <c:axId val="573052179"/>
      </c:areaChart>
      <c:catAx>
        <c:axId val="16021753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73052179"/>
      </c:catAx>
      <c:valAx>
        <c:axId val="573052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02175371"/>
      </c:valAx>
    </c:plotArea>
    <c:legend>
      <c:legendPos val="r"/>
      <c:layout>
        <c:manualLayout>
          <c:xMode val="edge"/>
          <c:yMode val="edge"/>
          <c:x val="0.007021996615905246"/>
          <c:y val="0.01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E_m (kWh) frente a Mes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PV!$N$2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PV!$M$3:$M$14</c:f>
            </c:strRef>
          </c:cat>
          <c:val>
            <c:numRef>
              <c:f>PV!$N$3:$N$14</c:f>
              <c:numCache/>
            </c:numRef>
          </c:val>
        </c:ser>
        <c:axId val="1010570999"/>
        <c:axId val="1733210563"/>
      </c:barChart>
      <c:catAx>
        <c:axId val="1010570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Mes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3210563"/>
      </c:catAx>
      <c:valAx>
        <c:axId val="17332105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E_m (kWh)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057099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tx>
            <c:v>Enero</c:v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PV!$Q$3:$Q$26</c:f>
              <c:numCache/>
            </c:numRef>
          </c:val>
          <c:smooth val="1"/>
        </c:ser>
        <c:ser>
          <c:idx val="1"/>
          <c:order val="1"/>
          <c:tx>
            <c:v>Febrero</c:v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PV!$Q$27:$Q$50</c:f>
              <c:numCache/>
            </c:numRef>
          </c:val>
          <c:smooth val="1"/>
        </c:ser>
        <c:ser>
          <c:idx val="2"/>
          <c:order val="2"/>
          <c:tx>
            <c:v>Marzo</c:v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PV!$Q$51:$Q$74</c:f>
              <c:numCache/>
            </c:numRef>
          </c:val>
          <c:smooth val="1"/>
        </c:ser>
        <c:ser>
          <c:idx val="3"/>
          <c:order val="3"/>
          <c:tx>
            <c:v>Abril</c:v>
          </c:tx>
          <c:spPr>
            <a:ln cmpd="sng">
              <a:solidFill>
                <a:srgbClr val="34A853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PV!$Q$75:$Q$98</c:f>
              <c:numCache/>
            </c:numRef>
          </c:val>
          <c:smooth val="1"/>
        </c:ser>
        <c:ser>
          <c:idx val="4"/>
          <c:order val="4"/>
          <c:tx>
            <c:v>Mayo</c:v>
          </c:tx>
          <c:spPr>
            <a:ln cmpd="sng">
              <a:solidFill>
                <a:srgbClr val="FF6D01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PV!$Q$99:$Q$122</c:f>
              <c:numCache/>
            </c:numRef>
          </c:val>
          <c:smooth val="1"/>
        </c:ser>
        <c:ser>
          <c:idx val="5"/>
          <c:order val="5"/>
          <c:tx>
            <c:v>Junio</c:v>
          </c:tx>
          <c:spPr>
            <a:ln cmpd="sng">
              <a:solidFill>
                <a:srgbClr val="46BDC6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PV!$Q$123:$Q$146</c:f>
              <c:numCache/>
            </c:numRef>
          </c:val>
          <c:smooth val="1"/>
        </c:ser>
        <c:ser>
          <c:idx val="6"/>
          <c:order val="6"/>
          <c:tx>
            <c:v>Julio</c:v>
          </c:tx>
          <c:spPr>
            <a:ln cmpd="sng">
              <a:solidFill>
                <a:srgbClr val="7BAAF7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PV!$Q$147:$Q$170</c:f>
              <c:numCache/>
            </c:numRef>
          </c:val>
          <c:smooth val="1"/>
        </c:ser>
        <c:ser>
          <c:idx val="7"/>
          <c:order val="7"/>
          <c:tx>
            <c:v>Agosto</c:v>
          </c:tx>
          <c:spPr>
            <a:ln cmpd="sng">
              <a:solidFill>
                <a:srgbClr val="F07B72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PV!$Q$171:$Q$194</c:f>
              <c:numCache/>
            </c:numRef>
          </c:val>
          <c:smooth val="1"/>
        </c:ser>
        <c:ser>
          <c:idx val="8"/>
          <c:order val="8"/>
          <c:tx>
            <c:v>Septiembre</c:v>
          </c:tx>
          <c:spPr>
            <a:ln cmpd="sng">
              <a:solidFill>
                <a:srgbClr val="FCD04F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PV!$Q$195:$Q$218</c:f>
              <c:numCache/>
            </c:numRef>
          </c:val>
          <c:smooth val="1"/>
        </c:ser>
        <c:ser>
          <c:idx val="9"/>
          <c:order val="9"/>
          <c:tx>
            <c:v>Octubre</c:v>
          </c:tx>
          <c:spPr>
            <a:ln cmpd="sng">
              <a:solidFill>
                <a:srgbClr val="71C287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PV!$Q$219:$Q$242</c:f>
              <c:numCache/>
            </c:numRef>
          </c:val>
          <c:smooth val="1"/>
        </c:ser>
        <c:ser>
          <c:idx val="10"/>
          <c:order val="10"/>
          <c:tx>
            <c:v>Noviembre</c:v>
          </c:tx>
          <c:spPr>
            <a:ln cmpd="sng">
              <a:solidFill>
                <a:srgbClr val="FF994D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PV!$Q$243:$Q$266</c:f>
              <c:numCache/>
            </c:numRef>
          </c:val>
          <c:smooth val="1"/>
        </c:ser>
        <c:ser>
          <c:idx val="11"/>
          <c:order val="11"/>
          <c:tx>
            <c:v>Diciembre</c:v>
          </c:tx>
          <c:spPr>
            <a:ln cmpd="sng">
              <a:solidFill>
                <a:srgbClr val="7ED1D7"/>
              </a:solidFill>
            </a:ln>
          </c:spPr>
          <c:marker>
            <c:symbol val="none"/>
          </c:marker>
          <c:cat>
            <c:strRef>
              <c:f>PV!$P$3:$P$26</c:f>
            </c:strRef>
          </c:cat>
          <c:val>
            <c:numRef>
              <c:f>PV!$Q$267:$Q$290</c:f>
              <c:numCache/>
            </c:numRef>
          </c:val>
          <c:smooth val="1"/>
        </c:ser>
        <c:axId val="475075593"/>
        <c:axId val="1385617883"/>
      </c:lineChart>
      <c:catAx>
        <c:axId val="4750755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85617883"/>
      </c:catAx>
      <c:valAx>
        <c:axId val="13856178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75075593"/>
      </c:valAx>
    </c:plotArea>
    <c:legend>
      <c:legendPos val="r"/>
      <c:layout>
        <c:manualLayout>
          <c:xMode val="edge"/>
          <c:yMode val="edge"/>
          <c:x val="0.8418079427083334"/>
          <c:y val="0.04730458221024259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180975</xdr:colOff>
      <xdr:row>2</xdr:row>
      <xdr:rowOff>47625</xdr:rowOff>
    </xdr:from>
    <xdr:ext cx="11534775" cy="7124700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152400</xdr:colOff>
      <xdr:row>5</xdr:row>
      <xdr:rowOff>152400</xdr:rowOff>
    </xdr:from>
    <xdr:ext cx="1343025" cy="1323975"/>
    <xdr:sp>
      <xdr:nvSpPr>
        <xdr:cNvPr id="3" name="Shape 3"/>
        <xdr:cNvSpPr/>
      </xdr:nvSpPr>
      <xdr:spPr>
        <a:xfrm>
          <a:off x="1023950" y="375275"/>
          <a:ext cx="1323600" cy="1303500"/>
        </a:xfrm>
        <a:prstGeom prst="ellipse">
          <a:avLst/>
        </a:prstGeom>
        <a:solidFill>
          <a:srgbClr val="EA9999"/>
        </a:solidFill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Calcula</a:t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409575</xdr:colOff>
      <xdr:row>18</xdr:row>
      <xdr:rowOff>180975</xdr:rowOff>
    </xdr:from>
    <xdr:ext cx="4991100" cy="3086100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438150</xdr:colOff>
      <xdr:row>18</xdr:row>
      <xdr:rowOff>180975</xdr:rowOff>
    </xdr:from>
    <xdr:ext cx="5715000" cy="3533775"/>
    <xdr:graphicFrame>
      <xdr:nvGraphicFramePr>
        <xdr:cNvPr id="3" name="Chart 3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9.13"/>
  </cols>
  <sheetData>
    <row r="1">
      <c r="A1" s="1" t="s">
        <v>0</v>
      </c>
      <c r="B1" s="2" t="s">
        <v>1</v>
      </c>
      <c r="D1" s="1" t="s">
        <v>2</v>
      </c>
      <c r="F1" s="2">
        <v>1.0</v>
      </c>
    </row>
  </sheetData>
  <dataValidations>
    <dataValidation type="list" allowBlank="1" showErrorMessage="1" sqref="B1">
      <formula1>"Enero,Febrero,Marzo,Abril,Mayo,Junio,Julio,Agosto,Septiembre,Octubre,Noviembre,Diciembre"</formula1>
    </dataValidation>
    <dataValidation type="list" allowBlank="1" showErrorMessage="1" sqref="F1">
      <formula1>"0.5,1,1.5,2,2.5,3,3.5,4,4.5,5,5.5,6"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38"/>
    <col customWidth="1" min="2" max="2" width="13.38"/>
  </cols>
  <sheetData>
    <row r="1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AD1" s="1" t="s">
        <v>8</v>
      </c>
      <c r="AE1" s="1" t="s">
        <v>9</v>
      </c>
      <c r="AF1" s="1" t="s">
        <v>10</v>
      </c>
    </row>
    <row r="2">
      <c r="A2" s="3" t="s">
        <v>11</v>
      </c>
      <c r="B2" s="3" t="s">
        <v>12</v>
      </c>
      <c r="C2" s="3" t="s">
        <v>13</v>
      </c>
      <c r="D2" s="4">
        <v>15.0</v>
      </c>
      <c r="E2" s="4">
        <v>0.0</v>
      </c>
      <c r="G2" s="5"/>
      <c r="H2" s="6"/>
      <c r="M2" s="1" t="s">
        <v>0</v>
      </c>
      <c r="N2" s="1" t="s">
        <v>14</v>
      </c>
      <c r="O2" s="1" t="s">
        <v>0</v>
      </c>
      <c r="P2" s="1" t="s">
        <v>15</v>
      </c>
      <c r="Q2" s="1" t="s">
        <v>16</v>
      </c>
      <c r="T2" s="1" t="s">
        <v>17</v>
      </c>
      <c r="U2" s="1">
        <f>SWITCH(Vista!B1, "enero", 1, "febrero", 2, "marzo", 3, "abril", 4, "mayo", 5, "junio", 6, "julio", 7, "agosto", 8, "septiembre", 9, "octubre", 10, "noviembre", 11, "diciembre", 12)
</f>
        <v>2</v>
      </c>
      <c r="AD2" s="5">
        <v>44927.0</v>
      </c>
      <c r="AE2" s="6">
        <v>0.0</v>
      </c>
      <c r="AF2" s="7">
        <v>0.0</v>
      </c>
    </row>
    <row r="3">
      <c r="A3" s="1" t="s">
        <v>18</v>
      </c>
      <c r="C3" s="3"/>
      <c r="E3" s="1" t="s">
        <v>19</v>
      </c>
      <c r="G3" s="5"/>
      <c r="H3" s="6"/>
      <c r="M3" s="1" t="s">
        <v>20</v>
      </c>
      <c r="N3" s="7">
        <v>6552674.699999998</v>
      </c>
      <c r="O3" s="7">
        <v>1.0</v>
      </c>
      <c r="P3" s="7">
        <v>0.0</v>
      </c>
      <c r="Q3" s="7">
        <v>0.0</v>
      </c>
      <c r="W3" s="1" t="s">
        <v>21</v>
      </c>
      <c r="AD3" s="5">
        <v>44927.0</v>
      </c>
      <c r="AE3" s="6">
        <v>0.041666666666666664</v>
      </c>
      <c r="AF3" s="7">
        <v>0.0</v>
      </c>
    </row>
    <row r="4">
      <c r="G4" s="5"/>
      <c r="H4" s="6"/>
      <c r="M4" s="1" t="s">
        <v>1</v>
      </c>
      <c r="N4" s="7">
        <v>8077450.6800000025</v>
      </c>
      <c r="O4" s="7">
        <v>1.0</v>
      </c>
      <c r="P4" s="7">
        <v>1.0</v>
      </c>
      <c r="Q4" s="7">
        <v>0.0</v>
      </c>
      <c r="T4" s="8">
        <f>IFERROR(__xludf.DUMMYFUNCTION("FILTER(O:Q,O:O=U2)"),2.0)</f>
        <v>2</v>
      </c>
      <c r="U4" s="8">
        <f>IFERROR(__xludf.DUMMYFUNCTION("""COMPUTED_VALUE"""),0.0)</f>
        <v>0</v>
      </c>
      <c r="V4" s="8">
        <f>IFERROR(__xludf.DUMMYFUNCTION("""COMPUTED_VALUE"""),0.0)</f>
        <v>0</v>
      </c>
      <c r="W4" s="8">
        <f t="shared" ref="W4:W27" si="1">V4/1000</f>
        <v>0</v>
      </c>
      <c r="AD4" s="5">
        <v>44927.0</v>
      </c>
      <c r="AE4" s="6">
        <v>0.08333333333333333</v>
      </c>
      <c r="AF4" s="7">
        <v>0.0</v>
      </c>
    </row>
    <row r="5">
      <c r="B5" s="3"/>
      <c r="C5" s="3"/>
      <c r="G5" s="5"/>
      <c r="H5" s="6"/>
      <c r="M5" s="1" t="s">
        <v>22</v>
      </c>
      <c r="N5" s="7">
        <v>1.109140812E7</v>
      </c>
      <c r="O5" s="7">
        <v>1.0</v>
      </c>
      <c r="P5" s="7">
        <v>2.0</v>
      </c>
      <c r="Q5" s="7">
        <v>0.0</v>
      </c>
      <c r="T5" s="8">
        <f>IFERROR(__xludf.DUMMYFUNCTION("""COMPUTED_VALUE"""),2.0)</f>
        <v>2</v>
      </c>
      <c r="U5" s="8">
        <f>IFERROR(__xludf.DUMMYFUNCTION("""COMPUTED_VALUE"""),1.0)</f>
        <v>1</v>
      </c>
      <c r="V5" s="8">
        <f>IFERROR(__xludf.DUMMYFUNCTION("""COMPUTED_VALUE"""),0.0)</f>
        <v>0</v>
      </c>
      <c r="W5" s="8">
        <f t="shared" si="1"/>
        <v>0</v>
      </c>
      <c r="AD5" s="5">
        <v>44927.0</v>
      </c>
      <c r="AE5" s="6">
        <v>0.125</v>
      </c>
      <c r="AF5" s="7">
        <v>0.0</v>
      </c>
    </row>
    <row r="6">
      <c r="G6" s="5"/>
      <c r="H6" s="6"/>
      <c r="M6" s="1" t="s">
        <v>23</v>
      </c>
      <c r="N6" s="7">
        <v>1.2781766400000012E7</v>
      </c>
      <c r="O6" s="7">
        <v>1.0</v>
      </c>
      <c r="P6" s="7">
        <v>3.0</v>
      </c>
      <c r="Q6" s="7">
        <v>0.0</v>
      </c>
      <c r="T6" s="8">
        <f>IFERROR(__xludf.DUMMYFUNCTION("""COMPUTED_VALUE"""),2.0)</f>
        <v>2</v>
      </c>
      <c r="U6" s="8">
        <f>IFERROR(__xludf.DUMMYFUNCTION("""COMPUTED_VALUE"""),2.0)</f>
        <v>2</v>
      </c>
      <c r="V6" s="8">
        <f>IFERROR(__xludf.DUMMYFUNCTION("""COMPUTED_VALUE"""),0.0)</f>
        <v>0</v>
      </c>
      <c r="W6" s="8">
        <f t="shared" si="1"/>
        <v>0</v>
      </c>
      <c r="AD6" s="5">
        <v>44927.0</v>
      </c>
      <c r="AE6" s="6">
        <v>0.16666666666666666</v>
      </c>
      <c r="AF6" s="7">
        <v>0.0</v>
      </c>
    </row>
    <row r="7">
      <c r="G7" s="5"/>
      <c r="H7" s="6"/>
      <c r="M7" s="1" t="s">
        <v>24</v>
      </c>
      <c r="N7" s="7">
        <v>1.4029069079999994E7</v>
      </c>
      <c r="O7" s="7">
        <v>1.0</v>
      </c>
      <c r="P7" s="7">
        <v>4.0</v>
      </c>
      <c r="Q7" s="7">
        <v>0.0</v>
      </c>
      <c r="T7" s="8">
        <f>IFERROR(__xludf.DUMMYFUNCTION("""COMPUTED_VALUE"""),2.0)</f>
        <v>2</v>
      </c>
      <c r="U7" s="8">
        <f>IFERROR(__xludf.DUMMYFUNCTION("""COMPUTED_VALUE"""),3.0)</f>
        <v>3</v>
      </c>
      <c r="V7" s="8">
        <f>IFERROR(__xludf.DUMMYFUNCTION("""COMPUTED_VALUE"""),0.0)</f>
        <v>0</v>
      </c>
      <c r="W7" s="8">
        <f t="shared" si="1"/>
        <v>0</v>
      </c>
      <c r="AD7" s="5">
        <v>44927.0</v>
      </c>
      <c r="AE7" s="6">
        <v>0.20833333333333334</v>
      </c>
      <c r="AF7" s="7">
        <v>0.0</v>
      </c>
    </row>
    <row r="8">
      <c r="A8" s="4"/>
      <c r="B8" s="4"/>
      <c r="C8" s="4"/>
      <c r="D8" s="4"/>
      <c r="E8" s="4"/>
      <c r="G8" s="5"/>
      <c r="H8" s="6"/>
      <c r="M8" s="1" t="s">
        <v>25</v>
      </c>
      <c r="N8" s="7">
        <v>1.1767472339999998E7</v>
      </c>
      <c r="O8" s="7">
        <v>1.0</v>
      </c>
      <c r="P8" s="7">
        <v>5.0</v>
      </c>
      <c r="Q8" s="7">
        <v>0.0</v>
      </c>
      <c r="T8" s="8">
        <f>IFERROR(__xludf.DUMMYFUNCTION("""COMPUTED_VALUE"""),2.0)</f>
        <v>2</v>
      </c>
      <c r="U8" s="8">
        <f>IFERROR(__xludf.DUMMYFUNCTION("""COMPUTED_VALUE"""),4.0)</f>
        <v>4</v>
      </c>
      <c r="V8" s="8">
        <f>IFERROR(__xludf.DUMMYFUNCTION("""COMPUTED_VALUE"""),0.0)</f>
        <v>0</v>
      </c>
      <c r="W8" s="8">
        <f t="shared" si="1"/>
        <v>0</v>
      </c>
      <c r="AD8" s="5">
        <v>44927.0</v>
      </c>
      <c r="AE8" s="6">
        <v>0.25</v>
      </c>
      <c r="AF8" s="7">
        <v>0.0</v>
      </c>
    </row>
    <row r="9">
      <c r="G9" s="5"/>
      <c r="H9" s="6"/>
      <c r="M9" s="1" t="s">
        <v>26</v>
      </c>
      <c r="N9" s="7">
        <v>1.3555081020000001E7</v>
      </c>
      <c r="O9" s="7">
        <v>1.0</v>
      </c>
      <c r="P9" s="7">
        <v>6.0</v>
      </c>
      <c r="Q9" s="7">
        <v>0.0</v>
      </c>
      <c r="T9" s="8">
        <f>IFERROR(__xludf.DUMMYFUNCTION("""COMPUTED_VALUE"""),2.0)</f>
        <v>2</v>
      </c>
      <c r="U9" s="8">
        <f>IFERROR(__xludf.DUMMYFUNCTION("""COMPUTED_VALUE"""),5.0)</f>
        <v>5</v>
      </c>
      <c r="V9" s="8">
        <f>IFERROR(__xludf.DUMMYFUNCTION("""COMPUTED_VALUE"""),0.0)</f>
        <v>0</v>
      </c>
      <c r="W9" s="8">
        <f t="shared" si="1"/>
        <v>0</v>
      </c>
      <c r="AD9" s="5">
        <v>44927.0</v>
      </c>
      <c r="AE9" s="6">
        <v>0.2916666666666667</v>
      </c>
      <c r="AF9" s="7">
        <v>0.0</v>
      </c>
    </row>
    <row r="10">
      <c r="G10" s="5"/>
      <c r="H10" s="6"/>
      <c r="M10" s="1" t="s">
        <v>27</v>
      </c>
      <c r="N10" s="7">
        <v>1.3175380139999997E7</v>
      </c>
      <c r="O10" s="7">
        <v>1.0</v>
      </c>
      <c r="P10" s="7">
        <v>7.0</v>
      </c>
      <c r="Q10" s="7">
        <v>0.0</v>
      </c>
      <c r="T10" s="8">
        <f>IFERROR(__xludf.DUMMYFUNCTION("""COMPUTED_VALUE"""),2.0)</f>
        <v>2</v>
      </c>
      <c r="U10" s="8">
        <f>IFERROR(__xludf.DUMMYFUNCTION("""COMPUTED_VALUE"""),6.0)</f>
        <v>6</v>
      </c>
      <c r="V10" s="8">
        <f>IFERROR(__xludf.DUMMYFUNCTION("""COMPUTED_VALUE"""),0.0)</f>
        <v>0</v>
      </c>
      <c r="W10" s="8">
        <f t="shared" si="1"/>
        <v>0</v>
      </c>
      <c r="AD10" s="5">
        <v>44927.0</v>
      </c>
      <c r="AE10" s="6">
        <v>0.3333333333333333</v>
      </c>
      <c r="AF10" s="7">
        <v>3798.6</v>
      </c>
    </row>
    <row r="11">
      <c r="G11" s="5"/>
      <c r="H11" s="6"/>
      <c r="M11" s="1" t="s">
        <v>28</v>
      </c>
      <c r="N11" s="7">
        <v>9747556.259999998</v>
      </c>
      <c r="O11" s="7">
        <v>1.0</v>
      </c>
      <c r="P11" s="7">
        <v>8.0</v>
      </c>
      <c r="Q11" s="7">
        <v>6386.2122580645155</v>
      </c>
      <c r="T11" s="8">
        <f>IFERROR(__xludf.DUMMYFUNCTION("""COMPUTED_VALUE"""),2.0)</f>
        <v>2</v>
      </c>
      <c r="U11" s="8">
        <f>IFERROR(__xludf.DUMMYFUNCTION("""COMPUTED_VALUE"""),7.0)</f>
        <v>7</v>
      </c>
      <c r="V11" s="8">
        <f>IFERROR(__xludf.DUMMYFUNCTION("""COMPUTED_VALUE"""),135.66428571428574)</f>
        <v>135.6642857</v>
      </c>
      <c r="W11" s="8">
        <f t="shared" si="1"/>
        <v>0.1356642857</v>
      </c>
      <c r="AD11" s="5">
        <v>44927.0</v>
      </c>
      <c r="AE11" s="6">
        <v>0.375</v>
      </c>
      <c r="AF11" s="7">
        <v>22205.82</v>
      </c>
    </row>
    <row r="12">
      <c r="G12" s="5"/>
      <c r="H12" s="6"/>
      <c r="M12" s="1" t="s">
        <v>29</v>
      </c>
      <c r="N12" s="7">
        <v>7487273.819999998</v>
      </c>
      <c r="O12" s="7">
        <v>1.0</v>
      </c>
      <c r="P12" s="7">
        <v>9.0</v>
      </c>
      <c r="Q12" s="7">
        <v>18508.871612903225</v>
      </c>
      <c r="T12" s="8">
        <f>IFERROR(__xludf.DUMMYFUNCTION("""COMPUTED_VALUE"""),2.0)</f>
        <v>2</v>
      </c>
      <c r="U12" s="8">
        <f>IFERROR(__xludf.DUMMYFUNCTION("""COMPUTED_VALUE"""),8.0)</f>
        <v>8</v>
      </c>
      <c r="V12" s="8">
        <f>IFERROR(__xludf.DUMMYFUNCTION("""COMPUTED_VALUE"""),12888.636428571426)</f>
        <v>12888.63643</v>
      </c>
      <c r="W12" s="8">
        <f t="shared" si="1"/>
        <v>12.88863643</v>
      </c>
      <c r="AD12" s="5">
        <v>44927.0</v>
      </c>
      <c r="AE12" s="6">
        <v>0.4166666666666667</v>
      </c>
      <c r="AF12" s="7">
        <v>32614.92</v>
      </c>
    </row>
    <row r="13">
      <c r="G13" s="5"/>
      <c r="H13" s="6"/>
      <c r="M13" s="1" t="s">
        <v>30</v>
      </c>
      <c r="N13" s="7">
        <v>6566257.620000001</v>
      </c>
      <c r="O13" s="7">
        <v>1.0</v>
      </c>
      <c r="P13" s="7">
        <v>10.0</v>
      </c>
      <c r="Q13" s="7">
        <v>28296.839999999997</v>
      </c>
      <c r="T13" s="8">
        <f>IFERROR(__xludf.DUMMYFUNCTION("""COMPUTED_VALUE"""),2.0)</f>
        <v>2</v>
      </c>
      <c r="U13" s="8">
        <f>IFERROR(__xludf.DUMMYFUNCTION("""COMPUTED_VALUE"""),9.0)</f>
        <v>9</v>
      </c>
      <c r="V13" s="8">
        <f>IFERROR(__xludf.DUMMYFUNCTION("""COMPUTED_VALUE"""),25428.752142857145)</f>
        <v>25428.75214</v>
      </c>
      <c r="W13" s="8">
        <f t="shared" si="1"/>
        <v>25.42875214</v>
      </c>
      <c r="AD13" s="5">
        <v>44927.0</v>
      </c>
      <c r="AE13" s="6">
        <v>0.4583333333333333</v>
      </c>
      <c r="AF13" s="7">
        <v>39186.42</v>
      </c>
    </row>
    <row r="14">
      <c r="G14" s="5"/>
      <c r="H14" s="6"/>
      <c r="M14" s="1" t="s">
        <v>31</v>
      </c>
      <c r="N14" s="7">
        <v>5959214.819999999</v>
      </c>
      <c r="O14" s="7">
        <v>1.0</v>
      </c>
      <c r="P14" s="7">
        <v>11.0</v>
      </c>
      <c r="Q14" s="7">
        <v>33817.9064516129</v>
      </c>
      <c r="T14" s="8">
        <f>IFERROR(__xludf.DUMMYFUNCTION("""COMPUTED_VALUE"""),2.0)</f>
        <v>2</v>
      </c>
      <c r="U14" s="8">
        <f>IFERROR(__xludf.DUMMYFUNCTION("""COMPUTED_VALUE"""),10.0)</f>
        <v>10</v>
      </c>
      <c r="V14" s="8">
        <f>IFERROR(__xludf.DUMMYFUNCTION("""COMPUTED_VALUE"""),36681.645)</f>
        <v>36681.645</v>
      </c>
      <c r="W14" s="8">
        <f t="shared" si="1"/>
        <v>36.681645</v>
      </c>
      <c r="AD14" s="5">
        <v>44927.0</v>
      </c>
      <c r="AE14" s="6">
        <v>0.5</v>
      </c>
      <c r="AF14" s="7">
        <v>42751.8</v>
      </c>
    </row>
    <row r="15">
      <c r="G15" s="5"/>
      <c r="H15" s="6"/>
      <c r="O15" s="7">
        <v>1.0</v>
      </c>
      <c r="P15" s="7">
        <v>12.0</v>
      </c>
      <c r="Q15" s="7">
        <v>35655.88838709678</v>
      </c>
      <c r="T15" s="8">
        <f>IFERROR(__xludf.DUMMYFUNCTION("""COMPUTED_VALUE"""),2.0)</f>
        <v>2</v>
      </c>
      <c r="U15" s="8">
        <f>IFERROR(__xludf.DUMMYFUNCTION("""COMPUTED_VALUE"""),11.0)</f>
        <v>11</v>
      </c>
      <c r="V15" s="8">
        <f>IFERROR(__xludf.DUMMYFUNCTION("""COMPUTED_VALUE"""),41107.69928571429)</f>
        <v>41107.69929</v>
      </c>
      <c r="W15" s="8">
        <f t="shared" si="1"/>
        <v>41.10769929</v>
      </c>
      <c r="AD15" s="5">
        <v>44927.0</v>
      </c>
      <c r="AE15" s="6">
        <v>0.5416666666666666</v>
      </c>
      <c r="AF15" s="7">
        <v>23690.94</v>
      </c>
    </row>
    <row r="16">
      <c r="G16" s="5"/>
      <c r="H16" s="6"/>
      <c r="O16" s="7">
        <v>1.0</v>
      </c>
      <c r="P16" s="7">
        <v>13.0</v>
      </c>
      <c r="Q16" s="7">
        <v>34944.55354838709</v>
      </c>
      <c r="T16" s="8">
        <f>IFERROR(__xludf.DUMMYFUNCTION("""COMPUTED_VALUE"""),2.0)</f>
        <v>2</v>
      </c>
      <c r="U16" s="8">
        <f>IFERROR(__xludf.DUMMYFUNCTION("""COMPUTED_VALUE"""),12.0)</f>
        <v>12</v>
      </c>
      <c r="V16" s="8">
        <f>IFERROR(__xludf.DUMMYFUNCTION("""COMPUTED_VALUE"""),43523.721428571436)</f>
        <v>43523.72143</v>
      </c>
      <c r="W16" s="8">
        <f t="shared" si="1"/>
        <v>43.52372143</v>
      </c>
      <c r="AD16" s="5">
        <v>44927.0</v>
      </c>
      <c r="AE16" s="6">
        <v>0.5833333333333334</v>
      </c>
      <c r="AF16" s="7">
        <v>9196.98</v>
      </c>
    </row>
    <row r="17">
      <c r="G17" s="5"/>
      <c r="H17" s="6"/>
      <c r="O17" s="7">
        <v>1.0</v>
      </c>
      <c r="P17" s="7">
        <v>14.0</v>
      </c>
      <c r="Q17" s="7">
        <v>27541.07032258065</v>
      </c>
      <c r="T17" s="8">
        <f>IFERROR(__xludf.DUMMYFUNCTION("""COMPUTED_VALUE"""),2.0)</f>
        <v>2</v>
      </c>
      <c r="U17" s="8">
        <f>IFERROR(__xludf.DUMMYFUNCTION("""COMPUTED_VALUE"""),13.0)</f>
        <v>13</v>
      </c>
      <c r="V17" s="8">
        <f>IFERROR(__xludf.DUMMYFUNCTION("""COMPUTED_VALUE"""),42620.732142857145)</f>
        <v>42620.73214</v>
      </c>
      <c r="W17" s="8">
        <f t="shared" si="1"/>
        <v>42.62073214</v>
      </c>
      <c r="AD17" s="5">
        <v>44927.0</v>
      </c>
      <c r="AE17" s="6">
        <v>0.625</v>
      </c>
      <c r="AF17" s="7">
        <v>5354.7</v>
      </c>
    </row>
    <row r="18">
      <c r="G18" s="5"/>
      <c r="H18" s="6"/>
      <c r="O18" s="7">
        <v>1.0</v>
      </c>
      <c r="P18" s="7">
        <v>15.0</v>
      </c>
      <c r="Q18" s="7">
        <v>19139.161935483873</v>
      </c>
      <c r="T18" s="8">
        <f>IFERROR(__xludf.DUMMYFUNCTION("""COMPUTED_VALUE"""),2.0)</f>
        <v>2</v>
      </c>
      <c r="U18" s="8">
        <f>IFERROR(__xludf.DUMMYFUNCTION("""COMPUTED_VALUE"""),14.0)</f>
        <v>14</v>
      </c>
      <c r="V18" s="8">
        <f>IFERROR(__xludf.DUMMYFUNCTION("""COMPUTED_VALUE"""),38717.25)</f>
        <v>38717.25</v>
      </c>
      <c r="W18" s="8">
        <f t="shared" si="1"/>
        <v>38.71725</v>
      </c>
      <c r="AD18" s="5">
        <v>44927.0</v>
      </c>
      <c r="AE18" s="6">
        <v>0.6666666666666666</v>
      </c>
      <c r="AF18" s="7">
        <v>4326.66</v>
      </c>
    </row>
    <row r="19">
      <c r="G19" s="5"/>
      <c r="H19" s="6"/>
      <c r="O19" s="7">
        <v>1.0</v>
      </c>
      <c r="P19" s="7">
        <v>16.0</v>
      </c>
      <c r="Q19" s="7">
        <v>7086.098709677418</v>
      </c>
      <c r="T19" s="8">
        <f>IFERROR(__xludf.DUMMYFUNCTION("""COMPUTED_VALUE"""),2.0)</f>
        <v>2</v>
      </c>
      <c r="U19" s="8">
        <f>IFERROR(__xludf.DUMMYFUNCTION("""COMPUTED_VALUE"""),15.0)</f>
        <v>15</v>
      </c>
      <c r="V19" s="8">
        <f>IFERROR(__xludf.DUMMYFUNCTION("""COMPUTED_VALUE"""),29096.06142857143)</f>
        <v>29096.06143</v>
      </c>
      <c r="W19" s="8">
        <f t="shared" si="1"/>
        <v>29.09606143</v>
      </c>
      <c r="AD19" s="5">
        <v>44927.0</v>
      </c>
      <c r="AE19" s="6">
        <v>0.7083333333333334</v>
      </c>
      <c r="AF19" s="7">
        <v>0.0</v>
      </c>
    </row>
    <row r="20">
      <c r="G20" s="5"/>
      <c r="H20" s="6"/>
      <c r="O20" s="7">
        <v>1.0</v>
      </c>
      <c r="P20" s="7">
        <v>17.0</v>
      </c>
      <c r="Q20" s="7">
        <v>0.0</v>
      </c>
      <c r="T20" s="8">
        <f>IFERROR(__xludf.DUMMYFUNCTION("""COMPUTED_VALUE"""),2.0)</f>
        <v>2</v>
      </c>
      <c r="U20" s="8">
        <f>IFERROR(__xludf.DUMMYFUNCTION("""COMPUTED_VALUE"""),16.0)</f>
        <v>16</v>
      </c>
      <c r="V20" s="8">
        <f>IFERROR(__xludf.DUMMYFUNCTION("""COMPUTED_VALUE"""),16769.025)</f>
        <v>16769.025</v>
      </c>
      <c r="W20" s="8">
        <f t="shared" si="1"/>
        <v>16.769025</v>
      </c>
      <c r="AD20" s="5">
        <v>44927.0</v>
      </c>
      <c r="AE20" s="6">
        <v>0.75</v>
      </c>
      <c r="AF20" s="7">
        <v>0.0</v>
      </c>
    </row>
    <row r="21">
      <c r="G21" s="5"/>
      <c r="H21" s="6"/>
      <c r="O21" s="7">
        <v>1.0</v>
      </c>
      <c r="P21" s="7">
        <v>18.0</v>
      </c>
      <c r="Q21" s="7">
        <v>0.0</v>
      </c>
      <c r="T21" s="8">
        <f>IFERROR(__xludf.DUMMYFUNCTION("""COMPUTED_VALUE"""),2.0)</f>
        <v>2</v>
      </c>
      <c r="U21" s="8">
        <f>IFERROR(__xludf.DUMMYFUNCTION("""COMPUTED_VALUE"""),17.0)</f>
        <v>17</v>
      </c>
      <c r="V21" s="8">
        <f>IFERROR(__xludf.DUMMYFUNCTION("""COMPUTED_VALUE"""),1511.1942857142856)</f>
        <v>1511.194286</v>
      </c>
      <c r="W21" s="8">
        <f t="shared" si="1"/>
        <v>1.511194286</v>
      </c>
      <c r="AD21" s="5">
        <v>44927.0</v>
      </c>
      <c r="AE21" s="6">
        <v>0.7916666666666666</v>
      </c>
      <c r="AF21" s="7">
        <v>0.0</v>
      </c>
    </row>
    <row r="22">
      <c r="G22" s="5"/>
      <c r="H22" s="6"/>
      <c r="O22" s="7">
        <v>1.0</v>
      </c>
      <c r="P22" s="7">
        <v>19.0</v>
      </c>
      <c r="Q22" s="7">
        <v>0.0</v>
      </c>
      <c r="T22" s="8">
        <f>IFERROR(__xludf.DUMMYFUNCTION("""COMPUTED_VALUE"""),2.0)</f>
        <v>2</v>
      </c>
      <c r="U22" s="8">
        <f>IFERROR(__xludf.DUMMYFUNCTION("""COMPUTED_VALUE"""),18.0)</f>
        <v>18</v>
      </c>
      <c r="V22" s="8">
        <f>IFERROR(__xludf.DUMMYFUNCTION("""COMPUTED_VALUE"""),0.0)</f>
        <v>0</v>
      </c>
      <c r="W22" s="8">
        <f t="shared" si="1"/>
        <v>0</v>
      </c>
      <c r="AD22" s="5">
        <v>44927.0</v>
      </c>
      <c r="AE22" s="6">
        <v>0.8333333333333334</v>
      </c>
      <c r="AF22" s="7">
        <v>0.0</v>
      </c>
    </row>
    <row r="23">
      <c r="G23" s="5"/>
      <c r="H23" s="6"/>
      <c r="O23" s="7">
        <v>1.0</v>
      </c>
      <c r="P23" s="7">
        <v>20.0</v>
      </c>
      <c r="Q23" s="7">
        <v>0.0</v>
      </c>
      <c r="T23" s="8">
        <f>IFERROR(__xludf.DUMMYFUNCTION("""COMPUTED_VALUE"""),2.0)</f>
        <v>2</v>
      </c>
      <c r="U23" s="8">
        <f>IFERROR(__xludf.DUMMYFUNCTION("""COMPUTED_VALUE"""),19.0)</f>
        <v>19</v>
      </c>
      <c r="V23" s="8">
        <f>IFERROR(__xludf.DUMMYFUNCTION("""COMPUTED_VALUE"""),0.0)</f>
        <v>0</v>
      </c>
      <c r="W23" s="8">
        <f t="shared" si="1"/>
        <v>0</v>
      </c>
      <c r="AD23" s="5">
        <v>44927.0</v>
      </c>
      <c r="AE23" s="6">
        <v>0.875</v>
      </c>
      <c r="AF23" s="7">
        <v>0.0</v>
      </c>
    </row>
    <row r="24">
      <c r="G24" s="5"/>
      <c r="H24" s="6"/>
      <c r="O24" s="7">
        <v>1.0</v>
      </c>
      <c r="P24" s="7">
        <v>21.0</v>
      </c>
      <c r="Q24" s="7">
        <v>0.0</v>
      </c>
      <c r="T24" s="8">
        <f>IFERROR(__xludf.DUMMYFUNCTION("""COMPUTED_VALUE"""),2.0)</f>
        <v>2</v>
      </c>
      <c r="U24" s="8">
        <f>IFERROR(__xludf.DUMMYFUNCTION("""COMPUTED_VALUE"""),20.0)</f>
        <v>20</v>
      </c>
      <c r="V24" s="8">
        <f>IFERROR(__xludf.DUMMYFUNCTION("""COMPUTED_VALUE"""),0.0)</f>
        <v>0</v>
      </c>
      <c r="W24" s="8">
        <f t="shared" si="1"/>
        <v>0</v>
      </c>
      <c r="AD24" s="5">
        <v>44927.0</v>
      </c>
      <c r="AE24" s="6">
        <v>0.9166666666666666</v>
      </c>
      <c r="AF24" s="7">
        <v>0.0</v>
      </c>
    </row>
    <row r="25">
      <c r="G25" s="5"/>
      <c r="H25" s="6"/>
      <c r="O25" s="7">
        <v>1.0</v>
      </c>
      <c r="P25" s="7">
        <v>22.0</v>
      </c>
      <c r="Q25" s="7">
        <v>0.0</v>
      </c>
      <c r="T25" s="8">
        <f>IFERROR(__xludf.DUMMYFUNCTION("""COMPUTED_VALUE"""),2.0)</f>
        <v>2</v>
      </c>
      <c r="U25" s="8">
        <f>IFERROR(__xludf.DUMMYFUNCTION("""COMPUTED_VALUE"""),21.0)</f>
        <v>21</v>
      </c>
      <c r="V25" s="8">
        <f>IFERROR(__xludf.DUMMYFUNCTION("""COMPUTED_VALUE"""),0.0)</f>
        <v>0</v>
      </c>
      <c r="W25" s="8">
        <f t="shared" si="1"/>
        <v>0</v>
      </c>
      <c r="AD25" s="5">
        <v>44927.0</v>
      </c>
      <c r="AE25" s="6">
        <v>0.9583333333333334</v>
      </c>
      <c r="AF25" s="7">
        <v>0.0</v>
      </c>
    </row>
    <row r="26">
      <c r="G26" s="5"/>
      <c r="H26" s="6"/>
      <c r="O26" s="7">
        <v>1.0</v>
      </c>
      <c r="P26" s="7">
        <v>23.0</v>
      </c>
      <c r="Q26" s="7">
        <v>0.0</v>
      </c>
      <c r="T26" s="8">
        <f>IFERROR(__xludf.DUMMYFUNCTION("""COMPUTED_VALUE"""),2.0)</f>
        <v>2</v>
      </c>
      <c r="U26" s="8">
        <f>IFERROR(__xludf.DUMMYFUNCTION("""COMPUTED_VALUE"""),22.0)</f>
        <v>22</v>
      </c>
      <c r="V26" s="8">
        <f>IFERROR(__xludf.DUMMYFUNCTION("""COMPUTED_VALUE"""),0.0)</f>
        <v>0</v>
      </c>
      <c r="W26" s="8">
        <f t="shared" si="1"/>
        <v>0</v>
      </c>
      <c r="AD26" s="5">
        <v>44928.0</v>
      </c>
      <c r="AE26" s="6">
        <v>0.0</v>
      </c>
      <c r="AF26" s="7">
        <v>0.0</v>
      </c>
    </row>
    <row r="27">
      <c r="G27" s="5"/>
      <c r="H27" s="6"/>
      <c r="O27" s="7">
        <v>2.0</v>
      </c>
      <c r="P27" s="7">
        <v>0.0</v>
      </c>
      <c r="Q27" s="7">
        <v>0.0</v>
      </c>
      <c r="T27" s="8">
        <f>IFERROR(__xludf.DUMMYFUNCTION("""COMPUTED_VALUE"""),2.0)</f>
        <v>2</v>
      </c>
      <c r="U27" s="8">
        <f>IFERROR(__xludf.DUMMYFUNCTION("""COMPUTED_VALUE"""),23.0)</f>
        <v>23</v>
      </c>
      <c r="V27" s="8">
        <f>IFERROR(__xludf.DUMMYFUNCTION("""COMPUTED_VALUE"""),0.0)</f>
        <v>0</v>
      </c>
      <c r="W27" s="8">
        <f t="shared" si="1"/>
        <v>0</v>
      </c>
      <c r="AD27" s="5">
        <v>44928.0</v>
      </c>
      <c r="AE27" s="6">
        <v>0.041666666666666664</v>
      </c>
      <c r="AF27" s="7">
        <v>0.0</v>
      </c>
    </row>
    <row r="28">
      <c r="G28" s="5"/>
      <c r="H28" s="6"/>
      <c r="O28" s="7">
        <v>2.0</v>
      </c>
      <c r="P28" s="7">
        <v>1.0</v>
      </c>
      <c r="Q28" s="7">
        <v>0.0</v>
      </c>
      <c r="AD28" s="5">
        <v>44928.0</v>
      </c>
      <c r="AE28" s="6">
        <v>0.08333333333333333</v>
      </c>
      <c r="AF28" s="7">
        <v>0.0</v>
      </c>
    </row>
    <row r="29">
      <c r="G29" s="5"/>
      <c r="H29" s="6"/>
      <c r="O29" s="7">
        <v>2.0</v>
      </c>
      <c r="P29" s="7">
        <v>2.0</v>
      </c>
      <c r="Q29" s="7">
        <v>0.0</v>
      </c>
      <c r="AD29" s="5">
        <v>44928.0</v>
      </c>
      <c r="AE29" s="6">
        <v>0.125</v>
      </c>
      <c r="AF29" s="7">
        <v>0.0</v>
      </c>
    </row>
    <row r="30">
      <c r="G30" s="5"/>
      <c r="H30" s="6"/>
      <c r="O30" s="7">
        <v>2.0</v>
      </c>
      <c r="P30" s="7">
        <v>3.0</v>
      </c>
      <c r="Q30" s="7">
        <v>0.0</v>
      </c>
      <c r="AD30" s="5">
        <v>44928.0</v>
      </c>
      <c r="AE30" s="6">
        <v>0.16666666666666666</v>
      </c>
      <c r="AF30" s="7">
        <v>0.0</v>
      </c>
    </row>
    <row r="31">
      <c r="G31" s="5"/>
      <c r="H31" s="6"/>
      <c r="O31" s="7">
        <v>2.0</v>
      </c>
      <c r="P31" s="7">
        <v>4.0</v>
      </c>
      <c r="Q31" s="7">
        <v>0.0</v>
      </c>
      <c r="AD31" s="5">
        <v>44928.0</v>
      </c>
      <c r="AE31" s="6">
        <v>0.20833333333333334</v>
      </c>
      <c r="AF31" s="7">
        <v>0.0</v>
      </c>
    </row>
    <row r="32">
      <c r="G32" s="5"/>
      <c r="H32" s="6"/>
      <c r="O32" s="7">
        <v>2.0</v>
      </c>
      <c r="P32" s="7">
        <v>5.0</v>
      </c>
      <c r="Q32" s="7">
        <v>0.0</v>
      </c>
      <c r="AD32" s="5">
        <v>44928.0</v>
      </c>
      <c r="AE32" s="6">
        <v>0.25</v>
      </c>
      <c r="AF32" s="7">
        <v>0.0</v>
      </c>
    </row>
    <row r="33">
      <c r="G33" s="5"/>
      <c r="H33" s="6"/>
      <c r="O33" s="7">
        <v>2.0</v>
      </c>
      <c r="P33" s="7">
        <v>6.0</v>
      </c>
      <c r="Q33" s="7">
        <v>0.0</v>
      </c>
      <c r="AD33" s="5">
        <v>44928.0</v>
      </c>
      <c r="AE33" s="6">
        <v>0.2916666666666667</v>
      </c>
      <c r="AF33" s="7">
        <v>0.0</v>
      </c>
    </row>
    <row r="34">
      <c r="G34" s="5"/>
      <c r="H34" s="6"/>
      <c r="O34" s="7">
        <v>2.0</v>
      </c>
      <c r="P34" s="7">
        <v>7.0</v>
      </c>
      <c r="Q34" s="7">
        <v>135.66428571428574</v>
      </c>
      <c r="AD34" s="5">
        <v>44928.0</v>
      </c>
      <c r="AE34" s="6">
        <v>0.3333333333333333</v>
      </c>
      <c r="AF34" s="7">
        <v>1396.98</v>
      </c>
    </row>
    <row r="35">
      <c r="G35" s="5"/>
      <c r="H35" s="6"/>
      <c r="O35" s="7">
        <v>2.0</v>
      </c>
      <c r="P35" s="7">
        <v>8.0</v>
      </c>
      <c r="Q35" s="7">
        <v>12888.636428571426</v>
      </c>
      <c r="AD35" s="5">
        <v>44928.0</v>
      </c>
      <c r="AE35" s="6">
        <v>0.375</v>
      </c>
      <c r="AF35" s="7">
        <v>4306.38</v>
      </c>
    </row>
    <row r="36">
      <c r="G36" s="5"/>
      <c r="H36" s="6"/>
      <c r="O36" s="7">
        <v>2.0</v>
      </c>
      <c r="P36" s="7">
        <v>9.0</v>
      </c>
      <c r="Q36" s="7">
        <v>25428.752142857145</v>
      </c>
      <c r="AD36" s="5">
        <v>44928.0</v>
      </c>
      <c r="AE36" s="6">
        <v>0.4166666666666667</v>
      </c>
      <c r="AF36" s="7">
        <v>9285.9</v>
      </c>
    </row>
    <row r="37">
      <c r="G37" s="5"/>
      <c r="H37" s="6"/>
      <c r="O37" s="7">
        <v>2.0</v>
      </c>
      <c r="P37" s="7">
        <v>10.0</v>
      </c>
      <c r="Q37" s="7">
        <v>36681.645</v>
      </c>
      <c r="AD37" s="5">
        <v>44928.0</v>
      </c>
      <c r="AE37" s="6">
        <v>0.4583333333333333</v>
      </c>
      <c r="AF37" s="7">
        <v>21035.04</v>
      </c>
    </row>
    <row r="38">
      <c r="G38" s="5"/>
      <c r="H38" s="6"/>
      <c r="O38" s="7">
        <v>2.0</v>
      </c>
      <c r="P38" s="7">
        <v>11.0</v>
      </c>
      <c r="Q38" s="7">
        <v>41107.69928571429</v>
      </c>
      <c r="AD38" s="5">
        <v>44928.0</v>
      </c>
      <c r="AE38" s="6">
        <v>0.5</v>
      </c>
      <c r="AF38" s="7">
        <v>22155.12</v>
      </c>
    </row>
    <row r="39">
      <c r="G39" s="5"/>
      <c r="H39" s="6"/>
      <c r="O39" s="7">
        <v>2.0</v>
      </c>
      <c r="P39" s="7">
        <v>12.0</v>
      </c>
      <c r="Q39" s="7">
        <v>43523.721428571436</v>
      </c>
      <c r="AD39" s="5">
        <v>44928.0</v>
      </c>
      <c r="AE39" s="6">
        <v>0.5416666666666666</v>
      </c>
      <c r="AF39" s="7">
        <v>33847.32</v>
      </c>
    </row>
    <row r="40">
      <c r="G40" s="5"/>
      <c r="H40" s="6"/>
      <c r="O40" s="7">
        <v>2.0</v>
      </c>
      <c r="P40" s="7">
        <v>13.0</v>
      </c>
      <c r="Q40" s="7">
        <v>42620.732142857145</v>
      </c>
      <c r="AD40" s="5">
        <v>44928.0</v>
      </c>
      <c r="AE40" s="6">
        <v>0.5833333333333334</v>
      </c>
      <c r="AF40" s="7">
        <v>20060.04</v>
      </c>
    </row>
    <row r="41">
      <c r="G41" s="5"/>
      <c r="H41" s="6"/>
      <c r="O41" s="7">
        <v>2.0</v>
      </c>
      <c r="P41" s="7">
        <v>14.0</v>
      </c>
      <c r="Q41" s="7">
        <v>38717.25</v>
      </c>
      <c r="AD41" s="5">
        <v>44928.0</v>
      </c>
      <c r="AE41" s="6">
        <v>0.625</v>
      </c>
      <c r="AF41" s="7">
        <v>13853.58</v>
      </c>
    </row>
    <row r="42">
      <c r="G42" s="5"/>
      <c r="H42" s="6"/>
      <c r="O42" s="7">
        <v>2.0</v>
      </c>
      <c r="P42" s="7">
        <v>15.0</v>
      </c>
      <c r="Q42" s="7">
        <v>29096.06142857143</v>
      </c>
      <c r="AD42" s="5">
        <v>44928.0</v>
      </c>
      <c r="AE42" s="6">
        <v>0.6666666666666666</v>
      </c>
      <c r="AF42" s="7">
        <v>2637.96</v>
      </c>
    </row>
    <row r="43">
      <c r="G43" s="5"/>
      <c r="H43" s="6"/>
      <c r="O43" s="7">
        <v>2.0</v>
      </c>
      <c r="P43" s="7">
        <v>16.0</v>
      </c>
      <c r="Q43" s="7">
        <v>16769.025</v>
      </c>
      <c r="AD43" s="5">
        <v>44928.0</v>
      </c>
      <c r="AE43" s="6">
        <v>0.7083333333333334</v>
      </c>
      <c r="AF43" s="7">
        <v>0.0</v>
      </c>
    </row>
    <row r="44">
      <c r="G44" s="5"/>
      <c r="H44" s="6"/>
      <c r="O44" s="7">
        <v>2.0</v>
      </c>
      <c r="P44" s="7">
        <v>17.0</v>
      </c>
      <c r="Q44" s="7">
        <v>1511.1942857142856</v>
      </c>
      <c r="AD44" s="5">
        <v>44928.0</v>
      </c>
      <c r="AE44" s="6">
        <v>0.75</v>
      </c>
      <c r="AF44" s="7">
        <v>0.0</v>
      </c>
    </row>
    <row r="45">
      <c r="G45" s="5"/>
      <c r="H45" s="6"/>
      <c r="O45" s="7">
        <v>2.0</v>
      </c>
      <c r="P45" s="7">
        <v>18.0</v>
      </c>
      <c r="Q45" s="7">
        <v>0.0</v>
      </c>
      <c r="AD45" s="5">
        <v>44928.0</v>
      </c>
      <c r="AE45" s="6">
        <v>0.7916666666666666</v>
      </c>
      <c r="AF45" s="7">
        <v>0.0</v>
      </c>
    </row>
    <row r="46">
      <c r="G46" s="5"/>
      <c r="H46" s="6"/>
      <c r="O46" s="7">
        <v>2.0</v>
      </c>
      <c r="P46" s="7">
        <v>19.0</v>
      </c>
      <c r="Q46" s="7">
        <v>0.0</v>
      </c>
      <c r="AD46" s="5">
        <v>44928.0</v>
      </c>
      <c r="AE46" s="6">
        <v>0.8333333333333334</v>
      </c>
      <c r="AF46" s="7">
        <v>0.0</v>
      </c>
    </row>
    <row r="47">
      <c r="G47" s="5"/>
      <c r="H47" s="6"/>
      <c r="O47" s="7">
        <v>2.0</v>
      </c>
      <c r="P47" s="7">
        <v>20.0</v>
      </c>
      <c r="Q47" s="7">
        <v>0.0</v>
      </c>
      <c r="AD47" s="5">
        <v>44928.0</v>
      </c>
      <c r="AE47" s="6">
        <v>0.875</v>
      </c>
      <c r="AF47" s="7">
        <v>0.0</v>
      </c>
    </row>
    <row r="48">
      <c r="G48" s="5"/>
      <c r="H48" s="6"/>
      <c r="O48" s="7">
        <v>2.0</v>
      </c>
      <c r="P48" s="7">
        <v>21.0</v>
      </c>
      <c r="Q48" s="7">
        <v>0.0</v>
      </c>
      <c r="AD48" s="5">
        <v>44928.0</v>
      </c>
      <c r="AE48" s="6">
        <v>0.9166666666666666</v>
      </c>
      <c r="AF48" s="7">
        <v>0.0</v>
      </c>
    </row>
    <row r="49">
      <c r="G49" s="5"/>
      <c r="H49" s="6"/>
      <c r="O49" s="7">
        <v>2.0</v>
      </c>
      <c r="P49" s="7">
        <v>22.0</v>
      </c>
      <c r="Q49" s="7">
        <v>0.0</v>
      </c>
      <c r="AD49" s="5">
        <v>44928.0</v>
      </c>
      <c r="AE49" s="6">
        <v>0.9583333333333334</v>
      </c>
      <c r="AF49" s="7">
        <v>0.0</v>
      </c>
    </row>
    <row r="50">
      <c r="G50" s="5"/>
      <c r="H50" s="6"/>
      <c r="O50" s="7">
        <v>2.0</v>
      </c>
      <c r="P50" s="7">
        <v>23.0</v>
      </c>
      <c r="Q50" s="7">
        <v>0.0</v>
      </c>
      <c r="AD50" s="5">
        <v>44929.0</v>
      </c>
      <c r="AE50" s="6">
        <v>0.0</v>
      </c>
      <c r="AF50" s="7">
        <v>0.0</v>
      </c>
    </row>
    <row r="51">
      <c r="G51" s="5"/>
      <c r="H51" s="6"/>
      <c r="O51" s="7">
        <v>3.0</v>
      </c>
      <c r="P51" s="7">
        <v>0.0</v>
      </c>
      <c r="Q51" s="7">
        <v>0.0</v>
      </c>
      <c r="AD51" s="5">
        <v>44929.0</v>
      </c>
      <c r="AE51" s="6">
        <v>0.041666666666666664</v>
      </c>
      <c r="AF51" s="7">
        <v>0.0</v>
      </c>
    </row>
    <row r="52">
      <c r="G52" s="5"/>
      <c r="H52" s="6"/>
      <c r="O52" s="7">
        <v>3.0</v>
      </c>
      <c r="P52" s="7">
        <v>1.0</v>
      </c>
      <c r="Q52" s="7">
        <v>0.0</v>
      </c>
      <c r="AD52" s="5">
        <v>44929.0</v>
      </c>
      <c r="AE52" s="6">
        <v>0.08333333333333333</v>
      </c>
      <c r="AF52" s="7">
        <v>0.0</v>
      </c>
    </row>
    <row r="53">
      <c r="G53" s="5"/>
      <c r="H53" s="6"/>
      <c r="O53" s="7">
        <v>3.0</v>
      </c>
      <c r="P53" s="7">
        <v>2.0</v>
      </c>
      <c r="Q53" s="7">
        <v>0.0</v>
      </c>
      <c r="AD53" s="5">
        <v>44929.0</v>
      </c>
      <c r="AE53" s="6">
        <v>0.125</v>
      </c>
      <c r="AF53" s="7">
        <v>0.0</v>
      </c>
    </row>
    <row r="54">
      <c r="G54" s="5"/>
      <c r="H54" s="6"/>
      <c r="O54" s="7">
        <v>3.0</v>
      </c>
      <c r="P54" s="7">
        <v>3.0</v>
      </c>
      <c r="Q54" s="7">
        <v>0.0</v>
      </c>
      <c r="AD54" s="5">
        <v>44929.0</v>
      </c>
      <c r="AE54" s="6">
        <v>0.16666666666666666</v>
      </c>
      <c r="AF54" s="7">
        <v>0.0</v>
      </c>
    </row>
    <row r="55">
      <c r="G55" s="5"/>
      <c r="H55" s="6"/>
      <c r="O55" s="7">
        <v>3.0</v>
      </c>
      <c r="P55" s="7">
        <v>4.0</v>
      </c>
      <c r="Q55" s="7">
        <v>0.0</v>
      </c>
      <c r="AD55" s="5">
        <v>44929.0</v>
      </c>
      <c r="AE55" s="6">
        <v>0.20833333333333334</v>
      </c>
      <c r="AF55" s="7">
        <v>0.0</v>
      </c>
    </row>
    <row r="56">
      <c r="G56" s="5"/>
      <c r="H56" s="6"/>
      <c r="O56" s="7">
        <v>3.0</v>
      </c>
      <c r="P56" s="7">
        <v>5.0</v>
      </c>
      <c r="Q56" s="7">
        <v>0.0</v>
      </c>
      <c r="AD56" s="5">
        <v>44929.0</v>
      </c>
      <c r="AE56" s="6">
        <v>0.25</v>
      </c>
      <c r="AF56" s="7">
        <v>0.0</v>
      </c>
    </row>
    <row r="57">
      <c r="G57" s="5"/>
      <c r="H57" s="6"/>
      <c r="O57" s="7">
        <v>3.0</v>
      </c>
      <c r="P57" s="7">
        <v>6.0</v>
      </c>
      <c r="Q57" s="7">
        <v>11.574193548387097</v>
      </c>
      <c r="AD57" s="5">
        <v>44929.0</v>
      </c>
      <c r="AE57" s="6">
        <v>0.2916666666666667</v>
      </c>
      <c r="AF57" s="7">
        <v>0.0</v>
      </c>
    </row>
    <row r="58">
      <c r="G58" s="5"/>
      <c r="H58" s="6"/>
      <c r="O58" s="7">
        <v>3.0</v>
      </c>
      <c r="P58" s="7">
        <v>7.0</v>
      </c>
      <c r="Q58" s="7">
        <v>5372.790967741936</v>
      </c>
      <c r="AD58" s="5">
        <v>44929.0</v>
      </c>
      <c r="AE58" s="6">
        <v>0.3333333333333333</v>
      </c>
      <c r="AF58" s="7">
        <v>4670.64</v>
      </c>
    </row>
    <row r="59">
      <c r="G59" s="5"/>
      <c r="H59" s="6"/>
      <c r="O59" s="7">
        <v>3.0</v>
      </c>
      <c r="P59" s="7">
        <v>8.0</v>
      </c>
      <c r="Q59" s="7">
        <v>20316.08129032258</v>
      </c>
      <c r="AD59" s="5">
        <v>44929.0</v>
      </c>
      <c r="AE59" s="6">
        <v>0.375</v>
      </c>
      <c r="AF59" s="7">
        <v>20851.74</v>
      </c>
    </row>
    <row r="60">
      <c r="G60" s="5"/>
      <c r="H60" s="6"/>
      <c r="O60" s="7">
        <v>3.0</v>
      </c>
      <c r="P60" s="7">
        <v>9.0</v>
      </c>
      <c r="Q60" s="7">
        <v>34176.35419354839</v>
      </c>
      <c r="AD60" s="5">
        <v>44929.0</v>
      </c>
      <c r="AE60" s="6">
        <v>0.4166666666666667</v>
      </c>
      <c r="AF60" s="7">
        <v>33364.5</v>
      </c>
    </row>
    <row r="61">
      <c r="G61" s="5"/>
      <c r="H61" s="6"/>
      <c r="O61" s="7">
        <v>3.0</v>
      </c>
      <c r="P61" s="7">
        <v>10.0</v>
      </c>
      <c r="Q61" s="7">
        <v>41825.86451612903</v>
      </c>
      <c r="AD61" s="5">
        <v>44929.0</v>
      </c>
      <c r="AE61" s="6">
        <v>0.4583333333333333</v>
      </c>
      <c r="AF61" s="7">
        <v>39919.62</v>
      </c>
    </row>
    <row r="62">
      <c r="G62" s="5"/>
      <c r="H62" s="6"/>
      <c r="O62" s="7">
        <v>3.0</v>
      </c>
      <c r="P62" s="7">
        <v>11.0</v>
      </c>
      <c r="Q62" s="7">
        <v>48858.847741935475</v>
      </c>
      <c r="AD62" s="5">
        <v>44929.0</v>
      </c>
      <c r="AE62" s="6">
        <v>0.5</v>
      </c>
      <c r="AF62" s="7">
        <v>40550.64</v>
      </c>
    </row>
    <row r="63">
      <c r="G63" s="5"/>
      <c r="H63" s="6"/>
      <c r="O63" s="7">
        <v>3.0</v>
      </c>
      <c r="P63" s="7">
        <v>12.0</v>
      </c>
      <c r="Q63" s="7">
        <v>52118.417419354846</v>
      </c>
      <c r="AD63" s="5">
        <v>44929.0</v>
      </c>
      <c r="AE63" s="6">
        <v>0.5416666666666666</v>
      </c>
      <c r="AF63" s="7">
        <v>39187.2</v>
      </c>
    </row>
    <row r="64">
      <c r="G64" s="5"/>
      <c r="H64" s="6"/>
      <c r="O64" s="7">
        <v>3.0</v>
      </c>
      <c r="P64" s="7">
        <v>13.0</v>
      </c>
      <c r="Q64" s="7">
        <v>51106.37999999998</v>
      </c>
      <c r="AD64" s="5">
        <v>44929.0</v>
      </c>
      <c r="AE64" s="6">
        <v>0.5833333333333334</v>
      </c>
      <c r="AF64" s="7">
        <v>31455.84</v>
      </c>
    </row>
    <row r="65">
      <c r="G65" s="5"/>
      <c r="H65" s="6"/>
      <c r="O65" s="7">
        <v>3.0</v>
      </c>
      <c r="P65" s="7">
        <v>14.0</v>
      </c>
      <c r="Q65" s="7">
        <v>42823.937419354836</v>
      </c>
      <c r="AD65" s="5">
        <v>44929.0</v>
      </c>
      <c r="AE65" s="6">
        <v>0.625</v>
      </c>
      <c r="AF65" s="7">
        <v>20417.28</v>
      </c>
    </row>
    <row r="66">
      <c r="G66" s="5"/>
      <c r="H66" s="6"/>
      <c r="O66" s="7">
        <v>3.0</v>
      </c>
      <c r="P66" s="7">
        <v>15.0</v>
      </c>
      <c r="Q66" s="7">
        <v>33873.51290322581</v>
      </c>
      <c r="AD66" s="5">
        <v>44929.0</v>
      </c>
      <c r="AE66" s="6">
        <v>0.6666666666666666</v>
      </c>
      <c r="AF66" s="7">
        <v>5653.44</v>
      </c>
    </row>
    <row r="67">
      <c r="G67" s="5"/>
      <c r="H67" s="6"/>
      <c r="O67" s="7">
        <v>3.0</v>
      </c>
      <c r="P67" s="7">
        <v>16.0</v>
      </c>
      <c r="Q67" s="7">
        <v>20475.654193548384</v>
      </c>
      <c r="AD67" s="5">
        <v>44929.0</v>
      </c>
      <c r="AE67" s="6">
        <v>0.7083333333333334</v>
      </c>
      <c r="AF67" s="7">
        <v>0.0</v>
      </c>
    </row>
    <row r="68">
      <c r="G68" s="5"/>
      <c r="H68" s="6"/>
      <c r="O68" s="7">
        <v>3.0</v>
      </c>
      <c r="P68" s="7">
        <v>17.0</v>
      </c>
      <c r="Q68" s="7">
        <v>6827.9438709677415</v>
      </c>
      <c r="AD68" s="5">
        <v>44929.0</v>
      </c>
      <c r="AE68" s="6">
        <v>0.75</v>
      </c>
      <c r="AF68" s="7">
        <v>0.0</v>
      </c>
    </row>
    <row r="69">
      <c r="G69" s="5"/>
      <c r="H69" s="6"/>
      <c r="O69" s="7">
        <v>3.0</v>
      </c>
      <c r="P69" s="7">
        <v>18.0</v>
      </c>
      <c r="Q69" s="7">
        <v>0.0</v>
      </c>
      <c r="AD69" s="5">
        <v>44929.0</v>
      </c>
      <c r="AE69" s="6">
        <v>0.7916666666666666</v>
      </c>
      <c r="AF69" s="7">
        <v>0.0</v>
      </c>
    </row>
    <row r="70">
      <c r="G70" s="5"/>
      <c r="H70" s="6"/>
      <c r="O70" s="7">
        <v>3.0</v>
      </c>
      <c r="P70" s="7">
        <v>19.0</v>
      </c>
      <c r="Q70" s="7">
        <v>0.0</v>
      </c>
      <c r="AD70" s="5">
        <v>44929.0</v>
      </c>
      <c r="AE70" s="6">
        <v>0.8333333333333334</v>
      </c>
      <c r="AF70" s="7">
        <v>0.0</v>
      </c>
    </row>
    <row r="71">
      <c r="G71" s="5"/>
      <c r="H71" s="6"/>
      <c r="O71" s="7">
        <v>3.0</v>
      </c>
      <c r="P71" s="7">
        <v>20.0</v>
      </c>
      <c r="Q71" s="7">
        <v>0.0</v>
      </c>
      <c r="AD71" s="5">
        <v>44929.0</v>
      </c>
      <c r="AE71" s="6">
        <v>0.875</v>
      </c>
      <c r="AF71" s="7">
        <v>0.0</v>
      </c>
    </row>
    <row r="72">
      <c r="G72" s="5"/>
      <c r="H72" s="6"/>
      <c r="O72" s="7">
        <v>3.0</v>
      </c>
      <c r="P72" s="7">
        <v>21.0</v>
      </c>
      <c r="Q72" s="7">
        <v>0.0</v>
      </c>
      <c r="AD72" s="5">
        <v>44929.0</v>
      </c>
      <c r="AE72" s="6">
        <v>0.9166666666666666</v>
      </c>
      <c r="AF72" s="7">
        <v>0.0</v>
      </c>
    </row>
    <row r="73">
      <c r="G73" s="5"/>
      <c r="H73" s="6"/>
      <c r="O73" s="7">
        <v>3.0</v>
      </c>
      <c r="P73" s="7">
        <v>22.0</v>
      </c>
      <c r="Q73" s="7">
        <v>0.0</v>
      </c>
      <c r="AD73" s="5">
        <v>44929.0</v>
      </c>
      <c r="AE73" s="6">
        <v>0.9583333333333334</v>
      </c>
      <c r="AF73" s="7">
        <v>0.0</v>
      </c>
    </row>
    <row r="74">
      <c r="G74" s="5"/>
      <c r="H74" s="6"/>
      <c r="O74" s="7">
        <v>3.0</v>
      </c>
      <c r="P74" s="7">
        <v>23.0</v>
      </c>
      <c r="Q74" s="7">
        <v>0.0</v>
      </c>
      <c r="AD74" s="5">
        <v>44930.0</v>
      </c>
      <c r="AE74" s="6">
        <v>0.0</v>
      </c>
      <c r="AF74" s="7">
        <v>0.0</v>
      </c>
    </row>
    <row r="75">
      <c r="G75" s="5"/>
      <c r="H75" s="6"/>
      <c r="O75" s="7">
        <v>4.0</v>
      </c>
      <c r="P75" s="7">
        <v>0.0</v>
      </c>
      <c r="Q75" s="7">
        <v>0.0</v>
      </c>
      <c r="AD75" s="5">
        <v>44930.0</v>
      </c>
      <c r="AE75" s="6">
        <v>0.041666666666666664</v>
      </c>
      <c r="AF75" s="7">
        <v>0.0</v>
      </c>
    </row>
    <row r="76">
      <c r="G76" s="5"/>
      <c r="H76" s="6"/>
      <c r="O76" s="7">
        <v>4.0</v>
      </c>
      <c r="P76" s="7">
        <v>1.0</v>
      </c>
      <c r="Q76" s="7">
        <v>0.0</v>
      </c>
      <c r="AD76" s="5">
        <v>44930.0</v>
      </c>
      <c r="AE76" s="6">
        <v>0.08333333333333333</v>
      </c>
      <c r="AF76" s="7">
        <v>0.0</v>
      </c>
    </row>
    <row r="77">
      <c r="G77" s="5"/>
      <c r="H77" s="6"/>
      <c r="O77" s="7">
        <v>4.0</v>
      </c>
      <c r="P77" s="7">
        <v>2.0</v>
      </c>
      <c r="Q77" s="7">
        <v>0.0</v>
      </c>
      <c r="AD77" s="5">
        <v>44930.0</v>
      </c>
      <c r="AE77" s="6">
        <v>0.125</v>
      </c>
      <c r="AF77" s="7">
        <v>0.0</v>
      </c>
    </row>
    <row r="78">
      <c r="G78" s="5"/>
      <c r="H78" s="6"/>
      <c r="O78" s="7">
        <v>4.0</v>
      </c>
      <c r="P78" s="7">
        <v>3.0</v>
      </c>
      <c r="Q78" s="7">
        <v>0.0</v>
      </c>
      <c r="AD78" s="5">
        <v>44930.0</v>
      </c>
      <c r="AE78" s="6">
        <v>0.16666666666666666</v>
      </c>
      <c r="AF78" s="7">
        <v>0.0</v>
      </c>
    </row>
    <row r="79">
      <c r="G79" s="5"/>
      <c r="H79" s="6"/>
      <c r="O79" s="7">
        <v>4.0</v>
      </c>
      <c r="P79" s="7">
        <v>4.0</v>
      </c>
      <c r="Q79" s="7">
        <v>0.0</v>
      </c>
      <c r="AD79" s="5">
        <v>44930.0</v>
      </c>
      <c r="AE79" s="6">
        <v>0.20833333333333334</v>
      </c>
      <c r="AF79" s="7">
        <v>0.0</v>
      </c>
    </row>
    <row r="80">
      <c r="G80" s="5"/>
      <c r="H80" s="6"/>
      <c r="O80" s="7">
        <v>4.0</v>
      </c>
      <c r="P80" s="7">
        <v>5.0</v>
      </c>
      <c r="Q80" s="7">
        <v>0.0</v>
      </c>
      <c r="AD80" s="5">
        <v>44930.0</v>
      </c>
      <c r="AE80" s="6">
        <v>0.25</v>
      </c>
      <c r="AF80" s="7">
        <v>0.0</v>
      </c>
    </row>
    <row r="81">
      <c r="G81" s="5"/>
      <c r="H81" s="6"/>
      <c r="O81" s="7">
        <v>4.0</v>
      </c>
      <c r="P81" s="7">
        <v>6.0</v>
      </c>
      <c r="Q81" s="7">
        <v>2683.772</v>
      </c>
      <c r="AD81" s="5">
        <v>44930.0</v>
      </c>
      <c r="AE81" s="6">
        <v>0.2916666666666667</v>
      </c>
      <c r="AF81" s="7">
        <v>0.0</v>
      </c>
    </row>
    <row r="82">
      <c r="G82" s="5"/>
      <c r="H82" s="6"/>
      <c r="O82" s="7">
        <v>4.0</v>
      </c>
      <c r="P82" s="7">
        <v>7.0</v>
      </c>
      <c r="Q82" s="7">
        <v>15310.204000000002</v>
      </c>
      <c r="AD82" s="5">
        <v>44930.0</v>
      </c>
      <c r="AE82" s="6">
        <v>0.3333333333333333</v>
      </c>
      <c r="AF82" s="7">
        <v>4627.74</v>
      </c>
    </row>
    <row r="83">
      <c r="G83" s="5"/>
      <c r="H83" s="6"/>
      <c r="O83" s="7">
        <v>4.0</v>
      </c>
      <c r="P83" s="7">
        <v>8.0</v>
      </c>
      <c r="Q83" s="7">
        <v>30264.805999999997</v>
      </c>
      <c r="AD83" s="5">
        <v>44930.0</v>
      </c>
      <c r="AE83" s="6">
        <v>0.375</v>
      </c>
      <c r="AF83" s="7">
        <v>21843.9</v>
      </c>
    </row>
    <row r="84">
      <c r="G84" s="5"/>
      <c r="H84" s="6"/>
      <c r="O84" s="7">
        <v>4.0</v>
      </c>
      <c r="P84" s="7">
        <v>9.0</v>
      </c>
      <c r="Q84" s="7">
        <v>41819.36200000001</v>
      </c>
      <c r="AD84" s="5">
        <v>44930.0</v>
      </c>
      <c r="AE84" s="6">
        <v>0.4166666666666667</v>
      </c>
      <c r="AF84" s="7">
        <v>33937.8</v>
      </c>
    </row>
    <row r="85">
      <c r="G85" s="5"/>
      <c r="H85" s="6"/>
      <c r="O85" s="7">
        <v>4.0</v>
      </c>
      <c r="P85" s="7">
        <v>10.0</v>
      </c>
      <c r="Q85" s="7">
        <v>51707.604</v>
      </c>
      <c r="AD85" s="5">
        <v>44930.0</v>
      </c>
      <c r="AE85" s="6">
        <v>0.4583333333333333</v>
      </c>
      <c r="AF85" s="7">
        <v>40074.84</v>
      </c>
    </row>
    <row r="86">
      <c r="G86" s="5"/>
      <c r="H86" s="6"/>
      <c r="O86" s="7">
        <v>4.0</v>
      </c>
      <c r="P86" s="7">
        <v>11.0</v>
      </c>
      <c r="Q86" s="7">
        <v>56077.19000000002</v>
      </c>
      <c r="AD86" s="5">
        <v>44930.0</v>
      </c>
      <c r="AE86" s="6">
        <v>0.5</v>
      </c>
      <c r="AF86" s="7">
        <v>40819.74</v>
      </c>
    </row>
    <row r="87">
      <c r="G87" s="5"/>
      <c r="H87" s="6"/>
      <c r="O87" s="7">
        <v>4.0</v>
      </c>
      <c r="P87" s="7">
        <v>12.0</v>
      </c>
      <c r="Q87" s="7">
        <v>57772.806</v>
      </c>
      <c r="AD87" s="5">
        <v>44930.0</v>
      </c>
      <c r="AE87" s="6">
        <v>0.5416666666666666</v>
      </c>
      <c r="AF87" s="7">
        <v>39524.94</v>
      </c>
    </row>
    <row r="88">
      <c r="G88" s="5"/>
      <c r="H88" s="6"/>
      <c r="O88" s="7">
        <v>4.0</v>
      </c>
      <c r="P88" s="7">
        <v>13.0</v>
      </c>
      <c r="Q88" s="7">
        <v>55319.628</v>
      </c>
      <c r="AD88" s="5">
        <v>44930.0</v>
      </c>
      <c r="AE88" s="6">
        <v>0.5833333333333334</v>
      </c>
      <c r="AF88" s="7">
        <v>32107.14</v>
      </c>
    </row>
    <row r="89">
      <c r="G89" s="5"/>
      <c r="H89" s="6"/>
      <c r="O89" s="7">
        <v>4.0</v>
      </c>
      <c r="P89" s="7">
        <v>14.0</v>
      </c>
      <c r="Q89" s="7">
        <v>45772.16800000001</v>
      </c>
      <c r="AD89" s="5">
        <v>44930.0</v>
      </c>
      <c r="AE89" s="6">
        <v>0.625</v>
      </c>
      <c r="AF89" s="7">
        <v>20641.92</v>
      </c>
    </row>
    <row r="90">
      <c r="G90" s="5"/>
      <c r="H90" s="6"/>
      <c r="O90" s="7">
        <v>4.0</v>
      </c>
      <c r="P90" s="7">
        <v>15.0</v>
      </c>
      <c r="Q90" s="7">
        <v>34700.978</v>
      </c>
      <c r="AD90" s="5">
        <v>44930.0</v>
      </c>
      <c r="AE90" s="6">
        <v>0.6666666666666666</v>
      </c>
      <c r="AF90" s="7">
        <v>5973.24</v>
      </c>
    </row>
    <row r="91">
      <c r="G91" s="5"/>
      <c r="H91" s="6"/>
      <c r="O91" s="7">
        <v>4.0</v>
      </c>
      <c r="P91" s="7">
        <v>16.0</v>
      </c>
      <c r="Q91" s="7">
        <v>23207.83399999999</v>
      </c>
      <c r="AD91" s="5">
        <v>44930.0</v>
      </c>
      <c r="AE91" s="6">
        <v>0.7083333333333334</v>
      </c>
      <c r="AF91" s="7">
        <v>0.0</v>
      </c>
    </row>
    <row r="92">
      <c r="G92" s="5"/>
      <c r="H92" s="6"/>
      <c r="O92" s="7">
        <v>4.0</v>
      </c>
      <c r="P92" s="7">
        <v>17.0</v>
      </c>
      <c r="Q92" s="7">
        <v>10529.714000000002</v>
      </c>
      <c r="AD92" s="5">
        <v>44930.0</v>
      </c>
      <c r="AE92" s="6">
        <v>0.75</v>
      </c>
      <c r="AF92" s="7">
        <v>0.0</v>
      </c>
    </row>
    <row r="93">
      <c r="G93" s="5"/>
      <c r="H93" s="6"/>
      <c r="O93" s="7">
        <v>4.0</v>
      </c>
      <c r="P93" s="7">
        <v>18.0</v>
      </c>
      <c r="Q93" s="7">
        <v>892.814</v>
      </c>
      <c r="AD93" s="5">
        <v>44930.0</v>
      </c>
      <c r="AE93" s="6">
        <v>0.7916666666666666</v>
      </c>
      <c r="AF93" s="7">
        <v>0.0</v>
      </c>
    </row>
    <row r="94">
      <c r="G94" s="5"/>
      <c r="H94" s="6"/>
      <c r="O94" s="7">
        <v>4.0</v>
      </c>
      <c r="P94" s="7">
        <v>19.0</v>
      </c>
      <c r="Q94" s="7">
        <v>0.0</v>
      </c>
      <c r="AD94" s="5">
        <v>44930.0</v>
      </c>
      <c r="AE94" s="6">
        <v>0.8333333333333334</v>
      </c>
      <c r="AF94" s="7">
        <v>0.0</v>
      </c>
    </row>
    <row r="95">
      <c r="G95" s="5"/>
      <c r="H95" s="6"/>
      <c r="O95" s="7">
        <v>4.0</v>
      </c>
      <c r="P95" s="7">
        <v>20.0</v>
      </c>
      <c r="Q95" s="7">
        <v>0.0</v>
      </c>
      <c r="AD95" s="5">
        <v>44930.0</v>
      </c>
      <c r="AE95" s="6">
        <v>0.875</v>
      </c>
      <c r="AF95" s="7">
        <v>0.0</v>
      </c>
    </row>
    <row r="96">
      <c r="G96" s="5"/>
      <c r="H96" s="6"/>
      <c r="O96" s="7">
        <v>4.0</v>
      </c>
      <c r="P96" s="7">
        <v>21.0</v>
      </c>
      <c r="Q96" s="7">
        <v>0.0</v>
      </c>
      <c r="AD96" s="5">
        <v>44930.0</v>
      </c>
      <c r="AE96" s="6">
        <v>0.9166666666666666</v>
      </c>
      <c r="AF96" s="7">
        <v>0.0</v>
      </c>
    </row>
    <row r="97">
      <c r="G97" s="5"/>
      <c r="H97" s="6"/>
      <c r="O97" s="7">
        <v>4.0</v>
      </c>
      <c r="P97" s="7">
        <v>22.0</v>
      </c>
      <c r="Q97" s="7">
        <v>0.0</v>
      </c>
      <c r="AD97" s="5">
        <v>44930.0</v>
      </c>
      <c r="AE97" s="6">
        <v>0.9583333333333334</v>
      </c>
      <c r="AF97" s="7">
        <v>0.0</v>
      </c>
    </row>
    <row r="98">
      <c r="G98" s="5"/>
      <c r="H98" s="6"/>
      <c r="O98" s="7">
        <v>4.0</v>
      </c>
      <c r="P98" s="7">
        <v>23.0</v>
      </c>
      <c r="Q98" s="7">
        <v>0.0</v>
      </c>
      <c r="AD98" s="5">
        <v>44931.0</v>
      </c>
      <c r="AE98" s="6">
        <v>0.0</v>
      </c>
      <c r="AF98" s="7">
        <v>0.0</v>
      </c>
    </row>
    <row r="99">
      <c r="G99" s="5"/>
      <c r="H99" s="6"/>
      <c r="O99" s="7">
        <v>5.0</v>
      </c>
      <c r="P99" s="7">
        <v>0.0</v>
      </c>
      <c r="Q99" s="7">
        <v>0.0</v>
      </c>
      <c r="AD99" s="5">
        <v>44931.0</v>
      </c>
      <c r="AE99" s="6">
        <v>0.041666666666666664</v>
      </c>
      <c r="AF99" s="7">
        <v>0.0</v>
      </c>
    </row>
    <row r="100">
      <c r="G100" s="5"/>
      <c r="H100" s="6"/>
      <c r="O100" s="7">
        <v>5.0</v>
      </c>
      <c r="P100" s="7">
        <v>1.0</v>
      </c>
      <c r="Q100" s="7">
        <v>0.0</v>
      </c>
      <c r="AD100" s="5">
        <v>44931.0</v>
      </c>
      <c r="AE100" s="6">
        <v>0.08333333333333333</v>
      </c>
      <c r="AF100" s="7">
        <v>0.0</v>
      </c>
    </row>
    <row r="101">
      <c r="G101" s="5"/>
      <c r="H101" s="6"/>
      <c r="O101" s="7">
        <v>5.0</v>
      </c>
      <c r="P101" s="7">
        <v>2.0</v>
      </c>
      <c r="Q101" s="7">
        <v>0.0</v>
      </c>
      <c r="AD101" s="5">
        <v>44931.0</v>
      </c>
      <c r="AE101" s="6">
        <v>0.125</v>
      </c>
      <c r="AF101" s="7">
        <v>0.0</v>
      </c>
    </row>
    <row r="102">
      <c r="G102" s="5"/>
      <c r="H102" s="6"/>
      <c r="O102" s="7">
        <v>5.0</v>
      </c>
      <c r="P102" s="7">
        <v>3.0</v>
      </c>
      <c r="Q102" s="7">
        <v>0.0</v>
      </c>
      <c r="AD102" s="5">
        <v>44931.0</v>
      </c>
      <c r="AE102" s="6">
        <v>0.16666666666666666</v>
      </c>
      <c r="AF102" s="7">
        <v>0.0</v>
      </c>
    </row>
    <row r="103">
      <c r="G103" s="5"/>
      <c r="H103" s="6"/>
      <c r="O103" s="7">
        <v>5.0</v>
      </c>
      <c r="P103" s="7">
        <v>4.0</v>
      </c>
      <c r="Q103" s="7">
        <v>0.0</v>
      </c>
      <c r="AD103" s="5">
        <v>44931.0</v>
      </c>
      <c r="AE103" s="6">
        <v>0.20833333333333334</v>
      </c>
      <c r="AF103" s="7">
        <v>0.0</v>
      </c>
    </row>
    <row r="104">
      <c r="G104" s="5"/>
      <c r="H104" s="6"/>
      <c r="O104" s="7">
        <v>5.0</v>
      </c>
      <c r="P104" s="7">
        <v>5.0</v>
      </c>
      <c r="Q104" s="7">
        <v>439.06451612903226</v>
      </c>
      <c r="AD104" s="5">
        <v>44931.0</v>
      </c>
      <c r="AE104" s="6">
        <v>0.25</v>
      </c>
      <c r="AF104" s="7">
        <v>0.0</v>
      </c>
    </row>
    <row r="105">
      <c r="G105" s="5"/>
      <c r="H105" s="6"/>
      <c r="O105" s="7">
        <v>5.0</v>
      </c>
      <c r="P105" s="7">
        <v>6.0</v>
      </c>
      <c r="Q105" s="7">
        <v>7203.249677419355</v>
      </c>
      <c r="AD105" s="5">
        <v>44931.0</v>
      </c>
      <c r="AE105" s="6">
        <v>0.2916666666666667</v>
      </c>
      <c r="AF105" s="7">
        <v>0.0</v>
      </c>
    </row>
    <row r="106">
      <c r="G106" s="5"/>
      <c r="H106" s="6"/>
      <c r="O106" s="7">
        <v>5.0</v>
      </c>
      <c r="P106" s="7">
        <v>7.0</v>
      </c>
      <c r="Q106" s="7">
        <v>20788.15741935484</v>
      </c>
      <c r="AD106" s="5">
        <v>44931.0</v>
      </c>
      <c r="AE106" s="6">
        <v>0.3333333333333333</v>
      </c>
      <c r="AF106" s="7">
        <v>1653.6</v>
      </c>
    </row>
    <row r="107">
      <c r="G107" s="5"/>
      <c r="H107" s="6"/>
      <c r="O107" s="7">
        <v>5.0</v>
      </c>
      <c r="P107" s="7">
        <v>8.0</v>
      </c>
      <c r="Q107" s="7">
        <v>35713.054838709686</v>
      </c>
      <c r="AD107" s="5">
        <v>44931.0</v>
      </c>
      <c r="AE107" s="6">
        <v>0.375</v>
      </c>
      <c r="AF107" s="7">
        <v>6368.7</v>
      </c>
    </row>
    <row r="108">
      <c r="G108" s="5"/>
      <c r="H108" s="6"/>
      <c r="O108" s="7">
        <v>5.0</v>
      </c>
      <c r="P108" s="7">
        <v>9.0</v>
      </c>
      <c r="Q108" s="7">
        <v>44622.013548387105</v>
      </c>
      <c r="AD108" s="5">
        <v>44931.0</v>
      </c>
      <c r="AE108" s="6">
        <v>0.4166666666666667</v>
      </c>
      <c r="AF108" s="7">
        <v>8223.54</v>
      </c>
    </row>
    <row r="109">
      <c r="G109" s="5"/>
      <c r="H109" s="6"/>
      <c r="O109" s="7">
        <v>5.0</v>
      </c>
      <c r="P109" s="7">
        <v>10.0</v>
      </c>
      <c r="Q109" s="7">
        <v>51435.967741935485</v>
      </c>
      <c r="AD109" s="5">
        <v>44931.0</v>
      </c>
      <c r="AE109" s="6">
        <v>0.4583333333333333</v>
      </c>
      <c r="AF109" s="7">
        <v>9930.18</v>
      </c>
    </row>
    <row r="110">
      <c r="G110" s="5"/>
      <c r="H110" s="6"/>
      <c r="O110" s="7">
        <v>5.0</v>
      </c>
      <c r="P110" s="7">
        <v>11.0</v>
      </c>
      <c r="Q110" s="7">
        <v>56523.07741935484</v>
      </c>
      <c r="AD110" s="5">
        <v>44931.0</v>
      </c>
      <c r="AE110" s="6">
        <v>0.5</v>
      </c>
      <c r="AF110" s="7">
        <v>10976.16</v>
      </c>
    </row>
    <row r="111">
      <c r="G111" s="5"/>
      <c r="H111" s="6"/>
      <c r="O111" s="7">
        <v>5.0</v>
      </c>
      <c r="P111" s="7">
        <v>12.0</v>
      </c>
      <c r="Q111" s="7">
        <v>58654.842580645156</v>
      </c>
      <c r="AD111" s="5">
        <v>44931.0</v>
      </c>
      <c r="AE111" s="6">
        <v>0.5416666666666666</v>
      </c>
      <c r="AF111" s="7">
        <v>11915.28</v>
      </c>
    </row>
    <row r="112">
      <c r="G112" s="5"/>
      <c r="H112" s="6"/>
      <c r="O112" s="7">
        <v>5.0</v>
      </c>
      <c r="P112" s="7">
        <v>13.0</v>
      </c>
      <c r="Q112" s="7">
        <v>52352.543225806454</v>
      </c>
      <c r="AD112" s="5">
        <v>44931.0</v>
      </c>
      <c r="AE112" s="6">
        <v>0.5833333333333334</v>
      </c>
      <c r="AF112" s="7">
        <v>9438.0</v>
      </c>
    </row>
    <row r="113">
      <c r="G113" s="5"/>
      <c r="H113" s="6"/>
      <c r="O113" s="7">
        <v>5.0</v>
      </c>
      <c r="P113" s="7">
        <v>14.0</v>
      </c>
      <c r="Q113" s="7">
        <v>46218.019354838725</v>
      </c>
      <c r="AD113" s="5">
        <v>44931.0</v>
      </c>
      <c r="AE113" s="6">
        <v>0.625</v>
      </c>
      <c r="AF113" s="7">
        <v>8640.84</v>
      </c>
    </row>
    <row r="114">
      <c r="G114" s="5"/>
      <c r="H114" s="6"/>
      <c r="O114" s="7">
        <v>5.0</v>
      </c>
      <c r="P114" s="7">
        <v>15.0</v>
      </c>
      <c r="Q114" s="7">
        <v>37972.11096774194</v>
      </c>
      <c r="AD114" s="5">
        <v>44931.0</v>
      </c>
      <c r="AE114" s="6">
        <v>0.6666666666666666</v>
      </c>
      <c r="AF114" s="7">
        <v>2382.9</v>
      </c>
    </row>
    <row r="115">
      <c r="G115" s="5"/>
      <c r="H115" s="6"/>
      <c r="O115" s="7">
        <v>5.0</v>
      </c>
      <c r="P115" s="7">
        <v>16.0</v>
      </c>
      <c r="Q115" s="7">
        <v>24031.246451612904</v>
      </c>
      <c r="AD115" s="5">
        <v>44931.0</v>
      </c>
      <c r="AE115" s="6">
        <v>0.7083333333333334</v>
      </c>
      <c r="AF115" s="7">
        <v>0.0</v>
      </c>
    </row>
    <row r="116">
      <c r="G116" s="5"/>
      <c r="H116" s="6"/>
      <c r="O116" s="7">
        <v>5.0</v>
      </c>
      <c r="P116" s="7">
        <v>17.0</v>
      </c>
      <c r="Q116" s="7">
        <v>13279.021935483868</v>
      </c>
      <c r="AD116" s="5">
        <v>44931.0</v>
      </c>
      <c r="AE116" s="6">
        <v>0.75</v>
      </c>
      <c r="AF116" s="7">
        <v>0.0</v>
      </c>
    </row>
    <row r="117">
      <c r="G117" s="5"/>
      <c r="H117" s="6"/>
      <c r="O117" s="7">
        <v>5.0</v>
      </c>
      <c r="P117" s="7">
        <v>18.0</v>
      </c>
      <c r="Q117" s="7">
        <v>3318.22064516129</v>
      </c>
      <c r="AD117" s="5">
        <v>44931.0</v>
      </c>
      <c r="AE117" s="6">
        <v>0.7916666666666666</v>
      </c>
      <c r="AF117" s="7">
        <v>0.0</v>
      </c>
    </row>
    <row r="118">
      <c r="G118" s="5"/>
      <c r="H118" s="6"/>
      <c r="O118" s="7">
        <v>5.0</v>
      </c>
      <c r="P118" s="7">
        <v>19.0</v>
      </c>
      <c r="Q118" s="7">
        <v>0.025161290322580646</v>
      </c>
      <c r="AD118" s="5">
        <v>44931.0</v>
      </c>
      <c r="AE118" s="6">
        <v>0.8333333333333334</v>
      </c>
      <c r="AF118" s="7">
        <v>0.0</v>
      </c>
    </row>
    <row r="119">
      <c r="G119" s="5"/>
      <c r="H119" s="6"/>
      <c r="O119" s="7">
        <v>5.0</v>
      </c>
      <c r="P119" s="7">
        <v>20.0</v>
      </c>
      <c r="Q119" s="7">
        <v>0.0</v>
      </c>
      <c r="AD119" s="5">
        <v>44931.0</v>
      </c>
      <c r="AE119" s="6">
        <v>0.875</v>
      </c>
      <c r="AF119" s="7">
        <v>0.0</v>
      </c>
    </row>
    <row r="120">
      <c r="G120" s="5"/>
      <c r="H120" s="6"/>
      <c r="O120" s="7">
        <v>5.0</v>
      </c>
      <c r="P120" s="7">
        <v>21.0</v>
      </c>
      <c r="Q120" s="7">
        <v>0.0</v>
      </c>
      <c r="AD120" s="5">
        <v>44931.0</v>
      </c>
      <c r="AE120" s="6">
        <v>0.9166666666666666</v>
      </c>
      <c r="AF120" s="7">
        <v>0.0</v>
      </c>
    </row>
    <row r="121">
      <c r="G121" s="5"/>
      <c r="H121" s="6"/>
      <c r="O121" s="7">
        <v>5.0</v>
      </c>
      <c r="P121" s="7">
        <v>22.0</v>
      </c>
      <c r="Q121" s="7">
        <v>0.0</v>
      </c>
      <c r="AD121" s="5">
        <v>44931.0</v>
      </c>
      <c r="AE121" s="6">
        <v>0.9583333333333334</v>
      </c>
      <c r="AF121" s="7">
        <v>0.0</v>
      </c>
    </row>
    <row r="122">
      <c r="G122" s="5"/>
      <c r="H122" s="6"/>
      <c r="O122" s="7">
        <v>5.0</v>
      </c>
      <c r="P122" s="7">
        <v>23.0</v>
      </c>
      <c r="Q122" s="7">
        <v>0.0</v>
      </c>
      <c r="AD122" s="5">
        <v>44932.0</v>
      </c>
      <c r="AE122" s="6">
        <v>0.0</v>
      </c>
      <c r="AF122" s="7">
        <v>0.0</v>
      </c>
    </row>
    <row r="123">
      <c r="G123" s="5"/>
      <c r="H123" s="6"/>
      <c r="O123" s="7">
        <v>6.0</v>
      </c>
      <c r="P123" s="7">
        <v>0.0</v>
      </c>
      <c r="Q123" s="7">
        <v>0.0</v>
      </c>
      <c r="AD123" s="5">
        <v>44932.0</v>
      </c>
      <c r="AE123" s="6">
        <v>0.041666666666666664</v>
      </c>
      <c r="AF123" s="7">
        <v>0.0</v>
      </c>
    </row>
    <row r="124">
      <c r="G124" s="5"/>
      <c r="H124" s="6"/>
      <c r="O124" s="7">
        <v>6.0</v>
      </c>
      <c r="P124" s="7">
        <v>1.0</v>
      </c>
      <c r="Q124" s="7">
        <v>0.0</v>
      </c>
      <c r="AD124" s="5">
        <v>44932.0</v>
      </c>
      <c r="AE124" s="6">
        <v>0.08333333333333333</v>
      </c>
      <c r="AF124" s="7">
        <v>0.0</v>
      </c>
    </row>
    <row r="125">
      <c r="G125" s="5"/>
      <c r="H125" s="6"/>
      <c r="O125" s="7">
        <v>6.0</v>
      </c>
      <c r="P125" s="7">
        <v>2.0</v>
      </c>
      <c r="Q125" s="7">
        <v>0.0</v>
      </c>
      <c r="AD125" s="5">
        <v>44932.0</v>
      </c>
      <c r="AE125" s="6">
        <v>0.125</v>
      </c>
      <c r="AF125" s="7">
        <v>0.0</v>
      </c>
    </row>
    <row r="126">
      <c r="G126" s="5"/>
      <c r="H126" s="6"/>
      <c r="O126" s="7">
        <v>6.0</v>
      </c>
      <c r="P126" s="7">
        <v>3.0</v>
      </c>
      <c r="Q126" s="7">
        <v>0.0</v>
      </c>
      <c r="AD126" s="5">
        <v>44932.0</v>
      </c>
      <c r="AE126" s="6">
        <v>0.16666666666666666</v>
      </c>
      <c r="AF126" s="7">
        <v>0.0</v>
      </c>
    </row>
    <row r="127">
      <c r="G127" s="5"/>
      <c r="H127" s="6"/>
      <c r="O127" s="7">
        <v>6.0</v>
      </c>
      <c r="P127" s="7">
        <v>4.0</v>
      </c>
      <c r="Q127" s="7">
        <v>0.0</v>
      </c>
      <c r="AD127" s="5">
        <v>44932.0</v>
      </c>
      <c r="AE127" s="6">
        <v>0.20833333333333334</v>
      </c>
      <c r="AF127" s="7">
        <v>0.0</v>
      </c>
    </row>
    <row r="128">
      <c r="G128" s="5"/>
      <c r="H128" s="6"/>
      <c r="O128" s="7">
        <v>6.0</v>
      </c>
      <c r="P128" s="7">
        <v>5.0</v>
      </c>
      <c r="Q128" s="7">
        <v>1018.6280000000003</v>
      </c>
      <c r="AD128" s="5">
        <v>44932.0</v>
      </c>
      <c r="AE128" s="6">
        <v>0.25</v>
      </c>
      <c r="AF128" s="7">
        <v>0.0</v>
      </c>
    </row>
    <row r="129">
      <c r="G129" s="5"/>
      <c r="H129" s="6"/>
      <c r="O129" s="7">
        <v>6.0</v>
      </c>
      <c r="P129" s="7">
        <v>6.0</v>
      </c>
      <c r="Q129" s="7">
        <v>7029.983999999999</v>
      </c>
      <c r="AD129" s="5">
        <v>44932.0</v>
      </c>
      <c r="AE129" s="6">
        <v>0.2916666666666667</v>
      </c>
      <c r="AF129" s="7">
        <v>0.0</v>
      </c>
    </row>
    <row r="130">
      <c r="G130" s="5"/>
      <c r="H130" s="6"/>
      <c r="O130" s="7">
        <v>6.0</v>
      </c>
      <c r="P130" s="7">
        <v>7.0</v>
      </c>
      <c r="Q130" s="7">
        <v>16524.768</v>
      </c>
      <c r="AD130" s="5">
        <v>44932.0</v>
      </c>
      <c r="AE130" s="6">
        <v>0.3333333333333333</v>
      </c>
      <c r="AF130" s="7">
        <v>1391.52</v>
      </c>
    </row>
    <row r="131">
      <c r="G131" s="5"/>
      <c r="H131" s="6"/>
      <c r="O131" s="7">
        <v>6.0</v>
      </c>
      <c r="P131" s="7">
        <v>8.0</v>
      </c>
      <c r="Q131" s="7">
        <v>26757.328</v>
      </c>
      <c r="AD131" s="5">
        <v>44932.0</v>
      </c>
      <c r="AE131" s="6">
        <v>0.375</v>
      </c>
      <c r="AF131" s="7">
        <v>5399.16</v>
      </c>
    </row>
    <row r="132">
      <c r="G132" s="5"/>
      <c r="H132" s="6"/>
      <c r="O132" s="7">
        <v>6.0</v>
      </c>
      <c r="P132" s="7">
        <v>9.0</v>
      </c>
      <c r="Q132" s="7">
        <v>35919.65</v>
      </c>
      <c r="AD132" s="5">
        <v>44932.0</v>
      </c>
      <c r="AE132" s="6">
        <v>0.4166666666666667</v>
      </c>
      <c r="AF132" s="7">
        <v>6893.64</v>
      </c>
    </row>
    <row r="133">
      <c r="G133" s="5"/>
      <c r="H133" s="6"/>
      <c r="O133" s="7">
        <v>6.0</v>
      </c>
      <c r="P133" s="7">
        <v>10.0</v>
      </c>
      <c r="Q133" s="7">
        <v>45106.801999999996</v>
      </c>
      <c r="AD133" s="5">
        <v>44932.0</v>
      </c>
      <c r="AE133" s="6">
        <v>0.4583333333333333</v>
      </c>
      <c r="AF133" s="7">
        <v>8089.38</v>
      </c>
    </row>
    <row r="134">
      <c r="G134" s="5"/>
      <c r="H134" s="6"/>
      <c r="O134" s="7">
        <v>6.0</v>
      </c>
      <c r="P134" s="7">
        <v>11.0</v>
      </c>
      <c r="Q134" s="7">
        <v>50120.044</v>
      </c>
      <c r="AD134" s="5">
        <v>44932.0</v>
      </c>
      <c r="AE134" s="6">
        <v>0.5</v>
      </c>
      <c r="AF134" s="7">
        <v>8090.94</v>
      </c>
    </row>
    <row r="135">
      <c r="G135" s="5"/>
      <c r="H135" s="6"/>
      <c r="O135" s="7">
        <v>6.0</v>
      </c>
      <c r="P135" s="7">
        <v>12.0</v>
      </c>
      <c r="Q135" s="7">
        <v>49699.155999999995</v>
      </c>
      <c r="AD135" s="5">
        <v>44932.0</v>
      </c>
      <c r="AE135" s="6">
        <v>0.5416666666666666</v>
      </c>
      <c r="AF135" s="7">
        <v>8007.48</v>
      </c>
    </row>
    <row r="136">
      <c r="G136" s="5"/>
      <c r="H136" s="6"/>
      <c r="O136" s="7">
        <v>6.0</v>
      </c>
      <c r="P136" s="7">
        <v>13.0</v>
      </c>
      <c r="Q136" s="7">
        <v>47133.398</v>
      </c>
      <c r="AD136" s="5">
        <v>44932.0</v>
      </c>
      <c r="AE136" s="6">
        <v>0.5833333333333334</v>
      </c>
      <c r="AF136" s="7">
        <v>5767.32</v>
      </c>
    </row>
    <row r="137">
      <c r="G137" s="5"/>
      <c r="H137" s="6"/>
      <c r="O137" s="7">
        <v>6.0</v>
      </c>
      <c r="P137" s="7">
        <v>14.0</v>
      </c>
      <c r="Q137" s="7">
        <v>40136.512</v>
      </c>
      <c r="AD137" s="5">
        <v>44932.0</v>
      </c>
      <c r="AE137" s="6">
        <v>0.625</v>
      </c>
      <c r="AF137" s="7">
        <v>5630.82</v>
      </c>
    </row>
    <row r="138">
      <c r="G138" s="5"/>
      <c r="H138" s="6"/>
      <c r="O138" s="7">
        <v>6.0</v>
      </c>
      <c r="P138" s="7">
        <v>15.0</v>
      </c>
      <c r="Q138" s="7">
        <v>34217.71600000001</v>
      </c>
      <c r="AD138" s="5">
        <v>44932.0</v>
      </c>
      <c r="AE138" s="6">
        <v>0.6666666666666666</v>
      </c>
      <c r="AF138" s="7">
        <v>1666.86</v>
      </c>
    </row>
    <row r="139">
      <c r="G139" s="5"/>
      <c r="H139" s="6"/>
      <c r="O139" s="7">
        <v>6.0</v>
      </c>
      <c r="P139" s="7">
        <v>16.0</v>
      </c>
      <c r="Q139" s="7">
        <v>22545.587999999996</v>
      </c>
      <c r="AD139" s="5">
        <v>44932.0</v>
      </c>
      <c r="AE139" s="6">
        <v>0.7083333333333334</v>
      </c>
      <c r="AF139" s="7">
        <v>0.0</v>
      </c>
    </row>
    <row r="140">
      <c r="G140" s="5"/>
      <c r="H140" s="6"/>
      <c r="O140" s="7">
        <v>6.0</v>
      </c>
      <c r="P140" s="7">
        <v>17.0</v>
      </c>
      <c r="Q140" s="7">
        <v>11646.699999999999</v>
      </c>
      <c r="AD140" s="5">
        <v>44932.0</v>
      </c>
      <c r="AE140" s="6">
        <v>0.75</v>
      </c>
      <c r="AF140" s="7">
        <v>0.0</v>
      </c>
    </row>
    <row r="141">
      <c r="G141" s="5"/>
      <c r="H141" s="6"/>
      <c r="O141" s="7">
        <v>6.0</v>
      </c>
      <c r="P141" s="7">
        <v>18.0</v>
      </c>
      <c r="Q141" s="7">
        <v>4040.998</v>
      </c>
      <c r="AD141" s="5">
        <v>44932.0</v>
      </c>
      <c r="AE141" s="6">
        <v>0.7916666666666666</v>
      </c>
      <c r="AF141" s="7">
        <v>0.0</v>
      </c>
    </row>
    <row r="142">
      <c r="G142" s="5"/>
      <c r="H142" s="6"/>
      <c r="O142" s="7">
        <v>6.0</v>
      </c>
      <c r="P142" s="7">
        <v>19.0</v>
      </c>
      <c r="Q142" s="7">
        <v>351.8060000000001</v>
      </c>
      <c r="AD142" s="5">
        <v>44932.0</v>
      </c>
      <c r="AE142" s="6">
        <v>0.8333333333333334</v>
      </c>
      <c r="AF142" s="7">
        <v>0.0</v>
      </c>
    </row>
    <row r="143">
      <c r="G143" s="5"/>
      <c r="H143" s="6"/>
      <c r="O143" s="7">
        <v>6.0</v>
      </c>
      <c r="P143" s="7">
        <v>20.0</v>
      </c>
      <c r="Q143" s="7">
        <v>0.0</v>
      </c>
      <c r="AD143" s="5">
        <v>44932.0</v>
      </c>
      <c r="AE143" s="6">
        <v>0.875</v>
      </c>
      <c r="AF143" s="7">
        <v>0.0</v>
      </c>
    </row>
    <row r="144">
      <c r="G144" s="5"/>
      <c r="H144" s="6"/>
      <c r="O144" s="7">
        <v>6.0</v>
      </c>
      <c r="P144" s="7">
        <v>21.0</v>
      </c>
      <c r="Q144" s="7">
        <v>0.0</v>
      </c>
      <c r="AD144" s="5">
        <v>44932.0</v>
      </c>
      <c r="AE144" s="6">
        <v>0.9166666666666666</v>
      </c>
      <c r="AF144" s="7">
        <v>0.0</v>
      </c>
    </row>
    <row r="145">
      <c r="G145" s="5"/>
      <c r="H145" s="6"/>
      <c r="O145" s="7">
        <v>6.0</v>
      </c>
      <c r="P145" s="7">
        <v>22.0</v>
      </c>
      <c r="Q145" s="7">
        <v>0.0</v>
      </c>
      <c r="AD145" s="5">
        <v>44932.0</v>
      </c>
      <c r="AE145" s="6">
        <v>0.9583333333333334</v>
      </c>
      <c r="AF145" s="7">
        <v>0.0</v>
      </c>
    </row>
    <row r="146">
      <c r="G146" s="5"/>
      <c r="H146" s="6"/>
      <c r="O146" s="7">
        <v>6.0</v>
      </c>
      <c r="P146" s="7">
        <v>23.0</v>
      </c>
      <c r="Q146" s="7">
        <v>0.0</v>
      </c>
      <c r="AD146" s="5">
        <v>44933.0</v>
      </c>
      <c r="AE146" s="6">
        <v>0.0</v>
      </c>
      <c r="AF146" s="7">
        <v>0.0</v>
      </c>
    </row>
    <row r="147">
      <c r="G147" s="5"/>
      <c r="H147" s="6"/>
      <c r="O147" s="7">
        <v>7.0</v>
      </c>
      <c r="P147" s="7">
        <v>0.0</v>
      </c>
      <c r="Q147" s="7">
        <v>0.0</v>
      </c>
      <c r="AD147" s="5">
        <v>44933.0</v>
      </c>
      <c r="AE147" s="6">
        <v>0.041666666666666664</v>
      </c>
      <c r="AF147" s="7">
        <v>0.0</v>
      </c>
    </row>
    <row r="148">
      <c r="G148" s="5"/>
      <c r="H148" s="6"/>
      <c r="O148" s="7">
        <v>7.0</v>
      </c>
      <c r="P148" s="7">
        <v>1.0</v>
      </c>
      <c r="Q148" s="7">
        <v>0.0</v>
      </c>
      <c r="AD148" s="5">
        <v>44933.0</v>
      </c>
      <c r="AE148" s="6">
        <v>0.08333333333333333</v>
      </c>
      <c r="AF148" s="7">
        <v>0.0</v>
      </c>
    </row>
    <row r="149">
      <c r="G149" s="5"/>
      <c r="H149" s="6"/>
      <c r="O149" s="7">
        <v>7.0</v>
      </c>
      <c r="P149" s="7">
        <v>2.0</v>
      </c>
      <c r="Q149" s="7">
        <v>0.0</v>
      </c>
      <c r="AD149" s="5">
        <v>44933.0</v>
      </c>
      <c r="AE149" s="6">
        <v>0.125</v>
      </c>
      <c r="AF149" s="7">
        <v>0.0</v>
      </c>
    </row>
    <row r="150">
      <c r="G150" s="5"/>
      <c r="H150" s="6"/>
      <c r="O150" s="7">
        <v>7.0</v>
      </c>
      <c r="P150" s="7">
        <v>3.0</v>
      </c>
      <c r="Q150" s="7">
        <v>0.0</v>
      </c>
      <c r="AD150" s="5">
        <v>44933.0</v>
      </c>
      <c r="AE150" s="6">
        <v>0.16666666666666666</v>
      </c>
      <c r="AF150" s="7">
        <v>0.0</v>
      </c>
    </row>
    <row r="151">
      <c r="G151" s="5"/>
      <c r="H151" s="6"/>
      <c r="O151" s="7">
        <v>7.0</v>
      </c>
      <c r="P151" s="7">
        <v>4.0</v>
      </c>
      <c r="Q151" s="7">
        <v>0.0</v>
      </c>
      <c r="AD151" s="5">
        <v>44933.0</v>
      </c>
      <c r="AE151" s="6">
        <v>0.20833333333333334</v>
      </c>
      <c r="AF151" s="7">
        <v>0.0</v>
      </c>
    </row>
    <row r="152">
      <c r="G152" s="5"/>
      <c r="H152" s="6"/>
      <c r="O152" s="7">
        <v>7.0</v>
      </c>
      <c r="P152" s="7">
        <v>5.0</v>
      </c>
      <c r="Q152" s="7">
        <v>499.7283870967743</v>
      </c>
      <c r="AD152" s="5">
        <v>44933.0</v>
      </c>
      <c r="AE152" s="6">
        <v>0.25</v>
      </c>
      <c r="AF152" s="7">
        <v>0.0</v>
      </c>
    </row>
    <row r="153">
      <c r="G153" s="5"/>
      <c r="H153" s="6"/>
      <c r="O153" s="7">
        <v>7.0</v>
      </c>
      <c r="P153" s="7">
        <v>6.0</v>
      </c>
      <c r="Q153" s="7">
        <v>6325.0199999999995</v>
      </c>
      <c r="AD153" s="5">
        <v>44933.0</v>
      </c>
      <c r="AE153" s="6">
        <v>0.2916666666666667</v>
      </c>
      <c r="AF153" s="7">
        <v>0.0</v>
      </c>
    </row>
    <row r="154">
      <c r="G154" s="5"/>
      <c r="H154" s="6"/>
      <c r="O154" s="7">
        <v>7.0</v>
      </c>
      <c r="P154" s="7">
        <v>7.0</v>
      </c>
      <c r="Q154" s="7">
        <v>17899.943225806448</v>
      </c>
      <c r="AD154" s="5">
        <v>44933.0</v>
      </c>
      <c r="AE154" s="6">
        <v>0.3333333333333333</v>
      </c>
      <c r="AF154" s="7">
        <v>1127.1</v>
      </c>
    </row>
    <row r="155">
      <c r="G155" s="5"/>
      <c r="H155" s="6"/>
      <c r="O155" s="7">
        <v>7.0</v>
      </c>
      <c r="P155" s="7">
        <v>8.0</v>
      </c>
      <c r="Q155" s="7">
        <v>31330.008387096783</v>
      </c>
      <c r="AD155" s="5">
        <v>44933.0</v>
      </c>
      <c r="AE155" s="6">
        <v>0.375</v>
      </c>
      <c r="AF155" s="7">
        <v>4753.32</v>
      </c>
    </row>
    <row r="156">
      <c r="G156" s="5"/>
      <c r="H156" s="6"/>
      <c r="O156" s="7">
        <v>7.0</v>
      </c>
      <c r="P156" s="7">
        <v>9.0</v>
      </c>
      <c r="Q156" s="7">
        <v>40904.986451612895</v>
      </c>
      <c r="AD156" s="5">
        <v>44933.0</v>
      </c>
      <c r="AE156" s="6">
        <v>0.4166666666666667</v>
      </c>
      <c r="AF156" s="7">
        <v>12309.96</v>
      </c>
    </row>
    <row r="157">
      <c r="G157" s="5"/>
      <c r="H157" s="6"/>
      <c r="O157" s="7">
        <v>7.0</v>
      </c>
      <c r="P157" s="7">
        <v>10.0</v>
      </c>
      <c r="Q157" s="7">
        <v>46999.327741935485</v>
      </c>
      <c r="AD157" s="5">
        <v>44933.0</v>
      </c>
      <c r="AE157" s="6">
        <v>0.4583333333333333</v>
      </c>
      <c r="AF157" s="7">
        <v>12745.98</v>
      </c>
    </row>
    <row r="158">
      <c r="G158" s="5"/>
      <c r="H158" s="6"/>
      <c r="O158" s="7">
        <v>7.0</v>
      </c>
      <c r="P158" s="7">
        <v>11.0</v>
      </c>
      <c r="Q158" s="7">
        <v>52935.10258064517</v>
      </c>
      <c r="AD158" s="5">
        <v>44933.0</v>
      </c>
      <c r="AE158" s="6">
        <v>0.5</v>
      </c>
      <c r="AF158" s="7">
        <v>19614.66</v>
      </c>
    </row>
    <row r="159">
      <c r="G159" s="5"/>
      <c r="H159" s="6"/>
      <c r="O159" s="7">
        <v>7.0</v>
      </c>
      <c r="P159" s="7">
        <v>12.0</v>
      </c>
      <c r="Q159" s="7">
        <v>52054.93548387098</v>
      </c>
      <c r="AD159" s="5">
        <v>44933.0</v>
      </c>
      <c r="AE159" s="6">
        <v>0.5416666666666666</v>
      </c>
      <c r="AF159" s="7">
        <v>11566.62</v>
      </c>
    </row>
    <row r="160">
      <c r="G160" s="5"/>
      <c r="H160" s="6"/>
      <c r="O160" s="7">
        <v>7.0</v>
      </c>
      <c r="P160" s="7">
        <v>13.0</v>
      </c>
      <c r="Q160" s="7">
        <v>50143.63354838709</v>
      </c>
      <c r="AD160" s="5">
        <v>44933.0</v>
      </c>
      <c r="AE160" s="6">
        <v>0.5833333333333334</v>
      </c>
      <c r="AF160" s="7">
        <v>6240.78</v>
      </c>
    </row>
    <row r="161">
      <c r="G161" s="5"/>
      <c r="H161" s="6"/>
      <c r="O161" s="7">
        <v>7.0</v>
      </c>
      <c r="P161" s="7">
        <v>14.0</v>
      </c>
      <c r="Q161" s="7">
        <v>45597.74322580645</v>
      </c>
      <c r="AD161" s="5">
        <v>44933.0</v>
      </c>
      <c r="AE161" s="6">
        <v>0.625</v>
      </c>
      <c r="AF161" s="7">
        <v>14196.0</v>
      </c>
    </row>
    <row r="162">
      <c r="G162" s="5"/>
      <c r="H162" s="6"/>
      <c r="O162" s="7">
        <v>7.0</v>
      </c>
      <c r="P162" s="7">
        <v>15.0</v>
      </c>
      <c r="Q162" s="7">
        <v>41592.56903225807</v>
      </c>
      <c r="AD162" s="5">
        <v>44933.0</v>
      </c>
      <c r="AE162" s="6">
        <v>0.6666666666666666</v>
      </c>
      <c r="AF162" s="7">
        <v>2052.18</v>
      </c>
    </row>
    <row r="163">
      <c r="G163" s="5"/>
      <c r="H163" s="6"/>
      <c r="O163" s="7">
        <v>7.0</v>
      </c>
      <c r="P163" s="7">
        <v>16.0</v>
      </c>
      <c r="Q163" s="7">
        <v>29116.74580645161</v>
      </c>
      <c r="AD163" s="5">
        <v>44933.0</v>
      </c>
      <c r="AE163" s="6">
        <v>0.7083333333333334</v>
      </c>
      <c r="AF163" s="7">
        <v>0.0</v>
      </c>
    </row>
    <row r="164">
      <c r="G164" s="5"/>
      <c r="H164" s="6"/>
      <c r="O164" s="7">
        <v>7.0</v>
      </c>
      <c r="P164" s="7">
        <v>17.0</v>
      </c>
      <c r="Q164" s="7">
        <v>16017.853548387093</v>
      </c>
      <c r="AD164" s="5">
        <v>44933.0</v>
      </c>
      <c r="AE164" s="6">
        <v>0.75</v>
      </c>
      <c r="AF164" s="7">
        <v>0.0</v>
      </c>
    </row>
    <row r="165">
      <c r="G165" s="5"/>
      <c r="H165" s="6"/>
      <c r="O165" s="7">
        <v>7.0</v>
      </c>
      <c r="P165" s="7">
        <v>18.0</v>
      </c>
      <c r="Q165" s="7">
        <v>5480.883870967742</v>
      </c>
      <c r="AD165" s="5">
        <v>44933.0</v>
      </c>
      <c r="AE165" s="6">
        <v>0.7916666666666666</v>
      </c>
      <c r="AF165" s="7">
        <v>0.0</v>
      </c>
    </row>
    <row r="166">
      <c r="G166" s="5"/>
      <c r="H166" s="6"/>
      <c r="O166" s="7">
        <v>7.0</v>
      </c>
      <c r="P166" s="7">
        <v>19.0</v>
      </c>
      <c r="Q166" s="7">
        <v>362.1967741935483</v>
      </c>
      <c r="AD166" s="5">
        <v>44933.0</v>
      </c>
      <c r="AE166" s="6">
        <v>0.8333333333333334</v>
      </c>
      <c r="AF166" s="7">
        <v>0.0</v>
      </c>
    </row>
    <row r="167">
      <c r="G167" s="5"/>
      <c r="H167" s="6"/>
      <c r="O167" s="7">
        <v>7.0</v>
      </c>
      <c r="P167" s="7">
        <v>20.0</v>
      </c>
      <c r="Q167" s="7">
        <v>0.0</v>
      </c>
      <c r="AD167" s="5">
        <v>44933.0</v>
      </c>
      <c r="AE167" s="6">
        <v>0.875</v>
      </c>
      <c r="AF167" s="7">
        <v>0.0</v>
      </c>
    </row>
    <row r="168">
      <c r="G168" s="5"/>
      <c r="H168" s="6"/>
      <c r="O168" s="7">
        <v>7.0</v>
      </c>
      <c r="P168" s="7">
        <v>21.0</v>
      </c>
      <c r="Q168" s="7">
        <v>0.0</v>
      </c>
      <c r="AD168" s="5">
        <v>44933.0</v>
      </c>
      <c r="AE168" s="6">
        <v>0.9166666666666666</v>
      </c>
      <c r="AF168" s="7">
        <v>0.0</v>
      </c>
    </row>
    <row r="169">
      <c r="G169" s="5"/>
      <c r="H169" s="6"/>
      <c r="O169" s="7">
        <v>7.0</v>
      </c>
      <c r="P169" s="7">
        <v>22.0</v>
      </c>
      <c r="Q169" s="7">
        <v>0.0</v>
      </c>
      <c r="AD169" s="5">
        <v>44933.0</v>
      </c>
      <c r="AE169" s="6">
        <v>0.9583333333333334</v>
      </c>
      <c r="AF169" s="7">
        <v>0.0</v>
      </c>
    </row>
    <row r="170">
      <c r="G170" s="5"/>
      <c r="H170" s="6"/>
      <c r="O170" s="7">
        <v>7.0</v>
      </c>
      <c r="P170" s="7">
        <v>23.0</v>
      </c>
      <c r="Q170" s="7">
        <v>0.0</v>
      </c>
      <c r="AD170" s="5">
        <v>44934.0</v>
      </c>
      <c r="AE170" s="6">
        <v>0.0</v>
      </c>
      <c r="AF170" s="7">
        <v>0.0</v>
      </c>
    </row>
    <row r="171">
      <c r="G171" s="5"/>
      <c r="H171" s="6"/>
      <c r="O171" s="7">
        <v>8.0</v>
      </c>
      <c r="P171" s="7">
        <v>0.0</v>
      </c>
      <c r="Q171" s="7">
        <v>0.0</v>
      </c>
      <c r="AD171" s="5">
        <v>44934.0</v>
      </c>
      <c r="AE171" s="6">
        <v>0.041666666666666664</v>
      </c>
      <c r="AF171" s="7">
        <v>0.0</v>
      </c>
    </row>
    <row r="172">
      <c r="G172" s="5"/>
      <c r="H172" s="6"/>
      <c r="O172" s="7">
        <v>8.0</v>
      </c>
      <c r="P172" s="7">
        <v>1.0</v>
      </c>
      <c r="Q172" s="7">
        <v>0.0</v>
      </c>
      <c r="AD172" s="5">
        <v>44934.0</v>
      </c>
      <c r="AE172" s="6">
        <v>0.08333333333333333</v>
      </c>
      <c r="AF172" s="7">
        <v>0.0</v>
      </c>
    </row>
    <row r="173">
      <c r="G173" s="5"/>
      <c r="H173" s="6"/>
      <c r="O173" s="7">
        <v>8.0</v>
      </c>
      <c r="P173" s="7">
        <v>2.0</v>
      </c>
      <c r="Q173" s="7">
        <v>0.0</v>
      </c>
      <c r="AD173" s="5">
        <v>44934.0</v>
      </c>
      <c r="AE173" s="6">
        <v>0.125</v>
      </c>
      <c r="AF173" s="7">
        <v>0.0</v>
      </c>
    </row>
    <row r="174">
      <c r="G174" s="5"/>
      <c r="H174" s="6"/>
      <c r="O174" s="7">
        <v>8.0</v>
      </c>
      <c r="P174" s="7">
        <v>3.0</v>
      </c>
      <c r="Q174" s="7">
        <v>0.0</v>
      </c>
      <c r="AD174" s="5">
        <v>44934.0</v>
      </c>
      <c r="AE174" s="6">
        <v>0.16666666666666666</v>
      </c>
      <c r="AF174" s="7">
        <v>0.0</v>
      </c>
    </row>
    <row r="175">
      <c r="G175" s="5"/>
      <c r="H175" s="6"/>
      <c r="O175" s="7">
        <v>8.0</v>
      </c>
      <c r="P175" s="7">
        <v>4.0</v>
      </c>
      <c r="Q175" s="7">
        <v>0.0</v>
      </c>
      <c r="AD175" s="5">
        <v>44934.0</v>
      </c>
      <c r="AE175" s="6">
        <v>0.20833333333333334</v>
      </c>
      <c r="AF175" s="7">
        <v>0.0</v>
      </c>
    </row>
    <row r="176">
      <c r="G176" s="5"/>
      <c r="H176" s="6"/>
      <c r="O176" s="7">
        <v>8.0</v>
      </c>
      <c r="P176" s="7">
        <v>5.0</v>
      </c>
      <c r="Q176" s="7">
        <v>0.0</v>
      </c>
      <c r="AD176" s="5">
        <v>44934.0</v>
      </c>
      <c r="AE176" s="6">
        <v>0.25</v>
      </c>
      <c r="AF176" s="7">
        <v>0.0</v>
      </c>
    </row>
    <row r="177">
      <c r="G177" s="5"/>
      <c r="H177" s="6"/>
      <c r="O177" s="7">
        <v>8.0</v>
      </c>
      <c r="P177" s="7">
        <v>6.0</v>
      </c>
      <c r="Q177" s="7">
        <v>3534.356129032258</v>
      </c>
      <c r="AD177" s="5">
        <v>44934.0</v>
      </c>
      <c r="AE177" s="6">
        <v>0.2916666666666667</v>
      </c>
      <c r="AF177" s="7">
        <v>0.0</v>
      </c>
    </row>
    <row r="178">
      <c r="G178" s="5"/>
      <c r="H178" s="6"/>
      <c r="O178" s="7">
        <v>8.0</v>
      </c>
      <c r="P178" s="7">
        <v>7.0</v>
      </c>
      <c r="Q178" s="7">
        <v>15130.112903225801</v>
      </c>
      <c r="AD178" s="5">
        <v>44934.0</v>
      </c>
      <c r="AE178" s="6">
        <v>0.3333333333333333</v>
      </c>
      <c r="AF178" s="7">
        <v>453.18</v>
      </c>
    </row>
    <row r="179">
      <c r="G179" s="5"/>
      <c r="H179" s="6"/>
      <c r="O179" s="7">
        <v>8.0</v>
      </c>
      <c r="P179" s="7">
        <v>8.0</v>
      </c>
      <c r="Q179" s="7">
        <v>29557.445806451607</v>
      </c>
      <c r="AD179" s="5">
        <v>44934.0</v>
      </c>
      <c r="AE179" s="6">
        <v>0.375</v>
      </c>
      <c r="AF179" s="7">
        <v>1473.42</v>
      </c>
    </row>
    <row r="180">
      <c r="G180" s="5"/>
      <c r="H180" s="6"/>
      <c r="O180" s="7">
        <v>8.0</v>
      </c>
      <c r="P180" s="7">
        <v>9.0</v>
      </c>
      <c r="Q180" s="7">
        <v>40850.73870967742</v>
      </c>
      <c r="AD180" s="5">
        <v>44934.0</v>
      </c>
      <c r="AE180" s="6">
        <v>0.4166666666666667</v>
      </c>
      <c r="AF180" s="7">
        <v>2419.56</v>
      </c>
    </row>
    <row r="181">
      <c r="G181" s="5"/>
      <c r="H181" s="6"/>
      <c r="O181" s="7">
        <v>8.0</v>
      </c>
      <c r="P181" s="7">
        <v>10.0</v>
      </c>
      <c r="Q181" s="7">
        <v>48745.118709677416</v>
      </c>
      <c r="AD181" s="5">
        <v>44934.0</v>
      </c>
      <c r="AE181" s="6">
        <v>0.4583333333333333</v>
      </c>
      <c r="AF181" s="7">
        <v>3716.7</v>
      </c>
    </row>
    <row r="182">
      <c r="G182" s="5"/>
      <c r="H182" s="6"/>
      <c r="O182" s="7">
        <v>8.0</v>
      </c>
      <c r="P182" s="7">
        <v>11.0</v>
      </c>
      <c r="Q182" s="7">
        <v>53162.132903225785</v>
      </c>
      <c r="AD182" s="5">
        <v>44934.0</v>
      </c>
      <c r="AE182" s="6">
        <v>0.5</v>
      </c>
      <c r="AF182" s="7">
        <v>8868.6</v>
      </c>
    </row>
    <row r="183">
      <c r="G183" s="5"/>
      <c r="H183" s="6"/>
      <c r="O183" s="7">
        <v>8.0</v>
      </c>
      <c r="P183" s="7">
        <v>12.0</v>
      </c>
      <c r="Q183" s="7">
        <v>54447.37161290323</v>
      </c>
      <c r="AD183" s="5">
        <v>44934.0</v>
      </c>
      <c r="AE183" s="6">
        <v>0.5416666666666666</v>
      </c>
      <c r="AF183" s="7">
        <v>5145.66</v>
      </c>
    </row>
    <row r="184">
      <c r="G184" s="5"/>
      <c r="H184" s="6"/>
      <c r="O184" s="7">
        <v>8.0</v>
      </c>
      <c r="P184" s="7">
        <v>13.0</v>
      </c>
      <c r="Q184" s="7">
        <v>51402.42774193548</v>
      </c>
      <c r="AD184" s="5">
        <v>44934.0</v>
      </c>
      <c r="AE184" s="6">
        <v>0.5833333333333334</v>
      </c>
      <c r="AF184" s="7">
        <v>13410.54</v>
      </c>
    </row>
    <row r="185">
      <c r="G185" s="5"/>
      <c r="H185" s="6"/>
      <c r="O185" s="7">
        <v>8.0</v>
      </c>
      <c r="P185" s="7">
        <v>14.0</v>
      </c>
      <c r="Q185" s="7">
        <v>46111.56193548388</v>
      </c>
      <c r="AD185" s="5">
        <v>44934.0</v>
      </c>
      <c r="AE185" s="6">
        <v>0.625</v>
      </c>
      <c r="AF185" s="7">
        <v>1766.7</v>
      </c>
    </row>
    <row r="186">
      <c r="G186" s="5"/>
      <c r="H186" s="6"/>
      <c r="O186" s="7">
        <v>8.0</v>
      </c>
      <c r="P186" s="7">
        <v>15.0</v>
      </c>
      <c r="Q186" s="7">
        <v>38307.76258064516</v>
      </c>
      <c r="AD186" s="5">
        <v>44934.0</v>
      </c>
      <c r="AE186" s="6">
        <v>0.6666666666666666</v>
      </c>
      <c r="AF186" s="7">
        <v>2982.72</v>
      </c>
    </row>
    <row r="187">
      <c r="G187" s="5"/>
      <c r="H187" s="6"/>
      <c r="O187" s="7">
        <v>8.0</v>
      </c>
      <c r="P187" s="7">
        <v>16.0</v>
      </c>
      <c r="Q187" s="7">
        <v>27189.7935483871</v>
      </c>
      <c r="AD187" s="5">
        <v>44934.0</v>
      </c>
      <c r="AE187" s="6">
        <v>0.7083333333333334</v>
      </c>
      <c r="AF187" s="7">
        <v>0.0</v>
      </c>
    </row>
    <row r="188">
      <c r="G188" s="5"/>
      <c r="H188" s="6"/>
      <c r="O188" s="7">
        <v>8.0</v>
      </c>
      <c r="P188" s="7">
        <v>17.0</v>
      </c>
      <c r="Q188" s="7">
        <v>13894.542580645164</v>
      </c>
      <c r="AD188" s="5">
        <v>44934.0</v>
      </c>
      <c r="AE188" s="6">
        <v>0.75</v>
      </c>
      <c r="AF188" s="7">
        <v>0.0</v>
      </c>
    </row>
    <row r="189">
      <c r="G189" s="5"/>
      <c r="H189" s="6"/>
      <c r="O189" s="7">
        <v>8.0</v>
      </c>
      <c r="P189" s="7">
        <v>18.0</v>
      </c>
      <c r="Q189" s="7">
        <v>2678.8974193548393</v>
      </c>
      <c r="AD189" s="5">
        <v>44934.0</v>
      </c>
      <c r="AE189" s="6">
        <v>0.7916666666666666</v>
      </c>
      <c r="AF189" s="7">
        <v>0.0</v>
      </c>
    </row>
    <row r="190">
      <c r="G190" s="5"/>
      <c r="H190" s="6"/>
      <c r="O190" s="7">
        <v>8.0</v>
      </c>
      <c r="P190" s="7">
        <v>19.0</v>
      </c>
      <c r="Q190" s="7">
        <v>0.0</v>
      </c>
      <c r="AD190" s="5">
        <v>44934.0</v>
      </c>
      <c r="AE190" s="6">
        <v>0.8333333333333334</v>
      </c>
      <c r="AF190" s="7">
        <v>0.0</v>
      </c>
    </row>
    <row r="191">
      <c r="G191" s="5"/>
      <c r="H191" s="6"/>
      <c r="O191" s="7">
        <v>8.0</v>
      </c>
      <c r="P191" s="7">
        <v>20.0</v>
      </c>
      <c r="Q191" s="7">
        <v>0.0</v>
      </c>
      <c r="AD191" s="5">
        <v>44934.0</v>
      </c>
      <c r="AE191" s="6">
        <v>0.875</v>
      </c>
      <c r="AF191" s="7">
        <v>0.0</v>
      </c>
    </row>
    <row r="192">
      <c r="G192" s="5"/>
      <c r="H192" s="6"/>
      <c r="O192" s="7">
        <v>8.0</v>
      </c>
      <c r="P192" s="7">
        <v>21.0</v>
      </c>
      <c r="Q192" s="7">
        <v>0.0</v>
      </c>
      <c r="AD192" s="5">
        <v>44934.0</v>
      </c>
      <c r="AE192" s="6">
        <v>0.9166666666666666</v>
      </c>
      <c r="AF192" s="7">
        <v>0.0</v>
      </c>
    </row>
    <row r="193">
      <c r="G193" s="5"/>
      <c r="H193" s="6"/>
      <c r="O193" s="7">
        <v>8.0</v>
      </c>
      <c r="P193" s="7">
        <v>22.0</v>
      </c>
      <c r="Q193" s="7">
        <v>0.0</v>
      </c>
      <c r="AD193" s="5">
        <v>44934.0</v>
      </c>
      <c r="AE193" s="6">
        <v>0.9583333333333334</v>
      </c>
      <c r="AF193" s="7">
        <v>0.0</v>
      </c>
    </row>
    <row r="194">
      <c r="G194" s="5"/>
      <c r="H194" s="6"/>
      <c r="O194" s="7">
        <v>8.0</v>
      </c>
      <c r="P194" s="7">
        <v>23.0</v>
      </c>
      <c r="Q194" s="7">
        <v>0.0</v>
      </c>
      <c r="AD194" s="5">
        <v>44935.0</v>
      </c>
      <c r="AE194" s="6">
        <v>0.0</v>
      </c>
      <c r="AF194" s="7">
        <v>0.0</v>
      </c>
    </row>
    <row r="195">
      <c r="G195" s="5"/>
      <c r="H195" s="6"/>
      <c r="O195" s="7">
        <v>9.0</v>
      </c>
      <c r="P195" s="7">
        <v>0.0</v>
      </c>
      <c r="Q195" s="7">
        <v>0.0</v>
      </c>
      <c r="AD195" s="5">
        <v>44935.0</v>
      </c>
      <c r="AE195" s="6">
        <v>0.041666666666666664</v>
      </c>
      <c r="AF195" s="7">
        <v>0.0</v>
      </c>
    </row>
    <row r="196">
      <c r="G196" s="5"/>
      <c r="H196" s="6"/>
      <c r="O196" s="7">
        <v>9.0</v>
      </c>
      <c r="P196" s="7">
        <v>1.0</v>
      </c>
      <c r="Q196" s="7">
        <v>0.0</v>
      </c>
      <c r="AD196" s="5">
        <v>44935.0</v>
      </c>
      <c r="AE196" s="6">
        <v>0.08333333333333333</v>
      </c>
      <c r="AF196" s="7">
        <v>0.0</v>
      </c>
    </row>
    <row r="197">
      <c r="G197" s="5"/>
      <c r="H197" s="6"/>
      <c r="O197" s="7">
        <v>9.0</v>
      </c>
      <c r="P197" s="7">
        <v>2.0</v>
      </c>
      <c r="Q197" s="7">
        <v>0.0</v>
      </c>
      <c r="AD197" s="5">
        <v>44935.0</v>
      </c>
      <c r="AE197" s="6">
        <v>0.125</v>
      </c>
      <c r="AF197" s="7">
        <v>0.0</v>
      </c>
    </row>
    <row r="198">
      <c r="G198" s="5"/>
      <c r="H198" s="6"/>
      <c r="O198" s="7">
        <v>9.0</v>
      </c>
      <c r="P198" s="7">
        <v>3.0</v>
      </c>
      <c r="Q198" s="7">
        <v>0.0</v>
      </c>
      <c r="AD198" s="5">
        <v>44935.0</v>
      </c>
      <c r="AE198" s="6">
        <v>0.16666666666666666</v>
      </c>
      <c r="AF198" s="7">
        <v>0.0</v>
      </c>
    </row>
    <row r="199">
      <c r="G199" s="5"/>
      <c r="H199" s="6"/>
      <c r="O199" s="7">
        <v>9.0</v>
      </c>
      <c r="P199" s="7">
        <v>4.0</v>
      </c>
      <c r="Q199" s="7">
        <v>0.0</v>
      </c>
      <c r="AD199" s="5">
        <v>44935.0</v>
      </c>
      <c r="AE199" s="6">
        <v>0.20833333333333334</v>
      </c>
      <c r="AF199" s="7">
        <v>0.0</v>
      </c>
    </row>
    <row r="200">
      <c r="G200" s="5"/>
      <c r="H200" s="6"/>
      <c r="O200" s="7">
        <v>9.0</v>
      </c>
      <c r="P200" s="7">
        <v>5.0</v>
      </c>
      <c r="Q200" s="7">
        <v>0.0</v>
      </c>
      <c r="AD200" s="5">
        <v>44935.0</v>
      </c>
      <c r="AE200" s="6">
        <v>0.25</v>
      </c>
      <c r="AF200" s="7">
        <v>0.0</v>
      </c>
    </row>
    <row r="201">
      <c r="G201" s="5"/>
      <c r="H201" s="6"/>
      <c r="O201" s="7">
        <v>9.0</v>
      </c>
      <c r="P201" s="7">
        <v>6.0</v>
      </c>
      <c r="Q201" s="7">
        <v>732.7839999999998</v>
      </c>
      <c r="AD201" s="5">
        <v>44935.0</v>
      </c>
      <c r="AE201" s="6">
        <v>0.2916666666666667</v>
      </c>
      <c r="AF201" s="7">
        <v>0.0</v>
      </c>
    </row>
    <row r="202">
      <c r="G202" s="5"/>
      <c r="H202" s="6"/>
      <c r="O202" s="7">
        <v>9.0</v>
      </c>
      <c r="P202" s="7">
        <v>7.0</v>
      </c>
      <c r="Q202" s="7">
        <v>9990.214</v>
      </c>
      <c r="AD202" s="5">
        <v>44935.0</v>
      </c>
      <c r="AE202" s="6">
        <v>0.3333333333333333</v>
      </c>
      <c r="AF202" s="7">
        <v>4677.66</v>
      </c>
    </row>
    <row r="203">
      <c r="G203" s="5"/>
      <c r="H203" s="6"/>
      <c r="O203" s="7">
        <v>9.0</v>
      </c>
      <c r="P203" s="7">
        <v>8.0</v>
      </c>
      <c r="Q203" s="7">
        <v>21771.022</v>
      </c>
      <c r="AD203" s="5">
        <v>44935.0</v>
      </c>
      <c r="AE203" s="6">
        <v>0.375</v>
      </c>
      <c r="AF203" s="7">
        <v>21729.24</v>
      </c>
    </row>
    <row r="204">
      <c r="G204" s="5"/>
      <c r="H204" s="6"/>
      <c r="O204" s="7">
        <v>9.0</v>
      </c>
      <c r="P204" s="7">
        <v>9.0</v>
      </c>
      <c r="Q204" s="7">
        <v>31014.906</v>
      </c>
      <c r="AD204" s="5">
        <v>44935.0</v>
      </c>
      <c r="AE204" s="6">
        <v>0.4166666666666667</v>
      </c>
      <c r="AF204" s="7">
        <v>34576.62</v>
      </c>
    </row>
    <row r="205">
      <c r="G205" s="5"/>
      <c r="H205" s="6"/>
      <c r="O205" s="7">
        <v>9.0</v>
      </c>
      <c r="P205" s="7">
        <v>10.0</v>
      </c>
      <c r="Q205" s="7">
        <v>37527.333999999995</v>
      </c>
      <c r="AD205" s="5">
        <v>44935.0</v>
      </c>
      <c r="AE205" s="6">
        <v>0.4583333333333333</v>
      </c>
      <c r="AF205" s="7">
        <v>41894.58</v>
      </c>
    </row>
    <row r="206">
      <c r="G206" s="5"/>
      <c r="H206" s="6"/>
      <c r="O206" s="7">
        <v>9.0</v>
      </c>
      <c r="P206" s="7">
        <v>11.0</v>
      </c>
      <c r="Q206" s="7">
        <v>44780.840000000004</v>
      </c>
      <c r="AD206" s="5">
        <v>44935.0</v>
      </c>
      <c r="AE206" s="6">
        <v>0.5</v>
      </c>
      <c r="AF206" s="7">
        <v>42305.64</v>
      </c>
    </row>
    <row r="207">
      <c r="G207" s="5"/>
      <c r="H207" s="6"/>
      <c r="O207" s="7">
        <v>9.0</v>
      </c>
      <c r="P207" s="7">
        <v>12.0</v>
      </c>
      <c r="Q207" s="7">
        <v>47069.20399999998</v>
      </c>
      <c r="AD207" s="5">
        <v>44935.0</v>
      </c>
      <c r="AE207" s="6">
        <v>0.5416666666666666</v>
      </c>
      <c r="AF207" s="7">
        <v>41524.86</v>
      </c>
    </row>
    <row r="208">
      <c r="G208" s="5"/>
      <c r="H208" s="6"/>
      <c r="O208" s="7">
        <v>9.0</v>
      </c>
      <c r="P208" s="7">
        <v>13.0</v>
      </c>
      <c r="Q208" s="7">
        <v>44294.094000000005</v>
      </c>
      <c r="AD208" s="5">
        <v>44935.0</v>
      </c>
      <c r="AE208" s="6">
        <v>0.5833333333333334</v>
      </c>
      <c r="AF208" s="7">
        <v>33562.62</v>
      </c>
    </row>
    <row r="209">
      <c r="G209" s="5"/>
      <c r="H209" s="6"/>
      <c r="O209" s="7">
        <v>9.0</v>
      </c>
      <c r="P209" s="7">
        <v>14.0</v>
      </c>
      <c r="Q209" s="7">
        <v>36608.702</v>
      </c>
      <c r="AD209" s="5">
        <v>44935.0</v>
      </c>
      <c r="AE209" s="6">
        <v>0.625</v>
      </c>
      <c r="AF209" s="7">
        <v>21890.7</v>
      </c>
    </row>
    <row r="210">
      <c r="G210" s="5"/>
      <c r="H210" s="6"/>
      <c r="O210" s="7">
        <v>9.0</v>
      </c>
      <c r="P210" s="7">
        <v>15.0</v>
      </c>
      <c r="Q210" s="7">
        <v>29336.086000000003</v>
      </c>
      <c r="AD210" s="5">
        <v>44935.0</v>
      </c>
      <c r="AE210" s="6">
        <v>0.6666666666666666</v>
      </c>
      <c r="AF210" s="7">
        <v>7157.28</v>
      </c>
    </row>
    <row r="211">
      <c r="G211" s="5"/>
      <c r="H211" s="6"/>
      <c r="O211" s="7">
        <v>9.0</v>
      </c>
      <c r="P211" s="7">
        <v>16.0</v>
      </c>
      <c r="Q211" s="7">
        <v>16418.661999999997</v>
      </c>
      <c r="AD211" s="5">
        <v>44935.0</v>
      </c>
      <c r="AE211" s="6">
        <v>0.7083333333333334</v>
      </c>
      <c r="AF211" s="7">
        <v>0.0</v>
      </c>
    </row>
    <row r="212">
      <c r="G212" s="5"/>
      <c r="H212" s="6"/>
      <c r="O212" s="7">
        <v>9.0</v>
      </c>
      <c r="P212" s="7">
        <v>17.0</v>
      </c>
      <c r="Q212" s="7">
        <v>5310.396000000002</v>
      </c>
      <c r="AD212" s="5">
        <v>44935.0</v>
      </c>
      <c r="AE212" s="6">
        <v>0.75</v>
      </c>
      <c r="AF212" s="7">
        <v>0.0</v>
      </c>
    </row>
    <row r="213">
      <c r="G213" s="5"/>
      <c r="H213" s="6"/>
      <c r="O213" s="7">
        <v>9.0</v>
      </c>
      <c r="P213" s="7">
        <v>18.0</v>
      </c>
      <c r="Q213" s="7">
        <v>64.29799999999999</v>
      </c>
      <c r="AD213" s="5">
        <v>44935.0</v>
      </c>
      <c r="AE213" s="6">
        <v>0.7916666666666666</v>
      </c>
      <c r="AF213" s="7">
        <v>0.0</v>
      </c>
    </row>
    <row r="214">
      <c r="G214" s="5"/>
      <c r="H214" s="6"/>
      <c r="O214" s="7">
        <v>9.0</v>
      </c>
      <c r="P214" s="7">
        <v>19.0</v>
      </c>
      <c r="Q214" s="7">
        <v>0.0</v>
      </c>
      <c r="AD214" s="5">
        <v>44935.0</v>
      </c>
      <c r="AE214" s="6">
        <v>0.8333333333333334</v>
      </c>
      <c r="AF214" s="7">
        <v>0.0</v>
      </c>
    </row>
    <row r="215">
      <c r="G215" s="5"/>
      <c r="H215" s="6"/>
      <c r="O215" s="7">
        <v>9.0</v>
      </c>
      <c r="P215" s="7">
        <v>20.0</v>
      </c>
      <c r="Q215" s="7">
        <v>0.0</v>
      </c>
      <c r="AD215" s="5">
        <v>44935.0</v>
      </c>
      <c r="AE215" s="6">
        <v>0.875</v>
      </c>
      <c r="AF215" s="7">
        <v>0.0</v>
      </c>
    </row>
    <row r="216">
      <c r="G216" s="5"/>
      <c r="H216" s="6"/>
      <c r="O216" s="7">
        <v>9.0</v>
      </c>
      <c r="P216" s="7">
        <v>21.0</v>
      </c>
      <c r="Q216" s="7">
        <v>0.0</v>
      </c>
      <c r="AD216" s="5">
        <v>44935.0</v>
      </c>
      <c r="AE216" s="6">
        <v>0.9166666666666666</v>
      </c>
      <c r="AF216" s="7">
        <v>0.0</v>
      </c>
    </row>
    <row r="217">
      <c r="G217" s="5"/>
      <c r="H217" s="6"/>
      <c r="O217" s="7">
        <v>9.0</v>
      </c>
      <c r="P217" s="7">
        <v>22.0</v>
      </c>
      <c r="Q217" s="7">
        <v>0.0</v>
      </c>
      <c r="AD217" s="5">
        <v>44935.0</v>
      </c>
      <c r="AE217" s="6">
        <v>0.9583333333333334</v>
      </c>
      <c r="AF217" s="7">
        <v>0.0</v>
      </c>
    </row>
    <row r="218">
      <c r="G218" s="5"/>
      <c r="H218" s="6"/>
      <c r="O218" s="7">
        <v>9.0</v>
      </c>
      <c r="P218" s="7">
        <v>23.0</v>
      </c>
      <c r="Q218" s="7">
        <v>0.0</v>
      </c>
      <c r="AD218" s="5">
        <v>44936.0</v>
      </c>
      <c r="AE218" s="6">
        <v>0.0</v>
      </c>
      <c r="AF218" s="7">
        <v>0.0</v>
      </c>
    </row>
    <row r="219">
      <c r="G219" s="5"/>
      <c r="H219" s="6"/>
      <c r="O219" s="7">
        <v>10.0</v>
      </c>
      <c r="P219" s="7">
        <v>0.0</v>
      </c>
      <c r="Q219" s="7">
        <v>0.0</v>
      </c>
      <c r="AD219" s="5">
        <v>44936.0</v>
      </c>
      <c r="AE219" s="6">
        <v>0.041666666666666664</v>
      </c>
      <c r="AF219" s="7">
        <v>0.0</v>
      </c>
    </row>
    <row r="220">
      <c r="G220" s="5"/>
      <c r="H220" s="6"/>
      <c r="O220" s="7">
        <v>10.0</v>
      </c>
      <c r="P220" s="7">
        <v>1.0</v>
      </c>
      <c r="Q220" s="7">
        <v>0.0</v>
      </c>
      <c r="AD220" s="5">
        <v>44936.0</v>
      </c>
      <c r="AE220" s="6">
        <v>0.08333333333333333</v>
      </c>
      <c r="AF220" s="7">
        <v>0.0</v>
      </c>
    </row>
    <row r="221">
      <c r="G221" s="5"/>
      <c r="H221" s="6"/>
      <c r="O221" s="7">
        <v>10.0</v>
      </c>
      <c r="P221" s="7">
        <v>2.0</v>
      </c>
      <c r="Q221" s="7">
        <v>0.0</v>
      </c>
      <c r="AD221" s="5">
        <v>44936.0</v>
      </c>
      <c r="AE221" s="6">
        <v>0.125</v>
      </c>
      <c r="AF221" s="7">
        <v>0.0</v>
      </c>
    </row>
    <row r="222">
      <c r="G222" s="5"/>
      <c r="H222" s="6"/>
      <c r="O222" s="7">
        <v>10.0</v>
      </c>
      <c r="P222" s="7">
        <v>3.0</v>
      </c>
      <c r="Q222" s="7">
        <v>0.0</v>
      </c>
      <c r="AD222" s="5">
        <v>44936.0</v>
      </c>
      <c r="AE222" s="6">
        <v>0.16666666666666666</v>
      </c>
      <c r="AF222" s="7">
        <v>0.0</v>
      </c>
    </row>
    <row r="223">
      <c r="G223" s="5"/>
      <c r="H223" s="6"/>
      <c r="O223" s="7">
        <v>10.0</v>
      </c>
      <c r="P223" s="7">
        <v>4.0</v>
      </c>
      <c r="Q223" s="7">
        <v>0.0</v>
      </c>
      <c r="AD223" s="5">
        <v>44936.0</v>
      </c>
      <c r="AE223" s="6">
        <v>0.20833333333333334</v>
      </c>
      <c r="AF223" s="7">
        <v>0.0</v>
      </c>
    </row>
    <row r="224">
      <c r="G224" s="5"/>
      <c r="H224" s="6"/>
      <c r="O224" s="7">
        <v>10.0</v>
      </c>
      <c r="P224" s="7">
        <v>5.0</v>
      </c>
      <c r="Q224" s="7">
        <v>0.0</v>
      </c>
      <c r="AD224" s="5">
        <v>44936.0</v>
      </c>
      <c r="AE224" s="6">
        <v>0.25</v>
      </c>
      <c r="AF224" s="7">
        <v>0.0</v>
      </c>
    </row>
    <row r="225">
      <c r="G225" s="5"/>
      <c r="H225" s="6"/>
      <c r="O225" s="7">
        <v>10.0</v>
      </c>
      <c r="P225" s="7">
        <v>6.0</v>
      </c>
      <c r="Q225" s="7">
        <v>0.0</v>
      </c>
      <c r="AD225" s="5">
        <v>44936.0</v>
      </c>
      <c r="AE225" s="6">
        <v>0.2916666666666667</v>
      </c>
      <c r="AF225" s="7">
        <v>0.0</v>
      </c>
    </row>
    <row r="226">
      <c r="G226" s="5"/>
      <c r="H226" s="6"/>
      <c r="O226" s="7">
        <v>10.0</v>
      </c>
      <c r="P226" s="7">
        <v>7.0</v>
      </c>
      <c r="Q226" s="7">
        <v>5150.063225806452</v>
      </c>
      <c r="AD226" s="5">
        <v>44936.0</v>
      </c>
      <c r="AE226" s="6">
        <v>0.3333333333333333</v>
      </c>
      <c r="AF226" s="7">
        <v>6591.0</v>
      </c>
    </row>
    <row r="227">
      <c r="G227" s="5"/>
      <c r="H227" s="6"/>
      <c r="O227" s="7">
        <v>10.0</v>
      </c>
      <c r="P227" s="7">
        <v>8.0</v>
      </c>
      <c r="Q227" s="7">
        <v>13762.445806451613</v>
      </c>
      <c r="AD227" s="5">
        <v>44936.0</v>
      </c>
      <c r="AE227" s="6">
        <v>0.375</v>
      </c>
      <c r="AF227" s="7">
        <v>21830.64</v>
      </c>
    </row>
    <row r="228">
      <c r="G228" s="5"/>
      <c r="H228" s="6"/>
      <c r="O228" s="7">
        <v>10.0</v>
      </c>
      <c r="P228" s="7">
        <v>9.0</v>
      </c>
      <c r="Q228" s="7">
        <v>24530.471612903224</v>
      </c>
      <c r="AD228" s="5">
        <v>44936.0</v>
      </c>
      <c r="AE228" s="6">
        <v>0.4166666666666667</v>
      </c>
      <c r="AF228" s="7">
        <v>33745.14</v>
      </c>
    </row>
    <row r="229">
      <c r="G229" s="5"/>
      <c r="H229" s="6"/>
      <c r="O229" s="7">
        <v>10.0</v>
      </c>
      <c r="P229" s="7">
        <v>10.0</v>
      </c>
      <c r="Q229" s="7">
        <v>32443.01806451613</v>
      </c>
      <c r="AD229" s="5">
        <v>44936.0</v>
      </c>
      <c r="AE229" s="6">
        <v>0.4583333333333333</v>
      </c>
      <c r="AF229" s="7">
        <v>40635.66</v>
      </c>
    </row>
    <row r="230">
      <c r="G230" s="5"/>
      <c r="H230" s="6"/>
      <c r="O230" s="7">
        <v>10.0</v>
      </c>
      <c r="P230" s="7">
        <v>11.0</v>
      </c>
      <c r="Q230" s="7">
        <v>36119.68645161291</v>
      </c>
      <c r="AD230" s="5">
        <v>44936.0</v>
      </c>
      <c r="AE230" s="6">
        <v>0.5</v>
      </c>
      <c r="AF230" s="7">
        <v>41031.12</v>
      </c>
    </row>
    <row r="231">
      <c r="G231" s="5"/>
      <c r="H231" s="6"/>
      <c r="O231" s="7">
        <v>10.0</v>
      </c>
      <c r="P231" s="7">
        <v>12.0</v>
      </c>
      <c r="Q231" s="7">
        <v>37772.95935483872</v>
      </c>
      <c r="AD231" s="5">
        <v>44936.0</v>
      </c>
      <c r="AE231" s="6">
        <v>0.5416666666666666</v>
      </c>
      <c r="AF231" s="7">
        <v>40084.2</v>
      </c>
    </row>
    <row r="232">
      <c r="G232" s="5"/>
      <c r="H232" s="6"/>
      <c r="O232" s="7">
        <v>10.0</v>
      </c>
      <c r="P232" s="7">
        <v>13.0</v>
      </c>
      <c r="Q232" s="7">
        <v>34566.0270967742</v>
      </c>
      <c r="AD232" s="5">
        <v>44936.0</v>
      </c>
      <c r="AE232" s="6">
        <v>0.5833333333333334</v>
      </c>
      <c r="AF232" s="7">
        <v>32496.36</v>
      </c>
    </row>
    <row r="233">
      <c r="G233" s="5"/>
      <c r="H233" s="6"/>
      <c r="O233" s="7">
        <v>10.0</v>
      </c>
      <c r="P233" s="7">
        <v>14.0</v>
      </c>
      <c r="Q233" s="7">
        <v>28367.316774193543</v>
      </c>
      <c r="AD233" s="5">
        <v>44936.0</v>
      </c>
      <c r="AE233" s="6">
        <v>0.625</v>
      </c>
      <c r="AF233" s="7">
        <v>21866.52</v>
      </c>
    </row>
    <row r="234">
      <c r="G234" s="5"/>
      <c r="H234" s="6"/>
      <c r="O234" s="7">
        <v>10.0</v>
      </c>
      <c r="P234" s="7">
        <v>15.0</v>
      </c>
      <c r="Q234" s="7">
        <v>19500.42774193548</v>
      </c>
      <c r="AD234" s="5">
        <v>44936.0</v>
      </c>
      <c r="AE234" s="6">
        <v>0.6666666666666666</v>
      </c>
      <c r="AF234" s="7">
        <v>7136.22</v>
      </c>
    </row>
    <row r="235">
      <c r="G235" s="5"/>
      <c r="H235" s="6"/>
      <c r="O235" s="7">
        <v>10.0</v>
      </c>
      <c r="P235" s="7">
        <v>16.0</v>
      </c>
      <c r="Q235" s="7">
        <v>8840.2935483871</v>
      </c>
      <c r="AD235" s="5">
        <v>44936.0</v>
      </c>
      <c r="AE235" s="6">
        <v>0.7083333333333334</v>
      </c>
      <c r="AF235" s="7">
        <v>0.0</v>
      </c>
    </row>
    <row r="236">
      <c r="G236" s="5"/>
      <c r="H236" s="6"/>
      <c r="O236" s="7">
        <v>10.0</v>
      </c>
      <c r="P236" s="7">
        <v>17.0</v>
      </c>
      <c r="Q236" s="7">
        <v>472.2522580645161</v>
      </c>
      <c r="AD236" s="5">
        <v>44936.0</v>
      </c>
      <c r="AE236" s="6">
        <v>0.75</v>
      </c>
      <c r="AF236" s="7">
        <v>0.0</v>
      </c>
    </row>
    <row r="237">
      <c r="G237" s="5"/>
      <c r="H237" s="6"/>
      <c r="O237" s="7">
        <v>10.0</v>
      </c>
      <c r="P237" s="7">
        <v>18.0</v>
      </c>
      <c r="Q237" s="7">
        <v>0.0</v>
      </c>
      <c r="AD237" s="5">
        <v>44936.0</v>
      </c>
      <c r="AE237" s="6">
        <v>0.7916666666666666</v>
      </c>
      <c r="AF237" s="7">
        <v>0.0</v>
      </c>
    </row>
    <row r="238">
      <c r="G238" s="5"/>
      <c r="H238" s="6"/>
      <c r="O238" s="7">
        <v>10.0</v>
      </c>
      <c r="P238" s="7">
        <v>19.0</v>
      </c>
      <c r="Q238" s="7">
        <v>0.0</v>
      </c>
      <c r="AD238" s="5">
        <v>44936.0</v>
      </c>
      <c r="AE238" s="6">
        <v>0.8333333333333334</v>
      </c>
      <c r="AF238" s="7">
        <v>0.0</v>
      </c>
    </row>
    <row r="239">
      <c r="G239" s="5"/>
      <c r="H239" s="6"/>
      <c r="O239" s="7">
        <v>10.0</v>
      </c>
      <c r="P239" s="7">
        <v>20.0</v>
      </c>
      <c r="Q239" s="7">
        <v>0.0</v>
      </c>
      <c r="AD239" s="5">
        <v>44936.0</v>
      </c>
      <c r="AE239" s="6">
        <v>0.875</v>
      </c>
      <c r="AF239" s="7">
        <v>0.0</v>
      </c>
    </row>
    <row r="240">
      <c r="G240" s="5"/>
      <c r="H240" s="6"/>
      <c r="O240" s="7">
        <v>10.0</v>
      </c>
      <c r="P240" s="7">
        <v>21.0</v>
      </c>
      <c r="Q240" s="7">
        <v>0.0</v>
      </c>
      <c r="AD240" s="5">
        <v>44936.0</v>
      </c>
      <c r="AE240" s="6">
        <v>0.9166666666666666</v>
      </c>
      <c r="AF240" s="7">
        <v>0.0</v>
      </c>
    </row>
    <row r="241">
      <c r="G241" s="5"/>
      <c r="H241" s="6"/>
      <c r="O241" s="7">
        <v>10.0</v>
      </c>
      <c r="P241" s="7">
        <v>22.0</v>
      </c>
      <c r="Q241" s="7">
        <v>0.0</v>
      </c>
      <c r="AD241" s="5">
        <v>44936.0</v>
      </c>
      <c r="AE241" s="6">
        <v>0.9583333333333334</v>
      </c>
      <c r="AF241" s="7">
        <v>0.0</v>
      </c>
    </row>
    <row r="242">
      <c r="G242" s="5"/>
      <c r="H242" s="6"/>
      <c r="O242" s="7">
        <v>10.0</v>
      </c>
      <c r="P242" s="7">
        <v>23.0</v>
      </c>
      <c r="Q242" s="7">
        <v>0.0</v>
      </c>
      <c r="AD242" s="5">
        <v>44937.0</v>
      </c>
      <c r="AE242" s="6">
        <v>0.0</v>
      </c>
      <c r="AF242" s="7">
        <v>0.0</v>
      </c>
    </row>
    <row r="243">
      <c r="G243" s="5"/>
      <c r="H243" s="6"/>
      <c r="O243" s="7">
        <v>11.0</v>
      </c>
      <c r="P243" s="7">
        <v>0.0</v>
      </c>
      <c r="Q243" s="7">
        <v>0.0</v>
      </c>
      <c r="AD243" s="5">
        <v>44937.0</v>
      </c>
      <c r="AE243" s="6">
        <v>0.041666666666666664</v>
      </c>
      <c r="AF243" s="7">
        <v>0.0</v>
      </c>
    </row>
    <row r="244">
      <c r="G244" s="5"/>
      <c r="H244" s="6"/>
      <c r="O244" s="7">
        <v>11.0</v>
      </c>
      <c r="P244" s="7">
        <v>1.0</v>
      </c>
      <c r="Q244" s="7">
        <v>0.0</v>
      </c>
      <c r="AD244" s="5">
        <v>44937.0</v>
      </c>
      <c r="AE244" s="6">
        <v>0.08333333333333333</v>
      </c>
      <c r="AF244" s="7">
        <v>0.0</v>
      </c>
    </row>
    <row r="245">
      <c r="G245" s="5"/>
      <c r="H245" s="6"/>
      <c r="O245" s="7">
        <v>11.0</v>
      </c>
      <c r="P245" s="7">
        <v>2.0</v>
      </c>
      <c r="Q245" s="7">
        <v>0.0</v>
      </c>
      <c r="AD245" s="5">
        <v>44937.0</v>
      </c>
      <c r="AE245" s="6">
        <v>0.125</v>
      </c>
      <c r="AF245" s="7">
        <v>0.0</v>
      </c>
    </row>
    <row r="246">
      <c r="G246" s="5"/>
      <c r="H246" s="6"/>
      <c r="O246" s="7">
        <v>11.0</v>
      </c>
      <c r="P246" s="7">
        <v>3.0</v>
      </c>
      <c r="Q246" s="7">
        <v>0.0</v>
      </c>
      <c r="AD246" s="5">
        <v>44937.0</v>
      </c>
      <c r="AE246" s="6">
        <v>0.16666666666666666</v>
      </c>
      <c r="AF246" s="7">
        <v>0.0</v>
      </c>
    </row>
    <row r="247">
      <c r="G247" s="5"/>
      <c r="H247" s="6"/>
      <c r="O247" s="7">
        <v>11.0</v>
      </c>
      <c r="P247" s="7">
        <v>4.0</v>
      </c>
      <c r="Q247" s="7">
        <v>0.0</v>
      </c>
      <c r="AD247" s="5">
        <v>44937.0</v>
      </c>
      <c r="AE247" s="6">
        <v>0.20833333333333334</v>
      </c>
      <c r="AF247" s="7">
        <v>0.0</v>
      </c>
    </row>
    <row r="248">
      <c r="G248" s="5"/>
      <c r="H248" s="6"/>
      <c r="O248" s="7">
        <v>11.0</v>
      </c>
      <c r="P248" s="7">
        <v>5.0</v>
      </c>
      <c r="Q248" s="7">
        <v>0.0</v>
      </c>
      <c r="AD248" s="5">
        <v>44937.0</v>
      </c>
      <c r="AE248" s="6">
        <v>0.25</v>
      </c>
      <c r="AF248" s="7">
        <v>0.0</v>
      </c>
    </row>
    <row r="249">
      <c r="G249" s="5"/>
      <c r="H249" s="6"/>
      <c r="O249" s="7">
        <v>11.0</v>
      </c>
      <c r="P249" s="7">
        <v>6.0</v>
      </c>
      <c r="Q249" s="7">
        <v>0.0</v>
      </c>
      <c r="AD249" s="5">
        <v>44937.0</v>
      </c>
      <c r="AE249" s="6">
        <v>0.2916666666666667</v>
      </c>
      <c r="AF249" s="7">
        <v>0.0</v>
      </c>
    </row>
    <row r="250">
      <c r="G250" s="5"/>
      <c r="H250" s="6"/>
      <c r="O250" s="7">
        <v>11.0</v>
      </c>
      <c r="P250" s="7">
        <v>7.0</v>
      </c>
      <c r="Q250" s="7">
        <v>517.7900000000001</v>
      </c>
      <c r="AD250" s="5">
        <v>44937.0</v>
      </c>
      <c r="AE250" s="6">
        <v>0.3333333333333333</v>
      </c>
      <c r="AF250" s="7">
        <v>4205.76</v>
      </c>
    </row>
    <row r="251">
      <c r="G251" s="5"/>
      <c r="H251" s="6"/>
      <c r="O251" s="7">
        <v>11.0</v>
      </c>
      <c r="P251" s="7">
        <v>8.0</v>
      </c>
      <c r="Q251" s="7">
        <v>12905.490000000002</v>
      </c>
      <c r="AD251" s="5">
        <v>44937.0</v>
      </c>
      <c r="AE251" s="6">
        <v>0.375</v>
      </c>
      <c r="AF251" s="7">
        <v>10902.06</v>
      </c>
    </row>
    <row r="252">
      <c r="G252" s="5"/>
      <c r="H252" s="6"/>
      <c r="O252" s="7">
        <v>11.0</v>
      </c>
      <c r="P252" s="7">
        <v>9.0</v>
      </c>
      <c r="Q252" s="7">
        <v>23354.396000000004</v>
      </c>
      <c r="AD252" s="5">
        <v>44937.0</v>
      </c>
      <c r="AE252" s="6">
        <v>0.4166666666666667</v>
      </c>
      <c r="AF252" s="7">
        <v>17010.24</v>
      </c>
    </row>
    <row r="253">
      <c r="G253" s="5"/>
      <c r="H253" s="6"/>
      <c r="O253" s="7">
        <v>11.0</v>
      </c>
      <c r="P253" s="7">
        <v>10.0</v>
      </c>
      <c r="Q253" s="7">
        <v>33741.63</v>
      </c>
      <c r="AD253" s="5">
        <v>44937.0</v>
      </c>
      <c r="AE253" s="6">
        <v>0.4583333333333333</v>
      </c>
      <c r="AF253" s="7">
        <v>11453.52</v>
      </c>
    </row>
    <row r="254">
      <c r="G254" s="5"/>
      <c r="H254" s="6"/>
      <c r="O254" s="7">
        <v>11.0</v>
      </c>
      <c r="P254" s="7">
        <v>11.0</v>
      </c>
      <c r="Q254" s="7">
        <v>35510.826</v>
      </c>
      <c r="AD254" s="5">
        <v>44937.0</v>
      </c>
      <c r="AE254" s="6">
        <v>0.5</v>
      </c>
      <c r="AF254" s="7">
        <v>12559.56</v>
      </c>
    </row>
    <row r="255">
      <c r="G255" s="5"/>
      <c r="H255" s="6"/>
      <c r="O255" s="7">
        <v>11.0</v>
      </c>
      <c r="P255" s="7">
        <v>12.0</v>
      </c>
      <c r="Q255" s="7">
        <v>37837.435999999994</v>
      </c>
      <c r="AD255" s="5">
        <v>44937.0</v>
      </c>
      <c r="AE255" s="6">
        <v>0.5416666666666666</v>
      </c>
      <c r="AF255" s="7">
        <v>14915.16</v>
      </c>
    </row>
    <row r="256">
      <c r="G256" s="5"/>
      <c r="H256" s="6"/>
      <c r="O256" s="7">
        <v>11.0</v>
      </c>
      <c r="P256" s="7">
        <v>13.0</v>
      </c>
      <c r="Q256" s="7">
        <v>32235.45</v>
      </c>
      <c r="AD256" s="5">
        <v>44937.0</v>
      </c>
      <c r="AE256" s="6">
        <v>0.5833333333333334</v>
      </c>
      <c r="AF256" s="7">
        <v>20697.3</v>
      </c>
    </row>
    <row r="257">
      <c r="G257" s="5"/>
      <c r="H257" s="6"/>
      <c r="O257" s="7">
        <v>11.0</v>
      </c>
      <c r="P257" s="7">
        <v>14.0</v>
      </c>
      <c r="Q257" s="7">
        <v>24502.972</v>
      </c>
      <c r="AD257" s="5">
        <v>44937.0</v>
      </c>
      <c r="AE257" s="6">
        <v>0.625</v>
      </c>
      <c r="AF257" s="7">
        <v>13447.98</v>
      </c>
    </row>
    <row r="258">
      <c r="G258" s="5"/>
      <c r="H258" s="6"/>
      <c r="O258" s="7">
        <v>11.0</v>
      </c>
      <c r="P258" s="7">
        <v>15.0</v>
      </c>
      <c r="Q258" s="7">
        <v>15466.125999999998</v>
      </c>
      <c r="AD258" s="5">
        <v>44937.0</v>
      </c>
      <c r="AE258" s="6">
        <v>0.6666666666666666</v>
      </c>
      <c r="AF258" s="7">
        <v>4928.04</v>
      </c>
    </row>
    <row r="259">
      <c r="G259" s="5"/>
      <c r="H259" s="6"/>
      <c r="O259" s="7">
        <v>11.0</v>
      </c>
      <c r="P259" s="7">
        <v>16.0</v>
      </c>
      <c r="Q259" s="7">
        <v>2803.1379999999995</v>
      </c>
      <c r="AD259" s="5">
        <v>44937.0</v>
      </c>
      <c r="AE259" s="6">
        <v>0.7083333333333334</v>
      </c>
      <c r="AF259" s="7">
        <v>0.0</v>
      </c>
    </row>
    <row r="260">
      <c r="G260" s="5"/>
      <c r="H260" s="6"/>
      <c r="O260" s="7">
        <v>11.0</v>
      </c>
      <c r="P260" s="7">
        <v>17.0</v>
      </c>
      <c r="Q260" s="7">
        <v>0.0</v>
      </c>
      <c r="AD260" s="5">
        <v>44937.0</v>
      </c>
      <c r="AE260" s="6">
        <v>0.75</v>
      </c>
      <c r="AF260" s="7">
        <v>0.0</v>
      </c>
    </row>
    <row r="261">
      <c r="G261" s="5"/>
      <c r="H261" s="6"/>
      <c r="O261" s="7">
        <v>11.0</v>
      </c>
      <c r="P261" s="7">
        <v>18.0</v>
      </c>
      <c r="Q261" s="7">
        <v>0.0</v>
      </c>
      <c r="AD261" s="5">
        <v>44937.0</v>
      </c>
      <c r="AE261" s="6">
        <v>0.7916666666666666</v>
      </c>
      <c r="AF261" s="7">
        <v>0.0</v>
      </c>
    </row>
    <row r="262">
      <c r="G262" s="5"/>
      <c r="H262" s="6"/>
      <c r="O262" s="7">
        <v>11.0</v>
      </c>
      <c r="P262" s="7">
        <v>19.0</v>
      </c>
      <c r="Q262" s="7">
        <v>0.0</v>
      </c>
      <c r="AD262" s="5">
        <v>44937.0</v>
      </c>
      <c r="AE262" s="6">
        <v>0.8333333333333334</v>
      </c>
      <c r="AF262" s="7">
        <v>0.0</v>
      </c>
    </row>
    <row r="263">
      <c r="G263" s="5"/>
      <c r="H263" s="6"/>
      <c r="O263" s="7">
        <v>11.0</v>
      </c>
      <c r="P263" s="7">
        <v>20.0</v>
      </c>
      <c r="Q263" s="7">
        <v>0.0</v>
      </c>
      <c r="AD263" s="5">
        <v>44937.0</v>
      </c>
      <c r="AE263" s="6">
        <v>0.875</v>
      </c>
      <c r="AF263" s="7">
        <v>0.0</v>
      </c>
    </row>
    <row r="264">
      <c r="G264" s="5"/>
      <c r="H264" s="6"/>
      <c r="O264" s="7">
        <v>11.0</v>
      </c>
      <c r="P264" s="7">
        <v>21.0</v>
      </c>
      <c r="Q264" s="7">
        <v>0.0</v>
      </c>
      <c r="AD264" s="5">
        <v>44937.0</v>
      </c>
      <c r="AE264" s="6">
        <v>0.9166666666666666</v>
      </c>
      <c r="AF264" s="7">
        <v>0.0</v>
      </c>
    </row>
    <row r="265">
      <c r="G265" s="5"/>
      <c r="H265" s="6"/>
      <c r="O265" s="7">
        <v>11.0</v>
      </c>
      <c r="P265" s="7">
        <v>22.0</v>
      </c>
      <c r="Q265" s="7">
        <v>0.0</v>
      </c>
      <c r="AD265" s="5">
        <v>44937.0</v>
      </c>
      <c r="AE265" s="6">
        <v>0.9583333333333334</v>
      </c>
      <c r="AF265" s="7">
        <v>0.0</v>
      </c>
    </row>
    <row r="266">
      <c r="G266" s="5"/>
      <c r="H266" s="6"/>
      <c r="O266" s="7">
        <v>11.0</v>
      </c>
      <c r="P266" s="7">
        <v>23.0</v>
      </c>
      <c r="Q266" s="7">
        <v>0.0</v>
      </c>
      <c r="AD266" s="5">
        <v>44938.0</v>
      </c>
      <c r="AE266" s="6">
        <v>0.0</v>
      </c>
      <c r="AF266" s="7">
        <v>0.0</v>
      </c>
    </row>
    <row r="267">
      <c r="G267" s="5"/>
      <c r="H267" s="6"/>
      <c r="O267" s="7">
        <v>12.0</v>
      </c>
      <c r="P267" s="7">
        <v>0.0</v>
      </c>
      <c r="Q267" s="7">
        <v>0.0</v>
      </c>
      <c r="AD267" s="5">
        <v>44938.0</v>
      </c>
      <c r="AE267" s="6">
        <v>0.041666666666666664</v>
      </c>
      <c r="AF267" s="7">
        <v>0.0</v>
      </c>
    </row>
    <row r="268">
      <c r="G268" s="5"/>
      <c r="H268" s="6"/>
      <c r="O268" s="7">
        <v>12.0</v>
      </c>
      <c r="P268" s="7">
        <v>1.0</v>
      </c>
      <c r="Q268" s="7">
        <v>0.0</v>
      </c>
      <c r="AD268" s="5">
        <v>44938.0</v>
      </c>
      <c r="AE268" s="6">
        <v>0.08333333333333333</v>
      </c>
      <c r="AF268" s="7">
        <v>0.0</v>
      </c>
    </row>
    <row r="269">
      <c r="G269" s="5"/>
      <c r="H269" s="6"/>
      <c r="O269" s="7">
        <v>12.0</v>
      </c>
      <c r="P269" s="7">
        <v>2.0</v>
      </c>
      <c r="Q269" s="7">
        <v>0.0</v>
      </c>
      <c r="AD269" s="5">
        <v>44938.0</v>
      </c>
      <c r="AE269" s="6">
        <v>0.125</v>
      </c>
      <c r="AF269" s="7">
        <v>0.0</v>
      </c>
    </row>
    <row r="270">
      <c r="G270" s="5"/>
      <c r="H270" s="6"/>
      <c r="O270" s="7">
        <v>12.0</v>
      </c>
      <c r="P270" s="7">
        <v>3.0</v>
      </c>
      <c r="Q270" s="7">
        <v>0.0</v>
      </c>
      <c r="AD270" s="5">
        <v>44938.0</v>
      </c>
      <c r="AE270" s="6">
        <v>0.16666666666666666</v>
      </c>
      <c r="AF270" s="7">
        <v>0.0</v>
      </c>
    </row>
    <row r="271">
      <c r="G271" s="5"/>
      <c r="H271" s="6"/>
      <c r="O271" s="7">
        <v>12.0</v>
      </c>
      <c r="P271" s="7">
        <v>4.0</v>
      </c>
      <c r="Q271" s="7">
        <v>0.0</v>
      </c>
      <c r="AD271" s="5">
        <v>44938.0</v>
      </c>
      <c r="AE271" s="6">
        <v>0.20833333333333334</v>
      </c>
      <c r="AF271" s="7">
        <v>0.0</v>
      </c>
    </row>
    <row r="272">
      <c r="G272" s="5"/>
      <c r="H272" s="6"/>
      <c r="O272" s="7">
        <v>12.0</v>
      </c>
      <c r="P272" s="7">
        <v>5.0</v>
      </c>
      <c r="Q272" s="7">
        <v>0.0</v>
      </c>
      <c r="AD272" s="5">
        <v>44938.0</v>
      </c>
      <c r="AE272" s="6">
        <v>0.25</v>
      </c>
      <c r="AF272" s="7">
        <v>0.0</v>
      </c>
    </row>
    <row r="273">
      <c r="G273" s="5"/>
      <c r="H273" s="6"/>
      <c r="O273" s="7">
        <v>12.0</v>
      </c>
      <c r="P273" s="7">
        <v>6.0</v>
      </c>
      <c r="Q273" s="7">
        <v>0.0</v>
      </c>
      <c r="AD273" s="5">
        <v>44938.0</v>
      </c>
      <c r="AE273" s="6">
        <v>0.2916666666666667</v>
      </c>
      <c r="AF273" s="7">
        <v>0.0</v>
      </c>
    </row>
    <row r="274">
      <c r="G274" s="5"/>
      <c r="H274" s="6"/>
      <c r="O274" s="7">
        <v>12.0</v>
      </c>
      <c r="P274" s="7">
        <v>7.0</v>
      </c>
      <c r="Q274" s="7">
        <v>0.0</v>
      </c>
      <c r="AD274" s="5">
        <v>44938.0</v>
      </c>
      <c r="AE274" s="6">
        <v>0.3333333333333333</v>
      </c>
      <c r="AF274" s="7">
        <v>7554.3</v>
      </c>
    </row>
    <row r="275">
      <c r="G275" s="5"/>
      <c r="H275" s="6"/>
      <c r="O275" s="7">
        <v>12.0</v>
      </c>
      <c r="P275" s="7">
        <v>8.0</v>
      </c>
      <c r="Q275" s="7">
        <v>5873.148387096774</v>
      </c>
      <c r="AD275" s="5">
        <v>44938.0</v>
      </c>
      <c r="AE275" s="6">
        <v>0.375</v>
      </c>
      <c r="AF275" s="7">
        <v>22112.22</v>
      </c>
    </row>
    <row r="276">
      <c r="G276" s="5"/>
      <c r="H276" s="6"/>
      <c r="O276" s="7">
        <v>12.0</v>
      </c>
      <c r="P276" s="7">
        <v>9.0</v>
      </c>
      <c r="Q276" s="7">
        <v>18084.450967741937</v>
      </c>
      <c r="AD276" s="5">
        <v>44938.0</v>
      </c>
      <c r="AE276" s="6">
        <v>0.4166666666666667</v>
      </c>
      <c r="AF276" s="7">
        <v>33139.86</v>
      </c>
    </row>
    <row r="277">
      <c r="G277" s="5"/>
      <c r="H277" s="6"/>
      <c r="O277" s="7">
        <v>12.0</v>
      </c>
      <c r="P277" s="7">
        <v>10.0</v>
      </c>
      <c r="Q277" s="7">
        <v>26524.830967741935</v>
      </c>
      <c r="AD277" s="5">
        <v>44938.0</v>
      </c>
      <c r="AE277" s="6">
        <v>0.4583333333333333</v>
      </c>
      <c r="AF277" s="7">
        <v>37681.8</v>
      </c>
    </row>
    <row r="278">
      <c r="G278" s="5"/>
      <c r="H278" s="6"/>
      <c r="O278" s="7">
        <v>12.0</v>
      </c>
      <c r="P278" s="7">
        <v>11.0</v>
      </c>
      <c r="Q278" s="7">
        <v>32793.21290322581</v>
      </c>
      <c r="AD278" s="5">
        <v>44938.0</v>
      </c>
      <c r="AE278" s="6">
        <v>0.5</v>
      </c>
      <c r="AF278" s="7">
        <v>39591.24</v>
      </c>
    </row>
    <row r="279">
      <c r="G279" s="5"/>
      <c r="H279" s="6"/>
      <c r="O279" s="7">
        <v>12.0</v>
      </c>
      <c r="P279" s="7">
        <v>12.0</v>
      </c>
      <c r="Q279" s="7">
        <v>34179.32322580645</v>
      </c>
      <c r="AD279" s="5">
        <v>44938.0</v>
      </c>
      <c r="AE279" s="6">
        <v>0.5416666666666666</v>
      </c>
      <c r="AF279" s="7">
        <v>36286.38</v>
      </c>
    </row>
    <row r="280">
      <c r="G280" s="5"/>
      <c r="H280" s="6"/>
      <c r="O280" s="7">
        <v>12.0</v>
      </c>
      <c r="P280" s="7">
        <v>13.0</v>
      </c>
      <c r="Q280" s="7">
        <v>31869.08903225806</v>
      </c>
      <c r="AD280" s="5">
        <v>44938.0</v>
      </c>
      <c r="AE280" s="6">
        <v>0.5833333333333334</v>
      </c>
      <c r="AF280" s="7">
        <v>33379.32</v>
      </c>
    </row>
    <row r="281">
      <c r="G281" s="5"/>
      <c r="H281" s="6"/>
      <c r="O281" s="7">
        <v>12.0</v>
      </c>
      <c r="P281" s="7">
        <v>14.0</v>
      </c>
      <c r="Q281" s="7">
        <v>26383.57548387097</v>
      </c>
      <c r="AD281" s="5">
        <v>44938.0</v>
      </c>
      <c r="AE281" s="6">
        <v>0.625</v>
      </c>
      <c r="AF281" s="7">
        <v>21741.72</v>
      </c>
    </row>
    <row r="282">
      <c r="G282" s="5"/>
      <c r="H282" s="6"/>
      <c r="O282" s="7">
        <v>12.0</v>
      </c>
      <c r="P282" s="7">
        <v>15.0</v>
      </c>
      <c r="Q282" s="7">
        <v>14967.621290322582</v>
      </c>
      <c r="AD282" s="5">
        <v>44938.0</v>
      </c>
      <c r="AE282" s="6">
        <v>0.6666666666666666</v>
      </c>
      <c r="AF282" s="7">
        <v>8112.78</v>
      </c>
    </row>
    <row r="283">
      <c r="G283" s="5"/>
      <c r="H283" s="6"/>
      <c r="O283" s="7">
        <v>12.0</v>
      </c>
      <c r="P283" s="7">
        <v>16.0</v>
      </c>
      <c r="Q283" s="7">
        <v>1557.4838709677417</v>
      </c>
      <c r="AD283" s="5">
        <v>44938.0</v>
      </c>
      <c r="AE283" s="6">
        <v>0.7083333333333334</v>
      </c>
      <c r="AF283" s="7">
        <v>0.0</v>
      </c>
    </row>
    <row r="284">
      <c r="G284" s="5"/>
      <c r="H284" s="6"/>
      <c r="O284" s="7">
        <v>12.0</v>
      </c>
      <c r="P284" s="7">
        <v>17.0</v>
      </c>
      <c r="Q284" s="7">
        <v>0.0</v>
      </c>
      <c r="AD284" s="5">
        <v>44938.0</v>
      </c>
      <c r="AE284" s="6">
        <v>0.75</v>
      </c>
      <c r="AF284" s="7">
        <v>0.0</v>
      </c>
    </row>
    <row r="285">
      <c r="G285" s="5"/>
      <c r="H285" s="6"/>
      <c r="O285" s="7">
        <v>12.0</v>
      </c>
      <c r="P285" s="7">
        <v>18.0</v>
      </c>
      <c r="Q285" s="7">
        <v>0.0</v>
      </c>
      <c r="AD285" s="5">
        <v>44938.0</v>
      </c>
      <c r="AE285" s="6">
        <v>0.7916666666666666</v>
      </c>
      <c r="AF285" s="7">
        <v>0.0</v>
      </c>
    </row>
    <row r="286">
      <c r="G286" s="5"/>
      <c r="H286" s="6"/>
      <c r="O286" s="7">
        <v>12.0</v>
      </c>
      <c r="P286" s="7">
        <v>19.0</v>
      </c>
      <c r="Q286" s="7">
        <v>0.0</v>
      </c>
      <c r="AD286" s="5">
        <v>44938.0</v>
      </c>
      <c r="AE286" s="6">
        <v>0.8333333333333334</v>
      </c>
      <c r="AF286" s="7">
        <v>0.0</v>
      </c>
    </row>
    <row r="287">
      <c r="G287" s="5"/>
      <c r="H287" s="6"/>
      <c r="O287" s="7">
        <v>12.0</v>
      </c>
      <c r="P287" s="7">
        <v>20.0</v>
      </c>
      <c r="Q287" s="7">
        <v>0.0</v>
      </c>
      <c r="AD287" s="5">
        <v>44938.0</v>
      </c>
      <c r="AE287" s="6">
        <v>0.875</v>
      </c>
      <c r="AF287" s="7">
        <v>0.0</v>
      </c>
    </row>
    <row r="288">
      <c r="G288" s="5"/>
      <c r="H288" s="6"/>
      <c r="O288" s="7">
        <v>12.0</v>
      </c>
      <c r="P288" s="7">
        <v>21.0</v>
      </c>
      <c r="Q288" s="7">
        <v>0.0</v>
      </c>
      <c r="AD288" s="5">
        <v>44938.0</v>
      </c>
      <c r="AE288" s="6">
        <v>0.9166666666666666</v>
      </c>
      <c r="AF288" s="7">
        <v>0.0</v>
      </c>
    </row>
    <row r="289">
      <c r="G289" s="5"/>
      <c r="H289" s="6"/>
      <c r="O289" s="7">
        <v>12.0</v>
      </c>
      <c r="P289" s="7">
        <v>22.0</v>
      </c>
      <c r="Q289" s="7">
        <v>0.0</v>
      </c>
      <c r="AD289" s="5">
        <v>44938.0</v>
      </c>
      <c r="AE289" s="6">
        <v>0.9583333333333334</v>
      </c>
      <c r="AF289" s="7">
        <v>0.0</v>
      </c>
    </row>
    <row r="290">
      <c r="G290" s="5"/>
      <c r="H290" s="6"/>
      <c r="O290" s="7">
        <v>12.0</v>
      </c>
      <c r="P290" s="7">
        <v>23.0</v>
      </c>
      <c r="Q290" s="7">
        <v>0.0</v>
      </c>
      <c r="AD290" s="5">
        <v>44939.0</v>
      </c>
      <c r="AE290" s="6">
        <v>0.0</v>
      </c>
      <c r="AF290" s="7">
        <v>0.0</v>
      </c>
    </row>
    <row r="291">
      <c r="G291" s="5"/>
      <c r="H291" s="6"/>
      <c r="AD291" s="5">
        <v>44939.0</v>
      </c>
      <c r="AE291" s="6">
        <v>0.041666666666666664</v>
      </c>
      <c r="AF291" s="7">
        <v>0.0</v>
      </c>
    </row>
    <row r="292">
      <c r="G292" s="5"/>
      <c r="H292" s="6"/>
      <c r="AD292" s="5">
        <v>44939.0</v>
      </c>
      <c r="AE292" s="6">
        <v>0.08333333333333333</v>
      </c>
      <c r="AF292" s="7">
        <v>0.0</v>
      </c>
    </row>
    <row r="293">
      <c r="G293" s="5"/>
      <c r="H293" s="6"/>
      <c r="AD293" s="5">
        <v>44939.0</v>
      </c>
      <c r="AE293" s="6">
        <v>0.125</v>
      </c>
      <c r="AF293" s="7">
        <v>0.0</v>
      </c>
    </row>
    <row r="294">
      <c r="G294" s="5"/>
      <c r="H294" s="6"/>
      <c r="AD294" s="5">
        <v>44939.0</v>
      </c>
      <c r="AE294" s="6">
        <v>0.16666666666666666</v>
      </c>
      <c r="AF294" s="7">
        <v>0.0</v>
      </c>
    </row>
    <row r="295">
      <c r="G295" s="5"/>
      <c r="H295" s="6"/>
      <c r="AD295" s="5">
        <v>44939.0</v>
      </c>
      <c r="AE295" s="6">
        <v>0.20833333333333334</v>
      </c>
      <c r="AF295" s="7">
        <v>0.0</v>
      </c>
    </row>
    <row r="296">
      <c r="G296" s="5"/>
      <c r="H296" s="6"/>
      <c r="AD296" s="5">
        <v>44939.0</v>
      </c>
      <c r="AE296" s="6">
        <v>0.25</v>
      </c>
      <c r="AF296" s="7">
        <v>0.0</v>
      </c>
    </row>
    <row r="297">
      <c r="G297" s="5"/>
      <c r="H297" s="6"/>
      <c r="AD297" s="5">
        <v>44939.0</v>
      </c>
      <c r="AE297" s="6">
        <v>0.2916666666666667</v>
      </c>
      <c r="AF297" s="7">
        <v>0.0</v>
      </c>
    </row>
    <row r="298">
      <c r="G298" s="5"/>
      <c r="H298" s="6"/>
      <c r="AD298" s="5">
        <v>44939.0</v>
      </c>
      <c r="AE298" s="6">
        <v>0.3333333333333333</v>
      </c>
      <c r="AF298" s="7">
        <v>8589.36</v>
      </c>
    </row>
    <row r="299">
      <c r="G299" s="5"/>
      <c r="H299" s="6"/>
      <c r="AD299" s="5">
        <v>44939.0</v>
      </c>
      <c r="AE299" s="6">
        <v>0.375</v>
      </c>
      <c r="AF299" s="7">
        <v>17204.46</v>
      </c>
    </row>
    <row r="300">
      <c r="G300" s="5"/>
      <c r="H300" s="6"/>
      <c r="AD300" s="5">
        <v>44939.0</v>
      </c>
      <c r="AE300" s="6">
        <v>0.4166666666666667</v>
      </c>
      <c r="AF300" s="7">
        <v>30428.58</v>
      </c>
    </row>
    <row r="301">
      <c r="G301" s="5"/>
      <c r="H301" s="6"/>
      <c r="AD301" s="5">
        <v>44939.0</v>
      </c>
      <c r="AE301" s="6">
        <v>0.4583333333333333</v>
      </c>
      <c r="AF301" s="7">
        <v>33448.74</v>
      </c>
    </row>
    <row r="302">
      <c r="G302" s="5"/>
      <c r="H302" s="6"/>
      <c r="AD302" s="5">
        <v>44939.0</v>
      </c>
      <c r="AE302" s="6">
        <v>0.5</v>
      </c>
      <c r="AF302" s="7">
        <v>43932.72</v>
      </c>
    </row>
    <row r="303">
      <c r="G303" s="5"/>
      <c r="H303" s="6"/>
      <c r="AD303" s="5">
        <v>44939.0</v>
      </c>
      <c r="AE303" s="6">
        <v>0.5416666666666666</v>
      </c>
      <c r="AF303" s="7">
        <v>41178.54</v>
      </c>
    </row>
    <row r="304">
      <c r="G304" s="5"/>
      <c r="H304" s="6"/>
      <c r="AD304" s="5">
        <v>44939.0</v>
      </c>
      <c r="AE304" s="6">
        <v>0.5833333333333334</v>
      </c>
      <c r="AF304" s="7">
        <v>33598.5</v>
      </c>
    </row>
    <row r="305">
      <c r="G305" s="5"/>
      <c r="H305" s="6"/>
      <c r="AD305" s="5">
        <v>44939.0</v>
      </c>
      <c r="AE305" s="6">
        <v>0.625</v>
      </c>
      <c r="AF305" s="7">
        <v>23319.66</v>
      </c>
    </row>
    <row r="306">
      <c r="G306" s="5"/>
      <c r="H306" s="6"/>
      <c r="AD306" s="5">
        <v>44939.0</v>
      </c>
      <c r="AE306" s="6">
        <v>0.6666666666666666</v>
      </c>
      <c r="AF306" s="7">
        <v>8496.54</v>
      </c>
    </row>
    <row r="307">
      <c r="G307" s="5"/>
      <c r="H307" s="6"/>
      <c r="AD307" s="5">
        <v>44939.0</v>
      </c>
      <c r="AE307" s="6">
        <v>0.7083333333333334</v>
      </c>
      <c r="AF307" s="7">
        <v>0.0</v>
      </c>
    </row>
    <row r="308">
      <c r="G308" s="5"/>
      <c r="H308" s="6"/>
      <c r="AD308" s="5">
        <v>44939.0</v>
      </c>
      <c r="AE308" s="6">
        <v>0.75</v>
      </c>
      <c r="AF308" s="7">
        <v>0.0</v>
      </c>
    </row>
    <row r="309">
      <c r="G309" s="5"/>
      <c r="H309" s="6"/>
      <c r="AD309" s="5">
        <v>44939.0</v>
      </c>
      <c r="AE309" s="6">
        <v>0.7916666666666666</v>
      </c>
      <c r="AF309" s="7">
        <v>0.0</v>
      </c>
    </row>
    <row r="310">
      <c r="G310" s="5"/>
      <c r="H310" s="6"/>
      <c r="AD310" s="5">
        <v>44939.0</v>
      </c>
      <c r="AE310" s="6">
        <v>0.8333333333333334</v>
      </c>
      <c r="AF310" s="7">
        <v>0.0</v>
      </c>
    </row>
    <row r="311">
      <c r="G311" s="5"/>
      <c r="H311" s="6"/>
      <c r="AD311" s="5">
        <v>44939.0</v>
      </c>
      <c r="AE311" s="6">
        <v>0.875</v>
      </c>
      <c r="AF311" s="7">
        <v>0.0</v>
      </c>
    </row>
    <row r="312">
      <c r="G312" s="5"/>
      <c r="H312" s="6"/>
      <c r="AD312" s="5">
        <v>44939.0</v>
      </c>
      <c r="AE312" s="6">
        <v>0.9166666666666666</v>
      </c>
      <c r="AF312" s="7">
        <v>0.0</v>
      </c>
    </row>
    <row r="313">
      <c r="G313" s="5"/>
      <c r="H313" s="6"/>
      <c r="AD313" s="5">
        <v>44939.0</v>
      </c>
      <c r="AE313" s="6">
        <v>0.9583333333333334</v>
      </c>
      <c r="AF313" s="7">
        <v>0.0</v>
      </c>
    </row>
    <row r="314">
      <c r="G314" s="5"/>
      <c r="H314" s="6"/>
      <c r="AD314" s="5">
        <v>44940.0</v>
      </c>
      <c r="AE314" s="6">
        <v>0.0</v>
      </c>
      <c r="AF314" s="7">
        <v>0.0</v>
      </c>
    </row>
    <row r="315">
      <c r="G315" s="5"/>
      <c r="H315" s="6"/>
      <c r="AD315" s="5">
        <v>44940.0</v>
      </c>
      <c r="AE315" s="6">
        <v>0.041666666666666664</v>
      </c>
      <c r="AF315" s="7">
        <v>0.0</v>
      </c>
    </row>
    <row r="316">
      <c r="G316" s="5"/>
      <c r="H316" s="6"/>
      <c r="AD316" s="5">
        <v>44940.0</v>
      </c>
      <c r="AE316" s="6">
        <v>0.08333333333333333</v>
      </c>
      <c r="AF316" s="7">
        <v>0.0</v>
      </c>
    </row>
    <row r="317">
      <c r="G317" s="5"/>
      <c r="H317" s="6"/>
      <c r="AD317" s="5">
        <v>44940.0</v>
      </c>
      <c r="AE317" s="6">
        <v>0.125</v>
      </c>
      <c r="AF317" s="7">
        <v>0.0</v>
      </c>
    </row>
    <row r="318">
      <c r="G318" s="5"/>
      <c r="H318" s="6"/>
      <c r="AD318" s="5">
        <v>44940.0</v>
      </c>
      <c r="AE318" s="6">
        <v>0.16666666666666666</v>
      </c>
      <c r="AF318" s="7">
        <v>0.0</v>
      </c>
    </row>
    <row r="319">
      <c r="G319" s="5"/>
      <c r="H319" s="6"/>
      <c r="AD319" s="5">
        <v>44940.0</v>
      </c>
      <c r="AE319" s="6">
        <v>0.20833333333333334</v>
      </c>
      <c r="AF319" s="7">
        <v>0.0</v>
      </c>
    </row>
    <row r="320">
      <c r="G320" s="5"/>
      <c r="H320" s="6"/>
      <c r="AD320" s="5">
        <v>44940.0</v>
      </c>
      <c r="AE320" s="6">
        <v>0.25</v>
      </c>
      <c r="AF320" s="7">
        <v>0.0</v>
      </c>
    </row>
    <row r="321">
      <c r="G321" s="5"/>
      <c r="H321" s="6"/>
      <c r="AD321" s="5">
        <v>44940.0</v>
      </c>
      <c r="AE321" s="6">
        <v>0.2916666666666667</v>
      </c>
      <c r="AF321" s="7">
        <v>0.0</v>
      </c>
    </row>
    <row r="322">
      <c r="G322" s="5"/>
      <c r="H322" s="6"/>
      <c r="AD322" s="5">
        <v>44940.0</v>
      </c>
      <c r="AE322" s="6">
        <v>0.3333333333333333</v>
      </c>
      <c r="AF322" s="7">
        <v>5108.22</v>
      </c>
    </row>
    <row r="323">
      <c r="G323" s="5"/>
      <c r="H323" s="6"/>
      <c r="AD323" s="5">
        <v>44940.0</v>
      </c>
      <c r="AE323" s="6">
        <v>0.375</v>
      </c>
      <c r="AF323" s="7">
        <v>15198.3</v>
      </c>
    </row>
    <row r="324">
      <c r="G324" s="5"/>
      <c r="H324" s="6"/>
      <c r="AD324" s="5">
        <v>44940.0</v>
      </c>
      <c r="AE324" s="6">
        <v>0.4166666666666667</v>
      </c>
      <c r="AF324" s="7">
        <v>26250.9</v>
      </c>
    </row>
    <row r="325">
      <c r="G325" s="5"/>
      <c r="H325" s="6"/>
      <c r="AD325" s="5">
        <v>44940.0</v>
      </c>
      <c r="AE325" s="6">
        <v>0.4583333333333333</v>
      </c>
      <c r="AF325" s="7">
        <v>33053.28</v>
      </c>
    </row>
    <row r="326">
      <c r="G326" s="5"/>
      <c r="H326" s="6"/>
      <c r="AD326" s="5">
        <v>44940.0</v>
      </c>
      <c r="AE326" s="6">
        <v>0.5</v>
      </c>
      <c r="AF326" s="7">
        <v>39486.72</v>
      </c>
    </row>
    <row r="327">
      <c r="G327" s="5"/>
      <c r="H327" s="6"/>
      <c r="AD327" s="5">
        <v>44940.0</v>
      </c>
      <c r="AE327" s="6">
        <v>0.5416666666666666</v>
      </c>
      <c r="AF327" s="7">
        <v>39847.08</v>
      </c>
    </row>
    <row r="328">
      <c r="G328" s="5"/>
      <c r="H328" s="6"/>
      <c r="AD328" s="5">
        <v>44940.0</v>
      </c>
      <c r="AE328" s="6">
        <v>0.5833333333333334</v>
      </c>
      <c r="AF328" s="7">
        <v>34072.74</v>
      </c>
    </row>
    <row r="329">
      <c r="G329" s="5"/>
      <c r="H329" s="6"/>
      <c r="AD329" s="5">
        <v>44940.0</v>
      </c>
      <c r="AE329" s="6">
        <v>0.625</v>
      </c>
      <c r="AF329" s="7">
        <v>20266.74</v>
      </c>
    </row>
    <row r="330">
      <c r="G330" s="5"/>
      <c r="H330" s="6"/>
      <c r="AD330" s="5">
        <v>44940.0</v>
      </c>
      <c r="AE330" s="6">
        <v>0.6666666666666666</v>
      </c>
      <c r="AF330" s="7">
        <v>4913.22</v>
      </c>
    </row>
    <row r="331">
      <c r="G331" s="5"/>
      <c r="H331" s="6"/>
      <c r="AD331" s="5">
        <v>44940.0</v>
      </c>
      <c r="AE331" s="6">
        <v>0.7083333333333334</v>
      </c>
      <c r="AF331" s="7">
        <v>0.0</v>
      </c>
    </row>
    <row r="332">
      <c r="G332" s="5"/>
      <c r="H332" s="6"/>
      <c r="AD332" s="5">
        <v>44940.0</v>
      </c>
      <c r="AE332" s="6">
        <v>0.75</v>
      </c>
      <c r="AF332" s="7">
        <v>0.0</v>
      </c>
    </row>
    <row r="333">
      <c r="G333" s="5"/>
      <c r="H333" s="6"/>
      <c r="AD333" s="5">
        <v>44940.0</v>
      </c>
      <c r="AE333" s="6">
        <v>0.7916666666666666</v>
      </c>
      <c r="AF333" s="7">
        <v>0.0</v>
      </c>
    </row>
    <row r="334">
      <c r="G334" s="5"/>
      <c r="H334" s="6"/>
      <c r="AD334" s="5">
        <v>44940.0</v>
      </c>
      <c r="AE334" s="6">
        <v>0.8333333333333334</v>
      </c>
      <c r="AF334" s="7">
        <v>0.0</v>
      </c>
    </row>
    <row r="335">
      <c r="G335" s="5"/>
      <c r="H335" s="6"/>
      <c r="AD335" s="5">
        <v>44940.0</v>
      </c>
      <c r="AE335" s="6">
        <v>0.875</v>
      </c>
      <c r="AF335" s="7">
        <v>0.0</v>
      </c>
    </row>
    <row r="336">
      <c r="G336" s="5"/>
      <c r="H336" s="6"/>
      <c r="AD336" s="5">
        <v>44940.0</v>
      </c>
      <c r="AE336" s="6">
        <v>0.9166666666666666</v>
      </c>
      <c r="AF336" s="7">
        <v>0.0</v>
      </c>
    </row>
    <row r="337">
      <c r="G337" s="5"/>
      <c r="H337" s="6"/>
      <c r="AD337" s="5">
        <v>44940.0</v>
      </c>
      <c r="AE337" s="6">
        <v>0.9583333333333334</v>
      </c>
      <c r="AF337" s="7">
        <v>0.0</v>
      </c>
    </row>
    <row r="338">
      <c r="G338" s="5"/>
      <c r="H338" s="6"/>
      <c r="AD338" s="5">
        <v>44941.0</v>
      </c>
      <c r="AE338" s="6">
        <v>0.0</v>
      </c>
      <c r="AF338" s="7">
        <v>0.0</v>
      </c>
    </row>
    <row r="339">
      <c r="G339" s="5"/>
      <c r="H339" s="6"/>
      <c r="AD339" s="5">
        <v>44941.0</v>
      </c>
      <c r="AE339" s="6">
        <v>0.041666666666666664</v>
      </c>
      <c r="AF339" s="7">
        <v>0.0</v>
      </c>
    </row>
    <row r="340">
      <c r="G340" s="5"/>
      <c r="H340" s="6"/>
      <c r="AD340" s="5">
        <v>44941.0</v>
      </c>
      <c r="AE340" s="6">
        <v>0.08333333333333333</v>
      </c>
      <c r="AF340" s="7">
        <v>0.0</v>
      </c>
    </row>
    <row r="341">
      <c r="G341" s="5"/>
      <c r="H341" s="6"/>
      <c r="AD341" s="5">
        <v>44941.0</v>
      </c>
      <c r="AE341" s="6">
        <v>0.125</v>
      </c>
      <c r="AF341" s="7">
        <v>0.0</v>
      </c>
    </row>
    <row r="342">
      <c r="G342" s="5"/>
      <c r="H342" s="6"/>
      <c r="AD342" s="5">
        <v>44941.0</v>
      </c>
      <c r="AE342" s="6">
        <v>0.16666666666666666</v>
      </c>
      <c r="AF342" s="7">
        <v>0.0</v>
      </c>
    </row>
    <row r="343">
      <c r="G343" s="5"/>
      <c r="H343" s="6"/>
      <c r="AD343" s="5">
        <v>44941.0</v>
      </c>
      <c r="AE343" s="6">
        <v>0.20833333333333334</v>
      </c>
      <c r="AF343" s="7">
        <v>0.0</v>
      </c>
    </row>
    <row r="344">
      <c r="G344" s="5"/>
      <c r="H344" s="6"/>
      <c r="AD344" s="5">
        <v>44941.0</v>
      </c>
      <c r="AE344" s="6">
        <v>0.25</v>
      </c>
      <c r="AF344" s="7">
        <v>0.0</v>
      </c>
    </row>
    <row r="345">
      <c r="G345" s="5"/>
      <c r="H345" s="6"/>
      <c r="AD345" s="5">
        <v>44941.0</v>
      </c>
      <c r="AE345" s="6">
        <v>0.2916666666666667</v>
      </c>
      <c r="AF345" s="7">
        <v>0.0</v>
      </c>
    </row>
    <row r="346">
      <c r="G346" s="5"/>
      <c r="H346" s="6"/>
      <c r="AD346" s="5">
        <v>44941.0</v>
      </c>
      <c r="AE346" s="6">
        <v>0.3333333333333333</v>
      </c>
      <c r="AF346" s="7">
        <v>5871.84</v>
      </c>
    </row>
    <row r="347">
      <c r="G347" s="5"/>
      <c r="H347" s="6"/>
      <c r="AD347" s="5">
        <v>44941.0</v>
      </c>
      <c r="AE347" s="6">
        <v>0.375</v>
      </c>
      <c r="AF347" s="7">
        <v>9668.1</v>
      </c>
    </row>
    <row r="348">
      <c r="G348" s="5"/>
      <c r="H348" s="6"/>
      <c r="AD348" s="5">
        <v>44941.0</v>
      </c>
      <c r="AE348" s="6">
        <v>0.4166666666666667</v>
      </c>
      <c r="AF348" s="7">
        <v>20008.56</v>
      </c>
    </row>
    <row r="349">
      <c r="G349" s="5"/>
      <c r="H349" s="6"/>
      <c r="AD349" s="5">
        <v>44941.0</v>
      </c>
      <c r="AE349" s="6">
        <v>0.4583333333333333</v>
      </c>
      <c r="AF349" s="7">
        <v>32033.04</v>
      </c>
    </row>
    <row r="350">
      <c r="G350" s="5"/>
      <c r="H350" s="6"/>
      <c r="AD350" s="5">
        <v>44941.0</v>
      </c>
      <c r="AE350" s="6">
        <v>0.5</v>
      </c>
      <c r="AF350" s="7">
        <v>16289.52</v>
      </c>
    </row>
    <row r="351">
      <c r="G351" s="5"/>
      <c r="H351" s="6"/>
      <c r="AD351" s="5">
        <v>44941.0</v>
      </c>
      <c r="AE351" s="6">
        <v>0.5416666666666666</v>
      </c>
      <c r="AF351" s="7">
        <v>25396.02</v>
      </c>
    </row>
    <row r="352">
      <c r="G352" s="5"/>
      <c r="H352" s="6"/>
      <c r="AD352" s="5">
        <v>44941.0</v>
      </c>
      <c r="AE352" s="6">
        <v>0.5833333333333334</v>
      </c>
      <c r="AF352" s="7">
        <v>17395.56</v>
      </c>
    </row>
    <row r="353">
      <c r="G353" s="5"/>
      <c r="H353" s="6"/>
      <c r="AD353" s="5">
        <v>44941.0</v>
      </c>
      <c r="AE353" s="6">
        <v>0.625</v>
      </c>
      <c r="AF353" s="7">
        <v>12923.82</v>
      </c>
    </row>
    <row r="354">
      <c r="G354" s="5"/>
      <c r="H354" s="6"/>
      <c r="AD354" s="5">
        <v>44941.0</v>
      </c>
      <c r="AE354" s="6">
        <v>0.6666666666666666</v>
      </c>
      <c r="AF354" s="7">
        <v>8466.12</v>
      </c>
    </row>
    <row r="355">
      <c r="G355" s="5"/>
      <c r="H355" s="6"/>
      <c r="AD355" s="5">
        <v>44941.0</v>
      </c>
      <c r="AE355" s="6">
        <v>0.7083333333333334</v>
      </c>
      <c r="AF355" s="7">
        <v>0.0</v>
      </c>
    </row>
    <row r="356">
      <c r="G356" s="5"/>
      <c r="H356" s="6"/>
      <c r="AD356" s="5">
        <v>44941.0</v>
      </c>
      <c r="AE356" s="6">
        <v>0.75</v>
      </c>
      <c r="AF356" s="7">
        <v>0.0</v>
      </c>
    </row>
    <row r="357">
      <c r="G357" s="5"/>
      <c r="H357" s="6"/>
      <c r="AD357" s="5">
        <v>44941.0</v>
      </c>
      <c r="AE357" s="6">
        <v>0.7916666666666666</v>
      </c>
      <c r="AF357" s="7">
        <v>0.0</v>
      </c>
    </row>
    <row r="358">
      <c r="G358" s="5"/>
      <c r="H358" s="6"/>
      <c r="AD358" s="5">
        <v>44941.0</v>
      </c>
      <c r="AE358" s="6">
        <v>0.8333333333333334</v>
      </c>
      <c r="AF358" s="7">
        <v>0.0</v>
      </c>
    </row>
    <row r="359">
      <c r="G359" s="5"/>
      <c r="H359" s="6"/>
      <c r="AD359" s="5">
        <v>44941.0</v>
      </c>
      <c r="AE359" s="6">
        <v>0.875</v>
      </c>
      <c r="AF359" s="7">
        <v>0.0</v>
      </c>
    </row>
    <row r="360">
      <c r="G360" s="5"/>
      <c r="H360" s="6"/>
      <c r="AD360" s="5">
        <v>44941.0</v>
      </c>
      <c r="AE360" s="6">
        <v>0.9166666666666666</v>
      </c>
      <c r="AF360" s="7">
        <v>0.0</v>
      </c>
    </row>
    <row r="361">
      <c r="G361" s="5"/>
      <c r="H361" s="6"/>
      <c r="AD361" s="5">
        <v>44941.0</v>
      </c>
      <c r="AE361" s="6">
        <v>0.9583333333333334</v>
      </c>
      <c r="AF361" s="7">
        <v>0.0</v>
      </c>
    </row>
    <row r="362">
      <c r="G362" s="5"/>
      <c r="H362" s="6"/>
      <c r="AD362" s="5">
        <v>44942.0</v>
      </c>
      <c r="AE362" s="6">
        <v>0.0</v>
      </c>
      <c r="AF362" s="7">
        <v>0.0</v>
      </c>
    </row>
    <row r="363">
      <c r="G363" s="5"/>
      <c r="H363" s="6"/>
      <c r="AD363" s="5">
        <v>44942.0</v>
      </c>
      <c r="AE363" s="6">
        <v>0.041666666666666664</v>
      </c>
      <c r="AF363" s="7">
        <v>0.0</v>
      </c>
    </row>
    <row r="364">
      <c r="G364" s="5"/>
      <c r="H364" s="6"/>
      <c r="AD364" s="5">
        <v>44942.0</v>
      </c>
      <c r="AE364" s="6">
        <v>0.08333333333333333</v>
      </c>
      <c r="AF364" s="7">
        <v>0.0</v>
      </c>
    </row>
    <row r="365">
      <c r="G365" s="5"/>
      <c r="H365" s="6"/>
      <c r="AD365" s="5">
        <v>44942.0</v>
      </c>
      <c r="AE365" s="6">
        <v>0.125</v>
      </c>
      <c r="AF365" s="7">
        <v>0.0</v>
      </c>
    </row>
    <row r="366">
      <c r="G366" s="5"/>
      <c r="H366" s="6"/>
      <c r="AD366" s="5">
        <v>44942.0</v>
      </c>
      <c r="AE366" s="6">
        <v>0.16666666666666666</v>
      </c>
      <c r="AF366" s="7">
        <v>0.0</v>
      </c>
    </row>
    <row r="367">
      <c r="G367" s="5"/>
      <c r="H367" s="6"/>
      <c r="AD367" s="5">
        <v>44942.0</v>
      </c>
      <c r="AE367" s="6">
        <v>0.20833333333333334</v>
      </c>
      <c r="AF367" s="7">
        <v>0.0</v>
      </c>
    </row>
    <row r="368">
      <c r="G368" s="5"/>
      <c r="H368" s="6"/>
      <c r="AD368" s="5">
        <v>44942.0</v>
      </c>
      <c r="AE368" s="6">
        <v>0.25</v>
      </c>
      <c r="AF368" s="7">
        <v>0.0</v>
      </c>
    </row>
    <row r="369">
      <c r="G369" s="5"/>
      <c r="H369" s="6"/>
      <c r="AD369" s="5">
        <v>44942.0</v>
      </c>
      <c r="AE369" s="6">
        <v>0.2916666666666667</v>
      </c>
      <c r="AF369" s="7">
        <v>0.0</v>
      </c>
    </row>
    <row r="370">
      <c r="G370" s="5"/>
      <c r="H370" s="6"/>
      <c r="AD370" s="5">
        <v>44942.0</v>
      </c>
      <c r="AE370" s="6">
        <v>0.3333333333333333</v>
      </c>
      <c r="AF370" s="7">
        <v>3140.28</v>
      </c>
    </row>
    <row r="371">
      <c r="G371" s="5"/>
      <c r="H371" s="6"/>
      <c r="AD371" s="5">
        <v>44942.0</v>
      </c>
      <c r="AE371" s="6">
        <v>0.375</v>
      </c>
      <c r="AF371" s="7">
        <v>15954.12</v>
      </c>
    </row>
    <row r="372">
      <c r="G372" s="5"/>
      <c r="H372" s="6"/>
      <c r="AD372" s="5">
        <v>44942.0</v>
      </c>
      <c r="AE372" s="6">
        <v>0.4166666666666667</v>
      </c>
      <c r="AF372" s="7">
        <v>7782.06</v>
      </c>
    </row>
    <row r="373">
      <c r="G373" s="5"/>
      <c r="H373" s="6"/>
      <c r="AD373" s="5">
        <v>44942.0</v>
      </c>
      <c r="AE373" s="6">
        <v>0.4583333333333333</v>
      </c>
      <c r="AF373" s="7">
        <v>8565.96</v>
      </c>
    </row>
    <row r="374">
      <c r="G374" s="5"/>
      <c r="H374" s="6"/>
      <c r="AD374" s="5">
        <v>44942.0</v>
      </c>
      <c r="AE374" s="6">
        <v>0.5</v>
      </c>
      <c r="AF374" s="7">
        <v>5151.9</v>
      </c>
    </row>
    <row r="375">
      <c r="G375" s="5"/>
      <c r="H375" s="6"/>
      <c r="AD375" s="5">
        <v>44942.0</v>
      </c>
      <c r="AE375" s="6">
        <v>0.5416666666666666</v>
      </c>
      <c r="AF375" s="7">
        <v>12126.66</v>
      </c>
    </row>
    <row r="376">
      <c r="G376" s="5"/>
      <c r="H376" s="6"/>
      <c r="AD376" s="5">
        <v>44942.0</v>
      </c>
      <c r="AE376" s="6">
        <v>0.5833333333333334</v>
      </c>
      <c r="AF376" s="7">
        <v>2590.38</v>
      </c>
    </row>
    <row r="377">
      <c r="G377" s="5"/>
      <c r="H377" s="6"/>
      <c r="AD377" s="5">
        <v>44942.0</v>
      </c>
      <c r="AE377" s="6">
        <v>0.625</v>
      </c>
      <c r="AF377" s="7">
        <v>7072.26</v>
      </c>
    </row>
    <row r="378">
      <c r="G378" s="5"/>
      <c r="H378" s="6"/>
      <c r="AD378" s="5">
        <v>44942.0</v>
      </c>
      <c r="AE378" s="6">
        <v>0.6666666666666666</v>
      </c>
      <c r="AF378" s="7">
        <v>2439.06</v>
      </c>
    </row>
    <row r="379">
      <c r="G379" s="5"/>
      <c r="H379" s="6"/>
      <c r="AD379" s="5">
        <v>44942.0</v>
      </c>
      <c r="AE379" s="6">
        <v>0.7083333333333334</v>
      </c>
      <c r="AF379" s="7">
        <v>0.0</v>
      </c>
    </row>
    <row r="380">
      <c r="G380" s="5"/>
      <c r="H380" s="6"/>
      <c r="AD380" s="5">
        <v>44942.0</v>
      </c>
      <c r="AE380" s="6">
        <v>0.75</v>
      </c>
      <c r="AF380" s="7">
        <v>0.0</v>
      </c>
    </row>
    <row r="381">
      <c r="G381" s="5"/>
      <c r="H381" s="6"/>
      <c r="AD381" s="5">
        <v>44942.0</v>
      </c>
      <c r="AE381" s="6">
        <v>0.7916666666666666</v>
      </c>
      <c r="AF381" s="7">
        <v>0.0</v>
      </c>
    </row>
    <row r="382">
      <c r="G382" s="5"/>
      <c r="H382" s="6"/>
      <c r="AD382" s="5">
        <v>44942.0</v>
      </c>
      <c r="AE382" s="6">
        <v>0.8333333333333334</v>
      </c>
      <c r="AF382" s="7">
        <v>0.0</v>
      </c>
    </row>
    <row r="383">
      <c r="G383" s="5"/>
      <c r="H383" s="6"/>
      <c r="AD383" s="5">
        <v>44942.0</v>
      </c>
      <c r="AE383" s="6">
        <v>0.875</v>
      </c>
      <c r="AF383" s="7">
        <v>0.0</v>
      </c>
    </row>
    <row r="384">
      <c r="G384" s="5"/>
      <c r="H384" s="6"/>
      <c r="AD384" s="5">
        <v>44942.0</v>
      </c>
      <c r="AE384" s="6">
        <v>0.9166666666666666</v>
      </c>
      <c r="AF384" s="7">
        <v>0.0</v>
      </c>
    </row>
    <row r="385">
      <c r="G385" s="5"/>
      <c r="H385" s="6"/>
      <c r="AD385" s="5">
        <v>44942.0</v>
      </c>
      <c r="AE385" s="6">
        <v>0.9583333333333334</v>
      </c>
      <c r="AF385" s="7">
        <v>0.0</v>
      </c>
    </row>
    <row r="386">
      <c r="G386" s="5"/>
      <c r="H386" s="6"/>
      <c r="AD386" s="5">
        <v>44943.0</v>
      </c>
      <c r="AE386" s="6">
        <v>0.0</v>
      </c>
      <c r="AF386" s="7">
        <v>0.0</v>
      </c>
    </row>
    <row r="387">
      <c r="G387" s="5"/>
      <c r="H387" s="6"/>
      <c r="AD387" s="5">
        <v>44943.0</v>
      </c>
      <c r="AE387" s="6">
        <v>0.041666666666666664</v>
      </c>
      <c r="AF387" s="7">
        <v>0.0</v>
      </c>
    </row>
    <row r="388">
      <c r="G388" s="5"/>
      <c r="H388" s="6"/>
      <c r="AD388" s="5">
        <v>44943.0</v>
      </c>
      <c r="AE388" s="6">
        <v>0.08333333333333333</v>
      </c>
      <c r="AF388" s="7">
        <v>0.0</v>
      </c>
    </row>
    <row r="389">
      <c r="G389" s="5"/>
      <c r="H389" s="6"/>
      <c r="AD389" s="5">
        <v>44943.0</v>
      </c>
      <c r="AE389" s="6">
        <v>0.125</v>
      </c>
      <c r="AF389" s="7">
        <v>0.0</v>
      </c>
    </row>
    <row r="390">
      <c r="G390" s="5"/>
      <c r="H390" s="6"/>
      <c r="AD390" s="5">
        <v>44943.0</v>
      </c>
      <c r="AE390" s="6">
        <v>0.16666666666666666</v>
      </c>
      <c r="AF390" s="7">
        <v>0.0</v>
      </c>
    </row>
    <row r="391">
      <c r="G391" s="5"/>
      <c r="H391" s="6"/>
      <c r="AD391" s="5">
        <v>44943.0</v>
      </c>
      <c r="AE391" s="6">
        <v>0.20833333333333334</v>
      </c>
      <c r="AF391" s="7">
        <v>0.0</v>
      </c>
    </row>
    <row r="392">
      <c r="G392" s="5"/>
      <c r="H392" s="6"/>
      <c r="AD392" s="5">
        <v>44943.0</v>
      </c>
      <c r="AE392" s="6">
        <v>0.25</v>
      </c>
      <c r="AF392" s="7">
        <v>0.0</v>
      </c>
    </row>
    <row r="393">
      <c r="G393" s="5"/>
      <c r="H393" s="6"/>
      <c r="AD393" s="5">
        <v>44943.0</v>
      </c>
      <c r="AE393" s="6">
        <v>0.2916666666666667</v>
      </c>
      <c r="AF393" s="7">
        <v>0.0</v>
      </c>
    </row>
    <row r="394">
      <c r="G394" s="5"/>
      <c r="H394" s="6"/>
      <c r="AD394" s="5">
        <v>44943.0</v>
      </c>
      <c r="AE394" s="6">
        <v>0.3333333333333333</v>
      </c>
      <c r="AF394" s="7">
        <v>4938.96</v>
      </c>
    </row>
    <row r="395">
      <c r="G395" s="5"/>
      <c r="H395" s="6"/>
      <c r="AD395" s="5">
        <v>44943.0</v>
      </c>
      <c r="AE395" s="6">
        <v>0.375</v>
      </c>
      <c r="AF395" s="7">
        <v>14718.6</v>
      </c>
    </row>
    <row r="396">
      <c r="G396" s="5"/>
      <c r="H396" s="6"/>
      <c r="AD396" s="5">
        <v>44943.0</v>
      </c>
      <c r="AE396" s="6">
        <v>0.4166666666666667</v>
      </c>
      <c r="AF396" s="7">
        <v>12070.5</v>
      </c>
    </row>
    <row r="397">
      <c r="G397" s="5"/>
      <c r="H397" s="6"/>
      <c r="AD397" s="5">
        <v>44943.0</v>
      </c>
      <c r="AE397" s="6">
        <v>0.4583333333333333</v>
      </c>
      <c r="AF397" s="7">
        <v>9130.68</v>
      </c>
    </row>
    <row r="398">
      <c r="G398" s="5"/>
      <c r="H398" s="6"/>
      <c r="AD398" s="5">
        <v>44943.0</v>
      </c>
      <c r="AE398" s="6">
        <v>0.5</v>
      </c>
      <c r="AF398" s="7">
        <v>15320.76</v>
      </c>
    </row>
    <row r="399">
      <c r="G399" s="5"/>
      <c r="H399" s="6"/>
      <c r="AD399" s="5">
        <v>44943.0</v>
      </c>
      <c r="AE399" s="6">
        <v>0.5416666666666666</v>
      </c>
      <c r="AF399" s="7">
        <v>44139.42</v>
      </c>
    </row>
    <row r="400">
      <c r="G400" s="5"/>
      <c r="H400" s="6"/>
      <c r="AD400" s="5">
        <v>44943.0</v>
      </c>
      <c r="AE400" s="6">
        <v>0.5833333333333334</v>
      </c>
      <c r="AF400" s="7">
        <v>10780.38</v>
      </c>
    </row>
    <row r="401">
      <c r="G401" s="5"/>
      <c r="H401" s="6"/>
      <c r="AD401" s="5">
        <v>44943.0</v>
      </c>
      <c r="AE401" s="6">
        <v>0.625</v>
      </c>
      <c r="AF401" s="7">
        <v>3043.56</v>
      </c>
    </row>
    <row r="402">
      <c r="G402" s="5"/>
      <c r="H402" s="6"/>
      <c r="AD402" s="5">
        <v>44943.0</v>
      </c>
      <c r="AE402" s="6">
        <v>0.6666666666666666</v>
      </c>
      <c r="AF402" s="7">
        <v>9323.34</v>
      </c>
    </row>
    <row r="403">
      <c r="G403" s="5"/>
      <c r="H403" s="6"/>
      <c r="AD403" s="5">
        <v>44943.0</v>
      </c>
      <c r="AE403" s="6">
        <v>0.7083333333333334</v>
      </c>
      <c r="AF403" s="7">
        <v>0.0</v>
      </c>
    </row>
    <row r="404">
      <c r="G404" s="5"/>
      <c r="H404" s="6"/>
      <c r="AD404" s="5">
        <v>44943.0</v>
      </c>
      <c r="AE404" s="6">
        <v>0.75</v>
      </c>
      <c r="AF404" s="7">
        <v>0.0</v>
      </c>
    </row>
    <row r="405">
      <c r="G405" s="5"/>
      <c r="H405" s="6"/>
      <c r="AD405" s="5">
        <v>44943.0</v>
      </c>
      <c r="AE405" s="6">
        <v>0.7916666666666666</v>
      </c>
      <c r="AF405" s="7">
        <v>0.0</v>
      </c>
    </row>
    <row r="406">
      <c r="G406" s="5"/>
      <c r="H406" s="6"/>
      <c r="AD406" s="5">
        <v>44943.0</v>
      </c>
      <c r="AE406" s="6">
        <v>0.8333333333333334</v>
      </c>
      <c r="AF406" s="7">
        <v>0.0</v>
      </c>
    </row>
    <row r="407">
      <c r="G407" s="5"/>
      <c r="H407" s="6"/>
      <c r="AD407" s="5">
        <v>44943.0</v>
      </c>
      <c r="AE407" s="6">
        <v>0.875</v>
      </c>
      <c r="AF407" s="7">
        <v>0.0</v>
      </c>
    </row>
    <row r="408">
      <c r="G408" s="5"/>
      <c r="H408" s="6"/>
      <c r="AD408" s="5">
        <v>44943.0</v>
      </c>
      <c r="AE408" s="6">
        <v>0.9166666666666666</v>
      </c>
      <c r="AF408" s="7">
        <v>0.0</v>
      </c>
    </row>
    <row r="409">
      <c r="G409" s="5"/>
      <c r="H409" s="6"/>
      <c r="AD409" s="5">
        <v>44943.0</v>
      </c>
      <c r="AE409" s="6">
        <v>0.9583333333333334</v>
      </c>
      <c r="AF409" s="7">
        <v>0.0</v>
      </c>
    </row>
    <row r="410">
      <c r="G410" s="5"/>
      <c r="H410" s="6"/>
      <c r="AD410" s="5">
        <v>44944.0</v>
      </c>
      <c r="AE410" s="6">
        <v>0.0</v>
      </c>
      <c r="AF410" s="7">
        <v>0.0</v>
      </c>
    </row>
    <row r="411">
      <c r="G411" s="5"/>
      <c r="H411" s="6"/>
      <c r="AD411" s="5">
        <v>44944.0</v>
      </c>
      <c r="AE411" s="6">
        <v>0.041666666666666664</v>
      </c>
      <c r="AF411" s="7">
        <v>0.0</v>
      </c>
    </row>
    <row r="412">
      <c r="G412" s="5"/>
      <c r="H412" s="6"/>
      <c r="AD412" s="5">
        <v>44944.0</v>
      </c>
      <c r="AE412" s="6">
        <v>0.08333333333333333</v>
      </c>
      <c r="AF412" s="7">
        <v>0.0</v>
      </c>
    </row>
    <row r="413">
      <c r="G413" s="5"/>
      <c r="H413" s="6"/>
      <c r="AD413" s="5">
        <v>44944.0</v>
      </c>
      <c r="AE413" s="6">
        <v>0.125</v>
      </c>
      <c r="AF413" s="7">
        <v>0.0</v>
      </c>
    </row>
    <row r="414">
      <c r="G414" s="5"/>
      <c r="H414" s="6"/>
      <c r="AD414" s="5">
        <v>44944.0</v>
      </c>
      <c r="AE414" s="6">
        <v>0.16666666666666666</v>
      </c>
      <c r="AF414" s="7">
        <v>0.0</v>
      </c>
    </row>
    <row r="415">
      <c r="G415" s="5"/>
      <c r="H415" s="6"/>
      <c r="AD415" s="5">
        <v>44944.0</v>
      </c>
      <c r="AE415" s="6">
        <v>0.20833333333333334</v>
      </c>
      <c r="AF415" s="7">
        <v>0.0</v>
      </c>
    </row>
    <row r="416">
      <c r="G416" s="5"/>
      <c r="H416" s="6"/>
      <c r="AD416" s="5">
        <v>44944.0</v>
      </c>
      <c r="AE416" s="6">
        <v>0.25</v>
      </c>
      <c r="AF416" s="7">
        <v>0.0</v>
      </c>
    </row>
    <row r="417">
      <c r="G417" s="5"/>
      <c r="H417" s="6"/>
      <c r="AD417" s="5">
        <v>44944.0</v>
      </c>
      <c r="AE417" s="6">
        <v>0.2916666666666667</v>
      </c>
      <c r="AF417" s="7">
        <v>0.0</v>
      </c>
    </row>
    <row r="418">
      <c r="G418" s="5"/>
      <c r="H418" s="6"/>
      <c r="AD418" s="5">
        <v>44944.0</v>
      </c>
      <c r="AE418" s="6">
        <v>0.3333333333333333</v>
      </c>
      <c r="AF418" s="7">
        <v>829.92</v>
      </c>
    </row>
    <row r="419">
      <c r="G419" s="5"/>
      <c r="H419" s="6"/>
      <c r="AD419" s="5">
        <v>44944.0</v>
      </c>
      <c r="AE419" s="6">
        <v>0.375</v>
      </c>
      <c r="AF419" s="7">
        <v>5902.26</v>
      </c>
    </row>
    <row r="420">
      <c r="G420" s="5"/>
      <c r="H420" s="6"/>
      <c r="AD420" s="5">
        <v>44944.0</v>
      </c>
      <c r="AE420" s="6">
        <v>0.4166666666666667</v>
      </c>
      <c r="AF420" s="7">
        <v>24999.0</v>
      </c>
    </row>
    <row r="421">
      <c r="G421" s="5"/>
      <c r="H421" s="6"/>
      <c r="AD421" s="5">
        <v>44944.0</v>
      </c>
      <c r="AE421" s="6">
        <v>0.4583333333333333</v>
      </c>
      <c r="AF421" s="7">
        <v>47120.58</v>
      </c>
    </row>
    <row r="422">
      <c r="G422" s="5"/>
      <c r="H422" s="6"/>
      <c r="AD422" s="5">
        <v>44944.0</v>
      </c>
      <c r="AE422" s="6">
        <v>0.5</v>
      </c>
      <c r="AF422" s="7">
        <v>46515.3</v>
      </c>
    </row>
    <row r="423">
      <c r="G423" s="5"/>
      <c r="H423" s="6"/>
      <c r="AD423" s="5">
        <v>44944.0</v>
      </c>
      <c r="AE423" s="6">
        <v>0.5416666666666666</v>
      </c>
      <c r="AF423" s="7">
        <v>34942.44</v>
      </c>
    </row>
    <row r="424">
      <c r="G424" s="5"/>
      <c r="H424" s="6"/>
      <c r="AD424" s="5">
        <v>44944.0</v>
      </c>
      <c r="AE424" s="6">
        <v>0.5833333333333334</v>
      </c>
      <c r="AF424" s="7">
        <v>30539.34</v>
      </c>
    </row>
    <row r="425">
      <c r="G425" s="5"/>
      <c r="H425" s="6"/>
      <c r="AD425" s="5">
        <v>44944.0</v>
      </c>
      <c r="AE425" s="6">
        <v>0.625</v>
      </c>
      <c r="AF425" s="7">
        <v>27622.92</v>
      </c>
    </row>
    <row r="426">
      <c r="G426" s="5"/>
      <c r="H426" s="6"/>
      <c r="AD426" s="5">
        <v>44944.0</v>
      </c>
      <c r="AE426" s="6">
        <v>0.6666666666666666</v>
      </c>
      <c r="AF426" s="7">
        <v>5630.04</v>
      </c>
    </row>
    <row r="427">
      <c r="G427" s="5"/>
      <c r="H427" s="6"/>
      <c r="AD427" s="5">
        <v>44944.0</v>
      </c>
      <c r="AE427" s="6">
        <v>0.7083333333333334</v>
      </c>
      <c r="AF427" s="7">
        <v>0.0</v>
      </c>
    </row>
    <row r="428">
      <c r="G428" s="5"/>
      <c r="H428" s="6"/>
      <c r="AD428" s="5">
        <v>44944.0</v>
      </c>
      <c r="AE428" s="6">
        <v>0.75</v>
      </c>
      <c r="AF428" s="7">
        <v>0.0</v>
      </c>
    </row>
    <row r="429">
      <c r="G429" s="5"/>
      <c r="H429" s="6"/>
      <c r="AD429" s="5">
        <v>44944.0</v>
      </c>
      <c r="AE429" s="6">
        <v>0.7916666666666666</v>
      </c>
      <c r="AF429" s="7">
        <v>0.0</v>
      </c>
    </row>
    <row r="430">
      <c r="G430" s="5"/>
      <c r="H430" s="6"/>
      <c r="AD430" s="5">
        <v>44944.0</v>
      </c>
      <c r="AE430" s="6">
        <v>0.8333333333333334</v>
      </c>
      <c r="AF430" s="7">
        <v>0.0</v>
      </c>
    </row>
    <row r="431">
      <c r="G431" s="5"/>
      <c r="H431" s="6"/>
      <c r="AD431" s="5">
        <v>44944.0</v>
      </c>
      <c r="AE431" s="6">
        <v>0.875</v>
      </c>
      <c r="AF431" s="7">
        <v>0.0</v>
      </c>
    </row>
    <row r="432">
      <c r="G432" s="5"/>
      <c r="H432" s="6"/>
      <c r="AD432" s="5">
        <v>44944.0</v>
      </c>
      <c r="AE432" s="6">
        <v>0.9166666666666666</v>
      </c>
      <c r="AF432" s="7">
        <v>0.0</v>
      </c>
    </row>
    <row r="433">
      <c r="G433" s="5"/>
      <c r="H433" s="6"/>
      <c r="AD433" s="5">
        <v>44944.0</v>
      </c>
      <c r="AE433" s="6">
        <v>0.9583333333333334</v>
      </c>
      <c r="AF433" s="7">
        <v>0.0</v>
      </c>
    </row>
    <row r="434">
      <c r="G434" s="5"/>
      <c r="H434" s="6"/>
      <c r="AD434" s="5">
        <v>44945.0</v>
      </c>
      <c r="AE434" s="6">
        <v>0.0</v>
      </c>
      <c r="AF434" s="7">
        <v>0.0</v>
      </c>
    </row>
    <row r="435">
      <c r="G435" s="5"/>
      <c r="H435" s="6"/>
      <c r="AD435" s="5">
        <v>44945.0</v>
      </c>
      <c r="AE435" s="6">
        <v>0.041666666666666664</v>
      </c>
      <c r="AF435" s="7">
        <v>0.0</v>
      </c>
    </row>
    <row r="436">
      <c r="G436" s="5"/>
      <c r="H436" s="6"/>
      <c r="AD436" s="5">
        <v>44945.0</v>
      </c>
      <c r="AE436" s="6">
        <v>0.08333333333333333</v>
      </c>
      <c r="AF436" s="7">
        <v>0.0</v>
      </c>
    </row>
    <row r="437">
      <c r="G437" s="5"/>
      <c r="H437" s="6"/>
      <c r="AD437" s="5">
        <v>44945.0</v>
      </c>
      <c r="AE437" s="6">
        <v>0.125</v>
      </c>
      <c r="AF437" s="7">
        <v>0.0</v>
      </c>
    </row>
    <row r="438">
      <c r="G438" s="5"/>
      <c r="H438" s="6"/>
      <c r="AD438" s="5">
        <v>44945.0</v>
      </c>
      <c r="AE438" s="6">
        <v>0.16666666666666666</v>
      </c>
      <c r="AF438" s="7">
        <v>0.0</v>
      </c>
    </row>
    <row r="439">
      <c r="G439" s="5"/>
      <c r="H439" s="6"/>
      <c r="AD439" s="5">
        <v>44945.0</v>
      </c>
      <c r="AE439" s="6">
        <v>0.20833333333333334</v>
      </c>
      <c r="AF439" s="7">
        <v>0.0</v>
      </c>
    </row>
    <row r="440">
      <c r="G440" s="5"/>
      <c r="H440" s="6"/>
      <c r="AD440" s="5">
        <v>44945.0</v>
      </c>
      <c r="AE440" s="6">
        <v>0.25</v>
      </c>
      <c r="AF440" s="7">
        <v>0.0</v>
      </c>
    </row>
    <row r="441">
      <c r="G441" s="5"/>
      <c r="H441" s="6"/>
      <c r="AD441" s="5">
        <v>44945.0</v>
      </c>
      <c r="AE441" s="6">
        <v>0.2916666666666667</v>
      </c>
      <c r="AF441" s="7">
        <v>0.0</v>
      </c>
    </row>
    <row r="442">
      <c r="G442" s="5"/>
      <c r="H442" s="6"/>
      <c r="AD442" s="5">
        <v>44945.0</v>
      </c>
      <c r="AE442" s="6">
        <v>0.3333333333333333</v>
      </c>
      <c r="AF442" s="7">
        <v>7497.36</v>
      </c>
    </row>
    <row r="443">
      <c r="G443" s="5"/>
      <c r="H443" s="6"/>
      <c r="AD443" s="5">
        <v>44945.0</v>
      </c>
      <c r="AE443" s="6">
        <v>0.375</v>
      </c>
      <c r="AF443" s="7">
        <v>23265.84</v>
      </c>
    </row>
    <row r="444">
      <c r="G444" s="5"/>
      <c r="H444" s="6"/>
      <c r="AD444" s="5">
        <v>44945.0</v>
      </c>
      <c r="AE444" s="6">
        <v>0.4166666666666667</v>
      </c>
      <c r="AF444" s="7">
        <v>37363.56</v>
      </c>
    </row>
    <row r="445">
      <c r="G445" s="5"/>
      <c r="H445" s="6"/>
      <c r="AD445" s="5">
        <v>44945.0</v>
      </c>
      <c r="AE445" s="6">
        <v>0.4583333333333333</v>
      </c>
      <c r="AF445" s="7">
        <v>44062.98</v>
      </c>
    </row>
    <row r="446">
      <c r="G446" s="5"/>
      <c r="H446" s="6"/>
      <c r="AD446" s="5">
        <v>44945.0</v>
      </c>
      <c r="AE446" s="6">
        <v>0.5</v>
      </c>
      <c r="AF446" s="7">
        <v>45811.74</v>
      </c>
    </row>
    <row r="447">
      <c r="G447" s="5"/>
      <c r="H447" s="6"/>
      <c r="AD447" s="5">
        <v>44945.0</v>
      </c>
      <c r="AE447" s="6">
        <v>0.5416666666666666</v>
      </c>
      <c r="AF447" s="7">
        <v>31213.26</v>
      </c>
    </row>
    <row r="448">
      <c r="G448" s="5"/>
      <c r="H448" s="6"/>
      <c r="AD448" s="5">
        <v>44945.0</v>
      </c>
      <c r="AE448" s="6">
        <v>0.5833333333333334</v>
      </c>
      <c r="AF448" s="7">
        <v>19273.02</v>
      </c>
    </row>
    <row r="449">
      <c r="G449" s="5"/>
      <c r="H449" s="6"/>
      <c r="AD449" s="5">
        <v>44945.0</v>
      </c>
      <c r="AE449" s="6">
        <v>0.625</v>
      </c>
      <c r="AF449" s="7">
        <v>9527.7</v>
      </c>
    </row>
    <row r="450">
      <c r="G450" s="5"/>
      <c r="H450" s="6"/>
      <c r="AD450" s="5">
        <v>44945.0</v>
      </c>
      <c r="AE450" s="6">
        <v>0.6666666666666666</v>
      </c>
      <c r="AF450" s="7">
        <v>4256.46</v>
      </c>
    </row>
    <row r="451">
      <c r="G451" s="5"/>
      <c r="H451" s="6"/>
      <c r="AD451" s="5">
        <v>44945.0</v>
      </c>
      <c r="AE451" s="6">
        <v>0.7083333333333334</v>
      </c>
      <c r="AF451" s="7">
        <v>0.0</v>
      </c>
    </row>
    <row r="452">
      <c r="G452" s="5"/>
      <c r="H452" s="6"/>
      <c r="AD452" s="5">
        <v>44945.0</v>
      </c>
      <c r="AE452" s="6">
        <v>0.75</v>
      </c>
      <c r="AF452" s="7">
        <v>0.0</v>
      </c>
    </row>
    <row r="453">
      <c r="G453" s="5"/>
      <c r="H453" s="6"/>
      <c r="AD453" s="5">
        <v>44945.0</v>
      </c>
      <c r="AE453" s="6">
        <v>0.7916666666666666</v>
      </c>
      <c r="AF453" s="7">
        <v>0.0</v>
      </c>
    </row>
    <row r="454">
      <c r="G454" s="5"/>
      <c r="H454" s="6"/>
      <c r="AD454" s="5">
        <v>44945.0</v>
      </c>
      <c r="AE454" s="6">
        <v>0.8333333333333334</v>
      </c>
      <c r="AF454" s="7">
        <v>0.0</v>
      </c>
    </row>
    <row r="455">
      <c r="G455" s="5"/>
      <c r="H455" s="6"/>
      <c r="AD455" s="5">
        <v>44945.0</v>
      </c>
      <c r="AE455" s="6">
        <v>0.875</v>
      </c>
      <c r="AF455" s="7">
        <v>0.0</v>
      </c>
    </row>
    <row r="456">
      <c r="G456" s="5"/>
      <c r="H456" s="6"/>
      <c r="AD456" s="5">
        <v>44945.0</v>
      </c>
      <c r="AE456" s="6">
        <v>0.9166666666666666</v>
      </c>
      <c r="AF456" s="7">
        <v>0.0</v>
      </c>
    </row>
    <row r="457">
      <c r="G457" s="5"/>
      <c r="H457" s="6"/>
      <c r="AD457" s="5">
        <v>44945.0</v>
      </c>
      <c r="AE457" s="6">
        <v>0.9583333333333334</v>
      </c>
      <c r="AF457" s="7">
        <v>0.0</v>
      </c>
    </row>
    <row r="458">
      <c r="G458" s="5"/>
      <c r="H458" s="6"/>
      <c r="AD458" s="5">
        <v>44946.0</v>
      </c>
      <c r="AE458" s="6">
        <v>0.0</v>
      </c>
      <c r="AF458" s="7">
        <v>0.0</v>
      </c>
    </row>
    <row r="459">
      <c r="G459" s="5"/>
      <c r="H459" s="6"/>
      <c r="AD459" s="5">
        <v>44946.0</v>
      </c>
      <c r="AE459" s="6">
        <v>0.041666666666666664</v>
      </c>
      <c r="AF459" s="7">
        <v>0.0</v>
      </c>
    </row>
    <row r="460">
      <c r="G460" s="5"/>
      <c r="H460" s="6"/>
      <c r="AD460" s="5">
        <v>44946.0</v>
      </c>
      <c r="AE460" s="6">
        <v>0.08333333333333333</v>
      </c>
      <c r="AF460" s="7">
        <v>0.0</v>
      </c>
    </row>
    <row r="461">
      <c r="G461" s="5"/>
      <c r="H461" s="6"/>
      <c r="AD461" s="5">
        <v>44946.0</v>
      </c>
      <c r="AE461" s="6">
        <v>0.125</v>
      </c>
      <c r="AF461" s="7">
        <v>0.0</v>
      </c>
    </row>
    <row r="462">
      <c r="G462" s="5"/>
      <c r="H462" s="6"/>
      <c r="AD462" s="5">
        <v>44946.0</v>
      </c>
      <c r="AE462" s="6">
        <v>0.16666666666666666</v>
      </c>
      <c r="AF462" s="7">
        <v>0.0</v>
      </c>
    </row>
    <row r="463">
      <c r="G463" s="5"/>
      <c r="H463" s="6"/>
      <c r="AD463" s="5">
        <v>44946.0</v>
      </c>
      <c r="AE463" s="6">
        <v>0.20833333333333334</v>
      </c>
      <c r="AF463" s="7">
        <v>0.0</v>
      </c>
    </row>
    <row r="464">
      <c r="G464" s="5"/>
      <c r="H464" s="6"/>
      <c r="AD464" s="5">
        <v>44946.0</v>
      </c>
      <c r="AE464" s="6">
        <v>0.25</v>
      </c>
      <c r="AF464" s="7">
        <v>0.0</v>
      </c>
    </row>
    <row r="465">
      <c r="G465" s="5"/>
      <c r="H465" s="6"/>
      <c r="AD465" s="5">
        <v>44946.0</v>
      </c>
      <c r="AE465" s="6">
        <v>0.2916666666666667</v>
      </c>
      <c r="AF465" s="7">
        <v>0.0</v>
      </c>
    </row>
    <row r="466">
      <c r="G466" s="5"/>
      <c r="H466" s="6"/>
      <c r="AD466" s="5">
        <v>44946.0</v>
      </c>
      <c r="AE466" s="6">
        <v>0.3333333333333333</v>
      </c>
      <c r="AF466" s="7">
        <v>8698.56</v>
      </c>
    </row>
    <row r="467">
      <c r="G467" s="5"/>
      <c r="H467" s="6"/>
      <c r="AD467" s="5">
        <v>44946.0</v>
      </c>
      <c r="AE467" s="6">
        <v>0.375</v>
      </c>
      <c r="AF467" s="7">
        <v>24721.32</v>
      </c>
    </row>
    <row r="468">
      <c r="G468" s="5"/>
      <c r="H468" s="6"/>
      <c r="AD468" s="5">
        <v>44946.0</v>
      </c>
      <c r="AE468" s="6">
        <v>0.4166666666666667</v>
      </c>
      <c r="AF468" s="7">
        <v>37928.28</v>
      </c>
    </row>
    <row r="469">
      <c r="G469" s="5"/>
      <c r="H469" s="6"/>
      <c r="AD469" s="5">
        <v>44946.0</v>
      </c>
      <c r="AE469" s="6">
        <v>0.4583333333333333</v>
      </c>
      <c r="AF469" s="7">
        <v>45503.64</v>
      </c>
    </row>
    <row r="470">
      <c r="G470" s="5"/>
      <c r="H470" s="6"/>
      <c r="AD470" s="5">
        <v>44946.0</v>
      </c>
      <c r="AE470" s="6">
        <v>0.5</v>
      </c>
      <c r="AF470" s="7">
        <v>46012.98</v>
      </c>
    </row>
    <row r="471">
      <c r="G471" s="5"/>
      <c r="H471" s="6"/>
      <c r="AD471" s="5">
        <v>44946.0</v>
      </c>
      <c r="AE471" s="6">
        <v>0.5416666666666666</v>
      </c>
      <c r="AF471" s="7">
        <v>44814.9</v>
      </c>
    </row>
    <row r="472">
      <c r="G472" s="5"/>
      <c r="H472" s="6"/>
      <c r="AD472" s="5">
        <v>44946.0</v>
      </c>
      <c r="AE472" s="6">
        <v>0.5833333333333334</v>
      </c>
      <c r="AF472" s="7">
        <v>40389.18</v>
      </c>
    </row>
    <row r="473">
      <c r="G473" s="5"/>
      <c r="H473" s="6"/>
      <c r="AD473" s="5">
        <v>44946.0</v>
      </c>
      <c r="AE473" s="6">
        <v>0.625</v>
      </c>
      <c r="AF473" s="7">
        <v>28122.12</v>
      </c>
    </row>
    <row r="474">
      <c r="G474" s="5"/>
      <c r="H474" s="6"/>
      <c r="AD474" s="5">
        <v>44946.0</v>
      </c>
      <c r="AE474" s="6">
        <v>0.6666666666666666</v>
      </c>
      <c r="AF474" s="7">
        <v>10705.5</v>
      </c>
    </row>
    <row r="475">
      <c r="G475" s="5"/>
      <c r="H475" s="6"/>
      <c r="AD475" s="5">
        <v>44946.0</v>
      </c>
      <c r="AE475" s="6">
        <v>0.7083333333333334</v>
      </c>
      <c r="AF475" s="7">
        <v>0.0</v>
      </c>
    </row>
    <row r="476">
      <c r="G476" s="5"/>
      <c r="H476" s="6"/>
      <c r="AD476" s="5">
        <v>44946.0</v>
      </c>
      <c r="AE476" s="6">
        <v>0.75</v>
      </c>
      <c r="AF476" s="7">
        <v>0.0</v>
      </c>
    </row>
    <row r="477">
      <c r="G477" s="5"/>
      <c r="H477" s="6"/>
      <c r="AD477" s="5">
        <v>44946.0</v>
      </c>
      <c r="AE477" s="6">
        <v>0.7916666666666666</v>
      </c>
      <c r="AF477" s="7">
        <v>0.0</v>
      </c>
    </row>
    <row r="478">
      <c r="G478" s="5"/>
      <c r="H478" s="6"/>
      <c r="AD478" s="5">
        <v>44946.0</v>
      </c>
      <c r="AE478" s="6">
        <v>0.8333333333333334</v>
      </c>
      <c r="AF478" s="7">
        <v>0.0</v>
      </c>
    </row>
    <row r="479">
      <c r="G479" s="5"/>
      <c r="H479" s="6"/>
      <c r="AD479" s="5">
        <v>44946.0</v>
      </c>
      <c r="AE479" s="6">
        <v>0.875</v>
      </c>
      <c r="AF479" s="7">
        <v>0.0</v>
      </c>
    </row>
    <row r="480">
      <c r="G480" s="5"/>
      <c r="H480" s="6"/>
      <c r="AD480" s="5">
        <v>44946.0</v>
      </c>
      <c r="AE480" s="6">
        <v>0.9166666666666666</v>
      </c>
      <c r="AF480" s="7">
        <v>0.0</v>
      </c>
    </row>
    <row r="481">
      <c r="G481" s="5"/>
      <c r="H481" s="6"/>
      <c r="AD481" s="5">
        <v>44946.0</v>
      </c>
      <c r="AE481" s="6">
        <v>0.9583333333333334</v>
      </c>
      <c r="AF481" s="7">
        <v>0.0</v>
      </c>
    </row>
    <row r="482">
      <c r="G482" s="5"/>
      <c r="H482" s="6"/>
      <c r="AD482" s="5">
        <v>44947.0</v>
      </c>
      <c r="AE482" s="6">
        <v>0.0</v>
      </c>
      <c r="AF482" s="7">
        <v>0.0</v>
      </c>
    </row>
    <row r="483">
      <c r="G483" s="5"/>
      <c r="H483" s="6"/>
      <c r="AD483" s="5">
        <v>44947.0</v>
      </c>
      <c r="AE483" s="6">
        <v>0.041666666666666664</v>
      </c>
      <c r="AF483" s="7">
        <v>0.0</v>
      </c>
    </row>
    <row r="484">
      <c r="G484" s="5"/>
      <c r="H484" s="6"/>
      <c r="AD484" s="5">
        <v>44947.0</v>
      </c>
      <c r="AE484" s="6">
        <v>0.08333333333333333</v>
      </c>
      <c r="AF484" s="7">
        <v>0.0</v>
      </c>
    </row>
    <row r="485">
      <c r="G485" s="5"/>
      <c r="H485" s="6"/>
      <c r="AD485" s="5">
        <v>44947.0</v>
      </c>
      <c r="AE485" s="6">
        <v>0.125</v>
      </c>
      <c r="AF485" s="7">
        <v>0.0</v>
      </c>
    </row>
    <row r="486">
      <c r="G486" s="5"/>
      <c r="H486" s="6"/>
      <c r="AD486" s="5">
        <v>44947.0</v>
      </c>
      <c r="AE486" s="6">
        <v>0.16666666666666666</v>
      </c>
      <c r="AF486" s="7">
        <v>0.0</v>
      </c>
    </row>
    <row r="487">
      <c r="G487" s="5"/>
      <c r="H487" s="6"/>
      <c r="AD487" s="5">
        <v>44947.0</v>
      </c>
      <c r="AE487" s="6">
        <v>0.20833333333333334</v>
      </c>
      <c r="AF487" s="7">
        <v>0.0</v>
      </c>
    </row>
    <row r="488">
      <c r="G488" s="5"/>
      <c r="H488" s="6"/>
      <c r="AD488" s="5">
        <v>44947.0</v>
      </c>
      <c r="AE488" s="6">
        <v>0.25</v>
      </c>
      <c r="AF488" s="7">
        <v>0.0</v>
      </c>
    </row>
    <row r="489">
      <c r="G489" s="5"/>
      <c r="H489" s="6"/>
      <c r="AD489" s="5">
        <v>44947.0</v>
      </c>
      <c r="AE489" s="6">
        <v>0.2916666666666667</v>
      </c>
      <c r="AF489" s="7">
        <v>0.0</v>
      </c>
    </row>
    <row r="490">
      <c r="G490" s="5"/>
      <c r="H490" s="6"/>
      <c r="AD490" s="5">
        <v>44947.0</v>
      </c>
      <c r="AE490" s="6">
        <v>0.3333333333333333</v>
      </c>
      <c r="AF490" s="7">
        <v>9648.6</v>
      </c>
    </row>
    <row r="491">
      <c r="G491" s="5"/>
      <c r="H491" s="6"/>
      <c r="AD491" s="5">
        <v>44947.0</v>
      </c>
      <c r="AE491" s="6">
        <v>0.375</v>
      </c>
      <c r="AF491" s="7">
        <v>25848.42</v>
      </c>
    </row>
    <row r="492">
      <c r="G492" s="5"/>
      <c r="H492" s="6"/>
      <c r="AD492" s="5">
        <v>44947.0</v>
      </c>
      <c r="AE492" s="6">
        <v>0.4166666666666667</v>
      </c>
      <c r="AF492" s="7">
        <v>38293.32</v>
      </c>
    </row>
    <row r="493">
      <c r="G493" s="5"/>
      <c r="H493" s="6"/>
      <c r="AD493" s="5">
        <v>44947.0</v>
      </c>
      <c r="AE493" s="6">
        <v>0.4583333333333333</v>
      </c>
      <c r="AF493" s="7">
        <v>45614.4</v>
      </c>
    </row>
    <row r="494">
      <c r="G494" s="5"/>
      <c r="H494" s="6"/>
      <c r="AD494" s="5">
        <v>44947.0</v>
      </c>
      <c r="AE494" s="6">
        <v>0.5</v>
      </c>
      <c r="AF494" s="7">
        <v>47121.36</v>
      </c>
    </row>
    <row r="495">
      <c r="G495" s="5"/>
      <c r="H495" s="6"/>
      <c r="AD495" s="5">
        <v>44947.0</v>
      </c>
      <c r="AE495" s="6">
        <v>0.5416666666666666</v>
      </c>
      <c r="AF495" s="7">
        <v>46332.78</v>
      </c>
    </row>
    <row r="496">
      <c r="G496" s="5"/>
      <c r="H496" s="6"/>
      <c r="AD496" s="5">
        <v>44947.0</v>
      </c>
      <c r="AE496" s="6">
        <v>0.5833333333333334</v>
      </c>
      <c r="AF496" s="7">
        <v>38748.84</v>
      </c>
    </row>
    <row r="497">
      <c r="G497" s="5"/>
      <c r="H497" s="6"/>
      <c r="AD497" s="5">
        <v>44947.0</v>
      </c>
      <c r="AE497" s="6">
        <v>0.625</v>
      </c>
      <c r="AF497" s="7">
        <v>27171.3</v>
      </c>
    </row>
    <row r="498">
      <c r="G498" s="5"/>
      <c r="H498" s="6"/>
      <c r="AD498" s="5">
        <v>44947.0</v>
      </c>
      <c r="AE498" s="6">
        <v>0.6666666666666666</v>
      </c>
      <c r="AF498" s="7">
        <v>8623.68</v>
      </c>
    </row>
    <row r="499">
      <c r="G499" s="5"/>
      <c r="H499" s="6"/>
      <c r="AD499" s="5">
        <v>44947.0</v>
      </c>
      <c r="AE499" s="6">
        <v>0.7083333333333334</v>
      </c>
      <c r="AF499" s="7">
        <v>0.0</v>
      </c>
    </row>
    <row r="500">
      <c r="G500" s="5"/>
      <c r="H500" s="6"/>
      <c r="AD500" s="5">
        <v>44947.0</v>
      </c>
      <c r="AE500" s="6">
        <v>0.75</v>
      </c>
      <c r="AF500" s="7">
        <v>0.0</v>
      </c>
    </row>
    <row r="501">
      <c r="G501" s="5"/>
      <c r="H501" s="6"/>
      <c r="AD501" s="5">
        <v>44947.0</v>
      </c>
      <c r="AE501" s="6">
        <v>0.7916666666666666</v>
      </c>
      <c r="AF501" s="7">
        <v>0.0</v>
      </c>
    </row>
    <row r="502">
      <c r="G502" s="5"/>
      <c r="H502" s="6"/>
      <c r="AD502" s="5">
        <v>44947.0</v>
      </c>
      <c r="AE502" s="6">
        <v>0.8333333333333334</v>
      </c>
      <c r="AF502" s="7">
        <v>0.0</v>
      </c>
    </row>
    <row r="503">
      <c r="G503" s="5"/>
      <c r="H503" s="6"/>
      <c r="AD503" s="5">
        <v>44947.0</v>
      </c>
      <c r="AE503" s="6">
        <v>0.875</v>
      </c>
      <c r="AF503" s="7">
        <v>0.0</v>
      </c>
    </row>
    <row r="504">
      <c r="G504" s="5"/>
      <c r="H504" s="6"/>
      <c r="AD504" s="5">
        <v>44947.0</v>
      </c>
      <c r="AE504" s="6">
        <v>0.9166666666666666</v>
      </c>
      <c r="AF504" s="7">
        <v>0.0</v>
      </c>
    </row>
    <row r="505">
      <c r="G505" s="5"/>
      <c r="H505" s="6"/>
      <c r="AD505" s="5">
        <v>44947.0</v>
      </c>
      <c r="AE505" s="6">
        <v>0.9583333333333334</v>
      </c>
      <c r="AF505" s="7">
        <v>0.0</v>
      </c>
    </row>
    <row r="506">
      <c r="G506" s="5"/>
      <c r="H506" s="6"/>
      <c r="AD506" s="5">
        <v>44948.0</v>
      </c>
      <c r="AE506" s="6">
        <v>0.0</v>
      </c>
      <c r="AF506" s="7">
        <v>0.0</v>
      </c>
    </row>
    <row r="507">
      <c r="G507" s="5"/>
      <c r="H507" s="6"/>
      <c r="AD507" s="5">
        <v>44948.0</v>
      </c>
      <c r="AE507" s="6">
        <v>0.041666666666666664</v>
      </c>
      <c r="AF507" s="7">
        <v>0.0</v>
      </c>
    </row>
    <row r="508">
      <c r="G508" s="5"/>
      <c r="H508" s="6"/>
      <c r="AD508" s="5">
        <v>44948.0</v>
      </c>
      <c r="AE508" s="6">
        <v>0.08333333333333333</v>
      </c>
      <c r="AF508" s="7">
        <v>0.0</v>
      </c>
    </row>
    <row r="509">
      <c r="G509" s="5"/>
      <c r="H509" s="6"/>
      <c r="AD509" s="5">
        <v>44948.0</v>
      </c>
      <c r="AE509" s="6">
        <v>0.125</v>
      </c>
      <c r="AF509" s="7">
        <v>0.0</v>
      </c>
    </row>
    <row r="510">
      <c r="G510" s="5"/>
      <c r="H510" s="6"/>
      <c r="AD510" s="5">
        <v>44948.0</v>
      </c>
      <c r="AE510" s="6">
        <v>0.16666666666666666</v>
      </c>
      <c r="AF510" s="7">
        <v>0.0</v>
      </c>
    </row>
    <row r="511">
      <c r="G511" s="5"/>
      <c r="H511" s="6"/>
      <c r="AD511" s="5">
        <v>44948.0</v>
      </c>
      <c r="AE511" s="6">
        <v>0.20833333333333334</v>
      </c>
      <c r="AF511" s="7">
        <v>0.0</v>
      </c>
    </row>
    <row r="512">
      <c r="G512" s="5"/>
      <c r="H512" s="6"/>
      <c r="AD512" s="5">
        <v>44948.0</v>
      </c>
      <c r="AE512" s="6">
        <v>0.25</v>
      </c>
      <c r="AF512" s="7">
        <v>0.0</v>
      </c>
    </row>
    <row r="513">
      <c r="G513" s="5"/>
      <c r="H513" s="6"/>
      <c r="AD513" s="5">
        <v>44948.0</v>
      </c>
      <c r="AE513" s="6">
        <v>0.2916666666666667</v>
      </c>
      <c r="AF513" s="7">
        <v>0.0</v>
      </c>
    </row>
    <row r="514">
      <c r="G514" s="5"/>
      <c r="H514" s="6"/>
      <c r="AD514" s="5">
        <v>44948.0</v>
      </c>
      <c r="AE514" s="6">
        <v>0.3333333333333333</v>
      </c>
      <c r="AF514" s="7">
        <v>10028.46</v>
      </c>
    </row>
    <row r="515">
      <c r="G515" s="5"/>
      <c r="H515" s="6"/>
      <c r="AD515" s="5">
        <v>44948.0</v>
      </c>
      <c r="AE515" s="6">
        <v>0.375</v>
      </c>
      <c r="AF515" s="7">
        <v>25736.1</v>
      </c>
    </row>
    <row r="516">
      <c r="G516" s="5"/>
      <c r="H516" s="6"/>
      <c r="AD516" s="5">
        <v>44948.0</v>
      </c>
      <c r="AE516" s="6">
        <v>0.4166666666666667</v>
      </c>
      <c r="AF516" s="7">
        <v>38593.62</v>
      </c>
    </row>
    <row r="517">
      <c r="G517" s="5"/>
      <c r="H517" s="6"/>
      <c r="AD517" s="5">
        <v>44948.0</v>
      </c>
      <c r="AE517" s="6">
        <v>0.4583333333333333</v>
      </c>
      <c r="AF517" s="7">
        <v>46619.82</v>
      </c>
    </row>
    <row r="518">
      <c r="G518" s="5"/>
      <c r="H518" s="6"/>
      <c r="AD518" s="5">
        <v>44948.0</v>
      </c>
      <c r="AE518" s="6">
        <v>0.5</v>
      </c>
      <c r="AF518" s="7">
        <v>47282.04</v>
      </c>
    </row>
    <row r="519">
      <c r="G519" s="5"/>
      <c r="H519" s="6"/>
      <c r="AD519" s="5">
        <v>44948.0</v>
      </c>
      <c r="AE519" s="6">
        <v>0.5416666666666666</v>
      </c>
      <c r="AF519" s="7">
        <v>46544.16</v>
      </c>
    </row>
    <row r="520">
      <c r="G520" s="5"/>
      <c r="H520" s="6"/>
      <c r="AD520" s="5">
        <v>44948.0</v>
      </c>
      <c r="AE520" s="6">
        <v>0.5833333333333334</v>
      </c>
      <c r="AF520" s="7">
        <v>39269.88</v>
      </c>
    </row>
    <row r="521">
      <c r="G521" s="5"/>
      <c r="H521" s="6"/>
      <c r="AD521" s="5">
        <v>44948.0</v>
      </c>
      <c r="AE521" s="6">
        <v>0.625</v>
      </c>
      <c r="AF521" s="7">
        <v>27567.54</v>
      </c>
    </row>
    <row r="522">
      <c r="G522" s="5"/>
      <c r="H522" s="6"/>
      <c r="AD522" s="5">
        <v>44948.0</v>
      </c>
      <c r="AE522" s="6">
        <v>0.6666666666666666</v>
      </c>
      <c r="AF522" s="7">
        <v>9134.58</v>
      </c>
    </row>
    <row r="523">
      <c r="G523" s="5"/>
      <c r="H523" s="6"/>
      <c r="AD523" s="5">
        <v>44948.0</v>
      </c>
      <c r="AE523" s="6">
        <v>0.7083333333333334</v>
      </c>
      <c r="AF523" s="7">
        <v>0.0</v>
      </c>
    </row>
    <row r="524">
      <c r="G524" s="5"/>
      <c r="H524" s="6"/>
      <c r="AD524" s="5">
        <v>44948.0</v>
      </c>
      <c r="AE524" s="6">
        <v>0.75</v>
      </c>
      <c r="AF524" s="7">
        <v>0.0</v>
      </c>
    </row>
    <row r="525">
      <c r="G525" s="5"/>
      <c r="H525" s="6"/>
      <c r="AD525" s="5">
        <v>44948.0</v>
      </c>
      <c r="AE525" s="6">
        <v>0.7916666666666666</v>
      </c>
      <c r="AF525" s="7">
        <v>0.0</v>
      </c>
    </row>
    <row r="526">
      <c r="G526" s="5"/>
      <c r="H526" s="6"/>
      <c r="AD526" s="5">
        <v>44948.0</v>
      </c>
      <c r="AE526" s="6">
        <v>0.8333333333333334</v>
      </c>
      <c r="AF526" s="7">
        <v>0.0</v>
      </c>
    </row>
    <row r="527">
      <c r="G527" s="5"/>
      <c r="H527" s="6"/>
      <c r="AD527" s="5">
        <v>44948.0</v>
      </c>
      <c r="AE527" s="6">
        <v>0.875</v>
      </c>
      <c r="AF527" s="7">
        <v>0.0</v>
      </c>
    </row>
    <row r="528">
      <c r="G528" s="5"/>
      <c r="H528" s="6"/>
      <c r="AD528" s="5">
        <v>44948.0</v>
      </c>
      <c r="AE528" s="6">
        <v>0.9166666666666666</v>
      </c>
      <c r="AF528" s="7">
        <v>0.0</v>
      </c>
    </row>
    <row r="529">
      <c r="G529" s="5"/>
      <c r="H529" s="6"/>
      <c r="AD529" s="5">
        <v>44948.0</v>
      </c>
      <c r="AE529" s="6">
        <v>0.9583333333333334</v>
      </c>
      <c r="AF529" s="7">
        <v>0.0</v>
      </c>
    </row>
    <row r="530">
      <c r="G530" s="5"/>
      <c r="H530" s="6"/>
      <c r="AD530" s="5">
        <v>44949.0</v>
      </c>
      <c r="AE530" s="6">
        <v>0.0</v>
      </c>
      <c r="AF530" s="7">
        <v>0.0</v>
      </c>
    </row>
    <row r="531">
      <c r="G531" s="5"/>
      <c r="H531" s="6"/>
      <c r="AD531" s="5">
        <v>44949.0</v>
      </c>
      <c r="AE531" s="6">
        <v>0.041666666666666664</v>
      </c>
      <c r="AF531" s="7">
        <v>0.0</v>
      </c>
    </row>
    <row r="532">
      <c r="G532" s="5"/>
      <c r="H532" s="6"/>
      <c r="AD532" s="5">
        <v>44949.0</v>
      </c>
      <c r="AE532" s="6">
        <v>0.08333333333333333</v>
      </c>
      <c r="AF532" s="7">
        <v>0.0</v>
      </c>
    </row>
    <row r="533">
      <c r="G533" s="5"/>
      <c r="H533" s="6"/>
      <c r="AD533" s="5">
        <v>44949.0</v>
      </c>
      <c r="AE533" s="6">
        <v>0.125</v>
      </c>
      <c r="AF533" s="7">
        <v>0.0</v>
      </c>
    </row>
    <row r="534">
      <c r="G534" s="5"/>
      <c r="H534" s="6"/>
      <c r="AD534" s="5">
        <v>44949.0</v>
      </c>
      <c r="AE534" s="6">
        <v>0.16666666666666666</v>
      </c>
      <c r="AF534" s="7">
        <v>0.0</v>
      </c>
    </row>
    <row r="535">
      <c r="G535" s="5"/>
      <c r="H535" s="6"/>
      <c r="AD535" s="5">
        <v>44949.0</v>
      </c>
      <c r="AE535" s="6">
        <v>0.20833333333333334</v>
      </c>
      <c r="AF535" s="7">
        <v>0.0</v>
      </c>
    </row>
    <row r="536">
      <c r="G536" s="5"/>
      <c r="H536" s="6"/>
      <c r="AD536" s="5">
        <v>44949.0</v>
      </c>
      <c r="AE536" s="6">
        <v>0.25</v>
      </c>
      <c r="AF536" s="7">
        <v>0.0</v>
      </c>
    </row>
    <row r="537">
      <c r="G537" s="5"/>
      <c r="H537" s="6"/>
      <c r="AD537" s="5">
        <v>44949.0</v>
      </c>
      <c r="AE537" s="6">
        <v>0.2916666666666667</v>
      </c>
      <c r="AF537" s="7">
        <v>0.0</v>
      </c>
    </row>
    <row r="538">
      <c r="G538" s="5"/>
      <c r="H538" s="6"/>
      <c r="AD538" s="5">
        <v>44949.0</v>
      </c>
      <c r="AE538" s="6">
        <v>0.3333333333333333</v>
      </c>
      <c r="AF538" s="7">
        <v>10007.4</v>
      </c>
    </row>
    <row r="539">
      <c r="G539" s="5"/>
      <c r="H539" s="6"/>
      <c r="AD539" s="5">
        <v>44949.0</v>
      </c>
      <c r="AE539" s="6">
        <v>0.375</v>
      </c>
      <c r="AF539" s="7">
        <v>18872.88</v>
      </c>
    </row>
    <row r="540">
      <c r="G540" s="5"/>
      <c r="H540" s="6"/>
      <c r="AD540" s="5">
        <v>44949.0</v>
      </c>
      <c r="AE540" s="6">
        <v>0.4166666666666667</v>
      </c>
      <c r="AF540" s="7">
        <v>38186.46</v>
      </c>
    </row>
    <row r="541">
      <c r="G541" s="5"/>
      <c r="H541" s="6"/>
      <c r="AD541" s="5">
        <v>44949.0</v>
      </c>
      <c r="AE541" s="6">
        <v>0.4583333333333333</v>
      </c>
      <c r="AF541" s="7">
        <v>33050.16</v>
      </c>
    </row>
    <row r="542">
      <c r="G542" s="5"/>
      <c r="H542" s="6"/>
      <c r="AD542" s="5">
        <v>44949.0</v>
      </c>
      <c r="AE542" s="6">
        <v>0.5</v>
      </c>
      <c r="AF542" s="7">
        <v>43595.76</v>
      </c>
    </row>
    <row r="543">
      <c r="G543" s="5"/>
      <c r="H543" s="6"/>
      <c r="AD543" s="5">
        <v>44949.0</v>
      </c>
      <c r="AE543" s="6">
        <v>0.5416666666666666</v>
      </c>
      <c r="AF543" s="7">
        <v>47636.94</v>
      </c>
    </row>
    <row r="544">
      <c r="G544" s="5"/>
      <c r="H544" s="6"/>
      <c r="AD544" s="5">
        <v>44949.0</v>
      </c>
      <c r="AE544" s="6">
        <v>0.5833333333333334</v>
      </c>
      <c r="AF544" s="7">
        <v>42418.74</v>
      </c>
    </row>
    <row r="545">
      <c r="G545" s="5"/>
      <c r="H545" s="6"/>
      <c r="AD545" s="5">
        <v>44949.0</v>
      </c>
      <c r="AE545" s="6">
        <v>0.625</v>
      </c>
      <c r="AF545" s="7">
        <v>27778.14</v>
      </c>
    </row>
    <row r="546">
      <c r="G546" s="5"/>
      <c r="H546" s="6"/>
      <c r="AD546" s="5">
        <v>44949.0</v>
      </c>
      <c r="AE546" s="6">
        <v>0.6666666666666666</v>
      </c>
      <c r="AF546" s="7">
        <v>9100.26</v>
      </c>
    </row>
    <row r="547">
      <c r="G547" s="5"/>
      <c r="H547" s="6"/>
      <c r="AD547" s="5">
        <v>44949.0</v>
      </c>
      <c r="AE547" s="6">
        <v>0.7083333333333334</v>
      </c>
      <c r="AF547" s="7">
        <v>0.0</v>
      </c>
    </row>
    <row r="548">
      <c r="G548" s="5"/>
      <c r="H548" s="6"/>
      <c r="AD548" s="5">
        <v>44949.0</v>
      </c>
      <c r="AE548" s="6">
        <v>0.75</v>
      </c>
      <c r="AF548" s="7">
        <v>0.0</v>
      </c>
    </row>
    <row r="549">
      <c r="G549" s="5"/>
      <c r="H549" s="6"/>
      <c r="AD549" s="5">
        <v>44949.0</v>
      </c>
      <c r="AE549" s="6">
        <v>0.7916666666666666</v>
      </c>
      <c r="AF549" s="7">
        <v>0.0</v>
      </c>
    </row>
    <row r="550">
      <c r="G550" s="5"/>
      <c r="H550" s="6"/>
      <c r="AD550" s="5">
        <v>44949.0</v>
      </c>
      <c r="AE550" s="6">
        <v>0.8333333333333334</v>
      </c>
      <c r="AF550" s="7">
        <v>0.0</v>
      </c>
    </row>
    <row r="551">
      <c r="G551" s="5"/>
      <c r="H551" s="6"/>
      <c r="AD551" s="5">
        <v>44949.0</v>
      </c>
      <c r="AE551" s="6">
        <v>0.875</v>
      </c>
      <c r="AF551" s="7">
        <v>0.0</v>
      </c>
    </row>
    <row r="552">
      <c r="G552" s="5"/>
      <c r="H552" s="6"/>
      <c r="AD552" s="5">
        <v>44949.0</v>
      </c>
      <c r="AE552" s="6">
        <v>0.9166666666666666</v>
      </c>
      <c r="AF552" s="7">
        <v>0.0</v>
      </c>
    </row>
    <row r="553">
      <c r="G553" s="5"/>
      <c r="H553" s="6"/>
      <c r="AD553" s="5">
        <v>44949.0</v>
      </c>
      <c r="AE553" s="6">
        <v>0.9583333333333334</v>
      </c>
      <c r="AF553" s="7">
        <v>0.0</v>
      </c>
    </row>
    <row r="554">
      <c r="G554" s="5"/>
      <c r="H554" s="6"/>
      <c r="AD554" s="5">
        <v>44950.0</v>
      </c>
      <c r="AE554" s="6">
        <v>0.0</v>
      </c>
      <c r="AF554" s="7">
        <v>0.0</v>
      </c>
    </row>
    <row r="555">
      <c r="G555" s="5"/>
      <c r="H555" s="6"/>
      <c r="AD555" s="5">
        <v>44950.0</v>
      </c>
      <c r="AE555" s="6">
        <v>0.041666666666666664</v>
      </c>
      <c r="AF555" s="7">
        <v>0.0</v>
      </c>
    </row>
    <row r="556">
      <c r="G556" s="5"/>
      <c r="H556" s="6"/>
      <c r="AD556" s="5">
        <v>44950.0</v>
      </c>
      <c r="AE556" s="6">
        <v>0.08333333333333333</v>
      </c>
      <c r="AF556" s="7">
        <v>0.0</v>
      </c>
    </row>
    <row r="557">
      <c r="G557" s="5"/>
      <c r="H557" s="6"/>
      <c r="AD557" s="5">
        <v>44950.0</v>
      </c>
      <c r="AE557" s="6">
        <v>0.125</v>
      </c>
      <c r="AF557" s="7">
        <v>0.0</v>
      </c>
    </row>
    <row r="558">
      <c r="G558" s="5"/>
      <c r="H558" s="6"/>
      <c r="AD558" s="5">
        <v>44950.0</v>
      </c>
      <c r="AE558" s="6">
        <v>0.16666666666666666</v>
      </c>
      <c r="AF558" s="7">
        <v>0.0</v>
      </c>
    </row>
    <row r="559">
      <c r="G559" s="5"/>
      <c r="H559" s="6"/>
      <c r="AD559" s="5">
        <v>44950.0</v>
      </c>
      <c r="AE559" s="6">
        <v>0.20833333333333334</v>
      </c>
      <c r="AF559" s="7">
        <v>0.0</v>
      </c>
    </row>
    <row r="560">
      <c r="G560" s="5"/>
      <c r="H560" s="6"/>
      <c r="AD560" s="5">
        <v>44950.0</v>
      </c>
      <c r="AE560" s="6">
        <v>0.25</v>
      </c>
      <c r="AF560" s="7">
        <v>0.0</v>
      </c>
    </row>
    <row r="561">
      <c r="G561" s="5"/>
      <c r="H561" s="6"/>
      <c r="AD561" s="5">
        <v>44950.0</v>
      </c>
      <c r="AE561" s="6">
        <v>0.2916666666666667</v>
      </c>
      <c r="AF561" s="7">
        <v>0.0</v>
      </c>
    </row>
    <row r="562">
      <c r="G562" s="5"/>
      <c r="H562" s="6"/>
      <c r="AD562" s="5">
        <v>44950.0</v>
      </c>
      <c r="AE562" s="6">
        <v>0.3333333333333333</v>
      </c>
      <c r="AF562" s="7">
        <v>6702.54</v>
      </c>
    </row>
    <row r="563">
      <c r="G563" s="5"/>
      <c r="H563" s="6"/>
      <c r="AD563" s="5">
        <v>44950.0</v>
      </c>
      <c r="AE563" s="6">
        <v>0.375</v>
      </c>
      <c r="AF563" s="7">
        <v>26075.4</v>
      </c>
    </row>
    <row r="564">
      <c r="G564" s="5"/>
      <c r="H564" s="6"/>
      <c r="AD564" s="5">
        <v>44950.0</v>
      </c>
      <c r="AE564" s="6">
        <v>0.4166666666666667</v>
      </c>
      <c r="AF564" s="7">
        <v>37805.82</v>
      </c>
    </row>
    <row r="565">
      <c r="G565" s="5"/>
      <c r="H565" s="6"/>
      <c r="AD565" s="5">
        <v>44950.0</v>
      </c>
      <c r="AE565" s="6">
        <v>0.4583333333333333</v>
      </c>
      <c r="AF565" s="7">
        <v>45100.38</v>
      </c>
    </row>
    <row r="566">
      <c r="G566" s="5"/>
      <c r="H566" s="6"/>
      <c r="AD566" s="5">
        <v>44950.0</v>
      </c>
      <c r="AE566" s="6">
        <v>0.5</v>
      </c>
      <c r="AF566" s="7">
        <v>46512.96</v>
      </c>
    </row>
    <row r="567">
      <c r="G567" s="5"/>
      <c r="H567" s="6"/>
      <c r="AD567" s="5">
        <v>44950.0</v>
      </c>
      <c r="AE567" s="6">
        <v>0.5416666666666666</v>
      </c>
      <c r="AF567" s="7">
        <v>45135.48</v>
      </c>
    </row>
    <row r="568">
      <c r="G568" s="5"/>
      <c r="H568" s="6"/>
      <c r="AD568" s="5">
        <v>44950.0</v>
      </c>
      <c r="AE568" s="6">
        <v>0.5833333333333334</v>
      </c>
      <c r="AF568" s="7">
        <v>38283.18</v>
      </c>
    </row>
    <row r="569">
      <c r="G569" s="5"/>
      <c r="H569" s="6"/>
      <c r="AD569" s="5">
        <v>44950.0</v>
      </c>
      <c r="AE569" s="6">
        <v>0.625</v>
      </c>
      <c r="AF569" s="7">
        <v>27187.68</v>
      </c>
    </row>
    <row r="570">
      <c r="G570" s="5"/>
      <c r="H570" s="6"/>
      <c r="AD570" s="5">
        <v>44950.0</v>
      </c>
      <c r="AE570" s="6">
        <v>0.6666666666666666</v>
      </c>
      <c r="AF570" s="7">
        <v>9484.02</v>
      </c>
    </row>
    <row r="571">
      <c r="G571" s="5"/>
      <c r="H571" s="6"/>
      <c r="AD571" s="5">
        <v>44950.0</v>
      </c>
      <c r="AE571" s="6">
        <v>0.7083333333333334</v>
      </c>
      <c r="AF571" s="7">
        <v>0.0</v>
      </c>
    </row>
    <row r="572">
      <c r="G572" s="5"/>
      <c r="H572" s="6"/>
      <c r="AD572" s="5">
        <v>44950.0</v>
      </c>
      <c r="AE572" s="6">
        <v>0.75</v>
      </c>
      <c r="AF572" s="7">
        <v>0.0</v>
      </c>
    </row>
    <row r="573">
      <c r="G573" s="5"/>
      <c r="H573" s="6"/>
      <c r="AD573" s="5">
        <v>44950.0</v>
      </c>
      <c r="AE573" s="6">
        <v>0.7916666666666666</v>
      </c>
      <c r="AF573" s="7">
        <v>0.0</v>
      </c>
    </row>
    <row r="574">
      <c r="G574" s="5"/>
      <c r="H574" s="6"/>
      <c r="AD574" s="5">
        <v>44950.0</v>
      </c>
      <c r="AE574" s="6">
        <v>0.8333333333333334</v>
      </c>
      <c r="AF574" s="7">
        <v>0.0</v>
      </c>
    </row>
    <row r="575">
      <c r="G575" s="5"/>
      <c r="H575" s="6"/>
      <c r="AD575" s="5">
        <v>44950.0</v>
      </c>
      <c r="AE575" s="6">
        <v>0.875</v>
      </c>
      <c r="AF575" s="7">
        <v>0.0</v>
      </c>
    </row>
    <row r="576">
      <c r="G576" s="5"/>
      <c r="H576" s="6"/>
      <c r="AD576" s="5">
        <v>44950.0</v>
      </c>
      <c r="AE576" s="6">
        <v>0.9166666666666666</v>
      </c>
      <c r="AF576" s="7">
        <v>0.0</v>
      </c>
    </row>
    <row r="577">
      <c r="G577" s="5"/>
      <c r="H577" s="6"/>
      <c r="AD577" s="5">
        <v>44950.0</v>
      </c>
      <c r="AE577" s="6">
        <v>0.9583333333333334</v>
      </c>
      <c r="AF577" s="7">
        <v>0.0</v>
      </c>
    </row>
    <row r="578">
      <c r="G578" s="5"/>
      <c r="H578" s="6"/>
      <c r="AD578" s="5">
        <v>44951.0</v>
      </c>
      <c r="AE578" s="6">
        <v>0.0</v>
      </c>
      <c r="AF578" s="7">
        <v>0.0</v>
      </c>
    </row>
    <row r="579">
      <c r="G579" s="5"/>
      <c r="H579" s="6"/>
      <c r="AD579" s="5">
        <v>44951.0</v>
      </c>
      <c r="AE579" s="6">
        <v>0.041666666666666664</v>
      </c>
      <c r="AF579" s="7">
        <v>0.0</v>
      </c>
    </row>
    <row r="580">
      <c r="G580" s="5"/>
      <c r="H580" s="6"/>
      <c r="AD580" s="5">
        <v>44951.0</v>
      </c>
      <c r="AE580" s="6">
        <v>0.08333333333333333</v>
      </c>
      <c r="AF580" s="7">
        <v>0.0</v>
      </c>
    </row>
    <row r="581">
      <c r="G581" s="5"/>
      <c r="H581" s="6"/>
      <c r="AD581" s="5">
        <v>44951.0</v>
      </c>
      <c r="AE581" s="6">
        <v>0.125</v>
      </c>
      <c r="AF581" s="7">
        <v>0.0</v>
      </c>
    </row>
    <row r="582">
      <c r="G582" s="5"/>
      <c r="H582" s="6"/>
      <c r="AD582" s="5">
        <v>44951.0</v>
      </c>
      <c r="AE582" s="6">
        <v>0.16666666666666666</v>
      </c>
      <c r="AF582" s="7">
        <v>0.0</v>
      </c>
    </row>
    <row r="583">
      <c r="G583" s="5"/>
      <c r="H583" s="6"/>
      <c r="AD583" s="5">
        <v>44951.0</v>
      </c>
      <c r="AE583" s="6">
        <v>0.20833333333333334</v>
      </c>
      <c r="AF583" s="7">
        <v>0.0</v>
      </c>
    </row>
    <row r="584">
      <c r="G584" s="5"/>
      <c r="H584" s="6"/>
      <c r="AD584" s="5">
        <v>44951.0</v>
      </c>
      <c r="AE584" s="6">
        <v>0.25</v>
      </c>
      <c r="AF584" s="7">
        <v>0.0</v>
      </c>
    </row>
    <row r="585">
      <c r="G585" s="5"/>
      <c r="H585" s="6"/>
      <c r="AD585" s="5">
        <v>44951.0</v>
      </c>
      <c r="AE585" s="6">
        <v>0.2916666666666667</v>
      </c>
      <c r="AF585" s="7">
        <v>0.0</v>
      </c>
    </row>
    <row r="586">
      <c r="G586" s="5"/>
      <c r="H586" s="6"/>
      <c r="AD586" s="5">
        <v>44951.0</v>
      </c>
      <c r="AE586" s="6">
        <v>0.3333333333333333</v>
      </c>
      <c r="AF586" s="7">
        <v>10212.54</v>
      </c>
    </row>
    <row r="587">
      <c r="G587" s="5"/>
      <c r="H587" s="6"/>
      <c r="AD587" s="5">
        <v>44951.0</v>
      </c>
      <c r="AE587" s="6">
        <v>0.375</v>
      </c>
      <c r="AF587" s="7">
        <v>25828.14</v>
      </c>
    </row>
    <row r="588">
      <c r="G588" s="5"/>
      <c r="H588" s="6"/>
      <c r="AD588" s="5">
        <v>44951.0</v>
      </c>
      <c r="AE588" s="6">
        <v>0.4166666666666667</v>
      </c>
      <c r="AF588" s="7">
        <v>38040.6</v>
      </c>
    </row>
    <row r="589">
      <c r="G589" s="5"/>
      <c r="H589" s="6"/>
      <c r="AD589" s="5">
        <v>44951.0</v>
      </c>
      <c r="AE589" s="6">
        <v>0.4583333333333333</v>
      </c>
      <c r="AF589" s="7">
        <v>45430.32</v>
      </c>
    </row>
    <row r="590">
      <c r="G590" s="5"/>
      <c r="H590" s="6"/>
      <c r="AD590" s="5">
        <v>44951.0</v>
      </c>
      <c r="AE590" s="6">
        <v>0.5</v>
      </c>
      <c r="AF590" s="7">
        <v>48679.8</v>
      </c>
    </row>
    <row r="591">
      <c r="G591" s="5"/>
      <c r="H591" s="6"/>
      <c r="AD591" s="5">
        <v>44951.0</v>
      </c>
      <c r="AE591" s="6">
        <v>0.5416666666666666</v>
      </c>
      <c r="AF591" s="7">
        <v>44694.78</v>
      </c>
    </row>
    <row r="592">
      <c r="G592" s="5"/>
      <c r="H592" s="6"/>
      <c r="AD592" s="5">
        <v>44951.0</v>
      </c>
      <c r="AE592" s="6">
        <v>0.5833333333333334</v>
      </c>
      <c r="AF592" s="7">
        <v>23630.1</v>
      </c>
    </row>
    <row r="593">
      <c r="G593" s="5"/>
      <c r="H593" s="6"/>
      <c r="AD593" s="5">
        <v>44951.0</v>
      </c>
      <c r="AE593" s="6">
        <v>0.625</v>
      </c>
      <c r="AF593" s="7">
        <v>10257.78</v>
      </c>
    </row>
    <row r="594">
      <c r="G594" s="5"/>
      <c r="H594" s="6"/>
      <c r="AD594" s="5">
        <v>44951.0</v>
      </c>
      <c r="AE594" s="6">
        <v>0.6666666666666666</v>
      </c>
      <c r="AF594" s="7">
        <v>3942.9</v>
      </c>
    </row>
    <row r="595">
      <c r="G595" s="5"/>
      <c r="H595" s="6"/>
      <c r="AD595" s="5">
        <v>44951.0</v>
      </c>
      <c r="AE595" s="6">
        <v>0.7083333333333334</v>
      </c>
      <c r="AF595" s="7">
        <v>0.0</v>
      </c>
    </row>
    <row r="596">
      <c r="G596" s="5"/>
      <c r="H596" s="6"/>
      <c r="AD596" s="5">
        <v>44951.0</v>
      </c>
      <c r="AE596" s="6">
        <v>0.75</v>
      </c>
      <c r="AF596" s="7">
        <v>0.0</v>
      </c>
    </row>
    <row r="597">
      <c r="G597" s="5"/>
      <c r="H597" s="6"/>
      <c r="AD597" s="5">
        <v>44951.0</v>
      </c>
      <c r="AE597" s="6">
        <v>0.7916666666666666</v>
      </c>
      <c r="AF597" s="7">
        <v>0.0</v>
      </c>
    </row>
    <row r="598">
      <c r="G598" s="5"/>
      <c r="H598" s="6"/>
      <c r="AD598" s="5">
        <v>44951.0</v>
      </c>
      <c r="AE598" s="6">
        <v>0.8333333333333334</v>
      </c>
      <c r="AF598" s="7">
        <v>0.0</v>
      </c>
    </row>
    <row r="599">
      <c r="G599" s="5"/>
      <c r="H599" s="6"/>
      <c r="AD599" s="5">
        <v>44951.0</v>
      </c>
      <c r="AE599" s="6">
        <v>0.875</v>
      </c>
      <c r="AF599" s="7">
        <v>0.0</v>
      </c>
    </row>
    <row r="600">
      <c r="G600" s="5"/>
      <c r="H600" s="6"/>
      <c r="AD600" s="5">
        <v>44951.0</v>
      </c>
      <c r="AE600" s="6">
        <v>0.9166666666666666</v>
      </c>
      <c r="AF600" s="7">
        <v>0.0</v>
      </c>
    </row>
    <row r="601">
      <c r="G601" s="5"/>
      <c r="H601" s="6"/>
      <c r="AD601" s="5">
        <v>44951.0</v>
      </c>
      <c r="AE601" s="6">
        <v>0.9583333333333334</v>
      </c>
      <c r="AF601" s="7">
        <v>0.0</v>
      </c>
    </row>
    <row r="602">
      <c r="G602" s="5"/>
      <c r="H602" s="6"/>
      <c r="AD602" s="5">
        <v>44952.0</v>
      </c>
      <c r="AE602" s="6">
        <v>0.0</v>
      </c>
      <c r="AF602" s="7">
        <v>0.0</v>
      </c>
    </row>
    <row r="603">
      <c r="G603" s="5"/>
      <c r="H603" s="6"/>
      <c r="AD603" s="5">
        <v>44952.0</v>
      </c>
      <c r="AE603" s="6">
        <v>0.041666666666666664</v>
      </c>
      <c r="AF603" s="7">
        <v>0.0</v>
      </c>
    </row>
    <row r="604">
      <c r="G604" s="5"/>
      <c r="H604" s="6"/>
      <c r="AD604" s="5">
        <v>44952.0</v>
      </c>
      <c r="AE604" s="6">
        <v>0.08333333333333333</v>
      </c>
      <c r="AF604" s="7">
        <v>0.0</v>
      </c>
    </row>
    <row r="605">
      <c r="G605" s="5"/>
      <c r="H605" s="6"/>
      <c r="AD605" s="5">
        <v>44952.0</v>
      </c>
      <c r="AE605" s="6">
        <v>0.125</v>
      </c>
      <c r="AF605" s="7">
        <v>0.0</v>
      </c>
    </row>
    <row r="606">
      <c r="G606" s="5"/>
      <c r="H606" s="6"/>
      <c r="AD606" s="5">
        <v>44952.0</v>
      </c>
      <c r="AE606" s="6">
        <v>0.16666666666666666</v>
      </c>
      <c r="AF606" s="7">
        <v>0.0</v>
      </c>
    </row>
    <row r="607">
      <c r="G607" s="5"/>
      <c r="H607" s="6"/>
      <c r="AD607" s="5">
        <v>44952.0</v>
      </c>
      <c r="AE607" s="6">
        <v>0.20833333333333334</v>
      </c>
      <c r="AF607" s="7">
        <v>0.0</v>
      </c>
    </row>
    <row r="608">
      <c r="G608" s="5"/>
      <c r="H608" s="6"/>
      <c r="AD608" s="5">
        <v>44952.0</v>
      </c>
      <c r="AE608" s="6">
        <v>0.25</v>
      </c>
      <c r="AF608" s="7">
        <v>0.0</v>
      </c>
    </row>
    <row r="609">
      <c r="G609" s="5"/>
      <c r="H609" s="6"/>
      <c r="AD609" s="5">
        <v>44952.0</v>
      </c>
      <c r="AE609" s="6">
        <v>0.2916666666666667</v>
      </c>
      <c r="AF609" s="7">
        <v>0.0</v>
      </c>
    </row>
    <row r="610">
      <c r="G610" s="5"/>
      <c r="H610" s="6"/>
      <c r="AD610" s="5">
        <v>44952.0</v>
      </c>
      <c r="AE610" s="6">
        <v>0.3333333333333333</v>
      </c>
      <c r="AF610" s="7">
        <v>10331.1</v>
      </c>
    </row>
    <row r="611">
      <c r="G611" s="5"/>
      <c r="H611" s="6"/>
      <c r="AD611" s="5">
        <v>44952.0</v>
      </c>
      <c r="AE611" s="6">
        <v>0.375</v>
      </c>
      <c r="AF611" s="7">
        <v>26031.72</v>
      </c>
    </row>
    <row r="612">
      <c r="G612" s="5"/>
      <c r="H612" s="6"/>
      <c r="AD612" s="5">
        <v>44952.0</v>
      </c>
      <c r="AE612" s="6">
        <v>0.4166666666666667</v>
      </c>
      <c r="AF612" s="7">
        <v>38131.08</v>
      </c>
    </row>
    <row r="613">
      <c r="G613" s="5"/>
      <c r="H613" s="6"/>
      <c r="AD613" s="5">
        <v>44952.0</v>
      </c>
      <c r="AE613" s="6">
        <v>0.4583333333333333</v>
      </c>
      <c r="AF613" s="7">
        <v>44971.68</v>
      </c>
    </row>
    <row r="614">
      <c r="G614" s="5"/>
      <c r="H614" s="6"/>
      <c r="AD614" s="5">
        <v>44952.0</v>
      </c>
      <c r="AE614" s="6">
        <v>0.5</v>
      </c>
      <c r="AF614" s="7">
        <v>47259.42</v>
      </c>
    </row>
    <row r="615">
      <c r="G615" s="5"/>
      <c r="H615" s="6"/>
      <c r="AD615" s="5">
        <v>44952.0</v>
      </c>
      <c r="AE615" s="6">
        <v>0.5416666666666666</v>
      </c>
      <c r="AF615" s="7">
        <v>45816.42</v>
      </c>
    </row>
    <row r="616">
      <c r="G616" s="5"/>
      <c r="H616" s="6"/>
      <c r="AD616" s="5">
        <v>44952.0</v>
      </c>
      <c r="AE616" s="6">
        <v>0.5833333333333334</v>
      </c>
      <c r="AF616" s="7">
        <v>38945.4</v>
      </c>
    </row>
    <row r="617">
      <c r="G617" s="5"/>
      <c r="H617" s="6"/>
      <c r="AD617" s="5">
        <v>44952.0</v>
      </c>
      <c r="AE617" s="6">
        <v>0.625</v>
      </c>
      <c r="AF617" s="7">
        <v>27984.06</v>
      </c>
    </row>
    <row r="618">
      <c r="G618" s="5"/>
      <c r="H618" s="6"/>
      <c r="AD618" s="5">
        <v>44952.0</v>
      </c>
      <c r="AE618" s="6">
        <v>0.6666666666666666</v>
      </c>
      <c r="AF618" s="7">
        <v>10125.18</v>
      </c>
    </row>
    <row r="619">
      <c r="G619" s="5"/>
      <c r="H619" s="6"/>
      <c r="AD619" s="5">
        <v>44952.0</v>
      </c>
      <c r="AE619" s="6">
        <v>0.7083333333333334</v>
      </c>
      <c r="AF619" s="7">
        <v>0.0</v>
      </c>
    </row>
    <row r="620">
      <c r="G620" s="5"/>
      <c r="H620" s="6"/>
      <c r="AD620" s="5">
        <v>44952.0</v>
      </c>
      <c r="AE620" s="6">
        <v>0.75</v>
      </c>
      <c r="AF620" s="7">
        <v>0.0</v>
      </c>
    </row>
    <row r="621">
      <c r="G621" s="5"/>
      <c r="H621" s="6"/>
      <c r="AD621" s="5">
        <v>44952.0</v>
      </c>
      <c r="AE621" s="6">
        <v>0.7916666666666666</v>
      </c>
      <c r="AF621" s="7">
        <v>0.0</v>
      </c>
    </row>
    <row r="622">
      <c r="G622" s="5"/>
      <c r="H622" s="6"/>
      <c r="AD622" s="5">
        <v>44952.0</v>
      </c>
      <c r="AE622" s="6">
        <v>0.8333333333333334</v>
      </c>
      <c r="AF622" s="7">
        <v>0.0</v>
      </c>
    </row>
    <row r="623">
      <c r="G623" s="5"/>
      <c r="H623" s="6"/>
      <c r="AD623" s="5">
        <v>44952.0</v>
      </c>
      <c r="AE623" s="6">
        <v>0.875</v>
      </c>
      <c r="AF623" s="7">
        <v>0.0</v>
      </c>
    </row>
    <row r="624">
      <c r="G624" s="5"/>
      <c r="H624" s="6"/>
      <c r="AD624" s="5">
        <v>44952.0</v>
      </c>
      <c r="AE624" s="6">
        <v>0.9166666666666666</v>
      </c>
      <c r="AF624" s="7">
        <v>0.0</v>
      </c>
    </row>
    <row r="625">
      <c r="G625" s="5"/>
      <c r="H625" s="6"/>
      <c r="AD625" s="5">
        <v>44952.0</v>
      </c>
      <c r="AE625" s="6">
        <v>0.9583333333333334</v>
      </c>
      <c r="AF625" s="7">
        <v>0.0</v>
      </c>
    </row>
    <row r="626">
      <c r="G626" s="5"/>
      <c r="H626" s="6"/>
      <c r="AD626" s="5">
        <v>44953.0</v>
      </c>
      <c r="AE626" s="6">
        <v>0.0</v>
      </c>
      <c r="AF626" s="7">
        <v>0.0</v>
      </c>
    </row>
    <row r="627">
      <c r="G627" s="5"/>
      <c r="H627" s="6"/>
      <c r="AD627" s="5">
        <v>44953.0</v>
      </c>
      <c r="AE627" s="6">
        <v>0.041666666666666664</v>
      </c>
      <c r="AF627" s="7">
        <v>0.0</v>
      </c>
    </row>
    <row r="628">
      <c r="G628" s="5"/>
      <c r="H628" s="6"/>
      <c r="AD628" s="5">
        <v>44953.0</v>
      </c>
      <c r="AE628" s="6">
        <v>0.08333333333333333</v>
      </c>
      <c r="AF628" s="7">
        <v>0.0</v>
      </c>
    </row>
    <row r="629">
      <c r="G629" s="5"/>
      <c r="H629" s="6"/>
      <c r="AD629" s="5">
        <v>44953.0</v>
      </c>
      <c r="AE629" s="6">
        <v>0.125</v>
      </c>
      <c r="AF629" s="7">
        <v>0.0</v>
      </c>
    </row>
    <row r="630">
      <c r="G630" s="5"/>
      <c r="H630" s="6"/>
      <c r="AD630" s="5">
        <v>44953.0</v>
      </c>
      <c r="AE630" s="6">
        <v>0.16666666666666666</v>
      </c>
      <c r="AF630" s="7">
        <v>0.0</v>
      </c>
    </row>
    <row r="631">
      <c r="G631" s="5"/>
      <c r="H631" s="6"/>
      <c r="AD631" s="5">
        <v>44953.0</v>
      </c>
      <c r="AE631" s="6">
        <v>0.20833333333333334</v>
      </c>
      <c r="AF631" s="7">
        <v>0.0</v>
      </c>
    </row>
    <row r="632">
      <c r="G632" s="5"/>
      <c r="H632" s="6"/>
      <c r="AD632" s="5">
        <v>44953.0</v>
      </c>
      <c r="AE632" s="6">
        <v>0.25</v>
      </c>
      <c r="AF632" s="7">
        <v>0.0</v>
      </c>
    </row>
    <row r="633">
      <c r="G633" s="5"/>
      <c r="H633" s="6"/>
      <c r="AD633" s="5">
        <v>44953.0</v>
      </c>
      <c r="AE633" s="6">
        <v>0.2916666666666667</v>
      </c>
      <c r="AF633" s="7">
        <v>0.0</v>
      </c>
    </row>
    <row r="634">
      <c r="G634" s="5"/>
      <c r="H634" s="6"/>
      <c r="AD634" s="5">
        <v>44953.0</v>
      </c>
      <c r="AE634" s="6">
        <v>0.3333333333333333</v>
      </c>
      <c r="AF634" s="7">
        <v>11369.28</v>
      </c>
    </row>
    <row r="635">
      <c r="G635" s="5"/>
      <c r="H635" s="6"/>
      <c r="AD635" s="5">
        <v>44953.0</v>
      </c>
      <c r="AE635" s="6">
        <v>0.375</v>
      </c>
      <c r="AF635" s="7">
        <v>27068.34</v>
      </c>
    </row>
    <row r="636">
      <c r="G636" s="5"/>
      <c r="H636" s="6"/>
      <c r="AD636" s="5">
        <v>44953.0</v>
      </c>
      <c r="AE636" s="6">
        <v>0.4166666666666667</v>
      </c>
      <c r="AF636" s="7">
        <v>38877.54</v>
      </c>
    </row>
    <row r="637">
      <c r="G637" s="5"/>
      <c r="H637" s="6"/>
      <c r="AD637" s="5">
        <v>44953.0</v>
      </c>
      <c r="AE637" s="6">
        <v>0.4583333333333333</v>
      </c>
      <c r="AF637" s="7">
        <v>46017.66</v>
      </c>
    </row>
    <row r="638">
      <c r="G638" s="5"/>
      <c r="H638" s="6"/>
      <c r="AD638" s="5">
        <v>44953.0</v>
      </c>
      <c r="AE638" s="6">
        <v>0.5</v>
      </c>
      <c r="AF638" s="7">
        <v>47201.7</v>
      </c>
    </row>
    <row r="639">
      <c r="G639" s="5"/>
      <c r="H639" s="6"/>
      <c r="AD639" s="5">
        <v>44953.0</v>
      </c>
      <c r="AE639" s="6">
        <v>0.5416666666666666</v>
      </c>
      <c r="AF639" s="7">
        <v>45766.5</v>
      </c>
    </row>
    <row r="640">
      <c r="G640" s="5"/>
      <c r="H640" s="6"/>
      <c r="AD640" s="5">
        <v>44953.0</v>
      </c>
      <c r="AE640" s="6">
        <v>0.5833333333333334</v>
      </c>
      <c r="AF640" s="7">
        <v>38918.88</v>
      </c>
    </row>
    <row r="641">
      <c r="G641" s="5"/>
      <c r="H641" s="6"/>
      <c r="AD641" s="5">
        <v>44953.0</v>
      </c>
      <c r="AE641" s="6">
        <v>0.625</v>
      </c>
      <c r="AF641" s="7">
        <v>27650.22</v>
      </c>
    </row>
    <row r="642">
      <c r="G642" s="5"/>
      <c r="H642" s="6"/>
      <c r="AD642" s="5">
        <v>44953.0</v>
      </c>
      <c r="AE642" s="6">
        <v>0.6666666666666666</v>
      </c>
      <c r="AF642" s="7">
        <v>8327.28</v>
      </c>
    </row>
    <row r="643">
      <c r="G643" s="5"/>
      <c r="H643" s="6"/>
      <c r="AD643" s="5">
        <v>44953.0</v>
      </c>
      <c r="AE643" s="6">
        <v>0.7083333333333334</v>
      </c>
      <c r="AF643" s="7">
        <v>0.0</v>
      </c>
    </row>
    <row r="644">
      <c r="G644" s="5"/>
      <c r="H644" s="6"/>
      <c r="AD644" s="5">
        <v>44953.0</v>
      </c>
      <c r="AE644" s="6">
        <v>0.75</v>
      </c>
      <c r="AF644" s="7">
        <v>0.0</v>
      </c>
    </row>
    <row r="645">
      <c r="G645" s="5"/>
      <c r="H645" s="6"/>
      <c r="AD645" s="5">
        <v>44953.0</v>
      </c>
      <c r="AE645" s="6">
        <v>0.7916666666666666</v>
      </c>
      <c r="AF645" s="7">
        <v>0.0</v>
      </c>
    </row>
    <row r="646">
      <c r="G646" s="5"/>
      <c r="H646" s="6"/>
      <c r="AD646" s="5">
        <v>44953.0</v>
      </c>
      <c r="AE646" s="6">
        <v>0.8333333333333334</v>
      </c>
      <c r="AF646" s="7">
        <v>0.0</v>
      </c>
    </row>
    <row r="647">
      <c r="G647" s="5"/>
      <c r="H647" s="6"/>
      <c r="AD647" s="5">
        <v>44953.0</v>
      </c>
      <c r="AE647" s="6">
        <v>0.875</v>
      </c>
      <c r="AF647" s="7">
        <v>0.0</v>
      </c>
    </row>
    <row r="648">
      <c r="G648" s="5"/>
      <c r="H648" s="6"/>
      <c r="AD648" s="5">
        <v>44953.0</v>
      </c>
      <c r="AE648" s="6">
        <v>0.9166666666666666</v>
      </c>
      <c r="AF648" s="7">
        <v>0.0</v>
      </c>
    </row>
    <row r="649">
      <c r="G649" s="5"/>
      <c r="H649" s="6"/>
      <c r="AD649" s="5">
        <v>44953.0</v>
      </c>
      <c r="AE649" s="6">
        <v>0.9583333333333334</v>
      </c>
      <c r="AF649" s="7">
        <v>0.0</v>
      </c>
    </row>
    <row r="650">
      <c r="G650" s="5"/>
      <c r="H650" s="6"/>
      <c r="AD650" s="5">
        <v>44954.0</v>
      </c>
      <c r="AE650" s="6">
        <v>0.0</v>
      </c>
      <c r="AF650" s="7">
        <v>0.0</v>
      </c>
    </row>
    <row r="651">
      <c r="G651" s="5"/>
      <c r="H651" s="6"/>
      <c r="AD651" s="5">
        <v>44954.0</v>
      </c>
      <c r="AE651" s="6">
        <v>0.041666666666666664</v>
      </c>
      <c r="AF651" s="7">
        <v>0.0</v>
      </c>
    </row>
    <row r="652">
      <c r="G652" s="5"/>
      <c r="H652" s="6"/>
      <c r="AD652" s="5">
        <v>44954.0</v>
      </c>
      <c r="AE652" s="6">
        <v>0.08333333333333333</v>
      </c>
      <c r="AF652" s="7">
        <v>0.0</v>
      </c>
    </row>
    <row r="653">
      <c r="G653" s="5"/>
      <c r="H653" s="6"/>
      <c r="AD653" s="5">
        <v>44954.0</v>
      </c>
      <c r="AE653" s="6">
        <v>0.125</v>
      </c>
      <c r="AF653" s="7">
        <v>0.0</v>
      </c>
    </row>
    <row r="654">
      <c r="G654" s="5"/>
      <c r="H654" s="6"/>
      <c r="AD654" s="5">
        <v>44954.0</v>
      </c>
      <c r="AE654" s="6">
        <v>0.16666666666666666</v>
      </c>
      <c r="AF654" s="7">
        <v>0.0</v>
      </c>
    </row>
    <row r="655">
      <c r="G655" s="5"/>
      <c r="H655" s="6"/>
      <c r="AD655" s="5">
        <v>44954.0</v>
      </c>
      <c r="AE655" s="6">
        <v>0.20833333333333334</v>
      </c>
      <c r="AF655" s="7">
        <v>0.0</v>
      </c>
    </row>
    <row r="656">
      <c r="G656" s="5"/>
      <c r="H656" s="6"/>
      <c r="AD656" s="5">
        <v>44954.0</v>
      </c>
      <c r="AE656" s="6">
        <v>0.25</v>
      </c>
      <c r="AF656" s="7">
        <v>0.0</v>
      </c>
    </row>
    <row r="657">
      <c r="G657" s="5"/>
      <c r="H657" s="6"/>
      <c r="AD657" s="5">
        <v>44954.0</v>
      </c>
      <c r="AE657" s="6">
        <v>0.2916666666666667</v>
      </c>
      <c r="AF657" s="7">
        <v>0.0</v>
      </c>
    </row>
    <row r="658">
      <c r="G658" s="5"/>
      <c r="H658" s="6"/>
      <c r="AD658" s="5">
        <v>44954.0</v>
      </c>
      <c r="AE658" s="6">
        <v>0.3333333333333333</v>
      </c>
      <c r="AF658" s="7">
        <v>10273.38</v>
      </c>
    </row>
    <row r="659">
      <c r="G659" s="5"/>
      <c r="H659" s="6"/>
      <c r="AD659" s="5">
        <v>44954.0</v>
      </c>
      <c r="AE659" s="6">
        <v>0.375</v>
      </c>
      <c r="AF659" s="7">
        <v>26423.28</v>
      </c>
    </row>
    <row r="660">
      <c r="G660" s="5"/>
      <c r="H660" s="6"/>
      <c r="AD660" s="5">
        <v>44954.0</v>
      </c>
      <c r="AE660" s="6">
        <v>0.4166666666666667</v>
      </c>
      <c r="AF660" s="7">
        <v>38676.3</v>
      </c>
    </row>
    <row r="661">
      <c r="G661" s="5"/>
      <c r="H661" s="6"/>
      <c r="AD661" s="5">
        <v>44954.0</v>
      </c>
      <c r="AE661" s="6">
        <v>0.4583333333333333</v>
      </c>
      <c r="AF661" s="7">
        <v>45875.7</v>
      </c>
    </row>
    <row r="662">
      <c r="G662" s="5"/>
      <c r="H662" s="6"/>
      <c r="AD662" s="5">
        <v>44954.0</v>
      </c>
      <c r="AE662" s="6">
        <v>0.5</v>
      </c>
      <c r="AF662" s="7">
        <v>47415.42</v>
      </c>
    </row>
    <row r="663">
      <c r="G663" s="5"/>
      <c r="H663" s="6"/>
      <c r="AD663" s="5">
        <v>44954.0</v>
      </c>
      <c r="AE663" s="6">
        <v>0.5416666666666666</v>
      </c>
      <c r="AF663" s="7">
        <v>46412.34</v>
      </c>
    </row>
    <row r="664">
      <c r="G664" s="5"/>
      <c r="H664" s="6"/>
      <c r="AD664" s="5">
        <v>44954.0</v>
      </c>
      <c r="AE664" s="6">
        <v>0.5833333333333334</v>
      </c>
      <c r="AF664" s="7">
        <v>39537.42</v>
      </c>
    </row>
    <row r="665">
      <c r="G665" s="5"/>
      <c r="H665" s="6"/>
      <c r="AD665" s="5">
        <v>44954.0</v>
      </c>
      <c r="AE665" s="6">
        <v>0.625</v>
      </c>
      <c r="AF665" s="7">
        <v>28391.22</v>
      </c>
    </row>
    <row r="666">
      <c r="G666" s="5"/>
      <c r="H666" s="6"/>
      <c r="AD666" s="5">
        <v>44954.0</v>
      </c>
      <c r="AE666" s="6">
        <v>0.6666666666666666</v>
      </c>
      <c r="AF666" s="7">
        <v>10703.94</v>
      </c>
    </row>
    <row r="667">
      <c r="G667" s="5"/>
      <c r="H667" s="6"/>
      <c r="AD667" s="5">
        <v>44954.0</v>
      </c>
      <c r="AE667" s="6">
        <v>0.7083333333333334</v>
      </c>
      <c r="AF667" s="7">
        <v>0.0</v>
      </c>
    </row>
    <row r="668">
      <c r="G668" s="5"/>
      <c r="H668" s="6"/>
      <c r="AD668" s="5">
        <v>44954.0</v>
      </c>
      <c r="AE668" s="6">
        <v>0.75</v>
      </c>
      <c r="AF668" s="7">
        <v>0.0</v>
      </c>
    </row>
    <row r="669">
      <c r="G669" s="5"/>
      <c r="H669" s="6"/>
      <c r="AD669" s="5">
        <v>44954.0</v>
      </c>
      <c r="AE669" s="6">
        <v>0.7916666666666666</v>
      </c>
      <c r="AF669" s="7">
        <v>0.0</v>
      </c>
    </row>
    <row r="670">
      <c r="G670" s="5"/>
      <c r="H670" s="6"/>
      <c r="AD670" s="5">
        <v>44954.0</v>
      </c>
      <c r="AE670" s="6">
        <v>0.8333333333333334</v>
      </c>
      <c r="AF670" s="7">
        <v>0.0</v>
      </c>
    </row>
    <row r="671">
      <c r="G671" s="5"/>
      <c r="H671" s="6"/>
      <c r="AD671" s="5">
        <v>44954.0</v>
      </c>
      <c r="AE671" s="6">
        <v>0.875</v>
      </c>
      <c r="AF671" s="7">
        <v>0.0</v>
      </c>
    </row>
    <row r="672">
      <c r="G672" s="5"/>
      <c r="H672" s="6"/>
      <c r="AD672" s="5">
        <v>44954.0</v>
      </c>
      <c r="AE672" s="6">
        <v>0.9166666666666666</v>
      </c>
      <c r="AF672" s="7">
        <v>0.0</v>
      </c>
    </row>
    <row r="673">
      <c r="G673" s="5"/>
      <c r="H673" s="6"/>
      <c r="AD673" s="5">
        <v>44954.0</v>
      </c>
      <c r="AE673" s="6">
        <v>0.9583333333333334</v>
      </c>
      <c r="AF673" s="7">
        <v>0.0</v>
      </c>
    </row>
    <row r="674">
      <c r="G674" s="5"/>
      <c r="H674" s="6"/>
      <c r="AD674" s="5">
        <v>44955.0</v>
      </c>
      <c r="AE674" s="6">
        <v>0.0</v>
      </c>
      <c r="AF674" s="7">
        <v>0.0</v>
      </c>
    </row>
    <row r="675">
      <c r="G675" s="5"/>
      <c r="H675" s="6"/>
      <c r="AD675" s="5">
        <v>44955.0</v>
      </c>
      <c r="AE675" s="6">
        <v>0.041666666666666664</v>
      </c>
      <c r="AF675" s="7">
        <v>0.0</v>
      </c>
    </row>
    <row r="676">
      <c r="G676" s="5"/>
      <c r="H676" s="6"/>
      <c r="AD676" s="5">
        <v>44955.0</v>
      </c>
      <c r="AE676" s="6">
        <v>0.08333333333333333</v>
      </c>
      <c r="AF676" s="7">
        <v>0.0</v>
      </c>
    </row>
    <row r="677">
      <c r="G677" s="5"/>
      <c r="H677" s="6"/>
      <c r="AD677" s="5">
        <v>44955.0</v>
      </c>
      <c r="AE677" s="6">
        <v>0.125</v>
      </c>
      <c r="AF677" s="7">
        <v>0.0</v>
      </c>
    </row>
    <row r="678">
      <c r="G678" s="5"/>
      <c r="H678" s="6"/>
      <c r="AD678" s="5">
        <v>44955.0</v>
      </c>
      <c r="AE678" s="6">
        <v>0.16666666666666666</v>
      </c>
      <c r="AF678" s="7">
        <v>0.0</v>
      </c>
    </row>
    <row r="679">
      <c r="G679" s="5"/>
      <c r="H679" s="6"/>
      <c r="AD679" s="5">
        <v>44955.0</v>
      </c>
      <c r="AE679" s="6">
        <v>0.20833333333333334</v>
      </c>
      <c r="AF679" s="7">
        <v>0.0</v>
      </c>
    </row>
    <row r="680">
      <c r="G680" s="5"/>
      <c r="H680" s="6"/>
      <c r="AD680" s="5">
        <v>44955.0</v>
      </c>
      <c r="AE680" s="6">
        <v>0.25</v>
      </c>
      <c r="AF680" s="7">
        <v>0.0</v>
      </c>
    </row>
    <row r="681">
      <c r="G681" s="5"/>
      <c r="H681" s="6"/>
      <c r="AD681" s="5">
        <v>44955.0</v>
      </c>
      <c r="AE681" s="6">
        <v>0.2916666666666667</v>
      </c>
      <c r="AF681" s="7">
        <v>0.0</v>
      </c>
    </row>
    <row r="682">
      <c r="G682" s="5"/>
      <c r="H682" s="6"/>
      <c r="AD682" s="5">
        <v>44955.0</v>
      </c>
      <c r="AE682" s="6">
        <v>0.3333333333333333</v>
      </c>
      <c r="AF682" s="7">
        <v>10548.72</v>
      </c>
    </row>
    <row r="683">
      <c r="G683" s="5"/>
      <c r="H683" s="6"/>
      <c r="AD683" s="5">
        <v>44955.0</v>
      </c>
      <c r="AE683" s="6">
        <v>0.375</v>
      </c>
      <c r="AF683" s="7">
        <v>26960.7</v>
      </c>
    </row>
    <row r="684">
      <c r="G684" s="5"/>
      <c r="H684" s="6"/>
      <c r="AD684" s="5">
        <v>44955.0</v>
      </c>
      <c r="AE684" s="6">
        <v>0.4166666666666667</v>
      </c>
      <c r="AF684" s="7">
        <v>38254.32</v>
      </c>
    </row>
    <row r="685">
      <c r="G685" s="5"/>
      <c r="H685" s="6"/>
      <c r="AD685" s="5">
        <v>44955.0</v>
      </c>
      <c r="AE685" s="6">
        <v>0.4583333333333333</v>
      </c>
      <c r="AF685" s="7">
        <v>44918.64</v>
      </c>
    </row>
    <row r="686">
      <c r="G686" s="5"/>
      <c r="H686" s="6"/>
      <c r="AD686" s="5">
        <v>44955.0</v>
      </c>
      <c r="AE686" s="6">
        <v>0.5</v>
      </c>
      <c r="AF686" s="7">
        <v>46933.38</v>
      </c>
    </row>
    <row r="687">
      <c r="G687" s="5"/>
      <c r="H687" s="6"/>
      <c r="AD687" s="5">
        <v>44955.0</v>
      </c>
      <c r="AE687" s="6">
        <v>0.5416666666666666</v>
      </c>
      <c r="AF687" s="7">
        <v>42839.94</v>
      </c>
    </row>
    <row r="688">
      <c r="G688" s="5"/>
      <c r="H688" s="6"/>
      <c r="AD688" s="5">
        <v>44955.0</v>
      </c>
      <c r="AE688" s="6">
        <v>0.5833333333333334</v>
      </c>
      <c r="AF688" s="7">
        <v>37897.08</v>
      </c>
    </row>
    <row r="689">
      <c r="G689" s="5"/>
      <c r="H689" s="6"/>
      <c r="AD689" s="5">
        <v>44955.0</v>
      </c>
      <c r="AE689" s="6">
        <v>0.625</v>
      </c>
      <c r="AF689" s="7">
        <v>28401.36</v>
      </c>
    </row>
    <row r="690">
      <c r="G690" s="5"/>
      <c r="H690" s="6"/>
      <c r="AD690" s="5">
        <v>44955.0</v>
      </c>
      <c r="AE690" s="6">
        <v>0.6666666666666666</v>
      </c>
      <c r="AF690" s="7">
        <v>13197.6</v>
      </c>
    </row>
    <row r="691">
      <c r="G691" s="5"/>
      <c r="H691" s="6"/>
      <c r="AD691" s="5">
        <v>44955.0</v>
      </c>
      <c r="AE691" s="6">
        <v>0.7083333333333334</v>
      </c>
      <c r="AF691" s="7">
        <v>0.0</v>
      </c>
    </row>
    <row r="692">
      <c r="G692" s="5"/>
      <c r="H692" s="6"/>
      <c r="AD692" s="5">
        <v>44955.0</v>
      </c>
      <c r="AE692" s="6">
        <v>0.75</v>
      </c>
      <c r="AF692" s="7">
        <v>0.0</v>
      </c>
    </row>
    <row r="693">
      <c r="G693" s="5"/>
      <c r="H693" s="6"/>
      <c r="AD693" s="5">
        <v>44955.0</v>
      </c>
      <c r="AE693" s="6">
        <v>0.7916666666666666</v>
      </c>
      <c r="AF693" s="7">
        <v>0.0</v>
      </c>
    </row>
    <row r="694">
      <c r="G694" s="5"/>
      <c r="H694" s="6"/>
      <c r="AD694" s="5">
        <v>44955.0</v>
      </c>
      <c r="AE694" s="6">
        <v>0.8333333333333334</v>
      </c>
      <c r="AF694" s="7">
        <v>0.0</v>
      </c>
    </row>
    <row r="695">
      <c r="G695" s="5"/>
      <c r="H695" s="6"/>
      <c r="AD695" s="5">
        <v>44955.0</v>
      </c>
      <c r="AE695" s="6">
        <v>0.875</v>
      </c>
      <c r="AF695" s="7">
        <v>0.0</v>
      </c>
    </row>
    <row r="696">
      <c r="G696" s="5"/>
      <c r="H696" s="6"/>
      <c r="AD696" s="5">
        <v>44955.0</v>
      </c>
      <c r="AE696" s="6">
        <v>0.9166666666666666</v>
      </c>
      <c r="AF696" s="7">
        <v>0.0</v>
      </c>
    </row>
    <row r="697">
      <c r="G697" s="5"/>
      <c r="H697" s="6"/>
      <c r="AD697" s="5">
        <v>44955.0</v>
      </c>
      <c r="AE697" s="6">
        <v>0.9583333333333334</v>
      </c>
      <c r="AF697" s="7">
        <v>0.0</v>
      </c>
    </row>
    <row r="698">
      <c r="G698" s="5"/>
      <c r="H698" s="6"/>
      <c r="AD698" s="5">
        <v>44956.0</v>
      </c>
      <c r="AE698" s="6">
        <v>0.0</v>
      </c>
      <c r="AF698" s="7">
        <v>0.0</v>
      </c>
    </row>
    <row r="699">
      <c r="G699" s="5"/>
      <c r="H699" s="6"/>
      <c r="AD699" s="5">
        <v>44956.0</v>
      </c>
      <c r="AE699" s="6">
        <v>0.041666666666666664</v>
      </c>
      <c r="AF699" s="7">
        <v>0.0</v>
      </c>
    </row>
    <row r="700">
      <c r="G700" s="5"/>
      <c r="H700" s="6"/>
      <c r="AD700" s="5">
        <v>44956.0</v>
      </c>
      <c r="AE700" s="6">
        <v>0.08333333333333333</v>
      </c>
      <c r="AF700" s="7">
        <v>0.0</v>
      </c>
    </row>
    <row r="701">
      <c r="G701" s="5"/>
      <c r="H701" s="6"/>
      <c r="AD701" s="5">
        <v>44956.0</v>
      </c>
      <c r="AE701" s="6">
        <v>0.125</v>
      </c>
      <c r="AF701" s="7">
        <v>0.0</v>
      </c>
    </row>
    <row r="702">
      <c r="G702" s="5"/>
      <c r="H702" s="6"/>
      <c r="AD702" s="5">
        <v>44956.0</v>
      </c>
      <c r="AE702" s="6">
        <v>0.16666666666666666</v>
      </c>
      <c r="AF702" s="7">
        <v>0.0</v>
      </c>
    </row>
    <row r="703">
      <c r="G703" s="5"/>
      <c r="H703" s="6"/>
      <c r="AD703" s="5">
        <v>44956.0</v>
      </c>
      <c r="AE703" s="6">
        <v>0.20833333333333334</v>
      </c>
      <c r="AF703" s="7">
        <v>0.0</v>
      </c>
    </row>
    <row r="704">
      <c r="G704" s="5"/>
      <c r="H704" s="6"/>
      <c r="AD704" s="5">
        <v>44956.0</v>
      </c>
      <c r="AE704" s="6">
        <v>0.25</v>
      </c>
      <c r="AF704" s="7">
        <v>0.0</v>
      </c>
    </row>
    <row r="705">
      <c r="G705" s="5"/>
      <c r="H705" s="6"/>
      <c r="AD705" s="5">
        <v>44956.0</v>
      </c>
      <c r="AE705" s="6">
        <v>0.2916666666666667</v>
      </c>
      <c r="AF705" s="7">
        <v>0.0</v>
      </c>
    </row>
    <row r="706">
      <c r="G706" s="5"/>
      <c r="H706" s="6"/>
      <c r="AD706" s="5">
        <v>44956.0</v>
      </c>
      <c r="AE706" s="6">
        <v>0.3333333333333333</v>
      </c>
      <c r="AF706" s="7">
        <v>10904.4</v>
      </c>
    </row>
    <row r="707">
      <c r="G707" s="5"/>
      <c r="H707" s="6"/>
      <c r="AD707" s="5">
        <v>44956.0</v>
      </c>
      <c r="AE707" s="6">
        <v>0.375</v>
      </c>
      <c r="AF707" s="7">
        <v>27174.42</v>
      </c>
    </row>
    <row r="708">
      <c r="G708" s="5"/>
      <c r="H708" s="6"/>
      <c r="AD708" s="5">
        <v>44956.0</v>
      </c>
      <c r="AE708" s="6">
        <v>0.4166666666666667</v>
      </c>
      <c r="AF708" s="7">
        <v>39133.38</v>
      </c>
    </row>
    <row r="709">
      <c r="G709" s="5"/>
      <c r="H709" s="6"/>
      <c r="AD709" s="5">
        <v>44956.0</v>
      </c>
      <c r="AE709" s="6">
        <v>0.4583333333333333</v>
      </c>
      <c r="AF709" s="7">
        <v>45948.24</v>
      </c>
    </row>
    <row r="710">
      <c r="G710" s="5"/>
      <c r="H710" s="6"/>
      <c r="AD710" s="5">
        <v>44956.0</v>
      </c>
      <c r="AE710" s="6">
        <v>0.5</v>
      </c>
      <c r="AF710" s="7">
        <v>48224.28</v>
      </c>
    </row>
    <row r="711">
      <c r="G711" s="5"/>
      <c r="H711" s="6"/>
      <c r="AD711" s="5">
        <v>44956.0</v>
      </c>
      <c r="AE711" s="6">
        <v>0.5416666666666666</v>
      </c>
      <c r="AF711" s="7">
        <v>46910.76</v>
      </c>
    </row>
    <row r="712">
      <c r="G712" s="5"/>
      <c r="H712" s="6"/>
      <c r="AD712" s="5">
        <v>44956.0</v>
      </c>
      <c r="AE712" s="6">
        <v>0.5833333333333334</v>
      </c>
      <c r="AF712" s="7">
        <v>39933.66</v>
      </c>
    </row>
    <row r="713">
      <c r="G713" s="5"/>
      <c r="H713" s="6"/>
      <c r="AD713" s="5">
        <v>44956.0</v>
      </c>
      <c r="AE713" s="6">
        <v>0.625</v>
      </c>
      <c r="AF713" s="7">
        <v>30729.66</v>
      </c>
    </row>
    <row r="714">
      <c r="G714" s="5"/>
      <c r="H714" s="6"/>
      <c r="AD714" s="5">
        <v>44956.0</v>
      </c>
      <c r="AE714" s="6">
        <v>0.6666666666666666</v>
      </c>
      <c r="AF714" s="7">
        <v>13988.52</v>
      </c>
    </row>
    <row r="715">
      <c r="G715" s="5"/>
      <c r="H715" s="6"/>
      <c r="AD715" s="5">
        <v>44956.0</v>
      </c>
      <c r="AE715" s="6">
        <v>0.7083333333333334</v>
      </c>
      <c r="AF715" s="7">
        <v>0.0</v>
      </c>
    </row>
    <row r="716">
      <c r="G716" s="5"/>
      <c r="H716" s="6"/>
      <c r="AD716" s="5">
        <v>44956.0</v>
      </c>
      <c r="AE716" s="6">
        <v>0.75</v>
      </c>
      <c r="AF716" s="7">
        <v>0.0</v>
      </c>
    </row>
    <row r="717">
      <c r="G717" s="5"/>
      <c r="H717" s="6"/>
      <c r="AD717" s="5">
        <v>44956.0</v>
      </c>
      <c r="AE717" s="6">
        <v>0.7916666666666666</v>
      </c>
      <c r="AF717" s="7">
        <v>0.0</v>
      </c>
    </row>
    <row r="718">
      <c r="G718" s="5"/>
      <c r="H718" s="6"/>
      <c r="AD718" s="5">
        <v>44956.0</v>
      </c>
      <c r="AE718" s="6">
        <v>0.8333333333333334</v>
      </c>
      <c r="AF718" s="7">
        <v>0.0</v>
      </c>
    </row>
    <row r="719">
      <c r="G719" s="5"/>
      <c r="H719" s="6"/>
      <c r="AD719" s="5">
        <v>44956.0</v>
      </c>
      <c r="AE719" s="6">
        <v>0.875</v>
      </c>
      <c r="AF719" s="7">
        <v>0.0</v>
      </c>
    </row>
    <row r="720">
      <c r="G720" s="5"/>
      <c r="H720" s="6"/>
      <c r="AD720" s="5">
        <v>44956.0</v>
      </c>
      <c r="AE720" s="6">
        <v>0.9166666666666666</v>
      </c>
      <c r="AF720" s="7">
        <v>0.0</v>
      </c>
    </row>
    <row r="721">
      <c r="G721" s="5"/>
      <c r="H721" s="6"/>
      <c r="AD721" s="5">
        <v>44956.0</v>
      </c>
      <c r="AE721" s="6">
        <v>0.9583333333333334</v>
      </c>
      <c r="AF721" s="7">
        <v>0.0</v>
      </c>
    </row>
    <row r="722">
      <c r="G722" s="5"/>
      <c r="H722" s="6"/>
      <c r="AD722" s="5">
        <v>44957.0</v>
      </c>
      <c r="AE722" s="6">
        <v>0.0</v>
      </c>
      <c r="AF722" s="7">
        <v>0.0</v>
      </c>
    </row>
    <row r="723">
      <c r="G723" s="5"/>
      <c r="H723" s="6"/>
      <c r="AD723" s="5">
        <v>44957.0</v>
      </c>
      <c r="AE723" s="6">
        <v>0.041666666666666664</v>
      </c>
      <c r="AF723" s="7">
        <v>0.0</v>
      </c>
    </row>
    <row r="724">
      <c r="G724" s="5"/>
      <c r="H724" s="6"/>
      <c r="AD724" s="5">
        <v>44957.0</v>
      </c>
      <c r="AE724" s="6">
        <v>0.08333333333333333</v>
      </c>
      <c r="AF724" s="7">
        <v>0.0</v>
      </c>
    </row>
    <row r="725">
      <c r="G725" s="5"/>
      <c r="H725" s="6"/>
      <c r="AD725" s="5">
        <v>44957.0</v>
      </c>
      <c r="AE725" s="6">
        <v>0.125</v>
      </c>
      <c r="AF725" s="7">
        <v>0.0</v>
      </c>
    </row>
    <row r="726">
      <c r="G726" s="5"/>
      <c r="H726" s="6"/>
      <c r="AD726" s="5">
        <v>44957.0</v>
      </c>
      <c r="AE726" s="6">
        <v>0.16666666666666666</v>
      </c>
      <c r="AF726" s="7">
        <v>0.0</v>
      </c>
    </row>
    <row r="727">
      <c r="G727" s="5"/>
      <c r="H727" s="6"/>
      <c r="AD727" s="5">
        <v>44957.0</v>
      </c>
      <c r="AE727" s="6">
        <v>0.20833333333333334</v>
      </c>
      <c r="AF727" s="7">
        <v>0.0</v>
      </c>
    </row>
    <row r="728">
      <c r="G728" s="5"/>
      <c r="H728" s="6"/>
      <c r="AD728" s="5">
        <v>44957.0</v>
      </c>
      <c r="AE728" s="6">
        <v>0.25</v>
      </c>
      <c r="AF728" s="7">
        <v>0.0</v>
      </c>
    </row>
    <row r="729">
      <c r="G729" s="5"/>
      <c r="H729" s="6"/>
      <c r="AD729" s="5">
        <v>44957.0</v>
      </c>
      <c r="AE729" s="6">
        <v>0.2916666666666667</v>
      </c>
      <c r="AF729" s="7">
        <v>0.0</v>
      </c>
    </row>
    <row r="730">
      <c r="G730" s="5"/>
      <c r="H730" s="6"/>
      <c r="AD730" s="5">
        <v>44957.0</v>
      </c>
      <c r="AE730" s="6">
        <v>0.3333333333333333</v>
      </c>
      <c r="AF730" s="7">
        <v>11123.58</v>
      </c>
    </row>
    <row r="731">
      <c r="G731" s="5"/>
      <c r="H731" s="6"/>
      <c r="AD731" s="5">
        <v>44957.0</v>
      </c>
      <c r="AE731" s="6">
        <v>0.375</v>
      </c>
      <c r="AF731" s="7">
        <v>27346.02</v>
      </c>
    </row>
    <row r="732">
      <c r="G732" s="5"/>
      <c r="H732" s="6"/>
      <c r="AD732" s="5">
        <v>44957.0</v>
      </c>
      <c r="AE732" s="6">
        <v>0.4166666666666667</v>
      </c>
      <c r="AF732" s="7">
        <v>38856.48</v>
      </c>
    </row>
    <row r="733">
      <c r="G733" s="5"/>
      <c r="H733" s="6"/>
      <c r="AD733" s="5">
        <v>44957.0</v>
      </c>
      <c r="AE733" s="6">
        <v>0.4583333333333333</v>
      </c>
      <c r="AF733" s="7">
        <v>45525.48</v>
      </c>
    </row>
    <row r="734">
      <c r="G734" s="5"/>
      <c r="H734" s="6"/>
      <c r="AD734" s="5">
        <v>44957.0</v>
      </c>
      <c r="AE734" s="6">
        <v>0.5</v>
      </c>
      <c r="AF734" s="7">
        <v>47269.56</v>
      </c>
    </row>
    <row r="735">
      <c r="G735" s="5"/>
      <c r="H735" s="6"/>
      <c r="AD735" s="5">
        <v>44957.0</v>
      </c>
      <c r="AE735" s="6">
        <v>0.5416666666666666</v>
      </c>
      <c r="AF735" s="7">
        <v>45836.7</v>
      </c>
    </row>
    <row r="736">
      <c r="G736" s="5"/>
      <c r="H736" s="6"/>
      <c r="AD736" s="5">
        <v>44957.0</v>
      </c>
      <c r="AE736" s="6">
        <v>0.5833333333333334</v>
      </c>
      <c r="AF736" s="7">
        <v>39738.66</v>
      </c>
    </row>
    <row r="737">
      <c r="G737" s="5"/>
      <c r="H737" s="6"/>
      <c r="AD737" s="5">
        <v>44957.0</v>
      </c>
      <c r="AE737" s="6">
        <v>0.625</v>
      </c>
      <c r="AF737" s="7">
        <v>28847.52</v>
      </c>
    </row>
    <row r="738">
      <c r="G738" s="5"/>
      <c r="H738" s="6"/>
      <c r="AD738" s="5">
        <v>44957.0</v>
      </c>
      <c r="AE738" s="6">
        <v>0.6666666666666666</v>
      </c>
      <c r="AF738" s="7">
        <v>13800.54</v>
      </c>
    </row>
    <row r="739">
      <c r="G739" s="5"/>
      <c r="H739" s="6"/>
      <c r="AD739" s="5">
        <v>44957.0</v>
      </c>
      <c r="AE739" s="6">
        <v>0.7083333333333334</v>
      </c>
      <c r="AF739" s="7">
        <v>0.0</v>
      </c>
    </row>
    <row r="740">
      <c r="G740" s="5"/>
      <c r="H740" s="6"/>
      <c r="AD740" s="5">
        <v>44957.0</v>
      </c>
      <c r="AE740" s="6">
        <v>0.75</v>
      </c>
      <c r="AF740" s="7">
        <v>0.0</v>
      </c>
    </row>
    <row r="741">
      <c r="G741" s="5"/>
      <c r="H741" s="6"/>
      <c r="AD741" s="5">
        <v>44957.0</v>
      </c>
      <c r="AE741" s="6">
        <v>0.7916666666666666</v>
      </c>
      <c r="AF741" s="7">
        <v>0.0</v>
      </c>
    </row>
    <row r="742">
      <c r="G742" s="5"/>
      <c r="H742" s="6"/>
      <c r="AD742" s="5">
        <v>44957.0</v>
      </c>
      <c r="AE742" s="6">
        <v>0.8333333333333334</v>
      </c>
      <c r="AF742" s="7">
        <v>0.0</v>
      </c>
    </row>
    <row r="743">
      <c r="G743" s="5"/>
      <c r="H743" s="6"/>
      <c r="AD743" s="5">
        <v>44957.0</v>
      </c>
      <c r="AE743" s="6">
        <v>0.875</v>
      </c>
      <c r="AF743" s="7">
        <v>0.0</v>
      </c>
    </row>
    <row r="744">
      <c r="G744" s="5"/>
      <c r="H744" s="6"/>
      <c r="AD744" s="5">
        <v>44957.0</v>
      </c>
      <c r="AE744" s="6">
        <v>0.9166666666666666</v>
      </c>
      <c r="AF744" s="7">
        <v>0.0</v>
      </c>
    </row>
    <row r="745">
      <c r="G745" s="5"/>
      <c r="H745" s="6"/>
      <c r="AD745" s="5">
        <v>44957.0</v>
      </c>
      <c r="AE745" s="6">
        <v>0.9583333333333334</v>
      </c>
      <c r="AF745" s="7">
        <v>0.0</v>
      </c>
    </row>
    <row r="746">
      <c r="G746" s="5"/>
      <c r="H746" s="6"/>
      <c r="AD746" s="5">
        <v>44958.0</v>
      </c>
      <c r="AE746" s="6">
        <v>0.0</v>
      </c>
      <c r="AF746" s="7">
        <v>0.0</v>
      </c>
    </row>
    <row r="747">
      <c r="G747" s="5"/>
      <c r="H747" s="6"/>
      <c r="AD747" s="5">
        <v>44958.0</v>
      </c>
      <c r="AE747" s="6">
        <v>0.041666666666666664</v>
      </c>
      <c r="AF747" s="7">
        <v>0.0</v>
      </c>
    </row>
    <row r="748">
      <c r="G748" s="5"/>
      <c r="H748" s="6"/>
      <c r="AD748" s="5">
        <v>44958.0</v>
      </c>
      <c r="AE748" s="6">
        <v>0.08333333333333333</v>
      </c>
      <c r="AF748" s="7">
        <v>0.0</v>
      </c>
    </row>
    <row r="749">
      <c r="G749" s="5"/>
      <c r="H749" s="6"/>
      <c r="AD749" s="5">
        <v>44958.0</v>
      </c>
      <c r="AE749" s="6">
        <v>0.125</v>
      </c>
      <c r="AF749" s="7">
        <v>0.0</v>
      </c>
    </row>
    <row r="750">
      <c r="G750" s="5"/>
      <c r="H750" s="6"/>
      <c r="AD750" s="5">
        <v>44958.0</v>
      </c>
      <c r="AE750" s="6">
        <v>0.16666666666666666</v>
      </c>
      <c r="AF750" s="7">
        <v>0.0</v>
      </c>
    </row>
    <row r="751">
      <c r="G751" s="5"/>
      <c r="H751" s="6"/>
      <c r="AD751" s="5">
        <v>44958.0</v>
      </c>
      <c r="AE751" s="6">
        <v>0.20833333333333334</v>
      </c>
      <c r="AF751" s="7">
        <v>0.0</v>
      </c>
    </row>
    <row r="752">
      <c r="G752" s="5"/>
      <c r="H752" s="6"/>
      <c r="AD752" s="5">
        <v>44958.0</v>
      </c>
      <c r="AE752" s="6">
        <v>0.25</v>
      </c>
      <c r="AF752" s="7">
        <v>0.0</v>
      </c>
    </row>
    <row r="753">
      <c r="G753" s="5"/>
      <c r="H753" s="6"/>
      <c r="AD753" s="5">
        <v>44958.0</v>
      </c>
      <c r="AE753" s="6">
        <v>0.2916666666666667</v>
      </c>
      <c r="AF753" s="7">
        <v>0.0</v>
      </c>
    </row>
    <row r="754">
      <c r="G754" s="5"/>
      <c r="H754" s="6"/>
      <c r="AD754" s="5">
        <v>44958.0</v>
      </c>
      <c r="AE754" s="6">
        <v>0.3333333333333333</v>
      </c>
      <c r="AF754" s="7">
        <v>11024.52</v>
      </c>
    </row>
    <row r="755">
      <c r="G755" s="5"/>
      <c r="H755" s="6"/>
      <c r="AD755" s="5">
        <v>44958.0</v>
      </c>
      <c r="AE755" s="6">
        <v>0.375</v>
      </c>
      <c r="AF755" s="7">
        <v>26733.72</v>
      </c>
    </row>
    <row r="756">
      <c r="G756" s="5"/>
      <c r="H756" s="6"/>
      <c r="AD756" s="5">
        <v>44958.0</v>
      </c>
      <c r="AE756" s="6">
        <v>0.4166666666666667</v>
      </c>
      <c r="AF756" s="7">
        <v>38606.1</v>
      </c>
    </row>
    <row r="757">
      <c r="G757" s="5"/>
      <c r="H757" s="6"/>
      <c r="AD757" s="5">
        <v>44958.0</v>
      </c>
      <c r="AE757" s="6">
        <v>0.4583333333333333</v>
      </c>
      <c r="AF757" s="7">
        <v>44841.42</v>
      </c>
    </row>
    <row r="758">
      <c r="G758" s="5"/>
      <c r="H758" s="6"/>
      <c r="AD758" s="5">
        <v>44958.0</v>
      </c>
      <c r="AE758" s="6">
        <v>0.5</v>
      </c>
      <c r="AF758" s="7">
        <v>46569.9</v>
      </c>
    </row>
    <row r="759">
      <c r="G759" s="5"/>
      <c r="H759" s="6"/>
      <c r="AD759" s="5">
        <v>44958.0</v>
      </c>
      <c r="AE759" s="6">
        <v>0.5416666666666666</v>
      </c>
      <c r="AF759" s="7">
        <v>45635.46</v>
      </c>
    </row>
    <row r="760">
      <c r="G760" s="5"/>
      <c r="H760" s="6"/>
      <c r="AD760" s="5">
        <v>44958.0</v>
      </c>
      <c r="AE760" s="6">
        <v>0.5833333333333334</v>
      </c>
      <c r="AF760" s="7">
        <v>39443.04</v>
      </c>
    </row>
    <row r="761">
      <c r="G761" s="5"/>
      <c r="H761" s="6"/>
      <c r="AD761" s="5">
        <v>44958.0</v>
      </c>
      <c r="AE761" s="6">
        <v>0.625</v>
      </c>
      <c r="AF761" s="7">
        <v>28432.56</v>
      </c>
    </row>
    <row r="762">
      <c r="G762" s="5"/>
      <c r="H762" s="6"/>
      <c r="AD762" s="5">
        <v>44958.0</v>
      </c>
      <c r="AE762" s="6">
        <v>0.6666666666666666</v>
      </c>
      <c r="AF762" s="7">
        <v>13508.82</v>
      </c>
    </row>
    <row r="763">
      <c r="G763" s="5"/>
      <c r="H763" s="6"/>
      <c r="AD763" s="5">
        <v>44958.0</v>
      </c>
      <c r="AE763" s="6">
        <v>0.7083333333333334</v>
      </c>
      <c r="AF763" s="7">
        <v>0.0</v>
      </c>
    </row>
    <row r="764">
      <c r="G764" s="5"/>
      <c r="H764" s="6"/>
      <c r="AD764" s="5">
        <v>44958.0</v>
      </c>
      <c r="AE764" s="6">
        <v>0.75</v>
      </c>
      <c r="AF764" s="7">
        <v>0.0</v>
      </c>
    </row>
    <row r="765">
      <c r="G765" s="5"/>
      <c r="H765" s="6"/>
      <c r="AD765" s="5">
        <v>44958.0</v>
      </c>
      <c r="AE765" s="6">
        <v>0.7916666666666666</v>
      </c>
      <c r="AF765" s="7">
        <v>0.0</v>
      </c>
    </row>
    <row r="766">
      <c r="G766" s="5"/>
      <c r="H766" s="6"/>
      <c r="AD766" s="5">
        <v>44958.0</v>
      </c>
      <c r="AE766" s="6">
        <v>0.8333333333333334</v>
      </c>
      <c r="AF766" s="7">
        <v>0.0</v>
      </c>
    </row>
    <row r="767">
      <c r="G767" s="5"/>
      <c r="H767" s="6"/>
      <c r="AD767" s="5">
        <v>44958.0</v>
      </c>
      <c r="AE767" s="6">
        <v>0.875</v>
      </c>
      <c r="AF767" s="7">
        <v>0.0</v>
      </c>
    </row>
    <row r="768">
      <c r="G768" s="5"/>
      <c r="H768" s="6"/>
      <c r="AD768" s="5">
        <v>44958.0</v>
      </c>
      <c r="AE768" s="6">
        <v>0.9166666666666666</v>
      </c>
      <c r="AF768" s="7">
        <v>0.0</v>
      </c>
    </row>
    <row r="769">
      <c r="G769" s="5"/>
      <c r="H769" s="6"/>
      <c r="AD769" s="5">
        <v>44958.0</v>
      </c>
      <c r="AE769" s="6">
        <v>0.9583333333333334</v>
      </c>
      <c r="AF769" s="7">
        <v>0.0</v>
      </c>
    </row>
    <row r="770">
      <c r="G770" s="5"/>
      <c r="H770" s="6"/>
      <c r="AD770" s="5">
        <v>44959.0</v>
      </c>
      <c r="AE770" s="6">
        <v>0.0</v>
      </c>
      <c r="AF770" s="7">
        <v>0.0</v>
      </c>
    </row>
    <row r="771">
      <c r="G771" s="5"/>
      <c r="H771" s="6"/>
      <c r="AD771" s="5">
        <v>44959.0</v>
      </c>
      <c r="AE771" s="6">
        <v>0.041666666666666664</v>
      </c>
      <c r="AF771" s="7">
        <v>0.0</v>
      </c>
    </row>
    <row r="772">
      <c r="G772" s="5"/>
      <c r="H772" s="6"/>
      <c r="AD772" s="5">
        <v>44959.0</v>
      </c>
      <c r="AE772" s="6">
        <v>0.08333333333333333</v>
      </c>
      <c r="AF772" s="7">
        <v>0.0</v>
      </c>
    </row>
    <row r="773">
      <c r="G773" s="5"/>
      <c r="H773" s="6"/>
      <c r="AD773" s="5">
        <v>44959.0</v>
      </c>
      <c r="AE773" s="6">
        <v>0.125</v>
      </c>
      <c r="AF773" s="7">
        <v>0.0</v>
      </c>
    </row>
    <row r="774">
      <c r="G774" s="5"/>
      <c r="H774" s="6"/>
      <c r="AD774" s="5">
        <v>44959.0</v>
      </c>
      <c r="AE774" s="6">
        <v>0.16666666666666666</v>
      </c>
      <c r="AF774" s="7">
        <v>0.0</v>
      </c>
    </row>
    <row r="775">
      <c r="G775" s="5"/>
      <c r="H775" s="6"/>
      <c r="AD775" s="5">
        <v>44959.0</v>
      </c>
      <c r="AE775" s="6">
        <v>0.20833333333333334</v>
      </c>
      <c r="AF775" s="7">
        <v>0.0</v>
      </c>
    </row>
    <row r="776">
      <c r="G776" s="5"/>
      <c r="H776" s="6"/>
      <c r="AD776" s="5">
        <v>44959.0</v>
      </c>
      <c r="AE776" s="6">
        <v>0.25</v>
      </c>
      <c r="AF776" s="7">
        <v>0.0</v>
      </c>
    </row>
    <row r="777">
      <c r="G777" s="5"/>
      <c r="H777" s="6"/>
      <c r="AD777" s="5">
        <v>44959.0</v>
      </c>
      <c r="AE777" s="6">
        <v>0.2916666666666667</v>
      </c>
      <c r="AF777" s="7">
        <v>0.0</v>
      </c>
    </row>
    <row r="778">
      <c r="G778" s="5"/>
      <c r="H778" s="6"/>
      <c r="AD778" s="5">
        <v>44959.0</v>
      </c>
      <c r="AE778" s="6">
        <v>0.3333333333333333</v>
      </c>
      <c r="AF778" s="7">
        <v>11565.06</v>
      </c>
    </row>
    <row r="779">
      <c r="G779" s="5"/>
      <c r="H779" s="6"/>
      <c r="AD779" s="5">
        <v>44959.0</v>
      </c>
      <c r="AE779" s="6">
        <v>0.375</v>
      </c>
      <c r="AF779" s="7">
        <v>27741.48</v>
      </c>
    </row>
    <row r="780">
      <c r="G780" s="5"/>
      <c r="H780" s="6"/>
      <c r="AD780" s="5">
        <v>44959.0</v>
      </c>
      <c r="AE780" s="6">
        <v>0.4166666666666667</v>
      </c>
      <c r="AF780" s="7">
        <v>39243.36</v>
      </c>
    </row>
    <row r="781">
      <c r="G781" s="5"/>
      <c r="H781" s="6"/>
      <c r="AD781" s="5">
        <v>44959.0</v>
      </c>
      <c r="AE781" s="6">
        <v>0.4583333333333333</v>
      </c>
      <c r="AF781" s="7">
        <v>45472.44</v>
      </c>
    </row>
    <row r="782">
      <c r="G782" s="5"/>
      <c r="H782" s="6"/>
      <c r="AD782" s="5">
        <v>44959.0</v>
      </c>
      <c r="AE782" s="6">
        <v>0.5</v>
      </c>
      <c r="AF782" s="7">
        <v>47491.08</v>
      </c>
    </row>
    <row r="783">
      <c r="G783" s="5"/>
      <c r="H783" s="6"/>
      <c r="AD783" s="5">
        <v>44959.0</v>
      </c>
      <c r="AE783" s="6">
        <v>0.5416666666666666</v>
      </c>
      <c r="AF783" s="7">
        <v>45861.66</v>
      </c>
    </row>
    <row r="784">
      <c r="G784" s="5"/>
      <c r="H784" s="6"/>
      <c r="AD784" s="5">
        <v>44959.0</v>
      </c>
      <c r="AE784" s="6">
        <v>0.5833333333333334</v>
      </c>
      <c r="AF784" s="7">
        <v>39971.88</v>
      </c>
    </row>
    <row r="785">
      <c r="G785" s="5"/>
      <c r="H785" s="6"/>
      <c r="AD785" s="5">
        <v>44959.0</v>
      </c>
      <c r="AE785" s="6">
        <v>0.625</v>
      </c>
      <c r="AF785" s="7">
        <v>29032.38</v>
      </c>
    </row>
    <row r="786">
      <c r="G786" s="5"/>
      <c r="H786" s="6"/>
      <c r="AD786" s="5">
        <v>44959.0</v>
      </c>
      <c r="AE786" s="6">
        <v>0.6666666666666666</v>
      </c>
      <c r="AF786" s="7">
        <v>14399.58</v>
      </c>
    </row>
    <row r="787">
      <c r="G787" s="5"/>
      <c r="H787" s="6"/>
      <c r="AD787" s="5">
        <v>44959.0</v>
      </c>
      <c r="AE787" s="6">
        <v>0.7083333333333334</v>
      </c>
      <c r="AF787" s="7">
        <v>0.0</v>
      </c>
    </row>
    <row r="788">
      <c r="G788" s="5"/>
      <c r="H788" s="6"/>
      <c r="AD788" s="5">
        <v>44959.0</v>
      </c>
      <c r="AE788" s="6">
        <v>0.75</v>
      </c>
      <c r="AF788" s="7">
        <v>0.0</v>
      </c>
    </row>
    <row r="789">
      <c r="G789" s="5"/>
      <c r="H789" s="6"/>
      <c r="AD789" s="5">
        <v>44959.0</v>
      </c>
      <c r="AE789" s="6">
        <v>0.7916666666666666</v>
      </c>
      <c r="AF789" s="7">
        <v>0.0</v>
      </c>
    </row>
    <row r="790">
      <c r="G790" s="5"/>
      <c r="H790" s="6"/>
      <c r="AD790" s="5">
        <v>44959.0</v>
      </c>
      <c r="AE790" s="6">
        <v>0.8333333333333334</v>
      </c>
      <c r="AF790" s="7">
        <v>0.0</v>
      </c>
    </row>
    <row r="791">
      <c r="G791" s="5"/>
      <c r="H791" s="6"/>
      <c r="AD791" s="5">
        <v>44959.0</v>
      </c>
      <c r="AE791" s="6">
        <v>0.875</v>
      </c>
      <c r="AF791" s="7">
        <v>0.0</v>
      </c>
    </row>
    <row r="792">
      <c r="G792" s="5"/>
      <c r="H792" s="6"/>
      <c r="AD792" s="5">
        <v>44959.0</v>
      </c>
      <c r="AE792" s="6">
        <v>0.9166666666666666</v>
      </c>
      <c r="AF792" s="7">
        <v>0.0</v>
      </c>
    </row>
    <row r="793">
      <c r="G793" s="5"/>
      <c r="H793" s="6"/>
      <c r="AD793" s="5">
        <v>44959.0</v>
      </c>
      <c r="AE793" s="6">
        <v>0.9583333333333334</v>
      </c>
      <c r="AF793" s="7">
        <v>0.0</v>
      </c>
    </row>
    <row r="794">
      <c r="G794" s="5"/>
      <c r="H794" s="6"/>
      <c r="AD794" s="5">
        <v>44960.0</v>
      </c>
      <c r="AE794" s="6">
        <v>0.0</v>
      </c>
      <c r="AF794" s="7">
        <v>0.0</v>
      </c>
    </row>
    <row r="795">
      <c r="G795" s="5"/>
      <c r="H795" s="6"/>
      <c r="AD795" s="5">
        <v>44960.0</v>
      </c>
      <c r="AE795" s="6">
        <v>0.041666666666666664</v>
      </c>
      <c r="AF795" s="7">
        <v>0.0</v>
      </c>
    </row>
    <row r="796">
      <c r="G796" s="5"/>
      <c r="H796" s="6"/>
      <c r="AD796" s="5">
        <v>44960.0</v>
      </c>
      <c r="AE796" s="6">
        <v>0.08333333333333333</v>
      </c>
      <c r="AF796" s="7">
        <v>0.0</v>
      </c>
    </row>
    <row r="797">
      <c r="G797" s="5"/>
      <c r="H797" s="6"/>
      <c r="AD797" s="5">
        <v>44960.0</v>
      </c>
      <c r="AE797" s="6">
        <v>0.125</v>
      </c>
      <c r="AF797" s="7">
        <v>0.0</v>
      </c>
    </row>
    <row r="798">
      <c r="G798" s="5"/>
      <c r="H798" s="6"/>
      <c r="AD798" s="5">
        <v>44960.0</v>
      </c>
      <c r="AE798" s="6">
        <v>0.16666666666666666</v>
      </c>
      <c r="AF798" s="7">
        <v>0.0</v>
      </c>
    </row>
    <row r="799">
      <c r="G799" s="5"/>
      <c r="H799" s="6"/>
      <c r="AD799" s="5">
        <v>44960.0</v>
      </c>
      <c r="AE799" s="6">
        <v>0.20833333333333334</v>
      </c>
      <c r="AF799" s="7">
        <v>0.0</v>
      </c>
    </row>
    <row r="800">
      <c r="G800" s="5"/>
      <c r="H800" s="6"/>
      <c r="AD800" s="5">
        <v>44960.0</v>
      </c>
      <c r="AE800" s="6">
        <v>0.25</v>
      </c>
      <c r="AF800" s="7">
        <v>0.0</v>
      </c>
    </row>
    <row r="801">
      <c r="G801" s="5"/>
      <c r="H801" s="6"/>
      <c r="AD801" s="5">
        <v>44960.0</v>
      </c>
      <c r="AE801" s="6">
        <v>0.2916666666666667</v>
      </c>
      <c r="AF801" s="7">
        <v>0.0</v>
      </c>
    </row>
    <row r="802">
      <c r="G802" s="5"/>
      <c r="H802" s="6"/>
      <c r="AD802" s="5">
        <v>44960.0</v>
      </c>
      <c r="AE802" s="6">
        <v>0.3333333333333333</v>
      </c>
      <c r="AF802" s="7">
        <v>11792.82</v>
      </c>
    </row>
    <row r="803">
      <c r="G803" s="5"/>
      <c r="H803" s="6"/>
      <c r="AD803" s="5">
        <v>44960.0</v>
      </c>
      <c r="AE803" s="6">
        <v>0.375</v>
      </c>
      <c r="AF803" s="7">
        <v>27732.9</v>
      </c>
    </row>
    <row r="804">
      <c r="G804" s="5"/>
      <c r="H804" s="6"/>
      <c r="AD804" s="5">
        <v>44960.0</v>
      </c>
      <c r="AE804" s="6">
        <v>0.4166666666666667</v>
      </c>
      <c r="AF804" s="7">
        <v>39122.46</v>
      </c>
    </row>
    <row r="805">
      <c r="G805" s="5"/>
      <c r="H805" s="6"/>
      <c r="AD805" s="5">
        <v>44960.0</v>
      </c>
      <c r="AE805" s="6">
        <v>0.4583333333333333</v>
      </c>
      <c r="AF805" s="7">
        <v>45686.16</v>
      </c>
    </row>
    <row r="806">
      <c r="G806" s="5"/>
      <c r="H806" s="6"/>
      <c r="AD806" s="5">
        <v>44960.0</v>
      </c>
      <c r="AE806" s="6">
        <v>0.5</v>
      </c>
      <c r="AF806" s="7">
        <v>47403.72</v>
      </c>
    </row>
    <row r="807">
      <c r="G807" s="5"/>
      <c r="H807" s="6"/>
      <c r="AD807" s="5">
        <v>44960.0</v>
      </c>
      <c r="AE807" s="6">
        <v>0.5416666666666666</v>
      </c>
      <c r="AF807" s="7">
        <v>46024.68</v>
      </c>
    </row>
    <row r="808">
      <c r="G808" s="5"/>
      <c r="H808" s="6"/>
      <c r="AD808" s="5">
        <v>44960.0</v>
      </c>
      <c r="AE808" s="6">
        <v>0.5833333333333334</v>
      </c>
      <c r="AF808" s="7">
        <v>39631.02</v>
      </c>
    </row>
    <row r="809">
      <c r="G809" s="5"/>
      <c r="H809" s="6"/>
      <c r="AD809" s="5">
        <v>44960.0</v>
      </c>
      <c r="AE809" s="6">
        <v>0.625</v>
      </c>
      <c r="AF809" s="7">
        <v>29357.64</v>
      </c>
    </row>
    <row r="810">
      <c r="G810" s="5"/>
      <c r="H810" s="6"/>
      <c r="AD810" s="5">
        <v>44960.0</v>
      </c>
      <c r="AE810" s="6">
        <v>0.6666666666666666</v>
      </c>
      <c r="AF810" s="7">
        <v>14845.74</v>
      </c>
    </row>
    <row r="811">
      <c r="G811" s="5"/>
      <c r="H811" s="6"/>
      <c r="AD811" s="5">
        <v>44960.0</v>
      </c>
      <c r="AE811" s="6">
        <v>0.7083333333333334</v>
      </c>
      <c r="AF811" s="7">
        <v>0.0</v>
      </c>
    </row>
    <row r="812">
      <c r="G812" s="5"/>
      <c r="H812" s="6"/>
      <c r="AD812" s="5">
        <v>44960.0</v>
      </c>
      <c r="AE812" s="6">
        <v>0.75</v>
      </c>
      <c r="AF812" s="7">
        <v>0.0</v>
      </c>
    </row>
    <row r="813">
      <c r="G813" s="5"/>
      <c r="H813" s="6"/>
      <c r="AD813" s="5">
        <v>44960.0</v>
      </c>
      <c r="AE813" s="6">
        <v>0.7916666666666666</v>
      </c>
      <c r="AF813" s="7">
        <v>0.0</v>
      </c>
    </row>
    <row r="814">
      <c r="G814" s="5"/>
      <c r="H814" s="6"/>
      <c r="AD814" s="5">
        <v>44960.0</v>
      </c>
      <c r="AE814" s="6">
        <v>0.8333333333333334</v>
      </c>
      <c r="AF814" s="7">
        <v>0.0</v>
      </c>
    </row>
    <row r="815">
      <c r="G815" s="5"/>
      <c r="H815" s="6"/>
      <c r="AD815" s="5">
        <v>44960.0</v>
      </c>
      <c r="AE815" s="6">
        <v>0.875</v>
      </c>
      <c r="AF815" s="7">
        <v>0.0</v>
      </c>
    </row>
    <row r="816">
      <c r="G816" s="5"/>
      <c r="H816" s="6"/>
      <c r="AD816" s="5">
        <v>44960.0</v>
      </c>
      <c r="AE816" s="6">
        <v>0.9166666666666666</v>
      </c>
      <c r="AF816" s="7">
        <v>0.0</v>
      </c>
    </row>
    <row r="817">
      <c r="G817" s="5"/>
      <c r="H817" s="6"/>
      <c r="AD817" s="5">
        <v>44960.0</v>
      </c>
      <c r="AE817" s="6">
        <v>0.9583333333333334</v>
      </c>
      <c r="AF817" s="7">
        <v>0.0</v>
      </c>
    </row>
    <row r="818">
      <c r="G818" s="5"/>
      <c r="H818" s="6"/>
      <c r="AD818" s="5">
        <v>44961.0</v>
      </c>
      <c r="AE818" s="6">
        <v>0.0</v>
      </c>
      <c r="AF818" s="7">
        <v>0.0</v>
      </c>
    </row>
    <row r="819">
      <c r="G819" s="5"/>
      <c r="H819" s="6"/>
      <c r="AD819" s="5">
        <v>44961.0</v>
      </c>
      <c r="AE819" s="6">
        <v>0.041666666666666664</v>
      </c>
      <c r="AF819" s="7">
        <v>0.0</v>
      </c>
    </row>
    <row r="820">
      <c r="G820" s="5"/>
      <c r="H820" s="6"/>
      <c r="AD820" s="5">
        <v>44961.0</v>
      </c>
      <c r="AE820" s="6">
        <v>0.08333333333333333</v>
      </c>
      <c r="AF820" s="7">
        <v>0.0</v>
      </c>
    </row>
    <row r="821">
      <c r="G821" s="5"/>
      <c r="H821" s="6"/>
      <c r="AD821" s="5">
        <v>44961.0</v>
      </c>
      <c r="AE821" s="6">
        <v>0.125</v>
      </c>
      <c r="AF821" s="7">
        <v>0.0</v>
      </c>
    </row>
    <row r="822">
      <c r="G822" s="5"/>
      <c r="H822" s="6"/>
      <c r="AD822" s="5">
        <v>44961.0</v>
      </c>
      <c r="AE822" s="6">
        <v>0.16666666666666666</v>
      </c>
      <c r="AF822" s="7">
        <v>0.0</v>
      </c>
    </row>
    <row r="823">
      <c r="G823" s="5"/>
      <c r="H823" s="6"/>
      <c r="AD823" s="5">
        <v>44961.0</v>
      </c>
      <c r="AE823" s="6">
        <v>0.20833333333333334</v>
      </c>
      <c r="AF823" s="7">
        <v>0.0</v>
      </c>
    </row>
    <row r="824">
      <c r="G824" s="5"/>
      <c r="H824" s="6"/>
      <c r="AD824" s="5">
        <v>44961.0</v>
      </c>
      <c r="AE824" s="6">
        <v>0.25</v>
      </c>
      <c r="AF824" s="7">
        <v>0.0</v>
      </c>
    </row>
    <row r="825">
      <c r="G825" s="5"/>
      <c r="H825" s="6"/>
      <c r="AD825" s="5">
        <v>44961.0</v>
      </c>
      <c r="AE825" s="6">
        <v>0.2916666666666667</v>
      </c>
      <c r="AF825" s="7">
        <v>0.0</v>
      </c>
    </row>
    <row r="826">
      <c r="G826" s="5"/>
      <c r="H826" s="6"/>
      <c r="AD826" s="5">
        <v>44961.0</v>
      </c>
      <c r="AE826" s="6">
        <v>0.3333333333333333</v>
      </c>
      <c r="AF826" s="7">
        <v>11873.16</v>
      </c>
    </row>
    <row r="827">
      <c r="G827" s="5"/>
      <c r="H827" s="6"/>
      <c r="AD827" s="5">
        <v>44961.0</v>
      </c>
      <c r="AE827" s="6">
        <v>0.375</v>
      </c>
      <c r="AF827" s="7">
        <v>27977.04</v>
      </c>
    </row>
    <row r="828">
      <c r="G828" s="5"/>
      <c r="H828" s="6"/>
      <c r="AD828" s="5">
        <v>44961.0</v>
      </c>
      <c r="AE828" s="6">
        <v>0.4166666666666667</v>
      </c>
      <c r="AF828" s="7">
        <v>39463.32</v>
      </c>
    </row>
    <row r="829">
      <c r="G829" s="5"/>
      <c r="H829" s="6"/>
      <c r="AD829" s="5">
        <v>44961.0</v>
      </c>
      <c r="AE829" s="6">
        <v>0.4583333333333333</v>
      </c>
      <c r="AF829" s="7">
        <v>46066.02</v>
      </c>
    </row>
    <row r="830">
      <c r="G830" s="5"/>
      <c r="H830" s="6"/>
      <c r="AD830" s="5">
        <v>44961.0</v>
      </c>
      <c r="AE830" s="6">
        <v>0.5</v>
      </c>
      <c r="AF830" s="7">
        <v>47952.06</v>
      </c>
    </row>
    <row r="831">
      <c r="G831" s="5"/>
      <c r="H831" s="6"/>
      <c r="AD831" s="5">
        <v>44961.0</v>
      </c>
      <c r="AE831" s="6">
        <v>0.5416666666666666</v>
      </c>
      <c r="AF831" s="7">
        <v>46597.98</v>
      </c>
    </row>
    <row r="832">
      <c r="G832" s="5"/>
      <c r="H832" s="6"/>
      <c r="AD832" s="5">
        <v>44961.0</v>
      </c>
      <c r="AE832" s="6">
        <v>0.5833333333333334</v>
      </c>
      <c r="AF832" s="7">
        <v>40690.26</v>
      </c>
    </row>
    <row r="833">
      <c r="G833" s="5"/>
      <c r="H833" s="6"/>
      <c r="AD833" s="5">
        <v>44961.0</v>
      </c>
      <c r="AE833" s="6">
        <v>0.625</v>
      </c>
      <c r="AF833" s="7">
        <v>30001.92</v>
      </c>
    </row>
    <row r="834">
      <c r="G834" s="5"/>
      <c r="H834" s="6"/>
      <c r="AD834" s="5">
        <v>44961.0</v>
      </c>
      <c r="AE834" s="6">
        <v>0.6666666666666666</v>
      </c>
      <c r="AF834" s="7">
        <v>15073.5</v>
      </c>
    </row>
    <row r="835">
      <c r="G835" s="5"/>
      <c r="H835" s="6"/>
      <c r="AD835" s="5">
        <v>44961.0</v>
      </c>
      <c r="AE835" s="6">
        <v>0.7083333333333334</v>
      </c>
      <c r="AF835" s="7">
        <v>0.0</v>
      </c>
    </row>
    <row r="836">
      <c r="G836" s="5"/>
      <c r="H836" s="6"/>
      <c r="AD836" s="5">
        <v>44961.0</v>
      </c>
      <c r="AE836" s="6">
        <v>0.75</v>
      </c>
      <c r="AF836" s="7">
        <v>0.0</v>
      </c>
    </row>
    <row r="837">
      <c r="G837" s="5"/>
      <c r="H837" s="6"/>
      <c r="AD837" s="5">
        <v>44961.0</v>
      </c>
      <c r="AE837" s="6">
        <v>0.7916666666666666</v>
      </c>
      <c r="AF837" s="7">
        <v>0.0</v>
      </c>
    </row>
    <row r="838">
      <c r="G838" s="5"/>
      <c r="H838" s="6"/>
      <c r="AD838" s="5">
        <v>44961.0</v>
      </c>
      <c r="AE838" s="6">
        <v>0.8333333333333334</v>
      </c>
      <c r="AF838" s="7">
        <v>0.0</v>
      </c>
    </row>
    <row r="839">
      <c r="G839" s="5"/>
      <c r="H839" s="6"/>
      <c r="AD839" s="5">
        <v>44961.0</v>
      </c>
      <c r="AE839" s="6">
        <v>0.875</v>
      </c>
      <c r="AF839" s="7">
        <v>0.0</v>
      </c>
    </row>
    <row r="840">
      <c r="G840" s="5"/>
      <c r="H840" s="6"/>
      <c r="AD840" s="5">
        <v>44961.0</v>
      </c>
      <c r="AE840" s="6">
        <v>0.9166666666666666</v>
      </c>
      <c r="AF840" s="7">
        <v>0.0</v>
      </c>
    </row>
    <row r="841">
      <c r="G841" s="5"/>
      <c r="H841" s="6"/>
      <c r="AD841" s="5">
        <v>44961.0</v>
      </c>
      <c r="AE841" s="6">
        <v>0.9583333333333334</v>
      </c>
      <c r="AF841" s="7">
        <v>0.0</v>
      </c>
    </row>
    <row r="842">
      <c r="G842" s="5"/>
      <c r="H842" s="6"/>
      <c r="AD842" s="5">
        <v>44962.0</v>
      </c>
      <c r="AE842" s="6">
        <v>0.0</v>
      </c>
      <c r="AF842" s="7">
        <v>0.0</v>
      </c>
    </row>
    <row r="843">
      <c r="G843" s="5"/>
      <c r="H843" s="6"/>
      <c r="AD843" s="5">
        <v>44962.0</v>
      </c>
      <c r="AE843" s="6">
        <v>0.041666666666666664</v>
      </c>
      <c r="AF843" s="7">
        <v>0.0</v>
      </c>
    </row>
    <row r="844">
      <c r="G844" s="5"/>
      <c r="H844" s="6"/>
      <c r="AD844" s="5">
        <v>44962.0</v>
      </c>
      <c r="AE844" s="6">
        <v>0.08333333333333333</v>
      </c>
      <c r="AF844" s="7">
        <v>0.0</v>
      </c>
    </row>
    <row r="845">
      <c r="G845" s="5"/>
      <c r="H845" s="6"/>
      <c r="AD845" s="5">
        <v>44962.0</v>
      </c>
      <c r="AE845" s="6">
        <v>0.125</v>
      </c>
      <c r="AF845" s="7">
        <v>0.0</v>
      </c>
    </row>
    <row r="846">
      <c r="G846" s="5"/>
      <c r="H846" s="6"/>
      <c r="AD846" s="5">
        <v>44962.0</v>
      </c>
      <c r="AE846" s="6">
        <v>0.16666666666666666</v>
      </c>
      <c r="AF846" s="7">
        <v>0.0</v>
      </c>
    </row>
    <row r="847">
      <c r="G847" s="5"/>
      <c r="H847" s="6"/>
      <c r="AD847" s="5">
        <v>44962.0</v>
      </c>
      <c r="AE847" s="6">
        <v>0.20833333333333334</v>
      </c>
      <c r="AF847" s="7">
        <v>0.0</v>
      </c>
    </row>
    <row r="848">
      <c r="G848" s="5"/>
      <c r="H848" s="6"/>
      <c r="AD848" s="5">
        <v>44962.0</v>
      </c>
      <c r="AE848" s="6">
        <v>0.25</v>
      </c>
      <c r="AF848" s="7">
        <v>0.0</v>
      </c>
    </row>
    <row r="849">
      <c r="G849" s="5"/>
      <c r="H849" s="6"/>
      <c r="AD849" s="5">
        <v>44962.0</v>
      </c>
      <c r="AE849" s="6">
        <v>0.2916666666666667</v>
      </c>
      <c r="AF849" s="7">
        <v>0.0</v>
      </c>
    </row>
    <row r="850">
      <c r="G850" s="5"/>
      <c r="H850" s="6"/>
      <c r="AD850" s="5">
        <v>44962.0</v>
      </c>
      <c r="AE850" s="6">
        <v>0.3333333333333333</v>
      </c>
      <c r="AF850" s="7">
        <v>12480.78</v>
      </c>
    </row>
    <row r="851">
      <c r="G851" s="5"/>
      <c r="H851" s="6"/>
      <c r="AD851" s="5">
        <v>44962.0</v>
      </c>
      <c r="AE851" s="6">
        <v>0.375</v>
      </c>
      <c r="AF851" s="7">
        <v>28082.34</v>
      </c>
    </row>
    <row r="852">
      <c r="G852" s="5"/>
      <c r="H852" s="6"/>
      <c r="AD852" s="5">
        <v>44962.0</v>
      </c>
      <c r="AE852" s="6">
        <v>0.4166666666666667</v>
      </c>
      <c r="AF852" s="7">
        <v>39978.9</v>
      </c>
    </row>
    <row r="853">
      <c r="G853" s="5"/>
      <c r="H853" s="6"/>
      <c r="AD853" s="5">
        <v>44962.0</v>
      </c>
      <c r="AE853" s="6">
        <v>0.4583333333333333</v>
      </c>
      <c r="AF853" s="7">
        <v>46928.7</v>
      </c>
    </row>
    <row r="854">
      <c r="G854" s="5"/>
      <c r="H854" s="6"/>
      <c r="AD854" s="5">
        <v>44962.0</v>
      </c>
      <c r="AE854" s="6">
        <v>0.5</v>
      </c>
      <c r="AF854" s="7">
        <v>48337.38</v>
      </c>
    </row>
    <row r="855">
      <c r="G855" s="5"/>
      <c r="H855" s="6"/>
      <c r="AD855" s="5">
        <v>44962.0</v>
      </c>
      <c r="AE855" s="6">
        <v>0.5416666666666666</v>
      </c>
      <c r="AF855" s="7">
        <v>47462.22</v>
      </c>
    </row>
    <row r="856">
      <c r="G856" s="5"/>
      <c r="H856" s="6"/>
      <c r="AD856" s="5">
        <v>44962.0</v>
      </c>
      <c r="AE856" s="6">
        <v>0.5833333333333334</v>
      </c>
      <c r="AF856" s="7">
        <v>41200.38</v>
      </c>
    </row>
    <row r="857">
      <c r="G857" s="5"/>
      <c r="H857" s="6"/>
      <c r="AD857" s="5">
        <v>44962.0</v>
      </c>
      <c r="AE857" s="6">
        <v>0.625</v>
      </c>
      <c r="AF857" s="7">
        <v>30449.64</v>
      </c>
    </row>
    <row r="858">
      <c r="G858" s="5"/>
      <c r="H858" s="6"/>
      <c r="AD858" s="5">
        <v>44962.0</v>
      </c>
      <c r="AE858" s="6">
        <v>0.6666666666666666</v>
      </c>
      <c r="AF858" s="7">
        <v>15766.14</v>
      </c>
    </row>
    <row r="859">
      <c r="G859" s="5"/>
      <c r="H859" s="6"/>
      <c r="AD859" s="5">
        <v>44962.0</v>
      </c>
      <c r="AE859" s="6">
        <v>0.7083333333333334</v>
      </c>
      <c r="AF859" s="7">
        <v>0.0</v>
      </c>
    </row>
    <row r="860">
      <c r="G860" s="5"/>
      <c r="H860" s="6"/>
      <c r="AD860" s="5">
        <v>44962.0</v>
      </c>
      <c r="AE860" s="6">
        <v>0.75</v>
      </c>
      <c r="AF860" s="7">
        <v>0.0</v>
      </c>
    </row>
    <row r="861">
      <c r="G861" s="5"/>
      <c r="H861" s="6"/>
      <c r="AD861" s="5">
        <v>44962.0</v>
      </c>
      <c r="AE861" s="6">
        <v>0.7916666666666666</v>
      </c>
      <c r="AF861" s="7">
        <v>0.0</v>
      </c>
    </row>
    <row r="862">
      <c r="G862" s="5"/>
      <c r="H862" s="6"/>
      <c r="AD862" s="5">
        <v>44962.0</v>
      </c>
      <c r="AE862" s="6">
        <v>0.8333333333333334</v>
      </c>
      <c r="AF862" s="7">
        <v>0.0</v>
      </c>
    </row>
    <row r="863">
      <c r="G863" s="5"/>
      <c r="H863" s="6"/>
      <c r="AD863" s="5">
        <v>44962.0</v>
      </c>
      <c r="AE863" s="6">
        <v>0.875</v>
      </c>
      <c r="AF863" s="7">
        <v>0.0</v>
      </c>
    </row>
    <row r="864">
      <c r="G864" s="5"/>
      <c r="H864" s="6"/>
      <c r="AD864" s="5">
        <v>44962.0</v>
      </c>
      <c r="AE864" s="6">
        <v>0.9166666666666666</v>
      </c>
      <c r="AF864" s="7">
        <v>0.0</v>
      </c>
    </row>
    <row r="865">
      <c r="G865" s="5"/>
      <c r="H865" s="6"/>
      <c r="AD865" s="5">
        <v>44962.0</v>
      </c>
      <c r="AE865" s="6">
        <v>0.9583333333333334</v>
      </c>
      <c r="AF865" s="7">
        <v>0.0</v>
      </c>
    </row>
    <row r="866">
      <c r="G866" s="5"/>
      <c r="H866" s="6"/>
      <c r="AD866" s="5">
        <v>44963.0</v>
      </c>
      <c r="AE866" s="6">
        <v>0.0</v>
      </c>
      <c r="AF866" s="7">
        <v>0.0</v>
      </c>
    </row>
    <row r="867">
      <c r="G867" s="5"/>
      <c r="H867" s="6"/>
      <c r="AD867" s="5">
        <v>44963.0</v>
      </c>
      <c r="AE867" s="6">
        <v>0.041666666666666664</v>
      </c>
      <c r="AF867" s="7">
        <v>0.0</v>
      </c>
    </row>
    <row r="868">
      <c r="G868" s="5"/>
      <c r="H868" s="6"/>
      <c r="AD868" s="5">
        <v>44963.0</v>
      </c>
      <c r="AE868" s="6">
        <v>0.08333333333333333</v>
      </c>
      <c r="AF868" s="7">
        <v>0.0</v>
      </c>
    </row>
    <row r="869">
      <c r="G869" s="5"/>
      <c r="H869" s="6"/>
      <c r="AD869" s="5">
        <v>44963.0</v>
      </c>
      <c r="AE869" s="6">
        <v>0.125</v>
      </c>
      <c r="AF869" s="7">
        <v>0.0</v>
      </c>
    </row>
    <row r="870">
      <c r="G870" s="5"/>
      <c r="H870" s="6"/>
      <c r="AD870" s="5">
        <v>44963.0</v>
      </c>
      <c r="AE870" s="6">
        <v>0.16666666666666666</v>
      </c>
      <c r="AF870" s="7">
        <v>0.0</v>
      </c>
    </row>
    <row r="871">
      <c r="G871" s="5"/>
      <c r="H871" s="6"/>
      <c r="AD871" s="5">
        <v>44963.0</v>
      </c>
      <c r="AE871" s="6">
        <v>0.20833333333333334</v>
      </c>
      <c r="AF871" s="7">
        <v>0.0</v>
      </c>
    </row>
    <row r="872">
      <c r="G872" s="5"/>
      <c r="H872" s="6"/>
      <c r="AD872" s="5">
        <v>44963.0</v>
      </c>
      <c r="AE872" s="6">
        <v>0.25</v>
      </c>
      <c r="AF872" s="7">
        <v>0.0</v>
      </c>
    </row>
    <row r="873">
      <c r="G873" s="5"/>
      <c r="H873" s="6"/>
      <c r="AD873" s="5">
        <v>44963.0</v>
      </c>
      <c r="AE873" s="6">
        <v>0.2916666666666667</v>
      </c>
      <c r="AF873" s="7">
        <v>0.0</v>
      </c>
    </row>
    <row r="874">
      <c r="G874" s="5"/>
      <c r="H874" s="6"/>
      <c r="AD874" s="5">
        <v>44963.0</v>
      </c>
      <c r="AE874" s="6">
        <v>0.3333333333333333</v>
      </c>
      <c r="AF874" s="7">
        <v>12413.7</v>
      </c>
    </row>
    <row r="875">
      <c r="G875" s="5"/>
      <c r="H875" s="6"/>
      <c r="AD875" s="5">
        <v>44963.0</v>
      </c>
      <c r="AE875" s="6">
        <v>0.375</v>
      </c>
      <c r="AF875" s="7">
        <v>27828.84</v>
      </c>
    </row>
    <row r="876">
      <c r="G876" s="5"/>
      <c r="H876" s="6"/>
      <c r="AD876" s="5">
        <v>44963.0</v>
      </c>
      <c r="AE876" s="6">
        <v>0.4166666666666667</v>
      </c>
      <c r="AF876" s="7">
        <v>39523.38</v>
      </c>
    </row>
    <row r="877">
      <c r="G877" s="5"/>
      <c r="H877" s="6"/>
      <c r="AD877" s="5">
        <v>44963.0</v>
      </c>
      <c r="AE877" s="6">
        <v>0.4583333333333333</v>
      </c>
      <c r="AF877" s="7">
        <v>45879.6</v>
      </c>
    </row>
    <row r="878">
      <c r="G878" s="5"/>
      <c r="H878" s="6"/>
      <c r="AD878" s="5">
        <v>44963.0</v>
      </c>
      <c r="AE878" s="6">
        <v>0.5</v>
      </c>
      <c r="AF878" s="7">
        <v>47392.8</v>
      </c>
    </row>
    <row r="879">
      <c r="G879" s="5"/>
      <c r="H879" s="6"/>
      <c r="AD879" s="5">
        <v>44963.0</v>
      </c>
      <c r="AE879" s="6">
        <v>0.5416666666666666</v>
      </c>
      <c r="AF879" s="7">
        <v>46370.22</v>
      </c>
    </row>
    <row r="880">
      <c r="G880" s="5"/>
      <c r="H880" s="6"/>
      <c r="AD880" s="5">
        <v>44963.0</v>
      </c>
      <c r="AE880" s="6">
        <v>0.5833333333333334</v>
      </c>
      <c r="AF880" s="7">
        <v>40791.66</v>
      </c>
    </row>
    <row r="881">
      <c r="G881" s="5"/>
      <c r="H881" s="6"/>
      <c r="AD881" s="5">
        <v>44963.0</v>
      </c>
      <c r="AE881" s="6">
        <v>0.625</v>
      </c>
      <c r="AF881" s="7">
        <v>30207.84</v>
      </c>
    </row>
    <row r="882">
      <c r="G882" s="5"/>
      <c r="H882" s="6"/>
      <c r="AD882" s="5">
        <v>44963.0</v>
      </c>
      <c r="AE882" s="6">
        <v>0.6666666666666666</v>
      </c>
      <c r="AF882" s="7">
        <v>15539.94</v>
      </c>
    </row>
    <row r="883">
      <c r="G883" s="5"/>
      <c r="H883" s="6"/>
      <c r="AD883" s="5">
        <v>44963.0</v>
      </c>
      <c r="AE883" s="6">
        <v>0.7083333333333334</v>
      </c>
      <c r="AF883" s="7">
        <v>0.0</v>
      </c>
    </row>
    <row r="884">
      <c r="G884" s="5"/>
      <c r="H884" s="6"/>
      <c r="AD884" s="5">
        <v>44963.0</v>
      </c>
      <c r="AE884" s="6">
        <v>0.75</v>
      </c>
      <c r="AF884" s="7">
        <v>0.0</v>
      </c>
    </row>
    <row r="885">
      <c r="G885" s="5"/>
      <c r="H885" s="6"/>
      <c r="AD885" s="5">
        <v>44963.0</v>
      </c>
      <c r="AE885" s="6">
        <v>0.7916666666666666</v>
      </c>
      <c r="AF885" s="7">
        <v>0.0</v>
      </c>
    </row>
    <row r="886">
      <c r="G886" s="5"/>
      <c r="H886" s="6"/>
      <c r="AD886" s="5">
        <v>44963.0</v>
      </c>
      <c r="AE886" s="6">
        <v>0.8333333333333334</v>
      </c>
      <c r="AF886" s="7">
        <v>0.0</v>
      </c>
    </row>
    <row r="887">
      <c r="G887" s="5"/>
      <c r="H887" s="6"/>
      <c r="AD887" s="5">
        <v>44963.0</v>
      </c>
      <c r="AE887" s="6">
        <v>0.875</v>
      </c>
      <c r="AF887" s="7">
        <v>0.0</v>
      </c>
    </row>
    <row r="888">
      <c r="G888" s="5"/>
      <c r="H888" s="6"/>
      <c r="AD888" s="5">
        <v>44963.0</v>
      </c>
      <c r="AE888" s="6">
        <v>0.9166666666666666</v>
      </c>
      <c r="AF888" s="7">
        <v>0.0</v>
      </c>
    </row>
    <row r="889">
      <c r="G889" s="5"/>
      <c r="H889" s="6"/>
      <c r="AD889" s="5">
        <v>44963.0</v>
      </c>
      <c r="AE889" s="6">
        <v>0.9583333333333334</v>
      </c>
      <c r="AF889" s="7">
        <v>0.0</v>
      </c>
    </row>
    <row r="890">
      <c r="G890" s="5"/>
      <c r="H890" s="6"/>
      <c r="AD890" s="5">
        <v>44964.0</v>
      </c>
      <c r="AE890" s="6">
        <v>0.0</v>
      </c>
      <c r="AF890" s="7">
        <v>0.0</v>
      </c>
    </row>
    <row r="891">
      <c r="G891" s="5"/>
      <c r="H891" s="6"/>
      <c r="AD891" s="5">
        <v>44964.0</v>
      </c>
      <c r="AE891" s="6">
        <v>0.041666666666666664</v>
      </c>
      <c r="AF891" s="7">
        <v>0.0</v>
      </c>
    </row>
    <row r="892">
      <c r="G892" s="5"/>
      <c r="H892" s="6"/>
      <c r="AD892" s="5">
        <v>44964.0</v>
      </c>
      <c r="AE892" s="6">
        <v>0.08333333333333333</v>
      </c>
      <c r="AF892" s="7">
        <v>0.0</v>
      </c>
    </row>
    <row r="893">
      <c r="G893" s="5"/>
      <c r="H893" s="6"/>
      <c r="AD893" s="5">
        <v>44964.0</v>
      </c>
      <c r="AE893" s="6">
        <v>0.125</v>
      </c>
      <c r="AF893" s="7">
        <v>0.0</v>
      </c>
    </row>
    <row r="894">
      <c r="G894" s="5"/>
      <c r="H894" s="6"/>
      <c r="AD894" s="5">
        <v>44964.0</v>
      </c>
      <c r="AE894" s="6">
        <v>0.16666666666666666</v>
      </c>
      <c r="AF894" s="7">
        <v>0.0</v>
      </c>
    </row>
    <row r="895">
      <c r="G895" s="5"/>
      <c r="H895" s="6"/>
      <c r="AD895" s="5">
        <v>44964.0</v>
      </c>
      <c r="AE895" s="6">
        <v>0.20833333333333334</v>
      </c>
      <c r="AF895" s="7">
        <v>0.0</v>
      </c>
    </row>
    <row r="896">
      <c r="G896" s="5"/>
      <c r="H896" s="6"/>
      <c r="AD896" s="5">
        <v>44964.0</v>
      </c>
      <c r="AE896" s="6">
        <v>0.25</v>
      </c>
      <c r="AF896" s="7">
        <v>0.0</v>
      </c>
    </row>
    <row r="897">
      <c r="G897" s="5"/>
      <c r="H897" s="6"/>
      <c r="AD897" s="5">
        <v>44964.0</v>
      </c>
      <c r="AE897" s="6">
        <v>0.2916666666666667</v>
      </c>
      <c r="AF897" s="7">
        <v>0.0</v>
      </c>
    </row>
    <row r="898">
      <c r="G898" s="5"/>
      <c r="H898" s="6"/>
      <c r="AD898" s="5">
        <v>44964.0</v>
      </c>
      <c r="AE898" s="6">
        <v>0.3333333333333333</v>
      </c>
      <c r="AF898" s="7">
        <v>4525.56</v>
      </c>
    </row>
    <row r="899">
      <c r="G899" s="5"/>
      <c r="H899" s="6"/>
      <c r="AD899" s="5">
        <v>44964.0</v>
      </c>
      <c r="AE899" s="6">
        <v>0.375</v>
      </c>
      <c r="AF899" s="7">
        <v>5594.16</v>
      </c>
    </row>
    <row r="900">
      <c r="G900" s="5"/>
      <c r="H900" s="6"/>
      <c r="AD900" s="5">
        <v>44964.0</v>
      </c>
      <c r="AE900" s="6">
        <v>0.4166666666666667</v>
      </c>
      <c r="AF900" s="7">
        <v>4029.48</v>
      </c>
    </row>
    <row r="901">
      <c r="G901" s="5"/>
      <c r="H901" s="6"/>
      <c r="AD901" s="5">
        <v>44964.0</v>
      </c>
      <c r="AE901" s="6">
        <v>0.4583333333333333</v>
      </c>
      <c r="AF901" s="7">
        <v>3617.64</v>
      </c>
    </row>
    <row r="902">
      <c r="G902" s="5"/>
      <c r="H902" s="6"/>
      <c r="AD902" s="5">
        <v>44964.0</v>
      </c>
      <c r="AE902" s="6">
        <v>0.5</v>
      </c>
      <c r="AF902" s="7">
        <v>5381.22</v>
      </c>
    </row>
    <row r="903">
      <c r="G903" s="5"/>
      <c r="H903" s="6"/>
      <c r="AD903" s="5">
        <v>44964.0</v>
      </c>
      <c r="AE903" s="6">
        <v>0.5416666666666666</v>
      </c>
      <c r="AF903" s="7">
        <v>10663.38</v>
      </c>
    </row>
    <row r="904">
      <c r="G904" s="5"/>
      <c r="H904" s="6"/>
      <c r="AD904" s="5">
        <v>44964.0</v>
      </c>
      <c r="AE904" s="6">
        <v>0.5833333333333334</v>
      </c>
      <c r="AF904" s="7">
        <v>11032.32</v>
      </c>
    </row>
    <row r="905">
      <c r="G905" s="5"/>
      <c r="H905" s="6"/>
      <c r="AD905" s="5">
        <v>44964.0</v>
      </c>
      <c r="AE905" s="6">
        <v>0.625</v>
      </c>
      <c r="AF905" s="7">
        <v>4614.48</v>
      </c>
    </row>
    <row r="906">
      <c r="G906" s="5"/>
      <c r="H906" s="6"/>
      <c r="AD906" s="5">
        <v>44964.0</v>
      </c>
      <c r="AE906" s="6">
        <v>0.6666666666666666</v>
      </c>
      <c r="AF906" s="7">
        <v>9794.46</v>
      </c>
    </row>
    <row r="907">
      <c r="G907" s="5"/>
      <c r="H907" s="6"/>
      <c r="AD907" s="5">
        <v>44964.0</v>
      </c>
      <c r="AE907" s="6">
        <v>0.7083333333333334</v>
      </c>
      <c r="AF907" s="7">
        <v>0.0</v>
      </c>
    </row>
    <row r="908">
      <c r="G908" s="5"/>
      <c r="H908" s="6"/>
      <c r="AD908" s="5">
        <v>44964.0</v>
      </c>
      <c r="AE908" s="6">
        <v>0.75</v>
      </c>
      <c r="AF908" s="7">
        <v>0.0</v>
      </c>
    </row>
    <row r="909">
      <c r="G909" s="5"/>
      <c r="H909" s="6"/>
      <c r="AD909" s="5">
        <v>44964.0</v>
      </c>
      <c r="AE909" s="6">
        <v>0.7916666666666666</v>
      </c>
      <c r="AF909" s="7">
        <v>0.0</v>
      </c>
    </row>
    <row r="910">
      <c r="G910" s="5"/>
      <c r="H910" s="6"/>
      <c r="AD910" s="5">
        <v>44964.0</v>
      </c>
      <c r="AE910" s="6">
        <v>0.8333333333333334</v>
      </c>
      <c r="AF910" s="7">
        <v>0.0</v>
      </c>
    </row>
    <row r="911">
      <c r="G911" s="5"/>
      <c r="H911" s="6"/>
      <c r="AD911" s="5">
        <v>44964.0</v>
      </c>
      <c r="AE911" s="6">
        <v>0.875</v>
      </c>
      <c r="AF911" s="7">
        <v>0.0</v>
      </c>
    </row>
    <row r="912">
      <c r="G912" s="5"/>
      <c r="H912" s="6"/>
      <c r="AD912" s="5">
        <v>44964.0</v>
      </c>
      <c r="AE912" s="6">
        <v>0.9166666666666666</v>
      </c>
      <c r="AF912" s="7">
        <v>0.0</v>
      </c>
    </row>
    <row r="913">
      <c r="G913" s="5"/>
      <c r="H913" s="6"/>
      <c r="AD913" s="5">
        <v>44964.0</v>
      </c>
      <c r="AE913" s="6">
        <v>0.9583333333333334</v>
      </c>
      <c r="AF913" s="7">
        <v>0.0</v>
      </c>
    </row>
    <row r="914">
      <c r="G914" s="5"/>
      <c r="H914" s="6"/>
      <c r="AD914" s="5">
        <v>44965.0</v>
      </c>
      <c r="AE914" s="6">
        <v>0.0</v>
      </c>
      <c r="AF914" s="7">
        <v>0.0</v>
      </c>
    </row>
    <row r="915">
      <c r="G915" s="5"/>
      <c r="H915" s="6"/>
      <c r="AD915" s="5">
        <v>44965.0</v>
      </c>
      <c r="AE915" s="6">
        <v>0.041666666666666664</v>
      </c>
      <c r="AF915" s="7">
        <v>0.0</v>
      </c>
    </row>
    <row r="916">
      <c r="G916" s="5"/>
      <c r="H916" s="6"/>
      <c r="AD916" s="5">
        <v>44965.0</v>
      </c>
      <c r="AE916" s="6">
        <v>0.08333333333333333</v>
      </c>
      <c r="AF916" s="7">
        <v>0.0</v>
      </c>
    </row>
    <row r="917">
      <c r="G917" s="5"/>
      <c r="H917" s="6"/>
      <c r="AD917" s="5">
        <v>44965.0</v>
      </c>
      <c r="AE917" s="6">
        <v>0.125</v>
      </c>
      <c r="AF917" s="7">
        <v>0.0</v>
      </c>
    </row>
    <row r="918">
      <c r="G918" s="5"/>
      <c r="H918" s="6"/>
      <c r="AD918" s="5">
        <v>44965.0</v>
      </c>
      <c r="AE918" s="6">
        <v>0.16666666666666666</v>
      </c>
      <c r="AF918" s="7">
        <v>0.0</v>
      </c>
    </row>
    <row r="919">
      <c r="G919" s="5"/>
      <c r="H919" s="6"/>
      <c r="AD919" s="5">
        <v>44965.0</v>
      </c>
      <c r="AE919" s="6">
        <v>0.20833333333333334</v>
      </c>
      <c r="AF919" s="7">
        <v>0.0</v>
      </c>
    </row>
    <row r="920">
      <c r="G920" s="5"/>
      <c r="H920" s="6"/>
      <c r="AD920" s="5">
        <v>44965.0</v>
      </c>
      <c r="AE920" s="6">
        <v>0.25</v>
      </c>
      <c r="AF920" s="7">
        <v>0.0</v>
      </c>
    </row>
    <row r="921">
      <c r="G921" s="5"/>
      <c r="H921" s="6"/>
      <c r="AD921" s="5">
        <v>44965.0</v>
      </c>
      <c r="AE921" s="6">
        <v>0.2916666666666667</v>
      </c>
      <c r="AF921" s="7">
        <v>0.0</v>
      </c>
    </row>
    <row r="922">
      <c r="G922" s="5"/>
      <c r="H922" s="6"/>
      <c r="AD922" s="5">
        <v>44965.0</v>
      </c>
      <c r="AE922" s="6">
        <v>0.3333333333333333</v>
      </c>
      <c r="AF922" s="7">
        <v>6848.4</v>
      </c>
    </row>
    <row r="923">
      <c r="G923" s="5"/>
      <c r="H923" s="6"/>
      <c r="AD923" s="5">
        <v>44965.0</v>
      </c>
      <c r="AE923" s="6">
        <v>0.375</v>
      </c>
      <c r="AF923" s="7">
        <v>13861.38</v>
      </c>
    </row>
    <row r="924">
      <c r="G924" s="5"/>
      <c r="H924" s="6"/>
      <c r="AD924" s="5">
        <v>44965.0</v>
      </c>
      <c r="AE924" s="6">
        <v>0.4166666666666667</v>
      </c>
      <c r="AF924" s="7">
        <v>16376.88</v>
      </c>
    </row>
    <row r="925">
      <c r="G925" s="5"/>
      <c r="H925" s="6"/>
      <c r="AD925" s="5">
        <v>44965.0</v>
      </c>
      <c r="AE925" s="6">
        <v>0.4583333333333333</v>
      </c>
      <c r="AF925" s="7">
        <v>18896.28</v>
      </c>
    </row>
    <row r="926">
      <c r="G926" s="5"/>
      <c r="H926" s="6"/>
      <c r="AD926" s="5">
        <v>44965.0</v>
      </c>
      <c r="AE926" s="6">
        <v>0.5</v>
      </c>
      <c r="AF926" s="7">
        <v>20765.94</v>
      </c>
    </row>
    <row r="927">
      <c r="G927" s="5"/>
      <c r="H927" s="6"/>
      <c r="AD927" s="5">
        <v>44965.0</v>
      </c>
      <c r="AE927" s="6">
        <v>0.5416666666666666</v>
      </c>
      <c r="AF927" s="7">
        <v>21446.1</v>
      </c>
    </row>
    <row r="928">
      <c r="G928" s="5"/>
      <c r="H928" s="6"/>
      <c r="AD928" s="5">
        <v>44965.0</v>
      </c>
      <c r="AE928" s="6">
        <v>0.5833333333333334</v>
      </c>
      <c r="AF928" s="7">
        <v>27030.9</v>
      </c>
    </row>
    <row r="929">
      <c r="G929" s="5"/>
      <c r="H929" s="6"/>
      <c r="AD929" s="5">
        <v>44965.0</v>
      </c>
      <c r="AE929" s="6">
        <v>0.625</v>
      </c>
      <c r="AF929" s="7">
        <v>7220.46</v>
      </c>
    </row>
    <row r="930">
      <c r="G930" s="5"/>
      <c r="H930" s="6"/>
      <c r="AD930" s="5">
        <v>44965.0</v>
      </c>
      <c r="AE930" s="6">
        <v>0.6666666666666666</v>
      </c>
      <c r="AF930" s="7">
        <v>5869.5</v>
      </c>
    </row>
    <row r="931">
      <c r="G931" s="5"/>
      <c r="H931" s="6"/>
      <c r="AD931" s="5">
        <v>44965.0</v>
      </c>
      <c r="AE931" s="6">
        <v>0.7083333333333334</v>
      </c>
      <c r="AF931" s="7">
        <v>0.0</v>
      </c>
    </row>
    <row r="932">
      <c r="G932" s="5"/>
      <c r="H932" s="6"/>
      <c r="AD932" s="5">
        <v>44965.0</v>
      </c>
      <c r="AE932" s="6">
        <v>0.75</v>
      </c>
      <c r="AF932" s="7">
        <v>0.0</v>
      </c>
    </row>
    <row r="933">
      <c r="G933" s="5"/>
      <c r="H933" s="6"/>
      <c r="AD933" s="5">
        <v>44965.0</v>
      </c>
      <c r="AE933" s="6">
        <v>0.7916666666666666</v>
      </c>
      <c r="AF933" s="7">
        <v>0.0</v>
      </c>
    </row>
    <row r="934">
      <c r="G934" s="5"/>
      <c r="H934" s="6"/>
      <c r="AD934" s="5">
        <v>44965.0</v>
      </c>
      <c r="AE934" s="6">
        <v>0.8333333333333334</v>
      </c>
      <c r="AF934" s="7">
        <v>0.0</v>
      </c>
    </row>
    <row r="935">
      <c r="G935" s="5"/>
      <c r="H935" s="6"/>
      <c r="AD935" s="5">
        <v>44965.0</v>
      </c>
      <c r="AE935" s="6">
        <v>0.875</v>
      </c>
      <c r="AF935" s="7">
        <v>0.0</v>
      </c>
    </row>
    <row r="936">
      <c r="G936" s="5"/>
      <c r="H936" s="6"/>
      <c r="AD936" s="5">
        <v>44965.0</v>
      </c>
      <c r="AE936" s="6">
        <v>0.9166666666666666</v>
      </c>
      <c r="AF936" s="7">
        <v>0.0</v>
      </c>
    </row>
    <row r="937">
      <c r="G937" s="5"/>
      <c r="H937" s="6"/>
      <c r="AD937" s="5">
        <v>44965.0</v>
      </c>
      <c r="AE937" s="6">
        <v>0.9583333333333334</v>
      </c>
      <c r="AF937" s="7">
        <v>0.0</v>
      </c>
    </row>
    <row r="938">
      <c r="G938" s="5"/>
      <c r="H938" s="6"/>
      <c r="AD938" s="5">
        <v>44966.0</v>
      </c>
      <c r="AE938" s="6">
        <v>0.0</v>
      </c>
      <c r="AF938" s="7">
        <v>0.0</v>
      </c>
    </row>
    <row r="939">
      <c r="G939" s="5"/>
      <c r="H939" s="6"/>
      <c r="AD939" s="5">
        <v>44966.0</v>
      </c>
      <c r="AE939" s="6">
        <v>0.041666666666666664</v>
      </c>
      <c r="AF939" s="7">
        <v>0.0</v>
      </c>
    </row>
    <row r="940">
      <c r="G940" s="5"/>
      <c r="H940" s="6"/>
      <c r="AD940" s="5">
        <v>44966.0</v>
      </c>
      <c r="AE940" s="6">
        <v>0.08333333333333333</v>
      </c>
      <c r="AF940" s="7">
        <v>0.0</v>
      </c>
    </row>
    <row r="941">
      <c r="G941" s="5"/>
      <c r="H941" s="6"/>
      <c r="AD941" s="5">
        <v>44966.0</v>
      </c>
      <c r="AE941" s="6">
        <v>0.125</v>
      </c>
      <c r="AF941" s="7">
        <v>0.0</v>
      </c>
    </row>
    <row r="942">
      <c r="G942" s="5"/>
      <c r="H942" s="6"/>
      <c r="AD942" s="5">
        <v>44966.0</v>
      </c>
      <c r="AE942" s="6">
        <v>0.16666666666666666</v>
      </c>
      <c r="AF942" s="7">
        <v>0.0</v>
      </c>
    </row>
    <row r="943">
      <c r="G943" s="5"/>
      <c r="H943" s="6"/>
      <c r="AD943" s="5">
        <v>44966.0</v>
      </c>
      <c r="AE943" s="6">
        <v>0.20833333333333334</v>
      </c>
      <c r="AF943" s="7">
        <v>0.0</v>
      </c>
    </row>
    <row r="944">
      <c r="G944" s="5"/>
      <c r="H944" s="6"/>
      <c r="AD944" s="5">
        <v>44966.0</v>
      </c>
      <c r="AE944" s="6">
        <v>0.25</v>
      </c>
      <c r="AF944" s="7">
        <v>0.0</v>
      </c>
    </row>
    <row r="945">
      <c r="G945" s="5"/>
      <c r="H945" s="6"/>
      <c r="AD945" s="5">
        <v>44966.0</v>
      </c>
      <c r="AE945" s="6">
        <v>0.2916666666666667</v>
      </c>
      <c r="AF945" s="7">
        <v>0.0</v>
      </c>
    </row>
    <row r="946">
      <c r="G946" s="5"/>
      <c r="H946" s="6"/>
      <c r="AD946" s="5">
        <v>44966.0</v>
      </c>
      <c r="AE946" s="6">
        <v>0.3333333333333333</v>
      </c>
      <c r="AF946" s="7">
        <v>3818.88</v>
      </c>
    </row>
    <row r="947">
      <c r="G947" s="5"/>
      <c r="H947" s="6"/>
      <c r="AD947" s="5">
        <v>44966.0</v>
      </c>
      <c r="AE947" s="6">
        <v>0.375</v>
      </c>
      <c r="AF947" s="7">
        <v>8533.2</v>
      </c>
    </row>
    <row r="948">
      <c r="G948" s="5"/>
      <c r="H948" s="6"/>
      <c r="AD948" s="5">
        <v>44966.0</v>
      </c>
      <c r="AE948" s="6">
        <v>0.4166666666666667</v>
      </c>
      <c r="AF948" s="7">
        <v>21102.12</v>
      </c>
    </row>
    <row r="949">
      <c r="G949" s="5"/>
      <c r="H949" s="6"/>
      <c r="AD949" s="5">
        <v>44966.0</v>
      </c>
      <c r="AE949" s="6">
        <v>0.4583333333333333</v>
      </c>
      <c r="AF949" s="7">
        <v>23043.54</v>
      </c>
    </row>
    <row r="950">
      <c r="G950" s="5"/>
      <c r="H950" s="6"/>
      <c r="AD950" s="5">
        <v>44966.0</v>
      </c>
      <c r="AE950" s="6">
        <v>0.5</v>
      </c>
      <c r="AF950" s="7">
        <v>18606.12</v>
      </c>
    </row>
    <row r="951">
      <c r="G951" s="5"/>
      <c r="H951" s="6"/>
      <c r="AD951" s="5">
        <v>44966.0</v>
      </c>
      <c r="AE951" s="6">
        <v>0.5416666666666666</v>
      </c>
      <c r="AF951" s="7">
        <v>39186.42</v>
      </c>
    </row>
    <row r="952">
      <c r="G952" s="5"/>
      <c r="H952" s="6"/>
      <c r="AD952" s="5">
        <v>44966.0</v>
      </c>
      <c r="AE952" s="6">
        <v>0.5833333333333334</v>
      </c>
      <c r="AF952" s="7">
        <v>27860.04</v>
      </c>
    </row>
    <row r="953">
      <c r="G953" s="5"/>
      <c r="H953" s="6"/>
      <c r="AD953" s="5">
        <v>44966.0</v>
      </c>
      <c r="AE953" s="6">
        <v>0.625</v>
      </c>
      <c r="AF953" s="7">
        <v>32093.1</v>
      </c>
    </row>
    <row r="954">
      <c r="G954" s="5"/>
      <c r="H954" s="6"/>
      <c r="AD954" s="5">
        <v>44966.0</v>
      </c>
      <c r="AE954" s="6">
        <v>0.6666666666666666</v>
      </c>
      <c r="AF954" s="7">
        <v>16911.96</v>
      </c>
    </row>
    <row r="955">
      <c r="G955" s="5"/>
      <c r="H955" s="6"/>
      <c r="AD955" s="5">
        <v>44966.0</v>
      </c>
      <c r="AE955" s="6">
        <v>0.7083333333333334</v>
      </c>
      <c r="AF955" s="7">
        <v>71.76</v>
      </c>
    </row>
    <row r="956">
      <c r="G956" s="5"/>
      <c r="H956" s="6"/>
      <c r="AD956" s="5">
        <v>44966.0</v>
      </c>
      <c r="AE956" s="6">
        <v>0.75</v>
      </c>
      <c r="AF956" s="7">
        <v>0.0</v>
      </c>
    </row>
    <row r="957">
      <c r="G957" s="5"/>
      <c r="H957" s="6"/>
      <c r="AD957" s="5">
        <v>44966.0</v>
      </c>
      <c r="AE957" s="6">
        <v>0.7916666666666666</v>
      </c>
      <c r="AF957" s="7">
        <v>0.0</v>
      </c>
    </row>
    <row r="958">
      <c r="G958" s="5"/>
      <c r="H958" s="6"/>
      <c r="AD958" s="5">
        <v>44966.0</v>
      </c>
      <c r="AE958" s="6">
        <v>0.8333333333333334</v>
      </c>
      <c r="AF958" s="7">
        <v>0.0</v>
      </c>
    </row>
    <row r="959">
      <c r="G959" s="5"/>
      <c r="H959" s="6"/>
      <c r="AD959" s="5">
        <v>44966.0</v>
      </c>
      <c r="AE959" s="6">
        <v>0.875</v>
      </c>
      <c r="AF959" s="7">
        <v>0.0</v>
      </c>
    </row>
    <row r="960">
      <c r="G960" s="5"/>
      <c r="H960" s="6"/>
      <c r="AD960" s="5">
        <v>44966.0</v>
      </c>
      <c r="AE960" s="6">
        <v>0.9166666666666666</v>
      </c>
      <c r="AF960" s="7">
        <v>0.0</v>
      </c>
    </row>
    <row r="961">
      <c r="G961" s="5"/>
      <c r="H961" s="6"/>
      <c r="AD961" s="5">
        <v>44966.0</v>
      </c>
      <c r="AE961" s="6">
        <v>0.9583333333333334</v>
      </c>
      <c r="AF961" s="7">
        <v>0.0</v>
      </c>
    </row>
    <row r="962">
      <c r="G962" s="5"/>
      <c r="H962" s="6"/>
      <c r="AD962" s="5">
        <v>44967.0</v>
      </c>
      <c r="AE962" s="6">
        <v>0.0</v>
      </c>
      <c r="AF962" s="7">
        <v>0.0</v>
      </c>
    </row>
    <row r="963">
      <c r="G963" s="5"/>
      <c r="H963" s="6"/>
      <c r="AD963" s="5">
        <v>44967.0</v>
      </c>
      <c r="AE963" s="6">
        <v>0.041666666666666664</v>
      </c>
      <c r="AF963" s="7">
        <v>0.0</v>
      </c>
    </row>
    <row r="964">
      <c r="G964" s="5"/>
      <c r="H964" s="6"/>
      <c r="AD964" s="5">
        <v>44967.0</v>
      </c>
      <c r="AE964" s="6">
        <v>0.08333333333333333</v>
      </c>
      <c r="AF964" s="7">
        <v>0.0</v>
      </c>
    </row>
    <row r="965">
      <c r="G965" s="5"/>
      <c r="H965" s="6"/>
      <c r="AD965" s="5">
        <v>44967.0</v>
      </c>
      <c r="AE965" s="6">
        <v>0.125</v>
      </c>
      <c r="AF965" s="7">
        <v>0.0</v>
      </c>
    </row>
    <row r="966">
      <c r="G966" s="5"/>
      <c r="H966" s="6"/>
      <c r="AD966" s="5">
        <v>44967.0</v>
      </c>
      <c r="AE966" s="6">
        <v>0.16666666666666666</v>
      </c>
      <c r="AF966" s="7">
        <v>0.0</v>
      </c>
    </row>
    <row r="967">
      <c r="G967" s="5"/>
      <c r="H967" s="6"/>
      <c r="AD967" s="5">
        <v>44967.0</v>
      </c>
      <c r="AE967" s="6">
        <v>0.20833333333333334</v>
      </c>
      <c r="AF967" s="7">
        <v>0.0</v>
      </c>
    </row>
    <row r="968">
      <c r="G968" s="5"/>
      <c r="H968" s="6"/>
      <c r="AD968" s="5">
        <v>44967.0</v>
      </c>
      <c r="AE968" s="6">
        <v>0.25</v>
      </c>
      <c r="AF968" s="7">
        <v>0.0</v>
      </c>
    </row>
    <row r="969">
      <c r="G969" s="5"/>
      <c r="H969" s="6"/>
      <c r="AD969" s="5">
        <v>44967.0</v>
      </c>
      <c r="AE969" s="6">
        <v>0.2916666666666667</v>
      </c>
      <c r="AF969" s="7">
        <v>0.0</v>
      </c>
    </row>
    <row r="970">
      <c r="G970" s="5"/>
      <c r="H970" s="6"/>
      <c r="AD970" s="5">
        <v>44967.0</v>
      </c>
      <c r="AE970" s="6">
        <v>0.3333333333333333</v>
      </c>
      <c r="AF970" s="7">
        <v>14066.52</v>
      </c>
    </row>
    <row r="971">
      <c r="G971" s="5"/>
      <c r="H971" s="6"/>
      <c r="AD971" s="5">
        <v>44967.0</v>
      </c>
      <c r="AE971" s="6">
        <v>0.375</v>
      </c>
      <c r="AF971" s="7">
        <v>29896.62</v>
      </c>
    </row>
    <row r="972">
      <c r="G972" s="5"/>
      <c r="H972" s="6"/>
      <c r="AD972" s="5">
        <v>44967.0</v>
      </c>
      <c r="AE972" s="6">
        <v>0.4166666666666667</v>
      </c>
      <c r="AF972" s="7">
        <v>42024.06</v>
      </c>
    </row>
    <row r="973">
      <c r="G973" s="5"/>
      <c r="H973" s="6"/>
      <c r="AD973" s="5">
        <v>44967.0</v>
      </c>
      <c r="AE973" s="6">
        <v>0.4583333333333333</v>
      </c>
      <c r="AF973" s="7">
        <v>49936.38</v>
      </c>
    </row>
    <row r="974">
      <c r="G974" s="5"/>
      <c r="H974" s="6"/>
      <c r="AD974" s="5">
        <v>44967.0</v>
      </c>
      <c r="AE974" s="6">
        <v>0.5</v>
      </c>
      <c r="AF974" s="7">
        <v>51770.94</v>
      </c>
    </row>
    <row r="975">
      <c r="G975" s="5"/>
      <c r="H975" s="6"/>
      <c r="AD975" s="5">
        <v>44967.0</v>
      </c>
      <c r="AE975" s="6">
        <v>0.5416666666666666</v>
      </c>
      <c r="AF975" s="7">
        <v>49194.6</v>
      </c>
    </row>
    <row r="976">
      <c r="G976" s="5"/>
      <c r="H976" s="6"/>
      <c r="AD976" s="5">
        <v>44967.0</v>
      </c>
      <c r="AE976" s="6">
        <v>0.5833333333333334</v>
      </c>
      <c r="AF976" s="7">
        <v>42905.46</v>
      </c>
    </row>
    <row r="977">
      <c r="G977" s="5"/>
      <c r="H977" s="6"/>
      <c r="AD977" s="5">
        <v>44967.0</v>
      </c>
      <c r="AE977" s="6">
        <v>0.625</v>
      </c>
      <c r="AF977" s="7">
        <v>32423.04</v>
      </c>
    </row>
    <row r="978">
      <c r="G978" s="5"/>
      <c r="H978" s="6"/>
      <c r="AD978" s="5">
        <v>44967.0</v>
      </c>
      <c r="AE978" s="6">
        <v>0.6666666666666666</v>
      </c>
      <c r="AF978" s="7">
        <v>17816.76</v>
      </c>
    </row>
    <row r="979">
      <c r="G979" s="5"/>
      <c r="H979" s="6"/>
      <c r="AD979" s="5">
        <v>44967.0</v>
      </c>
      <c r="AE979" s="6">
        <v>0.7083333333333334</v>
      </c>
      <c r="AF979" s="7">
        <v>144.3</v>
      </c>
    </row>
    <row r="980">
      <c r="G980" s="5"/>
      <c r="H980" s="6"/>
      <c r="AD980" s="5">
        <v>44967.0</v>
      </c>
      <c r="AE980" s="6">
        <v>0.75</v>
      </c>
      <c r="AF980" s="7">
        <v>0.0</v>
      </c>
    </row>
    <row r="981">
      <c r="G981" s="5"/>
      <c r="H981" s="6"/>
      <c r="AD981" s="5">
        <v>44967.0</v>
      </c>
      <c r="AE981" s="6">
        <v>0.7916666666666666</v>
      </c>
      <c r="AF981" s="7">
        <v>0.0</v>
      </c>
    </row>
    <row r="982">
      <c r="G982" s="5"/>
      <c r="H982" s="6"/>
      <c r="AD982" s="5">
        <v>44967.0</v>
      </c>
      <c r="AE982" s="6">
        <v>0.8333333333333334</v>
      </c>
      <c r="AF982" s="7">
        <v>0.0</v>
      </c>
    </row>
    <row r="983">
      <c r="G983" s="5"/>
      <c r="H983" s="6"/>
      <c r="AD983" s="5">
        <v>44967.0</v>
      </c>
      <c r="AE983" s="6">
        <v>0.875</v>
      </c>
      <c r="AF983" s="7">
        <v>0.0</v>
      </c>
    </row>
    <row r="984">
      <c r="G984" s="5"/>
      <c r="H984" s="6"/>
      <c r="AD984" s="5">
        <v>44967.0</v>
      </c>
      <c r="AE984" s="6">
        <v>0.9166666666666666</v>
      </c>
      <c r="AF984" s="7">
        <v>0.0</v>
      </c>
    </row>
    <row r="985">
      <c r="G985" s="5"/>
      <c r="H985" s="6"/>
      <c r="AD985" s="5">
        <v>44967.0</v>
      </c>
      <c r="AE985" s="6">
        <v>0.9583333333333334</v>
      </c>
      <c r="AF985" s="7">
        <v>0.0</v>
      </c>
    </row>
    <row r="986">
      <c r="G986" s="5"/>
      <c r="H986" s="6"/>
      <c r="AD986" s="5">
        <v>44968.0</v>
      </c>
      <c r="AE986" s="6">
        <v>0.0</v>
      </c>
      <c r="AF986" s="7">
        <v>0.0</v>
      </c>
    </row>
    <row r="987">
      <c r="G987" s="5"/>
      <c r="H987" s="6"/>
      <c r="AD987" s="5">
        <v>44968.0</v>
      </c>
      <c r="AE987" s="6">
        <v>0.041666666666666664</v>
      </c>
      <c r="AF987" s="7">
        <v>0.0</v>
      </c>
    </row>
    <row r="988">
      <c r="G988" s="5"/>
      <c r="H988" s="6"/>
      <c r="AD988" s="5">
        <v>44968.0</v>
      </c>
      <c r="AE988" s="6">
        <v>0.08333333333333333</v>
      </c>
      <c r="AF988" s="7">
        <v>0.0</v>
      </c>
    </row>
    <row r="989">
      <c r="G989" s="5"/>
      <c r="H989" s="6"/>
      <c r="AD989" s="5">
        <v>44968.0</v>
      </c>
      <c r="AE989" s="6">
        <v>0.125</v>
      </c>
      <c r="AF989" s="7">
        <v>0.0</v>
      </c>
    </row>
    <row r="990">
      <c r="G990" s="5"/>
      <c r="H990" s="6"/>
      <c r="AD990" s="5">
        <v>44968.0</v>
      </c>
      <c r="AE990" s="6">
        <v>0.16666666666666666</v>
      </c>
      <c r="AF990" s="7">
        <v>0.0</v>
      </c>
    </row>
    <row r="991">
      <c r="G991" s="5"/>
      <c r="H991" s="6"/>
      <c r="AD991" s="5">
        <v>44968.0</v>
      </c>
      <c r="AE991" s="6">
        <v>0.20833333333333334</v>
      </c>
      <c r="AF991" s="7">
        <v>0.0</v>
      </c>
    </row>
    <row r="992">
      <c r="G992" s="5"/>
      <c r="H992" s="6"/>
      <c r="AD992" s="5">
        <v>44968.0</v>
      </c>
      <c r="AE992" s="6">
        <v>0.25</v>
      </c>
      <c r="AF992" s="7">
        <v>0.0</v>
      </c>
    </row>
    <row r="993">
      <c r="G993" s="5"/>
      <c r="H993" s="6"/>
      <c r="AD993" s="5">
        <v>44968.0</v>
      </c>
      <c r="AE993" s="6">
        <v>0.2916666666666667</v>
      </c>
      <c r="AF993" s="7">
        <v>0.0</v>
      </c>
    </row>
    <row r="994">
      <c r="G994" s="5"/>
      <c r="H994" s="6"/>
      <c r="AD994" s="5">
        <v>44968.0</v>
      </c>
      <c r="AE994" s="6">
        <v>0.3333333333333333</v>
      </c>
      <c r="AF994" s="7">
        <v>14303.64</v>
      </c>
    </row>
    <row r="995">
      <c r="G995" s="5"/>
      <c r="H995" s="6"/>
      <c r="AD995" s="5">
        <v>44968.0</v>
      </c>
      <c r="AE995" s="6">
        <v>0.375</v>
      </c>
      <c r="AF995" s="7">
        <v>31123.56</v>
      </c>
    </row>
    <row r="996">
      <c r="G996" s="5"/>
      <c r="H996" s="6"/>
      <c r="AD996" s="5">
        <v>44968.0</v>
      </c>
      <c r="AE996" s="6">
        <v>0.4166666666666667</v>
      </c>
      <c r="AF996" s="7">
        <v>42747.12</v>
      </c>
    </row>
    <row r="997">
      <c r="G997" s="5"/>
      <c r="H997" s="6"/>
      <c r="AD997" s="5">
        <v>44968.0</v>
      </c>
      <c r="AE997" s="6">
        <v>0.4583333333333333</v>
      </c>
      <c r="AF997" s="7">
        <v>49814.7</v>
      </c>
    </row>
    <row r="998">
      <c r="G998" s="5"/>
      <c r="H998" s="6"/>
      <c r="AD998" s="5">
        <v>44968.0</v>
      </c>
      <c r="AE998" s="6">
        <v>0.5</v>
      </c>
      <c r="AF998" s="7">
        <v>52133.64</v>
      </c>
    </row>
    <row r="999">
      <c r="G999" s="5"/>
      <c r="H999" s="6"/>
      <c r="AD999" s="5">
        <v>44968.0</v>
      </c>
      <c r="AE999" s="6">
        <v>0.5416666666666666</v>
      </c>
      <c r="AF999" s="7">
        <v>50775.66</v>
      </c>
    </row>
    <row r="1000">
      <c r="G1000" s="5"/>
      <c r="H1000" s="6"/>
      <c r="AD1000" s="5">
        <v>44968.0</v>
      </c>
      <c r="AE1000" s="6">
        <v>0.5833333333333334</v>
      </c>
      <c r="AF1000" s="7">
        <v>43853.94</v>
      </c>
    </row>
    <row r="1001">
      <c r="G1001" s="5"/>
      <c r="H1001" s="6"/>
      <c r="AD1001" s="5">
        <v>44968.0</v>
      </c>
      <c r="AE1001" s="6">
        <v>0.625</v>
      </c>
      <c r="AF1001" s="7">
        <v>32762.34</v>
      </c>
    </row>
    <row r="1002">
      <c r="G1002" s="5"/>
      <c r="H1002" s="6"/>
      <c r="AD1002" s="5">
        <v>44968.0</v>
      </c>
      <c r="AE1002" s="6">
        <v>0.6666666666666666</v>
      </c>
      <c r="AF1002" s="7">
        <v>17886.18</v>
      </c>
    </row>
    <row r="1003">
      <c r="G1003" s="5"/>
      <c r="H1003" s="6"/>
      <c r="AD1003" s="5">
        <v>44968.0</v>
      </c>
      <c r="AE1003" s="6">
        <v>0.7083333333333334</v>
      </c>
      <c r="AF1003" s="7">
        <v>305.76</v>
      </c>
    </row>
    <row r="1004">
      <c r="G1004" s="5"/>
      <c r="H1004" s="6"/>
      <c r="AD1004" s="5">
        <v>44968.0</v>
      </c>
      <c r="AE1004" s="6">
        <v>0.75</v>
      </c>
      <c r="AF1004" s="7">
        <v>0.0</v>
      </c>
    </row>
    <row r="1005">
      <c r="G1005" s="5"/>
      <c r="H1005" s="6"/>
      <c r="AD1005" s="5">
        <v>44968.0</v>
      </c>
      <c r="AE1005" s="6">
        <v>0.7916666666666666</v>
      </c>
      <c r="AF1005" s="7">
        <v>0.0</v>
      </c>
    </row>
    <row r="1006">
      <c r="G1006" s="5"/>
      <c r="H1006" s="6"/>
      <c r="AD1006" s="5">
        <v>44968.0</v>
      </c>
      <c r="AE1006" s="6">
        <v>0.8333333333333334</v>
      </c>
      <c r="AF1006" s="7">
        <v>0.0</v>
      </c>
    </row>
    <row r="1007">
      <c r="G1007" s="5"/>
      <c r="H1007" s="6"/>
      <c r="AD1007" s="5">
        <v>44968.0</v>
      </c>
      <c r="AE1007" s="6">
        <v>0.875</v>
      </c>
      <c r="AF1007" s="7">
        <v>0.0</v>
      </c>
    </row>
    <row r="1008">
      <c r="G1008" s="5"/>
      <c r="H1008" s="6"/>
      <c r="AD1008" s="5">
        <v>44968.0</v>
      </c>
      <c r="AE1008" s="6">
        <v>0.9166666666666666</v>
      </c>
      <c r="AF1008" s="7">
        <v>0.0</v>
      </c>
    </row>
    <row r="1009">
      <c r="G1009" s="5"/>
      <c r="H1009" s="6"/>
      <c r="AD1009" s="5">
        <v>44968.0</v>
      </c>
      <c r="AE1009" s="6">
        <v>0.9583333333333334</v>
      </c>
      <c r="AF1009" s="7">
        <v>0.0</v>
      </c>
    </row>
    <row r="1010">
      <c r="G1010" s="5"/>
      <c r="H1010" s="6"/>
      <c r="AD1010" s="5">
        <v>44969.0</v>
      </c>
      <c r="AE1010" s="6">
        <v>0.0</v>
      </c>
      <c r="AF1010" s="7">
        <v>0.0</v>
      </c>
    </row>
    <row r="1011">
      <c r="G1011" s="5"/>
      <c r="H1011" s="6"/>
      <c r="AD1011" s="5">
        <v>44969.0</v>
      </c>
      <c r="AE1011" s="6">
        <v>0.041666666666666664</v>
      </c>
      <c r="AF1011" s="7">
        <v>0.0</v>
      </c>
    </row>
    <row r="1012">
      <c r="G1012" s="5"/>
      <c r="H1012" s="6"/>
      <c r="AD1012" s="5">
        <v>44969.0</v>
      </c>
      <c r="AE1012" s="6">
        <v>0.08333333333333333</v>
      </c>
      <c r="AF1012" s="7">
        <v>0.0</v>
      </c>
    </row>
    <row r="1013">
      <c r="G1013" s="5"/>
      <c r="H1013" s="6"/>
      <c r="AD1013" s="5">
        <v>44969.0</v>
      </c>
      <c r="AE1013" s="6">
        <v>0.125</v>
      </c>
      <c r="AF1013" s="7">
        <v>0.0</v>
      </c>
    </row>
    <row r="1014">
      <c r="G1014" s="5"/>
      <c r="H1014" s="6"/>
      <c r="AD1014" s="5">
        <v>44969.0</v>
      </c>
      <c r="AE1014" s="6">
        <v>0.16666666666666666</v>
      </c>
      <c r="AF1014" s="7">
        <v>0.0</v>
      </c>
    </row>
    <row r="1015">
      <c r="G1015" s="5"/>
      <c r="H1015" s="6"/>
      <c r="AD1015" s="5">
        <v>44969.0</v>
      </c>
      <c r="AE1015" s="6">
        <v>0.20833333333333334</v>
      </c>
      <c r="AF1015" s="7">
        <v>0.0</v>
      </c>
    </row>
    <row r="1016">
      <c r="G1016" s="5"/>
      <c r="H1016" s="6"/>
      <c r="AD1016" s="5">
        <v>44969.0</v>
      </c>
      <c r="AE1016" s="6">
        <v>0.25</v>
      </c>
      <c r="AF1016" s="7">
        <v>0.0</v>
      </c>
    </row>
    <row r="1017">
      <c r="G1017" s="5"/>
      <c r="H1017" s="6"/>
      <c r="AD1017" s="5">
        <v>44969.0</v>
      </c>
      <c r="AE1017" s="6">
        <v>0.2916666666666667</v>
      </c>
      <c r="AF1017" s="7">
        <v>0.0</v>
      </c>
    </row>
    <row r="1018">
      <c r="G1018" s="5"/>
      <c r="H1018" s="6"/>
      <c r="AD1018" s="5">
        <v>44969.0</v>
      </c>
      <c r="AE1018" s="6">
        <v>0.3333333333333333</v>
      </c>
      <c r="AF1018" s="7">
        <v>14507.22</v>
      </c>
    </row>
    <row r="1019">
      <c r="G1019" s="5"/>
      <c r="H1019" s="6"/>
      <c r="AD1019" s="5">
        <v>44969.0</v>
      </c>
      <c r="AE1019" s="6">
        <v>0.375</v>
      </c>
      <c r="AF1019" s="7">
        <v>30953.52</v>
      </c>
    </row>
    <row r="1020">
      <c r="G1020" s="5"/>
      <c r="H1020" s="6"/>
      <c r="AD1020" s="5">
        <v>44969.0</v>
      </c>
      <c r="AE1020" s="6">
        <v>0.4166666666666667</v>
      </c>
      <c r="AF1020" s="7">
        <v>42541.2</v>
      </c>
    </row>
    <row r="1021">
      <c r="G1021" s="5"/>
      <c r="H1021" s="6"/>
      <c r="AD1021" s="5">
        <v>44969.0</v>
      </c>
      <c r="AE1021" s="6">
        <v>0.4583333333333333</v>
      </c>
      <c r="AF1021" s="7">
        <v>49483.98</v>
      </c>
    </row>
    <row r="1022">
      <c r="G1022" s="5"/>
      <c r="H1022" s="6"/>
      <c r="AD1022" s="5">
        <v>44969.0</v>
      </c>
      <c r="AE1022" s="6">
        <v>0.5</v>
      </c>
      <c r="AF1022" s="7">
        <v>52171.86</v>
      </c>
    </row>
    <row r="1023">
      <c r="G1023" s="5"/>
      <c r="H1023" s="6"/>
      <c r="AD1023" s="5">
        <v>44969.0</v>
      </c>
      <c r="AE1023" s="6">
        <v>0.5416666666666666</v>
      </c>
      <c r="AF1023" s="7">
        <v>51033.84</v>
      </c>
    </row>
    <row r="1024">
      <c r="G1024" s="5"/>
      <c r="H1024" s="6"/>
      <c r="AD1024" s="5">
        <v>44969.0</v>
      </c>
      <c r="AE1024" s="6">
        <v>0.5833333333333334</v>
      </c>
      <c r="AF1024" s="7">
        <v>44397.6</v>
      </c>
    </row>
    <row r="1025">
      <c r="G1025" s="5"/>
      <c r="H1025" s="6"/>
      <c r="AD1025" s="5">
        <v>44969.0</v>
      </c>
      <c r="AE1025" s="6">
        <v>0.625</v>
      </c>
      <c r="AF1025" s="7">
        <v>32955.0</v>
      </c>
    </row>
    <row r="1026">
      <c r="G1026" s="5"/>
      <c r="H1026" s="6"/>
      <c r="AD1026" s="5">
        <v>44969.0</v>
      </c>
      <c r="AE1026" s="6">
        <v>0.6666666666666666</v>
      </c>
      <c r="AF1026" s="7">
        <v>18509.4</v>
      </c>
    </row>
    <row r="1027">
      <c r="G1027" s="5"/>
      <c r="H1027" s="6"/>
      <c r="AD1027" s="5">
        <v>44969.0</v>
      </c>
      <c r="AE1027" s="6">
        <v>0.7083333333333334</v>
      </c>
      <c r="AF1027" s="7">
        <v>391.56</v>
      </c>
    </row>
    <row r="1028">
      <c r="G1028" s="5"/>
      <c r="H1028" s="6"/>
      <c r="AD1028" s="5">
        <v>44969.0</v>
      </c>
      <c r="AE1028" s="6">
        <v>0.75</v>
      </c>
      <c r="AF1028" s="7">
        <v>0.0</v>
      </c>
    </row>
    <row r="1029">
      <c r="G1029" s="5"/>
      <c r="H1029" s="6"/>
      <c r="AD1029" s="5">
        <v>44969.0</v>
      </c>
      <c r="AE1029" s="6">
        <v>0.7916666666666666</v>
      </c>
      <c r="AF1029" s="7">
        <v>0.0</v>
      </c>
    </row>
    <row r="1030">
      <c r="G1030" s="5"/>
      <c r="H1030" s="6"/>
      <c r="AD1030" s="5">
        <v>44969.0</v>
      </c>
      <c r="AE1030" s="6">
        <v>0.8333333333333334</v>
      </c>
      <c r="AF1030" s="7">
        <v>0.0</v>
      </c>
    </row>
    <row r="1031">
      <c r="G1031" s="5"/>
      <c r="H1031" s="6"/>
      <c r="AD1031" s="5">
        <v>44969.0</v>
      </c>
      <c r="AE1031" s="6">
        <v>0.875</v>
      </c>
      <c r="AF1031" s="7">
        <v>0.0</v>
      </c>
    </row>
    <row r="1032">
      <c r="G1032" s="5"/>
      <c r="H1032" s="6"/>
      <c r="AD1032" s="5">
        <v>44969.0</v>
      </c>
      <c r="AE1032" s="6">
        <v>0.9166666666666666</v>
      </c>
      <c r="AF1032" s="7">
        <v>0.0</v>
      </c>
    </row>
    <row r="1033">
      <c r="G1033" s="5"/>
      <c r="H1033" s="6"/>
      <c r="AD1033" s="5">
        <v>44969.0</v>
      </c>
      <c r="AE1033" s="6">
        <v>0.9583333333333334</v>
      </c>
      <c r="AF1033" s="7">
        <v>0.0</v>
      </c>
    </row>
    <row r="1034">
      <c r="G1034" s="5"/>
      <c r="H1034" s="6"/>
      <c r="AD1034" s="5">
        <v>44970.0</v>
      </c>
      <c r="AE1034" s="6">
        <v>0.0</v>
      </c>
      <c r="AF1034" s="7">
        <v>0.0</v>
      </c>
    </row>
    <row r="1035">
      <c r="G1035" s="5"/>
      <c r="H1035" s="6"/>
      <c r="AD1035" s="5">
        <v>44970.0</v>
      </c>
      <c r="AE1035" s="6">
        <v>0.041666666666666664</v>
      </c>
      <c r="AF1035" s="7">
        <v>0.0</v>
      </c>
    </row>
    <row r="1036">
      <c r="G1036" s="5"/>
      <c r="H1036" s="6"/>
      <c r="AD1036" s="5">
        <v>44970.0</v>
      </c>
      <c r="AE1036" s="6">
        <v>0.08333333333333333</v>
      </c>
      <c r="AF1036" s="7">
        <v>0.0</v>
      </c>
    </row>
    <row r="1037">
      <c r="G1037" s="5"/>
      <c r="H1037" s="6"/>
      <c r="AD1037" s="5">
        <v>44970.0</v>
      </c>
      <c r="AE1037" s="6">
        <v>0.125</v>
      </c>
      <c r="AF1037" s="7">
        <v>0.0</v>
      </c>
    </row>
    <row r="1038">
      <c r="G1038" s="5"/>
      <c r="H1038" s="6"/>
      <c r="AD1038" s="5">
        <v>44970.0</v>
      </c>
      <c r="AE1038" s="6">
        <v>0.16666666666666666</v>
      </c>
      <c r="AF1038" s="7">
        <v>0.0</v>
      </c>
    </row>
    <row r="1039">
      <c r="G1039" s="5"/>
      <c r="H1039" s="6"/>
      <c r="AD1039" s="5">
        <v>44970.0</v>
      </c>
      <c r="AE1039" s="6">
        <v>0.20833333333333334</v>
      </c>
      <c r="AF1039" s="7">
        <v>0.0</v>
      </c>
    </row>
    <row r="1040">
      <c r="G1040" s="5"/>
      <c r="H1040" s="6"/>
      <c r="AD1040" s="5">
        <v>44970.0</v>
      </c>
      <c r="AE1040" s="6">
        <v>0.25</v>
      </c>
      <c r="AF1040" s="7">
        <v>0.0</v>
      </c>
    </row>
    <row r="1041">
      <c r="G1041" s="5"/>
      <c r="H1041" s="6"/>
      <c r="AD1041" s="5">
        <v>44970.0</v>
      </c>
      <c r="AE1041" s="6">
        <v>0.2916666666666667</v>
      </c>
      <c r="AF1041" s="7">
        <v>0.0</v>
      </c>
    </row>
    <row r="1042">
      <c r="G1042" s="5"/>
      <c r="H1042" s="6"/>
      <c r="AD1042" s="5">
        <v>44970.0</v>
      </c>
      <c r="AE1042" s="6">
        <v>0.3333333333333333</v>
      </c>
      <c r="AF1042" s="7">
        <v>14929.2</v>
      </c>
    </row>
    <row r="1043">
      <c r="G1043" s="5"/>
      <c r="H1043" s="6"/>
      <c r="AD1043" s="5">
        <v>44970.0</v>
      </c>
      <c r="AE1043" s="6">
        <v>0.375</v>
      </c>
      <c r="AF1043" s="7">
        <v>30494.1</v>
      </c>
    </row>
    <row r="1044">
      <c r="G1044" s="5"/>
      <c r="H1044" s="6"/>
      <c r="AD1044" s="5">
        <v>44970.0</v>
      </c>
      <c r="AE1044" s="6">
        <v>0.4166666666666667</v>
      </c>
      <c r="AF1044" s="7">
        <v>41839.2</v>
      </c>
    </row>
    <row r="1045">
      <c r="G1045" s="5"/>
      <c r="H1045" s="6"/>
      <c r="AD1045" s="5">
        <v>44970.0</v>
      </c>
      <c r="AE1045" s="6">
        <v>0.4583333333333333</v>
      </c>
      <c r="AF1045" s="7">
        <v>48891.96</v>
      </c>
    </row>
    <row r="1046">
      <c r="G1046" s="5"/>
      <c r="H1046" s="6"/>
      <c r="AD1046" s="5">
        <v>44970.0</v>
      </c>
      <c r="AE1046" s="6">
        <v>0.5</v>
      </c>
      <c r="AF1046" s="7">
        <v>51693.72</v>
      </c>
    </row>
    <row r="1047">
      <c r="G1047" s="5"/>
      <c r="H1047" s="6"/>
      <c r="AD1047" s="5">
        <v>44970.0</v>
      </c>
      <c r="AE1047" s="6">
        <v>0.5416666666666666</v>
      </c>
      <c r="AF1047" s="7">
        <v>50260.86</v>
      </c>
    </row>
    <row r="1048">
      <c r="G1048" s="5"/>
      <c r="H1048" s="6"/>
      <c r="AD1048" s="5">
        <v>44970.0</v>
      </c>
      <c r="AE1048" s="6">
        <v>0.5833333333333334</v>
      </c>
      <c r="AF1048" s="7">
        <v>43725.24</v>
      </c>
    </row>
    <row r="1049">
      <c r="G1049" s="5"/>
      <c r="H1049" s="6"/>
      <c r="AD1049" s="5">
        <v>44970.0</v>
      </c>
      <c r="AE1049" s="6">
        <v>0.625</v>
      </c>
      <c r="AF1049" s="7">
        <v>32908.2</v>
      </c>
    </row>
    <row r="1050">
      <c r="G1050" s="5"/>
      <c r="H1050" s="6"/>
      <c r="AD1050" s="5">
        <v>44970.0</v>
      </c>
      <c r="AE1050" s="6">
        <v>0.6666666666666666</v>
      </c>
      <c r="AF1050" s="7">
        <v>18381.48</v>
      </c>
    </row>
    <row r="1051">
      <c r="G1051" s="5"/>
      <c r="H1051" s="6"/>
      <c r="AD1051" s="5">
        <v>44970.0</v>
      </c>
      <c r="AE1051" s="6">
        <v>0.7083333333333334</v>
      </c>
      <c r="AF1051" s="7">
        <v>477.36</v>
      </c>
    </row>
    <row r="1052">
      <c r="G1052" s="5"/>
      <c r="H1052" s="6"/>
      <c r="AD1052" s="5">
        <v>44970.0</v>
      </c>
      <c r="AE1052" s="6">
        <v>0.75</v>
      </c>
      <c r="AF1052" s="7">
        <v>0.0</v>
      </c>
    </row>
    <row r="1053">
      <c r="G1053" s="5"/>
      <c r="H1053" s="6"/>
      <c r="AD1053" s="5">
        <v>44970.0</v>
      </c>
      <c r="AE1053" s="6">
        <v>0.7916666666666666</v>
      </c>
      <c r="AF1053" s="7">
        <v>0.0</v>
      </c>
    </row>
    <row r="1054">
      <c r="G1054" s="5"/>
      <c r="H1054" s="6"/>
      <c r="AD1054" s="5">
        <v>44970.0</v>
      </c>
      <c r="AE1054" s="6">
        <v>0.8333333333333334</v>
      </c>
      <c r="AF1054" s="7">
        <v>0.0</v>
      </c>
    </row>
    <row r="1055">
      <c r="G1055" s="5"/>
      <c r="H1055" s="6"/>
      <c r="AD1055" s="5">
        <v>44970.0</v>
      </c>
      <c r="AE1055" s="6">
        <v>0.875</v>
      </c>
      <c r="AF1055" s="7">
        <v>0.0</v>
      </c>
    </row>
    <row r="1056">
      <c r="G1056" s="5"/>
      <c r="H1056" s="6"/>
      <c r="AD1056" s="5">
        <v>44970.0</v>
      </c>
      <c r="AE1056" s="6">
        <v>0.9166666666666666</v>
      </c>
      <c r="AF1056" s="7">
        <v>0.0</v>
      </c>
    </row>
    <row r="1057">
      <c r="G1057" s="5"/>
      <c r="H1057" s="6"/>
      <c r="AD1057" s="5">
        <v>44970.0</v>
      </c>
      <c r="AE1057" s="6">
        <v>0.9583333333333334</v>
      </c>
      <c r="AF1057" s="7">
        <v>0.0</v>
      </c>
    </row>
    <row r="1058">
      <c r="G1058" s="5"/>
      <c r="H1058" s="6"/>
      <c r="AD1058" s="5">
        <v>44971.0</v>
      </c>
      <c r="AE1058" s="6">
        <v>0.0</v>
      </c>
      <c r="AF1058" s="7">
        <v>0.0</v>
      </c>
    </row>
    <row r="1059">
      <c r="G1059" s="5"/>
      <c r="H1059" s="6"/>
      <c r="AD1059" s="5">
        <v>44971.0</v>
      </c>
      <c r="AE1059" s="6">
        <v>0.041666666666666664</v>
      </c>
      <c r="AF1059" s="7">
        <v>0.0</v>
      </c>
    </row>
    <row r="1060">
      <c r="G1060" s="5"/>
      <c r="H1060" s="6"/>
      <c r="AD1060" s="5">
        <v>44971.0</v>
      </c>
      <c r="AE1060" s="6">
        <v>0.08333333333333333</v>
      </c>
      <c r="AF1060" s="7">
        <v>0.0</v>
      </c>
    </row>
    <row r="1061">
      <c r="G1061" s="5"/>
      <c r="H1061" s="6"/>
      <c r="AD1061" s="5">
        <v>44971.0</v>
      </c>
      <c r="AE1061" s="6">
        <v>0.125</v>
      </c>
      <c r="AF1061" s="7">
        <v>0.0</v>
      </c>
    </row>
    <row r="1062">
      <c r="G1062" s="5"/>
      <c r="H1062" s="6"/>
      <c r="AD1062" s="5">
        <v>44971.0</v>
      </c>
      <c r="AE1062" s="6">
        <v>0.16666666666666666</v>
      </c>
      <c r="AF1062" s="7">
        <v>0.0</v>
      </c>
    </row>
    <row r="1063">
      <c r="G1063" s="5"/>
      <c r="H1063" s="6"/>
      <c r="AD1063" s="5">
        <v>44971.0</v>
      </c>
      <c r="AE1063" s="6">
        <v>0.20833333333333334</v>
      </c>
      <c r="AF1063" s="7">
        <v>0.0</v>
      </c>
    </row>
    <row r="1064">
      <c r="G1064" s="5"/>
      <c r="H1064" s="6"/>
      <c r="AD1064" s="5">
        <v>44971.0</v>
      </c>
      <c r="AE1064" s="6">
        <v>0.25</v>
      </c>
      <c r="AF1064" s="7">
        <v>0.0</v>
      </c>
    </row>
    <row r="1065">
      <c r="G1065" s="5"/>
      <c r="H1065" s="6"/>
      <c r="AD1065" s="5">
        <v>44971.0</v>
      </c>
      <c r="AE1065" s="6">
        <v>0.2916666666666667</v>
      </c>
      <c r="AF1065" s="7">
        <v>0.0</v>
      </c>
    </row>
    <row r="1066">
      <c r="G1066" s="5"/>
      <c r="H1066" s="6"/>
      <c r="AD1066" s="5">
        <v>44971.0</v>
      </c>
      <c r="AE1066" s="6">
        <v>0.3333333333333333</v>
      </c>
      <c r="AF1066" s="7">
        <v>4818.84</v>
      </c>
    </row>
    <row r="1067">
      <c r="G1067" s="5"/>
      <c r="H1067" s="6"/>
      <c r="AD1067" s="5">
        <v>44971.0</v>
      </c>
      <c r="AE1067" s="6">
        <v>0.375</v>
      </c>
      <c r="AF1067" s="7">
        <v>7772.7</v>
      </c>
    </row>
    <row r="1068">
      <c r="G1068" s="5"/>
      <c r="H1068" s="6"/>
      <c r="AD1068" s="5">
        <v>44971.0</v>
      </c>
      <c r="AE1068" s="6">
        <v>0.4166666666666667</v>
      </c>
      <c r="AF1068" s="7">
        <v>20851.74</v>
      </c>
    </row>
    <row r="1069">
      <c r="G1069" s="5"/>
      <c r="H1069" s="6"/>
      <c r="AD1069" s="5">
        <v>44971.0</v>
      </c>
      <c r="AE1069" s="6">
        <v>0.4583333333333333</v>
      </c>
      <c r="AF1069" s="7">
        <v>17936.1</v>
      </c>
    </row>
    <row r="1070">
      <c r="G1070" s="5"/>
      <c r="H1070" s="6"/>
      <c r="AD1070" s="5">
        <v>44971.0</v>
      </c>
      <c r="AE1070" s="6">
        <v>0.5</v>
      </c>
      <c r="AF1070" s="7">
        <v>38104.56</v>
      </c>
    </row>
    <row r="1071">
      <c r="G1071" s="5"/>
      <c r="H1071" s="6"/>
      <c r="AD1071" s="5">
        <v>44971.0</v>
      </c>
      <c r="AE1071" s="6">
        <v>0.5416666666666666</v>
      </c>
      <c r="AF1071" s="7">
        <v>50395.8</v>
      </c>
    </row>
    <row r="1072">
      <c r="G1072" s="5"/>
      <c r="H1072" s="6"/>
      <c r="AD1072" s="5">
        <v>44971.0</v>
      </c>
      <c r="AE1072" s="6">
        <v>0.5833333333333334</v>
      </c>
      <c r="AF1072" s="7">
        <v>35560.98</v>
      </c>
    </row>
    <row r="1073">
      <c r="G1073" s="5"/>
      <c r="H1073" s="6"/>
      <c r="AD1073" s="5">
        <v>44971.0</v>
      </c>
      <c r="AE1073" s="6">
        <v>0.625</v>
      </c>
      <c r="AF1073" s="7">
        <v>14600.82</v>
      </c>
    </row>
    <row r="1074">
      <c r="G1074" s="5"/>
      <c r="H1074" s="6"/>
      <c r="AD1074" s="5">
        <v>44971.0</v>
      </c>
      <c r="AE1074" s="6">
        <v>0.6666666666666666</v>
      </c>
      <c r="AF1074" s="7">
        <v>18890.82</v>
      </c>
    </row>
    <row r="1075">
      <c r="G1075" s="5"/>
      <c r="H1075" s="6"/>
      <c r="AD1075" s="5">
        <v>44971.0</v>
      </c>
      <c r="AE1075" s="6">
        <v>0.7083333333333334</v>
      </c>
      <c r="AF1075" s="7">
        <v>0.0</v>
      </c>
    </row>
    <row r="1076">
      <c r="G1076" s="5"/>
      <c r="H1076" s="6"/>
      <c r="AD1076" s="5">
        <v>44971.0</v>
      </c>
      <c r="AE1076" s="6">
        <v>0.75</v>
      </c>
      <c r="AF1076" s="7">
        <v>0.0</v>
      </c>
    </row>
    <row r="1077">
      <c r="G1077" s="5"/>
      <c r="H1077" s="6"/>
      <c r="AD1077" s="5">
        <v>44971.0</v>
      </c>
      <c r="AE1077" s="6">
        <v>0.7916666666666666</v>
      </c>
      <c r="AF1077" s="7">
        <v>0.0</v>
      </c>
    </row>
    <row r="1078">
      <c r="G1078" s="5"/>
      <c r="H1078" s="6"/>
      <c r="AD1078" s="5">
        <v>44971.0</v>
      </c>
      <c r="AE1078" s="6">
        <v>0.8333333333333334</v>
      </c>
      <c r="AF1078" s="7">
        <v>0.0</v>
      </c>
    </row>
    <row r="1079">
      <c r="G1079" s="5"/>
      <c r="H1079" s="6"/>
      <c r="AD1079" s="5">
        <v>44971.0</v>
      </c>
      <c r="AE1079" s="6">
        <v>0.875</v>
      </c>
      <c r="AF1079" s="7">
        <v>0.0</v>
      </c>
    </row>
    <row r="1080">
      <c r="G1080" s="5"/>
      <c r="H1080" s="6"/>
      <c r="AD1080" s="5">
        <v>44971.0</v>
      </c>
      <c r="AE1080" s="6">
        <v>0.9166666666666666</v>
      </c>
      <c r="AF1080" s="7">
        <v>0.0</v>
      </c>
    </row>
    <row r="1081">
      <c r="G1081" s="5"/>
      <c r="H1081" s="6"/>
      <c r="AD1081" s="5">
        <v>44971.0</v>
      </c>
      <c r="AE1081" s="6">
        <v>0.9583333333333334</v>
      </c>
      <c r="AF1081" s="7">
        <v>0.0</v>
      </c>
    </row>
    <row r="1082">
      <c r="G1082" s="5"/>
      <c r="H1082" s="6"/>
      <c r="AD1082" s="5">
        <v>44972.0</v>
      </c>
      <c r="AE1082" s="6">
        <v>0.0</v>
      </c>
      <c r="AF1082" s="7">
        <v>0.0</v>
      </c>
    </row>
    <row r="1083">
      <c r="G1083" s="5"/>
      <c r="H1083" s="6"/>
      <c r="AD1083" s="5">
        <v>44972.0</v>
      </c>
      <c r="AE1083" s="6">
        <v>0.041666666666666664</v>
      </c>
      <c r="AF1083" s="7">
        <v>0.0</v>
      </c>
    </row>
    <row r="1084">
      <c r="G1084" s="5"/>
      <c r="H1084" s="6"/>
      <c r="AD1084" s="5">
        <v>44972.0</v>
      </c>
      <c r="AE1084" s="6">
        <v>0.08333333333333333</v>
      </c>
      <c r="AF1084" s="7">
        <v>0.0</v>
      </c>
    </row>
    <row r="1085">
      <c r="G1085" s="5"/>
      <c r="H1085" s="6"/>
      <c r="AD1085" s="5">
        <v>44972.0</v>
      </c>
      <c r="AE1085" s="6">
        <v>0.125</v>
      </c>
      <c r="AF1085" s="7">
        <v>0.0</v>
      </c>
    </row>
    <row r="1086">
      <c r="G1086" s="5"/>
      <c r="H1086" s="6"/>
      <c r="AD1086" s="5">
        <v>44972.0</v>
      </c>
      <c r="AE1086" s="6">
        <v>0.16666666666666666</v>
      </c>
      <c r="AF1086" s="7">
        <v>0.0</v>
      </c>
    </row>
    <row r="1087">
      <c r="G1087" s="5"/>
      <c r="H1087" s="6"/>
      <c r="AD1087" s="5">
        <v>44972.0</v>
      </c>
      <c r="AE1087" s="6">
        <v>0.20833333333333334</v>
      </c>
      <c r="AF1087" s="7">
        <v>0.0</v>
      </c>
    </row>
    <row r="1088">
      <c r="G1088" s="5"/>
      <c r="H1088" s="6"/>
      <c r="AD1088" s="5">
        <v>44972.0</v>
      </c>
      <c r="AE1088" s="6">
        <v>0.25</v>
      </c>
      <c r="AF1088" s="7">
        <v>0.0</v>
      </c>
    </row>
    <row r="1089">
      <c r="G1089" s="5"/>
      <c r="H1089" s="6"/>
      <c r="AD1089" s="5">
        <v>44972.0</v>
      </c>
      <c r="AE1089" s="6">
        <v>0.2916666666666667</v>
      </c>
      <c r="AF1089" s="7">
        <v>0.0</v>
      </c>
    </row>
    <row r="1090">
      <c r="G1090" s="5"/>
      <c r="H1090" s="6"/>
      <c r="AD1090" s="5">
        <v>44972.0</v>
      </c>
      <c r="AE1090" s="6">
        <v>0.3333333333333333</v>
      </c>
      <c r="AF1090" s="7">
        <v>15563.34</v>
      </c>
    </row>
    <row r="1091">
      <c r="G1091" s="5"/>
      <c r="H1091" s="6"/>
      <c r="AD1091" s="5">
        <v>44972.0</v>
      </c>
      <c r="AE1091" s="6">
        <v>0.375</v>
      </c>
      <c r="AF1091" s="7">
        <v>31555.68</v>
      </c>
    </row>
    <row r="1092">
      <c r="G1092" s="5"/>
      <c r="H1092" s="6"/>
      <c r="AD1092" s="5">
        <v>44972.0</v>
      </c>
      <c r="AE1092" s="6">
        <v>0.4166666666666667</v>
      </c>
      <c r="AF1092" s="7">
        <v>31918.38</v>
      </c>
    </row>
    <row r="1093">
      <c r="G1093" s="5"/>
      <c r="H1093" s="6"/>
      <c r="AD1093" s="5">
        <v>44972.0</v>
      </c>
      <c r="AE1093" s="6">
        <v>0.4583333333333333</v>
      </c>
      <c r="AF1093" s="7">
        <v>44662.8</v>
      </c>
    </row>
    <row r="1094">
      <c r="G1094" s="5"/>
      <c r="H1094" s="6"/>
      <c r="AD1094" s="5">
        <v>44972.0</v>
      </c>
      <c r="AE1094" s="6">
        <v>0.5</v>
      </c>
      <c r="AF1094" s="7">
        <v>49662.6</v>
      </c>
    </row>
    <row r="1095">
      <c r="G1095" s="5"/>
      <c r="H1095" s="6"/>
      <c r="AD1095" s="5">
        <v>44972.0</v>
      </c>
      <c r="AE1095" s="6">
        <v>0.5416666666666666</v>
      </c>
      <c r="AF1095" s="7">
        <v>45755.58</v>
      </c>
    </row>
    <row r="1096">
      <c r="G1096" s="5"/>
      <c r="H1096" s="6"/>
      <c r="AD1096" s="5">
        <v>44972.0</v>
      </c>
      <c r="AE1096" s="6">
        <v>0.5833333333333334</v>
      </c>
      <c r="AF1096" s="7">
        <v>39359.58</v>
      </c>
    </row>
    <row r="1097">
      <c r="G1097" s="5"/>
      <c r="H1097" s="6"/>
      <c r="AD1097" s="5">
        <v>44972.0</v>
      </c>
      <c r="AE1097" s="6">
        <v>0.625</v>
      </c>
      <c r="AF1097" s="7">
        <v>25475.58</v>
      </c>
    </row>
    <row r="1098">
      <c r="G1098" s="5"/>
      <c r="H1098" s="6"/>
      <c r="AD1098" s="5">
        <v>44972.0</v>
      </c>
      <c r="AE1098" s="6">
        <v>0.6666666666666666</v>
      </c>
      <c r="AF1098" s="7">
        <v>13830.18</v>
      </c>
    </row>
    <row r="1099">
      <c r="G1099" s="5"/>
      <c r="H1099" s="6"/>
      <c r="AD1099" s="5">
        <v>44972.0</v>
      </c>
      <c r="AE1099" s="6">
        <v>0.7083333333333334</v>
      </c>
      <c r="AF1099" s="7">
        <v>393.9</v>
      </c>
    </row>
    <row r="1100">
      <c r="G1100" s="5"/>
      <c r="H1100" s="6"/>
      <c r="AD1100" s="5">
        <v>44972.0</v>
      </c>
      <c r="AE1100" s="6">
        <v>0.75</v>
      </c>
      <c r="AF1100" s="7">
        <v>0.0</v>
      </c>
    </row>
    <row r="1101">
      <c r="G1101" s="5"/>
      <c r="H1101" s="6"/>
      <c r="AD1101" s="5">
        <v>44972.0</v>
      </c>
      <c r="AE1101" s="6">
        <v>0.7916666666666666</v>
      </c>
      <c r="AF1101" s="7">
        <v>0.0</v>
      </c>
    </row>
    <row r="1102">
      <c r="G1102" s="5"/>
      <c r="H1102" s="6"/>
      <c r="AD1102" s="5">
        <v>44972.0</v>
      </c>
      <c r="AE1102" s="6">
        <v>0.8333333333333334</v>
      </c>
      <c r="AF1102" s="7">
        <v>0.0</v>
      </c>
    </row>
    <row r="1103">
      <c r="G1103" s="5"/>
      <c r="H1103" s="6"/>
      <c r="AD1103" s="5">
        <v>44972.0</v>
      </c>
      <c r="AE1103" s="6">
        <v>0.875</v>
      </c>
      <c r="AF1103" s="7">
        <v>0.0</v>
      </c>
    </row>
    <row r="1104">
      <c r="G1104" s="5"/>
      <c r="H1104" s="6"/>
      <c r="AD1104" s="5">
        <v>44972.0</v>
      </c>
      <c r="AE1104" s="6">
        <v>0.9166666666666666</v>
      </c>
      <c r="AF1104" s="7">
        <v>0.0</v>
      </c>
    </row>
    <row r="1105">
      <c r="G1105" s="5"/>
      <c r="H1105" s="6"/>
      <c r="AD1105" s="5">
        <v>44972.0</v>
      </c>
      <c r="AE1105" s="6">
        <v>0.9583333333333334</v>
      </c>
      <c r="AF1105" s="7">
        <v>0.0</v>
      </c>
    </row>
    <row r="1106">
      <c r="G1106" s="5"/>
      <c r="H1106" s="6"/>
      <c r="AD1106" s="5">
        <v>44973.0</v>
      </c>
      <c r="AE1106" s="6">
        <v>0.0</v>
      </c>
      <c r="AF1106" s="7">
        <v>0.0</v>
      </c>
    </row>
    <row r="1107">
      <c r="G1107" s="5"/>
      <c r="H1107" s="6"/>
      <c r="AD1107" s="5">
        <v>44973.0</v>
      </c>
      <c r="AE1107" s="6">
        <v>0.041666666666666664</v>
      </c>
      <c r="AF1107" s="7">
        <v>0.0</v>
      </c>
    </row>
    <row r="1108">
      <c r="G1108" s="5"/>
      <c r="H1108" s="6"/>
      <c r="AD1108" s="5">
        <v>44973.0</v>
      </c>
      <c r="AE1108" s="6">
        <v>0.08333333333333333</v>
      </c>
      <c r="AF1108" s="7">
        <v>0.0</v>
      </c>
    </row>
    <row r="1109">
      <c r="G1109" s="5"/>
      <c r="H1109" s="6"/>
      <c r="AD1109" s="5">
        <v>44973.0</v>
      </c>
      <c r="AE1109" s="6">
        <v>0.125</v>
      </c>
      <c r="AF1109" s="7">
        <v>0.0</v>
      </c>
    </row>
    <row r="1110">
      <c r="G1110" s="5"/>
      <c r="H1110" s="6"/>
      <c r="AD1110" s="5">
        <v>44973.0</v>
      </c>
      <c r="AE1110" s="6">
        <v>0.16666666666666666</v>
      </c>
      <c r="AF1110" s="7">
        <v>0.0</v>
      </c>
    </row>
    <row r="1111">
      <c r="G1111" s="5"/>
      <c r="H1111" s="6"/>
      <c r="AD1111" s="5">
        <v>44973.0</v>
      </c>
      <c r="AE1111" s="6">
        <v>0.20833333333333334</v>
      </c>
      <c r="AF1111" s="7">
        <v>0.0</v>
      </c>
    </row>
    <row r="1112">
      <c r="G1112" s="5"/>
      <c r="H1112" s="6"/>
      <c r="AD1112" s="5">
        <v>44973.0</v>
      </c>
      <c r="AE1112" s="6">
        <v>0.25</v>
      </c>
      <c r="AF1112" s="7">
        <v>0.0</v>
      </c>
    </row>
    <row r="1113">
      <c r="G1113" s="5"/>
      <c r="H1113" s="6"/>
      <c r="AD1113" s="5">
        <v>44973.0</v>
      </c>
      <c r="AE1113" s="6">
        <v>0.2916666666666667</v>
      </c>
      <c r="AF1113" s="7">
        <v>0.0</v>
      </c>
    </row>
    <row r="1114">
      <c r="G1114" s="5"/>
      <c r="H1114" s="6"/>
      <c r="AD1114" s="5">
        <v>44973.0</v>
      </c>
      <c r="AE1114" s="6">
        <v>0.3333333333333333</v>
      </c>
      <c r="AF1114" s="7">
        <v>16105.44</v>
      </c>
    </row>
    <row r="1115">
      <c r="G1115" s="5"/>
      <c r="H1115" s="6"/>
      <c r="AD1115" s="5">
        <v>44973.0</v>
      </c>
      <c r="AE1115" s="6">
        <v>0.375</v>
      </c>
      <c r="AF1115" s="7">
        <v>31821.66</v>
      </c>
    </row>
    <row r="1116">
      <c r="G1116" s="5"/>
      <c r="H1116" s="6"/>
      <c r="AD1116" s="5">
        <v>44973.0</v>
      </c>
      <c r="AE1116" s="6">
        <v>0.4166666666666667</v>
      </c>
      <c r="AF1116" s="7">
        <v>43545.06</v>
      </c>
    </row>
    <row r="1117">
      <c r="G1117" s="5"/>
      <c r="H1117" s="6"/>
      <c r="AD1117" s="5">
        <v>44973.0</v>
      </c>
      <c r="AE1117" s="6">
        <v>0.4583333333333333</v>
      </c>
      <c r="AF1117" s="7">
        <v>48989.46</v>
      </c>
    </row>
    <row r="1118">
      <c r="G1118" s="5"/>
      <c r="H1118" s="6"/>
      <c r="AD1118" s="5">
        <v>44973.0</v>
      </c>
      <c r="AE1118" s="6">
        <v>0.5</v>
      </c>
      <c r="AF1118" s="7">
        <v>50487.84</v>
      </c>
    </row>
    <row r="1119">
      <c r="G1119" s="5"/>
      <c r="H1119" s="6"/>
      <c r="AD1119" s="5">
        <v>44973.0</v>
      </c>
      <c r="AE1119" s="6">
        <v>0.5416666666666666</v>
      </c>
      <c r="AF1119" s="7">
        <v>49783.5</v>
      </c>
    </row>
    <row r="1120">
      <c r="G1120" s="5"/>
      <c r="H1120" s="6"/>
      <c r="AD1120" s="5">
        <v>44973.0</v>
      </c>
      <c r="AE1120" s="6">
        <v>0.5833333333333334</v>
      </c>
      <c r="AF1120" s="7">
        <v>43352.4</v>
      </c>
    </row>
    <row r="1121">
      <c r="G1121" s="5"/>
      <c r="H1121" s="6"/>
      <c r="AD1121" s="5">
        <v>44973.0</v>
      </c>
      <c r="AE1121" s="6">
        <v>0.625</v>
      </c>
      <c r="AF1121" s="7">
        <v>32742.06</v>
      </c>
    </row>
    <row r="1122">
      <c r="G1122" s="5"/>
      <c r="H1122" s="6"/>
      <c r="AD1122" s="5">
        <v>44973.0</v>
      </c>
      <c r="AE1122" s="6">
        <v>0.6666666666666666</v>
      </c>
      <c r="AF1122" s="7">
        <v>18848.7</v>
      </c>
    </row>
    <row r="1123">
      <c r="G1123" s="5"/>
      <c r="H1123" s="6"/>
      <c r="AD1123" s="5">
        <v>44973.0</v>
      </c>
      <c r="AE1123" s="6">
        <v>0.7083333333333334</v>
      </c>
      <c r="AF1123" s="7">
        <v>913.38</v>
      </c>
    </row>
    <row r="1124">
      <c r="G1124" s="5"/>
      <c r="H1124" s="6"/>
      <c r="AD1124" s="5">
        <v>44973.0</v>
      </c>
      <c r="AE1124" s="6">
        <v>0.75</v>
      </c>
      <c r="AF1124" s="7">
        <v>0.0</v>
      </c>
    </row>
    <row r="1125">
      <c r="G1125" s="5"/>
      <c r="H1125" s="6"/>
      <c r="AD1125" s="5">
        <v>44973.0</v>
      </c>
      <c r="AE1125" s="6">
        <v>0.7916666666666666</v>
      </c>
      <c r="AF1125" s="7">
        <v>0.0</v>
      </c>
    </row>
    <row r="1126">
      <c r="G1126" s="5"/>
      <c r="H1126" s="6"/>
      <c r="AD1126" s="5">
        <v>44973.0</v>
      </c>
      <c r="AE1126" s="6">
        <v>0.8333333333333334</v>
      </c>
      <c r="AF1126" s="7">
        <v>0.0</v>
      </c>
    </row>
    <row r="1127">
      <c r="G1127" s="5"/>
      <c r="H1127" s="6"/>
      <c r="AD1127" s="5">
        <v>44973.0</v>
      </c>
      <c r="AE1127" s="6">
        <v>0.875</v>
      </c>
      <c r="AF1127" s="7">
        <v>0.0</v>
      </c>
    </row>
    <row r="1128">
      <c r="G1128" s="5"/>
      <c r="H1128" s="6"/>
      <c r="AD1128" s="5">
        <v>44973.0</v>
      </c>
      <c r="AE1128" s="6">
        <v>0.9166666666666666</v>
      </c>
      <c r="AF1128" s="7">
        <v>0.0</v>
      </c>
    </row>
    <row r="1129">
      <c r="G1129" s="5"/>
      <c r="H1129" s="6"/>
      <c r="AD1129" s="5">
        <v>44973.0</v>
      </c>
      <c r="AE1129" s="6">
        <v>0.9583333333333334</v>
      </c>
      <c r="AF1129" s="7">
        <v>0.0</v>
      </c>
    </row>
    <row r="1130">
      <c r="G1130" s="5"/>
      <c r="H1130" s="6"/>
      <c r="AD1130" s="5">
        <v>44974.0</v>
      </c>
      <c r="AE1130" s="6">
        <v>0.0</v>
      </c>
      <c r="AF1130" s="7">
        <v>0.0</v>
      </c>
    </row>
    <row r="1131">
      <c r="G1131" s="5"/>
      <c r="H1131" s="6"/>
      <c r="AD1131" s="5">
        <v>44974.0</v>
      </c>
      <c r="AE1131" s="6">
        <v>0.041666666666666664</v>
      </c>
      <c r="AF1131" s="7">
        <v>0.0</v>
      </c>
    </row>
    <row r="1132">
      <c r="G1132" s="5"/>
      <c r="H1132" s="6"/>
      <c r="AD1132" s="5">
        <v>44974.0</v>
      </c>
      <c r="AE1132" s="6">
        <v>0.08333333333333333</v>
      </c>
      <c r="AF1132" s="7">
        <v>0.0</v>
      </c>
    </row>
    <row r="1133">
      <c r="G1133" s="5"/>
      <c r="H1133" s="6"/>
      <c r="AD1133" s="5">
        <v>44974.0</v>
      </c>
      <c r="AE1133" s="6">
        <v>0.125</v>
      </c>
      <c r="AF1133" s="7">
        <v>0.0</v>
      </c>
    </row>
    <row r="1134">
      <c r="G1134" s="5"/>
      <c r="H1134" s="6"/>
      <c r="AD1134" s="5">
        <v>44974.0</v>
      </c>
      <c r="AE1134" s="6">
        <v>0.16666666666666666</v>
      </c>
      <c r="AF1134" s="7">
        <v>0.0</v>
      </c>
    </row>
    <row r="1135">
      <c r="G1135" s="5"/>
      <c r="H1135" s="6"/>
      <c r="AD1135" s="5">
        <v>44974.0</v>
      </c>
      <c r="AE1135" s="6">
        <v>0.20833333333333334</v>
      </c>
      <c r="AF1135" s="7">
        <v>0.0</v>
      </c>
    </row>
    <row r="1136">
      <c r="G1136" s="5"/>
      <c r="H1136" s="6"/>
      <c r="AD1136" s="5">
        <v>44974.0</v>
      </c>
      <c r="AE1136" s="6">
        <v>0.25</v>
      </c>
      <c r="AF1136" s="7">
        <v>0.0</v>
      </c>
    </row>
    <row r="1137">
      <c r="G1137" s="5"/>
      <c r="H1137" s="6"/>
      <c r="AD1137" s="5">
        <v>44974.0</v>
      </c>
      <c r="AE1137" s="6">
        <v>0.2916666666666667</v>
      </c>
      <c r="AF1137" s="7">
        <v>0.0</v>
      </c>
    </row>
    <row r="1138">
      <c r="G1138" s="5"/>
      <c r="H1138" s="6"/>
      <c r="AD1138" s="5">
        <v>44974.0</v>
      </c>
      <c r="AE1138" s="6">
        <v>0.3333333333333333</v>
      </c>
      <c r="AF1138" s="7">
        <v>16631.94</v>
      </c>
    </row>
    <row r="1139">
      <c r="G1139" s="5"/>
      <c r="H1139" s="6"/>
      <c r="AD1139" s="5">
        <v>44974.0</v>
      </c>
      <c r="AE1139" s="6">
        <v>0.375</v>
      </c>
      <c r="AF1139" s="7">
        <v>31840.38</v>
      </c>
    </row>
    <row r="1140">
      <c r="G1140" s="5"/>
      <c r="H1140" s="6"/>
      <c r="AD1140" s="5">
        <v>44974.0</v>
      </c>
      <c r="AE1140" s="6">
        <v>0.4166666666666667</v>
      </c>
      <c r="AF1140" s="7">
        <v>42268.2</v>
      </c>
    </row>
    <row r="1141">
      <c r="G1141" s="5"/>
      <c r="H1141" s="6"/>
      <c r="AD1141" s="5">
        <v>44974.0</v>
      </c>
      <c r="AE1141" s="6">
        <v>0.4583333333333333</v>
      </c>
      <c r="AF1141" s="7">
        <v>49471.5</v>
      </c>
    </row>
    <row r="1142">
      <c r="G1142" s="5"/>
      <c r="H1142" s="6"/>
      <c r="AD1142" s="5">
        <v>44974.0</v>
      </c>
      <c r="AE1142" s="6">
        <v>0.5</v>
      </c>
      <c r="AF1142" s="7">
        <v>50412.96</v>
      </c>
    </row>
    <row r="1143">
      <c r="G1143" s="5"/>
      <c r="H1143" s="6"/>
      <c r="AD1143" s="5">
        <v>44974.0</v>
      </c>
      <c r="AE1143" s="6">
        <v>0.5416666666666666</v>
      </c>
      <c r="AF1143" s="7">
        <v>49703.94</v>
      </c>
    </row>
    <row r="1144">
      <c r="G1144" s="5"/>
      <c r="H1144" s="6"/>
      <c r="AD1144" s="5">
        <v>44974.0</v>
      </c>
      <c r="AE1144" s="6">
        <v>0.5833333333333334</v>
      </c>
      <c r="AF1144" s="7">
        <v>43542.72</v>
      </c>
    </row>
    <row r="1145">
      <c r="G1145" s="5"/>
      <c r="H1145" s="6"/>
      <c r="AD1145" s="5">
        <v>44974.0</v>
      </c>
      <c r="AE1145" s="6">
        <v>0.625</v>
      </c>
      <c r="AF1145" s="7">
        <v>33064.2</v>
      </c>
    </row>
    <row r="1146">
      <c r="G1146" s="5"/>
      <c r="H1146" s="6"/>
      <c r="AD1146" s="5">
        <v>44974.0</v>
      </c>
      <c r="AE1146" s="6">
        <v>0.6666666666666666</v>
      </c>
      <c r="AF1146" s="7">
        <v>19418.1</v>
      </c>
    </row>
    <row r="1147">
      <c r="G1147" s="5"/>
      <c r="H1147" s="6"/>
      <c r="AD1147" s="5">
        <v>44974.0</v>
      </c>
      <c r="AE1147" s="6">
        <v>0.7083333333333334</v>
      </c>
      <c r="AF1147" s="7">
        <v>956.28</v>
      </c>
    </row>
    <row r="1148">
      <c r="G1148" s="5"/>
      <c r="H1148" s="6"/>
      <c r="AD1148" s="5">
        <v>44974.0</v>
      </c>
      <c r="AE1148" s="6">
        <v>0.75</v>
      </c>
      <c r="AF1148" s="7">
        <v>0.0</v>
      </c>
    </row>
    <row r="1149">
      <c r="G1149" s="5"/>
      <c r="H1149" s="6"/>
      <c r="AD1149" s="5">
        <v>44974.0</v>
      </c>
      <c r="AE1149" s="6">
        <v>0.7916666666666666</v>
      </c>
      <c r="AF1149" s="7">
        <v>0.0</v>
      </c>
    </row>
    <row r="1150">
      <c r="G1150" s="5"/>
      <c r="H1150" s="6"/>
      <c r="AD1150" s="5">
        <v>44974.0</v>
      </c>
      <c r="AE1150" s="6">
        <v>0.8333333333333334</v>
      </c>
      <c r="AF1150" s="7">
        <v>0.0</v>
      </c>
    </row>
    <row r="1151">
      <c r="G1151" s="5"/>
      <c r="H1151" s="6"/>
      <c r="AD1151" s="5">
        <v>44974.0</v>
      </c>
      <c r="AE1151" s="6">
        <v>0.875</v>
      </c>
      <c r="AF1151" s="7">
        <v>0.0</v>
      </c>
    </row>
    <row r="1152">
      <c r="G1152" s="5"/>
      <c r="H1152" s="6"/>
      <c r="AD1152" s="5">
        <v>44974.0</v>
      </c>
      <c r="AE1152" s="6">
        <v>0.9166666666666666</v>
      </c>
      <c r="AF1152" s="7">
        <v>0.0</v>
      </c>
    </row>
    <row r="1153">
      <c r="G1153" s="5"/>
      <c r="H1153" s="6"/>
      <c r="AD1153" s="5">
        <v>44974.0</v>
      </c>
      <c r="AE1153" s="6">
        <v>0.9583333333333334</v>
      </c>
      <c r="AF1153" s="7">
        <v>0.0</v>
      </c>
    </row>
    <row r="1154">
      <c r="G1154" s="5"/>
      <c r="H1154" s="6"/>
      <c r="AD1154" s="5">
        <v>44975.0</v>
      </c>
      <c r="AE1154" s="6">
        <v>0.0</v>
      </c>
      <c r="AF1154" s="7">
        <v>0.0</v>
      </c>
    </row>
    <row r="1155">
      <c r="G1155" s="5"/>
      <c r="H1155" s="6"/>
      <c r="AD1155" s="5">
        <v>44975.0</v>
      </c>
      <c r="AE1155" s="6">
        <v>0.041666666666666664</v>
      </c>
      <c r="AF1155" s="7">
        <v>0.0</v>
      </c>
    </row>
    <row r="1156">
      <c r="G1156" s="5"/>
      <c r="H1156" s="6"/>
      <c r="AD1156" s="5">
        <v>44975.0</v>
      </c>
      <c r="AE1156" s="6">
        <v>0.08333333333333333</v>
      </c>
      <c r="AF1156" s="7">
        <v>0.0</v>
      </c>
    </row>
    <row r="1157">
      <c r="G1157" s="5"/>
      <c r="H1157" s="6"/>
      <c r="AD1157" s="5">
        <v>44975.0</v>
      </c>
      <c r="AE1157" s="6">
        <v>0.125</v>
      </c>
      <c r="AF1157" s="7">
        <v>0.0</v>
      </c>
    </row>
    <row r="1158">
      <c r="G1158" s="5"/>
      <c r="H1158" s="6"/>
      <c r="AD1158" s="5">
        <v>44975.0</v>
      </c>
      <c r="AE1158" s="6">
        <v>0.16666666666666666</v>
      </c>
      <c r="AF1158" s="7">
        <v>0.0</v>
      </c>
    </row>
    <row r="1159">
      <c r="G1159" s="5"/>
      <c r="H1159" s="6"/>
      <c r="AD1159" s="5">
        <v>44975.0</v>
      </c>
      <c r="AE1159" s="6">
        <v>0.20833333333333334</v>
      </c>
      <c r="AF1159" s="7">
        <v>0.0</v>
      </c>
    </row>
    <row r="1160">
      <c r="G1160" s="5"/>
      <c r="H1160" s="6"/>
      <c r="AD1160" s="5">
        <v>44975.0</v>
      </c>
      <c r="AE1160" s="6">
        <v>0.25</v>
      </c>
      <c r="AF1160" s="7">
        <v>0.0</v>
      </c>
    </row>
    <row r="1161">
      <c r="G1161" s="5"/>
      <c r="H1161" s="6"/>
      <c r="AD1161" s="5">
        <v>44975.0</v>
      </c>
      <c r="AE1161" s="6">
        <v>0.2916666666666667</v>
      </c>
      <c r="AF1161" s="7">
        <v>0.0</v>
      </c>
    </row>
    <row r="1162">
      <c r="G1162" s="5"/>
      <c r="H1162" s="6"/>
      <c r="AD1162" s="5">
        <v>44975.0</v>
      </c>
      <c r="AE1162" s="6">
        <v>0.3333333333333333</v>
      </c>
      <c r="AF1162" s="7">
        <v>16807.44</v>
      </c>
    </row>
    <row r="1163">
      <c r="G1163" s="5"/>
      <c r="H1163" s="6"/>
      <c r="AD1163" s="5">
        <v>44975.0</v>
      </c>
      <c r="AE1163" s="6">
        <v>0.375</v>
      </c>
      <c r="AF1163" s="7">
        <v>31536.96</v>
      </c>
    </row>
    <row r="1164">
      <c r="G1164" s="5"/>
      <c r="H1164" s="6"/>
      <c r="AD1164" s="5">
        <v>44975.0</v>
      </c>
      <c r="AE1164" s="6">
        <v>0.4166666666666667</v>
      </c>
      <c r="AF1164" s="7">
        <v>42070.86</v>
      </c>
    </row>
    <row r="1165">
      <c r="G1165" s="5"/>
      <c r="H1165" s="6"/>
      <c r="AD1165" s="5">
        <v>44975.0</v>
      </c>
      <c r="AE1165" s="6">
        <v>0.4583333333333333</v>
      </c>
      <c r="AF1165" s="7">
        <v>48019.92</v>
      </c>
    </row>
    <row r="1166">
      <c r="G1166" s="5"/>
      <c r="H1166" s="6"/>
      <c r="AD1166" s="5">
        <v>44975.0</v>
      </c>
      <c r="AE1166" s="6">
        <v>0.5</v>
      </c>
      <c r="AF1166" s="7">
        <v>49905.18</v>
      </c>
    </row>
    <row r="1167">
      <c r="G1167" s="5"/>
      <c r="H1167" s="6"/>
      <c r="AD1167" s="5">
        <v>44975.0</v>
      </c>
      <c r="AE1167" s="6">
        <v>0.5416666666666666</v>
      </c>
      <c r="AF1167" s="7">
        <v>49570.56</v>
      </c>
    </row>
    <row r="1168">
      <c r="G1168" s="5"/>
      <c r="H1168" s="6"/>
      <c r="AD1168" s="5">
        <v>44975.0</v>
      </c>
      <c r="AE1168" s="6">
        <v>0.5833333333333334</v>
      </c>
      <c r="AF1168" s="7">
        <v>43423.38</v>
      </c>
    </row>
    <row r="1169">
      <c r="G1169" s="5"/>
      <c r="H1169" s="6"/>
      <c r="AD1169" s="5">
        <v>44975.0</v>
      </c>
      <c r="AE1169" s="6">
        <v>0.625</v>
      </c>
      <c r="AF1169" s="7">
        <v>33451.86</v>
      </c>
    </row>
    <row r="1170">
      <c r="G1170" s="5"/>
      <c r="H1170" s="6"/>
      <c r="AD1170" s="5">
        <v>44975.0</v>
      </c>
      <c r="AE1170" s="6">
        <v>0.6666666666666666</v>
      </c>
      <c r="AF1170" s="7">
        <v>19345.56</v>
      </c>
    </row>
    <row r="1171">
      <c r="G1171" s="5"/>
      <c r="H1171" s="6"/>
      <c r="AD1171" s="5">
        <v>44975.0</v>
      </c>
      <c r="AE1171" s="6">
        <v>0.7083333333333334</v>
      </c>
      <c r="AF1171" s="7">
        <v>2896.92</v>
      </c>
    </row>
    <row r="1172">
      <c r="G1172" s="5"/>
      <c r="H1172" s="6"/>
      <c r="AD1172" s="5">
        <v>44975.0</v>
      </c>
      <c r="AE1172" s="6">
        <v>0.75</v>
      </c>
      <c r="AF1172" s="7">
        <v>0.0</v>
      </c>
    </row>
    <row r="1173">
      <c r="G1173" s="5"/>
      <c r="H1173" s="6"/>
      <c r="AD1173" s="5">
        <v>44975.0</v>
      </c>
      <c r="AE1173" s="6">
        <v>0.7916666666666666</v>
      </c>
      <c r="AF1173" s="7">
        <v>0.0</v>
      </c>
    </row>
    <row r="1174">
      <c r="G1174" s="5"/>
      <c r="H1174" s="6"/>
      <c r="AD1174" s="5">
        <v>44975.0</v>
      </c>
      <c r="AE1174" s="6">
        <v>0.8333333333333334</v>
      </c>
      <c r="AF1174" s="7">
        <v>0.0</v>
      </c>
    </row>
    <row r="1175">
      <c r="G1175" s="5"/>
      <c r="H1175" s="6"/>
      <c r="AD1175" s="5">
        <v>44975.0</v>
      </c>
      <c r="AE1175" s="6">
        <v>0.875</v>
      </c>
      <c r="AF1175" s="7">
        <v>0.0</v>
      </c>
    </row>
    <row r="1176">
      <c r="G1176" s="5"/>
      <c r="H1176" s="6"/>
      <c r="AD1176" s="5">
        <v>44975.0</v>
      </c>
      <c r="AE1176" s="6">
        <v>0.9166666666666666</v>
      </c>
      <c r="AF1176" s="7">
        <v>0.0</v>
      </c>
    </row>
    <row r="1177">
      <c r="G1177" s="5"/>
      <c r="H1177" s="6"/>
      <c r="AD1177" s="5">
        <v>44975.0</v>
      </c>
      <c r="AE1177" s="6">
        <v>0.9583333333333334</v>
      </c>
      <c r="AF1177" s="7">
        <v>0.0</v>
      </c>
    </row>
    <row r="1178">
      <c r="G1178" s="5"/>
      <c r="H1178" s="6"/>
      <c r="AD1178" s="5">
        <v>44976.0</v>
      </c>
      <c r="AE1178" s="6">
        <v>0.0</v>
      </c>
      <c r="AF1178" s="7">
        <v>0.0</v>
      </c>
    </row>
    <row r="1179">
      <c r="G1179" s="5"/>
      <c r="H1179" s="6"/>
      <c r="AD1179" s="5">
        <v>44976.0</v>
      </c>
      <c r="AE1179" s="6">
        <v>0.041666666666666664</v>
      </c>
      <c r="AF1179" s="7">
        <v>0.0</v>
      </c>
    </row>
    <row r="1180">
      <c r="G1180" s="5"/>
      <c r="H1180" s="6"/>
      <c r="AD1180" s="5">
        <v>44976.0</v>
      </c>
      <c r="AE1180" s="6">
        <v>0.08333333333333333</v>
      </c>
      <c r="AF1180" s="7">
        <v>0.0</v>
      </c>
    </row>
    <row r="1181">
      <c r="G1181" s="5"/>
      <c r="H1181" s="6"/>
      <c r="AD1181" s="5">
        <v>44976.0</v>
      </c>
      <c r="AE1181" s="6">
        <v>0.125</v>
      </c>
      <c r="AF1181" s="7">
        <v>0.0</v>
      </c>
    </row>
    <row r="1182">
      <c r="G1182" s="5"/>
      <c r="H1182" s="6"/>
      <c r="AD1182" s="5">
        <v>44976.0</v>
      </c>
      <c r="AE1182" s="6">
        <v>0.16666666666666666</v>
      </c>
      <c r="AF1182" s="7">
        <v>0.0</v>
      </c>
    </row>
    <row r="1183">
      <c r="G1183" s="5"/>
      <c r="H1183" s="6"/>
      <c r="AD1183" s="5">
        <v>44976.0</v>
      </c>
      <c r="AE1183" s="6">
        <v>0.20833333333333334</v>
      </c>
      <c r="AF1183" s="7">
        <v>0.0</v>
      </c>
    </row>
    <row r="1184">
      <c r="G1184" s="5"/>
      <c r="H1184" s="6"/>
      <c r="AD1184" s="5">
        <v>44976.0</v>
      </c>
      <c r="AE1184" s="6">
        <v>0.25</v>
      </c>
      <c r="AF1184" s="7">
        <v>0.0</v>
      </c>
    </row>
    <row r="1185">
      <c r="G1185" s="5"/>
      <c r="H1185" s="6"/>
      <c r="AD1185" s="5">
        <v>44976.0</v>
      </c>
      <c r="AE1185" s="6">
        <v>0.2916666666666667</v>
      </c>
      <c r="AF1185" s="7">
        <v>0.0</v>
      </c>
    </row>
    <row r="1186">
      <c r="G1186" s="5"/>
      <c r="H1186" s="6"/>
      <c r="AD1186" s="5">
        <v>44976.0</v>
      </c>
      <c r="AE1186" s="6">
        <v>0.3333333333333333</v>
      </c>
      <c r="AF1186" s="7">
        <v>15785.64</v>
      </c>
    </row>
    <row r="1187">
      <c r="G1187" s="5"/>
      <c r="H1187" s="6"/>
      <c r="AD1187" s="5">
        <v>44976.0</v>
      </c>
      <c r="AE1187" s="6">
        <v>0.375</v>
      </c>
      <c r="AF1187" s="7">
        <v>30653.22</v>
      </c>
    </row>
    <row r="1188">
      <c r="G1188" s="5"/>
      <c r="H1188" s="6"/>
      <c r="AD1188" s="5">
        <v>44976.0</v>
      </c>
      <c r="AE1188" s="6">
        <v>0.4166666666666667</v>
      </c>
      <c r="AF1188" s="7">
        <v>41589.6</v>
      </c>
    </row>
    <row r="1189">
      <c r="G1189" s="5"/>
      <c r="H1189" s="6"/>
      <c r="AD1189" s="5">
        <v>44976.0</v>
      </c>
      <c r="AE1189" s="6">
        <v>0.4583333333333333</v>
      </c>
      <c r="AF1189" s="7">
        <v>48853.74</v>
      </c>
    </row>
    <row r="1190">
      <c r="G1190" s="5"/>
      <c r="H1190" s="6"/>
      <c r="AD1190" s="5">
        <v>44976.0</v>
      </c>
      <c r="AE1190" s="6">
        <v>0.5</v>
      </c>
      <c r="AF1190" s="7">
        <v>50354.46</v>
      </c>
    </row>
    <row r="1191">
      <c r="G1191" s="5"/>
      <c r="H1191" s="6"/>
      <c r="AD1191" s="5">
        <v>44976.0</v>
      </c>
      <c r="AE1191" s="6">
        <v>0.5416666666666666</v>
      </c>
      <c r="AF1191" s="7">
        <v>49327.2</v>
      </c>
    </row>
    <row r="1192">
      <c r="G1192" s="5"/>
      <c r="H1192" s="6"/>
      <c r="AD1192" s="5">
        <v>44976.0</v>
      </c>
      <c r="AE1192" s="6">
        <v>0.5833333333333334</v>
      </c>
      <c r="AF1192" s="7">
        <v>42100.5</v>
      </c>
    </row>
    <row r="1193">
      <c r="G1193" s="5"/>
      <c r="H1193" s="6"/>
      <c r="AD1193" s="5">
        <v>44976.0</v>
      </c>
      <c r="AE1193" s="6">
        <v>0.625</v>
      </c>
      <c r="AF1193" s="7">
        <v>31919.16</v>
      </c>
    </row>
    <row r="1194">
      <c r="G1194" s="5"/>
      <c r="H1194" s="6"/>
      <c r="AD1194" s="5">
        <v>44976.0</v>
      </c>
      <c r="AE1194" s="6">
        <v>0.6666666666666666</v>
      </c>
      <c r="AF1194" s="7">
        <v>18003.96</v>
      </c>
    </row>
    <row r="1195">
      <c r="G1195" s="5"/>
      <c r="H1195" s="6"/>
      <c r="AD1195" s="5">
        <v>44976.0</v>
      </c>
      <c r="AE1195" s="6">
        <v>0.7083333333333334</v>
      </c>
      <c r="AF1195" s="7">
        <v>2061.54</v>
      </c>
    </row>
    <row r="1196">
      <c r="G1196" s="5"/>
      <c r="H1196" s="6"/>
      <c r="AD1196" s="5">
        <v>44976.0</v>
      </c>
      <c r="AE1196" s="6">
        <v>0.75</v>
      </c>
      <c r="AF1196" s="7">
        <v>0.0</v>
      </c>
    </row>
    <row r="1197">
      <c r="G1197" s="5"/>
      <c r="H1197" s="6"/>
      <c r="AD1197" s="5">
        <v>44976.0</v>
      </c>
      <c r="AE1197" s="6">
        <v>0.7916666666666666</v>
      </c>
      <c r="AF1197" s="7">
        <v>0.0</v>
      </c>
    </row>
    <row r="1198">
      <c r="G1198" s="5"/>
      <c r="H1198" s="6"/>
      <c r="AD1198" s="5">
        <v>44976.0</v>
      </c>
      <c r="AE1198" s="6">
        <v>0.8333333333333334</v>
      </c>
      <c r="AF1198" s="7">
        <v>0.0</v>
      </c>
    </row>
    <row r="1199">
      <c r="G1199" s="5"/>
      <c r="H1199" s="6"/>
      <c r="AD1199" s="5">
        <v>44976.0</v>
      </c>
      <c r="AE1199" s="6">
        <v>0.875</v>
      </c>
      <c r="AF1199" s="7">
        <v>0.0</v>
      </c>
    </row>
    <row r="1200">
      <c r="G1200" s="5"/>
      <c r="H1200" s="6"/>
      <c r="AD1200" s="5">
        <v>44976.0</v>
      </c>
      <c r="AE1200" s="6">
        <v>0.9166666666666666</v>
      </c>
      <c r="AF1200" s="7">
        <v>0.0</v>
      </c>
    </row>
    <row r="1201">
      <c r="G1201" s="5"/>
      <c r="H1201" s="6"/>
      <c r="AD1201" s="5">
        <v>44976.0</v>
      </c>
      <c r="AE1201" s="6">
        <v>0.9583333333333334</v>
      </c>
      <c r="AF1201" s="7">
        <v>0.0</v>
      </c>
    </row>
    <row r="1202">
      <c r="G1202" s="5"/>
      <c r="H1202" s="6"/>
      <c r="AD1202" s="5">
        <v>44977.0</v>
      </c>
      <c r="AE1202" s="6">
        <v>0.0</v>
      </c>
      <c r="AF1202" s="7">
        <v>0.0</v>
      </c>
    </row>
    <row r="1203">
      <c r="G1203" s="5"/>
      <c r="H1203" s="6"/>
      <c r="AD1203" s="5">
        <v>44977.0</v>
      </c>
      <c r="AE1203" s="6">
        <v>0.041666666666666664</v>
      </c>
      <c r="AF1203" s="7">
        <v>0.0</v>
      </c>
    </row>
    <row r="1204">
      <c r="G1204" s="5"/>
      <c r="H1204" s="6"/>
      <c r="AD1204" s="5">
        <v>44977.0</v>
      </c>
      <c r="AE1204" s="6">
        <v>0.08333333333333333</v>
      </c>
      <c r="AF1204" s="7">
        <v>0.0</v>
      </c>
    </row>
    <row r="1205">
      <c r="G1205" s="5"/>
      <c r="H1205" s="6"/>
      <c r="AD1205" s="5">
        <v>44977.0</v>
      </c>
      <c r="AE1205" s="6">
        <v>0.125</v>
      </c>
      <c r="AF1205" s="7">
        <v>0.0</v>
      </c>
    </row>
    <row r="1206">
      <c r="G1206" s="5"/>
      <c r="H1206" s="6"/>
      <c r="AD1206" s="5">
        <v>44977.0</v>
      </c>
      <c r="AE1206" s="6">
        <v>0.16666666666666666</v>
      </c>
      <c r="AF1206" s="7">
        <v>0.0</v>
      </c>
    </row>
    <row r="1207">
      <c r="G1207" s="5"/>
      <c r="H1207" s="6"/>
      <c r="AD1207" s="5">
        <v>44977.0</v>
      </c>
      <c r="AE1207" s="6">
        <v>0.20833333333333334</v>
      </c>
      <c r="AF1207" s="7">
        <v>0.0</v>
      </c>
    </row>
    <row r="1208">
      <c r="G1208" s="5"/>
      <c r="H1208" s="6"/>
      <c r="AD1208" s="5">
        <v>44977.0</v>
      </c>
      <c r="AE1208" s="6">
        <v>0.25</v>
      </c>
      <c r="AF1208" s="7">
        <v>0.0</v>
      </c>
    </row>
    <row r="1209">
      <c r="G1209" s="5"/>
      <c r="H1209" s="6"/>
      <c r="AD1209" s="5">
        <v>44977.0</v>
      </c>
      <c r="AE1209" s="6">
        <v>0.2916666666666667</v>
      </c>
      <c r="AF1209" s="7">
        <v>41.34</v>
      </c>
    </row>
    <row r="1210">
      <c r="G1210" s="5"/>
      <c r="H1210" s="6"/>
      <c r="AD1210" s="5">
        <v>44977.0</v>
      </c>
      <c r="AE1210" s="6">
        <v>0.3333333333333333</v>
      </c>
      <c r="AF1210" s="7">
        <v>15830.88</v>
      </c>
    </row>
    <row r="1211">
      <c r="G1211" s="5"/>
      <c r="H1211" s="6"/>
      <c r="AD1211" s="5">
        <v>44977.0</v>
      </c>
      <c r="AE1211" s="6">
        <v>0.375</v>
      </c>
      <c r="AF1211" s="7">
        <v>30113.46</v>
      </c>
    </row>
    <row r="1212">
      <c r="G1212" s="5"/>
      <c r="H1212" s="6"/>
      <c r="AD1212" s="5">
        <v>44977.0</v>
      </c>
      <c r="AE1212" s="6">
        <v>0.4166666666666667</v>
      </c>
      <c r="AF1212" s="7">
        <v>41267.46</v>
      </c>
    </row>
    <row r="1213">
      <c r="G1213" s="5"/>
      <c r="H1213" s="6"/>
      <c r="AD1213" s="5">
        <v>44977.0</v>
      </c>
      <c r="AE1213" s="6">
        <v>0.4583333333333333</v>
      </c>
      <c r="AF1213" s="7">
        <v>48738.3</v>
      </c>
    </row>
    <row r="1214">
      <c r="G1214" s="5"/>
      <c r="H1214" s="6"/>
      <c r="AD1214" s="5">
        <v>44977.0</v>
      </c>
      <c r="AE1214" s="6">
        <v>0.5</v>
      </c>
      <c r="AF1214" s="7">
        <v>51361.44</v>
      </c>
    </row>
    <row r="1215">
      <c r="G1215" s="5"/>
      <c r="H1215" s="6"/>
      <c r="AD1215" s="5">
        <v>44977.0</v>
      </c>
      <c r="AE1215" s="6">
        <v>0.5416666666666666</v>
      </c>
      <c r="AF1215" s="7">
        <v>50378.64</v>
      </c>
    </row>
    <row r="1216">
      <c r="G1216" s="5"/>
      <c r="H1216" s="6"/>
      <c r="AD1216" s="5">
        <v>44977.0</v>
      </c>
      <c r="AE1216" s="6">
        <v>0.5833333333333334</v>
      </c>
      <c r="AF1216" s="7">
        <v>43505.28</v>
      </c>
    </row>
    <row r="1217">
      <c r="G1217" s="5"/>
      <c r="H1217" s="6"/>
      <c r="AD1217" s="5">
        <v>44977.0</v>
      </c>
      <c r="AE1217" s="6">
        <v>0.625</v>
      </c>
      <c r="AF1217" s="7">
        <v>32284.98</v>
      </c>
    </row>
    <row r="1218">
      <c r="G1218" s="5"/>
      <c r="H1218" s="6"/>
      <c r="AD1218" s="5">
        <v>44977.0</v>
      </c>
      <c r="AE1218" s="6">
        <v>0.6666666666666666</v>
      </c>
      <c r="AF1218" s="7">
        <v>18775.38</v>
      </c>
    </row>
    <row r="1219">
      <c r="G1219" s="5"/>
      <c r="H1219" s="6"/>
      <c r="AD1219" s="5">
        <v>44977.0</v>
      </c>
      <c r="AE1219" s="6">
        <v>0.7083333333333334</v>
      </c>
      <c r="AF1219" s="7">
        <v>3269.76</v>
      </c>
    </row>
    <row r="1220">
      <c r="G1220" s="5"/>
      <c r="H1220" s="6"/>
      <c r="AD1220" s="5">
        <v>44977.0</v>
      </c>
      <c r="AE1220" s="6">
        <v>0.75</v>
      </c>
      <c r="AF1220" s="7">
        <v>0.0</v>
      </c>
    </row>
    <row r="1221">
      <c r="G1221" s="5"/>
      <c r="H1221" s="6"/>
      <c r="AD1221" s="5">
        <v>44977.0</v>
      </c>
      <c r="AE1221" s="6">
        <v>0.7916666666666666</v>
      </c>
      <c r="AF1221" s="7">
        <v>0.0</v>
      </c>
    </row>
    <row r="1222">
      <c r="G1222" s="5"/>
      <c r="H1222" s="6"/>
      <c r="AD1222" s="5">
        <v>44977.0</v>
      </c>
      <c r="AE1222" s="6">
        <v>0.8333333333333334</v>
      </c>
      <c r="AF1222" s="7">
        <v>0.0</v>
      </c>
    </row>
    <row r="1223">
      <c r="G1223" s="5"/>
      <c r="H1223" s="6"/>
      <c r="AD1223" s="5">
        <v>44977.0</v>
      </c>
      <c r="AE1223" s="6">
        <v>0.875</v>
      </c>
      <c r="AF1223" s="7">
        <v>0.0</v>
      </c>
    </row>
    <row r="1224">
      <c r="G1224" s="5"/>
      <c r="H1224" s="6"/>
      <c r="AD1224" s="5">
        <v>44977.0</v>
      </c>
      <c r="AE1224" s="6">
        <v>0.9166666666666666</v>
      </c>
      <c r="AF1224" s="7">
        <v>0.0</v>
      </c>
    </row>
    <row r="1225">
      <c r="G1225" s="5"/>
      <c r="H1225" s="6"/>
      <c r="AD1225" s="5">
        <v>44977.0</v>
      </c>
      <c r="AE1225" s="6">
        <v>0.9583333333333334</v>
      </c>
      <c r="AF1225" s="7">
        <v>0.0</v>
      </c>
    </row>
    <row r="1226">
      <c r="G1226" s="5"/>
      <c r="H1226" s="6"/>
      <c r="AD1226" s="5">
        <v>44978.0</v>
      </c>
      <c r="AE1226" s="6">
        <v>0.0</v>
      </c>
      <c r="AF1226" s="7">
        <v>0.0</v>
      </c>
    </row>
    <row r="1227">
      <c r="G1227" s="5"/>
      <c r="H1227" s="6"/>
      <c r="AD1227" s="5">
        <v>44978.0</v>
      </c>
      <c r="AE1227" s="6">
        <v>0.041666666666666664</v>
      </c>
      <c r="AF1227" s="7">
        <v>0.0</v>
      </c>
    </row>
    <row r="1228">
      <c r="G1228" s="5"/>
      <c r="H1228" s="6"/>
      <c r="AD1228" s="5">
        <v>44978.0</v>
      </c>
      <c r="AE1228" s="6">
        <v>0.08333333333333333</v>
      </c>
      <c r="AF1228" s="7">
        <v>0.0</v>
      </c>
    </row>
    <row r="1229">
      <c r="G1229" s="5"/>
      <c r="H1229" s="6"/>
      <c r="AD1229" s="5">
        <v>44978.0</v>
      </c>
      <c r="AE1229" s="6">
        <v>0.125</v>
      </c>
      <c r="AF1229" s="7">
        <v>0.0</v>
      </c>
    </row>
    <row r="1230">
      <c r="G1230" s="5"/>
      <c r="H1230" s="6"/>
      <c r="AD1230" s="5">
        <v>44978.0</v>
      </c>
      <c r="AE1230" s="6">
        <v>0.16666666666666666</v>
      </c>
      <c r="AF1230" s="7">
        <v>0.0</v>
      </c>
    </row>
    <row r="1231">
      <c r="G1231" s="5"/>
      <c r="H1231" s="6"/>
      <c r="AD1231" s="5">
        <v>44978.0</v>
      </c>
      <c r="AE1231" s="6">
        <v>0.20833333333333334</v>
      </c>
      <c r="AF1231" s="7">
        <v>0.0</v>
      </c>
    </row>
    <row r="1232">
      <c r="G1232" s="5"/>
      <c r="H1232" s="6"/>
      <c r="AD1232" s="5">
        <v>44978.0</v>
      </c>
      <c r="AE1232" s="6">
        <v>0.25</v>
      </c>
      <c r="AF1232" s="7">
        <v>0.0</v>
      </c>
    </row>
    <row r="1233">
      <c r="G1233" s="5"/>
      <c r="H1233" s="6"/>
      <c r="AD1233" s="5">
        <v>44978.0</v>
      </c>
      <c r="AE1233" s="6">
        <v>0.2916666666666667</v>
      </c>
      <c r="AF1233" s="7">
        <v>0.0</v>
      </c>
    </row>
    <row r="1234">
      <c r="G1234" s="5"/>
      <c r="H1234" s="6"/>
      <c r="AD1234" s="5">
        <v>44978.0</v>
      </c>
      <c r="AE1234" s="6">
        <v>0.3333333333333333</v>
      </c>
      <c r="AF1234" s="7">
        <v>2637.96</v>
      </c>
    </row>
    <row r="1235">
      <c r="G1235" s="5"/>
      <c r="H1235" s="6"/>
      <c r="AD1235" s="5">
        <v>44978.0</v>
      </c>
      <c r="AE1235" s="6">
        <v>0.375</v>
      </c>
      <c r="AF1235" s="7">
        <v>10500.36</v>
      </c>
    </row>
    <row r="1236">
      <c r="G1236" s="5"/>
      <c r="H1236" s="6"/>
      <c r="AD1236" s="5">
        <v>44978.0</v>
      </c>
      <c r="AE1236" s="6">
        <v>0.4166666666666667</v>
      </c>
      <c r="AF1236" s="7">
        <v>20600.58</v>
      </c>
    </row>
    <row r="1237">
      <c r="G1237" s="5"/>
      <c r="H1237" s="6"/>
      <c r="AD1237" s="5">
        <v>44978.0</v>
      </c>
      <c r="AE1237" s="6">
        <v>0.4583333333333333</v>
      </c>
      <c r="AF1237" s="7">
        <v>11295.96</v>
      </c>
    </row>
    <row r="1238">
      <c r="G1238" s="5"/>
      <c r="H1238" s="6"/>
      <c r="AD1238" s="5">
        <v>44978.0</v>
      </c>
      <c r="AE1238" s="6">
        <v>0.5</v>
      </c>
      <c r="AF1238" s="7">
        <v>7975.5</v>
      </c>
    </row>
    <row r="1239">
      <c r="G1239" s="5"/>
      <c r="H1239" s="6"/>
      <c r="AD1239" s="5">
        <v>44978.0</v>
      </c>
      <c r="AE1239" s="6">
        <v>0.5416666666666666</v>
      </c>
      <c r="AF1239" s="7">
        <v>20255.04</v>
      </c>
    </row>
    <row r="1240">
      <c r="G1240" s="5"/>
      <c r="H1240" s="6"/>
      <c r="AD1240" s="5">
        <v>44978.0</v>
      </c>
      <c r="AE1240" s="6">
        <v>0.5833333333333334</v>
      </c>
      <c r="AF1240" s="7">
        <v>40357.2</v>
      </c>
    </row>
    <row r="1241">
      <c r="G1241" s="5"/>
      <c r="H1241" s="6"/>
      <c r="AD1241" s="5">
        <v>44978.0</v>
      </c>
      <c r="AE1241" s="6">
        <v>0.625</v>
      </c>
      <c r="AF1241" s="7">
        <v>31439.46</v>
      </c>
    </row>
    <row r="1242">
      <c r="G1242" s="5"/>
      <c r="H1242" s="6"/>
      <c r="AD1242" s="5">
        <v>44978.0</v>
      </c>
      <c r="AE1242" s="6">
        <v>0.6666666666666666</v>
      </c>
      <c r="AF1242" s="7">
        <v>20180.94</v>
      </c>
    </row>
    <row r="1243">
      <c r="G1243" s="5"/>
      <c r="H1243" s="6"/>
      <c r="AD1243" s="5">
        <v>44978.0</v>
      </c>
      <c r="AE1243" s="6">
        <v>0.7083333333333334</v>
      </c>
      <c r="AF1243" s="7">
        <v>173.16</v>
      </c>
    </row>
    <row r="1244">
      <c r="G1244" s="5"/>
      <c r="H1244" s="6"/>
      <c r="AD1244" s="5">
        <v>44978.0</v>
      </c>
      <c r="AE1244" s="6">
        <v>0.75</v>
      </c>
      <c r="AF1244" s="7">
        <v>0.0</v>
      </c>
    </row>
    <row r="1245">
      <c r="G1245" s="5"/>
      <c r="H1245" s="6"/>
      <c r="AD1245" s="5">
        <v>44978.0</v>
      </c>
      <c r="AE1245" s="6">
        <v>0.7916666666666666</v>
      </c>
      <c r="AF1245" s="7">
        <v>0.0</v>
      </c>
    </row>
    <row r="1246">
      <c r="G1246" s="5"/>
      <c r="H1246" s="6"/>
      <c r="AD1246" s="5">
        <v>44978.0</v>
      </c>
      <c r="AE1246" s="6">
        <v>0.8333333333333334</v>
      </c>
      <c r="AF1246" s="7">
        <v>0.0</v>
      </c>
    </row>
    <row r="1247">
      <c r="G1247" s="5"/>
      <c r="H1247" s="6"/>
      <c r="AD1247" s="5">
        <v>44978.0</v>
      </c>
      <c r="AE1247" s="6">
        <v>0.875</v>
      </c>
      <c r="AF1247" s="7">
        <v>0.0</v>
      </c>
    </row>
    <row r="1248">
      <c r="G1248" s="5"/>
      <c r="H1248" s="6"/>
      <c r="AD1248" s="5">
        <v>44978.0</v>
      </c>
      <c r="AE1248" s="6">
        <v>0.9166666666666666</v>
      </c>
      <c r="AF1248" s="7">
        <v>0.0</v>
      </c>
    </row>
    <row r="1249">
      <c r="G1249" s="5"/>
      <c r="H1249" s="6"/>
      <c r="AD1249" s="5">
        <v>44978.0</v>
      </c>
      <c r="AE1249" s="6">
        <v>0.9583333333333334</v>
      </c>
      <c r="AF1249" s="7">
        <v>0.0</v>
      </c>
    </row>
    <row r="1250">
      <c r="G1250" s="5"/>
      <c r="H1250" s="6"/>
      <c r="AD1250" s="5">
        <v>44979.0</v>
      </c>
      <c r="AE1250" s="6">
        <v>0.0</v>
      </c>
      <c r="AF1250" s="7">
        <v>0.0</v>
      </c>
    </row>
    <row r="1251">
      <c r="G1251" s="5"/>
      <c r="H1251" s="6"/>
      <c r="AD1251" s="5">
        <v>44979.0</v>
      </c>
      <c r="AE1251" s="6">
        <v>0.041666666666666664</v>
      </c>
      <c r="AF1251" s="7">
        <v>0.0</v>
      </c>
    </row>
    <row r="1252">
      <c r="G1252" s="5"/>
      <c r="H1252" s="6"/>
      <c r="AD1252" s="5">
        <v>44979.0</v>
      </c>
      <c r="AE1252" s="6">
        <v>0.08333333333333333</v>
      </c>
      <c r="AF1252" s="7">
        <v>0.0</v>
      </c>
    </row>
    <row r="1253">
      <c r="G1253" s="5"/>
      <c r="H1253" s="6"/>
      <c r="AD1253" s="5">
        <v>44979.0</v>
      </c>
      <c r="AE1253" s="6">
        <v>0.125</v>
      </c>
      <c r="AF1253" s="7">
        <v>0.0</v>
      </c>
    </row>
    <row r="1254">
      <c r="G1254" s="5"/>
      <c r="H1254" s="6"/>
      <c r="AD1254" s="5">
        <v>44979.0</v>
      </c>
      <c r="AE1254" s="6">
        <v>0.16666666666666666</v>
      </c>
      <c r="AF1254" s="7">
        <v>0.0</v>
      </c>
    </row>
    <row r="1255">
      <c r="G1255" s="5"/>
      <c r="H1255" s="6"/>
      <c r="AD1255" s="5">
        <v>44979.0</v>
      </c>
      <c r="AE1255" s="6">
        <v>0.20833333333333334</v>
      </c>
      <c r="AF1255" s="7">
        <v>0.0</v>
      </c>
    </row>
    <row r="1256">
      <c r="G1256" s="5"/>
      <c r="H1256" s="6"/>
      <c r="AD1256" s="5">
        <v>44979.0</v>
      </c>
      <c r="AE1256" s="6">
        <v>0.25</v>
      </c>
      <c r="AF1256" s="7">
        <v>0.0</v>
      </c>
    </row>
    <row r="1257">
      <c r="G1257" s="5"/>
      <c r="H1257" s="6"/>
      <c r="AD1257" s="5">
        <v>44979.0</v>
      </c>
      <c r="AE1257" s="6">
        <v>0.2916666666666667</v>
      </c>
      <c r="AF1257" s="7">
        <v>190.32</v>
      </c>
    </row>
    <row r="1258">
      <c r="G1258" s="5"/>
      <c r="H1258" s="6"/>
      <c r="AD1258" s="5">
        <v>44979.0</v>
      </c>
      <c r="AE1258" s="6">
        <v>0.3333333333333333</v>
      </c>
      <c r="AF1258" s="7">
        <v>16645.2</v>
      </c>
    </row>
    <row r="1259">
      <c r="G1259" s="5"/>
      <c r="H1259" s="6"/>
      <c r="AD1259" s="5">
        <v>44979.0</v>
      </c>
      <c r="AE1259" s="6">
        <v>0.375</v>
      </c>
      <c r="AF1259" s="7">
        <v>22943.7</v>
      </c>
    </row>
    <row r="1260">
      <c r="G1260" s="5"/>
      <c r="H1260" s="6"/>
      <c r="AD1260" s="5">
        <v>44979.0</v>
      </c>
      <c r="AE1260" s="6">
        <v>0.4166666666666667</v>
      </c>
      <c r="AF1260" s="7">
        <v>44304.0</v>
      </c>
    </row>
    <row r="1261">
      <c r="G1261" s="5"/>
      <c r="H1261" s="6"/>
      <c r="AD1261" s="5">
        <v>44979.0</v>
      </c>
      <c r="AE1261" s="6">
        <v>0.4583333333333333</v>
      </c>
      <c r="AF1261" s="7">
        <v>50214.84</v>
      </c>
    </row>
    <row r="1262">
      <c r="G1262" s="5"/>
      <c r="H1262" s="6"/>
      <c r="AD1262" s="5">
        <v>44979.0</v>
      </c>
      <c r="AE1262" s="6">
        <v>0.5</v>
      </c>
      <c r="AF1262" s="7">
        <v>52035.36</v>
      </c>
    </row>
    <row r="1263">
      <c r="G1263" s="5"/>
      <c r="H1263" s="6"/>
      <c r="AD1263" s="5">
        <v>44979.0</v>
      </c>
      <c r="AE1263" s="6">
        <v>0.5416666666666666</v>
      </c>
      <c r="AF1263" s="7">
        <v>47136.18</v>
      </c>
    </row>
    <row r="1264">
      <c r="G1264" s="5"/>
      <c r="H1264" s="6"/>
      <c r="AD1264" s="5">
        <v>44979.0</v>
      </c>
      <c r="AE1264" s="6">
        <v>0.5833333333333334</v>
      </c>
      <c r="AF1264" s="7">
        <v>43375.8</v>
      </c>
    </row>
    <row r="1265">
      <c r="G1265" s="5"/>
      <c r="H1265" s="6"/>
      <c r="AD1265" s="5">
        <v>44979.0</v>
      </c>
      <c r="AE1265" s="6">
        <v>0.625</v>
      </c>
      <c r="AF1265" s="7">
        <v>33085.26</v>
      </c>
    </row>
    <row r="1266">
      <c r="G1266" s="5"/>
      <c r="H1266" s="6"/>
      <c r="AD1266" s="5">
        <v>44979.0</v>
      </c>
      <c r="AE1266" s="6">
        <v>0.6666666666666666</v>
      </c>
      <c r="AF1266" s="7">
        <v>10978.5</v>
      </c>
    </row>
    <row r="1267">
      <c r="G1267" s="5"/>
      <c r="H1267" s="6"/>
      <c r="AD1267" s="5">
        <v>44979.0</v>
      </c>
      <c r="AE1267" s="6">
        <v>0.7083333333333334</v>
      </c>
      <c r="AF1267" s="7">
        <v>2873.52</v>
      </c>
    </row>
    <row r="1268">
      <c r="G1268" s="5"/>
      <c r="H1268" s="6"/>
      <c r="AD1268" s="5">
        <v>44979.0</v>
      </c>
      <c r="AE1268" s="6">
        <v>0.75</v>
      </c>
      <c r="AF1268" s="7">
        <v>0.0</v>
      </c>
    </row>
    <row r="1269">
      <c r="G1269" s="5"/>
      <c r="H1269" s="6"/>
      <c r="AD1269" s="5">
        <v>44979.0</v>
      </c>
      <c r="AE1269" s="6">
        <v>0.7916666666666666</v>
      </c>
      <c r="AF1269" s="7">
        <v>0.0</v>
      </c>
    </row>
    <row r="1270">
      <c r="G1270" s="5"/>
      <c r="H1270" s="6"/>
      <c r="AD1270" s="5">
        <v>44979.0</v>
      </c>
      <c r="AE1270" s="6">
        <v>0.8333333333333334</v>
      </c>
      <c r="AF1270" s="7">
        <v>0.0</v>
      </c>
    </row>
    <row r="1271">
      <c r="G1271" s="5"/>
      <c r="H1271" s="6"/>
      <c r="AD1271" s="5">
        <v>44979.0</v>
      </c>
      <c r="AE1271" s="6">
        <v>0.875</v>
      </c>
      <c r="AF1271" s="7">
        <v>0.0</v>
      </c>
    </row>
    <row r="1272">
      <c r="G1272" s="5"/>
      <c r="H1272" s="6"/>
      <c r="AD1272" s="5">
        <v>44979.0</v>
      </c>
      <c r="AE1272" s="6">
        <v>0.9166666666666666</v>
      </c>
      <c r="AF1272" s="7">
        <v>0.0</v>
      </c>
    </row>
    <row r="1273">
      <c r="G1273" s="5"/>
      <c r="H1273" s="6"/>
      <c r="AD1273" s="5">
        <v>44979.0</v>
      </c>
      <c r="AE1273" s="6">
        <v>0.9583333333333334</v>
      </c>
      <c r="AF1273" s="7">
        <v>0.0</v>
      </c>
    </row>
    <row r="1274">
      <c r="G1274" s="5"/>
      <c r="H1274" s="6"/>
      <c r="AD1274" s="5">
        <v>44980.0</v>
      </c>
      <c r="AE1274" s="6">
        <v>0.0</v>
      </c>
      <c r="AF1274" s="7">
        <v>0.0</v>
      </c>
    </row>
    <row r="1275">
      <c r="G1275" s="5"/>
      <c r="H1275" s="6"/>
      <c r="AD1275" s="5">
        <v>44980.0</v>
      </c>
      <c r="AE1275" s="6">
        <v>0.041666666666666664</v>
      </c>
      <c r="AF1275" s="7">
        <v>0.0</v>
      </c>
    </row>
    <row r="1276">
      <c r="G1276" s="5"/>
      <c r="H1276" s="6"/>
      <c r="AD1276" s="5">
        <v>44980.0</v>
      </c>
      <c r="AE1276" s="6">
        <v>0.08333333333333333</v>
      </c>
      <c r="AF1276" s="7">
        <v>0.0</v>
      </c>
    </row>
    <row r="1277">
      <c r="G1277" s="5"/>
      <c r="H1277" s="6"/>
      <c r="AD1277" s="5">
        <v>44980.0</v>
      </c>
      <c r="AE1277" s="6">
        <v>0.125</v>
      </c>
      <c r="AF1277" s="7">
        <v>0.0</v>
      </c>
    </row>
    <row r="1278">
      <c r="G1278" s="5"/>
      <c r="H1278" s="6"/>
      <c r="AD1278" s="5">
        <v>44980.0</v>
      </c>
      <c r="AE1278" s="6">
        <v>0.16666666666666666</v>
      </c>
      <c r="AF1278" s="7">
        <v>0.0</v>
      </c>
    </row>
    <row r="1279">
      <c r="G1279" s="5"/>
      <c r="H1279" s="6"/>
      <c r="AD1279" s="5">
        <v>44980.0</v>
      </c>
      <c r="AE1279" s="6">
        <v>0.20833333333333334</v>
      </c>
      <c r="AF1279" s="7">
        <v>0.0</v>
      </c>
    </row>
    <row r="1280">
      <c r="G1280" s="5"/>
      <c r="H1280" s="6"/>
      <c r="AD1280" s="5">
        <v>44980.0</v>
      </c>
      <c r="AE1280" s="6">
        <v>0.25</v>
      </c>
      <c r="AF1280" s="7">
        <v>0.0</v>
      </c>
    </row>
    <row r="1281">
      <c r="G1281" s="5"/>
      <c r="H1281" s="6"/>
      <c r="AD1281" s="5">
        <v>44980.0</v>
      </c>
      <c r="AE1281" s="6">
        <v>0.2916666666666667</v>
      </c>
      <c r="AF1281" s="7">
        <v>0.0</v>
      </c>
    </row>
    <row r="1282">
      <c r="G1282" s="5"/>
      <c r="H1282" s="6"/>
      <c r="AD1282" s="5">
        <v>44980.0</v>
      </c>
      <c r="AE1282" s="6">
        <v>0.3333333333333333</v>
      </c>
      <c r="AF1282" s="7">
        <v>4671.42</v>
      </c>
    </row>
    <row r="1283">
      <c r="G1283" s="5"/>
      <c r="H1283" s="6"/>
      <c r="AD1283" s="5">
        <v>44980.0</v>
      </c>
      <c r="AE1283" s="6">
        <v>0.375</v>
      </c>
      <c r="AF1283" s="7">
        <v>6963.06</v>
      </c>
    </row>
    <row r="1284">
      <c r="G1284" s="5"/>
      <c r="H1284" s="6"/>
      <c r="AD1284" s="5">
        <v>44980.0</v>
      </c>
      <c r="AE1284" s="6">
        <v>0.4166666666666667</v>
      </c>
      <c r="AF1284" s="7">
        <v>26582.4</v>
      </c>
    </row>
    <row r="1285">
      <c r="G1285" s="5"/>
      <c r="H1285" s="6"/>
      <c r="AD1285" s="5">
        <v>44980.0</v>
      </c>
      <c r="AE1285" s="6">
        <v>0.4583333333333333</v>
      </c>
      <c r="AF1285" s="7">
        <v>2635.62</v>
      </c>
    </row>
    <row r="1286">
      <c r="G1286" s="5"/>
      <c r="H1286" s="6"/>
      <c r="AD1286" s="5">
        <v>44980.0</v>
      </c>
      <c r="AE1286" s="6">
        <v>0.5</v>
      </c>
      <c r="AF1286" s="7">
        <v>29937.96</v>
      </c>
    </row>
    <row r="1287">
      <c r="G1287" s="5"/>
      <c r="H1287" s="6"/>
      <c r="AD1287" s="5">
        <v>44980.0</v>
      </c>
      <c r="AE1287" s="6">
        <v>0.5416666666666666</v>
      </c>
      <c r="AF1287" s="7">
        <v>3198.0</v>
      </c>
    </row>
    <row r="1288">
      <c r="G1288" s="5"/>
      <c r="H1288" s="6"/>
      <c r="AD1288" s="5">
        <v>44980.0</v>
      </c>
      <c r="AE1288" s="6">
        <v>0.5833333333333334</v>
      </c>
      <c r="AF1288" s="7">
        <v>2257.32</v>
      </c>
    </row>
    <row r="1289">
      <c r="G1289" s="5"/>
      <c r="H1289" s="6"/>
      <c r="AD1289" s="5">
        <v>44980.0</v>
      </c>
      <c r="AE1289" s="6">
        <v>0.625</v>
      </c>
      <c r="AF1289" s="7">
        <v>1536.6</v>
      </c>
    </row>
    <row r="1290">
      <c r="G1290" s="5"/>
      <c r="H1290" s="6"/>
      <c r="AD1290" s="5">
        <v>44980.0</v>
      </c>
      <c r="AE1290" s="6">
        <v>0.6666666666666666</v>
      </c>
      <c r="AF1290" s="7">
        <v>1836.9</v>
      </c>
    </row>
    <row r="1291">
      <c r="G1291" s="5"/>
      <c r="H1291" s="6"/>
      <c r="AD1291" s="5">
        <v>44980.0</v>
      </c>
      <c r="AE1291" s="6">
        <v>0.7083333333333334</v>
      </c>
      <c r="AF1291" s="7">
        <v>361.14</v>
      </c>
    </row>
    <row r="1292">
      <c r="G1292" s="5"/>
      <c r="H1292" s="6"/>
      <c r="AD1292" s="5">
        <v>44980.0</v>
      </c>
      <c r="AE1292" s="6">
        <v>0.75</v>
      </c>
      <c r="AF1292" s="7">
        <v>0.0</v>
      </c>
    </row>
    <row r="1293">
      <c r="G1293" s="5"/>
      <c r="H1293" s="6"/>
      <c r="AD1293" s="5">
        <v>44980.0</v>
      </c>
      <c r="AE1293" s="6">
        <v>0.7916666666666666</v>
      </c>
      <c r="AF1293" s="7">
        <v>0.0</v>
      </c>
    </row>
    <row r="1294">
      <c r="G1294" s="5"/>
      <c r="H1294" s="6"/>
      <c r="AD1294" s="5">
        <v>44980.0</v>
      </c>
      <c r="AE1294" s="6">
        <v>0.8333333333333334</v>
      </c>
      <c r="AF1294" s="7">
        <v>0.0</v>
      </c>
    </row>
    <row r="1295">
      <c r="G1295" s="5"/>
      <c r="H1295" s="6"/>
      <c r="AD1295" s="5">
        <v>44980.0</v>
      </c>
      <c r="AE1295" s="6">
        <v>0.875</v>
      </c>
      <c r="AF1295" s="7">
        <v>0.0</v>
      </c>
    </row>
    <row r="1296">
      <c r="G1296" s="5"/>
      <c r="H1296" s="6"/>
      <c r="AD1296" s="5">
        <v>44980.0</v>
      </c>
      <c r="AE1296" s="6">
        <v>0.9166666666666666</v>
      </c>
      <c r="AF1296" s="7">
        <v>0.0</v>
      </c>
    </row>
    <row r="1297">
      <c r="G1297" s="5"/>
      <c r="H1297" s="6"/>
      <c r="AD1297" s="5">
        <v>44980.0</v>
      </c>
      <c r="AE1297" s="6">
        <v>0.9583333333333334</v>
      </c>
      <c r="AF1297" s="7">
        <v>0.0</v>
      </c>
    </row>
    <row r="1298">
      <c r="G1298" s="5"/>
      <c r="H1298" s="6"/>
      <c r="AD1298" s="5">
        <v>44981.0</v>
      </c>
      <c r="AE1298" s="6">
        <v>0.0</v>
      </c>
      <c r="AF1298" s="7">
        <v>0.0</v>
      </c>
    </row>
    <row r="1299">
      <c r="G1299" s="5"/>
      <c r="H1299" s="6"/>
      <c r="AD1299" s="5">
        <v>44981.0</v>
      </c>
      <c r="AE1299" s="6">
        <v>0.041666666666666664</v>
      </c>
      <c r="AF1299" s="7">
        <v>0.0</v>
      </c>
    </row>
    <row r="1300">
      <c r="G1300" s="5"/>
      <c r="H1300" s="6"/>
      <c r="AD1300" s="5">
        <v>44981.0</v>
      </c>
      <c r="AE1300" s="6">
        <v>0.08333333333333333</v>
      </c>
      <c r="AF1300" s="7">
        <v>0.0</v>
      </c>
    </row>
    <row r="1301">
      <c r="G1301" s="5"/>
      <c r="H1301" s="6"/>
      <c r="AD1301" s="5">
        <v>44981.0</v>
      </c>
      <c r="AE1301" s="6">
        <v>0.125</v>
      </c>
      <c r="AF1301" s="7">
        <v>0.0</v>
      </c>
    </row>
    <row r="1302">
      <c r="G1302" s="5"/>
      <c r="H1302" s="6"/>
      <c r="AD1302" s="5">
        <v>44981.0</v>
      </c>
      <c r="AE1302" s="6">
        <v>0.16666666666666666</v>
      </c>
      <c r="AF1302" s="7">
        <v>0.0</v>
      </c>
    </row>
    <row r="1303">
      <c r="G1303" s="5"/>
      <c r="H1303" s="6"/>
      <c r="AD1303" s="5">
        <v>44981.0</v>
      </c>
      <c r="AE1303" s="6">
        <v>0.20833333333333334</v>
      </c>
      <c r="AF1303" s="7">
        <v>0.0</v>
      </c>
    </row>
    <row r="1304">
      <c r="G1304" s="5"/>
      <c r="H1304" s="6"/>
      <c r="AD1304" s="5">
        <v>44981.0</v>
      </c>
      <c r="AE1304" s="6">
        <v>0.25</v>
      </c>
      <c r="AF1304" s="7">
        <v>0.0</v>
      </c>
    </row>
    <row r="1305">
      <c r="G1305" s="5"/>
      <c r="H1305" s="6"/>
      <c r="AD1305" s="5">
        <v>44981.0</v>
      </c>
      <c r="AE1305" s="6">
        <v>0.2916666666666667</v>
      </c>
      <c r="AF1305" s="7">
        <v>652.86</v>
      </c>
    </row>
    <row r="1306">
      <c r="G1306" s="5"/>
      <c r="H1306" s="6"/>
      <c r="AD1306" s="5">
        <v>44981.0</v>
      </c>
      <c r="AE1306" s="6">
        <v>0.3333333333333333</v>
      </c>
      <c r="AF1306" s="7">
        <v>19425.9</v>
      </c>
    </row>
    <row r="1307">
      <c r="G1307" s="5"/>
      <c r="H1307" s="6"/>
      <c r="AD1307" s="5">
        <v>44981.0</v>
      </c>
      <c r="AE1307" s="6">
        <v>0.375</v>
      </c>
      <c r="AF1307" s="7">
        <v>35869.08</v>
      </c>
    </row>
    <row r="1308">
      <c r="G1308" s="5"/>
      <c r="H1308" s="6"/>
      <c r="AD1308" s="5">
        <v>44981.0</v>
      </c>
      <c r="AE1308" s="6">
        <v>0.4166666666666667</v>
      </c>
      <c r="AF1308" s="7">
        <v>48115.86</v>
      </c>
    </row>
    <row r="1309">
      <c r="G1309" s="5"/>
      <c r="H1309" s="6"/>
      <c r="AD1309" s="5">
        <v>44981.0</v>
      </c>
      <c r="AE1309" s="6">
        <v>0.4583333333333333</v>
      </c>
      <c r="AF1309" s="7">
        <v>55173.3</v>
      </c>
    </row>
    <row r="1310">
      <c r="G1310" s="5"/>
      <c r="H1310" s="6"/>
      <c r="AD1310" s="5">
        <v>44981.0</v>
      </c>
      <c r="AE1310" s="6">
        <v>0.5</v>
      </c>
      <c r="AF1310" s="7">
        <v>55452.54</v>
      </c>
    </row>
    <row r="1311">
      <c r="G1311" s="5"/>
      <c r="H1311" s="6"/>
      <c r="AD1311" s="5">
        <v>44981.0</v>
      </c>
      <c r="AE1311" s="6">
        <v>0.5416666666666666</v>
      </c>
      <c r="AF1311" s="7">
        <v>55186.56</v>
      </c>
    </row>
    <row r="1312">
      <c r="G1312" s="5"/>
      <c r="H1312" s="6"/>
      <c r="AD1312" s="5">
        <v>44981.0</v>
      </c>
      <c r="AE1312" s="6">
        <v>0.5833333333333334</v>
      </c>
      <c r="AF1312" s="7">
        <v>45687.72</v>
      </c>
    </row>
    <row r="1313">
      <c r="G1313" s="5"/>
      <c r="H1313" s="6"/>
      <c r="AD1313" s="5">
        <v>44981.0</v>
      </c>
      <c r="AE1313" s="6">
        <v>0.625</v>
      </c>
      <c r="AF1313" s="7">
        <v>37308.96</v>
      </c>
    </row>
    <row r="1314">
      <c r="G1314" s="5"/>
      <c r="H1314" s="6"/>
      <c r="AD1314" s="5">
        <v>44981.0</v>
      </c>
      <c r="AE1314" s="6">
        <v>0.6666666666666666</v>
      </c>
      <c r="AF1314" s="7">
        <v>22395.36</v>
      </c>
    </row>
    <row r="1315">
      <c r="G1315" s="5"/>
      <c r="H1315" s="6"/>
      <c r="AD1315" s="5">
        <v>44981.0</v>
      </c>
      <c r="AE1315" s="6">
        <v>0.7083333333333334</v>
      </c>
      <c r="AF1315" s="7">
        <v>4878.9</v>
      </c>
    </row>
    <row r="1316">
      <c r="G1316" s="5"/>
      <c r="H1316" s="6"/>
      <c r="AD1316" s="5">
        <v>44981.0</v>
      </c>
      <c r="AE1316" s="6">
        <v>0.75</v>
      </c>
      <c r="AF1316" s="7">
        <v>0.0</v>
      </c>
    </row>
    <row r="1317">
      <c r="G1317" s="5"/>
      <c r="H1317" s="6"/>
      <c r="AD1317" s="5">
        <v>44981.0</v>
      </c>
      <c r="AE1317" s="6">
        <v>0.7916666666666666</v>
      </c>
      <c r="AF1317" s="7">
        <v>0.0</v>
      </c>
    </row>
    <row r="1318">
      <c r="G1318" s="5"/>
      <c r="H1318" s="6"/>
      <c r="AD1318" s="5">
        <v>44981.0</v>
      </c>
      <c r="AE1318" s="6">
        <v>0.8333333333333334</v>
      </c>
      <c r="AF1318" s="7">
        <v>0.0</v>
      </c>
    </row>
    <row r="1319">
      <c r="G1319" s="5"/>
      <c r="H1319" s="6"/>
      <c r="AD1319" s="5">
        <v>44981.0</v>
      </c>
      <c r="AE1319" s="6">
        <v>0.875</v>
      </c>
      <c r="AF1319" s="7">
        <v>0.0</v>
      </c>
    </row>
    <row r="1320">
      <c r="G1320" s="5"/>
      <c r="H1320" s="6"/>
      <c r="AD1320" s="5">
        <v>44981.0</v>
      </c>
      <c r="AE1320" s="6">
        <v>0.9166666666666666</v>
      </c>
      <c r="AF1320" s="7">
        <v>0.0</v>
      </c>
    </row>
    <row r="1321">
      <c r="G1321" s="5"/>
      <c r="H1321" s="6"/>
      <c r="AD1321" s="5">
        <v>44981.0</v>
      </c>
      <c r="AE1321" s="6">
        <v>0.9583333333333334</v>
      </c>
      <c r="AF1321" s="7">
        <v>0.0</v>
      </c>
    </row>
    <row r="1322">
      <c r="G1322" s="5"/>
      <c r="H1322" s="6"/>
      <c r="AD1322" s="5">
        <v>44982.0</v>
      </c>
      <c r="AE1322" s="6">
        <v>0.0</v>
      </c>
      <c r="AF1322" s="7">
        <v>0.0</v>
      </c>
    </row>
    <row r="1323">
      <c r="G1323" s="5"/>
      <c r="H1323" s="6"/>
      <c r="AD1323" s="5">
        <v>44982.0</v>
      </c>
      <c r="AE1323" s="6">
        <v>0.041666666666666664</v>
      </c>
      <c r="AF1323" s="7">
        <v>0.0</v>
      </c>
    </row>
    <row r="1324">
      <c r="G1324" s="5"/>
      <c r="H1324" s="6"/>
      <c r="AD1324" s="5">
        <v>44982.0</v>
      </c>
      <c r="AE1324" s="6">
        <v>0.08333333333333333</v>
      </c>
      <c r="AF1324" s="7">
        <v>0.0</v>
      </c>
    </row>
    <row r="1325">
      <c r="G1325" s="5"/>
      <c r="H1325" s="6"/>
      <c r="AD1325" s="5">
        <v>44982.0</v>
      </c>
      <c r="AE1325" s="6">
        <v>0.125</v>
      </c>
      <c r="AF1325" s="7">
        <v>0.0</v>
      </c>
    </row>
    <row r="1326">
      <c r="G1326" s="5"/>
      <c r="H1326" s="6"/>
      <c r="AD1326" s="5">
        <v>44982.0</v>
      </c>
      <c r="AE1326" s="6">
        <v>0.16666666666666666</v>
      </c>
      <c r="AF1326" s="7">
        <v>0.0</v>
      </c>
    </row>
    <row r="1327">
      <c r="G1327" s="5"/>
      <c r="H1327" s="6"/>
      <c r="AD1327" s="5">
        <v>44982.0</v>
      </c>
      <c r="AE1327" s="6">
        <v>0.20833333333333334</v>
      </c>
      <c r="AF1327" s="7">
        <v>0.0</v>
      </c>
    </row>
    <row r="1328">
      <c r="G1328" s="5"/>
      <c r="H1328" s="6"/>
      <c r="AD1328" s="5">
        <v>44982.0</v>
      </c>
      <c r="AE1328" s="6">
        <v>0.25</v>
      </c>
      <c r="AF1328" s="7">
        <v>0.0</v>
      </c>
    </row>
    <row r="1329">
      <c r="G1329" s="5"/>
      <c r="H1329" s="6"/>
      <c r="AD1329" s="5">
        <v>44982.0</v>
      </c>
      <c r="AE1329" s="6">
        <v>0.2916666666666667</v>
      </c>
      <c r="AF1329" s="7">
        <v>240.24</v>
      </c>
    </row>
    <row r="1330">
      <c r="G1330" s="5"/>
      <c r="H1330" s="6"/>
      <c r="AD1330" s="5">
        <v>44982.0</v>
      </c>
      <c r="AE1330" s="6">
        <v>0.3333333333333333</v>
      </c>
      <c r="AF1330" s="7">
        <v>8925.54</v>
      </c>
    </row>
    <row r="1331">
      <c r="G1331" s="5"/>
      <c r="H1331" s="6"/>
      <c r="AD1331" s="5">
        <v>44982.0</v>
      </c>
      <c r="AE1331" s="6">
        <v>0.375</v>
      </c>
      <c r="AF1331" s="7">
        <v>28789.8</v>
      </c>
    </row>
    <row r="1332">
      <c r="G1332" s="5"/>
      <c r="H1332" s="6"/>
      <c r="AD1332" s="5">
        <v>44982.0</v>
      </c>
      <c r="AE1332" s="6">
        <v>0.4166666666666667</v>
      </c>
      <c r="AF1332" s="7">
        <v>28275.78</v>
      </c>
    </row>
    <row r="1333">
      <c r="G1333" s="5"/>
      <c r="H1333" s="6"/>
      <c r="AD1333" s="5">
        <v>44982.0</v>
      </c>
      <c r="AE1333" s="6">
        <v>0.4583333333333333</v>
      </c>
      <c r="AF1333" s="7">
        <v>42338.4</v>
      </c>
    </row>
    <row r="1334">
      <c r="G1334" s="5"/>
      <c r="H1334" s="6"/>
      <c r="AD1334" s="5">
        <v>44982.0</v>
      </c>
      <c r="AE1334" s="6">
        <v>0.5</v>
      </c>
      <c r="AF1334" s="7">
        <v>40644.24</v>
      </c>
    </row>
    <row r="1335">
      <c r="G1335" s="5"/>
      <c r="H1335" s="6"/>
      <c r="AD1335" s="5">
        <v>44982.0</v>
      </c>
      <c r="AE1335" s="6">
        <v>0.5416666666666666</v>
      </c>
      <c r="AF1335" s="7">
        <v>31834.92</v>
      </c>
    </row>
    <row r="1336">
      <c r="G1336" s="5"/>
      <c r="H1336" s="6"/>
      <c r="AD1336" s="5">
        <v>44982.0</v>
      </c>
      <c r="AE1336" s="6">
        <v>0.5833333333333334</v>
      </c>
      <c r="AF1336" s="7">
        <v>23449.92</v>
      </c>
    </row>
    <row r="1337">
      <c r="G1337" s="5"/>
      <c r="H1337" s="6"/>
      <c r="AD1337" s="5">
        <v>44982.0</v>
      </c>
      <c r="AE1337" s="6">
        <v>0.625</v>
      </c>
      <c r="AF1337" s="7">
        <v>35207.64</v>
      </c>
    </row>
    <row r="1338">
      <c r="G1338" s="5"/>
      <c r="H1338" s="6"/>
      <c r="AD1338" s="5">
        <v>44982.0</v>
      </c>
      <c r="AE1338" s="6">
        <v>0.6666666666666666</v>
      </c>
      <c r="AF1338" s="7">
        <v>22711.26</v>
      </c>
    </row>
    <row r="1339">
      <c r="G1339" s="5"/>
      <c r="H1339" s="6"/>
      <c r="AD1339" s="5">
        <v>44982.0</v>
      </c>
      <c r="AE1339" s="6">
        <v>0.7083333333333334</v>
      </c>
      <c r="AF1339" s="7">
        <v>5156.58</v>
      </c>
    </row>
    <row r="1340">
      <c r="G1340" s="5"/>
      <c r="H1340" s="6"/>
      <c r="AD1340" s="5">
        <v>44982.0</v>
      </c>
      <c r="AE1340" s="6">
        <v>0.75</v>
      </c>
      <c r="AF1340" s="7">
        <v>0.0</v>
      </c>
    </row>
    <row r="1341">
      <c r="G1341" s="5"/>
      <c r="H1341" s="6"/>
      <c r="AD1341" s="5">
        <v>44982.0</v>
      </c>
      <c r="AE1341" s="6">
        <v>0.7916666666666666</v>
      </c>
      <c r="AF1341" s="7">
        <v>0.0</v>
      </c>
    </row>
    <row r="1342">
      <c r="G1342" s="5"/>
      <c r="H1342" s="6"/>
      <c r="AD1342" s="5">
        <v>44982.0</v>
      </c>
      <c r="AE1342" s="6">
        <v>0.8333333333333334</v>
      </c>
      <c r="AF1342" s="7">
        <v>0.0</v>
      </c>
    </row>
    <row r="1343">
      <c r="G1343" s="5"/>
      <c r="H1343" s="6"/>
      <c r="AD1343" s="5">
        <v>44982.0</v>
      </c>
      <c r="AE1343" s="6">
        <v>0.875</v>
      </c>
      <c r="AF1343" s="7">
        <v>0.0</v>
      </c>
    </row>
    <row r="1344">
      <c r="G1344" s="5"/>
      <c r="H1344" s="6"/>
      <c r="AD1344" s="5">
        <v>44982.0</v>
      </c>
      <c r="AE1344" s="6">
        <v>0.9166666666666666</v>
      </c>
      <c r="AF1344" s="7">
        <v>0.0</v>
      </c>
    </row>
    <row r="1345">
      <c r="G1345" s="5"/>
      <c r="H1345" s="6"/>
      <c r="AD1345" s="5">
        <v>44982.0</v>
      </c>
      <c r="AE1345" s="6">
        <v>0.9583333333333334</v>
      </c>
      <c r="AF1345" s="7">
        <v>0.0</v>
      </c>
    </row>
    <row r="1346">
      <c r="G1346" s="5"/>
      <c r="H1346" s="6"/>
      <c r="AD1346" s="5">
        <v>44983.0</v>
      </c>
      <c r="AE1346" s="6">
        <v>0.0</v>
      </c>
      <c r="AF1346" s="7">
        <v>0.0</v>
      </c>
    </row>
    <row r="1347">
      <c r="G1347" s="5"/>
      <c r="H1347" s="6"/>
      <c r="AD1347" s="5">
        <v>44983.0</v>
      </c>
      <c r="AE1347" s="6">
        <v>0.041666666666666664</v>
      </c>
      <c r="AF1347" s="7">
        <v>0.0</v>
      </c>
    </row>
    <row r="1348">
      <c r="G1348" s="5"/>
      <c r="H1348" s="6"/>
      <c r="AD1348" s="5">
        <v>44983.0</v>
      </c>
      <c r="AE1348" s="6">
        <v>0.08333333333333333</v>
      </c>
      <c r="AF1348" s="7">
        <v>0.0</v>
      </c>
    </row>
    <row r="1349">
      <c r="G1349" s="5"/>
      <c r="H1349" s="6"/>
      <c r="AD1349" s="5">
        <v>44983.0</v>
      </c>
      <c r="AE1349" s="6">
        <v>0.125</v>
      </c>
      <c r="AF1349" s="7">
        <v>0.0</v>
      </c>
    </row>
    <row r="1350">
      <c r="G1350" s="5"/>
      <c r="H1350" s="6"/>
      <c r="AD1350" s="5">
        <v>44983.0</v>
      </c>
      <c r="AE1350" s="6">
        <v>0.16666666666666666</v>
      </c>
      <c r="AF1350" s="7">
        <v>0.0</v>
      </c>
    </row>
    <row r="1351">
      <c r="G1351" s="5"/>
      <c r="H1351" s="6"/>
      <c r="AD1351" s="5">
        <v>44983.0</v>
      </c>
      <c r="AE1351" s="6">
        <v>0.20833333333333334</v>
      </c>
      <c r="AF1351" s="7">
        <v>0.0</v>
      </c>
    </row>
    <row r="1352">
      <c r="G1352" s="5"/>
      <c r="H1352" s="6"/>
      <c r="AD1352" s="5">
        <v>44983.0</v>
      </c>
      <c r="AE1352" s="6">
        <v>0.25</v>
      </c>
      <c r="AF1352" s="7">
        <v>0.0</v>
      </c>
    </row>
    <row r="1353">
      <c r="G1353" s="5"/>
      <c r="H1353" s="6"/>
      <c r="AD1353" s="5">
        <v>44983.0</v>
      </c>
      <c r="AE1353" s="6">
        <v>0.2916666666666667</v>
      </c>
      <c r="AF1353" s="7">
        <v>189.54</v>
      </c>
    </row>
    <row r="1354">
      <c r="G1354" s="5"/>
      <c r="H1354" s="6"/>
      <c r="AD1354" s="5">
        <v>44983.0</v>
      </c>
      <c r="AE1354" s="6">
        <v>0.3333333333333333</v>
      </c>
      <c r="AF1354" s="7">
        <v>19723.86</v>
      </c>
    </row>
    <row r="1355">
      <c r="G1355" s="5"/>
      <c r="H1355" s="6"/>
      <c r="AD1355" s="5">
        <v>44983.0</v>
      </c>
      <c r="AE1355" s="6">
        <v>0.375</v>
      </c>
      <c r="AF1355" s="7">
        <v>18862.74</v>
      </c>
    </row>
    <row r="1356">
      <c r="G1356" s="5"/>
      <c r="H1356" s="6"/>
      <c r="AD1356" s="5">
        <v>44983.0</v>
      </c>
      <c r="AE1356" s="6">
        <v>0.4166666666666667</v>
      </c>
      <c r="AF1356" s="7">
        <v>48484.8</v>
      </c>
    </row>
    <row r="1357">
      <c r="G1357" s="5"/>
      <c r="H1357" s="6"/>
      <c r="AD1357" s="5">
        <v>44983.0</v>
      </c>
      <c r="AE1357" s="6">
        <v>0.4583333333333333</v>
      </c>
      <c r="AF1357" s="7">
        <v>55993.86</v>
      </c>
    </row>
    <row r="1358">
      <c r="G1358" s="5"/>
      <c r="H1358" s="6"/>
      <c r="AD1358" s="5">
        <v>44983.0</v>
      </c>
      <c r="AE1358" s="6">
        <v>0.5</v>
      </c>
      <c r="AF1358" s="7">
        <v>55358.94</v>
      </c>
    </row>
    <row r="1359">
      <c r="G1359" s="5"/>
      <c r="H1359" s="6"/>
      <c r="AD1359" s="5">
        <v>44983.0</v>
      </c>
      <c r="AE1359" s="6">
        <v>0.5416666666666666</v>
      </c>
      <c r="AF1359" s="7">
        <v>57631.08</v>
      </c>
    </row>
    <row r="1360">
      <c r="G1360" s="5"/>
      <c r="H1360" s="6"/>
      <c r="AD1360" s="5">
        <v>44983.0</v>
      </c>
      <c r="AE1360" s="6">
        <v>0.5833333333333334</v>
      </c>
      <c r="AF1360" s="7">
        <v>50976.12</v>
      </c>
    </row>
    <row r="1361">
      <c r="G1361" s="5"/>
      <c r="H1361" s="6"/>
      <c r="AD1361" s="5">
        <v>44983.0</v>
      </c>
      <c r="AE1361" s="6">
        <v>0.625</v>
      </c>
      <c r="AF1361" s="7">
        <v>39445.38</v>
      </c>
    </row>
    <row r="1362">
      <c r="G1362" s="5"/>
      <c r="H1362" s="6"/>
      <c r="AD1362" s="5">
        <v>44983.0</v>
      </c>
      <c r="AE1362" s="6">
        <v>0.6666666666666666</v>
      </c>
      <c r="AF1362" s="7">
        <v>23302.5</v>
      </c>
    </row>
    <row r="1363">
      <c r="G1363" s="5"/>
      <c r="H1363" s="6"/>
      <c r="AD1363" s="5">
        <v>44983.0</v>
      </c>
      <c r="AE1363" s="6">
        <v>0.7083333333333334</v>
      </c>
      <c r="AF1363" s="7">
        <v>5240.04</v>
      </c>
    </row>
    <row r="1364">
      <c r="G1364" s="5"/>
      <c r="H1364" s="6"/>
      <c r="AD1364" s="5">
        <v>44983.0</v>
      </c>
      <c r="AE1364" s="6">
        <v>0.75</v>
      </c>
      <c r="AF1364" s="7">
        <v>0.0</v>
      </c>
    </row>
    <row r="1365">
      <c r="G1365" s="5"/>
      <c r="H1365" s="6"/>
      <c r="AD1365" s="5">
        <v>44983.0</v>
      </c>
      <c r="AE1365" s="6">
        <v>0.7916666666666666</v>
      </c>
      <c r="AF1365" s="7">
        <v>0.0</v>
      </c>
    </row>
    <row r="1366">
      <c r="G1366" s="5"/>
      <c r="H1366" s="6"/>
      <c r="AD1366" s="5">
        <v>44983.0</v>
      </c>
      <c r="AE1366" s="6">
        <v>0.8333333333333334</v>
      </c>
      <c r="AF1366" s="7">
        <v>0.0</v>
      </c>
    </row>
    <row r="1367">
      <c r="G1367" s="5"/>
      <c r="H1367" s="6"/>
      <c r="AD1367" s="5">
        <v>44983.0</v>
      </c>
      <c r="AE1367" s="6">
        <v>0.875</v>
      </c>
      <c r="AF1367" s="7">
        <v>0.0</v>
      </c>
    </row>
    <row r="1368">
      <c r="G1368" s="5"/>
      <c r="H1368" s="6"/>
      <c r="AD1368" s="5">
        <v>44983.0</v>
      </c>
      <c r="AE1368" s="6">
        <v>0.9166666666666666</v>
      </c>
      <c r="AF1368" s="7">
        <v>0.0</v>
      </c>
    </row>
    <row r="1369">
      <c r="G1369" s="5"/>
      <c r="H1369" s="6"/>
      <c r="AD1369" s="5">
        <v>44983.0</v>
      </c>
      <c r="AE1369" s="6">
        <v>0.9583333333333334</v>
      </c>
      <c r="AF1369" s="7">
        <v>0.0</v>
      </c>
    </row>
    <row r="1370">
      <c r="G1370" s="5"/>
      <c r="H1370" s="6"/>
      <c r="AD1370" s="5">
        <v>44984.0</v>
      </c>
      <c r="AE1370" s="6">
        <v>0.0</v>
      </c>
      <c r="AF1370" s="7">
        <v>0.0</v>
      </c>
    </row>
    <row r="1371">
      <c r="G1371" s="5"/>
      <c r="H1371" s="6"/>
      <c r="AD1371" s="5">
        <v>44984.0</v>
      </c>
      <c r="AE1371" s="6">
        <v>0.041666666666666664</v>
      </c>
      <c r="AF1371" s="7">
        <v>0.0</v>
      </c>
    </row>
    <row r="1372">
      <c r="G1372" s="5"/>
      <c r="H1372" s="6"/>
      <c r="AD1372" s="5">
        <v>44984.0</v>
      </c>
      <c r="AE1372" s="6">
        <v>0.08333333333333333</v>
      </c>
      <c r="AF1372" s="7">
        <v>0.0</v>
      </c>
    </row>
    <row r="1373">
      <c r="G1373" s="5"/>
      <c r="H1373" s="6"/>
      <c r="AD1373" s="5">
        <v>44984.0</v>
      </c>
      <c r="AE1373" s="6">
        <v>0.125</v>
      </c>
      <c r="AF1373" s="7">
        <v>0.0</v>
      </c>
    </row>
    <row r="1374">
      <c r="G1374" s="5"/>
      <c r="H1374" s="6"/>
      <c r="AD1374" s="5">
        <v>44984.0</v>
      </c>
      <c r="AE1374" s="6">
        <v>0.16666666666666666</v>
      </c>
      <c r="AF1374" s="7">
        <v>0.0</v>
      </c>
    </row>
    <row r="1375">
      <c r="G1375" s="5"/>
      <c r="H1375" s="6"/>
      <c r="AD1375" s="5">
        <v>44984.0</v>
      </c>
      <c r="AE1375" s="6">
        <v>0.20833333333333334</v>
      </c>
      <c r="AF1375" s="7">
        <v>0.0</v>
      </c>
    </row>
    <row r="1376">
      <c r="G1376" s="5"/>
      <c r="H1376" s="6"/>
      <c r="AD1376" s="5">
        <v>44984.0</v>
      </c>
      <c r="AE1376" s="6">
        <v>0.25</v>
      </c>
      <c r="AF1376" s="7">
        <v>0.0</v>
      </c>
    </row>
    <row r="1377">
      <c r="G1377" s="5"/>
      <c r="H1377" s="6"/>
      <c r="AD1377" s="5">
        <v>44984.0</v>
      </c>
      <c r="AE1377" s="6">
        <v>0.2916666666666667</v>
      </c>
      <c r="AF1377" s="7">
        <v>1159.08</v>
      </c>
    </row>
    <row r="1378">
      <c r="G1378" s="5"/>
      <c r="H1378" s="6"/>
      <c r="AD1378" s="5">
        <v>44984.0</v>
      </c>
      <c r="AE1378" s="6">
        <v>0.3333333333333333</v>
      </c>
      <c r="AF1378" s="7">
        <v>21585.72</v>
      </c>
    </row>
    <row r="1379">
      <c r="G1379" s="5"/>
      <c r="H1379" s="6"/>
      <c r="AD1379" s="5">
        <v>44984.0</v>
      </c>
      <c r="AE1379" s="6">
        <v>0.375</v>
      </c>
      <c r="AF1379" s="7">
        <v>38329.98</v>
      </c>
    </row>
    <row r="1380">
      <c r="G1380" s="5"/>
      <c r="H1380" s="6"/>
      <c r="AD1380" s="5">
        <v>44984.0</v>
      </c>
      <c r="AE1380" s="6">
        <v>0.4166666666666667</v>
      </c>
      <c r="AF1380" s="7">
        <v>50623.56</v>
      </c>
    </row>
    <row r="1381">
      <c r="G1381" s="5"/>
      <c r="H1381" s="6"/>
      <c r="AD1381" s="5">
        <v>44984.0</v>
      </c>
      <c r="AE1381" s="6">
        <v>0.4583333333333333</v>
      </c>
      <c r="AF1381" s="7">
        <v>50393.46</v>
      </c>
    </row>
    <row r="1382">
      <c r="G1382" s="5"/>
      <c r="H1382" s="6"/>
      <c r="AD1382" s="5">
        <v>44984.0</v>
      </c>
      <c r="AE1382" s="6">
        <v>0.5</v>
      </c>
      <c r="AF1382" s="7">
        <v>44989.62</v>
      </c>
    </row>
    <row r="1383">
      <c r="G1383" s="5"/>
      <c r="H1383" s="6"/>
      <c r="AD1383" s="5">
        <v>44984.0</v>
      </c>
      <c r="AE1383" s="6">
        <v>0.5416666666666666</v>
      </c>
      <c r="AF1383" s="7">
        <v>24141.0</v>
      </c>
    </row>
    <row r="1384">
      <c r="G1384" s="5"/>
      <c r="H1384" s="6"/>
      <c r="AD1384" s="5">
        <v>44984.0</v>
      </c>
      <c r="AE1384" s="6">
        <v>0.5833333333333334</v>
      </c>
      <c r="AF1384" s="7">
        <v>52313.04</v>
      </c>
    </row>
    <row r="1385">
      <c r="G1385" s="5"/>
      <c r="H1385" s="6"/>
      <c r="AD1385" s="5">
        <v>44984.0</v>
      </c>
      <c r="AE1385" s="6">
        <v>0.625</v>
      </c>
      <c r="AF1385" s="7">
        <v>40770.6</v>
      </c>
    </row>
    <row r="1386">
      <c r="G1386" s="5"/>
      <c r="H1386" s="6"/>
      <c r="AD1386" s="5">
        <v>44984.0</v>
      </c>
      <c r="AE1386" s="6">
        <v>0.6666666666666666</v>
      </c>
      <c r="AF1386" s="7">
        <v>24385.14</v>
      </c>
    </row>
    <row r="1387">
      <c r="G1387" s="5"/>
      <c r="H1387" s="6"/>
      <c r="AD1387" s="5">
        <v>44984.0</v>
      </c>
      <c r="AE1387" s="6">
        <v>0.7083333333333334</v>
      </c>
      <c r="AF1387" s="7">
        <v>5588.7</v>
      </c>
    </row>
    <row r="1388">
      <c r="G1388" s="5"/>
      <c r="H1388" s="6"/>
      <c r="AD1388" s="5">
        <v>44984.0</v>
      </c>
      <c r="AE1388" s="6">
        <v>0.75</v>
      </c>
      <c r="AF1388" s="7">
        <v>0.0</v>
      </c>
    </row>
    <row r="1389">
      <c r="G1389" s="5"/>
      <c r="H1389" s="6"/>
      <c r="AD1389" s="5">
        <v>44984.0</v>
      </c>
      <c r="AE1389" s="6">
        <v>0.7916666666666666</v>
      </c>
      <c r="AF1389" s="7">
        <v>0.0</v>
      </c>
    </row>
    <row r="1390">
      <c r="G1390" s="5"/>
      <c r="H1390" s="6"/>
      <c r="AD1390" s="5">
        <v>44984.0</v>
      </c>
      <c r="AE1390" s="6">
        <v>0.8333333333333334</v>
      </c>
      <c r="AF1390" s="7">
        <v>0.0</v>
      </c>
    </row>
    <row r="1391">
      <c r="G1391" s="5"/>
      <c r="H1391" s="6"/>
      <c r="AD1391" s="5">
        <v>44984.0</v>
      </c>
      <c r="AE1391" s="6">
        <v>0.875</v>
      </c>
      <c r="AF1391" s="7">
        <v>0.0</v>
      </c>
    </row>
    <row r="1392">
      <c r="G1392" s="5"/>
      <c r="H1392" s="6"/>
      <c r="AD1392" s="5">
        <v>44984.0</v>
      </c>
      <c r="AE1392" s="6">
        <v>0.9166666666666666</v>
      </c>
      <c r="AF1392" s="7">
        <v>0.0</v>
      </c>
    </row>
    <row r="1393">
      <c r="G1393" s="5"/>
      <c r="H1393" s="6"/>
      <c r="AD1393" s="5">
        <v>44984.0</v>
      </c>
      <c r="AE1393" s="6">
        <v>0.9583333333333334</v>
      </c>
      <c r="AF1393" s="7">
        <v>0.0</v>
      </c>
    </row>
    <row r="1394">
      <c r="G1394" s="5"/>
      <c r="H1394" s="6"/>
      <c r="AD1394" s="5">
        <v>44985.0</v>
      </c>
      <c r="AE1394" s="6">
        <v>0.0</v>
      </c>
      <c r="AF1394" s="7">
        <v>0.0</v>
      </c>
    </row>
    <row r="1395">
      <c r="G1395" s="5"/>
      <c r="H1395" s="6"/>
      <c r="AD1395" s="5">
        <v>44985.0</v>
      </c>
      <c r="AE1395" s="6">
        <v>0.041666666666666664</v>
      </c>
      <c r="AF1395" s="7">
        <v>0.0</v>
      </c>
    </row>
    <row r="1396">
      <c r="G1396" s="5"/>
      <c r="H1396" s="6"/>
      <c r="AD1396" s="5">
        <v>44985.0</v>
      </c>
      <c r="AE1396" s="6">
        <v>0.08333333333333333</v>
      </c>
      <c r="AF1396" s="7">
        <v>0.0</v>
      </c>
    </row>
    <row r="1397">
      <c r="G1397" s="5"/>
      <c r="H1397" s="6"/>
      <c r="AD1397" s="5">
        <v>44985.0</v>
      </c>
      <c r="AE1397" s="6">
        <v>0.125</v>
      </c>
      <c r="AF1397" s="7">
        <v>0.0</v>
      </c>
    </row>
    <row r="1398">
      <c r="G1398" s="5"/>
      <c r="H1398" s="6"/>
      <c r="AD1398" s="5">
        <v>44985.0</v>
      </c>
      <c r="AE1398" s="6">
        <v>0.16666666666666666</v>
      </c>
      <c r="AF1398" s="7">
        <v>0.0</v>
      </c>
    </row>
    <row r="1399">
      <c r="G1399" s="5"/>
      <c r="H1399" s="6"/>
      <c r="AD1399" s="5">
        <v>44985.0</v>
      </c>
      <c r="AE1399" s="6">
        <v>0.20833333333333334</v>
      </c>
      <c r="AF1399" s="7">
        <v>0.0</v>
      </c>
    </row>
    <row r="1400">
      <c r="G1400" s="5"/>
      <c r="H1400" s="6"/>
      <c r="AD1400" s="5">
        <v>44985.0</v>
      </c>
      <c r="AE1400" s="6">
        <v>0.25</v>
      </c>
      <c r="AF1400" s="7">
        <v>0.0</v>
      </c>
    </row>
    <row r="1401">
      <c r="G1401" s="5"/>
      <c r="H1401" s="6"/>
      <c r="AD1401" s="5">
        <v>44985.0</v>
      </c>
      <c r="AE1401" s="6">
        <v>0.2916666666666667</v>
      </c>
      <c r="AF1401" s="7">
        <v>1325.22</v>
      </c>
    </row>
    <row r="1402">
      <c r="G1402" s="5"/>
      <c r="H1402" s="6"/>
      <c r="AD1402" s="5">
        <v>44985.0</v>
      </c>
      <c r="AE1402" s="6">
        <v>0.3333333333333333</v>
      </c>
      <c r="AF1402" s="7">
        <v>21573.24</v>
      </c>
    </row>
    <row r="1403">
      <c r="G1403" s="5"/>
      <c r="H1403" s="6"/>
      <c r="AD1403" s="5">
        <v>44985.0</v>
      </c>
      <c r="AE1403" s="6">
        <v>0.375</v>
      </c>
      <c r="AF1403" s="7">
        <v>37899.42</v>
      </c>
    </row>
    <row r="1404">
      <c r="G1404" s="5"/>
      <c r="H1404" s="6"/>
      <c r="AD1404" s="5">
        <v>44985.0</v>
      </c>
      <c r="AE1404" s="6">
        <v>0.4166666666666667</v>
      </c>
      <c r="AF1404" s="7">
        <v>49990.2</v>
      </c>
    </row>
    <row r="1405">
      <c r="G1405" s="5"/>
      <c r="H1405" s="6"/>
      <c r="AD1405" s="5">
        <v>44985.0</v>
      </c>
      <c r="AE1405" s="6">
        <v>0.4583333333333333</v>
      </c>
      <c r="AF1405" s="7">
        <v>57739.5</v>
      </c>
    </row>
    <row r="1406">
      <c r="G1406" s="5"/>
      <c r="H1406" s="6"/>
      <c r="AD1406" s="5">
        <v>44985.0</v>
      </c>
      <c r="AE1406" s="6">
        <v>0.5</v>
      </c>
      <c r="AF1406" s="7">
        <v>54310.62</v>
      </c>
    </row>
    <row r="1407">
      <c r="G1407" s="5"/>
      <c r="H1407" s="6"/>
      <c r="AD1407" s="5">
        <v>44985.0</v>
      </c>
      <c r="AE1407" s="6">
        <v>0.5416666666666666</v>
      </c>
      <c r="AF1407" s="7">
        <v>58569.42</v>
      </c>
    </row>
    <row r="1408">
      <c r="G1408" s="5"/>
      <c r="H1408" s="6"/>
      <c r="AD1408" s="5">
        <v>44985.0</v>
      </c>
      <c r="AE1408" s="6">
        <v>0.5833333333333334</v>
      </c>
      <c r="AF1408" s="7">
        <v>52287.3</v>
      </c>
    </row>
    <row r="1409">
      <c r="G1409" s="5"/>
      <c r="H1409" s="6"/>
      <c r="AD1409" s="5">
        <v>44985.0</v>
      </c>
      <c r="AE1409" s="6">
        <v>0.625</v>
      </c>
      <c r="AF1409" s="7">
        <v>39898.56</v>
      </c>
    </row>
    <row r="1410">
      <c r="G1410" s="5"/>
      <c r="H1410" s="6"/>
      <c r="AD1410" s="5">
        <v>44985.0</v>
      </c>
      <c r="AE1410" s="6">
        <v>0.6666666666666666</v>
      </c>
      <c r="AF1410" s="7">
        <v>22325.94</v>
      </c>
    </row>
    <row r="1411">
      <c r="G1411" s="5"/>
      <c r="H1411" s="6"/>
      <c r="AD1411" s="5">
        <v>44985.0</v>
      </c>
      <c r="AE1411" s="6">
        <v>0.7083333333333334</v>
      </c>
      <c r="AF1411" s="7">
        <v>6158.88</v>
      </c>
    </row>
    <row r="1412">
      <c r="G1412" s="5"/>
      <c r="H1412" s="6"/>
      <c r="AD1412" s="5">
        <v>44985.0</v>
      </c>
      <c r="AE1412" s="6">
        <v>0.75</v>
      </c>
      <c r="AF1412" s="7">
        <v>0.0</v>
      </c>
    </row>
    <row r="1413">
      <c r="G1413" s="5"/>
      <c r="H1413" s="6"/>
      <c r="AD1413" s="5">
        <v>44985.0</v>
      </c>
      <c r="AE1413" s="6">
        <v>0.7916666666666666</v>
      </c>
      <c r="AF1413" s="7">
        <v>0.0</v>
      </c>
    </row>
    <row r="1414">
      <c r="G1414" s="5"/>
      <c r="H1414" s="6"/>
      <c r="AD1414" s="5">
        <v>44985.0</v>
      </c>
      <c r="AE1414" s="6">
        <v>0.8333333333333334</v>
      </c>
      <c r="AF1414" s="7">
        <v>0.0</v>
      </c>
    </row>
    <row r="1415">
      <c r="G1415" s="5"/>
      <c r="H1415" s="6"/>
      <c r="AD1415" s="5">
        <v>44985.0</v>
      </c>
      <c r="AE1415" s="6">
        <v>0.875</v>
      </c>
      <c r="AF1415" s="7">
        <v>0.0</v>
      </c>
    </row>
    <row r="1416">
      <c r="G1416" s="5"/>
      <c r="H1416" s="6"/>
      <c r="AD1416" s="5">
        <v>44985.0</v>
      </c>
      <c r="AE1416" s="6">
        <v>0.9166666666666666</v>
      </c>
      <c r="AF1416" s="7">
        <v>0.0</v>
      </c>
    </row>
    <row r="1417">
      <c r="G1417" s="5"/>
      <c r="H1417" s="6"/>
      <c r="AD1417" s="5">
        <v>44985.0</v>
      </c>
      <c r="AE1417" s="6">
        <v>0.9583333333333334</v>
      </c>
      <c r="AF1417" s="7">
        <v>0.0</v>
      </c>
    </row>
    <row r="1418">
      <c r="G1418" s="5"/>
      <c r="H1418" s="6"/>
      <c r="AD1418" s="5">
        <v>44986.0</v>
      </c>
      <c r="AE1418" s="6">
        <v>0.0</v>
      </c>
      <c r="AF1418" s="7">
        <v>0.0</v>
      </c>
    </row>
    <row r="1419">
      <c r="G1419" s="5"/>
      <c r="H1419" s="6"/>
      <c r="AD1419" s="5">
        <v>44986.0</v>
      </c>
      <c r="AE1419" s="6">
        <v>0.041666666666666664</v>
      </c>
      <c r="AF1419" s="7">
        <v>0.0</v>
      </c>
    </row>
    <row r="1420">
      <c r="G1420" s="5"/>
      <c r="H1420" s="6"/>
      <c r="AD1420" s="5">
        <v>44986.0</v>
      </c>
      <c r="AE1420" s="6">
        <v>0.08333333333333333</v>
      </c>
      <c r="AF1420" s="7">
        <v>0.0</v>
      </c>
    </row>
    <row r="1421">
      <c r="G1421" s="5"/>
      <c r="H1421" s="6"/>
      <c r="AD1421" s="5">
        <v>44986.0</v>
      </c>
      <c r="AE1421" s="6">
        <v>0.125</v>
      </c>
      <c r="AF1421" s="7">
        <v>0.0</v>
      </c>
    </row>
    <row r="1422">
      <c r="G1422" s="5"/>
      <c r="H1422" s="6"/>
      <c r="AD1422" s="5">
        <v>44986.0</v>
      </c>
      <c r="AE1422" s="6">
        <v>0.16666666666666666</v>
      </c>
      <c r="AF1422" s="7">
        <v>0.0</v>
      </c>
    </row>
    <row r="1423">
      <c r="G1423" s="5"/>
      <c r="H1423" s="6"/>
      <c r="AD1423" s="5">
        <v>44986.0</v>
      </c>
      <c r="AE1423" s="6">
        <v>0.20833333333333334</v>
      </c>
      <c r="AF1423" s="7">
        <v>0.0</v>
      </c>
    </row>
    <row r="1424">
      <c r="G1424" s="5"/>
      <c r="H1424" s="6"/>
      <c r="AD1424" s="5">
        <v>44986.0</v>
      </c>
      <c r="AE1424" s="6">
        <v>0.25</v>
      </c>
      <c r="AF1424" s="7">
        <v>0.0</v>
      </c>
    </row>
    <row r="1425">
      <c r="G1425" s="5"/>
      <c r="H1425" s="6"/>
      <c r="AD1425" s="5">
        <v>44986.0</v>
      </c>
      <c r="AE1425" s="6">
        <v>0.2916666666666667</v>
      </c>
      <c r="AF1425" s="7">
        <v>1382.16</v>
      </c>
    </row>
    <row r="1426">
      <c r="G1426" s="5"/>
      <c r="H1426" s="6"/>
      <c r="AD1426" s="5">
        <v>44986.0</v>
      </c>
      <c r="AE1426" s="6">
        <v>0.3333333333333333</v>
      </c>
      <c r="AF1426" s="7">
        <v>20680.92</v>
      </c>
    </row>
    <row r="1427">
      <c r="G1427" s="5"/>
      <c r="H1427" s="6"/>
      <c r="AD1427" s="5">
        <v>44986.0</v>
      </c>
      <c r="AE1427" s="6">
        <v>0.375</v>
      </c>
      <c r="AF1427" s="7">
        <v>36531.3</v>
      </c>
    </row>
    <row r="1428">
      <c r="G1428" s="5"/>
      <c r="H1428" s="6"/>
      <c r="AD1428" s="5">
        <v>44986.0</v>
      </c>
      <c r="AE1428" s="6">
        <v>0.4166666666666667</v>
      </c>
      <c r="AF1428" s="7">
        <v>48842.82</v>
      </c>
    </row>
    <row r="1429">
      <c r="G1429" s="5"/>
      <c r="H1429" s="6"/>
      <c r="AD1429" s="5">
        <v>44986.0</v>
      </c>
      <c r="AE1429" s="6">
        <v>0.4583333333333333</v>
      </c>
      <c r="AF1429" s="7">
        <v>55852.68</v>
      </c>
    </row>
    <row r="1430">
      <c r="G1430" s="5"/>
      <c r="H1430" s="6"/>
      <c r="AD1430" s="5">
        <v>44986.0</v>
      </c>
      <c r="AE1430" s="6">
        <v>0.5</v>
      </c>
      <c r="AF1430" s="7">
        <v>52051.74</v>
      </c>
    </row>
    <row r="1431">
      <c r="G1431" s="5"/>
      <c r="H1431" s="6"/>
      <c r="AD1431" s="5">
        <v>44986.0</v>
      </c>
      <c r="AE1431" s="6">
        <v>0.5416666666666666</v>
      </c>
      <c r="AF1431" s="7">
        <v>56036.76</v>
      </c>
    </row>
    <row r="1432">
      <c r="G1432" s="5"/>
      <c r="H1432" s="6"/>
      <c r="AD1432" s="5">
        <v>44986.0</v>
      </c>
      <c r="AE1432" s="6">
        <v>0.5833333333333334</v>
      </c>
      <c r="AF1432" s="7">
        <v>49429.38</v>
      </c>
    </row>
    <row r="1433">
      <c r="G1433" s="5"/>
      <c r="H1433" s="6"/>
      <c r="AD1433" s="5">
        <v>44986.0</v>
      </c>
      <c r="AE1433" s="6">
        <v>0.625</v>
      </c>
      <c r="AF1433" s="7">
        <v>38575.68</v>
      </c>
    </row>
    <row r="1434">
      <c r="G1434" s="5"/>
      <c r="H1434" s="6"/>
      <c r="AD1434" s="5">
        <v>44986.0</v>
      </c>
      <c r="AE1434" s="6">
        <v>0.6666666666666666</v>
      </c>
      <c r="AF1434" s="7">
        <v>23052.9</v>
      </c>
    </row>
    <row r="1435">
      <c r="G1435" s="5"/>
      <c r="H1435" s="6"/>
      <c r="AD1435" s="5">
        <v>44986.0</v>
      </c>
      <c r="AE1435" s="6">
        <v>0.7083333333333334</v>
      </c>
      <c r="AF1435" s="7">
        <v>5850.0</v>
      </c>
    </row>
    <row r="1436">
      <c r="G1436" s="5"/>
      <c r="H1436" s="6"/>
      <c r="AD1436" s="5">
        <v>44986.0</v>
      </c>
      <c r="AE1436" s="6">
        <v>0.75</v>
      </c>
      <c r="AF1436" s="7">
        <v>0.0</v>
      </c>
    </row>
    <row r="1437">
      <c r="G1437" s="5"/>
      <c r="H1437" s="6"/>
      <c r="AD1437" s="5">
        <v>44986.0</v>
      </c>
      <c r="AE1437" s="6">
        <v>0.7916666666666666</v>
      </c>
      <c r="AF1437" s="7">
        <v>0.0</v>
      </c>
    </row>
    <row r="1438">
      <c r="G1438" s="5"/>
      <c r="H1438" s="6"/>
      <c r="AD1438" s="5">
        <v>44986.0</v>
      </c>
      <c r="AE1438" s="6">
        <v>0.8333333333333334</v>
      </c>
      <c r="AF1438" s="7">
        <v>0.0</v>
      </c>
    </row>
    <row r="1439">
      <c r="G1439" s="5"/>
      <c r="H1439" s="6"/>
      <c r="AD1439" s="5">
        <v>44986.0</v>
      </c>
      <c r="AE1439" s="6">
        <v>0.875</v>
      </c>
      <c r="AF1439" s="7">
        <v>0.0</v>
      </c>
    </row>
    <row r="1440">
      <c r="G1440" s="5"/>
      <c r="H1440" s="6"/>
      <c r="AD1440" s="5">
        <v>44986.0</v>
      </c>
      <c r="AE1440" s="6">
        <v>0.9166666666666666</v>
      </c>
      <c r="AF1440" s="7">
        <v>0.0</v>
      </c>
    </row>
    <row r="1441">
      <c r="G1441" s="5"/>
      <c r="H1441" s="6"/>
      <c r="AD1441" s="5">
        <v>44986.0</v>
      </c>
      <c r="AE1441" s="6">
        <v>0.9583333333333334</v>
      </c>
      <c r="AF1441" s="7">
        <v>0.0</v>
      </c>
    </row>
    <row r="1442">
      <c r="G1442" s="5"/>
      <c r="H1442" s="6"/>
      <c r="AD1442" s="5">
        <v>44987.0</v>
      </c>
      <c r="AE1442" s="6">
        <v>0.0</v>
      </c>
      <c r="AF1442" s="7">
        <v>0.0</v>
      </c>
    </row>
    <row r="1443">
      <c r="G1443" s="5"/>
      <c r="H1443" s="6"/>
      <c r="AD1443" s="5">
        <v>44987.0</v>
      </c>
      <c r="AE1443" s="6">
        <v>0.041666666666666664</v>
      </c>
      <c r="AF1443" s="7">
        <v>0.0</v>
      </c>
    </row>
    <row r="1444">
      <c r="G1444" s="5"/>
      <c r="H1444" s="6"/>
      <c r="AD1444" s="5">
        <v>44987.0</v>
      </c>
      <c r="AE1444" s="6">
        <v>0.08333333333333333</v>
      </c>
      <c r="AF1444" s="7">
        <v>0.0</v>
      </c>
    </row>
    <row r="1445">
      <c r="G1445" s="5"/>
      <c r="H1445" s="6"/>
      <c r="AD1445" s="5">
        <v>44987.0</v>
      </c>
      <c r="AE1445" s="6">
        <v>0.125</v>
      </c>
      <c r="AF1445" s="7">
        <v>0.0</v>
      </c>
    </row>
    <row r="1446">
      <c r="G1446" s="5"/>
      <c r="H1446" s="6"/>
      <c r="AD1446" s="5">
        <v>44987.0</v>
      </c>
      <c r="AE1446" s="6">
        <v>0.16666666666666666</v>
      </c>
      <c r="AF1446" s="7">
        <v>0.0</v>
      </c>
    </row>
    <row r="1447">
      <c r="G1447" s="5"/>
      <c r="H1447" s="6"/>
      <c r="AD1447" s="5">
        <v>44987.0</v>
      </c>
      <c r="AE1447" s="6">
        <v>0.20833333333333334</v>
      </c>
      <c r="AF1447" s="7">
        <v>0.0</v>
      </c>
    </row>
    <row r="1448">
      <c r="G1448" s="5"/>
      <c r="H1448" s="6"/>
      <c r="AD1448" s="5">
        <v>44987.0</v>
      </c>
      <c r="AE1448" s="6">
        <v>0.25</v>
      </c>
      <c r="AF1448" s="7">
        <v>0.0</v>
      </c>
    </row>
    <row r="1449">
      <c r="G1449" s="5"/>
      <c r="H1449" s="6"/>
      <c r="AD1449" s="5">
        <v>44987.0</v>
      </c>
      <c r="AE1449" s="6">
        <v>0.2916666666666667</v>
      </c>
      <c r="AF1449" s="7">
        <v>2876.64</v>
      </c>
    </row>
    <row r="1450">
      <c r="G1450" s="5"/>
      <c r="H1450" s="6"/>
      <c r="AD1450" s="5">
        <v>44987.0</v>
      </c>
      <c r="AE1450" s="6">
        <v>0.3333333333333333</v>
      </c>
      <c r="AF1450" s="7">
        <v>20592.0</v>
      </c>
    </row>
    <row r="1451">
      <c r="G1451" s="5"/>
      <c r="H1451" s="6"/>
      <c r="AD1451" s="5">
        <v>44987.0</v>
      </c>
      <c r="AE1451" s="6">
        <v>0.375</v>
      </c>
      <c r="AF1451" s="7">
        <v>32042.4</v>
      </c>
    </row>
    <row r="1452">
      <c r="G1452" s="5"/>
      <c r="H1452" s="6"/>
      <c r="AD1452" s="5">
        <v>44987.0</v>
      </c>
      <c r="AE1452" s="6">
        <v>0.4166666666666667</v>
      </c>
      <c r="AF1452" s="7">
        <v>44745.48</v>
      </c>
    </row>
    <row r="1453">
      <c r="G1453" s="5"/>
      <c r="H1453" s="6"/>
      <c r="AD1453" s="5">
        <v>44987.0</v>
      </c>
      <c r="AE1453" s="6">
        <v>0.4583333333333333</v>
      </c>
      <c r="AF1453" s="7">
        <v>13482.3</v>
      </c>
    </row>
    <row r="1454">
      <c r="G1454" s="5"/>
      <c r="H1454" s="6"/>
      <c r="AD1454" s="5">
        <v>44987.0</v>
      </c>
      <c r="AE1454" s="6">
        <v>0.5</v>
      </c>
      <c r="AF1454" s="7">
        <v>40121.64</v>
      </c>
    </row>
    <row r="1455">
      <c r="G1455" s="5"/>
      <c r="H1455" s="6"/>
      <c r="AD1455" s="5">
        <v>44987.0</v>
      </c>
      <c r="AE1455" s="6">
        <v>0.5416666666666666</v>
      </c>
      <c r="AF1455" s="7">
        <v>44317.26</v>
      </c>
    </row>
    <row r="1456">
      <c r="G1456" s="5"/>
      <c r="H1456" s="6"/>
      <c r="AD1456" s="5">
        <v>44987.0</v>
      </c>
      <c r="AE1456" s="6">
        <v>0.5833333333333334</v>
      </c>
      <c r="AF1456" s="7">
        <v>33917.52</v>
      </c>
    </row>
    <row r="1457">
      <c r="G1457" s="5"/>
      <c r="H1457" s="6"/>
      <c r="AD1457" s="5">
        <v>44987.0</v>
      </c>
      <c r="AE1457" s="6">
        <v>0.625</v>
      </c>
      <c r="AF1457" s="7">
        <v>16206.84</v>
      </c>
    </row>
    <row r="1458">
      <c r="G1458" s="5"/>
      <c r="H1458" s="6"/>
      <c r="AD1458" s="5">
        <v>44987.0</v>
      </c>
      <c r="AE1458" s="6">
        <v>0.6666666666666666</v>
      </c>
      <c r="AF1458" s="7">
        <v>5212.74</v>
      </c>
    </row>
    <row r="1459">
      <c r="G1459" s="5"/>
      <c r="H1459" s="6"/>
      <c r="AD1459" s="5">
        <v>44987.0</v>
      </c>
      <c r="AE1459" s="6">
        <v>0.7083333333333334</v>
      </c>
      <c r="AF1459" s="7">
        <v>1243.32</v>
      </c>
    </row>
    <row r="1460">
      <c r="G1460" s="5"/>
      <c r="H1460" s="6"/>
      <c r="AD1460" s="5">
        <v>44987.0</v>
      </c>
      <c r="AE1460" s="6">
        <v>0.75</v>
      </c>
      <c r="AF1460" s="7">
        <v>0.0</v>
      </c>
    </row>
    <row r="1461">
      <c r="G1461" s="5"/>
      <c r="H1461" s="6"/>
      <c r="AD1461" s="5">
        <v>44987.0</v>
      </c>
      <c r="AE1461" s="6">
        <v>0.7916666666666666</v>
      </c>
      <c r="AF1461" s="7">
        <v>0.0</v>
      </c>
    </row>
    <row r="1462">
      <c r="G1462" s="5"/>
      <c r="H1462" s="6"/>
      <c r="AD1462" s="5">
        <v>44987.0</v>
      </c>
      <c r="AE1462" s="6">
        <v>0.8333333333333334</v>
      </c>
      <c r="AF1462" s="7">
        <v>0.0</v>
      </c>
    </row>
    <row r="1463">
      <c r="G1463" s="5"/>
      <c r="H1463" s="6"/>
      <c r="AD1463" s="5">
        <v>44987.0</v>
      </c>
      <c r="AE1463" s="6">
        <v>0.875</v>
      </c>
      <c r="AF1463" s="7">
        <v>0.0</v>
      </c>
    </row>
    <row r="1464">
      <c r="G1464" s="5"/>
      <c r="H1464" s="6"/>
      <c r="AD1464" s="5">
        <v>44987.0</v>
      </c>
      <c r="AE1464" s="6">
        <v>0.9166666666666666</v>
      </c>
      <c r="AF1464" s="7">
        <v>0.0</v>
      </c>
    </row>
    <row r="1465">
      <c r="G1465" s="5"/>
      <c r="H1465" s="6"/>
      <c r="AD1465" s="5">
        <v>44987.0</v>
      </c>
      <c r="AE1465" s="6">
        <v>0.9583333333333334</v>
      </c>
      <c r="AF1465" s="7">
        <v>0.0</v>
      </c>
    </row>
    <row r="1466">
      <c r="G1466" s="5"/>
      <c r="H1466" s="6"/>
      <c r="AD1466" s="5">
        <v>44988.0</v>
      </c>
      <c r="AE1466" s="6">
        <v>0.0</v>
      </c>
      <c r="AF1466" s="7">
        <v>0.0</v>
      </c>
    </row>
    <row r="1467">
      <c r="G1467" s="5"/>
      <c r="H1467" s="6"/>
      <c r="AD1467" s="5">
        <v>44988.0</v>
      </c>
      <c r="AE1467" s="6">
        <v>0.041666666666666664</v>
      </c>
      <c r="AF1467" s="7">
        <v>0.0</v>
      </c>
    </row>
    <row r="1468">
      <c r="G1468" s="5"/>
      <c r="H1468" s="6"/>
      <c r="AD1468" s="5">
        <v>44988.0</v>
      </c>
      <c r="AE1468" s="6">
        <v>0.08333333333333333</v>
      </c>
      <c r="AF1468" s="7">
        <v>0.0</v>
      </c>
    </row>
    <row r="1469">
      <c r="G1469" s="5"/>
      <c r="H1469" s="6"/>
      <c r="AD1469" s="5">
        <v>44988.0</v>
      </c>
      <c r="AE1469" s="6">
        <v>0.125</v>
      </c>
      <c r="AF1469" s="7">
        <v>0.0</v>
      </c>
    </row>
    <row r="1470">
      <c r="G1470" s="5"/>
      <c r="H1470" s="6"/>
      <c r="AD1470" s="5">
        <v>44988.0</v>
      </c>
      <c r="AE1470" s="6">
        <v>0.16666666666666666</v>
      </c>
      <c r="AF1470" s="7">
        <v>0.0</v>
      </c>
    </row>
    <row r="1471">
      <c r="G1471" s="5"/>
      <c r="H1471" s="6"/>
      <c r="AD1471" s="5">
        <v>44988.0</v>
      </c>
      <c r="AE1471" s="6">
        <v>0.20833333333333334</v>
      </c>
      <c r="AF1471" s="7">
        <v>0.0</v>
      </c>
    </row>
    <row r="1472">
      <c r="G1472" s="5"/>
      <c r="H1472" s="6"/>
      <c r="AD1472" s="5">
        <v>44988.0</v>
      </c>
      <c r="AE1472" s="6">
        <v>0.25</v>
      </c>
      <c r="AF1472" s="7">
        <v>0.0</v>
      </c>
    </row>
    <row r="1473">
      <c r="G1473" s="5"/>
      <c r="H1473" s="6"/>
      <c r="AD1473" s="5">
        <v>44988.0</v>
      </c>
      <c r="AE1473" s="6">
        <v>0.2916666666666667</v>
      </c>
      <c r="AF1473" s="7">
        <v>2910.18</v>
      </c>
    </row>
    <row r="1474">
      <c r="G1474" s="5"/>
      <c r="H1474" s="6"/>
      <c r="AD1474" s="5">
        <v>44988.0</v>
      </c>
      <c r="AE1474" s="6">
        <v>0.3333333333333333</v>
      </c>
      <c r="AF1474" s="7">
        <v>20658.3</v>
      </c>
    </row>
    <row r="1475">
      <c r="G1475" s="5"/>
      <c r="H1475" s="6"/>
      <c r="AD1475" s="5">
        <v>44988.0</v>
      </c>
      <c r="AE1475" s="6">
        <v>0.375</v>
      </c>
      <c r="AF1475" s="7">
        <v>36861.24</v>
      </c>
    </row>
    <row r="1476">
      <c r="G1476" s="5"/>
      <c r="H1476" s="6"/>
      <c r="AD1476" s="5">
        <v>44988.0</v>
      </c>
      <c r="AE1476" s="6">
        <v>0.4166666666666667</v>
      </c>
      <c r="AF1476" s="7">
        <v>41294.76</v>
      </c>
    </row>
    <row r="1477">
      <c r="G1477" s="5"/>
      <c r="H1477" s="6"/>
      <c r="AD1477" s="5">
        <v>44988.0</v>
      </c>
      <c r="AE1477" s="6">
        <v>0.4583333333333333</v>
      </c>
      <c r="AF1477" s="7">
        <v>28446.6</v>
      </c>
    </row>
    <row r="1478">
      <c r="G1478" s="5"/>
      <c r="H1478" s="6"/>
      <c r="AD1478" s="5">
        <v>44988.0</v>
      </c>
      <c r="AE1478" s="6">
        <v>0.5</v>
      </c>
      <c r="AF1478" s="7">
        <v>31225.74</v>
      </c>
    </row>
    <row r="1479">
      <c r="G1479" s="5"/>
      <c r="H1479" s="6"/>
      <c r="AD1479" s="5">
        <v>44988.0</v>
      </c>
      <c r="AE1479" s="6">
        <v>0.5416666666666666</v>
      </c>
      <c r="AF1479" s="7">
        <v>55431.48</v>
      </c>
    </row>
    <row r="1480">
      <c r="G1480" s="5"/>
      <c r="H1480" s="6"/>
      <c r="AD1480" s="5">
        <v>44988.0</v>
      </c>
      <c r="AE1480" s="6">
        <v>0.5833333333333334</v>
      </c>
      <c r="AF1480" s="7">
        <v>48881.82</v>
      </c>
    </row>
    <row r="1481">
      <c r="G1481" s="5"/>
      <c r="H1481" s="6"/>
      <c r="AD1481" s="5">
        <v>44988.0</v>
      </c>
      <c r="AE1481" s="6">
        <v>0.625</v>
      </c>
      <c r="AF1481" s="7">
        <v>37949.34</v>
      </c>
    </row>
    <row r="1482">
      <c r="G1482" s="5"/>
      <c r="H1482" s="6"/>
      <c r="AD1482" s="5">
        <v>44988.0</v>
      </c>
      <c r="AE1482" s="6">
        <v>0.6666666666666666</v>
      </c>
      <c r="AF1482" s="7">
        <v>22921.08</v>
      </c>
    </row>
    <row r="1483">
      <c r="G1483" s="5"/>
      <c r="H1483" s="6"/>
      <c r="AD1483" s="5">
        <v>44988.0</v>
      </c>
      <c r="AE1483" s="6">
        <v>0.7083333333333334</v>
      </c>
      <c r="AF1483" s="7">
        <v>6103.5</v>
      </c>
    </row>
    <row r="1484">
      <c r="G1484" s="5"/>
      <c r="H1484" s="6"/>
      <c r="AD1484" s="5">
        <v>44988.0</v>
      </c>
      <c r="AE1484" s="6">
        <v>0.75</v>
      </c>
      <c r="AF1484" s="7">
        <v>0.0</v>
      </c>
    </row>
    <row r="1485">
      <c r="G1485" s="5"/>
      <c r="H1485" s="6"/>
      <c r="AD1485" s="5">
        <v>44988.0</v>
      </c>
      <c r="AE1485" s="6">
        <v>0.7916666666666666</v>
      </c>
      <c r="AF1485" s="7">
        <v>0.0</v>
      </c>
    </row>
    <row r="1486">
      <c r="G1486" s="5"/>
      <c r="H1486" s="6"/>
      <c r="AD1486" s="5">
        <v>44988.0</v>
      </c>
      <c r="AE1486" s="6">
        <v>0.8333333333333334</v>
      </c>
      <c r="AF1486" s="7">
        <v>0.0</v>
      </c>
    </row>
    <row r="1487">
      <c r="G1487" s="5"/>
      <c r="H1487" s="6"/>
      <c r="AD1487" s="5">
        <v>44988.0</v>
      </c>
      <c r="AE1487" s="6">
        <v>0.875</v>
      </c>
      <c r="AF1487" s="7">
        <v>0.0</v>
      </c>
    </row>
    <row r="1488">
      <c r="G1488" s="5"/>
      <c r="H1488" s="6"/>
      <c r="AD1488" s="5">
        <v>44988.0</v>
      </c>
      <c r="AE1488" s="6">
        <v>0.9166666666666666</v>
      </c>
      <c r="AF1488" s="7">
        <v>0.0</v>
      </c>
    </row>
    <row r="1489">
      <c r="G1489" s="5"/>
      <c r="H1489" s="6"/>
      <c r="AD1489" s="5">
        <v>44988.0</v>
      </c>
      <c r="AE1489" s="6">
        <v>0.9583333333333334</v>
      </c>
      <c r="AF1489" s="7">
        <v>0.0</v>
      </c>
    </row>
    <row r="1490">
      <c r="G1490" s="5"/>
      <c r="H1490" s="6"/>
      <c r="AD1490" s="5">
        <v>44989.0</v>
      </c>
      <c r="AE1490" s="6">
        <v>0.0</v>
      </c>
      <c r="AF1490" s="7">
        <v>0.0</v>
      </c>
    </row>
    <row r="1491">
      <c r="G1491" s="5"/>
      <c r="H1491" s="6"/>
      <c r="AD1491" s="5">
        <v>44989.0</v>
      </c>
      <c r="AE1491" s="6">
        <v>0.041666666666666664</v>
      </c>
      <c r="AF1491" s="7">
        <v>0.0</v>
      </c>
    </row>
    <row r="1492">
      <c r="G1492" s="5"/>
      <c r="H1492" s="6"/>
      <c r="AD1492" s="5">
        <v>44989.0</v>
      </c>
      <c r="AE1492" s="6">
        <v>0.08333333333333333</v>
      </c>
      <c r="AF1492" s="7">
        <v>0.0</v>
      </c>
    </row>
    <row r="1493">
      <c r="G1493" s="5"/>
      <c r="H1493" s="6"/>
      <c r="AD1493" s="5">
        <v>44989.0</v>
      </c>
      <c r="AE1493" s="6">
        <v>0.125</v>
      </c>
      <c r="AF1493" s="7">
        <v>0.0</v>
      </c>
    </row>
    <row r="1494">
      <c r="G1494" s="5"/>
      <c r="H1494" s="6"/>
      <c r="AD1494" s="5">
        <v>44989.0</v>
      </c>
      <c r="AE1494" s="6">
        <v>0.16666666666666666</v>
      </c>
      <c r="AF1494" s="7">
        <v>0.0</v>
      </c>
    </row>
    <row r="1495">
      <c r="G1495" s="5"/>
      <c r="H1495" s="6"/>
      <c r="AD1495" s="5">
        <v>44989.0</v>
      </c>
      <c r="AE1495" s="6">
        <v>0.20833333333333334</v>
      </c>
      <c r="AF1495" s="7">
        <v>0.0</v>
      </c>
    </row>
    <row r="1496">
      <c r="G1496" s="5"/>
      <c r="H1496" s="6"/>
      <c r="AD1496" s="5">
        <v>44989.0</v>
      </c>
      <c r="AE1496" s="6">
        <v>0.25</v>
      </c>
      <c r="AF1496" s="7">
        <v>0.0</v>
      </c>
    </row>
    <row r="1497">
      <c r="G1497" s="5"/>
      <c r="H1497" s="6"/>
      <c r="AD1497" s="5">
        <v>44989.0</v>
      </c>
      <c r="AE1497" s="6">
        <v>0.2916666666666667</v>
      </c>
      <c r="AF1497" s="7">
        <v>3652.74</v>
      </c>
    </row>
    <row r="1498">
      <c r="G1498" s="5"/>
      <c r="H1498" s="6"/>
      <c r="AD1498" s="5">
        <v>44989.0</v>
      </c>
      <c r="AE1498" s="6">
        <v>0.3333333333333333</v>
      </c>
      <c r="AF1498" s="7">
        <v>21492.12</v>
      </c>
    </row>
    <row r="1499">
      <c r="G1499" s="5"/>
      <c r="H1499" s="6"/>
      <c r="AD1499" s="5">
        <v>44989.0</v>
      </c>
      <c r="AE1499" s="6">
        <v>0.375</v>
      </c>
      <c r="AF1499" s="7">
        <v>37119.42</v>
      </c>
    </row>
    <row r="1500">
      <c r="G1500" s="5"/>
      <c r="H1500" s="6"/>
      <c r="AD1500" s="5">
        <v>44989.0</v>
      </c>
      <c r="AE1500" s="6">
        <v>0.4166666666666667</v>
      </c>
      <c r="AF1500" s="7">
        <v>48730.5</v>
      </c>
    </row>
    <row r="1501">
      <c r="G1501" s="5"/>
      <c r="H1501" s="6"/>
      <c r="AD1501" s="5">
        <v>44989.0</v>
      </c>
      <c r="AE1501" s="6">
        <v>0.4583333333333333</v>
      </c>
      <c r="AF1501" s="7">
        <v>55429.14</v>
      </c>
    </row>
    <row r="1502">
      <c r="G1502" s="5"/>
      <c r="H1502" s="6"/>
      <c r="AD1502" s="5">
        <v>44989.0</v>
      </c>
      <c r="AE1502" s="6">
        <v>0.5</v>
      </c>
      <c r="AF1502" s="7">
        <v>50827.14</v>
      </c>
    </row>
    <row r="1503">
      <c r="G1503" s="5"/>
      <c r="H1503" s="6"/>
      <c r="AD1503" s="5">
        <v>44989.0</v>
      </c>
      <c r="AE1503" s="6">
        <v>0.5416666666666666</v>
      </c>
      <c r="AF1503" s="7">
        <v>55743.48</v>
      </c>
    </row>
    <row r="1504">
      <c r="G1504" s="5"/>
      <c r="H1504" s="6"/>
      <c r="AD1504" s="5">
        <v>44989.0</v>
      </c>
      <c r="AE1504" s="6">
        <v>0.5833333333333334</v>
      </c>
      <c r="AF1504" s="7">
        <v>49641.54</v>
      </c>
    </row>
    <row r="1505">
      <c r="G1505" s="5"/>
      <c r="H1505" s="6"/>
      <c r="AD1505" s="5">
        <v>44989.0</v>
      </c>
      <c r="AE1505" s="6">
        <v>0.625</v>
      </c>
      <c r="AF1505" s="7">
        <v>38682.54</v>
      </c>
    </row>
    <row r="1506">
      <c r="G1506" s="5"/>
      <c r="H1506" s="6"/>
      <c r="AD1506" s="5">
        <v>44989.0</v>
      </c>
      <c r="AE1506" s="6">
        <v>0.6666666666666666</v>
      </c>
      <c r="AF1506" s="7">
        <v>23324.34</v>
      </c>
    </row>
    <row r="1507">
      <c r="G1507" s="5"/>
      <c r="H1507" s="6"/>
      <c r="AD1507" s="5">
        <v>44989.0</v>
      </c>
      <c r="AE1507" s="6">
        <v>0.7083333333333334</v>
      </c>
      <c r="AF1507" s="7">
        <v>6453.72</v>
      </c>
    </row>
    <row r="1508">
      <c r="G1508" s="5"/>
      <c r="H1508" s="6"/>
      <c r="AD1508" s="5">
        <v>44989.0</v>
      </c>
      <c r="AE1508" s="6">
        <v>0.75</v>
      </c>
      <c r="AF1508" s="7">
        <v>0.0</v>
      </c>
    </row>
    <row r="1509">
      <c r="G1509" s="5"/>
      <c r="H1509" s="6"/>
      <c r="AD1509" s="5">
        <v>44989.0</v>
      </c>
      <c r="AE1509" s="6">
        <v>0.7916666666666666</v>
      </c>
      <c r="AF1509" s="7">
        <v>0.0</v>
      </c>
    </row>
    <row r="1510">
      <c r="G1510" s="5"/>
      <c r="H1510" s="6"/>
      <c r="AD1510" s="5">
        <v>44989.0</v>
      </c>
      <c r="AE1510" s="6">
        <v>0.8333333333333334</v>
      </c>
      <c r="AF1510" s="7">
        <v>0.0</v>
      </c>
    </row>
    <row r="1511">
      <c r="G1511" s="5"/>
      <c r="H1511" s="6"/>
      <c r="AD1511" s="5">
        <v>44989.0</v>
      </c>
      <c r="AE1511" s="6">
        <v>0.875</v>
      </c>
      <c r="AF1511" s="7">
        <v>0.0</v>
      </c>
    </row>
    <row r="1512">
      <c r="G1512" s="5"/>
      <c r="H1512" s="6"/>
      <c r="AD1512" s="5">
        <v>44989.0</v>
      </c>
      <c r="AE1512" s="6">
        <v>0.9166666666666666</v>
      </c>
      <c r="AF1512" s="7">
        <v>0.0</v>
      </c>
    </row>
    <row r="1513">
      <c r="G1513" s="5"/>
      <c r="H1513" s="6"/>
      <c r="AD1513" s="5">
        <v>44989.0</v>
      </c>
      <c r="AE1513" s="6">
        <v>0.9583333333333334</v>
      </c>
      <c r="AF1513" s="7">
        <v>0.0</v>
      </c>
    </row>
    <row r="1514">
      <c r="G1514" s="5"/>
      <c r="H1514" s="6"/>
      <c r="AD1514" s="5">
        <v>44990.0</v>
      </c>
      <c r="AE1514" s="6">
        <v>0.0</v>
      </c>
      <c r="AF1514" s="7">
        <v>0.0</v>
      </c>
    </row>
    <row r="1515">
      <c r="G1515" s="5"/>
      <c r="H1515" s="6"/>
      <c r="AD1515" s="5">
        <v>44990.0</v>
      </c>
      <c r="AE1515" s="6">
        <v>0.041666666666666664</v>
      </c>
      <c r="AF1515" s="7">
        <v>0.0</v>
      </c>
    </row>
    <row r="1516">
      <c r="G1516" s="5"/>
      <c r="H1516" s="6"/>
      <c r="AD1516" s="5">
        <v>44990.0</v>
      </c>
      <c r="AE1516" s="6">
        <v>0.08333333333333333</v>
      </c>
      <c r="AF1516" s="7">
        <v>0.0</v>
      </c>
    </row>
    <row r="1517">
      <c r="G1517" s="5"/>
      <c r="H1517" s="6"/>
      <c r="AD1517" s="5">
        <v>44990.0</v>
      </c>
      <c r="AE1517" s="6">
        <v>0.125</v>
      </c>
      <c r="AF1517" s="7">
        <v>0.0</v>
      </c>
    </row>
    <row r="1518">
      <c r="G1518" s="5"/>
      <c r="H1518" s="6"/>
      <c r="AD1518" s="5">
        <v>44990.0</v>
      </c>
      <c r="AE1518" s="6">
        <v>0.16666666666666666</v>
      </c>
      <c r="AF1518" s="7">
        <v>0.0</v>
      </c>
    </row>
    <row r="1519">
      <c r="G1519" s="5"/>
      <c r="H1519" s="6"/>
      <c r="AD1519" s="5">
        <v>44990.0</v>
      </c>
      <c r="AE1519" s="6">
        <v>0.20833333333333334</v>
      </c>
      <c r="AF1519" s="7">
        <v>0.0</v>
      </c>
    </row>
    <row r="1520">
      <c r="G1520" s="5"/>
      <c r="H1520" s="6"/>
      <c r="AD1520" s="5">
        <v>44990.0</v>
      </c>
      <c r="AE1520" s="6">
        <v>0.25</v>
      </c>
      <c r="AF1520" s="7">
        <v>0.0</v>
      </c>
    </row>
    <row r="1521">
      <c r="G1521" s="5"/>
      <c r="H1521" s="6"/>
      <c r="AD1521" s="5">
        <v>44990.0</v>
      </c>
      <c r="AE1521" s="6">
        <v>0.2916666666666667</v>
      </c>
      <c r="AF1521" s="7">
        <v>4406.22</v>
      </c>
    </row>
    <row r="1522">
      <c r="G1522" s="5"/>
      <c r="H1522" s="6"/>
      <c r="AD1522" s="5">
        <v>44990.0</v>
      </c>
      <c r="AE1522" s="6">
        <v>0.3333333333333333</v>
      </c>
      <c r="AF1522" s="7">
        <v>21246.42</v>
      </c>
    </row>
    <row r="1523">
      <c r="G1523" s="5"/>
      <c r="H1523" s="6"/>
      <c r="AD1523" s="5">
        <v>44990.0</v>
      </c>
      <c r="AE1523" s="6">
        <v>0.375</v>
      </c>
      <c r="AF1523" s="7">
        <v>35901.84</v>
      </c>
    </row>
    <row r="1524">
      <c r="G1524" s="5"/>
      <c r="H1524" s="6"/>
      <c r="AD1524" s="5">
        <v>44990.0</v>
      </c>
      <c r="AE1524" s="6">
        <v>0.4166666666666667</v>
      </c>
      <c r="AF1524" s="7">
        <v>46930.26</v>
      </c>
    </row>
    <row r="1525">
      <c r="G1525" s="5"/>
      <c r="H1525" s="6"/>
      <c r="AD1525" s="5">
        <v>44990.0</v>
      </c>
      <c r="AE1525" s="6">
        <v>0.4583333333333333</v>
      </c>
      <c r="AF1525" s="7">
        <v>53546.22</v>
      </c>
    </row>
    <row r="1526">
      <c r="G1526" s="5"/>
      <c r="H1526" s="6"/>
      <c r="AD1526" s="5">
        <v>44990.0</v>
      </c>
      <c r="AE1526" s="6">
        <v>0.5</v>
      </c>
      <c r="AF1526" s="7">
        <v>49271.04</v>
      </c>
    </row>
    <row r="1527">
      <c r="G1527" s="5"/>
      <c r="H1527" s="6"/>
      <c r="AD1527" s="5">
        <v>44990.0</v>
      </c>
      <c r="AE1527" s="6">
        <v>0.5416666666666666</v>
      </c>
      <c r="AF1527" s="7">
        <v>53498.64</v>
      </c>
    </row>
    <row r="1528">
      <c r="G1528" s="5"/>
      <c r="H1528" s="6"/>
      <c r="AD1528" s="5">
        <v>44990.0</v>
      </c>
      <c r="AE1528" s="6">
        <v>0.5833333333333334</v>
      </c>
      <c r="AF1528" s="7">
        <v>46677.54</v>
      </c>
    </row>
    <row r="1529">
      <c r="G1529" s="5"/>
      <c r="H1529" s="6"/>
      <c r="AD1529" s="5">
        <v>44990.0</v>
      </c>
      <c r="AE1529" s="6">
        <v>0.625</v>
      </c>
      <c r="AF1529" s="7">
        <v>24488.88</v>
      </c>
    </row>
    <row r="1530">
      <c r="G1530" s="5"/>
      <c r="H1530" s="6"/>
      <c r="AD1530" s="5">
        <v>44990.0</v>
      </c>
      <c r="AE1530" s="6">
        <v>0.6666666666666666</v>
      </c>
      <c r="AF1530" s="7">
        <v>15612.48</v>
      </c>
    </row>
    <row r="1531">
      <c r="G1531" s="5"/>
      <c r="H1531" s="6"/>
      <c r="AD1531" s="5">
        <v>44990.0</v>
      </c>
      <c r="AE1531" s="6">
        <v>0.7083333333333334</v>
      </c>
      <c r="AF1531" s="7">
        <v>3029.52</v>
      </c>
    </row>
    <row r="1532">
      <c r="G1532" s="5"/>
      <c r="H1532" s="6"/>
      <c r="AD1532" s="5">
        <v>44990.0</v>
      </c>
      <c r="AE1532" s="6">
        <v>0.75</v>
      </c>
      <c r="AF1532" s="7">
        <v>0.0</v>
      </c>
    </row>
    <row r="1533">
      <c r="G1533" s="5"/>
      <c r="H1533" s="6"/>
      <c r="AD1533" s="5">
        <v>44990.0</v>
      </c>
      <c r="AE1533" s="6">
        <v>0.7916666666666666</v>
      </c>
      <c r="AF1533" s="7">
        <v>0.0</v>
      </c>
    </row>
    <row r="1534">
      <c r="G1534" s="5"/>
      <c r="H1534" s="6"/>
      <c r="AD1534" s="5">
        <v>44990.0</v>
      </c>
      <c r="AE1534" s="6">
        <v>0.8333333333333334</v>
      </c>
      <c r="AF1534" s="7">
        <v>0.0</v>
      </c>
    </row>
    <row r="1535">
      <c r="G1535" s="5"/>
      <c r="H1535" s="6"/>
      <c r="AD1535" s="5">
        <v>44990.0</v>
      </c>
      <c r="AE1535" s="6">
        <v>0.875</v>
      </c>
      <c r="AF1535" s="7">
        <v>0.0</v>
      </c>
    </row>
    <row r="1536">
      <c r="G1536" s="5"/>
      <c r="H1536" s="6"/>
      <c r="AD1536" s="5">
        <v>44990.0</v>
      </c>
      <c r="AE1536" s="6">
        <v>0.9166666666666666</v>
      </c>
      <c r="AF1536" s="7">
        <v>0.0</v>
      </c>
    </row>
    <row r="1537">
      <c r="G1537" s="5"/>
      <c r="H1537" s="6"/>
      <c r="AD1537" s="5">
        <v>44990.0</v>
      </c>
      <c r="AE1537" s="6">
        <v>0.9583333333333334</v>
      </c>
      <c r="AF1537" s="7">
        <v>0.0</v>
      </c>
    </row>
    <row r="1538">
      <c r="G1538" s="5"/>
      <c r="H1538" s="6"/>
      <c r="AD1538" s="5">
        <v>44991.0</v>
      </c>
      <c r="AE1538" s="6">
        <v>0.0</v>
      </c>
      <c r="AF1538" s="7">
        <v>0.0</v>
      </c>
    </row>
    <row r="1539">
      <c r="G1539" s="5"/>
      <c r="H1539" s="6"/>
      <c r="AD1539" s="5">
        <v>44991.0</v>
      </c>
      <c r="AE1539" s="6">
        <v>0.041666666666666664</v>
      </c>
      <c r="AF1539" s="7">
        <v>0.0</v>
      </c>
    </row>
    <row r="1540">
      <c r="G1540" s="5"/>
      <c r="H1540" s="6"/>
      <c r="AD1540" s="5">
        <v>44991.0</v>
      </c>
      <c r="AE1540" s="6">
        <v>0.08333333333333333</v>
      </c>
      <c r="AF1540" s="7">
        <v>0.0</v>
      </c>
    </row>
    <row r="1541">
      <c r="G1541" s="5"/>
      <c r="H1541" s="6"/>
      <c r="AD1541" s="5">
        <v>44991.0</v>
      </c>
      <c r="AE1541" s="6">
        <v>0.125</v>
      </c>
      <c r="AF1541" s="7">
        <v>0.0</v>
      </c>
    </row>
    <row r="1542">
      <c r="G1542" s="5"/>
      <c r="H1542" s="6"/>
      <c r="AD1542" s="5">
        <v>44991.0</v>
      </c>
      <c r="AE1542" s="6">
        <v>0.16666666666666666</v>
      </c>
      <c r="AF1542" s="7">
        <v>0.0</v>
      </c>
    </row>
    <row r="1543">
      <c r="G1543" s="5"/>
      <c r="H1543" s="6"/>
      <c r="AD1543" s="5">
        <v>44991.0</v>
      </c>
      <c r="AE1543" s="6">
        <v>0.20833333333333334</v>
      </c>
      <c r="AF1543" s="7">
        <v>0.0</v>
      </c>
    </row>
    <row r="1544">
      <c r="G1544" s="5"/>
      <c r="H1544" s="6"/>
      <c r="AD1544" s="5">
        <v>44991.0</v>
      </c>
      <c r="AE1544" s="6">
        <v>0.25</v>
      </c>
      <c r="AF1544" s="7">
        <v>0.0</v>
      </c>
    </row>
    <row r="1545">
      <c r="G1545" s="5"/>
      <c r="H1545" s="6"/>
      <c r="AD1545" s="5">
        <v>44991.0</v>
      </c>
      <c r="AE1545" s="6">
        <v>0.2916666666666667</v>
      </c>
      <c r="AF1545" s="7">
        <v>4413.24</v>
      </c>
    </row>
    <row r="1546">
      <c r="G1546" s="5"/>
      <c r="H1546" s="6"/>
      <c r="AD1546" s="5">
        <v>44991.0</v>
      </c>
      <c r="AE1546" s="6">
        <v>0.3333333333333333</v>
      </c>
      <c r="AF1546" s="7">
        <v>18517.2</v>
      </c>
    </row>
    <row r="1547">
      <c r="G1547" s="5"/>
      <c r="H1547" s="6"/>
      <c r="AD1547" s="5">
        <v>44991.0</v>
      </c>
      <c r="AE1547" s="6">
        <v>0.375</v>
      </c>
      <c r="AF1547" s="7">
        <v>35692.02</v>
      </c>
    </row>
    <row r="1548">
      <c r="G1548" s="5"/>
      <c r="H1548" s="6"/>
      <c r="AD1548" s="5">
        <v>44991.0</v>
      </c>
      <c r="AE1548" s="6">
        <v>0.4166666666666667</v>
      </c>
      <c r="AF1548" s="7">
        <v>46590.18</v>
      </c>
    </row>
    <row r="1549">
      <c r="G1549" s="5"/>
      <c r="H1549" s="6"/>
      <c r="AD1549" s="5">
        <v>44991.0</v>
      </c>
      <c r="AE1549" s="6">
        <v>0.4583333333333333</v>
      </c>
      <c r="AF1549" s="7">
        <v>53553.24</v>
      </c>
    </row>
    <row r="1550">
      <c r="G1550" s="5"/>
      <c r="H1550" s="6"/>
      <c r="AD1550" s="5">
        <v>44991.0</v>
      </c>
      <c r="AE1550" s="6">
        <v>0.5</v>
      </c>
      <c r="AF1550" s="7">
        <v>52204.62</v>
      </c>
    </row>
    <row r="1551">
      <c r="G1551" s="5"/>
      <c r="H1551" s="6"/>
      <c r="AD1551" s="5">
        <v>44991.0</v>
      </c>
      <c r="AE1551" s="6">
        <v>0.5416666666666666</v>
      </c>
      <c r="AF1551" s="7">
        <v>54334.8</v>
      </c>
    </row>
    <row r="1552">
      <c r="G1552" s="5"/>
      <c r="H1552" s="6"/>
      <c r="AD1552" s="5">
        <v>44991.0</v>
      </c>
      <c r="AE1552" s="6">
        <v>0.5833333333333334</v>
      </c>
      <c r="AF1552" s="7">
        <v>47471.58</v>
      </c>
    </row>
    <row r="1553">
      <c r="G1553" s="5"/>
      <c r="H1553" s="6"/>
      <c r="AD1553" s="5">
        <v>44991.0</v>
      </c>
      <c r="AE1553" s="6">
        <v>0.625</v>
      </c>
      <c r="AF1553" s="7">
        <v>29592.42</v>
      </c>
    </row>
    <row r="1554">
      <c r="G1554" s="5"/>
      <c r="H1554" s="6"/>
      <c r="AD1554" s="5">
        <v>44991.0</v>
      </c>
      <c r="AE1554" s="6">
        <v>0.6666666666666666</v>
      </c>
      <c r="AF1554" s="7">
        <v>16152.24</v>
      </c>
    </row>
    <row r="1555">
      <c r="G1555" s="5"/>
      <c r="H1555" s="6"/>
      <c r="AD1555" s="5">
        <v>44991.0</v>
      </c>
      <c r="AE1555" s="6">
        <v>0.7083333333333334</v>
      </c>
      <c r="AF1555" s="7">
        <v>6693.18</v>
      </c>
    </row>
    <row r="1556">
      <c r="G1556" s="5"/>
      <c r="H1556" s="6"/>
      <c r="AD1556" s="5">
        <v>44991.0</v>
      </c>
      <c r="AE1556" s="6">
        <v>0.75</v>
      </c>
      <c r="AF1556" s="7">
        <v>0.0</v>
      </c>
    </row>
    <row r="1557">
      <c r="G1557" s="5"/>
      <c r="H1557" s="6"/>
      <c r="AD1557" s="5">
        <v>44991.0</v>
      </c>
      <c r="AE1557" s="6">
        <v>0.7916666666666666</v>
      </c>
      <c r="AF1557" s="7">
        <v>0.0</v>
      </c>
    </row>
    <row r="1558">
      <c r="G1558" s="5"/>
      <c r="H1558" s="6"/>
      <c r="AD1558" s="5">
        <v>44991.0</v>
      </c>
      <c r="AE1558" s="6">
        <v>0.8333333333333334</v>
      </c>
      <c r="AF1558" s="7">
        <v>0.0</v>
      </c>
    </row>
    <row r="1559">
      <c r="G1559" s="5"/>
      <c r="H1559" s="6"/>
      <c r="AD1559" s="5">
        <v>44991.0</v>
      </c>
      <c r="AE1559" s="6">
        <v>0.875</v>
      </c>
      <c r="AF1559" s="7">
        <v>0.0</v>
      </c>
    </row>
    <row r="1560">
      <c r="G1560" s="5"/>
      <c r="H1560" s="6"/>
      <c r="AD1560" s="5">
        <v>44991.0</v>
      </c>
      <c r="AE1560" s="6">
        <v>0.9166666666666666</v>
      </c>
      <c r="AF1560" s="7">
        <v>0.0</v>
      </c>
    </row>
    <row r="1561">
      <c r="G1561" s="5"/>
      <c r="H1561" s="6"/>
      <c r="AD1561" s="5">
        <v>44991.0</v>
      </c>
      <c r="AE1561" s="6">
        <v>0.9583333333333334</v>
      </c>
      <c r="AF1561" s="7">
        <v>0.0</v>
      </c>
    </row>
    <row r="1562">
      <c r="G1562" s="5"/>
      <c r="H1562" s="6"/>
      <c r="AD1562" s="5">
        <v>44992.0</v>
      </c>
      <c r="AE1562" s="6">
        <v>0.0</v>
      </c>
      <c r="AF1562" s="7">
        <v>0.0</v>
      </c>
    </row>
    <row r="1563">
      <c r="G1563" s="5"/>
      <c r="H1563" s="6"/>
      <c r="AD1563" s="5">
        <v>44992.0</v>
      </c>
      <c r="AE1563" s="6">
        <v>0.041666666666666664</v>
      </c>
      <c r="AF1563" s="7">
        <v>0.0</v>
      </c>
    </row>
    <row r="1564">
      <c r="G1564" s="5"/>
      <c r="H1564" s="6"/>
      <c r="AD1564" s="5">
        <v>44992.0</v>
      </c>
      <c r="AE1564" s="6">
        <v>0.08333333333333333</v>
      </c>
      <c r="AF1564" s="7">
        <v>0.0</v>
      </c>
    </row>
    <row r="1565">
      <c r="G1565" s="5"/>
      <c r="H1565" s="6"/>
      <c r="AD1565" s="5">
        <v>44992.0</v>
      </c>
      <c r="AE1565" s="6">
        <v>0.125</v>
      </c>
      <c r="AF1565" s="7">
        <v>0.0</v>
      </c>
    </row>
    <row r="1566">
      <c r="G1566" s="5"/>
      <c r="H1566" s="6"/>
      <c r="AD1566" s="5">
        <v>44992.0</v>
      </c>
      <c r="AE1566" s="6">
        <v>0.16666666666666666</v>
      </c>
      <c r="AF1566" s="7">
        <v>0.0</v>
      </c>
    </row>
    <row r="1567">
      <c r="G1567" s="5"/>
      <c r="H1567" s="6"/>
      <c r="AD1567" s="5">
        <v>44992.0</v>
      </c>
      <c r="AE1567" s="6">
        <v>0.20833333333333334</v>
      </c>
      <c r="AF1567" s="7">
        <v>0.0</v>
      </c>
    </row>
    <row r="1568">
      <c r="G1568" s="5"/>
      <c r="H1568" s="6"/>
      <c r="AD1568" s="5">
        <v>44992.0</v>
      </c>
      <c r="AE1568" s="6">
        <v>0.25</v>
      </c>
      <c r="AF1568" s="7">
        <v>0.0</v>
      </c>
    </row>
    <row r="1569">
      <c r="G1569" s="5"/>
      <c r="H1569" s="6"/>
      <c r="AD1569" s="5">
        <v>44992.0</v>
      </c>
      <c r="AE1569" s="6">
        <v>0.2916666666666667</v>
      </c>
      <c r="AF1569" s="7">
        <v>2410.98</v>
      </c>
    </row>
    <row r="1570">
      <c r="G1570" s="5"/>
      <c r="H1570" s="6"/>
      <c r="AD1570" s="5">
        <v>44992.0</v>
      </c>
      <c r="AE1570" s="6">
        <v>0.3333333333333333</v>
      </c>
      <c r="AF1570" s="7">
        <v>6763.38</v>
      </c>
    </row>
    <row r="1571">
      <c r="G1571" s="5"/>
      <c r="H1571" s="6"/>
      <c r="AD1571" s="5">
        <v>44992.0</v>
      </c>
      <c r="AE1571" s="6">
        <v>0.375</v>
      </c>
      <c r="AF1571" s="7">
        <v>11052.6</v>
      </c>
    </row>
    <row r="1572">
      <c r="G1572" s="5"/>
      <c r="H1572" s="6"/>
      <c r="AD1572" s="5">
        <v>44992.0</v>
      </c>
      <c r="AE1572" s="6">
        <v>0.4166666666666667</v>
      </c>
      <c r="AF1572" s="7">
        <v>23645.7</v>
      </c>
    </row>
    <row r="1573">
      <c r="G1573" s="5"/>
      <c r="H1573" s="6"/>
      <c r="AD1573" s="5">
        <v>44992.0</v>
      </c>
      <c r="AE1573" s="6">
        <v>0.4583333333333333</v>
      </c>
      <c r="AF1573" s="7">
        <v>39858.78</v>
      </c>
    </row>
    <row r="1574">
      <c r="G1574" s="5"/>
      <c r="H1574" s="6"/>
      <c r="AD1574" s="5">
        <v>44992.0</v>
      </c>
      <c r="AE1574" s="6">
        <v>0.5</v>
      </c>
      <c r="AF1574" s="7">
        <v>52576.68</v>
      </c>
    </row>
    <row r="1575">
      <c r="G1575" s="5"/>
      <c r="H1575" s="6"/>
      <c r="AD1575" s="5">
        <v>44992.0</v>
      </c>
      <c r="AE1575" s="6">
        <v>0.5416666666666666</v>
      </c>
      <c r="AF1575" s="7">
        <v>36124.92</v>
      </c>
    </row>
    <row r="1576">
      <c r="G1576" s="5"/>
      <c r="H1576" s="6"/>
      <c r="AD1576" s="5">
        <v>44992.0</v>
      </c>
      <c r="AE1576" s="6">
        <v>0.5833333333333334</v>
      </c>
      <c r="AF1576" s="7">
        <v>45474.0</v>
      </c>
    </row>
    <row r="1577">
      <c r="G1577" s="5"/>
      <c r="H1577" s="6"/>
      <c r="AD1577" s="5">
        <v>44992.0</v>
      </c>
      <c r="AE1577" s="6">
        <v>0.625</v>
      </c>
      <c r="AF1577" s="7">
        <v>35622.6</v>
      </c>
    </row>
    <row r="1578">
      <c r="G1578" s="5"/>
      <c r="H1578" s="6"/>
      <c r="AD1578" s="5">
        <v>44992.0</v>
      </c>
      <c r="AE1578" s="6">
        <v>0.6666666666666666</v>
      </c>
      <c r="AF1578" s="7">
        <v>18003.96</v>
      </c>
    </row>
    <row r="1579">
      <c r="G1579" s="5"/>
      <c r="H1579" s="6"/>
      <c r="AD1579" s="5">
        <v>44992.0</v>
      </c>
      <c r="AE1579" s="6">
        <v>0.7083333333333334</v>
      </c>
      <c r="AF1579" s="7">
        <v>3337.62</v>
      </c>
    </row>
    <row r="1580">
      <c r="G1580" s="5"/>
      <c r="H1580" s="6"/>
      <c r="AD1580" s="5">
        <v>44992.0</v>
      </c>
      <c r="AE1580" s="6">
        <v>0.75</v>
      </c>
      <c r="AF1580" s="7">
        <v>0.0</v>
      </c>
    </row>
    <row r="1581">
      <c r="G1581" s="5"/>
      <c r="H1581" s="6"/>
      <c r="AD1581" s="5">
        <v>44992.0</v>
      </c>
      <c r="AE1581" s="6">
        <v>0.7916666666666666</v>
      </c>
      <c r="AF1581" s="7">
        <v>0.0</v>
      </c>
    </row>
    <row r="1582">
      <c r="G1582" s="9"/>
      <c r="H1582" s="6"/>
      <c r="AD1582" s="5">
        <v>44992.0</v>
      </c>
      <c r="AE1582" s="6">
        <v>0.8333333333333334</v>
      </c>
      <c r="AF1582" s="7">
        <v>0.0</v>
      </c>
    </row>
    <row r="1583">
      <c r="G1583" s="5"/>
      <c r="H1583" s="6"/>
      <c r="AD1583" s="5">
        <v>44992.0</v>
      </c>
      <c r="AE1583" s="6">
        <v>0.875</v>
      </c>
      <c r="AF1583" s="7">
        <v>0.0</v>
      </c>
    </row>
    <row r="1584">
      <c r="G1584" s="5"/>
      <c r="H1584" s="6"/>
      <c r="AD1584" s="5">
        <v>44992.0</v>
      </c>
      <c r="AE1584" s="6">
        <v>0.9166666666666666</v>
      </c>
      <c r="AF1584" s="7">
        <v>0.0</v>
      </c>
    </row>
    <row r="1585">
      <c r="G1585" s="5"/>
      <c r="H1585" s="6"/>
      <c r="AD1585" s="5">
        <v>44992.0</v>
      </c>
      <c r="AE1585" s="6">
        <v>0.9583333333333334</v>
      </c>
      <c r="AF1585" s="7">
        <v>0.0</v>
      </c>
    </row>
    <row r="1586">
      <c r="G1586" s="5"/>
      <c r="H1586" s="6"/>
      <c r="AD1586" s="5">
        <v>44993.0</v>
      </c>
      <c r="AE1586" s="6">
        <v>0.0</v>
      </c>
      <c r="AF1586" s="7">
        <v>0.0</v>
      </c>
    </row>
    <row r="1587">
      <c r="G1587" s="9"/>
      <c r="H1587" s="6"/>
      <c r="AD1587" s="5">
        <v>44993.0</v>
      </c>
      <c r="AE1587" s="6">
        <v>0.041666666666666664</v>
      </c>
      <c r="AF1587" s="7">
        <v>0.0</v>
      </c>
    </row>
    <row r="1588">
      <c r="G1588" s="9"/>
      <c r="H1588" s="6"/>
      <c r="AD1588" s="5">
        <v>44993.0</v>
      </c>
      <c r="AE1588" s="6">
        <v>0.08333333333333333</v>
      </c>
      <c r="AF1588" s="7">
        <v>0.0</v>
      </c>
    </row>
    <row r="1589">
      <c r="G1589" s="9"/>
      <c r="H1589" s="6"/>
      <c r="AD1589" s="5">
        <v>44993.0</v>
      </c>
      <c r="AE1589" s="6">
        <v>0.125</v>
      </c>
      <c r="AF1589" s="7">
        <v>0.0</v>
      </c>
    </row>
    <row r="1590">
      <c r="G1590" s="9"/>
      <c r="H1590" s="6"/>
      <c r="AD1590" s="5">
        <v>44993.0</v>
      </c>
      <c r="AE1590" s="6">
        <v>0.16666666666666666</v>
      </c>
      <c r="AF1590" s="7">
        <v>0.0</v>
      </c>
    </row>
    <row r="1591">
      <c r="G1591" s="5"/>
      <c r="H1591" s="6"/>
      <c r="AD1591" s="5">
        <v>44993.0</v>
      </c>
      <c r="AE1591" s="6">
        <v>0.20833333333333334</v>
      </c>
      <c r="AF1591" s="7">
        <v>0.0</v>
      </c>
    </row>
    <row r="1592">
      <c r="G1592" s="5"/>
      <c r="H1592" s="6"/>
      <c r="AD1592" s="5">
        <v>44993.0</v>
      </c>
      <c r="AE1592" s="6">
        <v>0.25</v>
      </c>
      <c r="AF1592" s="7">
        <v>0.0</v>
      </c>
    </row>
    <row r="1593">
      <c r="G1593" s="5"/>
      <c r="H1593" s="6"/>
      <c r="AD1593" s="5">
        <v>44993.0</v>
      </c>
      <c r="AE1593" s="6">
        <v>0.2916666666666667</v>
      </c>
      <c r="AF1593" s="7">
        <v>2293.98</v>
      </c>
    </row>
    <row r="1594">
      <c r="G1594" s="5"/>
      <c r="H1594" s="6"/>
      <c r="AD1594" s="5">
        <v>44993.0</v>
      </c>
      <c r="AE1594" s="6">
        <v>0.3333333333333333</v>
      </c>
      <c r="AF1594" s="7">
        <v>7924.8</v>
      </c>
    </row>
    <row r="1595">
      <c r="G1595" s="5"/>
      <c r="H1595" s="6"/>
      <c r="AD1595" s="5">
        <v>44993.0</v>
      </c>
      <c r="AE1595" s="6">
        <v>0.375</v>
      </c>
      <c r="AF1595" s="7">
        <v>24455.34</v>
      </c>
    </row>
    <row r="1596">
      <c r="G1596" s="9"/>
      <c r="H1596" s="6"/>
      <c r="AD1596" s="5">
        <v>44993.0</v>
      </c>
      <c r="AE1596" s="6">
        <v>0.4166666666666667</v>
      </c>
      <c r="AF1596" s="7">
        <v>35898.72</v>
      </c>
    </row>
    <row r="1597">
      <c r="G1597" s="9"/>
      <c r="H1597" s="6"/>
      <c r="AD1597" s="5">
        <v>44993.0</v>
      </c>
      <c r="AE1597" s="6">
        <v>0.4583333333333333</v>
      </c>
      <c r="AF1597" s="7">
        <v>42896.1</v>
      </c>
    </row>
    <row r="1598">
      <c r="G1598" s="9"/>
      <c r="H1598" s="6"/>
      <c r="AD1598" s="5">
        <v>44993.0</v>
      </c>
      <c r="AE1598" s="6">
        <v>0.5</v>
      </c>
      <c r="AF1598" s="7">
        <v>35059.44</v>
      </c>
    </row>
    <row r="1599">
      <c r="G1599" s="9"/>
      <c r="H1599" s="6"/>
      <c r="AD1599" s="5">
        <v>44993.0</v>
      </c>
      <c r="AE1599" s="6">
        <v>0.5416666666666666</v>
      </c>
      <c r="AF1599" s="7">
        <v>43878.9</v>
      </c>
    </row>
    <row r="1600">
      <c r="G1600" s="9"/>
      <c r="H1600" s="6"/>
      <c r="AD1600" s="5">
        <v>44993.0</v>
      </c>
      <c r="AE1600" s="6">
        <v>0.5833333333333334</v>
      </c>
      <c r="AF1600" s="7">
        <v>15158.52</v>
      </c>
    </row>
    <row r="1601">
      <c r="G1601" s="5"/>
      <c r="H1601" s="6"/>
      <c r="AD1601" s="5">
        <v>44993.0</v>
      </c>
      <c r="AE1601" s="6">
        <v>0.625</v>
      </c>
      <c r="AF1601" s="7">
        <v>13520.52</v>
      </c>
    </row>
    <row r="1602">
      <c r="G1602" s="5"/>
      <c r="H1602" s="6"/>
      <c r="AD1602" s="5">
        <v>44993.0</v>
      </c>
      <c r="AE1602" s="6">
        <v>0.6666666666666666</v>
      </c>
      <c r="AF1602" s="7">
        <v>19998.42</v>
      </c>
    </row>
    <row r="1603">
      <c r="G1603" s="5"/>
      <c r="H1603" s="6"/>
      <c r="AD1603" s="5">
        <v>44993.0</v>
      </c>
      <c r="AE1603" s="6">
        <v>0.7083333333333334</v>
      </c>
      <c r="AF1603" s="7">
        <v>4958.46</v>
      </c>
    </row>
    <row r="1604">
      <c r="G1604" s="5"/>
      <c r="H1604" s="6"/>
      <c r="AD1604" s="5">
        <v>44993.0</v>
      </c>
      <c r="AE1604" s="6">
        <v>0.75</v>
      </c>
      <c r="AF1604" s="7">
        <v>0.0</v>
      </c>
    </row>
    <row r="1605">
      <c r="G1605" s="5"/>
      <c r="H1605" s="6"/>
      <c r="AD1605" s="5">
        <v>44993.0</v>
      </c>
      <c r="AE1605" s="6">
        <v>0.7916666666666666</v>
      </c>
      <c r="AF1605" s="7">
        <v>0.0</v>
      </c>
    </row>
    <row r="1606">
      <c r="G1606" s="5"/>
      <c r="H1606" s="6"/>
      <c r="AD1606" s="5">
        <v>44993.0</v>
      </c>
      <c r="AE1606" s="6">
        <v>0.8333333333333334</v>
      </c>
      <c r="AF1606" s="7">
        <v>0.0</v>
      </c>
    </row>
    <row r="1607">
      <c r="G1607" s="5"/>
      <c r="H1607" s="6"/>
      <c r="AD1607" s="5">
        <v>44993.0</v>
      </c>
      <c r="AE1607" s="6">
        <v>0.875</v>
      </c>
      <c r="AF1607" s="7">
        <v>0.0</v>
      </c>
    </row>
    <row r="1608">
      <c r="G1608" s="5"/>
      <c r="H1608" s="6"/>
      <c r="AD1608" s="5">
        <v>44993.0</v>
      </c>
      <c r="AE1608" s="6">
        <v>0.9166666666666666</v>
      </c>
      <c r="AF1608" s="7">
        <v>0.0</v>
      </c>
    </row>
    <row r="1609">
      <c r="G1609" s="5"/>
      <c r="H1609" s="6"/>
      <c r="AD1609" s="5">
        <v>44993.0</v>
      </c>
      <c r="AE1609" s="6">
        <v>0.9583333333333334</v>
      </c>
      <c r="AF1609" s="7">
        <v>0.0</v>
      </c>
    </row>
    <row r="1610">
      <c r="G1610" s="5"/>
      <c r="H1610" s="6"/>
      <c r="AD1610" s="5">
        <v>44994.0</v>
      </c>
      <c r="AE1610" s="6">
        <v>0.0</v>
      </c>
      <c r="AF1610" s="7">
        <v>0.0</v>
      </c>
    </row>
    <row r="1611">
      <c r="G1611" s="5"/>
      <c r="H1611" s="6"/>
      <c r="AD1611" s="5">
        <v>44994.0</v>
      </c>
      <c r="AE1611" s="6">
        <v>0.041666666666666664</v>
      </c>
      <c r="AF1611" s="7">
        <v>0.0</v>
      </c>
    </row>
    <row r="1612">
      <c r="G1612" s="9"/>
      <c r="H1612" s="6"/>
      <c r="AD1612" s="5">
        <v>44994.0</v>
      </c>
      <c r="AE1612" s="6">
        <v>0.08333333333333333</v>
      </c>
      <c r="AF1612" s="7">
        <v>0.0</v>
      </c>
    </row>
    <row r="1613">
      <c r="G1613" s="9"/>
      <c r="H1613" s="6"/>
      <c r="AD1613" s="5">
        <v>44994.0</v>
      </c>
      <c r="AE1613" s="6">
        <v>0.125</v>
      </c>
      <c r="AF1613" s="7">
        <v>0.0</v>
      </c>
    </row>
    <row r="1614">
      <c r="G1614" s="9"/>
      <c r="H1614" s="6"/>
      <c r="AD1614" s="5">
        <v>44994.0</v>
      </c>
      <c r="AE1614" s="6">
        <v>0.16666666666666666</v>
      </c>
      <c r="AF1614" s="7">
        <v>0.0</v>
      </c>
    </row>
    <row r="1615">
      <c r="G1615" s="9"/>
      <c r="H1615" s="6"/>
      <c r="AD1615" s="5">
        <v>44994.0</v>
      </c>
      <c r="AE1615" s="6">
        <v>0.20833333333333334</v>
      </c>
      <c r="AF1615" s="7">
        <v>0.0</v>
      </c>
    </row>
    <row r="1616">
      <c r="G1616" s="5"/>
      <c r="H1616" s="6"/>
      <c r="AD1616" s="5">
        <v>44994.0</v>
      </c>
      <c r="AE1616" s="6">
        <v>0.25</v>
      </c>
      <c r="AF1616" s="7">
        <v>0.0</v>
      </c>
    </row>
    <row r="1617">
      <c r="G1617" s="5"/>
      <c r="H1617" s="6"/>
      <c r="AD1617" s="5">
        <v>44994.0</v>
      </c>
      <c r="AE1617" s="6">
        <v>0.2916666666666667</v>
      </c>
      <c r="AF1617" s="7">
        <v>301.08</v>
      </c>
    </row>
    <row r="1618">
      <c r="G1618" s="5"/>
      <c r="H1618" s="6"/>
      <c r="AD1618" s="5">
        <v>44994.0</v>
      </c>
      <c r="AE1618" s="6">
        <v>0.3333333333333333</v>
      </c>
      <c r="AF1618" s="7">
        <v>2184.78</v>
      </c>
    </row>
    <row r="1619">
      <c r="G1619" s="9"/>
      <c r="H1619" s="6"/>
      <c r="AD1619" s="5">
        <v>44994.0</v>
      </c>
      <c r="AE1619" s="6">
        <v>0.375</v>
      </c>
      <c r="AF1619" s="7">
        <v>8425.56</v>
      </c>
    </row>
    <row r="1620">
      <c r="G1620" s="9"/>
      <c r="H1620" s="6"/>
      <c r="AD1620" s="5">
        <v>44994.0</v>
      </c>
      <c r="AE1620" s="6">
        <v>0.4166666666666667</v>
      </c>
      <c r="AF1620" s="7">
        <v>12671.88</v>
      </c>
    </row>
    <row r="1621">
      <c r="G1621" s="9"/>
      <c r="H1621" s="6"/>
      <c r="AD1621" s="5">
        <v>44994.0</v>
      </c>
      <c r="AE1621" s="6">
        <v>0.4583333333333333</v>
      </c>
      <c r="AF1621" s="7">
        <v>31342.74</v>
      </c>
    </row>
    <row r="1622">
      <c r="G1622" s="9"/>
      <c r="H1622" s="6"/>
      <c r="AD1622" s="5">
        <v>44994.0</v>
      </c>
      <c r="AE1622" s="6">
        <v>0.5</v>
      </c>
      <c r="AF1622" s="7">
        <v>40277.64</v>
      </c>
    </row>
    <row r="1623">
      <c r="G1623" s="9"/>
      <c r="H1623" s="6"/>
      <c r="AD1623" s="5">
        <v>44994.0</v>
      </c>
      <c r="AE1623" s="6">
        <v>0.5416666666666666</v>
      </c>
      <c r="AF1623" s="7">
        <v>48438.78</v>
      </c>
    </row>
    <row r="1624">
      <c r="G1624" s="9"/>
      <c r="H1624" s="6"/>
      <c r="AD1624" s="5">
        <v>44994.0</v>
      </c>
      <c r="AE1624" s="6">
        <v>0.5833333333333334</v>
      </c>
      <c r="AF1624" s="7">
        <v>13657.02</v>
      </c>
    </row>
    <row r="1625">
      <c r="G1625" s="5"/>
      <c r="H1625" s="6"/>
      <c r="AD1625" s="5">
        <v>44994.0</v>
      </c>
      <c r="AE1625" s="6">
        <v>0.625</v>
      </c>
      <c r="AF1625" s="7">
        <v>20060.04</v>
      </c>
    </row>
    <row r="1626">
      <c r="G1626" s="5"/>
      <c r="H1626" s="6"/>
      <c r="AD1626" s="5">
        <v>44994.0</v>
      </c>
      <c r="AE1626" s="6">
        <v>0.6666666666666666</v>
      </c>
      <c r="AF1626" s="7">
        <v>2350.14</v>
      </c>
    </row>
    <row r="1627">
      <c r="G1627" s="5"/>
      <c r="H1627" s="6"/>
      <c r="AD1627" s="5">
        <v>44994.0</v>
      </c>
      <c r="AE1627" s="6">
        <v>0.7083333333333334</v>
      </c>
      <c r="AF1627" s="7">
        <v>7009.86</v>
      </c>
    </row>
    <row r="1628">
      <c r="G1628" s="9"/>
      <c r="H1628" s="6"/>
      <c r="AD1628" s="5">
        <v>44994.0</v>
      </c>
      <c r="AE1628" s="6">
        <v>0.75</v>
      </c>
      <c r="AF1628" s="7">
        <v>0.0</v>
      </c>
    </row>
    <row r="1629">
      <c r="G1629" s="9"/>
      <c r="H1629" s="6"/>
      <c r="AD1629" s="5">
        <v>44994.0</v>
      </c>
      <c r="AE1629" s="6">
        <v>0.7916666666666666</v>
      </c>
      <c r="AF1629" s="7">
        <v>0.0</v>
      </c>
    </row>
    <row r="1630">
      <c r="G1630" s="9"/>
      <c r="H1630" s="6"/>
      <c r="AD1630" s="5">
        <v>44994.0</v>
      </c>
      <c r="AE1630" s="6">
        <v>0.8333333333333334</v>
      </c>
      <c r="AF1630" s="7">
        <v>0.0</v>
      </c>
    </row>
    <row r="1631">
      <c r="G1631" s="5"/>
      <c r="H1631" s="6"/>
      <c r="AD1631" s="5">
        <v>44994.0</v>
      </c>
      <c r="AE1631" s="6">
        <v>0.875</v>
      </c>
      <c r="AF1631" s="7">
        <v>0.0</v>
      </c>
    </row>
    <row r="1632">
      <c r="G1632" s="5"/>
      <c r="H1632" s="6"/>
      <c r="AD1632" s="5">
        <v>44994.0</v>
      </c>
      <c r="AE1632" s="6">
        <v>0.9166666666666666</v>
      </c>
      <c r="AF1632" s="7">
        <v>0.0</v>
      </c>
    </row>
    <row r="1633">
      <c r="G1633" s="5"/>
      <c r="H1633" s="6"/>
      <c r="AD1633" s="5">
        <v>44994.0</v>
      </c>
      <c r="AE1633" s="6">
        <v>0.9583333333333334</v>
      </c>
      <c r="AF1633" s="7">
        <v>0.0</v>
      </c>
    </row>
    <row r="1634">
      <c r="G1634" s="5"/>
      <c r="H1634" s="6"/>
      <c r="AD1634" s="5">
        <v>44995.0</v>
      </c>
      <c r="AE1634" s="6">
        <v>0.0</v>
      </c>
      <c r="AF1634" s="7">
        <v>0.0</v>
      </c>
    </row>
    <row r="1635">
      <c r="G1635" s="5"/>
      <c r="H1635" s="6"/>
      <c r="AD1635" s="5">
        <v>44995.0</v>
      </c>
      <c r="AE1635" s="6">
        <v>0.041666666666666664</v>
      </c>
      <c r="AF1635" s="7">
        <v>0.0</v>
      </c>
    </row>
    <row r="1636">
      <c r="G1636" s="5"/>
      <c r="H1636" s="6"/>
      <c r="AD1636" s="5">
        <v>44995.0</v>
      </c>
      <c r="AE1636" s="6">
        <v>0.08333333333333333</v>
      </c>
      <c r="AF1636" s="7">
        <v>0.0</v>
      </c>
    </row>
    <row r="1637">
      <c r="G1637" s="5"/>
      <c r="H1637" s="6"/>
      <c r="AD1637" s="5">
        <v>44995.0</v>
      </c>
      <c r="AE1637" s="6">
        <v>0.125</v>
      </c>
      <c r="AF1637" s="7">
        <v>0.0</v>
      </c>
    </row>
    <row r="1638">
      <c r="G1638" s="5"/>
      <c r="H1638" s="6"/>
      <c r="AD1638" s="5">
        <v>44995.0</v>
      </c>
      <c r="AE1638" s="6">
        <v>0.16666666666666666</v>
      </c>
      <c r="AF1638" s="7">
        <v>0.0</v>
      </c>
    </row>
    <row r="1639">
      <c r="G1639" s="5"/>
      <c r="H1639" s="6"/>
      <c r="AD1639" s="5">
        <v>44995.0</v>
      </c>
      <c r="AE1639" s="6">
        <v>0.20833333333333334</v>
      </c>
      <c r="AF1639" s="7">
        <v>0.0</v>
      </c>
    </row>
    <row r="1640">
      <c r="G1640" s="5"/>
      <c r="H1640" s="6"/>
      <c r="AD1640" s="5">
        <v>44995.0</v>
      </c>
      <c r="AE1640" s="6">
        <v>0.25</v>
      </c>
      <c r="AF1640" s="7">
        <v>0.0</v>
      </c>
    </row>
    <row r="1641">
      <c r="G1641" s="5"/>
      <c r="H1641" s="6"/>
      <c r="AD1641" s="5">
        <v>44995.0</v>
      </c>
      <c r="AE1641" s="6">
        <v>0.2916666666666667</v>
      </c>
      <c r="AF1641" s="7">
        <v>5382.0</v>
      </c>
    </row>
    <row r="1642">
      <c r="G1642" s="5"/>
      <c r="H1642" s="6"/>
      <c r="AD1642" s="5">
        <v>44995.0</v>
      </c>
      <c r="AE1642" s="6">
        <v>0.3333333333333333</v>
      </c>
      <c r="AF1642" s="7">
        <v>21497.58</v>
      </c>
    </row>
    <row r="1643">
      <c r="G1643" s="5"/>
      <c r="H1643" s="6"/>
      <c r="AD1643" s="5">
        <v>44995.0</v>
      </c>
      <c r="AE1643" s="6">
        <v>0.375</v>
      </c>
      <c r="AF1643" s="7">
        <v>36486.06</v>
      </c>
    </row>
    <row r="1644">
      <c r="G1644" s="5"/>
      <c r="H1644" s="6"/>
      <c r="AD1644" s="5">
        <v>44995.0</v>
      </c>
      <c r="AE1644" s="6">
        <v>0.4166666666666667</v>
      </c>
      <c r="AF1644" s="7">
        <v>49567.44</v>
      </c>
    </row>
    <row r="1645">
      <c r="G1645" s="5"/>
      <c r="H1645" s="6"/>
      <c r="AD1645" s="5">
        <v>44995.0</v>
      </c>
      <c r="AE1645" s="6">
        <v>0.4583333333333333</v>
      </c>
      <c r="AF1645" s="7">
        <v>53919.84</v>
      </c>
    </row>
    <row r="1646">
      <c r="G1646" s="5"/>
      <c r="H1646" s="6"/>
      <c r="AD1646" s="5">
        <v>44995.0</v>
      </c>
      <c r="AE1646" s="6">
        <v>0.5</v>
      </c>
      <c r="AF1646" s="7">
        <v>40620.06</v>
      </c>
    </row>
    <row r="1647">
      <c r="G1647" s="5"/>
      <c r="H1647" s="6"/>
      <c r="AD1647" s="5">
        <v>44995.0</v>
      </c>
      <c r="AE1647" s="6">
        <v>0.5416666666666666</v>
      </c>
      <c r="AF1647" s="7">
        <v>52786.5</v>
      </c>
    </row>
    <row r="1648">
      <c r="G1648" s="5"/>
      <c r="H1648" s="6"/>
      <c r="AD1648" s="5">
        <v>44995.0</v>
      </c>
      <c r="AE1648" s="6">
        <v>0.5833333333333334</v>
      </c>
      <c r="AF1648" s="7">
        <v>46009.08</v>
      </c>
    </row>
    <row r="1649">
      <c r="G1649" s="10"/>
      <c r="H1649" s="6"/>
      <c r="AD1649" s="5">
        <v>44995.0</v>
      </c>
      <c r="AE1649" s="6">
        <v>0.625</v>
      </c>
      <c r="AF1649" s="7">
        <v>38156.04</v>
      </c>
    </row>
    <row r="1650">
      <c r="G1650" s="10"/>
      <c r="H1650" s="6"/>
      <c r="AD1650" s="5">
        <v>44995.0</v>
      </c>
      <c r="AE1650" s="6">
        <v>0.6666666666666666</v>
      </c>
      <c r="AF1650" s="7">
        <v>23538.84</v>
      </c>
    </row>
    <row r="1651">
      <c r="G1651" s="5"/>
      <c r="H1651" s="6"/>
      <c r="AD1651" s="5">
        <v>44995.0</v>
      </c>
      <c r="AE1651" s="6">
        <v>0.7083333333333334</v>
      </c>
      <c r="AF1651" s="7">
        <v>6789.12</v>
      </c>
    </row>
    <row r="1652">
      <c r="G1652" s="5"/>
      <c r="H1652" s="6"/>
      <c r="AD1652" s="5">
        <v>44995.0</v>
      </c>
      <c r="AE1652" s="6">
        <v>0.75</v>
      </c>
      <c r="AF1652" s="7">
        <v>0.0</v>
      </c>
    </row>
    <row r="1653">
      <c r="G1653" s="5"/>
      <c r="H1653" s="6"/>
      <c r="AD1653" s="5">
        <v>44995.0</v>
      </c>
      <c r="AE1653" s="6">
        <v>0.7916666666666666</v>
      </c>
      <c r="AF1653" s="7">
        <v>0.0</v>
      </c>
    </row>
    <row r="1654">
      <c r="G1654" s="5"/>
      <c r="H1654" s="6"/>
      <c r="AD1654" s="5">
        <v>44995.0</v>
      </c>
      <c r="AE1654" s="6">
        <v>0.8333333333333334</v>
      </c>
      <c r="AF1654" s="7">
        <v>0.0</v>
      </c>
    </row>
    <row r="1655">
      <c r="G1655" s="5"/>
      <c r="H1655" s="6"/>
      <c r="AD1655" s="5">
        <v>44995.0</v>
      </c>
      <c r="AE1655" s="6">
        <v>0.875</v>
      </c>
      <c r="AF1655" s="7">
        <v>0.0</v>
      </c>
    </row>
    <row r="1656">
      <c r="G1656" s="10"/>
      <c r="H1656" s="6"/>
      <c r="AD1656" s="5">
        <v>44995.0</v>
      </c>
      <c r="AE1656" s="6">
        <v>0.9166666666666666</v>
      </c>
      <c r="AF1656" s="7">
        <v>0.0</v>
      </c>
    </row>
    <row r="1657">
      <c r="G1657" s="10"/>
      <c r="H1657" s="6"/>
      <c r="AD1657" s="5">
        <v>44995.0</v>
      </c>
      <c r="AE1657" s="6">
        <v>0.9583333333333334</v>
      </c>
      <c r="AF1657" s="7">
        <v>0.0</v>
      </c>
    </row>
    <row r="1658">
      <c r="G1658" s="10"/>
      <c r="H1658" s="6"/>
      <c r="AD1658" s="5">
        <v>44996.0</v>
      </c>
      <c r="AE1658" s="6">
        <v>0.0</v>
      </c>
      <c r="AF1658" s="7">
        <v>0.0</v>
      </c>
    </row>
    <row r="1659">
      <c r="G1659" s="5"/>
      <c r="H1659" s="6"/>
      <c r="AD1659" s="5">
        <v>44996.0</v>
      </c>
      <c r="AE1659" s="6">
        <v>0.041666666666666664</v>
      </c>
      <c r="AF1659" s="7">
        <v>0.0</v>
      </c>
    </row>
    <row r="1660">
      <c r="G1660" s="5"/>
      <c r="H1660" s="6"/>
      <c r="AD1660" s="5">
        <v>44996.0</v>
      </c>
      <c r="AE1660" s="6">
        <v>0.08333333333333333</v>
      </c>
      <c r="AF1660" s="7">
        <v>0.0</v>
      </c>
    </row>
    <row r="1661">
      <c r="G1661" s="5"/>
      <c r="H1661" s="6"/>
      <c r="AD1661" s="5">
        <v>44996.0</v>
      </c>
      <c r="AE1661" s="6">
        <v>0.125</v>
      </c>
      <c r="AF1661" s="7">
        <v>0.0</v>
      </c>
    </row>
    <row r="1662">
      <c r="G1662" s="5"/>
      <c r="H1662" s="6"/>
      <c r="AD1662" s="5">
        <v>44996.0</v>
      </c>
      <c r="AE1662" s="6">
        <v>0.16666666666666666</v>
      </c>
      <c r="AF1662" s="7">
        <v>0.0</v>
      </c>
    </row>
    <row r="1663">
      <c r="G1663" s="5"/>
      <c r="H1663" s="6"/>
      <c r="AD1663" s="5">
        <v>44996.0</v>
      </c>
      <c r="AE1663" s="6">
        <v>0.20833333333333334</v>
      </c>
      <c r="AF1663" s="7">
        <v>0.0</v>
      </c>
    </row>
    <row r="1664">
      <c r="G1664" s="5"/>
      <c r="H1664" s="6"/>
      <c r="AD1664" s="5">
        <v>44996.0</v>
      </c>
      <c r="AE1664" s="6">
        <v>0.25</v>
      </c>
      <c r="AF1664" s="7">
        <v>0.0</v>
      </c>
    </row>
    <row r="1665">
      <c r="G1665" s="5"/>
      <c r="H1665" s="6"/>
      <c r="AD1665" s="5">
        <v>44996.0</v>
      </c>
      <c r="AE1665" s="6">
        <v>0.2916666666666667</v>
      </c>
      <c r="AF1665" s="7">
        <v>5509.14</v>
      </c>
    </row>
    <row r="1666">
      <c r="G1666" s="5"/>
      <c r="H1666" s="6"/>
      <c r="AD1666" s="5">
        <v>44996.0</v>
      </c>
      <c r="AE1666" s="6">
        <v>0.3333333333333333</v>
      </c>
      <c r="AF1666" s="7">
        <v>21775.26</v>
      </c>
    </row>
    <row r="1667">
      <c r="G1667" s="5"/>
      <c r="H1667" s="6"/>
      <c r="AD1667" s="5">
        <v>44996.0</v>
      </c>
      <c r="AE1667" s="6">
        <v>0.375</v>
      </c>
      <c r="AF1667" s="7">
        <v>35934.6</v>
      </c>
    </row>
    <row r="1668">
      <c r="G1668" s="10"/>
      <c r="H1668" s="6"/>
      <c r="AD1668" s="5">
        <v>44996.0</v>
      </c>
      <c r="AE1668" s="6">
        <v>0.4166666666666667</v>
      </c>
      <c r="AF1668" s="7">
        <v>46731.36</v>
      </c>
    </row>
    <row r="1669">
      <c r="G1669" s="10"/>
      <c r="H1669" s="6"/>
      <c r="AD1669" s="5">
        <v>44996.0</v>
      </c>
      <c r="AE1669" s="6">
        <v>0.4583333333333333</v>
      </c>
      <c r="AF1669" s="7">
        <v>53389.44</v>
      </c>
    </row>
    <row r="1670">
      <c r="G1670" s="5"/>
      <c r="H1670" s="6"/>
      <c r="AD1670" s="5">
        <v>44996.0</v>
      </c>
      <c r="AE1670" s="6">
        <v>0.5</v>
      </c>
      <c r="AF1670" s="7">
        <v>52497.9</v>
      </c>
    </row>
    <row r="1671">
      <c r="G1671" s="5"/>
      <c r="H1671" s="6"/>
      <c r="AD1671" s="5">
        <v>44996.0</v>
      </c>
      <c r="AE1671" s="6">
        <v>0.5416666666666666</v>
      </c>
      <c r="AF1671" s="7">
        <v>53278.68</v>
      </c>
    </row>
    <row r="1672">
      <c r="G1672" s="5"/>
      <c r="H1672" s="6"/>
      <c r="AD1672" s="5">
        <v>44996.0</v>
      </c>
      <c r="AE1672" s="6">
        <v>0.5833333333333334</v>
      </c>
      <c r="AF1672" s="7">
        <v>46852.26</v>
      </c>
    </row>
    <row r="1673">
      <c r="G1673" s="5"/>
      <c r="H1673" s="6"/>
      <c r="AD1673" s="5">
        <v>44996.0</v>
      </c>
      <c r="AE1673" s="6">
        <v>0.625</v>
      </c>
      <c r="AF1673" s="7">
        <v>34533.72</v>
      </c>
    </row>
    <row r="1674">
      <c r="G1674" s="10"/>
      <c r="H1674" s="6"/>
      <c r="AD1674" s="5">
        <v>44996.0</v>
      </c>
      <c r="AE1674" s="6">
        <v>0.6666666666666666</v>
      </c>
      <c r="AF1674" s="7">
        <v>23380.5</v>
      </c>
    </row>
    <row r="1675">
      <c r="G1675" s="10"/>
      <c r="H1675" s="6"/>
      <c r="AD1675" s="5">
        <v>44996.0</v>
      </c>
      <c r="AE1675" s="6">
        <v>0.7083333333333334</v>
      </c>
      <c r="AF1675" s="7">
        <v>4221.36</v>
      </c>
    </row>
    <row r="1676">
      <c r="G1676" s="5"/>
      <c r="H1676" s="6"/>
      <c r="AD1676" s="5">
        <v>44996.0</v>
      </c>
      <c r="AE1676" s="6">
        <v>0.75</v>
      </c>
      <c r="AF1676" s="7">
        <v>0.0</v>
      </c>
    </row>
    <row r="1677">
      <c r="G1677" s="5"/>
      <c r="H1677" s="6"/>
      <c r="AD1677" s="5">
        <v>44996.0</v>
      </c>
      <c r="AE1677" s="6">
        <v>0.7916666666666666</v>
      </c>
      <c r="AF1677" s="7">
        <v>0.0</v>
      </c>
    </row>
    <row r="1678">
      <c r="G1678" s="5"/>
      <c r="H1678" s="6"/>
      <c r="AD1678" s="5">
        <v>44996.0</v>
      </c>
      <c r="AE1678" s="6">
        <v>0.8333333333333334</v>
      </c>
      <c r="AF1678" s="7">
        <v>0.0</v>
      </c>
    </row>
    <row r="1679">
      <c r="G1679" s="5"/>
      <c r="H1679" s="6"/>
      <c r="AD1679" s="5">
        <v>44996.0</v>
      </c>
      <c r="AE1679" s="6">
        <v>0.875</v>
      </c>
      <c r="AF1679" s="7">
        <v>0.0</v>
      </c>
    </row>
    <row r="1680">
      <c r="G1680" s="5"/>
      <c r="H1680" s="6"/>
      <c r="AD1680" s="5">
        <v>44996.0</v>
      </c>
      <c r="AE1680" s="6">
        <v>0.9166666666666666</v>
      </c>
      <c r="AF1680" s="7">
        <v>0.0</v>
      </c>
    </row>
    <row r="1681">
      <c r="G1681" s="10"/>
      <c r="H1681" s="6"/>
      <c r="AD1681" s="5">
        <v>44996.0</v>
      </c>
      <c r="AE1681" s="6">
        <v>0.9583333333333334</v>
      </c>
      <c r="AF1681" s="7">
        <v>0.0</v>
      </c>
    </row>
    <row r="1682">
      <c r="G1682" s="10"/>
      <c r="H1682" s="6"/>
      <c r="AD1682" s="5">
        <v>44997.0</v>
      </c>
      <c r="AE1682" s="6">
        <v>0.0</v>
      </c>
      <c r="AF1682" s="7">
        <v>0.0</v>
      </c>
    </row>
    <row r="1683">
      <c r="G1683" s="10"/>
      <c r="H1683" s="6"/>
      <c r="AD1683" s="5">
        <v>44997.0</v>
      </c>
      <c r="AE1683" s="6">
        <v>0.041666666666666664</v>
      </c>
      <c r="AF1683" s="7">
        <v>0.0</v>
      </c>
    </row>
    <row r="1684">
      <c r="G1684" s="10"/>
      <c r="H1684" s="6"/>
      <c r="AD1684" s="5">
        <v>44997.0</v>
      </c>
      <c r="AE1684" s="6">
        <v>0.08333333333333333</v>
      </c>
      <c r="AF1684" s="7">
        <v>0.0</v>
      </c>
    </row>
    <row r="1685">
      <c r="G1685" s="10"/>
      <c r="H1685" s="6"/>
      <c r="AD1685" s="5">
        <v>44997.0</v>
      </c>
      <c r="AE1685" s="6">
        <v>0.125</v>
      </c>
      <c r="AF1685" s="7">
        <v>0.0</v>
      </c>
    </row>
    <row r="1686">
      <c r="G1686" s="10"/>
      <c r="H1686" s="6"/>
      <c r="AD1686" s="5">
        <v>44997.0</v>
      </c>
      <c r="AE1686" s="6">
        <v>0.16666666666666666</v>
      </c>
      <c r="AF1686" s="7">
        <v>0.0</v>
      </c>
    </row>
    <row r="1687">
      <c r="G1687" s="5"/>
      <c r="H1687" s="6"/>
      <c r="AD1687" s="5">
        <v>44997.0</v>
      </c>
      <c r="AE1687" s="6">
        <v>0.20833333333333334</v>
      </c>
      <c r="AF1687" s="7">
        <v>0.0</v>
      </c>
    </row>
    <row r="1688">
      <c r="G1688" s="5"/>
      <c r="H1688" s="6"/>
      <c r="AD1688" s="5">
        <v>44997.0</v>
      </c>
      <c r="AE1688" s="6">
        <v>0.25</v>
      </c>
      <c r="AF1688" s="7">
        <v>0.0</v>
      </c>
    </row>
    <row r="1689">
      <c r="G1689" s="5"/>
      <c r="H1689" s="6"/>
      <c r="AD1689" s="5">
        <v>44997.0</v>
      </c>
      <c r="AE1689" s="6">
        <v>0.2916666666666667</v>
      </c>
      <c r="AF1689" s="7">
        <v>5491.2</v>
      </c>
    </row>
    <row r="1690">
      <c r="G1690" s="10"/>
      <c r="H1690" s="6"/>
      <c r="AD1690" s="5">
        <v>44997.0</v>
      </c>
      <c r="AE1690" s="6">
        <v>0.3333333333333333</v>
      </c>
      <c r="AF1690" s="7">
        <v>22052.16</v>
      </c>
    </row>
    <row r="1691">
      <c r="G1691" s="10"/>
      <c r="H1691" s="6"/>
      <c r="AD1691" s="5">
        <v>44997.0</v>
      </c>
      <c r="AE1691" s="6">
        <v>0.375</v>
      </c>
      <c r="AF1691" s="7">
        <v>31217.16</v>
      </c>
    </row>
    <row r="1692">
      <c r="G1692" s="10"/>
      <c r="H1692" s="6"/>
      <c r="AD1692" s="5">
        <v>44997.0</v>
      </c>
      <c r="AE1692" s="6">
        <v>0.4166666666666667</v>
      </c>
      <c r="AF1692" s="7">
        <v>46635.42</v>
      </c>
    </row>
    <row r="1693">
      <c r="G1693" s="10"/>
      <c r="H1693" s="6"/>
      <c r="AD1693" s="5">
        <v>44997.0</v>
      </c>
      <c r="AE1693" s="6">
        <v>0.4583333333333333</v>
      </c>
      <c r="AF1693" s="7">
        <v>53450.28</v>
      </c>
    </row>
    <row r="1694">
      <c r="G1694" s="10"/>
      <c r="H1694" s="6"/>
      <c r="AD1694" s="5">
        <v>44997.0</v>
      </c>
      <c r="AE1694" s="6">
        <v>0.5</v>
      </c>
      <c r="AF1694" s="7">
        <v>54589.86</v>
      </c>
    </row>
    <row r="1695">
      <c r="G1695" s="10"/>
      <c r="H1695" s="6"/>
      <c r="AD1695" s="5">
        <v>44997.0</v>
      </c>
      <c r="AE1695" s="6">
        <v>0.5416666666666666</v>
      </c>
      <c r="AF1695" s="7">
        <v>53244.36</v>
      </c>
    </row>
    <row r="1696">
      <c r="G1696" s="10"/>
      <c r="H1696" s="6"/>
      <c r="AD1696" s="5">
        <v>44997.0</v>
      </c>
      <c r="AE1696" s="6">
        <v>0.5833333333333334</v>
      </c>
      <c r="AF1696" s="7">
        <v>47349.12</v>
      </c>
    </row>
    <row r="1697">
      <c r="G1697" s="10"/>
      <c r="H1697" s="6"/>
      <c r="AD1697" s="5">
        <v>44997.0</v>
      </c>
      <c r="AE1697" s="6">
        <v>0.625</v>
      </c>
      <c r="AF1697" s="7">
        <v>36751.26</v>
      </c>
    </row>
    <row r="1698">
      <c r="G1698" s="10"/>
      <c r="H1698" s="6"/>
      <c r="AD1698" s="5">
        <v>44997.0</v>
      </c>
      <c r="AE1698" s="6">
        <v>0.6666666666666666</v>
      </c>
      <c r="AF1698" s="7">
        <v>21976.5</v>
      </c>
    </row>
    <row r="1699">
      <c r="G1699" s="10"/>
      <c r="H1699" s="6"/>
      <c r="AD1699" s="5">
        <v>44997.0</v>
      </c>
      <c r="AE1699" s="6">
        <v>0.7083333333333334</v>
      </c>
      <c r="AF1699" s="7">
        <v>3378.18</v>
      </c>
    </row>
    <row r="1700">
      <c r="G1700" s="10"/>
      <c r="H1700" s="6"/>
      <c r="AD1700" s="5">
        <v>44997.0</v>
      </c>
      <c r="AE1700" s="6">
        <v>0.75</v>
      </c>
      <c r="AF1700" s="7">
        <v>0.0</v>
      </c>
    </row>
    <row r="1701">
      <c r="G1701" s="5"/>
      <c r="H1701" s="6"/>
      <c r="AD1701" s="5">
        <v>44997.0</v>
      </c>
      <c r="AE1701" s="6">
        <v>0.7916666666666666</v>
      </c>
      <c r="AF1701" s="7">
        <v>0.0</v>
      </c>
    </row>
    <row r="1702">
      <c r="G1702" s="5"/>
      <c r="H1702" s="6"/>
      <c r="AD1702" s="5">
        <v>44997.0</v>
      </c>
      <c r="AE1702" s="6">
        <v>0.8333333333333334</v>
      </c>
      <c r="AF1702" s="7">
        <v>0.0</v>
      </c>
    </row>
    <row r="1703">
      <c r="G1703" s="5"/>
      <c r="H1703" s="6"/>
      <c r="AD1703" s="5">
        <v>44997.0</v>
      </c>
      <c r="AE1703" s="6">
        <v>0.875</v>
      </c>
      <c r="AF1703" s="7">
        <v>0.0</v>
      </c>
    </row>
    <row r="1704">
      <c r="G1704" s="5"/>
      <c r="H1704" s="6"/>
      <c r="AD1704" s="5">
        <v>44997.0</v>
      </c>
      <c r="AE1704" s="6">
        <v>0.9166666666666666</v>
      </c>
      <c r="AF1704" s="7">
        <v>0.0</v>
      </c>
    </row>
    <row r="1705">
      <c r="G1705" s="5"/>
      <c r="H1705" s="6"/>
      <c r="AD1705" s="5">
        <v>44997.0</v>
      </c>
      <c r="AE1705" s="6">
        <v>0.9583333333333334</v>
      </c>
      <c r="AF1705" s="7">
        <v>0.0</v>
      </c>
    </row>
    <row r="1706">
      <c r="G1706" s="5"/>
      <c r="H1706" s="6"/>
      <c r="AD1706" s="5">
        <v>44998.0</v>
      </c>
      <c r="AE1706" s="6">
        <v>0.0</v>
      </c>
      <c r="AF1706" s="7">
        <v>0.0</v>
      </c>
    </row>
    <row r="1707">
      <c r="G1707" s="10"/>
      <c r="H1707" s="6"/>
      <c r="AD1707" s="5">
        <v>44998.0</v>
      </c>
      <c r="AE1707" s="6">
        <v>0.041666666666666664</v>
      </c>
      <c r="AF1707" s="7">
        <v>0.0</v>
      </c>
    </row>
    <row r="1708">
      <c r="G1708" s="10"/>
      <c r="H1708" s="6"/>
      <c r="AD1708" s="5">
        <v>44998.0</v>
      </c>
      <c r="AE1708" s="6">
        <v>0.08333333333333333</v>
      </c>
      <c r="AF1708" s="7">
        <v>0.0</v>
      </c>
    </row>
    <row r="1709">
      <c r="G1709" s="10"/>
      <c r="H1709" s="6"/>
      <c r="AD1709" s="5">
        <v>44998.0</v>
      </c>
      <c r="AE1709" s="6">
        <v>0.125</v>
      </c>
      <c r="AF1709" s="7">
        <v>0.0</v>
      </c>
    </row>
    <row r="1710">
      <c r="G1710" s="10"/>
      <c r="H1710" s="6"/>
      <c r="AD1710" s="5">
        <v>44998.0</v>
      </c>
      <c r="AE1710" s="6">
        <v>0.16666666666666666</v>
      </c>
      <c r="AF1710" s="7">
        <v>0.0</v>
      </c>
    </row>
    <row r="1711">
      <c r="G1711" s="10"/>
      <c r="H1711" s="6"/>
      <c r="AD1711" s="5">
        <v>44998.0</v>
      </c>
      <c r="AE1711" s="6">
        <v>0.20833333333333334</v>
      </c>
      <c r="AF1711" s="7">
        <v>0.0</v>
      </c>
    </row>
    <row r="1712">
      <c r="G1712" s="10"/>
      <c r="H1712" s="6"/>
      <c r="AD1712" s="5">
        <v>44998.0</v>
      </c>
      <c r="AE1712" s="6">
        <v>0.25</v>
      </c>
      <c r="AF1712" s="7">
        <v>0.0</v>
      </c>
    </row>
    <row r="1713">
      <c r="G1713" s="10"/>
      <c r="H1713" s="6"/>
      <c r="AD1713" s="5">
        <v>44998.0</v>
      </c>
      <c r="AE1713" s="6">
        <v>0.2916666666666667</v>
      </c>
      <c r="AF1713" s="7">
        <v>1394.64</v>
      </c>
    </row>
    <row r="1714">
      <c r="G1714" s="10"/>
      <c r="H1714" s="6"/>
      <c r="AD1714" s="5">
        <v>44998.0</v>
      </c>
      <c r="AE1714" s="6">
        <v>0.3333333333333333</v>
      </c>
      <c r="AF1714" s="7">
        <v>16889.34</v>
      </c>
    </row>
    <row r="1715">
      <c r="G1715" s="5"/>
      <c r="H1715" s="6"/>
      <c r="AD1715" s="5">
        <v>44998.0</v>
      </c>
      <c r="AE1715" s="6">
        <v>0.375</v>
      </c>
      <c r="AF1715" s="7">
        <v>36324.6</v>
      </c>
    </row>
    <row r="1716">
      <c r="G1716" s="5"/>
      <c r="H1716" s="6"/>
      <c r="AD1716" s="5">
        <v>44998.0</v>
      </c>
      <c r="AE1716" s="6">
        <v>0.4166666666666667</v>
      </c>
      <c r="AF1716" s="7">
        <v>45172.92</v>
      </c>
    </row>
    <row r="1717">
      <c r="G1717" s="5"/>
      <c r="H1717" s="6"/>
      <c r="AD1717" s="5">
        <v>44998.0</v>
      </c>
      <c r="AE1717" s="6">
        <v>0.4583333333333333</v>
      </c>
      <c r="AF1717" s="7">
        <v>50682.06</v>
      </c>
    </row>
    <row r="1718">
      <c r="G1718" s="5"/>
      <c r="H1718" s="6"/>
      <c r="AD1718" s="5">
        <v>44998.0</v>
      </c>
      <c r="AE1718" s="6">
        <v>0.5</v>
      </c>
      <c r="AF1718" s="7">
        <v>50377.08</v>
      </c>
    </row>
    <row r="1719">
      <c r="G1719" s="5"/>
      <c r="H1719" s="6"/>
      <c r="AD1719" s="5">
        <v>44998.0</v>
      </c>
      <c r="AE1719" s="6">
        <v>0.5416666666666666</v>
      </c>
      <c r="AF1719" s="7">
        <v>51738.96</v>
      </c>
    </row>
    <row r="1720">
      <c r="G1720" s="10"/>
      <c r="H1720" s="6"/>
      <c r="AD1720" s="5">
        <v>44998.0</v>
      </c>
      <c r="AE1720" s="6">
        <v>0.5833333333333334</v>
      </c>
      <c r="AF1720" s="7">
        <v>47714.16</v>
      </c>
    </row>
    <row r="1721">
      <c r="G1721" s="10"/>
      <c r="H1721" s="6"/>
      <c r="AD1721" s="5">
        <v>44998.0</v>
      </c>
      <c r="AE1721" s="6">
        <v>0.625</v>
      </c>
      <c r="AF1721" s="7">
        <v>36647.52</v>
      </c>
    </row>
    <row r="1722">
      <c r="G1722" s="10"/>
      <c r="H1722" s="6"/>
      <c r="AD1722" s="5">
        <v>44998.0</v>
      </c>
      <c r="AE1722" s="6">
        <v>0.6666666666666666</v>
      </c>
      <c r="AF1722" s="7">
        <v>22766.64</v>
      </c>
    </row>
    <row r="1723">
      <c r="G1723" s="10"/>
      <c r="H1723" s="6"/>
      <c r="AD1723" s="5">
        <v>44998.0</v>
      </c>
      <c r="AE1723" s="6">
        <v>0.7083333333333334</v>
      </c>
      <c r="AF1723" s="7">
        <v>7234.5</v>
      </c>
    </row>
    <row r="1724">
      <c r="G1724" s="5"/>
      <c r="H1724" s="6"/>
      <c r="AD1724" s="5">
        <v>44998.0</v>
      </c>
      <c r="AE1724" s="6">
        <v>0.75</v>
      </c>
      <c r="AF1724" s="7">
        <v>0.0</v>
      </c>
    </row>
    <row r="1725">
      <c r="G1725" s="10"/>
      <c r="H1725" s="6"/>
      <c r="AD1725" s="5">
        <v>44998.0</v>
      </c>
      <c r="AE1725" s="6">
        <v>0.7916666666666666</v>
      </c>
      <c r="AF1725" s="7">
        <v>0.0</v>
      </c>
    </row>
    <row r="1726">
      <c r="G1726" s="10"/>
      <c r="H1726" s="6"/>
      <c r="AD1726" s="5">
        <v>44998.0</v>
      </c>
      <c r="AE1726" s="6">
        <v>0.8333333333333334</v>
      </c>
      <c r="AF1726" s="7">
        <v>0.0</v>
      </c>
    </row>
    <row r="1727">
      <c r="G1727" s="10"/>
      <c r="H1727" s="6"/>
      <c r="AD1727" s="5">
        <v>44998.0</v>
      </c>
      <c r="AE1727" s="6">
        <v>0.875</v>
      </c>
      <c r="AF1727" s="7">
        <v>0.0</v>
      </c>
    </row>
    <row r="1728">
      <c r="G1728" s="5"/>
      <c r="H1728" s="6"/>
      <c r="AD1728" s="5">
        <v>44998.0</v>
      </c>
      <c r="AE1728" s="6">
        <v>0.9166666666666666</v>
      </c>
      <c r="AF1728" s="7">
        <v>0.0</v>
      </c>
    </row>
    <row r="1729">
      <c r="G1729" s="5"/>
      <c r="H1729" s="6"/>
      <c r="AD1729" s="5">
        <v>44998.0</v>
      </c>
      <c r="AE1729" s="6">
        <v>0.9583333333333334</v>
      </c>
      <c r="AF1729" s="7">
        <v>0.0</v>
      </c>
    </row>
    <row r="1730">
      <c r="G1730" s="5"/>
      <c r="H1730" s="6"/>
      <c r="AD1730" s="5">
        <v>44999.0</v>
      </c>
      <c r="AE1730" s="6">
        <v>0.0</v>
      </c>
      <c r="AF1730" s="7">
        <v>0.0</v>
      </c>
    </row>
    <row r="1731">
      <c r="G1731" s="5"/>
      <c r="H1731" s="6"/>
      <c r="AD1731" s="5">
        <v>44999.0</v>
      </c>
      <c r="AE1731" s="6">
        <v>0.041666666666666664</v>
      </c>
      <c r="AF1731" s="7">
        <v>0.0</v>
      </c>
    </row>
    <row r="1732">
      <c r="G1732" s="5"/>
      <c r="H1732" s="6"/>
      <c r="AD1732" s="5">
        <v>44999.0</v>
      </c>
      <c r="AE1732" s="6">
        <v>0.08333333333333333</v>
      </c>
      <c r="AF1732" s="7">
        <v>0.0</v>
      </c>
    </row>
    <row r="1733">
      <c r="G1733" s="5"/>
      <c r="H1733" s="6"/>
      <c r="AD1733" s="5">
        <v>44999.0</v>
      </c>
      <c r="AE1733" s="6">
        <v>0.125</v>
      </c>
      <c r="AF1733" s="7">
        <v>0.0</v>
      </c>
    </row>
    <row r="1734">
      <c r="G1734" s="5"/>
      <c r="H1734" s="6"/>
      <c r="AD1734" s="5">
        <v>44999.0</v>
      </c>
      <c r="AE1734" s="6">
        <v>0.16666666666666666</v>
      </c>
      <c r="AF1734" s="7">
        <v>0.0</v>
      </c>
    </row>
    <row r="1735">
      <c r="G1735" s="5"/>
      <c r="H1735" s="6"/>
      <c r="AD1735" s="5">
        <v>44999.0</v>
      </c>
      <c r="AE1735" s="6">
        <v>0.20833333333333334</v>
      </c>
      <c r="AF1735" s="7">
        <v>0.0</v>
      </c>
    </row>
    <row r="1736">
      <c r="G1736" s="5"/>
      <c r="H1736" s="6"/>
      <c r="AD1736" s="5">
        <v>44999.0</v>
      </c>
      <c r="AE1736" s="6">
        <v>0.25</v>
      </c>
      <c r="AF1736" s="7">
        <v>0.0</v>
      </c>
    </row>
    <row r="1737">
      <c r="G1737" s="5"/>
      <c r="H1737" s="6"/>
      <c r="AD1737" s="5">
        <v>44999.0</v>
      </c>
      <c r="AE1737" s="6">
        <v>0.2916666666666667</v>
      </c>
      <c r="AF1737" s="7">
        <v>3261.18</v>
      </c>
    </row>
    <row r="1738">
      <c r="G1738" s="5"/>
      <c r="H1738" s="6"/>
      <c r="AD1738" s="5">
        <v>44999.0</v>
      </c>
      <c r="AE1738" s="6">
        <v>0.3333333333333333</v>
      </c>
      <c r="AF1738" s="7">
        <v>24557.52</v>
      </c>
    </row>
    <row r="1739">
      <c r="G1739" s="10"/>
      <c r="H1739" s="6"/>
      <c r="AD1739" s="5">
        <v>44999.0</v>
      </c>
      <c r="AE1739" s="6">
        <v>0.375</v>
      </c>
      <c r="AF1739" s="7">
        <v>39524.94</v>
      </c>
    </row>
    <row r="1740">
      <c r="G1740" s="10"/>
      <c r="H1740" s="6"/>
      <c r="AD1740" s="5">
        <v>44999.0</v>
      </c>
      <c r="AE1740" s="6">
        <v>0.4166666666666667</v>
      </c>
      <c r="AF1740" s="7">
        <v>50671.14</v>
      </c>
    </row>
    <row r="1741">
      <c r="G1741" s="10"/>
      <c r="H1741" s="6"/>
      <c r="AD1741" s="5">
        <v>44999.0</v>
      </c>
      <c r="AE1741" s="6">
        <v>0.4583333333333333</v>
      </c>
      <c r="AF1741" s="7">
        <v>57968.82</v>
      </c>
    </row>
    <row r="1742">
      <c r="G1742" s="10"/>
      <c r="H1742" s="6"/>
      <c r="AD1742" s="5">
        <v>44999.0</v>
      </c>
      <c r="AE1742" s="6">
        <v>0.5</v>
      </c>
      <c r="AF1742" s="7">
        <v>59999.16</v>
      </c>
    </row>
    <row r="1743">
      <c r="G1743" s="10"/>
      <c r="H1743" s="6"/>
      <c r="AD1743" s="5">
        <v>44999.0</v>
      </c>
      <c r="AE1743" s="6">
        <v>0.5416666666666666</v>
      </c>
      <c r="AF1743" s="7">
        <v>54483.0</v>
      </c>
    </row>
    <row r="1744">
      <c r="G1744" s="10"/>
      <c r="H1744" s="6"/>
      <c r="AD1744" s="5">
        <v>44999.0</v>
      </c>
      <c r="AE1744" s="6">
        <v>0.5833333333333334</v>
      </c>
      <c r="AF1744" s="7">
        <v>51656.28</v>
      </c>
    </row>
    <row r="1745">
      <c r="G1745" s="10"/>
      <c r="H1745" s="6"/>
      <c r="AD1745" s="5">
        <v>44999.0</v>
      </c>
      <c r="AE1745" s="6">
        <v>0.625</v>
      </c>
      <c r="AF1745" s="7">
        <v>38879.1</v>
      </c>
    </row>
    <row r="1746">
      <c r="G1746" s="10"/>
      <c r="H1746" s="6"/>
      <c r="AD1746" s="5">
        <v>44999.0</v>
      </c>
      <c r="AE1746" s="6">
        <v>0.6666666666666666</v>
      </c>
      <c r="AF1746" s="7">
        <v>22133.28</v>
      </c>
    </row>
    <row r="1747">
      <c r="G1747" s="10"/>
      <c r="H1747" s="6"/>
      <c r="AD1747" s="5">
        <v>44999.0</v>
      </c>
      <c r="AE1747" s="6">
        <v>0.7083333333333334</v>
      </c>
      <c r="AF1747" s="7">
        <v>7971.6</v>
      </c>
    </row>
    <row r="1748">
      <c r="G1748" s="5"/>
      <c r="H1748" s="6"/>
      <c r="AD1748" s="5">
        <v>44999.0</v>
      </c>
      <c r="AE1748" s="6">
        <v>0.75</v>
      </c>
      <c r="AF1748" s="7">
        <v>0.0</v>
      </c>
    </row>
    <row r="1749">
      <c r="G1749" s="5"/>
      <c r="H1749" s="6"/>
      <c r="AD1749" s="5">
        <v>44999.0</v>
      </c>
      <c r="AE1749" s="6">
        <v>0.7916666666666666</v>
      </c>
      <c r="AF1749" s="7">
        <v>0.0</v>
      </c>
    </row>
    <row r="1750">
      <c r="G1750" s="5"/>
      <c r="H1750" s="6"/>
      <c r="AD1750" s="5">
        <v>44999.0</v>
      </c>
      <c r="AE1750" s="6">
        <v>0.8333333333333334</v>
      </c>
      <c r="AF1750" s="7">
        <v>0.0</v>
      </c>
    </row>
    <row r="1751">
      <c r="G1751" s="5"/>
      <c r="H1751" s="6"/>
      <c r="AD1751" s="5">
        <v>44999.0</v>
      </c>
      <c r="AE1751" s="6">
        <v>0.875</v>
      </c>
      <c r="AF1751" s="7">
        <v>0.0</v>
      </c>
    </row>
    <row r="1752">
      <c r="G1752" s="5"/>
      <c r="H1752" s="6"/>
      <c r="AD1752" s="5">
        <v>44999.0</v>
      </c>
      <c r="AE1752" s="6">
        <v>0.9166666666666666</v>
      </c>
      <c r="AF1752" s="7">
        <v>0.0</v>
      </c>
    </row>
    <row r="1753">
      <c r="G1753" s="10"/>
      <c r="H1753" s="6"/>
      <c r="AD1753" s="5">
        <v>44999.0</v>
      </c>
      <c r="AE1753" s="6">
        <v>0.9583333333333334</v>
      </c>
      <c r="AF1753" s="7">
        <v>0.0</v>
      </c>
    </row>
    <row r="1754">
      <c r="G1754" s="10"/>
      <c r="H1754" s="6"/>
      <c r="AD1754" s="5">
        <v>45000.0</v>
      </c>
      <c r="AE1754" s="6">
        <v>0.0</v>
      </c>
      <c r="AF1754" s="7">
        <v>0.0</v>
      </c>
    </row>
    <row r="1755">
      <c r="G1755" s="10"/>
      <c r="H1755" s="6"/>
      <c r="AD1755" s="5">
        <v>45000.0</v>
      </c>
      <c r="AE1755" s="6">
        <v>0.041666666666666664</v>
      </c>
      <c r="AF1755" s="7">
        <v>0.0</v>
      </c>
    </row>
    <row r="1756">
      <c r="G1756" s="5"/>
      <c r="H1756" s="6"/>
      <c r="AD1756" s="5">
        <v>45000.0</v>
      </c>
      <c r="AE1756" s="6">
        <v>0.08333333333333333</v>
      </c>
      <c r="AF1756" s="7">
        <v>0.0</v>
      </c>
    </row>
    <row r="1757">
      <c r="G1757" s="5"/>
      <c r="H1757" s="6"/>
      <c r="AD1757" s="5">
        <v>45000.0</v>
      </c>
      <c r="AE1757" s="6">
        <v>0.125</v>
      </c>
      <c r="AF1757" s="7">
        <v>0.0</v>
      </c>
    </row>
    <row r="1758">
      <c r="G1758" s="5"/>
      <c r="H1758" s="6"/>
      <c r="AD1758" s="5">
        <v>45000.0</v>
      </c>
      <c r="AE1758" s="6">
        <v>0.16666666666666666</v>
      </c>
      <c r="AF1758" s="7">
        <v>0.0</v>
      </c>
    </row>
    <row r="1759">
      <c r="G1759" s="5"/>
      <c r="H1759" s="6"/>
      <c r="AD1759" s="5">
        <v>45000.0</v>
      </c>
      <c r="AE1759" s="6">
        <v>0.20833333333333334</v>
      </c>
      <c r="AF1759" s="7">
        <v>0.0</v>
      </c>
    </row>
    <row r="1760">
      <c r="G1760" s="10"/>
      <c r="H1760" s="6"/>
      <c r="AD1760" s="5">
        <v>45000.0</v>
      </c>
      <c r="AE1760" s="6">
        <v>0.25</v>
      </c>
      <c r="AF1760" s="7">
        <v>0.0</v>
      </c>
    </row>
    <row r="1761">
      <c r="G1761" s="10"/>
      <c r="H1761" s="6"/>
      <c r="AD1761" s="5">
        <v>45000.0</v>
      </c>
      <c r="AE1761" s="6">
        <v>0.2916666666666667</v>
      </c>
      <c r="AF1761" s="7">
        <v>6197.88</v>
      </c>
    </row>
    <row r="1762">
      <c r="G1762" s="10"/>
      <c r="H1762" s="6"/>
      <c r="AD1762" s="5">
        <v>45000.0</v>
      </c>
      <c r="AE1762" s="6">
        <v>0.3333333333333333</v>
      </c>
      <c r="AF1762" s="7">
        <v>23942.1</v>
      </c>
    </row>
    <row r="1763">
      <c r="G1763" s="5"/>
      <c r="H1763" s="6"/>
      <c r="AD1763" s="5">
        <v>45000.0</v>
      </c>
      <c r="AE1763" s="6">
        <v>0.375</v>
      </c>
      <c r="AF1763" s="7">
        <v>38592.06</v>
      </c>
    </row>
    <row r="1764">
      <c r="G1764" s="5"/>
      <c r="H1764" s="6"/>
      <c r="AD1764" s="5">
        <v>45000.0</v>
      </c>
      <c r="AE1764" s="6">
        <v>0.4166666666666667</v>
      </c>
      <c r="AF1764" s="7">
        <v>49514.4</v>
      </c>
    </row>
    <row r="1765">
      <c r="G1765" s="5"/>
      <c r="H1765" s="6"/>
      <c r="AD1765" s="5">
        <v>45000.0</v>
      </c>
      <c r="AE1765" s="6">
        <v>0.4583333333333333</v>
      </c>
      <c r="AF1765" s="7">
        <v>56223.96</v>
      </c>
    </row>
    <row r="1766">
      <c r="G1766" s="5"/>
      <c r="H1766" s="6"/>
      <c r="AD1766" s="5">
        <v>45000.0</v>
      </c>
      <c r="AE1766" s="6">
        <v>0.5</v>
      </c>
      <c r="AF1766" s="7">
        <v>59393.1</v>
      </c>
    </row>
    <row r="1767">
      <c r="G1767" s="10"/>
      <c r="H1767" s="6"/>
      <c r="AD1767" s="5">
        <v>45000.0</v>
      </c>
      <c r="AE1767" s="6">
        <v>0.5416666666666666</v>
      </c>
      <c r="AF1767" s="7">
        <v>56213.82</v>
      </c>
    </row>
    <row r="1768">
      <c r="G1768" s="10"/>
      <c r="H1768" s="6"/>
      <c r="AD1768" s="5">
        <v>45000.0</v>
      </c>
      <c r="AE1768" s="6">
        <v>0.5833333333333334</v>
      </c>
      <c r="AF1768" s="7">
        <v>49094.76</v>
      </c>
    </row>
    <row r="1769">
      <c r="G1769" s="10"/>
      <c r="H1769" s="6"/>
      <c r="AD1769" s="5">
        <v>45000.0</v>
      </c>
      <c r="AE1769" s="6">
        <v>0.625</v>
      </c>
      <c r="AF1769" s="7">
        <v>38083.5</v>
      </c>
    </row>
    <row r="1770">
      <c r="G1770" s="10"/>
      <c r="H1770" s="6"/>
      <c r="AD1770" s="5">
        <v>45000.0</v>
      </c>
      <c r="AE1770" s="6">
        <v>0.6666666666666666</v>
      </c>
      <c r="AF1770" s="7">
        <v>22570.86</v>
      </c>
    </row>
    <row r="1771">
      <c r="G1771" s="10"/>
      <c r="H1771" s="6"/>
      <c r="AD1771" s="5">
        <v>45000.0</v>
      </c>
      <c r="AE1771" s="6">
        <v>0.7083333333333334</v>
      </c>
      <c r="AF1771" s="7">
        <v>6585.54</v>
      </c>
    </row>
    <row r="1772">
      <c r="G1772" s="5"/>
      <c r="H1772" s="6"/>
      <c r="AD1772" s="5">
        <v>45000.0</v>
      </c>
      <c r="AE1772" s="6">
        <v>0.75</v>
      </c>
      <c r="AF1772" s="7">
        <v>0.0</v>
      </c>
    </row>
    <row r="1773">
      <c r="G1773" s="5"/>
      <c r="H1773" s="6"/>
      <c r="AD1773" s="5">
        <v>45000.0</v>
      </c>
      <c r="AE1773" s="6">
        <v>0.7916666666666666</v>
      </c>
      <c r="AF1773" s="7">
        <v>0.0</v>
      </c>
    </row>
    <row r="1774">
      <c r="G1774" s="5"/>
      <c r="H1774" s="6"/>
      <c r="AD1774" s="5">
        <v>45000.0</v>
      </c>
      <c r="AE1774" s="6">
        <v>0.8333333333333334</v>
      </c>
      <c r="AF1774" s="7">
        <v>0.0</v>
      </c>
    </row>
    <row r="1775">
      <c r="G1775" s="5"/>
      <c r="H1775" s="6"/>
      <c r="AD1775" s="5">
        <v>45000.0</v>
      </c>
      <c r="AE1775" s="6">
        <v>0.875</v>
      </c>
      <c r="AF1775" s="7">
        <v>0.0</v>
      </c>
    </row>
    <row r="1776">
      <c r="G1776" s="5"/>
      <c r="H1776" s="6"/>
      <c r="AD1776" s="5">
        <v>45000.0</v>
      </c>
      <c r="AE1776" s="6">
        <v>0.9166666666666666</v>
      </c>
      <c r="AF1776" s="7">
        <v>0.0</v>
      </c>
    </row>
    <row r="1777">
      <c r="G1777" s="10"/>
      <c r="H1777" s="6"/>
      <c r="AD1777" s="5">
        <v>45000.0</v>
      </c>
      <c r="AE1777" s="6">
        <v>0.9583333333333334</v>
      </c>
      <c r="AF1777" s="7">
        <v>0.0</v>
      </c>
    </row>
    <row r="1778">
      <c r="G1778" s="5"/>
      <c r="H1778" s="6"/>
      <c r="AD1778" s="5">
        <v>45001.0</v>
      </c>
      <c r="AE1778" s="6">
        <v>0.0</v>
      </c>
      <c r="AF1778" s="7">
        <v>0.0</v>
      </c>
    </row>
    <row r="1779">
      <c r="G1779" s="5"/>
      <c r="H1779" s="6"/>
      <c r="AD1779" s="5">
        <v>45001.0</v>
      </c>
      <c r="AE1779" s="6">
        <v>0.041666666666666664</v>
      </c>
      <c r="AF1779" s="7">
        <v>0.0</v>
      </c>
    </row>
    <row r="1780">
      <c r="G1780" s="5"/>
      <c r="H1780" s="6"/>
      <c r="AD1780" s="5">
        <v>45001.0</v>
      </c>
      <c r="AE1780" s="6">
        <v>0.08333333333333333</v>
      </c>
      <c r="AF1780" s="7">
        <v>0.0</v>
      </c>
    </row>
    <row r="1781">
      <c r="G1781" s="10"/>
      <c r="H1781" s="6"/>
      <c r="AD1781" s="5">
        <v>45001.0</v>
      </c>
      <c r="AE1781" s="6">
        <v>0.125</v>
      </c>
      <c r="AF1781" s="7">
        <v>0.0</v>
      </c>
    </row>
    <row r="1782">
      <c r="G1782" s="10"/>
      <c r="H1782" s="6"/>
      <c r="AD1782" s="5">
        <v>45001.0</v>
      </c>
      <c r="AE1782" s="6">
        <v>0.16666666666666666</v>
      </c>
      <c r="AF1782" s="7">
        <v>0.0</v>
      </c>
    </row>
    <row r="1783">
      <c r="G1783" s="10"/>
      <c r="H1783" s="6"/>
      <c r="AD1783" s="5">
        <v>45001.0</v>
      </c>
      <c r="AE1783" s="6">
        <v>0.20833333333333334</v>
      </c>
      <c r="AF1783" s="7">
        <v>0.0</v>
      </c>
    </row>
    <row r="1784">
      <c r="G1784" s="10"/>
      <c r="H1784" s="6"/>
      <c r="AD1784" s="5">
        <v>45001.0</v>
      </c>
      <c r="AE1784" s="6">
        <v>0.25</v>
      </c>
      <c r="AF1784" s="7">
        <v>0.0</v>
      </c>
    </row>
    <row r="1785">
      <c r="G1785" s="10"/>
      <c r="H1785" s="6"/>
      <c r="AD1785" s="5">
        <v>45001.0</v>
      </c>
      <c r="AE1785" s="6">
        <v>0.2916666666666667</v>
      </c>
      <c r="AF1785" s="7">
        <v>7190.04</v>
      </c>
    </row>
    <row r="1786">
      <c r="G1786" s="10"/>
      <c r="H1786" s="6"/>
      <c r="AD1786" s="5">
        <v>45001.0</v>
      </c>
      <c r="AE1786" s="6">
        <v>0.3333333333333333</v>
      </c>
      <c r="AF1786" s="7">
        <v>24194.82</v>
      </c>
    </row>
    <row r="1787">
      <c r="G1787" s="10"/>
      <c r="H1787" s="6"/>
      <c r="AD1787" s="5">
        <v>45001.0</v>
      </c>
      <c r="AE1787" s="6">
        <v>0.375</v>
      </c>
      <c r="AF1787" s="7">
        <v>38901.72</v>
      </c>
    </row>
    <row r="1788">
      <c r="G1788" s="10"/>
      <c r="H1788" s="6"/>
      <c r="AD1788" s="5">
        <v>45001.0</v>
      </c>
      <c r="AE1788" s="6">
        <v>0.4166666666666667</v>
      </c>
      <c r="AF1788" s="7">
        <v>49647.0</v>
      </c>
    </row>
    <row r="1789">
      <c r="G1789" s="10"/>
      <c r="H1789" s="6"/>
      <c r="AD1789" s="5">
        <v>45001.0</v>
      </c>
      <c r="AE1789" s="6">
        <v>0.4583333333333333</v>
      </c>
      <c r="AF1789" s="7">
        <v>56273.88</v>
      </c>
    </row>
    <row r="1790">
      <c r="G1790" s="10"/>
      <c r="H1790" s="6"/>
      <c r="AD1790" s="5">
        <v>45001.0</v>
      </c>
      <c r="AE1790" s="6">
        <v>0.5</v>
      </c>
      <c r="AF1790" s="7">
        <v>59148.96</v>
      </c>
    </row>
    <row r="1791">
      <c r="G1791" s="10"/>
      <c r="H1791" s="6"/>
      <c r="AD1791" s="5">
        <v>45001.0</v>
      </c>
      <c r="AE1791" s="6">
        <v>0.5416666666666666</v>
      </c>
      <c r="AF1791" s="7">
        <v>56182.62</v>
      </c>
    </row>
    <row r="1792">
      <c r="G1792" s="10"/>
      <c r="H1792" s="6"/>
      <c r="AD1792" s="5">
        <v>45001.0</v>
      </c>
      <c r="AE1792" s="6">
        <v>0.5833333333333334</v>
      </c>
      <c r="AF1792" s="7">
        <v>47676.72</v>
      </c>
    </row>
    <row r="1793">
      <c r="G1793" s="10"/>
      <c r="H1793" s="6"/>
      <c r="AD1793" s="5">
        <v>45001.0</v>
      </c>
      <c r="AE1793" s="6">
        <v>0.625</v>
      </c>
      <c r="AF1793" s="7">
        <v>38819.04</v>
      </c>
    </row>
    <row r="1794">
      <c r="G1794" s="5"/>
      <c r="H1794" s="6"/>
      <c r="AD1794" s="5">
        <v>45001.0</v>
      </c>
      <c r="AE1794" s="6">
        <v>0.6666666666666666</v>
      </c>
      <c r="AF1794" s="7">
        <v>25019.28</v>
      </c>
    </row>
    <row r="1795">
      <c r="G1795" s="10"/>
      <c r="H1795" s="6"/>
      <c r="AD1795" s="5">
        <v>45001.0</v>
      </c>
      <c r="AE1795" s="6">
        <v>0.7083333333333334</v>
      </c>
      <c r="AF1795" s="7">
        <v>2523.3</v>
      </c>
    </row>
    <row r="1796">
      <c r="G1796" s="10"/>
      <c r="H1796" s="6"/>
      <c r="AD1796" s="5">
        <v>45001.0</v>
      </c>
      <c r="AE1796" s="6">
        <v>0.75</v>
      </c>
      <c r="AF1796" s="7">
        <v>0.0</v>
      </c>
    </row>
    <row r="1797">
      <c r="G1797" s="10"/>
      <c r="H1797" s="6"/>
      <c r="AD1797" s="5">
        <v>45001.0</v>
      </c>
      <c r="AE1797" s="6">
        <v>0.7916666666666666</v>
      </c>
      <c r="AF1797" s="7">
        <v>0.0</v>
      </c>
    </row>
    <row r="1798">
      <c r="G1798" s="5"/>
      <c r="H1798" s="6"/>
      <c r="AD1798" s="5">
        <v>45001.0</v>
      </c>
      <c r="AE1798" s="6">
        <v>0.8333333333333334</v>
      </c>
      <c r="AF1798" s="7">
        <v>0.0</v>
      </c>
    </row>
    <row r="1799">
      <c r="G1799" s="5"/>
      <c r="H1799" s="6"/>
      <c r="AD1799" s="5">
        <v>45001.0</v>
      </c>
      <c r="AE1799" s="6">
        <v>0.875</v>
      </c>
      <c r="AF1799" s="7">
        <v>0.0</v>
      </c>
    </row>
    <row r="1800">
      <c r="G1800" s="10"/>
      <c r="H1800" s="6"/>
      <c r="AD1800" s="5">
        <v>45001.0</v>
      </c>
      <c r="AE1800" s="6">
        <v>0.9166666666666666</v>
      </c>
      <c r="AF1800" s="7">
        <v>0.0</v>
      </c>
    </row>
    <row r="1801">
      <c r="G1801" s="10"/>
      <c r="H1801" s="6"/>
      <c r="AD1801" s="5">
        <v>45001.0</v>
      </c>
      <c r="AE1801" s="6">
        <v>0.9583333333333334</v>
      </c>
      <c r="AF1801" s="7">
        <v>0.0</v>
      </c>
    </row>
    <row r="1802">
      <c r="G1802" s="5"/>
      <c r="H1802" s="6"/>
      <c r="AD1802" s="5">
        <v>45002.0</v>
      </c>
      <c r="AE1802" s="6">
        <v>0.0</v>
      </c>
      <c r="AF1802" s="7">
        <v>0.0</v>
      </c>
    </row>
    <row r="1803">
      <c r="G1803" s="5"/>
      <c r="H1803" s="6"/>
      <c r="AD1803" s="5">
        <v>45002.0</v>
      </c>
      <c r="AE1803" s="6">
        <v>0.041666666666666664</v>
      </c>
      <c r="AF1803" s="7">
        <v>0.0</v>
      </c>
    </row>
    <row r="1804">
      <c r="G1804" s="5"/>
      <c r="H1804" s="6"/>
      <c r="AD1804" s="5">
        <v>45002.0</v>
      </c>
      <c r="AE1804" s="6">
        <v>0.08333333333333333</v>
      </c>
      <c r="AF1804" s="7">
        <v>0.0</v>
      </c>
    </row>
    <row r="1805">
      <c r="G1805" s="5"/>
      <c r="H1805" s="6"/>
      <c r="AD1805" s="5">
        <v>45002.0</v>
      </c>
      <c r="AE1805" s="6">
        <v>0.125</v>
      </c>
      <c r="AF1805" s="7">
        <v>0.0</v>
      </c>
    </row>
    <row r="1806">
      <c r="G1806" s="5"/>
      <c r="H1806" s="6"/>
      <c r="AD1806" s="5">
        <v>45002.0</v>
      </c>
      <c r="AE1806" s="6">
        <v>0.16666666666666666</v>
      </c>
      <c r="AF1806" s="7">
        <v>0.0</v>
      </c>
    </row>
    <row r="1807">
      <c r="G1807" s="5"/>
      <c r="H1807" s="6"/>
      <c r="AD1807" s="5">
        <v>45002.0</v>
      </c>
      <c r="AE1807" s="6">
        <v>0.20833333333333334</v>
      </c>
      <c r="AF1807" s="7">
        <v>0.0</v>
      </c>
    </row>
    <row r="1808">
      <c r="G1808" s="5"/>
      <c r="H1808" s="6"/>
      <c r="AD1808" s="5">
        <v>45002.0</v>
      </c>
      <c r="AE1808" s="6">
        <v>0.25</v>
      </c>
      <c r="AF1808" s="7">
        <v>0.0</v>
      </c>
    </row>
    <row r="1809">
      <c r="G1809" s="10"/>
      <c r="H1809" s="6"/>
      <c r="AD1809" s="5">
        <v>45002.0</v>
      </c>
      <c r="AE1809" s="6">
        <v>0.2916666666666667</v>
      </c>
      <c r="AF1809" s="7">
        <v>798.72</v>
      </c>
    </row>
    <row r="1810">
      <c r="G1810" s="10"/>
      <c r="H1810" s="6"/>
      <c r="AD1810" s="5">
        <v>45002.0</v>
      </c>
      <c r="AE1810" s="6">
        <v>0.3333333333333333</v>
      </c>
      <c r="AF1810" s="7">
        <v>7836.66</v>
      </c>
    </row>
    <row r="1811">
      <c r="G1811" s="10"/>
      <c r="H1811" s="6"/>
      <c r="AD1811" s="5">
        <v>45002.0</v>
      </c>
      <c r="AE1811" s="6">
        <v>0.375</v>
      </c>
      <c r="AF1811" s="7">
        <v>13341.9</v>
      </c>
    </row>
    <row r="1812">
      <c r="G1812" s="10"/>
      <c r="H1812" s="6"/>
      <c r="AD1812" s="5">
        <v>45002.0</v>
      </c>
      <c r="AE1812" s="6">
        <v>0.4166666666666667</v>
      </c>
      <c r="AF1812" s="7">
        <v>20847.06</v>
      </c>
    </row>
    <row r="1813">
      <c r="G1813" s="10"/>
      <c r="H1813" s="6"/>
      <c r="AD1813" s="5">
        <v>45002.0</v>
      </c>
      <c r="AE1813" s="6">
        <v>0.4583333333333333</v>
      </c>
      <c r="AF1813" s="7">
        <v>58081.92</v>
      </c>
    </row>
    <row r="1814">
      <c r="G1814" s="10"/>
      <c r="H1814" s="6"/>
      <c r="AD1814" s="5">
        <v>45002.0</v>
      </c>
      <c r="AE1814" s="6">
        <v>0.5</v>
      </c>
      <c r="AF1814" s="7">
        <v>59405.58</v>
      </c>
    </row>
    <row r="1815">
      <c r="G1815" s="10"/>
      <c r="H1815" s="6"/>
      <c r="AD1815" s="5">
        <v>45002.0</v>
      </c>
      <c r="AE1815" s="6">
        <v>0.5416666666666666</v>
      </c>
      <c r="AF1815" s="7">
        <v>56436.12</v>
      </c>
    </row>
    <row r="1816">
      <c r="G1816" s="10"/>
      <c r="H1816" s="6"/>
      <c r="AD1816" s="5">
        <v>45002.0</v>
      </c>
      <c r="AE1816" s="6">
        <v>0.5833333333333334</v>
      </c>
      <c r="AF1816" s="7">
        <v>49391.16</v>
      </c>
    </row>
    <row r="1817">
      <c r="G1817" s="10"/>
      <c r="H1817" s="6"/>
      <c r="AD1817" s="5">
        <v>45002.0</v>
      </c>
      <c r="AE1817" s="6">
        <v>0.625</v>
      </c>
      <c r="AF1817" s="7">
        <v>38323.74</v>
      </c>
    </row>
    <row r="1818">
      <c r="G1818" s="5"/>
      <c r="H1818" s="6"/>
      <c r="AD1818" s="5">
        <v>45002.0</v>
      </c>
      <c r="AE1818" s="6">
        <v>0.6666666666666666</v>
      </c>
      <c r="AF1818" s="7">
        <v>23372.7</v>
      </c>
    </row>
    <row r="1819">
      <c r="G1819" s="5"/>
      <c r="H1819" s="6"/>
      <c r="AD1819" s="5">
        <v>45002.0</v>
      </c>
      <c r="AE1819" s="6">
        <v>0.7083333333333334</v>
      </c>
      <c r="AF1819" s="7">
        <v>8076.12</v>
      </c>
    </row>
    <row r="1820">
      <c r="G1820" s="10"/>
      <c r="H1820" s="6"/>
      <c r="AD1820" s="5">
        <v>45002.0</v>
      </c>
      <c r="AE1820" s="6">
        <v>0.75</v>
      </c>
      <c r="AF1820" s="7">
        <v>0.0</v>
      </c>
    </row>
    <row r="1821">
      <c r="G1821" s="10"/>
      <c r="H1821" s="6"/>
      <c r="AD1821" s="5">
        <v>45002.0</v>
      </c>
      <c r="AE1821" s="6">
        <v>0.7916666666666666</v>
      </c>
      <c r="AF1821" s="7">
        <v>0.0</v>
      </c>
    </row>
    <row r="1822">
      <c r="G1822" s="10"/>
      <c r="H1822" s="6"/>
      <c r="AD1822" s="5">
        <v>45002.0</v>
      </c>
      <c r="AE1822" s="6">
        <v>0.8333333333333334</v>
      </c>
      <c r="AF1822" s="7">
        <v>0.0</v>
      </c>
    </row>
    <row r="1823">
      <c r="G1823" s="10"/>
      <c r="H1823" s="6"/>
      <c r="AD1823" s="5">
        <v>45002.0</v>
      </c>
      <c r="AE1823" s="6">
        <v>0.875</v>
      </c>
      <c r="AF1823" s="7">
        <v>0.0</v>
      </c>
    </row>
    <row r="1824">
      <c r="G1824" s="10"/>
      <c r="H1824" s="6"/>
      <c r="AD1824" s="5">
        <v>45002.0</v>
      </c>
      <c r="AE1824" s="6">
        <v>0.9166666666666666</v>
      </c>
      <c r="AF1824" s="7">
        <v>0.0</v>
      </c>
    </row>
    <row r="1825">
      <c r="G1825" s="10"/>
      <c r="H1825" s="6"/>
      <c r="AD1825" s="5">
        <v>45002.0</v>
      </c>
      <c r="AE1825" s="6">
        <v>0.9583333333333334</v>
      </c>
      <c r="AF1825" s="7">
        <v>0.0</v>
      </c>
    </row>
    <row r="1826">
      <c r="G1826" s="10"/>
      <c r="H1826" s="6"/>
      <c r="AD1826" s="5">
        <v>45003.0</v>
      </c>
      <c r="AE1826" s="6">
        <v>0.0</v>
      </c>
      <c r="AF1826" s="7">
        <v>0.0</v>
      </c>
    </row>
    <row r="1827">
      <c r="G1827" s="5"/>
      <c r="H1827" s="6"/>
      <c r="AD1827" s="5">
        <v>45003.0</v>
      </c>
      <c r="AE1827" s="6">
        <v>0.041666666666666664</v>
      </c>
      <c r="AF1827" s="7">
        <v>0.0</v>
      </c>
    </row>
    <row r="1828">
      <c r="G1828" s="5"/>
      <c r="H1828" s="6"/>
      <c r="AD1828" s="5">
        <v>45003.0</v>
      </c>
      <c r="AE1828" s="6">
        <v>0.08333333333333333</v>
      </c>
      <c r="AF1828" s="7">
        <v>0.0</v>
      </c>
    </row>
    <row r="1829">
      <c r="G1829" s="10"/>
      <c r="H1829" s="6"/>
      <c r="AD1829" s="5">
        <v>45003.0</v>
      </c>
      <c r="AE1829" s="6">
        <v>0.125</v>
      </c>
      <c r="AF1829" s="7">
        <v>0.0</v>
      </c>
    </row>
    <row r="1830">
      <c r="G1830" s="10"/>
      <c r="H1830" s="6"/>
      <c r="AD1830" s="5">
        <v>45003.0</v>
      </c>
      <c r="AE1830" s="6">
        <v>0.16666666666666666</v>
      </c>
      <c r="AF1830" s="7">
        <v>0.0</v>
      </c>
    </row>
    <row r="1831">
      <c r="G1831" s="10"/>
      <c r="H1831" s="6"/>
      <c r="AD1831" s="5">
        <v>45003.0</v>
      </c>
      <c r="AE1831" s="6">
        <v>0.20833333333333334</v>
      </c>
      <c r="AF1831" s="7">
        <v>0.0</v>
      </c>
    </row>
    <row r="1832">
      <c r="G1832" s="10"/>
      <c r="H1832" s="6"/>
      <c r="AD1832" s="5">
        <v>45003.0</v>
      </c>
      <c r="AE1832" s="6">
        <v>0.25</v>
      </c>
      <c r="AF1832" s="7">
        <v>0.0</v>
      </c>
    </row>
    <row r="1833">
      <c r="G1833" s="10"/>
      <c r="H1833" s="6"/>
      <c r="AD1833" s="5">
        <v>45003.0</v>
      </c>
      <c r="AE1833" s="6">
        <v>0.2916666666666667</v>
      </c>
      <c r="AF1833" s="7">
        <v>8073.0</v>
      </c>
    </row>
    <row r="1834">
      <c r="G1834" s="10"/>
      <c r="H1834" s="6"/>
      <c r="AD1834" s="5">
        <v>45003.0</v>
      </c>
      <c r="AE1834" s="6">
        <v>0.3333333333333333</v>
      </c>
      <c r="AF1834" s="7">
        <v>22764.3</v>
      </c>
    </row>
    <row r="1835">
      <c r="G1835" s="10"/>
      <c r="H1835" s="6"/>
      <c r="AD1835" s="5">
        <v>45003.0</v>
      </c>
      <c r="AE1835" s="6">
        <v>0.375</v>
      </c>
      <c r="AF1835" s="7">
        <v>38641.2</v>
      </c>
    </row>
    <row r="1836">
      <c r="G1836" s="10"/>
      <c r="H1836" s="6"/>
      <c r="AD1836" s="5">
        <v>45003.0</v>
      </c>
      <c r="AE1836" s="6">
        <v>0.4166666666666667</v>
      </c>
      <c r="AF1836" s="7">
        <v>38342.46</v>
      </c>
    </row>
    <row r="1837">
      <c r="G1837" s="10"/>
      <c r="H1837" s="6"/>
      <c r="AD1837" s="5">
        <v>45003.0</v>
      </c>
      <c r="AE1837" s="6">
        <v>0.4583333333333333</v>
      </c>
      <c r="AF1837" s="7">
        <v>30553.38</v>
      </c>
    </row>
    <row r="1838">
      <c r="G1838" s="10"/>
      <c r="H1838" s="6"/>
      <c r="AD1838" s="5">
        <v>45003.0</v>
      </c>
      <c r="AE1838" s="6">
        <v>0.5</v>
      </c>
      <c r="AF1838" s="7">
        <v>58914.96</v>
      </c>
    </row>
    <row r="1839">
      <c r="G1839" s="10"/>
      <c r="H1839" s="6"/>
      <c r="AD1839" s="5">
        <v>45003.0</v>
      </c>
      <c r="AE1839" s="6">
        <v>0.5416666666666666</v>
      </c>
      <c r="AF1839" s="7">
        <v>55783.26</v>
      </c>
    </row>
    <row r="1840">
      <c r="G1840" s="5"/>
      <c r="H1840" s="6"/>
      <c r="AD1840" s="5">
        <v>45003.0</v>
      </c>
      <c r="AE1840" s="6">
        <v>0.5833333333333334</v>
      </c>
      <c r="AF1840" s="7">
        <v>44003.7</v>
      </c>
    </row>
    <row r="1841">
      <c r="G1841" s="5"/>
      <c r="H1841" s="6"/>
      <c r="AD1841" s="5">
        <v>45003.0</v>
      </c>
      <c r="AE1841" s="6">
        <v>0.625</v>
      </c>
      <c r="AF1841" s="7">
        <v>38269.14</v>
      </c>
    </row>
    <row r="1842">
      <c r="G1842" s="5"/>
      <c r="H1842" s="6"/>
      <c r="AD1842" s="5">
        <v>45003.0</v>
      </c>
      <c r="AE1842" s="6">
        <v>0.6666666666666666</v>
      </c>
      <c r="AF1842" s="7">
        <v>24282.18</v>
      </c>
    </row>
    <row r="1843">
      <c r="G1843" s="5"/>
      <c r="H1843" s="6"/>
      <c r="AD1843" s="5">
        <v>45003.0</v>
      </c>
      <c r="AE1843" s="6">
        <v>0.7083333333333334</v>
      </c>
      <c r="AF1843" s="7">
        <v>8146.32</v>
      </c>
    </row>
    <row r="1844">
      <c r="G1844" s="10"/>
      <c r="H1844" s="6"/>
      <c r="AD1844" s="5">
        <v>45003.0</v>
      </c>
      <c r="AE1844" s="6">
        <v>0.75</v>
      </c>
      <c r="AF1844" s="7">
        <v>0.0</v>
      </c>
    </row>
    <row r="1845">
      <c r="G1845" s="10"/>
      <c r="H1845" s="6"/>
      <c r="AD1845" s="5">
        <v>45003.0</v>
      </c>
      <c r="AE1845" s="6">
        <v>0.7916666666666666</v>
      </c>
      <c r="AF1845" s="7">
        <v>0.0</v>
      </c>
    </row>
    <row r="1846">
      <c r="G1846" s="10"/>
      <c r="H1846" s="6"/>
      <c r="AD1846" s="5">
        <v>45003.0</v>
      </c>
      <c r="AE1846" s="6">
        <v>0.8333333333333334</v>
      </c>
      <c r="AF1846" s="7">
        <v>0.0</v>
      </c>
    </row>
    <row r="1847">
      <c r="G1847" s="10"/>
      <c r="H1847" s="6"/>
      <c r="AD1847" s="5">
        <v>45003.0</v>
      </c>
      <c r="AE1847" s="6">
        <v>0.875</v>
      </c>
      <c r="AF1847" s="7">
        <v>0.0</v>
      </c>
    </row>
    <row r="1848">
      <c r="G1848" s="10"/>
      <c r="H1848" s="6"/>
      <c r="AD1848" s="5">
        <v>45003.0</v>
      </c>
      <c r="AE1848" s="6">
        <v>0.9166666666666666</v>
      </c>
      <c r="AF1848" s="7">
        <v>0.0</v>
      </c>
    </row>
    <row r="1849">
      <c r="G1849" s="10"/>
      <c r="H1849" s="6"/>
      <c r="AD1849" s="5">
        <v>45003.0</v>
      </c>
      <c r="AE1849" s="6">
        <v>0.9583333333333334</v>
      </c>
      <c r="AF1849" s="7">
        <v>0.0</v>
      </c>
    </row>
    <row r="1850">
      <c r="G1850" s="10"/>
      <c r="H1850" s="6"/>
      <c r="AD1850" s="5">
        <v>45004.0</v>
      </c>
      <c r="AE1850" s="6">
        <v>0.0</v>
      </c>
      <c r="AF1850" s="7">
        <v>0.0</v>
      </c>
    </row>
    <row r="1851">
      <c r="G1851" s="10"/>
      <c r="H1851" s="6"/>
      <c r="AD1851" s="5">
        <v>45004.0</v>
      </c>
      <c r="AE1851" s="6">
        <v>0.041666666666666664</v>
      </c>
      <c r="AF1851" s="7">
        <v>0.0</v>
      </c>
    </row>
    <row r="1852">
      <c r="G1852" s="10"/>
      <c r="H1852" s="6"/>
      <c r="AD1852" s="5">
        <v>45004.0</v>
      </c>
      <c r="AE1852" s="6">
        <v>0.08333333333333333</v>
      </c>
      <c r="AF1852" s="7">
        <v>0.0</v>
      </c>
    </row>
    <row r="1853">
      <c r="G1853" s="10"/>
      <c r="H1853" s="6"/>
      <c r="AD1853" s="5">
        <v>45004.0</v>
      </c>
      <c r="AE1853" s="6">
        <v>0.125</v>
      </c>
      <c r="AF1853" s="7">
        <v>0.0</v>
      </c>
    </row>
    <row r="1854">
      <c r="G1854" s="5"/>
      <c r="H1854" s="6"/>
      <c r="AD1854" s="5">
        <v>45004.0</v>
      </c>
      <c r="AE1854" s="6">
        <v>0.16666666666666666</v>
      </c>
      <c r="AF1854" s="7">
        <v>0.0</v>
      </c>
    </row>
    <row r="1855">
      <c r="G1855" s="5"/>
      <c r="H1855" s="6"/>
      <c r="AD1855" s="5">
        <v>45004.0</v>
      </c>
      <c r="AE1855" s="6">
        <v>0.20833333333333334</v>
      </c>
      <c r="AF1855" s="7">
        <v>0.0</v>
      </c>
    </row>
    <row r="1856">
      <c r="G1856" s="10"/>
      <c r="H1856" s="6"/>
      <c r="AD1856" s="5">
        <v>45004.0</v>
      </c>
      <c r="AE1856" s="6">
        <v>0.25</v>
      </c>
      <c r="AF1856" s="7">
        <v>0.0</v>
      </c>
    </row>
    <row r="1857">
      <c r="G1857" s="10"/>
      <c r="H1857" s="6"/>
      <c r="AD1857" s="5">
        <v>45004.0</v>
      </c>
      <c r="AE1857" s="6">
        <v>0.2916666666666667</v>
      </c>
      <c r="AF1857" s="7">
        <v>7215.78</v>
      </c>
    </row>
    <row r="1858">
      <c r="G1858" s="10"/>
      <c r="H1858" s="6"/>
      <c r="AD1858" s="5">
        <v>45004.0</v>
      </c>
      <c r="AE1858" s="6">
        <v>0.3333333333333333</v>
      </c>
      <c r="AF1858" s="7">
        <v>25654.98</v>
      </c>
    </row>
    <row r="1859">
      <c r="G1859" s="10"/>
      <c r="H1859" s="6"/>
      <c r="AD1859" s="5">
        <v>45004.0</v>
      </c>
      <c r="AE1859" s="6">
        <v>0.375</v>
      </c>
      <c r="AF1859" s="7">
        <v>40748.76</v>
      </c>
    </row>
    <row r="1860">
      <c r="G1860" s="10"/>
      <c r="H1860" s="6"/>
      <c r="AD1860" s="5">
        <v>45004.0</v>
      </c>
      <c r="AE1860" s="6">
        <v>0.4166666666666667</v>
      </c>
      <c r="AF1860" s="7">
        <v>50705.46</v>
      </c>
    </row>
    <row r="1861">
      <c r="G1861" s="10"/>
      <c r="H1861" s="6"/>
      <c r="AD1861" s="5">
        <v>45004.0</v>
      </c>
      <c r="AE1861" s="6">
        <v>0.4583333333333333</v>
      </c>
      <c r="AF1861" s="7">
        <v>58535.88</v>
      </c>
    </row>
    <row r="1862">
      <c r="G1862" s="10"/>
      <c r="H1862" s="6"/>
      <c r="AD1862" s="5">
        <v>45004.0</v>
      </c>
      <c r="AE1862" s="6">
        <v>0.5</v>
      </c>
      <c r="AF1862" s="7">
        <v>57616.26</v>
      </c>
    </row>
    <row r="1863">
      <c r="G1863" s="5"/>
      <c r="H1863" s="6"/>
      <c r="AD1863" s="5">
        <v>45004.0</v>
      </c>
      <c r="AE1863" s="6">
        <v>0.5416666666666666</v>
      </c>
      <c r="AF1863" s="7">
        <v>52100.88</v>
      </c>
    </row>
    <row r="1864">
      <c r="G1864" s="5"/>
      <c r="H1864" s="6"/>
      <c r="AD1864" s="5">
        <v>45004.0</v>
      </c>
      <c r="AE1864" s="6">
        <v>0.5833333333333334</v>
      </c>
      <c r="AF1864" s="7">
        <v>39211.38</v>
      </c>
    </row>
    <row r="1865">
      <c r="G1865" s="5"/>
      <c r="H1865" s="6"/>
      <c r="AD1865" s="5">
        <v>45004.0</v>
      </c>
      <c r="AE1865" s="6">
        <v>0.625</v>
      </c>
      <c r="AF1865" s="7">
        <v>41115.36</v>
      </c>
    </row>
    <row r="1866">
      <c r="G1866" s="5"/>
      <c r="H1866" s="6"/>
      <c r="AD1866" s="5">
        <v>45004.0</v>
      </c>
      <c r="AE1866" s="6">
        <v>0.6666666666666666</v>
      </c>
      <c r="AF1866" s="7">
        <v>24959.22</v>
      </c>
    </row>
    <row r="1867">
      <c r="G1867" s="10"/>
      <c r="H1867" s="6"/>
      <c r="AD1867" s="5">
        <v>45004.0</v>
      </c>
      <c r="AE1867" s="6">
        <v>0.7083333333333334</v>
      </c>
      <c r="AF1867" s="7">
        <v>8424.78</v>
      </c>
    </row>
    <row r="1868">
      <c r="G1868" s="10"/>
      <c r="H1868" s="6"/>
      <c r="AD1868" s="5">
        <v>45004.0</v>
      </c>
      <c r="AE1868" s="6">
        <v>0.75</v>
      </c>
      <c r="AF1868" s="7">
        <v>0.0</v>
      </c>
    </row>
    <row r="1869">
      <c r="G1869" s="10"/>
      <c r="H1869" s="6"/>
      <c r="AD1869" s="5">
        <v>45004.0</v>
      </c>
      <c r="AE1869" s="6">
        <v>0.7916666666666666</v>
      </c>
      <c r="AF1869" s="7">
        <v>0.0</v>
      </c>
    </row>
    <row r="1870">
      <c r="G1870" s="10"/>
      <c r="H1870" s="6"/>
      <c r="AD1870" s="5">
        <v>45004.0</v>
      </c>
      <c r="AE1870" s="6">
        <v>0.8333333333333334</v>
      </c>
      <c r="AF1870" s="7">
        <v>0.0</v>
      </c>
    </row>
    <row r="1871">
      <c r="G1871" s="10"/>
      <c r="H1871" s="6"/>
      <c r="AD1871" s="5">
        <v>45004.0</v>
      </c>
      <c r="AE1871" s="6">
        <v>0.875</v>
      </c>
      <c r="AF1871" s="7">
        <v>0.0</v>
      </c>
    </row>
    <row r="1872">
      <c r="G1872" s="10"/>
      <c r="H1872" s="6"/>
      <c r="AD1872" s="5">
        <v>45004.0</v>
      </c>
      <c r="AE1872" s="6">
        <v>0.9166666666666666</v>
      </c>
      <c r="AF1872" s="7">
        <v>0.0</v>
      </c>
    </row>
    <row r="1873">
      <c r="G1873" s="5"/>
      <c r="H1873" s="6"/>
      <c r="AD1873" s="5">
        <v>45004.0</v>
      </c>
      <c r="AE1873" s="6">
        <v>0.9583333333333334</v>
      </c>
      <c r="AF1873" s="7">
        <v>0.0</v>
      </c>
    </row>
    <row r="1874">
      <c r="G1874" s="5"/>
      <c r="H1874" s="6"/>
      <c r="AD1874" s="5">
        <v>45005.0</v>
      </c>
      <c r="AE1874" s="6">
        <v>0.0</v>
      </c>
      <c r="AF1874" s="7">
        <v>0.0</v>
      </c>
    </row>
    <row r="1875">
      <c r="G1875" s="5"/>
      <c r="H1875" s="6"/>
      <c r="AD1875" s="5">
        <v>45005.0</v>
      </c>
      <c r="AE1875" s="6">
        <v>0.041666666666666664</v>
      </c>
      <c r="AF1875" s="7">
        <v>0.0</v>
      </c>
    </row>
    <row r="1876">
      <c r="G1876" s="5"/>
      <c r="H1876" s="6"/>
      <c r="AD1876" s="5">
        <v>45005.0</v>
      </c>
      <c r="AE1876" s="6">
        <v>0.08333333333333333</v>
      </c>
      <c r="AF1876" s="7">
        <v>0.0</v>
      </c>
    </row>
    <row r="1877">
      <c r="G1877" s="5"/>
      <c r="H1877" s="6"/>
      <c r="AD1877" s="5">
        <v>45005.0</v>
      </c>
      <c r="AE1877" s="6">
        <v>0.125</v>
      </c>
      <c r="AF1877" s="7">
        <v>0.0</v>
      </c>
    </row>
    <row r="1878">
      <c r="G1878" s="5"/>
      <c r="H1878" s="6"/>
      <c r="AD1878" s="5">
        <v>45005.0</v>
      </c>
      <c r="AE1878" s="6">
        <v>0.16666666666666666</v>
      </c>
      <c r="AF1878" s="7">
        <v>0.0</v>
      </c>
    </row>
    <row r="1879">
      <c r="G1879" s="5"/>
      <c r="H1879" s="6"/>
      <c r="AD1879" s="5">
        <v>45005.0</v>
      </c>
      <c r="AE1879" s="6">
        <v>0.20833333333333334</v>
      </c>
      <c r="AF1879" s="7">
        <v>0.0</v>
      </c>
    </row>
    <row r="1880">
      <c r="G1880" s="5"/>
      <c r="H1880" s="6"/>
      <c r="AD1880" s="5">
        <v>45005.0</v>
      </c>
      <c r="AE1880" s="6">
        <v>0.25</v>
      </c>
      <c r="AF1880" s="7">
        <v>0.0</v>
      </c>
    </row>
    <row r="1881">
      <c r="G1881" s="5"/>
      <c r="H1881" s="6"/>
      <c r="AD1881" s="5">
        <v>45005.0</v>
      </c>
      <c r="AE1881" s="6">
        <v>0.2916666666666667</v>
      </c>
      <c r="AF1881" s="7">
        <v>7154.16</v>
      </c>
    </row>
    <row r="1882">
      <c r="G1882" s="10"/>
      <c r="H1882" s="6"/>
      <c r="AD1882" s="5">
        <v>45005.0</v>
      </c>
      <c r="AE1882" s="6">
        <v>0.3333333333333333</v>
      </c>
      <c r="AF1882" s="7">
        <v>24313.38</v>
      </c>
    </row>
    <row r="1883">
      <c r="G1883" s="5"/>
      <c r="H1883" s="6"/>
      <c r="AD1883" s="5">
        <v>45005.0</v>
      </c>
      <c r="AE1883" s="6">
        <v>0.375</v>
      </c>
      <c r="AF1883" s="7">
        <v>39120.12</v>
      </c>
    </row>
    <row r="1884">
      <c r="G1884" s="5"/>
      <c r="H1884" s="6"/>
      <c r="AD1884" s="5">
        <v>45005.0</v>
      </c>
      <c r="AE1884" s="6">
        <v>0.4166666666666667</v>
      </c>
      <c r="AF1884" s="7">
        <v>49782.72</v>
      </c>
    </row>
    <row r="1885">
      <c r="G1885" s="5"/>
      <c r="H1885" s="6"/>
      <c r="AD1885" s="5">
        <v>45005.0</v>
      </c>
      <c r="AE1885" s="6">
        <v>0.4583333333333333</v>
      </c>
      <c r="AF1885" s="7">
        <v>53363.7</v>
      </c>
    </row>
    <row r="1886">
      <c r="G1886" s="10"/>
      <c r="H1886" s="6"/>
      <c r="AD1886" s="5">
        <v>45005.0</v>
      </c>
      <c r="AE1886" s="6">
        <v>0.5</v>
      </c>
      <c r="AF1886" s="7">
        <v>56475.12</v>
      </c>
    </row>
    <row r="1887">
      <c r="G1887" s="5"/>
      <c r="H1887" s="6"/>
      <c r="AD1887" s="5">
        <v>45005.0</v>
      </c>
      <c r="AE1887" s="6">
        <v>0.5416666666666666</v>
      </c>
      <c r="AF1887" s="7">
        <v>50163.36</v>
      </c>
    </row>
    <row r="1888">
      <c r="G1888" s="10"/>
      <c r="H1888" s="6"/>
      <c r="AD1888" s="5">
        <v>45005.0</v>
      </c>
      <c r="AE1888" s="6">
        <v>0.5833333333333334</v>
      </c>
      <c r="AF1888" s="7">
        <v>45108.18</v>
      </c>
    </row>
    <row r="1889">
      <c r="G1889" s="10"/>
      <c r="H1889" s="6"/>
      <c r="AD1889" s="5">
        <v>45005.0</v>
      </c>
      <c r="AE1889" s="6">
        <v>0.625</v>
      </c>
      <c r="AF1889" s="7">
        <v>37503.18</v>
      </c>
    </row>
    <row r="1890">
      <c r="G1890" s="10"/>
      <c r="H1890" s="6"/>
      <c r="AD1890" s="5">
        <v>45005.0</v>
      </c>
      <c r="AE1890" s="6">
        <v>0.6666666666666666</v>
      </c>
      <c r="AF1890" s="7">
        <v>18281.64</v>
      </c>
    </row>
    <row r="1891">
      <c r="G1891" s="10"/>
      <c r="H1891" s="6"/>
      <c r="AD1891" s="5">
        <v>45005.0</v>
      </c>
      <c r="AE1891" s="6">
        <v>0.7083333333333334</v>
      </c>
      <c r="AF1891" s="7">
        <v>7190.04</v>
      </c>
    </row>
    <row r="1892">
      <c r="G1892" s="10"/>
      <c r="H1892" s="6"/>
      <c r="AD1892" s="5">
        <v>45005.0</v>
      </c>
      <c r="AE1892" s="6">
        <v>0.75</v>
      </c>
      <c r="AF1892" s="7">
        <v>0.0</v>
      </c>
    </row>
    <row r="1893">
      <c r="G1893" s="5"/>
      <c r="H1893" s="6"/>
      <c r="AD1893" s="5">
        <v>45005.0</v>
      </c>
      <c r="AE1893" s="6">
        <v>0.7916666666666666</v>
      </c>
      <c r="AF1893" s="7">
        <v>0.0</v>
      </c>
    </row>
    <row r="1894">
      <c r="G1894" s="5"/>
      <c r="H1894" s="6"/>
      <c r="AD1894" s="5">
        <v>45005.0</v>
      </c>
      <c r="AE1894" s="6">
        <v>0.8333333333333334</v>
      </c>
      <c r="AF1894" s="7">
        <v>0.0</v>
      </c>
    </row>
    <row r="1895">
      <c r="G1895" s="5"/>
      <c r="H1895" s="6"/>
      <c r="AD1895" s="5">
        <v>45005.0</v>
      </c>
      <c r="AE1895" s="6">
        <v>0.875</v>
      </c>
      <c r="AF1895" s="7">
        <v>0.0</v>
      </c>
    </row>
    <row r="1896">
      <c r="G1896" s="5"/>
      <c r="H1896" s="6"/>
      <c r="AD1896" s="5">
        <v>45005.0</v>
      </c>
      <c r="AE1896" s="6">
        <v>0.9166666666666666</v>
      </c>
      <c r="AF1896" s="7">
        <v>0.0</v>
      </c>
    </row>
    <row r="1897">
      <c r="G1897" s="10"/>
      <c r="H1897" s="6"/>
      <c r="AD1897" s="5">
        <v>45005.0</v>
      </c>
      <c r="AE1897" s="6">
        <v>0.9583333333333334</v>
      </c>
      <c r="AF1897" s="7">
        <v>0.0</v>
      </c>
    </row>
    <row r="1898">
      <c r="G1898" s="10"/>
      <c r="H1898" s="6"/>
      <c r="AD1898" s="5">
        <v>45006.0</v>
      </c>
      <c r="AE1898" s="6">
        <v>0.0</v>
      </c>
      <c r="AF1898" s="7">
        <v>0.0</v>
      </c>
    </row>
    <row r="1899">
      <c r="G1899" s="10"/>
      <c r="H1899" s="6"/>
      <c r="AD1899" s="5">
        <v>45006.0</v>
      </c>
      <c r="AE1899" s="6">
        <v>0.041666666666666664</v>
      </c>
      <c r="AF1899" s="7">
        <v>0.0</v>
      </c>
    </row>
    <row r="1900">
      <c r="G1900" s="10"/>
      <c r="H1900" s="6"/>
      <c r="AD1900" s="5">
        <v>45006.0</v>
      </c>
      <c r="AE1900" s="6">
        <v>0.08333333333333333</v>
      </c>
      <c r="AF1900" s="7">
        <v>0.0</v>
      </c>
    </row>
    <row r="1901">
      <c r="G1901" s="5"/>
      <c r="H1901" s="6"/>
      <c r="AD1901" s="5">
        <v>45006.0</v>
      </c>
      <c r="AE1901" s="6">
        <v>0.125</v>
      </c>
      <c r="AF1901" s="7">
        <v>0.0</v>
      </c>
    </row>
    <row r="1902">
      <c r="G1902" s="5"/>
      <c r="H1902" s="6"/>
      <c r="AD1902" s="5">
        <v>45006.0</v>
      </c>
      <c r="AE1902" s="6">
        <v>0.16666666666666666</v>
      </c>
      <c r="AF1902" s="7">
        <v>0.0</v>
      </c>
    </row>
    <row r="1903">
      <c r="G1903" s="10"/>
      <c r="H1903" s="6"/>
      <c r="AD1903" s="5">
        <v>45006.0</v>
      </c>
      <c r="AE1903" s="6">
        <v>0.20833333333333334</v>
      </c>
      <c r="AF1903" s="7">
        <v>0.0</v>
      </c>
    </row>
    <row r="1904">
      <c r="G1904" s="10"/>
      <c r="H1904" s="6"/>
      <c r="AD1904" s="5">
        <v>45006.0</v>
      </c>
      <c r="AE1904" s="6">
        <v>0.25</v>
      </c>
      <c r="AF1904" s="7">
        <v>0.0</v>
      </c>
    </row>
    <row r="1905">
      <c r="G1905" s="10"/>
      <c r="H1905" s="6"/>
      <c r="AD1905" s="5">
        <v>45006.0</v>
      </c>
      <c r="AE1905" s="6">
        <v>0.2916666666666667</v>
      </c>
      <c r="AF1905" s="7">
        <v>0.0</v>
      </c>
    </row>
    <row r="1906">
      <c r="G1906" s="10"/>
      <c r="H1906" s="6"/>
      <c r="AD1906" s="5">
        <v>45006.0</v>
      </c>
      <c r="AE1906" s="6">
        <v>0.3333333333333333</v>
      </c>
      <c r="AF1906" s="7">
        <v>0.0</v>
      </c>
    </row>
    <row r="1907">
      <c r="G1907" s="10"/>
      <c r="H1907" s="6"/>
      <c r="AD1907" s="5">
        <v>45006.0</v>
      </c>
      <c r="AE1907" s="6">
        <v>0.375</v>
      </c>
      <c r="AF1907" s="7">
        <v>33194.46</v>
      </c>
    </row>
    <row r="1908">
      <c r="G1908" s="10"/>
      <c r="H1908" s="6"/>
      <c r="AD1908" s="5">
        <v>45006.0</v>
      </c>
      <c r="AE1908" s="6">
        <v>0.4166666666666667</v>
      </c>
      <c r="AF1908" s="7">
        <v>47497.32</v>
      </c>
    </row>
    <row r="1909">
      <c r="G1909" s="10"/>
      <c r="H1909" s="6"/>
      <c r="AD1909" s="5">
        <v>45006.0</v>
      </c>
      <c r="AE1909" s="6">
        <v>0.4583333333333333</v>
      </c>
      <c r="AF1909" s="7">
        <v>50597.82</v>
      </c>
    </row>
    <row r="1910">
      <c r="G1910" s="10"/>
      <c r="H1910" s="6"/>
      <c r="AD1910" s="5">
        <v>45006.0</v>
      </c>
      <c r="AE1910" s="6">
        <v>0.5</v>
      </c>
      <c r="AF1910" s="7">
        <v>55521.18</v>
      </c>
    </row>
    <row r="1911">
      <c r="G1911" s="10"/>
      <c r="H1911" s="6"/>
      <c r="AD1911" s="5">
        <v>45006.0</v>
      </c>
      <c r="AE1911" s="6">
        <v>0.5416666666666666</v>
      </c>
      <c r="AF1911" s="7">
        <v>50810.76</v>
      </c>
    </row>
    <row r="1912">
      <c r="G1912" s="5"/>
      <c r="H1912" s="6"/>
      <c r="AD1912" s="5">
        <v>45006.0</v>
      </c>
      <c r="AE1912" s="6">
        <v>0.5833333333333334</v>
      </c>
      <c r="AF1912" s="7">
        <v>27661.92</v>
      </c>
    </row>
    <row r="1913">
      <c r="G1913" s="5"/>
      <c r="H1913" s="6"/>
      <c r="AD1913" s="5">
        <v>45006.0</v>
      </c>
      <c r="AE1913" s="6">
        <v>0.625</v>
      </c>
      <c r="AF1913" s="7">
        <v>30749.16</v>
      </c>
    </row>
    <row r="1914">
      <c r="G1914" s="5"/>
      <c r="H1914" s="6"/>
      <c r="AD1914" s="5">
        <v>45006.0</v>
      </c>
      <c r="AE1914" s="6">
        <v>0.6666666666666666</v>
      </c>
      <c r="AF1914" s="7">
        <v>16545.36</v>
      </c>
    </row>
    <row r="1915">
      <c r="G1915" s="5"/>
      <c r="H1915" s="6"/>
      <c r="AD1915" s="5">
        <v>45006.0</v>
      </c>
      <c r="AE1915" s="6">
        <v>0.7083333333333334</v>
      </c>
      <c r="AF1915" s="7">
        <v>9188.4</v>
      </c>
    </row>
    <row r="1916">
      <c r="G1916" s="10"/>
      <c r="H1916" s="6"/>
      <c r="AD1916" s="5">
        <v>45006.0</v>
      </c>
      <c r="AE1916" s="6">
        <v>0.75</v>
      </c>
      <c r="AF1916" s="7">
        <v>0.0</v>
      </c>
    </row>
    <row r="1917">
      <c r="G1917" s="10"/>
      <c r="H1917" s="6"/>
      <c r="AD1917" s="5">
        <v>45006.0</v>
      </c>
      <c r="AE1917" s="6">
        <v>0.7916666666666666</v>
      </c>
      <c r="AF1917" s="7">
        <v>0.0</v>
      </c>
    </row>
    <row r="1918">
      <c r="G1918" s="10"/>
      <c r="H1918" s="6"/>
      <c r="AD1918" s="5">
        <v>45006.0</v>
      </c>
      <c r="AE1918" s="6">
        <v>0.8333333333333334</v>
      </c>
      <c r="AF1918" s="7">
        <v>0.0</v>
      </c>
    </row>
    <row r="1919">
      <c r="G1919" s="10"/>
      <c r="H1919" s="6"/>
      <c r="AD1919" s="5">
        <v>45006.0</v>
      </c>
      <c r="AE1919" s="6">
        <v>0.875</v>
      </c>
      <c r="AF1919" s="7">
        <v>0.0</v>
      </c>
    </row>
    <row r="1920">
      <c r="G1920" s="10"/>
      <c r="H1920" s="6"/>
      <c r="AD1920" s="5">
        <v>45006.0</v>
      </c>
      <c r="AE1920" s="6">
        <v>0.9166666666666666</v>
      </c>
      <c r="AF1920" s="7">
        <v>0.0</v>
      </c>
    </row>
    <row r="1921">
      <c r="G1921" s="10"/>
      <c r="H1921" s="6"/>
      <c r="AD1921" s="5">
        <v>45006.0</v>
      </c>
      <c r="AE1921" s="6">
        <v>0.9583333333333334</v>
      </c>
      <c r="AF1921" s="7">
        <v>0.0</v>
      </c>
    </row>
    <row r="1922">
      <c r="G1922" s="10"/>
      <c r="H1922" s="6"/>
      <c r="AD1922" s="5">
        <v>45007.0</v>
      </c>
      <c r="AE1922" s="6">
        <v>0.0</v>
      </c>
      <c r="AF1922" s="7">
        <v>0.0</v>
      </c>
    </row>
    <row r="1923">
      <c r="G1923" s="10"/>
      <c r="H1923" s="6"/>
      <c r="AD1923" s="5">
        <v>45007.0</v>
      </c>
      <c r="AE1923" s="6">
        <v>0.041666666666666664</v>
      </c>
      <c r="AF1923" s="7">
        <v>0.0</v>
      </c>
    </row>
    <row r="1924">
      <c r="G1924" s="10"/>
      <c r="H1924" s="6"/>
      <c r="AD1924" s="5">
        <v>45007.0</v>
      </c>
      <c r="AE1924" s="6">
        <v>0.08333333333333333</v>
      </c>
      <c r="AF1924" s="7">
        <v>0.0</v>
      </c>
    </row>
    <row r="1925">
      <c r="G1925" s="10"/>
      <c r="H1925" s="6"/>
      <c r="AD1925" s="5">
        <v>45007.0</v>
      </c>
      <c r="AE1925" s="6">
        <v>0.125</v>
      </c>
      <c r="AF1925" s="7">
        <v>0.0</v>
      </c>
    </row>
    <row r="1926">
      <c r="G1926" s="10"/>
      <c r="H1926" s="6"/>
      <c r="AD1926" s="5">
        <v>45007.0</v>
      </c>
      <c r="AE1926" s="6">
        <v>0.16666666666666666</v>
      </c>
      <c r="AF1926" s="7">
        <v>0.0</v>
      </c>
    </row>
    <row r="1927">
      <c r="G1927" s="10"/>
      <c r="H1927" s="6"/>
      <c r="AD1927" s="5">
        <v>45007.0</v>
      </c>
      <c r="AE1927" s="6">
        <v>0.20833333333333334</v>
      </c>
      <c r="AF1927" s="7">
        <v>0.0</v>
      </c>
    </row>
    <row r="1928">
      <c r="G1928" s="10"/>
      <c r="H1928" s="6"/>
      <c r="AD1928" s="5">
        <v>45007.0</v>
      </c>
      <c r="AE1928" s="6">
        <v>0.25</v>
      </c>
      <c r="AF1928" s="7">
        <v>0.0</v>
      </c>
    </row>
    <row r="1929">
      <c r="G1929" s="5"/>
      <c r="H1929" s="6"/>
      <c r="AD1929" s="5">
        <v>45007.0</v>
      </c>
      <c r="AE1929" s="6">
        <v>0.2916666666666667</v>
      </c>
      <c r="AF1929" s="7">
        <v>0.0</v>
      </c>
    </row>
    <row r="1930">
      <c r="G1930" s="5"/>
      <c r="H1930" s="6"/>
      <c r="AD1930" s="5">
        <v>45007.0</v>
      </c>
      <c r="AE1930" s="6">
        <v>0.3333333333333333</v>
      </c>
      <c r="AF1930" s="7">
        <v>25437.36</v>
      </c>
    </row>
    <row r="1931">
      <c r="G1931" s="5"/>
      <c r="H1931" s="6"/>
      <c r="AD1931" s="5">
        <v>45007.0</v>
      </c>
      <c r="AE1931" s="6">
        <v>0.375</v>
      </c>
      <c r="AF1931" s="7">
        <v>39202.02</v>
      </c>
    </row>
    <row r="1932">
      <c r="G1932" s="5"/>
      <c r="H1932" s="6"/>
      <c r="AD1932" s="5">
        <v>45007.0</v>
      </c>
      <c r="AE1932" s="6">
        <v>0.4166666666666667</v>
      </c>
      <c r="AF1932" s="7">
        <v>48494.94</v>
      </c>
    </row>
    <row r="1933">
      <c r="G1933" s="5"/>
      <c r="H1933" s="6"/>
      <c r="AD1933" s="5">
        <v>45007.0</v>
      </c>
      <c r="AE1933" s="6">
        <v>0.4583333333333333</v>
      </c>
      <c r="AF1933" s="7">
        <v>54680.34</v>
      </c>
    </row>
    <row r="1934">
      <c r="G1934" s="5"/>
      <c r="H1934" s="6"/>
      <c r="AD1934" s="5">
        <v>45007.0</v>
      </c>
      <c r="AE1934" s="6">
        <v>0.5</v>
      </c>
      <c r="AF1934" s="7">
        <v>56895.54</v>
      </c>
    </row>
    <row r="1935">
      <c r="G1935" s="5"/>
      <c r="H1935" s="6"/>
      <c r="AD1935" s="5">
        <v>45007.0</v>
      </c>
      <c r="AE1935" s="6">
        <v>0.5416666666666666</v>
      </c>
      <c r="AF1935" s="7">
        <v>52232.7</v>
      </c>
    </row>
    <row r="1936">
      <c r="G1936" s="5"/>
      <c r="H1936" s="6"/>
      <c r="AD1936" s="5">
        <v>45007.0</v>
      </c>
      <c r="AE1936" s="6">
        <v>0.5833333333333334</v>
      </c>
      <c r="AF1936" s="7">
        <v>46434.96</v>
      </c>
    </row>
    <row r="1937">
      <c r="G1937" s="5"/>
      <c r="H1937" s="6"/>
      <c r="AD1937" s="5">
        <v>45007.0</v>
      </c>
      <c r="AE1937" s="6">
        <v>0.625</v>
      </c>
      <c r="AF1937" s="7">
        <v>21863.4</v>
      </c>
    </row>
    <row r="1938">
      <c r="G1938" s="10"/>
      <c r="H1938" s="6"/>
      <c r="AD1938" s="5">
        <v>45007.0</v>
      </c>
      <c r="AE1938" s="6">
        <v>0.6666666666666666</v>
      </c>
      <c r="AF1938" s="7">
        <v>16807.44</v>
      </c>
    </row>
    <row r="1939">
      <c r="G1939" s="10"/>
      <c r="H1939" s="6"/>
      <c r="AD1939" s="5">
        <v>45007.0</v>
      </c>
      <c r="AE1939" s="6">
        <v>0.7083333333333334</v>
      </c>
      <c r="AF1939" s="7">
        <v>6796.92</v>
      </c>
    </row>
    <row r="1940">
      <c r="G1940" s="10"/>
      <c r="H1940" s="6"/>
      <c r="AD1940" s="5">
        <v>45007.0</v>
      </c>
      <c r="AE1940" s="6">
        <v>0.75</v>
      </c>
      <c r="AF1940" s="7">
        <v>0.0</v>
      </c>
    </row>
    <row r="1941">
      <c r="G1941" s="10"/>
      <c r="H1941" s="6"/>
      <c r="AD1941" s="5">
        <v>45007.0</v>
      </c>
      <c r="AE1941" s="6">
        <v>0.7916666666666666</v>
      </c>
      <c r="AF1941" s="7">
        <v>0.0</v>
      </c>
    </row>
    <row r="1942">
      <c r="G1942" s="10"/>
      <c r="H1942" s="6"/>
      <c r="AD1942" s="5">
        <v>45007.0</v>
      </c>
      <c r="AE1942" s="6">
        <v>0.8333333333333334</v>
      </c>
      <c r="AF1942" s="7">
        <v>0.0</v>
      </c>
    </row>
    <row r="1943">
      <c r="G1943" s="10"/>
      <c r="H1943" s="6"/>
      <c r="AD1943" s="5">
        <v>45007.0</v>
      </c>
      <c r="AE1943" s="6">
        <v>0.875</v>
      </c>
      <c r="AF1943" s="7">
        <v>0.0</v>
      </c>
    </row>
    <row r="1944">
      <c r="G1944" s="10"/>
      <c r="H1944" s="6"/>
      <c r="AD1944" s="5">
        <v>45007.0</v>
      </c>
      <c r="AE1944" s="6">
        <v>0.9166666666666666</v>
      </c>
      <c r="AF1944" s="7">
        <v>0.0</v>
      </c>
    </row>
    <row r="1945">
      <c r="G1945" s="10"/>
      <c r="H1945" s="6"/>
      <c r="AD1945" s="5">
        <v>45007.0</v>
      </c>
      <c r="AE1945" s="6">
        <v>0.9583333333333334</v>
      </c>
      <c r="AF1945" s="7">
        <v>0.0</v>
      </c>
    </row>
    <row r="1946">
      <c r="G1946" s="5"/>
      <c r="H1946" s="6"/>
      <c r="AD1946" s="5">
        <v>45008.0</v>
      </c>
      <c r="AE1946" s="6">
        <v>0.0</v>
      </c>
      <c r="AF1946" s="7">
        <v>0.0</v>
      </c>
    </row>
    <row r="1947">
      <c r="G1947" s="10"/>
      <c r="H1947" s="6"/>
      <c r="AD1947" s="5">
        <v>45008.0</v>
      </c>
      <c r="AE1947" s="6">
        <v>0.041666666666666664</v>
      </c>
      <c r="AF1947" s="7">
        <v>0.0</v>
      </c>
    </row>
    <row r="1948">
      <c r="G1948" s="10"/>
      <c r="H1948" s="6"/>
      <c r="AD1948" s="5">
        <v>45008.0</v>
      </c>
      <c r="AE1948" s="6">
        <v>0.08333333333333333</v>
      </c>
      <c r="AF1948" s="7">
        <v>0.0</v>
      </c>
    </row>
    <row r="1949">
      <c r="G1949" s="10"/>
      <c r="H1949" s="6"/>
      <c r="AD1949" s="5">
        <v>45008.0</v>
      </c>
      <c r="AE1949" s="6">
        <v>0.125</v>
      </c>
      <c r="AF1949" s="7">
        <v>0.0</v>
      </c>
    </row>
    <row r="1950">
      <c r="G1950" s="5"/>
      <c r="H1950" s="6"/>
      <c r="AD1950" s="5">
        <v>45008.0</v>
      </c>
      <c r="AE1950" s="6">
        <v>0.16666666666666666</v>
      </c>
      <c r="AF1950" s="7">
        <v>0.0</v>
      </c>
    </row>
    <row r="1951">
      <c r="G1951" s="5"/>
      <c r="H1951" s="6"/>
      <c r="AD1951" s="5">
        <v>45008.0</v>
      </c>
      <c r="AE1951" s="6">
        <v>0.20833333333333334</v>
      </c>
      <c r="AF1951" s="7">
        <v>0.0</v>
      </c>
    </row>
    <row r="1952">
      <c r="G1952" s="10"/>
      <c r="H1952" s="6"/>
      <c r="AD1952" s="5">
        <v>45008.0</v>
      </c>
      <c r="AE1952" s="6">
        <v>0.25</v>
      </c>
      <c r="AF1952" s="7">
        <v>0.0</v>
      </c>
    </row>
    <row r="1953">
      <c r="G1953" s="10"/>
      <c r="H1953" s="6"/>
      <c r="AD1953" s="5">
        <v>45008.0</v>
      </c>
      <c r="AE1953" s="6">
        <v>0.2916666666666667</v>
      </c>
      <c r="AF1953" s="7">
        <v>8328.06</v>
      </c>
    </row>
    <row r="1954">
      <c r="G1954" s="5"/>
      <c r="H1954" s="6"/>
      <c r="AD1954" s="5">
        <v>45008.0</v>
      </c>
      <c r="AE1954" s="6">
        <v>0.3333333333333333</v>
      </c>
      <c r="AF1954" s="7">
        <v>24458.46</v>
      </c>
    </row>
    <row r="1955">
      <c r="G1955" s="5"/>
      <c r="H1955" s="6"/>
      <c r="AD1955" s="5">
        <v>45008.0</v>
      </c>
      <c r="AE1955" s="6">
        <v>0.375</v>
      </c>
      <c r="AF1955" s="7">
        <v>36148.32</v>
      </c>
    </row>
    <row r="1956">
      <c r="G1956" s="5"/>
      <c r="H1956" s="6"/>
      <c r="AD1956" s="5">
        <v>45008.0</v>
      </c>
      <c r="AE1956" s="6">
        <v>0.4166666666666667</v>
      </c>
      <c r="AF1956" s="7">
        <v>48237.54</v>
      </c>
    </row>
    <row r="1957">
      <c r="G1957" s="5"/>
      <c r="H1957" s="6"/>
      <c r="AD1957" s="5">
        <v>45008.0</v>
      </c>
      <c r="AE1957" s="6">
        <v>0.4583333333333333</v>
      </c>
      <c r="AF1957" s="7">
        <v>55096.86</v>
      </c>
    </row>
    <row r="1958">
      <c r="G1958" s="5"/>
      <c r="H1958" s="6"/>
      <c r="AD1958" s="5">
        <v>45008.0</v>
      </c>
      <c r="AE1958" s="6">
        <v>0.5</v>
      </c>
      <c r="AF1958" s="7">
        <v>56210.7</v>
      </c>
    </row>
    <row r="1959">
      <c r="G1959" s="5"/>
      <c r="H1959" s="6"/>
      <c r="AD1959" s="5">
        <v>45008.0</v>
      </c>
      <c r="AE1959" s="6">
        <v>0.5416666666666666</v>
      </c>
      <c r="AF1959" s="7">
        <v>52590.72</v>
      </c>
    </row>
    <row r="1960">
      <c r="G1960" s="5"/>
      <c r="H1960" s="6"/>
      <c r="AD1960" s="5">
        <v>45008.0</v>
      </c>
      <c r="AE1960" s="6">
        <v>0.5833333333333334</v>
      </c>
      <c r="AF1960" s="7">
        <v>47702.46</v>
      </c>
    </row>
    <row r="1961">
      <c r="G1961" s="5"/>
      <c r="H1961" s="6"/>
      <c r="AD1961" s="5">
        <v>45008.0</v>
      </c>
      <c r="AE1961" s="6">
        <v>0.625</v>
      </c>
      <c r="AF1961" s="7">
        <v>37971.18</v>
      </c>
    </row>
    <row r="1962">
      <c r="G1962" s="5"/>
      <c r="H1962" s="6"/>
      <c r="AD1962" s="5">
        <v>45008.0</v>
      </c>
      <c r="AE1962" s="6">
        <v>0.6666666666666666</v>
      </c>
      <c r="AF1962" s="7">
        <v>25278.24</v>
      </c>
    </row>
    <row r="1963">
      <c r="G1963" s="5"/>
      <c r="H1963" s="6"/>
      <c r="AD1963" s="5">
        <v>45008.0</v>
      </c>
      <c r="AE1963" s="6">
        <v>0.7083333333333334</v>
      </c>
      <c r="AF1963" s="7">
        <v>9401.34</v>
      </c>
    </row>
    <row r="1964">
      <c r="G1964" s="5"/>
      <c r="H1964" s="6"/>
      <c r="AD1964" s="5">
        <v>45008.0</v>
      </c>
      <c r="AE1964" s="6">
        <v>0.75</v>
      </c>
      <c r="AF1964" s="7">
        <v>0.0</v>
      </c>
    </row>
    <row r="1965">
      <c r="G1965" s="5"/>
      <c r="H1965" s="6"/>
      <c r="AD1965" s="5">
        <v>45008.0</v>
      </c>
      <c r="AE1965" s="6">
        <v>0.7916666666666666</v>
      </c>
      <c r="AF1965" s="7">
        <v>0.0</v>
      </c>
    </row>
    <row r="1966">
      <c r="G1966" s="5"/>
      <c r="H1966" s="6"/>
      <c r="AD1966" s="5">
        <v>45008.0</v>
      </c>
      <c r="AE1966" s="6">
        <v>0.8333333333333334</v>
      </c>
      <c r="AF1966" s="7">
        <v>0.0</v>
      </c>
    </row>
    <row r="1967">
      <c r="G1967" s="5"/>
      <c r="H1967" s="6"/>
      <c r="AD1967" s="5">
        <v>45008.0</v>
      </c>
      <c r="AE1967" s="6">
        <v>0.875</v>
      </c>
      <c r="AF1967" s="7">
        <v>0.0</v>
      </c>
    </row>
    <row r="1968">
      <c r="G1968" s="5"/>
      <c r="H1968" s="6"/>
      <c r="AD1968" s="5">
        <v>45008.0</v>
      </c>
      <c r="AE1968" s="6">
        <v>0.9166666666666666</v>
      </c>
      <c r="AF1968" s="7">
        <v>0.0</v>
      </c>
    </row>
    <row r="1969">
      <c r="G1969" s="10"/>
      <c r="H1969" s="6"/>
      <c r="AD1969" s="5">
        <v>45008.0</v>
      </c>
      <c r="AE1969" s="6">
        <v>0.9583333333333334</v>
      </c>
      <c r="AF1969" s="7">
        <v>0.0</v>
      </c>
    </row>
    <row r="1970">
      <c r="G1970" s="10"/>
      <c r="H1970" s="6"/>
      <c r="AD1970" s="5">
        <v>45009.0</v>
      </c>
      <c r="AE1970" s="6">
        <v>0.0</v>
      </c>
      <c r="AF1970" s="7">
        <v>0.0</v>
      </c>
    </row>
    <row r="1971">
      <c r="G1971" s="10"/>
      <c r="H1971" s="6"/>
      <c r="AD1971" s="5">
        <v>45009.0</v>
      </c>
      <c r="AE1971" s="6">
        <v>0.041666666666666664</v>
      </c>
      <c r="AF1971" s="7">
        <v>0.0</v>
      </c>
    </row>
    <row r="1972">
      <c r="G1972" s="10"/>
      <c r="H1972" s="6"/>
      <c r="AD1972" s="5">
        <v>45009.0</v>
      </c>
      <c r="AE1972" s="6">
        <v>0.08333333333333333</v>
      </c>
      <c r="AF1972" s="7">
        <v>0.0</v>
      </c>
    </row>
    <row r="1973">
      <c r="G1973" s="10"/>
      <c r="H1973" s="6"/>
      <c r="AD1973" s="5">
        <v>45009.0</v>
      </c>
      <c r="AE1973" s="6">
        <v>0.125</v>
      </c>
      <c r="AF1973" s="7">
        <v>0.0</v>
      </c>
    </row>
    <row r="1974">
      <c r="G1974" s="10"/>
      <c r="H1974" s="6"/>
      <c r="AD1974" s="5">
        <v>45009.0</v>
      </c>
      <c r="AE1974" s="6">
        <v>0.16666666666666666</v>
      </c>
      <c r="AF1974" s="7">
        <v>0.0</v>
      </c>
    </row>
    <row r="1975">
      <c r="G1975" s="10"/>
      <c r="H1975" s="6"/>
      <c r="AD1975" s="5">
        <v>45009.0</v>
      </c>
      <c r="AE1975" s="6">
        <v>0.20833333333333334</v>
      </c>
      <c r="AF1975" s="7">
        <v>0.0</v>
      </c>
    </row>
    <row r="1976">
      <c r="G1976" s="10"/>
      <c r="H1976" s="6"/>
      <c r="AD1976" s="5">
        <v>45009.0</v>
      </c>
      <c r="AE1976" s="6">
        <v>0.25</v>
      </c>
      <c r="AF1976" s="7">
        <v>0.0</v>
      </c>
    </row>
    <row r="1977">
      <c r="G1977" s="10"/>
      <c r="H1977" s="6"/>
      <c r="AD1977" s="5">
        <v>45009.0</v>
      </c>
      <c r="AE1977" s="6">
        <v>0.2916666666666667</v>
      </c>
      <c r="AF1977" s="7">
        <v>4072.38</v>
      </c>
    </row>
    <row r="1978">
      <c r="G1978" s="10"/>
      <c r="H1978" s="6"/>
      <c r="AD1978" s="5">
        <v>45009.0</v>
      </c>
      <c r="AE1978" s="6">
        <v>0.3333333333333333</v>
      </c>
      <c r="AF1978" s="7">
        <v>13727.22</v>
      </c>
    </row>
    <row r="1979">
      <c r="G1979" s="10"/>
      <c r="H1979" s="6"/>
      <c r="AD1979" s="5">
        <v>45009.0</v>
      </c>
      <c r="AE1979" s="6">
        <v>0.375</v>
      </c>
      <c r="AF1979" s="7">
        <v>23449.14</v>
      </c>
    </row>
    <row r="1980">
      <c r="G1980" s="5"/>
      <c r="H1980" s="6"/>
      <c r="AD1980" s="5">
        <v>45009.0</v>
      </c>
      <c r="AE1980" s="6">
        <v>0.4166666666666667</v>
      </c>
      <c r="AF1980" s="7">
        <v>10643.1</v>
      </c>
    </row>
    <row r="1981">
      <c r="G1981" s="5"/>
      <c r="H1981" s="6"/>
      <c r="AD1981" s="5">
        <v>45009.0</v>
      </c>
      <c r="AE1981" s="6">
        <v>0.4583333333333333</v>
      </c>
      <c r="AF1981" s="7">
        <v>36197.46</v>
      </c>
    </row>
    <row r="1982">
      <c r="G1982" s="5"/>
      <c r="H1982" s="6"/>
      <c r="AD1982" s="5">
        <v>45009.0</v>
      </c>
      <c r="AE1982" s="6">
        <v>0.5</v>
      </c>
      <c r="AF1982" s="7">
        <v>58197.36</v>
      </c>
    </row>
    <row r="1983">
      <c r="G1983" s="5"/>
      <c r="H1983" s="6"/>
      <c r="AD1983" s="5">
        <v>45009.0</v>
      </c>
      <c r="AE1983" s="6">
        <v>0.5416666666666666</v>
      </c>
      <c r="AF1983" s="7">
        <v>40453.14</v>
      </c>
    </row>
    <row r="1984">
      <c r="G1984" s="5"/>
      <c r="H1984" s="6"/>
      <c r="AD1984" s="5">
        <v>45009.0</v>
      </c>
      <c r="AE1984" s="6">
        <v>0.5833333333333334</v>
      </c>
      <c r="AF1984" s="7">
        <v>23827.44</v>
      </c>
    </row>
    <row r="1985">
      <c r="G1985" s="5"/>
      <c r="H1985" s="6"/>
      <c r="AD1985" s="5">
        <v>45009.0</v>
      </c>
      <c r="AE1985" s="6">
        <v>0.625</v>
      </c>
      <c r="AF1985" s="7">
        <v>37954.02</v>
      </c>
    </row>
    <row r="1986">
      <c r="G1986" s="5"/>
      <c r="H1986" s="6"/>
      <c r="AD1986" s="5">
        <v>45009.0</v>
      </c>
      <c r="AE1986" s="6">
        <v>0.6666666666666666</v>
      </c>
      <c r="AF1986" s="7">
        <v>25629.24</v>
      </c>
    </row>
    <row r="1987">
      <c r="G1987" s="10"/>
      <c r="H1987" s="6"/>
      <c r="AD1987" s="5">
        <v>45009.0</v>
      </c>
      <c r="AE1987" s="6">
        <v>0.7083333333333334</v>
      </c>
      <c r="AF1987" s="7">
        <v>9746.1</v>
      </c>
    </row>
    <row r="1988">
      <c r="G1988" s="10"/>
      <c r="H1988" s="6"/>
      <c r="AD1988" s="5">
        <v>45009.0</v>
      </c>
      <c r="AE1988" s="6">
        <v>0.75</v>
      </c>
      <c r="AF1988" s="7">
        <v>0.0</v>
      </c>
    </row>
    <row r="1989">
      <c r="G1989" s="10"/>
      <c r="H1989" s="6"/>
      <c r="AD1989" s="5">
        <v>45009.0</v>
      </c>
      <c r="AE1989" s="6">
        <v>0.7916666666666666</v>
      </c>
      <c r="AF1989" s="7">
        <v>0.0</v>
      </c>
    </row>
    <row r="1990">
      <c r="G1990" s="10"/>
      <c r="H1990" s="6"/>
      <c r="AD1990" s="5">
        <v>45009.0</v>
      </c>
      <c r="AE1990" s="6">
        <v>0.8333333333333334</v>
      </c>
      <c r="AF1990" s="7">
        <v>0.0</v>
      </c>
    </row>
    <row r="1991">
      <c r="G1991" s="10"/>
      <c r="H1991" s="6"/>
      <c r="AD1991" s="5">
        <v>45009.0</v>
      </c>
      <c r="AE1991" s="6">
        <v>0.875</v>
      </c>
      <c r="AF1991" s="7">
        <v>0.0</v>
      </c>
    </row>
    <row r="1992">
      <c r="G1992" s="10"/>
      <c r="H1992" s="6"/>
      <c r="AD1992" s="5">
        <v>45009.0</v>
      </c>
      <c r="AE1992" s="6">
        <v>0.9166666666666666</v>
      </c>
      <c r="AF1992" s="7">
        <v>0.0</v>
      </c>
    </row>
    <row r="1993">
      <c r="G1993" s="10"/>
      <c r="H1993" s="6"/>
      <c r="AD1993" s="5">
        <v>45009.0</v>
      </c>
      <c r="AE1993" s="6">
        <v>0.9583333333333334</v>
      </c>
      <c r="AF1993" s="7">
        <v>0.0</v>
      </c>
    </row>
    <row r="1994">
      <c r="G1994" s="10"/>
      <c r="H1994" s="6"/>
      <c r="AD1994" s="5">
        <v>45010.0</v>
      </c>
      <c r="AE1994" s="6">
        <v>0.0</v>
      </c>
      <c r="AF1994" s="7">
        <v>0.0</v>
      </c>
    </row>
    <row r="1995">
      <c r="G1995" s="10"/>
      <c r="H1995" s="6"/>
      <c r="AD1995" s="5">
        <v>45010.0</v>
      </c>
      <c r="AE1995" s="6">
        <v>0.041666666666666664</v>
      </c>
      <c r="AF1995" s="7">
        <v>0.0</v>
      </c>
    </row>
    <row r="1996">
      <c r="G1996" s="5"/>
      <c r="H1996" s="6"/>
      <c r="AD1996" s="5">
        <v>45010.0</v>
      </c>
      <c r="AE1996" s="6">
        <v>0.08333333333333333</v>
      </c>
      <c r="AF1996" s="7">
        <v>0.0</v>
      </c>
    </row>
    <row r="1997">
      <c r="G1997" s="5"/>
      <c r="H1997" s="6"/>
      <c r="AD1997" s="5">
        <v>45010.0</v>
      </c>
      <c r="AE1997" s="6">
        <v>0.125</v>
      </c>
      <c r="AF1997" s="7">
        <v>0.0</v>
      </c>
    </row>
    <row r="1998">
      <c r="G1998" s="5"/>
      <c r="H1998" s="6"/>
      <c r="AD1998" s="5">
        <v>45010.0</v>
      </c>
      <c r="AE1998" s="6">
        <v>0.16666666666666666</v>
      </c>
      <c r="AF1998" s="7">
        <v>0.0</v>
      </c>
    </row>
    <row r="1999">
      <c r="G1999" s="5"/>
      <c r="H1999" s="6"/>
      <c r="AD1999" s="5">
        <v>45010.0</v>
      </c>
      <c r="AE1999" s="6">
        <v>0.20833333333333334</v>
      </c>
      <c r="AF1999" s="7">
        <v>0.0</v>
      </c>
    </row>
    <row r="2000">
      <c r="G2000" s="5"/>
      <c r="H2000" s="6"/>
      <c r="AD2000" s="5">
        <v>45010.0</v>
      </c>
      <c r="AE2000" s="6">
        <v>0.25</v>
      </c>
      <c r="AF2000" s="7">
        <v>0.0</v>
      </c>
    </row>
    <row r="2001">
      <c r="G2001" s="10"/>
      <c r="H2001" s="6"/>
      <c r="AD2001" s="5">
        <v>45010.0</v>
      </c>
      <c r="AE2001" s="6">
        <v>0.2916666666666667</v>
      </c>
      <c r="AF2001" s="7">
        <v>10087.74</v>
      </c>
    </row>
    <row r="2002">
      <c r="G2002" s="10"/>
      <c r="H2002" s="6"/>
      <c r="AD2002" s="5">
        <v>45010.0</v>
      </c>
      <c r="AE2002" s="6">
        <v>0.3333333333333333</v>
      </c>
      <c r="AF2002" s="7">
        <v>27322.62</v>
      </c>
    </row>
    <row r="2003">
      <c r="G2003" s="5"/>
      <c r="H2003" s="6"/>
      <c r="AD2003" s="5">
        <v>45010.0</v>
      </c>
      <c r="AE2003" s="6">
        <v>0.375</v>
      </c>
      <c r="AF2003" s="7">
        <v>38881.44</v>
      </c>
    </row>
    <row r="2004">
      <c r="G2004" s="10"/>
      <c r="H2004" s="6"/>
      <c r="AD2004" s="5">
        <v>45010.0</v>
      </c>
      <c r="AE2004" s="6">
        <v>0.4166666666666667</v>
      </c>
      <c r="AF2004" s="7">
        <v>28750.02</v>
      </c>
    </row>
    <row r="2005">
      <c r="G2005" s="10"/>
      <c r="H2005" s="6"/>
      <c r="AD2005" s="5">
        <v>45010.0</v>
      </c>
      <c r="AE2005" s="6">
        <v>0.4583333333333333</v>
      </c>
      <c r="AF2005" s="7">
        <v>47379.54</v>
      </c>
    </row>
    <row r="2006">
      <c r="G2006" s="10"/>
      <c r="H2006" s="6"/>
      <c r="AD2006" s="5">
        <v>45010.0</v>
      </c>
      <c r="AE2006" s="6">
        <v>0.5</v>
      </c>
      <c r="AF2006" s="7">
        <v>38311.26</v>
      </c>
    </row>
    <row r="2007">
      <c r="G2007" s="10"/>
      <c r="H2007" s="6"/>
      <c r="AD2007" s="5">
        <v>45010.0</v>
      </c>
      <c r="AE2007" s="6">
        <v>0.5416666666666666</v>
      </c>
      <c r="AF2007" s="7">
        <v>27070.68</v>
      </c>
    </row>
    <row r="2008">
      <c r="G2008" s="10"/>
      <c r="H2008" s="6"/>
      <c r="AD2008" s="5">
        <v>45010.0</v>
      </c>
      <c r="AE2008" s="6">
        <v>0.5833333333333334</v>
      </c>
      <c r="AF2008" s="7">
        <v>12575.94</v>
      </c>
    </row>
    <row r="2009">
      <c r="G2009" s="10"/>
      <c r="H2009" s="6"/>
      <c r="AD2009" s="5">
        <v>45010.0</v>
      </c>
      <c r="AE2009" s="6">
        <v>0.625</v>
      </c>
      <c r="AF2009" s="7">
        <v>22999.86</v>
      </c>
    </row>
    <row r="2010">
      <c r="G2010" s="10"/>
      <c r="H2010" s="6"/>
      <c r="AD2010" s="5">
        <v>45010.0</v>
      </c>
      <c r="AE2010" s="6">
        <v>0.6666666666666666</v>
      </c>
      <c r="AF2010" s="7">
        <v>23005.32</v>
      </c>
    </row>
    <row r="2011">
      <c r="G2011" s="5"/>
      <c r="H2011" s="6"/>
      <c r="AD2011" s="5">
        <v>45010.0</v>
      </c>
      <c r="AE2011" s="6">
        <v>0.7083333333333334</v>
      </c>
      <c r="AF2011" s="7">
        <v>8809.32</v>
      </c>
    </row>
    <row r="2012">
      <c r="G2012" s="5"/>
      <c r="H2012" s="6"/>
      <c r="AD2012" s="5">
        <v>45010.0</v>
      </c>
      <c r="AE2012" s="6">
        <v>0.75</v>
      </c>
      <c r="AF2012" s="7">
        <v>0.0</v>
      </c>
    </row>
    <row r="2013">
      <c r="G2013" s="5"/>
      <c r="H2013" s="6"/>
      <c r="AD2013" s="5">
        <v>45010.0</v>
      </c>
      <c r="AE2013" s="6">
        <v>0.7916666666666666</v>
      </c>
      <c r="AF2013" s="7">
        <v>0.0</v>
      </c>
    </row>
    <row r="2014">
      <c r="G2014" s="5"/>
      <c r="H2014" s="6"/>
      <c r="AD2014" s="5">
        <v>45010.0</v>
      </c>
      <c r="AE2014" s="6">
        <v>0.8333333333333334</v>
      </c>
      <c r="AF2014" s="7">
        <v>0.0</v>
      </c>
    </row>
    <row r="2015">
      <c r="G2015" s="5"/>
      <c r="H2015" s="6"/>
      <c r="AD2015" s="5">
        <v>45010.0</v>
      </c>
      <c r="AE2015" s="6">
        <v>0.875</v>
      </c>
      <c r="AF2015" s="7">
        <v>0.0</v>
      </c>
    </row>
    <row r="2016">
      <c r="G2016" s="10"/>
      <c r="H2016" s="6"/>
      <c r="AD2016" s="5">
        <v>45010.0</v>
      </c>
      <c r="AE2016" s="6">
        <v>0.9166666666666666</v>
      </c>
      <c r="AF2016" s="7">
        <v>0.0</v>
      </c>
    </row>
    <row r="2017">
      <c r="G2017" s="10"/>
      <c r="H2017" s="6"/>
      <c r="AD2017" s="5">
        <v>45010.0</v>
      </c>
      <c r="AE2017" s="6">
        <v>0.9583333333333334</v>
      </c>
      <c r="AF2017" s="7">
        <v>0.0</v>
      </c>
    </row>
    <row r="2018">
      <c r="G2018" s="10"/>
      <c r="H2018" s="6"/>
      <c r="AD2018" s="5">
        <v>45011.0</v>
      </c>
      <c r="AE2018" s="6">
        <v>0.0</v>
      </c>
      <c r="AF2018" s="7">
        <v>0.0</v>
      </c>
    </row>
    <row r="2019">
      <c r="G2019" s="10"/>
      <c r="H2019" s="6"/>
      <c r="AD2019" s="5">
        <v>45011.0</v>
      </c>
      <c r="AE2019" s="6">
        <v>0.041666666666666664</v>
      </c>
      <c r="AF2019" s="7">
        <v>0.0</v>
      </c>
    </row>
    <row r="2020">
      <c r="G2020" s="10"/>
      <c r="H2020" s="6"/>
      <c r="AD2020" s="5">
        <v>45011.0</v>
      </c>
      <c r="AE2020" s="6">
        <v>0.08333333333333333</v>
      </c>
      <c r="AF2020" s="7">
        <v>0.0</v>
      </c>
    </row>
    <row r="2021">
      <c r="G2021" s="10"/>
      <c r="H2021" s="6"/>
      <c r="AD2021" s="5">
        <v>45011.0</v>
      </c>
      <c r="AE2021" s="6">
        <v>0.125</v>
      </c>
      <c r="AF2021" s="7">
        <v>0.0</v>
      </c>
    </row>
    <row r="2022">
      <c r="G2022" s="10"/>
      <c r="H2022" s="6"/>
      <c r="AD2022" s="5">
        <v>45011.0</v>
      </c>
      <c r="AE2022" s="6">
        <v>0.16666666666666666</v>
      </c>
      <c r="AF2022" s="7">
        <v>0.0</v>
      </c>
    </row>
    <row r="2023">
      <c r="G2023" s="10"/>
      <c r="H2023" s="6"/>
      <c r="AD2023" s="5">
        <v>45011.0</v>
      </c>
      <c r="AE2023" s="6">
        <v>0.20833333333333334</v>
      </c>
      <c r="AF2023" s="7">
        <v>0.0</v>
      </c>
    </row>
    <row r="2024">
      <c r="G2024" s="10"/>
      <c r="H2024" s="6"/>
      <c r="AD2024" s="5">
        <v>45011.0</v>
      </c>
      <c r="AE2024" s="6">
        <v>0.25</v>
      </c>
      <c r="AF2024" s="7">
        <v>0.0</v>
      </c>
    </row>
    <row r="2025">
      <c r="G2025" s="10"/>
      <c r="H2025" s="6"/>
      <c r="AD2025" s="5">
        <v>45011.0</v>
      </c>
      <c r="AE2025" s="6">
        <v>0.2916666666666667</v>
      </c>
      <c r="AF2025" s="7">
        <v>9978.54</v>
      </c>
    </row>
    <row r="2026">
      <c r="G2026" s="10"/>
      <c r="H2026" s="6"/>
      <c r="AD2026" s="5">
        <v>45011.0</v>
      </c>
      <c r="AE2026" s="6">
        <v>0.3333333333333333</v>
      </c>
      <c r="AF2026" s="7">
        <v>27475.5</v>
      </c>
    </row>
    <row r="2027">
      <c r="G2027" s="10"/>
      <c r="H2027" s="6"/>
      <c r="AD2027" s="5">
        <v>45011.0</v>
      </c>
      <c r="AE2027" s="6">
        <v>0.375</v>
      </c>
      <c r="AF2027" s="7">
        <v>34685.04</v>
      </c>
    </row>
    <row r="2028">
      <c r="G2028" s="10"/>
      <c r="H2028" s="6"/>
      <c r="AD2028" s="5">
        <v>45011.0</v>
      </c>
      <c r="AE2028" s="6">
        <v>0.4166666666666667</v>
      </c>
      <c r="AF2028" s="7">
        <v>51276.42</v>
      </c>
    </row>
    <row r="2029">
      <c r="G2029" s="5"/>
      <c r="H2029" s="6"/>
      <c r="AD2029" s="5">
        <v>45011.0</v>
      </c>
      <c r="AE2029" s="6">
        <v>0.4583333333333333</v>
      </c>
      <c r="AF2029" s="7">
        <v>57291.78</v>
      </c>
    </row>
    <row r="2030">
      <c r="G2030" s="5"/>
      <c r="H2030" s="6"/>
      <c r="AD2030" s="5">
        <v>45011.0</v>
      </c>
      <c r="AE2030" s="6">
        <v>0.5</v>
      </c>
      <c r="AF2030" s="7">
        <v>59269.08</v>
      </c>
    </row>
    <row r="2031">
      <c r="G2031" s="5"/>
      <c r="H2031" s="6"/>
      <c r="AD2031" s="5">
        <v>45011.0</v>
      </c>
      <c r="AE2031" s="6">
        <v>0.5416666666666666</v>
      </c>
      <c r="AF2031" s="7">
        <v>50571.3</v>
      </c>
    </row>
    <row r="2032">
      <c r="G2032" s="5"/>
      <c r="H2032" s="6"/>
      <c r="AD2032" s="5">
        <v>45011.0</v>
      </c>
      <c r="AE2032" s="6">
        <v>0.5833333333333334</v>
      </c>
      <c r="AF2032" s="7">
        <v>53086.8</v>
      </c>
    </row>
    <row r="2033">
      <c r="G2033" s="10"/>
      <c r="H2033" s="6"/>
      <c r="AD2033" s="5">
        <v>45011.0</v>
      </c>
      <c r="AE2033" s="6">
        <v>0.625</v>
      </c>
      <c r="AF2033" s="7">
        <v>41741.7</v>
      </c>
    </row>
    <row r="2034">
      <c r="G2034" s="10"/>
      <c r="H2034" s="6"/>
      <c r="AD2034" s="5">
        <v>45011.0</v>
      </c>
      <c r="AE2034" s="6">
        <v>0.6666666666666666</v>
      </c>
      <c r="AF2034" s="7">
        <v>26130.0</v>
      </c>
    </row>
    <row r="2035">
      <c r="G2035" s="10"/>
      <c r="H2035" s="6"/>
      <c r="AD2035" s="5">
        <v>45011.0</v>
      </c>
      <c r="AE2035" s="6">
        <v>0.7083333333333334</v>
      </c>
      <c r="AF2035" s="7">
        <v>9336.6</v>
      </c>
    </row>
    <row r="2036">
      <c r="G2036" s="10"/>
      <c r="H2036" s="6"/>
      <c r="AD2036" s="5">
        <v>45011.0</v>
      </c>
      <c r="AE2036" s="6">
        <v>0.75</v>
      </c>
      <c r="AF2036" s="7">
        <v>0.0</v>
      </c>
    </row>
    <row r="2037">
      <c r="G2037" s="5"/>
      <c r="H2037" s="6"/>
      <c r="AD2037" s="5">
        <v>45011.0</v>
      </c>
      <c r="AE2037" s="6">
        <v>0.7916666666666666</v>
      </c>
      <c r="AF2037" s="7">
        <v>0.0</v>
      </c>
    </row>
    <row r="2038">
      <c r="G2038" s="5"/>
      <c r="H2038" s="6"/>
      <c r="AD2038" s="5">
        <v>45011.0</v>
      </c>
      <c r="AE2038" s="6">
        <v>0.8333333333333334</v>
      </c>
      <c r="AF2038" s="7">
        <v>0.0</v>
      </c>
    </row>
    <row r="2039">
      <c r="G2039" s="5"/>
      <c r="H2039" s="6"/>
      <c r="AD2039" s="5">
        <v>45011.0</v>
      </c>
      <c r="AE2039" s="6">
        <v>0.875</v>
      </c>
      <c r="AF2039" s="7">
        <v>0.0</v>
      </c>
    </row>
    <row r="2040">
      <c r="G2040" s="10"/>
      <c r="H2040" s="6"/>
      <c r="AD2040" s="5">
        <v>45011.0</v>
      </c>
      <c r="AE2040" s="6">
        <v>0.9166666666666666</v>
      </c>
      <c r="AF2040" s="7">
        <v>0.0</v>
      </c>
    </row>
    <row r="2041">
      <c r="G2041" s="5"/>
      <c r="H2041" s="6"/>
      <c r="AD2041" s="5">
        <v>45011.0</v>
      </c>
      <c r="AE2041" s="6">
        <v>0.9583333333333334</v>
      </c>
      <c r="AF2041" s="7">
        <v>0.0</v>
      </c>
    </row>
    <row r="2042">
      <c r="G2042" s="5"/>
      <c r="H2042" s="6"/>
      <c r="AD2042" s="5">
        <v>45012.0</v>
      </c>
      <c r="AE2042" s="6">
        <v>0.0</v>
      </c>
      <c r="AF2042" s="7">
        <v>0.0</v>
      </c>
    </row>
    <row r="2043">
      <c r="G2043" s="10"/>
      <c r="H2043" s="6"/>
      <c r="AD2043" s="5">
        <v>45012.0</v>
      </c>
      <c r="AE2043" s="6">
        <v>0.041666666666666664</v>
      </c>
      <c r="AF2043" s="7">
        <v>0.0</v>
      </c>
    </row>
    <row r="2044">
      <c r="G2044" s="10"/>
      <c r="H2044" s="6"/>
      <c r="AD2044" s="5">
        <v>45012.0</v>
      </c>
      <c r="AE2044" s="6">
        <v>0.08333333333333333</v>
      </c>
      <c r="AF2044" s="7">
        <v>0.0</v>
      </c>
    </row>
    <row r="2045">
      <c r="G2045" s="10"/>
      <c r="H2045" s="6"/>
      <c r="AD2045" s="5">
        <v>45012.0</v>
      </c>
      <c r="AE2045" s="6">
        <v>0.125</v>
      </c>
      <c r="AF2045" s="7">
        <v>0.0</v>
      </c>
    </row>
    <row r="2046">
      <c r="G2046" s="10"/>
      <c r="H2046" s="6"/>
      <c r="AD2046" s="5">
        <v>45012.0</v>
      </c>
      <c r="AE2046" s="6">
        <v>0.16666666666666666</v>
      </c>
      <c r="AF2046" s="7">
        <v>0.0</v>
      </c>
    </row>
    <row r="2047">
      <c r="G2047" s="5"/>
      <c r="H2047" s="6"/>
      <c r="AD2047" s="5">
        <v>45012.0</v>
      </c>
      <c r="AE2047" s="6">
        <v>0.20833333333333334</v>
      </c>
      <c r="AF2047" s="7">
        <v>0.0</v>
      </c>
    </row>
    <row r="2048">
      <c r="G2048" s="5"/>
      <c r="H2048" s="6"/>
      <c r="AD2048" s="5">
        <v>45012.0</v>
      </c>
      <c r="AE2048" s="6">
        <v>0.25</v>
      </c>
      <c r="AF2048" s="7">
        <v>0.0</v>
      </c>
    </row>
    <row r="2049">
      <c r="G2049" s="5"/>
      <c r="H2049" s="6"/>
      <c r="AD2049" s="5">
        <v>45012.0</v>
      </c>
      <c r="AE2049" s="6">
        <v>0.2916666666666667</v>
      </c>
      <c r="AF2049" s="7">
        <v>11298.3</v>
      </c>
    </row>
    <row r="2050">
      <c r="G2050" s="5"/>
      <c r="H2050" s="6"/>
      <c r="AD2050" s="5">
        <v>45012.0</v>
      </c>
      <c r="AE2050" s="6">
        <v>0.3333333333333333</v>
      </c>
      <c r="AF2050" s="7">
        <v>29432.52</v>
      </c>
    </row>
    <row r="2051">
      <c r="G2051" s="10"/>
      <c r="H2051" s="6"/>
      <c r="AD2051" s="5">
        <v>45012.0</v>
      </c>
      <c r="AE2051" s="6">
        <v>0.375</v>
      </c>
      <c r="AF2051" s="7">
        <v>44470.14</v>
      </c>
    </row>
    <row r="2052">
      <c r="G2052" s="10"/>
      <c r="H2052" s="6"/>
      <c r="AD2052" s="5">
        <v>45012.0</v>
      </c>
      <c r="AE2052" s="6">
        <v>0.4166666666666667</v>
      </c>
      <c r="AF2052" s="7">
        <v>55467.36</v>
      </c>
    </row>
    <row r="2053">
      <c r="G2053" s="10"/>
      <c r="H2053" s="6"/>
      <c r="AD2053" s="5">
        <v>45012.0</v>
      </c>
      <c r="AE2053" s="6">
        <v>0.4583333333333333</v>
      </c>
      <c r="AF2053" s="7">
        <v>62131.68</v>
      </c>
    </row>
    <row r="2054">
      <c r="G2054" s="10"/>
      <c r="H2054" s="6"/>
      <c r="AD2054" s="5">
        <v>45012.0</v>
      </c>
      <c r="AE2054" s="6">
        <v>0.5</v>
      </c>
      <c r="AF2054" s="7">
        <v>65508.3</v>
      </c>
    </row>
    <row r="2055">
      <c r="G2055" s="10"/>
      <c r="H2055" s="6"/>
      <c r="AD2055" s="5">
        <v>45012.0</v>
      </c>
      <c r="AE2055" s="6">
        <v>0.5416666666666666</v>
      </c>
      <c r="AF2055" s="7">
        <v>62790.78</v>
      </c>
    </row>
    <row r="2056">
      <c r="G2056" s="10"/>
      <c r="H2056" s="6"/>
      <c r="AD2056" s="5">
        <v>45012.0</v>
      </c>
      <c r="AE2056" s="6">
        <v>0.5833333333333334</v>
      </c>
      <c r="AF2056" s="7">
        <v>54811.38</v>
      </c>
    </row>
    <row r="2057">
      <c r="G2057" s="10"/>
      <c r="H2057" s="6"/>
      <c r="AD2057" s="5">
        <v>45012.0</v>
      </c>
      <c r="AE2057" s="6">
        <v>0.625</v>
      </c>
      <c r="AF2057" s="7">
        <v>42921.06</v>
      </c>
    </row>
    <row r="2058">
      <c r="G2058" s="10"/>
      <c r="H2058" s="6"/>
      <c r="AD2058" s="5">
        <v>45012.0</v>
      </c>
      <c r="AE2058" s="6">
        <v>0.6666666666666666</v>
      </c>
      <c r="AF2058" s="7">
        <v>26497.38</v>
      </c>
    </row>
    <row r="2059">
      <c r="G2059" s="10"/>
      <c r="H2059" s="6"/>
      <c r="AD2059" s="5">
        <v>45012.0</v>
      </c>
      <c r="AE2059" s="6">
        <v>0.7083333333333334</v>
      </c>
      <c r="AF2059" s="7">
        <v>10167.3</v>
      </c>
    </row>
    <row r="2060">
      <c r="G2060" s="10"/>
      <c r="H2060" s="6"/>
      <c r="AD2060" s="5">
        <v>45012.0</v>
      </c>
      <c r="AE2060" s="6">
        <v>0.75</v>
      </c>
      <c r="AF2060" s="7">
        <v>0.0</v>
      </c>
    </row>
    <row r="2061">
      <c r="G2061" s="10"/>
      <c r="H2061" s="6"/>
      <c r="AD2061" s="5">
        <v>45012.0</v>
      </c>
      <c r="AE2061" s="6">
        <v>0.7916666666666666</v>
      </c>
      <c r="AF2061" s="7">
        <v>0.0</v>
      </c>
    </row>
    <row r="2062">
      <c r="G2062" s="10"/>
      <c r="H2062" s="6"/>
      <c r="AD2062" s="5">
        <v>45012.0</v>
      </c>
      <c r="AE2062" s="6">
        <v>0.8333333333333334</v>
      </c>
      <c r="AF2062" s="7">
        <v>0.0</v>
      </c>
    </row>
    <row r="2063">
      <c r="G2063" s="10"/>
      <c r="H2063" s="6"/>
      <c r="AD2063" s="5">
        <v>45012.0</v>
      </c>
      <c r="AE2063" s="6">
        <v>0.875</v>
      </c>
      <c r="AF2063" s="7">
        <v>0.0</v>
      </c>
    </row>
    <row r="2064">
      <c r="G2064" s="10"/>
      <c r="H2064" s="6"/>
      <c r="AD2064" s="5">
        <v>45012.0</v>
      </c>
      <c r="AE2064" s="6">
        <v>0.9166666666666666</v>
      </c>
      <c r="AF2064" s="7">
        <v>0.0</v>
      </c>
    </row>
    <row r="2065">
      <c r="G2065" s="5"/>
      <c r="H2065" s="6"/>
      <c r="AD2065" s="5">
        <v>45012.0</v>
      </c>
      <c r="AE2065" s="6">
        <v>0.9583333333333334</v>
      </c>
      <c r="AF2065" s="7">
        <v>0.0</v>
      </c>
    </row>
    <row r="2066">
      <c r="G2066" s="5"/>
      <c r="H2066" s="6"/>
      <c r="AD2066" s="5">
        <v>45013.0</v>
      </c>
      <c r="AE2066" s="6">
        <v>0.0</v>
      </c>
      <c r="AF2066" s="7">
        <v>0.0</v>
      </c>
    </row>
    <row r="2067">
      <c r="G2067" s="5"/>
      <c r="H2067" s="6"/>
      <c r="AD2067" s="5">
        <v>45013.0</v>
      </c>
      <c r="AE2067" s="6">
        <v>0.041666666666666664</v>
      </c>
      <c r="AF2067" s="7">
        <v>0.0</v>
      </c>
    </row>
    <row r="2068">
      <c r="G2068" s="5"/>
      <c r="H2068" s="6"/>
      <c r="AD2068" s="5">
        <v>45013.0</v>
      </c>
      <c r="AE2068" s="6">
        <v>0.08333333333333333</v>
      </c>
      <c r="AF2068" s="7">
        <v>0.0</v>
      </c>
    </row>
    <row r="2069">
      <c r="G2069" s="10"/>
      <c r="H2069" s="6"/>
      <c r="AD2069" s="5">
        <v>45013.0</v>
      </c>
      <c r="AE2069" s="6">
        <v>0.125</v>
      </c>
      <c r="AF2069" s="7">
        <v>0.0</v>
      </c>
    </row>
    <row r="2070">
      <c r="G2070" s="10"/>
      <c r="H2070" s="6"/>
      <c r="AD2070" s="5">
        <v>45013.0</v>
      </c>
      <c r="AE2070" s="6">
        <v>0.16666666666666666</v>
      </c>
      <c r="AF2070" s="7">
        <v>0.0</v>
      </c>
    </row>
    <row r="2071">
      <c r="G2071" s="10"/>
      <c r="H2071" s="6"/>
      <c r="AD2071" s="5">
        <v>45013.0</v>
      </c>
      <c r="AE2071" s="6">
        <v>0.20833333333333334</v>
      </c>
      <c r="AF2071" s="7">
        <v>0.0</v>
      </c>
    </row>
    <row r="2072">
      <c r="G2072" s="5"/>
      <c r="H2072" s="6"/>
      <c r="AD2072" s="5">
        <v>45013.0</v>
      </c>
      <c r="AE2072" s="6">
        <v>0.25</v>
      </c>
      <c r="AF2072" s="7">
        <v>0.0</v>
      </c>
    </row>
    <row r="2073">
      <c r="G2073" s="5"/>
      <c r="H2073" s="6"/>
      <c r="AD2073" s="5">
        <v>45013.0</v>
      </c>
      <c r="AE2073" s="6">
        <v>0.2916666666666667</v>
      </c>
      <c r="AF2073" s="7">
        <v>11568.96</v>
      </c>
    </row>
    <row r="2074">
      <c r="G2074" s="10"/>
      <c r="H2074" s="6"/>
      <c r="AD2074" s="5">
        <v>45013.0</v>
      </c>
      <c r="AE2074" s="6">
        <v>0.3333333333333333</v>
      </c>
      <c r="AF2074" s="7">
        <v>28120.56</v>
      </c>
    </row>
    <row r="2075">
      <c r="G2075" s="10"/>
      <c r="H2075" s="6"/>
      <c r="AD2075" s="5">
        <v>45013.0</v>
      </c>
      <c r="AE2075" s="6">
        <v>0.375</v>
      </c>
      <c r="AF2075" s="7">
        <v>42545.88</v>
      </c>
    </row>
    <row r="2076">
      <c r="G2076" s="10"/>
      <c r="H2076" s="6"/>
      <c r="AD2076" s="5">
        <v>45013.0</v>
      </c>
      <c r="AE2076" s="6">
        <v>0.4166666666666667</v>
      </c>
      <c r="AF2076" s="7">
        <v>52476.06</v>
      </c>
    </row>
    <row r="2077">
      <c r="G2077" s="10"/>
      <c r="H2077" s="6"/>
      <c r="AD2077" s="5">
        <v>45013.0</v>
      </c>
      <c r="AE2077" s="6">
        <v>0.4583333333333333</v>
      </c>
      <c r="AF2077" s="7">
        <v>58069.44</v>
      </c>
    </row>
    <row r="2078">
      <c r="G2078" s="10"/>
      <c r="H2078" s="6"/>
      <c r="AD2078" s="5">
        <v>45013.0</v>
      </c>
      <c r="AE2078" s="6">
        <v>0.5</v>
      </c>
      <c r="AF2078" s="7">
        <v>60222.24</v>
      </c>
    </row>
    <row r="2079">
      <c r="G2079" s="10"/>
      <c r="H2079" s="6"/>
      <c r="AD2079" s="5">
        <v>45013.0</v>
      </c>
      <c r="AE2079" s="6">
        <v>0.5416666666666666</v>
      </c>
      <c r="AF2079" s="7">
        <v>56932.2</v>
      </c>
    </row>
    <row r="2080">
      <c r="G2080" s="10"/>
      <c r="H2080" s="6"/>
      <c r="AD2080" s="5">
        <v>45013.0</v>
      </c>
      <c r="AE2080" s="6">
        <v>0.5833333333333334</v>
      </c>
      <c r="AF2080" s="7">
        <v>51015.9</v>
      </c>
    </row>
    <row r="2081">
      <c r="G2081" s="10"/>
      <c r="H2081" s="6"/>
      <c r="AD2081" s="5">
        <v>45013.0</v>
      </c>
      <c r="AE2081" s="6">
        <v>0.625</v>
      </c>
      <c r="AF2081" s="7">
        <v>32220.24</v>
      </c>
    </row>
    <row r="2082">
      <c r="G2082" s="10"/>
      <c r="H2082" s="6"/>
      <c r="AD2082" s="5">
        <v>45013.0</v>
      </c>
      <c r="AE2082" s="6">
        <v>0.6666666666666666</v>
      </c>
      <c r="AF2082" s="7">
        <v>25597.26</v>
      </c>
    </row>
    <row r="2083">
      <c r="G2083" s="10"/>
      <c r="H2083" s="6"/>
      <c r="AD2083" s="5">
        <v>45013.0</v>
      </c>
      <c r="AE2083" s="6">
        <v>0.7083333333333334</v>
      </c>
      <c r="AF2083" s="7">
        <v>10332.66</v>
      </c>
    </row>
    <row r="2084">
      <c r="G2084" s="10"/>
      <c r="H2084" s="6"/>
      <c r="AD2084" s="5">
        <v>45013.0</v>
      </c>
      <c r="AE2084" s="6">
        <v>0.75</v>
      </c>
      <c r="AF2084" s="7">
        <v>0.0</v>
      </c>
    </row>
    <row r="2085">
      <c r="G2085" s="10"/>
      <c r="H2085" s="6"/>
      <c r="AD2085" s="5">
        <v>45013.0</v>
      </c>
      <c r="AE2085" s="6">
        <v>0.7916666666666666</v>
      </c>
      <c r="AF2085" s="7">
        <v>0.0</v>
      </c>
    </row>
    <row r="2086">
      <c r="G2086" s="5"/>
      <c r="H2086" s="6"/>
      <c r="AD2086" s="5">
        <v>45013.0</v>
      </c>
      <c r="AE2086" s="6">
        <v>0.8333333333333334</v>
      </c>
      <c r="AF2086" s="7">
        <v>0.0</v>
      </c>
    </row>
    <row r="2087">
      <c r="G2087" s="5"/>
      <c r="H2087" s="6"/>
      <c r="AD2087" s="5">
        <v>45013.0</v>
      </c>
      <c r="AE2087" s="6">
        <v>0.875</v>
      </c>
      <c r="AF2087" s="7">
        <v>0.0</v>
      </c>
    </row>
    <row r="2088">
      <c r="G2088" s="5"/>
      <c r="H2088" s="6"/>
      <c r="AD2088" s="5">
        <v>45013.0</v>
      </c>
      <c r="AE2088" s="6">
        <v>0.9166666666666666</v>
      </c>
      <c r="AF2088" s="7">
        <v>0.0</v>
      </c>
    </row>
    <row r="2089">
      <c r="G2089" s="5"/>
      <c r="H2089" s="6"/>
      <c r="AD2089" s="5">
        <v>45013.0</v>
      </c>
      <c r="AE2089" s="6">
        <v>0.9583333333333334</v>
      </c>
      <c r="AF2089" s="7">
        <v>0.0</v>
      </c>
    </row>
    <row r="2090">
      <c r="G2090" s="5"/>
      <c r="H2090" s="6"/>
      <c r="AD2090" s="5">
        <v>45014.0</v>
      </c>
      <c r="AE2090" s="6">
        <v>0.0</v>
      </c>
      <c r="AF2090" s="7">
        <v>0.0</v>
      </c>
    </row>
    <row r="2091">
      <c r="G2091" s="5"/>
      <c r="H2091" s="6"/>
      <c r="AD2091" s="5">
        <v>45014.0</v>
      </c>
      <c r="AE2091" s="6">
        <v>0.041666666666666664</v>
      </c>
      <c r="AF2091" s="7">
        <v>0.0</v>
      </c>
    </row>
    <row r="2092">
      <c r="G2092" s="5"/>
      <c r="H2092" s="6"/>
      <c r="AD2092" s="5">
        <v>45014.0</v>
      </c>
      <c r="AE2092" s="6">
        <v>0.08333333333333333</v>
      </c>
      <c r="AF2092" s="7">
        <v>0.0</v>
      </c>
    </row>
    <row r="2093">
      <c r="G2093" s="10"/>
      <c r="H2093" s="6"/>
      <c r="AD2093" s="5">
        <v>45014.0</v>
      </c>
      <c r="AE2093" s="6">
        <v>0.125</v>
      </c>
      <c r="AF2093" s="7">
        <v>0.0</v>
      </c>
    </row>
    <row r="2094">
      <c r="G2094" s="10"/>
      <c r="H2094" s="6"/>
      <c r="AD2094" s="5">
        <v>45014.0</v>
      </c>
      <c r="AE2094" s="6">
        <v>0.16666666666666666</v>
      </c>
      <c r="AF2094" s="7">
        <v>0.0</v>
      </c>
    </row>
    <row r="2095">
      <c r="G2095" s="10"/>
      <c r="H2095" s="6"/>
      <c r="AD2095" s="5">
        <v>45014.0</v>
      </c>
      <c r="AE2095" s="6">
        <v>0.20833333333333334</v>
      </c>
      <c r="AF2095" s="7">
        <v>0.0</v>
      </c>
    </row>
    <row r="2096">
      <c r="G2096" s="10"/>
      <c r="H2096" s="6"/>
      <c r="AD2096" s="5">
        <v>45014.0</v>
      </c>
      <c r="AE2096" s="6">
        <v>0.25</v>
      </c>
      <c r="AF2096" s="7">
        <v>39.0</v>
      </c>
    </row>
    <row r="2097">
      <c r="G2097" s="10"/>
      <c r="H2097" s="6"/>
      <c r="AD2097" s="5">
        <v>45014.0</v>
      </c>
      <c r="AE2097" s="6">
        <v>0.2916666666666667</v>
      </c>
      <c r="AF2097" s="7">
        <v>10358.4</v>
      </c>
    </row>
    <row r="2098">
      <c r="G2098" s="10"/>
      <c r="H2098" s="6"/>
      <c r="AD2098" s="5">
        <v>45014.0</v>
      </c>
      <c r="AE2098" s="6">
        <v>0.3333333333333333</v>
      </c>
      <c r="AF2098" s="7">
        <v>28306.98</v>
      </c>
    </row>
    <row r="2099">
      <c r="G2099" s="5"/>
      <c r="H2099" s="6"/>
      <c r="AD2099" s="5">
        <v>45014.0</v>
      </c>
      <c r="AE2099" s="6">
        <v>0.375</v>
      </c>
      <c r="AF2099" s="7">
        <v>41600.52</v>
      </c>
    </row>
    <row r="2100">
      <c r="G2100" s="5"/>
      <c r="H2100" s="6"/>
      <c r="AD2100" s="5">
        <v>45014.0</v>
      </c>
      <c r="AE2100" s="6">
        <v>0.4166666666666667</v>
      </c>
      <c r="AF2100" s="7">
        <v>51223.38</v>
      </c>
    </row>
    <row r="2101">
      <c r="G2101" s="5"/>
      <c r="H2101" s="6"/>
      <c r="AD2101" s="5">
        <v>45014.0</v>
      </c>
      <c r="AE2101" s="6">
        <v>0.4583333333333333</v>
      </c>
      <c r="AF2101" s="7">
        <v>58224.66</v>
      </c>
    </row>
    <row r="2102">
      <c r="G2102" s="5"/>
      <c r="H2102" s="6"/>
      <c r="AD2102" s="5">
        <v>45014.0</v>
      </c>
      <c r="AE2102" s="6">
        <v>0.5</v>
      </c>
      <c r="AF2102" s="7">
        <v>60815.82</v>
      </c>
    </row>
    <row r="2103">
      <c r="G2103" s="5"/>
      <c r="H2103" s="6"/>
      <c r="AD2103" s="5">
        <v>45014.0</v>
      </c>
      <c r="AE2103" s="6">
        <v>0.5416666666666666</v>
      </c>
      <c r="AF2103" s="7">
        <v>57484.44</v>
      </c>
    </row>
    <row r="2104">
      <c r="G2104" s="10"/>
      <c r="H2104" s="6"/>
      <c r="AD2104" s="5">
        <v>45014.0</v>
      </c>
      <c r="AE2104" s="6">
        <v>0.5833333333333334</v>
      </c>
      <c r="AF2104" s="7">
        <v>49603.32</v>
      </c>
    </row>
    <row r="2105">
      <c r="G2105" s="10"/>
      <c r="H2105" s="6"/>
      <c r="AD2105" s="5">
        <v>45014.0</v>
      </c>
      <c r="AE2105" s="6">
        <v>0.625</v>
      </c>
      <c r="AF2105" s="7">
        <v>39689.52</v>
      </c>
    </row>
    <row r="2106">
      <c r="G2106" s="10"/>
      <c r="H2106" s="6"/>
      <c r="AD2106" s="5">
        <v>45014.0</v>
      </c>
      <c r="AE2106" s="6">
        <v>0.6666666666666666</v>
      </c>
      <c r="AF2106" s="7">
        <v>25493.52</v>
      </c>
    </row>
    <row r="2107">
      <c r="G2107" s="10"/>
      <c r="H2107" s="6"/>
      <c r="AD2107" s="5">
        <v>45014.0</v>
      </c>
      <c r="AE2107" s="6">
        <v>0.7083333333333334</v>
      </c>
      <c r="AF2107" s="7">
        <v>8685.3</v>
      </c>
    </row>
    <row r="2108">
      <c r="G2108" s="5"/>
      <c r="H2108" s="6"/>
      <c r="AD2108" s="5">
        <v>45014.0</v>
      </c>
      <c r="AE2108" s="6">
        <v>0.75</v>
      </c>
      <c r="AF2108" s="7">
        <v>0.0</v>
      </c>
    </row>
    <row r="2109">
      <c r="G2109" s="5"/>
      <c r="H2109" s="6"/>
      <c r="AD2109" s="5">
        <v>45014.0</v>
      </c>
      <c r="AE2109" s="6">
        <v>0.7916666666666666</v>
      </c>
      <c r="AF2109" s="7">
        <v>0.0</v>
      </c>
    </row>
    <row r="2110">
      <c r="G2110" s="5"/>
      <c r="H2110" s="6"/>
      <c r="AD2110" s="5">
        <v>45014.0</v>
      </c>
      <c r="AE2110" s="6">
        <v>0.8333333333333334</v>
      </c>
      <c r="AF2110" s="7">
        <v>0.0</v>
      </c>
    </row>
    <row r="2111">
      <c r="G2111" s="10"/>
      <c r="H2111" s="6"/>
      <c r="AD2111" s="5">
        <v>45014.0</v>
      </c>
      <c r="AE2111" s="6">
        <v>0.875</v>
      </c>
      <c r="AF2111" s="7">
        <v>0.0</v>
      </c>
    </row>
    <row r="2112">
      <c r="G2112" s="10"/>
      <c r="H2112" s="6"/>
      <c r="AD2112" s="5">
        <v>45014.0</v>
      </c>
      <c r="AE2112" s="6">
        <v>0.9166666666666666</v>
      </c>
      <c r="AF2112" s="7">
        <v>0.0</v>
      </c>
    </row>
    <row r="2113">
      <c r="G2113" s="5"/>
      <c r="H2113" s="6"/>
      <c r="AD2113" s="5">
        <v>45014.0</v>
      </c>
      <c r="AE2113" s="6">
        <v>0.9583333333333334</v>
      </c>
      <c r="AF2113" s="7">
        <v>0.0</v>
      </c>
    </row>
    <row r="2114">
      <c r="G2114" s="5"/>
      <c r="H2114" s="6"/>
      <c r="AD2114" s="5">
        <v>45015.0</v>
      </c>
      <c r="AE2114" s="6">
        <v>0.0</v>
      </c>
      <c r="AF2114" s="7">
        <v>0.0</v>
      </c>
    </row>
    <row r="2115">
      <c r="G2115" s="5"/>
      <c r="H2115" s="6"/>
      <c r="AD2115" s="5">
        <v>45015.0</v>
      </c>
      <c r="AE2115" s="6">
        <v>0.041666666666666664</v>
      </c>
      <c r="AF2115" s="7">
        <v>0.0</v>
      </c>
    </row>
    <row r="2116">
      <c r="G2116" s="10"/>
      <c r="H2116" s="6"/>
      <c r="AD2116" s="5">
        <v>45015.0</v>
      </c>
      <c r="AE2116" s="6">
        <v>0.08333333333333333</v>
      </c>
      <c r="AF2116" s="7">
        <v>0.0</v>
      </c>
    </row>
    <row r="2117">
      <c r="G2117" s="10"/>
      <c r="H2117" s="6"/>
      <c r="AD2117" s="5">
        <v>45015.0</v>
      </c>
      <c r="AE2117" s="6">
        <v>0.125</v>
      </c>
      <c r="AF2117" s="7">
        <v>0.0</v>
      </c>
    </row>
    <row r="2118">
      <c r="G2118" s="10"/>
      <c r="H2118" s="6"/>
      <c r="AD2118" s="5">
        <v>45015.0</v>
      </c>
      <c r="AE2118" s="6">
        <v>0.16666666666666666</v>
      </c>
      <c r="AF2118" s="7">
        <v>0.0</v>
      </c>
    </row>
    <row r="2119">
      <c r="G2119" s="10"/>
      <c r="H2119" s="6"/>
      <c r="AD2119" s="5">
        <v>45015.0</v>
      </c>
      <c r="AE2119" s="6">
        <v>0.20833333333333334</v>
      </c>
      <c r="AF2119" s="7">
        <v>0.0</v>
      </c>
    </row>
    <row r="2120">
      <c r="G2120" s="10"/>
      <c r="H2120" s="6"/>
      <c r="AD2120" s="5">
        <v>45015.0</v>
      </c>
      <c r="AE2120" s="6">
        <v>0.25</v>
      </c>
      <c r="AF2120" s="7">
        <v>220.74</v>
      </c>
    </row>
    <row r="2121">
      <c r="G2121" s="10"/>
      <c r="H2121" s="6"/>
      <c r="AD2121" s="5">
        <v>45015.0</v>
      </c>
      <c r="AE2121" s="6">
        <v>0.2916666666666667</v>
      </c>
      <c r="AF2121" s="7">
        <v>11108.76</v>
      </c>
    </row>
    <row r="2122">
      <c r="G2122" s="10"/>
      <c r="H2122" s="6"/>
      <c r="AD2122" s="5">
        <v>45015.0</v>
      </c>
      <c r="AE2122" s="6">
        <v>0.3333333333333333</v>
      </c>
      <c r="AF2122" s="7">
        <v>23972.52</v>
      </c>
    </row>
    <row r="2123">
      <c r="G2123" s="10"/>
      <c r="H2123" s="6"/>
      <c r="AD2123" s="5">
        <v>45015.0</v>
      </c>
      <c r="AE2123" s="6">
        <v>0.375</v>
      </c>
      <c r="AF2123" s="7">
        <v>42709.68</v>
      </c>
    </row>
    <row r="2124">
      <c r="G2124" s="10"/>
      <c r="H2124" s="6"/>
      <c r="AD2124" s="5">
        <v>45015.0</v>
      </c>
      <c r="AE2124" s="6">
        <v>0.4166666666666667</v>
      </c>
      <c r="AF2124" s="7">
        <v>46708.74</v>
      </c>
    </row>
    <row r="2125">
      <c r="G2125" s="5"/>
      <c r="H2125" s="6"/>
      <c r="AD2125" s="5">
        <v>45015.0</v>
      </c>
      <c r="AE2125" s="6">
        <v>0.4583333333333333</v>
      </c>
      <c r="AF2125" s="7">
        <v>57900.18</v>
      </c>
    </row>
    <row r="2126">
      <c r="G2126" s="5"/>
      <c r="H2126" s="6"/>
      <c r="AD2126" s="5">
        <v>45015.0</v>
      </c>
      <c r="AE2126" s="6">
        <v>0.5</v>
      </c>
      <c r="AF2126" s="7">
        <v>51150.06</v>
      </c>
    </row>
    <row r="2127">
      <c r="G2127" s="5"/>
      <c r="H2127" s="6"/>
      <c r="AD2127" s="5">
        <v>45015.0</v>
      </c>
      <c r="AE2127" s="6">
        <v>0.5416666666666666</v>
      </c>
      <c r="AF2127" s="7">
        <v>36273.9</v>
      </c>
    </row>
    <row r="2128">
      <c r="G2128" s="10"/>
      <c r="H2128" s="6"/>
      <c r="AD2128" s="5">
        <v>45015.0</v>
      </c>
      <c r="AE2128" s="6">
        <v>0.5833333333333334</v>
      </c>
      <c r="AF2128" s="7">
        <v>49416.9</v>
      </c>
    </row>
    <row r="2129">
      <c r="G2129" s="5"/>
      <c r="H2129" s="6"/>
      <c r="AD2129" s="5">
        <v>45015.0</v>
      </c>
      <c r="AE2129" s="6">
        <v>0.625</v>
      </c>
      <c r="AF2129" s="7">
        <v>39634.92</v>
      </c>
    </row>
    <row r="2130">
      <c r="G2130" s="5"/>
      <c r="H2130" s="6"/>
      <c r="AD2130" s="5">
        <v>45015.0</v>
      </c>
      <c r="AE2130" s="6">
        <v>0.6666666666666666</v>
      </c>
      <c r="AF2130" s="7">
        <v>10581.48</v>
      </c>
    </row>
    <row r="2131">
      <c r="G2131" s="10"/>
      <c r="H2131" s="6"/>
      <c r="AD2131" s="5">
        <v>45015.0</v>
      </c>
      <c r="AE2131" s="6">
        <v>0.7083333333333334</v>
      </c>
      <c r="AF2131" s="7">
        <v>5084.04</v>
      </c>
    </row>
    <row r="2132">
      <c r="G2132" s="10"/>
      <c r="H2132" s="6"/>
      <c r="AD2132" s="5">
        <v>45015.0</v>
      </c>
      <c r="AE2132" s="6">
        <v>0.75</v>
      </c>
      <c r="AF2132" s="7">
        <v>0.0</v>
      </c>
    </row>
    <row r="2133">
      <c r="G2133" s="10"/>
      <c r="H2133" s="6"/>
      <c r="AD2133" s="5">
        <v>45015.0</v>
      </c>
      <c r="AE2133" s="6">
        <v>0.7916666666666666</v>
      </c>
      <c r="AF2133" s="7">
        <v>0.0</v>
      </c>
    </row>
    <row r="2134">
      <c r="G2134" s="10"/>
      <c r="H2134" s="6"/>
      <c r="AD2134" s="5">
        <v>45015.0</v>
      </c>
      <c r="AE2134" s="6">
        <v>0.8333333333333334</v>
      </c>
      <c r="AF2134" s="7">
        <v>0.0</v>
      </c>
    </row>
    <row r="2135">
      <c r="G2135" s="10"/>
      <c r="H2135" s="6"/>
      <c r="AD2135" s="5">
        <v>45015.0</v>
      </c>
      <c r="AE2135" s="6">
        <v>0.875</v>
      </c>
      <c r="AF2135" s="7">
        <v>0.0</v>
      </c>
    </row>
    <row r="2136">
      <c r="G2136" s="10"/>
      <c r="H2136" s="6"/>
      <c r="AD2136" s="5">
        <v>45015.0</v>
      </c>
      <c r="AE2136" s="6">
        <v>0.9166666666666666</v>
      </c>
      <c r="AF2136" s="7">
        <v>0.0</v>
      </c>
    </row>
    <row r="2137">
      <c r="G2137" s="10"/>
      <c r="H2137" s="6"/>
      <c r="AD2137" s="5">
        <v>45015.0</v>
      </c>
      <c r="AE2137" s="6">
        <v>0.9583333333333334</v>
      </c>
      <c r="AF2137" s="7">
        <v>0.0</v>
      </c>
    </row>
    <row r="2138">
      <c r="G2138" s="5"/>
      <c r="H2138" s="6"/>
      <c r="AD2138" s="5">
        <v>45016.0</v>
      </c>
      <c r="AE2138" s="6">
        <v>0.0</v>
      </c>
      <c r="AF2138" s="7">
        <v>0.0</v>
      </c>
    </row>
    <row r="2139">
      <c r="G2139" s="5"/>
      <c r="H2139" s="6"/>
      <c r="AD2139" s="5">
        <v>45016.0</v>
      </c>
      <c r="AE2139" s="6">
        <v>0.041666666666666664</v>
      </c>
      <c r="AF2139" s="7">
        <v>0.0</v>
      </c>
    </row>
    <row r="2140">
      <c r="G2140" s="5"/>
      <c r="H2140" s="6"/>
      <c r="AD2140" s="5">
        <v>45016.0</v>
      </c>
      <c r="AE2140" s="6">
        <v>0.08333333333333333</v>
      </c>
      <c r="AF2140" s="7">
        <v>0.0</v>
      </c>
    </row>
    <row r="2141">
      <c r="G2141" s="10"/>
      <c r="H2141" s="6"/>
      <c r="AD2141" s="5">
        <v>45016.0</v>
      </c>
      <c r="AE2141" s="6">
        <v>0.125</v>
      </c>
      <c r="AF2141" s="7">
        <v>0.0</v>
      </c>
    </row>
    <row r="2142">
      <c r="G2142" s="5"/>
      <c r="H2142" s="6"/>
      <c r="AD2142" s="5">
        <v>45016.0</v>
      </c>
      <c r="AE2142" s="6">
        <v>0.16666666666666666</v>
      </c>
      <c r="AF2142" s="7">
        <v>0.0</v>
      </c>
    </row>
    <row r="2143">
      <c r="G2143" s="5"/>
      <c r="H2143" s="6"/>
      <c r="AD2143" s="5">
        <v>45016.0</v>
      </c>
      <c r="AE2143" s="6">
        <v>0.20833333333333334</v>
      </c>
      <c r="AF2143" s="7">
        <v>0.0</v>
      </c>
    </row>
    <row r="2144">
      <c r="G2144" s="5"/>
      <c r="H2144" s="6"/>
      <c r="AD2144" s="5">
        <v>45016.0</v>
      </c>
      <c r="AE2144" s="6">
        <v>0.25</v>
      </c>
      <c r="AF2144" s="7">
        <v>99.06</v>
      </c>
    </row>
    <row r="2145">
      <c r="G2145" s="5"/>
      <c r="H2145" s="6"/>
      <c r="AD2145" s="5">
        <v>45016.0</v>
      </c>
      <c r="AE2145" s="6">
        <v>0.2916666666666667</v>
      </c>
      <c r="AF2145" s="7">
        <v>7440.42</v>
      </c>
    </row>
    <row r="2146">
      <c r="G2146" s="5"/>
      <c r="H2146" s="6"/>
      <c r="AD2146" s="5">
        <v>45016.0</v>
      </c>
      <c r="AE2146" s="6">
        <v>0.3333333333333333</v>
      </c>
      <c r="AF2146" s="7">
        <v>26006.76</v>
      </c>
    </row>
    <row r="2147">
      <c r="G2147" s="10"/>
      <c r="H2147" s="6"/>
      <c r="AD2147" s="5">
        <v>45016.0</v>
      </c>
      <c r="AE2147" s="6">
        <v>0.375</v>
      </c>
      <c r="AF2147" s="7">
        <v>35665.5</v>
      </c>
    </row>
    <row r="2148">
      <c r="G2148" s="10"/>
      <c r="H2148" s="6"/>
      <c r="AD2148" s="5">
        <v>45016.0</v>
      </c>
      <c r="AE2148" s="6">
        <v>0.4166666666666667</v>
      </c>
      <c r="AF2148" s="7">
        <v>8859.24</v>
      </c>
    </row>
    <row r="2149">
      <c r="G2149" s="10"/>
      <c r="H2149" s="6"/>
      <c r="AD2149" s="5">
        <v>45016.0</v>
      </c>
      <c r="AE2149" s="6">
        <v>0.4583333333333333</v>
      </c>
      <c r="AF2149" s="7">
        <v>20203.56</v>
      </c>
    </row>
    <row r="2150">
      <c r="G2150" s="5"/>
      <c r="H2150" s="6"/>
      <c r="AD2150" s="5">
        <v>45016.0</v>
      </c>
      <c r="AE2150" s="6">
        <v>0.5</v>
      </c>
      <c r="AF2150" s="7">
        <v>40915.68</v>
      </c>
    </row>
    <row r="2151">
      <c r="G2151" s="10"/>
      <c r="H2151" s="6"/>
      <c r="AD2151" s="5">
        <v>45016.0</v>
      </c>
      <c r="AE2151" s="6">
        <v>0.5416666666666666</v>
      </c>
      <c r="AF2151" s="7">
        <v>56870.58</v>
      </c>
    </row>
    <row r="2152">
      <c r="G2152" s="10"/>
      <c r="H2152" s="6"/>
      <c r="AD2152" s="5">
        <v>45016.0</v>
      </c>
      <c r="AE2152" s="6">
        <v>0.5833333333333334</v>
      </c>
      <c r="AF2152" s="7">
        <v>47029.32</v>
      </c>
    </row>
    <row r="2153">
      <c r="G2153" s="10"/>
      <c r="H2153" s="6"/>
      <c r="AD2153" s="5">
        <v>45016.0</v>
      </c>
      <c r="AE2153" s="6">
        <v>0.625</v>
      </c>
      <c r="AF2153" s="7">
        <v>30553.38</v>
      </c>
    </row>
    <row r="2154">
      <c r="G2154" s="10"/>
      <c r="H2154" s="6"/>
      <c r="AD2154" s="5">
        <v>45016.0</v>
      </c>
      <c r="AE2154" s="6">
        <v>0.6666666666666666</v>
      </c>
      <c r="AF2154" s="7">
        <v>14270.1</v>
      </c>
    </row>
    <row r="2155">
      <c r="G2155" s="10"/>
      <c r="H2155" s="6"/>
      <c r="AD2155" s="5">
        <v>45016.0</v>
      </c>
      <c r="AE2155" s="6">
        <v>0.7083333333333334</v>
      </c>
      <c r="AF2155" s="7">
        <v>8898.24</v>
      </c>
    </row>
    <row r="2156">
      <c r="G2156" s="10"/>
      <c r="H2156" s="6"/>
      <c r="AD2156" s="5">
        <v>45016.0</v>
      </c>
      <c r="AE2156" s="6">
        <v>0.75</v>
      </c>
      <c r="AF2156" s="7">
        <v>0.0</v>
      </c>
    </row>
    <row r="2157">
      <c r="G2157" s="10"/>
      <c r="H2157" s="6"/>
      <c r="AD2157" s="5">
        <v>45016.0</v>
      </c>
      <c r="AE2157" s="6">
        <v>0.7916666666666666</v>
      </c>
      <c r="AF2157" s="7">
        <v>0.0</v>
      </c>
    </row>
    <row r="2158">
      <c r="G2158" s="10"/>
      <c r="H2158" s="6"/>
      <c r="AD2158" s="5">
        <v>45016.0</v>
      </c>
      <c r="AE2158" s="6">
        <v>0.8333333333333334</v>
      </c>
      <c r="AF2158" s="7">
        <v>0.0</v>
      </c>
    </row>
    <row r="2159">
      <c r="G2159" s="10"/>
      <c r="H2159" s="6"/>
      <c r="AD2159" s="5">
        <v>45016.0</v>
      </c>
      <c r="AE2159" s="6">
        <v>0.875</v>
      </c>
      <c r="AF2159" s="7">
        <v>0.0</v>
      </c>
    </row>
    <row r="2160">
      <c r="G2160" s="10"/>
      <c r="H2160" s="6"/>
      <c r="AD2160" s="5">
        <v>45016.0</v>
      </c>
      <c r="AE2160" s="6">
        <v>0.9166666666666666</v>
      </c>
      <c r="AF2160" s="7">
        <v>0.0</v>
      </c>
    </row>
    <row r="2161">
      <c r="G2161" s="10"/>
      <c r="H2161" s="6"/>
      <c r="AD2161" s="5">
        <v>45016.0</v>
      </c>
      <c r="AE2161" s="6">
        <v>0.9583333333333334</v>
      </c>
      <c r="AF2161" s="7">
        <v>0.0</v>
      </c>
    </row>
    <row r="2162">
      <c r="G2162" s="9"/>
      <c r="H2162" s="6"/>
      <c r="AD2162" s="5">
        <v>45017.0</v>
      </c>
      <c r="AE2162" s="6">
        <v>0.0</v>
      </c>
      <c r="AF2162" s="7">
        <v>0.0</v>
      </c>
    </row>
    <row r="2163">
      <c r="G2163" s="9"/>
      <c r="H2163" s="6"/>
      <c r="AD2163" s="5">
        <v>45017.0</v>
      </c>
      <c r="AE2163" s="6">
        <v>0.041666666666666664</v>
      </c>
      <c r="AF2163" s="7">
        <v>0.0</v>
      </c>
    </row>
    <row r="2164">
      <c r="G2164" s="9"/>
      <c r="H2164" s="6"/>
      <c r="AD2164" s="5">
        <v>45017.0</v>
      </c>
      <c r="AE2164" s="6">
        <v>0.08333333333333333</v>
      </c>
      <c r="AF2164" s="7">
        <v>0.0</v>
      </c>
    </row>
    <row r="2165">
      <c r="G2165" s="9"/>
      <c r="H2165" s="6"/>
      <c r="AD2165" s="5">
        <v>45017.0</v>
      </c>
      <c r="AE2165" s="6">
        <v>0.125</v>
      </c>
      <c r="AF2165" s="7">
        <v>0.0</v>
      </c>
    </row>
    <row r="2166">
      <c r="G2166" s="5"/>
      <c r="H2166" s="6"/>
      <c r="AD2166" s="5">
        <v>45017.0</v>
      </c>
      <c r="AE2166" s="6">
        <v>0.16666666666666666</v>
      </c>
      <c r="AF2166" s="7">
        <v>0.0</v>
      </c>
    </row>
    <row r="2167">
      <c r="G2167" s="5"/>
      <c r="H2167" s="6"/>
      <c r="AD2167" s="5">
        <v>45017.0</v>
      </c>
      <c r="AE2167" s="6">
        <v>0.20833333333333334</v>
      </c>
      <c r="AF2167" s="7">
        <v>0.0</v>
      </c>
    </row>
    <row r="2168">
      <c r="G2168" s="5"/>
      <c r="H2168" s="6"/>
      <c r="AD2168" s="5">
        <v>45017.0</v>
      </c>
      <c r="AE2168" s="6">
        <v>0.25</v>
      </c>
      <c r="AF2168" s="7">
        <v>0.0</v>
      </c>
    </row>
    <row r="2169">
      <c r="G2169" s="5"/>
      <c r="H2169" s="6"/>
      <c r="AD2169" s="5">
        <v>45017.0</v>
      </c>
      <c r="AE2169" s="6">
        <v>0.2916666666666667</v>
      </c>
      <c r="AF2169" s="7">
        <v>4927.26</v>
      </c>
    </row>
    <row r="2170">
      <c r="G2170" s="5"/>
      <c r="H2170" s="6"/>
      <c r="AD2170" s="5">
        <v>45017.0</v>
      </c>
      <c r="AE2170" s="6">
        <v>0.3333333333333333</v>
      </c>
      <c r="AF2170" s="7">
        <v>16014.18</v>
      </c>
    </row>
    <row r="2171">
      <c r="G2171" s="5"/>
      <c r="H2171" s="6"/>
      <c r="AD2171" s="5">
        <v>45017.0</v>
      </c>
      <c r="AE2171" s="6">
        <v>0.375</v>
      </c>
      <c r="AF2171" s="7">
        <v>33018.96</v>
      </c>
    </row>
    <row r="2172">
      <c r="G2172" s="5"/>
      <c r="H2172" s="6"/>
      <c r="AD2172" s="5">
        <v>45017.0</v>
      </c>
      <c r="AE2172" s="6">
        <v>0.4166666666666667</v>
      </c>
      <c r="AF2172" s="7">
        <v>53128.14</v>
      </c>
    </row>
    <row r="2173">
      <c r="G2173" s="5"/>
      <c r="H2173" s="6"/>
      <c r="AD2173" s="5">
        <v>45017.0</v>
      </c>
      <c r="AE2173" s="6">
        <v>0.4583333333333333</v>
      </c>
      <c r="AF2173" s="7">
        <v>56806.62</v>
      </c>
    </row>
    <row r="2174">
      <c r="G2174" s="5"/>
      <c r="H2174" s="6"/>
      <c r="AD2174" s="5">
        <v>45017.0</v>
      </c>
      <c r="AE2174" s="6">
        <v>0.5</v>
      </c>
      <c r="AF2174" s="7">
        <v>62261.94</v>
      </c>
    </row>
    <row r="2175">
      <c r="G2175" s="5"/>
      <c r="H2175" s="6"/>
      <c r="AD2175" s="5">
        <v>45017.0</v>
      </c>
      <c r="AE2175" s="6">
        <v>0.5416666666666666</v>
      </c>
      <c r="AF2175" s="7">
        <v>51079.08</v>
      </c>
    </row>
    <row r="2176">
      <c r="G2176" s="5"/>
      <c r="H2176" s="6"/>
      <c r="AD2176" s="5">
        <v>45017.0</v>
      </c>
      <c r="AE2176" s="6">
        <v>0.5833333333333334</v>
      </c>
      <c r="AF2176" s="7">
        <v>14657.76</v>
      </c>
    </row>
    <row r="2177">
      <c r="G2177" s="9"/>
      <c r="H2177" s="6"/>
      <c r="AD2177" s="5">
        <v>45017.0</v>
      </c>
      <c r="AE2177" s="6">
        <v>0.625</v>
      </c>
      <c r="AF2177" s="7">
        <v>10874.76</v>
      </c>
    </row>
    <row r="2178">
      <c r="G2178" s="5"/>
      <c r="H2178" s="6"/>
      <c r="AD2178" s="5">
        <v>45017.0</v>
      </c>
      <c r="AE2178" s="6">
        <v>0.6666666666666666</v>
      </c>
      <c r="AF2178" s="7">
        <v>16130.4</v>
      </c>
    </row>
    <row r="2179">
      <c r="G2179" s="5"/>
      <c r="H2179" s="6"/>
      <c r="AD2179" s="5">
        <v>45017.0</v>
      </c>
      <c r="AE2179" s="6">
        <v>0.7083333333333334</v>
      </c>
      <c r="AF2179" s="7">
        <v>840.06</v>
      </c>
    </row>
    <row r="2180">
      <c r="G2180" s="9"/>
      <c r="H2180" s="6"/>
      <c r="AD2180" s="5">
        <v>45017.0</v>
      </c>
      <c r="AE2180" s="6">
        <v>0.75</v>
      </c>
      <c r="AF2180" s="7">
        <v>0.0</v>
      </c>
    </row>
    <row r="2181">
      <c r="G2181" s="9"/>
      <c r="H2181" s="6"/>
      <c r="AD2181" s="5">
        <v>45017.0</v>
      </c>
      <c r="AE2181" s="6">
        <v>0.7916666666666666</v>
      </c>
      <c r="AF2181" s="7">
        <v>0.0</v>
      </c>
    </row>
    <row r="2182">
      <c r="G2182" s="9"/>
      <c r="H2182" s="6"/>
      <c r="AD2182" s="5">
        <v>45017.0</v>
      </c>
      <c r="AE2182" s="6">
        <v>0.8333333333333334</v>
      </c>
      <c r="AF2182" s="7">
        <v>0.0</v>
      </c>
    </row>
    <row r="2183">
      <c r="G2183" s="9"/>
      <c r="H2183" s="6"/>
      <c r="AD2183" s="5">
        <v>45017.0</v>
      </c>
      <c r="AE2183" s="6">
        <v>0.875</v>
      </c>
      <c r="AF2183" s="7">
        <v>0.0</v>
      </c>
    </row>
    <row r="2184">
      <c r="G2184" s="9"/>
      <c r="H2184" s="6"/>
      <c r="AD2184" s="5">
        <v>45017.0</v>
      </c>
      <c r="AE2184" s="6">
        <v>0.9166666666666666</v>
      </c>
      <c r="AF2184" s="7">
        <v>0.0</v>
      </c>
    </row>
    <row r="2185">
      <c r="G2185" s="9"/>
      <c r="H2185" s="6"/>
      <c r="AD2185" s="5">
        <v>45017.0</v>
      </c>
      <c r="AE2185" s="6">
        <v>0.9583333333333334</v>
      </c>
      <c r="AF2185" s="7">
        <v>0.0</v>
      </c>
    </row>
    <row r="2186">
      <c r="G2186" s="9"/>
      <c r="H2186" s="6"/>
      <c r="AD2186" s="5">
        <v>45018.0</v>
      </c>
      <c r="AE2186" s="6">
        <v>0.0</v>
      </c>
      <c r="AF2186" s="7">
        <v>0.0</v>
      </c>
    </row>
    <row r="2187">
      <c r="G2187" s="9"/>
      <c r="H2187" s="6"/>
      <c r="AD2187" s="5">
        <v>45018.0</v>
      </c>
      <c r="AE2187" s="6">
        <v>0.041666666666666664</v>
      </c>
      <c r="AF2187" s="7">
        <v>0.0</v>
      </c>
    </row>
    <row r="2188">
      <c r="G2188" s="9"/>
      <c r="H2188" s="6"/>
      <c r="AD2188" s="5">
        <v>45018.0</v>
      </c>
      <c r="AE2188" s="6">
        <v>0.08333333333333333</v>
      </c>
      <c r="AF2188" s="7">
        <v>0.0</v>
      </c>
    </row>
    <row r="2189">
      <c r="G2189" s="5"/>
      <c r="H2189" s="6"/>
      <c r="AD2189" s="5">
        <v>45018.0</v>
      </c>
      <c r="AE2189" s="6">
        <v>0.125</v>
      </c>
      <c r="AF2189" s="7">
        <v>0.0</v>
      </c>
    </row>
    <row r="2190">
      <c r="G2190" s="5"/>
      <c r="H2190" s="6"/>
      <c r="AD2190" s="5">
        <v>45018.0</v>
      </c>
      <c r="AE2190" s="6">
        <v>0.16666666666666666</v>
      </c>
      <c r="AF2190" s="7">
        <v>0.0</v>
      </c>
    </row>
    <row r="2191">
      <c r="G2191" s="5"/>
      <c r="H2191" s="6"/>
      <c r="AD2191" s="5">
        <v>45018.0</v>
      </c>
      <c r="AE2191" s="6">
        <v>0.20833333333333334</v>
      </c>
      <c r="AF2191" s="7">
        <v>0.0</v>
      </c>
    </row>
    <row r="2192">
      <c r="G2192" s="5"/>
      <c r="H2192" s="6"/>
      <c r="AD2192" s="5">
        <v>45018.0</v>
      </c>
      <c r="AE2192" s="6">
        <v>0.25</v>
      </c>
      <c r="AF2192" s="7">
        <v>500.76</v>
      </c>
    </row>
    <row r="2193">
      <c r="G2193" s="5"/>
      <c r="H2193" s="6"/>
      <c r="AD2193" s="5">
        <v>45018.0</v>
      </c>
      <c r="AE2193" s="6">
        <v>0.2916666666666667</v>
      </c>
      <c r="AF2193" s="7">
        <v>13347.36</v>
      </c>
    </row>
    <row r="2194">
      <c r="G2194" s="5"/>
      <c r="H2194" s="6"/>
      <c r="AD2194" s="5">
        <v>45018.0</v>
      </c>
      <c r="AE2194" s="6">
        <v>0.3333333333333333</v>
      </c>
      <c r="AF2194" s="7">
        <v>20567.82</v>
      </c>
    </row>
    <row r="2195">
      <c r="G2195" s="5"/>
      <c r="H2195" s="6"/>
      <c r="AD2195" s="5">
        <v>45018.0</v>
      </c>
      <c r="AE2195" s="6">
        <v>0.375</v>
      </c>
      <c r="AF2195" s="7">
        <v>43751.76</v>
      </c>
    </row>
    <row r="2196">
      <c r="G2196" s="5"/>
      <c r="H2196" s="6"/>
      <c r="AD2196" s="5">
        <v>45018.0</v>
      </c>
      <c r="AE2196" s="6">
        <v>0.4166666666666667</v>
      </c>
      <c r="AF2196" s="7">
        <v>44796.96</v>
      </c>
    </row>
    <row r="2197">
      <c r="G2197" s="9"/>
      <c r="H2197" s="6"/>
      <c r="AD2197" s="5">
        <v>45018.0</v>
      </c>
      <c r="AE2197" s="6">
        <v>0.4583333333333333</v>
      </c>
      <c r="AF2197" s="7">
        <v>36038.34</v>
      </c>
    </row>
    <row r="2198">
      <c r="G2198" s="9"/>
      <c r="H2198" s="6"/>
      <c r="AD2198" s="5">
        <v>45018.0</v>
      </c>
      <c r="AE2198" s="6">
        <v>0.5</v>
      </c>
      <c r="AF2198" s="7">
        <v>57100.68</v>
      </c>
    </row>
    <row r="2199">
      <c r="G2199" s="9"/>
      <c r="H2199" s="6"/>
      <c r="AD2199" s="5">
        <v>45018.0</v>
      </c>
      <c r="AE2199" s="6">
        <v>0.5416666666666666</v>
      </c>
      <c r="AF2199" s="7">
        <v>60435.96</v>
      </c>
    </row>
    <row r="2200">
      <c r="G2200" s="9"/>
      <c r="H2200" s="6"/>
      <c r="AD2200" s="5">
        <v>45018.0</v>
      </c>
      <c r="AE2200" s="6">
        <v>0.5833333333333334</v>
      </c>
      <c r="AF2200" s="7">
        <v>52813.02</v>
      </c>
    </row>
    <row r="2201">
      <c r="G2201" s="5"/>
      <c r="H2201" s="6"/>
      <c r="AD2201" s="5">
        <v>45018.0</v>
      </c>
      <c r="AE2201" s="6">
        <v>0.625</v>
      </c>
      <c r="AF2201" s="7">
        <v>25952.94</v>
      </c>
    </row>
    <row r="2202">
      <c r="G2202" s="5"/>
      <c r="H2202" s="6"/>
      <c r="AD2202" s="5">
        <v>45018.0</v>
      </c>
      <c r="AE2202" s="6">
        <v>0.6666666666666666</v>
      </c>
      <c r="AF2202" s="7">
        <v>26104.26</v>
      </c>
    </row>
    <row r="2203">
      <c r="G2203" s="5"/>
      <c r="H2203" s="6"/>
      <c r="AD2203" s="5">
        <v>45018.0</v>
      </c>
      <c r="AE2203" s="6">
        <v>0.7083333333333334</v>
      </c>
      <c r="AF2203" s="7">
        <v>10732.8</v>
      </c>
    </row>
    <row r="2204">
      <c r="G2204" s="5"/>
      <c r="H2204" s="6"/>
      <c r="AD2204" s="5">
        <v>45018.0</v>
      </c>
      <c r="AE2204" s="6">
        <v>0.75</v>
      </c>
      <c r="AF2204" s="7">
        <v>103.74</v>
      </c>
    </row>
    <row r="2205">
      <c r="G2205" s="5"/>
      <c r="H2205" s="6"/>
      <c r="AD2205" s="5">
        <v>45018.0</v>
      </c>
      <c r="AE2205" s="6">
        <v>0.7916666666666666</v>
      </c>
      <c r="AF2205" s="7">
        <v>0.0</v>
      </c>
    </row>
    <row r="2206">
      <c r="G2206" s="5"/>
      <c r="H2206" s="6"/>
      <c r="AD2206" s="5">
        <v>45018.0</v>
      </c>
      <c r="AE2206" s="6">
        <v>0.8333333333333334</v>
      </c>
      <c r="AF2206" s="7">
        <v>0.0</v>
      </c>
    </row>
    <row r="2207">
      <c r="G2207" s="5"/>
      <c r="H2207" s="6"/>
      <c r="AD2207" s="5">
        <v>45018.0</v>
      </c>
      <c r="AE2207" s="6">
        <v>0.875</v>
      </c>
      <c r="AF2207" s="7">
        <v>0.0</v>
      </c>
    </row>
    <row r="2208">
      <c r="G2208" s="9"/>
      <c r="H2208" s="6"/>
      <c r="AD2208" s="5">
        <v>45018.0</v>
      </c>
      <c r="AE2208" s="6">
        <v>0.9166666666666666</v>
      </c>
      <c r="AF2208" s="7">
        <v>0.0</v>
      </c>
    </row>
    <row r="2209">
      <c r="G2209" s="9"/>
      <c r="H2209" s="6"/>
      <c r="AD2209" s="5">
        <v>45018.0</v>
      </c>
      <c r="AE2209" s="6">
        <v>0.9583333333333334</v>
      </c>
      <c r="AF2209" s="7">
        <v>0.0</v>
      </c>
    </row>
    <row r="2210">
      <c r="G2210" s="5"/>
      <c r="H2210" s="6"/>
      <c r="AD2210" s="5">
        <v>45019.0</v>
      </c>
      <c r="AE2210" s="6">
        <v>0.0</v>
      </c>
      <c r="AF2210" s="7">
        <v>0.0</v>
      </c>
    </row>
    <row r="2211">
      <c r="G2211" s="5"/>
      <c r="H2211" s="6"/>
      <c r="AD2211" s="5">
        <v>45019.0</v>
      </c>
      <c r="AE2211" s="6">
        <v>0.041666666666666664</v>
      </c>
      <c r="AF2211" s="7">
        <v>0.0</v>
      </c>
    </row>
    <row r="2212">
      <c r="G2212" s="9"/>
      <c r="H2212" s="6"/>
      <c r="AD2212" s="5">
        <v>45019.0</v>
      </c>
      <c r="AE2212" s="6">
        <v>0.08333333333333333</v>
      </c>
      <c r="AF2212" s="7">
        <v>0.0</v>
      </c>
    </row>
    <row r="2213">
      <c r="G2213" s="9"/>
      <c r="H2213" s="6"/>
      <c r="AD2213" s="5">
        <v>45019.0</v>
      </c>
      <c r="AE2213" s="6">
        <v>0.125</v>
      </c>
      <c r="AF2213" s="7">
        <v>0.0</v>
      </c>
    </row>
    <row r="2214">
      <c r="G2214" s="9"/>
      <c r="H2214" s="6"/>
      <c r="AD2214" s="5">
        <v>45019.0</v>
      </c>
      <c r="AE2214" s="6">
        <v>0.16666666666666666</v>
      </c>
      <c r="AF2214" s="7">
        <v>0.0</v>
      </c>
    </row>
    <row r="2215">
      <c r="G2215" s="9"/>
      <c r="H2215" s="6"/>
      <c r="AD2215" s="5">
        <v>45019.0</v>
      </c>
      <c r="AE2215" s="6">
        <v>0.20833333333333334</v>
      </c>
      <c r="AF2215" s="7">
        <v>0.0</v>
      </c>
    </row>
    <row r="2216">
      <c r="G2216" s="9"/>
      <c r="H2216" s="6"/>
      <c r="AD2216" s="5">
        <v>45019.0</v>
      </c>
      <c r="AE2216" s="6">
        <v>0.25</v>
      </c>
      <c r="AF2216" s="7">
        <v>655.98</v>
      </c>
    </row>
    <row r="2217">
      <c r="G2217" s="9"/>
      <c r="H2217" s="6"/>
      <c r="AD2217" s="5">
        <v>45019.0</v>
      </c>
      <c r="AE2217" s="6">
        <v>0.2916666666666667</v>
      </c>
      <c r="AF2217" s="7">
        <v>13920.66</v>
      </c>
    </row>
    <row r="2218">
      <c r="G2218" s="5"/>
      <c r="H2218" s="6"/>
      <c r="AD2218" s="5">
        <v>45019.0</v>
      </c>
      <c r="AE2218" s="6">
        <v>0.3333333333333333</v>
      </c>
      <c r="AF2218" s="7">
        <v>31885.62</v>
      </c>
    </row>
    <row r="2219">
      <c r="G2219" s="5"/>
      <c r="H2219" s="6"/>
      <c r="AD2219" s="5">
        <v>45019.0</v>
      </c>
      <c r="AE2219" s="6">
        <v>0.375</v>
      </c>
      <c r="AF2219" s="7">
        <v>46736.82</v>
      </c>
    </row>
    <row r="2220">
      <c r="G2220" s="5"/>
      <c r="H2220" s="6"/>
      <c r="AD2220" s="5">
        <v>45019.0</v>
      </c>
      <c r="AE2220" s="6">
        <v>0.4166666666666667</v>
      </c>
      <c r="AF2220" s="7">
        <v>57903.3</v>
      </c>
    </row>
    <row r="2221">
      <c r="G2221" s="5"/>
      <c r="H2221" s="6"/>
      <c r="AD2221" s="5">
        <v>45019.0</v>
      </c>
      <c r="AE2221" s="6">
        <v>0.4583333333333333</v>
      </c>
      <c r="AF2221" s="7">
        <v>63863.28</v>
      </c>
    </row>
    <row r="2222">
      <c r="G2222" s="9"/>
      <c r="H2222" s="6"/>
      <c r="AD2222" s="5">
        <v>45019.0</v>
      </c>
      <c r="AE2222" s="6">
        <v>0.5</v>
      </c>
      <c r="AF2222" s="7">
        <v>66229.8</v>
      </c>
    </row>
    <row r="2223">
      <c r="G2223" s="5"/>
      <c r="H2223" s="6"/>
      <c r="AD2223" s="5">
        <v>45019.0</v>
      </c>
      <c r="AE2223" s="6">
        <v>0.5416666666666666</v>
      </c>
      <c r="AF2223" s="7">
        <v>63279.06</v>
      </c>
    </row>
    <row r="2224">
      <c r="G2224" s="5"/>
      <c r="H2224" s="6"/>
      <c r="AD2224" s="5">
        <v>45019.0</v>
      </c>
      <c r="AE2224" s="6">
        <v>0.5833333333333334</v>
      </c>
      <c r="AF2224" s="7">
        <v>55893.24</v>
      </c>
    </row>
    <row r="2225">
      <c r="G2225" s="5"/>
      <c r="H2225" s="6"/>
      <c r="AD2225" s="5">
        <v>45019.0</v>
      </c>
      <c r="AE2225" s="6">
        <v>0.625</v>
      </c>
      <c r="AF2225" s="7">
        <v>43524.78</v>
      </c>
    </row>
    <row r="2226">
      <c r="G2226" s="9"/>
      <c r="H2226" s="6"/>
      <c r="AD2226" s="5">
        <v>45019.0</v>
      </c>
      <c r="AE2226" s="6">
        <v>0.6666666666666666</v>
      </c>
      <c r="AF2226" s="7">
        <v>27782.82</v>
      </c>
    </row>
    <row r="2227">
      <c r="G2227" s="9"/>
      <c r="H2227" s="6"/>
      <c r="AD2227" s="5">
        <v>45019.0</v>
      </c>
      <c r="AE2227" s="6">
        <v>0.7083333333333334</v>
      </c>
      <c r="AF2227" s="7">
        <v>11318.58</v>
      </c>
    </row>
    <row r="2228">
      <c r="G2228" s="9"/>
      <c r="H2228" s="6"/>
      <c r="AD2228" s="5">
        <v>45019.0</v>
      </c>
      <c r="AE2228" s="6">
        <v>0.75</v>
      </c>
      <c r="AF2228" s="7">
        <v>286.26</v>
      </c>
    </row>
    <row r="2229">
      <c r="G2229" s="9"/>
      <c r="H2229" s="6"/>
      <c r="AD2229" s="5">
        <v>45019.0</v>
      </c>
      <c r="AE2229" s="6">
        <v>0.7916666666666666</v>
      </c>
      <c r="AF2229" s="7">
        <v>0.0</v>
      </c>
    </row>
    <row r="2230">
      <c r="G2230" s="9"/>
      <c r="H2230" s="6"/>
      <c r="AD2230" s="5">
        <v>45019.0</v>
      </c>
      <c r="AE2230" s="6">
        <v>0.8333333333333334</v>
      </c>
      <c r="AF2230" s="7">
        <v>0.0</v>
      </c>
    </row>
    <row r="2231">
      <c r="G2231" s="9"/>
      <c r="H2231" s="6"/>
      <c r="AD2231" s="5">
        <v>45019.0</v>
      </c>
      <c r="AE2231" s="6">
        <v>0.875</v>
      </c>
      <c r="AF2231" s="7">
        <v>0.0</v>
      </c>
    </row>
    <row r="2232">
      <c r="G2232" s="5"/>
      <c r="H2232" s="6"/>
      <c r="AD2232" s="5">
        <v>45019.0</v>
      </c>
      <c r="AE2232" s="6">
        <v>0.9166666666666666</v>
      </c>
      <c r="AF2232" s="7">
        <v>0.0</v>
      </c>
    </row>
    <row r="2233">
      <c r="G2233" s="5"/>
      <c r="H2233" s="6"/>
      <c r="AD2233" s="5">
        <v>45019.0</v>
      </c>
      <c r="AE2233" s="6">
        <v>0.9583333333333334</v>
      </c>
      <c r="AF2233" s="7">
        <v>0.0</v>
      </c>
    </row>
    <row r="2234">
      <c r="G2234" s="9"/>
      <c r="H2234" s="6"/>
      <c r="AD2234" s="5">
        <v>45020.0</v>
      </c>
      <c r="AE2234" s="6">
        <v>0.0</v>
      </c>
      <c r="AF2234" s="7">
        <v>0.0</v>
      </c>
    </row>
    <row r="2235">
      <c r="G2235" s="9"/>
      <c r="H2235" s="6"/>
      <c r="AD2235" s="5">
        <v>45020.0</v>
      </c>
      <c r="AE2235" s="6">
        <v>0.041666666666666664</v>
      </c>
      <c r="AF2235" s="7">
        <v>0.0</v>
      </c>
    </row>
    <row r="2236">
      <c r="G2236" s="9"/>
      <c r="H2236" s="6"/>
      <c r="AD2236" s="5">
        <v>45020.0</v>
      </c>
      <c r="AE2236" s="6">
        <v>0.08333333333333333</v>
      </c>
      <c r="AF2236" s="7">
        <v>0.0</v>
      </c>
    </row>
    <row r="2237">
      <c r="G2237" s="9"/>
      <c r="H2237" s="6"/>
      <c r="AD2237" s="5">
        <v>45020.0</v>
      </c>
      <c r="AE2237" s="6">
        <v>0.125</v>
      </c>
      <c r="AF2237" s="7">
        <v>0.0</v>
      </c>
    </row>
    <row r="2238">
      <c r="G2238" s="9"/>
      <c r="H2238" s="6"/>
      <c r="AD2238" s="5">
        <v>45020.0</v>
      </c>
      <c r="AE2238" s="6">
        <v>0.16666666666666666</v>
      </c>
      <c r="AF2238" s="7">
        <v>0.0</v>
      </c>
    </row>
    <row r="2239">
      <c r="G2239" s="9"/>
      <c r="H2239" s="6"/>
      <c r="AD2239" s="5">
        <v>45020.0</v>
      </c>
      <c r="AE2239" s="6">
        <v>0.20833333333333334</v>
      </c>
      <c r="AF2239" s="7">
        <v>0.0</v>
      </c>
    </row>
    <row r="2240">
      <c r="G2240" s="9"/>
      <c r="H2240" s="6"/>
      <c r="AD2240" s="5">
        <v>45020.0</v>
      </c>
      <c r="AE2240" s="6">
        <v>0.25</v>
      </c>
      <c r="AF2240" s="7">
        <v>816.66</v>
      </c>
    </row>
    <row r="2241">
      <c r="G2241" s="9"/>
      <c r="H2241" s="6"/>
      <c r="AD2241" s="5">
        <v>45020.0</v>
      </c>
      <c r="AE2241" s="6">
        <v>0.2916666666666667</v>
      </c>
      <c r="AF2241" s="7">
        <v>14564.94</v>
      </c>
    </row>
    <row r="2242">
      <c r="G2242" s="5"/>
      <c r="H2242" s="6"/>
      <c r="AD2242" s="5">
        <v>45020.0</v>
      </c>
      <c r="AE2242" s="6">
        <v>0.3333333333333333</v>
      </c>
      <c r="AF2242" s="7">
        <v>31817.76</v>
      </c>
    </row>
    <row r="2243">
      <c r="G2243" s="5"/>
      <c r="H2243" s="6"/>
      <c r="AD2243" s="5">
        <v>45020.0</v>
      </c>
      <c r="AE2243" s="6">
        <v>0.375</v>
      </c>
      <c r="AF2243" s="7">
        <v>46729.02</v>
      </c>
    </row>
    <row r="2244">
      <c r="G2244" s="5"/>
      <c r="H2244" s="6"/>
      <c r="AD2244" s="5">
        <v>45020.0</v>
      </c>
      <c r="AE2244" s="6">
        <v>0.4166666666666667</v>
      </c>
      <c r="AF2244" s="7">
        <v>57269.94</v>
      </c>
    </row>
    <row r="2245">
      <c r="G2245" s="5"/>
      <c r="H2245" s="6"/>
      <c r="AD2245" s="5">
        <v>45020.0</v>
      </c>
      <c r="AE2245" s="6">
        <v>0.4583333333333333</v>
      </c>
      <c r="AF2245" s="7">
        <v>63746.28</v>
      </c>
    </row>
    <row r="2246">
      <c r="G2246" s="5"/>
      <c r="H2246" s="6"/>
      <c r="AD2246" s="5">
        <v>45020.0</v>
      </c>
      <c r="AE2246" s="6">
        <v>0.5</v>
      </c>
      <c r="AF2246" s="7">
        <v>66127.62</v>
      </c>
    </row>
    <row r="2247">
      <c r="G2247" s="9"/>
      <c r="H2247" s="6"/>
      <c r="AD2247" s="5">
        <v>45020.0</v>
      </c>
      <c r="AE2247" s="6">
        <v>0.5416666666666666</v>
      </c>
      <c r="AF2247" s="7">
        <v>63126.18</v>
      </c>
    </row>
    <row r="2248">
      <c r="G2248" s="9"/>
      <c r="H2248" s="6"/>
      <c r="AD2248" s="5">
        <v>45020.0</v>
      </c>
      <c r="AE2248" s="6">
        <v>0.5833333333333334</v>
      </c>
      <c r="AF2248" s="7">
        <v>55820.7</v>
      </c>
    </row>
    <row r="2249">
      <c r="G2249" s="9"/>
      <c r="H2249" s="6"/>
      <c r="AD2249" s="5">
        <v>45020.0</v>
      </c>
      <c r="AE2249" s="6">
        <v>0.625</v>
      </c>
      <c r="AF2249" s="7">
        <v>44136.3</v>
      </c>
    </row>
    <row r="2250">
      <c r="G2250" s="9"/>
      <c r="H2250" s="6"/>
      <c r="AD2250" s="5">
        <v>45020.0</v>
      </c>
      <c r="AE2250" s="6">
        <v>0.6666666666666666</v>
      </c>
      <c r="AF2250" s="7">
        <v>28116.66</v>
      </c>
    </row>
    <row r="2251">
      <c r="G2251" s="9"/>
      <c r="H2251" s="6"/>
      <c r="AD2251" s="5">
        <v>45020.0</v>
      </c>
      <c r="AE2251" s="6">
        <v>0.7083333333333334</v>
      </c>
      <c r="AF2251" s="7">
        <v>11497.98</v>
      </c>
    </row>
    <row r="2252">
      <c r="G2252" s="9"/>
      <c r="H2252" s="6"/>
      <c r="AD2252" s="5">
        <v>45020.0</v>
      </c>
      <c r="AE2252" s="6">
        <v>0.75</v>
      </c>
      <c r="AF2252" s="7">
        <v>291.72</v>
      </c>
    </row>
    <row r="2253">
      <c r="G2253" s="5"/>
      <c r="H2253" s="6"/>
      <c r="AD2253" s="5">
        <v>45020.0</v>
      </c>
      <c r="AE2253" s="6">
        <v>0.7916666666666666</v>
      </c>
      <c r="AF2253" s="7">
        <v>0.0</v>
      </c>
    </row>
    <row r="2254">
      <c r="G2254" s="5"/>
      <c r="H2254" s="6"/>
      <c r="AD2254" s="5">
        <v>45020.0</v>
      </c>
      <c r="AE2254" s="6">
        <v>0.8333333333333334</v>
      </c>
      <c r="AF2254" s="7">
        <v>0.0</v>
      </c>
    </row>
    <row r="2255">
      <c r="G2255" s="9"/>
      <c r="H2255" s="6"/>
      <c r="AD2255" s="5">
        <v>45020.0</v>
      </c>
      <c r="AE2255" s="6">
        <v>0.875</v>
      </c>
      <c r="AF2255" s="7">
        <v>0.0</v>
      </c>
    </row>
    <row r="2256">
      <c r="G2256" s="9"/>
      <c r="H2256" s="6"/>
      <c r="AD2256" s="5">
        <v>45020.0</v>
      </c>
      <c r="AE2256" s="6">
        <v>0.9166666666666666</v>
      </c>
      <c r="AF2256" s="7">
        <v>0.0</v>
      </c>
    </row>
    <row r="2257">
      <c r="G2257" s="5"/>
      <c r="H2257" s="6"/>
      <c r="AD2257" s="5">
        <v>45020.0</v>
      </c>
      <c r="AE2257" s="6">
        <v>0.9583333333333334</v>
      </c>
      <c r="AF2257" s="7">
        <v>0.0</v>
      </c>
    </row>
    <row r="2258">
      <c r="G2258" s="5"/>
      <c r="H2258" s="6"/>
      <c r="AD2258" s="5">
        <v>45021.0</v>
      </c>
      <c r="AE2258" s="6">
        <v>0.0</v>
      </c>
      <c r="AF2258" s="7">
        <v>0.0</v>
      </c>
    </row>
    <row r="2259">
      <c r="G2259" s="5"/>
      <c r="H2259" s="6"/>
      <c r="AD2259" s="5">
        <v>45021.0</v>
      </c>
      <c r="AE2259" s="6">
        <v>0.041666666666666664</v>
      </c>
      <c r="AF2259" s="7">
        <v>0.0</v>
      </c>
    </row>
    <row r="2260">
      <c r="G2260" s="5"/>
      <c r="H2260" s="6"/>
      <c r="AD2260" s="5">
        <v>45021.0</v>
      </c>
      <c r="AE2260" s="6">
        <v>0.08333333333333333</v>
      </c>
      <c r="AF2260" s="7">
        <v>0.0</v>
      </c>
    </row>
    <row r="2261">
      <c r="G2261" s="5"/>
      <c r="H2261" s="6"/>
      <c r="AD2261" s="5">
        <v>45021.0</v>
      </c>
      <c r="AE2261" s="6">
        <v>0.125</v>
      </c>
      <c r="AF2261" s="7">
        <v>0.0</v>
      </c>
    </row>
    <row r="2262">
      <c r="G2262" s="9"/>
      <c r="H2262" s="6"/>
      <c r="AD2262" s="5">
        <v>45021.0</v>
      </c>
      <c r="AE2262" s="6">
        <v>0.16666666666666666</v>
      </c>
      <c r="AF2262" s="7">
        <v>0.0</v>
      </c>
    </row>
    <row r="2263">
      <c r="G2263" s="9"/>
      <c r="H2263" s="6"/>
      <c r="AD2263" s="5">
        <v>45021.0</v>
      </c>
      <c r="AE2263" s="6">
        <v>0.20833333333333334</v>
      </c>
      <c r="AF2263" s="7">
        <v>0.0</v>
      </c>
    </row>
    <row r="2264">
      <c r="G2264" s="9"/>
      <c r="H2264" s="6"/>
      <c r="AD2264" s="5">
        <v>45021.0</v>
      </c>
      <c r="AE2264" s="6">
        <v>0.25</v>
      </c>
      <c r="AF2264" s="7">
        <v>932.1</v>
      </c>
    </row>
    <row r="2265">
      <c r="G2265" s="9"/>
      <c r="H2265" s="6"/>
      <c r="AD2265" s="5">
        <v>45021.0</v>
      </c>
      <c r="AE2265" s="6">
        <v>0.2916666666666667</v>
      </c>
      <c r="AF2265" s="7">
        <v>15103.92</v>
      </c>
    </row>
    <row r="2266">
      <c r="G2266" s="9"/>
      <c r="H2266" s="6"/>
      <c r="AD2266" s="5">
        <v>45021.0</v>
      </c>
      <c r="AE2266" s="6">
        <v>0.3333333333333333</v>
      </c>
      <c r="AF2266" s="7">
        <v>32440.98</v>
      </c>
    </row>
    <row r="2267">
      <c r="G2267" s="9"/>
      <c r="H2267" s="6"/>
      <c r="AD2267" s="5">
        <v>45021.0</v>
      </c>
      <c r="AE2267" s="6">
        <v>0.375</v>
      </c>
      <c r="AF2267" s="7">
        <v>47009.82</v>
      </c>
    </row>
    <row r="2268">
      <c r="G2268" s="5"/>
      <c r="H2268" s="6"/>
      <c r="AD2268" s="5">
        <v>45021.0</v>
      </c>
      <c r="AE2268" s="6">
        <v>0.4166666666666667</v>
      </c>
      <c r="AF2268" s="7">
        <v>57598.32</v>
      </c>
    </row>
    <row r="2269">
      <c r="G2269" s="5"/>
      <c r="H2269" s="6"/>
      <c r="AD2269" s="5">
        <v>45021.0</v>
      </c>
      <c r="AE2269" s="6">
        <v>0.4583333333333333</v>
      </c>
      <c r="AF2269" s="7">
        <v>63330.54</v>
      </c>
    </row>
    <row r="2270">
      <c r="G2270" s="9"/>
      <c r="H2270" s="6"/>
      <c r="AD2270" s="5">
        <v>45021.0</v>
      </c>
      <c r="AE2270" s="6">
        <v>0.5</v>
      </c>
      <c r="AF2270" s="7">
        <v>65429.52</v>
      </c>
    </row>
    <row r="2271">
      <c r="G2271" s="9"/>
      <c r="H2271" s="6"/>
      <c r="AD2271" s="5">
        <v>45021.0</v>
      </c>
      <c r="AE2271" s="6">
        <v>0.5416666666666666</v>
      </c>
      <c r="AF2271" s="7">
        <v>60866.52</v>
      </c>
    </row>
    <row r="2272">
      <c r="G2272" s="9"/>
      <c r="H2272" s="6"/>
      <c r="AD2272" s="5">
        <v>45021.0</v>
      </c>
      <c r="AE2272" s="6">
        <v>0.5833333333333334</v>
      </c>
      <c r="AF2272" s="7">
        <v>54862.08</v>
      </c>
    </row>
    <row r="2273">
      <c r="G2273" s="9"/>
      <c r="H2273" s="6"/>
      <c r="AD2273" s="5">
        <v>45021.0</v>
      </c>
      <c r="AE2273" s="6">
        <v>0.625</v>
      </c>
      <c r="AF2273" s="7">
        <v>42599.7</v>
      </c>
    </row>
    <row r="2274">
      <c r="G2274" s="9"/>
      <c r="H2274" s="6"/>
      <c r="AD2274" s="5">
        <v>45021.0</v>
      </c>
      <c r="AE2274" s="6">
        <v>0.6666666666666666</v>
      </c>
      <c r="AF2274" s="7">
        <v>27736.02</v>
      </c>
    </row>
    <row r="2275">
      <c r="G2275" s="9"/>
      <c r="H2275" s="6"/>
      <c r="AD2275" s="5">
        <v>45021.0</v>
      </c>
      <c r="AE2275" s="6">
        <v>0.7083333333333334</v>
      </c>
      <c r="AF2275" s="7">
        <v>11823.24</v>
      </c>
    </row>
    <row r="2276">
      <c r="G2276" s="5"/>
      <c r="H2276" s="6"/>
      <c r="AD2276" s="5">
        <v>45021.0</v>
      </c>
      <c r="AE2276" s="6">
        <v>0.75</v>
      </c>
      <c r="AF2276" s="7">
        <v>329.16</v>
      </c>
    </row>
    <row r="2277">
      <c r="G2277" s="5"/>
      <c r="H2277" s="6"/>
      <c r="AD2277" s="5">
        <v>45021.0</v>
      </c>
      <c r="AE2277" s="6">
        <v>0.7916666666666666</v>
      </c>
      <c r="AF2277" s="7">
        <v>0.0</v>
      </c>
    </row>
    <row r="2278">
      <c r="G2278" s="5"/>
      <c r="H2278" s="6"/>
      <c r="AD2278" s="5">
        <v>45021.0</v>
      </c>
      <c r="AE2278" s="6">
        <v>0.8333333333333334</v>
      </c>
      <c r="AF2278" s="7">
        <v>0.0</v>
      </c>
    </row>
    <row r="2279">
      <c r="G2279" s="5"/>
      <c r="H2279" s="6"/>
      <c r="AD2279" s="5">
        <v>45021.0</v>
      </c>
      <c r="AE2279" s="6">
        <v>0.875</v>
      </c>
      <c r="AF2279" s="7">
        <v>0.0</v>
      </c>
    </row>
    <row r="2280">
      <c r="G2280" s="9"/>
      <c r="H2280" s="6"/>
      <c r="AD2280" s="5">
        <v>45021.0</v>
      </c>
      <c r="AE2280" s="6">
        <v>0.9166666666666666</v>
      </c>
      <c r="AF2280" s="7">
        <v>0.0</v>
      </c>
    </row>
    <row r="2281">
      <c r="G2281" s="9"/>
      <c r="H2281" s="6"/>
      <c r="AD2281" s="5">
        <v>45021.0</v>
      </c>
      <c r="AE2281" s="6">
        <v>0.9583333333333334</v>
      </c>
      <c r="AF2281" s="7">
        <v>0.0</v>
      </c>
    </row>
    <row r="2282">
      <c r="G2282" s="9"/>
      <c r="H2282" s="6"/>
      <c r="AD2282" s="5">
        <v>45022.0</v>
      </c>
      <c r="AE2282" s="6">
        <v>0.0</v>
      </c>
      <c r="AF2282" s="7">
        <v>0.0</v>
      </c>
    </row>
    <row r="2283">
      <c r="G2283" s="9"/>
      <c r="H2283" s="6"/>
      <c r="AD2283" s="5">
        <v>45022.0</v>
      </c>
      <c r="AE2283" s="6">
        <v>0.041666666666666664</v>
      </c>
      <c r="AF2283" s="7">
        <v>0.0</v>
      </c>
    </row>
    <row r="2284">
      <c r="G2284" s="9"/>
      <c r="H2284" s="6"/>
      <c r="AD2284" s="5">
        <v>45022.0</v>
      </c>
      <c r="AE2284" s="6">
        <v>0.08333333333333333</v>
      </c>
      <c r="AF2284" s="7">
        <v>0.0</v>
      </c>
    </row>
    <row r="2285">
      <c r="G2285" s="5"/>
      <c r="H2285" s="6"/>
      <c r="AD2285" s="5">
        <v>45022.0</v>
      </c>
      <c r="AE2285" s="6">
        <v>0.125</v>
      </c>
      <c r="AF2285" s="7">
        <v>0.0</v>
      </c>
    </row>
    <row r="2286">
      <c r="G2286" s="5"/>
      <c r="H2286" s="6"/>
      <c r="AD2286" s="5">
        <v>45022.0</v>
      </c>
      <c r="AE2286" s="6">
        <v>0.16666666666666666</v>
      </c>
      <c r="AF2286" s="7">
        <v>0.0</v>
      </c>
    </row>
    <row r="2287">
      <c r="G2287" s="5"/>
      <c r="H2287" s="6"/>
      <c r="AD2287" s="5">
        <v>45022.0</v>
      </c>
      <c r="AE2287" s="6">
        <v>0.20833333333333334</v>
      </c>
      <c r="AF2287" s="7">
        <v>0.0</v>
      </c>
    </row>
    <row r="2288">
      <c r="G2288" s="5"/>
      <c r="H2288" s="6"/>
      <c r="AD2288" s="5">
        <v>45022.0</v>
      </c>
      <c r="AE2288" s="6">
        <v>0.25</v>
      </c>
      <c r="AF2288" s="7">
        <v>1000.74</v>
      </c>
    </row>
    <row r="2289">
      <c r="G2289" s="5"/>
      <c r="H2289" s="6"/>
      <c r="AD2289" s="5">
        <v>45022.0</v>
      </c>
      <c r="AE2289" s="6">
        <v>0.2916666666666667</v>
      </c>
      <c r="AF2289" s="7">
        <v>14764.62</v>
      </c>
    </row>
    <row r="2290">
      <c r="G2290" s="5"/>
      <c r="H2290" s="6"/>
      <c r="AD2290" s="5">
        <v>45022.0</v>
      </c>
      <c r="AE2290" s="6">
        <v>0.3333333333333333</v>
      </c>
      <c r="AF2290" s="7">
        <v>31659.42</v>
      </c>
    </row>
    <row r="2291">
      <c r="G2291" s="9"/>
      <c r="H2291" s="6"/>
      <c r="AD2291" s="5">
        <v>45022.0</v>
      </c>
      <c r="AE2291" s="6">
        <v>0.375</v>
      </c>
      <c r="AF2291" s="7">
        <v>45081.66</v>
      </c>
    </row>
    <row r="2292">
      <c r="G2292" s="9"/>
      <c r="H2292" s="6"/>
      <c r="AD2292" s="5">
        <v>45022.0</v>
      </c>
      <c r="AE2292" s="6">
        <v>0.4166666666666667</v>
      </c>
      <c r="AF2292" s="7">
        <v>55433.04</v>
      </c>
    </row>
    <row r="2293">
      <c r="G2293" s="9"/>
      <c r="H2293" s="6"/>
      <c r="AD2293" s="5">
        <v>45022.0</v>
      </c>
      <c r="AE2293" s="6">
        <v>0.4583333333333333</v>
      </c>
      <c r="AF2293" s="7">
        <v>61488.96</v>
      </c>
    </row>
    <row r="2294">
      <c r="G2294" s="9"/>
      <c r="H2294" s="6"/>
      <c r="AD2294" s="5">
        <v>45022.0</v>
      </c>
      <c r="AE2294" s="6">
        <v>0.5</v>
      </c>
      <c r="AF2294" s="7">
        <v>63115.26</v>
      </c>
    </row>
    <row r="2295">
      <c r="G2295" s="9"/>
      <c r="H2295" s="6"/>
      <c r="AD2295" s="5">
        <v>45022.0</v>
      </c>
      <c r="AE2295" s="6">
        <v>0.5416666666666666</v>
      </c>
      <c r="AF2295" s="7">
        <v>60336.9</v>
      </c>
    </row>
    <row r="2296">
      <c r="G2296" s="9"/>
      <c r="H2296" s="6"/>
      <c r="AD2296" s="5">
        <v>45022.0</v>
      </c>
      <c r="AE2296" s="6">
        <v>0.5833333333333334</v>
      </c>
      <c r="AF2296" s="7">
        <v>53171.82</v>
      </c>
    </row>
    <row r="2297">
      <c r="G2297" s="5"/>
      <c r="H2297" s="6"/>
      <c r="AD2297" s="5">
        <v>45022.0</v>
      </c>
      <c r="AE2297" s="6">
        <v>0.625</v>
      </c>
      <c r="AF2297" s="7">
        <v>42526.38</v>
      </c>
    </row>
    <row r="2298">
      <c r="G2298" s="5"/>
      <c r="H2298" s="6"/>
      <c r="AD2298" s="5">
        <v>45022.0</v>
      </c>
      <c r="AE2298" s="6">
        <v>0.6666666666666666</v>
      </c>
      <c r="AF2298" s="7">
        <v>27438.06</v>
      </c>
    </row>
    <row r="2299">
      <c r="G2299" s="5"/>
      <c r="H2299" s="6"/>
      <c r="AD2299" s="5">
        <v>45022.0</v>
      </c>
      <c r="AE2299" s="6">
        <v>0.7083333333333334</v>
      </c>
      <c r="AF2299" s="7">
        <v>11572.08</v>
      </c>
    </row>
    <row r="2300">
      <c r="G2300" s="5"/>
      <c r="H2300" s="6"/>
      <c r="AD2300" s="5">
        <v>45022.0</v>
      </c>
      <c r="AE2300" s="6">
        <v>0.75</v>
      </c>
      <c r="AF2300" s="7">
        <v>365.04</v>
      </c>
    </row>
    <row r="2301">
      <c r="G2301" s="5"/>
      <c r="H2301" s="6"/>
      <c r="AD2301" s="5">
        <v>45022.0</v>
      </c>
      <c r="AE2301" s="6">
        <v>0.7916666666666666</v>
      </c>
      <c r="AF2301" s="7">
        <v>0.0</v>
      </c>
    </row>
    <row r="2302">
      <c r="G2302" s="9"/>
      <c r="H2302" s="6"/>
      <c r="AD2302" s="5">
        <v>45022.0</v>
      </c>
      <c r="AE2302" s="6">
        <v>0.8333333333333334</v>
      </c>
      <c r="AF2302" s="7">
        <v>0.0</v>
      </c>
    </row>
    <row r="2303">
      <c r="G2303" s="9"/>
      <c r="H2303" s="6"/>
      <c r="AD2303" s="5">
        <v>45022.0</v>
      </c>
      <c r="AE2303" s="6">
        <v>0.875</v>
      </c>
      <c r="AF2303" s="7">
        <v>0.0</v>
      </c>
    </row>
    <row r="2304">
      <c r="G2304" s="9"/>
      <c r="H2304" s="6"/>
      <c r="AD2304" s="5">
        <v>45022.0</v>
      </c>
      <c r="AE2304" s="6">
        <v>0.9166666666666666</v>
      </c>
      <c r="AF2304" s="7">
        <v>0.0</v>
      </c>
    </row>
    <row r="2305">
      <c r="G2305" s="5"/>
      <c r="H2305" s="6"/>
      <c r="AD2305" s="5">
        <v>45022.0</v>
      </c>
      <c r="AE2305" s="6">
        <v>0.9583333333333334</v>
      </c>
      <c r="AF2305" s="7">
        <v>0.0</v>
      </c>
    </row>
    <row r="2306">
      <c r="G2306" s="5"/>
      <c r="H2306" s="6"/>
      <c r="AD2306" s="5">
        <v>45023.0</v>
      </c>
      <c r="AE2306" s="6">
        <v>0.0</v>
      </c>
      <c r="AF2306" s="7">
        <v>0.0</v>
      </c>
    </row>
    <row r="2307">
      <c r="G2307" s="5"/>
      <c r="H2307" s="6"/>
      <c r="AD2307" s="5">
        <v>45023.0</v>
      </c>
      <c r="AE2307" s="6">
        <v>0.041666666666666664</v>
      </c>
      <c r="AF2307" s="7">
        <v>0.0</v>
      </c>
    </row>
    <row r="2308">
      <c r="G2308" s="5"/>
      <c r="H2308" s="6"/>
      <c r="AD2308" s="5">
        <v>45023.0</v>
      </c>
      <c r="AE2308" s="6">
        <v>0.08333333333333333</v>
      </c>
      <c r="AF2308" s="7">
        <v>0.0</v>
      </c>
    </row>
    <row r="2309">
      <c r="G2309" s="9"/>
      <c r="H2309" s="6"/>
      <c r="AD2309" s="5">
        <v>45023.0</v>
      </c>
      <c r="AE2309" s="6">
        <v>0.125</v>
      </c>
      <c r="AF2309" s="7">
        <v>0.0</v>
      </c>
    </row>
    <row r="2310">
      <c r="G2310" s="9"/>
      <c r="H2310" s="6"/>
      <c r="AD2310" s="5">
        <v>45023.0</v>
      </c>
      <c r="AE2310" s="6">
        <v>0.16666666666666666</v>
      </c>
      <c r="AF2310" s="7">
        <v>0.0</v>
      </c>
    </row>
    <row r="2311">
      <c r="G2311" s="9"/>
      <c r="H2311" s="6"/>
      <c r="AD2311" s="5">
        <v>45023.0</v>
      </c>
      <c r="AE2311" s="6">
        <v>0.20833333333333334</v>
      </c>
      <c r="AF2311" s="7">
        <v>0.0</v>
      </c>
    </row>
    <row r="2312">
      <c r="G2312" s="9"/>
      <c r="H2312" s="6"/>
      <c r="AD2312" s="5">
        <v>45023.0</v>
      </c>
      <c r="AE2312" s="6">
        <v>0.25</v>
      </c>
      <c r="AF2312" s="7">
        <v>1240.2</v>
      </c>
    </row>
    <row r="2313">
      <c r="G2313" s="9"/>
      <c r="H2313" s="6"/>
      <c r="AD2313" s="5">
        <v>45023.0</v>
      </c>
      <c r="AE2313" s="6">
        <v>0.2916666666666667</v>
      </c>
      <c r="AF2313" s="7">
        <v>14883.18</v>
      </c>
    </row>
    <row r="2314">
      <c r="G2314" s="9"/>
      <c r="H2314" s="6"/>
      <c r="AD2314" s="5">
        <v>45023.0</v>
      </c>
      <c r="AE2314" s="6">
        <v>0.3333333333333333</v>
      </c>
      <c r="AF2314" s="7">
        <v>30799.86</v>
      </c>
    </row>
    <row r="2315">
      <c r="G2315" s="9"/>
      <c r="H2315" s="6"/>
      <c r="AD2315" s="5">
        <v>45023.0</v>
      </c>
      <c r="AE2315" s="6">
        <v>0.375</v>
      </c>
      <c r="AF2315" s="7">
        <v>43833.66</v>
      </c>
    </row>
    <row r="2316">
      <c r="G2316" s="9"/>
      <c r="H2316" s="6"/>
      <c r="AD2316" s="5">
        <v>45023.0</v>
      </c>
      <c r="AE2316" s="6">
        <v>0.4166666666666667</v>
      </c>
      <c r="AF2316" s="7">
        <v>53307.54</v>
      </c>
    </row>
    <row r="2317">
      <c r="G2317" s="5"/>
      <c r="H2317" s="6"/>
      <c r="AD2317" s="5">
        <v>45023.0</v>
      </c>
      <c r="AE2317" s="6">
        <v>0.4583333333333333</v>
      </c>
      <c r="AF2317" s="7">
        <v>58898.58</v>
      </c>
    </row>
    <row r="2318">
      <c r="G2318" s="5"/>
      <c r="H2318" s="6"/>
      <c r="AD2318" s="5">
        <v>45023.0</v>
      </c>
      <c r="AE2318" s="6">
        <v>0.5</v>
      </c>
      <c r="AF2318" s="7">
        <v>60890.7</v>
      </c>
    </row>
    <row r="2319">
      <c r="G2319" s="5"/>
      <c r="H2319" s="6"/>
      <c r="AD2319" s="5">
        <v>45023.0</v>
      </c>
      <c r="AE2319" s="6">
        <v>0.5416666666666666</v>
      </c>
      <c r="AF2319" s="7">
        <v>58761.3</v>
      </c>
    </row>
    <row r="2320">
      <c r="G2320" s="9"/>
      <c r="H2320" s="6"/>
      <c r="AD2320" s="5">
        <v>45023.0</v>
      </c>
      <c r="AE2320" s="6">
        <v>0.5833333333333334</v>
      </c>
      <c r="AF2320" s="7">
        <v>52255.32</v>
      </c>
    </row>
    <row r="2321">
      <c r="G2321" s="9"/>
      <c r="H2321" s="6"/>
      <c r="AD2321" s="5">
        <v>45023.0</v>
      </c>
      <c r="AE2321" s="6">
        <v>0.625</v>
      </c>
      <c r="AF2321" s="7">
        <v>41961.66</v>
      </c>
    </row>
    <row r="2322">
      <c r="G2322" s="9"/>
      <c r="H2322" s="6"/>
      <c r="AD2322" s="5">
        <v>45023.0</v>
      </c>
      <c r="AE2322" s="6">
        <v>0.6666666666666666</v>
      </c>
      <c r="AF2322" s="7">
        <v>27195.48</v>
      </c>
    </row>
    <row r="2323">
      <c r="G2323" s="9"/>
      <c r="H2323" s="6"/>
      <c r="AD2323" s="5">
        <v>45023.0</v>
      </c>
      <c r="AE2323" s="6">
        <v>0.7083333333333334</v>
      </c>
      <c r="AF2323" s="7">
        <v>11439.48</v>
      </c>
    </row>
    <row r="2324">
      <c r="G2324" s="9"/>
      <c r="H2324" s="6"/>
      <c r="AD2324" s="5">
        <v>45023.0</v>
      </c>
      <c r="AE2324" s="6">
        <v>0.75</v>
      </c>
      <c r="AF2324" s="7">
        <v>528.06</v>
      </c>
    </row>
    <row r="2325">
      <c r="G2325" s="9"/>
      <c r="H2325" s="6"/>
      <c r="AD2325" s="5">
        <v>45023.0</v>
      </c>
      <c r="AE2325" s="6">
        <v>0.7916666666666666</v>
      </c>
      <c r="AF2325" s="7">
        <v>0.0</v>
      </c>
    </row>
    <row r="2326">
      <c r="G2326" s="9"/>
      <c r="H2326" s="6"/>
      <c r="AD2326" s="5">
        <v>45023.0</v>
      </c>
      <c r="AE2326" s="6">
        <v>0.8333333333333334</v>
      </c>
      <c r="AF2326" s="7">
        <v>0.0</v>
      </c>
    </row>
    <row r="2327">
      <c r="G2327" s="9"/>
      <c r="H2327" s="6"/>
      <c r="AD2327" s="5">
        <v>45023.0</v>
      </c>
      <c r="AE2327" s="6">
        <v>0.875</v>
      </c>
      <c r="AF2327" s="7">
        <v>0.0</v>
      </c>
    </row>
    <row r="2328">
      <c r="G2328" s="9"/>
      <c r="H2328" s="6"/>
      <c r="AD2328" s="5">
        <v>45023.0</v>
      </c>
      <c r="AE2328" s="6">
        <v>0.9166666666666666</v>
      </c>
      <c r="AF2328" s="7">
        <v>0.0</v>
      </c>
    </row>
    <row r="2329">
      <c r="G2329" s="9"/>
      <c r="H2329" s="6"/>
      <c r="AD2329" s="5">
        <v>45023.0</v>
      </c>
      <c r="AE2329" s="6">
        <v>0.9583333333333334</v>
      </c>
      <c r="AF2329" s="7">
        <v>0.0</v>
      </c>
    </row>
    <row r="2330">
      <c r="G2330" s="5"/>
      <c r="H2330" s="6"/>
      <c r="AD2330" s="5">
        <v>45024.0</v>
      </c>
      <c r="AE2330" s="6">
        <v>0.0</v>
      </c>
      <c r="AF2330" s="7">
        <v>0.0</v>
      </c>
    </row>
    <row r="2331">
      <c r="G2331" s="5"/>
      <c r="H2331" s="6"/>
      <c r="AD2331" s="5">
        <v>45024.0</v>
      </c>
      <c r="AE2331" s="6">
        <v>0.041666666666666664</v>
      </c>
      <c r="AF2331" s="7">
        <v>0.0</v>
      </c>
    </row>
    <row r="2332">
      <c r="G2332" s="5"/>
      <c r="H2332" s="6"/>
      <c r="AD2332" s="5">
        <v>45024.0</v>
      </c>
      <c r="AE2332" s="6">
        <v>0.08333333333333333</v>
      </c>
      <c r="AF2332" s="7">
        <v>0.0</v>
      </c>
    </row>
    <row r="2333">
      <c r="G2333" s="9"/>
      <c r="H2333" s="6"/>
      <c r="AD2333" s="5">
        <v>45024.0</v>
      </c>
      <c r="AE2333" s="6">
        <v>0.125</v>
      </c>
      <c r="AF2333" s="7">
        <v>0.0</v>
      </c>
    </row>
    <row r="2334">
      <c r="G2334" s="9"/>
      <c r="H2334" s="6"/>
      <c r="AD2334" s="5">
        <v>45024.0</v>
      </c>
      <c r="AE2334" s="6">
        <v>0.16666666666666666</v>
      </c>
      <c r="AF2334" s="7">
        <v>0.0</v>
      </c>
    </row>
    <row r="2335">
      <c r="G2335" s="9"/>
      <c r="H2335" s="6"/>
      <c r="AD2335" s="5">
        <v>45024.0</v>
      </c>
      <c r="AE2335" s="6">
        <v>0.20833333333333334</v>
      </c>
      <c r="AF2335" s="7">
        <v>0.0</v>
      </c>
    </row>
    <row r="2336">
      <c r="G2336" s="9"/>
      <c r="H2336" s="6"/>
      <c r="AD2336" s="5">
        <v>45024.0</v>
      </c>
      <c r="AE2336" s="6">
        <v>0.25</v>
      </c>
      <c r="AF2336" s="7">
        <v>1343.94</v>
      </c>
    </row>
    <row r="2337">
      <c r="G2337" s="9"/>
      <c r="H2337" s="6"/>
      <c r="AD2337" s="5">
        <v>45024.0</v>
      </c>
      <c r="AE2337" s="6">
        <v>0.2916666666666667</v>
      </c>
      <c r="AF2337" s="7">
        <v>14975.22</v>
      </c>
    </row>
    <row r="2338">
      <c r="G2338" s="9"/>
      <c r="H2338" s="6"/>
      <c r="AD2338" s="5">
        <v>45024.0</v>
      </c>
      <c r="AE2338" s="6">
        <v>0.3333333333333333</v>
      </c>
      <c r="AF2338" s="7">
        <v>30456.66</v>
      </c>
    </row>
    <row r="2339">
      <c r="G2339" s="9"/>
      <c r="H2339" s="6"/>
      <c r="AD2339" s="5">
        <v>45024.0</v>
      </c>
      <c r="AE2339" s="6">
        <v>0.375</v>
      </c>
      <c r="AF2339" s="7">
        <v>43271.28</v>
      </c>
    </row>
    <row r="2340">
      <c r="G2340" s="9"/>
      <c r="H2340" s="6"/>
      <c r="AD2340" s="5">
        <v>45024.0</v>
      </c>
      <c r="AE2340" s="6">
        <v>0.4166666666666667</v>
      </c>
      <c r="AF2340" s="7">
        <v>53283.36</v>
      </c>
    </row>
    <row r="2341">
      <c r="G2341" s="9"/>
      <c r="H2341" s="6"/>
      <c r="AD2341" s="5">
        <v>45024.0</v>
      </c>
      <c r="AE2341" s="6">
        <v>0.4583333333333333</v>
      </c>
      <c r="AF2341" s="7">
        <v>58788.6</v>
      </c>
    </row>
    <row r="2342">
      <c r="G2342" s="9"/>
      <c r="H2342" s="6"/>
      <c r="AD2342" s="5">
        <v>45024.0</v>
      </c>
      <c r="AE2342" s="6">
        <v>0.5</v>
      </c>
      <c r="AF2342" s="7">
        <v>61159.8</v>
      </c>
    </row>
    <row r="2343">
      <c r="G2343" s="9"/>
      <c r="H2343" s="6"/>
      <c r="AD2343" s="5">
        <v>45024.0</v>
      </c>
      <c r="AE2343" s="6">
        <v>0.5416666666666666</v>
      </c>
      <c r="AF2343" s="7">
        <v>59025.72</v>
      </c>
    </row>
    <row r="2344">
      <c r="G2344" s="9"/>
      <c r="H2344" s="6"/>
      <c r="AD2344" s="5">
        <v>45024.0</v>
      </c>
      <c r="AE2344" s="6">
        <v>0.5833333333333334</v>
      </c>
      <c r="AF2344" s="7">
        <v>52446.42</v>
      </c>
    </row>
    <row r="2345">
      <c r="G2345" s="9"/>
      <c r="H2345" s="6"/>
      <c r="AD2345" s="5">
        <v>45024.0</v>
      </c>
      <c r="AE2345" s="6">
        <v>0.625</v>
      </c>
      <c r="AF2345" s="7">
        <v>42258.06</v>
      </c>
    </row>
    <row r="2346">
      <c r="G2346" s="9"/>
      <c r="H2346" s="6"/>
      <c r="AD2346" s="5">
        <v>45024.0</v>
      </c>
      <c r="AE2346" s="6">
        <v>0.6666666666666666</v>
      </c>
      <c r="AF2346" s="7">
        <v>27300.0</v>
      </c>
    </row>
    <row r="2347">
      <c r="G2347" s="5"/>
      <c r="H2347" s="6"/>
      <c r="AD2347" s="5">
        <v>45024.0</v>
      </c>
      <c r="AE2347" s="6">
        <v>0.7083333333333334</v>
      </c>
      <c r="AF2347" s="7">
        <v>12332.58</v>
      </c>
    </row>
    <row r="2348">
      <c r="G2348" s="9"/>
      <c r="H2348" s="6"/>
      <c r="AD2348" s="5">
        <v>45024.0</v>
      </c>
      <c r="AE2348" s="6">
        <v>0.75</v>
      </c>
      <c r="AF2348" s="7">
        <v>404.82</v>
      </c>
    </row>
    <row r="2349">
      <c r="G2349" s="9"/>
      <c r="H2349" s="6"/>
      <c r="AD2349" s="5">
        <v>45024.0</v>
      </c>
      <c r="AE2349" s="6">
        <v>0.7916666666666666</v>
      </c>
      <c r="AF2349" s="7">
        <v>0.0</v>
      </c>
    </row>
    <row r="2350">
      <c r="G2350" s="9"/>
      <c r="H2350" s="6"/>
      <c r="AD2350" s="5">
        <v>45024.0</v>
      </c>
      <c r="AE2350" s="6">
        <v>0.8333333333333334</v>
      </c>
      <c r="AF2350" s="7">
        <v>0.0</v>
      </c>
    </row>
    <row r="2351">
      <c r="G2351" s="5"/>
      <c r="H2351" s="6"/>
      <c r="AD2351" s="5">
        <v>45024.0</v>
      </c>
      <c r="AE2351" s="6">
        <v>0.875</v>
      </c>
      <c r="AF2351" s="7">
        <v>0.0</v>
      </c>
    </row>
    <row r="2352">
      <c r="G2352" s="5"/>
      <c r="H2352" s="6"/>
      <c r="AD2352" s="5">
        <v>45024.0</v>
      </c>
      <c r="AE2352" s="6">
        <v>0.9166666666666666</v>
      </c>
      <c r="AF2352" s="7">
        <v>0.0</v>
      </c>
    </row>
    <row r="2353">
      <c r="G2353" s="5"/>
      <c r="H2353" s="6"/>
      <c r="AD2353" s="5">
        <v>45024.0</v>
      </c>
      <c r="AE2353" s="6">
        <v>0.9583333333333334</v>
      </c>
      <c r="AF2353" s="7">
        <v>0.0</v>
      </c>
    </row>
    <row r="2354">
      <c r="G2354" s="5"/>
      <c r="H2354" s="6"/>
      <c r="AD2354" s="5">
        <v>45025.0</v>
      </c>
      <c r="AE2354" s="6">
        <v>0.0</v>
      </c>
      <c r="AF2354" s="7">
        <v>0.0</v>
      </c>
    </row>
    <row r="2355">
      <c r="G2355" s="5"/>
      <c r="H2355" s="6"/>
      <c r="AD2355" s="5">
        <v>45025.0</v>
      </c>
      <c r="AE2355" s="6">
        <v>0.041666666666666664</v>
      </c>
      <c r="AF2355" s="7">
        <v>0.0</v>
      </c>
    </row>
    <row r="2356">
      <c r="G2356" s="9"/>
      <c r="H2356" s="6"/>
      <c r="AD2356" s="5">
        <v>45025.0</v>
      </c>
      <c r="AE2356" s="6">
        <v>0.08333333333333333</v>
      </c>
      <c r="AF2356" s="7">
        <v>0.0</v>
      </c>
    </row>
    <row r="2357">
      <c r="G2357" s="9"/>
      <c r="H2357" s="6"/>
      <c r="AD2357" s="5">
        <v>45025.0</v>
      </c>
      <c r="AE2357" s="6">
        <v>0.125</v>
      </c>
      <c r="AF2357" s="7">
        <v>0.0</v>
      </c>
    </row>
    <row r="2358">
      <c r="G2358" s="9"/>
      <c r="H2358" s="6"/>
      <c r="AD2358" s="5">
        <v>45025.0</v>
      </c>
      <c r="AE2358" s="6">
        <v>0.16666666666666666</v>
      </c>
      <c r="AF2358" s="7">
        <v>0.0</v>
      </c>
    </row>
    <row r="2359">
      <c r="G2359" s="9"/>
      <c r="H2359" s="6"/>
      <c r="AD2359" s="5">
        <v>45025.0</v>
      </c>
      <c r="AE2359" s="6">
        <v>0.20833333333333334</v>
      </c>
      <c r="AF2359" s="7">
        <v>0.0</v>
      </c>
    </row>
    <row r="2360">
      <c r="G2360" s="9"/>
      <c r="H2360" s="6"/>
      <c r="AD2360" s="5">
        <v>45025.0</v>
      </c>
      <c r="AE2360" s="6">
        <v>0.25</v>
      </c>
      <c r="AF2360" s="7">
        <v>1779.96</v>
      </c>
    </row>
    <row r="2361">
      <c r="G2361" s="9"/>
      <c r="H2361" s="6"/>
      <c r="AD2361" s="5">
        <v>45025.0</v>
      </c>
      <c r="AE2361" s="6">
        <v>0.2916666666666667</v>
      </c>
      <c r="AF2361" s="7">
        <v>12697.62</v>
      </c>
    </row>
    <row r="2362">
      <c r="G2362" s="9"/>
      <c r="H2362" s="6"/>
      <c r="AD2362" s="5">
        <v>45025.0</v>
      </c>
      <c r="AE2362" s="6">
        <v>0.3333333333333333</v>
      </c>
      <c r="AF2362" s="7">
        <v>29785.86</v>
      </c>
    </row>
    <row r="2363">
      <c r="G2363" s="9"/>
      <c r="H2363" s="6"/>
      <c r="AD2363" s="5">
        <v>45025.0</v>
      </c>
      <c r="AE2363" s="6">
        <v>0.375</v>
      </c>
      <c r="AF2363" s="7">
        <v>43131.66</v>
      </c>
    </row>
    <row r="2364">
      <c r="G2364" s="9"/>
      <c r="H2364" s="6"/>
      <c r="AD2364" s="5">
        <v>45025.0</v>
      </c>
      <c r="AE2364" s="6">
        <v>0.4166666666666667</v>
      </c>
      <c r="AF2364" s="7">
        <v>52834.86</v>
      </c>
    </row>
    <row r="2365">
      <c r="G2365" s="9"/>
      <c r="H2365" s="6"/>
      <c r="AD2365" s="5">
        <v>45025.0</v>
      </c>
      <c r="AE2365" s="6">
        <v>0.4583333333333333</v>
      </c>
      <c r="AF2365" s="7">
        <v>57481.32</v>
      </c>
    </row>
    <row r="2366">
      <c r="G2366" s="9"/>
      <c r="H2366" s="6"/>
      <c r="AD2366" s="5">
        <v>45025.0</v>
      </c>
      <c r="AE2366" s="6">
        <v>0.5</v>
      </c>
      <c r="AF2366" s="7">
        <v>58319.04</v>
      </c>
    </row>
    <row r="2367">
      <c r="G2367" s="9"/>
      <c r="H2367" s="6"/>
      <c r="AD2367" s="5">
        <v>45025.0</v>
      </c>
      <c r="AE2367" s="6">
        <v>0.5416666666666666</v>
      </c>
      <c r="AF2367" s="7">
        <v>56315.22</v>
      </c>
    </row>
    <row r="2368">
      <c r="G2368" s="9"/>
      <c r="H2368" s="6"/>
      <c r="AD2368" s="5">
        <v>45025.0</v>
      </c>
      <c r="AE2368" s="6">
        <v>0.5833333333333334</v>
      </c>
      <c r="AF2368" s="7">
        <v>49849.8</v>
      </c>
    </row>
    <row r="2369">
      <c r="G2369" s="9"/>
      <c r="H2369" s="6"/>
      <c r="AD2369" s="5">
        <v>45025.0</v>
      </c>
      <c r="AE2369" s="6">
        <v>0.625</v>
      </c>
      <c r="AF2369" s="7">
        <v>38344.8</v>
      </c>
    </row>
    <row r="2370">
      <c r="G2370" s="9"/>
      <c r="H2370" s="6"/>
      <c r="AD2370" s="5">
        <v>45025.0</v>
      </c>
      <c r="AE2370" s="6">
        <v>0.6666666666666666</v>
      </c>
      <c r="AF2370" s="7">
        <v>22149.66</v>
      </c>
    </row>
    <row r="2371">
      <c r="G2371" s="9"/>
      <c r="H2371" s="6"/>
      <c r="AD2371" s="5">
        <v>45025.0</v>
      </c>
      <c r="AE2371" s="6">
        <v>0.7083333333333334</v>
      </c>
      <c r="AF2371" s="7">
        <v>10611.12</v>
      </c>
    </row>
    <row r="2372">
      <c r="G2372" s="9"/>
      <c r="H2372" s="6"/>
      <c r="AD2372" s="5">
        <v>45025.0</v>
      </c>
      <c r="AE2372" s="6">
        <v>0.75</v>
      </c>
      <c r="AF2372" s="7">
        <v>529.62</v>
      </c>
    </row>
    <row r="2373">
      <c r="G2373" s="5"/>
      <c r="H2373" s="6"/>
      <c r="AD2373" s="5">
        <v>45025.0</v>
      </c>
      <c r="AE2373" s="6">
        <v>0.7916666666666666</v>
      </c>
      <c r="AF2373" s="7">
        <v>0.0</v>
      </c>
    </row>
    <row r="2374">
      <c r="G2374" s="5"/>
      <c r="H2374" s="6"/>
      <c r="AD2374" s="5">
        <v>45025.0</v>
      </c>
      <c r="AE2374" s="6">
        <v>0.8333333333333334</v>
      </c>
      <c r="AF2374" s="7">
        <v>0.0</v>
      </c>
    </row>
    <row r="2375">
      <c r="G2375" s="5"/>
      <c r="H2375" s="6"/>
      <c r="AD2375" s="5">
        <v>45025.0</v>
      </c>
      <c r="AE2375" s="6">
        <v>0.875</v>
      </c>
      <c r="AF2375" s="7">
        <v>0.0</v>
      </c>
    </row>
    <row r="2376">
      <c r="G2376" s="5"/>
      <c r="H2376" s="6"/>
      <c r="AD2376" s="5">
        <v>45025.0</v>
      </c>
      <c r="AE2376" s="6">
        <v>0.9166666666666666</v>
      </c>
      <c r="AF2376" s="7">
        <v>0.0</v>
      </c>
    </row>
    <row r="2377">
      <c r="G2377" s="5"/>
      <c r="H2377" s="6"/>
      <c r="AD2377" s="5">
        <v>45025.0</v>
      </c>
      <c r="AE2377" s="6">
        <v>0.9583333333333334</v>
      </c>
      <c r="AF2377" s="7">
        <v>0.0</v>
      </c>
    </row>
    <row r="2378">
      <c r="G2378" s="9"/>
      <c r="H2378" s="6"/>
      <c r="AD2378" s="5">
        <v>45026.0</v>
      </c>
      <c r="AE2378" s="6">
        <v>0.0</v>
      </c>
      <c r="AF2378" s="7">
        <v>0.0</v>
      </c>
    </row>
    <row r="2379">
      <c r="G2379" s="9"/>
      <c r="H2379" s="6"/>
      <c r="AD2379" s="5">
        <v>45026.0</v>
      </c>
      <c r="AE2379" s="6">
        <v>0.041666666666666664</v>
      </c>
      <c r="AF2379" s="7">
        <v>0.0</v>
      </c>
    </row>
    <row r="2380">
      <c r="G2380" s="10"/>
      <c r="H2380" s="6"/>
      <c r="AD2380" s="5">
        <v>45026.0</v>
      </c>
      <c r="AE2380" s="6">
        <v>0.08333333333333333</v>
      </c>
      <c r="AF2380" s="7">
        <v>0.0</v>
      </c>
    </row>
    <row r="2381">
      <c r="G2381" s="10"/>
      <c r="H2381" s="6"/>
      <c r="AD2381" s="5">
        <v>45026.0</v>
      </c>
      <c r="AE2381" s="6">
        <v>0.125</v>
      </c>
      <c r="AF2381" s="7">
        <v>0.0</v>
      </c>
    </row>
    <row r="2382">
      <c r="G2382" s="5"/>
      <c r="H2382" s="6"/>
      <c r="AD2382" s="5">
        <v>45026.0</v>
      </c>
      <c r="AE2382" s="6">
        <v>0.16666666666666666</v>
      </c>
      <c r="AF2382" s="7">
        <v>0.0</v>
      </c>
    </row>
    <row r="2383">
      <c r="G2383" s="5"/>
      <c r="H2383" s="6"/>
      <c r="AD2383" s="5">
        <v>45026.0</v>
      </c>
      <c r="AE2383" s="6">
        <v>0.20833333333333334</v>
      </c>
      <c r="AF2383" s="7">
        <v>0.0</v>
      </c>
    </row>
    <row r="2384">
      <c r="G2384" s="5"/>
      <c r="H2384" s="6"/>
      <c r="AD2384" s="5">
        <v>45026.0</v>
      </c>
      <c r="AE2384" s="6">
        <v>0.25</v>
      </c>
      <c r="AF2384" s="7">
        <v>1687.14</v>
      </c>
    </row>
    <row r="2385">
      <c r="G2385" s="5"/>
      <c r="H2385" s="6"/>
      <c r="AD2385" s="5">
        <v>45026.0</v>
      </c>
      <c r="AE2385" s="6">
        <v>0.2916666666666667</v>
      </c>
      <c r="AF2385" s="7">
        <v>12378.6</v>
      </c>
    </row>
    <row r="2386">
      <c r="G2386" s="5"/>
      <c r="H2386" s="6"/>
      <c r="AD2386" s="5">
        <v>45026.0</v>
      </c>
      <c r="AE2386" s="6">
        <v>0.3333333333333333</v>
      </c>
      <c r="AF2386" s="7">
        <v>26719.68</v>
      </c>
    </row>
    <row r="2387">
      <c r="G2387" s="5"/>
      <c r="H2387" s="6"/>
      <c r="AD2387" s="5">
        <v>45026.0</v>
      </c>
      <c r="AE2387" s="6">
        <v>0.375</v>
      </c>
      <c r="AF2387" s="7">
        <v>39655.2</v>
      </c>
    </row>
    <row r="2388">
      <c r="G2388" s="10"/>
      <c r="H2388" s="6"/>
      <c r="AD2388" s="5">
        <v>45026.0</v>
      </c>
      <c r="AE2388" s="6">
        <v>0.4166666666666667</v>
      </c>
      <c r="AF2388" s="7">
        <v>49770.24</v>
      </c>
    </row>
    <row r="2389">
      <c r="G2389" s="10"/>
      <c r="H2389" s="6"/>
      <c r="AD2389" s="5">
        <v>45026.0</v>
      </c>
      <c r="AE2389" s="6">
        <v>0.4583333333333333</v>
      </c>
      <c r="AF2389" s="7">
        <v>53269.32</v>
      </c>
    </row>
    <row r="2390">
      <c r="G2390" s="10"/>
      <c r="H2390" s="6"/>
      <c r="AD2390" s="5">
        <v>45026.0</v>
      </c>
      <c r="AE2390" s="6">
        <v>0.5</v>
      </c>
      <c r="AF2390" s="7">
        <v>58528.08</v>
      </c>
    </row>
    <row r="2391">
      <c r="G2391" s="5"/>
      <c r="H2391" s="6"/>
      <c r="AD2391" s="5">
        <v>45026.0</v>
      </c>
      <c r="AE2391" s="6">
        <v>0.5416666666666666</v>
      </c>
      <c r="AF2391" s="7">
        <v>56767.62</v>
      </c>
    </row>
    <row r="2392">
      <c r="G2392" s="10"/>
      <c r="H2392" s="6"/>
      <c r="AD2392" s="5">
        <v>45026.0</v>
      </c>
      <c r="AE2392" s="6">
        <v>0.5833333333333334</v>
      </c>
      <c r="AF2392" s="7">
        <v>48580.74</v>
      </c>
    </row>
    <row r="2393">
      <c r="G2393" s="10"/>
      <c r="H2393" s="6"/>
      <c r="AD2393" s="5">
        <v>45026.0</v>
      </c>
      <c r="AE2393" s="6">
        <v>0.625</v>
      </c>
      <c r="AF2393" s="7">
        <v>37455.6</v>
      </c>
    </row>
    <row r="2394">
      <c r="G2394" s="10"/>
      <c r="H2394" s="6"/>
      <c r="AD2394" s="5">
        <v>45026.0</v>
      </c>
      <c r="AE2394" s="6">
        <v>0.6666666666666666</v>
      </c>
      <c r="AF2394" s="7">
        <v>26325.0</v>
      </c>
    </row>
    <row r="2395">
      <c r="G2395" s="10"/>
      <c r="H2395" s="6"/>
      <c r="AD2395" s="5">
        <v>45026.0</v>
      </c>
      <c r="AE2395" s="6">
        <v>0.7083333333333334</v>
      </c>
      <c r="AF2395" s="7">
        <v>6410.82</v>
      </c>
    </row>
    <row r="2396">
      <c r="G2396" s="5"/>
      <c r="H2396" s="6"/>
      <c r="AD2396" s="5">
        <v>45026.0</v>
      </c>
      <c r="AE2396" s="6">
        <v>0.75</v>
      </c>
      <c r="AF2396" s="7">
        <v>645.84</v>
      </c>
    </row>
    <row r="2397">
      <c r="G2397" s="5"/>
      <c r="H2397" s="6"/>
      <c r="AD2397" s="5">
        <v>45026.0</v>
      </c>
      <c r="AE2397" s="6">
        <v>0.7916666666666666</v>
      </c>
      <c r="AF2397" s="7">
        <v>0.0</v>
      </c>
    </row>
    <row r="2398">
      <c r="G2398" s="5"/>
      <c r="H2398" s="6"/>
      <c r="AD2398" s="5">
        <v>45026.0</v>
      </c>
      <c r="AE2398" s="6">
        <v>0.8333333333333334</v>
      </c>
      <c r="AF2398" s="7">
        <v>0.0</v>
      </c>
    </row>
    <row r="2399">
      <c r="G2399" s="5"/>
      <c r="H2399" s="6"/>
      <c r="AD2399" s="5">
        <v>45026.0</v>
      </c>
      <c r="AE2399" s="6">
        <v>0.875</v>
      </c>
      <c r="AF2399" s="7">
        <v>0.0</v>
      </c>
    </row>
    <row r="2400">
      <c r="G2400" s="5"/>
      <c r="H2400" s="6"/>
      <c r="AD2400" s="5">
        <v>45026.0</v>
      </c>
      <c r="AE2400" s="6">
        <v>0.9166666666666666</v>
      </c>
      <c r="AF2400" s="7">
        <v>0.0</v>
      </c>
    </row>
    <row r="2401">
      <c r="G2401" s="5"/>
      <c r="H2401" s="6"/>
      <c r="AD2401" s="5">
        <v>45026.0</v>
      </c>
      <c r="AE2401" s="6">
        <v>0.9583333333333334</v>
      </c>
      <c r="AF2401" s="7">
        <v>0.0</v>
      </c>
    </row>
    <row r="2402">
      <c r="G2402" s="10"/>
      <c r="H2402" s="6"/>
      <c r="AD2402" s="5">
        <v>45027.0</v>
      </c>
      <c r="AE2402" s="6">
        <v>0.0</v>
      </c>
      <c r="AF2402" s="7">
        <v>0.0</v>
      </c>
    </row>
    <row r="2403">
      <c r="G2403" s="10"/>
      <c r="H2403" s="6"/>
      <c r="AD2403" s="5">
        <v>45027.0</v>
      </c>
      <c r="AE2403" s="6">
        <v>0.041666666666666664</v>
      </c>
      <c r="AF2403" s="7">
        <v>0.0</v>
      </c>
    </row>
    <row r="2404">
      <c r="G2404" s="10"/>
      <c r="H2404" s="6"/>
      <c r="AD2404" s="5">
        <v>45027.0</v>
      </c>
      <c r="AE2404" s="6">
        <v>0.08333333333333333</v>
      </c>
      <c r="AF2404" s="7">
        <v>0.0</v>
      </c>
    </row>
    <row r="2405">
      <c r="G2405" s="5"/>
      <c r="H2405" s="6"/>
      <c r="AD2405" s="5">
        <v>45027.0</v>
      </c>
      <c r="AE2405" s="6">
        <v>0.125</v>
      </c>
      <c r="AF2405" s="7">
        <v>0.0</v>
      </c>
    </row>
    <row r="2406">
      <c r="G2406" s="5"/>
      <c r="H2406" s="6"/>
      <c r="AD2406" s="5">
        <v>45027.0</v>
      </c>
      <c r="AE2406" s="6">
        <v>0.16666666666666666</v>
      </c>
      <c r="AF2406" s="7">
        <v>0.0</v>
      </c>
    </row>
    <row r="2407">
      <c r="G2407" s="5"/>
      <c r="H2407" s="6"/>
      <c r="AD2407" s="5">
        <v>45027.0</v>
      </c>
      <c r="AE2407" s="6">
        <v>0.20833333333333334</v>
      </c>
      <c r="AF2407" s="7">
        <v>0.0</v>
      </c>
    </row>
    <row r="2408">
      <c r="G2408" s="5"/>
      <c r="H2408" s="6"/>
      <c r="AD2408" s="5">
        <v>45027.0</v>
      </c>
      <c r="AE2408" s="6">
        <v>0.25</v>
      </c>
      <c r="AF2408" s="7">
        <v>2094.3</v>
      </c>
    </row>
    <row r="2409">
      <c r="G2409" s="5"/>
      <c r="H2409" s="6"/>
      <c r="AD2409" s="5">
        <v>45027.0</v>
      </c>
      <c r="AE2409" s="6">
        <v>0.2916666666666667</v>
      </c>
      <c r="AF2409" s="7">
        <v>15540.72</v>
      </c>
    </row>
    <row r="2410">
      <c r="G2410" s="5"/>
      <c r="H2410" s="6"/>
      <c r="AD2410" s="5">
        <v>45027.0</v>
      </c>
      <c r="AE2410" s="6">
        <v>0.3333333333333333</v>
      </c>
      <c r="AF2410" s="7">
        <v>30880.2</v>
      </c>
    </row>
    <row r="2411">
      <c r="G2411" s="10"/>
      <c r="H2411" s="6"/>
      <c r="AD2411" s="5">
        <v>45027.0</v>
      </c>
      <c r="AE2411" s="6">
        <v>0.375</v>
      </c>
      <c r="AF2411" s="7">
        <v>40805.7</v>
      </c>
    </row>
    <row r="2412">
      <c r="G2412" s="10"/>
      <c r="H2412" s="6"/>
      <c r="AD2412" s="5">
        <v>45027.0</v>
      </c>
      <c r="AE2412" s="6">
        <v>0.4166666666666667</v>
      </c>
      <c r="AF2412" s="7">
        <v>51559.56</v>
      </c>
    </row>
    <row r="2413">
      <c r="G2413" s="5"/>
      <c r="H2413" s="6"/>
      <c r="AD2413" s="5">
        <v>45027.0</v>
      </c>
      <c r="AE2413" s="6">
        <v>0.4583333333333333</v>
      </c>
      <c r="AF2413" s="7">
        <v>49792.86</v>
      </c>
    </row>
    <row r="2414">
      <c r="G2414" s="5"/>
      <c r="H2414" s="6"/>
      <c r="AD2414" s="5">
        <v>45027.0</v>
      </c>
      <c r="AE2414" s="6">
        <v>0.5</v>
      </c>
      <c r="AF2414" s="7">
        <v>55260.66</v>
      </c>
    </row>
    <row r="2415">
      <c r="G2415" s="5"/>
      <c r="H2415" s="6"/>
      <c r="AD2415" s="5">
        <v>45027.0</v>
      </c>
      <c r="AE2415" s="6">
        <v>0.5416666666666666</v>
      </c>
      <c r="AF2415" s="7">
        <v>54253.68</v>
      </c>
    </row>
    <row r="2416">
      <c r="G2416" s="5"/>
      <c r="H2416" s="6"/>
      <c r="AD2416" s="5">
        <v>45027.0</v>
      </c>
      <c r="AE2416" s="6">
        <v>0.5833333333333334</v>
      </c>
      <c r="AF2416" s="7">
        <v>47271.12</v>
      </c>
    </row>
    <row r="2417">
      <c r="G2417" s="5"/>
      <c r="H2417" s="6"/>
      <c r="AD2417" s="5">
        <v>45027.0</v>
      </c>
      <c r="AE2417" s="6">
        <v>0.625</v>
      </c>
      <c r="AF2417" s="7">
        <v>31440.24</v>
      </c>
    </row>
    <row r="2418">
      <c r="G2418" s="5"/>
      <c r="H2418" s="6"/>
      <c r="AD2418" s="5">
        <v>45027.0</v>
      </c>
      <c r="AE2418" s="6">
        <v>0.6666666666666666</v>
      </c>
      <c r="AF2418" s="7">
        <v>22322.82</v>
      </c>
    </row>
    <row r="2419">
      <c r="G2419" s="5"/>
      <c r="H2419" s="6"/>
      <c r="AD2419" s="5">
        <v>45027.0</v>
      </c>
      <c r="AE2419" s="6">
        <v>0.7083333333333334</v>
      </c>
      <c r="AF2419" s="7">
        <v>11533.08</v>
      </c>
    </row>
    <row r="2420">
      <c r="G2420" s="5"/>
      <c r="H2420" s="6"/>
      <c r="AD2420" s="5">
        <v>45027.0</v>
      </c>
      <c r="AE2420" s="6">
        <v>0.75</v>
      </c>
      <c r="AF2420" s="7">
        <v>732.42</v>
      </c>
    </row>
    <row r="2421">
      <c r="G2421" s="5"/>
      <c r="H2421" s="6"/>
      <c r="AD2421" s="5">
        <v>45027.0</v>
      </c>
      <c r="AE2421" s="6">
        <v>0.7916666666666666</v>
      </c>
      <c r="AF2421" s="7">
        <v>0.0</v>
      </c>
    </row>
    <row r="2422">
      <c r="G2422" s="10"/>
      <c r="H2422" s="6"/>
      <c r="AD2422" s="5">
        <v>45027.0</v>
      </c>
      <c r="AE2422" s="6">
        <v>0.8333333333333334</v>
      </c>
      <c r="AF2422" s="7">
        <v>0.0</v>
      </c>
    </row>
    <row r="2423">
      <c r="G2423" s="10"/>
      <c r="H2423" s="6"/>
      <c r="AD2423" s="5">
        <v>45027.0</v>
      </c>
      <c r="AE2423" s="6">
        <v>0.875</v>
      </c>
      <c r="AF2423" s="7">
        <v>0.0</v>
      </c>
    </row>
    <row r="2424">
      <c r="G2424" s="5"/>
      <c r="H2424" s="6"/>
      <c r="AD2424" s="5">
        <v>45027.0</v>
      </c>
      <c r="AE2424" s="6">
        <v>0.9166666666666666</v>
      </c>
      <c r="AF2424" s="7">
        <v>0.0</v>
      </c>
    </row>
    <row r="2425">
      <c r="G2425" s="5"/>
      <c r="H2425" s="6"/>
      <c r="AD2425" s="5">
        <v>45027.0</v>
      </c>
      <c r="AE2425" s="6">
        <v>0.9583333333333334</v>
      </c>
      <c r="AF2425" s="7">
        <v>0.0</v>
      </c>
    </row>
    <row r="2426">
      <c r="G2426" s="5"/>
      <c r="H2426" s="6"/>
      <c r="AD2426" s="5">
        <v>45028.0</v>
      </c>
      <c r="AE2426" s="6">
        <v>0.0</v>
      </c>
      <c r="AF2426" s="7">
        <v>0.0</v>
      </c>
    </row>
    <row r="2427">
      <c r="G2427" s="10"/>
      <c r="H2427" s="6"/>
      <c r="AD2427" s="5">
        <v>45028.0</v>
      </c>
      <c r="AE2427" s="6">
        <v>0.041666666666666664</v>
      </c>
      <c r="AF2427" s="7">
        <v>0.0</v>
      </c>
    </row>
    <row r="2428">
      <c r="G2428" s="10"/>
      <c r="H2428" s="6"/>
      <c r="AD2428" s="5">
        <v>45028.0</v>
      </c>
      <c r="AE2428" s="6">
        <v>0.08333333333333333</v>
      </c>
      <c r="AF2428" s="7">
        <v>0.0</v>
      </c>
    </row>
    <row r="2429">
      <c r="G2429" s="10"/>
      <c r="H2429" s="6"/>
      <c r="AD2429" s="5">
        <v>45028.0</v>
      </c>
      <c r="AE2429" s="6">
        <v>0.125</v>
      </c>
      <c r="AF2429" s="7">
        <v>0.0</v>
      </c>
    </row>
    <row r="2430">
      <c r="G2430" s="10"/>
      <c r="H2430" s="6"/>
      <c r="AD2430" s="5">
        <v>45028.0</v>
      </c>
      <c r="AE2430" s="6">
        <v>0.16666666666666666</v>
      </c>
      <c r="AF2430" s="7">
        <v>0.0</v>
      </c>
    </row>
    <row r="2431">
      <c r="G2431" s="10"/>
      <c r="H2431" s="6"/>
      <c r="AD2431" s="5">
        <v>45028.0</v>
      </c>
      <c r="AE2431" s="6">
        <v>0.20833333333333334</v>
      </c>
      <c r="AF2431" s="7">
        <v>0.0</v>
      </c>
    </row>
    <row r="2432">
      <c r="G2432" s="10"/>
      <c r="H2432" s="6"/>
      <c r="AD2432" s="5">
        <v>45028.0</v>
      </c>
      <c r="AE2432" s="6">
        <v>0.25</v>
      </c>
      <c r="AF2432" s="7">
        <v>2245.62</v>
      </c>
    </row>
    <row r="2433">
      <c r="G2433" s="10"/>
      <c r="H2433" s="6"/>
      <c r="AD2433" s="5">
        <v>45028.0</v>
      </c>
      <c r="AE2433" s="6">
        <v>0.2916666666666667</v>
      </c>
      <c r="AF2433" s="7">
        <v>15535.26</v>
      </c>
    </row>
    <row r="2434">
      <c r="G2434" s="5"/>
      <c r="H2434" s="6"/>
      <c r="AD2434" s="5">
        <v>45028.0</v>
      </c>
      <c r="AE2434" s="6">
        <v>0.3333333333333333</v>
      </c>
      <c r="AF2434" s="7">
        <v>31929.3</v>
      </c>
    </row>
    <row r="2435">
      <c r="G2435" s="5"/>
      <c r="H2435" s="6"/>
      <c r="AD2435" s="5">
        <v>45028.0</v>
      </c>
      <c r="AE2435" s="6">
        <v>0.375</v>
      </c>
      <c r="AF2435" s="7">
        <v>45569.94</v>
      </c>
    </row>
    <row r="2436">
      <c r="G2436" s="5"/>
      <c r="H2436" s="6"/>
      <c r="AD2436" s="5">
        <v>45028.0</v>
      </c>
      <c r="AE2436" s="6">
        <v>0.4166666666666667</v>
      </c>
      <c r="AF2436" s="7">
        <v>55879.2</v>
      </c>
    </row>
    <row r="2437">
      <c r="G2437" s="5"/>
      <c r="H2437" s="6"/>
      <c r="AD2437" s="5">
        <v>45028.0</v>
      </c>
      <c r="AE2437" s="6">
        <v>0.4583333333333333</v>
      </c>
      <c r="AF2437" s="7">
        <v>60000.72</v>
      </c>
    </row>
    <row r="2438">
      <c r="G2438" s="5"/>
      <c r="H2438" s="6"/>
      <c r="AD2438" s="5">
        <v>45028.0</v>
      </c>
      <c r="AE2438" s="6">
        <v>0.5</v>
      </c>
      <c r="AF2438" s="7">
        <v>30883.32</v>
      </c>
    </row>
    <row r="2439">
      <c r="G2439" s="5"/>
      <c r="H2439" s="6"/>
      <c r="AD2439" s="5">
        <v>45028.0</v>
      </c>
      <c r="AE2439" s="6">
        <v>0.5416666666666666</v>
      </c>
      <c r="AF2439" s="7">
        <v>46645.56</v>
      </c>
    </row>
    <row r="2440">
      <c r="G2440" s="5"/>
      <c r="H2440" s="6"/>
      <c r="AD2440" s="5">
        <v>45028.0</v>
      </c>
      <c r="AE2440" s="6">
        <v>0.5833333333333334</v>
      </c>
      <c r="AF2440" s="7">
        <v>19741.8</v>
      </c>
    </row>
    <row r="2441">
      <c r="G2441" s="5"/>
      <c r="H2441" s="6"/>
      <c r="AD2441" s="5">
        <v>45028.0</v>
      </c>
      <c r="AE2441" s="6">
        <v>0.625</v>
      </c>
      <c r="AF2441" s="7">
        <v>20882.16</v>
      </c>
    </row>
    <row r="2442">
      <c r="G2442" s="5"/>
      <c r="H2442" s="6"/>
      <c r="AD2442" s="5">
        <v>45028.0</v>
      </c>
      <c r="AE2442" s="6">
        <v>0.6666666666666666</v>
      </c>
      <c r="AF2442" s="7">
        <v>17859.66</v>
      </c>
    </row>
    <row r="2443">
      <c r="G2443" s="5"/>
      <c r="H2443" s="6"/>
      <c r="AD2443" s="5">
        <v>45028.0</v>
      </c>
      <c r="AE2443" s="6">
        <v>0.7083333333333334</v>
      </c>
      <c r="AF2443" s="7">
        <v>9766.38</v>
      </c>
    </row>
    <row r="2444">
      <c r="G2444" s="5"/>
      <c r="H2444" s="6"/>
      <c r="AD2444" s="5">
        <v>45028.0</v>
      </c>
      <c r="AE2444" s="6">
        <v>0.75</v>
      </c>
      <c r="AF2444" s="7">
        <v>778.44</v>
      </c>
    </row>
    <row r="2445">
      <c r="G2445" s="10"/>
      <c r="H2445" s="6"/>
      <c r="AD2445" s="5">
        <v>45028.0</v>
      </c>
      <c r="AE2445" s="6">
        <v>0.7916666666666666</v>
      </c>
      <c r="AF2445" s="7">
        <v>0.0</v>
      </c>
    </row>
    <row r="2446">
      <c r="G2446" s="10"/>
      <c r="H2446" s="6"/>
      <c r="AD2446" s="5">
        <v>45028.0</v>
      </c>
      <c r="AE2446" s="6">
        <v>0.8333333333333334</v>
      </c>
      <c r="AF2446" s="7">
        <v>0.0</v>
      </c>
    </row>
    <row r="2447">
      <c r="G2447" s="5"/>
      <c r="H2447" s="6"/>
      <c r="AD2447" s="5">
        <v>45028.0</v>
      </c>
      <c r="AE2447" s="6">
        <v>0.875</v>
      </c>
      <c r="AF2447" s="7">
        <v>0.0</v>
      </c>
    </row>
    <row r="2448">
      <c r="G2448" s="5"/>
      <c r="H2448" s="6"/>
      <c r="AD2448" s="5">
        <v>45028.0</v>
      </c>
      <c r="AE2448" s="6">
        <v>0.9166666666666666</v>
      </c>
      <c r="AF2448" s="7">
        <v>0.0</v>
      </c>
    </row>
    <row r="2449">
      <c r="G2449" s="5"/>
      <c r="H2449" s="6"/>
      <c r="AD2449" s="5">
        <v>45028.0</v>
      </c>
      <c r="AE2449" s="6">
        <v>0.9583333333333334</v>
      </c>
      <c r="AF2449" s="7">
        <v>0.0</v>
      </c>
    </row>
    <row r="2450">
      <c r="G2450" s="5"/>
      <c r="H2450" s="6"/>
      <c r="AD2450" s="5">
        <v>45029.0</v>
      </c>
      <c r="AE2450" s="6">
        <v>0.0</v>
      </c>
      <c r="AF2450" s="7">
        <v>0.0</v>
      </c>
    </row>
    <row r="2451">
      <c r="G2451" s="10"/>
      <c r="H2451" s="6"/>
      <c r="AD2451" s="5">
        <v>45029.0</v>
      </c>
      <c r="AE2451" s="6">
        <v>0.041666666666666664</v>
      </c>
      <c r="AF2451" s="7">
        <v>0.0</v>
      </c>
    </row>
    <row r="2452">
      <c r="G2452" s="10"/>
      <c r="H2452" s="6"/>
      <c r="AD2452" s="5">
        <v>45029.0</v>
      </c>
      <c r="AE2452" s="6">
        <v>0.08333333333333333</v>
      </c>
      <c r="AF2452" s="7">
        <v>0.0</v>
      </c>
    </row>
    <row r="2453">
      <c r="G2453" s="10"/>
      <c r="H2453" s="6"/>
      <c r="AD2453" s="5">
        <v>45029.0</v>
      </c>
      <c r="AE2453" s="6">
        <v>0.125</v>
      </c>
      <c r="AF2453" s="7">
        <v>0.0</v>
      </c>
    </row>
    <row r="2454">
      <c r="G2454" s="10"/>
      <c r="H2454" s="6"/>
      <c r="AD2454" s="5">
        <v>45029.0</v>
      </c>
      <c r="AE2454" s="6">
        <v>0.16666666666666666</v>
      </c>
      <c r="AF2454" s="7">
        <v>0.0</v>
      </c>
    </row>
    <row r="2455">
      <c r="G2455" s="5"/>
      <c r="H2455" s="6"/>
      <c r="AD2455" s="5">
        <v>45029.0</v>
      </c>
      <c r="AE2455" s="6">
        <v>0.20833333333333334</v>
      </c>
      <c r="AF2455" s="7">
        <v>0.0</v>
      </c>
    </row>
    <row r="2456">
      <c r="G2456" s="5"/>
      <c r="H2456" s="6"/>
      <c r="AD2456" s="5">
        <v>45029.0</v>
      </c>
      <c r="AE2456" s="6">
        <v>0.25</v>
      </c>
      <c r="AF2456" s="7">
        <v>2522.52</v>
      </c>
    </row>
    <row r="2457">
      <c r="G2457" s="5"/>
      <c r="H2457" s="6"/>
      <c r="AD2457" s="5">
        <v>45029.0</v>
      </c>
      <c r="AE2457" s="6">
        <v>0.2916666666666667</v>
      </c>
      <c r="AF2457" s="7">
        <v>17306.64</v>
      </c>
    </row>
    <row r="2458">
      <c r="G2458" s="5"/>
      <c r="H2458" s="6"/>
      <c r="AD2458" s="5">
        <v>45029.0</v>
      </c>
      <c r="AE2458" s="6">
        <v>0.3333333333333333</v>
      </c>
      <c r="AF2458" s="7">
        <v>34320.78</v>
      </c>
    </row>
    <row r="2459">
      <c r="G2459" s="10"/>
      <c r="H2459" s="6"/>
      <c r="AD2459" s="5">
        <v>45029.0</v>
      </c>
      <c r="AE2459" s="6">
        <v>0.375</v>
      </c>
      <c r="AF2459" s="7">
        <v>48125.22</v>
      </c>
    </row>
    <row r="2460">
      <c r="G2460" s="10"/>
      <c r="H2460" s="6"/>
      <c r="AD2460" s="5">
        <v>45029.0</v>
      </c>
      <c r="AE2460" s="6">
        <v>0.4166666666666667</v>
      </c>
      <c r="AF2460" s="7">
        <v>58875.96</v>
      </c>
    </row>
    <row r="2461">
      <c r="G2461" s="10"/>
      <c r="H2461" s="6"/>
      <c r="AD2461" s="5">
        <v>45029.0</v>
      </c>
      <c r="AE2461" s="6">
        <v>0.4583333333333333</v>
      </c>
      <c r="AF2461" s="7">
        <v>64642.5</v>
      </c>
    </row>
    <row r="2462">
      <c r="G2462" s="10"/>
      <c r="H2462" s="6"/>
      <c r="AD2462" s="5">
        <v>45029.0</v>
      </c>
      <c r="AE2462" s="6">
        <v>0.5</v>
      </c>
      <c r="AF2462" s="7">
        <v>67173.6</v>
      </c>
    </row>
    <row r="2463">
      <c r="G2463" s="10"/>
      <c r="H2463" s="6"/>
      <c r="AD2463" s="5">
        <v>45029.0</v>
      </c>
      <c r="AE2463" s="6">
        <v>0.5416666666666666</v>
      </c>
      <c r="AF2463" s="7">
        <v>60801.0</v>
      </c>
    </row>
    <row r="2464">
      <c r="G2464" s="10"/>
      <c r="H2464" s="6"/>
      <c r="AD2464" s="5">
        <v>45029.0</v>
      </c>
      <c r="AE2464" s="6">
        <v>0.5833333333333334</v>
      </c>
      <c r="AF2464" s="7">
        <v>47689.2</v>
      </c>
    </row>
    <row r="2465">
      <c r="G2465" s="5"/>
      <c r="H2465" s="6"/>
      <c r="AD2465" s="5">
        <v>45029.0</v>
      </c>
      <c r="AE2465" s="6">
        <v>0.625</v>
      </c>
      <c r="AF2465" s="7">
        <v>34788.78</v>
      </c>
    </row>
    <row r="2466">
      <c r="G2466" s="5"/>
      <c r="H2466" s="6"/>
      <c r="AD2466" s="5">
        <v>45029.0</v>
      </c>
      <c r="AE2466" s="6">
        <v>0.6666666666666666</v>
      </c>
      <c r="AF2466" s="7">
        <v>28602.6</v>
      </c>
    </row>
    <row r="2467">
      <c r="G2467" s="5"/>
      <c r="H2467" s="6"/>
      <c r="AD2467" s="5">
        <v>45029.0</v>
      </c>
      <c r="AE2467" s="6">
        <v>0.7083333333333334</v>
      </c>
      <c r="AF2467" s="7">
        <v>12887.94</v>
      </c>
    </row>
    <row r="2468">
      <c r="G2468" s="5"/>
      <c r="H2468" s="6"/>
      <c r="AD2468" s="5">
        <v>45029.0</v>
      </c>
      <c r="AE2468" s="6">
        <v>0.75</v>
      </c>
      <c r="AF2468" s="7">
        <v>763.62</v>
      </c>
    </row>
    <row r="2469">
      <c r="G2469" s="5"/>
      <c r="H2469" s="6"/>
      <c r="AD2469" s="5">
        <v>45029.0</v>
      </c>
      <c r="AE2469" s="6">
        <v>0.7916666666666666</v>
      </c>
      <c r="AF2469" s="7">
        <v>0.0</v>
      </c>
    </row>
    <row r="2470">
      <c r="G2470" s="5"/>
      <c r="H2470" s="6"/>
      <c r="AD2470" s="5">
        <v>45029.0</v>
      </c>
      <c r="AE2470" s="6">
        <v>0.8333333333333334</v>
      </c>
      <c r="AF2470" s="7">
        <v>0.0</v>
      </c>
    </row>
    <row r="2471">
      <c r="G2471" s="5"/>
      <c r="H2471" s="6"/>
      <c r="AD2471" s="5">
        <v>45029.0</v>
      </c>
      <c r="AE2471" s="6">
        <v>0.875</v>
      </c>
      <c r="AF2471" s="7">
        <v>0.0</v>
      </c>
    </row>
    <row r="2472">
      <c r="G2472" s="5"/>
      <c r="H2472" s="6"/>
      <c r="AD2472" s="5">
        <v>45029.0</v>
      </c>
      <c r="AE2472" s="6">
        <v>0.9166666666666666</v>
      </c>
      <c r="AF2472" s="7">
        <v>0.0</v>
      </c>
    </row>
    <row r="2473">
      <c r="G2473" s="10"/>
      <c r="H2473" s="6"/>
      <c r="AD2473" s="5">
        <v>45029.0</v>
      </c>
      <c r="AE2473" s="6">
        <v>0.9583333333333334</v>
      </c>
      <c r="AF2473" s="7">
        <v>0.0</v>
      </c>
    </row>
    <row r="2474">
      <c r="G2474" s="10"/>
      <c r="H2474" s="6"/>
      <c r="AD2474" s="5">
        <v>45030.0</v>
      </c>
      <c r="AE2474" s="6">
        <v>0.0</v>
      </c>
      <c r="AF2474" s="7">
        <v>0.0</v>
      </c>
    </row>
    <row r="2475">
      <c r="G2475" s="10"/>
      <c r="H2475" s="6"/>
      <c r="AD2475" s="5">
        <v>45030.0</v>
      </c>
      <c r="AE2475" s="6">
        <v>0.041666666666666664</v>
      </c>
      <c r="AF2475" s="7">
        <v>0.0</v>
      </c>
    </row>
    <row r="2476">
      <c r="G2476" s="10"/>
      <c r="H2476" s="6"/>
      <c r="AD2476" s="5">
        <v>45030.0</v>
      </c>
      <c r="AE2476" s="6">
        <v>0.08333333333333333</v>
      </c>
      <c r="AF2476" s="7">
        <v>0.0</v>
      </c>
    </row>
    <row r="2477">
      <c r="G2477" s="10"/>
      <c r="H2477" s="6"/>
      <c r="AD2477" s="5">
        <v>45030.0</v>
      </c>
      <c r="AE2477" s="6">
        <v>0.125</v>
      </c>
      <c r="AF2477" s="7">
        <v>0.0</v>
      </c>
    </row>
    <row r="2478">
      <c r="G2478" s="10"/>
      <c r="H2478" s="6"/>
      <c r="AD2478" s="5">
        <v>45030.0</v>
      </c>
      <c r="AE2478" s="6">
        <v>0.16666666666666666</v>
      </c>
      <c r="AF2478" s="7">
        <v>0.0</v>
      </c>
    </row>
    <row r="2479">
      <c r="G2479" s="5"/>
      <c r="H2479" s="6"/>
      <c r="AD2479" s="5">
        <v>45030.0</v>
      </c>
      <c r="AE2479" s="6">
        <v>0.20833333333333334</v>
      </c>
      <c r="AF2479" s="7">
        <v>0.0</v>
      </c>
    </row>
    <row r="2480">
      <c r="G2480" s="5"/>
      <c r="H2480" s="6"/>
      <c r="AD2480" s="5">
        <v>45030.0</v>
      </c>
      <c r="AE2480" s="6">
        <v>0.25</v>
      </c>
      <c r="AF2480" s="7">
        <v>2222.22</v>
      </c>
    </row>
    <row r="2481">
      <c r="G2481" s="5"/>
      <c r="H2481" s="6"/>
      <c r="AD2481" s="5">
        <v>45030.0</v>
      </c>
      <c r="AE2481" s="6">
        <v>0.2916666666666667</v>
      </c>
      <c r="AF2481" s="7">
        <v>6176.82</v>
      </c>
    </row>
    <row r="2482">
      <c r="G2482" s="10"/>
      <c r="H2482" s="6"/>
      <c r="AD2482" s="5">
        <v>45030.0</v>
      </c>
      <c r="AE2482" s="6">
        <v>0.3333333333333333</v>
      </c>
      <c r="AF2482" s="7">
        <v>25296.18</v>
      </c>
    </row>
    <row r="2483">
      <c r="G2483" s="10"/>
      <c r="H2483" s="6"/>
      <c r="AD2483" s="5">
        <v>45030.0</v>
      </c>
      <c r="AE2483" s="6">
        <v>0.375</v>
      </c>
      <c r="AF2483" s="7">
        <v>43711.98</v>
      </c>
    </row>
    <row r="2484">
      <c r="G2484" s="10"/>
      <c r="H2484" s="6"/>
      <c r="AD2484" s="5">
        <v>45030.0</v>
      </c>
      <c r="AE2484" s="6">
        <v>0.4166666666666667</v>
      </c>
      <c r="AF2484" s="7">
        <v>56893.98</v>
      </c>
    </row>
    <row r="2485">
      <c r="G2485" s="5"/>
      <c r="H2485" s="6"/>
      <c r="AD2485" s="5">
        <v>45030.0</v>
      </c>
      <c r="AE2485" s="6">
        <v>0.4583333333333333</v>
      </c>
      <c r="AF2485" s="7">
        <v>62456.16</v>
      </c>
    </row>
    <row r="2486">
      <c r="G2486" s="5"/>
      <c r="H2486" s="6"/>
      <c r="AD2486" s="5">
        <v>45030.0</v>
      </c>
      <c r="AE2486" s="6">
        <v>0.5</v>
      </c>
      <c r="AF2486" s="7">
        <v>44155.8</v>
      </c>
    </row>
    <row r="2487">
      <c r="G2487" s="5"/>
      <c r="H2487" s="6"/>
      <c r="AD2487" s="5">
        <v>45030.0</v>
      </c>
      <c r="AE2487" s="6">
        <v>0.5416666666666666</v>
      </c>
      <c r="AF2487" s="7">
        <v>41090.4</v>
      </c>
    </row>
    <row r="2488">
      <c r="G2488" s="5"/>
      <c r="H2488" s="6"/>
      <c r="AD2488" s="5">
        <v>45030.0</v>
      </c>
      <c r="AE2488" s="6">
        <v>0.5833333333333334</v>
      </c>
      <c r="AF2488" s="7">
        <v>29998.02</v>
      </c>
    </row>
    <row r="2489">
      <c r="G2489" s="5"/>
      <c r="H2489" s="6"/>
      <c r="AD2489" s="5">
        <v>45030.0</v>
      </c>
      <c r="AE2489" s="6">
        <v>0.625</v>
      </c>
      <c r="AF2489" s="7">
        <v>41673.84</v>
      </c>
    </row>
    <row r="2490">
      <c r="G2490" s="5"/>
      <c r="H2490" s="6"/>
      <c r="AD2490" s="5">
        <v>45030.0</v>
      </c>
      <c r="AE2490" s="6">
        <v>0.6666666666666666</v>
      </c>
      <c r="AF2490" s="7">
        <v>28798.38</v>
      </c>
    </row>
    <row r="2491">
      <c r="G2491" s="5"/>
      <c r="H2491" s="6"/>
      <c r="AD2491" s="5">
        <v>45030.0</v>
      </c>
      <c r="AE2491" s="6">
        <v>0.7083333333333334</v>
      </c>
      <c r="AF2491" s="7">
        <v>3361.8</v>
      </c>
    </row>
    <row r="2492">
      <c r="G2492" s="10"/>
      <c r="H2492" s="6"/>
      <c r="AD2492" s="5">
        <v>45030.0</v>
      </c>
      <c r="AE2492" s="6">
        <v>0.75</v>
      </c>
      <c r="AF2492" s="7">
        <v>0.0</v>
      </c>
    </row>
    <row r="2493">
      <c r="G2493" s="10"/>
      <c r="H2493" s="6"/>
      <c r="AD2493" s="5">
        <v>45030.0</v>
      </c>
      <c r="AE2493" s="6">
        <v>0.7916666666666666</v>
      </c>
      <c r="AF2493" s="7">
        <v>0.0</v>
      </c>
    </row>
    <row r="2494">
      <c r="G2494" s="10"/>
      <c r="H2494" s="6"/>
      <c r="AD2494" s="5">
        <v>45030.0</v>
      </c>
      <c r="AE2494" s="6">
        <v>0.8333333333333334</v>
      </c>
      <c r="AF2494" s="7">
        <v>0.0</v>
      </c>
    </row>
    <row r="2495">
      <c r="G2495" s="10"/>
      <c r="H2495" s="6"/>
      <c r="AD2495" s="5">
        <v>45030.0</v>
      </c>
      <c r="AE2495" s="6">
        <v>0.875</v>
      </c>
      <c r="AF2495" s="7">
        <v>0.0</v>
      </c>
    </row>
    <row r="2496">
      <c r="G2496" s="5"/>
      <c r="H2496" s="6"/>
      <c r="AD2496" s="5">
        <v>45030.0</v>
      </c>
      <c r="AE2496" s="6">
        <v>0.9166666666666666</v>
      </c>
      <c r="AF2496" s="7">
        <v>0.0</v>
      </c>
    </row>
    <row r="2497">
      <c r="G2497" s="5"/>
      <c r="H2497" s="6"/>
      <c r="AD2497" s="5">
        <v>45030.0</v>
      </c>
      <c r="AE2497" s="6">
        <v>0.9583333333333334</v>
      </c>
      <c r="AF2497" s="7">
        <v>0.0</v>
      </c>
    </row>
    <row r="2498">
      <c r="G2498" s="5"/>
      <c r="H2498" s="6"/>
      <c r="AD2498" s="5">
        <v>45031.0</v>
      </c>
      <c r="AE2498" s="6">
        <v>0.0</v>
      </c>
      <c r="AF2498" s="7">
        <v>0.0</v>
      </c>
    </row>
    <row r="2499">
      <c r="G2499" s="5"/>
      <c r="H2499" s="6"/>
      <c r="AD2499" s="5">
        <v>45031.0</v>
      </c>
      <c r="AE2499" s="6">
        <v>0.041666666666666664</v>
      </c>
      <c r="AF2499" s="7">
        <v>0.0</v>
      </c>
    </row>
    <row r="2500">
      <c r="G2500" s="5"/>
      <c r="H2500" s="6"/>
      <c r="AD2500" s="5">
        <v>45031.0</v>
      </c>
      <c r="AE2500" s="6">
        <v>0.08333333333333333</v>
      </c>
      <c r="AF2500" s="7">
        <v>0.0</v>
      </c>
    </row>
    <row r="2501">
      <c r="G2501" s="5"/>
      <c r="H2501" s="6"/>
      <c r="AD2501" s="5">
        <v>45031.0</v>
      </c>
      <c r="AE2501" s="6">
        <v>0.125</v>
      </c>
      <c r="AF2501" s="7">
        <v>0.0</v>
      </c>
    </row>
    <row r="2502">
      <c r="G2502" s="5"/>
      <c r="H2502" s="6"/>
      <c r="AD2502" s="5">
        <v>45031.0</v>
      </c>
      <c r="AE2502" s="6">
        <v>0.16666666666666666</v>
      </c>
      <c r="AF2502" s="7">
        <v>0.0</v>
      </c>
    </row>
    <row r="2503">
      <c r="G2503" s="5"/>
      <c r="H2503" s="6"/>
      <c r="AD2503" s="5">
        <v>45031.0</v>
      </c>
      <c r="AE2503" s="6">
        <v>0.20833333333333334</v>
      </c>
      <c r="AF2503" s="7">
        <v>0.0</v>
      </c>
    </row>
    <row r="2504">
      <c r="G2504" s="10"/>
      <c r="H2504" s="6"/>
      <c r="AD2504" s="5">
        <v>45031.0</v>
      </c>
      <c r="AE2504" s="6">
        <v>0.25</v>
      </c>
      <c r="AF2504" s="7">
        <v>2842.32</v>
      </c>
    </row>
    <row r="2505">
      <c r="G2505" s="10"/>
      <c r="H2505" s="6"/>
      <c r="AD2505" s="5">
        <v>45031.0</v>
      </c>
      <c r="AE2505" s="6">
        <v>0.2916666666666667</v>
      </c>
      <c r="AF2505" s="7">
        <v>13339.56</v>
      </c>
    </row>
    <row r="2506">
      <c r="G2506" s="10"/>
      <c r="H2506" s="6"/>
      <c r="AD2506" s="5">
        <v>45031.0</v>
      </c>
      <c r="AE2506" s="6">
        <v>0.3333333333333333</v>
      </c>
      <c r="AF2506" s="7">
        <v>33303.66</v>
      </c>
    </row>
    <row r="2507">
      <c r="G2507" s="10"/>
      <c r="H2507" s="6"/>
      <c r="AD2507" s="5">
        <v>45031.0</v>
      </c>
      <c r="AE2507" s="6">
        <v>0.375</v>
      </c>
      <c r="AF2507" s="7">
        <v>21039.72</v>
      </c>
    </row>
    <row r="2508">
      <c r="G2508" s="10"/>
      <c r="H2508" s="6"/>
      <c r="AD2508" s="5">
        <v>45031.0</v>
      </c>
      <c r="AE2508" s="6">
        <v>0.4166666666666667</v>
      </c>
      <c r="AF2508" s="7">
        <v>33731.88</v>
      </c>
    </row>
    <row r="2509">
      <c r="G2509" s="10"/>
      <c r="H2509" s="6"/>
      <c r="AD2509" s="5">
        <v>45031.0</v>
      </c>
      <c r="AE2509" s="6">
        <v>0.4583333333333333</v>
      </c>
      <c r="AF2509" s="7">
        <v>56089.8</v>
      </c>
    </row>
    <row r="2510">
      <c r="G2510" s="10"/>
      <c r="H2510" s="6"/>
      <c r="AD2510" s="5">
        <v>45031.0</v>
      </c>
      <c r="AE2510" s="6">
        <v>0.5</v>
      </c>
      <c r="AF2510" s="7">
        <v>58791.72</v>
      </c>
    </row>
    <row r="2511">
      <c r="G2511" s="10"/>
      <c r="H2511" s="6"/>
      <c r="AD2511" s="5">
        <v>45031.0</v>
      </c>
      <c r="AE2511" s="6">
        <v>0.5416666666666666</v>
      </c>
      <c r="AF2511" s="7">
        <v>61589.58</v>
      </c>
    </row>
    <row r="2512">
      <c r="G2512" s="10"/>
      <c r="H2512" s="6"/>
      <c r="AD2512" s="5">
        <v>45031.0</v>
      </c>
      <c r="AE2512" s="6">
        <v>0.5833333333333334</v>
      </c>
      <c r="AF2512" s="7">
        <v>55798.86</v>
      </c>
    </row>
    <row r="2513">
      <c r="G2513" s="10"/>
      <c r="H2513" s="6"/>
      <c r="AD2513" s="5">
        <v>45031.0</v>
      </c>
      <c r="AE2513" s="6">
        <v>0.625</v>
      </c>
      <c r="AF2513" s="7">
        <v>44926.44</v>
      </c>
    </row>
    <row r="2514">
      <c r="G2514" s="10"/>
      <c r="H2514" s="6"/>
      <c r="AD2514" s="5">
        <v>45031.0</v>
      </c>
      <c r="AE2514" s="6">
        <v>0.6666666666666666</v>
      </c>
      <c r="AF2514" s="7">
        <v>30116.58</v>
      </c>
    </row>
    <row r="2515">
      <c r="G2515" s="10"/>
      <c r="H2515" s="6"/>
      <c r="AD2515" s="5">
        <v>45031.0</v>
      </c>
      <c r="AE2515" s="6">
        <v>0.7083333333333334</v>
      </c>
      <c r="AF2515" s="7">
        <v>12727.26</v>
      </c>
    </row>
    <row r="2516">
      <c r="G2516" s="10"/>
      <c r="H2516" s="6"/>
      <c r="AD2516" s="5">
        <v>45031.0</v>
      </c>
      <c r="AE2516" s="6">
        <v>0.75</v>
      </c>
      <c r="AF2516" s="7">
        <v>810.42</v>
      </c>
    </row>
    <row r="2517">
      <c r="G2517" s="10"/>
      <c r="H2517" s="6"/>
      <c r="AD2517" s="5">
        <v>45031.0</v>
      </c>
      <c r="AE2517" s="6">
        <v>0.7916666666666666</v>
      </c>
      <c r="AF2517" s="7">
        <v>0.0</v>
      </c>
    </row>
    <row r="2518">
      <c r="G2518" s="10"/>
      <c r="H2518" s="6"/>
      <c r="AD2518" s="5">
        <v>45031.0</v>
      </c>
      <c r="AE2518" s="6">
        <v>0.8333333333333334</v>
      </c>
      <c r="AF2518" s="7">
        <v>0.0</v>
      </c>
    </row>
    <row r="2519">
      <c r="G2519" s="10"/>
      <c r="H2519" s="6"/>
      <c r="AD2519" s="5">
        <v>45031.0</v>
      </c>
      <c r="AE2519" s="6">
        <v>0.875</v>
      </c>
      <c r="AF2519" s="7">
        <v>0.0</v>
      </c>
    </row>
    <row r="2520">
      <c r="G2520" s="10"/>
      <c r="H2520" s="6"/>
      <c r="AD2520" s="5">
        <v>45031.0</v>
      </c>
      <c r="AE2520" s="6">
        <v>0.9166666666666666</v>
      </c>
      <c r="AF2520" s="7">
        <v>0.0</v>
      </c>
    </row>
    <row r="2521">
      <c r="G2521" s="10"/>
      <c r="H2521" s="6"/>
      <c r="AD2521" s="5">
        <v>45031.0</v>
      </c>
      <c r="AE2521" s="6">
        <v>0.9583333333333334</v>
      </c>
      <c r="AF2521" s="7">
        <v>0.0</v>
      </c>
    </row>
    <row r="2522">
      <c r="G2522" s="10"/>
      <c r="H2522" s="6"/>
      <c r="AD2522" s="5">
        <v>45032.0</v>
      </c>
      <c r="AE2522" s="6">
        <v>0.0</v>
      </c>
      <c r="AF2522" s="7">
        <v>0.0</v>
      </c>
    </row>
    <row r="2523">
      <c r="G2523" s="10"/>
      <c r="H2523" s="6"/>
      <c r="AD2523" s="5">
        <v>45032.0</v>
      </c>
      <c r="AE2523" s="6">
        <v>0.041666666666666664</v>
      </c>
      <c r="AF2523" s="7">
        <v>0.0</v>
      </c>
    </row>
    <row r="2524">
      <c r="G2524" s="10"/>
      <c r="H2524" s="6"/>
      <c r="AD2524" s="5">
        <v>45032.0</v>
      </c>
      <c r="AE2524" s="6">
        <v>0.08333333333333333</v>
      </c>
      <c r="AF2524" s="7">
        <v>0.0</v>
      </c>
    </row>
    <row r="2525">
      <c r="G2525" s="10"/>
      <c r="H2525" s="6"/>
      <c r="AD2525" s="5">
        <v>45032.0</v>
      </c>
      <c r="AE2525" s="6">
        <v>0.125</v>
      </c>
      <c r="AF2525" s="7">
        <v>0.0</v>
      </c>
    </row>
    <row r="2526">
      <c r="G2526" s="10"/>
      <c r="H2526" s="6"/>
      <c r="AD2526" s="5">
        <v>45032.0</v>
      </c>
      <c r="AE2526" s="6">
        <v>0.16666666666666666</v>
      </c>
      <c r="AF2526" s="7">
        <v>0.0</v>
      </c>
    </row>
    <row r="2527">
      <c r="G2527" s="5"/>
      <c r="H2527" s="6"/>
      <c r="AD2527" s="5">
        <v>45032.0</v>
      </c>
      <c r="AE2527" s="6">
        <v>0.20833333333333334</v>
      </c>
      <c r="AF2527" s="7">
        <v>0.0</v>
      </c>
    </row>
    <row r="2528">
      <c r="G2528" s="5"/>
      <c r="H2528" s="6"/>
      <c r="AD2528" s="5">
        <v>45032.0</v>
      </c>
      <c r="AE2528" s="6">
        <v>0.25</v>
      </c>
      <c r="AF2528" s="7">
        <v>3120.78</v>
      </c>
    </row>
    <row r="2529">
      <c r="G2529" s="5"/>
      <c r="H2529" s="6"/>
      <c r="AD2529" s="5">
        <v>45032.0</v>
      </c>
      <c r="AE2529" s="6">
        <v>0.2916666666666667</v>
      </c>
      <c r="AF2529" s="7">
        <v>16573.44</v>
      </c>
    </row>
    <row r="2530">
      <c r="G2530" s="5"/>
      <c r="H2530" s="6"/>
      <c r="AD2530" s="5">
        <v>45032.0</v>
      </c>
      <c r="AE2530" s="6">
        <v>0.3333333333333333</v>
      </c>
      <c r="AF2530" s="7">
        <v>26148.72</v>
      </c>
    </row>
    <row r="2531">
      <c r="G2531" s="5"/>
      <c r="H2531" s="6"/>
      <c r="AD2531" s="5">
        <v>45032.0</v>
      </c>
      <c r="AE2531" s="6">
        <v>0.375</v>
      </c>
      <c r="AF2531" s="7">
        <v>41096.64</v>
      </c>
    </row>
    <row r="2532">
      <c r="G2532" s="5"/>
      <c r="H2532" s="6"/>
      <c r="AD2532" s="5">
        <v>45032.0</v>
      </c>
      <c r="AE2532" s="6">
        <v>0.4166666666666667</v>
      </c>
      <c r="AF2532" s="7">
        <v>53940.9</v>
      </c>
    </row>
    <row r="2533">
      <c r="G2533" s="5"/>
      <c r="H2533" s="6"/>
      <c r="AD2533" s="5">
        <v>45032.0</v>
      </c>
      <c r="AE2533" s="6">
        <v>0.4583333333333333</v>
      </c>
      <c r="AF2533" s="7">
        <v>61918.74</v>
      </c>
    </row>
    <row r="2534">
      <c r="G2534" s="5"/>
      <c r="H2534" s="6"/>
      <c r="AD2534" s="5">
        <v>45032.0</v>
      </c>
      <c r="AE2534" s="6">
        <v>0.5</v>
      </c>
      <c r="AF2534" s="7">
        <v>65255.58</v>
      </c>
    </row>
    <row r="2535">
      <c r="G2535" s="10"/>
      <c r="H2535" s="6"/>
      <c r="AD2535" s="5">
        <v>45032.0</v>
      </c>
      <c r="AE2535" s="6">
        <v>0.5416666666666666</v>
      </c>
      <c r="AF2535" s="7">
        <v>62719.8</v>
      </c>
    </row>
    <row r="2536">
      <c r="G2536" s="10"/>
      <c r="H2536" s="6"/>
      <c r="AD2536" s="5">
        <v>45032.0</v>
      </c>
      <c r="AE2536" s="6">
        <v>0.5833333333333334</v>
      </c>
      <c r="AF2536" s="7">
        <v>55336.32</v>
      </c>
    </row>
    <row r="2537">
      <c r="G2537" s="10"/>
      <c r="H2537" s="6"/>
      <c r="AD2537" s="5">
        <v>45032.0</v>
      </c>
      <c r="AE2537" s="6">
        <v>0.625</v>
      </c>
      <c r="AF2537" s="7">
        <v>44766.54</v>
      </c>
    </row>
    <row r="2538">
      <c r="G2538" s="10"/>
      <c r="H2538" s="6"/>
      <c r="AD2538" s="5">
        <v>45032.0</v>
      </c>
      <c r="AE2538" s="6">
        <v>0.6666666666666666</v>
      </c>
      <c r="AF2538" s="7">
        <v>29803.8</v>
      </c>
    </row>
    <row r="2539">
      <c r="G2539" s="10"/>
      <c r="H2539" s="6"/>
      <c r="AD2539" s="5">
        <v>45032.0</v>
      </c>
      <c r="AE2539" s="6">
        <v>0.7083333333333334</v>
      </c>
      <c r="AF2539" s="7">
        <v>13320.84</v>
      </c>
    </row>
    <row r="2540">
      <c r="G2540" s="10"/>
      <c r="H2540" s="6"/>
      <c r="AD2540" s="5">
        <v>45032.0</v>
      </c>
      <c r="AE2540" s="6">
        <v>0.75</v>
      </c>
      <c r="AF2540" s="7">
        <v>824.46</v>
      </c>
    </row>
    <row r="2541">
      <c r="G2541" s="10"/>
      <c r="H2541" s="6"/>
      <c r="AD2541" s="5">
        <v>45032.0</v>
      </c>
      <c r="AE2541" s="6">
        <v>0.7916666666666666</v>
      </c>
      <c r="AF2541" s="7">
        <v>0.0</v>
      </c>
    </row>
    <row r="2542">
      <c r="G2542" s="10"/>
      <c r="H2542" s="6"/>
      <c r="AD2542" s="5">
        <v>45032.0</v>
      </c>
      <c r="AE2542" s="6">
        <v>0.8333333333333334</v>
      </c>
      <c r="AF2542" s="7">
        <v>0.0</v>
      </c>
    </row>
    <row r="2543">
      <c r="G2543" s="10"/>
      <c r="H2543" s="6"/>
      <c r="AD2543" s="5">
        <v>45032.0</v>
      </c>
      <c r="AE2543" s="6">
        <v>0.875</v>
      </c>
      <c r="AF2543" s="7">
        <v>0.0</v>
      </c>
    </row>
    <row r="2544">
      <c r="G2544" s="10"/>
      <c r="H2544" s="6"/>
      <c r="AD2544" s="5">
        <v>45032.0</v>
      </c>
      <c r="AE2544" s="6">
        <v>0.9166666666666666</v>
      </c>
      <c r="AF2544" s="7">
        <v>0.0</v>
      </c>
    </row>
    <row r="2545">
      <c r="G2545" s="10"/>
      <c r="H2545" s="6"/>
      <c r="AD2545" s="5">
        <v>45032.0</v>
      </c>
      <c r="AE2545" s="6">
        <v>0.9583333333333334</v>
      </c>
      <c r="AF2545" s="7">
        <v>0.0</v>
      </c>
    </row>
    <row r="2546">
      <c r="G2546" s="10"/>
      <c r="H2546" s="6"/>
      <c r="AD2546" s="5">
        <v>45033.0</v>
      </c>
      <c r="AE2546" s="6">
        <v>0.0</v>
      </c>
      <c r="AF2546" s="7">
        <v>0.0</v>
      </c>
    </row>
    <row r="2547">
      <c r="G2547" s="10"/>
      <c r="H2547" s="6"/>
      <c r="AD2547" s="5">
        <v>45033.0</v>
      </c>
      <c r="AE2547" s="6">
        <v>0.041666666666666664</v>
      </c>
      <c r="AF2547" s="7">
        <v>0.0</v>
      </c>
    </row>
    <row r="2548">
      <c r="G2548" s="5"/>
      <c r="H2548" s="6"/>
      <c r="AD2548" s="5">
        <v>45033.0</v>
      </c>
      <c r="AE2548" s="6">
        <v>0.08333333333333333</v>
      </c>
      <c r="AF2548" s="7">
        <v>0.0</v>
      </c>
    </row>
    <row r="2549">
      <c r="G2549" s="5"/>
      <c r="H2549" s="6"/>
      <c r="AD2549" s="5">
        <v>45033.0</v>
      </c>
      <c r="AE2549" s="6">
        <v>0.125</v>
      </c>
      <c r="AF2549" s="7">
        <v>0.0</v>
      </c>
    </row>
    <row r="2550">
      <c r="G2550" s="5"/>
      <c r="H2550" s="6"/>
      <c r="AD2550" s="5">
        <v>45033.0</v>
      </c>
      <c r="AE2550" s="6">
        <v>0.16666666666666666</v>
      </c>
      <c r="AF2550" s="7">
        <v>0.0</v>
      </c>
    </row>
    <row r="2551">
      <c r="G2551" s="5"/>
      <c r="H2551" s="6"/>
      <c r="AD2551" s="5">
        <v>45033.0</v>
      </c>
      <c r="AE2551" s="6">
        <v>0.20833333333333334</v>
      </c>
      <c r="AF2551" s="7">
        <v>0.0</v>
      </c>
    </row>
    <row r="2552">
      <c r="G2552" s="5"/>
      <c r="H2552" s="6"/>
      <c r="AD2552" s="5">
        <v>45033.0</v>
      </c>
      <c r="AE2552" s="6">
        <v>0.25</v>
      </c>
      <c r="AF2552" s="7">
        <v>3244.8</v>
      </c>
    </row>
    <row r="2553">
      <c r="G2553" s="5"/>
      <c r="H2553" s="6"/>
      <c r="AD2553" s="5">
        <v>45033.0</v>
      </c>
      <c r="AE2553" s="6">
        <v>0.2916666666666667</v>
      </c>
      <c r="AF2553" s="7">
        <v>18407.22</v>
      </c>
    </row>
    <row r="2554">
      <c r="G2554" s="5"/>
      <c r="H2554" s="6"/>
      <c r="AD2554" s="5">
        <v>45033.0</v>
      </c>
      <c r="AE2554" s="6">
        <v>0.3333333333333333</v>
      </c>
      <c r="AF2554" s="7">
        <v>35947.08</v>
      </c>
    </row>
    <row r="2555">
      <c r="G2555" s="5"/>
      <c r="H2555" s="6"/>
      <c r="AD2555" s="5">
        <v>45033.0</v>
      </c>
      <c r="AE2555" s="6">
        <v>0.375</v>
      </c>
      <c r="AF2555" s="7">
        <v>47863.14</v>
      </c>
    </row>
    <row r="2556">
      <c r="G2556" s="10"/>
      <c r="H2556" s="6"/>
      <c r="AD2556" s="5">
        <v>45033.0</v>
      </c>
      <c r="AE2556" s="6">
        <v>0.4166666666666667</v>
      </c>
      <c r="AF2556" s="7">
        <v>57461.82</v>
      </c>
    </row>
    <row r="2557">
      <c r="G2557" s="5"/>
      <c r="H2557" s="6"/>
      <c r="AD2557" s="5">
        <v>45033.0</v>
      </c>
      <c r="AE2557" s="6">
        <v>0.4583333333333333</v>
      </c>
      <c r="AF2557" s="7">
        <v>62038.86</v>
      </c>
    </row>
    <row r="2558">
      <c r="G2558" s="5"/>
      <c r="H2558" s="6"/>
      <c r="AD2558" s="5">
        <v>45033.0</v>
      </c>
      <c r="AE2558" s="6">
        <v>0.5</v>
      </c>
      <c r="AF2558" s="7">
        <v>63627.72</v>
      </c>
    </row>
    <row r="2559">
      <c r="G2559" s="5"/>
      <c r="H2559" s="6"/>
      <c r="AD2559" s="5">
        <v>45033.0</v>
      </c>
      <c r="AE2559" s="6">
        <v>0.5416666666666666</v>
      </c>
      <c r="AF2559" s="7">
        <v>60562.32</v>
      </c>
    </row>
    <row r="2560">
      <c r="G2560" s="10"/>
      <c r="H2560" s="6"/>
      <c r="AD2560" s="5">
        <v>45033.0</v>
      </c>
      <c r="AE2560" s="6">
        <v>0.5833333333333334</v>
      </c>
      <c r="AF2560" s="7">
        <v>53539.2</v>
      </c>
    </row>
    <row r="2561">
      <c r="G2561" s="10"/>
      <c r="H2561" s="6"/>
      <c r="AD2561" s="5">
        <v>45033.0</v>
      </c>
      <c r="AE2561" s="6">
        <v>0.625</v>
      </c>
      <c r="AF2561" s="7">
        <v>43128.54</v>
      </c>
    </row>
    <row r="2562">
      <c r="G2562" s="5"/>
      <c r="H2562" s="6"/>
      <c r="AD2562" s="5">
        <v>45033.0</v>
      </c>
      <c r="AE2562" s="6">
        <v>0.6666666666666666</v>
      </c>
      <c r="AF2562" s="7">
        <v>29019.12</v>
      </c>
    </row>
    <row r="2563">
      <c r="G2563" s="5"/>
      <c r="H2563" s="6"/>
      <c r="AD2563" s="5">
        <v>45033.0</v>
      </c>
      <c r="AE2563" s="6">
        <v>0.7083333333333334</v>
      </c>
      <c r="AF2563" s="7">
        <v>13115.7</v>
      </c>
    </row>
    <row r="2564">
      <c r="G2564" s="10"/>
      <c r="H2564" s="6"/>
      <c r="AD2564" s="5">
        <v>45033.0</v>
      </c>
      <c r="AE2564" s="6">
        <v>0.75</v>
      </c>
      <c r="AF2564" s="7">
        <v>919.62</v>
      </c>
    </row>
    <row r="2565">
      <c r="G2565" s="10"/>
      <c r="H2565" s="6"/>
      <c r="AD2565" s="5">
        <v>45033.0</v>
      </c>
      <c r="AE2565" s="6">
        <v>0.7916666666666666</v>
      </c>
      <c r="AF2565" s="7">
        <v>0.0</v>
      </c>
    </row>
    <row r="2566">
      <c r="G2566" s="10"/>
      <c r="H2566" s="6"/>
      <c r="AD2566" s="5">
        <v>45033.0</v>
      </c>
      <c r="AE2566" s="6">
        <v>0.8333333333333334</v>
      </c>
      <c r="AF2566" s="7">
        <v>0.0</v>
      </c>
    </row>
    <row r="2567">
      <c r="G2567" s="10"/>
      <c r="H2567" s="6"/>
      <c r="AD2567" s="5">
        <v>45033.0</v>
      </c>
      <c r="AE2567" s="6">
        <v>0.875</v>
      </c>
      <c r="AF2567" s="7">
        <v>0.0</v>
      </c>
    </row>
    <row r="2568">
      <c r="G2568" s="10"/>
      <c r="H2568" s="6"/>
      <c r="AD2568" s="5">
        <v>45033.0</v>
      </c>
      <c r="AE2568" s="6">
        <v>0.9166666666666666</v>
      </c>
      <c r="AF2568" s="7">
        <v>0.0</v>
      </c>
    </row>
    <row r="2569">
      <c r="G2569" s="10"/>
      <c r="H2569" s="6"/>
      <c r="AD2569" s="5">
        <v>45033.0</v>
      </c>
      <c r="AE2569" s="6">
        <v>0.9583333333333334</v>
      </c>
      <c r="AF2569" s="7">
        <v>0.0</v>
      </c>
    </row>
    <row r="2570">
      <c r="G2570" s="10"/>
      <c r="H2570" s="6"/>
      <c r="AD2570" s="5">
        <v>45034.0</v>
      </c>
      <c r="AE2570" s="6">
        <v>0.0</v>
      </c>
      <c r="AF2570" s="7">
        <v>0.0</v>
      </c>
    </row>
    <row r="2571">
      <c r="G2571" s="10"/>
      <c r="H2571" s="6"/>
      <c r="AD2571" s="5">
        <v>45034.0</v>
      </c>
      <c r="AE2571" s="6">
        <v>0.041666666666666664</v>
      </c>
      <c r="AF2571" s="7">
        <v>0.0</v>
      </c>
    </row>
    <row r="2572">
      <c r="G2572" s="5"/>
      <c r="H2572" s="6"/>
      <c r="AD2572" s="5">
        <v>45034.0</v>
      </c>
      <c r="AE2572" s="6">
        <v>0.08333333333333333</v>
      </c>
      <c r="AF2572" s="7">
        <v>0.0</v>
      </c>
    </row>
    <row r="2573">
      <c r="G2573" s="5"/>
      <c r="H2573" s="6"/>
      <c r="AD2573" s="5">
        <v>45034.0</v>
      </c>
      <c r="AE2573" s="6">
        <v>0.125</v>
      </c>
      <c r="AF2573" s="7">
        <v>0.0</v>
      </c>
    </row>
    <row r="2574">
      <c r="G2574" s="5"/>
      <c r="H2574" s="6"/>
      <c r="AD2574" s="5">
        <v>45034.0</v>
      </c>
      <c r="AE2574" s="6">
        <v>0.16666666666666666</v>
      </c>
      <c r="AF2574" s="7">
        <v>0.0</v>
      </c>
    </row>
    <row r="2575">
      <c r="G2575" s="5"/>
      <c r="H2575" s="6"/>
      <c r="AD2575" s="5">
        <v>45034.0</v>
      </c>
      <c r="AE2575" s="6">
        <v>0.20833333333333334</v>
      </c>
      <c r="AF2575" s="7">
        <v>0.0</v>
      </c>
    </row>
    <row r="2576">
      <c r="G2576" s="5"/>
      <c r="H2576" s="6"/>
      <c r="AD2576" s="5">
        <v>45034.0</v>
      </c>
      <c r="AE2576" s="6">
        <v>0.25</v>
      </c>
      <c r="AF2576" s="7">
        <v>3357.9</v>
      </c>
    </row>
    <row r="2577">
      <c r="G2577" s="5"/>
      <c r="H2577" s="6"/>
      <c r="AD2577" s="5">
        <v>45034.0</v>
      </c>
      <c r="AE2577" s="6">
        <v>0.2916666666666667</v>
      </c>
      <c r="AF2577" s="7">
        <v>17245.02</v>
      </c>
    </row>
    <row r="2578">
      <c r="G2578" s="10"/>
      <c r="H2578" s="6"/>
      <c r="AD2578" s="5">
        <v>45034.0</v>
      </c>
      <c r="AE2578" s="6">
        <v>0.3333333333333333</v>
      </c>
      <c r="AF2578" s="7">
        <v>32490.12</v>
      </c>
    </row>
    <row r="2579">
      <c r="G2579" s="10"/>
      <c r="H2579" s="6"/>
      <c r="AD2579" s="5">
        <v>45034.0</v>
      </c>
      <c r="AE2579" s="6">
        <v>0.375</v>
      </c>
      <c r="AF2579" s="7">
        <v>45530.16</v>
      </c>
    </row>
    <row r="2580">
      <c r="G2580" s="10"/>
      <c r="H2580" s="6"/>
      <c r="AD2580" s="5">
        <v>45034.0</v>
      </c>
      <c r="AE2580" s="6">
        <v>0.4166666666666667</v>
      </c>
      <c r="AF2580" s="7">
        <v>50076.0</v>
      </c>
    </row>
    <row r="2581">
      <c r="G2581" s="5"/>
      <c r="H2581" s="6"/>
      <c r="AD2581" s="5">
        <v>45034.0</v>
      </c>
      <c r="AE2581" s="6">
        <v>0.4583333333333333</v>
      </c>
      <c r="AF2581" s="7">
        <v>58528.86</v>
      </c>
    </row>
    <row r="2582">
      <c r="G2582" s="10"/>
      <c r="H2582" s="6"/>
      <c r="AD2582" s="5">
        <v>45034.0</v>
      </c>
      <c r="AE2582" s="6">
        <v>0.5</v>
      </c>
      <c r="AF2582" s="7">
        <v>61001.46</v>
      </c>
    </row>
    <row r="2583">
      <c r="G2583" s="10"/>
      <c r="H2583" s="6"/>
      <c r="AD2583" s="5">
        <v>45034.0</v>
      </c>
      <c r="AE2583" s="6">
        <v>0.5416666666666666</v>
      </c>
      <c r="AF2583" s="7">
        <v>58771.44</v>
      </c>
    </row>
    <row r="2584">
      <c r="G2584" s="10"/>
      <c r="H2584" s="6"/>
      <c r="AD2584" s="5">
        <v>45034.0</v>
      </c>
      <c r="AE2584" s="6">
        <v>0.5833333333333334</v>
      </c>
      <c r="AF2584" s="7">
        <v>52218.66</v>
      </c>
    </row>
    <row r="2585">
      <c r="G2585" s="5"/>
      <c r="H2585" s="6"/>
      <c r="AD2585" s="5">
        <v>45034.0</v>
      </c>
      <c r="AE2585" s="6">
        <v>0.625</v>
      </c>
      <c r="AF2585" s="7">
        <v>42343.08</v>
      </c>
    </row>
    <row r="2586">
      <c r="G2586" s="5"/>
      <c r="H2586" s="6"/>
      <c r="AD2586" s="5">
        <v>45034.0</v>
      </c>
      <c r="AE2586" s="6">
        <v>0.6666666666666666</v>
      </c>
      <c r="AF2586" s="7">
        <v>28894.32</v>
      </c>
    </row>
    <row r="2587">
      <c r="G2587" s="5"/>
      <c r="H2587" s="6"/>
      <c r="AD2587" s="5">
        <v>45034.0</v>
      </c>
      <c r="AE2587" s="6">
        <v>0.7083333333333334</v>
      </c>
      <c r="AF2587" s="7">
        <v>13107.9</v>
      </c>
    </row>
    <row r="2588">
      <c r="G2588" s="10"/>
      <c r="H2588" s="6"/>
      <c r="AD2588" s="5">
        <v>45034.0</v>
      </c>
      <c r="AE2588" s="6">
        <v>0.75</v>
      </c>
      <c r="AF2588" s="7">
        <v>1397.76</v>
      </c>
    </row>
    <row r="2589">
      <c r="G2589" s="10"/>
      <c r="H2589" s="6"/>
      <c r="AD2589" s="5">
        <v>45034.0</v>
      </c>
      <c r="AE2589" s="6">
        <v>0.7916666666666666</v>
      </c>
      <c r="AF2589" s="7">
        <v>0.0</v>
      </c>
    </row>
    <row r="2590">
      <c r="G2590" s="10"/>
      <c r="H2590" s="6"/>
      <c r="AD2590" s="5">
        <v>45034.0</v>
      </c>
      <c r="AE2590" s="6">
        <v>0.8333333333333334</v>
      </c>
      <c r="AF2590" s="7">
        <v>0.0</v>
      </c>
    </row>
    <row r="2591">
      <c r="G2591" s="10"/>
      <c r="H2591" s="6"/>
      <c r="AD2591" s="5">
        <v>45034.0</v>
      </c>
      <c r="AE2591" s="6">
        <v>0.875</v>
      </c>
      <c r="AF2591" s="7">
        <v>0.0</v>
      </c>
    </row>
    <row r="2592">
      <c r="G2592" s="10"/>
      <c r="H2592" s="6"/>
      <c r="AD2592" s="5">
        <v>45034.0</v>
      </c>
      <c r="AE2592" s="6">
        <v>0.9166666666666666</v>
      </c>
      <c r="AF2592" s="7">
        <v>0.0</v>
      </c>
    </row>
    <row r="2593">
      <c r="G2593" s="10"/>
      <c r="H2593" s="6"/>
      <c r="AD2593" s="5">
        <v>45034.0</v>
      </c>
      <c r="AE2593" s="6">
        <v>0.9583333333333334</v>
      </c>
      <c r="AF2593" s="7">
        <v>0.0</v>
      </c>
    </row>
    <row r="2594">
      <c r="G2594" s="10"/>
      <c r="H2594" s="6"/>
      <c r="AD2594" s="5">
        <v>45035.0</v>
      </c>
      <c r="AE2594" s="6">
        <v>0.0</v>
      </c>
      <c r="AF2594" s="7">
        <v>0.0</v>
      </c>
    </row>
    <row r="2595">
      <c r="G2595" s="10"/>
      <c r="H2595" s="6"/>
      <c r="AD2595" s="5">
        <v>45035.0</v>
      </c>
      <c r="AE2595" s="6">
        <v>0.041666666666666664</v>
      </c>
      <c r="AF2595" s="7">
        <v>0.0</v>
      </c>
    </row>
    <row r="2596">
      <c r="G2596" s="10"/>
      <c r="H2596" s="6"/>
      <c r="AD2596" s="5">
        <v>45035.0</v>
      </c>
      <c r="AE2596" s="6">
        <v>0.08333333333333333</v>
      </c>
      <c r="AF2596" s="7">
        <v>0.0</v>
      </c>
    </row>
    <row r="2597">
      <c r="G2597" s="10"/>
      <c r="H2597" s="6"/>
      <c r="AD2597" s="5">
        <v>45035.0</v>
      </c>
      <c r="AE2597" s="6">
        <v>0.125</v>
      </c>
      <c r="AF2597" s="7">
        <v>0.0</v>
      </c>
    </row>
    <row r="2598">
      <c r="G2598" s="5"/>
      <c r="H2598" s="6"/>
      <c r="AD2598" s="5">
        <v>45035.0</v>
      </c>
      <c r="AE2598" s="6">
        <v>0.16666666666666666</v>
      </c>
      <c r="AF2598" s="7">
        <v>0.0</v>
      </c>
    </row>
    <row r="2599">
      <c r="G2599" s="5"/>
      <c r="H2599" s="6"/>
      <c r="AD2599" s="5">
        <v>45035.0</v>
      </c>
      <c r="AE2599" s="6">
        <v>0.20833333333333334</v>
      </c>
      <c r="AF2599" s="7">
        <v>0.0</v>
      </c>
    </row>
    <row r="2600">
      <c r="G2600" s="5"/>
      <c r="H2600" s="6"/>
      <c r="AD2600" s="5">
        <v>45035.0</v>
      </c>
      <c r="AE2600" s="6">
        <v>0.25</v>
      </c>
      <c r="AF2600" s="7">
        <v>3626.22</v>
      </c>
    </row>
    <row r="2601">
      <c r="G2601" s="5"/>
      <c r="H2601" s="6"/>
      <c r="AD2601" s="5">
        <v>45035.0</v>
      </c>
      <c r="AE2601" s="6">
        <v>0.2916666666666667</v>
      </c>
      <c r="AF2601" s="7">
        <v>18140.46</v>
      </c>
    </row>
    <row r="2602">
      <c r="G2602" s="5"/>
      <c r="H2602" s="6"/>
      <c r="AD2602" s="5">
        <v>45035.0</v>
      </c>
      <c r="AE2602" s="6">
        <v>0.3333333333333333</v>
      </c>
      <c r="AF2602" s="7">
        <v>34085.22</v>
      </c>
    </row>
    <row r="2603">
      <c r="G2603" s="5"/>
      <c r="H2603" s="6"/>
      <c r="AD2603" s="5">
        <v>45035.0</v>
      </c>
      <c r="AE2603" s="6">
        <v>0.375</v>
      </c>
      <c r="AF2603" s="7">
        <v>46762.56</v>
      </c>
    </row>
    <row r="2604">
      <c r="G2604" s="10"/>
      <c r="H2604" s="6"/>
      <c r="AD2604" s="5">
        <v>45035.0</v>
      </c>
      <c r="AE2604" s="6">
        <v>0.4166666666666667</v>
      </c>
      <c r="AF2604" s="7">
        <v>55899.48</v>
      </c>
    </row>
    <row r="2605">
      <c r="G2605" s="10"/>
      <c r="H2605" s="6"/>
      <c r="AD2605" s="5">
        <v>45035.0</v>
      </c>
      <c r="AE2605" s="6">
        <v>0.4583333333333333</v>
      </c>
      <c r="AF2605" s="7">
        <v>60970.26</v>
      </c>
    </row>
    <row r="2606">
      <c r="G2606" s="10"/>
      <c r="H2606" s="6"/>
      <c r="AD2606" s="5">
        <v>45035.0</v>
      </c>
      <c r="AE2606" s="6">
        <v>0.5</v>
      </c>
      <c r="AF2606" s="7">
        <v>62484.24</v>
      </c>
    </row>
    <row r="2607">
      <c r="G2607" s="10"/>
      <c r="H2607" s="6"/>
      <c r="AD2607" s="5">
        <v>45035.0</v>
      </c>
      <c r="AE2607" s="6">
        <v>0.5416666666666666</v>
      </c>
      <c r="AF2607" s="7">
        <v>59530.38</v>
      </c>
    </row>
    <row r="2608">
      <c r="G2608" s="10"/>
      <c r="H2608" s="6"/>
      <c r="AD2608" s="5">
        <v>45035.0</v>
      </c>
      <c r="AE2608" s="6">
        <v>0.5833333333333334</v>
      </c>
      <c r="AF2608" s="7">
        <v>52812.24</v>
      </c>
    </row>
    <row r="2609">
      <c r="G2609" s="10"/>
      <c r="H2609" s="6"/>
      <c r="AD2609" s="5">
        <v>45035.0</v>
      </c>
      <c r="AE2609" s="6">
        <v>0.625</v>
      </c>
      <c r="AF2609" s="7">
        <v>42136.38</v>
      </c>
    </row>
    <row r="2610">
      <c r="G2610" s="10"/>
      <c r="H2610" s="6"/>
      <c r="AD2610" s="5">
        <v>45035.0</v>
      </c>
      <c r="AE2610" s="6">
        <v>0.6666666666666666</v>
      </c>
      <c r="AF2610" s="7">
        <v>28360.8</v>
      </c>
    </row>
    <row r="2611">
      <c r="G2611" s="10"/>
      <c r="H2611" s="6"/>
      <c r="AD2611" s="5">
        <v>45035.0</v>
      </c>
      <c r="AE2611" s="6">
        <v>0.7083333333333334</v>
      </c>
      <c r="AF2611" s="7">
        <v>12940.98</v>
      </c>
    </row>
    <row r="2612">
      <c r="G2612" s="10"/>
      <c r="H2612" s="6"/>
      <c r="AD2612" s="5">
        <v>45035.0</v>
      </c>
      <c r="AE2612" s="6">
        <v>0.75</v>
      </c>
      <c r="AF2612" s="7">
        <v>1507.74</v>
      </c>
    </row>
    <row r="2613">
      <c r="G2613" s="10"/>
      <c r="H2613" s="6"/>
      <c r="AD2613" s="5">
        <v>45035.0</v>
      </c>
      <c r="AE2613" s="6">
        <v>0.7916666666666666</v>
      </c>
      <c r="AF2613" s="7">
        <v>0.0</v>
      </c>
    </row>
    <row r="2614">
      <c r="G2614" s="10"/>
      <c r="H2614" s="6"/>
      <c r="AD2614" s="5">
        <v>45035.0</v>
      </c>
      <c r="AE2614" s="6">
        <v>0.8333333333333334</v>
      </c>
      <c r="AF2614" s="7">
        <v>0.0</v>
      </c>
    </row>
    <row r="2615">
      <c r="G2615" s="10"/>
      <c r="H2615" s="6"/>
      <c r="AD2615" s="5">
        <v>45035.0</v>
      </c>
      <c r="AE2615" s="6">
        <v>0.875</v>
      </c>
      <c r="AF2615" s="7">
        <v>0.0</v>
      </c>
    </row>
    <row r="2616">
      <c r="G2616" s="10"/>
      <c r="H2616" s="6"/>
      <c r="AD2616" s="5">
        <v>45035.0</v>
      </c>
      <c r="AE2616" s="6">
        <v>0.9166666666666666</v>
      </c>
      <c r="AF2616" s="7">
        <v>0.0</v>
      </c>
    </row>
    <row r="2617">
      <c r="G2617" s="10"/>
      <c r="H2617" s="6"/>
      <c r="AD2617" s="5">
        <v>45035.0</v>
      </c>
      <c r="AE2617" s="6">
        <v>0.9583333333333334</v>
      </c>
      <c r="AF2617" s="7">
        <v>0.0</v>
      </c>
    </row>
    <row r="2618">
      <c r="G2618" s="5"/>
      <c r="H2618" s="6"/>
      <c r="AD2618" s="5">
        <v>45036.0</v>
      </c>
      <c r="AE2618" s="6">
        <v>0.0</v>
      </c>
      <c r="AF2618" s="7">
        <v>0.0</v>
      </c>
    </row>
    <row r="2619">
      <c r="G2619" s="5"/>
      <c r="H2619" s="6"/>
      <c r="AD2619" s="5">
        <v>45036.0</v>
      </c>
      <c r="AE2619" s="6">
        <v>0.041666666666666664</v>
      </c>
      <c r="AF2619" s="7">
        <v>0.0</v>
      </c>
    </row>
    <row r="2620">
      <c r="G2620" s="5"/>
      <c r="H2620" s="6"/>
      <c r="AD2620" s="5">
        <v>45036.0</v>
      </c>
      <c r="AE2620" s="6">
        <v>0.08333333333333333</v>
      </c>
      <c r="AF2620" s="7">
        <v>0.0</v>
      </c>
    </row>
    <row r="2621">
      <c r="G2621" s="5"/>
      <c r="H2621" s="6"/>
      <c r="AD2621" s="5">
        <v>45036.0</v>
      </c>
      <c r="AE2621" s="6">
        <v>0.125</v>
      </c>
      <c r="AF2621" s="7">
        <v>0.0</v>
      </c>
    </row>
    <row r="2622">
      <c r="G2622" s="5"/>
      <c r="H2622" s="6"/>
      <c r="AD2622" s="5">
        <v>45036.0</v>
      </c>
      <c r="AE2622" s="6">
        <v>0.16666666666666666</v>
      </c>
      <c r="AF2622" s="7">
        <v>0.0</v>
      </c>
    </row>
    <row r="2623">
      <c r="G2623" s="10"/>
      <c r="H2623" s="6"/>
      <c r="AD2623" s="5">
        <v>45036.0</v>
      </c>
      <c r="AE2623" s="6">
        <v>0.20833333333333334</v>
      </c>
      <c r="AF2623" s="7">
        <v>0.0</v>
      </c>
    </row>
    <row r="2624">
      <c r="G2624" s="10"/>
      <c r="H2624" s="6"/>
      <c r="AD2624" s="5">
        <v>45036.0</v>
      </c>
      <c r="AE2624" s="6">
        <v>0.25</v>
      </c>
      <c r="AF2624" s="7">
        <v>3783.0</v>
      </c>
    </row>
    <row r="2625">
      <c r="G2625" s="10"/>
      <c r="H2625" s="6"/>
      <c r="AD2625" s="5">
        <v>45036.0</v>
      </c>
      <c r="AE2625" s="6">
        <v>0.2916666666666667</v>
      </c>
      <c r="AF2625" s="7">
        <v>18470.4</v>
      </c>
    </row>
    <row r="2626">
      <c r="G2626" s="10"/>
      <c r="H2626" s="6"/>
      <c r="AD2626" s="5">
        <v>45036.0</v>
      </c>
      <c r="AE2626" s="6">
        <v>0.3333333333333333</v>
      </c>
      <c r="AF2626" s="7">
        <v>33163.26</v>
      </c>
    </row>
    <row r="2627">
      <c r="G2627" s="10"/>
      <c r="H2627" s="6"/>
      <c r="AD2627" s="5">
        <v>45036.0</v>
      </c>
      <c r="AE2627" s="6">
        <v>0.375</v>
      </c>
      <c r="AF2627" s="7">
        <v>43972.5</v>
      </c>
    </row>
    <row r="2628">
      <c r="G2628" s="10"/>
      <c r="H2628" s="6"/>
      <c r="AD2628" s="5">
        <v>45036.0</v>
      </c>
      <c r="AE2628" s="6">
        <v>0.4166666666666667</v>
      </c>
      <c r="AF2628" s="7">
        <v>52765.44</v>
      </c>
    </row>
    <row r="2629">
      <c r="G2629" s="5"/>
      <c r="H2629" s="6"/>
      <c r="AD2629" s="5">
        <v>45036.0</v>
      </c>
      <c r="AE2629" s="6">
        <v>0.4583333333333333</v>
      </c>
      <c r="AF2629" s="7">
        <v>58168.5</v>
      </c>
    </row>
    <row r="2630">
      <c r="G2630" s="5"/>
      <c r="H2630" s="6"/>
      <c r="AD2630" s="5">
        <v>45036.0</v>
      </c>
      <c r="AE2630" s="6">
        <v>0.5</v>
      </c>
      <c r="AF2630" s="7">
        <v>60596.64</v>
      </c>
    </row>
    <row r="2631">
      <c r="G2631" s="10"/>
      <c r="H2631" s="6"/>
      <c r="AD2631" s="5">
        <v>45036.0</v>
      </c>
      <c r="AE2631" s="6">
        <v>0.5416666666666666</v>
      </c>
      <c r="AF2631" s="7">
        <v>58711.38</v>
      </c>
    </row>
    <row r="2632">
      <c r="G2632" s="10"/>
      <c r="H2632" s="6"/>
      <c r="AD2632" s="5">
        <v>45036.0</v>
      </c>
      <c r="AE2632" s="6">
        <v>0.5833333333333334</v>
      </c>
      <c r="AF2632" s="7">
        <v>52061.1</v>
      </c>
    </row>
    <row r="2633">
      <c r="G2633" s="10"/>
      <c r="H2633" s="6"/>
      <c r="AD2633" s="5">
        <v>45036.0</v>
      </c>
      <c r="AE2633" s="6">
        <v>0.625</v>
      </c>
      <c r="AF2633" s="7">
        <v>38326.08</v>
      </c>
    </row>
    <row r="2634">
      <c r="G2634" s="10"/>
      <c r="H2634" s="6"/>
      <c r="AD2634" s="5">
        <v>45036.0</v>
      </c>
      <c r="AE2634" s="6">
        <v>0.6666666666666666</v>
      </c>
      <c r="AF2634" s="7">
        <v>22200.36</v>
      </c>
    </row>
    <row r="2635">
      <c r="G2635" s="10"/>
      <c r="H2635" s="6"/>
      <c r="AD2635" s="5">
        <v>45036.0</v>
      </c>
      <c r="AE2635" s="6">
        <v>0.7083333333333334</v>
      </c>
      <c r="AF2635" s="7">
        <v>12304.5</v>
      </c>
    </row>
    <row r="2636">
      <c r="G2636" s="10"/>
      <c r="H2636" s="6"/>
      <c r="AD2636" s="5">
        <v>45036.0</v>
      </c>
      <c r="AE2636" s="6">
        <v>0.75</v>
      </c>
      <c r="AF2636" s="7">
        <v>1390.74</v>
      </c>
    </row>
    <row r="2637">
      <c r="G2637" s="10"/>
      <c r="H2637" s="6"/>
      <c r="AD2637" s="5">
        <v>45036.0</v>
      </c>
      <c r="AE2637" s="6">
        <v>0.7916666666666666</v>
      </c>
      <c r="AF2637" s="7">
        <v>0.0</v>
      </c>
    </row>
    <row r="2638">
      <c r="G2638" s="10"/>
      <c r="H2638" s="6"/>
      <c r="AD2638" s="5">
        <v>45036.0</v>
      </c>
      <c r="AE2638" s="6">
        <v>0.8333333333333334</v>
      </c>
      <c r="AF2638" s="7">
        <v>0.0</v>
      </c>
    </row>
    <row r="2639">
      <c r="G2639" s="10"/>
      <c r="H2639" s="6"/>
      <c r="AD2639" s="5">
        <v>45036.0</v>
      </c>
      <c r="AE2639" s="6">
        <v>0.875</v>
      </c>
      <c r="AF2639" s="7">
        <v>0.0</v>
      </c>
    </row>
    <row r="2640">
      <c r="G2640" s="10"/>
      <c r="H2640" s="6"/>
      <c r="AD2640" s="5">
        <v>45036.0</v>
      </c>
      <c r="AE2640" s="6">
        <v>0.9166666666666666</v>
      </c>
      <c r="AF2640" s="7">
        <v>0.0</v>
      </c>
    </row>
    <row r="2641">
      <c r="G2641" s="5"/>
      <c r="H2641" s="6"/>
      <c r="AD2641" s="5">
        <v>45036.0</v>
      </c>
      <c r="AE2641" s="6">
        <v>0.9583333333333334</v>
      </c>
      <c r="AF2641" s="7">
        <v>0.0</v>
      </c>
    </row>
    <row r="2642">
      <c r="G2642" s="5"/>
      <c r="H2642" s="6"/>
      <c r="AD2642" s="5">
        <v>45037.0</v>
      </c>
      <c r="AE2642" s="6">
        <v>0.0</v>
      </c>
      <c r="AF2642" s="7">
        <v>0.0</v>
      </c>
    </row>
    <row r="2643">
      <c r="G2643" s="5"/>
      <c r="H2643" s="6"/>
      <c r="AD2643" s="5">
        <v>45037.0</v>
      </c>
      <c r="AE2643" s="6">
        <v>0.041666666666666664</v>
      </c>
      <c r="AF2643" s="7">
        <v>0.0</v>
      </c>
    </row>
    <row r="2644">
      <c r="G2644" s="5"/>
      <c r="H2644" s="6"/>
      <c r="AD2644" s="5">
        <v>45037.0</v>
      </c>
      <c r="AE2644" s="6">
        <v>0.08333333333333333</v>
      </c>
      <c r="AF2644" s="7">
        <v>0.0</v>
      </c>
    </row>
    <row r="2645">
      <c r="G2645" s="10"/>
      <c r="H2645" s="6"/>
      <c r="AD2645" s="5">
        <v>45037.0</v>
      </c>
      <c r="AE2645" s="6">
        <v>0.125</v>
      </c>
      <c r="AF2645" s="7">
        <v>0.0</v>
      </c>
    </row>
    <row r="2646">
      <c r="G2646" s="10"/>
      <c r="H2646" s="6"/>
      <c r="AD2646" s="5">
        <v>45037.0</v>
      </c>
      <c r="AE2646" s="6">
        <v>0.16666666666666666</v>
      </c>
      <c r="AF2646" s="7">
        <v>0.0</v>
      </c>
    </row>
    <row r="2647">
      <c r="G2647" s="10"/>
      <c r="H2647" s="6"/>
      <c r="AD2647" s="5">
        <v>45037.0</v>
      </c>
      <c r="AE2647" s="6">
        <v>0.20833333333333334</v>
      </c>
      <c r="AF2647" s="7">
        <v>0.0</v>
      </c>
    </row>
    <row r="2648">
      <c r="G2648" s="10"/>
      <c r="H2648" s="6"/>
      <c r="AD2648" s="5">
        <v>45037.0</v>
      </c>
      <c r="AE2648" s="6">
        <v>0.25</v>
      </c>
      <c r="AF2648" s="7">
        <v>3887.52</v>
      </c>
    </row>
    <row r="2649">
      <c r="G2649" s="5"/>
      <c r="H2649" s="6"/>
      <c r="AD2649" s="5">
        <v>45037.0</v>
      </c>
      <c r="AE2649" s="6">
        <v>0.2916666666666667</v>
      </c>
      <c r="AF2649" s="7">
        <v>18132.66</v>
      </c>
    </row>
    <row r="2650">
      <c r="G2650" s="5"/>
      <c r="H2650" s="6"/>
      <c r="AD2650" s="5">
        <v>45037.0</v>
      </c>
      <c r="AE2650" s="6">
        <v>0.3333333333333333</v>
      </c>
      <c r="AF2650" s="7">
        <v>33387.9</v>
      </c>
    </row>
    <row r="2651">
      <c r="G2651" s="5"/>
      <c r="H2651" s="6"/>
      <c r="AD2651" s="5">
        <v>45037.0</v>
      </c>
      <c r="AE2651" s="6">
        <v>0.375</v>
      </c>
      <c r="AF2651" s="7">
        <v>45516.12</v>
      </c>
    </row>
    <row r="2652">
      <c r="G2652" s="5"/>
      <c r="H2652" s="6"/>
      <c r="AD2652" s="5">
        <v>45037.0</v>
      </c>
      <c r="AE2652" s="6">
        <v>0.4166666666666667</v>
      </c>
      <c r="AF2652" s="7">
        <v>54344.94</v>
      </c>
    </row>
    <row r="2653">
      <c r="G2653" s="10"/>
      <c r="H2653" s="6"/>
      <c r="AD2653" s="5">
        <v>45037.0</v>
      </c>
      <c r="AE2653" s="6">
        <v>0.4583333333333333</v>
      </c>
      <c r="AF2653" s="7">
        <v>59012.46</v>
      </c>
    </row>
    <row r="2654">
      <c r="G2654" s="5"/>
      <c r="H2654" s="6"/>
      <c r="AD2654" s="5">
        <v>45037.0</v>
      </c>
      <c r="AE2654" s="6">
        <v>0.5</v>
      </c>
      <c r="AF2654" s="7">
        <v>60946.86</v>
      </c>
    </row>
    <row r="2655">
      <c r="G2655" s="5"/>
      <c r="H2655" s="6"/>
      <c r="AD2655" s="5">
        <v>45037.0</v>
      </c>
      <c r="AE2655" s="6">
        <v>0.5416666666666666</v>
      </c>
      <c r="AF2655" s="7">
        <v>57550.74</v>
      </c>
    </row>
    <row r="2656">
      <c r="G2656" s="5"/>
      <c r="H2656" s="6"/>
      <c r="AD2656" s="5">
        <v>45037.0</v>
      </c>
      <c r="AE2656" s="6">
        <v>0.5833333333333334</v>
      </c>
      <c r="AF2656" s="7">
        <v>41650.44</v>
      </c>
    </row>
    <row r="2657">
      <c r="G2657" s="10"/>
      <c r="H2657" s="6"/>
      <c r="AD2657" s="5">
        <v>45037.0</v>
      </c>
      <c r="AE2657" s="6">
        <v>0.625</v>
      </c>
      <c r="AF2657" s="7">
        <v>10008.18</v>
      </c>
    </row>
    <row r="2658">
      <c r="G2658" s="10"/>
      <c r="H2658" s="6"/>
      <c r="AD2658" s="5">
        <v>45037.0</v>
      </c>
      <c r="AE2658" s="6">
        <v>0.6666666666666666</v>
      </c>
      <c r="AF2658" s="7">
        <v>23278.32</v>
      </c>
    </row>
    <row r="2659">
      <c r="G2659" s="10"/>
      <c r="H2659" s="6"/>
      <c r="AD2659" s="5">
        <v>45037.0</v>
      </c>
      <c r="AE2659" s="6">
        <v>0.7083333333333334</v>
      </c>
      <c r="AF2659" s="7">
        <v>13426.14</v>
      </c>
    </row>
    <row r="2660">
      <c r="G2660" s="10"/>
      <c r="H2660" s="6"/>
      <c r="AD2660" s="5">
        <v>45037.0</v>
      </c>
      <c r="AE2660" s="6">
        <v>0.75</v>
      </c>
      <c r="AF2660" s="7">
        <v>1089.66</v>
      </c>
    </row>
    <row r="2661">
      <c r="G2661" s="10"/>
      <c r="H2661" s="6"/>
      <c r="AD2661" s="5">
        <v>45037.0</v>
      </c>
      <c r="AE2661" s="6">
        <v>0.7916666666666666</v>
      </c>
      <c r="AF2661" s="7">
        <v>0.0</v>
      </c>
    </row>
    <row r="2662">
      <c r="G2662" s="10"/>
      <c r="H2662" s="6"/>
      <c r="AD2662" s="5">
        <v>45037.0</v>
      </c>
      <c r="AE2662" s="6">
        <v>0.8333333333333334</v>
      </c>
      <c r="AF2662" s="7">
        <v>0.0</v>
      </c>
    </row>
    <row r="2663">
      <c r="G2663" s="5"/>
      <c r="H2663" s="6"/>
      <c r="AD2663" s="5">
        <v>45037.0</v>
      </c>
      <c r="AE2663" s="6">
        <v>0.875</v>
      </c>
      <c r="AF2663" s="7">
        <v>0.0</v>
      </c>
    </row>
    <row r="2664">
      <c r="G2664" s="5"/>
      <c r="H2664" s="6"/>
      <c r="AD2664" s="5">
        <v>45037.0</v>
      </c>
      <c r="AE2664" s="6">
        <v>0.9166666666666666</v>
      </c>
      <c r="AF2664" s="7">
        <v>0.0</v>
      </c>
    </row>
    <row r="2665">
      <c r="G2665" s="5"/>
      <c r="H2665" s="6"/>
      <c r="AD2665" s="5">
        <v>45037.0</v>
      </c>
      <c r="AE2665" s="6">
        <v>0.9583333333333334</v>
      </c>
      <c r="AF2665" s="7">
        <v>0.0</v>
      </c>
    </row>
    <row r="2666">
      <c r="G2666" s="10"/>
      <c r="H2666" s="6"/>
      <c r="AD2666" s="5">
        <v>45038.0</v>
      </c>
      <c r="AE2666" s="6">
        <v>0.0</v>
      </c>
      <c r="AF2666" s="7">
        <v>0.0</v>
      </c>
    </row>
    <row r="2667">
      <c r="G2667" s="10"/>
      <c r="H2667" s="6"/>
      <c r="AD2667" s="5">
        <v>45038.0</v>
      </c>
      <c r="AE2667" s="6">
        <v>0.041666666666666664</v>
      </c>
      <c r="AF2667" s="7">
        <v>0.0</v>
      </c>
    </row>
    <row r="2668">
      <c r="G2668" s="5"/>
      <c r="H2668" s="6"/>
      <c r="AD2668" s="5">
        <v>45038.0</v>
      </c>
      <c r="AE2668" s="6">
        <v>0.08333333333333333</v>
      </c>
      <c r="AF2668" s="7">
        <v>0.0</v>
      </c>
    </row>
    <row r="2669">
      <c r="G2669" s="5"/>
      <c r="H2669" s="6"/>
      <c r="AD2669" s="5">
        <v>45038.0</v>
      </c>
      <c r="AE2669" s="6">
        <v>0.125</v>
      </c>
      <c r="AF2669" s="7">
        <v>0.0</v>
      </c>
    </row>
    <row r="2670">
      <c r="G2670" s="5"/>
      <c r="H2670" s="6"/>
      <c r="AD2670" s="5">
        <v>45038.0</v>
      </c>
      <c r="AE2670" s="6">
        <v>0.16666666666666666</v>
      </c>
      <c r="AF2670" s="7">
        <v>0.0</v>
      </c>
    </row>
    <row r="2671">
      <c r="G2671" s="5"/>
      <c r="H2671" s="6"/>
      <c r="AD2671" s="5">
        <v>45038.0</v>
      </c>
      <c r="AE2671" s="6">
        <v>0.20833333333333334</v>
      </c>
      <c r="AF2671" s="7">
        <v>0.0</v>
      </c>
    </row>
    <row r="2672">
      <c r="G2672" s="10"/>
      <c r="H2672" s="6"/>
      <c r="AD2672" s="5">
        <v>45038.0</v>
      </c>
      <c r="AE2672" s="6">
        <v>0.25</v>
      </c>
      <c r="AF2672" s="7">
        <v>1212.12</v>
      </c>
    </row>
    <row r="2673">
      <c r="G2673" s="10"/>
      <c r="H2673" s="6"/>
      <c r="AD2673" s="5">
        <v>45038.0</v>
      </c>
      <c r="AE2673" s="6">
        <v>0.2916666666666667</v>
      </c>
      <c r="AF2673" s="7">
        <v>9381.06</v>
      </c>
    </row>
    <row r="2674">
      <c r="G2674" s="10"/>
      <c r="H2674" s="6"/>
      <c r="AD2674" s="5">
        <v>45038.0</v>
      </c>
      <c r="AE2674" s="6">
        <v>0.3333333333333333</v>
      </c>
      <c r="AF2674" s="7">
        <v>20638.02</v>
      </c>
    </row>
    <row r="2675">
      <c r="G2675" s="10"/>
      <c r="H2675" s="6"/>
      <c r="AD2675" s="5">
        <v>45038.0</v>
      </c>
      <c r="AE2675" s="6">
        <v>0.375</v>
      </c>
      <c r="AF2675" s="7">
        <v>14173.38</v>
      </c>
    </row>
    <row r="2676">
      <c r="G2676" s="10"/>
      <c r="H2676" s="6"/>
      <c r="AD2676" s="5">
        <v>45038.0</v>
      </c>
      <c r="AE2676" s="6">
        <v>0.4166666666666667</v>
      </c>
      <c r="AF2676" s="7">
        <v>22801.74</v>
      </c>
    </row>
    <row r="2677">
      <c r="G2677" s="10"/>
      <c r="H2677" s="6"/>
      <c r="AD2677" s="5">
        <v>45038.0</v>
      </c>
      <c r="AE2677" s="6">
        <v>0.4583333333333333</v>
      </c>
      <c r="AF2677" s="7">
        <v>11064.3</v>
      </c>
    </row>
    <row r="2678">
      <c r="G2678" s="5"/>
      <c r="H2678" s="6"/>
      <c r="AD2678" s="5">
        <v>45038.0</v>
      </c>
      <c r="AE2678" s="6">
        <v>0.5</v>
      </c>
      <c r="AF2678" s="7">
        <v>26382.72</v>
      </c>
    </row>
    <row r="2679">
      <c r="G2679" s="5"/>
      <c r="H2679" s="6"/>
      <c r="AD2679" s="5">
        <v>45038.0</v>
      </c>
      <c r="AE2679" s="6">
        <v>0.5416666666666666</v>
      </c>
      <c r="AF2679" s="7">
        <v>59298.72</v>
      </c>
    </row>
    <row r="2680">
      <c r="G2680" s="5"/>
      <c r="H2680" s="6"/>
      <c r="AD2680" s="5">
        <v>45038.0</v>
      </c>
      <c r="AE2680" s="6">
        <v>0.5833333333333334</v>
      </c>
      <c r="AF2680" s="7">
        <v>52630.5</v>
      </c>
    </row>
    <row r="2681">
      <c r="G2681" s="5"/>
      <c r="H2681" s="6"/>
      <c r="AD2681" s="5">
        <v>45038.0</v>
      </c>
      <c r="AE2681" s="6">
        <v>0.625</v>
      </c>
      <c r="AF2681" s="7">
        <v>42229.98</v>
      </c>
    </row>
    <row r="2682">
      <c r="G2682" s="5"/>
      <c r="H2682" s="6"/>
      <c r="AD2682" s="5">
        <v>45038.0</v>
      </c>
      <c r="AE2682" s="6">
        <v>0.6666666666666666</v>
      </c>
      <c r="AF2682" s="7">
        <v>28937.22</v>
      </c>
    </row>
    <row r="2683">
      <c r="G2683" s="5"/>
      <c r="H2683" s="6"/>
      <c r="AD2683" s="5">
        <v>45038.0</v>
      </c>
      <c r="AE2683" s="6">
        <v>0.7083333333333334</v>
      </c>
      <c r="AF2683" s="7">
        <v>13458.12</v>
      </c>
    </row>
    <row r="2684">
      <c r="G2684" s="5"/>
      <c r="H2684" s="6"/>
      <c r="AD2684" s="5">
        <v>45038.0</v>
      </c>
      <c r="AE2684" s="6">
        <v>0.75</v>
      </c>
      <c r="AF2684" s="7">
        <v>1634.88</v>
      </c>
    </row>
    <row r="2685">
      <c r="G2685" s="5"/>
      <c r="H2685" s="6"/>
      <c r="AD2685" s="5">
        <v>45038.0</v>
      </c>
      <c r="AE2685" s="6">
        <v>0.7916666666666666</v>
      </c>
      <c r="AF2685" s="7">
        <v>0.0</v>
      </c>
    </row>
    <row r="2686">
      <c r="G2686" s="10"/>
      <c r="H2686" s="6"/>
      <c r="AD2686" s="5">
        <v>45038.0</v>
      </c>
      <c r="AE2686" s="6">
        <v>0.8333333333333334</v>
      </c>
      <c r="AF2686" s="7">
        <v>0.0</v>
      </c>
    </row>
    <row r="2687">
      <c r="G2687" s="10"/>
      <c r="H2687" s="6"/>
      <c r="AD2687" s="5">
        <v>45038.0</v>
      </c>
      <c r="AE2687" s="6">
        <v>0.875</v>
      </c>
      <c r="AF2687" s="7">
        <v>0.0</v>
      </c>
    </row>
    <row r="2688">
      <c r="G2688" s="10"/>
      <c r="H2688" s="6"/>
      <c r="AD2688" s="5">
        <v>45038.0</v>
      </c>
      <c r="AE2688" s="6">
        <v>0.9166666666666666</v>
      </c>
      <c r="AF2688" s="7">
        <v>0.0</v>
      </c>
    </row>
    <row r="2689">
      <c r="G2689" s="10"/>
      <c r="H2689" s="6"/>
      <c r="AD2689" s="5">
        <v>45038.0</v>
      </c>
      <c r="AE2689" s="6">
        <v>0.9583333333333334</v>
      </c>
      <c r="AF2689" s="7">
        <v>0.0</v>
      </c>
    </row>
    <row r="2690">
      <c r="G2690" s="10"/>
      <c r="H2690" s="6"/>
      <c r="AD2690" s="5">
        <v>45039.0</v>
      </c>
      <c r="AE2690" s="6">
        <v>0.0</v>
      </c>
      <c r="AF2690" s="7">
        <v>0.0</v>
      </c>
    </row>
    <row r="2691">
      <c r="G2691" s="5"/>
      <c r="H2691" s="6"/>
      <c r="AD2691" s="5">
        <v>45039.0</v>
      </c>
      <c r="AE2691" s="6">
        <v>0.041666666666666664</v>
      </c>
      <c r="AF2691" s="7">
        <v>0.0</v>
      </c>
    </row>
    <row r="2692">
      <c r="G2692" s="5"/>
      <c r="H2692" s="6"/>
      <c r="AD2692" s="5">
        <v>45039.0</v>
      </c>
      <c r="AE2692" s="6">
        <v>0.08333333333333333</v>
      </c>
      <c r="AF2692" s="7">
        <v>0.0</v>
      </c>
    </row>
    <row r="2693">
      <c r="G2693" s="5"/>
      <c r="H2693" s="6"/>
      <c r="AD2693" s="5">
        <v>45039.0</v>
      </c>
      <c r="AE2693" s="6">
        <v>0.125</v>
      </c>
      <c r="AF2693" s="7">
        <v>0.0</v>
      </c>
    </row>
    <row r="2694">
      <c r="G2694" s="10"/>
      <c r="H2694" s="6"/>
      <c r="AD2694" s="5">
        <v>45039.0</v>
      </c>
      <c r="AE2694" s="6">
        <v>0.16666666666666666</v>
      </c>
      <c r="AF2694" s="7">
        <v>0.0</v>
      </c>
    </row>
    <row r="2695">
      <c r="G2695" s="10"/>
      <c r="H2695" s="6"/>
      <c r="AD2695" s="5">
        <v>45039.0</v>
      </c>
      <c r="AE2695" s="6">
        <v>0.20833333333333334</v>
      </c>
      <c r="AF2695" s="7">
        <v>0.0</v>
      </c>
    </row>
    <row r="2696">
      <c r="G2696" s="10"/>
      <c r="H2696" s="6"/>
      <c r="AD2696" s="5">
        <v>45039.0</v>
      </c>
      <c r="AE2696" s="6">
        <v>0.25</v>
      </c>
      <c r="AF2696" s="7">
        <v>4274.4</v>
      </c>
    </row>
    <row r="2697">
      <c r="G2697" s="10"/>
      <c r="H2697" s="6"/>
      <c r="AD2697" s="5">
        <v>45039.0</v>
      </c>
      <c r="AE2697" s="6">
        <v>0.2916666666666667</v>
      </c>
      <c r="AF2697" s="7">
        <v>19328.4</v>
      </c>
    </row>
    <row r="2698">
      <c r="G2698" s="5"/>
      <c r="H2698" s="6"/>
      <c r="AD2698" s="5">
        <v>45039.0</v>
      </c>
      <c r="AE2698" s="6">
        <v>0.3333333333333333</v>
      </c>
      <c r="AF2698" s="7">
        <v>31406.7</v>
      </c>
    </row>
    <row r="2699">
      <c r="G2699" s="5"/>
      <c r="H2699" s="6"/>
      <c r="AD2699" s="5">
        <v>45039.0</v>
      </c>
      <c r="AE2699" s="6">
        <v>0.375</v>
      </c>
      <c r="AF2699" s="7">
        <v>37144.38</v>
      </c>
    </row>
    <row r="2700">
      <c r="G2700" s="5"/>
      <c r="H2700" s="6"/>
      <c r="AD2700" s="5">
        <v>45039.0</v>
      </c>
      <c r="AE2700" s="6">
        <v>0.4166666666666667</v>
      </c>
      <c r="AF2700" s="7">
        <v>55568.76</v>
      </c>
    </row>
    <row r="2701">
      <c r="G2701" s="10"/>
      <c r="H2701" s="6"/>
      <c r="AD2701" s="5">
        <v>45039.0</v>
      </c>
      <c r="AE2701" s="6">
        <v>0.4583333333333333</v>
      </c>
      <c r="AF2701" s="7">
        <v>61096.62</v>
      </c>
    </row>
    <row r="2702">
      <c r="G2702" s="10"/>
      <c r="H2702" s="6"/>
      <c r="AD2702" s="5">
        <v>45039.0</v>
      </c>
      <c r="AE2702" s="6">
        <v>0.5</v>
      </c>
      <c r="AF2702" s="7">
        <v>62785.32</v>
      </c>
    </row>
    <row r="2703">
      <c r="G2703" s="5"/>
      <c r="H2703" s="6"/>
      <c r="AD2703" s="5">
        <v>45039.0</v>
      </c>
      <c r="AE2703" s="6">
        <v>0.5416666666666666</v>
      </c>
      <c r="AF2703" s="7">
        <v>48178.26</v>
      </c>
    </row>
    <row r="2704">
      <c r="G2704" s="5"/>
      <c r="H2704" s="6"/>
      <c r="AD2704" s="5">
        <v>45039.0</v>
      </c>
      <c r="AE2704" s="6">
        <v>0.5833333333333334</v>
      </c>
      <c r="AF2704" s="7">
        <v>46005.96</v>
      </c>
    </row>
    <row r="2705">
      <c r="G2705" s="5"/>
      <c r="H2705" s="6"/>
      <c r="AD2705" s="5">
        <v>45039.0</v>
      </c>
      <c r="AE2705" s="6">
        <v>0.625</v>
      </c>
      <c r="AF2705" s="7">
        <v>43375.8</v>
      </c>
    </row>
    <row r="2706">
      <c r="G2706" s="10"/>
      <c r="H2706" s="6"/>
      <c r="AD2706" s="5">
        <v>45039.0</v>
      </c>
      <c r="AE2706" s="6">
        <v>0.6666666666666666</v>
      </c>
      <c r="AF2706" s="7">
        <v>8775.0</v>
      </c>
    </row>
    <row r="2707">
      <c r="G2707" s="10"/>
      <c r="H2707" s="6"/>
      <c r="AD2707" s="5">
        <v>45039.0</v>
      </c>
      <c r="AE2707" s="6">
        <v>0.7083333333333334</v>
      </c>
      <c r="AF2707" s="7">
        <v>9721.14</v>
      </c>
    </row>
    <row r="2708">
      <c r="G2708" s="10"/>
      <c r="H2708" s="6"/>
      <c r="AD2708" s="5">
        <v>45039.0</v>
      </c>
      <c r="AE2708" s="6">
        <v>0.75</v>
      </c>
      <c r="AF2708" s="7">
        <v>642.72</v>
      </c>
    </row>
    <row r="2709">
      <c r="G2709" s="10"/>
      <c r="H2709" s="6"/>
      <c r="AD2709" s="5">
        <v>45039.0</v>
      </c>
      <c r="AE2709" s="6">
        <v>0.7916666666666666</v>
      </c>
      <c r="AF2709" s="7">
        <v>0.0</v>
      </c>
    </row>
    <row r="2710">
      <c r="G2710" s="5"/>
      <c r="H2710" s="6"/>
      <c r="AD2710" s="5">
        <v>45039.0</v>
      </c>
      <c r="AE2710" s="6">
        <v>0.8333333333333334</v>
      </c>
      <c r="AF2710" s="7">
        <v>0.0</v>
      </c>
    </row>
    <row r="2711">
      <c r="G2711" s="5"/>
      <c r="H2711" s="6"/>
      <c r="AD2711" s="5">
        <v>45039.0</v>
      </c>
      <c r="AE2711" s="6">
        <v>0.875</v>
      </c>
      <c r="AF2711" s="7">
        <v>0.0</v>
      </c>
    </row>
    <row r="2712">
      <c r="G2712" s="5"/>
      <c r="H2712" s="6"/>
      <c r="AD2712" s="5">
        <v>45039.0</v>
      </c>
      <c r="AE2712" s="6">
        <v>0.9166666666666666</v>
      </c>
      <c r="AF2712" s="7">
        <v>0.0</v>
      </c>
    </row>
    <row r="2713">
      <c r="G2713" s="10"/>
      <c r="H2713" s="6"/>
      <c r="AD2713" s="5">
        <v>45039.0</v>
      </c>
      <c r="AE2713" s="6">
        <v>0.9583333333333334</v>
      </c>
      <c r="AF2713" s="7">
        <v>0.0</v>
      </c>
    </row>
    <row r="2714">
      <c r="G2714" s="10"/>
      <c r="H2714" s="6"/>
      <c r="AD2714" s="5">
        <v>45040.0</v>
      </c>
      <c r="AE2714" s="6">
        <v>0.0</v>
      </c>
      <c r="AF2714" s="7">
        <v>0.0</v>
      </c>
    </row>
    <row r="2715">
      <c r="G2715" s="10"/>
      <c r="H2715" s="6"/>
      <c r="AD2715" s="5">
        <v>45040.0</v>
      </c>
      <c r="AE2715" s="6">
        <v>0.041666666666666664</v>
      </c>
      <c r="AF2715" s="7">
        <v>0.0</v>
      </c>
    </row>
    <row r="2716">
      <c r="G2716" s="10"/>
      <c r="H2716" s="6"/>
      <c r="AD2716" s="5">
        <v>45040.0</v>
      </c>
      <c r="AE2716" s="6">
        <v>0.08333333333333333</v>
      </c>
      <c r="AF2716" s="7">
        <v>0.0</v>
      </c>
    </row>
    <row r="2717">
      <c r="G2717" s="10"/>
      <c r="H2717" s="6"/>
      <c r="AD2717" s="5">
        <v>45040.0</v>
      </c>
      <c r="AE2717" s="6">
        <v>0.125</v>
      </c>
      <c r="AF2717" s="7">
        <v>0.0</v>
      </c>
    </row>
    <row r="2718">
      <c r="G2718" s="5"/>
      <c r="H2718" s="6"/>
      <c r="AD2718" s="5">
        <v>45040.0</v>
      </c>
      <c r="AE2718" s="6">
        <v>0.16666666666666666</v>
      </c>
      <c r="AF2718" s="7">
        <v>0.0</v>
      </c>
    </row>
    <row r="2719">
      <c r="G2719" s="5"/>
      <c r="H2719" s="6"/>
      <c r="AD2719" s="5">
        <v>45040.0</v>
      </c>
      <c r="AE2719" s="6">
        <v>0.20833333333333334</v>
      </c>
      <c r="AF2719" s="7">
        <v>0.0</v>
      </c>
    </row>
    <row r="2720">
      <c r="G2720" s="5"/>
      <c r="H2720" s="6"/>
      <c r="AD2720" s="5">
        <v>45040.0</v>
      </c>
      <c r="AE2720" s="6">
        <v>0.25</v>
      </c>
      <c r="AF2720" s="7">
        <v>2776.02</v>
      </c>
    </row>
    <row r="2721">
      <c r="G2721" s="5"/>
      <c r="H2721" s="6"/>
      <c r="AD2721" s="5">
        <v>45040.0</v>
      </c>
      <c r="AE2721" s="6">
        <v>0.2916666666666667</v>
      </c>
      <c r="AF2721" s="7">
        <v>19133.4</v>
      </c>
    </row>
    <row r="2722">
      <c r="G2722" s="5"/>
      <c r="H2722" s="6"/>
      <c r="AD2722" s="5">
        <v>45040.0</v>
      </c>
      <c r="AE2722" s="6">
        <v>0.3333333333333333</v>
      </c>
      <c r="AF2722" s="7">
        <v>33990.84</v>
      </c>
    </row>
    <row r="2723">
      <c r="G2723" s="5"/>
      <c r="H2723" s="6"/>
      <c r="AD2723" s="5">
        <v>45040.0</v>
      </c>
      <c r="AE2723" s="6">
        <v>0.375</v>
      </c>
      <c r="AF2723" s="7">
        <v>46288.32</v>
      </c>
    </row>
    <row r="2724">
      <c r="G2724" s="5"/>
      <c r="H2724" s="6"/>
      <c r="AD2724" s="5">
        <v>45040.0</v>
      </c>
      <c r="AE2724" s="6">
        <v>0.4166666666666667</v>
      </c>
      <c r="AF2724" s="7">
        <v>55333.2</v>
      </c>
    </row>
    <row r="2725">
      <c r="G2725" s="5"/>
      <c r="H2725" s="6"/>
      <c r="AD2725" s="5">
        <v>45040.0</v>
      </c>
      <c r="AE2725" s="6">
        <v>0.4583333333333333</v>
      </c>
      <c r="AF2725" s="7">
        <v>61446.84</v>
      </c>
    </row>
    <row r="2726">
      <c r="G2726" s="10"/>
      <c r="H2726" s="6"/>
      <c r="AD2726" s="5">
        <v>45040.0</v>
      </c>
      <c r="AE2726" s="6">
        <v>0.5</v>
      </c>
      <c r="AF2726" s="7">
        <v>62027.16</v>
      </c>
    </row>
    <row r="2727">
      <c r="G2727" s="10"/>
      <c r="H2727" s="6"/>
      <c r="AD2727" s="5">
        <v>45040.0</v>
      </c>
      <c r="AE2727" s="6">
        <v>0.5416666666666666</v>
      </c>
      <c r="AF2727" s="7">
        <v>60127.08</v>
      </c>
    </row>
    <row r="2728">
      <c r="G2728" s="10"/>
      <c r="H2728" s="6"/>
      <c r="AD2728" s="5">
        <v>45040.0</v>
      </c>
      <c r="AE2728" s="6">
        <v>0.5833333333333334</v>
      </c>
      <c r="AF2728" s="7">
        <v>51136.8</v>
      </c>
    </row>
    <row r="2729">
      <c r="G2729" s="10"/>
      <c r="H2729" s="6"/>
      <c r="AD2729" s="5">
        <v>45040.0</v>
      </c>
      <c r="AE2729" s="6">
        <v>0.625</v>
      </c>
      <c r="AF2729" s="7">
        <v>42049.8</v>
      </c>
    </row>
    <row r="2730">
      <c r="G2730" s="10"/>
      <c r="H2730" s="6"/>
      <c r="AD2730" s="5">
        <v>45040.0</v>
      </c>
      <c r="AE2730" s="6">
        <v>0.6666666666666666</v>
      </c>
      <c r="AF2730" s="7">
        <v>28849.86</v>
      </c>
    </row>
    <row r="2731">
      <c r="G2731" s="5"/>
      <c r="H2731" s="6"/>
      <c r="AD2731" s="5">
        <v>45040.0</v>
      </c>
      <c r="AE2731" s="6">
        <v>0.7083333333333334</v>
      </c>
      <c r="AF2731" s="7">
        <v>13505.7</v>
      </c>
    </row>
    <row r="2732">
      <c r="G2732" s="10"/>
      <c r="H2732" s="6"/>
      <c r="AD2732" s="5">
        <v>45040.0</v>
      </c>
      <c r="AE2732" s="6">
        <v>0.75</v>
      </c>
      <c r="AF2732" s="7">
        <v>1800.24</v>
      </c>
    </row>
    <row r="2733">
      <c r="G2733" s="10"/>
      <c r="H2733" s="6"/>
      <c r="AD2733" s="5">
        <v>45040.0</v>
      </c>
      <c r="AE2733" s="6">
        <v>0.7916666666666666</v>
      </c>
      <c r="AF2733" s="7">
        <v>0.0</v>
      </c>
    </row>
    <row r="2734">
      <c r="G2734" s="10"/>
      <c r="H2734" s="6"/>
      <c r="AD2734" s="5">
        <v>45040.0</v>
      </c>
      <c r="AE2734" s="6">
        <v>0.8333333333333334</v>
      </c>
      <c r="AF2734" s="7">
        <v>0.0</v>
      </c>
    </row>
    <row r="2735">
      <c r="G2735" s="5"/>
      <c r="H2735" s="6"/>
      <c r="AD2735" s="5">
        <v>45040.0</v>
      </c>
      <c r="AE2735" s="6">
        <v>0.875</v>
      </c>
      <c r="AF2735" s="7">
        <v>0.0</v>
      </c>
    </row>
    <row r="2736">
      <c r="G2736" s="5"/>
      <c r="H2736" s="6"/>
      <c r="AD2736" s="5">
        <v>45040.0</v>
      </c>
      <c r="AE2736" s="6">
        <v>0.9166666666666666</v>
      </c>
      <c r="AF2736" s="7">
        <v>0.0</v>
      </c>
    </row>
    <row r="2737">
      <c r="G2737" s="5"/>
      <c r="H2737" s="6"/>
      <c r="AD2737" s="5">
        <v>45040.0</v>
      </c>
      <c r="AE2737" s="6">
        <v>0.9583333333333334</v>
      </c>
      <c r="AF2737" s="7">
        <v>0.0</v>
      </c>
    </row>
    <row r="2738">
      <c r="G2738" s="5"/>
      <c r="H2738" s="6"/>
      <c r="AD2738" s="5">
        <v>45041.0</v>
      </c>
      <c r="AE2738" s="6">
        <v>0.0</v>
      </c>
      <c r="AF2738" s="7">
        <v>0.0</v>
      </c>
    </row>
    <row r="2739">
      <c r="G2739" s="5"/>
      <c r="H2739" s="6"/>
      <c r="AD2739" s="5">
        <v>45041.0</v>
      </c>
      <c r="AE2739" s="6">
        <v>0.041666666666666664</v>
      </c>
      <c r="AF2739" s="7">
        <v>0.0</v>
      </c>
    </row>
    <row r="2740">
      <c r="G2740" s="5"/>
      <c r="H2740" s="6"/>
      <c r="AD2740" s="5">
        <v>45041.0</v>
      </c>
      <c r="AE2740" s="6">
        <v>0.08333333333333333</v>
      </c>
      <c r="AF2740" s="7">
        <v>0.0</v>
      </c>
    </row>
    <row r="2741">
      <c r="G2741" s="5"/>
      <c r="H2741" s="6"/>
      <c r="AD2741" s="5">
        <v>45041.0</v>
      </c>
      <c r="AE2741" s="6">
        <v>0.125</v>
      </c>
      <c r="AF2741" s="7">
        <v>0.0</v>
      </c>
    </row>
    <row r="2742">
      <c r="G2742" s="5"/>
      <c r="H2742" s="6"/>
      <c r="AD2742" s="5">
        <v>45041.0</v>
      </c>
      <c r="AE2742" s="6">
        <v>0.16666666666666666</v>
      </c>
      <c r="AF2742" s="7">
        <v>0.0</v>
      </c>
    </row>
    <row r="2743">
      <c r="G2743" s="5"/>
      <c r="H2743" s="6"/>
      <c r="AD2743" s="5">
        <v>45041.0</v>
      </c>
      <c r="AE2743" s="6">
        <v>0.20833333333333334</v>
      </c>
      <c r="AF2743" s="7">
        <v>0.0</v>
      </c>
    </row>
    <row r="2744">
      <c r="G2744" s="10"/>
      <c r="H2744" s="6"/>
      <c r="AD2744" s="5">
        <v>45041.0</v>
      </c>
      <c r="AE2744" s="6">
        <v>0.25</v>
      </c>
      <c r="AF2744" s="7">
        <v>4513.08</v>
      </c>
    </row>
    <row r="2745">
      <c r="G2745" s="10"/>
      <c r="H2745" s="6"/>
      <c r="AD2745" s="5">
        <v>45041.0</v>
      </c>
      <c r="AE2745" s="6">
        <v>0.2916666666666667</v>
      </c>
      <c r="AF2745" s="7">
        <v>17695.08</v>
      </c>
    </row>
    <row r="2746">
      <c r="G2746" s="10"/>
      <c r="H2746" s="6"/>
      <c r="AD2746" s="5">
        <v>45041.0</v>
      </c>
      <c r="AE2746" s="6">
        <v>0.3333333333333333</v>
      </c>
      <c r="AF2746" s="7">
        <v>26628.42</v>
      </c>
    </row>
    <row r="2747">
      <c r="G2747" s="10"/>
      <c r="H2747" s="6"/>
      <c r="AD2747" s="5">
        <v>45041.0</v>
      </c>
      <c r="AE2747" s="6">
        <v>0.375</v>
      </c>
      <c r="AF2747" s="7">
        <v>43281.42</v>
      </c>
    </row>
    <row r="2748">
      <c r="G2748" s="5"/>
      <c r="H2748" s="6"/>
      <c r="AD2748" s="5">
        <v>45041.0</v>
      </c>
      <c r="AE2748" s="6">
        <v>0.4166666666666667</v>
      </c>
      <c r="AF2748" s="7">
        <v>55434.6</v>
      </c>
    </row>
    <row r="2749">
      <c r="G2749" s="10"/>
      <c r="H2749" s="6"/>
      <c r="AD2749" s="5">
        <v>45041.0</v>
      </c>
      <c r="AE2749" s="6">
        <v>0.4583333333333333</v>
      </c>
      <c r="AF2749" s="7">
        <v>59331.48</v>
      </c>
    </row>
    <row r="2750">
      <c r="G2750" s="10"/>
      <c r="H2750" s="6"/>
      <c r="AD2750" s="5">
        <v>45041.0</v>
      </c>
      <c r="AE2750" s="6">
        <v>0.5</v>
      </c>
      <c r="AF2750" s="7">
        <v>60479.64</v>
      </c>
    </row>
    <row r="2751">
      <c r="G2751" s="10"/>
      <c r="H2751" s="6"/>
      <c r="AD2751" s="5">
        <v>45041.0</v>
      </c>
      <c r="AE2751" s="6">
        <v>0.5416666666666666</v>
      </c>
      <c r="AF2751" s="7">
        <v>58950.84</v>
      </c>
    </row>
    <row r="2752">
      <c r="G2752" s="5"/>
      <c r="H2752" s="6"/>
      <c r="AD2752" s="5">
        <v>45041.0</v>
      </c>
      <c r="AE2752" s="6">
        <v>0.5833333333333334</v>
      </c>
      <c r="AF2752" s="7">
        <v>52724.1</v>
      </c>
    </row>
    <row r="2753">
      <c r="G2753" s="5"/>
      <c r="H2753" s="6"/>
      <c r="AD2753" s="5">
        <v>45041.0</v>
      </c>
      <c r="AE2753" s="6">
        <v>0.625</v>
      </c>
      <c r="AF2753" s="7">
        <v>38097.54</v>
      </c>
    </row>
    <row r="2754">
      <c r="G2754" s="5"/>
      <c r="H2754" s="6"/>
      <c r="AD2754" s="5">
        <v>45041.0</v>
      </c>
      <c r="AE2754" s="6">
        <v>0.6666666666666666</v>
      </c>
      <c r="AF2754" s="7">
        <v>16833.96</v>
      </c>
    </row>
    <row r="2755">
      <c r="G2755" s="5"/>
      <c r="H2755" s="6"/>
      <c r="AD2755" s="5">
        <v>45041.0</v>
      </c>
      <c r="AE2755" s="6">
        <v>0.7083333333333334</v>
      </c>
      <c r="AF2755" s="7">
        <v>11412.96</v>
      </c>
    </row>
    <row r="2756">
      <c r="G2756" s="5"/>
      <c r="H2756" s="6"/>
      <c r="AD2756" s="5">
        <v>45041.0</v>
      </c>
      <c r="AE2756" s="6">
        <v>0.75</v>
      </c>
      <c r="AF2756" s="7">
        <v>1913.34</v>
      </c>
    </row>
    <row r="2757">
      <c r="G2757" s="10"/>
      <c r="H2757" s="6"/>
      <c r="AD2757" s="5">
        <v>45041.0</v>
      </c>
      <c r="AE2757" s="6">
        <v>0.7916666666666666</v>
      </c>
      <c r="AF2757" s="7">
        <v>0.0</v>
      </c>
    </row>
    <row r="2758">
      <c r="G2758" s="10"/>
      <c r="H2758" s="6"/>
      <c r="AD2758" s="5">
        <v>45041.0</v>
      </c>
      <c r="AE2758" s="6">
        <v>0.8333333333333334</v>
      </c>
      <c r="AF2758" s="7">
        <v>0.0</v>
      </c>
    </row>
    <row r="2759">
      <c r="G2759" s="10"/>
      <c r="H2759" s="6"/>
      <c r="AD2759" s="5">
        <v>45041.0</v>
      </c>
      <c r="AE2759" s="6">
        <v>0.875</v>
      </c>
      <c r="AF2759" s="7">
        <v>0.0</v>
      </c>
    </row>
    <row r="2760">
      <c r="G2760" s="10"/>
      <c r="H2760" s="6"/>
      <c r="AD2760" s="5">
        <v>45041.0</v>
      </c>
      <c r="AE2760" s="6">
        <v>0.9166666666666666</v>
      </c>
      <c r="AF2760" s="7">
        <v>0.0</v>
      </c>
    </row>
    <row r="2761">
      <c r="G2761" s="5"/>
      <c r="H2761" s="6"/>
      <c r="AD2761" s="5">
        <v>45041.0</v>
      </c>
      <c r="AE2761" s="6">
        <v>0.9583333333333334</v>
      </c>
      <c r="AF2761" s="7">
        <v>0.0</v>
      </c>
    </row>
    <row r="2762">
      <c r="G2762" s="5"/>
      <c r="H2762" s="6"/>
      <c r="AD2762" s="5">
        <v>45042.0</v>
      </c>
      <c r="AE2762" s="6">
        <v>0.0</v>
      </c>
      <c r="AF2762" s="7">
        <v>0.0</v>
      </c>
    </row>
    <row r="2763">
      <c r="G2763" s="5"/>
      <c r="H2763" s="6"/>
      <c r="AD2763" s="5">
        <v>45042.0</v>
      </c>
      <c r="AE2763" s="6">
        <v>0.041666666666666664</v>
      </c>
      <c r="AF2763" s="7">
        <v>0.0</v>
      </c>
    </row>
    <row r="2764">
      <c r="G2764" s="5"/>
      <c r="H2764" s="6"/>
      <c r="AD2764" s="5">
        <v>45042.0</v>
      </c>
      <c r="AE2764" s="6">
        <v>0.08333333333333333</v>
      </c>
      <c r="AF2764" s="7">
        <v>0.0</v>
      </c>
    </row>
    <row r="2765">
      <c r="G2765" s="5"/>
      <c r="H2765" s="6"/>
      <c r="AD2765" s="5">
        <v>45042.0</v>
      </c>
      <c r="AE2765" s="6">
        <v>0.125</v>
      </c>
      <c r="AF2765" s="7">
        <v>0.0</v>
      </c>
    </row>
    <row r="2766">
      <c r="G2766" s="5"/>
      <c r="H2766" s="6"/>
      <c r="AD2766" s="5">
        <v>45042.0</v>
      </c>
      <c r="AE2766" s="6">
        <v>0.16666666666666666</v>
      </c>
      <c r="AF2766" s="7">
        <v>0.0</v>
      </c>
    </row>
    <row r="2767">
      <c r="G2767" s="5"/>
      <c r="H2767" s="6"/>
      <c r="AD2767" s="5">
        <v>45042.0</v>
      </c>
      <c r="AE2767" s="6">
        <v>0.20833333333333334</v>
      </c>
      <c r="AF2767" s="7">
        <v>0.0</v>
      </c>
    </row>
    <row r="2768">
      <c r="G2768" s="5"/>
      <c r="H2768" s="6"/>
      <c r="AD2768" s="5">
        <v>45042.0</v>
      </c>
      <c r="AE2768" s="6">
        <v>0.25</v>
      </c>
      <c r="AF2768" s="7">
        <v>4641.0</v>
      </c>
    </row>
    <row r="2769">
      <c r="G2769" s="5"/>
      <c r="H2769" s="6"/>
      <c r="AD2769" s="5">
        <v>45042.0</v>
      </c>
      <c r="AE2769" s="6">
        <v>0.2916666666666667</v>
      </c>
      <c r="AF2769" s="7">
        <v>17121.0</v>
      </c>
    </row>
    <row r="2770">
      <c r="G2770" s="5"/>
      <c r="H2770" s="6"/>
      <c r="AD2770" s="5">
        <v>45042.0</v>
      </c>
      <c r="AE2770" s="6">
        <v>0.3333333333333333</v>
      </c>
      <c r="AF2770" s="7">
        <v>30936.36</v>
      </c>
    </row>
    <row r="2771">
      <c r="G2771" s="10"/>
      <c r="H2771" s="6"/>
      <c r="AD2771" s="5">
        <v>45042.0</v>
      </c>
      <c r="AE2771" s="6">
        <v>0.375</v>
      </c>
      <c r="AF2771" s="7">
        <v>42229.98</v>
      </c>
    </row>
    <row r="2772">
      <c r="G2772" s="10"/>
      <c r="H2772" s="6"/>
      <c r="AD2772" s="5">
        <v>45042.0</v>
      </c>
      <c r="AE2772" s="6">
        <v>0.4166666666666667</v>
      </c>
      <c r="AF2772" s="7">
        <v>53786.46</v>
      </c>
    </row>
    <row r="2773">
      <c r="G2773" s="10"/>
      <c r="H2773" s="6"/>
      <c r="AD2773" s="5">
        <v>45042.0</v>
      </c>
      <c r="AE2773" s="6">
        <v>0.4583333333333333</v>
      </c>
      <c r="AF2773" s="7">
        <v>57474.3</v>
      </c>
    </row>
    <row r="2774">
      <c r="G2774" s="10"/>
      <c r="H2774" s="6"/>
      <c r="AD2774" s="5">
        <v>45042.0</v>
      </c>
      <c r="AE2774" s="6">
        <v>0.5</v>
      </c>
      <c r="AF2774" s="7">
        <v>58638.06</v>
      </c>
    </row>
    <row r="2775">
      <c r="G2775" s="10"/>
      <c r="H2775" s="6"/>
      <c r="AD2775" s="5">
        <v>45042.0</v>
      </c>
      <c r="AE2775" s="6">
        <v>0.5416666666666666</v>
      </c>
      <c r="AF2775" s="7">
        <v>54861.3</v>
      </c>
    </row>
    <row r="2776">
      <c r="G2776" s="10"/>
      <c r="H2776" s="6"/>
      <c r="AD2776" s="5">
        <v>45042.0</v>
      </c>
      <c r="AE2776" s="6">
        <v>0.5833333333333334</v>
      </c>
      <c r="AF2776" s="7">
        <v>43793.1</v>
      </c>
    </row>
    <row r="2777">
      <c r="G2777" s="10"/>
      <c r="H2777" s="6"/>
      <c r="AD2777" s="5">
        <v>45042.0</v>
      </c>
      <c r="AE2777" s="6">
        <v>0.625</v>
      </c>
      <c r="AF2777" s="7">
        <v>39574.08</v>
      </c>
    </row>
    <row r="2778">
      <c r="G2778" s="5"/>
      <c r="H2778" s="6"/>
      <c r="AD2778" s="5">
        <v>45042.0</v>
      </c>
      <c r="AE2778" s="6">
        <v>0.6666666666666666</v>
      </c>
      <c r="AF2778" s="7">
        <v>19351.8</v>
      </c>
    </row>
    <row r="2779">
      <c r="G2779" s="10"/>
      <c r="H2779" s="6"/>
      <c r="AD2779" s="5">
        <v>45042.0</v>
      </c>
      <c r="AE2779" s="6">
        <v>0.7083333333333334</v>
      </c>
      <c r="AF2779" s="7">
        <v>11961.3</v>
      </c>
    </row>
    <row r="2780">
      <c r="G2780" s="10"/>
      <c r="H2780" s="6"/>
      <c r="AD2780" s="5">
        <v>45042.0</v>
      </c>
      <c r="AE2780" s="6">
        <v>0.75</v>
      </c>
      <c r="AF2780" s="7">
        <v>1882.92</v>
      </c>
    </row>
    <row r="2781">
      <c r="G2781" s="10"/>
      <c r="H2781" s="6"/>
      <c r="AD2781" s="5">
        <v>45042.0</v>
      </c>
      <c r="AE2781" s="6">
        <v>0.7916666666666666</v>
      </c>
      <c r="AF2781" s="7">
        <v>0.0</v>
      </c>
    </row>
    <row r="2782">
      <c r="G2782" s="5"/>
      <c r="H2782" s="6"/>
      <c r="AD2782" s="5">
        <v>45042.0</v>
      </c>
      <c r="AE2782" s="6">
        <v>0.8333333333333334</v>
      </c>
      <c r="AF2782" s="7">
        <v>0.0</v>
      </c>
    </row>
    <row r="2783">
      <c r="G2783" s="5"/>
      <c r="H2783" s="6"/>
      <c r="AD2783" s="5">
        <v>45042.0</v>
      </c>
      <c r="AE2783" s="6">
        <v>0.875</v>
      </c>
      <c r="AF2783" s="7">
        <v>0.0</v>
      </c>
    </row>
    <row r="2784">
      <c r="G2784" s="5"/>
      <c r="H2784" s="6"/>
      <c r="AD2784" s="5">
        <v>45042.0</v>
      </c>
      <c r="AE2784" s="6">
        <v>0.9166666666666666</v>
      </c>
      <c r="AF2784" s="7">
        <v>0.0</v>
      </c>
    </row>
    <row r="2785">
      <c r="G2785" s="5"/>
      <c r="H2785" s="6"/>
      <c r="AD2785" s="5">
        <v>45042.0</v>
      </c>
      <c r="AE2785" s="6">
        <v>0.9583333333333334</v>
      </c>
      <c r="AF2785" s="7">
        <v>0.0</v>
      </c>
    </row>
    <row r="2786">
      <c r="G2786" s="5"/>
      <c r="H2786" s="6"/>
      <c r="AD2786" s="5">
        <v>45043.0</v>
      </c>
      <c r="AE2786" s="6">
        <v>0.0</v>
      </c>
      <c r="AF2786" s="7">
        <v>0.0</v>
      </c>
    </row>
    <row r="2787">
      <c r="G2787" s="10"/>
      <c r="H2787" s="6"/>
      <c r="AD2787" s="5">
        <v>45043.0</v>
      </c>
      <c r="AE2787" s="6">
        <v>0.041666666666666664</v>
      </c>
      <c r="AF2787" s="7">
        <v>0.0</v>
      </c>
    </row>
    <row r="2788">
      <c r="G2788" s="10"/>
      <c r="H2788" s="6"/>
      <c r="AD2788" s="5">
        <v>45043.0</v>
      </c>
      <c r="AE2788" s="6">
        <v>0.08333333333333333</v>
      </c>
      <c r="AF2788" s="7">
        <v>0.0</v>
      </c>
    </row>
    <row r="2789">
      <c r="G2789" s="10"/>
      <c r="H2789" s="6"/>
      <c r="AD2789" s="5">
        <v>45043.0</v>
      </c>
      <c r="AE2789" s="6">
        <v>0.125</v>
      </c>
      <c r="AF2789" s="7">
        <v>0.0</v>
      </c>
    </row>
    <row r="2790">
      <c r="G2790" s="10"/>
      <c r="H2790" s="6"/>
      <c r="AD2790" s="5">
        <v>45043.0</v>
      </c>
      <c r="AE2790" s="6">
        <v>0.16666666666666666</v>
      </c>
      <c r="AF2790" s="7">
        <v>0.0</v>
      </c>
    </row>
    <row r="2791">
      <c r="G2791" s="10"/>
      <c r="H2791" s="6"/>
      <c r="AD2791" s="5">
        <v>45043.0</v>
      </c>
      <c r="AE2791" s="6">
        <v>0.20833333333333334</v>
      </c>
      <c r="AF2791" s="7">
        <v>0.0</v>
      </c>
    </row>
    <row r="2792">
      <c r="G2792" s="5"/>
      <c r="H2792" s="6"/>
      <c r="AD2792" s="5">
        <v>45043.0</v>
      </c>
      <c r="AE2792" s="6">
        <v>0.25</v>
      </c>
      <c r="AF2792" s="7">
        <v>4882.8</v>
      </c>
    </row>
    <row r="2793">
      <c r="G2793" s="5"/>
      <c r="H2793" s="6"/>
      <c r="AD2793" s="5">
        <v>45043.0</v>
      </c>
      <c r="AE2793" s="6">
        <v>0.2916666666666667</v>
      </c>
      <c r="AF2793" s="7">
        <v>15404.22</v>
      </c>
    </row>
    <row r="2794">
      <c r="G2794" s="5"/>
      <c r="H2794" s="6"/>
      <c r="AD2794" s="5">
        <v>45043.0</v>
      </c>
      <c r="AE2794" s="6">
        <v>0.3333333333333333</v>
      </c>
      <c r="AF2794" s="7">
        <v>31017.48</v>
      </c>
    </row>
    <row r="2795">
      <c r="G2795" s="5"/>
      <c r="H2795" s="6"/>
      <c r="AD2795" s="5">
        <v>45043.0</v>
      </c>
      <c r="AE2795" s="6">
        <v>0.375</v>
      </c>
      <c r="AF2795" s="7">
        <v>39682.5</v>
      </c>
    </row>
    <row r="2796">
      <c r="G2796" s="5"/>
      <c r="H2796" s="6"/>
      <c r="AD2796" s="5">
        <v>45043.0</v>
      </c>
      <c r="AE2796" s="6">
        <v>0.4166666666666667</v>
      </c>
      <c r="AF2796" s="7">
        <v>52039.26</v>
      </c>
    </row>
    <row r="2797">
      <c r="G2797" s="5"/>
      <c r="H2797" s="6"/>
      <c r="AD2797" s="5">
        <v>45043.0</v>
      </c>
      <c r="AE2797" s="6">
        <v>0.4583333333333333</v>
      </c>
      <c r="AF2797" s="7">
        <v>49562.76</v>
      </c>
    </row>
    <row r="2798">
      <c r="G2798" s="5"/>
      <c r="H2798" s="6"/>
      <c r="AD2798" s="5">
        <v>45043.0</v>
      </c>
      <c r="AE2798" s="6">
        <v>0.5</v>
      </c>
      <c r="AF2798" s="7">
        <v>50434.02</v>
      </c>
    </row>
    <row r="2799">
      <c r="G2799" s="10"/>
      <c r="H2799" s="6"/>
      <c r="AD2799" s="5">
        <v>45043.0</v>
      </c>
      <c r="AE2799" s="6">
        <v>0.5416666666666666</v>
      </c>
      <c r="AF2799" s="7">
        <v>43151.94</v>
      </c>
    </row>
    <row r="2800">
      <c r="G2800" s="10"/>
      <c r="H2800" s="6"/>
      <c r="AD2800" s="5">
        <v>45043.0</v>
      </c>
      <c r="AE2800" s="6">
        <v>0.5833333333333334</v>
      </c>
      <c r="AF2800" s="7">
        <v>44716.62</v>
      </c>
    </row>
    <row r="2801">
      <c r="G2801" s="10"/>
      <c r="H2801" s="6"/>
      <c r="AD2801" s="5">
        <v>45043.0</v>
      </c>
      <c r="AE2801" s="6">
        <v>0.625</v>
      </c>
      <c r="AF2801" s="7">
        <v>35766.9</v>
      </c>
    </row>
    <row r="2802">
      <c r="G2802" s="10"/>
      <c r="H2802" s="6"/>
      <c r="AD2802" s="5">
        <v>45043.0</v>
      </c>
      <c r="AE2802" s="6">
        <v>0.6666666666666666</v>
      </c>
      <c r="AF2802" s="7">
        <v>20857.2</v>
      </c>
    </row>
    <row r="2803">
      <c r="G2803" s="10"/>
      <c r="H2803" s="6"/>
      <c r="AD2803" s="5">
        <v>45043.0</v>
      </c>
      <c r="AE2803" s="6">
        <v>0.7083333333333334</v>
      </c>
      <c r="AF2803" s="7">
        <v>13029.12</v>
      </c>
    </row>
    <row r="2804">
      <c r="G2804" s="10"/>
      <c r="H2804" s="6"/>
      <c r="AD2804" s="5">
        <v>45043.0</v>
      </c>
      <c r="AE2804" s="6">
        <v>0.75</v>
      </c>
      <c r="AF2804" s="7">
        <v>1896.18</v>
      </c>
    </row>
    <row r="2805">
      <c r="G2805" s="10"/>
      <c r="H2805" s="6"/>
      <c r="AD2805" s="5">
        <v>45043.0</v>
      </c>
      <c r="AE2805" s="6">
        <v>0.7916666666666666</v>
      </c>
      <c r="AF2805" s="7">
        <v>0.0</v>
      </c>
    </row>
    <row r="2806">
      <c r="G2806" s="10"/>
      <c r="H2806" s="6"/>
      <c r="AD2806" s="5">
        <v>45043.0</v>
      </c>
      <c r="AE2806" s="6">
        <v>0.8333333333333334</v>
      </c>
      <c r="AF2806" s="7">
        <v>0.0</v>
      </c>
    </row>
    <row r="2807">
      <c r="G2807" s="10"/>
      <c r="H2807" s="6"/>
      <c r="AD2807" s="5">
        <v>45043.0</v>
      </c>
      <c r="AE2807" s="6">
        <v>0.875</v>
      </c>
      <c r="AF2807" s="7">
        <v>0.0</v>
      </c>
    </row>
    <row r="2808">
      <c r="G2808" s="10"/>
      <c r="H2808" s="6"/>
      <c r="AD2808" s="5">
        <v>45043.0</v>
      </c>
      <c r="AE2808" s="6">
        <v>0.9166666666666666</v>
      </c>
      <c r="AF2808" s="7">
        <v>0.0</v>
      </c>
    </row>
    <row r="2809">
      <c r="G2809" s="5"/>
      <c r="H2809" s="6"/>
      <c r="AD2809" s="5">
        <v>45043.0</v>
      </c>
      <c r="AE2809" s="6">
        <v>0.9583333333333334</v>
      </c>
      <c r="AF2809" s="7">
        <v>0.0</v>
      </c>
    </row>
    <row r="2810">
      <c r="G2810" s="5"/>
      <c r="H2810" s="6"/>
      <c r="AD2810" s="5">
        <v>45044.0</v>
      </c>
      <c r="AE2810" s="6">
        <v>0.0</v>
      </c>
      <c r="AF2810" s="7">
        <v>0.0</v>
      </c>
    </row>
    <row r="2811">
      <c r="G2811" s="5"/>
      <c r="H2811" s="6"/>
      <c r="AD2811" s="5">
        <v>45044.0</v>
      </c>
      <c r="AE2811" s="6">
        <v>0.041666666666666664</v>
      </c>
      <c r="AF2811" s="7">
        <v>0.0</v>
      </c>
    </row>
    <row r="2812">
      <c r="G2812" s="5"/>
      <c r="H2812" s="6"/>
      <c r="AD2812" s="5">
        <v>45044.0</v>
      </c>
      <c r="AE2812" s="6">
        <v>0.08333333333333333</v>
      </c>
      <c r="AF2812" s="7">
        <v>0.0</v>
      </c>
    </row>
    <row r="2813">
      <c r="G2813" s="5"/>
      <c r="H2813" s="6"/>
      <c r="AD2813" s="5">
        <v>45044.0</v>
      </c>
      <c r="AE2813" s="6">
        <v>0.125</v>
      </c>
      <c r="AF2813" s="7">
        <v>0.0</v>
      </c>
    </row>
    <row r="2814">
      <c r="G2814" s="5"/>
      <c r="H2814" s="6"/>
      <c r="AD2814" s="5">
        <v>45044.0</v>
      </c>
      <c r="AE2814" s="6">
        <v>0.16666666666666666</v>
      </c>
      <c r="AF2814" s="7">
        <v>0.0</v>
      </c>
    </row>
    <row r="2815">
      <c r="G2815" s="5"/>
      <c r="H2815" s="6"/>
      <c r="AD2815" s="5">
        <v>45044.0</v>
      </c>
      <c r="AE2815" s="6">
        <v>0.20833333333333334</v>
      </c>
      <c r="AF2815" s="7">
        <v>0.0</v>
      </c>
    </row>
    <row r="2816">
      <c r="G2816" s="5"/>
      <c r="H2816" s="6"/>
      <c r="AD2816" s="5">
        <v>45044.0</v>
      </c>
      <c r="AE2816" s="6">
        <v>0.25</v>
      </c>
      <c r="AF2816" s="7">
        <v>4731.48</v>
      </c>
    </row>
    <row r="2817">
      <c r="G2817" s="5"/>
      <c r="H2817" s="6"/>
      <c r="AD2817" s="5">
        <v>45044.0</v>
      </c>
      <c r="AE2817" s="6">
        <v>0.2916666666666667</v>
      </c>
      <c r="AF2817" s="7">
        <v>15919.02</v>
      </c>
    </row>
    <row r="2818">
      <c r="G2818" s="5"/>
      <c r="H2818" s="6"/>
      <c r="AD2818" s="5">
        <v>45044.0</v>
      </c>
      <c r="AE2818" s="6">
        <v>0.3333333333333333</v>
      </c>
      <c r="AF2818" s="7">
        <v>30675.84</v>
      </c>
    </row>
    <row r="2819">
      <c r="G2819" s="5"/>
      <c r="H2819" s="6"/>
      <c r="AD2819" s="5">
        <v>45044.0</v>
      </c>
      <c r="AE2819" s="6">
        <v>0.375</v>
      </c>
      <c r="AF2819" s="7">
        <v>38379.12</v>
      </c>
    </row>
    <row r="2820">
      <c r="G2820" s="5"/>
      <c r="H2820" s="6"/>
      <c r="AD2820" s="5">
        <v>45044.0</v>
      </c>
      <c r="AE2820" s="6">
        <v>0.4166666666666667</v>
      </c>
      <c r="AF2820" s="7">
        <v>38296.44</v>
      </c>
    </row>
    <row r="2821">
      <c r="G2821" s="5"/>
      <c r="H2821" s="6"/>
      <c r="AD2821" s="5">
        <v>45044.0</v>
      </c>
      <c r="AE2821" s="6">
        <v>0.4583333333333333</v>
      </c>
      <c r="AF2821" s="7">
        <v>39505.44</v>
      </c>
    </row>
    <row r="2822">
      <c r="G2822" s="10"/>
      <c r="H2822" s="6"/>
      <c r="AD2822" s="5">
        <v>45044.0</v>
      </c>
      <c r="AE2822" s="6">
        <v>0.5</v>
      </c>
      <c r="AF2822" s="7">
        <v>58645.08</v>
      </c>
    </row>
    <row r="2823">
      <c r="G2823" s="10"/>
      <c r="H2823" s="6"/>
      <c r="AD2823" s="5">
        <v>45044.0</v>
      </c>
      <c r="AE2823" s="6">
        <v>0.5416666666666666</v>
      </c>
      <c r="AF2823" s="7">
        <v>37666.98</v>
      </c>
    </row>
    <row r="2824">
      <c r="G2824" s="10"/>
      <c r="H2824" s="6"/>
      <c r="AD2824" s="5">
        <v>45044.0</v>
      </c>
      <c r="AE2824" s="6">
        <v>0.5833333333333334</v>
      </c>
      <c r="AF2824" s="7">
        <v>44382.0</v>
      </c>
    </row>
    <row r="2825">
      <c r="G2825" s="5"/>
      <c r="H2825" s="6"/>
      <c r="AD2825" s="5">
        <v>45044.0</v>
      </c>
      <c r="AE2825" s="6">
        <v>0.625</v>
      </c>
      <c r="AF2825" s="7">
        <v>5492.76</v>
      </c>
    </row>
    <row r="2826">
      <c r="G2826" s="5"/>
      <c r="H2826" s="6"/>
      <c r="AD2826" s="5">
        <v>45044.0</v>
      </c>
      <c r="AE2826" s="6">
        <v>0.6666666666666666</v>
      </c>
      <c r="AF2826" s="7">
        <v>9293.7</v>
      </c>
    </row>
    <row r="2827">
      <c r="G2827" s="5"/>
      <c r="H2827" s="6"/>
      <c r="AD2827" s="5">
        <v>45044.0</v>
      </c>
      <c r="AE2827" s="6">
        <v>0.7083333333333334</v>
      </c>
      <c r="AF2827" s="7">
        <v>1312.74</v>
      </c>
    </row>
    <row r="2828">
      <c r="G2828" s="5"/>
      <c r="H2828" s="6"/>
      <c r="AD2828" s="5">
        <v>45044.0</v>
      </c>
      <c r="AE2828" s="6">
        <v>0.75</v>
      </c>
      <c r="AF2828" s="7">
        <v>27.3</v>
      </c>
    </row>
    <row r="2829">
      <c r="G2829" s="10"/>
      <c r="H2829" s="6"/>
      <c r="AD2829" s="5">
        <v>45044.0</v>
      </c>
      <c r="AE2829" s="6">
        <v>0.7916666666666666</v>
      </c>
      <c r="AF2829" s="7">
        <v>0.0</v>
      </c>
    </row>
    <row r="2830">
      <c r="G2830" s="10"/>
      <c r="H2830" s="6"/>
      <c r="AD2830" s="5">
        <v>45044.0</v>
      </c>
      <c r="AE2830" s="6">
        <v>0.8333333333333334</v>
      </c>
      <c r="AF2830" s="7">
        <v>0.0</v>
      </c>
    </row>
    <row r="2831">
      <c r="G2831" s="10"/>
      <c r="H2831" s="6"/>
      <c r="AD2831" s="5">
        <v>45044.0</v>
      </c>
      <c r="AE2831" s="6">
        <v>0.875</v>
      </c>
      <c r="AF2831" s="7">
        <v>0.0</v>
      </c>
    </row>
    <row r="2832">
      <c r="G2832" s="10"/>
      <c r="H2832" s="6"/>
      <c r="AD2832" s="5">
        <v>45044.0</v>
      </c>
      <c r="AE2832" s="6">
        <v>0.9166666666666666</v>
      </c>
      <c r="AF2832" s="7">
        <v>0.0</v>
      </c>
    </row>
    <row r="2833">
      <c r="G2833" s="10"/>
      <c r="H2833" s="6"/>
      <c r="AD2833" s="5">
        <v>45044.0</v>
      </c>
      <c r="AE2833" s="6">
        <v>0.9583333333333334</v>
      </c>
      <c r="AF2833" s="7">
        <v>0.0</v>
      </c>
    </row>
    <row r="2834">
      <c r="G2834" s="5"/>
      <c r="H2834" s="6"/>
      <c r="AD2834" s="5">
        <v>45045.0</v>
      </c>
      <c r="AE2834" s="6">
        <v>0.0</v>
      </c>
      <c r="AF2834" s="7">
        <v>0.0</v>
      </c>
    </row>
    <row r="2835">
      <c r="G2835" s="5"/>
      <c r="H2835" s="6"/>
      <c r="AD2835" s="5">
        <v>45045.0</v>
      </c>
      <c r="AE2835" s="6">
        <v>0.041666666666666664</v>
      </c>
      <c r="AF2835" s="7">
        <v>0.0</v>
      </c>
    </row>
    <row r="2836">
      <c r="G2836" s="5"/>
      <c r="H2836" s="6"/>
      <c r="AD2836" s="5">
        <v>45045.0</v>
      </c>
      <c r="AE2836" s="6">
        <v>0.08333333333333333</v>
      </c>
      <c r="AF2836" s="7">
        <v>0.0</v>
      </c>
    </row>
    <row r="2837">
      <c r="G2837" s="5"/>
      <c r="H2837" s="6"/>
      <c r="AD2837" s="5">
        <v>45045.0</v>
      </c>
      <c r="AE2837" s="6">
        <v>0.125</v>
      </c>
      <c r="AF2837" s="7">
        <v>0.0</v>
      </c>
    </row>
    <row r="2838">
      <c r="G2838" s="5"/>
      <c r="H2838" s="6"/>
      <c r="AD2838" s="5">
        <v>45045.0</v>
      </c>
      <c r="AE2838" s="6">
        <v>0.16666666666666666</v>
      </c>
      <c r="AF2838" s="7">
        <v>0.0</v>
      </c>
    </row>
    <row r="2839">
      <c r="G2839" s="5"/>
      <c r="H2839" s="6"/>
      <c r="AD2839" s="5">
        <v>45045.0</v>
      </c>
      <c r="AE2839" s="6">
        <v>0.20833333333333334</v>
      </c>
      <c r="AF2839" s="7">
        <v>0.0</v>
      </c>
    </row>
    <row r="2840">
      <c r="G2840" s="5"/>
      <c r="H2840" s="6"/>
      <c r="AD2840" s="5">
        <v>45045.0</v>
      </c>
      <c r="AE2840" s="6">
        <v>0.25</v>
      </c>
      <c r="AF2840" s="7">
        <v>5009.94</v>
      </c>
    </row>
    <row r="2841">
      <c r="G2841" s="5"/>
      <c r="H2841" s="6"/>
      <c r="AD2841" s="5">
        <v>45045.0</v>
      </c>
      <c r="AE2841" s="6">
        <v>0.2916666666666667</v>
      </c>
      <c r="AF2841" s="7">
        <v>17985.24</v>
      </c>
    </row>
    <row r="2842">
      <c r="G2842" s="5"/>
      <c r="H2842" s="6"/>
      <c r="AD2842" s="5">
        <v>45045.0</v>
      </c>
      <c r="AE2842" s="6">
        <v>0.3333333333333333</v>
      </c>
      <c r="AF2842" s="7">
        <v>32897.28</v>
      </c>
    </row>
    <row r="2843">
      <c r="G2843" s="5"/>
      <c r="H2843" s="6"/>
      <c r="AD2843" s="5">
        <v>45045.0</v>
      </c>
      <c r="AE2843" s="6">
        <v>0.375</v>
      </c>
      <c r="AF2843" s="7">
        <v>41173.86</v>
      </c>
    </row>
    <row r="2844">
      <c r="G2844" s="10"/>
      <c r="H2844" s="6"/>
      <c r="AD2844" s="5">
        <v>45045.0</v>
      </c>
      <c r="AE2844" s="6">
        <v>0.4166666666666667</v>
      </c>
      <c r="AF2844" s="7">
        <v>42341.52</v>
      </c>
    </row>
    <row r="2845">
      <c r="G2845" s="10"/>
      <c r="H2845" s="6"/>
      <c r="AD2845" s="5">
        <v>45045.0</v>
      </c>
      <c r="AE2845" s="6">
        <v>0.4583333333333333</v>
      </c>
      <c r="AF2845" s="7">
        <v>52139.1</v>
      </c>
    </row>
    <row r="2846">
      <c r="G2846" s="10"/>
      <c r="H2846" s="6"/>
      <c r="AD2846" s="5">
        <v>45045.0</v>
      </c>
      <c r="AE2846" s="6">
        <v>0.5</v>
      </c>
      <c r="AF2846" s="7">
        <v>47750.82</v>
      </c>
    </row>
    <row r="2847">
      <c r="G2847" s="10"/>
      <c r="H2847" s="6"/>
      <c r="AD2847" s="5">
        <v>45045.0</v>
      </c>
      <c r="AE2847" s="6">
        <v>0.5416666666666666</v>
      </c>
      <c r="AF2847" s="7">
        <v>43802.46</v>
      </c>
    </row>
    <row r="2848">
      <c r="G2848" s="10"/>
      <c r="H2848" s="6"/>
      <c r="AD2848" s="5">
        <v>45045.0</v>
      </c>
      <c r="AE2848" s="6">
        <v>0.5833333333333334</v>
      </c>
      <c r="AF2848" s="7">
        <v>13208.52</v>
      </c>
    </row>
    <row r="2849">
      <c r="G2849" s="10"/>
      <c r="H2849" s="6"/>
      <c r="AD2849" s="5">
        <v>45045.0</v>
      </c>
      <c r="AE2849" s="6">
        <v>0.625</v>
      </c>
      <c r="AF2849" s="7">
        <v>13476.84</v>
      </c>
    </row>
    <row r="2850">
      <c r="G2850" s="5"/>
      <c r="H2850" s="6"/>
      <c r="AD2850" s="5">
        <v>45045.0</v>
      </c>
      <c r="AE2850" s="6">
        <v>0.6666666666666666</v>
      </c>
      <c r="AF2850" s="7">
        <v>2895.36</v>
      </c>
    </row>
    <row r="2851">
      <c r="G2851" s="5"/>
      <c r="H2851" s="6"/>
      <c r="AD2851" s="5">
        <v>45045.0</v>
      </c>
      <c r="AE2851" s="6">
        <v>0.7083333333333334</v>
      </c>
      <c r="AF2851" s="7">
        <v>3700.32</v>
      </c>
    </row>
    <row r="2852">
      <c r="G2852" s="5"/>
      <c r="H2852" s="6"/>
      <c r="AD2852" s="5">
        <v>45045.0</v>
      </c>
      <c r="AE2852" s="6">
        <v>0.75</v>
      </c>
      <c r="AF2852" s="7">
        <v>1006.2</v>
      </c>
    </row>
    <row r="2853">
      <c r="G2853" s="5"/>
      <c r="H2853" s="6"/>
      <c r="AD2853" s="5">
        <v>45045.0</v>
      </c>
      <c r="AE2853" s="6">
        <v>0.7916666666666666</v>
      </c>
      <c r="AF2853" s="7">
        <v>0.0</v>
      </c>
    </row>
    <row r="2854">
      <c r="G2854" s="5"/>
      <c r="H2854" s="6"/>
      <c r="AD2854" s="5">
        <v>45045.0</v>
      </c>
      <c r="AE2854" s="6">
        <v>0.8333333333333334</v>
      </c>
      <c r="AF2854" s="7">
        <v>0.0</v>
      </c>
    </row>
    <row r="2855">
      <c r="G2855" s="5"/>
      <c r="H2855" s="6"/>
      <c r="AD2855" s="5">
        <v>45045.0</v>
      </c>
      <c r="AE2855" s="6">
        <v>0.875</v>
      </c>
      <c r="AF2855" s="7">
        <v>0.0</v>
      </c>
    </row>
    <row r="2856">
      <c r="G2856" s="5"/>
      <c r="H2856" s="6"/>
      <c r="AD2856" s="5">
        <v>45045.0</v>
      </c>
      <c r="AE2856" s="6">
        <v>0.9166666666666666</v>
      </c>
      <c r="AF2856" s="7">
        <v>0.0</v>
      </c>
    </row>
    <row r="2857">
      <c r="G2857" s="5"/>
      <c r="H2857" s="6"/>
      <c r="AD2857" s="5">
        <v>45045.0</v>
      </c>
      <c r="AE2857" s="6">
        <v>0.9583333333333334</v>
      </c>
      <c r="AF2857" s="7">
        <v>0.0</v>
      </c>
    </row>
    <row r="2858">
      <c r="G2858" s="5"/>
      <c r="H2858" s="6"/>
      <c r="AD2858" s="5">
        <v>45046.0</v>
      </c>
      <c r="AE2858" s="6">
        <v>0.0</v>
      </c>
      <c r="AF2858" s="7">
        <v>0.0</v>
      </c>
    </row>
    <row r="2859">
      <c r="G2859" s="5"/>
      <c r="H2859" s="6"/>
      <c r="AD2859" s="5">
        <v>45046.0</v>
      </c>
      <c r="AE2859" s="6">
        <v>0.041666666666666664</v>
      </c>
      <c r="AF2859" s="7">
        <v>0.0</v>
      </c>
    </row>
    <row r="2860">
      <c r="G2860" s="5"/>
      <c r="H2860" s="6"/>
      <c r="AD2860" s="5">
        <v>45046.0</v>
      </c>
      <c r="AE2860" s="6">
        <v>0.08333333333333333</v>
      </c>
      <c r="AF2860" s="7">
        <v>0.0</v>
      </c>
    </row>
    <row r="2861">
      <c r="G2861" s="10"/>
      <c r="H2861" s="6"/>
      <c r="AD2861" s="5">
        <v>45046.0</v>
      </c>
      <c r="AE2861" s="6">
        <v>0.125</v>
      </c>
      <c r="AF2861" s="7">
        <v>0.0</v>
      </c>
    </row>
    <row r="2862">
      <c r="G2862" s="10"/>
      <c r="H2862" s="6"/>
      <c r="AD2862" s="5">
        <v>45046.0</v>
      </c>
      <c r="AE2862" s="6">
        <v>0.16666666666666666</v>
      </c>
      <c r="AF2862" s="7">
        <v>0.0</v>
      </c>
    </row>
    <row r="2863">
      <c r="G2863" s="10"/>
      <c r="H2863" s="6"/>
      <c r="AD2863" s="5">
        <v>45046.0</v>
      </c>
      <c r="AE2863" s="6">
        <v>0.20833333333333334</v>
      </c>
      <c r="AF2863" s="7">
        <v>0.0</v>
      </c>
    </row>
    <row r="2864">
      <c r="G2864" s="10"/>
      <c r="H2864" s="6"/>
      <c r="AD2864" s="5">
        <v>45046.0</v>
      </c>
      <c r="AE2864" s="6">
        <v>0.25</v>
      </c>
      <c r="AF2864" s="7">
        <v>5567.64</v>
      </c>
    </row>
    <row r="2865">
      <c r="G2865" s="10"/>
      <c r="H2865" s="6"/>
      <c r="AD2865" s="5">
        <v>45046.0</v>
      </c>
      <c r="AE2865" s="6">
        <v>0.2916666666666667</v>
      </c>
      <c r="AF2865" s="7">
        <v>20907.12</v>
      </c>
    </row>
    <row r="2866">
      <c r="G2866" s="5"/>
      <c r="H2866" s="6"/>
      <c r="AD2866" s="5">
        <v>45046.0</v>
      </c>
      <c r="AE2866" s="6">
        <v>0.3333333333333333</v>
      </c>
      <c r="AF2866" s="7">
        <v>36652.98</v>
      </c>
    </row>
    <row r="2867">
      <c r="G2867" s="10"/>
      <c r="H2867" s="6"/>
      <c r="AD2867" s="5">
        <v>45046.0</v>
      </c>
      <c r="AE2867" s="6">
        <v>0.375</v>
      </c>
      <c r="AF2867" s="7">
        <v>50014.38</v>
      </c>
    </row>
    <row r="2868">
      <c r="G2868" s="10"/>
      <c r="H2868" s="6"/>
      <c r="AD2868" s="5">
        <v>45046.0</v>
      </c>
      <c r="AE2868" s="6">
        <v>0.4166666666666667</v>
      </c>
      <c r="AF2868" s="7">
        <v>58871.28</v>
      </c>
    </row>
    <row r="2869">
      <c r="G2869" s="10"/>
      <c r="H2869" s="6"/>
      <c r="AD2869" s="5">
        <v>45046.0</v>
      </c>
      <c r="AE2869" s="6">
        <v>0.4583333333333333</v>
      </c>
      <c r="AF2869" s="7">
        <v>63363.3</v>
      </c>
    </row>
    <row r="2870">
      <c r="G2870" s="5"/>
      <c r="H2870" s="6"/>
      <c r="AD2870" s="5">
        <v>45046.0</v>
      </c>
      <c r="AE2870" s="6">
        <v>0.5</v>
      </c>
      <c r="AF2870" s="7">
        <v>56701.32</v>
      </c>
    </row>
    <row r="2871">
      <c r="G2871" s="5"/>
      <c r="H2871" s="6"/>
      <c r="AD2871" s="5">
        <v>45046.0</v>
      </c>
      <c r="AE2871" s="6">
        <v>0.5416666666666666</v>
      </c>
      <c r="AF2871" s="7">
        <v>41331.42</v>
      </c>
    </row>
    <row r="2872">
      <c r="G2872" s="5"/>
      <c r="H2872" s="6"/>
      <c r="AD2872" s="5">
        <v>45046.0</v>
      </c>
      <c r="AE2872" s="6">
        <v>0.5833333333333334</v>
      </c>
      <c r="AF2872" s="7">
        <v>26099.58</v>
      </c>
    </row>
    <row r="2873">
      <c r="G2873" s="5"/>
      <c r="H2873" s="6"/>
      <c r="AD2873" s="5">
        <v>45046.0</v>
      </c>
      <c r="AE2873" s="6">
        <v>0.625</v>
      </c>
      <c r="AF2873" s="7">
        <v>16910.4</v>
      </c>
    </row>
    <row r="2874">
      <c r="G2874" s="5"/>
      <c r="H2874" s="6"/>
      <c r="AD2874" s="5">
        <v>45046.0</v>
      </c>
      <c r="AE2874" s="6">
        <v>0.6666666666666666</v>
      </c>
      <c r="AF2874" s="7">
        <v>14905.8</v>
      </c>
    </row>
    <row r="2875">
      <c r="G2875" s="10"/>
      <c r="H2875" s="6"/>
      <c r="AD2875" s="5">
        <v>45046.0</v>
      </c>
      <c r="AE2875" s="6">
        <v>0.7083333333333334</v>
      </c>
      <c r="AF2875" s="7">
        <v>10718.76</v>
      </c>
    </row>
    <row r="2876">
      <c r="G2876" s="10"/>
      <c r="H2876" s="6"/>
      <c r="AD2876" s="5">
        <v>45046.0</v>
      </c>
      <c r="AE2876" s="6">
        <v>0.75</v>
      </c>
      <c r="AF2876" s="7">
        <v>2281.5</v>
      </c>
    </row>
    <row r="2877">
      <c r="G2877" s="10"/>
      <c r="H2877" s="6"/>
      <c r="AD2877" s="5">
        <v>45046.0</v>
      </c>
      <c r="AE2877" s="6">
        <v>0.7916666666666666</v>
      </c>
      <c r="AF2877" s="7">
        <v>0.0</v>
      </c>
    </row>
    <row r="2878">
      <c r="G2878" s="10"/>
      <c r="H2878" s="6"/>
      <c r="AD2878" s="5">
        <v>45046.0</v>
      </c>
      <c r="AE2878" s="6">
        <v>0.8333333333333334</v>
      </c>
      <c r="AF2878" s="7">
        <v>0.0</v>
      </c>
    </row>
    <row r="2879">
      <c r="G2879" s="10"/>
      <c r="H2879" s="6"/>
      <c r="AD2879" s="5">
        <v>45046.0</v>
      </c>
      <c r="AE2879" s="6">
        <v>0.875</v>
      </c>
      <c r="AF2879" s="7">
        <v>0.0</v>
      </c>
    </row>
    <row r="2880">
      <c r="G2880" s="5"/>
      <c r="H2880" s="6"/>
      <c r="AD2880" s="5">
        <v>45046.0</v>
      </c>
      <c r="AE2880" s="6">
        <v>0.9166666666666666</v>
      </c>
      <c r="AF2880" s="7">
        <v>0.0</v>
      </c>
    </row>
    <row r="2881">
      <c r="G2881" s="5"/>
      <c r="H2881" s="6"/>
      <c r="AD2881" s="5">
        <v>45046.0</v>
      </c>
      <c r="AE2881" s="6">
        <v>0.9583333333333334</v>
      </c>
      <c r="AF2881" s="7">
        <v>0.0</v>
      </c>
    </row>
    <row r="2882">
      <c r="G2882" s="5"/>
      <c r="H2882" s="6"/>
      <c r="AD2882" s="5">
        <v>45047.0</v>
      </c>
      <c r="AE2882" s="6">
        <v>0.0</v>
      </c>
      <c r="AF2882" s="7">
        <v>0.0</v>
      </c>
    </row>
    <row r="2883">
      <c r="G2883" s="5"/>
      <c r="H2883" s="6"/>
      <c r="AD2883" s="5">
        <v>45047.0</v>
      </c>
      <c r="AE2883" s="6">
        <v>0.041666666666666664</v>
      </c>
      <c r="AF2883" s="7">
        <v>0.0</v>
      </c>
    </row>
    <row r="2884">
      <c r="G2884" s="5"/>
      <c r="H2884" s="6"/>
      <c r="AD2884" s="5">
        <v>45047.0</v>
      </c>
      <c r="AE2884" s="6">
        <v>0.08333333333333333</v>
      </c>
      <c r="AF2884" s="7">
        <v>0.0</v>
      </c>
    </row>
    <row r="2885">
      <c r="G2885" s="9"/>
      <c r="H2885" s="6"/>
      <c r="AD2885" s="5">
        <v>45047.0</v>
      </c>
      <c r="AE2885" s="6">
        <v>0.125</v>
      </c>
      <c r="AF2885" s="7">
        <v>0.0</v>
      </c>
    </row>
    <row r="2886">
      <c r="G2886" s="9"/>
      <c r="H2886" s="6"/>
      <c r="AD2886" s="5">
        <v>45047.0</v>
      </c>
      <c r="AE2886" s="6">
        <v>0.16666666666666666</v>
      </c>
      <c r="AF2886" s="7">
        <v>0.0</v>
      </c>
    </row>
    <row r="2887">
      <c r="G2887" s="9"/>
      <c r="H2887" s="6"/>
      <c r="AD2887" s="5">
        <v>45047.0</v>
      </c>
      <c r="AE2887" s="6">
        <v>0.20833333333333334</v>
      </c>
      <c r="AF2887" s="7">
        <v>0.0</v>
      </c>
    </row>
    <row r="2888">
      <c r="G2888" s="9"/>
      <c r="H2888" s="6"/>
      <c r="AD2888" s="5">
        <v>45047.0</v>
      </c>
      <c r="AE2888" s="6">
        <v>0.25</v>
      </c>
      <c r="AF2888" s="7">
        <v>5885.88</v>
      </c>
    </row>
    <row r="2889">
      <c r="G2889" s="10"/>
      <c r="H2889" s="6"/>
      <c r="AD2889" s="5">
        <v>45047.0</v>
      </c>
      <c r="AE2889" s="6">
        <v>0.2916666666666667</v>
      </c>
      <c r="AF2889" s="7">
        <v>21928.14</v>
      </c>
    </row>
    <row r="2890">
      <c r="G2890" s="9"/>
      <c r="H2890" s="6"/>
      <c r="AD2890" s="5">
        <v>45047.0</v>
      </c>
      <c r="AE2890" s="6">
        <v>0.3333333333333333</v>
      </c>
      <c r="AF2890" s="7">
        <v>37970.4</v>
      </c>
    </row>
    <row r="2891">
      <c r="G2891" s="9"/>
      <c r="H2891" s="6"/>
      <c r="AD2891" s="5">
        <v>45047.0</v>
      </c>
      <c r="AE2891" s="6">
        <v>0.375</v>
      </c>
      <c r="AF2891" s="7">
        <v>50698.44</v>
      </c>
    </row>
    <row r="2892">
      <c r="G2892" s="9"/>
      <c r="H2892" s="6"/>
      <c r="AD2892" s="5">
        <v>45047.0</v>
      </c>
      <c r="AE2892" s="6">
        <v>0.4166666666666667</v>
      </c>
      <c r="AF2892" s="7">
        <v>59687.94</v>
      </c>
    </row>
    <row r="2893">
      <c r="G2893" s="5"/>
      <c r="H2893" s="6"/>
      <c r="AD2893" s="5">
        <v>45047.0</v>
      </c>
      <c r="AE2893" s="6">
        <v>0.4583333333333333</v>
      </c>
      <c r="AF2893" s="7">
        <v>64985.7</v>
      </c>
    </row>
    <row r="2894">
      <c r="G2894" s="5"/>
      <c r="H2894" s="6"/>
      <c r="AD2894" s="5">
        <v>45047.0</v>
      </c>
      <c r="AE2894" s="6">
        <v>0.5</v>
      </c>
      <c r="AF2894" s="7">
        <v>66278.16</v>
      </c>
    </row>
    <row r="2895">
      <c r="G2895" s="5"/>
      <c r="H2895" s="6"/>
      <c r="AD2895" s="5">
        <v>45047.0</v>
      </c>
      <c r="AE2895" s="6">
        <v>0.5416666666666666</v>
      </c>
      <c r="AF2895" s="7">
        <v>63238.5</v>
      </c>
    </row>
    <row r="2896">
      <c r="G2896" s="9"/>
      <c r="H2896" s="6"/>
      <c r="AD2896" s="5">
        <v>45047.0</v>
      </c>
      <c r="AE2896" s="6">
        <v>0.5833333333333334</v>
      </c>
      <c r="AF2896" s="7">
        <v>55688.88</v>
      </c>
    </row>
    <row r="2897">
      <c r="G2897" s="9"/>
      <c r="H2897" s="6"/>
      <c r="AD2897" s="5">
        <v>45047.0</v>
      </c>
      <c r="AE2897" s="6">
        <v>0.625</v>
      </c>
      <c r="AF2897" s="7">
        <v>44895.24</v>
      </c>
    </row>
    <row r="2898">
      <c r="G2898" s="9"/>
      <c r="H2898" s="6"/>
      <c r="AD2898" s="5">
        <v>45047.0</v>
      </c>
      <c r="AE2898" s="6">
        <v>0.6666666666666666</v>
      </c>
      <c r="AF2898" s="7">
        <v>30107.22</v>
      </c>
    </row>
    <row r="2899">
      <c r="G2899" s="9"/>
      <c r="H2899" s="6"/>
      <c r="AD2899" s="5">
        <v>45047.0</v>
      </c>
      <c r="AE2899" s="6">
        <v>0.7083333333333334</v>
      </c>
      <c r="AF2899" s="7">
        <v>15351.96</v>
      </c>
    </row>
    <row r="2900">
      <c r="G2900" s="9"/>
      <c r="H2900" s="6"/>
      <c r="AD2900" s="5">
        <v>45047.0</v>
      </c>
      <c r="AE2900" s="6">
        <v>0.75</v>
      </c>
      <c r="AF2900" s="7">
        <v>2501.46</v>
      </c>
    </row>
    <row r="2901">
      <c r="G2901" s="9"/>
      <c r="H2901" s="6"/>
      <c r="AD2901" s="5">
        <v>45047.0</v>
      </c>
      <c r="AE2901" s="6">
        <v>0.7916666666666666</v>
      </c>
      <c r="AF2901" s="7">
        <v>0.0</v>
      </c>
    </row>
    <row r="2902">
      <c r="G2902" s="9"/>
      <c r="H2902" s="6"/>
      <c r="AD2902" s="5">
        <v>45047.0</v>
      </c>
      <c r="AE2902" s="6">
        <v>0.8333333333333334</v>
      </c>
      <c r="AF2902" s="7">
        <v>0.0</v>
      </c>
    </row>
    <row r="2903">
      <c r="G2903" s="9"/>
      <c r="H2903" s="6"/>
      <c r="AD2903" s="5">
        <v>45047.0</v>
      </c>
      <c r="AE2903" s="6">
        <v>0.875</v>
      </c>
      <c r="AF2903" s="7">
        <v>0.0</v>
      </c>
    </row>
    <row r="2904">
      <c r="G2904" s="9"/>
      <c r="H2904" s="6"/>
      <c r="AD2904" s="5">
        <v>45047.0</v>
      </c>
      <c r="AE2904" s="6">
        <v>0.9166666666666666</v>
      </c>
      <c r="AF2904" s="7">
        <v>0.0</v>
      </c>
    </row>
    <row r="2905">
      <c r="G2905" s="9"/>
      <c r="H2905" s="6"/>
      <c r="AD2905" s="5">
        <v>45047.0</v>
      </c>
      <c r="AE2905" s="6">
        <v>0.9583333333333334</v>
      </c>
      <c r="AF2905" s="7">
        <v>0.0</v>
      </c>
    </row>
    <row r="2906">
      <c r="G2906" s="9"/>
      <c r="H2906" s="6"/>
      <c r="AD2906" s="5">
        <v>45048.0</v>
      </c>
      <c r="AE2906" s="6">
        <v>0.0</v>
      </c>
      <c r="AF2906" s="7">
        <v>0.0</v>
      </c>
    </row>
    <row r="2907">
      <c r="G2907" s="9"/>
      <c r="H2907" s="6"/>
      <c r="AD2907" s="5">
        <v>45048.0</v>
      </c>
      <c r="AE2907" s="6">
        <v>0.041666666666666664</v>
      </c>
      <c r="AF2907" s="7">
        <v>0.0</v>
      </c>
    </row>
    <row r="2908">
      <c r="G2908" s="9"/>
      <c r="H2908" s="6"/>
      <c r="AD2908" s="5">
        <v>45048.0</v>
      </c>
      <c r="AE2908" s="6">
        <v>0.08333333333333333</v>
      </c>
      <c r="AF2908" s="7">
        <v>0.0</v>
      </c>
    </row>
    <row r="2909">
      <c r="G2909" s="9"/>
      <c r="H2909" s="6"/>
      <c r="AD2909" s="5">
        <v>45048.0</v>
      </c>
      <c r="AE2909" s="6">
        <v>0.125</v>
      </c>
      <c r="AF2909" s="7">
        <v>0.0</v>
      </c>
    </row>
    <row r="2910">
      <c r="G2910" s="9"/>
      <c r="H2910" s="6"/>
      <c r="AD2910" s="5">
        <v>45048.0</v>
      </c>
      <c r="AE2910" s="6">
        <v>0.16666666666666666</v>
      </c>
      <c r="AF2910" s="7">
        <v>0.0</v>
      </c>
    </row>
    <row r="2911">
      <c r="G2911" s="9"/>
      <c r="H2911" s="6"/>
      <c r="AD2911" s="5">
        <v>45048.0</v>
      </c>
      <c r="AE2911" s="6">
        <v>0.20833333333333334</v>
      </c>
      <c r="AF2911" s="7">
        <v>0.0</v>
      </c>
    </row>
    <row r="2912">
      <c r="G2912" s="9"/>
      <c r="H2912" s="6"/>
      <c r="AD2912" s="5">
        <v>45048.0</v>
      </c>
      <c r="AE2912" s="6">
        <v>0.25</v>
      </c>
      <c r="AF2912" s="7">
        <v>6288.36</v>
      </c>
    </row>
    <row r="2913">
      <c r="G2913" s="5"/>
      <c r="H2913" s="6"/>
      <c r="AD2913" s="5">
        <v>45048.0</v>
      </c>
      <c r="AE2913" s="6">
        <v>0.2916666666666667</v>
      </c>
      <c r="AF2913" s="7">
        <v>0.0</v>
      </c>
    </row>
    <row r="2914">
      <c r="G2914" s="5"/>
      <c r="H2914" s="6"/>
      <c r="AD2914" s="5">
        <v>45048.0</v>
      </c>
      <c r="AE2914" s="6">
        <v>0.3333333333333333</v>
      </c>
      <c r="AF2914" s="7">
        <v>37365.9</v>
      </c>
    </row>
    <row r="2915">
      <c r="G2915" s="5"/>
      <c r="H2915" s="6"/>
      <c r="AD2915" s="5">
        <v>45048.0</v>
      </c>
      <c r="AE2915" s="6">
        <v>0.375</v>
      </c>
      <c r="AF2915" s="7">
        <v>50038.56</v>
      </c>
    </row>
    <row r="2916">
      <c r="G2916" s="5"/>
      <c r="H2916" s="6"/>
      <c r="AD2916" s="5">
        <v>45048.0</v>
      </c>
      <c r="AE2916" s="6">
        <v>0.4166666666666667</v>
      </c>
      <c r="AF2916" s="7">
        <v>58542.9</v>
      </c>
    </row>
    <row r="2917">
      <c r="G2917" s="5"/>
      <c r="H2917" s="6"/>
      <c r="AD2917" s="5">
        <v>45048.0</v>
      </c>
      <c r="AE2917" s="6">
        <v>0.4583333333333333</v>
      </c>
      <c r="AF2917" s="7">
        <v>62338.38</v>
      </c>
    </row>
    <row r="2918">
      <c r="G2918" s="9"/>
      <c r="H2918" s="6"/>
      <c r="AD2918" s="5">
        <v>45048.0</v>
      </c>
      <c r="AE2918" s="6">
        <v>0.5</v>
      </c>
      <c r="AF2918" s="7">
        <v>62838.36</v>
      </c>
    </row>
    <row r="2919">
      <c r="G2919" s="9"/>
      <c r="H2919" s="6"/>
      <c r="AD2919" s="5">
        <v>45048.0</v>
      </c>
      <c r="AE2919" s="6">
        <v>0.5416666666666666</v>
      </c>
      <c r="AF2919" s="7">
        <v>58815.9</v>
      </c>
    </row>
    <row r="2920">
      <c r="G2920" s="9"/>
      <c r="H2920" s="6"/>
      <c r="AD2920" s="5">
        <v>45048.0</v>
      </c>
      <c r="AE2920" s="6">
        <v>0.5833333333333334</v>
      </c>
      <c r="AF2920" s="7">
        <v>52273.26</v>
      </c>
    </row>
    <row r="2921">
      <c r="G2921" s="9"/>
      <c r="H2921" s="6"/>
      <c r="AD2921" s="5">
        <v>45048.0</v>
      </c>
      <c r="AE2921" s="6">
        <v>0.625</v>
      </c>
      <c r="AF2921" s="7">
        <v>42967.86</v>
      </c>
    </row>
    <row r="2922">
      <c r="G2922" s="9"/>
      <c r="H2922" s="6"/>
      <c r="AD2922" s="5">
        <v>45048.0</v>
      </c>
      <c r="AE2922" s="6">
        <v>0.6666666666666666</v>
      </c>
      <c r="AF2922" s="7">
        <v>30246.06</v>
      </c>
    </row>
    <row r="2923">
      <c r="G2923" s="9"/>
      <c r="H2923" s="6"/>
      <c r="AD2923" s="5">
        <v>45048.0</v>
      </c>
      <c r="AE2923" s="6">
        <v>0.7083333333333334</v>
      </c>
      <c r="AF2923" s="7">
        <v>15451.02</v>
      </c>
    </row>
    <row r="2924">
      <c r="G2924" s="9"/>
      <c r="H2924" s="6"/>
      <c r="AD2924" s="5">
        <v>45048.0</v>
      </c>
      <c r="AE2924" s="6">
        <v>0.75</v>
      </c>
      <c r="AF2924" s="7">
        <v>2384.46</v>
      </c>
    </row>
    <row r="2925">
      <c r="G2925" s="5"/>
      <c r="H2925" s="6"/>
      <c r="AD2925" s="5">
        <v>45048.0</v>
      </c>
      <c r="AE2925" s="6">
        <v>0.7916666666666666</v>
      </c>
      <c r="AF2925" s="7">
        <v>0.0</v>
      </c>
    </row>
    <row r="2926">
      <c r="G2926" s="5"/>
      <c r="H2926" s="6"/>
      <c r="AD2926" s="5">
        <v>45048.0</v>
      </c>
      <c r="AE2926" s="6">
        <v>0.8333333333333334</v>
      </c>
      <c r="AF2926" s="7">
        <v>0.0</v>
      </c>
    </row>
    <row r="2927">
      <c r="G2927" s="5"/>
      <c r="H2927" s="6"/>
      <c r="AD2927" s="5">
        <v>45048.0</v>
      </c>
      <c r="AE2927" s="6">
        <v>0.875</v>
      </c>
      <c r="AF2927" s="7">
        <v>0.0</v>
      </c>
    </row>
    <row r="2928">
      <c r="G2928" s="9"/>
      <c r="H2928" s="6"/>
      <c r="AD2928" s="5">
        <v>45048.0</v>
      </c>
      <c r="AE2928" s="6">
        <v>0.9166666666666666</v>
      </c>
      <c r="AF2928" s="7">
        <v>0.0</v>
      </c>
    </row>
    <row r="2929">
      <c r="G2929" s="9"/>
      <c r="H2929" s="6"/>
      <c r="AD2929" s="5">
        <v>45048.0</v>
      </c>
      <c r="AE2929" s="6">
        <v>0.9583333333333334</v>
      </c>
      <c r="AF2929" s="7">
        <v>0.0</v>
      </c>
    </row>
    <row r="2930">
      <c r="G2930" s="9"/>
      <c r="H2930" s="6"/>
      <c r="AD2930" s="5">
        <v>45049.0</v>
      </c>
      <c r="AE2930" s="6">
        <v>0.0</v>
      </c>
      <c r="AF2930" s="7">
        <v>0.0</v>
      </c>
    </row>
    <row r="2931">
      <c r="G2931" s="9"/>
      <c r="H2931" s="6"/>
      <c r="AD2931" s="5">
        <v>45049.0</v>
      </c>
      <c r="AE2931" s="6">
        <v>0.041666666666666664</v>
      </c>
      <c r="AF2931" s="7">
        <v>0.0</v>
      </c>
    </row>
    <row r="2932">
      <c r="G2932" s="9"/>
      <c r="H2932" s="6"/>
      <c r="AD2932" s="5">
        <v>45049.0</v>
      </c>
      <c r="AE2932" s="6">
        <v>0.08333333333333333</v>
      </c>
      <c r="AF2932" s="7">
        <v>0.0</v>
      </c>
    </row>
    <row r="2933">
      <c r="G2933" s="9"/>
      <c r="H2933" s="6"/>
      <c r="AD2933" s="5">
        <v>45049.0</v>
      </c>
      <c r="AE2933" s="6">
        <v>0.125</v>
      </c>
      <c r="AF2933" s="7">
        <v>0.0</v>
      </c>
    </row>
    <row r="2934">
      <c r="G2934" s="9"/>
      <c r="H2934" s="6"/>
      <c r="AD2934" s="5">
        <v>45049.0</v>
      </c>
      <c r="AE2934" s="6">
        <v>0.16666666666666666</v>
      </c>
      <c r="AF2934" s="7">
        <v>0.0</v>
      </c>
    </row>
    <row r="2935">
      <c r="G2935" s="9"/>
      <c r="H2935" s="6"/>
      <c r="AD2935" s="5">
        <v>45049.0</v>
      </c>
      <c r="AE2935" s="6">
        <v>0.20833333333333334</v>
      </c>
      <c r="AF2935" s="7">
        <v>0.0</v>
      </c>
    </row>
    <row r="2936">
      <c r="G2936" s="9"/>
      <c r="H2936" s="6"/>
      <c r="AD2936" s="5">
        <v>45049.0</v>
      </c>
      <c r="AE2936" s="6">
        <v>0.25</v>
      </c>
      <c r="AF2936" s="7">
        <v>6112.08</v>
      </c>
    </row>
    <row r="2937">
      <c r="G2937" s="9"/>
      <c r="H2937" s="6"/>
      <c r="AD2937" s="5">
        <v>45049.0</v>
      </c>
      <c r="AE2937" s="6">
        <v>0.2916666666666667</v>
      </c>
      <c r="AF2937" s="7">
        <v>20233.2</v>
      </c>
    </row>
    <row r="2938">
      <c r="G2938" s="9"/>
      <c r="H2938" s="6"/>
      <c r="AD2938" s="5">
        <v>45049.0</v>
      </c>
      <c r="AE2938" s="6">
        <v>0.3333333333333333</v>
      </c>
      <c r="AF2938" s="7">
        <v>29625.18</v>
      </c>
    </row>
    <row r="2939">
      <c r="G2939" s="9"/>
      <c r="H2939" s="6"/>
      <c r="AD2939" s="5">
        <v>45049.0</v>
      </c>
      <c r="AE2939" s="6">
        <v>0.375</v>
      </c>
      <c r="AF2939" s="7">
        <v>49246.86</v>
      </c>
    </row>
    <row r="2940">
      <c r="G2940" s="9"/>
      <c r="H2940" s="6"/>
      <c r="AD2940" s="5">
        <v>45049.0</v>
      </c>
      <c r="AE2940" s="6">
        <v>0.4166666666666667</v>
      </c>
      <c r="AF2940" s="7">
        <v>55615.56</v>
      </c>
    </row>
    <row r="2941">
      <c r="G2941" s="5"/>
      <c r="H2941" s="6"/>
      <c r="AD2941" s="5">
        <v>45049.0</v>
      </c>
      <c r="AE2941" s="6">
        <v>0.4583333333333333</v>
      </c>
      <c r="AF2941" s="7">
        <v>61015.5</v>
      </c>
    </row>
    <row r="2942">
      <c r="G2942" s="5"/>
      <c r="H2942" s="6"/>
      <c r="AD2942" s="5">
        <v>45049.0</v>
      </c>
      <c r="AE2942" s="6">
        <v>0.5</v>
      </c>
      <c r="AF2942" s="7">
        <v>61921.86</v>
      </c>
    </row>
    <row r="2943">
      <c r="G2943" s="5"/>
      <c r="H2943" s="6"/>
      <c r="AD2943" s="5">
        <v>45049.0</v>
      </c>
      <c r="AE2943" s="6">
        <v>0.5416666666666666</v>
      </c>
      <c r="AF2943" s="7">
        <v>56943.12</v>
      </c>
    </row>
    <row r="2944">
      <c r="G2944" s="5"/>
      <c r="H2944" s="6"/>
      <c r="AD2944" s="5">
        <v>45049.0</v>
      </c>
      <c r="AE2944" s="6">
        <v>0.5833333333333334</v>
      </c>
      <c r="AF2944" s="7">
        <v>44162.04</v>
      </c>
    </row>
    <row r="2945">
      <c r="G2945" s="5"/>
      <c r="H2945" s="6"/>
      <c r="AD2945" s="5">
        <v>45049.0</v>
      </c>
      <c r="AE2945" s="6">
        <v>0.625</v>
      </c>
      <c r="AF2945" s="7">
        <v>29842.8</v>
      </c>
    </row>
    <row r="2946">
      <c r="G2946" s="9"/>
      <c r="H2946" s="6"/>
      <c r="AD2946" s="5">
        <v>45049.0</v>
      </c>
      <c r="AE2946" s="6">
        <v>0.6666666666666666</v>
      </c>
      <c r="AF2946" s="7">
        <v>18143.58</v>
      </c>
    </row>
    <row r="2947">
      <c r="G2947" s="9"/>
      <c r="H2947" s="6"/>
      <c r="AD2947" s="5">
        <v>45049.0</v>
      </c>
      <c r="AE2947" s="6">
        <v>0.7083333333333334</v>
      </c>
      <c r="AF2947" s="7">
        <v>9269.52</v>
      </c>
    </row>
    <row r="2948">
      <c r="G2948" s="9"/>
      <c r="H2948" s="6"/>
      <c r="AD2948" s="5">
        <v>45049.0</v>
      </c>
      <c r="AE2948" s="6">
        <v>0.75</v>
      </c>
      <c r="AF2948" s="7">
        <v>1775.28</v>
      </c>
    </row>
    <row r="2949">
      <c r="G2949" s="9"/>
      <c r="H2949" s="6"/>
      <c r="AD2949" s="5">
        <v>45049.0</v>
      </c>
      <c r="AE2949" s="6">
        <v>0.7916666666666666</v>
      </c>
      <c r="AF2949" s="7">
        <v>0.0</v>
      </c>
    </row>
    <row r="2950">
      <c r="G2950" s="9"/>
      <c r="H2950" s="6"/>
      <c r="AD2950" s="5">
        <v>45049.0</v>
      </c>
      <c r="AE2950" s="6">
        <v>0.8333333333333334</v>
      </c>
      <c r="AF2950" s="7">
        <v>0.0</v>
      </c>
    </row>
    <row r="2951">
      <c r="G2951" s="9"/>
      <c r="H2951" s="6"/>
      <c r="AD2951" s="5">
        <v>45049.0</v>
      </c>
      <c r="AE2951" s="6">
        <v>0.875</v>
      </c>
      <c r="AF2951" s="7">
        <v>0.0</v>
      </c>
    </row>
    <row r="2952">
      <c r="G2952" s="9"/>
      <c r="H2952" s="6"/>
      <c r="AD2952" s="5">
        <v>45049.0</v>
      </c>
      <c r="AE2952" s="6">
        <v>0.9166666666666666</v>
      </c>
      <c r="AF2952" s="7">
        <v>0.0</v>
      </c>
    </row>
    <row r="2953">
      <c r="G2953" s="9"/>
      <c r="H2953" s="6"/>
      <c r="AD2953" s="5">
        <v>45049.0</v>
      </c>
      <c r="AE2953" s="6">
        <v>0.9583333333333334</v>
      </c>
      <c r="AF2953" s="7">
        <v>0.0</v>
      </c>
    </row>
    <row r="2954">
      <c r="G2954" s="9"/>
      <c r="H2954" s="6"/>
      <c r="AD2954" s="5">
        <v>45050.0</v>
      </c>
      <c r="AE2954" s="6">
        <v>0.0</v>
      </c>
      <c r="AF2954" s="7">
        <v>0.0</v>
      </c>
    </row>
    <row r="2955">
      <c r="G2955" s="9"/>
      <c r="H2955" s="6"/>
      <c r="AD2955" s="5">
        <v>45050.0</v>
      </c>
      <c r="AE2955" s="6">
        <v>0.041666666666666664</v>
      </c>
      <c r="AF2955" s="7">
        <v>0.0</v>
      </c>
    </row>
    <row r="2956">
      <c r="G2956" s="5"/>
      <c r="H2956" s="6"/>
      <c r="AD2956" s="5">
        <v>45050.0</v>
      </c>
      <c r="AE2956" s="6">
        <v>0.08333333333333333</v>
      </c>
      <c r="AF2956" s="7">
        <v>0.0</v>
      </c>
    </row>
    <row r="2957">
      <c r="G2957" s="5"/>
      <c r="H2957" s="6"/>
      <c r="AD2957" s="5">
        <v>45050.0</v>
      </c>
      <c r="AE2957" s="6">
        <v>0.125</v>
      </c>
      <c r="AF2957" s="7">
        <v>0.0</v>
      </c>
    </row>
    <row r="2958">
      <c r="G2958" s="5"/>
      <c r="H2958" s="6"/>
      <c r="AD2958" s="5">
        <v>45050.0</v>
      </c>
      <c r="AE2958" s="6">
        <v>0.16666666666666666</v>
      </c>
      <c r="AF2958" s="7">
        <v>0.0</v>
      </c>
    </row>
    <row r="2959">
      <c r="G2959" s="5"/>
      <c r="H2959" s="6"/>
      <c r="AD2959" s="5">
        <v>45050.0</v>
      </c>
      <c r="AE2959" s="6">
        <v>0.20833333333333334</v>
      </c>
      <c r="AF2959" s="7">
        <v>0.0</v>
      </c>
    </row>
    <row r="2960">
      <c r="G2960" s="5"/>
      <c r="H2960" s="6"/>
      <c r="AD2960" s="5">
        <v>45050.0</v>
      </c>
      <c r="AE2960" s="6">
        <v>0.25</v>
      </c>
      <c r="AF2960" s="7">
        <v>6154.2</v>
      </c>
    </row>
    <row r="2961">
      <c r="G2961" s="5"/>
      <c r="H2961" s="6"/>
      <c r="AD2961" s="5">
        <v>45050.0</v>
      </c>
      <c r="AE2961" s="6">
        <v>0.2916666666666667</v>
      </c>
      <c r="AF2961" s="7">
        <v>21268.26</v>
      </c>
    </row>
    <row r="2962">
      <c r="G2962" s="5"/>
      <c r="H2962" s="6"/>
      <c r="AD2962" s="5">
        <v>45050.0</v>
      </c>
      <c r="AE2962" s="6">
        <v>0.3333333333333333</v>
      </c>
      <c r="AF2962" s="7">
        <v>34858.2</v>
      </c>
    </row>
    <row r="2963">
      <c r="G2963" s="5"/>
      <c r="H2963" s="6"/>
      <c r="AD2963" s="5">
        <v>45050.0</v>
      </c>
      <c r="AE2963" s="6">
        <v>0.375</v>
      </c>
      <c r="AF2963" s="7">
        <v>46677.54</v>
      </c>
    </row>
    <row r="2964">
      <c r="G2964" s="9"/>
      <c r="H2964" s="6"/>
      <c r="AD2964" s="5">
        <v>45050.0</v>
      </c>
      <c r="AE2964" s="6">
        <v>0.4166666666666667</v>
      </c>
      <c r="AF2964" s="7">
        <v>48181.38</v>
      </c>
    </row>
    <row r="2965">
      <c r="G2965" s="9"/>
      <c r="H2965" s="6"/>
      <c r="AD2965" s="5">
        <v>45050.0</v>
      </c>
      <c r="AE2965" s="6">
        <v>0.4583333333333333</v>
      </c>
      <c r="AF2965" s="7">
        <v>49757.76</v>
      </c>
    </row>
    <row r="2966">
      <c r="G2966" s="9"/>
      <c r="H2966" s="6"/>
      <c r="AD2966" s="5">
        <v>45050.0</v>
      </c>
      <c r="AE2966" s="6">
        <v>0.5</v>
      </c>
      <c r="AF2966" s="7">
        <v>49243.74</v>
      </c>
    </row>
    <row r="2967">
      <c r="G2967" s="9"/>
      <c r="H2967" s="6"/>
      <c r="AD2967" s="5">
        <v>45050.0</v>
      </c>
      <c r="AE2967" s="6">
        <v>0.5416666666666666</v>
      </c>
      <c r="AF2967" s="7">
        <v>29288.22</v>
      </c>
    </row>
    <row r="2968">
      <c r="G2968" s="9"/>
      <c r="H2968" s="6"/>
      <c r="AD2968" s="5">
        <v>45050.0</v>
      </c>
      <c r="AE2968" s="6">
        <v>0.5833333333333334</v>
      </c>
      <c r="AF2968" s="7">
        <v>27178.32</v>
      </c>
    </row>
    <row r="2969">
      <c r="G2969" s="9"/>
      <c r="H2969" s="6"/>
      <c r="AD2969" s="5">
        <v>45050.0</v>
      </c>
      <c r="AE2969" s="6">
        <v>0.625</v>
      </c>
      <c r="AF2969" s="7">
        <v>40615.38</v>
      </c>
    </row>
    <row r="2970">
      <c r="G2970" s="5"/>
      <c r="H2970" s="6"/>
      <c r="AD2970" s="5">
        <v>45050.0</v>
      </c>
      <c r="AE2970" s="6">
        <v>0.6666666666666666</v>
      </c>
      <c r="AF2970" s="7">
        <v>28910.7</v>
      </c>
    </row>
    <row r="2971">
      <c r="G2971" s="5"/>
      <c r="H2971" s="6"/>
      <c r="AD2971" s="5">
        <v>45050.0</v>
      </c>
      <c r="AE2971" s="6">
        <v>0.7083333333333334</v>
      </c>
      <c r="AF2971" s="7">
        <v>14571.18</v>
      </c>
    </row>
    <row r="2972">
      <c r="G2972" s="5"/>
      <c r="H2972" s="6"/>
      <c r="AD2972" s="5">
        <v>45050.0</v>
      </c>
      <c r="AE2972" s="6">
        <v>0.75</v>
      </c>
      <c r="AF2972" s="7">
        <v>2476.5</v>
      </c>
    </row>
    <row r="2973">
      <c r="G2973" s="5"/>
      <c r="H2973" s="6"/>
      <c r="AD2973" s="5">
        <v>45050.0</v>
      </c>
      <c r="AE2973" s="6">
        <v>0.7916666666666666</v>
      </c>
      <c r="AF2973" s="7">
        <v>0.0</v>
      </c>
    </row>
    <row r="2974">
      <c r="G2974" s="9"/>
      <c r="H2974" s="6"/>
      <c r="AD2974" s="5">
        <v>45050.0</v>
      </c>
      <c r="AE2974" s="6">
        <v>0.8333333333333334</v>
      </c>
      <c r="AF2974" s="7">
        <v>0.0</v>
      </c>
    </row>
    <row r="2975">
      <c r="G2975" s="9"/>
      <c r="H2975" s="6"/>
      <c r="AD2975" s="5">
        <v>45050.0</v>
      </c>
      <c r="AE2975" s="6">
        <v>0.875</v>
      </c>
      <c r="AF2975" s="7">
        <v>0.0</v>
      </c>
    </row>
    <row r="2976">
      <c r="G2976" s="9"/>
      <c r="H2976" s="6"/>
      <c r="AD2976" s="5">
        <v>45050.0</v>
      </c>
      <c r="AE2976" s="6">
        <v>0.9166666666666666</v>
      </c>
      <c r="AF2976" s="7">
        <v>0.0</v>
      </c>
    </row>
    <row r="2977">
      <c r="G2977" s="9"/>
      <c r="H2977" s="6"/>
      <c r="AD2977" s="5">
        <v>45050.0</v>
      </c>
      <c r="AE2977" s="6">
        <v>0.9583333333333334</v>
      </c>
      <c r="AF2977" s="7">
        <v>0.0</v>
      </c>
    </row>
    <row r="2978">
      <c r="G2978" s="9"/>
      <c r="H2978" s="6"/>
      <c r="AD2978" s="5">
        <v>45051.0</v>
      </c>
      <c r="AE2978" s="6">
        <v>0.0</v>
      </c>
      <c r="AF2978" s="7">
        <v>0.0</v>
      </c>
    </row>
    <row r="2979">
      <c r="G2979" s="9"/>
      <c r="H2979" s="6"/>
      <c r="AD2979" s="5">
        <v>45051.0</v>
      </c>
      <c r="AE2979" s="6">
        <v>0.041666666666666664</v>
      </c>
      <c r="AF2979" s="7">
        <v>0.0</v>
      </c>
    </row>
    <row r="2980">
      <c r="G2980" s="9"/>
      <c r="H2980" s="6"/>
      <c r="AD2980" s="5">
        <v>45051.0</v>
      </c>
      <c r="AE2980" s="6">
        <v>0.08333333333333333</v>
      </c>
      <c r="AF2980" s="7">
        <v>0.0</v>
      </c>
    </row>
    <row r="2981">
      <c r="G2981" s="9"/>
      <c r="H2981" s="6"/>
      <c r="AD2981" s="5">
        <v>45051.0</v>
      </c>
      <c r="AE2981" s="6">
        <v>0.125</v>
      </c>
      <c r="AF2981" s="7">
        <v>0.0</v>
      </c>
    </row>
    <row r="2982">
      <c r="G2982" s="9"/>
      <c r="H2982" s="6"/>
      <c r="AD2982" s="5">
        <v>45051.0</v>
      </c>
      <c r="AE2982" s="6">
        <v>0.16666666666666666</v>
      </c>
      <c r="AF2982" s="7">
        <v>0.0</v>
      </c>
    </row>
    <row r="2983">
      <c r="G2983" s="9"/>
      <c r="H2983" s="6"/>
      <c r="AD2983" s="5">
        <v>45051.0</v>
      </c>
      <c r="AE2983" s="6">
        <v>0.20833333333333334</v>
      </c>
      <c r="AF2983" s="7">
        <v>0.0</v>
      </c>
    </row>
    <row r="2984">
      <c r="G2984" s="9"/>
      <c r="H2984" s="6"/>
      <c r="AD2984" s="5">
        <v>45051.0</v>
      </c>
      <c r="AE2984" s="6">
        <v>0.25</v>
      </c>
      <c r="AF2984" s="7">
        <v>6233.76</v>
      </c>
    </row>
    <row r="2985">
      <c r="G2985" s="9"/>
      <c r="H2985" s="6"/>
      <c r="AD2985" s="5">
        <v>45051.0</v>
      </c>
      <c r="AE2985" s="6">
        <v>0.2916666666666667</v>
      </c>
      <c r="AF2985" s="7">
        <v>18822.96</v>
      </c>
    </row>
    <row r="2986">
      <c r="G2986" s="5"/>
      <c r="H2986" s="6"/>
      <c r="AD2986" s="5">
        <v>45051.0</v>
      </c>
      <c r="AE2986" s="6">
        <v>0.3333333333333333</v>
      </c>
      <c r="AF2986" s="7">
        <v>33167.16</v>
      </c>
    </row>
    <row r="2987">
      <c r="G2987" s="5"/>
      <c r="H2987" s="6"/>
      <c r="AD2987" s="5">
        <v>45051.0</v>
      </c>
      <c r="AE2987" s="6">
        <v>0.375</v>
      </c>
      <c r="AF2987" s="7">
        <v>45671.34</v>
      </c>
    </row>
    <row r="2988">
      <c r="G2988" s="5"/>
      <c r="H2988" s="6"/>
      <c r="AD2988" s="5">
        <v>45051.0</v>
      </c>
      <c r="AE2988" s="6">
        <v>0.4166666666666667</v>
      </c>
      <c r="AF2988" s="7">
        <v>54018.9</v>
      </c>
    </row>
    <row r="2989">
      <c r="G2989" s="5"/>
      <c r="H2989" s="6"/>
      <c r="AD2989" s="5">
        <v>45051.0</v>
      </c>
      <c r="AE2989" s="6">
        <v>0.4583333333333333</v>
      </c>
      <c r="AF2989" s="7">
        <v>57997.68</v>
      </c>
    </row>
    <row r="2990">
      <c r="G2990" s="5"/>
      <c r="H2990" s="6"/>
      <c r="AD2990" s="5">
        <v>45051.0</v>
      </c>
      <c r="AE2990" s="6">
        <v>0.5</v>
      </c>
      <c r="AF2990" s="7">
        <v>57444.66</v>
      </c>
    </row>
    <row r="2991">
      <c r="G2991" s="9"/>
      <c r="H2991" s="6"/>
      <c r="AD2991" s="5">
        <v>45051.0</v>
      </c>
      <c r="AE2991" s="6">
        <v>0.5416666666666666</v>
      </c>
      <c r="AF2991" s="7">
        <v>54130.44</v>
      </c>
    </row>
    <row r="2992">
      <c r="G2992" s="9"/>
      <c r="H2992" s="6"/>
      <c r="AD2992" s="5">
        <v>45051.0</v>
      </c>
      <c r="AE2992" s="6">
        <v>0.5833333333333334</v>
      </c>
      <c r="AF2992" s="7">
        <v>45349.98</v>
      </c>
    </row>
    <row r="2993">
      <c r="G2993" s="9"/>
      <c r="H2993" s="6"/>
      <c r="AD2993" s="5">
        <v>45051.0</v>
      </c>
      <c r="AE2993" s="6">
        <v>0.625</v>
      </c>
      <c r="AF2993" s="7">
        <v>35464.26</v>
      </c>
    </row>
    <row r="2994">
      <c r="G2994" s="9"/>
      <c r="H2994" s="6"/>
      <c r="AD2994" s="5">
        <v>45051.0</v>
      </c>
      <c r="AE2994" s="6">
        <v>0.6666666666666666</v>
      </c>
      <c r="AF2994" s="7">
        <v>19373.64</v>
      </c>
    </row>
    <row r="2995">
      <c r="G2995" s="9"/>
      <c r="H2995" s="6"/>
      <c r="AD2995" s="5">
        <v>45051.0</v>
      </c>
      <c r="AE2995" s="6">
        <v>0.7083333333333334</v>
      </c>
      <c r="AF2995" s="7">
        <v>9759.36</v>
      </c>
    </row>
    <row r="2996">
      <c r="G2996" s="9"/>
      <c r="H2996" s="6"/>
      <c r="AD2996" s="5">
        <v>45051.0</v>
      </c>
      <c r="AE2996" s="6">
        <v>0.75</v>
      </c>
      <c r="AF2996" s="7">
        <v>2571.66</v>
      </c>
    </row>
    <row r="2997">
      <c r="G2997" s="9"/>
      <c r="H2997" s="6"/>
      <c r="AD2997" s="5">
        <v>45051.0</v>
      </c>
      <c r="AE2997" s="6">
        <v>0.7916666666666666</v>
      </c>
      <c r="AF2997" s="7">
        <v>0.0</v>
      </c>
    </row>
    <row r="2998">
      <c r="G2998" s="5"/>
      <c r="H2998" s="6"/>
      <c r="AD2998" s="5">
        <v>45051.0</v>
      </c>
      <c r="AE2998" s="6">
        <v>0.8333333333333334</v>
      </c>
      <c r="AF2998" s="7">
        <v>0.0</v>
      </c>
    </row>
    <row r="2999">
      <c r="G2999" s="5"/>
      <c r="H2999" s="6"/>
      <c r="AD2999" s="5">
        <v>45051.0</v>
      </c>
      <c r="AE2999" s="6">
        <v>0.875</v>
      </c>
      <c r="AF2999" s="7">
        <v>0.0</v>
      </c>
    </row>
    <row r="3000">
      <c r="G3000" s="5"/>
      <c r="H3000" s="6"/>
      <c r="AD3000" s="5">
        <v>45051.0</v>
      </c>
      <c r="AE3000" s="6">
        <v>0.9166666666666666</v>
      </c>
      <c r="AF3000" s="7">
        <v>0.0</v>
      </c>
    </row>
    <row r="3001">
      <c r="G3001" s="5"/>
      <c r="H3001" s="6"/>
      <c r="AD3001" s="5">
        <v>45051.0</v>
      </c>
      <c r="AE3001" s="6">
        <v>0.9583333333333334</v>
      </c>
      <c r="AF3001" s="7">
        <v>0.0</v>
      </c>
    </row>
    <row r="3002">
      <c r="G3002" s="5"/>
      <c r="H3002" s="6"/>
      <c r="AD3002" s="5">
        <v>45052.0</v>
      </c>
      <c r="AE3002" s="6">
        <v>0.0</v>
      </c>
      <c r="AF3002" s="7">
        <v>0.0</v>
      </c>
    </row>
    <row r="3003">
      <c r="G3003" s="5"/>
      <c r="H3003" s="6"/>
      <c r="AD3003" s="5">
        <v>45052.0</v>
      </c>
      <c r="AE3003" s="6">
        <v>0.041666666666666664</v>
      </c>
      <c r="AF3003" s="7">
        <v>0.0</v>
      </c>
    </row>
    <row r="3004">
      <c r="G3004" s="5"/>
      <c r="H3004" s="6"/>
      <c r="AD3004" s="5">
        <v>45052.0</v>
      </c>
      <c r="AE3004" s="6">
        <v>0.08333333333333333</v>
      </c>
      <c r="AF3004" s="7">
        <v>0.0</v>
      </c>
    </row>
    <row r="3005">
      <c r="G3005" s="5"/>
      <c r="H3005" s="6"/>
      <c r="AD3005" s="5">
        <v>45052.0</v>
      </c>
      <c r="AE3005" s="6">
        <v>0.125</v>
      </c>
      <c r="AF3005" s="7">
        <v>0.0</v>
      </c>
    </row>
    <row r="3006">
      <c r="G3006" s="5"/>
      <c r="H3006" s="6"/>
      <c r="AD3006" s="5">
        <v>45052.0</v>
      </c>
      <c r="AE3006" s="6">
        <v>0.16666666666666666</v>
      </c>
      <c r="AF3006" s="7">
        <v>0.0</v>
      </c>
    </row>
    <row r="3007">
      <c r="G3007" s="5"/>
      <c r="H3007" s="6"/>
      <c r="AD3007" s="5">
        <v>45052.0</v>
      </c>
      <c r="AE3007" s="6">
        <v>0.20833333333333334</v>
      </c>
      <c r="AF3007" s="7">
        <v>0.0</v>
      </c>
    </row>
    <row r="3008">
      <c r="G3008" s="5"/>
      <c r="H3008" s="6"/>
      <c r="AD3008" s="5">
        <v>45052.0</v>
      </c>
      <c r="AE3008" s="6">
        <v>0.25</v>
      </c>
      <c r="AF3008" s="7">
        <v>6314.88</v>
      </c>
    </row>
    <row r="3009">
      <c r="G3009" s="5"/>
      <c r="H3009" s="6"/>
      <c r="AD3009" s="5">
        <v>45052.0</v>
      </c>
      <c r="AE3009" s="6">
        <v>0.2916666666666667</v>
      </c>
      <c r="AF3009" s="7">
        <v>21389.16</v>
      </c>
    </row>
    <row r="3010">
      <c r="G3010" s="9"/>
      <c r="H3010" s="6"/>
      <c r="AD3010" s="5">
        <v>45052.0</v>
      </c>
      <c r="AE3010" s="6">
        <v>0.3333333333333333</v>
      </c>
      <c r="AF3010" s="7">
        <v>36295.74</v>
      </c>
    </row>
    <row r="3011">
      <c r="G3011" s="9"/>
      <c r="H3011" s="6"/>
      <c r="AD3011" s="5">
        <v>45052.0</v>
      </c>
      <c r="AE3011" s="6">
        <v>0.375</v>
      </c>
      <c r="AF3011" s="7">
        <v>45552.0</v>
      </c>
    </row>
    <row r="3012">
      <c r="G3012" s="9"/>
      <c r="H3012" s="6"/>
      <c r="AD3012" s="5">
        <v>45052.0</v>
      </c>
      <c r="AE3012" s="6">
        <v>0.4166666666666667</v>
      </c>
      <c r="AF3012" s="7">
        <v>54565.68</v>
      </c>
    </row>
    <row r="3013">
      <c r="G3013" s="9"/>
      <c r="H3013" s="6"/>
      <c r="AD3013" s="5">
        <v>45052.0</v>
      </c>
      <c r="AE3013" s="6">
        <v>0.4583333333333333</v>
      </c>
      <c r="AF3013" s="7">
        <v>58758.96</v>
      </c>
    </row>
    <row r="3014">
      <c r="G3014" s="9"/>
      <c r="H3014" s="6"/>
      <c r="AD3014" s="5">
        <v>45052.0</v>
      </c>
      <c r="AE3014" s="6">
        <v>0.5</v>
      </c>
      <c r="AF3014" s="7">
        <v>56361.24</v>
      </c>
    </row>
    <row r="3015">
      <c r="G3015" s="9"/>
      <c r="H3015" s="6"/>
      <c r="AD3015" s="5">
        <v>45052.0</v>
      </c>
      <c r="AE3015" s="6">
        <v>0.5416666666666666</v>
      </c>
      <c r="AF3015" s="7">
        <v>56121.0</v>
      </c>
    </row>
    <row r="3016">
      <c r="G3016" s="9"/>
      <c r="H3016" s="6"/>
      <c r="AD3016" s="5">
        <v>45052.0</v>
      </c>
      <c r="AE3016" s="6">
        <v>0.5833333333333334</v>
      </c>
      <c r="AF3016" s="7">
        <v>15313.74</v>
      </c>
    </row>
    <row r="3017">
      <c r="G3017" s="9"/>
      <c r="H3017" s="6"/>
      <c r="AD3017" s="5">
        <v>45052.0</v>
      </c>
      <c r="AE3017" s="6">
        <v>0.625</v>
      </c>
      <c r="AF3017" s="7">
        <v>41960.88</v>
      </c>
    </row>
    <row r="3018">
      <c r="G3018" s="9"/>
      <c r="H3018" s="6"/>
      <c r="AD3018" s="5">
        <v>45052.0</v>
      </c>
      <c r="AE3018" s="6">
        <v>0.6666666666666666</v>
      </c>
      <c r="AF3018" s="7">
        <v>25844.52</v>
      </c>
    </row>
    <row r="3019">
      <c r="G3019" s="9"/>
      <c r="H3019" s="6"/>
      <c r="AD3019" s="5">
        <v>45052.0</v>
      </c>
      <c r="AE3019" s="6">
        <v>0.7083333333333334</v>
      </c>
      <c r="AF3019" s="7">
        <v>14514.24</v>
      </c>
    </row>
    <row r="3020">
      <c r="G3020" s="9"/>
      <c r="H3020" s="6"/>
      <c r="AD3020" s="5">
        <v>45052.0</v>
      </c>
      <c r="AE3020" s="6">
        <v>0.75</v>
      </c>
      <c r="AF3020" s="7">
        <v>2710.5</v>
      </c>
    </row>
    <row r="3021">
      <c r="G3021" s="9"/>
      <c r="H3021" s="6"/>
      <c r="AD3021" s="5">
        <v>45052.0</v>
      </c>
      <c r="AE3021" s="6">
        <v>0.7916666666666666</v>
      </c>
      <c r="AF3021" s="7">
        <v>0.0</v>
      </c>
    </row>
    <row r="3022">
      <c r="G3022" s="9"/>
      <c r="H3022" s="6"/>
      <c r="AD3022" s="5">
        <v>45052.0</v>
      </c>
      <c r="AE3022" s="6">
        <v>0.8333333333333334</v>
      </c>
      <c r="AF3022" s="7">
        <v>0.0</v>
      </c>
    </row>
    <row r="3023">
      <c r="G3023" s="5"/>
      <c r="H3023" s="6"/>
      <c r="AD3023" s="5">
        <v>45052.0</v>
      </c>
      <c r="AE3023" s="6">
        <v>0.875</v>
      </c>
      <c r="AF3023" s="7">
        <v>0.0</v>
      </c>
    </row>
    <row r="3024">
      <c r="G3024" s="5"/>
      <c r="H3024" s="6"/>
      <c r="AD3024" s="5">
        <v>45052.0</v>
      </c>
      <c r="AE3024" s="6">
        <v>0.9166666666666666</v>
      </c>
      <c r="AF3024" s="7">
        <v>0.0</v>
      </c>
    </row>
    <row r="3025">
      <c r="G3025" s="5"/>
      <c r="H3025" s="6"/>
      <c r="AD3025" s="5">
        <v>45052.0</v>
      </c>
      <c r="AE3025" s="6">
        <v>0.9583333333333334</v>
      </c>
      <c r="AF3025" s="7">
        <v>0.0</v>
      </c>
    </row>
    <row r="3026">
      <c r="G3026" s="5"/>
      <c r="H3026" s="6"/>
      <c r="AD3026" s="5">
        <v>45053.0</v>
      </c>
      <c r="AE3026" s="6">
        <v>0.0</v>
      </c>
      <c r="AF3026" s="7">
        <v>0.0</v>
      </c>
    </row>
    <row r="3027">
      <c r="G3027" s="5"/>
      <c r="H3027" s="6"/>
      <c r="AD3027" s="5">
        <v>45053.0</v>
      </c>
      <c r="AE3027" s="6">
        <v>0.041666666666666664</v>
      </c>
      <c r="AF3027" s="7">
        <v>0.0</v>
      </c>
    </row>
    <row r="3028">
      <c r="G3028" s="9"/>
      <c r="H3028" s="6"/>
      <c r="AD3028" s="5">
        <v>45053.0</v>
      </c>
      <c r="AE3028" s="6">
        <v>0.08333333333333333</v>
      </c>
      <c r="AF3028" s="7">
        <v>0.0</v>
      </c>
    </row>
    <row r="3029">
      <c r="G3029" s="9"/>
      <c r="H3029" s="6"/>
      <c r="AD3029" s="5">
        <v>45053.0</v>
      </c>
      <c r="AE3029" s="6">
        <v>0.125</v>
      </c>
      <c r="AF3029" s="7">
        <v>0.0</v>
      </c>
    </row>
    <row r="3030">
      <c r="G3030" s="9"/>
      <c r="H3030" s="6"/>
      <c r="AD3030" s="5">
        <v>45053.0</v>
      </c>
      <c r="AE3030" s="6">
        <v>0.16666666666666666</v>
      </c>
      <c r="AF3030" s="7">
        <v>0.0</v>
      </c>
    </row>
    <row r="3031">
      <c r="G3031" s="5"/>
      <c r="H3031" s="6"/>
      <c r="AD3031" s="5">
        <v>45053.0</v>
      </c>
      <c r="AE3031" s="6">
        <v>0.20833333333333334</v>
      </c>
      <c r="AF3031" s="7">
        <v>3.9</v>
      </c>
    </row>
    <row r="3032">
      <c r="G3032" s="5"/>
      <c r="H3032" s="6"/>
      <c r="AD3032" s="5">
        <v>45053.0</v>
      </c>
      <c r="AE3032" s="6">
        <v>0.25</v>
      </c>
      <c r="AF3032" s="7">
        <v>6536.4</v>
      </c>
    </row>
    <row r="3033">
      <c r="G3033" s="5"/>
      <c r="H3033" s="6"/>
      <c r="AD3033" s="5">
        <v>45053.0</v>
      </c>
      <c r="AE3033" s="6">
        <v>0.2916666666666667</v>
      </c>
      <c r="AF3033" s="7">
        <v>21550.62</v>
      </c>
    </row>
    <row r="3034">
      <c r="G3034" s="5"/>
      <c r="H3034" s="6"/>
      <c r="AD3034" s="5">
        <v>45053.0</v>
      </c>
      <c r="AE3034" s="6">
        <v>0.3333333333333333</v>
      </c>
      <c r="AF3034" s="7">
        <v>36468.9</v>
      </c>
    </row>
    <row r="3035">
      <c r="G3035" s="5"/>
      <c r="H3035" s="6"/>
      <c r="AD3035" s="5">
        <v>45053.0</v>
      </c>
      <c r="AE3035" s="6">
        <v>0.375</v>
      </c>
      <c r="AF3035" s="7">
        <v>42064.62</v>
      </c>
    </row>
    <row r="3036">
      <c r="G3036" s="5"/>
      <c r="H3036" s="6"/>
      <c r="AD3036" s="5">
        <v>45053.0</v>
      </c>
      <c r="AE3036" s="6">
        <v>0.4166666666666667</v>
      </c>
      <c r="AF3036" s="7">
        <v>48989.46</v>
      </c>
    </row>
    <row r="3037">
      <c r="G3037" s="5"/>
      <c r="H3037" s="6"/>
      <c r="AD3037" s="5">
        <v>45053.0</v>
      </c>
      <c r="AE3037" s="6">
        <v>0.4583333333333333</v>
      </c>
      <c r="AF3037" s="7">
        <v>60614.58</v>
      </c>
    </row>
    <row r="3038">
      <c r="G3038" s="5"/>
      <c r="H3038" s="6"/>
      <c r="AD3038" s="5">
        <v>45053.0</v>
      </c>
      <c r="AE3038" s="6">
        <v>0.5</v>
      </c>
      <c r="AF3038" s="7">
        <v>62529.48</v>
      </c>
    </row>
    <row r="3039">
      <c r="G3039" s="9"/>
      <c r="H3039" s="6"/>
      <c r="AD3039" s="5">
        <v>45053.0</v>
      </c>
      <c r="AE3039" s="6">
        <v>0.5416666666666666</v>
      </c>
      <c r="AF3039" s="7">
        <v>59414.94</v>
      </c>
    </row>
    <row r="3040">
      <c r="G3040" s="9"/>
      <c r="H3040" s="6"/>
      <c r="AD3040" s="5">
        <v>45053.0</v>
      </c>
      <c r="AE3040" s="6">
        <v>0.5833333333333334</v>
      </c>
      <c r="AF3040" s="7">
        <v>52589.94</v>
      </c>
    </row>
    <row r="3041">
      <c r="G3041" s="9"/>
      <c r="H3041" s="6"/>
      <c r="AD3041" s="5">
        <v>45053.0</v>
      </c>
      <c r="AE3041" s="6">
        <v>0.625</v>
      </c>
      <c r="AF3041" s="7">
        <v>43655.82</v>
      </c>
    </row>
    <row r="3042">
      <c r="G3042" s="9"/>
      <c r="H3042" s="6"/>
      <c r="AD3042" s="5">
        <v>45053.0</v>
      </c>
      <c r="AE3042" s="6">
        <v>0.6666666666666666</v>
      </c>
      <c r="AF3042" s="7">
        <v>30581.46</v>
      </c>
    </row>
    <row r="3043">
      <c r="G3043" s="5"/>
      <c r="H3043" s="6"/>
      <c r="AD3043" s="5">
        <v>45053.0</v>
      </c>
      <c r="AE3043" s="6">
        <v>0.7083333333333334</v>
      </c>
      <c r="AF3043" s="7">
        <v>15346.5</v>
      </c>
    </row>
    <row r="3044">
      <c r="G3044" s="5"/>
      <c r="H3044" s="6"/>
      <c r="AD3044" s="5">
        <v>45053.0</v>
      </c>
      <c r="AE3044" s="6">
        <v>0.75</v>
      </c>
      <c r="AF3044" s="7">
        <v>2826.72</v>
      </c>
    </row>
    <row r="3045">
      <c r="G3045" s="5"/>
      <c r="H3045" s="6"/>
      <c r="AD3045" s="5">
        <v>45053.0</v>
      </c>
      <c r="AE3045" s="6">
        <v>0.7916666666666666</v>
      </c>
      <c r="AF3045" s="7">
        <v>0.0</v>
      </c>
    </row>
    <row r="3046">
      <c r="G3046" s="5"/>
      <c r="H3046" s="6"/>
      <c r="AD3046" s="5">
        <v>45053.0</v>
      </c>
      <c r="AE3046" s="6">
        <v>0.8333333333333334</v>
      </c>
      <c r="AF3046" s="7">
        <v>0.0</v>
      </c>
    </row>
    <row r="3047">
      <c r="G3047" s="9"/>
      <c r="H3047" s="6"/>
      <c r="AD3047" s="5">
        <v>45053.0</v>
      </c>
      <c r="AE3047" s="6">
        <v>0.875</v>
      </c>
      <c r="AF3047" s="7">
        <v>0.0</v>
      </c>
    </row>
    <row r="3048">
      <c r="G3048" s="9"/>
      <c r="H3048" s="6"/>
      <c r="AD3048" s="5">
        <v>45053.0</v>
      </c>
      <c r="AE3048" s="6">
        <v>0.9166666666666666</v>
      </c>
      <c r="AF3048" s="7">
        <v>0.0</v>
      </c>
    </row>
    <row r="3049">
      <c r="G3049" s="9"/>
      <c r="H3049" s="6"/>
      <c r="AD3049" s="5">
        <v>45053.0</v>
      </c>
      <c r="AE3049" s="6">
        <v>0.9583333333333334</v>
      </c>
      <c r="AF3049" s="7">
        <v>0.0</v>
      </c>
    </row>
    <row r="3050">
      <c r="G3050" s="9"/>
      <c r="H3050" s="6"/>
      <c r="AD3050" s="5">
        <v>45054.0</v>
      </c>
      <c r="AE3050" s="6">
        <v>0.0</v>
      </c>
      <c r="AF3050" s="7">
        <v>0.0</v>
      </c>
    </row>
    <row r="3051">
      <c r="G3051" s="9"/>
      <c r="H3051" s="6"/>
      <c r="AD3051" s="5">
        <v>45054.0</v>
      </c>
      <c r="AE3051" s="6">
        <v>0.041666666666666664</v>
      </c>
      <c r="AF3051" s="7">
        <v>0.0</v>
      </c>
    </row>
    <row r="3052">
      <c r="G3052" s="5"/>
      <c r="H3052" s="6"/>
      <c r="AD3052" s="5">
        <v>45054.0</v>
      </c>
      <c r="AE3052" s="6">
        <v>0.08333333333333333</v>
      </c>
      <c r="AF3052" s="7">
        <v>0.0</v>
      </c>
    </row>
    <row r="3053">
      <c r="G3053" s="5"/>
      <c r="H3053" s="6"/>
      <c r="AD3053" s="5">
        <v>45054.0</v>
      </c>
      <c r="AE3053" s="6">
        <v>0.125</v>
      </c>
      <c r="AF3053" s="7">
        <v>0.0</v>
      </c>
    </row>
    <row r="3054">
      <c r="G3054" s="5"/>
      <c r="H3054" s="6"/>
      <c r="AD3054" s="5">
        <v>45054.0</v>
      </c>
      <c r="AE3054" s="6">
        <v>0.16666666666666666</v>
      </c>
      <c r="AF3054" s="7">
        <v>0.0</v>
      </c>
    </row>
    <row r="3055">
      <c r="G3055" s="5"/>
      <c r="H3055" s="6"/>
      <c r="AD3055" s="5">
        <v>45054.0</v>
      </c>
      <c r="AE3055" s="6">
        <v>0.20833333333333334</v>
      </c>
      <c r="AF3055" s="7">
        <v>65.52</v>
      </c>
    </row>
    <row r="3056">
      <c r="G3056" s="5"/>
      <c r="H3056" s="6"/>
      <c r="AD3056" s="5">
        <v>45054.0</v>
      </c>
      <c r="AE3056" s="6">
        <v>0.25</v>
      </c>
      <c r="AF3056" s="7">
        <v>6884.28</v>
      </c>
    </row>
    <row r="3057">
      <c r="G3057" s="9"/>
      <c r="H3057" s="6"/>
      <c r="AD3057" s="5">
        <v>45054.0</v>
      </c>
      <c r="AE3057" s="6">
        <v>0.2916666666666667</v>
      </c>
      <c r="AF3057" s="7">
        <v>22272.12</v>
      </c>
    </row>
    <row r="3058">
      <c r="G3058" s="9"/>
      <c r="H3058" s="6"/>
      <c r="AD3058" s="5">
        <v>45054.0</v>
      </c>
      <c r="AE3058" s="6">
        <v>0.3333333333333333</v>
      </c>
      <c r="AF3058" s="7">
        <v>37595.22</v>
      </c>
    </row>
    <row r="3059">
      <c r="G3059" s="9"/>
      <c r="H3059" s="6"/>
      <c r="AD3059" s="5">
        <v>45054.0</v>
      </c>
      <c r="AE3059" s="6">
        <v>0.375</v>
      </c>
      <c r="AF3059" s="7">
        <v>50606.4</v>
      </c>
    </row>
    <row r="3060">
      <c r="G3060" s="9"/>
      <c r="H3060" s="6"/>
      <c r="AD3060" s="5">
        <v>45054.0</v>
      </c>
      <c r="AE3060" s="6">
        <v>0.4166666666666667</v>
      </c>
      <c r="AF3060" s="7">
        <v>55507.14</v>
      </c>
    </row>
    <row r="3061">
      <c r="G3061" s="9"/>
      <c r="H3061" s="6"/>
      <c r="AD3061" s="5">
        <v>45054.0</v>
      </c>
      <c r="AE3061" s="6">
        <v>0.4583333333333333</v>
      </c>
      <c r="AF3061" s="7">
        <v>37122.54</v>
      </c>
    </row>
    <row r="3062">
      <c r="G3062" s="9"/>
      <c r="H3062" s="6"/>
      <c r="AD3062" s="5">
        <v>45054.0</v>
      </c>
      <c r="AE3062" s="6">
        <v>0.5</v>
      </c>
      <c r="AF3062" s="7">
        <v>33345.0</v>
      </c>
    </row>
    <row r="3063">
      <c r="G3063" s="9"/>
      <c r="H3063" s="6"/>
      <c r="AD3063" s="5">
        <v>45054.0</v>
      </c>
      <c r="AE3063" s="6">
        <v>0.5416666666666666</v>
      </c>
      <c r="AF3063" s="7">
        <v>60548.28</v>
      </c>
    </row>
    <row r="3064">
      <c r="G3064" s="5"/>
      <c r="H3064" s="6"/>
      <c r="AD3064" s="5">
        <v>45054.0</v>
      </c>
      <c r="AE3064" s="6">
        <v>0.5833333333333334</v>
      </c>
      <c r="AF3064" s="7">
        <v>46468.5</v>
      </c>
    </row>
    <row r="3065">
      <c r="G3065" s="9"/>
      <c r="H3065" s="6"/>
      <c r="AD3065" s="5">
        <v>45054.0</v>
      </c>
      <c r="AE3065" s="6">
        <v>0.625</v>
      </c>
      <c r="AF3065" s="7">
        <v>42445.26</v>
      </c>
    </row>
    <row r="3066">
      <c r="G3066" s="9"/>
      <c r="H3066" s="6"/>
      <c r="AD3066" s="5">
        <v>45054.0</v>
      </c>
      <c r="AE3066" s="6">
        <v>0.6666666666666666</v>
      </c>
      <c r="AF3066" s="7">
        <v>30889.56</v>
      </c>
    </row>
    <row r="3067">
      <c r="G3067" s="9"/>
      <c r="H3067" s="6"/>
      <c r="AD3067" s="5">
        <v>45054.0</v>
      </c>
      <c r="AE3067" s="6">
        <v>0.7083333333333334</v>
      </c>
      <c r="AF3067" s="7">
        <v>14655.42</v>
      </c>
    </row>
    <row r="3068">
      <c r="G3068" s="5"/>
      <c r="H3068" s="6"/>
      <c r="AD3068" s="5">
        <v>45054.0</v>
      </c>
      <c r="AE3068" s="6">
        <v>0.75</v>
      </c>
      <c r="AF3068" s="7">
        <v>3037.32</v>
      </c>
    </row>
    <row r="3069">
      <c r="G3069" s="5"/>
      <c r="H3069" s="6"/>
      <c r="AD3069" s="5">
        <v>45054.0</v>
      </c>
      <c r="AE3069" s="6">
        <v>0.7916666666666666</v>
      </c>
      <c r="AF3069" s="7">
        <v>0.0</v>
      </c>
    </row>
    <row r="3070">
      <c r="G3070" s="5"/>
      <c r="H3070" s="6"/>
      <c r="AD3070" s="5">
        <v>45054.0</v>
      </c>
      <c r="AE3070" s="6">
        <v>0.8333333333333334</v>
      </c>
      <c r="AF3070" s="7">
        <v>0.0</v>
      </c>
    </row>
    <row r="3071">
      <c r="G3071" s="5"/>
      <c r="H3071" s="6"/>
      <c r="AD3071" s="5">
        <v>45054.0</v>
      </c>
      <c r="AE3071" s="6">
        <v>0.875</v>
      </c>
      <c r="AF3071" s="7">
        <v>0.0</v>
      </c>
    </row>
    <row r="3072">
      <c r="G3072" s="5"/>
      <c r="H3072" s="6"/>
      <c r="AD3072" s="5">
        <v>45054.0</v>
      </c>
      <c r="AE3072" s="6">
        <v>0.9166666666666666</v>
      </c>
      <c r="AF3072" s="7">
        <v>0.0</v>
      </c>
    </row>
    <row r="3073">
      <c r="G3073" s="5"/>
      <c r="H3073" s="6"/>
      <c r="AD3073" s="5">
        <v>45054.0</v>
      </c>
      <c r="AE3073" s="6">
        <v>0.9583333333333334</v>
      </c>
      <c r="AF3073" s="7">
        <v>0.0</v>
      </c>
    </row>
    <row r="3074">
      <c r="G3074" s="9"/>
      <c r="H3074" s="6"/>
      <c r="AD3074" s="5">
        <v>45055.0</v>
      </c>
      <c r="AE3074" s="6">
        <v>0.0</v>
      </c>
      <c r="AF3074" s="7">
        <v>0.0</v>
      </c>
    </row>
    <row r="3075">
      <c r="G3075" s="9"/>
      <c r="H3075" s="6"/>
      <c r="AD3075" s="5">
        <v>45055.0</v>
      </c>
      <c r="AE3075" s="6">
        <v>0.041666666666666664</v>
      </c>
      <c r="AF3075" s="7">
        <v>0.0</v>
      </c>
    </row>
    <row r="3076">
      <c r="G3076" s="9"/>
      <c r="H3076" s="6"/>
      <c r="AD3076" s="5">
        <v>45055.0</v>
      </c>
      <c r="AE3076" s="6">
        <v>0.08333333333333333</v>
      </c>
      <c r="AF3076" s="7">
        <v>0.0</v>
      </c>
    </row>
    <row r="3077">
      <c r="G3077" s="9"/>
      <c r="H3077" s="6"/>
      <c r="AD3077" s="5">
        <v>45055.0</v>
      </c>
      <c r="AE3077" s="6">
        <v>0.125</v>
      </c>
      <c r="AF3077" s="7">
        <v>0.0</v>
      </c>
    </row>
    <row r="3078">
      <c r="G3078" s="9"/>
      <c r="H3078" s="6"/>
      <c r="AD3078" s="5">
        <v>45055.0</v>
      </c>
      <c r="AE3078" s="6">
        <v>0.16666666666666666</v>
      </c>
      <c r="AF3078" s="7">
        <v>0.0</v>
      </c>
    </row>
    <row r="3079">
      <c r="G3079" s="9"/>
      <c r="H3079" s="6"/>
      <c r="AD3079" s="5">
        <v>45055.0</v>
      </c>
      <c r="AE3079" s="6">
        <v>0.20833333333333334</v>
      </c>
      <c r="AF3079" s="7">
        <v>31.98</v>
      </c>
    </row>
    <row r="3080">
      <c r="G3080" s="9"/>
      <c r="H3080" s="6"/>
      <c r="AD3080" s="5">
        <v>45055.0</v>
      </c>
      <c r="AE3080" s="6">
        <v>0.25</v>
      </c>
      <c r="AF3080" s="7">
        <v>6247.02</v>
      </c>
    </row>
    <row r="3081">
      <c r="G3081" s="9"/>
      <c r="H3081" s="6"/>
      <c r="AD3081" s="5">
        <v>45055.0</v>
      </c>
      <c r="AE3081" s="6">
        <v>0.2916666666666667</v>
      </c>
      <c r="AF3081" s="7">
        <v>18331.56</v>
      </c>
    </row>
    <row r="3082">
      <c r="G3082" s="9"/>
      <c r="H3082" s="6"/>
      <c r="AD3082" s="5">
        <v>45055.0</v>
      </c>
      <c r="AE3082" s="6">
        <v>0.3333333333333333</v>
      </c>
      <c r="AF3082" s="7">
        <v>35432.28</v>
      </c>
    </row>
    <row r="3083">
      <c r="G3083" s="9"/>
      <c r="H3083" s="6"/>
      <c r="AD3083" s="5">
        <v>45055.0</v>
      </c>
      <c r="AE3083" s="6">
        <v>0.375</v>
      </c>
      <c r="AF3083" s="7">
        <v>45866.34</v>
      </c>
    </row>
    <row r="3084">
      <c r="G3084" s="9"/>
      <c r="H3084" s="6"/>
      <c r="AD3084" s="5">
        <v>45055.0</v>
      </c>
      <c r="AE3084" s="6">
        <v>0.4166666666666667</v>
      </c>
      <c r="AF3084" s="7">
        <v>48081.54</v>
      </c>
    </row>
    <row r="3085">
      <c r="G3085" s="9"/>
      <c r="H3085" s="6"/>
      <c r="AD3085" s="5">
        <v>45055.0</v>
      </c>
      <c r="AE3085" s="6">
        <v>0.4583333333333333</v>
      </c>
      <c r="AF3085" s="7">
        <v>41800.98</v>
      </c>
    </row>
    <row r="3086">
      <c r="G3086" s="9"/>
      <c r="H3086" s="6"/>
      <c r="AD3086" s="5">
        <v>45055.0</v>
      </c>
      <c r="AE3086" s="6">
        <v>0.5</v>
      </c>
      <c r="AF3086" s="7">
        <v>36504.78</v>
      </c>
    </row>
    <row r="3087">
      <c r="G3087" s="9"/>
      <c r="H3087" s="6"/>
      <c r="AD3087" s="5">
        <v>45055.0</v>
      </c>
      <c r="AE3087" s="6">
        <v>0.5416666666666666</v>
      </c>
      <c r="AF3087" s="7">
        <v>20253.48</v>
      </c>
    </row>
    <row r="3088">
      <c r="G3088" s="9"/>
      <c r="H3088" s="6"/>
      <c r="AD3088" s="5">
        <v>45055.0</v>
      </c>
      <c r="AE3088" s="6">
        <v>0.5833333333333334</v>
      </c>
      <c r="AF3088" s="7">
        <v>5353.14</v>
      </c>
    </row>
    <row r="3089">
      <c r="G3089" s="9"/>
      <c r="H3089" s="6"/>
      <c r="AD3089" s="5">
        <v>45055.0</v>
      </c>
      <c r="AE3089" s="6">
        <v>0.625</v>
      </c>
      <c r="AF3089" s="7">
        <v>5240.82</v>
      </c>
    </row>
    <row r="3090">
      <c r="G3090" s="5"/>
      <c r="H3090" s="6"/>
      <c r="AD3090" s="5">
        <v>45055.0</v>
      </c>
      <c r="AE3090" s="6">
        <v>0.6666666666666666</v>
      </c>
      <c r="AF3090" s="7">
        <v>14711.58</v>
      </c>
    </row>
    <row r="3091">
      <c r="G3091" s="5"/>
      <c r="H3091" s="6"/>
      <c r="AD3091" s="5">
        <v>45055.0</v>
      </c>
      <c r="AE3091" s="6">
        <v>0.7083333333333334</v>
      </c>
      <c r="AF3091" s="7">
        <v>14022.84</v>
      </c>
    </row>
    <row r="3092">
      <c r="G3092" s="5"/>
      <c r="H3092" s="6"/>
      <c r="AD3092" s="5">
        <v>45055.0</v>
      </c>
      <c r="AE3092" s="6">
        <v>0.75</v>
      </c>
      <c r="AF3092" s="7">
        <v>3266.64</v>
      </c>
    </row>
    <row r="3093">
      <c r="G3093" s="5"/>
      <c r="H3093" s="6"/>
      <c r="AD3093" s="5">
        <v>45055.0</v>
      </c>
      <c r="AE3093" s="6">
        <v>0.7916666666666666</v>
      </c>
      <c r="AF3093" s="7">
        <v>0.0</v>
      </c>
    </row>
    <row r="3094">
      <c r="G3094" s="9"/>
      <c r="H3094" s="6"/>
      <c r="AD3094" s="5">
        <v>45055.0</v>
      </c>
      <c r="AE3094" s="6">
        <v>0.8333333333333334</v>
      </c>
      <c r="AF3094" s="7">
        <v>0.0</v>
      </c>
    </row>
    <row r="3095">
      <c r="G3095" s="9"/>
      <c r="H3095" s="6"/>
      <c r="AD3095" s="5">
        <v>45055.0</v>
      </c>
      <c r="AE3095" s="6">
        <v>0.875</v>
      </c>
      <c r="AF3095" s="7">
        <v>0.0</v>
      </c>
    </row>
    <row r="3096">
      <c r="G3096" s="9"/>
      <c r="H3096" s="6"/>
      <c r="AD3096" s="5">
        <v>45055.0</v>
      </c>
      <c r="AE3096" s="6">
        <v>0.9166666666666666</v>
      </c>
      <c r="AF3096" s="7">
        <v>0.0</v>
      </c>
    </row>
    <row r="3097">
      <c r="G3097" s="9"/>
      <c r="H3097" s="6"/>
      <c r="AD3097" s="5">
        <v>45055.0</v>
      </c>
      <c r="AE3097" s="6">
        <v>0.9583333333333334</v>
      </c>
      <c r="AF3097" s="7">
        <v>0.0</v>
      </c>
    </row>
    <row r="3098">
      <c r="G3098" s="9"/>
      <c r="H3098" s="6"/>
      <c r="AD3098" s="5">
        <v>45056.0</v>
      </c>
      <c r="AE3098" s="6">
        <v>0.0</v>
      </c>
      <c r="AF3098" s="7">
        <v>0.0</v>
      </c>
    </row>
    <row r="3099">
      <c r="G3099" s="10"/>
      <c r="H3099" s="6"/>
      <c r="AD3099" s="5">
        <v>45056.0</v>
      </c>
      <c r="AE3099" s="6">
        <v>0.041666666666666664</v>
      </c>
      <c r="AF3099" s="7">
        <v>0.0</v>
      </c>
    </row>
    <row r="3100">
      <c r="G3100" s="10"/>
      <c r="H3100" s="6"/>
      <c r="AD3100" s="5">
        <v>45056.0</v>
      </c>
      <c r="AE3100" s="6">
        <v>0.08333333333333333</v>
      </c>
      <c r="AF3100" s="7">
        <v>0.0</v>
      </c>
    </row>
    <row r="3101">
      <c r="G3101" s="5"/>
      <c r="H3101" s="6"/>
      <c r="AD3101" s="5">
        <v>45056.0</v>
      </c>
      <c r="AE3101" s="6">
        <v>0.125</v>
      </c>
      <c r="AF3101" s="7">
        <v>0.0</v>
      </c>
    </row>
    <row r="3102">
      <c r="G3102" s="5"/>
      <c r="H3102" s="6"/>
      <c r="AD3102" s="5">
        <v>45056.0</v>
      </c>
      <c r="AE3102" s="6">
        <v>0.16666666666666666</v>
      </c>
      <c r="AF3102" s="7">
        <v>0.0</v>
      </c>
    </row>
    <row r="3103">
      <c r="G3103" s="5"/>
      <c r="H3103" s="6"/>
      <c r="AD3103" s="5">
        <v>45056.0</v>
      </c>
      <c r="AE3103" s="6">
        <v>0.20833333333333334</v>
      </c>
      <c r="AF3103" s="7">
        <v>137.28</v>
      </c>
    </row>
    <row r="3104">
      <c r="G3104" s="5"/>
      <c r="H3104" s="6"/>
      <c r="AD3104" s="5">
        <v>45056.0</v>
      </c>
      <c r="AE3104" s="6">
        <v>0.25</v>
      </c>
      <c r="AF3104" s="7">
        <v>7348.38</v>
      </c>
    </row>
    <row r="3105">
      <c r="G3105" s="10"/>
      <c r="H3105" s="6"/>
      <c r="AD3105" s="5">
        <v>45056.0</v>
      </c>
      <c r="AE3105" s="6">
        <v>0.2916666666666667</v>
      </c>
      <c r="AF3105" s="7">
        <v>23155.08</v>
      </c>
    </row>
    <row r="3106">
      <c r="G3106" s="10"/>
      <c r="H3106" s="6"/>
      <c r="AD3106" s="5">
        <v>45056.0</v>
      </c>
      <c r="AE3106" s="6">
        <v>0.3333333333333333</v>
      </c>
      <c r="AF3106" s="7">
        <v>38916.54</v>
      </c>
    </row>
    <row r="3107">
      <c r="G3107" s="10"/>
      <c r="H3107" s="6"/>
      <c r="AD3107" s="5">
        <v>45056.0</v>
      </c>
      <c r="AE3107" s="6">
        <v>0.375</v>
      </c>
      <c r="AF3107" s="7">
        <v>51634.44</v>
      </c>
    </row>
    <row r="3108">
      <c r="G3108" s="10"/>
      <c r="H3108" s="6"/>
      <c r="AD3108" s="5">
        <v>45056.0</v>
      </c>
      <c r="AE3108" s="6">
        <v>0.4166666666666667</v>
      </c>
      <c r="AF3108" s="7">
        <v>60657.48</v>
      </c>
    </row>
    <row r="3109">
      <c r="G3109" s="10"/>
      <c r="H3109" s="6"/>
      <c r="AD3109" s="5">
        <v>45056.0</v>
      </c>
      <c r="AE3109" s="6">
        <v>0.4583333333333333</v>
      </c>
      <c r="AF3109" s="7">
        <v>65704.86</v>
      </c>
    </row>
    <row r="3110">
      <c r="G3110" s="10"/>
      <c r="H3110" s="6"/>
      <c r="AD3110" s="5">
        <v>45056.0</v>
      </c>
      <c r="AE3110" s="6">
        <v>0.5</v>
      </c>
      <c r="AF3110" s="7">
        <v>67113.54</v>
      </c>
    </row>
    <row r="3111">
      <c r="G3111" s="10"/>
      <c r="H3111" s="6"/>
      <c r="AD3111" s="5">
        <v>45056.0</v>
      </c>
      <c r="AE3111" s="6">
        <v>0.5416666666666666</v>
      </c>
      <c r="AF3111" s="7">
        <v>64093.38</v>
      </c>
    </row>
    <row r="3112">
      <c r="G3112" s="5"/>
      <c r="H3112" s="6"/>
      <c r="AD3112" s="5">
        <v>45056.0</v>
      </c>
      <c r="AE3112" s="6">
        <v>0.5833333333333334</v>
      </c>
      <c r="AF3112" s="7">
        <v>57154.5</v>
      </c>
    </row>
    <row r="3113">
      <c r="G3113" s="5"/>
      <c r="H3113" s="6"/>
      <c r="AD3113" s="5">
        <v>45056.0</v>
      </c>
      <c r="AE3113" s="6">
        <v>0.625</v>
      </c>
      <c r="AF3113" s="7">
        <v>46542.6</v>
      </c>
    </row>
    <row r="3114">
      <c r="G3114" s="10"/>
      <c r="H3114" s="6"/>
      <c r="AD3114" s="5">
        <v>45056.0</v>
      </c>
      <c r="AE3114" s="6">
        <v>0.6666666666666666</v>
      </c>
      <c r="AF3114" s="7">
        <v>32529.9</v>
      </c>
    </row>
    <row r="3115">
      <c r="G3115" s="10"/>
      <c r="H3115" s="6"/>
      <c r="AD3115" s="5">
        <v>45056.0</v>
      </c>
      <c r="AE3115" s="6">
        <v>0.7083333333333334</v>
      </c>
      <c r="AF3115" s="7">
        <v>16751.28</v>
      </c>
    </row>
    <row r="3116">
      <c r="G3116" s="10"/>
      <c r="H3116" s="6"/>
      <c r="AD3116" s="5">
        <v>45056.0</v>
      </c>
      <c r="AE3116" s="6">
        <v>0.75</v>
      </c>
      <c r="AF3116" s="7">
        <v>3136.38</v>
      </c>
    </row>
    <row r="3117">
      <c r="G3117" s="10"/>
      <c r="H3117" s="6"/>
      <c r="AD3117" s="5">
        <v>45056.0</v>
      </c>
      <c r="AE3117" s="6">
        <v>0.7916666666666666</v>
      </c>
      <c r="AF3117" s="7">
        <v>0.0</v>
      </c>
    </row>
    <row r="3118">
      <c r="G3118" s="10"/>
      <c r="H3118" s="6"/>
      <c r="AD3118" s="5">
        <v>45056.0</v>
      </c>
      <c r="AE3118" s="6">
        <v>0.8333333333333334</v>
      </c>
      <c r="AF3118" s="7">
        <v>0.0</v>
      </c>
    </row>
    <row r="3119">
      <c r="G3119" s="10"/>
      <c r="H3119" s="6"/>
      <c r="AD3119" s="5">
        <v>45056.0</v>
      </c>
      <c r="AE3119" s="6">
        <v>0.875</v>
      </c>
      <c r="AF3119" s="7">
        <v>0.0</v>
      </c>
    </row>
    <row r="3120">
      <c r="G3120" s="5"/>
      <c r="H3120" s="6"/>
      <c r="AD3120" s="5">
        <v>45056.0</v>
      </c>
      <c r="AE3120" s="6">
        <v>0.9166666666666666</v>
      </c>
      <c r="AF3120" s="7">
        <v>0.0</v>
      </c>
    </row>
    <row r="3121">
      <c r="G3121" s="5"/>
      <c r="H3121" s="6"/>
      <c r="AD3121" s="5">
        <v>45056.0</v>
      </c>
      <c r="AE3121" s="6">
        <v>0.9583333333333334</v>
      </c>
      <c r="AF3121" s="7">
        <v>0.0</v>
      </c>
    </row>
    <row r="3122">
      <c r="G3122" s="5"/>
      <c r="H3122" s="6"/>
      <c r="AD3122" s="5">
        <v>45057.0</v>
      </c>
      <c r="AE3122" s="6">
        <v>0.0</v>
      </c>
      <c r="AF3122" s="7">
        <v>0.0</v>
      </c>
    </row>
    <row r="3123">
      <c r="G3123" s="5"/>
      <c r="H3123" s="6"/>
      <c r="AD3123" s="5">
        <v>45057.0</v>
      </c>
      <c r="AE3123" s="6">
        <v>0.041666666666666664</v>
      </c>
      <c r="AF3123" s="7">
        <v>0.0</v>
      </c>
    </row>
    <row r="3124">
      <c r="G3124" s="10"/>
      <c r="H3124" s="6"/>
      <c r="AD3124" s="5">
        <v>45057.0</v>
      </c>
      <c r="AE3124" s="6">
        <v>0.08333333333333333</v>
      </c>
      <c r="AF3124" s="7">
        <v>0.0</v>
      </c>
    </row>
    <row r="3125">
      <c r="G3125" s="10"/>
      <c r="H3125" s="6"/>
      <c r="AD3125" s="5">
        <v>45057.0</v>
      </c>
      <c r="AE3125" s="6">
        <v>0.125</v>
      </c>
      <c r="AF3125" s="7">
        <v>0.0</v>
      </c>
    </row>
    <row r="3126">
      <c r="G3126" s="10"/>
      <c r="H3126" s="6"/>
      <c r="AD3126" s="5">
        <v>45057.0</v>
      </c>
      <c r="AE3126" s="6">
        <v>0.16666666666666666</v>
      </c>
      <c r="AF3126" s="7">
        <v>0.0</v>
      </c>
    </row>
    <row r="3127">
      <c r="G3127" s="10"/>
      <c r="H3127" s="6"/>
      <c r="AD3127" s="5">
        <v>45057.0</v>
      </c>
      <c r="AE3127" s="6">
        <v>0.20833333333333334</v>
      </c>
      <c r="AF3127" s="7">
        <v>177.84</v>
      </c>
    </row>
    <row r="3128">
      <c r="G3128" s="10"/>
      <c r="H3128" s="6"/>
      <c r="AD3128" s="5">
        <v>45057.0</v>
      </c>
      <c r="AE3128" s="6">
        <v>0.25</v>
      </c>
      <c r="AF3128" s="7">
        <v>7417.02</v>
      </c>
    </row>
    <row r="3129">
      <c r="G3129" s="10"/>
      <c r="H3129" s="6"/>
      <c r="AD3129" s="5">
        <v>45057.0</v>
      </c>
      <c r="AE3129" s="6">
        <v>0.2916666666666667</v>
      </c>
      <c r="AF3129" s="7">
        <v>22854.78</v>
      </c>
    </row>
    <row r="3130">
      <c r="G3130" s="10"/>
      <c r="H3130" s="6"/>
      <c r="AD3130" s="5">
        <v>45057.0</v>
      </c>
      <c r="AE3130" s="6">
        <v>0.3333333333333333</v>
      </c>
      <c r="AF3130" s="7">
        <v>37418.94</v>
      </c>
    </row>
    <row r="3131">
      <c r="G3131" s="10"/>
      <c r="H3131" s="6"/>
      <c r="AD3131" s="5">
        <v>45057.0</v>
      </c>
      <c r="AE3131" s="6">
        <v>0.375</v>
      </c>
      <c r="AF3131" s="7">
        <v>50203.14</v>
      </c>
    </row>
    <row r="3132">
      <c r="G3132" s="5"/>
      <c r="H3132" s="6"/>
      <c r="AD3132" s="5">
        <v>45057.0</v>
      </c>
      <c r="AE3132" s="6">
        <v>0.4166666666666667</v>
      </c>
      <c r="AF3132" s="7">
        <v>59663.76</v>
      </c>
    </row>
    <row r="3133">
      <c r="G3133" s="5"/>
      <c r="H3133" s="6"/>
      <c r="AD3133" s="5">
        <v>45057.0</v>
      </c>
      <c r="AE3133" s="6">
        <v>0.4583333333333333</v>
      </c>
      <c r="AF3133" s="7">
        <v>64915.5</v>
      </c>
    </row>
    <row r="3134">
      <c r="G3134" s="5"/>
      <c r="H3134" s="6"/>
      <c r="AD3134" s="5">
        <v>45057.0</v>
      </c>
      <c r="AE3134" s="6">
        <v>0.5</v>
      </c>
      <c r="AF3134" s="7">
        <v>66636.96</v>
      </c>
    </row>
    <row r="3135">
      <c r="G3135" s="5"/>
      <c r="H3135" s="6"/>
      <c r="AD3135" s="5">
        <v>45057.0</v>
      </c>
      <c r="AE3135" s="6">
        <v>0.5416666666666666</v>
      </c>
      <c r="AF3135" s="7">
        <v>62142.6</v>
      </c>
    </row>
    <row r="3136">
      <c r="G3136" s="5"/>
      <c r="H3136" s="6"/>
      <c r="AD3136" s="5">
        <v>45057.0</v>
      </c>
      <c r="AE3136" s="6">
        <v>0.5833333333333334</v>
      </c>
      <c r="AF3136" s="7">
        <v>54865.2</v>
      </c>
    </row>
    <row r="3137">
      <c r="G3137" s="5"/>
      <c r="H3137" s="6"/>
      <c r="AD3137" s="5">
        <v>45057.0</v>
      </c>
      <c r="AE3137" s="6">
        <v>0.625</v>
      </c>
      <c r="AF3137" s="7">
        <v>44720.52</v>
      </c>
    </row>
    <row r="3138">
      <c r="G3138" s="5"/>
      <c r="H3138" s="6"/>
      <c r="AD3138" s="5">
        <v>45057.0</v>
      </c>
      <c r="AE3138" s="6">
        <v>0.6666666666666666</v>
      </c>
      <c r="AF3138" s="7">
        <v>30951.96</v>
      </c>
    </row>
    <row r="3139">
      <c r="G3139" s="5"/>
      <c r="H3139" s="6"/>
      <c r="AD3139" s="5">
        <v>45057.0</v>
      </c>
      <c r="AE3139" s="6">
        <v>0.7083333333333334</v>
      </c>
      <c r="AF3139" s="7">
        <v>16199.04</v>
      </c>
    </row>
    <row r="3140">
      <c r="G3140" s="5"/>
      <c r="H3140" s="6"/>
      <c r="AD3140" s="5">
        <v>45057.0</v>
      </c>
      <c r="AE3140" s="6">
        <v>0.75</v>
      </c>
      <c r="AF3140" s="7">
        <v>3334.5</v>
      </c>
    </row>
    <row r="3141">
      <c r="G3141" s="5"/>
      <c r="H3141" s="6"/>
      <c r="AD3141" s="5">
        <v>45057.0</v>
      </c>
      <c r="AE3141" s="6">
        <v>0.7916666666666666</v>
      </c>
      <c r="AF3141" s="7">
        <v>0.0</v>
      </c>
    </row>
    <row r="3142">
      <c r="G3142" s="5"/>
      <c r="H3142" s="6"/>
      <c r="AD3142" s="5">
        <v>45057.0</v>
      </c>
      <c r="AE3142" s="6">
        <v>0.8333333333333334</v>
      </c>
      <c r="AF3142" s="7">
        <v>0.0</v>
      </c>
    </row>
    <row r="3143">
      <c r="G3143" s="5"/>
      <c r="H3143" s="6"/>
      <c r="AD3143" s="5">
        <v>45057.0</v>
      </c>
      <c r="AE3143" s="6">
        <v>0.875</v>
      </c>
      <c r="AF3143" s="7">
        <v>0.0</v>
      </c>
    </row>
    <row r="3144">
      <c r="G3144" s="5"/>
      <c r="H3144" s="6"/>
      <c r="AD3144" s="5">
        <v>45057.0</v>
      </c>
      <c r="AE3144" s="6">
        <v>0.9166666666666666</v>
      </c>
      <c r="AF3144" s="7">
        <v>0.0</v>
      </c>
    </row>
    <row r="3145">
      <c r="G3145" s="5"/>
      <c r="H3145" s="6"/>
      <c r="AD3145" s="5">
        <v>45057.0</v>
      </c>
      <c r="AE3145" s="6">
        <v>0.9583333333333334</v>
      </c>
      <c r="AF3145" s="7">
        <v>0.0</v>
      </c>
    </row>
    <row r="3146">
      <c r="G3146" s="10"/>
      <c r="H3146" s="6"/>
      <c r="AD3146" s="5">
        <v>45058.0</v>
      </c>
      <c r="AE3146" s="6">
        <v>0.0</v>
      </c>
      <c r="AF3146" s="7">
        <v>0.0</v>
      </c>
    </row>
    <row r="3147">
      <c r="G3147" s="10"/>
      <c r="H3147" s="6"/>
      <c r="AD3147" s="5">
        <v>45058.0</v>
      </c>
      <c r="AE3147" s="6">
        <v>0.041666666666666664</v>
      </c>
      <c r="AF3147" s="7">
        <v>0.0</v>
      </c>
    </row>
    <row r="3148">
      <c r="G3148" s="10"/>
      <c r="H3148" s="6"/>
      <c r="AD3148" s="5">
        <v>45058.0</v>
      </c>
      <c r="AE3148" s="6">
        <v>0.08333333333333333</v>
      </c>
      <c r="AF3148" s="7">
        <v>0.0</v>
      </c>
    </row>
    <row r="3149">
      <c r="G3149" s="10"/>
      <c r="H3149" s="6"/>
      <c r="AD3149" s="5">
        <v>45058.0</v>
      </c>
      <c r="AE3149" s="6">
        <v>0.125</v>
      </c>
      <c r="AF3149" s="7">
        <v>0.0</v>
      </c>
    </row>
    <row r="3150">
      <c r="G3150" s="5"/>
      <c r="H3150" s="6"/>
      <c r="AD3150" s="5">
        <v>45058.0</v>
      </c>
      <c r="AE3150" s="6">
        <v>0.16666666666666666</v>
      </c>
      <c r="AF3150" s="7">
        <v>0.0</v>
      </c>
    </row>
    <row r="3151">
      <c r="G3151" s="5"/>
      <c r="H3151" s="6"/>
      <c r="AD3151" s="5">
        <v>45058.0</v>
      </c>
      <c r="AE3151" s="6">
        <v>0.20833333333333334</v>
      </c>
      <c r="AF3151" s="7">
        <v>261.3</v>
      </c>
    </row>
    <row r="3152">
      <c r="G3152" s="5"/>
      <c r="H3152" s="6"/>
      <c r="AD3152" s="5">
        <v>45058.0</v>
      </c>
      <c r="AE3152" s="6">
        <v>0.25</v>
      </c>
      <c r="AF3152" s="7">
        <v>7689.24</v>
      </c>
    </row>
    <row r="3153">
      <c r="G3153" s="5"/>
      <c r="H3153" s="6"/>
      <c r="AD3153" s="5">
        <v>45058.0</v>
      </c>
      <c r="AE3153" s="6">
        <v>0.2916666666666667</v>
      </c>
      <c r="AF3153" s="7">
        <v>23229.96</v>
      </c>
    </row>
    <row r="3154">
      <c r="G3154" s="5"/>
      <c r="H3154" s="6"/>
      <c r="AD3154" s="5">
        <v>45058.0</v>
      </c>
      <c r="AE3154" s="6">
        <v>0.3333333333333333</v>
      </c>
      <c r="AF3154" s="7">
        <v>39067.08</v>
      </c>
    </row>
    <row r="3155">
      <c r="G3155" s="5"/>
      <c r="H3155" s="6"/>
      <c r="AD3155" s="5">
        <v>45058.0</v>
      </c>
      <c r="AE3155" s="6">
        <v>0.375</v>
      </c>
      <c r="AF3155" s="7">
        <v>50207.04</v>
      </c>
    </row>
    <row r="3156">
      <c r="G3156" s="5"/>
      <c r="H3156" s="6"/>
      <c r="AD3156" s="5">
        <v>45058.0</v>
      </c>
      <c r="AE3156" s="6">
        <v>0.4166666666666667</v>
      </c>
      <c r="AF3156" s="7">
        <v>60169.98</v>
      </c>
    </row>
    <row r="3157">
      <c r="G3157" s="5"/>
      <c r="H3157" s="6"/>
      <c r="AD3157" s="5">
        <v>45058.0</v>
      </c>
      <c r="AE3157" s="6">
        <v>0.4583333333333333</v>
      </c>
      <c r="AF3157" s="7">
        <v>62865.66</v>
      </c>
    </row>
    <row r="3158">
      <c r="G3158" s="5"/>
      <c r="H3158" s="6"/>
      <c r="AD3158" s="5">
        <v>45058.0</v>
      </c>
      <c r="AE3158" s="6">
        <v>0.5</v>
      </c>
      <c r="AF3158" s="7">
        <v>65413.92</v>
      </c>
    </row>
    <row r="3159">
      <c r="G3159" s="5"/>
      <c r="H3159" s="6"/>
      <c r="AD3159" s="5">
        <v>45058.0</v>
      </c>
      <c r="AE3159" s="6">
        <v>0.5416666666666666</v>
      </c>
      <c r="AF3159" s="7">
        <v>63834.42</v>
      </c>
    </row>
    <row r="3160">
      <c r="G3160" s="5"/>
      <c r="H3160" s="6"/>
      <c r="AD3160" s="5">
        <v>45058.0</v>
      </c>
      <c r="AE3160" s="6">
        <v>0.5833333333333334</v>
      </c>
      <c r="AF3160" s="7">
        <v>58205.16</v>
      </c>
    </row>
    <row r="3161">
      <c r="G3161" s="5"/>
      <c r="H3161" s="6"/>
      <c r="AD3161" s="5">
        <v>45058.0</v>
      </c>
      <c r="AE3161" s="6">
        <v>0.625</v>
      </c>
      <c r="AF3161" s="7">
        <v>46299.24</v>
      </c>
    </row>
    <row r="3162">
      <c r="G3162" s="10"/>
      <c r="H3162" s="6"/>
      <c r="AD3162" s="5">
        <v>45058.0</v>
      </c>
      <c r="AE3162" s="6">
        <v>0.6666666666666666</v>
      </c>
      <c r="AF3162" s="7">
        <v>32398.08</v>
      </c>
    </row>
    <row r="3163">
      <c r="G3163" s="5"/>
      <c r="H3163" s="6"/>
      <c r="AD3163" s="5">
        <v>45058.0</v>
      </c>
      <c r="AE3163" s="6">
        <v>0.7083333333333334</v>
      </c>
      <c r="AF3163" s="7">
        <v>15610.92</v>
      </c>
    </row>
    <row r="3164">
      <c r="G3164" s="5"/>
      <c r="H3164" s="6"/>
      <c r="AD3164" s="5">
        <v>45058.0</v>
      </c>
      <c r="AE3164" s="6">
        <v>0.75</v>
      </c>
      <c r="AF3164" s="7">
        <v>3469.44</v>
      </c>
    </row>
    <row r="3165">
      <c r="G3165" s="5"/>
      <c r="H3165" s="6"/>
      <c r="AD3165" s="5">
        <v>45058.0</v>
      </c>
      <c r="AE3165" s="6">
        <v>0.7916666666666666</v>
      </c>
      <c r="AF3165" s="7">
        <v>0.0</v>
      </c>
    </row>
    <row r="3166">
      <c r="G3166" s="10"/>
      <c r="H3166" s="6"/>
      <c r="AD3166" s="5">
        <v>45058.0</v>
      </c>
      <c r="AE3166" s="6">
        <v>0.8333333333333334</v>
      </c>
      <c r="AF3166" s="7">
        <v>0.0</v>
      </c>
    </row>
    <row r="3167">
      <c r="G3167" s="10"/>
      <c r="H3167" s="6"/>
      <c r="AD3167" s="5">
        <v>45058.0</v>
      </c>
      <c r="AE3167" s="6">
        <v>0.875</v>
      </c>
      <c r="AF3167" s="7">
        <v>0.0</v>
      </c>
    </row>
    <row r="3168">
      <c r="G3168" s="5"/>
      <c r="H3168" s="6"/>
      <c r="AD3168" s="5">
        <v>45058.0</v>
      </c>
      <c r="AE3168" s="6">
        <v>0.9166666666666666</v>
      </c>
      <c r="AF3168" s="7">
        <v>0.0</v>
      </c>
    </row>
    <row r="3169">
      <c r="G3169" s="5"/>
      <c r="H3169" s="6"/>
      <c r="AD3169" s="5">
        <v>45058.0</v>
      </c>
      <c r="AE3169" s="6">
        <v>0.9583333333333334</v>
      </c>
      <c r="AF3169" s="7">
        <v>0.0</v>
      </c>
    </row>
    <row r="3170">
      <c r="G3170" s="5"/>
      <c r="H3170" s="6"/>
      <c r="AD3170" s="5">
        <v>45059.0</v>
      </c>
      <c r="AE3170" s="6">
        <v>0.0</v>
      </c>
      <c r="AF3170" s="7">
        <v>0.0</v>
      </c>
    </row>
    <row r="3171">
      <c r="G3171" s="5"/>
      <c r="H3171" s="6"/>
      <c r="AD3171" s="5">
        <v>45059.0</v>
      </c>
      <c r="AE3171" s="6">
        <v>0.041666666666666664</v>
      </c>
      <c r="AF3171" s="7">
        <v>0.0</v>
      </c>
    </row>
    <row r="3172">
      <c r="G3172" s="5"/>
      <c r="H3172" s="6"/>
      <c r="AD3172" s="5">
        <v>45059.0</v>
      </c>
      <c r="AE3172" s="6">
        <v>0.08333333333333333</v>
      </c>
      <c r="AF3172" s="7">
        <v>0.0</v>
      </c>
    </row>
    <row r="3173">
      <c r="G3173" s="5"/>
      <c r="H3173" s="6"/>
      <c r="AD3173" s="5">
        <v>45059.0</v>
      </c>
      <c r="AE3173" s="6">
        <v>0.125</v>
      </c>
      <c r="AF3173" s="7">
        <v>0.0</v>
      </c>
    </row>
    <row r="3174">
      <c r="G3174" s="5"/>
      <c r="H3174" s="6"/>
      <c r="AD3174" s="5">
        <v>45059.0</v>
      </c>
      <c r="AE3174" s="6">
        <v>0.16666666666666666</v>
      </c>
      <c r="AF3174" s="7">
        <v>0.0</v>
      </c>
    </row>
    <row r="3175">
      <c r="G3175" s="5"/>
      <c r="H3175" s="6"/>
      <c r="AD3175" s="5">
        <v>45059.0</v>
      </c>
      <c r="AE3175" s="6">
        <v>0.20833333333333334</v>
      </c>
      <c r="AF3175" s="7">
        <v>346.32</v>
      </c>
    </row>
    <row r="3176">
      <c r="G3176" s="5"/>
      <c r="H3176" s="6"/>
      <c r="AD3176" s="5">
        <v>45059.0</v>
      </c>
      <c r="AE3176" s="6">
        <v>0.25</v>
      </c>
      <c r="AF3176" s="7">
        <v>6664.32</v>
      </c>
    </row>
    <row r="3177">
      <c r="G3177" s="10"/>
      <c r="H3177" s="6"/>
      <c r="AD3177" s="5">
        <v>45059.0</v>
      </c>
      <c r="AE3177" s="6">
        <v>0.2916666666666667</v>
      </c>
      <c r="AF3177" s="7">
        <v>16857.36</v>
      </c>
    </row>
    <row r="3178">
      <c r="G3178" s="10"/>
      <c r="H3178" s="6"/>
      <c r="AD3178" s="5">
        <v>45059.0</v>
      </c>
      <c r="AE3178" s="6">
        <v>0.3333333333333333</v>
      </c>
      <c r="AF3178" s="7">
        <v>30965.22</v>
      </c>
    </row>
    <row r="3179">
      <c r="G3179" s="10"/>
      <c r="H3179" s="6"/>
      <c r="AD3179" s="5">
        <v>45059.0</v>
      </c>
      <c r="AE3179" s="6">
        <v>0.375</v>
      </c>
      <c r="AF3179" s="7">
        <v>35395.62</v>
      </c>
    </row>
    <row r="3180">
      <c r="G3180" s="10"/>
      <c r="H3180" s="6"/>
      <c r="AD3180" s="5">
        <v>45059.0</v>
      </c>
      <c r="AE3180" s="6">
        <v>0.4166666666666667</v>
      </c>
      <c r="AF3180" s="7">
        <v>28697.76</v>
      </c>
    </row>
    <row r="3181">
      <c r="G3181" s="10"/>
      <c r="H3181" s="6"/>
      <c r="AD3181" s="5">
        <v>45059.0</v>
      </c>
      <c r="AE3181" s="6">
        <v>0.4583333333333333</v>
      </c>
      <c r="AF3181" s="7">
        <v>32862.96</v>
      </c>
    </row>
    <row r="3182">
      <c r="G3182" s="5"/>
      <c r="H3182" s="6"/>
      <c r="AD3182" s="5">
        <v>45059.0</v>
      </c>
      <c r="AE3182" s="6">
        <v>0.5</v>
      </c>
      <c r="AF3182" s="7">
        <v>53217.84</v>
      </c>
    </row>
    <row r="3183">
      <c r="G3183" s="5"/>
      <c r="H3183" s="6"/>
      <c r="AD3183" s="5">
        <v>45059.0</v>
      </c>
      <c r="AE3183" s="6">
        <v>0.5416666666666666</v>
      </c>
      <c r="AF3183" s="7">
        <v>45411.6</v>
      </c>
    </row>
    <row r="3184">
      <c r="G3184" s="5"/>
      <c r="H3184" s="6"/>
      <c r="AD3184" s="5">
        <v>45059.0</v>
      </c>
      <c r="AE3184" s="6">
        <v>0.5833333333333334</v>
      </c>
      <c r="AF3184" s="7">
        <v>54552.42</v>
      </c>
    </row>
    <row r="3185">
      <c r="G3185" s="10"/>
      <c r="H3185" s="6"/>
      <c r="AD3185" s="5">
        <v>45059.0</v>
      </c>
      <c r="AE3185" s="6">
        <v>0.625</v>
      </c>
      <c r="AF3185" s="7">
        <v>46343.7</v>
      </c>
    </row>
    <row r="3186">
      <c r="G3186" s="10"/>
      <c r="H3186" s="6"/>
      <c r="AD3186" s="5">
        <v>45059.0</v>
      </c>
      <c r="AE3186" s="6">
        <v>0.6666666666666666</v>
      </c>
      <c r="AF3186" s="7">
        <v>32506.5</v>
      </c>
    </row>
    <row r="3187">
      <c r="G3187" s="5"/>
      <c r="H3187" s="6"/>
      <c r="AD3187" s="5">
        <v>45059.0</v>
      </c>
      <c r="AE3187" s="6">
        <v>0.7083333333333334</v>
      </c>
      <c r="AF3187" s="7">
        <v>17064.84</v>
      </c>
    </row>
    <row r="3188">
      <c r="G3188" s="5"/>
      <c r="H3188" s="6"/>
      <c r="AD3188" s="5">
        <v>45059.0</v>
      </c>
      <c r="AE3188" s="6">
        <v>0.75</v>
      </c>
      <c r="AF3188" s="7">
        <v>3436.68</v>
      </c>
    </row>
    <row r="3189">
      <c r="G3189" s="5"/>
      <c r="H3189" s="6"/>
      <c r="AD3189" s="5">
        <v>45059.0</v>
      </c>
      <c r="AE3189" s="6">
        <v>0.7916666666666666</v>
      </c>
      <c r="AF3189" s="7">
        <v>0.0</v>
      </c>
    </row>
    <row r="3190">
      <c r="G3190" s="5"/>
      <c r="H3190" s="6"/>
      <c r="AD3190" s="5">
        <v>45059.0</v>
      </c>
      <c r="AE3190" s="6">
        <v>0.8333333333333334</v>
      </c>
      <c r="AF3190" s="7">
        <v>0.0</v>
      </c>
    </row>
    <row r="3191">
      <c r="G3191" s="5"/>
      <c r="H3191" s="6"/>
      <c r="AD3191" s="5">
        <v>45059.0</v>
      </c>
      <c r="AE3191" s="6">
        <v>0.875</v>
      </c>
      <c r="AF3191" s="7">
        <v>0.0</v>
      </c>
    </row>
    <row r="3192">
      <c r="G3192" s="5"/>
      <c r="H3192" s="6"/>
      <c r="AD3192" s="5">
        <v>45059.0</v>
      </c>
      <c r="AE3192" s="6">
        <v>0.9166666666666666</v>
      </c>
      <c r="AF3192" s="7">
        <v>0.0</v>
      </c>
    </row>
    <row r="3193">
      <c r="G3193" s="5"/>
      <c r="H3193" s="6"/>
      <c r="AD3193" s="5">
        <v>45059.0</v>
      </c>
      <c r="AE3193" s="6">
        <v>0.9583333333333334</v>
      </c>
      <c r="AF3193" s="7">
        <v>0.0</v>
      </c>
    </row>
    <row r="3194">
      <c r="G3194" s="5"/>
      <c r="H3194" s="6"/>
      <c r="AD3194" s="5">
        <v>45060.0</v>
      </c>
      <c r="AE3194" s="6">
        <v>0.0</v>
      </c>
      <c r="AF3194" s="7">
        <v>0.0</v>
      </c>
    </row>
    <row r="3195">
      <c r="G3195" s="5"/>
      <c r="H3195" s="6"/>
      <c r="AD3195" s="5">
        <v>45060.0</v>
      </c>
      <c r="AE3195" s="6">
        <v>0.041666666666666664</v>
      </c>
      <c r="AF3195" s="7">
        <v>0.0</v>
      </c>
    </row>
    <row r="3196">
      <c r="G3196" s="5"/>
      <c r="H3196" s="6"/>
      <c r="AD3196" s="5">
        <v>45060.0</v>
      </c>
      <c r="AE3196" s="6">
        <v>0.08333333333333333</v>
      </c>
      <c r="AF3196" s="7">
        <v>0.0</v>
      </c>
    </row>
    <row r="3197">
      <c r="G3197" s="5"/>
      <c r="H3197" s="6"/>
      <c r="AD3197" s="5">
        <v>45060.0</v>
      </c>
      <c r="AE3197" s="6">
        <v>0.125</v>
      </c>
      <c r="AF3197" s="7">
        <v>0.0</v>
      </c>
    </row>
    <row r="3198">
      <c r="G3198" s="5"/>
      <c r="H3198" s="6"/>
      <c r="AD3198" s="5">
        <v>45060.0</v>
      </c>
      <c r="AE3198" s="6">
        <v>0.16666666666666666</v>
      </c>
      <c r="AF3198" s="7">
        <v>0.0</v>
      </c>
    </row>
    <row r="3199">
      <c r="G3199" s="5"/>
      <c r="H3199" s="6"/>
      <c r="AD3199" s="5">
        <v>45060.0</v>
      </c>
      <c r="AE3199" s="6">
        <v>0.20833333333333334</v>
      </c>
      <c r="AF3199" s="7">
        <v>389.22</v>
      </c>
    </row>
    <row r="3200">
      <c r="G3200" s="5"/>
      <c r="H3200" s="6"/>
      <c r="AD3200" s="5">
        <v>45060.0</v>
      </c>
      <c r="AE3200" s="6">
        <v>0.25</v>
      </c>
      <c r="AF3200" s="7">
        <v>7824.18</v>
      </c>
    </row>
    <row r="3201">
      <c r="G3201" s="5"/>
      <c r="H3201" s="6"/>
      <c r="AD3201" s="5">
        <v>45060.0</v>
      </c>
      <c r="AE3201" s="6">
        <v>0.2916666666666667</v>
      </c>
      <c r="AF3201" s="7">
        <v>23279.88</v>
      </c>
    </row>
    <row r="3202">
      <c r="G3202" s="5"/>
      <c r="H3202" s="6"/>
      <c r="AD3202" s="5">
        <v>45060.0</v>
      </c>
      <c r="AE3202" s="6">
        <v>0.3333333333333333</v>
      </c>
      <c r="AF3202" s="7">
        <v>38617.8</v>
      </c>
    </row>
    <row r="3203">
      <c r="G3203" s="5"/>
      <c r="H3203" s="6"/>
      <c r="AD3203" s="5">
        <v>45060.0</v>
      </c>
      <c r="AE3203" s="6">
        <v>0.375</v>
      </c>
      <c r="AF3203" s="7">
        <v>50681.28</v>
      </c>
    </row>
    <row r="3204">
      <c r="G3204" s="5"/>
      <c r="H3204" s="6"/>
      <c r="AD3204" s="5">
        <v>45060.0</v>
      </c>
      <c r="AE3204" s="6">
        <v>0.4166666666666667</v>
      </c>
      <c r="AF3204" s="7">
        <v>57367.44</v>
      </c>
    </row>
    <row r="3205">
      <c r="G3205" s="5"/>
      <c r="H3205" s="6"/>
      <c r="AD3205" s="5">
        <v>45060.0</v>
      </c>
      <c r="AE3205" s="6">
        <v>0.4583333333333333</v>
      </c>
      <c r="AF3205" s="7">
        <v>59255.82</v>
      </c>
    </row>
    <row r="3206">
      <c r="G3206" s="5"/>
      <c r="H3206" s="6"/>
      <c r="AD3206" s="5">
        <v>45060.0</v>
      </c>
      <c r="AE3206" s="6">
        <v>0.5</v>
      </c>
      <c r="AF3206" s="7">
        <v>60580.26</v>
      </c>
    </row>
    <row r="3207">
      <c r="G3207" s="10"/>
      <c r="H3207" s="6"/>
      <c r="AD3207" s="5">
        <v>45060.0</v>
      </c>
      <c r="AE3207" s="6">
        <v>0.5416666666666666</v>
      </c>
      <c r="AF3207" s="7">
        <v>57851.04</v>
      </c>
    </row>
    <row r="3208">
      <c r="G3208" s="10"/>
      <c r="H3208" s="6"/>
      <c r="AD3208" s="5">
        <v>45060.0</v>
      </c>
      <c r="AE3208" s="6">
        <v>0.5833333333333334</v>
      </c>
      <c r="AF3208" s="7">
        <v>56213.82</v>
      </c>
    </row>
    <row r="3209">
      <c r="G3209" s="10"/>
      <c r="H3209" s="6"/>
      <c r="AD3209" s="5">
        <v>45060.0</v>
      </c>
      <c r="AE3209" s="6">
        <v>0.625</v>
      </c>
      <c r="AF3209" s="7">
        <v>45927.18</v>
      </c>
    </row>
    <row r="3210">
      <c r="G3210" s="5"/>
      <c r="H3210" s="6"/>
      <c r="AD3210" s="5">
        <v>45060.0</v>
      </c>
      <c r="AE3210" s="6">
        <v>0.6666666666666666</v>
      </c>
      <c r="AF3210" s="7">
        <v>32358.3</v>
      </c>
    </row>
    <row r="3211">
      <c r="G3211" s="5"/>
      <c r="H3211" s="6"/>
      <c r="AD3211" s="5">
        <v>45060.0</v>
      </c>
      <c r="AE3211" s="6">
        <v>0.7083333333333334</v>
      </c>
      <c r="AF3211" s="7">
        <v>16950.96</v>
      </c>
    </row>
    <row r="3212">
      <c r="G3212" s="5"/>
      <c r="H3212" s="6"/>
      <c r="AD3212" s="5">
        <v>45060.0</v>
      </c>
      <c r="AE3212" s="6">
        <v>0.75</v>
      </c>
      <c r="AF3212" s="7">
        <v>3546.66</v>
      </c>
    </row>
    <row r="3213">
      <c r="G3213" s="5"/>
      <c r="H3213" s="6"/>
      <c r="AD3213" s="5">
        <v>45060.0</v>
      </c>
      <c r="AE3213" s="6">
        <v>0.7916666666666666</v>
      </c>
      <c r="AF3213" s="7">
        <v>0.0</v>
      </c>
    </row>
    <row r="3214">
      <c r="G3214" s="5"/>
      <c r="H3214" s="6"/>
      <c r="AD3214" s="5">
        <v>45060.0</v>
      </c>
      <c r="AE3214" s="6">
        <v>0.8333333333333334</v>
      </c>
      <c r="AF3214" s="7">
        <v>0.0</v>
      </c>
    </row>
    <row r="3215">
      <c r="G3215" s="10"/>
      <c r="H3215" s="6"/>
      <c r="AD3215" s="5">
        <v>45060.0</v>
      </c>
      <c r="AE3215" s="6">
        <v>0.875</v>
      </c>
      <c r="AF3215" s="7">
        <v>0.0</v>
      </c>
    </row>
    <row r="3216">
      <c r="G3216" s="10"/>
      <c r="H3216" s="6"/>
      <c r="AD3216" s="5">
        <v>45060.0</v>
      </c>
      <c r="AE3216" s="6">
        <v>0.9166666666666666</v>
      </c>
      <c r="AF3216" s="7">
        <v>0.0</v>
      </c>
    </row>
    <row r="3217">
      <c r="G3217" s="10"/>
      <c r="H3217" s="6"/>
      <c r="AD3217" s="5">
        <v>45060.0</v>
      </c>
      <c r="AE3217" s="6">
        <v>0.9583333333333334</v>
      </c>
      <c r="AF3217" s="7">
        <v>0.0</v>
      </c>
    </row>
    <row r="3218">
      <c r="G3218" s="10"/>
      <c r="H3218" s="6"/>
      <c r="AD3218" s="5">
        <v>45061.0</v>
      </c>
      <c r="AE3218" s="6">
        <v>0.0</v>
      </c>
      <c r="AF3218" s="7">
        <v>0.0</v>
      </c>
    </row>
    <row r="3219">
      <c r="G3219" s="10"/>
      <c r="H3219" s="6"/>
      <c r="AD3219" s="5">
        <v>45061.0</v>
      </c>
      <c r="AE3219" s="6">
        <v>0.041666666666666664</v>
      </c>
      <c r="AF3219" s="7">
        <v>0.0</v>
      </c>
    </row>
    <row r="3220">
      <c r="G3220" s="10"/>
      <c r="H3220" s="6"/>
      <c r="AD3220" s="5">
        <v>45061.0</v>
      </c>
      <c r="AE3220" s="6">
        <v>0.08333333333333333</v>
      </c>
      <c r="AF3220" s="7">
        <v>0.0</v>
      </c>
    </row>
    <row r="3221">
      <c r="G3221" s="5"/>
      <c r="H3221" s="6"/>
      <c r="AD3221" s="5">
        <v>45061.0</v>
      </c>
      <c r="AE3221" s="6">
        <v>0.125</v>
      </c>
      <c r="AF3221" s="7">
        <v>0.0</v>
      </c>
    </row>
    <row r="3222">
      <c r="G3222" s="5"/>
      <c r="H3222" s="6"/>
      <c r="AD3222" s="5">
        <v>45061.0</v>
      </c>
      <c r="AE3222" s="6">
        <v>0.16666666666666666</v>
      </c>
      <c r="AF3222" s="7">
        <v>0.0</v>
      </c>
    </row>
    <row r="3223">
      <c r="G3223" s="5"/>
      <c r="H3223" s="6"/>
      <c r="AD3223" s="5">
        <v>45061.0</v>
      </c>
      <c r="AE3223" s="6">
        <v>0.20833333333333334</v>
      </c>
      <c r="AF3223" s="7">
        <v>390.78</v>
      </c>
    </row>
    <row r="3224">
      <c r="G3224" s="5"/>
      <c r="H3224" s="6"/>
      <c r="AD3224" s="5">
        <v>45061.0</v>
      </c>
      <c r="AE3224" s="6">
        <v>0.25</v>
      </c>
      <c r="AF3224" s="7">
        <v>7867.86</v>
      </c>
    </row>
    <row r="3225">
      <c r="G3225" s="10"/>
      <c r="H3225" s="6"/>
      <c r="AD3225" s="5">
        <v>45061.0</v>
      </c>
      <c r="AE3225" s="6">
        <v>0.2916666666666667</v>
      </c>
      <c r="AF3225" s="7">
        <v>23486.58</v>
      </c>
    </row>
    <row r="3226">
      <c r="G3226" s="10"/>
      <c r="H3226" s="6"/>
      <c r="AD3226" s="5">
        <v>45061.0</v>
      </c>
      <c r="AE3226" s="6">
        <v>0.3333333333333333</v>
      </c>
      <c r="AF3226" s="7">
        <v>38757.42</v>
      </c>
    </row>
    <row r="3227">
      <c r="G3227" s="10"/>
      <c r="H3227" s="6"/>
      <c r="AD3227" s="5">
        <v>45061.0</v>
      </c>
      <c r="AE3227" s="6">
        <v>0.375</v>
      </c>
      <c r="AF3227" s="7">
        <v>51478.44</v>
      </c>
    </row>
    <row r="3228">
      <c r="G3228" s="5"/>
      <c r="H3228" s="6"/>
      <c r="AD3228" s="5">
        <v>45061.0</v>
      </c>
      <c r="AE3228" s="6">
        <v>0.4166666666666667</v>
      </c>
      <c r="AF3228" s="7">
        <v>60312.72</v>
      </c>
    </row>
    <row r="3229">
      <c r="G3229" s="5"/>
      <c r="H3229" s="6"/>
      <c r="AD3229" s="5">
        <v>45061.0</v>
      </c>
      <c r="AE3229" s="6">
        <v>0.4583333333333333</v>
      </c>
      <c r="AF3229" s="7">
        <v>63961.56</v>
      </c>
    </row>
    <row r="3230">
      <c r="G3230" s="5"/>
      <c r="H3230" s="6"/>
      <c r="AD3230" s="5">
        <v>45061.0</v>
      </c>
      <c r="AE3230" s="6">
        <v>0.5</v>
      </c>
      <c r="AF3230" s="7">
        <v>66609.66</v>
      </c>
    </row>
    <row r="3231">
      <c r="G3231" s="5"/>
      <c r="H3231" s="6"/>
      <c r="AD3231" s="5">
        <v>45061.0</v>
      </c>
      <c r="AE3231" s="6">
        <v>0.5416666666666666</v>
      </c>
      <c r="AF3231" s="7">
        <v>62766.6</v>
      </c>
    </row>
    <row r="3232">
      <c r="G3232" s="10"/>
      <c r="H3232" s="6"/>
      <c r="AD3232" s="5">
        <v>45061.0</v>
      </c>
      <c r="AE3232" s="6">
        <v>0.5833333333333334</v>
      </c>
      <c r="AF3232" s="7">
        <v>50837.28</v>
      </c>
    </row>
    <row r="3233">
      <c r="G3233" s="10"/>
      <c r="H3233" s="6"/>
      <c r="AD3233" s="5">
        <v>45061.0</v>
      </c>
      <c r="AE3233" s="6">
        <v>0.625</v>
      </c>
      <c r="AF3233" s="7">
        <v>44731.44</v>
      </c>
    </row>
    <row r="3234">
      <c r="G3234" s="10"/>
      <c r="H3234" s="6"/>
      <c r="AD3234" s="5">
        <v>45061.0</v>
      </c>
      <c r="AE3234" s="6">
        <v>0.6666666666666666</v>
      </c>
      <c r="AF3234" s="7">
        <v>32678.1</v>
      </c>
    </row>
    <row r="3235">
      <c r="G3235" s="10"/>
      <c r="H3235" s="6"/>
      <c r="AD3235" s="5">
        <v>45061.0</v>
      </c>
      <c r="AE3235" s="6">
        <v>0.7083333333333334</v>
      </c>
      <c r="AF3235" s="7">
        <v>15640.56</v>
      </c>
    </row>
    <row r="3236">
      <c r="G3236" s="5"/>
      <c r="H3236" s="6"/>
      <c r="AD3236" s="5">
        <v>45061.0</v>
      </c>
      <c r="AE3236" s="6">
        <v>0.75</v>
      </c>
      <c r="AF3236" s="7">
        <v>3820.44</v>
      </c>
    </row>
    <row r="3237">
      <c r="G3237" s="5"/>
      <c r="H3237" s="6"/>
      <c r="AD3237" s="5">
        <v>45061.0</v>
      </c>
      <c r="AE3237" s="6">
        <v>0.7916666666666666</v>
      </c>
      <c r="AF3237" s="7">
        <v>0.0</v>
      </c>
    </row>
    <row r="3238">
      <c r="G3238" s="10"/>
      <c r="H3238" s="6"/>
      <c r="AD3238" s="5">
        <v>45061.0</v>
      </c>
      <c r="AE3238" s="6">
        <v>0.8333333333333334</v>
      </c>
      <c r="AF3238" s="7">
        <v>0.0</v>
      </c>
    </row>
    <row r="3239">
      <c r="G3239" s="10"/>
      <c r="H3239" s="6"/>
      <c r="AD3239" s="5">
        <v>45061.0</v>
      </c>
      <c r="AE3239" s="6">
        <v>0.875</v>
      </c>
      <c r="AF3239" s="7">
        <v>0.0</v>
      </c>
    </row>
    <row r="3240">
      <c r="G3240" s="10"/>
      <c r="H3240" s="6"/>
      <c r="AD3240" s="5">
        <v>45061.0</v>
      </c>
      <c r="AE3240" s="6">
        <v>0.9166666666666666</v>
      </c>
      <c r="AF3240" s="7">
        <v>0.0</v>
      </c>
    </row>
    <row r="3241">
      <c r="G3241" s="10"/>
      <c r="H3241" s="6"/>
      <c r="AD3241" s="5">
        <v>45061.0</v>
      </c>
      <c r="AE3241" s="6">
        <v>0.9583333333333334</v>
      </c>
      <c r="AF3241" s="7">
        <v>0.0</v>
      </c>
    </row>
    <row r="3242">
      <c r="G3242" s="10"/>
      <c r="H3242" s="6"/>
      <c r="AD3242" s="5">
        <v>45062.0</v>
      </c>
      <c r="AE3242" s="6">
        <v>0.0</v>
      </c>
      <c r="AF3242" s="7">
        <v>0.0</v>
      </c>
    </row>
    <row r="3243">
      <c r="G3243" s="10"/>
      <c r="H3243" s="6"/>
      <c r="AD3243" s="5">
        <v>45062.0</v>
      </c>
      <c r="AE3243" s="6">
        <v>0.041666666666666664</v>
      </c>
      <c r="AF3243" s="7">
        <v>0.0</v>
      </c>
    </row>
    <row r="3244">
      <c r="G3244" s="10"/>
      <c r="H3244" s="6"/>
      <c r="AD3244" s="5">
        <v>45062.0</v>
      </c>
      <c r="AE3244" s="6">
        <v>0.08333333333333333</v>
      </c>
      <c r="AF3244" s="7">
        <v>0.0</v>
      </c>
    </row>
    <row r="3245">
      <c r="G3245" s="10"/>
      <c r="H3245" s="6"/>
      <c r="AD3245" s="5">
        <v>45062.0</v>
      </c>
      <c r="AE3245" s="6">
        <v>0.125</v>
      </c>
      <c r="AF3245" s="7">
        <v>0.0</v>
      </c>
    </row>
    <row r="3246">
      <c r="G3246" s="5"/>
      <c r="H3246" s="6"/>
      <c r="AD3246" s="5">
        <v>45062.0</v>
      </c>
      <c r="AE3246" s="6">
        <v>0.16666666666666666</v>
      </c>
      <c r="AF3246" s="7">
        <v>0.0</v>
      </c>
    </row>
    <row r="3247">
      <c r="G3247" s="5"/>
      <c r="H3247" s="6"/>
      <c r="AD3247" s="5">
        <v>45062.0</v>
      </c>
      <c r="AE3247" s="6">
        <v>0.20833333333333334</v>
      </c>
      <c r="AF3247" s="7">
        <v>439.14</v>
      </c>
    </row>
    <row r="3248">
      <c r="G3248" s="10"/>
      <c r="H3248" s="6"/>
      <c r="AD3248" s="5">
        <v>45062.0</v>
      </c>
      <c r="AE3248" s="6">
        <v>0.25</v>
      </c>
      <c r="AF3248" s="7">
        <v>8143.98</v>
      </c>
    </row>
    <row r="3249">
      <c r="G3249" s="10"/>
      <c r="H3249" s="6"/>
      <c r="AD3249" s="5">
        <v>45062.0</v>
      </c>
      <c r="AE3249" s="6">
        <v>0.2916666666666667</v>
      </c>
      <c r="AF3249" s="7">
        <v>23872.68</v>
      </c>
    </row>
    <row r="3250">
      <c r="G3250" s="10"/>
      <c r="H3250" s="6"/>
      <c r="AD3250" s="5">
        <v>45062.0</v>
      </c>
      <c r="AE3250" s="6">
        <v>0.3333333333333333</v>
      </c>
      <c r="AF3250" s="7">
        <v>39341.64</v>
      </c>
    </row>
    <row r="3251">
      <c r="G3251" s="10"/>
      <c r="H3251" s="6"/>
      <c r="AD3251" s="5">
        <v>45062.0</v>
      </c>
      <c r="AE3251" s="6">
        <v>0.375</v>
      </c>
      <c r="AF3251" s="7">
        <v>52221.0</v>
      </c>
    </row>
    <row r="3252">
      <c r="G3252" s="10"/>
      <c r="H3252" s="6"/>
      <c r="AD3252" s="5">
        <v>45062.0</v>
      </c>
      <c r="AE3252" s="6">
        <v>0.4166666666666667</v>
      </c>
      <c r="AF3252" s="7">
        <v>61513.92</v>
      </c>
    </row>
    <row r="3253">
      <c r="G3253" s="10"/>
      <c r="H3253" s="6"/>
      <c r="AD3253" s="5">
        <v>45062.0</v>
      </c>
      <c r="AE3253" s="6">
        <v>0.4583333333333333</v>
      </c>
      <c r="AF3253" s="7">
        <v>67002.0</v>
      </c>
    </row>
    <row r="3254">
      <c r="G3254" s="10"/>
      <c r="H3254" s="6"/>
      <c r="AD3254" s="5">
        <v>45062.0</v>
      </c>
      <c r="AE3254" s="6">
        <v>0.5</v>
      </c>
      <c r="AF3254" s="7">
        <v>68469.96</v>
      </c>
    </row>
    <row r="3255">
      <c r="G3255" s="10"/>
      <c r="H3255" s="6"/>
      <c r="AD3255" s="5">
        <v>45062.0</v>
      </c>
      <c r="AE3255" s="6">
        <v>0.5416666666666666</v>
      </c>
      <c r="AF3255" s="7">
        <v>65654.94</v>
      </c>
    </row>
    <row r="3256">
      <c r="G3256" s="10"/>
      <c r="H3256" s="6"/>
      <c r="AD3256" s="5">
        <v>45062.0</v>
      </c>
      <c r="AE3256" s="6">
        <v>0.5833333333333334</v>
      </c>
      <c r="AF3256" s="7">
        <v>57576.48</v>
      </c>
    </row>
    <row r="3257">
      <c r="G3257" s="10"/>
      <c r="H3257" s="6"/>
      <c r="AD3257" s="5">
        <v>45062.0</v>
      </c>
      <c r="AE3257" s="6">
        <v>0.625</v>
      </c>
      <c r="AF3257" s="7">
        <v>46696.26</v>
      </c>
    </row>
    <row r="3258">
      <c r="G3258" s="10"/>
      <c r="H3258" s="6"/>
      <c r="AD3258" s="5">
        <v>45062.0</v>
      </c>
      <c r="AE3258" s="6">
        <v>0.6666666666666666</v>
      </c>
      <c r="AF3258" s="7">
        <v>33071.22</v>
      </c>
    </row>
    <row r="3259">
      <c r="G3259" s="10"/>
      <c r="H3259" s="6"/>
      <c r="AD3259" s="5">
        <v>45062.0</v>
      </c>
      <c r="AE3259" s="6">
        <v>0.7083333333333334</v>
      </c>
      <c r="AF3259" s="7">
        <v>17105.4</v>
      </c>
    </row>
    <row r="3260">
      <c r="G3260" s="10"/>
      <c r="H3260" s="6"/>
      <c r="AD3260" s="5">
        <v>45062.0</v>
      </c>
      <c r="AE3260" s="6">
        <v>0.75</v>
      </c>
      <c r="AF3260" s="7">
        <v>3800.16</v>
      </c>
    </row>
    <row r="3261">
      <c r="G3261" s="10"/>
      <c r="H3261" s="6"/>
      <c r="AD3261" s="5">
        <v>45062.0</v>
      </c>
      <c r="AE3261" s="6">
        <v>0.7916666666666666</v>
      </c>
      <c r="AF3261" s="7">
        <v>0.0</v>
      </c>
    </row>
    <row r="3262">
      <c r="G3262" s="10"/>
      <c r="H3262" s="6"/>
      <c r="AD3262" s="5">
        <v>45062.0</v>
      </c>
      <c r="AE3262" s="6">
        <v>0.8333333333333334</v>
      </c>
      <c r="AF3262" s="7">
        <v>0.0</v>
      </c>
    </row>
    <row r="3263">
      <c r="G3263" s="10"/>
      <c r="H3263" s="6"/>
      <c r="AD3263" s="5">
        <v>45062.0</v>
      </c>
      <c r="AE3263" s="6">
        <v>0.875</v>
      </c>
      <c r="AF3263" s="7">
        <v>0.0</v>
      </c>
    </row>
    <row r="3264">
      <c r="G3264" s="10"/>
      <c r="H3264" s="6"/>
      <c r="AD3264" s="5">
        <v>45062.0</v>
      </c>
      <c r="AE3264" s="6">
        <v>0.9166666666666666</v>
      </c>
      <c r="AF3264" s="7">
        <v>0.0</v>
      </c>
    </row>
    <row r="3265">
      <c r="G3265" s="10"/>
      <c r="H3265" s="6"/>
      <c r="AD3265" s="5">
        <v>45062.0</v>
      </c>
      <c r="AE3265" s="6">
        <v>0.9583333333333334</v>
      </c>
      <c r="AF3265" s="7">
        <v>0.0</v>
      </c>
    </row>
    <row r="3266">
      <c r="G3266" s="5"/>
      <c r="H3266" s="6"/>
      <c r="AD3266" s="5">
        <v>45063.0</v>
      </c>
      <c r="AE3266" s="6">
        <v>0.0</v>
      </c>
      <c r="AF3266" s="7">
        <v>0.0</v>
      </c>
    </row>
    <row r="3267">
      <c r="G3267" s="5"/>
      <c r="H3267" s="6"/>
      <c r="AD3267" s="5">
        <v>45063.0</v>
      </c>
      <c r="AE3267" s="6">
        <v>0.041666666666666664</v>
      </c>
      <c r="AF3267" s="7">
        <v>0.0</v>
      </c>
    </row>
    <row r="3268">
      <c r="G3268" s="5"/>
      <c r="H3268" s="6"/>
      <c r="AD3268" s="5">
        <v>45063.0</v>
      </c>
      <c r="AE3268" s="6">
        <v>0.08333333333333333</v>
      </c>
      <c r="AF3268" s="7">
        <v>0.0</v>
      </c>
    </row>
    <row r="3269">
      <c r="G3269" s="5"/>
      <c r="H3269" s="6"/>
      <c r="AD3269" s="5">
        <v>45063.0</v>
      </c>
      <c r="AE3269" s="6">
        <v>0.125</v>
      </c>
      <c r="AF3269" s="7">
        <v>0.0</v>
      </c>
    </row>
    <row r="3270">
      <c r="G3270" s="10"/>
      <c r="H3270" s="6"/>
      <c r="AD3270" s="5">
        <v>45063.0</v>
      </c>
      <c r="AE3270" s="6">
        <v>0.16666666666666666</v>
      </c>
      <c r="AF3270" s="7">
        <v>0.0</v>
      </c>
    </row>
    <row r="3271">
      <c r="G3271" s="10"/>
      <c r="H3271" s="6"/>
      <c r="AD3271" s="5">
        <v>45063.0</v>
      </c>
      <c r="AE3271" s="6">
        <v>0.20833333333333334</v>
      </c>
      <c r="AF3271" s="7">
        <v>488.28</v>
      </c>
    </row>
    <row r="3272">
      <c r="G3272" s="10"/>
      <c r="H3272" s="6"/>
      <c r="AD3272" s="5">
        <v>45063.0</v>
      </c>
      <c r="AE3272" s="6">
        <v>0.25</v>
      </c>
      <c r="AF3272" s="7">
        <v>8352.24</v>
      </c>
    </row>
    <row r="3273">
      <c r="G3273" s="10"/>
      <c r="H3273" s="6"/>
      <c r="AD3273" s="5">
        <v>45063.0</v>
      </c>
      <c r="AE3273" s="6">
        <v>0.2916666666666667</v>
      </c>
      <c r="AF3273" s="7">
        <v>24049.74</v>
      </c>
    </row>
    <row r="3274">
      <c r="G3274" s="10"/>
      <c r="H3274" s="6"/>
      <c r="AD3274" s="5">
        <v>45063.0</v>
      </c>
      <c r="AE3274" s="6">
        <v>0.3333333333333333</v>
      </c>
      <c r="AF3274" s="7">
        <v>38907.18</v>
      </c>
    </row>
    <row r="3275">
      <c r="G3275" s="10"/>
      <c r="H3275" s="6"/>
      <c r="AD3275" s="5">
        <v>45063.0</v>
      </c>
      <c r="AE3275" s="6">
        <v>0.375</v>
      </c>
      <c r="AF3275" s="7">
        <v>51678.9</v>
      </c>
    </row>
    <row r="3276">
      <c r="G3276" s="5"/>
      <c r="H3276" s="6"/>
      <c r="AD3276" s="5">
        <v>45063.0</v>
      </c>
      <c r="AE3276" s="6">
        <v>0.4166666666666667</v>
      </c>
      <c r="AF3276" s="7">
        <v>60561.54</v>
      </c>
    </row>
    <row r="3277">
      <c r="G3277" s="5"/>
      <c r="H3277" s="6"/>
      <c r="AD3277" s="5">
        <v>45063.0</v>
      </c>
      <c r="AE3277" s="6">
        <v>0.4583333333333333</v>
      </c>
      <c r="AF3277" s="7">
        <v>65049.66</v>
      </c>
    </row>
    <row r="3278">
      <c r="G3278" s="5"/>
      <c r="H3278" s="6"/>
      <c r="AD3278" s="5">
        <v>45063.0</v>
      </c>
      <c r="AE3278" s="6">
        <v>0.5</v>
      </c>
      <c r="AF3278" s="7">
        <v>66135.42</v>
      </c>
    </row>
    <row r="3279">
      <c r="G3279" s="5"/>
      <c r="H3279" s="6"/>
      <c r="AD3279" s="5">
        <v>45063.0</v>
      </c>
      <c r="AE3279" s="6">
        <v>0.5416666666666666</v>
      </c>
      <c r="AF3279" s="7">
        <v>63210.42</v>
      </c>
    </row>
    <row r="3280">
      <c r="G3280" s="10"/>
      <c r="H3280" s="6"/>
      <c r="AD3280" s="5">
        <v>45063.0</v>
      </c>
      <c r="AE3280" s="6">
        <v>0.5833333333333334</v>
      </c>
      <c r="AF3280" s="7">
        <v>56172.48</v>
      </c>
    </row>
    <row r="3281">
      <c r="G3281" s="10"/>
      <c r="H3281" s="6"/>
      <c r="AD3281" s="5">
        <v>45063.0</v>
      </c>
      <c r="AE3281" s="6">
        <v>0.625</v>
      </c>
      <c r="AF3281" s="7">
        <v>46136.22</v>
      </c>
    </row>
    <row r="3282">
      <c r="G3282" s="10"/>
      <c r="H3282" s="6"/>
      <c r="AD3282" s="5">
        <v>45063.0</v>
      </c>
      <c r="AE3282" s="6">
        <v>0.6666666666666666</v>
      </c>
      <c r="AF3282" s="7">
        <v>32647.68</v>
      </c>
    </row>
    <row r="3283">
      <c r="G3283" s="10"/>
      <c r="H3283" s="6"/>
      <c r="AD3283" s="5">
        <v>45063.0</v>
      </c>
      <c r="AE3283" s="6">
        <v>0.7083333333333334</v>
      </c>
      <c r="AF3283" s="7">
        <v>17336.28</v>
      </c>
    </row>
    <row r="3284">
      <c r="G3284" s="10"/>
      <c r="H3284" s="6"/>
      <c r="AD3284" s="5">
        <v>45063.0</v>
      </c>
      <c r="AE3284" s="6">
        <v>0.75</v>
      </c>
      <c r="AF3284" s="7">
        <v>3921.06</v>
      </c>
    </row>
    <row r="3285">
      <c r="G3285" s="10"/>
      <c r="H3285" s="6"/>
      <c r="AD3285" s="5">
        <v>45063.0</v>
      </c>
      <c r="AE3285" s="6">
        <v>0.7916666666666666</v>
      </c>
      <c r="AF3285" s="7">
        <v>0.0</v>
      </c>
    </row>
    <row r="3286">
      <c r="G3286" s="10"/>
      <c r="H3286" s="6"/>
      <c r="AD3286" s="5">
        <v>45063.0</v>
      </c>
      <c r="AE3286" s="6">
        <v>0.8333333333333334</v>
      </c>
      <c r="AF3286" s="7">
        <v>0.0</v>
      </c>
    </row>
    <row r="3287">
      <c r="G3287" s="10"/>
      <c r="H3287" s="6"/>
      <c r="AD3287" s="5">
        <v>45063.0</v>
      </c>
      <c r="AE3287" s="6">
        <v>0.875</v>
      </c>
      <c r="AF3287" s="7">
        <v>0.0</v>
      </c>
    </row>
    <row r="3288">
      <c r="G3288" s="10"/>
      <c r="H3288" s="6"/>
      <c r="AD3288" s="5">
        <v>45063.0</v>
      </c>
      <c r="AE3288" s="6">
        <v>0.9166666666666666</v>
      </c>
      <c r="AF3288" s="7">
        <v>0.0</v>
      </c>
    </row>
    <row r="3289">
      <c r="G3289" s="10"/>
      <c r="H3289" s="6"/>
      <c r="AD3289" s="5">
        <v>45063.0</v>
      </c>
      <c r="AE3289" s="6">
        <v>0.9583333333333334</v>
      </c>
      <c r="AF3289" s="7">
        <v>0.0</v>
      </c>
    </row>
    <row r="3290">
      <c r="G3290" s="5"/>
      <c r="H3290" s="6"/>
      <c r="AD3290" s="5">
        <v>45064.0</v>
      </c>
      <c r="AE3290" s="6">
        <v>0.0</v>
      </c>
      <c r="AF3290" s="7">
        <v>0.0</v>
      </c>
    </row>
    <row r="3291">
      <c r="G3291" s="5"/>
      <c r="H3291" s="6"/>
      <c r="AD3291" s="5">
        <v>45064.0</v>
      </c>
      <c r="AE3291" s="6">
        <v>0.041666666666666664</v>
      </c>
      <c r="AF3291" s="7">
        <v>0.0</v>
      </c>
    </row>
    <row r="3292">
      <c r="G3292" s="5"/>
      <c r="H3292" s="6"/>
      <c r="AD3292" s="5">
        <v>45064.0</v>
      </c>
      <c r="AE3292" s="6">
        <v>0.08333333333333333</v>
      </c>
      <c r="AF3292" s="7">
        <v>0.0</v>
      </c>
    </row>
    <row r="3293">
      <c r="G3293" s="5"/>
      <c r="H3293" s="6"/>
      <c r="AD3293" s="5">
        <v>45064.0</v>
      </c>
      <c r="AE3293" s="6">
        <v>0.125</v>
      </c>
      <c r="AF3293" s="7">
        <v>0.0</v>
      </c>
    </row>
    <row r="3294">
      <c r="G3294" s="5"/>
      <c r="H3294" s="6"/>
      <c r="AD3294" s="5">
        <v>45064.0</v>
      </c>
      <c r="AE3294" s="6">
        <v>0.16666666666666666</v>
      </c>
      <c r="AF3294" s="7">
        <v>0.0</v>
      </c>
    </row>
    <row r="3295">
      <c r="G3295" s="10"/>
      <c r="H3295" s="6"/>
      <c r="AD3295" s="5">
        <v>45064.0</v>
      </c>
      <c r="AE3295" s="6">
        <v>0.20833333333333334</v>
      </c>
      <c r="AF3295" s="7">
        <v>531.96</v>
      </c>
    </row>
    <row r="3296">
      <c r="G3296" s="10"/>
      <c r="H3296" s="6"/>
      <c r="AD3296" s="5">
        <v>45064.0</v>
      </c>
      <c r="AE3296" s="6">
        <v>0.25</v>
      </c>
      <c r="AF3296" s="7">
        <v>8243.82</v>
      </c>
    </row>
    <row r="3297">
      <c r="G3297" s="10"/>
      <c r="H3297" s="6"/>
      <c r="AD3297" s="5">
        <v>45064.0</v>
      </c>
      <c r="AE3297" s="6">
        <v>0.2916666666666667</v>
      </c>
      <c r="AF3297" s="7">
        <v>23803.26</v>
      </c>
    </row>
    <row r="3298">
      <c r="G3298" s="10"/>
      <c r="H3298" s="6"/>
      <c r="AD3298" s="5">
        <v>45064.0</v>
      </c>
      <c r="AE3298" s="6">
        <v>0.3333333333333333</v>
      </c>
      <c r="AF3298" s="7">
        <v>39210.6</v>
      </c>
    </row>
    <row r="3299">
      <c r="G3299" s="10"/>
      <c r="H3299" s="6"/>
      <c r="AD3299" s="5">
        <v>45064.0</v>
      </c>
      <c r="AE3299" s="6">
        <v>0.375</v>
      </c>
      <c r="AF3299" s="7">
        <v>50013.6</v>
      </c>
    </row>
    <row r="3300">
      <c r="G3300" s="5"/>
      <c r="H3300" s="6"/>
      <c r="AD3300" s="5">
        <v>45064.0</v>
      </c>
      <c r="AE3300" s="6">
        <v>0.4166666666666667</v>
      </c>
      <c r="AF3300" s="7">
        <v>57351.06</v>
      </c>
    </row>
    <row r="3301">
      <c r="G3301" s="5"/>
      <c r="H3301" s="6"/>
      <c r="AD3301" s="5">
        <v>45064.0</v>
      </c>
      <c r="AE3301" s="6">
        <v>0.4583333333333333</v>
      </c>
      <c r="AF3301" s="7">
        <v>64794.6</v>
      </c>
    </row>
    <row r="3302">
      <c r="G3302" s="10"/>
      <c r="H3302" s="6"/>
      <c r="AD3302" s="5">
        <v>45064.0</v>
      </c>
      <c r="AE3302" s="6">
        <v>0.5</v>
      </c>
      <c r="AF3302" s="7">
        <v>64839.06</v>
      </c>
    </row>
    <row r="3303">
      <c r="G3303" s="10"/>
      <c r="H3303" s="6"/>
      <c r="AD3303" s="5">
        <v>45064.0</v>
      </c>
      <c r="AE3303" s="6">
        <v>0.5416666666666666</v>
      </c>
      <c r="AF3303" s="7">
        <v>63197.94</v>
      </c>
    </row>
    <row r="3304">
      <c r="G3304" s="10"/>
      <c r="H3304" s="6"/>
      <c r="AD3304" s="5">
        <v>45064.0</v>
      </c>
      <c r="AE3304" s="6">
        <v>0.5833333333333334</v>
      </c>
      <c r="AF3304" s="7">
        <v>56348.76</v>
      </c>
    </row>
    <row r="3305">
      <c r="G3305" s="10"/>
      <c r="H3305" s="6"/>
      <c r="AD3305" s="5">
        <v>45064.0</v>
      </c>
      <c r="AE3305" s="6">
        <v>0.625</v>
      </c>
      <c r="AF3305" s="7">
        <v>23474.88</v>
      </c>
    </row>
    <row r="3306">
      <c r="G3306" s="10"/>
      <c r="H3306" s="6"/>
      <c r="AD3306" s="5">
        <v>45064.0</v>
      </c>
      <c r="AE3306" s="6">
        <v>0.6666666666666666</v>
      </c>
      <c r="AF3306" s="7">
        <v>21173.88</v>
      </c>
    </row>
    <row r="3307">
      <c r="G3307" s="10"/>
      <c r="H3307" s="6"/>
      <c r="AD3307" s="5">
        <v>45064.0</v>
      </c>
      <c r="AE3307" s="6">
        <v>0.7083333333333334</v>
      </c>
      <c r="AF3307" s="7">
        <v>16113.24</v>
      </c>
    </row>
    <row r="3308">
      <c r="G3308" s="10"/>
      <c r="H3308" s="6"/>
      <c r="AD3308" s="5">
        <v>45064.0</v>
      </c>
      <c r="AE3308" s="6">
        <v>0.75</v>
      </c>
      <c r="AF3308" s="7">
        <v>3863.34</v>
      </c>
    </row>
    <row r="3309">
      <c r="G3309" s="10"/>
      <c r="H3309" s="6"/>
      <c r="AD3309" s="5">
        <v>45064.0</v>
      </c>
      <c r="AE3309" s="6">
        <v>0.7916666666666666</v>
      </c>
      <c r="AF3309" s="7">
        <v>0.0</v>
      </c>
    </row>
    <row r="3310">
      <c r="G3310" s="10"/>
      <c r="H3310" s="6"/>
      <c r="AD3310" s="5">
        <v>45064.0</v>
      </c>
      <c r="AE3310" s="6">
        <v>0.8333333333333334</v>
      </c>
      <c r="AF3310" s="7">
        <v>0.0</v>
      </c>
    </row>
    <row r="3311">
      <c r="G3311" s="10"/>
      <c r="H3311" s="6"/>
      <c r="AD3311" s="5">
        <v>45064.0</v>
      </c>
      <c r="AE3311" s="6">
        <v>0.875</v>
      </c>
      <c r="AF3311" s="7">
        <v>0.0</v>
      </c>
    </row>
    <row r="3312">
      <c r="G3312" s="10"/>
      <c r="H3312" s="6"/>
      <c r="AD3312" s="5">
        <v>45064.0</v>
      </c>
      <c r="AE3312" s="6">
        <v>0.9166666666666666</v>
      </c>
      <c r="AF3312" s="7">
        <v>0.0</v>
      </c>
    </row>
    <row r="3313">
      <c r="G3313" s="10"/>
      <c r="H3313" s="6"/>
      <c r="AD3313" s="5">
        <v>45064.0</v>
      </c>
      <c r="AE3313" s="6">
        <v>0.9583333333333334</v>
      </c>
      <c r="AF3313" s="7">
        <v>0.0</v>
      </c>
    </row>
    <row r="3314">
      <c r="G3314" s="10"/>
      <c r="H3314" s="6"/>
      <c r="AD3314" s="5">
        <v>45065.0</v>
      </c>
      <c r="AE3314" s="6">
        <v>0.0</v>
      </c>
      <c r="AF3314" s="7">
        <v>0.0</v>
      </c>
    </row>
    <row r="3315">
      <c r="G3315" s="10"/>
      <c r="H3315" s="6"/>
      <c r="AD3315" s="5">
        <v>45065.0</v>
      </c>
      <c r="AE3315" s="6">
        <v>0.041666666666666664</v>
      </c>
      <c r="AF3315" s="7">
        <v>0.0</v>
      </c>
    </row>
    <row r="3316">
      <c r="G3316" s="10"/>
      <c r="H3316" s="6"/>
      <c r="AD3316" s="5">
        <v>45065.0</v>
      </c>
      <c r="AE3316" s="6">
        <v>0.08333333333333333</v>
      </c>
      <c r="AF3316" s="7">
        <v>0.0</v>
      </c>
    </row>
    <row r="3317">
      <c r="G3317" s="5"/>
      <c r="H3317" s="6"/>
      <c r="AD3317" s="5">
        <v>45065.0</v>
      </c>
      <c r="AE3317" s="6">
        <v>0.125</v>
      </c>
      <c r="AF3317" s="7">
        <v>0.0</v>
      </c>
    </row>
    <row r="3318">
      <c r="G3318" s="5"/>
      <c r="H3318" s="6"/>
      <c r="AD3318" s="5">
        <v>45065.0</v>
      </c>
      <c r="AE3318" s="6">
        <v>0.16666666666666666</v>
      </c>
      <c r="AF3318" s="7">
        <v>0.0</v>
      </c>
    </row>
    <row r="3319">
      <c r="G3319" s="5"/>
      <c r="H3319" s="6"/>
      <c r="AD3319" s="5">
        <v>45065.0</v>
      </c>
      <c r="AE3319" s="6">
        <v>0.20833333333333334</v>
      </c>
      <c r="AF3319" s="7">
        <v>66.3</v>
      </c>
    </row>
    <row r="3320">
      <c r="G3320" s="5"/>
      <c r="H3320" s="6"/>
      <c r="AD3320" s="5">
        <v>45065.0</v>
      </c>
      <c r="AE3320" s="6">
        <v>0.25</v>
      </c>
      <c r="AF3320" s="7">
        <v>6874.92</v>
      </c>
    </row>
    <row r="3321">
      <c r="G3321" s="5"/>
      <c r="H3321" s="6"/>
      <c r="AD3321" s="5">
        <v>45065.0</v>
      </c>
      <c r="AE3321" s="6">
        <v>0.2916666666666667</v>
      </c>
      <c r="AF3321" s="7">
        <v>23658.96</v>
      </c>
    </row>
    <row r="3322">
      <c r="G3322" s="10"/>
      <c r="H3322" s="6"/>
      <c r="AD3322" s="5">
        <v>45065.0</v>
      </c>
      <c r="AE3322" s="6">
        <v>0.3333333333333333</v>
      </c>
      <c r="AF3322" s="7">
        <v>38581.14</v>
      </c>
    </row>
    <row r="3323">
      <c r="G3323" s="10"/>
      <c r="H3323" s="6"/>
      <c r="AD3323" s="5">
        <v>45065.0</v>
      </c>
      <c r="AE3323" s="6">
        <v>0.375</v>
      </c>
      <c r="AF3323" s="7">
        <v>50783.46</v>
      </c>
    </row>
    <row r="3324">
      <c r="G3324" s="10"/>
      <c r="H3324" s="6"/>
      <c r="AD3324" s="5">
        <v>45065.0</v>
      </c>
      <c r="AE3324" s="6">
        <v>0.4166666666666667</v>
      </c>
      <c r="AF3324" s="7">
        <v>59673.9</v>
      </c>
    </row>
    <row r="3325">
      <c r="G3325" s="10"/>
      <c r="H3325" s="6"/>
      <c r="AD3325" s="5">
        <v>45065.0</v>
      </c>
      <c r="AE3325" s="6">
        <v>0.4583333333333333</v>
      </c>
      <c r="AF3325" s="7">
        <v>63052.08</v>
      </c>
    </row>
    <row r="3326">
      <c r="G3326" s="5"/>
      <c r="H3326" s="6"/>
      <c r="AD3326" s="5">
        <v>45065.0</v>
      </c>
      <c r="AE3326" s="6">
        <v>0.5</v>
      </c>
      <c r="AF3326" s="7">
        <v>59997.6</v>
      </c>
    </row>
    <row r="3327">
      <c r="G3327" s="5"/>
      <c r="H3327" s="6"/>
      <c r="AD3327" s="5">
        <v>45065.0</v>
      </c>
      <c r="AE3327" s="6">
        <v>0.5416666666666666</v>
      </c>
      <c r="AF3327" s="7">
        <v>57261.36</v>
      </c>
    </row>
    <row r="3328">
      <c r="G3328" s="10"/>
      <c r="H3328" s="6"/>
      <c r="AD3328" s="5">
        <v>45065.0</v>
      </c>
      <c r="AE3328" s="6">
        <v>0.5833333333333334</v>
      </c>
      <c r="AF3328" s="7">
        <v>44701.02</v>
      </c>
    </row>
    <row r="3329">
      <c r="G3329" s="10"/>
      <c r="H3329" s="6"/>
      <c r="AD3329" s="5">
        <v>45065.0</v>
      </c>
      <c r="AE3329" s="6">
        <v>0.625</v>
      </c>
      <c r="AF3329" s="7">
        <v>39417.3</v>
      </c>
    </row>
    <row r="3330">
      <c r="G3330" s="10"/>
      <c r="H3330" s="6"/>
      <c r="AD3330" s="5">
        <v>45065.0</v>
      </c>
      <c r="AE3330" s="6">
        <v>0.6666666666666666</v>
      </c>
      <c r="AF3330" s="7">
        <v>32132.88</v>
      </c>
    </row>
    <row r="3331">
      <c r="G3331" s="10"/>
      <c r="H3331" s="6"/>
      <c r="AD3331" s="5">
        <v>45065.0</v>
      </c>
      <c r="AE3331" s="6">
        <v>0.7083333333333334</v>
      </c>
      <c r="AF3331" s="7">
        <v>12856.74</v>
      </c>
    </row>
    <row r="3332">
      <c r="G3332" s="5"/>
      <c r="H3332" s="6"/>
      <c r="AD3332" s="5">
        <v>45065.0</v>
      </c>
      <c r="AE3332" s="6">
        <v>0.75</v>
      </c>
      <c r="AF3332" s="7">
        <v>4247.1</v>
      </c>
    </row>
    <row r="3333">
      <c r="G3333" s="5"/>
      <c r="H3333" s="6"/>
      <c r="AD3333" s="5">
        <v>45065.0</v>
      </c>
      <c r="AE3333" s="6">
        <v>0.7916666666666666</v>
      </c>
      <c r="AF3333" s="7">
        <v>0.0</v>
      </c>
    </row>
    <row r="3334">
      <c r="G3334" s="5"/>
      <c r="H3334" s="6"/>
      <c r="AD3334" s="5">
        <v>45065.0</v>
      </c>
      <c r="AE3334" s="6">
        <v>0.8333333333333334</v>
      </c>
      <c r="AF3334" s="7">
        <v>0.0</v>
      </c>
    </row>
    <row r="3335">
      <c r="G3335" s="5"/>
      <c r="H3335" s="6"/>
      <c r="AD3335" s="5">
        <v>45065.0</v>
      </c>
      <c r="AE3335" s="6">
        <v>0.875</v>
      </c>
      <c r="AF3335" s="7">
        <v>0.0</v>
      </c>
    </row>
    <row r="3336">
      <c r="G3336" s="5"/>
      <c r="H3336" s="6"/>
      <c r="AD3336" s="5">
        <v>45065.0</v>
      </c>
      <c r="AE3336" s="6">
        <v>0.9166666666666666</v>
      </c>
      <c r="AF3336" s="7">
        <v>0.0</v>
      </c>
    </row>
    <row r="3337">
      <c r="G3337" s="10"/>
      <c r="H3337" s="6"/>
      <c r="AD3337" s="5">
        <v>45065.0</v>
      </c>
      <c r="AE3337" s="6">
        <v>0.9583333333333334</v>
      </c>
      <c r="AF3337" s="7">
        <v>0.0</v>
      </c>
    </row>
    <row r="3338">
      <c r="G3338" s="10"/>
      <c r="H3338" s="6"/>
      <c r="AD3338" s="5">
        <v>45066.0</v>
      </c>
      <c r="AE3338" s="6">
        <v>0.0</v>
      </c>
      <c r="AF3338" s="7">
        <v>0.0</v>
      </c>
    </row>
    <row r="3339">
      <c r="G3339" s="10"/>
      <c r="H3339" s="6"/>
      <c r="AD3339" s="5">
        <v>45066.0</v>
      </c>
      <c r="AE3339" s="6">
        <v>0.041666666666666664</v>
      </c>
      <c r="AF3339" s="7">
        <v>0.0</v>
      </c>
    </row>
    <row r="3340">
      <c r="G3340" s="10"/>
      <c r="H3340" s="6"/>
      <c r="AD3340" s="5">
        <v>45066.0</v>
      </c>
      <c r="AE3340" s="6">
        <v>0.08333333333333333</v>
      </c>
      <c r="AF3340" s="7">
        <v>0.0</v>
      </c>
    </row>
    <row r="3341">
      <c r="G3341" s="10"/>
      <c r="H3341" s="6"/>
      <c r="AD3341" s="5">
        <v>45066.0</v>
      </c>
      <c r="AE3341" s="6">
        <v>0.125</v>
      </c>
      <c r="AF3341" s="7">
        <v>0.0</v>
      </c>
    </row>
    <row r="3342">
      <c r="G3342" s="10"/>
      <c r="H3342" s="6"/>
      <c r="AD3342" s="5">
        <v>45066.0</v>
      </c>
      <c r="AE3342" s="6">
        <v>0.16666666666666666</v>
      </c>
      <c r="AF3342" s="7">
        <v>0.0</v>
      </c>
    </row>
    <row r="3343">
      <c r="G3343" s="10"/>
      <c r="H3343" s="6"/>
      <c r="AD3343" s="5">
        <v>45066.0</v>
      </c>
      <c r="AE3343" s="6">
        <v>0.20833333333333334</v>
      </c>
      <c r="AF3343" s="7">
        <v>580.32</v>
      </c>
    </row>
    <row r="3344">
      <c r="G3344" s="10"/>
      <c r="H3344" s="6"/>
      <c r="AD3344" s="5">
        <v>45066.0</v>
      </c>
      <c r="AE3344" s="6">
        <v>0.25</v>
      </c>
      <c r="AF3344" s="7">
        <v>8364.72</v>
      </c>
    </row>
    <row r="3345">
      <c r="G3345" s="10"/>
      <c r="H3345" s="6"/>
      <c r="AD3345" s="5">
        <v>45066.0</v>
      </c>
      <c r="AE3345" s="6">
        <v>0.2916666666666667</v>
      </c>
      <c r="AF3345" s="7">
        <v>23314.2</v>
      </c>
    </row>
    <row r="3346">
      <c r="G3346" s="5"/>
      <c r="H3346" s="6"/>
      <c r="AD3346" s="5">
        <v>45066.0</v>
      </c>
      <c r="AE3346" s="6">
        <v>0.3333333333333333</v>
      </c>
      <c r="AF3346" s="7">
        <v>31622.76</v>
      </c>
    </row>
    <row r="3347">
      <c r="G3347" s="5"/>
      <c r="H3347" s="6"/>
      <c r="AD3347" s="5">
        <v>45066.0</v>
      </c>
      <c r="AE3347" s="6">
        <v>0.375</v>
      </c>
      <c r="AF3347" s="7">
        <v>44719.74</v>
      </c>
    </row>
    <row r="3348">
      <c r="G3348" s="5"/>
      <c r="H3348" s="6"/>
      <c r="AD3348" s="5">
        <v>45066.0</v>
      </c>
      <c r="AE3348" s="6">
        <v>0.4166666666666667</v>
      </c>
      <c r="AF3348" s="7">
        <v>58252.74</v>
      </c>
    </row>
    <row r="3349">
      <c r="G3349" s="10"/>
      <c r="H3349" s="6"/>
      <c r="AD3349" s="5">
        <v>45066.0</v>
      </c>
      <c r="AE3349" s="6">
        <v>0.4583333333333333</v>
      </c>
      <c r="AF3349" s="7">
        <v>61927.32</v>
      </c>
    </row>
    <row r="3350">
      <c r="G3350" s="10"/>
      <c r="H3350" s="6"/>
      <c r="AD3350" s="5">
        <v>45066.0</v>
      </c>
      <c r="AE3350" s="6">
        <v>0.5</v>
      </c>
      <c r="AF3350" s="7">
        <v>62787.66</v>
      </c>
    </row>
    <row r="3351">
      <c r="G3351" s="10"/>
      <c r="H3351" s="6"/>
      <c r="AD3351" s="5">
        <v>45066.0</v>
      </c>
      <c r="AE3351" s="6">
        <v>0.5416666666666666</v>
      </c>
      <c r="AF3351" s="7">
        <v>59868.12</v>
      </c>
    </row>
    <row r="3352">
      <c r="G3352" s="10"/>
      <c r="H3352" s="6"/>
      <c r="AD3352" s="5">
        <v>45066.0</v>
      </c>
      <c r="AE3352" s="6">
        <v>0.5833333333333334</v>
      </c>
      <c r="AF3352" s="7">
        <v>43801.68</v>
      </c>
    </row>
    <row r="3353">
      <c r="G3353" s="10"/>
      <c r="H3353" s="6"/>
      <c r="AD3353" s="5">
        <v>45066.0</v>
      </c>
      <c r="AE3353" s="6">
        <v>0.625</v>
      </c>
      <c r="AF3353" s="7">
        <v>40530.36</v>
      </c>
    </row>
    <row r="3354">
      <c r="G3354" s="10"/>
      <c r="H3354" s="6"/>
      <c r="AD3354" s="5">
        <v>45066.0</v>
      </c>
      <c r="AE3354" s="6">
        <v>0.6666666666666666</v>
      </c>
      <c r="AF3354" s="7">
        <v>23697.18</v>
      </c>
    </row>
    <row r="3355">
      <c r="G3355" s="10"/>
      <c r="H3355" s="6"/>
      <c r="AD3355" s="5">
        <v>45066.0</v>
      </c>
      <c r="AE3355" s="6">
        <v>0.7083333333333334</v>
      </c>
      <c r="AF3355" s="7">
        <v>11244.48</v>
      </c>
    </row>
    <row r="3356">
      <c r="G3356" s="10"/>
      <c r="H3356" s="6"/>
      <c r="AD3356" s="5">
        <v>45066.0</v>
      </c>
      <c r="AE3356" s="6">
        <v>0.75</v>
      </c>
      <c r="AF3356" s="7">
        <v>4155.06</v>
      </c>
    </row>
    <row r="3357">
      <c r="G3357" s="10"/>
      <c r="H3357" s="6"/>
      <c r="AD3357" s="5">
        <v>45066.0</v>
      </c>
      <c r="AE3357" s="6">
        <v>0.7916666666666666</v>
      </c>
      <c r="AF3357" s="7">
        <v>0.0</v>
      </c>
    </row>
    <row r="3358">
      <c r="G3358" s="10"/>
      <c r="H3358" s="6"/>
      <c r="AD3358" s="5">
        <v>45066.0</v>
      </c>
      <c r="AE3358" s="6">
        <v>0.8333333333333334</v>
      </c>
      <c r="AF3358" s="7">
        <v>0.0</v>
      </c>
    </row>
    <row r="3359">
      <c r="G3359" s="5"/>
      <c r="H3359" s="6"/>
      <c r="AD3359" s="5">
        <v>45066.0</v>
      </c>
      <c r="AE3359" s="6">
        <v>0.875</v>
      </c>
      <c r="AF3359" s="7">
        <v>0.0</v>
      </c>
    </row>
    <row r="3360">
      <c r="G3360" s="5"/>
      <c r="H3360" s="6"/>
      <c r="AD3360" s="5">
        <v>45066.0</v>
      </c>
      <c r="AE3360" s="6">
        <v>0.9166666666666666</v>
      </c>
      <c r="AF3360" s="7">
        <v>0.0</v>
      </c>
    </row>
    <row r="3361">
      <c r="G3361" s="10"/>
      <c r="H3361" s="6"/>
      <c r="AD3361" s="5">
        <v>45066.0</v>
      </c>
      <c r="AE3361" s="6">
        <v>0.9583333333333334</v>
      </c>
      <c r="AF3361" s="7">
        <v>0.0</v>
      </c>
    </row>
    <row r="3362">
      <c r="G3362" s="10"/>
      <c r="H3362" s="6"/>
      <c r="AD3362" s="5">
        <v>45067.0</v>
      </c>
      <c r="AE3362" s="6">
        <v>0.0</v>
      </c>
      <c r="AF3362" s="7">
        <v>0.0</v>
      </c>
    </row>
    <row r="3363">
      <c r="G3363" s="10"/>
      <c r="H3363" s="6"/>
      <c r="AD3363" s="5">
        <v>45067.0</v>
      </c>
      <c r="AE3363" s="6">
        <v>0.041666666666666664</v>
      </c>
      <c r="AF3363" s="7">
        <v>0.0</v>
      </c>
    </row>
    <row r="3364">
      <c r="G3364" s="10"/>
      <c r="H3364" s="6"/>
      <c r="AD3364" s="5">
        <v>45067.0</v>
      </c>
      <c r="AE3364" s="6">
        <v>0.08333333333333333</v>
      </c>
      <c r="AF3364" s="7">
        <v>0.0</v>
      </c>
    </row>
    <row r="3365">
      <c r="G3365" s="10"/>
      <c r="H3365" s="6"/>
      <c r="AD3365" s="5">
        <v>45067.0</v>
      </c>
      <c r="AE3365" s="6">
        <v>0.125</v>
      </c>
      <c r="AF3365" s="7">
        <v>0.0</v>
      </c>
    </row>
    <row r="3366">
      <c r="G3366" s="10"/>
      <c r="H3366" s="6"/>
      <c r="AD3366" s="5">
        <v>45067.0</v>
      </c>
      <c r="AE3366" s="6">
        <v>0.16666666666666666</v>
      </c>
      <c r="AF3366" s="7">
        <v>0.0</v>
      </c>
    </row>
    <row r="3367">
      <c r="G3367" s="10"/>
      <c r="H3367" s="6"/>
      <c r="AD3367" s="5">
        <v>45067.0</v>
      </c>
      <c r="AE3367" s="6">
        <v>0.20833333333333334</v>
      </c>
      <c r="AF3367" s="7">
        <v>833.04</v>
      </c>
    </row>
    <row r="3368">
      <c r="G3368" s="10"/>
      <c r="H3368" s="6"/>
      <c r="AD3368" s="5">
        <v>45067.0</v>
      </c>
      <c r="AE3368" s="6">
        <v>0.25</v>
      </c>
      <c r="AF3368" s="7">
        <v>8423.22</v>
      </c>
    </row>
    <row r="3369">
      <c r="G3369" s="10"/>
      <c r="H3369" s="6"/>
      <c r="AD3369" s="5">
        <v>45067.0</v>
      </c>
      <c r="AE3369" s="6">
        <v>0.2916666666666667</v>
      </c>
      <c r="AF3369" s="7">
        <v>23558.34</v>
      </c>
    </row>
    <row r="3370">
      <c r="G3370" s="10"/>
      <c r="H3370" s="6"/>
      <c r="AD3370" s="5">
        <v>45067.0</v>
      </c>
      <c r="AE3370" s="6">
        <v>0.3333333333333333</v>
      </c>
      <c r="AF3370" s="7">
        <v>37596.0</v>
      </c>
    </row>
    <row r="3371">
      <c r="G3371" s="10"/>
      <c r="H3371" s="6"/>
      <c r="AD3371" s="5">
        <v>45067.0</v>
      </c>
      <c r="AE3371" s="6">
        <v>0.375</v>
      </c>
      <c r="AF3371" s="7">
        <v>50245.26</v>
      </c>
    </row>
    <row r="3372">
      <c r="G3372" s="10"/>
      <c r="H3372" s="6"/>
      <c r="AD3372" s="5">
        <v>45067.0</v>
      </c>
      <c r="AE3372" s="6">
        <v>0.4166666666666667</v>
      </c>
      <c r="AF3372" s="7">
        <v>58460.22</v>
      </c>
    </row>
    <row r="3373">
      <c r="G3373" s="10"/>
      <c r="H3373" s="6"/>
      <c r="AD3373" s="5">
        <v>45067.0</v>
      </c>
      <c r="AE3373" s="6">
        <v>0.4583333333333333</v>
      </c>
      <c r="AF3373" s="7">
        <v>62559.9</v>
      </c>
    </row>
    <row r="3374">
      <c r="G3374" s="10"/>
      <c r="H3374" s="6"/>
      <c r="AD3374" s="5">
        <v>45067.0</v>
      </c>
      <c r="AE3374" s="6">
        <v>0.5</v>
      </c>
      <c r="AF3374" s="7">
        <v>63325.08</v>
      </c>
    </row>
    <row r="3375">
      <c r="G3375" s="5"/>
      <c r="H3375" s="6"/>
      <c r="AD3375" s="5">
        <v>45067.0</v>
      </c>
      <c r="AE3375" s="6">
        <v>0.5416666666666666</v>
      </c>
      <c r="AF3375" s="7">
        <v>60220.68</v>
      </c>
    </row>
    <row r="3376">
      <c r="G3376" s="5"/>
      <c r="H3376" s="6"/>
      <c r="AD3376" s="5">
        <v>45067.0</v>
      </c>
      <c r="AE3376" s="6">
        <v>0.5833333333333334</v>
      </c>
      <c r="AF3376" s="7">
        <v>53191.32</v>
      </c>
    </row>
    <row r="3377">
      <c r="G3377" s="5"/>
      <c r="H3377" s="6"/>
      <c r="AD3377" s="5">
        <v>45067.0</v>
      </c>
      <c r="AE3377" s="6">
        <v>0.625</v>
      </c>
      <c r="AF3377" s="7">
        <v>43179.24</v>
      </c>
    </row>
    <row r="3378">
      <c r="G3378" s="5"/>
      <c r="H3378" s="6"/>
      <c r="AD3378" s="5">
        <v>45067.0</v>
      </c>
      <c r="AE3378" s="6">
        <v>0.6666666666666666</v>
      </c>
      <c r="AF3378" s="7">
        <v>29333.46</v>
      </c>
    </row>
    <row r="3379">
      <c r="G3379" s="5"/>
      <c r="H3379" s="6"/>
      <c r="AD3379" s="5">
        <v>45067.0</v>
      </c>
      <c r="AE3379" s="6">
        <v>0.7083333333333334</v>
      </c>
      <c r="AF3379" s="7">
        <v>16713.84</v>
      </c>
    </row>
    <row r="3380">
      <c r="G3380" s="10"/>
      <c r="H3380" s="6"/>
      <c r="AD3380" s="5">
        <v>45067.0</v>
      </c>
      <c r="AE3380" s="6">
        <v>0.75</v>
      </c>
      <c r="AF3380" s="7">
        <v>4267.38</v>
      </c>
    </row>
    <row r="3381">
      <c r="G3381" s="10"/>
      <c r="H3381" s="6"/>
      <c r="AD3381" s="5">
        <v>45067.0</v>
      </c>
      <c r="AE3381" s="6">
        <v>0.7916666666666666</v>
      </c>
      <c r="AF3381" s="7">
        <v>0.0</v>
      </c>
    </row>
    <row r="3382">
      <c r="G3382" s="10"/>
      <c r="H3382" s="6"/>
      <c r="AD3382" s="5">
        <v>45067.0</v>
      </c>
      <c r="AE3382" s="6">
        <v>0.8333333333333334</v>
      </c>
      <c r="AF3382" s="7">
        <v>0.0</v>
      </c>
    </row>
    <row r="3383">
      <c r="G3383" s="10"/>
      <c r="H3383" s="6"/>
      <c r="AD3383" s="5">
        <v>45067.0</v>
      </c>
      <c r="AE3383" s="6">
        <v>0.875</v>
      </c>
      <c r="AF3383" s="7">
        <v>0.0</v>
      </c>
    </row>
    <row r="3384">
      <c r="G3384" s="5"/>
      <c r="H3384" s="6"/>
      <c r="AD3384" s="5">
        <v>45067.0</v>
      </c>
      <c r="AE3384" s="6">
        <v>0.9166666666666666</v>
      </c>
      <c r="AF3384" s="7">
        <v>0.0</v>
      </c>
    </row>
    <row r="3385">
      <c r="G3385" s="5"/>
      <c r="H3385" s="6"/>
      <c r="AD3385" s="5">
        <v>45067.0</v>
      </c>
      <c r="AE3385" s="6">
        <v>0.9583333333333334</v>
      </c>
      <c r="AF3385" s="7">
        <v>0.0</v>
      </c>
    </row>
    <row r="3386">
      <c r="G3386" s="5"/>
      <c r="H3386" s="6"/>
      <c r="AD3386" s="5">
        <v>45068.0</v>
      </c>
      <c r="AE3386" s="6">
        <v>0.0</v>
      </c>
      <c r="AF3386" s="7">
        <v>0.0</v>
      </c>
    </row>
    <row r="3387">
      <c r="G3387" s="5"/>
      <c r="H3387" s="6"/>
      <c r="AD3387" s="5">
        <v>45068.0</v>
      </c>
      <c r="AE3387" s="6">
        <v>0.041666666666666664</v>
      </c>
      <c r="AF3387" s="7">
        <v>0.0</v>
      </c>
    </row>
    <row r="3388">
      <c r="G3388" s="10"/>
      <c r="H3388" s="6"/>
      <c r="AD3388" s="5">
        <v>45068.0</v>
      </c>
      <c r="AE3388" s="6">
        <v>0.08333333333333333</v>
      </c>
      <c r="AF3388" s="7">
        <v>0.0</v>
      </c>
    </row>
    <row r="3389">
      <c r="G3389" s="10"/>
      <c r="H3389" s="6"/>
      <c r="AD3389" s="5">
        <v>45068.0</v>
      </c>
      <c r="AE3389" s="6">
        <v>0.125</v>
      </c>
      <c r="AF3389" s="7">
        <v>0.0</v>
      </c>
    </row>
    <row r="3390">
      <c r="G3390" s="10"/>
      <c r="H3390" s="6"/>
      <c r="AD3390" s="5">
        <v>45068.0</v>
      </c>
      <c r="AE3390" s="6">
        <v>0.16666666666666666</v>
      </c>
      <c r="AF3390" s="7">
        <v>0.0</v>
      </c>
    </row>
    <row r="3391">
      <c r="G3391" s="10"/>
      <c r="H3391" s="6"/>
      <c r="AD3391" s="5">
        <v>45068.0</v>
      </c>
      <c r="AE3391" s="6">
        <v>0.20833333333333334</v>
      </c>
      <c r="AF3391" s="7">
        <v>65.52</v>
      </c>
    </row>
    <row r="3392">
      <c r="G3392" s="5"/>
      <c r="H3392" s="6"/>
      <c r="AD3392" s="5">
        <v>45068.0</v>
      </c>
      <c r="AE3392" s="6">
        <v>0.25</v>
      </c>
      <c r="AF3392" s="7">
        <v>7367.1</v>
      </c>
    </row>
    <row r="3393">
      <c r="G3393" s="5"/>
      <c r="H3393" s="6"/>
      <c r="AD3393" s="5">
        <v>45068.0</v>
      </c>
      <c r="AE3393" s="6">
        <v>0.2916666666666667</v>
      </c>
      <c r="AF3393" s="7">
        <v>12246.0</v>
      </c>
    </row>
    <row r="3394">
      <c r="G3394" s="5"/>
      <c r="H3394" s="6"/>
      <c r="AD3394" s="5">
        <v>45068.0</v>
      </c>
      <c r="AE3394" s="6">
        <v>0.3333333333333333</v>
      </c>
      <c r="AF3394" s="7">
        <v>28416.18</v>
      </c>
    </row>
    <row r="3395">
      <c r="G3395" s="5"/>
      <c r="H3395" s="6"/>
      <c r="AD3395" s="5">
        <v>45068.0</v>
      </c>
      <c r="AE3395" s="6">
        <v>0.375</v>
      </c>
      <c r="AF3395" s="7">
        <v>32875.44</v>
      </c>
    </row>
    <row r="3396">
      <c r="G3396" s="5"/>
      <c r="H3396" s="6"/>
      <c r="AD3396" s="5">
        <v>45068.0</v>
      </c>
      <c r="AE3396" s="6">
        <v>0.4166666666666667</v>
      </c>
      <c r="AF3396" s="7">
        <v>24850.02</v>
      </c>
    </row>
    <row r="3397">
      <c r="G3397" s="10"/>
      <c r="H3397" s="6"/>
      <c r="AD3397" s="5">
        <v>45068.0</v>
      </c>
      <c r="AE3397" s="6">
        <v>0.4583333333333333</v>
      </c>
      <c r="AF3397" s="7">
        <v>53881.62</v>
      </c>
    </row>
    <row r="3398">
      <c r="G3398" s="10"/>
      <c r="H3398" s="6"/>
      <c r="AD3398" s="5">
        <v>45068.0</v>
      </c>
      <c r="AE3398" s="6">
        <v>0.5</v>
      </c>
      <c r="AF3398" s="7">
        <v>53949.48</v>
      </c>
    </row>
    <row r="3399">
      <c r="G3399" s="10"/>
      <c r="H3399" s="6"/>
      <c r="AD3399" s="5">
        <v>45068.0</v>
      </c>
      <c r="AE3399" s="6">
        <v>0.5416666666666666</v>
      </c>
      <c r="AF3399" s="7">
        <v>37932.96</v>
      </c>
    </row>
    <row r="3400">
      <c r="G3400" s="10"/>
      <c r="H3400" s="6"/>
      <c r="AD3400" s="5">
        <v>45068.0</v>
      </c>
      <c r="AE3400" s="6">
        <v>0.5833333333333334</v>
      </c>
      <c r="AF3400" s="7">
        <v>31394.22</v>
      </c>
    </row>
    <row r="3401">
      <c r="G3401" s="10"/>
      <c r="H3401" s="6"/>
      <c r="AD3401" s="5">
        <v>45068.0</v>
      </c>
      <c r="AE3401" s="6">
        <v>0.625</v>
      </c>
      <c r="AF3401" s="7">
        <v>18614.7</v>
      </c>
    </row>
    <row r="3402">
      <c r="G3402" s="10"/>
      <c r="H3402" s="6"/>
      <c r="AD3402" s="5">
        <v>45068.0</v>
      </c>
      <c r="AE3402" s="6">
        <v>0.6666666666666666</v>
      </c>
      <c r="AF3402" s="7">
        <v>5850.78</v>
      </c>
    </row>
    <row r="3403">
      <c r="G3403" s="10"/>
      <c r="H3403" s="6"/>
      <c r="AD3403" s="5">
        <v>45068.0</v>
      </c>
      <c r="AE3403" s="6">
        <v>0.7083333333333334</v>
      </c>
      <c r="AF3403" s="7">
        <v>5004.48</v>
      </c>
    </row>
    <row r="3404">
      <c r="G3404" s="10"/>
      <c r="H3404" s="6"/>
      <c r="AD3404" s="5">
        <v>45068.0</v>
      </c>
      <c r="AE3404" s="6">
        <v>0.75</v>
      </c>
      <c r="AF3404" s="7">
        <v>1100.58</v>
      </c>
    </row>
    <row r="3405">
      <c r="G3405" s="10"/>
      <c r="H3405" s="6"/>
      <c r="AD3405" s="5">
        <v>45068.0</v>
      </c>
      <c r="AE3405" s="6">
        <v>0.7916666666666666</v>
      </c>
      <c r="AF3405" s="7">
        <v>0.0</v>
      </c>
    </row>
    <row r="3406">
      <c r="G3406" s="10"/>
      <c r="H3406" s="6"/>
      <c r="AD3406" s="5">
        <v>45068.0</v>
      </c>
      <c r="AE3406" s="6">
        <v>0.8333333333333334</v>
      </c>
      <c r="AF3406" s="7">
        <v>0.0</v>
      </c>
    </row>
    <row r="3407">
      <c r="G3407" s="5"/>
      <c r="H3407" s="6"/>
      <c r="AD3407" s="5">
        <v>45068.0</v>
      </c>
      <c r="AE3407" s="6">
        <v>0.875</v>
      </c>
      <c r="AF3407" s="7">
        <v>0.0</v>
      </c>
    </row>
    <row r="3408">
      <c r="G3408" s="10"/>
      <c r="H3408" s="6"/>
      <c r="AD3408" s="5">
        <v>45068.0</v>
      </c>
      <c r="AE3408" s="6">
        <v>0.9166666666666666</v>
      </c>
      <c r="AF3408" s="7">
        <v>0.0</v>
      </c>
    </row>
    <row r="3409">
      <c r="G3409" s="10"/>
      <c r="H3409" s="6"/>
      <c r="AD3409" s="5">
        <v>45068.0</v>
      </c>
      <c r="AE3409" s="6">
        <v>0.9583333333333334</v>
      </c>
      <c r="AF3409" s="7">
        <v>0.0</v>
      </c>
    </row>
    <row r="3410">
      <c r="G3410" s="10"/>
      <c r="H3410" s="6"/>
      <c r="AD3410" s="5">
        <v>45069.0</v>
      </c>
      <c r="AE3410" s="6">
        <v>0.0</v>
      </c>
      <c r="AF3410" s="7">
        <v>0.0</v>
      </c>
    </row>
    <row r="3411">
      <c r="G3411" s="5"/>
      <c r="H3411" s="6"/>
      <c r="AD3411" s="5">
        <v>45069.0</v>
      </c>
      <c r="AE3411" s="6">
        <v>0.041666666666666664</v>
      </c>
      <c r="AF3411" s="7">
        <v>0.0</v>
      </c>
    </row>
    <row r="3412">
      <c r="G3412" s="5"/>
      <c r="H3412" s="6"/>
      <c r="AD3412" s="5">
        <v>45069.0</v>
      </c>
      <c r="AE3412" s="6">
        <v>0.08333333333333333</v>
      </c>
      <c r="AF3412" s="7">
        <v>0.0</v>
      </c>
    </row>
    <row r="3413">
      <c r="G3413" s="5"/>
      <c r="H3413" s="6"/>
      <c r="AD3413" s="5">
        <v>45069.0</v>
      </c>
      <c r="AE3413" s="6">
        <v>0.125</v>
      </c>
      <c r="AF3413" s="7">
        <v>0.0</v>
      </c>
    </row>
    <row r="3414">
      <c r="G3414" s="5"/>
      <c r="H3414" s="6"/>
      <c r="AD3414" s="5">
        <v>45069.0</v>
      </c>
      <c r="AE3414" s="6">
        <v>0.16666666666666666</v>
      </c>
      <c r="AF3414" s="7">
        <v>0.0</v>
      </c>
    </row>
    <row r="3415">
      <c r="G3415" s="5"/>
      <c r="H3415" s="6"/>
      <c r="AD3415" s="5">
        <v>45069.0</v>
      </c>
      <c r="AE3415" s="6">
        <v>0.20833333333333334</v>
      </c>
      <c r="AF3415" s="7">
        <v>970.32</v>
      </c>
    </row>
    <row r="3416">
      <c r="G3416" s="5"/>
      <c r="H3416" s="6"/>
      <c r="AD3416" s="5">
        <v>45069.0</v>
      </c>
      <c r="AE3416" s="6">
        <v>0.25</v>
      </c>
      <c r="AF3416" s="7">
        <v>8073.78</v>
      </c>
    </row>
    <row r="3417">
      <c r="G3417" s="5"/>
      <c r="H3417" s="6"/>
      <c r="AD3417" s="5">
        <v>45069.0</v>
      </c>
      <c r="AE3417" s="6">
        <v>0.2916666666666667</v>
      </c>
      <c r="AF3417" s="7">
        <v>22498.32</v>
      </c>
    </row>
    <row r="3418">
      <c r="G3418" s="5"/>
      <c r="H3418" s="6"/>
      <c r="AD3418" s="5">
        <v>45069.0</v>
      </c>
      <c r="AE3418" s="6">
        <v>0.3333333333333333</v>
      </c>
      <c r="AF3418" s="7">
        <v>35445.54</v>
      </c>
    </row>
    <row r="3419">
      <c r="G3419" s="5"/>
      <c r="H3419" s="6"/>
      <c r="AD3419" s="5">
        <v>45069.0</v>
      </c>
      <c r="AE3419" s="6">
        <v>0.375</v>
      </c>
      <c r="AF3419" s="7">
        <v>11513.58</v>
      </c>
    </row>
    <row r="3420">
      <c r="G3420" s="5"/>
      <c r="H3420" s="6"/>
      <c r="AD3420" s="5">
        <v>45069.0</v>
      </c>
      <c r="AE3420" s="6">
        <v>0.4166666666666667</v>
      </c>
      <c r="AF3420" s="7">
        <v>44689.32</v>
      </c>
    </row>
    <row r="3421">
      <c r="G3421" s="10"/>
      <c r="H3421" s="6"/>
      <c r="AD3421" s="5">
        <v>45069.0</v>
      </c>
      <c r="AE3421" s="6">
        <v>0.4583333333333333</v>
      </c>
      <c r="AF3421" s="7">
        <v>38212.2</v>
      </c>
    </row>
    <row r="3422">
      <c r="G3422" s="10"/>
      <c r="H3422" s="6"/>
      <c r="AD3422" s="5">
        <v>45069.0</v>
      </c>
      <c r="AE3422" s="6">
        <v>0.5</v>
      </c>
      <c r="AF3422" s="7">
        <v>55108.56</v>
      </c>
    </row>
    <row r="3423">
      <c r="G3423" s="10"/>
      <c r="H3423" s="6"/>
      <c r="AD3423" s="5">
        <v>45069.0</v>
      </c>
      <c r="AE3423" s="6">
        <v>0.5416666666666666</v>
      </c>
      <c r="AF3423" s="7">
        <v>8087.04</v>
      </c>
    </row>
    <row r="3424">
      <c r="G3424" s="10"/>
      <c r="H3424" s="6"/>
      <c r="AD3424" s="5">
        <v>45069.0</v>
      </c>
      <c r="AE3424" s="6">
        <v>0.5833333333333334</v>
      </c>
      <c r="AF3424" s="7">
        <v>13942.5</v>
      </c>
    </row>
    <row r="3425">
      <c r="G3425" s="10"/>
      <c r="H3425" s="6"/>
      <c r="AD3425" s="5">
        <v>45069.0</v>
      </c>
      <c r="AE3425" s="6">
        <v>0.625</v>
      </c>
      <c r="AF3425" s="7">
        <v>3949.92</v>
      </c>
    </row>
    <row r="3426">
      <c r="G3426" s="10"/>
      <c r="H3426" s="6"/>
      <c r="AD3426" s="5">
        <v>45069.0</v>
      </c>
      <c r="AE3426" s="6">
        <v>0.6666666666666666</v>
      </c>
      <c r="AF3426" s="7">
        <v>2460.12</v>
      </c>
    </row>
    <row r="3427">
      <c r="G3427" s="10"/>
      <c r="H3427" s="6"/>
      <c r="AD3427" s="5">
        <v>45069.0</v>
      </c>
      <c r="AE3427" s="6">
        <v>0.7083333333333334</v>
      </c>
      <c r="AF3427" s="7">
        <v>2978.82</v>
      </c>
    </row>
    <row r="3428">
      <c r="G3428" s="10"/>
      <c r="H3428" s="6"/>
      <c r="AD3428" s="5">
        <v>45069.0</v>
      </c>
      <c r="AE3428" s="6">
        <v>0.75</v>
      </c>
      <c r="AF3428" s="7">
        <v>4502.16</v>
      </c>
    </row>
    <row r="3429">
      <c r="G3429" s="10"/>
      <c r="H3429" s="6"/>
      <c r="AD3429" s="5">
        <v>45069.0</v>
      </c>
      <c r="AE3429" s="6">
        <v>0.7916666666666666</v>
      </c>
      <c r="AF3429" s="7">
        <v>0.0</v>
      </c>
    </row>
    <row r="3430">
      <c r="G3430" s="10"/>
      <c r="H3430" s="6"/>
      <c r="AD3430" s="5">
        <v>45069.0</v>
      </c>
      <c r="AE3430" s="6">
        <v>0.8333333333333334</v>
      </c>
      <c r="AF3430" s="7">
        <v>0.0</v>
      </c>
    </row>
    <row r="3431">
      <c r="G3431" s="10"/>
      <c r="H3431" s="6"/>
      <c r="AD3431" s="5">
        <v>45069.0</v>
      </c>
      <c r="AE3431" s="6">
        <v>0.875</v>
      </c>
      <c r="AF3431" s="7">
        <v>0.0</v>
      </c>
    </row>
    <row r="3432">
      <c r="G3432" s="10"/>
      <c r="H3432" s="6"/>
      <c r="AD3432" s="5">
        <v>45069.0</v>
      </c>
      <c r="AE3432" s="6">
        <v>0.9166666666666666</v>
      </c>
      <c r="AF3432" s="7">
        <v>0.0</v>
      </c>
    </row>
    <row r="3433">
      <c r="G3433" s="10"/>
      <c r="H3433" s="6"/>
      <c r="AD3433" s="5">
        <v>45069.0</v>
      </c>
      <c r="AE3433" s="6">
        <v>0.9583333333333334</v>
      </c>
      <c r="AF3433" s="7">
        <v>0.0</v>
      </c>
    </row>
    <row r="3434">
      <c r="G3434" s="10"/>
      <c r="H3434" s="6"/>
      <c r="AD3434" s="5">
        <v>45070.0</v>
      </c>
      <c r="AE3434" s="6">
        <v>0.0</v>
      </c>
      <c r="AF3434" s="7">
        <v>0.0</v>
      </c>
    </row>
    <row r="3435">
      <c r="G3435" s="10"/>
      <c r="H3435" s="6"/>
      <c r="AD3435" s="5">
        <v>45070.0</v>
      </c>
      <c r="AE3435" s="6">
        <v>0.041666666666666664</v>
      </c>
      <c r="AF3435" s="7">
        <v>0.0</v>
      </c>
    </row>
    <row r="3436">
      <c r="G3436" s="5"/>
      <c r="H3436" s="6"/>
      <c r="AD3436" s="5">
        <v>45070.0</v>
      </c>
      <c r="AE3436" s="6">
        <v>0.08333333333333333</v>
      </c>
      <c r="AF3436" s="7">
        <v>0.0</v>
      </c>
    </row>
    <row r="3437">
      <c r="G3437" s="5"/>
      <c r="H3437" s="6"/>
      <c r="AD3437" s="5">
        <v>45070.0</v>
      </c>
      <c r="AE3437" s="6">
        <v>0.125</v>
      </c>
      <c r="AF3437" s="7">
        <v>0.0</v>
      </c>
    </row>
    <row r="3438">
      <c r="G3438" s="5"/>
      <c r="H3438" s="6"/>
      <c r="AD3438" s="5">
        <v>45070.0</v>
      </c>
      <c r="AE3438" s="6">
        <v>0.16666666666666666</v>
      </c>
      <c r="AF3438" s="7">
        <v>0.0</v>
      </c>
    </row>
    <row r="3439">
      <c r="G3439" s="5"/>
      <c r="H3439" s="6"/>
      <c r="AD3439" s="5">
        <v>45070.0</v>
      </c>
      <c r="AE3439" s="6">
        <v>0.20833333333333334</v>
      </c>
      <c r="AF3439" s="7">
        <v>969.54</v>
      </c>
    </row>
    <row r="3440">
      <c r="G3440" s="10"/>
      <c r="H3440" s="6"/>
      <c r="AD3440" s="5">
        <v>45070.0</v>
      </c>
      <c r="AE3440" s="6">
        <v>0.25</v>
      </c>
      <c r="AF3440" s="7">
        <v>8267.22</v>
      </c>
    </row>
    <row r="3441">
      <c r="G3441" s="5"/>
      <c r="H3441" s="6"/>
      <c r="AD3441" s="5">
        <v>45070.0</v>
      </c>
      <c r="AE3441" s="6">
        <v>0.2916666666666667</v>
      </c>
      <c r="AF3441" s="7">
        <v>22359.48</v>
      </c>
    </row>
    <row r="3442">
      <c r="G3442" s="5"/>
      <c r="H3442" s="6"/>
      <c r="AD3442" s="5">
        <v>45070.0</v>
      </c>
      <c r="AE3442" s="6">
        <v>0.3333333333333333</v>
      </c>
      <c r="AF3442" s="7">
        <v>36866.7</v>
      </c>
    </row>
    <row r="3443">
      <c r="G3443" s="5"/>
      <c r="H3443" s="6"/>
      <c r="AD3443" s="5">
        <v>45070.0</v>
      </c>
      <c r="AE3443" s="6">
        <v>0.375</v>
      </c>
      <c r="AF3443" s="7">
        <v>48473.1</v>
      </c>
    </row>
    <row r="3444">
      <c r="G3444" s="10"/>
      <c r="H3444" s="6"/>
      <c r="AD3444" s="5">
        <v>45070.0</v>
      </c>
      <c r="AE3444" s="6">
        <v>0.4166666666666667</v>
      </c>
      <c r="AF3444" s="7">
        <v>56601.48</v>
      </c>
    </row>
    <row r="3445">
      <c r="G3445" s="10"/>
      <c r="H3445" s="6"/>
      <c r="AD3445" s="5">
        <v>45070.0</v>
      </c>
      <c r="AE3445" s="6">
        <v>0.4583333333333333</v>
      </c>
      <c r="AF3445" s="7">
        <v>60388.38</v>
      </c>
    </row>
    <row r="3446">
      <c r="G3446" s="10"/>
      <c r="H3446" s="6"/>
      <c r="AD3446" s="5">
        <v>45070.0</v>
      </c>
      <c r="AE3446" s="6">
        <v>0.5</v>
      </c>
      <c r="AF3446" s="7">
        <v>60611.46</v>
      </c>
    </row>
    <row r="3447">
      <c r="G3447" s="10"/>
      <c r="H3447" s="6"/>
      <c r="AD3447" s="5">
        <v>45070.0</v>
      </c>
      <c r="AE3447" s="6">
        <v>0.5416666666666666</v>
      </c>
      <c r="AF3447" s="7">
        <v>57046.08</v>
      </c>
    </row>
    <row r="3448">
      <c r="G3448" s="10"/>
      <c r="H3448" s="6"/>
      <c r="AD3448" s="5">
        <v>45070.0</v>
      </c>
      <c r="AE3448" s="6">
        <v>0.5833333333333334</v>
      </c>
      <c r="AF3448" s="7">
        <v>51888.72</v>
      </c>
    </row>
    <row r="3449">
      <c r="G3449" s="10"/>
      <c r="H3449" s="6"/>
      <c r="AD3449" s="5">
        <v>45070.0</v>
      </c>
      <c r="AE3449" s="6">
        <v>0.625</v>
      </c>
      <c r="AF3449" s="7">
        <v>38611.56</v>
      </c>
    </row>
    <row r="3450">
      <c r="G3450" s="10"/>
      <c r="H3450" s="6"/>
      <c r="AD3450" s="5">
        <v>45070.0</v>
      </c>
      <c r="AE3450" s="6">
        <v>0.6666666666666666</v>
      </c>
      <c r="AF3450" s="7">
        <v>2925.78</v>
      </c>
    </row>
    <row r="3451">
      <c r="G3451" s="5"/>
      <c r="H3451" s="6"/>
      <c r="AD3451" s="5">
        <v>45070.0</v>
      </c>
      <c r="AE3451" s="6">
        <v>0.7083333333333334</v>
      </c>
      <c r="AF3451" s="7">
        <v>2410.98</v>
      </c>
    </row>
    <row r="3452">
      <c r="G3452" s="5"/>
      <c r="H3452" s="6"/>
      <c r="AD3452" s="5">
        <v>45070.0</v>
      </c>
      <c r="AE3452" s="6">
        <v>0.75</v>
      </c>
      <c r="AF3452" s="7">
        <v>283.14</v>
      </c>
    </row>
    <row r="3453">
      <c r="G3453" s="5"/>
      <c r="H3453" s="6"/>
      <c r="AD3453" s="5">
        <v>45070.0</v>
      </c>
      <c r="AE3453" s="6">
        <v>0.7916666666666666</v>
      </c>
      <c r="AF3453" s="7">
        <v>0.0</v>
      </c>
    </row>
    <row r="3454">
      <c r="G3454" s="10"/>
      <c r="H3454" s="6"/>
      <c r="AD3454" s="5">
        <v>45070.0</v>
      </c>
      <c r="AE3454" s="6">
        <v>0.8333333333333334</v>
      </c>
      <c r="AF3454" s="7">
        <v>0.0</v>
      </c>
    </row>
    <row r="3455">
      <c r="G3455" s="10"/>
      <c r="H3455" s="6"/>
      <c r="AD3455" s="5">
        <v>45070.0</v>
      </c>
      <c r="AE3455" s="6">
        <v>0.875</v>
      </c>
      <c r="AF3455" s="7">
        <v>0.0</v>
      </c>
    </row>
    <row r="3456">
      <c r="G3456" s="10"/>
      <c r="H3456" s="6"/>
      <c r="AD3456" s="5">
        <v>45070.0</v>
      </c>
      <c r="AE3456" s="6">
        <v>0.9166666666666666</v>
      </c>
      <c r="AF3456" s="7">
        <v>0.0</v>
      </c>
    </row>
    <row r="3457">
      <c r="G3457" s="10"/>
      <c r="H3457" s="6"/>
      <c r="AD3457" s="5">
        <v>45070.0</v>
      </c>
      <c r="AE3457" s="6">
        <v>0.9583333333333334</v>
      </c>
      <c r="AF3457" s="7">
        <v>0.0</v>
      </c>
    </row>
    <row r="3458">
      <c r="G3458" s="5"/>
      <c r="H3458" s="6"/>
      <c r="AD3458" s="5">
        <v>45071.0</v>
      </c>
      <c r="AE3458" s="6">
        <v>0.0</v>
      </c>
      <c r="AF3458" s="7">
        <v>0.0</v>
      </c>
    </row>
    <row r="3459">
      <c r="G3459" s="10"/>
      <c r="H3459" s="6"/>
      <c r="AD3459" s="5">
        <v>45071.0</v>
      </c>
      <c r="AE3459" s="6">
        <v>0.041666666666666664</v>
      </c>
      <c r="AF3459" s="7">
        <v>0.0</v>
      </c>
    </row>
    <row r="3460">
      <c r="G3460" s="10"/>
      <c r="H3460" s="6"/>
      <c r="AD3460" s="5">
        <v>45071.0</v>
      </c>
      <c r="AE3460" s="6">
        <v>0.08333333333333333</v>
      </c>
      <c r="AF3460" s="7">
        <v>0.0</v>
      </c>
    </row>
    <row r="3461">
      <c r="G3461" s="10"/>
      <c r="H3461" s="6"/>
      <c r="AD3461" s="5">
        <v>45071.0</v>
      </c>
      <c r="AE3461" s="6">
        <v>0.125</v>
      </c>
      <c r="AF3461" s="7">
        <v>0.0</v>
      </c>
    </row>
    <row r="3462">
      <c r="G3462" s="10"/>
      <c r="H3462" s="6"/>
      <c r="AD3462" s="5">
        <v>45071.0</v>
      </c>
      <c r="AE3462" s="6">
        <v>0.16666666666666666</v>
      </c>
      <c r="AF3462" s="7">
        <v>0.0</v>
      </c>
    </row>
    <row r="3463">
      <c r="G3463" s="5"/>
      <c r="H3463" s="6"/>
      <c r="AD3463" s="5">
        <v>45071.0</v>
      </c>
      <c r="AE3463" s="6">
        <v>0.20833333333333334</v>
      </c>
      <c r="AF3463" s="7">
        <v>1024.92</v>
      </c>
    </row>
    <row r="3464">
      <c r="G3464" s="5"/>
      <c r="H3464" s="6"/>
      <c r="AD3464" s="5">
        <v>45071.0</v>
      </c>
      <c r="AE3464" s="6">
        <v>0.25</v>
      </c>
      <c r="AF3464" s="7">
        <v>8498.88</v>
      </c>
    </row>
    <row r="3465">
      <c r="G3465" s="5"/>
      <c r="H3465" s="6"/>
      <c r="AD3465" s="5">
        <v>45071.0</v>
      </c>
      <c r="AE3465" s="6">
        <v>0.2916666666666667</v>
      </c>
      <c r="AF3465" s="7">
        <v>23269.74</v>
      </c>
    </row>
    <row r="3466">
      <c r="G3466" s="5"/>
      <c r="H3466" s="6"/>
      <c r="AD3466" s="5">
        <v>45071.0</v>
      </c>
      <c r="AE3466" s="6">
        <v>0.3333333333333333</v>
      </c>
      <c r="AF3466" s="7">
        <v>38175.54</v>
      </c>
    </row>
    <row r="3467">
      <c r="G3467" s="5"/>
      <c r="H3467" s="6"/>
      <c r="AD3467" s="5">
        <v>45071.0</v>
      </c>
      <c r="AE3467" s="6">
        <v>0.375</v>
      </c>
      <c r="AF3467" s="7">
        <v>49723.44</v>
      </c>
    </row>
    <row r="3468">
      <c r="G3468" s="10"/>
      <c r="H3468" s="6"/>
      <c r="AD3468" s="5">
        <v>45071.0</v>
      </c>
      <c r="AE3468" s="6">
        <v>0.4166666666666667</v>
      </c>
      <c r="AF3468" s="7">
        <v>55465.02</v>
      </c>
    </row>
    <row r="3469">
      <c r="G3469" s="10"/>
      <c r="H3469" s="6"/>
      <c r="AD3469" s="5">
        <v>45071.0</v>
      </c>
      <c r="AE3469" s="6">
        <v>0.4583333333333333</v>
      </c>
      <c r="AF3469" s="7">
        <v>61610.64</v>
      </c>
    </row>
    <row r="3470">
      <c r="G3470" s="10"/>
      <c r="H3470" s="6"/>
      <c r="AD3470" s="5">
        <v>45071.0</v>
      </c>
      <c r="AE3470" s="6">
        <v>0.5</v>
      </c>
      <c r="AF3470" s="7">
        <v>64555.14</v>
      </c>
    </row>
    <row r="3471">
      <c r="G3471" s="5"/>
      <c r="H3471" s="6"/>
      <c r="AD3471" s="5">
        <v>45071.0</v>
      </c>
      <c r="AE3471" s="6">
        <v>0.5416666666666666</v>
      </c>
      <c r="AF3471" s="7">
        <v>62196.42</v>
      </c>
    </row>
    <row r="3472">
      <c r="G3472" s="5"/>
      <c r="H3472" s="6"/>
      <c r="AD3472" s="5">
        <v>45071.0</v>
      </c>
      <c r="AE3472" s="6">
        <v>0.5833333333333334</v>
      </c>
      <c r="AF3472" s="7">
        <v>55181.1</v>
      </c>
    </row>
    <row r="3473">
      <c r="G3473" s="5"/>
      <c r="H3473" s="6"/>
      <c r="AD3473" s="5">
        <v>45071.0</v>
      </c>
      <c r="AE3473" s="6">
        <v>0.625</v>
      </c>
      <c r="AF3473" s="7">
        <v>37414.26</v>
      </c>
    </row>
    <row r="3474">
      <c r="G3474" s="5"/>
      <c r="H3474" s="6"/>
      <c r="AD3474" s="5">
        <v>45071.0</v>
      </c>
      <c r="AE3474" s="6">
        <v>0.6666666666666666</v>
      </c>
      <c r="AF3474" s="7">
        <v>9287.46</v>
      </c>
    </row>
    <row r="3475">
      <c r="G3475" s="10"/>
      <c r="H3475" s="6"/>
      <c r="AD3475" s="5">
        <v>45071.0</v>
      </c>
      <c r="AE3475" s="6">
        <v>0.7083333333333334</v>
      </c>
      <c r="AF3475" s="7">
        <v>10109.58</v>
      </c>
    </row>
    <row r="3476">
      <c r="G3476" s="10"/>
      <c r="H3476" s="6"/>
      <c r="AD3476" s="5">
        <v>45071.0</v>
      </c>
      <c r="AE3476" s="6">
        <v>0.75</v>
      </c>
      <c r="AF3476" s="7">
        <v>4248.66</v>
      </c>
    </row>
    <row r="3477">
      <c r="G3477" s="10"/>
      <c r="H3477" s="6"/>
      <c r="AD3477" s="5">
        <v>45071.0</v>
      </c>
      <c r="AE3477" s="6">
        <v>0.7916666666666666</v>
      </c>
      <c r="AF3477" s="7">
        <v>0.0</v>
      </c>
    </row>
    <row r="3478">
      <c r="G3478" s="10"/>
      <c r="H3478" s="6"/>
      <c r="AD3478" s="5">
        <v>45071.0</v>
      </c>
      <c r="AE3478" s="6">
        <v>0.8333333333333334</v>
      </c>
      <c r="AF3478" s="7">
        <v>0.0</v>
      </c>
    </row>
    <row r="3479">
      <c r="G3479" s="5"/>
      <c r="H3479" s="6"/>
      <c r="AD3479" s="5">
        <v>45071.0</v>
      </c>
      <c r="AE3479" s="6">
        <v>0.875</v>
      </c>
      <c r="AF3479" s="7">
        <v>0.0</v>
      </c>
    </row>
    <row r="3480">
      <c r="G3480" s="5"/>
      <c r="H3480" s="6"/>
      <c r="AD3480" s="5">
        <v>45071.0</v>
      </c>
      <c r="AE3480" s="6">
        <v>0.9166666666666666</v>
      </c>
      <c r="AF3480" s="7">
        <v>0.0</v>
      </c>
    </row>
    <row r="3481">
      <c r="G3481" s="5"/>
      <c r="H3481" s="6"/>
      <c r="AD3481" s="5">
        <v>45071.0</v>
      </c>
      <c r="AE3481" s="6">
        <v>0.9583333333333334</v>
      </c>
      <c r="AF3481" s="7">
        <v>0.0</v>
      </c>
    </row>
    <row r="3482">
      <c r="G3482" s="5"/>
      <c r="H3482" s="6"/>
      <c r="AD3482" s="5">
        <v>45072.0</v>
      </c>
      <c r="AE3482" s="6">
        <v>0.0</v>
      </c>
      <c r="AF3482" s="7">
        <v>0.0</v>
      </c>
    </row>
    <row r="3483">
      <c r="G3483" s="5"/>
      <c r="H3483" s="6"/>
      <c r="AD3483" s="5">
        <v>45072.0</v>
      </c>
      <c r="AE3483" s="6">
        <v>0.041666666666666664</v>
      </c>
      <c r="AF3483" s="7">
        <v>0.0</v>
      </c>
    </row>
    <row r="3484">
      <c r="G3484" s="10"/>
      <c r="H3484" s="6"/>
      <c r="AD3484" s="5">
        <v>45072.0</v>
      </c>
      <c r="AE3484" s="6">
        <v>0.08333333333333333</v>
      </c>
      <c r="AF3484" s="7">
        <v>0.0</v>
      </c>
    </row>
    <row r="3485">
      <c r="G3485" s="10"/>
      <c r="H3485" s="6"/>
      <c r="AD3485" s="5">
        <v>45072.0</v>
      </c>
      <c r="AE3485" s="6">
        <v>0.125</v>
      </c>
      <c r="AF3485" s="7">
        <v>0.0</v>
      </c>
    </row>
    <row r="3486">
      <c r="G3486" s="10"/>
      <c r="H3486" s="6"/>
      <c r="AD3486" s="5">
        <v>45072.0</v>
      </c>
      <c r="AE3486" s="6">
        <v>0.16666666666666666</v>
      </c>
      <c r="AF3486" s="7">
        <v>0.0</v>
      </c>
    </row>
    <row r="3487">
      <c r="G3487" s="10"/>
      <c r="H3487" s="6"/>
      <c r="AD3487" s="5">
        <v>45072.0</v>
      </c>
      <c r="AE3487" s="6">
        <v>0.20833333333333334</v>
      </c>
      <c r="AF3487" s="7">
        <v>32.76</v>
      </c>
    </row>
    <row r="3488">
      <c r="G3488" s="10"/>
      <c r="H3488" s="6"/>
      <c r="AD3488" s="5">
        <v>45072.0</v>
      </c>
      <c r="AE3488" s="6">
        <v>0.25</v>
      </c>
      <c r="AF3488" s="7">
        <v>3742.44</v>
      </c>
    </row>
    <row r="3489">
      <c r="G3489" s="10"/>
      <c r="H3489" s="6"/>
      <c r="AD3489" s="5">
        <v>45072.0</v>
      </c>
      <c r="AE3489" s="6">
        <v>0.2916666666666667</v>
      </c>
      <c r="AF3489" s="7">
        <v>16132.74</v>
      </c>
    </row>
    <row r="3490">
      <c r="G3490" s="10"/>
      <c r="H3490" s="6"/>
      <c r="AD3490" s="5">
        <v>45072.0</v>
      </c>
      <c r="AE3490" s="6">
        <v>0.3333333333333333</v>
      </c>
      <c r="AF3490" s="7">
        <v>26974.74</v>
      </c>
    </row>
    <row r="3491">
      <c r="G3491" s="10"/>
      <c r="H3491" s="6"/>
      <c r="AD3491" s="5">
        <v>45072.0</v>
      </c>
      <c r="AE3491" s="6">
        <v>0.375</v>
      </c>
      <c r="AF3491" s="7">
        <v>34017.36</v>
      </c>
    </row>
    <row r="3492">
      <c r="G3492" s="5"/>
      <c r="H3492" s="6"/>
      <c r="AD3492" s="5">
        <v>45072.0</v>
      </c>
      <c r="AE3492" s="6">
        <v>0.4166666666666667</v>
      </c>
      <c r="AF3492" s="7">
        <v>40048.32</v>
      </c>
    </row>
    <row r="3493">
      <c r="G3493" s="5"/>
      <c r="H3493" s="6"/>
      <c r="AD3493" s="5">
        <v>45072.0</v>
      </c>
      <c r="AE3493" s="6">
        <v>0.4583333333333333</v>
      </c>
      <c r="AF3493" s="7">
        <v>51229.62</v>
      </c>
    </row>
    <row r="3494">
      <c r="G3494" s="5"/>
      <c r="H3494" s="6"/>
      <c r="AD3494" s="5">
        <v>45072.0</v>
      </c>
      <c r="AE3494" s="6">
        <v>0.5</v>
      </c>
      <c r="AF3494" s="7">
        <v>47291.4</v>
      </c>
    </row>
    <row r="3495">
      <c r="G3495" s="10"/>
      <c r="H3495" s="6"/>
      <c r="AD3495" s="5">
        <v>45072.0</v>
      </c>
      <c r="AE3495" s="6">
        <v>0.5416666666666666</v>
      </c>
      <c r="AF3495" s="7">
        <v>41791.62</v>
      </c>
    </row>
    <row r="3496">
      <c r="G3496" s="10"/>
      <c r="H3496" s="6"/>
      <c r="AD3496" s="5">
        <v>45072.0</v>
      </c>
      <c r="AE3496" s="6">
        <v>0.5833333333333334</v>
      </c>
      <c r="AF3496" s="7">
        <v>52990.86</v>
      </c>
    </row>
    <row r="3497">
      <c r="G3497" s="10"/>
      <c r="H3497" s="6"/>
      <c r="AD3497" s="5">
        <v>45072.0</v>
      </c>
      <c r="AE3497" s="6">
        <v>0.625</v>
      </c>
      <c r="AF3497" s="7">
        <v>38478.18</v>
      </c>
    </row>
    <row r="3498">
      <c r="G3498" s="10"/>
      <c r="H3498" s="6"/>
      <c r="AD3498" s="5">
        <v>45072.0</v>
      </c>
      <c r="AE3498" s="6">
        <v>0.6666666666666666</v>
      </c>
      <c r="AF3498" s="7">
        <v>12735.84</v>
      </c>
    </row>
    <row r="3499">
      <c r="G3499" s="10"/>
      <c r="H3499" s="6"/>
      <c r="AD3499" s="5">
        <v>45072.0</v>
      </c>
      <c r="AE3499" s="6">
        <v>0.7083333333333334</v>
      </c>
      <c r="AF3499" s="7">
        <v>3137.94</v>
      </c>
    </row>
    <row r="3500">
      <c r="G3500" s="10"/>
      <c r="H3500" s="6"/>
      <c r="AD3500" s="5">
        <v>45072.0</v>
      </c>
      <c r="AE3500" s="6">
        <v>0.75</v>
      </c>
      <c r="AF3500" s="7">
        <v>2884.44</v>
      </c>
    </row>
    <row r="3501">
      <c r="G3501" s="10"/>
      <c r="H3501" s="6"/>
      <c r="AD3501" s="5">
        <v>45072.0</v>
      </c>
      <c r="AE3501" s="6">
        <v>0.7916666666666666</v>
      </c>
      <c r="AF3501" s="7">
        <v>0.0</v>
      </c>
    </row>
    <row r="3502">
      <c r="G3502" s="10"/>
      <c r="H3502" s="6"/>
      <c r="AD3502" s="5">
        <v>45072.0</v>
      </c>
      <c r="AE3502" s="6">
        <v>0.8333333333333334</v>
      </c>
      <c r="AF3502" s="7">
        <v>0.0</v>
      </c>
    </row>
    <row r="3503">
      <c r="G3503" s="10"/>
      <c r="H3503" s="6"/>
      <c r="AD3503" s="5">
        <v>45072.0</v>
      </c>
      <c r="AE3503" s="6">
        <v>0.875</v>
      </c>
      <c r="AF3503" s="7">
        <v>0.0</v>
      </c>
    </row>
    <row r="3504">
      <c r="G3504" s="10"/>
      <c r="H3504" s="6"/>
      <c r="AD3504" s="5">
        <v>45072.0</v>
      </c>
      <c r="AE3504" s="6">
        <v>0.9166666666666666</v>
      </c>
      <c r="AF3504" s="7">
        <v>0.0</v>
      </c>
    </row>
    <row r="3505">
      <c r="G3505" s="10"/>
      <c r="H3505" s="6"/>
      <c r="AD3505" s="5">
        <v>45072.0</v>
      </c>
      <c r="AE3505" s="6">
        <v>0.9583333333333334</v>
      </c>
      <c r="AF3505" s="7">
        <v>0.0</v>
      </c>
    </row>
    <row r="3506">
      <c r="G3506" s="5"/>
      <c r="H3506" s="6"/>
      <c r="AD3506" s="5">
        <v>45073.0</v>
      </c>
      <c r="AE3506" s="6">
        <v>0.0</v>
      </c>
      <c r="AF3506" s="7">
        <v>0.0</v>
      </c>
    </row>
    <row r="3507">
      <c r="G3507" s="5"/>
      <c r="H3507" s="6"/>
      <c r="AD3507" s="5">
        <v>45073.0</v>
      </c>
      <c r="AE3507" s="6">
        <v>0.041666666666666664</v>
      </c>
      <c r="AF3507" s="7">
        <v>0.0</v>
      </c>
    </row>
    <row r="3508">
      <c r="G3508" s="5"/>
      <c r="H3508" s="6"/>
      <c r="AD3508" s="5">
        <v>45073.0</v>
      </c>
      <c r="AE3508" s="6">
        <v>0.08333333333333333</v>
      </c>
      <c r="AF3508" s="7">
        <v>0.0</v>
      </c>
    </row>
    <row r="3509">
      <c r="G3509" s="5"/>
      <c r="H3509" s="6"/>
      <c r="AD3509" s="5">
        <v>45073.0</v>
      </c>
      <c r="AE3509" s="6">
        <v>0.125</v>
      </c>
      <c r="AF3509" s="7">
        <v>0.0</v>
      </c>
    </row>
    <row r="3510">
      <c r="G3510" s="10"/>
      <c r="H3510" s="6"/>
      <c r="AD3510" s="5">
        <v>45073.0</v>
      </c>
      <c r="AE3510" s="6">
        <v>0.16666666666666666</v>
      </c>
      <c r="AF3510" s="7">
        <v>0.0</v>
      </c>
    </row>
    <row r="3511">
      <c r="G3511" s="10"/>
      <c r="H3511" s="6"/>
      <c r="AD3511" s="5">
        <v>45073.0</v>
      </c>
      <c r="AE3511" s="6">
        <v>0.20833333333333334</v>
      </c>
      <c r="AF3511" s="7">
        <v>1138.8</v>
      </c>
    </row>
    <row r="3512">
      <c r="G3512" s="10"/>
      <c r="H3512" s="6"/>
      <c r="AD3512" s="5">
        <v>45073.0</v>
      </c>
      <c r="AE3512" s="6">
        <v>0.25</v>
      </c>
      <c r="AF3512" s="7">
        <v>8543.34</v>
      </c>
    </row>
    <row r="3513">
      <c r="G3513" s="10"/>
      <c r="H3513" s="6"/>
      <c r="AD3513" s="5">
        <v>45073.0</v>
      </c>
      <c r="AE3513" s="6">
        <v>0.2916666666666667</v>
      </c>
      <c r="AF3513" s="7">
        <v>22327.5</v>
      </c>
    </row>
    <row r="3514">
      <c r="G3514" s="10"/>
      <c r="H3514" s="6"/>
      <c r="AD3514" s="5">
        <v>45073.0</v>
      </c>
      <c r="AE3514" s="6">
        <v>0.3333333333333333</v>
      </c>
      <c r="AF3514" s="7">
        <v>35401.86</v>
      </c>
    </row>
    <row r="3515">
      <c r="G3515" s="5"/>
      <c r="H3515" s="6"/>
      <c r="AD3515" s="5">
        <v>45073.0</v>
      </c>
      <c r="AE3515" s="6">
        <v>0.375</v>
      </c>
      <c r="AF3515" s="7">
        <v>27122.94</v>
      </c>
    </row>
    <row r="3516">
      <c r="G3516" s="5"/>
      <c r="H3516" s="6"/>
      <c r="AD3516" s="5">
        <v>45073.0</v>
      </c>
      <c r="AE3516" s="6">
        <v>0.4166666666666667</v>
      </c>
      <c r="AF3516" s="7">
        <v>37056.24</v>
      </c>
    </row>
    <row r="3517">
      <c r="G3517" s="5"/>
      <c r="H3517" s="6"/>
      <c r="AD3517" s="5">
        <v>45073.0</v>
      </c>
      <c r="AE3517" s="6">
        <v>0.4583333333333333</v>
      </c>
      <c r="AF3517" s="7">
        <v>52202.28</v>
      </c>
    </row>
    <row r="3518">
      <c r="G3518" s="5"/>
      <c r="H3518" s="6"/>
      <c r="AD3518" s="5">
        <v>45073.0</v>
      </c>
      <c r="AE3518" s="6">
        <v>0.5</v>
      </c>
      <c r="AF3518" s="7">
        <v>56207.58</v>
      </c>
    </row>
    <row r="3519">
      <c r="G3519" s="5"/>
      <c r="H3519" s="6"/>
      <c r="AD3519" s="5">
        <v>45073.0</v>
      </c>
      <c r="AE3519" s="6">
        <v>0.5416666666666666</v>
      </c>
      <c r="AF3519" s="7">
        <v>56274.66</v>
      </c>
    </row>
    <row r="3520">
      <c r="G3520" s="5"/>
      <c r="H3520" s="6"/>
      <c r="AD3520" s="5">
        <v>45073.0</v>
      </c>
      <c r="AE3520" s="6">
        <v>0.5833333333333334</v>
      </c>
      <c r="AF3520" s="7">
        <v>43669.08</v>
      </c>
    </row>
    <row r="3521">
      <c r="G3521" s="5"/>
      <c r="H3521" s="6"/>
      <c r="AD3521" s="5">
        <v>45073.0</v>
      </c>
      <c r="AE3521" s="6">
        <v>0.625</v>
      </c>
      <c r="AF3521" s="7">
        <v>41104.44</v>
      </c>
    </row>
    <row r="3522">
      <c r="G3522" s="5"/>
      <c r="H3522" s="6"/>
      <c r="AD3522" s="5">
        <v>45073.0</v>
      </c>
      <c r="AE3522" s="6">
        <v>0.6666666666666666</v>
      </c>
      <c r="AF3522" s="7">
        <v>30940.26</v>
      </c>
    </row>
    <row r="3523">
      <c r="G3523" s="5"/>
      <c r="H3523" s="6"/>
      <c r="AD3523" s="5">
        <v>45073.0</v>
      </c>
      <c r="AE3523" s="6">
        <v>0.7083333333333334</v>
      </c>
      <c r="AF3523" s="7">
        <v>14956.5</v>
      </c>
    </row>
    <row r="3524">
      <c r="G3524" s="5"/>
      <c r="H3524" s="6"/>
      <c r="AD3524" s="5">
        <v>45073.0</v>
      </c>
      <c r="AE3524" s="6">
        <v>0.75</v>
      </c>
      <c r="AF3524" s="7">
        <v>4608.24</v>
      </c>
    </row>
    <row r="3525">
      <c r="G3525" s="5"/>
      <c r="H3525" s="6"/>
      <c r="AD3525" s="5">
        <v>45073.0</v>
      </c>
      <c r="AE3525" s="6">
        <v>0.7916666666666666</v>
      </c>
      <c r="AF3525" s="7">
        <v>0.0</v>
      </c>
    </row>
    <row r="3526">
      <c r="G3526" s="5"/>
      <c r="H3526" s="6"/>
      <c r="AD3526" s="5">
        <v>45073.0</v>
      </c>
      <c r="AE3526" s="6">
        <v>0.8333333333333334</v>
      </c>
      <c r="AF3526" s="7">
        <v>0.0</v>
      </c>
    </row>
    <row r="3527">
      <c r="G3527" s="5"/>
      <c r="H3527" s="6"/>
      <c r="AD3527" s="5">
        <v>45073.0</v>
      </c>
      <c r="AE3527" s="6">
        <v>0.875</v>
      </c>
      <c r="AF3527" s="7">
        <v>0.0</v>
      </c>
    </row>
    <row r="3528">
      <c r="G3528" s="5"/>
      <c r="H3528" s="6"/>
      <c r="AD3528" s="5">
        <v>45073.0</v>
      </c>
      <c r="AE3528" s="6">
        <v>0.9166666666666666</v>
      </c>
      <c r="AF3528" s="7">
        <v>0.0</v>
      </c>
    </row>
    <row r="3529">
      <c r="G3529" s="5"/>
      <c r="H3529" s="6"/>
      <c r="AD3529" s="5">
        <v>45073.0</v>
      </c>
      <c r="AE3529" s="6">
        <v>0.9583333333333334</v>
      </c>
      <c r="AF3529" s="7">
        <v>0.0</v>
      </c>
    </row>
    <row r="3530">
      <c r="G3530" s="5"/>
      <c r="H3530" s="6"/>
      <c r="AD3530" s="5">
        <v>45074.0</v>
      </c>
      <c r="AE3530" s="6">
        <v>0.0</v>
      </c>
      <c r="AF3530" s="7">
        <v>0.0</v>
      </c>
    </row>
    <row r="3531">
      <c r="G3531" s="5"/>
      <c r="H3531" s="6"/>
      <c r="AD3531" s="5">
        <v>45074.0</v>
      </c>
      <c r="AE3531" s="6">
        <v>0.041666666666666664</v>
      </c>
      <c r="AF3531" s="7">
        <v>0.0</v>
      </c>
    </row>
    <row r="3532">
      <c r="G3532" s="5"/>
      <c r="H3532" s="6"/>
      <c r="AD3532" s="5">
        <v>45074.0</v>
      </c>
      <c r="AE3532" s="6">
        <v>0.08333333333333333</v>
      </c>
      <c r="AF3532" s="7">
        <v>0.0</v>
      </c>
    </row>
    <row r="3533">
      <c r="G3533" s="5"/>
      <c r="H3533" s="6"/>
      <c r="AD3533" s="5">
        <v>45074.0</v>
      </c>
      <c r="AE3533" s="6">
        <v>0.125</v>
      </c>
      <c r="AF3533" s="7">
        <v>0.0</v>
      </c>
    </row>
    <row r="3534">
      <c r="G3534" s="5"/>
      <c r="H3534" s="6"/>
      <c r="AD3534" s="5">
        <v>45074.0</v>
      </c>
      <c r="AE3534" s="6">
        <v>0.16666666666666666</v>
      </c>
      <c r="AF3534" s="7">
        <v>0.0</v>
      </c>
    </row>
    <row r="3535">
      <c r="G3535" s="5"/>
      <c r="H3535" s="6"/>
      <c r="AD3535" s="5">
        <v>45074.0</v>
      </c>
      <c r="AE3535" s="6">
        <v>0.20833333333333334</v>
      </c>
      <c r="AF3535" s="7">
        <v>1065.48</v>
      </c>
    </row>
    <row r="3536">
      <c r="G3536" s="5"/>
      <c r="H3536" s="6"/>
      <c r="AD3536" s="5">
        <v>45074.0</v>
      </c>
      <c r="AE3536" s="6">
        <v>0.25</v>
      </c>
      <c r="AF3536" s="7">
        <v>4971.72</v>
      </c>
    </row>
    <row r="3537">
      <c r="G3537" s="5"/>
      <c r="H3537" s="6"/>
      <c r="AD3537" s="5">
        <v>45074.0</v>
      </c>
      <c r="AE3537" s="6">
        <v>0.2916666666666667</v>
      </c>
      <c r="AF3537" s="7">
        <v>21073.26</v>
      </c>
    </row>
    <row r="3538">
      <c r="G3538" s="5"/>
      <c r="H3538" s="6"/>
      <c r="AD3538" s="5">
        <v>45074.0</v>
      </c>
      <c r="AE3538" s="6">
        <v>0.3333333333333333</v>
      </c>
      <c r="AF3538" s="7">
        <v>28992.6</v>
      </c>
    </row>
    <row r="3539">
      <c r="G3539" s="5"/>
      <c r="H3539" s="6"/>
      <c r="AD3539" s="5">
        <v>45074.0</v>
      </c>
      <c r="AE3539" s="6">
        <v>0.375</v>
      </c>
      <c r="AF3539" s="7">
        <v>25498.2</v>
      </c>
    </row>
    <row r="3540">
      <c r="G3540" s="5"/>
      <c r="H3540" s="6"/>
      <c r="AD3540" s="5">
        <v>45074.0</v>
      </c>
      <c r="AE3540" s="6">
        <v>0.4166666666666667</v>
      </c>
      <c r="AF3540" s="7">
        <v>11748.36</v>
      </c>
    </row>
    <row r="3541">
      <c r="G3541" s="5"/>
      <c r="H3541" s="6"/>
      <c r="AD3541" s="5">
        <v>45074.0</v>
      </c>
      <c r="AE3541" s="6">
        <v>0.4583333333333333</v>
      </c>
      <c r="AF3541" s="7">
        <v>32933.94</v>
      </c>
    </row>
    <row r="3542">
      <c r="G3542" s="5"/>
      <c r="H3542" s="6"/>
      <c r="AD3542" s="5">
        <v>45074.0</v>
      </c>
      <c r="AE3542" s="6">
        <v>0.5</v>
      </c>
      <c r="AF3542" s="7">
        <v>53792.7</v>
      </c>
    </row>
    <row r="3543">
      <c r="G3543" s="5"/>
      <c r="H3543" s="6"/>
      <c r="AD3543" s="5">
        <v>45074.0</v>
      </c>
      <c r="AE3543" s="6">
        <v>0.5416666666666666</v>
      </c>
      <c r="AF3543" s="7">
        <v>49452.78</v>
      </c>
    </row>
    <row r="3544">
      <c r="G3544" s="5"/>
      <c r="H3544" s="6"/>
      <c r="AD3544" s="5">
        <v>45074.0</v>
      </c>
      <c r="AE3544" s="6">
        <v>0.5833333333333334</v>
      </c>
      <c r="AF3544" s="7">
        <v>41730.78</v>
      </c>
    </row>
    <row r="3545">
      <c r="G3545" s="5"/>
      <c r="H3545" s="6"/>
      <c r="AD3545" s="5">
        <v>45074.0</v>
      </c>
      <c r="AE3545" s="6">
        <v>0.625</v>
      </c>
      <c r="AF3545" s="7">
        <v>32805.24</v>
      </c>
    </row>
    <row r="3546">
      <c r="G3546" s="5"/>
      <c r="H3546" s="6"/>
      <c r="AD3546" s="5">
        <v>45074.0</v>
      </c>
      <c r="AE3546" s="6">
        <v>0.6666666666666666</v>
      </c>
      <c r="AF3546" s="7">
        <v>28510.56</v>
      </c>
    </row>
    <row r="3547">
      <c r="G3547" s="5"/>
      <c r="H3547" s="6"/>
      <c r="AD3547" s="5">
        <v>45074.0</v>
      </c>
      <c r="AE3547" s="6">
        <v>0.7083333333333334</v>
      </c>
      <c r="AF3547" s="7">
        <v>17205.24</v>
      </c>
    </row>
    <row r="3548">
      <c r="G3548" s="5"/>
      <c r="H3548" s="6"/>
      <c r="AD3548" s="5">
        <v>45074.0</v>
      </c>
      <c r="AE3548" s="6">
        <v>0.75</v>
      </c>
      <c r="AF3548" s="7">
        <v>4675.32</v>
      </c>
    </row>
    <row r="3549">
      <c r="G3549" s="5"/>
      <c r="H3549" s="6"/>
      <c r="AD3549" s="5">
        <v>45074.0</v>
      </c>
      <c r="AE3549" s="6">
        <v>0.7916666666666666</v>
      </c>
      <c r="AF3549" s="7">
        <v>0.0</v>
      </c>
    </row>
    <row r="3550">
      <c r="G3550" s="5"/>
      <c r="H3550" s="6"/>
      <c r="AD3550" s="5">
        <v>45074.0</v>
      </c>
      <c r="AE3550" s="6">
        <v>0.8333333333333334</v>
      </c>
      <c r="AF3550" s="7">
        <v>0.0</v>
      </c>
    </row>
    <row r="3551">
      <c r="G3551" s="5"/>
      <c r="H3551" s="6"/>
      <c r="AD3551" s="5">
        <v>45074.0</v>
      </c>
      <c r="AE3551" s="6">
        <v>0.875</v>
      </c>
      <c r="AF3551" s="7">
        <v>0.0</v>
      </c>
    </row>
    <row r="3552">
      <c r="G3552" s="5"/>
      <c r="H3552" s="6"/>
      <c r="AD3552" s="5">
        <v>45074.0</v>
      </c>
      <c r="AE3552" s="6">
        <v>0.9166666666666666</v>
      </c>
      <c r="AF3552" s="7">
        <v>0.0</v>
      </c>
    </row>
    <row r="3553">
      <c r="G3553" s="5"/>
      <c r="H3553" s="6"/>
      <c r="AD3553" s="5">
        <v>45074.0</v>
      </c>
      <c r="AE3553" s="6">
        <v>0.9583333333333334</v>
      </c>
      <c r="AF3553" s="7">
        <v>0.0</v>
      </c>
    </row>
    <row r="3554">
      <c r="G3554" s="5"/>
      <c r="H3554" s="6"/>
      <c r="AD3554" s="5">
        <v>45075.0</v>
      </c>
      <c r="AE3554" s="6">
        <v>0.0</v>
      </c>
      <c r="AF3554" s="7">
        <v>0.0</v>
      </c>
    </row>
    <row r="3555">
      <c r="G3555" s="5"/>
      <c r="H3555" s="6"/>
      <c r="AD3555" s="5">
        <v>45075.0</v>
      </c>
      <c r="AE3555" s="6">
        <v>0.041666666666666664</v>
      </c>
      <c r="AF3555" s="7">
        <v>0.0</v>
      </c>
    </row>
    <row r="3556">
      <c r="G3556" s="5"/>
      <c r="H3556" s="6"/>
      <c r="AD3556" s="5">
        <v>45075.0</v>
      </c>
      <c r="AE3556" s="6">
        <v>0.08333333333333333</v>
      </c>
      <c r="AF3556" s="7">
        <v>0.0</v>
      </c>
    </row>
    <row r="3557">
      <c r="G3557" s="5"/>
      <c r="H3557" s="6"/>
      <c r="AD3557" s="5">
        <v>45075.0</v>
      </c>
      <c r="AE3557" s="6">
        <v>0.125</v>
      </c>
      <c r="AF3557" s="7">
        <v>0.0</v>
      </c>
    </row>
    <row r="3558">
      <c r="G3558" s="5"/>
      <c r="H3558" s="6"/>
      <c r="AD3558" s="5">
        <v>45075.0</v>
      </c>
      <c r="AE3558" s="6">
        <v>0.16666666666666666</v>
      </c>
      <c r="AF3558" s="7">
        <v>0.0</v>
      </c>
    </row>
    <row r="3559">
      <c r="G3559" s="5"/>
      <c r="H3559" s="6"/>
      <c r="AD3559" s="5">
        <v>45075.0</v>
      </c>
      <c r="AE3559" s="6">
        <v>0.20833333333333334</v>
      </c>
      <c r="AF3559" s="7">
        <v>1138.8</v>
      </c>
    </row>
    <row r="3560">
      <c r="G3560" s="5"/>
      <c r="H3560" s="6"/>
      <c r="AD3560" s="5">
        <v>45075.0</v>
      </c>
      <c r="AE3560" s="6">
        <v>0.25</v>
      </c>
      <c r="AF3560" s="7">
        <v>8621.34</v>
      </c>
    </row>
    <row r="3561">
      <c r="G3561" s="5"/>
      <c r="H3561" s="6"/>
      <c r="AD3561" s="5">
        <v>45075.0</v>
      </c>
      <c r="AE3561" s="6">
        <v>0.2916666666666667</v>
      </c>
      <c r="AF3561" s="7">
        <v>22157.46</v>
      </c>
    </row>
    <row r="3562">
      <c r="G3562" s="5"/>
      <c r="H3562" s="6"/>
      <c r="AD3562" s="5">
        <v>45075.0</v>
      </c>
      <c r="AE3562" s="6">
        <v>0.3333333333333333</v>
      </c>
      <c r="AF3562" s="7">
        <v>35972.04</v>
      </c>
    </row>
    <row r="3563">
      <c r="G3563" s="5"/>
      <c r="H3563" s="6"/>
      <c r="AD3563" s="5">
        <v>45075.0</v>
      </c>
      <c r="AE3563" s="6">
        <v>0.375</v>
      </c>
      <c r="AF3563" s="7">
        <v>46198.62</v>
      </c>
    </row>
    <row r="3564">
      <c r="G3564" s="5"/>
      <c r="H3564" s="6"/>
      <c r="AD3564" s="5">
        <v>45075.0</v>
      </c>
      <c r="AE3564" s="6">
        <v>0.4166666666666667</v>
      </c>
      <c r="AF3564" s="7">
        <v>48416.94</v>
      </c>
    </row>
    <row r="3565">
      <c r="G3565" s="5"/>
      <c r="H3565" s="6"/>
      <c r="AD3565" s="5">
        <v>45075.0</v>
      </c>
      <c r="AE3565" s="6">
        <v>0.4583333333333333</v>
      </c>
      <c r="AF3565" s="7">
        <v>56754.36</v>
      </c>
    </row>
    <row r="3566">
      <c r="G3566" s="5"/>
      <c r="H3566" s="6"/>
      <c r="AD3566" s="5">
        <v>45075.0</v>
      </c>
      <c r="AE3566" s="6">
        <v>0.5</v>
      </c>
      <c r="AF3566" s="7">
        <v>56659.2</v>
      </c>
    </row>
    <row r="3567">
      <c r="G3567" s="5"/>
      <c r="H3567" s="6"/>
      <c r="AD3567" s="5">
        <v>45075.0</v>
      </c>
      <c r="AE3567" s="6">
        <v>0.5416666666666666</v>
      </c>
      <c r="AF3567" s="7">
        <v>16275.48</v>
      </c>
    </row>
    <row r="3568">
      <c r="G3568" s="5"/>
      <c r="H3568" s="6"/>
      <c r="AD3568" s="5">
        <v>45075.0</v>
      </c>
      <c r="AE3568" s="6">
        <v>0.5833333333333334</v>
      </c>
      <c r="AF3568" s="7">
        <v>51993.24</v>
      </c>
    </row>
    <row r="3569">
      <c r="G3569" s="5"/>
      <c r="H3569" s="6"/>
      <c r="AD3569" s="5">
        <v>45075.0</v>
      </c>
      <c r="AE3569" s="6">
        <v>0.625</v>
      </c>
      <c r="AF3569" s="7">
        <v>42851.64</v>
      </c>
    </row>
    <row r="3570">
      <c r="G3570" s="5"/>
      <c r="H3570" s="6"/>
      <c r="AD3570" s="5">
        <v>45075.0</v>
      </c>
      <c r="AE3570" s="6">
        <v>0.6666666666666666</v>
      </c>
      <c r="AF3570" s="7">
        <v>22078.68</v>
      </c>
    </row>
    <row r="3571">
      <c r="G3571" s="5"/>
      <c r="H3571" s="6"/>
      <c r="AD3571" s="5">
        <v>45075.0</v>
      </c>
      <c r="AE3571" s="6">
        <v>0.7083333333333334</v>
      </c>
      <c r="AF3571" s="7">
        <v>18273.06</v>
      </c>
    </row>
    <row r="3572">
      <c r="G3572" s="5"/>
      <c r="H3572" s="6"/>
      <c r="AD3572" s="5">
        <v>45075.0</v>
      </c>
      <c r="AE3572" s="6">
        <v>0.75</v>
      </c>
      <c r="AF3572" s="7">
        <v>4738.5</v>
      </c>
    </row>
    <row r="3573">
      <c r="G3573" s="5"/>
      <c r="H3573" s="6"/>
      <c r="AD3573" s="5">
        <v>45075.0</v>
      </c>
      <c r="AE3573" s="6">
        <v>0.7916666666666666</v>
      </c>
      <c r="AF3573" s="7">
        <v>0.0</v>
      </c>
    </row>
    <row r="3574">
      <c r="G3574" s="5"/>
      <c r="H3574" s="6"/>
      <c r="AD3574" s="5">
        <v>45075.0</v>
      </c>
      <c r="AE3574" s="6">
        <v>0.8333333333333334</v>
      </c>
      <c r="AF3574" s="7">
        <v>0.0</v>
      </c>
    </row>
    <row r="3575">
      <c r="G3575" s="5"/>
      <c r="H3575" s="6"/>
      <c r="AD3575" s="5">
        <v>45075.0</v>
      </c>
      <c r="AE3575" s="6">
        <v>0.875</v>
      </c>
      <c r="AF3575" s="7">
        <v>0.0</v>
      </c>
    </row>
    <row r="3576">
      <c r="G3576" s="5"/>
      <c r="H3576" s="6"/>
      <c r="AD3576" s="5">
        <v>45075.0</v>
      </c>
      <c r="AE3576" s="6">
        <v>0.9166666666666666</v>
      </c>
      <c r="AF3576" s="7">
        <v>0.0</v>
      </c>
    </row>
    <row r="3577">
      <c r="G3577" s="5"/>
      <c r="H3577" s="6"/>
      <c r="AD3577" s="5">
        <v>45075.0</v>
      </c>
      <c r="AE3577" s="6">
        <v>0.9583333333333334</v>
      </c>
      <c r="AF3577" s="7">
        <v>0.0</v>
      </c>
    </row>
    <row r="3578">
      <c r="G3578" s="5"/>
      <c r="H3578" s="6"/>
      <c r="AD3578" s="5">
        <v>45076.0</v>
      </c>
      <c r="AE3578" s="6">
        <v>0.0</v>
      </c>
      <c r="AF3578" s="7">
        <v>0.0</v>
      </c>
    </row>
    <row r="3579">
      <c r="G3579" s="5"/>
      <c r="H3579" s="6"/>
      <c r="AD3579" s="5">
        <v>45076.0</v>
      </c>
      <c r="AE3579" s="6">
        <v>0.041666666666666664</v>
      </c>
      <c r="AF3579" s="7">
        <v>0.0</v>
      </c>
    </row>
    <row r="3580">
      <c r="G3580" s="5"/>
      <c r="H3580" s="6"/>
      <c r="AD3580" s="5">
        <v>45076.0</v>
      </c>
      <c r="AE3580" s="6">
        <v>0.08333333333333333</v>
      </c>
      <c r="AF3580" s="7">
        <v>0.0</v>
      </c>
    </row>
    <row r="3581">
      <c r="G3581" s="5"/>
      <c r="H3581" s="6"/>
      <c r="AD3581" s="5">
        <v>45076.0</v>
      </c>
      <c r="AE3581" s="6">
        <v>0.125</v>
      </c>
      <c r="AF3581" s="7">
        <v>0.0</v>
      </c>
    </row>
    <row r="3582">
      <c r="G3582" s="5"/>
      <c r="H3582" s="6"/>
      <c r="AD3582" s="5">
        <v>45076.0</v>
      </c>
      <c r="AE3582" s="6">
        <v>0.16666666666666666</v>
      </c>
      <c r="AF3582" s="7">
        <v>0.0</v>
      </c>
    </row>
    <row r="3583">
      <c r="G3583" s="5"/>
      <c r="H3583" s="6"/>
      <c r="AD3583" s="5">
        <v>45076.0</v>
      </c>
      <c r="AE3583" s="6">
        <v>0.20833333333333334</v>
      </c>
      <c r="AF3583" s="7">
        <v>1236.3</v>
      </c>
    </row>
    <row r="3584">
      <c r="G3584" s="5"/>
      <c r="H3584" s="6"/>
      <c r="AD3584" s="5">
        <v>45076.0</v>
      </c>
      <c r="AE3584" s="6">
        <v>0.25</v>
      </c>
      <c r="AF3584" s="7">
        <v>8594.82</v>
      </c>
    </row>
    <row r="3585">
      <c r="G3585" s="5"/>
      <c r="H3585" s="6"/>
      <c r="AD3585" s="5">
        <v>45076.0</v>
      </c>
      <c r="AE3585" s="6">
        <v>0.2916666666666667</v>
      </c>
      <c r="AF3585" s="7">
        <v>22591.92</v>
      </c>
    </row>
    <row r="3586">
      <c r="G3586" s="5"/>
      <c r="H3586" s="6"/>
      <c r="AD3586" s="5">
        <v>45076.0</v>
      </c>
      <c r="AE3586" s="6">
        <v>0.3333333333333333</v>
      </c>
      <c r="AF3586" s="7">
        <v>36383.1</v>
      </c>
    </row>
    <row r="3587">
      <c r="G3587" s="5"/>
      <c r="H3587" s="6"/>
      <c r="AD3587" s="5">
        <v>45076.0</v>
      </c>
      <c r="AE3587" s="6">
        <v>0.375</v>
      </c>
      <c r="AF3587" s="7">
        <v>47293.74</v>
      </c>
    </row>
    <row r="3588">
      <c r="G3588" s="5"/>
      <c r="H3588" s="6"/>
      <c r="AD3588" s="5">
        <v>45076.0</v>
      </c>
      <c r="AE3588" s="6">
        <v>0.4166666666666667</v>
      </c>
      <c r="AF3588" s="7">
        <v>55633.5</v>
      </c>
    </row>
    <row r="3589">
      <c r="G3589" s="5"/>
      <c r="H3589" s="6"/>
      <c r="AD3589" s="5">
        <v>45076.0</v>
      </c>
      <c r="AE3589" s="6">
        <v>0.4583333333333333</v>
      </c>
      <c r="AF3589" s="7">
        <v>59723.82</v>
      </c>
    </row>
    <row r="3590">
      <c r="G3590" s="5"/>
      <c r="H3590" s="6"/>
      <c r="AD3590" s="5">
        <v>45076.0</v>
      </c>
      <c r="AE3590" s="6">
        <v>0.5</v>
      </c>
      <c r="AF3590" s="7">
        <v>60973.38</v>
      </c>
    </row>
    <row r="3591">
      <c r="G3591" s="5"/>
      <c r="H3591" s="6"/>
      <c r="AD3591" s="5">
        <v>45076.0</v>
      </c>
      <c r="AE3591" s="6">
        <v>0.5416666666666666</v>
      </c>
      <c r="AF3591" s="7">
        <v>58907.94</v>
      </c>
    </row>
    <row r="3592">
      <c r="G3592" s="5"/>
      <c r="H3592" s="6"/>
      <c r="AD3592" s="5">
        <v>45076.0</v>
      </c>
      <c r="AE3592" s="6">
        <v>0.5833333333333334</v>
      </c>
      <c r="AF3592" s="7">
        <v>52730.34</v>
      </c>
    </row>
    <row r="3593">
      <c r="G3593" s="5"/>
      <c r="H3593" s="6"/>
      <c r="AD3593" s="5">
        <v>45076.0</v>
      </c>
      <c r="AE3593" s="6">
        <v>0.625</v>
      </c>
      <c r="AF3593" s="7">
        <v>43508.4</v>
      </c>
    </row>
    <row r="3594">
      <c r="G3594" s="5"/>
      <c r="H3594" s="6"/>
      <c r="AD3594" s="5">
        <v>45076.0</v>
      </c>
      <c r="AE3594" s="6">
        <v>0.6666666666666666</v>
      </c>
      <c r="AF3594" s="7">
        <v>31476.12</v>
      </c>
    </row>
    <row r="3595">
      <c r="G3595" s="5"/>
      <c r="H3595" s="6"/>
      <c r="AD3595" s="5">
        <v>45076.0</v>
      </c>
      <c r="AE3595" s="6">
        <v>0.7083333333333334</v>
      </c>
      <c r="AF3595" s="7">
        <v>17812.86</v>
      </c>
    </row>
    <row r="3596">
      <c r="G3596" s="5"/>
      <c r="H3596" s="6"/>
      <c r="AD3596" s="5">
        <v>45076.0</v>
      </c>
      <c r="AE3596" s="6">
        <v>0.75</v>
      </c>
      <c r="AF3596" s="7">
        <v>2293.2</v>
      </c>
    </row>
    <row r="3597">
      <c r="G3597" s="5"/>
      <c r="H3597" s="6"/>
      <c r="AD3597" s="5">
        <v>45076.0</v>
      </c>
      <c r="AE3597" s="6">
        <v>0.7916666666666666</v>
      </c>
      <c r="AF3597" s="7">
        <v>0.0</v>
      </c>
    </row>
    <row r="3598">
      <c r="G3598" s="5"/>
      <c r="H3598" s="6"/>
      <c r="AD3598" s="5">
        <v>45076.0</v>
      </c>
      <c r="AE3598" s="6">
        <v>0.8333333333333334</v>
      </c>
      <c r="AF3598" s="7">
        <v>0.0</v>
      </c>
    </row>
    <row r="3599">
      <c r="G3599" s="5"/>
      <c r="H3599" s="6"/>
      <c r="AD3599" s="5">
        <v>45076.0</v>
      </c>
      <c r="AE3599" s="6">
        <v>0.875</v>
      </c>
      <c r="AF3599" s="7">
        <v>0.0</v>
      </c>
    </row>
    <row r="3600">
      <c r="G3600" s="5"/>
      <c r="H3600" s="6"/>
      <c r="AD3600" s="5">
        <v>45076.0</v>
      </c>
      <c r="AE3600" s="6">
        <v>0.9166666666666666</v>
      </c>
      <c r="AF3600" s="7">
        <v>0.0</v>
      </c>
    </row>
    <row r="3601">
      <c r="G3601" s="5"/>
      <c r="H3601" s="6"/>
      <c r="AD3601" s="5">
        <v>45076.0</v>
      </c>
      <c r="AE3601" s="6">
        <v>0.9583333333333334</v>
      </c>
      <c r="AF3601" s="7">
        <v>0.0</v>
      </c>
    </row>
    <row r="3602">
      <c r="G3602" s="5"/>
      <c r="H3602" s="6"/>
      <c r="AD3602" s="5">
        <v>45077.0</v>
      </c>
      <c r="AE3602" s="6">
        <v>0.0</v>
      </c>
      <c r="AF3602" s="7">
        <v>0.0</v>
      </c>
    </row>
    <row r="3603">
      <c r="G3603" s="5"/>
      <c r="H3603" s="6"/>
      <c r="AD3603" s="5">
        <v>45077.0</v>
      </c>
      <c r="AE3603" s="6">
        <v>0.041666666666666664</v>
      </c>
      <c r="AF3603" s="7">
        <v>0.0</v>
      </c>
    </row>
    <row r="3604">
      <c r="G3604" s="5"/>
      <c r="H3604" s="6"/>
      <c r="AD3604" s="5">
        <v>45077.0</v>
      </c>
      <c r="AE3604" s="6">
        <v>0.08333333333333333</v>
      </c>
      <c r="AF3604" s="7">
        <v>0.0</v>
      </c>
    </row>
    <row r="3605">
      <c r="G3605" s="5"/>
      <c r="H3605" s="6"/>
      <c r="AD3605" s="5">
        <v>45077.0</v>
      </c>
      <c r="AE3605" s="6">
        <v>0.125</v>
      </c>
      <c r="AF3605" s="7">
        <v>0.0</v>
      </c>
    </row>
    <row r="3606">
      <c r="G3606" s="5"/>
      <c r="H3606" s="6"/>
      <c r="AD3606" s="5">
        <v>45077.0</v>
      </c>
      <c r="AE3606" s="6">
        <v>0.16666666666666666</v>
      </c>
      <c r="AF3606" s="7">
        <v>0.0</v>
      </c>
    </row>
    <row r="3607">
      <c r="G3607" s="5"/>
      <c r="H3607" s="6"/>
      <c r="AD3607" s="5">
        <v>45077.0</v>
      </c>
      <c r="AE3607" s="6">
        <v>0.20833333333333334</v>
      </c>
      <c r="AF3607" s="7">
        <v>1225.38</v>
      </c>
    </row>
    <row r="3608">
      <c r="G3608" s="5"/>
      <c r="H3608" s="6"/>
      <c r="AD3608" s="5">
        <v>45077.0</v>
      </c>
      <c r="AE3608" s="6">
        <v>0.25</v>
      </c>
      <c r="AF3608" s="7">
        <v>6749.34</v>
      </c>
    </row>
    <row r="3609">
      <c r="G3609" s="5"/>
      <c r="H3609" s="6"/>
      <c r="AD3609" s="5">
        <v>45077.0</v>
      </c>
      <c r="AE3609" s="6">
        <v>0.2916666666666667</v>
      </c>
      <c r="AF3609" s="7">
        <v>18859.62</v>
      </c>
    </row>
    <row r="3610">
      <c r="G3610" s="5"/>
      <c r="H3610" s="6"/>
      <c r="AD3610" s="5">
        <v>45077.0</v>
      </c>
      <c r="AE3610" s="6">
        <v>0.3333333333333333</v>
      </c>
      <c r="AF3610" s="7">
        <v>36695.1</v>
      </c>
    </row>
    <row r="3611">
      <c r="G3611" s="5"/>
      <c r="H3611" s="6"/>
      <c r="AD3611" s="5">
        <v>45077.0</v>
      </c>
      <c r="AE3611" s="6">
        <v>0.375</v>
      </c>
      <c r="AF3611" s="7">
        <v>44881.98</v>
      </c>
    </row>
    <row r="3612">
      <c r="G3612" s="5"/>
      <c r="H3612" s="6"/>
      <c r="AD3612" s="5">
        <v>45077.0</v>
      </c>
      <c r="AE3612" s="6">
        <v>0.4166666666666667</v>
      </c>
      <c r="AF3612" s="7">
        <v>54132.78</v>
      </c>
    </row>
    <row r="3613">
      <c r="G3613" s="5"/>
      <c r="H3613" s="6"/>
      <c r="AD3613" s="5">
        <v>45077.0</v>
      </c>
      <c r="AE3613" s="6">
        <v>0.4583333333333333</v>
      </c>
      <c r="AF3613" s="7">
        <v>56934.54</v>
      </c>
    </row>
    <row r="3614">
      <c r="G3614" s="5"/>
      <c r="H3614" s="6"/>
      <c r="AD3614" s="5">
        <v>45077.0</v>
      </c>
      <c r="AE3614" s="6">
        <v>0.5</v>
      </c>
      <c r="AF3614" s="7">
        <v>57556.98</v>
      </c>
    </row>
    <row r="3615">
      <c r="G3615" s="5"/>
      <c r="H3615" s="6"/>
      <c r="AD3615" s="5">
        <v>45077.0</v>
      </c>
      <c r="AE3615" s="6">
        <v>0.5416666666666666</v>
      </c>
      <c r="AF3615" s="7">
        <v>50696.88</v>
      </c>
    </row>
    <row r="3616">
      <c r="G3616" s="5"/>
      <c r="H3616" s="6"/>
      <c r="AD3616" s="5">
        <v>45077.0</v>
      </c>
      <c r="AE3616" s="6">
        <v>0.5833333333333334</v>
      </c>
      <c r="AF3616" s="7">
        <v>49239.84</v>
      </c>
    </row>
    <row r="3617">
      <c r="G3617" s="5"/>
      <c r="H3617" s="6"/>
      <c r="AD3617" s="5">
        <v>45077.0</v>
      </c>
      <c r="AE3617" s="6">
        <v>0.625</v>
      </c>
      <c r="AF3617" s="7">
        <v>38709.84</v>
      </c>
    </row>
    <row r="3618">
      <c r="G3618" s="5"/>
      <c r="H3618" s="6"/>
      <c r="AD3618" s="5">
        <v>45077.0</v>
      </c>
      <c r="AE3618" s="6">
        <v>0.6666666666666666</v>
      </c>
      <c r="AF3618" s="7">
        <v>4415.58</v>
      </c>
    </row>
    <row r="3619">
      <c r="G3619" s="5"/>
      <c r="H3619" s="6"/>
      <c r="AD3619" s="5">
        <v>45077.0</v>
      </c>
      <c r="AE3619" s="6">
        <v>0.7083333333333334</v>
      </c>
      <c r="AF3619" s="7">
        <v>7230.6</v>
      </c>
    </row>
    <row r="3620">
      <c r="G3620" s="5"/>
      <c r="H3620" s="6"/>
      <c r="AD3620" s="5">
        <v>45077.0</v>
      </c>
      <c r="AE3620" s="6">
        <v>0.75</v>
      </c>
      <c r="AF3620" s="7">
        <v>4981.86</v>
      </c>
    </row>
    <row r="3621">
      <c r="G3621" s="5"/>
      <c r="H3621" s="6"/>
      <c r="AD3621" s="5">
        <v>45077.0</v>
      </c>
      <c r="AE3621" s="6">
        <v>0.7916666666666666</v>
      </c>
      <c r="AF3621" s="7">
        <v>0.78</v>
      </c>
    </row>
    <row r="3622">
      <c r="G3622" s="5"/>
      <c r="H3622" s="6"/>
      <c r="AD3622" s="5">
        <v>45077.0</v>
      </c>
      <c r="AE3622" s="6">
        <v>0.8333333333333334</v>
      </c>
      <c r="AF3622" s="7">
        <v>0.0</v>
      </c>
    </row>
    <row r="3623">
      <c r="G3623" s="5"/>
      <c r="H3623" s="6"/>
      <c r="AD3623" s="5">
        <v>45077.0</v>
      </c>
      <c r="AE3623" s="6">
        <v>0.875</v>
      </c>
      <c r="AF3623" s="7">
        <v>0.0</v>
      </c>
    </row>
    <row r="3624">
      <c r="G3624" s="5"/>
      <c r="H3624" s="6"/>
      <c r="AD3624" s="5">
        <v>45077.0</v>
      </c>
      <c r="AE3624" s="6">
        <v>0.9166666666666666</v>
      </c>
      <c r="AF3624" s="7">
        <v>0.0</v>
      </c>
    </row>
    <row r="3625">
      <c r="G3625" s="5"/>
      <c r="H3625" s="6"/>
      <c r="AD3625" s="5">
        <v>45077.0</v>
      </c>
      <c r="AE3625" s="6">
        <v>0.9583333333333334</v>
      </c>
      <c r="AF3625" s="7">
        <v>0.0</v>
      </c>
    </row>
    <row r="3626">
      <c r="G3626" s="5"/>
      <c r="H3626" s="6"/>
      <c r="AD3626" s="5">
        <v>45078.0</v>
      </c>
      <c r="AE3626" s="6">
        <v>0.0</v>
      </c>
      <c r="AF3626" s="7">
        <v>0.0</v>
      </c>
    </row>
    <row r="3627">
      <c r="G3627" s="5"/>
      <c r="H3627" s="6"/>
      <c r="AD3627" s="5">
        <v>45078.0</v>
      </c>
      <c r="AE3627" s="6">
        <v>0.041666666666666664</v>
      </c>
      <c r="AF3627" s="7">
        <v>0.0</v>
      </c>
    </row>
    <row r="3628">
      <c r="G3628" s="5"/>
      <c r="H3628" s="6"/>
      <c r="AD3628" s="5">
        <v>45078.0</v>
      </c>
      <c r="AE3628" s="6">
        <v>0.08333333333333333</v>
      </c>
      <c r="AF3628" s="7">
        <v>0.0</v>
      </c>
    </row>
    <row r="3629">
      <c r="G3629" s="5"/>
      <c r="H3629" s="6"/>
      <c r="AD3629" s="5">
        <v>45078.0</v>
      </c>
      <c r="AE3629" s="6">
        <v>0.125</v>
      </c>
      <c r="AF3629" s="7">
        <v>0.0</v>
      </c>
    </row>
    <row r="3630">
      <c r="G3630" s="5"/>
      <c r="H3630" s="6"/>
      <c r="AD3630" s="5">
        <v>45078.0</v>
      </c>
      <c r="AE3630" s="6">
        <v>0.16666666666666666</v>
      </c>
      <c r="AF3630" s="7">
        <v>0.0</v>
      </c>
    </row>
    <row r="3631">
      <c r="G3631" s="5"/>
      <c r="H3631" s="6"/>
      <c r="AD3631" s="5">
        <v>45078.0</v>
      </c>
      <c r="AE3631" s="6">
        <v>0.20833333333333334</v>
      </c>
      <c r="AF3631" s="7">
        <v>169.26</v>
      </c>
    </row>
    <row r="3632">
      <c r="G3632" s="5"/>
      <c r="H3632" s="6"/>
      <c r="AD3632" s="5">
        <v>45078.0</v>
      </c>
      <c r="AE3632" s="6">
        <v>0.25</v>
      </c>
      <c r="AF3632" s="7">
        <v>621.66</v>
      </c>
    </row>
    <row r="3633">
      <c r="G3633" s="5"/>
      <c r="H3633" s="6"/>
      <c r="AD3633" s="5">
        <v>45078.0</v>
      </c>
      <c r="AE3633" s="6">
        <v>0.2916666666666667</v>
      </c>
      <c r="AF3633" s="7">
        <v>1407.12</v>
      </c>
    </row>
    <row r="3634">
      <c r="G3634" s="5"/>
      <c r="H3634" s="6"/>
      <c r="AD3634" s="5">
        <v>45078.0</v>
      </c>
      <c r="AE3634" s="6">
        <v>0.3333333333333333</v>
      </c>
      <c r="AF3634" s="7">
        <v>6033.3</v>
      </c>
    </row>
    <row r="3635">
      <c r="G3635" s="5"/>
      <c r="H3635" s="6"/>
      <c r="AD3635" s="5">
        <v>45078.0</v>
      </c>
      <c r="AE3635" s="6">
        <v>0.375</v>
      </c>
      <c r="AF3635" s="7">
        <v>4002.96</v>
      </c>
    </row>
    <row r="3636">
      <c r="G3636" s="5"/>
      <c r="H3636" s="6"/>
      <c r="AD3636" s="5">
        <v>45078.0</v>
      </c>
      <c r="AE3636" s="6">
        <v>0.4166666666666667</v>
      </c>
      <c r="AF3636" s="7">
        <v>7638.54</v>
      </c>
    </row>
    <row r="3637">
      <c r="G3637" s="5"/>
      <c r="H3637" s="6"/>
      <c r="AD3637" s="5">
        <v>45078.0</v>
      </c>
      <c r="AE3637" s="6">
        <v>0.4583333333333333</v>
      </c>
      <c r="AF3637" s="7">
        <v>19896.24</v>
      </c>
    </row>
    <row r="3638">
      <c r="G3638" s="5"/>
      <c r="H3638" s="6"/>
      <c r="AD3638" s="5">
        <v>45078.0</v>
      </c>
      <c r="AE3638" s="6">
        <v>0.5</v>
      </c>
      <c r="AF3638" s="7">
        <v>10203.18</v>
      </c>
    </row>
    <row r="3639">
      <c r="G3639" s="5"/>
      <c r="H3639" s="6"/>
      <c r="AD3639" s="5">
        <v>45078.0</v>
      </c>
      <c r="AE3639" s="6">
        <v>0.5416666666666666</v>
      </c>
      <c r="AF3639" s="7">
        <v>28275.78</v>
      </c>
    </row>
    <row r="3640">
      <c r="G3640" s="5"/>
      <c r="H3640" s="6"/>
      <c r="AD3640" s="5">
        <v>45078.0</v>
      </c>
      <c r="AE3640" s="6">
        <v>0.5833333333333334</v>
      </c>
      <c r="AF3640" s="7">
        <v>51004.98</v>
      </c>
    </row>
    <row r="3641">
      <c r="G3641" s="5"/>
      <c r="H3641" s="6"/>
      <c r="AD3641" s="5">
        <v>45078.0</v>
      </c>
      <c r="AE3641" s="6">
        <v>0.625</v>
      </c>
      <c r="AF3641" s="7">
        <v>21225.36</v>
      </c>
    </row>
    <row r="3642">
      <c r="G3642" s="5"/>
      <c r="H3642" s="6"/>
      <c r="AD3642" s="5">
        <v>45078.0</v>
      </c>
      <c r="AE3642" s="6">
        <v>0.6666666666666666</v>
      </c>
      <c r="AF3642" s="7">
        <v>31320.9</v>
      </c>
    </row>
    <row r="3643">
      <c r="G3643" s="5"/>
      <c r="H3643" s="6"/>
      <c r="AD3643" s="5">
        <v>45078.0</v>
      </c>
      <c r="AE3643" s="6">
        <v>0.7083333333333334</v>
      </c>
      <c r="AF3643" s="7">
        <v>14958.84</v>
      </c>
    </row>
    <row r="3644">
      <c r="G3644" s="5"/>
      <c r="H3644" s="6"/>
      <c r="AD3644" s="5">
        <v>45078.0</v>
      </c>
      <c r="AE3644" s="6">
        <v>0.75</v>
      </c>
      <c r="AF3644" s="7">
        <v>698.1</v>
      </c>
    </row>
    <row r="3645">
      <c r="G3645" s="5"/>
      <c r="H3645" s="6"/>
      <c r="AD3645" s="5">
        <v>45078.0</v>
      </c>
      <c r="AE3645" s="6">
        <v>0.7916666666666666</v>
      </c>
      <c r="AF3645" s="7">
        <v>0.0</v>
      </c>
    </row>
    <row r="3646">
      <c r="G3646" s="5"/>
      <c r="H3646" s="6"/>
      <c r="AD3646" s="5">
        <v>45078.0</v>
      </c>
      <c r="AE3646" s="6">
        <v>0.8333333333333334</v>
      </c>
      <c r="AF3646" s="7">
        <v>0.0</v>
      </c>
    </row>
    <row r="3647">
      <c r="G3647" s="5"/>
      <c r="H3647" s="6"/>
      <c r="AD3647" s="5">
        <v>45078.0</v>
      </c>
      <c r="AE3647" s="6">
        <v>0.875</v>
      </c>
      <c r="AF3647" s="7">
        <v>0.0</v>
      </c>
    </row>
    <row r="3648">
      <c r="G3648" s="5"/>
      <c r="H3648" s="6"/>
      <c r="AD3648" s="5">
        <v>45078.0</v>
      </c>
      <c r="AE3648" s="6">
        <v>0.9166666666666666</v>
      </c>
      <c r="AF3648" s="7">
        <v>0.0</v>
      </c>
    </row>
    <row r="3649">
      <c r="G3649" s="5"/>
      <c r="H3649" s="6"/>
      <c r="AD3649" s="5">
        <v>45078.0</v>
      </c>
      <c r="AE3649" s="6">
        <v>0.9583333333333334</v>
      </c>
      <c r="AF3649" s="7">
        <v>0.0</v>
      </c>
    </row>
    <row r="3650">
      <c r="G3650" s="5"/>
      <c r="H3650" s="6"/>
      <c r="AD3650" s="5">
        <v>45079.0</v>
      </c>
      <c r="AE3650" s="6">
        <v>0.0</v>
      </c>
      <c r="AF3650" s="7">
        <v>0.0</v>
      </c>
    </row>
    <row r="3651">
      <c r="G3651" s="5"/>
      <c r="H3651" s="6"/>
      <c r="AD3651" s="5">
        <v>45079.0</v>
      </c>
      <c r="AE3651" s="6">
        <v>0.041666666666666664</v>
      </c>
      <c r="AF3651" s="7">
        <v>0.0</v>
      </c>
    </row>
    <row r="3652">
      <c r="G3652" s="5"/>
      <c r="H3652" s="6"/>
      <c r="AD3652" s="5">
        <v>45079.0</v>
      </c>
      <c r="AE3652" s="6">
        <v>0.08333333333333333</v>
      </c>
      <c r="AF3652" s="7">
        <v>0.0</v>
      </c>
    </row>
    <row r="3653">
      <c r="G3653" s="5"/>
      <c r="H3653" s="6"/>
      <c r="AD3653" s="5">
        <v>45079.0</v>
      </c>
      <c r="AE3653" s="6">
        <v>0.125</v>
      </c>
      <c r="AF3653" s="7">
        <v>0.0</v>
      </c>
    </row>
    <row r="3654">
      <c r="G3654" s="5"/>
      <c r="H3654" s="6"/>
      <c r="AD3654" s="5">
        <v>45079.0</v>
      </c>
      <c r="AE3654" s="6">
        <v>0.16666666666666666</v>
      </c>
      <c r="AF3654" s="7">
        <v>0.0</v>
      </c>
    </row>
    <row r="3655">
      <c r="G3655" s="5"/>
      <c r="H3655" s="6"/>
      <c r="AD3655" s="5">
        <v>45079.0</v>
      </c>
      <c r="AE3655" s="6">
        <v>0.20833333333333334</v>
      </c>
      <c r="AF3655" s="7">
        <v>1290.9</v>
      </c>
    </row>
    <row r="3656">
      <c r="G3656" s="5"/>
      <c r="H3656" s="6"/>
      <c r="AD3656" s="5">
        <v>45079.0</v>
      </c>
      <c r="AE3656" s="6">
        <v>0.25</v>
      </c>
      <c r="AF3656" s="7">
        <v>8782.02</v>
      </c>
    </row>
    <row r="3657">
      <c r="G3657" s="5"/>
      <c r="H3657" s="6"/>
      <c r="AD3657" s="5">
        <v>45079.0</v>
      </c>
      <c r="AE3657" s="6">
        <v>0.2916666666666667</v>
      </c>
      <c r="AF3657" s="7">
        <v>22733.1</v>
      </c>
    </row>
    <row r="3658">
      <c r="G3658" s="5"/>
      <c r="H3658" s="6"/>
      <c r="AD3658" s="5">
        <v>45079.0</v>
      </c>
      <c r="AE3658" s="6">
        <v>0.3333333333333333</v>
      </c>
      <c r="AF3658" s="7">
        <v>32444.1</v>
      </c>
    </row>
    <row r="3659">
      <c r="G3659" s="5"/>
      <c r="H3659" s="6"/>
      <c r="AD3659" s="5">
        <v>45079.0</v>
      </c>
      <c r="AE3659" s="6">
        <v>0.375</v>
      </c>
      <c r="AF3659" s="7">
        <v>45973.2</v>
      </c>
    </row>
    <row r="3660">
      <c r="G3660" s="5"/>
      <c r="H3660" s="6"/>
      <c r="AD3660" s="5">
        <v>45079.0</v>
      </c>
      <c r="AE3660" s="6">
        <v>0.4166666666666667</v>
      </c>
      <c r="AF3660" s="7">
        <v>55869.06</v>
      </c>
    </row>
    <row r="3661">
      <c r="G3661" s="5"/>
      <c r="H3661" s="6"/>
      <c r="AD3661" s="5">
        <v>45079.0</v>
      </c>
      <c r="AE3661" s="6">
        <v>0.4583333333333333</v>
      </c>
      <c r="AF3661" s="7">
        <v>60028.02</v>
      </c>
    </row>
    <row r="3662">
      <c r="G3662" s="5"/>
      <c r="H3662" s="6"/>
      <c r="AD3662" s="5">
        <v>45079.0</v>
      </c>
      <c r="AE3662" s="6">
        <v>0.5</v>
      </c>
      <c r="AF3662" s="7">
        <v>60991.32</v>
      </c>
    </row>
    <row r="3663">
      <c r="G3663" s="5"/>
      <c r="H3663" s="6"/>
      <c r="AD3663" s="5">
        <v>45079.0</v>
      </c>
      <c r="AE3663" s="6">
        <v>0.5416666666666666</v>
      </c>
      <c r="AF3663" s="7">
        <v>59339.28</v>
      </c>
    </row>
    <row r="3664">
      <c r="G3664" s="5"/>
      <c r="H3664" s="6"/>
      <c r="AD3664" s="5">
        <v>45079.0</v>
      </c>
      <c r="AE3664" s="6">
        <v>0.5833333333333334</v>
      </c>
      <c r="AF3664" s="7">
        <v>53142.96</v>
      </c>
    </row>
    <row r="3665">
      <c r="G3665" s="5"/>
      <c r="H3665" s="6"/>
      <c r="AD3665" s="5">
        <v>45079.0</v>
      </c>
      <c r="AE3665" s="6">
        <v>0.625</v>
      </c>
      <c r="AF3665" s="7">
        <v>44251.74</v>
      </c>
    </row>
    <row r="3666">
      <c r="G3666" s="5"/>
      <c r="H3666" s="6"/>
      <c r="AD3666" s="5">
        <v>45079.0</v>
      </c>
      <c r="AE3666" s="6">
        <v>0.6666666666666666</v>
      </c>
      <c r="AF3666" s="7">
        <v>32298.24</v>
      </c>
    </row>
    <row r="3667">
      <c r="G3667" s="5"/>
      <c r="H3667" s="6"/>
      <c r="AD3667" s="5">
        <v>45079.0</v>
      </c>
      <c r="AE3667" s="6">
        <v>0.7083333333333334</v>
      </c>
      <c r="AF3667" s="7">
        <v>18001.62</v>
      </c>
    </row>
    <row r="3668">
      <c r="G3668" s="5"/>
      <c r="H3668" s="6"/>
      <c r="AD3668" s="5">
        <v>45079.0</v>
      </c>
      <c r="AE3668" s="6">
        <v>0.75</v>
      </c>
      <c r="AF3668" s="7">
        <v>5037.24</v>
      </c>
    </row>
    <row r="3669">
      <c r="G3669" s="5"/>
      <c r="H3669" s="6"/>
      <c r="AD3669" s="5">
        <v>45079.0</v>
      </c>
      <c r="AE3669" s="6">
        <v>0.7916666666666666</v>
      </c>
      <c r="AF3669" s="7">
        <v>0.0</v>
      </c>
    </row>
    <row r="3670">
      <c r="G3670" s="5"/>
      <c r="H3670" s="6"/>
      <c r="AD3670" s="5">
        <v>45079.0</v>
      </c>
      <c r="AE3670" s="6">
        <v>0.8333333333333334</v>
      </c>
      <c r="AF3670" s="7">
        <v>0.0</v>
      </c>
    </row>
    <row r="3671">
      <c r="G3671" s="5"/>
      <c r="H3671" s="6"/>
      <c r="AD3671" s="5">
        <v>45079.0</v>
      </c>
      <c r="AE3671" s="6">
        <v>0.875</v>
      </c>
      <c r="AF3671" s="7">
        <v>0.0</v>
      </c>
    </row>
    <row r="3672">
      <c r="G3672" s="5"/>
      <c r="H3672" s="6"/>
      <c r="AD3672" s="5">
        <v>45079.0</v>
      </c>
      <c r="AE3672" s="6">
        <v>0.9166666666666666</v>
      </c>
      <c r="AF3672" s="7">
        <v>0.0</v>
      </c>
    </row>
    <row r="3673">
      <c r="G3673" s="5"/>
      <c r="H3673" s="6"/>
      <c r="AD3673" s="5">
        <v>45079.0</v>
      </c>
      <c r="AE3673" s="6">
        <v>0.9583333333333334</v>
      </c>
      <c r="AF3673" s="7">
        <v>0.0</v>
      </c>
    </row>
    <row r="3674">
      <c r="G3674" s="5"/>
      <c r="H3674" s="6"/>
      <c r="AD3674" s="5">
        <v>45080.0</v>
      </c>
      <c r="AE3674" s="6">
        <v>0.0</v>
      </c>
      <c r="AF3674" s="7">
        <v>0.0</v>
      </c>
    </row>
    <row r="3675">
      <c r="G3675" s="5"/>
      <c r="H3675" s="6"/>
      <c r="AD3675" s="5">
        <v>45080.0</v>
      </c>
      <c r="AE3675" s="6">
        <v>0.041666666666666664</v>
      </c>
      <c r="AF3675" s="7">
        <v>0.0</v>
      </c>
    </row>
    <row r="3676">
      <c r="G3676" s="5"/>
      <c r="H3676" s="6"/>
      <c r="AD3676" s="5">
        <v>45080.0</v>
      </c>
      <c r="AE3676" s="6">
        <v>0.08333333333333333</v>
      </c>
      <c r="AF3676" s="7">
        <v>0.0</v>
      </c>
    </row>
    <row r="3677">
      <c r="G3677" s="5"/>
      <c r="H3677" s="6"/>
      <c r="AD3677" s="5">
        <v>45080.0</v>
      </c>
      <c r="AE3677" s="6">
        <v>0.125</v>
      </c>
      <c r="AF3677" s="7">
        <v>0.0</v>
      </c>
    </row>
    <row r="3678">
      <c r="G3678" s="5"/>
      <c r="H3678" s="6"/>
      <c r="AD3678" s="5">
        <v>45080.0</v>
      </c>
      <c r="AE3678" s="6">
        <v>0.16666666666666666</v>
      </c>
      <c r="AF3678" s="7">
        <v>0.0</v>
      </c>
    </row>
    <row r="3679">
      <c r="G3679" s="5"/>
      <c r="H3679" s="6"/>
      <c r="AD3679" s="5">
        <v>45080.0</v>
      </c>
      <c r="AE3679" s="6">
        <v>0.20833333333333334</v>
      </c>
      <c r="AF3679" s="7">
        <v>1339.26</v>
      </c>
    </row>
    <row r="3680">
      <c r="G3680" s="5"/>
      <c r="H3680" s="6"/>
      <c r="AD3680" s="5">
        <v>45080.0</v>
      </c>
      <c r="AE3680" s="6">
        <v>0.25</v>
      </c>
      <c r="AF3680" s="7">
        <v>4945.98</v>
      </c>
    </row>
    <row r="3681">
      <c r="G3681" s="5"/>
      <c r="H3681" s="6"/>
      <c r="AD3681" s="5">
        <v>45080.0</v>
      </c>
      <c r="AE3681" s="6">
        <v>0.2916666666666667</v>
      </c>
      <c r="AF3681" s="7">
        <v>9716.46</v>
      </c>
    </row>
    <row r="3682">
      <c r="G3682" s="5"/>
      <c r="H3682" s="6"/>
      <c r="AD3682" s="5">
        <v>45080.0</v>
      </c>
      <c r="AE3682" s="6">
        <v>0.3333333333333333</v>
      </c>
      <c r="AF3682" s="7">
        <v>7083.96</v>
      </c>
    </row>
    <row r="3683">
      <c r="G3683" s="5"/>
      <c r="H3683" s="6"/>
      <c r="AD3683" s="5">
        <v>45080.0</v>
      </c>
      <c r="AE3683" s="6">
        <v>0.375</v>
      </c>
      <c r="AF3683" s="7">
        <v>9315.54</v>
      </c>
    </row>
    <row r="3684">
      <c r="G3684" s="5"/>
      <c r="H3684" s="6"/>
      <c r="AD3684" s="5">
        <v>45080.0</v>
      </c>
      <c r="AE3684" s="6">
        <v>0.4166666666666667</v>
      </c>
      <c r="AF3684" s="7">
        <v>21251.88</v>
      </c>
    </row>
    <row r="3685">
      <c r="G3685" s="5"/>
      <c r="H3685" s="6"/>
      <c r="AD3685" s="5">
        <v>45080.0</v>
      </c>
      <c r="AE3685" s="6">
        <v>0.4583333333333333</v>
      </c>
      <c r="AF3685" s="7">
        <v>59551.44</v>
      </c>
    </row>
    <row r="3686">
      <c r="G3686" s="5"/>
      <c r="H3686" s="6"/>
      <c r="AD3686" s="5">
        <v>45080.0</v>
      </c>
      <c r="AE3686" s="6">
        <v>0.5</v>
      </c>
      <c r="AF3686" s="7">
        <v>60110.7</v>
      </c>
    </row>
    <row r="3687">
      <c r="G3687" s="5"/>
      <c r="H3687" s="6"/>
      <c r="AD3687" s="5">
        <v>45080.0</v>
      </c>
      <c r="AE3687" s="6">
        <v>0.5416666666666666</v>
      </c>
      <c r="AF3687" s="7">
        <v>54527.46</v>
      </c>
    </row>
    <row r="3688">
      <c r="G3688" s="5"/>
      <c r="H3688" s="6"/>
      <c r="AD3688" s="5">
        <v>45080.0</v>
      </c>
      <c r="AE3688" s="6">
        <v>0.5833333333333334</v>
      </c>
      <c r="AF3688" s="7">
        <v>29494.14</v>
      </c>
    </row>
    <row r="3689">
      <c r="G3689" s="5"/>
      <c r="H3689" s="6"/>
      <c r="AD3689" s="5">
        <v>45080.0</v>
      </c>
      <c r="AE3689" s="6">
        <v>0.625</v>
      </c>
      <c r="AF3689" s="7">
        <v>45155.76</v>
      </c>
    </row>
    <row r="3690">
      <c r="G3690" s="5"/>
      <c r="H3690" s="6"/>
      <c r="AD3690" s="5">
        <v>45080.0</v>
      </c>
      <c r="AE3690" s="6">
        <v>0.6666666666666666</v>
      </c>
      <c r="AF3690" s="7">
        <v>5503.68</v>
      </c>
    </row>
    <row r="3691">
      <c r="G3691" s="5"/>
      <c r="H3691" s="6"/>
      <c r="AD3691" s="5">
        <v>45080.0</v>
      </c>
      <c r="AE3691" s="6">
        <v>0.7083333333333334</v>
      </c>
      <c r="AF3691" s="7">
        <v>1099.02</v>
      </c>
    </row>
    <row r="3692">
      <c r="G3692" s="5"/>
      <c r="H3692" s="6"/>
      <c r="AD3692" s="5">
        <v>45080.0</v>
      </c>
      <c r="AE3692" s="6">
        <v>0.75</v>
      </c>
      <c r="AF3692" s="7">
        <v>996.84</v>
      </c>
    </row>
    <row r="3693">
      <c r="G3693" s="5"/>
      <c r="H3693" s="6"/>
      <c r="AD3693" s="5">
        <v>45080.0</v>
      </c>
      <c r="AE3693" s="6">
        <v>0.7916666666666666</v>
      </c>
      <c r="AF3693" s="7">
        <v>0.0</v>
      </c>
    </row>
    <row r="3694">
      <c r="G3694" s="5"/>
      <c r="H3694" s="6"/>
      <c r="AD3694" s="5">
        <v>45080.0</v>
      </c>
      <c r="AE3694" s="6">
        <v>0.8333333333333334</v>
      </c>
      <c r="AF3694" s="7">
        <v>0.0</v>
      </c>
    </row>
    <row r="3695">
      <c r="G3695" s="5"/>
      <c r="H3695" s="6"/>
      <c r="AD3695" s="5">
        <v>45080.0</v>
      </c>
      <c r="AE3695" s="6">
        <v>0.875</v>
      </c>
      <c r="AF3695" s="7">
        <v>0.0</v>
      </c>
    </row>
    <row r="3696">
      <c r="G3696" s="5"/>
      <c r="H3696" s="6"/>
      <c r="AD3696" s="5">
        <v>45080.0</v>
      </c>
      <c r="AE3696" s="6">
        <v>0.9166666666666666</v>
      </c>
      <c r="AF3696" s="7">
        <v>0.0</v>
      </c>
    </row>
    <row r="3697">
      <c r="G3697" s="5"/>
      <c r="H3697" s="6"/>
      <c r="AD3697" s="5">
        <v>45080.0</v>
      </c>
      <c r="AE3697" s="6">
        <v>0.9583333333333334</v>
      </c>
      <c r="AF3697" s="7">
        <v>0.0</v>
      </c>
    </row>
    <row r="3698">
      <c r="G3698" s="5"/>
      <c r="H3698" s="6"/>
      <c r="AD3698" s="5">
        <v>45081.0</v>
      </c>
      <c r="AE3698" s="6">
        <v>0.0</v>
      </c>
      <c r="AF3698" s="7">
        <v>0.0</v>
      </c>
    </row>
    <row r="3699">
      <c r="G3699" s="5"/>
      <c r="H3699" s="6"/>
      <c r="AD3699" s="5">
        <v>45081.0</v>
      </c>
      <c r="AE3699" s="6">
        <v>0.041666666666666664</v>
      </c>
      <c r="AF3699" s="7">
        <v>0.0</v>
      </c>
    </row>
    <row r="3700">
      <c r="G3700" s="5"/>
      <c r="H3700" s="6"/>
      <c r="AD3700" s="5">
        <v>45081.0</v>
      </c>
      <c r="AE3700" s="6">
        <v>0.08333333333333333</v>
      </c>
      <c r="AF3700" s="7">
        <v>0.0</v>
      </c>
    </row>
    <row r="3701">
      <c r="G3701" s="5"/>
      <c r="H3701" s="6"/>
      <c r="AD3701" s="5">
        <v>45081.0</v>
      </c>
      <c r="AE3701" s="6">
        <v>0.125</v>
      </c>
      <c r="AF3701" s="7">
        <v>0.0</v>
      </c>
    </row>
    <row r="3702">
      <c r="G3702" s="5"/>
      <c r="H3702" s="6"/>
      <c r="AD3702" s="5">
        <v>45081.0</v>
      </c>
      <c r="AE3702" s="6">
        <v>0.16666666666666666</v>
      </c>
      <c r="AF3702" s="7">
        <v>0.0</v>
      </c>
    </row>
    <row r="3703">
      <c r="G3703" s="5"/>
      <c r="H3703" s="6"/>
      <c r="AD3703" s="5">
        <v>45081.0</v>
      </c>
      <c r="AE3703" s="6">
        <v>0.20833333333333334</v>
      </c>
      <c r="AF3703" s="7">
        <v>1015.56</v>
      </c>
    </row>
    <row r="3704">
      <c r="G3704" s="5"/>
      <c r="H3704" s="6"/>
      <c r="AD3704" s="5">
        <v>45081.0</v>
      </c>
      <c r="AE3704" s="6">
        <v>0.25</v>
      </c>
      <c r="AF3704" s="7">
        <v>6559.02</v>
      </c>
    </row>
    <row r="3705">
      <c r="G3705" s="5"/>
      <c r="H3705" s="6"/>
      <c r="AD3705" s="5">
        <v>45081.0</v>
      </c>
      <c r="AE3705" s="6">
        <v>0.2916666666666667</v>
      </c>
      <c r="AF3705" s="7">
        <v>12110.28</v>
      </c>
    </row>
    <row r="3706">
      <c r="G3706" s="5"/>
      <c r="H3706" s="6"/>
      <c r="AD3706" s="5">
        <v>45081.0</v>
      </c>
      <c r="AE3706" s="6">
        <v>0.3333333333333333</v>
      </c>
      <c r="AF3706" s="7">
        <v>22198.02</v>
      </c>
    </row>
    <row r="3707">
      <c r="G3707" s="5"/>
      <c r="H3707" s="6"/>
      <c r="AD3707" s="5">
        <v>45081.0</v>
      </c>
      <c r="AE3707" s="6">
        <v>0.375</v>
      </c>
      <c r="AF3707" s="7">
        <v>44424.12</v>
      </c>
    </row>
    <row r="3708">
      <c r="G3708" s="5"/>
      <c r="H3708" s="6"/>
      <c r="AD3708" s="5">
        <v>45081.0</v>
      </c>
      <c r="AE3708" s="6">
        <v>0.4166666666666667</v>
      </c>
      <c r="AF3708" s="7">
        <v>51742.86</v>
      </c>
    </row>
    <row r="3709">
      <c r="G3709" s="5"/>
      <c r="H3709" s="6"/>
      <c r="AD3709" s="5">
        <v>45081.0</v>
      </c>
      <c r="AE3709" s="6">
        <v>0.4583333333333333</v>
      </c>
      <c r="AF3709" s="7">
        <v>58809.66</v>
      </c>
    </row>
    <row r="3710">
      <c r="G3710" s="5"/>
      <c r="H3710" s="6"/>
      <c r="AD3710" s="5">
        <v>45081.0</v>
      </c>
      <c r="AE3710" s="6">
        <v>0.5</v>
      </c>
      <c r="AF3710" s="7">
        <v>59388.42</v>
      </c>
    </row>
    <row r="3711">
      <c r="G3711" s="5"/>
      <c r="H3711" s="6"/>
      <c r="AD3711" s="5">
        <v>45081.0</v>
      </c>
      <c r="AE3711" s="6">
        <v>0.5416666666666666</v>
      </c>
      <c r="AF3711" s="7">
        <v>58390.02</v>
      </c>
    </row>
    <row r="3712">
      <c r="G3712" s="5"/>
      <c r="H3712" s="6"/>
      <c r="AD3712" s="5">
        <v>45081.0</v>
      </c>
      <c r="AE3712" s="6">
        <v>0.5833333333333334</v>
      </c>
      <c r="AF3712" s="7">
        <v>52050.96</v>
      </c>
    </row>
    <row r="3713">
      <c r="G3713" s="5"/>
      <c r="H3713" s="6"/>
      <c r="AD3713" s="5">
        <v>45081.0</v>
      </c>
      <c r="AE3713" s="6">
        <v>0.625</v>
      </c>
      <c r="AF3713" s="7">
        <v>43442.88</v>
      </c>
    </row>
    <row r="3714">
      <c r="G3714" s="5"/>
      <c r="H3714" s="6"/>
      <c r="AD3714" s="5">
        <v>45081.0</v>
      </c>
      <c r="AE3714" s="6">
        <v>0.6666666666666666</v>
      </c>
      <c r="AF3714" s="7">
        <v>32549.4</v>
      </c>
    </row>
    <row r="3715">
      <c r="G3715" s="5"/>
      <c r="H3715" s="6"/>
      <c r="AD3715" s="5">
        <v>45081.0</v>
      </c>
      <c r="AE3715" s="6">
        <v>0.7083333333333334</v>
      </c>
      <c r="AF3715" s="7">
        <v>17838.6</v>
      </c>
    </row>
    <row r="3716">
      <c r="G3716" s="5"/>
      <c r="H3716" s="6"/>
      <c r="AD3716" s="5">
        <v>45081.0</v>
      </c>
      <c r="AE3716" s="6">
        <v>0.75</v>
      </c>
      <c r="AF3716" s="7">
        <v>5172.18</v>
      </c>
    </row>
    <row r="3717">
      <c r="G3717" s="5"/>
      <c r="H3717" s="6"/>
      <c r="AD3717" s="5">
        <v>45081.0</v>
      </c>
      <c r="AE3717" s="6">
        <v>0.7916666666666666</v>
      </c>
      <c r="AF3717" s="7">
        <v>56.94</v>
      </c>
    </row>
    <row r="3718">
      <c r="G3718" s="5"/>
      <c r="H3718" s="6"/>
      <c r="AD3718" s="5">
        <v>45081.0</v>
      </c>
      <c r="AE3718" s="6">
        <v>0.8333333333333334</v>
      </c>
      <c r="AF3718" s="7">
        <v>0.0</v>
      </c>
    </row>
    <row r="3719">
      <c r="G3719" s="5"/>
      <c r="H3719" s="6"/>
      <c r="AD3719" s="5">
        <v>45081.0</v>
      </c>
      <c r="AE3719" s="6">
        <v>0.875</v>
      </c>
      <c r="AF3719" s="7">
        <v>0.0</v>
      </c>
    </row>
    <row r="3720">
      <c r="G3720" s="5"/>
      <c r="H3720" s="6"/>
      <c r="AD3720" s="5">
        <v>45081.0</v>
      </c>
      <c r="AE3720" s="6">
        <v>0.9166666666666666</v>
      </c>
      <c r="AF3720" s="7">
        <v>0.0</v>
      </c>
    </row>
    <row r="3721">
      <c r="G3721" s="5"/>
      <c r="H3721" s="6"/>
      <c r="AD3721" s="5">
        <v>45081.0</v>
      </c>
      <c r="AE3721" s="6">
        <v>0.9583333333333334</v>
      </c>
      <c r="AF3721" s="7">
        <v>0.0</v>
      </c>
    </row>
    <row r="3722">
      <c r="G3722" s="5"/>
      <c r="H3722" s="6"/>
      <c r="AD3722" s="5">
        <v>45082.0</v>
      </c>
      <c r="AE3722" s="6">
        <v>0.0</v>
      </c>
      <c r="AF3722" s="7">
        <v>0.0</v>
      </c>
    </row>
    <row r="3723">
      <c r="G3723" s="5"/>
      <c r="H3723" s="6"/>
      <c r="AD3723" s="5">
        <v>45082.0</v>
      </c>
      <c r="AE3723" s="6">
        <v>0.041666666666666664</v>
      </c>
      <c r="AF3723" s="7">
        <v>0.0</v>
      </c>
    </row>
    <row r="3724">
      <c r="G3724" s="5"/>
      <c r="H3724" s="6"/>
      <c r="AD3724" s="5">
        <v>45082.0</v>
      </c>
      <c r="AE3724" s="6">
        <v>0.08333333333333333</v>
      </c>
      <c r="AF3724" s="7">
        <v>0.0</v>
      </c>
    </row>
    <row r="3725">
      <c r="G3725" s="5"/>
      <c r="H3725" s="6"/>
      <c r="AD3725" s="5">
        <v>45082.0</v>
      </c>
      <c r="AE3725" s="6">
        <v>0.125</v>
      </c>
      <c r="AF3725" s="7">
        <v>0.0</v>
      </c>
    </row>
    <row r="3726">
      <c r="G3726" s="5"/>
      <c r="H3726" s="6"/>
      <c r="AD3726" s="5">
        <v>45082.0</v>
      </c>
      <c r="AE3726" s="6">
        <v>0.16666666666666666</v>
      </c>
      <c r="AF3726" s="7">
        <v>0.0</v>
      </c>
    </row>
    <row r="3727">
      <c r="G3727" s="5"/>
      <c r="H3727" s="6"/>
      <c r="AD3727" s="5">
        <v>45082.0</v>
      </c>
      <c r="AE3727" s="6">
        <v>0.20833333333333334</v>
      </c>
      <c r="AF3727" s="7">
        <v>1333.02</v>
      </c>
    </row>
    <row r="3728">
      <c r="G3728" s="5"/>
      <c r="H3728" s="6"/>
      <c r="AD3728" s="5">
        <v>45082.0</v>
      </c>
      <c r="AE3728" s="6">
        <v>0.25</v>
      </c>
      <c r="AF3728" s="7">
        <v>8850.66</v>
      </c>
    </row>
    <row r="3729">
      <c r="G3729" s="5"/>
      <c r="H3729" s="6"/>
      <c r="AD3729" s="5">
        <v>45082.0</v>
      </c>
      <c r="AE3729" s="6">
        <v>0.2916666666666667</v>
      </c>
      <c r="AF3729" s="7">
        <v>23195.64</v>
      </c>
    </row>
    <row r="3730">
      <c r="G3730" s="5"/>
      <c r="H3730" s="6"/>
      <c r="AD3730" s="5">
        <v>45082.0</v>
      </c>
      <c r="AE3730" s="6">
        <v>0.3333333333333333</v>
      </c>
      <c r="AF3730" s="7">
        <v>35052.42</v>
      </c>
    </row>
    <row r="3731">
      <c r="G3731" s="5"/>
      <c r="H3731" s="6"/>
      <c r="AD3731" s="5">
        <v>45082.0</v>
      </c>
      <c r="AE3731" s="6">
        <v>0.375</v>
      </c>
      <c r="AF3731" s="7">
        <v>46313.28</v>
      </c>
    </row>
    <row r="3732">
      <c r="G3732" s="5"/>
      <c r="H3732" s="6"/>
      <c r="AD3732" s="5">
        <v>45082.0</v>
      </c>
      <c r="AE3732" s="6">
        <v>0.4166666666666667</v>
      </c>
      <c r="AF3732" s="7">
        <v>53960.4</v>
      </c>
    </row>
    <row r="3733">
      <c r="G3733" s="5"/>
      <c r="H3733" s="6"/>
      <c r="AD3733" s="5">
        <v>45082.0</v>
      </c>
      <c r="AE3733" s="6">
        <v>0.4583333333333333</v>
      </c>
      <c r="AF3733" s="7">
        <v>57587.4</v>
      </c>
    </row>
    <row r="3734">
      <c r="G3734" s="5"/>
      <c r="H3734" s="6"/>
      <c r="AD3734" s="5">
        <v>45082.0</v>
      </c>
      <c r="AE3734" s="6">
        <v>0.5</v>
      </c>
      <c r="AF3734" s="7">
        <v>58003.14</v>
      </c>
    </row>
    <row r="3735">
      <c r="G3735" s="5"/>
      <c r="H3735" s="6"/>
      <c r="AD3735" s="5">
        <v>45082.0</v>
      </c>
      <c r="AE3735" s="6">
        <v>0.5416666666666666</v>
      </c>
      <c r="AF3735" s="7">
        <v>46477.86</v>
      </c>
    </row>
    <row r="3736">
      <c r="G3736" s="5"/>
      <c r="H3736" s="6"/>
      <c r="AD3736" s="5">
        <v>45082.0</v>
      </c>
      <c r="AE3736" s="6">
        <v>0.5833333333333334</v>
      </c>
      <c r="AF3736" s="7">
        <v>33733.44</v>
      </c>
    </row>
    <row r="3737">
      <c r="G3737" s="5"/>
      <c r="H3737" s="6"/>
      <c r="AD3737" s="5">
        <v>45082.0</v>
      </c>
      <c r="AE3737" s="6">
        <v>0.625</v>
      </c>
      <c r="AF3737" s="7">
        <v>39680.94</v>
      </c>
    </row>
    <row r="3738">
      <c r="G3738" s="5"/>
      <c r="H3738" s="6"/>
      <c r="AD3738" s="5">
        <v>45082.0</v>
      </c>
      <c r="AE3738" s="6">
        <v>0.6666666666666666</v>
      </c>
      <c r="AF3738" s="7">
        <v>15882.36</v>
      </c>
    </row>
    <row r="3739">
      <c r="G3739" s="5"/>
      <c r="H3739" s="6"/>
      <c r="AD3739" s="5">
        <v>45082.0</v>
      </c>
      <c r="AE3739" s="6">
        <v>0.7083333333333334</v>
      </c>
      <c r="AF3739" s="7">
        <v>10693.8</v>
      </c>
    </row>
    <row r="3740">
      <c r="G3740" s="5"/>
      <c r="H3740" s="6"/>
      <c r="AD3740" s="5">
        <v>45082.0</v>
      </c>
      <c r="AE3740" s="6">
        <v>0.75</v>
      </c>
      <c r="AF3740" s="7">
        <v>2308.8</v>
      </c>
    </row>
    <row r="3741">
      <c r="G3741" s="5"/>
      <c r="H3741" s="6"/>
      <c r="AD3741" s="5">
        <v>45082.0</v>
      </c>
      <c r="AE3741" s="6">
        <v>0.7916666666666666</v>
      </c>
      <c r="AF3741" s="7">
        <v>0.0</v>
      </c>
    </row>
    <row r="3742">
      <c r="G3742" s="5"/>
      <c r="H3742" s="6"/>
      <c r="AD3742" s="5">
        <v>45082.0</v>
      </c>
      <c r="AE3742" s="6">
        <v>0.8333333333333334</v>
      </c>
      <c r="AF3742" s="7">
        <v>0.0</v>
      </c>
    </row>
    <row r="3743">
      <c r="G3743" s="5"/>
      <c r="H3743" s="6"/>
      <c r="AD3743" s="5">
        <v>45082.0</v>
      </c>
      <c r="AE3743" s="6">
        <v>0.875</v>
      </c>
      <c r="AF3743" s="7">
        <v>0.0</v>
      </c>
    </row>
    <row r="3744">
      <c r="G3744" s="5"/>
      <c r="H3744" s="6"/>
      <c r="AD3744" s="5">
        <v>45082.0</v>
      </c>
      <c r="AE3744" s="6">
        <v>0.9166666666666666</v>
      </c>
      <c r="AF3744" s="7">
        <v>0.0</v>
      </c>
    </row>
    <row r="3745">
      <c r="G3745" s="5"/>
      <c r="H3745" s="6"/>
      <c r="AD3745" s="5">
        <v>45082.0</v>
      </c>
      <c r="AE3745" s="6">
        <v>0.9583333333333334</v>
      </c>
      <c r="AF3745" s="7">
        <v>0.0</v>
      </c>
    </row>
    <row r="3746">
      <c r="G3746" s="5"/>
      <c r="H3746" s="6"/>
      <c r="AD3746" s="5">
        <v>45083.0</v>
      </c>
      <c r="AE3746" s="6">
        <v>0.0</v>
      </c>
      <c r="AF3746" s="7">
        <v>0.0</v>
      </c>
    </row>
    <row r="3747">
      <c r="G3747" s="5"/>
      <c r="H3747" s="6"/>
      <c r="AD3747" s="5">
        <v>45083.0</v>
      </c>
      <c r="AE3747" s="6">
        <v>0.041666666666666664</v>
      </c>
      <c r="AF3747" s="7">
        <v>0.0</v>
      </c>
    </row>
    <row r="3748">
      <c r="G3748" s="5"/>
      <c r="H3748" s="6"/>
      <c r="AD3748" s="5">
        <v>45083.0</v>
      </c>
      <c r="AE3748" s="6">
        <v>0.08333333333333333</v>
      </c>
      <c r="AF3748" s="7">
        <v>0.0</v>
      </c>
    </row>
    <row r="3749">
      <c r="G3749" s="5"/>
      <c r="H3749" s="6"/>
      <c r="AD3749" s="5">
        <v>45083.0</v>
      </c>
      <c r="AE3749" s="6">
        <v>0.125</v>
      </c>
      <c r="AF3749" s="7">
        <v>0.0</v>
      </c>
    </row>
    <row r="3750">
      <c r="G3750" s="5"/>
      <c r="H3750" s="6"/>
      <c r="AD3750" s="5">
        <v>45083.0</v>
      </c>
      <c r="AE3750" s="6">
        <v>0.16666666666666666</v>
      </c>
      <c r="AF3750" s="7">
        <v>0.0</v>
      </c>
    </row>
    <row r="3751">
      <c r="G3751" s="5"/>
      <c r="H3751" s="6"/>
      <c r="AD3751" s="5">
        <v>45083.0</v>
      </c>
      <c r="AE3751" s="6">
        <v>0.20833333333333334</v>
      </c>
      <c r="AF3751" s="7">
        <v>1325.22</v>
      </c>
    </row>
    <row r="3752">
      <c r="G3752" s="5"/>
      <c r="H3752" s="6"/>
      <c r="AD3752" s="5">
        <v>45083.0</v>
      </c>
      <c r="AE3752" s="6">
        <v>0.25</v>
      </c>
      <c r="AF3752" s="7">
        <v>8805.42</v>
      </c>
    </row>
    <row r="3753">
      <c r="G3753" s="5"/>
      <c r="H3753" s="6"/>
      <c r="AD3753" s="5">
        <v>45083.0</v>
      </c>
      <c r="AE3753" s="6">
        <v>0.2916666666666667</v>
      </c>
      <c r="AF3753" s="7">
        <v>0.0</v>
      </c>
    </row>
    <row r="3754">
      <c r="G3754" s="5"/>
      <c r="H3754" s="6"/>
      <c r="AD3754" s="5">
        <v>45083.0</v>
      </c>
      <c r="AE3754" s="6">
        <v>0.3333333333333333</v>
      </c>
      <c r="AF3754" s="7">
        <v>26834.34</v>
      </c>
    </row>
    <row r="3755">
      <c r="G3755" s="5"/>
      <c r="H3755" s="6"/>
      <c r="AD3755" s="5">
        <v>45083.0</v>
      </c>
      <c r="AE3755" s="6">
        <v>0.375</v>
      </c>
      <c r="AF3755" s="7">
        <v>46215.78</v>
      </c>
    </row>
    <row r="3756">
      <c r="G3756" s="5"/>
      <c r="H3756" s="6"/>
      <c r="AD3756" s="5">
        <v>45083.0</v>
      </c>
      <c r="AE3756" s="6">
        <v>0.4166666666666667</v>
      </c>
      <c r="AF3756" s="7">
        <v>53100.06</v>
      </c>
    </row>
    <row r="3757">
      <c r="G3757" s="5"/>
      <c r="H3757" s="6"/>
      <c r="AD3757" s="5">
        <v>45083.0</v>
      </c>
      <c r="AE3757" s="6">
        <v>0.4583333333333333</v>
      </c>
      <c r="AF3757" s="7">
        <v>57694.26</v>
      </c>
    </row>
    <row r="3758">
      <c r="G3758" s="5"/>
      <c r="H3758" s="6"/>
      <c r="AD3758" s="5">
        <v>45083.0</v>
      </c>
      <c r="AE3758" s="6">
        <v>0.5</v>
      </c>
      <c r="AF3758" s="7">
        <v>58702.02</v>
      </c>
    </row>
    <row r="3759">
      <c r="G3759" s="5"/>
      <c r="H3759" s="6"/>
      <c r="AD3759" s="5">
        <v>45083.0</v>
      </c>
      <c r="AE3759" s="6">
        <v>0.5416666666666666</v>
      </c>
      <c r="AF3759" s="7">
        <v>56043.0</v>
      </c>
    </row>
    <row r="3760">
      <c r="G3760" s="5"/>
      <c r="H3760" s="6"/>
      <c r="AD3760" s="5">
        <v>45083.0</v>
      </c>
      <c r="AE3760" s="6">
        <v>0.5833333333333334</v>
      </c>
      <c r="AF3760" s="7">
        <v>46532.46</v>
      </c>
    </row>
    <row r="3761">
      <c r="G3761" s="5"/>
      <c r="H3761" s="6"/>
      <c r="AD3761" s="5">
        <v>45083.0</v>
      </c>
      <c r="AE3761" s="6">
        <v>0.625</v>
      </c>
      <c r="AF3761" s="7">
        <v>40384.5</v>
      </c>
    </row>
    <row r="3762">
      <c r="G3762" s="5"/>
      <c r="H3762" s="6"/>
      <c r="AD3762" s="5">
        <v>45083.0</v>
      </c>
      <c r="AE3762" s="6">
        <v>0.6666666666666666</v>
      </c>
      <c r="AF3762" s="7">
        <v>28704.0</v>
      </c>
    </row>
    <row r="3763">
      <c r="G3763" s="5"/>
      <c r="H3763" s="6"/>
      <c r="AD3763" s="5">
        <v>45083.0</v>
      </c>
      <c r="AE3763" s="6">
        <v>0.7083333333333334</v>
      </c>
      <c r="AF3763" s="7">
        <v>12129.0</v>
      </c>
    </row>
    <row r="3764">
      <c r="G3764" s="5"/>
      <c r="H3764" s="6"/>
      <c r="AD3764" s="5">
        <v>45083.0</v>
      </c>
      <c r="AE3764" s="6">
        <v>0.75</v>
      </c>
      <c r="AF3764" s="7">
        <v>5410.86</v>
      </c>
    </row>
    <row r="3765">
      <c r="G3765" s="5"/>
      <c r="H3765" s="6"/>
      <c r="AD3765" s="5">
        <v>45083.0</v>
      </c>
      <c r="AE3765" s="6">
        <v>0.7916666666666666</v>
      </c>
      <c r="AF3765" s="7">
        <v>119.34</v>
      </c>
    </row>
    <row r="3766">
      <c r="G3766" s="5"/>
      <c r="H3766" s="6"/>
      <c r="AD3766" s="5">
        <v>45083.0</v>
      </c>
      <c r="AE3766" s="6">
        <v>0.8333333333333334</v>
      </c>
      <c r="AF3766" s="7">
        <v>0.0</v>
      </c>
    </row>
    <row r="3767">
      <c r="G3767" s="5"/>
      <c r="H3767" s="6"/>
      <c r="AD3767" s="5">
        <v>45083.0</v>
      </c>
      <c r="AE3767" s="6">
        <v>0.875</v>
      </c>
      <c r="AF3767" s="7">
        <v>0.0</v>
      </c>
    </row>
    <row r="3768">
      <c r="G3768" s="5"/>
      <c r="H3768" s="6"/>
      <c r="AD3768" s="5">
        <v>45083.0</v>
      </c>
      <c r="AE3768" s="6">
        <v>0.9166666666666666</v>
      </c>
      <c r="AF3768" s="7">
        <v>0.0</v>
      </c>
    </row>
    <row r="3769">
      <c r="G3769" s="5"/>
      <c r="H3769" s="6"/>
      <c r="AD3769" s="5">
        <v>45083.0</v>
      </c>
      <c r="AE3769" s="6">
        <v>0.9583333333333334</v>
      </c>
      <c r="AF3769" s="7">
        <v>0.0</v>
      </c>
    </row>
    <row r="3770">
      <c r="G3770" s="5"/>
      <c r="H3770" s="6"/>
      <c r="AD3770" s="5">
        <v>45084.0</v>
      </c>
      <c r="AE3770" s="6">
        <v>0.0</v>
      </c>
      <c r="AF3770" s="7">
        <v>0.0</v>
      </c>
    </row>
    <row r="3771">
      <c r="G3771" s="5"/>
      <c r="H3771" s="6"/>
      <c r="AD3771" s="5">
        <v>45084.0</v>
      </c>
      <c r="AE3771" s="6">
        <v>0.041666666666666664</v>
      </c>
      <c r="AF3771" s="7">
        <v>0.0</v>
      </c>
    </row>
    <row r="3772">
      <c r="G3772" s="5"/>
      <c r="H3772" s="6"/>
      <c r="AD3772" s="5">
        <v>45084.0</v>
      </c>
      <c r="AE3772" s="6">
        <v>0.08333333333333333</v>
      </c>
      <c r="AF3772" s="7">
        <v>0.0</v>
      </c>
    </row>
    <row r="3773">
      <c r="G3773" s="5"/>
      <c r="H3773" s="6"/>
      <c r="AD3773" s="5">
        <v>45084.0</v>
      </c>
      <c r="AE3773" s="6">
        <v>0.125</v>
      </c>
      <c r="AF3773" s="7">
        <v>0.0</v>
      </c>
    </row>
    <row r="3774">
      <c r="G3774" s="5"/>
      <c r="H3774" s="6"/>
      <c r="AD3774" s="5">
        <v>45084.0</v>
      </c>
      <c r="AE3774" s="6">
        <v>0.16666666666666666</v>
      </c>
      <c r="AF3774" s="7">
        <v>0.0</v>
      </c>
    </row>
    <row r="3775">
      <c r="G3775" s="5"/>
      <c r="H3775" s="6"/>
      <c r="AD3775" s="5">
        <v>45084.0</v>
      </c>
      <c r="AE3775" s="6">
        <v>0.20833333333333334</v>
      </c>
      <c r="AF3775" s="7">
        <v>460.98</v>
      </c>
    </row>
    <row r="3776">
      <c r="G3776" s="5"/>
      <c r="H3776" s="6"/>
      <c r="AD3776" s="5">
        <v>45084.0</v>
      </c>
      <c r="AE3776" s="6">
        <v>0.25</v>
      </c>
      <c r="AF3776" s="7">
        <v>7403.76</v>
      </c>
    </row>
    <row r="3777">
      <c r="G3777" s="5"/>
      <c r="H3777" s="6"/>
      <c r="AD3777" s="5">
        <v>45084.0</v>
      </c>
      <c r="AE3777" s="6">
        <v>0.2916666666666667</v>
      </c>
      <c r="AF3777" s="7">
        <v>12089.22</v>
      </c>
    </row>
    <row r="3778">
      <c r="G3778" s="5"/>
      <c r="H3778" s="6"/>
      <c r="AD3778" s="5">
        <v>45084.0</v>
      </c>
      <c r="AE3778" s="6">
        <v>0.3333333333333333</v>
      </c>
      <c r="AF3778" s="7">
        <v>12845.82</v>
      </c>
    </row>
    <row r="3779">
      <c r="G3779" s="5"/>
      <c r="H3779" s="6"/>
      <c r="AD3779" s="5">
        <v>45084.0</v>
      </c>
      <c r="AE3779" s="6">
        <v>0.375</v>
      </c>
      <c r="AF3779" s="7">
        <v>8743.8</v>
      </c>
    </row>
    <row r="3780">
      <c r="G3780" s="5"/>
      <c r="H3780" s="6"/>
      <c r="AD3780" s="5">
        <v>45084.0</v>
      </c>
      <c r="AE3780" s="6">
        <v>0.4166666666666667</v>
      </c>
      <c r="AF3780" s="7">
        <v>6179.94</v>
      </c>
    </row>
    <row r="3781">
      <c r="G3781" s="5"/>
      <c r="H3781" s="6"/>
      <c r="AD3781" s="5">
        <v>45084.0</v>
      </c>
      <c r="AE3781" s="6">
        <v>0.4583333333333333</v>
      </c>
      <c r="AF3781" s="7">
        <v>15032.94</v>
      </c>
    </row>
    <row r="3782">
      <c r="G3782" s="5"/>
      <c r="H3782" s="6"/>
      <c r="AD3782" s="5">
        <v>45084.0</v>
      </c>
      <c r="AE3782" s="6">
        <v>0.5</v>
      </c>
      <c r="AF3782" s="7">
        <v>19762.86</v>
      </c>
    </row>
    <row r="3783">
      <c r="G3783" s="5"/>
      <c r="H3783" s="6"/>
      <c r="AD3783" s="5">
        <v>45084.0</v>
      </c>
      <c r="AE3783" s="6">
        <v>0.5416666666666666</v>
      </c>
      <c r="AF3783" s="7">
        <v>18020.34</v>
      </c>
    </row>
    <row r="3784">
      <c r="G3784" s="5"/>
      <c r="H3784" s="6"/>
      <c r="AD3784" s="5">
        <v>45084.0</v>
      </c>
      <c r="AE3784" s="6">
        <v>0.5833333333333334</v>
      </c>
      <c r="AF3784" s="7">
        <v>20234.76</v>
      </c>
    </row>
    <row r="3785">
      <c r="G3785" s="5"/>
      <c r="H3785" s="6"/>
      <c r="AD3785" s="5">
        <v>45084.0</v>
      </c>
      <c r="AE3785" s="6">
        <v>0.625</v>
      </c>
      <c r="AF3785" s="7">
        <v>20775.3</v>
      </c>
    </row>
    <row r="3786">
      <c r="G3786" s="5"/>
      <c r="H3786" s="6"/>
      <c r="AD3786" s="5">
        <v>45084.0</v>
      </c>
      <c r="AE3786" s="6">
        <v>0.6666666666666666</v>
      </c>
      <c r="AF3786" s="7">
        <v>14801.28</v>
      </c>
    </row>
    <row r="3787">
      <c r="G3787" s="5"/>
      <c r="H3787" s="6"/>
      <c r="AD3787" s="5">
        <v>45084.0</v>
      </c>
      <c r="AE3787" s="6">
        <v>0.7083333333333334</v>
      </c>
      <c r="AF3787" s="7">
        <v>6186.18</v>
      </c>
    </row>
    <row r="3788">
      <c r="G3788" s="5"/>
      <c r="H3788" s="6"/>
      <c r="AD3788" s="5">
        <v>45084.0</v>
      </c>
      <c r="AE3788" s="6">
        <v>0.75</v>
      </c>
      <c r="AF3788" s="7">
        <v>3682.38</v>
      </c>
    </row>
    <row r="3789">
      <c r="G3789" s="5"/>
      <c r="H3789" s="6"/>
      <c r="AD3789" s="5">
        <v>45084.0</v>
      </c>
      <c r="AE3789" s="6">
        <v>0.7916666666666666</v>
      </c>
      <c r="AF3789" s="7">
        <v>88.14</v>
      </c>
    </row>
    <row r="3790">
      <c r="G3790" s="5"/>
      <c r="H3790" s="6"/>
      <c r="AD3790" s="5">
        <v>45084.0</v>
      </c>
      <c r="AE3790" s="6">
        <v>0.8333333333333334</v>
      </c>
      <c r="AF3790" s="7">
        <v>0.0</v>
      </c>
    </row>
    <row r="3791">
      <c r="G3791" s="5"/>
      <c r="H3791" s="6"/>
      <c r="AD3791" s="5">
        <v>45084.0</v>
      </c>
      <c r="AE3791" s="6">
        <v>0.875</v>
      </c>
      <c r="AF3791" s="7">
        <v>0.0</v>
      </c>
    </row>
    <row r="3792">
      <c r="G3792" s="5"/>
      <c r="H3792" s="6"/>
      <c r="AD3792" s="5">
        <v>45084.0</v>
      </c>
      <c r="AE3792" s="6">
        <v>0.9166666666666666</v>
      </c>
      <c r="AF3792" s="7">
        <v>0.0</v>
      </c>
    </row>
    <row r="3793">
      <c r="G3793" s="5"/>
      <c r="H3793" s="6"/>
      <c r="AD3793" s="5">
        <v>45084.0</v>
      </c>
      <c r="AE3793" s="6">
        <v>0.9583333333333334</v>
      </c>
      <c r="AF3793" s="7">
        <v>0.0</v>
      </c>
    </row>
    <row r="3794">
      <c r="G3794" s="5"/>
      <c r="H3794" s="6"/>
      <c r="AD3794" s="5">
        <v>45085.0</v>
      </c>
      <c r="AE3794" s="6">
        <v>0.0</v>
      </c>
      <c r="AF3794" s="7">
        <v>0.0</v>
      </c>
    </row>
    <row r="3795">
      <c r="G3795" s="5"/>
      <c r="H3795" s="6"/>
      <c r="AD3795" s="5">
        <v>45085.0</v>
      </c>
      <c r="AE3795" s="6">
        <v>0.041666666666666664</v>
      </c>
      <c r="AF3795" s="7">
        <v>0.0</v>
      </c>
    </row>
    <row r="3796">
      <c r="G3796" s="5"/>
      <c r="H3796" s="6"/>
      <c r="AD3796" s="5">
        <v>45085.0</v>
      </c>
      <c r="AE3796" s="6">
        <v>0.08333333333333333</v>
      </c>
      <c r="AF3796" s="7">
        <v>0.0</v>
      </c>
    </row>
    <row r="3797">
      <c r="G3797" s="5"/>
      <c r="H3797" s="6"/>
      <c r="AD3797" s="5">
        <v>45085.0</v>
      </c>
      <c r="AE3797" s="6">
        <v>0.125</v>
      </c>
      <c r="AF3797" s="7">
        <v>0.0</v>
      </c>
    </row>
    <row r="3798">
      <c r="G3798" s="5"/>
      <c r="H3798" s="6"/>
      <c r="AD3798" s="5">
        <v>45085.0</v>
      </c>
      <c r="AE3798" s="6">
        <v>0.16666666666666666</v>
      </c>
      <c r="AF3798" s="7">
        <v>0.0</v>
      </c>
    </row>
    <row r="3799">
      <c r="G3799" s="5"/>
      <c r="H3799" s="6"/>
      <c r="AD3799" s="5">
        <v>45085.0</v>
      </c>
      <c r="AE3799" s="6">
        <v>0.20833333333333334</v>
      </c>
      <c r="AF3799" s="7">
        <v>0.0</v>
      </c>
    </row>
    <row r="3800">
      <c r="G3800" s="5"/>
      <c r="H3800" s="6"/>
      <c r="AD3800" s="5">
        <v>45085.0</v>
      </c>
      <c r="AE3800" s="6">
        <v>0.25</v>
      </c>
      <c r="AF3800" s="7">
        <v>6518.46</v>
      </c>
    </row>
    <row r="3801">
      <c r="G3801" s="5"/>
      <c r="H3801" s="6"/>
      <c r="AD3801" s="5">
        <v>45085.0</v>
      </c>
      <c r="AE3801" s="6">
        <v>0.2916666666666667</v>
      </c>
      <c r="AF3801" s="7">
        <v>5913.18</v>
      </c>
    </row>
    <row r="3802">
      <c r="G3802" s="5"/>
      <c r="H3802" s="6"/>
      <c r="AD3802" s="5">
        <v>45085.0</v>
      </c>
      <c r="AE3802" s="6">
        <v>0.3333333333333333</v>
      </c>
      <c r="AF3802" s="7">
        <v>9027.72</v>
      </c>
    </row>
    <row r="3803">
      <c r="G3803" s="5"/>
      <c r="H3803" s="6"/>
      <c r="AD3803" s="5">
        <v>45085.0</v>
      </c>
      <c r="AE3803" s="6">
        <v>0.375</v>
      </c>
      <c r="AF3803" s="7">
        <v>35856.6</v>
      </c>
    </row>
    <row r="3804">
      <c r="G3804" s="5"/>
      <c r="H3804" s="6"/>
      <c r="AD3804" s="5">
        <v>45085.0</v>
      </c>
      <c r="AE3804" s="6">
        <v>0.4166666666666667</v>
      </c>
      <c r="AF3804" s="7">
        <v>19797.18</v>
      </c>
    </row>
    <row r="3805">
      <c r="G3805" s="5"/>
      <c r="H3805" s="6"/>
      <c r="AD3805" s="5">
        <v>45085.0</v>
      </c>
      <c r="AE3805" s="6">
        <v>0.4583333333333333</v>
      </c>
      <c r="AF3805" s="7">
        <v>7786.74</v>
      </c>
    </row>
    <row r="3806">
      <c r="G3806" s="5"/>
      <c r="H3806" s="6"/>
      <c r="AD3806" s="5">
        <v>45085.0</v>
      </c>
      <c r="AE3806" s="6">
        <v>0.5</v>
      </c>
      <c r="AF3806" s="7">
        <v>10413.78</v>
      </c>
    </row>
    <row r="3807">
      <c r="G3807" s="5"/>
      <c r="H3807" s="6"/>
      <c r="AD3807" s="5">
        <v>45085.0</v>
      </c>
      <c r="AE3807" s="6">
        <v>0.5416666666666666</v>
      </c>
      <c r="AF3807" s="7">
        <v>22904.7</v>
      </c>
    </row>
    <row r="3808">
      <c r="G3808" s="5"/>
      <c r="H3808" s="6"/>
      <c r="AD3808" s="5">
        <v>45085.0</v>
      </c>
      <c r="AE3808" s="6">
        <v>0.5833333333333334</v>
      </c>
      <c r="AF3808" s="7">
        <v>8608.86</v>
      </c>
    </row>
    <row r="3809">
      <c r="G3809" s="5"/>
      <c r="H3809" s="6"/>
      <c r="AD3809" s="5">
        <v>45085.0</v>
      </c>
      <c r="AE3809" s="6">
        <v>0.625</v>
      </c>
      <c r="AF3809" s="7">
        <v>12279.54</v>
      </c>
    </row>
    <row r="3810">
      <c r="G3810" s="5"/>
      <c r="H3810" s="6"/>
      <c r="AD3810" s="5">
        <v>45085.0</v>
      </c>
      <c r="AE3810" s="6">
        <v>0.6666666666666666</v>
      </c>
      <c r="AF3810" s="7">
        <v>8408.4</v>
      </c>
    </row>
    <row r="3811">
      <c r="G3811" s="5"/>
      <c r="H3811" s="6"/>
      <c r="AD3811" s="5">
        <v>45085.0</v>
      </c>
      <c r="AE3811" s="6">
        <v>0.7083333333333334</v>
      </c>
      <c r="AF3811" s="7">
        <v>15288.0</v>
      </c>
    </row>
    <row r="3812">
      <c r="G3812" s="5"/>
      <c r="H3812" s="6"/>
      <c r="AD3812" s="5">
        <v>45085.0</v>
      </c>
      <c r="AE3812" s="6">
        <v>0.75</v>
      </c>
      <c r="AF3812" s="7">
        <v>2546.7</v>
      </c>
    </row>
    <row r="3813">
      <c r="G3813" s="5"/>
      <c r="H3813" s="6"/>
      <c r="AD3813" s="5">
        <v>45085.0</v>
      </c>
      <c r="AE3813" s="6">
        <v>0.7916666666666666</v>
      </c>
      <c r="AF3813" s="7">
        <v>273.78</v>
      </c>
    </row>
    <row r="3814">
      <c r="G3814" s="5"/>
      <c r="H3814" s="6"/>
      <c r="AD3814" s="5">
        <v>45085.0</v>
      </c>
      <c r="AE3814" s="6">
        <v>0.8333333333333334</v>
      </c>
      <c r="AF3814" s="7">
        <v>0.0</v>
      </c>
    </row>
    <row r="3815">
      <c r="G3815" s="5"/>
      <c r="H3815" s="6"/>
      <c r="AD3815" s="5">
        <v>45085.0</v>
      </c>
      <c r="AE3815" s="6">
        <v>0.875</v>
      </c>
      <c r="AF3815" s="7">
        <v>0.0</v>
      </c>
    </row>
    <row r="3816">
      <c r="G3816" s="5"/>
      <c r="H3816" s="6"/>
      <c r="AD3816" s="5">
        <v>45085.0</v>
      </c>
      <c r="AE3816" s="6">
        <v>0.9166666666666666</v>
      </c>
      <c r="AF3816" s="7">
        <v>0.0</v>
      </c>
    </row>
    <row r="3817">
      <c r="G3817" s="5"/>
      <c r="H3817" s="6"/>
      <c r="AD3817" s="5">
        <v>45085.0</v>
      </c>
      <c r="AE3817" s="6">
        <v>0.9583333333333334</v>
      </c>
      <c r="AF3817" s="7">
        <v>0.0</v>
      </c>
    </row>
    <row r="3818">
      <c r="G3818" s="5"/>
      <c r="H3818" s="6"/>
      <c r="AD3818" s="5">
        <v>45086.0</v>
      </c>
      <c r="AE3818" s="6">
        <v>0.0</v>
      </c>
      <c r="AF3818" s="7">
        <v>0.0</v>
      </c>
    </row>
    <row r="3819">
      <c r="G3819" s="5"/>
      <c r="H3819" s="6"/>
      <c r="AD3819" s="5">
        <v>45086.0</v>
      </c>
      <c r="AE3819" s="6">
        <v>0.041666666666666664</v>
      </c>
      <c r="AF3819" s="7">
        <v>0.0</v>
      </c>
    </row>
    <row r="3820">
      <c r="G3820" s="5"/>
      <c r="H3820" s="6"/>
      <c r="AD3820" s="5">
        <v>45086.0</v>
      </c>
      <c r="AE3820" s="6">
        <v>0.08333333333333333</v>
      </c>
      <c r="AF3820" s="7">
        <v>0.0</v>
      </c>
    </row>
    <row r="3821">
      <c r="G3821" s="5"/>
      <c r="H3821" s="6"/>
      <c r="AD3821" s="5">
        <v>45086.0</v>
      </c>
      <c r="AE3821" s="6">
        <v>0.125</v>
      </c>
      <c r="AF3821" s="7">
        <v>0.0</v>
      </c>
    </row>
    <row r="3822">
      <c r="G3822" s="5"/>
      <c r="H3822" s="6"/>
      <c r="AD3822" s="5">
        <v>45086.0</v>
      </c>
      <c r="AE3822" s="6">
        <v>0.16666666666666666</v>
      </c>
      <c r="AF3822" s="7">
        <v>0.0</v>
      </c>
    </row>
    <row r="3823">
      <c r="G3823" s="5"/>
      <c r="H3823" s="6"/>
      <c r="AD3823" s="5">
        <v>45086.0</v>
      </c>
      <c r="AE3823" s="6">
        <v>0.20833333333333334</v>
      </c>
      <c r="AF3823" s="7">
        <v>1323.66</v>
      </c>
    </row>
    <row r="3824">
      <c r="G3824" s="5"/>
      <c r="H3824" s="6"/>
      <c r="AD3824" s="5">
        <v>45086.0</v>
      </c>
      <c r="AE3824" s="6">
        <v>0.25</v>
      </c>
      <c r="AF3824" s="7">
        <v>8672.04</v>
      </c>
    </row>
    <row r="3825">
      <c r="G3825" s="5"/>
      <c r="H3825" s="6"/>
      <c r="AD3825" s="5">
        <v>45086.0</v>
      </c>
      <c r="AE3825" s="6">
        <v>0.2916666666666667</v>
      </c>
      <c r="AF3825" s="7">
        <v>22981.14</v>
      </c>
    </row>
    <row r="3826">
      <c r="G3826" s="5"/>
      <c r="H3826" s="6"/>
      <c r="AD3826" s="5">
        <v>45086.0</v>
      </c>
      <c r="AE3826" s="6">
        <v>0.3333333333333333</v>
      </c>
      <c r="AF3826" s="7">
        <v>36291.84</v>
      </c>
    </row>
    <row r="3827">
      <c r="G3827" s="5"/>
      <c r="H3827" s="6"/>
      <c r="AD3827" s="5">
        <v>45086.0</v>
      </c>
      <c r="AE3827" s="6">
        <v>0.375</v>
      </c>
      <c r="AF3827" s="7">
        <v>47509.8</v>
      </c>
    </row>
    <row r="3828">
      <c r="G3828" s="5"/>
      <c r="H3828" s="6"/>
      <c r="AD3828" s="5">
        <v>45086.0</v>
      </c>
      <c r="AE3828" s="6">
        <v>0.4166666666666667</v>
      </c>
      <c r="AF3828" s="7">
        <v>53918.28</v>
      </c>
    </row>
    <row r="3829">
      <c r="G3829" s="5"/>
      <c r="H3829" s="6"/>
      <c r="AD3829" s="5">
        <v>45086.0</v>
      </c>
      <c r="AE3829" s="6">
        <v>0.4583333333333333</v>
      </c>
      <c r="AF3829" s="7">
        <v>58180.2</v>
      </c>
    </row>
    <row r="3830">
      <c r="G3830" s="5"/>
      <c r="H3830" s="6"/>
      <c r="AD3830" s="5">
        <v>45086.0</v>
      </c>
      <c r="AE3830" s="6">
        <v>0.5</v>
      </c>
      <c r="AF3830" s="7">
        <v>59446.14</v>
      </c>
    </row>
    <row r="3831">
      <c r="G3831" s="5"/>
      <c r="H3831" s="6"/>
      <c r="AD3831" s="5">
        <v>45086.0</v>
      </c>
      <c r="AE3831" s="6">
        <v>0.5416666666666666</v>
      </c>
      <c r="AF3831" s="7">
        <v>55195.14</v>
      </c>
    </row>
    <row r="3832">
      <c r="G3832" s="5"/>
      <c r="H3832" s="6"/>
      <c r="AD3832" s="5">
        <v>45086.0</v>
      </c>
      <c r="AE3832" s="6">
        <v>0.5833333333333334</v>
      </c>
      <c r="AF3832" s="7">
        <v>49462.14</v>
      </c>
    </row>
    <row r="3833">
      <c r="G3833" s="5"/>
      <c r="H3833" s="6"/>
      <c r="AD3833" s="5">
        <v>45086.0</v>
      </c>
      <c r="AE3833" s="6">
        <v>0.625</v>
      </c>
      <c r="AF3833" s="7">
        <v>40888.38</v>
      </c>
    </row>
    <row r="3834">
      <c r="G3834" s="5"/>
      <c r="H3834" s="6"/>
      <c r="AD3834" s="5">
        <v>45086.0</v>
      </c>
      <c r="AE3834" s="6">
        <v>0.6666666666666666</v>
      </c>
      <c r="AF3834" s="7">
        <v>25730.64</v>
      </c>
    </row>
    <row r="3835">
      <c r="G3835" s="5"/>
      <c r="H3835" s="6"/>
      <c r="AD3835" s="5">
        <v>45086.0</v>
      </c>
      <c r="AE3835" s="6">
        <v>0.7083333333333334</v>
      </c>
      <c r="AF3835" s="7">
        <v>18592.08</v>
      </c>
    </row>
    <row r="3836">
      <c r="G3836" s="5"/>
      <c r="H3836" s="6"/>
      <c r="AD3836" s="5">
        <v>45086.0</v>
      </c>
      <c r="AE3836" s="6">
        <v>0.75</v>
      </c>
      <c r="AF3836" s="7">
        <v>5477.94</v>
      </c>
    </row>
    <row r="3837">
      <c r="G3837" s="5"/>
      <c r="H3837" s="6"/>
      <c r="AD3837" s="5">
        <v>45086.0</v>
      </c>
      <c r="AE3837" s="6">
        <v>0.7916666666666666</v>
      </c>
      <c r="AF3837" s="7">
        <v>438.36</v>
      </c>
    </row>
    <row r="3838">
      <c r="G3838" s="5"/>
      <c r="H3838" s="6"/>
      <c r="AD3838" s="5">
        <v>45086.0</v>
      </c>
      <c r="AE3838" s="6">
        <v>0.8333333333333334</v>
      </c>
      <c r="AF3838" s="7">
        <v>0.0</v>
      </c>
    </row>
    <row r="3839">
      <c r="G3839" s="5"/>
      <c r="H3839" s="6"/>
      <c r="AD3839" s="5">
        <v>45086.0</v>
      </c>
      <c r="AE3839" s="6">
        <v>0.875</v>
      </c>
      <c r="AF3839" s="7">
        <v>0.0</v>
      </c>
    </row>
    <row r="3840">
      <c r="G3840" s="5"/>
      <c r="H3840" s="6"/>
      <c r="AD3840" s="5">
        <v>45086.0</v>
      </c>
      <c r="AE3840" s="6">
        <v>0.9166666666666666</v>
      </c>
      <c r="AF3840" s="7">
        <v>0.0</v>
      </c>
    </row>
    <row r="3841">
      <c r="G3841" s="5"/>
      <c r="H3841" s="6"/>
      <c r="AD3841" s="5">
        <v>45086.0</v>
      </c>
      <c r="AE3841" s="6">
        <v>0.9583333333333334</v>
      </c>
      <c r="AF3841" s="7">
        <v>0.0</v>
      </c>
    </row>
    <row r="3842">
      <c r="G3842" s="5"/>
      <c r="H3842" s="6"/>
      <c r="AD3842" s="5">
        <v>45087.0</v>
      </c>
      <c r="AE3842" s="6">
        <v>0.0</v>
      </c>
      <c r="AF3842" s="7">
        <v>0.0</v>
      </c>
    </row>
    <row r="3843">
      <c r="G3843" s="5"/>
      <c r="H3843" s="6"/>
      <c r="AD3843" s="5">
        <v>45087.0</v>
      </c>
      <c r="AE3843" s="6">
        <v>0.041666666666666664</v>
      </c>
      <c r="AF3843" s="7">
        <v>0.0</v>
      </c>
    </row>
    <row r="3844">
      <c r="G3844" s="5"/>
      <c r="H3844" s="6"/>
      <c r="AD3844" s="5">
        <v>45087.0</v>
      </c>
      <c r="AE3844" s="6">
        <v>0.08333333333333333</v>
      </c>
      <c r="AF3844" s="7">
        <v>0.0</v>
      </c>
    </row>
    <row r="3845">
      <c r="G3845" s="5"/>
      <c r="H3845" s="6"/>
      <c r="AD3845" s="5">
        <v>45087.0</v>
      </c>
      <c r="AE3845" s="6">
        <v>0.125</v>
      </c>
      <c r="AF3845" s="7">
        <v>0.0</v>
      </c>
    </row>
    <row r="3846">
      <c r="G3846" s="5"/>
      <c r="H3846" s="6"/>
      <c r="AD3846" s="5">
        <v>45087.0</v>
      </c>
      <c r="AE3846" s="6">
        <v>0.16666666666666666</v>
      </c>
      <c r="AF3846" s="7">
        <v>0.0</v>
      </c>
    </row>
    <row r="3847">
      <c r="G3847" s="5"/>
      <c r="H3847" s="6"/>
      <c r="AD3847" s="5">
        <v>45087.0</v>
      </c>
      <c r="AE3847" s="6">
        <v>0.20833333333333334</v>
      </c>
      <c r="AF3847" s="7">
        <v>1382.94</v>
      </c>
    </row>
    <row r="3848">
      <c r="G3848" s="5"/>
      <c r="H3848" s="6"/>
      <c r="AD3848" s="5">
        <v>45087.0</v>
      </c>
      <c r="AE3848" s="6">
        <v>0.25</v>
      </c>
      <c r="AF3848" s="7">
        <v>4369.56</v>
      </c>
    </row>
    <row r="3849">
      <c r="G3849" s="5"/>
      <c r="H3849" s="6"/>
      <c r="AD3849" s="5">
        <v>45087.0</v>
      </c>
      <c r="AE3849" s="6">
        <v>0.2916666666666667</v>
      </c>
      <c r="AF3849" s="7">
        <v>19354.14</v>
      </c>
    </row>
    <row r="3850">
      <c r="G3850" s="5"/>
      <c r="H3850" s="6"/>
      <c r="AD3850" s="5">
        <v>45087.0</v>
      </c>
      <c r="AE3850" s="6">
        <v>0.3333333333333333</v>
      </c>
      <c r="AF3850" s="7">
        <v>21162.96</v>
      </c>
    </row>
    <row r="3851">
      <c r="G3851" s="5"/>
      <c r="H3851" s="6"/>
      <c r="AD3851" s="5">
        <v>45087.0</v>
      </c>
      <c r="AE3851" s="6">
        <v>0.375</v>
      </c>
      <c r="AF3851" s="7">
        <v>46897.5</v>
      </c>
    </row>
    <row r="3852">
      <c r="G3852" s="5"/>
      <c r="H3852" s="6"/>
      <c r="AD3852" s="5">
        <v>45087.0</v>
      </c>
      <c r="AE3852" s="6">
        <v>0.4166666666666667</v>
      </c>
      <c r="AF3852" s="7">
        <v>50915.28</v>
      </c>
    </row>
    <row r="3853">
      <c r="G3853" s="5"/>
      <c r="H3853" s="6"/>
      <c r="AD3853" s="5">
        <v>45087.0</v>
      </c>
      <c r="AE3853" s="6">
        <v>0.4583333333333333</v>
      </c>
      <c r="AF3853" s="7">
        <v>56500.08</v>
      </c>
    </row>
    <row r="3854">
      <c r="G3854" s="5"/>
      <c r="H3854" s="6"/>
      <c r="AD3854" s="5">
        <v>45087.0</v>
      </c>
      <c r="AE3854" s="6">
        <v>0.5</v>
      </c>
      <c r="AF3854" s="7">
        <v>58088.16</v>
      </c>
    </row>
    <row r="3855">
      <c r="G3855" s="5"/>
      <c r="H3855" s="6"/>
      <c r="AD3855" s="5">
        <v>45087.0</v>
      </c>
      <c r="AE3855" s="6">
        <v>0.5416666666666666</v>
      </c>
      <c r="AF3855" s="7">
        <v>48892.74</v>
      </c>
    </row>
    <row r="3856">
      <c r="G3856" s="5"/>
      <c r="H3856" s="6"/>
      <c r="AD3856" s="5">
        <v>45087.0</v>
      </c>
      <c r="AE3856" s="6">
        <v>0.5833333333333334</v>
      </c>
      <c r="AF3856" s="7">
        <v>50599.38</v>
      </c>
    </row>
    <row r="3857">
      <c r="G3857" s="5"/>
      <c r="H3857" s="6"/>
      <c r="AD3857" s="5">
        <v>45087.0</v>
      </c>
      <c r="AE3857" s="6">
        <v>0.625</v>
      </c>
      <c r="AF3857" s="7">
        <v>42575.52</v>
      </c>
    </row>
    <row r="3858">
      <c r="G3858" s="5"/>
      <c r="H3858" s="6"/>
      <c r="AD3858" s="5">
        <v>45087.0</v>
      </c>
      <c r="AE3858" s="6">
        <v>0.6666666666666666</v>
      </c>
      <c r="AF3858" s="7">
        <v>31458.18</v>
      </c>
    </row>
    <row r="3859">
      <c r="G3859" s="5"/>
      <c r="H3859" s="6"/>
      <c r="AD3859" s="5">
        <v>45087.0</v>
      </c>
      <c r="AE3859" s="6">
        <v>0.7083333333333334</v>
      </c>
      <c r="AF3859" s="7">
        <v>17167.8</v>
      </c>
    </row>
    <row r="3860">
      <c r="G3860" s="5"/>
      <c r="H3860" s="6"/>
      <c r="AD3860" s="5">
        <v>45087.0</v>
      </c>
      <c r="AE3860" s="6">
        <v>0.75</v>
      </c>
      <c r="AF3860" s="7">
        <v>5503.68</v>
      </c>
    </row>
    <row r="3861">
      <c r="G3861" s="5"/>
      <c r="H3861" s="6"/>
      <c r="AD3861" s="5">
        <v>45087.0</v>
      </c>
      <c r="AE3861" s="6">
        <v>0.7916666666666666</v>
      </c>
      <c r="AF3861" s="7">
        <v>475.8</v>
      </c>
    </row>
    <row r="3862">
      <c r="G3862" s="5"/>
      <c r="H3862" s="6"/>
      <c r="AD3862" s="5">
        <v>45087.0</v>
      </c>
      <c r="AE3862" s="6">
        <v>0.8333333333333334</v>
      </c>
      <c r="AF3862" s="7">
        <v>0.0</v>
      </c>
    </row>
    <row r="3863">
      <c r="G3863" s="5"/>
      <c r="H3863" s="6"/>
      <c r="AD3863" s="5">
        <v>45087.0</v>
      </c>
      <c r="AE3863" s="6">
        <v>0.875</v>
      </c>
      <c r="AF3863" s="7">
        <v>0.0</v>
      </c>
    </row>
    <row r="3864">
      <c r="G3864" s="5"/>
      <c r="H3864" s="6"/>
      <c r="AD3864" s="5">
        <v>45087.0</v>
      </c>
      <c r="AE3864" s="6">
        <v>0.9166666666666666</v>
      </c>
      <c r="AF3864" s="7">
        <v>0.0</v>
      </c>
    </row>
    <row r="3865">
      <c r="G3865" s="5"/>
      <c r="H3865" s="6"/>
      <c r="AD3865" s="5">
        <v>45087.0</v>
      </c>
      <c r="AE3865" s="6">
        <v>0.9583333333333334</v>
      </c>
      <c r="AF3865" s="7">
        <v>0.0</v>
      </c>
    </row>
    <row r="3866">
      <c r="G3866" s="5"/>
      <c r="H3866" s="6"/>
      <c r="AD3866" s="5">
        <v>45088.0</v>
      </c>
      <c r="AE3866" s="6">
        <v>0.0</v>
      </c>
      <c r="AF3866" s="7">
        <v>0.0</v>
      </c>
    </row>
    <row r="3867">
      <c r="G3867" s="5"/>
      <c r="H3867" s="6"/>
      <c r="AD3867" s="5">
        <v>45088.0</v>
      </c>
      <c r="AE3867" s="6">
        <v>0.041666666666666664</v>
      </c>
      <c r="AF3867" s="7">
        <v>0.0</v>
      </c>
    </row>
    <row r="3868">
      <c r="G3868" s="5"/>
      <c r="H3868" s="6"/>
      <c r="AD3868" s="5">
        <v>45088.0</v>
      </c>
      <c r="AE3868" s="6">
        <v>0.08333333333333333</v>
      </c>
      <c r="AF3868" s="7">
        <v>0.0</v>
      </c>
    </row>
    <row r="3869">
      <c r="G3869" s="5"/>
      <c r="H3869" s="6"/>
      <c r="AD3869" s="5">
        <v>45088.0</v>
      </c>
      <c r="AE3869" s="6">
        <v>0.125</v>
      </c>
      <c r="AF3869" s="7">
        <v>0.0</v>
      </c>
    </row>
    <row r="3870">
      <c r="G3870" s="5"/>
      <c r="H3870" s="6"/>
      <c r="AD3870" s="5">
        <v>45088.0</v>
      </c>
      <c r="AE3870" s="6">
        <v>0.16666666666666666</v>
      </c>
      <c r="AF3870" s="7">
        <v>0.0</v>
      </c>
    </row>
    <row r="3871">
      <c r="G3871" s="5"/>
      <c r="H3871" s="6"/>
      <c r="AD3871" s="5">
        <v>45088.0</v>
      </c>
      <c r="AE3871" s="6">
        <v>0.20833333333333334</v>
      </c>
      <c r="AF3871" s="7">
        <v>1368.12</v>
      </c>
    </row>
    <row r="3872">
      <c r="G3872" s="5"/>
      <c r="H3872" s="6"/>
      <c r="AD3872" s="5">
        <v>45088.0</v>
      </c>
      <c r="AE3872" s="6">
        <v>0.25</v>
      </c>
      <c r="AF3872" s="7">
        <v>8130.72</v>
      </c>
    </row>
    <row r="3873">
      <c r="G3873" s="5"/>
      <c r="H3873" s="6"/>
      <c r="AD3873" s="5">
        <v>45088.0</v>
      </c>
      <c r="AE3873" s="6">
        <v>0.2916666666666667</v>
      </c>
      <c r="AF3873" s="7">
        <v>22429.68</v>
      </c>
    </row>
    <row r="3874">
      <c r="G3874" s="5"/>
      <c r="H3874" s="6"/>
      <c r="AD3874" s="5">
        <v>45088.0</v>
      </c>
      <c r="AE3874" s="6">
        <v>0.3333333333333333</v>
      </c>
      <c r="AF3874" s="7">
        <v>35263.02</v>
      </c>
    </row>
    <row r="3875">
      <c r="G3875" s="5"/>
      <c r="H3875" s="6"/>
      <c r="AD3875" s="5">
        <v>45088.0</v>
      </c>
      <c r="AE3875" s="6">
        <v>0.375</v>
      </c>
      <c r="AF3875" s="7">
        <v>39077.22</v>
      </c>
    </row>
    <row r="3876">
      <c r="G3876" s="5"/>
      <c r="H3876" s="6"/>
      <c r="AD3876" s="5">
        <v>45088.0</v>
      </c>
      <c r="AE3876" s="6">
        <v>0.4166666666666667</v>
      </c>
      <c r="AF3876" s="7">
        <v>51328.68</v>
      </c>
    </row>
    <row r="3877">
      <c r="G3877" s="5"/>
      <c r="H3877" s="6"/>
      <c r="AD3877" s="5">
        <v>45088.0</v>
      </c>
      <c r="AE3877" s="6">
        <v>0.4583333333333333</v>
      </c>
      <c r="AF3877" s="7">
        <v>56932.2</v>
      </c>
    </row>
    <row r="3878">
      <c r="G3878" s="5"/>
      <c r="H3878" s="6"/>
      <c r="AD3878" s="5">
        <v>45088.0</v>
      </c>
      <c r="AE3878" s="6">
        <v>0.5</v>
      </c>
      <c r="AF3878" s="7">
        <v>10597.08</v>
      </c>
    </row>
    <row r="3879">
      <c r="G3879" s="5"/>
      <c r="H3879" s="6"/>
      <c r="AD3879" s="5">
        <v>45088.0</v>
      </c>
      <c r="AE3879" s="6">
        <v>0.5416666666666666</v>
      </c>
      <c r="AF3879" s="7">
        <v>4001.4</v>
      </c>
    </row>
    <row r="3880">
      <c r="G3880" s="5"/>
      <c r="H3880" s="6"/>
      <c r="AD3880" s="5">
        <v>45088.0</v>
      </c>
      <c r="AE3880" s="6">
        <v>0.5833333333333334</v>
      </c>
      <c r="AF3880" s="7">
        <v>4261.92</v>
      </c>
    </row>
    <row r="3881">
      <c r="G3881" s="5"/>
      <c r="H3881" s="6"/>
      <c r="AD3881" s="5">
        <v>45088.0</v>
      </c>
      <c r="AE3881" s="6">
        <v>0.625</v>
      </c>
      <c r="AF3881" s="7">
        <v>14048.58</v>
      </c>
    </row>
    <row r="3882">
      <c r="G3882" s="5"/>
      <c r="H3882" s="6"/>
      <c r="AD3882" s="5">
        <v>45088.0</v>
      </c>
      <c r="AE3882" s="6">
        <v>0.6666666666666666</v>
      </c>
      <c r="AF3882" s="7">
        <v>2052.96</v>
      </c>
    </row>
    <row r="3883">
      <c r="G3883" s="5"/>
      <c r="H3883" s="6"/>
      <c r="AD3883" s="5">
        <v>45088.0</v>
      </c>
      <c r="AE3883" s="6">
        <v>0.7083333333333334</v>
      </c>
      <c r="AF3883" s="7">
        <v>1341.6</v>
      </c>
    </row>
    <row r="3884">
      <c r="G3884" s="5"/>
      <c r="H3884" s="6"/>
      <c r="AD3884" s="5">
        <v>45088.0</v>
      </c>
      <c r="AE3884" s="6">
        <v>0.75</v>
      </c>
      <c r="AF3884" s="7">
        <v>1031.94</v>
      </c>
    </row>
    <row r="3885">
      <c r="G3885" s="5"/>
      <c r="H3885" s="6"/>
      <c r="AD3885" s="5">
        <v>45088.0</v>
      </c>
      <c r="AE3885" s="6">
        <v>0.7916666666666666</v>
      </c>
      <c r="AF3885" s="7">
        <v>361.14</v>
      </c>
    </row>
    <row r="3886">
      <c r="G3886" s="5"/>
      <c r="H3886" s="6"/>
      <c r="AD3886" s="5">
        <v>45088.0</v>
      </c>
      <c r="AE3886" s="6">
        <v>0.8333333333333334</v>
      </c>
      <c r="AF3886" s="7">
        <v>0.0</v>
      </c>
    </row>
    <row r="3887">
      <c r="G3887" s="5"/>
      <c r="H3887" s="6"/>
      <c r="AD3887" s="5">
        <v>45088.0</v>
      </c>
      <c r="AE3887" s="6">
        <v>0.875</v>
      </c>
      <c r="AF3887" s="7">
        <v>0.0</v>
      </c>
    </row>
    <row r="3888">
      <c r="G3888" s="5"/>
      <c r="H3888" s="6"/>
      <c r="AD3888" s="5">
        <v>45088.0</v>
      </c>
      <c r="AE3888" s="6">
        <v>0.9166666666666666</v>
      </c>
      <c r="AF3888" s="7">
        <v>0.0</v>
      </c>
    </row>
    <row r="3889">
      <c r="G3889" s="5"/>
      <c r="H3889" s="6"/>
      <c r="AD3889" s="5">
        <v>45088.0</v>
      </c>
      <c r="AE3889" s="6">
        <v>0.9583333333333334</v>
      </c>
      <c r="AF3889" s="7">
        <v>0.0</v>
      </c>
    </row>
    <row r="3890">
      <c r="G3890" s="5"/>
      <c r="H3890" s="6"/>
      <c r="AD3890" s="5">
        <v>45089.0</v>
      </c>
      <c r="AE3890" s="6">
        <v>0.0</v>
      </c>
      <c r="AF3890" s="7">
        <v>0.0</v>
      </c>
    </row>
    <row r="3891">
      <c r="G3891" s="5"/>
      <c r="H3891" s="6"/>
      <c r="AD3891" s="5">
        <v>45089.0</v>
      </c>
      <c r="AE3891" s="6">
        <v>0.041666666666666664</v>
      </c>
      <c r="AF3891" s="7">
        <v>0.0</v>
      </c>
    </row>
    <row r="3892">
      <c r="G3892" s="5"/>
      <c r="H3892" s="6"/>
      <c r="AD3892" s="5">
        <v>45089.0</v>
      </c>
      <c r="AE3892" s="6">
        <v>0.08333333333333333</v>
      </c>
      <c r="AF3892" s="7">
        <v>0.0</v>
      </c>
    </row>
    <row r="3893">
      <c r="G3893" s="5"/>
      <c r="H3893" s="6"/>
      <c r="AD3893" s="5">
        <v>45089.0</v>
      </c>
      <c r="AE3893" s="6">
        <v>0.125</v>
      </c>
      <c r="AF3893" s="7">
        <v>0.0</v>
      </c>
    </row>
    <row r="3894">
      <c r="G3894" s="5"/>
      <c r="H3894" s="6"/>
      <c r="AD3894" s="5">
        <v>45089.0</v>
      </c>
      <c r="AE3894" s="6">
        <v>0.16666666666666666</v>
      </c>
      <c r="AF3894" s="7">
        <v>0.0</v>
      </c>
    </row>
    <row r="3895">
      <c r="G3895" s="5"/>
      <c r="H3895" s="6"/>
      <c r="AD3895" s="5">
        <v>45089.0</v>
      </c>
      <c r="AE3895" s="6">
        <v>0.20833333333333334</v>
      </c>
      <c r="AF3895" s="7">
        <v>804.18</v>
      </c>
    </row>
    <row r="3896">
      <c r="G3896" s="5"/>
      <c r="H3896" s="6"/>
      <c r="AD3896" s="5">
        <v>45089.0</v>
      </c>
      <c r="AE3896" s="6">
        <v>0.25</v>
      </c>
      <c r="AF3896" s="7">
        <v>8539.44</v>
      </c>
    </row>
    <row r="3897">
      <c r="G3897" s="5"/>
      <c r="H3897" s="6"/>
      <c r="AD3897" s="5">
        <v>45089.0</v>
      </c>
      <c r="AE3897" s="6">
        <v>0.2916666666666667</v>
      </c>
      <c r="AF3897" s="7">
        <v>20213.7</v>
      </c>
    </row>
    <row r="3898">
      <c r="G3898" s="5"/>
      <c r="H3898" s="6"/>
      <c r="AD3898" s="5">
        <v>45089.0</v>
      </c>
      <c r="AE3898" s="6">
        <v>0.3333333333333333</v>
      </c>
      <c r="AF3898" s="7">
        <v>24063.78</v>
      </c>
    </row>
    <row r="3899">
      <c r="G3899" s="5"/>
      <c r="H3899" s="6"/>
      <c r="AD3899" s="5">
        <v>45089.0</v>
      </c>
      <c r="AE3899" s="6">
        <v>0.375</v>
      </c>
      <c r="AF3899" s="7">
        <v>0.0</v>
      </c>
    </row>
    <row r="3900">
      <c r="G3900" s="5"/>
      <c r="H3900" s="6"/>
      <c r="AD3900" s="5">
        <v>45089.0</v>
      </c>
      <c r="AE3900" s="6">
        <v>0.4166666666666667</v>
      </c>
      <c r="AF3900" s="7">
        <v>54540.72</v>
      </c>
    </row>
    <row r="3901">
      <c r="G3901" s="5"/>
      <c r="H3901" s="6"/>
      <c r="AD3901" s="5">
        <v>45089.0</v>
      </c>
      <c r="AE3901" s="6">
        <v>0.4583333333333333</v>
      </c>
      <c r="AF3901" s="7">
        <v>58445.4</v>
      </c>
    </row>
    <row r="3902">
      <c r="G3902" s="5"/>
      <c r="H3902" s="6"/>
      <c r="AD3902" s="5">
        <v>45089.0</v>
      </c>
      <c r="AE3902" s="6">
        <v>0.5</v>
      </c>
      <c r="AF3902" s="7">
        <v>58299.54</v>
      </c>
    </row>
    <row r="3903">
      <c r="G3903" s="5"/>
      <c r="H3903" s="6"/>
      <c r="AD3903" s="5">
        <v>45089.0</v>
      </c>
      <c r="AE3903" s="6">
        <v>0.5416666666666666</v>
      </c>
      <c r="AF3903" s="7">
        <v>53598.48</v>
      </c>
    </row>
    <row r="3904">
      <c r="G3904" s="5"/>
      <c r="H3904" s="6"/>
      <c r="AD3904" s="5">
        <v>45089.0</v>
      </c>
      <c r="AE3904" s="6">
        <v>0.5833333333333334</v>
      </c>
      <c r="AF3904" s="7">
        <v>27587.04</v>
      </c>
    </row>
    <row r="3905">
      <c r="G3905" s="5"/>
      <c r="H3905" s="6"/>
      <c r="AD3905" s="5">
        <v>45089.0</v>
      </c>
      <c r="AE3905" s="6">
        <v>0.625</v>
      </c>
      <c r="AF3905" s="7">
        <v>2876.64</v>
      </c>
    </row>
    <row r="3906">
      <c r="G3906" s="5"/>
      <c r="H3906" s="6"/>
      <c r="AD3906" s="5">
        <v>45089.0</v>
      </c>
      <c r="AE3906" s="6">
        <v>0.6666666666666666</v>
      </c>
      <c r="AF3906" s="7">
        <v>2045.16</v>
      </c>
    </row>
    <row r="3907">
      <c r="G3907" s="5"/>
      <c r="H3907" s="6"/>
      <c r="AD3907" s="5">
        <v>45089.0</v>
      </c>
      <c r="AE3907" s="6">
        <v>0.7083333333333334</v>
      </c>
      <c r="AF3907" s="7">
        <v>1351.74</v>
      </c>
    </row>
    <row r="3908">
      <c r="G3908" s="5"/>
      <c r="H3908" s="6"/>
      <c r="AD3908" s="5">
        <v>45089.0</v>
      </c>
      <c r="AE3908" s="6">
        <v>0.75</v>
      </c>
      <c r="AF3908" s="7">
        <v>3715.92</v>
      </c>
    </row>
    <row r="3909">
      <c r="G3909" s="5"/>
      <c r="H3909" s="6"/>
      <c r="AD3909" s="5">
        <v>45089.0</v>
      </c>
      <c r="AE3909" s="6">
        <v>0.7916666666666666</v>
      </c>
      <c r="AF3909" s="7">
        <v>443.82</v>
      </c>
    </row>
    <row r="3910">
      <c r="G3910" s="5"/>
      <c r="H3910" s="6"/>
      <c r="AD3910" s="5">
        <v>45089.0</v>
      </c>
      <c r="AE3910" s="6">
        <v>0.8333333333333334</v>
      </c>
      <c r="AF3910" s="7">
        <v>0.0</v>
      </c>
    </row>
    <row r="3911">
      <c r="G3911" s="5"/>
      <c r="H3911" s="6"/>
      <c r="AD3911" s="5">
        <v>45089.0</v>
      </c>
      <c r="AE3911" s="6">
        <v>0.875</v>
      </c>
      <c r="AF3911" s="7">
        <v>0.0</v>
      </c>
    </row>
    <row r="3912">
      <c r="G3912" s="5"/>
      <c r="H3912" s="6"/>
      <c r="AD3912" s="5">
        <v>45089.0</v>
      </c>
      <c r="AE3912" s="6">
        <v>0.9166666666666666</v>
      </c>
      <c r="AF3912" s="7">
        <v>0.0</v>
      </c>
    </row>
    <row r="3913">
      <c r="G3913" s="5"/>
      <c r="H3913" s="6"/>
      <c r="AD3913" s="5">
        <v>45089.0</v>
      </c>
      <c r="AE3913" s="6">
        <v>0.9583333333333334</v>
      </c>
      <c r="AF3913" s="7">
        <v>0.0</v>
      </c>
    </row>
    <row r="3914">
      <c r="G3914" s="5"/>
      <c r="H3914" s="6"/>
      <c r="AD3914" s="5">
        <v>45090.0</v>
      </c>
      <c r="AE3914" s="6">
        <v>0.0</v>
      </c>
      <c r="AF3914" s="7">
        <v>0.0</v>
      </c>
    </row>
    <row r="3915">
      <c r="G3915" s="5"/>
      <c r="H3915" s="6"/>
      <c r="AD3915" s="5">
        <v>45090.0</v>
      </c>
      <c r="AE3915" s="6">
        <v>0.041666666666666664</v>
      </c>
      <c r="AF3915" s="7">
        <v>0.0</v>
      </c>
    </row>
    <row r="3916">
      <c r="G3916" s="5"/>
      <c r="H3916" s="6"/>
      <c r="AD3916" s="5">
        <v>45090.0</v>
      </c>
      <c r="AE3916" s="6">
        <v>0.08333333333333333</v>
      </c>
      <c r="AF3916" s="7">
        <v>0.0</v>
      </c>
    </row>
    <row r="3917">
      <c r="G3917" s="5"/>
      <c r="H3917" s="6"/>
      <c r="AD3917" s="5">
        <v>45090.0</v>
      </c>
      <c r="AE3917" s="6">
        <v>0.125</v>
      </c>
      <c r="AF3917" s="7">
        <v>0.0</v>
      </c>
    </row>
    <row r="3918">
      <c r="G3918" s="5"/>
      <c r="H3918" s="6"/>
      <c r="AD3918" s="5">
        <v>45090.0</v>
      </c>
      <c r="AE3918" s="6">
        <v>0.16666666666666666</v>
      </c>
      <c r="AF3918" s="7">
        <v>0.0</v>
      </c>
    </row>
    <row r="3919">
      <c r="G3919" s="5"/>
      <c r="H3919" s="6"/>
      <c r="AD3919" s="5">
        <v>45090.0</v>
      </c>
      <c r="AE3919" s="6">
        <v>0.20833333333333334</v>
      </c>
      <c r="AF3919" s="7">
        <v>131.04</v>
      </c>
    </row>
    <row r="3920">
      <c r="G3920" s="5"/>
      <c r="H3920" s="6"/>
      <c r="AD3920" s="5">
        <v>45090.0</v>
      </c>
      <c r="AE3920" s="6">
        <v>0.25</v>
      </c>
      <c r="AF3920" s="7">
        <v>3827.46</v>
      </c>
    </row>
    <row r="3921">
      <c r="G3921" s="5"/>
      <c r="H3921" s="6"/>
      <c r="AD3921" s="5">
        <v>45090.0</v>
      </c>
      <c r="AE3921" s="6">
        <v>0.2916666666666667</v>
      </c>
      <c r="AF3921" s="7">
        <v>14949.48</v>
      </c>
    </row>
    <row r="3922">
      <c r="G3922" s="5"/>
      <c r="H3922" s="6"/>
      <c r="AD3922" s="5">
        <v>45090.0</v>
      </c>
      <c r="AE3922" s="6">
        <v>0.3333333333333333</v>
      </c>
      <c r="AF3922" s="7">
        <v>31490.94</v>
      </c>
    </row>
    <row r="3923">
      <c r="G3923" s="5"/>
      <c r="H3923" s="6"/>
      <c r="AD3923" s="5">
        <v>45090.0</v>
      </c>
      <c r="AE3923" s="6">
        <v>0.375</v>
      </c>
      <c r="AF3923" s="7">
        <v>22098.18</v>
      </c>
    </row>
    <row r="3924">
      <c r="G3924" s="5"/>
      <c r="H3924" s="6"/>
      <c r="AD3924" s="5">
        <v>45090.0</v>
      </c>
      <c r="AE3924" s="6">
        <v>0.4166666666666667</v>
      </c>
      <c r="AF3924" s="7">
        <v>22905.48</v>
      </c>
    </row>
    <row r="3925">
      <c r="G3925" s="5"/>
      <c r="H3925" s="6"/>
      <c r="AD3925" s="5">
        <v>45090.0</v>
      </c>
      <c r="AE3925" s="6">
        <v>0.4583333333333333</v>
      </c>
      <c r="AF3925" s="7">
        <v>32901.96</v>
      </c>
    </row>
    <row r="3926">
      <c r="G3926" s="5"/>
      <c r="H3926" s="6"/>
      <c r="AD3926" s="5">
        <v>45090.0</v>
      </c>
      <c r="AE3926" s="6">
        <v>0.5</v>
      </c>
      <c r="AF3926" s="7">
        <v>50703.12</v>
      </c>
    </row>
    <row r="3927">
      <c r="G3927" s="5"/>
      <c r="H3927" s="6"/>
      <c r="AD3927" s="5">
        <v>45090.0</v>
      </c>
      <c r="AE3927" s="6">
        <v>0.5416666666666666</v>
      </c>
      <c r="AF3927" s="7">
        <v>58641.18</v>
      </c>
    </row>
    <row r="3928">
      <c r="G3928" s="5"/>
      <c r="H3928" s="6"/>
      <c r="AD3928" s="5">
        <v>45090.0</v>
      </c>
      <c r="AE3928" s="6">
        <v>0.5833333333333334</v>
      </c>
      <c r="AF3928" s="7">
        <v>53239.68</v>
      </c>
    </row>
    <row r="3929">
      <c r="G3929" s="5"/>
      <c r="H3929" s="6"/>
      <c r="AD3929" s="5">
        <v>45090.0</v>
      </c>
      <c r="AE3929" s="6">
        <v>0.625</v>
      </c>
      <c r="AF3929" s="7">
        <v>45452.94</v>
      </c>
    </row>
    <row r="3930">
      <c r="G3930" s="5"/>
      <c r="H3930" s="6"/>
      <c r="AD3930" s="5">
        <v>45090.0</v>
      </c>
      <c r="AE3930" s="6">
        <v>0.6666666666666666</v>
      </c>
      <c r="AF3930" s="7">
        <v>30090.84</v>
      </c>
    </row>
    <row r="3931">
      <c r="G3931" s="5"/>
      <c r="H3931" s="6"/>
      <c r="AD3931" s="5">
        <v>45090.0</v>
      </c>
      <c r="AE3931" s="6">
        <v>0.7083333333333334</v>
      </c>
      <c r="AF3931" s="7">
        <v>6796.14</v>
      </c>
    </row>
    <row r="3932">
      <c r="G3932" s="5"/>
      <c r="H3932" s="6"/>
      <c r="AD3932" s="5">
        <v>45090.0</v>
      </c>
      <c r="AE3932" s="6">
        <v>0.75</v>
      </c>
      <c r="AF3932" s="7">
        <v>1308.06</v>
      </c>
    </row>
    <row r="3933">
      <c r="G3933" s="5"/>
      <c r="H3933" s="6"/>
      <c r="AD3933" s="5">
        <v>45090.0</v>
      </c>
      <c r="AE3933" s="6">
        <v>0.7916666666666666</v>
      </c>
      <c r="AF3933" s="7">
        <v>28.08</v>
      </c>
    </row>
    <row r="3934">
      <c r="G3934" s="5"/>
      <c r="H3934" s="6"/>
      <c r="AD3934" s="5">
        <v>45090.0</v>
      </c>
      <c r="AE3934" s="6">
        <v>0.8333333333333334</v>
      </c>
      <c r="AF3934" s="7">
        <v>0.0</v>
      </c>
    </row>
    <row r="3935">
      <c r="G3935" s="5"/>
      <c r="H3935" s="6"/>
      <c r="AD3935" s="5">
        <v>45090.0</v>
      </c>
      <c r="AE3935" s="6">
        <v>0.875</v>
      </c>
      <c r="AF3935" s="7">
        <v>0.0</v>
      </c>
    </row>
    <row r="3936">
      <c r="G3936" s="5"/>
      <c r="H3936" s="6"/>
      <c r="AD3936" s="5">
        <v>45090.0</v>
      </c>
      <c r="AE3936" s="6">
        <v>0.9166666666666666</v>
      </c>
      <c r="AF3936" s="7">
        <v>0.0</v>
      </c>
    </row>
    <row r="3937">
      <c r="G3937" s="5"/>
      <c r="H3937" s="6"/>
      <c r="AD3937" s="5">
        <v>45090.0</v>
      </c>
      <c r="AE3937" s="6">
        <v>0.9583333333333334</v>
      </c>
      <c r="AF3937" s="7">
        <v>0.0</v>
      </c>
    </row>
    <row r="3938">
      <c r="G3938" s="5"/>
      <c r="H3938" s="6"/>
      <c r="AD3938" s="5">
        <v>45091.0</v>
      </c>
      <c r="AE3938" s="6">
        <v>0.0</v>
      </c>
      <c r="AF3938" s="7">
        <v>0.0</v>
      </c>
    </row>
    <row r="3939">
      <c r="G3939" s="5"/>
      <c r="H3939" s="6"/>
      <c r="AD3939" s="5">
        <v>45091.0</v>
      </c>
      <c r="AE3939" s="6">
        <v>0.041666666666666664</v>
      </c>
      <c r="AF3939" s="7">
        <v>0.0</v>
      </c>
    </row>
    <row r="3940">
      <c r="G3940" s="5"/>
      <c r="H3940" s="6"/>
      <c r="AD3940" s="5">
        <v>45091.0</v>
      </c>
      <c r="AE3940" s="6">
        <v>0.08333333333333333</v>
      </c>
      <c r="AF3940" s="7">
        <v>0.0</v>
      </c>
    </row>
    <row r="3941">
      <c r="G3941" s="5"/>
      <c r="H3941" s="6"/>
      <c r="AD3941" s="5">
        <v>45091.0</v>
      </c>
      <c r="AE3941" s="6">
        <v>0.125</v>
      </c>
      <c r="AF3941" s="7">
        <v>0.0</v>
      </c>
    </row>
    <row r="3942">
      <c r="G3942" s="5"/>
      <c r="H3942" s="6"/>
      <c r="AD3942" s="5">
        <v>45091.0</v>
      </c>
      <c r="AE3942" s="6">
        <v>0.16666666666666666</v>
      </c>
      <c r="AF3942" s="7">
        <v>0.0</v>
      </c>
    </row>
    <row r="3943">
      <c r="G3943" s="5"/>
      <c r="H3943" s="6"/>
      <c r="AD3943" s="5">
        <v>45091.0</v>
      </c>
      <c r="AE3943" s="6">
        <v>0.20833333333333334</v>
      </c>
      <c r="AF3943" s="7">
        <v>1382.16</v>
      </c>
    </row>
    <row r="3944">
      <c r="G3944" s="5"/>
      <c r="H3944" s="6"/>
      <c r="AD3944" s="5">
        <v>45091.0</v>
      </c>
      <c r="AE3944" s="6">
        <v>0.25</v>
      </c>
      <c r="AF3944" s="7">
        <v>8884.98</v>
      </c>
    </row>
    <row r="3945">
      <c r="G3945" s="5"/>
      <c r="H3945" s="6"/>
      <c r="AD3945" s="5">
        <v>45091.0</v>
      </c>
      <c r="AE3945" s="6">
        <v>0.2916666666666667</v>
      </c>
      <c r="AF3945" s="7">
        <v>23619.96</v>
      </c>
    </row>
    <row r="3946">
      <c r="G3946" s="5"/>
      <c r="H3946" s="6"/>
      <c r="AD3946" s="5">
        <v>45091.0</v>
      </c>
      <c r="AE3946" s="6">
        <v>0.3333333333333333</v>
      </c>
      <c r="AF3946" s="7">
        <v>38203.62</v>
      </c>
    </row>
    <row r="3947">
      <c r="G3947" s="5"/>
      <c r="H3947" s="6"/>
      <c r="AD3947" s="5">
        <v>45091.0</v>
      </c>
      <c r="AE3947" s="6">
        <v>0.375</v>
      </c>
      <c r="AF3947" s="7">
        <v>49685.22</v>
      </c>
    </row>
    <row r="3948">
      <c r="G3948" s="5"/>
      <c r="H3948" s="6"/>
      <c r="AD3948" s="5">
        <v>45091.0</v>
      </c>
      <c r="AE3948" s="6">
        <v>0.4166666666666667</v>
      </c>
      <c r="AF3948" s="7">
        <v>57170.1</v>
      </c>
    </row>
    <row r="3949">
      <c r="G3949" s="5"/>
      <c r="H3949" s="6"/>
      <c r="AD3949" s="5">
        <v>45091.0</v>
      </c>
      <c r="AE3949" s="6">
        <v>0.4583333333333333</v>
      </c>
      <c r="AF3949" s="7">
        <v>62853.96</v>
      </c>
    </row>
    <row r="3950">
      <c r="G3950" s="5"/>
      <c r="H3950" s="6"/>
      <c r="AD3950" s="5">
        <v>45091.0</v>
      </c>
      <c r="AE3950" s="6">
        <v>0.5</v>
      </c>
      <c r="AF3950" s="7">
        <v>63358.62</v>
      </c>
    </row>
    <row r="3951">
      <c r="G3951" s="5"/>
      <c r="H3951" s="6"/>
      <c r="AD3951" s="5">
        <v>45091.0</v>
      </c>
      <c r="AE3951" s="6">
        <v>0.5416666666666666</v>
      </c>
      <c r="AF3951" s="7">
        <v>61666.8</v>
      </c>
    </row>
    <row r="3952">
      <c r="G3952" s="5"/>
      <c r="H3952" s="6"/>
      <c r="AD3952" s="5">
        <v>45091.0</v>
      </c>
      <c r="AE3952" s="6">
        <v>0.5833333333333334</v>
      </c>
      <c r="AF3952" s="7">
        <v>55167.06</v>
      </c>
    </row>
    <row r="3953">
      <c r="G3953" s="5"/>
      <c r="H3953" s="6"/>
      <c r="AD3953" s="5">
        <v>45091.0</v>
      </c>
      <c r="AE3953" s="6">
        <v>0.625</v>
      </c>
      <c r="AF3953" s="7">
        <v>44585.58</v>
      </c>
    </row>
    <row r="3954">
      <c r="G3954" s="5"/>
      <c r="H3954" s="6"/>
      <c r="AD3954" s="5">
        <v>45091.0</v>
      </c>
      <c r="AE3954" s="6">
        <v>0.6666666666666666</v>
      </c>
      <c r="AF3954" s="7">
        <v>34117.98</v>
      </c>
    </row>
    <row r="3955">
      <c r="G3955" s="5"/>
      <c r="H3955" s="6"/>
      <c r="AD3955" s="5">
        <v>45091.0</v>
      </c>
      <c r="AE3955" s="6">
        <v>0.7083333333333334</v>
      </c>
      <c r="AF3955" s="7">
        <v>19225.44</v>
      </c>
    </row>
    <row r="3956">
      <c r="G3956" s="5"/>
      <c r="H3956" s="6"/>
      <c r="AD3956" s="5">
        <v>45091.0</v>
      </c>
      <c r="AE3956" s="6">
        <v>0.75</v>
      </c>
      <c r="AF3956" s="7">
        <v>6001.32</v>
      </c>
    </row>
    <row r="3957">
      <c r="G3957" s="5"/>
      <c r="H3957" s="6"/>
      <c r="AD3957" s="5">
        <v>45091.0</v>
      </c>
      <c r="AE3957" s="6">
        <v>0.7916666666666666</v>
      </c>
      <c r="AF3957" s="7">
        <v>583.44</v>
      </c>
    </row>
    <row r="3958">
      <c r="G3958" s="5"/>
      <c r="H3958" s="6"/>
      <c r="AD3958" s="5">
        <v>45091.0</v>
      </c>
      <c r="AE3958" s="6">
        <v>0.8333333333333334</v>
      </c>
      <c r="AF3958" s="7">
        <v>0.0</v>
      </c>
    </row>
    <row r="3959">
      <c r="G3959" s="5"/>
      <c r="H3959" s="6"/>
      <c r="AD3959" s="5">
        <v>45091.0</v>
      </c>
      <c r="AE3959" s="6">
        <v>0.875</v>
      </c>
      <c r="AF3959" s="7">
        <v>0.0</v>
      </c>
    </row>
    <row r="3960">
      <c r="G3960" s="5"/>
      <c r="H3960" s="6"/>
      <c r="AD3960" s="5">
        <v>45091.0</v>
      </c>
      <c r="AE3960" s="6">
        <v>0.9166666666666666</v>
      </c>
      <c r="AF3960" s="7">
        <v>0.0</v>
      </c>
    </row>
    <row r="3961">
      <c r="G3961" s="5"/>
      <c r="H3961" s="6"/>
      <c r="AD3961" s="5">
        <v>45091.0</v>
      </c>
      <c r="AE3961" s="6">
        <v>0.9583333333333334</v>
      </c>
      <c r="AF3961" s="7">
        <v>0.0</v>
      </c>
    </row>
    <row r="3962">
      <c r="G3962" s="5"/>
      <c r="H3962" s="6"/>
      <c r="AD3962" s="5">
        <v>45092.0</v>
      </c>
      <c r="AE3962" s="6">
        <v>0.0</v>
      </c>
      <c r="AF3962" s="7">
        <v>0.0</v>
      </c>
    </row>
    <row r="3963">
      <c r="G3963" s="5"/>
      <c r="H3963" s="6"/>
      <c r="AD3963" s="5">
        <v>45092.0</v>
      </c>
      <c r="AE3963" s="6">
        <v>0.041666666666666664</v>
      </c>
      <c r="AF3963" s="7">
        <v>0.0</v>
      </c>
    </row>
    <row r="3964">
      <c r="G3964" s="5"/>
      <c r="H3964" s="6"/>
      <c r="AD3964" s="5">
        <v>45092.0</v>
      </c>
      <c r="AE3964" s="6">
        <v>0.08333333333333333</v>
      </c>
      <c r="AF3964" s="7">
        <v>0.0</v>
      </c>
    </row>
    <row r="3965">
      <c r="G3965" s="5"/>
      <c r="H3965" s="6"/>
      <c r="AD3965" s="5">
        <v>45092.0</v>
      </c>
      <c r="AE3965" s="6">
        <v>0.125</v>
      </c>
      <c r="AF3965" s="7">
        <v>0.0</v>
      </c>
    </row>
    <row r="3966">
      <c r="G3966" s="5"/>
      <c r="H3966" s="6"/>
      <c r="AD3966" s="5">
        <v>45092.0</v>
      </c>
      <c r="AE3966" s="6">
        <v>0.16666666666666666</v>
      </c>
      <c r="AF3966" s="7">
        <v>0.0</v>
      </c>
    </row>
    <row r="3967">
      <c r="G3967" s="5"/>
      <c r="H3967" s="6"/>
      <c r="AD3967" s="5">
        <v>45092.0</v>
      </c>
      <c r="AE3967" s="6">
        <v>0.20833333333333334</v>
      </c>
      <c r="AF3967" s="7">
        <v>1391.52</v>
      </c>
    </row>
    <row r="3968">
      <c r="G3968" s="5"/>
      <c r="H3968" s="6"/>
      <c r="AD3968" s="5">
        <v>45092.0</v>
      </c>
      <c r="AE3968" s="6">
        <v>0.25</v>
      </c>
      <c r="AF3968" s="7">
        <v>8881.86</v>
      </c>
    </row>
    <row r="3969">
      <c r="G3969" s="5"/>
      <c r="H3969" s="6"/>
      <c r="AD3969" s="5">
        <v>45092.0</v>
      </c>
      <c r="AE3969" s="6">
        <v>0.2916666666666667</v>
      </c>
      <c r="AF3969" s="7">
        <v>23492.04</v>
      </c>
    </row>
    <row r="3970">
      <c r="G3970" s="5"/>
      <c r="H3970" s="6"/>
      <c r="AD3970" s="5">
        <v>45092.0</v>
      </c>
      <c r="AE3970" s="6">
        <v>0.3333333333333333</v>
      </c>
      <c r="AF3970" s="7">
        <v>36741.9</v>
      </c>
    </row>
    <row r="3971">
      <c r="G3971" s="5"/>
      <c r="H3971" s="6"/>
      <c r="AD3971" s="5">
        <v>45092.0</v>
      </c>
      <c r="AE3971" s="6">
        <v>0.375</v>
      </c>
      <c r="AF3971" s="7">
        <v>48752.34</v>
      </c>
    </row>
    <row r="3972">
      <c r="G3972" s="5"/>
      <c r="H3972" s="6"/>
      <c r="AD3972" s="5">
        <v>45092.0</v>
      </c>
      <c r="AE3972" s="6">
        <v>0.4166666666666667</v>
      </c>
      <c r="AF3972" s="7">
        <v>56352.66</v>
      </c>
    </row>
    <row r="3973">
      <c r="G3973" s="5"/>
      <c r="H3973" s="6"/>
      <c r="AD3973" s="5">
        <v>45092.0</v>
      </c>
      <c r="AE3973" s="6">
        <v>0.4583333333333333</v>
      </c>
      <c r="AF3973" s="7">
        <v>60757.32</v>
      </c>
    </row>
    <row r="3974">
      <c r="G3974" s="5"/>
      <c r="H3974" s="6"/>
      <c r="AD3974" s="5">
        <v>45092.0</v>
      </c>
      <c r="AE3974" s="6">
        <v>0.5</v>
      </c>
      <c r="AF3974" s="7">
        <v>61440.6</v>
      </c>
    </row>
    <row r="3975">
      <c r="G3975" s="5"/>
      <c r="H3975" s="6"/>
      <c r="AD3975" s="5">
        <v>45092.0</v>
      </c>
      <c r="AE3975" s="6">
        <v>0.5416666666666666</v>
      </c>
      <c r="AF3975" s="7">
        <v>59889.18</v>
      </c>
    </row>
    <row r="3976">
      <c r="G3976" s="5"/>
      <c r="H3976" s="6"/>
      <c r="AD3976" s="5">
        <v>45092.0</v>
      </c>
      <c r="AE3976" s="6">
        <v>0.5833333333333334</v>
      </c>
      <c r="AF3976" s="7">
        <v>53527.5</v>
      </c>
    </row>
    <row r="3977">
      <c r="G3977" s="5"/>
      <c r="H3977" s="6"/>
      <c r="AD3977" s="5">
        <v>45092.0</v>
      </c>
      <c r="AE3977" s="6">
        <v>0.625</v>
      </c>
      <c r="AF3977" s="7">
        <v>44115.24</v>
      </c>
    </row>
    <row r="3978">
      <c r="G3978" s="5"/>
      <c r="H3978" s="6"/>
      <c r="AD3978" s="5">
        <v>45092.0</v>
      </c>
      <c r="AE3978" s="6">
        <v>0.6666666666666666</v>
      </c>
      <c r="AF3978" s="7">
        <v>29390.4</v>
      </c>
    </row>
    <row r="3979">
      <c r="G3979" s="5"/>
      <c r="H3979" s="6"/>
      <c r="AD3979" s="5">
        <v>45092.0</v>
      </c>
      <c r="AE3979" s="6">
        <v>0.7083333333333334</v>
      </c>
      <c r="AF3979" s="7">
        <v>16856.58</v>
      </c>
    </row>
    <row r="3980">
      <c r="G3980" s="5"/>
      <c r="H3980" s="6"/>
      <c r="AD3980" s="5">
        <v>45092.0</v>
      </c>
      <c r="AE3980" s="6">
        <v>0.75</v>
      </c>
      <c r="AF3980" s="7">
        <v>5936.58</v>
      </c>
    </row>
    <row r="3981">
      <c r="G3981" s="5"/>
      <c r="H3981" s="6"/>
      <c r="AD3981" s="5">
        <v>45092.0</v>
      </c>
      <c r="AE3981" s="6">
        <v>0.7916666666666666</v>
      </c>
      <c r="AF3981" s="7">
        <v>564.72</v>
      </c>
    </row>
    <row r="3982">
      <c r="G3982" s="5"/>
      <c r="H3982" s="6"/>
      <c r="AD3982" s="5">
        <v>45092.0</v>
      </c>
      <c r="AE3982" s="6">
        <v>0.8333333333333334</v>
      </c>
      <c r="AF3982" s="7">
        <v>0.0</v>
      </c>
    </row>
    <row r="3983">
      <c r="G3983" s="5"/>
      <c r="H3983" s="6"/>
      <c r="AD3983" s="5">
        <v>45092.0</v>
      </c>
      <c r="AE3983" s="6">
        <v>0.875</v>
      </c>
      <c r="AF3983" s="7">
        <v>0.0</v>
      </c>
    </row>
    <row r="3984">
      <c r="G3984" s="5"/>
      <c r="H3984" s="6"/>
      <c r="AD3984" s="5">
        <v>45092.0</v>
      </c>
      <c r="AE3984" s="6">
        <v>0.9166666666666666</v>
      </c>
      <c r="AF3984" s="7">
        <v>0.0</v>
      </c>
    </row>
    <row r="3985">
      <c r="G3985" s="5"/>
      <c r="H3985" s="6"/>
      <c r="AD3985" s="5">
        <v>45092.0</v>
      </c>
      <c r="AE3985" s="6">
        <v>0.9583333333333334</v>
      </c>
      <c r="AF3985" s="7">
        <v>0.0</v>
      </c>
    </row>
    <row r="3986">
      <c r="G3986" s="5"/>
      <c r="H3986" s="6"/>
      <c r="AD3986" s="5">
        <v>45093.0</v>
      </c>
      <c r="AE3986" s="6">
        <v>0.0</v>
      </c>
      <c r="AF3986" s="7">
        <v>0.0</v>
      </c>
    </row>
    <row r="3987">
      <c r="G3987" s="5"/>
      <c r="H3987" s="6"/>
      <c r="AD3987" s="5">
        <v>45093.0</v>
      </c>
      <c r="AE3987" s="6">
        <v>0.041666666666666664</v>
      </c>
      <c r="AF3987" s="7">
        <v>0.0</v>
      </c>
    </row>
    <row r="3988">
      <c r="G3988" s="5"/>
      <c r="H3988" s="6"/>
      <c r="AD3988" s="5">
        <v>45093.0</v>
      </c>
      <c r="AE3988" s="6">
        <v>0.08333333333333333</v>
      </c>
      <c r="AF3988" s="7">
        <v>0.0</v>
      </c>
    </row>
    <row r="3989">
      <c r="G3989" s="5"/>
      <c r="H3989" s="6"/>
      <c r="AD3989" s="5">
        <v>45093.0</v>
      </c>
      <c r="AE3989" s="6">
        <v>0.125</v>
      </c>
      <c r="AF3989" s="7">
        <v>0.0</v>
      </c>
    </row>
    <row r="3990">
      <c r="G3990" s="5"/>
      <c r="H3990" s="6"/>
      <c r="AD3990" s="5">
        <v>45093.0</v>
      </c>
      <c r="AE3990" s="6">
        <v>0.16666666666666666</v>
      </c>
      <c r="AF3990" s="7">
        <v>0.0</v>
      </c>
    </row>
    <row r="3991">
      <c r="G3991" s="5"/>
      <c r="H3991" s="6"/>
      <c r="AD3991" s="5">
        <v>45093.0</v>
      </c>
      <c r="AE3991" s="6">
        <v>0.20833333333333334</v>
      </c>
      <c r="AF3991" s="7">
        <v>1382.16</v>
      </c>
    </row>
    <row r="3992">
      <c r="G3992" s="5"/>
      <c r="H3992" s="6"/>
      <c r="AD3992" s="5">
        <v>45093.0</v>
      </c>
      <c r="AE3992" s="6">
        <v>0.25</v>
      </c>
      <c r="AF3992" s="7">
        <v>8731.32</v>
      </c>
    </row>
    <row r="3993">
      <c r="G3993" s="5"/>
      <c r="H3993" s="6"/>
      <c r="AD3993" s="5">
        <v>45093.0</v>
      </c>
      <c r="AE3993" s="6">
        <v>0.2916666666666667</v>
      </c>
      <c r="AF3993" s="7">
        <v>21410.22</v>
      </c>
    </row>
    <row r="3994">
      <c r="G3994" s="5"/>
      <c r="H3994" s="6"/>
      <c r="AD3994" s="5">
        <v>45093.0</v>
      </c>
      <c r="AE3994" s="6">
        <v>0.3333333333333333</v>
      </c>
      <c r="AF3994" s="7">
        <v>32529.12</v>
      </c>
    </row>
    <row r="3995">
      <c r="G3995" s="5"/>
      <c r="H3995" s="6"/>
      <c r="AD3995" s="5">
        <v>45093.0</v>
      </c>
      <c r="AE3995" s="6">
        <v>0.375</v>
      </c>
      <c r="AF3995" s="7">
        <v>45779.76</v>
      </c>
    </row>
    <row r="3996">
      <c r="G3996" s="5"/>
      <c r="H3996" s="6"/>
      <c r="AD3996" s="5">
        <v>45093.0</v>
      </c>
      <c r="AE3996" s="6">
        <v>0.4166666666666667</v>
      </c>
      <c r="AF3996" s="7">
        <v>53339.52</v>
      </c>
    </row>
    <row r="3997">
      <c r="G3997" s="5"/>
      <c r="H3997" s="6"/>
      <c r="AD3997" s="5">
        <v>45093.0</v>
      </c>
      <c r="AE3997" s="6">
        <v>0.4583333333333333</v>
      </c>
      <c r="AF3997" s="7">
        <v>56026.62</v>
      </c>
    </row>
    <row r="3998">
      <c r="G3998" s="5"/>
      <c r="H3998" s="6"/>
      <c r="AD3998" s="5">
        <v>45093.0</v>
      </c>
      <c r="AE3998" s="6">
        <v>0.5</v>
      </c>
      <c r="AF3998" s="7">
        <v>47507.46</v>
      </c>
    </row>
    <row r="3999">
      <c r="G3999" s="5"/>
      <c r="H3999" s="6"/>
      <c r="AD3999" s="5">
        <v>45093.0</v>
      </c>
      <c r="AE3999" s="6">
        <v>0.5416666666666666</v>
      </c>
      <c r="AF3999" s="7">
        <v>51101.7</v>
      </c>
    </row>
    <row r="4000">
      <c r="G4000" s="5"/>
      <c r="H4000" s="6"/>
      <c r="AD4000" s="5">
        <v>45093.0</v>
      </c>
      <c r="AE4000" s="6">
        <v>0.5833333333333334</v>
      </c>
      <c r="AF4000" s="7">
        <v>47196.24</v>
      </c>
    </row>
    <row r="4001">
      <c r="G4001" s="5"/>
      <c r="H4001" s="6"/>
      <c r="AD4001" s="5">
        <v>45093.0</v>
      </c>
      <c r="AE4001" s="6">
        <v>0.625</v>
      </c>
      <c r="AF4001" s="7">
        <v>34233.42</v>
      </c>
    </row>
    <row r="4002">
      <c r="G4002" s="5"/>
      <c r="H4002" s="6"/>
      <c r="AD4002" s="5">
        <v>45093.0</v>
      </c>
      <c r="AE4002" s="6">
        <v>0.6666666666666666</v>
      </c>
      <c r="AF4002" s="7">
        <v>22190.22</v>
      </c>
    </row>
    <row r="4003">
      <c r="G4003" s="5"/>
      <c r="H4003" s="6"/>
      <c r="AD4003" s="5">
        <v>45093.0</v>
      </c>
      <c r="AE4003" s="6">
        <v>0.7083333333333334</v>
      </c>
      <c r="AF4003" s="7">
        <v>13929.24</v>
      </c>
    </row>
    <row r="4004">
      <c r="G4004" s="5"/>
      <c r="H4004" s="6"/>
      <c r="AD4004" s="5">
        <v>45093.0</v>
      </c>
      <c r="AE4004" s="6">
        <v>0.75</v>
      </c>
      <c r="AF4004" s="7">
        <v>5818.8</v>
      </c>
    </row>
    <row r="4005">
      <c r="G4005" s="5"/>
      <c r="H4005" s="6"/>
      <c r="AD4005" s="5">
        <v>45093.0</v>
      </c>
      <c r="AE4005" s="6">
        <v>0.7916666666666666</v>
      </c>
      <c r="AF4005" s="7">
        <v>596.7</v>
      </c>
    </row>
    <row r="4006">
      <c r="G4006" s="5"/>
      <c r="H4006" s="6"/>
      <c r="AD4006" s="5">
        <v>45093.0</v>
      </c>
      <c r="AE4006" s="6">
        <v>0.8333333333333334</v>
      </c>
      <c r="AF4006" s="7">
        <v>0.0</v>
      </c>
    </row>
    <row r="4007">
      <c r="G4007" s="5"/>
      <c r="H4007" s="6"/>
      <c r="AD4007" s="5">
        <v>45093.0</v>
      </c>
      <c r="AE4007" s="6">
        <v>0.875</v>
      </c>
      <c r="AF4007" s="7">
        <v>0.0</v>
      </c>
    </row>
    <row r="4008">
      <c r="G4008" s="5"/>
      <c r="H4008" s="6"/>
      <c r="AD4008" s="5">
        <v>45093.0</v>
      </c>
      <c r="AE4008" s="6">
        <v>0.9166666666666666</v>
      </c>
      <c r="AF4008" s="7">
        <v>0.0</v>
      </c>
    </row>
    <row r="4009">
      <c r="G4009" s="5"/>
      <c r="H4009" s="6"/>
      <c r="AD4009" s="5">
        <v>45093.0</v>
      </c>
      <c r="AE4009" s="6">
        <v>0.9583333333333334</v>
      </c>
      <c r="AF4009" s="7">
        <v>0.0</v>
      </c>
    </row>
    <row r="4010">
      <c r="G4010" s="5"/>
      <c r="H4010" s="6"/>
      <c r="AD4010" s="5">
        <v>45094.0</v>
      </c>
      <c r="AE4010" s="6">
        <v>0.0</v>
      </c>
      <c r="AF4010" s="7">
        <v>0.0</v>
      </c>
    </row>
    <row r="4011">
      <c r="G4011" s="5"/>
      <c r="H4011" s="6"/>
      <c r="AD4011" s="5">
        <v>45094.0</v>
      </c>
      <c r="AE4011" s="6">
        <v>0.041666666666666664</v>
      </c>
      <c r="AF4011" s="7">
        <v>0.0</v>
      </c>
    </row>
    <row r="4012">
      <c r="G4012" s="5"/>
      <c r="H4012" s="6"/>
      <c r="AD4012" s="5">
        <v>45094.0</v>
      </c>
      <c r="AE4012" s="6">
        <v>0.08333333333333333</v>
      </c>
      <c r="AF4012" s="7">
        <v>0.0</v>
      </c>
    </row>
    <row r="4013">
      <c r="G4013" s="5"/>
      <c r="H4013" s="6"/>
      <c r="AD4013" s="5">
        <v>45094.0</v>
      </c>
      <c r="AE4013" s="6">
        <v>0.125</v>
      </c>
      <c r="AF4013" s="7">
        <v>0.0</v>
      </c>
    </row>
    <row r="4014">
      <c r="G4014" s="5"/>
      <c r="H4014" s="6"/>
      <c r="AD4014" s="5">
        <v>45094.0</v>
      </c>
      <c r="AE4014" s="6">
        <v>0.16666666666666666</v>
      </c>
      <c r="AF4014" s="7">
        <v>0.0</v>
      </c>
    </row>
    <row r="4015">
      <c r="G4015" s="5"/>
      <c r="H4015" s="6"/>
      <c r="AD4015" s="5">
        <v>45094.0</v>
      </c>
      <c r="AE4015" s="6">
        <v>0.20833333333333334</v>
      </c>
      <c r="AF4015" s="7">
        <v>1308.06</v>
      </c>
    </row>
    <row r="4016">
      <c r="G4016" s="5"/>
      <c r="H4016" s="6"/>
      <c r="AD4016" s="5">
        <v>45094.0</v>
      </c>
      <c r="AE4016" s="6">
        <v>0.25</v>
      </c>
      <c r="AF4016" s="7">
        <v>8413.08</v>
      </c>
    </row>
    <row r="4017">
      <c r="G4017" s="5"/>
      <c r="H4017" s="6"/>
      <c r="AD4017" s="5">
        <v>45094.0</v>
      </c>
      <c r="AE4017" s="6">
        <v>0.2916666666666667</v>
      </c>
      <c r="AF4017" s="7">
        <v>22276.8</v>
      </c>
    </row>
    <row r="4018">
      <c r="G4018" s="5"/>
      <c r="H4018" s="6"/>
      <c r="AD4018" s="5">
        <v>45094.0</v>
      </c>
      <c r="AE4018" s="6">
        <v>0.3333333333333333</v>
      </c>
      <c r="AF4018" s="7">
        <v>34458.84</v>
      </c>
    </row>
    <row r="4019">
      <c r="G4019" s="5"/>
      <c r="H4019" s="6"/>
      <c r="AD4019" s="5">
        <v>45094.0</v>
      </c>
      <c r="AE4019" s="6">
        <v>0.375</v>
      </c>
      <c r="AF4019" s="7">
        <v>45396.78</v>
      </c>
    </row>
    <row r="4020">
      <c r="G4020" s="5"/>
      <c r="H4020" s="6"/>
      <c r="AD4020" s="5">
        <v>45094.0</v>
      </c>
      <c r="AE4020" s="6">
        <v>0.4166666666666667</v>
      </c>
      <c r="AF4020" s="7">
        <v>53022.84</v>
      </c>
    </row>
    <row r="4021">
      <c r="G4021" s="5"/>
      <c r="H4021" s="6"/>
      <c r="AD4021" s="5">
        <v>45094.0</v>
      </c>
      <c r="AE4021" s="6">
        <v>0.4583333333333333</v>
      </c>
      <c r="AF4021" s="7">
        <v>57333.9</v>
      </c>
    </row>
    <row r="4022">
      <c r="G4022" s="5"/>
      <c r="H4022" s="6"/>
      <c r="AD4022" s="5">
        <v>45094.0</v>
      </c>
      <c r="AE4022" s="6">
        <v>0.5</v>
      </c>
      <c r="AF4022" s="7">
        <v>57596.76</v>
      </c>
    </row>
    <row r="4023">
      <c r="G4023" s="5"/>
      <c r="H4023" s="6"/>
      <c r="AD4023" s="5">
        <v>45094.0</v>
      </c>
      <c r="AE4023" s="6">
        <v>0.5416666666666666</v>
      </c>
      <c r="AF4023" s="7">
        <v>55506.36</v>
      </c>
    </row>
    <row r="4024">
      <c r="G4024" s="5"/>
      <c r="H4024" s="6"/>
      <c r="AD4024" s="5">
        <v>45094.0</v>
      </c>
      <c r="AE4024" s="6">
        <v>0.5833333333333334</v>
      </c>
      <c r="AF4024" s="7">
        <v>7101.9</v>
      </c>
    </row>
    <row r="4025">
      <c r="G4025" s="5"/>
      <c r="H4025" s="6"/>
      <c r="AD4025" s="5">
        <v>45094.0</v>
      </c>
      <c r="AE4025" s="6">
        <v>0.625</v>
      </c>
      <c r="AF4025" s="7">
        <v>42943.68</v>
      </c>
    </row>
    <row r="4026">
      <c r="G4026" s="5"/>
      <c r="H4026" s="6"/>
      <c r="AD4026" s="5">
        <v>45094.0</v>
      </c>
      <c r="AE4026" s="6">
        <v>0.6666666666666666</v>
      </c>
      <c r="AF4026" s="7">
        <v>25249.38</v>
      </c>
    </row>
    <row r="4027">
      <c r="G4027" s="5"/>
      <c r="H4027" s="6"/>
      <c r="AD4027" s="5">
        <v>45094.0</v>
      </c>
      <c r="AE4027" s="6">
        <v>0.7083333333333334</v>
      </c>
      <c r="AF4027" s="7">
        <v>1351.74</v>
      </c>
    </row>
    <row r="4028">
      <c r="G4028" s="5"/>
      <c r="H4028" s="6"/>
      <c r="AD4028" s="5">
        <v>45094.0</v>
      </c>
      <c r="AE4028" s="6">
        <v>0.75</v>
      </c>
      <c r="AF4028" s="7">
        <v>351.0</v>
      </c>
    </row>
    <row r="4029">
      <c r="G4029" s="5"/>
      <c r="H4029" s="6"/>
      <c r="AD4029" s="5">
        <v>45094.0</v>
      </c>
      <c r="AE4029" s="6">
        <v>0.7916666666666666</v>
      </c>
      <c r="AF4029" s="7">
        <v>0.0</v>
      </c>
    </row>
    <row r="4030">
      <c r="G4030" s="5"/>
      <c r="H4030" s="6"/>
      <c r="AD4030" s="5">
        <v>45094.0</v>
      </c>
      <c r="AE4030" s="6">
        <v>0.8333333333333334</v>
      </c>
      <c r="AF4030" s="7">
        <v>0.0</v>
      </c>
    </row>
    <row r="4031">
      <c r="G4031" s="5"/>
      <c r="H4031" s="6"/>
      <c r="AD4031" s="5">
        <v>45094.0</v>
      </c>
      <c r="AE4031" s="6">
        <v>0.875</v>
      </c>
      <c r="AF4031" s="7">
        <v>0.0</v>
      </c>
    </row>
    <row r="4032">
      <c r="G4032" s="5"/>
      <c r="H4032" s="6"/>
      <c r="AD4032" s="5">
        <v>45094.0</v>
      </c>
      <c r="AE4032" s="6">
        <v>0.9166666666666666</v>
      </c>
      <c r="AF4032" s="7">
        <v>0.0</v>
      </c>
    </row>
    <row r="4033">
      <c r="G4033" s="5"/>
      <c r="H4033" s="6"/>
      <c r="AD4033" s="5">
        <v>45094.0</v>
      </c>
      <c r="AE4033" s="6">
        <v>0.9583333333333334</v>
      </c>
      <c r="AF4033" s="7">
        <v>0.0</v>
      </c>
    </row>
    <row r="4034">
      <c r="G4034" s="5"/>
      <c r="H4034" s="6"/>
      <c r="AD4034" s="5">
        <v>45095.0</v>
      </c>
      <c r="AE4034" s="6">
        <v>0.0</v>
      </c>
      <c r="AF4034" s="7">
        <v>0.0</v>
      </c>
    </row>
    <row r="4035">
      <c r="G4035" s="5"/>
      <c r="H4035" s="6"/>
      <c r="AD4035" s="5">
        <v>45095.0</v>
      </c>
      <c r="AE4035" s="6">
        <v>0.041666666666666664</v>
      </c>
      <c r="AF4035" s="7">
        <v>0.0</v>
      </c>
    </row>
    <row r="4036">
      <c r="G4036" s="5"/>
      <c r="H4036" s="6"/>
      <c r="AD4036" s="5">
        <v>45095.0</v>
      </c>
      <c r="AE4036" s="6">
        <v>0.08333333333333333</v>
      </c>
      <c r="AF4036" s="7">
        <v>0.0</v>
      </c>
    </row>
    <row r="4037">
      <c r="G4037" s="5"/>
      <c r="H4037" s="6"/>
      <c r="AD4037" s="5">
        <v>45095.0</v>
      </c>
      <c r="AE4037" s="6">
        <v>0.125</v>
      </c>
      <c r="AF4037" s="7">
        <v>0.0</v>
      </c>
    </row>
    <row r="4038">
      <c r="G4038" s="5"/>
      <c r="H4038" s="6"/>
      <c r="AD4038" s="5">
        <v>45095.0</v>
      </c>
      <c r="AE4038" s="6">
        <v>0.16666666666666666</v>
      </c>
      <c r="AF4038" s="7">
        <v>0.0</v>
      </c>
    </row>
    <row r="4039">
      <c r="G4039" s="5"/>
      <c r="H4039" s="6"/>
      <c r="AD4039" s="5">
        <v>45095.0</v>
      </c>
      <c r="AE4039" s="6">
        <v>0.20833333333333334</v>
      </c>
      <c r="AF4039" s="7">
        <v>1362.66</v>
      </c>
    </row>
    <row r="4040">
      <c r="G4040" s="5"/>
      <c r="H4040" s="6"/>
      <c r="AD4040" s="5">
        <v>45095.0</v>
      </c>
      <c r="AE4040" s="6">
        <v>0.25</v>
      </c>
      <c r="AF4040" s="7">
        <v>5096.52</v>
      </c>
    </row>
    <row r="4041">
      <c r="G4041" s="5"/>
      <c r="H4041" s="6"/>
      <c r="AD4041" s="5">
        <v>45095.0</v>
      </c>
      <c r="AE4041" s="6">
        <v>0.2916666666666667</v>
      </c>
      <c r="AF4041" s="7">
        <v>10994.88</v>
      </c>
    </row>
    <row r="4042">
      <c r="G4042" s="5"/>
      <c r="H4042" s="6"/>
      <c r="AD4042" s="5">
        <v>45095.0</v>
      </c>
      <c r="AE4042" s="6">
        <v>0.3333333333333333</v>
      </c>
      <c r="AF4042" s="7">
        <v>17843.28</v>
      </c>
    </row>
    <row r="4043">
      <c r="G4043" s="5"/>
      <c r="H4043" s="6"/>
      <c r="AD4043" s="5">
        <v>45095.0</v>
      </c>
      <c r="AE4043" s="6">
        <v>0.375</v>
      </c>
      <c r="AF4043" s="7">
        <v>33704.58</v>
      </c>
    </row>
    <row r="4044">
      <c r="G4044" s="5"/>
      <c r="H4044" s="6"/>
      <c r="AD4044" s="5">
        <v>45095.0</v>
      </c>
      <c r="AE4044" s="6">
        <v>0.4166666666666667</v>
      </c>
      <c r="AF4044" s="7">
        <v>38713.74</v>
      </c>
    </row>
    <row r="4045">
      <c r="G4045" s="5"/>
      <c r="H4045" s="6"/>
      <c r="AD4045" s="5">
        <v>45095.0</v>
      </c>
      <c r="AE4045" s="6">
        <v>0.4583333333333333</v>
      </c>
      <c r="AF4045" s="7">
        <v>54784.08</v>
      </c>
    </row>
    <row r="4046">
      <c r="G4046" s="5"/>
      <c r="H4046" s="6"/>
      <c r="AD4046" s="5">
        <v>45095.0</v>
      </c>
      <c r="AE4046" s="6">
        <v>0.5</v>
      </c>
      <c r="AF4046" s="7">
        <v>52147.68</v>
      </c>
    </row>
    <row r="4047">
      <c r="G4047" s="5"/>
      <c r="H4047" s="6"/>
      <c r="AD4047" s="5">
        <v>45095.0</v>
      </c>
      <c r="AE4047" s="6">
        <v>0.5416666666666666</v>
      </c>
      <c r="AF4047" s="7">
        <v>52449.54</v>
      </c>
    </row>
    <row r="4048">
      <c r="G4048" s="5"/>
      <c r="H4048" s="6"/>
      <c r="AD4048" s="5">
        <v>45095.0</v>
      </c>
      <c r="AE4048" s="6">
        <v>0.5833333333333334</v>
      </c>
      <c r="AF4048" s="7">
        <v>34628.88</v>
      </c>
    </row>
    <row r="4049">
      <c r="G4049" s="5"/>
      <c r="H4049" s="6"/>
      <c r="AD4049" s="5">
        <v>45095.0</v>
      </c>
      <c r="AE4049" s="6">
        <v>0.625</v>
      </c>
      <c r="AF4049" s="7">
        <v>24864.84</v>
      </c>
    </row>
    <row r="4050">
      <c r="G4050" s="5"/>
      <c r="H4050" s="6"/>
      <c r="AD4050" s="5">
        <v>45095.0</v>
      </c>
      <c r="AE4050" s="6">
        <v>0.6666666666666666</v>
      </c>
      <c r="AF4050" s="7">
        <v>19842.42</v>
      </c>
    </row>
    <row r="4051">
      <c r="G4051" s="5"/>
      <c r="H4051" s="6"/>
      <c r="AD4051" s="5">
        <v>45095.0</v>
      </c>
      <c r="AE4051" s="6">
        <v>0.7083333333333334</v>
      </c>
      <c r="AF4051" s="7">
        <v>3163.68</v>
      </c>
    </row>
    <row r="4052">
      <c r="G4052" s="5"/>
      <c r="H4052" s="6"/>
      <c r="AD4052" s="5">
        <v>45095.0</v>
      </c>
      <c r="AE4052" s="6">
        <v>0.75</v>
      </c>
      <c r="AF4052" s="7">
        <v>5867.94</v>
      </c>
    </row>
    <row r="4053">
      <c r="G4053" s="5"/>
      <c r="H4053" s="6"/>
      <c r="AD4053" s="5">
        <v>45095.0</v>
      </c>
      <c r="AE4053" s="6">
        <v>0.7916666666666666</v>
      </c>
      <c r="AF4053" s="7">
        <v>617.76</v>
      </c>
    </row>
    <row r="4054">
      <c r="G4054" s="5"/>
      <c r="H4054" s="6"/>
      <c r="AD4054" s="5">
        <v>45095.0</v>
      </c>
      <c r="AE4054" s="6">
        <v>0.8333333333333334</v>
      </c>
      <c r="AF4054" s="7">
        <v>0.0</v>
      </c>
    </row>
    <row r="4055">
      <c r="G4055" s="5"/>
      <c r="H4055" s="6"/>
      <c r="AD4055" s="5">
        <v>45095.0</v>
      </c>
      <c r="AE4055" s="6">
        <v>0.875</v>
      </c>
      <c r="AF4055" s="7">
        <v>0.0</v>
      </c>
    </row>
    <row r="4056">
      <c r="G4056" s="5"/>
      <c r="H4056" s="6"/>
      <c r="AD4056" s="5">
        <v>45095.0</v>
      </c>
      <c r="AE4056" s="6">
        <v>0.9166666666666666</v>
      </c>
      <c r="AF4056" s="7">
        <v>0.0</v>
      </c>
    </row>
    <row r="4057">
      <c r="G4057" s="5"/>
      <c r="H4057" s="6"/>
      <c r="AD4057" s="5">
        <v>45095.0</v>
      </c>
      <c r="AE4057" s="6">
        <v>0.9583333333333334</v>
      </c>
      <c r="AF4057" s="7">
        <v>0.0</v>
      </c>
    </row>
    <row r="4058">
      <c r="G4058" s="5"/>
      <c r="H4058" s="6"/>
      <c r="AD4058" s="5">
        <v>45096.0</v>
      </c>
      <c r="AE4058" s="6">
        <v>0.0</v>
      </c>
      <c r="AF4058" s="7">
        <v>0.0</v>
      </c>
    </row>
    <row r="4059">
      <c r="G4059" s="5"/>
      <c r="H4059" s="6"/>
      <c r="AD4059" s="5">
        <v>45096.0</v>
      </c>
      <c r="AE4059" s="6">
        <v>0.041666666666666664</v>
      </c>
      <c r="AF4059" s="7">
        <v>0.0</v>
      </c>
    </row>
    <row r="4060">
      <c r="G4060" s="5"/>
      <c r="H4060" s="6"/>
      <c r="AD4060" s="5">
        <v>45096.0</v>
      </c>
      <c r="AE4060" s="6">
        <v>0.08333333333333333</v>
      </c>
      <c r="AF4060" s="7">
        <v>0.0</v>
      </c>
    </row>
    <row r="4061">
      <c r="G4061" s="5"/>
      <c r="H4061" s="6"/>
      <c r="AD4061" s="5">
        <v>45096.0</v>
      </c>
      <c r="AE4061" s="6">
        <v>0.125</v>
      </c>
      <c r="AF4061" s="7">
        <v>0.0</v>
      </c>
    </row>
    <row r="4062">
      <c r="G4062" s="5"/>
      <c r="H4062" s="6"/>
      <c r="AD4062" s="5">
        <v>45096.0</v>
      </c>
      <c r="AE4062" s="6">
        <v>0.16666666666666666</v>
      </c>
      <c r="AF4062" s="7">
        <v>0.0</v>
      </c>
    </row>
    <row r="4063">
      <c r="G4063" s="5"/>
      <c r="H4063" s="6"/>
      <c r="AD4063" s="5">
        <v>45096.0</v>
      </c>
      <c r="AE4063" s="6">
        <v>0.20833333333333334</v>
      </c>
      <c r="AF4063" s="7">
        <v>0.0</v>
      </c>
    </row>
    <row r="4064">
      <c r="G4064" s="5"/>
      <c r="H4064" s="6"/>
      <c r="AD4064" s="5">
        <v>45096.0</v>
      </c>
      <c r="AE4064" s="6">
        <v>0.25</v>
      </c>
      <c r="AF4064" s="7">
        <v>2597.4</v>
      </c>
    </row>
    <row r="4065">
      <c r="G4065" s="5"/>
      <c r="H4065" s="6"/>
      <c r="AD4065" s="5">
        <v>45096.0</v>
      </c>
      <c r="AE4065" s="6">
        <v>0.2916666666666667</v>
      </c>
      <c r="AF4065" s="7">
        <v>3313.44</v>
      </c>
    </row>
    <row r="4066">
      <c r="G4066" s="5"/>
      <c r="H4066" s="6"/>
      <c r="AD4066" s="5">
        <v>45096.0</v>
      </c>
      <c r="AE4066" s="6">
        <v>0.3333333333333333</v>
      </c>
      <c r="AF4066" s="7">
        <v>2700.36</v>
      </c>
    </row>
    <row r="4067">
      <c r="G4067" s="5"/>
      <c r="H4067" s="6"/>
      <c r="AD4067" s="5">
        <v>45096.0</v>
      </c>
      <c r="AE4067" s="6">
        <v>0.375</v>
      </c>
      <c r="AF4067" s="7">
        <v>7407.66</v>
      </c>
    </row>
    <row r="4068">
      <c r="G4068" s="5"/>
      <c r="H4068" s="6"/>
      <c r="AD4068" s="5">
        <v>45096.0</v>
      </c>
      <c r="AE4068" s="6">
        <v>0.4166666666666667</v>
      </c>
      <c r="AF4068" s="7">
        <v>16906.5</v>
      </c>
    </row>
    <row r="4069">
      <c r="G4069" s="5"/>
      <c r="H4069" s="6"/>
      <c r="AD4069" s="5">
        <v>45096.0</v>
      </c>
      <c r="AE4069" s="6">
        <v>0.4583333333333333</v>
      </c>
      <c r="AF4069" s="7">
        <v>53454.96</v>
      </c>
    </row>
    <row r="4070">
      <c r="G4070" s="5"/>
      <c r="H4070" s="6"/>
      <c r="AD4070" s="5">
        <v>45096.0</v>
      </c>
      <c r="AE4070" s="6">
        <v>0.5</v>
      </c>
      <c r="AF4070" s="7">
        <v>37893.18</v>
      </c>
    </row>
    <row r="4071">
      <c r="G4071" s="5"/>
      <c r="H4071" s="6"/>
      <c r="AD4071" s="5">
        <v>45096.0</v>
      </c>
      <c r="AE4071" s="6">
        <v>0.5416666666666666</v>
      </c>
      <c r="AF4071" s="7">
        <v>33184.32</v>
      </c>
    </row>
    <row r="4072">
      <c r="G4072" s="5"/>
      <c r="H4072" s="6"/>
      <c r="AD4072" s="5">
        <v>45096.0</v>
      </c>
      <c r="AE4072" s="6">
        <v>0.5833333333333334</v>
      </c>
      <c r="AF4072" s="7">
        <v>52639.86</v>
      </c>
    </row>
    <row r="4073">
      <c r="G4073" s="5"/>
      <c r="H4073" s="6"/>
      <c r="AD4073" s="5">
        <v>45096.0</v>
      </c>
      <c r="AE4073" s="6">
        <v>0.625</v>
      </c>
      <c r="AF4073" s="7">
        <v>31522.92</v>
      </c>
    </row>
    <row r="4074">
      <c r="G4074" s="5"/>
      <c r="H4074" s="6"/>
      <c r="AD4074" s="5">
        <v>45096.0</v>
      </c>
      <c r="AE4074" s="6">
        <v>0.6666666666666666</v>
      </c>
      <c r="AF4074" s="7">
        <v>27840.54</v>
      </c>
    </row>
    <row r="4075">
      <c r="G4075" s="5"/>
      <c r="H4075" s="6"/>
      <c r="AD4075" s="5">
        <v>45096.0</v>
      </c>
      <c r="AE4075" s="6">
        <v>0.7083333333333334</v>
      </c>
      <c r="AF4075" s="7">
        <v>15465.84</v>
      </c>
    </row>
    <row r="4076">
      <c r="G4076" s="5"/>
      <c r="H4076" s="6"/>
      <c r="AD4076" s="5">
        <v>45096.0</v>
      </c>
      <c r="AE4076" s="6">
        <v>0.75</v>
      </c>
      <c r="AF4076" s="7">
        <v>3738.54</v>
      </c>
    </row>
    <row r="4077">
      <c r="G4077" s="5"/>
      <c r="H4077" s="6"/>
      <c r="AD4077" s="5">
        <v>45096.0</v>
      </c>
      <c r="AE4077" s="6">
        <v>0.7916666666666666</v>
      </c>
      <c r="AF4077" s="7">
        <v>156.0</v>
      </c>
    </row>
    <row r="4078">
      <c r="G4078" s="5"/>
      <c r="H4078" s="6"/>
      <c r="AD4078" s="5">
        <v>45096.0</v>
      </c>
      <c r="AE4078" s="6">
        <v>0.8333333333333334</v>
      </c>
      <c r="AF4078" s="7">
        <v>0.0</v>
      </c>
    </row>
    <row r="4079">
      <c r="G4079" s="5"/>
      <c r="H4079" s="6"/>
      <c r="AD4079" s="5">
        <v>45096.0</v>
      </c>
      <c r="AE4079" s="6">
        <v>0.875</v>
      </c>
      <c r="AF4079" s="7">
        <v>0.0</v>
      </c>
    </row>
    <row r="4080">
      <c r="G4080" s="5"/>
      <c r="H4080" s="6"/>
      <c r="AD4080" s="5">
        <v>45096.0</v>
      </c>
      <c r="AE4080" s="6">
        <v>0.9166666666666666</v>
      </c>
      <c r="AF4080" s="7">
        <v>0.0</v>
      </c>
    </row>
    <row r="4081">
      <c r="G4081" s="5"/>
      <c r="H4081" s="6"/>
      <c r="AD4081" s="5">
        <v>45096.0</v>
      </c>
      <c r="AE4081" s="6">
        <v>0.9583333333333334</v>
      </c>
      <c r="AF4081" s="7">
        <v>0.0</v>
      </c>
    </row>
    <row r="4082">
      <c r="G4082" s="5"/>
      <c r="H4082" s="6"/>
      <c r="AD4082" s="5">
        <v>45097.0</v>
      </c>
      <c r="AE4082" s="6">
        <v>0.0</v>
      </c>
      <c r="AF4082" s="7">
        <v>0.0</v>
      </c>
    </row>
    <row r="4083">
      <c r="G4083" s="5"/>
      <c r="H4083" s="6"/>
      <c r="AD4083" s="5">
        <v>45097.0</v>
      </c>
      <c r="AE4083" s="6">
        <v>0.041666666666666664</v>
      </c>
      <c r="AF4083" s="7">
        <v>0.0</v>
      </c>
    </row>
    <row r="4084">
      <c r="G4084" s="5"/>
      <c r="H4084" s="6"/>
      <c r="AD4084" s="5">
        <v>45097.0</v>
      </c>
      <c r="AE4084" s="6">
        <v>0.08333333333333333</v>
      </c>
      <c r="AF4084" s="7">
        <v>0.0</v>
      </c>
    </row>
    <row r="4085">
      <c r="G4085" s="5"/>
      <c r="H4085" s="6"/>
      <c r="AD4085" s="5">
        <v>45097.0</v>
      </c>
      <c r="AE4085" s="6">
        <v>0.125</v>
      </c>
      <c r="AF4085" s="7">
        <v>0.0</v>
      </c>
    </row>
    <row r="4086">
      <c r="G4086" s="5"/>
      <c r="H4086" s="6"/>
      <c r="AD4086" s="5">
        <v>45097.0</v>
      </c>
      <c r="AE4086" s="6">
        <v>0.16666666666666666</v>
      </c>
      <c r="AF4086" s="7">
        <v>0.0</v>
      </c>
    </row>
    <row r="4087">
      <c r="G4087" s="5"/>
      <c r="H4087" s="6"/>
      <c r="AD4087" s="5">
        <v>45097.0</v>
      </c>
      <c r="AE4087" s="6">
        <v>0.20833333333333334</v>
      </c>
      <c r="AF4087" s="7">
        <v>1308.06</v>
      </c>
    </row>
    <row r="4088">
      <c r="G4088" s="5"/>
      <c r="H4088" s="6"/>
      <c r="AD4088" s="5">
        <v>45097.0</v>
      </c>
      <c r="AE4088" s="6">
        <v>0.25</v>
      </c>
      <c r="AF4088" s="7">
        <v>6661.98</v>
      </c>
    </row>
    <row r="4089">
      <c r="G4089" s="5"/>
      <c r="H4089" s="6"/>
      <c r="AD4089" s="5">
        <v>45097.0</v>
      </c>
      <c r="AE4089" s="6">
        <v>0.2916666666666667</v>
      </c>
      <c r="AF4089" s="7">
        <v>4729.92</v>
      </c>
    </row>
    <row r="4090">
      <c r="G4090" s="5"/>
      <c r="H4090" s="6"/>
      <c r="AD4090" s="5">
        <v>45097.0</v>
      </c>
      <c r="AE4090" s="6">
        <v>0.3333333333333333</v>
      </c>
      <c r="AF4090" s="7">
        <v>30816.24</v>
      </c>
    </row>
    <row r="4091">
      <c r="G4091" s="5"/>
      <c r="H4091" s="6"/>
      <c r="AD4091" s="5">
        <v>45097.0</v>
      </c>
      <c r="AE4091" s="6">
        <v>0.375</v>
      </c>
      <c r="AF4091" s="7">
        <v>45077.76</v>
      </c>
    </row>
    <row r="4092">
      <c r="G4092" s="5"/>
      <c r="H4092" s="6"/>
      <c r="AD4092" s="5">
        <v>45097.0</v>
      </c>
      <c r="AE4092" s="6">
        <v>0.4166666666666667</v>
      </c>
      <c r="AF4092" s="7">
        <v>52753.74</v>
      </c>
    </row>
    <row r="4093">
      <c r="G4093" s="5"/>
      <c r="H4093" s="6"/>
      <c r="AD4093" s="5">
        <v>45097.0</v>
      </c>
      <c r="AE4093" s="6">
        <v>0.4583333333333333</v>
      </c>
      <c r="AF4093" s="7">
        <v>54795.78</v>
      </c>
    </row>
    <row r="4094">
      <c r="G4094" s="5"/>
      <c r="H4094" s="6"/>
      <c r="AD4094" s="5">
        <v>45097.0</v>
      </c>
      <c r="AE4094" s="6">
        <v>0.5</v>
      </c>
      <c r="AF4094" s="7">
        <v>51688.26</v>
      </c>
    </row>
    <row r="4095">
      <c r="G4095" s="5"/>
      <c r="H4095" s="6"/>
      <c r="AD4095" s="5">
        <v>45097.0</v>
      </c>
      <c r="AE4095" s="6">
        <v>0.5416666666666666</v>
      </c>
      <c r="AF4095" s="7">
        <v>27395.16</v>
      </c>
    </row>
    <row r="4096">
      <c r="G4096" s="5"/>
      <c r="H4096" s="6"/>
      <c r="AD4096" s="5">
        <v>45097.0</v>
      </c>
      <c r="AE4096" s="6">
        <v>0.5833333333333334</v>
      </c>
      <c r="AF4096" s="7">
        <v>4477.2</v>
      </c>
    </row>
    <row r="4097">
      <c r="G4097" s="5"/>
      <c r="H4097" s="6"/>
      <c r="AD4097" s="5">
        <v>45097.0</v>
      </c>
      <c r="AE4097" s="6">
        <v>0.625</v>
      </c>
      <c r="AF4097" s="7">
        <v>2843.88</v>
      </c>
    </row>
    <row r="4098">
      <c r="G4098" s="5"/>
      <c r="H4098" s="6"/>
      <c r="AD4098" s="5">
        <v>45097.0</v>
      </c>
      <c r="AE4098" s="6">
        <v>0.6666666666666666</v>
      </c>
      <c r="AF4098" s="7">
        <v>2577.12</v>
      </c>
    </row>
    <row r="4099">
      <c r="G4099" s="5"/>
      <c r="H4099" s="6"/>
      <c r="AD4099" s="5">
        <v>45097.0</v>
      </c>
      <c r="AE4099" s="6">
        <v>0.7083333333333334</v>
      </c>
      <c r="AF4099" s="7">
        <v>1424.28</v>
      </c>
    </row>
    <row r="4100">
      <c r="G4100" s="5"/>
      <c r="H4100" s="6"/>
      <c r="AD4100" s="5">
        <v>45097.0</v>
      </c>
      <c r="AE4100" s="6">
        <v>0.75</v>
      </c>
      <c r="AF4100" s="7">
        <v>529.62</v>
      </c>
    </row>
    <row r="4101">
      <c r="G4101" s="5"/>
      <c r="H4101" s="6"/>
      <c r="AD4101" s="5">
        <v>45097.0</v>
      </c>
      <c r="AE4101" s="6">
        <v>0.7916666666666666</v>
      </c>
      <c r="AF4101" s="7">
        <v>610.74</v>
      </c>
    </row>
    <row r="4102">
      <c r="G4102" s="5"/>
      <c r="H4102" s="6"/>
      <c r="AD4102" s="5">
        <v>45097.0</v>
      </c>
      <c r="AE4102" s="6">
        <v>0.8333333333333334</v>
      </c>
      <c r="AF4102" s="7">
        <v>0.0</v>
      </c>
    </row>
    <row r="4103">
      <c r="G4103" s="5"/>
      <c r="H4103" s="6"/>
      <c r="AD4103" s="5">
        <v>45097.0</v>
      </c>
      <c r="AE4103" s="6">
        <v>0.875</v>
      </c>
      <c r="AF4103" s="7">
        <v>0.0</v>
      </c>
    </row>
    <row r="4104">
      <c r="G4104" s="5"/>
      <c r="H4104" s="6"/>
      <c r="AD4104" s="5">
        <v>45097.0</v>
      </c>
      <c r="AE4104" s="6">
        <v>0.9166666666666666</v>
      </c>
      <c r="AF4104" s="7">
        <v>0.0</v>
      </c>
    </row>
    <row r="4105">
      <c r="G4105" s="5"/>
      <c r="H4105" s="6"/>
      <c r="AD4105" s="5">
        <v>45097.0</v>
      </c>
      <c r="AE4105" s="6">
        <v>0.9583333333333334</v>
      </c>
      <c r="AF4105" s="7">
        <v>0.0</v>
      </c>
    </row>
    <row r="4106">
      <c r="G4106" s="5"/>
      <c r="H4106" s="6"/>
      <c r="AD4106" s="5">
        <v>45098.0</v>
      </c>
      <c r="AE4106" s="6">
        <v>0.0</v>
      </c>
      <c r="AF4106" s="7">
        <v>0.0</v>
      </c>
    </row>
    <row r="4107">
      <c r="G4107" s="5"/>
      <c r="H4107" s="6"/>
      <c r="AD4107" s="5">
        <v>45098.0</v>
      </c>
      <c r="AE4107" s="6">
        <v>0.041666666666666664</v>
      </c>
      <c r="AF4107" s="7">
        <v>0.0</v>
      </c>
    </row>
    <row r="4108">
      <c r="G4108" s="5"/>
      <c r="H4108" s="6"/>
      <c r="AD4108" s="5">
        <v>45098.0</v>
      </c>
      <c r="AE4108" s="6">
        <v>0.08333333333333333</v>
      </c>
      <c r="AF4108" s="7">
        <v>0.0</v>
      </c>
    </row>
    <row r="4109">
      <c r="G4109" s="5"/>
      <c r="H4109" s="6"/>
      <c r="AD4109" s="5">
        <v>45098.0</v>
      </c>
      <c r="AE4109" s="6">
        <v>0.125</v>
      </c>
      <c r="AF4109" s="7">
        <v>0.0</v>
      </c>
    </row>
    <row r="4110">
      <c r="G4110" s="5"/>
      <c r="H4110" s="6"/>
      <c r="AD4110" s="5">
        <v>45098.0</v>
      </c>
      <c r="AE4110" s="6">
        <v>0.16666666666666666</v>
      </c>
      <c r="AF4110" s="7">
        <v>0.0</v>
      </c>
    </row>
    <row r="4111">
      <c r="G4111" s="5"/>
      <c r="H4111" s="6"/>
      <c r="AD4111" s="5">
        <v>45098.0</v>
      </c>
      <c r="AE4111" s="6">
        <v>0.20833333333333334</v>
      </c>
      <c r="AF4111" s="7">
        <v>93.6</v>
      </c>
    </row>
    <row r="4112">
      <c r="G4112" s="5"/>
      <c r="H4112" s="6"/>
      <c r="AD4112" s="5">
        <v>45098.0</v>
      </c>
      <c r="AE4112" s="6">
        <v>0.25</v>
      </c>
      <c r="AF4112" s="7">
        <v>4083.3</v>
      </c>
    </row>
    <row r="4113">
      <c r="G4113" s="5"/>
      <c r="H4113" s="6"/>
      <c r="AD4113" s="5">
        <v>45098.0</v>
      </c>
      <c r="AE4113" s="6">
        <v>0.2916666666666667</v>
      </c>
      <c r="AF4113" s="7">
        <v>7560.54</v>
      </c>
    </row>
    <row r="4114">
      <c r="G4114" s="5"/>
      <c r="H4114" s="6"/>
      <c r="AD4114" s="5">
        <v>45098.0</v>
      </c>
      <c r="AE4114" s="6">
        <v>0.3333333333333333</v>
      </c>
      <c r="AF4114" s="7">
        <v>4392.96</v>
      </c>
    </row>
    <row r="4115">
      <c r="G4115" s="5"/>
      <c r="H4115" s="6"/>
      <c r="AD4115" s="5">
        <v>45098.0</v>
      </c>
      <c r="AE4115" s="6">
        <v>0.375</v>
      </c>
      <c r="AF4115" s="7">
        <v>5284.5</v>
      </c>
    </row>
    <row r="4116">
      <c r="G4116" s="5"/>
      <c r="H4116" s="6"/>
      <c r="AD4116" s="5">
        <v>45098.0</v>
      </c>
      <c r="AE4116" s="6">
        <v>0.4166666666666667</v>
      </c>
      <c r="AF4116" s="7">
        <v>48713.34</v>
      </c>
    </row>
    <row r="4117">
      <c r="G4117" s="5"/>
      <c r="H4117" s="6"/>
      <c r="AD4117" s="5">
        <v>45098.0</v>
      </c>
      <c r="AE4117" s="6">
        <v>0.4583333333333333</v>
      </c>
      <c r="AF4117" s="7">
        <v>56987.58</v>
      </c>
    </row>
    <row r="4118">
      <c r="G4118" s="5"/>
      <c r="H4118" s="6"/>
      <c r="AD4118" s="5">
        <v>45098.0</v>
      </c>
      <c r="AE4118" s="6">
        <v>0.5</v>
      </c>
      <c r="AF4118" s="7">
        <v>21200.4</v>
      </c>
    </row>
    <row r="4119">
      <c r="G4119" s="5"/>
      <c r="H4119" s="6"/>
      <c r="AD4119" s="5">
        <v>45098.0</v>
      </c>
      <c r="AE4119" s="6">
        <v>0.5416666666666666</v>
      </c>
      <c r="AF4119" s="7">
        <v>5406.96</v>
      </c>
    </row>
    <row r="4120">
      <c r="G4120" s="5"/>
      <c r="H4120" s="6"/>
      <c r="AD4120" s="5">
        <v>45098.0</v>
      </c>
      <c r="AE4120" s="6">
        <v>0.5833333333333334</v>
      </c>
      <c r="AF4120" s="7">
        <v>8490.3</v>
      </c>
    </row>
    <row r="4121">
      <c r="G4121" s="5"/>
      <c r="H4121" s="6"/>
      <c r="AD4121" s="5">
        <v>45098.0</v>
      </c>
      <c r="AE4121" s="6">
        <v>0.625</v>
      </c>
      <c r="AF4121" s="7">
        <v>7634.64</v>
      </c>
    </row>
    <row r="4122">
      <c r="G4122" s="5"/>
      <c r="H4122" s="6"/>
      <c r="AD4122" s="5">
        <v>45098.0</v>
      </c>
      <c r="AE4122" s="6">
        <v>0.6666666666666666</v>
      </c>
      <c r="AF4122" s="7">
        <v>8322.6</v>
      </c>
    </row>
    <row r="4123">
      <c r="G4123" s="5"/>
      <c r="H4123" s="6"/>
      <c r="AD4123" s="5">
        <v>45098.0</v>
      </c>
      <c r="AE4123" s="6">
        <v>0.7083333333333334</v>
      </c>
      <c r="AF4123" s="7">
        <v>5557.5</v>
      </c>
    </row>
    <row r="4124">
      <c r="G4124" s="5"/>
      <c r="H4124" s="6"/>
      <c r="AD4124" s="5">
        <v>45098.0</v>
      </c>
      <c r="AE4124" s="6">
        <v>0.75</v>
      </c>
      <c r="AF4124" s="7">
        <v>1189.5</v>
      </c>
    </row>
    <row r="4125">
      <c r="G4125" s="5"/>
      <c r="H4125" s="6"/>
      <c r="AD4125" s="5">
        <v>45098.0</v>
      </c>
      <c r="AE4125" s="6">
        <v>0.7916666666666666</v>
      </c>
      <c r="AF4125" s="7">
        <v>0.0</v>
      </c>
    </row>
    <row r="4126">
      <c r="G4126" s="5"/>
      <c r="H4126" s="6"/>
      <c r="AD4126" s="5">
        <v>45098.0</v>
      </c>
      <c r="AE4126" s="6">
        <v>0.8333333333333334</v>
      </c>
      <c r="AF4126" s="7">
        <v>0.0</v>
      </c>
    </row>
    <row r="4127">
      <c r="G4127" s="5"/>
      <c r="H4127" s="6"/>
      <c r="AD4127" s="5">
        <v>45098.0</v>
      </c>
      <c r="AE4127" s="6">
        <v>0.875</v>
      </c>
      <c r="AF4127" s="7">
        <v>0.0</v>
      </c>
    </row>
    <row r="4128">
      <c r="G4128" s="5"/>
      <c r="H4128" s="6"/>
      <c r="AD4128" s="5">
        <v>45098.0</v>
      </c>
      <c r="AE4128" s="6">
        <v>0.9166666666666666</v>
      </c>
      <c r="AF4128" s="7">
        <v>0.0</v>
      </c>
    </row>
    <row r="4129">
      <c r="G4129" s="5"/>
      <c r="H4129" s="6"/>
      <c r="AD4129" s="5">
        <v>45098.0</v>
      </c>
      <c r="AE4129" s="6">
        <v>0.9583333333333334</v>
      </c>
      <c r="AF4129" s="7">
        <v>0.0</v>
      </c>
    </row>
    <row r="4130">
      <c r="G4130" s="5"/>
      <c r="H4130" s="6"/>
      <c r="AD4130" s="5">
        <v>45099.0</v>
      </c>
      <c r="AE4130" s="6">
        <v>0.0</v>
      </c>
      <c r="AF4130" s="7">
        <v>0.0</v>
      </c>
    </row>
    <row r="4131">
      <c r="G4131" s="5"/>
      <c r="H4131" s="6"/>
      <c r="AD4131" s="5">
        <v>45099.0</v>
      </c>
      <c r="AE4131" s="6">
        <v>0.041666666666666664</v>
      </c>
      <c r="AF4131" s="7">
        <v>0.0</v>
      </c>
    </row>
    <row r="4132">
      <c r="G4132" s="5"/>
      <c r="H4132" s="6"/>
      <c r="AD4132" s="5">
        <v>45099.0</v>
      </c>
      <c r="AE4132" s="6">
        <v>0.08333333333333333</v>
      </c>
      <c r="AF4132" s="7">
        <v>0.0</v>
      </c>
    </row>
    <row r="4133">
      <c r="G4133" s="5"/>
      <c r="H4133" s="6"/>
      <c r="AD4133" s="5">
        <v>45099.0</v>
      </c>
      <c r="AE4133" s="6">
        <v>0.125</v>
      </c>
      <c r="AF4133" s="7">
        <v>0.0</v>
      </c>
    </row>
    <row r="4134">
      <c r="G4134" s="5"/>
      <c r="H4134" s="6"/>
      <c r="AD4134" s="5">
        <v>45099.0</v>
      </c>
      <c r="AE4134" s="6">
        <v>0.16666666666666666</v>
      </c>
      <c r="AF4134" s="7">
        <v>0.0</v>
      </c>
    </row>
    <row r="4135">
      <c r="G4135" s="5"/>
      <c r="H4135" s="6"/>
      <c r="AD4135" s="5">
        <v>45099.0</v>
      </c>
      <c r="AE4135" s="6">
        <v>0.20833333333333334</v>
      </c>
      <c r="AF4135" s="7">
        <v>947.7</v>
      </c>
    </row>
    <row r="4136">
      <c r="G4136" s="5"/>
      <c r="H4136" s="6"/>
      <c r="AD4136" s="5">
        <v>45099.0</v>
      </c>
      <c r="AE4136" s="6">
        <v>0.25</v>
      </c>
      <c r="AF4136" s="7">
        <v>8526.96</v>
      </c>
    </row>
    <row r="4137">
      <c r="G4137" s="5"/>
      <c r="H4137" s="6"/>
      <c r="AD4137" s="5">
        <v>45099.0</v>
      </c>
      <c r="AE4137" s="6">
        <v>0.2916666666666667</v>
      </c>
      <c r="AF4137" s="7">
        <v>22899.24</v>
      </c>
    </row>
    <row r="4138">
      <c r="G4138" s="5"/>
      <c r="H4138" s="6"/>
      <c r="AD4138" s="5">
        <v>45099.0</v>
      </c>
      <c r="AE4138" s="6">
        <v>0.3333333333333333</v>
      </c>
      <c r="AF4138" s="7">
        <v>37179.48</v>
      </c>
    </row>
    <row r="4139">
      <c r="G4139" s="5"/>
      <c r="H4139" s="6"/>
      <c r="AD4139" s="5">
        <v>45099.0</v>
      </c>
      <c r="AE4139" s="6">
        <v>0.375</v>
      </c>
      <c r="AF4139" s="7">
        <v>48547.98</v>
      </c>
    </row>
    <row r="4140">
      <c r="G4140" s="5"/>
      <c r="H4140" s="6"/>
      <c r="AD4140" s="5">
        <v>45099.0</v>
      </c>
      <c r="AE4140" s="6">
        <v>0.4166666666666667</v>
      </c>
      <c r="AF4140" s="7">
        <v>55034.46</v>
      </c>
    </row>
    <row r="4141">
      <c r="G4141" s="5"/>
      <c r="H4141" s="6"/>
      <c r="AD4141" s="5">
        <v>45099.0</v>
      </c>
      <c r="AE4141" s="6">
        <v>0.4583333333333333</v>
      </c>
      <c r="AF4141" s="7">
        <v>59852.52</v>
      </c>
    </row>
    <row r="4142">
      <c r="G4142" s="5"/>
      <c r="H4142" s="6"/>
      <c r="AD4142" s="5">
        <v>45099.0</v>
      </c>
      <c r="AE4142" s="6">
        <v>0.5</v>
      </c>
      <c r="AF4142" s="7">
        <v>62058.36</v>
      </c>
    </row>
    <row r="4143">
      <c r="G4143" s="5"/>
      <c r="H4143" s="6"/>
      <c r="AD4143" s="5">
        <v>45099.0</v>
      </c>
      <c r="AE4143" s="6">
        <v>0.5416666666666666</v>
      </c>
      <c r="AF4143" s="7">
        <v>60347.04</v>
      </c>
    </row>
    <row r="4144">
      <c r="G4144" s="5"/>
      <c r="H4144" s="6"/>
      <c r="AD4144" s="5">
        <v>45099.0</v>
      </c>
      <c r="AE4144" s="6">
        <v>0.5833333333333334</v>
      </c>
      <c r="AF4144" s="7">
        <v>54563.34</v>
      </c>
    </row>
    <row r="4145">
      <c r="G4145" s="5"/>
      <c r="H4145" s="6"/>
      <c r="AD4145" s="5">
        <v>45099.0</v>
      </c>
      <c r="AE4145" s="6">
        <v>0.625</v>
      </c>
      <c r="AF4145" s="7">
        <v>44584.8</v>
      </c>
    </row>
    <row r="4146">
      <c r="G4146" s="5"/>
      <c r="H4146" s="6"/>
      <c r="AD4146" s="5">
        <v>45099.0</v>
      </c>
      <c r="AE4146" s="6">
        <v>0.6666666666666666</v>
      </c>
      <c r="AF4146" s="7">
        <v>31596.24</v>
      </c>
    </row>
    <row r="4147">
      <c r="G4147" s="5"/>
      <c r="H4147" s="6"/>
      <c r="AD4147" s="5">
        <v>45099.0</v>
      </c>
      <c r="AE4147" s="6">
        <v>0.7083333333333334</v>
      </c>
      <c r="AF4147" s="7">
        <v>17170.92</v>
      </c>
    </row>
    <row r="4148">
      <c r="G4148" s="5"/>
      <c r="H4148" s="6"/>
      <c r="AD4148" s="5">
        <v>45099.0</v>
      </c>
      <c r="AE4148" s="6">
        <v>0.75</v>
      </c>
      <c r="AF4148" s="7">
        <v>6243.9</v>
      </c>
    </row>
    <row r="4149">
      <c r="G4149" s="5"/>
      <c r="H4149" s="6"/>
      <c r="AD4149" s="5">
        <v>45099.0</v>
      </c>
      <c r="AE4149" s="6">
        <v>0.7916666666666666</v>
      </c>
      <c r="AF4149" s="7">
        <v>622.44</v>
      </c>
    </row>
    <row r="4150">
      <c r="G4150" s="5"/>
      <c r="H4150" s="6"/>
      <c r="AD4150" s="5">
        <v>45099.0</v>
      </c>
      <c r="AE4150" s="6">
        <v>0.8333333333333334</v>
      </c>
      <c r="AF4150" s="7">
        <v>0.0</v>
      </c>
    </row>
    <row r="4151">
      <c r="G4151" s="5"/>
      <c r="H4151" s="6"/>
      <c r="AD4151" s="5">
        <v>45099.0</v>
      </c>
      <c r="AE4151" s="6">
        <v>0.875</v>
      </c>
      <c r="AF4151" s="7">
        <v>0.0</v>
      </c>
    </row>
    <row r="4152">
      <c r="G4152" s="5"/>
      <c r="H4152" s="6"/>
      <c r="AD4152" s="5">
        <v>45099.0</v>
      </c>
      <c r="AE4152" s="6">
        <v>0.9166666666666666</v>
      </c>
      <c r="AF4152" s="7">
        <v>0.0</v>
      </c>
    </row>
    <row r="4153">
      <c r="G4153" s="5"/>
      <c r="H4153" s="6"/>
      <c r="AD4153" s="5">
        <v>45099.0</v>
      </c>
      <c r="AE4153" s="6">
        <v>0.9583333333333334</v>
      </c>
      <c r="AF4153" s="7">
        <v>0.0</v>
      </c>
    </row>
    <row r="4154">
      <c r="G4154" s="5"/>
      <c r="H4154" s="6"/>
      <c r="AD4154" s="5">
        <v>45100.0</v>
      </c>
      <c r="AE4154" s="6">
        <v>0.0</v>
      </c>
      <c r="AF4154" s="7">
        <v>0.0</v>
      </c>
    </row>
    <row r="4155">
      <c r="G4155" s="5"/>
      <c r="H4155" s="6"/>
      <c r="AD4155" s="5">
        <v>45100.0</v>
      </c>
      <c r="AE4155" s="6">
        <v>0.041666666666666664</v>
      </c>
      <c r="AF4155" s="7">
        <v>0.0</v>
      </c>
    </row>
    <row r="4156">
      <c r="G4156" s="5"/>
      <c r="H4156" s="6"/>
      <c r="AD4156" s="5">
        <v>45100.0</v>
      </c>
      <c r="AE4156" s="6">
        <v>0.08333333333333333</v>
      </c>
      <c r="AF4156" s="7">
        <v>0.0</v>
      </c>
    </row>
    <row r="4157">
      <c r="G4157" s="5"/>
      <c r="H4157" s="6"/>
      <c r="AD4157" s="5">
        <v>45100.0</v>
      </c>
      <c r="AE4157" s="6">
        <v>0.125</v>
      </c>
      <c r="AF4157" s="7">
        <v>0.0</v>
      </c>
    </row>
    <row r="4158">
      <c r="G4158" s="5"/>
      <c r="H4158" s="6"/>
      <c r="AD4158" s="5">
        <v>45100.0</v>
      </c>
      <c r="AE4158" s="6">
        <v>0.16666666666666666</v>
      </c>
      <c r="AF4158" s="7">
        <v>0.0</v>
      </c>
    </row>
    <row r="4159">
      <c r="G4159" s="5"/>
      <c r="H4159" s="6"/>
      <c r="AD4159" s="5">
        <v>45100.0</v>
      </c>
      <c r="AE4159" s="6">
        <v>0.20833333333333334</v>
      </c>
      <c r="AF4159" s="7">
        <v>1383.72</v>
      </c>
    </row>
    <row r="4160">
      <c r="G4160" s="5"/>
      <c r="H4160" s="6"/>
      <c r="AD4160" s="5">
        <v>45100.0</v>
      </c>
      <c r="AE4160" s="6">
        <v>0.25</v>
      </c>
      <c r="AF4160" s="7">
        <v>8530.08</v>
      </c>
    </row>
    <row r="4161">
      <c r="G4161" s="5"/>
      <c r="H4161" s="6"/>
      <c r="AD4161" s="5">
        <v>45100.0</v>
      </c>
      <c r="AE4161" s="6">
        <v>0.2916666666666667</v>
      </c>
      <c r="AF4161" s="7">
        <v>22310.34</v>
      </c>
    </row>
    <row r="4162">
      <c r="G4162" s="5"/>
      <c r="H4162" s="6"/>
      <c r="AD4162" s="5">
        <v>45100.0</v>
      </c>
      <c r="AE4162" s="6">
        <v>0.3333333333333333</v>
      </c>
      <c r="AF4162" s="7">
        <v>36507.9</v>
      </c>
    </row>
    <row r="4163">
      <c r="G4163" s="5"/>
      <c r="H4163" s="6"/>
      <c r="AD4163" s="5">
        <v>45100.0</v>
      </c>
      <c r="AE4163" s="6">
        <v>0.375</v>
      </c>
      <c r="AF4163" s="7">
        <v>47445.84</v>
      </c>
    </row>
    <row r="4164">
      <c r="G4164" s="5"/>
      <c r="H4164" s="6"/>
      <c r="AD4164" s="5">
        <v>45100.0</v>
      </c>
      <c r="AE4164" s="6">
        <v>0.4166666666666667</v>
      </c>
      <c r="AF4164" s="7">
        <v>55064.88</v>
      </c>
    </row>
    <row r="4165">
      <c r="G4165" s="5"/>
      <c r="H4165" s="6"/>
      <c r="AD4165" s="5">
        <v>45100.0</v>
      </c>
      <c r="AE4165" s="6">
        <v>0.4583333333333333</v>
      </c>
      <c r="AF4165" s="7">
        <v>59478.9</v>
      </c>
    </row>
    <row r="4166">
      <c r="G4166" s="5"/>
      <c r="H4166" s="6"/>
      <c r="AD4166" s="5">
        <v>45100.0</v>
      </c>
      <c r="AE4166" s="6">
        <v>0.5</v>
      </c>
      <c r="AF4166" s="7">
        <v>60255.78</v>
      </c>
    </row>
    <row r="4167">
      <c r="G4167" s="5"/>
      <c r="H4167" s="6"/>
      <c r="AD4167" s="5">
        <v>45100.0</v>
      </c>
      <c r="AE4167" s="6">
        <v>0.5416666666666666</v>
      </c>
      <c r="AF4167" s="7">
        <v>58457.88</v>
      </c>
    </row>
    <row r="4168">
      <c r="G4168" s="5"/>
      <c r="H4168" s="6"/>
      <c r="AD4168" s="5">
        <v>45100.0</v>
      </c>
      <c r="AE4168" s="6">
        <v>0.5833333333333334</v>
      </c>
      <c r="AF4168" s="7">
        <v>53121.9</v>
      </c>
    </row>
    <row r="4169">
      <c r="G4169" s="5"/>
      <c r="H4169" s="6"/>
      <c r="AD4169" s="5">
        <v>45100.0</v>
      </c>
      <c r="AE4169" s="6">
        <v>0.625</v>
      </c>
      <c r="AF4169" s="7">
        <v>43816.5</v>
      </c>
    </row>
    <row r="4170">
      <c r="G4170" s="5"/>
      <c r="H4170" s="6"/>
      <c r="AD4170" s="5">
        <v>45100.0</v>
      </c>
      <c r="AE4170" s="6">
        <v>0.6666666666666666</v>
      </c>
      <c r="AF4170" s="7">
        <v>31486.26</v>
      </c>
    </row>
    <row r="4171">
      <c r="G4171" s="5"/>
      <c r="H4171" s="6"/>
      <c r="AD4171" s="5">
        <v>45100.0</v>
      </c>
      <c r="AE4171" s="6">
        <v>0.7083333333333334</v>
      </c>
      <c r="AF4171" s="7">
        <v>17074.2</v>
      </c>
    </row>
    <row r="4172">
      <c r="G4172" s="5"/>
      <c r="H4172" s="6"/>
      <c r="AD4172" s="5">
        <v>45100.0</v>
      </c>
      <c r="AE4172" s="6">
        <v>0.75</v>
      </c>
      <c r="AF4172" s="7">
        <v>6286.02</v>
      </c>
    </row>
    <row r="4173">
      <c r="G4173" s="5"/>
      <c r="H4173" s="6"/>
      <c r="AD4173" s="5">
        <v>45100.0</v>
      </c>
      <c r="AE4173" s="6">
        <v>0.7916666666666666</v>
      </c>
      <c r="AF4173" s="7">
        <v>655.98</v>
      </c>
    </row>
    <row r="4174">
      <c r="G4174" s="5"/>
      <c r="H4174" s="6"/>
      <c r="AD4174" s="5">
        <v>45100.0</v>
      </c>
      <c r="AE4174" s="6">
        <v>0.8333333333333334</v>
      </c>
      <c r="AF4174" s="7">
        <v>0.0</v>
      </c>
    </row>
    <row r="4175">
      <c r="G4175" s="5"/>
      <c r="H4175" s="6"/>
      <c r="AD4175" s="5">
        <v>45100.0</v>
      </c>
      <c r="AE4175" s="6">
        <v>0.875</v>
      </c>
      <c r="AF4175" s="7">
        <v>0.0</v>
      </c>
    </row>
    <row r="4176">
      <c r="G4176" s="5"/>
      <c r="H4176" s="6"/>
      <c r="AD4176" s="5">
        <v>45100.0</v>
      </c>
      <c r="AE4176" s="6">
        <v>0.9166666666666666</v>
      </c>
      <c r="AF4176" s="7">
        <v>0.0</v>
      </c>
    </row>
    <row r="4177">
      <c r="G4177" s="5"/>
      <c r="H4177" s="6"/>
      <c r="AD4177" s="5">
        <v>45100.0</v>
      </c>
      <c r="AE4177" s="6">
        <v>0.9583333333333334</v>
      </c>
      <c r="AF4177" s="7">
        <v>0.0</v>
      </c>
    </row>
    <row r="4178">
      <c r="G4178" s="5"/>
      <c r="H4178" s="6"/>
      <c r="AD4178" s="5">
        <v>45101.0</v>
      </c>
      <c r="AE4178" s="6">
        <v>0.0</v>
      </c>
      <c r="AF4178" s="7">
        <v>0.0</v>
      </c>
    </row>
    <row r="4179">
      <c r="G4179" s="5"/>
      <c r="H4179" s="6"/>
      <c r="AD4179" s="5">
        <v>45101.0</v>
      </c>
      <c r="AE4179" s="6">
        <v>0.041666666666666664</v>
      </c>
      <c r="AF4179" s="7">
        <v>0.0</v>
      </c>
    </row>
    <row r="4180">
      <c r="G4180" s="5"/>
      <c r="H4180" s="6"/>
      <c r="AD4180" s="5">
        <v>45101.0</v>
      </c>
      <c r="AE4180" s="6">
        <v>0.08333333333333333</v>
      </c>
      <c r="AF4180" s="7">
        <v>0.0</v>
      </c>
    </row>
    <row r="4181">
      <c r="G4181" s="5"/>
      <c r="H4181" s="6"/>
      <c r="AD4181" s="5">
        <v>45101.0</v>
      </c>
      <c r="AE4181" s="6">
        <v>0.125</v>
      </c>
      <c r="AF4181" s="7">
        <v>0.0</v>
      </c>
    </row>
    <row r="4182">
      <c r="G4182" s="5"/>
      <c r="H4182" s="6"/>
      <c r="AD4182" s="5">
        <v>45101.0</v>
      </c>
      <c r="AE4182" s="6">
        <v>0.16666666666666666</v>
      </c>
      <c r="AF4182" s="7">
        <v>0.0</v>
      </c>
    </row>
    <row r="4183">
      <c r="G4183" s="5"/>
      <c r="H4183" s="6"/>
      <c r="AD4183" s="5">
        <v>45101.0</v>
      </c>
      <c r="AE4183" s="6">
        <v>0.20833333333333334</v>
      </c>
      <c r="AF4183" s="7">
        <v>1325.22</v>
      </c>
    </row>
    <row r="4184">
      <c r="G4184" s="5"/>
      <c r="H4184" s="6"/>
      <c r="AD4184" s="5">
        <v>45101.0</v>
      </c>
      <c r="AE4184" s="6">
        <v>0.25</v>
      </c>
      <c r="AF4184" s="7">
        <v>8452.86</v>
      </c>
    </row>
    <row r="4185">
      <c r="G4185" s="5"/>
      <c r="H4185" s="6"/>
      <c r="AD4185" s="5">
        <v>45101.0</v>
      </c>
      <c r="AE4185" s="6">
        <v>0.2916666666666667</v>
      </c>
      <c r="AF4185" s="7">
        <v>22147.32</v>
      </c>
    </row>
    <row r="4186">
      <c r="G4186" s="5"/>
      <c r="H4186" s="6"/>
      <c r="AD4186" s="5">
        <v>45101.0</v>
      </c>
      <c r="AE4186" s="6">
        <v>0.3333333333333333</v>
      </c>
      <c r="AF4186" s="7">
        <v>35897.16</v>
      </c>
    </row>
    <row r="4187">
      <c r="G4187" s="5"/>
      <c r="H4187" s="6"/>
      <c r="AD4187" s="5">
        <v>45101.0</v>
      </c>
      <c r="AE4187" s="6">
        <v>0.375</v>
      </c>
      <c r="AF4187" s="7">
        <v>46358.52</v>
      </c>
    </row>
    <row r="4188">
      <c r="G4188" s="5"/>
      <c r="H4188" s="6"/>
      <c r="AD4188" s="5">
        <v>45101.0</v>
      </c>
      <c r="AE4188" s="6">
        <v>0.4166666666666667</v>
      </c>
      <c r="AF4188" s="7">
        <v>53684.28</v>
      </c>
    </row>
    <row r="4189">
      <c r="G4189" s="5"/>
      <c r="H4189" s="6"/>
      <c r="AD4189" s="5">
        <v>45101.0</v>
      </c>
      <c r="AE4189" s="6">
        <v>0.4583333333333333</v>
      </c>
      <c r="AF4189" s="7">
        <v>57688.8</v>
      </c>
    </row>
    <row r="4190">
      <c r="G4190" s="5"/>
      <c r="H4190" s="6"/>
      <c r="AD4190" s="5">
        <v>45101.0</v>
      </c>
      <c r="AE4190" s="6">
        <v>0.5</v>
      </c>
      <c r="AF4190" s="7">
        <v>58290.96</v>
      </c>
    </row>
    <row r="4191">
      <c r="G4191" s="5"/>
      <c r="H4191" s="6"/>
      <c r="AD4191" s="5">
        <v>45101.0</v>
      </c>
      <c r="AE4191" s="6">
        <v>0.5416666666666666</v>
      </c>
      <c r="AF4191" s="7">
        <v>56325.36</v>
      </c>
    </row>
    <row r="4192">
      <c r="G4192" s="5"/>
      <c r="H4192" s="6"/>
      <c r="AD4192" s="5">
        <v>45101.0</v>
      </c>
      <c r="AE4192" s="6">
        <v>0.5833333333333334</v>
      </c>
      <c r="AF4192" s="7">
        <v>51260.04</v>
      </c>
    </row>
    <row r="4193">
      <c r="G4193" s="5"/>
      <c r="H4193" s="6"/>
      <c r="AD4193" s="5">
        <v>45101.0</v>
      </c>
      <c r="AE4193" s="6">
        <v>0.625</v>
      </c>
      <c r="AF4193" s="7">
        <v>42577.86</v>
      </c>
    </row>
    <row r="4194">
      <c r="G4194" s="5"/>
      <c r="H4194" s="6"/>
      <c r="AD4194" s="5">
        <v>45101.0</v>
      </c>
      <c r="AE4194" s="6">
        <v>0.6666666666666666</v>
      </c>
      <c r="AF4194" s="7">
        <v>30888.78</v>
      </c>
    </row>
    <row r="4195">
      <c r="G4195" s="5"/>
      <c r="H4195" s="6"/>
      <c r="AD4195" s="5">
        <v>45101.0</v>
      </c>
      <c r="AE4195" s="6">
        <v>0.7083333333333334</v>
      </c>
      <c r="AF4195" s="7">
        <v>16881.54</v>
      </c>
    </row>
    <row r="4196">
      <c r="G4196" s="5"/>
      <c r="H4196" s="6"/>
      <c r="AD4196" s="5">
        <v>45101.0</v>
      </c>
      <c r="AE4196" s="6">
        <v>0.75</v>
      </c>
      <c r="AF4196" s="7">
        <v>6091.02</v>
      </c>
    </row>
    <row r="4197">
      <c r="G4197" s="5"/>
      <c r="H4197" s="6"/>
      <c r="AD4197" s="5">
        <v>45101.0</v>
      </c>
      <c r="AE4197" s="6">
        <v>0.7916666666666666</v>
      </c>
      <c r="AF4197" s="7">
        <v>638.04</v>
      </c>
    </row>
    <row r="4198">
      <c r="G4198" s="5"/>
      <c r="H4198" s="6"/>
      <c r="AD4198" s="5">
        <v>45101.0</v>
      </c>
      <c r="AE4198" s="6">
        <v>0.8333333333333334</v>
      </c>
      <c r="AF4198" s="7">
        <v>0.0</v>
      </c>
    </row>
    <row r="4199">
      <c r="G4199" s="5"/>
      <c r="H4199" s="6"/>
      <c r="AD4199" s="5">
        <v>45101.0</v>
      </c>
      <c r="AE4199" s="6">
        <v>0.875</v>
      </c>
      <c r="AF4199" s="7">
        <v>0.0</v>
      </c>
    </row>
    <row r="4200">
      <c r="G4200" s="5"/>
      <c r="H4200" s="6"/>
      <c r="AD4200" s="5">
        <v>45101.0</v>
      </c>
      <c r="AE4200" s="6">
        <v>0.9166666666666666</v>
      </c>
      <c r="AF4200" s="7">
        <v>0.0</v>
      </c>
    </row>
    <row r="4201">
      <c r="G4201" s="5"/>
      <c r="H4201" s="6"/>
      <c r="AD4201" s="5">
        <v>45101.0</v>
      </c>
      <c r="AE4201" s="6">
        <v>0.9583333333333334</v>
      </c>
      <c r="AF4201" s="7">
        <v>0.0</v>
      </c>
    </row>
    <row r="4202">
      <c r="G4202" s="5"/>
      <c r="H4202" s="6"/>
      <c r="AD4202" s="5">
        <v>45102.0</v>
      </c>
      <c r="AE4202" s="6">
        <v>0.0</v>
      </c>
      <c r="AF4202" s="7">
        <v>0.0</v>
      </c>
    </row>
    <row r="4203">
      <c r="G4203" s="5"/>
      <c r="H4203" s="6"/>
      <c r="AD4203" s="5">
        <v>45102.0</v>
      </c>
      <c r="AE4203" s="6">
        <v>0.041666666666666664</v>
      </c>
      <c r="AF4203" s="7">
        <v>0.0</v>
      </c>
    </row>
    <row r="4204">
      <c r="G4204" s="5"/>
      <c r="H4204" s="6"/>
      <c r="AD4204" s="5">
        <v>45102.0</v>
      </c>
      <c r="AE4204" s="6">
        <v>0.08333333333333333</v>
      </c>
      <c r="AF4204" s="7">
        <v>0.0</v>
      </c>
    </row>
    <row r="4205">
      <c r="G4205" s="5"/>
      <c r="H4205" s="6"/>
      <c r="AD4205" s="5">
        <v>45102.0</v>
      </c>
      <c r="AE4205" s="6">
        <v>0.125</v>
      </c>
      <c r="AF4205" s="7">
        <v>0.0</v>
      </c>
    </row>
    <row r="4206">
      <c r="G4206" s="5"/>
      <c r="H4206" s="6"/>
      <c r="AD4206" s="5">
        <v>45102.0</v>
      </c>
      <c r="AE4206" s="6">
        <v>0.16666666666666666</v>
      </c>
      <c r="AF4206" s="7">
        <v>0.0</v>
      </c>
    </row>
    <row r="4207">
      <c r="G4207" s="5"/>
      <c r="H4207" s="6"/>
      <c r="AD4207" s="5">
        <v>45102.0</v>
      </c>
      <c r="AE4207" s="6">
        <v>0.20833333333333334</v>
      </c>
      <c r="AF4207" s="7">
        <v>1292.46</v>
      </c>
    </row>
    <row r="4208">
      <c r="G4208" s="5"/>
      <c r="H4208" s="6"/>
      <c r="AD4208" s="5">
        <v>45102.0</v>
      </c>
      <c r="AE4208" s="6">
        <v>0.25</v>
      </c>
      <c r="AF4208" s="7">
        <v>8117.46</v>
      </c>
    </row>
    <row r="4209">
      <c r="G4209" s="5"/>
      <c r="H4209" s="6"/>
      <c r="AD4209" s="5">
        <v>45102.0</v>
      </c>
      <c r="AE4209" s="6">
        <v>0.2916666666666667</v>
      </c>
      <c r="AF4209" s="7">
        <v>21162.96</v>
      </c>
    </row>
    <row r="4210">
      <c r="G4210" s="5"/>
      <c r="H4210" s="6"/>
      <c r="AD4210" s="5">
        <v>45102.0</v>
      </c>
      <c r="AE4210" s="6">
        <v>0.3333333333333333</v>
      </c>
      <c r="AF4210" s="7">
        <v>33916.74</v>
      </c>
    </row>
    <row r="4211">
      <c r="G4211" s="5"/>
      <c r="H4211" s="6"/>
      <c r="AD4211" s="5">
        <v>45102.0</v>
      </c>
      <c r="AE4211" s="6">
        <v>0.375</v>
      </c>
      <c r="AF4211" s="7">
        <v>43775.16</v>
      </c>
    </row>
    <row r="4212">
      <c r="G4212" s="5"/>
      <c r="H4212" s="6"/>
      <c r="AD4212" s="5">
        <v>45102.0</v>
      </c>
      <c r="AE4212" s="6">
        <v>0.4166666666666667</v>
      </c>
      <c r="AF4212" s="7">
        <v>51098.58</v>
      </c>
    </row>
    <row r="4213">
      <c r="G4213" s="5"/>
      <c r="H4213" s="6"/>
      <c r="AD4213" s="5">
        <v>45102.0</v>
      </c>
      <c r="AE4213" s="6">
        <v>0.4583333333333333</v>
      </c>
      <c r="AF4213" s="7">
        <v>55815.24</v>
      </c>
    </row>
    <row r="4214">
      <c r="G4214" s="5"/>
      <c r="H4214" s="6"/>
      <c r="AD4214" s="5">
        <v>45102.0</v>
      </c>
      <c r="AE4214" s="6">
        <v>0.5</v>
      </c>
      <c r="AF4214" s="7">
        <v>56595.24</v>
      </c>
    </row>
    <row r="4215">
      <c r="G4215" s="5"/>
      <c r="H4215" s="6"/>
      <c r="AD4215" s="5">
        <v>45102.0</v>
      </c>
      <c r="AE4215" s="6">
        <v>0.5416666666666666</v>
      </c>
      <c r="AF4215" s="7">
        <v>54712.32</v>
      </c>
    </row>
    <row r="4216">
      <c r="G4216" s="5"/>
      <c r="H4216" s="6"/>
      <c r="AD4216" s="5">
        <v>45102.0</v>
      </c>
      <c r="AE4216" s="6">
        <v>0.5833333333333334</v>
      </c>
      <c r="AF4216" s="7">
        <v>50064.3</v>
      </c>
    </row>
    <row r="4217">
      <c r="G4217" s="5"/>
      <c r="H4217" s="6"/>
      <c r="AD4217" s="5">
        <v>45102.0</v>
      </c>
      <c r="AE4217" s="6">
        <v>0.625</v>
      </c>
      <c r="AF4217" s="7">
        <v>41604.42</v>
      </c>
    </row>
    <row r="4218">
      <c r="G4218" s="5"/>
      <c r="H4218" s="6"/>
      <c r="AD4218" s="5">
        <v>45102.0</v>
      </c>
      <c r="AE4218" s="6">
        <v>0.6666666666666666</v>
      </c>
      <c r="AF4218" s="7">
        <v>30165.72</v>
      </c>
    </row>
    <row r="4219">
      <c r="G4219" s="5"/>
      <c r="H4219" s="6"/>
      <c r="AD4219" s="5">
        <v>45102.0</v>
      </c>
      <c r="AE4219" s="6">
        <v>0.7083333333333334</v>
      </c>
      <c r="AF4219" s="7">
        <v>13487.76</v>
      </c>
    </row>
    <row r="4220">
      <c r="G4220" s="5"/>
      <c r="H4220" s="6"/>
      <c r="AD4220" s="5">
        <v>45102.0</v>
      </c>
      <c r="AE4220" s="6">
        <v>0.75</v>
      </c>
      <c r="AF4220" s="7">
        <v>5814.12</v>
      </c>
    </row>
    <row r="4221">
      <c r="G4221" s="5"/>
      <c r="H4221" s="6"/>
      <c r="AD4221" s="5">
        <v>45102.0</v>
      </c>
      <c r="AE4221" s="6">
        <v>0.7916666666666666</v>
      </c>
      <c r="AF4221" s="7">
        <v>676.26</v>
      </c>
    </row>
    <row r="4222">
      <c r="G4222" s="5"/>
      <c r="H4222" s="6"/>
      <c r="AD4222" s="5">
        <v>45102.0</v>
      </c>
      <c r="AE4222" s="6">
        <v>0.8333333333333334</v>
      </c>
      <c r="AF4222" s="7">
        <v>0.0</v>
      </c>
    </row>
    <row r="4223">
      <c r="G4223" s="5"/>
      <c r="H4223" s="6"/>
      <c r="AD4223" s="5">
        <v>45102.0</v>
      </c>
      <c r="AE4223" s="6">
        <v>0.875</v>
      </c>
      <c r="AF4223" s="7">
        <v>0.0</v>
      </c>
    </row>
    <row r="4224">
      <c r="G4224" s="5"/>
      <c r="H4224" s="6"/>
      <c r="AD4224" s="5">
        <v>45102.0</v>
      </c>
      <c r="AE4224" s="6">
        <v>0.9166666666666666</v>
      </c>
      <c r="AF4224" s="7">
        <v>0.0</v>
      </c>
    </row>
    <row r="4225">
      <c r="G4225" s="5"/>
      <c r="H4225" s="6"/>
      <c r="AD4225" s="5">
        <v>45102.0</v>
      </c>
      <c r="AE4225" s="6">
        <v>0.9583333333333334</v>
      </c>
      <c r="AF4225" s="7">
        <v>0.0</v>
      </c>
    </row>
    <row r="4226">
      <c r="G4226" s="5"/>
      <c r="H4226" s="6"/>
      <c r="AD4226" s="5">
        <v>45103.0</v>
      </c>
      <c r="AE4226" s="6">
        <v>0.0</v>
      </c>
      <c r="AF4226" s="7">
        <v>0.0</v>
      </c>
    </row>
    <row r="4227">
      <c r="G4227" s="5"/>
      <c r="H4227" s="6"/>
      <c r="AD4227" s="5">
        <v>45103.0</v>
      </c>
      <c r="AE4227" s="6">
        <v>0.041666666666666664</v>
      </c>
      <c r="AF4227" s="7">
        <v>0.0</v>
      </c>
    </row>
    <row r="4228">
      <c r="G4228" s="5"/>
      <c r="H4228" s="6"/>
      <c r="AD4228" s="5">
        <v>45103.0</v>
      </c>
      <c r="AE4228" s="6">
        <v>0.08333333333333333</v>
      </c>
      <c r="AF4228" s="7">
        <v>0.0</v>
      </c>
    </row>
    <row r="4229">
      <c r="G4229" s="5"/>
      <c r="H4229" s="6"/>
      <c r="AD4229" s="5">
        <v>45103.0</v>
      </c>
      <c r="AE4229" s="6">
        <v>0.125</v>
      </c>
      <c r="AF4229" s="7">
        <v>0.0</v>
      </c>
    </row>
    <row r="4230">
      <c r="G4230" s="5"/>
      <c r="H4230" s="6"/>
      <c r="AD4230" s="5">
        <v>45103.0</v>
      </c>
      <c r="AE4230" s="6">
        <v>0.16666666666666666</v>
      </c>
      <c r="AF4230" s="7">
        <v>0.0</v>
      </c>
    </row>
    <row r="4231">
      <c r="G4231" s="5"/>
      <c r="H4231" s="6"/>
      <c r="AD4231" s="5">
        <v>45103.0</v>
      </c>
      <c r="AE4231" s="6">
        <v>0.20833333333333334</v>
      </c>
      <c r="AF4231" s="7">
        <v>791.7</v>
      </c>
    </row>
    <row r="4232">
      <c r="G4232" s="5"/>
      <c r="H4232" s="6"/>
      <c r="AD4232" s="5">
        <v>45103.0</v>
      </c>
      <c r="AE4232" s="6">
        <v>0.25</v>
      </c>
      <c r="AF4232" s="7">
        <v>8104.2</v>
      </c>
    </row>
    <row r="4233">
      <c r="G4233" s="5"/>
      <c r="H4233" s="6"/>
      <c r="AD4233" s="5">
        <v>45103.0</v>
      </c>
      <c r="AE4233" s="6">
        <v>0.2916666666666667</v>
      </c>
      <c r="AF4233" s="7">
        <v>21570.12</v>
      </c>
    </row>
    <row r="4234">
      <c r="G4234" s="5"/>
      <c r="H4234" s="6"/>
      <c r="AD4234" s="5">
        <v>45103.0</v>
      </c>
      <c r="AE4234" s="6">
        <v>0.3333333333333333</v>
      </c>
      <c r="AF4234" s="7">
        <v>35204.52</v>
      </c>
    </row>
    <row r="4235">
      <c r="G4235" s="5"/>
      <c r="H4235" s="6"/>
      <c r="AD4235" s="5">
        <v>45103.0</v>
      </c>
      <c r="AE4235" s="6">
        <v>0.375</v>
      </c>
      <c r="AF4235" s="7">
        <v>45714.24</v>
      </c>
    </row>
    <row r="4236">
      <c r="G4236" s="5"/>
      <c r="H4236" s="6"/>
      <c r="AD4236" s="5">
        <v>45103.0</v>
      </c>
      <c r="AE4236" s="6">
        <v>0.4166666666666667</v>
      </c>
      <c r="AF4236" s="7">
        <v>53857.44</v>
      </c>
    </row>
    <row r="4237">
      <c r="G4237" s="5"/>
      <c r="H4237" s="6"/>
      <c r="AD4237" s="5">
        <v>45103.0</v>
      </c>
      <c r="AE4237" s="6">
        <v>0.4583333333333333</v>
      </c>
      <c r="AF4237" s="7">
        <v>57703.62</v>
      </c>
    </row>
    <row r="4238">
      <c r="G4238" s="5"/>
      <c r="H4238" s="6"/>
      <c r="AD4238" s="5">
        <v>45103.0</v>
      </c>
      <c r="AE4238" s="6">
        <v>0.5</v>
      </c>
      <c r="AF4238" s="7">
        <v>58445.4</v>
      </c>
    </row>
    <row r="4239">
      <c r="G4239" s="5"/>
      <c r="H4239" s="6"/>
      <c r="AD4239" s="5">
        <v>45103.0</v>
      </c>
      <c r="AE4239" s="6">
        <v>0.5416666666666666</v>
      </c>
      <c r="AF4239" s="7">
        <v>55867.5</v>
      </c>
    </row>
    <row r="4240">
      <c r="G4240" s="5"/>
      <c r="H4240" s="6"/>
      <c r="AD4240" s="5">
        <v>45103.0</v>
      </c>
      <c r="AE4240" s="6">
        <v>0.5833333333333334</v>
      </c>
      <c r="AF4240" s="7">
        <v>48764.04</v>
      </c>
    </row>
    <row r="4241">
      <c r="G4241" s="5"/>
      <c r="H4241" s="6"/>
      <c r="AD4241" s="5">
        <v>45103.0</v>
      </c>
      <c r="AE4241" s="6">
        <v>0.625</v>
      </c>
      <c r="AF4241" s="7">
        <v>42350.1</v>
      </c>
    </row>
    <row r="4242">
      <c r="G4242" s="5"/>
      <c r="H4242" s="6"/>
      <c r="AD4242" s="5">
        <v>45103.0</v>
      </c>
      <c r="AE4242" s="6">
        <v>0.6666666666666666</v>
      </c>
      <c r="AF4242" s="7">
        <v>29729.7</v>
      </c>
    </row>
    <row r="4243">
      <c r="G4243" s="5"/>
      <c r="H4243" s="6"/>
      <c r="AD4243" s="5">
        <v>45103.0</v>
      </c>
      <c r="AE4243" s="6">
        <v>0.7083333333333334</v>
      </c>
      <c r="AF4243" s="7">
        <v>16539.12</v>
      </c>
    </row>
    <row r="4244">
      <c r="G4244" s="5"/>
      <c r="H4244" s="6"/>
      <c r="AD4244" s="5">
        <v>45103.0</v>
      </c>
      <c r="AE4244" s="6">
        <v>0.75</v>
      </c>
      <c r="AF4244" s="7">
        <v>6159.66</v>
      </c>
    </row>
    <row r="4245">
      <c r="G4245" s="5"/>
      <c r="H4245" s="6"/>
      <c r="AD4245" s="5">
        <v>45103.0</v>
      </c>
      <c r="AE4245" s="6">
        <v>0.7916666666666666</v>
      </c>
      <c r="AF4245" s="7">
        <v>701.22</v>
      </c>
    </row>
    <row r="4246">
      <c r="G4246" s="5"/>
      <c r="H4246" s="6"/>
      <c r="AD4246" s="5">
        <v>45103.0</v>
      </c>
      <c r="AE4246" s="6">
        <v>0.8333333333333334</v>
      </c>
      <c r="AF4246" s="7">
        <v>0.0</v>
      </c>
    </row>
    <row r="4247">
      <c r="G4247" s="5"/>
      <c r="H4247" s="6"/>
      <c r="AD4247" s="5">
        <v>45103.0</v>
      </c>
      <c r="AE4247" s="6">
        <v>0.875</v>
      </c>
      <c r="AF4247" s="7">
        <v>0.0</v>
      </c>
    </row>
    <row r="4248">
      <c r="G4248" s="5"/>
      <c r="H4248" s="6"/>
      <c r="AD4248" s="5">
        <v>45103.0</v>
      </c>
      <c r="AE4248" s="6">
        <v>0.9166666666666666</v>
      </c>
      <c r="AF4248" s="7">
        <v>0.0</v>
      </c>
    </row>
    <row r="4249">
      <c r="G4249" s="5"/>
      <c r="H4249" s="6"/>
      <c r="AD4249" s="5">
        <v>45103.0</v>
      </c>
      <c r="AE4249" s="6">
        <v>0.9583333333333334</v>
      </c>
      <c r="AF4249" s="7">
        <v>0.0</v>
      </c>
    </row>
    <row r="4250">
      <c r="G4250" s="5"/>
      <c r="H4250" s="6"/>
      <c r="AD4250" s="5">
        <v>45104.0</v>
      </c>
      <c r="AE4250" s="6">
        <v>0.0</v>
      </c>
      <c r="AF4250" s="7">
        <v>0.0</v>
      </c>
    </row>
    <row r="4251">
      <c r="G4251" s="5"/>
      <c r="H4251" s="6"/>
      <c r="AD4251" s="5">
        <v>45104.0</v>
      </c>
      <c r="AE4251" s="6">
        <v>0.041666666666666664</v>
      </c>
      <c r="AF4251" s="7">
        <v>0.0</v>
      </c>
    </row>
    <row r="4252">
      <c r="G4252" s="5"/>
      <c r="H4252" s="6"/>
      <c r="AD4252" s="5">
        <v>45104.0</v>
      </c>
      <c r="AE4252" s="6">
        <v>0.08333333333333333</v>
      </c>
      <c r="AF4252" s="7">
        <v>0.0</v>
      </c>
    </row>
    <row r="4253">
      <c r="G4253" s="5"/>
      <c r="H4253" s="6"/>
      <c r="AD4253" s="5">
        <v>45104.0</v>
      </c>
      <c r="AE4253" s="6">
        <v>0.125</v>
      </c>
      <c r="AF4253" s="7">
        <v>0.0</v>
      </c>
    </row>
    <row r="4254">
      <c r="G4254" s="5"/>
      <c r="H4254" s="6"/>
      <c r="AD4254" s="5">
        <v>45104.0</v>
      </c>
      <c r="AE4254" s="6">
        <v>0.16666666666666666</v>
      </c>
      <c r="AF4254" s="7">
        <v>0.0</v>
      </c>
    </row>
    <row r="4255">
      <c r="G4255" s="5"/>
      <c r="H4255" s="6"/>
      <c r="AD4255" s="5">
        <v>45104.0</v>
      </c>
      <c r="AE4255" s="6">
        <v>0.20833333333333334</v>
      </c>
      <c r="AF4255" s="7">
        <v>1213.68</v>
      </c>
    </row>
    <row r="4256">
      <c r="G4256" s="5"/>
      <c r="H4256" s="6"/>
      <c r="AD4256" s="5">
        <v>45104.0</v>
      </c>
      <c r="AE4256" s="6">
        <v>0.25</v>
      </c>
      <c r="AF4256" s="7">
        <v>8013.72</v>
      </c>
    </row>
    <row r="4257">
      <c r="G4257" s="5"/>
      <c r="H4257" s="6"/>
      <c r="AD4257" s="5">
        <v>45104.0</v>
      </c>
      <c r="AE4257" s="6">
        <v>0.2916666666666667</v>
      </c>
      <c r="AF4257" s="7">
        <v>20723.82</v>
      </c>
    </row>
    <row r="4258">
      <c r="G4258" s="5"/>
      <c r="H4258" s="6"/>
      <c r="AD4258" s="5">
        <v>45104.0</v>
      </c>
      <c r="AE4258" s="6">
        <v>0.3333333333333333</v>
      </c>
      <c r="AF4258" s="7">
        <v>34138.26</v>
      </c>
    </row>
    <row r="4259">
      <c r="G4259" s="5"/>
      <c r="H4259" s="6"/>
      <c r="AD4259" s="5">
        <v>45104.0</v>
      </c>
      <c r="AE4259" s="6">
        <v>0.375</v>
      </c>
      <c r="AF4259" s="7">
        <v>44891.34</v>
      </c>
    </row>
    <row r="4260">
      <c r="G4260" s="5"/>
      <c r="H4260" s="6"/>
      <c r="AD4260" s="5">
        <v>45104.0</v>
      </c>
      <c r="AE4260" s="6">
        <v>0.4166666666666667</v>
      </c>
      <c r="AF4260" s="7">
        <v>52494.0</v>
      </c>
    </row>
    <row r="4261">
      <c r="G4261" s="5"/>
      <c r="H4261" s="6"/>
      <c r="AD4261" s="5">
        <v>45104.0</v>
      </c>
      <c r="AE4261" s="6">
        <v>0.4583333333333333</v>
      </c>
      <c r="AF4261" s="7">
        <v>57154.5</v>
      </c>
    </row>
    <row r="4262">
      <c r="G4262" s="5"/>
      <c r="H4262" s="6"/>
      <c r="AD4262" s="5">
        <v>45104.0</v>
      </c>
      <c r="AE4262" s="6">
        <v>0.5</v>
      </c>
      <c r="AF4262" s="7">
        <v>57216.9</v>
      </c>
    </row>
    <row r="4263">
      <c r="G4263" s="5"/>
      <c r="H4263" s="6"/>
      <c r="AD4263" s="5">
        <v>45104.0</v>
      </c>
      <c r="AE4263" s="6">
        <v>0.5416666666666666</v>
      </c>
      <c r="AF4263" s="7">
        <v>54697.5</v>
      </c>
    </row>
    <row r="4264">
      <c r="G4264" s="5"/>
      <c r="H4264" s="6"/>
      <c r="AD4264" s="5">
        <v>45104.0</v>
      </c>
      <c r="AE4264" s="6">
        <v>0.5833333333333334</v>
      </c>
      <c r="AF4264" s="7">
        <v>49746.84</v>
      </c>
    </row>
    <row r="4265">
      <c r="G4265" s="5"/>
      <c r="H4265" s="6"/>
      <c r="AD4265" s="5">
        <v>45104.0</v>
      </c>
      <c r="AE4265" s="6">
        <v>0.625</v>
      </c>
      <c r="AF4265" s="7">
        <v>40577.16</v>
      </c>
    </row>
    <row r="4266">
      <c r="G4266" s="5"/>
      <c r="H4266" s="6"/>
      <c r="AD4266" s="5">
        <v>45104.0</v>
      </c>
      <c r="AE4266" s="6">
        <v>0.6666666666666666</v>
      </c>
      <c r="AF4266" s="7">
        <v>25438.92</v>
      </c>
    </row>
    <row r="4267">
      <c r="G4267" s="5"/>
      <c r="H4267" s="6"/>
      <c r="AD4267" s="5">
        <v>45104.0</v>
      </c>
      <c r="AE4267" s="6">
        <v>0.7083333333333334</v>
      </c>
      <c r="AF4267" s="7">
        <v>12540.06</v>
      </c>
    </row>
    <row r="4268">
      <c r="G4268" s="5"/>
      <c r="H4268" s="6"/>
      <c r="AD4268" s="5">
        <v>45104.0</v>
      </c>
      <c r="AE4268" s="6">
        <v>0.75</v>
      </c>
      <c r="AF4268" s="7">
        <v>5315.7</v>
      </c>
    </row>
    <row r="4269">
      <c r="G4269" s="5"/>
      <c r="H4269" s="6"/>
      <c r="AD4269" s="5">
        <v>45104.0</v>
      </c>
      <c r="AE4269" s="6">
        <v>0.7916666666666666</v>
      </c>
      <c r="AF4269" s="7">
        <v>654.42</v>
      </c>
    </row>
    <row r="4270">
      <c r="G4270" s="5"/>
      <c r="H4270" s="6"/>
      <c r="AD4270" s="5">
        <v>45104.0</v>
      </c>
      <c r="AE4270" s="6">
        <v>0.8333333333333334</v>
      </c>
      <c r="AF4270" s="7">
        <v>0.0</v>
      </c>
    </row>
    <row r="4271">
      <c r="G4271" s="5"/>
      <c r="H4271" s="6"/>
      <c r="AD4271" s="5">
        <v>45104.0</v>
      </c>
      <c r="AE4271" s="6">
        <v>0.875</v>
      </c>
      <c r="AF4271" s="7">
        <v>0.0</v>
      </c>
    </row>
    <row r="4272">
      <c r="G4272" s="5"/>
      <c r="H4272" s="6"/>
      <c r="AD4272" s="5">
        <v>45104.0</v>
      </c>
      <c r="AE4272" s="6">
        <v>0.9166666666666666</v>
      </c>
      <c r="AF4272" s="7">
        <v>0.0</v>
      </c>
    </row>
    <row r="4273">
      <c r="G4273" s="5"/>
      <c r="H4273" s="6"/>
      <c r="AD4273" s="5">
        <v>45104.0</v>
      </c>
      <c r="AE4273" s="6">
        <v>0.9583333333333334</v>
      </c>
      <c r="AF4273" s="7">
        <v>0.0</v>
      </c>
    </row>
    <row r="4274">
      <c r="G4274" s="5"/>
      <c r="H4274" s="6"/>
      <c r="AD4274" s="5">
        <v>45105.0</v>
      </c>
      <c r="AE4274" s="6">
        <v>0.0</v>
      </c>
      <c r="AF4274" s="7">
        <v>0.0</v>
      </c>
    </row>
    <row r="4275">
      <c r="G4275" s="5"/>
      <c r="H4275" s="6"/>
      <c r="AD4275" s="5">
        <v>45105.0</v>
      </c>
      <c r="AE4275" s="6">
        <v>0.041666666666666664</v>
      </c>
      <c r="AF4275" s="7">
        <v>0.0</v>
      </c>
    </row>
    <row r="4276">
      <c r="G4276" s="5"/>
      <c r="H4276" s="6"/>
      <c r="AD4276" s="5">
        <v>45105.0</v>
      </c>
      <c r="AE4276" s="6">
        <v>0.08333333333333333</v>
      </c>
      <c r="AF4276" s="7">
        <v>0.0</v>
      </c>
    </row>
    <row r="4277">
      <c r="G4277" s="5"/>
      <c r="H4277" s="6"/>
      <c r="AD4277" s="5">
        <v>45105.0</v>
      </c>
      <c r="AE4277" s="6">
        <v>0.125</v>
      </c>
      <c r="AF4277" s="7">
        <v>0.0</v>
      </c>
    </row>
    <row r="4278">
      <c r="G4278" s="5"/>
      <c r="H4278" s="6"/>
      <c r="AD4278" s="5">
        <v>45105.0</v>
      </c>
      <c r="AE4278" s="6">
        <v>0.16666666666666666</v>
      </c>
      <c r="AF4278" s="7">
        <v>0.0</v>
      </c>
    </row>
    <row r="4279">
      <c r="G4279" s="5"/>
      <c r="H4279" s="6"/>
      <c r="AD4279" s="5">
        <v>45105.0</v>
      </c>
      <c r="AE4279" s="6">
        <v>0.20833333333333334</v>
      </c>
      <c r="AF4279" s="7">
        <v>1103.7</v>
      </c>
    </row>
    <row r="4280">
      <c r="G4280" s="5"/>
      <c r="H4280" s="6"/>
      <c r="AD4280" s="5">
        <v>45105.0</v>
      </c>
      <c r="AE4280" s="6">
        <v>0.25</v>
      </c>
      <c r="AF4280" s="7">
        <v>5818.02</v>
      </c>
    </row>
    <row r="4281">
      <c r="G4281" s="5"/>
      <c r="H4281" s="6"/>
      <c r="AD4281" s="5">
        <v>45105.0</v>
      </c>
      <c r="AE4281" s="6">
        <v>0.2916666666666667</v>
      </c>
      <c r="AF4281" s="7">
        <v>18216.9</v>
      </c>
    </row>
    <row r="4282">
      <c r="G4282" s="5"/>
      <c r="H4282" s="6"/>
      <c r="AD4282" s="5">
        <v>45105.0</v>
      </c>
      <c r="AE4282" s="6">
        <v>0.3333333333333333</v>
      </c>
      <c r="AF4282" s="7">
        <v>23013.12</v>
      </c>
    </row>
    <row r="4283">
      <c r="G4283" s="5"/>
      <c r="H4283" s="6"/>
      <c r="AD4283" s="5">
        <v>45105.0</v>
      </c>
      <c r="AE4283" s="6">
        <v>0.375</v>
      </c>
      <c r="AF4283" s="7">
        <v>31429.32</v>
      </c>
    </row>
    <row r="4284">
      <c r="G4284" s="5"/>
      <c r="H4284" s="6"/>
      <c r="AD4284" s="5">
        <v>45105.0</v>
      </c>
      <c r="AE4284" s="6">
        <v>0.4166666666666667</v>
      </c>
      <c r="AF4284" s="7">
        <v>43910.88</v>
      </c>
    </row>
    <row r="4285">
      <c r="G4285" s="5"/>
      <c r="H4285" s="6"/>
      <c r="AD4285" s="5">
        <v>45105.0</v>
      </c>
      <c r="AE4285" s="6">
        <v>0.4583333333333333</v>
      </c>
      <c r="AF4285" s="7">
        <v>43180.8</v>
      </c>
    </row>
    <row r="4286">
      <c r="G4286" s="5"/>
      <c r="H4286" s="6"/>
      <c r="AD4286" s="5">
        <v>45105.0</v>
      </c>
      <c r="AE4286" s="6">
        <v>0.5</v>
      </c>
      <c r="AF4286" s="7">
        <v>50845.08</v>
      </c>
    </row>
    <row r="4287">
      <c r="G4287" s="5"/>
      <c r="H4287" s="6"/>
      <c r="AD4287" s="5">
        <v>45105.0</v>
      </c>
      <c r="AE4287" s="6">
        <v>0.5416666666666666</v>
      </c>
      <c r="AF4287" s="7">
        <v>48540.18</v>
      </c>
    </row>
    <row r="4288">
      <c r="G4288" s="5"/>
      <c r="H4288" s="6"/>
      <c r="AD4288" s="5">
        <v>45105.0</v>
      </c>
      <c r="AE4288" s="6">
        <v>0.5833333333333334</v>
      </c>
      <c r="AF4288" s="7">
        <v>48090.9</v>
      </c>
    </row>
    <row r="4289">
      <c r="G4289" s="5"/>
      <c r="H4289" s="6"/>
      <c r="AD4289" s="5">
        <v>45105.0</v>
      </c>
      <c r="AE4289" s="6">
        <v>0.625</v>
      </c>
      <c r="AF4289" s="7">
        <v>39159.12</v>
      </c>
    </row>
    <row r="4290">
      <c r="G4290" s="5"/>
      <c r="H4290" s="6"/>
      <c r="AD4290" s="5">
        <v>45105.0</v>
      </c>
      <c r="AE4290" s="6">
        <v>0.6666666666666666</v>
      </c>
      <c r="AF4290" s="7">
        <v>27347.58</v>
      </c>
    </row>
    <row r="4291">
      <c r="G4291" s="5"/>
      <c r="H4291" s="6"/>
      <c r="AD4291" s="5">
        <v>45105.0</v>
      </c>
      <c r="AE4291" s="6">
        <v>0.7083333333333334</v>
      </c>
      <c r="AF4291" s="7">
        <v>17023.5</v>
      </c>
    </row>
    <row r="4292">
      <c r="G4292" s="5"/>
      <c r="H4292" s="6"/>
      <c r="AD4292" s="5">
        <v>45105.0</v>
      </c>
      <c r="AE4292" s="6">
        <v>0.75</v>
      </c>
      <c r="AF4292" s="7">
        <v>5310.24</v>
      </c>
    </row>
    <row r="4293">
      <c r="G4293" s="5"/>
      <c r="H4293" s="6"/>
      <c r="AD4293" s="5">
        <v>45105.0</v>
      </c>
      <c r="AE4293" s="6">
        <v>0.7916666666666666</v>
      </c>
      <c r="AF4293" s="7">
        <v>739.44</v>
      </c>
    </row>
    <row r="4294">
      <c r="G4294" s="5"/>
      <c r="H4294" s="6"/>
      <c r="AD4294" s="5">
        <v>45105.0</v>
      </c>
      <c r="AE4294" s="6">
        <v>0.8333333333333334</v>
      </c>
      <c r="AF4294" s="7">
        <v>0.0</v>
      </c>
    </row>
    <row r="4295">
      <c r="G4295" s="5"/>
      <c r="H4295" s="6"/>
      <c r="AD4295" s="5">
        <v>45105.0</v>
      </c>
      <c r="AE4295" s="6">
        <v>0.875</v>
      </c>
      <c r="AF4295" s="7">
        <v>0.0</v>
      </c>
    </row>
    <row r="4296">
      <c r="G4296" s="5"/>
      <c r="H4296" s="6"/>
      <c r="AD4296" s="5">
        <v>45105.0</v>
      </c>
      <c r="AE4296" s="6">
        <v>0.9166666666666666</v>
      </c>
      <c r="AF4296" s="7">
        <v>0.0</v>
      </c>
    </row>
    <row r="4297">
      <c r="G4297" s="5"/>
      <c r="H4297" s="6"/>
      <c r="AD4297" s="5">
        <v>45105.0</v>
      </c>
      <c r="AE4297" s="6">
        <v>0.9583333333333334</v>
      </c>
      <c r="AF4297" s="7">
        <v>0.0</v>
      </c>
    </row>
    <row r="4298">
      <c r="G4298" s="5"/>
      <c r="H4298" s="6"/>
      <c r="AD4298" s="5">
        <v>45106.0</v>
      </c>
      <c r="AE4298" s="6">
        <v>0.0</v>
      </c>
      <c r="AF4298" s="7">
        <v>0.0</v>
      </c>
    </row>
    <row r="4299">
      <c r="G4299" s="5"/>
      <c r="H4299" s="6"/>
      <c r="AD4299" s="5">
        <v>45106.0</v>
      </c>
      <c r="AE4299" s="6">
        <v>0.041666666666666664</v>
      </c>
      <c r="AF4299" s="7">
        <v>0.0</v>
      </c>
    </row>
    <row r="4300">
      <c r="G4300" s="5"/>
      <c r="H4300" s="6"/>
      <c r="AD4300" s="5">
        <v>45106.0</v>
      </c>
      <c r="AE4300" s="6">
        <v>0.08333333333333333</v>
      </c>
      <c r="AF4300" s="7">
        <v>0.0</v>
      </c>
    </row>
    <row r="4301">
      <c r="G4301" s="5"/>
      <c r="H4301" s="6"/>
      <c r="AD4301" s="5">
        <v>45106.0</v>
      </c>
      <c r="AE4301" s="6">
        <v>0.125</v>
      </c>
      <c r="AF4301" s="7">
        <v>0.0</v>
      </c>
    </row>
    <row r="4302">
      <c r="G4302" s="5"/>
      <c r="H4302" s="6"/>
      <c r="AD4302" s="5">
        <v>45106.0</v>
      </c>
      <c r="AE4302" s="6">
        <v>0.16666666666666666</v>
      </c>
      <c r="AF4302" s="7">
        <v>0.0</v>
      </c>
    </row>
    <row r="4303">
      <c r="G4303" s="5"/>
      <c r="H4303" s="6"/>
      <c r="AD4303" s="5">
        <v>45106.0</v>
      </c>
      <c r="AE4303" s="6">
        <v>0.20833333333333334</v>
      </c>
      <c r="AF4303" s="7">
        <v>1155.18</v>
      </c>
    </row>
    <row r="4304">
      <c r="G4304" s="5"/>
      <c r="H4304" s="6"/>
      <c r="AD4304" s="5">
        <v>45106.0</v>
      </c>
      <c r="AE4304" s="6">
        <v>0.25</v>
      </c>
      <c r="AF4304" s="7">
        <v>7867.08</v>
      </c>
    </row>
    <row r="4305">
      <c r="G4305" s="5"/>
      <c r="H4305" s="6"/>
      <c r="AD4305" s="5">
        <v>45106.0</v>
      </c>
      <c r="AE4305" s="6">
        <v>0.2916666666666667</v>
      </c>
      <c r="AF4305" s="7">
        <v>20292.48</v>
      </c>
    </row>
    <row r="4306">
      <c r="G4306" s="5"/>
      <c r="H4306" s="6"/>
      <c r="AD4306" s="5">
        <v>45106.0</v>
      </c>
      <c r="AE4306" s="6">
        <v>0.3333333333333333</v>
      </c>
      <c r="AF4306" s="7">
        <v>33309.9</v>
      </c>
    </row>
    <row r="4307">
      <c r="G4307" s="5"/>
      <c r="H4307" s="6"/>
      <c r="AD4307" s="5">
        <v>45106.0</v>
      </c>
      <c r="AE4307" s="6">
        <v>0.375</v>
      </c>
      <c r="AF4307" s="7">
        <v>43750.98</v>
      </c>
    </row>
    <row r="4308">
      <c r="G4308" s="5"/>
      <c r="H4308" s="6"/>
      <c r="AD4308" s="5">
        <v>45106.0</v>
      </c>
      <c r="AE4308" s="6">
        <v>0.4166666666666667</v>
      </c>
      <c r="AF4308" s="7">
        <v>51278.76</v>
      </c>
    </row>
    <row r="4309">
      <c r="G4309" s="5"/>
      <c r="H4309" s="6"/>
      <c r="AD4309" s="5">
        <v>45106.0</v>
      </c>
      <c r="AE4309" s="6">
        <v>0.4583333333333333</v>
      </c>
      <c r="AF4309" s="7">
        <v>56386.2</v>
      </c>
    </row>
    <row r="4310">
      <c r="G4310" s="5"/>
      <c r="H4310" s="6"/>
      <c r="AD4310" s="5">
        <v>45106.0</v>
      </c>
      <c r="AE4310" s="6">
        <v>0.5</v>
      </c>
      <c r="AF4310" s="7">
        <v>57057.78</v>
      </c>
    </row>
    <row r="4311">
      <c r="G4311" s="5"/>
      <c r="H4311" s="6"/>
      <c r="AD4311" s="5">
        <v>45106.0</v>
      </c>
      <c r="AE4311" s="6">
        <v>0.5416666666666666</v>
      </c>
      <c r="AF4311" s="7">
        <v>55123.38</v>
      </c>
    </row>
    <row r="4312">
      <c r="G4312" s="5"/>
      <c r="H4312" s="6"/>
      <c r="AD4312" s="5">
        <v>45106.0</v>
      </c>
      <c r="AE4312" s="6">
        <v>0.5833333333333334</v>
      </c>
      <c r="AF4312" s="7">
        <v>50305.32</v>
      </c>
    </row>
    <row r="4313">
      <c r="G4313" s="5"/>
      <c r="H4313" s="6"/>
      <c r="AD4313" s="5">
        <v>45106.0</v>
      </c>
      <c r="AE4313" s="6">
        <v>0.625</v>
      </c>
      <c r="AF4313" s="7">
        <v>43002.18</v>
      </c>
    </row>
    <row r="4314">
      <c r="G4314" s="5"/>
      <c r="H4314" s="6"/>
      <c r="AD4314" s="5">
        <v>45106.0</v>
      </c>
      <c r="AE4314" s="6">
        <v>0.6666666666666666</v>
      </c>
      <c r="AF4314" s="7">
        <v>7808.58</v>
      </c>
    </row>
    <row r="4315">
      <c r="G4315" s="5"/>
      <c r="H4315" s="6"/>
      <c r="AD4315" s="5">
        <v>45106.0</v>
      </c>
      <c r="AE4315" s="6">
        <v>0.7083333333333334</v>
      </c>
      <c r="AF4315" s="7">
        <v>1184.82</v>
      </c>
    </row>
    <row r="4316">
      <c r="G4316" s="5"/>
      <c r="H4316" s="6"/>
      <c r="AD4316" s="5">
        <v>45106.0</v>
      </c>
      <c r="AE4316" s="6">
        <v>0.75</v>
      </c>
      <c r="AF4316" s="7">
        <v>990.6</v>
      </c>
    </row>
    <row r="4317">
      <c r="G4317" s="5"/>
      <c r="H4317" s="6"/>
      <c r="AD4317" s="5">
        <v>45106.0</v>
      </c>
      <c r="AE4317" s="6">
        <v>0.7916666666666666</v>
      </c>
      <c r="AF4317" s="7">
        <v>0.0</v>
      </c>
    </row>
    <row r="4318">
      <c r="G4318" s="5"/>
      <c r="H4318" s="6"/>
      <c r="AD4318" s="5">
        <v>45106.0</v>
      </c>
      <c r="AE4318" s="6">
        <v>0.8333333333333334</v>
      </c>
      <c r="AF4318" s="7">
        <v>0.0</v>
      </c>
    </row>
    <row r="4319">
      <c r="G4319" s="5"/>
      <c r="H4319" s="6"/>
      <c r="AD4319" s="5">
        <v>45106.0</v>
      </c>
      <c r="AE4319" s="6">
        <v>0.875</v>
      </c>
      <c r="AF4319" s="7">
        <v>0.0</v>
      </c>
    </row>
    <row r="4320">
      <c r="G4320" s="5"/>
      <c r="H4320" s="6"/>
      <c r="AD4320" s="5">
        <v>45106.0</v>
      </c>
      <c r="AE4320" s="6">
        <v>0.9166666666666666</v>
      </c>
      <c r="AF4320" s="7">
        <v>0.0</v>
      </c>
    </row>
    <row r="4321">
      <c r="G4321" s="5"/>
      <c r="H4321" s="6"/>
      <c r="AD4321" s="5">
        <v>45106.0</v>
      </c>
      <c r="AE4321" s="6">
        <v>0.9583333333333334</v>
      </c>
      <c r="AF4321" s="7">
        <v>0.0</v>
      </c>
    </row>
    <row r="4322">
      <c r="G4322" s="5"/>
      <c r="H4322" s="6"/>
      <c r="AD4322" s="5">
        <v>45107.0</v>
      </c>
      <c r="AE4322" s="6">
        <v>0.0</v>
      </c>
      <c r="AF4322" s="7">
        <v>0.0</v>
      </c>
    </row>
    <row r="4323">
      <c r="G4323" s="5"/>
      <c r="H4323" s="6"/>
      <c r="AD4323" s="5">
        <v>45107.0</v>
      </c>
      <c r="AE4323" s="6">
        <v>0.041666666666666664</v>
      </c>
      <c r="AF4323" s="7">
        <v>0.0</v>
      </c>
    </row>
    <row r="4324">
      <c r="G4324" s="5"/>
      <c r="H4324" s="6"/>
      <c r="AD4324" s="5">
        <v>45107.0</v>
      </c>
      <c r="AE4324" s="6">
        <v>0.08333333333333333</v>
      </c>
      <c r="AF4324" s="7">
        <v>0.0</v>
      </c>
    </row>
    <row r="4325">
      <c r="G4325" s="5"/>
      <c r="H4325" s="6"/>
      <c r="AD4325" s="5">
        <v>45107.0</v>
      </c>
      <c r="AE4325" s="6">
        <v>0.125</v>
      </c>
      <c r="AF4325" s="7">
        <v>0.0</v>
      </c>
    </row>
    <row r="4326">
      <c r="G4326" s="5"/>
      <c r="H4326" s="6"/>
      <c r="AD4326" s="5">
        <v>45107.0</v>
      </c>
      <c r="AE4326" s="6">
        <v>0.16666666666666666</v>
      </c>
      <c r="AF4326" s="7">
        <v>0.0</v>
      </c>
    </row>
    <row r="4327">
      <c r="G4327" s="5"/>
      <c r="H4327" s="6"/>
      <c r="AD4327" s="5">
        <v>45107.0</v>
      </c>
      <c r="AE4327" s="6">
        <v>0.20833333333333334</v>
      </c>
      <c r="AF4327" s="7">
        <v>1173.12</v>
      </c>
    </row>
    <row r="4328">
      <c r="G4328" s="5"/>
      <c r="H4328" s="6"/>
      <c r="AD4328" s="5">
        <v>45107.0</v>
      </c>
      <c r="AE4328" s="6">
        <v>0.25</v>
      </c>
      <c r="AF4328" s="7">
        <v>8092.5</v>
      </c>
    </row>
    <row r="4329">
      <c r="G4329" s="5"/>
      <c r="H4329" s="6"/>
      <c r="AD4329" s="5">
        <v>45107.0</v>
      </c>
      <c r="AE4329" s="6">
        <v>0.2916666666666667</v>
      </c>
      <c r="AF4329" s="7">
        <v>21928.92</v>
      </c>
    </row>
    <row r="4330">
      <c r="G4330" s="5"/>
      <c r="H4330" s="6"/>
      <c r="AD4330" s="5">
        <v>45107.0</v>
      </c>
      <c r="AE4330" s="6">
        <v>0.3333333333333333</v>
      </c>
      <c r="AF4330" s="7">
        <v>36074.22</v>
      </c>
    </row>
    <row r="4331">
      <c r="G4331" s="5"/>
      <c r="H4331" s="6"/>
      <c r="AD4331" s="5">
        <v>45107.0</v>
      </c>
      <c r="AE4331" s="6">
        <v>0.375</v>
      </c>
      <c r="AF4331" s="7">
        <v>48159.54</v>
      </c>
    </row>
    <row r="4332">
      <c r="G4332" s="5"/>
      <c r="H4332" s="6"/>
      <c r="AD4332" s="5">
        <v>45107.0</v>
      </c>
      <c r="AE4332" s="6">
        <v>0.4166666666666667</v>
      </c>
      <c r="AF4332" s="7">
        <v>56659.98</v>
      </c>
    </row>
    <row r="4333">
      <c r="G4333" s="5"/>
      <c r="H4333" s="6"/>
      <c r="AD4333" s="5">
        <v>45107.0</v>
      </c>
      <c r="AE4333" s="6">
        <v>0.4583333333333333</v>
      </c>
      <c r="AF4333" s="7">
        <v>0.0</v>
      </c>
    </row>
    <row r="4334">
      <c r="G4334" s="5"/>
      <c r="H4334" s="6"/>
      <c r="AD4334" s="5">
        <v>45107.0</v>
      </c>
      <c r="AE4334" s="6">
        <v>0.5</v>
      </c>
      <c r="AF4334" s="7">
        <v>62666.76</v>
      </c>
    </row>
    <row r="4335">
      <c r="G4335" s="5"/>
      <c r="H4335" s="6"/>
      <c r="AD4335" s="5">
        <v>45107.0</v>
      </c>
      <c r="AE4335" s="6">
        <v>0.5416666666666666</v>
      </c>
      <c r="AF4335" s="7">
        <v>59023.38</v>
      </c>
    </row>
    <row r="4336">
      <c r="G4336" s="5"/>
      <c r="H4336" s="6"/>
      <c r="AD4336" s="5">
        <v>45107.0</v>
      </c>
      <c r="AE4336" s="6">
        <v>0.5833333333333334</v>
      </c>
      <c r="AF4336" s="7">
        <v>54997.02</v>
      </c>
    </row>
    <row r="4337">
      <c r="G4337" s="5"/>
      <c r="H4337" s="6"/>
      <c r="AD4337" s="5">
        <v>45107.0</v>
      </c>
      <c r="AE4337" s="6">
        <v>0.625</v>
      </c>
      <c r="AF4337" s="7">
        <v>43077.06</v>
      </c>
    </row>
    <row r="4338">
      <c r="G4338" s="5"/>
      <c r="H4338" s="6"/>
      <c r="AD4338" s="5">
        <v>45107.0</v>
      </c>
      <c r="AE4338" s="6">
        <v>0.6666666666666666</v>
      </c>
      <c r="AF4338" s="7">
        <v>31529.16</v>
      </c>
    </row>
    <row r="4339">
      <c r="G4339" s="5"/>
      <c r="H4339" s="6"/>
      <c r="AD4339" s="5">
        <v>45107.0</v>
      </c>
      <c r="AE4339" s="6">
        <v>0.7083333333333334</v>
      </c>
      <c r="AF4339" s="7">
        <v>19080.36</v>
      </c>
    </row>
    <row r="4340">
      <c r="G4340" s="5"/>
      <c r="H4340" s="6"/>
      <c r="AD4340" s="5">
        <v>45107.0</v>
      </c>
      <c r="AE4340" s="6">
        <v>0.75</v>
      </c>
      <c r="AF4340" s="7">
        <v>6694.74</v>
      </c>
    </row>
    <row r="4341">
      <c r="G4341" s="5"/>
      <c r="H4341" s="6"/>
      <c r="AD4341" s="5">
        <v>45107.0</v>
      </c>
      <c r="AE4341" s="6">
        <v>0.7916666666666666</v>
      </c>
      <c r="AF4341" s="7">
        <v>451.62</v>
      </c>
    </row>
    <row r="4342">
      <c r="G4342" s="5"/>
      <c r="H4342" s="6"/>
      <c r="AD4342" s="5">
        <v>45107.0</v>
      </c>
      <c r="AE4342" s="6">
        <v>0.8333333333333334</v>
      </c>
      <c r="AF4342" s="7">
        <v>0.0</v>
      </c>
    </row>
    <row r="4343">
      <c r="G4343" s="5"/>
      <c r="H4343" s="6"/>
      <c r="AD4343" s="5">
        <v>45107.0</v>
      </c>
      <c r="AE4343" s="6">
        <v>0.875</v>
      </c>
      <c r="AF4343" s="7">
        <v>0.0</v>
      </c>
    </row>
    <row r="4344">
      <c r="G4344" s="5"/>
      <c r="H4344" s="6"/>
      <c r="AD4344" s="5">
        <v>45107.0</v>
      </c>
      <c r="AE4344" s="6">
        <v>0.9166666666666666</v>
      </c>
      <c r="AF4344" s="7">
        <v>0.0</v>
      </c>
    </row>
    <row r="4345">
      <c r="G4345" s="5"/>
      <c r="H4345" s="6"/>
      <c r="AD4345" s="5">
        <v>45107.0</v>
      </c>
      <c r="AE4345" s="6">
        <v>0.9583333333333334</v>
      </c>
      <c r="AF4345" s="7">
        <v>0.0</v>
      </c>
    </row>
    <row r="4346">
      <c r="G4346" s="5"/>
      <c r="H4346" s="6"/>
      <c r="AD4346" s="5">
        <v>45108.0</v>
      </c>
      <c r="AE4346" s="6">
        <v>0.0</v>
      </c>
      <c r="AF4346" s="7">
        <v>0.0</v>
      </c>
    </row>
    <row r="4347">
      <c r="G4347" s="5"/>
      <c r="H4347" s="6"/>
      <c r="AD4347" s="5">
        <v>45108.0</v>
      </c>
      <c r="AE4347" s="6">
        <v>0.041666666666666664</v>
      </c>
      <c r="AF4347" s="7">
        <v>0.0</v>
      </c>
    </row>
    <row r="4348">
      <c r="G4348" s="5"/>
      <c r="H4348" s="6"/>
      <c r="AD4348" s="5">
        <v>45108.0</v>
      </c>
      <c r="AE4348" s="6">
        <v>0.08333333333333333</v>
      </c>
      <c r="AF4348" s="7">
        <v>0.0</v>
      </c>
    </row>
    <row r="4349">
      <c r="G4349" s="5"/>
      <c r="H4349" s="6"/>
      <c r="AD4349" s="5">
        <v>45108.0</v>
      </c>
      <c r="AE4349" s="6">
        <v>0.125</v>
      </c>
      <c r="AF4349" s="7">
        <v>0.0</v>
      </c>
    </row>
    <row r="4350">
      <c r="G4350" s="5"/>
      <c r="H4350" s="6"/>
      <c r="AD4350" s="5">
        <v>45108.0</v>
      </c>
      <c r="AE4350" s="6">
        <v>0.16666666666666666</v>
      </c>
      <c r="AF4350" s="7">
        <v>0.0</v>
      </c>
    </row>
    <row r="4351">
      <c r="G4351" s="5"/>
      <c r="H4351" s="6"/>
      <c r="AD4351" s="5">
        <v>45108.0</v>
      </c>
      <c r="AE4351" s="6">
        <v>0.20833333333333334</v>
      </c>
      <c r="AF4351" s="7">
        <v>1120.86</v>
      </c>
    </row>
    <row r="4352">
      <c r="G4352" s="5"/>
      <c r="H4352" s="6"/>
      <c r="AD4352" s="5">
        <v>45108.0</v>
      </c>
      <c r="AE4352" s="6">
        <v>0.25</v>
      </c>
      <c r="AF4352" s="7">
        <v>7916.22</v>
      </c>
    </row>
    <row r="4353">
      <c r="G4353" s="5"/>
      <c r="H4353" s="6"/>
      <c r="AD4353" s="5">
        <v>45108.0</v>
      </c>
      <c r="AE4353" s="6">
        <v>0.2916666666666667</v>
      </c>
      <c r="AF4353" s="7">
        <v>22104.42</v>
      </c>
    </row>
    <row r="4354">
      <c r="G4354" s="5"/>
      <c r="H4354" s="6"/>
      <c r="AD4354" s="5">
        <v>45108.0</v>
      </c>
      <c r="AE4354" s="6">
        <v>0.3333333333333333</v>
      </c>
      <c r="AF4354" s="7">
        <v>36543.78</v>
      </c>
    </row>
    <row r="4355">
      <c r="G4355" s="5"/>
      <c r="H4355" s="6"/>
      <c r="AD4355" s="5">
        <v>45108.0</v>
      </c>
      <c r="AE4355" s="6">
        <v>0.375</v>
      </c>
      <c r="AF4355" s="7">
        <v>46870.98</v>
      </c>
    </row>
    <row r="4356">
      <c r="G4356" s="5"/>
      <c r="H4356" s="6"/>
      <c r="AD4356" s="5">
        <v>45108.0</v>
      </c>
      <c r="AE4356" s="6">
        <v>0.4166666666666667</v>
      </c>
      <c r="AF4356" s="7">
        <v>56187.3</v>
      </c>
    </row>
    <row r="4357">
      <c r="G4357" s="5"/>
      <c r="H4357" s="6"/>
      <c r="AD4357" s="5">
        <v>45108.0</v>
      </c>
      <c r="AE4357" s="6">
        <v>0.4583333333333333</v>
      </c>
      <c r="AF4357" s="7">
        <v>60552.96</v>
      </c>
    </row>
    <row r="4358">
      <c r="G4358" s="5"/>
      <c r="H4358" s="6"/>
      <c r="AD4358" s="5">
        <v>45108.0</v>
      </c>
      <c r="AE4358" s="6">
        <v>0.5</v>
      </c>
      <c r="AF4358" s="7">
        <v>61650.42</v>
      </c>
    </row>
    <row r="4359">
      <c r="G4359" s="5"/>
      <c r="H4359" s="6"/>
      <c r="AD4359" s="5">
        <v>45108.0</v>
      </c>
      <c r="AE4359" s="6">
        <v>0.5416666666666666</v>
      </c>
      <c r="AF4359" s="7">
        <v>59453.94</v>
      </c>
    </row>
    <row r="4360">
      <c r="G4360" s="5"/>
      <c r="H4360" s="6"/>
      <c r="AD4360" s="5">
        <v>45108.0</v>
      </c>
      <c r="AE4360" s="6">
        <v>0.5833333333333334</v>
      </c>
      <c r="AF4360" s="7">
        <v>54297.36</v>
      </c>
    </row>
    <row r="4361">
      <c r="G4361" s="5"/>
      <c r="H4361" s="6"/>
      <c r="AD4361" s="5">
        <v>45108.0</v>
      </c>
      <c r="AE4361" s="6">
        <v>0.625</v>
      </c>
      <c r="AF4361" s="7">
        <v>44140.98</v>
      </c>
    </row>
    <row r="4362">
      <c r="G4362" s="5"/>
      <c r="H4362" s="6"/>
      <c r="AD4362" s="5">
        <v>45108.0</v>
      </c>
      <c r="AE4362" s="6">
        <v>0.6666666666666666</v>
      </c>
      <c r="AF4362" s="7">
        <v>31097.82</v>
      </c>
    </row>
    <row r="4363">
      <c r="G4363" s="5"/>
      <c r="H4363" s="6"/>
      <c r="AD4363" s="5">
        <v>45108.0</v>
      </c>
      <c r="AE4363" s="6">
        <v>0.7083333333333334</v>
      </c>
      <c r="AF4363" s="7">
        <v>19312.02</v>
      </c>
    </row>
    <row r="4364">
      <c r="G4364" s="5"/>
      <c r="H4364" s="6"/>
      <c r="AD4364" s="5">
        <v>45108.0</v>
      </c>
      <c r="AE4364" s="6">
        <v>0.75</v>
      </c>
      <c r="AF4364" s="7">
        <v>6367.92</v>
      </c>
    </row>
    <row r="4365">
      <c r="G4365" s="5"/>
      <c r="H4365" s="6"/>
      <c r="AD4365" s="5">
        <v>45108.0</v>
      </c>
      <c r="AE4365" s="6">
        <v>0.7916666666666666</v>
      </c>
      <c r="AF4365" s="7">
        <v>764.4</v>
      </c>
    </row>
    <row r="4366">
      <c r="G4366" s="5"/>
      <c r="H4366" s="6"/>
      <c r="AD4366" s="5">
        <v>45108.0</v>
      </c>
      <c r="AE4366" s="6">
        <v>0.8333333333333334</v>
      </c>
      <c r="AF4366" s="7">
        <v>0.0</v>
      </c>
    </row>
    <row r="4367">
      <c r="G4367" s="5"/>
      <c r="H4367" s="6"/>
      <c r="AD4367" s="5">
        <v>45108.0</v>
      </c>
      <c r="AE4367" s="6">
        <v>0.875</v>
      </c>
      <c r="AF4367" s="7">
        <v>0.0</v>
      </c>
    </row>
    <row r="4368">
      <c r="G4368" s="5"/>
      <c r="H4368" s="6"/>
      <c r="AD4368" s="5">
        <v>45108.0</v>
      </c>
      <c r="AE4368" s="6">
        <v>0.9166666666666666</v>
      </c>
      <c r="AF4368" s="7">
        <v>0.0</v>
      </c>
    </row>
    <row r="4369">
      <c r="G4369" s="5"/>
      <c r="H4369" s="6"/>
      <c r="AD4369" s="5">
        <v>45108.0</v>
      </c>
      <c r="AE4369" s="6">
        <v>0.9583333333333334</v>
      </c>
      <c r="AF4369" s="7">
        <v>0.0</v>
      </c>
    </row>
    <row r="4370">
      <c r="G4370" s="5"/>
      <c r="H4370" s="6"/>
      <c r="AD4370" s="5">
        <v>45109.0</v>
      </c>
      <c r="AE4370" s="6">
        <v>0.0</v>
      </c>
      <c r="AF4370" s="7">
        <v>0.0</v>
      </c>
    </row>
    <row r="4371">
      <c r="G4371" s="5"/>
      <c r="H4371" s="6"/>
      <c r="AD4371" s="5">
        <v>45109.0</v>
      </c>
      <c r="AE4371" s="6">
        <v>0.041666666666666664</v>
      </c>
      <c r="AF4371" s="7">
        <v>0.0</v>
      </c>
    </row>
    <row r="4372">
      <c r="G4372" s="5"/>
      <c r="H4372" s="6"/>
      <c r="AD4372" s="5">
        <v>45109.0</v>
      </c>
      <c r="AE4372" s="6">
        <v>0.08333333333333333</v>
      </c>
      <c r="AF4372" s="7">
        <v>0.0</v>
      </c>
    </row>
    <row r="4373">
      <c r="G4373" s="5"/>
      <c r="H4373" s="6"/>
      <c r="AD4373" s="5">
        <v>45109.0</v>
      </c>
      <c r="AE4373" s="6">
        <v>0.125</v>
      </c>
      <c r="AF4373" s="7">
        <v>0.0</v>
      </c>
    </row>
    <row r="4374">
      <c r="G4374" s="5"/>
      <c r="H4374" s="6"/>
      <c r="AD4374" s="5">
        <v>45109.0</v>
      </c>
      <c r="AE4374" s="6">
        <v>0.16666666666666666</v>
      </c>
      <c r="AF4374" s="7">
        <v>0.0</v>
      </c>
    </row>
    <row r="4375">
      <c r="G4375" s="5"/>
      <c r="H4375" s="6"/>
      <c r="AD4375" s="5">
        <v>45109.0</v>
      </c>
      <c r="AE4375" s="6">
        <v>0.20833333333333334</v>
      </c>
      <c r="AF4375" s="7">
        <v>1111.5</v>
      </c>
    </row>
    <row r="4376">
      <c r="G4376" s="5"/>
      <c r="H4376" s="6"/>
      <c r="AD4376" s="5">
        <v>45109.0</v>
      </c>
      <c r="AE4376" s="6">
        <v>0.25</v>
      </c>
      <c r="AF4376" s="7">
        <v>7831.2</v>
      </c>
    </row>
    <row r="4377">
      <c r="G4377" s="5"/>
      <c r="H4377" s="6"/>
      <c r="AD4377" s="5">
        <v>45109.0</v>
      </c>
      <c r="AE4377" s="6">
        <v>0.2916666666666667</v>
      </c>
      <c r="AF4377" s="7">
        <v>21864.96</v>
      </c>
    </row>
    <row r="4378">
      <c r="G4378" s="5"/>
      <c r="H4378" s="6"/>
      <c r="AD4378" s="5">
        <v>45109.0</v>
      </c>
      <c r="AE4378" s="6">
        <v>0.3333333333333333</v>
      </c>
      <c r="AF4378" s="7">
        <v>35982.18</v>
      </c>
    </row>
    <row r="4379">
      <c r="G4379" s="5"/>
      <c r="H4379" s="6"/>
      <c r="AD4379" s="5">
        <v>45109.0</v>
      </c>
      <c r="AE4379" s="6">
        <v>0.375</v>
      </c>
      <c r="AF4379" s="7">
        <v>47164.26</v>
      </c>
    </row>
    <row r="4380">
      <c r="G4380" s="5"/>
      <c r="H4380" s="6"/>
      <c r="AD4380" s="5">
        <v>45109.0</v>
      </c>
      <c r="AE4380" s="6">
        <v>0.4166666666666667</v>
      </c>
      <c r="AF4380" s="7">
        <v>55279.38</v>
      </c>
    </row>
    <row r="4381">
      <c r="G4381" s="5"/>
      <c r="H4381" s="6"/>
      <c r="AD4381" s="5">
        <v>45109.0</v>
      </c>
      <c r="AE4381" s="6">
        <v>0.4583333333333333</v>
      </c>
      <c r="AF4381" s="7">
        <v>59567.82</v>
      </c>
    </row>
    <row r="4382">
      <c r="G4382" s="5"/>
      <c r="H4382" s="6"/>
      <c r="AD4382" s="5">
        <v>45109.0</v>
      </c>
      <c r="AE4382" s="6">
        <v>0.5</v>
      </c>
      <c r="AF4382" s="7">
        <v>60394.62</v>
      </c>
    </row>
    <row r="4383">
      <c r="G4383" s="5"/>
      <c r="H4383" s="6"/>
      <c r="AD4383" s="5">
        <v>45109.0</v>
      </c>
      <c r="AE4383" s="6">
        <v>0.5416666666666666</v>
      </c>
      <c r="AF4383" s="7">
        <v>58241.82</v>
      </c>
    </row>
    <row r="4384">
      <c r="G4384" s="5"/>
      <c r="H4384" s="6"/>
      <c r="AD4384" s="5">
        <v>45109.0</v>
      </c>
      <c r="AE4384" s="6">
        <v>0.5833333333333334</v>
      </c>
      <c r="AF4384" s="7">
        <v>53369.16</v>
      </c>
    </row>
    <row r="4385">
      <c r="G4385" s="5"/>
      <c r="H4385" s="6"/>
      <c r="AD4385" s="5">
        <v>45109.0</v>
      </c>
      <c r="AE4385" s="6">
        <v>0.625</v>
      </c>
      <c r="AF4385" s="7">
        <v>44133.96</v>
      </c>
    </row>
    <row r="4386">
      <c r="G4386" s="5"/>
      <c r="H4386" s="6"/>
      <c r="AD4386" s="5">
        <v>45109.0</v>
      </c>
      <c r="AE4386" s="6">
        <v>0.6666666666666666</v>
      </c>
      <c r="AF4386" s="7">
        <v>31905.12</v>
      </c>
    </row>
    <row r="4387">
      <c r="G4387" s="5"/>
      <c r="H4387" s="6"/>
      <c r="AD4387" s="5">
        <v>45109.0</v>
      </c>
      <c r="AE4387" s="6">
        <v>0.7083333333333334</v>
      </c>
      <c r="AF4387" s="7">
        <v>19098.3</v>
      </c>
    </row>
    <row r="4388">
      <c r="G4388" s="5"/>
      <c r="H4388" s="6"/>
      <c r="AD4388" s="5">
        <v>45109.0</v>
      </c>
      <c r="AE4388" s="6">
        <v>0.75</v>
      </c>
      <c r="AF4388" s="7">
        <v>6307.86</v>
      </c>
    </row>
    <row r="4389">
      <c r="G4389" s="5"/>
      <c r="H4389" s="6"/>
      <c r="AD4389" s="5">
        <v>45109.0</v>
      </c>
      <c r="AE4389" s="6">
        <v>0.7916666666666666</v>
      </c>
      <c r="AF4389" s="7">
        <v>658.32</v>
      </c>
    </row>
    <row r="4390">
      <c r="G4390" s="5"/>
      <c r="H4390" s="6"/>
      <c r="AD4390" s="5">
        <v>45109.0</v>
      </c>
      <c r="AE4390" s="6">
        <v>0.8333333333333334</v>
      </c>
      <c r="AF4390" s="7">
        <v>0.0</v>
      </c>
    </row>
    <row r="4391">
      <c r="G4391" s="5"/>
      <c r="H4391" s="6"/>
      <c r="AD4391" s="5">
        <v>45109.0</v>
      </c>
      <c r="AE4391" s="6">
        <v>0.875</v>
      </c>
      <c r="AF4391" s="7">
        <v>0.0</v>
      </c>
    </row>
    <row r="4392">
      <c r="G4392" s="5"/>
      <c r="H4392" s="6"/>
      <c r="AD4392" s="5">
        <v>45109.0</v>
      </c>
      <c r="AE4392" s="6">
        <v>0.9166666666666666</v>
      </c>
      <c r="AF4392" s="7">
        <v>0.0</v>
      </c>
    </row>
    <row r="4393">
      <c r="G4393" s="5"/>
      <c r="H4393" s="6"/>
      <c r="AD4393" s="5">
        <v>45109.0</v>
      </c>
      <c r="AE4393" s="6">
        <v>0.9583333333333334</v>
      </c>
      <c r="AF4393" s="7">
        <v>0.0</v>
      </c>
    </row>
    <row r="4394">
      <c r="G4394" s="5"/>
      <c r="H4394" s="6"/>
      <c r="AD4394" s="5">
        <v>45110.0</v>
      </c>
      <c r="AE4394" s="6">
        <v>0.0</v>
      </c>
      <c r="AF4394" s="7">
        <v>0.0</v>
      </c>
    </row>
    <row r="4395">
      <c r="G4395" s="5"/>
      <c r="H4395" s="6"/>
      <c r="AD4395" s="5">
        <v>45110.0</v>
      </c>
      <c r="AE4395" s="6">
        <v>0.041666666666666664</v>
      </c>
      <c r="AF4395" s="7">
        <v>0.0</v>
      </c>
    </row>
    <row r="4396">
      <c r="G4396" s="5"/>
      <c r="H4396" s="6"/>
      <c r="AD4396" s="5">
        <v>45110.0</v>
      </c>
      <c r="AE4396" s="6">
        <v>0.08333333333333333</v>
      </c>
      <c r="AF4396" s="7">
        <v>0.0</v>
      </c>
    </row>
    <row r="4397">
      <c r="G4397" s="5"/>
      <c r="H4397" s="6"/>
      <c r="AD4397" s="5">
        <v>45110.0</v>
      </c>
      <c r="AE4397" s="6">
        <v>0.125</v>
      </c>
      <c r="AF4397" s="7">
        <v>0.0</v>
      </c>
    </row>
    <row r="4398">
      <c r="G4398" s="5"/>
      <c r="H4398" s="6"/>
      <c r="AD4398" s="5">
        <v>45110.0</v>
      </c>
      <c r="AE4398" s="6">
        <v>0.16666666666666666</v>
      </c>
      <c r="AF4398" s="7">
        <v>0.0</v>
      </c>
    </row>
    <row r="4399">
      <c r="G4399" s="5"/>
      <c r="H4399" s="6"/>
      <c r="AD4399" s="5">
        <v>45110.0</v>
      </c>
      <c r="AE4399" s="6">
        <v>0.20833333333333334</v>
      </c>
      <c r="AF4399" s="7">
        <v>602.94</v>
      </c>
    </row>
    <row r="4400">
      <c r="G4400" s="5"/>
      <c r="H4400" s="6"/>
      <c r="AD4400" s="5">
        <v>45110.0</v>
      </c>
      <c r="AE4400" s="6">
        <v>0.25</v>
      </c>
      <c r="AF4400" s="7">
        <v>7638.54</v>
      </c>
    </row>
    <row r="4401">
      <c r="G4401" s="5"/>
      <c r="H4401" s="6"/>
      <c r="AD4401" s="5">
        <v>45110.0</v>
      </c>
      <c r="AE4401" s="6">
        <v>0.2916666666666667</v>
      </c>
      <c r="AF4401" s="7">
        <v>21530.34</v>
      </c>
    </row>
    <row r="4402">
      <c r="G4402" s="5"/>
      <c r="H4402" s="6"/>
      <c r="AD4402" s="5">
        <v>45110.0</v>
      </c>
      <c r="AE4402" s="6">
        <v>0.3333333333333333</v>
      </c>
      <c r="AF4402" s="7">
        <v>28778.1</v>
      </c>
    </row>
    <row r="4403">
      <c r="G4403" s="5"/>
      <c r="H4403" s="6"/>
      <c r="AD4403" s="5">
        <v>45110.0</v>
      </c>
      <c r="AE4403" s="6">
        <v>0.375</v>
      </c>
      <c r="AF4403" s="7">
        <v>13004.16</v>
      </c>
    </row>
    <row r="4404">
      <c r="G4404" s="5"/>
      <c r="H4404" s="6"/>
      <c r="AD4404" s="5">
        <v>45110.0</v>
      </c>
      <c r="AE4404" s="6">
        <v>0.4166666666666667</v>
      </c>
      <c r="AF4404" s="7">
        <v>3672.24</v>
      </c>
    </row>
    <row r="4405">
      <c r="G4405" s="5"/>
      <c r="H4405" s="6"/>
      <c r="AD4405" s="5">
        <v>45110.0</v>
      </c>
      <c r="AE4405" s="6">
        <v>0.4583333333333333</v>
      </c>
      <c r="AF4405" s="7">
        <v>11288.16</v>
      </c>
    </row>
    <row r="4406">
      <c r="G4406" s="5"/>
      <c r="H4406" s="6"/>
      <c r="AD4406" s="5">
        <v>45110.0</v>
      </c>
      <c r="AE4406" s="6">
        <v>0.5</v>
      </c>
      <c r="AF4406" s="7">
        <v>7231.38</v>
      </c>
    </row>
    <row r="4407">
      <c r="G4407" s="5"/>
      <c r="H4407" s="6"/>
      <c r="AD4407" s="5">
        <v>45110.0</v>
      </c>
      <c r="AE4407" s="6">
        <v>0.5416666666666666</v>
      </c>
      <c r="AF4407" s="7">
        <v>4269.72</v>
      </c>
    </row>
    <row r="4408">
      <c r="G4408" s="5"/>
      <c r="H4408" s="6"/>
      <c r="AD4408" s="5">
        <v>45110.0</v>
      </c>
      <c r="AE4408" s="6">
        <v>0.5833333333333334</v>
      </c>
      <c r="AF4408" s="7">
        <v>22519.38</v>
      </c>
    </row>
    <row r="4409">
      <c r="G4409" s="5"/>
      <c r="H4409" s="6"/>
      <c r="AD4409" s="5">
        <v>45110.0</v>
      </c>
      <c r="AE4409" s="6">
        <v>0.625</v>
      </c>
      <c r="AF4409" s="7">
        <v>37857.3</v>
      </c>
    </row>
    <row r="4410">
      <c r="G4410" s="5"/>
      <c r="H4410" s="6"/>
      <c r="AD4410" s="5">
        <v>45110.0</v>
      </c>
      <c r="AE4410" s="6">
        <v>0.6666666666666666</v>
      </c>
      <c r="AF4410" s="7">
        <v>27632.28</v>
      </c>
    </row>
    <row r="4411">
      <c r="G4411" s="5"/>
      <c r="H4411" s="6"/>
      <c r="AD4411" s="5">
        <v>45110.0</v>
      </c>
      <c r="AE4411" s="6">
        <v>0.7083333333333334</v>
      </c>
      <c r="AF4411" s="7">
        <v>13626.6</v>
      </c>
    </row>
    <row r="4412">
      <c r="G4412" s="5"/>
      <c r="H4412" s="6"/>
      <c r="AD4412" s="5">
        <v>45110.0</v>
      </c>
      <c r="AE4412" s="6">
        <v>0.75</v>
      </c>
      <c r="AF4412" s="7">
        <v>6204.9</v>
      </c>
    </row>
    <row r="4413">
      <c r="G4413" s="5"/>
      <c r="H4413" s="6"/>
      <c r="AD4413" s="5">
        <v>45110.0</v>
      </c>
      <c r="AE4413" s="6">
        <v>0.7916666666666666</v>
      </c>
      <c r="AF4413" s="7">
        <v>0.0</v>
      </c>
    </row>
    <row r="4414">
      <c r="G4414" s="5"/>
      <c r="H4414" s="6"/>
      <c r="AD4414" s="5">
        <v>45110.0</v>
      </c>
      <c r="AE4414" s="6">
        <v>0.8333333333333334</v>
      </c>
      <c r="AF4414" s="7">
        <v>0.0</v>
      </c>
    </row>
    <row r="4415">
      <c r="G4415" s="5"/>
      <c r="H4415" s="6"/>
      <c r="AD4415" s="5">
        <v>45110.0</v>
      </c>
      <c r="AE4415" s="6">
        <v>0.875</v>
      </c>
      <c r="AF4415" s="7">
        <v>0.0</v>
      </c>
    </row>
    <row r="4416">
      <c r="G4416" s="5"/>
      <c r="H4416" s="6"/>
      <c r="AD4416" s="5">
        <v>45110.0</v>
      </c>
      <c r="AE4416" s="6">
        <v>0.9166666666666666</v>
      </c>
      <c r="AF4416" s="7">
        <v>0.0</v>
      </c>
    </row>
    <row r="4417">
      <c r="G4417" s="5"/>
      <c r="H4417" s="6"/>
      <c r="AD4417" s="5">
        <v>45110.0</v>
      </c>
      <c r="AE4417" s="6">
        <v>0.9583333333333334</v>
      </c>
      <c r="AF4417" s="7">
        <v>0.0</v>
      </c>
    </row>
    <row r="4418">
      <c r="G4418" s="5"/>
      <c r="H4418" s="6"/>
      <c r="AD4418" s="5">
        <v>45111.0</v>
      </c>
      <c r="AE4418" s="6">
        <v>0.0</v>
      </c>
      <c r="AF4418" s="7">
        <v>0.0</v>
      </c>
    </row>
    <row r="4419">
      <c r="G4419" s="5"/>
      <c r="H4419" s="6"/>
      <c r="AD4419" s="5">
        <v>45111.0</v>
      </c>
      <c r="AE4419" s="6">
        <v>0.041666666666666664</v>
      </c>
      <c r="AF4419" s="7">
        <v>0.0</v>
      </c>
    </row>
    <row r="4420">
      <c r="G4420" s="5"/>
      <c r="H4420" s="6"/>
      <c r="AD4420" s="5">
        <v>45111.0</v>
      </c>
      <c r="AE4420" s="6">
        <v>0.08333333333333333</v>
      </c>
      <c r="AF4420" s="7">
        <v>0.0</v>
      </c>
    </row>
    <row r="4421">
      <c r="G4421" s="5"/>
      <c r="H4421" s="6"/>
      <c r="AD4421" s="5">
        <v>45111.0</v>
      </c>
      <c r="AE4421" s="6">
        <v>0.125</v>
      </c>
      <c r="AF4421" s="7">
        <v>0.0</v>
      </c>
    </row>
    <row r="4422">
      <c r="G4422" s="5"/>
      <c r="H4422" s="6"/>
      <c r="AD4422" s="5">
        <v>45111.0</v>
      </c>
      <c r="AE4422" s="6">
        <v>0.16666666666666666</v>
      </c>
      <c r="AF4422" s="7">
        <v>0.0</v>
      </c>
    </row>
    <row r="4423">
      <c r="G4423" s="5"/>
      <c r="H4423" s="6"/>
      <c r="AD4423" s="5">
        <v>45111.0</v>
      </c>
      <c r="AE4423" s="6">
        <v>0.20833333333333334</v>
      </c>
      <c r="AF4423" s="7">
        <v>1095.12</v>
      </c>
    </row>
    <row r="4424">
      <c r="G4424" s="5"/>
      <c r="H4424" s="6"/>
      <c r="AD4424" s="5">
        <v>45111.0</v>
      </c>
      <c r="AE4424" s="6">
        <v>0.25</v>
      </c>
      <c r="AF4424" s="7">
        <v>7548.84</v>
      </c>
    </row>
    <row r="4425">
      <c r="G4425" s="5"/>
      <c r="H4425" s="6"/>
      <c r="AD4425" s="5">
        <v>45111.0</v>
      </c>
      <c r="AE4425" s="6">
        <v>0.2916666666666667</v>
      </c>
      <c r="AF4425" s="7">
        <v>20733.96</v>
      </c>
    </row>
    <row r="4426">
      <c r="G4426" s="5"/>
      <c r="H4426" s="6"/>
      <c r="AD4426" s="5">
        <v>45111.0</v>
      </c>
      <c r="AE4426" s="6">
        <v>0.3333333333333333</v>
      </c>
      <c r="AF4426" s="7">
        <v>34606.26</v>
      </c>
    </row>
    <row r="4427">
      <c r="G4427" s="5"/>
      <c r="H4427" s="6"/>
      <c r="AD4427" s="5">
        <v>45111.0</v>
      </c>
      <c r="AE4427" s="6">
        <v>0.375</v>
      </c>
      <c r="AF4427" s="7">
        <v>45103.5</v>
      </c>
    </row>
    <row r="4428">
      <c r="G4428" s="5"/>
      <c r="H4428" s="6"/>
      <c r="AD4428" s="5">
        <v>45111.0</v>
      </c>
      <c r="AE4428" s="6">
        <v>0.4166666666666667</v>
      </c>
      <c r="AF4428" s="7">
        <v>53076.66</v>
      </c>
    </row>
    <row r="4429">
      <c r="G4429" s="5"/>
      <c r="H4429" s="6"/>
      <c r="AD4429" s="5">
        <v>45111.0</v>
      </c>
      <c r="AE4429" s="6">
        <v>0.4583333333333333</v>
      </c>
      <c r="AF4429" s="7">
        <v>56862.78</v>
      </c>
    </row>
    <row r="4430">
      <c r="G4430" s="5"/>
      <c r="H4430" s="6"/>
      <c r="AD4430" s="5">
        <v>45111.0</v>
      </c>
      <c r="AE4430" s="6">
        <v>0.5</v>
      </c>
      <c r="AF4430" s="7">
        <v>57416.58</v>
      </c>
    </row>
    <row r="4431">
      <c r="G4431" s="5"/>
      <c r="H4431" s="6"/>
      <c r="AD4431" s="5">
        <v>45111.0</v>
      </c>
      <c r="AE4431" s="6">
        <v>0.5416666666666666</v>
      </c>
      <c r="AF4431" s="7">
        <v>55647.54</v>
      </c>
    </row>
    <row r="4432">
      <c r="G4432" s="5"/>
      <c r="H4432" s="6"/>
      <c r="AD4432" s="5">
        <v>45111.0</v>
      </c>
      <c r="AE4432" s="6">
        <v>0.5833333333333334</v>
      </c>
      <c r="AF4432" s="7">
        <v>51138.36</v>
      </c>
    </row>
    <row r="4433">
      <c r="G4433" s="5"/>
      <c r="H4433" s="6"/>
      <c r="AD4433" s="5">
        <v>45111.0</v>
      </c>
      <c r="AE4433" s="6">
        <v>0.625</v>
      </c>
      <c r="AF4433" s="7">
        <v>42580.2</v>
      </c>
    </row>
    <row r="4434">
      <c r="G4434" s="5"/>
      <c r="H4434" s="6"/>
      <c r="AD4434" s="5">
        <v>45111.0</v>
      </c>
      <c r="AE4434" s="6">
        <v>0.6666666666666666</v>
      </c>
      <c r="AF4434" s="7">
        <v>31305.3</v>
      </c>
    </row>
    <row r="4435">
      <c r="G4435" s="5"/>
      <c r="H4435" s="6"/>
      <c r="AD4435" s="5">
        <v>45111.0</v>
      </c>
      <c r="AE4435" s="6">
        <v>0.7083333333333334</v>
      </c>
      <c r="AF4435" s="7">
        <v>18719.22</v>
      </c>
    </row>
    <row r="4436">
      <c r="G4436" s="5"/>
      <c r="H4436" s="6"/>
      <c r="AD4436" s="5">
        <v>45111.0</v>
      </c>
      <c r="AE4436" s="6">
        <v>0.75</v>
      </c>
      <c r="AF4436" s="7">
        <v>6238.44</v>
      </c>
    </row>
    <row r="4437">
      <c r="G4437" s="5"/>
      <c r="H4437" s="6"/>
      <c r="AD4437" s="5">
        <v>45111.0</v>
      </c>
      <c r="AE4437" s="6">
        <v>0.7916666666666666</v>
      </c>
      <c r="AF4437" s="7">
        <v>701.22</v>
      </c>
    </row>
    <row r="4438">
      <c r="G4438" s="5"/>
      <c r="H4438" s="6"/>
      <c r="AD4438" s="5">
        <v>45111.0</v>
      </c>
      <c r="AE4438" s="6">
        <v>0.8333333333333334</v>
      </c>
      <c r="AF4438" s="7">
        <v>0.0</v>
      </c>
    </row>
    <row r="4439">
      <c r="G4439" s="5"/>
      <c r="H4439" s="6"/>
      <c r="AD4439" s="5">
        <v>45111.0</v>
      </c>
      <c r="AE4439" s="6">
        <v>0.875</v>
      </c>
      <c r="AF4439" s="7">
        <v>0.0</v>
      </c>
    </row>
    <row r="4440">
      <c r="G4440" s="5"/>
      <c r="H4440" s="6"/>
      <c r="AD4440" s="5">
        <v>45111.0</v>
      </c>
      <c r="AE4440" s="6">
        <v>0.9166666666666666</v>
      </c>
      <c r="AF4440" s="7">
        <v>0.0</v>
      </c>
    </row>
    <row r="4441">
      <c r="G4441" s="5"/>
      <c r="H4441" s="6"/>
      <c r="AD4441" s="5">
        <v>45111.0</v>
      </c>
      <c r="AE4441" s="6">
        <v>0.9583333333333334</v>
      </c>
      <c r="AF4441" s="7">
        <v>0.0</v>
      </c>
    </row>
    <row r="4442">
      <c r="G4442" s="5"/>
      <c r="H4442" s="6"/>
      <c r="AD4442" s="5">
        <v>45112.0</v>
      </c>
      <c r="AE4442" s="6">
        <v>0.0</v>
      </c>
      <c r="AF4442" s="7">
        <v>0.0</v>
      </c>
    </row>
    <row r="4443">
      <c r="G4443" s="5"/>
      <c r="H4443" s="6"/>
      <c r="AD4443" s="5">
        <v>45112.0</v>
      </c>
      <c r="AE4443" s="6">
        <v>0.041666666666666664</v>
      </c>
      <c r="AF4443" s="7">
        <v>0.0</v>
      </c>
    </row>
    <row r="4444">
      <c r="G4444" s="5"/>
      <c r="H4444" s="6"/>
      <c r="AD4444" s="5">
        <v>45112.0</v>
      </c>
      <c r="AE4444" s="6">
        <v>0.08333333333333333</v>
      </c>
      <c r="AF4444" s="7">
        <v>0.0</v>
      </c>
    </row>
    <row r="4445">
      <c r="G4445" s="5"/>
      <c r="H4445" s="6"/>
      <c r="AD4445" s="5">
        <v>45112.0</v>
      </c>
      <c r="AE4445" s="6">
        <v>0.125</v>
      </c>
      <c r="AF4445" s="7">
        <v>0.0</v>
      </c>
    </row>
    <row r="4446">
      <c r="G4446" s="5"/>
      <c r="H4446" s="6"/>
      <c r="AD4446" s="5">
        <v>45112.0</v>
      </c>
      <c r="AE4446" s="6">
        <v>0.16666666666666666</v>
      </c>
      <c r="AF4446" s="7">
        <v>0.0</v>
      </c>
    </row>
    <row r="4447">
      <c r="G4447" s="5"/>
      <c r="H4447" s="6"/>
      <c r="AD4447" s="5">
        <v>45112.0</v>
      </c>
      <c r="AE4447" s="6">
        <v>0.20833333333333334</v>
      </c>
      <c r="AF4447" s="7">
        <v>1055.34</v>
      </c>
    </row>
    <row r="4448">
      <c r="G4448" s="5"/>
      <c r="H4448" s="6"/>
      <c r="AD4448" s="5">
        <v>45112.0</v>
      </c>
      <c r="AE4448" s="6">
        <v>0.25</v>
      </c>
      <c r="AF4448" s="7">
        <v>7588.62</v>
      </c>
    </row>
    <row r="4449">
      <c r="G4449" s="5"/>
      <c r="H4449" s="6"/>
      <c r="AD4449" s="5">
        <v>45112.0</v>
      </c>
      <c r="AE4449" s="6">
        <v>0.2916666666666667</v>
      </c>
      <c r="AF4449" s="7">
        <v>0.0</v>
      </c>
    </row>
    <row r="4450">
      <c r="G4450" s="5"/>
      <c r="H4450" s="6"/>
      <c r="AD4450" s="5">
        <v>45112.0</v>
      </c>
      <c r="AE4450" s="6">
        <v>0.3333333333333333</v>
      </c>
      <c r="AF4450" s="7">
        <v>34767.72</v>
      </c>
    </row>
    <row r="4451">
      <c r="G4451" s="5"/>
      <c r="H4451" s="6"/>
      <c r="AD4451" s="5">
        <v>45112.0</v>
      </c>
      <c r="AE4451" s="6">
        <v>0.375</v>
      </c>
      <c r="AF4451" s="7">
        <v>40349.4</v>
      </c>
    </row>
    <row r="4452">
      <c r="G4452" s="5"/>
      <c r="H4452" s="6"/>
      <c r="AD4452" s="5">
        <v>45112.0</v>
      </c>
      <c r="AE4452" s="6">
        <v>0.4166666666666667</v>
      </c>
      <c r="AF4452" s="7">
        <v>18226.26</v>
      </c>
    </row>
    <row r="4453">
      <c r="G4453" s="5"/>
      <c r="H4453" s="6"/>
      <c r="AD4453" s="5">
        <v>45112.0</v>
      </c>
      <c r="AE4453" s="6">
        <v>0.4583333333333333</v>
      </c>
      <c r="AF4453" s="7">
        <v>39835.38</v>
      </c>
    </row>
    <row r="4454">
      <c r="G4454" s="5"/>
      <c r="H4454" s="6"/>
      <c r="AD4454" s="5">
        <v>45112.0</v>
      </c>
      <c r="AE4454" s="6">
        <v>0.5</v>
      </c>
      <c r="AF4454" s="7">
        <v>8229.78</v>
      </c>
    </row>
    <row r="4455">
      <c r="G4455" s="5"/>
      <c r="H4455" s="6"/>
      <c r="AD4455" s="5">
        <v>45112.0</v>
      </c>
      <c r="AE4455" s="6">
        <v>0.5416666666666666</v>
      </c>
      <c r="AF4455" s="7">
        <v>46211.88</v>
      </c>
    </row>
    <row r="4456">
      <c r="G4456" s="5"/>
      <c r="H4456" s="6"/>
      <c r="AD4456" s="5">
        <v>45112.0</v>
      </c>
      <c r="AE4456" s="6">
        <v>0.5833333333333334</v>
      </c>
      <c r="AF4456" s="7">
        <v>31117.32</v>
      </c>
    </row>
    <row r="4457">
      <c r="G4457" s="5"/>
      <c r="H4457" s="6"/>
      <c r="AD4457" s="5">
        <v>45112.0</v>
      </c>
      <c r="AE4457" s="6">
        <v>0.625</v>
      </c>
      <c r="AF4457" s="7">
        <v>41435.94</v>
      </c>
    </row>
    <row r="4458">
      <c r="G4458" s="5"/>
      <c r="H4458" s="6"/>
      <c r="AD4458" s="5">
        <v>45112.0</v>
      </c>
      <c r="AE4458" s="6">
        <v>0.6666666666666666</v>
      </c>
      <c r="AF4458" s="7">
        <v>25130.04</v>
      </c>
    </row>
    <row r="4459">
      <c r="G4459" s="5"/>
      <c r="H4459" s="6"/>
      <c r="AD4459" s="5">
        <v>45112.0</v>
      </c>
      <c r="AE4459" s="6">
        <v>0.7083333333333334</v>
      </c>
      <c r="AF4459" s="7">
        <v>17520.36</v>
      </c>
    </row>
    <row r="4460">
      <c r="G4460" s="5"/>
      <c r="H4460" s="6"/>
      <c r="AD4460" s="5">
        <v>45112.0</v>
      </c>
      <c r="AE4460" s="6">
        <v>0.75</v>
      </c>
      <c r="AF4460" s="7">
        <v>2774.46</v>
      </c>
    </row>
    <row r="4461">
      <c r="G4461" s="5"/>
      <c r="H4461" s="6"/>
      <c r="AD4461" s="5">
        <v>45112.0</v>
      </c>
      <c r="AE4461" s="6">
        <v>0.7916666666666666</v>
      </c>
      <c r="AF4461" s="7">
        <v>696.54</v>
      </c>
    </row>
    <row r="4462">
      <c r="G4462" s="5"/>
      <c r="H4462" s="6"/>
      <c r="AD4462" s="5">
        <v>45112.0</v>
      </c>
      <c r="AE4462" s="6">
        <v>0.8333333333333334</v>
      </c>
      <c r="AF4462" s="7">
        <v>0.0</v>
      </c>
    </row>
    <row r="4463">
      <c r="G4463" s="5"/>
      <c r="H4463" s="6"/>
      <c r="AD4463" s="5">
        <v>45112.0</v>
      </c>
      <c r="AE4463" s="6">
        <v>0.875</v>
      </c>
      <c r="AF4463" s="7">
        <v>0.0</v>
      </c>
    </row>
    <row r="4464">
      <c r="G4464" s="5"/>
      <c r="H4464" s="6"/>
      <c r="AD4464" s="5">
        <v>45112.0</v>
      </c>
      <c r="AE4464" s="6">
        <v>0.9166666666666666</v>
      </c>
      <c r="AF4464" s="7">
        <v>0.0</v>
      </c>
    </row>
    <row r="4465">
      <c r="G4465" s="5"/>
      <c r="H4465" s="6"/>
      <c r="AD4465" s="5">
        <v>45112.0</v>
      </c>
      <c r="AE4465" s="6">
        <v>0.9583333333333334</v>
      </c>
      <c r="AF4465" s="7">
        <v>0.0</v>
      </c>
    </row>
    <row r="4466">
      <c r="G4466" s="5"/>
      <c r="H4466" s="6"/>
      <c r="AD4466" s="5">
        <v>45113.0</v>
      </c>
      <c r="AE4466" s="6">
        <v>0.0</v>
      </c>
      <c r="AF4466" s="7">
        <v>0.0</v>
      </c>
    </row>
    <row r="4467">
      <c r="G4467" s="5"/>
      <c r="H4467" s="6"/>
      <c r="AD4467" s="5">
        <v>45113.0</v>
      </c>
      <c r="AE4467" s="6">
        <v>0.041666666666666664</v>
      </c>
      <c r="AF4467" s="7">
        <v>0.0</v>
      </c>
    </row>
    <row r="4468">
      <c r="G4468" s="5"/>
      <c r="H4468" s="6"/>
      <c r="AD4468" s="5">
        <v>45113.0</v>
      </c>
      <c r="AE4468" s="6">
        <v>0.08333333333333333</v>
      </c>
      <c r="AF4468" s="7">
        <v>0.0</v>
      </c>
    </row>
    <row r="4469">
      <c r="G4469" s="5"/>
      <c r="H4469" s="6"/>
      <c r="AD4469" s="5">
        <v>45113.0</v>
      </c>
      <c r="AE4469" s="6">
        <v>0.125</v>
      </c>
      <c r="AF4469" s="7">
        <v>0.0</v>
      </c>
    </row>
    <row r="4470">
      <c r="G4470" s="5"/>
      <c r="H4470" s="6"/>
      <c r="AD4470" s="5">
        <v>45113.0</v>
      </c>
      <c r="AE4470" s="6">
        <v>0.16666666666666666</v>
      </c>
      <c r="AF4470" s="7">
        <v>0.0</v>
      </c>
    </row>
    <row r="4471">
      <c r="G4471" s="5"/>
      <c r="H4471" s="6"/>
      <c r="AD4471" s="5">
        <v>45113.0</v>
      </c>
      <c r="AE4471" s="6">
        <v>0.20833333333333334</v>
      </c>
      <c r="AF4471" s="7">
        <v>496.86</v>
      </c>
    </row>
    <row r="4472">
      <c r="G4472" s="5"/>
      <c r="H4472" s="6"/>
      <c r="AD4472" s="5">
        <v>45113.0</v>
      </c>
      <c r="AE4472" s="6">
        <v>0.25</v>
      </c>
      <c r="AF4472" s="7">
        <v>4754.88</v>
      </c>
    </row>
    <row r="4473">
      <c r="G4473" s="5"/>
      <c r="H4473" s="6"/>
      <c r="AD4473" s="5">
        <v>45113.0</v>
      </c>
      <c r="AE4473" s="6">
        <v>0.2916666666666667</v>
      </c>
      <c r="AF4473" s="7">
        <v>5989.62</v>
      </c>
    </row>
    <row r="4474">
      <c r="G4474" s="5"/>
      <c r="H4474" s="6"/>
      <c r="AD4474" s="5">
        <v>45113.0</v>
      </c>
      <c r="AE4474" s="6">
        <v>0.3333333333333333</v>
      </c>
      <c r="AF4474" s="7">
        <v>11015.94</v>
      </c>
    </row>
    <row r="4475">
      <c r="G4475" s="5"/>
      <c r="H4475" s="6"/>
      <c r="AD4475" s="5">
        <v>45113.0</v>
      </c>
      <c r="AE4475" s="6">
        <v>0.375</v>
      </c>
      <c r="AF4475" s="7">
        <v>20677.8</v>
      </c>
    </row>
    <row r="4476">
      <c r="G4476" s="5"/>
      <c r="H4476" s="6"/>
      <c r="AD4476" s="5">
        <v>45113.0</v>
      </c>
      <c r="AE4476" s="6">
        <v>0.4166666666666667</v>
      </c>
      <c r="AF4476" s="7">
        <v>37957.14</v>
      </c>
    </row>
    <row r="4477">
      <c r="G4477" s="5"/>
      <c r="H4477" s="6"/>
      <c r="AD4477" s="5">
        <v>45113.0</v>
      </c>
      <c r="AE4477" s="6">
        <v>0.4583333333333333</v>
      </c>
      <c r="AF4477" s="7">
        <v>50325.6</v>
      </c>
    </row>
    <row r="4478">
      <c r="G4478" s="5"/>
      <c r="H4478" s="6"/>
      <c r="AD4478" s="5">
        <v>45113.0</v>
      </c>
      <c r="AE4478" s="6">
        <v>0.5</v>
      </c>
      <c r="AF4478" s="7">
        <v>26856.18</v>
      </c>
    </row>
    <row r="4479">
      <c r="G4479" s="5"/>
      <c r="H4479" s="6"/>
      <c r="AD4479" s="5">
        <v>45113.0</v>
      </c>
      <c r="AE4479" s="6">
        <v>0.5416666666666666</v>
      </c>
      <c r="AF4479" s="7">
        <v>4013.1</v>
      </c>
    </row>
    <row r="4480">
      <c r="G4480" s="5"/>
      <c r="H4480" s="6"/>
      <c r="AD4480" s="5">
        <v>45113.0</v>
      </c>
      <c r="AE4480" s="6">
        <v>0.5833333333333334</v>
      </c>
      <c r="AF4480" s="7">
        <v>4116.84</v>
      </c>
    </row>
    <row r="4481">
      <c r="G4481" s="5"/>
      <c r="H4481" s="6"/>
      <c r="AD4481" s="5">
        <v>45113.0</v>
      </c>
      <c r="AE4481" s="6">
        <v>0.625</v>
      </c>
      <c r="AF4481" s="7">
        <v>40704.3</v>
      </c>
    </row>
    <row r="4482">
      <c r="G4482" s="5"/>
      <c r="H4482" s="6"/>
      <c r="AD4482" s="5">
        <v>45113.0</v>
      </c>
      <c r="AE4482" s="6">
        <v>0.6666666666666666</v>
      </c>
      <c r="AF4482" s="7">
        <v>2085.72</v>
      </c>
    </row>
    <row r="4483">
      <c r="G4483" s="5"/>
      <c r="H4483" s="6"/>
      <c r="AD4483" s="5">
        <v>45113.0</v>
      </c>
      <c r="AE4483" s="6">
        <v>0.7083333333333334</v>
      </c>
      <c r="AF4483" s="7">
        <v>9711.0</v>
      </c>
    </row>
    <row r="4484">
      <c r="G4484" s="5"/>
      <c r="H4484" s="6"/>
      <c r="AD4484" s="5">
        <v>45113.0</v>
      </c>
      <c r="AE4484" s="6">
        <v>0.75</v>
      </c>
      <c r="AF4484" s="7">
        <v>6374.16</v>
      </c>
    </row>
    <row r="4485">
      <c r="G4485" s="5"/>
      <c r="H4485" s="6"/>
      <c r="AD4485" s="5">
        <v>45113.0</v>
      </c>
      <c r="AE4485" s="6">
        <v>0.7916666666666666</v>
      </c>
      <c r="AF4485" s="7">
        <v>671.58</v>
      </c>
    </row>
    <row r="4486">
      <c r="G4486" s="5"/>
      <c r="H4486" s="6"/>
      <c r="AD4486" s="5">
        <v>45113.0</v>
      </c>
      <c r="AE4486" s="6">
        <v>0.8333333333333334</v>
      </c>
      <c r="AF4486" s="7">
        <v>0.0</v>
      </c>
    </row>
    <row r="4487">
      <c r="G4487" s="5"/>
      <c r="H4487" s="6"/>
      <c r="AD4487" s="5">
        <v>45113.0</v>
      </c>
      <c r="AE4487" s="6">
        <v>0.875</v>
      </c>
      <c r="AF4487" s="7">
        <v>0.0</v>
      </c>
    </row>
    <row r="4488">
      <c r="G4488" s="5"/>
      <c r="H4488" s="6"/>
      <c r="AD4488" s="5">
        <v>45113.0</v>
      </c>
      <c r="AE4488" s="6">
        <v>0.9166666666666666</v>
      </c>
      <c r="AF4488" s="7">
        <v>0.0</v>
      </c>
    </row>
    <row r="4489">
      <c r="G4489" s="5"/>
      <c r="H4489" s="6"/>
      <c r="AD4489" s="5">
        <v>45113.0</v>
      </c>
      <c r="AE4489" s="6">
        <v>0.9583333333333334</v>
      </c>
      <c r="AF4489" s="7">
        <v>0.0</v>
      </c>
    </row>
    <row r="4490">
      <c r="G4490" s="5"/>
      <c r="H4490" s="6"/>
      <c r="AD4490" s="5">
        <v>45114.0</v>
      </c>
      <c r="AE4490" s="6">
        <v>0.0</v>
      </c>
      <c r="AF4490" s="7">
        <v>0.0</v>
      </c>
    </row>
    <row r="4491">
      <c r="G4491" s="5"/>
      <c r="H4491" s="6"/>
      <c r="AD4491" s="5">
        <v>45114.0</v>
      </c>
      <c r="AE4491" s="6">
        <v>0.041666666666666664</v>
      </c>
      <c r="AF4491" s="7">
        <v>0.0</v>
      </c>
    </row>
    <row r="4492">
      <c r="G4492" s="5"/>
      <c r="H4492" s="6"/>
      <c r="AD4492" s="5">
        <v>45114.0</v>
      </c>
      <c r="AE4492" s="6">
        <v>0.08333333333333333</v>
      </c>
      <c r="AF4492" s="7">
        <v>0.0</v>
      </c>
    </row>
    <row r="4493">
      <c r="G4493" s="5"/>
      <c r="H4493" s="6"/>
      <c r="AD4493" s="5">
        <v>45114.0</v>
      </c>
      <c r="AE4493" s="6">
        <v>0.125</v>
      </c>
      <c r="AF4493" s="7">
        <v>0.0</v>
      </c>
    </row>
    <row r="4494">
      <c r="G4494" s="5"/>
      <c r="H4494" s="6"/>
      <c r="AD4494" s="5">
        <v>45114.0</v>
      </c>
      <c r="AE4494" s="6">
        <v>0.16666666666666666</v>
      </c>
      <c r="AF4494" s="7">
        <v>0.0</v>
      </c>
    </row>
    <row r="4495">
      <c r="G4495" s="5"/>
      <c r="H4495" s="6"/>
      <c r="AD4495" s="5">
        <v>45114.0</v>
      </c>
      <c r="AE4495" s="6">
        <v>0.20833333333333334</v>
      </c>
      <c r="AF4495" s="7">
        <v>940.68</v>
      </c>
    </row>
    <row r="4496">
      <c r="G4496" s="5"/>
      <c r="H4496" s="6"/>
      <c r="AD4496" s="5">
        <v>45114.0</v>
      </c>
      <c r="AE4496" s="6">
        <v>0.25</v>
      </c>
      <c r="AF4496" s="7">
        <v>7251.66</v>
      </c>
    </row>
    <row r="4497">
      <c r="G4497" s="5"/>
      <c r="H4497" s="6"/>
      <c r="AD4497" s="5">
        <v>45114.0</v>
      </c>
      <c r="AE4497" s="6">
        <v>0.2916666666666667</v>
      </c>
      <c r="AF4497" s="7">
        <v>20311.2</v>
      </c>
    </row>
    <row r="4498">
      <c r="G4498" s="5"/>
      <c r="H4498" s="6"/>
      <c r="AD4498" s="5">
        <v>45114.0</v>
      </c>
      <c r="AE4498" s="6">
        <v>0.3333333333333333</v>
      </c>
      <c r="AF4498" s="7">
        <v>32521.32</v>
      </c>
    </row>
    <row r="4499">
      <c r="G4499" s="5"/>
      <c r="H4499" s="6"/>
      <c r="AD4499" s="5">
        <v>45114.0</v>
      </c>
      <c r="AE4499" s="6">
        <v>0.375</v>
      </c>
      <c r="AF4499" s="7">
        <v>43421.04</v>
      </c>
    </row>
    <row r="4500">
      <c r="G4500" s="5"/>
      <c r="H4500" s="6"/>
      <c r="AD4500" s="5">
        <v>45114.0</v>
      </c>
      <c r="AE4500" s="6">
        <v>0.4166666666666667</v>
      </c>
      <c r="AF4500" s="7">
        <v>47349.9</v>
      </c>
    </row>
    <row r="4501">
      <c r="G4501" s="5"/>
      <c r="H4501" s="6"/>
      <c r="AD4501" s="5">
        <v>45114.0</v>
      </c>
      <c r="AE4501" s="6">
        <v>0.4583333333333333</v>
      </c>
      <c r="AF4501" s="7">
        <v>57979.74</v>
      </c>
    </row>
    <row r="4502">
      <c r="G4502" s="5"/>
      <c r="H4502" s="6"/>
      <c r="AD4502" s="5">
        <v>45114.0</v>
      </c>
      <c r="AE4502" s="6">
        <v>0.5</v>
      </c>
      <c r="AF4502" s="7">
        <v>54774.72</v>
      </c>
    </row>
    <row r="4503">
      <c r="G4503" s="5"/>
      <c r="H4503" s="6"/>
      <c r="AD4503" s="5">
        <v>45114.0</v>
      </c>
      <c r="AE4503" s="6">
        <v>0.5416666666666666</v>
      </c>
      <c r="AF4503" s="7">
        <v>46990.32</v>
      </c>
    </row>
    <row r="4504">
      <c r="G4504" s="5"/>
      <c r="H4504" s="6"/>
      <c r="AD4504" s="5">
        <v>45114.0</v>
      </c>
      <c r="AE4504" s="6">
        <v>0.5833333333333334</v>
      </c>
      <c r="AF4504" s="7">
        <v>29249.22</v>
      </c>
    </row>
    <row r="4505">
      <c r="G4505" s="5"/>
      <c r="H4505" s="6"/>
      <c r="AD4505" s="5">
        <v>45114.0</v>
      </c>
      <c r="AE4505" s="6">
        <v>0.625</v>
      </c>
      <c r="AF4505" s="7">
        <v>42846.18</v>
      </c>
    </row>
    <row r="4506">
      <c r="G4506" s="5"/>
      <c r="H4506" s="6"/>
      <c r="AD4506" s="5">
        <v>45114.0</v>
      </c>
      <c r="AE4506" s="6">
        <v>0.6666666666666666</v>
      </c>
      <c r="AF4506" s="7">
        <v>33308.34</v>
      </c>
    </row>
    <row r="4507">
      <c r="G4507" s="5"/>
      <c r="H4507" s="6"/>
      <c r="AD4507" s="5">
        <v>45114.0</v>
      </c>
      <c r="AE4507" s="6">
        <v>0.7083333333333334</v>
      </c>
      <c r="AF4507" s="7">
        <v>1830.66</v>
      </c>
    </row>
    <row r="4508">
      <c r="G4508" s="5"/>
      <c r="H4508" s="6"/>
      <c r="AD4508" s="5">
        <v>45114.0</v>
      </c>
      <c r="AE4508" s="6">
        <v>0.75</v>
      </c>
      <c r="AF4508" s="7">
        <v>6062.94</v>
      </c>
    </row>
    <row r="4509">
      <c r="G4509" s="5"/>
      <c r="H4509" s="6"/>
      <c r="AD4509" s="5">
        <v>45114.0</v>
      </c>
      <c r="AE4509" s="6">
        <v>0.7916666666666666</v>
      </c>
      <c r="AF4509" s="7">
        <v>532.74</v>
      </c>
    </row>
    <row r="4510">
      <c r="G4510" s="5"/>
      <c r="H4510" s="6"/>
      <c r="AD4510" s="5">
        <v>45114.0</v>
      </c>
      <c r="AE4510" s="6">
        <v>0.8333333333333334</v>
      </c>
      <c r="AF4510" s="7">
        <v>0.0</v>
      </c>
    </row>
    <row r="4511">
      <c r="G4511" s="5"/>
      <c r="H4511" s="6"/>
      <c r="AD4511" s="5">
        <v>45114.0</v>
      </c>
      <c r="AE4511" s="6">
        <v>0.875</v>
      </c>
      <c r="AF4511" s="7">
        <v>0.0</v>
      </c>
    </row>
    <row r="4512">
      <c r="G4512" s="5"/>
      <c r="H4512" s="6"/>
      <c r="AD4512" s="5">
        <v>45114.0</v>
      </c>
      <c r="AE4512" s="6">
        <v>0.9166666666666666</v>
      </c>
      <c r="AF4512" s="7">
        <v>0.0</v>
      </c>
    </row>
    <row r="4513">
      <c r="G4513" s="5"/>
      <c r="H4513" s="6"/>
      <c r="AD4513" s="5">
        <v>45114.0</v>
      </c>
      <c r="AE4513" s="6">
        <v>0.9583333333333334</v>
      </c>
      <c r="AF4513" s="7">
        <v>0.0</v>
      </c>
    </row>
    <row r="4514">
      <c r="G4514" s="5"/>
      <c r="H4514" s="6"/>
      <c r="AD4514" s="5">
        <v>45115.0</v>
      </c>
      <c r="AE4514" s="6">
        <v>0.0</v>
      </c>
      <c r="AF4514" s="7">
        <v>0.0</v>
      </c>
    </row>
    <row r="4515">
      <c r="G4515" s="5"/>
      <c r="H4515" s="6"/>
      <c r="AD4515" s="5">
        <v>45115.0</v>
      </c>
      <c r="AE4515" s="6">
        <v>0.041666666666666664</v>
      </c>
      <c r="AF4515" s="7">
        <v>0.0</v>
      </c>
    </row>
    <row r="4516">
      <c r="G4516" s="5"/>
      <c r="H4516" s="6"/>
      <c r="AD4516" s="5">
        <v>45115.0</v>
      </c>
      <c r="AE4516" s="6">
        <v>0.08333333333333333</v>
      </c>
      <c r="AF4516" s="7">
        <v>0.0</v>
      </c>
    </row>
    <row r="4517">
      <c r="G4517" s="5"/>
      <c r="H4517" s="6"/>
      <c r="AD4517" s="5">
        <v>45115.0</v>
      </c>
      <c r="AE4517" s="6">
        <v>0.125</v>
      </c>
      <c r="AF4517" s="7">
        <v>0.0</v>
      </c>
    </row>
    <row r="4518">
      <c r="G4518" s="5"/>
      <c r="H4518" s="6"/>
      <c r="AD4518" s="5">
        <v>45115.0</v>
      </c>
      <c r="AE4518" s="6">
        <v>0.16666666666666666</v>
      </c>
      <c r="AF4518" s="7">
        <v>0.0</v>
      </c>
    </row>
    <row r="4519">
      <c r="G4519" s="5"/>
      <c r="H4519" s="6"/>
      <c r="AD4519" s="5">
        <v>45115.0</v>
      </c>
      <c r="AE4519" s="6">
        <v>0.20833333333333334</v>
      </c>
      <c r="AF4519" s="7">
        <v>891.54</v>
      </c>
    </row>
    <row r="4520">
      <c r="G4520" s="5"/>
      <c r="H4520" s="6"/>
      <c r="AD4520" s="5">
        <v>45115.0</v>
      </c>
      <c r="AE4520" s="6">
        <v>0.25</v>
      </c>
      <c r="AF4520" s="7">
        <v>7227.48</v>
      </c>
    </row>
    <row r="4521">
      <c r="G4521" s="5"/>
      <c r="H4521" s="6"/>
      <c r="AD4521" s="5">
        <v>45115.0</v>
      </c>
      <c r="AE4521" s="6">
        <v>0.2916666666666667</v>
      </c>
      <c r="AF4521" s="7">
        <v>20514.78</v>
      </c>
    </row>
    <row r="4522">
      <c r="G4522" s="5"/>
      <c r="H4522" s="6"/>
      <c r="AD4522" s="5">
        <v>45115.0</v>
      </c>
      <c r="AE4522" s="6">
        <v>0.3333333333333333</v>
      </c>
      <c r="AF4522" s="7">
        <v>33677.28</v>
      </c>
    </row>
    <row r="4523">
      <c r="G4523" s="5"/>
      <c r="H4523" s="6"/>
      <c r="AD4523" s="5">
        <v>45115.0</v>
      </c>
      <c r="AE4523" s="6">
        <v>0.375</v>
      </c>
      <c r="AF4523" s="7">
        <v>44090.28</v>
      </c>
    </row>
    <row r="4524">
      <c r="G4524" s="5"/>
      <c r="H4524" s="6"/>
      <c r="AD4524" s="5">
        <v>45115.0</v>
      </c>
      <c r="AE4524" s="6">
        <v>0.4166666666666667</v>
      </c>
      <c r="AF4524" s="7">
        <v>51098.58</v>
      </c>
    </row>
    <row r="4525">
      <c r="G4525" s="5"/>
      <c r="H4525" s="6"/>
      <c r="AD4525" s="5">
        <v>45115.0</v>
      </c>
      <c r="AE4525" s="6">
        <v>0.4583333333333333</v>
      </c>
      <c r="AF4525" s="7">
        <v>55598.4</v>
      </c>
    </row>
    <row r="4526">
      <c r="G4526" s="5"/>
      <c r="H4526" s="6"/>
      <c r="AD4526" s="5">
        <v>45115.0</v>
      </c>
      <c r="AE4526" s="6">
        <v>0.5</v>
      </c>
      <c r="AF4526" s="7">
        <v>56845.62</v>
      </c>
    </row>
    <row r="4527">
      <c r="G4527" s="5"/>
      <c r="H4527" s="6"/>
      <c r="AD4527" s="5">
        <v>45115.0</v>
      </c>
      <c r="AE4527" s="6">
        <v>0.5416666666666666</v>
      </c>
      <c r="AF4527" s="7">
        <v>55357.38</v>
      </c>
    </row>
    <row r="4528">
      <c r="G4528" s="5"/>
      <c r="H4528" s="6"/>
      <c r="AD4528" s="5">
        <v>45115.0</v>
      </c>
      <c r="AE4528" s="6">
        <v>0.5833333333333334</v>
      </c>
      <c r="AF4528" s="7">
        <v>50426.22</v>
      </c>
    </row>
    <row r="4529">
      <c r="G4529" s="5"/>
      <c r="H4529" s="6"/>
      <c r="AD4529" s="5">
        <v>45115.0</v>
      </c>
      <c r="AE4529" s="6">
        <v>0.625</v>
      </c>
      <c r="AF4529" s="7">
        <v>42440.58</v>
      </c>
    </row>
    <row r="4530">
      <c r="G4530" s="5"/>
      <c r="H4530" s="6"/>
      <c r="AD4530" s="5">
        <v>45115.0</v>
      </c>
      <c r="AE4530" s="6">
        <v>0.6666666666666666</v>
      </c>
      <c r="AF4530" s="7">
        <v>31065.84</v>
      </c>
    </row>
    <row r="4531">
      <c r="G4531" s="5"/>
      <c r="H4531" s="6"/>
      <c r="AD4531" s="5">
        <v>45115.0</v>
      </c>
      <c r="AE4531" s="6">
        <v>0.7083333333333334</v>
      </c>
      <c r="AF4531" s="7">
        <v>18415.02</v>
      </c>
    </row>
    <row r="4532">
      <c r="G4532" s="5"/>
      <c r="H4532" s="6"/>
      <c r="AD4532" s="5">
        <v>45115.0</v>
      </c>
      <c r="AE4532" s="6">
        <v>0.75</v>
      </c>
      <c r="AF4532" s="7">
        <v>6108.18</v>
      </c>
    </row>
    <row r="4533">
      <c r="G4533" s="5"/>
      <c r="H4533" s="6"/>
      <c r="AD4533" s="5">
        <v>45115.0</v>
      </c>
      <c r="AE4533" s="6">
        <v>0.7916666666666666</v>
      </c>
      <c r="AF4533" s="7">
        <v>643.5</v>
      </c>
    </row>
    <row r="4534">
      <c r="G4534" s="5"/>
      <c r="H4534" s="6"/>
      <c r="AD4534" s="5">
        <v>45115.0</v>
      </c>
      <c r="AE4534" s="6">
        <v>0.8333333333333334</v>
      </c>
      <c r="AF4534" s="7">
        <v>0.0</v>
      </c>
    </row>
    <row r="4535">
      <c r="G4535" s="5"/>
      <c r="H4535" s="6"/>
      <c r="AD4535" s="5">
        <v>45115.0</v>
      </c>
      <c r="AE4535" s="6">
        <v>0.875</v>
      </c>
      <c r="AF4535" s="7">
        <v>0.0</v>
      </c>
    </row>
    <row r="4536">
      <c r="G4536" s="5"/>
      <c r="H4536" s="6"/>
      <c r="AD4536" s="5">
        <v>45115.0</v>
      </c>
      <c r="AE4536" s="6">
        <v>0.9166666666666666</v>
      </c>
      <c r="AF4536" s="7">
        <v>0.0</v>
      </c>
    </row>
    <row r="4537">
      <c r="G4537" s="5"/>
      <c r="H4537" s="6"/>
      <c r="AD4537" s="5">
        <v>45115.0</v>
      </c>
      <c r="AE4537" s="6">
        <v>0.9583333333333334</v>
      </c>
      <c r="AF4537" s="7">
        <v>0.0</v>
      </c>
    </row>
    <row r="4538">
      <c r="G4538" s="5"/>
      <c r="H4538" s="6"/>
      <c r="AD4538" s="5">
        <v>45116.0</v>
      </c>
      <c r="AE4538" s="6">
        <v>0.0</v>
      </c>
      <c r="AF4538" s="7">
        <v>0.0</v>
      </c>
    </row>
    <row r="4539">
      <c r="G4539" s="5"/>
      <c r="H4539" s="6"/>
      <c r="AD4539" s="5">
        <v>45116.0</v>
      </c>
      <c r="AE4539" s="6">
        <v>0.041666666666666664</v>
      </c>
      <c r="AF4539" s="7">
        <v>0.0</v>
      </c>
    </row>
    <row r="4540">
      <c r="G4540" s="5"/>
      <c r="H4540" s="6"/>
      <c r="AD4540" s="5">
        <v>45116.0</v>
      </c>
      <c r="AE4540" s="6">
        <v>0.08333333333333333</v>
      </c>
      <c r="AF4540" s="7">
        <v>0.0</v>
      </c>
    </row>
    <row r="4541">
      <c r="G4541" s="5"/>
      <c r="H4541" s="6"/>
      <c r="AD4541" s="5">
        <v>45116.0</v>
      </c>
      <c r="AE4541" s="6">
        <v>0.125</v>
      </c>
      <c r="AF4541" s="7">
        <v>0.0</v>
      </c>
    </row>
    <row r="4542">
      <c r="G4542" s="5"/>
      <c r="H4542" s="6"/>
      <c r="AD4542" s="5">
        <v>45116.0</v>
      </c>
      <c r="AE4542" s="6">
        <v>0.16666666666666666</v>
      </c>
      <c r="AF4542" s="7">
        <v>0.0</v>
      </c>
    </row>
    <row r="4543">
      <c r="G4543" s="5"/>
      <c r="H4543" s="6"/>
      <c r="AD4543" s="5">
        <v>45116.0</v>
      </c>
      <c r="AE4543" s="6">
        <v>0.20833333333333334</v>
      </c>
      <c r="AF4543" s="7">
        <v>882.18</v>
      </c>
    </row>
    <row r="4544">
      <c r="G4544" s="5"/>
      <c r="H4544" s="6"/>
      <c r="AD4544" s="5">
        <v>45116.0</v>
      </c>
      <c r="AE4544" s="6">
        <v>0.25</v>
      </c>
      <c r="AF4544" s="7">
        <v>7098.0</v>
      </c>
    </row>
    <row r="4545">
      <c r="G4545" s="5"/>
      <c r="H4545" s="6"/>
      <c r="AD4545" s="5">
        <v>45116.0</v>
      </c>
      <c r="AE4545" s="6">
        <v>0.2916666666666667</v>
      </c>
      <c r="AF4545" s="7">
        <v>19982.04</v>
      </c>
    </row>
    <row r="4546">
      <c r="G4546" s="5"/>
      <c r="H4546" s="6"/>
      <c r="AD4546" s="5">
        <v>45116.0</v>
      </c>
      <c r="AE4546" s="6">
        <v>0.3333333333333333</v>
      </c>
      <c r="AF4546" s="7">
        <v>33163.26</v>
      </c>
    </row>
    <row r="4547">
      <c r="G4547" s="5"/>
      <c r="H4547" s="6"/>
      <c r="AD4547" s="5">
        <v>45116.0</v>
      </c>
      <c r="AE4547" s="6">
        <v>0.375</v>
      </c>
      <c r="AF4547" s="7">
        <v>42824.34</v>
      </c>
    </row>
    <row r="4548">
      <c r="G4548" s="5"/>
      <c r="H4548" s="6"/>
      <c r="AD4548" s="5">
        <v>45116.0</v>
      </c>
      <c r="AE4548" s="6">
        <v>0.4166666666666667</v>
      </c>
      <c r="AF4548" s="7">
        <v>51198.42</v>
      </c>
    </row>
    <row r="4549">
      <c r="G4549" s="5"/>
      <c r="H4549" s="6"/>
      <c r="AD4549" s="5">
        <v>45116.0</v>
      </c>
      <c r="AE4549" s="6">
        <v>0.4583333333333333</v>
      </c>
      <c r="AF4549" s="7">
        <v>54830.1</v>
      </c>
    </row>
    <row r="4550">
      <c r="G4550" s="5"/>
      <c r="H4550" s="6"/>
      <c r="AD4550" s="5">
        <v>45116.0</v>
      </c>
      <c r="AE4550" s="6">
        <v>0.5</v>
      </c>
      <c r="AF4550" s="7">
        <v>57964.14</v>
      </c>
    </row>
    <row r="4551">
      <c r="G4551" s="5"/>
      <c r="H4551" s="6"/>
      <c r="AD4551" s="5">
        <v>45116.0</v>
      </c>
      <c r="AE4551" s="6">
        <v>0.5416666666666666</v>
      </c>
      <c r="AF4551" s="7">
        <v>36252.06</v>
      </c>
    </row>
    <row r="4552">
      <c r="G4552" s="5"/>
      <c r="H4552" s="6"/>
      <c r="AD4552" s="5">
        <v>45116.0</v>
      </c>
      <c r="AE4552" s="6">
        <v>0.5833333333333334</v>
      </c>
      <c r="AF4552" s="7">
        <v>48696.96</v>
      </c>
    </row>
    <row r="4553">
      <c r="G4553" s="5"/>
      <c r="H4553" s="6"/>
      <c r="AD4553" s="5">
        <v>45116.0</v>
      </c>
      <c r="AE4553" s="6">
        <v>0.625</v>
      </c>
      <c r="AF4553" s="7">
        <v>40730.82</v>
      </c>
    </row>
    <row r="4554">
      <c r="G4554" s="5"/>
      <c r="H4554" s="6"/>
      <c r="AD4554" s="5">
        <v>45116.0</v>
      </c>
      <c r="AE4554" s="6">
        <v>0.6666666666666666</v>
      </c>
      <c r="AF4554" s="7">
        <v>29720.34</v>
      </c>
    </row>
    <row r="4555">
      <c r="G4555" s="5"/>
      <c r="H4555" s="6"/>
      <c r="AD4555" s="5">
        <v>45116.0</v>
      </c>
      <c r="AE4555" s="6">
        <v>0.7083333333333334</v>
      </c>
      <c r="AF4555" s="7">
        <v>18120.18</v>
      </c>
    </row>
    <row r="4556">
      <c r="G4556" s="5"/>
      <c r="H4556" s="6"/>
      <c r="AD4556" s="5">
        <v>45116.0</v>
      </c>
      <c r="AE4556" s="6">
        <v>0.75</v>
      </c>
      <c r="AF4556" s="7">
        <v>6096.48</v>
      </c>
    </row>
    <row r="4557">
      <c r="G4557" s="5"/>
      <c r="H4557" s="6"/>
      <c r="AD4557" s="5">
        <v>45116.0</v>
      </c>
      <c r="AE4557" s="6">
        <v>0.7916666666666666</v>
      </c>
      <c r="AF4557" s="7">
        <v>593.58</v>
      </c>
    </row>
    <row r="4558">
      <c r="G4558" s="5"/>
      <c r="H4558" s="6"/>
      <c r="AD4558" s="5">
        <v>45116.0</v>
      </c>
      <c r="AE4558" s="6">
        <v>0.8333333333333334</v>
      </c>
      <c r="AF4558" s="7">
        <v>0.0</v>
      </c>
    </row>
    <row r="4559">
      <c r="G4559" s="5"/>
      <c r="H4559" s="6"/>
      <c r="AD4559" s="5">
        <v>45116.0</v>
      </c>
      <c r="AE4559" s="6">
        <v>0.875</v>
      </c>
      <c r="AF4559" s="7">
        <v>0.0</v>
      </c>
    </row>
    <row r="4560">
      <c r="G4560" s="5"/>
      <c r="H4560" s="6"/>
      <c r="AD4560" s="5">
        <v>45116.0</v>
      </c>
      <c r="AE4560" s="6">
        <v>0.9166666666666666</v>
      </c>
      <c r="AF4560" s="7">
        <v>0.0</v>
      </c>
    </row>
    <row r="4561">
      <c r="G4561" s="5"/>
      <c r="H4561" s="6"/>
      <c r="AD4561" s="5">
        <v>45116.0</v>
      </c>
      <c r="AE4561" s="6">
        <v>0.9583333333333334</v>
      </c>
      <c r="AF4561" s="7">
        <v>0.0</v>
      </c>
    </row>
    <row r="4562">
      <c r="G4562" s="5"/>
      <c r="H4562" s="6"/>
      <c r="AD4562" s="5">
        <v>45117.0</v>
      </c>
      <c r="AE4562" s="6">
        <v>0.0</v>
      </c>
      <c r="AF4562" s="7">
        <v>0.0</v>
      </c>
    </row>
    <row r="4563">
      <c r="G4563" s="5"/>
      <c r="H4563" s="6"/>
      <c r="AD4563" s="5">
        <v>45117.0</v>
      </c>
      <c r="AE4563" s="6">
        <v>0.041666666666666664</v>
      </c>
      <c r="AF4563" s="7">
        <v>0.0</v>
      </c>
    </row>
    <row r="4564">
      <c r="G4564" s="5"/>
      <c r="H4564" s="6"/>
      <c r="AD4564" s="5">
        <v>45117.0</v>
      </c>
      <c r="AE4564" s="6">
        <v>0.08333333333333333</v>
      </c>
      <c r="AF4564" s="7">
        <v>0.0</v>
      </c>
    </row>
    <row r="4565">
      <c r="G4565" s="5"/>
      <c r="H4565" s="6"/>
      <c r="AD4565" s="5">
        <v>45117.0</v>
      </c>
      <c r="AE4565" s="6">
        <v>0.125</v>
      </c>
      <c r="AF4565" s="7">
        <v>0.0</v>
      </c>
    </row>
    <row r="4566">
      <c r="G4566" s="5"/>
      <c r="H4566" s="6"/>
      <c r="AD4566" s="5">
        <v>45117.0</v>
      </c>
      <c r="AE4566" s="6">
        <v>0.16666666666666666</v>
      </c>
      <c r="AF4566" s="7">
        <v>0.0</v>
      </c>
    </row>
    <row r="4567">
      <c r="G4567" s="5"/>
      <c r="H4567" s="6"/>
      <c r="AD4567" s="5">
        <v>45117.0</v>
      </c>
      <c r="AE4567" s="6">
        <v>0.20833333333333334</v>
      </c>
      <c r="AF4567" s="7">
        <v>839.28</v>
      </c>
    </row>
    <row r="4568">
      <c r="G4568" s="5"/>
      <c r="H4568" s="6"/>
      <c r="AD4568" s="5">
        <v>45117.0</v>
      </c>
      <c r="AE4568" s="6">
        <v>0.25</v>
      </c>
      <c r="AF4568" s="7">
        <v>7047.3</v>
      </c>
    </row>
    <row r="4569">
      <c r="G4569" s="5"/>
      <c r="H4569" s="6"/>
      <c r="AD4569" s="5">
        <v>45117.0</v>
      </c>
      <c r="AE4569" s="6">
        <v>0.2916666666666667</v>
      </c>
      <c r="AF4569" s="7">
        <v>19985.16</v>
      </c>
    </row>
    <row r="4570">
      <c r="G4570" s="5"/>
      <c r="H4570" s="6"/>
      <c r="AD4570" s="5">
        <v>45117.0</v>
      </c>
      <c r="AE4570" s="6">
        <v>0.3333333333333333</v>
      </c>
      <c r="AF4570" s="7">
        <v>33163.26</v>
      </c>
    </row>
    <row r="4571">
      <c r="G4571" s="5"/>
      <c r="H4571" s="6"/>
      <c r="AD4571" s="5">
        <v>45117.0</v>
      </c>
      <c r="AE4571" s="6">
        <v>0.375</v>
      </c>
      <c r="AF4571" s="7">
        <v>43277.52</v>
      </c>
    </row>
    <row r="4572">
      <c r="G4572" s="5"/>
      <c r="H4572" s="6"/>
      <c r="AD4572" s="5">
        <v>45117.0</v>
      </c>
      <c r="AE4572" s="6">
        <v>0.4166666666666667</v>
      </c>
      <c r="AF4572" s="7">
        <v>50012.04</v>
      </c>
    </row>
    <row r="4573">
      <c r="G4573" s="5"/>
      <c r="H4573" s="6"/>
      <c r="AD4573" s="5">
        <v>45117.0</v>
      </c>
      <c r="AE4573" s="6">
        <v>0.4583333333333333</v>
      </c>
      <c r="AF4573" s="7">
        <v>54340.26</v>
      </c>
    </row>
    <row r="4574">
      <c r="G4574" s="5"/>
      <c r="H4574" s="6"/>
      <c r="AD4574" s="5">
        <v>45117.0</v>
      </c>
      <c r="AE4574" s="6">
        <v>0.5</v>
      </c>
      <c r="AF4574" s="7">
        <v>55049.28</v>
      </c>
    </row>
    <row r="4575">
      <c r="G4575" s="5"/>
      <c r="H4575" s="6"/>
      <c r="AD4575" s="5">
        <v>45117.0</v>
      </c>
      <c r="AE4575" s="6">
        <v>0.5416666666666666</v>
      </c>
      <c r="AF4575" s="7">
        <v>53358.24</v>
      </c>
    </row>
    <row r="4576">
      <c r="G4576" s="5"/>
      <c r="H4576" s="6"/>
      <c r="AD4576" s="5">
        <v>45117.0</v>
      </c>
      <c r="AE4576" s="6">
        <v>0.5833333333333334</v>
      </c>
      <c r="AF4576" s="7">
        <v>48941.1</v>
      </c>
    </row>
    <row r="4577">
      <c r="G4577" s="5"/>
      <c r="H4577" s="6"/>
      <c r="AD4577" s="5">
        <v>45117.0</v>
      </c>
      <c r="AE4577" s="6">
        <v>0.625</v>
      </c>
      <c r="AF4577" s="7">
        <v>41278.38</v>
      </c>
    </row>
    <row r="4578">
      <c r="G4578" s="5"/>
      <c r="H4578" s="6"/>
      <c r="AD4578" s="5">
        <v>45117.0</v>
      </c>
      <c r="AE4578" s="6">
        <v>0.6666666666666666</v>
      </c>
      <c r="AF4578" s="7">
        <v>29775.72</v>
      </c>
    </row>
    <row r="4579">
      <c r="G4579" s="5"/>
      <c r="H4579" s="6"/>
      <c r="AD4579" s="5">
        <v>45117.0</v>
      </c>
      <c r="AE4579" s="6">
        <v>0.7083333333333334</v>
      </c>
      <c r="AF4579" s="7">
        <v>17614.74</v>
      </c>
    </row>
    <row r="4580">
      <c r="G4580" s="5"/>
      <c r="H4580" s="6"/>
      <c r="AD4580" s="5">
        <v>45117.0</v>
      </c>
      <c r="AE4580" s="6">
        <v>0.75</v>
      </c>
      <c r="AF4580" s="7">
        <v>5984.16</v>
      </c>
    </row>
    <row r="4581">
      <c r="G4581" s="5"/>
      <c r="H4581" s="6"/>
      <c r="AD4581" s="5">
        <v>45117.0</v>
      </c>
      <c r="AE4581" s="6">
        <v>0.7916666666666666</v>
      </c>
      <c r="AF4581" s="7">
        <v>543.66</v>
      </c>
    </row>
    <row r="4582">
      <c r="G4582" s="5"/>
      <c r="H4582" s="6"/>
      <c r="AD4582" s="5">
        <v>45117.0</v>
      </c>
      <c r="AE4582" s="6">
        <v>0.8333333333333334</v>
      </c>
      <c r="AF4582" s="7">
        <v>0.0</v>
      </c>
    </row>
    <row r="4583">
      <c r="G4583" s="5"/>
      <c r="H4583" s="6"/>
      <c r="AD4583" s="5">
        <v>45117.0</v>
      </c>
      <c r="AE4583" s="6">
        <v>0.875</v>
      </c>
      <c r="AF4583" s="7">
        <v>0.0</v>
      </c>
    </row>
    <row r="4584">
      <c r="G4584" s="5"/>
      <c r="H4584" s="6"/>
      <c r="AD4584" s="5">
        <v>45117.0</v>
      </c>
      <c r="AE4584" s="6">
        <v>0.9166666666666666</v>
      </c>
      <c r="AF4584" s="7">
        <v>0.0</v>
      </c>
    </row>
    <row r="4585">
      <c r="G4585" s="5"/>
      <c r="H4585" s="6"/>
      <c r="AD4585" s="5">
        <v>45117.0</v>
      </c>
      <c r="AE4585" s="6">
        <v>0.9583333333333334</v>
      </c>
      <c r="AF4585" s="7">
        <v>0.0</v>
      </c>
    </row>
    <row r="4586">
      <c r="G4586" s="5"/>
      <c r="H4586" s="6"/>
      <c r="AD4586" s="5">
        <v>45118.0</v>
      </c>
      <c r="AE4586" s="6">
        <v>0.0</v>
      </c>
      <c r="AF4586" s="7">
        <v>0.0</v>
      </c>
    </row>
    <row r="4587">
      <c r="G4587" s="5"/>
      <c r="H4587" s="6"/>
      <c r="AD4587" s="5">
        <v>45118.0</v>
      </c>
      <c r="AE4587" s="6">
        <v>0.041666666666666664</v>
      </c>
      <c r="AF4587" s="7">
        <v>0.0</v>
      </c>
    </row>
    <row r="4588">
      <c r="G4588" s="5"/>
      <c r="H4588" s="6"/>
      <c r="AD4588" s="5">
        <v>45118.0</v>
      </c>
      <c r="AE4588" s="6">
        <v>0.08333333333333333</v>
      </c>
      <c r="AF4588" s="7">
        <v>0.0</v>
      </c>
    </row>
    <row r="4589">
      <c r="G4589" s="5"/>
      <c r="H4589" s="6"/>
      <c r="AD4589" s="5">
        <v>45118.0</v>
      </c>
      <c r="AE4589" s="6">
        <v>0.125</v>
      </c>
      <c r="AF4589" s="7">
        <v>0.0</v>
      </c>
    </row>
    <row r="4590">
      <c r="G4590" s="5"/>
      <c r="H4590" s="6"/>
      <c r="AD4590" s="5">
        <v>45118.0</v>
      </c>
      <c r="AE4590" s="6">
        <v>0.16666666666666666</v>
      </c>
      <c r="AF4590" s="7">
        <v>0.0</v>
      </c>
    </row>
    <row r="4591">
      <c r="G4591" s="5"/>
      <c r="H4591" s="6"/>
      <c r="AD4591" s="5">
        <v>45118.0</v>
      </c>
      <c r="AE4591" s="6">
        <v>0.20833333333333334</v>
      </c>
      <c r="AF4591" s="7">
        <v>774.54</v>
      </c>
    </row>
    <row r="4592">
      <c r="G4592" s="5"/>
      <c r="H4592" s="6"/>
      <c r="AD4592" s="5">
        <v>45118.0</v>
      </c>
      <c r="AE4592" s="6">
        <v>0.25</v>
      </c>
      <c r="AF4592" s="7">
        <v>6877.26</v>
      </c>
    </row>
    <row r="4593">
      <c r="G4593" s="5"/>
      <c r="H4593" s="6"/>
      <c r="AD4593" s="5">
        <v>45118.0</v>
      </c>
      <c r="AE4593" s="6">
        <v>0.2916666666666667</v>
      </c>
      <c r="AF4593" s="7">
        <v>19311.24</v>
      </c>
    </row>
    <row r="4594">
      <c r="G4594" s="5"/>
      <c r="H4594" s="6"/>
      <c r="AD4594" s="5">
        <v>45118.0</v>
      </c>
      <c r="AE4594" s="6">
        <v>0.3333333333333333</v>
      </c>
      <c r="AF4594" s="7">
        <v>34330.92</v>
      </c>
    </row>
    <row r="4595">
      <c r="G4595" s="5"/>
      <c r="H4595" s="6"/>
      <c r="AD4595" s="5">
        <v>45118.0</v>
      </c>
      <c r="AE4595" s="6">
        <v>0.375</v>
      </c>
      <c r="AF4595" s="7">
        <v>41098.2</v>
      </c>
    </row>
    <row r="4596">
      <c r="G4596" s="5"/>
      <c r="H4596" s="6"/>
      <c r="AD4596" s="5">
        <v>45118.0</v>
      </c>
      <c r="AE4596" s="6">
        <v>0.4166666666666667</v>
      </c>
      <c r="AF4596" s="7">
        <v>48786.66</v>
      </c>
    </row>
    <row r="4597">
      <c r="G4597" s="5"/>
      <c r="H4597" s="6"/>
      <c r="AD4597" s="5">
        <v>45118.0</v>
      </c>
      <c r="AE4597" s="6">
        <v>0.4583333333333333</v>
      </c>
      <c r="AF4597" s="7">
        <v>53256.06</v>
      </c>
    </row>
    <row r="4598">
      <c r="G4598" s="5"/>
      <c r="H4598" s="6"/>
      <c r="AD4598" s="5">
        <v>45118.0</v>
      </c>
      <c r="AE4598" s="6">
        <v>0.5</v>
      </c>
      <c r="AF4598" s="7">
        <v>53403.48</v>
      </c>
    </row>
    <row r="4599">
      <c r="G4599" s="5"/>
      <c r="H4599" s="6"/>
      <c r="AD4599" s="5">
        <v>45118.0</v>
      </c>
      <c r="AE4599" s="6">
        <v>0.5416666666666666</v>
      </c>
      <c r="AF4599" s="7">
        <v>51650.82</v>
      </c>
    </row>
    <row r="4600">
      <c r="G4600" s="5"/>
      <c r="H4600" s="6"/>
      <c r="AD4600" s="5">
        <v>45118.0</v>
      </c>
      <c r="AE4600" s="6">
        <v>0.5833333333333334</v>
      </c>
      <c r="AF4600" s="7">
        <v>48052.68</v>
      </c>
    </row>
    <row r="4601">
      <c r="G4601" s="5"/>
      <c r="H4601" s="6"/>
      <c r="AD4601" s="5">
        <v>45118.0</v>
      </c>
      <c r="AE4601" s="6">
        <v>0.625</v>
      </c>
      <c r="AF4601" s="7">
        <v>40688.7</v>
      </c>
    </row>
    <row r="4602">
      <c r="G4602" s="5"/>
      <c r="H4602" s="6"/>
      <c r="AD4602" s="5">
        <v>45118.0</v>
      </c>
      <c r="AE4602" s="6">
        <v>0.6666666666666666</v>
      </c>
      <c r="AF4602" s="7">
        <v>29305.38</v>
      </c>
    </row>
    <row r="4603">
      <c r="G4603" s="5"/>
      <c r="H4603" s="6"/>
      <c r="AD4603" s="5">
        <v>45118.0</v>
      </c>
      <c r="AE4603" s="6">
        <v>0.7083333333333334</v>
      </c>
      <c r="AF4603" s="7">
        <v>17383.08</v>
      </c>
    </row>
    <row r="4604">
      <c r="G4604" s="5"/>
      <c r="H4604" s="6"/>
      <c r="AD4604" s="5">
        <v>45118.0</v>
      </c>
      <c r="AE4604" s="6">
        <v>0.75</v>
      </c>
      <c r="AF4604" s="7">
        <v>5922.54</v>
      </c>
    </row>
    <row r="4605">
      <c r="G4605" s="5"/>
      <c r="H4605" s="6"/>
      <c r="AD4605" s="5">
        <v>45118.0</v>
      </c>
      <c r="AE4605" s="6">
        <v>0.7916666666666666</v>
      </c>
      <c r="AF4605" s="7">
        <v>577.98</v>
      </c>
    </row>
    <row r="4606">
      <c r="G4606" s="5"/>
      <c r="H4606" s="6"/>
      <c r="AD4606" s="5">
        <v>45118.0</v>
      </c>
      <c r="AE4606" s="6">
        <v>0.8333333333333334</v>
      </c>
      <c r="AF4606" s="7">
        <v>0.0</v>
      </c>
    </row>
    <row r="4607">
      <c r="G4607" s="5"/>
      <c r="H4607" s="6"/>
      <c r="AD4607" s="5">
        <v>45118.0</v>
      </c>
      <c r="AE4607" s="6">
        <v>0.875</v>
      </c>
      <c r="AF4607" s="7">
        <v>0.0</v>
      </c>
    </row>
    <row r="4608">
      <c r="G4608" s="5"/>
      <c r="H4608" s="6"/>
      <c r="AD4608" s="5">
        <v>45118.0</v>
      </c>
      <c r="AE4608" s="6">
        <v>0.9166666666666666</v>
      </c>
      <c r="AF4608" s="7">
        <v>0.0</v>
      </c>
    </row>
    <row r="4609">
      <c r="G4609" s="5"/>
      <c r="H4609" s="6"/>
      <c r="AD4609" s="5">
        <v>45118.0</v>
      </c>
      <c r="AE4609" s="6">
        <v>0.9583333333333334</v>
      </c>
      <c r="AF4609" s="7">
        <v>0.0</v>
      </c>
    </row>
    <row r="4610">
      <c r="G4610" s="5"/>
      <c r="H4610" s="6"/>
      <c r="AD4610" s="5">
        <v>45119.0</v>
      </c>
      <c r="AE4610" s="6">
        <v>0.0</v>
      </c>
      <c r="AF4610" s="7">
        <v>0.0</v>
      </c>
    </row>
    <row r="4611">
      <c r="G4611" s="5"/>
      <c r="H4611" s="6"/>
      <c r="AD4611" s="5">
        <v>45119.0</v>
      </c>
      <c r="AE4611" s="6">
        <v>0.041666666666666664</v>
      </c>
      <c r="AF4611" s="7">
        <v>0.0</v>
      </c>
    </row>
    <row r="4612">
      <c r="G4612" s="5"/>
      <c r="H4612" s="6"/>
      <c r="AD4612" s="5">
        <v>45119.0</v>
      </c>
      <c r="AE4612" s="6">
        <v>0.08333333333333333</v>
      </c>
      <c r="AF4612" s="7">
        <v>0.0</v>
      </c>
    </row>
    <row r="4613">
      <c r="G4613" s="5"/>
      <c r="H4613" s="6"/>
      <c r="AD4613" s="5">
        <v>45119.0</v>
      </c>
      <c r="AE4613" s="6">
        <v>0.125</v>
      </c>
      <c r="AF4613" s="7">
        <v>0.0</v>
      </c>
    </row>
    <row r="4614">
      <c r="G4614" s="5"/>
      <c r="H4614" s="6"/>
      <c r="AD4614" s="5">
        <v>45119.0</v>
      </c>
      <c r="AE4614" s="6">
        <v>0.16666666666666666</v>
      </c>
      <c r="AF4614" s="7">
        <v>0.0</v>
      </c>
    </row>
    <row r="4615">
      <c r="G4615" s="5"/>
      <c r="H4615" s="6"/>
      <c r="AD4615" s="5">
        <v>45119.0</v>
      </c>
      <c r="AE4615" s="6">
        <v>0.20833333333333334</v>
      </c>
      <c r="AF4615" s="7">
        <v>284.7</v>
      </c>
    </row>
    <row r="4616">
      <c r="G4616" s="5"/>
      <c r="H4616" s="6"/>
      <c r="AD4616" s="5">
        <v>45119.0</v>
      </c>
      <c r="AE4616" s="6">
        <v>0.25</v>
      </c>
      <c r="AF4616" s="7">
        <v>7069.92</v>
      </c>
    </row>
    <row r="4617">
      <c r="G4617" s="5"/>
      <c r="H4617" s="6"/>
      <c r="AD4617" s="5">
        <v>45119.0</v>
      </c>
      <c r="AE4617" s="6">
        <v>0.2916666666666667</v>
      </c>
      <c r="AF4617" s="7">
        <v>20598.24</v>
      </c>
    </row>
    <row r="4618">
      <c r="G4618" s="5"/>
      <c r="H4618" s="6"/>
      <c r="AD4618" s="5">
        <v>45119.0</v>
      </c>
      <c r="AE4618" s="6">
        <v>0.3333333333333333</v>
      </c>
      <c r="AF4618" s="7">
        <v>18582.72</v>
      </c>
    </row>
    <row r="4619">
      <c r="G4619" s="5"/>
      <c r="H4619" s="6"/>
      <c r="AD4619" s="5">
        <v>45119.0</v>
      </c>
      <c r="AE4619" s="6">
        <v>0.375</v>
      </c>
      <c r="AF4619" s="7">
        <v>29576.82</v>
      </c>
    </row>
    <row r="4620">
      <c r="G4620" s="5"/>
      <c r="H4620" s="6"/>
      <c r="AD4620" s="5">
        <v>45119.0</v>
      </c>
      <c r="AE4620" s="6">
        <v>0.4166666666666667</v>
      </c>
      <c r="AF4620" s="7">
        <v>25986.48</v>
      </c>
    </row>
    <row r="4621">
      <c r="G4621" s="5"/>
      <c r="H4621" s="6"/>
      <c r="AD4621" s="5">
        <v>45119.0</v>
      </c>
      <c r="AE4621" s="6">
        <v>0.4583333333333333</v>
      </c>
      <c r="AF4621" s="7">
        <v>34061.04</v>
      </c>
    </row>
    <row r="4622">
      <c r="G4622" s="5"/>
      <c r="H4622" s="6"/>
      <c r="AD4622" s="5">
        <v>45119.0</v>
      </c>
      <c r="AE4622" s="6">
        <v>0.5</v>
      </c>
      <c r="AF4622" s="7">
        <v>48224.28</v>
      </c>
    </row>
    <row r="4623">
      <c r="G4623" s="5"/>
      <c r="H4623" s="6"/>
      <c r="AD4623" s="5">
        <v>45119.0</v>
      </c>
      <c r="AE4623" s="6">
        <v>0.5416666666666666</v>
      </c>
      <c r="AF4623" s="7">
        <v>50100.96</v>
      </c>
    </row>
    <row r="4624">
      <c r="G4624" s="5"/>
      <c r="H4624" s="6"/>
      <c r="AD4624" s="5">
        <v>45119.0</v>
      </c>
      <c r="AE4624" s="6">
        <v>0.5833333333333334</v>
      </c>
      <c r="AF4624" s="7">
        <v>34759.14</v>
      </c>
    </row>
    <row r="4625">
      <c r="G4625" s="5"/>
      <c r="H4625" s="6"/>
      <c r="AD4625" s="5">
        <v>45119.0</v>
      </c>
      <c r="AE4625" s="6">
        <v>0.625</v>
      </c>
      <c r="AF4625" s="7">
        <v>44679.18</v>
      </c>
    </row>
    <row r="4626">
      <c r="G4626" s="5"/>
      <c r="H4626" s="6"/>
      <c r="AD4626" s="5">
        <v>45119.0</v>
      </c>
      <c r="AE4626" s="6">
        <v>0.6666666666666666</v>
      </c>
      <c r="AF4626" s="7">
        <v>24195.6</v>
      </c>
    </row>
    <row r="4627">
      <c r="G4627" s="5"/>
      <c r="H4627" s="6"/>
      <c r="AD4627" s="5">
        <v>45119.0</v>
      </c>
      <c r="AE4627" s="6">
        <v>0.7083333333333334</v>
      </c>
      <c r="AF4627" s="7">
        <v>14142.18</v>
      </c>
    </row>
    <row r="4628">
      <c r="G4628" s="5"/>
      <c r="H4628" s="6"/>
      <c r="AD4628" s="5">
        <v>45119.0</v>
      </c>
      <c r="AE4628" s="6">
        <v>0.75</v>
      </c>
      <c r="AF4628" s="7">
        <v>4385.94</v>
      </c>
    </row>
    <row r="4629">
      <c r="G4629" s="5"/>
      <c r="H4629" s="6"/>
      <c r="AD4629" s="5">
        <v>45119.0</v>
      </c>
      <c r="AE4629" s="6">
        <v>0.7916666666666666</v>
      </c>
      <c r="AF4629" s="7">
        <v>432.9</v>
      </c>
    </row>
    <row r="4630">
      <c r="G4630" s="5"/>
      <c r="H4630" s="6"/>
      <c r="AD4630" s="5">
        <v>45119.0</v>
      </c>
      <c r="AE4630" s="6">
        <v>0.8333333333333334</v>
      </c>
      <c r="AF4630" s="7">
        <v>0.0</v>
      </c>
    </row>
    <row r="4631">
      <c r="G4631" s="5"/>
      <c r="H4631" s="6"/>
      <c r="AD4631" s="5">
        <v>45119.0</v>
      </c>
      <c r="AE4631" s="6">
        <v>0.875</v>
      </c>
      <c r="AF4631" s="7">
        <v>0.0</v>
      </c>
    </row>
    <row r="4632">
      <c r="G4632" s="5"/>
      <c r="H4632" s="6"/>
      <c r="AD4632" s="5">
        <v>45119.0</v>
      </c>
      <c r="AE4632" s="6">
        <v>0.9166666666666666</v>
      </c>
      <c r="AF4632" s="7">
        <v>0.0</v>
      </c>
    </row>
    <row r="4633">
      <c r="G4633" s="5"/>
      <c r="H4633" s="6"/>
      <c r="AD4633" s="5">
        <v>45119.0</v>
      </c>
      <c r="AE4633" s="6">
        <v>0.9583333333333334</v>
      </c>
      <c r="AF4633" s="7">
        <v>0.0</v>
      </c>
    </row>
    <row r="4634">
      <c r="G4634" s="5"/>
      <c r="H4634" s="6"/>
      <c r="AD4634" s="5">
        <v>45120.0</v>
      </c>
      <c r="AE4634" s="6">
        <v>0.0</v>
      </c>
      <c r="AF4634" s="7">
        <v>0.0</v>
      </c>
    </row>
    <row r="4635">
      <c r="G4635" s="5"/>
      <c r="H4635" s="6"/>
      <c r="AD4635" s="5">
        <v>45120.0</v>
      </c>
      <c r="AE4635" s="6">
        <v>0.041666666666666664</v>
      </c>
      <c r="AF4635" s="7">
        <v>0.0</v>
      </c>
    </row>
    <row r="4636">
      <c r="G4636" s="5"/>
      <c r="H4636" s="6"/>
      <c r="AD4636" s="5">
        <v>45120.0</v>
      </c>
      <c r="AE4636" s="6">
        <v>0.08333333333333333</v>
      </c>
      <c r="AF4636" s="7">
        <v>0.0</v>
      </c>
    </row>
    <row r="4637">
      <c r="G4637" s="5"/>
      <c r="H4637" s="6"/>
      <c r="AD4637" s="5">
        <v>45120.0</v>
      </c>
      <c r="AE4637" s="6">
        <v>0.125</v>
      </c>
      <c r="AF4637" s="7">
        <v>0.0</v>
      </c>
    </row>
    <row r="4638">
      <c r="G4638" s="5"/>
      <c r="H4638" s="6"/>
      <c r="AD4638" s="5">
        <v>45120.0</v>
      </c>
      <c r="AE4638" s="6">
        <v>0.16666666666666666</v>
      </c>
      <c r="AF4638" s="7">
        <v>0.0</v>
      </c>
    </row>
    <row r="4639">
      <c r="G4639" s="5"/>
      <c r="H4639" s="6"/>
      <c r="AD4639" s="5">
        <v>45120.0</v>
      </c>
      <c r="AE4639" s="6">
        <v>0.20833333333333334</v>
      </c>
      <c r="AF4639" s="7">
        <v>744.12</v>
      </c>
    </row>
    <row r="4640">
      <c r="G4640" s="5"/>
      <c r="H4640" s="6"/>
      <c r="AD4640" s="5">
        <v>45120.0</v>
      </c>
      <c r="AE4640" s="6">
        <v>0.25</v>
      </c>
      <c r="AF4640" s="7">
        <v>6867.12</v>
      </c>
    </row>
    <row r="4641">
      <c r="G4641" s="5"/>
      <c r="H4641" s="6"/>
      <c r="AD4641" s="5">
        <v>45120.0</v>
      </c>
      <c r="AE4641" s="6">
        <v>0.2916666666666667</v>
      </c>
      <c r="AF4641" s="7">
        <v>20192.64</v>
      </c>
    </row>
    <row r="4642">
      <c r="G4642" s="5"/>
      <c r="H4642" s="6"/>
      <c r="AD4642" s="5">
        <v>45120.0</v>
      </c>
      <c r="AE4642" s="6">
        <v>0.3333333333333333</v>
      </c>
      <c r="AF4642" s="7">
        <v>34226.4</v>
      </c>
    </row>
    <row r="4643">
      <c r="G4643" s="5"/>
      <c r="H4643" s="6"/>
      <c r="AD4643" s="5">
        <v>45120.0</v>
      </c>
      <c r="AE4643" s="6">
        <v>0.375</v>
      </c>
      <c r="AF4643" s="7">
        <v>45693.18</v>
      </c>
    </row>
    <row r="4644">
      <c r="G4644" s="5"/>
      <c r="H4644" s="6"/>
      <c r="AD4644" s="5">
        <v>45120.0</v>
      </c>
      <c r="AE4644" s="6">
        <v>0.4166666666666667</v>
      </c>
      <c r="AF4644" s="7">
        <v>53314.56</v>
      </c>
    </row>
    <row r="4645">
      <c r="G4645" s="5"/>
      <c r="H4645" s="6"/>
      <c r="AD4645" s="5">
        <v>45120.0</v>
      </c>
      <c r="AE4645" s="6">
        <v>0.4583333333333333</v>
      </c>
      <c r="AF4645" s="7">
        <v>57629.52</v>
      </c>
    </row>
    <row r="4646">
      <c r="G4646" s="5"/>
      <c r="H4646" s="6"/>
      <c r="AD4646" s="5">
        <v>45120.0</v>
      </c>
      <c r="AE4646" s="6">
        <v>0.5</v>
      </c>
      <c r="AF4646" s="7">
        <v>57963.36</v>
      </c>
    </row>
    <row r="4647">
      <c r="G4647" s="5"/>
      <c r="H4647" s="6"/>
      <c r="AD4647" s="5">
        <v>45120.0</v>
      </c>
      <c r="AE4647" s="6">
        <v>0.5416666666666666</v>
      </c>
      <c r="AF4647" s="7">
        <v>56202.12</v>
      </c>
    </row>
    <row r="4648">
      <c r="G4648" s="5"/>
      <c r="H4648" s="6"/>
      <c r="AD4648" s="5">
        <v>45120.0</v>
      </c>
      <c r="AE4648" s="6">
        <v>0.5833333333333334</v>
      </c>
      <c r="AF4648" s="7">
        <v>51375.48</v>
      </c>
    </row>
    <row r="4649">
      <c r="G4649" s="5"/>
      <c r="H4649" s="6"/>
      <c r="AD4649" s="5">
        <v>45120.0</v>
      </c>
      <c r="AE4649" s="6">
        <v>0.625</v>
      </c>
      <c r="AF4649" s="7">
        <v>42078.66</v>
      </c>
    </row>
    <row r="4650">
      <c r="G4650" s="5"/>
      <c r="H4650" s="6"/>
      <c r="AD4650" s="5">
        <v>45120.0</v>
      </c>
      <c r="AE4650" s="6">
        <v>0.6666666666666666</v>
      </c>
      <c r="AF4650" s="7">
        <v>33364.5</v>
      </c>
    </row>
    <row r="4651">
      <c r="G4651" s="5"/>
      <c r="H4651" s="6"/>
      <c r="AD4651" s="5">
        <v>45120.0</v>
      </c>
      <c r="AE4651" s="6">
        <v>0.7083333333333334</v>
      </c>
      <c r="AF4651" s="7">
        <v>18488.34</v>
      </c>
    </row>
    <row r="4652">
      <c r="G4652" s="5"/>
      <c r="H4652" s="6"/>
      <c r="AD4652" s="5">
        <v>45120.0</v>
      </c>
      <c r="AE4652" s="6">
        <v>0.75</v>
      </c>
      <c r="AF4652" s="7">
        <v>5973.24</v>
      </c>
    </row>
    <row r="4653">
      <c r="G4653" s="5"/>
      <c r="H4653" s="6"/>
      <c r="AD4653" s="5">
        <v>45120.0</v>
      </c>
      <c r="AE4653" s="6">
        <v>0.7916666666666666</v>
      </c>
      <c r="AF4653" s="7">
        <v>512.46</v>
      </c>
    </row>
    <row r="4654">
      <c r="G4654" s="5"/>
      <c r="H4654" s="6"/>
      <c r="AD4654" s="5">
        <v>45120.0</v>
      </c>
      <c r="AE4654" s="6">
        <v>0.8333333333333334</v>
      </c>
      <c r="AF4654" s="7">
        <v>0.0</v>
      </c>
    </row>
    <row r="4655">
      <c r="G4655" s="5"/>
      <c r="H4655" s="6"/>
      <c r="AD4655" s="5">
        <v>45120.0</v>
      </c>
      <c r="AE4655" s="6">
        <v>0.875</v>
      </c>
      <c r="AF4655" s="7">
        <v>0.0</v>
      </c>
    </row>
    <row r="4656">
      <c r="G4656" s="5"/>
      <c r="H4656" s="6"/>
      <c r="AD4656" s="5">
        <v>45120.0</v>
      </c>
      <c r="AE4656" s="6">
        <v>0.9166666666666666</v>
      </c>
      <c r="AF4656" s="7">
        <v>0.0</v>
      </c>
    </row>
    <row r="4657">
      <c r="G4657" s="5"/>
      <c r="H4657" s="6"/>
      <c r="AD4657" s="5">
        <v>45120.0</v>
      </c>
      <c r="AE4657" s="6">
        <v>0.9583333333333334</v>
      </c>
      <c r="AF4657" s="7">
        <v>0.0</v>
      </c>
    </row>
    <row r="4658">
      <c r="G4658" s="5"/>
      <c r="H4658" s="6"/>
      <c r="AD4658" s="5">
        <v>45121.0</v>
      </c>
      <c r="AE4658" s="6">
        <v>0.0</v>
      </c>
      <c r="AF4658" s="7">
        <v>0.0</v>
      </c>
    </row>
    <row r="4659">
      <c r="G4659" s="5"/>
      <c r="H4659" s="6"/>
      <c r="AD4659" s="5">
        <v>45121.0</v>
      </c>
      <c r="AE4659" s="6">
        <v>0.041666666666666664</v>
      </c>
      <c r="AF4659" s="7">
        <v>0.0</v>
      </c>
    </row>
    <row r="4660">
      <c r="G4660" s="5"/>
      <c r="H4660" s="6"/>
      <c r="AD4660" s="5">
        <v>45121.0</v>
      </c>
      <c r="AE4660" s="6">
        <v>0.08333333333333333</v>
      </c>
      <c r="AF4660" s="7">
        <v>0.0</v>
      </c>
    </row>
    <row r="4661">
      <c r="G4661" s="5"/>
      <c r="H4661" s="6"/>
      <c r="AD4661" s="5">
        <v>45121.0</v>
      </c>
      <c r="AE4661" s="6">
        <v>0.125</v>
      </c>
      <c r="AF4661" s="7">
        <v>0.0</v>
      </c>
    </row>
    <row r="4662">
      <c r="G4662" s="5"/>
      <c r="H4662" s="6"/>
      <c r="AD4662" s="5">
        <v>45121.0</v>
      </c>
      <c r="AE4662" s="6">
        <v>0.16666666666666666</v>
      </c>
      <c r="AF4662" s="7">
        <v>0.0</v>
      </c>
    </row>
    <row r="4663">
      <c r="G4663" s="5"/>
      <c r="H4663" s="6"/>
      <c r="AD4663" s="5">
        <v>45121.0</v>
      </c>
      <c r="AE4663" s="6">
        <v>0.20833333333333334</v>
      </c>
      <c r="AF4663" s="7">
        <v>687.18</v>
      </c>
    </row>
    <row r="4664">
      <c r="G4664" s="5"/>
      <c r="H4664" s="6"/>
      <c r="AD4664" s="5">
        <v>45121.0</v>
      </c>
      <c r="AE4664" s="6">
        <v>0.25</v>
      </c>
      <c r="AF4664" s="7">
        <v>6647.16</v>
      </c>
    </row>
    <row r="4665">
      <c r="G4665" s="5"/>
      <c r="H4665" s="6"/>
      <c r="AD4665" s="5">
        <v>45121.0</v>
      </c>
      <c r="AE4665" s="6">
        <v>0.2916666666666667</v>
      </c>
      <c r="AF4665" s="7">
        <v>19724.64</v>
      </c>
    </row>
    <row r="4666">
      <c r="G4666" s="5"/>
      <c r="H4666" s="6"/>
      <c r="AD4666" s="5">
        <v>45121.0</v>
      </c>
      <c r="AE4666" s="6">
        <v>0.3333333333333333</v>
      </c>
      <c r="AF4666" s="7">
        <v>32794.32</v>
      </c>
    </row>
    <row r="4667">
      <c r="G4667" s="5"/>
      <c r="H4667" s="6"/>
      <c r="AD4667" s="5">
        <v>45121.0</v>
      </c>
      <c r="AE4667" s="6">
        <v>0.375</v>
      </c>
      <c r="AF4667" s="7">
        <v>43791.54</v>
      </c>
    </row>
    <row r="4668">
      <c r="G4668" s="5"/>
      <c r="H4668" s="6"/>
      <c r="AD4668" s="5">
        <v>45121.0</v>
      </c>
      <c r="AE4668" s="6">
        <v>0.4166666666666667</v>
      </c>
      <c r="AF4668" s="7">
        <v>50966.76</v>
      </c>
    </row>
    <row r="4669">
      <c r="G4669" s="5"/>
      <c r="H4669" s="6"/>
      <c r="AD4669" s="5">
        <v>45121.0</v>
      </c>
      <c r="AE4669" s="6">
        <v>0.4583333333333333</v>
      </c>
      <c r="AF4669" s="7">
        <v>55427.58</v>
      </c>
    </row>
    <row r="4670">
      <c r="G4670" s="5"/>
      <c r="H4670" s="6"/>
      <c r="AD4670" s="5">
        <v>45121.0</v>
      </c>
      <c r="AE4670" s="6">
        <v>0.5</v>
      </c>
      <c r="AF4670" s="7">
        <v>55827.72</v>
      </c>
    </row>
    <row r="4671">
      <c r="G4671" s="5"/>
      <c r="H4671" s="6"/>
      <c r="AD4671" s="5">
        <v>45121.0</v>
      </c>
      <c r="AE4671" s="6">
        <v>0.5416666666666666</v>
      </c>
      <c r="AF4671" s="7">
        <v>54084.42</v>
      </c>
    </row>
    <row r="4672">
      <c r="G4672" s="5"/>
      <c r="H4672" s="6"/>
      <c r="AD4672" s="5">
        <v>45121.0</v>
      </c>
      <c r="AE4672" s="6">
        <v>0.5833333333333334</v>
      </c>
      <c r="AF4672" s="7">
        <v>48736.74</v>
      </c>
    </row>
    <row r="4673">
      <c r="G4673" s="5"/>
      <c r="H4673" s="6"/>
      <c r="AD4673" s="5">
        <v>45121.0</v>
      </c>
      <c r="AE4673" s="6">
        <v>0.625</v>
      </c>
      <c r="AF4673" s="7">
        <v>40543.62</v>
      </c>
    </row>
    <row r="4674">
      <c r="G4674" s="5"/>
      <c r="H4674" s="6"/>
      <c r="AD4674" s="5">
        <v>45121.0</v>
      </c>
      <c r="AE4674" s="6">
        <v>0.6666666666666666</v>
      </c>
      <c r="AF4674" s="7">
        <v>29990.22</v>
      </c>
    </row>
    <row r="4675">
      <c r="G4675" s="5"/>
      <c r="H4675" s="6"/>
      <c r="AD4675" s="5">
        <v>45121.0</v>
      </c>
      <c r="AE4675" s="6">
        <v>0.7083333333333334</v>
      </c>
      <c r="AF4675" s="7">
        <v>17854.2</v>
      </c>
    </row>
    <row r="4676">
      <c r="G4676" s="5"/>
      <c r="H4676" s="6"/>
      <c r="AD4676" s="5">
        <v>45121.0</v>
      </c>
      <c r="AE4676" s="6">
        <v>0.75</v>
      </c>
      <c r="AF4676" s="7">
        <v>5849.22</v>
      </c>
    </row>
    <row r="4677">
      <c r="G4677" s="5"/>
      <c r="H4677" s="6"/>
      <c r="AD4677" s="5">
        <v>45121.0</v>
      </c>
      <c r="AE4677" s="6">
        <v>0.7916666666666666</v>
      </c>
      <c r="AF4677" s="7">
        <v>502.32</v>
      </c>
    </row>
    <row r="4678">
      <c r="G4678" s="5"/>
      <c r="H4678" s="6"/>
      <c r="AD4678" s="5">
        <v>45121.0</v>
      </c>
      <c r="AE4678" s="6">
        <v>0.8333333333333334</v>
      </c>
      <c r="AF4678" s="7">
        <v>0.0</v>
      </c>
    </row>
    <row r="4679">
      <c r="G4679" s="5"/>
      <c r="H4679" s="6"/>
      <c r="AD4679" s="5">
        <v>45121.0</v>
      </c>
      <c r="AE4679" s="6">
        <v>0.875</v>
      </c>
      <c r="AF4679" s="7">
        <v>0.0</v>
      </c>
    </row>
    <row r="4680">
      <c r="G4680" s="5"/>
      <c r="H4680" s="6"/>
      <c r="AD4680" s="5">
        <v>45121.0</v>
      </c>
      <c r="AE4680" s="6">
        <v>0.9166666666666666</v>
      </c>
      <c r="AF4680" s="7">
        <v>0.0</v>
      </c>
    </row>
    <row r="4681">
      <c r="G4681" s="5"/>
      <c r="H4681" s="6"/>
      <c r="AD4681" s="5">
        <v>45121.0</v>
      </c>
      <c r="AE4681" s="6">
        <v>0.9583333333333334</v>
      </c>
      <c r="AF4681" s="7">
        <v>0.0</v>
      </c>
    </row>
    <row r="4682">
      <c r="G4682" s="5"/>
      <c r="H4682" s="6"/>
      <c r="AD4682" s="5">
        <v>45122.0</v>
      </c>
      <c r="AE4682" s="6">
        <v>0.0</v>
      </c>
      <c r="AF4682" s="7">
        <v>0.0</v>
      </c>
    </row>
    <row r="4683">
      <c r="G4683" s="5"/>
      <c r="H4683" s="6"/>
      <c r="AD4683" s="5">
        <v>45122.0</v>
      </c>
      <c r="AE4683" s="6">
        <v>0.041666666666666664</v>
      </c>
      <c r="AF4683" s="7">
        <v>0.0</v>
      </c>
    </row>
    <row r="4684">
      <c r="G4684" s="5"/>
      <c r="H4684" s="6"/>
      <c r="AD4684" s="5">
        <v>45122.0</v>
      </c>
      <c r="AE4684" s="6">
        <v>0.08333333333333333</v>
      </c>
      <c r="AF4684" s="7">
        <v>0.0</v>
      </c>
    </row>
    <row r="4685">
      <c r="G4685" s="5"/>
      <c r="H4685" s="6"/>
      <c r="AD4685" s="5">
        <v>45122.0</v>
      </c>
      <c r="AE4685" s="6">
        <v>0.125</v>
      </c>
      <c r="AF4685" s="7">
        <v>0.0</v>
      </c>
    </row>
    <row r="4686">
      <c r="G4686" s="5"/>
      <c r="H4686" s="6"/>
      <c r="AD4686" s="5">
        <v>45122.0</v>
      </c>
      <c r="AE4686" s="6">
        <v>0.16666666666666666</v>
      </c>
      <c r="AF4686" s="7">
        <v>0.0</v>
      </c>
    </row>
    <row r="4687">
      <c r="G4687" s="5"/>
      <c r="H4687" s="6"/>
      <c r="AD4687" s="5">
        <v>45122.0</v>
      </c>
      <c r="AE4687" s="6">
        <v>0.20833333333333334</v>
      </c>
      <c r="AF4687" s="7">
        <v>633.36</v>
      </c>
    </row>
    <row r="4688">
      <c r="G4688" s="5"/>
      <c r="H4688" s="6"/>
      <c r="AD4688" s="5">
        <v>45122.0</v>
      </c>
      <c r="AE4688" s="6">
        <v>0.25</v>
      </c>
      <c r="AF4688" s="7">
        <v>6610.5</v>
      </c>
    </row>
    <row r="4689">
      <c r="G4689" s="5"/>
      <c r="H4689" s="6"/>
      <c r="AD4689" s="5">
        <v>45122.0</v>
      </c>
      <c r="AE4689" s="6">
        <v>0.2916666666666667</v>
      </c>
      <c r="AF4689" s="7">
        <v>19887.66</v>
      </c>
    </row>
    <row r="4690">
      <c r="G4690" s="5"/>
      <c r="H4690" s="6"/>
      <c r="AD4690" s="5">
        <v>45122.0</v>
      </c>
      <c r="AE4690" s="6">
        <v>0.3333333333333333</v>
      </c>
      <c r="AF4690" s="7">
        <v>32890.26</v>
      </c>
    </row>
    <row r="4691">
      <c r="G4691" s="5"/>
      <c r="H4691" s="6"/>
      <c r="AD4691" s="5">
        <v>45122.0</v>
      </c>
      <c r="AE4691" s="6">
        <v>0.375</v>
      </c>
      <c r="AF4691" s="7">
        <v>43048.2</v>
      </c>
    </row>
    <row r="4692">
      <c r="G4692" s="5"/>
      <c r="H4692" s="6"/>
      <c r="AD4692" s="5">
        <v>45122.0</v>
      </c>
      <c r="AE4692" s="6">
        <v>0.4166666666666667</v>
      </c>
      <c r="AF4692" s="7">
        <v>49268.7</v>
      </c>
    </row>
    <row r="4693">
      <c r="G4693" s="5"/>
      <c r="H4693" s="6"/>
      <c r="AD4693" s="5">
        <v>45122.0</v>
      </c>
      <c r="AE4693" s="6">
        <v>0.4583333333333333</v>
      </c>
      <c r="AF4693" s="7">
        <v>53567.28</v>
      </c>
    </row>
    <row r="4694">
      <c r="G4694" s="5"/>
      <c r="H4694" s="6"/>
      <c r="AD4694" s="5">
        <v>45122.0</v>
      </c>
      <c r="AE4694" s="6">
        <v>0.5</v>
      </c>
      <c r="AF4694" s="7">
        <v>54809.04</v>
      </c>
    </row>
    <row r="4695">
      <c r="G4695" s="5"/>
      <c r="H4695" s="6"/>
      <c r="AD4695" s="5">
        <v>45122.0</v>
      </c>
      <c r="AE4695" s="6">
        <v>0.5416666666666666</v>
      </c>
      <c r="AF4695" s="7">
        <v>53861.34</v>
      </c>
    </row>
    <row r="4696">
      <c r="G4696" s="5"/>
      <c r="H4696" s="6"/>
      <c r="AD4696" s="5">
        <v>45122.0</v>
      </c>
      <c r="AE4696" s="6">
        <v>0.5833333333333334</v>
      </c>
      <c r="AF4696" s="7">
        <v>49982.4</v>
      </c>
    </row>
    <row r="4697">
      <c r="G4697" s="5"/>
      <c r="H4697" s="6"/>
      <c r="AD4697" s="5">
        <v>45122.0</v>
      </c>
      <c r="AE4697" s="6">
        <v>0.625</v>
      </c>
      <c r="AF4697" s="7">
        <v>41792.4</v>
      </c>
    </row>
    <row r="4698">
      <c r="G4698" s="5"/>
      <c r="H4698" s="6"/>
      <c r="AD4698" s="5">
        <v>45122.0</v>
      </c>
      <c r="AE4698" s="6">
        <v>0.6666666666666666</v>
      </c>
      <c r="AF4698" s="7">
        <v>31320.12</v>
      </c>
    </row>
    <row r="4699">
      <c r="G4699" s="5"/>
      <c r="H4699" s="6"/>
      <c r="AD4699" s="5">
        <v>45122.0</v>
      </c>
      <c r="AE4699" s="6">
        <v>0.7083333333333334</v>
      </c>
      <c r="AF4699" s="7">
        <v>19091.28</v>
      </c>
    </row>
    <row r="4700">
      <c r="G4700" s="5"/>
      <c r="H4700" s="6"/>
      <c r="AD4700" s="5">
        <v>45122.0</v>
      </c>
      <c r="AE4700" s="6">
        <v>0.75</v>
      </c>
      <c r="AF4700" s="7">
        <v>6054.36</v>
      </c>
    </row>
    <row r="4701">
      <c r="G4701" s="5"/>
      <c r="H4701" s="6"/>
      <c r="AD4701" s="5">
        <v>45122.0</v>
      </c>
      <c r="AE4701" s="6">
        <v>0.7916666666666666</v>
      </c>
      <c r="AF4701" s="7">
        <v>484.38</v>
      </c>
    </row>
    <row r="4702">
      <c r="G4702" s="5"/>
      <c r="H4702" s="6"/>
      <c r="AD4702" s="5">
        <v>45122.0</v>
      </c>
      <c r="AE4702" s="6">
        <v>0.8333333333333334</v>
      </c>
      <c r="AF4702" s="7">
        <v>0.0</v>
      </c>
    </row>
    <row r="4703">
      <c r="G4703" s="5"/>
      <c r="H4703" s="6"/>
      <c r="AD4703" s="5">
        <v>45122.0</v>
      </c>
      <c r="AE4703" s="6">
        <v>0.875</v>
      </c>
      <c r="AF4703" s="7">
        <v>0.0</v>
      </c>
    </row>
    <row r="4704">
      <c r="G4704" s="5"/>
      <c r="H4704" s="6"/>
      <c r="AD4704" s="5">
        <v>45122.0</v>
      </c>
      <c r="AE4704" s="6">
        <v>0.9166666666666666</v>
      </c>
      <c r="AF4704" s="7">
        <v>0.0</v>
      </c>
    </row>
    <row r="4705">
      <c r="G4705" s="5"/>
      <c r="H4705" s="6"/>
      <c r="AD4705" s="5">
        <v>45122.0</v>
      </c>
      <c r="AE4705" s="6">
        <v>0.9583333333333334</v>
      </c>
      <c r="AF4705" s="7">
        <v>0.0</v>
      </c>
    </row>
    <row r="4706">
      <c r="G4706" s="5"/>
      <c r="H4706" s="6"/>
      <c r="AD4706" s="5">
        <v>45123.0</v>
      </c>
      <c r="AE4706" s="6">
        <v>0.0</v>
      </c>
      <c r="AF4706" s="7">
        <v>0.0</v>
      </c>
    </row>
    <row r="4707">
      <c r="G4707" s="5"/>
      <c r="H4707" s="6"/>
      <c r="AD4707" s="5">
        <v>45123.0</v>
      </c>
      <c r="AE4707" s="6">
        <v>0.041666666666666664</v>
      </c>
      <c r="AF4707" s="7">
        <v>0.0</v>
      </c>
    </row>
    <row r="4708">
      <c r="G4708" s="5"/>
      <c r="H4708" s="6"/>
      <c r="AD4708" s="5">
        <v>45123.0</v>
      </c>
      <c r="AE4708" s="6">
        <v>0.08333333333333333</v>
      </c>
      <c r="AF4708" s="7">
        <v>0.0</v>
      </c>
    </row>
    <row r="4709">
      <c r="G4709" s="5"/>
      <c r="H4709" s="6"/>
      <c r="AD4709" s="5">
        <v>45123.0</v>
      </c>
      <c r="AE4709" s="6">
        <v>0.125</v>
      </c>
      <c r="AF4709" s="7">
        <v>0.0</v>
      </c>
    </row>
    <row r="4710">
      <c r="G4710" s="5"/>
      <c r="H4710" s="6"/>
      <c r="AD4710" s="5">
        <v>45123.0</v>
      </c>
      <c r="AE4710" s="6">
        <v>0.16666666666666666</v>
      </c>
      <c r="AF4710" s="7">
        <v>0.0</v>
      </c>
    </row>
    <row r="4711">
      <c r="G4711" s="5"/>
      <c r="H4711" s="6"/>
      <c r="AD4711" s="5">
        <v>45123.0</v>
      </c>
      <c r="AE4711" s="6">
        <v>0.20833333333333334</v>
      </c>
      <c r="AF4711" s="7">
        <v>606.84</v>
      </c>
    </row>
    <row r="4712">
      <c r="G4712" s="5"/>
      <c r="H4712" s="6"/>
      <c r="AD4712" s="5">
        <v>45123.0</v>
      </c>
      <c r="AE4712" s="6">
        <v>0.25</v>
      </c>
      <c r="AF4712" s="7">
        <v>6745.44</v>
      </c>
    </row>
    <row r="4713">
      <c r="G4713" s="5"/>
      <c r="H4713" s="6"/>
      <c r="AD4713" s="5">
        <v>45123.0</v>
      </c>
      <c r="AE4713" s="6">
        <v>0.2916666666666667</v>
      </c>
      <c r="AF4713" s="7">
        <v>20568.6</v>
      </c>
    </row>
    <row r="4714">
      <c r="G4714" s="5"/>
      <c r="H4714" s="6"/>
      <c r="AD4714" s="5">
        <v>45123.0</v>
      </c>
      <c r="AE4714" s="6">
        <v>0.3333333333333333</v>
      </c>
      <c r="AF4714" s="7">
        <v>34075.08</v>
      </c>
    </row>
    <row r="4715">
      <c r="G4715" s="5"/>
      <c r="H4715" s="6"/>
      <c r="AD4715" s="5">
        <v>45123.0</v>
      </c>
      <c r="AE4715" s="6">
        <v>0.375</v>
      </c>
      <c r="AF4715" s="7">
        <v>44667.48</v>
      </c>
    </row>
    <row r="4716">
      <c r="G4716" s="5"/>
      <c r="H4716" s="6"/>
      <c r="AD4716" s="5">
        <v>45123.0</v>
      </c>
      <c r="AE4716" s="6">
        <v>0.4166666666666667</v>
      </c>
      <c r="AF4716" s="7">
        <v>51671.1</v>
      </c>
    </row>
    <row r="4717">
      <c r="G4717" s="5"/>
      <c r="H4717" s="6"/>
      <c r="AD4717" s="5">
        <v>45123.0</v>
      </c>
      <c r="AE4717" s="6">
        <v>0.4583333333333333</v>
      </c>
      <c r="AF4717" s="7">
        <v>55016.52</v>
      </c>
    </row>
    <row r="4718">
      <c r="G4718" s="5"/>
      <c r="H4718" s="6"/>
      <c r="AD4718" s="5">
        <v>45123.0</v>
      </c>
      <c r="AE4718" s="6">
        <v>0.5</v>
      </c>
      <c r="AF4718" s="7">
        <v>56585.1</v>
      </c>
    </row>
    <row r="4719">
      <c r="G4719" s="5"/>
      <c r="H4719" s="6"/>
      <c r="AD4719" s="5">
        <v>45123.0</v>
      </c>
      <c r="AE4719" s="6">
        <v>0.5416666666666666</v>
      </c>
      <c r="AF4719" s="7">
        <v>55091.4</v>
      </c>
    </row>
    <row r="4720">
      <c r="G4720" s="5"/>
      <c r="H4720" s="6"/>
      <c r="AD4720" s="5">
        <v>45123.0</v>
      </c>
      <c r="AE4720" s="6">
        <v>0.5833333333333334</v>
      </c>
      <c r="AF4720" s="7">
        <v>50920.74</v>
      </c>
    </row>
    <row r="4721">
      <c r="G4721" s="5"/>
      <c r="H4721" s="6"/>
      <c r="AD4721" s="5">
        <v>45123.0</v>
      </c>
      <c r="AE4721" s="6">
        <v>0.625</v>
      </c>
      <c r="AF4721" s="7">
        <v>42937.44</v>
      </c>
    </row>
    <row r="4722">
      <c r="G4722" s="5"/>
      <c r="H4722" s="6"/>
      <c r="AD4722" s="5">
        <v>45123.0</v>
      </c>
      <c r="AE4722" s="6">
        <v>0.6666666666666666</v>
      </c>
      <c r="AF4722" s="7">
        <v>31767.06</v>
      </c>
    </row>
    <row r="4723">
      <c r="G4723" s="5"/>
      <c r="H4723" s="6"/>
      <c r="AD4723" s="5">
        <v>45123.0</v>
      </c>
      <c r="AE4723" s="6">
        <v>0.7083333333333334</v>
      </c>
      <c r="AF4723" s="7">
        <v>18701.28</v>
      </c>
    </row>
    <row r="4724">
      <c r="G4724" s="5"/>
      <c r="H4724" s="6"/>
      <c r="AD4724" s="5">
        <v>45123.0</v>
      </c>
      <c r="AE4724" s="6">
        <v>0.75</v>
      </c>
      <c r="AF4724" s="7">
        <v>5903.04</v>
      </c>
    </row>
    <row r="4725">
      <c r="G4725" s="5"/>
      <c r="H4725" s="6"/>
      <c r="AD4725" s="5">
        <v>45123.0</v>
      </c>
      <c r="AE4725" s="6">
        <v>0.7916666666666666</v>
      </c>
      <c r="AF4725" s="7">
        <v>468.0</v>
      </c>
    </row>
    <row r="4726">
      <c r="G4726" s="5"/>
      <c r="H4726" s="6"/>
      <c r="AD4726" s="5">
        <v>45123.0</v>
      </c>
      <c r="AE4726" s="6">
        <v>0.8333333333333334</v>
      </c>
      <c r="AF4726" s="7">
        <v>0.0</v>
      </c>
    </row>
    <row r="4727">
      <c r="G4727" s="5"/>
      <c r="H4727" s="6"/>
      <c r="AD4727" s="5">
        <v>45123.0</v>
      </c>
      <c r="AE4727" s="6">
        <v>0.875</v>
      </c>
      <c r="AF4727" s="7">
        <v>0.0</v>
      </c>
    </row>
    <row r="4728">
      <c r="G4728" s="5"/>
      <c r="H4728" s="6"/>
      <c r="AD4728" s="5">
        <v>45123.0</v>
      </c>
      <c r="AE4728" s="6">
        <v>0.9166666666666666</v>
      </c>
      <c r="AF4728" s="7">
        <v>0.0</v>
      </c>
    </row>
    <row r="4729">
      <c r="G4729" s="5"/>
      <c r="H4729" s="6"/>
      <c r="AD4729" s="5">
        <v>45123.0</v>
      </c>
      <c r="AE4729" s="6">
        <v>0.9583333333333334</v>
      </c>
      <c r="AF4729" s="7">
        <v>0.0</v>
      </c>
    </row>
    <row r="4730">
      <c r="G4730" s="5"/>
      <c r="H4730" s="6"/>
      <c r="AD4730" s="5">
        <v>45124.0</v>
      </c>
      <c r="AE4730" s="6">
        <v>0.0</v>
      </c>
      <c r="AF4730" s="7">
        <v>0.0</v>
      </c>
    </row>
    <row r="4731">
      <c r="G4731" s="5"/>
      <c r="H4731" s="6"/>
      <c r="AD4731" s="5">
        <v>45124.0</v>
      </c>
      <c r="AE4731" s="6">
        <v>0.041666666666666664</v>
      </c>
      <c r="AF4731" s="7">
        <v>0.0</v>
      </c>
    </row>
    <row r="4732">
      <c r="G4732" s="5"/>
      <c r="H4732" s="6"/>
      <c r="AD4732" s="5">
        <v>45124.0</v>
      </c>
      <c r="AE4732" s="6">
        <v>0.08333333333333333</v>
      </c>
      <c r="AF4732" s="7">
        <v>0.0</v>
      </c>
    </row>
    <row r="4733">
      <c r="G4733" s="5"/>
      <c r="H4733" s="6"/>
      <c r="AD4733" s="5">
        <v>45124.0</v>
      </c>
      <c r="AE4733" s="6">
        <v>0.125</v>
      </c>
      <c r="AF4733" s="7">
        <v>0.0</v>
      </c>
    </row>
    <row r="4734">
      <c r="G4734" s="5"/>
      <c r="H4734" s="6"/>
      <c r="AD4734" s="5">
        <v>45124.0</v>
      </c>
      <c r="AE4734" s="6">
        <v>0.16666666666666666</v>
      </c>
      <c r="AF4734" s="7">
        <v>0.0</v>
      </c>
    </row>
    <row r="4735">
      <c r="G4735" s="5"/>
      <c r="H4735" s="6"/>
      <c r="AD4735" s="5">
        <v>45124.0</v>
      </c>
      <c r="AE4735" s="6">
        <v>0.20833333333333334</v>
      </c>
      <c r="AF4735" s="7">
        <v>241.8</v>
      </c>
    </row>
    <row r="4736">
      <c r="G4736" s="5"/>
      <c r="H4736" s="6"/>
      <c r="AD4736" s="5">
        <v>45124.0</v>
      </c>
      <c r="AE4736" s="6">
        <v>0.25</v>
      </c>
      <c r="AF4736" s="7">
        <v>3985.02</v>
      </c>
    </row>
    <row r="4737">
      <c r="G4737" s="5"/>
      <c r="H4737" s="6"/>
      <c r="AD4737" s="5">
        <v>45124.0</v>
      </c>
      <c r="AE4737" s="6">
        <v>0.2916666666666667</v>
      </c>
      <c r="AF4737" s="7">
        <v>8316.36</v>
      </c>
    </row>
    <row r="4738">
      <c r="G4738" s="5"/>
      <c r="H4738" s="6"/>
      <c r="AD4738" s="5">
        <v>45124.0</v>
      </c>
      <c r="AE4738" s="6">
        <v>0.3333333333333333</v>
      </c>
      <c r="AF4738" s="7">
        <v>13819.26</v>
      </c>
    </row>
    <row r="4739">
      <c r="G4739" s="5"/>
      <c r="H4739" s="6"/>
      <c r="AD4739" s="5">
        <v>45124.0</v>
      </c>
      <c r="AE4739" s="6">
        <v>0.375</v>
      </c>
      <c r="AF4739" s="7">
        <v>17783.22</v>
      </c>
    </row>
    <row r="4740">
      <c r="G4740" s="5"/>
      <c r="H4740" s="6"/>
      <c r="AD4740" s="5">
        <v>45124.0</v>
      </c>
      <c r="AE4740" s="6">
        <v>0.4166666666666667</v>
      </c>
      <c r="AF4740" s="7">
        <v>30670.38</v>
      </c>
    </row>
    <row r="4741">
      <c r="G4741" s="5"/>
      <c r="H4741" s="6"/>
      <c r="AD4741" s="5">
        <v>45124.0</v>
      </c>
      <c r="AE4741" s="6">
        <v>0.4583333333333333</v>
      </c>
      <c r="AF4741" s="7">
        <v>52791.96</v>
      </c>
    </row>
    <row r="4742">
      <c r="G4742" s="5"/>
      <c r="H4742" s="6"/>
      <c r="AD4742" s="5">
        <v>45124.0</v>
      </c>
      <c r="AE4742" s="6">
        <v>0.5</v>
      </c>
      <c r="AF4742" s="7">
        <v>54132.78</v>
      </c>
    </row>
    <row r="4743">
      <c r="G4743" s="5"/>
      <c r="H4743" s="6"/>
      <c r="AD4743" s="5">
        <v>45124.0</v>
      </c>
      <c r="AE4743" s="6">
        <v>0.5416666666666666</v>
      </c>
      <c r="AF4743" s="7">
        <v>53614.08</v>
      </c>
    </row>
    <row r="4744">
      <c r="G4744" s="5"/>
      <c r="H4744" s="6"/>
      <c r="AD4744" s="5">
        <v>45124.0</v>
      </c>
      <c r="AE4744" s="6">
        <v>0.5833333333333334</v>
      </c>
      <c r="AF4744" s="7">
        <v>48755.46</v>
      </c>
    </row>
    <row r="4745">
      <c r="G4745" s="5"/>
      <c r="H4745" s="6"/>
      <c r="AD4745" s="5">
        <v>45124.0</v>
      </c>
      <c r="AE4745" s="6">
        <v>0.625</v>
      </c>
      <c r="AF4745" s="7">
        <v>41107.56</v>
      </c>
    </row>
    <row r="4746">
      <c r="G4746" s="5"/>
      <c r="H4746" s="6"/>
      <c r="AD4746" s="5">
        <v>45124.0</v>
      </c>
      <c r="AE4746" s="6">
        <v>0.6666666666666666</v>
      </c>
      <c r="AF4746" s="7">
        <v>30132.96</v>
      </c>
    </row>
    <row r="4747">
      <c r="G4747" s="5"/>
      <c r="H4747" s="6"/>
      <c r="AD4747" s="5">
        <v>45124.0</v>
      </c>
      <c r="AE4747" s="6">
        <v>0.7083333333333334</v>
      </c>
      <c r="AF4747" s="7">
        <v>17569.5</v>
      </c>
    </row>
    <row r="4748">
      <c r="G4748" s="5"/>
      <c r="H4748" s="6"/>
      <c r="AD4748" s="5">
        <v>45124.0</v>
      </c>
      <c r="AE4748" s="6">
        <v>0.75</v>
      </c>
      <c r="AF4748" s="7">
        <v>5717.4</v>
      </c>
    </row>
    <row r="4749">
      <c r="G4749" s="5"/>
      <c r="H4749" s="6"/>
      <c r="AD4749" s="5">
        <v>45124.0</v>
      </c>
      <c r="AE4749" s="6">
        <v>0.7916666666666666</v>
      </c>
      <c r="AF4749" s="7">
        <v>294.06</v>
      </c>
    </row>
    <row r="4750">
      <c r="G4750" s="5"/>
      <c r="H4750" s="6"/>
      <c r="AD4750" s="5">
        <v>45124.0</v>
      </c>
      <c r="AE4750" s="6">
        <v>0.8333333333333334</v>
      </c>
      <c r="AF4750" s="7">
        <v>0.0</v>
      </c>
    </row>
    <row r="4751">
      <c r="G4751" s="5"/>
      <c r="H4751" s="6"/>
      <c r="AD4751" s="5">
        <v>45124.0</v>
      </c>
      <c r="AE4751" s="6">
        <v>0.875</v>
      </c>
      <c r="AF4751" s="7">
        <v>0.0</v>
      </c>
    </row>
    <row r="4752">
      <c r="G4752" s="5"/>
      <c r="H4752" s="6"/>
      <c r="AD4752" s="5">
        <v>45124.0</v>
      </c>
      <c r="AE4752" s="6">
        <v>0.9166666666666666</v>
      </c>
      <c r="AF4752" s="7">
        <v>0.0</v>
      </c>
    </row>
    <row r="4753">
      <c r="G4753" s="5"/>
      <c r="H4753" s="6"/>
      <c r="AD4753" s="5">
        <v>45124.0</v>
      </c>
      <c r="AE4753" s="6">
        <v>0.9583333333333334</v>
      </c>
      <c r="AF4753" s="7">
        <v>0.0</v>
      </c>
    </row>
    <row r="4754">
      <c r="G4754" s="5"/>
      <c r="H4754" s="6"/>
      <c r="AD4754" s="5">
        <v>45125.0</v>
      </c>
      <c r="AE4754" s="6">
        <v>0.0</v>
      </c>
      <c r="AF4754" s="7">
        <v>0.0</v>
      </c>
    </row>
    <row r="4755">
      <c r="G4755" s="5"/>
      <c r="H4755" s="6"/>
      <c r="AD4755" s="5">
        <v>45125.0</v>
      </c>
      <c r="AE4755" s="6">
        <v>0.041666666666666664</v>
      </c>
      <c r="AF4755" s="7">
        <v>0.0</v>
      </c>
    </row>
    <row r="4756">
      <c r="G4756" s="5"/>
      <c r="H4756" s="6"/>
      <c r="AD4756" s="5">
        <v>45125.0</v>
      </c>
      <c r="AE4756" s="6">
        <v>0.08333333333333333</v>
      </c>
      <c r="AF4756" s="7">
        <v>0.0</v>
      </c>
    </row>
    <row r="4757">
      <c r="G4757" s="5"/>
      <c r="H4757" s="6"/>
      <c r="AD4757" s="5">
        <v>45125.0</v>
      </c>
      <c r="AE4757" s="6">
        <v>0.125</v>
      </c>
      <c r="AF4757" s="7">
        <v>0.0</v>
      </c>
    </row>
    <row r="4758">
      <c r="G4758" s="5"/>
      <c r="H4758" s="6"/>
      <c r="AD4758" s="5">
        <v>45125.0</v>
      </c>
      <c r="AE4758" s="6">
        <v>0.16666666666666666</v>
      </c>
      <c r="AF4758" s="7">
        <v>0.0</v>
      </c>
    </row>
    <row r="4759">
      <c r="G4759" s="5"/>
      <c r="H4759" s="6"/>
      <c r="AD4759" s="5">
        <v>45125.0</v>
      </c>
      <c r="AE4759" s="6">
        <v>0.20833333333333334</v>
      </c>
      <c r="AF4759" s="7">
        <v>492.18</v>
      </c>
    </row>
    <row r="4760">
      <c r="G4760" s="5"/>
      <c r="H4760" s="6"/>
      <c r="AD4760" s="5">
        <v>45125.0</v>
      </c>
      <c r="AE4760" s="6">
        <v>0.25</v>
      </c>
      <c r="AF4760" s="7">
        <v>6318.0</v>
      </c>
    </row>
    <row r="4761">
      <c r="G4761" s="5"/>
      <c r="H4761" s="6"/>
      <c r="AD4761" s="5">
        <v>45125.0</v>
      </c>
      <c r="AE4761" s="6">
        <v>0.2916666666666667</v>
      </c>
      <c r="AF4761" s="7">
        <v>19059.3</v>
      </c>
    </row>
    <row r="4762">
      <c r="G4762" s="5"/>
      <c r="H4762" s="6"/>
      <c r="AD4762" s="5">
        <v>45125.0</v>
      </c>
      <c r="AE4762" s="6">
        <v>0.3333333333333333</v>
      </c>
      <c r="AF4762" s="7">
        <v>31173.48</v>
      </c>
    </row>
    <row r="4763">
      <c r="G4763" s="5"/>
      <c r="H4763" s="6"/>
      <c r="AD4763" s="5">
        <v>45125.0</v>
      </c>
      <c r="AE4763" s="6">
        <v>0.375</v>
      </c>
      <c r="AF4763" s="7">
        <v>42550.56</v>
      </c>
    </row>
    <row r="4764">
      <c r="G4764" s="5"/>
      <c r="H4764" s="6"/>
      <c r="AD4764" s="5">
        <v>45125.0</v>
      </c>
      <c r="AE4764" s="6">
        <v>0.4166666666666667</v>
      </c>
      <c r="AF4764" s="7">
        <v>49505.04</v>
      </c>
    </row>
    <row r="4765">
      <c r="G4765" s="5"/>
      <c r="H4765" s="6"/>
      <c r="AD4765" s="5">
        <v>45125.0</v>
      </c>
      <c r="AE4765" s="6">
        <v>0.4583333333333333</v>
      </c>
      <c r="AF4765" s="7">
        <v>53262.3</v>
      </c>
    </row>
    <row r="4766">
      <c r="G4766" s="5"/>
      <c r="H4766" s="6"/>
      <c r="AD4766" s="5">
        <v>45125.0</v>
      </c>
      <c r="AE4766" s="6">
        <v>0.5</v>
      </c>
      <c r="AF4766" s="7">
        <v>53398.8</v>
      </c>
    </row>
    <row r="4767">
      <c r="G4767" s="5"/>
      <c r="H4767" s="6"/>
      <c r="AD4767" s="5">
        <v>45125.0</v>
      </c>
      <c r="AE4767" s="6">
        <v>0.5416666666666666</v>
      </c>
      <c r="AF4767" s="7">
        <v>51458.16</v>
      </c>
    </row>
    <row r="4768">
      <c r="G4768" s="5"/>
      <c r="H4768" s="6"/>
      <c r="AD4768" s="5">
        <v>45125.0</v>
      </c>
      <c r="AE4768" s="6">
        <v>0.5833333333333334</v>
      </c>
      <c r="AF4768" s="7">
        <v>45551.22</v>
      </c>
    </row>
    <row r="4769">
      <c r="G4769" s="5"/>
      <c r="H4769" s="6"/>
      <c r="AD4769" s="5">
        <v>45125.0</v>
      </c>
      <c r="AE4769" s="6">
        <v>0.625</v>
      </c>
      <c r="AF4769" s="7">
        <v>37740.3</v>
      </c>
    </row>
    <row r="4770">
      <c r="G4770" s="5"/>
      <c r="H4770" s="6"/>
      <c r="AD4770" s="5">
        <v>45125.0</v>
      </c>
      <c r="AE4770" s="6">
        <v>0.6666666666666666</v>
      </c>
      <c r="AF4770" s="7">
        <v>27998.88</v>
      </c>
    </row>
    <row r="4771">
      <c r="G4771" s="5"/>
      <c r="H4771" s="6"/>
      <c r="AD4771" s="5">
        <v>45125.0</v>
      </c>
      <c r="AE4771" s="6">
        <v>0.7083333333333334</v>
      </c>
      <c r="AF4771" s="7">
        <v>17623.32</v>
      </c>
    </row>
    <row r="4772">
      <c r="G4772" s="5"/>
      <c r="H4772" s="6"/>
      <c r="AD4772" s="5">
        <v>45125.0</v>
      </c>
      <c r="AE4772" s="6">
        <v>0.75</v>
      </c>
      <c r="AF4772" s="7">
        <v>3483.48</v>
      </c>
    </row>
    <row r="4773">
      <c r="G4773" s="5"/>
      <c r="H4773" s="6"/>
      <c r="AD4773" s="5">
        <v>45125.0</v>
      </c>
      <c r="AE4773" s="6">
        <v>0.7916666666666666</v>
      </c>
      <c r="AF4773" s="7">
        <v>287.82</v>
      </c>
    </row>
    <row r="4774">
      <c r="G4774" s="5"/>
      <c r="H4774" s="6"/>
      <c r="AD4774" s="5">
        <v>45125.0</v>
      </c>
      <c r="AE4774" s="6">
        <v>0.8333333333333334</v>
      </c>
      <c r="AF4774" s="7">
        <v>0.0</v>
      </c>
    </row>
    <row r="4775">
      <c r="G4775" s="5"/>
      <c r="H4775" s="6"/>
      <c r="AD4775" s="5">
        <v>45125.0</v>
      </c>
      <c r="AE4775" s="6">
        <v>0.875</v>
      </c>
      <c r="AF4775" s="7">
        <v>0.0</v>
      </c>
    </row>
    <row r="4776">
      <c r="G4776" s="5"/>
      <c r="H4776" s="6"/>
      <c r="AD4776" s="5">
        <v>45125.0</v>
      </c>
      <c r="AE4776" s="6">
        <v>0.9166666666666666</v>
      </c>
      <c r="AF4776" s="7">
        <v>0.0</v>
      </c>
    </row>
    <row r="4777">
      <c r="G4777" s="5"/>
      <c r="H4777" s="6"/>
      <c r="AD4777" s="5">
        <v>45125.0</v>
      </c>
      <c r="AE4777" s="6">
        <v>0.9583333333333334</v>
      </c>
      <c r="AF4777" s="7">
        <v>0.0</v>
      </c>
    </row>
    <row r="4778">
      <c r="G4778" s="5"/>
      <c r="H4778" s="6"/>
      <c r="AD4778" s="5">
        <v>45126.0</v>
      </c>
      <c r="AE4778" s="6">
        <v>0.0</v>
      </c>
      <c r="AF4778" s="7">
        <v>0.0</v>
      </c>
    </row>
    <row r="4779">
      <c r="G4779" s="5"/>
      <c r="H4779" s="6"/>
      <c r="AD4779" s="5">
        <v>45126.0</v>
      </c>
      <c r="AE4779" s="6">
        <v>0.041666666666666664</v>
      </c>
      <c r="AF4779" s="7">
        <v>0.0</v>
      </c>
    </row>
    <row r="4780">
      <c r="G4780" s="5"/>
      <c r="H4780" s="6"/>
      <c r="AD4780" s="5">
        <v>45126.0</v>
      </c>
      <c r="AE4780" s="6">
        <v>0.08333333333333333</v>
      </c>
      <c r="AF4780" s="7">
        <v>0.0</v>
      </c>
    </row>
    <row r="4781">
      <c r="G4781" s="5"/>
      <c r="H4781" s="6"/>
      <c r="AD4781" s="5">
        <v>45126.0</v>
      </c>
      <c r="AE4781" s="6">
        <v>0.125</v>
      </c>
      <c r="AF4781" s="7">
        <v>0.0</v>
      </c>
    </row>
    <row r="4782">
      <c r="G4782" s="5"/>
      <c r="H4782" s="6"/>
      <c r="AD4782" s="5">
        <v>45126.0</v>
      </c>
      <c r="AE4782" s="6">
        <v>0.16666666666666666</v>
      </c>
      <c r="AF4782" s="7">
        <v>0.0</v>
      </c>
    </row>
    <row r="4783">
      <c r="G4783" s="5"/>
      <c r="H4783" s="6"/>
      <c r="AD4783" s="5">
        <v>45126.0</v>
      </c>
      <c r="AE4783" s="6">
        <v>0.20833333333333334</v>
      </c>
      <c r="AF4783" s="7">
        <v>323.7</v>
      </c>
    </row>
    <row r="4784">
      <c r="G4784" s="5"/>
      <c r="H4784" s="6"/>
      <c r="AD4784" s="5">
        <v>45126.0</v>
      </c>
      <c r="AE4784" s="6">
        <v>0.25</v>
      </c>
      <c r="AF4784" s="7">
        <v>5002.92</v>
      </c>
    </row>
    <row r="4785">
      <c r="G4785" s="5"/>
      <c r="H4785" s="6"/>
      <c r="AD4785" s="5">
        <v>45126.0</v>
      </c>
      <c r="AE4785" s="6">
        <v>0.2916666666666667</v>
      </c>
      <c r="AF4785" s="7">
        <v>13320.06</v>
      </c>
    </row>
    <row r="4786">
      <c r="G4786" s="5"/>
      <c r="H4786" s="6"/>
      <c r="AD4786" s="5">
        <v>45126.0</v>
      </c>
      <c r="AE4786" s="6">
        <v>0.3333333333333333</v>
      </c>
      <c r="AF4786" s="7">
        <v>30495.66</v>
      </c>
    </row>
    <row r="4787">
      <c r="G4787" s="5"/>
      <c r="H4787" s="6"/>
      <c r="AD4787" s="5">
        <v>45126.0</v>
      </c>
      <c r="AE4787" s="6">
        <v>0.375</v>
      </c>
      <c r="AF4787" s="7">
        <v>42737.76</v>
      </c>
    </row>
    <row r="4788">
      <c r="G4788" s="5"/>
      <c r="H4788" s="6"/>
      <c r="AD4788" s="5">
        <v>45126.0</v>
      </c>
      <c r="AE4788" s="6">
        <v>0.4166666666666667</v>
      </c>
      <c r="AF4788" s="7">
        <v>50584.56</v>
      </c>
    </row>
    <row r="4789">
      <c r="G4789" s="5"/>
      <c r="H4789" s="6"/>
      <c r="AD4789" s="5">
        <v>45126.0</v>
      </c>
      <c r="AE4789" s="6">
        <v>0.4583333333333333</v>
      </c>
      <c r="AF4789" s="7">
        <v>55436.94</v>
      </c>
    </row>
    <row r="4790">
      <c r="G4790" s="5"/>
      <c r="H4790" s="6"/>
      <c r="AD4790" s="5">
        <v>45126.0</v>
      </c>
      <c r="AE4790" s="6">
        <v>0.5</v>
      </c>
      <c r="AF4790" s="7">
        <v>55826.16</v>
      </c>
    </row>
    <row r="4791">
      <c r="G4791" s="5"/>
      <c r="H4791" s="6"/>
      <c r="AD4791" s="5">
        <v>45126.0</v>
      </c>
      <c r="AE4791" s="6">
        <v>0.5416666666666666</v>
      </c>
      <c r="AF4791" s="7">
        <v>54413.58</v>
      </c>
    </row>
    <row r="4792">
      <c r="G4792" s="5"/>
      <c r="H4792" s="6"/>
      <c r="AD4792" s="5">
        <v>45126.0</v>
      </c>
      <c r="AE4792" s="6">
        <v>0.5833333333333334</v>
      </c>
      <c r="AF4792" s="7">
        <v>49382.58</v>
      </c>
    </row>
    <row r="4793">
      <c r="G4793" s="5"/>
      <c r="H4793" s="6"/>
      <c r="AD4793" s="5">
        <v>45126.0</v>
      </c>
      <c r="AE4793" s="6">
        <v>0.625</v>
      </c>
      <c r="AF4793" s="7">
        <v>41041.26</v>
      </c>
    </row>
    <row r="4794">
      <c r="G4794" s="5"/>
      <c r="H4794" s="6"/>
      <c r="AD4794" s="5">
        <v>45126.0</v>
      </c>
      <c r="AE4794" s="6">
        <v>0.6666666666666666</v>
      </c>
      <c r="AF4794" s="7">
        <v>30019.08</v>
      </c>
    </row>
    <row r="4795">
      <c r="G4795" s="5"/>
      <c r="H4795" s="6"/>
      <c r="AD4795" s="5">
        <v>45126.0</v>
      </c>
      <c r="AE4795" s="6">
        <v>0.7083333333333334</v>
      </c>
      <c r="AF4795" s="7">
        <v>17535.18</v>
      </c>
    </row>
    <row r="4796">
      <c r="G4796" s="5"/>
      <c r="H4796" s="6"/>
      <c r="AD4796" s="5">
        <v>45126.0</v>
      </c>
      <c r="AE4796" s="6">
        <v>0.75</v>
      </c>
      <c r="AF4796" s="7">
        <v>5694.0</v>
      </c>
    </row>
    <row r="4797">
      <c r="G4797" s="5"/>
      <c r="H4797" s="6"/>
      <c r="AD4797" s="5">
        <v>45126.0</v>
      </c>
      <c r="AE4797" s="6">
        <v>0.7916666666666666</v>
      </c>
      <c r="AF4797" s="7">
        <v>385.32</v>
      </c>
    </row>
    <row r="4798">
      <c r="G4798" s="5"/>
      <c r="H4798" s="6"/>
      <c r="AD4798" s="5">
        <v>45126.0</v>
      </c>
      <c r="AE4798" s="6">
        <v>0.8333333333333334</v>
      </c>
      <c r="AF4798" s="7">
        <v>0.0</v>
      </c>
    </row>
    <row r="4799">
      <c r="G4799" s="5"/>
      <c r="H4799" s="6"/>
      <c r="AD4799" s="5">
        <v>45126.0</v>
      </c>
      <c r="AE4799" s="6">
        <v>0.875</v>
      </c>
      <c r="AF4799" s="7">
        <v>0.0</v>
      </c>
    </row>
    <row r="4800">
      <c r="G4800" s="5"/>
      <c r="H4800" s="6"/>
      <c r="AD4800" s="5">
        <v>45126.0</v>
      </c>
      <c r="AE4800" s="6">
        <v>0.9166666666666666</v>
      </c>
      <c r="AF4800" s="7">
        <v>0.0</v>
      </c>
    </row>
    <row r="4801">
      <c r="G4801" s="5"/>
      <c r="H4801" s="6"/>
      <c r="AD4801" s="5">
        <v>45126.0</v>
      </c>
      <c r="AE4801" s="6">
        <v>0.9583333333333334</v>
      </c>
      <c r="AF4801" s="7">
        <v>0.0</v>
      </c>
    </row>
    <row r="4802">
      <c r="G4802" s="5"/>
      <c r="H4802" s="6"/>
      <c r="AD4802" s="5">
        <v>45127.0</v>
      </c>
      <c r="AE4802" s="6">
        <v>0.0</v>
      </c>
      <c r="AF4802" s="7">
        <v>0.0</v>
      </c>
    </row>
    <row r="4803">
      <c r="G4803" s="5"/>
      <c r="H4803" s="6"/>
      <c r="AD4803" s="5">
        <v>45127.0</v>
      </c>
      <c r="AE4803" s="6">
        <v>0.041666666666666664</v>
      </c>
      <c r="AF4803" s="7">
        <v>0.0</v>
      </c>
    </row>
    <row r="4804">
      <c r="G4804" s="5"/>
      <c r="H4804" s="6"/>
      <c r="AD4804" s="5">
        <v>45127.0</v>
      </c>
      <c r="AE4804" s="6">
        <v>0.08333333333333333</v>
      </c>
      <c r="AF4804" s="7">
        <v>0.0</v>
      </c>
    </row>
    <row r="4805">
      <c r="G4805" s="5"/>
      <c r="H4805" s="6"/>
      <c r="AD4805" s="5">
        <v>45127.0</v>
      </c>
      <c r="AE4805" s="6">
        <v>0.125</v>
      </c>
      <c r="AF4805" s="7">
        <v>0.0</v>
      </c>
    </row>
    <row r="4806">
      <c r="G4806" s="5"/>
      <c r="H4806" s="6"/>
      <c r="AD4806" s="5">
        <v>45127.0</v>
      </c>
      <c r="AE4806" s="6">
        <v>0.16666666666666666</v>
      </c>
      <c r="AF4806" s="7">
        <v>0.0</v>
      </c>
    </row>
    <row r="4807">
      <c r="G4807" s="5"/>
      <c r="H4807" s="6"/>
      <c r="AD4807" s="5">
        <v>45127.0</v>
      </c>
      <c r="AE4807" s="6">
        <v>0.20833333333333334</v>
      </c>
      <c r="AF4807" s="7">
        <v>370.5</v>
      </c>
    </row>
    <row r="4808">
      <c r="G4808" s="5"/>
      <c r="H4808" s="6"/>
      <c r="AD4808" s="5">
        <v>45127.0</v>
      </c>
      <c r="AE4808" s="6">
        <v>0.25</v>
      </c>
      <c r="AF4808" s="7">
        <v>6332.04</v>
      </c>
    </row>
    <row r="4809">
      <c r="G4809" s="5"/>
      <c r="H4809" s="6"/>
      <c r="AD4809" s="5">
        <v>45127.0</v>
      </c>
      <c r="AE4809" s="6">
        <v>0.2916666666666667</v>
      </c>
      <c r="AF4809" s="7">
        <v>19365.06</v>
      </c>
    </row>
    <row r="4810">
      <c r="G4810" s="5"/>
      <c r="H4810" s="6"/>
      <c r="AD4810" s="5">
        <v>45127.0</v>
      </c>
      <c r="AE4810" s="6">
        <v>0.3333333333333333</v>
      </c>
      <c r="AF4810" s="7">
        <v>32678.1</v>
      </c>
    </row>
    <row r="4811">
      <c r="G4811" s="5"/>
      <c r="H4811" s="6"/>
      <c r="AD4811" s="5">
        <v>45127.0</v>
      </c>
      <c r="AE4811" s="6">
        <v>0.375</v>
      </c>
      <c r="AF4811" s="7">
        <v>43913.22</v>
      </c>
    </row>
    <row r="4812">
      <c r="G4812" s="5"/>
      <c r="H4812" s="6"/>
      <c r="AD4812" s="5">
        <v>45127.0</v>
      </c>
      <c r="AE4812" s="6">
        <v>0.4166666666666667</v>
      </c>
      <c r="AF4812" s="7">
        <v>51306.06</v>
      </c>
    </row>
    <row r="4813">
      <c r="G4813" s="5"/>
      <c r="H4813" s="6"/>
      <c r="AD4813" s="5">
        <v>45127.0</v>
      </c>
      <c r="AE4813" s="6">
        <v>0.4583333333333333</v>
      </c>
      <c r="AF4813" s="7">
        <v>54672.54</v>
      </c>
    </row>
    <row r="4814">
      <c r="G4814" s="5"/>
      <c r="H4814" s="6"/>
      <c r="AD4814" s="5">
        <v>45127.0</v>
      </c>
      <c r="AE4814" s="6">
        <v>0.5</v>
      </c>
      <c r="AF4814" s="7">
        <v>54694.38</v>
      </c>
    </row>
    <row r="4815">
      <c r="G4815" s="5"/>
      <c r="H4815" s="6"/>
      <c r="AD4815" s="5">
        <v>45127.0</v>
      </c>
      <c r="AE4815" s="6">
        <v>0.5416666666666666</v>
      </c>
      <c r="AF4815" s="7">
        <v>52938.6</v>
      </c>
    </row>
    <row r="4816">
      <c r="G4816" s="5"/>
      <c r="H4816" s="6"/>
      <c r="AD4816" s="5">
        <v>45127.0</v>
      </c>
      <c r="AE4816" s="6">
        <v>0.5833333333333334</v>
      </c>
      <c r="AF4816" s="7">
        <v>48703.98</v>
      </c>
    </row>
    <row r="4817">
      <c r="G4817" s="5"/>
      <c r="H4817" s="6"/>
      <c r="AD4817" s="5">
        <v>45127.0</v>
      </c>
      <c r="AE4817" s="6">
        <v>0.625</v>
      </c>
      <c r="AF4817" s="7">
        <v>40730.04</v>
      </c>
    </row>
    <row r="4818">
      <c r="G4818" s="5"/>
      <c r="H4818" s="6"/>
      <c r="AD4818" s="5">
        <v>45127.0</v>
      </c>
      <c r="AE4818" s="6">
        <v>0.6666666666666666</v>
      </c>
      <c r="AF4818" s="7">
        <v>30586.14</v>
      </c>
    </row>
    <row r="4819">
      <c r="G4819" s="5"/>
      <c r="H4819" s="6"/>
      <c r="AD4819" s="5">
        <v>45127.0</v>
      </c>
      <c r="AE4819" s="6">
        <v>0.7083333333333334</v>
      </c>
      <c r="AF4819" s="7">
        <v>18095.22</v>
      </c>
    </row>
    <row r="4820">
      <c r="G4820" s="5"/>
      <c r="H4820" s="6"/>
      <c r="AD4820" s="5">
        <v>45127.0</v>
      </c>
      <c r="AE4820" s="6">
        <v>0.75</v>
      </c>
      <c r="AF4820" s="7">
        <v>5715.84</v>
      </c>
    </row>
    <row r="4821">
      <c r="G4821" s="5"/>
      <c r="H4821" s="6"/>
      <c r="AD4821" s="5">
        <v>45127.0</v>
      </c>
      <c r="AE4821" s="6">
        <v>0.7916666666666666</v>
      </c>
      <c r="AF4821" s="7">
        <v>344.76</v>
      </c>
    </row>
    <row r="4822">
      <c r="G4822" s="5"/>
      <c r="H4822" s="6"/>
      <c r="AD4822" s="5">
        <v>45127.0</v>
      </c>
      <c r="AE4822" s="6">
        <v>0.8333333333333334</v>
      </c>
      <c r="AF4822" s="7">
        <v>0.0</v>
      </c>
    </row>
    <row r="4823">
      <c r="G4823" s="5"/>
      <c r="H4823" s="6"/>
      <c r="AD4823" s="5">
        <v>45127.0</v>
      </c>
      <c r="AE4823" s="6">
        <v>0.875</v>
      </c>
      <c r="AF4823" s="7">
        <v>0.0</v>
      </c>
    </row>
    <row r="4824">
      <c r="G4824" s="5"/>
      <c r="H4824" s="6"/>
      <c r="AD4824" s="5">
        <v>45127.0</v>
      </c>
      <c r="AE4824" s="6">
        <v>0.9166666666666666</v>
      </c>
      <c r="AF4824" s="7">
        <v>0.0</v>
      </c>
    </row>
    <row r="4825">
      <c r="G4825" s="5"/>
      <c r="H4825" s="6"/>
      <c r="AD4825" s="5">
        <v>45127.0</v>
      </c>
      <c r="AE4825" s="6">
        <v>0.9583333333333334</v>
      </c>
      <c r="AF4825" s="7">
        <v>0.0</v>
      </c>
    </row>
    <row r="4826">
      <c r="G4826" s="5"/>
      <c r="H4826" s="6"/>
      <c r="AD4826" s="5">
        <v>45128.0</v>
      </c>
      <c r="AE4826" s="6">
        <v>0.0</v>
      </c>
      <c r="AF4826" s="7">
        <v>0.0</v>
      </c>
    </row>
    <row r="4827">
      <c r="G4827" s="5"/>
      <c r="H4827" s="6"/>
      <c r="AD4827" s="5">
        <v>45128.0</v>
      </c>
      <c r="AE4827" s="6">
        <v>0.041666666666666664</v>
      </c>
      <c r="AF4827" s="7">
        <v>0.0</v>
      </c>
    </row>
    <row r="4828">
      <c r="G4828" s="5"/>
      <c r="H4828" s="6"/>
      <c r="AD4828" s="5">
        <v>45128.0</v>
      </c>
      <c r="AE4828" s="6">
        <v>0.08333333333333333</v>
      </c>
      <c r="AF4828" s="7">
        <v>0.0</v>
      </c>
    </row>
    <row r="4829">
      <c r="G4829" s="5"/>
      <c r="H4829" s="6"/>
      <c r="AD4829" s="5">
        <v>45128.0</v>
      </c>
      <c r="AE4829" s="6">
        <v>0.125</v>
      </c>
      <c r="AF4829" s="7">
        <v>0.0</v>
      </c>
    </row>
    <row r="4830">
      <c r="G4830" s="5"/>
      <c r="H4830" s="6"/>
      <c r="AD4830" s="5">
        <v>45128.0</v>
      </c>
      <c r="AE4830" s="6">
        <v>0.16666666666666666</v>
      </c>
      <c r="AF4830" s="7">
        <v>0.0</v>
      </c>
    </row>
    <row r="4831">
      <c r="G4831" s="5"/>
      <c r="H4831" s="6"/>
      <c r="AD4831" s="5">
        <v>45128.0</v>
      </c>
      <c r="AE4831" s="6">
        <v>0.20833333333333334</v>
      </c>
      <c r="AF4831" s="7">
        <v>329.16</v>
      </c>
    </row>
    <row r="4832">
      <c r="G4832" s="5"/>
      <c r="H4832" s="6"/>
      <c r="AD4832" s="5">
        <v>45128.0</v>
      </c>
      <c r="AE4832" s="6">
        <v>0.25</v>
      </c>
      <c r="AF4832" s="7">
        <v>6217.38</v>
      </c>
    </row>
    <row r="4833">
      <c r="G4833" s="5"/>
      <c r="H4833" s="6"/>
      <c r="AD4833" s="5">
        <v>45128.0</v>
      </c>
      <c r="AE4833" s="6">
        <v>0.2916666666666667</v>
      </c>
      <c r="AF4833" s="7">
        <v>19558.5</v>
      </c>
    </row>
    <row r="4834">
      <c r="G4834" s="5"/>
      <c r="H4834" s="6"/>
      <c r="AD4834" s="5">
        <v>45128.0</v>
      </c>
      <c r="AE4834" s="6">
        <v>0.3333333333333333</v>
      </c>
      <c r="AF4834" s="7">
        <v>33892.56</v>
      </c>
    </row>
    <row r="4835">
      <c r="G4835" s="5"/>
      <c r="H4835" s="6"/>
      <c r="AD4835" s="5">
        <v>45128.0</v>
      </c>
      <c r="AE4835" s="6">
        <v>0.375</v>
      </c>
      <c r="AF4835" s="7">
        <v>45485.7</v>
      </c>
    </row>
    <row r="4836">
      <c r="G4836" s="5"/>
      <c r="H4836" s="6"/>
      <c r="AD4836" s="5">
        <v>45128.0</v>
      </c>
      <c r="AE4836" s="6">
        <v>0.4166666666666667</v>
      </c>
      <c r="AF4836" s="7">
        <v>53483.82</v>
      </c>
    </row>
    <row r="4837">
      <c r="G4837" s="5"/>
      <c r="H4837" s="6"/>
      <c r="AD4837" s="5">
        <v>45128.0</v>
      </c>
      <c r="AE4837" s="6">
        <v>0.4583333333333333</v>
      </c>
      <c r="AF4837" s="7">
        <v>58207.5</v>
      </c>
    </row>
    <row r="4838">
      <c r="G4838" s="5"/>
      <c r="H4838" s="6"/>
      <c r="AD4838" s="5">
        <v>45128.0</v>
      </c>
      <c r="AE4838" s="6">
        <v>0.5</v>
      </c>
      <c r="AF4838" s="7">
        <v>58768.32</v>
      </c>
    </row>
    <row r="4839">
      <c r="G4839" s="5"/>
      <c r="H4839" s="6"/>
      <c r="AD4839" s="5">
        <v>45128.0</v>
      </c>
      <c r="AE4839" s="6">
        <v>0.5416666666666666</v>
      </c>
      <c r="AF4839" s="7">
        <v>56606.94</v>
      </c>
    </row>
    <row r="4840">
      <c r="G4840" s="5"/>
      <c r="H4840" s="6"/>
      <c r="AD4840" s="5">
        <v>45128.0</v>
      </c>
      <c r="AE4840" s="6">
        <v>0.5833333333333334</v>
      </c>
      <c r="AF4840" s="7">
        <v>51576.72</v>
      </c>
    </row>
    <row r="4841">
      <c r="G4841" s="5"/>
      <c r="H4841" s="6"/>
      <c r="AD4841" s="5">
        <v>45128.0</v>
      </c>
      <c r="AE4841" s="6">
        <v>0.625</v>
      </c>
      <c r="AF4841" s="7">
        <v>35300.46</v>
      </c>
    </row>
    <row r="4842">
      <c r="G4842" s="5"/>
      <c r="H4842" s="6"/>
      <c r="AD4842" s="5">
        <v>45128.0</v>
      </c>
      <c r="AE4842" s="6">
        <v>0.6666666666666666</v>
      </c>
      <c r="AF4842" s="7">
        <v>27739.92</v>
      </c>
    </row>
    <row r="4843">
      <c r="G4843" s="5"/>
      <c r="H4843" s="6"/>
      <c r="AD4843" s="5">
        <v>45128.0</v>
      </c>
      <c r="AE4843" s="6">
        <v>0.7083333333333334</v>
      </c>
      <c r="AF4843" s="7">
        <v>3209.7</v>
      </c>
    </row>
    <row r="4844">
      <c r="G4844" s="5"/>
      <c r="H4844" s="6"/>
      <c r="AD4844" s="5">
        <v>45128.0</v>
      </c>
      <c r="AE4844" s="6">
        <v>0.75</v>
      </c>
      <c r="AF4844" s="7">
        <v>4755.66</v>
      </c>
    </row>
    <row r="4845">
      <c r="G4845" s="5"/>
      <c r="H4845" s="6"/>
      <c r="AD4845" s="5">
        <v>45128.0</v>
      </c>
      <c r="AE4845" s="6">
        <v>0.7916666666666666</v>
      </c>
      <c r="AF4845" s="7">
        <v>155.22</v>
      </c>
    </row>
    <row r="4846">
      <c r="G4846" s="5"/>
      <c r="H4846" s="6"/>
      <c r="AD4846" s="5">
        <v>45128.0</v>
      </c>
      <c r="AE4846" s="6">
        <v>0.8333333333333334</v>
      </c>
      <c r="AF4846" s="7">
        <v>0.0</v>
      </c>
    </row>
    <row r="4847">
      <c r="G4847" s="5"/>
      <c r="H4847" s="6"/>
      <c r="AD4847" s="5">
        <v>45128.0</v>
      </c>
      <c r="AE4847" s="6">
        <v>0.875</v>
      </c>
      <c r="AF4847" s="7">
        <v>0.0</v>
      </c>
    </row>
    <row r="4848">
      <c r="G4848" s="5"/>
      <c r="H4848" s="6"/>
      <c r="AD4848" s="5">
        <v>45128.0</v>
      </c>
      <c r="AE4848" s="6">
        <v>0.9166666666666666</v>
      </c>
      <c r="AF4848" s="7">
        <v>0.0</v>
      </c>
    </row>
    <row r="4849">
      <c r="G4849" s="5"/>
      <c r="H4849" s="6"/>
      <c r="AD4849" s="5">
        <v>45128.0</v>
      </c>
      <c r="AE4849" s="6">
        <v>0.9583333333333334</v>
      </c>
      <c r="AF4849" s="7">
        <v>0.0</v>
      </c>
    </row>
    <row r="4850">
      <c r="G4850" s="5"/>
      <c r="H4850" s="6"/>
      <c r="AD4850" s="5">
        <v>45129.0</v>
      </c>
      <c r="AE4850" s="6">
        <v>0.0</v>
      </c>
      <c r="AF4850" s="7">
        <v>0.0</v>
      </c>
    </row>
    <row r="4851">
      <c r="G4851" s="5"/>
      <c r="H4851" s="6"/>
      <c r="AD4851" s="5">
        <v>45129.0</v>
      </c>
      <c r="AE4851" s="6">
        <v>0.041666666666666664</v>
      </c>
      <c r="AF4851" s="7">
        <v>0.0</v>
      </c>
    </row>
    <row r="4852">
      <c r="G4852" s="5"/>
      <c r="H4852" s="6"/>
      <c r="AD4852" s="5">
        <v>45129.0</v>
      </c>
      <c r="AE4852" s="6">
        <v>0.08333333333333333</v>
      </c>
      <c r="AF4852" s="7">
        <v>0.0</v>
      </c>
    </row>
    <row r="4853">
      <c r="G4853" s="5"/>
      <c r="H4853" s="6"/>
      <c r="AD4853" s="5">
        <v>45129.0</v>
      </c>
      <c r="AE4853" s="6">
        <v>0.125</v>
      </c>
      <c r="AF4853" s="7">
        <v>0.0</v>
      </c>
    </row>
    <row r="4854">
      <c r="G4854" s="5"/>
      <c r="H4854" s="6"/>
      <c r="AD4854" s="5">
        <v>45129.0</v>
      </c>
      <c r="AE4854" s="6">
        <v>0.16666666666666666</v>
      </c>
      <c r="AF4854" s="7">
        <v>0.0</v>
      </c>
    </row>
    <row r="4855">
      <c r="G4855" s="5"/>
      <c r="H4855" s="6"/>
      <c r="AD4855" s="5">
        <v>45129.0</v>
      </c>
      <c r="AE4855" s="6">
        <v>0.20833333333333334</v>
      </c>
      <c r="AF4855" s="7">
        <v>287.82</v>
      </c>
    </row>
    <row r="4856">
      <c r="G4856" s="5"/>
      <c r="H4856" s="6"/>
      <c r="AD4856" s="5">
        <v>45129.0</v>
      </c>
      <c r="AE4856" s="6">
        <v>0.25</v>
      </c>
      <c r="AF4856" s="7">
        <v>6188.52</v>
      </c>
    </row>
    <row r="4857">
      <c r="G4857" s="5"/>
      <c r="H4857" s="6"/>
      <c r="AD4857" s="5">
        <v>45129.0</v>
      </c>
      <c r="AE4857" s="6">
        <v>0.2916666666666667</v>
      </c>
      <c r="AF4857" s="7">
        <v>16642.86</v>
      </c>
    </row>
    <row r="4858">
      <c r="G4858" s="5"/>
      <c r="H4858" s="6"/>
      <c r="AD4858" s="5">
        <v>45129.0</v>
      </c>
      <c r="AE4858" s="6">
        <v>0.3333333333333333</v>
      </c>
      <c r="AF4858" s="7">
        <v>33107.1</v>
      </c>
    </row>
    <row r="4859">
      <c r="G4859" s="5"/>
      <c r="H4859" s="6"/>
      <c r="AD4859" s="5">
        <v>45129.0</v>
      </c>
      <c r="AE4859" s="6">
        <v>0.375</v>
      </c>
      <c r="AF4859" s="7">
        <v>43020.9</v>
      </c>
    </row>
    <row r="4860">
      <c r="G4860" s="5"/>
      <c r="H4860" s="6"/>
      <c r="AD4860" s="5">
        <v>45129.0</v>
      </c>
      <c r="AE4860" s="6">
        <v>0.4166666666666667</v>
      </c>
      <c r="AF4860" s="7">
        <v>49663.38</v>
      </c>
    </row>
    <row r="4861">
      <c r="G4861" s="5"/>
      <c r="H4861" s="6"/>
      <c r="AD4861" s="5">
        <v>45129.0</v>
      </c>
      <c r="AE4861" s="6">
        <v>0.4583333333333333</v>
      </c>
      <c r="AF4861" s="7">
        <v>49759.32</v>
      </c>
    </row>
    <row r="4862">
      <c r="G4862" s="5"/>
      <c r="H4862" s="6"/>
      <c r="AD4862" s="5">
        <v>45129.0</v>
      </c>
      <c r="AE4862" s="6">
        <v>0.5</v>
      </c>
      <c r="AF4862" s="7">
        <v>52442.52</v>
      </c>
    </row>
    <row r="4863">
      <c r="G4863" s="5"/>
      <c r="H4863" s="6"/>
      <c r="AD4863" s="5">
        <v>45129.0</v>
      </c>
      <c r="AE4863" s="6">
        <v>0.5416666666666666</v>
      </c>
      <c r="AF4863" s="7">
        <v>49427.82</v>
      </c>
    </row>
    <row r="4864">
      <c r="G4864" s="5"/>
      <c r="H4864" s="6"/>
      <c r="AD4864" s="5">
        <v>45129.0</v>
      </c>
      <c r="AE4864" s="6">
        <v>0.5833333333333334</v>
      </c>
      <c r="AF4864" s="7">
        <v>42937.44</v>
      </c>
    </row>
    <row r="4865">
      <c r="G4865" s="5"/>
      <c r="H4865" s="6"/>
      <c r="AD4865" s="5">
        <v>45129.0</v>
      </c>
      <c r="AE4865" s="6">
        <v>0.625</v>
      </c>
      <c r="AF4865" s="7">
        <v>40109.94</v>
      </c>
    </row>
    <row r="4866">
      <c r="G4866" s="5"/>
      <c r="H4866" s="6"/>
      <c r="AD4866" s="5">
        <v>45129.0</v>
      </c>
      <c r="AE4866" s="6">
        <v>0.6666666666666666</v>
      </c>
      <c r="AF4866" s="7">
        <v>27317.94</v>
      </c>
    </row>
    <row r="4867">
      <c r="G4867" s="5"/>
      <c r="H4867" s="6"/>
      <c r="AD4867" s="5">
        <v>45129.0</v>
      </c>
      <c r="AE4867" s="6">
        <v>0.7083333333333334</v>
      </c>
      <c r="AF4867" s="7">
        <v>17330.04</v>
      </c>
    </row>
    <row r="4868">
      <c r="G4868" s="5"/>
      <c r="H4868" s="6"/>
      <c r="AD4868" s="5">
        <v>45129.0</v>
      </c>
      <c r="AE4868" s="6">
        <v>0.75</v>
      </c>
      <c r="AF4868" s="7">
        <v>5652.66</v>
      </c>
    </row>
    <row r="4869">
      <c r="G4869" s="5"/>
      <c r="H4869" s="6"/>
      <c r="AD4869" s="5">
        <v>45129.0</v>
      </c>
      <c r="AE4869" s="6">
        <v>0.7916666666666666</v>
      </c>
      <c r="AF4869" s="7">
        <v>223.86</v>
      </c>
    </row>
    <row r="4870">
      <c r="G4870" s="5"/>
      <c r="H4870" s="6"/>
      <c r="AD4870" s="5">
        <v>45129.0</v>
      </c>
      <c r="AE4870" s="6">
        <v>0.8333333333333334</v>
      </c>
      <c r="AF4870" s="7">
        <v>0.0</v>
      </c>
    </row>
    <row r="4871">
      <c r="G4871" s="5"/>
      <c r="H4871" s="6"/>
      <c r="AD4871" s="5">
        <v>45129.0</v>
      </c>
      <c r="AE4871" s="6">
        <v>0.875</v>
      </c>
      <c r="AF4871" s="7">
        <v>0.0</v>
      </c>
    </row>
    <row r="4872">
      <c r="G4872" s="5"/>
      <c r="H4872" s="6"/>
      <c r="AD4872" s="5">
        <v>45129.0</v>
      </c>
      <c r="AE4872" s="6">
        <v>0.9166666666666666</v>
      </c>
      <c r="AF4872" s="7">
        <v>0.0</v>
      </c>
    </row>
    <row r="4873">
      <c r="G4873" s="5"/>
      <c r="H4873" s="6"/>
      <c r="AD4873" s="5">
        <v>45129.0</v>
      </c>
      <c r="AE4873" s="6">
        <v>0.9583333333333334</v>
      </c>
      <c r="AF4873" s="7">
        <v>0.0</v>
      </c>
    </row>
    <row r="4874">
      <c r="G4874" s="5"/>
      <c r="H4874" s="6"/>
      <c r="AD4874" s="5">
        <v>45130.0</v>
      </c>
      <c r="AE4874" s="6">
        <v>0.0</v>
      </c>
      <c r="AF4874" s="7">
        <v>0.0</v>
      </c>
    </row>
    <row r="4875">
      <c r="G4875" s="5"/>
      <c r="H4875" s="6"/>
      <c r="AD4875" s="5">
        <v>45130.0</v>
      </c>
      <c r="AE4875" s="6">
        <v>0.041666666666666664</v>
      </c>
      <c r="AF4875" s="7">
        <v>0.0</v>
      </c>
    </row>
    <row r="4876">
      <c r="G4876" s="5"/>
      <c r="H4876" s="6"/>
      <c r="AD4876" s="5">
        <v>45130.0</v>
      </c>
      <c r="AE4876" s="6">
        <v>0.08333333333333333</v>
      </c>
      <c r="AF4876" s="7">
        <v>0.0</v>
      </c>
    </row>
    <row r="4877">
      <c r="G4877" s="5"/>
      <c r="H4877" s="6"/>
      <c r="AD4877" s="5">
        <v>45130.0</v>
      </c>
      <c r="AE4877" s="6">
        <v>0.125</v>
      </c>
      <c r="AF4877" s="7">
        <v>0.0</v>
      </c>
    </row>
    <row r="4878">
      <c r="G4878" s="5"/>
      <c r="H4878" s="6"/>
      <c r="AD4878" s="5">
        <v>45130.0</v>
      </c>
      <c r="AE4878" s="6">
        <v>0.16666666666666666</v>
      </c>
      <c r="AF4878" s="7">
        <v>0.0</v>
      </c>
    </row>
    <row r="4879">
      <c r="G4879" s="5"/>
      <c r="H4879" s="6"/>
      <c r="AD4879" s="5">
        <v>45130.0</v>
      </c>
      <c r="AE4879" s="6">
        <v>0.20833333333333334</v>
      </c>
      <c r="AF4879" s="7">
        <v>198.9</v>
      </c>
    </row>
    <row r="4880">
      <c r="G4880" s="5"/>
      <c r="H4880" s="6"/>
      <c r="AD4880" s="5">
        <v>45130.0</v>
      </c>
      <c r="AE4880" s="6">
        <v>0.25</v>
      </c>
      <c r="AF4880" s="7">
        <v>4839.9</v>
      </c>
    </row>
    <row r="4881">
      <c r="G4881" s="5"/>
      <c r="H4881" s="6"/>
      <c r="AD4881" s="5">
        <v>45130.0</v>
      </c>
      <c r="AE4881" s="6">
        <v>0.2916666666666667</v>
      </c>
      <c r="AF4881" s="7">
        <v>12405.12</v>
      </c>
    </row>
    <row r="4882">
      <c r="G4882" s="5"/>
      <c r="H4882" s="6"/>
      <c r="AD4882" s="5">
        <v>45130.0</v>
      </c>
      <c r="AE4882" s="6">
        <v>0.3333333333333333</v>
      </c>
      <c r="AF4882" s="7">
        <v>31789.68</v>
      </c>
    </row>
    <row r="4883">
      <c r="G4883" s="5"/>
      <c r="H4883" s="6"/>
      <c r="AD4883" s="5">
        <v>45130.0</v>
      </c>
      <c r="AE4883" s="6">
        <v>0.375</v>
      </c>
      <c r="AF4883" s="7">
        <v>42896.88</v>
      </c>
    </row>
    <row r="4884">
      <c r="G4884" s="5"/>
      <c r="H4884" s="6"/>
      <c r="AD4884" s="5">
        <v>45130.0</v>
      </c>
      <c r="AE4884" s="6">
        <v>0.4166666666666667</v>
      </c>
      <c r="AF4884" s="7">
        <v>50052.6</v>
      </c>
    </row>
    <row r="4885">
      <c r="G4885" s="5"/>
      <c r="H4885" s="6"/>
      <c r="AD4885" s="5">
        <v>45130.0</v>
      </c>
      <c r="AE4885" s="6">
        <v>0.4583333333333333</v>
      </c>
      <c r="AF4885" s="7">
        <v>54209.22</v>
      </c>
    </row>
    <row r="4886">
      <c r="G4886" s="5"/>
      <c r="H4886" s="6"/>
      <c r="AD4886" s="5">
        <v>45130.0</v>
      </c>
      <c r="AE4886" s="6">
        <v>0.5</v>
      </c>
      <c r="AF4886" s="7">
        <v>55044.6</v>
      </c>
    </row>
    <row r="4887">
      <c r="G4887" s="5"/>
      <c r="H4887" s="6"/>
      <c r="AD4887" s="5">
        <v>45130.0</v>
      </c>
      <c r="AE4887" s="6">
        <v>0.5416666666666666</v>
      </c>
      <c r="AF4887" s="7">
        <v>53272.44</v>
      </c>
    </row>
    <row r="4888">
      <c r="G4888" s="5"/>
      <c r="H4888" s="6"/>
      <c r="AD4888" s="5">
        <v>45130.0</v>
      </c>
      <c r="AE4888" s="6">
        <v>0.5833333333333334</v>
      </c>
      <c r="AF4888" s="7">
        <v>48388.08</v>
      </c>
    </row>
    <row r="4889">
      <c r="G4889" s="5"/>
      <c r="H4889" s="6"/>
      <c r="AD4889" s="5">
        <v>45130.0</v>
      </c>
      <c r="AE4889" s="6">
        <v>0.625</v>
      </c>
      <c r="AF4889" s="7">
        <v>40318.2</v>
      </c>
    </row>
    <row r="4890">
      <c r="G4890" s="5"/>
      <c r="H4890" s="6"/>
      <c r="AD4890" s="5">
        <v>45130.0</v>
      </c>
      <c r="AE4890" s="6">
        <v>0.6666666666666666</v>
      </c>
      <c r="AF4890" s="7">
        <v>29457.48</v>
      </c>
    </row>
    <row r="4891">
      <c r="G4891" s="5"/>
      <c r="H4891" s="6"/>
      <c r="AD4891" s="5">
        <v>45130.0</v>
      </c>
      <c r="AE4891" s="6">
        <v>0.7083333333333334</v>
      </c>
      <c r="AF4891" s="7">
        <v>16954.86</v>
      </c>
    </row>
    <row r="4892">
      <c r="G4892" s="5"/>
      <c r="H4892" s="6"/>
      <c r="AD4892" s="5">
        <v>45130.0</v>
      </c>
      <c r="AE4892" s="6">
        <v>0.75</v>
      </c>
      <c r="AF4892" s="7">
        <v>5311.8</v>
      </c>
    </row>
    <row r="4893">
      <c r="G4893" s="5"/>
      <c r="H4893" s="6"/>
      <c r="AD4893" s="5">
        <v>45130.0</v>
      </c>
      <c r="AE4893" s="6">
        <v>0.7916666666666666</v>
      </c>
      <c r="AF4893" s="7">
        <v>253.5</v>
      </c>
    </row>
    <row r="4894">
      <c r="G4894" s="5"/>
      <c r="H4894" s="6"/>
      <c r="AD4894" s="5">
        <v>45130.0</v>
      </c>
      <c r="AE4894" s="6">
        <v>0.8333333333333334</v>
      </c>
      <c r="AF4894" s="7">
        <v>0.0</v>
      </c>
    </row>
    <row r="4895">
      <c r="G4895" s="5"/>
      <c r="H4895" s="6"/>
      <c r="AD4895" s="5">
        <v>45130.0</v>
      </c>
      <c r="AE4895" s="6">
        <v>0.875</v>
      </c>
      <c r="AF4895" s="7">
        <v>0.0</v>
      </c>
    </row>
    <row r="4896">
      <c r="G4896" s="5"/>
      <c r="H4896" s="6"/>
      <c r="AD4896" s="5">
        <v>45130.0</v>
      </c>
      <c r="AE4896" s="6">
        <v>0.9166666666666666</v>
      </c>
      <c r="AF4896" s="7">
        <v>0.0</v>
      </c>
    </row>
    <row r="4897">
      <c r="G4897" s="5"/>
      <c r="H4897" s="6"/>
      <c r="AD4897" s="5">
        <v>45130.0</v>
      </c>
      <c r="AE4897" s="6">
        <v>0.9583333333333334</v>
      </c>
      <c r="AF4897" s="7">
        <v>0.0</v>
      </c>
    </row>
    <row r="4898">
      <c r="G4898" s="5"/>
      <c r="H4898" s="6"/>
      <c r="AD4898" s="5">
        <v>45131.0</v>
      </c>
      <c r="AE4898" s="6">
        <v>0.0</v>
      </c>
      <c r="AF4898" s="7">
        <v>0.0</v>
      </c>
    </row>
    <row r="4899">
      <c r="G4899" s="5"/>
      <c r="H4899" s="6"/>
      <c r="AD4899" s="5">
        <v>45131.0</v>
      </c>
      <c r="AE4899" s="6">
        <v>0.041666666666666664</v>
      </c>
      <c r="AF4899" s="7">
        <v>0.0</v>
      </c>
    </row>
    <row r="4900">
      <c r="G4900" s="5"/>
      <c r="H4900" s="6"/>
      <c r="AD4900" s="5">
        <v>45131.0</v>
      </c>
      <c r="AE4900" s="6">
        <v>0.08333333333333333</v>
      </c>
      <c r="AF4900" s="7">
        <v>0.0</v>
      </c>
    </row>
    <row r="4901">
      <c r="G4901" s="5"/>
      <c r="H4901" s="6"/>
      <c r="AD4901" s="5">
        <v>45131.0</v>
      </c>
      <c r="AE4901" s="6">
        <v>0.125</v>
      </c>
      <c r="AF4901" s="7">
        <v>0.0</v>
      </c>
    </row>
    <row r="4902">
      <c r="G4902" s="5"/>
      <c r="H4902" s="6"/>
      <c r="AD4902" s="5">
        <v>45131.0</v>
      </c>
      <c r="AE4902" s="6">
        <v>0.16666666666666666</v>
      </c>
      <c r="AF4902" s="7">
        <v>0.0</v>
      </c>
    </row>
    <row r="4903">
      <c r="G4903" s="5"/>
      <c r="H4903" s="6"/>
      <c r="AD4903" s="5">
        <v>45131.0</v>
      </c>
      <c r="AE4903" s="6">
        <v>0.20833333333333334</v>
      </c>
      <c r="AF4903" s="7">
        <v>126.36</v>
      </c>
    </row>
    <row r="4904">
      <c r="G4904" s="5"/>
      <c r="H4904" s="6"/>
      <c r="AD4904" s="5">
        <v>45131.0</v>
      </c>
      <c r="AE4904" s="6">
        <v>0.25</v>
      </c>
      <c r="AF4904" s="7">
        <v>5888.22</v>
      </c>
    </row>
    <row r="4905">
      <c r="G4905" s="5"/>
      <c r="H4905" s="6"/>
      <c r="AD4905" s="5">
        <v>45131.0</v>
      </c>
      <c r="AE4905" s="6">
        <v>0.2916666666666667</v>
      </c>
      <c r="AF4905" s="7">
        <v>19748.82</v>
      </c>
    </row>
    <row r="4906">
      <c r="G4906" s="5"/>
      <c r="H4906" s="6"/>
      <c r="AD4906" s="5">
        <v>45131.0</v>
      </c>
      <c r="AE4906" s="6">
        <v>0.3333333333333333</v>
      </c>
      <c r="AF4906" s="7">
        <v>33098.52</v>
      </c>
    </row>
    <row r="4907">
      <c r="G4907" s="5"/>
      <c r="H4907" s="6"/>
      <c r="AD4907" s="5">
        <v>45131.0</v>
      </c>
      <c r="AE4907" s="6">
        <v>0.375</v>
      </c>
      <c r="AF4907" s="7">
        <v>43906.98</v>
      </c>
    </row>
    <row r="4908">
      <c r="G4908" s="5"/>
      <c r="H4908" s="6"/>
      <c r="AD4908" s="5">
        <v>45131.0</v>
      </c>
      <c r="AE4908" s="6">
        <v>0.4166666666666667</v>
      </c>
      <c r="AF4908" s="7">
        <v>52492.44</v>
      </c>
    </row>
    <row r="4909">
      <c r="G4909" s="5"/>
      <c r="H4909" s="6"/>
      <c r="AD4909" s="5">
        <v>45131.0</v>
      </c>
      <c r="AE4909" s="6">
        <v>0.4583333333333333</v>
      </c>
      <c r="AF4909" s="7">
        <v>56727.84</v>
      </c>
    </row>
    <row r="4910">
      <c r="G4910" s="5"/>
      <c r="H4910" s="6"/>
      <c r="AD4910" s="5">
        <v>45131.0</v>
      </c>
      <c r="AE4910" s="6">
        <v>0.5</v>
      </c>
      <c r="AF4910" s="7">
        <v>57763.68</v>
      </c>
    </row>
    <row r="4911">
      <c r="G4911" s="5"/>
      <c r="H4911" s="6"/>
      <c r="AD4911" s="5">
        <v>45131.0</v>
      </c>
      <c r="AE4911" s="6">
        <v>0.5416666666666666</v>
      </c>
      <c r="AF4911" s="7">
        <v>56333.94</v>
      </c>
    </row>
    <row r="4912">
      <c r="G4912" s="5"/>
      <c r="H4912" s="6"/>
      <c r="AD4912" s="5">
        <v>45131.0</v>
      </c>
      <c r="AE4912" s="6">
        <v>0.5833333333333334</v>
      </c>
      <c r="AF4912" s="7">
        <v>49474.62</v>
      </c>
    </row>
    <row r="4913">
      <c r="G4913" s="5"/>
      <c r="H4913" s="6"/>
      <c r="AD4913" s="5">
        <v>45131.0</v>
      </c>
      <c r="AE4913" s="6">
        <v>0.625</v>
      </c>
      <c r="AF4913" s="7">
        <v>42841.5</v>
      </c>
    </row>
    <row r="4914">
      <c r="G4914" s="5"/>
      <c r="H4914" s="6"/>
      <c r="AD4914" s="5">
        <v>45131.0</v>
      </c>
      <c r="AE4914" s="6">
        <v>0.6666666666666666</v>
      </c>
      <c r="AF4914" s="7">
        <v>28814.76</v>
      </c>
    </row>
    <row r="4915">
      <c r="G4915" s="5"/>
      <c r="H4915" s="6"/>
      <c r="AD4915" s="5">
        <v>45131.0</v>
      </c>
      <c r="AE4915" s="6">
        <v>0.7083333333333334</v>
      </c>
      <c r="AF4915" s="7">
        <v>18694.26</v>
      </c>
    </row>
    <row r="4916">
      <c r="G4916" s="5"/>
      <c r="H4916" s="6"/>
      <c r="AD4916" s="5">
        <v>45131.0</v>
      </c>
      <c r="AE4916" s="6">
        <v>0.75</v>
      </c>
      <c r="AF4916" s="7">
        <v>5533.32</v>
      </c>
    </row>
    <row r="4917">
      <c r="G4917" s="5"/>
      <c r="H4917" s="6"/>
      <c r="AD4917" s="5">
        <v>45131.0</v>
      </c>
      <c r="AE4917" s="6">
        <v>0.7916666666666666</v>
      </c>
      <c r="AF4917" s="7">
        <v>232.44</v>
      </c>
    </row>
    <row r="4918">
      <c r="G4918" s="5"/>
      <c r="H4918" s="6"/>
      <c r="AD4918" s="5">
        <v>45131.0</v>
      </c>
      <c r="AE4918" s="6">
        <v>0.8333333333333334</v>
      </c>
      <c r="AF4918" s="7">
        <v>0.0</v>
      </c>
    </row>
    <row r="4919">
      <c r="G4919" s="5"/>
      <c r="H4919" s="6"/>
      <c r="AD4919" s="5">
        <v>45131.0</v>
      </c>
      <c r="AE4919" s="6">
        <v>0.875</v>
      </c>
      <c r="AF4919" s="7">
        <v>0.0</v>
      </c>
    </row>
    <row r="4920">
      <c r="G4920" s="5"/>
      <c r="H4920" s="6"/>
      <c r="AD4920" s="5">
        <v>45131.0</v>
      </c>
      <c r="AE4920" s="6">
        <v>0.9166666666666666</v>
      </c>
      <c r="AF4920" s="7">
        <v>0.0</v>
      </c>
    </row>
    <row r="4921">
      <c r="G4921" s="5"/>
      <c r="H4921" s="6"/>
      <c r="AD4921" s="5">
        <v>45131.0</v>
      </c>
      <c r="AE4921" s="6">
        <v>0.9583333333333334</v>
      </c>
      <c r="AF4921" s="7">
        <v>0.0</v>
      </c>
    </row>
    <row r="4922">
      <c r="G4922" s="5"/>
      <c r="H4922" s="6"/>
      <c r="AD4922" s="5">
        <v>45132.0</v>
      </c>
      <c r="AE4922" s="6">
        <v>0.0</v>
      </c>
      <c r="AF4922" s="7">
        <v>0.0</v>
      </c>
    </row>
    <row r="4923">
      <c r="G4923" s="5"/>
      <c r="H4923" s="6"/>
      <c r="AD4923" s="5">
        <v>45132.0</v>
      </c>
      <c r="AE4923" s="6">
        <v>0.041666666666666664</v>
      </c>
      <c r="AF4923" s="7">
        <v>0.0</v>
      </c>
    </row>
    <row r="4924">
      <c r="G4924" s="5"/>
      <c r="H4924" s="6"/>
      <c r="AD4924" s="5">
        <v>45132.0</v>
      </c>
      <c r="AE4924" s="6">
        <v>0.08333333333333333</v>
      </c>
      <c r="AF4924" s="7">
        <v>0.0</v>
      </c>
    </row>
    <row r="4925">
      <c r="G4925" s="5"/>
      <c r="H4925" s="6"/>
      <c r="AD4925" s="5">
        <v>45132.0</v>
      </c>
      <c r="AE4925" s="6">
        <v>0.125</v>
      </c>
      <c r="AF4925" s="7">
        <v>0.0</v>
      </c>
    </row>
    <row r="4926">
      <c r="G4926" s="5"/>
      <c r="H4926" s="6"/>
      <c r="AD4926" s="5">
        <v>45132.0</v>
      </c>
      <c r="AE4926" s="6">
        <v>0.16666666666666666</v>
      </c>
      <c r="AF4926" s="7">
        <v>0.0</v>
      </c>
    </row>
    <row r="4927">
      <c r="G4927" s="5"/>
      <c r="H4927" s="6"/>
      <c r="AD4927" s="5">
        <v>45132.0</v>
      </c>
      <c r="AE4927" s="6">
        <v>0.20833333333333334</v>
      </c>
      <c r="AF4927" s="7">
        <v>131.04</v>
      </c>
    </row>
    <row r="4928">
      <c r="G4928" s="5"/>
      <c r="H4928" s="6"/>
      <c r="AD4928" s="5">
        <v>45132.0</v>
      </c>
      <c r="AE4928" s="6">
        <v>0.25</v>
      </c>
      <c r="AF4928" s="7">
        <v>5922.54</v>
      </c>
    </row>
    <row r="4929">
      <c r="G4929" s="5"/>
      <c r="H4929" s="6"/>
      <c r="AD4929" s="5">
        <v>45132.0</v>
      </c>
      <c r="AE4929" s="6">
        <v>0.2916666666666667</v>
      </c>
      <c r="AF4929" s="7">
        <v>19875.18</v>
      </c>
    </row>
    <row r="4930">
      <c r="G4930" s="5"/>
      <c r="H4930" s="6"/>
      <c r="AD4930" s="5">
        <v>45132.0</v>
      </c>
      <c r="AE4930" s="6">
        <v>0.3333333333333333</v>
      </c>
      <c r="AF4930" s="7">
        <v>34596.9</v>
      </c>
    </row>
    <row r="4931">
      <c r="G4931" s="5"/>
      <c r="H4931" s="6"/>
      <c r="AD4931" s="5">
        <v>45132.0</v>
      </c>
      <c r="AE4931" s="6">
        <v>0.375</v>
      </c>
      <c r="AF4931" s="7">
        <v>46468.5</v>
      </c>
    </row>
    <row r="4932">
      <c r="G4932" s="5"/>
      <c r="H4932" s="6"/>
      <c r="AD4932" s="5">
        <v>45132.0</v>
      </c>
      <c r="AE4932" s="6">
        <v>0.4166666666666667</v>
      </c>
      <c r="AF4932" s="7">
        <v>54592.98</v>
      </c>
    </row>
    <row r="4933">
      <c r="G4933" s="5"/>
      <c r="H4933" s="6"/>
      <c r="AD4933" s="5">
        <v>45132.0</v>
      </c>
      <c r="AE4933" s="6">
        <v>0.4583333333333333</v>
      </c>
      <c r="AF4933" s="7">
        <v>59487.48</v>
      </c>
    </row>
    <row r="4934">
      <c r="G4934" s="5"/>
      <c r="H4934" s="6"/>
      <c r="AD4934" s="5">
        <v>45132.0</v>
      </c>
      <c r="AE4934" s="6">
        <v>0.5</v>
      </c>
      <c r="AF4934" s="7">
        <v>61311.9</v>
      </c>
    </row>
    <row r="4935">
      <c r="G4935" s="5"/>
      <c r="H4935" s="6"/>
      <c r="AD4935" s="5">
        <v>45132.0</v>
      </c>
      <c r="AE4935" s="6">
        <v>0.5416666666666666</v>
      </c>
      <c r="AF4935" s="7">
        <v>59565.48</v>
      </c>
    </row>
    <row r="4936">
      <c r="G4936" s="5"/>
      <c r="H4936" s="6"/>
      <c r="AD4936" s="5">
        <v>45132.0</v>
      </c>
      <c r="AE4936" s="6">
        <v>0.5833333333333334</v>
      </c>
      <c r="AF4936" s="7">
        <v>53990.82</v>
      </c>
    </row>
    <row r="4937">
      <c r="G4937" s="5"/>
      <c r="H4937" s="6"/>
      <c r="AD4937" s="5">
        <v>45132.0</v>
      </c>
      <c r="AE4937" s="6">
        <v>0.625</v>
      </c>
      <c r="AF4937" s="7">
        <v>45485.7</v>
      </c>
    </row>
    <row r="4938">
      <c r="G4938" s="5"/>
      <c r="H4938" s="6"/>
      <c r="AD4938" s="5">
        <v>45132.0</v>
      </c>
      <c r="AE4938" s="6">
        <v>0.6666666666666666</v>
      </c>
      <c r="AF4938" s="7">
        <v>32856.72</v>
      </c>
    </row>
    <row r="4939">
      <c r="G4939" s="5"/>
      <c r="H4939" s="6"/>
      <c r="AD4939" s="5">
        <v>45132.0</v>
      </c>
      <c r="AE4939" s="6">
        <v>0.7083333333333334</v>
      </c>
      <c r="AF4939" s="7">
        <v>18231.72</v>
      </c>
    </row>
    <row r="4940">
      <c r="G4940" s="5"/>
      <c r="H4940" s="6"/>
      <c r="AD4940" s="5">
        <v>45132.0</v>
      </c>
      <c r="AE4940" s="6">
        <v>0.75</v>
      </c>
      <c r="AF4940" s="7">
        <v>5342.22</v>
      </c>
    </row>
    <row r="4941">
      <c r="G4941" s="5"/>
      <c r="H4941" s="6"/>
      <c r="AD4941" s="5">
        <v>45132.0</v>
      </c>
      <c r="AE4941" s="6">
        <v>0.7916666666666666</v>
      </c>
      <c r="AF4941" s="7">
        <v>0.0</v>
      </c>
    </row>
    <row r="4942">
      <c r="G4942" s="5"/>
      <c r="H4942" s="6"/>
      <c r="AD4942" s="5">
        <v>45132.0</v>
      </c>
      <c r="AE4942" s="6">
        <v>0.8333333333333334</v>
      </c>
      <c r="AF4942" s="7">
        <v>0.0</v>
      </c>
    </row>
    <row r="4943">
      <c r="G4943" s="5"/>
      <c r="H4943" s="6"/>
      <c r="AD4943" s="5">
        <v>45132.0</v>
      </c>
      <c r="AE4943" s="6">
        <v>0.875</v>
      </c>
      <c r="AF4943" s="7">
        <v>0.0</v>
      </c>
    </row>
    <row r="4944">
      <c r="G4944" s="5"/>
      <c r="H4944" s="6"/>
      <c r="AD4944" s="5">
        <v>45132.0</v>
      </c>
      <c r="AE4944" s="6">
        <v>0.9166666666666666</v>
      </c>
      <c r="AF4944" s="7">
        <v>0.0</v>
      </c>
    </row>
    <row r="4945">
      <c r="G4945" s="5"/>
      <c r="H4945" s="6"/>
      <c r="AD4945" s="5">
        <v>45132.0</v>
      </c>
      <c r="AE4945" s="6">
        <v>0.9583333333333334</v>
      </c>
      <c r="AF4945" s="7">
        <v>0.0</v>
      </c>
    </row>
    <row r="4946">
      <c r="G4946" s="5"/>
      <c r="H4946" s="6"/>
      <c r="AD4946" s="5">
        <v>45133.0</v>
      </c>
      <c r="AE4946" s="6">
        <v>0.0</v>
      </c>
      <c r="AF4946" s="7">
        <v>0.0</v>
      </c>
    </row>
    <row r="4947">
      <c r="G4947" s="5"/>
      <c r="H4947" s="6"/>
      <c r="AD4947" s="5">
        <v>45133.0</v>
      </c>
      <c r="AE4947" s="6">
        <v>0.041666666666666664</v>
      </c>
      <c r="AF4947" s="7">
        <v>0.0</v>
      </c>
    </row>
    <row r="4948">
      <c r="G4948" s="5"/>
      <c r="H4948" s="6"/>
      <c r="AD4948" s="5">
        <v>45133.0</v>
      </c>
      <c r="AE4948" s="6">
        <v>0.08333333333333333</v>
      </c>
      <c r="AF4948" s="7">
        <v>0.0</v>
      </c>
    </row>
    <row r="4949">
      <c r="G4949" s="5"/>
      <c r="H4949" s="6"/>
      <c r="AD4949" s="5">
        <v>45133.0</v>
      </c>
      <c r="AE4949" s="6">
        <v>0.125</v>
      </c>
      <c r="AF4949" s="7">
        <v>0.0</v>
      </c>
    </row>
    <row r="4950">
      <c r="G4950" s="5"/>
      <c r="H4950" s="6"/>
      <c r="AD4950" s="5">
        <v>45133.0</v>
      </c>
      <c r="AE4950" s="6">
        <v>0.16666666666666666</v>
      </c>
      <c r="AF4950" s="7">
        <v>0.0</v>
      </c>
    </row>
    <row r="4951">
      <c r="G4951" s="5"/>
      <c r="H4951" s="6"/>
      <c r="AD4951" s="5">
        <v>45133.0</v>
      </c>
      <c r="AE4951" s="6">
        <v>0.20833333333333334</v>
      </c>
      <c r="AF4951" s="7">
        <v>131.82</v>
      </c>
    </row>
    <row r="4952">
      <c r="G4952" s="5"/>
      <c r="H4952" s="6"/>
      <c r="AD4952" s="5">
        <v>45133.0</v>
      </c>
      <c r="AE4952" s="6">
        <v>0.25</v>
      </c>
      <c r="AF4952" s="7">
        <v>5806.32</v>
      </c>
    </row>
    <row r="4953">
      <c r="G4953" s="5"/>
      <c r="H4953" s="6"/>
      <c r="AD4953" s="5">
        <v>45133.0</v>
      </c>
      <c r="AE4953" s="6">
        <v>0.2916666666666667</v>
      </c>
      <c r="AF4953" s="7">
        <v>19844.76</v>
      </c>
    </row>
    <row r="4954">
      <c r="G4954" s="5"/>
      <c r="H4954" s="6"/>
      <c r="AD4954" s="5">
        <v>45133.0</v>
      </c>
      <c r="AE4954" s="6">
        <v>0.3333333333333333</v>
      </c>
      <c r="AF4954" s="7">
        <v>34329.36</v>
      </c>
    </row>
    <row r="4955">
      <c r="G4955" s="5"/>
      <c r="H4955" s="6"/>
      <c r="AD4955" s="5">
        <v>45133.0</v>
      </c>
      <c r="AE4955" s="6">
        <v>0.375</v>
      </c>
      <c r="AF4955" s="7">
        <v>46261.8</v>
      </c>
    </row>
    <row r="4956">
      <c r="G4956" s="5"/>
      <c r="H4956" s="6"/>
      <c r="AD4956" s="5">
        <v>45133.0</v>
      </c>
      <c r="AE4956" s="6">
        <v>0.4166666666666667</v>
      </c>
      <c r="AF4956" s="7">
        <v>54106.26</v>
      </c>
    </row>
    <row r="4957">
      <c r="G4957" s="5"/>
      <c r="H4957" s="6"/>
      <c r="AD4957" s="5">
        <v>45133.0</v>
      </c>
      <c r="AE4957" s="6">
        <v>0.4583333333333333</v>
      </c>
      <c r="AF4957" s="7">
        <v>58184.88</v>
      </c>
    </row>
    <row r="4958">
      <c r="G4958" s="5"/>
      <c r="H4958" s="6"/>
      <c r="AD4958" s="5">
        <v>45133.0</v>
      </c>
      <c r="AE4958" s="6">
        <v>0.5</v>
      </c>
      <c r="AF4958" s="7">
        <v>59041.32</v>
      </c>
    </row>
    <row r="4959">
      <c r="G4959" s="5"/>
      <c r="H4959" s="6"/>
      <c r="AD4959" s="5">
        <v>45133.0</v>
      </c>
      <c r="AE4959" s="6">
        <v>0.5416666666666666</v>
      </c>
      <c r="AF4959" s="7">
        <v>57404.1</v>
      </c>
    </row>
    <row r="4960">
      <c r="G4960" s="5"/>
      <c r="H4960" s="6"/>
      <c r="AD4960" s="5">
        <v>45133.0</v>
      </c>
      <c r="AE4960" s="6">
        <v>0.5833333333333334</v>
      </c>
      <c r="AF4960" s="7">
        <v>52157.82</v>
      </c>
    </row>
    <row r="4961">
      <c r="G4961" s="5"/>
      <c r="H4961" s="6"/>
      <c r="AD4961" s="5">
        <v>45133.0</v>
      </c>
      <c r="AE4961" s="6">
        <v>0.625</v>
      </c>
      <c r="AF4961" s="7">
        <v>43909.32</v>
      </c>
    </row>
    <row r="4962">
      <c r="G4962" s="5"/>
      <c r="H4962" s="6"/>
      <c r="AD4962" s="5">
        <v>45133.0</v>
      </c>
      <c r="AE4962" s="6">
        <v>0.6666666666666666</v>
      </c>
      <c r="AF4962" s="7">
        <v>31937.88</v>
      </c>
    </row>
    <row r="4963">
      <c r="G4963" s="5"/>
      <c r="H4963" s="6"/>
      <c r="AD4963" s="5">
        <v>45133.0</v>
      </c>
      <c r="AE4963" s="6">
        <v>0.7083333333333334</v>
      </c>
      <c r="AF4963" s="7">
        <v>18533.58</v>
      </c>
    </row>
    <row r="4964">
      <c r="G4964" s="5"/>
      <c r="H4964" s="6"/>
      <c r="AD4964" s="5">
        <v>45133.0</v>
      </c>
      <c r="AE4964" s="6">
        <v>0.75</v>
      </c>
      <c r="AF4964" s="7">
        <v>5306.34</v>
      </c>
    </row>
    <row r="4965">
      <c r="G4965" s="5"/>
      <c r="H4965" s="6"/>
      <c r="AD4965" s="5">
        <v>45133.0</v>
      </c>
      <c r="AE4965" s="6">
        <v>0.7916666666666666</v>
      </c>
      <c r="AF4965" s="7">
        <v>118.56</v>
      </c>
    </row>
    <row r="4966">
      <c r="G4966" s="5"/>
      <c r="H4966" s="6"/>
      <c r="AD4966" s="5">
        <v>45133.0</v>
      </c>
      <c r="AE4966" s="6">
        <v>0.8333333333333334</v>
      </c>
      <c r="AF4966" s="7">
        <v>0.0</v>
      </c>
    </row>
    <row r="4967">
      <c r="G4967" s="5"/>
      <c r="H4967" s="6"/>
      <c r="AD4967" s="5">
        <v>45133.0</v>
      </c>
      <c r="AE4967" s="6">
        <v>0.875</v>
      </c>
      <c r="AF4967" s="7">
        <v>0.0</v>
      </c>
    </row>
    <row r="4968">
      <c r="G4968" s="5"/>
      <c r="H4968" s="6"/>
      <c r="AD4968" s="5">
        <v>45133.0</v>
      </c>
      <c r="AE4968" s="6">
        <v>0.9166666666666666</v>
      </c>
      <c r="AF4968" s="7">
        <v>0.0</v>
      </c>
    </row>
    <row r="4969">
      <c r="G4969" s="5"/>
      <c r="H4969" s="6"/>
      <c r="AD4969" s="5">
        <v>45133.0</v>
      </c>
      <c r="AE4969" s="6">
        <v>0.9583333333333334</v>
      </c>
      <c r="AF4969" s="7">
        <v>0.0</v>
      </c>
    </row>
    <row r="4970">
      <c r="G4970" s="5"/>
      <c r="H4970" s="6"/>
      <c r="AD4970" s="5">
        <v>45134.0</v>
      </c>
      <c r="AE4970" s="6">
        <v>0.0</v>
      </c>
      <c r="AF4970" s="7">
        <v>0.0</v>
      </c>
    </row>
    <row r="4971">
      <c r="G4971" s="5"/>
      <c r="H4971" s="6"/>
      <c r="AD4971" s="5">
        <v>45134.0</v>
      </c>
      <c r="AE4971" s="6">
        <v>0.041666666666666664</v>
      </c>
      <c r="AF4971" s="7">
        <v>0.0</v>
      </c>
    </row>
    <row r="4972">
      <c r="G4972" s="5"/>
      <c r="H4972" s="6"/>
      <c r="AD4972" s="5">
        <v>45134.0</v>
      </c>
      <c r="AE4972" s="6">
        <v>0.08333333333333333</v>
      </c>
      <c r="AF4972" s="7">
        <v>0.0</v>
      </c>
    </row>
    <row r="4973">
      <c r="G4973" s="5"/>
      <c r="H4973" s="6"/>
      <c r="AD4973" s="5">
        <v>45134.0</v>
      </c>
      <c r="AE4973" s="6">
        <v>0.125</v>
      </c>
      <c r="AF4973" s="7">
        <v>0.0</v>
      </c>
    </row>
    <row r="4974">
      <c r="G4974" s="5"/>
      <c r="H4974" s="6"/>
      <c r="AD4974" s="5">
        <v>45134.0</v>
      </c>
      <c r="AE4974" s="6">
        <v>0.16666666666666666</v>
      </c>
      <c r="AF4974" s="7">
        <v>0.0</v>
      </c>
    </row>
    <row r="4975">
      <c r="G4975" s="5"/>
      <c r="H4975" s="6"/>
      <c r="AD4975" s="5">
        <v>45134.0</v>
      </c>
      <c r="AE4975" s="6">
        <v>0.20833333333333334</v>
      </c>
      <c r="AF4975" s="7">
        <v>60.84</v>
      </c>
    </row>
    <row r="4976">
      <c r="G4976" s="5"/>
      <c r="H4976" s="6"/>
      <c r="AD4976" s="5">
        <v>45134.0</v>
      </c>
      <c r="AE4976" s="6">
        <v>0.25</v>
      </c>
      <c r="AF4976" s="7">
        <v>5612.88</v>
      </c>
    </row>
    <row r="4977">
      <c r="G4977" s="5"/>
      <c r="H4977" s="6"/>
      <c r="AD4977" s="5">
        <v>45134.0</v>
      </c>
      <c r="AE4977" s="6">
        <v>0.2916666666666667</v>
      </c>
      <c r="AF4977" s="7">
        <v>18707.52</v>
      </c>
    </row>
    <row r="4978">
      <c r="G4978" s="5"/>
      <c r="H4978" s="6"/>
      <c r="AD4978" s="5">
        <v>45134.0</v>
      </c>
      <c r="AE4978" s="6">
        <v>0.3333333333333333</v>
      </c>
      <c r="AF4978" s="7">
        <v>32244.42</v>
      </c>
    </row>
    <row r="4979">
      <c r="G4979" s="5"/>
      <c r="H4979" s="6"/>
      <c r="AD4979" s="5">
        <v>45134.0</v>
      </c>
      <c r="AE4979" s="6">
        <v>0.375</v>
      </c>
      <c r="AF4979" s="7">
        <v>43651.14</v>
      </c>
    </row>
    <row r="4980">
      <c r="G4980" s="5"/>
      <c r="H4980" s="6"/>
      <c r="AD4980" s="5">
        <v>45134.0</v>
      </c>
      <c r="AE4980" s="6">
        <v>0.4166666666666667</v>
      </c>
      <c r="AF4980" s="7">
        <v>51051.0</v>
      </c>
    </row>
    <row r="4981">
      <c r="G4981" s="5"/>
      <c r="H4981" s="6"/>
      <c r="AD4981" s="5">
        <v>45134.0</v>
      </c>
      <c r="AE4981" s="6">
        <v>0.4583333333333333</v>
      </c>
      <c r="AF4981" s="7">
        <v>55305.12</v>
      </c>
    </row>
    <row r="4982">
      <c r="G4982" s="5"/>
      <c r="H4982" s="6"/>
      <c r="AD4982" s="5">
        <v>45134.0</v>
      </c>
      <c r="AE4982" s="6">
        <v>0.5</v>
      </c>
      <c r="AF4982" s="7">
        <v>56329.26</v>
      </c>
    </row>
    <row r="4983">
      <c r="G4983" s="5"/>
      <c r="H4983" s="6"/>
      <c r="AD4983" s="5">
        <v>45134.0</v>
      </c>
      <c r="AE4983" s="6">
        <v>0.5416666666666666</v>
      </c>
      <c r="AF4983" s="7">
        <v>53822.34</v>
      </c>
    </row>
    <row r="4984">
      <c r="G4984" s="5"/>
      <c r="H4984" s="6"/>
      <c r="AD4984" s="5">
        <v>45134.0</v>
      </c>
      <c r="AE4984" s="6">
        <v>0.5833333333333334</v>
      </c>
      <c r="AF4984" s="7">
        <v>44062.98</v>
      </c>
    </row>
    <row r="4985">
      <c r="G4985" s="5"/>
      <c r="H4985" s="6"/>
      <c r="AD4985" s="5">
        <v>45134.0</v>
      </c>
      <c r="AE4985" s="6">
        <v>0.625</v>
      </c>
      <c r="AF4985" s="7">
        <v>41309.58</v>
      </c>
    </row>
    <row r="4986">
      <c r="G4986" s="5"/>
      <c r="H4986" s="6"/>
      <c r="AD4986" s="5">
        <v>45134.0</v>
      </c>
      <c r="AE4986" s="6">
        <v>0.6666666666666666</v>
      </c>
      <c r="AF4986" s="7">
        <v>29986.32</v>
      </c>
    </row>
    <row r="4987">
      <c r="G4987" s="5"/>
      <c r="H4987" s="6"/>
      <c r="AD4987" s="5">
        <v>45134.0</v>
      </c>
      <c r="AE4987" s="6">
        <v>0.7083333333333334</v>
      </c>
      <c r="AF4987" s="7">
        <v>3185.52</v>
      </c>
    </row>
    <row r="4988">
      <c r="G4988" s="5"/>
      <c r="H4988" s="6"/>
      <c r="AD4988" s="5">
        <v>45134.0</v>
      </c>
      <c r="AE4988" s="6">
        <v>0.75</v>
      </c>
      <c r="AF4988" s="7">
        <v>5328.96</v>
      </c>
    </row>
    <row r="4989">
      <c r="G4989" s="5"/>
      <c r="H4989" s="6"/>
      <c r="AD4989" s="5">
        <v>45134.0</v>
      </c>
      <c r="AE4989" s="6">
        <v>0.7916666666666666</v>
      </c>
      <c r="AF4989" s="7">
        <v>124.8</v>
      </c>
    </row>
    <row r="4990">
      <c r="G4990" s="5"/>
      <c r="H4990" s="6"/>
      <c r="AD4990" s="5">
        <v>45134.0</v>
      </c>
      <c r="AE4990" s="6">
        <v>0.8333333333333334</v>
      </c>
      <c r="AF4990" s="7">
        <v>0.0</v>
      </c>
    </row>
    <row r="4991">
      <c r="G4991" s="5"/>
      <c r="H4991" s="6"/>
      <c r="AD4991" s="5">
        <v>45134.0</v>
      </c>
      <c r="AE4991" s="6">
        <v>0.875</v>
      </c>
      <c r="AF4991" s="7">
        <v>0.0</v>
      </c>
    </row>
    <row r="4992">
      <c r="G4992" s="5"/>
      <c r="H4992" s="6"/>
      <c r="AD4992" s="5">
        <v>45134.0</v>
      </c>
      <c r="AE4992" s="6">
        <v>0.9166666666666666</v>
      </c>
      <c r="AF4992" s="7">
        <v>0.0</v>
      </c>
    </row>
    <row r="4993">
      <c r="G4993" s="5"/>
      <c r="H4993" s="6"/>
      <c r="AD4993" s="5">
        <v>45134.0</v>
      </c>
      <c r="AE4993" s="6">
        <v>0.9583333333333334</v>
      </c>
      <c r="AF4993" s="7">
        <v>0.0</v>
      </c>
    </row>
    <row r="4994">
      <c r="G4994" s="5"/>
      <c r="H4994" s="6"/>
      <c r="AD4994" s="5">
        <v>45135.0</v>
      </c>
      <c r="AE4994" s="6">
        <v>0.0</v>
      </c>
      <c r="AF4994" s="7">
        <v>0.0</v>
      </c>
    </row>
    <row r="4995">
      <c r="G4995" s="5"/>
      <c r="H4995" s="6"/>
      <c r="AD4995" s="5">
        <v>45135.0</v>
      </c>
      <c r="AE4995" s="6">
        <v>0.041666666666666664</v>
      </c>
      <c r="AF4995" s="7">
        <v>0.0</v>
      </c>
    </row>
    <row r="4996">
      <c r="G4996" s="5"/>
      <c r="H4996" s="6"/>
      <c r="AD4996" s="5">
        <v>45135.0</v>
      </c>
      <c r="AE4996" s="6">
        <v>0.08333333333333333</v>
      </c>
      <c r="AF4996" s="7">
        <v>0.0</v>
      </c>
    </row>
    <row r="4997">
      <c r="G4997" s="5"/>
      <c r="H4997" s="6"/>
      <c r="AD4997" s="5">
        <v>45135.0</v>
      </c>
      <c r="AE4997" s="6">
        <v>0.125</v>
      </c>
      <c r="AF4997" s="7">
        <v>0.0</v>
      </c>
    </row>
    <row r="4998">
      <c r="G4998" s="5"/>
      <c r="H4998" s="6"/>
      <c r="AD4998" s="5">
        <v>45135.0</v>
      </c>
      <c r="AE4998" s="6">
        <v>0.16666666666666666</v>
      </c>
      <c r="AF4998" s="7">
        <v>0.0</v>
      </c>
    </row>
    <row r="4999">
      <c r="G4999" s="5"/>
      <c r="H4999" s="6"/>
      <c r="AD4999" s="5">
        <v>45135.0</v>
      </c>
      <c r="AE4999" s="6">
        <v>0.20833333333333334</v>
      </c>
      <c r="AF4999" s="7">
        <v>30.42</v>
      </c>
    </row>
    <row r="5000">
      <c r="G5000" s="5"/>
      <c r="H5000" s="6"/>
      <c r="AD5000" s="5">
        <v>45135.0</v>
      </c>
      <c r="AE5000" s="6">
        <v>0.25</v>
      </c>
      <c r="AF5000" s="7">
        <v>5488.08</v>
      </c>
    </row>
    <row r="5001">
      <c r="G5001" s="5"/>
      <c r="H5001" s="6"/>
      <c r="AD5001" s="5">
        <v>45135.0</v>
      </c>
      <c r="AE5001" s="6">
        <v>0.2916666666666667</v>
      </c>
      <c r="AF5001" s="7">
        <v>18982.08</v>
      </c>
    </row>
    <row r="5002">
      <c r="G5002" s="5"/>
      <c r="H5002" s="6"/>
      <c r="AD5002" s="5">
        <v>45135.0</v>
      </c>
      <c r="AE5002" s="6">
        <v>0.3333333333333333</v>
      </c>
      <c r="AF5002" s="7">
        <v>32565.0</v>
      </c>
    </row>
    <row r="5003">
      <c r="G5003" s="5"/>
      <c r="H5003" s="6"/>
      <c r="AD5003" s="5">
        <v>45135.0</v>
      </c>
      <c r="AE5003" s="6">
        <v>0.375</v>
      </c>
      <c r="AF5003" s="7">
        <v>43420.26</v>
      </c>
    </row>
    <row r="5004">
      <c r="G5004" s="5"/>
      <c r="H5004" s="6"/>
      <c r="AD5004" s="5">
        <v>45135.0</v>
      </c>
      <c r="AE5004" s="6">
        <v>0.4166666666666667</v>
      </c>
      <c r="AF5004" s="7">
        <v>51619.62</v>
      </c>
    </row>
    <row r="5005">
      <c r="G5005" s="5"/>
      <c r="H5005" s="6"/>
      <c r="AD5005" s="5">
        <v>45135.0</v>
      </c>
      <c r="AE5005" s="6">
        <v>0.4583333333333333</v>
      </c>
      <c r="AF5005" s="7">
        <v>56345.64</v>
      </c>
    </row>
    <row r="5006">
      <c r="G5006" s="5"/>
      <c r="H5006" s="6"/>
      <c r="AD5006" s="5">
        <v>45135.0</v>
      </c>
      <c r="AE5006" s="6">
        <v>0.5</v>
      </c>
      <c r="AF5006" s="7">
        <v>52762.32</v>
      </c>
    </row>
    <row r="5007">
      <c r="G5007" s="5"/>
      <c r="H5007" s="6"/>
      <c r="AD5007" s="5">
        <v>45135.0</v>
      </c>
      <c r="AE5007" s="6">
        <v>0.5416666666666666</v>
      </c>
      <c r="AF5007" s="7">
        <v>50879.4</v>
      </c>
    </row>
    <row r="5008">
      <c r="G5008" s="5"/>
      <c r="H5008" s="6"/>
      <c r="AD5008" s="5">
        <v>45135.0</v>
      </c>
      <c r="AE5008" s="6">
        <v>0.5833333333333334</v>
      </c>
      <c r="AF5008" s="7">
        <v>51131.34</v>
      </c>
    </row>
    <row r="5009">
      <c r="G5009" s="5"/>
      <c r="H5009" s="6"/>
      <c r="AD5009" s="5">
        <v>45135.0</v>
      </c>
      <c r="AE5009" s="6">
        <v>0.625</v>
      </c>
      <c r="AF5009" s="7">
        <v>42897.66</v>
      </c>
    </row>
    <row r="5010">
      <c r="G5010" s="5"/>
      <c r="H5010" s="6"/>
      <c r="AD5010" s="5">
        <v>45135.0</v>
      </c>
      <c r="AE5010" s="6">
        <v>0.6666666666666666</v>
      </c>
      <c r="AF5010" s="7">
        <v>31196.1</v>
      </c>
    </row>
    <row r="5011">
      <c r="G5011" s="5"/>
      <c r="H5011" s="6"/>
      <c r="AD5011" s="5">
        <v>45135.0</v>
      </c>
      <c r="AE5011" s="6">
        <v>0.7083333333333334</v>
      </c>
      <c r="AF5011" s="7">
        <v>17776.98</v>
      </c>
    </row>
    <row r="5012">
      <c r="G5012" s="5"/>
      <c r="H5012" s="6"/>
      <c r="AD5012" s="5">
        <v>45135.0</v>
      </c>
      <c r="AE5012" s="6">
        <v>0.75</v>
      </c>
      <c r="AF5012" s="7">
        <v>5087.16</v>
      </c>
    </row>
    <row r="5013">
      <c r="G5013" s="5"/>
      <c r="H5013" s="6"/>
      <c r="AD5013" s="5">
        <v>45135.0</v>
      </c>
      <c r="AE5013" s="6">
        <v>0.7916666666666666</v>
      </c>
      <c r="AF5013" s="7">
        <v>24.18</v>
      </c>
    </row>
    <row r="5014">
      <c r="G5014" s="5"/>
      <c r="H5014" s="6"/>
      <c r="AD5014" s="5">
        <v>45135.0</v>
      </c>
      <c r="AE5014" s="6">
        <v>0.8333333333333334</v>
      </c>
      <c r="AF5014" s="7">
        <v>0.0</v>
      </c>
    </row>
    <row r="5015">
      <c r="G5015" s="5"/>
      <c r="H5015" s="6"/>
      <c r="AD5015" s="5">
        <v>45135.0</v>
      </c>
      <c r="AE5015" s="6">
        <v>0.875</v>
      </c>
      <c r="AF5015" s="7">
        <v>0.0</v>
      </c>
    </row>
    <row r="5016">
      <c r="G5016" s="5"/>
      <c r="H5016" s="6"/>
      <c r="AD5016" s="5">
        <v>45135.0</v>
      </c>
      <c r="AE5016" s="6">
        <v>0.9166666666666666</v>
      </c>
      <c r="AF5016" s="7">
        <v>0.0</v>
      </c>
    </row>
    <row r="5017">
      <c r="G5017" s="5"/>
      <c r="H5017" s="6"/>
      <c r="AD5017" s="5">
        <v>45135.0</v>
      </c>
      <c r="AE5017" s="6">
        <v>0.9583333333333334</v>
      </c>
      <c r="AF5017" s="7">
        <v>0.0</v>
      </c>
    </row>
    <row r="5018">
      <c r="G5018" s="5"/>
      <c r="H5018" s="6"/>
      <c r="AD5018" s="5">
        <v>45136.0</v>
      </c>
      <c r="AE5018" s="6">
        <v>0.0</v>
      </c>
      <c r="AF5018" s="7">
        <v>0.0</v>
      </c>
    </row>
    <row r="5019">
      <c r="G5019" s="5"/>
      <c r="H5019" s="6"/>
      <c r="AD5019" s="5">
        <v>45136.0</v>
      </c>
      <c r="AE5019" s="6">
        <v>0.041666666666666664</v>
      </c>
      <c r="AF5019" s="7">
        <v>0.0</v>
      </c>
    </row>
    <row r="5020">
      <c r="G5020" s="5"/>
      <c r="H5020" s="6"/>
      <c r="AD5020" s="5">
        <v>45136.0</v>
      </c>
      <c r="AE5020" s="6">
        <v>0.08333333333333333</v>
      </c>
      <c r="AF5020" s="7">
        <v>0.0</v>
      </c>
    </row>
    <row r="5021">
      <c r="G5021" s="5"/>
      <c r="H5021" s="6"/>
      <c r="AD5021" s="5">
        <v>45136.0</v>
      </c>
      <c r="AE5021" s="6">
        <v>0.125</v>
      </c>
      <c r="AF5021" s="7">
        <v>0.0</v>
      </c>
    </row>
    <row r="5022">
      <c r="G5022" s="5"/>
      <c r="H5022" s="6"/>
      <c r="AD5022" s="5">
        <v>45136.0</v>
      </c>
      <c r="AE5022" s="6">
        <v>0.16666666666666666</v>
      </c>
      <c r="AF5022" s="7">
        <v>0.0</v>
      </c>
    </row>
    <row r="5023">
      <c r="G5023" s="5"/>
      <c r="H5023" s="6"/>
      <c r="AD5023" s="5">
        <v>45136.0</v>
      </c>
      <c r="AE5023" s="6">
        <v>0.20833333333333334</v>
      </c>
      <c r="AF5023" s="7">
        <v>0.0</v>
      </c>
    </row>
    <row r="5024">
      <c r="G5024" s="5"/>
      <c r="H5024" s="6"/>
      <c r="AD5024" s="5">
        <v>45136.0</v>
      </c>
      <c r="AE5024" s="6">
        <v>0.25</v>
      </c>
      <c r="AF5024" s="7">
        <v>5286.84</v>
      </c>
    </row>
    <row r="5025">
      <c r="G5025" s="5"/>
      <c r="H5025" s="6"/>
      <c r="AD5025" s="5">
        <v>45136.0</v>
      </c>
      <c r="AE5025" s="6">
        <v>0.2916666666666667</v>
      </c>
      <c r="AF5025" s="7">
        <v>18102.24</v>
      </c>
    </row>
    <row r="5026">
      <c r="G5026" s="5"/>
      <c r="H5026" s="6"/>
      <c r="AD5026" s="5">
        <v>45136.0</v>
      </c>
      <c r="AE5026" s="6">
        <v>0.3333333333333333</v>
      </c>
      <c r="AF5026" s="7">
        <v>30383.34</v>
      </c>
    </row>
    <row r="5027">
      <c r="G5027" s="5"/>
      <c r="H5027" s="6"/>
      <c r="AD5027" s="5">
        <v>45136.0</v>
      </c>
      <c r="AE5027" s="6">
        <v>0.375</v>
      </c>
      <c r="AF5027" s="7">
        <v>42162.12</v>
      </c>
    </row>
    <row r="5028">
      <c r="G5028" s="5"/>
      <c r="H5028" s="6"/>
      <c r="AD5028" s="5">
        <v>45136.0</v>
      </c>
      <c r="AE5028" s="6">
        <v>0.4166666666666667</v>
      </c>
      <c r="AF5028" s="7">
        <v>49355.28</v>
      </c>
    </row>
    <row r="5029">
      <c r="G5029" s="5"/>
      <c r="H5029" s="6"/>
      <c r="AD5029" s="5">
        <v>45136.0</v>
      </c>
      <c r="AE5029" s="6">
        <v>0.4583333333333333</v>
      </c>
      <c r="AF5029" s="7">
        <v>53816.1</v>
      </c>
    </row>
    <row r="5030">
      <c r="G5030" s="5"/>
      <c r="H5030" s="6"/>
      <c r="AD5030" s="5">
        <v>45136.0</v>
      </c>
      <c r="AE5030" s="6">
        <v>0.5</v>
      </c>
      <c r="AF5030" s="7">
        <v>54585.18</v>
      </c>
    </row>
    <row r="5031">
      <c r="G5031" s="5"/>
      <c r="H5031" s="6"/>
      <c r="AD5031" s="5">
        <v>45136.0</v>
      </c>
      <c r="AE5031" s="6">
        <v>0.5416666666666666</v>
      </c>
      <c r="AF5031" s="7">
        <v>52837.98</v>
      </c>
    </row>
    <row r="5032">
      <c r="G5032" s="5"/>
      <c r="H5032" s="6"/>
      <c r="AD5032" s="5">
        <v>45136.0</v>
      </c>
      <c r="AE5032" s="6">
        <v>0.5833333333333334</v>
      </c>
      <c r="AF5032" s="7">
        <v>48365.46</v>
      </c>
    </row>
    <row r="5033">
      <c r="G5033" s="5"/>
      <c r="H5033" s="6"/>
      <c r="AD5033" s="5">
        <v>45136.0</v>
      </c>
      <c r="AE5033" s="6">
        <v>0.625</v>
      </c>
      <c r="AF5033" s="7">
        <v>40666.08</v>
      </c>
    </row>
    <row r="5034">
      <c r="G5034" s="5"/>
      <c r="H5034" s="6"/>
      <c r="AD5034" s="5">
        <v>45136.0</v>
      </c>
      <c r="AE5034" s="6">
        <v>0.6666666666666666</v>
      </c>
      <c r="AF5034" s="7">
        <v>29839.68</v>
      </c>
    </row>
    <row r="5035">
      <c r="G5035" s="5"/>
      <c r="H5035" s="6"/>
      <c r="AD5035" s="5">
        <v>45136.0</v>
      </c>
      <c r="AE5035" s="6">
        <v>0.7083333333333334</v>
      </c>
      <c r="AF5035" s="7">
        <v>17150.64</v>
      </c>
    </row>
    <row r="5036">
      <c r="G5036" s="5"/>
      <c r="H5036" s="6"/>
      <c r="AD5036" s="5">
        <v>45136.0</v>
      </c>
      <c r="AE5036" s="6">
        <v>0.75</v>
      </c>
      <c r="AF5036" s="7">
        <v>4819.62</v>
      </c>
    </row>
    <row r="5037">
      <c r="G5037" s="5"/>
      <c r="H5037" s="6"/>
      <c r="AD5037" s="5">
        <v>45136.0</v>
      </c>
      <c r="AE5037" s="6">
        <v>0.7916666666666666</v>
      </c>
      <c r="AF5037" s="7">
        <v>0.0</v>
      </c>
    </row>
    <row r="5038">
      <c r="G5038" s="5"/>
      <c r="H5038" s="6"/>
      <c r="AD5038" s="5">
        <v>45136.0</v>
      </c>
      <c r="AE5038" s="6">
        <v>0.8333333333333334</v>
      </c>
      <c r="AF5038" s="7">
        <v>0.0</v>
      </c>
    </row>
    <row r="5039">
      <c r="G5039" s="5"/>
      <c r="H5039" s="6"/>
      <c r="AD5039" s="5">
        <v>45136.0</v>
      </c>
      <c r="AE5039" s="6">
        <v>0.875</v>
      </c>
      <c r="AF5039" s="7">
        <v>0.0</v>
      </c>
    </row>
    <row r="5040">
      <c r="G5040" s="5"/>
      <c r="H5040" s="6"/>
      <c r="AD5040" s="5">
        <v>45136.0</v>
      </c>
      <c r="AE5040" s="6">
        <v>0.9166666666666666</v>
      </c>
      <c r="AF5040" s="7">
        <v>0.0</v>
      </c>
    </row>
    <row r="5041">
      <c r="G5041" s="5"/>
      <c r="H5041" s="6"/>
      <c r="AD5041" s="5">
        <v>45136.0</v>
      </c>
      <c r="AE5041" s="6">
        <v>0.9583333333333334</v>
      </c>
      <c r="AF5041" s="7">
        <v>0.0</v>
      </c>
    </row>
    <row r="5042">
      <c r="G5042" s="5"/>
      <c r="H5042" s="6"/>
      <c r="AD5042" s="5">
        <v>45137.0</v>
      </c>
      <c r="AE5042" s="6">
        <v>0.0</v>
      </c>
      <c r="AF5042" s="7">
        <v>0.0</v>
      </c>
    </row>
    <row r="5043">
      <c r="G5043" s="5"/>
      <c r="H5043" s="6"/>
      <c r="AD5043" s="5">
        <v>45137.0</v>
      </c>
      <c r="AE5043" s="6">
        <v>0.041666666666666664</v>
      </c>
      <c r="AF5043" s="7">
        <v>0.0</v>
      </c>
    </row>
    <row r="5044">
      <c r="G5044" s="5"/>
      <c r="H5044" s="6"/>
      <c r="AD5044" s="5">
        <v>45137.0</v>
      </c>
      <c r="AE5044" s="6">
        <v>0.08333333333333333</v>
      </c>
      <c r="AF5044" s="7">
        <v>0.0</v>
      </c>
    </row>
    <row r="5045">
      <c r="G5045" s="5"/>
      <c r="H5045" s="6"/>
      <c r="AD5045" s="5">
        <v>45137.0</v>
      </c>
      <c r="AE5045" s="6">
        <v>0.125</v>
      </c>
      <c r="AF5045" s="7">
        <v>0.0</v>
      </c>
    </row>
    <row r="5046">
      <c r="G5046" s="5"/>
      <c r="H5046" s="6"/>
      <c r="AD5046" s="5">
        <v>45137.0</v>
      </c>
      <c r="AE5046" s="6">
        <v>0.16666666666666666</v>
      </c>
      <c r="AF5046" s="7">
        <v>0.0</v>
      </c>
    </row>
    <row r="5047">
      <c r="G5047" s="5"/>
      <c r="H5047" s="6"/>
      <c r="AD5047" s="5">
        <v>45137.0</v>
      </c>
      <c r="AE5047" s="6">
        <v>0.20833333333333334</v>
      </c>
      <c r="AF5047" s="7">
        <v>0.0</v>
      </c>
    </row>
    <row r="5048">
      <c r="G5048" s="5"/>
      <c r="H5048" s="6"/>
      <c r="AD5048" s="5">
        <v>45137.0</v>
      </c>
      <c r="AE5048" s="6">
        <v>0.25</v>
      </c>
      <c r="AF5048" s="7">
        <v>5263.44</v>
      </c>
    </row>
    <row r="5049">
      <c r="G5049" s="5"/>
      <c r="H5049" s="6"/>
      <c r="AD5049" s="5">
        <v>45137.0</v>
      </c>
      <c r="AE5049" s="6">
        <v>0.2916666666666667</v>
      </c>
      <c r="AF5049" s="7">
        <v>18802.68</v>
      </c>
    </row>
    <row r="5050">
      <c r="G5050" s="5"/>
      <c r="H5050" s="6"/>
      <c r="AD5050" s="5">
        <v>45137.0</v>
      </c>
      <c r="AE5050" s="6">
        <v>0.3333333333333333</v>
      </c>
      <c r="AF5050" s="7">
        <v>32826.3</v>
      </c>
    </row>
    <row r="5051">
      <c r="G5051" s="5"/>
      <c r="H5051" s="6"/>
      <c r="AD5051" s="5">
        <v>45137.0</v>
      </c>
      <c r="AE5051" s="6">
        <v>0.375</v>
      </c>
      <c r="AF5051" s="7">
        <v>44647.2</v>
      </c>
    </row>
    <row r="5052">
      <c r="G5052" s="5"/>
      <c r="H5052" s="6"/>
      <c r="AD5052" s="5">
        <v>45137.0</v>
      </c>
      <c r="AE5052" s="6">
        <v>0.4166666666666667</v>
      </c>
      <c r="AF5052" s="7">
        <v>52257.66</v>
      </c>
    </row>
    <row r="5053">
      <c r="G5053" s="5"/>
      <c r="H5053" s="6"/>
      <c r="AD5053" s="5">
        <v>45137.0</v>
      </c>
      <c r="AE5053" s="6">
        <v>0.4583333333333333</v>
      </c>
      <c r="AF5053" s="7">
        <v>56461.08</v>
      </c>
    </row>
    <row r="5054">
      <c r="G5054" s="5"/>
      <c r="H5054" s="6"/>
      <c r="AD5054" s="5">
        <v>45137.0</v>
      </c>
      <c r="AE5054" s="6">
        <v>0.5</v>
      </c>
      <c r="AF5054" s="7">
        <v>57181.8</v>
      </c>
    </row>
    <row r="5055">
      <c r="G5055" s="5"/>
      <c r="H5055" s="6"/>
      <c r="AD5055" s="5">
        <v>45137.0</v>
      </c>
      <c r="AE5055" s="6">
        <v>0.5416666666666666</v>
      </c>
      <c r="AF5055" s="7">
        <v>55575.78</v>
      </c>
    </row>
    <row r="5056">
      <c r="G5056" s="5"/>
      <c r="H5056" s="6"/>
      <c r="AD5056" s="5">
        <v>45137.0</v>
      </c>
      <c r="AE5056" s="6">
        <v>0.5833333333333334</v>
      </c>
      <c r="AF5056" s="7">
        <v>50863.8</v>
      </c>
    </row>
    <row r="5057">
      <c r="G5057" s="5"/>
      <c r="H5057" s="6"/>
      <c r="AD5057" s="5">
        <v>45137.0</v>
      </c>
      <c r="AE5057" s="6">
        <v>0.625</v>
      </c>
      <c r="AF5057" s="7">
        <v>42619.2</v>
      </c>
    </row>
    <row r="5058">
      <c r="G5058" s="5"/>
      <c r="H5058" s="6"/>
      <c r="AD5058" s="5">
        <v>45137.0</v>
      </c>
      <c r="AE5058" s="6">
        <v>0.6666666666666666</v>
      </c>
      <c r="AF5058" s="7">
        <v>30871.62</v>
      </c>
    </row>
    <row r="5059">
      <c r="G5059" s="5"/>
      <c r="H5059" s="6"/>
      <c r="AD5059" s="5">
        <v>45137.0</v>
      </c>
      <c r="AE5059" s="6">
        <v>0.7083333333333334</v>
      </c>
      <c r="AF5059" s="7">
        <v>17486.82</v>
      </c>
    </row>
    <row r="5060">
      <c r="G5060" s="5"/>
      <c r="H5060" s="6"/>
      <c r="AD5060" s="5">
        <v>45137.0</v>
      </c>
      <c r="AE5060" s="6">
        <v>0.75</v>
      </c>
      <c r="AF5060" s="7">
        <v>4831.32</v>
      </c>
    </row>
    <row r="5061">
      <c r="G5061" s="5"/>
      <c r="H5061" s="6"/>
      <c r="AD5061" s="5">
        <v>45137.0</v>
      </c>
      <c r="AE5061" s="6">
        <v>0.7916666666666666</v>
      </c>
      <c r="AF5061" s="7">
        <v>0.0</v>
      </c>
    </row>
    <row r="5062">
      <c r="G5062" s="5"/>
      <c r="H5062" s="6"/>
      <c r="AD5062" s="5">
        <v>45137.0</v>
      </c>
      <c r="AE5062" s="6">
        <v>0.8333333333333334</v>
      </c>
      <c r="AF5062" s="7">
        <v>0.0</v>
      </c>
    </row>
    <row r="5063">
      <c r="G5063" s="5"/>
      <c r="H5063" s="6"/>
      <c r="AD5063" s="5">
        <v>45137.0</v>
      </c>
      <c r="AE5063" s="6">
        <v>0.875</v>
      </c>
      <c r="AF5063" s="7">
        <v>0.0</v>
      </c>
    </row>
    <row r="5064">
      <c r="G5064" s="5"/>
      <c r="H5064" s="6"/>
      <c r="AD5064" s="5">
        <v>45137.0</v>
      </c>
      <c r="AE5064" s="6">
        <v>0.9166666666666666</v>
      </c>
      <c r="AF5064" s="7">
        <v>0.0</v>
      </c>
    </row>
    <row r="5065">
      <c r="G5065" s="5"/>
      <c r="H5065" s="6"/>
      <c r="AD5065" s="5">
        <v>45137.0</v>
      </c>
      <c r="AE5065" s="6">
        <v>0.9583333333333334</v>
      </c>
      <c r="AF5065" s="7">
        <v>0.0</v>
      </c>
    </row>
    <row r="5066">
      <c r="G5066" s="5"/>
      <c r="H5066" s="6"/>
      <c r="AD5066" s="5">
        <v>45138.0</v>
      </c>
      <c r="AE5066" s="6">
        <v>0.0</v>
      </c>
      <c r="AF5066" s="7">
        <v>0.0</v>
      </c>
    </row>
    <row r="5067">
      <c r="G5067" s="5"/>
      <c r="H5067" s="6"/>
      <c r="AD5067" s="5">
        <v>45138.0</v>
      </c>
      <c r="AE5067" s="6">
        <v>0.041666666666666664</v>
      </c>
      <c r="AF5067" s="7">
        <v>0.0</v>
      </c>
    </row>
    <row r="5068">
      <c r="G5068" s="5"/>
      <c r="H5068" s="6"/>
      <c r="AD5068" s="5">
        <v>45138.0</v>
      </c>
      <c r="AE5068" s="6">
        <v>0.08333333333333333</v>
      </c>
      <c r="AF5068" s="7">
        <v>0.0</v>
      </c>
    </row>
    <row r="5069">
      <c r="G5069" s="5"/>
      <c r="H5069" s="6"/>
      <c r="AD5069" s="5">
        <v>45138.0</v>
      </c>
      <c r="AE5069" s="6">
        <v>0.125</v>
      </c>
      <c r="AF5069" s="7">
        <v>0.0</v>
      </c>
    </row>
    <row r="5070">
      <c r="G5070" s="5"/>
      <c r="H5070" s="6"/>
      <c r="AD5070" s="5">
        <v>45138.0</v>
      </c>
      <c r="AE5070" s="6">
        <v>0.16666666666666666</v>
      </c>
      <c r="AF5070" s="7">
        <v>0.0</v>
      </c>
    </row>
    <row r="5071">
      <c r="G5071" s="5"/>
      <c r="H5071" s="6"/>
      <c r="AD5071" s="5">
        <v>45138.0</v>
      </c>
      <c r="AE5071" s="6">
        <v>0.20833333333333334</v>
      </c>
      <c r="AF5071" s="7">
        <v>0.0</v>
      </c>
    </row>
    <row r="5072">
      <c r="G5072" s="5"/>
      <c r="H5072" s="6"/>
      <c r="AD5072" s="5">
        <v>45138.0</v>
      </c>
      <c r="AE5072" s="6">
        <v>0.25</v>
      </c>
      <c r="AF5072" s="7">
        <v>5203.38</v>
      </c>
    </row>
    <row r="5073">
      <c r="G5073" s="5"/>
      <c r="H5073" s="6"/>
      <c r="AD5073" s="5">
        <v>45138.0</v>
      </c>
      <c r="AE5073" s="6">
        <v>0.2916666666666667</v>
      </c>
      <c r="AF5073" s="7">
        <v>18868.2</v>
      </c>
    </row>
    <row r="5074">
      <c r="G5074" s="5"/>
      <c r="H5074" s="6"/>
      <c r="AD5074" s="5">
        <v>45138.0</v>
      </c>
      <c r="AE5074" s="6">
        <v>0.3333333333333333</v>
      </c>
      <c r="AF5074" s="7">
        <v>33111.78</v>
      </c>
    </row>
    <row r="5075">
      <c r="G5075" s="5"/>
      <c r="H5075" s="6"/>
      <c r="AD5075" s="5">
        <v>45138.0</v>
      </c>
      <c r="AE5075" s="6">
        <v>0.375</v>
      </c>
      <c r="AF5075" s="7">
        <v>44489.64</v>
      </c>
    </row>
    <row r="5076">
      <c r="G5076" s="5"/>
      <c r="H5076" s="6"/>
      <c r="AD5076" s="5">
        <v>45138.0</v>
      </c>
      <c r="AE5076" s="6">
        <v>0.4166666666666667</v>
      </c>
      <c r="AF5076" s="7">
        <v>52185.9</v>
      </c>
    </row>
    <row r="5077">
      <c r="G5077" s="5"/>
      <c r="H5077" s="6"/>
      <c r="AD5077" s="5">
        <v>45138.0</v>
      </c>
      <c r="AE5077" s="6">
        <v>0.4583333333333333</v>
      </c>
      <c r="AF5077" s="7">
        <v>56181.06</v>
      </c>
    </row>
    <row r="5078">
      <c r="G5078" s="5"/>
      <c r="H5078" s="6"/>
      <c r="AD5078" s="5">
        <v>45138.0</v>
      </c>
      <c r="AE5078" s="6">
        <v>0.5</v>
      </c>
      <c r="AF5078" s="7">
        <v>57194.28</v>
      </c>
    </row>
    <row r="5079">
      <c r="G5079" s="5"/>
      <c r="H5079" s="6"/>
      <c r="AD5079" s="5">
        <v>45138.0</v>
      </c>
      <c r="AE5079" s="6">
        <v>0.5416666666666666</v>
      </c>
      <c r="AF5079" s="7">
        <v>55514.94</v>
      </c>
    </row>
    <row r="5080">
      <c r="G5080" s="5"/>
      <c r="H5080" s="6"/>
      <c r="AD5080" s="5">
        <v>45138.0</v>
      </c>
      <c r="AE5080" s="6">
        <v>0.5833333333333334</v>
      </c>
      <c r="AF5080" s="7">
        <v>50488.62</v>
      </c>
    </row>
    <row r="5081">
      <c r="G5081" s="5"/>
      <c r="H5081" s="6"/>
      <c r="AD5081" s="5">
        <v>45138.0</v>
      </c>
      <c r="AE5081" s="6">
        <v>0.625</v>
      </c>
      <c r="AF5081" s="7">
        <v>42424.2</v>
      </c>
    </row>
    <row r="5082">
      <c r="G5082" s="5"/>
      <c r="H5082" s="6"/>
      <c r="AD5082" s="5">
        <v>45138.0</v>
      </c>
      <c r="AE5082" s="6">
        <v>0.6666666666666666</v>
      </c>
      <c r="AF5082" s="7">
        <v>30894.24</v>
      </c>
    </row>
    <row r="5083">
      <c r="G5083" s="5"/>
      <c r="H5083" s="6"/>
      <c r="AD5083" s="5">
        <v>45138.0</v>
      </c>
      <c r="AE5083" s="6">
        <v>0.7083333333333334</v>
      </c>
      <c r="AF5083" s="7">
        <v>17547.66</v>
      </c>
    </row>
    <row r="5084">
      <c r="G5084" s="5"/>
      <c r="H5084" s="6"/>
      <c r="AD5084" s="5">
        <v>45138.0</v>
      </c>
      <c r="AE5084" s="6">
        <v>0.75</v>
      </c>
      <c r="AF5084" s="7">
        <v>4719.78</v>
      </c>
    </row>
    <row r="5085">
      <c r="G5085" s="5"/>
      <c r="H5085" s="6"/>
      <c r="AD5085" s="5">
        <v>45138.0</v>
      </c>
      <c r="AE5085" s="6">
        <v>0.7916666666666666</v>
      </c>
      <c r="AF5085" s="7">
        <v>0.0</v>
      </c>
    </row>
    <row r="5086">
      <c r="G5086" s="5"/>
      <c r="H5086" s="6"/>
      <c r="AD5086" s="5">
        <v>45138.0</v>
      </c>
      <c r="AE5086" s="6">
        <v>0.8333333333333334</v>
      </c>
      <c r="AF5086" s="7">
        <v>0.0</v>
      </c>
    </row>
    <row r="5087">
      <c r="G5087" s="5"/>
      <c r="H5087" s="6"/>
      <c r="AD5087" s="5">
        <v>45138.0</v>
      </c>
      <c r="AE5087" s="6">
        <v>0.875</v>
      </c>
      <c r="AF5087" s="7">
        <v>0.0</v>
      </c>
    </row>
    <row r="5088">
      <c r="G5088" s="5"/>
      <c r="H5088" s="6"/>
      <c r="AD5088" s="5">
        <v>45138.0</v>
      </c>
      <c r="AE5088" s="6">
        <v>0.9166666666666666</v>
      </c>
      <c r="AF5088" s="7">
        <v>0.0</v>
      </c>
    </row>
    <row r="5089">
      <c r="G5089" s="5"/>
      <c r="H5089" s="6"/>
      <c r="AD5089" s="5">
        <v>45138.0</v>
      </c>
      <c r="AE5089" s="6">
        <v>0.9583333333333334</v>
      </c>
      <c r="AF5089" s="7">
        <v>0.0</v>
      </c>
    </row>
    <row r="5090">
      <c r="G5090" s="5"/>
      <c r="H5090" s="6"/>
      <c r="AD5090" s="5">
        <v>45139.0</v>
      </c>
      <c r="AE5090" s="6">
        <v>0.0</v>
      </c>
      <c r="AF5090" s="7">
        <v>0.0</v>
      </c>
    </row>
    <row r="5091">
      <c r="G5091" s="5"/>
      <c r="H5091" s="6"/>
      <c r="AD5091" s="5">
        <v>45139.0</v>
      </c>
      <c r="AE5091" s="6">
        <v>0.041666666666666664</v>
      </c>
      <c r="AF5091" s="7">
        <v>0.0</v>
      </c>
    </row>
    <row r="5092">
      <c r="G5092" s="5"/>
      <c r="H5092" s="6"/>
      <c r="AD5092" s="5">
        <v>45139.0</v>
      </c>
      <c r="AE5092" s="6">
        <v>0.08333333333333333</v>
      </c>
      <c r="AF5092" s="7">
        <v>0.0</v>
      </c>
    </row>
    <row r="5093">
      <c r="G5093" s="5"/>
      <c r="H5093" s="6"/>
      <c r="AD5093" s="5">
        <v>45139.0</v>
      </c>
      <c r="AE5093" s="6">
        <v>0.125</v>
      </c>
      <c r="AF5093" s="7">
        <v>0.0</v>
      </c>
    </row>
    <row r="5094">
      <c r="G5094" s="5"/>
      <c r="H5094" s="6"/>
      <c r="AD5094" s="5">
        <v>45139.0</v>
      </c>
      <c r="AE5094" s="6">
        <v>0.16666666666666666</v>
      </c>
      <c r="AF5094" s="7">
        <v>0.0</v>
      </c>
    </row>
    <row r="5095">
      <c r="G5095" s="5"/>
      <c r="H5095" s="6"/>
      <c r="AD5095" s="5">
        <v>45139.0</v>
      </c>
      <c r="AE5095" s="6">
        <v>0.20833333333333334</v>
      </c>
      <c r="AF5095" s="7">
        <v>0.0</v>
      </c>
    </row>
    <row r="5096">
      <c r="G5096" s="5"/>
      <c r="H5096" s="6"/>
      <c r="AD5096" s="5">
        <v>45139.0</v>
      </c>
      <c r="AE5096" s="6">
        <v>0.25</v>
      </c>
      <c r="AF5096" s="7">
        <v>5033.34</v>
      </c>
    </row>
    <row r="5097">
      <c r="G5097" s="5"/>
      <c r="H5097" s="6"/>
      <c r="AD5097" s="5">
        <v>45139.0</v>
      </c>
      <c r="AE5097" s="6">
        <v>0.2916666666666667</v>
      </c>
      <c r="AF5097" s="7">
        <v>18732.48</v>
      </c>
    </row>
    <row r="5098">
      <c r="G5098" s="5"/>
      <c r="H5098" s="6"/>
      <c r="AD5098" s="5">
        <v>45139.0</v>
      </c>
      <c r="AE5098" s="6">
        <v>0.3333333333333333</v>
      </c>
      <c r="AF5098" s="7">
        <v>33147.66</v>
      </c>
    </row>
    <row r="5099">
      <c r="G5099" s="5"/>
      <c r="H5099" s="6"/>
      <c r="AD5099" s="5">
        <v>45139.0</v>
      </c>
      <c r="AE5099" s="6">
        <v>0.375</v>
      </c>
      <c r="AF5099" s="7">
        <v>44753.28</v>
      </c>
    </row>
    <row r="5100">
      <c r="G5100" s="5"/>
      <c r="H5100" s="6"/>
      <c r="AD5100" s="5">
        <v>45139.0</v>
      </c>
      <c r="AE5100" s="6">
        <v>0.4166666666666667</v>
      </c>
      <c r="AF5100" s="7">
        <v>53337.18</v>
      </c>
    </row>
    <row r="5101">
      <c r="G5101" s="5"/>
      <c r="H5101" s="6"/>
      <c r="AD5101" s="5">
        <v>45139.0</v>
      </c>
      <c r="AE5101" s="6">
        <v>0.4583333333333333</v>
      </c>
      <c r="AF5101" s="7">
        <v>58075.68</v>
      </c>
    </row>
    <row r="5102">
      <c r="G5102" s="5"/>
      <c r="H5102" s="6"/>
      <c r="AD5102" s="5">
        <v>45139.0</v>
      </c>
      <c r="AE5102" s="6">
        <v>0.5</v>
      </c>
      <c r="AF5102" s="7">
        <v>59908.68</v>
      </c>
    </row>
    <row r="5103">
      <c r="G5103" s="5"/>
      <c r="H5103" s="6"/>
      <c r="AD5103" s="5">
        <v>45139.0</v>
      </c>
      <c r="AE5103" s="6">
        <v>0.5416666666666666</v>
      </c>
      <c r="AF5103" s="7">
        <v>57734.82</v>
      </c>
    </row>
    <row r="5104">
      <c r="G5104" s="5"/>
      <c r="H5104" s="6"/>
      <c r="AD5104" s="5">
        <v>45139.0</v>
      </c>
      <c r="AE5104" s="6">
        <v>0.5833333333333334</v>
      </c>
      <c r="AF5104" s="7">
        <v>52415.22</v>
      </c>
    </row>
    <row r="5105">
      <c r="G5105" s="5"/>
      <c r="H5105" s="6"/>
      <c r="AD5105" s="5">
        <v>45139.0</v>
      </c>
      <c r="AE5105" s="6">
        <v>0.625</v>
      </c>
      <c r="AF5105" s="7">
        <v>43831.32</v>
      </c>
    </row>
    <row r="5106">
      <c r="G5106" s="5"/>
      <c r="H5106" s="6"/>
      <c r="AD5106" s="5">
        <v>45139.0</v>
      </c>
      <c r="AE5106" s="6">
        <v>0.6666666666666666</v>
      </c>
      <c r="AF5106" s="7">
        <v>31681.26</v>
      </c>
    </row>
    <row r="5107">
      <c r="G5107" s="5"/>
      <c r="H5107" s="6"/>
      <c r="AD5107" s="5">
        <v>45139.0</v>
      </c>
      <c r="AE5107" s="6">
        <v>0.7083333333333334</v>
      </c>
      <c r="AF5107" s="7">
        <v>17821.44</v>
      </c>
    </row>
    <row r="5108">
      <c r="G5108" s="5"/>
      <c r="H5108" s="6"/>
      <c r="AD5108" s="5">
        <v>45139.0</v>
      </c>
      <c r="AE5108" s="6">
        <v>0.75</v>
      </c>
      <c r="AF5108" s="7">
        <v>4662.06</v>
      </c>
    </row>
    <row r="5109">
      <c r="G5109" s="5"/>
      <c r="H5109" s="6"/>
      <c r="AD5109" s="5">
        <v>45139.0</v>
      </c>
      <c r="AE5109" s="6">
        <v>0.7916666666666666</v>
      </c>
      <c r="AF5109" s="7">
        <v>0.0</v>
      </c>
    </row>
    <row r="5110">
      <c r="G5110" s="5"/>
      <c r="H5110" s="6"/>
      <c r="AD5110" s="5">
        <v>45139.0</v>
      </c>
      <c r="AE5110" s="6">
        <v>0.8333333333333334</v>
      </c>
      <c r="AF5110" s="7">
        <v>0.0</v>
      </c>
    </row>
    <row r="5111">
      <c r="G5111" s="5"/>
      <c r="H5111" s="6"/>
      <c r="AD5111" s="5">
        <v>45139.0</v>
      </c>
      <c r="AE5111" s="6">
        <v>0.875</v>
      </c>
      <c r="AF5111" s="7">
        <v>0.0</v>
      </c>
    </row>
    <row r="5112">
      <c r="G5112" s="5"/>
      <c r="H5112" s="6"/>
      <c r="AD5112" s="5">
        <v>45139.0</v>
      </c>
      <c r="AE5112" s="6">
        <v>0.9166666666666666</v>
      </c>
      <c r="AF5112" s="7">
        <v>0.0</v>
      </c>
    </row>
    <row r="5113">
      <c r="G5113" s="5"/>
      <c r="H5113" s="6"/>
      <c r="AD5113" s="5">
        <v>45139.0</v>
      </c>
      <c r="AE5113" s="6">
        <v>0.9583333333333334</v>
      </c>
      <c r="AF5113" s="7">
        <v>0.0</v>
      </c>
    </row>
    <row r="5114">
      <c r="G5114" s="5"/>
      <c r="H5114" s="6"/>
      <c r="AD5114" s="5">
        <v>45140.0</v>
      </c>
      <c r="AE5114" s="6">
        <v>0.0</v>
      </c>
      <c r="AF5114" s="7">
        <v>0.0</v>
      </c>
    </row>
    <row r="5115">
      <c r="G5115" s="5"/>
      <c r="H5115" s="6"/>
      <c r="AD5115" s="5">
        <v>45140.0</v>
      </c>
      <c r="AE5115" s="6">
        <v>0.041666666666666664</v>
      </c>
      <c r="AF5115" s="7">
        <v>0.0</v>
      </c>
    </row>
    <row r="5116">
      <c r="G5116" s="5"/>
      <c r="H5116" s="6"/>
      <c r="AD5116" s="5">
        <v>45140.0</v>
      </c>
      <c r="AE5116" s="6">
        <v>0.08333333333333333</v>
      </c>
      <c r="AF5116" s="7">
        <v>0.0</v>
      </c>
    </row>
    <row r="5117">
      <c r="G5117" s="5"/>
      <c r="H5117" s="6"/>
      <c r="AD5117" s="5">
        <v>45140.0</v>
      </c>
      <c r="AE5117" s="6">
        <v>0.125</v>
      </c>
      <c r="AF5117" s="7">
        <v>0.0</v>
      </c>
    </row>
    <row r="5118">
      <c r="G5118" s="5"/>
      <c r="H5118" s="6"/>
      <c r="AD5118" s="5">
        <v>45140.0</v>
      </c>
      <c r="AE5118" s="6">
        <v>0.16666666666666666</v>
      </c>
      <c r="AF5118" s="7">
        <v>0.0</v>
      </c>
    </row>
    <row r="5119">
      <c r="G5119" s="5"/>
      <c r="H5119" s="6"/>
      <c r="AD5119" s="5">
        <v>45140.0</v>
      </c>
      <c r="AE5119" s="6">
        <v>0.20833333333333334</v>
      </c>
      <c r="AF5119" s="7">
        <v>0.0</v>
      </c>
    </row>
    <row r="5120">
      <c r="G5120" s="5"/>
      <c r="H5120" s="6"/>
      <c r="AD5120" s="5">
        <v>45140.0</v>
      </c>
      <c r="AE5120" s="6">
        <v>0.25</v>
      </c>
      <c r="AF5120" s="7">
        <v>4893.72</v>
      </c>
    </row>
    <row r="5121">
      <c r="G5121" s="5"/>
      <c r="H5121" s="6"/>
      <c r="AD5121" s="5">
        <v>45140.0</v>
      </c>
      <c r="AE5121" s="6">
        <v>0.2916666666666667</v>
      </c>
      <c r="AF5121" s="7">
        <v>17990.7</v>
      </c>
    </row>
    <row r="5122">
      <c r="G5122" s="5"/>
      <c r="H5122" s="6"/>
      <c r="AD5122" s="5">
        <v>45140.0</v>
      </c>
      <c r="AE5122" s="6">
        <v>0.3333333333333333</v>
      </c>
      <c r="AF5122" s="7">
        <v>31302.18</v>
      </c>
    </row>
    <row r="5123">
      <c r="G5123" s="5"/>
      <c r="H5123" s="6"/>
      <c r="AD5123" s="5">
        <v>45140.0</v>
      </c>
      <c r="AE5123" s="6">
        <v>0.375</v>
      </c>
      <c r="AF5123" s="7">
        <v>41488.98</v>
      </c>
    </row>
    <row r="5124">
      <c r="G5124" s="5"/>
      <c r="H5124" s="6"/>
      <c r="AD5124" s="5">
        <v>45140.0</v>
      </c>
      <c r="AE5124" s="6">
        <v>0.4166666666666667</v>
      </c>
      <c r="AF5124" s="7">
        <v>48005.1</v>
      </c>
    </row>
    <row r="5125">
      <c r="G5125" s="5"/>
      <c r="H5125" s="6"/>
      <c r="AD5125" s="5">
        <v>45140.0</v>
      </c>
      <c r="AE5125" s="6">
        <v>0.4583333333333333</v>
      </c>
      <c r="AF5125" s="7">
        <v>52416.0</v>
      </c>
    </row>
    <row r="5126">
      <c r="G5126" s="5"/>
      <c r="H5126" s="6"/>
      <c r="AD5126" s="5">
        <v>45140.0</v>
      </c>
      <c r="AE5126" s="6">
        <v>0.5</v>
      </c>
      <c r="AF5126" s="7">
        <v>54397.98</v>
      </c>
    </row>
    <row r="5127">
      <c r="G5127" s="5"/>
      <c r="H5127" s="6"/>
      <c r="AD5127" s="5">
        <v>45140.0</v>
      </c>
      <c r="AE5127" s="6">
        <v>0.5416666666666666</v>
      </c>
      <c r="AF5127" s="7">
        <v>53429.22</v>
      </c>
    </row>
    <row r="5128">
      <c r="G5128" s="5"/>
      <c r="H5128" s="6"/>
      <c r="AD5128" s="5">
        <v>45140.0</v>
      </c>
      <c r="AE5128" s="6">
        <v>0.5833333333333334</v>
      </c>
      <c r="AF5128" s="7">
        <v>48774.96</v>
      </c>
    </row>
    <row r="5129">
      <c r="G5129" s="5"/>
      <c r="H5129" s="6"/>
      <c r="AD5129" s="5">
        <v>45140.0</v>
      </c>
      <c r="AE5129" s="6">
        <v>0.625</v>
      </c>
      <c r="AF5129" s="7">
        <v>41148.12</v>
      </c>
    </row>
    <row r="5130">
      <c r="G5130" s="5"/>
      <c r="H5130" s="6"/>
      <c r="AD5130" s="5">
        <v>45140.0</v>
      </c>
      <c r="AE5130" s="6">
        <v>0.6666666666666666</v>
      </c>
      <c r="AF5130" s="7">
        <v>30023.76</v>
      </c>
    </row>
    <row r="5131">
      <c r="G5131" s="5"/>
      <c r="H5131" s="6"/>
      <c r="AD5131" s="5">
        <v>45140.0</v>
      </c>
      <c r="AE5131" s="6">
        <v>0.7083333333333334</v>
      </c>
      <c r="AF5131" s="7">
        <v>16876.86</v>
      </c>
    </row>
    <row r="5132">
      <c r="G5132" s="5"/>
      <c r="H5132" s="6"/>
      <c r="AD5132" s="5">
        <v>45140.0</v>
      </c>
      <c r="AE5132" s="6">
        <v>0.75</v>
      </c>
      <c r="AF5132" s="7">
        <v>4375.02</v>
      </c>
    </row>
    <row r="5133">
      <c r="G5133" s="5"/>
      <c r="H5133" s="6"/>
      <c r="AD5133" s="5">
        <v>45140.0</v>
      </c>
      <c r="AE5133" s="6">
        <v>0.7916666666666666</v>
      </c>
      <c r="AF5133" s="7">
        <v>0.0</v>
      </c>
    </row>
    <row r="5134">
      <c r="G5134" s="5"/>
      <c r="H5134" s="6"/>
      <c r="AD5134" s="5">
        <v>45140.0</v>
      </c>
      <c r="AE5134" s="6">
        <v>0.8333333333333334</v>
      </c>
      <c r="AF5134" s="7">
        <v>0.0</v>
      </c>
    </row>
    <row r="5135">
      <c r="G5135" s="5"/>
      <c r="H5135" s="6"/>
      <c r="AD5135" s="5">
        <v>45140.0</v>
      </c>
      <c r="AE5135" s="6">
        <v>0.875</v>
      </c>
      <c r="AF5135" s="7">
        <v>0.0</v>
      </c>
    </row>
    <row r="5136">
      <c r="G5136" s="5"/>
      <c r="H5136" s="6"/>
      <c r="AD5136" s="5">
        <v>45140.0</v>
      </c>
      <c r="AE5136" s="6">
        <v>0.9166666666666666</v>
      </c>
      <c r="AF5136" s="7">
        <v>0.0</v>
      </c>
    </row>
    <row r="5137">
      <c r="G5137" s="5"/>
      <c r="H5137" s="6"/>
      <c r="AD5137" s="5">
        <v>45140.0</v>
      </c>
      <c r="AE5137" s="6">
        <v>0.9583333333333334</v>
      </c>
      <c r="AF5137" s="7">
        <v>0.0</v>
      </c>
    </row>
    <row r="5138">
      <c r="G5138" s="5"/>
      <c r="H5138" s="6"/>
      <c r="AD5138" s="5">
        <v>45141.0</v>
      </c>
      <c r="AE5138" s="6">
        <v>0.0</v>
      </c>
      <c r="AF5138" s="7">
        <v>0.0</v>
      </c>
    </row>
    <row r="5139">
      <c r="G5139" s="5"/>
      <c r="H5139" s="6"/>
      <c r="AD5139" s="5">
        <v>45141.0</v>
      </c>
      <c r="AE5139" s="6">
        <v>0.041666666666666664</v>
      </c>
      <c r="AF5139" s="7">
        <v>0.0</v>
      </c>
    </row>
    <row r="5140">
      <c r="G5140" s="5"/>
      <c r="H5140" s="6"/>
      <c r="AD5140" s="5">
        <v>45141.0</v>
      </c>
      <c r="AE5140" s="6">
        <v>0.08333333333333333</v>
      </c>
      <c r="AF5140" s="7">
        <v>0.0</v>
      </c>
    </row>
    <row r="5141">
      <c r="G5141" s="5"/>
      <c r="H5141" s="6"/>
      <c r="AD5141" s="5">
        <v>45141.0</v>
      </c>
      <c r="AE5141" s="6">
        <v>0.125</v>
      </c>
      <c r="AF5141" s="7">
        <v>0.0</v>
      </c>
    </row>
    <row r="5142">
      <c r="G5142" s="5"/>
      <c r="H5142" s="6"/>
      <c r="AD5142" s="5">
        <v>45141.0</v>
      </c>
      <c r="AE5142" s="6">
        <v>0.16666666666666666</v>
      </c>
      <c r="AF5142" s="7">
        <v>0.0</v>
      </c>
    </row>
    <row r="5143">
      <c r="G5143" s="5"/>
      <c r="H5143" s="6"/>
      <c r="AD5143" s="5">
        <v>45141.0</v>
      </c>
      <c r="AE5143" s="6">
        <v>0.20833333333333334</v>
      </c>
      <c r="AF5143" s="7">
        <v>0.0</v>
      </c>
    </row>
    <row r="5144">
      <c r="G5144" s="5"/>
      <c r="H5144" s="6"/>
      <c r="AD5144" s="5">
        <v>45141.0</v>
      </c>
      <c r="AE5144" s="6">
        <v>0.25</v>
      </c>
      <c r="AF5144" s="7">
        <v>5016.96</v>
      </c>
    </row>
    <row r="5145">
      <c r="G5145" s="5"/>
      <c r="H5145" s="6"/>
      <c r="AD5145" s="5">
        <v>45141.0</v>
      </c>
      <c r="AE5145" s="6">
        <v>0.2916666666666667</v>
      </c>
      <c r="AF5145" s="7">
        <v>18784.74</v>
      </c>
    </row>
    <row r="5146">
      <c r="G5146" s="5"/>
      <c r="H5146" s="6"/>
      <c r="AD5146" s="5">
        <v>45141.0</v>
      </c>
      <c r="AE5146" s="6">
        <v>0.3333333333333333</v>
      </c>
      <c r="AF5146" s="7">
        <v>31143.84</v>
      </c>
    </row>
    <row r="5147">
      <c r="G5147" s="5"/>
      <c r="H5147" s="6"/>
      <c r="AD5147" s="5">
        <v>45141.0</v>
      </c>
      <c r="AE5147" s="6">
        <v>0.375</v>
      </c>
      <c r="AF5147" s="7">
        <v>45410.04</v>
      </c>
    </row>
    <row r="5148">
      <c r="G5148" s="5"/>
      <c r="H5148" s="6"/>
      <c r="AD5148" s="5">
        <v>45141.0</v>
      </c>
      <c r="AE5148" s="6">
        <v>0.4166666666666667</v>
      </c>
      <c r="AF5148" s="7">
        <v>54640.56</v>
      </c>
    </row>
    <row r="5149">
      <c r="G5149" s="5"/>
      <c r="H5149" s="6"/>
      <c r="AD5149" s="5">
        <v>45141.0</v>
      </c>
      <c r="AE5149" s="6">
        <v>0.4583333333333333</v>
      </c>
      <c r="AF5149" s="7">
        <v>59700.42</v>
      </c>
    </row>
    <row r="5150">
      <c r="G5150" s="5"/>
      <c r="H5150" s="6"/>
      <c r="AD5150" s="5">
        <v>45141.0</v>
      </c>
      <c r="AE5150" s="6">
        <v>0.5</v>
      </c>
      <c r="AF5150" s="7">
        <v>61371.18</v>
      </c>
    </row>
    <row r="5151">
      <c r="G5151" s="5"/>
      <c r="H5151" s="6"/>
      <c r="AD5151" s="5">
        <v>45141.0</v>
      </c>
      <c r="AE5151" s="6">
        <v>0.5416666666666666</v>
      </c>
      <c r="AF5151" s="7">
        <v>59515.56</v>
      </c>
    </row>
    <row r="5152">
      <c r="G5152" s="5"/>
      <c r="H5152" s="6"/>
      <c r="AD5152" s="5">
        <v>45141.0</v>
      </c>
      <c r="AE5152" s="6">
        <v>0.5833333333333334</v>
      </c>
      <c r="AF5152" s="7">
        <v>54256.02</v>
      </c>
    </row>
    <row r="5153">
      <c r="G5153" s="5"/>
      <c r="H5153" s="6"/>
      <c r="AD5153" s="5">
        <v>45141.0</v>
      </c>
      <c r="AE5153" s="6">
        <v>0.625</v>
      </c>
      <c r="AF5153" s="7">
        <v>44924.88</v>
      </c>
    </row>
    <row r="5154">
      <c r="G5154" s="5"/>
      <c r="H5154" s="6"/>
      <c r="AD5154" s="5">
        <v>45141.0</v>
      </c>
      <c r="AE5154" s="6">
        <v>0.6666666666666666</v>
      </c>
      <c r="AF5154" s="7">
        <v>32281.86</v>
      </c>
    </row>
    <row r="5155">
      <c r="G5155" s="5"/>
      <c r="H5155" s="6"/>
      <c r="AD5155" s="5">
        <v>45141.0</v>
      </c>
      <c r="AE5155" s="6">
        <v>0.7083333333333334</v>
      </c>
      <c r="AF5155" s="7">
        <v>18100.68</v>
      </c>
    </row>
    <row r="5156">
      <c r="G5156" s="5"/>
      <c r="H5156" s="6"/>
      <c r="AD5156" s="5">
        <v>45141.0</v>
      </c>
      <c r="AE5156" s="6">
        <v>0.75</v>
      </c>
      <c r="AF5156" s="7">
        <v>4585.62</v>
      </c>
    </row>
    <row r="5157">
      <c r="G5157" s="5"/>
      <c r="H5157" s="6"/>
      <c r="AD5157" s="5">
        <v>45141.0</v>
      </c>
      <c r="AE5157" s="6">
        <v>0.7916666666666666</v>
      </c>
      <c r="AF5157" s="7">
        <v>0.0</v>
      </c>
    </row>
    <row r="5158">
      <c r="G5158" s="5"/>
      <c r="H5158" s="6"/>
      <c r="AD5158" s="5">
        <v>45141.0</v>
      </c>
      <c r="AE5158" s="6">
        <v>0.8333333333333334</v>
      </c>
      <c r="AF5158" s="7">
        <v>0.0</v>
      </c>
    </row>
    <row r="5159">
      <c r="G5159" s="5"/>
      <c r="H5159" s="6"/>
      <c r="AD5159" s="5">
        <v>45141.0</v>
      </c>
      <c r="AE5159" s="6">
        <v>0.875</v>
      </c>
      <c r="AF5159" s="7">
        <v>0.0</v>
      </c>
    </row>
    <row r="5160">
      <c r="G5160" s="5"/>
      <c r="H5160" s="6"/>
      <c r="AD5160" s="5">
        <v>45141.0</v>
      </c>
      <c r="AE5160" s="6">
        <v>0.9166666666666666</v>
      </c>
      <c r="AF5160" s="7">
        <v>0.0</v>
      </c>
    </row>
    <row r="5161">
      <c r="G5161" s="5"/>
      <c r="H5161" s="6"/>
      <c r="AD5161" s="5">
        <v>45141.0</v>
      </c>
      <c r="AE5161" s="6">
        <v>0.9583333333333334</v>
      </c>
      <c r="AF5161" s="7">
        <v>0.0</v>
      </c>
    </row>
    <row r="5162">
      <c r="G5162" s="5"/>
      <c r="H5162" s="6"/>
      <c r="AD5162" s="5">
        <v>45142.0</v>
      </c>
      <c r="AE5162" s="6">
        <v>0.0</v>
      </c>
      <c r="AF5162" s="7">
        <v>0.0</v>
      </c>
    </row>
    <row r="5163">
      <c r="G5163" s="5"/>
      <c r="H5163" s="6"/>
      <c r="AD5163" s="5">
        <v>45142.0</v>
      </c>
      <c r="AE5163" s="6">
        <v>0.041666666666666664</v>
      </c>
      <c r="AF5163" s="7">
        <v>0.0</v>
      </c>
    </row>
    <row r="5164">
      <c r="G5164" s="5"/>
      <c r="H5164" s="6"/>
      <c r="AD5164" s="5">
        <v>45142.0</v>
      </c>
      <c r="AE5164" s="6">
        <v>0.08333333333333333</v>
      </c>
      <c r="AF5164" s="7">
        <v>0.0</v>
      </c>
    </row>
    <row r="5165">
      <c r="G5165" s="5"/>
      <c r="H5165" s="6"/>
      <c r="AD5165" s="5">
        <v>45142.0</v>
      </c>
      <c r="AE5165" s="6">
        <v>0.125</v>
      </c>
      <c r="AF5165" s="7">
        <v>0.0</v>
      </c>
    </row>
    <row r="5166">
      <c r="G5166" s="5"/>
      <c r="H5166" s="6"/>
      <c r="AD5166" s="5">
        <v>45142.0</v>
      </c>
      <c r="AE5166" s="6">
        <v>0.16666666666666666</v>
      </c>
      <c r="AF5166" s="7">
        <v>0.0</v>
      </c>
    </row>
    <row r="5167">
      <c r="G5167" s="5"/>
      <c r="H5167" s="6"/>
      <c r="AD5167" s="5">
        <v>45142.0</v>
      </c>
      <c r="AE5167" s="6">
        <v>0.20833333333333334</v>
      </c>
      <c r="AF5167" s="7">
        <v>0.0</v>
      </c>
    </row>
    <row r="5168">
      <c r="G5168" s="5"/>
      <c r="H5168" s="6"/>
      <c r="AD5168" s="5">
        <v>45142.0</v>
      </c>
      <c r="AE5168" s="6">
        <v>0.25</v>
      </c>
      <c r="AF5168" s="7">
        <v>4970.94</v>
      </c>
    </row>
    <row r="5169">
      <c r="G5169" s="5"/>
      <c r="H5169" s="6"/>
      <c r="AD5169" s="5">
        <v>45142.0</v>
      </c>
      <c r="AE5169" s="6">
        <v>0.2916666666666667</v>
      </c>
      <c r="AF5169" s="7">
        <v>19308.12</v>
      </c>
    </row>
    <row r="5170">
      <c r="G5170" s="5"/>
      <c r="H5170" s="6"/>
      <c r="AD5170" s="5">
        <v>45142.0</v>
      </c>
      <c r="AE5170" s="6">
        <v>0.3333333333333333</v>
      </c>
      <c r="AF5170" s="7">
        <v>33611.76</v>
      </c>
    </row>
    <row r="5171">
      <c r="G5171" s="5"/>
      <c r="H5171" s="6"/>
      <c r="AD5171" s="5">
        <v>45142.0</v>
      </c>
      <c r="AE5171" s="6">
        <v>0.375</v>
      </c>
      <c r="AF5171" s="7">
        <v>45626.88</v>
      </c>
    </row>
    <row r="5172">
      <c r="G5172" s="5"/>
      <c r="H5172" s="6"/>
      <c r="AD5172" s="5">
        <v>45142.0</v>
      </c>
      <c r="AE5172" s="6">
        <v>0.4166666666666667</v>
      </c>
      <c r="AF5172" s="7">
        <v>53334.06</v>
      </c>
    </row>
    <row r="5173">
      <c r="G5173" s="5"/>
      <c r="H5173" s="6"/>
      <c r="AD5173" s="5">
        <v>45142.0</v>
      </c>
      <c r="AE5173" s="6">
        <v>0.4583333333333333</v>
      </c>
      <c r="AF5173" s="7">
        <v>61120.02</v>
      </c>
    </row>
    <row r="5174">
      <c r="G5174" s="5"/>
      <c r="H5174" s="6"/>
      <c r="AD5174" s="5">
        <v>45142.0</v>
      </c>
      <c r="AE5174" s="6">
        <v>0.5</v>
      </c>
      <c r="AF5174" s="7">
        <v>61963.2</v>
      </c>
    </row>
    <row r="5175">
      <c r="G5175" s="5"/>
      <c r="H5175" s="6"/>
      <c r="AD5175" s="5">
        <v>45142.0</v>
      </c>
      <c r="AE5175" s="6">
        <v>0.5416666666666666</v>
      </c>
      <c r="AF5175" s="7">
        <v>60905.52</v>
      </c>
    </row>
    <row r="5176">
      <c r="G5176" s="5"/>
      <c r="H5176" s="6"/>
      <c r="AD5176" s="5">
        <v>45142.0</v>
      </c>
      <c r="AE5176" s="6">
        <v>0.5833333333333334</v>
      </c>
      <c r="AF5176" s="7">
        <v>55330.86</v>
      </c>
    </row>
    <row r="5177">
      <c r="G5177" s="5"/>
      <c r="H5177" s="6"/>
      <c r="AD5177" s="5">
        <v>45142.0</v>
      </c>
      <c r="AE5177" s="6">
        <v>0.625</v>
      </c>
      <c r="AF5177" s="7">
        <v>46109.7</v>
      </c>
    </row>
    <row r="5178">
      <c r="G5178" s="5"/>
      <c r="H5178" s="6"/>
      <c r="AD5178" s="5">
        <v>45142.0</v>
      </c>
      <c r="AE5178" s="6">
        <v>0.6666666666666666</v>
      </c>
      <c r="AF5178" s="7">
        <v>33227.22</v>
      </c>
    </row>
    <row r="5179">
      <c r="G5179" s="5"/>
      <c r="H5179" s="6"/>
      <c r="AD5179" s="5">
        <v>45142.0</v>
      </c>
      <c r="AE5179" s="6">
        <v>0.7083333333333334</v>
      </c>
      <c r="AF5179" s="7">
        <v>18514.86</v>
      </c>
    </row>
    <row r="5180">
      <c r="G5180" s="5"/>
      <c r="H5180" s="6"/>
      <c r="AD5180" s="5">
        <v>45142.0</v>
      </c>
      <c r="AE5180" s="6">
        <v>0.75</v>
      </c>
      <c r="AF5180" s="7">
        <v>4704.96</v>
      </c>
    </row>
    <row r="5181">
      <c r="G5181" s="5"/>
      <c r="H5181" s="6"/>
      <c r="AD5181" s="5">
        <v>45142.0</v>
      </c>
      <c r="AE5181" s="6">
        <v>0.7916666666666666</v>
      </c>
      <c r="AF5181" s="7">
        <v>0.0</v>
      </c>
    </row>
    <row r="5182">
      <c r="G5182" s="5"/>
      <c r="H5182" s="6"/>
      <c r="AD5182" s="5">
        <v>45142.0</v>
      </c>
      <c r="AE5182" s="6">
        <v>0.8333333333333334</v>
      </c>
      <c r="AF5182" s="7">
        <v>0.0</v>
      </c>
    </row>
    <row r="5183">
      <c r="G5183" s="5"/>
      <c r="H5183" s="6"/>
      <c r="AD5183" s="5">
        <v>45142.0</v>
      </c>
      <c r="AE5183" s="6">
        <v>0.875</v>
      </c>
      <c r="AF5183" s="7">
        <v>0.0</v>
      </c>
    </row>
    <row r="5184">
      <c r="G5184" s="5"/>
      <c r="H5184" s="6"/>
      <c r="AD5184" s="5">
        <v>45142.0</v>
      </c>
      <c r="AE5184" s="6">
        <v>0.9166666666666666</v>
      </c>
      <c r="AF5184" s="7">
        <v>0.0</v>
      </c>
    </row>
    <row r="5185">
      <c r="G5185" s="5"/>
      <c r="H5185" s="6"/>
      <c r="AD5185" s="5">
        <v>45142.0</v>
      </c>
      <c r="AE5185" s="6">
        <v>0.9583333333333334</v>
      </c>
      <c r="AF5185" s="7">
        <v>0.0</v>
      </c>
    </row>
    <row r="5186">
      <c r="G5186" s="5"/>
      <c r="H5186" s="6"/>
      <c r="AD5186" s="5">
        <v>45143.0</v>
      </c>
      <c r="AE5186" s="6">
        <v>0.0</v>
      </c>
      <c r="AF5186" s="7">
        <v>0.0</v>
      </c>
    </row>
    <row r="5187">
      <c r="G5187" s="5"/>
      <c r="H5187" s="6"/>
      <c r="AD5187" s="5">
        <v>45143.0</v>
      </c>
      <c r="AE5187" s="6">
        <v>0.041666666666666664</v>
      </c>
      <c r="AF5187" s="7">
        <v>0.0</v>
      </c>
    </row>
    <row r="5188">
      <c r="G5188" s="5"/>
      <c r="H5188" s="6"/>
      <c r="AD5188" s="5">
        <v>45143.0</v>
      </c>
      <c r="AE5188" s="6">
        <v>0.08333333333333333</v>
      </c>
      <c r="AF5188" s="7">
        <v>0.0</v>
      </c>
    </row>
    <row r="5189">
      <c r="G5189" s="5"/>
      <c r="H5189" s="6"/>
      <c r="AD5189" s="5">
        <v>45143.0</v>
      </c>
      <c r="AE5189" s="6">
        <v>0.125</v>
      </c>
      <c r="AF5189" s="7">
        <v>0.0</v>
      </c>
    </row>
    <row r="5190">
      <c r="G5190" s="5"/>
      <c r="H5190" s="6"/>
      <c r="AD5190" s="5">
        <v>45143.0</v>
      </c>
      <c r="AE5190" s="6">
        <v>0.16666666666666666</v>
      </c>
      <c r="AF5190" s="7">
        <v>0.0</v>
      </c>
    </row>
    <row r="5191">
      <c r="G5191" s="5"/>
      <c r="H5191" s="6"/>
      <c r="AD5191" s="5">
        <v>45143.0</v>
      </c>
      <c r="AE5191" s="6">
        <v>0.20833333333333334</v>
      </c>
      <c r="AF5191" s="7">
        <v>0.0</v>
      </c>
    </row>
    <row r="5192">
      <c r="G5192" s="5"/>
      <c r="H5192" s="6"/>
      <c r="AD5192" s="5">
        <v>45143.0</v>
      </c>
      <c r="AE5192" s="6">
        <v>0.25</v>
      </c>
      <c r="AF5192" s="7">
        <v>4828.2</v>
      </c>
    </row>
    <row r="5193">
      <c r="G5193" s="5"/>
      <c r="H5193" s="6"/>
      <c r="AD5193" s="5">
        <v>45143.0</v>
      </c>
      <c r="AE5193" s="6">
        <v>0.2916666666666667</v>
      </c>
      <c r="AF5193" s="7">
        <v>19135.74</v>
      </c>
    </row>
    <row r="5194">
      <c r="G5194" s="5"/>
      <c r="H5194" s="6"/>
      <c r="AD5194" s="5">
        <v>45143.0</v>
      </c>
      <c r="AE5194" s="6">
        <v>0.3333333333333333</v>
      </c>
      <c r="AF5194" s="7">
        <v>34100.04</v>
      </c>
    </row>
    <row r="5195">
      <c r="G5195" s="5"/>
      <c r="H5195" s="6"/>
      <c r="AD5195" s="5">
        <v>45143.0</v>
      </c>
      <c r="AE5195" s="6">
        <v>0.375</v>
      </c>
      <c r="AF5195" s="7">
        <v>46513.74</v>
      </c>
    </row>
    <row r="5196">
      <c r="G5196" s="5"/>
      <c r="H5196" s="6"/>
      <c r="AD5196" s="5">
        <v>45143.0</v>
      </c>
      <c r="AE5196" s="6">
        <v>0.4166666666666667</v>
      </c>
      <c r="AF5196" s="7">
        <v>55101.54</v>
      </c>
    </row>
    <row r="5197">
      <c r="G5197" s="5"/>
      <c r="H5197" s="6"/>
      <c r="AD5197" s="5">
        <v>45143.0</v>
      </c>
      <c r="AE5197" s="6">
        <v>0.4583333333333333</v>
      </c>
      <c r="AF5197" s="7">
        <v>59913.36</v>
      </c>
    </row>
    <row r="5198">
      <c r="G5198" s="5"/>
      <c r="H5198" s="6"/>
      <c r="AD5198" s="5">
        <v>45143.0</v>
      </c>
      <c r="AE5198" s="6">
        <v>0.5</v>
      </c>
      <c r="AF5198" s="7">
        <v>61698.78</v>
      </c>
    </row>
    <row r="5199">
      <c r="G5199" s="5"/>
      <c r="H5199" s="6"/>
      <c r="AD5199" s="5">
        <v>45143.0</v>
      </c>
      <c r="AE5199" s="6">
        <v>0.5416666666666666</v>
      </c>
      <c r="AF5199" s="7">
        <v>59723.04</v>
      </c>
    </row>
    <row r="5200">
      <c r="G5200" s="5"/>
      <c r="H5200" s="6"/>
      <c r="AD5200" s="5">
        <v>45143.0</v>
      </c>
      <c r="AE5200" s="6">
        <v>0.5833333333333334</v>
      </c>
      <c r="AF5200" s="7">
        <v>53800.5</v>
      </c>
    </row>
    <row r="5201">
      <c r="G5201" s="5"/>
      <c r="H5201" s="6"/>
      <c r="AD5201" s="5">
        <v>45143.0</v>
      </c>
      <c r="AE5201" s="6">
        <v>0.625</v>
      </c>
      <c r="AF5201" s="7">
        <v>44432.7</v>
      </c>
    </row>
    <row r="5202">
      <c r="G5202" s="5"/>
      <c r="H5202" s="6"/>
      <c r="AD5202" s="5">
        <v>45143.0</v>
      </c>
      <c r="AE5202" s="6">
        <v>0.6666666666666666</v>
      </c>
      <c r="AF5202" s="7">
        <v>31933.2</v>
      </c>
    </row>
    <row r="5203">
      <c r="G5203" s="5"/>
      <c r="H5203" s="6"/>
      <c r="AD5203" s="5">
        <v>45143.0</v>
      </c>
      <c r="AE5203" s="6">
        <v>0.7083333333333334</v>
      </c>
      <c r="AF5203" s="7">
        <v>17716.14</v>
      </c>
    </row>
    <row r="5204">
      <c r="G5204" s="5"/>
      <c r="H5204" s="6"/>
      <c r="AD5204" s="5">
        <v>45143.0</v>
      </c>
      <c r="AE5204" s="6">
        <v>0.75</v>
      </c>
      <c r="AF5204" s="7">
        <v>4288.44</v>
      </c>
    </row>
    <row r="5205">
      <c r="G5205" s="5"/>
      <c r="H5205" s="6"/>
      <c r="AD5205" s="5">
        <v>45143.0</v>
      </c>
      <c r="AE5205" s="6">
        <v>0.7916666666666666</v>
      </c>
      <c r="AF5205" s="7">
        <v>0.0</v>
      </c>
    </row>
    <row r="5206">
      <c r="G5206" s="5"/>
      <c r="H5206" s="6"/>
      <c r="AD5206" s="5">
        <v>45143.0</v>
      </c>
      <c r="AE5206" s="6">
        <v>0.8333333333333334</v>
      </c>
      <c r="AF5206" s="7">
        <v>0.0</v>
      </c>
    </row>
    <row r="5207">
      <c r="G5207" s="5"/>
      <c r="H5207" s="6"/>
      <c r="AD5207" s="5">
        <v>45143.0</v>
      </c>
      <c r="AE5207" s="6">
        <v>0.875</v>
      </c>
      <c r="AF5207" s="7">
        <v>0.0</v>
      </c>
    </row>
    <row r="5208">
      <c r="G5208" s="5"/>
      <c r="H5208" s="6"/>
      <c r="AD5208" s="5">
        <v>45143.0</v>
      </c>
      <c r="AE5208" s="6">
        <v>0.9166666666666666</v>
      </c>
      <c r="AF5208" s="7">
        <v>0.0</v>
      </c>
    </row>
    <row r="5209">
      <c r="G5209" s="5"/>
      <c r="H5209" s="6"/>
      <c r="AD5209" s="5">
        <v>45143.0</v>
      </c>
      <c r="AE5209" s="6">
        <v>0.9583333333333334</v>
      </c>
      <c r="AF5209" s="7">
        <v>0.0</v>
      </c>
    </row>
    <row r="5210">
      <c r="G5210" s="5"/>
      <c r="H5210" s="6"/>
      <c r="AD5210" s="5">
        <v>45144.0</v>
      </c>
      <c r="AE5210" s="6">
        <v>0.0</v>
      </c>
      <c r="AF5210" s="7">
        <v>0.0</v>
      </c>
    </row>
    <row r="5211">
      <c r="G5211" s="5"/>
      <c r="H5211" s="6"/>
      <c r="AD5211" s="5">
        <v>45144.0</v>
      </c>
      <c r="AE5211" s="6">
        <v>0.041666666666666664</v>
      </c>
      <c r="AF5211" s="7">
        <v>0.0</v>
      </c>
    </row>
    <row r="5212">
      <c r="G5212" s="5"/>
      <c r="H5212" s="6"/>
      <c r="AD5212" s="5">
        <v>45144.0</v>
      </c>
      <c r="AE5212" s="6">
        <v>0.08333333333333333</v>
      </c>
      <c r="AF5212" s="7">
        <v>0.0</v>
      </c>
    </row>
    <row r="5213">
      <c r="G5213" s="5"/>
      <c r="H5213" s="6"/>
      <c r="AD5213" s="5">
        <v>45144.0</v>
      </c>
      <c r="AE5213" s="6">
        <v>0.125</v>
      </c>
      <c r="AF5213" s="7">
        <v>0.0</v>
      </c>
    </row>
    <row r="5214">
      <c r="G5214" s="5"/>
      <c r="H5214" s="6"/>
      <c r="AD5214" s="5">
        <v>45144.0</v>
      </c>
      <c r="AE5214" s="6">
        <v>0.16666666666666666</v>
      </c>
      <c r="AF5214" s="7">
        <v>0.0</v>
      </c>
    </row>
    <row r="5215">
      <c r="G5215" s="5"/>
      <c r="H5215" s="6"/>
      <c r="AD5215" s="5">
        <v>45144.0</v>
      </c>
      <c r="AE5215" s="6">
        <v>0.20833333333333334</v>
      </c>
      <c r="AF5215" s="7">
        <v>0.0</v>
      </c>
    </row>
    <row r="5216">
      <c r="G5216" s="5"/>
      <c r="H5216" s="6"/>
      <c r="AD5216" s="5">
        <v>45144.0</v>
      </c>
      <c r="AE5216" s="6">
        <v>0.25</v>
      </c>
      <c r="AF5216" s="7">
        <v>4767.36</v>
      </c>
    </row>
    <row r="5217">
      <c r="G5217" s="5"/>
      <c r="H5217" s="6"/>
      <c r="AD5217" s="5">
        <v>45144.0</v>
      </c>
      <c r="AE5217" s="6">
        <v>0.2916666666666667</v>
      </c>
      <c r="AF5217" s="7">
        <v>19099.08</v>
      </c>
    </row>
    <row r="5218">
      <c r="G5218" s="5"/>
      <c r="H5218" s="6"/>
      <c r="AD5218" s="5">
        <v>45144.0</v>
      </c>
      <c r="AE5218" s="6">
        <v>0.3333333333333333</v>
      </c>
      <c r="AF5218" s="7">
        <v>34257.6</v>
      </c>
    </row>
    <row r="5219">
      <c r="G5219" s="5"/>
      <c r="H5219" s="6"/>
      <c r="AD5219" s="5">
        <v>45144.0</v>
      </c>
      <c r="AE5219" s="6">
        <v>0.375</v>
      </c>
      <c r="AF5219" s="7">
        <v>46810.14</v>
      </c>
    </row>
    <row r="5220">
      <c r="G5220" s="5"/>
      <c r="H5220" s="6"/>
      <c r="AD5220" s="5">
        <v>45144.0</v>
      </c>
      <c r="AE5220" s="6">
        <v>0.4166666666666667</v>
      </c>
      <c r="AF5220" s="7">
        <v>55192.02</v>
      </c>
    </row>
    <row r="5221">
      <c r="G5221" s="5"/>
      <c r="H5221" s="6"/>
      <c r="AD5221" s="5">
        <v>45144.0</v>
      </c>
      <c r="AE5221" s="6">
        <v>0.4583333333333333</v>
      </c>
      <c r="AF5221" s="7">
        <v>60337.68</v>
      </c>
    </row>
    <row r="5222">
      <c r="G5222" s="5"/>
      <c r="H5222" s="6"/>
      <c r="AD5222" s="5">
        <v>45144.0</v>
      </c>
      <c r="AE5222" s="6">
        <v>0.5</v>
      </c>
      <c r="AF5222" s="7">
        <v>61708.92</v>
      </c>
    </row>
    <row r="5223">
      <c r="G5223" s="5"/>
      <c r="H5223" s="6"/>
      <c r="AD5223" s="5">
        <v>45144.0</v>
      </c>
      <c r="AE5223" s="6">
        <v>0.5416666666666666</v>
      </c>
      <c r="AF5223" s="7">
        <v>59489.04</v>
      </c>
    </row>
    <row r="5224">
      <c r="G5224" s="5"/>
      <c r="H5224" s="6"/>
      <c r="AD5224" s="5">
        <v>45144.0</v>
      </c>
      <c r="AE5224" s="6">
        <v>0.5833333333333334</v>
      </c>
      <c r="AF5224" s="7">
        <v>54318.42</v>
      </c>
    </row>
    <row r="5225">
      <c r="G5225" s="5"/>
      <c r="H5225" s="6"/>
      <c r="AD5225" s="5">
        <v>45144.0</v>
      </c>
      <c r="AE5225" s="6">
        <v>0.625</v>
      </c>
      <c r="AF5225" s="7">
        <v>44982.6</v>
      </c>
    </row>
    <row r="5226">
      <c r="G5226" s="5"/>
      <c r="H5226" s="6"/>
      <c r="AD5226" s="5">
        <v>45144.0</v>
      </c>
      <c r="AE5226" s="6">
        <v>0.6666666666666666</v>
      </c>
      <c r="AF5226" s="7">
        <v>32565.0</v>
      </c>
    </row>
    <row r="5227">
      <c r="G5227" s="5"/>
      <c r="H5227" s="6"/>
      <c r="AD5227" s="5">
        <v>45144.0</v>
      </c>
      <c r="AE5227" s="6">
        <v>0.7083333333333334</v>
      </c>
      <c r="AF5227" s="7">
        <v>17934.54</v>
      </c>
    </row>
    <row r="5228">
      <c r="G5228" s="5"/>
      <c r="H5228" s="6"/>
      <c r="AD5228" s="5">
        <v>45144.0</v>
      </c>
      <c r="AE5228" s="6">
        <v>0.75</v>
      </c>
      <c r="AF5228" s="7">
        <v>4292.34</v>
      </c>
    </row>
    <row r="5229">
      <c r="G5229" s="5"/>
      <c r="H5229" s="6"/>
      <c r="AD5229" s="5">
        <v>45144.0</v>
      </c>
      <c r="AE5229" s="6">
        <v>0.7916666666666666</v>
      </c>
      <c r="AF5229" s="7">
        <v>0.0</v>
      </c>
    </row>
    <row r="5230">
      <c r="G5230" s="5"/>
      <c r="H5230" s="6"/>
      <c r="AD5230" s="5">
        <v>45144.0</v>
      </c>
      <c r="AE5230" s="6">
        <v>0.8333333333333334</v>
      </c>
      <c r="AF5230" s="7">
        <v>0.0</v>
      </c>
    </row>
    <row r="5231">
      <c r="G5231" s="5"/>
      <c r="H5231" s="6"/>
      <c r="AD5231" s="5">
        <v>45144.0</v>
      </c>
      <c r="AE5231" s="6">
        <v>0.875</v>
      </c>
      <c r="AF5231" s="7">
        <v>0.0</v>
      </c>
    </row>
    <row r="5232">
      <c r="G5232" s="5"/>
      <c r="H5232" s="6"/>
      <c r="AD5232" s="5">
        <v>45144.0</v>
      </c>
      <c r="AE5232" s="6">
        <v>0.9166666666666666</v>
      </c>
      <c r="AF5232" s="7">
        <v>0.0</v>
      </c>
    </row>
    <row r="5233">
      <c r="G5233" s="5"/>
      <c r="H5233" s="6"/>
      <c r="AD5233" s="5">
        <v>45144.0</v>
      </c>
      <c r="AE5233" s="6">
        <v>0.9583333333333334</v>
      </c>
      <c r="AF5233" s="7">
        <v>0.0</v>
      </c>
    </row>
    <row r="5234">
      <c r="G5234" s="5"/>
      <c r="H5234" s="6"/>
      <c r="AD5234" s="5">
        <v>45145.0</v>
      </c>
      <c r="AE5234" s="6">
        <v>0.0</v>
      </c>
      <c r="AF5234" s="7">
        <v>0.0</v>
      </c>
    </row>
    <row r="5235">
      <c r="G5235" s="5"/>
      <c r="H5235" s="6"/>
      <c r="AD5235" s="5">
        <v>45145.0</v>
      </c>
      <c r="AE5235" s="6">
        <v>0.041666666666666664</v>
      </c>
      <c r="AF5235" s="7">
        <v>0.0</v>
      </c>
    </row>
    <row r="5236">
      <c r="G5236" s="5"/>
      <c r="H5236" s="6"/>
      <c r="AD5236" s="5">
        <v>45145.0</v>
      </c>
      <c r="AE5236" s="6">
        <v>0.08333333333333333</v>
      </c>
      <c r="AF5236" s="7">
        <v>0.0</v>
      </c>
    </row>
    <row r="5237">
      <c r="G5237" s="5"/>
      <c r="H5237" s="6"/>
      <c r="AD5237" s="5">
        <v>45145.0</v>
      </c>
      <c r="AE5237" s="6">
        <v>0.125</v>
      </c>
      <c r="AF5237" s="7">
        <v>0.0</v>
      </c>
    </row>
    <row r="5238">
      <c r="G5238" s="5"/>
      <c r="H5238" s="6"/>
      <c r="AD5238" s="5">
        <v>45145.0</v>
      </c>
      <c r="AE5238" s="6">
        <v>0.16666666666666666</v>
      </c>
      <c r="AF5238" s="7">
        <v>0.0</v>
      </c>
    </row>
    <row r="5239">
      <c r="G5239" s="5"/>
      <c r="H5239" s="6"/>
      <c r="AD5239" s="5">
        <v>45145.0</v>
      </c>
      <c r="AE5239" s="6">
        <v>0.20833333333333334</v>
      </c>
      <c r="AF5239" s="7">
        <v>0.0</v>
      </c>
    </row>
    <row r="5240">
      <c r="G5240" s="5"/>
      <c r="H5240" s="6"/>
      <c r="AD5240" s="5">
        <v>45145.0</v>
      </c>
      <c r="AE5240" s="6">
        <v>0.25</v>
      </c>
      <c r="AF5240" s="7">
        <v>4683.9</v>
      </c>
    </row>
    <row r="5241">
      <c r="G5241" s="5"/>
      <c r="H5241" s="6"/>
      <c r="AD5241" s="5">
        <v>45145.0</v>
      </c>
      <c r="AE5241" s="6">
        <v>0.2916666666666667</v>
      </c>
      <c r="AF5241" s="7">
        <v>19069.44</v>
      </c>
    </row>
    <row r="5242">
      <c r="G5242" s="5"/>
      <c r="H5242" s="6"/>
      <c r="AD5242" s="5">
        <v>45145.0</v>
      </c>
      <c r="AE5242" s="6">
        <v>0.3333333333333333</v>
      </c>
      <c r="AF5242" s="7">
        <v>33907.38</v>
      </c>
    </row>
    <row r="5243">
      <c r="G5243" s="5"/>
      <c r="H5243" s="6"/>
      <c r="AD5243" s="5">
        <v>45145.0</v>
      </c>
      <c r="AE5243" s="6">
        <v>0.375</v>
      </c>
      <c r="AF5243" s="7">
        <v>45930.3</v>
      </c>
    </row>
    <row r="5244">
      <c r="G5244" s="5"/>
      <c r="H5244" s="6"/>
      <c r="AD5244" s="5">
        <v>45145.0</v>
      </c>
      <c r="AE5244" s="6">
        <v>0.4166666666666667</v>
      </c>
      <c r="AF5244" s="7">
        <v>53672.58</v>
      </c>
    </row>
    <row r="5245">
      <c r="G5245" s="5"/>
      <c r="H5245" s="6"/>
      <c r="AD5245" s="5">
        <v>45145.0</v>
      </c>
      <c r="AE5245" s="6">
        <v>0.4583333333333333</v>
      </c>
      <c r="AF5245" s="7">
        <v>57485.22</v>
      </c>
    </row>
    <row r="5246">
      <c r="G5246" s="5"/>
      <c r="H5246" s="6"/>
      <c r="AD5246" s="5">
        <v>45145.0</v>
      </c>
      <c r="AE5246" s="6">
        <v>0.5</v>
      </c>
      <c r="AF5246" s="7">
        <v>57653.7</v>
      </c>
    </row>
    <row r="5247">
      <c r="G5247" s="5"/>
      <c r="H5247" s="6"/>
      <c r="AD5247" s="5">
        <v>45145.0</v>
      </c>
      <c r="AE5247" s="6">
        <v>0.5416666666666666</v>
      </c>
      <c r="AF5247" s="7">
        <v>56032.08</v>
      </c>
    </row>
    <row r="5248">
      <c r="G5248" s="5"/>
      <c r="H5248" s="6"/>
      <c r="AD5248" s="5">
        <v>45145.0</v>
      </c>
      <c r="AE5248" s="6">
        <v>0.5833333333333334</v>
      </c>
      <c r="AF5248" s="7">
        <v>50678.16</v>
      </c>
    </row>
    <row r="5249">
      <c r="G5249" s="5"/>
      <c r="H5249" s="6"/>
      <c r="AD5249" s="5">
        <v>45145.0</v>
      </c>
      <c r="AE5249" s="6">
        <v>0.625</v>
      </c>
      <c r="AF5249" s="7">
        <v>42333.72</v>
      </c>
    </row>
    <row r="5250">
      <c r="G5250" s="5"/>
      <c r="H5250" s="6"/>
      <c r="AD5250" s="5">
        <v>45145.0</v>
      </c>
      <c r="AE5250" s="6">
        <v>0.6666666666666666</v>
      </c>
      <c r="AF5250" s="7">
        <v>30854.46</v>
      </c>
    </row>
    <row r="5251">
      <c r="G5251" s="5"/>
      <c r="H5251" s="6"/>
      <c r="AD5251" s="5">
        <v>45145.0</v>
      </c>
      <c r="AE5251" s="6">
        <v>0.7083333333333334</v>
      </c>
      <c r="AF5251" s="7">
        <v>17201.34</v>
      </c>
    </row>
    <row r="5252">
      <c r="G5252" s="5"/>
      <c r="H5252" s="6"/>
      <c r="AD5252" s="5">
        <v>45145.0</v>
      </c>
      <c r="AE5252" s="6">
        <v>0.75</v>
      </c>
      <c r="AF5252" s="7">
        <v>3985.8</v>
      </c>
    </row>
    <row r="5253">
      <c r="G5253" s="5"/>
      <c r="H5253" s="6"/>
      <c r="AD5253" s="5">
        <v>45145.0</v>
      </c>
      <c r="AE5253" s="6">
        <v>0.7916666666666666</v>
      </c>
      <c r="AF5253" s="7">
        <v>0.0</v>
      </c>
    </row>
    <row r="5254">
      <c r="G5254" s="5"/>
      <c r="H5254" s="6"/>
      <c r="AD5254" s="5">
        <v>45145.0</v>
      </c>
      <c r="AE5254" s="6">
        <v>0.8333333333333334</v>
      </c>
      <c r="AF5254" s="7">
        <v>0.0</v>
      </c>
    </row>
    <row r="5255">
      <c r="G5255" s="5"/>
      <c r="H5255" s="6"/>
      <c r="AD5255" s="5">
        <v>45145.0</v>
      </c>
      <c r="AE5255" s="6">
        <v>0.875</v>
      </c>
      <c r="AF5255" s="7">
        <v>0.0</v>
      </c>
    </row>
    <row r="5256">
      <c r="G5256" s="5"/>
      <c r="H5256" s="6"/>
      <c r="AD5256" s="5">
        <v>45145.0</v>
      </c>
      <c r="AE5256" s="6">
        <v>0.9166666666666666</v>
      </c>
      <c r="AF5256" s="7">
        <v>0.0</v>
      </c>
    </row>
    <row r="5257">
      <c r="G5257" s="5"/>
      <c r="H5257" s="6"/>
      <c r="AD5257" s="5">
        <v>45145.0</v>
      </c>
      <c r="AE5257" s="6">
        <v>0.9583333333333334</v>
      </c>
      <c r="AF5257" s="7">
        <v>0.0</v>
      </c>
    </row>
    <row r="5258">
      <c r="G5258" s="5"/>
      <c r="H5258" s="6"/>
      <c r="AD5258" s="5">
        <v>45146.0</v>
      </c>
      <c r="AE5258" s="6">
        <v>0.0</v>
      </c>
      <c r="AF5258" s="7">
        <v>0.0</v>
      </c>
    </row>
    <row r="5259">
      <c r="G5259" s="5"/>
      <c r="H5259" s="6"/>
      <c r="AD5259" s="5">
        <v>45146.0</v>
      </c>
      <c r="AE5259" s="6">
        <v>0.041666666666666664</v>
      </c>
      <c r="AF5259" s="7">
        <v>0.0</v>
      </c>
    </row>
    <row r="5260">
      <c r="G5260" s="5"/>
      <c r="H5260" s="6"/>
      <c r="AD5260" s="5">
        <v>45146.0</v>
      </c>
      <c r="AE5260" s="6">
        <v>0.08333333333333333</v>
      </c>
      <c r="AF5260" s="7">
        <v>0.0</v>
      </c>
    </row>
    <row r="5261">
      <c r="G5261" s="5"/>
      <c r="H5261" s="6"/>
      <c r="AD5261" s="5">
        <v>45146.0</v>
      </c>
      <c r="AE5261" s="6">
        <v>0.125</v>
      </c>
      <c r="AF5261" s="7">
        <v>0.0</v>
      </c>
    </row>
    <row r="5262">
      <c r="G5262" s="5"/>
      <c r="H5262" s="6"/>
      <c r="AD5262" s="5">
        <v>45146.0</v>
      </c>
      <c r="AE5262" s="6">
        <v>0.16666666666666666</v>
      </c>
      <c r="AF5262" s="7">
        <v>0.0</v>
      </c>
    </row>
    <row r="5263">
      <c r="G5263" s="5"/>
      <c r="H5263" s="6"/>
      <c r="AD5263" s="5">
        <v>45146.0</v>
      </c>
      <c r="AE5263" s="6">
        <v>0.20833333333333334</v>
      </c>
      <c r="AF5263" s="7">
        <v>0.0</v>
      </c>
    </row>
    <row r="5264">
      <c r="G5264" s="5"/>
      <c r="H5264" s="6"/>
      <c r="AD5264" s="5">
        <v>45146.0</v>
      </c>
      <c r="AE5264" s="6">
        <v>0.25</v>
      </c>
      <c r="AF5264" s="7">
        <v>4498.26</v>
      </c>
    </row>
    <row r="5265">
      <c r="G5265" s="5"/>
      <c r="H5265" s="6"/>
      <c r="AD5265" s="5">
        <v>45146.0</v>
      </c>
      <c r="AE5265" s="6">
        <v>0.2916666666666667</v>
      </c>
      <c r="AF5265" s="7">
        <v>17218.5</v>
      </c>
    </row>
    <row r="5266">
      <c r="G5266" s="5"/>
      <c r="H5266" s="6"/>
      <c r="AD5266" s="5">
        <v>45146.0</v>
      </c>
      <c r="AE5266" s="6">
        <v>0.3333333333333333</v>
      </c>
      <c r="AF5266" s="7">
        <v>31407.48</v>
      </c>
    </row>
    <row r="5267">
      <c r="G5267" s="5"/>
      <c r="H5267" s="6"/>
      <c r="AD5267" s="5">
        <v>45146.0</v>
      </c>
      <c r="AE5267" s="6">
        <v>0.375</v>
      </c>
      <c r="AF5267" s="7">
        <v>42524.04</v>
      </c>
    </row>
    <row r="5268">
      <c r="G5268" s="5"/>
      <c r="H5268" s="6"/>
      <c r="AD5268" s="5">
        <v>45146.0</v>
      </c>
      <c r="AE5268" s="6">
        <v>0.4166666666666667</v>
      </c>
      <c r="AF5268" s="7">
        <v>49834.98</v>
      </c>
    </row>
    <row r="5269">
      <c r="G5269" s="5"/>
      <c r="H5269" s="6"/>
      <c r="AD5269" s="5">
        <v>45146.0</v>
      </c>
      <c r="AE5269" s="6">
        <v>0.4583333333333333</v>
      </c>
      <c r="AF5269" s="7">
        <v>53955.72</v>
      </c>
    </row>
    <row r="5270">
      <c r="G5270" s="5"/>
      <c r="H5270" s="6"/>
      <c r="AD5270" s="5">
        <v>45146.0</v>
      </c>
      <c r="AE5270" s="6">
        <v>0.5</v>
      </c>
      <c r="AF5270" s="7">
        <v>55009.5</v>
      </c>
    </row>
    <row r="5271">
      <c r="G5271" s="5"/>
      <c r="H5271" s="6"/>
      <c r="AD5271" s="5">
        <v>45146.0</v>
      </c>
      <c r="AE5271" s="6">
        <v>0.5416666666666666</v>
      </c>
      <c r="AF5271" s="7">
        <v>52960.44</v>
      </c>
    </row>
    <row r="5272">
      <c r="G5272" s="5"/>
      <c r="H5272" s="6"/>
      <c r="AD5272" s="5">
        <v>45146.0</v>
      </c>
      <c r="AE5272" s="6">
        <v>0.5833333333333334</v>
      </c>
      <c r="AF5272" s="7">
        <v>47569.86</v>
      </c>
    </row>
    <row r="5273">
      <c r="G5273" s="5"/>
      <c r="H5273" s="6"/>
      <c r="AD5273" s="5">
        <v>45146.0</v>
      </c>
      <c r="AE5273" s="6">
        <v>0.625</v>
      </c>
      <c r="AF5273" s="7">
        <v>40190.28</v>
      </c>
    </row>
    <row r="5274">
      <c r="G5274" s="5"/>
      <c r="H5274" s="6"/>
      <c r="AD5274" s="5">
        <v>45146.0</v>
      </c>
      <c r="AE5274" s="6">
        <v>0.6666666666666666</v>
      </c>
      <c r="AF5274" s="7">
        <v>29424.72</v>
      </c>
    </row>
    <row r="5275">
      <c r="G5275" s="5"/>
      <c r="H5275" s="6"/>
      <c r="AD5275" s="5">
        <v>45146.0</v>
      </c>
      <c r="AE5275" s="6">
        <v>0.7083333333333334</v>
      </c>
      <c r="AF5275" s="7">
        <v>16160.04</v>
      </c>
    </row>
    <row r="5276">
      <c r="G5276" s="5"/>
      <c r="H5276" s="6"/>
      <c r="AD5276" s="5">
        <v>45146.0</v>
      </c>
      <c r="AE5276" s="6">
        <v>0.75</v>
      </c>
      <c r="AF5276" s="7">
        <v>3850.08</v>
      </c>
    </row>
    <row r="5277">
      <c r="G5277" s="5"/>
      <c r="H5277" s="6"/>
      <c r="AD5277" s="5">
        <v>45146.0</v>
      </c>
      <c r="AE5277" s="6">
        <v>0.7916666666666666</v>
      </c>
      <c r="AF5277" s="7">
        <v>0.0</v>
      </c>
    </row>
    <row r="5278">
      <c r="G5278" s="5"/>
      <c r="H5278" s="6"/>
      <c r="AD5278" s="5">
        <v>45146.0</v>
      </c>
      <c r="AE5278" s="6">
        <v>0.8333333333333334</v>
      </c>
      <c r="AF5278" s="7">
        <v>0.0</v>
      </c>
    </row>
    <row r="5279">
      <c r="G5279" s="5"/>
      <c r="H5279" s="6"/>
      <c r="AD5279" s="5">
        <v>45146.0</v>
      </c>
      <c r="AE5279" s="6">
        <v>0.875</v>
      </c>
      <c r="AF5279" s="7">
        <v>0.0</v>
      </c>
    </row>
    <row r="5280">
      <c r="G5280" s="5"/>
      <c r="H5280" s="6"/>
      <c r="AD5280" s="5">
        <v>45146.0</v>
      </c>
      <c r="AE5280" s="6">
        <v>0.9166666666666666</v>
      </c>
      <c r="AF5280" s="7">
        <v>0.0</v>
      </c>
    </row>
    <row r="5281">
      <c r="G5281" s="5"/>
      <c r="H5281" s="6"/>
      <c r="AD5281" s="5">
        <v>45146.0</v>
      </c>
      <c r="AE5281" s="6">
        <v>0.9583333333333334</v>
      </c>
      <c r="AF5281" s="7">
        <v>0.0</v>
      </c>
    </row>
    <row r="5282">
      <c r="G5282" s="5"/>
      <c r="H5282" s="6"/>
      <c r="AD5282" s="5">
        <v>45147.0</v>
      </c>
      <c r="AE5282" s="6">
        <v>0.0</v>
      </c>
      <c r="AF5282" s="7">
        <v>0.0</v>
      </c>
    </row>
    <row r="5283">
      <c r="G5283" s="5"/>
      <c r="H5283" s="6"/>
      <c r="AD5283" s="5">
        <v>45147.0</v>
      </c>
      <c r="AE5283" s="6">
        <v>0.041666666666666664</v>
      </c>
      <c r="AF5283" s="7">
        <v>0.0</v>
      </c>
    </row>
    <row r="5284">
      <c r="G5284" s="5"/>
      <c r="H5284" s="6"/>
      <c r="AD5284" s="5">
        <v>45147.0</v>
      </c>
      <c r="AE5284" s="6">
        <v>0.08333333333333333</v>
      </c>
      <c r="AF5284" s="7">
        <v>0.0</v>
      </c>
    </row>
    <row r="5285">
      <c r="G5285" s="5"/>
      <c r="H5285" s="6"/>
      <c r="AD5285" s="5">
        <v>45147.0</v>
      </c>
      <c r="AE5285" s="6">
        <v>0.125</v>
      </c>
      <c r="AF5285" s="7">
        <v>0.0</v>
      </c>
    </row>
    <row r="5286">
      <c r="G5286" s="5"/>
      <c r="H5286" s="6"/>
      <c r="AD5286" s="5">
        <v>45147.0</v>
      </c>
      <c r="AE5286" s="6">
        <v>0.16666666666666666</v>
      </c>
      <c r="AF5286" s="7">
        <v>0.0</v>
      </c>
    </row>
    <row r="5287">
      <c r="G5287" s="5"/>
      <c r="H5287" s="6"/>
      <c r="AD5287" s="5">
        <v>45147.0</v>
      </c>
      <c r="AE5287" s="6">
        <v>0.20833333333333334</v>
      </c>
      <c r="AF5287" s="7">
        <v>0.0</v>
      </c>
    </row>
    <row r="5288">
      <c r="G5288" s="5"/>
      <c r="H5288" s="6"/>
      <c r="AD5288" s="5">
        <v>45147.0</v>
      </c>
      <c r="AE5288" s="6">
        <v>0.25</v>
      </c>
      <c r="AF5288" s="7">
        <v>4307.16</v>
      </c>
    </row>
    <row r="5289">
      <c r="G5289" s="5"/>
      <c r="H5289" s="6"/>
      <c r="AD5289" s="5">
        <v>45147.0</v>
      </c>
      <c r="AE5289" s="6">
        <v>0.2916666666666667</v>
      </c>
      <c r="AF5289" s="7">
        <v>16528.2</v>
      </c>
    </row>
    <row r="5290">
      <c r="G5290" s="5"/>
      <c r="H5290" s="6"/>
      <c r="AD5290" s="5">
        <v>45147.0</v>
      </c>
      <c r="AE5290" s="6">
        <v>0.3333333333333333</v>
      </c>
      <c r="AF5290" s="7">
        <v>29956.68</v>
      </c>
    </row>
    <row r="5291">
      <c r="G5291" s="5"/>
      <c r="H5291" s="6"/>
      <c r="AD5291" s="5">
        <v>45147.0</v>
      </c>
      <c r="AE5291" s="6">
        <v>0.375</v>
      </c>
      <c r="AF5291" s="7">
        <v>41095.86</v>
      </c>
    </row>
    <row r="5292">
      <c r="G5292" s="5"/>
      <c r="H5292" s="6"/>
      <c r="AD5292" s="5">
        <v>45147.0</v>
      </c>
      <c r="AE5292" s="6">
        <v>0.4166666666666667</v>
      </c>
      <c r="AF5292" s="7">
        <v>48891.96</v>
      </c>
    </row>
    <row r="5293">
      <c r="G5293" s="5"/>
      <c r="H5293" s="6"/>
      <c r="AD5293" s="5">
        <v>45147.0</v>
      </c>
      <c r="AE5293" s="6">
        <v>0.4583333333333333</v>
      </c>
      <c r="AF5293" s="7">
        <v>53488.5</v>
      </c>
    </row>
    <row r="5294">
      <c r="G5294" s="5"/>
      <c r="H5294" s="6"/>
      <c r="AD5294" s="5">
        <v>45147.0</v>
      </c>
      <c r="AE5294" s="6">
        <v>0.5</v>
      </c>
      <c r="AF5294" s="7">
        <v>54484.56</v>
      </c>
    </row>
    <row r="5295">
      <c r="G5295" s="5"/>
      <c r="H5295" s="6"/>
      <c r="AD5295" s="5">
        <v>45147.0</v>
      </c>
      <c r="AE5295" s="6">
        <v>0.5416666666666666</v>
      </c>
      <c r="AF5295" s="7">
        <v>51885.6</v>
      </c>
    </row>
    <row r="5296">
      <c r="G5296" s="5"/>
      <c r="H5296" s="6"/>
      <c r="AD5296" s="5">
        <v>45147.0</v>
      </c>
      <c r="AE5296" s="6">
        <v>0.5833333333333334</v>
      </c>
      <c r="AF5296" s="7">
        <v>46678.32</v>
      </c>
    </row>
    <row r="5297">
      <c r="G5297" s="5"/>
      <c r="H5297" s="6"/>
      <c r="AD5297" s="5">
        <v>45147.0</v>
      </c>
      <c r="AE5297" s="6">
        <v>0.625</v>
      </c>
      <c r="AF5297" s="7">
        <v>38333.88</v>
      </c>
    </row>
    <row r="5298">
      <c r="G5298" s="5"/>
      <c r="H5298" s="6"/>
      <c r="AD5298" s="5">
        <v>45147.0</v>
      </c>
      <c r="AE5298" s="6">
        <v>0.6666666666666666</v>
      </c>
      <c r="AF5298" s="7">
        <v>26850.72</v>
      </c>
    </row>
    <row r="5299">
      <c r="G5299" s="5"/>
      <c r="H5299" s="6"/>
      <c r="AD5299" s="5">
        <v>45147.0</v>
      </c>
      <c r="AE5299" s="6">
        <v>0.7083333333333334</v>
      </c>
      <c r="AF5299" s="7">
        <v>14010.36</v>
      </c>
    </row>
    <row r="5300">
      <c r="G5300" s="5"/>
      <c r="H5300" s="6"/>
      <c r="AD5300" s="5">
        <v>45147.0</v>
      </c>
      <c r="AE5300" s="6">
        <v>0.75</v>
      </c>
      <c r="AF5300" s="7">
        <v>3645.72</v>
      </c>
    </row>
    <row r="5301">
      <c r="G5301" s="5"/>
      <c r="H5301" s="6"/>
      <c r="AD5301" s="5">
        <v>45147.0</v>
      </c>
      <c r="AE5301" s="6">
        <v>0.7916666666666666</v>
      </c>
      <c r="AF5301" s="7">
        <v>0.0</v>
      </c>
    </row>
    <row r="5302">
      <c r="G5302" s="5"/>
      <c r="H5302" s="6"/>
      <c r="AD5302" s="5">
        <v>45147.0</v>
      </c>
      <c r="AE5302" s="6">
        <v>0.8333333333333334</v>
      </c>
      <c r="AF5302" s="7">
        <v>0.0</v>
      </c>
    </row>
    <row r="5303">
      <c r="G5303" s="5"/>
      <c r="H5303" s="6"/>
      <c r="AD5303" s="5">
        <v>45147.0</v>
      </c>
      <c r="AE5303" s="6">
        <v>0.875</v>
      </c>
      <c r="AF5303" s="7">
        <v>0.0</v>
      </c>
    </row>
    <row r="5304">
      <c r="G5304" s="5"/>
      <c r="H5304" s="6"/>
      <c r="AD5304" s="5">
        <v>45147.0</v>
      </c>
      <c r="AE5304" s="6">
        <v>0.9166666666666666</v>
      </c>
      <c r="AF5304" s="7">
        <v>0.0</v>
      </c>
    </row>
    <row r="5305">
      <c r="G5305" s="5"/>
      <c r="H5305" s="6"/>
      <c r="AD5305" s="5">
        <v>45147.0</v>
      </c>
      <c r="AE5305" s="6">
        <v>0.9583333333333334</v>
      </c>
      <c r="AF5305" s="7">
        <v>0.0</v>
      </c>
    </row>
    <row r="5306">
      <c r="G5306" s="5"/>
      <c r="H5306" s="6"/>
      <c r="AD5306" s="5">
        <v>45148.0</v>
      </c>
      <c r="AE5306" s="6">
        <v>0.0</v>
      </c>
      <c r="AF5306" s="7">
        <v>0.0</v>
      </c>
    </row>
    <row r="5307">
      <c r="G5307" s="5"/>
      <c r="H5307" s="6"/>
      <c r="AD5307" s="5">
        <v>45148.0</v>
      </c>
      <c r="AE5307" s="6">
        <v>0.041666666666666664</v>
      </c>
      <c r="AF5307" s="7">
        <v>0.0</v>
      </c>
    </row>
    <row r="5308">
      <c r="G5308" s="5"/>
      <c r="H5308" s="6"/>
      <c r="AD5308" s="5">
        <v>45148.0</v>
      </c>
      <c r="AE5308" s="6">
        <v>0.08333333333333333</v>
      </c>
      <c r="AF5308" s="7">
        <v>0.0</v>
      </c>
    </row>
    <row r="5309">
      <c r="G5309" s="5"/>
      <c r="H5309" s="6"/>
      <c r="AD5309" s="5">
        <v>45148.0</v>
      </c>
      <c r="AE5309" s="6">
        <v>0.125</v>
      </c>
      <c r="AF5309" s="7">
        <v>0.0</v>
      </c>
    </row>
    <row r="5310">
      <c r="G5310" s="5"/>
      <c r="H5310" s="6"/>
      <c r="AD5310" s="5">
        <v>45148.0</v>
      </c>
      <c r="AE5310" s="6">
        <v>0.16666666666666666</v>
      </c>
      <c r="AF5310" s="7">
        <v>0.0</v>
      </c>
    </row>
    <row r="5311">
      <c r="G5311" s="5"/>
      <c r="H5311" s="6"/>
      <c r="AD5311" s="5">
        <v>45148.0</v>
      </c>
      <c r="AE5311" s="6">
        <v>0.20833333333333334</v>
      </c>
      <c r="AF5311" s="7">
        <v>0.0</v>
      </c>
    </row>
    <row r="5312">
      <c r="G5312" s="5"/>
      <c r="H5312" s="6"/>
      <c r="AD5312" s="5">
        <v>45148.0</v>
      </c>
      <c r="AE5312" s="6">
        <v>0.25</v>
      </c>
      <c r="AF5312" s="7">
        <v>4200.3</v>
      </c>
    </row>
    <row r="5313">
      <c r="G5313" s="5"/>
      <c r="H5313" s="6"/>
      <c r="AD5313" s="5">
        <v>45148.0</v>
      </c>
      <c r="AE5313" s="6">
        <v>0.2916666666666667</v>
      </c>
      <c r="AF5313" s="7">
        <v>16172.52</v>
      </c>
    </row>
    <row r="5314">
      <c r="G5314" s="5"/>
      <c r="H5314" s="6"/>
      <c r="AD5314" s="5">
        <v>45148.0</v>
      </c>
      <c r="AE5314" s="6">
        <v>0.3333333333333333</v>
      </c>
      <c r="AF5314" s="7">
        <v>30529.2</v>
      </c>
    </row>
    <row r="5315">
      <c r="G5315" s="5"/>
      <c r="H5315" s="6"/>
      <c r="AD5315" s="5">
        <v>45148.0</v>
      </c>
      <c r="AE5315" s="6">
        <v>0.375</v>
      </c>
      <c r="AF5315" s="7">
        <v>42560.7</v>
      </c>
    </row>
    <row r="5316">
      <c r="G5316" s="5"/>
      <c r="H5316" s="6"/>
      <c r="AD5316" s="5">
        <v>45148.0</v>
      </c>
      <c r="AE5316" s="6">
        <v>0.4166666666666667</v>
      </c>
      <c r="AF5316" s="7">
        <v>50654.76</v>
      </c>
    </row>
    <row r="5317">
      <c r="G5317" s="5"/>
      <c r="H5317" s="6"/>
      <c r="AD5317" s="5">
        <v>45148.0</v>
      </c>
      <c r="AE5317" s="6">
        <v>0.4583333333333333</v>
      </c>
      <c r="AF5317" s="7">
        <v>55607.76</v>
      </c>
    </row>
    <row r="5318">
      <c r="G5318" s="5"/>
      <c r="H5318" s="6"/>
      <c r="AD5318" s="5">
        <v>45148.0</v>
      </c>
      <c r="AE5318" s="6">
        <v>0.5</v>
      </c>
      <c r="AF5318" s="7">
        <v>57429.84</v>
      </c>
    </row>
    <row r="5319">
      <c r="G5319" s="5"/>
      <c r="H5319" s="6"/>
      <c r="AD5319" s="5">
        <v>45148.0</v>
      </c>
      <c r="AE5319" s="6">
        <v>0.5416666666666666</v>
      </c>
      <c r="AF5319" s="7">
        <v>55719.3</v>
      </c>
    </row>
    <row r="5320">
      <c r="G5320" s="5"/>
      <c r="H5320" s="6"/>
      <c r="AD5320" s="5">
        <v>45148.0</v>
      </c>
      <c r="AE5320" s="6">
        <v>0.5833333333333334</v>
      </c>
      <c r="AF5320" s="7">
        <v>50198.46</v>
      </c>
    </row>
    <row r="5321">
      <c r="G5321" s="5"/>
      <c r="H5321" s="6"/>
      <c r="AD5321" s="5">
        <v>45148.0</v>
      </c>
      <c r="AE5321" s="6">
        <v>0.625</v>
      </c>
      <c r="AF5321" s="7">
        <v>39709.8</v>
      </c>
    </row>
    <row r="5322">
      <c r="G5322" s="5"/>
      <c r="H5322" s="6"/>
      <c r="AD5322" s="5">
        <v>45148.0</v>
      </c>
      <c r="AE5322" s="6">
        <v>0.6666666666666666</v>
      </c>
      <c r="AF5322" s="7">
        <v>26961.48</v>
      </c>
    </row>
    <row r="5323">
      <c r="G5323" s="5"/>
      <c r="H5323" s="6"/>
      <c r="AD5323" s="5">
        <v>45148.0</v>
      </c>
      <c r="AE5323" s="6">
        <v>0.7083333333333334</v>
      </c>
      <c r="AF5323" s="7">
        <v>16137.42</v>
      </c>
    </row>
    <row r="5324">
      <c r="G5324" s="5"/>
      <c r="H5324" s="6"/>
      <c r="AD5324" s="5">
        <v>45148.0</v>
      </c>
      <c r="AE5324" s="6">
        <v>0.75</v>
      </c>
      <c r="AF5324" s="7">
        <v>3559.92</v>
      </c>
    </row>
    <row r="5325">
      <c r="G5325" s="5"/>
      <c r="H5325" s="6"/>
      <c r="AD5325" s="5">
        <v>45148.0</v>
      </c>
      <c r="AE5325" s="6">
        <v>0.7916666666666666</v>
      </c>
      <c r="AF5325" s="7">
        <v>0.0</v>
      </c>
    </row>
    <row r="5326">
      <c r="G5326" s="5"/>
      <c r="H5326" s="6"/>
      <c r="AD5326" s="5">
        <v>45148.0</v>
      </c>
      <c r="AE5326" s="6">
        <v>0.8333333333333334</v>
      </c>
      <c r="AF5326" s="7">
        <v>0.0</v>
      </c>
    </row>
    <row r="5327">
      <c r="G5327" s="5"/>
      <c r="H5327" s="6"/>
      <c r="AD5327" s="5">
        <v>45148.0</v>
      </c>
      <c r="AE5327" s="6">
        <v>0.875</v>
      </c>
      <c r="AF5327" s="7">
        <v>0.0</v>
      </c>
    </row>
    <row r="5328">
      <c r="G5328" s="5"/>
      <c r="H5328" s="6"/>
      <c r="AD5328" s="5">
        <v>45148.0</v>
      </c>
      <c r="AE5328" s="6">
        <v>0.9166666666666666</v>
      </c>
      <c r="AF5328" s="7">
        <v>0.0</v>
      </c>
    </row>
    <row r="5329">
      <c r="G5329" s="5"/>
      <c r="H5329" s="6"/>
      <c r="AD5329" s="5">
        <v>45148.0</v>
      </c>
      <c r="AE5329" s="6">
        <v>0.9583333333333334</v>
      </c>
      <c r="AF5329" s="7">
        <v>0.0</v>
      </c>
    </row>
    <row r="5330">
      <c r="G5330" s="5"/>
      <c r="H5330" s="6"/>
      <c r="AD5330" s="5">
        <v>45149.0</v>
      </c>
      <c r="AE5330" s="6">
        <v>0.0</v>
      </c>
      <c r="AF5330" s="7">
        <v>0.0</v>
      </c>
    </row>
    <row r="5331">
      <c r="G5331" s="5"/>
      <c r="H5331" s="6"/>
      <c r="AD5331" s="5">
        <v>45149.0</v>
      </c>
      <c r="AE5331" s="6">
        <v>0.041666666666666664</v>
      </c>
      <c r="AF5331" s="7">
        <v>0.0</v>
      </c>
    </row>
    <row r="5332">
      <c r="G5332" s="5"/>
      <c r="H5332" s="6"/>
      <c r="AD5332" s="5">
        <v>45149.0</v>
      </c>
      <c r="AE5332" s="6">
        <v>0.08333333333333333</v>
      </c>
      <c r="AF5332" s="7">
        <v>0.0</v>
      </c>
    </row>
    <row r="5333">
      <c r="G5333" s="5"/>
      <c r="H5333" s="6"/>
      <c r="AD5333" s="5">
        <v>45149.0</v>
      </c>
      <c r="AE5333" s="6">
        <v>0.125</v>
      </c>
      <c r="AF5333" s="7">
        <v>0.0</v>
      </c>
    </row>
    <row r="5334">
      <c r="G5334" s="5"/>
      <c r="H5334" s="6"/>
      <c r="AD5334" s="5">
        <v>45149.0</v>
      </c>
      <c r="AE5334" s="6">
        <v>0.16666666666666666</v>
      </c>
      <c r="AF5334" s="7">
        <v>0.0</v>
      </c>
    </row>
    <row r="5335">
      <c r="G5335" s="5"/>
      <c r="H5335" s="6"/>
      <c r="AD5335" s="5">
        <v>45149.0</v>
      </c>
      <c r="AE5335" s="6">
        <v>0.20833333333333334</v>
      </c>
      <c r="AF5335" s="7">
        <v>0.0</v>
      </c>
    </row>
    <row r="5336">
      <c r="G5336" s="5"/>
      <c r="H5336" s="6"/>
      <c r="AD5336" s="5">
        <v>45149.0</v>
      </c>
      <c r="AE5336" s="6">
        <v>0.25</v>
      </c>
      <c r="AF5336" s="7">
        <v>4088.76</v>
      </c>
    </row>
    <row r="5337">
      <c r="G5337" s="5"/>
      <c r="H5337" s="6"/>
      <c r="AD5337" s="5">
        <v>45149.0</v>
      </c>
      <c r="AE5337" s="6">
        <v>0.2916666666666667</v>
      </c>
      <c r="AF5337" s="7">
        <v>17321.46</v>
      </c>
    </row>
    <row r="5338">
      <c r="G5338" s="5"/>
      <c r="H5338" s="6"/>
      <c r="AD5338" s="5">
        <v>45149.0</v>
      </c>
      <c r="AE5338" s="6">
        <v>0.3333333333333333</v>
      </c>
      <c r="AF5338" s="7">
        <v>31209.36</v>
      </c>
    </row>
    <row r="5339">
      <c r="G5339" s="5"/>
      <c r="H5339" s="6"/>
      <c r="AD5339" s="5">
        <v>45149.0</v>
      </c>
      <c r="AE5339" s="6">
        <v>0.375</v>
      </c>
      <c r="AF5339" s="7">
        <v>42612.18</v>
      </c>
    </row>
    <row r="5340">
      <c r="G5340" s="5"/>
      <c r="H5340" s="6"/>
      <c r="AD5340" s="5">
        <v>45149.0</v>
      </c>
      <c r="AE5340" s="6">
        <v>0.4166666666666667</v>
      </c>
      <c r="AF5340" s="7">
        <v>49704.72</v>
      </c>
    </row>
    <row r="5341">
      <c r="G5341" s="5"/>
      <c r="H5341" s="6"/>
      <c r="AD5341" s="5">
        <v>45149.0</v>
      </c>
      <c r="AE5341" s="6">
        <v>0.4583333333333333</v>
      </c>
      <c r="AF5341" s="7">
        <v>53777.1</v>
      </c>
    </row>
    <row r="5342">
      <c r="G5342" s="5"/>
      <c r="H5342" s="6"/>
      <c r="AD5342" s="5">
        <v>45149.0</v>
      </c>
      <c r="AE5342" s="6">
        <v>0.5</v>
      </c>
      <c r="AF5342" s="7">
        <v>54343.38</v>
      </c>
    </row>
    <row r="5343">
      <c r="G5343" s="5"/>
      <c r="H5343" s="6"/>
      <c r="AD5343" s="5">
        <v>45149.0</v>
      </c>
      <c r="AE5343" s="6">
        <v>0.5416666666666666</v>
      </c>
      <c r="AF5343" s="7">
        <v>52009.62</v>
      </c>
    </row>
    <row r="5344">
      <c r="G5344" s="5"/>
      <c r="H5344" s="6"/>
      <c r="AD5344" s="5">
        <v>45149.0</v>
      </c>
      <c r="AE5344" s="6">
        <v>0.5833333333333334</v>
      </c>
      <c r="AF5344" s="7">
        <v>47322.6</v>
      </c>
    </row>
    <row r="5345">
      <c r="G5345" s="5"/>
      <c r="H5345" s="6"/>
      <c r="AD5345" s="5">
        <v>45149.0</v>
      </c>
      <c r="AE5345" s="6">
        <v>0.625</v>
      </c>
      <c r="AF5345" s="7">
        <v>39561.6</v>
      </c>
    </row>
    <row r="5346">
      <c r="G5346" s="5"/>
      <c r="H5346" s="6"/>
      <c r="AD5346" s="5">
        <v>45149.0</v>
      </c>
      <c r="AE5346" s="6">
        <v>0.6666666666666666</v>
      </c>
      <c r="AF5346" s="7">
        <v>28225.86</v>
      </c>
    </row>
    <row r="5347">
      <c r="G5347" s="5"/>
      <c r="H5347" s="6"/>
      <c r="AD5347" s="5">
        <v>45149.0</v>
      </c>
      <c r="AE5347" s="6">
        <v>0.7083333333333334</v>
      </c>
      <c r="AF5347" s="7">
        <v>15307.5</v>
      </c>
    </row>
    <row r="5348">
      <c r="G5348" s="5"/>
      <c r="H5348" s="6"/>
      <c r="AD5348" s="5">
        <v>45149.0</v>
      </c>
      <c r="AE5348" s="6">
        <v>0.75</v>
      </c>
      <c r="AF5348" s="7">
        <v>3343.86</v>
      </c>
    </row>
    <row r="5349">
      <c r="G5349" s="5"/>
      <c r="H5349" s="6"/>
      <c r="AD5349" s="5">
        <v>45149.0</v>
      </c>
      <c r="AE5349" s="6">
        <v>0.7916666666666666</v>
      </c>
      <c r="AF5349" s="7">
        <v>0.0</v>
      </c>
    </row>
    <row r="5350">
      <c r="G5350" s="5"/>
      <c r="H5350" s="6"/>
      <c r="AD5350" s="5">
        <v>45149.0</v>
      </c>
      <c r="AE5350" s="6">
        <v>0.8333333333333334</v>
      </c>
      <c r="AF5350" s="7">
        <v>0.0</v>
      </c>
    </row>
    <row r="5351">
      <c r="G5351" s="5"/>
      <c r="H5351" s="6"/>
      <c r="AD5351" s="5">
        <v>45149.0</v>
      </c>
      <c r="AE5351" s="6">
        <v>0.875</v>
      </c>
      <c r="AF5351" s="7">
        <v>0.0</v>
      </c>
    </row>
    <row r="5352">
      <c r="G5352" s="5"/>
      <c r="H5352" s="6"/>
      <c r="AD5352" s="5">
        <v>45149.0</v>
      </c>
      <c r="AE5352" s="6">
        <v>0.9166666666666666</v>
      </c>
      <c r="AF5352" s="7">
        <v>0.0</v>
      </c>
    </row>
    <row r="5353">
      <c r="G5353" s="5"/>
      <c r="H5353" s="6"/>
      <c r="AD5353" s="5">
        <v>45149.0</v>
      </c>
      <c r="AE5353" s="6">
        <v>0.9583333333333334</v>
      </c>
      <c r="AF5353" s="7">
        <v>0.0</v>
      </c>
    </row>
    <row r="5354">
      <c r="G5354" s="5"/>
      <c r="H5354" s="6"/>
      <c r="AD5354" s="5">
        <v>45150.0</v>
      </c>
      <c r="AE5354" s="6">
        <v>0.0</v>
      </c>
      <c r="AF5354" s="7">
        <v>0.0</v>
      </c>
    </row>
    <row r="5355">
      <c r="G5355" s="5"/>
      <c r="H5355" s="6"/>
      <c r="AD5355" s="5">
        <v>45150.0</v>
      </c>
      <c r="AE5355" s="6">
        <v>0.041666666666666664</v>
      </c>
      <c r="AF5355" s="7">
        <v>0.0</v>
      </c>
    </row>
    <row r="5356">
      <c r="G5356" s="5"/>
      <c r="H5356" s="6"/>
      <c r="AD5356" s="5">
        <v>45150.0</v>
      </c>
      <c r="AE5356" s="6">
        <v>0.08333333333333333</v>
      </c>
      <c r="AF5356" s="7">
        <v>0.0</v>
      </c>
    </row>
    <row r="5357">
      <c r="G5357" s="5"/>
      <c r="H5357" s="6"/>
      <c r="AD5357" s="5">
        <v>45150.0</v>
      </c>
      <c r="AE5357" s="6">
        <v>0.125</v>
      </c>
      <c r="AF5357" s="7">
        <v>0.0</v>
      </c>
    </row>
    <row r="5358">
      <c r="G5358" s="5"/>
      <c r="H5358" s="6"/>
      <c r="AD5358" s="5">
        <v>45150.0</v>
      </c>
      <c r="AE5358" s="6">
        <v>0.16666666666666666</v>
      </c>
      <c r="AF5358" s="7">
        <v>0.0</v>
      </c>
    </row>
    <row r="5359">
      <c r="G5359" s="5"/>
      <c r="H5359" s="6"/>
      <c r="AD5359" s="5">
        <v>45150.0</v>
      </c>
      <c r="AE5359" s="6">
        <v>0.20833333333333334</v>
      </c>
      <c r="AF5359" s="7">
        <v>0.0</v>
      </c>
    </row>
    <row r="5360">
      <c r="G5360" s="5"/>
      <c r="H5360" s="6"/>
      <c r="AD5360" s="5">
        <v>45150.0</v>
      </c>
      <c r="AE5360" s="6">
        <v>0.25</v>
      </c>
      <c r="AF5360" s="7">
        <v>3946.8</v>
      </c>
    </row>
    <row r="5361">
      <c r="G5361" s="5"/>
      <c r="H5361" s="6"/>
      <c r="AD5361" s="5">
        <v>45150.0</v>
      </c>
      <c r="AE5361" s="6">
        <v>0.2916666666666667</v>
      </c>
      <c r="AF5361" s="7">
        <v>16404.96</v>
      </c>
    </row>
    <row r="5362">
      <c r="G5362" s="5"/>
      <c r="H5362" s="6"/>
      <c r="AD5362" s="5">
        <v>45150.0</v>
      </c>
      <c r="AE5362" s="6">
        <v>0.3333333333333333</v>
      </c>
      <c r="AF5362" s="7">
        <v>29969.16</v>
      </c>
    </row>
    <row r="5363">
      <c r="G5363" s="5"/>
      <c r="H5363" s="6"/>
      <c r="AD5363" s="5">
        <v>45150.0</v>
      </c>
      <c r="AE5363" s="6">
        <v>0.375</v>
      </c>
      <c r="AF5363" s="7">
        <v>40860.3</v>
      </c>
    </row>
    <row r="5364">
      <c r="G5364" s="5"/>
      <c r="H5364" s="6"/>
      <c r="AD5364" s="5">
        <v>45150.0</v>
      </c>
      <c r="AE5364" s="6">
        <v>0.4166666666666667</v>
      </c>
      <c r="AF5364" s="7">
        <v>48508.98</v>
      </c>
    </row>
    <row r="5365">
      <c r="G5365" s="5"/>
      <c r="H5365" s="6"/>
      <c r="AD5365" s="5">
        <v>45150.0</v>
      </c>
      <c r="AE5365" s="6">
        <v>0.4583333333333333</v>
      </c>
      <c r="AF5365" s="7">
        <v>52913.64</v>
      </c>
    </row>
    <row r="5366">
      <c r="G5366" s="5"/>
      <c r="H5366" s="6"/>
      <c r="AD5366" s="5">
        <v>45150.0</v>
      </c>
      <c r="AE5366" s="6">
        <v>0.5</v>
      </c>
      <c r="AF5366" s="7">
        <v>53253.72</v>
      </c>
    </row>
    <row r="5367">
      <c r="G5367" s="5"/>
      <c r="H5367" s="6"/>
      <c r="AD5367" s="5">
        <v>45150.0</v>
      </c>
      <c r="AE5367" s="6">
        <v>0.5416666666666666</v>
      </c>
      <c r="AF5367" s="7">
        <v>50850.54</v>
      </c>
    </row>
    <row r="5368">
      <c r="G5368" s="5"/>
      <c r="H5368" s="6"/>
      <c r="AD5368" s="5">
        <v>45150.0</v>
      </c>
      <c r="AE5368" s="6">
        <v>0.5833333333333334</v>
      </c>
      <c r="AF5368" s="7">
        <v>46072.26</v>
      </c>
    </row>
    <row r="5369">
      <c r="G5369" s="5"/>
      <c r="H5369" s="6"/>
      <c r="AD5369" s="5">
        <v>45150.0</v>
      </c>
      <c r="AE5369" s="6">
        <v>0.625</v>
      </c>
      <c r="AF5369" s="7">
        <v>35546.94</v>
      </c>
    </row>
    <row r="5370">
      <c r="G5370" s="5"/>
      <c r="H5370" s="6"/>
      <c r="AD5370" s="5">
        <v>45150.0</v>
      </c>
      <c r="AE5370" s="6">
        <v>0.6666666666666666</v>
      </c>
      <c r="AF5370" s="7">
        <v>28516.02</v>
      </c>
    </row>
    <row r="5371">
      <c r="G5371" s="5"/>
      <c r="H5371" s="6"/>
      <c r="AD5371" s="5">
        <v>45150.0</v>
      </c>
      <c r="AE5371" s="6">
        <v>0.7083333333333334</v>
      </c>
      <c r="AF5371" s="7">
        <v>14389.44</v>
      </c>
    </row>
    <row r="5372">
      <c r="G5372" s="5"/>
      <c r="H5372" s="6"/>
      <c r="AD5372" s="5">
        <v>45150.0</v>
      </c>
      <c r="AE5372" s="6">
        <v>0.75</v>
      </c>
      <c r="AF5372" s="7">
        <v>3286.92</v>
      </c>
    </row>
    <row r="5373">
      <c r="G5373" s="5"/>
      <c r="H5373" s="6"/>
      <c r="AD5373" s="5">
        <v>45150.0</v>
      </c>
      <c r="AE5373" s="6">
        <v>0.7916666666666666</v>
      </c>
      <c r="AF5373" s="7">
        <v>0.0</v>
      </c>
    </row>
    <row r="5374">
      <c r="G5374" s="5"/>
      <c r="H5374" s="6"/>
      <c r="AD5374" s="5">
        <v>45150.0</v>
      </c>
      <c r="AE5374" s="6">
        <v>0.8333333333333334</v>
      </c>
      <c r="AF5374" s="7">
        <v>0.0</v>
      </c>
    </row>
    <row r="5375">
      <c r="G5375" s="5"/>
      <c r="H5375" s="6"/>
      <c r="AD5375" s="5">
        <v>45150.0</v>
      </c>
      <c r="AE5375" s="6">
        <v>0.875</v>
      </c>
      <c r="AF5375" s="7">
        <v>0.0</v>
      </c>
    </row>
    <row r="5376">
      <c r="G5376" s="5"/>
      <c r="H5376" s="6"/>
      <c r="AD5376" s="5">
        <v>45150.0</v>
      </c>
      <c r="AE5376" s="6">
        <v>0.9166666666666666</v>
      </c>
      <c r="AF5376" s="7">
        <v>0.0</v>
      </c>
    </row>
    <row r="5377">
      <c r="G5377" s="5"/>
      <c r="H5377" s="6"/>
      <c r="AD5377" s="5">
        <v>45150.0</v>
      </c>
      <c r="AE5377" s="6">
        <v>0.9583333333333334</v>
      </c>
      <c r="AF5377" s="7">
        <v>0.0</v>
      </c>
    </row>
    <row r="5378">
      <c r="G5378" s="5"/>
      <c r="H5378" s="6"/>
      <c r="AD5378" s="5">
        <v>45151.0</v>
      </c>
      <c r="AE5378" s="6">
        <v>0.0</v>
      </c>
      <c r="AF5378" s="7">
        <v>0.0</v>
      </c>
    </row>
    <row r="5379">
      <c r="G5379" s="5"/>
      <c r="H5379" s="6"/>
      <c r="AD5379" s="5">
        <v>45151.0</v>
      </c>
      <c r="AE5379" s="6">
        <v>0.041666666666666664</v>
      </c>
      <c r="AF5379" s="7">
        <v>0.0</v>
      </c>
    </row>
    <row r="5380">
      <c r="G5380" s="5"/>
      <c r="H5380" s="6"/>
      <c r="AD5380" s="5">
        <v>45151.0</v>
      </c>
      <c r="AE5380" s="6">
        <v>0.08333333333333333</v>
      </c>
      <c r="AF5380" s="7">
        <v>0.0</v>
      </c>
    </row>
    <row r="5381">
      <c r="G5381" s="5"/>
      <c r="H5381" s="6"/>
      <c r="AD5381" s="5">
        <v>45151.0</v>
      </c>
      <c r="AE5381" s="6">
        <v>0.125</v>
      </c>
      <c r="AF5381" s="7">
        <v>0.0</v>
      </c>
    </row>
    <row r="5382">
      <c r="G5382" s="5"/>
      <c r="H5382" s="6"/>
      <c r="AD5382" s="5">
        <v>45151.0</v>
      </c>
      <c r="AE5382" s="6">
        <v>0.16666666666666666</v>
      </c>
      <c r="AF5382" s="7">
        <v>0.0</v>
      </c>
    </row>
    <row r="5383">
      <c r="G5383" s="5"/>
      <c r="H5383" s="6"/>
      <c r="AD5383" s="5">
        <v>45151.0</v>
      </c>
      <c r="AE5383" s="6">
        <v>0.20833333333333334</v>
      </c>
      <c r="AF5383" s="7">
        <v>0.0</v>
      </c>
    </row>
    <row r="5384">
      <c r="G5384" s="5"/>
      <c r="H5384" s="6"/>
      <c r="AD5384" s="5">
        <v>45151.0</v>
      </c>
      <c r="AE5384" s="6">
        <v>0.25</v>
      </c>
      <c r="AF5384" s="7">
        <v>3811.86</v>
      </c>
    </row>
    <row r="5385">
      <c r="G5385" s="5"/>
      <c r="H5385" s="6"/>
      <c r="AD5385" s="5">
        <v>45151.0</v>
      </c>
      <c r="AE5385" s="6">
        <v>0.2916666666666667</v>
      </c>
      <c r="AF5385" s="7">
        <v>10526.88</v>
      </c>
    </row>
    <row r="5386">
      <c r="G5386" s="5"/>
      <c r="H5386" s="6"/>
      <c r="AD5386" s="5">
        <v>45151.0</v>
      </c>
      <c r="AE5386" s="6">
        <v>0.3333333333333333</v>
      </c>
      <c r="AF5386" s="7">
        <v>29684.46</v>
      </c>
    </row>
    <row r="5387">
      <c r="G5387" s="5"/>
      <c r="H5387" s="6"/>
      <c r="AD5387" s="5">
        <v>45151.0</v>
      </c>
      <c r="AE5387" s="6">
        <v>0.375</v>
      </c>
      <c r="AF5387" s="7">
        <v>41008.5</v>
      </c>
    </row>
    <row r="5388">
      <c r="G5388" s="5"/>
      <c r="H5388" s="6"/>
      <c r="AD5388" s="5">
        <v>45151.0</v>
      </c>
      <c r="AE5388" s="6">
        <v>0.4166666666666667</v>
      </c>
      <c r="AF5388" s="7">
        <v>49116.6</v>
      </c>
    </row>
    <row r="5389">
      <c r="G5389" s="5"/>
      <c r="H5389" s="6"/>
      <c r="AD5389" s="5">
        <v>45151.0</v>
      </c>
      <c r="AE5389" s="6">
        <v>0.4583333333333333</v>
      </c>
      <c r="AF5389" s="7">
        <v>54426.06</v>
      </c>
    </row>
    <row r="5390">
      <c r="G5390" s="5"/>
      <c r="H5390" s="6"/>
      <c r="AD5390" s="5">
        <v>45151.0</v>
      </c>
      <c r="AE5390" s="6">
        <v>0.5</v>
      </c>
      <c r="AF5390" s="7">
        <v>55721.64</v>
      </c>
    </row>
    <row r="5391">
      <c r="G5391" s="5"/>
      <c r="H5391" s="6"/>
      <c r="AD5391" s="5">
        <v>45151.0</v>
      </c>
      <c r="AE5391" s="6">
        <v>0.5416666666666666</v>
      </c>
      <c r="AF5391" s="7">
        <v>53757.6</v>
      </c>
    </row>
    <row r="5392">
      <c r="G5392" s="5"/>
      <c r="H5392" s="6"/>
      <c r="AD5392" s="5">
        <v>45151.0</v>
      </c>
      <c r="AE5392" s="6">
        <v>0.5833333333333334</v>
      </c>
      <c r="AF5392" s="7">
        <v>46966.14</v>
      </c>
    </row>
    <row r="5393">
      <c r="G5393" s="5"/>
      <c r="H5393" s="6"/>
      <c r="AD5393" s="5">
        <v>45151.0</v>
      </c>
      <c r="AE5393" s="6">
        <v>0.625</v>
      </c>
      <c r="AF5393" s="7">
        <v>21265.92</v>
      </c>
    </row>
    <row r="5394">
      <c r="G5394" s="5"/>
      <c r="H5394" s="6"/>
      <c r="AD5394" s="5">
        <v>45151.0</v>
      </c>
      <c r="AE5394" s="6">
        <v>0.6666666666666666</v>
      </c>
      <c r="AF5394" s="7">
        <v>26815.62</v>
      </c>
    </row>
    <row r="5395">
      <c r="G5395" s="5"/>
      <c r="H5395" s="6"/>
      <c r="AD5395" s="5">
        <v>45151.0</v>
      </c>
      <c r="AE5395" s="6">
        <v>0.7083333333333334</v>
      </c>
      <c r="AF5395" s="7">
        <v>14678.82</v>
      </c>
    </row>
    <row r="5396">
      <c r="G5396" s="5"/>
      <c r="H5396" s="6"/>
      <c r="AD5396" s="5">
        <v>45151.0</v>
      </c>
      <c r="AE5396" s="6">
        <v>0.75</v>
      </c>
      <c r="AF5396" s="7">
        <v>3208.14</v>
      </c>
    </row>
    <row r="5397">
      <c r="G5397" s="5"/>
      <c r="H5397" s="6"/>
      <c r="AD5397" s="5">
        <v>45151.0</v>
      </c>
      <c r="AE5397" s="6">
        <v>0.7916666666666666</v>
      </c>
      <c r="AF5397" s="7">
        <v>0.0</v>
      </c>
    </row>
    <row r="5398">
      <c r="G5398" s="5"/>
      <c r="H5398" s="6"/>
      <c r="AD5398" s="5">
        <v>45151.0</v>
      </c>
      <c r="AE5398" s="6">
        <v>0.8333333333333334</v>
      </c>
      <c r="AF5398" s="7">
        <v>0.0</v>
      </c>
    </row>
    <row r="5399">
      <c r="G5399" s="5"/>
      <c r="H5399" s="6"/>
      <c r="AD5399" s="5">
        <v>45151.0</v>
      </c>
      <c r="AE5399" s="6">
        <v>0.875</v>
      </c>
      <c r="AF5399" s="7">
        <v>0.0</v>
      </c>
    </row>
    <row r="5400">
      <c r="G5400" s="5"/>
      <c r="H5400" s="6"/>
      <c r="AD5400" s="5">
        <v>45151.0</v>
      </c>
      <c r="AE5400" s="6">
        <v>0.9166666666666666</v>
      </c>
      <c r="AF5400" s="7">
        <v>0.0</v>
      </c>
    </row>
    <row r="5401">
      <c r="G5401" s="5"/>
      <c r="H5401" s="6"/>
      <c r="AD5401" s="5">
        <v>45151.0</v>
      </c>
      <c r="AE5401" s="6">
        <v>0.9583333333333334</v>
      </c>
      <c r="AF5401" s="7">
        <v>0.0</v>
      </c>
    </row>
    <row r="5402">
      <c r="G5402" s="5"/>
      <c r="H5402" s="6"/>
      <c r="AD5402" s="5">
        <v>45152.0</v>
      </c>
      <c r="AE5402" s="6">
        <v>0.0</v>
      </c>
      <c r="AF5402" s="7">
        <v>0.0</v>
      </c>
    </row>
    <row r="5403">
      <c r="G5403" s="5"/>
      <c r="H5403" s="6"/>
      <c r="AD5403" s="5">
        <v>45152.0</v>
      </c>
      <c r="AE5403" s="6">
        <v>0.041666666666666664</v>
      </c>
      <c r="AF5403" s="7">
        <v>0.0</v>
      </c>
    </row>
    <row r="5404">
      <c r="G5404" s="5"/>
      <c r="H5404" s="6"/>
      <c r="AD5404" s="5">
        <v>45152.0</v>
      </c>
      <c r="AE5404" s="6">
        <v>0.08333333333333333</v>
      </c>
      <c r="AF5404" s="7">
        <v>0.0</v>
      </c>
    </row>
    <row r="5405">
      <c r="G5405" s="5"/>
      <c r="H5405" s="6"/>
      <c r="AD5405" s="5">
        <v>45152.0</v>
      </c>
      <c r="AE5405" s="6">
        <v>0.125</v>
      </c>
      <c r="AF5405" s="7">
        <v>0.0</v>
      </c>
    </row>
    <row r="5406">
      <c r="G5406" s="5"/>
      <c r="H5406" s="6"/>
      <c r="AD5406" s="5">
        <v>45152.0</v>
      </c>
      <c r="AE5406" s="6">
        <v>0.16666666666666666</v>
      </c>
      <c r="AF5406" s="7">
        <v>0.0</v>
      </c>
    </row>
    <row r="5407">
      <c r="G5407" s="5"/>
      <c r="H5407" s="6"/>
      <c r="AD5407" s="5">
        <v>45152.0</v>
      </c>
      <c r="AE5407" s="6">
        <v>0.20833333333333334</v>
      </c>
      <c r="AF5407" s="7">
        <v>0.0</v>
      </c>
    </row>
    <row r="5408">
      <c r="G5408" s="5"/>
      <c r="H5408" s="6"/>
      <c r="AD5408" s="5">
        <v>45152.0</v>
      </c>
      <c r="AE5408" s="6">
        <v>0.25</v>
      </c>
      <c r="AF5408" s="7">
        <v>3771.3</v>
      </c>
    </row>
    <row r="5409">
      <c r="G5409" s="5"/>
      <c r="H5409" s="6"/>
      <c r="AD5409" s="5">
        <v>45152.0</v>
      </c>
      <c r="AE5409" s="6">
        <v>0.2916666666666667</v>
      </c>
      <c r="AF5409" s="7">
        <v>16480.62</v>
      </c>
    </row>
    <row r="5410">
      <c r="G5410" s="5"/>
      <c r="H5410" s="6"/>
      <c r="AD5410" s="5">
        <v>45152.0</v>
      </c>
      <c r="AE5410" s="6">
        <v>0.3333333333333333</v>
      </c>
      <c r="AF5410" s="7">
        <v>30634.5</v>
      </c>
    </row>
    <row r="5411">
      <c r="G5411" s="5"/>
      <c r="H5411" s="6"/>
      <c r="AD5411" s="5">
        <v>45152.0</v>
      </c>
      <c r="AE5411" s="6">
        <v>0.375</v>
      </c>
      <c r="AF5411" s="7">
        <v>42198.78</v>
      </c>
    </row>
    <row r="5412">
      <c r="G5412" s="5"/>
      <c r="H5412" s="6"/>
      <c r="AD5412" s="5">
        <v>45152.0</v>
      </c>
      <c r="AE5412" s="6">
        <v>0.4166666666666667</v>
      </c>
      <c r="AF5412" s="7">
        <v>50132.94</v>
      </c>
    </row>
    <row r="5413">
      <c r="G5413" s="5"/>
      <c r="H5413" s="6"/>
      <c r="AD5413" s="5">
        <v>45152.0</v>
      </c>
      <c r="AE5413" s="6">
        <v>0.4583333333333333</v>
      </c>
      <c r="AF5413" s="7">
        <v>55117.92</v>
      </c>
    </row>
    <row r="5414">
      <c r="G5414" s="5"/>
      <c r="H5414" s="6"/>
      <c r="AD5414" s="5">
        <v>45152.0</v>
      </c>
      <c r="AE5414" s="6">
        <v>0.5</v>
      </c>
      <c r="AF5414" s="7">
        <v>56656.86</v>
      </c>
    </row>
    <row r="5415">
      <c r="G5415" s="5"/>
      <c r="H5415" s="6"/>
      <c r="AD5415" s="5">
        <v>45152.0</v>
      </c>
      <c r="AE5415" s="6">
        <v>0.5416666666666666</v>
      </c>
      <c r="AF5415" s="7">
        <v>54241.2</v>
      </c>
    </row>
    <row r="5416">
      <c r="G5416" s="5"/>
      <c r="H5416" s="6"/>
      <c r="AD5416" s="5">
        <v>45152.0</v>
      </c>
      <c r="AE5416" s="6">
        <v>0.5833333333333334</v>
      </c>
      <c r="AF5416" s="7">
        <v>49227.36</v>
      </c>
    </row>
    <row r="5417">
      <c r="G5417" s="5"/>
      <c r="H5417" s="6"/>
      <c r="AD5417" s="5">
        <v>45152.0</v>
      </c>
      <c r="AE5417" s="6">
        <v>0.625</v>
      </c>
      <c r="AF5417" s="7">
        <v>40570.92</v>
      </c>
    </row>
    <row r="5418">
      <c r="G5418" s="5"/>
      <c r="H5418" s="6"/>
      <c r="AD5418" s="5">
        <v>45152.0</v>
      </c>
      <c r="AE5418" s="6">
        <v>0.6666666666666666</v>
      </c>
      <c r="AF5418" s="7">
        <v>28519.14</v>
      </c>
    </row>
    <row r="5419">
      <c r="G5419" s="5"/>
      <c r="H5419" s="6"/>
      <c r="AD5419" s="5">
        <v>45152.0</v>
      </c>
      <c r="AE5419" s="6">
        <v>0.7083333333333334</v>
      </c>
      <c r="AF5419" s="7">
        <v>14587.56</v>
      </c>
    </row>
    <row r="5420">
      <c r="G5420" s="5"/>
      <c r="H5420" s="6"/>
      <c r="AD5420" s="5">
        <v>45152.0</v>
      </c>
      <c r="AE5420" s="6">
        <v>0.75</v>
      </c>
      <c r="AF5420" s="7">
        <v>2925.78</v>
      </c>
    </row>
    <row r="5421">
      <c r="G5421" s="5"/>
      <c r="H5421" s="6"/>
      <c r="AD5421" s="5">
        <v>45152.0</v>
      </c>
      <c r="AE5421" s="6">
        <v>0.7916666666666666</v>
      </c>
      <c r="AF5421" s="7">
        <v>0.0</v>
      </c>
    </row>
    <row r="5422">
      <c r="G5422" s="5"/>
      <c r="H5422" s="6"/>
      <c r="AD5422" s="5">
        <v>45152.0</v>
      </c>
      <c r="AE5422" s="6">
        <v>0.8333333333333334</v>
      </c>
      <c r="AF5422" s="7">
        <v>0.0</v>
      </c>
    </row>
    <row r="5423">
      <c r="G5423" s="5"/>
      <c r="H5423" s="6"/>
      <c r="AD5423" s="5">
        <v>45152.0</v>
      </c>
      <c r="AE5423" s="6">
        <v>0.875</v>
      </c>
      <c r="AF5423" s="7">
        <v>0.0</v>
      </c>
    </row>
    <row r="5424">
      <c r="G5424" s="5"/>
      <c r="H5424" s="6"/>
      <c r="AD5424" s="5">
        <v>45152.0</v>
      </c>
      <c r="AE5424" s="6">
        <v>0.9166666666666666</v>
      </c>
      <c r="AF5424" s="7">
        <v>0.0</v>
      </c>
    </row>
    <row r="5425">
      <c r="G5425" s="5"/>
      <c r="H5425" s="6"/>
      <c r="AD5425" s="5">
        <v>45152.0</v>
      </c>
      <c r="AE5425" s="6">
        <v>0.9583333333333334</v>
      </c>
      <c r="AF5425" s="7">
        <v>0.0</v>
      </c>
    </row>
    <row r="5426">
      <c r="G5426" s="5"/>
      <c r="H5426" s="6"/>
      <c r="AD5426" s="5">
        <v>45153.0</v>
      </c>
      <c r="AE5426" s="6">
        <v>0.0</v>
      </c>
      <c r="AF5426" s="7">
        <v>0.0</v>
      </c>
    </row>
    <row r="5427">
      <c r="G5427" s="5"/>
      <c r="H5427" s="6"/>
      <c r="AD5427" s="5">
        <v>45153.0</v>
      </c>
      <c r="AE5427" s="6">
        <v>0.041666666666666664</v>
      </c>
      <c r="AF5427" s="7">
        <v>0.0</v>
      </c>
    </row>
    <row r="5428">
      <c r="G5428" s="5"/>
      <c r="H5428" s="6"/>
      <c r="AD5428" s="5">
        <v>45153.0</v>
      </c>
      <c r="AE5428" s="6">
        <v>0.08333333333333333</v>
      </c>
      <c r="AF5428" s="7">
        <v>0.0</v>
      </c>
    </row>
    <row r="5429">
      <c r="G5429" s="5"/>
      <c r="H5429" s="6"/>
      <c r="AD5429" s="5">
        <v>45153.0</v>
      </c>
      <c r="AE5429" s="6">
        <v>0.125</v>
      </c>
      <c r="AF5429" s="7">
        <v>0.0</v>
      </c>
    </row>
    <row r="5430">
      <c r="G5430" s="5"/>
      <c r="H5430" s="6"/>
      <c r="AD5430" s="5">
        <v>45153.0</v>
      </c>
      <c r="AE5430" s="6">
        <v>0.16666666666666666</v>
      </c>
      <c r="AF5430" s="7">
        <v>0.0</v>
      </c>
    </row>
    <row r="5431">
      <c r="G5431" s="5"/>
      <c r="H5431" s="6"/>
      <c r="AD5431" s="5">
        <v>45153.0</v>
      </c>
      <c r="AE5431" s="6">
        <v>0.20833333333333334</v>
      </c>
      <c r="AF5431" s="7">
        <v>0.0</v>
      </c>
    </row>
    <row r="5432">
      <c r="G5432" s="5"/>
      <c r="H5432" s="6"/>
      <c r="AD5432" s="5">
        <v>45153.0</v>
      </c>
      <c r="AE5432" s="6">
        <v>0.25</v>
      </c>
      <c r="AF5432" s="7">
        <v>3096.6</v>
      </c>
    </row>
    <row r="5433">
      <c r="G5433" s="5"/>
      <c r="H5433" s="6"/>
      <c r="AD5433" s="5">
        <v>45153.0</v>
      </c>
      <c r="AE5433" s="6">
        <v>0.2916666666666667</v>
      </c>
      <c r="AF5433" s="7">
        <v>9421.62</v>
      </c>
    </row>
    <row r="5434">
      <c r="G5434" s="5"/>
      <c r="H5434" s="6"/>
      <c r="AD5434" s="5">
        <v>45153.0</v>
      </c>
      <c r="AE5434" s="6">
        <v>0.3333333333333333</v>
      </c>
      <c r="AF5434" s="7">
        <v>21378.24</v>
      </c>
    </row>
    <row r="5435">
      <c r="G5435" s="5"/>
      <c r="H5435" s="6"/>
      <c r="AD5435" s="5">
        <v>45153.0</v>
      </c>
      <c r="AE5435" s="6">
        <v>0.375</v>
      </c>
      <c r="AF5435" s="7">
        <v>40839.24</v>
      </c>
    </row>
    <row r="5436">
      <c r="G5436" s="5"/>
      <c r="H5436" s="6"/>
      <c r="AD5436" s="5">
        <v>45153.0</v>
      </c>
      <c r="AE5436" s="6">
        <v>0.4166666666666667</v>
      </c>
      <c r="AF5436" s="7">
        <v>48781.2</v>
      </c>
    </row>
    <row r="5437">
      <c r="G5437" s="5"/>
      <c r="H5437" s="6"/>
      <c r="AD5437" s="5">
        <v>45153.0</v>
      </c>
      <c r="AE5437" s="6">
        <v>0.4583333333333333</v>
      </c>
      <c r="AF5437" s="7">
        <v>53483.82</v>
      </c>
    </row>
    <row r="5438">
      <c r="G5438" s="5"/>
      <c r="H5438" s="6"/>
      <c r="AD5438" s="5">
        <v>45153.0</v>
      </c>
      <c r="AE5438" s="6">
        <v>0.5</v>
      </c>
      <c r="AF5438" s="7">
        <v>54783.3</v>
      </c>
    </row>
    <row r="5439">
      <c r="G5439" s="5"/>
      <c r="H5439" s="6"/>
      <c r="AD5439" s="5">
        <v>45153.0</v>
      </c>
      <c r="AE5439" s="6">
        <v>0.5416666666666666</v>
      </c>
      <c r="AF5439" s="7">
        <v>53577.42</v>
      </c>
    </row>
    <row r="5440">
      <c r="G5440" s="5"/>
      <c r="H5440" s="6"/>
      <c r="AD5440" s="5">
        <v>45153.0</v>
      </c>
      <c r="AE5440" s="6">
        <v>0.5833333333333334</v>
      </c>
      <c r="AF5440" s="7">
        <v>48356.88</v>
      </c>
    </row>
    <row r="5441">
      <c r="G5441" s="5"/>
      <c r="H5441" s="6"/>
      <c r="AD5441" s="5">
        <v>45153.0</v>
      </c>
      <c r="AE5441" s="6">
        <v>0.625</v>
      </c>
      <c r="AF5441" s="7">
        <v>40242.54</v>
      </c>
    </row>
    <row r="5442">
      <c r="G5442" s="5"/>
      <c r="H5442" s="6"/>
      <c r="AD5442" s="5">
        <v>45153.0</v>
      </c>
      <c r="AE5442" s="6">
        <v>0.6666666666666666</v>
      </c>
      <c r="AF5442" s="7">
        <v>28370.16</v>
      </c>
    </row>
    <row r="5443">
      <c r="G5443" s="5"/>
      <c r="H5443" s="6"/>
      <c r="AD5443" s="5">
        <v>45153.0</v>
      </c>
      <c r="AE5443" s="6">
        <v>0.7083333333333334</v>
      </c>
      <c r="AF5443" s="7">
        <v>14795.82</v>
      </c>
    </row>
    <row r="5444">
      <c r="G5444" s="5"/>
      <c r="H5444" s="6"/>
      <c r="AD5444" s="5">
        <v>45153.0</v>
      </c>
      <c r="AE5444" s="6">
        <v>0.75</v>
      </c>
      <c r="AF5444" s="7">
        <v>2920.32</v>
      </c>
    </row>
    <row r="5445">
      <c r="G5445" s="5"/>
      <c r="H5445" s="6"/>
      <c r="AD5445" s="5">
        <v>45153.0</v>
      </c>
      <c r="AE5445" s="6">
        <v>0.7916666666666666</v>
      </c>
      <c r="AF5445" s="7">
        <v>0.0</v>
      </c>
    </row>
    <row r="5446">
      <c r="G5446" s="5"/>
      <c r="H5446" s="6"/>
      <c r="AD5446" s="5">
        <v>45153.0</v>
      </c>
      <c r="AE5446" s="6">
        <v>0.8333333333333334</v>
      </c>
      <c r="AF5446" s="7">
        <v>0.0</v>
      </c>
    </row>
    <row r="5447">
      <c r="G5447" s="5"/>
      <c r="H5447" s="6"/>
      <c r="AD5447" s="5">
        <v>45153.0</v>
      </c>
      <c r="AE5447" s="6">
        <v>0.875</v>
      </c>
      <c r="AF5447" s="7">
        <v>0.0</v>
      </c>
    </row>
    <row r="5448">
      <c r="G5448" s="5"/>
      <c r="H5448" s="6"/>
      <c r="AD5448" s="5">
        <v>45153.0</v>
      </c>
      <c r="AE5448" s="6">
        <v>0.9166666666666666</v>
      </c>
      <c r="AF5448" s="7">
        <v>0.0</v>
      </c>
    </row>
    <row r="5449">
      <c r="G5449" s="5"/>
      <c r="H5449" s="6"/>
      <c r="AD5449" s="5">
        <v>45153.0</v>
      </c>
      <c r="AE5449" s="6">
        <v>0.9583333333333334</v>
      </c>
      <c r="AF5449" s="7">
        <v>0.0</v>
      </c>
    </row>
    <row r="5450">
      <c r="G5450" s="5"/>
      <c r="H5450" s="6"/>
      <c r="AD5450" s="5">
        <v>45154.0</v>
      </c>
      <c r="AE5450" s="6">
        <v>0.0</v>
      </c>
      <c r="AF5450" s="7">
        <v>0.0</v>
      </c>
    </row>
    <row r="5451">
      <c r="G5451" s="5"/>
      <c r="H5451" s="6"/>
      <c r="AD5451" s="5">
        <v>45154.0</v>
      </c>
      <c r="AE5451" s="6">
        <v>0.041666666666666664</v>
      </c>
      <c r="AF5451" s="7">
        <v>0.0</v>
      </c>
    </row>
    <row r="5452">
      <c r="G5452" s="5"/>
      <c r="H5452" s="6"/>
      <c r="AD5452" s="5">
        <v>45154.0</v>
      </c>
      <c r="AE5452" s="6">
        <v>0.08333333333333333</v>
      </c>
      <c r="AF5452" s="7">
        <v>0.0</v>
      </c>
    </row>
    <row r="5453">
      <c r="G5453" s="5"/>
      <c r="H5453" s="6"/>
      <c r="AD5453" s="5">
        <v>45154.0</v>
      </c>
      <c r="AE5453" s="6">
        <v>0.125</v>
      </c>
      <c r="AF5453" s="7">
        <v>0.0</v>
      </c>
    </row>
    <row r="5454">
      <c r="G5454" s="5"/>
      <c r="H5454" s="6"/>
      <c r="AD5454" s="5">
        <v>45154.0</v>
      </c>
      <c r="AE5454" s="6">
        <v>0.16666666666666666</v>
      </c>
      <c r="AF5454" s="7">
        <v>0.0</v>
      </c>
    </row>
    <row r="5455">
      <c r="G5455" s="5"/>
      <c r="H5455" s="6"/>
      <c r="AD5455" s="5">
        <v>45154.0</v>
      </c>
      <c r="AE5455" s="6">
        <v>0.20833333333333334</v>
      </c>
      <c r="AF5455" s="7">
        <v>0.0</v>
      </c>
    </row>
    <row r="5456">
      <c r="G5456" s="5"/>
      <c r="H5456" s="6"/>
      <c r="AD5456" s="5">
        <v>45154.0</v>
      </c>
      <c r="AE5456" s="6">
        <v>0.25</v>
      </c>
      <c r="AF5456" s="7">
        <v>2054.52</v>
      </c>
    </row>
    <row r="5457">
      <c r="G5457" s="5"/>
      <c r="H5457" s="6"/>
      <c r="AD5457" s="5">
        <v>45154.0</v>
      </c>
      <c r="AE5457" s="6">
        <v>0.2916666666666667</v>
      </c>
      <c r="AF5457" s="7">
        <v>10166.52</v>
      </c>
    </row>
    <row r="5458">
      <c r="G5458" s="5"/>
      <c r="H5458" s="6"/>
      <c r="AD5458" s="5">
        <v>45154.0</v>
      </c>
      <c r="AE5458" s="6">
        <v>0.3333333333333333</v>
      </c>
      <c r="AF5458" s="7">
        <v>24083.28</v>
      </c>
    </row>
    <row r="5459">
      <c r="G5459" s="5"/>
      <c r="H5459" s="6"/>
      <c r="AD5459" s="5">
        <v>45154.0</v>
      </c>
      <c r="AE5459" s="6">
        <v>0.375</v>
      </c>
      <c r="AF5459" s="7">
        <v>40462.5</v>
      </c>
    </row>
    <row r="5460">
      <c r="G5460" s="5"/>
      <c r="H5460" s="6"/>
      <c r="AD5460" s="5">
        <v>45154.0</v>
      </c>
      <c r="AE5460" s="6">
        <v>0.4166666666666667</v>
      </c>
      <c r="AF5460" s="7">
        <v>48634.56</v>
      </c>
    </row>
    <row r="5461">
      <c r="G5461" s="5"/>
      <c r="H5461" s="6"/>
      <c r="AD5461" s="5">
        <v>45154.0</v>
      </c>
      <c r="AE5461" s="6">
        <v>0.4583333333333333</v>
      </c>
      <c r="AF5461" s="7">
        <v>53211.6</v>
      </c>
    </row>
    <row r="5462">
      <c r="G5462" s="5"/>
      <c r="H5462" s="6"/>
      <c r="AD5462" s="5">
        <v>45154.0</v>
      </c>
      <c r="AE5462" s="6">
        <v>0.5</v>
      </c>
      <c r="AF5462" s="7">
        <v>54724.8</v>
      </c>
    </row>
    <row r="5463">
      <c r="G5463" s="5"/>
      <c r="H5463" s="6"/>
      <c r="AD5463" s="5">
        <v>45154.0</v>
      </c>
      <c r="AE5463" s="6">
        <v>0.5416666666666666</v>
      </c>
      <c r="AF5463" s="7">
        <v>53021.28</v>
      </c>
    </row>
    <row r="5464">
      <c r="G5464" s="5"/>
      <c r="H5464" s="6"/>
      <c r="AD5464" s="5">
        <v>45154.0</v>
      </c>
      <c r="AE5464" s="6">
        <v>0.5833333333333334</v>
      </c>
      <c r="AF5464" s="7">
        <v>44508.36</v>
      </c>
    </row>
    <row r="5465">
      <c r="G5465" s="5"/>
      <c r="H5465" s="6"/>
      <c r="AD5465" s="5">
        <v>45154.0</v>
      </c>
      <c r="AE5465" s="6">
        <v>0.625</v>
      </c>
      <c r="AF5465" s="7">
        <v>38999.22</v>
      </c>
    </row>
    <row r="5466">
      <c r="G5466" s="5"/>
      <c r="H5466" s="6"/>
      <c r="AD5466" s="5">
        <v>45154.0</v>
      </c>
      <c r="AE5466" s="6">
        <v>0.6666666666666666</v>
      </c>
      <c r="AF5466" s="7">
        <v>27502.02</v>
      </c>
    </row>
    <row r="5467">
      <c r="G5467" s="5"/>
      <c r="H5467" s="6"/>
      <c r="AD5467" s="5">
        <v>45154.0</v>
      </c>
      <c r="AE5467" s="6">
        <v>0.7083333333333334</v>
      </c>
      <c r="AF5467" s="7">
        <v>14096.94</v>
      </c>
    </row>
    <row r="5468">
      <c r="G5468" s="5"/>
      <c r="H5468" s="6"/>
      <c r="AD5468" s="5">
        <v>45154.0</v>
      </c>
      <c r="AE5468" s="6">
        <v>0.75</v>
      </c>
      <c r="AF5468" s="7">
        <v>2721.42</v>
      </c>
    </row>
    <row r="5469">
      <c r="G5469" s="5"/>
      <c r="H5469" s="6"/>
      <c r="AD5469" s="5">
        <v>45154.0</v>
      </c>
      <c r="AE5469" s="6">
        <v>0.7916666666666666</v>
      </c>
      <c r="AF5469" s="7">
        <v>0.0</v>
      </c>
    </row>
    <row r="5470">
      <c r="G5470" s="5"/>
      <c r="H5470" s="6"/>
      <c r="AD5470" s="5">
        <v>45154.0</v>
      </c>
      <c r="AE5470" s="6">
        <v>0.8333333333333334</v>
      </c>
      <c r="AF5470" s="7">
        <v>0.0</v>
      </c>
    </row>
    <row r="5471">
      <c r="G5471" s="5"/>
      <c r="H5471" s="6"/>
      <c r="AD5471" s="5">
        <v>45154.0</v>
      </c>
      <c r="AE5471" s="6">
        <v>0.875</v>
      </c>
      <c r="AF5471" s="7">
        <v>0.0</v>
      </c>
    </row>
    <row r="5472">
      <c r="G5472" s="5"/>
      <c r="H5472" s="6"/>
      <c r="AD5472" s="5">
        <v>45154.0</v>
      </c>
      <c r="AE5472" s="6">
        <v>0.9166666666666666</v>
      </c>
      <c r="AF5472" s="7">
        <v>0.0</v>
      </c>
    </row>
    <row r="5473">
      <c r="G5473" s="5"/>
      <c r="H5473" s="6"/>
      <c r="AD5473" s="5">
        <v>45154.0</v>
      </c>
      <c r="AE5473" s="6">
        <v>0.9583333333333334</v>
      </c>
      <c r="AF5473" s="7">
        <v>0.0</v>
      </c>
    </row>
    <row r="5474">
      <c r="G5474" s="5"/>
      <c r="H5474" s="6"/>
      <c r="AD5474" s="5">
        <v>45155.0</v>
      </c>
      <c r="AE5474" s="6">
        <v>0.0</v>
      </c>
      <c r="AF5474" s="7">
        <v>0.0</v>
      </c>
    </row>
    <row r="5475">
      <c r="G5475" s="5"/>
      <c r="H5475" s="6"/>
      <c r="AD5475" s="5">
        <v>45155.0</v>
      </c>
      <c r="AE5475" s="6">
        <v>0.041666666666666664</v>
      </c>
      <c r="AF5475" s="7">
        <v>0.0</v>
      </c>
    </row>
    <row r="5476">
      <c r="G5476" s="5"/>
      <c r="H5476" s="6"/>
      <c r="AD5476" s="5">
        <v>45155.0</v>
      </c>
      <c r="AE5476" s="6">
        <v>0.08333333333333333</v>
      </c>
      <c r="AF5476" s="7">
        <v>0.0</v>
      </c>
    </row>
    <row r="5477">
      <c r="G5477" s="5"/>
      <c r="H5477" s="6"/>
      <c r="AD5477" s="5">
        <v>45155.0</v>
      </c>
      <c r="AE5477" s="6">
        <v>0.125</v>
      </c>
      <c r="AF5477" s="7">
        <v>0.0</v>
      </c>
    </row>
    <row r="5478">
      <c r="G5478" s="5"/>
      <c r="H5478" s="6"/>
      <c r="AD5478" s="5">
        <v>45155.0</v>
      </c>
      <c r="AE5478" s="6">
        <v>0.16666666666666666</v>
      </c>
      <c r="AF5478" s="7">
        <v>0.0</v>
      </c>
    </row>
    <row r="5479">
      <c r="G5479" s="5"/>
      <c r="H5479" s="6"/>
      <c r="AD5479" s="5">
        <v>45155.0</v>
      </c>
      <c r="AE5479" s="6">
        <v>0.20833333333333334</v>
      </c>
      <c r="AF5479" s="7">
        <v>0.0</v>
      </c>
    </row>
    <row r="5480">
      <c r="G5480" s="5"/>
      <c r="H5480" s="6"/>
      <c r="AD5480" s="5">
        <v>45155.0</v>
      </c>
      <c r="AE5480" s="6">
        <v>0.25</v>
      </c>
      <c r="AF5480" s="7">
        <v>3485.04</v>
      </c>
    </row>
    <row r="5481">
      <c r="G5481" s="5"/>
      <c r="H5481" s="6"/>
      <c r="AD5481" s="5">
        <v>45155.0</v>
      </c>
      <c r="AE5481" s="6">
        <v>0.2916666666666667</v>
      </c>
      <c r="AF5481" s="7">
        <v>14738.1</v>
      </c>
    </row>
    <row r="5482">
      <c r="G5482" s="5"/>
      <c r="H5482" s="6"/>
      <c r="AD5482" s="5">
        <v>45155.0</v>
      </c>
      <c r="AE5482" s="6">
        <v>0.3333333333333333</v>
      </c>
      <c r="AF5482" s="7">
        <v>29509.74</v>
      </c>
    </row>
    <row r="5483">
      <c r="G5483" s="5"/>
      <c r="H5483" s="6"/>
      <c r="AD5483" s="5">
        <v>45155.0</v>
      </c>
      <c r="AE5483" s="6">
        <v>0.375</v>
      </c>
      <c r="AF5483" s="7">
        <v>40566.24</v>
      </c>
    </row>
    <row r="5484">
      <c r="G5484" s="5"/>
      <c r="H5484" s="6"/>
      <c r="AD5484" s="5">
        <v>45155.0</v>
      </c>
      <c r="AE5484" s="6">
        <v>0.4166666666666667</v>
      </c>
      <c r="AF5484" s="7">
        <v>48735.96</v>
      </c>
    </row>
    <row r="5485">
      <c r="G5485" s="5"/>
      <c r="H5485" s="6"/>
      <c r="AD5485" s="5">
        <v>45155.0</v>
      </c>
      <c r="AE5485" s="6">
        <v>0.4583333333333333</v>
      </c>
      <c r="AF5485" s="7">
        <v>53419.08</v>
      </c>
    </row>
    <row r="5486">
      <c r="G5486" s="5"/>
      <c r="H5486" s="6"/>
      <c r="AD5486" s="5">
        <v>45155.0</v>
      </c>
      <c r="AE5486" s="6">
        <v>0.5</v>
      </c>
      <c r="AF5486" s="7">
        <v>54576.6</v>
      </c>
    </row>
    <row r="5487">
      <c r="G5487" s="5"/>
      <c r="H5487" s="6"/>
      <c r="AD5487" s="5">
        <v>45155.0</v>
      </c>
      <c r="AE5487" s="6">
        <v>0.5416666666666666</v>
      </c>
      <c r="AF5487" s="7">
        <v>39290.16</v>
      </c>
    </row>
    <row r="5488">
      <c r="G5488" s="5"/>
      <c r="H5488" s="6"/>
      <c r="AD5488" s="5">
        <v>45155.0</v>
      </c>
      <c r="AE5488" s="6">
        <v>0.5833333333333334</v>
      </c>
      <c r="AF5488" s="7">
        <v>47610.42</v>
      </c>
    </row>
    <row r="5489">
      <c r="G5489" s="5"/>
      <c r="H5489" s="6"/>
      <c r="AD5489" s="5">
        <v>45155.0</v>
      </c>
      <c r="AE5489" s="6">
        <v>0.625</v>
      </c>
      <c r="AF5489" s="7">
        <v>39193.44</v>
      </c>
    </row>
    <row r="5490">
      <c r="G5490" s="5"/>
      <c r="H5490" s="6"/>
      <c r="AD5490" s="5">
        <v>45155.0</v>
      </c>
      <c r="AE5490" s="6">
        <v>0.6666666666666666</v>
      </c>
      <c r="AF5490" s="7">
        <v>27580.02</v>
      </c>
    </row>
    <row r="5491">
      <c r="G5491" s="5"/>
      <c r="H5491" s="6"/>
      <c r="AD5491" s="5">
        <v>45155.0</v>
      </c>
      <c r="AE5491" s="6">
        <v>0.7083333333333334</v>
      </c>
      <c r="AF5491" s="7">
        <v>14153.1</v>
      </c>
    </row>
    <row r="5492">
      <c r="G5492" s="5"/>
      <c r="H5492" s="6"/>
      <c r="AD5492" s="5">
        <v>45155.0</v>
      </c>
      <c r="AE5492" s="6">
        <v>0.75</v>
      </c>
      <c r="AF5492" s="7">
        <v>2629.38</v>
      </c>
    </row>
    <row r="5493">
      <c r="G5493" s="5"/>
      <c r="H5493" s="6"/>
      <c r="AD5493" s="5">
        <v>45155.0</v>
      </c>
      <c r="AE5493" s="6">
        <v>0.7916666666666666</v>
      </c>
      <c r="AF5493" s="7">
        <v>0.0</v>
      </c>
    </row>
    <row r="5494">
      <c r="G5494" s="5"/>
      <c r="H5494" s="6"/>
      <c r="AD5494" s="5">
        <v>45155.0</v>
      </c>
      <c r="AE5494" s="6">
        <v>0.8333333333333334</v>
      </c>
      <c r="AF5494" s="7">
        <v>0.0</v>
      </c>
    </row>
    <row r="5495">
      <c r="G5495" s="5"/>
      <c r="H5495" s="6"/>
      <c r="AD5495" s="5">
        <v>45155.0</v>
      </c>
      <c r="AE5495" s="6">
        <v>0.875</v>
      </c>
      <c r="AF5495" s="7">
        <v>0.0</v>
      </c>
    </row>
    <row r="5496">
      <c r="G5496" s="5"/>
      <c r="H5496" s="6"/>
      <c r="AD5496" s="5">
        <v>45155.0</v>
      </c>
      <c r="AE5496" s="6">
        <v>0.9166666666666666</v>
      </c>
      <c r="AF5496" s="7">
        <v>0.0</v>
      </c>
    </row>
    <row r="5497">
      <c r="G5497" s="5"/>
      <c r="H5497" s="6"/>
      <c r="AD5497" s="5">
        <v>45155.0</v>
      </c>
      <c r="AE5497" s="6">
        <v>0.9583333333333334</v>
      </c>
      <c r="AF5497" s="7">
        <v>0.0</v>
      </c>
    </row>
    <row r="5498">
      <c r="G5498" s="5"/>
      <c r="H5498" s="6"/>
      <c r="AD5498" s="5">
        <v>45156.0</v>
      </c>
      <c r="AE5498" s="6">
        <v>0.0</v>
      </c>
      <c r="AF5498" s="7">
        <v>0.0</v>
      </c>
    </row>
    <row r="5499">
      <c r="G5499" s="5"/>
      <c r="H5499" s="6"/>
      <c r="AD5499" s="5">
        <v>45156.0</v>
      </c>
      <c r="AE5499" s="6">
        <v>0.041666666666666664</v>
      </c>
      <c r="AF5499" s="7">
        <v>0.0</v>
      </c>
    </row>
    <row r="5500">
      <c r="G5500" s="5"/>
      <c r="H5500" s="6"/>
      <c r="AD5500" s="5">
        <v>45156.0</v>
      </c>
      <c r="AE5500" s="6">
        <v>0.08333333333333333</v>
      </c>
      <c r="AF5500" s="7">
        <v>0.0</v>
      </c>
    </row>
    <row r="5501">
      <c r="G5501" s="5"/>
      <c r="H5501" s="6"/>
      <c r="AD5501" s="5">
        <v>45156.0</v>
      </c>
      <c r="AE5501" s="6">
        <v>0.125</v>
      </c>
      <c r="AF5501" s="7">
        <v>0.0</v>
      </c>
    </row>
    <row r="5502">
      <c r="G5502" s="5"/>
      <c r="H5502" s="6"/>
      <c r="AD5502" s="5">
        <v>45156.0</v>
      </c>
      <c r="AE5502" s="6">
        <v>0.16666666666666666</v>
      </c>
      <c r="AF5502" s="7">
        <v>0.0</v>
      </c>
    </row>
    <row r="5503">
      <c r="G5503" s="5"/>
      <c r="H5503" s="6"/>
      <c r="AD5503" s="5">
        <v>45156.0</v>
      </c>
      <c r="AE5503" s="6">
        <v>0.20833333333333334</v>
      </c>
      <c r="AF5503" s="7">
        <v>0.0</v>
      </c>
    </row>
    <row r="5504">
      <c r="G5504" s="5"/>
      <c r="H5504" s="6"/>
      <c r="AD5504" s="5">
        <v>45156.0</v>
      </c>
      <c r="AE5504" s="6">
        <v>0.25</v>
      </c>
      <c r="AF5504" s="7">
        <v>3408.6</v>
      </c>
    </row>
    <row r="5505">
      <c r="G5505" s="5"/>
      <c r="H5505" s="6"/>
      <c r="AD5505" s="5">
        <v>45156.0</v>
      </c>
      <c r="AE5505" s="6">
        <v>0.2916666666666667</v>
      </c>
      <c r="AF5505" s="7">
        <v>14967.42</v>
      </c>
    </row>
    <row r="5506">
      <c r="G5506" s="5"/>
      <c r="H5506" s="6"/>
      <c r="AD5506" s="5">
        <v>45156.0</v>
      </c>
      <c r="AE5506" s="6">
        <v>0.3333333333333333</v>
      </c>
      <c r="AF5506" s="7">
        <v>25398.36</v>
      </c>
    </row>
    <row r="5507">
      <c r="G5507" s="5"/>
      <c r="H5507" s="6"/>
      <c r="AD5507" s="5">
        <v>45156.0</v>
      </c>
      <c r="AE5507" s="6">
        <v>0.375</v>
      </c>
      <c r="AF5507" s="7">
        <v>40498.38</v>
      </c>
    </row>
    <row r="5508">
      <c r="G5508" s="5"/>
      <c r="H5508" s="6"/>
      <c r="AD5508" s="5">
        <v>45156.0</v>
      </c>
      <c r="AE5508" s="6">
        <v>0.4166666666666667</v>
      </c>
      <c r="AF5508" s="7">
        <v>48144.72</v>
      </c>
    </row>
    <row r="5509">
      <c r="G5509" s="5"/>
      <c r="H5509" s="6"/>
      <c r="AD5509" s="5">
        <v>45156.0</v>
      </c>
      <c r="AE5509" s="6">
        <v>0.4583333333333333</v>
      </c>
      <c r="AF5509" s="7">
        <v>51040.86</v>
      </c>
    </row>
    <row r="5510">
      <c r="G5510" s="5"/>
      <c r="H5510" s="6"/>
      <c r="AD5510" s="5">
        <v>45156.0</v>
      </c>
      <c r="AE5510" s="6">
        <v>0.5</v>
      </c>
      <c r="AF5510" s="7">
        <v>51682.02</v>
      </c>
    </row>
    <row r="5511">
      <c r="G5511" s="5"/>
      <c r="H5511" s="6"/>
      <c r="AD5511" s="5">
        <v>45156.0</v>
      </c>
      <c r="AE5511" s="6">
        <v>0.5416666666666666</v>
      </c>
      <c r="AF5511" s="7">
        <v>49689.12</v>
      </c>
    </row>
    <row r="5512">
      <c r="G5512" s="5"/>
      <c r="H5512" s="6"/>
      <c r="AD5512" s="5">
        <v>45156.0</v>
      </c>
      <c r="AE5512" s="6">
        <v>0.5833333333333334</v>
      </c>
      <c r="AF5512" s="7">
        <v>25281.36</v>
      </c>
    </row>
    <row r="5513">
      <c r="G5513" s="5"/>
      <c r="H5513" s="6"/>
      <c r="AD5513" s="5">
        <v>45156.0</v>
      </c>
      <c r="AE5513" s="6">
        <v>0.625</v>
      </c>
      <c r="AF5513" s="7">
        <v>32536.92</v>
      </c>
    </row>
    <row r="5514">
      <c r="G5514" s="5"/>
      <c r="H5514" s="6"/>
      <c r="AD5514" s="5">
        <v>45156.0</v>
      </c>
      <c r="AE5514" s="6">
        <v>0.6666666666666666</v>
      </c>
      <c r="AF5514" s="7">
        <v>9082.32</v>
      </c>
    </row>
    <row r="5515">
      <c r="G5515" s="5"/>
      <c r="H5515" s="6"/>
      <c r="AD5515" s="5">
        <v>45156.0</v>
      </c>
      <c r="AE5515" s="6">
        <v>0.7083333333333334</v>
      </c>
      <c r="AF5515" s="7">
        <v>10405.2</v>
      </c>
    </row>
    <row r="5516">
      <c r="G5516" s="5"/>
      <c r="H5516" s="6"/>
      <c r="AD5516" s="5">
        <v>45156.0</v>
      </c>
      <c r="AE5516" s="6">
        <v>0.75</v>
      </c>
      <c r="AF5516" s="7">
        <v>1209.78</v>
      </c>
    </row>
    <row r="5517">
      <c r="G5517" s="5"/>
      <c r="H5517" s="6"/>
      <c r="AD5517" s="5">
        <v>45156.0</v>
      </c>
      <c r="AE5517" s="6">
        <v>0.7916666666666666</v>
      </c>
      <c r="AF5517" s="7">
        <v>0.0</v>
      </c>
    </row>
    <row r="5518">
      <c r="G5518" s="5"/>
      <c r="H5518" s="6"/>
      <c r="AD5518" s="5">
        <v>45156.0</v>
      </c>
      <c r="AE5518" s="6">
        <v>0.8333333333333334</v>
      </c>
      <c r="AF5518" s="7">
        <v>0.0</v>
      </c>
    </row>
    <row r="5519">
      <c r="G5519" s="5"/>
      <c r="H5519" s="6"/>
      <c r="AD5519" s="5">
        <v>45156.0</v>
      </c>
      <c r="AE5519" s="6">
        <v>0.875</v>
      </c>
      <c r="AF5519" s="7">
        <v>0.0</v>
      </c>
    </row>
    <row r="5520">
      <c r="G5520" s="5"/>
      <c r="H5520" s="6"/>
      <c r="AD5520" s="5">
        <v>45156.0</v>
      </c>
      <c r="AE5520" s="6">
        <v>0.9166666666666666</v>
      </c>
      <c r="AF5520" s="7">
        <v>0.0</v>
      </c>
    </row>
    <row r="5521">
      <c r="G5521" s="5"/>
      <c r="H5521" s="6"/>
      <c r="AD5521" s="5">
        <v>45156.0</v>
      </c>
      <c r="AE5521" s="6">
        <v>0.9583333333333334</v>
      </c>
      <c r="AF5521" s="7">
        <v>0.0</v>
      </c>
    </row>
    <row r="5522">
      <c r="G5522" s="5"/>
      <c r="H5522" s="6"/>
      <c r="AD5522" s="5">
        <v>45157.0</v>
      </c>
      <c r="AE5522" s="6">
        <v>0.0</v>
      </c>
      <c r="AF5522" s="7">
        <v>0.0</v>
      </c>
    </row>
    <row r="5523">
      <c r="G5523" s="5"/>
      <c r="H5523" s="6"/>
      <c r="AD5523" s="5">
        <v>45157.0</v>
      </c>
      <c r="AE5523" s="6">
        <v>0.041666666666666664</v>
      </c>
      <c r="AF5523" s="7">
        <v>0.0</v>
      </c>
    </row>
    <row r="5524">
      <c r="G5524" s="5"/>
      <c r="H5524" s="6"/>
      <c r="AD5524" s="5">
        <v>45157.0</v>
      </c>
      <c r="AE5524" s="6">
        <v>0.08333333333333333</v>
      </c>
      <c r="AF5524" s="7">
        <v>0.0</v>
      </c>
    </row>
    <row r="5525">
      <c r="G5525" s="5"/>
      <c r="H5525" s="6"/>
      <c r="AD5525" s="5">
        <v>45157.0</v>
      </c>
      <c r="AE5525" s="6">
        <v>0.125</v>
      </c>
      <c r="AF5525" s="7">
        <v>0.0</v>
      </c>
    </row>
    <row r="5526">
      <c r="G5526" s="5"/>
      <c r="H5526" s="6"/>
      <c r="AD5526" s="5">
        <v>45157.0</v>
      </c>
      <c r="AE5526" s="6">
        <v>0.16666666666666666</v>
      </c>
      <c r="AF5526" s="7">
        <v>0.0</v>
      </c>
    </row>
    <row r="5527">
      <c r="G5527" s="5"/>
      <c r="H5527" s="6"/>
      <c r="AD5527" s="5">
        <v>45157.0</v>
      </c>
      <c r="AE5527" s="6">
        <v>0.20833333333333334</v>
      </c>
      <c r="AF5527" s="7">
        <v>0.0</v>
      </c>
    </row>
    <row r="5528">
      <c r="G5528" s="5"/>
      <c r="H5528" s="6"/>
      <c r="AD5528" s="5">
        <v>45157.0</v>
      </c>
      <c r="AE5528" s="6">
        <v>0.25</v>
      </c>
      <c r="AF5528" s="7">
        <v>3261.96</v>
      </c>
    </row>
    <row r="5529">
      <c r="G5529" s="5"/>
      <c r="H5529" s="6"/>
      <c r="AD5529" s="5">
        <v>45157.0</v>
      </c>
      <c r="AE5529" s="6">
        <v>0.2916666666666667</v>
      </c>
      <c r="AF5529" s="7">
        <v>15663.18</v>
      </c>
    </row>
    <row r="5530">
      <c r="G5530" s="5"/>
      <c r="H5530" s="6"/>
      <c r="AD5530" s="5">
        <v>45157.0</v>
      </c>
      <c r="AE5530" s="6">
        <v>0.3333333333333333</v>
      </c>
      <c r="AF5530" s="7">
        <v>29123.64</v>
      </c>
    </row>
    <row r="5531">
      <c r="G5531" s="5"/>
      <c r="H5531" s="6"/>
      <c r="AD5531" s="5">
        <v>45157.0</v>
      </c>
      <c r="AE5531" s="6">
        <v>0.375</v>
      </c>
      <c r="AF5531" s="7">
        <v>40329.9</v>
      </c>
    </row>
    <row r="5532">
      <c r="G5532" s="5"/>
      <c r="H5532" s="6"/>
      <c r="AD5532" s="5">
        <v>45157.0</v>
      </c>
      <c r="AE5532" s="6">
        <v>0.4166666666666667</v>
      </c>
      <c r="AF5532" s="7">
        <v>48113.52</v>
      </c>
    </row>
    <row r="5533">
      <c r="G5533" s="5"/>
      <c r="H5533" s="6"/>
      <c r="AD5533" s="5">
        <v>45157.0</v>
      </c>
      <c r="AE5533" s="6">
        <v>0.4583333333333333</v>
      </c>
      <c r="AF5533" s="7">
        <v>52033.02</v>
      </c>
    </row>
    <row r="5534">
      <c r="G5534" s="5"/>
      <c r="H5534" s="6"/>
      <c r="AD5534" s="5">
        <v>45157.0</v>
      </c>
      <c r="AE5534" s="6">
        <v>0.5</v>
      </c>
      <c r="AF5534" s="7">
        <v>52827.06</v>
      </c>
    </row>
    <row r="5535">
      <c r="G5535" s="5"/>
      <c r="H5535" s="6"/>
      <c r="AD5535" s="5">
        <v>45157.0</v>
      </c>
      <c r="AE5535" s="6">
        <v>0.5416666666666666</v>
      </c>
      <c r="AF5535" s="7">
        <v>51261.6</v>
      </c>
    </row>
    <row r="5536">
      <c r="G5536" s="5"/>
      <c r="H5536" s="6"/>
      <c r="AD5536" s="5">
        <v>45157.0</v>
      </c>
      <c r="AE5536" s="6">
        <v>0.5833333333333334</v>
      </c>
      <c r="AF5536" s="7">
        <v>45927.96</v>
      </c>
    </row>
    <row r="5537">
      <c r="G5537" s="5"/>
      <c r="H5537" s="6"/>
      <c r="AD5537" s="5">
        <v>45157.0</v>
      </c>
      <c r="AE5537" s="6">
        <v>0.625</v>
      </c>
      <c r="AF5537" s="7">
        <v>37571.82</v>
      </c>
    </row>
    <row r="5538">
      <c r="G5538" s="5"/>
      <c r="H5538" s="6"/>
      <c r="AD5538" s="5">
        <v>45157.0</v>
      </c>
      <c r="AE5538" s="6">
        <v>0.6666666666666666</v>
      </c>
      <c r="AF5538" s="7">
        <v>26452.92</v>
      </c>
    </row>
    <row r="5539">
      <c r="G5539" s="5"/>
      <c r="H5539" s="6"/>
      <c r="AD5539" s="5">
        <v>45157.0</v>
      </c>
      <c r="AE5539" s="6">
        <v>0.7083333333333334</v>
      </c>
      <c r="AF5539" s="7">
        <v>13500.24</v>
      </c>
    </row>
    <row r="5540">
      <c r="G5540" s="5"/>
      <c r="H5540" s="6"/>
      <c r="AD5540" s="5">
        <v>45157.0</v>
      </c>
      <c r="AE5540" s="6">
        <v>0.75</v>
      </c>
      <c r="AF5540" s="7">
        <v>2315.04</v>
      </c>
    </row>
    <row r="5541">
      <c r="G5541" s="5"/>
      <c r="H5541" s="6"/>
      <c r="AD5541" s="5">
        <v>45157.0</v>
      </c>
      <c r="AE5541" s="6">
        <v>0.7916666666666666</v>
      </c>
      <c r="AF5541" s="7">
        <v>0.0</v>
      </c>
    </row>
    <row r="5542">
      <c r="G5542" s="5"/>
      <c r="H5542" s="6"/>
      <c r="AD5542" s="5">
        <v>45157.0</v>
      </c>
      <c r="AE5542" s="6">
        <v>0.8333333333333334</v>
      </c>
      <c r="AF5542" s="7">
        <v>0.0</v>
      </c>
    </row>
    <row r="5543">
      <c r="G5543" s="5"/>
      <c r="H5543" s="6"/>
      <c r="AD5543" s="5">
        <v>45157.0</v>
      </c>
      <c r="AE5543" s="6">
        <v>0.875</v>
      </c>
      <c r="AF5543" s="7">
        <v>0.0</v>
      </c>
    </row>
    <row r="5544">
      <c r="G5544" s="5"/>
      <c r="H5544" s="6"/>
      <c r="AD5544" s="5">
        <v>45157.0</v>
      </c>
      <c r="AE5544" s="6">
        <v>0.9166666666666666</v>
      </c>
      <c r="AF5544" s="7">
        <v>0.0</v>
      </c>
    </row>
    <row r="5545">
      <c r="G5545" s="5"/>
      <c r="H5545" s="6"/>
      <c r="AD5545" s="5">
        <v>45157.0</v>
      </c>
      <c r="AE5545" s="6">
        <v>0.9583333333333334</v>
      </c>
      <c r="AF5545" s="7">
        <v>0.0</v>
      </c>
    </row>
    <row r="5546">
      <c r="G5546" s="5"/>
      <c r="H5546" s="6"/>
      <c r="AD5546" s="5">
        <v>45158.0</v>
      </c>
      <c r="AE5546" s="6">
        <v>0.0</v>
      </c>
      <c r="AF5546" s="7">
        <v>0.0</v>
      </c>
    </row>
    <row r="5547">
      <c r="G5547" s="5"/>
      <c r="H5547" s="6"/>
      <c r="AD5547" s="5">
        <v>45158.0</v>
      </c>
      <c r="AE5547" s="6">
        <v>0.041666666666666664</v>
      </c>
      <c r="AF5547" s="7">
        <v>0.0</v>
      </c>
    </row>
    <row r="5548">
      <c r="G5548" s="5"/>
      <c r="H5548" s="6"/>
      <c r="AD5548" s="5">
        <v>45158.0</v>
      </c>
      <c r="AE5548" s="6">
        <v>0.08333333333333333</v>
      </c>
      <c r="AF5548" s="7">
        <v>0.0</v>
      </c>
    </row>
    <row r="5549">
      <c r="G5549" s="5"/>
      <c r="H5549" s="6"/>
      <c r="AD5549" s="5">
        <v>45158.0</v>
      </c>
      <c r="AE5549" s="6">
        <v>0.125</v>
      </c>
      <c r="AF5549" s="7">
        <v>0.0</v>
      </c>
    </row>
    <row r="5550">
      <c r="G5550" s="5"/>
      <c r="H5550" s="6"/>
      <c r="AD5550" s="5">
        <v>45158.0</v>
      </c>
      <c r="AE5550" s="6">
        <v>0.16666666666666666</v>
      </c>
      <c r="AF5550" s="7">
        <v>0.0</v>
      </c>
    </row>
    <row r="5551">
      <c r="G5551" s="5"/>
      <c r="H5551" s="6"/>
      <c r="AD5551" s="5">
        <v>45158.0</v>
      </c>
      <c r="AE5551" s="6">
        <v>0.20833333333333334</v>
      </c>
      <c r="AF5551" s="7">
        <v>0.0</v>
      </c>
    </row>
    <row r="5552">
      <c r="G5552" s="5"/>
      <c r="H5552" s="6"/>
      <c r="AD5552" s="5">
        <v>45158.0</v>
      </c>
      <c r="AE5552" s="6">
        <v>0.25</v>
      </c>
      <c r="AF5552" s="7">
        <v>3157.44</v>
      </c>
    </row>
    <row r="5553">
      <c r="G5553" s="5"/>
      <c r="H5553" s="6"/>
      <c r="AD5553" s="5">
        <v>45158.0</v>
      </c>
      <c r="AE5553" s="6">
        <v>0.2916666666666667</v>
      </c>
      <c r="AF5553" s="7">
        <v>15448.68</v>
      </c>
    </row>
    <row r="5554">
      <c r="G5554" s="5"/>
      <c r="H5554" s="6"/>
      <c r="AD5554" s="5">
        <v>45158.0</v>
      </c>
      <c r="AE5554" s="6">
        <v>0.3333333333333333</v>
      </c>
      <c r="AF5554" s="7">
        <v>29263.26</v>
      </c>
    </row>
    <row r="5555">
      <c r="G5555" s="5"/>
      <c r="H5555" s="6"/>
      <c r="AD5555" s="5">
        <v>45158.0</v>
      </c>
      <c r="AE5555" s="6">
        <v>0.375</v>
      </c>
      <c r="AF5555" s="7">
        <v>40000.74</v>
      </c>
    </row>
    <row r="5556">
      <c r="G5556" s="5"/>
      <c r="H5556" s="6"/>
      <c r="AD5556" s="5">
        <v>45158.0</v>
      </c>
      <c r="AE5556" s="6">
        <v>0.4166666666666667</v>
      </c>
      <c r="AF5556" s="7">
        <v>46722.0</v>
      </c>
    </row>
    <row r="5557">
      <c r="G5557" s="5"/>
      <c r="H5557" s="6"/>
      <c r="AD5557" s="5">
        <v>45158.0</v>
      </c>
      <c r="AE5557" s="6">
        <v>0.4583333333333333</v>
      </c>
      <c r="AF5557" s="7">
        <v>50969.88</v>
      </c>
    </row>
    <row r="5558">
      <c r="G5558" s="5"/>
      <c r="H5558" s="6"/>
      <c r="AD5558" s="5">
        <v>45158.0</v>
      </c>
      <c r="AE5558" s="6">
        <v>0.5</v>
      </c>
      <c r="AF5558" s="7">
        <v>52374.66</v>
      </c>
    </row>
    <row r="5559">
      <c r="G5559" s="5"/>
      <c r="H5559" s="6"/>
      <c r="AD5559" s="5">
        <v>45158.0</v>
      </c>
      <c r="AE5559" s="6">
        <v>0.5416666666666666</v>
      </c>
      <c r="AF5559" s="7">
        <v>50802.96</v>
      </c>
    </row>
    <row r="5560">
      <c r="G5560" s="5"/>
      <c r="H5560" s="6"/>
      <c r="AD5560" s="5">
        <v>45158.0</v>
      </c>
      <c r="AE5560" s="6">
        <v>0.5833333333333334</v>
      </c>
      <c r="AF5560" s="7">
        <v>45884.28</v>
      </c>
    </row>
    <row r="5561">
      <c r="G5561" s="5"/>
      <c r="H5561" s="6"/>
      <c r="AD5561" s="5">
        <v>45158.0</v>
      </c>
      <c r="AE5561" s="6">
        <v>0.625</v>
      </c>
      <c r="AF5561" s="7">
        <v>37607.7</v>
      </c>
    </row>
    <row r="5562">
      <c r="G5562" s="5"/>
      <c r="H5562" s="6"/>
      <c r="AD5562" s="5">
        <v>45158.0</v>
      </c>
      <c r="AE5562" s="6">
        <v>0.6666666666666666</v>
      </c>
      <c r="AF5562" s="7">
        <v>26500.5</v>
      </c>
    </row>
    <row r="5563">
      <c r="G5563" s="5"/>
      <c r="H5563" s="6"/>
      <c r="AD5563" s="5">
        <v>45158.0</v>
      </c>
      <c r="AE5563" s="6">
        <v>0.7083333333333334</v>
      </c>
      <c r="AF5563" s="7">
        <v>13208.52</v>
      </c>
    </row>
    <row r="5564">
      <c r="G5564" s="5"/>
      <c r="H5564" s="6"/>
      <c r="AD5564" s="5">
        <v>45158.0</v>
      </c>
      <c r="AE5564" s="6">
        <v>0.75</v>
      </c>
      <c r="AF5564" s="7">
        <v>2185.56</v>
      </c>
    </row>
    <row r="5565">
      <c r="G5565" s="5"/>
      <c r="H5565" s="6"/>
      <c r="AD5565" s="5">
        <v>45158.0</v>
      </c>
      <c r="AE5565" s="6">
        <v>0.7916666666666666</v>
      </c>
      <c r="AF5565" s="7">
        <v>0.0</v>
      </c>
    </row>
    <row r="5566">
      <c r="G5566" s="5"/>
      <c r="H5566" s="6"/>
      <c r="AD5566" s="5">
        <v>45158.0</v>
      </c>
      <c r="AE5566" s="6">
        <v>0.8333333333333334</v>
      </c>
      <c r="AF5566" s="7">
        <v>0.0</v>
      </c>
    </row>
    <row r="5567">
      <c r="G5567" s="5"/>
      <c r="H5567" s="6"/>
      <c r="AD5567" s="5">
        <v>45158.0</v>
      </c>
      <c r="AE5567" s="6">
        <v>0.875</v>
      </c>
      <c r="AF5567" s="7">
        <v>0.0</v>
      </c>
    </row>
    <row r="5568">
      <c r="G5568" s="5"/>
      <c r="H5568" s="6"/>
      <c r="AD5568" s="5">
        <v>45158.0</v>
      </c>
      <c r="AE5568" s="6">
        <v>0.9166666666666666</v>
      </c>
      <c r="AF5568" s="7">
        <v>0.0</v>
      </c>
    </row>
    <row r="5569">
      <c r="G5569" s="5"/>
      <c r="H5569" s="6"/>
      <c r="AD5569" s="5">
        <v>45158.0</v>
      </c>
      <c r="AE5569" s="6">
        <v>0.9583333333333334</v>
      </c>
      <c r="AF5569" s="7">
        <v>0.0</v>
      </c>
    </row>
    <row r="5570">
      <c r="G5570" s="5"/>
      <c r="H5570" s="6"/>
      <c r="AD5570" s="5">
        <v>45159.0</v>
      </c>
      <c r="AE5570" s="6">
        <v>0.0</v>
      </c>
      <c r="AF5570" s="7">
        <v>0.0</v>
      </c>
    </row>
    <row r="5571">
      <c r="G5571" s="5"/>
      <c r="H5571" s="6"/>
      <c r="AD5571" s="5">
        <v>45159.0</v>
      </c>
      <c r="AE5571" s="6">
        <v>0.041666666666666664</v>
      </c>
      <c r="AF5571" s="7">
        <v>0.0</v>
      </c>
    </row>
    <row r="5572">
      <c r="G5572" s="5"/>
      <c r="H5572" s="6"/>
      <c r="AD5572" s="5">
        <v>45159.0</v>
      </c>
      <c r="AE5572" s="6">
        <v>0.08333333333333333</v>
      </c>
      <c r="AF5572" s="7">
        <v>0.0</v>
      </c>
    </row>
    <row r="5573">
      <c r="G5573" s="5"/>
      <c r="H5573" s="6"/>
      <c r="AD5573" s="5">
        <v>45159.0</v>
      </c>
      <c r="AE5573" s="6">
        <v>0.125</v>
      </c>
      <c r="AF5573" s="7">
        <v>0.0</v>
      </c>
    </row>
    <row r="5574">
      <c r="G5574" s="5"/>
      <c r="H5574" s="6"/>
      <c r="AD5574" s="5">
        <v>45159.0</v>
      </c>
      <c r="AE5574" s="6">
        <v>0.16666666666666666</v>
      </c>
      <c r="AF5574" s="7">
        <v>0.0</v>
      </c>
    </row>
    <row r="5575">
      <c r="G5575" s="5"/>
      <c r="H5575" s="6"/>
      <c r="AD5575" s="5">
        <v>45159.0</v>
      </c>
      <c r="AE5575" s="6">
        <v>0.20833333333333334</v>
      </c>
      <c r="AF5575" s="7">
        <v>0.0</v>
      </c>
    </row>
    <row r="5576">
      <c r="G5576" s="5"/>
      <c r="H5576" s="6"/>
      <c r="AD5576" s="5">
        <v>45159.0</v>
      </c>
      <c r="AE5576" s="6">
        <v>0.25</v>
      </c>
      <c r="AF5576" s="7">
        <v>3055.26</v>
      </c>
    </row>
    <row r="5577">
      <c r="G5577" s="5"/>
      <c r="H5577" s="6"/>
      <c r="AD5577" s="5">
        <v>45159.0</v>
      </c>
      <c r="AE5577" s="6">
        <v>0.2916666666666667</v>
      </c>
      <c r="AF5577" s="7">
        <v>15147.6</v>
      </c>
    </row>
    <row r="5578">
      <c r="G5578" s="5"/>
      <c r="H5578" s="6"/>
      <c r="AD5578" s="5">
        <v>45159.0</v>
      </c>
      <c r="AE5578" s="6">
        <v>0.3333333333333333</v>
      </c>
      <c r="AF5578" s="7">
        <v>28921.62</v>
      </c>
    </row>
    <row r="5579">
      <c r="G5579" s="5"/>
      <c r="H5579" s="6"/>
      <c r="AD5579" s="5">
        <v>45159.0</v>
      </c>
      <c r="AE5579" s="6">
        <v>0.375</v>
      </c>
      <c r="AF5579" s="7">
        <v>39651.3</v>
      </c>
    </row>
    <row r="5580">
      <c r="G5580" s="5"/>
      <c r="H5580" s="6"/>
      <c r="AD5580" s="5">
        <v>45159.0</v>
      </c>
      <c r="AE5580" s="6">
        <v>0.4166666666666667</v>
      </c>
      <c r="AF5580" s="7">
        <v>45920.94</v>
      </c>
    </row>
    <row r="5581">
      <c r="G5581" s="5"/>
      <c r="H5581" s="6"/>
      <c r="AD5581" s="5">
        <v>45159.0</v>
      </c>
      <c r="AE5581" s="6">
        <v>0.4583333333333333</v>
      </c>
      <c r="AF5581" s="7">
        <v>51064.26</v>
      </c>
    </row>
    <row r="5582">
      <c r="G5582" s="5"/>
      <c r="H5582" s="6"/>
      <c r="AD5582" s="5">
        <v>45159.0</v>
      </c>
      <c r="AE5582" s="6">
        <v>0.5</v>
      </c>
      <c r="AF5582" s="7">
        <v>53320.8</v>
      </c>
    </row>
    <row r="5583">
      <c r="G5583" s="5"/>
      <c r="H5583" s="6"/>
      <c r="AD5583" s="5">
        <v>45159.0</v>
      </c>
      <c r="AE5583" s="6">
        <v>0.5416666666666666</v>
      </c>
      <c r="AF5583" s="7">
        <v>51175.02</v>
      </c>
    </row>
    <row r="5584">
      <c r="G5584" s="5"/>
      <c r="H5584" s="6"/>
      <c r="AD5584" s="5">
        <v>45159.0</v>
      </c>
      <c r="AE5584" s="6">
        <v>0.5833333333333334</v>
      </c>
      <c r="AF5584" s="7">
        <v>45995.82</v>
      </c>
    </row>
    <row r="5585">
      <c r="G5585" s="5"/>
      <c r="H5585" s="6"/>
      <c r="AD5585" s="5">
        <v>45159.0</v>
      </c>
      <c r="AE5585" s="6">
        <v>0.625</v>
      </c>
      <c r="AF5585" s="7">
        <v>37487.58</v>
      </c>
    </row>
    <row r="5586">
      <c r="G5586" s="5"/>
      <c r="H5586" s="6"/>
      <c r="AD5586" s="5">
        <v>45159.0</v>
      </c>
      <c r="AE5586" s="6">
        <v>0.6666666666666666</v>
      </c>
      <c r="AF5586" s="7">
        <v>26192.4</v>
      </c>
    </row>
    <row r="5587">
      <c r="G5587" s="5"/>
      <c r="H5587" s="6"/>
      <c r="AD5587" s="5">
        <v>45159.0</v>
      </c>
      <c r="AE5587" s="6">
        <v>0.7083333333333334</v>
      </c>
      <c r="AF5587" s="7">
        <v>12850.5</v>
      </c>
    </row>
    <row r="5588">
      <c r="G5588" s="5"/>
      <c r="H5588" s="6"/>
      <c r="AD5588" s="5">
        <v>45159.0</v>
      </c>
      <c r="AE5588" s="6">
        <v>0.75</v>
      </c>
      <c r="AF5588" s="7">
        <v>2111.46</v>
      </c>
    </row>
    <row r="5589">
      <c r="G5589" s="5"/>
      <c r="H5589" s="6"/>
      <c r="AD5589" s="5">
        <v>45159.0</v>
      </c>
      <c r="AE5589" s="6">
        <v>0.7916666666666666</v>
      </c>
      <c r="AF5589" s="7">
        <v>0.0</v>
      </c>
    </row>
    <row r="5590">
      <c r="G5590" s="5"/>
      <c r="H5590" s="6"/>
      <c r="AD5590" s="5">
        <v>45159.0</v>
      </c>
      <c r="AE5590" s="6">
        <v>0.8333333333333334</v>
      </c>
      <c r="AF5590" s="7">
        <v>0.0</v>
      </c>
    </row>
    <row r="5591">
      <c r="G5591" s="5"/>
      <c r="H5591" s="6"/>
      <c r="AD5591" s="5">
        <v>45159.0</v>
      </c>
      <c r="AE5591" s="6">
        <v>0.875</v>
      </c>
      <c r="AF5591" s="7">
        <v>0.0</v>
      </c>
    </row>
    <row r="5592">
      <c r="G5592" s="5"/>
      <c r="H5592" s="6"/>
      <c r="AD5592" s="5">
        <v>45159.0</v>
      </c>
      <c r="AE5592" s="6">
        <v>0.9166666666666666</v>
      </c>
      <c r="AF5592" s="7">
        <v>0.0</v>
      </c>
    </row>
    <row r="5593">
      <c r="G5593" s="5"/>
      <c r="H5593" s="6"/>
      <c r="AD5593" s="5">
        <v>45159.0</v>
      </c>
      <c r="AE5593" s="6">
        <v>0.9583333333333334</v>
      </c>
      <c r="AF5593" s="7">
        <v>0.0</v>
      </c>
    </row>
    <row r="5594">
      <c r="G5594" s="5"/>
      <c r="H5594" s="6"/>
      <c r="AD5594" s="5">
        <v>45160.0</v>
      </c>
      <c r="AE5594" s="6">
        <v>0.0</v>
      </c>
      <c r="AF5594" s="7">
        <v>0.0</v>
      </c>
    </row>
    <row r="5595">
      <c r="G5595" s="5"/>
      <c r="H5595" s="6"/>
      <c r="AD5595" s="5">
        <v>45160.0</v>
      </c>
      <c r="AE5595" s="6">
        <v>0.041666666666666664</v>
      </c>
      <c r="AF5595" s="7">
        <v>0.0</v>
      </c>
    </row>
    <row r="5596">
      <c r="G5596" s="5"/>
      <c r="H5596" s="6"/>
      <c r="AD5596" s="5">
        <v>45160.0</v>
      </c>
      <c r="AE5596" s="6">
        <v>0.08333333333333333</v>
      </c>
      <c r="AF5596" s="7">
        <v>0.0</v>
      </c>
    </row>
    <row r="5597">
      <c r="G5597" s="5"/>
      <c r="H5597" s="6"/>
      <c r="AD5597" s="5">
        <v>45160.0</v>
      </c>
      <c r="AE5597" s="6">
        <v>0.125</v>
      </c>
      <c r="AF5597" s="7">
        <v>0.0</v>
      </c>
    </row>
    <row r="5598">
      <c r="G5598" s="5"/>
      <c r="H5598" s="6"/>
      <c r="AD5598" s="5">
        <v>45160.0</v>
      </c>
      <c r="AE5598" s="6">
        <v>0.16666666666666666</v>
      </c>
      <c r="AF5598" s="7">
        <v>0.0</v>
      </c>
    </row>
    <row r="5599">
      <c r="G5599" s="5"/>
      <c r="H5599" s="6"/>
      <c r="AD5599" s="5">
        <v>45160.0</v>
      </c>
      <c r="AE5599" s="6">
        <v>0.20833333333333334</v>
      </c>
      <c r="AF5599" s="7">
        <v>0.0</v>
      </c>
    </row>
    <row r="5600">
      <c r="G5600" s="5"/>
      <c r="H5600" s="6"/>
      <c r="AD5600" s="5">
        <v>45160.0</v>
      </c>
      <c r="AE5600" s="6">
        <v>0.25</v>
      </c>
      <c r="AF5600" s="7">
        <v>2957.76</v>
      </c>
    </row>
    <row r="5601">
      <c r="G5601" s="5"/>
      <c r="H5601" s="6"/>
      <c r="AD5601" s="5">
        <v>45160.0</v>
      </c>
      <c r="AE5601" s="6">
        <v>0.2916666666666667</v>
      </c>
      <c r="AF5601" s="7">
        <v>14878.5</v>
      </c>
    </row>
    <row r="5602">
      <c r="G5602" s="5"/>
      <c r="H5602" s="6"/>
      <c r="AD5602" s="5">
        <v>45160.0</v>
      </c>
      <c r="AE5602" s="6">
        <v>0.3333333333333333</v>
      </c>
      <c r="AF5602" s="7">
        <v>27877.98</v>
      </c>
    </row>
    <row r="5603">
      <c r="G5603" s="5"/>
      <c r="H5603" s="6"/>
      <c r="AD5603" s="5">
        <v>45160.0</v>
      </c>
      <c r="AE5603" s="6">
        <v>0.375</v>
      </c>
      <c r="AF5603" s="7">
        <v>38493.0</v>
      </c>
    </row>
    <row r="5604">
      <c r="G5604" s="5"/>
      <c r="H5604" s="6"/>
      <c r="AD5604" s="5">
        <v>45160.0</v>
      </c>
      <c r="AE5604" s="6">
        <v>0.4166666666666667</v>
      </c>
      <c r="AF5604" s="7">
        <v>46418.58</v>
      </c>
    </row>
    <row r="5605">
      <c r="G5605" s="5"/>
      <c r="H5605" s="6"/>
      <c r="AD5605" s="5">
        <v>45160.0</v>
      </c>
      <c r="AE5605" s="6">
        <v>0.4583333333333333</v>
      </c>
      <c r="AF5605" s="7">
        <v>51053.34</v>
      </c>
    </row>
    <row r="5606">
      <c r="G5606" s="5"/>
      <c r="H5606" s="6"/>
      <c r="AD5606" s="5">
        <v>45160.0</v>
      </c>
      <c r="AE5606" s="6">
        <v>0.5</v>
      </c>
      <c r="AF5606" s="7">
        <v>52490.1</v>
      </c>
    </row>
    <row r="5607">
      <c r="G5607" s="5"/>
      <c r="H5607" s="6"/>
      <c r="AD5607" s="5">
        <v>45160.0</v>
      </c>
      <c r="AE5607" s="6">
        <v>0.5416666666666666</v>
      </c>
      <c r="AF5607" s="7">
        <v>50737.44</v>
      </c>
    </row>
    <row r="5608">
      <c r="G5608" s="5"/>
      <c r="H5608" s="6"/>
      <c r="AD5608" s="5">
        <v>45160.0</v>
      </c>
      <c r="AE5608" s="6">
        <v>0.5833333333333334</v>
      </c>
      <c r="AF5608" s="7">
        <v>45847.62</v>
      </c>
    </row>
    <row r="5609">
      <c r="G5609" s="5"/>
      <c r="H5609" s="6"/>
      <c r="AD5609" s="5">
        <v>45160.0</v>
      </c>
      <c r="AE5609" s="6">
        <v>0.625</v>
      </c>
      <c r="AF5609" s="7">
        <v>37720.8</v>
      </c>
    </row>
    <row r="5610">
      <c r="G5610" s="5"/>
      <c r="H5610" s="6"/>
      <c r="AD5610" s="5">
        <v>45160.0</v>
      </c>
      <c r="AE5610" s="6">
        <v>0.6666666666666666</v>
      </c>
      <c r="AF5610" s="7">
        <v>26204.88</v>
      </c>
    </row>
    <row r="5611">
      <c r="G5611" s="5"/>
      <c r="H5611" s="6"/>
      <c r="AD5611" s="5">
        <v>45160.0</v>
      </c>
      <c r="AE5611" s="6">
        <v>0.7083333333333334</v>
      </c>
      <c r="AF5611" s="7">
        <v>12645.36</v>
      </c>
    </row>
    <row r="5612">
      <c r="G5612" s="5"/>
      <c r="H5612" s="6"/>
      <c r="AD5612" s="5">
        <v>45160.0</v>
      </c>
      <c r="AE5612" s="6">
        <v>0.75</v>
      </c>
      <c r="AF5612" s="7">
        <v>1994.46</v>
      </c>
    </row>
    <row r="5613">
      <c r="G5613" s="5"/>
      <c r="H5613" s="6"/>
      <c r="AD5613" s="5">
        <v>45160.0</v>
      </c>
      <c r="AE5613" s="6">
        <v>0.7916666666666666</v>
      </c>
      <c r="AF5613" s="7">
        <v>0.0</v>
      </c>
    </row>
    <row r="5614">
      <c r="G5614" s="5"/>
      <c r="H5614" s="6"/>
      <c r="AD5614" s="5">
        <v>45160.0</v>
      </c>
      <c r="AE5614" s="6">
        <v>0.8333333333333334</v>
      </c>
      <c r="AF5614" s="7">
        <v>0.0</v>
      </c>
    </row>
    <row r="5615">
      <c r="G5615" s="5"/>
      <c r="H5615" s="6"/>
      <c r="AD5615" s="5">
        <v>45160.0</v>
      </c>
      <c r="AE5615" s="6">
        <v>0.875</v>
      </c>
      <c r="AF5615" s="7">
        <v>0.0</v>
      </c>
    </row>
    <row r="5616">
      <c r="G5616" s="5"/>
      <c r="H5616" s="6"/>
      <c r="AD5616" s="5">
        <v>45160.0</v>
      </c>
      <c r="AE5616" s="6">
        <v>0.9166666666666666</v>
      </c>
      <c r="AF5616" s="7">
        <v>0.0</v>
      </c>
    </row>
    <row r="5617">
      <c r="G5617" s="5"/>
      <c r="H5617" s="6"/>
      <c r="AD5617" s="5">
        <v>45160.0</v>
      </c>
      <c r="AE5617" s="6">
        <v>0.9583333333333334</v>
      </c>
      <c r="AF5617" s="7">
        <v>0.0</v>
      </c>
    </row>
    <row r="5618">
      <c r="G5618" s="5"/>
      <c r="H5618" s="6"/>
      <c r="AD5618" s="5">
        <v>45161.0</v>
      </c>
      <c r="AE5618" s="6">
        <v>0.0</v>
      </c>
      <c r="AF5618" s="7">
        <v>0.0</v>
      </c>
    </row>
    <row r="5619">
      <c r="G5619" s="5"/>
      <c r="H5619" s="6"/>
      <c r="AD5619" s="5">
        <v>45161.0</v>
      </c>
      <c r="AE5619" s="6">
        <v>0.041666666666666664</v>
      </c>
      <c r="AF5619" s="7">
        <v>0.0</v>
      </c>
    </row>
    <row r="5620">
      <c r="G5620" s="5"/>
      <c r="H5620" s="6"/>
      <c r="AD5620" s="5">
        <v>45161.0</v>
      </c>
      <c r="AE5620" s="6">
        <v>0.08333333333333333</v>
      </c>
      <c r="AF5620" s="7">
        <v>0.0</v>
      </c>
    </row>
    <row r="5621">
      <c r="G5621" s="5"/>
      <c r="H5621" s="6"/>
      <c r="AD5621" s="5">
        <v>45161.0</v>
      </c>
      <c r="AE5621" s="6">
        <v>0.125</v>
      </c>
      <c r="AF5621" s="7">
        <v>0.0</v>
      </c>
    </row>
    <row r="5622">
      <c r="G5622" s="5"/>
      <c r="H5622" s="6"/>
      <c r="AD5622" s="5">
        <v>45161.0</v>
      </c>
      <c r="AE5622" s="6">
        <v>0.16666666666666666</v>
      </c>
      <c r="AF5622" s="7">
        <v>0.0</v>
      </c>
    </row>
    <row r="5623">
      <c r="G5623" s="5"/>
      <c r="H5623" s="6"/>
      <c r="AD5623" s="5">
        <v>45161.0</v>
      </c>
      <c r="AE5623" s="6">
        <v>0.20833333333333334</v>
      </c>
      <c r="AF5623" s="7">
        <v>0.0</v>
      </c>
    </row>
    <row r="5624">
      <c r="G5624" s="5"/>
      <c r="H5624" s="6"/>
      <c r="AD5624" s="5">
        <v>45161.0</v>
      </c>
      <c r="AE5624" s="6">
        <v>0.25</v>
      </c>
      <c r="AF5624" s="7">
        <v>2914.08</v>
      </c>
    </row>
    <row r="5625">
      <c r="G5625" s="5"/>
      <c r="H5625" s="6"/>
      <c r="AD5625" s="5">
        <v>45161.0</v>
      </c>
      <c r="AE5625" s="6">
        <v>0.2916666666666667</v>
      </c>
      <c r="AF5625" s="7">
        <v>14914.38</v>
      </c>
    </row>
    <row r="5626">
      <c r="G5626" s="5"/>
      <c r="H5626" s="6"/>
      <c r="AD5626" s="5">
        <v>45161.0</v>
      </c>
      <c r="AE5626" s="6">
        <v>0.3333333333333333</v>
      </c>
      <c r="AF5626" s="7">
        <v>27746.94</v>
      </c>
    </row>
    <row r="5627">
      <c r="G5627" s="5"/>
      <c r="H5627" s="6"/>
      <c r="AD5627" s="5">
        <v>45161.0</v>
      </c>
      <c r="AE5627" s="6">
        <v>0.375</v>
      </c>
      <c r="AF5627" s="7">
        <v>38278.5</v>
      </c>
    </row>
    <row r="5628">
      <c r="G5628" s="5"/>
      <c r="H5628" s="6"/>
      <c r="AD5628" s="5">
        <v>45161.0</v>
      </c>
      <c r="AE5628" s="6">
        <v>0.4166666666666667</v>
      </c>
      <c r="AF5628" s="7">
        <v>45814.08</v>
      </c>
    </row>
    <row r="5629">
      <c r="G5629" s="5"/>
      <c r="H5629" s="6"/>
      <c r="AD5629" s="5">
        <v>45161.0</v>
      </c>
      <c r="AE5629" s="6">
        <v>0.4583333333333333</v>
      </c>
      <c r="AF5629" s="7">
        <v>50351.34</v>
      </c>
    </row>
    <row r="5630">
      <c r="G5630" s="5"/>
      <c r="H5630" s="6"/>
      <c r="AD5630" s="5">
        <v>45161.0</v>
      </c>
      <c r="AE5630" s="6">
        <v>0.5</v>
      </c>
      <c r="AF5630" s="7">
        <v>52116.48</v>
      </c>
    </row>
    <row r="5631">
      <c r="G5631" s="5"/>
      <c r="H5631" s="6"/>
      <c r="AD5631" s="5">
        <v>45161.0</v>
      </c>
      <c r="AE5631" s="6">
        <v>0.5416666666666666</v>
      </c>
      <c r="AF5631" s="7">
        <v>50515.14</v>
      </c>
    </row>
    <row r="5632">
      <c r="G5632" s="5"/>
      <c r="H5632" s="6"/>
      <c r="AD5632" s="5">
        <v>45161.0</v>
      </c>
      <c r="AE5632" s="6">
        <v>0.5833333333333334</v>
      </c>
      <c r="AF5632" s="7">
        <v>45328.14</v>
      </c>
    </row>
    <row r="5633">
      <c r="G5633" s="5"/>
      <c r="H5633" s="6"/>
      <c r="AD5633" s="5">
        <v>45161.0</v>
      </c>
      <c r="AE5633" s="6">
        <v>0.625</v>
      </c>
      <c r="AF5633" s="7">
        <v>37003.98</v>
      </c>
    </row>
    <row r="5634">
      <c r="G5634" s="5"/>
      <c r="H5634" s="6"/>
      <c r="AD5634" s="5">
        <v>45161.0</v>
      </c>
      <c r="AE5634" s="6">
        <v>0.6666666666666666</v>
      </c>
      <c r="AF5634" s="7">
        <v>25548.9</v>
      </c>
    </row>
    <row r="5635">
      <c r="G5635" s="5"/>
      <c r="H5635" s="6"/>
      <c r="AD5635" s="5">
        <v>45161.0</v>
      </c>
      <c r="AE5635" s="6">
        <v>0.7083333333333334</v>
      </c>
      <c r="AF5635" s="7">
        <v>12504.18</v>
      </c>
    </row>
    <row r="5636">
      <c r="G5636" s="5"/>
      <c r="H5636" s="6"/>
      <c r="AD5636" s="5">
        <v>45161.0</v>
      </c>
      <c r="AE5636" s="6">
        <v>0.75</v>
      </c>
      <c r="AF5636" s="7">
        <v>1858.74</v>
      </c>
    </row>
    <row r="5637">
      <c r="G5637" s="5"/>
      <c r="H5637" s="6"/>
      <c r="AD5637" s="5">
        <v>45161.0</v>
      </c>
      <c r="AE5637" s="6">
        <v>0.7916666666666666</v>
      </c>
      <c r="AF5637" s="7">
        <v>0.0</v>
      </c>
    </row>
    <row r="5638">
      <c r="G5638" s="5"/>
      <c r="H5638" s="6"/>
      <c r="AD5638" s="5">
        <v>45161.0</v>
      </c>
      <c r="AE5638" s="6">
        <v>0.8333333333333334</v>
      </c>
      <c r="AF5638" s="7">
        <v>0.0</v>
      </c>
    </row>
    <row r="5639">
      <c r="G5639" s="5"/>
      <c r="H5639" s="6"/>
      <c r="AD5639" s="5">
        <v>45161.0</v>
      </c>
      <c r="AE5639" s="6">
        <v>0.875</v>
      </c>
      <c r="AF5639" s="7">
        <v>0.0</v>
      </c>
    </row>
    <row r="5640">
      <c r="G5640" s="5"/>
      <c r="H5640" s="6"/>
      <c r="AD5640" s="5">
        <v>45161.0</v>
      </c>
      <c r="AE5640" s="6">
        <v>0.9166666666666666</v>
      </c>
      <c r="AF5640" s="7">
        <v>0.0</v>
      </c>
    </row>
    <row r="5641">
      <c r="G5641" s="5"/>
      <c r="H5641" s="6"/>
      <c r="AD5641" s="5">
        <v>45161.0</v>
      </c>
      <c r="AE5641" s="6">
        <v>0.9583333333333334</v>
      </c>
      <c r="AF5641" s="7">
        <v>0.0</v>
      </c>
    </row>
    <row r="5642">
      <c r="G5642" s="5"/>
      <c r="H5642" s="6"/>
      <c r="AD5642" s="5">
        <v>45162.0</v>
      </c>
      <c r="AE5642" s="6">
        <v>0.0</v>
      </c>
      <c r="AF5642" s="7">
        <v>0.0</v>
      </c>
    </row>
    <row r="5643">
      <c r="G5643" s="5"/>
      <c r="H5643" s="6"/>
      <c r="AD5643" s="5">
        <v>45162.0</v>
      </c>
      <c r="AE5643" s="6">
        <v>0.041666666666666664</v>
      </c>
      <c r="AF5643" s="7">
        <v>0.0</v>
      </c>
    </row>
    <row r="5644">
      <c r="G5644" s="5"/>
      <c r="H5644" s="6"/>
      <c r="AD5644" s="5">
        <v>45162.0</v>
      </c>
      <c r="AE5644" s="6">
        <v>0.08333333333333333</v>
      </c>
      <c r="AF5644" s="7">
        <v>0.0</v>
      </c>
    </row>
    <row r="5645">
      <c r="G5645" s="5"/>
      <c r="H5645" s="6"/>
      <c r="AD5645" s="5">
        <v>45162.0</v>
      </c>
      <c r="AE5645" s="6">
        <v>0.125</v>
      </c>
      <c r="AF5645" s="7">
        <v>0.0</v>
      </c>
    </row>
    <row r="5646">
      <c r="G5646" s="5"/>
      <c r="H5646" s="6"/>
      <c r="AD5646" s="5">
        <v>45162.0</v>
      </c>
      <c r="AE5646" s="6">
        <v>0.16666666666666666</v>
      </c>
      <c r="AF5646" s="7">
        <v>0.0</v>
      </c>
    </row>
    <row r="5647">
      <c r="G5647" s="5"/>
      <c r="H5647" s="6"/>
      <c r="AD5647" s="5">
        <v>45162.0</v>
      </c>
      <c r="AE5647" s="6">
        <v>0.20833333333333334</v>
      </c>
      <c r="AF5647" s="7">
        <v>0.0</v>
      </c>
    </row>
    <row r="5648">
      <c r="G5648" s="5"/>
      <c r="H5648" s="6"/>
      <c r="AD5648" s="5">
        <v>45162.0</v>
      </c>
      <c r="AE5648" s="6">
        <v>0.25</v>
      </c>
      <c r="AF5648" s="7">
        <v>2856.36</v>
      </c>
    </row>
    <row r="5649">
      <c r="G5649" s="5"/>
      <c r="H5649" s="6"/>
      <c r="AD5649" s="5">
        <v>45162.0</v>
      </c>
      <c r="AE5649" s="6">
        <v>0.2916666666666667</v>
      </c>
      <c r="AF5649" s="7">
        <v>14908.92</v>
      </c>
    </row>
    <row r="5650">
      <c r="G5650" s="5"/>
      <c r="H5650" s="6"/>
      <c r="AD5650" s="5">
        <v>45162.0</v>
      </c>
      <c r="AE5650" s="6">
        <v>0.3333333333333333</v>
      </c>
      <c r="AF5650" s="7">
        <v>28136.16</v>
      </c>
    </row>
    <row r="5651">
      <c r="G5651" s="5"/>
      <c r="H5651" s="6"/>
      <c r="AD5651" s="5">
        <v>45162.0</v>
      </c>
      <c r="AE5651" s="6">
        <v>0.375</v>
      </c>
      <c r="AF5651" s="7">
        <v>38511.72</v>
      </c>
    </row>
    <row r="5652">
      <c r="G5652" s="5"/>
      <c r="H5652" s="6"/>
      <c r="AD5652" s="5">
        <v>45162.0</v>
      </c>
      <c r="AE5652" s="6">
        <v>0.4166666666666667</v>
      </c>
      <c r="AF5652" s="7">
        <v>45942.0</v>
      </c>
    </row>
    <row r="5653">
      <c r="G5653" s="5"/>
      <c r="H5653" s="6"/>
      <c r="AD5653" s="5">
        <v>45162.0</v>
      </c>
      <c r="AE5653" s="6">
        <v>0.4583333333333333</v>
      </c>
      <c r="AF5653" s="7">
        <v>49541.7</v>
      </c>
    </row>
    <row r="5654">
      <c r="G5654" s="5"/>
      <c r="H5654" s="6"/>
      <c r="AD5654" s="5">
        <v>45162.0</v>
      </c>
      <c r="AE5654" s="6">
        <v>0.5</v>
      </c>
      <c r="AF5654" s="7">
        <v>50859.12</v>
      </c>
    </row>
    <row r="5655">
      <c r="G5655" s="5"/>
      <c r="H5655" s="6"/>
      <c r="AD5655" s="5">
        <v>45162.0</v>
      </c>
      <c r="AE5655" s="6">
        <v>0.5416666666666666</v>
      </c>
      <c r="AF5655" s="7">
        <v>49823.28</v>
      </c>
    </row>
    <row r="5656">
      <c r="G5656" s="5"/>
      <c r="H5656" s="6"/>
      <c r="AD5656" s="5">
        <v>45162.0</v>
      </c>
      <c r="AE5656" s="6">
        <v>0.5833333333333334</v>
      </c>
      <c r="AF5656" s="7">
        <v>45104.28</v>
      </c>
    </row>
    <row r="5657">
      <c r="G5657" s="5"/>
      <c r="H5657" s="6"/>
      <c r="AD5657" s="5">
        <v>45162.0</v>
      </c>
      <c r="AE5657" s="6">
        <v>0.625</v>
      </c>
      <c r="AF5657" s="7">
        <v>37102.26</v>
      </c>
    </row>
    <row r="5658">
      <c r="G5658" s="5"/>
      <c r="H5658" s="6"/>
      <c r="AD5658" s="5">
        <v>45162.0</v>
      </c>
      <c r="AE5658" s="6">
        <v>0.6666666666666666</v>
      </c>
      <c r="AF5658" s="7">
        <v>25448.28</v>
      </c>
    </row>
    <row r="5659">
      <c r="G5659" s="5"/>
      <c r="H5659" s="6"/>
      <c r="AD5659" s="5">
        <v>45162.0</v>
      </c>
      <c r="AE5659" s="6">
        <v>0.7083333333333334</v>
      </c>
      <c r="AF5659" s="7">
        <v>12204.66</v>
      </c>
    </row>
    <row r="5660">
      <c r="G5660" s="5"/>
      <c r="H5660" s="6"/>
      <c r="AD5660" s="5">
        <v>45162.0</v>
      </c>
      <c r="AE5660" s="6">
        <v>0.75</v>
      </c>
      <c r="AF5660" s="7">
        <v>1750.32</v>
      </c>
    </row>
    <row r="5661">
      <c r="G5661" s="5"/>
      <c r="H5661" s="6"/>
      <c r="AD5661" s="5">
        <v>45162.0</v>
      </c>
      <c r="AE5661" s="6">
        <v>0.7916666666666666</v>
      </c>
      <c r="AF5661" s="7">
        <v>0.0</v>
      </c>
    </row>
    <row r="5662">
      <c r="G5662" s="5"/>
      <c r="H5662" s="6"/>
      <c r="AD5662" s="5">
        <v>45162.0</v>
      </c>
      <c r="AE5662" s="6">
        <v>0.8333333333333334</v>
      </c>
      <c r="AF5662" s="7">
        <v>0.0</v>
      </c>
    </row>
    <row r="5663">
      <c r="G5663" s="5"/>
      <c r="H5663" s="6"/>
      <c r="AD5663" s="5">
        <v>45162.0</v>
      </c>
      <c r="AE5663" s="6">
        <v>0.875</v>
      </c>
      <c r="AF5663" s="7">
        <v>0.0</v>
      </c>
    </row>
    <row r="5664">
      <c r="G5664" s="5"/>
      <c r="H5664" s="6"/>
      <c r="AD5664" s="5">
        <v>45162.0</v>
      </c>
      <c r="AE5664" s="6">
        <v>0.9166666666666666</v>
      </c>
      <c r="AF5664" s="7">
        <v>0.0</v>
      </c>
    </row>
    <row r="5665">
      <c r="G5665" s="5"/>
      <c r="H5665" s="6"/>
      <c r="AD5665" s="5">
        <v>45162.0</v>
      </c>
      <c r="AE5665" s="6">
        <v>0.9583333333333334</v>
      </c>
      <c r="AF5665" s="7">
        <v>0.0</v>
      </c>
    </row>
    <row r="5666">
      <c r="G5666" s="5"/>
      <c r="H5666" s="6"/>
      <c r="AD5666" s="5">
        <v>45163.0</v>
      </c>
      <c r="AE5666" s="6">
        <v>0.0</v>
      </c>
      <c r="AF5666" s="7">
        <v>0.0</v>
      </c>
    </row>
    <row r="5667">
      <c r="G5667" s="5"/>
      <c r="H5667" s="6"/>
      <c r="AD5667" s="5">
        <v>45163.0</v>
      </c>
      <c r="AE5667" s="6">
        <v>0.041666666666666664</v>
      </c>
      <c r="AF5667" s="7">
        <v>0.0</v>
      </c>
    </row>
    <row r="5668">
      <c r="G5668" s="5"/>
      <c r="H5668" s="6"/>
      <c r="AD5668" s="5">
        <v>45163.0</v>
      </c>
      <c r="AE5668" s="6">
        <v>0.08333333333333333</v>
      </c>
      <c r="AF5668" s="7">
        <v>0.0</v>
      </c>
    </row>
    <row r="5669">
      <c r="G5669" s="5"/>
      <c r="H5669" s="6"/>
      <c r="AD5669" s="5">
        <v>45163.0</v>
      </c>
      <c r="AE5669" s="6">
        <v>0.125</v>
      </c>
      <c r="AF5669" s="7">
        <v>0.0</v>
      </c>
    </row>
    <row r="5670">
      <c r="G5670" s="5"/>
      <c r="H5670" s="6"/>
      <c r="AD5670" s="5">
        <v>45163.0</v>
      </c>
      <c r="AE5670" s="6">
        <v>0.16666666666666666</v>
      </c>
      <c r="AF5670" s="7">
        <v>0.0</v>
      </c>
    </row>
    <row r="5671">
      <c r="G5671" s="5"/>
      <c r="H5671" s="6"/>
      <c r="AD5671" s="5">
        <v>45163.0</v>
      </c>
      <c r="AE5671" s="6">
        <v>0.20833333333333334</v>
      </c>
      <c r="AF5671" s="7">
        <v>0.0</v>
      </c>
    </row>
    <row r="5672">
      <c r="G5672" s="5"/>
      <c r="H5672" s="6"/>
      <c r="AD5672" s="5">
        <v>45163.0</v>
      </c>
      <c r="AE5672" s="6">
        <v>0.25</v>
      </c>
      <c r="AF5672" s="7">
        <v>2771.34</v>
      </c>
    </row>
    <row r="5673">
      <c r="G5673" s="5"/>
      <c r="H5673" s="6"/>
      <c r="AD5673" s="5">
        <v>45163.0</v>
      </c>
      <c r="AE5673" s="6">
        <v>0.2916666666666667</v>
      </c>
      <c r="AF5673" s="7">
        <v>14892.54</v>
      </c>
    </row>
    <row r="5674">
      <c r="G5674" s="5"/>
      <c r="H5674" s="6"/>
      <c r="AD5674" s="5">
        <v>45163.0</v>
      </c>
      <c r="AE5674" s="6">
        <v>0.3333333333333333</v>
      </c>
      <c r="AF5674" s="7">
        <v>29130.66</v>
      </c>
    </row>
    <row r="5675">
      <c r="G5675" s="5"/>
      <c r="H5675" s="6"/>
      <c r="AD5675" s="5">
        <v>45163.0</v>
      </c>
      <c r="AE5675" s="6">
        <v>0.375</v>
      </c>
      <c r="AF5675" s="7">
        <v>40814.28</v>
      </c>
    </row>
    <row r="5676">
      <c r="G5676" s="5"/>
      <c r="H5676" s="6"/>
      <c r="AD5676" s="5">
        <v>45163.0</v>
      </c>
      <c r="AE5676" s="6">
        <v>0.4166666666666667</v>
      </c>
      <c r="AF5676" s="7">
        <v>48532.38</v>
      </c>
    </row>
    <row r="5677">
      <c r="G5677" s="5"/>
      <c r="H5677" s="6"/>
      <c r="AD5677" s="5">
        <v>45163.0</v>
      </c>
      <c r="AE5677" s="6">
        <v>0.4583333333333333</v>
      </c>
      <c r="AF5677" s="7">
        <v>52309.14</v>
      </c>
    </row>
    <row r="5678">
      <c r="G5678" s="5"/>
      <c r="H5678" s="6"/>
      <c r="AD5678" s="5">
        <v>45163.0</v>
      </c>
      <c r="AE5678" s="6">
        <v>0.5</v>
      </c>
      <c r="AF5678" s="7">
        <v>53185.86</v>
      </c>
    </row>
    <row r="5679">
      <c r="G5679" s="5"/>
      <c r="H5679" s="6"/>
      <c r="AD5679" s="5">
        <v>45163.0</v>
      </c>
      <c r="AE5679" s="6">
        <v>0.5416666666666666</v>
      </c>
      <c r="AF5679" s="7">
        <v>51114.18</v>
      </c>
    </row>
    <row r="5680">
      <c r="G5680" s="5"/>
      <c r="H5680" s="6"/>
      <c r="AD5680" s="5">
        <v>45163.0</v>
      </c>
      <c r="AE5680" s="6">
        <v>0.5833333333333334</v>
      </c>
      <c r="AF5680" s="7">
        <v>38975.82</v>
      </c>
    </row>
    <row r="5681">
      <c r="G5681" s="5"/>
      <c r="H5681" s="6"/>
      <c r="AD5681" s="5">
        <v>45163.0</v>
      </c>
      <c r="AE5681" s="6">
        <v>0.625</v>
      </c>
      <c r="AF5681" s="7">
        <v>35963.46</v>
      </c>
    </row>
    <row r="5682">
      <c r="G5682" s="5"/>
      <c r="H5682" s="6"/>
      <c r="AD5682" s="5">
        <v>45163.0</v>
      </c>
      <c r="AE5682" s="6">
        <v>0.6666666666666666</v>
      </c>
      <c r="AF5682" s="7">
        <v>25126.14</v>
      </c>
    </row>
    <row r="5683">
      <c r="G5683" s="5"/>
      <c r="H5683" s="6"/>
      <c r="AD5683" s="5">
        <v>45163.0</v>
      </c>
      <c r="AE5683" s="6">
        <v>0.7083333333333334</v>
      </c>
      <c r="AF5683" s="7">
        <v>13033.02</v>
      </c>
    </row>
    <row r="5684">
      <c r="G5684" s="5"/>
      <c r="H5684" s="6"/>
      <c r="AD5684" s="5">
        <v>45163.0</v>
      </c>
      <c r="AE5684" s="6">
        <v>0.75</v>
      </c>
      <c r="AF5684" s="7">
        <v>1564.68</v>
      </c>
    </row>
    <row r="5685">
      <c r="G5685" s="5"/>
      <c r="H5685" s="6"/>
      <c r="AD5685" s="5">
        <v>45163.0</v>
      </c>
      <c r="AE5685" s="6">
        <v>0.7916666666666666</v>
      </c>
      <c r="AF5685" s="7">
        <v>0.0</v>
      </c>
    </row>
    <row r="5686">
      <c r="G5686" s="5"/>
      <c r="H5686" s="6"/>
      <c r="AD5686" s="5">
        <v>45163.0</v>
      </c>
      <c r="AE5686" s="6">
        <v>0.8333333333333334</v>
      </c>
      <c r="AF5686" s="7">
        <v>0.0</v>
      </c>
    </row>
    <row r="5687">
      <c r="G5687" s="5"/>
      <c r="H5687" s="6"/>
      <c r="AD5687" s="5">
        <v>45163.0</v>
      </c>
      <c r="AE5687" s="6">
        <v>0.875</v>
      </c>
      <c r="AF5687" s="7">
        <v>0.0</v>
      </c>
    </row>
    <row r="5688">
      <c r="G5688" s="5"/>
      <c r="H5688" s="6"/>
      <c r="AD5688" s="5">
        <v>45163.0</v>
      </c>
      <c r="AE5688" s="6">
        <v>0.9166666666666666</v>
      </c>
      <c r="AF5688" s="7">
        <v>0.0</v>
      </c>
    </row>
    <row r="5689">
      <c r="G5689" s="5"/>
      <c r="H5689" s="6"/>
      <c r="AD5689" s="5">
        <v>45163.0</v>
      </c>
      <c r="AE5689" s="6">
        <v>0.9583333333333334</v>
      </c>
      <c r="AF5689" s="7">
        <v>0.0</v>
      </c>
    </row>
    <row r="5690">
      <c r="G5690" s="5"/>
      <c r="H5690" s="6"/>
      <c r="AD5690" s="5">
        <v>45164.0</v>
      </c>
      <c r="AE5690" s="6">
        <v>0.0</v>
      </c>
      <c r="AF5690" s="7">
        <v>0.0</v>
      </c>
    </row>
    <row r="5691">
      <c r="G5691" s="5"/>
      <c r="H5691" s="6"/>
      <c r="AD5691" s="5">
        <v>45164.0</v>
      </c>
      <c r="AE5691" s="6">
        <v>0.041666666666666664</v>
      </c>
      <c r="AF5691" s="7">
        <v>0.0</v>
      </c>
    </row>
    <row r="5692">
      <c r="G5692" s="5"/>
      <c r="H5692" s="6"/>
      <c r="AD5692" s="5">
        <v>45164.0</v>
      </c>
      <c r="AE5692" s="6">
        <v>0.08333333333333333</v>
      </c>
      <c r="AF5692" s="7">
        <v>0.0</v>
      </c>
    </row>
    <row r="5693">
      <c r="G5693" s="5"/>
      <c r="H5693" s="6"/>
      <c r="AD5693" s="5">
        <v>45164.0</v>
      </c>
      <c r="AE5693" s="6">
        <v>0.125</v>
      </c>
      <c r="AF5693" s="7">
        <v>0.0</v>
      </c>
    </row>
    <row r="5694">
      <c r="G5694" s="5"/>
      <c r="H5694" s="6"/>
      <c r="AD5694" s="5">
        <v>45164.0</v>
      </c>
      <c r="AE5694" s="6">
        <v>0.16666666666666666</v>
      </c>
      <c r="AF5694" s="7">
        <v>0.0</v>
      </c>
    </row>
    <row r="5695">
      <c r="G5695" s="5"/>
      <c r="H5695" s="6"/>
      <c r="AD5695" s="5">
        <v>45164.0</v>
      </c>
      <c r="AE5695" s="6">
        <v>0.20833333333333334</v>
      </c>
      <c r="AF5695" s="7">
        <v>0.0</v>
      </c>
    </row>
    <row r="5696">
      <c r="G5696" s="5"/>
      <c r="H5696" s="6"/>
      <c r="AD5696" s="5">
        <v>45164.0</v>
      </c>
      <c r="AE5696" s="6">
        <v>0.25</v>
      </c>
      <c r="AF5696" s="7">
        <v>1337.7</v>
      </c>
    </row>
    <row r="5697">
      <c r="G5697" s="5"/>
      <c r="H5697" s="6"/>
      <c r="AD5697" s="5">
        <v>45164.0</v>
      </c>
      <c r="AE5697" s="6">
        <v>0.2916666666666667</v>
      </c>
      <c r="AF5697" s="7">
        <v>3054.48</v>
      </c>
    </row>
    <row r="5698">
      <c r="G5698" s="5"/>
      <c r="H5698" s="6"/>
      <c r="AD5698" s="5">
        <v>45164.0</v>
      </c>
      <c r="AE5698" s="6">
        <v>0.3333333333333333</v>
      </c>
      <c r="AF5698" s="7">
        <v>14853.54</v>
      </c>
    </row>
    <row r="5699">
      <c r="G5699" s="5"/>
      <c r="H5699" s="6"/>
      <c r="AD5699" s="5">
        <v>45164.0</v>
      </c>
      <c r="AE5699" s="6">
        <v>0.375</v>
      </c>
      <c r="AF5699" s="7">
        <v>28583.88</v>
      </c>
    </row>
    <row r="5700">
      <c r="G5700" s="5"/>
      <c r="H5700" s="6"/>
      <c r="AD5700" s="5">
        <v>45164.0</v>
      </c>
      <c r="AE5700" s="6">
        <v>0.4166666666666667</v>
      </c>
      <c r="AF5700" s="7">
        <v>20691.06</v>
      </c>
    </row>
    <row r="5701">
      <c r="G5701" s="5"/>
      <c r="H5701" s="6"/>
      <c r="AD5701" s="5">
        <v>45164.0</v>
      </c>
      <c r="AE5701" s="6">
        <v>0.4583333333333333</v>
      </c>
      <c r="AF5701" s="7">
        <v>23190.18</v>
      </c>
    </row>
    <row r="5702">
      <c r="G5702" s="5"/>
      <c r="H5702" s="6"/>
      <c r="AD5702" s="5">
        <v>45164.0</v>
      </c>
      <c r="AE5702" s="6">
        <v>0.5</v>
      </c>
      <c r="AF5702" s="7">
        <v>9468.42</v>
      </c>
    </row>
    <row r="5703">
      <c r="G5703" s="5"/>
      <c r="H5703" s="6"/>
      <c r="AD5703" s="5">
        <v>45164.0</v>
      </c>
      <c r="AE5703" s="6">
        <v>0.5416666666666666</v>
      </c>
      <c r="AF5703" s="7">
        <v>13485.42</v>
      </c>
    </row>
    <row r="5704">
      <c r="G5704" s="5"/>
      <c r="H5704" s="6"/>
      <c r="AD5704" s="5">
        <v>45164.0</v>
      </c>
      <c r="AE5704" s="6">
        <v>0.5833333333333334</v>
      </c>
      <c r="AF5704" s="7">
        <v>10901.28</v>
      </c>
    </row>
    <row r="5705">
      <c r="G5705" s="5"/>
      <c r="H5705" s="6"/>
      <c r="AD5705" s="5">
        <v>45164.0</v>
      </c>
      <c r="AE5705" s="6">
        <v>0.625</v>
      </c>
      <c r="AF5705" s="7">
        <v>33419.88</v>
      </c>
    </row>
    <row r="5706">
      <c r="G5706" s="5"/>
      <c r="H5706" s="6"/>
      <c r="AD5706" s="5">
        <v>45164.0</v>
      </c>
      <c r="AE5706" s="6">
        <v>0.6666666666666666</v>
      </c>
      <c r="AF5706" s="7">
        <v>17467.32</v>
      </c>
    </row>
    <row r="5707">
      <c r="G5707" s="5"/>
      <c r="H5707" s="6"/>
      <c r="AD5707" s="5">
        <v>45164.0</v>
      </c>
      <c r="AE5707" s="6">
        <v>0.7083333333333334</v>
      </c>
      <c r="AF5707" s="7">
        <v>6542.64</v>
      </c>
    </row>
    <row r="5708">
      <c r="G5708" s="5"/>
      <c r="H5708" s="6"/>
      <c r="AD5708" s="5">
        <v>45164.0</v>
      </c>
      <c r="AE5708" s="6">
        <v>0.75</v>
      </c>
      <c r="AF5708" s="7">
        <v>0.78</v>
      </c>
    </row>
    <row r="5709">
      <c r="G5709" s="5"/>
      <c r="H5709" s="6"/>
      <c r="AD5709" s="5">
        <v>45164.0</v>
      </c>
      <c r="AE5709" s="6">
        <v>0.7916666666666666</v>
      </c>
      <c r="AF5709" s="7">
        <v>0.0</v>
      </c>
    </row>
    <row r="5710">
      <c r="G5710" s="5"/>
      <c r="H5710" s="6"/>
      <c r="AD5710" s="5">
        <v>45164.0</v>
      </c>
      <c r="AE5710" s="6">
        <v>0.8333333333333334</v>
      </c>
      <c r="AF5710" s="7">
        <v>0.0</v>
      </c>
    </row>
    <row r="5711">
      <c r="G5711" s="5"/>
      <c r="H5711" s="6"/>
      <c r="AD5711" s="5">
        <v>45164.0</v>
      </c>
      <c r="AE5711" s="6">
        <v>0.875</v>
      </c>
      <c r="AF5711" s="7">
        <v>0.0</v>
      </c>
    </row>
    <row r="5712">
      <c r="G5712" s="5"/>
      <c r="H5712" s="6"/>
      <c r="AD5712" s="5">
        <v>45164.0</v>
      </c>
      <c r="AE5712" s="6">
        <v>0.9166666666666666</v>
      </c>
      <c r="AF5712" s="7">
        <v>0.0</v>
      </c>
    </row>
    <row r="5713">
      <c r="G5713" s="5"/>
      <c r="H5713" s="6"/>
      <c r="AD5713" s="5">
        <v>45164.0</v>
      </c>
      <c r="AE5713" s="6">
        <v>0.9583333333333334</v>
      </c>
      <c r="AF5713" s="7">
        <v>0.0</v>
      </c>
    </row>
    <row r="5714">
      <c r="G5714" s="5"/>
      <c r="H5714" s="6"/>
      <c r="AD5714" s="5">
        <v>45165.0</v>
      </c>
      <c r="AE5714" s="6">
        <v>0.0</v>
      </c>
      <c r="AF5714" s="7">
        <v>0.0</v>
      </c>
    </row>
    <row r="5715">
      <c r="G5715" s="5"/>
      <c r="H5715" s="6"/>
      <c r="AD5715" s="5">
        <v>45165.0</v>
      </c>
      <c r="AE5715" s="6">
        <v>0.041666666666666664</v>
      </c>
      <c r="AF5715" s="7">
        <v>0.0</v>
      </c>
    </row>
    <row r="5716">
      <c r="G5716" s="5"/>
      <c r="H5716" s="6"/>
      <c r="AD5716" s="5">
        <v>45165.0</v>
      </c>
      <c r="AE5716" s="6">
        <v>0.08333333333333333</v>
      </c>
      <c r="AF5716" s="7">
        <v>0.0</v>
      </c>
    </row>
    <row r="5717">
      <c r="G5717" s="5"/>
      <c r="H5717" s="6"/>
      <c r="AD5717" s="5">
        <v>45165.0</v>
      </c>
      <c r="AE5717" s="6">
        <v>0.125</v>
      </c>
      <c r="AF5717" s="7">
        <v>0.0</v>
      </c>
    </row>
    <row r="5718">
      <c r="G5718" s="5"/>
      <c r="H5718" s="6"/>
      <c r="AD5718" s="5">
        <v>45165.0</v>
      </c>
      <c r="AE5718" s="6">
        <v>0.16666666666666666</v>
      </c>
      <c r="AF5718" s="7">
        <v>0.0</v>
      </c>
    </row>
    <row r="5719">
      <c r="G5719" s="5"/>
      <c r="H5719" s="6"/>
      <c r="AD5719" s="5">
        <v>45165.0</v>
      </c>
      <c r="AE5719" s="6">
        <v>0.20833333333333334</v>
      </c>
      <c r="AF5719" s="7">
        <v>0.0</v>
      </c>
    </row>
    <row r="5720">
      <c r="G5720" s="5"/>
      <c r="H5720" s="6"/>
      <c r="AD5720" s="5">
        <v>45165.0</v>
      </c>
      <c r="AE5720" s="6">
        <v>0.25</v>
      </c>
      <c r="AF5720" s="7">
        <v>2483.52</v>
      </c>
    </row>
    <row r="5721">
      <c r="G5721" s="5"/>
      <c r="H5721" s="6"/>
      <c r="AD5721" s="5">
        <v>45165.0</v>
      </c>
      <c r="AE5721" s="6">
        <v>0.2916666666666667</v>
      </c>
      <c r="AF5721" s="7">
        <v>15946.32</v>
      </c>
    </row>
    <row r="5722">
      <c r="G5722" s="5"/>
      <c r="H5722" s="6"/>
      <c r="AD5722" s="5">
        <v>45165.0</v>
      </c>
      <c r="AE5722" s="6">
        <v>0.3333333333333333</v>
      </c>
      <c r="AF5722" s="7">
        <v>31752.24</v>
      </c>
    </row>
    <row r="5723">
      <c r="G5723" s="5"/>
      <c r="H5723" s="6"/>
      <c r="AD5723" s="5">
        <v>45165.0</v>
      </c>
      <c r="AE5723" s="6">
        <v>0.375</v>
      </c>
      <c r="AF5723" s="7">
        <v>43221.36</v>
      </c>
    </row>
    <row r="5724">
      <c r="G5724" s="5"/>
      <c r="H5724" s="6"/>
      <c r="AD5724" s="5">
        <v>45165.0</v>
      </c>
      <c r="AE5724" s="6">
        <v>0.4166666666666667</v>
      </c>
      <c r="AF5724" s="7">
        <v>53700.66</v>
      </c>
    </row>
    <row r="5725">
      <c r="G5725" s="5"/>
      <c r="H5725" s="6"/>
      <c r="AD5725" s="5">
        <v>45165.0</v>
      </c>
      <c r="AE5725" s="6">
        <v>0.4583333333333333</v>
      </c>
      <c r="AF5725" s="7">
        <v>58863.48</v>
      </c>
    </row>
    <row r="5726">
      <c r="G5726" s="5"/>
      <c r="H5726" s="6"/>
      <c r="AD5726" s="5">
        <v>45165.0</v>
      </c>
      <c r="AE5726" s="6">
        <v>0.5</v>
      </c>
      <c r="AF5726" s="7">
        <v>60825.18</v>
      </c>
    </row>
    <row r="5727">
      <c r="G5727" s="5"/>
      <c r="H5727" s="6"/>
      <c r="AD5727" s="5">
        <v>45165.0</v>
      </c>
      <c r="AE5727" s="6">
        <v>0.5416666666666666</v>
      </c>
      <c r="AF5727" s="7">
        <v>57533.58</v>
      </c>
    </row>
    <row r="5728">
      <c r="G5728" s="5"/>
      <c r="H5728" s="6"/>
      <c r="AD5728" s="5">
        <v>45165.0</v>
      </c>
      <c r="AE5728" s="6">
        <v>0.5833333333333334</v>
      </c>
      <c r="AF5728" s="7">
        <v>51300.6</v>
      </c>
    </row>
    <row r="5729">
      <c r="G5729" s="5"/>
      <c r="H5729" s="6"/>
      <c r="AD5729" s="5">
        <v>45165.0</v>
      </c>
      <c r="AE5729" s="6">
        <v>0.625</v>
      </c>
      <c r="AF5729" s="7">
        <v>40658.28</v>
      </c>
    </row>
    <row r="5730">
      <c r="G5730" s="5"/>
      <c r="H5730" s="6"/>
      <c r="AD5730" s="5">
        <v>45165.0</v>
      </c>
      <c r="AE5730" s="6">
        <v>0.6666666666666666</v>
      </c>
      <c r="AF5730" s="7">
        <v>28193.88</v>
      </c>
    </row>
    <row r="5731">
      <c r="G5731" s="5"/>
      <c r="H5731" s="6"/>
      <c r="AD5731" s="5">
        <v>45165.0</v>
      </c>
      <c r="AE5731" s="6">
        <v>0.7083333333333334</v>
      </c>
      <c r="AF5731" s="7">
        <v>13199.94</v>
      </c>
    </row>
    <row r="5732">
      <c r="G5732" s="5"/>
      <c r="H5732" s="6"/>
      <c r="AD5732" s="5">
        <v>45165.0</v>
      </c>
      <c r="AE5732" s="6">
        <v>0.75</v>
      </c>
      <c r="AF5732" s="7">
        <v>1304.94</v>
      </c>
    </row>
    <row r="5733">
      <c r="G5733" s="5"/>
      <c r="H5733" s="6"/>
      <c r="AD5733" s="5">
        <v>45165.0</v>
      </c>
      <c r="AE5733" s="6">
        <v>0.7916666666666666</v>
      </c>
      <c r="AF5733" s="7">
        <v>0.0</v>
      </c>
    </row>
    <row r="5734">
      <c r="G5734" s="5"/>
      <c r="H5734" s="6"/>
      <c r="AD5734" s="5">
        <v>45165.0</v>
      </c>
      <c r="AE5734" s="6">
        <v>0.8333333333333334</v>
      </c>
      <c r="AF5734" s="7">
        <v>0.0</v>
      </c>
    </row>
    <row r="5735">
      <c r="G5735" s="5"/>
      <c r="H5735" s="6"/>
      <c r="AD5735" s="5">
        <v>45165.0</v>
      </c>
      <c r="AE5735" s="6">
        <v>0.875</v>
      </c>
      <c r="AF5735" s="7">
        <v>0.0</v>
      </c>
    </row>
    <row r="5736">
      <c r="G5736" s="5"/>
      <c r="H5736" s="6"/>
      <c r="AD5736" s="5">
        <v>45165.0</v>
      </c>
      <c r="AE5736" s="6">
        <v>0.9166666666666666</v>
      </c>
      <c r="AF5736" s="7">
        <v>0.0</v>
      </c>
    </row>
    <row r="5737">
      <c r="G5737" s="5"/>
      <c r="H5737" s="6"/>
      <c r="AD5737" s="5">
        <v>45165.0</v>
      </c>
      <c r="AE5737" s="6">
        <v>0.9583333333333334</v>
      </c>
      <c r="AF5737" s="7">
        <v>0.0</v>
      </c>
    </row>
    <row r="5738">
      <c r="G5738" s="5"/>
      <c r="H5738" s="6"/>
      <c r="AD5738" s="5">
        <v>45166.0</v>
      </c>
      <c r="AE5738" s="6">
        <v>0.0</v>
      </c>
      <c r="AF5738" s="7">
        <v>0.0</v>
      </c>
    </row>
    <row r="5739">
      <c r="G5739" s="5"/>
      <c r="H5739" s="6"/>
      <c r="AD5739" s="5">
        <v>45166.0</v>
      </c>
      <c r="AE5739" s="6">
        <v>0.041666666666666664</v>
      </c>
      <c r="AF5739" s="7">
        <v>0.0</v>
      </c>
    </row>
    <row r="5740">
      <c r="G5740" s="5"/>
      <c r="H5740" s="6"/>
      <c r="AD5740" s="5">
        <v>45166.0</v>
      </c>
      <c r="AE5740" s="6">
        <v>0.08333333333333333</v>
      </c>
      <c r="AF5740" s="7">
        <v>0.0</v>
      </c>
    </row>
    <row r="5741">
      <c r="G5741" s="5"/>
      <c r="H5741" s="6"/>
      <c r="AD5741" s="5">
        <v>45166.0</v>
      </c>
      <c r="AE5741" s="6">
        <v>0.125</v>
      </c>
      <c r="AF5741" s="7">
        <v>0.0</v>
      </c>
    </row>
    <row r="5742">
      <c r="G5742" s="5"/>
      <c r="H5742" s="6"/>
      <c r="AD5742" s="5">
        <v>45166.0</v>
      </c>
      <c r="AE5742" s="6">
        <v>0.16666666666666666</v>
      </c>
      <c r="AF5742" s="7">
        <v>0.0</v>
      </c>
    </row>
    <row r="5743">
      <c r="G5743" s="5"/>
      <c r="H5743" s="6"/>
      <c r="AD5743" s="5">
        <v>45166.0</v>
      </c>
      <c r="AE5743" s="6">
        <v>0.20833333333333334</v>
      </c>
      <c r="AF5743" s="7">
        <v>0.0</v>
      </c>
    </row>
    <row r="5744">
      <c r="G5744" s="5"/>
      <c r="H5744" s="6"/>
      <c r="AD5744" s="5">
        <v>45166.0</v>
      </c>
      <c r="AE5744" s="6">
        <v>0.25</v>
      </c>
      <c r="AF5744" s="7">
        <v>2645.76</v>
      </c>
    </row>
    <row r="5745">
      <c r="G5745" s="5"/>
      <c r="H5745" s="6"/>
      <c r="AD5745" s="5">
        <v>45166.0</v>
      </c>
      <c r="AE5745" s="6">
        <v>0.2916666666666667</v>
      </c>
      <c r="AF5745" s="7">
        <v>16468.92</v>
      </c>
    </row>
    <row r="5746">
      <c r="G5746" s="5"/>
      <c r="H5746" s="6"/>
      <c r="AD5746" s="5">
        <v>45166.0</v>
      </c>
      <c r="AE5746" s="6">
        <v>0.3333333333333333</v>
      </c>
      <c r="AF5746" s="7">
        <v>31413.72</v>
      </c>
    </row>
    <row r="5747">
      <c r="G5747" s="5"/>
      <c r="H5747" s="6"/>
      <c r="AD5747" s="5">
        <v>45166.0</v>
      </c>
      <c r="AE5747" s="6">
        <v>0.375</v>
      </c>
      <c r="AF5747" s="7">
        <v>42438.24</v>
      </c>
    </row>
    <row r="5748">
      <c r="G5748" s="5"/>
      <c r="H5748" s="6"/>
      <c r="AD5748" s="5">
        <v>45166.0</v>
      </c>
      <c r="AE5748" s="6">
        <v>0.4166666666666667</v>
      </c>
      <c r="AF5748" s="7">
        <v>41687.1</v>
      </c>
    </row>
    <row r="5749">
      <c r="G5749" s="5"/>
      <c r="H5749" s="6"/>
      <c r="AD5749" s="5">
        <v>45166.0</v>
      </c>
      <c r="AE5749" s="6">
        <v>0.4583333333333333</v>
      </c>
      <c r="AF5749" s="7">
        <v>45013.8</v>
      </c>
    </row>
    <row r="5750">
      <c r="G5750" s="5"/>
      <c r="H5750" s="6"/>
      <c r="AD5750" s="5">
        <v>45166.0</v>
      </c>
      <c r="AE5750" s="6">
        <v>0.5</v>
      </c>
      <c r="AF5750" s="7">
        <v>58756.62</v>
      </c>
    </row>
    <row r="5751">
      <c r="G5751" s="5"/>
      <c r="H5751" s="6"/>
      <c r="AD5751" s="5">
        <v>45166.0</v>
      </c>
      <c r="AE5751" s="6">
        <v>0.5416666666666666</v>
      </c>
      <c r="AF5751" s="7">
        <v>27303.9</v>
      </c>
    </row>
    <row r="5752">
      <c r="G5752" s="5"/>
      <c r="H5752" s="6"/>
      <c r="AD5752" s="5">
        <v>45166.0</v>
      </c>
      <c r="AE5752" s="6">
        <v>0.5833333333333334</v>
      </c>
      <c r="AF5752" s="7">
        <v>42126.24</v>
      </c>
    </row>
    <row r="5753">
      <c r="G5753" s="5"/>
      <c r="H5753" s="6"/>
      <c r="AD5753" s="5">
        <v>45166.0</v>
      </c>
      <c r="AE5753" s="6">
        <v>0.625</v>
      </c>
      <c r="AF5753" s="7">
        <v>24505.26</v>
      </c>
    </row>
    <row r="5754">
      <c r="G5754" s="5"/>
      <c r="H5754" s="6"/>
      <c r="AD5754" s="5">
        <v>45166.0</v>
      </c>
      <c r="AE5754" s="6">
        <v>0.6666666666666666</v>
      </c>
      <c r="AF5754" s="7">
        <v>26424.06</v>
      </c>
    </row>
    <row r="5755">
      <c r="G5755" s="5"/>
      <c r="H5755" s="6"/>
      <c r="AD5755" s="5">
        <v>45166.0</v>
      </c>
      <c r="AE5755" s="6">
        <v>0.7083333333333334</v>
      </c>
      <c r="AF5755" s="7">
        <v>5626.14</v>
      </c>
    </row>
    <row r="5756">
      <c r="G5756" s="5"/>
      <c r="H5756" s="6"/>
      <c r="AD5756" s="5">
        <v>45166.0</v>
      </c>
      <c r="AE5756" s="6">
        <v>0.75</v>
      </c>
      <c r="AF5756" s="7">
        <v>952.38</v>
      </c>
    </row>
    <row r="5757">
      <c r="G5757" s="5"/>
      <c r="H5757" s="6"/>
      <c r="AD5757" s="5">
        <v>45166.0</v>
      </c>
      <c r="AE5757" s="6">
        <v>0.7916666666666666</v>
      </c>
      <c r="AF5757" s="7">
        <v>0.0</v>
      </c>
    </row>
    <row r="5758">
      <c r="G5758" s="5"/>
      <c r="H5758" s="6"/>
      <c r="AD5758" s="5">
        <v>45166.0</v>
      </c>
      <c r="AE5758" s="6">
        <v>0.8333333333333334</v>
      </c>
      <c r="AF5758" s="7">
        <v>0.0</v>
      </c>
    </row>
    <row r="5759">
      <c r="G5759" s="5"/>
      <c r="H5759" s="6"/>
      <c r="AD5759" s="5">
        <v>45166.0</v>
      </c>
      <c r="AE5759" s="6">
        <v>0.875</v>
      </c>
      <c r="AF5759" s="7">
        <v>0.0</v>
      </c>
    </row>
    <row r="5760">
      <c r="G5760" s="5"/>
      <c r="H5760" s="6"/>
      <c r="AD5760" s="5">
        <v>45166.0</v>
      </c>
      <c r="AE5760" s="6">
        <v>0.9166666666666666</v>
      </c>
      <c r="AF5760" s="7">
        <v>0.0</v>
      </c>
    </row>
    <row r="5761">
      <c r="G5761" s="5"/>
      <c r="H5761" s="6"/>
      <c r="AD5761" s="5">
        <v>45166.0</v>
      </c>
      <c r="AE5761" s="6">
        <v>0.9583333333333334</v>
      </c>
      <c r="AF5761" s="7">
        <v>0.0</v>
      </c>
    </row>
    <row r="5762">
      <c r="G5762" s="5"/>
      <c r="H5762" s="6"/>
      <c r="AD5762" s="5">
        <v>45167.0</v>
      </c>
      <c r="AE5762" s="6">
        <v>0.0</v>
      </c>
      <c r="AF5762" s="7">
        <v>0.0</v>
      </c>
    </row>
    <row r="5763">
      <c r="G5763" s="5"/>
      <c r="H5763" s="6"/>
      <c r="AD5763" s="5">
        <v>45167.0</v>
      </c>
      <c r="AE5763" s="6">
        <v>0.041666666666666664</v>
      </c>
      <c r="AF5763" s="7">
        <v>0.0</v>
      </c>
    </row>
    <row r="5764">
      <c r="G5764" s="5"/>
      <c r="H5764" s="6"/>
      <c r="AD5764" s="5">
        <v>45167.0</v>
      </c>
      <c r="AE5764" s="6">
        <v>0.08333333333333333</v>
      </c>
      <c r="AF5764" s="7">
        <v>0.0</v>
      </c>
    </row>
    <row r="5765">
      <c r="G5765" s="5"/>
      <c r="H5765" s="6"/>
      <c r="AD5765" s="5">
        <v>45167.0</v>
      </c>
      <c r="AE5765" s="6">
        <v>0.125</v>
      </c>
      <c r="AF5765" s="7">
        <v>0.0</v>
      </c>
    </row>
    <row r="5766">
      <c r="G5766" s="5"/>
      <c r="H5766" s="6"/>
      <c r="AD5766" s="5">
        <v>45167.0</v>
      </c>
      <c r="AE5766" s="6">
        <v>0.16666666666666666</v>
      </c>
      <c r="AF5766" s="7">
        <v>0.0</v>
      </c>
    </row>
    <row r="5767">
      <c r="G5767" s="5"/>
      <c r="H5767" s="6"/>
      <c r="AD5767" s="5">
        <v>45167.0</v>
      </c>
      <c r="AE5767" s="6">
        <v>0.20833333333333334</v>
      </c>
      <c r="AF5767" s="7">
        <v>0.0</v>
      </c>
    </row>
    <row r="5768">
      <c r="G5768" s="5"/>
      <c r="H5768" s="6"/>
      <c r="AD5768" s="5">
        <v>45167.0</v>
      </c>
      <c r="AE5768" s="6">
        <v>0.25</v>
      </c>
      <c r="AF5768" s="7">
        <v>2585.7</v>
      </c>
    </row>
    <row r="5769">
      <c r="G5769" s="5"/>
      <c r="H5769" s="6"/>
      <c r="AD5769" s="5">
        <v>45167.0</v>
      </c>
      <c r="AE5769" s="6">
        <v>0.2916666666666667</v>
      </c>
      <c r="AF5769" s="7">
        <v>16004.04</v>
      </c>
    </row>
    <row r="5770">
      <c r="G5770" s="5"/>
      <c r="H5770" s="6"/>
      <c r="AD5770" s="5">
        <v>45167.0</v>
      </c>
      <c r="AE5770" s="6">
        <v>0.3333333333333333</v>
      </c>
      <c r="AF5770" s="7">
        <v>31251.48</v>
      </c>
    </row>
    <row r="5771">
      <c r="G5771" s="5"/>
      <c r="H5771" s="6"/>
      <c r="AD5771" s="5">
        <v>45167.0</v>
      </c>
      <c r="AE5771" s="6">
        <v>0.375</v>
      </c>
      <c r="AF5771" s="7">
        <v>44231.46</v>
      </c>
    </row>
    <row r="5772">
      <c r="G5772" s="5"/>
      <c r="H5772" s="6"/>
      <c r="AD5772" s="5">
        <v>45167.0</v>
      </c>
      <c r="AE5772" s="6">
        <v>0.4166666666666667</v>
      </c>
      <c r="AF5772" s="7">
        <v>52863.72</v>
      </c>
    </row>
    <row r="5773">
      <c r="G5773" s="5"/>
      <c r="H5773" s="6"/>
      <c r="AD5773" s="5">
        <v>45167.0</v>
      </c>
      <c r="AE5773" s="6">
        <v>0.4583333333333333</v>
      </c>
      <c r="AF5773" s="7">
        <v>56068.74</v>
      </c>
    </row>
    <row r="5774">
      <c r="G5774" s="5"/>
      <c r="H5774" s="6"/>
      <c r="AD5774" s="5">
        <v>45167.0</v>
      </c>
      <c r="AE5774" s="6">
        <v>0.5</v>
      </c>
      <c r="AF5774" s="7">
        <v>58281.6</v>
      </c>
    </row>
    <row r="5775">
      <c r="G5775" s="5"/>
      <c r="H5775" s="6"/>
      <c r="AD5775" s="5">
        <v>45167.0</v>
      </c>
      <c r="AE5775" s="6">
        <v>0.5416666666666666</v>
      </c>
      <c r="AF5775" s="7">
        <v>56816.76</v>
      </c>
    </row>
    <row r="5776">
      <c r="G5776" s="5"/>
      <c r="H5776" s="6"/>
      <c r="AD5776" s="5">
        <v>45167.0</v>
      </c>
      <c r="AE5776" s="6">
        <v>0.5833333333333334</v>
      </c>
      <c r="AF5776" s="7">
        <v>47906.82</v>
      </c>
    </row>
    <row r="5777">
      <c r="G5777" s="5"/>
      <c r="H5777" s="6"/>
      <c r="AD5777" s="5">
        <v>45167.0</v>
      </c>
      <c r="AE5777" s="6">
        <v>0.625</v>
      </c>
      <c r="AF5777" s="7">
        <v>35787.18</v>
      </c>
    </row>
    <row r="5778">
      <c r="G5778" s="5"/>
      <c r="H5778" s="6"/>
      <c r="AD5778" s="5">
        <v>45167.0</v>
      </c>
      <c r="AE5778" s="6">
        <v>0.6666666666666666</v>
      </c>
      <c r="AF5778" s="7">
        <v>26477.1</v>
      </c>
    </row>
    <row r="5779">
      <c r="G5779" s="5"/>
      <c r="H5779" s="6"/>
      <c r="AD5779" s="5">
        <v>45167.0</v>
      </c>
      <c r="AE5779" s="6">
        <v>0.7083333333333334</v>
      </c>
      <c r="AF5779" s="7">
        <v>9408.36</v>
      </c>
    </row>
    <row r="5780">
      <c r="G5780" s="5"/>
      <c r="H5780" s="6"/>
      <c r="AD5780" s="5">
        <v>45167.0</v>
      </c>
      <c r="AE5780" s="6">
        <v>0.75</v>
      </c>
      <c r="AF5780" s="7">
        <v>1099.8</v>
      </c>
    </row>
    <row r="5781">
      <c r="G5781" s="5"/>
      <c r="H5781" s="6"/>
      <c r="AD5781" s="5">
        <v>45167.0</v>
      </c>
      <c r="AE5781" s="6">
        <v>0.7916666666666666</v>
      </c>
      <c r="AF5781" s="7">
        <v>0.0</v>
      </c>
    </row>
    <row r="5782">
      <c r="G5782" s="5"/>
      <c r="H5782" s="6"/>
      <c r="AD5782" s="5">
        <v>45167.0</v>
      </c>
      <c r="AE5782" s="6">
        <v>0.8333333333333334</v>
      </c>
      <c r="AF5782" s="7">
        <v>0.0</v>
      </c>
    </row>
    <row r="5783">
      <c r="G5783" s="5"/>
      <c r="H5783" s="6"/>
      <c r="AD5783" s="5">
        <v>45167.0</v>
      </c>
      <c r="AE5783" s="6">
        <v>0.875</v>
      </c>
      <c r="AF5783" s="7">
        <v>0.0</v>
      </c>
    </row>
    <row r="5784">
      <c r="G5784" s="5"/>
      <c r="H5784" s="6"/>
      <c r="AD5784" s="5">
        <v>45167.0</v>
      </c>
      <c r="AE5784" s="6">
        <v>0.9166666666666666</v>
      </c>
      <c r="AF5784" s="7">
        <v>0.0</v>
      </c>
    </row>
    <row r="5785">
      <c r="G5785" s="5"/>
      <c r="H5785" s="6"/>
      <c r="AD5785" s="5">
        <v>45167.0</v>
      </c>
      <c r="AE5785" s="6">
        <v>0.9583333333333334</v>
      </c>
      <c r="AF5785" s="7">
        <v>0.0</v>
      </c>
    </row>
    <row r="5786">
      <c r="G5786" s="5"/>
      <c r="H5786" s="6"/>
      <c r="AD5786" s="5">
        <v>45168.0</v>
      </c>
      <c r="AE5786" s="6">
        <v>0.0</v>
      </c>
      <c r="AF5786" s="7">
        <v>0.0</v>
      </c>
    </row>
    <row r="5787">
      <c r="G5787" s="5"/>
      <c r="H5787" s="6"/>
      <c r="AD5787" s="5">
        <v>45168.0</v>
      </c>
      <c r="AE5787" s="6">
        <v>0.041666666666666664</v>
      </c>
      <c r="AF5787" s="7">
        <v>0.0</v>
      </c>
    </row>
    <row r="5788">
      <c r="G5788" s="5"/>
      <c r="H5788" s="6"/>
      <c r="AD5788" s="5">
        <v>45168.0</v>
      </c>
      <c r="AE5788" s="6">
        <v>0.08333333333333333</v>
      </c>
      <c r="AF5788" s="7">
        <v>0.0</v>
      </c>
    </row>
    <row r="5789">
      <c r="G5789" s="5"/>
      <c r="H5789" s="6"/>
      <c r="AD5789" s="5">
        <v>45168.0</v>
      </c>
      <c r="AE5789" s="6">
        <v>0.125</v>
      </c>
      <c r="AF5789" s="7">
        <v>0.0</v>
      </c>
    </row>
    <row r="5790">
      <c r="G5790" s="5"/>
      <c r="H5790" s="6"/>
      <c r="AD5790" s="5">
        <v>45168.0</v>
      </c>
      <c r="AE5790" s="6">
        <v>0.16666666666666666</v>
      </c>
      <c r="AF5790" s="7">
        <v>0.0</v>
      </c>
    </row>
    <row r="5791">
      <c r="G5791" s="5"/>
      <c r="H5791" s="6"/>
      <c r="AD5791" s="5">
        <v>45168.0</v>
      </c>
      <c r="AE5791" s="6">
        <v>0.20833333333333334</v>
      </c>
      <c r="AF5791" s="7">
        <v>0.0</v>
      </c>
    </row>
    <row r="5792">
      <c r="G5792" s="5"/>
      <c r="H5792" s="6"/>
      <c r="AD5792" s="5">
        <v>45168.0</v>
      </c>
      <c r="AE5792" s="6">
        <v>0.25</v>
      </c>
      <c r="AF5792" s="7">
        <v>2276.82</v>
      </c>
    </row>
    <row r="5793">
      <c r="G5793" s="5"/>
      <c r="H5793" s="6"/>
      <c r="AD5793" s="5">
        <v>45168.0</v>
      </c>
      <c r="AE5793" s="6">
        <v>0.2916666666666667</v>
      </c>
      <c r="AF5793" s="7">
        <v>3921.06</v>
      </c>
    </row>
    <row r="5794">
      <c r="G5794" s="5"/>
      <c r="H5794" s="6"/>
      <c r="AD5794" s="5">
        <v>45168.0</v>
      </c>
      <c r="AE5794" s="6">
        <v>0.3333333333333333</v>
      </c>
      <c r="AF5794" s="7">
        <v>30623.58</v>
      </c>
    </row>
    <row r="5795">
      <c r="G5795" s="5"/>
      <c r="H5795" s="6"/>
      <c r="AD5795" s="5">
        <v>45168.0</v>
      </c>
      <c r="AE5795" s="6">
        <v>0.375</v>
      </c>
      <c r="AF5795" s="7">
        <v>16671.72</v>
      </c>
    </row>
    <row r="5796">
      <c r="G5796" s="5"/>
      <c r="H5796" s="6"/>
      <c r="AD5796" s="5">
        <v>45168.0</v>
      </c>
      <c r="AE5796" s="6">
        <v>0.4166666666666667</v>
      </c>
      <c r="AF5796" s="7">
        <v>49262.46</v>
      </c>
    </row>
    <row r="5797">
      <c r="G5797" s="5"/>
      <c r="H5797" s="6"/>
      <c r="AD5797" s="5">
        <v>45168.0</v>
      </c>
      <c r="AE5797" s="6">
        <v>0.4583333333333333</v>
      </c>
      <c r="AF5797" s="7">
        <v>53577.42</v>
      </c>
    </row>
    <row r="5798">
      <c r="G5798" s="5"/>
      <c r="H5798" s="6"/>
      <c r="AD5798" s="5">
        <v>45168.0</v>
      </c>
      <c r="AE5798" s="6">
        <v>0.5</v>
      </c>
      <c r="AF5798" s="7">
        <v>56737.2</v>
      </c>
    </row>
    <row r="5799">
      <c r="G5799" s="5"/>
      <c r="H5799" s="6"/>
      <c r="AD5799" s="5">
        <v>45168.0</v>
      </c>
      <c r="AE5799" s="6">
        <v>0.5416666666666666</v>
      </c>
      <c r="AF5799" s="7">
        <v>55608.54</v>
      </c>
    </row>
    <row r="5800">
      <c r="G5800" s="5"/>
      <c r="H5800" s="6"/>
      <c r="AD5800" s="5">
        <v>45168.0</v>
      </c>
      <c r="AE5800" s="6">
        <v>0.5833333333333334</v>
      </c>
      <c r="AF5800" s="7">
        <v>47436.48</v>
      </c>
    </row>
    <row r="5801">
      <c r="G5801" s="5"/>
      <c r="H5801" s="6"/>
      <c r="AD5801" s="5">
        <v>45168.0</v>
      </c>
      <c r="AE5801" s="6">
        <v>0.625</v>
      </c>
      <c r="AF5801" s="7">
        <v>39667.68</v>
      </c>
    </row>
    <row r="5802">
      <c r="G5802" s="5"/>
      <c r="H5802" s="6"/>
      <c r="AD5802" s="5">
        <v>45168.0</v>
      </c>
      <c r="AE5802" s="6">
        <v>0.6666666666666666</v>
      </c>
      <c r="AF5802" s="7">
        <v>26871.78</v>
      </c>
    </row>
    <row r="5803">
      <c r="G5803" s="5"/>
      <c r="H5803" s="6"/>
      <c r="AD5803" s="5">
        <v>45168.0</v>
      </c>
      <c r="AE5803" s="6">
        <v>0.7083333333333334</v>
      </c>
      <c r="AF5803" s="7">
        <v>11717.94</v>
      </c>
    </row>
    <row r="5804">
      <c r="G5804" s="5"/>
      <c r="H5804" s="6"/>
      <c r="AD5804" s="5">
        <v>45168.0</v>
      </c>
      <c r="AE5804" s="6">
        <v>0.75</v>
      </c>
      <c r="AF5804" s="7">
        <v>965.64</v>
      </c>
    </row>
    <row r="5805">
      <c r="G5805" s="5"/>
      <c r="H5805" s="6"/>
      <c r="AD5805" s="5">
        <v>45168.0</v>
      </c>
      <c r="AE5805" s="6">
        <v>0.7916666666666666</v>
      </c>
      <c r="AF5805" s="7">
        <v>0.0</v>
      </c>
    </row>
    <row r="5806">
      <c r="G5806" s="5"/>
      <c r="H5806" s="6"/>
      <c r="AD5806" s="5">
        <v>45168.0</v>
      </c>
      <c r="AE5806" s="6">
        <v>0.8333333333333334</v>
      </c>
      <c r="AF5806" s="7">
        <v>0.0</v>
      </c>
    </row>
    <row r="5807">
      <c r="G5807" s="5"/>
      <c r="H5807" s="6"/>
      <c r="AD5807" s="5">
        <v>45168.0</v>
      </c>
      <c r="AE5807" s="6">
        <v>0.875</v>
      </c>
      <c r="AF5807" s="7">
        <v>0.0</v>
      </c>
    </row>
    <row r="5808">
      <c r="G5808" s="5"/>
      <c r="H5808" s="6"/>
      <c r="AD5808" s="5">
        <v>45168.0</v>
      </c>
      <c r="AE5808" s="6">
        <v>0.9166666666666666</v>
      </c>
      <c r="AF5808" s="7">
        <v>0.0</v>
      </c>
    </row>
    <row r="5809">
      <c r="G5809" s="5"/>
      <c r="H5809" s="6"/>
      <c r="AD5809" s="5">
        <v>45168.0</v>
      </c>
      <c r="AE5809" s="6">
        <v>0.9583333333333334</v>
      </c>
      <c r="AF5809" s="7">
        <v>0.0</v>
      </c>
    </row>
    <row r="5810">
      <c r="G5810" s="5"/>
      <c r="H5810" s="6"/>
      <c r="AD5810" s="5">
        <v>45169.0</v>
      </c>
      <c r="AE5810" s="6">
        <v>0.0</v>
      </c>
      <c r="AF5810" s="7">
        <v>0.0</v>
      </c>
    </row>
    <row r="5811">
      <c r="G5811" s="5"/>
      <c r="H5811" s="6"/>
      <c r="AD5811" s="5">
        <v>45169.0</v>
      </c>
      <c r="AE5811" s="6">
        <v>0.041666666666666664</v>
      </c>
      <c r="AF5811" s="7">
        <v>0.0</v>
      </c>
    </row>
    <row r="5812">
      <c r="G5812" s="5"/>
      <c r="H5812" s="6"/>
      <c r="AD5812" s="5">
        <v>45169.0</v>
      </c>
      <c r="AE5812" s="6">
        <v>0.08333333333333333</v>
      </c>
      <c r="AF5812" s="7">
        <v>0.0</v>
      </c>
    </row>
    <row r="5813">
      <c r="G5813" s="5"/>
      <c r="H5813" s="6"/>
      <c r="AD5813" s="5">
        <v>45169.0</v>
      </c>
      <c r="AE5813" s="6">
        <v>0.125</v>
      </c>
      <c r="AF5813" s="7">
        <v>0.0</v>
      </c>
    </row>
    <row r="5814">
      <c r="G5814" s="5"/>
      <c r="H5814" s="6"/>
      <c r="AD5814" s="5">
        <v>45169.0</v>
      </c>
      <c r="AE5814" s="6">
        <v>0.16666666666666666</v>
      </c>
      <c r="AF5814" s="7">
        <v>0.0</v>
      </c>
    </row>
    <row r="5815">
      <c r="G5815" s="5"/>
      <c r="H5815" s="6"/>
      <c r="AD5815" s="5">
        <v>45169.0</v>
      </c>
      <c r="AE5815" s="6">
        <v>0.20833333333333334</v>
      </c>
      <c r="AF5815" s="7">
        <v>0.0</v>
      </c>
    </row>
    <row r="5816">
      <c r="G5816" s="5"/>
      <c r="H5816" s="6"/>
      <c r="AD5816" s="5">
        <v>45169.0</v>
      </c>
      <c r="AE5816" s="6">
        <v>0.25</v>
      </c>
      <c r="AF5816" s="7">
        <v>2397.72</v>
      </c>
    </row>
    <row r="5817">
      <c r="G5817" s="5"/>
      <c r="H5817" s="6"/>
      <c r="AD5817" s="5">
        <v>45169.0</v>
      </c>
      <c r="AE5817" s="6">
        <v>0.2916666666666667</v>
      </c>
      <c r="AF5817" s="7">
        <v>15717.78</v>
      </c>
    </row>
    <row r="5818">
      <c r="G5818" s="5"/>
      <c r="H5818" s="6"/>
      <c r="AD5818" s="5">
        <v>45169.0</v>
      </c>
      <c r="AE5818" s="6">
        <v>0.3333333333333333</v>
      </c>
      <c r="AF5818" s="7">
        <v>30955.08</v>
      </c>
    </row>
    <row r="5819">
      <c r="G5819" s="5"/>
      <c r="H5819" s="6"/>
      <c r="AD5819" s="5">
        <v>45169.0</v>
      </c>
      <c r="AE5819" s="6">
        <v>0.375</v>
      </c>
      <c r="AF5819" s="7">
        <v>43386.72</v>
      </c>
    </row>
    <row r="5820">
      <c r="G5820" s="5"/>
      <c r="H5820" s="6"/>
      <c r="AD5820" s="5">
        <v>45169.0</v>
      </c>
      <c r="AE5820" s="6">
        <v>0.4166666666666667</v>
      </c>
      <c r="AF5820" s="7">
        <v>51005.76</v>
      </c>
    </row>
    <row r="5821">
      <c r="G5821" s="5"/>
      <c r="H5821" s="6"/>
      <c r="AD5821" s="5">
        <v>45169.0</v>
      </c>
      <c r="AE5821" s="6">
        <v>0.4583333333333333</v>
      </c>
      <c r="AF5821" s="7">
        <v>54499.38</v>
      </c>
    </row>
    <row r="5822">
      <c r="G5822" s="5"/>
      <c r="H5822" s="6"/>
      <c r="AD5822" s="5">
        <v>45169.0</v>
      </c>
      <c r="AE5822" s="6">
        <v>0.5</v>
      </c>
      <c r="AF5822" s="7">
        <v>55256.76</v>
      </c>
    </row>
    <row r="5823">
      <c r="G5823" s="5"/>
      <c r="H5823" s="6"/>
      <c r="AD5823" s="5">
        <v>45169.0</v>
      </c>
      <c r="AE5823" s="6">
        <v>0.5416666666666666</v>
      </c>
      <c r="AF5823" s="7">
        <v>53465.88</v>
      </c>
    </row>
    <row r="5824">
      <c r="G5824" s="5"/>
      <c r="H5824" s="6"/>
      <c r="AD5824" s="5">
        <v>45169.0</v>
      </c>
      <c r="AE5824" s="6">
        <v>0.5833333333333334</v>
      </c>
      <c r="AF5824" s="7">
        <v>47356.92</v>
      </c>
    </row>
    <row r="5825">
      <c r="G5825" s="5"/>
      <c r="H5825" s="6"/>
      <c r="AD5825" s="5">
        <v>45169.0</v>
      </c>
      <c r="AE5825" s="6">
        <v>0.625</v>
      </c>
      <c r="AF5825" s="7">
        <v>39130.26</v>
      </c>
    </row>
    <row r="5826">
      <c r="G5826" s="5"/>
      <c r="H5826" s="6"/>
      <c r="AD5826" s="5">
        <v>45169.0</v>
      </c>
      <c r="AE5826" s="6">
        <v>0.6666666666666666</v>
      </c>
      <c r="AF5826" s="7">
        <v>25560.6</v>
      </c>
    </row>
    <row r="5827">
      <c r="G5827" s="5"/>
      <c r="H5827" s="6"/>
      <c r="AD5827" s="5">
        <v>45169.0</v>
      </c>
      <c r="AE5827" s="6">
        <v>0.7083333333333334</v>
      </c>
      <c r="AF5827" s="7">
        <v>11401.26</v>
      </c>
    </row>
    <row r="5828">
      <c r="G5828" s="5"/>
      <c r="H5828" s="6"/>
      <c r="AD5828" s="5">
        <v>45169.0</v>
      </c>
      <c r="AE5828" s="6">
        <v>0.75</v>
      </c>
      <c r="AF5828" s="7">
        <v>746.46</v>
      </c>
    </row>
    <row r="5829">
      <c r="G5829" s="5"/>
      <c r="H5829" s="6"/>
      <c r="AD5829" s="5">
        <v>45169.0</v>
      </c>
      <c r="AE5829" s="6">
        <v>0.7916666666666666</v>
      </c>
      <c r="AF5829" s="7">
        <v>0.0</v>
      </c>
    </row>
    <row r="5830">
      <c r="G5830" s="5"/>
      <c r="H5830" s="6"/>
      <c r="AD5830" s="5">
        <v>45169.0</v>
      </c>
      <c r="AE5830" s="6">
        <v>0.8333333333333334</v>
      </c>
      <c r="AF5830" s="7">
        <v>0.0</v>
      </c>
    </row>
    <row r="5831">
      <c r="G5831" s="5"/>
      <c r="H5831" s="6"/>
      <c r="AD5831" s="5">
        <v>45169.0</v>
      </c>
      <c r="AE5831" s="6">
        <v>0.875</v>
      </c>
      <c r="AF5831" s="7">
        <v>0.0</v>
      </c>
    </row>
    <row r="5832">
      <c r="G5832" s="5"/>
      <c r="H5832" s="6"/>
      <c r="AD5832" s="5">
        <v>45169.0</v>
      </c>
      <c r="AE5832" s="6">
        <v>0.9166666666666666</v>
      </c>
      <c r="AF5832" s="7">
        <v>0.0</v>
      </c>
    </row>
    <row r="5833">
      <c r="G5833" s="5"/>
      <c r="H5833" s="6"/>
      <c r="AD5833" s="5">
        <v>45169.0</v>
      </c>
      <c r="AE5833" s="6">
        <v>0.9583333333333334</v>
      </c>
      <c r="AF5833" s="7">
        <v>0.0</v>
      </c>
    </row>
    <row r="5834">
      <c r="G5834" s="5"/>
      <c r="H5834" s="6"/>
      <c r="AD5834" s="5">
        <v>45170.0</v>
      </c>
      <c r="AE5834" s="6">
        <v>0.0</v>
      </c>
      <c r="AF5834" s="7">
        <v>0.0</v>
      </c>
    </row>
    <row r="5835">
      <c r="G5835" s="5"/>
      <c r="H5835" s="6"/>
      <c r="AD5835" s="5">
        <v>45170.0</v>
      </c>
      <c r="AE5835" s="6">
        <v>0.041666666666666664</v>
      </c>
      <c r="AF5835" s="7">
        <v>0.0</v>
      </c>
    </row>
    <row r="5836">
      <c r="G5836" s="5"/>
      <c r="H5836" s="6"/>
      <c r="AD5836" s="5">
        <v>45170.0</v>
      </c>
      <c r="AE5836" s="6">
        <v>0.08333333333333333</v>
      </c>
      <c r="AF5836" s="7">
        <v>0.0</v>
      </c>
    </row>
    <row r="5837">
      <c r="G5837" s="5"/>
      <c r="H5837" s="6"/>
      <c r="AD5837" s="5">
        <v>45170.0</v>
      </c>
      <c r="AE5837" s="6">
        <v>0.125</v>
      </c>
      <c r="AF5837" s="7">
        <v>0.0</v>
      </c>
    </row>
    <row r="5838">
      <c r="G5838" s="5"/>
      <c r="H5838" s="6"/>
      <c r="AD5838" s="5">
        <v>45170.0</v>
      </c>
      <c r="AE5838" s="6">
        <v>0.16666666666666666</v>
      </c>
      <c r="AF5838" s="7">
        <v>0.0</v>
      </c>
    </row>
    <row r="5839">
      <c r="G5839" s="5"/>
      <c r="H5839" s="6"/>
      <c r="AD5839" s="5">
        <v>45170.0</v>
      </c>
      <c r="AE5839" s="6">
        <v>0.20833333333333334</v>
      </c>
      <c r="AF5839" s="7">
        <v>0.0</v>
      </c>
    </row>
    <row r="5840">
      <c r="G5840" s="5"/>
      <c r="H5840" s="6"/>
      <c r="AD5840" s="5">
        <v>45170.0</v>
      </c>
      <c r="AE5840" s="6">
        <v>0.25</v>
      </c>
      <c r="AF5840" s="7">
        <v>2254.2</v>
      </c>
    </row>
    <row r="5841">
      <c r="G5841" s="5"/>
      <c r="H5841" s="6"/>
      <c r="AD5841" s="5">
        <v>45170.0</v>
      </c>
      <c r="AE5841" s="6">
        <v>0.2916666666666667</v>
      </c>
      <c r="AF5841" s="7">
        <v>14804.4</v>
      </c>
    </row>
    <row r="5842">
      <c r="G5842" s="5"/>
      <c r="H5842" s="6"/>
      <c r="AD5842" s="5">
        <v>45170.0</v>
      </c>
      <c r="AE5842" s="6">
        <v>0.3333333333333333</v>
      </c>
      <c r="AF5842" s="7">
        <v>28532.4</v>
      </c>
    </row>
    <row r="5843">
      <c r="G5843" s="5"/>
      <c r="H5843" s="6"/>
      <c r="AD5843" s="5">
        <v>45170.0</v>
      </c>
      <c r="AE5843" s="6">
        <v>0.375</v>
      </c>
      <c r="AF5843" s="7">
        <v>38799.54</v>
      </c>
    </row>
    <row r="5844">
      <c r="G5844" s="5"/>
      <c r="H5844" s="6"/>
      <c r="AD5844" s="5">
        <v>45170.0</v>
      </c>
      <c r="AE5844" s="6">
        <v>0.4166666666666667</v>
      </c>
      <c r="AF5844" s="7">
        <v>49113.48</v>
      </c>
    </row>
    <row r="5845">
      <c r="G5845" s="5"/>
      <c r="H5845" s="6"/>
      <c r="AD5845" s="5">
        <v>45170.0</v>
      </c>
      <c r="AE5845" s="6">
        <v>0.4583333333333333</v>
      </c>
      <c r="AF5845" s="7">
        <v>51637.56</v>
      </c>
    </row>
    <row r="5846">
      <c r="G5846" s="5"/>
      <c r="H5846" s="6"/>
      <c r="AD5846" s="5">
        <v>45170.0</v>
      </c>
      <c r="AE5846" s="6">
        <v>0.5</v>
      </c>
      <c r="AF5846" s="7">
        <v>53919.06</v>
      </c>
    </row>
    <row r="5847">
      <c r="G5847" s="5"/>
      <c r="H5847" s="6"/>
      <c r="AD5847" s="5">
        <v>45170.0</v>
      </c>
      <c r="AE5847" s="6">
        <v>0.5416666666666666</v>
      </c>
      <c r="AF5847" s="7">
        <v>48530.82</v>
      </c>
    </row>
    <row r="5848">
      <c r="G5848" s="5"/>
      <c r="H5848" s="6"/>
      <c r="AD5848" s="5">
        <v>45170.0</v>
      </c>
      <c r="AE5848" s="6">
        <v>0.5833333333333334</v>
      </c>
      <c r="AF5848" s="7">
        <v>47076.9</v>
      </c>
    </row>
    <row r="5849">
      <c r="G5849" s="5"/>
      <c r="H5849" s="6"/>
      <c r="AD5849" s="5">
        <v>45170.0</v>
      </c>
      <c r="AE5849" s="6">
        <v>0.625</v>
      </c>
      <c r="AF5849" s="7">
        <v>33738.9</v>
      </c>
    </row>
    <row r="5850">
      <c r="G5850" s="5"/>
      <c r="H5850" s="6"/>
      <c r="AD5850" s="5">
        <v>45170.0</v>
      </c>
      <c r="AE5850" s="6">
        <v>0.6666666666666666</v>
      </c>
      <c r="AF5850" s="7">
        <v>19478.16</v>
      </c>
    </row>
    <row r="5851">
      <c r="G5851" s="5"/>
      <c r="H5851" s="6"/>
      <c r="AD5851" s="5">
        <v>45170.0</v>
      </c>
      <c r="AE5851" s="6">
        <v>0.7083333333333334</v>
      </c>
      <c r="AF5851" s="7">
        <v>11224.98</v>
      </c>
    </row>
    <row r="5852">
      <c r="G5852" s="5"/>
      <c r="H5852" s="6"/>
      <c r="AD5852" s="5">
        <v>45170.0</v>
      </c>
      <c r="AE5852" s="6">
        <v>0.75</v>
      </c>
      <c r="AF5852" s="7">
        <v>193.44</v>
      </c>
    </row>
    <row r="5853">
      <c r="G5853" s="5"/>
      <c r="H5853" s="6"/>
      <c r="AD5853" s="5">
        <v>45170.0</v>
      </c>
      <c r="AE5853" s="6">
        <v>0.7916666666666666</v>
      </c>
      <c r="AF5853" s="7">
        <v>0.0</v>
      </c>
    </row>
    <row r="5854">
      <c r="G5854" s="5"/>
      <c r="H5854" s="6"/>
      <c r="AD5854" s="5">
        <v>45170.0</v>
      </c>
      <c r="AE5854" s="6">
        <v>0.8333333333333334</v>
      </c>
      <c r="AF5854" s="7">
        <v>0.0</v>
      </c>
    </row>
    <row r="5855">
      <c r="G5855" s="5"/>
      <c r="H5855" s="6"/>
      <c r="AD5855" s="5">
        <v>45170.0</v>
      </c>
      <c r="AE5855" s="6">
        <v>0.875</v>
      </c>
      <c r="AF5855" s="7">
        <v>0.0</v>
      </c>
    </row>
    <row r="5856">
      <c r="G5856" s="5"/>
      <c r="H5856" s="6"/>
      <c r="AD5856" s="5">
        <v>45170.0</v>
      </c>
      <c r="AE5856" s="6">
        <v>0.9166666666666666</v>
      </c>
      <c r="AF5856" s="7">
        <v>0.0</v>
      </c>
    </row>
    <row r="5857">
      <c r="G5857" s="5"/>
      <c r="H5857" s="6"/>
      <c r="AD5857" s="5">
        <v>45170.0</v>
      </c>
      <c r="AE5857" s="6">
        <v>0.9583333333333334</v>
      </c>
      <c r="AF5857" s="7">
        <v>0.0</v>
      </c>
    </row>
    <row r="5858">
      <c r="G5858" s="5"/>
      <c r="H5858" s="6"/>
      <c r="AD5858" s="5">
        <v>45171.0</v>
      </c>
      <c r="AE5858" s="6">
        <v>0.0</v>
      </c>
      <c r="AF5858" s="7">
        <v>0.0</v>
      </c>
    </row>
    <row r="5859">
      <c r="G5859" s="5"/>
      <c r="H5859" s="6"/>
      <c r="AD5859" s="5">
        <v>45171.0</v>
      </c>
      <c r="AE5859" s="6">
        <v>0.041666666666666664</v>
      </c>
      <c r="AF5859" s="7">
        <v>0.0</v>
      </c>
    </row>
    <row r="5860">
      <c r="G5860" s="5"/>
      <c r="H5860" s="6"/>
      <c r="AD5860" s="5">
        <v>45171.0</v>
      </c>
      <c r="AE5860" s="6">
        <v>0.08333333333333333</v>
      </c>
      <c r="AF5860" s="7">
        <v>0.0</v>
      </c>
    </row>
    <row r="5861">
      <c r="G5861" s="5"/>
      <c r="H5861" s="6"/>
      <c r="AD5861" s="5">
        <v>45171.0</v>
      </c>
      <c r="AE5861" s="6">
        <v>0.125</v>
      </c>
      <c r="AF5861" s="7">
        <v>0.0</v>
      </c>
    </row>
    <row r="5862">
      <c r="G5862" s="5"/>
      <c r="H5862" s="6"/>
      <c r="AD5862" s="5">
        <v>45171.0</v>
      </c>
      <c r="AE5862" s="6">
        <v>0.16666666666666666</v>
      </c>
      <c r="AF5862" s="7">
        <v>0.0</v>
      </c>
    </row>
    <row r="5863">
      <c r="G5863" s="5"/>
      <c r="H5863" s="6"/>
      <c r="AD5863" s="5">
        <v>45171.0</v>
      </c>
      <c r="AE5863" s="6">
        <v>0.20833333333333334</v>
      </c>
      <c r="AF5863" s="7">
        <v>0.0</v>
      </c>
    </row>
    <row r="5864">
      <c r="G5864" s="5"/>
      <c r="H5864" s="6"/>
      <c r="AD5864" s="5">
        <v>45171.0</v>
      </c>
      <c r="AE5864" s="6">
        <v>0.25</v>
      </c>
      <c r="AF5864" s="7">
        <v>333.06</v>
      </c>
    </row>
    <row r="5865">
      <c r="G5865" s="5"/>
      <c r="H5865" s="6"/>
      <c r="AD5865" s="5">
        <v>45171.0</v>
      </c>
      <c r="AE5865" s="6">
        <v>0.2916666666666667</v>
      </c>
      <c r="AF5865" s="7">
        <v>2230.02</v>
      </c>
    </row>
    <row r="5866">
      <c r="G5866" s="5"/>
      <c r="H5866" s="6"/>
      <c r="AD5866" s="5">
        <v>45171.0</v>
      </c>
      <c r="AE5866" s="6">
        <v>0.3333333333333333</v>
      </c>
      <c r="AF5866" s="7">
        <v>4133.22</v>
      </c>
    </row>
    <row r="5867">
      <c r="G5867" s="5"/>
      <c r="H5867" s="6"/>
      <c r="AD5867" s="5">
        <v>45171.0</v>
      </c>
      <c r="AE5867" s="6">
        <v>0.375</v>
      </c>
      <c r="AF5867" s="7">
        <v>4669.86</v>
      </c>
    </row>
    <row r="5868">
      <c r="G5868" s="5"/>
      <c r="H5868" s="6"/>
      <c r="AD5868" s="5">
        <v>45171.0</v>
      </c>
      <c r="AE5868" s="6">
        <v>0.4166666666666667</v>
      </c>
      <c r="AF5868" s="7">
        <v>6450.6</v>
      </c>
    </row>
    <row r="5869">
      <c r="G5869" s="5"/>
      <c r="H5869" s="6"/>
      <c r="AD5869" s="5">
        <v>45171.0</v>
      </c>
      <c r="AE5869" s="6">
        <v>0.4583333333333333</v>
      </c>
      <c r="AF5869" s="7">
        <v>8715.72</v>
      </c>
    </row>
    <row r="5870">
      <c r="G5870" s="5"/>
      <c r="H5870" s="6"/>
      <c r="AD5870" s="5">
        <v>45171.0</v>
      </c>
      <c r="AE5870" s="6">
        <v>0.5</v>
      </c>
      <c r="AF5870" s="7">
        <v>8161.92</v>
      </c>
    </row>
    <row r="5871">
      <c r="G5871" s="5"/>
      <c r="H5871" s="6"/>
      <c r="AD5871" s="5">
        <v>45171.0</v>
      </c>
      <c r="AE5871" s="6">
        <v>0.5416666666666666</v>
      </c>
      <c r="AF5871" s="7">
        <v>5555.94</v>
      </c>
    </row>
    <row r="5872">
      <c r="G5872" s="5"/>
      <c r="H5872" s="6"/>
      <c r="AD5872" s="5">
        <v>45171.0</v>
      </c>
      <c r="AE5872" s="6">
        <v>0.5833333333333334</v>
      </c>
      <c r="AF5872" s="7">
        <v>3636.36</v>
      </c>
    </row>
    <row r="5873">
      <c r="G5873" s="5"/>
      <c r="H5873" s="6"/>
      <c r="AD5873" s="5">
        <v>45171.0</v>
      </c>
      <c r="AE5873" s="6">
        <v>0.625</v>
      </c>
      <c r="AF5873" s="7">
        <v>3014.7</v>
      </c>
    </row>
    <row r="5874">
      <c r="G5874" s="5"/>
      <c r="H5874" s="6"/>
      <c r="AD5874" s="5">
        <v>45171.0</v>
      </c>
      <c r="AE5874" s="6">
        <v>0.6666666666666666</v>
      </c>
      <c r="AF5874" s="7">
        <v>14234.22</v>
      </c>
    </row>
    <row r="5875">
      <c r="G5875" s="5"/>
      <c r="H5875" s="6"/>
      <c r="AD5875" s="5">
        <v>45171.0</v>
      </c>
      <c r="AE5875" s="6">
        <v>0.7083333333333334</v>
      </c>
      <c r="AF5875" s="7">
        <v>11242.92</v>
      </c>
    </row>
    <row r="5876">
      <c r="G5876" s="5"/>
      <c r="H5876" s="6"/>
      <c r="AD5876" s="5">
        <v>45171.0</v>
      </c>
      <c r="AE5876" s="6">
        <v>0.75</v>
      </c>
      <c r="AF5876" s="7">
        <v>0.0</v>
      </c>
    </row>
    <row r="5877">
      <c r="G5877" s="5"/>
      <c r="H5877" s="6"/>
      <c r="AD5877" s="5">
        <v>45171.0</v>
      </c>
      <c r="AE5877" s="6">
        <v>0.7916666666666666</v>
      </c>
      <c r="AF5877" s="7">
        <v>0.0</v>
      </c>
    </row>
    <row r="5878">
      <c r="G5878" s="5"/>
      <c r="H5878" s="6"/>
      <c r="AD5878" s="5">
        <v>45171.0</v>
      </c>
      <c r="AE5878" s="6">
        <v>0.8333333333333334</v>
      </c>
      <c r="AF5878" s="7">
        <v>0.0</v>
      </c>
    </row>
    <row r="5879">
      <c r="G5879" s="5"/>
      <c r="H5879" s="6"/>
      <c r="AD5879" s="5">
        <v>45171.0</v>
      </c>
      <c r="AE5879" s="6">
        <v>0.875</v>
      </c>
      <c r="AF5879" s="7">
        <v>0.0</v>
      </c>
    </row>
    <row r="5880">
      <c r="G5880" s="5"/>
      <c r="H5880" s="6"/>
      <c r="AD5880" s="5">
        <v>45171.0</v>
      </c>
      <c r="AE5880" s="6">
        <v>0.9166666666666666</v>
      </c>
      <c r="AF5880" s="7">
        <v>0.0</v>
      </c>
    </row>
    <row r="5881">
      <c r="G5881" s="5"/>
      <c r="H5881" s="6"/>
      <c r="AD5881" s="5">
        <v>45171.0</v>
      </c>
      <c r="AE5881" s="6">
        <v>0.9583333333333334</v>
      </c>
      <c r="AF5881" s="7">
        <v>0.0</v>
      </c>
    </row>
    <row r="5882">
      <c r="G5882" s="5"/>
      <c r="H5882" s="6"/>
      <c r="AD5882" s="5">
        <v>45172.0</v>
      </c>
      <c r="AE5882" s="6">
        <v>0.0</v>
      </c>
      <c r="AF5882" s="7">
        <v>0.0</v>
      </c>
    </row>
    <row r="5883">
      <c r="G5883" s="5"/>
      <c r="H5883" s="6"/>
      <c r="AD5883" s="5">
        <v>45172.0</v>
      </c>
      <c r="AE5883" s="6">
        <v>0.041666666666666664</v>
      </c>
      <c r="AF5883" s="7">
        <v>0.0</v>
      </c>
    </row>
    <row r="5884">
      <c r="G5884" s="5"/>
      <c r="H5884" s="6"/>
      <c r="AD5884" s="5">
        <v>45172.0</v>
      </c>
      <c r="AE5884" s="6">
        <v>0.08333333333333333</v>
      </c>
      <c r="AF5884" s="7">
        <v>0.0</v>
      </c>
    </row>
    <row r="5885">
      <c r="G5885" s="5"/>
      <c r="H5885" s="6"/>
      <c r="AD5885" s="5">
        <v>45172.0</v>
      </c>
      <c r="AE5885" s="6">
        <v>0.125</v>
      </c>
      <c r="AF5885" s="7">
        <v>0.0</v>
      </c>
    </row>
    <row r="5886">
      <c r="G5886" s="5"/>
      <c r="H5886" s="6"/>
      <c r="AD5886" s="5">
        <v>45172.0</v>
      </c>
      <c r="AE5886" s="6">
        <v>0.16666666666666666</v>
      </c>
      <c r="AF5886" s="7">
        <v>0.0</v>
      </c>
    </row>
    <row r="5887">
      <c r="G5887" s="5"/>
      <c r="H5887" s="6"/>
      <c r="AD5887" s="5">
        <v>45172.0</v>
      </c>
      <c r="AE5887" s="6">
        <v>0.20833333333333334</v>
      </c>
      <c r="AF5887" s="7">
        <v>0.0</v>
      </c>
    </row>
    <row r="5888">
      <c r="G5888" s="5"/>
      <c r="H5888" s="6"/>
      <c r="AD5888" s="5">
        <v>45172.0</v>
      </c>
      <c r="AE5888" s="6">
        <v>0.25</v>
      </c>
      <c r="AF5888" s="7">
        <v>248.82</v>
      </c>
    </row>
    <row r="5889">
      <c r="G5889" s="5"/>
      <c r="H5889" s="6"/>
      <c r="AD5889" s="5">
        <v>45172.0</v>
      </c>
      <c r="AE5889" s="6">
        <v>0.2916666666666667</v>
      </c>
      <c r="AF5889" s="7">
        <v>1396.98</v>
      </c>
    </row>
    <row r="5890">
      <c r="G5890" s="5"/>
      <c r="H5890" s="6"/>
      <c r="AD5890" s="5">
        <v>45172.0</v>
      </c>
      <c r="AE5890" s="6">
        <v>0.3333333333333333</v>
      </c>
      <c r="AF5890" s="7">
        <v>11462.88</v>
      </c>
    </row>
    <row r="5891">
      <c r="G5891" s="5"/>
      <c r="H5891" s="6"/>
      <c r="AD5891" s="5">
        <v>45172.0</v>
      </c>
      <c r="AE5891" s="6">
        <v>0.375</v>
      </c>
      <c r="AF5891" s="7">
        <v>2833.74</v>
      </c>
    </row>
    <row r="5892">
      <c r="G5892" s="5"/>
      <c r="H5892" s="6"/>
      <c r="AD5892" s="5">
        <v>45172.0</v>
      </c>
      <c r="AE5892" s="6">
        <v>0.4166666666666667</v>
      </c>
      <c r="AF5892" s="7">
        <v>3989.7</v>
      </c>
    </row>
    <row r="5893">
      <c r="G5893" s="5"/>
      <c r="H5893" s="6"/>
      <c r="AD5893" s="5">
        <v>45172.0</v>
      </c>
      <c r="AE5893" s="6">
        <v>0.4583333333333333</v>
      </c>
      <c r="AF5893" s="7">
        <v>17118.66</v>
      </c>
    </row>
    <row r="5894">
      <c r="G5894" s="5"/>
      <c r="H5894" s="6"/>
      <c r="AD5894" s="5">
        <v>45172.0</v>
      </c>
      <c r="AE5894" s="6">
        <v>0.5</v>
      </c>
      <c r="AF5894" s="7">
        <v>59914.14</v>
      </c>
    </row>
    <row r="5895">
      <c r="G5895" s="5"/>
      <c r="H5895" s="6"/>
      <c r="AD5895" s="5">
        <v>45172.0</v>
      </c>
      <c r="AE5895" s="6">
        <v>0.5416666666666666</v>
      </c>
      <c r="AF5895" s="7">
        <v>55862.82</v>
      </c>
    </row>
    <row r="5896">
      <c r="G5896" s="5"/>
      <c r="H5896" s="6"/>
      <c r="AD5896" s="5">
        <v>45172.0</v>
      </c>
      <c r="AE5896" s="6">
        <v>0.5833333333333334</v>
      </c>
      <c r="AF5896" s="7">
        <v>19232.46</v>
      </c>
    </row>
    <row r="5897">
      <c r="G5897" s="5"/>
      <c r="H5897" s="6"/>
      <c r="AD5897" s="5">
        <v>45172.0</v>
      </c>
      <c r="AE5897" s="6">
        <v>0.625</v>
      </c>
      <c r="AF5897" s="7">
        <v>31894.2</v>
      </c>
    </row>
    <row r="5898">
      <c r="G5898" s="5"/>
      <c r="H5898" s="6"/>
      <c r="AD5898" s="5">
        <v>45172.0</v>
      </c>
      <c r="AE5898" s="6">
        <v>0.6666666666666666</v>
      </c>
      <c r="AF5898" s="7">
        <v>12836.46</v>
      </c>
    </row>
    <row r="5899">
      <c r="G5899" s="5"/>
      <c r="H5899" s="6"/>
      <c r="AD5899" s="5">
        <v>45172.0</v>
      </c>
      <c r="AE5899" s="6">
        <v>0.7083333333333334</v>
      </c>
      <c r="AF5899" s="7">
        <v>1281.54</v>
      </c>
    </row>
    <row r="5900">
      <c r="G5900" s="5"/>
      <c r="H5900" s="6"/>
      <c r="AD5900" s="5">
        <v>45172.0</v>
      </c>
      <c r="AE5900" s="6">
        <v>0.75</v>
      </c>
      <c r="AF5900" s="7">
        <v>398.58</v>
      </c>
    </row>
    <row r="5901">
      <c r="G5901" s="5"/>
      <c r="H5901" s="6"/>
      <c r="AD5901" s="5">
        <v>45172.0</v>
      </c>
      <c r="AE5901" s="6">
        <v>0.7916666666666666</v>
      </c>
      <c r="AF5901" s="7">
        <v>0.0</v>
      </c>
    </row>
    <row r="5902">
      <c r="G5902" s="5"/>
      <c r="H5902" s="6"/>
      <c r="AD5902" s="5">
        <v>45172.0</v>
      </c>
      <c r="AE5902" s="6">
        <v>0.8333333333333334</v>
      </c>
      <c r="AF5902" s="7">
        <v>0.0</v>
      </c>
    </row>
    <row r="5903">
      <c r="G5903" s="5"/>
      <c r="H5903" s="6"/>
      <c r="AD5903" s="5">
        <v>45172.0</v>
      </c>
      <c r="AE5903" s="6">
        <v>0.875</v>
      </c>
      <c r="AF5903" s="7">
        <v>0.0</v>
      </c>
    </row>
    <row r="5904">
      <c r="G5904" s="5"/>
      <c r="H5904" s="6"/>
      <c r="AD5904" s="5">
        <v>45172.0</v>
      </c>
      <c r="AE5904" s="6">
        <v>0.9166666666666666</v>
      </c>
      <c r="AF5904" s="7">
        <v>0.0</v>
      </c>
    </row>
    <row r="5905">
      <c r="G5905" s="5"/>
      <c r="H5905" s="6"/>
      <c r="AD5905" s="5">
        <v>45172.0</v>
      </c>
      <c r="AE5905" s="6">
        <v>0.9583333333333334</v>
      </c>
      <c r="AF5905" s="7">
        <v>0.0</v>
      </c>
    </row>
    <row r="5906">
      <c r="G5906" s="5"/>
      <c r="H5906" s="6"/>
      <c r="AD5906" s="5">
        <v>45173.0</v>
      </c>
      <c r="AE5906" s="6">
        <v>0.0</v>
      </c>
      <c r="AF5906" s="7">
        <v>0.0</v>
      </c>
    </row>
    <row r="5907">
      <c r="G5907" s="5"/>
      <c r="H5907" s="6"/>
      <c r="AD5907" s="5">
        <v>45173.0</v>
      </c>
      <c r="AE5907" s="6">
        <v>0.041666666666666664</v>
      </c>
      <c r="AF5907" s="7">
        <v>0.0</v>
      </c>
    </row>
    <row r="5908">
      <c r="G5908" s="5"/>
      <c r="H5908" s="6"/>
      <c r="AD5908" s="5">
        <v>45173.0</v>
      </c>
      <c r="AE5908" s="6">
        <v>0.08333333333333333</v>
      </c>
      <c r="AF5908" s="7">
        <v>0.0</v>
      </c>
    </row>
    <row r="5909">
      <c r="G5909" s="5"/>
      <c r="H5909" s="6"/>
      <c r="AD5909" s="5">
        <v>45173.0</v>
      </c>
      <c r="AE5909" s="6">
        <v>0.125</v>
      </c>
      <c r="AF5909" s="7">
        <v>0.0</v>
      </c>
    </row>
    <row r="5910">
      <c r="G5910" s="5"/>
      <c r="H5910" s="6"/>
      <c r="AD5910" s="5">
        <v>45173.0</v>
      </c>
      <c r="AE5910" s="6">
        <v>0.16666666666666666</v>
      </c>
      <c r="AF5910" s="7">
        <v>0.0</v>
      </c>
    </row>
    <row r="5911">
      <c r="G5911" s="5"/>
      <c r="H5911" s="6"/>
      <c r="AD5911" s="5">
        <v>45173.0</v>
      </c>
      <c r="AE5911" s="6">
        <v>0.20833333333333334</v>
      </c>
      <c r="AF5911" s="7">
        <v>0.0</v>
      </c>
    </row>
    <row r="5912">
      <c r="G5912" s="5"/>
      <c r="H5912" s="6"/>
      <c r="AD5912" s="5">
        <v>45173.0</v>
      </c>
      <c r="AE5912" s="6">
        <v>0.25</v>
      </c>
      <c r="AF5912" s="7">
        <v>2013.96</v>
      </c>
    </row>
    <row r="5913">
      <c r="G5913" s="5"/>
      <c r="H5913" s="6"/>
      <c r="AD5913" s="5">
        <v>45173.0</v>
      </c>
      <c r="AE5913" s="6">
        <v>0.2916666666666667</v>
      </c>
      <c r="AF5913" s="7">
        <v>9380.28</v>
      </c>
    </row>
    <row r="5914">
      <c r="G5914" s="5"/>
      <c r="H5914" s="6"/>
      <c r="AD5914" s="5">
        <v>45173.0</v>
      </c>
      <c r="AE5914" s="6">
        <v>0.3333333333333333</v>
      </c>
      <c r="AF5914" s="7">
        <v>16954.86</v>
      </c>
    </row>
    <row r="5915">
      <c r="G5915" s="5"/>
      <c r="H5915" s="6"/>
      <c r="AD5915" s="5">
        <v>45173.0</v>
      </c>
      <c r="AE5915" s="6">
        <v>0.375</v>
      </c>
      <c r="AF5915" s="7">
        <v>34488.48</v>
      </c>
    </row>
    <row r="5916">
      <c r="G5916" s="5"/>
      <c r="H5916" s="6"/>
      <c r="AD5916" s="5">
        <v>45173.0</v>
      </c>
      <c r="AE5916" s="6">
        <v>0.4166666666666667</v>
      </c>
      <c r="AF5916" s="7">
        <v>45680.7</v>
      </c>
    </row>
    <row r="5917">
      <c r="G5917" s="5"/>
      <c r="H5917" s="6"/>
      <c r="AD5917" s="5">
        <v>45173.0</v>
      </c>
      <c r="AE5917" s="6">
        <v>0.4583333333333333</v>
      </c>
      <c r="AF5917" s="7">
        <v>52497.9</v>
      </c>
    </row>
    <row r="5918">
      <c r="G5918" s="5"/>
      <c r="H5918" s="6"/>
      <c r="AD5918" s="5">
        <v>45173.0</v>
      </c>
      <c r="AE5918" s="6">
        <v>0.5</v>
      </c>
      <c r="AF5918" s="7">
        <v>54444.0</v>
      </c>
    </row>
    <row r="5919">
      <c r="G5919" s="5"/>
      <c r="H5919" s="6"/>
      <c r="AD5919" s="5">
        <v>45173.0</v>
      </c>
      <c r="AE5919" s="6">
        <v>0.5416666666666666</v>
      </c>
      <c r="AF5919" s="7">
        <v>50579.88</v>
      </c>
    </row>
    <row r="5920">
      <c r="G5920" s="5"/>
      <c r="H5920" s="6"/>
      <c r="AD5920" s="5">
        <v>45173.0</v>
      </c>
      <c r="AE5920" s="6">
        <v>0.5833333333333334</v>
      </c>
      <c r="AF5920" s="7">
        <v>40240.2</v>
      </c>
    </row>
    <row r="5921">
      <c r="G5921" s="5"/>
      <c r="H5921" s="6"/>
      <c r="AD5921" s="5">
        <v>45173.0</v>
      </c>
      <c r="AE5921" s="6">
        <v>0.625</v>
      </c>
      <c r="AF5921" s="7">
        <v>27456.0</v>
      </c>
    </row>
    <row r="5922">
      <c r="G5922" s="5"/>
      <c r="H5922" s="6"/>
      <c r="AD5922" s="5">
        <v>45173.0</v>
      </c>
      <c r="AE5922" s="6">
        <v>0.6666666666666666</v>
      </c>
      <c r="AF5922" s="7">
        <v>18243.42</v>
      </c>
    </row>
    <row r="5923">
      <c r="G5923" s="5"/>
      <c r="H5923" s="6"/>
      <c r="AD5923" s="5">
        <v>45173.0</v>
      </c>
      <c r="AE5923" s="6">
        <v>0.7083333333333334</v>
      </c>
      <c r="AF5923" s="7">
        <v>8049.6</v>
      </c>
    </row>
    <row r="5924">
      <c r="G5924" s="5"/>
      <c r="H5924" s="6"/>
      <c r="AD5924" s="5">
        <v>45173.0</v>
      </c>
      <c r="AE5924" s="6">
        <v>0.75</v>
      </c>
      <c r="AF5924" s="7">
        <v>468.78</v>
      </c>
    </row>
    <row r="5925">
      <c r="G5925" s="5"/>
      <c r="H5925" s="6"/>
      <c r="AD5925" s="5">
        <v>45173.0</v>
      </c>
      <c r="AE5925" s="6">
        <v>0.7916666666666666</v>
      </c>
      <c r="AF5925" s="7">
        <v>0.0</v>
      </c>
    </row>
    <row r="5926">
      <c r="G5926" s="5"/>
      <c r="H5926" s="6"/>
      <c r="AD5926" s="5">
        <v>45173.0</v>
      </c>
      <c r="AE5926" s="6">
        <v>0.8333333333333334</v>
      </c>
      <c r="AF5926" s="7">
        <v>0.0</v>
      </c>
    </row>
    <row r="5927">
      <c r="G5927" s="5"/>
      <c r="H5927" s="6"/>
      <c r="AD5927" s="5">
        <v>45173.0</v>
      </c>
      <c r="AE5927" s="6">
        <v>0.875</v>
      </c>
      <c r="AF5927" s="7">
        <v>0.0</v>
      </c>
    </row>
    <row r="5928">
      <c r="G5928" s="5"/>
      <c r="H5928" s="6"/>
      <c r="AD5928" s="5">
        <v>45173.0</v>
      </c>
      <c r="AE5928" s="6">
        <v>0.9166666666666666</v>
      </c>
      <c r="AF5928" s="7">
        <v>0.0</v>
      </c>
    </row>
    <row r="5929">
      <c r="G5929" s="5"/>
      <c r="H5929" s="6"/>
      <c r="AD5929" s="5">
        <v>45173.0</v>
      </c>
      <c r="AE5929" s="6">
        <v>0.9583333333333334</v>
      </c>
      <c r="AF5929" s="7">
        <v>0.0</v>
      </c>
    </row>
    <row r="5930">
      <c r="G5930" s="5"/>
      <c r="H5930" s="6"/>
      <c r="AD5930" s="5">
        <v>45174.0</v>
      </c>
      <c r="AE5930" s="6">
        <v>0.0</v>
      </c>
      <c r="AF5930" s="7">
        <v>0.0</v>
      </c>
    </row>
    <row r="5931">
      <c r="G5931" s="5"/>
      <c r="H5931" s="6"/>
      <c r="AD5931" s="5">
        <v>45174.0</v>
      </c>
      <c r="AE5931" s="6">
        <v>0.041666666666666664</v>
      </c>
      <c r="AF5931" s="7">
        <v>0.0</v>
      </c>
    </row>
    <row r="5932">
      <c r="G5932" s="5"/>
      <c r="H5932" s="6"/>
      <c r="AD5932" s="5">
        <v>45174.0</v>
      </c>
      <c r="AE5932" s="6">
        <v>0.08333333333333333</v>
      </c>
      <c r="AF5932" s="7">
        <v>0.0</v>
      </c>
    </row>
    <row r="5933">
      <c r="G5933" s="5"/>
      <c r="H5933" s="6"/>
      <c r="AD5933" s="5">
        <v>45174.0</v>
      </c>
      <c r="AE5933" s="6">
        <v>0.125</v>
      </c>
      <c r="AF5933" s="7">
        <v>0.0</v>
      </c>
    </row>
    <row r="5934">
      <c r="G5934" s="5"/>
      <c r="H5934" s="6"/>
      <c r="AD5934" s="5">
        <v>45174.0</v>
      </c>
      <c r="AE5934" s="6">
        <v>0.16666666666666666</v>
      </c>
      <c r="AF5934" s="7">
        <v>0.0</v>
      </c>
    </row>
    <row r="5935">
      <c r="G5935" s="5"/>
      <c r="H5935" s="6"/>
      <c r="AD5935" s="5">
        <v>45174.0</v>
      </c>
      <c r="AE5935" s="6">
        <v>0.20833333333333334</v>
      </c>
      <c r="AF5935" s="7">
        <v>0.0</v>
      </c>
    </row>
    <row r="5936">
      <c r="G5936" s="5"/>
      <c r="H5936" s="6"/>
      <c r="AD5936" s="5">
        <v>45174.0</v>
      </c>
      <c r="AE5936" s="6">
        <v>0.25</v>
      </c>
      <c r="AF5936" s="7">
        <v>1770.6</v>
      </c>
    </row>
    <row r="5937">
      <c r="G5937" s="5"/>
      <c r="H5937" s="6"/>
      <c r="AD5937" s="5">
        <v>45174.0</v>
      </c>
      <c r="AE5937" s="6">
        <v>0.2916666666666667</v>
      </c>
      <c r="AF5937" s="7">
        <v>13117.26</v>
      </c>
    </row>
    <row r="5938">
      <c r="G5938" s="5"/>
      <c r="H5938" s="6"/>
      <c r="AD5938" s="5">
        <v>45174.0</v>
      </c>
      <c r="AE5938" s="6">
        <v>0.3333333333333333</v>
      </c>
      <c r="AF5938" s="7">
        <v>28463.76</v>
      </c>
    </row>
    <row r="5939">
      <c r="G5939" s="5"/>
      <c r="H5939" s="6"/>
      <c r="AD5939" s="5">
        <v>45174.0</v>
      </c>
      <c r="AE5939" s="6">
        <v>0.375</v>
      </c>
      <c r="AF5939" s="7">
        <v>40111.5</v>
      </c>
    </row>
    <row r="5940">
      <c r="G5940" s="5"/>
      <c r="H5940" s="6"/>
      <c r="AD5940" s="5">
        <v>45174.0</v>
      </c>
      <c r="AE5940" s="6">
        <v>0.4166666666666667</v>
      </c>
      <c r="AF5940" s="7">
        <v>46423.26</v>
      </c>
    </row>
    <row r="5941">
      <c r="G5941" s="5"/>
      <c r="H5941" s="6"/>
      <c r="AD5941" s="5">
        <v>45174.0</v>
      </c>
      <c r="AE5941" s="6">
        <v>0.4583333333333333</v>
      </c>
      <c r="AF5941" s="7">
        <v>52256.1</v>
      </c>
    </row>
    <row r="5942">
      <c r="G5942" s="5"/>
      <c r="H5942" s="6"/>
      <c r="AD5942" s="5">
        <v>45174.0</v>
      </c>
      <c r="AE5942" s="6">
        <v>0.5</v>
      </c>
      <c r="AF5942" s="7">
        <v>54930.72</v>
      </c>
    </row>
    <row r="5943">
      <c r="G5943" s="5"/>
      <c r="H5943" s="6"/>
      <c r="AD5943" s="5">
        <v>45174.0</v>
      </c>
      <c r="AE5943" s="6">
        <v>0.5416666666666666</v>
      </c>
      <c r="AF5943" s="7">
        <v>52412.88</v>
      </c>
    </row>
    <row r="5944">
      <c r="G5944" s="5"/>
      <c r="H5944" s="6"/>
      <c r="AD5944" s="5">
        <v>45174.0</v>
      </c>
      <c r="AE5944" s="6">
        <v>0.5833333333333334</v>
      </c>
      <c r="AF5944" s="7">
        <v>45970.86</v>
      </c>
    </row>
    <row r="5945">
      <c r="G5945" s="5"/>
      <c r="H5945" s="6"/>
      <c r="AD5945" s="5">
        <v>45174.0</v>
      </c>
      <c r="AE5945" s="6">
        <v>0.625</v>
      </c>
      <c r="AF5945" s="7">
        <v>36209.16</v>
      </c>
    </row>
    <row r="5946">
      <c r="G5946" s="5"/>
      <c r="H5946" s="6"/>
      <c r="AD5946" s="5">
        <v>45174.0</v>
      </c>
      <c r="AE5946" s="6">
        <v>0.6666666666666666</v>
      </c>
      <c r="AF5946" s="7">
        <v>22960.86</v>
      </c>
    </row>
    <row r="5947">
      <c r="G5947" s="5"/>
      <c r="H5947" s="6"/>
      <c r="AD5947" s="5">
        <v>45174.0</v>
      </c>
      <c r="AE5947" s="6">
        <v>0.7083333333333334</v>
      </c>
      <c r="AF5947" s="7">
        <v>8381.1</v>
      </c>
    </row>
    <row r="5948">
      <c r="G5948" s="5"/>
      <c r="H5948" s="6"/>
      <c r="AD5948" s="5">
        <v>45174.0</v>
      </c>
      <c r="AE5948" s="6">
        <v>0.75</v>
      </c>
      <c r="AF5948" s="7">
        <v>304.98</v>
      </c>
    </row>
    <row r="5949">
      <c r="G5949" s="5"/>
      <c r="H5949" s="6"/>
      <c r="AD5949" s="5">
        <v>45174.0</v>
      </c>
      <c r="AE5949" s="6">
        <v>0.7916666666666666</v>
      </c>
      <c r="AF5949" s="7">
        <v>0.0</v>
      </c>
    </row>
    <row r="5950">
      <c r="G5950" s="5"/>
      <c r="H5950" s="6"/>
      <c r="AD5950" s="5">
        <v>45174.0</v>
      </c>
      <c r="AE5950" s="6">
        <v>0.8333333333333334</v>
      </c>
      <c r="AF5950" s="7">
        <v>0.0</v>
      </c>
    </row>
    <row r="5951">
      <c r="G5951" s="5"/>
      <c r="H5951" s="6"/>
      <c r="AD5951" s="5">
        <v>45174.0</v>
      </c>
      <c r="AE5951" s="6">
        <v>0.875</v>
      </c>
      <c r="AF5951" s="7">
        <v>0.0</v>
      </c>
    </row>
    <row r="5952">
      <c r="G5952" s="5"/>
      <c r="H5952" s="6"/>
      <c r="AD5952" s="5">
        <v>45174.0</v>
      </c>
      <c r="AE5952" s="6">
        <v>0.9166666666666666</v>
      </c>
      <c r="AF5952" s="7">
        <v>0.0</v>
      </c>
    </row>
    <row r="5953">
      <c r="G5953" s="5"/>
      <c r="H5953" s="6"/>
      <c r="AD5953" s="5">
        <v>45174.0</v>
      </c>
      <c r="AE5953" s="6">
        <v>0.9583333333333334</v>
      </c>
      <c r="AF5953" s="7">
        <v>0.0</v>
      </c>
    </row>
    <row r="5954">
      <c r="G5954" s="5"/>
      <c r="H5954" s="6"/>
      <c r="AD5954" s="5">
        <v>45175.0</v>
      </c>
      <c r="AE5954" s="6">
        <v>0.0</v>
      </c>
      <c r="AF5954" s="7">
        <v>0.0</v>
      </c>
    </row>
    <row r="5955">
      <c r="G5955" s="5"/>
      <c r="H5955" s="6"/>
      <c r="AD5955" s="5">
        <v>45175.0</v>
      </c>
      <c r="AE5955" s="6">
        <v>0.041666666666666664</v>
      </c>
      <c r="AF5955" s="7">
        <v>0.0</v>
      </c>
    </row>
    <row r="5956">
      <c r="G5956" s="5"/>
      <c r="H5956" s="6"/>
      <c r="AD5956" s="5">
        <v>45175.0</v>
      </c>
      <c r="AE5956" s="6">
        <v>0.08333333333333333</v>
      </c>
      <c r="AF5956" s="7">
        <v>0.0</v>
      </c>
    </row>
    <row r="5957">
      <c r="G5957" s="5"/>
      <c r="H5957" s="6"/>
      <c r="AD5957" s="5">
        <v>45175.0</v>
      </c>
      <c r="AE5957" s="6">
        <v>0.125</v>
      </c>
      <c r="AF5957" s="7">
        <v>0.0</v>
      </c>
    </row>
    <row r="5958">
      <c r="G5958" s="5"/>
      <c r="H5958" s="6"/>
      <c r="AD5958" s="5">
        <v>45175.0</v>
      </c>
      <c r="AE5958" s="6">
        <v>0.16666666666666666</v>
      </c>
      <c r="AF5958" s="7">
        <v>0.0</v>
      </c>
    </row>
    <row r="5959">
      <c r="G5959" s="5"/>
      <c r="H5959" s="6"/>
      <c r="AD5959" s="5">
        <v>45175.0</v>
      </c>
      <c r="AE5959" s="6">
        <v>0.20833333333333334</v>
      </c>
      <c r="AF5959" s="7">
        <v>0.0</v>
      </c>
    </row>
    <row r="5960">
      <c r="G5960" s="5"/>
      <c r="H5960" s="6"/>
      <c r="AD5960" s="5">
        <v>45175.0</v>
      </c>
      <c r="AE5960" s="6">
        <v>0.25</v>
      </c>
      <c r="AF5960" s="7">
        <v>1705.08</v>
      </c>
    </row>
    <row r="5961">
      <c r="G5961" s="5"/>
      <c r="H5961" s="6"/>
      <c r="AD5961" s="5">
        <v>45175.0</v>
      </c>
      <c r="AE5961" s="6">
        <v>0.2916666666666667</v>
      </c>
      <c r="AF5961" s="7">
        <v>12591.54</v>
      </c>
    </row>
    <row r="5962">
      <c r="G5962" s="5"/>
      <c r="H5962" s="6"/>
      <c r="AD5962" s="5">
        <v>45175.0</v>
      </c>
      <c r="AE5962" s="6">
        <v>0.3333333333333333</v>
      </c>
      <c r="AF5962" s="7">
        <v>27856.92</v>
      </c>
    </row>
    <row r="5963">
      <c r="G5963" s="5"/>
      <c r="H5963" s="6"/>
      <c r="AD5963" s="5">
        <v>45175.0</v>
      </c>
      <c r="AE5963" s="6">
        <v>0.375</v>
      </c>
      <c r="AF5963" s="7">
        <v>40616.94</v>
      </c>
    </row>
    <row r="5964">
      <c r="G5964" s="5"/>
      <c r="H5964" s="6"/>
      <c r="AD5964" s="5">
        <v>45175.0</v>
      </c>
      <c r="AE5964" s="6">
        <v>0.4166666666666667</v>
      </c>
      <c r="AF5964" s="7">
        <v>47814.0</v>
      </c>
    </row>
    <row r="5965">
      <c r="G5965" s="5"/>
      <c r="H5965" s="6"/>
      <c r="AD5965" s="5">
        <v>45175.0</v>
      </c>
      <c r="AE5965" s="6">
        <v>0.4583333333333333</v>
      </c>
      <c r="AF5965" s="7">
        <v>53234.22</v>
      </c>
    </row>
    <row r="5966">
      <c r="G5966" s="5"/>
      <c r="H5966" s="6"/>
      <c r="AD5966" s="5">
        <v>45175.0</v>
      </c>
      <c r="AE5966" s="6">
        <v>0.5</v>
      </c>
      <c r="AF5966" s="7">
        <v>54745.08</v>
      </c>
    </row>
    <row r="5967">
      <c r="G5967" s="5"/>
      <c r="H5967" s="6"/>
      <c r="AD5967" s="5">
        <v>45175.0</v>
      </c>
      <c r="AE5967" s="6">
        <v>0.5416666666666666</v>
      </c>
      <c r="AF5967" s="7">
        <v>48902.88</v>
      </c>
    </row>
    <row r="5968">
      <c r="G5968" s="5"/>
      <c r="H5968" s="6"/>
      <c r="AD5968" s="5">
        <v>45175.0</v>
      </c>
      <c r="AE5968" s="6">
        <v>0.5833333333333334</v>
      </c>
      <c r="AF5968" s="7">
        <v>46516.86</v>
      </c>
    </row>
    <row r="5969">
      <c r="G5969" s="5"/>
      <c r="H5969" s="6"/>
      <c r="AD5969" s="5">
        <v>45175.0</v>
      </c>
      <c r="AE5969" s="6">
        <v>0.625</v>
      </c>
      <c r="AF5969" s="7">
        <v>37037.52</v>
      </c>
    </row>
    <row r="5970">
      <c r="G5970" s="5"/>
      <c r="H5970" s="6"/>
      <c r="AD5970" s="5">
        <v>45175.0</v>
      </c>
      <c r="AE5970" s="6">
        <v>0.6666666666666666</v>
      </c>
      <c r="AF5970" s="7">
        <v>23903.88</v>
      </c>
    </row>
    <row r="5971">
      <c r="G5971" s="5"/>
      <c r="H5971" s="6"/>
      <c r="AD5971" s="5">
        <v>45175.0</v>
      </c>
      <c r="AE5971" s="6">
        <v>0.7083333333333334</v>
      </c>
      <c r="AF5971" s="7">
        <v>9409.92</v>
      </c>
    </row>
    <row r="5972">
      <c r="G5972" s="5"/>
      <c r="H5972" s="6"/>
      <c r="AD5972" s="5">
        <v>45175.0</v>
      </c>
      <c r="AE5972" s="6">
        <v>0.75</v>
      </c>
      <c r="AF5972" s="7">
        <v>264.42</v>
      </c>
    </row>
    <row r="5973">
      <c r="G5973" s="5"/>
      <c r="H5973" s="6"/>
      <c r="AD5973" s="5">
        <v>45175.0</v>
      </c>
      <c r="AE5973" s="6">
        <v>0.7916666666666666</v>
      </c>
      <c r="AF5973" s="7">
        <v>0.0</v>
      </c>
    </row>
    <row r="5974">
      <c r="G5974" s="5"/>
      <c r="H5974" s="6"/>
      <c r="AD5974" s="5">
        <v>45175.0</v>
      </c>
      <c r="AE5974" s="6">
        <v>0.8333333333333334</v>
      </c>
      <c r="AF5974" s="7">
        <v>0.0</v>
      </c>
    </row>
    <row r="5975">
      <c r="G5975" s="5"/>
      <c r="H5975" s="6"/>
      <c r="AD5975" s="5">
        <v>45175.0</v>
      </c>
      <c r="AE5975" s="6">
        <v>0.875</v>
      </c>
      <c r="AF5975" s="7">
        <v>0.0</v>
      </c>
    </row>
    <row r="5976">
      <c r="G5976" s="5"/>
      <c r="H5976" s="6"/>
      <c r="AD5976" s="5">
        <v>45175.0</v>
      </c>
      <c r="AE5976" s="6">
        <v>0.9166666666666666</v>
      </c>
      <c r="AF5976" s="7">
        <v>0.0</v>
      </c>
    </row>
    <row r="5977">
      <c r="G5977" s="5"/>
      <c r="H5977" s="6"/>
      <c r="AD5977" s="5">
        <v>45175.0</v>
      </c>
      <c r="AE5977" s="6">
        <v>0.9583333333333334</v>
      </c>
      <c r="AF5977" s="7">
        <v>0.0</v>
      </c>
    </row>
    <row r="5978">
      <c r="G5978" s="5"/>
      <c r="H5978" s="6"/>
      <c r="AD5978" s="5">
        <v>45176.0</v>
      </c>
      <c r="AE5978" s="6">
        <v>0.0</v>
      </c>
      <c r="AF5978" s="7">
        <v>0.0</v>
      </c>
    </row>
    <row r="5979">
      <c r="G5979" s="5"/>
      <c r="H5979" s="6"/>
      <c r="AD5979" s="5">
        <v>45176.0</v>
      </c>
      <c r="AE5979" s="6">
        <v>0.041666666666666664</v>
      </c>
      <c r="AF5979" s="7">
        <v>0.0</v>
      </c>
    </row>
    <row r="5980">
      <c r="G5980" s="5"/>
      <c r="H5980" s="6"/>
      <c r="AD5980" s="5">
        <v>45176.0</v>
      </c>
      <c r="AE5980" s="6">
        <v>0.08333333333333333</v>
      </c>
      <c r="AF5980" s="7">
        <v>0.0</v>
      </c>
    </row>
    <row r="5981">
      <c r="G5981" s="5"/>
      <c r="H5981" s="6"/>
      <c r="AD5981" s="5">
        <v>45176.0</v>
      </c>
      <c r="AE5981" s="6">
        <v>0.125</v>
      </c>
      <c r="AF5981" s="7">
        <v>0.0</v>
      </c>
    </row>
    <row r="5982">
      <c r="G5982" s="5"/>
      <c r="H5982" s="6"/>
      <c r="AD5982" s="5">
        <v>45176.0</v>
      </c>
      <c r="AE5982" s="6">
        <v>0.16666666666666666</v>
      </c>
      <c r="AF5982" s="7">
        <v>0.0</v>
      </c>
    </row>
    <row r="5983">
      <c r="G5983" s="5"/>
      <c r="H5983" s="6"/>
      <c r="AD5983" s="5">
        <v>45176.0</v>
      </c>
      <c r="AE5983" s="6">
        <v>0.20833333333333334</v>
      </c>
      <c r="AF5983" s="7">
        <v>0.0</v>
      </c>
    </row>
    <row r="5984">
      <c r="G5984" s="5"/>
      <c r="H5984" s="6"/>
      <c r="AD5984" s="5">
        <v>45176.0</v>
      </c>
      <c r="AE5984" s="6">
        <v>0.25</v>
      </c>
      <c r="AF5984" s="7">
        <v>1160.64</v>
      </c>
    </row>
    <row r="5985">
      <c r="G5985" s="5"/>
      <c r="H5985" s="6"/>
      <c r="AD5985" s="5">
        <v>45176.0</v>
      </c>
      <c r="AE5985" s="6">
        <v>0.2916666666666667</v>
      </c>
      <c r="AF5985" s="7">
        <v>12373.92</v>
      </c>
    </row>
    <row r="5986">
      <c r="G5986" s="5"/>
      <c r="H5986" s="6"/>
      <c r="AD5986" s="5">
        <v>45176.0</v>
      </c>
      <c r="AE5986" s="6">
        <v>0.3333333333333333</v>
      </c>
      <c r="AF5986" s="7">
        <v>28810.86</v>
      </c>
    </row>
    <row r="5987">
      <c r="G5987" s="5"/>
      <c r="H5987" s="6"/>
      <c r="AD5987" s="5">
        <v>45176.0</v>
      </c>
      <c r="AE5987" s="6">
        <v>0.375</v>
      </c>
      <c r="AF5987" s="7">
        <v>42719.82</v>
      </c>
    </row>
    <row r="5988">
      <c r="G5988" s="5"/>
      <c r="H5988" s="6"/>
      <c r="AD5988" s="5">
        <v>45176.0</v>
      </c>
      <c r="AE5988" s="6">
        <v>0.4166666666666667</v>
      </c>
      <c r="AF5988" s="7">
        <v>48857.64</v>
      </c>
    </row>
    <row r="5989">
      <c r="G5989" s="5"/>
      <c r="H5989" s="6"/>
      <c r="AD5989" s="5">
        <v>45176.0</v>
      </c>
      <c r="AE5989" s="6">
        <v>0.4583333333333333</v>
      </c>
      <c r="AF5989" s="7">
        <v>53718.6</v>
      </c>
    </row>
    <row r="5990">
      <c r="G5990" s="5"/>
      <c r="H5990" s="6"/>
      <c r="AD5990" s="5">
        <v>45176.0</v>
      </c>
      <c r="AE5990" s="6">
        <v>0.5</v>
      </c>
      <c r="AF5990" s="7">
        <v>53727.18</v>
      </c>
    </row>
    <row r="5991">
      <c r="G5991" s="5"/>
      <c r="H5991" s="6"/>
      <c r="AD5991" s="5">
        <v>45176.0</v>
      </c>
      <c r="AE5991" s="6">
        <v>0.5416666666666666</v>
      </c>
      <c r="AF5991" s="7">
        <v>49067.46</v>
      </c>
    </row>
    <row r="5992">
      <c r="G5992" s="5"/>
      <c r="H5992" s="6"/>
      <c r="AD5992" s="5">
        <v>45176.0</v>
      </c>
      <c r="AE5992" s="6">
        <v>0.5833333333333334</v>
      </c>
      <c r="AF5992" s="7">
        <v>32816.94</v>
      </c>
    </row>
    <row r="5993">
      <c r="G5993" s="5"/>
      <c r="H5993" s="6"/>
      <c r="AD5993" s="5">
        <v>45176.0</v>
      </c>
      <c r="AE5993" s="6">
        <v>0.625</v>
      </c>
      <c r="AF5993" s="7">
        <v>32166.42</v>
      </c>
    </row>
    <row r="5994">
      <c r="G5994" s="5"/>
      <c r="H5994" s="6"/>
      <c r="AD5994" s="5">
        <v>45176.0</v>
      </c>
      <c r="AE5994" s="6">
        <v>0.6666666666666666</v>
      </c>
      <c r="AF5994" s="7">
        <v>18949.32</v>
      </c>
    </row>
    <row r="5995">
      <c r="G5995" s="5"/>
      <c r="H5995" s="6"/>
      <c r="AD5995" s="5">
        <v>45176.0</v>
      </c>
      <c r="AE5995" s="6">
        <v>0.7083333333333334</v>
      </c>
      <c r="AF5995" s="7">
        <v>8911.5</v>
      </c>
    </row>
    <row r="5996">
      <c r="G5996" s="5"/>
      <c r="H5996" s="6"/>
      <c r="AD5996" s="5">
        <v>45176.0</v>
      </c>
      <c r="AE5996" s="6">
        <v>0.75</v>
      </c>
      <c r="AF5996" s="7">
        <v>211.38</v>
      </c>
    </row>
    <row r="5997">
      <c r="G5997" s="5"/>
      <c r="H5997" s="6"/>
      <c r="AD5997" s="5">
        <v>45176.0</v>
      </c>
      <c r="AE5997" s="6">
        <v>0.7916666666666666</v>
      </c>
      <c r="AF5997" s="7">
        <v>0.0</v>
      </c>
    </row>
    <row r="5998">
      <c r="G5998" s="5"/>
      <c r="H5998" s="6"/>
      <c r="AD5998" s="5">
        <v>45176.0</v>
      </c>
      <c r="AE5998" s="6">
        <v>0.8333333333333334</v>
      </c>
      <c r="AF5998" s="7">
        <v>0.0</v>
      </c>
    </row>
    <row r="5999">
      <c r="G5999" s="5"/>
      <c r="H5999" s="6"/>
      <c r="AD5999" s="5">
        <v>45176.0</v>
      </c>
      <c r="AE5999" s="6">
        <v>0.875</v>
      </c>
      <c r="AF5999" s="7">
        <v>0.0</v>
      </c>
    </row>
    <row r="6000">
      <c r="G6000" s="5"/>
      <c r="H6000" s="6"/>
      <c r="AD6000" s="5">
        <v>45176.0</v>
      </c>
      <c r="AE6000" s="6">
        <v>0.9166666666666666</v>
      </c>
      <c r="AF6000" s="7">
        <v>0.0</v>
      </c>
    </row>
    <row r="6001">
      <c r="G6001" s="5"/>
      <c r="H6001" s="6"/>
      <c r="AD6001" s="5">
        <v>45176.0</v>
      </c>
      <c r="AE6001" s="6">
        <v>0.9583333333333334</v>
      </c>
      <c r="AF6001" s="7">
        <v>0.0</v>
      </c>
    </row>
    <row r="6002">
      <c r="G6002" s="5"/>
      <c r="H6002" s="6"/>
      <c r="AD6002" s="5">
        <v>45177.0</v>
      </c>
      <c r="AE6002" s="6">
        <v>0.0</v>
      </c>
      <c r="AF6002" s="7">
        <v>0.0</v>
      </c>
    </row>
    <row r="6003">
      <c r="G6003" s="5"/>
      <c r="H6003" s="6"/>
      <c r="AD6003" s="5">
        <v>45177.0</v>
      </c>
      <c r="AE6003" s="6">
        <v>0.041666666666666664</v>
      </c>
      <c r="AF6003" s="7">
        <v>0.0</v>
      </c>
    </row>
    <row r="6004">
      <c r="G6004" s="5"/>
      <c r="H6004" s="6"/>
      <c r="AD6004" s="5">
        <v>45177.0</v>
      </c>
      <c r="AE6004" s="6">
        <v>0.08333333333333333</v>
      </c>
      <c r="AF6004" s="7">
        <v>0.0</v>
      </c>
    </row>
    <row r="6005">
      <c r="G6005" s="5"/>
      <c r="H6005" s="6"/>
      <c r="AD6005" s="5">
        <v>45177.0</v>
      </c>
      <c r="AE6005" s="6">
        <v>0.125</v>
      </c>
      <c r="AF6005" s="7">
        <v>0.0</v>
      </c>
    </row>
    <row r="6006">
      <c r="G6006" s="5"/>
      <c r="H6006" s="6"/>
      <c r="AD6006" s="5">
        <v>45177.0</v>
      </c>
      <c r="AE6006" s="6">
        <v>0.16666666666666666</v>
      </c>
      <c r="AF6006" s="7">
        <v>0.0</v>
      </c>
    </row>
    <row r="6007">
      <c r="G6007" s="5"/>
      <c r="H6007" s="6"/>
      <c r="AD6007" s="5">
        <v>45177.0</v>
      </c>
      <c r="AE6007" s="6">
        <v>0.20833333333333334</v>
      </c>
      <c r="AF6007" s="7">
        <v>0.0</v>
      </c>
    </row>
    <row r="6008">
      <c r="G6008" s="5"/>
      <c r="H6008" s="6"/>
      <c r="AD6008" s="5">
        <v>45177.0</v>
      </c>
      <c r="AE6008" s="6">
        <v>0.25</v>
      </c>
      <c r="AF6008" s="7">
        <v>1363.44</v>
      </c>
    </row>
    <row r="6009">
      <c r="G6009" s="5"/>
      <c r="H6009" s="6"/>
      <c r="AD6009" s="5">
        <v>45177.0</v>
      </c>
      <c r="AE6009" s="6">
        <v>0.2916666666666667</v>
      </c>
      <c r="AF6009" s="7">
        <v>13876.98</v>
      </c>
    </row>
    <row r="6010">
      <c r="G6010" s="5"/>
      <c r="H6010" s="6"/>
      <c r="AD6010" s="5">
        <v>45177.0</v>
      </c>
      <c r="AE6010" s="6">
        <v>0.3333333333333333</v>
      </c>
      <c r="AF6010" s="7">
        <v>28877.16</v>
      </c>
    </row>
    <row r="6011">
      <c r="G6011" s="5"/>
      <c r="H6011" s="6"/>
      <c r="AD6011" s="5">
        <v>45177.0</v>
      </c>
      <c r="AE6011" s="6">
        <v>0.375</v>
      </c>
      <c r="AF6011" s="7">
        <v>40808.82</v>
      </c>
    </row>
    <row r="6012">
      <c r="G6012" s="5"/>
      <c r="H6012" s="6"/>
      <c r="AD6012" s="5">
        <v>45177.0</v>
      </c>
      <c r="AE6012" s="6">
        <v>0.4166666666666667</v>
      </c>
      <c r="AF6012" s="7">
        <v>49292.1</v>
      </c>
    </row>
    <row r="6013">
      <c r="G6013" s="5"/>
      <c r="H6013" s="6"/>
      <c r="AD6013" s="5">
        <v>45177.0</v>
      </c>
      <c r="AE6013" s="6">
        <v>0.4583333333333333</v>
      </c>
      <c r="AF6013" s="7">
        <v>53300.52</v>
      </c>
    </row>
    <row r="6014">
      <c r="G6014" s="5"/>
      <c r="H6014" s="6"/>
      <c r="AD6014" s="5">
        <v>45177.0</v>
      </c>
      <c r="AE6014" s="6">
        <v>0.5</v>
      </c>
      <c r="AF6014" s="7">
        <v>54744.3</v>
      </c>
    </row>
    <row r="6015">
      <c r="G6015" s="5"/>
      <c r="H6015" s="6"/>
      <c r="AD6015" s="5">
        <v>45177.0</v>
      </c>
      <c r="AE6015" s="6">
        <v>0.5416666666666666</v>
      </c>
      <c r="AF6015" s="7">
        <v>52344.24</v>
      </c>
    </row>
    <row r="6016">
      <c r="G6016" s="5"/>
      <c r="H6016" s="6"/>
      <c r="AD6016" s="5">
        <v>45177.0</v>
      </c>
      <c r="AE6016" s="6">
        <v>0.5833333333333334</v>
      </c>
      <c r="AF6016" s="7">
        <v>45989.58</v>
      </c>
    </row>
    <row r="6017">
      <c r="G6017" s="5"/>
      <c r="H6017" s="6"/>
      <c r="AD6017" s="5">
        <v>45177.0</v>
      </c>
      <c r="AE6017" s="6">
        <v>0.625</v>
      </c>
      <c r="AF6017" s="7">
        <v>36642.06</v>
      </c>
    </row>
    <row r="6018">
      <c r="G6018" s="5"/>
      <c r="H6018" s="6"/>
      <c r="AD6018" s="5">
        <v>45177.0</v>
      </c>
      <c r="AE6018" s="6">
        <v>0.6666666666666666</v>
      </c>
      <c r="AF6018" s="7">
        <v>23366.46</v>
      </c>
    </row>
    <row r="6019">
      <c r="G6019" s="5"/>
      <c r="H6019" s="6"/>
      <c r="AD6019" s="5">
        <v>45177.0</v>
      </c>
      <c r="AE6019" s="6">
        <v>0.7083333333333334</v>
      </c>
      <c r="AF6019" s="7">
        <v>8793.72</v>
      </c>
    </row>
    <row r="6020">
      <c r="G6020" s="5"/>
      <c r="H6020" s="6"/>
      <c r="AD6020" s="5">
        <v>45177.0</v>
      </c>
      <c r="AE6020" s="6">
        <v>0.75</v>
      </c>
      <c r="AF6020" s="7">
        <v>87.36</v>
      </c>
    </row>
    <row r="6021">
      <c r="G6021" s="5"/>
      <c r="H6021" s="6"/>
      <c r="AD6021" s="5">
        <v>45177.0</v>
      </c>
      <c r="AE6021" s="6">
        <v>0.7916666666666666</v>
      </c>
      <c r="AF6021" s="7">
        <v>0.0</v>
      </c>
    </row>
    <row r="6022">
      <c r="G6022" s="5"/>
      <c r="H6022" s="6"/>
      <c r="AD6022" s="5">
        <v>45177.0</v>
      </c>
      <c r="AE6022" s="6">
        <v>0.8333333333333334</v>
      </c>
      <c r="AF6022" s="7">
        <v>0.0</v>
      </c>
    </row>
    <row r="6023">
      <c r="G6023" s="5"/>
      <c r="H6023" s="6"/>
      <c r="AD6023" s="5">
        <v>45177.0</v>
      </c>
      <c r="AE6023" s="6">
        <v>0.875</v>
      </c>
      <c r="AF6023" s="7">
        <v>0.0</v>
      </c>
    </row>
    <row r="6024">
      <c r="G6024" s="5"/>
      <c r="H6024" s="6"/>
      <c r="AD6024" s="5">
        <v>45177.0</v>
      </c>
      <c r="AE6024" s="6">
        <v>0.9166666666666666</v>
      </c>
      <c r="AF6024" s="7">
        <v>0.0</v>
      </c>
    </row>
    <row r="6025">
      <c r="G6025" s="5"/>
      <c r="H6025" s="6"/>
      <c r="AD6025" s="5">
        <v>45177.0</v>
      </c>
      <c r="AE6025" s="6">
        <v>0.9583333333333334</v>
      </c>
      <c r="AF6025" s="7">
        <v>0.0</v>
      </c>
    </row>
    <row r="6026">
      <c r="G6026" s="5"/>
      <c r="H6026" s="6"/>
      <c r="AD6026" s="5">
        <v>45178.0</v>
      </c>
      <c r="AE6026" s="6">
        <v>0.0</v>
      </c>
      <c r="AF6026" s="7">
        <v>0.0</v>
      </c>
    </row>
    <row r="6027">
      <c r="G6027" s="5"/>
      <c r="H6027" s="6"/>
      <c r="AD6027" s="5">
        <v>45178.0</v>
      </c>
      <c r="AE6027" s="6">
        <v>0.041666666666666664</v>
      </c>
      <c r="AF6027" s="7">
        <v>0.0</v>
      </c>
    </row>
    <row r="6028">
      <c r="G6028" s="5"/>
      <c r="H6028" s="6"/>
      <c r="AD6028" s="5">
        <v>45178.0</v>
      </c>
      <c r="AE6028" s="6">
        <v>0.08333333333333333</v>
      </c>
      <c r="AF6028" s="7">
        <v>0.0</v>
      </c>
    </row>
    <row r="6029">
      <c r="G6029" s="5"/>
      <c r="H6029" s="6"/>
      <c r="AD6029" s="5">
        <v>45178.0</v>
      </c>
      <c r="AE6029" s="6">
        <v>0.125</v>
      </c>
      <c r="AF6029" s="7">
        <v>0.0</v>
      </c>
    </row>
    <row r="6030">
      <c r="G6030" s="5"/>
      <c r="H6030" s="6"/>
      <c r="AD6030" s="5">
        <v>45178.0</v>
      </c>
      <c r="AE6030" s="6">
        <v>0.16666666666666666</v>
      </c>
      <c r="AF6030" s="7">
        <v>0.0</v>
      </c>
    </row>
    <row r="6031">
      <c r="G6031" s="5"/>
      <c r="H6031" s="6"/>
      <c r="AD6031" s="5">
        <v>45178.0</v>
      </c>
      <c r="AE6031" s="6">
        <v>0.20833333333333334</v>
      </c>
      <c r="AF6031" s="7">
        <v>0.0</v>
      </c>
    </row>
    <row r="6032">
      <c r="G6032" s="5"/>
      <c r="H6032" s="6"/>
      <c r="AD6032" s="5">
        <v>45178.0</v>
      </c>
      <c r="AE6032" s="6">
        <v>0.25</v>
      </c>
      <c r="AF6032" s="7">
        <v>1145.82</v>
      </c>
    </row>
    <row r="6033">
      <c r="G6033" s="5"/>
      <c r="H6033" s="6"/>
      <c r="AD6033" s="5">
        <v>45178.0</v>
      </c>
      <c r="AE6033" s="6">
        <v>0.2916666666666667</v>
      </c>
      <c r="AF6033" s="7">
        <v>8918.52</v>
      </c>
    </row>
    <row r="6034">
      <c r="G6034" s="5"/>
      <c r="H6034" s="6"/>
      <c r="AD6034" s="5">
        <v>45178.0</v>
      </c>
      <c r="AE6034" s="6">
        <v>0.3333333333333333</v>
      </c>
      <c r="AF6034" s="7">
        <v>19586.58</v>
      </c>
    </row>
    <row r="6035">
      <c r="G6035" s="5"/>
      <c r="H6035" s="6"/>
      <c r="AD6035" s="5">
        <v>45178.0</v>
      </c>
      <c r="AE6035" s="6">
        <v>0.375</v>
      </c>
      <c r="AF6035" s="7">
        <v>40635.66</v>
      </c>
    </row>
    <row r="6036">
      <c r="G6036" s="5"/>
      <c r="H6036" s="6"/>
      <c r="AD6036" s="5">
        <v>45178.0</v>
      </c>
      <c r="AE6036" s="6">
        <v>0.4166666666666667</v>
      </c>
      <c r="AF6036" s="7">
        <v>49030.8</v>
      </c>
    </row>
    <row r="6037">
      <c r="G6037" s="5"/>
      <c r="H6037" s="6"/>
      <c r="AD6037" s="5">
        <v>45178.0</v>
      </c>
      <c r="AE6037" s="6">
        <v>0.4583333333333333</v>
      </c>
      <c r="AF6037" s="7">
        <v>53380.08</v>
      </c>
    </row>
    <row r="6038">
      <c r="G6038" s="5"/>
      <c r="H6038" s="6"/>
      <c r="AD6038" s="5">
        <v>45178.0</v>
      </c>
      <c r="AE6038" s="6">
        <v>0.5</v>
      </c>
      <c r="AF6038" s="7">
        <v>54107.82</v>
      </c>
    </row>
    <row r="6039">
      <c r="G6039" s="5"/>
      <c r="H6039" s="6"/>
      <c r="AD6039" s="5">
        <v>45178.0</v>
      </c>
      <c r="AE6039" s="6">
        <v>0.5416666666666666</v>
      </c>
      <c r="AF6039" s="7">
        <v>51646.92</v>
      </c>
    </row>
    <row r="6040">
      <c r="G6040" s="5"/>
      <c r="H6040" s="6"/>
      <c r="AD6040" s="5">
        <v>45178.0</v>
      </c>
      <c r="AE6040" s="6">
        <v>0.5833333333333334</v>
      </c>
      <c r="AF6040" s="7">
        <v>45960.72</v>
      </c>
    </row>
    <row r="6041">
      <c r="G6041" s="5"/>
      <c r="H6041" s="6"/>
      <c r="AD6041" s="5">
        <v>45178.0</v>
      </c>
      <c r="AE6041" s="6">
        <v>0.625</v>
      </c>
      <c r="AF6041" s="7">
        <v>35871.42</v>
      </c>
    </row>
    <row r="6042">
      <c r="G6042" s="5"/>
      <c r="H6042" s="6"/>
      <c r="AD6042" s="5">
        <v>45178.0</v>
      </c>
      <c r="AE6042" s="6">
        <v>0.6666666666666666</v>
      </c>
      <c r="AF6042" s="7">
        <v>10537.02</v>
      </c>
    </row>
    <row r="6043">
      <c r="G6043" s="5"/>
      <c r="H6043" s="6"/>
      <c r="AD6043" s="5">
        <v>45178.0</v>
      </c>
      <c r="AE6043" s="6">
        <v>0.7083333333333334</v>
      </c>
      <c r="AF6043" s="7">
        <v>8287.5</v>
      </c>
    </row>
    <row r="6044">
      <c r="G6044" s="5"/>
      <c r="H6044" s="6"/>
      <c r="AD6044" s="5">
        <v>45178.0</v>
      </c>
      <c r="AE6044" s="6">
        <v>0.75</v>
      </c>
      <c r="AF6044" s="7">
        <v>0.0</v>
      </c>
    </row>
    <row r="6045">
      <c r="G6045" s="5"/>
      <c r="H6045" s="6"/>
      <c r="AD6045" s="5">
        <v>45178.0</v>
      </c>
      <c r="AE6045" s="6">
        <v>0.7916666666666666</v>
      </c>
      <c r="AF6045" s="7">
        <v>0.0</v>
      </c>
    </row>
    <row r="6046">
      <c r="G6046" s="5"/>
      <c r="H6046" s="6"/>
      <c r="AD6046" s="5">
        <v>45178.0</v>
      </c>
      <c r="AE6046" s="6">
        <v>0.8333333333333334</v>
      </c>
      <c r="AF6046" s="7">
        <v>0.0</v>
      </c>
    </row>
    <row r="6047">
      <c r="G6047" s="5"/>
      <c r="H6047" s="6"/>
      <c r="AD6047" s="5">
        <v>45178.0</v>
      </c>
      <c r="AE6047" s="6">
        <v>0.875</v>
      </c>
      <c r="AF6047" s="7">
        <v>0.0</v>
      </c>
    </row>
    <row r="6048">
      <c r="G6048" s="5"/>
      <c r="H6048" s="6"/>
      <c r="AD6048" s="5">
        <v>45178.0</v>
      </c>
      <c r="AE6048" s="6">
        <v>0.9166666666666666</v>
      </c>
      <c r="AF6048" s="7">
        <v>0.0</v>
      </c>
    </row>
    <row r="6049">
      <c r="G6049" s="5"/>
      <c r="H6049" s="6"/>
      <c r="AD6049" s="5">
        <v>45178.0</v>
      </c>
      <c r="AE6049" s="6">
        <v>0.9583333333333334</v>
      </c>
      <c r="AF6049" s="7">
        <v>0.0</v>
      </c>
    </row>
    <row r="6050">
      <c r="G6050" s="5"/>
      <c r="H6050" s="6"/>
      <c r="AD6050" s="5">
        <v>45179.0</v>
      </c>
      <c r="AE6050" s="6">
        <v>0.0</v>
      </c>
      <c r="AF6050" s="7">
        <v>0.0</v>
      </c>
    </row>
    <row r="6051">
      <c r="G6051" s="5"/>
      <c r="H6051" s="6"/>
      <c r="AD6051" s="5">
        <v>45179.0</v>
      </c>
      <c r="AE6051" s="6">
        <v>0.041666666666666664</v>
      </c>
      <c r="AF6051" s="7">
        <v>0.0</v>
      </c>
    </row>
    <row r="6052">
      <c r="G6052" s="5"/>
      <c r="H6052" s="6"/>
      <c r="AD6052" s="5">
        <v>45179.0</v>
      </c>
      <c r="AE6052" s="6">
        <v>0.08333333333333333</v>
      </c>
      <c r="AF6052" s="7">
        <v>0.0</v>
      </c>
    </row>
    <row r="6053">
      <c r="G6053" s="5"/>
      <c r="H6053" s="6"/>
      <c r="AD6053" s="5">
        <v>45179.0</v>
      </c>
      <c r="AE6053" s="6">
        <v>0.125</v>
      </c>
      <c r="AF6053" s="7">
        <v>0.0</v>
      </c>
    </row>
    <row r="6054">
      <c r="G6054" s="5"/>
      <c r="H6054" s="6"/>
      <c r="AD6054" s="5">
        <v>45179.0</v>
      </c>
      <c r="AE6054" s="6">
        <v>0.16666666666666666</v>
      </c>
      <c r="AF6054" s="7">
        <v>0.0</v>
      </c>
    </row>
    <row r="6055">
      <c r="G6055" s="5"/>
      <c r="H6055" s="6"/>
      <c r="AD6055" s="5">
        <v>45179.0</v>
      </c>
      <c r="AE6055" s="6">
        <v>0.20833333333333334</v>
      </c>
      <c r="AF6055" s="7">
        <v>0.0</v>
      </c>
    </row>
    <row r="6056">
      <c r="G6056" s="5"/>
      <c r="H6056" s="6"/>
      <c r="AD6056" s="5">
        <v>45179.0</v>
      </c>
      <c r="AE6056" s="6">
        <v>0.25</v>
      </c>
      <c r="AF6056" s="7">
        <v>1247.22</v>
      </c>
    </row>
    <row r="6057">
      <c r="G6057" s="5"/>
      <c r="H6057" s="6"/>
      <c r="AD6057" s="5">
        <v>45179.0</v>
      </c>
      <c r="AE6057" s="6">
        <v>0.2916666666666667</v>
      </c>
      <c r="AF6057" s="7">
        <v>6128.46</v>
      </c>
    </row>
    <row r="6058">
      <c r="G6058" s="5"/>
      <c r="H6058" s="6"/>
      <c r="AD6058" s="5">
        <v>45179.0</v>
      </c>
      <c r="AE6058" s="6">
        <v>0.3333333333333333</v>
      </c>
      <c r="AF6058" s="7">
        <v>7706.4</v>
      </c>
    </row>
    <row r="6059">
      <c r="G6059" s="5"/>
      <c r="H6059" s="6"/>
      <c r="AD6059" s="5">
        <v>45179.0</v>
      </c>
      <c r="AE6059" s="6">
        <v>0.375</v>
      </c>
      <c r="AF6059" s="7">
        <v>11023.74</v>
      </c>
    </row>
    <row r="6060">
      <c r="G6060" s="5"/>
      <c r="H6060" s="6"/>
      <c r="AD6060" s="5">
        <v>45179.0</v>
      </c>
      <c r="AE6060" s="6">
        <v>0.4166666666666667</v>
      </c>
      <c r="AF6060" s="7">
        <v>13394.16</v>
      </c>
    </row>
    <row r="6061">
      <c r="G6061" s="5"/>
      <c r="H6061" s="6"/>
      <c r="AD6061" s="5">
        <v>45179.0</v>
      </c>
      <c r="AE6061" s="6">
        <v>0.4583333333333333</v>
      </c>
      <c r="AF6061" s="7">
        <v>44421.78</v>
      </c>
    </row>
    <row r="6062">
      <c r="G6062" s="5"/>
      <c r="H6062" s="6"/>
      <c r="AD6062" s="5">
        <v>45179.0</v>
      </c>
      <c r="AE6062" s="6">
        <v>0.5</v>
      </c>
      <c r="AF6062" s="7">
        <v>53482.26</v>
      </c>
    </row>
    <row r="6063">
      <c r="G6063" s="5"/>
      <c r="H6063" s="6"/>
      <c r="AD6063" s="5">
        <v>45179.0</v>
      </c>
      <c r="AE6063" s="6">
        <v>0.5416666666666666</v>
      </c>
      <c r="AF6063" s="7">
        <v>51467.52</v>
      </c>
    </row>
    <row r="6064">
      <c r="G6064" s="5"/>
      <c r="H6064" s="6"/>
      <c r="AD6064" s="5">
        <v>45179.0</v>
      </c>
      <c r="AE6064" s="6">
        <v>0.5833333333333334</v>
      </c>
      <c r="AF6064" s="7">
        <v>44921.76</v>
      </c>
    </row>
    <row r="6065">
      <c r="G6065" s="5"/>
      <c r="H6065" s="6"/>
      <c r="AD6065" s="5">
        <v>45179.0</v>
      </c>
      <c r="AE6065" s="6">
        <v>0.625</v>
      </c>
      <c r="AF6065" s="7">
        <v>35425.26</v>
      </c>
    </row>
    <row r="6066">
      <c r="G6066" s="5"/>
      <c r="H6066" s="6"/>
      <c r="AD6066" s="5">
        <v>45179.0</v>
      </c>
      <c r="AE6066" s="6">
        <v>0.6666666666666666</v>
      </c>
      <c r="AF6066" s="7">
        <v>22454.64</v>
      </c>
    </row>
    <row r="6067">
      <c r="G6067" s="5"/>
      <c r="H6067" s="6"/>
      <c r="AD6067" s="5">
        <v>45179.0</v>
      </c>
      <c r="AE6067" s="6">
        <v>0.7083333333333334</v>
      </c>
      <c r="AF6067" s="7">
        <v>8433.36</v>
      </c>
    </row>
    <row r="6068">
      <c r="G6068" s="5"/>
      <c r="H6068" s="6"/>
      <c r="AD6068" s="5">
        <v>45179.0</v>
      </c>
      <c r="AE6068" s="6">
        <v>0.75</v>
      </c>
      <c r="AF6068" s="7">
        <v>0.0</v>
      </c>
    </row>
    <row r="6069">
      <c r="G6069" s="5"/>
      <c r="H6069" s="6"/>
      <c r="AD6069" s="5">
        <v>45179.0</v>
      </c>
      <c r="AE6069" s="6">
        <v>0.7916666666666666</v>
      </c>
      <c r="AF6069" s="7">
        <v>0.0</v>
      </c>
    </row>
    <row r="6070">
      <c r="G6070" s="5"/>
      <c r="H6070" s="6"/>
      <c r="AD6070" s="5">
        <v>45179.0</v>
      </c>
      <c r="AE6070" s="6">
        <v>0.8333333333333334</v>
      </c>
      <c r="AF6070" s="7">
        <v>0.0</v>
      </c>
    </row>
    <row r="6071">
      <c r="G6071" s="5"/>
      <c r="H6071" s="6"/>
      <c r="AD6071" s="5">
        <v>45179.0</v>
      </c>
      <c r="AE6071" s="6">
        <v>0.875</v>
      </c>
      <c r="AF6071" s="7">
        <v>0.0</v>
      </c>
    </row>
    <row r="6072">
      <c r="G6072" s="5"/>
      <c r="H6072" s="6"/>
      <c r="AD6072" s="5">
        <v>45179.0</v>
      </c>
      <c r="AE6072" s="6">
        <v>0.9166666666666666</v>
      </c>
      <c r="AF6072" s="7">
        <v>0.0</v>
      </c>
    </row>
    <row r="6073">
      <c r="G6073" s="5"/>
      <c r="H6073" s="6"/>
      <c r="AD6073" s="5">
        <v>45179.0</v>
      </c>
      <c r="AE6073" s="6">
        <v>0.9583333333333334</v>
      </c>
      <c r="AF6073" s="7">
        <v>0.0</v>
      </c>
    </row>
    <row r="6074">
      <c r="G6074" s="5"/>
      <c r="H6074" s="6"/>
      <c r="AD6074" s="5">
        <v>45180.0</v>
      </c>
      <c r="AE6074" s="6">
        <v>0.0</v>
      </c>
      <c r="AF6074" s="7">
        <v>0.0</v>
      </c>
    </row>
    <row r="6075">
      <c r="G6075" s="5"/>
      <c r="H6075" s="6"/>
      <c r="AD6075" s="5">
        <v>45180.0</v>
      </c>
      <c r="AE6075" s="6">
        <v>0.041666666666666664</v>
      </c>
      <c r="AF6075" s="7">
        <v>0.0</v>
      </c>
    </row>
    <row r="6076">
      <c r="G6076" s="5"/>
      <c r="H6076" s="6"/>
      <c r="AD6076" s="5">
        <v>45180.0</v>
      </c>
      <c r="AE6076" s="6">
        <v>0.08333333333333333</v>
      </c>
      <c r="AF6076" s="7">
        <v>0.0</v>
      </c>
    </row>
    <row r="6077">
      <c r="G6077" s="5"/>
      <c r="H6077" s="6"/>
      <c r="AD6077" s="5">
        <v>45180.0</v>
      </c>
      <c r="AE6077" s="6">
        <v>0.125</v>
      </c>
      <c r="AF6077" s="7">
        <v>0.0</v>
      </c>
    </row>
    <row r="6078">
      <c r="G6078" s="5"/>
      <c r="H6078" s="6"/>
      <c r="AD6078" s="5">
        <v>45180.0</v>
      </c>
      <c r="AE6078" s="6">
        <v>0.16666666666666666</v>
      </c>
      <c r="AF6078" s="7">
        <v>0.0</v>
      </c>
    </row>
    <row r="6079">
      <c r="G6079" s="5"/>
      <c r="H6079" s="6"/>
      <c r="AD6079" s="5">
        <v>45180.0</v>
      </c>
      <c r="AE6079" s="6">
        <v>0.20833333333333334</v>
      </c>
      <c r="AF6079" s="7">
        <v>0.0</v>
      </c>
    </row>
    <row r="6080">
      <c r="G6080" s="5"/>
      <c r="H6080" s="6"/>
      <c r="AD6080" s="5">
        <v>45180.0</v>
      </c>
      <c r="AE6080" s="6">
        <v>0.25</v>
      </c>
      <c r="AF6080" s="7">
        <v>1184.82</v>
      </c>
    </row>
    <row r="6081">
      <c r="G6081" s="5"/>
      <c r="H6081" s="6"/>
      <c r="AD6081" s="5">
        <v>45180.0</v>
      </c>
      <c r="AE6081" s="6">
        <v>0.2916666666666667</v>
      </c>
      <c r="AF6081" s="7">
        <v>11963.64</v>
      </c>
    </row>
    <row r="6082">
      <c r="G6082" s="5"/>
      <c r="H6082" s="6"/>
      <c r="AD6082" s="5">
        <v>45180.0</v>
      </c>
      <c r="AE6082" s="6">
        <v>0.3333333333333333</v>
      </c>
      <c r="AF6082" s="7">
        <v>27874.08</v>
      </c>
    </row>
    <row r="6083">
      <c r="G6083" s="5"/>
      <c r="H6083" s="6"/>
      <c r="AD6083" s="5">
        <v>45180.0</v>
      </c>
      <c r="AE6083" s="6">
        <v>0.375</v>
      </c>
      <c r="AF6083" s="7">
        <v>38198.94</v>
      </c>
    </row>
    <row r="6084">
      <c r="G6084" s="5"/>
      <c r="H6084" s="6"/>
      <c r="AD6084" s="5">
        <v>45180.0</v>
      </c>
      <c r="AE6084" s="6">
        <v>0.4166666666666667</v>
      </c>
      <c r="AF6084" s="7">
        <v>46654.14</v>
      </c>
    </row>
    <row r="6085">
      <c r="G6085" s="5"/>
      <c r="H6085" s="6"/>
      <c r="AD6085" s="5">
        <v>45180.0</v>
      </c>
      <c r="AE6085" s="6">
        <v>0.4583333333333333</v>
      </c>
      <c r="AF6085" s="7">
        <v>50983.14</v>
      </c>
    </row>
    <row r="6086">
      <c r="G6086" s="5"/>
      <c r="H6086" s="6"/>
      <c r="AD6086" s="5">
        <v>45180.0</v>
      </c>
      <c r="AE6086" s="6">
        <v>0.5</v>
      </c>
      <c r="AF6086" s="7">
        <v>51450.36</v>
      </c>
    </row>
    <row r="6087">
      <c r="G6087" s="5"/>
      <c r="H6087" s="6"/>
      <c r="AD6087" s="5">
        <v>45180.0</v>
      </c>
      <c r="AE6087" s="6">
        <v>0.5416666666666666</v>
      </c>
      <c r="AF6087" s="7">
        <v>49303.8</v>
      </c>
    </row>
    <row r="6088">
      <c r="G6088" s="5"/>
      <c r="H6088" s="6"/>
      <c r="AD6088" s="5">
        <v>45180.0</v>
      </c>
      <c r="AE6088" s="6">
        <v>0.5833333333333334</v>
      </c>
      <c r="AF6088" s="7">
        <v>4704.18</v>
      </c>
    </row>
    <row r="6089">
      <c r="G6089" s="5"/>
      <c r="H6089" s="6"/>
      <c r="AD6089" s="5">
        <v>45180.0</v>
      </c>
      <c r="AE6089" s="6">
        <v>0.625</v>
      </c>
      <c r="AF6089" s="7">
        <v>35511.84</v>
      </c>
    </row>
    <row r="6090">
      <c r="G6090" s="5"/>
      <c r="H6090" s="6"/>
      <c r="AD6090" s="5">
        <v>45180.0</v>
      </c>
      <c r="AE6090" s="6">
        <v>0.6666666666666666</v>
      </c>
      <c r="AF6090" s="7">
        <v>2336.1</v>
      </c>
    </row>
    <row r="6091">
      <c r="G6091" s="5"/>
      <c r="H6091" s="6"/>
      <c r="AD6091" s="5">
        <v>45180.0</v>
      </c>
      <c r="AE6091" s="6">
        <v>0.7083333333333334</v>
      </c>
      <c r="AF6091" s="7">
        <v>816.66</v>
      </c>
    </row>
    <row r="6092">
      <c r="G6092" s="5"/>
      <c r="H6092" s="6"/>
      <c r="AD6092" s="5">
        <v>45180.0</v>
      </c>
      <c r="AE6092" s="6">
        <v>0.75</v>
      </c>
      <c r="AF6092" s="7">
        <v>0.0</v>
      </c>
    </row>
    <row r="6093">
      <c r="G6093" s="5"/>
      <c r="H6093" s="6"/>
      <c r="AD6093" s="5">
        <v>45180.0</v>
      </c>
      <c r="AE6093" s="6">
        <v>0.7916666666666666</v>
      </c>
      <c r="AF6093" s="7">
        <v>0.0</v>
      </c>
    </row>
    <row r="6094">
      <c r="G6094" s="5"/>
      <c r="H6094" s="6"/>
      <c r="AD6094" s="5">
        <v>45180.0</v>
      </c>
      <c r="AE6094" s="6">
        <v>0.8333333333333334</v>
      </c>
      <c r="AF6094" s="7">
        <v>0.0</v>
      </c>
    </row>
    <row r="6095">
      <c r="G6095" s="5"/>
      <c r="H6095" s="6"/>
      <c r="AD6095" s="5">
        <v>45180.0</v>
      </c>
      <c r="AE6095" s="6">
        <v>0.875</v>
      </c>
      <c r="AF6095" s="7">
        <v>0.0</v>
      </c>
    </row>
    <row r="6096">
      <c r="G6096" s="5"/>
      <c r="H6096" s="6"/>
      <c r="AD6096" s="5">
        <v>45180.0</v>
      </c>
      <c r="AE6096" s="6">
        <v>0.9166666666666666</v>
      </c>
      <c r="AF6096" s="7">
        <v>0.0</v>
      </c>
    </row>
    <row r="6097">
      <c r="G6097" s="5"/>
      <c r="H6097" s="6"/>
      <c r="AD6097" s="5">
        <v>45180.0</v>
      </c>
      <c r="AE6097" s="6">
        <v>0.9583333333333334</v>
      </c>
      <c r="AF6097" s="7">
        <v>0.0</v>
      </c>
    </row>
    <row r="6098">
      <c r="G6098" s="5"/>
      <c r="H6098" s="6"/>
      <c r="AD6098" s="5">
        <v>45181.0</v>
      </c>
      <c r="AE6098" s="6">
        <v>0.0</v>
      </c>
      <c r="AF6098" s="7">
        <v>0.0</v>
      </c>
    </row>
    <row r="6099">
      <c r="G6099" s="5"/>
      <c r="H6099" s="6"/>
      <c r="AD6099" s="5">
        <v>45181.0</v>
      </c>
      <c r="AE6099" s="6">
        <v>0.041666666666666664</v>
      </c>
      <c r="AF6099" s="7">
        <v>0.0</v>
      </c>
    </row>
    <row r="6100">
      <c r="G6100" s="5"/>
      <c r="H6100" s="6"/>
      <c r="AD6100" s="5">
        <v>45181.0</v>
      </c>
      <c r="AE6100" s="6">
        <v>0.08333333333333333</v>
      </c>
      <c r="AF6100" s="7">
        <v>0.0</v>
      </c>
    </row>
    <row r="6101">
      <c r="G6101" s="5"/>
      <c r="H6101" s="6"/>
      <c r="AD6101" s="5">
        <v>45181.0</v>
      </c>
      <c r="AE6101" s="6">
        <v>0.125</v>
      </c>
      <c r="AF6101" s="7">
        <v>0.0</v>
      </c>
    </row>
    <row r="6102">
      <c r="G6102" s="5"/>
      <c r="H6102" s="6"/>
      <c r="AD6102" s="5">
        <v>45181.0</v>
      </c>
      <c r="AE6102" s="6">
        <v>0.16666666666666666</v>
      </c>
      <c r="AF6102" s="7">
        <v>0.0</v>
      </c>
    </row>
    <row r="6103">
      <c r="G6103" s="5"/>
      <c r="H6103" s="6"/>
      <c r="AD6103" s="5">
        <v>45181.0</v>
      </c>
      <c r="AE6103" s="6">
        <v>0.20833333333333334</v>
      </c>
      <c r="AF6103" s="7">
        <v>0.0</v>
      </c>
    </row>
    <row r="6104">
      <c r="G6104" s="5"/>
      <c r="H6104" s="6"/>
      <c r="AD6104" s="5">
        <v>45181.0</v>
      </c>
      <c r="AE6104" s="6">
        <v>0.25</v>
      </c>
      <c r="AF6104" s="7">
        <v>1084.98</v>
      </c>
    </row>
    <row r="6105">
      <c r="G6105" s="5"/>
      <c r="H6105" s="6"/>
      <c r="AD6105" s="5">
        <v>45181.0</v>
      </c>
      <c r="AE6105" s="6">
        <v>0.2916666666666667</v>
      </c>
      <c r="AF6105" s="7">
        <v>757.38</v>
      </c>
    </row>
    <row r="6106">
      <c r="G6106" s="5"/>
      <c r="H6106" s="6"/>
      <c r="AD6106" s="5">
        <v>45181.0</v>
      </c>
      <c r="AE6106" s="6">
        <v>0.3333333333333333</v>
      </c>
      <c r="AF6106" s="7">
        <v>6605.82</v>
      </c>
    </row>
    <row r="6107">
      <c r="G6107" s="5"/>
      <c r="H6107" s="6"/>
      <c r="AD6107" s="5">
        <v>45181.0</v>
      </c>
      <c r="AE6107" s="6">
        <v>0.375</v>
      </c>
      <c r="AF6107" s="7">
        <v>16462.68</v>
      </c>
    </row>
    <row r="6108">
      <c r="G6108" s="5"/>
      <c r="H6108" s="6"/>
      <c r="AD6108" s="5">
        <v>45181.0</v>
      </c>
      <c r="AE6108" s="6">
        <v>0.4166666666666667</v>
      </c>
      <c r="AF6108" s="7">
        <v>14928.42</v>
      </c>
    </row>
    <row r="6109">
      <c r="G6109" s="5"/>
      <c r="H6109" s="6"/>
      <c r="AD6109" s="5">
        <v>45181.0</v>
      </c>
      <c r="AE6109" s="6">
        <v>0.4583333333333333</v>
      </c>
      <c r="AF6109" s="7">
        <v>16054.74</v>
      </c>
    </row>
    <row r="6110">
      <c r="G6110" s="5"/>
      <c r="H6110" s="6"/>
      <c r="AD6110" s="5">
        <v>45181.0</v>
      </c>
      <c r="AE6110" s="6">
        <v>0.5</v>
      </c>
      <c r="AF6110" s="7">
        <v>53266.98</v>
      </c>
    </row>
    <row r="6111">
      <c r="G6111" s="5"/>
      <c r="H6111" s="6"/>
      <c r="AD6111" s="5">
        <v>45181.0</v>
      </c>
      <c r="AE6111" s="6">
        <v>0.5416666666666666</v>
      </c>
      <c r="AF6111" s="7">
        <v>51047.1</v>
      </c>
    </row>
    <row r="6112">
      <c r="G6112" s="5"/>
      <c r="H6112" s="6"/>
      <c r="AD6112" s="5">
        <v>45181.0</v>
      </c>
      <c r="AE6112" s="6">
        <v>0.5833333333333334</v>
      </c>
      <c r="AF6112" s="7">
        <v>41221.44</v>
      </c>
    </row>
    <row r="6113">
      <c r="G6113" s="5"/>
      <c r="H6113" s="6"/>
      <c r="AD6113" s="5">
        <v>45181.0</v>
      </c>
      <c r="AE6113" s="6">
        <v>0.625</v>
      </c>
      <c r="AF6113" s="7">
        <v>35039.16</v>
      </c>
    </row>
    <row r="6114">
      <c r="G6114" s="5"/>
      <c r="H6114" s="6"/>
      <c r="AD6114" s="5">
        <v>45181.0</v>
      </c>
      <c r="AE6114" s="6">
        <v>0.6666666666666666</v>
      </c>
      <c r="AF6114" s="7">
        <v>16719.3</v>
      </c>
    </row>
    <row r="6115">
      <c r="G6115" s="5"/>
      <c r="H6115" s="6"/>
      <c r="AD6115" s="5">
        <v>45181.0</v>
      </c>
      <c r="AE6115" s="6">
        <v>0.7083333333333334</v>
      </c>
      <c r="AF6115" s="7">
        <v>2978.82</v>
      </c>
    </row>
    <row r="6116">
      <c r="G6116" s="5"/>
      <c r="H6116" s="6"/>
      <c r="AD6116" s="5">
        <v>45181.0</v>
      </c>
      <c r="AE6116" s="6">
        <v>0.75</v>
      </c>
      <c r="AF6116" s="7">
        <v>0.0</v>
      </c>
    </row>
    <row r="6117">
      <c r="G6117" s="5"/>
      <c r="H6117" s="6"/>
      <c r="AD6117" s="5">
        <v>45181.0</v>
      </c>
      <c r="AE6117" s="6">
        <v>0.7916666666666666</v>
      </c>
      <c r="AF6117" s="7">
        <v>0.0</v>
      </c>
    </row>
    <row r="6118">
      <c r="G6118" s="5"/>
      <c r="H6118" s="6"/>
      <c r="AD6118" s="5">
        <v>45181.0</v>
      </c>
      <c r="AE6118" s="6">
        <v>0.8333333333333334</v>
      </c>
      <c r="AF6118" s="7">
        <v>0.0</v>
      </c>
    </row>
    <row r="6119">
      <c r="G6119" s="5"/>
      <c r="H6119" s="6"/>
      <c r="AD6119" s="5">
        <v>45181.0</v>
      </c>
      <c r="AE6119" s="6">
        <v>0.875</v>
      </c>
      <c r="AF6119" s="7">
        <v>0.0</v>
      </c>
    </row>
    <row r="6120">
      <c r="G6120" s="5"/>
      <c r="H6120" s="6"/>
      <c r="AD6120" s="5">
        <v>45181.0</v>
      </c>
      <c r="AE6120" s="6">
        <v>0.9166666666666666</v>
      </c>
      <c r="AF6120" s="7">
        <v>0.0</v>
      </c>
    </row>
    <row r="6121">
      <c r="G6121" s="5"/>
      <c r="H6121" s="6"/>
      <c r="AD6121" s="5">
        <v>45181.0</v>
      </c>
      <c r="AE6121" s="6">
        <v>0.9583333333333334</v>
      </c>
      <c r="AF6121" s="7">
        <v>0.0</v>
      </c>
    </row>
    <row r="6122">
      <c r="G6122" s="5"/>
      <c r="H6122" s="6"/>
      <c r="AD6122" s="5">
        <v>45182.0</v>
      </c>
      <c r="AE6122" s="6">
        <v>0.0</v>
      </c>
      <c r="AF6122" s="7">
        <v>0.0</v>
      </c>
    </row>
    <row r="6123">
      <c r="G6123" s="5"/>
      <c r="H6123" s="6"/>
      <c r="AD6123" s="5">
        <v>45182.0</v>
      </c>
      <c r="AE6123" s="6">
        <v>0.041666666666666664</v>
      </c>
      <c r="AF6123" s="7">
        <v>0.0</v>
      </c>
    </row>
    <row r="6124">
      <c r="G6124" s="5"/>
      <c r="H6124" s="6"/>
      <c r="AD6124" s="5">
        <v>45182.0</v>
      </c>
      <c r="AE6124" s="6">
        <v>0.08333333333333333</v>
      </c>
      <c r="AF6124" s="7">
        <v>0.0</v>
      </c>
    </row>
    <row r="6125">
      <c r="G6125" s="5"/>
      <c r="H6125" s="6"/>
      <c r="AD6125" s="5">
        <v>45182.0</v>
      </c>
      <c r="AE6125" s="6">
        <v>0.125</v>
      </c>
      <c r="AF6125" s="7">
        <v>0.0</v>
      </c>
    </row>
    <row r="6126">
      <c r="G6126" s="5"/>
      <c r="H6126" s="6"/>
      <c r="AD6126" s="5">
        <v>45182.0</v>
      </c>
      <c r="AE6126" s="6">
        <v>0.16666666666666666</v>
      </c>
      <c r="AF6126" s="7">
        <v>0.0</v>
      </c>
    </row>
    <row r="6127">
      <c r="G6127" s="5"/>
      <c r="H6127" s="6"/>
      <c r="AD6127" s="5">
        <v>45182.0</v>
      </c>
      <c r="AE6127" s="6">
        <v>0.20833333333333334</v>
      </c>
      <c r="AF6127" s="7">
        <v>0.0</v>
      </c>
    </row>
    <row r="6128">
      <c r="G6128" s="5"/>
      <c r="H6128" s="6"/>
      <c r="AD6128" s="5">
        <v>45182.0</v>
      </c>
      <c r="AE6128" s="6">
        <v>0.25</v>
      </c>
      <c r="AF6128" s="7">
        <v>1064.7</v>
      </c>
    </row>
    <row r="6129">
      <c r="G6129" s="5"/>
      <c r="H6129" s="6"/>
      <c r="AD6129" s="5">
        <v>45182.0</v>
      </c>
      <c r="AE6129" s="6">
        <v>0.2916666666666667</v>
      </c>
      <c r="AF6129" s="7">
        <v>13891.8</v>
      </c>
    </row>
    <row r="6130">
      <c r="G6130" s="5"/>
      <c r="H6130" s="6"/>
      <c r="AD6130" s="5">
        <v>45182.0</v>
      </c>
      <c r="AE6130" s="6">
        <v>0.3333333333333333</v>
      </c>
      <c r="AF6130" s="7">
        <v>29731.26</v>
      </c>
    </row>
    <row r="6131">
      <c r="G6131" s="5"/>
      <c r="H6131" s="6"/>
      <c r="AD6131" s="5">
        <v>45182.0</v>
      </c>
      <c r="AE6131" s="6">
        <v>0.375</v>
      </c>
      <c r="AF6131" s="7">
        <v>42436.68</v>
      </c>
    </row>
    <row r="6132">
      <c r="G6132" s="5"/>
      <c r="H6132" s="6"/>
      <c r="AD6132" s="5">
        <v>45182.0</v>
      </c>
      <c r="AE6132" s="6">
        <v>0.4166666666666667</v>
      </c>
      <c r="AF6132" s="7">
        <v>51046.32</v>
      </c>
    </row>
    <row r="6133">
      <c r="G6133" s="5"/>
      <c r="H6133" s="6"/>
      <c r="AD6133" s="5">
        <v>45182.0</v>
      </c>
      <c r="AE6133" s="6">
        <v>0.4583333333333333</v>
      </c>
      <c r="AF6133" s="7">
        <v>55182.66</v>
      </c>
    </row>
    <row r="6134">
      <c r="G6134" s="5"/>
      <c r="H6134" s="6"/>
      <c r="AD6134" s="5">
        <v>45182.0</v>
      </c>
      <c r="AE6134" s="6">
        <v>0.5</v>
      </c>
      <c r="AF6134" s="7">
        <v>55664.7</v>
      </c>
    </row>
    <row r="6135">
      <c r="G6135" s="5"/>
      <c r="H6135" s="6"/>
      <c r="AD6135" s="5">
        <v>45182.0</v>
      </c>
      <c r="AE6135" s="6">
        <v>0.5416666666666666</v>
      </c>
      <c r="AF6135" s="7">
        <v>52948.74</v>
      </c>
    </row>
    <row r="6136">
      <c r="G6136" s="5"/>
      <c r="H6136" s="6"/>
      <c r="AD6136" s="5">
        <v>45182.0</v>
      </c>
      <c r="AE6136" s="6">
        <v>0.5833333333333334</v>
      </c>
      <c r="AF6136" s="7">
        <v>46533.24</v>
      </c>
    </row>
    <row r="6137">
      <c r="G6137" s="5"/>
      <c r="H6137" s="6"/>
      <c r="AD6137" s="5">
        <v>45182.0</v>
      </c>
      <c r="AE6137" s="6">
        <v>0.625</v>
      </c>
      <c r="AF6137" s="7">
        <v>36209.94</v>
      </c>
    </row>
    <row r="6138">
      <c r="G6138" s="5"/>
      <c r="H6138" s="6"/>
      <c r="AD6138" s="5">
        <v>45182.0</v>
      </c>
      <c r="AE6138" s="6">
        <v>0.6666666666666666</v>
      </c>
      <c r="AF6138" s="7">
        <v>23019.36</v>
      </c>
    </row>
    <row r="6139">
      <c r="G6139" s="5"/>
      <c r="H6139" s="6"/>
      <c r="AD6139" s="5">
        <v>45182.0</v>
      </c>
      <c r="AE6139" s="6">
        <v>0.7083333333333334</v>
      </c>
      <c r="AF6139" s="7">
        <v>7853.04</v>
      </c>
    </row>
    <row r="6140">
      <c r="G6140" s="5"/>
      <c r="H6140" s="6"/>
      <c r="AD6140" s="5">
        <v>45182.0</v>
      </c>
      <c r="AE6140" s="6">
        <v>0.75</v>
      </c>
      <c r="AF6140" s="7">
        <v>0.0</v>
      </c>
    </row>
    <row r="6141">
      <c r="G6141" s="5"/>
      <c r="H6141" s="6"/>
      <c r="AD6141" s="5">
        <v>45182.0</v>
      </c>
      <c r="AE6141" s="6">
        <v>0.7916666666666666</v>
      </c>
      <c r="AF6141" s="7">
        <v>0.0</v>
      </c>
    </row>
    <row r="6142">
      <c r="G6142" s="5"/>
      <c r="H6142" s="6"/>
      <c r="AD6142" s="5">
        <v>45182.0</v>
      </c>
      <c r="AE6142" s="6">
        <v>0.8333333333333334</v>
      </c>
      <c r="AF6142" s="7">
        <v>0.0</v>
      </c>
    </row>
    <row r="6143">
      <c r="G6143" s="5"/>
      <c r="H6143" s="6"/>
      <c r="AD6143" s="5">
        <v>45182.0</v>
      </c>
      <c r="AE6143" s="6">
        <v>0.875</v>
      </c>
      <c r="AF6143" s="7">
        <v>0.0</v>
      </c>
    </row>
    <row r="6144">
      <c r="G6144" s="5"/>
      <c r="H6144" s="6"/>
      <c r="AD6144" s="5">
        <v>45182.0</v>
      </c>
      <c r="AE6144" s="6">
        <v>0.9166666666666666</v>
      </c>
      <c r="AF6144" s="7">
        <v>0.0</v>
      </c>
    </row>
    <row r="6145">
      <c r="G6145" s="5"/>
      <c r="H6145" s="6"/>
      <c r="AD6145" s="5">
        <v>45182.0</v>
      </c>
      <c r="AE6145" s="6">
        <v>0.9583333333333334</v>
      </c>
      <c r="AF6145" s="7">
        <v>0.0</v>
      </c>
    </row>
    <row r="6146">
      <c r="G6146" s="5"/>
      <c r="H6146" s="6"/>
      <c r="AD6146" s="5">
        <v>45183.0</v>
      </c>
      <c r="AE6146" s="6">
        <v>0.0</v>
      </c>
      <c r="AF6146" s="7">
        <v>0.0</v>
      </c>
    </row>
    <row r="6147">
      <c r="G6147" s="5"/>
      <c r="H6147" s="6"/>
      <c r="AD6147" s="5">
        <v>45183.0</v>
      </c>
      <c r="AE6147" s="6">
        <v>0.041666666666666664</v>
      </c>
      <c r="AF6147" s="7">
        <v>0.0</v>
      </c>
    </row>
    <row r="6148">
      <c r="G6148" s="5"/>
      <c r="H6148" s="6"/>
      <c r="AD6148" s="5">
        <v>45183.0</v>
      </c>
      <c r="AE6148" s="6">
        <v>0.08333333333333333</v>
      </c>
      <c r="AF6148" s="7">
        <v>0.0</v>
      </c>
    </row>
    <row r="6149">
      <c r="G6149" s="5"/>
      <c r="H6149" s="6"/>
      <c r="AD6149" s="5">
        <v>45183.0</v>
      </c>
      <c r="AE6149" s="6">
        <v>0.125</v>
      </c>
      <c r="AF6149" s="7">
        <v>0.0</v>
      </c>
    </row>
    <row r="6150">
      <c r="G6150" s="5"/>
      <c r="H6150" s="6"/>
      <c r="AD6150" s="5">
        <v>45183.0</v>
      </c>
      <c r="AE6150" s="6">
        <v>0.16666666666666666</v>
      </c>
      <c r="AF6150" s="7">
        <v>0.0</v>
      </c>
    </row>
    <row r="6151">
      <c r="G6151" s="5"/>
      <c r="H6151" s="6"/>
      <c r="AD6151" s="5">
        <v>45183.0</v>
      </c>
      <c r="AE6151" s="6">
        <v>0.20833333333333334</v>
      </c>
      <c r="AF6151" s="7">
        <v>0.0</v>
      </c>
    </row>
    <row r="6152">
      <c r="G6152" s="5"/>
      <c r="H6152" s="6"/>
      <c r="AD6152" s="5">
        <v>45183.0</v>
      </c>
      <c r="AE6152" s="6">
        <v>0.25</v>
      </c>
      <c r="AF6152" s="7">
        <v>951.6</v>
      </c>
    </row>
    <row r="6153">
      <c r="G6153" s="5"/>
      <c r="H6153" s="6"/>
      <c r="AD6153" s="5">
        <v>45183.0</v>
      </c>
      <c r="AE6153" s="6">
        <v>0.2916666666666667</v>
      </c>
      <c r="AF6153" s="7">
        <v>13359.84</v>
      </c>
    </row>
    <row r="6154">
      <c r="G6154" s="5"/>
      <c r="H6154" s="6"/>
      <c r="AD6154" s="5">
        <v>45183.0</v>
      </c>
      <c r="AE6154" s="6">
        <v>0.3333333333333333</v>
      </c>
      <c r="AF6154" s="7">
        <v>28354.56</v>
      </c>
    </row>
    <row r="6155">
      <c r="G6155" s="5"/>
      <c r="H6155" s="6"/>
      <c r="AD6155" s="5">
        <v>45183.0</v>
      </c>
      <c r="AE6155" s="6">
        <v>0.375</v>
      </c>
      <c r="AF6155" s="7">
        <v>40574.04</v>
      </c>
    </row>
    <row r="6156">
      <c r="G6156" s="5"/>
      <c r="H6156" s="6"/>
      <c r="AD6156" s="5">
        <v>45183.0</v>
      </c>
      <c r="AE6156" s="6">
        <v>0.4166666666666667</v>
      </c>
      <c r="AF6156" s="7">
        <v>47540.22</v>
      </c>
    </row>
    <row r="6157">
      <c r="G6157" s="5"/>
      <c r="H6157" s="6"/>
      <c r="AD6157" s="5">
        <v>45183.0</v>
      </c>
      <c r="AE6157" s="6">
        <v>0.4583333333333333</v>
      </c>
      <c r="AF6157" s="7">
        <v>52252.98</v>
      </c>
    </row>
    <row r="6158">
      <c r="G6158" s="5"/>
      <c r="H6158" s="6"/>
      <c r="AD6158" s="5">
        <v>45183.0</v>
      </c>
      <c r="AE6158" s="6">
        <v>0.5</v>
      </c>
      <c r="AF6158" s="7">
        <v>53132.04</v>
      </c>
    </row>
    <row r="6159">
      <c r="G6159" s="5"/>
      <c r="H6159" s="6"/>
      <c r="AD6159" s="5">
        <v>45183.0</v>
      </c>
      <c r="AE6159" s="6">
        <v>0.5416666666666666</v>
      </c>
      <c r="AF6159" s="7">
        <v>48835.02</v>
      </c>
    </row>
    <row r="6160">
      <c r="G6160" s="5"/>
      <c r="H6160" s="6"/>
      <c r="AD6160" s="5">
        <v>45183.0</v>
      </c>
      <c r="AE6160" s="6">
        <v>0.5833333333333334</v>
      </c>
      <c r="AF6160" s="7">
        <v>43640.22</v>
      </c>
    </row>
    <row r="6161">
      <c r="G6161" s="5"/>
      <c r="H6161" s="6"/>
      <c r="AD6161" s="5">
        <v>45183.0</v>
      </c>
      <c r="AE6161" s="6">
        <v>0.625</v>
      </c>
      <c r="AF6161" s="7">
        <v>35112.48</v>
      </c>
    </row>
    <row r="6162">
      <c r="G6162" s="5"/>
      <c r="H6162" s="6"/>
      <c r="AD6162" s="5">
        <v>45183.0</v>
      </c>
      <c r="AE6162" s="6">
        <v>0.6666666666666666</v>
      </c>
      <c r="AF6162" s="7">
        <v>12064.26</v>
      </c>
    </row>
    <row r="6163">
      <c r="G6163" s="5"/>
      <c r="H6163" s="6"/>
      <c r="AD6163" s="5">
        <v>45183.0</v>
      </c>
      <c r="AE6163" s="6">
        <v>0.7083333333333334</v>
      </c>
      <c r="AF6163" s="7">
        <v>3216.72</v>
      </c>
    </row>
    <row r="6164">
      <c r="G6164" s="5"/>
      <c r="H6164" s="6"/>
      <c r="AD6164" s="5">
        <v>45183.0</v>
      </c>
      <c r="AE6164" s="6">
        <v>0.75</v>
      </c>
      <c r="AF6164" s="7">
        <v>0.0</v>
      </c>
    </row>
    <row r="6165">
      <c r="G6165" s="5"/>
      <c r="H6165" s="6"/>
      <c r="AD6165" s="5">
        <v>45183.0</v>
      </c>
      <c r="AE6165" s="6">
        <v>0.7916666666666666</v>
      </c>
      <c r="AF6165" s="7">
        <v>0.0</v>
      </c>
    </row>
    <row r="6166">
      <c r="G6166" s="5"/>
      <c r="H6166" s="6"/>
      <c r="AD6166" s="5">
        <v>45183.0</v>
      </c>
      <c r="AE6166" s="6">
        <v>0.8333333333333334</v>
      </c>
      <c r="AF6166" s="7">
        <v>0.0</v>
      </c>
    </row>
    <row r="6167">
      <c r="G6167" s="5"/>
      <c r="H6167" s="6"/>
      <c r="AD6167" s="5">
        <v>45183.0</v>
      </c>
      <c r="AE6167" s="6">
        <v>0.875</v>
      </c>
      <c r="AF6167" s="7">
        <v>0.0</v>
      </c>
    </row>
    <row r="6168">
      <c r="G6168" s="5"/>
      <c r="H6168" s="6"/>
      <c r="AD6168" s="5">
        <v>45183.0</v>
      </c>
      <c r="AE6168" s="6">
        <v>0.9166666666666666</v>
      </c>
      <c r="AF6168" s="7">
        <v>0.0</v>
      </c>
    </row>
    <row r="6169">
      <c r="G6169" s="5"/>
      <c r="H6169" s="6"/>
      <c r="AD6169" s="5">
        <v>45183.0</v>
      </c>
      <c r="AE6169" s="6">
        <v>0.9583333333333334</v>
      </c>
      <c r="AF6169" s="7">
        <v>0.0</v>
      </c>
    </row>
    <row r="6170">
      <c r="G6170" s="5"/>
      <c r="H6170" s="6"/>
      <c r="AD6170" s="5">
        <v>45184.0</v>
      </c>
      <c r="AE6170" s="6">
        <v>0.0</v>
      </c>
      <c r="AF6170" s="7">
        <v>0.0</v>
      </c>
    </row>
    <row r="6171">
      <c r="G6171" s="5"/>
      <c r="H6171" s="6"/>
      <c r="AD6171" s="5">
        <v>45184.0</v>
      </c>
      <c r="AE6171" s="6">
        <v>0.041666666666666664</v>
      </c>
      <c r="AF6171" s="7">
        <v>0.0</v>
      </c>
    </row>
    <row r="6172">
      <c r="G6172" s="5"/>
      <c r="H6172" s="6"/>
      <c r="AD6172" s="5">
        <v>45184.0</v>
      </c>
      <c r="AE6172" s="6">
        <v>0.08333333333333333</v>
      </c>
      <c r="AF6172" s="7">
        <v>0.0</v>
      </c>
    </row>
    <row r="6173">
      <c r="G6173" s="5"/>
      <c r="H6173" s="6"/>
      <c r="AD6173" s="5">
        <v>45184.0</v>
      </c>
      <c r="AE6173" s="6">
        <v>0.125</v>
      </c>
      <c r="AF6173" s="7">
        <v>0.0</v>
      </c>
    </row>
    <row r="6174">
      <c r="G6174" s="5"/>
      <c r="H6174" s="6"/>
      <c r="AD6174" s="5">
        <v>45184.0</v>
      </c>
      <c r="AE6174" s="6">
        <v>0.16666666666666666</v>
      </c>
      <c r="AF6174" s="7">
        <v>0.0</v>
      </c>
    </row>
    <row r="6175">
      <c r="G6175" s="5"/>
      <c r="H6175" s="6"/>
      <c r="AD6175" s="5">
        <v>45184.0</v>
      </c>
      <c r="AE6175" s="6">
        <v>0.20833333333333334</v>
      </c>
      <c r="AF6175" s="7">
        <v>0.0</v>
      </c>
    </row>
    <row r="6176">
      <c r="G6176" s="5"/>
      <c r="H6176" s="6"/>
      <c r="AD6176" s="5">
        <v>45184.0</v>
      </c>
      <c r="AE6176" s="6">
        <v>0.25</v>
      </c>
      <c r="AF6176" s="7">
        <v>478.14</v>
      </c>
    </row>
    <row r="6177">
      <c r="G6177" s="5"/>
      <c r="H6177" s="6"/>
      <c r="AD6177" s="5">
        <v>45184.0</v>
      </c>
      <c r="AE6177" s="6">
        <v>0.2916666666666667</v>
      </c>
      <c r="AF6177" s="7">
        <v>8303.88</v>
      </c>
    </row>
    <row r="6178">
      <c r="G6178" s="5"/>
      <c r="H6178" s="6"/>
      <c r="AD6178" s="5">
        <v>45184.0</v>
      </c>
      <c r="AE6178" s="6">
        <v>0.3333333333333333</v>
      </c>
      <c r="AF6178" s="7">
        <v>7532.46</v>
      </c>
    </row>
    <row r="6179">
      <c r="G6179" s="5"/>
      <c r="H6179" s="6"/>
      <c r="AD6179" s="5">
        <v>45184.0</v>
      </c>
      <c r="AE6179" s="6">
        <v>0.375</v>
      </c>
      <c r="AF6179" s="7">
        <v>2608.32</v>
      </c>
    </row>
    <row r="6180">
      <c r="G6180" s="5"/>
      <c r="H6180" s="6"/>
      <c r="AD6180" s="5">
        <v>45184.0</v>
      </c>
      <c r="AE6180" s="6">
        <v>0.4166666666666667</v>
      </c>
      <c r="AF6180" s="7">
        <v>3419.52</v>
      </c>
    </row>
    <row r="6181">
      <c r="G6181" s="5"/>
      <c r="H6181" s="6"/>
      <c r="AD6181" s="5">
        <v>45184.0</v>
      </c>
      <c r="AE6181" s="6">
        <v>0.4583333333333333</v>
      </c>
      <c r="AF6181" s="7">
        <v>9483.24</v>
      </c>
    </row>
    <row r="6182">
      <c r="G6182" s="5"/>
      <c r="H6182" s="6"/>
      <c r="AD6182" s="5">
        <v>45184.0</v>
      </c>
      <c r="AE6182" s="6">
        <v>0.5</v>
      </c>
      <c r="AF6182" s="7">
        <v>6283.68</v>
      </c>
    </row>
    <row r="6183">
      <c r="G6183" s="5"/>
      <c r="H6183" s="6"/>
      <c r="AD6183" s="5">
        <v>45184.0</v>
      </c>
      <c r="AE6183" s="6">
        <v>0.5416666666666666</v>
      </c>
      <c r="AF6183" s="7">
        <v>6660.42</v>
      </c>
    </row>
    <row r="6184">
      <c r="G6184" s="5"/>
      <c r="H6184" s="6"/>
      <c r="AD6184" s="5">
        <v>45184.0</v>
      </c>
      <c r="AE6184" s="6">
        <v>0.5833333333333334</v>
      </c>
      <c r="AF6184" s="7">
        <v>7617.48</v>
      </c>
    </row>
    <row r="6185">
      <c r="G6185" s="5"/>
      <c r="H6185" s="6"/>
      <c r="AD6185" s="5">
        <v>45184.0</v>
      </c>
      <c r="AE6185" s="6">
        <v>0.625</v>
      </c>
      <c r="AF6185" s="7">
        <v>16627.26</v>
      </c>
    </row>
    <row r="6186">
      <c r="G6186" s="5"/>
      <c r="H6186" s="6"/>
      <c r="AD6186" s="5">
        <v>45184.0</v>
      </c>
      <c r="AE6186" s="6">
        <v>0.6666666666666666</v>
      </c>
      <c r="AF6186" s="7">
        <v>15159.3</v>
      </c>
    </row>
    <row r="6187">
      <c r="G6187" s="5"/>
      <c r="H6187" s="6"/>
      <c r="AD6187" s="5">
        <v>45184.0</v>
      </c>
      <c r="AE6187" s="6">
        <v>0.7083333333333334</v>
      </c>
      <c r="AF6187" s="7">
        <v>5012.28</v>
      </c>
    </row>
    <row r="6188">
      <c r="G6188" s="5"/>
      <c r="H6188" s="6"/>
      <c r="AD6188" s="5">
        <v>45184.0</v>
      </c>
      <c r="AE6188" s="6">
        <v>0.75</v>
      </c>
      <c r="AF6188" s="7">
        <v>0.0</v>
      </c>
    </row>
    <row r="6189">
      <c r="G6189" s="5"/>
      <c r="H6189" s="6"/>
      <c r="AD6189" s="5">
        <v>45184.0</v>
      </c>
      <c r="AE6189" s="6">
        <v>0.7916666666666666</v>
      </c>
      <c r="AF6189" s="7">
        <v>0.0</v>
      </c>
    </row>
    <row r="6190">
      <c r="G6190" s="5"/>
      <c r="H6190" s="6"/>
      <c r="AD6190" s="5">
        <v>45184.0</v>
      </c>
      <c r="AE6190" s="6">
        <v>0.8333333333333334</v>
      </c>
      <c r="AF6190" s="7">
        <v>0.0</v>
      </c>
    </row>
    <row r="6191">
      <c r="G6191" s="5"/>
      <c r="H6191" s="6"/>
      <c r="AD6191" s="5">
        <v>45184.0</v>
      </c>
      <c r="AE6191" s="6">
        <v>0.875</v>
      </c>
      <c r="AF6191" s="7">
        <v>0.0</v>
      </c>
    </row>
    <row r="6192">
      <c r="G6192" s="5"/>
      <c r="H6192" s="6"/>
      <c r="AD6192" s="5">
        <v>45184.0</v>
      </c>
      <c r="AE6192" s="6">
        <v>0.9166666666666666</v>
      </c>
      <c r="AF6192" s="7">
        <v>0.0</v>
      </c>
    </row>
    <row r="6193">
      <c r="G6193" s="5"/>
      <c r="H6193" s="6"/>
      <c r="AD6193" s="5">
        <v>45184.0</v>
      </c>
      <c r="AE6193" s="6">
        <v>0.9583333333333334</v>
      </c>
      <c r="AF6193" s="7">
        <v>0.0</v>
      </c>
    </row>
    <row r="6194">
      <c r="G6194" s="5"/>
      <c r="H6194" s="6"/>
      <c r="AD6194" s="5">
        <v>45185.0</v>
      </c>
      <c r="AE6194" s="6">
        <v>0.0</v>
      </c>
      <c r="AF6194" s="7">
        <v>0.0</v>
      </c>
    </row>
    <row r="6195">
      <c r="G6195" s="5"/>
      <c r="H6195" s="6"/>
      <c r="AD6195" s="5">
        <v>45185.0</v>
      </c>
      <c r="AE6195" s="6">
        <v>0.041666666666666664</v>
      </c>
      <c r="AF6195" s="7">
        <v>0.0</v>
      </c>
    </row>
    <row r="6196">
      <c r="G6196" s="5"/>
      <c r="H6196" s="6"/>
      <c r="AD6196" s="5">
        <v>45185.0</v>
      </c>
      <c r="AE6196" s="6">
        <v>0.08333333333333333</v>
      </c>
      <c r="AF6196" s="7">
        <v>0.0</v>
      </c>
    </row>
    <row r="6197">
      <c r="G6197" s="5"/>
      <c r="H6197" s="6"/>
      <c r="AD6197" s="5">
        <v>45185.0</v>
      </c>
      <c r="AE6197" s="6">
        <v>0.125</v>
      </c>
      <c r="AF6197" s="7">
        <v>0.0</v>
      </c>
    </row>
    <row r="6198">
      <c r="G6198" s="5"/>
      <c r="H6198" s="6"/>
      <c r="AD6198" s="5">
        <v>45185.0</v>
      </c>
      <c r="AE6198" s="6">
        <v>0.16666666666666666</v>
      </c>
      <c r="AF6198" s="7">
        <v>0.0</v>
      </c>
    </row>
    <row r="6199">
      <c r="G6199" s="5"/>
      <c r="H6199" s="6"/>
      <c r="AD6199" s="5">
        <v>45185.0</v>
      </c>
      <c r="AE6199" s="6">
        <v>0.20833333333333334</v>
      </c>
      <c r="AF6199" s="7">
        <v>0.0</v>
      </c>
    </row>
    <row r="6200">
      <c r="G6200" s="5"/>
      <c r="H6200" s="6"/>
      <c r="AD6200" s="5">
        <v>45185.0</v>
      </c>
      <c r="AE6200" s="6">
        <v>0.25</v>
      </c>
      <c r="AF6200" s="7">
        <v>526.5</v>
      </c>
    </row>
    <row r="6201">
      <c r="G6201" s="5"/>
      <c r="H6201" s="6"/>
      <c r="AD6201" s="5">
        <v>45185.0</v>
      </c>
      <c r="AE6201" s="6">
        <v>0.2916666666666667</v>
      </c>
      <c r="AF6201" s="7">
        <v>3884.4</v>
      </c>
    </row>
    <row r="6202">
      <c r="G6202" s="5"/>
      <c r="H6202" s="6"/>
      <c r="AD6202" s="5">
        <v>45185.0</v>
      </c>
      <c r="AE6202" s="6">
        <v>0.3333333333333333</v>
      </c>
      <c r="AF6202" s="7">
        <v>13849.68</v>
      </c>
    </row>
    <row r="6203">
      <c r="G6203" s="5"/>
      <c r="H6203" s="6"/>
      <c r="AD6203" s="5">
        <v>45185.0</v>
      </c>
      <c r="AE6203" s="6">
        <v>0.375</v>
      </c>
      <c r="AF6203" s="7">
        <v>7117.5</v>
      </c>
    </row>
    <row r="6204">
      <c r="G6204" s="5"/>
      <c r="H6204" s="6"/>
      <c r="AD6204" s="5">
        <v>45185.0</v>
      </c>
      <c r="AE6204" s="6">
        <v>0.4166666666666667</v>
      </c>
      <c r="AF6204" s="7">
        <v>30537.78</v>
      </c>
    </row>
    <row r="6205">
      <c r="G6205" s="5"/>
      <c r="H6205" s="6"/>
      <c r="AD6205" s="5">
        <v>45185.0</v>
      </c>
      <c r="AE6205" s="6">
        <v>0.4583333333333333</v>
      </c>
      <c r="AF6205" s="7">
        <v>51417.6</v>
      </c>
    </row>
    <row r="6206">
      <c r="G6206" s="5"/>
      <c r="H6206" s="6"/>
      <c r="AD6206" s="5">
        <v>45185.0</v>
      </c>
      <c r="AE6206" s="6">
        <v>0.5</v>
      </c>
      <c r="AF6206" s="7">
        <v>54069.6</v>
      </c>
    </row>
    <row r="6207">
      <c r="G6207" s="5"/>
      <c r="H6207" s="6"/>
      <c r="AD6207" s="5">
        <v>45185.0</v>
      </c>
      <c r="AE6207" s="6">
        <v>0.5416666666666666</v>
      </c>
      <c r="AF6207" s="7">
        <v>48015.24</v>
      </c>
    </row>
    <row r="6208">
      <c r="G6208" s="5"/>
      <c r="H6208" s="6"/>
      <c r="AD6208" s="5">
        <v>45185.0</v>
      </c>
      <c r="AE6208" s="6">
        <v>0.5833333333333334</v>
      </c>
      <c r="AF6208" s="7">
        <v>30738.24</v>
      </c>
    </row>
    <row r="6209">
      <c r="G6209" s="5"/>
      <c r="H6209" s="6"/>
      <c r="AD6209" s="5">
        <v>45185.0</v>
      </c>
      <c r="AE6209" s="6">
        <v>0.625</v>
      </c>
      <c r="AF6209" s="7">
        <v>25268.1</v>
      </c>
    </row>
    <row r="6210">
      <c r="G6210" s="5"/>
      <c r="H6210" s="6"/>
      <c r="AD6210" s="5">
        <v>45185.0</v>
      </c>
      <c r="AE6210" s="6">
        <v>0.6666666666666666</v>
      </c>
      <c r="AF6210" s="7">
        <v>15355.08</v>
      </c>
    </row>
    <row r="6211">
      <c r="G6211" s="5"/>
      <c r="H6211" s="6"/>
      <c r="AD6211" s="5">
        <v>45185.0</v>
      </c>
      <c r="AE6211" s="6">
        <v>0.7083333333333334</v>
      </c>
      <c r="AF6211" s="7">
        <v>3388.32</v>
      </c>
    </row>
    <row r="6212">
      <c r="G6212" s="5"/>
      <c r="H6212" s="6"/>
      <c r="AD6212" s="5">
        <v>45185.0</v>
      </c>
      <c r="AE6212" s="6">
        <v>0.75</v>
      </c>
      <c r="AF6212" s="7">
        <v>0.0</v>
      </c>
    </row>
    <row r="6213">
      <c r="G6213" s="5"/>
      <c r="H6213" s="6"/>
      <c r="AD6213" s="5">
        <v>45185.0</v>
      </c>
      <c r="AE6213" s="6">
        <v>0.7916666666666666</v>
      </c>
      <c r="AF6213" s="7">
        <v>0.0</v>
      </c>
    </row>
    <row r="6214">
      <c r="G6214" s="5"/>
      <c r="H6214" s="6"/>
      <c r="AD6214" s="5">
        <v>45185.0</v>
      </c>
      <c r="AE6214" s="6">
        <v>0.8333333333333334</v>
      </c>
      <c r="AF6214" s="7">
        <v>0.0</v>
      </c>
    </row>
    <row r="6215">
      <c r="G6215" s="5"/>
      <c r="H6215" s="6"/>
      <c r="AD6215" s="5">
        <v>45185.0</v>
      </c>
      <c r="AE6215" s="6">
        <v>0.875</v>
      </c>
      <c r="AF6215" s="7">
        <v>0.0</v>
      </c>
    </row>
    <row r="6216">
      <c r="G6216" s="5"/>
      <c r="H6216" s="6"/>
      <c r="AD6216" s="5">
        <v>45185.0</v>
      </c>
      <c r="AE6216" s="6">
        <v>0.9166666666666666</v>
      </c>
      <c r="AF6216" s="7">
        <v>0.0</v>
      </c>
    </row>
    <row r="6217">
      <c r="G6217" s="5"/>
      <c r="H6217" s="6"/>
      <c r="AD6217" s="5">
        <v>45185.0</v>
      </c>
      <c r="AE6217" s="6">
        <v>0.9583333333333334</v>
      </c>
      <c r="AF6217" s="7">
        <v>0.0</v>
      </c>
    </row>
    <row r="6218">
      <c r="G6218" s="5"/>
      <c r="H6218" s="6"/>
      <c r="AD6218" s="5">
        <v>45186.0</v>
      </c>
      <c r="AE6218" s="6">
        <v>0.0</v>
      </c>
      <c r="AF6218" s="7">
        <v>0.0</v>
      </c>
    </row>
    <row r="6219">
      <c r="G6219" s="5"/>
      <c r="H6219" s="6"/>
      <c r="AD6219" s="5">
        <v>45186.0</v>
      </c>
      <c r="AE6219" s="6">
        <v>0.041666666666666664</v>
      </c>
      <c r="AF6219" s="7">
        <v>0.0</v>
      </c>
    </row>
    <row r="6220">
      <c r="G6220" s="5"/>
      <c r="H6220" s="6"/>
      <c r="AD6220" s="5">
        <v>45186.0</v>
      </c>
      <c r="AE6220" s="6">
        <v>0.08333333333333333</v>
      </c>
      <c r="AF6220" s="7">
        <v>0.0</v>
      </c>
    </row>
    <row r="6221">
      <c r="G6221" s="5"/>
      <c r="H6221" s="6"/>
      <c r="AD6221" s="5">
        <v>45186.0</v>
      </c>
      <c r="AE6221" s="6">
        <v>0.125</v>
      </c>
      <c r="AF6221" s="7">
        <v>0.0</v>
      </c>
    </row>
    <row r="6222">
      <c r="G6222" s="5"/>
      <c r="H6222" s="6"/>
      <c r="AD6222" s="5">
        <v>45186.0</v>
      </c>
      <c r="AE6222" s="6">
        <v>0.16666666666666666</v>
      </c>
      <c r="AF6222" s="7">
        <v>0.0</v>
      </c>
    </row>
    <row r="6223">
      <c r="G6223" s="5"/>
      <c r="H6223" s="6"/>
      <c r="AD6223" s="5">
        <v>45186.0</v>
      </c>
      <c r="AE6223" s="6">
        <v>0.20833333333333334</v>
      </c>
      <c r="AF6223" s="7">
        <v>0.0</v>
      </c>
    </row>
    <row r="6224">
      <c r="G6224" s="5"/>
      <c r="H6224" s="6"/>
      <c r="AD6224" s="5">
        <v>45186.0</v>
      </c>
      <c r="AE6224" s="6">
        <v>0.25</v>
      </c>
      <c r="AF6224" s="7">
        <v>0.0</v>
      </c>
    </row>
    <row r="6225">
      <c r="G6225" s="5"/>
      <c r="H6225" s="6"/>
      <c r="AD6225" s="5">
        <v>45186.0</v>
      </c>
      <c r="AE6225" s="6">
        <v>0.2916666666666667</v>
      </c>
      <c r="AF6225" s="7">
        <v>12855.18</v>
      </c>
    </row>
    <row r="6226">
      <c r="G6226" s="5"/>
      <c r="H6226" s="6"/>
      <c r="AD6226" s="5">
        <v>45186.0</v>
      </c>
      <c r="AE6226" s="6">
        <v>0.3333333333333333</v>
      </c>
      <c r="AF6226" s="7">
        <v>18211.44</v>
      </c>
    </row>
    <row r="6227">
      <c r="G6227" s="5"/>
      <c r="H6227" s="6"/>
      <c r="AD6227" s="5">
        <v>45186.0</v>
      </c>
      <c r="AE6227" s="6">
        <v>0.375</v>
      </c>
      <c r="AF6227" s="7">
        <v>37840.92</v>
      </c>
    </row>
    <row r="6228">
      <c r="G6228" s="5"/>
      <c r="H6228" s="6"/>
      <c r="AD6228" s="5">
        <v>45186.0</v>
      </c>
      <c r="AE6228" s="6">
        <v>0.4166666666666667</v>
      </c>
      <c r="AF6228" s="7">
        <v>33420.66</v>
      </c>
    </row>
    <row r="6229">
      <c r="G6229" s="5"/>
      <c r="H6229" s="6"/>
      <c r="AD6229" s="5">
        <v>45186.0</v>
      </c>
      <c r="AE6229" s="6">
        <v>0.4583333333333333</v>
      </c>
      <c r="AF6229" s="7">
        <v>39041.34</v>
      </c>
    </row>
    <row r="6230">
      <c r="G6230" s="5"/>
      <c r="H6230" s="6"/>
      <c r="AD6230" s="5">
        <v>45186.0</v>
      </c>
      <c r="AE6230" s="6">
        <v>0.5</v>
      </c>
      <c r="AF6230" s="7">
        <v>26481.78</v>
      </c>
    </row>
    <row r="6231">
      <c r="G6231" s="5"/>
      <c r="H6231" s="6"/>
      <c r="AD6231" s="5">
        <v>45186.0</v>
      </c>
      <c r="AE6231" s="6">
        <v>0.5416666666666666</v>
      </c>
      <c r="AF6231" s="7">
        <v>13364.52</v>
      </c>
    </row>
    <row r="6232">
      <c r="G6232" s="5"/>
      <c r="H6232" s="6"/>
      <c r="AD6232" s="5">
        <v>45186.0</v>
      </c>
      <c r="AE6232" s="6">
        <v>0.5833333333333334</v>
      </c>
      <c r="AF6232" s="7">
        <v>37759.02</v>
      </c>
    </row>
    <row r="6233">
      <c r="G6233" s="5"/>
      <c r="H6233" s="6"/>
      <c r="AD6233" s="5">
        <v>45186.0</v>
      </c>
      <c r="AE6233" s="6">
        <v>0.625</v>
      </c>
      <c r="AF6233" s="7">
        <v>24738.48</v>
      </c>
    </row>
    <row r="6234">
      <c r="G6234" s="5"/>
      <c r="H6234" s="6"/>
      <c r="AD6234" s="5">
        <v>45186.0</v>
      </c>
      <c r="AE6234" s="6">
        <v>0.6666666666666666</v>
      </c>
      <c r="AF6234" s="7">
        <v>17742.66</v>
      </c>
    </row>
    <row r="6235">
      <c r="G6235" s="5"/>
      <c r="H6235" s="6"/>
      <c r="AD6235" s="5">
        <v>45186.0</v>
      </c>
      <c r="AE6235" s="6">
        <v>0.7083333333333334</v>
      </c>
      <c r="AF6235" s="7">
        <v>1082.64</v>
      </c>
    </row>
    <row r="6236">
      <c r="G6236" s="5"/>
      <c r="H6236" s="6"/>
      <c r="AD6236" s="5">
        <v>45186.0</v>
      </c>
      <c r="AE6236" s="6">
        <v>0.75</v>
      </c>
      <c r="AF6236" s="7">
        <v>0.0</v>
      </c>
    </row>
    <row r="6237">
      <c r="G6237" s="5"/>
      <c r="H6237" s="6"/>
      <c r="AD6237" s="5">
        <v>45186.0</v>
      </c>
      <c r="AE6237" s="6">
        <v>0.7916666666666666</v>
      </c>
      <c r="AF6237" s="7">
        <v>0.0</v>
      </c>
    </row>
    <row r="6238">
      <c r="G6238" s="5"/>
      <c r="H6238" s="6"/>
      <c r="AD6238" s="5">
        <v>45186.0</v>
      </c>
      <c r="AE6238" s="6">
        <v>0.8333333333333334</v>
      </c>
      <c r="AF6238" s="7">
        <v>0.0</v>
      </c>
    </row>
    <row r="6239">
      <c r="G6239" s="5"/>
      <c r="H6239" s="6"/>
      <c r="AD6239" s="5">
        <v>45186.0</v>
      </c>
      <c r="AE6239" s="6">
        <v>0.875</v>
      </c>
      <c r="AF6239" s="7">
        <v>0.0</v>
      </c>
    </row>
    <row r="6240">
      <c r="G6240" s="5"/>
      <c r="H6240" s="6"/>
      <c r="AD6240" s="5">
        <v>45186.0</v>
      </c>
      <c r="AE6240" s="6">
        <v>0.9166666666666666</v>
      </c>
      <c r="AF6240" s="7">
        <v>0.0</v>
      </c>
    </row>
    <row r="6241">
      <c r="G6241" s="5"/>
      <c r="H6241" s="6"/>
      <c r="AD6241" s="5">
        <v>45186.0</v>
      </c>
      <c r="AE6241" s="6">
        <v>0.9583333333333334</v>
      </c>
      <c r="AF6241" s="7">
        <v>0.0</v>
      </c>
    </row>
    <row r="6242">
      <c r="G6242" s="5"/>
      <c r="H6242" s="6"/>
      <c r="AD6242" s="5">
        <v>45187.0</v>
      </c>
      <c r="AE6242" s="6">
        <v>0.0</v>
      </c>
      <c r="AF6242" s="7">
        <v>0.0</v>
      </c>
    </row>
    <row r="6243">
      <c r="G6243" s="5"/>
      <c r="H6243" s="6"/>
      <c r="AD6243" s="5">
        <v>45187.0</v>
      </c>
      <c r="AE6243" s="6">
        <v>0.041666666666666664</v>
      </c>
      <c r="AF6243" s="7">
        <v>0.0</v>
      </c>
    </row>
    <row r="6244">
      <c r="G6244" s="5"/>
      <c r="H6244" s="6"/>
      <c r="AD6244" s="5">
        <v>45187.0</v>
      </c>
      <c r="AE6244" s="6">
        <v>0.08333333333333333</v>
      </c>
      <c r="AF6244" s="7">
        <v>0.0</v>
      </c>
    </row>
    <row r="6245">
      <c r="G6245" s="5"/>
      <c r="H6245" s="6"/>
      <c r="AD6245" s="5">
        <v>45187.0</v>
      </c>
      <c r="AE6245" s="6">
        <v>0.125</v>
      </c>
      <c r="AF6245" s="7">
        <v>0.0</v>
      </c>
    </row>
    <row r="6246">
      <c r="G6246" s="5"/>
      <c r="H6246" s="6"/>
      <c r="AD6246" s="5">
        <v>45187.0</v>
      </c>
      <c r="AE6246" s="6">
        <v>0.16666666666666666</v>
      </c>
      <c r="AF6246" s="7">
        <v>0.0</v>
      </c>
    </row>
    <row r="6247">
      <c r="G6247" s="5"/>
      <c r="H6247" s="6"/>
      <c r="AD6247" s="5">
        <v>45187.0</v>
      </c>
      <c r="AE6247" s="6">
        <v>0.20833333333333334</v>
      </c>
      <c r="AF6247" s="7">
        <v>0.0</v>
      </c>
    </row>
    <row r="6248">
      <c r="G6248" s="5"/>
      <c r="H6248" s="6"/>
      <c r="AD6248" s="5">
        <v>45187.0</v>
      </c>
      <c r="AE6248" s="6">
        <v>0.25</v>
      </c>
      <c r="AF6248" s="7">
        <v>734.76</v>
      </c>
    </row>
    <row r="6249">
      <c r="G6249" s="5"/>
      <c r="H6249" s="6"/>
      <c r="AD6249" s="5">
        <v>45187.0</v>
      </c>
      <c r="AE6249" s="6">
        <v>0.2916666666666667</v>
      </c>
      <c r="AF6249" s="7">
        <v>12496.38</v>
      </c>
    </row>
    <row r="6250">
      <c r="G6250" s="5"/>
      <c r="H6250" s="6"/>
      <c r="AD6250" s="5">
        <v>45187.0</v>
      </c>
      <c r="AE6250" s="6">
        <v>0.3333333333333333</v>
      </c>
      <c r="AF6250" s="7">
        <v>24658.92</v>
      </c>
    </row>
    <row r="6251">
      <c r="G6251" s="5"/>
      <c r="H6251" s="6"/>
      <c r="AD6251" s="5">
        <v>45187.0</v>
      </c>
      <c r="AE6251" s="6">
        <v>0.375</v>
      </c>
      <c r="AF6251" s="7">
        <v>34372.26</v>
      </c>
    </row>
    <row r="6252">
      <c r="G6252" s="5"/>
      <c r="H6252" s="6"/>
      <c r="AD6252" s="5">
        <v>45187.0</v>
      </c>
      <c r="AE6252" s="6">
        <v>0.4166666666666667</v>
      </c>
      <c r="AF6252" s="7">
        <v>30578.34</v>
      </c>
    </row>
    <row r="6253">
      <c r="G6253" s="5"/>
      <c r="H6253" s="6"/>
      <c r="AD6253" s="5">
        <v>45187.0</v>
      </c>
      <c r="AE6253" s="6">
        <v>0.4583333333333333</v>
      </c>
      <c r="AF6253" s="7">
        <v>44094.96</v>
      </c>
    </row>
    <row r="6254">
      <c r="G6254" s="5"/>
      <c r="H6254" s="6"/>
      <c r="AD6254" s="5">
        <v>45187.0</v>
      </c>
      <c r="AE6254" s="6">
        <v>0.5</v>
      </c>
      <c r="AF6254" s="7">
        <v>41645.76</v>
      </c>
    </row>
    <row r="6255">
      <c r="G6255" s="5"/>
      <c r="H6255" s="6"/>
      <c r="AD6255" s="5">
        <v>45187.0</v>
      </c>
      <c r="AE6255" s="6">
        <v>0.5416666666666666</v>
      </c>
      <c r="AF6255" s="7">
        <v>37558.56</v>
      </c>
    </row>
    <row r="6256">
      <c r="G6256" s="5"/>
      <c r="H6256" s="6"/>
      <c r="AD6256" s="5">
        <v>45187.0</v>
      </c>
      <c r="AE6256" s="6">
        <v>0.5833333333333334</v>
      </c>
      <c r="AF6256" s="7">
        <v>36772.32</v>
      </c>
    </row>
    <row r="6257">
      <c r="G6257" s="5"/>
      <c r="H6257" s="6"/>
      <c r="AD6257" s="5">
        <v>45187.0</v>
      </c>
      <c r="AE6257" s="6">
        <v>0.625</v>
      </c>
      <c r="AF6257" s="7">
        <v>20150.52</v>
      </c>
    </row>
    <row r="6258">
      <c r="G6258" s="5"/>
      <c r="H6258" s="6"/>
      <c r="AD6258" s="5">
        <v>45187.0</v>
      </c>
      <c r="AE6258" s="6">
        <v>0.6666666666666666</v>
      </c>
      <c r="AF6258" s="7">
        <v>13550.94</v>
      </c>
    </row>
    <row r="6259">
      <c r="G6259" s="5"/>
      <c r="H6259" s="6"/>
      <c r="AD6259" s="5">
        <v>45187.0</v>
      </c>
      <c r="AE6259" s="6">
        <v>0.7083333333333334</v>
      </c>
      <c r="AF6259" s="7">
        <v>4638.66</v>
      </c>
    </row>
    <row r="6260">
      <c r="G6260" s="5"/>
      <c r="H6260" s="6"/>
      <c r="AD6260" s="5">
        <v>45187.0</v>
      </c>
      <c r="AE6260" s="6">
        <v>0.75</v>
      </c>
      <c r="AF6260" s="7">
        <v>0.0</v>
      </c>
    </row>
    <row r="6261">
      <c r="G6261" s="5"/>
      <c r="H6261" s="6"/>
      <c r="AD6261" s="5">
        <v>45187.0</v>
      </c>
      <c r="AE6261" s="6">
        <v>0.7916666666666666</v>
      </c>
      <c r="AF6261" s="7">
        <v>0.0</v>
      </c>
    </row>
    <row r="6262">
      <c r="G6262" s="5"/>
      <c r="H6262" s="6"/>
      <c r="AD6262" s="5">
        <v>45187.0</v>
      </c>
      <c r="AE6262" s="6">
        <v>0.8333333333333334</v>
      </c>
      <c r="AF6262" s="7">
        <v>0.0</v>
      </c>
    </row>
    <row r="6263">
      <c r="G6263" s="5"/>
      <c r="H6263" s="6"/>
      <c r="AD6263" s="5">
        <v>45187.0</v>
      </c>
      <c r="AE6263" s="6">
        <v>0.875</v>
      </c>
      <c r="AF6263" s="7">
        <v>0.0</v>
      </c>
    </row>
    <row r="6264">
      <c r="G6264" s="5"/>
      <c r="H6264" s="6"/>
      <c r="AD6264" s="5">
        <v>45187.0</v>
      </c>
      <c r="AE6264" s="6">
        <v>0.9166666666666666</v>
      </c>
      <c r="AF6264" s="7">
        <v>0.0</v>
      </c>
    </row>
    <row r="6265">
      <c r="G6265" s="5"/>
      <c r="H6265" s="6"/>
      <c r="AD6265" s="5">
        <v>45187.0</v>
      </c>
      <c r="AE6265" s="6">
        <v>0.9583333333333334</v>
      </c>
      <c r="AF6265" s="7">
        <v>0.0</v>
      </c>
    </row>
    <row r="6266">
      <c r="G6266" s="5"/>
      <c r="H6266" s="6"/>
      <c r="AD6266" s="5">
        <v>45188.0</v>
      </c>
      <c r="AE6266" s="6">
        <v>0.0</v>
      </c>
      <c r="AF6266" s="7">
        <v>0.0</v>
      </c>
    </row>
    <row r="6267">
      <c r="G6267" s="5"/>
      <c r="H6267" s="6"/>
      <c r="AD6267" s="5">
        <v>45188.0</v>
      </c>
      <c r="AE6267" s="6">
        <v>0.041666666666666664</v>
      </c>
      <c r="AF6267" s="7">
        <v>0.0</v>
      </c>
    </row>
    <row r="6268">
      <c r="G6268" s="5"/>
      <c r="H6268" s="6"/>
      <c r="AD6268" s="5">
        <v>45188.0</v>
      </c>
      <c r="AE6268" s="6">
        <v>0.08333333333333333</v>
      </c>
      <c r="AF6268" s="7">
        <v>0.0</v>
      </c>
    </row>
    <row r="6269">
      <c r="G6269" s="5"/>
      <c r="H6269" s="6"/>
      <c r="AD6269" s="5">
        <v>45188.0</v>
      </c>
      <c r="AE6269" s="6">
        <v>0.125</v>
      </c>
      <c r="AF6269" s="7">
        <v>0.0</v>
      </c>
    </row>
    <row r="6270">
      <c r="G6270" s="5"/>
      <c r="H6270" s="6"/>
      <c r="AD6270" s="5">
        <v>45188.0</v>
      </c>
      <c r="AE6270" s="6">
        <v>0.16666666666666666</v>
      </c>
      <c r="AF6270" s="7">
        <v>0.0</v>
      </c>
    </row>
    <row r="6271">
      <c r="G6271" s="5"/>
      <c r="H6271" s="6"/>
      <c r="AD6271" s="5">
        <v>45188.0</v>
      </c>
      <c r="AE6271" s="6">
        <v>0.20833333333333334</v>
      </c>
      <c r="AF6271" s="7">
        <v>0.0</v>
      </c>
    </row>
    <row r="6272">
      <c r="G6272" s="5"/>
      <c r="H6272" s="6"/>
      <c r="AD6272" s="5">
        <v>45188.0</v>
      </c>
      <c r="AE6272" s="6">
        <v>0.25</v>
      </c>
      <c r="AF6272" s="7">
        <v>677.82</v>
      </c>
    </row>
    <row r="6273">
      <c r="G6273" s="5"/>
      <c r="H6273" s="6"/>
      <c r="AD6273" s="5">
        <v>45188.0</v>
      </c>
      <c r="AE6273" s="6">
        <v>0.2916666666666667</v>
      </c>
      <c r="AF6273" s="7">
        <v>12872.34</v>
      </c>
    </row>
    <row r="6274">
      <c r="G6274" s="5"/>
      <c r="H6274" s="6"/>
      <c r="AD6274" s="5">
        <v>45188.0</v>
      </c>
      <c r="AE6274" s="6">
        <v>0.3333333333333333</v>
      </c>
      <c r="AF6274" s="7">
        <v>28323.36</v>
      </c>
    </row>
    <row r="6275">
      <c r="G6275" s="5"/>
      <c r="H6275" s="6"/>
      <c r="AD6275" s="5">
        <v>45188.0</v>
      </c>
      <c r="AE6275" s="6">
        <v>0.375</v>
      </c>
      <c r="AF6275" s="7">
        <v>37255.92</v>
      </c>
    </row>
    <row r="6276">
      <c r="G6276" s="5"/>
      <c r="H6276" s="6"/>
      <c r="AD6276" s="5">
        <v>45188.0</v>
      </c>
      <c r="AE6276" s="6">
        <v>0.4166666666666667</v>
      </c>
      <c r="AF6276" s="7">
        <v>34267.74</v>
      </c>
    </row>
    <row r="6277">
      <c r="G6277" s="5"/>
      <c r="H6277" s="6"/>
      <c r="AD6277" s="5">
        <v>45188.0</v>
      </c>
      <c r="AE6277" s="6">
        <v>0.4583333333333333</v>
      </c>
      <c r="AF6277" s="7">
        <v>48987.12</v>
      </c>
    </row>
    <row r="6278">
      <c r="G6278" s="5"/>
      <c r="H6278" s="6"/>
      <c r="AD6278" s="5">
        <v>45188.0</v>
      </c>
      <c r="AE6278" s="6">
        <v>0.5</v>
      </c>
      <c r="AF6278" s="7">
        <v>52944.06</v>
      </c>
    </row>
    <row r="6279">
      <c r="G6279" s="5"/>
      <c r="H6279" s="6"/>
      <c r="AD6279" s="5">
        <v>45188.0</v>
      </c>
      <c r="AE6279" s="6">
        <v>0.5416666666666666</v>
      </c>
      <c r="AF6279" s="7">
        <v>51266.28</v>
      </c>
    </row>
    <row r="6280">
      <c r="G6280" s="5"/>
      <c r="H6280" s="6"/>
      <c r="AD6280" s="5">
        <v>45188.0</v>
      </c>
      <c r="AE6280" s="6">
        <v>0.5833333333333334</v>
      </c>
      <c r="AF6280" s="7">
        <v>45041.1</v>
      </c>
    </row>
    <row r="6281">
      <c r="G6281" s="5"/>
      <c r="H6281" s="6"/>
      <c r="AD6281" s="5">
        <v>45188.0</v>
      </c>
      <c r="AE6281" s="6">
        <v>0.625</v>
      </c>
      <c r="AF6281" s="7">
        <v>27105.78</v>
      </c>
    </row>
    <row r="6282">
      <c r="G6282" s="5"/>
      <c r="H6282" s="6"/>
      <c r="AD6282" s="5">
        <v>45188.0</v>
      </c>
      <c r="AE6282" s="6">
        <v>0.6666666666666666</v>
      </c>
      <c r="AF6282" s="7">
        <v>6065.28</v>
      </c>
    </row>
    <row r="6283">
      <c r="G6283" s="5"/>
      <c r="H6283" s="6"/>
      <c r="AD6283" s="5">
        <v>45188.0</v>
      </c>
      <c r="AE6283" s="6">
        <v>0.7083333333333334</v>
      </c>
      <c r="AF6283" s="7">
        <v>6492.72</v>
      </c>
    </row>
    <row r="6284">
      <c r="G6284" s="5"/>
      <c r="H6284" s="6"/>
      <c r="AD6284" s="5">
        <v>45188.0</v>
      </c>
      <c r="AE6284" s="6">
        <v>0.75</v>
      </c>
      <c r="AF6284" s="7">
        <v>0.0</v>
      </c>
    </row>
    <row r="6285">
      <c r="G6285" s="5"/>
      <c r="H6285" s="6"/>
      <c r="AD6285" s="5">
        <v>45188.0</v>
      </c>
      <c r="AE6285" s="6">
        <v>0.7916666666666666</v>
      </c>
      <c r="AF6285" s="7">
        <v>0.0</v>
      </c>
    </row>
    <row r="6286">
      <c r="G6286" s="5"/>
      <c r="H6286" s="6"/>
      <c r="AD6286" s="5">
        <v>45188.0</v>
      </c>
      <c r="AE6286" s="6">
        <v>0.8333333333333334</v>
      </c>
      <c r="AF6286" s="7">
        <v>0.0</v>
      </c>
    </row>
    <row r="6287">
      <c r="G6287" s="5"/>
      <c r="H6287" s="6"/>
      <c r="AD6287" s="5">
        <v>45188.0</v>
      </c>
      <c r="AE6287" s="6">
        <v>0.875</v>
      </c>
      <c r="AF6287" s="7">
        <v>0.0</v>
      </c>
    </row>
    <row r="6288">
      <c r="G6288" s="5"/>
      <c r="H6288" s="6"/>
      <c r="AD6288" s="5">
        <v>45188.0</v>
      </c>
      <c r="AE6288" s="6">
        <v>0.9166666666666666</v>
      </c>
      <c r="AF6288" s="7">
        <v>0.0</v>
      </c>
    </row>
    <row r="6289">
      <c r="G6289" s="5"/>
      <c r="H6289" s="6"/>
      <c r="AD6289" s="5">
        <v>45188.0</v>
      </c>
      <c r="AE6289" s="6">
        <v>0.9583333333333334</v>
      </c>
      <c r="AF6289" s="7">
        <v>0.0</v>
      </c>
    </row>
    <row r="6290">
      <c r="G6290" s="5"/>
      <c r="H6290" s="6"/>
      <c r="AD6290" s="5">
        <v>45189.0</v>
      </c>
      <c r="AE6290" s="6">
        <v>0.0</v>
      </c>
      <c r="AF6290" s="7">
        <v>0.0</v>
      </c>
    </row>
    <row r="6291">
      <c r="G6291" s="5"/>
      <c r="H6291" s="6"/>
      <c r="AD6291" s="5">
        <v>45189.0</v>
      </c>
      <c r="AE6291" s="6">
        <v>0.041666666666666664</v>
      </c>
      <c r="AF6291" s="7">
        <v>0.0</v>
      </c>
    </row>
    <row r="6292">
      <c r="G6292" s="5"/>
      <c r="H6292" s="6"/>
      <c r="AD6292" s="5">
        <v>45189.0</v>
      </c>
      <c r="AE6292" s="6">
        <v>0.08333333333333333</v>
      </c>
      <c r="AF6292" s="7">
        <v>0.0</v>
      </c>
    </row>
    <row r="6293">
      <c r="G6293" s="5"/>
      <c r="H6293" s="6"/>
      <c r="AD6293" s="5">
        <v>45189.0</v>
      </c>
      <c r="AE6293" s="6">
        <v>0.125</v>
      </c>
      <c r="AF6293" s="7">
        <v>0.0</v>
      </c>
    </row>
    <row r="6294">
      <c r="G6294" s="5"/>
      <c r="H6294" s="6"/>
      <c r="AD6294" s="5">
        <v>45189.0</v>
      </c>
      <c r="AE6294" s="6">
        <v>0.16666666666666666</v>
      </c>
      <c r="AF6294" s="7">
        <v>0.0</v>
      </c>
    </row>
    <row r="6295">
      <c r="G6295" s="5"/>
      <c r="H6295" s="6"/>
      <c r="AD6295" s="5">
        <v>45189.0</v>
      </c>
      <c r="AE6295" s="6">
        <v>0.20833333333333334</v>
      </c>
      <c r="AF6295" s="7">
        <v>0.0</v>
      </c>
    </row>
    <row r="6296">
      <c r="G6296" s="5"/>
      <c r="H6296" s="6"/>
      <c r="AD6296" s="5">
        <v>45189.0</v>
      </c>
      <c r="AE6296" s="6">
        <v>0.25</v>
      </c>
      <c r="AF6296" s="7">
        <v>603.72</v>
      </c>
    </row>
    <row r="6297">
      <c r="G6297" s="5"/>
      <c r="H6297" s="6"/>
      <c r="AD6297" s="5">
        <v>45189.0</v>
      </c>
      <c r="AE6297" s="6">
        <v>0.2916666666666667</v>
      </c>
      <c r="AF6297" s="7">
        <v>12710.88</v>
      </c>
    </row>
    <row r="6298">
      <c r="G6298" s="5"/>
      <c r="H6298" s="6"/>
      <c r="AD6298" s="5">
        <v>45189.0</v>
      </c>
      <c r="AE6298" s="6">
        <v>0.3333333333333333</v>
      </c>
      <c r="AF6298" s="7">
        <v>27942.72</v>
      </c>
    </row>
    <row r="6299">
      <c r="G6299" s="5"/>
      <c r="H6299" s="6"/>
      <c r="AD6299" s="5">
        <v>45189.0</v>
      </c>
      <c r="AE6299" s="6">
        <v>0.375</v>
      </c>
      <c r="AF6299" s="7">
        <v>40145.82</v>
      </c>
    </row>
    <row r="6300">
      <c r="G6300" s="5"/>
      <c r="H6300" s="6"/>
      <c r="AD6300" s="5">
        <v>45189.0</v>
      </c>
      <c r="AE6300" s="6">
        <v>0.4166666666666667</v>
      </c>
      <c r="AF6300" s="7">
        <v>47829.6</v>
      </c>
    </row>
    <row r="6301">
      <c r="G6301" s="5"/>
      <c r="H6301" s="6"/>
      <c r="AD6301" s="5">
        <v>45189.0</v>
      </c>
      <c r="AE6301" s="6">
        <v>0.4583333333333333</v>
      </c>
      <c r="AF6301" s="7">
        <v>51629.76</v>
      </c>
    </row>
    <row r="6302">
      <c r="G6302" s="5"/>
      <c r="H6302" s="6"/>
      <c r="AD6302" s="5">
        <v>45189.0</v>
      </c>
      <c r="AE6302" s="6">
        <v>0.5</v>
      </c>
      <c r="AF6302" s="7">
        <v>51953.46</v>
      </c>
    </row>
    <row r="6303">
      <c r="G6303" s="5"/>
      <c r="H6303" s="6"/>
      <c r="AD6303" s="5">
        <v>45189.0</v>
      </c>
      <c r="AE6303" s="6">
        <v>0.5416666666666666</v>
      </c>
      <c r="AF6303" s="7">
        <v>50274.9</v>
      </c>
    </row>
    <row r="6304">
      <c r="G6304" s="5"/>
      <c r="H6304" s="6"/>
      <c r="AD6304" s="5">
        <v>45189.0</v>
      </c>
      <c r="AE6304" s="6">
        <v>0.5833333333333334</v>
      </c>
      <c r="AF6304" s="7">
        <v>43701.84</v>
      </c>
    </row>
    <row r="6305">
      <c r="G6305" s="5"/>
      <c r="H6305" s="6"/>
      <c r="AD6305" s="5">
        <v>45189.0</v>
      </c>
      <c r="AE6305" s="6">
        <v>0.625</v>
      </c>
      <c r="AF6305" s="7">
        <v>33025.2</v>
      </c>
    </row>
    <row r="6306">
      <c r="G6306" s="5"/>
      <c r="H6306" s="6"/>
      <c r="AD6306" s="5">
        <v>45189.0</v>
      </c>
      <c r="AE6306" s="6">
        <v>0.6666666666666666</v>
      </c>
      <c r="AF6306" s="7">
        <v>20010.12</v>
      </c>
    </row>
    <row r="6307">
      <c r="G6307" s="5"/>
      <c r="H6307" s="6"/>
      <c r="AD6307" s="5">
        <v>45189.0</v>
      </c>
      <c r="AE6307" s="6">
        <v>0.7083333333333334</v>
      </c>
      <c r="AF6307" s="7">
        <v>4677.66</v>
      </c>
    </row>
    <row r="6308">
      <c r="G6308" s="5"/>
      <c r="H6308" s="6"/>
      <c r="AD6308" s="5">
        <v>45189.0</v>
      </c>
      <c r="AE6308" s="6">
        <v>0.75</v>
      </c>
      <c r="AF6308" s="7">
        <v>0.0</v>
      </c>
    </row>
    <row r="6309">
      <c r="G6309" s="5"/>
      <c r="H6309" s="6"/>
      <c r="AD6309" s="5">
        <v>45189.0</v>
      </c>
      <c r="AE6309" s="6">
        <v>0.7916666666666666</v>
      </c>
      <c r="AF6309" s="7">
        <v>0.0</v>
      </c>
    </row>
    <row r="6310">
      <c r="G6310" s="5"/>
      <c r="H6310" s="6"/>
      <c r="AD6310" s="5">
        <v>45189.0</v>
      </c>
      <c r="AE6310" s="6">
        <v>0.8333333333333334</v>
      </c>
      <c r="AF6310" s="7">
        <v>0.0</v>
      </c>
    </row>
    <row r="6311">
      <c r="G6311" s="5"/>
      <c r="H6311" s="6"/>
      <c r="AD6311" s="5">
        <v>45189.0</v>
      </c>
      <c r="AE6311" s="6">
        <v>0.875</v>
      </c>
      <c r="AF6311" s="7">
        <v>0.0</v>
      </c>
    </row>
    <row r="6312">
      <c r="G6312" s="5"/>
      <c r="H6312" s="6"/>
      <c r="AD6312" s="5">
        <v>45189.0</v>
      </c>
      <c r="AE6312" s="6">
        <v>0.9166666666666666</v>
      </c>
      <c r="AF6312" s="7">
        <v>0.0</v>
      </c>
    </row>
    <row r="6313">
      <c r="G6313" s="5"/>
      <c r="H6313" s="6"/>
      <c r="AD6313" s="5">
        <v>45189.0</v>
      </c>
      <c r="AE6313" s="6">
        <v>0.9583333333333334</v>
      </c>
      <c r="AF6313" s="7">
        <v>0.0</v>
      </c>
    </row>
    <row r="6314">
      <c r="G6314" s="5"/>
      <c r="H6314" s="6"/>
      <c r="AD6314" s="5">
        <v>45190.0</v>
      </c>
      <c r="AE6314" s="6">
        <v>0.0</v>
      </c>
      <c r="AF6314" s="7">
        <v>0.0</v>
      </c>
    </row>
    <row r="6315">
      <c r="G6315" s="5"/>
      <c r="H6315" s="6"/>
      <c r="AD6315" s="5">
        <v>45190.0</v>
      </c>
      <c r="AE6315" s="6">
        <v>0.041666666666666664</v>
      </c>
      <c r="AF6315" s="7">
        <v>0.0</v>
      </c>
    </row>
    <row r="6316">
      <c r="G6316" s="5"/>
      <c r="H6316" s="6"/>
      <c r="AD6316" s="5">
        <v>45190.0</v>
      </c>
      <c r="AE6316" s="6">
        <v>0.08333333333333333</v>
      </c>
      <c r="AF6316" s="7">
        <v>0.0</v>
      </c>
    </row>
    <row r="6317">
      <c r="G6317" s="5"/>
      <c r="H6317" s="6"/>
      <c r="AD6317" s="5">
        <v>45190.0</v>
      </c>
      <c r="AE6317" s="6">
        <v>0.125</v>
      </c>
      <c r="AF6317" s="7">
        <v>0.0</v>
      </c>
    </row>
    <row r="6318">
      <c r="G6318" s="5"/>
      <c r="H6318" s="6"/>
      <c r="AD6318" s="5">
        <v>45190.0</v>
      </c>
      <c r="AE6318" s="6">
        <v>0.16666666666666666</v>
      </c>
      <c r="AF6318" s="7">
        <v>0.0</v>
      </c>
    </row>
    <row r="6319">
      <c r="G6319" s="5"/>
      <c r="H6319" s="6"/>
      <c r="AD6319" s="5">
        <v>45190.0</v>
      </c>
      <c r="AE6319" s="6">
        <v>0.20833333333333334</v>
      </c>
      <c r="AF6319" s="7">
        <v>0.0</v>
      </c>
    </row>
    <row r="6320">
      <c r="G6320" s="5"/>
      <c r="H6320" s="6"/>
      <c r="AD6320" s="5">
        <v>45190.0</v>
      </c>
      <c r="AE6320" s="6">
        <v>0.25</v>
      </c>
      <c r="AF6320" s="7">
        <v>0.0</v>
      </c>
    </row>
    <row r="6321">
      <c r="G6321" s="5"/>
      <c r="H6321" s="6"/>
      <c r="AD6321" s="5">
        <v>45190.0</v>
      </c>
      <c r="AE6321" s="6">
        <v>0.2916666666666667</v>
      </c>
      <c r="AF6321" s="7">
        <v>2265.12</v>
      </c>
    </row>
    <row r="6322">
      <c r="G6322" s="5"/>
      <c r="H6322" s="6"/>
      <c r="AD6322" s="5">
        <v>45190.0</v>
      </c>
      <c r="AE6322" s="6">
        <v>0.3333333333333333</v>
      </c>
      <c r="AF6322" s="7">
        <v>14400.36</v>
      </c>
    </row>
    <row r="6323">
      <c r="G6323" s="5"/>
      <c r="H6323" s="6"/>
      <c r="AD6323" s="5">
        <v>45190.0</v>
      </c>
      <c r="AE6323" s="6">
        <v>0.375</v>
      </c>
      <c r="AF6323" s="7">
        <v>15475.2</v>
      </c>
    </row>
    <row r="6324">
      <c r="G6324" s="5"/>
      <c r="H6324" s="6"/>
      <c r="AD6324" s="5">
        <v>45190.0</v>
      </c>
      <c r="AE6324" s="6">
        <v>0.4166666666666667</v>
      </c>
      <c r="AF6324" s="7">
        <v>10639.98</v>
      </c>
    </row>
    <row r="6325">
      <c r="G6325" s="5"/>
      <c r="H6325" s="6"/>
      <c r="AD6325" s="5">
        <v>45190.0</v>
      </c>
      <c r="AE6325" s="6">
        <v>0.4583333333333333</v>
      </c>
      <c r="AF6325" s="7">
        <v>23640.24</v>
      </c>
    </row>
    <row r="6326">
      <c r="G6326" s="5"/>
      <c r="H6326" s="6"/>
      <c r="AD6326" s="5">
        <v>45190.0</v>
      </c>
      <c r="AE6326" s="6">
        <v>0.5</v>
      </c>
      <c r="AF6326" s="7">
        <v>7471.62</v>
      </c>
    </row>
    <row r="6327">
      <c r="G6327" s="5"/>
      <c r="H6327" s="6"/>
      <c r="AD6327" s="5">
        <v>45190.0</v>
      </c>
      <c r="AE6327" s="6">
        <v>0.5416666666666666</v>
      </c>
      <c r="AF6327" s="7">
        <v>14784.12</v>
      </c>
    </row>
    <row r="6328">
      <c r="G6328" s="5"/>
      <c r="H6328" s="6"/>
      <c r="AD6328" s="5">
        <v>45190.0</v>
      </c>
      <c r="AE6328" s="6">
        <v>0.5833333333333334</v>
      </c>
      <c r="AF6328" s="7">
        <v>10905.18</v>
      </c>
    </row>
    <row r="6329">
      <c r="G6329" s="5"/>
      <c r="H6329" s="6"/>
      <c r="AD6329" s="5">
        <v>45190.0</v>
      </c>
      <c r="AE6329" s="6">
        <v>0.625</v>
      </c>
      <c r="AF6329" s="7">
        <v>9125.22</v>
      </c>
    </row>
    <row r="6330">
      <c r="G6330" s="5"/>
      <c r="H6330" s="6"/>
      <c r="AD6330" s="5">
        <v>45190.0</v>
      </c>
      <c r="AE6330" s="6">
        <v>0.6666666666666666</v>
      </c>
      <c r="AF6330" s="7">
        <v>9933.3</v>
      </c>
    </row>
    <row r="6331">
      <c r="G6331" s="5"/>
      <c r="H6331" s="6"/>
      <c r="AD6331" s="5">
        <v>45190.0</v>
      </c>
      <c r="AE6331" s="6">
        <v>0.7083333333333334</v>
      </c>
      <c r="AF6331" s="7">
        <v>1599.0</v>
      </c>
    </row>
    <row r="6332">
      <c r="G6332" s="5"/>
      <c r="H6332" s="6"/>
      <c r="AD6332" s="5">
        <v>45190.0</v>
      </c>
      <c r="AE6332" s="6">
        <v>0.75</v>
      </c>
      <c r="AF6332" s="7">
        <v>0.0</v>
      </c>
    </row>
    <row r="6333">
      <c r="G6333" s="5"/>
      <c r="H6333" s="6"/>
      <c r="AD6333" s="5">
        <v>45190.0</v>
      </c>
      <c r="AE6333" s="6">
        <v>0.7916666666666666</v>
      </c>
      <c r="AF6333" s="7">
        <v>0.0</v>
      </c>
    </row>
    <row r="6334">
      <c r="G6334" s="5"/>
      <c r="H6334" s="6"/>
      <c r="AD6334" s="5">
        <v>45190.0</v>
      </c>
      <c r="AE6334" s="6">
        <v>0.8333333333333334</v>
      </c>
      <c r="AF6334" s="7">
        <v>0.0</v>
      </c>
    </row>
    <row r="6335">
      <c r="G6335" s="5"/>
      <c r="H6335" s="6"/>
      <c r="AD6335" s="5">
        <v>45190.0</v>
      </c>
      <c r="AE6335" s="6">
        <v>0.875</v>
      </c>
      <c r="AF6335" s="7">
        <v>0.0</v>
      </c>
    </row>
    <row r="6336">
      <c r="G6336" s="5"/>
      <c r="H6336" s="6"/>
      <c r="AD6336" s="5">
        <v>45190.0</v>
      </c>
      <c r="AE6336" s="6">
        <v>0.9166666666666666</v>
      </c>
      <c r="AF6336" s="7">
        <v>0.0</v>
      </c>
    </row>
    <row r="6337">
      <c r="G6337" s="5"/>
      <c r="H6337" s="6"/>
      <c r="AD6337" s="5">
        <v>45190.0</v>
      </c>
      <c r="AE6337" s="6">
        <v>0.9583333333333334</v>
      </c>
      <c r="AF6337" s="7">
        <v>0.0</v>
      </c>
    </row>
    <row r="6338">
      <c r="G6338" s="5"/>
      <c r="H6338" s="6"/>
      <c r="AD6338" s="5">
        <v>45191.0</v>
      </c>
      <c r="AE6338" s="6">
        <v>0.0</v>
      </c>
      <c r="AF6338" s="7">
        <v>0.0</v>
      </c>
    </row>
    <row r="6339">
      <c r="G6339" s="5"/>
      <c r="H6339" s="6"/>
      <c r="AD6339" s="5">
        <v>45191.0</v>
      </c>
      <c r="AE6339" s="6">
        <v>0.041666666666666664</v>
      </c>
      <c r="AF6339" s="7">
        <v>0.0</v>
      </c>
    </row>
    <row r="6340">
      <c r="G6340" s="5"/>
      <c r="H6340" s="6"/>
      <c r="AD6340" s="5">
        <v>45191.0</v>
      </c>
      <c r="AE6340" s="6">
        <v>0.08333333333333333</v>
      </c>
      <c r="AF6340" s="7">
        <v>0.0</v>
      </c>
    </row>
    <row r="6341">
      <c r="G6341" s="5"/>
      <c r="H6341" s="6"/>
      <c r="AD6341" s="5">
        <v>45191.0</v>
      </c>
      <c r="AE6341" s="6">
        <v>0.125</v>
      </c>
      <c r="AF6341" s="7">
        <v>0.0</v>
      </c>
    </row>
    <row r="6342">
      <c r="G6342" s="5"/>
      <c r="H6342" s="6"/>
      <c r="AD6342" s="5">
        <v>45191.0</v>
      </c>
      <c r="AE6342" s="6">
        <v>0.16666666666666666</v>
      </c>
      <c r="AF6342" s="7">
        <v>0.0</v>
      </c>
    </row>
    <row r="6343">
      <c r="G6343" s="5"/>
      <c r="H6343" s="6"/>
      <c r="AD6343" s="5">
        <v>45191.0</v>
      </c>
      <c r="AE6343" s="6">
        <v>0.20833333333333334</v>
      </c>
      <c r="AF6343" s="7">
        <v>0.0</v>
      </c>
    </row>
    <row r="6344">
      <c r="G6344" s="5"/>
      <c r="H6344" s="6"/>
      <c r="AD6344" s="5">
        <v>45191.0</v>
      </c>
      <c r="AE6344" s="6">
        <v>0.25</v>
      </c>
      <c r="AF6344" s="7">
        <v>436.8</v>
      </c>
    </row>
    <row r="6345">
      <c r="G6345" s="5"/>
      <c r="H6345" s="6"/>
      <c r="AD6345" s="5">
        <v>45191.0</v>
      </c>
      <c r="AE6345" s="6">
        <v>0.2916666666666667</v>
      </c>
      <c r="AF6345" s="7">
        <v>13189.8</v>
      </c>
    </row>
    <row r="6346">
      <c r="G6346" s="5"/>
      <c r="H6346" s="6"/>
      <c r="AD6346" s="5">
        <v>45191.0</v>
      </c>
      <c r="AE6346" s="6">
        <v>0.3333333333333333</v>
      </c>
      <c r="AF6346" s="7">
        <v>29310.84</v>
      </c>
    </row>
    <row r="6347">
      <c r="G6347" s="5"/>
      <c r="H6347" s="6"/>
      <c r="AD6347" s="5">
        <v>45191.0</v>
      </c>
      <c r="AE6347" s="6">
        <v>0.375</v>
      </c>
      <c r="AF6347" s="7">
        <v>42730.74</v>
      </c>
    </row>
    <row r="6348">
      <c r="G6348" s="5"/>
      <c r="H6348" s="6"/>
      <c r="AD6348" s="5">
        <v>45191.0</v>
      </c>
      <c r="AE6348" s="6">
        <v>0.4166666666666667</v>
      </c>
      <c r="AF6348" s="7">
        <v>51232.74</v>
      </c>
    </row>
    <row r="6349">
      <c r="G6349" s="5"/>
      <c r="H6349" s="6"/>
      <c r="AD6349" s="5">
        <v>45191.0</v>
      </c>
      <c r="AE6349" s="6">
        <v>0.4583333333333333</v>
      </c>
      <c r="AF6349" s="7">
        <v>56372.16</v>
      </c>
    </row>
    <row r="6350">
      <c r="G6350" s="5"/>
      <c r="H6350" s="6"/>
      <c r="AD6350" s="5">
        <v>45191.0</v>
      </c>
      <c r="AE6350" s="6">
        <v>0.5</v>
      </c>
      <c r="AF6350" s="7">
        <v>56184.96</v>
      </c>
    </row>
    <row r="6351">
      <c r="G6351" s="5"/>
      <c r="H6351" s="6"/>
      <c r="AD6351" s="5">
        <v>45191.0</v>
      </c>
      <c r="AE6351" s="6">
        <v>0.5416666666666666</v>
      </c>
      <c r="AF6351" s="7">
        <v>54170.22</v>
      </c>
    </row>
    <row r="6352">
      <c r="G6352" s="5"/>
      <c r="H6352" s="6"/>
      <c r="AD6352" s="5">
        <v>45191.0</v>
      </c>
      <c r="AE6352" s="6">
        <v>0.5833333333333334</v>
      </c>
      <c r="AF6352" s="7">
        <v>46252.44</v>
      </c>
    </row>
    <row r="6353">
      <c r="G6353" s="5"/>
      <c r="H6353" s="6"/>
      <c r="AD6353" s="5">
        <v>45191.0</v>
      </c>
      <c r="AE6353" s="6">
        <v>0.625</v>
      </c>
      <c r="AF6353" s="7">
        <v>34327.02</v>
      </c>
    </row>
    <row r="6354">
      <c r="G6354" s="5"/>
      <c r="H6354" s="6"/>
      <c r="AD6354" s="5">
        <v>45191.0</v>
      </c>
      <c r="AE6354" s="6">
        <v>0.6666666666666666</v>
      </c>
      <c r="AF6354" s="7">
        <v>19813.56</v>
      </c>
    </row>
    <row r="6355">
      <c r="G6355" s="5"/>
      <c r="H6355" s="6"/>
      <c r="AD6355" s="5">
        <v>45191.0</v>
      </c>
      <c r="AE6355" s="6">
        <v>0.7083333333333334</v>
      </c>
      <c r="AF6355" s="7">
        <v>5343.78</v>
      </c>
    </row>
    <row r="6356">
      <c r="G6356" s="5"/>
      <c r="H6356" s="6"/>
      <c r="AD6356" s="5">
        <v>45191.0</v>
      </c>
      <c r="AE6356" s="6">
        <v>0.75</v>
      </c>
      <c r="AF6356" s="7">
        <v>0.0</v>
      </c>
    </row>
    <row r="6357">
      <c r="G6357" s="5"/>
      <c r="H6357" s="6"/>
      <c r="AD6357" s="5">
        <v>45191.0</v>
      </c>
      <c r="AE6357" s="6">
        <v>0.7916666666666666</v>
      </c>
      <c r="AF6357" s="7">
        <v>0.0</v>
      </c>
    </row>
    <row r="6358">
      <c r="G6358" s="5"/>
      <c r="H6358" s="6"/>
      <c r="AD6358" s="5">
        <v>45191.0</v>
      </c>
      <c r="AE6358" s="6">
        <v>0.8333333333333334</v>
      </c>
      <c r="AF6358" s="7">
        <v>0.0</v>
      </c>
    </row>
    <row r="6359">
      <c r="G6359" s="5"/>
      <c r="H6359" s="6"/>
      <c r="AD6359" s="5">
        <v>45191.0</v>
      </c>
      <c r="AE6359" s="6">
        <v>0.875</v>
      </c>
      <c r="AF6359" s="7">
        <v>0.0</v>
      </c>
    </row>
    <row r="6360">
      <c r="G6360" s="5"/>
      <c r="H6360" s="6"/>
      <c r="AD6360" s="5">
        <v>45191.0</v>
      </c>
      <c r="AE6360" s="6">
        <v>0.9166666666666666</v>
      </c>
      <c r="AF6360" s="7">
        <v>0.0</v>
      </c>
    </row>
    <row r="6361">
      <c r="G6361" s="5"/>
      <c r="H6361" s="6"/>
      <c r="AD6361" s="5">
        <v>45191.0</v>
      </c>
      <c r="AE6361" s="6">
        <v>0.9583333333333334</v>
      </c>
      <c r="AF6361" s="7">
        <v>0.0</v>
      </c>
    </row>
    <row r="6362">
      <c r="G6362" s="5"/>
      <c r="H6362" s="6"/>
      <c r="AD6362" s="5">
        <v>45192.0</v>
      </c>
      <c r="AE6362" s="6">
        <v>0.0</v>
      </c>
      <c r="AF6362" s="7">
        <v>0.0</v>
      </c>
    </row>
    <row r="6363">
      <c r="G6363" s="5"/>
      <c r="H6363" s="6"/>
      <c r="AD6363" s="5">
        <v>45192.0</v>
      </c>
      <c r="AE6363" s="6">
        <v>0.041666666666666664</v>
      </c>
      <c r="AF6363" s="7">
        <v>0.0</v>
      </c>
    </row>
    <row r="6364">
      <c r="G6364" s="5"/>
      <c r="H6364" s="6"/>
      <c r="AD6364" s="5">
        <v>45192.0</v>
      </c>
      <c r="AE6364" s="6">
        <v>0.08333333333333333</v>
      </c>
      <c r="AF6364" s="7">
        <v>0.0</v>
      </c>
    </row>
    <row r="6365">
      <c r="G6365" s="5"/>
      <c r="H6365" s="6"/>
      <c r="AD6365" s="5">
        <v>45192.0</v>
      </c>
      <c r="AE6365" s="6">
        <v>0.125</v>
      </c>
      <c r="AF6365" s="7">
        <v>0.0</v>
      </c>
    </row>
    <row r="6366">
      <c r="G6366" s="5"/>
      <c r="H6366" s="6"/>
      <c r="AD6366" s="5">
        <v>45192.0</v>
      </c>
      <c r="AE6366" s="6">
        <v>0.16666666666666666</v>
      </c>
      <c r="AF6366" s="7">
        <v>0.0</v>
      </c>
    </row>
    <row r="6367">
      <c r="G6367" s="5"/>
      <c r="H6367" s="6"/>
      <c r="AD6367" s="5">
        <v>45192.0</v>
      </c>
      <c r="AE6367" s="6">
        <v>0.20833333333333334</v>
      </c>
      <c r="AF6367" s="7">
        <v>0.0</v>
      </c>
    </row>
    <row r="6368">
      <c r="G6368" s="5"/>
      <c r="H6368" s="6"/>
      <c r="AD6368" s="5">
        <v>45192.0</v>
      </c>
      <c r="AE6368" s="6">
        <v>0.25</v>
      </c>
      <c r="AF6368" s="7">
        <v>377.52</v>
      </c>
    </row>
    <row r="6369">
      <c r="G6369" s="5"/>
      <c r="H6369" s="6"/>
      <c r="AD6369" s="5">
        <v>45192.0</v>
      </c>
      <c r="AE6369" s="6">
        <v>0.2916666666666667</v>
      </c>
      <c r="AF6369" s="7">
        <v>12664.08</v>
      </c>
    </row>
    <row r="6370">
      <c r="G6370" s="5"/>
      <c r="H6370" s="6"/>
      <c r="AD6370" s="5">
        <v>45192.0</v>
      </c>
      <c r="AE6370" s="6">
        <v>0.3333333333333333</v>
      </c>
      <c r="AF6370" s="7">
        <v>28694.64</v>
      </c>
    </row>
    <row r="6371">
      <c r="G6371" s="5"/>
      <c r="H6371" s="6"/>
      <c r="AD6371" s="5">
        <v>45192.0</v>
      </c>
      <c r="AE6371" s="6">
        <v>0.375</v>
      </c>
      <c r="AF6371" s="7">
        <v>41710.5</v>
      </c>
    </row>
    <row r="6372">
      <c r="G6372" s="5"/>
      <c r="H6372" s="6"/>
      <c r="AD6372" s="5">
        <v>45192.0</v>
      </c>
      <c r="AE6372" s="6">
        <v>0.4166666666666667</v>
      </c>
      <c r="AF6372" s="7">
        <v>50689.08</v>
      </c>
    </row>
    <row r="6373">
      <c r="G6373" s="5"/>
      <c r="H6373" s="6"/>
      <c r="AD6373" s="5">
        <v>45192.0</v>
      </c>
      <c r="AE6373" s="6">
        <v>0.4583333333333333</v>
      </c>
      <c r="AF6373" s="7">
        <v>55713.06</v>
      </c>
    </row>
    <row r="6374">
      <c r="G6374" s="5"/>
      <c r="H6374" s="6"/>
      <c r="AD6374" s="5">
        <v>45192.0</v>
      </c>
      <c r="AE6374" s="6">
        <v>0.5</v>
      </c>
      <c r="AF6374" s="7">
        <v>55393.26</v>
      </c>
    </row>
    <row r="6375">
      <c r="G6375" s="5"/>
      <c r="H6375" s="6"/>
      <c r="AD6375" s="5">
        <v>45192.0</v>
      </c>
      <c r="AE6375" s="6">
        <v>0.5416666666666666</v>
      </c>
      <c r="AF6375" s="7">
        <v>53085.24</v>
      </c>
    </row>
    <row r="6376">
      <c r="G6376" s="5"/>
      <c r="H6376" s="6"/>
      <c r="AD6376" s="5">
        <v>45192.0</v>
      </c>
      <c r="AE6376" s="6">
        <v>0.5833333333333334</v>
      </c>
      <c r="AF6376" s="7">
        <v>45759.48</v>
      </c>
    </row>
    <row r="6377">
      <c r="G6377" s="5"/>
      <c r="H6377" s="6"/>
      <c r="AD6377" s="5">
        <v>45192.0</v>
      </c>
      <c r="AE6377" s="6">
        <v>0.625</v>
      </c>
      <c r="AF6377" s="7">
        <v>34812.18</v>
      </c>
    </row>
    <row r="6378">
      <c r="G6378" s="5"/>
      <c r="H6378" s="6"/>
      <c r="AD6378" s="5">
        <v>45192.0</v>
      </c>
      <c r="AE6378" s="6">
        <v>0.6666666666666666</v>
      </c>
      <c r="AF6378" s="7">
        <v>20433.66</v>
      </c>
    </row>
    <row r="6379">
      <c r="G6379" s="5"/>
      <c r="H6379" s="6"/>
      <c r="AD6379" s="5">
        <v>45192.0</v>
      </c>
      <c r="AE6379" s="6">
        <v>0.7083333333333334</v>
      </c>
      <c r="AF6379" s="7">
        <v>5107.44</v>
      </c>
    </row>
    <row r="6380">
      <c r="G6380" s="5"/>
      <c r="H6380" s="6"/>
      <c r="AD6380" s="5">
        <v>45192.0</v>
      </c>
      <c r="AE6380" s="6">
        <v>0.75</v>
      </c>
      <c r="AF6380" s="7">
        <v>0.0</v>
      </c>
    </row>
    <row r="6381">
      <c r="G6381" s="5"/>
      <c r="H6381" s="6"/>
      <c r="AD6381" s="5">
        <v>45192.0</v>
      </c>
      <c r="AE6381" s="6">
        <v>0.7916666666666666</v>
      </c>
      <c r="AF6381" s="7">
        <v>0.0</v>
      </c>
    </row>
    <row r="6382">
      <c r="G6382" s="5"/>
      <c r="H6382" s="6"/>
      <c r="AD6382" s="5">
        <v>45192.0</v>
      </c>
      <c r="AE6382" s="6">
        <v>0.8333333333333334</v>
      </c>
      <c r="AF6382" s="7">
        <v>0.0</v>
      </c>
    </row>
    <row r="6383">
      <c r="G6383" s="5"/>
      <c r="H6383" s="6"/>
      <c r="AD6383" s="5">
        <v>45192.0</v>
      </c>
      <c r="AE6383" s="6">
        <v>0.875</v>
      </c>
      <c r="AF6383" s="7">
        <v>0.0</v>
      </c>
    </row>
    <row r="6384">
      <c r="G6384" s="5"/>
      <c r="H6384" s="6"/>
      <c r="AD6384" s="5">
        <v>45192.0</v>
      </c>
      <c r="AE6384" s="6">
        <v>0.9166666666666666</v>
      </c>
      <c r="AF6384" s="7">
        <v>0.0</v>
      </c>
    </row>
    <row r="6385">
      <c r="G6385" s="5"/>
      <c r="H6385" s="6"/>
      <c r="AD6385" s="5">
        <v>45192.0</v>
      </c>
      <c r="AE6385" s="6">
        <v>0.9583333333333334</v>
      </c>
      <c r="AF6385" s="7">
        <v>0.0</v>
      </c>
    </row>
    <row r="6386">
      <c r="G6386" s="5"/>
      <c r="H6386" s="6"/>
      <c r="AD6386" s="5">
        <v>45193.0</v>
      </c>
      <c r="AE6386" s="6">
        <v>0.0</v>
      </c>
      <c r="AF6386" s="7">
        <v>0.0</v>
      </c>
    </row>
    <row r="6387">
      <c r="G6387" s="5"/>
      <c r="H6387" s="6"/>
      <c r="AD6387" s="5">
        <v>45193.0</v>
      </c>
      <c r="AE6387" s="6">
        <v>0.041666666666666664</v>
      </c>
      <c r="AF6387" s="7">
        <v>0.0</v>
      </c>
    </row>
    <row r="6388">
      <c r="G6388" s="5"/>
      <c r="H6388" s="6"/>
      <c r="AD6388" s="5">
        <v>45193.0</v>
      </c>
      <c r="AE6388" s="6">
        <v>0.08333333333333333</v>
      </c>
      <c r="AF6388" s="7">
        <v>0.0</v>
      </c>
    </row>
    <row r="6389">
      <c r="G6389" s="5"/>
      <c r="H6389" s="6"/>
      <c r="AD6389" s="5">
        <v>45193.0</v>
      </c>
      <c r="AE6389" s="6">
        <v>0.125</v>
      </c>
      <c r="AF6389" s="7">
        <v>0.0</v>
      </c>
    </row>
    <row r="6390">
      <c r="G6390" s="5"/>
      <c r="H6390" s="6"/>
      <c r="AD6390" s="5">
        <v>45193.0</v>
      </c>
      <c r="AE6390" s="6">
        <v>0.16666666666666666</v>
      </c>
      <c r="AF6390" s="7">
        <v>0.0</v>
      </c>
    </row>
    <row r="6391">
      <c r="G6391" s="5"/>
      <c r="H6391" s="6"/>
      <c r="AD6391" s="5">
        <v>45193.0</v>
      </c>
      <c r="AE6391" s="6">
        <v>0.20833333333333334</v>
      </c>
      <c r="AF6391" s="7">
        <v>0.0</v>
      </c>
    </row>
    <row r="6392">
      <c r="G6392" s="5"/>
      <c r="H6392" s="6"/>
      <c r="AD6392" s="5">
        <v>45193.0</v>
      </c>
      <c r="AE6392" s="6">
        <v>0.25</v>
      </c>
      <c r="AF6392" s="7">
        <v>284.7</v>
      </c>
    </row>
    <row r="6393">
      <c r="G6393" s="5"/>
      <c r="H6393" s="6"/>
      <c r="AD6393" s="5">
        <v>45193.0</v>
      </c>
      <c r="AE6393" s="6">
        <v>0.2916666666666667</v>
      </c>
      <c r="AF6393" s="7">
        <v>12414.48</v>
      </c>
    </row>
    <row r="6394">
      <c r="G6394" s="5"/>
      <c r="H6394" s="6"/>
      <c r="AD6394" s="5">
        <v>45193.0</v>
      </c>
      <c r="AE6394" s="6">
        <v>0.3333333333333333</v>
      </c>
      <c r="AF6394" s="7">
        <v>27789.84</v>
      </c>
    </row>
    <row r="6395">
      <c r="G6395" s="5"/>
      <c r="H6395" s="6"/>
      <c r="AD6395" s="5">
        <v>45193.0</v>
      </c>
      <c r="AE6395" s="6">
        <v>0.375</v>
      </c>
      <c r="AF6395" s="7">
        <v>39838.5</v>
      </c>
    </row>
    <row r="6396">
      <c r="G6396" s="5"/>
      <c r="H6396" s="6"/>
      <c r="AD6396" s="5">
        <v>45193.0</v>
      </c>
      <c r="AE6396" s="6">
        <v>0.4166666666666667</v>
      </c>
      <c r="AF6396" s="7">
        <v>47997.3</v>
      </c>
    </row>
    <row r="6397">
      <c r="G6397" s="5"/>
      <c r="H6397" s="6"/>
      <c r="AD6397" s="5">
        <v>45193.0</v>
      </c>
      <c r="AE6397" s="6">
        <v>0.4583333333333333</v>
      </c>
      <c r="AF6397" s="7">
        <v>52600.86</v>
      </c>
    </row>
    <row r="6398">
      <c r="G6398" s="5"/>
      <c r="H6398" s="6"/>
      <c r="AD6398" s="5">
        <v>45193.0</v>
      </c>
      <c r="AE6398" s="6">
        <v>0.5</v>
      </c>
      <c r="AF6398" s="7">
        <v>51493.26</v>
      </c>
    </row>
    <row r="6399">
      <c r="G6399" s="5"/>
      <c r="H6399" s="6"/>
      <c r="AD6399" s="5">
        <v>45193.0</v>
      </c>
      <c r="AE6399" s="6">
        <v>0.5416666666666666</v>
      </c>
      <c r="AF6399" s="7">
        <v>50018.28</v>
      </c>
    </row>
    <row r="6400">
      <c r="G6400" s="5"/>
      <c r="H6400" s="6"/>
      <c r="AD6400" s="5">
        <v>45193.0</v>
      </c>
      <c r="AE6400" s="6">
        <v>0.5833333333333334</v>
      </c>
      <c r="AF6400" s="7">
        <v>43351.62</v>
      </c>
    </row>
    <row r="6401">
      <c r="G6401" s="5"/>
      <c r="H6401" s="6"/>
      <c r="AD6401" s="5">
        <v>45193.0</v>
      </c>
      <c r="AE6401" s="6">
        <v>0.625</v>
      </c>
      <c r="AF6401" s="7">
        <v>33224.88</v>
      </c>
    </row>
    <row r="6402">
      <c r="G6402" s="5"/>
      <c r="H6402" s="6"/>
      <c r="AD6402" s="5">
        <v>45193.0</v>
      </c>
      <c r="AE6402" s="6">
        <v>0.6666666666666666</v>
      </c>
      <c r="AF6402" s="7">
        <v>19564.74</v>
      </c>
    </row>
    <row r="6403">
      <c r="G6403" s="5"/>
      <c r="H6403" s="6"/>
      <c r="AD6403" s="5">
        <v>45193.0</v>
      </c>
      <c r="AE6403" s="6">
        <v>0.7083333333333334</v>
      </c>
      <c r="AF6403" s="7">
        <v>4712.76</v>
      </c>
    </row>
    <row r="6404">
      <c r="G6404" s="5"/>
      <c r="H6404" s="6"/>
      <c r="AD6404" s="5">
        <v>45193.0</v>
      </c>
      <c r="AE6404" s="6">
        <v>0.75</v>
      </c>
      <c r="AF6404" s="7">
        <v>0.0</v>
      </c>
    </row>
    <row r="6405">
      <c r="G6405" s="5"/>
      <c r="H6405" s="6"/>
      <c r="AD6405" s="5">
        <v>45193.0</v>
      </c>
      <c r="AE6405" s="6">
        <v>0.7916666666666666</v>
      </c>
      <c r="AF6405" s="7">
        <v>0.0</v>
      </c>
    </row>
    <row r="6406">
      <c r="G6406" s="5"/>
      <c r="H6406" s="6"/>
      <c r="AD6406" s="5">
        <v>45193.0</v>
      </c>
      <c r="AE6406" s="6">
        <v>0.8333333333333334</v>
      </c>
      <c r="AF6406" s="7">
        <v>0.0</v>
      </c>
    </row>
    <row r="6407">
      <c r="G6407" s="5"/>
      <c r="H6407" s="6"/>
      <c r="AD6407" s="5">
        <v>45193.0</v>
      </c>
      <c r="AE6407" s="6">
        <v>0.875</v>
      </c>
      <c r="AF6407" s="7">
        <v>0.0</v>
      </c>
    </row>
    <row r="6408">
      <c r="G6408" s="5"/>
      <c r="H6408" s="6"/>
      <c r="AD6408" s="5">
        <v>45193.0</v>
      </c>
      <c r="AE6408" s="6">
        <v>0.9166666666666666</v>
      </c>
      <c r="AF6408" s="7">
        <v>0.0</v>
      </c>
    </row>
    <row r="6409">
      <c r="G6409" s="5"/>
      <c r="H6409" s="6"/>
      <c r="AD6409" s="5">
        <v>45193.0</v>
      </c>
      <c r="AE6409" s="6">
        <v>0.9583333333333334</v>
      </c>
      <c r="AF6409" s="7">
        <v>0.0</v>
      </c>
    </row>
    <row r="6410">
      <c r="G6410" s="5"/>
      <c r="H6410" s="6"/>
      <c r="AD6410" s="5">
        <v>45194.0</v>
      </c>
      <c r="AE6410" s="6">
        <v>0.0</v>
      </c>
      <c r="AF6410" s="7">
        <v>0.0</v>
      </c>
    </row>
    <row r="6411">
      <c r="G6411" s="5"/>
      <c r="H6411" s="6"/>
      <c r="AD6411" s="5">
        <v>45194.0</v>
      </c>
      <c r="AE6411" s="6">
        <v>0.041666666666666664</v>
      </c>
      <c r="AF6411" s="7">
        <v>0.0</v>
      </c>
    </row>
    <row r="6412">
      <c r="G6412" s="5"/>
      <c r="H6412" s="6"/>
      <c r="AD6412" s="5">
        <v>45194.0</v>
      </c>
      <c r="AE6412" s="6">
        <v>0.08333333333333333</v>
      </c>
      <c r="AF6412" s="7">
        <v>0.0</v>
      </c>
    </row>
    <row r="6413">
      <c r="G6413" s="5"/>
      <c r="H6413" s="6"/>
      <c r="AD6413" s="5">
        <v>45194.0</v>
      </c>
      <c r="AE6413" s="6">
        <v>0.125</v>
      </c>
      <c r="AF6413" s="7">
        <v>0.0</v>
      </c>
    </row>
    <row r="6414">
      <c r="G6414" s="5"/>
      <c r="H6414" s="6"/>
      <c r="AD6414" s="5">
        <v>45194.0</v>
      </c>
      <c r="AE6414" s="6">
        <v>0.16666666666666666</v>
      </c>
      <c r="AF6414" s="7">
        <v>0.0</v>
      </c>
    </row>
    <row r="6415">
      <c r="G6415" s="5"/>
      <c r="H6415" s="6"/>
      <c r="AD6415" s="5">
        <v>45194.0</v>
      </c>
      <c r="AE6415" s="6">
        <v>0.20833333333333334</v>
      </c>
      <c r="AF6415" s="7">
        <v>0.0</v>
      </c>
    </row>
    <row r="6416">
      <c r="G6416" s="5"/>
      <c r="H6416" s="6"/>
      <c r="AD6416" s="5">
        <v>45194.0</v>
      </c>
      <c r="AE6416" s="6">
        <v>0.25</v>
      </c>
      <c r="AF6416" s="7">
        <v>198.12</v>
      </c>
    </row>
    <row r="6417">
      <c r="G6417" s="5"/>
      <c r="H6417" s="6"/>
      <c r="AD6417" s="5">
        <v>45194.0</v>
      </c>
      <c r="AE6417" s="6">
        <v>0.2916666666666667</v>
      </c>
      <c r="AF6417" s="7">
        <v>12171.9</v>
      </c>
    </row>
    <row r="6418">
      <c r="G6418" s="5"/>
      <c r="H6418" s="6"/>
      <c r="AD6418" s="5">
        <v>45194.0</v>
      </c>
      <c r="AE6418" s="6">
        <v>0.3333333333333333</v>
      </c>
      <c r="AF6418" s="7">
        <v>27379.56</v>
      </c>
    </row>
    <row r="6419">
      <c r="G6419" s="5"/>
      <c r="H6419" s="6"/>
      <c r="AD6419" s="5">
        <v>45194.0</v>
      </c>
      <c r="AE6419" s="6">
        <v>0.375</v>
      </c>
      <c r="AF6419" s="7">
        <v>39315.12</v>
      </c>
    </row>
    <row r="6420">
      <c r="G6420" s="5"/>
      <c r="H6420" s="6"/>
      <c r="AD6420" s="5">
        <v>45194.0</v>
      </c>
      <c r="AE6420" s="6">
        <v>0.4166666666666667</v>
      </c>
      <c r="AF6420" s="7">
        <v>46608.9</v>
      </c>
    </row>
    <row r="6421">
      <c r="G6421" s="5"/>
      <c r="H6421" s="6"/>
      <c r="AD6421" s="5">
        <v>45194.0</v>
      </c>
      <c r="AE6421" s="6">
        <v>0.4583333333333333</v>
      </c>
      <c r="AF6421" s="7">
        <v>50443.38</v>
      </c>
    </row>
    <row r="6422">
      <c r="G6422" s="5"/>
      <c r="H6422" s="6"/>
      <c r="AD6422" s="5">
        <v>45194.0</v>
      </c>
      <c r="AE6422" s="6">
        <v>0.5</v>
      </c>
      <c r="AF6422" s="7">
        <v>49646.22</v>
      </c>
    </row>
    <row r="6423">
      <c r="G6423" s="5"/>
      <c r="H6423" s="6"/>
      <c r="AD6423" s="5">
        <v>45194.0</v>
      </c>
      <c r="AE6423" s="6">
        <v>0.5416666666666666</v>
      </c>
      <c r="AF6423" s="7">
        <v>48891.96</v>
      </c>
    </row>
    <row r="6424">
      <c r="G6424" s="5"/>
      <c r="H6424" s="6"/>
      <c r="AD6424" s="5">
        <v>45194.0</v>
      </c>
      <c r="AE6424" s="6">
        <v>0.5833333333333334</v>
      </c>
      <c r="AF6424" s="7">
        <v>42655.86</v>
      </c>
    </row>
    <row r="6425">
      <c r="G6425" s="5"/>
      <c r="H6425" s="6"/>
      <c r="AD6425" s="5">
        <v>45194.0</v>
      </c>
      <c r="AE6425" s="6">
        <v>0.625</v>
      </c>
      <c r="AF6425" s="7">
        <v>32449.56</v>
      </c>
    </row>
    <row r="6426">
      <c r="G6426" s="5"/>
      <c r="H6426" s="6"/>
      <c r="AD6426" s="5">
        <v>45194.0</v>
      </c>
      <c r="AE6426" s="6">
        <v>0.6666666666666666</v>
      </c>
      <c r="AF6426" s="7">
        <v>19042.92</v>
      </c>
    </row>
    <row r="6427">
      <c r="G6427" s="5"/>
      <c r="H6427" s="6"/>
      <c r="AD6427" s="5">
        <v>45194.0</v>
      </c>
      <c r="AE6427" s="6">
        <v>0.7083333333333334</v>
      </c>
      <c r="AF6427" s="7">
        <v>4410.12</v>
      </c>
    </row>
    <row r="6428">
      <c r="G6428" s="5"/>
      <c r="H6428" s="6"/>
      <c r="AD6428" s="5">
        <v>45194.0</v>
      </c>
      <c r="AE6428" s="6">
        <v>0.75</v>
      </c>
      <c r="AF6428" s="7">
        <v>0.0</v>
      </c>
    </row>
    <row r="6429">
      <c r="G6429" s="5"/>
      <c r="H6429" s="6"/>
      <c r="AD6429" s="5">
        <v>45194.0</v>
      </c>
      <c r="AE6429" s="6">
        <v>0.7916666666666666</v>
      </c>
      <c r="AF6429" s="7">
        <v>0.0</v>
      </c>
    </row>
    <row r="6430">
      <c r="G6430" s="5"/>
      <c r="H6430" s="6"/>
      <c r="AD6430" s="5">
        <v>45194.0</v>
      </c>
      <c r="AE6430" s="6">
        <v>0.8333333333333334</v>
      </c>
      <c r="AF6430" s="7">
        <v>0.0</v>
      </c>
    </row>
    <row r="6431">
      <c r="G6431" s="5"/>
      <c r="H6431" s="6"/>
      <c r="AD6431" s="5">
        <v>45194.0</v>
      </c>
      <c r="AE6431" s="6">
        <v>0.875</v>
      </c>
      <c r="AF6431" s="7">
        <v>0.0</v>
      </c>
    </row>
    <row r="6432">
      <c r="G6432" s="5"/>
      <c r="H6432" s="6"/>
      <c r="AD6432" s="5">
        <v>45194.0</v>
      </c>
      <c r="AE6432" s="6">
        <v>0.9166666666666666</v>
      </c>
      <c r="AF6432" s="7">
        <v>0.0</v>
      </c>
    </row>
    <row r="6433">
      <c r="G6433" s="5"/>
      <c r="H6433" s="6"/>
      <c r="AD6433" s="5">
        <v>45194.0</v>
      </c>
      <c r="AE6433" s="6">
        <v>0.9583333333333334</v>
      </c>
      <c r="AF6433" s="7">
        <v>0.0</v>
      </c>
    </row>
    <row r="6434">
      <c r="G6434" s="5"/>
      <c r="H6434" s="6"/>
      <c r="AD6434" s="5">
        <v>45195.0</v>
      </c>
      <c r="AE6434" s="6">
        <v>0.0</v>
      </c>
      <c r="AF6434" s="7">
        <v>0.0</v>
      </c>
    </row>
    <row r="6435">
      <c r="G6435" s="5"/>
      <c r="H6435" s="6"/>
      <c r="AD6435" s="5">
        <v>45195.0</v>
      </c>
      <c r="AE6435" s="6">
        <v>0.041666666666666664</v>
      </c>
      <c r="AF6435" s="7">
        <v>0.0</v>
      </c>
    </row>
    <row r="6436">
      <c r="G6436" s="5"/>
      <c r="H6436" s="6"/>
      <c r="AD6436" s="5">
        <v>45195.0</v>
      </c>
      <c r="AE6436" s="6">
        <v>0.08333333333333333</v>
      </c>
      <c r="AF6436" s="7">
        <v>0.0</v>
      </c>
    </row>
    <row r="6437">
      <c r="G6437" s="5"/>
      <c r="H6437" s="6"/>
      <c r="AD6437" s="5">
        <v>45195.0</v>
      </c>
      <c r="AE6437" s="6">
        <v>0.125</v>
      </c>
      <c r="AF6437" s="7">
        <v>0.0</v>
      </c>
    </row>
    <row r="6438">
      <c r="G6438" s="5"/>
      <c r="H6438" s="6"/>
      <c r="AD6438" s="5">
        <v>45195.0</v>
      </c>
      <c r="AE6438" s="6">
        <v>0.16666666666666666</v>
      </c>
      <c r="AF6438" s="7">
        <v>0.0</v>
      </c>
    </row>
    <row r="6439">
      <c r="G6439" s="5"/>
      <c r="H6439" s="6"/>
      <c r="AD6439" s="5">
        <v>45195.0</v>
      </c>
      <c r="AE6439" s="6">
        <v>0.20833333333333334</v>
      </c>
      <c r="AF6439" s="7">
        <v>0.0</v>
      </c>
    </row>
    <row r="6440">
      <c r="G6440" s="5"/>
      <c r="H6440" s="6"/>
      <c r="AD6440" s="5">
        <v>45195.0</v>
      </c>
      <c r="AE6440" s="6">
        <v>0.25</v>
      </c>
      <c r="AF6440" s="7">
        <v>136.5</v>
      </c>
    </row>
    <row r="6441">
      <c r="G6441" s="5"/>
      <c r="H6441" s="6"/>
      <c r="AD6441" s="5">
        <v>45195.0</v>
      </c>
      <c r="AE6441" s="6">
        <v>0.2916666666666667</v>
      </c>
      <c r="AF6441" s="7">
        <v>11166.48</v>
      </c>
    </row>
    <row r="6442">
      <c r="G6442" s="5"/>
      <c r="H6442" s="6"/>
      <c r="AD6442" s="5">
        <v>45195.0</v>
      </c>
      <c r="AE6442" s="6">
        <v>0.3333333333333333</v>
      </c>
      <c r="AF6442" s="7">
        <v>26364.0</v>
      </c>
    </row>
    <row r="6443">
      <c r="G6443" s="5"/>
      <c r="H6443" s="6"/>
      <c r="AD6443" s="5">
        <v>45195.0</v>
      </c>
      <c r="AE6443" s="6">
        <v>0.375</v>
      </c>
      <c r="AF6443" s="7">
        <v>38402.52</v>
      </c>
    </row>
    <row r="6444">
      <c r="G6444" s="5"/>
      <c r="H6444" s="6"/>
      <c r="AD6444" s="5">
        <v>45195.0</v>
      </c>
      <c r="AE6444" s="6">
        <v>0.4166666666666667</v>
      </c>
      <c r="AF6444" s="7">
        <v>45879.6</v>
      </c>
    </row>
    <row r="6445">
      <c r="G6445" s="5"/>
      <c r="H6445" s="6"/>
      <c r="AD6445" s="5">
        <v>45195.0</v>
      </c>
      <c r="AE6445" s="6">
        <v>0.4583333333333333</v>
      </c>
      <c r="AF6445" s="7">
        <v>50363.82</v>
      </c>
    </row>
    <row r="6446">
      <c r="G6446" s="5"/>
      <c r="H6446" s="6"/>
      <c r="AD6446" s="5">
        <v>45195.0</v>
      </c>
      <c r="AE6446" s="6">
        <v>0.5</v>
      </c>
      <c r="AF6446" s="7">
        <v>49760.88</v>
      </c>
    </row>
    <row r="6447">
      <c r="G6447" s="5"/>
      <c r="H6447" s="6"/>
      <c r="AD6447" s="5">
        <v>45195.0</v>
      </c>
      <c r="AE6447" s="6">
        <v>0.5416666666666666</v>
      </c>
      <c r="AF6447" s="7">
        <v>47758.62</v>
      </c>
    </row>
    <row r="6448">
      <c r="G6448" s="5"/>
      <c r="H6448" s="6"/>
      <c r="AD6448" s="5">
        <v>45195.0</v>
      </c>
      <c r="AE6448" s="6">
        <v>0.5833333333333334</v>
      </c>
      <c r="AF6448" s="7">
        <v>40694.94</v>
      </c>
    </row>
    <row r="6449">
      <c r="G6449" s="5"/>
      <c r="H6449" s="6"/>
      <c r="AD6449" s="5">
        <v>45195.0</v>
      </c>
      <c r="AE6449" s="6">
        <v>0.625</v>
      </c>
      <c r="AF6449" s="7">
        <v>32091.54</v>
      </c>
    </row>
    <row r="6450">
      <c r="G6450" s="5"/>
      <c r="H6450" s="6"/>
      <c r="AD6450" s="5">
        <v>45195.0</v>
      </c>
      <c r="AE6450" s="6">
        <v>0.6666666666666666</v>
      </c>
      <c r="AF6450" s="7">
        <v>18142.8</v>
      </c>
    </row>
    <row r="6451">
      <c r="G6451" s="5"/>
      <c r="H6451" s="6"/>
      <c r="AD6451" s="5">
        <v>45195.0</v>
      </c>
      <c r="AE6451" s="6">
        <v>0.7083333333333334</v>
      </c>
      <c r="AF6451" s="7">
        <v>3852.42</v>
      </c>
    </row>
    <row r="6452">
      <c r="G6452" s="5"/>
      <c r="H6452" s="6"/>
      <c r="AD6452" s="5">
        <v>45195.0</v>
      </c>
      <c r="AE6452" s="6">
        <v>0.75</v>
      </c>
      <c r="AF6452" s="7">
        <v>0.0</v>
      </c>
    </row>
    <row r="6453">
      <c r="G6453" s="5"/>
      <c r="H6453" s="6"/>
      <c r="AD6453" s="5">
        <v>45195.0</v>
      </c>
      <c r="AE6453" s="6">
        <v>0.7916666666666666</v>
      </c>
      <c r="AF6453" s="7">
        <v>0.0</v>
      </c>
    </row>
    <row r="6454">
      <c r="G6454" s="5"/>
      <c r="H6454" s="6"/>
      <c r="AD6454" s="5">
        <v>45195.0</v>
      </c>
      <c r="AE6454" s="6">
        <v>0.8333333333333334</v>
      </c>
      <c r="AF6454" s="7">
        <v>0.0</v>
      </c>
    </row>
    <row r="6455">
      <c r="G6455" s="5"/>
      <c r="H6455" s="6"/>
      <c r="AD6455" s="5">
        <v>45195.0</v>
      </c>
      <c r="AE6455" s="6">
        <v>0.875</v>
      </c>
      <c r="AF6455" s="7">
        <v>0.0</v>
      </c>
    </row>
    <row r="6456">
      <c r="G6456" s="5"/>
      <c r="H6456" s="6"/>
      <c r="AD6456" s="5">
        <v>45195.0</v>
      </c>
      <c r="AE6456" s="6">
        <v>0.9166666666666666</v>
      </c>
      <c r="AF6456" s="7">
        <v>0.0</v>
      </c>
    </row>
    <row r="6457">
      <c r="G6457" s="5"/>
      <c r="H6457" s="6"/>
      <c r="AD6457" s="5">
        <v>45195.0</v>
      </c>
      <c r="AE6457" s="6">
        <v>0.9583333333333334</v>
      </c>
      <c r="AF6457" s="7">
        <v>0.0</v>
      </c>
    </row>
    <row r="6458">
      <c r="G6458" s="5"/>
      <c r="H6458" s="6"/>
      <c r="AD6458" s="5">
        <v>45196.0</v>
      </c>
      <c r="AE6458" s="6">
        <v>0.0</v>
      </c>
      <c r="AF6458" s="7">
        <v>0.0</v>
      </c>
    </row>
    <row r="6459">
      <c r="G6459" s="5"/>
      <c r="H6459" s="6"/>
      <c r="AD6459" s="5">
        <v>45196.0</v>
      </c>
      <c r="AE6459" s="6">
        <v>0.041666666666666664</v>
      </c>
      <c r="AF6459" s="7">
        <v>0.0</v>
      </c>
    </row>
    <row r="6460">
      <c r="G6460" s="5"/>
      <c r="H6460" s="6"/>
      <c r="AD6460" s="5">
        <v>45196.0</v>
      </c>
      <c r="AE6460" s="6">
        <v>0.08333333333333333</v>
      </c>
      <c r="AF6460" s="7">
        <v>0.0</v>
      </c>
    </row>
    <row r="6461">
      <c r="G6461" s="5"/>
      <c r="H6461" s="6"/>
      <c r="AD6461" s="5">
        <v>45196.0</v>
      </c>
      <c r="AE6461" s="6">
        <v>0.125</v>
      </c>
      <c r="AF6461" s="7">
        <v>0.0</v>
      </c>
    </row>
    <row r="6462">
      <c r="G6462" s="5"/>
      <c r="H6462" s="6"/>
      <c r="AD6462" s="5">
        <v>45196.0</v>
      </c>
      <c r="AE6462" s="6">
        <v>0.16666666666666666</v>
      </c>
      <c r="AF6462" s="7">
        <v>0.0</v>
      </c>
    </row>
    <row r="6463">
      <c r="G6463" s="5"/>
      <c r="H6463" s="6"/>
      <c r="AD6463" s="5">
        <v>45196.0</v>
      </c>
      <c r="AE6463" s="6">
        <v>0.20833333333333334</v>
      </c>
      <c r="AF6463" s="7">
        <v>0.0</v>
      </c>
    </row>
    <row r="6464">
      <c r="G6464" s="5"/>
      <c r="H6464" s="6"/>
      <c r="AD6464" s="5">
        <v>45196.0</v>
      </c>
      <c r="AE6464" s="6">
        <v>0.25</v>
      </c>
      <c r="AF6464" s="7">
        <v>0.0</v>
      </c>
    </row>
    <row r="6465">
      <c r="G6465" s="5"/>
      <c r="H6465" s="6"/>
      <c r="AD6465" s="5">
        <v>45196.0</v>
      </c>
      <c r="AE6465" s="6">
        <v>0.2916666666666667</v>
      </c>
      <c r="AF6465" s="7">
        <v>5495.1</v>
      </c>
    </row>
    <row r="6466">
      <c r="G6466" s="5"/>
      <c r="H6466" s="6"/>
      <c r="AD6466" s="5">
        <v>45196.0</v>
      </c>
      <c r="AE6466" s="6">
        <v>0.3333333333333333</v>
      </c>
      <c r="AF6466" s="7">
        <v>8013.72</v>
      </c>
    </row>
    <row r="6467">
      <c r="G6467" s="5"/>
      <c r="H6467" s="6"/>
      <c r="AD6467" s="5">
        <v>45196.0</v>
      </c>
      <c r="AE6467" s="6">
        <v>0.375</v>
      </c>
      <c r="AF6467" s="7">
        <v>8254.74</v>
      </c>
    </row>
    <row r="6468">
      <c r="G6468" s="5"/>
      <c r="H6468" s="6"/>
      <c r="AD6468" s="5">
        <v>45196.0</v>
      </c>
      <c r="AE6468" s="6">
        <v>0.4166666666666667</v>
      </c>
      <c r="AF6468" s="7">
        <v>39580.32</v>
      </c>
    </row>
    <row r="6469">
      <c r="G6469" s="5"/>
      <c r="H6469" s="6"/>
      <c r="AD6469" s="5">
        <v>45196.0</v>
      </c>
      <c r="AE6469" s="6">
        <v>0.4583333333333333</v>
      </c>
      <c r="AF6469" s="7">
        <v>50937.12</v>
      </c>
    </row>
    <row r="6470">
      <c r="G6470" s="5"/>
      <c r="H6470" s="6"/>
      <c r="AD6470" s="5">
        <v>45196.0</v>
      </c>
      <c r="AE6470" s="6">
        <v>0.5</v>
      </c>
      <c r="AF6470" s="7">
        <v>50398.92</v>
      </c>
    </row>
    <row r="6471">
      <c r="G6471" s="5"/>
      <c r="H6471" s="6"/>
      <c r="AD6471" s="5">
        <v>45196.0</v>
      </c>
      <c r="AE6471" s="6">
        <v>0.5416666666666666</v>
      </c>
      <c r="AF6471" s="7">
        <v>46870.2</v>
      </c>
    </row>
    <row r="6472">
      <c r="G6472" s="5"/>
      <c r="H6472" s="6"/>
      <c r="AD6472" s="5">
        <v>45196.0</v>
      </c>
      <c r="AE6472" s="6">
        <v>0.5833333333333334</v>
      </c>
      <c r="AF6472" s="7">
        <v>39592.02</v>
      </c>
    </row>
    <row r="6473">
      <c r="G6473" s="5"/>
      <c r="H6473" s="6"/>
      <c r="AD6473" s="5">
        <v>45196.0</v>
      </c>
      <c r="AE6473" s="6">
        <v>0.625</v>
      </c>
      <c r="AF6473" s="7">
        <v>17361.24</v>
      </c>
    </row>
    <row r="6474">
      <c r="G6474" s="5"/>
      <c r="H6474" s="6"/>
      <c r="AD6474" s="5">
        <v>45196.0</v>
      </c>
      <c r="AE6474" s="6">
        <v>0.6666666666666666</v>
      </c>
      <c r="AF6474" s="7">
        <v>6699.42</v>
      </c>
    </row>
    <row r="6475">
      <c r="G6475" s="5"/>
      <c r="H6475" s="6"/>
      <c r="AD6475" s="5">
        <v>45196.0</v>
      </c>
      <c r="AE6475" s="6">
        <v>0.7083333333333334</v>
      </c>
      <c r="AF6475" s="7">
        <v>1204.32</v>
      </c>
    </row>
    <row r="6476">
      <c r="G6476" s="5"/>
      <c r="H6476" s="6"/>
      <c r="AD6476" s="5">
        <v>45196.0</v>
      </c>
      <c r="AE6476" s="6">
        <v>0.75</v>
      </c>
      <c r="AF6476" s="7">
        <v>0.0</v>
      </c>
    </row>
    <row r="6477">
      <c r="G6477" s="5"/>
      <c r="H6477" s="6"/>
      <c r="AD6477" s="5">
        <v>45196.0</v>
      </c>
      <c r="AE6477" s="6">
        <v>0.7916666666666666</v>
      </c>
      <c r="AF6477" s="7">
        <v>0.0</v>
      </c>
    </row>
    <row r="6478">
      <c r="G6478" s="5"/>
      <c r="H6478" s="6"/>
      <c r="AD6478" s="5">
        <v>45196.0</v>
      </c>
      <c r="AE6478" s="6">
        <v>0.8333333333333334</v>
      </c>
      <c r="AF6478" s="7">
        <v>0.0</v>
      </c>
    </row>
    <row r="6479">
      <c r="G6479" s="5"/>
      <c r="H6479" s="6"/>
      <c r="AD6479" s="5">
        <v>45196.0</v>
      </c>
      <c r="AE6479" s="6">
        <v>0.875</v>
      </c>
      <c r="AF6479" s="7">
        <v>0.0</v>
      </c>
    </row>
    <row r="6480">
      <c r="G6480" s="5"/>
      <c r="H6480" s="6"/>
      <c r="AD6480" s="5">
        <v>45196.0</v>
      </c>
      <c r="AE6480" s="6">
        <v>0.9166666666666666</v>
      </c>
      <c r="AF6480" s="7">
        <v>0.0</v>
      </c>
    </row>
    <row r="6481">
      <c r="G6481" s="5"/>
      <c r="H6481" s="6"/>
      <c r="AD6481" s="5">
        <v>45196.0</v>
      </c>
      <c r="AE6481" s="6">
        <v>0.9583333333333334</v>
      </c>
      <c r="AF6481" s="7">
        <v>0.0</v>
      </c>
    </row>
    <row r="6482">
      <c r="G6482" s="5"/>
      <c r="H6482" s="6"/>
      <c r="AD6482" s="5">
        <v>45197.0</v>
      </c>
      <c r="AE6482" s="6">
        <v>0.0</v>
      </c>
      <c r="AF6482" s="7">
        <v>0.0</v>
      </c>
    </row>
    <row r="6483">
      <c r="G6483" s="5"/>
      <c r="H6483" s="6"/>
      <c r="AD6483" s="5">
        <v>45197.0</v>
      </c>
      <c r="AE6483" s="6">
        <v>0.041666666666666664</v>
      </c>
      <c r="AF6483" s="7">
        <v>0.0</v>
      </c>
    </row>
    <row r="6484">
      <c r="G6484" s="5"/>
      <c r="H6484" s="6"/>
      <c r="AD6484" s="5">
        <v>45197.0</v>
      </c>
      <c r="AE6484" s="6">
        <v>0.08333333333333333</v>
      </c>
      <c r="AF6484" s="7">
        <v>0.0</v>
      </c>
    </row>
    <row r="6485">
      <c r="G6485" s="5"/>
      <c r="H6485" s="6"/>
      <c r="AD6485" s="5">
        <v>45197.0</v>
      </c>
      <c r="AE6485" s="6">
        <v>0.125</v>
      </c>
      <c r="AF6485" s="7">
        <v>0.0</v>
      </c>
    </row>
    <row r="6486">
      <c r="G6486" s="5"/>
      <c r="H6486" s="6"/>
      <c r="AD6486" s="5">
        <v>45197.0</v>
      </c>
      <c r="AE6486" s="6">
        <v>0.16666666666666666</v>
      </c>
      <c r="AF6486" s="7">
        <v>0.0</v>
      </c>
    </row>
    <row r="6487">
      <c r="G6487" s="5"/>
      <c r="H6487" s="6"/>
      <c r="AD6487" s="5">
        <v>45197.0</v>
      </c>
      <c r="AE6487" s="6">
        <v>0.20833333333333334</v>
      </c>
      <c r="AF6487" s="7">
        <v>0.0</v>
      </c>
    </row>
    <row r="6488">
      <c r="G6488" s="5"/>
      <c r="H6488" s="6"/>
      <c r="AD6488" s="5">
        <v>45197.0</v>
      </c>
      <c r="AE6488" s="6">
        <v>0.25</v>
      </c>
      <c r="AF6488" s="7">
        <v>0.0</v>
      </c>
    </row>
    <row r="6489">
      <c r="G6489" s="5"/>
      <c r="H6489" s="6"/>
      <c r="AD6489" s="5">
        <v>45197.0</v>
      </c>
      <c r="AE6489" s="6">
        <v>0.2916666666666667</v>
      </c>
      <c r="AF6489" s="7">
        <v>10809.24</v>
      </c>
    </row>
    <row r="6490">
      <c r="G6490" s="5"/>
      <c r="H6490" s="6"/>
      <c r="AD6490" s="5">
        <v>45197.0</v>
      </c>
      <c r="AE6490" s="6">
        <v>0.3333333333333333</v>
      </c>
      <c r="AF6490" s="7">
        <v>25160.46</v>
      </c>
    </row>
    <row r="6491">
      <c r="G6491" s="5"/>
      <c r="H6491" s="6"/>
      <c r="AD6491" s="5">
        <v>45197.0</v>
      </c>
      <c r="AE6491" s="6">
        <v>0.375</v>
      </c>
      <c r="AF6491" s="7">
        <v>37420.5</v>
      </c>
    </row>
    <row r="6492">
      <c r="G6492" s="5"/>
      <c r="H6492" s="6"/>
      <c r="AD6492" s="5">
        <v>45197.0</v>
      </c>
      <c r="AE6492" s="6">
        <v>0.4166666666666667</v>
      </c>
      <c r="AF6492" s="7">
        <v>45082.44</v>
      </c>
    </row>
    <row r="6493">
      <c r="G6493" s="5"/>
      <c r="H6493" s="6"/>
      <c r="AD6493" s="5">
        <v>45197.0</v>
      </c>
      <c r="AE6493" s="6">
        <v>0.4583333333333333</v>
      </c>
      <c r="AF6493" s="7">
        <v>49328.76</v>
      </c>
    </row>
    <row r="6494">
      <c r="G6494" s="5"/>
      <c r="H6494" s="6"/>
      <c r="AD6494" s="5">
        <v>45197.0</v>
      </c>
      <c r="AE6494" s="6">
        <v>0.5</v>
      </c>
      <c r="AF6494" s="7">
        <v>48586.2</v>
      </c>
    </row>
    <row r="6495">
      <c r="G6495" s="5"/>
      <c r="H6495" s="6"/>
      <c r="AD6495" s="5">
        <v>45197.0</v>
      </c>
      <c r="AE6495" s="6">
        <v>0.5416666666666666</v>
      </c>
      <c r="AF6495" s="7">
        <v>46576.92</v>
      </c>
    </row>
    <row r="6496">
      <c r="G6496" s="5"/>
      <c r="H6496" s="6"/>
      <c r="AD6496" s="5">
        <v>45197.0</v>
      </c>
      <c r="AE6496" s="6">
        <v>0.5833333333333334</v>
      </c>
      <c r="AF6496" s="7">
        <v>40435.98</v>
      </c>
    </row>
    <row r="6497">
      <c r="G6497" s="5"/>
      <c r="H6497" s="6"/>
      <c r="AD6497" s="5">
        <v>45197.0</v>
      </c>
      <c r="AE6497" s="6">
        <v>0.625</v>
      </c>
      <c r="AF6497" s="7">
        <v>30008.94</v>
      </c>
    </row>
    <row r="6498">
      <c r="G6498" s="5"/>
      <c r="H6498" s="6"/>
      <c r="AD6498" s="5">
        <v>45197.0</v>
      </c>
      <c r="AE6498" s="6">
        <v>0.6666666666666666</v>
      </c>
      <c r="AF6498" s="7">
        <v>17058.6</v>
      </c>
    </row>
    <row r="6499">
      <c r="G6499" s="5"/>
      <c r="H6499" s="6"/>
      <c r="AD6499" s="5">
        <v>45197.0</v>
      </c>
      <c r="AE6499" s="6">
        <v>0.7083333333333334</v>
      </c>
      <c r="AF6499" s="7">
        <v>3125.46</v>
      </c>
    </row>
    <row r="6500">
      <c r="G6500" s="5"/>
      <c r="H6500" s="6"/>
      <c r="AD6500" s="5">
        <v>45197.0</v>
      </c>
      <c r="AE6500" s="6">
        <v>0.75</v>
      </c>
      <c r="AF6500" s="7">
        <v>0.0</v>
      </c>
    </row>
    <row r="6501">
      <c r="G6501" s="5"/>
      <c r="H6501" s="6"/>
      <c r="AD6501" s="5">
        <v>45197.0</v>
      </c>
      <c r="AE6501" s="6">
        <v>0.7916666666666666</v>
      </c>
      <c r="AF6501" s="7">
        <v>0.0</v>
      </c>
    </row>
    <row r="6502">
      <c r="G6502" s="5"/>
      <c r="H6502" s="6"/>
      <c r="AD6502" s="5">
        <v>45197.0</v>
      </c>
      <c r="AE6502" s="6">
        <v>0.8333333333333334</v>
      </c>
      <c r="AF6502" s="7">
        <v>0.0</v>
      </c>
    </row>
    <row r="6503">
      <c r="G6503" s="5"/>
      <c r="H6503" s="6"/>
      <c r="AD6503" s="5">
        <v>45197.0</v>
      </c>
      <c r="AE6503" s="6">
        <v>0.875</v>
      </c>
      <c r="AF6503" s="7">
        <v>0.0</v>
      </c>
    </row>
    <row r="6504">
      <c r="G6504" s="5"/>
      <c r="H6504" s="6"/>
      <c r="AD6504" s="5">
        <v>45197.0</v>
      </c>
      <c r="AE6504" s="6">
        <v>0.9166666666666666</v>
      </c>
      <c r="AF6504" s="7">
        <v>0.0</v>
      </c>
    </row>
    <row r="6505">
      <c r="G6505" s="5"/>
      <c r="H6505" s="6"/>
      <c r="AD6505" s="5">
        <v>45197.0</v>
      </c>
      <c r="AE6505" s="6">
        <v>0.9583333333333334</v>
      </c>
      <c r="AF6505" s="7">
        <v>0.0</v>
      </c>
    </row>
    <row r="6506">
      <c r="G6506" s="5"/>
      <c r="H6506" s="6"/>
      <c r="AD6506" s="5">
        <v>45198.0</v>
      </c>
      <c r="AE6506" s="6">
        <v>0.0</v>
      </c>
      <c r="AF6506" s="7">
        <v>0.0</v>
      </c>
    </row>
    <row r="6507">
      <c r="G6507" s="5"/>
      <c r="H6507" s="6"/>
      <c r="AD6507" s="5">
        <v>45198.0</v>
      </c>
      <c r="AE6507" s="6">
        <v>0.041666666666666664</v>
      </c>
      <c r="AF6507" s="7">
        <v>0.0</v>
      </c>
    </row>
    <row r="6508">
      <c r="G6508" s="5"/>
      <c r="H6508" s="6"/>
      <c r="AD6508" s="5">
        <v>45198.0</v>
      </c>
      <c r="AE6508" s="6">
        <v>0.08333333333333333</v>
      </c>
      <c r="AF6508" s="7">
        <v>0.0</v>
      </c>
    </row>
    <row r="6509">
      <c r="G6509" s="5"/>
      <c r="H6509" s="6"/>
      <c r="AD6509" s="5">
        <v>45198.0</v>
      </c>
      <c r="AE6509" s="6">
        <v>0.125</v>
      </c>
      <c r="AF6509" s="7">
        <v>0.0</v>
      </c>
    </row>
    <row r="6510">
      <c r="G6510" s="5"/>
      <c r="H6510" s="6"/>
      <c r="AD6510" s="5">
        <v>45198.0</v>
      </c>
      <c r="AE6510" s="6">
        <v>0.16666666666666666</v>
      </c>
      <c r="AF6510" s="7">
        <v>0.0</v>
      </c>
    </row>
    <row r="6511">
      <c r="G6511" s="5"/>
      <c r="H6511" s="6"/>
      <c r="AD6511" s="5">
        <v>45198.0</v>
      </c>
      <c r="AE6511" s="6">
        <v>0.20833333333333334</v>
      </c>
      <c r="AF6511" s="7">
        <v>0.0</v>
      </c>
    </row>
    <row r="6512">
      <c r="G6512" s="5"/>
      <c r="H6512" s="6"/>
      <c r="AD6512" s="5">
        <v>45198.0</v>
      </c>
      <c r="AE6512" s="6">
        <v>0.25</v>
      </c>
      <c r="AF6512" s="7">
        <v>0.0</v>
      </c>
    </row>
    <row r="6513">
      <c r="G6513" s="5"/>
      <c r="H6513" s="6"/>
      <c r="AD6513" s="5">
        <v>45198.0</v>
      </c>
      <c r="AE6513" s="6">
        <v>0.2916666666666667</v>
      </c>
      <c r="AF6513" s="7">
        <v>10805.34</v>
      </c>
    </row>
    <row r="6514">
      <c r="G6514" s="5"/>
      <c r="H6514" s="6"/>
      <c r="AD6514" s="5">
        <v>45198.0</v>
      </c>
      <c r="AE6514" s="6">
        <v>0.3333333333333333</v>
      </c>
      <c r="AF6514" s="7">
        <v>25375.74</v>
      </c>
    </row>
    <row r="6515">
      <c r="G6515" s="5"/>
      <c r="H6515" s="6"/>
      <c r="AD6515" s="5">
        <v>45198.0</v>
      </c>
      <c r="AE6515" s="6">
        <v>0.375</v>
      </c>
      <c r="AF6515" s="7">
        <v>36875.28</v>
      </c>
    </row>
    <row r="6516">
      <c r="G6516" s="5"/>
      <c r="H6516" s="6"/>
      <c r="AD6516" s="5">
        <v>45198.0</v>
      </c>
      <c r="AE6516" s="6">
        <v>0.4166666666666667</v>
      </c>
      <c r="AF6516" s="7">
        <v>44004.48</v>
      </c>
    </row>
    <row r="6517">
      <c r="G6517" s="5"/>
      <c r="H6517" s="6"/>
      <c r="AD6517" s="5">
        <v>45198.0</v>
      </c>
      <c r="AE6517" s="6">
        <v>0.4583333333333333</v>
      </c>
      <c r="AF6517" s="7">
        <v>48080.76</v>
      </c>
    </row>
    <row r="6518">
      <c r="G6518" s="5"/>
      <c r="H6518" s="6"/>
      <c r="AD6518" s="5">
        <v>45198.0</v>
      </c>
      <c r="AE6518" s="6">
        <v>0.5</v>
      </c>
      <c r="AF6518" s="7">
        <v>47739.9</v>
      </c>
    </row>
    <row r="6519">
      <c r="G6519" s="5"/>
      <c r="H6519" s="6"/>
      <c r="AD6519" s="5">
        <v>45198.0</v>
      </c>
      <c r="AE6519" s="6">
        <v>0.5416666666666666</v>
      </c>
      <c r="AF6519" s="7">
        <v>45765.72</v>
      </c>
    </row>
    <row r="6520">
      <c r="G6520" s="5"/>
      <c r="H6520" s="6"/>
      <c r="AD6520" s="5">
        <v>45198.0</v>
      </c>
      <c r="AE6520" s="6">
        <v>0.5833333333333334</v>
      </c>
      <c r="AF6520" s="7">
        <v>39606.84</v>
      </c>
    </row>
    <row r="6521">
      <c r="G6521" s="5"/>
      <c r="H6521" s="6"/>
      <c r="AD6521" s="5">
        <v>45198.0</v>
      </c>
      <c r="AE6521" s="6">
        <v>0.625</v>
      </c>
      <c r="AF6521" s="7">
        <v>29602.56</v>
      </c>
    </row>
    <row r="6522">
      <c r="G6522" s="5"/>
      <c r="H6522" s="6"/>
      <c r="AD6522" s="5">
        <v>45198.0</v>
      </c>
      <c r="AE6522" s="6">
        <v>0.6666666666666666</v>
      </c>
      <c r="AF6522" s="7">
        <v>16624.92</v>
      </c>
    </row>
    <row r="6523">
      <c r="G6523" s="5"/>
      <c r="H6523" s="6"/>
      <c r="AD6523" s="5">
        <v>45198.0</v>
      </c>
      <c r="AE6523" s="6">
        <v>0.7083333333333334</v>
      </c>
      <c r="AF6523" s="7">
        <v>3009.24</v>
      </c>
    </row>
    <row r="6524">
      <c r="G6524" s="5"/>
      <c r="H6524" s="6"/>
      <c r="AD6524" s="5">
        <v>45198.0</v>
      </c>
      <c r="AE6524" s="6">
        <v>0.75</v>
      </c>
      <c r="AF6524" s="7">
        <v>0.0</v>
      </c>
    </row>
    <row r="6525">
      <c r="G6525" s="5"/>
      <c r="H6525" s="6"/>
      <c r="AD6525" s="5">
        <v>45198.0</v>
      </c>
      <c r="AE6525" s="6">
        <v>0.7916666666666666</v>
      </c>
      <c r="AF6525" s="7">
        <v>0.0</v>
      </c>
    </row>
    <row r="6526">
      <c r="G6526" s="5"/>
      <c r="H6526" s="6"/>
      <c r="AD6526" s="5">
        <v>45198.0</v>
      </c>
      <c r="AE6526" s="6">
        <v>0.8333333333333334</v>
      </c>
      <c r="AF6526" s="7">
        <v>0.0</v>
      </c>
    </row>
    <row r="6527">
      <c r="G6527" s="5"/>
      <c r="H6527" s="6"/>
      <c r="AD6527" s="5">
        <v>45198.0</v>
      </c>
      <c r="AE6527" s="6">
        <v>0.875</v>
      </c>
      <c r="AF6527" s="7">
        <v>0.0</v>
      </c>
    </row>
    <row r="6528">
      <c r="G6528" s="5"/>
      <c r="H6528" s="6"/>
      <c r="AD6528" s="5">
        <v>45198.0</v>
      </c>
      <c r="AE6528" s="6">
        <v>0.9166666666666666</v>
      </c>
      <c r="AF6528" s="7">
        <v>0.0</v>
      </c>
    </row>
    <row r="6529">
      <c r="G6529" s="5"/>
      <c r="H6529" s="6"/>
      <c r="AD6529" s="5">
        <v>45198.0</v>
      </c>
      <c r="AE6529" s="6">
        <v>0.9583333333333334</v>
      </c>
      <c r="AF6529" s="7">
        <v>0.0</v>
      </c>
    </row>
    <row r="6530">
      <c r="G6530" s="5"/>
      <c r="H6530" s="6"/>
      <c r="AD6530" s="5">
        <v>45199.0</v>
      </c>
      <c r="AE6530" s="6">
        <v>0.0</v>
      </c>
      <c r="AF6530" s="7">
        <v>0.0</v>
      </c>
    </row>
    <row r="6531">
      <c r="G6531" s="5"/>
      <c r="H6531" s="6"/>
      <c r="AD6531" s="5">
        <v>45199.0</v>
      </c>
      <c r="AE6531" s="6">
        <v>0.041666666666666664</v>
      </c>
      <c r="AF6531" s="7">
        <v>0.0</v>
      </c>
    </row>
    <row r="6532">
      <c r="G6532" s="5"/>
      <c r="H6532" s="6"/>
      <c r="AD6532" s="5">
        <v>45199.0</v>
      </c>
      <c r="AE6532" s="6">
        <v>0.08333333333333333</v>
      </c>
      <c r="AF6532" s="7">
        <v>0.0</v>
      </c>
    </row>
    <row r="6533">
      <c r="G6533" s="5"/>
      <c r="H6533" s="6"/>
      <c r="AD6533" s="5">
        <v>45199.0</v>
      </c>
      <c r="AE6533" s="6">
        <v>0.125</v>
      </c>
      <c r="AF6533" s="7">
        <v>0.0</v>
      </c>
    </row>
    <row r="6534">
      <c r="G6534" s="5"/>
      <c r="H6534" s="6"/>
      <c r="AD6534" s="5">
        <v>45199.0</v>
      </c>
      <c r="AE6534" s="6">
        <v>0.16666666666666666</v>
      </c>
      <c r="AF6534" s="7">
        <v>0.0</v>
      </c>
    </row>
    <row r="6535">
      <c r="G6535" s="5"/>
      <c r="H6535" s="6"/>
      <c r="AD6535" s="5">
        <v>45199.0</v>
      </c>
      <c r="AE6535" s="6">
        <v>0.20833333333333334</v>
      </c>
      <c r="AF6535" s="7">
        <v>0.0</v>
      </c>
    </row>
    <row r="6536">
      <c r="G6536" s="5"/>
      <c r="H6536" s="6"/>
      <c r="AD6536" s="5">
        <v>45199.0</v>
      </c>
      <c r="AE6536" s="6">
        <v>0.25</v>
      </c>
      <c r="AF6536" s="7">
        <v>0.0</v>
      </c>
    </row>
    <row r="6537">
      <c r="G6537" s="5"/>
      <c r="H6537" s="6"/>
      <c r="AD6537" s="5">
        <v>45199.0</v>
      </c>
      <c r="AE6537" s="6">
        <v>0.2916666666666667</v>
      </c>
      <c r="AF6537" s="7">
        <v>10810.8</v>
      </c>
    </row>
    <row r="6538">
      <c r="G6538" s="5"/>
      <c r="H6538" s="6"/>
      <c r="AD6538" s="5">
        <v>45199.0</v>
      </c>
      <c r="AE6538" s="6">
        <v>0.3333333333333333</v>
      </c>
      <c r="AF6538" s="7">
        <v>25172.16</v>
      </c>
    </row>
    <row r="6539">
      <c r="G6539" s="5"/>
      <c r="H6539" s="6"/>
      <c r="AD6539" s="5">
        <v>45199.0</v>
      </c>
      <c r="AE6539" s="6">
        <v>0.375</v>
      </c>
      <c r="AF6539" s="7">
        <v>36702.9</v>
      </c>
    </row>
    <row r="6540">
      <c r="G6540" s="5"/>
      <c r="H6540" s="6"/>
      <c r="AD6540" s="5">
        <v>45199.0</v>
      </c>
      <c r="AE6540" s="6">
        <v>0.4166666666666667</v>
      </c>
      <c r="AF6540" s="7">
        <v>43836.0</v>
      </c>
    </row>
    <row r="6541">
      <c r="G6541" s="5"/>
      <c r="H6541" s="6"/>
      <c r="AD6541" s="5">
        <v>45199.0</v>
      </c>
      <c r="AE6541" s="6">
        <v>0.4583333333333333</v>
      </c>
      <c r="AF6541" s="7">
        <v>46536.36</v>
      </c>
    </row>
    <row r="6542">
      <c r="G6542" s="5"/>
      <c r="H6542" s="6"/>
      <c r="AD6542" s="5">
        <v>45199.0</v>
      </c>
      <c r="AE6542" s="6">
        <v>0.5</v>
      </c>
      <c r="AF6542" s="7">
        <v>46332.0</v>
      </c>
    </row>
    <row r="6543">
      <c r="G6543" s="5"/>
      <c r="H6543" s="6"/>
      <c r="AD6543" s="5">
        <v>45199.0</v>
      </c>
      <c r="AE6543" s="6">
        <v>0.5416666666666666</v>
      </c>
      <c r="AF6543" s="7">
        <v>45255.6</v>
      </c>
    </row>
    <row r="6544">
      <c r="G6544" s="5"/>
      <c r="H6544" s="6"/>
      <c r="AD6544" s="5">
        <v>45199.0</v>
      </c>
      <c r="AE6544" s="6">
        <v>0.5833333333333334</v>
      </c>
      <c r="AF6544" s="7">
        <v>38914.98</v>
      </c>
    </row>
    <row r="6545">
      <c r="G6545" s="5"/>
      <c r="H6545" s="6"/>
      <c r="AD6545" s="5">
        <v>45199.0</v>
      </c>
      <c r="AE6545" s="6">
        <v>0.625</v>
      </c>
      <c r="AF6545" s="7">
        <v>28835.04</v>
      </c>
    </row>
    <row r="6546">
      <c r="G6546" s="5"/>
      <c r="H6546" s="6"/>
      <c r="AD6546" s="5">
        <v>45199.0</v>
      </c>
      <c r="AE6546" s="6">
        <v>0.6666666666666666</v>
      </c>
      <c r="AF6546" s="7">
        <v>16259.1</v>
      </c>
    </row>
    <row r="6547">
      <c r="G6547" s="5"/>
      <c r="H6547" s="6"/>
      <c r="AD6547" s="5">
        <v>45199.0</v>
      </c>
      <c r="AE6547" s="6">
        <v>0.7083333333333334</v>
      </c>
      <c r="AF6547" s="7">
        <v>2773.68</v>
      </c>
    </row>
    <row r="6548">
      <c r="G6548" s="5"/>
      <c r="H6548" s="6"/>
      <c r="AD6548" s="5">
        <v>45199.0</v>
      </c>
      <c r="AE6548" s="6">
        <v>0.75</v>
      </c>
      <c r="AF6548" s="7">
        <v>0.0</v>
      </c>
    </row>
    <row r="6549">
      <c r="G6549" s="5"/>
      <c r="H6549" s="6"/>
      <c r="AD6549" s="5">
        <v>45199.0</v>
      </c>
      <c r="AE6549" s="6">
        <v>0.7916666666666666</v>
      </c>
      <c r="AF6549" s="7">
        <v>0.0</v>
      </c>
    </row>
    <row r="6550">
      <c r="G6550" s="5"/>
      <c r="H6550" s="6"/>
      <c r="AD6550" s="5">
        <v>45199.0</v>
      </c>
      <c r="AE6550" s="6">
        <v>0.8333333333333334</v>
      </c>
      <c r="AF6550" s="7">
        <v>0.0</v>
      </c>
    </row>
    <row r="6551">
      <c r="G6551" s="5"/>
      <c r="H6551" s="6"/>
      <c r="AD6551" s="5">
        <v>45199.0</v>
      </c>
      <c r="AE6551" s="6">
        <v>0.875</v>
      </c>
      <c r="AF6551" s="7">
        <v>0.0</v>
      </c>
    </row>
    <row r="6552">
      <c r="G6552" s="5"/>
      <c r="H6552" s="6"/>
      <c r="AD6552" s="5">
        <v>45199.0</v>
      </c>
      <c r="AE6552" s="6">
        <v>0.9166666666666666</v>
      </c>
      <c r="AF6552" s="7">
        <v>0.0</v>
      </c>
    </row>
    <row r="6553">
      <c r="G6553" s="5"/>
      <c r="H6553" s="6"/>
      <c r="AD6553" s="5">
        <v>45199.0</v>
      </c>
      <c r="AE6553" s="6">
        <v>0.9583333333333334</v>
      </c>
      <c r="AF6553" s="7">
        <v>0.0</v>
      </c>
    </row>
    <row r="6554">
      <c r="G6554" s="5"/>
      <c r="H6554" s="6"/>
      <c r="AD6554" s="5">
        <v>45200.0</v>
      </c>
      <c r="AE6554" s="6">
        <v>0.0</v>
      </c>
      <c r="AF6554" s="7">
        <v>0.0</v>
      </c>
    </row>
    <row r="6555">
      <c r="G6555" s="5"/>
      <c r="H6555" s="6"/>
      <c r="AD6555" s="5">
        <v>45200.0</v>
      </c>
      <c r="AE6555" s="6">
        <v>0.041666666666666664</v>
      </c>
      <c r="AF6555" s="7">
        <v>0.0</v>
      </c>
    </row>
    <row r="6556">
      <c r="G6556" s="5"/>
      <c r="H6556" s="6"/>
      <c r="AD6556" s="5">
        <v>45200.0</v>
      </c>
      <c r="AE6556" s="6">
        <v>0.08333333333333333</v>
      </c>
      <c r="AF6556" s="7">
        <v>0.0</v>
      </c>
    </row>
    <row r="6557">
      <c r="G6557" s="5"/>
      <c r="H6557" s="6"/>
      <c r="AD6557" s="5">
        <v>45200.0</v>
      </c>
      <c r="AE6557" s="6">
        <v>0.125</v>
      </c>
      <c r="AF6557" s="7">
        <v>0.0</v>
      </c>
    </row>
    <row r="6558">
      <c r="G6558" s="5"/>
      <c r="H6558" s="6"/>
      <c r="AD6558" s="5">
        <v>45200.0</v>
      </c>
      <c r="AE6558" s="6">
        <v>0.16666666666666666</v>
      </c>
      <c r="AF6558" s="7">
        <v>0.0</v>
      </c>
    </row>
    <row r="6559">
      <c r="G6559" s="5"/>
      <c r="H6559" s="6"/>
      <c r="AD6559" s="5">
        <v>45200.0</v>
      </c>
      <c r="AE6559" s="6">
        <v>0.20833333333333334</v>
      </c>
      <c r="AF6559" s="7">
        <v>0.0</v>
      </c>
    </row>
    <row r="6560">
      <c r="G6560" s="5"/>
      <c r="H6560" s="6"/>
      <c r="AD6560" s="5">
        <v>45200.0</v>
      </c>
      <c r="AE6560" s="6">
        <v>0.25</v>
      </c>
      <c r="AF6560" s="7">
        <v>0.0</v>
      </c>
    </row>
    <row r="6561">
      <c r="G6561" s="5"/>
      <c r="H6561" s="6"/>
      <c r="AD6561" s="5">
        <v>45200.0</v>
      </c>
      <c r="AE6561" s="6">
        <v>0.2916666666666667</v>
      </c>
      <c r="AF6561" s="7">
        <v>10902.06</v>
      </c>
    </row>
    <row r="6562">
      <c r="G6562" s="5"/>
      <c r="H6562" s="6"/>
      <c r="AD6562" s="5">
        <v>45200.0</v>
      </c>
      <c r="AE6562" s="6">
        <v>0.3333333333333333</v>
      </c>
      <c r="AF6562" s="7">
        <v>25318.8</v>
      </c>
    </row>
    <row r="6563">
      <c r="G6563" s="5"/>
      <c r="H6563" s="6"/>
      <c r="AD6563" s="5">
        <v>45200.0</v>
      </c>
      <c r="AE6563" s="6">
        <v>0.375</v>
      </c>
      <c r="AF6563" s="7">
        <v>36539.88</v>
      </c>
    </row>
    <row r="6564">
      <c r="G6564" s="5"/>
      <c r="H6564" s="6"/>
      <c r="AD6564" s="5">
        <v>45200.0</v>
      </c>
      <c r="AE6564" s="6">
        <v>0.4166666666666667</v>
      </c>
      <c r="AF6564" s="7">
        <v>44109.78</v>
      </c>
    </row>
    <row r="6565">
      <c r="G6565" s="5"/>
      <c r="H6565" s="6"/>
      <c r="AD6565" s="5">
        <v>45200.0</v>
      </c>
      <c r="AE6565" s="6">
        <v>0.4583333333333333</v>
      </c>
      <c r="AF6565" s="7">
        <v>48047.22</v>
      </c>
    </row>
    <row r="6566">
      <c r="G6566" s="5"/>
      <c r="H6566" s="6"/>
      <c r="AD6566" s="5">
        <v>45200.0</v>
      </c>
      <c r="AE6566" s="6">
        <v>0.5</v>
      </c>
      <c r="AF6566" s="7">
        <v>47323.38</v>
      </c>
    </row>
    <row r="6567">
      <c r="G6567" s="5"/>
      <c r="H6567" s="6"/>
      <c r="AD6567" s="5">
        <v>45200.0</v>
      </c>
      <c r="AE6567" s="6">
        <v>0.5416666666666666</v>
      </c>
      <c r="AF6567" s="7">
        <v>46388.16</v>
      </c>
    </row>
    <row r="6568">
      <c r="G6568" s="5"/>
      <c r="H6568" s="6"/>
      <c r="AD6568" s="5">
        <v>45200.0</v>
      </c>
      <c r="AE6568" s="6">
        <v>0.5833333333333334</v>
      </c>
      <c r="AF6568" s="7">
        <v>39481.26</v>
      </c>
    </row>
    <row r="6569">
      <c r="G6569" s="5"/>
      <c r="H6569" s="6"/>
      <c r="AD6569" s="5">
        <v>45200.0</v>
      </c>
      <c r="AE6569" s="6">
        <v>0.625</v>
      </c>
      <c r="AF6569" s="7">
        <v>29384.16</v>
      </c>
    </row>
    <row r="6570">
      <c r="G6570" s="5"/>
      <c r="H6570" s="6"/>
      <c r="AD6570" s="5">
        <v>45200.0</v>
      </c>
      <c r="AE6570" s="6">
        <v>0.6666666666666666</v>
      </c>
      <c r="AF6570" s="7">
        <v>16297.32</v>
      </c>
    </row>
    <row r="6571">
      <c r="G6571" s="5"/>
      <c r="H6571" s="6"/>
      <c r="AD6571" s="5">
        <v>45200.0</v>
      </c>
      <c r="AE6571" s="6">
        <v>0.7083333333333334</v>
      </c>
      <c r="AF6571" s="7">
        <v>2677.74</v>
      </c>
    </row>
    <row r="6572">
      <c r="G6572" s="5"/>
      <c r="H6572" s="6"/>
      <c r="AD6572" s="5">
        <v>45200.0</v>
      </c>
      <c r="AE6572" s="6">
        <v>0.75</v>
      </c>
      <c r="AF6572" s="7">
        <v>0.0</v>
      </c>
    </row>
    <row r="6573">
      <c r="G6573" s="5"/>
      <c r="H6573" s="6"/>
      <c r="AD6573" s="5">
        <v>45200.0</v>
      </c>
      <c r="AE6573" s="6">
        <v>0.7916666666666666</v>
      </c>
      <c r="AF6573" s="7">
        <v>0.0</v>
      </c>
    </row>
    <row r="6574">
      <c r="G6574" s="5"/>
      <c r="H6574" s="6"/>
      <c r="AD6574" s="5">
        <v>45200.0</v>
      </c>
      <c r="AE6574" s="6">
        <v>0.8333333333333334</v>
      </c>
      <c r="AF6574" s="7">
        <v>0.0</v>
      </c>
    </row>
    <row r="6575">
      <c r="G6575" s="5"/>
      <c r="H6575" s="6"/>
      <c r="AD6575" s="5">
        <v>45200.0</v>
      </c>
      <c r="AE6575" s="6">
        <v>0.875</v>
      </c>
      <c r="AF6575" s="7">
        <v>0.0</v>
      </c>
    </row>
    <row r="6576">
      <c r="G6576" s="5"/>
      <c r="H6576" s="6"/>
      <c r="AD6576" s="5">
        <v>45200.0</v>
      </c>
      <c r="AE6576" s="6">
        <v>0.9166666666666666</v>
      </c>
      <c r="AF6576" s="7">
        <v>0.0</v>
      </c>
    </row>
    <row r="6577">
      <c r="G6577" s="5"/>
      <c r="H6577" s="6"/>
      <c r="AD6577" s="5">
        <v>45200.0</v>
      </c>
      <c r="AE6577" s="6">
        <v>0.9583333333333334</v>
      </c>
      <c r="AF6577" s="7">
        <v>0.0</v>
      </c>
    </row>
    <row r="6578">
      <c r="G6578" s="5"/>
      <c r="H6578" s="6"/>
      <c r="AD6578" s="5">
        <v>45201.0</v>
      </c>
      <c r="AE6578" s="6">
        <v>0.0</v>
      </c>
      <c r="AF6578" s="7">
        <v>0.0</v>
      </c>
    </row>
    <row r="6579">
      <c r="G6579" s="5"/>
      <c r="H6579" s="6"/>
      <c r="AD6579" s="5">
        <v>45201.0</v>
      </c>
      <c r="AE6579" s="6">
        <v>0.041666666666666664</v>
      </c>
      <c r="AF6579" s="7">
        <v>0.0</v>
      </c>
    </row>
    <row r="6580">
      <c r="G6580" s="5"/>
      <c r="H6580" s="6"/>
      <c r="AD6580" s="5">
        <v>45201.0</v>
      </c>
      <c r="AE6580" s="6">
        <v>0.08333333333333333</v>
      </c>
      <c r="AF6580" s="7">
        <v>0.0</v>
      </c>
    </row>
    <row r="6581">
      <c r="G6581" s="5"/>
      <c r="H6581" s="6"/>
      <c r="AD6581" s="5">
        <v>45201.0</v>
      </c>
      <c r="AE6581" s="6">
        <v>0.125</v>
      </c>
      <c r="AF6581" s="7">
        <v>0.0</v>
      </c>
    </row>
    <row r="6582">
      <c r="G6582" s="5"/>
      <c r="H6582" s="6"/>
      <c r="AD6582" s="5">
        <v>45201.0</v>
      </c>
      <c r="AE6582" s="6">
        <v>0.16666666666666666</v>
      </c>
      <c r="AF6582" s="7">
        <v>0.0</v>
      </c>
    </row>
    <row r="6583">
      <c r="G6583" s="5"/>
      <c r="H6583" s="6"/>
      <c r="AD6583" s="5">
        <v>45201.0</v>
      </c>
      <c r="AE6583" s="6">
        <v>0.20833333333333334</v>
      </c>
      <c r="AF6583" s="7">
        <v>0.0</v>
      </c>
    </row>
    <row r="6584">
      <c r="G6584" s="5"/>
      <c r="H6584" s="6"/>
      <c r="AD6584" s="5">
        <v>45201.0</v>
      </c>
      <c r="AE6584" s="6">
        <v>0.25</v>
      </c>
      <c r="AF6584" s="7">
        <v>0.0</v>
      </c>
    </row>
    <row r="6585">
      <c r="G6585" s="5"/>
      <c r="H6585" s="6"/>
      <c r="AD6585" s="5">
        <v>45201.0</v>
      </c>
      <c r="AE6585" s="6">
        <v>0.2916666666666667</v>
      </c>
      <c r="AF6585" s="7">
        <v>9274.98</v>
      </c>
    </row>
    <row r="6586">
      <c r="G6586" s="5"/>
      <c r="H6586" s="6"/>
      <c r="AD6586" s="5">
        <v>45201.0</v>
      </c>
      <c r="AE6586" s="6">
        <v>0.3333333333333333</v>
      </c>
      <c r="AF6586" s="7">
        <v>17062.5</v>
      </c>
    </row>
    <row r="6587">
      <c r="G6587" s="5"/>
      <c r="H6587" s="6"/>
      <c r="AD6587" s="5">
        <v>45201.0</v>
      </c>
      <c r="AE6587" s="6">
        <v>0.375</v>
      </c>
      <c r="AF6587" s="7">
        <v>32778.72</v>
      </c>
    </row>
    <row r="6588">
      <c r="G6588" s="5"/>
      <c r="H6588" s="6"/>
      <c r="AD6588" s="5">
        <v>45201.0</v>
      </c>
      <c r="AE6588" s="6">
        <v>0.4166666666666667</v>
      </c>
      <c r="AF6588" s="7">
        <v>46745.4</v>
      </c>
    </row>
    <row r="6589">
      <c r="G6589" s="5"/>
      <c r="H6589" s="6"/>
      <c r="AD6589" s="5">
        <v>45201.0</v>
      </c>
      <c r="AE6589" s="6">
        <v>0.4583333333333333</v>
      </c>
      <c r="AF6589" s="7">
        <v>48409.14</v>
      </c>
    </row>
    <row r="6590">
      <c r="G6590" s="5"/>
      <c r="H6590" s="6"/>
      <c r="AD6590" s="5">
        <v>45201.0</v>
      </c>
      <c r="AE6590" s="6">
        <v>0.5</v>
      </c>
      <c r="AF6590" s="7">
        <v>47249.28</v>
      </c>
    </row>
    <row r="6591">
      <c r="G6591" s="5"/>
      <c r="H6591" s="6"/>
      <c r="AD6591" s="5">
        <v>45201.0</v>
      </c>
      <c r="AE6591" s="6">
        <v>0.5416666666666666</v>
      </c>
      <c r="AF6591" s="7">
        <v>47234.46</v>
      </c>
    </row>
    <row r="6592">
      <c r="G6592" s="5"/>
      <c r="H6592" s="6"/>
      <c r="AD6592" s="5">
        <v>45201.0</v>
      </c>
      <c r="AE6592" s="6">
        <v>0.5833333333333334</v>
      </c>
      <c r="AF6592" s="7">
        <v>40732.38</v>
      </c>
    </row>
    <row r="6593">
      <c r="G6593" s="5"/>
      <c r="H6593" s="6"/>
      <c r="AD6593" s="5">
        <v>45201.0</v>
      </c>
      <c r="AE6593" s="6">
        <v>0.625</v>
      </c>
      <c r="AF6593" s="7">
        <v>26818.74</v>
      </c>
    </row>
    <row r="6594">
      <c r="G6594" s="5"/>
      <c r="H6594" s="6"/>
      <c r="AD6594" s="5">
        <v>45201.0</v>
      </c>
      <c r="AE6594" s="6">
        <v>0.6666666666666666</v>
      </c>
      <c r="AF6594" s="7">
        <v>13142.22</v>
      </c>
    </row>
    <row r="6595">
      <c r="G6595" s="5"/>
      <c r="H6595" s="6"/>
      <c r="AD6595" s="5">
        <v>45201.0</v>
      </c>
      <c r="AE6595" s="6">
        <v>0.7083333333333334</v>
      </c>
      <c r="AF6595" s="7">
        <v>1933.62</v>
      </c>
    </row>
    <row r="6596">
      <c r="G6596" s="5"/>
      <c r="H6596" s="6"/>
      <c r="AD6596" s="5">
        <v>45201.0</v>
      </c>
      <c r="AE6596" s="6">
        <v>0.75</v>
      </c>
      <c r="AF6596" s="7">
        <v>0.0</v>
      </c>
    </row>
    <row r="6597">
      <c r="G6597" s="5"/>
      <c r="H6597" s="6"/>
      <c r="AD6597" s="5">
        <v>45201.0</v>
      </c>
      <c r="AE6597" s="6">
        <v>0.7916666666666666</v>
      </c>
      <c r="AF6597" s="7">
        <v>0.0</v>
      </c>
    </row>
    <row r="6598">
      <c r="G6598" s="5"/>
      <c r="H6598" s="6"/>
      <c r="AD6598" s="5">
        <v>45201.0</v>
      </c>
      <c r="AE6598" s="6">
        <v>0.8333333333333334</v>
      </c>
      <c r="AF6598" s="7">
        <v>0.0</v>
      </c>
    </row>
    <row r="6599">
      <c r="G6599" s="5"/>
      <c r="H6599" s="6"/>
      <c r="AD6599" s="5">
        <v>45201.0</v>
      </c>
      <c r="AE6599" s="6">
        <v>0.875</v>
      </c>
      <c r="AF6599" s="7">
        <v>0.0</v>
      </c>
    </row>
    <row r="6600">
      <c r="G6600" s="5"/>
      <c r="H6600" s="6"/>
      <c r="AD6600" s="5">
        <v>45201.0</v>
      </c>
      <c r="AE6600" s="6">
        <v>0.9166666666666666</v>
      </c>
      <c r="AF6600" s="7">
        <v>0.0</v>
      </c>
    </row>
    <row r="6601">
      <c r="G6601" s="5"/>
      <c r="H6601" s="6"/>
      <c r="AD6601" s="5">
        <v>45201.0</v>
      </c>
      <c r="AE6601" s="6">
        <v>0.9583333333333334</v>
      </c>
      <c r="AF6601" s="7">
        <v>0.0</v>
      </c>
    </row>
    <row r="6602">
      <c r="G6602" s="5"/>
      <c r="H6602" s="6"/>
      <c r="AD6602" s="5">
        <v>45202.0</v>
      </c>
      <c r="AE6602" s="6">
        <v>0.0</v>
      </c>
      <c r="AF6602" s="7">
        <v>0.0</v>
      </c>
    </row>
    <row r="6603">
      <c r="G6603" s="5"/>
      <c r="H6603" s="6"/>
      <c r="AD6603" s="5">
        <v>45202.0</v>
      </c>
      <c r="AE6603" s="6">
        <v>0.041666666666666664</v>
      </c>
      <c r="AF6603" s="7">
        <v>0.0</v>
      </c>
    </row>
    <row r="6604">
      <c r="G6604" s="5"/>
      <c r="H6604" s="6"/>
      <c r="AD6604" s="5">
        <v>45202.0</v>
      </c>
      <c r="AE6604" s="6">
        <v>0.08333333333333333</v>
      </c>
      <c r="AF6604" s="7">
        <v>0.0</v>
      </c>
    </row>
    <row r="6605">
      <c r="G6605" s="5"/>
      <c r="H6605" s="6"/>
      <c r="AD6605" s="5">
        <v>45202.0</v>
      </c>
      <c r="AE6605" s="6">
        <v>0.125</v>
      </c>
      <c r="AF6605" s="7">
        <v>0.0</v>
      </c>
    </row>
    <row r="6606">
      <c r="G6606" s="5"/>
      <c r="H6606" s="6"/>
      <c r="AD6606" s="5">
        <v>45202.0</v>
      </c>
      <c r="AE6606" s="6">
        <v>0.16666666666666666</v>
      </c>
      <c r="AF6606" s="7">
        <v>0.0</v>
      </c>
    </row>
    <row r="6607">
      <c r="G6607" s="5"/>
      <c r="H6607" s="6"/>
      <c r="AD6607" s="5">
        <v>45202.0</v>
      </c>
      <c r="AE6607" s="6">
        <v>0.20833333333333334</v>
      </c>
      <c r="AF6607" s="7">
        <v>0.0</v>
      </c>
    </row>
    <row r="6608">
      <c r="G6608" s="5"/>
      <c r="H6608" s="6"/>
      <c r="AD6608" s="5">
        <v>45202.0</v>
      </c>
      <c r="AE6608" s="6">
        <v>0.25</v>
      </c>
      <c r="AF6608" s="7">
        <v>0.0</v>
      </c>
    </row>
    <row r="6609">
      <c r="G6609" s="5"/>
      <c r="H6609" s="6"/>
      <c r="AD6609" s="5">
        <v>45202.0</v>
      </c>
      <c r="AE6609" s="6">
        <v>0.2916666666666667</v>
      </c>
      <c r="AF6609" s="7">
        <v>2185.56</v>
      </c>
    </row>
    <row r="6610">
      <c r="G6610" s="5"/>
      <c r="H6610" s="6"/>
      <c r="AD6610" s="5">
        <v>45202.0</v>
      </c>
      <c r="AE6610" s="6">
        <v>0.3333333333333333</v>
      </c>
      <c r="AF6610" s="7">
        <v>6648.72</v>
      </c>
    </row>
    <row r="6611">
      <c r="G6611" s="5"/>
      <c r="H6611" s="6"/>
      <c r="AD6611" s="5">
        <v>45202.0</v>
      </c>
      <c r="AE6611" s="6">
        <v>0.375</v>
      </c>
      <c r="AF6611" s="7">
        <v>11199.24</v>
      </c>
    </row>
    <row r="6612">
      <c r="G6612" s="5"/>
      <c r="H6612" s="6"/>
      <c r="AD6612" s="5">
        <v>45202.0</v>
      </c>
      <c r="AE6612" s="6">
        <v>0.4166666666666667</v>
      </c>
      <c r="AF6612" s="7">
        <v>18063.24</v>
      </c>
    </row>
    <row r="6613">
      <c r="G6613" s="5"/>
      <c r="H6613" s="6"/>
      <c r="AD6613" s="5">
        <v>45202.0</v>
      </c>
      <c r="AE6613" s="6">
        <v>0.4583333333333333</v>
      </c>
      <c r="AF6613" s="7">
        <v>32096.22</v>
      </c>
    </row>
    <row r="6614">
      <c r="G6614" s="5"/>
      <c r="H6614" s="6"/>
      <c r="AD6614" s="5">
        <v>45202.0</v>
      </c>
      <c r="AE6614" s="6">
        <v>0.5</v>
      </c>
      <c r="AF6614" s="7">
        <v>43115.28</v>
      </c>
    </row>
    <row r="6615">
      <c r="G6615" s="5"/>
      <c r="H6615" s="6"/>
      <c r="AD6615" s="5">
        <v>45202.0</v>
      </c>
      <c r="AE6615" s="6">
        <v>0.5416666666666666</v>
      </c>
      <c r="AF6615" s="7">
        <v>43481.88</v>
      </c>
    </row>
    <row r="6616">
      <c r="G6616" s="5"/>
      <c r="H6616" s="6"/>
      <c r="AD6616" s="5">
        <v>45202.0</v>
      </c>
      <c r="AE6616" s="6">
        <v>0.5833333333333334</v>
      </c>
      <c r="AF6616" s="7">
        <v>34936.98</v>
      </c>
    </row>
    <row r="6617">
      <c r="G6617" s="5"/>
      <c r="H6617" s="6"/>
      <c r="AD6617" s="5">
        <v>45202.0</v>
      </c>
      <c r="AE6617" s="6">
        <v>0.625</v>
      </c>
      <c r="AF6617" s="7">
        <v>27963.0</v>
      </c>
    </row>
    <row r="6618">
      <c r="G6618" s="5"/>
      <c r="H6618" s="6"/>
      <c r="AD6618" s="5">
        <v>45202.0</v>
      </c>
      <c r="AE6618" s="6">
        <v>0.6666666666666666</v>
      </c>
      <c r="AF6618" s="7">
        <v>15275.52</v>
      </c>
    </row>
    <row r="6619">
      <c r="G6619" s="5"/>
      <c r="H6619" s="6"/>
      <c r="AD6619" s="5">
        <v>45202.0</v>
      </c>
      <c r="AE6619" s="6">
        <v>0.7083333333333334</v>
      </c>
      <c r="AF6619" s="7">
        <v>1772.16</v>
      </c>
    </row>
    <row r="6620">
      <c r="G6620" s="5"/>
      <c r="H6620" s="6"/>
      <c r="AD6620" s="5">
        <v>45202.0</v>
      </c>
      <c r="AE6620" s="6">
        <v>0.75</v>
      </c>
      <c r="AF6620" s="7">
        <v>0.0</v>
      </c>
    </row>
    <row r="6621">
      <c r="G6621" s="5"/>
      <c r="H6621" s="6"/>
      <c r="AD6621" s="5">
        <v>45202.0</v>
      </c>
      <c r="AE6621" s="6">
        <v>0.7916666666666666</v>
      </c>
      <c r="AF6621" s="7">
        <v>0.0</v>
      </c>
    </row>
    <row r="6622">
      <c r="G6622" s="5"/>
      <c r="H6622" s="6"/>
      <c r="AD6622" s="5">
        <v>45202.0</v>
      </c>
      <c r="AE6622" s="6">
        <v>0.8333333333333334</v>
      </c>
      <c r="AF6622" s="7">
        <v>0.0</v>
      </c>
    </row>
    <row r="6623">
      <c r="G6623" s="5"/>
      <c r="H6623" s="6"/>
      <c r="AD6623" s="5">
        <v>45202.0</v>
      </c>
      <c r="AE6623" s="6">
        <v>0.875</v>
      </c>
      <c r="AF6623" s="7">
        <v>0.0</v>
      </c>
    </row>
    <row r="6624">
      <c r="G6624" s="5"/>
      <c r="H6624" s="6"/>
      <c r="AD6624" s="5">
        <v>45202.0</v>
      </c>
      <c r="AE6624" s="6">
        <v>0.9166666666666666</v>
      </c>
      <c r="AF6624" s="7">
        <v>0.0</v>
      </c>
    </row>
    <row r="6625">
      <c r="G6625" s="5"/>
      <c r="H6625" s="6"/>
      <c r="AD6625" s="5">
        <v>45202.0</v>
      </c>
      <c r="AE6625" s="6">
        <v>0.9583333333333334</v>
      </c>
      <c r="AF6625" s="7">
        <v>0.0</v>
      </c>
    </row>
    <row r="6626">
      <c r="G6626" s="5"/>
      <c r="H6626" s="6"/>
      <c r="AD6626" s="5">
        <v>45203.0</v>
      </c>
      <c r="AE6626" s="6">
        <v>0.0</v>
      </c>
      <c r="AF6626" s="7">
        <v>0.0</v>
      </c>
    </row>
    <row r="6627">
      <c r="G6627" s="5"/>
      <c r="H6627" s="6"/>
      <c r="AD6627" s="5">
        <v>45203.0</v>
      </c>
      <c r="AE6627" s="6">
        <v>0.041666666666666664</v>
      </c>
      <c r="AF6627" s="7">
        <v>0.0</v>
      </c>
    </row>
    <row r="6628">
      <c r="G6628" s="5"/>
      <c r="H6628" s="6"/>
      <c r="AD6628" s="5">
        <v>45203.0</v>
      </c>
      <c r="AE6628" s="6">
        <v>0.08333333333333333</v>
      </c>
      <c r="AF6628" s="7">
        <v>0.0</v>
      </c>
    </row>
    <row r="6629">
      <c r="G6629" s="5"/>
      <c r="H6629" s="6"/>
      <c r="AD6629" s="5">
        <v>45203.0</v>
      </c>
      <c r="AE6629" s="6">
        <v>0.125</v>
      </c>
      <c r="AF6629" s="7">
        <v>0.0</v>
      </c>
    </row>
    <row r="6630">
      <c r="G6630" s="5"/>
      <c r="H6630" s="6"/>
      <c r="AD6630" s="5">
        <v>45203.0</v>
      </c>
      <c r="AE6630" s="6">
        <v>0.16666666666666666</v>
      </c>
      <c r="AF6630" s="7">
        <v>0.0</v>
      </c>
    </row>
    <row r="6631">
      <c r="G6631" s="5"/>
      <c r="H6631" s="6"/>
      <c r="AD6631" s="5">
        <v>45203.0</v>
      </c>
      <c r="AE6631" s="6">
        <v>0.20833333333333334</v>
      </c>
      <c r="AF6631" s="7">
        <v>0.0</v>
      </c>
    </row>
    <row r="6632">
      <c r="G6632" s="5"/>
      <c r="H6632" s="6"/>
      <c r="AD6632" s="5">
        <v>45203.0</v>
      </c>
      <c r="AE6632" s="6">
        <v>0.25</v>
      </c>
      <c r="AF6632" s="7">
        <v>0.0</v>
      </c>
    </row>
    <row r="6633">
      <c r="G6633" s="5"/>
      <c r="H6633" s="6"/>
      <c r="AD6633" s="5">
        <v>45203.0</v>
      </c>
      <c r="AE6633" s="6">
        <v>0.2916666666666667</v>
      </c>
      <c r="AF6633" s="7">
        <v>9838.14</v>
      </c>
    </row>
    <row r="6634">
      <c r="G6634" s="5"/>
      <c r="H6634" s="6"/>
      <c r="AD6634" s="5">
        <v>45203.0</v>
      </c>
      <c r="AE6634" s="6">
        <v>0.3333333333333333</v>
      </c>
      <c r="AF6634" s="7">
        <v>24848.46</v>
      </c>
    </row>
    <row r="6635">
      <c r="G6635" s="5"/>
      <c r="H6635" s="6"/>
      <c r="AD6635" s="5">
        <v>45203.0</v>
      </c>
      <c r="AE6635" s="6">
        <v>0.375</v>
      </c>
      <c r="AF6635" s="7">
        <v>36769.2</v>
      </c>
    </row>
    <row r="6636">
      <c r="G6636" s="5"/>
      <c r="H6636" s="6"/>
      <c r="AD6636" s="5">
        <v>45203.0</v>
      </c>
      <c r="AE6636" s="6">
        <v>0.4166666666666667</v>
      </c>
      <c r="AF6636" s="7">
        <v>44194.8</v>
      </c>
    </row>
    <row r="6637">
      <c r="G6637" s="5"/>
      <c r="H6637" s="6"/>
      <c r="AD6637" s="5">
        <v>45203.0</v>
      </c>
      <c r="AE6637" s="6">
        <v>0.4583333333333333</v>
      </c>
      <c r="AF6637" s="7">
        <v>47040.24</v>
      </c>
    </row>
    <row r="6638">
      <c r="G6638" s="5"/>
      <c r="H6638" s="6"/>
      <c r="AD6638" s="5">
        <v>45203.0</v>
      </c>
      <c r="AE6638" s="6">
        <v>0.5</v>
      </c>
      <c r="AF6638" s="7">
        <v>47938.8</v>
      </c>
    </row>
    <row r="6639">
      <c r="G6639" s="5"/>
      <c r="H6639" s="6"/>
      <c r="AD6639" s="5">
        <v>45203.0</v>
      </c>
      <c r="AE6639" s="6">
        <v>0.5416666666666666</v>
      </c>
      <c r="AF6639" s="7">
        <v>45605.82</v>
      </c>
    </row>
    <row r="6640">
      <c r="G6640" s="5"/>
      <c r="H6640" s="6"/>
      <c r="AD6640" s="5">
        <v>45203.0</v>
      </c>
      <c r="AE6640" s="6">
        <v>0.5833333333333334</v>
      </c>
      <c r="AF6640" s="7">
        <v>39212.94</v>
      </c>
    </row>
    <row r="6641">
      <c r="G6641" s="5"/>
      <c r="H6641" s="6"/>
      <c r="AD6641" s="5">
        <v>45203.0</v>
      </c>
      <c r="AE6641" s="6">
        <v>0.625</v>
      </c>
      <c r="AF6641" s="7">
        <v>28441.14</v>
      </c>
    </row>
    <row r="6642">
      <c r="G6642" s="5"/>
      <c r="H6642" s="6"/>
      <c r="AD6642" s="5">
        <v>45203.0</v>
      </c>
      <c r="AE6642" s="6">
        <v>0.6666666666666666</v>
      </c>
      <c r="AF6642" s="7">
        <v>14950.26</v>
      </c>
    </row>
    <row r="6643">
      <c r="G6643" s="5"/>
      <c r="H6643" s="6"/>
      <c r="AD6643" s="5">
        <v>45203.0</v>
      </c>
      <c r="AE6643" s="6">
        <v>0.7083333333333334</v>
      </c>
      <c r="AF6643" s="7">
        <v>1613.04</v>
      </c>
    </row>
    <row r="6644">
      <c r="G6644" s="5"/>
      <c r="H6644" s="6"/>
      <c r="AD6644" s="5">
        <v>45203.0</v>
      </c>
      <c r="AE6644" s="6">
        <v>0.75</v>
      </c>
      <c r="AF6644" s="7">
        <v>0.0</v>
      </c>
    </row>
    <row r="6645">
      <c r="G6645" s="5"/>
      <c r="H6645" s="6"/>
      <c r="AD6645" s="5">
        <v>45203.0</v>
      </c>
      <c r="AE6645" s="6">
        <v>0.7916666666666666</v>
      </c>
      <c r="AF6645" s="7">
        <v>0.0</v>
      </c>
    </row>
    <row r="6646">
      <c r="G6646" s="5"/>
      <c r="H6646" s="6"/>
      <c r="AD6646" s="5">
        <v>45203.0</v>
      </c>
      <c r="AE6646" s="6">
        <v>0.8333333333333334</v>
      </c>
      <c r="AF6646" s="7">
        <v>0.0</v>
      </c>
    </row>
    <row r="6647">
      <c r="G6647" s="5"/>
      <c r="H6647" s="6"/>
      <c r="AD6647" s="5">
        <v>45203.0</v>
      </c>
      <c r="AE6647" s="6">
        <v>0.875</v>
      </c>
      <c r="AF6647" s="7">
        <v>0.0</v>
      </c>
    </row>
    <row r="6648">
      <c r="G6648" s="5"/>
      <c r="H6648" s="6"/>
      <c r="AD6648" s="5">
        <v>45203.0</v>
      </c>
      <c r="AE6648" s="6">
        <v>0.9166666666666666</v>
      </c>
      <c r="AF6648" s="7">
        <v>0.0</v>
      </c>
    </row>
    <row r="6649">
      <c r="G6649" s="5"/>
      <c r="H6649" s="6"/>
      <c r="AD6649" s="5">
        <v>45203.0</v>
      </c>
      <c r="AE6649" s="6">
        <v>0.9583333333333334</v>
      </c>
      <c r="AF6649" s="7">
        <v>0.0</v>
      </c>
    </row>
    <row r="6650">
      <c r="G6650" s="5"/>
      <c r="H6650" s="6"/>
      <c r="AD6650" s="5">
        <v>45204.0</v>
      </c>
      <c r="AE6650" s="6">
        <v>0.0</v>
      </c>
      <c r="AF6650" s="7">
        <v>0.0</v>
      </c>
    </row>
    <row r="6651">
      <c r="G6651" s="5"/>
      <c r="H6651" s="6"/>
      <c r="AD6651" s="5">
        <v>45204.0</v>
      </c>
      <c r="AE6651" s="6">
        <v>0.041666666666666664</v>
      </c>
      <c r="AF6651" s="7">
        <v>0.0</v>
      </c>
    </row>
    <row r="6652">
      <c r="G6652" s="5"/>
      <c r="H6652" s="6"/>
      <c r="AD6652" s="5">
        <v>45204.0</v>
      </c>
      <c r="AE6652" s="6">
        <v>0.08333333333333333</v>
      </c>
      <c r="AF6652" s="7">
        <v>0.0</v>
      </c>
    </row>
    <row r="6653">
      <c r="G6653" s="5"/>
      <c r="H6653" s="6"/>
      <c r="AD6653" s="5">
        <v>45204.0</v>
      </c>
      <c r="AE6653" s="6">
        <v>0.125</v>
      </c>
      <c r="AF6653" s="7">
        <v>0.0</v>
      </c>
    </row>
    <row r="6654">
      <c r="G6654" s="5"/>
      <c r="H6654" s="6"/>
      <c r="AD6654" s="5">
        <v>45204.0</v>
      </c>
      <c r="AE6654" s="6">
        <v>0.16666666666666666</v>
      </c>
      <c r="AF6654" s="7">
        <v>0.0</v>
      </c>
    </row>
    <row r="6655">
      <c r="G6655" s="5"/>
      <c r="H6655" s="6"/>
      <c r="AD6655" s="5">
        <v>45204.0</v>
      </c>
      <c r="AE6655" s="6">
        <v>0.20833333333333334</v>
      </c>
      <c r="AF6655" s="7">
        <v>0.0</v>
      </c>
    </row>
    <row r="6656">
      <c r="G6656" s="5"/>
      <c r="H6656" s="6"/>
      <c r="AD6656" s="5">
        <v>45204.0</v>
      </c>
      <c r="AE6656" s="6">
        <v>0.25</v>
      </c>
      <c r="AF6656" s="7">
        <v>0.0</v>
      </c>
    </row>
    <row r="6657">
      <c r="G6657" s="5"/>
      <c r="H6657" s="6"/>
      <c r="AD6657" s="5">
        <v>45204.0</v>
      </c>
      <c r="AE6657" s="6">
        <v>0.2916666666666667</v>
      </c>
      <c r="AF6657" s="7">
        <v>7658.82</v>
      </c>
    </row>
    <row r="6658">
      <c r="G6658" s="5"/>
      <c r="H6658" s="6"/>
      <c r="AD6658" s="5">
        <v>45204.0</v>
      </c>
      <c r="AE6658" s="6">
        <v>0.3333333333333333</v>
      </c>
      <c r="AF6658" s="7">
        <v>17978.22</v>
      </c>
    </row>
    <row r="6659">
      <c r="G6659" s="5"/>
      <c r="H6659" s="6"/>
      <c r="AD6659" s="5">
        <v>45204.0</v>
      </c>
      <c r="AE6659" s="6">
        <v>0.375</v>
      </c>
      <c r="AF6659" s="7">
        <v>34895.64</v>
      </c>
    </row>
    <row r="6660">
      <c r="G6660" s="5"/>
      <c r="H6660" s="6"/>
      <c r="AD6660" s="5">
        <v>45204.0</v>
      </c>
      <c r="AE6660" s="6">
        <v>0.4166666666666667</v>
      </c>
      <c r="AF6660" s="7">
        <v>44209.62</v>
      </c>
    </row>
    <row r="6661">
      <c r="G6661" s="5"/>
      <c r="H6661" s="6"/>
      <c r="AD6661" s="5">
        <v>45204.0</v>
      </c>
      <c r="AE6661" s="6">
        <v>0.4583333333333333</v>
      </c>
      <c r="AF6661" s="7">
        <v>48523.8</v>
      </c>
    </row>
    <row r="6662">
      <c r="G6662" s="5"/>
      <c r="H6662" s="6"/>
      <c r="AD6662" s="5">
        <v>45204.0</v>
      </c>
      <c r="AE6662" s="6">
        <v>0.5</v>
      </c>
      <c r="AF6662" s="7">
        <v>47691.54</v>
      </c>
    </row>
    <row r="6663">
      <c r="G6663" s="5"/>
      <c r="H6663" s="6"/>
      <c r="AD6663" s="5">
        <v>45204.0</v>
      </c>
      <c r="AE6663" s="6">
        <v>0.5416666666666666</v>
      </c>
      <c r="AF6663" s="7">
        <v>45658.86</v>
      </c>
    </row>
    <row r="6664">
      <c r="G6664" s="5"/>
      <c r="H6664" s="6"/>
      <c r="AD6664" s="5">
        <v>45204.0</v>
      </c>
      <c r="AE6664" s="6">
        <v>0.5833333333333334</v>
      </c>
      <c r="AF6664" s="7">
        <v>38755.86</v>
      </c>
    </row>
    <row r="6665">
      <c r="G6665" s="5"/>
      <c r="H6665" s="6"/>
      <c r="AD6665" s="5">
        <v>45204.0</v>
      </c>
      <c r="AE6665" s="6">
        <v>0.625</v>
      </c>
      <c r="AF6665" s="7">
        <v>28035.54</v>
      </c>
    </row>
    <row r="6666">
      <c r="G6666" s="5"/>
      <c r="H6666" s="6"/>
      <c r="AD6666" s="5">
        <v>45204.0</v>
      </c>
      <c r="AE6666" s="6">
        <v>0.6666666666666666</v>
      </c>
      <c r="AF6666" s="7">
        <v>14632.8</v>
      </c>
    </row>
    <row r="6667">
      <c r="G6667" s="5"/>
      <c r="H6667" s="6"/>
      <c r="AD6667" s="5">
        <v>45204.0</v>
      </c>
      <c r="AE6667" s="6">
        <v>0.7083333333333334</v>
      </c>
      <c r="AF6667" s="7">
        <v>1379.82</v>
      </c>
    </row>
    <row r="6668">
      <c r="G6668" s="5"/>
      <c r="H6668" s="6"/>
      <c r="AD6668" s="5">
        <v>45204.0</v>
      </c>
      <c r="AE6668" s="6">
        <v>0.75</v>
      </c>
      <c r="AF6668" s="7">
        <v>0.0</v>
      </c>
    </row>
    <row r="6669">
      <c r="G6669" s="5"/>
      <c r="H6669" s="6"/>
      <c r="AD6669" s="5">
        <v>45204.0</v>
      </c>
      <c r="AE6669" s="6">
        <v>0.7916666666666666</v>
      </c>
      <c r="AF6669" s="7">
        <v>0.0</v>
      </c>
    </row>
    <row r="6670">
      <c r="G6670" s="5"/>
      <c r="H6670" s="6"/>
      <c r="AD6670" s="5">
        <v>45204.0</v>
      </c>
      <c r="AE6670" s="6">
        <v>0.8333333333333334</v>
      </c>
      <c r="AF6670" s="7">
        <v>0.0</v>
      </c>
    </row>
    <row r="6671">
      <c r="G6671" s="5"/>
      <c r="H6671" s="6"/>
      <c r="AD6671" s="5">
        <v>45204.0</v>
      </c>
      <c r="AE6671" s="6">
        <v>0.875</v>
      </c>
      <c r="AF6671" s="7">
        <v>0.0</v>
      </c>
    </row>
    <row r="6672">
      <c r="G6672" s="5"/>
      <c r="H6672" s="6"/>
      <c r="AD6672" s="5">
        <v>45204.0</v>
      </c>
      <c r="AE6672" s="6">
        <v>0.9166666666666666</v>
      </c>
      <c r="AF6672" s="7">
        <v>0.0</v>
      </c>
    </row>
    <row r="6673">
      <c r="G6673" s="5"/>
      <c r="H6673" s="6"/>
      <c r="AD6673" s="5">
        <v>45204.0</v>
      </c>
      <c r="AE6673" s="6">
        <v>0.9583333333333334</v>
      </c>
      <c r="AF6673" s="7">
        <v>0.0</v>
      </c>
    </row>
    <row r="6674">
      <c r="G6674" s="5"/>
      <c r="H6674" s="6"/>
      <c r="AD6674" s="5">
        <v>45205.0</v>
      </c>
      <c r="AE6674" s="6">
        <v>0.0</v>
      </c>
      <c r="AF6674" s="7">
        <v>0.0</v>
      </c>
    </row>
    <row r="6675">
      <c r="G6675" s="5"/>
      <c r="H6675" s="6"/>
      <c r="AD6675" s="5">
        <v>45205.0</v>
      </c>
      <c r="AE6675" s="6">
        <v>0.041666666666666664</v>
      </c>
      <c r="AF6675" s="7">
        <v>0.0</v>
      </c>
    </row>
    <row r="6676">
      <c r="G6676" s="5"/>
      <c r="H6676" s="6"/>
      <c r="AD6676" s="5">
        <v>45205.0</v>
      </c>
      <c r="AE6676" s="6">
        <v>0.08333333333333333</v>
      </c>
      <c r="AF6676" s="7">
        <v>0.0</v>
      </c>
    </row>
    <row r="6677">
      <c r="G6677" s="5"/>
      <c r="H6677" s="6"/>
      <c r="AD6677" s="5">
        <v>45205.0</v>
      </c>
      <c r="AE6677" s="6">
        <v>0.125</v>
      </c>
      <c r="AF6677" s="7">
        <v>0.0</v>
      </c>
    </row>
    <row r="6678">
      <c r="G6678" s="5"/>
      <c r="H6678" s="6"/>
      <c r="AD6678" s="5">
        <v>45205.0</v>
      </c>
      <c r="AE6678" s="6">
        <v>0.16666666666666666</v>
      </c>
      <c r="AF6678" s="7">
        <v>0.0</v>
      </c>
    </row>
    <row r="6679">
      <c r="G6679" s="5"/>
      <c r="H6679" s="6"/>
      <c r="AD6679" s="5">
        <v>45205.0</v>
      </c>
      <c r="AE6679" s="6">
        <v>0.20833333333333334</v>
      </c>
      <c r="AF6679" s="7">
        <v>0.0</v>
      </c>
    </row>
    <row r="6680">
      <c r="G6680" s="5"/>
      <c r="H6680" s="6"/>
      <c r="AD6680" s="5">
        <v>45205.0</v>
      </c>
      <c r="AE6680" s="6">
        <v>0.25</v>
      </c>
      <c r="AF6680" s="7">
        <v>0.0</v>
      </c>
    </row>
    <row r="6681">
      <c r="G6681" s="5"/>
      <c r="H6681" s="6"/>
      <c r="AD6681" s="5">
        <v>45205.0</v>
      </c>
      <c r="AE6681" s="6">
        <v>0.2916666666666667</v>
      </c>
      <c r="AF6681" s="7">
        <v>9497.28</v>
      </c>
    </row>
    <row r="6682">
      <c r="G6682" s="5"/>
      <c r="H6682" s="6"/>
      <c r="AD6682" s="5">
        <v>45205.0</v>
      </c>
      <c r="AE6682" s="6">
        <v>0.3333333333333333</v>
      </c>
      <c r="AF6682" s="7">
        <v>23733.06</v>
      </c>
    </row>
    <row r="6683">
      <c r="G6683" s="5"/>
      <c r="H6683" s="6"/>
      <c r="AD6683" s="5">
        <v>45205.0</v>
      </c>
      <c r="AE6683" s="6">
        <v>0.375</v>
      </c>
      <c r="AF6683" s="7">
        <v>35677.98</v>
      </c>
    </row>
    <row r="6684">
      <c r="G6684" s="5"/>
      <c r="H6684" s="6"/>
      <c r="AD6684" s="5">
        <v>45205.0</v>
      </c>
      <c r="AE6684" s="6">
        <v>0.4166666666666667</v>
      </c>
      <c r="AF6684" s="7">
        <v>43347.72</v>
      </c>
    </row>
    <row r="6685">
      <c r="G6685" s="5"/>
      <c r="H6685" s="6"/>
      <c r="AD6685" s="5">
        <v>45205.0</v>
      </c>
      <c r="AE6685" s="6">
        <v>0.4583333333333333</v>
      </c>
      <c r="AF6685" s="7">
        <v>46913.88</v>
      </c>
    </row>
    <row r="6686">
      <c r="G6686" s="5"/>
      <c r="H6686" s="6"/>
      <c r="AD6686" s="5">
        <v>45205.0</v>
      </c>
      <c r="AE6686" s="6">
        <v>0.5</v>
      </c>
      <c r="AF6686" s="7">
        <v>46856.94</v>
      </c>
    </row>
    <row r="6687">
      <c r="G6687" s="5"/>
      <c r="H6687" s="6"/>
      <c r="AD6687" s="5">
        <v>45205.0</v>
      </c>
      <c r="AE6687" s="6">
        <v>0.5416666666666666</v>
      </c>
      <c r="AF6687" s="7">
        <v>44416.32</v>
      </c>
    </row>
    <row r="6688">
      <c r="G6688" s="5"/>
      <c r="H6688" s="6"/>
      <c r="AD6688" s="5">
        <v>45205.0</v>
      </c>
      <c r="AE6688" s="6">
        <v>0.5833333333333334</v>
      </c>
      <c r="AF6688" s="7">
        <v>37411.92</v>
      </c>
    </row>
    <row r="6689">
      <c r="G6689" s="5"/>
      <c r="H6689" s="6"/>
      <c r="AD6689" s="5">
        <v>45205.0</v>
      </c>
      <c r="AE6689" s="6">
        <v>0.625</v>
      </c>
      <c r="AF6689" s="7">
        <v>27108.9</v>
      </c>
    </row>
    <row r="6690">
      <c r="G6690" s="5"/>
      <c r="H6690" s="6"/>
      <c r="AD6690" s="5">
        <v>45205.0</v>
      </c>
      <c r="AE6690" s="6">
        <v>0.6666666666666666</v>
      </c>
      <c r="AF6690" s="7">
        <v>14259.96</v>
      </c>
    </row>
    <row r="6691">
      <c r="G6691" s="5"/>
      <c r="H6691" s="6"/>
      <c r="AD6691" s="5">
        <v>45205.0</v>
      </c>
      <c r="AE6691" s="6">
        <v>0.7083333333333334</v>
      </c>
      <c r="AF6691" s="7">
        <v>1200.42</v>
      </c>
    </row>
    <row r="6692">
      <c r="G6692" s="5"/>
      <c r="H6692" s="6"/>
      <c r="AD6692" s="5">
        <v>45205.0</v>
      </c>
      <c r="AE6692" s="6">
        <v>0.75</v>
      </c>
      <c r="AF6692" s="7">
        <v>0.0</v>
      </c>
    </row>
    <row r="6693">
      <c r="G6693" s="5"/>
      <c r="H6693" s="6"/>
      <c r="AD6693" s="5">
        <v>45205.0</v>
      </c>
      <c r="AE6693" s="6">
        <v>0.7916666666666666</v>
      </c>
      <c r="AF6693" s="7">
        <v>0.0</v>
      </c>
    </row>
    <row r="6694">
      <c r="G6694" s="5"/>
      <c r="H6694" s="6"/>
      <c r="AD6694" s="5">
        <v>45205.0</v>
      </c>
      <c r="AE6694" s="6">
        <v>0.8333333333333334</v>
      </c>
      <c r="AF6694" s="7">
        <v>0.0</v>
      </c>
    </row>
    <row r="6695">
      <c r="G6695" s="5"/>
      <c r="H6695" s="6"/>
      <c r="AD6695" s="5">
        <v>45205.0</v>
      </c>
      <c r="AE6695" s="6">
        <v>0.875</v>
      </c>
      <c r="AF6695" s="7">
        <v>0.0</v>
      </c>
    </row>
    <row r="6696">
      <c r="G6696" s="5"/>
      <c r="H6696" s="6"/>
      <c r="AD6696" s="5">
        <v>45205.0</v>
      </c>
      <c r="AE6696" s="6">
        <v>0.9166666666666666</v>
      </c>
      <c r="AF6696" s="7">
        <v>0.0</v>
      </c>
    </row>
    <row r="6697">
      <c r="G6697" s="5"/>
      <c r="H6697" s="6"/>
      <c r="AD6697" s="5">
        <v>45205.0</v>
      </c>
      <c r="AE6697" s="6">
        <v>0.9583333333333334</v>
      </c>
      <c r="AF6697" s="7">
        <v>0.0</v>
      </c>
    </row>
    <row r="6698">
      <c r="G6698" s="5"/>
      <c r="H6698" s="6"/>
      <c r="AD6698" s="5">
        <v>45206.0</v>
      </c>
      <c r="AE6698" s="6">
        <v>0.0</v>
      </c>
      <c r="AF6698" s="7">
        <v>0.0</v>
      </c>
    </row>
    <row r="6699">
      <c r="G6699" s="5"/>
      <c r="H6699" s="6"/>
      <c r="AD6699" s="5">
        <v>45206.0</v>
      </c>
      <c r="AE6699" s="6">
        <v>0.041666666666666664</v>
      </c>
      <c r="AF6699" s="7">
        <v>0.0</v>
      </c>
    </row>
    <row r="6700">
      <c r="G6700" s="5"/>
      <c r="H6700" s="6"/>
      <c r="AD6700" s="5">
        <v>45206.0</v>
      </c>
      <c r="AE6700" s="6">
        <v>0.08333333333333333</v>
      </c>
      <c r="AF6700" s="7">
        <v>0.0</v>
      </c>
    </row>
    <row r="6701">
      <c r="G6701" s="5"/>
      <c r="H6701" s="6"/>
      <c r="AD6701" s="5">
        <v>45206.0</v>
      </c>
      <c r="AE6701" s="6">
        <v>0.125</v>
      </c>
      <c r="AF6701" s="7">
        <v>0.0</v>
      </c>
    </row>
    <row r="6702">
      <c r="G6702" s="5"/>
      <c r="H6702" s="6"/>
      <c r="AD6702" s="5">
        <v>45206.0</v>
      </c>
      <c r="AE6702" s="6">
        <v>0.16666666666666666</v>
      </c>
      <c r="AF6702" s="7">
        <v>0.0</v>
      </c>
    </row>
    <row r="6703">
      <c r="G6703" s="5"/>
      <c r="H6703" s="6"/>
      <c r="AD6703" s="5">
        <v>45206.0</v>
      </c>
      <c r="AE6703" s="6">
        <v>0.20833333333333334</v>
      </c>
      <c r="AF6703" s="7">
        <v>0.0</v>
      </c>
    </row>
    <row r="6704">
      <c r="G6704" s="5"/>
      <c r="H6704" s="6"/>
      <c r="AD6704" s="5">
        <v>45206.0</v>
      </c>
      <c r="AE6704" s="6">
        <v>0.25</v>
      </c>
      <c r="AF6704" s="7">
        <v>0.0</v>
      </c>
    </row>
    <row r="6705">
      <c r="G6705" s="5"/>
      <c r="H6705" s="6"/>
      <c r="AD6705" s="5">
        <v>45206.0</v>
      </c>
      <c r="AE6705" s="6">
        <v>0.2916666666666667</v>
      </c>
      <c r="AF6705" s="7">
        <v>6127.68</v>
      </c>
    </row>
    <row r="6706">
      <c r="G6706" s="5"/>
      <c r="H6706" s="6"/>
      <c r="AD6706" s="5">
        <v>45206.0</v>
      </c>
      <c r="AE6706" s="6">
        <v>0.3333333333333333</v>
      </c>
      <c r="AF6706" s="7">
        <v>12015.12</v>
      </c>
    </row>
    <row r="6707">
      <c r="G6707" s="5"/>
      <c r="H6707" s="6"/>
      <c r="AD6707" s="5">
        <v>45206.0</v>
      </c>
      <c r="AE6707" s="6">
        <v>0.375</v>
      </c>
      <c r="AF6707" s="7">
        <v>15911.22</v>
      </c>
    </row>
    <row r="6708">
      <c r="G6708" s="5"/>
      <c r="H6708" s="6"/>
      <c r="AD6708" s="5">
        <v>45206.0</v>
      </c>
      <c r="AE6708" s="6">
        <v>0.4166666666666667</v>
      </c>
      <c r="AF6708" s="7">
        <v>44156.58</v>
      </c>
    </row>
    <row r="6709">
      <c r="G6709" s="5"/>
      <c r="H6709" s="6"/>
      <c r="AD6709" s="5">
        <v>45206.0</v>
      </c>
      <c r="AE6709" s="6">
        <v>0.4583333333333333</v>
      </c>
      <c r="AF6709" s="7">
        <v>48693.06</v>
      </c>
    </row>
    <row r="6710">
      <c r="G6710" s="5"/>
      <c r="H6710" s="6"/>
      <c r="AD6710" s="5">
        <v>45206.0</v>
      </c>
      <c r="AE6710" s="6">
        <v>0.5</v>
      </c>
      <c r="AF6710" s="7">
        <v>48039.42</v>
      </c>
    </row>
    <row r="6711">
      <c r="G6711" s="5"/>
      <c r="H6711" s="6"/>
      <c r="AD6711" s="5">
        <v>45206.0</v>
      </c>
      <c r="AE6711" s="6">
        <v>0.5416666666666666</v>
      </c>
      <c r="AF6711" s="7">
        <v>45845.28</v>
      </c>
    </row>
    <row r="6712">
      <c r="G6712" s="5"/>
      <c r="H6712" s="6"/>
      <c r="AD6712" s="5">
        <v>45206.0</v>
      </c>
      <c r="AE6712" s="6">
        <v>0.5833333333333334</v>
      </c>
      <c r="AF6712" s="7">
        <v>38455.56</v>
      </c>
    </row>
    <row r="6713">
      <c r="G6713" s="5"/>
      <c r="H6713" s="6"/>
      <c r="AD6713" s="5">
        <v>45206.0</v>
      </c>
      <c r="AE6713" s="6">
        <v>0.625</v>
      </c>
      <c r="AF6713" s="7">
        <v>27569.88</v>
      </c>
    </row>
    <row r="6714">
      <c r="G6714" s="5"/>
      <c r="H6714" s="6"/>
      <c r="AD6714" s="5">
        <v>45206.0</v>
      </c>
      <c r="AE6714" s="6">
        <v>0.6666666666666666</v>
      </c>
      <c r="AF6714" s="7">
        <v>14458.86</v>
      </c>
    </row>
    <row r="6715">
      <c r="G6715" s="5"/>
      <c r="H6715" s="6"/>
      <c r="AD6715" s="5">
        <v>45206.0</v>
      </c>
      <c r="AE6715" s="6">
        <v>0.7083333333333334</v>
      </c>
      <c r="AF6715" s="7">
        <v>1068.6</v>
      </c>
    </row>
    <row r="6716">
      <c r="G6716" s="5"/>
      <c r="H6716" s="6"/>
      <c r="AD6716" s="5">
        <v>45206.0</v>
      </c>
      <c r="AE6716" s="6">
        <v>0.75</v>
      </c>
      <c r="AF6716" s="7">
        <v>0.0</v>
      </c>
    </row>
    <row r="6717">
      <c r="G6717" s="5"/>
      <c r="H6717" s="6"/>
      <c r="AD6717" s="5">
        <v>45206.0</v>
      </c>
      <c r="AE6717" s="6">
        <v>0.7916666666666666</v>
      </c>
      <c r="AF6717" s="7">
        <v>0.0</v>
      </c>
    </row>
    <row r="6718">
      <c r="G6718" s="5"/>
      <c r="H6718" s="6"/>
      <c r="AD6718" s="5">
        <v>45206.0</v>
      </c>
      <c r="AE6718" s="6">
        <v>0.8333333333333334</v>
      </c>
      <c r="AF6718" s="7">
        <v>0.0</v>
      </c>
    </row>
    <row r="6719">
      <c r="G6719" s="5"/>
      <c r="H6719" s="6"/>
      <c r="AD6719" s="5">
        <v>45206.0</v>
      </c>
      <c r="AE6719" s="6">
        <v>0.875</v>
      </c>
      <c r="AF6719" s="7">
        <v>0.0</v>
      </c>
    </row>
    <row r="6720">
      <c r="G6720" s="5"/>
      <c r="H6720" s="6"/>
      <c r="AD6720" s="5">
        <v>45206.0</v>
      </c>
      <c r="AE6720" s="6">
        <v>0.9166666666666666</v>
      </c>
      <c r="AF6720" s="7">
        <v>0.0</v>
      </c>
    </row>
    <row r="6721">
      <c r="G6721" s="5"/>
      <c r="H6721" s="6"/>
      <c r="AD6721" s="5">
        <v>45206.0</v>
      </c>
      <c r="AE6721" s="6">
        <v>0.9583333333333334</v>
      </c>
      <c r="AF6721" s="7">
        <v>0.0</v>
      </c>
    </row>
    <row r="6722">
      <c r="G6722" s="5"/>
      <c r="H6722" s="6"/>
      <c r="AD6722" s="5">
        <v>45207.0</v>
      </c>
      <c r="AE6722" s="6">
        <v>0.0</v>
      </c>
      <c r="AF6722" s="7">
        <v>0.0</v>
      </c>
    </row>
    <row r="6723">
      <c r="G6723" s="5"/>
      <c r="H6723" s="6"/>
      <c r="AD6723" s="5">
        <v>45207.0</v>
      </c>
      <c r="AE6723" s="6">
        <v>0.041666666666666664</v>
      </c>
      <c r="AF6723" s="7">
        <v>0.0</v>
      </c>
    </row>
    <row r="6724">
      <c r="G6724" s="5"/>
      <c r="H6724" s="6"/>
      <c r="AD6724" s="5">
        <v>45207.0</v>
      </c>
      <c r="AE6724" s="6">
        <v>0.08333333333333333</v>
      </c>
      <c r="AF6724" s="7">
        <v>0.0</v>
      </c>
    </row>
    <row r="6725">
      <c r="G6725" s="5"/>
      <c r="H6725" s="6"/>
      <c r="AD6725" s="5">
        <v>45207.0</v>
      </c>
      <c r="AE6725" s="6">
        <v>0.125</v>
      </c>
      <c r="AF6725" s="7">
        <v>0.0</v>
      </c>
    </row>
    <row r="6726">
      <c r="G6726" s="5"/>
      <c r="H6726" s="6"/>
      <c r="AD6726" s="5">
        <v>45207.0</v>
      </c>
      <c r="AE6726" s="6">
        <v>0.16666666666666666</v>
      </c>
      <c r="AF6726" s="7">
        <v>0.0</v>
      </c>
    </row>
    <row r="6727">
      <c r="G6727" s="5"/>
      <c r="H6727" s="6"/>
      <c r="AD6727" s="5">
        <v>45207.0</v>
      </c>
      <c r="AE6727" s="6">
        <v>0.20833333333333334</v>
      </c>
      <c r="AF6727" s="7">
        <v>0.0</v>
      </c>
    </row>
    <row r="6728">
      <c r="G6728" s="5"/>
      <c r="H6728" s="6"/>
      <c r="AD6728" s="5">
        <v>45207.0</v>
      </c>
      <c r="AE6728" s="6">
        <v>0.25</v>
      </c>
      <c r="AF6728" s="7">
        <v>0.0</v>
      </c>
    </row>
    <row r="6729">
      <c r="G6729" s="5"/>
      <c r="H6729" s="6"/>
      <c r="AD6729" s="5">
        <v>45207.0</v>
      </c>
      <c r="AE6729" s="6">
        <v>0.2916666666666667</v>
      </c>
      <c r="AF6729" s="7">
        <v>5449.08</v>
      </c>
    </row>
    <row r="6730">
      <c r="G6730" s="5"/>
      <c r="H6730" s="6"/>
      <c r="AD6730" s="5">
        <v>45207.0</v>
      </c>
      <c r="AE6730" s="6">
        <v>0.3333333333333333</v>
      </c>
      <c r="AF6730" s="7">
        <v>11851.32</v>
      </c>
    </row>
    <row r="6731">
      <c r="G6731" s="5"/>
      <c r="H6731" s="6"/>
      <c r="AD6731" s="5">
        <v>45207.0</v>
      </c>
      <c r="AE6731" s="6">
        <v>0.375</v>
      </c>
      <c r="AF6731" s="7">
        <v>13908.96</v>
      </c>
    </row>
    <row r="6732">
      <c r="G6732" s="5"/>
      <c r="H6732" s="6"/>
      <c r="AD6732" s="5">
        <v>45207.0</v>
      </c>
      <c r="AE6732" s="6">
        <v>0.4166666666666667</v>
      </c>
      <c r="AF6732" s="7">
        <v>42868.02</v>
      </c>
    </row>
    <row r="6733">
      <c r="G6733" s="5"/>
      <c r="H6733" s="6"/>
      <c r="AD6733" s="5">
        <v>45207.0</v>
      </c>
      <c r="AE6733" s="6">
        <v>0.4583333333333333</v>
      </c>
      <c r="AF6733" s="7">
        <v>47558.94</v>
      </c>
    </row>
    <row r="6734">
      <c r="G6734" s="5"/>
      <c r="H6734" s="6"/>
      <c r="AD6734" s="5">
        <v>45207.0</v>
      </c>
      <c r="AE6734" s="6">
        <v>0.5</v>
      </c>
      <c r="AF6734" s="7">
        <v>47560.5</v>
      </c>
    </row>
    <row r="6735">
      <c r="G6735" s="5"/>
      <c r="H6735" s="6"/>
      <c r="AD6735" s="5">
        <v>45207.0</v>
      </c>
      <c r="AE6735" s="6">
        <v>0.5416666666666666</v>
      </c>
      <c r="AF6735" s="7">
        <v>44817.24</v>
      </c>
    </row>
    <row r="6736">
      <c r="G6736" s="5"/>
      <c r="H6736" s="6"/>
      <c r="AD6736" s="5">
        <v>45207.0</v>
      </c>
      <c r="AE6736" s="6">
        <v>0.5833333333333334</v>
      </c>
      <c r="AF6736" s="7">
        <v>37872.12</v>
      </c>
    </row>
    <row r="6737">
      <c r="G6737" s="5"/>
      <c r="H6737" s="6"/>
      <c r="AD6737" s="5">
        <v>45207.0</v>
      </c>
      <c r="AE6737" s="6">
        <v>0.625</v>
      </c>
      <c r="AF6737" s="7">
        <v>27215.76</v>
      </c>
    </row>
    <row r="6738">
      <c r="G6738" s="5"/>
      <c r="H6738" s="6"/>
      <c r="AD6738" s="5">
        <v>45207.0</v>
      </c>
      <c r="AE6738" s="6">
        <v>0.6666666666666666</v>
      </c>
      <c r="AF6738" s="7">
        <v>13764.66</v>
      </c>
    </row>
    <row r="6739">
      <c r="G6739" s="5"/>
      <c r="H6739" s="6"/>
      <c r="AD6739" s="5">
        <v>45207.0</v>
      </c>
      <c r="AE6739" s="6">
        <v>0.7083333333333334</v>
      </c>
      <c r="AF6739" s="7">
        <v>1014.0</v>
      </c>
    </row>
    <row r="6740">
      <c r="G6740" s="5"/>
      <c r="H6740" s="6"/>
      <c r="AD6740" s="5">
        <v>45207.0</v>
      </c>
      <c r="AE6740" s="6">
        <v>0.75</v>
      </c>
      <c r="AF6740" s="7">
        <v>0.0</v>
      </c>
    </row>
    <row r="6741">
      <c r="G6741" s="5"/>
      <c r="H6741" s="6"/>
      <c r="AD6741" s="5">
        <v>45207.0</v>
      </c>
      <c r="AE6741" s="6">
        <v>0.7916666666666666</v>
      </c>
      <c r="AF6741" s="7">
        <v>0.0</v>
      </c>
    </row>
    <row r="6742">
      <c r="G6742" s="5"/>
      <c r="H6742" s="6"/>
      <c r="AD6742" s="5">
        <v>45207.0</v>
      </c>
      <c r="AE6742" s="6">
        <v>0.8333333333333334</v>
      </c>
      <c r="AF6742" s="7">
        <v>0.0</v>
      </c>
    </row>
    <row r="6743">
      <c r="G6743" s="5"/>
      <c r="H6743" s="6"/>
      <c r="AD6743" s="5">
        <v>45207.0</v>
      </c>
      <c r="AE6743" s="6">
        <v>0.875</v>
      </c>
      <c r="AF6743" s="7">
        <v>0.0</v>
      </c>
    </row>
    <row r="6744">
      <c r="G6744" s="5"/>
      <c r="H6744" s="6"/>
      <c r="AD6744" s="5">
        <v>45207.0</v>
      </c>
      <c r="AE6744" s="6">
        <v>0.9166666666666666</v>
      </c>
      <c r="AF6744" s="7">
        <v>0.0</v>
      </c>
    </row>
    <row r="6745">
      <c r="G6745" s="5"/>
      <c r="H6745" s="6"/>
      <c r="AD6745" s="5">
        <v>45207.0</v>
      </c>
      <c r="AE6745" s="6">
        <v>0.9583333333333334</v>
      </c>
      <c r="AF6745" s="7">
        <v>0.0</v>
      </c>
    </row>
    <row r="6746">
      <c r="G6746" s="5"/>
      <c r="H6746" s="6"/>
      <c r="AD6746" s="5">
        <v>45208.0</v>
      </c>
      <c r="AE6746" s="6">
        <v>0.0</v>
      </c>
      <c r="AF6746" s="7">
        <v>0.0</v>
      </c>
    </row>
    <row r="6747">
      <c r="G6747" s="5"/>
      <c r="H6747" s="6"/>
      <c r="AD6747" s="5">
        <v>45208.0</v>
      </c>
      <c r="AE6747" s="6">
        <v>0.041666666666666664</v>
      </c>
      <c r="AF6747" s="7">
        <v>0.0</v>
      </c>
    </row>
    <row r="6748">
      <c r="G6748" s="5"/>
      <c r="H6748" s="6"/>
      <c r="AD6748" s="5">
        <v>45208.0</v>
      </c>
      <c r="AE6748" s="6">
        <v>0.08333333333333333</v>
      </c>
      <c r="AF6748" s="7">
        <v>0.0</v>
      </c>
    </row>
    <row r="6749">
      <c r="G6749" s="5"/>
      <c r="H6749" s="6"/>
      <c r="AD6749" s="5">
        <v>45208.0</v>
      </c>
      <c r="AE6749" s="6">
        <v>0.125</v>
      </c>
      <c r="AF6749" s="7">
        <v>0.0</v>
      </c>
    </row>
    <row r="6750">
      <c r="G6750" s="5"/>
      <c r="H6750" s="6"/>
      <c r="AD6750" s="5">
        <v>45208.0</v>
      </c>
      <c r="AE6750" s="6">
        <v>0.16666666666666666</v>
      </c>
      <c r="AF6750" s="7">
        <v>0.0</v>
      </c>
    </row>
    <row r="6751">
      <c r="G6751" s="5"/>
      <c r="H6751" s="6"/>
      <c r="AD6751" s="5">
        <v>45208.0</v>
      </c>
      <c r="AE6751" s="6">
        <v>0.20833333333333334</v>
      </c>
      <c r="AF6751" s="7">
        <v>0.0</v>
      </c>
    </row>
    <row r="6752">
      <c r="G6752" s="5"/>
      <c r="H6752" s="6"/>
      <c r="AD6752" s="5">
        <v>45208.0</v>
      </c>
      <c r="AE6752" s="6">
        <v>0.25</v>
      </c>
      <c r="AF6752" s="7">
        <v>0.0</v>
      </c>
    </row>
    <row r="6753">
      <c r="G6753" s="5"/>
      <c r="H6753" s="6"/>
      <c r="AD6753" s="5">
        <v>45208.0</v>
      </c>
      <c r="AE6753" s="6">
        <v>0.2916666666666667</v>
      </c>
      <c r="AF6753" s="7">
        <v>9006.66</v>
      </c>
    </row>
    <row r="6754">
      <c r="G6754" s="5"/>
      <c r="H6754" s="6"/>
      <c r="AD6754" s="5">
        <v>45208.0</v>
      </c>
      <c r="AE6754" s="6">
        <v>0.3333333333333333</v>
      </c>
      <c r="AF6754" s="7">
        <v>23671.44</v>
      </c>
    </row>
    <row r="6755">
      <c r="G6755" s="5"/>
      <c r="H6755" s="6"/>
      <c r="AD6755" s="5">
        <v>45208.0</v>
      </c>
      <c r="AE6755" s="6">
        <v>0.375</v>
      </c>
      <c r="AF6755" s="7">
        <v>35241.96</v>
      </c>
    </row>
    <row r="6756">
      <c r="G6756" s="5"/>
      <c r="H6756" s="6"/>
      <c r="AD6756" s="5">
        <v>45208.0</v>
      </c>
      <c r="AE6756" s="6">
        <v>0.4166666666666667</v>
      </c>
      <c r="AF6756" s="7">
        <v>42948.36</v>
      </c>
    </row>
    <row r="6757">
      <c r="G6757" s="5"/>
      <c r="H6757" s="6"/>
      <c r="AD6757" s="5">
        <v>45208.0</v>
      </c>
      <c r="AE6757" s="6">
        <v>0.4583333333333333</v>
      </c>
      <c r="AF6757" s="7">
        <v>47437.26</v>
      </c>
    </row>
    <row r="6758">
      <c r="G6758" s="5"/>
      <c r="H6758" s="6"/>
      <c r="AD6758" s="5">
        <v>45208.0</v>
      </c>
      <c r="AE6758" s="6">
        <v>0.5</v>
      </c>
      <c r="AF6758" s="7">
        <v>47223.54</v>
      </c>
    </row>
    <row r="6759">
      <c r="G6759" s="5"/>
      <c r="H6759" s="6"/>
      <c r="AD6759" s="5">
        <v>45208.0</v>
      </c>
      <c r="AE6759" s="6">
        <v>0.5416666666666666</v>
      </c>
      <c r="AF6759" s="7">
        <v>44155.02</v>
      </c>
    </row>
    <row r="6760">
      <c r="G6760" s="5"/>
      <c r="H6760" s="6"/>
      <c r="AD6760" s="5">
        <v>45208.0</v>
      </c>
      <c r="AE6760" s="6">
        <v>0.5833333333333334</v>
      </c>
      <c r="AF6760" s="7">
        <v>37489.92</v>
      </c>
    </row>
    <row r="6761">
      <c r="G6761" s="5"/>
      <c r="H6761" s="6"/>
      <c r="AD6761" s="5">
        <v>45208.0</v>
      </c>
      <c r="AE6761" s="6">
        <v>0.625</v>
      </c>
      <c r="AF6761" s="7">
        <v>26783.64</v>
      </c>
    </row>
    <row r="6762">
      <c r="G6762" s="5"/>
      <c r="H6762" s="6"/>
      <c r="AD6762" s="5">
        <v>45208.0</v>
      </c>
      <c r="AE6762" s="6">
        <v>0.6666666666666666</v>
      </c>
      <c r="AF6762" s="7">
        <v>13408.98</v>
      </c>
    </row>
    <row r="6763">
      <c r="G6763" s="5"/>
      <c r="H6763" s="6"/>
      <c r="AD6763" s="5">
        <v>45208.0</v>
      </c>
      <c r="AE6763" s="6">
        <v>0.7083333333333334</v>
      </c>
      <c r="AF6763" s="7">
        <v>806.52</v>
      </c>
    </row>
    <row r="6764">
      <c r="G6764" s="5"/>
      <c r="H6764" s="6"/>
      <c r="AD6764" s="5">
        <v>45208.0</v>
      </c>
      <c r="AE6764" s="6">
        <v>0.75</v>
      </c>
      <c r="AF6764" s="7">
        <v>0.0</v>
      </c>
    </row>
    <row r="6765">
      <c r="G6765" s="5"/>
      <c r="H6765" s="6"/>
      <c r="AD6765" s="5">
        <v>45208.0</v>
      </c>
      <c r="AE6765" s="6">
        <v>0.7916666666666666</v>
      </c>
      <c r="AF6765" s="7">
        <v>0.0</v>
      </c>
    </row>
    <row r="6766">
      <c r="G6766" s="5"/>
      <c r="H6766" s="6"/>
      <c r="AD6766" s="5">
        <v>45208.0</v>
      </c>
      <c r="AE6766" s="6">
        <v>0.8333333333333334</v>
      </c>
      <c r="AF6766" s="7">
        <v>0.0</v>
      </c>
    </row>
    <row r="6767">
      <c r="G6767" s="5"/>
      <c r="H6767" s="6"/>
      <c r="AD6767" s="5">
        <v>45208.0</v>
      </c>
      <c r="AE6767" s="6">
        <v>0.875</v>
      </c>
      <c r="AF6767" s="7">
        <v>0.0</v>
      </c>
    </row>
    <row r="6768">
      <c r="G6768" s="5"/>
      <c r="H6768" s="6"/>
      <c r="AD6768" s="5">
        <v>45208.0</v>
      </c>
      <c r="AE6768" s="6">
        <v>0.9166666666666666</v>
      </c>
      <c r="AF6768" s="7">
        <v>0.0</v>
      </c>
    </row>
    <row r="6769">
      <c r="G6769" s="5"/>
      <c r="H6769" s="6"/>
      <c r="AD6769" s="5">
        <v>45208.0</v>
      </c>
      <c r="AE6769" s="6">
        <v>0.9583333333333334</v>
      </c>
      <c r="AF6769" s="7">
        <v>0.0</v>
      </c>
    </row>
    <row r="6770">
      <c r="G6770" s="5"/>
      <c r="H6770" s="6"/>
      <c r="AD6770" s="5">
        <v>45209.0</v>
      </c>
      <c r="AE6770" s="6">
        <v>0.0</v>
      </c>
      <c r="AF6770" s="7">
        <v>0.0</v>
      </c>
    </row>
    <row r="6771">
      <c r="G6771" s="5"/>
      <c r="H6771" s="6"/>
      <c r="AD6771" s="5">
        <v>45209.0</v>
      </c>
      <c r="AE6771" s="6">
        <v>0.041666666666666664</v>
      </c>
      <c r="AF6771" s="7">
        <v>0.0</v>
      </c>
    </row>
    <row r="6772">
      <c r="G6772" s="5"/>
      <c r="H6772" s="6"/>
      <c r="AD6772" s="5">
        <v>45209.0</v>
      </c>
      <c r="AE6772" s="6">
        <v>0.08333333333333333</v>
      </c>
      <c r="AF6772" s="7">
        <v>0.0</v>
      </c>
    </row>
    <row r="6773">
      <c r="G6773" s="5"/>
      <c r="H6773" s="6"/>
      <c r="AD6773" s="5">
        <v>45209.0</v>
      </c>
      <c r="AE6773" s="6">
        <v>0.125</v>
      </c>
      <c r="AF6773" s="7">
        <v>0.0</v>
      </c>
    </row>
    <row r="6774">
      <c r="G6774" s="5"/>
      <c r="H6774" s="6"/>
      <c r="AD6774" s="5">
        <v>45209.0</v>
      </c>
      <c r="AE6774" s="6">
        <v>0.16666666666666666</v>
      </c>
      <c r="AF6774" s="7">
        <v>0.0</v>
      </c>
    </row>
    <row r="6775">
      <c r="G6775" s="5"/>
      <c r="H6775" s="6"/>
      <c r="AD6775" s="5">
        <v>45209.0</v>
      </c>
      <c r="AE6775" s="6">
        <v>0.20833333333333334</v>
      </c>
      <c r="AF6775" s="7">
        <v>0.0</v>
      </c>
    </row>
    <row r="6776">
      <c r="G6776" s="5"/>
      <c r="H6776" s="6"/>
      <c r="AD6776" s="5">
        <v>45209.0</v>
      </c>
      <c r="AE6776" s="6">
        <v>0.25</v>
      </c>
      <c r="AF6776" s="7">
        <v>0.0</v>
      </c>
    </row>
    <row r="6777">
      <c r="G6777" s="5"/>
      <c r="H6777" s="6"/>
      <c r="AD6777" s="5">
        <v>45209.0</v>
      </c>
      <c r="AE6777" s="6">
        <v>0.2916666666666667</v>
      </c>
      <c r="AF6777" s="7">
        <v>9025.38</v>
      </c>
    </row>
    <row r="6778">
      <c r="G6778" s="5"/>
      <c r="H6778" s="6"/>
      <c r="AD6778" s="5">
        <v>45209.0</v>
      </c>
      <c r="AE6778" s="6">
        <v>0.3333333333333333</v>
      </c>
      <c r="AF6778" s="7">
        <v>23719.02</v>
      </c>
    </row>
    <row r="6779">
      <c r="G6779" s="5"/>
      <c r="H6779" s="6"/>
      <c r="AD6779" s="5">
        <v>45209.0</v>
      </c>
      <c r="AE6779" s="6">
        <v>0.375</v>
      </c>
      <c r="AF6779" s="7">
        <v>35290.32</v>
      </c>
    </row>
    <row r="6780">
      <c r="G6780" s="5"/>
      <c r="H6780" s="6"/>
      <c r="AD6780" s="5">
        <v>45209.0</v>
      </c>
      <c r="AE6780" s="6">
        <v>0.4166666666666667</v>
      </c>
      <c r="AF6780" s="7">
        <v>42478.02</v>
      </c>
    </row>
    <row r="6781">
      <c r="G6781" s="5"/>
      <c r="H6781" s="6"/>
      <c r="AD6781" s="5">
        <v>45209.0</v>
      </c>
      <c r="AE6781" s="6">
        <v>0.4583333333333333</v>
      </c>
      <c r="AF6781" s="7">
        <v>47165.04</v>
      </c>
    </row>
    <row r="6782">
      <c r="G6782" s="5"/>
      <c r="H6782" s="6"/>
      <c r="AD6782" s="5">
        <v>45209.0</v>
      </c>
      <c r="AE6782" s="6">
        <v>0.5</v>
      </c>
      <c r="AF6782" s="7">
        <v>47480.16</v>
      </c>
    </row>
    <row r="6783">
      <c r="G6783" s="5"/>
      <c r="H6783" s="6"/>
      <c r="AD6783" s="5">
        <v>45209.0</v>
      </c>
      <c r="AE6783" s="6">
        <v>0.5416666666666666</v>
      </c>
      <c r="AF6783" s="7">
        <v>44982.6</v>
      </c>
    </row>
    <row r="6784">
      <c r="G6784" s="5"/>
      <c r="H6784" s="6"/>
      <c r="AD6784" s="5">
        <v>45209.0</v>
      </c>
      <c r="AE6784" s="6">
        <v>0.5833333333333334</v>
      </c>
      <c r="AF6784" s="7">
        <v>38283.18</v>
      </c>
    </row>
    <row r="6785">
      <c r="G6785" s="5"/>
      <c r="H6785" s="6"/>
      <c r="AD6785" s="5">
        <v>45209.0</v>
      </c>
      <c r="AE6785" s="6">
        <v>0.625</v>
      </c>
      <c r="AF6785" s="7">
        <v>26926.38</v>
      </c>
    </row>
    <row r="6786">
      <c r="G6786" s="5"/>
      <c r="H6786" s="6"/>
      <c r="AD6786" s="5">
        <v>45209.0</v>
      </c>
      <c r="AE6786" s="6">
        <v>0.6666666666666666</v>
      </c>
      <c r="AF6786" s="7">
        <v>13401.96</v>
      </c>
    </row>
    <row r="6787">
      <c r="G6787" s="5"/>
      <c r="H6787" s="6"/>
      <c r="AD6787" s="5">
        <v>45209.0</v>
      </c>
      <c r="AE6787" s="6">
        <v>0.7083333333333334</v>
      </c>
      <c r="AF6787" s="7">
        <v>517.14</v>
      </c>
    </row>
    <row r="6788">
      <c r="G6788" s="5"/>
      <c r="H6788" s="6"/>
      <c r="AD6788" s="5">
        <v>45209.0</v>
      </c>
      <c r="AE6788" s="6">
        <v>0.75</v>
      </c>
      <c r="AF6788" s="7">
        <v>0.0</v>
      </c>
    </row>
    <row r="6789">
      <c r="G6789" s="5"/>
      <c r="H6789" s="6"/>
      <c r="AD6789" s="5">
        <v>45209.0</v>
      </c>
      <c r="AE6789" s="6">
        <v>0.7916666666666666</v>
      </c>
      <c r="AF6789" s="7">
        <v>0.0</v>
      </c>
    </row>
    <row r="6790">
      <c r="G6790" s="5"/>
      <c r="H6790" s="6"/>
      <c r="AD6790" s="5">
        <v>45209.0</v>
      </c>
      <c r="AE6790" s="6">
        <v>0.8333333333333334</v>
      </c>
      <c r="AF6790" s="7">
        <v>0.0</v>
      </c>
    </row>
    <row r="6791">
      <c r="G6791" s="5"/>
      <c r="H6791" s="6"/>
      <c r="AD6791" s="5">
        <v>45209.0</v>
      </c>
      <c r="AE6791" s="6">
        <v>0.875</v>
      </c>
      <c r="AF6791" s="7">
        <v>0.0</v>
      </c>
    </row>
    <row r="6792">
      <c r="G6792" s="5"/>
      <c r="H6792" s="6"/>
      <c r="AD6792" s="5">
        <v>45209.0</v>
      </c>
      <c r="AE6792" s="6">
        <v>0.9166666666666666</v>
      </c>
      <c r="AF6792" s="7">
        <v>0.0</v>
      </c>
    </row>
    <row r="6793">
      <c r="G6793" s="5"/>
      <c r="H6793" s="6"/>
      <c r="AD6793" s="5">
        <v>45209.0</v>
      </c>
      <c r="AE6793" s="6">
        <v>0.9583333333333334</v>
      </c>
      <c r="AF6793" s="7">
        <v>0.0</v>
      </c>
    </row>
    <row r="6794">
      <c r="G6794" s="5"/>
      <c r="H6794" s="6"/>
      <c r="AD6794" s="5">
        <v>45210.0</v>
      </c>
      <c r="AE6794" s="6">
        <v>0.0</v>
      </c>
      <c r="AF6794" s="7">
        <v>0.0</v>
      </c>
    </row>
    <row r="6795">
      <c r="G6795" s="5"/>
      <c r="H6795" s="6"/>
      <c r="AD6795" s="5">
        <v>45210.0</v>
      </c>
      <c r="AE6795" s="6">
        <v>0.041666666666666664</v>
      </c>
      <c r="AF6795" s="7">
        <v>0.0</v>
      </c>
    </row>
    <row r="6796">
      <c r="G6796" s="5"/>
      <c r="H6796" s="6"/>
      <c r="AD6796" s="5">
        <v>45210.0</v>
      </c>
      <c r="AE6796" s="6">
        <v>0.08333333333333333</v>
      </c>
      <c r="AF6796" s="7">
        <v>0.0</v>
      </c>
    </row>
    <row r="6797">
      <c r="G6797" s="5"/>
      <c r="H6797" s="6"/>
      <c r="AD6797" s="5">
        <v>45210.0</v>
      </c>
      <c r="AE6797" s="6">
        <v>0.125</v>
      </c>
      <c r="AF6797" s="7">
        <v>0.0</v>
      </c>
    </row>
    <row r="6798">
      <c r="G6798" s="5"/>
      <c r="H6798" s="6"/>
      <c r="AD6798" s="5">
        <v>45210.0</v>
      </c>
      <c r="AE6798" s="6">
        <v>0.16666666666666666</v>
      </c>
      <c r="AF6798" s="7">
        <v>0.0</v>
      </c>
    </row>
    <row r="6799">
      <c r="G6799" s="5"/>
      <c r="H6799" s="6"/>
      <c r="AD6799" s="5">
        <v>45210.0</v>
      </c>
      <c r="AE6799" s="6">
        <v>0.20833333333333334</v>
      </c>
      <c r="AF6799" s="7">
        <v>0.0</v>
      </c>
    </row>
    <row r="6800">
      <c r="G6800" s="5"/>
      <c r="H6800" s="6"/>
      <c r="AD6800" s="5">
        <v>45210.0</v>
      </c>
      <c r="AE6800" s="6">
        <v>0.25</v>
      </c>
      <c r="AF6800" s="7">
        <v>0.0</v>
      </c>
    </row>
    <row r="6801">
      <c r="G6801" s="5"/>
      <c r="H6801" s="6"/>
      <c r="AD6801" s="5">
        <v>45210.0</v>
      </c>
      <c r="AE6801" s="6">
        <v>0.2916666666666667</v>
      </c>
      <c r="AF6801" s="7">
        <v>9001.98</v>
      </c>
    </row>
    <row r="6802">
      <c r="G6802" s="5"/>
      <c r="H6802" s="6"/>
      <c r="AD6802" s="5">
        <v>45210.0</v>
      </c>
      <c r="AE6802" s="6">
        <v>0.3333333333333333</v>
      </c>
      <c r="AF6802" s="7">
        <v>23747.1</v>
      </c>
    </row>
    <row r="6803">
      <c r="G6803" s="5"/>
      <c r="H6803" s="6"/>
      <c r="AD6803" s="5">
        <v>45210.0</v>
      </c>
      <c r="AE6803" s="6">
        <v>0.375</v>
      </c>
      <c r="AF6803" s="7">
        <v>35383.92</v>
      </c>
    </row>
    <row r="6804">
      <c r="G6804" s="5"/>
      <c r="H6804" s="6"/>
      <c r="AD6804" s="5">
        <v>45210.0</v>
      </c>
      <c r="AE6804" s="6">
        <v>0.4166666666666667</v>
      </c>
      <c r="AF6804" s="7">
        <v>43334.46</v>
      </c>
    </row>
    <row r="6805">
      <c r="G6805" s="5"/>
      <c r="H6805" s="6"/>
      <c r="AD6805" s="5">
        <v>45210.0</v>
      </c>
      <c r="AE6805" s="6">
        <v>0.4583333333333333</v>
      </c>
      <c r="AF6805" s="7">
        <v>47299.98</v>
      </c>
    </row>
    <row r="6806">
      <c r="G6806" s="5"/>
      <c r="H6806" s="6"/>
      <c r="AD6806" s="5">
        <v>45210.0</v>
      </c>
      <c r="AE6806" s="6">
        <v>0.5</v>
      </c>
      <c r="AF6806" s="7">
        <v>48382.62</v>
      </c>
    </row>
    <row r="6807">
      <c r="G6807" s="5"/>
      <c r="H6807" s="6"/>
      <c r="AD6807" s="5">
        <v>45210.0</v>
      </c>
      <c r="AE6807" s="6">
        <v>0.5416666666666666</v>
      </c>
      <c r="AF6807" s="7">
        <v>45058.26</v>
      </c>
    </row>
    <row r="6808">
      <c r="G6808" s="5"/>
      <c r="H6808" s="6"/>
      <c r="AD6808" s="5">
        <v>45210.0</v>
      </c>
      <c r="AE6808" s="6">
        <v>0.5833333333333334</v>
      </c>
      <c r="AF6808" s="7">
        <v>37922.82</v>
      </c>
    </row>
    <row r="6809">
      <c r="G6809" s="5"/>
      <c r="H6809" s="6"/>
      <c r="AD6809" s="5">
        <v>45210.0</v>
      </c>
      <c r="AE6809" s="6">
        <v>0.625</v>
      </c>
      <c r="AF6809" s="7">
        <v>26951.34</v>
      </c>
    </row>
    <row r="6810">
      <c r="G6810" s="5"/>
      <c r="H6810" s="6"/>
      <c r="AD6810" s="5">
        <v>45210.0</v>
      </c>
      <c r="AE6810" s="6">
        <v>0.6666666666666666</v>
      </c>
      <c r="AF6810" s="7">
        <v>13067.34</v>
      </c>
    </row>
    <row r="6811">
      <c r="G6811" s="5"/>
      <c r="H6811" s="6"/>
      <c r="AD6811" s="5">
        <v>45210.0</v>
      </c>
      <c r="AE6811" s="6">
        <v>0.7083333333333334</v>
      </c>
      <c r="AF6811" s="7">
        <v>392.34</v>
      </c>
    </row>
    <row r="6812">
      <c r="G6812" s="5"/>
      <c r="H6812" s="6"/>
      <c r="AD6812" s="5">
        <v>45210.0</v>
      </c>
      <c r="AE6812" s="6">
        <v>0.75</v>
      </c>
      <c r="AF6812" s="7">
        <v>0.0</v>
      </c>
    </row>
    <row r="6813">
      <c r="G6813" s="5"/>
      <c r="H6813" s="6"/>
      <c r="AD6813" s="5">
        <v>45210.0</v>
      </c>
      <c r="AE6813" s="6">
        <v>0.7916666666666666</v>
      </c>
      <c r="AF6813" s="7">
        <v>0.0</v>
      </c>
    </row>
    <row r="6814">
      <c r="G6814" s="5"/>
      <c r="H6814" s="6"/>
      <c r="AD6814" s="5">
        <v>45210.0</v>
      </c>
      <c r="AE6814" s="6">
        <v>0.8333333333333334</v>
      </c>
      <c r="AF6814" s="7">
        <v>0.0</v>
      </c>
    </row>
    <row r="6815">
      <c r="G6815" s="5"/>
      <c r="H6815" s="6"/>
      <c r="AD6815" s="5">
        <v>45210.0</v>
      </c>
      <c r="AE6815" s="6">
        <v>0.875</v>
      </c>
      <c r="AF6815" s="7">
        <v>0.0</v>
      </c>
    </row>
    <row r="6816">
      <c r="G6816" s="5"/>
      <c r="H6816" s="6"/>
      <c r="AD6816" s="5">
        <v>45210.0</v>
      </c>
      <c r="AE6816" s="6">
        <v>0.9166666666666666</v>
      </c>
      <c r="AF6816" s="7">
        <v>0.0</v>
      </c>
    </row>
    <row r="6817">
      <c r="G6817" s="5"/>
      <c r="H6817" s="6"/>
      <c r="AD6817" s="5">
        <v>45210.0</v>
      </c>
      <c r="AE6817" s="6">
        <v>0.9583333333333334</v>
      </c>
      <c r="AF6817" s="7">
        <v>0.0</v>
      </c>
    </row>
    <row r="6818">
      <c r="G6818" s="5"/>
      <c r="H6818" s="6"/>
      <c r="AD6818" s="5">
        <v>45211.0</v>
      </c>
      <c r="AE6818" s="6">
        <v>0.0</v>
      </c>
      <c r="AF6818" s="7">
        <v>0.0</v>
      </c>
    </row>
    <row r="6819">
      <c r="G6819" s="5"/>
      <c r="H6819" s="6"/>
      <c r="AD6819" s="5">
        <v>45211.0</v>
      </c>
      <c r="AE6819" s="6">
        <v>0.041666666666666664</v>
      </c>
      <c r="AF6819" s="7">
        <v>0.0</v>
      </c>
    </row>
    <row r="6820">
      <c r="G6820" s="5"/>
      <c r="H6820" s="6"/>
      <c r="AD6820" s="5">
        <v>45211.0</v>
      </c>
      <c r="AE6820" s="6">
        <v>0.08333333333333333</v>
      </c>
      <c r="AF6820" s="7">
        <v>0.0</v>
      </c>
    </row>
    <row r="6821">
      <c r="G6821" s="5"/>
      <c r="H6821" s="6"/>
      <c r="AD6821" s="5">
        <v>45211.0</v>
      </c>
      <c r="AE6821" s="6">
        <v>0.125</v>
      </c>
      <c r="AF6821" s="7">
        <v>0.0</v>
      </c>
    </row>
    <row r="6822">
      <c r="G6822" s="5"/>
      <c r="H6822" s="6"/>
      <c r="AD6822" s="5">
        <v>45211.0</v>
      </c>
      <c r="AE6822" s="6">
        <v>0.16666666666666666</v>
      </c>
      <c r="AF6822" s="7">
        <v>0.0</v>
      </c>
    </row>
    <row r="6823">
      <c r="G6823" s="5"/>
      <c r="H6823" s="6"/>
      <c r="AD6823" s="5">
        <v>45211.0</v>
      </c>
      <c r="AE6823" s="6">
        <v>0.20833333333333334</v>
      </c>
      <c r="AF6823" s="7">
        <v>0.0</v>
      </c>
    </row>
    <row r="6824">
      <c r="G6824" s="5"/>
      <c r="H6824" s="6"/>
      <c r="AD6824" s="5">
        <v>45211.0</v>
      </c>
      <c r="AE6824" s="6">
        <v>0.25</v>
      </c>
      <c r="AF6824" s="7">
        <v>0.0</v>
      </c>
    </row>
    <row r="6825">
      <c r="G6825" s="5"/>
      <c r="H6825" s="6"/>
      <c r="AD6825" s="5">
        <v>45211.0</v>
      </c>
      <c r="AE6825" s="6">
        <v>0.2916666666666667</v>
      </c>
      <c r="AF6825" s="7">
        <v>4421.82</v>
      </c>
    </row>
    <row r="6826">
      <c r="G6826" s="5"/>
      <c r="H6826" s="6"/>
      <c r="AD6826" s="5">
        <v>45211.0</v>
      </c>
      <c r="AE6826" s="6">
        <v>0.3333333333333333</v>
      </c>
      <c r="AF6826" s="7">
        <v>9535.5</v>
      </c>
    </row>
    <row r="6827">
      <c r="G6827" s="5"/>
      <c r="H6827" s="6"/>
      <c r="AD6827" s="5">
        <v>45211.0</v>
      </c>
      <c r="AE6827" s="6">
        <v>0.375</v>
      </c>
      <c r="AF6827" s="7">
        <v>12100.14</v>
      </c>
    </row>
    <row r="6828">
      <c r="G6828" s="5"/>
      <c r="H6828" s="6"/>
      <c r="AD6828" s="5">
        <v>45211.0</v>
      </c>
      <c r="AE6828" s="6">
        <v>0.4166666666666667</v>
      </c>
      <c r="AF6828" s="7">
        <v>42712.8</v>
      </c>
    </row>
    <row r="6829">
      <c r="G6829" s="5"/>
      <c r="H6829" s="6"/>
      <c r="AD6829" s="5">
        <v>45211.0</v>
      </c>
      <c r="AE6829" s="6">
        <v>0.4583333333333333</v>
      </c>
      <c r="AF6829" s="7">
        <v>47200.92</v>
      </c>
    </row>
    <row r="6830">
      <c r="G6830" s="5"/>
      <c r="H6830" s="6"/>
      <c r="AD6830" s="5">
        <v>45211.0</v>
      </c>
      <c r="AE6830" s="6">
        <v>0.5</v>
      </c>
      <c r="AF6830" s="7">
        <v>47650.2</v>
      </c>
    </row>
    <row r="6831">
      <c r="G6831" s="5"/>
      <c r="H6831" s="6"/>
      <c r="AD6831" s="5">
        <v>45211.0</v>
      </c>
      <c r="AE6831" s="6">
        <v>0.5416666666666666</v>
      </c>
      <c r="AF6831" s="7">
        <v>44114.46</v>
      </c>
    </row>
    <row r="6832">
      <c r="G6832" s="5"/>
      <c r="H6832" s="6"/>
      <c r="AD6832" s="5">
        <v>45211.0</v>
      </c>
      <c r="AE6832" s="6">
        <v>0.5833333333333334</v>
      </c>
      <c r="AF6832" s="7">
        <v>37496.94</v>
      </c>
    </row>
    <row r="6833">
      <c r="G6833" s="5"/>
      <c r="H6833" s="6"/>
      <c r="AD6833" s="5">
        <v>45211.0</v>
      </c>
      <c r="AE6833" s="6">
        <v>0.625</v>
      </c>
      <c r="AF6833" s="7">
        <v>26419.38</v>
      </c>
    </row>
    <row r="6834">
      <c r="G6834" s="5"/>
      <c r="H6834" s="6"/>
      <c r="AD6834" s="5">
        <v>45211.0</v>
      </c>
      <c r="AE6834" s="6">
        <v>0.6666666666666666</v>
      </c>
      <c r="AF6834" s="7">
        <v>12512.76</v>
      </c>
    </row>
    <row r="6835">
      <c r="G6835" s="5"/>
      <c r="H6835" s="6"/>
      <c r="AD6835" s="5">
        <v>45211.0</v>
      </c>
      <c r="AE6835" s="6">
        <v>0.7083333333333334</v>
      </c>
      <c r="AF6835" s="7">
        <v>234.78</v>
      </c>
    </row>
    <row r="6836">
      <c r="G6836" s="5"/>
      <c r="H6836" s="6"/>
      <c r="AD6836" s="5">
        <v>45211.0</v>
      </c>
      <c r="AE6836" s="6">
        <v>0.75</v>
      </c>
      <c r="AF6836" s="7">
        <v>0.0</v>
      </c>
    </row>
    <row r="6837">
      <c r="G6837" s="5"/>
      <c r="H6837" s="6"/>
      <c r="AD6837" s="5">
        <v>45211.0</v>
      </c>
      <c r="AE6837" s="6">
        <v>0.7916666666666666</v>
      </c>
      <c r="AF6837" s="7">
        <v>0.0</v>
      </c>
    </row>
    <row r="6838">
      <c r="G6838" s="5"/>
      <c r="H6838" s="6"/>
      <c r="AD6838" s="5">
        <v>45211.0</v>
      </c>
      <c r="AE6838" s="6">
        <v>0.8333333333333334</v>
      </c>
      <c r="AF6838" s="7">
        <v>0.0</v>
      </c>
    </row>
    <row r="6839">
      <c r="G6839" s="5"/>
      <c r="H6839" s="6"/>
      <c r="AD6839" s="5">
        <v>45211.0</v>
      </c>
      <c r="AE6839" s="6">
        <v>0.875</v>
      </c>
      <c r="AF6839" s="7">
        <v>0.0</v>
      </c>
    </row>
    <row r="6840">
      <c r="G6840" s="5"/>
      <c r="H6840" s="6"/>
      <c r="AD6840" s="5">
        <v>45211.0</v>
      </c>
      <c r="AE6840" s="6">
        <v>0.9166666666666666</v>
      </c>
      <c r="AF6840" s="7">
        <v>0.0</v>
      </c>
    </row>
    <row r="6841">
      <c r="G6841" s="5"/>
      <c r="H6841" s="6"/>
      <c r="AD6841" s="5">
        <v>45211.0</v>
      </c>
      <c r="AE6841" s="6">
        <v>0.9583333333333334</v>
      </c>
      <c r="AF6841" s="7">
        <v>0.0</v>
      </c>
    </row>
    <row r="6842">
      <c r="G6842" s="5"/>
      <c r="H6842" s="6"/>
      <c r="AD6842" s="5">
        <v>45212.0</v>
      </c>
      <c r="AE6842" s="6">
        <v>0.0</v>
      </c>
      <c r="AF6842" s="7">
        <v>0.0</v>
      </c>
    </row>
    <row r="6843">
      <c r="G6843" s="5"/>
      <c r="H6843" s="6"/>
      <c r="AD6843" s="5">
        <v>45212.0</v>
      </c>
      <c r="AE6843" s="6">
        <v>0.041666666666666664</v>
      </c>
      <c r="AF6843" s="7">
        <v>0.0</v>
      </c>
    </row>
    <row r="6844">
      <c r="G6844" s="5"/>
      <c r="H6844" s="6"/>
      <c r="AD6844" s="5">
        <v>45212.0</v>
      </c>
      <c r="AE6844" s="6">
        <v>0.08333333333333333</v>
      </c>
      <c r="AF6844" s="7">
        <v>0.0</v>
      </c>
    </row>
    <row r="6845">
      <c r="G6845" s="5"/>
      <c r="H6845" s="6"/>
      <c r="AD6845" s="5">
        <v>45212.0</v>
      </c>
      <c r="AE6845" s="6">
        <v>0.125</v>
      </c>
      <c r="AF6845" s="7">
        <v>0.0</v>
      </c>
    </row>
    <row r="6846">
      <c r="G6846" s="5"/>
      <c r="H6846" s="6"/>
      <c r="AD6846" s="5">
        <v>45212.0</v>
      </c>
      <c r="AE6846" s="6">
        <v>0.16666666666666666</v>
      </c>
      <c r="AF6846" s="7">
        <v>0.0</v>
      </c>
    </row>
    <row r="6847">
      <c r="G6847" s="5"/>
      <c r="H6847" s="6"/>
      <c r="AD6847" s="5">
        <v>45212.0</v>
      </c>
      <c r="AE6847" s="6">
        <v>0.20833333333333334</v>
      </c>
      <c r="AF6847" s="7">
        <v>0.0</v>
      </c>
    </row>
    <row r="6848">
      <c r="G6848" s="5"/>
      <c r="H6848" s="6"/>
      <c r="AD6848" s="5">
        <v>45212.0</v>
      </c>
      <c r="AE6848" s="6">
        <v>0.25</v>
      </c>
      <c r="AF6848" s="7">
        <v>0.0</v>
      </c>
    </row>
    <row r="6849">
      <c r="G6849" s="5"/>
      <c r="H6849" s="6"/>
      <c r="AD6849" s="5">
        <v>45212.0</v>
      </c>
      <c r="AE6849" s="6">
        <v>0.2916666666666667</v>
      </c>
      <c r="AF6849" s="7">
        <v>4804.8</v>
      </c>
    </row>
    <row r="6850">
      <c r="G6850" s="5"/>
      <c r="H6850" s="6"/>
      <c r="AD6850" s="5">
        <v>45212.0</v>
      </c>
      <c r="AE6850" s="6">
        <v>0.3333333333333333</v>
      </c>
      <c r="AF6850" s="7">
        <v>18561.66</v>
      </c>
    </row>
    <row r="6851">
      <c r="G6851" s="5"/>
      <c r="H6851" s="6"/>
      <c r="AD6851" s="5">
        <v>45212.0</v>
      </c>
      <c r="AE6851" s="6">
        <v>0.375</v>
      </c>
      <c r="AF6851" s="7">
        <v>25407.72</v>
      </c>
    </row>
    <row r="6852">
      <c r="G6852" s="5"/>
      <c r="H6852" s="6"/>
      <c r="AD6852" s="5">
        <v>45212.0</v>
      </c>
      <c r="AE6852" s="6">
        <v>0.4166666666666667</v>
      </c>
      <c r="AF6852" s="7">
        <v>40925.04</v>
      </c>
    </row>
    <row r="6853">
      <c r="G6853" s="5"/>
      <c r="H6853" s="6"/>
      <c r="AD6853" s="5">
        <v>45212.0</v>
      </c>
      <c r="AE6853" s="6">
        <v>0.4583333333333333</v>
      </c>
      <c r="AF6853" s="7">
        <v>46616.7</v>
      </c>
    </row>
    <row r="6854">
      <c r="G6854" s="5"/>
      <c r="H6854" s="6"/>
      <c r="AD6854" s="5">
        <v>45212.0</v>
      </c>
      <c r="AE6854" s="6">
        <v>0.5</v>
      </c>
      <c r="AF6854" s="7">
        <v>46959.9</v>
      </c>
    </row>
    <row r="6855">
      <c r="G6855" s="5"/>
      <c r="H6855" s="6"/>
      <c r="AD6855" s="5">
        <v>45212.0</v>
      </c>
      <c r="AE6855" s="6">
        <v>0.5416666666666666</v>
      </c>
      <c r="AF6855" s="7">
        <v>44821.92</v>
      </c>
    </row>
    <row r="6856">
      <c r="G6856" s="5"/>
      <c r="H6856" s="6"/>
      <c r="AD6856" s="5">
        <v>45212.0</v>
      </c>
      <c r="AE6856" s="6">
        <v>0.5833333333333334</v>
      </c>
      <c r="AF6856" s="7">
        <v>39485.16</v>
      </c>
    </row>
    <row r="6857">
      <c r="G6857" s="5"/>
      <c r="H6857" s="6"/>
      <c r="AD6857" s="5">
        <v>45212.0</v>
      </c>
      <c r="AE6857" s="6">
        <v>0.625</v>
      </c>
      <c r="AF6857" s="7">
        <v>16398.72</v>
      </c>
    </row>
    <row r="6858">
      <c r="G6858" s="5"/>
      <c r="H6858" s="6"/>
      <c r="AD6858" s="5">
        <v>45212.0</v>
      </c>
      <c r="AE6858" s="6">
        <v>0.6666666666666666</v>
      </c>
      <c r="AF6858" s="7">
        <v>9679.8</v>
      </c>
    </row>
    <row r="6859">
      <c r="G6859" s="5"/>
      <c r="H6859" s="6"/>
      <c r="AD6859" s="5">
        <v>45212.0</v>
      </c>
      <c r="AE6859" s="6">
        <v>0.7083333333333334</v>
      </c>
      <c r="AF6859" s="7">
        <v>0.0</v>
      </c>
    </row>
    <row r="6860">
      <c r="G6860" s="5"/>
      <c r="H6860" s="6"/>
      <c r="AD6860" s="5">
        <v>45212.0</v>
      </c>
      <c r="AE6860" s="6">
        <v>0.75</v>
      </c>
      <c r="AF6860" s="7">
        <v>0.0</v>
      </c>
    </row>
    <row r="6861">
      <c r="G6861" s="5"/>
      <c r="H6861" s="6"/>
      <c r="AD6861" s="5">
        <v>45212.0</v>
      </c>
      <c r="AE6861" s="6">
        <v>0.7916666666666666</v>
      </c>
      <c r="AF6861" s="7">
        <v>0.0</v>
      </c>
    </row>
    <row r="6862">
      <c r="G6862" s="5"/>
      <c r="H6862" s="6"/>
      <c r="AD6862" s="5">
        <v>45212.0</v>
      </c>
      <c r="AE6862" s="6">
        <v>0.8333333333333334</v>
      </c>
      <c r="AF6862" s="7">
        <v>0.0</v>
      </c>
    </row>
    <row r="6863">
      <c r="G6863" s="5"/>
      <c r="H6863" s="6"/>
      <c r="AD6863" s="5">
        <v>45212.0</v>
      </c>
      <c r="AE6863" s="6">
        <v>0.875</v>
      </c>
      <c r="AF6863" s="7">
        <v>0.0</v>
      </c>
    </row>
    <row r="6864">
      <c r="G6864" s="5"/>
      <c r="H6864" s="6"/>
      <c r="AD6864" s="5">
        <v>45212.0</v>
      </c>
      <c r="AE6864" s="6">
        <v>0.9166666666666666</v>
      </c>
      <c r="AF6864" s="7">
        <v>0.0</v>
      </c>
    </row>
    <row r="6865">
      <c r="G6865" s="5"/>
      <c r="H6865" s="6"/>
      <c r="AD6865" s="5">
        <v>45212.0</v>
      </c>
      <c r="AE6865" s="6">
        <v>0.9583333333333334</v>
      </c>
      <c r="AF6865" s="7">
        <v>0.0</v>
      </c>
    </row>
    <row r="6866">
      <c r="G6866" s="5"/>
      <c r="H6866" s="6"/>
      <c r="AD6866" s="5">
        <v>45213.0</v>
      </c>
      <c r="AE6866" s="6">
        <v>0.0</v>
      </c>
      <c r="AF6866" s="7">
        <v>0.0</v>
      </c>
    </row>
    <row r="6867">
      <c r="G6867" s="5"/>
      <c r="H6867" s="6"/>
      <c r="AD6867" s="5">
        <v>45213.0</v>
      </c>
      <c r="AE6867" s="6">
        <v>0.041666666666666664</v>
      </c>
      <c r="AF6867" s="7">
        <v>0.0</v>
      </c>
    </row>
    <row r="6868">
      <c r="G6868" s="5"/>
      <c r="H6868" s="6"/>
      <c r="AD6868" s="5">
        <v>45213.0</v>
      </c>
      <c r="AE6868" s="6">
        <v>0.08333333333333333</v>
      </c>
      <c r="AF6868" s="7">
        <v>0.0</v>
      </c>
    </row>
    <row r="6869">
      <c r="G6869" s="5"/>
      <c r="H6869" s="6"/>
      <c r="AD6869" s="5">
        <v>45213.0</v>
      </c>
      <c r="AE6869" s="6">
        <v>0.125</v>
      </c>
      <c r="AF6869" s="7">
        <v>0.0</v>
      </c>
    </row>
    <row r="6870">
      <c r="G6870" s="5"/>
      <c r="H6870" s="6"/>
      <c r="AD6870" s="5">
        <v>45213.0</v>
      </c>
      <c r="AE6870" s="6">
        <v>0.16666666666666666</v>
      </c>
      <c r="AF6870" s="7">
        <v>0.0</v>
      </c>
    </row>
    <row r="6871">
      <c r="G6871" s="5"/>
      <c r="H6871" s="6"/>
      <c r="AD6871" s="5">
        <v>45213.0</v>
      </c>
      <c r="AE6871" s="6">
        <v>0.20833333333333334</v>
      </c>
      <c r="AF6871" s="7">
        <v>0.0</v>
      </c>
    </row>
    <row r="6872">
      <c r="G6872" s="5"/>
      <c r="H6872" s="6"/>
      <c r="AD6872" s="5">
        <v>45213.0</v>
      </c>
      <c r="AE6872" s="6">
        <v>0.25</v>
      </c>
      <c r="AF6872" s="7">
        <v>0.0</v>
      </c>
    </row>
    <row r="6873">
      <c r="G6873" s="5"/>
      <c r="H6873" s="6"/>
      <c r="AD6873" s="5">
        <v>45213.0</v>
      </c>
      <c r="AE6873" s="6">
        <v>0.2916666666666667</v>
      </c>
      <c r="AF6873" s="7">
        <v>423.54</v>
      </c>
    </row>
    <row r="6874">
      <c r="G6874" s="5"/>
      <c r="H6874" s="6"/>
      <c r="AD6874" s="5">
        <v>45213.0</v>
      </c>
      <c r="AE6874" s="6">
        <v>0.3333333333333333</v>
      </c>
      <c r="AF6874" s="7">
        <v>3366.48</v>
      </c>
    </row>
    <row r="6875">
      <c r="G6875" s="5"/>
      <c r="H6875" s="6"/>
      <c r="AD6875" s="5">
        <v>45213.0</v>
      </c>
      <c r="AE6875" s="6">
        <v>0.375</v>
      </c>
      <c r="AF6875" s="7">
        <v>7333.56</v>
      </c>
    </row>
    <row r="6876">
      <c r="G6876" s="5"/>
      <c r="H6876" s="6"/>
      <c r="AD6876" s="5">
        <v>45213.0</v>
      </c>
      <c r="AE6876" s="6">
        <v>0.4166666666666667</v>
      </c>
      <c r="AF6876" s="7">
        <v>17749.68</v>
      </c>
    </row>
    <row r="6877">
      <c r="G6877" s="5"/>
      <c r="H6877" s="6"/>
      <c r="AD6877" s="5">
        <v>45213.0</v>
      </c>
      <c r="AE6877" s="6">
        <v>0.4583333333333333</v>
      </c>
      <c r="AF6877" s="7">
        <v>23964.72</v>
      </c>
    </row>
    <row r="6878">
      <c r="G6878" s="5"/>
      <c r="H6878" s="6"/>
      <c r="AD6878" s="5">
        <v>45213.0</v>
      </c>
      <c r="AE6878" s="6">
        <v>0.5</v>
      </c>
      <c r="AF6878" s="7">
        <v>15186.6</v>
      </c>
    </row>
    <row r="6879">
      <c r="G6879" s="5"/>
      <c r="H6879" s="6"/>
      <c r="AD6879" s="5">
        <v>45213.0</v>
      </c>
      <c r="AE6879" s="6">
        <v>0.5416666666666666</v>
      </c>
      <c r="AF6879" s="7">
        <v>24035.7</v>
      </c>
    </row>
    <row r="6880">
      <c r="G6880" s="5"/>
      <c r="H6880" s="6"/>
      <c r="AD6880" s="5">
        <v>45213.0</v>
      </c>
      <c r="AE6880" s="6">
        <v>0.5833333333333334</v>
      </c>
      <c r="AF6880" s="7">
        <v>35008.74</v>
      </c>
    </row>
    <row r="6881">
      <c r="G6881" s="5"/>
      <c r="H6881" s="6"/>
      <c r="AD6881" s="5">
        <v>45213.0</v>
      </c>
      <c r="AE6881" s="6">
        <v>0.625</v>
      </c>
      <c r="AF6881" s="7">
        <v>23368.8</v>
      </c>
    </row>
    <row r="6882">
      <c r="G6882" s="5"/>
      <c r="H6882" s="6"/>
      <c r="AD6882" s="5">
        <v>45213.0</v>
      </c>
      <c r="AE6882" s="6">
        <v>0.6666666666666666</v>
      </c>
      <c r="AF6882" s="7">
        <v>9006.66</v>
      </c>
    </row>
    <row r="6883">
      <c r="G6883" s="5"/>
      <c r="H6883" s="6"/>
      <c r="AD6883" s="5">
        <v>45213.0</v>
      </c>
      <c r="AE6883" s="6">
        <v>0.7083333333333334</v>
      </c>
      <c r="AF6883" s="7">
        <v>29.64</v>
      </c>
    </row>
    <row r="6884">
      <c r="G6884" s="5"/>
      <c r="H6884" s="6"/>
      <c r="AD6884" s="5">
        <v>45213.0</v>
      </c>
      <c r="AE6884" s="6">
        <v>0.75</v>
      </c>
      <c r="AF6884" s="7">
        <v>0.0</v>
      </c>
    </row>
    <row r="6885">
      <c r="G6885" s="5"/>
      <c r="H6885" s="6"/>
      <c r="AD6885" s="5">
        <v>45213.0</v>
      </c>
      <c r="AE6885" s="6">
        <v>0.7916666666666666</v>
      </c>
      <c r="AF6885" s="7">
        <v>0.0</v>
      </c>
    </row>
    <row r="6886">
      <c r="G6886" s="5"/>
      <c r="H6886" s="6"/>
      <c r="AD6886" s="5">
        <v>45213.0</v>
      </c>
      <c r="AE6886" s="6">
        <v>0.8333333333333334</v>
      </c>
      <c r="AF6886" s="7">
        <v>0.0</v>
      </c>
    </row>
    <row r="6887">
      <c r="G6887" s="5"/>
      <c r="H6887" s="6"/>
      <c r="AD6887" s="5">
        <v>45213.0</v>
      </c>
      <c r="AE6887" s="6">
        <v>0.875</v>
      </c>
      <c r="AF6887" s="7">
        <v>0.0</v>
      </c>
    </row>
    <row r="6888">
      <c r="G6888" s="5"/>
      <c r="H6888" s="6"/>
      <c r="AD6888" s="5">
        <v>45213.0</v>
      </c>
      <c r="AE6888" s="6">
        <v>0.9166666666666666</v>
      </c>
      <c r="AF6888" s="7">
        <v>0.0</v>
      </c>
    </row>
    <row r="6889">
      <c r="G6889" s="5"/>
      <c r="H6889" s="6"/>
      <c r="AD6889" s="5">
        <v>45213.0</v>
      </c>
      <c r="AE6889" s="6">
        <v>0.9583333333333334</v>
      </c>
      <c r="AF6889" s="7">
        <v>0.0</v>
      </c>
    </row>
    <row r="6890">
      <c r="G6890" s="5"/>
      <c r="H6890" s="6"/>
      <c r="AD6890" s="5">
        <v>45214.0</v>
      </c>
      <c r="AE6890" s="6">
        <v>0.0</v>
      </c>
      <c r="AF6890" s="7">
        <v>0.0</v>
      </c>
    </row>
    <row r="6891">
      <c r="G6891" s="5"/>
      <c r="H6891" s="6"/>
      <c r="AD6891" s="5">
        <v>45214.0</v>
      </c>
      <c r="AE6891" s="6">
        <v>0.041666666666666664</v>
      </c>
      <c r="AF6891" s="7">
        <v>0.0</v>
      </c>
    </row>
    <row r="6892">
      <c r="G6892" s="5"/>
      <c r="H6892" s="6"/>
      <c r="AD6892" s="5">
        <v>45214.0</v>
      </c>
      <c r="AE6892" s="6">
        <v>0.08333333333333333</v>
      </c>
      <c r="AF6892" s="7">
        <v>0.0</v>
      </c>
    </row>
    <row r="6893">
      <c r="G6893" s="5"/>
      <c r="H6893" s="6"/>
      <c r="AD6893" s="5">
        <v>45214.0</v>
      </c>
      <c r="AE6893" s="6">
        <v>0.125</v>
      </c>
      <c r="AF6893" s="7">
        <v>0.0</v>
      </c>
    </row>
    <row r="6894">
      <c r="G6894" s="5"/>
      <c r="H6894" s="6"/>
      <c r="AD6894" s="5">
        <v>45214.0</v>
      </c>
      <c r="AE6894" s="6">
        <v>0.16666666666666666</v>
      </c>
      <c r="AF6894" s="7">
        <v>0.0</v>
      </c>
    </row>
    <row r="6895">
      <c r="G6895" s="5"/>
      <c r="H6895" s="6"/>
      <c r="AD6895" s="5">
        <v>45214.0</v>
      </c>
      <c r="AE6895" s="6">
        <v>0.20833333333333334</v>
      </c>
      <c r="AF6895" s="7">
        <v>0.0</v>
      </c>
    </row>
    <row r="6896">
      <c r="G6896" s="5"/>
      <c r="H6896" s="6"/>
      <c r="AD6896" s="5">
        <v>45214.0</v>
      </c>
      <c r="AE6896" s="6">
        <v>0.25</v>
      </c>
      <c r="AF6896" s="7">
        <v>0.0</v>
      </c>
    </row>
    <row r="6897">
      <c r="G6897" s="5"/>
      <c r="H6897" s="6"/>
      <c r="AD6897" s="5">
        <v>45214.0</v>
      </c>
      <c r="AE6897" s="6">
        <v>0.2916666666666667</v>
      </c>
      <c r="AF6897" s="7">
        <v>4960.02</v>
      </c>
    </row>
    <row r="6898">
      <c r="G6898" s="5"/>
      <c r="H6898" s="6"/>
      <c r="AD6898" s="5">
        <v>45214.0</v>
      </c>
      <c r="AE6898" s="6">
        <v>0.3333333333333333</v>
      </c>
      <c r="AF6898" s="7">
        <v>9785.1</v>
      </c>
    </row>
    <row r="6899">
      <c r="G6899" s="5"/>
      <c r="H6899" s="6"/>
      <c r="AD6899" s="5">
        <v>45214.0</v>
      </c>
      <c r="AE6899" s="6">
        <v>0.375</v>
      </c>
      <c r="AF6899" s="7">
        <v>33901.92</v>
      </c>
    </row>
    <row r="6900">
      <c r="G6900" s="5"/>
      <c r="H6900" s="6"/>
      <c r="AD6900" s="5">
        <v>45214.0</v>
      </c>
      <c r="AE6900" s="6">
        <v>0.4166666666666667</v>
      </c>
      <c r="AF6900" s="7">
        <v>41733.9</v>
      </c>
    </row>
    <row r="6901">
      <c r="G6901" s="5"/>
      <c r="H6901" s="6"/>
      <c r="AD6901" s="5">
        <v>45214.0</v>
      </c>
      <c r="AE6901" s="6">
        <v>0.4583333333333333</v>
      </c>
      <c r="AF6901" s="7">
        <v>45607.38</v>
      </c>
    </row>
    <row r="6902">
      <c r="G6902" s="5"/>
      <c r="H6902" s="6"/>
      <c r="AD6902" s="5">
        <v>45214.0</v>
      </c>
      <c r="AE6902" s="6">
        <v>0.5</v>
      </c>
      <c r="AF6902" s="7">
        <v>47881.08</v>
      </c>
    </row>
    <row r="6903">
      <c r="G6903" s="5"/>
      <c r="H6903" s="6"/>
      <c r="AD6903" s="5">
        <v>45214.0</v>
      </c>
      <c r="AE6903" s="6">
        <v>0.5416666666666666</v>
      </c>
      <c r="AF6903" s="7">
        <v>41315.04</v>
      </c>
    </row>
    <row r="6904">
      <c r="G6904" s="5"/>
      <c r="H6904" s="6"/>
      <c r="AD6904" s="5">
        <v>45214.0</v>
      </c>
      <c r="AE6904" s="6">
        <v>0.5833333333333334</v>
      </c>
      <c r="AF6904" s="7">
        <v>32736.6</v>
      </c>
    </row>
    <row r="6905">
      <c r="G6905" s="5"/>
      <c r="H6905" s="6"/>
      <c r="AD6905" s="5">
        <v>45214.0</v>
      </c>
      <c r="AE6905" s="6">
        <v>0.625</v>
      </c>
      <c r="AF6905" s="7">
        <v>25148.76</v>
      </c>
    </row>
    <row r="6906">
      <c r="G6906" s="5"/>
      <c r="H6906" s="6"/>
      <c r="AD6906" s="5">
        <v>45214.0</v>
      </c>
      <c r="AE6906" s="6">
        <v>0.6666666666666666</v>
      </c>
      <c r="AF6906" s="7">
        <v>11710.92</v>
      </c>
    </row>
    <row r="6907">
      <c r="G6907" s="5"/>
      <c r="H6907" s="6"/>
      <c r="AD6907" s="5">
        <v>45214.0</v>
      </c>
      <c r="AE6907" s="6">
        <v>0.7083333333333334</v>
      </c>
      <c r="AF6907" s="7">
        <v>0.0</v>
      </c>
    </row>
    <row r="6908">
      <c r="G6908" s="5"/>
      <c r="H6908" s="6"/>
      <c r="AD6908" s="5">
        <v>45214.0</v>
      </c>
      <c r="AE6908" s="6">
        <v>0.75</v>
      </c>
      <c r="AF6908" s="7">
        <v>0.0</v>
      </c>
    </row>
    <row r="6909">
      <c r="G6909" s="5"/>
      <c r="H6909" s="6"/>
      <c r="AD6909" s="5">
        <v>45214.0</v>
      </c>
      <c r="AE6909" s="6">
        <v>0.7916666666666666</v>
      </c>
      <c r="AF6909" s="7">
        <v>0.0</v>
      </c>
    </row>
    <row r="6910">
      <c r="G6910" s="5"/>
      <c r="H6910" s="6"/>
      <c r="AD6910" s="5">
        <v>45214.0</v>
      </c>
      <c r="AE6910" s="6">
        <v>0.8333333333333334</v>
      </c>
      <c r="AF6910" s="7">
        <v>0.0</v>
      </c>
    </row>
    <row r="6911">
      <c r="G6911" s="5"/>
      <c r="H6911" s="6"/>
      <c r="AD6911" s="5">
        <v>45214.0</v>
      </c>
      <c r="AE6911" s="6">
        <v>0.875</v>
      </c>
      <c r="AF6911" s="7">
        <v>0.0</v>
      </c>
    </row>
    <row r="6912">
      <c r="G6912" s="5"/>
      <c r="H6912" s="6"/>
      <c r="AD6912" s="5">
        <v>45214.0</v>
      </c>
      <c r="AE6912" s="6">
        <v>0.9166666666666666</v>
      </c>
      <c r="AF6912" s="7">
        <v>0.0</v>
      </c>
    </row>
    <row r="6913">
      <c r="G6913" s="5"/>
      <c r="H6913" s="6"/>
      <c r="AD6913" s="5">
        <v>45214.0</v>
      </c>
      <c r="AE6913" s="6">
        <v>0.9583333333333334</v>
      </c>
      <c r="AF6913" s="7">
        <v>0.0</v>
      </c>
    </row>
    <row r="6914">
      <c r="G6914" s="5"/>
      <c r="H6914" s="6"/>
      <c r="AD6914" s="5">
        <v>45215.0</v>
      </c>
      <c r="AE6914" s="6">
        <v>0.0</v>
      </c>
      <c r="AF6914" s="7">
        <v>0.0</v>
      </c>
    </row>
    <row r="6915">
      <c r="G6915" s="5"/>
      <c r="H6915" s="6"/>
      <c r="AD6915" s="5">
        <v>45215.0</v>
      </c>
      <c r="AE6915" s="6">
        <v>0.041666666666666664</v>
      </c>
      <c r="AF6915" s="7">
        <v>0.0</v>
      </c>
    </row>
    <row r="6916">
      <c r="G6916" s="5"/>
      <c r="H6916" s="6"/>
      <c r="AD6916" s="5">
        <v>45215.0</v>
      </c>
      <c r="AE6916" s="6">
        <v>0.08333333333333333</v>
      </c>
      <c r="AF6916" s="7">
        <v>0.0</v>
      </c>
    </row>
    <row r="6917">
      <c r="G6917" s="5"/>
      <c r="H6917" s="6"/>
      <c r="AD6917" s="5">
        <v>45215.0</v>
      </c>
      <c r="AE6917" s="6">
        <v>0.125</v>
      </c>
      <c r="AF6917" s="7">
        <v>0.0</v>
      </c>
    </row>
    <row r="6918">
      <c r="G6918" s="5"/>
      <c r="H6918" s="6"/>
      <c r="AD6918" s="5">
        <v>45215.0</v>
      </c>
      <c r="AE6918" s="6">
        <v>0.16666666666666666</v>
      </c>
      <c r="AF6918" s="7">
        <v>0.0</v>
      </c>
    </row>
    <row r="6919">
      <c r="G6919" s="5"/>
      <c r="H6919" s="6"/>
      <c r="AD6919" s="5">
        <v>45215.0</v>
      </c>
      <c r="AE6919" s="6">
        <v>0.20833333333333334</v>
      </c>
      <c r="AF6919" s="7">
        <v>0.0</v>
      </c>
    </row>
    <row r="6920">
      <c r="G6920" s="5"/>
      <c r="H6920" s="6"/>
      <c r="AD6920" s="5">
        <v>45215.0</v>
      </c>
      <c r="AE6920" s="6">
        <v>0.25</v>
      </c>
      <c r="AF6920" s="7">
        <v>0.0</v>
      </c>
    </row>
    <row r="6921">
      <c r="G6921" s="5"/>
      <c r="H6921" s="6"/>
      <c r="AD6921" s="5">
        <v>45215.0</v>
      </c>
      <c r="AE6921" s="6">
        <v>0.2916666666666667</v>
      </c>
      <c r="AF6921" s="7">
        <v>4544.28</v>
      </c>
    </row>
    <row r="6922">
      <c r="G6922" s="5"/>
      <c r="H6922" s="6"/>
      <c r="AD6922" s="5">
        <v>45215.0</v>
      </c>
      <c r="AE6922" s="6">
        <v>0.3333333333333333</v>
      </c>
      <c r="AF6922" s="7">
        <v>8278.14</v>
      </c>
    </row>
    <row r="6923">
      <c r="G6923" s="5"/>
      <c r="H6923" s="6"/>
      <c r="AD6923" s="5">
        <v>45215.0</v>
      </c>
      <c r="AE6923" s="6">
        <v>0.375</v>
      </c>
      <c r="AF6923" s="7">
        <v>28053.48</v>
      </c>
    </row>
    <row r="6924">
      <c r="G6924" s="5"/>
      <c r="H6924" s="6"/>
      <c r="AD6924" s="5">
        <v>45215.0</v>
      </c>
      <c r="AE6924" s="6">
        <v>0.4166666666666667</v>
      </c>
      <c r="AF6924" s="7">
        <v>31426.98</v>
      </c>
    </row>
    <row r="6925">
      <c r="G6925" s="5"/>
      <c r="H6925" s="6"/>
      <c r="AD6925" s="5">
        <v>45215.0</v>
      </c>
      <c r="AE6925" s="6">
        <v>0.4583333333333333</v>
      </c>
      <c r="AF6925" s="7">
        <v>40380.6</v>
      </c>
    </row>
    <row r="6926">
      <c r="G6926" s="5"/>
      <c r="H6926" s="6"/>
      <c r="AD6926" s="5">
        <v>45215.0</v>
      </c>
      <c r="AE6926" s="6">
        <v>0.5</v>
      </c>
      <c r="AF6926" s="7">
        <v>42765.84</v>
      </c>
    </row>
    <row r="6927">
      <c r="G6927" s="5"/>
      <c r="H6927" s="6"/>
      <c r="AD6927" s="5">
        <v>45215.0</v>
      </c>
      <c r="AE6927" s="6">
        <v>0.5416666666666666</v>
      </c>
      <c r="AF6927" s="7">
        <v>33631.26</v>
      </c>
    </row>
    <row r="6928">
      <c r="G6928" s="5"/>
      <c r="H6928" s="6"/>
      <c r="AD6928" s="5">
        <v>45215.0</v>
      </c>
      <c r="AE6928" s="6">
        <v>0.5833333333333334</v>
      </c>
      <c r="AF6928" s="7">
        <v>18277.74</v>
      </c>
    </row>
    <row r="6929">
      <c r="G6929" s="5"/>
      <c r="H6929" s="6"/>
      <c r="AD6929" s="5">
        <v>45215.0</v>
      </c>
      <c r="AE6929" s="6">
        <v>0.625</v>
      </c>
      <c r="AF6929" s="7">
        <v>25863.24</v>
      </c>
    </row>
    <row r="6930">
      <c r="G6930" s="5"/>
      <c r="H6930" s="6"/>
      <c r="AD6930" s="5">
        <v>45215.0</v>
      </c>
      <c r="AE6930" s="6">
        <v>0.6666666666666666</v>
      </c>
      <c r="AF6930" s="7">
        <v>12048.66</v>
      </c>
    </row>
    <row r="6931">
      <c r="G6931" s="5"/>
      <c r="H6931" s="6"/>
      <c r="AD6931" s="5">
        <v>45215.0</v>
      </c>
      <c r="AE6931" s="6">
        <v>0.7083333333333334</v>
      </c>
      <c r="AF6931" s="7">
        <v>0.0</v>
      </c>
    </row>
    <row r="6932">
      <c r="G6932" s="5"/>
      <c r="H6932" s="6"/>
      <c r="AD6932" s="5">
        <v>45215.0</v>
      </c>
      <c r="AE6932" s="6">
        <v>0.75</v>
      </c>
      <c r="AF6932" s="7">
        <v>0.0</v>
      </c>
    </row>
    <row r="6933">
      <c r="G6933" s="5"/>
      <c r="H6933" s="6"/>
      <c r="AD6933" s="5">
        <v>45215.0</v>
      </c>
      <c r="AE6933" s="6">
        <v>0.7916666666666666</v>
      </c>
      <c r="AF6933" s="7">
        <v>0.0</v>
      </c>
    </row>
    <row r="6934">
      <c r="G6934" s="5"/>
      <c r="H6934" s="6"/>
      <c r="AD6934" s="5">
        <v>45215.0</v>
      </c>
      <c r="AE6934" s="6">
        <v>0.8333333333333334</v>
      </c>
      <c r="AF6934" s="7">
        <v>0.0</v>
      </c>
    </row>
    <row r="6935">
      <c r="G6935" s="5"/>
      <c r="H6935" s="6"/>
      <c r="AD6935" s="5">
        <v>45215.0</v>
      </c>
      <c r="AE6935" s="6">
        <v>0.875</v>
      </c>
      <c r="AF6935" s="7">
        <v>0.0</v>
      </c>
    </row>
    <row r="6936">
      <c r="G6936" s="5"/>
      <c r="H6936" s="6"/>
      <c r="AD6936" s="5">
        <v>45215.0</v>
      </c>
      <c r="AE6936" s="6">
        <v>0.9166666666666666</v>
      </c>
      <c r="AF6936" s="7">
        <v>0.0</v>
      </c>
    </row>
    <row r="6937">
      <c r="G6937" s="5"/>
      <c r="H6937" s="6"/>
      <c r="AD6937" s="5">
        <v>45215.0</v>
      </c>
      <c r="AE6937" s="6">
        <v>0.9583333333333334</v>
      </c>
      <c r="AF6937" s="7">
        <v>0.0</v>
      </c>
    </row>
    <row r="6938">
      <c r="G6938" s="5"/>
      <c r="H6938" s="6"/>
      <c r="AD6938" s="5">
        <v>45216.0</v>
      </c>
      <c r="AE6938" s="6">
        <v>0.0</v>
      </c>
      <c r="AF6938" s="7">
        <v>0.0</v>
      </c>
    </row>
    <row r="6939">
      <c r="G6939" s="5"/>
      <c r="H6939" s="6"/>
      <c r="AD6939" s="5">
        <v>45216.0</v>
      </c>
      <c r="AE6939" s="6">
        <v>0.041666666666666664</v>
      </c>
      <c r="AF6939" s="7">
        <v>0.0</v>
      </c>
    </row>
    <row r="6940">
      <c r="G6940" s="5"/>
      <c r="H6940" s="6"/>
      <c r="AD6940" s="5">
        <v>45216.0</v>
      </c>
      <c r="AE6940" s="6">
        <v>0.08333333333333333</v>
      </c>
      <c r="AF6940" s="7">
        <v>0.0</v>
      </c>
    </row>
    <row r="6941">
      <c r="G6941" s="5"/>
      <c r="H6941" s="6"/>
      <c r="AD6941" s="5">
        <v>45216.0</v>
      </c>
      <c r="AE6941" s="6">
        <v>0.125</v>
      </c>
      <c r="AF6941" s="7">
        <v>0.0</v>
      </c>
    </row>
    <row r="6942">
      <c r="G6942" s="5"/>
      <c r="H6942" s="6"/>
      <c r="AD6942" s="5">
        <v>45216.0</v>
      </c>
      <c r="AE6942" s="6">
        <v>0.16666666666666666</v>
      </c>
      <c r="AF6942" s="7">
        <v>0.0</v>
      </c>
    </row>
    <row r="6943">
      <c r="G6943" s="5"/>
      <c r="H6943" s="6"/>
      <c r="AD6943" s="5">
        <v>45216.0</v>
      </c>
      <c r="AE6943" s="6">
        <v>0.20833333333333334</v>
      </c>
      <c r="AF6943" s="7">
        <v>0.0</v>
      </c>
    </row>
    <row r="6944">
      <c r="G6944" s="5"/>
      <c r="H6944" s="6"/>
      <c r="AD6944" s="5">
        <v>45216.0</v>
      </c>
      <c r="AE6944" s="6">
        <v>0.25</v>
      </c>
      <c r="AF6944" s="7">
        <v>0.0</v>
      </c>
    </row>
    <row r="6945">
      <c r="G6945" s="5"/>
      <c r="H6945" s="6"/>
      <c r="AD6945" s="5">
        <v>45216.0</v>
      </c>
      <c r="AE6945" s="6">
        <v>0.2916666666666667</v>
      </c>
      <c r="AF6945" s="7">
        <v>5284.5</v>
      </c>
    </row>
    <row r="6946">
      <c r="G6946" s="5"/>
      <c r="H6946" s="6"/>
      <c r="AD6946" s="5">
        <v>45216.0</v>
      </c>
      <c r="AE6946" s="6">
        <v>0.3333333333333333</v>
      </c>
      <c r="AF6946" s="7">
        <v>2792.4</v>
      </c>
    </row>
    <row r="6947">
      <c r="G6947" s="5"/>
      <c r="H6947" s="6"/>
      <c r="AD6947" s="5">
        <v>45216.0</v>
      </c>
      <c r="AE6947" s="6">
        <v>0.375</v>
      </c>
      <c r="AF6947" s="7">
        <v>11314.68</v>
      </c>
    </row>
    <row r="6948">
      <c r="G6948" s="5"/>
      <c r="H6948" s="6"/>
      <c r="AD6948" s="5">
        <v>45216.0</v>
      </c>
      <c r="AE6948" s="6">
        <v>0.4166666666666667</v>
      </c>
      <c r="AF6948" s="7">
        <v>9648.6</v>
      </c>
    </row>
    <row r="6949">
      <c r="G6949" s="5"/>
      <c r="H6949" s="6"/>
      <c r="AD6949" s="5">
        <v>45216.0</v>
      </c>
      <c r="AE6949" s="6">
        <v>0.4583333333333333</v>
      </c>
      <c r="AF6949" s="7">
        <v>23148.06</v>
      </c>
    </row>
    <row r="6950">
      <c r="G6950" s="5"/>
      <c r="H6950" s="6"/>
      <c r="AD6950" s="5">
        <v>45216.0</v>
      </c>
      <c r="AE6950" s="6">
        <v>0.5</v>
      </c>
      <c r="AF6950" s="7">
        <v>28952.04</v>
      </c>
    </row>
    <row r="6951">
      <c r="G6951" s="5"/>
      <c r="H6951" s="6"/>
      <c r="AD6951" s="5">
        <v>45216.0</v>
      </c>
      <c r="AE6951" s="6">
        <v>0.5416666666666666</v>
      </c>
      <c r="AF6951" s="7">
        <v>26703.3</v>
      </c>
    </row>
    <row r="6952">
      <c r="G6952" s="5"/>
      <c r="H6952" s="6"/>
      <c r="AD6952" s="5">
        <v>45216.0</v>
      </c>
      <c r="AE6952" s="6">
        <v>0.5833333333333334</v>
      </c>
      <c r="AF6952" s="7">
        <v>34105.5</v>
      </c>
    </row>
    <row r="6953">
      <c r="G6953" s="5"/>
      <c r="H6953" s="6"/>
      <c r="AD6953" s="5">
        <v>45216.0</v>
      </c>
      <c r="AE6953" s="6">
        <v>0.625</v>
      </c>
      <c r="AF6953" s="7">
        <v>22813.44</v>
      </c>
    </row>
    <row r="6954">
      <c r="G6954" s="5"/>
      <c r="H6954" s="6"/>
      <c r="AD6954" s="5">
        <v>45216.0</v>
      </c>
      <c r="AE6954" s="6">
        <v>0.6666666666666666</v>
      </c>
      <c r="AF6954" s="7">
        <v>6269.64</v>
      </c>
    </row>
    <row r="6955">
      <c r="G6955" s="5"/>
      <c r="H6955" s="6"/>
      <c r="AD6955" s="5">
        <v>45216.0</v>
      </c>
      <c r="AE6955" s="6">
        <v>0.7083333333333334</v>
      </c>
      <c r="AF6955" s="7">
        <v>0.0</v>
      </c>
    </row>
    <row r="6956">
      <c r="G6956" s="5"/>
      <c r="H6956" s="6"/>
      <c r="AD6956" s="5">
        <v>45216.0</v>
      </c>
      <c r="AE6956" s="6">
        <v>0.75</v>
      </c>
      <c r="AF6956" s="7">
        <v>0.0</v>
      </c>
    </row>
    <row r="6957">
      <c r="G6957" s="5"/>
      <c r="H6957" s="6"/>
      <c r="AD6957" s="5">
        <v>45216.0</v>
      </c>
      <c r="AE6957" s="6">
        <v>0.7916666666666666</v>
      </c>
      <c r="AF6957" s="7">
        <v>0.0</v>
      </c>
    </row>
    <row r="6958">
      <c r="G6958" s="5"/>
      <c r="H6958" s="6"/>
      <c r="AD6958" s="5">
        <v>45216.0</v>
      </c>
      <c r="AE6958" s="6">
        <v>0.8333333333333334</v>
      </c>
      <c r="AF6958" s="7">
        <v>0.0</v>
      </c>
    </row>
    <row r="6959">
      <c r="G6959" s="5"/>
      <c r="H6959" s="6"/>
      <c r="AD6959" s="5">
        <v>45216.0</v>
      </c>
      <c r="AE6959" s="6">
        <v>0.875</v>
      </c>
      <c r="AF6959" s="7">
        <v>0.0</v>
      </c>
    </row>
    <row r="6960">
      <c r="G6960" s="5"/>
      <c r="H6960" s="6"/>
      <c r="AD6960" s="5">
        <v>45216.0</v>
      </c>
      <c r="AE6960" s="6">
        <v>0.9166666666666666</v>
      </c>
      <c r="AF6960" s="7">
        <v>0.0</v>
      </c>
    </row>
    <row r="6961">
      <c r="G6961" s="5"/>
      <c r="H6961" s="6"/>
      <c r="AD6961" s="5">
        <v>45216.0</v>
      </c>
      <c r="AE6961" s="6">
        <v>0.9583333333333334</v>
      </c>
      <c r="AF6961" s="7">
        <v>0.0</v>
      </c>
    </row>
    <row r="6962">
      <c r="G6962" s="5"/>
      <c r="H6962" s="6"/>
      <c r="AD6962" s="5">
        <v>45217.0</v>
      </c>
      <c r="AE6962" s="6">
        <v>0.0</v>
      </c>
      <c r="AF6962" s="7">
        <v>0.0</v>
      </c>
    </row>
    <row r="6963">
      <c r="G6963" s="5"/>
      <c r="H6963" s="6"/>
      <c r="AD6963" s="5">
        <v>45217.0</v>
      </c>
      <c r="AE6963" s="6">
        <v>0.041666666666666664</v>
      </c>
      <c r="AF6963" s="7">
        <v>0.0</v>
      </c>
    </row>
    <row r="6964">
      <c r="G6964" s="5"/>
      <c r="H6964" s="6"/>
      <c r="AD6964" s="5">
        <v>45217.0</v>
      </c>
      <c r="AE6964" s="6">
        <v>0.08333333333333333</v>
      </c>
      <c r="AF6964" s="7">
        <v>0.0</v>
      </c>
    </row>
    <row r="6965">
      <c r="G6965" s="5"/>
      <c r="H6965" s="6"/>
      <c r="AD6965" s="5">
        <v>45217.0</v>
      </c>
      <c r="AE6965" s="6">
        <v>0.125</v>
      </c>
      <c r="AF6965" s="7">
        <v>0.0</v>
      </c>
    </row>
    <row r="6966">
      <c r="G6966" s="5"/>
      <c r="H6966" s="6"/>
      <c r="AD6966" s="5">
        <v>45217.0</v>
      </c>
      <c r="AE6966" s="6">
        <v>0.16666666666666666</v>
      </c>
      <c r="AF6966" s="7">
        <v>0.0</v>
      </c>
    </row>
    <row r="6967">
      <c r="G6967" s="5"/>
      <c r="H6967" s="6"/>
      <c r="AD6967" s="5">
        <v>45217.0</v>
      </c>
      <c r="AE6967" s="6">
        <v>0.20833333333333334</v>
      </c>
      <c r="AF6967" s="7">
        <v>0.0</v>
      </c>
    </row>
    <row r="6968">
      <c r="G6968" s="5"/>
      <c r="H6968" s="6"/>
      <c r="AD6968" s="5">
        <v>45217.0</v>
      </c>
      <c r="AE6968" s="6">
        <v>0.25</v>
      </c>
      <c r="AF6968" s="7">
        <v>0.0</v>
      </c>
    </row>
    <row r="6969">
      <c r="G6969" s="5"/>
      <c r="H6969" s="6"/>
      <c r="AD6969" s="5">
        <v>45217.0</v>
      </c>
      <c r="AE6969" s="6">
        <v>0.2916666666666667</v>
      </c>
      <c r="AF6969" s="7">
        <v>1985.88</v>
      </c>
    </row>
    <row r="6970">
      <c r="G6970" s="5"/>
      <c r="H6970" s="6"/>
      <c r="AD6970" s="5">
        <v>45217.0</v>
      </c>
      <c r="AE6970" s="6">
        <v>0.3333333333333333</v>
      </c>
      <c r="AF6970" s="7">
        <v>10886.46</v>
      </c>
    </row>
    <row r="6971">
      <c r="G6971" s="5"/>
      <c r="H6971" s="6"/>
      <c r="AD6971" s="5">
        <v>45217.0</v>
      </c>
      <c r="AE6971" s="6">
        <v>0.375</v>
      </c>
      <c r="AF6971" s="7">
        <v>32656.26</v>
      </c>
    </row>
    <row r="6972">
      <c r="G6972" s="5"/>
      <c r="H6972" s="6"/>
      <c r="AD6972" s="5">
        <v>45217.0</v>
      </c>
      <c r="AE6972" s="6">
        <v>0.4166666666666667</v>
      </c>
      <c r="AF6972" s="7">
        <v>32157.84</v>
      </c>
    </row>
    <row r="6973">
      <c r="G6973" s="5"/>
      <c r="H6973" s="6"/>
      <c r="AD6973" s="5">
        <v>45217.0</v>
      </c>
      <c r="AE6973" s="6">
        <v>0.4583333333333333</v>
      </c>
      <c r="AF6973" s="7">
        <v>16485.3</v>
      </c>
    </row>
    <row r="6974">
      <c r="G6974" s="5"/>
      <c r="H6974" s="6"/>
      <c r="AD6974" s="5">
        <v>45217.0</v>
      </c>
      <c r="AE6974" s="6">
        <v>0.5</v>
      </c>
      <c r="AF6974" s="7">
        <v>27771.12</v>
      </c>
    </row>
    <row r="6975">
      <c r="G6975" s="5"/>
      <c r="H6975" s="6"/>
      <c r="AD6975" s="5">
        <v>45217.0</v>
      </c>
      <c r="AE6975" s="6">
        <v>0.5416666666666666</v>
      </c>
      <c r="AF6975" s="7">
        <v>27128.4</v>
      </c>
    </row>
    <row r="6976">
      <c r="G6976" s="5"/>
      <c r="H6976" s="6"/>
      <c r="AD6976" s="5">
        <v>45217.0</v>
      </c>
      <c r="AE6976" s="6">
        <v>0.5833333333333334</v>
      </c>
      <c r="AF6976" s="7">
        <v>36400.26</v>
      </c>
    </row>
    <row r="6977">
      <c r="G6977" s="5"/>
      <c r="H6977" s="6"/>
      <c r="AD6977" s="5">
        <v>45217.0</v>
      </c>
      <c r="AE6977" s="6">
        <v>0.625</v>
      </c>
      <c r="AF6977" s="7">
        <v>23656.62</v>
      </c>
    </row>
    <row r="6978">
      <c r="G6978" s="5"/>
      <c r="H6978" s="6"/>
      <c r="AD6978" s="5">
        <v>45217.0</v>
      </c>
      <c r="AE6978" s="6">
        <v>0.6666666666666666</v>
      </c>
      <c r="AF6978" s="7">
        <v>1237.08</v>
      </c>
    </row>
    <row r="6979">
      <c r="G6979" s="5"/>
      <c r="H6979" s="6"/>
      <c r="AD6979" s="5">
        <v>45217.0</v>
      </c>
      <c r="AE6979" s="6">
        <v>0.7083333333333334</v>
      </c>
      <c r="AF6979" s="7">
        <v>0.0</v>
      </c>
    </row>
    <row r="6980">
      <c r="G6980" s="5"/>
      <c r="H6980" s="6"/>
      <c r="AD6980" s="5">
        <v>45217.0</v>
      </c>
      <c r="AE6980" s="6">
        <v>0.75</v>
      </c>
      <c r="AF6980" s="7">
        <v>0.0</v>
      </c>
    </row>
    <row r="6981">
      <c r="G6981" s="5"/>
      <c r="H6981" s="6"/>
      <c r="AD6981" s="5">
        <v>45217.0</v>
      </c>
      <c r="AE6981" s="6">
        <v>0.7916666666666666</v>
      </c>
      <c r="AF6981" s="7">
        <v>0.0</v>
      </c>
    </row>
    <row r="6982">
      <c r="G6982" s="5"/>
      <c r="H6982" s="6"/>
      <c r="AD6982" s="5">
        <v>45217.0</v>
      </c>
      <c r="AE6982" s="6">
        <v>0.8333333333333334</v>
      </c>
      <c r="AF6982" s="7">
        <v>0.0</v>
      </c>
    </row>
    <row r="6983">
      <c r="G6983" s="5"/>
      <c r="H6983" s="6"/>
      <c r="AD6983" s="5">
        <v>45217.0</v>
      </c>
      <c r="AE6983" s="6">
        <v>0.875</v>
      </c>
      <c r="AF6983" s="7">
        <v>0.0</v>
      </c>
    </row>
    <row r="6984">
      <c r="G6984" s="5"/>
      <c r="H6984" s="6"/>
      <c r="AD6984" s="5">
        <v>45217.0</v>
      </c>
      <c r="AE6984" s="6">
        <v>0.9166666666666666</v>
      </c>
      <c r="AF6984" s="7">
        <v>0.0</v>
      </c>
    </row>
    <row r="6985">
      <c r="G6985" s="5"/>
      <c r="H6985" s="6"/>
      <c r="AD6985" s="5">
        <v>45217.0</v>
      </c>
      <c r="AE6985" s="6">
        <v>0.9583333333333334</v>
      </c>
      <c r="AF6985" s="7">
        <v>0.0</v>
      </c>
    </row>
    <row r="6986">
      <c r="G6986" s="5"/>
      <c r="H6986" s="6"/>
      <c r="AD6986" s="5">
        <v>45218.0</v>
      </c>
      <c r="AE6986" s="6">
        <v>0.0</v>
      </c>
      <c r="AF6986" s="7">
        <v>0.0</v>
      </c>
    </row>
    <row r="6987">
      <c r="G6987" s="5"/>
      <c r="H6987" s="6"/>
      <c r="AD6987" s="5">
        <v>45218.0</v>
      </c>
      <c r="AE6987" s="6">
        <v>0.041666666666666664</v>
      </c>
      <c r="AF6987" s="7">
        <v>0.0</v>
      </c>
    </row>
    <row r="6988">
      <c r="G6988" s="5"/>
      <c r="H6988" s="6"/>
      <c r="AD6988" s="5">
        <v>45218.0</v>
      </c>
      <c r="AE6988" s="6">
        <v>0.08333333333333333</v>
      </c>
      <c r="AF6988" s="7">
        <v>0.0</v>
      </c>
    </row>
    <row r="6989">
      <c r="G6989" s="5"/>
      <c r="H6989" s="6"/>
      <c r="AD6989" s="5">
        <v>45218.0</v>
      </c>
      <c r="AE6989" s="6">
        <v>0.125</v>
      </c>
      <c r="AF6989" s="7">
        <v>0.0</v>
      </c>
    </row>
    <row r="6990">
      <c r="G6990" s="5"/>
      <c r="H6990" s="6"/>
      <c r="AD6990" s="5">
        <v>45218.0</v>
      </c>
      <c r="AE6990" s="6">
        <v>0.16666666666666666</v>
      </c>
      <c r="AF6990" s="7">
        <v>0.0</v>
      </c>
    </row>
    <row r="6991">
      <c r="G6991" s="5"/>
      <c r="H6991" s="6"/>
      <c r="AD6991" s="5">
        <v>45218.0</v>
      </c>
      <c r="AE6991" s="6">
        <v>0.20833333333333334</v>
      </c>
      <c r="AF6991" s="7">
        <v>0.0</v>
      </c>
    </row>
    <row r="6992">
      <c r="G6992" s="5"/>
      <c r="H6992" s="6"/>
      <c r="AD6992" s="5">
        <v>45218.0</v>
      </c>
      <c r="AE6992" s="6">
        <v>0.25</v>
      </c>
      <c r="AF6992" s="7">
        <v>0.0</v>
      </c>
    </row>
    <row r="6993">
      <c r="G6993" s="5"/>
      <c r="H6993" s="6"/>
      <c r="AD6993" s="5">
        <v>45218.0</v>
      </c>
      <c r="AE6993" s="6">
        <v>0.2916666666666667</v>
      </c>
      <c r="AF6993" s="7">
        <v>473.46</v>
      </c>
    </row>
    <row r="6994">
      <c r="G6994" s="5"/>
      <c r="H6994" s="6"/>
      <c r="AD6994" s="5">
        <v>45218.0</v>
      </c>
      <c r="AE6994" s="6">
        <v>0.3333333333333333</v>
      </c>
      <c r="AF6994" s="7">
        <v>1461.72</v>
      </c>
    </row>
    <row r="6995">
      <c r="G6995" s="5"/>
      <c r="H6995" s="6"/>
      <c r="AD6995" s="5">
        <v>45218.0</v>
      </c>
      <c r="AE6995" s="6">
        <v>0.375</v>
      </c>
      <c r="AF6995" s="7">
        <v>12022.14</v>
      </c>
    </row>
    <row r="6996">
      <c r="G6996" s="5"/>
      <c r="H6996" s="6"/>
      <c r="AD6996" s="5">
        <v>45218.0</v>
      </c>
      <c r="AE6996" s="6">
        <v>0.4166666666666667</v>
      </c>
      <c r="AF6996" s="7">
        <v>3682.38</v>
      </c>
    </row>
    <row r="6997">
      <c r="G6997" s="5"/>
      <c r="H6997" s="6"/>
      <c r="AD6997" s="5">
        <v>45218.0</v>
      </c>
      <c r="AE6997" s="6">
        <v>0.4583333333333333</v>
      </c>
      <c r="AF6997" s="7">
        <v>4790.76</v>
      </c>
    </row>
    <row r="6998">
      <c r="G6998" s="5"/>
      <c r="H6998" s="6"/>
      <c r="AD6998" s="5">
        <v>45218.0</v>
      </c>
      <c r="AE6998" s="6">
        <v>0.5</v>
      </c>
      <c r="AF6998" s="7">
        <v>3854.76</v>
      </c>
    </row>
    <row r="6999">
      <c r="G6999" s="5"/>
      <c r="H6999" s="6"/>
      <c r="AD6999" s="5">
        <v>45218.0</v>
      </c>
      <c r="AE6999" s="6">
        <v>0.5416666666666666</v>
      </c>
      <c r="AF6999" s="7">
        <v>9226.62</v>
      </c>
    </row>
    <row r="7000">
      <c r="G7000" s="5"/>
      <c r="H7000" s="6"/>
      <c r="AD7000" s="5">
        <v>45218.0</v>
      </c>
      <c r="AE7000" s="6">
        <v>0.5833333333333334</v>
      </c>
      <c r="AF7000" s="7">
        <v>1902.42</v>
      </c>
    </row>
    <row r="7001">
      <c r="G7001" s="5"/>
      <c r="H7001" s="6"/>
      <c r="AD7001" s="5">
        <v>45218.0</v>
      </c>
      <c r="AE7001" s="6">
        <v>0.625</v>
      </c>
      <c r="AF7001" s="7">
        <v>1836.12</v>
      </c>
    </row>
    <row r="7002">
      <c r="G7002" s="5"/>
      <c r="H7002" s="6"/>
      <c r="AD7002" s="5">
        <v>45218.0</v>
      </c>
      <c r="AE7002" s="6">
        <v>0.6666666666666666</v>
      </c>
      <c r="AF7002" s="7">
        <v>2176.2</v>
      </c>
    </row>
    <row r="7003">
      <c r="G7003" s="5"/>
      <c r="H7003" s="6"/>
      <c r="AD7003" s="5">
        <v>45218.0</v>
      </c>
      <c r="AE7003" s="6">
        <v>0.7083333333333334</v>
      </c>
      <c r="AF7003" s="7">
        <v>0.0</v>
      </c>
    </row>
    <row r="7004">
      <c r="G7004" s="5"/>
      <c r="H7004" s="6"/>
      <c r="AD7004" s="5">
        <v>45218.0</v>
      </c>
      <c r="AE7004" s="6">
        <v>0.75</v>
      </c>
      <c r="AF7004" s="7">
        <v>0.0</v>
      </c>
    </row>
    <row r="7005">
      <c r="G7005" s="5"/>
      <c r="H7005" s="6"/>
      <c r="AD7005" s="5">
        <v>45218.0</v>
      </c>
      <c r="AE7005" s="6">
        <v>0.7916666666666666</v>
      </c>
      <c r="AF7005" s="7">
        <v>0.0</v>
      </c>
    </row>
    <row r="7006">
      <c r="G7006" s="5"/>
      <c r="H7006" s="6"/>
      <c r="AD7006" s="5">
        <v>45218.0</v>
      </c>
      <c r="AE7006" s="6">
        <v>0.8333333333333334</v>
      </c>
      <c r="AF7006" s="7">
        <v>0.0</v>
      </c>
    </row>
    <row r="7007">
      <c r="G7007" s="5"/>
      <c r="H7007" s="6"/>
      <c r="AD7007" s="5">
        <v>45218.0</v>
      </c>
      <c r="AE7007" s="6">
        <v>0.875</v>
      </c>
      <c r="AF7007" s="7">
        <v>0.0</v>
      </c>
    </row>
    <row r="7008">
      <c r="G7008" s="5"/>
      <c r="H7008" s="6"/>
      <c r="AD7008" s="5">
        <v>45218.0</v>
      </c>
      <c r="AE7008" s="6">
        <v>0.9166666666666666</v>
      </c>
      <c r="AF7008" s="7">
        <v>0.0</v>
      </c>
    </row>
    <row r="7009">
      <c r="G7009" s="5"/>
      <c r="H7009" s="6"/>
      <c r="AD7009" s="5">
        <v>45218.0</v>
      </c>
      <c r="AE7009" s="6">
        <v>0.9583333333333334</v>
      </c>
      <c r="AF7009" s="7">
        <v>0.0</v>
      </c>
    </row>
    <row r="7010">
      <c r="G7010" s="5"/>
      <c r="H7010" s="6"/>
      <c r="AD7010" s="5">
        <v>45219.0</v>
      </c>
      <c r="AE7010" s="6">
        <v>0.0</v>
      </c>
      <c r="AF7010" s="7">
        <v>0.0</v>
      </c>
    </row>
    <row r="7011">
      <c r="G7011" s="5"/>
      <c r="H7011" s="6"/>
      <c r="AD7011" s="5">
        <v>45219.0</v>
      </c>
      <c r="AE7011" s="6">
        <v>0.041666666666666664</v>
      </c>
      <c r="AF7011" s="7">
        <v>0.0</v>
      </c>
    </row>
    <row r="7012">
      <c r="G7012" s="5"/>
      <c r="H7012" s="6"/>
      <c r="AD7012" s="5">
        <v>45219.0</v>
      </c>
      <c r="AE7012" s="6">
        <v>0.08333333333333333</v>
      </c>
      <c r="AF7012" s="7">
        <v>0.0</v>
      </c>
    </row>
    <row r="7013">
      <c r="G7013" s="5"/>
      <c r="H7013" s="6"/>
      <c r="AD7013" s="5">
        <v>45219.0</v>
      </c>
      <c r="AE7013" s="6">
        <v>0.125</v>
      </c>
      <c r="AF7013" s="7">
        <v>0.0</v>
      </c>
    </row>
    <row r="7014">
      <c r="G7014" s="5"/>
      <c r="H7014" s="6"/>
      <c r="AD7014" s="5">
        <v>45219.0</v>
      </c>
      <c r="AE7014" s="6">
        <v>0.16666666666666666</v>
      </c>
      <c r="AF7014" s="7">
        <v>0.0</v>
      </c>
    </row>
    <row r="7015">
      <c r="G7015" s="5"/>
      <c r="H7015" s="6"/>
      <c r="AD7015" s="5">
        <v>45219.0</v>
      </c>
      <c r="AE7015" s="6">
        <v>0.20833333333333334</v>
      </c>
      <c r="AF7015" s="7">
        <v>0.0</v>
      </c>
    </row>
    <row r="7016">
      <c r="G7016" s="5"/>
      <c r="H7016" s="6"/>
      <c r="AD7016" s="5">
        <v>45219.0</v>
      </c>
      <c r="AE7016" s="6">
        <v>0.25</v>
      </c>
      <c r="AF7016" s="7">
        <v>0.0</v>
      </c>
    </row>
    <row r="7017">
      <c r="G7017" s="5"/>
      <c r="H7017" s="6"/>
      <c r="AD7017" s="5">
        <v>45219.0</v>
      </c>
      <c r="AE7017" s="6">
        <v>0.2916666666666667</v>
      </c>
      <c r="AF7017" s="7">
        <v>102.18</v>
      </c>
    </row>
    <row r="7018">
      <c r="G7018" s="5"/>
      <c r="H7018" s="6"/>
      <c r="AD7018" s="5">
        <v>45219.0</v>
      </c>
      <c r="AE7018" s="6">
        <v>0.3333333333333333</v>
      </c>
      <c r="AF7018" s="7">
        <v>6551.22</v>
      </c>
    </row>
    <row r="7019">
      <c r="G7019" s="5"/>
      <c r="H7019" s="6"/>
      <c r="AD7019" s="5">
        <v>45219.0</v>
      </c>
      <c r="AE7019" s="6">
        <v>0.375</v>
      </c>
      <c r="AF7019" s="7">
        <v>36889.32</v>
      </c>
    </row>
    <row r="7020">
      <c r="G7020" s="5"/>
      <c r="H7020" s="6"/>
      <c r="AD7020" s="5">
        <v>45219.0</v>
      </c>
      <c r="AE7020" s="6">
        <v>0.4166666666666667</v>
      </c>
      <c r="AF7020" s="7">
        <v>37294.92</v>
      </c>
    </row>
    <row r="7021">
      <c r="G7021" s="5"/>
      <c r="H7021" s="6"/>
      <c r="AD7021" s="5">
        <v>45219.0</v>
      </c>
      <c r="AE7021" s="6">
        <v>0.4583333333333333</v>
      </c>
      <c r="AF7021" s="7">
        <v>50001.12</v>
      </c>
    </row>
    <row r="7022">
      <c r="G7022" s="5"/>
      <c r="H7022" s="6"/>
      <c r="AD7022" s="5">
        <v>45219.0</v>
      </c>
      <c r="AE7022" s="6">
        <v>0.5</v>
      </c>
      <c r="AF7022" s="7">
        <v>50856.0</v>
      </c>
    </row>
    <row r="7023">
      <c r="G7023" s="5"/>
      <c r="H7023" s="6"/>
      <c r="AD7023" s="5">
        <v>45219.0</v>
      </c>
      <c r="AE7023" s="6">
        <v>0.5416666666666666</v>
      </c>
      <c r="AF7023" s="7">
        <v>42345.42</v>
      </c>
    </row>
    <row r="7024">
      <c r="G7024" s="5"/>
      <c r="H7024" s="6"/>
      <c r="AD7024" s="5">
        <v>45219.0</v>
      </c>
      <c r="AE7024" s="6">
        <v>0.5833333333333334</v>
      </c>
      <c r="AF7024" s="7">
        <v>31410.6</v>
      </c>
    </row>
    <row r="7025">
      <c r="G7025" s="5"/>
      <c r="H7025" s="6"/>
      <c r="AD7025" s="5">
        <v>45219.0</v>
      </c>
      <c r="AE7025" s="6">
        <v>0.625</v>
      </c>
      <c r="AF7025" s="7">
        <v>5973.24</v>
      </c>
    </row>
    <row r="7026">
      <c r="G7026" s="5"/>
      <c r="H7026" s="6"/>
      <c r="AD7026" s="5">
        <v>45219.0</v>
      </c>
      <c r="AE7026" s="6">
        <v>0.6666666666666666</v>
      </c>
      <c r="AF7026" s="7">
        <v>1016.34</v>
      </c>
    </row>
    <row r="7027">
      <c r="G7027" s="5"/>
      <c r="H7027" s="6"/>
      <c r="AD7027" s="5">
        <v>45219.0</v>
      </c>
      <c r="AE7027" s="6">
        <v>0.7083333333333334</v>
      </c>
      <c r="AF7027" s="7">
        <v>0.0</v>
      </c>
    </row>
    <row r="7028">
      <c r="G7028" s="5"/>
      <c r="H7028" s="6"/>
      <c r="AD7028" s="5">
        <v>45219.0</v>
      </c>
      <c r="AE7028" s="6">
        <v>0.75</v>
      </c>
      <c r="AF7028" s="7">
        <v>0.0</v>
      </c>
    </row>
    <row r="7029">
      <c r="G7029" s="5"/>
      <c r="H7029" s="6"/>
      <c r="AD7029" s="5">
        <v>45219.0</v>
      </c>
      <c r="AE7029" s="6">
        <v>0.7916666666666666</v>
      </c>
      <c r="AF7029" s="7">
        <v>0.0</v>
      </c>
    </row>
    <row r="7030">
      <c r="G7030" s="5"/>
      <c r="H7030" s="6"/>
      <c r="AD7030" s="5">
        <v>45219.0</v>
      </c>
      <c r="AE7030" s="6">
        <v>0.8333333333333334</v>
      </c>
      <c r="AF7030" s="7">
        <v>0.0</v>
      </c>
    </row>
    <row r="7031">
      <c r="G7031" s="5"/>
      <c r="H7031" s="6"/>
      <c r="AD7031" s="5">
        <v>45219.0</v>
      </c>
      <c r="AE7031" s="6">
        <v>0.875</v>
      </c>
      <c r="AF7031" s="7">
        <v>0.0</v>
      </c>
    </row>
    <row r="7032">
      <c r="G7032" s="5"/>
      <c r="H7032" s="6"/>
      <c r="AD7032" s="5">
        <v>45219.0</v>
      </c>
      <c r="AE7032" s="6">
        <v>0.9166666666666666</v>
      </c>
      <c r="AF7032" s="7">
        <v>0.0</v>
      </c>
    </row>
    <row r="7033">
      <c r="G7033" s="5"/>
      <c r="H7033" s="6"/>
      <c r="AD7033" s="5">
        <v>45219.0</v>
      </c>
      <c r="AE7033" s="6">
        <v>0.9583333333333334</v>
      </c>
      <c r="AF7033" s="7">
        <v>0.0</v>
      </c>
    </row>
    <row r="7034">
      <c r="G7034" s="5"/>
      <c r="H7034" s="6"/>
      <c r="AD7034" s="5">
        <v>45220.0</v>
      </c>
      <c r="AE7034" s="6">
        <v>0.0</v>
      </c>
      <c r="AF7034" s="7">
        <v>0.0</v>
      </c>
    </row>
    <row r="7035">
      <c r="G7035" s="5"/>
      <c r="H7035" s="6"/>
      <c r="AD7035" s="5">
        <v>45220.0</v>
      </c>
      <c r="AE7035" s="6">
        <v>0.041666666666666664</v>
      </c>
      <c r="AF7035" s="7">
        <v>0.0</v>
      </c>
    </row>
    <row r="7036">
      <c r="G7036" s="5"/>
      <c r="H7036" s="6"/>
      <c r="AD7036" s="5">
        <v>45220.0</v>
      </c>
      <c r="AE7036" s="6">
        <v>0.08333333333333333</v>
      </c>
      <c r="AF7036" s="7">
        <v>0.0</v>
      </c>
    </row>
    <row r="7037">
      <c r="G7037" s="5"/>
      <c r="H7037" s="6"/>
      <c r="AD7037" s="5">
        <v>45220.0</v>
      </c>
      <c r="AE7037" s="6">
        <v>0.125</v>
      </c>
      <c r="AF7037" s="7">
        <v>0.0</v>
      </c>
    </row>
    <row r="7038">
      <c r="G7038" s="5"/>
      <c r="H7038" s="6"/>
      <c r="AD7038" s="5">
        <v>45220.0</v>
      </c>
      <c r="AE7038" s="6">
        <v>0.16666666666666666</v>
      </c>
      <c r="AF7038" s="7">
        <v>0.0</v>
      </c>
    </row>
    <row r="7039">
      <c r="G7039" s="5"/>
      <c r="H7039" s="6"/>
      <c r="AD7039" s="5">
        <v>45220.0</v>
      </c>
      <c r="AE7039" s="6">
        <v>0.20833333333333334</v>
      </c>
      <c r="AF7039" s="7">
        <v>0.0</v>
      </c>
    </row>
    <row r="7040">
      <c r="G7040" s="5"/>
      <c r="H7040" s="6"/>
      <c r="AD7040" s="5">
        <v>45220.0</v>
      </c>
      <c r="AE7040" s="6">
        <v>0.25</v>
      </c>
      <c r="AF7040" s="7">
        <v>0.0</v>
      </c>
    </row>
    <row r="7041">
      <c r="G7041" s="5"/>
      <c r="H7041" s="6"/>
      <c r="AD7041" s="5">
        <v>45220.0</v>
      </c>
      <c r="AE7041" s="6">
        <v>0.2916666666666667</v>
      </c>
      <c r="AF7041" s="7">
        <v>7177.56</v>
      </c>
    </row>
    <row r="7042">
      <c r="G7042" s="5"/>
      <c r="H7042" s="6"/>
      <c r="AD7042" s="5">
        <v>45220.0</v>
      </c>
      <c r="AE7042" s="6">
        <v>0.3333333333333333</v>
      </c>
      <c r="AF7042" s="7">
        <v>22943.7</v>
      </c>
    </row>
    <row r="7043">
      <c r="G7043" s="5"/>
      <c r="H7043" s="6"/>
      <c r="AD7043" s="5">
        <v>45220.0</v>
      </c>
      <c r="AE7043" s="6">
        <v>0.375</v>
      </c>
      <c r="AF7043" s="7">
        <v>35440.08</v>
      </c>
    </row>
    <row r="7044">
      <c r="G7044" s="5"/>
      <c r="H7044" s="6"/>
      <c r="AD7044" s="5">
        <v>45220.0</v>
      </c>
      <c r="AE7044" s="6">
        <v>0.4166666666666667</v>
      </c>
      <c r="AF7044" s="7">
        <v>45335.94</v>
      </c>
    </row>
    <row r="7045">
      <c r="G7045" s="5"/>
      <c r="H7045" s="6"/>
      <c r="AD7045" s="5">
        <v>45220.0</v>
      </c>
      <c r="AE7045" s="6">
        <v>0.4583333333333333</v>
      </c>
      <c r="AF7045" s="7">
        <v>48897.42</v>
      </c>
    </row>
    <row r="7046">
      <c r="G7046" s="5"/>
      <c r="H7046" s="6"/>
      <c r="AD7046" s="5">
        <v>45220.0</v>
      </c>
      <c r="AE7046" s="6">
        <v>0.5</v>
      </c>
      <c r="AF7046" s="7">
        <v>49794.42</v>
      </c>
    </row>
    <row r="7047">
      <c r="G7047" s="5"/>
      <c r="H7047" s="6"/>
      <c r="AD7047" s="5">
        <v>45220.0</v>
      </c>
      <c r="AE7047" s="6">
        <v>0.5416666666666666</v>
      </c>
      <c r="AF7047" s="7">
        <v>44477.16</v>
      </c>
    </row>
    <row r="7048">
      <c r="G7048" s="5"/>
      <c r="H7048" s="6"/>
      <c r="AD7048" s="5">
        <v>45220.0</v>
      </c>
      <c r="AE7048" s="6">
        <v>0.5833333333333334</v>
      </c>
      <c r="AF7048" s="7">
        <v>22559.94</v>
      </c>
    </row>
    <row r="7049">
      <c r="G7049" s="5"/>
      <c r="H7049" s="6"/>
      <c r="AD7049" s="5">
        <v>45220.0</v>
      </c>
      <c r="AE7049" s="6">
        <v>0.625</v>
      </c>
      <c r="AF7049" s="7">
        <v>26121.42</v>
      </c>
    </row>
    <row r="7050">
      <c r="G7050" s="5"/>
      <c r="H7050" s="6"/>
      <c r="AD7050" s="5">
        <v>45220.0</v>
      </c>
      <c r="AE7050" s="6">
        <v>0.6666666666666666</v>
      </c>
      <c r="AF7050" s="7">
        <v>7753.2</v>
      </c>
    </row>
    <row r="7051">
      <c r="G7051" s="5"/>
      <c r="H7051" s="6"/>
      <c r="AD7051" s="5">
        <v>45220.0</v>
      </c>
      <c r="AE7051" s="6">
        <v>0.7083333333333334</v>
      </c>
      <c r="AF7051" s="7">
        <v>0.0</v>
      </c>
    </row>
    <row r="7052">
      <c r="G7052" s="5"/>
      <c r="H7052" s="6"/>
      <c r="AD7052" s="5">
        <v>45220.0</v>
      </c>
      <c r="AE7052" s="6">
        <v>0.75</v>
      </c>
      <c r="AF7052" s="7">
        <v>0.0</v>
      </c>
    </row>
    <row r="7053">
      <c r="G7053" s="5"/>
      <c r="H7053" s="6"/>
      <c r="AD7053" s="5">
        <v>45220.0</v>
      </c>
      <c r="AE7053" s="6">
        <v>0.7916666666666666</v>
      </c>
      <c r="AF7053" s="7">
        <v>0.0</v>
      </c>
    </row>
    <row r="7054">
      <c r="G7054" s="5"/>
      <c r="H7054" s="6"/>
      <c r="AD7054" s="5">
        <v>45220.0</v>
      </c>
      <c r="AE7054" s="6">
        <v>0.8333333333333334</v>
      </c>
      <c r="AF7054" s="7">
        <v>0.0</v>
      </c>
    </row>
    <row r="7055">
      <c r="G7055" s="5"/>
      <c r="H7055" s="6"/>
      <c r="AD7055" s="5">
        <v>45220.0</v>
      </c>
      <c r="AE7055" s="6">
        <v>0.875</v>
      </c>
      <c r="AF7055" s="7">
        <v>0.0</v>
      </c>
    </row>
    <row r="7056">
      <c r="G7056" s="5"/>
      <c r="H7056" s="6"/>
      <c r="AD7056" s="5">
        <v>45220.0</v>
      </c>
      <c r="AE7056" s="6">
        <v>0.9166666666666666</v>
      </c>
      <c r="AF7056" s="7">
        <v>0.0</v>
      </c>
    </row>
    <row r="7057">
      <c r="G7057" s="5"/>
      <c r="H7057" s="6"/>
      <c r="AD7057" s="5">
        <v>45220.0</v>
      </c>
      <c r="AE7057" s="6">
        <v>0.9583333333333334</v>
      </c>
      <c r="AF7057" s="7">
        <v>0.0</v>
      </c>
    </row>
    <row r="7058">
      <c r="G7058" s="5"/>
      <c r="H7058" s="6"/>
      <c r="AD7058" s="5">
        <v>45221.0</v>
      </c>
      <c r="AE7058" s="6">
        <v>0.0</v>
      </c>
      <c r="AF7058" s="7">
        <v>0.0</v>
      </c>
    </row>
    <row r="7059">
      <c r="G7059" s="5"/>
      <c r="H7059" s="6"/>
      <c r="AD7059" s="5">
        <v>45221.0</v>
      </c>
      <c r="AE7059" s="6">
        <v>0.041666666666666664</v>
      </c>
      <c r="AF7059" s="7">
        <v>0.0</v>
      </c>
    </row>
    <row r="7060">
      <c r="G7060" s="5"/>
      <c r="H7060" s="6"/>
      <c r="AD7060" s="5">
        <v>45221.0</v>
      </c>
      <c r="AE7060" s="6">
        <v>0.08333333333333333</v>
      </c>
      <c r="AF7060" s="7">
        <v>0.0</v>
      </c>
    </row>
    <row r="7061">
      <c r="G7061" s="5"/>
      <c r="H7061" s="6"/>
      <c r="AD7061" s="5">
        <v>45221.0</v>
      </c>
      <c r="AE7061" s="6">
        <v>0.125</v>
      </c>
      <c r="AF7061" s="7">
        <v>0.0</v>
      </c>
    </row>
    <row r="7062">
      <c r="G7062" s="5"/>
      <c r="H7062" s="6"/>
      <c r="AD7062" s="5">
        <v>45221.0</v>
      </c>
      <c r="AE7062" s="6">
        <v>0.16666666666666666</v>
      </c>
      <c r="AF7062" s="7">
        <v>0.0</v>
      </c>
    </row>
    <row r="7063">
      <c r="G7063" s="5"/>
      <c r="H7063" s="6"/>
      <c r="AD7063" s="5">
        <v>45221.0</v>
      </c>
      <c r="AE7063" s="6">
        <v>0.20833333333333334</v>
      </c>
      <c r="AF7063" s="7">
        <v>0.0</v>
      </c>
    </row>
    <row r="7064">
      <c r="G7064" s="5"/>
      <c r="H7064" s="6"/>
      <c r="AD7064" s="5">
        <v>45221.0</v>
      </c>
      <c r="AE7064" s="6">
        <v>0.25</v>
      </c>
      <c r="AF7064" s="7">
        <v>0.0</v>
      </c>
    </row>
    <row r="7065">
      <c r="G7065" s="5"/>
      <c r="H7065" s="6"/>
      <c r="AD7065" s="5">
        <v>45221.0</v>
      </c>
      <c r="AE7065" s="6">
        <v>0.2916666666666667</v>
      </c>
      <c r="AF7065" s="7">
        <v>4857.84</v>
      </c>
    </row>
    <row r="7066">
      <c r="G7066" s="5"/>
      <c r="H7066" s="6"/>
      <c r="AD7066" s="5">
        <v>45221.0</v>
      </c>
      <c r="AE7066" s="6">
        <v>0.3333333333333333</v>
      </c>
      <c r="AF7066" s="7">
        <v>8403.72</v>
      </c>
    </row>
    <row r="7067">
      <c r="G7067" s="5"/>
      <c r="H7067" s="6"/>
      <c r="AD7067" s="5">
        <v>45221.0</v>
      </c>
      <c r="AE7067" s="6">
        <v>0.375</v>
      </c>
      <c r="AF7067" s="7">
        <v>11643.06</v>
      </c>
    </row>
    <row r="7068">
      <c r="G7068" s="5"/>
      <c r="H7068" s="6"/>
      <c r="AD7068" s="5">
        <v>45221.0</v>
      </c>
      <c r="AE7068" s="6">
        <v>0.4166666666666667</v>
      </c>
      <c r="AF7068" s="7">
        <v>13681.2</v>
      </c>
    </row>
    <row r="7069">
      <c r="G7069" s="5"/>
      <c r="H7069" s="6"/>
      <c r="AD7069" s="5">
        <v>45221.0</v>
      </c>
      <c r="AE7069" s="6">
        <v>0.4583333333333333</v>
      </c>
      <c r="AF7069" s="7">
        <v>25612.86</v>
      </c>
    </row>
    <row r="7070">
      <c r="G7070" s="5"/>
      <c r="H7070" s="6"/>
      <c r="AD7070" s="5">
        <v>45221.0</v>
      </c>
      <c r="AE7070" s="6">
        <v>0.5</v>
      </c>
      <c r="AF7070" s="7">
        <v>32960.46</v>
      </c>
    </row>
    <row r="7071">
      <c r="G7071" s="5"/>
      <c r="H7071" s="6"/>
      <c r="AD7071" s="5">
        <v>45221.0</v>
      </c>
      <c r="AE7071" s="6">
        <v>0.5416666666666666</v>
      </c>
      <c r="AF7071" s="7">
        <v>23539.62</v>
      </c>
    </row>
    <row r="7072">
      <c r="G7072" s="5"/>
      <c r="H7072" s="6"/>
      <c r="AD7072" s="5">
        <v>45221.0</v>
      </c>
      <c r="AE7072" s="6">
        <v>0.5833333333333334</v>
      </c>
      <c r="AF7072" s="7">
        <v>7071.48</v>
      </c>
    </row>
    <row r="7073">
      <c r="G7073" s="5"/>
      <c r="H7073" s="6"/>
      <c r="AD7073" s="5">
        <v>45221.0</v>
      </c>
      <c r="AE7073" s="6">
        <v>0.625</v>
      </c>
      <c r="AF7073" s="7">
        <v>9289.02</v>
      </c>
    </row>
    <row r="7074">
      <c r="G7074" s="5"/>
      <c r="H7074" s="6"/>
      <c r="AD7074" s="5">
        <v>45221.0</v>
      </c>
      <c r="AE7074" s="6">
        <v>0.6666666666666666</v>
      </c>
      <c r="AF7074" s="7">
        <v>1801.02</v>
      </c>
    </row>
    <row r="7075">
      <c r="G7075" s="5"/>
      <c r="H7075" s="6"/>
      <c r="AD7075" s="5">
        <v>45221.0</v>
      </c>
      <c r="AE7075" s="6">
        <v>0.7083333333333334</v>
      </c>
      <c r="AF7075" s="7">
        <v>0.0</v>
      </c>
    </row>
    <row r="7076">
      <c r="G7076" s="5"/>
      <c r="H7076" s="6"/>
      <c r="AD7076" s="5">
        <v>45221.0</v>
      </c>
      <c r="AE7076" s="6">
        <v>0.75</v>
      </c>
      <c r="AF7076" s="7">
        <v>0.0</v>
      </c>
    </row>
    <row r="7077">
      <c r="G7077" s="5"/>
      <c r="H7077" s="6"/>
      <c r="AD7077" s="5">
        <v>45221.0</v>
      </c>
      <c r="AE7077" s="6">
        <v>0.7916666666666666</v>
      </c>
      <c r="AF7077" s="7">
        <v>0.0</v>
      </c>
    </row>
    <row r="7078">
      <c r="G7078" s="5"/>
      <c r="H7078" s="6"/>
      <c r="AD7078" s="5">
        <v>45221.0</v>
      </c>
      <c r="AE7078" s="6">
        <v>0.8333333333333334</v>
      </c>
      <c r="AF7078" s="7">
        <v>0.0</v>
      </c>
    </row>
    <row r="7079">
      <c r="G7079" s="5"/>
      <c r="H7079" s="6"/>
      <c r="AD7079" s="5">
        <v>45221.0</v>
      </c>
      <c r="AE7079" s="6">
        <v>0.875</v>
      </c>
      <c r="AF7079" s="7">
        <v>0.0</v>
      </c>
    </row>
    <row r="7080">
      <c r="G7080" s="5"/>
      <c r="H7080" s="6"/>
      <c r="AD7080" s="5">
        <v>45221.0</v>
      </c>
      <c r="AE7080" s="6">
        <v>0.9166666666666666</v>
      </c>
      <c r="AF7080" s="7">
        <v>0.0</v>
      </c>
    </row>
    <row r="7081">
      <c r="G7081" s="5"/>
      <c r="H7081" s="6"/>
      <c r="AD7081" s="5">
        <v>45221.0</v>
      </c>
      <c r="AE7081" s="6">
        <v>0.9583333333333334</v>
      </c>
      <c r="AF7081" s="7">
        <v>0.0</v>
      </c>
    </row>
    <row r="7082">
      <c r="G7082" s="5"/>
      <c r="H7082" s="6"/>
      <c r="AD7082" s="5">
        <v>45222.0</v>
      </c>
      <c r="AE7082" s="6">
        <v>0.0</v>
      </c>
      <c r="AF7082" s="7">
        <v>0.0</v>
      </c>
    </row>
    <row r="7083">
      <c r="G7083" s="5"/>
      <c r="H7083" s="6"/>
      <c r="AD7083" s="5">
        <v>45222.0</v>
      </c>
      <c r="AE7083" s="6">
        <v>0.041666666666666664</v>
      </c>
      <c r="AF7083" s="7">
        <v>0.0</v>
      </c>
    </row>
    <row r="7084">
      <c r="G7084" s="5"/>
      <c r="H7084" s="6"/>
      <c r="AD7084" s="5">
        <v>45222.0</v>
      </c>
      <c r="AE7084" s="6">
        <v>0.08333333333333333</v>
      </c>
      <c r="AF7084" s="7">
        <v>0.0</v>
      </c>
    </row>
    <row r="7085">
      <c r="G7085" s="5"/>
      <c r="H7085" s="6"/>
      <c r="AD7085" s="5">
        <v>45222.0</v>
      </c>
      <c r="AE7085" s="6">
        <v>0.125</v>
      </c>
      <c r="AF7085" s="7">
        <v>0.0</v>
      </c>
    </row>
    <row r="7086">
      <c r="G7086" s="5"/>
      <c r="H7086" s="6"/>
      <c r="AD7086" s="5">
        <v>45222.0</v>
      </c>
      <c r="AE7086" s="6">
        <v>0.16666666666666666</v>
      </c>
      <c r="AF7086" s="7">
        <v>0.0</v>
      </c>
    </row>
    <row r="7087">
      <c r="G7087" s="5"/>
      <c r="H7087" s="6"/>
      <c r="AD7087" s="5">
        <v>45222.0</v>
      </c>
      <c r="AE7087" s="6">
        <v>0.20833333333333334</v>
      </c>
      <c r="AF7087" s="7">
        <v>0.0</v>
      </c>
    </row>
    <row r="7088">
      <c r="G7088" s="5"/>
      <c r="H7088" s="6"/>
      <c r="AD7088" s="5">
        <v>45222.0</v>
      </c>
      <c r="AE7088" s="6">
        <v>0.25</v>
      </c>
      <c r="AF7088" s="7">
        <v>0.0</v>
      </c>
    </row>
    <row r="7089">
      <c r="G7089" s="5"/>
      <c r="H7089" s="6"/>
      <c r="AD7089" s="5">
        <v>45222.0</v>
      </c>
      <c r="AE7089" s="6">
        <v>0.2916666666666667</v>
      </c>
      <c r="AF7089" s="7">
        <v>2569.32</v>
      </c>
    </row>
    <row r="7090">
      <c r="G7090" s="5"/>
      <c r="H7090" s="6"/>
      <c r="AD7090" s="5">
        <v>45222.0</v>
      </c>
      <c r="AE7090" s="6">
        <v>0.3333333333333333</v>
      </c>
      <c r="AF7090" s="7">
        <v>5055.96</v>
      </c>
    </row>
    <row r="7091">
      <c r="G7091" s="5"/>
      <c r="H7091" s="6"/>
      <c r="AD7091" s="5">
        <v>45222.0</v>
      </c>
      <c r="AE7091" s="6">
        <v>0.375</v>
      </c>
      <c r="AF7091" s="7">
        <v>10237.5</v>
      </c>
    </row>
    <row r="7092">
      <c r="G7092" s="5"/>
      <c r="H7092" s="6"/>
      <c r="AD7092" s="5">
        <v>45222.0</v>
      </c>
      <c r="AE7092" s="6">
        <v>0.4166666666666667</v>
      </c>
      <c r="AF7092" s="7">
        <v>4269.72</v>
      </c>
    </row>
    <row r="7093">
      <c r="G7093" s="5"/>
      <c r="H7093" s="6"/>
      <c r="AD7093" s="5">
        <v>45222.0</v>
      </c>
      <c r="AE7093" s="6">
        <v>0.4583333333333333</v>
      </c>
      <c r="AF7093" s="7">
        <v>14878.5</v>
      </c>
    </row>
    <row r="7094">
      <c r="G7094" s="5"/>
      <c r="H7094" s="6"/>
      <c r="AD7094" s="5">
        <v>45222.0</v>
      </c>
      <c r="AE7094" s="6">
        <v>0.5</v>
      </c>
      <c r="AF7094" s="7">
        <v>20108.4</v>
      </c>
    </row>
    <row r="7095">
      <c r="G7095" s="5"/>
      <c r="H7095" s="6"/>
      <c r="AD7095" s="5">
        <v>45222.0</v>
      </c>
      <c r="AE7095" s="6">
        <v>0.5416666666666666</v>
      </c>
      <c r="AF7095" s="7">
        <v>41018.64</v>
      </c>
    </row>
    <row r="7096">
      <c r="G7096" s="5"/>
      <c r="H7096" s="6"/>
      <c r="AD7096" s="5">
        <v>45222.0</v>
      </c>
      <c r="AE7096" s="6">
        <v>0.5833333333333334</v>
      </c>
      <c r="AF7096" s="7">
        <v>33216.3</v>
      </c>
    </row>
    <row r="7097">
      <c r="G7097" s="5"/>
      <c r="H7097" s="6"/>
      <c r="AD7097" s="5">
        <v>45222.0</v>
      </c>
      <c r="AE7097" s="6">
        <v>0.625</v>
      </c>
      <c r="AF7097" s="7">
        <v>20460.18</v>
      </c>
    </row>
    <row r="7098">
      <c r="G7098" s="5"/>
      <c r="H7098" s="6"/>
      <c r="AD7098" s="5">
        <v>45222.0</v>
      </c>
      <c r="AE7098" s="6">
        <v>0.6666666666666666</v>
      </c>
      <c r="AF7098" s="7">
        <v>9282.78</v>
      </c>
    </row>
    <row r="7099">
      <c r="G7099" s="5"/>
      <c r="H7099" s="6"/>
      <c r="AD7099" s="5">
        <v>45222.0</v>
      </c>
      <c r="AE7099" s="6">
        <v>0.7083333333333334</v>
      </c>
      <c r="AF7099" s="7">
        <v>0.0</v>
      </c>
    </row>
    <row r="7100">
      <c r="G7100" s="5"/>
      <c r="H7100" s="6"/>
      <c r="AD7100" s="5">
        <v>45222.0</v>
      </c>
      <c r="AE7100" s="6">
        <v>0.75</v>
      </c>
      <c r="AF7100" s="7">
        <v>0.0</v>
      </c>
    </row>
    <row r="7101">
      <c r="G7101" s="5"/>
      <c r="H7101" s="6"/>
      <c r="AD7101" s="5">
        <v>45222.0</v>
      </c>
      <c r="AE7101" s="6">
        <v>0.7916666666666666</v>
      </c>
      <c r="AF7101" s="7">
        <v>0.0</v>
      </c>
    </row>
    <row r="7102">
      <c r="G7102" s="5"/>
      <c r="H7102" s="6"/>
      <c r="AD7102" s="5">
        <v>45222.0</v>
      </c>
      <c r="AE7102" s="6">
        <v>0.8333333333333334</v>
      </c>
      <c r="AF7102" s="7">
        <v>0.0</v>
      </c>
    </row>
    <row r="7103">
      <c r="G7103" s="5"/>
      <c r="H7103" s="6"/>
      <c r="AD7103" s="5">
        <v>45222.0</v>
      </c>
      <c r="AE7103" s="6">
        <v>0.875</v>
      </c>
      <c r="AF7103" s="7">
        <v>0.0</v>
      </c>
    </row>
    <row r="7104">
      <c r="G7104" s="5"/>
      <c r="H7104" s="6"/>
      <c r="AD7104" s="5">
        <v>45222.0</v>
      </c>
      <c r="AE7104" s="6">
        <v>0.9166666666666666</v>
      </c>
      <c r="AF7104" s="7">
        <v>0.0</v>
      </c>
    </row>
    <row r="7105">
      <c r="G7105" s="5"/>
      <c r="H7105" s="6"/>
      <c r="AD7105" s="5">
        <v>45222.0</v>
      </c>
      <c r="AE7105" s="6">
        <v>0.9583333333333334</v>
      </c>
      <c r="AF7105" s="7">
        <v>0.0</v>
      </c>
    </row>
    <row r="7106">
      <c r="G7106" s="5"/>
      <c r="H7106" s="6"/>
      <c r="AD7106" s="5">
        <v>45223.0</v>
      </c>
      <c r="AE7106" s="6">
        <v>0.0</v>
      </c>
      <c r="AF7106" s="7">
        <v>0.0</v>
      </c>
    </row>
    <row r="7107">
      <c r="G7107" s="5"/>
      <c r="H7107" s="6"/>
      <c r="AD7107" s="5">
        <v>45223.0</v>
      </c>
      <c r="AE7107" s="6">
        <v>0.041666666666666664</v>
      </c>
      <c r="AF7107" s="7">
        <v>0.0</v>
      </c>
    </row>
    <row r="7108">
      <c r="G7108" s="5"/>
      <c r="H7108" s="6"/>
      <c r="AD7108" s="5">
        <v>45223.0</v>
      </c>
      <c r="AE7108" s="6">
        <v>0.08333333333333333</v>
      </c>
      <c r="AF7108" s="7">
        <v>0.0</v>
      </c>
    </row>
    <row r="7109">
      <c r="G7109" s="5"/>
      <c r="H7109" s="6"/>
      <c r="AD7109" s="5">
        <v>45223.0</v>
      </c>
      <c r="AE7109" s="6">
        <v>0.125</v>
      </c>
      <c r="AF7109" s="7">
        <v>0.0</v>
      </c>
    </row>
    <row r="7110">
      <c r="G7110" s="5"/>
      <c r="H7110" s="6"/>
      <c r="AD7110" s="5">
        <v>45223.0</v>
      </c>
      <c r="AE7110" s="6">
        <v>0.16666666666666666</v>
      </c>
      <c r="AF7110" s="7">
        <v>0.0</v>
      </c>
    </row>
    <row r="7111">
      <c r="G7111" s="5"/>
      <c r="H7111" s="6"/>
      <c r="AD7111" s="5">
        <v>45223.0</v>
      </c>
      <c r="AE7111" s="6">
        <v>0.20833333333333334</v>
      </c>
      <c r="AF7111" s="7">
        <v>0.0</v>
      </c>
    </row>
    <row r="7112">
      <c r="G7112" s="5"/>
      <c r="H7112" s="6"/>
      <c r="AD7112" s="5">
        <v>45223.0</v>
      </c>
      <c r="AE7112" s="6">
        <v>0.25</v>
      </c>
      <c r="AF7112" s="7">
        <v>0.0</v>
      </c>
    </row>
    <row r="7113">
      <c r="G7113" s="5"/>
      <c r="H7113" s="6"/>
      <c r="AD7113" s="5">
        <v>45223.0</v>
      </c>
      <c r="AE7113" s="6">
        <v>0.2916666666666667</v>
      </c>
      <c r="AF7113" s="7">
        <v>6788.34</v>
      </c>
    </row>
    <row r="7114">
      <c r="G7114" s="5"/>
      <c r="H7114" s="6"/>
      <c r="AD7114" s="5">
        <v>45223.0</v>
      </c>
      <c r="AE7114" s="6">
        <v>0.3333333333333333</v>
      </c>
      <c r="AF7114" s="7">
        <v>21953.1</v>
      </c>
    </row>
    <row r="7115">
      <c r="G7115" s="5"/>
      <c r="H7115" s="6"/>
      <c r="AD7115" s="5">
        <v>45223.0</v>
      </c>
      <c r="AE7115" s="6">
        <v>0.375</v>
      </c>
      <c r="AF7115" s="7">
        <v>35650.68</v>
      </c>
    </row>
    <row r="7116">
      <c r="G7116" s="5"/>
      <c r="H7116" s="6"/>
      <c r="AD7116" s="5">
        <v>45223.0</v>
      </c>
      <c r="AE7116" s="6">
        <v>0.4166666666666667</v>
      </c>
      <c r="AF7116" s="7">
        <v>44151.9</v>
      </c>
    </row>
    <row r="7117">
      <c r="G7117" s="5"/>
      <c r="H7117" s="6"/>
      <c r="AD7117" s="5">
        <v>45223.0</v>
      </c>
      <c r="AE7117" s="6">
        <v>0.4583333333333333</v>
      </c>
      <c r="AF7117" s="7">
        <v>50102.52</v>
      </c>
    </row>
    <row r="7118">
      <c r="G7118" s="5"/>
      <c r="H7118" s="6"/>
      <c r="AD7118" s="5">
        <v>45223.0</v>
      </c>
      <c r="AE7118" s="6">
        <v>0.5</v>
      </c>
      <c r="AF7118" s="7">
        <v>38721.54</v>
      </c>
    </row>
    <row r="7119">
      <c r="G7119" s="5"/>
      <c r="H7119" s="6"/>
      <c r="AD7119" s="5">
        <v>45223.0</v>
      </c>
      <c r="AE7119" s="6">
        <v>0.5416666666666666</v>
      </c>
      <c r="AF7119" s="7">
        <v>44633.16</v>
      </c>
    </row>
    <row r="7120">
      <c r="G7120" s="5"/>
      <c r="H7120" s="6"/>
      <c r="AD7120" s="5">
        <v>45223.0</v>
      </c>
      <c r="AE7120" s="6">
        <v>0.5833333333333334</v>
      </c>
      <c r="AF7120" s="7">
        <v>15316.86</v>
      </c>
    </row>
    <row r="7121">
      <c r="G7121" s="5"/>
      <c r="H7121" s="6"/>
      <c r="AD7121" s="5">
        <v>45223.0</v>
      </c>
      <c r="AE7121" s="6">
        <v>0.625</v>
      </c>
      <c r="AF7121" s="7">
        <v>19214.52</v>
      </c>
    </row>
    <row r="7122">
      <c r="G7122" s="5"/>
      <c r="H7122" s="6"/>
      <c r="AD7122" s="5">
        <v>45223.0</v>
      </c>
      <c r="AE7122" s="6">
        <v>0.6666666666666666</v>
      </c>
      <c r="AF7122" s="7">
        <v>10228.92</v>
      </c>
    </row>
    <row r="7123">
      <c r="G7123" s="5"/>
      <c r="H7123" s="6"/>
      <c r="AD7123" s="5">
        <v>45223.0</v>
      </c>
      <c r="AE7123" s="6">
        <v>0.7083333333333334</v>
      </c>
      <c r="AF7123" s="7">
        <v>0.0</v>
      </c>
    </row>
    <row r="7124">
      <c r="G7124" s="5"/>
      <c r="H7124" s="6"/>
      <c r="AD7124" s="5">
        <v>45223.0</v>
      </c>
      <c r="AE7124" s="6">
        <v>0.75</v>
      </c>
      <c r="AF7124" s="7">
        <v>0.0</v>
      </c>
    </row>
    <row r="7125">
      <c r="G7125" s="5"/>
      <c r="H7125" s="6"/>
      <c r="AD7125" s="5">
        <v>45223.0</v>
      </c>
      <c r="AE7125" s="6">
        <v>0.7916666666666666</v>
      </c>
      <c r="AF7125" s="7">
        <v>0.0</v>
      </c>
    </row>
    <row r="7126">
      <c r="G7126" s="5"/>
      <c r="H7126" s="6"/>
      <c r="AD7126" s="5">
        <v>45223.0</v>
      </c>
      <c r="AE7126" s="6">
        <v>0.8333333333333334</v>
      </c>
      <c r="AF7126" s="7">
        <v>0.0</v>
      </c>
    </row>
    <row r="7127">
      <c r="G7127" s="5"/>
      <c r="H7127" s="6"/>
      <c r="AD7127" s="5">
        <v>45223.0</v>
      </c>
      <c r="AE7127" s="6">
        <v>0.875</v>
      </c>
      <c r="AF7127" s="7">
        <v>0.0</v>
      </c>
    </row>
    <row r="7128">
      <c r="G7128" s="5"/>
      <c r="H7128" s="6"/>
      <c r="AD7128" s="5">
        <v>45223.0</v>
      </c>
      <c r="AE7128" s="6">
        <v>0.9166666666666666</v>
      </c>
      <c r="AF7128" s="7">
        <v>0.0</v>
      </c>
    </row>
    <row r="7129">
      <c r="G7129" s="5"/>
      <c r="H7129" s="6"/>
      <c r="AD7129" s="5">
        <v>45223.0</v>
      </c>
      <c r="AE7129" s="6">
        <v>0.9583333333333334</v>
      </c>
      <c r="AF7129" s="7">
        <v>0.0</v>
      </c>
    </row>
    <row r="7130">
      <c r="G7130" s="5"/>
      <c r="H7130" s="6"/>
      <c r="AD7130" s="5">
        <v>45224.0</v>
      </c>
      <c r="AE7130" s="6">
        <v>0.0</v>
      </c>
      <c r="AF7130" s="7">
        <v>0.0</v>
      </c>
    </row>
    <row r="7131">
      <c r="G7131" s="5"/>
      <c r="H7131" s="6"/>
      <c r="AD7131" s="5">
        <v>45224.0</v>
      </c>
      <c r="AE7131" s="6">
        <v>0.041666666666666664</v>
      </c>
      <c r="AF7131" s="7">
        <v>0.0</v>
      </c>
    </row>
    <row r="7132">
      <c r="G7132" s="5"/>
      <c r="H7132" s="6"/>
      <c r="AD7132" s="5">
        <v>45224.0</v>
      </c>
      <c r="AE7132" s="6">
        <v>0.08333333333333333</v>
      </c>
      <c r="AF7132" s="7">
        <v>0.0</v>
      </c>
    </row>
    <row r="7133">
      <c r="G7133" s="5"/>
      <c r="H7133" s="6"/>
      <c r="AD7133" s="5">
        <v>45224.0</v>
      </c>
      <c r="AE7133" s="6">
        <v>0.125</v>
      </c>
      <c r="AF7133" s="7">
        <v>0.0</v>
      </c>
    </row>
    <row r="7134">
      <c r="G7134" s="5"/>
      <c r="H7134" s="6"/>
      <c r="AD7134" s="5">
        <v>45224.0</v>
      </c>
      <c r="AE7134" s="6">
        <v>0.16666666666666666</v>
      </c>
      <c r="AF7134" s="7">
        <v>0.0</v>
      </c>
    </row>
    <row r="7135">
      <c r="G7135" s="5"/>
      <c r="H7135" s="6"/>
      <c r="AD7135" s="5">
        <v>45224.0</v>
      </c>
      <c r="AE7135" s="6">
        <v>0.20833333333333334</v>
      </c>
      <c r="AF7135" s="7">
        <v>0.0</v>
      </c>
    </row>
    <row r="7136">
      <c r="G7136" s="5"/>
      <c r="H7136" s="6"/>
      <c r="AD7136" s="5">
        <v>45224.0</v>
      </c>
      <c r="AE7136" s="6">
        <v>0.25</v>
      </c>
      <c r="AF7136" s="7">
        <v>0.0</v>
      </c>
    </row>
    <row r="7137">
      <c r="G7137" s="5"/>
      <c r="H7137" s="6"/>
      <c r="AD7137" s="5">
        <v>45224.0</v>
      </c>
      <c r="AE7137" s="6">
        <v>0.2916666666666667</v>
      </c>
      <c r="AF7137" s="7">
        <v>5462.34</v>
      </c>
    </row>
    <row r="7138">
      <c r="G7138" s="5"/>
      <c r="H7138" s="6"/>
      <c r="AD7138" s="5">
        <v>45224.0</v>
      </c>
      <c r="AE7138" s="6">
        <v>0.3333333333333333</v>
      </c>
      <c r="AF7138" s="7">
        <v>18280.86</v>
      </c>
    </row>
    <row r="7139">
      <c r="G7139" s="5"/>
      <c r="H7139" s="6"/>
      <c r="AD7139" s="5">
        <v>45224.0</v>
      </c>
      <c r="AE7139" s="6">
        <v>0.375</v>
      </c>
      <c r="AF7139" s="7">
        <v>19849.44</v>
      </c>
    </row>
    <row r="7140">
      <c r="G7140" s="5"/>
      <c r="H7140" s="6"/>
      <c r="AD7140" s="5">
        <v>45224.0</v>
      </c>
      <c r="AE7140" s="6">
        <v>0.4166666666666667</v>
      </c>
      <c r="AF7140" s="7">
        <v>31352.1</v>
      </c>
    </row>
    <row r="7141">
      <c r="G7141" s="5"/>
      <c r="H7141" s="6"/>
      <c r="AD7141" s="5">
        <v>45224.0</v>
      </c>
      <c r="AE7141" s="6">
        <v>0.4583333333333333</v>
      </c>
      <c r="AF7141" s="7">
        <v>30751.5</v>
      </c>
    </row>
    <row r="7142">
      <c r="G7142" s="5"/>
      <c r="H7142" s="6"/>
      <c r="AD7142" s="5">
        <v>45224.0</v>
      </c>
      <c r="AE7142" s="6">
        <v>0.5</v>
      </c>
      <c r="AF7142" s="7">
        <v>4348.5</v>
      </c>
    </row>
    <row r="7143">
      <c r="G7143" s="5"/>
      <c r="H7143" s="6"/>
      <c r="AD7143" s="5">
        <v>45224.0</v>
      </c>
      <c r="AE7143" s="6">
        <v>0.5416666666666666</v>
      </c>
      <c r="AF7143" s="7">
        <v>8843.64</v>
      </c>
    </row>
    <row r="7144">
      <c r="G7144" s="5"/>
      <c r="H7144" s="6"/>
      <c r="AD7144" s="5">
        <v>45224.0</v>
      </c>
      <c r="AE7144" s="6">
        <v>0.5833333333333334</v>
      </c>
      <c r="AF7144" s="7">
        <v>9155.64</v>
      </c>
    </row>
    <row r="7145">
      <c r="G7145" s="5"/>
      <c r="H7145" s="6"/>
      <c r="AD7145" s="5">
        <v>45224.0</v>
      </c>
      <c r="AE7145" s="6">
        <v>0.625</v>
      </c>
      <c r="AF7145" s="7">
        <v>6864.0</v>
      </c>
    </row>
    <row r="7146">
      <c r="G7146" s="5"/>
      <c r="H7146" s="6"/>
      <c r="AD7146" s="5">
        <v>45224.0</v>
      </c>
      <c r="AE7146" s="6">
        <v>0.6666666666666666</v>
      </c>
      <c r="AF7146" s="7">
        <v>4871.1</v>
      </c>
    </row>
    <row r="7147">
      <c r="G7147" s="5"/>
      <c r="H7147" s="6"/>
      <c r="AD7147" s="5">
        <v>45224.0</v>
      </c>
      <c r="AE7147" s="6">
        <v>0.7083333333333334</v>
      </c>
      <c r="AF7147" s="7">
        <v>0.0</v>
      </c>
    </row>
    <row r="7148">
      <c r="G7148" s="5"/>
      <c r="H7148" s="6"/>
      <c r="AD7148" s="5">
        <v>45224.0</v>
      </c>
      <c r="AE7148" s="6">
        <v>0.75</v>
      </c>
      <c r="AF7148" s="7">
        <v>0.0</v>
      </c>
    </row>
    <row r="7149">
      <c r="G7149" s="5"/>
      <c r="H7149" s="6"/>
      <c r="AD7149" s="5">
        <v>45224.0</v>
      </c>
      <c r="AE7149" s="6">
        <v>0.7916666666666666</v>
      </c>
      <c r="AF7149" s="7">
        <v>0.0</v>
      </c>
    </row>
    <row r="7150">
      <c r="G7150" s="5"/>
      <c r="H7150" s="6"/>
      <c r="AD7150" s="5">
        <v>45224.0</v>
      </c>
      <c r="AE7150" s="6">
        <v>0.8333333333333334</v>
      </c>
      <c r="AF7150" s="7">
        <v>0.0</v>
      </c>
    </row>
    <row r="7151">
      <c r="G7151" s="5"/>
      <c r="H7151" s="6"/>
      <c r="AD7151" s="5">
        <v>45224.0</v>
      </c>
      <c r="AE7151" s="6">
        <v>0.875</v>
      </c>
      <c r="AF7151" s="7">
        <v>0.0</v>
      </c>
    </row>
    <row r="7152">
      <c r="G7152" s="5"/>
      <c r="H7152" s="6"/>
      <c r="AD7152" s="5">
        <v>45224.0</v>
      </c>
      <c r="AE7152" s="6">
        <v>0.9166666666666666</v>
      </c>
      <c r="AF7152" s="7">
        <v>0.0</v>
      </c>
    </row>
    <row r="7153">
      <c r="G7153" s="5"/>
      <c r="H7153" s="6"/>
      <c r="AD7153" s="5">
        <v>45224.0</v>
      </c>
      <c r="AE7153" s="6">
        <v>0.9583333333333334</v>
      </c>
      <c r="AF7153" s="7">
        <v>0.0</v>
      </c>
    </row>
    <row r="7154">
      <c r="G7154" s="5"/>
      <c r="H7154" s="6"/>
      <c r="AD7154" s="5">
        <v>45225.0</v>
      </c>
      <c r="AE7154" s="6">
        <v>0.0</v>
      </c>
      <c r="AF7154" s="7">
        <v>0.0</v>
      </c>
    </row>
    <row r="7155">
      <c r="G7155" s="5"/>
      <c r="H7155" s="6"/>
      <c r="AD7155" s="5">
        <v>45225.0</v>
      </c>
      <c r="AE7155" s="6">
        <v>0.041666666666666664</v>
      </c>
      <c r="AF7155" s="7">
        <v>0.0</v>
      </c>
    </row>
    <row r="7156">
      <c r="G7156" s="5"/>
      <c r="H7156" s="6"/>
      <c r="AD7156" s="5">
        <v>45225.0</v>
      </c>
      <c r="AE7156" s="6">
        <v>0.08333333333333333</v>
      </c>
      <c r="AF7156" s="7">
        <v>0.0</v>
      </c>
    </row>
    <row r="7157">
      <c r="G7157" s="5"/>
      <c r="H7157" s="6"/>
      <c r="AD7157" s="5">
        <v>45225.0</v>
      </c>
      <c r="AE7157" s="6">
        <v>0.125</v>
      </c>
      <c r="AF7157" s="7">
        <v>0.0</v>
      </c>
    </row>
    <row r="7158">
      <c r="G7158" s="5"/>
      <c r="H7158" s="6"/>
      <c r="AD7158" s="5">
        <v>45225.0</v>
      </c>
      <c r="AE7158" s="6">
        <v>0.16666666666666666</v>
      </c>
      <c r="AF7158" s="7">
        <v>0.0</v>
      </c>
    </row>
    <row r="7159">
      <c r="G7159" s="5"/>
      <c r="H7159" s="6"/>
      <c r="AD7159" s="5">
        <v>45225.0</v>
      </c>
      <c r="AE7159" s="6">
        <v>0.20833333333333334</v>
      </c>
      <c r="AF7159" s="7">
        <v>0.0</v>
      </c>
    </row>
    <row r="7160">
      <c r="G7160" s="5"/>
      <c r="H7160" s="6"/>
      <c r="AD7160" s="5">
        <v>45225.0</v>
      </c>
      <c r="AE7160" s="6">
        <v>0.25</v>
      </c>
      <c r="AF7160" s="7">
        <v>0.0</v>
      </c>
    </row>
    <row r="7161">
      <c r="G7161" s="5"/>
      <c r="H7161" s="6"/>
      <c r="AD7161" s="5">
        <v>45225.0</v>
      </c>
      <c r="AE7161" s="6">
        <v>0.2916666666666667</v>
      </c>
      <c r="AF7161" s="7">
        <v>967.2</v>
      </c>
    </row>
    <row r="7162">
      <c r="G7162" s="5"/>
      <c r="H7162" s="6"/>
      <c r="AD7162" s="5">
        <v>45225.0</v>
      </c>
      <c r="AE7162" s="6">
        <v>0.3333333333333333</v>
      </c>
      <c r="AF7162" s="7">
        <v>3269.76</v>
      </c>
    </row>
    <row r="7163">
      <c r="G7163" s="5"/>
      <c r="H7163" s="6"/>
      <c r="AD7163" s="5">
        <v>45225.0</v>
      </c>
      <c r="AE7163" s="6">
        <v>0.375</v>
      </c>
      <c r="AF7163" s="7">
        <v>6588.66</v>
      </c>
    </row>
    <row r="7164">
      <c r="G7164" s="5"/>
      <c r="H7164" s="6"/>
      <c r="AD7164" s="5">
        <v>45225.0</v>
      </c>
      <c r="AE7164" s="6">
        <v>0.4166666666666667</v>
      </c>
      <c r="AF7164" s="7">
        <v>5163.6</v>
      </c>
    </row>
    <row r="7165">
      <c r="G7165" s="5"/>
      <c r="H7165" s="6"/>
      <c r="AD7165" s="5">
        <v>45225.0</v>
      </c>
      <c r="AE7165" s="6">
        <v>0.4583333333333333</v>
      </c>
      <c r="AF7165" s="7">
        <v>14174.16</v>
      </c>
    </row>
    <row r="7166">
      <c r="G7166" s="5"/>
      <c r="H7166" s="6"/>
      <c r="AD7166" s="5">
        <v>45225.0</v>
      </c>
      <c r="AE7166" s="6">
        <v>0.5</v>
      </c>
      <c r="AF7166" s="7">
        <v>36716.94</v>
      </c>
    </row>
    <row r="7167">
      <c r="G7167" s="5"/>
      <c r="H7167" s="6"/>
      <c r="AD7167" s="5">
        <v>45225.0</v>
      </c>
      <c r="AE7167" s="6">
        <v>0.5416666666666666</v>
      </c>
      <c r="AF7167" s="7">
        <v>14264.64</v>
      </c>
    </row>
    <row r="7168">
      <c r="G7168" s="5"/>
      <c r="H7168" s="6"/>
      <c r="AD7168" s="5">
        <v>45225.0</v>
      </c>
      <c r="AE7168" s="6">
        <v>0.5833333333333334</v>
      </c>
      <c r="AF7168" s="7">
        <v>10086.96</v>
      </c>
    </row>
    <row r="7169">
      <c r="G7169" s="5"/>
      <c r="H7169" s="6"/>
      <c r="AD7169" s="5">
        <v>45225.0</v>
      </c>
      <c r="AE7169" s="6">
        <v>0.625</v>
      </c>
      <c r="AF7169" s="7">
        <v>791.7</v>
      </c>
    </row>
    <row r="7170">
      <c r="G7170" s="5"/>
      <c r="H7170" s="6"/>
      <c r="AD7170" s="5">
        <v>45225.0</v>
      </c>
      <c r="AE7170" s="6">
        <v>0.6666666666666666</v>
      </c>
      <c r="AF7170" s="7">
        <v>1715.22</v>
      </c>
    </row>
    <row r="7171">
      <c r="G7171" s="5"/>
      <c r="H7171" s="6"/>
      <c r="AD7171" s="5">
        <v>45225.0</v>
      </c>
      <c r="AE7171" s="6">
        <v>0.7083333333333334</v>
      </c>
      <c r="AF7171" s="7">
        <v>0.0</v>
      </c>
    </row>
    <row r="7172">
      <c r="G7172" s="5"/>
      <c r="H7172" s="6"/>
      <c r="AD7172" s="5">
        <v>45225.0</v>
      </c>
      <c r="AE7172" s="6">
        <v>0.75</v>
      </c>
      <c r="AF7172" s="7">
        <v>0.0</v>
      </c>
    </row>
    <row r="7173">
      <c r="G7173" s="5"/>
      <c r="H7173" s="6"/>
      <c r="AD7173" s="5">
        <v>45225.0</v>
      </c>
      <c r="AE7173" s="6">
        <v>0.7916666666666666</v>
      </c>
      <c r="AF7173" s="7">
        <v>0.0</v>
      </c>
    </row>
    <row r="7174">
      <c r="G7174" s="5"/>
      <c r="H7174" s="6"/>
      <c r="AD7174" s="5">
        <v>45225.0</v>
      </c>
      <c r="AE7174" s="6">
        <v>0.8333333333333334</v>
      </c>
      <c r="AF7174" s="7">
        <v>0.0</v>
      </c>
    </row>
    <row r="7175">
      <c r="G7175" s="5"/>
      <c r="H7175" s="6"/>
      <c r="AD7175" s="5">
        <v>45225.0</v>
      </c>
      <c r="AE7175" s="6">
        <v>0.875</v>
      </c>
      <c r="AF7175" s="7">
        <v>0.0</v>
      </c>
    </row>
    <row r="7176">
      <c r="G7176" s="5"/>
      <c r="H7176" s="6"/>
      <c r="AD7176" s="5">
        <v>45225.0</v>
      </c>
      <c r="AE7176" s="6">
        <v>0.9166666666666666</v>
      </c>
      <c r="AF7176" s="7">
        <v>0.0</v>
      </c>
    </row>
    <row r="7177">
      <c r="G7177" s="5"/>
      <c r="H7177" s="6"/>
      <c r="AD7177" s="5">
        <v>45225.0</v>
      </c>
      <c r="AE7177" s="6">
        <v>0.9583333333333334</v>
      </c>
      <c r="AF7177" s="7">
        <v>0.0</v>
      </c>
    </row>
    <row r="7178">
      <c r="G7178" s="5"/>
      <c r="H7178" s="6"/>
      <c r="AD7178" s="5">
        <v>45226.0</v>
      </c>
      <c r="AE7178" s="6">
        <v>0.0</v>
      </c>
      <c r="AF7178" s="7">
        <v>0.0</v>
      </c>
    </row>
    <row r="7179">
      <c r="G7179" s="5"/>
      <c r="H7179" s="6"/>
      <c r="AD7179" s="5">
        <v>45226.0</v>
      </c>
      <c r="AE7179" s="6">
        <v>0.041666666666666664</v>
      </c>
      <c r="AF7179" s="7">
        <v>0.0</v>
      </c>
    </row>
    <row r="7180">
      <c r="G7180" s="5"/>
      <c r="H7180" s="6"/>
      <c r="AD7180" s="5">
        <v>45226.0</v>
      </c>
      <c r="AE7180" s="6">
        <v>0.08333333333333333</v>
      </c>
      <c r="AF7180" s="7">
        <v>0.0</v>
      </c>
    </row>
    <row r="7181">
      <c r="G7181" s="5"/>
      <c r="H7181" s="6"/>
      <c r="AD7181" s="5">
        <v>45226.0</v>
      </c>
      <c r="AE7181" s="6">
        <v>0.125</v>
      </c>
      <c r="AF7181" s="7">
        <v>0.0</v>
      </c>
    </row>
    <row r="7182">
      <c r="G7182" s="5"/>
      <c r="H7182" s="6"/>
      <c r="AD7182" s="5">
        <v>45226.0</v>
      </c>
      <c r="AE7182" s="6">
        <v>0.16666666666666666</v>
      </c>
      <c r="AF7182" s="7">
        <v>0.0</v>
      </c>
    </row>
    <row r="7183">
      <c r="G7183" s="5"/>
      <c r="H7183" s="6"/>
      <c r="AD7183" s="5">
        <v>45226.0</v>
      </c>
      <c r="AE7183" s="6">
        <v>0.20833333333333334</v>
      </c>
      <c r="AF7183" s="7">
        <v>0.0</v>
      </c>
    </row>
    <row r="7184">
      <c r="G7184" s="5"/>
      <c r="H7184" s="6"/>
      <c r="AD7184" s="5">
        <v>45226.0</v>
      </c>
      <c r="AE7184" s="6">
        <v>0.25</v>
      </c>
      <c r="AF7184" s="7">
        <v>0.0</v>
      </c>
    </row>
    <row r="7185">
      <c r="G7185" s="5"/>
      <c r="H7185" s="6"/>
      <c r="AD7185" s="5">
        <v>45226.0</v>
      </c>
      <c r="AE7185" s="6">
        <v>0.2916666666666667</v>
      </c>
      <c r="AF7185" s="7">
        <v>5367.96</v>
      </c>
    </row>
    <row r="7186">
      <c r="G7186" s="5"/>
      <c r="H7186" s="6"/>
      <c r="AD7186" s="5">
        <v>45226.0</v>
      </c>
      <c r="AE7186" s="6">
        <v>0.3333333333333333</v>
      </c>
      <c r="AF7186" s="7">
        <v>21138.78</v>
      </c>
    </row>
    <row r="7187">
      <c r="G7187" s="5"/>
      <c r="H7187" s="6"/>
      <c r="AD7187" s="5">
        <v>45226.0</v>
      </c>
      <c r="AE7187" s="6">
        <v>0.375</v>
      </c>
      <c r="AF7187" s="7">
        <v>26612.04</v>
      </c>
    </row>
    <row r="7188">
      <c r="G7188" s="5"/>
      <c r="H7188" s="6"/>
      <c r="AD7188" s="5">
        <v>45226.0</v>
      </c>
      <c r="AE7188" s="6">
        <v>0.4166666666666667</v>
      </c>
      <c r="AF7188" s="7">
        <v>39244.14</v>
      </c>
    </row>
    <row r="7189">
      <c r="G7189" s="5"/>
      <c r="H7189" s="6"/>
      <c r="AD7189" s="5">
        <v>45226.0</v>
      </c>
      <c r="AE7189" s="6">
        <v>0.4583333333333333</v>
      </c>
      <c r="AF7189" s="7">
        <v>44669.04</v>
      </c>
    </row>
    <row r="7190">
      <c r="G7190" s="5"/>
      <c r="H7190" s="6"/>
      <c r="AD7190" s="5">
        <v>45226.0</v>
      </c>
      <c r="AE7190" s="6">
        <v>0.5</v>
      </c>
      <c r="AF7190" s="7">
        <v>35399.52</v>
      </c>
    </row>
    <row r="7191">
      <c r="G7191" s="5"/>
      <c r="H7191" s="6"/>
      <c r="AD7191" s="5">
        <v>45226.0</v>
      </c>
      <c r="AE7191" s="6">
        <v>0.5416666666666666</v>
      </c>
      <c r="AF7191" s="7">
        <v>19934.46</v>
      </c>
    </row>
    <row r="7192">
      <c r="G7192" s="5"/>
      <c r="H7192" s="6"/>
      <c r="AD7192" s="5">
        <v>45226.0</v>
      </c>
      <c r="AE7192" s="6">
        <v>0.5833333333333334</v>
      </c>
      <c r="AF7192" s="7">
        <v>6332.82</v>
      </c>
    </row>
    <row r="7193">
      <c r="G7193" s="5"/>
      <c r="H7193" s="6"/>
      <c r="AD7193" s="5">
        <v>45226.0</v>
      </c>
      <c r="AE7193" s="6">
        <v>0.625</v>
      </c>
      <c r="AF7193" s="7">
        <v>2478.84</v>
      </c>
    </row>
    <row r="7194">
      <c r="G7194" s="5"/>
      <c r="H7194" s="6"/>
      <c r="AD7194" s="5">
        <v>45226.0</v>
      </c>
      <c r="AE7194" s="6">
        <v>0.6666666666666666</v>
      </c>
      <c r="AF7194" s="7">
        <v>2052.96</v>
      </c>
    </row>
    <row r="7195">
      <c r="G7195" s="5"/>
      <c r="H7195" s="6"/>
      <c r="AD7195" s="5">
        <v>45226.0</v>
      </c>
      <c r="AE7195" s="6">
        <v>0.7083333333333334</v>
      </c>
      <c r="AF7195" s="7">
        <v>0.0</v>
      </c>
    </row>
    <row r="7196">
      <c r="G7196" s="5"/>
      <c r="H7196" s="6"/>
      <c r="AD7196" s="5">
        <v>45226.0</v>
      </c>
      <c r="AE7196" s="6">
        <v>0.75</v>
      </c>
      <c r="AF7196" s="7">
        <v>0.0</v>
      </c>
    </row>
    <row r="7197">
      <c r="G7197" s="5"/>
      <c r="H7197" s="6"/>
      <c r="AD7197" s="5">
        <v>45226.0</v>
      </c>
      <c r="AE7197" s="6">
        <v>0.7916666666666666</v>
      </c>
      <c r="AF7197" s="7">
        <v>0.0</v>
      </c>
    </row>
    <row r="7198">
      <c r="G7198" s="5"/>
      <c r="H7198" s="6"/>
      <c r="AD7198" s="5">
        <v>45226.0</v>
      </c>
      <c r="AE7198" s="6">
        <v>0.8333333333333334</v>
      </c>
      <c r="AF7198" s="7">
        <v>0.0</v>
      </c>
    </row>
    <row r="7199">
      <c r="G7199" s="5"/>
      <c r="H7199" s="6"/>
      <c r="AD7199" s="5">
        <v>45226.0</v>
      </c>
      <c r="AE7199" s="6">
        <v>0.875</v>
      </c>
      <c r="AF7199" s="7">
        <v>0.0</v>
      </c>
    </row>
    <row r="7200">
      <c r="G7200" s="5"/>
      <c r="H7200" s="6"/>
      <c r="AD7200" s="5">
        <v>45226.0</v>
      </c>
      <c r="AE7200" s="6">
        <v>0.9166666666666666</v>
      </c>
      <c r="AF7200" s="7">
        <v>0.0</v>
      </c>
    </row>
    <row r="7201">
      <c r="G7201" s="5"/>
      <c r="H7201" s="6"/>
      <c r="AD7201" s="5">
        <v>45226.0</v>
      </c>
      <c r="AE7201" s="6">
        <v>0.9583333333333334</v>
      </c>
      <c r="AF7201" s="7">
        <v>0.0</v>
      </c>
    </row>
    <row r="7202">
      <c r="G7202" s="5"/>
      <c r="H7202" s="6"/>
      <c r="AD7202" s="5">
        <v>45227.0</v>
      </c>
      <c r="AE7202" s="6">
        <v>0.0</v>
      </c>
      <c r="AF7202" s="7">
        <v>0.0</v>
      </c>
    </row>
    <row r="7203">
      <c r="G7203" s="5"/>
      <c r="H7203" s="6"/>
      <c r="AD7203" s="5">
        <v>45227.0</v>
      </c>
      <c r="AE7203" s="6">
        <v>0.041666666666666664</v>
      </c>
      <c r="AF7203" s="7">
        <v>0.0</v>
      </c>
    </row>
    <row r="7204">
      <c r="G7204" s="5"/>
      <c r="H7204" s="6"/>
      <c r="AD7204" s="5">
        <v>45227.0</v>
      </c>
      <c r="AE7204" s="6">
        <v>0.08333333333333333</v>
      </c>
      <c r="AF7204" s="7">
        <v>0.0</v>
      </c>
    </row>
    <row r="7205">
      <c r="G7205" s="5"/>
      <c r="H7205" s="6"/>
      <c r="AD7205" s="5">
        <v>45227.0</v>
      </c>
      <c r="AE7205" s="6">
        <v>0.125</v>
      </c>
      <c r="AF7205" s="7">
        <v>0.0</v>
      </c>
    </row>
    <row r="7206">
      <c r="G7206" s="5"/>
      <c r="H7206" s="6"/>
      <c r="AD7206" s="5">
        <v>45227.0</v>
      </c>
      <c r="AE7206" s="6">
        <v>0.16666666666666666</v>
      </c>
      <c r="AF7206" s="7">
        <v>0.0</v>
      </c>
    </row>
    <row r="7207">
      <c r="G7207" s="5"/>
      <c r="H7207" s="6"/>
      <c r="AD7207" s="5">
        <v>45227.0</v>
      </c>
      <c r="AE7207" s="6">
        <v>0.20833333333333334</v>
      </c>
      <c r="AF7207" s="7">
        <v>0.0</v>
      </c>
    </row>
    <row r="7208">
      <c r="G7208" s="5"/>
      <c r="H7208" s="6"/>
      <c r="AD7208" s="5">
        <v>45227.0</v>
      </c>
      <c r="AE7208" s="6">
        <v>0.25</v>
      </c>
      <c r="AF7208" s="7">
        <v>0.0</v>
      </c>
    </row>
    <row r="7209">
      <c r="G7209" s="5"/>
      <c r="H7209" s="6"/>
      <c r="AD7209" s="5">
        <v>45227.0</v>
      </c>
      <c r="AE7209" s="6">
        <v>0.2916666666666667</v>
      </c>
      <c r="AF7209" s="7">
        <v>3027.18</v>
      </c>
    </row>
    <row r="7210">
      <c r="G7210" s="5"/>
      <c r="H7210" s="6"/>
      <c r="AD7210" s="5">
        <v>45227.0</v>
      </c>
      <c r="AE7210" s="6">
        <v>0.3333333333333333</v>
      </c>
      <c r="AF7210" s="7">
        <v>18233.28</v>
      </c>
    </row>
    <row r="7211">
      <c r="G7211" s="5"/>
      <c r="H7211" s="6"/>
      <c r="AD7211" s="5">
        <v>45227.0</v>
      </c>
      <c r="AE7211" s="6">
        <v>0.375</v>
      </c>
      <c r="AF7211" s="7">
        <v>32470.62</v>
      </c>
    </row>
    <row r="7212">
      <c r="G7212" s="5"/>
      <c r="H7212" s="6"/>
      <c r="AD7212" s="5">
        <v>45227.0</v>
      </c>
      <c r="AE7212" s="6">
        <v>0.4166666666666667</v>
      </c>
      <c r="AF7212" s="7">
        <v>27264.9</v>
      </c>
    </row>
    <row r="7213">
      <c r="G7213" s="5"/>
      <c r="H7213" s="6"/>
      <c r="AD7213" s="5">
        <v>45227.0</v>
      </c>
      <c r="AE7213" s="6">
        <v>0.4583333333333333</v>
      </c>
      <c r="AF7213" s="7">
        <v>24220.56</v>
      </c>
    </row>
    <row r="7214">
      <c r="G7214" s="5"/>
      <c r="H7214" s="6"/>
      <c r="AD7214" s="5">
        <v>45227.0</v>
      </c>
      <c r="AE7214" s="6">
        <v>0.5</v>
      </c>
      <c r="AF7214" s="7">
        <v>45611.28</v>
      </c>
    </row>
    <row r="7215">
      <c r="G7215" s="5"/>
      <c r="H7215" s="6"/>
      <c r="AD7215" s="5">
        <v>45227.0</v>
      </c>
      <c r="AE7215" s="6">
        <v>0.5416666666666666</v>
      </c>
      <c r="AF7215" s="7">
        <v>35266.92</v>
      </c>
    </row>
    <row r="7216">
      <c r="G7216" s="5"/>
      <c r="H7216" s="6"/>
      <c r="AD7216" s="5">
        <v>45227.0</v>
      </c>
      <c r="AE7216" s="6">
        <v>0.5833333333333334</v>
      </c>
      <c r="AF7216" s="7">
        <v>25632.36</v>
      </c>
    </row>
    <row r="7217">
      <c r="G7217" s="5"/>
      <c r="H7217" s="6"/>
      <c r="AD7217" s="5">
        <v>45227.0</v>
      </c>
      <c r="AE7217" s="6">
        <v>0.625</v>
      </c>
      <c r="AF7217" s="7">
        <v>12366.9</v>
      </c>
    </row>
    <row r="7218">
      <c r="G7218" s="5"/>
      <c r="H7218" s="6"/>
      <c r="AD7218" s="5">
        <v>45227.0</v>
      </c>
      <c r="AE7218" s="6">
        <v>0.6666666666666666</v>
      </c>
      <c r="AF7218" s="7">
        <v>2247.96</v>
      </c>
    </row>
    <row r="7219">
      <c r="G7219" s="5"/>
      <c r="H7219" s="6"/>
      <c r="AD7219" s="5">
        <v>45227.0</v>
      </c>
      <c r="AE7219" s="6">
        <v>0.7083333333333334</v>
      </c>
      <c r="AF7219" s="7">
        <v>0.0</v>
      </c>
    </row>
    <row r="7220">
      <c r="G7220" s="5"/>
      <c r="H7220" s="6"/>
      <c r="AD7220" s="5">
        <v>45227.0</v>
      </c>
      <c r="AE7220" s="6">
        <v>0.75</v>
      </c>
      <c r="AF7220" s="7">
        <v>0.0</v>
      </c>
    </row>
    <row r="7221">
      <c r="G7221" s="5"/>
      <c r="H7221" s="6"/>
      <c r="AD7221" s="5">
        <v>45227.0</v>
      </c>
      <c r="AE7221" s="6">
        <v>0.7916666666666666</v>
      </c>
      <c r="AF7221" s="7">
        <v>0.0</v>
      </c>
    </row>
    <row r="7222">
      <c r="G7222" s="5"/>
      <c r="H7222" s="6"/>
      <c r="AD7222" s="5">
        <v>45227.0</v>
      </c>
      <c r="AE7222" s="6">
        <v>0.8333333333333334</v>
      </c>
      <c r="AF7222" s="7">
        <v>0.0</v>
      </c>
    </row>
    <row r="7223">
      <c r="G7223" s="5"/>
      <c r="H7223" s="6"/>
      <c r="AD7223" s="5">
        <v>45227.0</v>
      </c>
      <c r="AE7223" s="6">
        <v>0.875</v>
      </c>
      <c r="AF7223" s="7">
        <v>0.0</v>
      </c>
    </row>
    <row r="7224">
      <c r="G7224" s="5"/>
      <c r="H7224" s="6"/>
      <c r="AD7224" s="5">
        <v>45227.0</v>
      </c>
      <c r="AE7224" s="6">
        <v>0.9166666666666666</v>
      </c>
      <c r="AF7224" s="7">
        <v>0.0</v>
      </c>
    </row>
    <row r="7225">
      <c r="G7225" s="5"/>
      <c r="H7225" s="6"/>
      <c r="AD7225" s="5">
        <v>45227.0</v>
      </c>
      <c r="AE7225" s="6">
        <v>0.9583333333333334</v>
      </c>
      <c r="AF7225" s="7">
        <v>0.0</v>
      </c>
    </row>
    <row r="7226">
      <c r="G7226" s="5"/>
      <c r="H7226" s="6"/>
      <c r="AD7226" s="5">
        <v>45228.0</v>
      </c>
      <c r="AE7226" s="6">
        <v>0.0</v>
      </c>
      <c r="AF7226" s="7">
        <v>0.0</v>
      </c>
    </row>
    <row r="7227">
      <c r="G7227" s="5"/>
      <c r="H7227" s="6"/>
      <c r="AD7227" s="5">
        <v>45228.0</v>
      </c>
      <c r="AE7227" s="6">
        <v>0.041666666666666664</v>
      </c>
      <c r="AF7227" s="7">
        <v>0.0</v>
      </c>
    </row>
    <row r="7228">
      <c r="G7228" s="5"/>
      <c r="H7228" s="6"/>
      <c r="AD7228" s="5">
        <v>45228.0</v>
      </c>
      <c r="AE7228" s="6">
        <v>0.08333333333333333</v>
      </c>
      <c r="AF7228" s="7">
        <v>0.0</v>
      </c>
    </row>
    <row r="7229">
      <c r="G7229" s="5"/>
      <c r="H7229" s="6"/>
      <c r="AD7229" s="5">
        <v>45228.0</v>
      </c>
      <c r="AE7229" s="6">
        <v>0.125</v>
      </c>
      <c r="AF7229" s="7">
        <v>0.0</v>
      </c>
    </row>
    <row r="7230">
      <c r="G7230" s="5"/>
      <c r="H7230" s="6"/>
      <c r="AD7230" s="5">
        <v>45228.0</v>
      </c>
      <c r="AE7230" s="6">
        <v>0.16666666666666666</v>
      </c>
      <c r="AF7230" s="7">
        <v>0.0</v>
      </c>
    </row>
    <row r="7231">
      <c r="G7231" s="5"/>
      <c r="H7231" s="6"/>
      <c r="AD7231" s="5">
        <v>45228.0</v>
      </c>
      <c r="AE7231" s="6">
        <v>0.20833333333333334</v>
      </c>
      <c r="AF7231" s="7">
        <v>0.0</v>
      </c>
    </row>
    <row r="7232">
      <c r="G7232" s="5"/>
      <c r="H7232" s="6"/>
      <c r="AD7232" s="5">
        <v>45228.0</v>
      </c>
      <c r="AE7232" s="6">
        <v>0.25</v>
      </c>
      <c r="AF7232" s="7">
        <v>0.0</v>
      </c>
    </row>
    <row r="7233">
      <c r="G7233" s="5"/>
      <c r="H7233" s="6"/>
      <c r="AD7233" s="5">
        <v>45228.0</v>
      </c>
      <c r="AE7233" s="6">
        <v>0.2916666666666667</v>
      </c>
      <c r="AF7233" s="7">
        <v>1743.3</v>
      </c>
    </row>
    <row r="7234">
      <c r="G7234" s="5"/>
      <c r="H7234" s="6"/>
      <c r="AD7234" s="5">
        <v>45228.0</v>
      </c>
      <c r="AE7234" s="6">
        <v>0.3333333333333333</v>
      </c>
      <c r="AF7234" s="7">
        <v>6884.28</v>
      </c>
    </row>
    <row r="7235">
      <c r="G7235" s="5"/>
      <c r="H7235" s="6"/>
      <c r="AD7235" s="5">
        <v>45228.0</v>
      </c>
      <c r="AE7235" s="6">
        <v>0.375</v>
      </c>
      <c r="AF7235" s="7">
        <v>5608.98</v>
      </c>
    </row>
    <row r="7236">
      <c r="G7236" s="5"/>
      <c r="H7236" s="6"/>
      <c r="AD7236" s="5">
        <v>45228.0</v>
      </c>
      <c r="AE7236" s="6">
        <v>0.4166666666666667</v>
      </c>
      <c r="AF7236" s="7">
        <v>11045.58</v>
      </c>
    </row>
    <row r="7237">
      <c r="G7237" s="5"/>
      <c r="H7237" s="6"/>
      <c r="AD7237" s="5">
        <v>45228.0</v>
      </c>
      <c r="AE7237" s="6">
        <v>0.4583333333333333</v>
      </c>
      <c r="AF7237" s="7">
        <v>16553.94</v>
      </c>
    </row>
    <row r="7238">
      <c r="G7238" s="5"/>
      <c r="H7238" s="6"/>
      <c r="AD7238" s="5">
        <v>45228.0</v>
      </c>
      <c r="AE7238" s="6">
        <v>0.5</v>
      </c>
      <c r="AF7238" s="7">
        <v>15088.32</v>
      </c>
    </row>
    <row r="7239">
      <c r="G7239" s="5"/>
      <c r="H7239" s="6"/>
      <c r="AD7239" s="5">
        <v>45228.0</v>
      </c>
      <c r="AE7239" s="6">
        <v>0.5416666666666666</v>
      </c>
      <c r="AF7239" s="7">
        <v>10662.6</v>
      </c>
    </row>
    <row r="7240">
      <c r="G7240" s="5"/>
      <c r="H7240" s="6"/>
      <c r="AD7240" s="5">
        <v>45228.0</v>
      </c>
      <c r="AE7240" s="6">
        <v>0.5833333333333334</v>
      </c>
      <c r="AF7240" s="7">
        <v>7820.28</v>
      </c>
    </row>
    <row r="7241">
      <c r="G7241" s="5"/>
      <c r="H7241" s="6"/>
      <c r="AD7241" s="5">
        <v>45228.0</v>
      </c>
      <c r="AE7241" s="6">
        <v>0.625</v>
      </c>
      <c r="AF7241" s="7">
        <v>1419.6</v>
      </c>
    </row>
    <row r="7242">
      <c r="G7242" s="5"/>
      <c r="H7242" s="6"/>
      <c r="AD7242" s="5">
        <v>45228.0</v>
      </c>
      <c r="AE7242" s="6">
        <v>0.6666666666666666</v>
      </c>
      <c r="AF7242" s="7">
        <v>1736.28</v>
      </c>
    </row>
    <row r="7243">
      <c r="G7243" s="5"/>
      <c r="H7243" s="6"/>
      <c r="AD7243" s="5">
        <v>45228.0</v>
      </c>
      <c r="AE7243" s="6">
        <v>0.7083333333333334</v>
      </c>
      <c r="AF7243" s="7">
        <v>0.0</v>
      </c>
    </row>
    <row r="7244">
      <c r="G7244" s="5"/>
      <c r="H7244" s="6"/>
      <c r="AD7244" s="5">
        <v>45228.0</v>
      </c>
      <c r="AE7244" s="6">
        <v>0.75</v>
      </c>
      <c r="AF7244" s="7">
        <v>0.0</v>
      </c>
    </row>
    <row r="7245">
      <c r="G7245" s="5"/>
      <c r="H7245" s="6"/>
      <c r="AD7245" s="5">
        <v>45228.0</v>
      </c>
      <c r="AE7245" s="6">
        <v>0.7916666666666666</v>
      </c>
      <c r="AF7245" s="7">
        <v>0.0</v>
      </c>
    </row>
    <row r="7246">
      <c r="G7246" s="5"/>
      <c r="H7246" s="6"/>
      <c r="AD7246" s="5">
        <v>45228.0</v>
      </c>
      <c r="AE7246" s="6">
        <v>0.8333333333333334</v>
      </c>
      <c r="AF7246" s="7">
        <v>0.0</v>
      </c>
    </row>
    <row r="7247">
      <c r="G7247" s="5"/>
      <c r="H7247" s="6"/>
      <c r="AD7247" s="5">
        <v>45228.0</v>
      </c>
      <c r="AE7247" s="6">
        <v>0.875</v>
      </c>
      <c r="AF7247" s="7">
        <v>0.0</v>
      </c>
    </row>
    <row r="7248">
      <c r="G7248" s="5"/>
      <c r="H7248" s="6"/>
      <c r="AD7248" s="5">
        <v>45228.0</v>
      </c>
      <c r="AE7248" s="6">
        <v>0.9166666666666666</v>
      </c>
      <c r="AF7248" s="7">
        <v>0.0</v>
      </c>
    </row>
    <row r="7249">
      <c r="G7249" s="5"/>
      <c r="H7249" s="6"/>
      <c r="AD7249" s="5">
        <v>45228.0</v>
      </c>
      <c r="AE7249" s="6">
        <v>0.9583333333333334</v>
      </c>
      <c r="AF7249" s="7">
        <v>0.0</v>
      </c>
    </row>
    <row r="7250">
      <c r="G7250" s="5"/>
      <c r="H7250" s="6"/>
      <c r="AD7250" s="5">
        <v>45229.0</v>
      </c>
      <c r="AE7250" s="6">
        <v>0.0</v>
      </c>
      <c r="AF7250" s="7">
        <v>0.0</v>
      </c>
    </row>
    <row r="7251">
      <c r="G7251" s="5"/>
      <c r="H7251" s="6"/>
      <c r="AD7251" s="5">
        <v>45229.0</v>
      </c>
      <c r="AE7251" s="6">
        <v>0.041666666666666664</v>
      </c>
      <c r="AF7251" s="7">
        <v>0.0</v>
      </c>
    </row>
    <row r="7252">
      <c r="G7252" s="5"/>
      <c r="H7252" s="6"/>
      <c r="AD7252" s="5">
        <v>45229.0</v>
      </c>
      <c r="AE7252" s="6">
        <v>0.08333333333333333</v>
      </c>
      <c r="AF7252" s="7">
        <v>0.0</v>
      </c>
    </row>
    <row r="7253">
      <c r="G7253" s="5"/>
      <c r="H7253" s="6"/>
      <c r="AD7253" s="5">
        <v>45229.0</v>
      </c>
      <c r="AE7253" s="6">
        <v>0.125</v>
      </c>
      <c r="AF7253" s="7">
        <v>0.0</v>
      </c>
    </row>
    <row r="7254">
      <c r="G7254" s="5"/>
      <c r="H7254" s="6"/>
      <c r="AD7254" s="5">
        <v>45229.0</v>
      </c>
      <c r="AE7254" s="6">
        <v>0.16666666666666666</v>
      </c>
      <c r="AF7254" s="7">
        <v>0.0</v>
      </c>
    </row>
    <row r="7255">
      <c r="G7255" s="5"/>
      <c r="H7255" s="6"/>
      <c r="AD7255" s="5">
        <v>45229.0</v>
      </c>
      <c r="AE7255" s="6">
        <v>0.20833333333333334</v>
      </c>
      <c r="AF7255" s="7">
        <v>0.0</v>
      </c>
    </row>
    <row r="7256">
      <c r="G7256" s="5"/>
      <c r="H7256" s="6"/>
      <c r="AD7256" s="5">
        <v>45229.0</v>
      </c>
      <c r="AE7256" s="6">
        <v>0.25</v>
      </c>
      <c r="AF7256" s="7">
        <v>0.0</v>
      </c>
    </row>
    <row r="7257">
      <c r="G7257" s="5"/>
      <c r="H7257" s="6"/>
      <c r="AD7257" s="5">
        <v>45229.0</v>
      </c>
      <c r="AE7257" s="6">
        <v>0.2916666666666667</v>
      </c>
      <c r="AF7257" s="7">
        <v>3377.4</v>
      </c>
    </row>
    <row r="7258">
      <c r="G7258" s="5"/>
      <c r="H7258" s="6"/>
      <c r="AD7258" s="5">
        <v>45229.0</v>
      </c>
      <c r="AE7258" s="6">
        <v>0.3333333333333333</v>
      </c>
      <c r="AF7258" s="7">
        <v>580.32</v>
      </c>
    </row>
    <row r="7259">
      <c r="G7259" s="5"/>
      <c r="H7259" s="6"/>
      <c r="AD7259" s="5">
        <v>45229.0</v>
      </c>
      <c r="AE7259" s="6">
        <v>0.375</v>
      </c>
      <c r="AF7259" s="7">
        <v>24468.6</v>
      </c>
    </row>
    <row r="7260">
      <c r="G7260" s="5"/>
      <c r="H7260" s="6"/>
      <c r="AD7260" s="5">
        <v>45229.0</v>
      </c>
      <c r="AE7260" s="6">
        <v>0.4166666666666667</v>
      </c>
      <c r="AF7260" s="7">
        <v>34408.92</v>
      </c>
    </row>
    <row r="7261">
      <c r="G7261" s="5"/>
      <c r="H7261" s="6"/>
      <c r="AD7261" s="5">
        <v>45229.0</v>
      </c>
      <c r="AE7261" s="6">
        <v>0.4583333333333333</v>
      </c>
      <c r="AF7261" s="7">
        <v>9758.58</v>
      </c>
    </row>
    <row r="7262">
      <c r="G7262" s="5"/>
      <c r="H7262" s="6"/>
      <c r="AD7262" s="5">
        <v>45229.0</v>
      </c>
      <c r="AE7262" s="6">
        <v>0.5</v>
      </c>
      <c r="AF7262" s="7">
        <v>24888.24</v>
      </c>
    </row>
    <row r="7263">
      <c r="G7263" s="5"/>
      <c r="H7263" s="6"/>
      <c r="AD7263" s="5">
        <v>45229.0</v>
      </c>
      <c r="AE7263" s="6">
        <v>0.5416666666666666</v>
      </c>
      <c r="AF7263" s="7">
        <v>13439.4</v>
      </c>
    </row>
    <row r="7264">
      <c r="G7264" s="5"/>
      <c r="H7264" s="6"/>
      <c r="AD7264" s="5">
        <v>45229.0</v>
      </c>
      <c r="AE7264" s="6">
        <v>0.5833333333333334</v>
      </c>
      <c r="AF7264" s="7">
        <v>35214.66</v>
      </c>
    </row>
    <row r="7265">
      <c r="G7265" s="5"/>
      <c r="H7265" s="6"/>
      <c r="AD7265" s="5">
        <v>45229.0</v>
      </c>
      <c r="AE7265" s="6">
        <v>0.625</v>
      </c>
      <c r="AF7265" s="7">
        <v>21237.84</v>
      </c>
    </row>
    <row r="7266">
      <c r="G7266" s="5"/>
      <c r="H7266" s="6"/>
      <c r="AD7266" s="5">
        <v>45229.0</v>
      </c>
      <c r="AE7266" s="6">
        <v>0.6666666666666666</v>
      </c>
      <c r="AF7266" s="7">
        <v>5775.9</v>
      </c>
    </row>
    <row r="7267">
      <c r="G7267" s="5"/>
      <c r="H7267" s="6"/>
      <c r="AD7267" s="5">
        <v>45229.0</v>
      </c>
      <c r="AE7267" s="6">
        <v>0.7083333333333334</v>
      </c>
      <c r="AF7267" s="7">
        <v>0.0</v>
      </c>
    </row>
    <row r="7268">
      <c r="G7268" s="5"/>
      <c r="H7268" s="6"/>
      <c r="AD7268" s="5">
        <v>45229.0</v>
      </c>
      <c r="AE7268" s="6">
        <v>0.75</v>
      </c>
      <c r="AF7268" s="7">
        <v>0.0</v>
      </c>
    </row>
    <row r="7269">
      <c r="G7269" s="5"/>
      <c r="H7269" s="6"/>
      <c r="AD7269" s="5">
        <v>45229.0</v>
      </c>
      <c r="AE7269" s="6">
        <v>0.7916666666666666</v>
      </c>
      <c r="AF7269" s="7">
        <v>0.0</v>
      </c>
    </row>
    <row r="7270">
      <c r="G7270" s="5"/>
      <c r="H7270" s="6"/>
      <c r="AD7270" s="5">
        <v>45229.0</v>
      </c>
      <c r="AE7270" s="6">
        <v>0.8333333333333334</v>
      </c>
      <c r="AF7270" s="7">
        <v>0.0</v>
      </c>
    </row>
    <row r="7271">
      <c r="G7271" s="5"/>
      <c r="H7271" s="6"/>
      <c r="AD7271" s="5">
        <v>45229.0</v>
      </c>
      <c r="AE7271" s="6">
        <v>0.875</v>
      </c>
      <c r="AF7271" s="7">
        <v>0.0</v>
      </c>
    </row>
    <row r="7272">
      <c r="G7272" s="5"/>
      <c r="H7272" s="6"/>
      <c r="AD7272" s="5">
        <v>45229.0</v>
      </c>
      <c r="AE7272" s="6">
        <v>0.9166666666666666</v>
      </c>
      <c r="AF7272" s="7">
        <v>0.0</v>
      </c>
    </row>
    <row r="7273">
      <c r="G7273" s="5"/>
      <c r="H7273" s="6"/>
      <c r="AD7273" s="5">
        <v>45229.0</v>
      </c>
      <c r="AE7273" s="6">
        <v>0.9583333333333334</v>
      </c>
      <c r="AF7273" s="7">
        <v>0.0</v>
      </c>
    </row>
    <row r="7274">
      <c r="G7274" s="5"/>
      <c r="H7274" s="6"/>
      <c r="AD7274" s="5">
        <v>45230.0</v>
      </c>
      <c r="AE7274" s="6">
        <v>0.0</v>
      </c>
      <c r="AF7274" s="7">
        <v>0.0</v>
      </c>
    </row>
    <row r="7275">
      <c r="G7275" s="5"/>
      <c r="H7275" s="6"/>
      <c r="AD7275" s="5">
        <v>45230.0</v>
      </c>
      <c r="AE7275" s="6">
        <v>0.041666666666666664</v>
      </c>
      <c r="AF7275" s="7">
        <v>0.0</v>
      </c>
    </row>
    <row r="7276">
      <c r="G7276" s="5"/>
      <c r="H7276" s="6"/>
      <c r="AD7276" s="5">
        <v>45230.0</v>
      </c>
      <c r="AE7276" s="6">
        <v>0.08333333333333333</v>
      </c>
      <c r="AF7276" s="7">
        <v>0.0</v>
      </c>
    </row>
    <row r="7277">
      <c r="G7277" s="5"/>
      <c r="H7277" s="6"/>
      <c r="AD7277" s="5">
        <v>45230.0</v>
      </c>
      <c r="AE7277" s="6">
        <v>0.125</v>
      </c>
      <c r="AF7277" s="7">
        <v>0.0</v>
      </c>
    </row>
    <row r="7278">
      <c r="G7278" s="5"/>
      <c r="H7278" s="6"/>
      <c r="AD7278" s="5">
        <v>45230.0</v>
      </c>
      <c r="AE7278" s="6">
        <v>0.16666666666666666</v>
      </c>
      <c r="AF7278" s="7">
        <v>0.0</v>
      </c>
    </row>
    <row r="7279">
      <c r="G7279" s="5"/>
      <c r="H7279" s="6"/>
      <c r="AD7279" s="5">
        <v>45230.0</v>
      </c>
      <c r="AE7279" s="6">
        <v>0.20833333333333334</v>
      </c>
      <c r="AF7279" s="7">
        <v>0.0</v>
      </c>
    </row>
    <row r="7280">
      <c r="G7280" s="5"/>
      <c r="H7280" s="6"/>
      <c r="AD7280" s="5">
        <v>45230.0</v>
      </c>
      <c r="AE7280" s="6">
        <v>0.25</v>
      </c>
      <c r="AF7280" s="7">
        <v>0.0</v>
      </c>
    </row>
    <row r="7281">
      <c r="G7281" s="5"/>
      <c r="H7281" s="6"/>
      <c r="AD7281" s="5">
        <v>45230.0</v>
      </c>
      <c r="AE7281" s="6">
        <v>0.2916666666666667</v>
      </c>
      <c r="AF7281" s="7">
        <v>3345.42</v>
      </c>
    </row>
    <row r="7282">
      <c r="G7282" s="5"/>
      <c r="H7282" s="6"/>
      <c r="AD7282" s="5">
        <v>45230.0</v>
      </c>
      <c r="AE7282" s="6">
        <v>0.3333333333333333</v>
      </c>
      <c r="AF7282" s="7">
        <v>18079.62</v>
      </c>
    </row>
    <row r="7283">
      <c r="G7283" s="5"/>
      <c r="H7283" s="6"/>
      <c r="AD7283" s="5">
        <v>45230.0</v>
      </c>
      <c r="AE7283" s="6">
        <v>0.375</v>
      </c>
      <c r="AF7283" s="7">
        <v>28598.7</v>
      </c>
    </row>
    <row r="7284">
      <c r="G7284" s="5"/>
      <c r="H7284" s="6"/>
      <c r="AD7284" s="5">
        <v>45230.0</v>
      </c>
      <c r="AE7284" s="6">
        <v>0.4166666666666667</v>
      </c>
      <c r="AF7284" s="7">
        <v>36027.42</v>
      </c>
    </row>
    <row r="7285">
      <c r="G7285" s="5"/>
      <c r="H7285" s="6"/>
      <c r="AD7285" s="5">
        <v>45230.0</v>
      </c>
      <c r="AE7285" s="6">
        <v>0.4583333333333333</v>
      </c>
      <c r="AF7285" s="7">
        <v>32710.86</v>
      </c>
    </row>
    <row r="7286">
      <c r="G7286" s="5"/>
      <c r="H7286" s="6"/>
      <c r="AD7286" s="5">
        <v>45230.0</v>
      </c>
      <c r="AE7286" s="6">
        <v>0.5</v>
      </c>
      <c r="AF7286" s="7">
        <v>36585.12</v>
      </c>
    </row>
    <row r="7287">
      <c r="G7287" s="5"/>
      <c r="H7287" s="6"/>
      <c r="AD7287" s="5">
        <v>45230.0</v>
      </c>
      <c r="AE7287" s="6">
        <v>0.5416666666666666</v>
      </c>
      <c r="AF7287" s="7">
        <v>24500.58</v>
      </c>
    </row>
    <row r="7288">
      <c r="G7288" s="5"/>
      <c r="H7288" s="6"/>
      <c r="AD7288" s="5">
        <v>45230.0</v>
      </c>
      <c r="AE7288" s="6">
        <v>0.5833333333333334</v>
      </c>
      <c r="AF7288" s="7">
        <v>19600.62</v>
      </c>
    </row>
    <row r="7289">
      <c r="G7289" s="5"/>
      <c r="H7289" s="6"/>
      <c r="AD7289" s="5">
        <v>45230.0</v>
      </c>
      <c r="AE7289" s="6">
        <v>0.625</v>
      </c>
      <c r="AF7289" s="7">
        <v>9592.44</v>
      </c>
    </row>
    <row r="7290">
      <c r="G7290" s="5"/>
      <c r="H7290" s="6"/>
      <c r="AD7290" s="5">
        <v>45230.0</v>
      </c>
      <c r="AE7290" s="6">
        <v>0.6666666666666666</v>
      </c>
      <c r="AF7290" s="7">
        <v>4265.82</v>
      </c>
    </row>
    <row r="7291">
      <c r="G7291" s="5"/>
      <c r="H7291" s="6"/>
      <c r="AD7291" s="5">
        <v>45230.0</v>
      </c>
      <c r="AE7291" s="6">
        <v>0.7083333333333334</v>
      </c>
      <c r="AF7291" s="7">
        <v>0.0</v>
      </c>
    </row>
    <row r="7292">
      <c r="G7292" s="5"/>
      <c r="H7292" s="6"/>
      <c r="AD7292" s="5">
        <v>45230.0</v>
      </c>
      <c r="AE7292" s="6">
        <v>0.75</v>
      </c>
      <c r="AF7292" s="7">
        <v>0.0</v>
      </c>
    </row>
    <row r="7293">
      <c r="G7293" s="5"/>
      <c r="H7293" s="6"/>
      <c r="AD7293" s="5">
        <v>45230.0</v>
      </c>
      <c r="AE7293" s="6">
        <v>0.7916666666666666</v>
      </c>
      <c r="AF7293" s="7">
        <v>0.0</v>
      </c>
    </row>
    <row r="7294">
      <c r="G7294" s="5"/>
      <c r="H7294" s="6"/>
      <c r="AD7294" s="5">
        <v>45230.0</v>
      </c>
      <c r="AE7294" s="6">
        <v>0.8333333333333334</v>
      </c>
      <c r="AF7294" s="7">
        <v>0.0</v>
      </c>
    </row>
    <row r="7295">
      <c r="G7295" s="5"/>
      <c r="H7295" s="6"/>
      <c r="AD7295" s="5">
        <v>45230.0</v>
      </c>
      <c r="AE7295" s="6">
        <v>0.875</v>
      </c>
      <c r="AF7295" s="7">
        <v>0.0</v>
      </c>
    </row>
    <row r="7296">
      <c r="G7296" s="5"/>
      <c r="H7296" s="6"/>
      <c r="AD7296" s="5">
        <v>45230.0</v>
      </c>
      <c r="AE7296" s="6">
        <v>0.9166666666666666</v>
      </c>
      <c r="AF7296" s="7">
        <v>0.0</v>
      </c>
    </row>
    <row r="7297">
      <c r="G7297" s="5"/>
      <c r="H7297" s="6"/>
      <c r="AD7297" s="5">
        <v>45230.0</v>
      </c>
      <c r="AE7297" s="6">
        <v>0.9583333333333334</v>
      </c>
      <c r="AF7297" s="7">
        <v>0.0</v>
      </c>
    </row>
    <row r="7298">
      <c r="G7298" s="5"/>
      <c r="H7298" s="6"/>
      <c r="AD7298" s="5">
        <v>45231.0</v>
      </c>
      <c r="AE7298" s="6">
        <v>0.0</v>
      </c>
      <c r="AF7298" s="7">
        <v>0.0</v>
      </c>
    </row>
    <row r="7299">
      <c r="G7299" s="5"/>
      <c r="H7299" s="6"/>
      <c r="AD7299" s="5">
        <v>45231.0</v>
      </c>
      <c r="AE7299" s="6">
        <v>0.041666666666666664</v>
      </c>
      <c r="AF7299" s="7">
        <v>0.0</v>
      </c>
    </row>
    <row r="7300">
      <c r="G7300" s="5"/>
      <c r="H7300" s="6"/>
      <c r="AD7300" s="5">
        <v>45231.0</v>
      </c>
      <c r="AE7300" s="6">
        <v>0.08333333333333333</v>
      </c>
      <c r="AF7300" s="7">
        <v>0.0</v>
      </c>
    </row>
    <row r="7301">
      <c r="G7301" s="5"/>
      <c r="H7301" s="6"/>
      <c r="AD7301" s="5">
        <v>45231.0</v>
      </c>
      <c r="AE7301" s="6">
        <v>0.125</v>
      </c>
      <c r="AF7301" s="7">
        <v>0.0</v>
      </c>
    </row>
    <row r="7302">
      <c r="G7302" s="5"/>
      <c r="H7302" s="6"/>
      <c r="AD7302" s="5">
        <v>45231.0</v>
      </c>
      <c r="AE7302" s="6">
        <v>0.16666666666666666</v>
      </c>
      <c r="AF7302" s="7">
        <v>0.0</v>
      </c>
    </row>
    <row r="7303">
      <c r="G7303" s="5"/>
      <c r="H7303" s="6"/>
      <c r="AD7303" s="5">
        <v>45231.0</v>
      </c>
      <c r="AE7303" s="6">
        <v>0.20833333333333334</v>
      </c>
      <c r="AF7303" s="7">
        <v>0.0</v>
      </c>
    </row>
    <row r="7304">
      <c r="G7304" s="5"/>
      <c r="H7304" s="6"/>
      <c r="AD7304" s="5">
        <v>45231.0</v>
      </c>
      <c r="AE7304" s="6">
        <v>0.25</v>
      </c>
      <c r="AF7304" s="7">
        <v>0.0</v>
      </c>
    </row>
    <row r="7305">
      <c r="G7305" s="5"/>
      <c r="H7305" s="6"/>
      <c r="AD7305" s="5">
        <v>45231.0</v>
      </c>
      <c r="AE7305" s="6">
        <v>0.2916666666666667</v>
      </c>
      <c r="AF7305" s="7">
        <v>755.82</v>
      </c>
    </row>
    <row r="7306">
      <c r="G7306" s="5"/>
      <c r="H7306" s="6"/>
      <c r="AD7306" s="5">
        <v>45231.0</v>
      </c>
      <c r="AE7306" s="6">
        <v>0.3333333333333333</v>
      </c>
      <c r="AF7306" s="7">
        <v>15053.22</v>
      </c>
    </row>
    <row r="7307">
      <c r="G7307" s="5"/>
      <c r="H7307" s="6"/>
      <c r="AD7307" s="5">
        <v>45231.0</v>
      </c>
      <c r="AE7307" s="6">
        <v>0.375</v>
      </c>
      <c r="AF7307" s="7">
        <v>8921.64</v>
      </c>
    </row>
    <row r="7308">
      <c r="G7308" s="5"/>
      <c r="H7308" s="6"/>
      <c r="AD7308" s="5">
        <v>45231.0</v>
      </c>
      <c r="AE7308" s="6">
        <v>0.4166666666666667</v>
      </c>
      <c r="AF7308" s="7">
        <v>22718.28</v>
      </c>
    </row>
    <row r="7309">
      <c r="G7309" s="5"/>
      <c r="H7309" s="6"/>
      <c r="AD7309" s="5">
        <v>45231.0</v>
      </c>
      <c r="AE7309" s="6">
        <v>0.4583333333333333</v>
      </c>
      <c r="AF7309" s="7">
        <v>4874.22</v>
      </c>
    </row>
    <row r="7310">
      <c r="G7310" s="5"/>
      <c r="H7310" s="6"/>
      <c r="AD7310" s="5">
        <v>45231.0</v>
      </c>
      <c r="AE7310" s="6">
        <v>0.5</v>
      </c>
      <c r="AF7310" s="7">
        <v>22169.16</v>
      </c>
    </row>
    <row r="7311">
      <c r="G7311" s="5"/>
      <c r="H7311" s="6"/>
      <c r="AD7311" s="5">
        <v>45231.0</v>
      </c>
      <c r="AE7311" s="6">
        <v>0.5416666666666666</v>
      </c>
      <c r="AF7311" s="7">
        <v>4247.1</v>
      </c>
    </row>
    <row r="7312">
      <c r="G7312" s="5"/>
      <c r="H7312" s="6"/>
      <c r="AD7312" s="5">
        <v>45231.0</v>
      </c>
      <c r="AE7312" s="6">
        <v>0.5833333333333334</v>
      </c>
      <c r="AF7312" s="7">
        <v>26476.32</v>
      </c>
    </row>
    <row r="7313">
      <c r="G7313" s="5"/>
      <c r="H7313" s="6"/>
      <c r="AD7313" s="5">
        <v>45231.0</v>
      </c>
      <c r="AE7313" s="6">
        <v>0.625</v>
      </c>
      <c r="AF7313" s="7">
        <v>7321.86</v>
      </c>
    </row>
    <row r="7314">
      <c r="G7314" s="5"/>
      <c r="H7314" s="6"/>
      <c r="AD7314" s="5">
        <v>45231.0</v>
      </c>
      <c r="AE7314" s="6">
        <v>0.6666666666666666</v>
      </c>
      <c r="AF7314" s="7">
        <v>1121.64</v>
      </c>
    </row>
    <row r="7315">
      <c r="G7315" s="5"/>
      <c r="H7315" s="6"/>
      <c r="AD7315" s="5">
        <v>45231.0</v>
      </c>
      <c r="AE7315" s="6">
        <v>0.7083333333333334</v>
      </c>
      <c r="AF7315" s="7">
        <v>0.0</v>
      </c>
    </row>
    <row r="7316">
      <c r="G7316" s="5"/>
      <c r="H7316" s="6"/>
      <c r="AD7316" s="5">
        <v>45231.0</v>
      </c>
      <c r="AE7316" s="6">
        <v>0.75</v>
      </c>
      <c r="AF7316" s="7">
        <v>0.0</v>
      </c>
    </row>
    <row r="7317">
      <c r="G7317" s="5"/>
      <c r="H7317" s="6"/>
      <c r="AD7317" s="5">
        <v>45231.0</v>
      </c>
      <c r="AE7317" s="6">
        <v>0.7916666666666666</v>
      </c>
      <c r="AF7317" s="7">
        <v>0.0</v>
      </c>
    </row>
    <row r="7318">
      <c r="G7318" s="5"/>
      <c r="H7318" s="6"/>
      <c r="AD7318" s="5">
        <v>45231.0</v>
      </c>
      <c r="AE7318" s="6">
        <v>0.8333333333333334</v>
      </c>
      <c r="AF7318" s="7">
        <v>0.0</v>
      </c>
    </row>
    <row r="7319">
      <c r="G7319" s="5"/>
      <c r="H7319" s="6"/>
      <c r="AD7319" s="5">
        <v>45231.0</v>
      </c>
      <c r="AE7319" s="6">
        <v>0.875</v>
      </c>
      <c r="AF7319" s="7">
        <v>0.0</v>
      </c>
    </row>
    <row r="7320">
      <c r="G7320" s="5"/>
      <c r="H7320" s="6"/>
      <c r="AD7320" s="5">
        <v>45231.0</v>
      </c>
      <c r="AE7320" s="6">
        <v>0.9166666666666666</v>
      </c>
      <c r="AF7320" s="7">
        <v>0.0</v>
      </c>
    </row>
    <row r="7321">
      <c r="G7321" s="5"/>
      <c r="H7321" s="6"/>
      <c r="AD7321" s="5">
        <v>45231.0</v>
      </c>
      <c r="AE7321" s="6">
        <v>0.9583333333333334</v>
      </c>
      <c r="AF7321" s="7">
        <v>0.0</v>
      </c>
    </row>
    <row r="7322">
      <c r="G7322" s="5"/>
      <c r="H7322" s="6"/>
      <c r="AD7322" s="5">
        <v>45232.0</v>
      </c>
      <c r="AE7322" s="6">
        <v>0.0</v>
      </c>
      <c r="AF7322" s="7">
        <v>0.0</v>
      </c>
    </row>
    <row r="7323">
      <c r="G7323" s="5"/>
      <c r="H7323" s="6"/>
      <c r="AD7323" s="5">
        <v>45232.0</v>
      </c>
      <c r="AE7323" s="6">
        <v>0.041666666666666664</v>
      </c>
      <c r="AF7323" s="7">
        <v>0.0</v>
      </c>
    </row>
    <row r="7324">
      <c r="G7324" s="5"/>
      <c r="H7324" s="6"/>
      <c r="AD7324" s="5">
        <v>45232.0</v>
      </c>
      <c r="AE7324" s="6">
        <v>0.08333333333333333</v>
      </c>
      <c r="AF7324" s="7">
        <v>0.0</v>
      </c>
    </row>
    <row r="7325">
      <c r="G7325" s="5"/>
      <c r="H7325" s="6"/>
      <c r="AD7325" s="5">
        <v>45232.0</v>
      </c>
      <c r="AE7325" s="6">
        <v>0.125</v>
      </c>
      <c r="AF7325" s="7">
        <v>0.0</v>
      </c>
    </row>
    <row r="7326">
      <c r="G7326" s="5"/>
      <c r="H7326" s="6"/>
      <c r="AD7326" s="5">
        <v>45232.0</v>
      </c>
      <c r="AE7326" s="6">
        <v>0.16666666666666666</v>
      </c>
      <c r="AF7326" s="7">
        <v>0.0</v>
      </c>
    </row>
    <row r="7327">
      <c r="G7327" s="5"/>
      <c r="H7327" s="6"/>
      <c r="AD7327" s="5">
        <v>45232.0</v>
      </c>
      <c r="AE7327" s="6">
        <v>0.20833333333333334</v>
      </c>
      <c r="AF7327" s="7">
        <v>0.0</v>
      </c>
    </row>
    <row r="7328">
      <c r="G7328" s="5"/>
      <c r="H7328" s="6"/>
      <c r="AD7328" s="5">
        <v>45232.0</v>
      </c>
      <c r="AE7328" s="6">
        <v>0.25</v>
      </c>
      <c r="AF7328" s="7">
        <v>0.0</v>
      </c>
    </row>
    <row r="7329">
      <c r="G7329" s="5"/>
      <c r="H7329" s="6"/>
      <c r="AD7329" s="5">
        <v>45232.0</v>
      </c>
      <c r="AE7329" s="6">
        <v>0.2916666666666667</v>
      </c>
      <c r="AF7329" s="7">
        <v>0.0</v>
      </c>
    </row>
    <row r="7330">
      <c r="G7330" s="5"/>
      <c r="H7330" s="6"/>
      <c r="AD7330" s="5">
        <v>45232.0</v>
      </c>
      <c r="AE7330" s="6">
        <v>0.3333333333333333</v>
      </c>
      <c r="AF7330" s="7">
        <v>565.5</v>
      </c>
    </row>
    <row r="7331">
      <c r="G7331" s="5"/>
      <c r="H7331" s="6"/>
      <c r="AD7331" s="5">
        <v>45232.0</v>
      </c>
      <c r="AE7331" s="6">
        <v>0.375</v>
      </c>
      <c r="AF7331" s="7">
        <v>1246.44</v>
      </c>
    </row>
    <row r="7332">
      <c r="G7332" s="5"/>
      <c r="H7332" s="6"/>
      <c r="AD7332" s="5">
        <v>45232.0</v>
      </c>
      <c r="AE7332" s="6">
        <v>0.4166666666666667</v>
      </c>
      <c r="AF7332" s="7">
        <v>2949.18</v>
      </c>
    </row>
    <row r="7333">
      <c r="G7333" s="5"/>
      <c r="H7333" s="6"/>
      <c r="AD7333" s="5">
        <v>45232.0</v>
      </c>
      <c r="AE7333" s="6">
        <v>0.4583333333333333</v>
      </c>
      <c r="AF7333" s="7">
        <v>34684.26</v>
      </c>
    </row>
    <row r="7334">
      <c r="G7334" s="5"/>
      <c r="H7334" s="6"/>
      <c r="AD7334" s="5">
        <v>45232.0</v>
      </c>
      <c r="AE7334" s="6">
        <v>0.5</v>
      </c>
      <c r="AF7334" s="7">
        <v>50524.5</v>
      </c>
    </row>
    <row r="7335">
      <c r="G7335" s="5"/>
      <c r="H7335" s="6"/>
      <c r="AD7335" s="5">
        <v>45232.0</v>
      </c>
      <c r="AE7335" s="6">
        <v>0.5416666666666666</v>
      </c>
      <c r="AF7335" s="7">
        <v>43390.62</v>
      </c>
    </row>
    <row r="7336">
      <c r="G7336" s="5"/>
      <c r="H7336" s="6"/>
      <c r="AD7336" s="5">
        <v>45232.0</v>
      </c>
      <c r="AE7336" s="6">
        <v>0.5833333333333334</v>
      </c>
      <c r="AF7336" s="7">
        <v>1404.0</v>
      </c>
    </row>
    <row r="7337">
      <c r="G7337" s="5"/>
      <c r="H7337" s="6"/>
      <c r="AD7337" s="5">
        <v>45232.0</v>
      </c>
      <c r="AE7337" s="6">
        <v>0.625</v>
      </c>
      <c r="AF7337" s="7">
        <v>1881.36</v>
      </c>
    </row>
    <row r="7338">
      <c r="G7338" s="5"/>
      <c r="H7338" s="6"/>
      <c r="AD7338" s="5">
        <v>45232.0</v>
      </c>
      <c r="AE7338" s="6">
        <v>0.6666666666666666</v>
      </c>
      <c r="AF7338" s="7">
        <v>7572.24</v>
      </c>
    </row>
    <row r="7339">
      <c r="G7339" s="5"/>
      <c r="H7339" s="6"/>
      <c r="AD7339" s="5">
        <v>45232.0</v>
      </c>
      <c r="AE7339" s="6">
        <v>0.7083333333333334</v>
      </c>
      <c r="AF7339" s="7">
        <v>0.0</v>
      </c>
    </row>
    <row r="7340">
      <c r="G7340" s="5"/>
      <c r="H7340" s="6"/>
      <c r="AD7340" s="5">
        <v>45232.0</v>
      </c>
      <c r="AE7340" s="6">
        <v>0.75</v>
      </c>
      <c r="AF7340" s="7">
        <v>0.0</v>
      </c>
    </row>
    <row r="7341">
      <c r="G7341" s="5"/>
      <c r="H7341" s="6"/>
      <c r="AD7341" s="5">
        <v>45232.0</v>
      </c>
      <c r="AE7341" s="6">
        <v>0.7916666666666666</v>
      </c>
      <c r="AF7341" s="7">
        <v>0.0</v>
      </c>
    </row>
    <row r="7342">
      <c r="G7342" s="5"/>
      <c r="H7342" s="6"/>
      <c r="AD7342" s="5">
        <v>45232.0</v>
      </c>
      <c r="AE7342" s="6">
        <v>0.8333333333333334</v>
      </c>
      <c r="AF7342" s="7">
        <v>0.0</v>
      </c>
    </row>
    <row r="7343">
      <c r="G7343" s="5"/>
      <c r="H7343" s="6"/>
      <c r="AD7343" s="5">
        <v>45232.0</v>
      </c>
      <c r="AE7343" s="6">
        <v>0.875</v>
      </c>
      <c r="AF7343" s="7">
        <v>0.0</v>
      </c>
    </row>
    <row r="7344">
      <c r="G7344" s="5"/>
      <c r="H7344" s="6"/>
      <c r="AD7344" s="5">
        <v>45232.0</v>
      </c>
      <c r="AE7344" s="6">
        <v>0.9166666666666666</v>
      </c>
      <c r="AF7344" s="7">
        <v>0.0</v>
      </c>
    </row>
    <row r="7345">
      <c r="G7345" s="5"/>
      <c r="H7345" s="6"/>
      <c r="AD7345" s="5">
        <v>45232.0</v>
      </c>
      <c r="AE7345" s="6">
        <v>0.9583333333333334</v>
      </c>
      <c r="AF7345" s="7">
        <v>0.0</v>
      </c>
    </row>
    <row r="7346">
      <c r="G7346" s="5"/>
      <c r="H7346" s="6"/>
      <c r="AD7346" s="5">
        <v>45233.0</v>
      </c>
      <c r="AE7346" s="6">
        <v>0.0</v>
      </c>
      <c r="AF7346" s="7">
        <v>0.0</v>
      </c>
    </row>
    <row r="7347">
      <c r="G7347" s="5"/>
      <c r="H7347" s="6"/>
      <c r="AD7347" s="5">
        <v>45233.0</v>
      </c>
      <c r="AE7347" s="6">
        <v>0.041666666666666664</v>
      </c>
      <c r="AF7347" s="7">
        <v>0.0</v>
      </c>
    </row>
    <row r="7348">
      <c r="G7348" s="5"/>
      <c r="H7348" s="6"/>
      <c r="AD7348" s="5">
        <v>45233.0</v>
      </c>
      <c r="AE7348" s="6">
        <v>0.08333333333333333</v>
      </c>
      <c r="AF7348" s="7">
        <v>0.0</v>
      </c>
    </row>
    <row r="7349">
      <c r="G7349" s="5"/>
      <c r="H7349" s="6"/>
      <c r="AD7349" s="5">
        <v>45233.0</v>
      </c>
      <c r="AE7349" s="6">
        <v>0.125</v>
      </c>
      <c r="AF7349" s="7">
        <v>0.0</v>
      </c>
    </row>
    <row r="7350">
      <c r="G7350" s="5"/>
      <c r="H7350" s="6"/>
      <c r="AD7350" s="5">
        <v>45233.0</v>
      </c>
      <c r="AE7350" s="6">
        <v>0.16666666666666666</v>
      </c>
      <c r="AF7350" s="7">
        <v>0.0</v>
      </c>
    </row>
    <row r="7351">
      <c r="G7351" s="5"/>
      <c r="H7351" s="6"/>
      <c r="AD7351" s="5">
        <v>45233.0</v>
      </c>
      <c r="AE7351" s="6">
        <v>0.20833333333333334</v>
      </c>
      <c r="AF7351" s="7">
        <v>0.0</v>
      </c>
    </row>
    <row r="7352">
      <c r="G7352" s="5"/>
      <c r="H7352" s="6"/>
      <c r="AD7352" s="5">
        <v>45233.0</v>
      </c>
      <c r="AE7352" s="6">
        <v>0.25</v>
      </c>
      <c r="AF7352" s="7">
        <v>0.0</v>
      </c>
    </row>
    <row r="7353">
      <c r="G7353" s="5"/>
      <c r="H7353" s="6"/>
      <c r="AD7353" s="5">
        <v>45233.0</v>
      </c>
      <c r="AE7353" s="6">
        <v>0.2916666666666667</v>
      </c>
      <c r="AF7353" s="7">
        <v>3361.8</v>
      </c>
    </row>
    <row r="7354">
      <c r="G7354" s="5"/>
      <c r="H7354" s="6"/>
      <c r="AD7354" s="5">
        <v>45233.0</v>
      </c>
      <c r="AE7354" s="6">
        <v>0.3333333333333333</v>
      </c>
      <c r="AF7354" s="7">
        <v>20102.94</v>
      </c>
    </row>
    <row r="7355">
      <c r="G7355" s="5"/>
      <c r="H7355" s="6"/>
      <c r="AD7355" s="5">
        <v>45233.0</v>
      </c>
      <c r="AE7355" s="6">
        <v>0.375</v>
      </c>
      <c r="AF7355" s="7">
        <v>35295.78</v>
      </c>
    </row>
    <row r="7356">
      <c r="G7356" s="5"/>
      <c r="H7356" s="6"/>
      <c r="AD7356" s="5">
        <v>45233.0</v>
      </c>
      <c r="AE7356" s="6">
        <v>0.4166666666666667</v>
      </c>
      <c r="AF7356" s="7">
        <v>40521.78</v>
      </c>
    </row>
    <row r="7357">
      <c r="G7357" s="5"/>
      <c r="H7357" s="6"/>
      <c r="AD7357" s="5">
        <v>45233.0</v>
      </c>
      <c r="AE7357" s="6">
        <v>0.4583333333333333</v>
      </c>
      <c r="AF7357" s="7">
        <v>26524.68</v>
      </c>
    </row>
    <row r="7358">
      <c r="G7358" s="5"/>
      <c r="H7358" s="6"/>
      <c r="AD7358" s="5">
        <v>45233.0</v>
      </c>
      <c r="AE7358" s="6">
        <v>0.5</v>
      </c>
      <c r="AF7358" s="7">
        <v>20283.9</v>
      </c>
    </row>
    <row r="7359">
      <c r="G7359" s="5"/>
      <c r="H7359" s="6"/>
      <c r="AD7359" s="5">
        <v>45233.0</v>
      </c>
      <c r="AE7359" s="6">
        <v>0.5416666666666666</v>
      </c>
      <c r="AF7359" s="7">
        <v>6735.3</v>
      </c>
    </row>
    <row r="7360">
      <c r="G7360" s="5"/>
      <c r="H7360" s="6"/>
      <c r="AD7360" s="5">
        <v>45233.0</v>
      </c>
      <c r="AE7360" s="6">
        <v>0.5833333333333334</v>
      </c>
      <c r="AF7360" s="7">
        <v>15783.3</v>
      </c>
    </row>
    <row r="7361">
      <c r="G7361" s="5"/>
      <c r="H7361" s="6"/>
      <c r="AD7361" s="5">
        <v>45233.0</v>
      </c>
      <c r="AE7361" s="6">
        <v>0.625</v>
      </c>
      <c r="AF7361" s="7">
        <v>16168.62</v>
      </c>
    </row>
    <row r="7362">
      <c r="G7362" s="5"/>
      <c r="H7362" s="6"/>
      <c r="AD7362" s="5">
        <v>45233.0</v>
      </c>
      <c r="AE7362" s="6">
        <v>0.6666666666666666</v>
      </c>
      <c r="AF7362" s="7">
        <v>2408.64</v>
      </c>
    </row>
    <row r="7363">
      <c r="G7363" s="5"/>
      <c r="H7363" s="6"/>
      <c r="AD7363" s="5">
        <v>45233.0</v>
      </c>
      <c r="AE7363" s="6">
        <v>0.7083333333333334</v>
      </c>
      <c r="AF7363" s="7">
        <v>0.0</v>
      </c>
    </row>
    <row r="7364">
      <c r="G7364" s="5"/>
      <c r="H7364" s="6"/>
      <c r="AD7364" s="5">
        <v>45233.0</v>
      </c>
      <c r="AE7364" s="6">
        <v>0.75</v>
      </c>
      <c r="AF7364" s="7">
        <v>0.0</v>
      </c>
    </row>
    <row r="7365">
      <c r="G7365" s="5"/>
      <c r="H7365" s="6"/>
      <c r="AD7365" s="5">
        <v>45233.0</v>
      </c>
      <c r="AE7365" s="6">
        <v>0.7916666666666666</v>
      </c>
      <c r="AF7365" s="7">
        <v>0.0</v>
      </c>
    </row>
    <row r="7366">
      <c r="G7366" s="5"/>
      <c r="H7366" s="6"/>
      <c r="AD7366" s="5">
        <v>45233.0</v>
      </c>
      <c r="AE7366" s="6">
        <v>0.8333333333333334</v>
      </c>
      <c r="AF7366" s="7">
        <v>0.0</v>
      </c>
    </row>
    <row r="7367">
      <c r="G7367" s="5"/>
      <c r="H7367" s="6"/>
      <c r="AD7367" s="5">
        <v>45233.0</v>
      </c>
      <c r="AE7367" s="6">
        <v>0.875</v>
      </c>
      <c r="AF7367" s="7">
        <v>0.0</v>
      </c>
    </row>
    <row r="7368">
      <c r="G7368" s="5"/>
      <c r="H7368" s="6"/>
      <c r="AD7368" s="5">
        <v>45233.0</v>
      </c>
      <c r="AE7368" s="6">
        <v>0.9166666666666666</v>
      </c>
      <c r="AF7368" s="7">
        <v>0.0</v>
      </c>
    </row>
    <row r="7369">
      <c r="G7369" s="5"/>
      <c r="H7369" s="6"/>
      <c r="AD7369" s="5">
        <v>45233.0</v>
      </c>
      <c r="AE7369" s="6">
        <v>0.9583333333333334</v>
      </c>
      <c r="AF7369" s="7">
        <v>0.0</v>
      </c>
    </row>
    <row r="7370">
      <c r="G7370" s="5"/>
      <c r="H7370" s="6"/>
      <c r="AD7370" s="5">
        <v>45234.0</v>
      </c>
      <c r="AE7370" s="6">
        <v>0.0</v>
      </c>
      <c r="AF7370" s="7">
        <v>0.0</v>
      </c>
    </row>
    <row r="7371">
      <c r="G7371" s="5"/>
      <c r="H7371" s="6"/>
      <c r="AD7371" s="5">
        <v>45234.0</v>
      </c>
      <c r="AE7371" s="6">
        <v>0.041666666666666664</v>
      </c>
      <c r="AF7371" s="7">
        <v>0.0</v>
      </c>
    </row>
    <row r="7372">
      <c r="G7372" s="5"/>
      <c r="H7372" s="6"/>
      <c r="AD7372" s="5">
        <v>45234.0</v>
      </c>
      <c r="AE7372" s="6">
        <v>0.08333333333333333</v>
      </c>
      <c r="AF7372" s="7">
        <v>0.0</v>
      </c>
    </row>
    <row r="7373">
      <c r="G7373" s="5"/>
      <c r="H7373" s="6"/>
      <c r="AD7373" s="5">
        <v>45234.0</v>
      </c>
      <c r="AE7373" s="6">
        <v>0.125</v>
      </c>
      <c r="AF7373" s="7">
        <v>0.0</v>
      </c>
    </row>
    <row r="7374">
      <c r="G7374" s="5"/>
      <c r="H7374" s="6"/>
      <c r="AD7374" s="5">
        <v>45234.0</v>
      </c>
      <c r="AE7374" s="6">
        <v>0.16666666666666666</v>
      </c>
      <c r="AF7374" s="7">
        <v>0.0</v>
      </c>
    </row>
    <row r="7375">
      <c r="G7375" s="5"/>
      <c r="H7375" s="6"/>
      <c r="AD7375" s="5">
        <v>45234.0</v>
      </c>
      <c r="AE7375" s="6">
        <v>0.20833333333333334</v>
      </c>
      <c r="AF7375" s="7">
        <v>0.0</v>
      </c>
    </row>
    <row r="7376">
      <c r="G7376" s="5"/>
      <c r="H7376" s="6"/>
      <c r="AD7376" s="5">
        <v>45234.0</v>
      </c>
      <c r="AE7376" s="6">
        <v>0.25</v>
      </c>
      <c r="AF7376" s="7">
        <v>0.0</v>
      </c>
    </row>
    <row r="7377">
      <c r="G7377" s="5"/>
      <c r="H7377" s="6"/>
      <c r="AD7377" s="5">
        <v>45234.0</v>
      </c>
      <c r="AE7377" s="6">
        <v>0.2916666666666667</v>
      </c>
      <c r="AF7377" s="7">
        <v>68.64</v>
      </c>
    </row>
    <row r="7378">
      <c r="G7378" s="5"/>
      <c r="H7378" s="6"/>
      <c r="AD7378" s="5">
        <v>45234.0</v>
      </c>
      <c r="AE7378" s="6">
        <v>0.3333333333333333</v>
      </c>
      <c r="AF7378" s="7">
        <v>1782.3</v>
      </c>
    </row>
    <row r="7379">
      <c r="G7379" s="5"/>
      <c r="H7379" s="6"/>
      <c r="AD7379" s="5">
        <v>45234.0</v>
      </c>
      <c r="AE7379" s="6">
        <v>0.375</v>
      </c>
      <c r="AF7379" s="7">
        <v>7158.84</v>
      </c>
    </row>
    <row r="7380">
      <c r="G7380" s="5"/>
      <c r="H7380" s="6"/>
      <c r="AD7380" s="5">
        <v>45234.0</v>
      </c>
      <c r="AE7380" s="6">
        <v>0.4166666666666667</v>
      </c>
      <c r="AF7380" s="7">
        <v>36634.26</v>
      </c>
    </row>
    <row r="7381">
      <c r="G7381" s="5"/>
      <c r="H7381" s="6"/>
      <c r="AD7381" s="5">
        <v>45234.0</v>
      </c>
      <c r="AE7381" s="6">
        <v>0.4583333333333333</v>
      </c>
      <c r="AF7381" s="7">
        <v>10919.22</v>
      </c>
    </row>
    <row r="7382">
      <c r="G7382" s="5"/>
      <c r="H7382" s="6"/>
      <c r="AD7382" s="5">
        <v>45234.0</v>
      </c>
      <c r="AE7382" s="6">
        <v>0.5</v>
      </c>
      <c r="AF7382" s="7">
        <v>48973.86</v>
      </c>
    </row>
    <row r="7383">
      <c r="G7383" s="5"/>
      <c r="H7383" s="6"/>
      <c r="AD7383" s="5">
        <v>45234.0</v>
      </c>
      <c r="AE7383" s="6">
        <v>0.5416666666666666</v>
      </c>
      <c r="AF7383" s="7">
        <v>37059.36</v>
      </c>
    </row>
    <row r="7384">
      <c r="G7384" s="5"/>
      <c r="H7384" s="6"/>
      <c r="AD7384" s="5">
        <v>45234.0</v>
      </c>
      <c r="AE7384" s="6">
        <v>0.5833333333333334</v>
      </c>
      <c r="AF7384" s="7">
        <v>17373.72</v>
      </c>
    </row>
    <row r="7385">
      <c r="G7385" s="5"/>
      <c r="H7385" s="6"/>
      <c r="AD7385" s="5">
        <v>45234.0</v>
      </c>
      <c r="AE7385" s="6">
        <v>0.625</v>
      </c>
      <c r="AF7385" s="7">
        <v>21060.78</v>
      </c>
    </row>
    <row r="7386">
      <c r="G7386" s="5"/>
      <c r="H7386" s="6"/>
      <c r="AD7386" s="5">
        <v>45234.0</v>
      </c>
      <c r="AE7386" s="6">
        <v>0.6666666666666666</v>
      </c>
      <c r="AF7386" s="7">
        <v>4238.52</v>
      </c>
    </row>
    <row r="7387">
      <c r="G7387" s="5"/>
      <c r="H7387" s="6"/>
      <c r="AD7387" s="5">
        <v>45234.0</v>
      </c>
      <c r="AE7387" s="6">
        <v>0.7083333333333334</v>
      </c>
      <c r="AF7387" s="7">
        <v>0.0</v>
      </c>
    </row>
    <row r="7388">
      <c r="G7388" s="5"/>
      <c r="H7388" s="6"/>
      <c r="AD7388" s="5">
        <v>45234.0</v>
      </c>
      <c r="AE7388" s="6">
        <v>0.75</v>
      </c>
      <c r="AF7388" s="7">
        <v>0.0</v>
      </c>
    </row>
    <row r="7389">
      <c r="G7389" s="5"/>
      <c r="H7389" s="6"/>
      <c r="AD7389" s="5">
        <v>45234.0</v>
      </c>
      <c r="AE7389" s="6">
        <v>0.7916666666666666</v>
      </c>
      <c r="AF7389" s="7">
        <v>0.0</v>
      </c>
    </row>
    <row r="7390">
      <c r="G7390" s="5"/>
      <c r="H7390" s="6"/>
      <c r="AD7390" s="5">
        <v>45234.0</v>
      </c>
      <c r="AE7390" s="6">
        <v>0.8333333333333334</v>
      </c>
      <c r="AF7390" s="7">
        <v>0.0</v>
      </c>
    </row>
    <row r="7391">
      <c r="G7391" s="5"/>
      <c r="H7391" s="6"/>
      <c r="AD7391" s="5">
        <v>45234.0</v>
      </c>
      <c r="AE7391" s="6">
        <v>0.875</v>
      </c>
      <c r="AF7391" s="7">
        <v>0.0</v>
      </c>
    </row>
    <row r="7392">
      <c r="G7392" s="5"/>
      <c r="H7392" s="6"/>
      <c r="AD7392" s="5">
        <v>45234.0</v>
      </c>
      <c r="AE7392" s="6">
        <v>0.9166666666666666</v>
      </c>
      <c r="AF7392" s="7">
        <v>0.0</v>
      </c>
    </row>
    <row r="7393">
      <c r="G7393" s="5"/>
      <c r="H7393" s="6"/>
      <c r="AD7393" s="5">
        <v>45234.0</v>
      </c>
      <c r="AE7393" s="6">
        <v>0.9583333333333334</v>
      </c>
      <c r="AF7393" s="7">
        <v>0.0</v>
      </c>
    </row>
    <row r="7394">
      <c r="G7394" s="5"/>
      <c r="H7394" s="6"/>
      <c r="AD7394" s="5">
        <v>45235.0</v>
      </c>
      <c r="AE7394" s="6">
        <v>0.0</v>
      </c>
      <c r="AF7394" s="7">
        <v>0.0</v>
      </c>
    </row>
    <row r="7395">
      <c r="G7395" s="5"/>
      <c r="H7395" s="6"/>
      <c r="AD7395" s="5">
        <v>45235.0</v>
      </c>
      <c r="AE7395" s="6">
        <v>0.041666666666666664</v>
      </c>
      <c r="AF7395" s="7">
        <v>0.0</v>
      </c>
    </row>
    <row r="7396">
      <c r="G7396" s="5"/>
      <c r="H7396" s="6"/>
      <c r="AD7396" s="5">
        <v>45235.0</v>
      </c>
      <c r="AE7396" s="6">
        <v>0.08333333333333333</v>
      </c>
      <c r="AF7396" s="7">
        <v>0.0</v>
      </c>
    </row>
    <row r="7397">
      <c r="G7397" s="5"/>
      <c r="H7397" s="6"/>
      <c r="AD7397" s="5">
        <v>45235.0</v>
      </c>
      <c r="AE7397" s="6">
        <v>0.125</v>
      </c>
      <c r="AF7397" s="7">
        <v>0.0</v>
      </c>
    </row>
    <row r="7398">
      <c r="G7398" s="5"/>
      <c r="H7398" s="6"/>
      <c r="AD7398" s="5">
        <v>45235.0</v>
      </c>
      <c r="AE7398" s="6">
        <v>0.16666666666666666</v>
      </c>
      <c r="AF7398" s="7">
        <v>0.0</v>
      </c>
    </row>
    <row r="7399">
      <c r="G7399" s="5"/>
      <c r="H7399" s="6"/>
      <c r="AD7399" s="5">
        <v>45235.0</v>
      </c>
      <c r="AE7399" s="6">
        <v>0.20833333333333334</v>
      </c>
      <c r="AF7399" s="7">
        <v>0.0</v>
      </c>
    </row>
    <row r="7400">
      <c r="G7400" s="5"/>
      <c r="H7400" s="6"/>
      <c r="AD7400" s="5">
        <v>45235.0</v>
      </c>
      <c r="AE7400" s="6">
        <v>0.25</v>
      </c>
      <c r="AF7400" s="7">
        <v>0.0</v>
      </c>
    </row>
    <row r="7401">
      <c r="G7401" s="5"/>
      <c r="H7401" s="6"/>
      <c r="AD7401" s="5">
        <v>45235.0</v>
      </c>
      <c r="AE7401" s="6">
        <v>0.2916666666666667</v>
      </c>
      <c r="AF7401" s="7">
        <v>2662.14</v>
      </c>
    </row>
    <row r="7402">
      <c r="G7402" s="5"/>
      <c r="H7402" s="6"/>
      <c r="AD7402" s="5">
        <v>45235.0</v>
      </c>
      <c r="AE7402" s="6">
        <v>0.3333333333333333</v>
      </c>
      <c r="AF7402" s="7">
        <v>18803.46</v>
      </c>
    </row>
    <row r="7403">
      <c r="G7403" s="5"/>
      <c r="H7403" s="6"/>
      <c r="AD7403" s="5">
        <v>45235.0</v>
      </c>
      <c r="AE7403" s="6">
        <v>0.375</v>
      </c>
      <c r="AF7403" s="7">
        <v>33023.64</v>
      </c>
    </row>
    <row r="7404">
      <c r="G7404" s="5"/>
      <c r="H7404" s="6"/>
      <c r="AD7404" s="5">
        <v>45235.0</v>
      </c>
      <c r="AE7404" s="6">
        <v>0.4166666666666667</v>
      </c>
      <c r="AF7404" s="7">
        <v>42939.0</v>
      </c>
    </row>
    <row r="7405">
      <c r="G7405" s="5"/>
      <c r="H7405" s="6"/>
      <c r="AD7405" s="5">
        <v>45235.0</v>
      </c>
      <c r="AE7405" s="6">
        <v>0.4583333333333333</v>
      </c>
      <c r="AF7405" s="7">
        <v>47860.8</v>
      </c>
    </row>
    <row r="7406">
      <c r="G7406" s="5"/>
      <c r="H7406" s="6"/>
      <c r="AD7406" s="5">
        <v>45235.0</v>
      </c>
      <c r="AE7406" s="6">
        <v>0.5</v>
      </c>
      <c r="AF7406" s="7">
        <v>48594.0</v>
      </c>
    </row>
    <row r="7407">
      <c r="G7407" s="5"/>
      <c r="H7407" s="6"/>
      <c r="AD7407" s="5">
        <v>45235.0</v>
      </c>
      <c r="AE7407" s="6">
        <v>0.5416666666666666</v>
      </c>
      <c r="AF7407" s="7">
        <v>43411.68</v>
      </c>
    </row>
    <row r="7408">
      <c r="G7408" s="5"/>
      <c r="H7408" s="6"/>
      <c r="AD7408" s="5">
        <v>45235.0</v>
      </c>
      <c r="AE7408" s="6">
        <v>0.5833333333333334</v>
      </c>
      <c r="AF7408" s="7">
        <v>34603.92</v>
      </c>
    </row>
    <row r="7409">
      <c r="G7409" s="5"/>
      <c r="H7409" s="6"/>
      <c r="AD7409" s="5">
        <v>45235.0</v>
      </c>
      <c r="AE7409" s="6">
        <v>0.625</v>
      </c>
      <c r="AF7409" s="7">
        <v>22233.9</v>
      </c>
    </row>
    <row r="7410">
      <c r="G7410" s="5"/>
      <c r="H7410" s="6"/>
      <c r="AD7410" s="5">
        <v>45235.0</v>
      </c>
      <c r="AE7410" s="6">
        <v>0.6666666666666666</v>
      </c>
      <c r="AF7410" s="7">
        <v>6134.7</v>
      </c>
    </row>
    <row r="7411">
      <c r="G7411" s="5"/>
      <c r="H7411" s="6"/>
      <c r="AD7411" s="5">
        <v>45235.0</v>
      </c>
      <c r="AE7411" s="6">
        <v>0.7083333333333334</v>
      </c>
      <c r="AF7411" s="7">
        <v>0.0</v>
      </c>
    </row>
    <row r="7412">
      <c r="G7412" s="5"/>
      <c r="H7412" s="6"/>
      <c r="AD7412" s="5">
        <v>45235.0</v>
      </c>
      <c r="AE7412" s="6">
        <v>0.75</v>
      </c>
      <c r="AF7412" s="7">
        <v>0.0</v>
      </c>
    </row>
    <row r="7413">
      <c r="G7413" s="5"/>
      <c r="H7413" s="6"/>
      <c r="AD7413" s="5">
        <v>45235.0</v>
      </c>
      <c r="AE7413" s="6">
        <v>0.7916666666666666</v>
      </c>
      <c r="AF7413" s="7">
        <v>0.0</v>
      </c>
    </row>
    <row r="7414">
      <c r="G7414" s="5"/>
      <c r="H7414" s="6"/>
      <c r="AD7414" s="5">
        <v>45235.0</v>
      </c>
      <c r="AE7414" s="6">
        <v>0.8333333333333334</v>
      </c>
      <c r="AF7414" s="7">
        <v>0.0</v>
      </c>
    </row>
    <row r="7415">
      <c r="G7415" s="5"/>
      <c r="H7415" s="6"/>
      <c r="AD7415" s="5">
        <v>45235.0</v>
      </c>
      <c r="AE7415" s="6">
        <v>0.875</v>
      </c>
      <c r="AF7415" s="7">
        <v>0.0</v>
      </c>
    </row>
    <row r="7416">
      <c r="G7416" s="5"/>
      <c r="H7416" s="6"/>
      <c r="AD7416" s="5">
        <v>45235.0</v>
      </c>
      <c r="AE7416" s="6">
        <v>0.9166666666666666</v>
      </c>
      <c r="AF7416" s="7">
        <v>0.0</v>
      </c>
    </row>
    <row r="7417">
      <c r="G7417" s="5"/>
      <c r="H7417" s="6"/>
      <c r="AD7417" s="5">
        <v>45235.0</v>
      </c>
      <c r="AE7417" s="6">
        <v>0.9583333333333334</v>
      </c>
      <c r="AF7417" s="7">
        <v>0.0</v>
      </c>
    </row>
    <row r="7418">
      <c r="G7418" s="5"/>
      <c r="H7418" s="6"/>
      <c r="AD7418" s="5">
        <v>45236.0</v>
      </c>
      <c r="AE7418" s="6">
        <v>0.0</v>
      </c>
      <c r="AF7418" s="7">
        <v>0.0</v>
      </c>
    </row>
    <row r="7419">
      <c r="G7419" s="5"/>
      <c r="H7419" s="6"/>
      <c r="AD7419" s="5">
        <v>45236.0</v>
      </c>
      <c r="AE7419" s="6">
        <v>0.041666666666666664</v>
      </c>
      <c r="AF7419" s="7">
        <v>0.0</v>
      </c>
    </row>
    <row r="7420">
      <c r="G7420" s="5"/>
      <c r="H7420" s="6"/>
      <c r="AD7420" s="5">
        <v>45236.0</v>
      </c>
      <c r="AE7420" s="6">
        <v>0.08333333333333333</v>
      </c>
      <c r="AF7420" s="7">
        <v>0.0</v>
      </c>
    </row>
    <row r="7421">
      <c r="G7421" s="5"/>
      <c r="H7421" s="6"/>
      <c r="AD7421" s="5">
        <v>45236.0</v>
      </c>
      <c r="AE7421" s="6">
        <v>0.125</v>
      </c>
      <c r="AF7421" s="7">
        <v>0.0</v>
      </c>
    </row>
    <row r="7422">
      <c r="G7422" s="5"/>
      <c r="H7422" s="6"/>
      <c r="AD7422" s="5">
        <v>45236.0</v>
      </c>
      <c r="AE7422" s="6">
        <v>0.16666666666666666</v>
      </c>
      <c r="AF7422" s="7">
        <v>0.0</v>
      </c>
    </row>
    <row r="7423">
      <c r="G7423" s="5"/>
      <c r="H7423" s="6"/>
      <c r="AD7423" s="5">
        <v>45236.0</v>
      </c>
      <c r="AE7423" s="6">
        <v>0.20833333333333334</v>
      </c>
      <c r="AF7423" s="7">
        <v>0.0</v>
      </c>
    </row>
    <row r="7424">
      <c r="G7424" s="5"/>
      <c r="H7424" s="6"/>
      <c r="AD7424" s="5">
        <v>45236.0</v>
      </c>
      <c r="AE7424" s="6">
        <v>0.25</v>
      </c>
      <c r="AF7424" s="7">
        <v>0.0</v>
      </c>
    </row>
    <row r="7425">
      <c r="G7425" s="5"/>
      <c r="H7425" s="6"/>
      <c r="AD7425" s="5">
        <v>45236.0</v>
      </c>
      <c r="AE7425" s="6">
        <v>0.2916666666666667</v>
      </c>
      <c r="AF7425" s="7">
        <v>2513.94</v>
      </c>
    </row>
    <row r="7426">
      <c r="G7426" s="5"/>
      <c r="H7426" s="6"/>
      <c r="AD7426" s="5">
        <v>45236.0</v>
      </c>
      <c r="AE7426" s="6">
        <v>0.3333333333333333</v>
      </c>
      <c r="AF7426" s="7">
        <v>19219.2</v>
      </c>
    </row>
    <row r="7427">
      <c r="G7427" s="5"/>
      <c r="H7427" s="6"/>
      <c r="AD7427" s="5">
        <v>45236.0</v>
      </c>
      <c r="AE7427" s="6">
        <v>0.375</v>
      </c>
      <c r="AF7427" s="7">
        <v>32914.44</v>
      </c>
    </row>
    <row r="7428">
      <c r="G7428" s="5"/>
      <c r="H7428" s="6"/>
      <c r="AD7428" s="5">
        <v>45236.0</v>
      </c>
      <c r="AE7428" s="6">
        <v>0.4166666666666667</v>
      </c>
      <c r="AF7428" s="7">
        <v>42997.5</v>
      </c>
    </row>
    <row r="7429">
      <c r="G7429" s="5"/>
      <c r="H7429" s="6"/>
      <c r="AD7429" s="5">
        <v>45236.0</v>
      </c>
      <c r="AE7429" s="6">
        <v>0.4583333333333333</v>
      </c>
      <c r="AF7429" s="7">
        <v>47828.82</v>
      </c>
    </row>
    <row r="7430">
      <c r="G7430" s="5"/>
      <c r="H7430" s="6"/>
      <c r="AD7430" s="5">
        <v>45236.0</v>
      </c>
      <c r="AE7430" s="6">
        <v>0.5</v>
      </c>
      <c r="AF7430" s="7">
        <v>48152.52</v>
      </c>
    </row>
    <row r="7431">
      <c r="G7431" s="5"/>
      <c r="H7431" s="6"/>
      <c r="AD7431" s="5">
        <v>45236.0</v>
      </c>
      <c r="AE7431" s="6">
        <v>0.5416666666666666</v>
      </c>
      <c r="AF7431" s="7">
        <v>44038.02</v>
      </c>
    </row>
    <row r="7432">
      <c r="G7432" s="5"/>
      <c r="H7432" s="6"/>
      <c r="AD7432" s="5">
        <v>45236.0</v>
      </c>
      <c r="AE7432" s="6">
        <v>0.5833333333333334</v>
      </c>
      <c r="AF7432" s="7">
        <v>34066.5</v>
      </c>
    </row>
    <row r="7433">
      <c r="G7433" s="5"/>
      <c r="H7433" s="6"/>
      <c r="AD7433" s="5">
        <v>45236.0</v>
      </c>
      <c r="AE7433" s="6">
        <v>0.625</v>
      </c>
      <c r="AF7433" s="7">
        <v>21718.32</v>
      </c>
    </row>
    <row r="7434">
      <c r="G7434" s="5"/>
      <c r="H7434" s="6"/>
      <c r="AD7434" s="5">
        <v>45236.0</v>
      </c>
      <c r="AE7434" s="6">
        <v>0.6666666666666666</v>
      </c>
      <c r="AF7434" s="7">
        <v>6126.9</v>
      </c>
    </row>
    <row r="7435">
      <c r="G7435" s="5"/>
      <c r="H7435" s="6"/>
      <c r="AD7435" s="5">
        <v>45236.0</v>
      </c>
      <c r="AE7435" s="6">
        <v>0.7083333333333334</v>
      </c>
      <c r="AF7435" s="7">
        <v>0.0</v>
      </c>
    </row>
    <row r="7436">
      <c r="G7436" s="5"/>
      <c r="H7436" s="6"/>
      <c r="AD7436" s="5">
        <v>45236.0</v>
      </c>
      <c r="AE7436" s="6">
        <v>0.75</v>
      </c>
      <c r="AF7436" s="7">
        <v>0.0</v>
      </c>
    </row>
    <row r="7437">
      <c r="G7437" s="5"/>
      <c r="H7437" s="6"/>
      <c r="AD7437" s="5">
        <v>45236.0</v>
      </c>
      <c r="AE7437" s="6">
        <v>0.7916666666666666</v>
      </c>
      <c r="AF7437" s="7">
        <v>0.0</v>
      </c>
    </row>
    <row r="7438">
      <c r="G7438" s="5"/>
      <c r="H7438" s="6"/>
      <c r="AD7438" s="5">
        <v>45236.0</v>
      </c>
      <c r="AE7438" s="6">
        <v>0.8333333333333334</v>
      </c>
      <c r="AF7438" s="7">
        <v>0.0</v>
      </c>
    </row>
    <row r="7439">
      <c r="G7439" s="5"/>
      <c r="H7439" s="6"/>
      <c r="AD7439" s="5">
        <v>45236.0</v>
      </c>
      <c r="AE7439" s="6">
        <v>0.875</v>
      </c>
      <c r="AF7439" s="7">
        <v>0.0</v>
      </c>
    </row>
    <row r="7440">
      <c r="G7440" s="5"/>
      <c r="H7440" s="6"/>
      <c r="AD7440" s="5">
        <v>45236.0</v>
      </c>
      <c r="AE7440" s="6">
        <v>0.9166666666666666</v>
      </c>
      <c r="AF7440" s="7">
        <v>0.0</v>
      </c>
    </row>
    <row r="7441">
      <c r="G7441" s="5"/>
      <c r="H7441" s="6"/>
      <c r="AD7441" s="5">
        <v>45236.0</v>
      </c>
      <c r="AE7441" s="6">
        <v>0.9583333333333334</v>
      </c>
      <c r="AF7441" s="7">
        <v>0.0</v>
      </c>
    </row>
    <row r="7442">
      <c r="G7442" s="5"/>
      <c r="H7442" s="6"/>
      <c r="AD7442" s="5">
        <v>45237.0</v>
      </c>
      <c r="AE7442" s="6">
        <v>0.0</v>
      </c>
      <c r="AF7442" s="7">
        <v>0.0</v>
      </c>
    </row>
    <row r="7443">
      <c r="G7443" s="5"/>
      <c r="H7443" s="6"/>
      <c r="AD7443" s="5">
        <v>45237.0</v>
      </c>
      <c r="AE7443" s="6">
        <v>0.041666666666666664</v>
      </c>
      <c r="AF7443" s="7">
        <v>0.0</v>
      </c>
    </row>
    <row r="7444">
      <c r="G7444" s="5"/>
      <c r="H7444" s="6"/>
      <c r="AD7444" s="5">
        <v>45237.0</v>
      </c>
      <c r="AE7444" s="6">
        <v>0.08333333333333333</v>
      </c>
      <c r="AF7444" s="7">
        <v>0.0</v>
      </c>
    </row>
    <row r="7445">
      <c r="G7445" s="5"/>
      <c r="H7445" s="6"/>
      <c r="AD7445" s="5">
        <v>45237.0</v>
      </c>
      <c r="AE7445" s="6">
        <v>0.125</v>
      </c>
      <c r="AF7445" s="7">
        <v>0.0</v>
      </c>
    </row>
    <row r="7446">
      <c r="G7446" s="5"/>
      <c r="H7446" s="6"/>
      <c r="AD7446" s="5">
        <v>45237.0</v>
      </c>
      <c r="AE7446" s="6">
        <v>0.16666666666666666</v>
      </c>
      <c r="AF7446" s="7">
        <v>0.0</v>
      </c>
    </row>
    <row r="7447">
      <c r="G7447" s="5"/>
      <c r="H7447" s="6"/>
      <c r="AD7447" s="5">
        <v>45237.0</v>
      </c>
      <c r="AE7447" s="6">
        <v>0.20833333333333334</v>
      </c>
      <c r="AF7447" s="7">
        <v>0.0</v>
      </c>
    </row>
    <row r="7448">
      <c r="G7448" s="5"/>
      <c r="H7448" s="6"/>
      <c r="AD7448" s="5">
        <v>45237.0</v>
      </c>
      <c r="AE7448" s="6">
        <v>0.25</v>
      </c>
      <c r="AF7448" s="7">
        <v>0.0</v>
      </c>
    </row>
    <row r="7449">
      <c r="G7449" s="5"/>
      <c r="H7449" s="6"/>
      <c r="AD7449" s="5">
        <v>45237.0</v>
      </c>
      <c r="AE7449" s="6">
        <v>0.2916666666666667</v>
      </c>
      <c r="AF7449" s="7">
        <v>2184.78</v>
      </c>
    </row>
    <row r="7450">
      <c r="G7450" s="5"/>
      <c r="H7450" s="6"/>
      <c r="AD7450" s="5">
        <v>45237.0</v>
      </c>
      <c r="AE7450" s="6">
        <v>0.3333333333333333</v>
      </c>
      <c r="AF7450" s="7">
        <v>19037.46</v>
      </c>
    </row>
    <row r="7451">
      <c r="G7451" s="5"/>
      <c r="H7451" s="6"/>
      <c r="AD7451" s="5">
        <v>45237.0</v>
      </c>
      <c r="AE7451" s="6">
        <v>0.375</v>
      </c>
      <c r="AF7451" s="7">
        <v>32671.86</v>
      </c>
    </row>
    <row r="7452">
      <c r="G7452" s="5"/>
      <c r="H7452" s="6"/>
      <c r="AD7452" s="5">
        <v>45237.0</v>
      </c>
      <c r="AE7452" s="6">
        <v>0.4166666666666667</v>
      </c>
      <c r="AF7452" s="7">
        <v>42557.58</v>
      </c>
    </row>
    <row r="7453">
      <c r="G7453" s="5"/>
      <c r="H7453" s="6"/>
      <c r="AD7453" s="5">
        <v>45237.0</v>
      </c>
      <c r="AE7453" s="6">
        <v>0.4583333333333333</v>
      </c>
      <c r="AF7453" s="7">
        <v>46726.68</v>
      </c>
    </row>
    <row r="7454">
      <c r="G7454" s="5"/>
      <c r="H7454" s="6"/>
      <c r="AD7454" s="5">
        <v>45237.0</v>
      </c>
      <c r="AE7454" s="6">
        <v>0.5</v>
      </c>
      <c r="AF7454" s="7">
        <v>31383.3</v>
      </c>
    </row>
    <row r="7455">
      <c r="G7455" s="5"/>
      <c r="H7455" s="6"/>
      <c r="AD7455" s="5">
        <v>45237.0</v>
      </c>
      <c r="AE7455" s="6">
        <v>0.5416666666666666</v>
      </c>
      <c r="AF7455" s="7">
        <v>4876.56</v>
      </c>
    </row>
    <row r="7456">
      <c r="G7456" s="5"/>
      <c r="H7456" s="6"/>
      <c r="AD7456" s="5">
        <v>45237.0</v>
      </c>
      <c r="AE7456" s="6">
        <v>0.5833333333333334</v>
      </c>
      <c r="AF7456" s="7">
        <v>16494.66</v>
      </c>
    </row>
    <row r="7457">
      <c r="G7457" s="5"/>
      <c r="H7457" s="6"/>
      <c r="AD7457" s="5">
        <v>45237.0</v>
      </c>
      <c r="AE7457" s="6">
        <v>0.625</v>
      </c>
      <c r="AF7457" s="7">
        <v>21169.98</v>
      </c>
    </row>
    <row r="7458">
      <c r="G7458" s="5"/>
      <c r="H7458" s="6"/>
      <c r="AD7458" s="5">
        <v>45237.0</v>
      </c>
      <c r="AE7458" s="6">
        <v>0.6666666666666666</v>
      </c>
      <c r="AF7458" s="7">
        <v>1321.32</v>
      </c>
    </row>
    <row r="7459">
      <c r="G7459" s="5"/>
      <c r="H7459" s="6"/>
      <c r="AD7459" s="5">
        <v>45237.0</v>
      </c>
      <c r="AE7459" s="6">
        <v>0.7083333333333334</v>
      </c>
      <c r="AF7459" s="7">
        <v>0.0</v>
      </c>
    </row>
    <row r="7460">
      <c r="G7460" s="5"/>
      <c r="H7460" s="6"/>
      <c r="AD7460" s="5">
        <v>45237.0</v>
      </c>
      <c r="AE7460" s="6">
        <v>0.75</v>
      </c>
      <c r="AF7460" s="7">
        <v>0.0</v>
      </c>
    </row>
    <row r="7461">
      <c r="G7461" s="5"/>
      <c r="H7461" s="6"/>
      <c r="AD7461" s="5">
        <v>45237.0</v>
      </c>
      <c r="AE7461" s="6">
        <v>0.7916666666666666</v>
      </c>
      <c r="AF7461" s="7">
        <v>0.0</v>
      </c>
    </row>
    <row r="7462">
      <c r="G7462" s="5"/>
      <c r="H7462" s="6"/>
      <c r="AD7462" s="5">
        <v>45237.0</v>
      </c>
      <c r="AE7462" s="6">
        <v>0.8333333333333334</v>
      </c>
      <c r="AF7462" s="7">
        <v>0.0</v>
      </c>
    </row>
    <row r="7463">
      <c r="G7463" s="5"/>
      <c r="H7463" s="6"/>
      <c r="AD7463" s="5">
        <v>45237.0</v>
      </c>
      <c r="AE7463" s="6">
        <v>0.875</v>
      </c>
      <c r="AF7463" s="7">
        <v>0.0</v>
      </c>
    </row>
    <row r="7464">
      <c r="G7464" s="5"/>
      <c r="H7464" s="6"/>
      <c r="AD7464" s="5">
        <v>45237.0</v>
      </c>
      <c r="AE7464" s="6">
        <v>0.9166666666666666</v>
      </c>
      <c r="AF7464" s="7">
        <v>0.0</v>
      </c>
    </row>
    <row r="7465">
      <c r="G7465" s="5"/>
      <c r="H7465" s="6"/>
      <c r="AD7465" s="5">
        <v>45237.0</v>
      </c>
      <c r="AE7465" s="6">
        <v>0.9583333333333334</v>
      </c>
      <c r="AF7465" s="7">
        <v>0.0</v>
      </c>
    </row>
    <row r="7466">
      <c r="G7466" s="5"/>
      <c r="H7466" s="6"/>
      <c r="AD7466" s="5">
        <v>45238.0</v>
      </c>
      <c r="AE7466" s="6">
        <v>0.0</v>
      </c>
      <c r="AF7466" s="7">
        <v>0.0</v>
      </c>
    </row>
    <row r="7467">
      <c r="G7467" s="5"/>
      <c r="H7467" s="6"/>
      <c r="AD7467" s="5">
        <v>45238.0</v>
      </c>
      <c r="AE7467" s="6">
        <v>0.041666666666666664</v>
      </c>
      <c r="AF7467" s="7">
        <v>0.0</v>
      </c>
    </row>
    <row r="7468">
      <c r="G7468" s="5"/>
      <c r="H7468" s="6"/>
      <c r="AD7468" s="5">
        <v>45238.0</v>
      </c>
      <c r="AE7468" s="6">
        <v>0.08333333333333333</v>
      </c>
      <c r="AF7468" s="7">
        <v>0.0</v>
      </c>
    </row>
    <row r="7469">
      <c r="G7469" s="5"/>
      <c r="H7469" s="6"/>
      <c r="AD7469" s="5">
        <v>45238.0</v>
      </c>
      <c r="AE7469" s="6">
        <v>0.125</v>
      </c>
      <c r="AF7469" s="7">
        <v>0.0</v>
      </c>
    </row>
    <row r="7470">
      <c r="G7470" s="5"/>
      <c r="H7470" s="6"/>
      <c r="AD7470" s="5">
        <v>45238.0</v>
      </c>
      <c r="AE7470" s="6">
        <v>0.16666666666666666</v>
      </c>
      <c r="AF7470" s="7">
        <v>0.0</v>
      </c>
    </row>
    <row r="7471">
      <c r="G7471" s="5"/>
      <c r="H7471" s="6"/>
      <c r="AD7471" s="5">
        <v>45238.0</v>
      </c>
      <c r="AE7471" s="6">
        <v>0.20833333333333334</v>
      </c>
      <c r="AF7471" s="7">
        <v>0.0</v>
      </c>
    </row>
    <row r="7472">
      <c r="G7472" s="5"/>
      <c r="H7472" s="6"/>
      <c r="AD7472" s="5">
        <v>45238.0</v>
      </c>
      <c r="AE7472" s="6">
        <v>0.25</v>
      </c>
      <c r="AF7472" s="7">
        <v>0.0</v>
      </c>
    </row>
    <row r="7473">
      <c r="G7473" s="5"/>
      <c r="H7473" s="6"/>
      <c r="AD7473" s="5">
        <v>45238.0</v>
      </c>
      <c r="AE7473" s="6">
        <v>0.2916666666666667</v>
      </c>
      <c r="AF7473" s="7">
        <v>980.46</v>
      </c>
    </row>
    <row r="7474">
      <c r="G7474" s="5"/>
      <c r="H7474" s="6"/>
      <c r="AD7474" s="5">
        <v>45238.0</v>
      </c>
      <c r="AE7474" s="6">
        <v>0.3333333333333333</v>
      </c>
      <c r="AF7474" s="7">
        <v>17848.74</v>
      </c>
    </row>
    <row r="7475">
      <c r="G7475" s="5"/>
      <c r="H7475" s="6"/>
      <c r="AD7475" s="5">
        <v>45238.0</v>
      </c>
      <c r="AE7475" s="6">
        <v>0.375</v>
      </c>
      <c r="AF7475" s="7">
        <v>30814.68</v>
      </c>
    </row>
    <row r="7476">
      <c r="G7476" s="5"/>
      <c r="H7476" s="6"/>
      <c r="AD7476" s="5">
        <v>45238.0</v>
      </c>
      <c r="AE7476" s="6">
        <v>0.4166666666666667</v>
      </c>
      <c r="AF7476" s="7">
        <v>41013.18</v>
      </c>
    </row>
    <row r="7477">
      <c r="G7477" s="5"/>
      <c r="H7477" s="6"/>
      <c r="AD7477" s="5">
        <v>45238.0</v>
      </c>
      <c r="AE7477" s="6">
        <v>0.4583333333333333</v>
      </c>
      <c r="AF7477" s="7">
        <v>46351.5</v>
      </c>
    </row>
    <row r="7478">
      <c r="G7478" s="5"/>
      <c r="H7478" s="6"/>
      <c r="AD7478" s="5">
        <v>45238.0</v>
      </c>
      <c r="AE7478" s="6">
        <v>0.5</v>
      </c>
      <c r="AF7478" s="7">
        <v>46479.42</v>
      </c>
    </row>
    <row r="7479">
      <c r="G7479" s="5"/>
      <c r="H7479" s="6"/>
      <c r="AD7479" s="5">
        <v>45238.0</v>
      </c>
      <c r="AE7479" s="6">
        <v>0.5416666666666666</v>
      </c>
      <c r="AF7479" s="7">
        <v>41721.42</v>
      </c>
    </row>
    <row r="7480">
      <c r="G7480" s="5"/>
      <c r="H7480" s="6"/>
      <c r="AD7480" s="5">
        <v>45238.0</v>
      </c>
      <c r="AE7480" s="6">
        <v>0.5833333333333334</v>
      </c>
      <c r="AF7480" s="7">
        <v>32231.94</v>
      </c>
    </row>
    <row r="7481">
      <c r="G7481" s="5"/>
      <c r="H7481" s="6"/>
      <c r="AD7481" s="5">
        <v>45238.0</v>
      </c>
      <c r="AE7481" s="6">
        <v>0.625</v>
      </c>
      <c r="AF7481" s="7">
        <v>22599.72</v>
      </c>
    </row>
    <row r="7482">
      <c r="G7482" s="5"/>
      <c r="H7482" s="6"/>
      <c r="AD7482" s="5">
        <v>45238.0</v>
      </c>
      <c r="AE7482" s="6">
        <v>0.6666666666666666</v>
      </c>
      <c r="AF7482" s="7">
        <v>5821.14</v>
      </c>
    </row>
    <row r="7483">
      <c r="G7483" s="5"/>
      <c r="H7483" s="6"/>
      <c r="AD7483" s="5">
        <v>45238.0</v>
      </c>
      <c r="AE7483" s="6">
        <v>0.7083333333333334</v>
      </c>
      <c r="AF7483" s="7">
        <v>0.0</v>
      </c>
    </row>
    <row r="7484">
      <c r="G7484" s="5"/>
      <c r="H7484" s="6"/>
      <c r="AD7484" s="5">
        <v>45238.0</v>
      </c>
      <c r="AE7484" s="6">
        <v>0.75</v>
      </c>
      <c r="AF7484" s="7">
        <v>0.0</v>
      </c>
    </row>
    <row r="7485">
      <c r="G7485" s="5"/>
      <c r="H7485" s="6"/>
      <c r="AD7485" s="5">
        <v>45238.0</v>
      </c>
      <c r="AE7485" s="6">
        <v>0.7916666666666666</v>
      </c>
      <c r="AF7485" s="7">
        <v>0.0</v>
      </c>
    </row>
    <row r="7486">
      <c r="G7486" s="5"/>
      <c r="H7486" s="6"/>
      <c r="AD7486" s="5">
        <v>45238.0</v>
      </c>
      <c r="AE7486" s="6">
        <v>0.8333333333333334</v>
      </c>
      <c r="AF7486" s="7">
        <v>0.0</v>
      </c>
    </row>
    <row r="7487">
      <c r="G7487" s="5"/>
      <c r="H7487" s="6"/>
      <c r="AD7487" s="5">
        <v>45238.0</v>
      </c>
      <c r="AE7487" s="6">
        <v>0.875</v>
      </c>
      <c r="AF7487" s="7">
        <v>0.0</v>
      </c>
    </row>
    <row r="7488">
      <c r="G7488" s="5"/>
      <c r="H7488" s="6"/>
      <c r="AD7488" s="5">
        <v>45238.0</v>
      </c>
      <c r="AE7488" s="6">
        <v>0.9166666666666666</v>
      </c>
      <c r="AF7488" s="7">
        <v>0.0</v>
      </c>
    </row>
    <row r="7489">
      <c r="G7489" s="5"/>
      <c r="H7489" s="6"/>
      <c r="AD7489" s="5">
        <v>45238.0</v>
      </c>
      <c r="AE7489" s="6">
        <v>0.9583333333333334</v>
      </c>
      <c r="AF7489" s="7">
        <v>0.0</v>
      </c>
    </row>
    <row r="7490">
      <c r="G7490" s="5"/>
      <c r="H7490" s="6"/>
      <c r="AD7490" s="5">
        <v>45239.0</v>
      </c>
      <c r="AE7490" s="6">
        <v>0.0</v>
      </c>
      <c r="AF7490" s="7">
        <v>0.0</v>
      </c>
    </row>
    <row r="7491">
      <c r="G7491" s="5"/>
      <c r="H7491" s="6"/>
      <c r="AD7491" s="5">
        <v>45239.0</v>
      </c>
      <c r="AE7491" s="6">
        <v>0.041666666666666664</v>
      </c>
      <c r="AF7491" s="7">
        <v>0.0</v>
      </c>
    </row>
    <row r="7492">
      <c r="G7492" s="5"/>
      <c r="H7492" s="6"/>
      <c r="AD7492" s="5">
        <v>45239.0</v>
      </c>
      <c r="AE7492" s="6">
        <v>0.08333333333333333</v>
      </c>
      <c r="AF7492" s="7">
        <v>0.0</v>
      </c>
    </row>
    <row r="7493">
      <c r="G7493" s="5"/>
      <c r="H7493" s="6"/>
      <c r="AD7493" s="5">
        <v>45239.0</v>
      </c>
      <c r="AE7493" s="6">
        <v>0.125</v>
      </c>
      <c r="AF7493" s="7">
        <v>0.0</v>
      </c>
    </row>
    <row r="7494">
      <c r="G7494" s="5"/>
      <c r="H7494" s="6"/>
      <c r="AD7494" s="5">
        <v>45239.0</v>
      </c>
      <c r="AE7494" s="6">
        <v>0.16666666666666666</v>
      </c>
      <c r="AF7494" s="7">
        <v>0.0</v>
      </c>
    </row>
    <row r="7495">
      <c r="G7495" s="5"/>
      <c r="H7495" s="6"/>
      <c r="AD7495" s="5">
        <v>45239.0</v>
      </c>
      <c r="AE7495" s="6">
        <v>0.20833333333333334</v>
      </c>
      <c r="AF7495" s="7">
        <v>0.0</v>
      </c>
    </row>
    <row r="7496">
      <c r="G7496" s="5"/>
      <c r="H7496" s="6"/>
      <c r="AD7496" s="5">
        <v>45239.0</v>
      </c>
      <c r="AE7496" s="6">
        <v>0.25</v>
      </c>
      <c r="AF7496" s="7">
        <v>0.0</v>
      </c>
    </row>
    <row r="7497">
      <c r="G7497" s="5"/>
      <c r="H7497" s="6"/>
      <c r="AD7497" s="5">
        <v>45239.0</v>
      </c>
      <c r="AE7497" s="6">
        <v>0.2916666666666667</v>
      </c>
      <c r="AF7497" s="7">
        <v>0.0</v>
      </c>
    </row>
    <row r="7498">
      <c r="G7498" s="5"/>
      <c r="H7498" s="6"/>
      <c r="AD7498" s="5">
        <v>45239.0</v>
      </c>
      <c r="AE7498" s="6">
        <v>0.3333333333333333</v>
      </c>
      <c r="AF7498" s="7">
        <v>5243.94</v>
      </c>
    </row>
    <row r="7499">
      <c r="G7499" s="5"/>
      <c r="H7499" s="6"/>
      <c r="AD7499" s="5">
        <v>45239.0</v>
      </c>
      <c r="AE7499" s="6">
        <v>0.375</v>
      </c>
      <c r="AF7499" s="7">
        <v>17046.9</v>
      </c>
    </row>
    <row r="7500">
      <c r="G7500" s="5"/>
      <c r="H7500" s="6"/>
      <c r="AD7500" s="5">
        <v>45239.0</v>
      </c>
      <c r="AE7500" s="6">
        <v>0.4166666666666667</v>
      </c>
      <c r="AF7500" s="7">
        <v>42838.38</v>
      </c>
    </row>
    <row r="7501">
      <c r="G7501" s="5"/>
      <c r="H7501" s="6"/>
      <c r="AD7501" s="5">
        <v>45239.0</v>
      </c>
      <c r="AE7501" s="6">
        <v>0.4583333333333333</v>
      </c>
      <c r="AF7501" s="7">
        <v>48313.98</v>
      </c>
    </row>
    <row r="7502">
      <c r="G7502" s="5"/>
      <c r="H7502" s="6"/>
      <c r="AD7502" s="5">
        <v>45239.0</v>
      </c>
      <c r="AE7502" s="6">
        <v>0.5</v>
      </c>
      <c r="AF7502" s="7">
        <v>47213.4</v>
      </c>
    </row>
    <row r="7503">
      <c r="G7503" s="5"/>
      <c r="H7503" s="6"/>
      <c r="AD7503" s="5">
        <v>45239.0</v>
      </c>
      <c r="AE7503" s="6">
        <v>0.5416666666666666</v>
      </c>
      <c r="AF7503" s="7">
        <v>43049.76</v>
      </c>
    </row>
    <row r="7504">
      <c r="G7504" s="5"/>
      <c r="H7504" s="6"/>
      <c r="AD7504" s="5">
        <v>45239.0</v>
      </c>
      <c r="AE7504" s="6">
        <v>0.5833333333333334</v>
      </c>
      <c r="AF7504" s="7">
        <v>33312.24</v>
      </c>
    </row>
    <row r="7505">
      <c r="G7505" s="5"/>
      <c r="H7505" s="6"/>
      <c r="AD7505" s="5">
        <v>45239.0</v>
      </c>
      <c r="AE7505" s="6">
        <v>0.625</v>
      </c>
      <c r="AF7505" s="7">
        <v>21059.22</v>
      </c>
    </row>
    <row r="7506">
      <c r="G7506" s="5"/>
      <c r="H7506" s="6"/>
      <c r="AD7506" s="5">
        <v>45239.0</v>
      </c>
      <c r="AE7506" s="6">
        <v>0.6666666666666666</v>
      </c>
      <c r="AF7506" s="7">
        <v>3491.28</v>
      </c>
    </row>
    <row r="7507">
      <c r="G7507" s="5"/>
      <c r="H7507" s="6"/>
      <c r="AD7507" s="5">
        <v>45239.0</v>
      </c>
      <c r="AE7507" s="6">
        <v>0.7083333333333334</v>
      </c>
      <c r="AF7507" s="7">
        <v>0.0</v>
      </c>
    </row>
    <row r="7508">
      <c r="G7508" s="5"/>
      <c r="H7508" s="6"/>
      <c r="AD7508" s="5">
        <v>45239.0</v>
      </c>
      <c r="AE7508" s="6">
        <v>0.75</v>
      </c>
      <c r="AF7508" s="7">
        <v>0.0</v>
      </c>
    </row>
    <row r="7509">
      <c r="G7509" s="5"/>
      <c r="H7509" s="6"/>
      <c r="AD7509" s="5">
        <v>45239.0</v>
      </c>
      <c r="AE7509" s="6">
        <v>0.7916666666666666</v>
      </c>
      <c r="AF7509" s="7">
        <v>0.0</v>
      </c>
    </row>
    <row r="7510">
      <c r="G7510" s="5"/>
      <c r="H7510" s="6"/>
      <c r="AD7510" s="5">
        <v>45239.0</v>
      </c>
      <c r="AE7510" s="6">
        <v>0.8333333333333334</v>
      </c>
      <c r="AF7510" s="7">
        <v>0.0</v>
      </c>
    </row>
    <row r="7511">
      <c r="G7511" s="5"/>
      <c r="H7511" s="6"/>
      <c r="AD7511" s="5">
        <v>45239.0</v>
      </c>
      <c r="AE7511" s="6">
        <v>0.875</v>
      </c>
      <c r="AF7511" s="7">
        <v>0.0</v>
      </c>
    </row>
    <row r="7512">
      <c r="G7512" s="5"/>
      <c r="H7512" s="6"/>
      <c r="AD7512" s="5">
        <v>45239.0</v>
      </c>
      <c r="AE7512" s="6">
        <v>0.9166666666666666</v>
      </c>
      <c r="AF7512" s="7">
        <v>0.0</v>
      </c>
    </row>
    <row r="7513">
      <c r="G7513" s="5"/>
      <c r="H7513" s="6"/>
      <c r="AD7513" s="5">
        <v>45239.0</v>
      </c>
      <c r="AE7513" s="6">
        <v>0.9583333333333334</v>
      </c>
      <c r="AF7513" s="7">
        <v>0.0</v>
      </c>
    </row>
    <row r="7514">
      <c r="G7514" s="5"/>
      <c r="H7514" s="6"/>
      <c r="AD7514" s="5">
        <v>45240.0</v>
      </c>
      <c r="AE7514" s="6">
        <v>0.0</v>
      </c>
      <c r="AF7514" s="7">
        <v>0.0</v>
      </c>
    </row>
    <row r="7515">
      <c r="G7515" s="5"/>
      <c r="H7515" s="6"/>
      <c r="AD7515" s="5">
        <v>45240.0</v>
      </c>
      <c r="AE7515" s="6">
        <v>0.041666666666666664</v>
      </c>
      <c r="AF7515" s="7">
        <v>0.0</v>
      </c>
    </row>
    <row r="7516">
      <c r="G7516" s="5"/>
      <c r="H7516" s="6"/>
      <c r="AD7516" s="5">
        <v>45240.0</v>
      </c>
      <c r="AE7516" s="6">
        <v>0.08333333333333333</v>
      </c>
      <c r="AF7516" s="7">
        <v>0.0</v>
      </c>
    </row>
    <row r="7517">
      <c r="G7517" s="5"/>
      <c r="H7517" s="6"/>
      <c r="AD7517" s="5">
        <v>45240.0</v>
      </c>
      <c r="AE7517" s="6">
        <v>0.125</v>
      </c>
      <c r="AF7517" s="7">
        <v>0.0</v>
      </c>
    </row>
    <row r="7518">
      <c r="G7518" s="5"/>
      <c r="H7518" s="6"/>
      <c r="AD7518" s="5">
        <v>45240.0</v>
      </c>
      <c r="AE7518" s="6">
        <v>0.16666666666666666</v>
      </c>
      <c r="AF7518" s="7">
        <v>0.0</v>
      </c>
    </row>
    <row r="7519">
      <c r="G7519" s="5"/>
      <c r="H7519" s="6"/>
      <c r="AD7519" s="5">
        <v>45240.0</v>
      </c>
      <c r="AE7519" s="6">
        <v>0.20833333333333334</v>
      </c>
      <c r="AF7519" s="7">
        <v>0.0</v>
      </c>
    </row>
    <row r="7520">
      <c r="G7520" s="5"/>
      <c r="H7520" s="6"/>
      <c r="AD7520" s="5">
        <v>45240.0</v>
      </c>
      <c r="AE7520" s="6">
        <v>0.25</v>
      </c>
      <c r="AF7520" s="7">
        <v>0.0</v>
      </c>
    </row>
    <row r="7521">
      <c r="G7521" s="5"/>
      <c r="H7521" s="6"/>
      <c r="AD7521" s="5">
        <v>45240.0</v>
      </c>
      <c r="AE7521" s="6">
        <v>0.2916666666666667</v>
      </c>
      <c r="AF7521" s="7">
        <v>772.98</v>
      </c>
    </row>
    <row r="7522">
      <c r="G7522" s="5"/>
      <c r="H7522" s="6"/>
      <c r="AD7522" s="5">
        <v>45240.0</v>
      </c>
      <c r="AE7522" s="6">
        <v>0.3333333333333333</v>
      </c>
      <c r="AF7522" s="7">
        <v>17652.18</v>
      </c>
    </row>
    <row r="7523">
      <c r="G7523" s="5"/>
      <c r="H7523" s="6"/>
      <c r="AD7523" s="5">
        <v>45240.0</v>
      </c>
      <c r="AE7523" s="6">
        <v>0.375</v>
      </c>
      <c r="AF7523" s="7">
        <v>31224.96</v>
      </c>
    </row>
    <row r="7524">
      <c r="G7524" s="5"/>
      <c r="H7524" s="6"/>
      <c r="AD7524" s="5">
        <v>45240.0</v>
      </c>
      <c r="AE7524" s="6">
        <v>0.4166666666666667</v>
      </c>
      <c r="AF7524" s="7">
        <v>41475.72</v>
      </c>
    </row>
    <row r="7525">
      <c r="G7525" s="5"/>
      <c r="H7525" s="6"/>
      <c r="AD7525" s="5">
        <v>45240.0</v>
      </c>
      <c r="AE7525" s="6">
        <v>0.4583333333333333</v>
      </c>
      <c r="AF7525" s="7">
        <v>45938.88</v>
      </c>
    </row>
    <row r="7526">
      <c r="G7526" s="5"/>
      <c r="H7526" s="6"/>
      <c r="AD7526" s="5">
        <v>45240.0</v>
      </c>
      <c r="AE7526" s="6">
        <v>0.5</v>
      </c>
      <c r="AF7526" s="7">
        <v>46087.86</v>
      </c>
    </row>
    <row r="7527">
      <c r="G7527" s="5"/>
      <c r="H7527" s="6"/>
      <c r="AD7527" s="5">
        <v>45240.0</v>
      </c>
      <c r="AE7527" s="6">
        <v>0.5416666666666666</v>
      </c>
      <c r="AF7527" s="7">
        <v>42393.78</v>
      </c>
    </row>
    <row r="7528">
      <c r="G7528" s="5"/>
      <c r="H7528" s="6"/>
      <c r="AD7528" s="5">
        <v>45240.0</v>
      </c>
      <c r="AE7528" s="6">
        <v>0.5833333333333334</v>
      </c>
      <c r="AF7528" s="7">
        <v>29264.82</v>
      </c>
    </row>
    <row r="7529">
      <c r="G7529" s="5"/>
      <c r="H7529" s="6"/>
      <c r="AD7529" s="5">
        <v>45240.0</v>
      </c>
      <c r="AE7529" s="6">
        <v>0.625</v>
      </c>
      <c r="AF7529" s="7">
        <v>20591.22</v>
      </c>
    </row>
    <row r="7530">
      <c r="G7530" s="5"/>
      <c r="H7530" s="6"/>
      <c r="AD7530" s="5">
        <v>45240.0</v>
      </c>
      <c r="AE7530" s="6">
        <v>0.6666666666666666</v>
      </c>
      <c r="AF7530" s="7">
        <v>2634.06</v>
      </c>
    </row>
    <row r="7531">
      <c r="G7531" s="5"/>
      <c r="H7531" s="6"/>
      <c r="AD7531" s="5">
        <v>45240.0</v>
      </c>
      <c r="AE7531" s="6">
        <v>0.7083333333333334</v>
      </c>
      <c r="AF7531" s="7">
        <v>0.0</v>
      </c>
    </row>
    <row r="7532">
      <c r="G7532" s="5"/>
      <c r="H7532" s="6"/>
      <c r="AD7532" s="5">
        <v>45240.0</v>
      </c>
      <c r="AE7532" s="6">
        <v>0.75</v>
      </c>
      <c r="AF7532" s="7">
        <v>0.0</v>
      </c>
    </row>
    <row r="7533">
      <c r="G7533" s="5"/>
      <c r="H7533" s="6"/>
      <c r="AD7533" s="5">
        <v>45240.0</v>
      </c>
      <c r="AE7533" s="6">
        <v>0.7916666666666666</v>
      </c>
      <c r="AF7533" s="7">
        <v>0.0</v>
      </c>
    </row>
    <row r="7534">
      <c r="G7534" s="5"/>
      <c r="H7534" s="6"/>
      <c r="AD7534" s="5">
        <v>45240.0</v>
      </c>
      <c r="AE7534" s="6">
        <v>0.8333333333333334</v>
      </c>
      <c r="AF7534" s="7">
        <v>0.0</v>
      </c>
    </row>
    <row r="7535">
      <c r="G7535" s="5"/>
      <c r="H7535" s="6"/>
      <c r="AD7535" s="5">
        <v>45240.0</v>
      </c>
      <c r="AE7535" s="6">
        <v>0.875</v>
      </c>
      <c r="AF7535" s="7">
        <v>0.0</v>
      </c>
    </row>
    <row r="7536">
      <c r="G7536" s="5"/>
      <c r="H7536" s="6"/>
      <c r="AD7536" s="5">
        <v>45240.0</v>
      </c>
      <c r="AE7536" s="6">
        <v>0.9166666666666666</v>
      </c>
      <c r="AF7536" s="7">
        <v>0.0</v>
      </c>
    </row>
    <row r="7537">
      <c r="G7537" s="5"/>
      <c r="H7537" s="6"/>
      <c r="AD7537" s="5">
        <v>45240.0</v>
      </c>
      <c r="AE7537" s="6">
        <v>0.9583333333333334</v>
      </c>
      <c r="AF7537" s="7">
        <v>0.0</v>
      </c>
    </row>
    <row r="7538">
      <c r="G7538" s="5"/>
      <c r="H7538" s="6"/>
      <c r="AD7538" s="5">
        <v>45241.0</v>
      </c>
      <c r="AE7538" s="6">
        <v>0.0</v>
      </c>
      <c r="AF7538" s="7">
        <v>0.0</v>
      </c>
    </row>
    <row r="7539">
      <c r="G7539" s="5"/>
      <c r="H7539" s="6"/>
      <c r="AD7539" s="5">
        <v>45241.0</v>
      </c>
      <c r="AE7539" s="6">
        <v>0.041666666666666664</v>
      </c>
      <c r="AF7539" s="7">
        <v>0.0</v>
      </c>
    </row>
    <row r="7540">
      <c r="G7540" s="5"/>
      <c r="H7540" s="6"/>
      <c r="AD7540" s="5">
        <v>45241.0</v>
      </c>
      <c r="AE7540" s="6">
        <v>0.08333333333333333</v>
      </c>
      <c r="AF7540" s="7">
        <v>0.0</v>
      </c>
    </row>
    <row r="7541">
      <c r="G7541" s="5"/>
      <c r="H7541" s="6"/>
      <c r="AD7541" s="5">
        <v>45241.0</v>
      </c>
      <c r="AE7541" s="6">
        <v>0.125</v>
      </c>
      <c r="AF7541" s="7">
        <v>0.0</v>
      </c>
    </row>
    <row r="7542">
      <c r="G7542" s="5"/>
      <c r="H7542" s="6"/>
      <c r="AD7542" s="5">
        <v>45241.0</v>
      </c>
      <c r="AE7542" s="6">
        <v>0.16666666666666666</v>
      </c>
      <c r="AF7542" s="7">
        <v>0.0</v>
      </c>
    </row>
    <row r="7543">
      <c r="G7543" s="5"/>
      <c r="H7543" s="6"/>
      <c r="AD7543" s="5">
        <v>45241.0</v>
      </c>
      <c r="AE7543" s="6">
        <v>0.20833333333333334</v>
      </c>
      <c r="AF7543" s="7">
        <v>0.0</v>
      </c>
    </row>
    <row r="7544">
      <c r="G7544" s="5"/>
      <c r="H7544" s="6"/>
      <c r="AD7544" s="5">
        <v>45241.0</v>
      </c>
      <c r="AE7544" s="6">
        <v>0.25</v>
      </c>
      <c r="AF7544" s="7">
        <v>0.0</v>
      </c>
    </row>
    <row r="7545">
      <c r="G7545" s="5"/>
      <c r="H7545" s="6"/>
      <c r="AD7545" s="5">
        <v>45241.0</v>
      </c>
      <c r="AE7545" s="6">
        <v>0.2916666666666667</v>
      </c>
      <c r="AF7545" s="7">
        <v>0.0</v>
      </c>
    </row>
    <row r="7546">
      <c r="G7546" s="5"/>
      <c r="H7546" s="6"/>
      <c r="AD7546" s="5">
        <v>45241.0</v>
      </c>
      <c r="AE7546" s="6">
        <v>0.3333333333333333</v>
      </c>
      <c r="AF7546" s="7">
        <v>4910.88</v>
      </c>
    </row>
    <row r="7547">
      <c r="G7547" s="5"/>
      <c r="H7547" s="6"/>
      <c r="AD7547" s="5">
        <v>45241.0</v>
      </c>
      <c r="AE7547" s="6">
        <v>0.375</v>
      </c>
      <c r="AF7547" s="7">
        <v>8279.7</v>
      </c>
    </row>
    <row r="7548">
      <c r="G7548" s="5"/>
      <c r="H7548" s="6"/>
      <c r="AD7548" s="5">
        <v>45241.0</v>
      </c>
      <c r="AE7548" s="6">
        <v>0.4166666666666667</v>
      </c>
      <c r="AF7548" s="7">
        <v>17379.96</v>
      </c>
    </row>
    <row r="7549">
      <c r="G7549" s="5"/>
      <c r="H7549" s="6"/>
      <c r="AD7549" s="5">
        <v>45241.0</v>
      </c>
      <c r="AE7549" s="6">
        <v>0.4583333333333333</v>
      </c>
      <c r="AF7549" s="7">
        <v>22296.3</v>
      </c>
    </row>
    <row r="7550">
      <c r="G7550" s="5"/>
      <c r="H7550" s="6"/>
      <c r="AD7550" s="5">
        <v>45241.0</v>
      </c>
      <c r="AE7550" s="6">
        <v>0.5</v>
      </c>
      <c r="AF7550" s="7">
        <v>24198.72</v>
      </c>
    </row>
    <row r="7551">
      <c r="G7551" s="5"/>
      <c r="H7551" s="6"/>
      <c r="AD7551" s="5">
        <v>45241.0</v>
      </c>
      <c r="AE7551" s="6">
        <v>0.5416666666666666</v>
      </c>
      <c r="AF7551" s="7">
        <v>40131.78</v>
      </c>
    </row>
    <row r="7552">
      <c r="G7552" s="5"/>
      <c r="H7552" s="6"/>
      <c r="AD7552" s="5">
        <v>45241.0</v>
      </c>
      <c r="AE7552" s="6">
        <v>0.5833333333333334</v>
      </c>
      <c r="AF7552" s="7">
        <v>12893.4</v>
      </c>
    </row>
    <row r="7553">
      <c r="G7553" s="5"/>
      <c r="H7553" s="6"/>
      <c r="AD7553" s="5">
        <v>45241.0</v>
      </c>
      <c r="AE7553" s="6">
        <v>0.625</v>
      </c>
      <c r="AF7553" s="7">
        <v>18944.64</v>
      </c>
    </row>
    <row r="7554">
      <c r="G7554" s="5"/>
      <c r="H7554" s="6"/>
      <c r="AD7554" s="5">
        <v>45241.0</v>
      </c>
      <c r="AE7554" s="6">
        <v>0.6666666666666666</v>
      </c>
      <c r="AF7554" s="7">
        <v>2886.0</v>
      </c>
    </row>
    <row r="7555">
      <c r="G7555" s="5"/>
      <c r="H7555" s="6"/>
      <c r="AD7555" s="5">
        <v>45241.0</v>
      </c>
      <c r="AE7555" s="6">
        <v>0.7083333333333334</v>
      </c>
      <c r="AF7555" s="7">
        <v>0.0</v>
      </c>
    </row>
    <row r="7556">
      <c r="G7556" s="5"/>
      <c r="H7556" s="6"/>
      <c r="AD7556" s="5">
        <v>45241.0</v>
      </c>
      <c r="AE7556" s="6">
        <v>0.75</v>
      </c>
      <c r="AF7556" s="7">
        <v>0.0</v>
      </c>
    </row>
    <row r="7557">
      <c r="G7557" s="5"/>
      <c r="H7557" s="6"/>
      <c r="AD7557" s="5">
        <v>45241.0</v>
      </c>
      <c r="AE7557" s="6">
        <v>0.7916666666666666</v>
      </c>
      <c r="AF7557" s="7">
        <v>0.0</v>
      </c>
    </row>
    <row r="7558">
      <c r="G7558" s="5"/>
      <c r="H7558" s="6"/>
      <c r="AD7558" s="5">
        <v>45241.0</v>
      </c>
      <c r="AE7558" s="6">
        <v>0.8333333333333334</v>
      </c>
      <c r="AF7558" s="7">
        <v>0.0</v>
      </c>
    </row>
    <row r="7559">
      <c r="G7559" s="5"/>
      <c r="H7559" s="6"/>
      <c r="AD7559" s="5">
        <v>45241.0</v>
      </c>
      <c r="AE7559" s="6">
        <v>0.875</v>
      </c>
      <c r="AF7559" s="7">
        <v>0.0</v>
      </c>
    </row>
    <row r="7560">
      <c r="G7560" s="5"/>
      <c r="H7560" s="6"/>
      <c r="AD7560" s="5">
        <v>45241.0</v>
      </c>
      <c r="AE7560" s="6">
        <v>0.9166666666666666</v>
      </c>
      <c r="AF7560" s="7">
        <v>0.0</v>
      </c>
    </row>
    <row r="7561">
      <c r="G7561" s="5"/>
      <c r="H7561" s="6"/>
      <c r="AD7561" s="5">
        <v>45241.0</v>
      </c>
      <c r="AE7561" s="6">
        <v>0.9583333333333334</v>
      </c>
      <c r="AF7561" s="7">
        <v>0.0</v>
      </c>
    </row>
    <row r="7562">
      <c r="G7562" s="5"/>
      <c r="H7562" s="6"/>
      <c r="AD7562" s="5">
        <v>45242.0</v>
      </c>
      <c r="AE7562" s="6">
        <v>0.0</v>
      </c>
      <c r="AF7562" s="7">
        <v>0.0</v>
      </c>
    </row>
    <row r="7563">
      <c r="G7563" s="5"/>
      <c r="H7563" s="6"/>
      <c r="AD7563" s="5">
        <v>45242.0</v>
      </c>
      <c r="AE7563" s="6">
        <v>0.041666666666666664</v>
      </c>
      <c r="AF7563" s="7">
        <v>0.0</v>
      </c>
    </row>
    <row r="7564">
      <c r="G7564" s="5"/>
      <c r="H7564" s="6"/>
      <c r="AD7564" s="5">
        <v>45242.0</v>
      </c>
      <c r="AE7564" s="6">
        <v>0.08333333333333333</v>
      </c>
      <c r="AF7564" s="7">
        <v>0.0</v>
      </c>
    </row>
    <row r="7565">
      <c r="G7565" s="5"/>
      <c r="H7565" s="6"/>
      <c r="AD7565" s="5">
        <v>45242.0</v>
      </c>
      <c r="AE7565" s="6">
        <v>0.125</v>
      </c>
      <c r="AF7565" s="7">
        <v>0.0</v>
      </c>
    </row>
    <row r="7566">
      <c r="G7566" s="5"/>
      <c r="H7566" s="6"/>
      <c r="AD7566" s="5">
        <v>45242.0</v>
      </c>
      <c r="AE7566" s="6">
        <v>0.16666666666666666</v>
      </c>
      <c r="AF7566" s="7">
        <v>0.0</v>
      </c>
    </row>
    <row r="7567">
      <c r="G7567" s="5"/>
      <c r="H7567" s="6"/>
      <c r="AD7567" s="5">
        <v>45242.0</v>
      </c>
      <c r="AE7567" s="6">
        <v>0.20833333333333334</v>
      </c>
      <c r="AF7567" s="7">
        <v>0.0</v>
      </c>
    </row>
    <row r="7568">
      <c r="G7568" s="5"/>
      <c r="H7568" s="6"/>
      <c r="AD7568" s="5">
        <v>45242.0</v>
      </c>
      <c r="AE7568" s="6">
        <v>0.25</v>
      </c>
      <c r="AF7568" s="7">
        <v>0.0</v>
      </c>
    </row>
    <row r="7569">
      <c r="G7569" s="5"/>
      <c r="H7569" s="6"/>
      <c r="AD7569" s="5">
        <v>45242.0</v>
      </c>
      <c r="AE7569" s="6">
        <v>0.2916666666666667</v>
      </c>
      <c r="AF7569" s="7">
        <v>1303.38</v>
      </c>
    </row>
    <row r="7570">
      <c r="G7570" s="5"/>
      <c r="H7570" s="6"/>
      <c r="AD7570" s="5">
        <v>45242.0</v>
      </c>
      <c r="AE7570" s="6">
        <v>0.3333333333333333</v>
      </c>
      <c r="AF7570" s="7">
        <v>15702.18</v>
      </c>
    </row>
    <row r="7571">
      <c r="G7571" s="5"/>
      <c r="H7571" s="6"/>
      <c r="AD7571" s="5">
        <v>45242.0</v>
      </c>
      <c r="AE7571" s="6">
        <v>0.375</v>
      </c>
      <c r="AF7571" s="7">
        <v>28576.86</v>
      </c>
    </row>
    <row r="7572">
      <c r="G7572" s="5"/>
      <c r="H7572" s="6"/>
      <c r="AD7572" s="5">
        <v>45242.0</v>
      </c>
      <c r="AE7572" s="6">
        <v>0.4166666666666667</v>
      </c>
      <c r="AF7572" s="7">
        <v>36447.84</v>
      </c>
    </row>
    <row r="7573">
      <c r="G7573" s="5"/>
      <c r="H7573" s="6"/>
      <c r="AD7573" s="5">
        <v>45242.0</v>
      </c>
      <c r="AE7573" s="6">
        <v>0.4583333333333333</v>
      </c>
      <c r="AF7573" s="7">
        <v>43017.0</v>
      </c>
    </row>
    <row r="7574">
      <c r="G7574" s="5"/>
      <c r="H7574" s="6"/>
      <c r="AD7574" s="5">
        <v>45242.0</v>
      </c>
      <c r="AE7574" s="6">
        <v>0.5</v>
      </c>
      <c r="AF7574" s="7">
        <v>37710.66</v>
      </c>
    </row>
    <row r="7575">
      <c r="G7575" s="5"/>
      <c r="H7575" s="6"/>
      <c r="AD7575" s="5">
        <v>45242.0</v>
      </c>
      <c r="AE7575" s="6">
        <v>0.5416666666666666</v>
      </c>
      <c r="AF7575" s="7">
        <v>37530.48</v>
      </c>
    </row>
    <row r="7576">
      <c r="G7576" s="5"/>
      <c r="H7576" s="6"/>
      <c r="AD7576" s="5">
        <v>45242.0</v>
      </c>
      <c r="AE7576" s="6">
        <v>0.5833333333333334</v>
      </c>
      <c r="AF7576" s="7">
        <v>27423.24</v>
      </c>
    </row>
    <row r="7577">
      <c r="G7577" s="5"/>
      <c r="H7577" s="6"/>
      <c r="AD7577" s="5">
        <v>45242.0</v>
      </c>
      <c r="AE7577" s="6">
        <v>0.625</v>
      </c>
      <c r="AF7577" s="7">
        <v>13167.96</v>
      </c>
    </row>
    <row r="7578">
      <c r="G7578" s="5"/>
      <c r="H7578" s="6"/>
      <c r="AD7578" s="5">
        <v>45242.0</v>
      </c>
      <c r="AE7578" s="6">
        <v>0.6666666666666666</v>
      </c>
      <c r="AF7578" s="7">
        <v>2039.7</v>
      </c>
    </row>
    <row r="7579">
      <c r="G7579" s="5"/>
      <c r="H7579" s="6"/>
      <c r="AD7579" s="5">
        <v>45242.0</v>
      </c>
      <c r="AE7579" s="6">
        <v>0.7083333333333334</v>
      </c>
      <c r="AF7579" s="7">
        <v>0.0</v>
      </c>
    </row>
    <row r="7580">
      <c r="G7580" s="5"/>
      <c r="H7580" s="6"/>
      <c r="AD7580" s="5">
        <v>45242.0</v>
      </c>
      <c r="AE7580" s="6">
        <v>0.75</v>
      </c>
      <c r="AF7580" s="7">
        <v>0.0</v>
      </c>
    </row>
    <row r="7581">
      <c r="G7581" s="5"/>
      <c r="H7581" s="6"/>
      <c r="AD7581" s="5">
        <v>45242.0</v>
      </c>
      <c r="AE7581" s="6">
        <v>0.7916666666666666</v>
      </c>
      <c r="AF7581" s="7">
        <v>0.0</v>
      </c>
    </row>
    <row r="7582">
      <c r="G7582" s="5"/>
      <c r="H7582" s="6"/>
      <c r="AD7582" s="5">
        <v>45242.0</v>
      </c>
      <c r="AE7582" s="6">
        <v>0.8333333333333334</v>
      </c>
      <c r="AF7582" s="7">
        <v>0.0</v>
      </c>
    </row>
    <row r="7583">
      <c r="G7583" s="5"/>
      <c r="H7583" s="6"/>
      <c r="AD7583" s="5">
        <v>45242.0</v>
      </c>
      <c r="AE7583" s="6">
        <v>0.875</v>
      </c>
      <c r="AF7583" s="7">
        <v>0.0</v>
      </c>
    </row>
    <row r="7584">
      <c r="G7584" s="5"/>
      <c r="H7584" s="6"/>
      <c r="AD7584" s="5">
        <v>45242.0</v>
      </c>
      <c r="AE7584" s="6">
        <v>0.9166666666666666</v>
      </c>
      <c r="AF7584" s="7">
        <v>0.0</v>
      </c>
    </row>
    <row r="7585">
      <c r="G7585" s="5"/>
      <c r="H7585" s="6"/>
      <c r="AD7585" s="5">
        <v>45242.0</v>
      </c>
      <c r="AE7585" s="6">
        <v>0.9583333333333334</v>
      </c>
      <c r="AF7585" s="7">
        <v>0.0</v>
      </c>
    </row>
    <row r="7586">
      <c r="G7586" s="5"/>
      <c r="H7586" s="6"/>
      <c r="AD7586" s="5">
        <v>45243.0</v>
      </c>
      <c r="AE7586" s="6">
        <v>0.0</v>
      </c>
      <c r="AF7586" s="7">
        <v>0.0</v>
      </c>
    </row>
    <row r="7587">
      <c r="G7587" s="5"/>
      <c r="H7587" s="6"/>
      <c r="AD7587" s="5">
        <v>45243.0</v>
      </c>
      <c r="AE7587" s="6">
        <v>0.041666666666666664</v>
      </c>
      <c r="AF7587" s="7">
        <v>0.0</v>
      </c>
    </row>
    <row r="7588">
      <c r="G7588" s="5"/>
      <c r="H7588" s="6"/>
      <c r="AD7588" s="5">
        <v>45243.0</v>
      </c>
      <c r="AE7588" s="6">
        <v>0.08333333333333333</v>
      </c>
      <c r="AF7588" s="7">
        <v>0.0</v>
      </c>
    </row>
    <row r="7589">
      <c r="G7589" s="5"/>
      <c r="H7589" s="6"/>
      <c r="AD7589" s="5">
        <v>45243.0</v>
      </c>
      <c r="AE7589" s="6">
        <v>0.125</v>
      </c>
      <c r="AF7589" s="7">
        <v>0.0</v>
      </c>
    </row>
    <row r="7590">
      <c r="G7590" s="5"/>
      <c r="H7590" s="6"/>
      <c r="AD7590" s="5">
        <v>45243.0</v>
      </c>
      <c r="AE7590" s="6">
        <v>0.16666666666666666</v>
      </c>
      <c r="AF7590" s="7">
        <v>0.0</v>
      </c>
    </row>
    <row r="7591">
      <c r="G7591" s="5"/>
      <c r="H7591" s="6"/>
      <c r="AD7591" s="5">
        <v>45243.0</v>
      </c>
      <c r="AE7591" s="6">
        <v>0.20833333333333334</v>
      </c>
      <c r="AF7591" s="7">
        <v>0.0</v>
      </c>
    </row>
    <row r="7592">
      <c r="G7592" s="5"/>
      <c r="H7592" s="6"/>
      <c r="AD7592" s="5">
        <v>45243.0</v>
      </c>
      <c r="AE7592" s="6">
        <v>0.25</v>
      </c>
      <c r="AF7592" s="7">
        <v>0.0</v>
      </c>
    </row>
    <row r="7593">
      <c r="G7593" s="5"/>
      <c r="H7593" s="6"/>
      <c r="AD7593" s="5">
        <v>45243.0</v>
      </c>
      <c r="AE7593" s="6">
        <v>0.2916666666666667</v>
      </c>
      <c r="AF7593" s="7">
        <v>535.86</v>
      </c>
    </row>
    <row r="7594">
      <c r="G7594" s="5"/>
      <c r="H7594" s="6"/>
      <c r="AD7594" s="5">
        <v>45243.0</v>
      </c>
      <c r="AE7594" s="6">
        <v>0.3333333333333333</v>
      </c>
      <c r="AF7594" s="7">
        <v>15855.84</v>
      </c>
    </row>
    <row r="7595">
      <c r="G7595" s="5"/>
      <c r="H7595" s="6"/>
      <c r="AD7595" s="5">
        <v>45243.0</v>
      </c>
      <c r="AE7595" s="6">
        <v>0.375</v>
      </c>
      <c r="AF7595" s="7">
        <v>24431.16</v>
      </c>
    </row>
    <row r="7596">
      <c r="G7596" s="5"/>
      <c r="H7596" s="6"/>
      <c r="AD7596" s="5">
        <v>45243.0</v>
      </c>
      <c r="AE7596" s="6">
        <v>0.4166666666666667</v>
      </c>
      <c r="AF7596" s="7">
        <v>35238.06</v>
      </c>
    </row>
    <row r="7597">
      <c r="G7597" s="5"/>
      <c r="H7597" s="6"/>
      <c r="AD7597" s="5">
        <v>45243.0</v>
      </c>
      <c r="AE7597" s="6">
        <v>0.4583333333333333</v>
      </c>
      <c r="AF7597" s="7">
        <v>40623.96</v>
      </c>
    </row>
    <row r="7598">
      <c r="G7598" s="5"/>
      <c r="H7598" s="6"/>
      <c r="AD7598" s="5">
        <v>45243.0</v>
      </c>
      <c r="AE7598" s="6">
        <v>0.5</v>
      </c>
      <c r="AF7598" s="7">
        <v>36496.98</v>
      </c>
    </row>
    <row r="7599">
      <c r="G7599" s="5"/>
      <c r="H7599" s="6"/>
      <c r="AD7599" s="5">
        <v>45243.0</v>
      </c>
      <c r="AE7599" s="6">
        <v>0.5416666666666666</v>
      </c>
      <c r="AF7599" s="7">
        <v>38713.74</v>
      </c>
    </row>
    <row r="7600">
      <c r="G7600" s="5"/>
      <c r="H7600" s="6"/>
      <c r="AD7600" s="5">
        <v>45243.0</v>
      </c>
      <c r="AE7600" s="6">
        <v>0.5833333333333334</v>
      </c>
      <c r="AF7600" s="7">
        <v>30147.0</v>
      </c>
    </row>
    <row r="7601">
      <c r="G7601" s="5"/>
      <c r="H7601" s="6"/>
      <c r="AD7601" s="5">
        <v>45243.0</v>
      </c>
      <c r="AE7601" s="6">
        <v>0.625</v>
      </c>
      <c r="AF7601" s="7">
        <v>17780.1</v>
      </c>
    </row>
    <row r="7602">
      <c r="G7602" s="5"/>
      <c r="H7602" s="6"/>
      <c r="AD7602" s="5">
        <v>45243.0</v>
      </c>
      <c r="AE7602" s="6">
        <v>0.6666666666666666</v>
      </c>
      <c r="AF7602" s="7">
        <v>3188.64</v>
      </c>
    </row>
    <row r="7603">
      <c r="G7603" s="5"/>
      <c r="H7603" s="6"/>
      <c r="AD7603" s="5">
        <v>45243.0</v>
      </c>
      <c r="AE7603" s="6">
        <v>0.7083333333333334</v>
      </c>
      <c r="AF7603" s="7">
        <v>0.0</v>
      </c>
    </row>
    <row r="7604">
      <c r="G7604" s="5"/>
      <c r="H7604" s="6"/>
      <c r="AD7604" s="5">
        <v>45243.0</v>
      </c>
      <c r="AE7604" s="6">
        <v>0.75</v>
      </c>
      <c r="AF7604" s="7">
        <v>0.0</v>
      </c>
    </row>
    <row r="7605">
      <c r="G7605" s="5"/>
      <c r="H7605" s="6"/>
      <c r="AD7605" s="5">
        <v>45243.0</v>
      </c>
      <c r="AE7605" s="6">
        <v>0.7916666666666666</v>
      </c>
      <c r="AF7605" s="7">
        <v>0.0</v>
      </c>
    </row>
    <row r="7606">
      <c r="G7606" s="5"/>
      <c r="H7606" s="6"/>
      <c r="AD7606" s="5">
        <v>45243.0</v>
      </c>
      <c r="AE7606" s="6">
        <v>0.8333333333333334</v>
      </c>
      <c r="AF7606" s="7">
        <v>0.0</v>
      </c>
    </row>
    <row r="7607">
      <c r="G7607" s="5"/>
      <c r="H7607" s="6"/>
      <c r="AD7607" s="5">
        <v>45243.0</v>
      </c>
      <c r="AE7607" s="6">
        <v>0.875</v>
      </c>
      <c r="AF7607" s="7">
        <v>0.0</v>
      </c>
    </row>
    <row r="7608">
      <c r="G7608" s="5"/>
      <c r="H7608" s="6"/>
      <c r="AD7608" s="5">
        <v>45243.0</v>
      </c>
      <c r="AE7608" s="6">
        <v>0.9166666666666666</v>
      </c>
      <c r="AF7608" s="7">
        <v>0.0</v>
      </c>
    </row>
    <row r="7609">
      <c r="G7609" s="5"/>
      <c r="H7609" s="6"/>
      <c r="AD7609" s="5">
        <v>45243.0</v>
      </c>
      <c r="AE7609" s="6">
        <v>0.9583333333333334</v>
      </c>
      <c r="AF7609" s="7">
        <v>0.0</v>
      </c>
    </row>
    <row r="7610">
      <c r="G7610" s="5"/>
      <c r="H7610" s="6"/>
      <c r="AD7610" s="5">
        <v>45244.0</v>
      </c>
      <c r="AE7610" s="6">
        <v>0.0</v>
      </c>
      <c r="AF7610" s="7">
        <v>0.0</v>
      </c>
    </row>
    <row r="7611">
      <c r="G7611" s="5"/>
      <c r="H7611" s="6"/>
      <c r="AD7611" s="5">
        <v>45244.0</v>
      </c>
      <c r="AE7611" s="6">
        <v>0.041666666666666664</v>
      </c>
      <c r="AF7611" s="7">
        <v>0.0</v>
      </c>
    </row>
    <row r="7612">
      <c r="G7612" s="5"/>
      <c r="H7612" s="6"/>
      <c r="AD7612" s="5">
        <v>45244.0</v>
      </c>
      <c r="AE7612" s="6">
        <v>0.08333333333333333</v>
      </c>
      <c r="AF7612" s="7">
        <v>0.0</v>
      </c>
    </row>
    <row r="7613">
      <c r="G7613" s="5"/>
      <c r="H7613" s="6"/>
      <c r="AD7613" s="5">
        <v>45244.0</v>
      </c>
      <c r="AE7613" s="6">
        <v>0.125</v>
      </c>
      <c r="AF7613" s="7">
        <v>0.0</v>
      </c>
    </row>
    <row r="7614">
      <c r="G7614" s="5"/>
      <c r="H7614" s="6"/>
      <c r="AD7614" s="5">
        <v>45244.0</v>
      </c>
      <c r="AE7614" s="6">
        <v>0.16666666666666666</v>
      </c>
      <c r="AF7614" s="7">
        <v>0.0</v>
      </c>
    </row>
    <row r="7615">
      <c r="G7615" s="5"/>
      <c r="H7615" s="6"/>
      <c r="AD7615" s="5">
        <v>45244.0</v>
      </c>
      <c r="AE7615" s="6">
        <v>0.20833333333333334</v>
      </c>
      <c r="AF7615" s="7">
        <v>0.0</v>
      </c>
    </row>
    <row r="7616">
      <c r="G7616" s="5"/>
      <c r="H7616" s="6"/>
      <c r="AD7616" s="5">
        <v>45244.0</v>
      </c>
      <c r="AE7616" s="6">
        <v>0.25</v>
      </c>
      <c r="AF7616" s="7">
        <v>0.0</v>
      </c>
    </row>
    <row r="7617">
      <c r="G7617" s="5"/>
      <c r="H7617" s="6"/>
      <c r="AD7617" s="5">
        <v>45244.0</v>
      </c>
      <c r="AE7617" s="6">
        <v>0.2916666666666667</v>
      </c>
      <c r="AF7617" s="7">
        <v>287.82</v>
      </c>
    </row>
    <row r="7618">
      <c r="G7618" s="5"/>
      <c r="H7618" s="6"/>
      <c r="AD7618" s="5">
        <v>45244.0</v>
      </c>
      <c r="AE7618" s="6">
        <v>0.3333333333333333</v>
      </c>
      <c r="AF7618" s="7">
        <v>15652.26</v>
      </c>
    </row>
    <row r="7619">
      <c r="G7619" s="5"/>
      <c r="H7619" s="6"/>
      <c r="AD7619" s="5">
        <v>45244.0</v>
      </c>
      <c r="AE7619" s="6">
        <v>0.375</v>
      </c>
      <c r="AF7619" s="7">
        <v>28105.74</v>
      </c>
    </row>
    <row r="7620">
      <c r="G7620" s="5"/>
      <c r="H7620" s="6"/>
      <c r="AD7620" s="5">
        <v>45244.0</v>
      </c>
      <c r="AE7620" s="6">
        <v>0.4166666666666667</v>
      </c>
      <c r="AF7620" s="7">
        <v>39456.3</v>
      </c>
    </row>
    <row r="7621">
      <c r="G7621" s="5"/>
      <c r="H7621" s="6"/>
      <c r="AD7621" s="5">
        <v>45244.0</v>
      </c>
      <c r="AE7621" s="6">
        <v>0.4583333333333333</v>
      </c>
      <c r="AF7621" s="7">
        <v>41389.92</v>
      </c>
    </row>
    <row r="7622">
      <c r="G7622" s="5"/>
      <c r="H7622" s="6"/>
      <c r="AD7622" s="5">
        <v>45244.0</v>
      </c>
      <c r="AE7622" s="6">
        <v>0.5</v>
      </c>
      <c r="AF7622" s="7">
        <v>42679.26</v>
      </c>
    </row>
    <row r="7623">
      <c r="G7623" s="5"/>
      <c r="H7623" s="6"/>
      <c r="AD7623" s="5">
        <v>45244.0</v>
      </c>
      <c r="AE7623" s="6">
        <v>0.5416666666666666</v>
      </c>
      <c r="AF7623" s="7">
        <v>38727.0</v>
      </c>
    </row>
    <row r="7624">
      <c r="G7624" s="5"/>
      <c r="H7624" s="6"/>
      <c r="AD7624" s="5">
        <v>45244.0</v>
      </c>
      <c r="AE7624" s="6">
        <v>0.5833333333333334</v>
      </c>
      <c r="AF7624" s="7">
        <v>30453.54</v>
      </c>
    </row>
    <row r="7625">
      <c r="G7625" s="5"/>
      <c r="H7625" s="6"/>
      <c r="AD7625" s="5">
        <v>45244.0</v>
      </c>
      <c r="AE7625" s="6">
        <v>0.625</v>
      </c>
      <c r="AF7625" s="7">
        <v>18226.26</v>
      </c>
    </row>
    <row r="7626">
      <c r="G7626" s="5"/>
      <c r="H7626" s="6"/>
      <c r="AD7626" s="5">
        <v>45244.0</v>
      </c>
      <c r="AE7626" s="6">
        <v>0.6666666666666666</v>
      </c>
      <c r="AF7626" s="7">
        <v>3066.18</v>
      </c>
    </row>
    <row r="7627">
      <c r="G7627" s="5"/>
      <c r="H7627" s="6"/>
      <c r="AD7627" s="5">
        <v>45244.0</v>
      </c>
      <c r="AE7627" s="6">
        <v>0.7083333333333334</v>
      </c>
      <c r="AF7627" s="7">
        <v>0.0</v>
      </c>
    </row>
    <row r="7628">
      <c r="G7628" s="5"/>
      <c r="H7628" s="6"/>
      <c r="AD7628" s="5">
        <v>45244.0</v>
      </c>
      <c r="AE7628" s="6">
        <v>0.75</v>
      </c>
      <c r="AF7628" s="7">
        <v>0.0</v>
      </c>
    </row>
    <row r="7629">
      <c r="G7629" s="5"/>
      <c r="H7629" s="6"/>
      <c r="AD7629" s="5">
        <v>45244.0</v>
      </c>
      <c r="AE7629" s="6">
        <v>0.7916666666666666</v>
      </c>
      <c r="AF7629" s="7">
        <v>0.0</v>
      </c>
    </row>
    <row r="7630">
      <c r="G7630" s="5"/>
      <c r="H7630" s="6"/>
      <c r="AD7630" s="5">
        <v>45244.0</v>
      </c>
      <c r="AE7630" s="6">
        <v>0.8333333333333334</v>
      </c>
      <c r="AF7630" s="7">
        <v>0.0</v>
      </c>
    </row>
    <row r="7631">
      <c r="G7631" s="5"/>
      <c r="H7631" s="6"/>
      <c r="AD7631" s="5">
        <v>45244.0</v>
      </c>
      <c r="AE7631" s="6">
        <v>0.875</v>
      </c>
      <c r="AF7631" s="7">
        <v>0.0</v>
      </c>
    </row>
    <row r="7632">
      <c r="G7632" s="5"/>
      <c r="H7632" s="6"/>
      <c r="AD7632" s="5">
        <v>45244.0</v>
      </c>
      <c r="AE7632" s="6">
        <v>0.9166666666666666</v>
      </c>
      <c r="AF7632" s="7">
        <v>0.0</v>
      </c>
    </row>
    <row r="7633">
      <c r="G7633" s="5"/>
      <c r="H7633" s="6"/>
      <c r="AD7633" s="5">
        <v>45244.0</v>
      </c>
      <c r="AE7633" s="6">
        <v>0.9583333333333334</v>
      </c>
      <c r="AF7633" s="7">
        <v>0.0</v>
      </c>
    </row>
    <row r="7634">
      <c r="G7634" s="5"/>
      <c r="H7634" s="6"/>
      <c r="AD7634" s="5">
        <v>45245.0</v>
      </c>
      <c r="AE7634" s="6">
        <v>0.0</v>
      </c>
      <c r="AF7634" s="7">
        <v>0.0</v>
      </c>
    </row>
    <row r="7635">
      <c r="G7635" s="5"/>
      <c r="H7635" s="6"/>
      <c r="AD7635" s="5">
        <v>45245.0</v>
      </c>
      <c r="AE7635" s="6">
        <v>0.041666666666666664</v>
      </c>
      <c r="AF7635" s="7">
        <v>0.0</v>
      </c>
    </row>
    <row r="7636">
      <c r="G7636" s="5"/>
      <c r="H7636" s="6"/>
      <c r="AD7636" s="5">
        <v>45245.0</v>
      </c>
      <c r="AE7636" s="6">
        <v>0.08333333333333333</v>
      </c>
      <c r="AF7636" s="7">
        <v>0.0</v>
      </c>
    </row>
    <row r="7637">
      <c r="G7637" s="5"/>
      <c r="H7637" s="6"/>
      <c r="AD7637" s="5">
        <v>45245.0</v>
      </c>
      <c r="AE7637" s="6">
        <v>0.125</v>
      </c>
      <c r="AF7637" s="7">
        <v>0.0</v>
      </c>
    </row>
    <row r="7638">
      <c r="G7638" s="5"/>
      <c r="H7638" s="6"/>
      <c r="AD7638" s="5">
        <v>45245.0</v>
      </c>
      <c r="AE7638" s="6">
        <v>0.16666666666666666</v>
      </c>
      <c r="AF7638" s="7">
        <v>0.0</v>
      </c>
    </row>
    <row r="7639">
      <c r="G7639" s="5"/>
      <c r="H7639" s="6"/>
      <c r="AD7639" s="5">
        <v>45245.0</v>
      </c>
      <c r="AE7639" s="6">
        <v>0.20833333333333334</v>
      </c>
      <c r="AF7639" s="7">
        <v>0.0</v>
      </c>
    </row>
    <row r="7640">
      <c r="G7640" s="5"/>
      <c r="H7640" s="6"/>
      <c r="AD7640" s="5">
        <v>45245.0</v>
      </c>
      <c r="AE7640" s="6">
        <v>0.25</v>
      </c>
      <c r="AF7640" s="7">
        <v>0.0</v>
      </c>
    </row>
    <row r="7641">
      <c r="G7641" s="5"/>
      <c r="H7641" s="6"/>
      <c r="AD7641" s="5">
        <v>45245.0</v>
      </c>
      <c r="AE7641" s="6">
        <v>0.2916666666666667</v>
      </c>
      <c r="AF7641" s="7">
        <v>0.0</v>
      </c>
    </row>
    <row r="7642">
      <c r="G7642" s="5"/>
      <c r="H7642" s="6"/>
      <c r="AD7642" s="5">
        <v>45245.0</v>
      </c>
      <c r="AE7642" s="6">
        <v>0.3333333333333333</v>
      </c>
      <c r="AF7642" s="7">
        <v>12600.12</v>
      </c>
    </row>
    <row r="7643">
      <c r="G7643" s="5"/>
      <c r="H7643" s="6"/>
      <c r="AD7643" s="5">
        <v>45245.0</v>
      </c>
      <c r="AE7643" s="6">
        <v>0.375</v>
      </c>
      <c r="AF7643" s="7">
        <v>24009.96</v>
      </c>
    </row>
    <row r="7644">
      <c r="G7644" s="5"/>
      <c r="H7644" s="6"/>
      <c r="AD7644" s="5">
        <v>45245.0</v>
      </c>
      <c r="AE7644" s="6">
        <v>0.4166666666666667</v>
      </c>
      <c r="AF7644" s="7">
        <v>37835.46</v>
      </c>
    </row>
    <row r="7645">
      <c r="G7645" s="5"/>
      <c r="H7645" s="6"/>
      <c r="AD7645" s="5">
        <v>45245.0</v>
      </c>
      <c r="AE7645" s="6">
        <v>0.4583333333333333</v>
      </c>
      <c r="AF7645" s="7">
        <v>29771.04</v>
      </c>
    </row>
    <row r="7646">
      <c r="G7646" s="5"/>
      <c r="H7646" s="6"/>
      <c r="AD7646" s="5">
        <v>45245.0</v>
      </c>
      <c r="AE7646" s="6">
        <v>0.5</v>
      </c>
      <c r="AF7646" s="7">
        <v>37294.92</v>
      </c>
    </row>
    <row r="7647">
      <c r="G7647" s="5"/>
      <c r="H7647" s="6"/>
      <c r="AD7647" s="5">
        <v>45245.0</v>
      </c>
      <c r="AE7647" s="6">
        <v>0.5416666666666666</v>
      </c>
      <c r="AF7647" s="7">
        <v>35858.94</v>
      </c>
    </row>
    <row r="7648">
      <c r="G7648" s="5"/>
      <c r="H7648" s="6"/>
      <c r="AD7648" s="5">
        <v>45245.0</v>
      </c>
      <c r="AE7648" s="6">
        <v>0.5833333333333334</v>
      </c>
      <c r="AF7648" s="7">
        <v>28363.14</v>
      </c>
    </row>
    <row r="7649">
      <c r="G7649" s="5"/>
      <c r="H7649" s="6"/>
      <c r="AD7649" s="5">
        <v>45245.0</v>
      </c>
      <c r="AE7649" s="6">
        <v>0.625</v>
      </c>
      <c r="AF7649" s="7">
        <v>17677.92</v>
      </c>
    </row>
    <row r="7650">
      <c r="G7650" s="5"/>
      <c r="H7650" s="6"/>
      <c r="AD7650" s="5">
        <v>45245.0</v>
      </c>
      <c r="AE7650" s="6">
        <v>0.6666666666666666</v>
      </c>
      <c r="AF7650" s="7">
        <v>2903.16</v>
      </c>
    </row>
    <row r="7651">
      <c r="G7651" s="5"/>
      <c r="H7651" s="6"/>
      <c r="AD7651" s="5">
        <v>45245.0</v>
      </c>
      <c r="AE7651" s="6">
        <v>0.7083333333333334</v>
      </c>
      <c r="AF7651" s="7">
        <v>0.0</v>
      </c>
    </row>
    <row r="7652">
      <c r="G7652" s="5"/>
      <c r="H7652" s="6"/>
      <c r="AD7652" s="5">
        <v>45245.0</v>
      </c>
      <c r="AE7652" s="6">
        <v>0.75</v>
      </c>
      <c r="AF7652" s="7">
        <v>0.0</v>
      </c>
    </row>
    <row r="7653">
      <c r="G7653" s="5"/>
      <c r="H7653" s="6"/>
      <c r="AD7653" s="5">
        <v>45245.0</v>
      </c>
      <c r="AE7653" s="6">
        <v>0.7916666666666666</v>
      </c>
      <c r="AF7653" s="7">
        <v>0.0</v>
      </c>
    </row>
    <row r="7654">
      <c r="G7654" s="5"/>
      <c r="H7654" s="6"/>
      <c r="AD7654" s="5">
        <v>45245.0</v>
      </c>
      <c r="AE7654" s="6">
        <v>0.8333333333333334</v>
      </c>
      <c r="AF7654" s="7">
        <v>0.0</v>
      </c>
    </row>
    <row r="7655">
      <c r="G7655" s="5"/>
      <c r="H7655" s="6"/>
      <c r="AD7655" s="5">
        <v>45245.0</v>
      </c>
      <c r="AE7655" s="6">
        <v>0.875</v>
      </c>
      <c r="AF7655" s="7">
        <v>0.0</v>
      </c>
    </row>
    <row r="7656">
      <c r="G7656" s="5"/>
      <c r="H7656" s="6"/>
      <c r="AD7656" s="5">
        <v>45245.0</v>
      </c>
      <c r="AE7656" s="6">
        <v>0.9166666666666666</v>
      </c>
      <c r="AF7656" s="7">
        <v>0.0</v>
      </c>
    </row>
    <row r="7657">
      <c r="G7657" s="5"/>
      <c r="H7657" s="6"/>
      <c r="AD7657" s="5">
        <v>45245.0</v>
      </c>
      <c r="AE7657" s="6">
        <v>0.9583333333333334</v>
      </c>
      <c r="AF7657" s="7">
        <v>0.0</v>
      </c>
    </row>
    <row r="7658">
      <c r="G7658" s="5"/>
      <c r="H7658" s="6"/>
      <c r="AD7658" s="5">
        <v>45246.0</v>
      </c>
      <c r="AE7658" s="6">
        <v>0.0</v>
      </c>
      <c r="AF7658" s="7">
        <v>0.0</v>
      </c>
    </row>
    <row r="7659">
      <c r="G7659" s="5"/>
      <c r="H7659" s="6"/>
      <c r="AD7659" s="5">
        <v>45246.0</v>
      </c>
      <c r="AE7659" s="6">
        <v>0.041666666666666664</v>
      </c>
      <c r="AF7659" s="7">
        <v>0.0</v>
      </c>
    </row>
    <row r="7660">
      <c r="G7660" s="5"/>
      <c r="H7660" s="6"/>
      <c r="AD7660" s="5">
        <v>45246.0</v>
      </c>
      <c r="AE7660" s="6">
        <v>0.08333333333333333</v>
      </c>
      <c r="AF7660" s="7">
        <v>0.0</v>
      </c>
    </row>
    <row r="7661">
      <c r="G7661" s="5"/>
      <c r="H7661" s="6"/>
      <c r="AD7661" s="5">
        <v>45246.0</v>
      </c>
      <c r="AE7661" s="6">
        <v>0.125</v>
      </c>
      <c r="AF7661" s="7">
        <v>0.0</v>
      </c>
    </row>
    <row r="7662">
      <c r="G7662" s="5"/>
      <c r="H7662" s="6"/>
      <c r="AD7662" s="5">
        <v>45246.0</v>
      </c>
      <c r="AE7662" s="6">
        <v>0.16666666666666666</v>
      </c>
      <c r="AF7662" s="7">
        <v>0.0</v>
      </c>
    </row>
    <row r="7663">
      <c r="G7663" s="5"/>
      <c r="H7663" s="6"/>
      <c r="AD7663" s="5">
        <v>45246.0</v>
      </c>
      <c r="AE7663" s="6">
        <v>0.20833333333333334</v>
      </c>
      <c r="AF7663" s="7">
        <v>0.0</v>
      </c>
    </row>
    <row r="7664">
      <c r="G7664" s="5"/>
      <c r="H7664" s="6"/>
      <c r="AD7664" s="5">
        <v>45246.0</v>
      </c>
      <c r="AE7664" s="6">
        <v>0.25</v>
      </c>
      <c r="AF7664" s="7">
        <v>0.0</v>
      </c>
    </row>
    <row r="7665">
      <c r="G7665" s="5"/>
      <c r="H7665" s="6"/>
      <c r="AD7665" s="5">
        <v>45246.0</v>
      </c>
      <c r="AE7665" s="6">
        <v>0.2916666666666667</v>
      </c>
      <c r="AF7665" s="7">
        <v>70.2</v>
      </c>
    </row>
    <row r="7666">
      <c r="G7666" s="5"/>
      <c r="H7666" s="6"/>
      <c r="AD7666" s="5">
        <v>45246.0</v>
      </c>
      <c r="AE7666" s="6">
        <v>0.3333333333333333</v>
      </c>
      <c r="AF7666" s="7">
        <v>8156.46</v>
      </c>
    </row>
    <row r="7667">
      <c r="G7667" s="5"/>
      <c r="H7667" s="6"/>
      <c r="AD7667" s="5">
        <v>45246.0</v>
      </c>
      <c r="AE7667" s="6">
        <v>0.375</v>
      </c>
      <c r="AF7667" s="7">
        <v>18521.1</v>
      </c>
    </row>
    <row r="7668">
      <c r="G7668" s="5"/>
      <c r="H7668" s="6"/>
      <c r="AD7668" s="5">
        <v>45246.0</v>
      </c>
      <c r="AE7668" s="6">
        <v>0.4166666666666667</v>
      </c>
      <c r="AF7668" s="7">
        <v>31769.4</v>
      </c>
    </row>
    <row r="7669">
      <c r="G7669" s="5"/>
      <c r="H7669" s="6"/>
      <c r="AD7669" s="5">
        <v>45246.0</v>
      </c>
      <c r="AE7669" s="6">
        <v>0.4583333333333333</v>
      </c>
      <c r="AF7669" s="7">
        <v>21676.98</v>
      </c>
    </row>
    <row r="7670">
      <c r="G7670" s="5"/>
      <c r="H7670" s="6"/>
      <c r="AD7670" s="5">
        <v>45246.0</v>
      </c>
      <c r="AE7670" s="6">
        <v>0.5</v>
      </c>
      <c r="AF7670" s="7">
        <v>42437.46</v>
      </c>
    </row>
    <row r="7671">
      <c r="G7671" s="5"/>
      <c r="H7671" s="6"/>
      <c r="AD7671" s="5">
        <v>45246.0</v>
      </c>
      <c r="AE7671" s="6">
        <v>0.5416666666666666</v>
      </c>
      <c r="AF7671" s="7">
        <v>38604.54</v>
      </c>
    </row>
    <row r="7672">
      <c r="G7672" s="5"/>
      <c r="H7672" s="6"/>
      <c r="AD7672" s="5">
        <v>45246.0</v>
      </c>
      <c r="AE7672" s="6">
        <v>0.5833333333333334</v>
      </c>
      <c r="AF7672" s="7">
        <v>30076.02</v>
      </c>
    </row>
    <row r="7673">
      <c r="G7673" s="5"/>
      <c r="H7673" s="6"/>
      <c r="AD7673" s="5">
        <v>45246.0</v>
      </c>
      <c r="AE7673" s="6">
        <v>0.625</v>
      </c>
      <c r="AF7673" s="7">
        <v>17826.9</v>
      </c>
    </row>
    <row r="7674">
      <c r="G7674" s="5"/>
      <c r="H7674" s="6"/>
      <c r="AD7674" s="5">
        <v>45246.0</v>
      </c>
      <c r="AE7674" s="6">
        <v>0.6666666666666666</v>
      </c>
      <c r="AF7674" s="7">
        <v>2810.34</v>
      </c>
    </row>
    <row r="7675">
      <c r="G7675" s="5"/>
      <c r="H7675" s="6"/>
      <c r="AD7675" s="5">
        <v>45246.0</v>
      </c>
      <c r="AE7675" s="6">
        <v>0.7083333333333334</v>
      </c>
      <c r="AF7675" s="7">
        <v>0.0</v>
      </c>
    </row>
    <row r="7676">
      <c r="G7676" s="5"/>
      <c r="H7676" s="6"/>
      <c r="AD7676" s="5">
        <v>45246.0</v>
      </c>
      <c r="AE7676" s="6">
        <v>0.75</v>
      </c>
      <c r="AF7676" s="7">
        <v>0.0</v>
      </c>
    </row>
    <row r="7677">
      <c r="G7677" s="5"/>
      <c r="H7677" s="6"/>
      <c r="AD7677" s="5">
        <v>45246.0</v>
      </c>
      <c r="AE7677" s="6">
        <v>0.7916666666666666</v>
      </c>
      <c r="AF7677" s="7">
        <v>0.0</v>
      </c>
    </row>
    <row r="7678">
      <c r="G7678" s="5"/>
      <c r="H7678" s="6"/>
      <c r="AD7678" s="5">
        <v>45246.0</v>
      </c>
      <c r="AE7678" s="6">
        <v>0.8333333333333334</v>
      </c>
      <c r="AF7678" s="7">
        <v>0.0</v>
      </c>
    </row>
    <row r="7679">
      <c r="G7679" s="5"/>
      <c r="H7679" s="6"/>
      <c r="AD7679" s="5">
        <v>45246.0</v>
      </c>
      <c r="AE7679" s="6">
        <v>0.875</v>
      </c>
      <c r="AF7679" s="7">
        <v>0.0</v>
      </c>
    </row>
    <row r="7680">
      <c r="G7680" s="5"/>
      <c r="H7680" s="6"/>
      <c r="AD7680" s="5">
        <v>45246.0</v>
      </c>
      <c r="AE7680" s="6">
        <v>0.9166666666666666</v>
      </c>
      <c r="AF7680" s="7">
        <v>0.0</v>
      </c>
    </row>
    <row r="7681">
      <c r="G7681" s="5"/>
      <c r="H7681" s="6"/>
      <c r="AD7681" s="5">
        <v>45246.0</v>
      </c>
      <c r="AE7681" s="6">
        <v>0.9583333333333334</v>
      </c>
      <c r="AF7681" s="7">
        <v>0.0</v>
      </c>
    </row>
    <row r="7682">
      <c r="G7682" s="5"/>
      <c r="H7682" s="6"/>
      <c r="AD7682" s="5">
        <v>45247.0</v>
      </c>
      <c r="AE7682" s="6">
        <v>0.0</v>
      </c>
      <c r="AF7682" s="7">
        <v>0.0</v>
      </c>
    </row>
    <row r="7683">
      <c r="G7683" s="5"/>
      <c r="H7683" s="6"/>
      <c r="AD7683" s="5">
        <v>45247.0</v>
      </c>
      <c r="AE7683" s="6">
        <v>0.041666666666666664</v>
      </c>
      <c r="AF7683" s="7">
        <v>0.0</v>
      </c>
    </row>
    <row r="7684">
      <c r="G7684" s="5"/>
      <c r="H7684" s="6"/>
      <c r="AD7684" s="5">
        <v>45247.0</v>
      </c>
      <c r="AE7684" s="6">
        <v>0.08333333333333333</v>
      </c>
      <c r="AF7684" s="7">
        <v>0.0</v>
      </c>
    </row>
    <row r="7685">
      <c r="G7685" s="5"/>
      <c r="H7685" s="6"/>
      <c r="AD7685" s="5">
        <v>45247.0</v>
      </c>
      <c r="AE7685" s="6">
        <v>0.125</v>
      </c>
      <c r="AF7685" s="7">
        <v>0.0</v>
      </c>
    </row>
    <row r="7686">
      <c r="G7686" s="5"/>
      <c r="H7686" s="6"/>
      <c r="AD7686" s="5">
        <v>45247.0</v>
      </c>
      <c r="AE7686" s="6">
        <v>0.16666666666666666</v>
      </c>
      <c r="AF7686" s="7">
        <v>0.0</v>
      </c>
    </row>
    <row r="7687">
      <c r="G7687" s="5"/>
      <c r="H7687" s="6"/>
      <c r="AD7687" s="5">
        <v>45247.0</v>
      </c>
      <c r="AE7687" s="6">
        <v>0.20833333333333334</v>
      </c>
      <c r="AF7687" s="7">
        <v>0.0</v>
      </c>
    </row>
    <row r="7688">
      <c r="G7688" s="5"/>
      <c r="H7688" s="6"/>
      <c r="AD7688" s="5">
        <v>45247.0</v>
      </c>
      <c r="AE7688" s="6">
        <v>0.25</v>
      </c>
      <c r="AF7688" s="7">
        <v>0.0</v>
      </c>
    </row>
    <row r="7689">
      <c r="G7689" s="5"/>
      <c r="H7689" s="6"/>
      <c r="AD7689" s="5">
        <v>45247.0</v>
      </c>
      <c r="AE7689" s="6">
        <v>0.2916666666666667</v>
      </c>
      <c r="AF7689" s="7">
        <v>35.88</v>
      </c>
    </row>
    <row r="7690">
      <c r="G7690" s="5"/>
      <c r="H7690" s="6"/>
      <c r="AD7690" s="5">
        <v>45247.0</v>
      </c>
      <c r="AE7690" s="6">
        <v>0.3333333333333333</v>
      </c>
      <c r="AF7690" s="7">
        <v>14875.38</v>
      </c>
    </row>
    <row r="7691">
      <c r="G7691" s="5"/>
      <c r="H7691" s="6"/>
      <c r="AD7691" s="5">
        <v>45247.0</v>
      </c>
      <c r="AE7691" s="6">
        <v>0.375</v>
      </c>
      <c r="AF7691" s="7">
        <v>27803.88</v>
      </c>
    </row>
    <row r="7692">
      <c r="G7692" s="5"/>
      <c r="H7692" s="6"/>
      <c r="AD7692" s="5">
        <v>45247.0</v>
      </c>
      <c r="AE7692" s="6">
        <v>0.4166666666666667</v>
      </c>
      <c r="AF7692" s="7">
        <v>37663.86</v>
      </c>
    </row>
    <row r="7693">
      <c r="G7693" s="5"/>
      <c r="H7693" s="6"/>
      <c r="AD7693" s="5">
        <v>45247.0</v>
      </c>
      <c r="AE7693" s="6">
        <v>0.4583333333333333</v>
      </c>
      <c r="AF7693" s="7">
        <v>43043.52</v>
      </c>
    </row>
    <row r="7694">
      <c r="G7694" s="5"/>
      <c r="H7694" s="6"/>
      <c r="AD7694" s="5">
        <v>45247.0</v>
      </c>
      <c r="AE7694" s="6">
        <v>0.5</v>
      </c>
      <c r="AF7694" s="7">
        <v>43245.54</v>
      </c>
    </row>
    <row r="7695">
      <c r="G7695" s="5"/>
      <c r="H7695" s="6"/>
      <c r="AD7695" s="5">
        <v>45247.0</v>
      </c>
      <c r="AE7695" s="6">
        <v>0.5416666666666666</v>
      </c>
      <c r="AF7695" s="7">
        <v>39971.1</v>
      </c>
    </row>
    <row r="7696">
      <c r="G7696" s="5"/>
      <c r="H7696" s="6"/>
      <c r="AD7696" s="5">
        <v>45247.0</v>
      </c>
      <c r="AE7696" s="6">
        <v>0.5833333333333334</v>
      </c>
      <c r="AF7696" s="7">
        <v>31836.48</v>
      </c>
    </row>
    <row r="7697">
      <c r="G7697" s="5"/>
      <c r="H7697" s="6"/>
      <c r="AD7697" s="5">
        <v>45247.0</v>
      </c>
      <c r="AE7697" s="6">
        <v>0.625</v>
      </c>
      <c r="AF7697" s="7">
        <v>18770.7</v>
      </c>
    </row>
    <row r="7698">
      <c r="G7698" s="5"/>
      <c r="H7698" s="6"/>
      <c r="AD7698" s="5">
        <v>45247.0</v>
      </c>
      <c r="AE7698" s="6">
        <v>0.6666666666666666</v>
      </c>
      <c r="AF7698" s="7">
        <v>2906.28</v>
      </c>
    </row>
    <row r="7699">
      <c r="G7699" s="5"/>
      <c r="H7699" s="6"/>
      <c r="AD7699" s="5">
        <v>45247.0</v>
      </c>
      <c r="AE7699" s="6">
        <v>0.7083333333333334</v>
      </c>
      <c r="AF7699" s="7">
        <v>0.0</v>
      </c>
    </row>
    <row r="7700">
      <c r="G7700" s="5"/>
      <c r="H7700" s="6"/>
      <c r="AD7700" s="5">
        <v>45247.0</v>
      </c>
      <c r="AE7700" s="6">
        <v>0.75</v>
      </c>
      <c r="AF7700" s="7">
        <v>0.0</v>
      </c>
    </row>
    <row r="7701">
      <c r="G7701" s="5"/>
      <c r="H7701" s="6"/>
      <c r="AD7701" s="5">
        <v>45247.0</v>
      </c>
      <c r="AE7701" s="6">
        <v>0.7916666666666666</v>
      </c>
      <c r="AF7701" s="7">
        <v>0.0</v>
      </c>
    </row>
    <row r="7702">
      <c r="G7702" s="5"/>
      <c r="H7702" s="6"/>
      <c r="AD7702" s="5">
        <v>45247.0</v>
      </c>
      <c r="AE7702" s="6">
        <v>0.8333333333333334</v>
      </c>
      <c r="AF7702" s="7">
        <v>0.0</v>
      </c>
    </row>
    <row r="7703">
      <c r="G7703" s="5"/>
      <c r="H7703" s="6"/>
      <c r="AD7703" s="5">
        <v>45247.0</v>
      </c>
      <c r="AE7703" s="6">
        <v>0.875</v>
      </c>
      <c r="AF7703" s="7">
        <v>0.0</v>
      </c>
    </row>
    <row r="7704">
      <c r="G7704" s="5"/>
      <c r="H7704" s="6"/>
      <c r="AD7704" s="5">
        <v>45247.0</v>
      </c>
      <c r="AE7704" s="6">
        <v>0.9166666666666666</v>
      </c>
      <c r="AF7704" s="7">
        <v>0.0</v>
      </c>
    </row>
    <row r="7705">
      <c r="G7705" s="5"/>
      <c r="H7705" s="6"/>
      <c r="AD7705" s="5">
        <v>45247.0</v>
      </c>
      <c r="AE7705" s="6">
        <v>0.9583333333333334</v>
      </c>
      <c r="AF7705" s="7">
        <v>0.0</v>
      </c>
    </row>
    <row r="7706">
      <c r="G7706" s="5"/>
      <c r="H7706" s="6"/>
      <c r="AD7706" s="5">
        <v>45248.0</v>
      </c>
      <c r="AE7706" s="6">
        <v>0.0</v>
      </c>
      <c r="AF7706" s="7">
        <v>0.0</v>
      </c>
    </row>
    <row r="7707">
      <c r="G7707" s="5"/>
      <c r="H7707" s="6"/>
      <c r="AD7707" s="5">
        <v>45248.0</v>
      </c>
      <c r="AE7707" s="6">
        <v>0.041666666666666664</v>
      </c>
      <c r="AF7707" s="7">
        <v>0.0</v>
      </c>
    </row>
    <row r="7708">
      <c r="G7708" s="5"/>
      <c r="H7708" s="6"/>
      <c r="AD7708" s="5">
        <v>45248.0</v>
      </c>
      <c r="AE7708" s="6">
        <v>0.08333333333333333</v>
      </c>
      <c r="AF7708" s="7">
        <v>0.0</v>
      </c>
    </row>
    <row r="7709">
      <c r="G7709" s="5"/>
      <c r="H7709" s="6"/>
      <c r="AD7709" s="5">
        <v>45248.0</v>
      </c>
      <c r="AE7709" s="6">
        <v>0.125</v>
      </c>
      <c r="AF7709" s="7">
        <v>0.0</v>
      </c>
    </row>
    <row r="7710">
      <c r="G7710" s="5"/>
      <c r="H7710" s="6"/>
      <c r="AD7710" s="5">
        <v>45248.0</v>
      </c>
      <c r="AE7710" s="6">
        <v>0.16666666666666666</v>
      </c>
      <c r="AF7710" s="7">
        <v>0.0</v>
      </c>
    </row>
    <row r="7711">
      <c r="G7711" s="5"/>
      <c r="H7711" s="6"/>
      <c r="AD7711" s="5">
        <v>45248.0</v>
      </c>
      <c r="AE7711" s="6">
        <v>0.20833333333333334</v>
      </c>
      <c r="AF7711" s="7">
        <v>0.0</v>
      </c>
    </row>
    <row r="7712">
      <c r="G7712" s="5"/>
      <c r="H7712" s="6"/>
      <c r="AD7712" s="5">
        <v>45248.0</v>
      </c>
      <c r="AE7712" s="6">
        <v>0.25</v>
      </c>
      <c r="AF7712" s="7">
        <v>0.0</v>
      </c>
    </row>
    <row r="7713">
      <c r="G7713" s="5"/>
      <c r="H7713" s="6"/>
      <c r="AD7713" s="5">
        <v>45248.0</v>
      </c>
      <c r="AE7713" s="6">
        <v>0.2916666666666667</v>
      </c>
      <c r="AF7713" s="7">
        <v>0.0</v>
      </c>
    </row>
    <row r="7714">
      <c r="G7714" s="5"/>
      <c r="H7714" s="6"/>
      <c r="AD7714" s="5">
        <v>45248.0</v>
      </c>
      <c r="AE7714" s="6">
        <v>0.3333333333333333</v>
      </c>
      <c r="AF7714" s="7">
        <v>12964.38</v>
      </c>
    </row>
    <row r="7715">
      <c r="G7715" s="5"/>
      <c r="H7715" s="6"/>
      <c r="AD7715" s="5">
        <v>45248.0</v>
      </c>
      <c r="AE7715" s="6">
        <v>0.375</v>
      </c>
      <c r="AF7715" s="7">
        <v>26174.46</v>
      </c>
    </row>
    <row r="7716">
      <c r="G7716" s="5"/>
      <c r="H7716" s="6"/>
      <c r="AD7716" s="5">
        <v>45248.0</v>
      </c>
      <c r="AE7716" s="6">
        <v>0.4166666666666667</v>
      </c>
      <c r="AF7716" s="7">
        <v>36103.86</v>
      </c>
    </row>
    <row r="7717">
      <c r="G7717" s="5"/>
      <c r="H7717" s="6"/>
      <c r="AD7717" s="5">
        <v>45248.0</v>
      </c>
      <c r="AE7717" s="6">
        <v>0.4583333333333333</v>
      </c>
      <c r="AF7717" s="7">
        <v>40404.0</v>
      </c>
    </row>
    <row r="7718">
      <c r="G7718" s="5"/>
      <c r="H7718" s="6"/>
      <c r="AD7718" s="5">
        <v>45248.0</v>
      </c>
      <c r="AE7718" s="6">
        <v>0.5</v>
      </c>
      <c r="AF7718" s="7">
        <v>39654.42</v>
      </c>
    </row>
    <row r="7719">
      <c r="G7719" s="5"/>
      <c r="H7719" s="6"/>
      <c r="AD7719" s="5">
        <v>45248.0</v>
      </c>
      <c r="AE7719" s="6">
        <v>0.5416666666666666</v>
      </c>
      <c r="AF7719" s="7">
        <v>37052.34</v>
      </c>
    </row>
    <row r="7720">
      <c r="G7720" s="5"/>
      <c r="H7720" s="6"/>
      <c r="AD7720" s="5">
        <v>45248.0</v>
      </c>
      <c r="AE7720" s="6">
        <v>0.5833333333333334</v>
      </c>
      <c r="AF7720" s="7">
        <v>25868.7</v>
      </c>
    </row>
    <row r="7721">
      <c r="G7721" s="5"/>
      <c r="H7721" s="6"/>
      <c r="AD7721" s="5">
        <v>45248.0</v>
      </c>
      <c r="AE7721" s="6">
        <v>0.625</v>
      </c>
      <c r="AF7721" s="7">
        <v>9803.82</v>
      </c>
    </row>
    <row r="7722">
      <c r="G7722" s="5"/>
      <c r="H7722" s="6"/>
      <c r="AD7722" s="5">
        <v>45248.0</v>
      </c>
      <c r="AE7722" s="6">
        <v>0.6666666666666666</v>
      </c>
      <c r="AF7722" s="7">
        <v>1443.0</v>
      </c>
    </row>
    <row r="7723">
      <c r="G7723" s="5"/>
      <c r="H7723" s="6"/>
      <c r="AD7723" s="5">
        <v>45248.0</v>
      </c>
      <c r="AE7723" s="6">
        <v>0.7083333333333334</v>
      </c>
      <c r="AF7723" s="7">
        <v>0.0</v>
      </c>
    </row>
    <row r="7724">
      <c r="G7724" s="5"/>
      <c r="H7724" s="6"/>
      <c r="AD7724" s="5">
        <v>45248.0</v>
      </c>
      <c r="AE7724" s="6">
        <v>0.75</v>
      </c>
      <c r="AF7724" s="7">
        <v>0.0</v>
      </c>
    </row>
    <row r="7725">
      <c r="G7725" s="5"/>
      <c r="H7725" s="6"/>
      <c r="AD7725" s="5">
        <v>45248.0</v>
      </c>
      <c r="AE7725" s="6">
        <v>0.7916666666666666</v>
      </c>
      <c r="AF7725" s="7">
        <v>0.0</v>
      </c>
    </row>
    <row r="7726">
      <c r="G7726" s="5"/>
      <c r="H7726" s="6"/>
      <c r="AD7726" s="5">
        <v>45248.0</v>
      </c>
      <c r="AE7726" s="6">
        <v>0.8333333333333334</v>
      </c>
      <c r="AF7726" s="7">
        <v>0.0</v>
      </c>
    </row>
    <row r="7727">
      <c r="G7727" s="5"/>
      <c r="H7727" s="6"/>
      <c r="AD7727" s="5">
        <v>45248.0</v>
      </c>
      <c r="AE7727" s="6">
        <v>0.875</v>
      </c>
      <c r="AF7727" s="7">
        <v>0.0</v>
      </c>
    </row>
    <row r="7728">
      <c r="G7728" s="5"/>
      <c r="H7728" s="6"/>
      <c r="AD7728" s="5">
        <v>45248.0</v>
      </c>
      <c r="AE7728" s="6">
        <v>0.9166666666666666</v>
      </c>
      <c r="AF7728" s="7">
        <v>0.0</v>
      </c>
    </row>
    <row r="7729">
      <c r="G7729" s="5"/>
      <c r="H7729" s="6"/>
      <c r="AD7729" s="5">
        <v>45248.0</v>
      </c>
      <c r="AE7729" s="6">
        <v>0.9583333333333334</v>
      </c>
      <c r="AF7729" s="7">
        <v>0.0</v>
      </c>
    </row>
    <row r="7730">
      <c r="G7730" s="5"/>
      <c r="H7730" s="6"/>
      <c r="AD7730" s="5">
        <v>45249.0</v>
      </c>
      <c r="AE7730" s="6">
        <v>0.0</v>
      </c>
      <c r="AF7730" s="7">
        <v>0.0</v>
      </c>
    </row>
    <row r="7731">
      <c r="G7731" s="5"/>
      <c r="H7731" s="6"/>
      <c r="AD7731" s="5">
        <v>45249.0</v>
      </c>
      <c r="AE7731" s="6">
        <v>0.041666666666666664</v>
      </c>
      <c r="AF7731" s="7">
        <v>0.0</v>
      </c>
    </row>
    <row r="7732">
      <c r="G7732" s="5"/>
      <c r="H7732" s="6"/>
      <c r="AD7732" s="5">
        <v>45249.0</v>
      </c>
      <c r="AE7732" s="6">
        <v>0.08333333333333333</v>
      </c>
      <c r="AF7732" s="7">
        <v>0.0</v>
      </c>
    </row>
    <row r="7733">
      <c r="G7733" s="5"/>
      <c r="H7733" s="6"/>
      <c r="AD7733" s="5">
        <v>45249.0</v>
      </c>
      <c r="AE7733" s="6">
        <v>0.125</v>
      </c>
      <c r="AF7733" s="7">
        <v>0.0</v>
      </c>
    </row>
    <row r="7734">
      <c r="G7734" s="5"/>
      <c r="H7734" s="6"/>
      <c r="AD7734" s="5">
        <v>45249.0</v>
      </c>
      <c r="AE7734" s="6">
        <v>0.16666666666666666</v>
      </c>
      <c r="AF7734" s="7">
        <v>0.0</v>
      </c>
    </row>
    <row r="7735">
      <c r="G7735" s="5"/>
      <c r="H7735" s="6"/>
      <c r="AD7735" s="5">
        <v>45249.0</v>
      </c>
      <c r="AE7735" s="6">
        <v>0.20833333333333334</v>
      </c>
      <c r="AF7735" s="7">
        <v>0.0</v>
      </c>
    </row>
    <row r="7736">
      <c r="G7736" s="5"/>
      <c r="H7736" s="6"/>
      <c r="AD7736" s="5">
        <v>45249.0</v>
      </c>
      <c r="AE7736" s="6">
        <v>0.25</v>
      </c>
      <c r="AF7736" s="7">
        <v>0.0</v>
      </c>
    </row>
    <row r="7737">
      <c r="G7737" s="5"/>
      <c r="H7737" s="6"/>
      <c r="AD7737" s="5">
        <v>45249.0</v>
      </c>
      <c r="AE7737" s="6">
        <v>0.2916666666666667</v>
      </c>
      <c r="AF7737" s="7">
        <v>0.0</v>
      </c>
    </row>
    <row r="7738">
      <c r="G7738" s="5"/>
      <c r="H7738" s="6"/>
      <c r="AD7738" s="5">
        <v>45249.0</v>
      </c>
      <c r="AE7738" s="6">
        <v>0.3333333333333333</v>
      </c>
      <c r="AF7738" s="7">
        <v>14641.38</v>
      </c>
    </row>
    <row r="7739">
      <c r="G7739" s="5"/>
      <c r="H7739" s="6"/>
      <c r="AD7739" s="5">
        <v>45249.0</v>
      </c>
      <c r="AE7739" s="6">
        <v>0.375</v>
      </c>
      <c r="AF7739" s="7">
        <v>27714.18</v>
      </c>
    </row>
    <row r="7740">
      <c r="G7740" s="5"/>
      <c r="H7740" s="6"/>
      <c r="AD7740" s="5">
        <v>45249.0</v>
      </c>
      <c r="AE7740" s="6">
        <v>0.4166666666666667</v>
      </c>
      <c r="AF7740" s="7">
        <v>36619.44</v>
      </c>
    </row>
    <row r="7741">
      <c r="G7741" s="5"/>
      <c r="H7741" s="6"/>
      <c r="AD7741" s="5">
        <v>45249.0</v>
      </c>
      <c r="AE7741" s="6">
        <v>0.4583333333333333</v>
      </c>
      <c r="AF7741" s="7">
        <v>40854.84</v>
      </c>
    </row>
    <row r="7742">
      <c r="G7742" s="5"/>
      <c r="H7742" s="6"/>
      <c r="AD7742" s="5">
        <v>45249.0</v>
      </c>
      <c r="AE7742" s="6">
        <v>0.5</v>
      </c>
      <c r="AF7742" s="7">
        <v>41226.12</v>
      </c>
    </row>
    <row r="7743">
      <c r="G7743" s="5"/>
      <c r="H7743" s="6"/>
      <c r="AD7743" s="5">
        <v>45249.0</v>
      </c>
      <c r="AE7743" s="6">
        <v>0.5416666666666666</v>
      </c>
      <c r="AF7743" s="7">
        <v>37935.3</v>
      </c>
    </row>
    <row r="7744">
      <c r="G7744" s="5"/>
      <c r="H7744" s="6"/>
      <c r="AD7744" s="5">
        <v>45249.0</v>
      </c>
      <c r="AE7744" s="6">
        <v>0.5833333333333334</v>
      </c>
      <c r="AF7744" s="7">
        <v>29813.16</v>
      </c>
    </row>
    <row r="7745">
      <c r="G7745" s="5"/>
      <c r="H7745" s="6"/>
      <c r="AD7745" s="5">
        <v>45249.0</v>
      </c>
      <c r="AE7745" s="6">
        <v>0.625</v>
      </c>
      <c r="AF7745" s="7">
        <v>17953.26</v>
      </c>
    </row>
    <row r="7746">
      <c r="G7746" s="5"/>
      <c r="H7746" s="6"/>
      <c r="AD7746" s="5">
        <v>45249.0</v>
      </c>
      <c r="AE7746" s="6">
        <v>0.6666666666666666</v>
      </c>
      <c r="AF7746" s="7">
        <v>2224.56</v>
      </c>
    </row>
    <row r="7747">
      <c r="G7747" s="5"/>
      <c r="H7747" s="6"/>
      <c r="AD7747" s="5">
        <v>45249.0</v>
      </c>
      <c r="AE7747" s="6">
        <v>0.7083333333333334</v>
      </c>
      <c r="AF7747" s="7">
        <v>0.0</v>
      </c>
    </row>
    <row r="7748">
      <c r="G7748" s="5"/>
      <c r="H7748" s="6"/>
      <c r="AD7748" s="5">
        <v>45249.0</v>
      </c>
      <c r="AE7748" s="6">
        <v>0.75</v>
      </c>
      <c r="AF7748" s="7">
        <v>0.0</v>
      </c>
    </row>
    <row r="7749">
      <c r="G7749" s="5"/>
      <c r="H7749" s="6"/>
      <c r="AD7749" s="5">
        <v>45249.0</v>
      </c>
      <c r="AE7749" s="6">
        <v>0.7916666666666666</v>
      </c>
      <c r="AF7749" s="7">
        <v>0.0</v>
      </c>
    </row>
    <row r="7750">
      <c r="G7750" s="5"/>
      <c r="H7750" s="6"/>
      <c r="AD7750" s="5">
        <v>45249.0</v>
      </c>
      <c r="AE7750" s="6">
        <v>0.8333333333333334</v>
      </c>
      <c r="AF7750" s="7">
        <v>0.0</v>
      </c>
    </row>
    <row r="7751">
      <c r="G7751" s="5"/>
      <c r="H7751" s="6"/>
      <c r="AD7751" s="5">
        <v>45249.0</v>
      </c>
      <c r="AE7751" s="6">
        <v>0.875</v>
      </c>
      <c r="AF7751" s="7">
        <v>0.0</v>
      </c>
    </row>
    <row r="7752">
      <c r="G7752" s="5"/>
      <c r="H7752" s="6"/>
      <c r="AD7752" s="5">
        <v>45249.0</v>
      </c>
      <c r="AE7752" s="6">
        <v>0.9166666666666666</v>
      </c>
      <c r="AF7752" s="7">
        <v>0.0</v>
      </c>
    </row>
    <row r="7753">
      <c r="G7753" s="5"/>
      <c r="H7753" s="6"/>
      <c r="AD7753" s="5">
        <v>45249.0</v>
      </c>
      <c r="AE7753" s="6">
        <v>0.9583333333333334</v>
      </c>
      <c r="AF7753" s="7">
        <v>0.0</v>
      </c>
    </row>
    <row r="7754">
      <c r="G7754" s="5"/>
      <c r="H7754" s="6"/>
      <c r="AD7754" s="5">
        <v>45250.0</v>
      </c>
      <c r="AE7754" s="6">
        <v>0.0</v>
      </c>
      <c r="AF7754" s="7">
        <v>0.0</v>
      </c>
    </row>
    <row r="7755">
      <c r="G7755" s="5"/>
      <c r="H7755" s="6"/>
      <c r="AD7755" s="5">
        <v>45250.0</v>
      </c>
      <c r="AE7755" s="6">
        <v>0.041666666666666664</v>
      </c>
      <c r="AF7755" s="7">
        <v>0.0</v>
      </c>
    </row>
    <row r="7756">
      <c r="G7756" s="5"/>
      <c r="H7756" s="6"/>
      <c r="AD7756" s="5">
        <v>45250.0</v>
      </c>
      <c r="AE7756" s="6">
        <v>0.08333333333333333</v>
      </c>
      <c r="AF7756" s="7">
        <v>0.0</v>
      </c>
    </row>
    <row r="7757">
      <c r="G7757" s="5"/>
      <c r="H7757" s="6"/>
      <c r="AD7757" s="5">
        <v>45250.0</v>
      </c>
      <c r="AE7757" s="6">
        <v>0.125</v>
      </c>
      <c r="AF7757" s="7">
        <v>0.0</v>
      </c>
    </row>
    <row r="7758">
      <c r="G7758" s="5"/>
      <c r="H7758" s="6"/>
      <c r="AD7758" s="5">
        <v>45250.0</v>
      </c>
      <c r="AE7758" s="6">
        <v>0.16666666666666666</v>
      </c>
      <c r="AF7758" s="7">
        <v>0.0</v>
      </c>
    </row>
    <row r="7759">
      <c r="G7759" s="5"/>
      <c r="H7759" s="6"/>
      <c r="AD7759" s="5">
        <v>45250.0</v>
      </c>
      <c r="AE7759" s="6">
        <v>0.20833333333333334</v>
      </c>
      <c r="AF7759" s="7">
        <v>0.0</v>
      </c>
    </row>
    <row r="7760">
      <c r="G7760" s="5"/>
      <c r="H7760" s="6"/>
      <c r="AD7760" s="5">
        <v>45250.0</v>
      </c>
      <c r="AE7760" s="6">
        <v>0.25</v>
      </c>
      <c r="AF7760" s="7">
        <v>0.0</v>
      </c>
    </row>
    <row r="7761">
      <c r="G7761" s="5"/>
      <c r="H7761" s="6"/>
      <c r="AD7761" s="5">
        <v>45250.0</v>
      </c>
      <c r="AE7761" s="6">
        <v>0.2916666666666667</v>
      </c>
      <c r="AF7761" s="7">
        <v>0.0</v>
      </c>
    </row>
    <row r="7762">
      <c r="G7762" s="5"/>
      <c r="H7762" s="6"/>
      <c r="AD7762" s="5">
        <v>45250.0</v>
      </c>
      <c r="AE7762" s="6">
        <v>0.3333333333333333</v>
      </c>
      <c r="AF7762" s="7">
        <v>13986.96</v>
      </c>
    </row>
    <row r="7763">
      <c r="G7763" s="5"/>
      <c r="H7763" s="6"/>
      <c r="AD7763" s="5">
        <v>45250.0</v>
      </c>
      <c r="AE7763" s="6">
        <v>0.375</v>
      </c>
      <c r="AF7763" s="7">
        <v>26697.84</v>
      </c>
    </row>
    <row r="7764">
      <c r="G7764" s="5"/>
      <c r="H7764" s="6"/>
      <c r="AD7764" s="5">
        <v>45250.0</v>
      </c>
      <c r="AE7764" s="6">
        <v>0.4166666666666667</v>
      </c>
      <c r="AF7764" s="7">
        <v>37042.2</v>
      </c>
    </row>
    <row r="7765">
      <c r="G7765" s="5"/>
      <c r="H7765" s="6"/>
      <c r="AD7765" s="5">
        <v>45250.0</v>
      </c>
      <c r="AE7765" s="6">
        <v>0.4583333333333333</v>
      </c>
      <c r="AF7765" s="7">
        <v>42489.72</v>
      </c>
    </row>
    <row r="7766">
      <c r="G7766" s="5"/>
      <c r="H7766" s="6"/>
      <c r="AD7766" s="5">
        <v>45250.0</v>
      </c>
      <c r="AE7766" s="6">
        <v>0.5</v>
      </c>
      <c r="AF7766" s="7">
        <v>42209.7</v>
      </c>
    </row>
    <row r="7767">
      <c r="G7767" s="5"/>
      <c r="H7767" s="6"/>
      <c r="AD7767" s="5">
        <v>45250.0</v>
      </c>
      <c r="AE7767" s="6">
        <v>0.5416666666666666</v>
      </c>
      <c r="AF7767" s="7">
        <v>33147.66</v>
      </c>
    </row>
    <row r="7768">
      <c r="G7768" s="5"/>
      <c r="H7768" s="6"/>
      <c r="AD7768" s="5">
        <v>45250.0</v>
      </c>
      <c r="AE7768" s="6">
        <v>0.5833333333333334</v>
      </c>
      <c r="AF7768" s="7">
        <v>31825.56</v>
      </c>
    </row>
    <row r="7769">
      <c r="G7769" s="5"/>
      <c r="H7769" s="6"/>
      <c r="AD7769" s="5">
        <v>45250.0</v>
      </c>
      <c r="AE7769" s="6">
        <v>0.625</v>
      </c>
      <c r="AF7769" s="7">
        <v>18721.56</v>
      </c>
    </row>
    <row r="7770">
      <c r="G7770" s="5"/>
      <c r="H7770" s="6"/>
      <c r="AD7770" s="5">
        <v>45250.0</v>
      </c>
      <c r="AE7770" s="6">
        <v>0.6666666666666666</v>
      </c>
      <c r="AF7770" s="7">
        <v>1382.16</v>
      </c>
    </row>
    <row r="7771">
      <c r="G7771" s="5"/>
      <c r="H7771" s="6"/>
      <c r="AD7771" s="5">
        <v>45250.0</v>
      </c>
      <c r="AE7771" s="6">
        <v>0.7083333333333334</v>
      </c>
      <c r="AF7771" s="7">
        <v>0.0</v>
      </c>
    </row>
    <row r="7772">
      <c r="G7772" s="5"/>
      <c r="H7772" s="6"/>
      <c r="AD7772" s="5">
        <v>45250.0</v>
      </c>
      <c r="AE7772" s="6">
        <v>0.75</v>
      </c>
      <c r="AF7772" s="7">
        <v>0.0</v>
      </c>
    </row>
    <row r="7773">
      <c r="G7773" s="5"/>
      <c r="H7773" s="6"/>
      <c r="AD7773" s="5">
        <v>45250.0</v>
      </c>
      <c r="AE7773" s="6">
        <v>0.7916666666666666</v>
      </c>
      <c r="AF7773" s="7">
        <v>0.0</v>
      </c>
    </row>
    <row r="7774">
      <c r="G7774" s="5"/>
      <c r="H7774" s="6"/>
      <c r="AD7774" s="5">
        <v>45250.0</v>
      </c>
      <c r="AE7774" s="6">
        <v>0.8333333333333334</v>
      </c>
      <c r="AF7774" s="7">
        <v>0.0</v>
      </c>
    </row>
    <row r="7775">
      <c r="G7775" s="5"/>
      <c r="H7775" s="6"/>
      <c r="AD7775" s="5">
        <v>45250.0</v>
      </c>
      <c r="AE7775" s="6">
        <v>0.875</v>
      </c>
      <c r="AF7775" s="7">
        <v>0.0</v>
      </c>
    </row>
    <row r="7776">
      <c r="G7776" s="5"/>
      <c r="H7776" s="6"/>
      <c r="AD7776" s="5">
        <v>45250.0</v>
      </c>
      <c r="AE7776" s="6">
        <v>0.9166666666666666</v>
      </c>
      <c r="AF7776" s="7">
        <v>0.0</v>
      </c>
    </row>
    <row r="7777">
      <c r="G7777" s="5"/>
      <c r="H7777" s="6"/>
      <c r="AD7777" s="5">
        <v>45250.0</v>
      </c>
      <c r="AE7777" s="6">
        <v>0.9583333333333334</v>
      </c>
      <c r="AF7777" s="7">
        <v>0.0</v>
      </c>
    </row>
    <row r="7778">
      <c r="G7778" s="5"/>
      <c r="H7778" s="6"/>
      <c r="AD7778" s="5">
        <v>45251.0</v>
      </c>
      <c r="AE7778" s="6">
        <v>0.0</v>
      </c>
      <c r="AF7778" s="7">
        <v>0.0</v>
      </c>
    </row>
    <row r="7779">
      <c r="G7779" s="5"/>
      <c r="H7779" s="6"/>
      <c r="AD7779" s="5">
        <v>45251.0</v>
      </c>
      <c r="AE7779" s="6">
        <v>0.041666666666666664</v>
      </c>
      <c r="AF7779" s="7">
        <v>0.0</v>
      </c>
    </row>
    <row r="7780">
      <c r="G7780" s="5"/>
      <c r="H7780" s="6"/>
      <c r="AD7780" s="5">
        <v>45251.0</v>
      </c>
      <c r="AE7780" s="6">
        <v>0.08333333333333333</v>
      </c>
      <c r="AF7780" s="7">
        <v>0.0</v>
      </c>
    </row>
    <row r="7781">
      <c r="G7781" s="5"/>
      <c r="H7781" s="6"/>
      <c r="AD7781" s="5">
        <v>45251.0</v>
      </c>
      <c r="AE7781" s="6">
        <v>0.125</v>
      </c>
      <c r="AF7781" s="7">
        <v>0.0</v>
      </c>
    </row>
    <row r="7782">
      <c r="G7782" s="5"/>
      <c r="H7782" s="6"/>
      <c r="AD7782" s="5">
        <v>45251.0</v>
      </c>
      <c r="AE7782" s="6">
        <v>0.16666666666666666</v>
      </c>
      <c r="AF7782" s="7">
        <v>0.0</v>
      </c>
    </row>
    <row r="7783">
      <c r="G7783" s="5"/>
      <c r="H7783" s="6"/>
      <c r="AD7783" s="5">
        <v>45251.0</v>
      </c>
      <c r="AE7783" s="6">
        <v>0.20833333333333334</v>
      </c>
      <c r="AF7783" s="7">
        <v>0.0</v>
      </c>
    </row>
    <row r="7784">
      <c r="G7784" s="5"/>
      <c r="H7784" s="6"/>
      <c r="AD7784" s="5">
        <v>45251.0</v>
      </c>
      <c r="AE7784" s="6">
        <v>0.25</v>
      </c>
      <c r="AF7784" s="7">
        <v>0.0</v>
      </c>
    </row>
    <row r="7785">
      <c r="G7785" s="5"/>
      <c r="H7785" s="6"/>
      <c r="AD7785" s="5">
        <v>45251.0</v>
      </c>
      <c r="AE7785" s="6">
        <v>0.2916666666666667</v>
      </c>
      <c r="AF7785" s="7">
        <v>0.0</v>
      </c>
    </row>
    <row r="7786">
      <c r="G7786" s="5"/>
      <c r="H7786" s="6"/>
      <c r="AD7786" s="5">
        <v>45251.0</v>
      </c>
      <c r="AE7786" s="6">
        <v>0.3333333333333333</v>
      </c>
      <c r="AF7786" s="7">
        <v>14266.2</v>
      </c>
    </row>
    <row r="7787">
      <c r="G7787" s="5"/>
      <c r="H7787" s="6"/>
      <c r="AD7787" s="5">
        <v>45251.0</v>
      </c>
      <c r="AE7787" s="6">
        <v>0.375</v>
      </c>
      <c r="AF7787" s="7">
        <v>28418.52</v>
      </c>
    </row>
    <row r="7788">
      <c r="G7788" s="5"/>
      <c r="H7788" s="6"/>
      <c r="AD7788" s="5">
        <v>45251.0</v>
      </c>
      <c r="AE7788" s="6">
        <v>0.4166666666666667</v>
      </c>
      <c r="AF7788" s="7">
        <v>38434.5</v>
      </c>
    </row>
    <row r="7789">
      <c r="G7789" s="5"/>
      <c r="H7789" s="6"/>
      <c r="AD7789" s="5">
        <v>45251.0</v>
      </c>
      <c r="AE7789" s="6">
        <v>0.4583333333333333</v>
      </c>
      <c r="AF7789" s="7">
        <v>40747.2</v>
      </c>
    </row>
    <row r="7790">
      <c r="G7790" s="5"/>
      <c r="H7790" s="6"/>
      <c r="AD7790" s="5">
        <v>45251.0</v>
      </c>
      <c r="AE7790" s="6">
        <v>0.5</v>
      </c>
      <c r="AF7790" s="7">
        <v>15279.42</v>
      </c>
    </row>
    <row r="7791">
      <c r="G7791" s="5"/>
      <c r="H7791" s="6"/>
      <c r="AD7791" s="5">
        <v>45251.0</v>
      </c>
      <c r="AE7791" s="6">
        <v>0.5416666666666666</v>
      </c>
      <c r="AF7791" s="7">
        <v>20415.72</v>
      </c>
    </row>
    <row r="7792">
      <c r="G7792" s="5"/>
      <c r="H7792" s="6"/>
      <c r="AD7792" s="5">
        <v>45251.0</v>
      </c>
      <c r="AE7792" s="6">
        <v>0.5833333333333334</v>
      </c>
      <c r="AF7792" s="7">
        <v>26870.22</v>
      </c>
    </row>
    <row r="7793">
      <c r="G7793" s="5"/>
      <c r="H7793" s="6"/>
      <c r="AD7793" s="5">
        <v>45251.0</v>
      </c>
      <c r="AE7793" s="6">
        <v>0.625</v>
      </c>
      <c r="AF7793" s="7">
        <v>20694.96</v>
      </c>
    </row>
    <row r="7794">
      <c r="G7794" s="5"/>
      <c r="H7794" s="6"/>
      <c r="AD7794" s="5">
        <v>45251.0</v>
      </c>
      <c r="AE7794" s="6">
        <v>0.6666666666666666</v>
      </c>
      <c r="AF7794" s="7">
        <v>2684.76</v>
      </c>
    </row>
    <row r="7795">
      <c r="G7795" s="5"/>
      <c r="H7795" s="6"/>
      <c r="AD7795" s="5">
        <v>45251.0</v>
      </c>
      <c r="AE7795" s="6">
        <v>0.7083333333333334</v>
      </c>
      <c r="AF7795" s="7">
        <v>0.0</v>
      </c>
    </row>
    <row r="7796">
      <c r="G7796" s="5"/>
      <c r="H7796" s="6"/>
      <c r="AD7796" s="5">
        <v>45251.0</v>
      </c>
      <c r="AE7796" s="6">
        <v>0.75</v>
      </c>
      <c r="AF7796" s="7">
        <v>0.0</v>
      </c>
    </row>
    <row r="7797">
      <c r="G7797" s="5"/>
      <c r="H7797" s="6"/>
      <c r="AD7797" s="5">
        <v>45251.0</v>
      </c>
      <c r="AE7797" s="6">
        <v>0.7916666666666666</v>
      </c>
      <c r="AF7797" s="7">
        <v>0.0</v>
      </c>
    </row>
    <row r="7798">
      <c r="G7798" s="5"/>
      <c r="H7798" s="6"/>
      <c r="AD7798" s="5">
        <v>45251.0</v>
      </c>
      <c r="AE7798" s="6">
        <v>0.8333333333333334</v>
      </c>
      <c r="AF7798" s="7">
        <v>0.0</v>
      </c>
    </row>
    <row r="7799">
      <c r="G7799" s="5"/>
      <c r="H7799" s="6"/>
      <c r="AD7799" s="5">
        <v>45251.0</v>
      </c>
      <c r="AE7799" s="6">
        <v>0.875</v>
      </c>
      <c r="AF7799" s="7">
        <v>0.0</v>
      </c>
    </row>
    <row r="7800">
      <c r="G7800" s="5"/>
      <c r="H7800" s="6"/>
      <c r="AD7800" s="5">
        <v>45251.0</v>
      </c>
      <c r="AE7800" s="6">
        <v>0.9166666666666666</v>
      </c>
      <c r="AF7800" s="7">
        <v>0.0</v>
      </c>
    </row>
    <row r="7801">
      <c r="G7801" s="5"/>
      <c r="H7801" s="6"/>
      <c r="AD7801" s="5">
        <v>45251.0</v>
      </c>
      <c r="AE7801" s="6">
        <v>0.9583333333333334</v>
      </c>
      <c r="AF7801" s="7">
        <v>0.0</v>
      </c>
    </row>
    <row r="7802">
      <c r="G7802" s="5"/>
      <c r="H7802" s="6"/>
      <c r="AD7802" s="5">
        <v>45252.0</v>
      </c>
      <c r="AE7802" s="6">
        <v>0.0</v>
      </c>
      <c r="AF7802" s="7">
        <v>0.0</v>
      </c>
    </row>
    <row r="7803">
      <c r="G7803" s="5"/>
      <c r="H7803" s="6"/>
      <c r="AD7803" s="5">
        <v>45252.0</v>
      </c>
      <c r="AE7803" s="6">
        <v>0.041666666666666664</v>
      </c>
      <c r="AF7803" s="7">
        <v>0.0</v>
      </c>
    </row>
    <row r="7804">
      <c r="G7804" s="5"/>
      <c r="H7804" s="6"/>
      <c r="AD7804" s="5">
        <v>45252.0</v>
      </c>
      <c r="AE7804" s="6">
        <v>0.08333333333333333</v>
      </c>
      <c r="AF7804" s="7">
        <v>0.0</v>
      </c>
    </row>
    <row r="7805">
      <c r="G7805" s="5"/>
      <c r="H7805" s="6"/>
      <c r="AD7805" s="5">
        <v>45252.0</v>
      </c>
      <c r="AE7805" s="6">
        <v>0.125</v>
      </c>
      <c r="AF7805" s="7">
        <v>0.0</v>
      </c>
    </row>
    <row r="7806">
      <c r="G7806" s="5"/>
      <c r="H7806" s="6"/>
      <c r="AD7806" s="5">
        <v>45252.0</v>
      </c>
      <c r="AE7806" s="6">
        <v>0.16666666666666666</v>
      </c>
      <c r="AF7806" s="7">
        <v>0.0</v>
      </c>
    </row>
    <row r="7807">
      <c r="G7807" s="5"/>
      <c r="H7807" s="6"/>
      <c r="AD7807" s="5">
        <v>45252.0</v>
      </c>
      <c r="AE7807" s="6">
        <v>0.20833333333333334</v>
      </c>
      <c r="AF7807" s="7">
        <v>0.0</v>
      </c>
    </row>
    <row r="7808">
      <c r="G7808" s="5"/>
      <c r="H7808" s="6"/>
      <c r="AD7808" s="5">
        <v>45252.0</v>
      </c>
      <c r="AE7808" s="6">
        <v>0.25</v>
      </c>
      <c r="AF7808" s="7">
        <v>0.0</v>
      </c>
    </row>
    <row r="7809">
      <c r="G7809" s="5"/>
      <c r="H7809" s="6"/>
      <c r="AD7809" s="5">
        <v>45252.0</v>
      </c>
      <c r="AE7809" s="6">
        <v>0.2916666666666667</v>
      </c>
      <c r="AF7809" s="7">
        <v>0.0</v>
      </c>
    </row>
    <row r="7810">
      <c r="G7810" s="5"/>
      <c r="H7810" s="6"/>
      <c r="AD7810" s="5">
        <v>45252.0</v>
      </c>
      <c r="AE7810" s="6">
        <v>0.3333333333333333</v>
      </c>
      <c r="AF7810" s="7">
        <v>14003.34</v>
      </c>
    </row>
    <row r="7811">
      <c r="G7811" s="5"/>
      <c r="H7811" s="6"/>
      <c r="AD7811" s="5">
        <v>45252.0</v>
      </c>
      <c r="AE7811" s="6">
        <v>0.375</v>
      </c>
      <c r="AF7811" s="7">
        <v>28084.68</v>
      </c>
    </row>
    <row r="7812">
      <c r="G7812" s="5"/>
      <c r="H7812" s="6"/>
      <c r="AD7812" s="5">
        <v>45252.0</v>
      </c>
      <c r="AE7812" s="6">
        <v>0.4166666666666667</v>
      </c>
      <c r="AF7812" s="7">
        <v>38374.44</v>
      </c>
    </row>
    <row r="7813">
      <c r="G7813" s="5"/>
      <c r="H7813" s="6"/>
      <c r="AD7813" s="5">
        <v>45252.0</v>
      </c>
      <c r="AE7813" s="6">
        <v>0.4583333333333333</v>
      </c>
      <c r="AF7813" s="7">
        <v>43768.92</v>
      </c>
    </row>
    <row r="7814">
      <c r="G7814" s="5"/>
      <c r="H7814" s="6"/>
      <c r="AD7814" s="5">
        <v>45252.0</v>
      </c>
      <c r="AE7814" s="6">
        <v>0.5</v>
      </c>
      <c r="AF7814" s="7">
        <v>43407.78</v>
      </c>
    </row>
    <row r="7815">
      <c r="G7815" s="5"/>
      <c r="H7815" s="6"/>
      <c r="AD7815" s="5">
        <v>45252.0</v>
      </c>
      <c r="AE7815" s="6">
        <v>0.5416666666666666</v>
      </c>
      <c r="AF7815" s="7">
        <v>39255.06</v>
      </c>
    </row>
    <row r="7816">
      <c r="G7816" s="5"/>
      <c r="H7816" s="6"/>
      <c r="AD7816" s="5">
        <v>45252.0</v>
      </c>
      <c r="AE7816" s="6">
        <v>0.5833333333333334</v>
      </c>
      <c r="AF7816" s="7">
        <v>31602.48</v>
      </c>
    </row>
    <row r="7817">
      <c r="G7817" s="5"/>
      <c r="H7817" s="6"/>
      <c r="AD7817" s="5">
        <v>45252.0</v>
      </c>
      <c r="AE7817" s="6">
        <v>0.625</v>
      </c>
      <c r="AF7817" s="7">
        <v>18074.94</v>
      </c>
    </row>
    <row r="7818">
      <c r="G7818" s="5"/>
      <c r="H7818" s="6"/>
      <c r="AD7818" s="5">
        <v>45252.0</v>
      </c>
      <c r="AE7818" s="6">
        <v>0.6666666666666666</v>
      </c>
      <c r="AF7818" s="7">
        <v>2006.94</v>
      </c>
    </row>
    <row r="7819">
      <c r="G7819" s="5"/>
      <c r="H7819" s="6"/>
      <c r="AD7819" s="5">
        <v>45252.0</v>
      </c>
      <c r="AE7819" s="6">
        <v>0.7083333333333334</v>
      </c>
      <c r="AF7819" s="7">
        <v>0.0</v>
      </c>
    </row>
    <row r="7820">
      <c r="G7820" s="5"/>
      <c r="H7820" s="6"/>
      <c r="AD7820" s="5">
        <v>45252.0</v>
      </c>
      <c r="AE7820" s="6">
        <v>0.75</v>
      </c>
      <c r="AF7820" s="7">
        <v>0.0</v>
      </c>
    </row>
    <row r="7821">
      <c r="G7821" s="5"/>
      <c r="H7821" s="6"/>
      <c r="AD7821" s="5">
        <v>45252.0</v>
      </c>
      <c r="AE7821" s="6">
        <v>0.7916666666666666</v>
      </c>
      <c r="AF7821" s="7">
        <v>0.0</v>
      </c>
    </row>
    <row r="7822">
      <c r="G7822" s="5"/>
      <c r="H7822" s="6"/>
      <c r="AD7822" s="5">
        <v>45252.0</v>
      </c>
      <c r="AE7822" s="6">
        <v>0.8333333333333334</v>
      </c>
      <c r="AF7822" s="7">
        <v>0.0</v>
      </c>
    </row>
    <row r="7823">
      <c r="G7823" s="5"/>
      <c r="H7823" s="6"/>
      <c r="AD7823" s="5">
        <v>45252.0</v>
      </c>
      <c r="AE7823" s="6">
        <v>0.875</v>
      </c>
      <c r="AF7823" s="7">
        <v>0.0</v>
      </c>
    </row>
    <row r="7824">
      <c r="G7824" s="5"/>
      <c r="H7824" s="6"/>
      <c r="AD7824" s="5">
        <v>45252.0</v>
      </c>
      <c r="AE7824" s="6">
        <v>0.9166666666666666</v>
      </c>
      <c r="AF7824" s="7">
        <v>0.0</v>
      </c>
    </row>
    <row r="7825">
      <c r="G7825" s="5"/>
      <c r="H7825" s="6"/>
      <c r="AD7825" s="5">
        <v>45252.0</v>
      </c>
      <c r="AE7825" s="6">
        <v>0.9583333333333334</v>
      </c>
      <c r="AF7825" s="7">
        <v>0.0</v>
      </c>
    </row>
    <row r="7826">
      <c r="G7826" s="5"/>
      <c r="H7826" s="6"/>
      <c r="AD7826" s="5">
        <v>45253.0</v>
      </c>
      <c r="AE7826" s="6">
        <v>0.0</v>
      </c>
      <c r="AF7826" s="7">
        <v>0.0</v>
      </c>
    </row>
    <row r="7827">
      <c r="G7827" s="5"/>
      <c r="H7827" s="6"/>
      <c r="AD7827" s="5">
        <v>45253.0</v>
      </c>
      <c r="AE7827" s="6">
        <v>0.041666666666666664</v>
      </c>
      <c r="AF7827" s="7">
        <v>0.0</v>
      </c>
    </row>
    <row r="7828">
      <c r="G7828" s="5"/>
      <c r="H7828" s="6"/>
      <c r="AD7828" s="5">
        <v>45253.0</v>
      </c>
      <c r="AE7828" s="6">
        <v>0.08333333333333333</v>
      </c>
      <c r="AF7828" s="7">
        <v>0.0</v>
      </c>
    </row>
    <row r="7829">
      <c r="G7829" s="5"/>
      <c r="H7829" s="6"/>
      <c r="AD7829" s="5">
        <v>45253.0</v>
      </c>
      <c r="AE7829" s="6">
        <v>0.125</v>
      </c>
      <c r="AF7829" s="7">
        <v>0.0</v>
      </c>
    </row>
    <row r="7830">
      <c r="G7830" s="5"/>
      <c r="H7830" s="6"/>
      <c r="AD7830" s="5">
        <v>45253.0</v>
      </c>
      <c r="AE7830" s="6">
        <v>0.16666666666666666</v>
      </c>
      <c r="AF7830" s="7">
        <v>0.0</v>
      </c>
    </row>
    <row r="7831">
      <c r="G7831" s="5"/>
      <c r="H7831" s="6"/>
      <c r="AD7831" s="5">
        <v>45253.0</v>
      </c>
      <c r="AE7831" s="6">
        <v>0.20833333333333334</v>
      </c>
      <c r="AF7831" s="7">
        <v>0.0</v>
      </c>
    </row>
    <row r="7832">
      <c r="G7832" s="5"/>
      <c r="H7832" s="6"/>
      <c r="AD7832" s="5">
        <v>45253.0</v>
      </c>
      <c r="AE7832" s="6">
        <v>0.25</v>
      </c>
      <c r="AF7832" s="7">
        <v>0.0</v>
      </c>
    </row>
    <row r="7833">
      <c r="G7833" s="5"/>
      <c r="H7833" s="6"/>
      <c r="AD7833" s="5">
        <v>45253.0</v>
      </c>
      <c r="AE7833" s="6">
        <v>0.2916666666666667</v>
      </c>
      <c r="AF7833" s="7">
        <v>0.0</v>
      </c>
    </row>
    <row r="7834">
      <c r="G7834" s="5"/>
      <c r="H7834" s="6"/>
      <c r="AD7834" s="5">
        <v>45253.0</v>
      </c>
      <c r="AE7834" s="6">
        <v>0.3333333333333333</v>
      </c>
      <c r="AF7834" s="7">
        <v>13784.16</v>
      </c>
    </row>
    <row r="7835">
      <c r="G7835" s="5"/>
      <c r="H7835" s="6"/>
      <c r="AD7835" s="5">
        <v>45253.0</v>
      </c>
      <c r="AE7835" s="6">
        <v>0.375</v>
      </c>
      <c r="AF7835" s="7">
        <v>27801.54</v>
      </c>
    </row>
    <row r="7836">
      <c r="G7836" s="5"/>
      <c r="H7836" s="6"/>
      <c r="AD7836" s="5">
        <v>45253.0</v>
      </c>
      <c r="AE7836" s="6">
        <v>0.4166666666666667</v>
      </c>
      <c r="AF7836" s="7">
        <v>37881.48</v>
      </c>
    </row>
    <row r="7837">
      <c r="G7837" s="5"/>
      <c r="H7837" s="6"/>
      <c r="AD7837" s="5">
        <v>45253.0</v>
      </c>
      <c r="AE7837" s="6">
        <v>0.4583333333333333</v>
      </c>
      <c r="AF7837" s="7">
        <v>43333.68</v>
      </c>
    </row>
    <row r="7838">
      <c r="G7838" s="5"/>
      <c r="H7838" s="6"/>
      <c r="AD7838" s="5">
        <v>45253.0</v>
      </c>
      <c r="AE7838" s="6">
        <v>0.5</v>
      </c>
      <c r="AF7838" s="7">
        <v>43155.84</v>
      </c>
    </row>
    <row r="7839">
      <c r="G7839" s="5"/>
      <c r="H7839" s="6"/>
      <c r="AD7839" s="5">
        <v>45253.0</v>
      </c>
      <c r="AE7839" s="6">
        <v>0.5416666666666666</v>
      </c>
      <c r="AF7839" s="7">
        <v>39816.66</v>
      </c>
    </row>
    <row r="7840">
      <c r="G7840" s="5"/>
      <c r="H7840" s="6"/>
      <c r="AD7840" s="5">
        <v>45253.0</v>
      </c>
      <c r="AE7840" s="6">
        <v>0.5833333333333334</v>
      </c>
      <c r="AF7840" s="7">
        <v>31321.68</v>
      </c>
    </row>
    <row r="7841">
      <c r="G7841" s="5"/>
      <c r="H7841" s="6"/>
      <c r="AD7841" s="5">
        <v>45253.0</v>
      </c>
      <c r="AE7841" s="6">
        <v>0.625</v>
      </c>
      <c r="AF7841" s="7">
        <v>17698.98</v>
      </c>
    </row>
    <row r="7842">
      <c r="G7842" s="5"/>
      <c r="H7842" s="6"/>
      <c r="AD7842" s="5">
        <v>45253.0</v>
      </c>
      <c r="AE7842" s="6">
        <v>0.6666666666666666</v>
      </c>
      <c r="AF7842" s="7">
        <v>2401.62</v>
      </c>
    </row>
    <row r="7843">
      <c r="G7843" s="5"/>
      <c r="H7843" s="6"/>
      <c r="AD7843" s="5">
        <v>45253.0</v>
      </c>
      <c r="AE7843" s="6">
        <v>0.7083333333333334</v>
      </c>
      <c r="AF7843" s="7">
        <v>0.0</v>
      </c>
    </row>
    <row r="7844">
      <c r="G7844" s="5"/>
      <c r="H7844" s="6"/>
      <c r="AD7844" s="5">
        <v>45253.0</v>
      </c>
      <c r="AE7844" s="6">
        <v>0.75</v>
      </c>
      <c r="AF7844" s="7">
        <v>0.0</v>
      </c>
    </row>
    <row r="7845">
      <c r="G7845" s="5"/>
      <c r="H7845" s="6"/>
      <c r="AD7845" s="5">
        <v>45253.0</v>
      </c>
      <c r="AE7845" s="6">
        <v>0.7916666666666666</v>
      </c>
      <c r="AF7845" s="7">
        <v>0.0</v>
      </c>
    </row>
    <row r="7846">
      <c r="G7846" s="5"/>
      <c r="H7846" s="6"/>
      <c r="AD7846" s="5">
        <v>45253.0</v>
      </c>
      <c r="AE7846" s="6">
        <v>0.8333333333333334</v>
      </c>
      <c r="AF7846" s="7">
        <v>0.0</v>
      </c>
    </row>
    <row r="7847">
      <c r="G7847" s="5"/>
      <c r="H7847" s="6"/>
      <c r="AD7847" s="5">
        <v>45253.0</v>
      </c>
      <c r="AE7847" s="6">
        <v>0.875</v>
      </c>
      <c r="AF7847" s="7">
        <v>0.0</v>
      </c>
    </row>
    <row r="7848">
      <c r="G7848" s="5"/>
      <c r="H7848" s="6"/>
      <c r="AD7848" s="5">
        <v>45253.0</v>
      </c>
      <c r="AE7848" s="6">
        <v>0.9166666666666666</v>
      </c>
      <c r="AF7848" s="7">
        <v>0.0</v>
      </c>
    </row>
    <row r="7849">
      <c r="G7849" s="5"/>
      <c r="H7849" s="6"/>
      <c r="AD7849" s="5">
        <v>45253.0</v>
      </c>
      <c r="AE7849" s="6">
        <v>0.9583333333333334</v>
      </c>
      <c r="AF7849" s="7">
        <v>0.0</v>
      </c>
    </row>
    <row r="7850">
      <c r="G7850" s="5"/>
      <c r="H7850" s="6"/>
      <c r="AD7850" s="5">
        <v>45254.0</v>
      </c>
      <c r="AE7850" s="6">
        <v>0.0</v>
      </c>
      <c r="AF7850" s="7">
        <v>0.0</v>
      </c>
    </row>
    <row r="7851">
      <c r="G7851" s="5"/>
      <c r="H7851" s="6"/>
      <c r="AD7851" s="5">
        <v>45254.0</v>
      </c>
      <c r="AE7851" s="6">
        <v>0.041666666666666664</v>
      </c>
      <c r="AF7851" s="7">
        <v>0.0</v>
      </c>
    </row>
    <row r="7852">
      <c r="G7852" s="5"/>
      <c r="H7852" s="6"/>
      <c r="AD7852" s="5">
        <v>45254.0</v>
      </c>
      <c r="AE7852" s="6">
        <v>0.08333333333333333</v>
      </c>
      <c r="AF7852" s="7">
        <v>0.0</v>
      </c>
    </row>
    <row r="7853">
      <c r="G7853" s="5"/>
      <c r="H7853" s="6"/>
      <c r="AD7853" s="5">
        <v>45254.0</v>
      </c>
      <c r="AE7853" s="6">
        <v>0.125</v>
      </c>
      <c r="AF7853" s="7">
        <v>0.0</v>
      </c>
    </row>
    <row r="7854">
      <c r="G7854" s="5"/>
      <c r="H7854" s="6"/>
      <c r="AD7854" s="5">
        <v>45254.0</v>
      </c>
      <c r="AE7854" s="6">
        <v>0.16666666666666666</v>
      </c>
      <c r="AF7854" s="7">
        <v>0.0</v>
      </c>
    </row>
    <row r="7855">
      <c r="G7855" s="5"/>
      <c r="H7855" s="6"/>
      <c r="AD7855" s="5">
        <v>45254.0</v>
      </c>
      <c r="AE7855" s="6">
        <v>0.20833333333333334</v>
      </c>
      <c r="AF7855" s="7">
        <v>0.0</v>
      </c>
    </row>
    <row r="7856">
      <c r="G7856" s="5"/>
      <c r="H7856" s="6"/>
      <c r="AD7856" s="5">
        <v>45254.0</v>
      </c>
      <c r="AE7856" s="6">
        <v>0.25</v>
      </c>
      <c r="AF7856" s="7">
        <v>0.0</v>
      </c>
    </row>
    <row r="7857">
      <c r="G7857" s="5"/>
      <c r="H7857" s="6"/>
      <c r="AD7857" s="5">
        <v>45254.0</v>
      </c>
      <c r="AE7857" s="6">
        <v>0.2916666666666667</v>
      </c>
      <c r="AF7857" s="7">
        <v>0.0</v>
      </c>
    </row>
    <row r="7858">
      <c r="G7858" s="5"/>
      <c r="H7858" s="6"/>
      <c r="AD7858" s="5">
        <v>45254.0</v>
      </c>
      <c r="AE7858" s="6">
        <v>0.3333333333333333</v>
      </c>
      <c r="AF7858" s="7">
        <v>11479.26</v>
      </c>
    </row>
    <row r="7859">
      <c r="G7859" s="5"/>
      <c r="H7859" s="6"/>
      <c r="AD7859" s="5">
        <v>45254.0</v>
      </c>
      <c r="AE7859" s="6">
        <v>0.375</v>
      </c>
      <c r="AF7859" s="7">
        <v>25486.5</v>
      </c>
    </row>
    <row r="7860">
      <c r="G7860" s="5"/>
      <c r="H7860" s="6"/>
      <c r="AD7860" s="5">
        <v>45254.0</v>
      </c>
      <c r="AE7860" s="6">
        <v>0.4166666666666667</v>
      </c>
      <c r="AF7860" s="7">
        <v>37106.94</v>
      </c>
    </row>
    <row r="7861">
      <c r="G7861" s="5"/>
      <c r="H7861" s="6"/>
      <c r="AD7861" s="5">
        <v>45254.0</v>
      </c>
      <c r="AE7861" s="6">
        <v>0.4583333333333333</v>
      </c>
      <c r="AF7861" s="7">
        <v>42226.86</v>
      </c>
    </row>
    <row r="7862">
      <c r="G7862" s="5"/>
      <c r="H7862" s="6"/>
      <c r="AD7862" s="5">
        <v>45254.0</v>
      </c>
      <c r="AE7862" s="6">
        <v>0.5</v>
      </c>
      <c r="AF7862" s="7">
        <v>41751.06</v>
      </c>
    </row>
    <row r="7863">
      <c r="G7863" s="5"/>
      <c r="H7863" s="6"/>
      <c r="AD7863" s="5">
        <v>45254.0</v>
      </c>
      <c r="AE7863" s="6">
        <v>0.5416666666666666</v>
      </c>
      <c r="AF7863" s="7">
        <v>38421.24</v>
      </c>
    </row>
    <row r="7864">
      <c r="G7864" s="5"/>
      <c r="H7864" s="6"/>
      <c r="AD7864" s="5">
        <v>45254.0</v>
      </c>
      <c r="AE7864" s="6">
        <v>0.5833333333333334</v>
      </c>
      <c r="AF7864" s="7">
        <v>30716.4</v>
      </c>
    </row>
    <row r="7865">
      <c r="G7865" s="5"/>
      <c r="H7865" s="6"/>
      <c r="AD7865" s="5">
        <v>45254.0</v>
      </c>
      <c r="AE7865" s="6">
        <v>0.625</v>
      </c>
      <c r="AF7865" s="7">
        <v>15324.66</v>
      </c>
    </row>
    <row r="7866">
      <c r="G7866" s="5"/>
      <c r="H7866" s="6"/>
      <c r="AD7866" s="5">
        <v>45254.0</v>
      </c>
      <c r="AE7866" s="6">
        <v>0.6666666666666666</v>
      </c>
      <c r="AF7866" s="7">
        <v>2141.88</v>
      </c>
    </row>
    <row r="7867">
      <c r="G7867" s="5"/>
      <c r="H7867" s="6"/>
      <c r="AD7867" s="5">
        <v>45254.0</v>
      </c>
      <c r="AE7867" s="6">
        <v>0.7083333333333334</v>
      </c>
      <c r="AF7867" s="7">
        <v>0.0</v>
      </c>
    </row>
    <row r="7868">
      <c r="G7868" s="5"/>
      <c r="H7868" s="6"/>
      <c r="AD7868" s="5">
        <v>45254.0</v>
      </c>
      <c r="AE7868" s="6">
        <v>0.75</v>
      </c>
      <c r="AF7868" s="7">
        <v>0.0</v>
      </c>
    </row>
    <row r="7869">
      <c r="G7869" s="5"/>
      <c r="H7869" s="6"/>
      <c r="AD7869" s="5">
        <v>45254.0</v>
      </c>
      <c r="AE7869" s="6">
        <v>0.7916666666666666</v>
      </c>
      <c r="AF7869" s="7">
        <v>0.0</v>
      </c>
    </row>
    <row r="7870">
      <c r="G7870" s="5"/>
      <c r="H7870" s="6"/>
      <c r="AD7870" s="5">
        <v>45254.0</v>
      </c>
      <c r="AE7870" s="6">
        <v>0.8333333333333334</v>
      </c>
      <c r="AF7870" s="7">
        <v>0.0</v>
      </c>
    </row>
    <row r="7871">
      <c r="G7871" s="5"/>
      <c r="H7871" s="6"/>
      <c r="AD7871" s="5">
        <v>45254.0</v>
      </c>
      <c r="AE7871" s="6">
        <v>0.875</v>
      </c>
      <c r="AF7871" s="7">
        <v>0.0</v>
      </c>
    </row>
    <row r="7872">
      <c r="G7872" s="5"/>
      <c r="H7872" s="6"/>
      <c r="AD7872" s="5">
        <v>45254.0</v>
      </c>
      <c r="AE7872" s="6">
        <v>0.9166666666666666</v>
      </c>
      <c r="AF7872" s="7">
        <v>0.0</v>
      </c>
    </row>
    <row r="7873">
      <c r="G7873" s="5"/>
      <c r="H7873" s="6"/>
      <c r="AD7873" s="5">
        <v>45254.0</v>
      </c>
      <c r="AE7873" s="6">
        <v>0.9583333333333334</v>
      </c>
      <c r="AF7873" s="7">
        <v>0.0</v>
      </c>
    </row>
    <row r="7874">
      <c r="G7874" s="5"/>
      <c r="H7874" s="6"/>
      <c r="AD7874" s="5">
        <v>45255.0</v>
      </c>
      <c r="AE7874" s="6">
        <v>0.0</v>
      </c>
      <c r="AF7874" s="7">
        <v>0.0</v>
      </c>
    </row>
    <row r="7875">
      <c r="G7875" s="5"/>
      <c r="H7875" s="6"/>
      <c r="AD7875" s="5">
        <v>45255.0</v>
      </c>
      <c r="AE7875" s="6">
        <v>0.041666666666666664</v>
      </c>
      <c r="AF7875" s="7">
        <v>0.0</v>
      </c>
    </row>
    <row r="7876">
      <c r="G7876" s="5"/>
      <c r="H7876" s="6"/>
      <c r="AD7876" s="5">
        <v>45255.0</v>
      </c>
      <c r="AE7876" s="6">
        <v>0.08333333333333333</v>
      </c>
      <c r="AF7876" s="7">
        <v>0.0</v>
      </c>
    </row>
    <row r="7877">
      <c r="G7877" s="5"/>
      <c r="H7877" s="6"/>
      <c r="AD7877" s="5">
        <v>45255.0</v>
      </c>
      <c r="AE7877" s="6">
        <v>0.125</v>
      </c>
      <c r="AF7877" s="7">
        <v>0.0</v>
      </c>
    </row>
    <row r="7878">
      <c r="G7878" s="5"/>
      <c r="H7878" s="6"/>
      <c r="AD7878" s="5">
        <v>45255.0</v>
      </c>
      <c r="AE7878" s="6">
        <v>0.16666666666666666</v>
      </c>
      <c r="AF7878" s="7">
        <v>0.0</v>
      </c>
    </row>
    <row r="7879">
      <c r="G7879" s="5"/>
      <c r="H7879" s="6"/>
      <c r="AD7879" s="5">
        <v>45255.0</v>
      </c>
      <c r="AE7879" s="6">
        <v>0.20833333333333334</v>
      </c>
      <c r="AF7879" s="7">
        <v>0.0</v>
      </c>
    </row>
    <row r="7880">
      <c r="G7880" s="5"/>
      <c r="H7880" s="6"/>
      <c r="AD7880" s="5">
        <v>45255.0</v>
      </c>
      <c r="AE7880" s="6">
        <v>0.25</v>
      </c>
      <c r="AF7880" s="7">
        <v>0.0</v>
      </c>
    </row>
    <row r="7881">
      <c r="G7881" s="5"/>
      <c r="H7881" s="6"/>
      <c r="AD7881" s="5">
        <v>45255.0</v>
      </c>
      <c r="AE7881" s="6">
        <v>0.2916666666666667</v>
      </c>
      <c r="AF7881" s="7">
        <v>0.0</v>
      </c>
    </row>
    <row r="7882">
      <c r="G7882" s="5"/>
      <c r="H7882" s="6"/>
      <c r="AD7882" s="5">
        <v>45255.0</v>
      </c>
      <c r="AE7882" s="6">
        <v>0.3333333333333333</v>
      </c>
      <c r="AF7882" s="7">
        <v>12653.16</v>
      </c>
    </row>
    <row r="7883">
      <c r="G7883" s="5"/>
      <c r="H7883" s="6"/>
      <c r="AD7883" s="5">
        <v>45255.0</v>
      </c>
      <c r="AE7883" s="6">
        <v>0.375</v>
      </c>
      <c r="AF7883" s="7">
        <v>25718.16</v>
      </c>
    </row>
    <row r="7884">
      <c r="G7884" s="5"/>
      <c r="H7884" s="6"/>
      <c r="AD7884" s="5">
        <v>45255.0</v>
      </c>
      <c r="AE7884" s="6">
        <v>0.4166666666666667</v>
      </c>
      <c r="AF7884" s="7">
        <v>38202.84</v>
      </c>
    </row>
    <row r="7885">
      <c r="G7885" s="5"/>
      <c r="H7885" s="6"/>
      <c r="AD7885" s="5">
        <v>45255.0</v>
      </c>
      <c r="AE7885" s="6">
        <v>0.4583333333333333</v>
      </c>
      <c r="AF7885" s="7">
        <v>28260.18</v>
      </c>
    </row>
    <row r="7886">
      <c r="G7886" s="5"/>
      <c r="H7886" s="6"/>
      <c r="AD7886" s="5">
        <v>45255.0</v>
      </c>
      <c r="AE7886" s="6">
        <v>0.5</v>
      </c>
      <c r="AF7886" s="7">
        <v>46722.0</v>
      </c>
    </row>
    <row r="7887">
      <c r="G7887" s="5"/>
      <c r="H7887" s="6"/>
      <c r="AD7887" s="5">
        <v>45255.0</v>
      </c>
      <c r="AE7887" s="6">
        <v>0.5416666666666666</v>
      </c>
      <c r="AF7887" s="7">
        <v>24114.48</v>
      </c>
    </row>
    <row r="7888">
      <c r="G7888" s="5"/>
      <c r="H7888" s="6"/>
      <c r="AD7888" s="5">
        <v>45255.0</v>
      </c>
      <c r="AE7888" s="6">
        <v>0.5833333333333334</v>
      </c>
      <c r="AF7888" s="7">
        <v>14376.96</v>
      </c>
    </row>
    <row r="7889">
      <c r="G7889" s="5"/>
      <c r="H7889" s="6"/>
      <c r="AD7889" s="5">
        <v>45255.0</v>
      </c>
      <c r="AE7889" s="6">
        <v>0.625</v>
      </c>
      <c r="AF7889" s="7">
        <v>6158.1</v>
      </c>
    </row>
    <row r="7890">
      <c r="G7890" s="5"/>
      <c r="H7890" s="6"/>
      <c r="AD7890" s="5">
        <v>45255.0</v>
      </c>
      <c r="AE7890" s="6">
        <v>0.6666666666666666</v>
      </c>
      <c r="AF7890" s="7">
        <v>2671.5</v>
      </c>
    </row>
    <row r="7891">
      <c r="G7891" s="5"/>
      <c r="H7891" s="6"/>
      <c r="AD7891" s="5">
        <v>45255.0</v>
      </c>
      <c r="AE7891" s="6">
        <v>0.7083333333333334</v>
      </c>
      <c r="AF7891" s="7">
        <v>0.0</v>
      </c>
    </row>
    <row r="7892">
      <c r="G7892" s="5"/>
      <c r="H7892" s="6"/>
      <c r="AD7892" s="5">
        <v>45255.0</v>
      </c>
      <c r="AE7892" s="6">
        <v>0.75</v>
      </c>
      <c r="AF7892" s="7">
        <v>0.0</v>
      </c>
    </row>
    <row r="7893">
      <c r="G7893" s="5"/>
      <c r="H7893" s="6"/>
      <c r="AD7893" s="5">
        <v>45255.0</v>
      </c>
      <c r="AE7893" s="6">
        <v>0.7916666666666666</v>
      </c>
      <c r="AF7893" s="7">
        <v>0.0</v>
      </c>
    </row>
    <row r="7894">
      <c r="G7894" s="5"/>
      <c r="H7894" s="6"/>
      <c r="AD7894" s="5">
        <v>45255.0</v>
      </c>
      <c r="AE7894" s="6">
        <v>0.8333333333333334</v>
      </c>
      <c r="AF7894" s="7">
        <v>0.0</v>
      </c>
    </row>
    <row r="7895">
      <c r="G7895" s="5"/>
      <c r="H7895" s="6"/>
      <c r="AD7895" s="5">
        <v>45255.0</v>
      </c>
      <c r="AE7895" s="6">
        <v>0.875</v>
      </c>
      <c r="AF7895" s="7">
        <v>0.0</v>
      </c>
    </row>
    <row r="7896">
      <c r="G7896" s="5"/>
      <c r="H7896" s="6"/>
      <c r="AD7896" s="5">
        <v>45255.0</v>
      </c>
      <c r="AE7896" s="6">
        <v>0.9166666666666666</v>
      </c>
      <c r="AF7896" s="7">
        <v>0.0</v>
      </c>
    </row>
    <row r="7897">
      <c r="G7897" s="5"/>
      <c r="H7897" s="6"/>
      <c r="AD7897" s="5">
        <v>45255.0</v>
      </c>
      <c r="AE7897" s="6">
        <v>0.9583333333333334</v>
      </c>
      <c r="AF7897" s="7">
        <v>0.0</v>
      </c>
    </row>
    <row r="7898">
      <c r="G7898" s="5"/>
      <c r="H7898" s="6"/>
      <c r="AD7898" s="5">
        <v>45256.0</v>
      </c>
      <c r="AE7898" s="6">
        <v>0.0</v>
      </c>
      <c r="AF7898" s="7">
        <v>0.0</v>
      </c>
    </row>
    <row r="7899">
      <c r="G7899" s="5"/>
      <c r="H7899" s="6"/>
      <c r="AD7899" s="5">
        <v>45256.0</v>
      </c>
      <c r="AE7899" s="6">
        <v>0.041666666666666664</v>
      </c>
      <c r="AF7899" s="7">
        <v>0.0</v>
      </c>
    </row>
    <row r="7900">
      <c r="G7900" s="5"/>
      <c r="H7900" s="6"/>
      <c r="AD7900" s="5">
        <v>45256.0</v>
      </c>
      <c r="AE7900" s="6">
        <v>0.08333333333333333</v>
      </c>
      <c r="AF7900" s="7">
        <v>0.0</v>
      </c>
    </row>
    <row r="7901">
      <c r="G7901" s="5"/>
      <c r="H7901" s="6"/>
      <c r="AD7901" s="5">
        <v>45256.0</v>
      </c>
      <c r="AE7901" s="6">
        <v>0.125</v>
      </c>
      <c r="AF7901" s="7">
        <v>0.0</v>
      </c>
    </row>
    <row r="7902">
      <c r="G7902" s="5"/>
      <c r="H7902" s="6"/>
      <c r="AD7902" s="5">
        <v>45256.0</v>
      </c>
      <c r="AE7902" s="6">
        <v>0.16666666666666666</v>
      </c>
      <c r="AF7902" s="7">
        <v>0.0</v>
      </c>
    </row>
    <row r="7903">
      <c r="G7903" s="5"/>
      <c r="H7903" s="6"/>
      <c r="AD7903" s="5">
        <v>45256.0</v>
      </c>
      <c r="AE7903" s="6">
        <v>0.20833333333333334</v>
      </c>
      <c r="AF7903" s="7">
        <v>0.0</v>
      </c>
    </row>
    <row r="7904">
      <c r="G7904" s="5"/>
      <c r="H7904" s="6"/>
      <c r="AD7904" s="5">
        <v>45256.0</v>
      </c>
      <c r="AE7904" s="6">
        <v>0.25</v>
      </c>
      <c r="AF7904" s="7">
        <v>0.0</v>
      </c>
    </row>
    <row r="7905">
      <c r="G7905" s="5"/>
      <c r="H7905" s="6"/>
      <c r="AD7905" s="5">
        <v>45256.0</v>
      </c>
      <c r="AE7905" s="6">
        <v>0.2916666666666667</v>
      </c>
      <c r="AF7905" s="7">
        <v>0.0</v>
      </c>
    </row>
    <row r="7906">
      <c r="G7906" s="5"/>
      <c r="H7906" s="6"/>
      <c r="AD7906" s="5">
        <v>45256.0</v>
      </c>
      <c r="AE7906" s="6">
        <v>0.3333333333333333</v>
      </c>
      <c r="AF7906" s="7">
        <v>14126.58</v>
      </c>
    </row>
    <row r="7907">
      <c r="G7907" s="5"/>
      <c r="H7907" s="6"/>
      <c r="AD7907" s="5">
        <v>45256.0</v>
      </c>
      <c r="AE7907" s="6">
        <v>0.375</v>
      </c>
      <c r="AF7907" s="7">
        <v>26803.92</v>
      </c>
    </row>
    <row r="7908">
      <c r="G7908" s="5"/>
      <c r="H7908" s="6"/>
      <c r="AD7908" s="5">
        <v>45256.0</v>
      </c>
      <c r="AE7908" s="6">
        <v>0.4166666666666667</v>
      </c>
      <c r="AF7908" s="7">
        <v>35751.3</v>
      </c>
    </row>
    <row r="7909">
      <c r="G7909" s="5"/>
      <c r="H7909" s="6"/>
      <c r="AD7909" s="5">
        <v>45256.0</v>
      </c>
      <c r="AE7909" s="6">
        <v>0.4583333333333333</v>
      </c>
      <c r="AF7909" s="7">
        <v>40334.58</v>
      </c>
    </row>
    <row r="7910">
      <c r="G7910" s="5"/>
      <c r="H7910" s="6"/>
      <c r="AD7910" s="5">
        <v>45256.0</v>
      </c>
      <c r="AE7910" s="6">
        <v>0.5</v>
      </c>
      <c r="AF7910" s="7">
        <v>38404.86</v>
      </c>
    </row>
    <row r="7911">
      <c r="G7911" s="5"/>
      <c r="H7911" s="6"/>
      <c r="AD7911" s="5">
        <v>45256.0</v>
      </c>
      <c r="AE7911" s="6">
        <v>0.5416666666666666</v>
      </c>
      <c r="AF7911" s="7">
        <v>35565.66</v>
      </c>
    </row>
    <row r="7912">
      <c r="G7912" s="5"/>
      <c r="H7912" s="6"/>
      <c r="AD7912" s="5">
        <v>45256.0</v>
      </c>
      <c r="AE7912" s="6">
        <v>0.5833333333333334</v>
      </c>
      <c r="AF7912" s="7">
        <v>28852.2</v>
      </c>
    </row>
    <row r="7913">
      <c r="G7913" s="5"/>
      <c r="H7913" s="6"/>
      <c r="AD7913" s="5">
        <v>45256.0</v>
      </c>
      <c r="AE7913" s="6">
        <v>0.625</v>
      </c>
      <c r="AF7913" s="7">
        <v>13525.98</v>
      </c>
    </row>
    <row r="7914">
      <c r="G7914" s="5"/>
      <c r="H7914" s="6"/>
      <c r="AD7914" s="5">
        <v>45256.0</v>
      </c>
      <c r="AE7914" s="6">
        <v>0.6666666666666666</v>
      </c>
      <c r="AF7914" s="7">
        <v>3114.54</v>
      </c>
    </row>
    <row r="7915">
      <c r="G7915" s="5"/>
      <c r="H7915" s="6"/>
      <c r="AD7915" s="5">
        <v>45256.0</v>
      </c>
      <c r="AE7915" s="6">
        <v>0.7083333333333334</v>
      </c>
      <c r="AF7915" s="7">
        <v>0.0</v>
      </c>
    </row>
    <row r="7916">
      <c r="G7916" s="5"/>
      <c r="H7916" s="6"/>
      <c r="AD7916" s="5">
        <v>45256.0</v>
      </c>
      <c r="AE7916" s="6">
        <v>0.75</v>
      </c>
      <c r="AF7916" s="7">
        <v>0.0</v>
      </c>
    </row>
    <row r="7917">
      <c r="G7917" s="5"/>
      <c r="H7917" s="6"/>
      <c r="AD7917" s="5">
        <v>45256.0</v>
      </c>
      <c r="AE7917" s="6">
        <v>0.7916666666666666</v>
      </c>
      <c r="AF7917" s="7">
        <v>0.0</v>
      </c>
    </row>
    <row r="7918">
      <c r="G7918" s="5"/>
      <c r="H7918" s="6"/>
      <c r="AD7918" s="5">
        <v>45256.0</v>
      </c>
      <c r="AE7918" s="6">
        <v>0.8333333333333334</v>
      </c>
      <c r="AF7918" s="7">
        <v>0.0</v>
      </c>
    </row>
    <row r="7919">
      <c r="G7919" s="5"/>
      <c r="H7919" s="6"/>
      <c r="AD7919" s="5">
        <v>45256.0</v>
      </c>
      <c r="AE7919" s="6">
        <v>0.875</v>
      </c>
      <c r="AF7919" s="7">
        <v>0.0</v>
      </c>
    </row>
    <row r="7920">
      <c r="G7920" s="5"/>
      <c r="H7920" s="6"/>
      <c r="AD7920" s="5">
        <v>45256.0</v>
      </c>
      <c r="AE7920" s="6">
        <v>0.9166666666666666</v>
      </c>
      <c r="AF7920" s="7">
        <v>0.0</v>
      </c>
    </row>
    <row r="7921">
      <c r="G7921" s="5"/>
      <c r="H7921" s="6"/>
      <c r="AD7921" s="5">
        <v>45256.0</v>
      </c>
      <c r="AE7921" s="6">
        <v>0.9583333333333334</v>
      </c>
      <c r="AF7921" s="7">
        <v>0.0</v>
      </c>
    </row>
    <row r="7922">
      <c r="G7922" s="5"/>
      <c r="H7922" s="6"/>
      <c r="AD7922" s="5">
        <v>45257.0</v>
      </c>
      <c r="AE7922" s="6">
        <v>0.0</v>
      </c>
      <c r="AF7922" s="7">
        <v>0.0</v>
      </c>
    </row>
    <row r="7923">
      <c r="G7923" s="5"/>
      <c r="H7923" s="6"/>
      <c r="AD7923" s="5">
        <v>45257.0</v>
      </c>
      <c r="AE7923" s="6">
        <v>0.041666666666666664</v>
      </c>
      <c r="AF7923" s="7">
        <v>0.0</v>
      </c>
    </row>
    <row r="7924">
      <c r="G7924" s="5"/>
      <c r="H7924" s="6"/>
      <c r="AD7924" s="5">
        <v>45257.0</v>
      </c>
      <c r="AE7924" s="6">
        <v>0.08333333333333333</v>
      </c>
      <c r="AF7924" s="7">
        <v>0.0</v>
      </c>
    </row>
    <row r="7925">
      <c r="G7925" s="5"/>
      <c r="H7925" s="6"/>
      <c r="AD7925" s="5">
        <v>45257.0</v>
      </c>
      <c r="AE7925" s="6">
        <v>0.125</v>
      </c>
      <c r="AF7925" s="7">
        <v>0.0</v>
      </c>
    </row>
    <row r="7926">
      <c r="G7926" s="5"/>
      <c r="H7926" s="6"/>
      <c r="AD7926" s="5">
        <v>45257.0</v>
      </c>
      <c r="AE7926" s="6">
        <v>0.16666666666666666</v>
      </c>
      <c r="AF7926" s="7">
        <v>0.0</v>
      </c>
    </row>
    <row r="7927">
      <c r="G7927" s="5"/>
      <c r="H7927" s="6"/>
      <c r="AD7927" s="5">
        <v>45257.0</v>
      </c>
      <c r="AE7927" s="6">
        <v>0.20833333333333334</v>
      </c>
      <c r="AF7927" s="7">
        <v>0.0</v>
      </c>
    </row>
    <row r="7928">
      <c r="G7928" s="5"/>
      <c r="H7928" s="6"/>
      <c r="AD7928" s="5">
        <v>45257.0</v>
      </c>
      <c r="AE7928" s="6">
        <v>0.25</v>
      </c>
      <c r="AF7928" s="7">
        <v>0.0</v>
      </c>
    </row>
    <row r="7929">
      <c r="G7929" s="5"/>
      <c r="H7929" s="6"/>
      <c r="AD7929" s="5">
        <v>45257.0</v>
      </c>
      <c r="AE7929" s="6">
        <v>0.2916666666666667</v>
      </c>
      <c r="AF7929" s="7">
        <v>0.0</v>
      </c>
    </row>
    <row r="7930">
      <c r="G7930" s="5"/>
      <c r="H7930" s="6"/>
      <c r="AD7930" s="5">
        <v>45257.0</v>
      </c>
      <c r="AE7930" s="6">
        <v>0.3333333333333333</v>
      </c>
      <c r="AF7930" s="7">
        <v>12509.64</v>
      </c>
    </row>
    <row r="7931">
      <c r="G7931" s="5"/>
      <c r="H7931" s="6"/>
      <c r="AD7931" s="5">
        <v>45257.0</v>
      </c>
      <c r="AE7931" s="6">
        <v>0.375</v>
      </c>
      <c r="AF7931" s="7">
        <v>23607.48</v>
      </c>
    </row>
    <row r="7932">
      <c r="G7932" s="5"/>
      <c r="H7932" s="6"/>
      <c r="AD7932" s="5">
        <v>45257.0</v>
      </c>
      <c r="AE7932" s="6">
        <v>0.4166666666666667</v>
      </c>
      <c r="AF7932" s="7">
        <v>30618.9</v>
      </c>
    </row>
    <row r="7933">
      <c r="G7933" s="5"/>
      <c r="H7933" s="6"/>
      <c r="AD7933" s="5">
        <v>45257.0</v>
      </c>
      <c r="AE7933" s="6">
        <v>0.4583333333333333</v>
      </c>
      <c r="AF7933" s="7">
        <v>18606.9</v>
      </c>
    </row>
    <row r="7934">
      <c r="G7934" s="5"/>
      <c r="H7934" s="6"/>
      <c r="AD7934" s="5">
        <v>45257.0</v>
      </c>
      <c r="AE7934" s="6">
        <v>0.5</v>
      </c>
      <c r="AF7934" s="7">
        <v>18016.44</v>
      </c>
    </row>
    <row r="7935">
      <c r="G7935" s="5"/>
      <c r="H7935" s="6"/>
      <c r="AD7935" s="5">
        <v>45257.0</v>
      </c>
      <c r="AE7935" s="6">
        <v>0.5416666666666666</v>
      </c>
      <c r="AF7935" s="7">
        <v>13611.0</v>
      </c>
    </row>
    <row r="7936">
      <c r="G7936" s="5"/>
      <c r="H7936" s="6"/>
      <c r="AD7936" s="5">
        <v>45257.0</v>
      </c>
      <c r="AE7936" s="6">
        <v>0.5833333333333334</v>
      </c>
      <c r="AF7936" s="7">
        <v>5109.78</v>
      </c>
    </row>
    <row r="7937">
      <c r="G7937" s="5"/>
      <c r="H7937" s="6"/>
      <c r="AD7937" s="5">
        <v>45257.0</v>
      </c>
      <c r="AE7937" s="6">
        <v>0.625</v>
      </c>
      <c r="AF7937" s="7">
        <v>5098.86</v>
      </c>
    </row>
    <row r="7938">
      <c r="G7938" s="5"/>
      <c r="H7938" s="6"/>
      <c r="AD7938" s="5">
        <v>45257.0</v>
      </c>
      <c r="AE7938" s="6">
        <v>0.6666666666666666</v>
      </c>
      <c r="AF7938" s="7">
        <v>301.86</v>
      </c>
    </row>
    <row r="7939">
      <c r="G7939" s="5"/>
      <c r="H7939" s="6"/>
      <c r="AD7939" s="5">
        <v>45257.0</v>
      </c>
      <c r="AE7939" s="6">
        <v>0.7083333333333334</v>
      </c>
      <c r="AF7939" s="7">
        <v>0.0</v>
      </c>
    </row>
    <row r="7940">
      <c r="G7940" s="5"/>
      <c r="H7940" s="6"/>
      <c r="AD7940" s="5">
        <v>45257.0</v>
      </c>
      <c r="AE7940" s="6">
        <v>0.75</v>
      </c>
      <c r="AF7940" s="7">
        <v>0.0</v>
      </c>
    </row>
    <row r="7941">
      <c r="G7941" s="5"/>
      <c r="H7941" s="6"/>
      <c r="AD7941" s="5">
        <v>45257.0</v>
      </c>
      <c r="AE7941" s="6">
        <v>0.7916666666666666</v>
      </c>
      <c r="AF7941" s="7">
        <v>0.0</v>
      </c>
    </row>
    <row r="7942">
      <c r="G7942" s="5"/>
      <c r="H7942" s="6"/>
      <c r="AD7942" s="5">
        <v>45257.0</v>
      </c>
      <c r="AE7942" s="6">
        <v>0.8333333333333334</v>
      </c>
      <c r="AF7942" s="7">
        <v>0.0</v>
      </c>
    </row>
    <row r="7943">
      <c r="G7943" s="5"/>
      <c r="H7943" s="6"/>
      <c r="AD7943" s="5">
        <v>45257.0</v>
      </c>
      <c r="AE7943" s="6">
        <v>0.875</v>
      </c>
      <c r="AF7943" s="7">
        <v>0.0</v>
      </c>
    </row>
    <row r="7944">
      <c r="G7944" s="5"/>
      <c r="H7944" s="6"/>
      <c r="AD7944" s="5">
        <v>45257.0</v>
      </c>
      <c r="AE7944" s="6">
        <v>0.9166666666666666</v>
      </c>
      <c r="AF7944" s="7">
        <v>0.0</v>
      </c>
    </row>
    <row r="7945">
      <c r="G7945" s="5"/>
      <c r="H7945" s="6"/>
      <c r="AD7945" s="5">
        <v>45257.0</v>
      </c>
      <c r="AE7945" s="6">
        <v>0.9583333333333334</v>
      </c>
      <c r="AF7945" s="7">
        <v>0.0</v>
      </c>
    </row>
    <row r="7946">
      <c r="G7946" s="5"/>
      <c r="H7946" s="6"/>
      <c r="AD7946" s="5">
        <v>45258.0</v>
      </c>
      <c r="AE7946" s="6">
        <v>0.0</v>
      </c>
      <c r="AF7946" s="7">
        <v>0.0</v>
      </c>
    </row>
    <row r="7947">
      <c r="G7947" s="5"/>
      <c r="H7947" s="6"/>
      <c r="AD7947" s="5">
        <v>45258.0</v>
      </c>
      <c r="AE7947" s="6">
        <v>0.041666666666666664</v>
      </c>
      <c r="AF7947" s="7">
        <v>0.0</v>
      </c>
    </row>
    <row r="7948">
      <c r="G7948" s="5"/>
      <c r="H7948" s="6"/>
      <c r="AD7948" s="5">
        <v>45258.0</v>
      </c>
      <c r="AE7948" s="6">
        <v>0.08333333333333333</v>
      </c>
      <c r="AF7948" s="7">
        <v>0.0</v>
      </c>
    </row>
    <row r="7949">
      <c r="G7949" s="5"/>
      <c r="H7949" s="6"/>
      <c r="AD7949" s="5">
        <v>45258.0</v>
      </c>
      <c r="AE7949" s="6">
        <v>0.125</v>
      </c>
      <c r="AF7949" s="7">
        <v>0.0</v>
      </c>
    </row>
    <row r="7950">
      <c r="G7950" s="5"/>
      <c r="H7950" s="6"/>
      <c r="AD7950" s="5">
        <v>45258.0</v>
      </c>
      <c r="AE7950" s="6">
        <v>0.16666666666666666</v>
      </c>
      <c r="AF7950" s="7">
        <v>0.0</v>
      </c>
    </row>
    <row r="7951">
      <c r="G7951" s="5"/>
      <c r="H7951" s="6"/>
      <c r="AD7951" s="5">
        <v>45258.0</v>
      </c>
      <c r="AE7951" s="6">
        <v>0.20833333333333334</v>
      </c>
      <c r="AF7951" s="7">
        <v>0.0</v>
      </c>
    </row>
    <row r="7952">
      <c r="G7952" s="5"/>
      <c r="H7952" s="6"/>
      <c r="AD7952" s="5">
        <v>45258.0</v>
      </c>
      <c r="AE7952" s="6">
        <v>0.25</v>
      </c>
      <c r="AF7952" s="7">
        <v>0.0</v>
      </c>
    </row>
    <row r="7953">
      <c r="G7953" s="5"/>
      <c r="H7953" s="6"/>
      <c r="AD7953" s="5">
        <v>45258.0</v>
      </c>
      <c r="AE7953" s="6">
        <v>0.2916666666666667</v>
      </c>
      <c r="AF7953" s="7">
        <v>0.0</v>
      </c>
    </row>
    <row r="7954">
      <c r="G7954" s="5"/>
      <c r="H7954" s="6"/>
      <c r="AD7954" s="5">
        <v>45258.0</v>
      </c>
      <c r="AE7954" s="6">
        <v>0.3333333333333333</v>
      </c>
      <c r="AF7954" s="7">
        <v>12972.96</v>
      </c>
    </row>
    <row r="7955">
      <c r="G7955" s="5"/>
      <c r="H7955" s="6"/>
      <c r="AD7955" s="5">
        <v>45258.0</v>
      </c>
      <c r="AE7955" s="6">
        <v>0.375</v>
      </c>
      <c r="AF7955" s="7">
        <v>22838.4</v>
      </c>
    </row>
    <row r="7956">
      <c r="G7956" s="5"/>
      <c r="H7956" s="6"/>
      <c r="AD7956" s="5">
        <v>45258.0</v>
      </c>
      <c r="AE7956" s="6">
        <v>0.4166666666666667</v>
      </c>
      <c r="AF7956" s="7">
        <v>17229.42</v>
      </c>
    </row>
    <row r="7957">
      <c r="G7957" s="5"/>
      <c r="H7957" s="6"/>
      <c r="AD7957" s="5">
        <v>45258.0</v>
      </c>
      <c r="AE7957" s="6">
        <v>0.4583333333333333</v>
      </c>
      <c r="AF7957" s="7">
        <v>38664.6</v>
      </c>
    </row>
    <row r="7958">
      <c r="G7958" s="5"/>
      <c r="H7958" s="6"/>
      <c r="AD7958" s="5">
        <v>45258.0</v>
      </c>
      <c r="AE7958" s="6">
        <v>0.5</v>
      </c>
      <c r="AF7958" s="7">
        <v>32302.92</v>
      </c>
    </row>
    <row r="7959">
      <c r="G7959" s="5"/>
      <c r="H7959" s="6"/>
      <c r="AD7959" s="5">
        <v>45258.0</v>
      </c>
      <c r="AE7959" s="6">
        <v>0.5416666666666666</v>
      </c>
      <c r="AF7959" s="7">
        <v>36197.46</v>
      </c>
    </row>
    <row r="7960">
      <c r="G7960" s="5"/>
      <c r="H7960" s="6"/>
      <c r="AD7960" s="5">
        <v>45258.0</v>
      </c>
      <c r="AE7960" s="6">
        <v>0.5833333333333334</v>
      </c>
      <c r="AF7960" s="7">
        <v>27106.56</v>
      </c>
    </row>
    <row r="7961">
      <c r="G7961" s="5"/>
      <c r="H7961" s="6"/>
      <c r="AD7961" s="5">
        <v>45258.0</v>
      </c>
      <c r="AE7961" s="6">
        <v>0.625</v>
      </c>
      <c r="AF7961" s="7">
        <v>14070.42</v>
      </c>
    </row>
    <row r="7962">
      <c r="G7962" s="5"/>
      <c r="H7962" s="6"/>
      <c r="AD7962" s="5">
        <v>45258.0</v>
      </c>
      <c r="AE7962" s="6">
        <v>0.6666666666666666</v>
      </c>
      <c r="AF7962" s="7">
        <v>2840.76</v>
      </c>
    </row>
    <row r="7963">
      <c r="G7963" s="5"/>
      <c r="H7963" s="6"/>
      <c r="AD7963" s="5">
        <v>45258.0</v>
      </c>
      <c r="AE7963" s="6">
        <v>0.7083333333333334</v>
      </c>
      <c r="AF7963" s="7">
        <v>0.0</v>
      </c>
    </row>
    <row r="7964">
      <c r="G7964" s="5"/>
      <c r="H7964" s="6"/>
      <c r="AD7964" s="5">
        <v>45258.0</v>
      </c>
      <c r="AE7964" s="6">
        <v>0.75</v>
      </c>
      <c r="AF7964" s="7">
        <v>0.0</v>
      </c>
    </row>
    <row r="7965">
      <c r="G7965" s="5"/>
      <c r="H7965" s="6"/>
      <c r="AD7965" s="5">
        <v>45258.0</v>
      </c>
      <c r="AE7965" s="6">
        <v>0.7916666666666666</v>
      </c>
      <c r="AF7965" s="7">
        <v>0.0</v>
      </c>
    </row>
    <row r="7966">
      <c r="G7966" s="5"/>
      <c r="H7966" s="6"/>
      <c r="AD7966" s="5">
        <v>45258.0</v>
      </c>
      <c r="AE7966" s="6">
        <v>0.8333333333333334</v>
      </c>
      <c r="AF7966" s="7">
        <v>0.0</v>
      </c>
    </row>
    <row r="7967">
      <c r="G7967" s="5"/>
      <c r="H7967" s="6"/>
      <c r="AD7967" s="5">
        <v>45258.0</v>
      </c>
      <c r="AE7967" s="6">
        <v>0.875</v>
      </c>
      <c r="AF7967" s="7">
        <v>0.0</v>
      </c>
    </row>
    <row r="7968">
      <c r="G7968" s="5"/>
      <c r="H7968" s="6"/>
      <c r="AD7968" s="5">
        <v>45258.0</v>
      </c>
      <c r="AE7968" s="6">
        <v>0.9166666666666666</v>
      </c>
      <c r="AF7968" s="7">
        <v>0.0</v>
      </c>
    </row>
    <row r="7969">
      <c r="G7969" s="5"/>
      <c r="H7969" s="6"/>
      <c r="AD7969" s="5">
        <v>45258.0</v>
      </c>
      <c r="AE7969" s="6">
        <v>0.9583333333333334</v>
      </c>
      <c r="AF7969" s="7">
        <v>0.0</v>
      </c>
    </row>
    <row r="7970">
      <c r="G7970" s="5"/>
      <c r="H7970" s="6"/>
      <c r="AD7970" s="5">
        <v>45259.0</v>
      </c>
      <c r="AE7970" s="6">
        <v>0.0</v>
      </c>
      <c r="AF7970" s="7">
        <v>0.0</v>
      </c>
    </row>
    <row r="7971">
      <c r="G7971" s="5"/>
      <c r="H7971" s="6"/>
      <c r="AD7971" s="5">
        <v>45259.0</v>
      </c>
      <c r="AE7971" s="6">
        <v>0.041666666666666664</v>
      </c>
      <c r="AF7971" s="7">
        <v>0.0</v>
      </c>
    </row>
    <row r="7972">
      <c r="G7972" s="5"/>
      <c r="H7972" s="6"/>
      <c r="AD7972" s="5">
        <v>45259.0</v>
      </c>
      <c r="AE7972" s="6">
        <v>0.08333333333333333</v>
      </c>
      <c r="AF7972" s="7">
        <v>0.0</v>
      </c>
    </row>
    <row r="7973">
      <c r="G7973" s="5"/>
      <c r="H7973" s="6"/>
      <c r="AD7973" s="5">
        <v>45259.0</v>
      </c>
      <c r="AE7973" s="6">
        <v>0.125</v>
      </c>
      <c r="AF7973" s="7">
        <v>0.0</v>
      </c>
    </row>
    <row r="7974">
      <c r="G7974" s="5"/>
      <c r="H7974" s="6"/>
      <c r="AD7974" s="5">
        <v>45259.0</v>
      </c>
      <c r="AE7974" s="6">
        <v>0.16666666666666666</v>
      </c>
      <c r="AF7974" s="7">
        <v>0.0</v>
      </c>
    </row>
    <row r="7975">
      <c r="G7975" s="5"/>
      <c r="H7975" s="6"/>
      <c r="AD7975" s="5">
        <v>45259.0</v>
      </c>
      <c r="AE7975" s="6">
        <v>0.20833333333333334</v>
      </c>
      <c r="AF7975" s="7">
        <v>0.0</v>
      </c>
    </row>
    <row r="7976">
      <c r="G7976" s="5"/>
      <c r="H7976" s="6"/>
      <c r="AD7976" s="5">
        <v>45259.0</v>
      </c>
      <c r="AE7976" s="6">
        <v>0.25</v>
      </c>
      <c r="AF7976" s="7">
        <v>0.0</v>
      </c>
    </row>
    <row r="7977">
      <c r="G7977" s="5"/>
      <c r="H7977" s="6"/>
      <c r="AD7977" s="5">
        <v>45259.0</v>
      </c>
      <c r="AE7977" s="6">
        <v>0.2916666666666667</v>
      </c>
      <c r="AF7977" s="7">
        <v>0.0</v>
      </c>
    </row>
    <row r="7978">
      <c r="G7978" s="5"/>
      <c r="H7978" s="6"/>
      <c r="AD7978" s="5">
        <v>45259.0</v>
      </c>
      <c r="AE7978" s="6">
        <v>0.3333333333333333</v>
      </c>
      <c r="AF7978" s="7">
        <v>10623.6</v>
      </c>
    </row>
    <row r="7979">
      <c r="G7979" s="5"/>
      <c r="H7979" s="6"/>
      <c r="AD7979" s="5">
        <v>45259.0</v>
      </c>
      <c r="AE7979" s="6">
        <v>0.375</v>
      </c>
      <c r="AF7979" s="7">
        <v>14293.5</v>
      </c>
    </row>
    <row r="7980">
      <c r="G7980" s="5"/>
      <c r="H7980" s="6"/>
      <c r="AD7980" s="5">
        <v>45259.0</v>
      </c>
      <c r="AE7980" s="6">
        <v>0.4166666666666667</v>
      </c>
      <c r="AF7980" s="7">
        <v>32656.26</v>
      </c>
    </row>
    <row r="7981">
      <c r="G7981" s="5"/>
      <c r="H7981" s="6"/>
      <c r="AD7981" s="5">
        <v>45259.0</v>
      </c>
      <c r="AE7981" s="6">
        <v>0.4583333333333333</v>
      </c>
      <c r="AF7981" s="7">
        <v>32405.1</v>
      </c>
    </row>
    <row r="7982">
      <c r="G7982" s="5"/>
      <c r="H7982" s="6"/>
      <c r="AD7982" s="5">
        <v>45259.0</v>
      </c>
      <c r="AE7982" s="6">
        <v>0.5</v>
      </c>
      <c r="AF7982" s="7">
        <v>22987.38</v>
      </c>
    </row>
    <row r="7983">
      <c r="G7983" s="5"/>
      <c r="H7983" s="6"/>
      <c r="AD7983" s="5">
        <v>45259.0</v>
      </c>
      <c r="AE7983" s="6">
        <v>0.5416666666666666</v>
      </c>
      <c r="AF7983" s="7">
        <v>24104.34</v>
      </c>
    </row>
    <row r="7984">
      <c r="G7984" s="5"/>
      <c r="H7984" s="6"/>
      <c r="AD7984" s="5">
        <v>45259.0</v>
      </c>
      <c r="AE7984" s="6">
        <v>0.5833333333333334</v>
      </c>
      <c r="AF7984" s="7">
        <v>16701.36</v>
      </c>
    </row>
    <row r="7985">
      <c r="G7985" s="5"/>
      <c r="H7985" s="6"/>
      <c r="AD7985" s="5">
        <v>45259.0</v>
      </c>
      <c r="AE7985" s="6">
        <v>0.625</v>
      </c>
      <c r="AF7985" s="7">
        <v>7037.94</v>
      </c>
    </row>
    <row r="7986">
      <c r="G7986" s="5"/>
      <c r="H7986" s="6"/>
      <c r="AD7986" s="5">
        <v>45259.0</v>
      </c>
      <c r="AE7986" s="6">
        <v>0.6666666666666666</v>
      </c>
      <c r="AF7986" s="7">
        <v>209.82</v>
      </c>
    </row>
    <row r="7987">
      <c r="G7987" s="5"/>
      <c r="H7987" s="6"/>
      <c r="AD7987" s="5">
        <v>45259.0</v>
      </c>
      <c r="AE7987" s="6">
        <v>0.7083333333333334</v>
      </c>
      <c r="AF7987" s="7">
        <v>0.0</v>
      </c>
    </row>
    <row r="7988">
      <c r="G7988" s="5"/>
      <c r="H7988" s="6"/>
      <c r="AD7988" s="5">
        <v>45259.0</v>
      </c>
      <c r="AE7988" s="6">
        <v>0.75</v>
      </c>
      <c r="AF7988" s="7">
        <v>0.0</v>
      </c>
    </row>
    <row r="7989">
      <c r="G7989" s="5"/>
      <c r="H7989" s="6"/>
      <c r="AD7989" s="5">
        <v>45259.0</v>
      </c>
      <c r="AE7989" s="6">
        <v>0.7916666666666666</v>
      </c>
      <c r="AF7989" s="7">
        <v>0.0</v>
      </c>
    </row>
    <row r="7990">
      <c r="G7990" s="5"/>
      <c r="H7990" s="6"/>
      <c r="AD7990" s="5">
        <v>45259.0</v>
      </c>
      <c r="AE7990" s="6">
        <v>0.8333333333333334</v>
      </c>
      <c r="AF7990" s="7">
        <v>0.0</v>
      </c>
    </row>
    <row r="7991">
      <c r="G7991" s="5"/>
      <c r="H7991" s="6"/>
      <c r="AD7991" s="5">
        <v>45259.0</v>
      </c>
      <c r="AE7991" s="6">
        <v>0.875</v>
      </c>
      <c r="AF7991" s="7">
        <v>0.0</v>
      </c>
    </row>
    <row r="7992">
      <c r="G7992" s="5"/>
      <c r="H7992" s="6"/>
      <c r="AD7992" s="5">
        <v>45259.0</v>
      </c>
      <c r="AE7992" s="6">
        <v>0.9166666666666666</v>
      </c>
      <c r="AF7992" s="7">
        <v>0.0</v>
      </c>
    </row>
    <row r="7993">
      <c r="G7993" s="5"/>
      <c r="H7993" s="6"/>
      <c r="AD7993" s="5">
        <v>45259.0</v>
      </c>
      <c r="AE7993" s="6">
        <v>0.9583333333333334</v>
      </c>
      <c r="AF7993" s="7">
        <v>0.0</v>
      </c>
    </row>
    <row r="7994">
      <c r="G7994" s="5"/>
      <c r="H7994" s="6"/>
      <c r="AD7994" s="5">
        <v>45260.0</v>
      </c>
      <c r="AE7994" s="6">
        <v>0.0</v>
      </c>
      <c r="AF7994" s="7">
        <v>0.0</v>
      </c>
    </row>
    <row r="7995">
      <c r="G7995" s="5"/>
      <c r="H7995" s="6"/>
      <c r="AD7995" s="5">
        <v>45260.0</v>
      </c>
      <c r="AE7995" s="6">
        <v>0.041666666666666664</v>
      </c>
      <c r="AF7995" s="7">
        <v>0.0</v>
      </c>
    </row>
    <row r="7996">
      <c r="G7996" s="5"/>
      <c r="H7996" s="6"/>
      <c r="AD7996" s="5">
        <v>45260.0</v>
      </c>
      <c r="AE7996" s="6">
        <v>0.08333333333333333</v>
      </c>
      <c r="AF7996" s="7">
        <v>0.0</v>
      </c>
    </row>
    <row r="7997">
      <c r="G7997" s="5"/>
      <c r="H7997" s="6"/>
      <c r="AD7997" s="5">
        <v>45260.0</v>
      </c>
      <c r="AE7997" s="6">
        <v>0.125</v>
      </c>
      <c r="AF7997" s="7">
        <v>0.0</v>
      </c>
    </row>
    <row r="7998">
      <c r="G7998" s="5"/>
      <c r="H7998" s="6"/>
      <c r="AD7998" s="5">
        <v>45260.0</v>
      </c>
      <c r="AE7998" s="6">
        <v>0.16666666666666666</v>
      </c>
      <c r="AF7998" s="7">
        <v>0.0</v>
      </c>
    </row>
    <row r="7999">
      <c r="G7999" s="5"/>
      <c r="H7999" s="6"/>
      <c r="AD7999" s="5">
        <v>45260.0</v>
      </c>
      <c r="AE7999" s="6">
        <v>0.20833333333333334</v>
      </c>
      <c r="AF7999" s="7">
        <v>0.0</v>
      </c>
    </row>
    <row r="8000">
      <c r="G8000" s="5"/>
      <c r="H8000" s="6"/>
      <c r="AD8000" s="5">
        <v>45260.0</v>
      </c>
      <c r="AE8000" s="6">
        <v>0.25</v>
      </c>
      <c r="AF8000" s="7">
        <v>0.0</v>
      </c>
    </row>
    <row r="8001">
      <c r="G8001" s="5"/>
      <c r="H8001" s="6"/>
      <c r="AD8001" s="5">
        <v>45260.0</v>
      </c>
      <c r="AE8001" s="6">
        <v>0.2916666666666667</v>
      </c>
      <c r="AF8001" s="7">
        <v>0.0</v>
      </c>
    </row>
    <row r="8002">
      <c r="G8002" s="5"/>
      <c r="H8002" s="6"/>
      <c r="AD8002" s="5">
        <v>45260.0</v>
      </c>
      <c r="AE8002" s="6">
        <v>0.3333333333333333</v>
      </c>
      <c r="AF8002" s="7">
        <v>6091.02</v>
      </c>
    </row>
    <row r="8003">
      <c r="G8003" s="5"/>
      <c r="H8003" s="6"/>
      <c r="AD8003" s="5">
        <v>45260.0</v>
      </c>
      <c r="AE8003" s="6">
        <v>0.375</v>
      </c>
      <c r="AF8003" s="7">
        <v>6945.12</v>
      </c>
    </row>
    <row r="8004">
      <c r="G8004" s="5"/>
      <c r="H8004" s="6"/>
      <c r="AD8004" s="5">
        <v>45260.0</v>
      </c>
      <c r="AE8004" s="6">
        <v>0.4166666666666667</v>
      </c>
      <c r="AF8004" s="7">
        <v>3791.58</v>
      </c>
    </row>
    <row r="8005">
      <c r="G8005" s="5"/>
      <c r="H8005" s="6"/>
      <c r="AD8005" s="5">
        <v>45260.0</v>
      </c>
      <c r="AE8005" s="6">
        <v>0.4583333333333333</v>
      </c>
      <c r="AF8005" s="7">
        <v>11386.44</v>
      </c>
    </row>
    <row r="8006">
      <c r="G8006" s="5"/>
      <c r="H8006" s="6"/>
      <c r="AD8006" s="5">
        <v>45260.0</v>
      </c>
      <c r="AE8006" s="6">
        <v>0.5</v>
      </c>
      <c r="AF8006" s="7">
        <v>36079.68</v>
      </c>
    </row>
    <row r="8007">
      <c r="G8007" s="5"/>
      <c r="H8007" s="6"/>
      <c r="AD8007" s="5">
        <v>45260.0</v>
      </c>
      <c r="AE8007" s="6">
        <v>0.5416666666666666</v>
      </c>
      <c r="AF8007" s="7">
        <v>6965.4</v>
      </c>
    </row>
    <row r="8008">
      <c r="G8008" s="5"/>
      <c r="H8008" s="6"/>
      <c r="AD8008" s="5">
        <v>45260.0</v>
      </c>
      <c r="AE8008" s="6">
        <v>0.5833333333333334</v>
      </c>
      <c r="AF8008" s="7">
        <v>2719.86</v>
      </c>
    </row>
    <row r="8009">
      <c r="G8009" s="5"/>
      <c r="H8009" s="6"/>
      <c r="AD8009" s="5">
        <v>45260.0</v>
      </c>
      <c r="AE8009" s="6">
        <v>0.625</v>
      </c>
      <c r="AF8009" s="7">
        <v>1620.84</v>
      </c>
    </row>
    <row r="8010">
      <c r="G8010" s="5"/>
      <c r="H8010" s="6"/>
      <c r="AD8010" s="5">
        <v>45260.0</v>
      </c>
      <c r="AE8010" s="6">
        <v>0.6666666666666666</v>
      </c>
      <c r="AF8010" s="7">
        <v>0.0</v>
      </c>
    </row>
    <row r="8011">
      <c r="G8011" s="5"/>
      <c r="H8011" s="6"/>
      <c r="AD8011" s="5">
        <v>45260.0</v>
      </c>
      <c r="AE8011" s="6">
        <v>0.7083333333333334</v>
      </c>
      <c r="AF8011" s="7">
        <v>0.0</v>
      </c>
    </row>
    <row r="8012">
      <c r="G8012" s="5"/>
      <c r="H8012" s="6"/>
      <c r="AD8012" s="5">
        <v>45260.0</v>
      </c>
      <c r="AE8012" s="6">
        <v>0.75</v>
      </c>
      <c r="AF8012" s="7">
        <v>0.0</v>
      </c>
    </row>
    <row r="8013">
      <c r="G8013" s="5"/>
      <c r="H8013" s="6"/>
      <c r="AD8013" s="5">
        <v>45260.0</v>
      </c>
      <c r="AE8013" s="6">
        <v>0.7916666666666666</v>
      </c>
      <c r="AF8013" s="7">
        <v>0.0</v>
      </c>
    </row>
    <row r="8014">
      <c r="G8014" s="5"/>
      <c r="H8014" s="6"/>
      <c r="AD8014" s="5">
        <v>45260.0</v>
      </c>
      <c r="AE8014" s="6">
        <v>0.8333333333333334</v>
      </c>
      <c r="AF8014" s="7">
        <v>0.0</v>
      </c>
    </row>
    <row r="8015">
      <c r="G8015" s="5"/>
      <c r="H8015" s="6"/>
      <c r="AD8015" s="5">
        <v>45260.0</v>
      </c>
      <c r="AE8015" s="6">
        <v>0.875</v>
      </c>
      <c r="AF8015" s="7">
        <v>0.0</v>
      </c>
    </row>
    <row r="8016">
      <c r="G8016" s="5"/>
      <c r="H8016" s="6"/>
      <c r="AD8016" s="5">
        <v>45260.0</v>
      </c>
      <c r="AE8016" s="6">
        <v>0.9166666666666666</v>
      </c>
      <c r="AF8016" s="7">
        <v>0.0</v>
      </c>
    </row>
    <row r="8017">
      <c r="G8017" s="5"/>
      <c r="H8017" s="6"/>
      <c r="AD8017" s="5">
        <v>45260.0</v>
      </c>
      <c r="AE8017" s="6">
        <v>0.9583333333333334</v>
      </c>
      <c r="AF8017" s="7">
        <v>0.0</v>
      </c>
    </row>
    <row r="8018">
      <c r="G8018" s="5"/>
      <c r="H8018" s="6"/>
      <c r="AD8018" s="5">
        <v>45261.0</v>
      </c>
      <c r="AE8018" s="6">
        <v>0.0</v>
      </c>
      <c r="AF8018" s="7">
        <v>0.0</v>
      </c>
    </row>
    <row r="8019">
      <c r="G8019" s="5"/>
      <c r="H8019" s="6"/>
      <c r="AD8019" s="5">
        <v>45261.0</v>
      </c>
      <c r="AE8019" s="6">
        <v>0.041666666666666664</v>
      </c>
      <c r="AF8019" s="7">
        <v>0.0</v>
      </c>
    </row>
    <row r="8020">
      <c r="G8020" s="5"/>
      <c r="H8020" s="6"/>
      <c r="AD8020" s="5">
        <v>45261.0</v>
      </c>
      <c r="AE8020" s="6">
        <v>0.08333333333333333</v>
      </c>
      <c r="AF8020" s="7">
        <v>0.0</v>
      </c>
    </row>
    <row r="8021">
      <c r="G8021" s="5"/>
      <c r="H8021" s="6"/>
      <c r="AD8021" s="5">
        <v>45261.0</v>
      </c>
      <c r="AE8021" s="6">
        <v>0.125</v>
      </c>
      <c r="AF8021" s="7">
        <v>0.0</v>
      </c>
    </row>
    <row r="8022">
      <c r="G8022" s="5"/>
      <c r="H8022" s="6"/>
      <c r="AD8022" s="5">
        <v>45261.0</v>
      </c>
      <c r="AE8022" s="6">
        <v>0.16666666666666666</v>
      </c>
      <c r="AF8022" s="7">
        <v>0.0</v>
      </c>
    </row>
    <row r="8023">
      <c r="G8023" s="5"/>
      <c r="H8023" s="6"/>
      <c r="AD8023" s="5">
        <v>45261.0</v>
      </c>
      <c r="AE8023" s="6">
        <v>0.20833333333333334</v>
      </c>
      <c r="AF8023" s="7">
        <v>0.0</v>
      </c>
    </row>
    <row r="8024">
      <c r="G8024" s="5"/>
      <c r="H8024" s="6"/>
      <c r="AD8024" s="5">
        <v>45261.0</v>
      </c>
      <c r="AE8024" s="6">
        <v>0.25</v>
      </c>
      <c r="AF8024" s="7">
        <v>0.0</v>
      </c>
    </row>
    <row r="8025">
      <c r="G8025" s="5"/>
      <c r="H8025" s="6"/>
      <c r="AD8025" s="5">
        <v>45261.0</v>
      </c>
      <c r="AE8025" s="6">
        <v>0.2916666666666667</v>
      </c>
      <c r="AF8025" s="7">
        <v>0.0</v>
      </c>
    </row>
    <row r="8026">
      <c r="G8026" s="5"/>
      <c r="H8026" s="6"/>
      <c r="AD8026" s="5">
        <v>45261.0</v>
      </c>
      <c r="AE8026" s="6">
        <v>0.3333333333333333</v>
      </c>
      <c r="AF8026" s="7">
        <v>645.06</v>
      </c>
    </row>
    <row r="8027">
      <c r="G8027" s="5"/>
      <c r="H8027" s="6"/>
      <c r="AD8027" s="5">
        <v>45261.0</v>
      </c>
      <c r="AE8027" s="6">
        <v>0.375</v>
      </c>
      <c r="AF8027" s="7">
        <v>6708.0</v>
      </c>
    </row>
    <row r="8028">
      <c r="G8028" s="5"/>
      <c r="H8028" s="6"/>
      <c r="AD8028" s="5">
        <v>45261.0</v>
      </c>
      <c r="AE8028" s="6">
        <v>0.4166666666666667</v>
      </c>
      <c r="AF8028" s="7">
        <v>11522.16</v>
      </c>
    </row>
    <row r="8029">
      <c r="G8029" s="5"/>
      <c r="H8029" s="6"/>
      <c r="AD8029" s="5">
        <v>45261.0</v>
      </c>
      <c r="AE8029" s="6">
        <v>0.4583333333333333</v>
      </c>
      <c r="AF8029" s="7">
        <v>3286.14</v>
      </c>
    </row>
    <row r="8030">
      <c r="G8030" s="5"/>
      <c r="H8030" s="6"/>
      <c r="AD8030" s="5">
        <v>45261.0</v>
      </c>
      <c r="AE8030" s="6">
        <v>0.5</v>
      </c>
      <c r="AF8030" s="7">
        <v>4044.3</v>
      </c>
    </row>
    <row r="8031">
      <c r="G8031" s="5"/>
      <c r="H8031" s="6"/>
      <c r="AD8031" s="5">
        <v>45261.0</v>
      </c>
      <c r="AE8031" s="6">
        <v>0.5416666666666666</v>
      </c>
      <c r="AF8031" s="7">
        <v>2157.48</v>
      </c>
    </row>
    <row r="8032">
      <c r="G8032" s="5"/>
      <c r="H8032" s="6"/>
      <c r="AD8032" s="5">
        <v>45261.0</v>
      </c>
      <c r="AE8032" s="6">
        <v>0.5833333333333334</v>
      </c>
      <c r="AF8032" s="7">
        <v>32438.64</v>
      </c>
    </row>
    <row r="8033">
      <c r="G8033" s="5"/>
      <c r="H8033" s="6"/>
      <c r="AD8033" s="5">
        <v>45261.0</v>
      </c>
      <c r="AE8033" s="6">
        <v>0.625</v>
      </c>
      <c r="AF8033" s="7">
        <v>17994.6</v>
      </c>
    </row>
    <row r="8034">
      <c r="G8034" s="5"/>
      <c r="H8034" s="6"/>
      <c r="AD8034" s="5">
        <v>45261.0</v>
      </c>
      <c r="AE8034" s="6">
        <v>0.6666666666666666</v>
      </c>
      <c r="AF8034" s="7">
        <v>1925.82</v>
      </c>
    </row>
    <row r="8035">
      <c r="G8035" s="5"/>
      <c r="H8035" s="6"/>
      <c r="AD8035" s="5">
        <v>45261.0</v>
      </c>
      <c r="AE8035" s="6">
        <v>0.7083333333333334</v>
      </c>
      <c r="AF8035" s="7">
        <v>0.0</v>
      </c>
    </row>
    <row r="8036">
      <c r="G8036" s="5"/>
      <c r="H8036" s="6"/>
      <c r="AD8036" s="5">
        <v>45261.0</v>
      </c>
      <c r="AE8036" s="6">
        <v>0.75</v>
      </c>
      <c r="AF8036" s="7">
        <v>0.0</v>
      </c>
    </row>
    <row r="8037">
      <c r="G8037" s="5"/>
      <c r="H8037" s="6"/>
      <c r="AD8037" s="5">
        <v>45261.0</v>
      </c>
      <c r="AE8037" s="6">
        <v>0.7916666666666666</v>
      </c>
      <c r="AF8037" s="7">
        <v>0.0</v>
      </c>
    </row>
    <row r="8038">
      <c r="G8038" s="5"/>
      <c r="H8038" s="6"/>
      <c r="AD8038" s="5">
        <v>45261.0</v>
      </c>
      <c r="AE8038" s="6">
        <v>0.8333333333333334</v>
      </c>
      <c r="AF8038" s="7">
        <v>0.0</v>
      </c>
    </row>
    <row r="8039">
      <c r="G8039" s="5"/>
      <c r="H8039" s="6"/>
      <c r="AD8039" s="5">
        <v>45261.0</v>
      </c>
      <c r="AE8039" s="6">
        <v>0.875</v>
      </c>
      <c r="AF8039" s="7">
        <v>0.0</v>
      </c>
    </row>
    <row r="8040">
      <c r="G8040" s="5"/>
      <c r="H8040" s="6"/>
      <c r="AD8040" s="5">
        <v>45261.0</v>
      </c>
      <c r="AE8040" s="6">
        <v>0.9166666666666666</v>
      </c>
      <c r="AF8040" s="7">
        <v>0.0</v>
      </c>
    </row>
    <row r="8041">
      <c r="G8041" s="5"/>
      <c r="H8041" s="6"/>
      <c r="AD8041" s="5">
        <v>45261.0</v>
      </c>
      <c r="AE8041" s="6">
        <v>0.9583333333333334</v>
      </c>
      <c r="AF8041" s="7">
        <v>0.0</v>
      </c>
    </row>
    <row r="8042">
      <c r="G8042" s="5"/>
      <c r="H8042" s="6"/>
      <c r="AD8042" s="5">
        <v>45262.0</v>
      </c>
      <c r="AE8042" s="6">
        <v>0.0</v>
      </c>
      <c r="AF8042" s="7">
        <v>0.0</v>
      </c>
    </row>
    <row r="8043">
      <c r="G8043" s="5"/>
      <c r="H8043" s="6"/>
      <c r="AD8043" s="5">
        <v>45262.0</v>
      </c>
      <c r="AE8043" s="6">
        <v>0.041666666666666664</v>
      </c>
      <c r="AF8043" s="7">
        <v>0.0</v>
      </c>
    </row>
    <row r="8044">
      <c r="G8044" s="5"/>
      <c r="H8044" s="6"/>
      <c r="AD8044" s="5">
        <v>45262.0</v>
      </c>
      <c r="AE8044" s="6">
        <v>0.08333333333333333</v>
      </c>
      <c r="AF8044" s="7">
        <v>0.0</v>
      </c>
    </row>
    <row r="8045">
      <c r="G8045" s="5"/>
      <c r="H8045" s="6"/>
      <c r="AD8045" s="5">
        <v>45262.0</v>
      </c>
      <c r="AE8045" s="6">
        <v>0.125</v>
      </c>
      <c r="AF8045" s="7">
        <v>0.0</v>
      </c>
    </row>
    <row r="8046">
      <c r="G8046" s="5"/>
      <c r="H8046" s="6"/>
      <c r="AD8046" s="5">
        <v>45262.0</v>
      </c>
      <c r="AE8046" s="6">
        <v>0.16666666666666666</v>
      </c>
      <c r="AF8046" s="7">
        <v>0.0</v>
      </c>
    </row>
    <row r="8047">
      <c r="G8047" s="5"/>
      <c r="H8047" s="6"/>
      <c r="AD8047" s="5">
        <v>45262.0</v>
      </c>
      <c r="AE8047" s="6">
        <v>0.20833333333333334</v>
      </c>
      <c r="AF8047" s="7">
        <v>0.0</v>
      </c>
    </row>
    <row r="8048">
      <c r="G8048" s="5"/>
      <c r="H8048" s="6"/>
      <c r="AD8048" s="5">
        <v>45262.0</v>
      </c>
      <c r="AE8048" s="6">
        <v>0.25</v>
      </c>
      <c r="AF8048" s="7">
        <v>0.0</v>
      </c>
    </row>
    <row r="8049">
      <c r="G8049" s="5"/>
      <c r="H8049" s="6"/>
      <c r="AD8049" s="5">
        <v>45262.0</v>
      </c>
      <c r="AE8049" s="6">
        <v>0.2916666666666667</v>
      </c>
      <c r="AF8049" s="7">
        <v>0.0</v>
      </c>
    </row>
    <row r="8050">
      <c r="G8050" s="5"/>
      <c r="H8050" s="6"/>
      <c r="AD8050" s="5">
        <v>45262.0</v>
      </c>
      <c r="AE8050" s="6">
        <v>0.3333333333333333</v>
      </c>
      <c r="AF8050" s="7">
        <v>11027.64</v>
      </c>
    </row>
    <row r="8051">
      <c r="G8051" s="5"/>
      <c r="H8051" s="6"/>
      <c r="AD8051" s="5">
        <v>45262.0</v>
      </c>
      <c r="AE8051" s="6">
        <v>0.375</v>
      </c>
      <c r="AF8051" s="7">
        <v>25865.58</v>
      </c>
    </row>
    <row r="8052">
      <c r="G8052" s="5"/>
      <c r="H8052" s="6"/>
      <c r="AD8052" s="5">
        <v>45262.0</v>
      </c>
      <c r="AE8052" s="6">
        <v>0.4166666666666667</v>
      </c>
      <c r="AF8052" s="7">
        <v>35064.12</v>
      </c>
    </row>
    <row r="8053">
      <c r="G8053" s="5"/>
      <c r="H8053" s="6"/>
      <c r="AD8053" s="5">
        <v>45262.0</v>
      </c>
      <c r="AE8053" s="6">
        <v>0.4583333333333333</v>
      </c>
      <c r="AF8053" s="7">
        <v>40632.54</v>
      </c>
    </row>
    <row r="8054">
      <c r="G8054" s="5"/>
      <c r="H8054" s="6"/>
      <c r="AD8054" s="5">
        <v>45262.0</v>
      </c>
      <c r="AE8054" s="6">
        <v>0.5</v>
      </c>
      <c r="AF8054" s="7">
        <v>37003.2</v>
      </c>
    </row>
    <row r="8055">
      <c r="G8055" s="5"/>
      <c r="H8055" s="6"/>
      <c r="AD8055" s="5">
        <v>45262.0</v>
      </c>
      <c r="AE8055" s="6">
        <v>0.5416666666666666</v>
      </c>
      <c r="AF8055" s="7">
        <v>38195.04</v>
      </c>
    </row>
    <row r="8056">
      <c r="G8056" s="5"/>
      <c r="H8056" s="6"/>
      <c r="AD8056" s="5">
        <v>45262.0</v>
      </c>
      <c r="AE8056" s="6">
        <v>0.5833333333333334</v>
      </c>
      <c r="AF8056" s="7">
        <v>30308.46</v>
      </c>
    </row>
    <row r="8057">
      <c r="G8057" s="5"/>
      <c r="H8057" s="6"/>
      <c r="AD8057" s="5">
        <v>45262.0</v>
      </c>
      <c r="AE8057" s="6">
        <v>0.625</v>
      </c>
      <c r="AF8057" s="7">
        <v>16078.14</v>
      </c>
    </row>
    <row r="8058">
      <c r="G8058" s="5"/>
      <c r="H8058" s="6"/>
      <c r="AD8058" s="5">
        <v>45262.0</v>
      </c>
      <c r="AE8058" s="6">
        <v>0.6666666666666666</v>
      </c>
      <c r="AF8058" s="7">
        <v>1691.04</v>
      </c>
    </row>
    <row r="8059">
      <c r="G8059" s="5"/>
      <c r="H8059" s="6"/>
      <c r="AD8059" s="5">
        <v>45262.0</v>
      </c>
      <c r="AE8059" s="6">
        <v>0.7083333333333334</v>
      </c>
      <c r="AF8059" s="7">
        <v>0.0</v>
      </c>
    </row>
    <row r="8060">
      <c r="G8060" s="5"/>
      <c r="H8060" s="6"/>
      <c r="AD8060" s="5">
        <v>45262.0</v>
      </c>
      <c r="AE8060" s="6">
        <v>0.75</v>
      </c>
      <c r="AF8060" s="7">
        <v>0.0</v>
      </c>
    </row>
    <row r="8061">
      <c r="G8061" s="5"/>
      <c r="H8061" s="6"/>
      <c r="AD8061" s="5">
        <v>45262.0</v>
      </c>
      <c r="AE8061" s="6">
        <v>0.7916666666666666</v>
      </c>
      <c r="AF8061" s="7">
        <v>0.0</v>
      </c>
    </row>
    <row r="8062">
      <c r="G8062" s="5"/>
      <c r="H8062" s="6"/>
      <c r="AD8062" s="5">
        <v>45262.0</v>
      </c>
      <c r="AE8062" s="6">
        <v>0.8333333333333334</v>
      </c>
      <c r="AF8062" s="7">
        <v>0.0</v>
      </c>
    </row>
    <row r="8063">
      <c r="G8063" s="5"/>
      <c r="H8063" s="6"/>
      <c r="AD8063" s="5">
        <v>45262.0</v>
      </c>
      <c r="AE8063" s="6">
        <v>0.875</v>
      </c>
      <c r="AF8063" s="7">
        <v>0.0</v>
      </c>
    </row>
    <row r="8064">
      <c r="G8064" s="5"/>
      <c r="H8064" s="6"/>
      <c r="AD8064" s="5">
        <v>45262.0</v>
      </c>
      <c r="AE8064" s="6">
        <v>0.9166666666666666</v>
      </c>
      <c r="AF8064" s="7">
        <v>0.0</v>
      </c>
    </row>
    <row r="8065">
      <c r="G8065" s="5"/>
      <c r="H8065" s="6"/>
      <c r="AD8065" s="5">
        <v>45262.0</v>
      </c>
      <c r="AE8065" s="6">
        <v>0.9583333333333334</v>
      </c>
      <c r="AF8065" s="7">
        <v>0.0</v>
      </c>
    </row>
    <row r="8066">
      <c r="G8066" s="5"/>
      <c r="H8066" s="6"/>
      <c r="AD8066" s="5">
        <v>45263.0</v>
      </c>
      <c r="AE8066" s="6">
        <v>0.0</v>
      </c>
      <c r="AF8066" s="7">
        <v>0.0</v>
      </c>
    </row>
    <row r="8067">
      <c r="G8067" s="5"/>
      <c r="H8067" s="6"/>
      <c r="AD8067" s="5">
        <v>45263.0</v>
      </c>
      <c r="AE8067" s="6">
        <v>0.041666666666666664</v>
      </c>
      <c r="AF8067" s="7">
        <v>0.0</v>
      </c>
    </row>
    <row r="8068">
      <c r="G8068" s="5"/>
      <c r="H8068" s="6"/>
      <c r="AD8068" s="5">
        <v>45263.0</v>
      </c>
      <c r="AE8068" s="6">
        <v>0.08333333333333333</v>
      </c>
      <c r="AF8068" s="7">
        <v>0.0</v>
      </c>
    </row>
    <row r="8069">
      <c r="G8069" s="5"/>
      <c r="H8069" s="6"/>
      <c r="AD8069" s="5">
        <v>45263.0</v>
      </c>
      <c r="AE8069" s="6">
        <v>0.125</v>
      </c>
      <c r="AF8069" s="7">
        <v>0.0</v>
      </c>
    </row>
    <row r="8070">
      <c r="G8070" s="5"/>
      <c r="H8070" s="6"/>
      <c r="AD8070" s="5">
        <v>45263.0</v>
      </c>
      <c r="AE8070" s="6">
        <v>0.16666666666666666</v>
      </c>
      <c r="AF8070" s="7">
        <v>0.0</v>
      </c>
    </row>
    <row r="8071">
      <c r="G8071" s="5"/>
      <c r="H8071" s="6"/>
      <c r="AD8071" s="5">
        <v>45263.0</v>
      </c>
      <c r="AE8071" s="6">
        <v>0.20833333333333334</v>
      </c>
      <c r="AF8071" s="7">
        <v>0.0</v>
      </c>
    </row>
    <row r="8072">
      <c r="G8072" s="5"/>
      <c r="H8072" s="6"/>
      <c r="AD8072" s="5">
        <v>45263.0</v>
      </c>
      <c r="AE8072" s="6">
        <v>0.25</v>
      </c>
      <c r="AF8072" s="7">
        <v>0.0</v>
      </c>
    </row>
    <row r="8073">
      <c r="G8073" s="5"/>
      <c r="H8073" s="6"/>
      <c r="AD8073" s="5">
        <v>45263.0</v>
      </c>
      <c r="AE8073" s="6">
        <v>0.2916666666666667</v>
      </c>
      <c r="AF8073" s="7">
        <v>0.0</v>
      </c>
    </row>
    <row r="8074">
      <c r="G8074" s="5"/>
      <c r="H8074" s="6"/>
      <c r="AD8074" s="5">
        <v>45263.0</v>
      </c>
      <c r="AE8074" s="6">
        <v>0.3333333333333333</v>
      </c>
      <c r="AF8074" s="7">
        <v>11087.7</v>
      </c>
    </row>
    <row r="8075">
      <c r="G8075" s="5"/>
      <c r="H8075" s="6"/>
      <c r="AD8075" s="5">
        <v>45263.0</v>
      </c>
      <c r="AE8075" s="6">
        <v>0.375</v>
      </c>
      <c r="AF8075" s="7">
        <v>25930.32</v>
      </c>
    </row>
    <row r="8076">
      <c r="G8076" s="5"/>
      <c r="H8076" s="6"/>
      <c r="AD8076" s="5">
        <v>45263.0</v>
      </c>
      <c r="AE8076" s="6">
        <v>0.4166666666666667</v>
      </c>
      <c r="AF8076" s="7">
        <v>35929.14</v>
      </c>
    </row>
    <row r="8077">
      <c r="G8077" s="5"/>
      <c r="H8077" s="6"/>
      <c r="AD8077" s="5">
        <v>45263.0</v>
      </c>
      <c r="AE8077" s="6">
        <v>0.4583333333333333</v>
      </c>
      <c r="AF8077" s="7">
        <v>41003.04</v>
      </c>
    </row>
    <row r="8078">
      <c r="G8078" s="5"/>
      <c r="H8078" s="6"/>
      <c r="AD8078" s="5">
        <v>45263.0</v>
      </c>
      <c r="AE8078" s="6">
        <v>0.5</v>
      </c>
      <c r="AF8078" s="7">
        <v>40111.5</v>
      </c>
    </row>
    <row r="8079">
      <c r="G8079" s="5"/>
      <c r="H8079" s="6"/>
      <c r="AD8079" s="5">
        <v>45263.0</v>
      </c>
      <c r="AE8079" s="6">
        <v>0.5416666666666666</v>
      </c>
      <c r="AF8079" s="7">
        <v>37890.84</v>
      </c>
    </row>
    <row r="8080">
      <c r="G8080" s="5"/>
      <c r="H8080" s="6"/>
      <c r="AD8080" s="5">
        <v>45263.0</v>
      </c>
      <c r="AE8080" s="6">
        <v>0.5833333333333334</v>
      </c>
      <c r="AF8080" s="7">
        <v>32679.66</v>
      </c>
    </row>
    <row r="8081">
      <c r="G8081" s="5"/>
      <c r="H8081" s="6"/>
      <c r="AD8081" s="5">
        <v>45263.0</v>
      </c>
      <c r="AE8081" s="6">
        <v>0.625</v>
      </c>
      <c r="AF8081" s="7">
        <v>16869.84</v>
      </c>
    </row>
    <row r="8082">
      <c r="G8082" s="5"/>
      <c r="H8082" s="6"/>
      <c r="AD8082" s="5">
        <v>45263.0</v>
      </c>
      <c r="AE8082" s="6">
        <v>0.6666666666666666</v>
      </c>
      <c r="AF8082" s="7">
        <v>1864.2</v>
      </c>
    </row>
    <row r="8083">
      <c r="G8083" s="5"/>
      <c r="H8083" s="6"/>
      <c r="AD8083" s="5">
        <v>45263.0</v>
      </c>
      <c r="AE8083" s="6">
        <v>0.7083333333333334</v>
      </c>
      <c r="AF8083" s="7">
        <v>0.0</v>
      </c>
    </row>
    <row r="8084">
      <c r="G8084" s="5"/>
      <c r="H8084" s="6"/>
      <c r="AD8084" s="5">
        <v>45263.0</v>
      </c>
      <c r="AE8084" s="6">
        <v>0.75</v>
      </c>
      <c r="AF8084" s="7">
        <v>0.0</v>
      </c>
    </row>
    <row r="8085">
      <c r="G8085" s="5"/>
      <c r="H8085" s="6"/>
      <c r="AD8085" s="5">
        <v>45263.0</v>
      </c>
      <c r="AE8085" s="6">
        <v>0.7916666666666666</v>
      </c>
      <c r="AF8085" s="7">
        <v>0.0</v>
      </c>
    </row>
    <row r="8086">
      <c r="G8086" s="5"/>
      <c r="H8086" s="6"/>
      <c r="AD8086" s="5">
        <v>45263.0</v>
      </c>
      <c r="AE8086" s="6">
        <v>0.8333333333333334</v>
      </c>
      <c r="AF8086" s="7">
        <v>0.0</v>
      </c>
    </row>
    <row r="8087">
      <c r="G8087" s="5"/>
      <c r="H8087" s="6"/>
      <c r="AD8087" s="5">
        <v>45263.0</v>
      </c>
      <c r="AE8087" s="6">
        <v>0.875</v>
      </c>
      <c r="AF8087" s="7">
        <v>0.0</v>
      </c>
    </row>
    <row r="8088">
      <c r="G8088" s="5"/>
      <c r="H8088" s="6"/>
      <c r="AD8088" s="5">
        <v>45263.0</v>
      </c>
      <c r="AE8088" s="6">
        <v>0.9166666666666666</v>
      </c>
      <c r="AF8088" s="7">
        <v>0.0</v>
      </c>
    </row>
    <row r="8089">
      <c r="G8089" s="5"/>
      <c r="H8089" s="6"/>
      <c r="AD8089" s="5">
        <v>45263.0</v>
      </c>
      <c r="AE8089" s="6">
        <v>0.9583333333333334</v>
      </c>
      <c r="AF8089" s="7">
        <v>0.0</v>
      </c>
    </row>
    <row r="8090">
      <c r="G8090" s="5"/>
      <c r="H8090" s="6"/>
      <c r="AD8090" s="5">
        <v>45264.0</v>
      </c>
      <c r="AE8090" s="6">
        <v>0.0</v>
      </c>
      <c r="AF8090" s="7">
        <v>0.0</v>
      </c>
    </row>
    <row r="8091">
      <c r="G8091" s="5"/>
      <c r="H8091" s="6"/>
      <c r="AD8091" s="5">
        <v>45264.0</v>
      </c>
      <c r="AE8091" s="6">
        <v>0.041666666666666664</v>
      </c>
      <c r="AF8091" s="7">
        <v>0.0</v>
      </c>
    </row>
    <row r="8092">
      <c r="G8092" s="5"/>
      <c r="H8092" s="6"/>
      <c r="AD8092" s="5">
        <v>45264.0</v>
      </c>
      <c r="AE8092" s="6">
        <v>0.08333333333333333</v>
      </c>
      <c r="AF8092" s="7">
        <v>0.0</v>
      </c>
    </row>
    <row r="8093">
      <c r="G8093" s="5"/>
      <c r="H8093" s="6"/>
      <c r="AD8093" s="5">
        <v>45264.0</v>
      </c>
      <c r="AE8093" s="6">
        <v>0.125</v>
      </c>
      <c r="AF8093" s="7">
        <v>0.0</v>
      </c>
    </row>
    <row r="8094">
      <c r="G8094" s="5"/>
      <c r="H8094" s="6"/>
      <c r="AD8094" s="5">
        <v>45264.0</v>
      </c>
      <c r="AE8094" s="6">
        <v>0.16666666666666666</v>
      </c>
      <c r="AF8094" s="7">
        <v>0.0</v>
      </c>
    </row>
    <row r="8095">
      <c r="G8095" s="5"/>
      <c r="H8095" s="6"/>
      <c r="AD8095" s="5">
        <v>45264.0</v>
      </c>
      <c r="AE8095" s="6">
        <v>0.20833333333333334</v>
      </c>
      <c r="AF8095" s="7">
        <v>0.0</v>
      </c>
    </row>
    <row r="8096">
      <c r="G8096" s="5"/>
      <c r="H8096" s="6"/>
      <c r="AD8096" s="5">
        <v>45264.0</v>
      </c>
      <c r="AE8096" s="6">
        <v>0.25</v>
      </c>
      <c r="AF8096" s="7">
        <v>0.0</v>
      </c>
    </row>
    <row r="8097">
      <c r="G8097" s="5"/>
      <c r="H8097" s="6"/>
      <c r="AD8097" s="5">
        <v>45264.0</v>
      </c>
      <c r="AE8097" s="6">
        <v>0.2916666666666667</v>
      </c>
      <c r="AF8097" s="7">
        <v>0.0</v>
      </c>
    </row>
    <row r="8098">
      <c r="G8098" s="5"/>
      <c r="H8098" s="6"/>
      <c r="AD8098" s="5">
        <v>45264.0</v>
      </c>
      <c r="AE8098" s="6">
        <v>0.3333333333333333</v>
      </c>
      <c r="AF8098" s="7">
        <v>11310.0</v>
      </c>
    </row>
    <row r="8099">
      <c r="G8099" s="5"/>
      <c r="H8099" s="6"/>
      <c r="AD8099" s="5">
        <v>45264.0</v>
      </c>
      <c r="AE8099" s="6">
        <v>0.375</v>
      </c>
      <c r="AF8099" s="7">
        <v>25168.26</v>
      </c>
    </row>
    <row r="8100">
      <c r="G8100" s="5"/>
      <c r="H8100" s="6"/>
      <c r="AD8100" s="5">
        <v>45264.0</v>
      </c>
      <c r="AE8100" s="6">
        <v>0.4166666666666667</v>
      </c>
      <c r="AF8100" s="7">
        <v>34649.16</v>
      </c>
    </row>
    <row r="8101">
      <c r="G8101" s="5"/>
      <c r="H8101" s="6"/>
      <c r="AD8101" s="5">
        <v>45264.0</v>
      </c>
      <c r="AE8101" s="6">
        <v>0.4583333333333333</v>
      </c>
      <c r="AF8101" s="7">
        <v>37060.14</v>
      </c>
    </row>
    <row r="8102">
      <c r="G8102" s="5"/>
      <c r="H8102" s="6"/>
      <c r="AD8102" s="5">
        <v>45264.0</v>
      </c>
      <c r="AE8102" s="6">
        <v>0.5</v>
      </c>
      <c r="AF8102" s="7">
        <v>40922.7</v>
      </c>
    </row>
    <row r="8103">
      <c r="G8103" s="5"/>
      <c r="H8103" s="6"/>
      <c r="AD8103" s="5">
        <v>45264.0</v>
      </c>
      <c r="AE8103" s="6">
        <v>0.5416666666666666</v>
      </c>
      <c r="AF8103" s="7">
        <v>35123.4</v>
      </c>
    </row>
    <row r="8104">
      <c r="G8104" s="5"/>
      <c r="H8104" s="6"/>
      <c r="AD8104" s="5">
        <v>45264.0</v>
      </c>
      <c r="AE8104" s="6">
        <v>0.5833333333333334</v>
      </c>
      <c r="AF8104" s="7">
        <v>24059.1</v>
      </c>
    </row>
    <row r="8105">
      <c r="G8105" s="5"/>
      <c r="H8105" s="6"/>
      <c r="AD8105" s="5">
        <v>45264.0</v>
      </c>
      <c r="AE8105" s="6">
        <v>0.625</v>
      </c>
      <c r="AF8105" s="7">
        <v>12805.26</v>
      </c>
    </row>
    <row r="8106">
      <c r="G8106" s="5"/>
      <c r="H8106" s="6"/>
      <c r="AD8106" s="5">
        <v>45264.0</v>
      </c>
      <c r="AE8106" s="6">
        <v>0.6666666666666666</v>
      </c>
      <c r="AF8106" s="7">
        <v>1138.8</v>
      </c>
    </row>
    <row r="8107">
      <c r="G8107" s="5"/>
      <c r="H8107" s="6"/>
      <c r="AD8107" s="5">
        <v>45264.0</v>
      </c>
      <c r="AE8107" s="6">
        <v>0.7083333333333334</v>
      </c>
      <c r="AF8107" s="7">
        <v>0.0</v>
      </c>
    </row>
    <row r="8108">
      <c r="G8108" s="5"/>
      <c r="H8108" s="6"/>
      <c r="AD8108" s="5">
        <v>45264.0</v>
      </c>
      <c r="AE8108" s="6">
        <v>0.75</v>
      </c>
      <c r="AF8108" s="7">
        <v>0.0</v>
      </c>
    </row>
    <row r="8109">
      <c r="G8109" s="5"/>
      <c r="H8109" s="6"/>
      <c r="AD8109" s="5">
        <v>45264.0</v>
      </c>
      <c r="AE8109" s="6">
        <v>0.7916666666666666</v>
      </c>
      <c r="AF8109" s="7">
        <v>0.0</v>
      </c>
    </row>
    <row r="8110">
      <c r="G8110" s="5"/>
      <c r="H8110" s="6"/>
      <c r="AD8110" s="5">
        <v>45264.0</v>
      </c>
      <c r="AE8110" s="6">
        <v>0.8333333333333334</v>
      </c>
      <c r="AF8110" s="7">
        <v>0.0</v>
      </c>
    </row>
    <row r="8111">
      <c r="G8111" s="5"/>
      <c r="H8111" s="6"/>
      <c r="AD8111" s="5">
        <v>45264.0</v>
      </c>
      <c r="AE8111" s="6">
        <v>0.875</v>
      </c>
      <c r="AF8111" s="7">
        <v>0.0</v>
      </c>
    </row>
    <row r="8112">
      <c r="G8112" s="5"/>
      <c r="H8112" s="6"/>
      <c r="AD8112" s="5">
        <v>45264.0</v>
      </c>
      <c r="AE8112" s="6">
        <v>0.9166666666666666</v>
      </c>
      <c r="AF8112" s="7">
        <v>0.0</v>
      </c>
    </row>
    <row r="8113">
      <c r="G8113" s="5"/>
      <c r="H8113" s="6"/>
      <c r="AD8113" s="5">
        <v>45264.0</v>
      </c>
      <c r="AE8113" s="6">
        <v>0.9583333333333334</v>
      </c>
      <c r="AF8113" s="7">
        <v>0.0</v>
      </c>
    </row>
    <row r="8114">
      <c r="G8114" s="5"/>
      <c r="H8114" s="6"/>
      <c r="AD8114" s="5">
        <v>45265.0</v>
      </c>
      <c r="AE8114" s="6">
        <v>0.0</v>
      </c>
      <c r="AF8114" s="7">
        <v>0.0</v>
      </c>
    </row>
    <row r="8115">
      <c r="G8115" s="5"/>
      <c r="H8115" s="6"/>
      <c r="AD8115" s="5">
        <v>45265.0</v>
      </c>
      <c r="AE8115" s="6">
        <v>0.041666666666666664</v>
      </c>
      <c r="AF8115" s="7">
        <v>0.0</v>
      </c>
    </row>
    <row r="8116">
      <c r="G8116" s="5"/>
      <c r="H8116" s="6"/>
      <c r="AD8116" s="5">
        <v>45265.0</v>
      </c>
      <c r="AE8116" s="6">
        <v>0.08333333333333333</v>
      </c>
      <c r="AF8116" s="7">
        <v>0.0</v>
      </c>
    </row>
    <row r="8117">
      <c r="G8117" s="5"/>
      <c r="H8117" s="6"/>
      <c r="AD8117" s="5">
        <v>45265.0</v>
      </c>
      <c r="AE8117" s="6">
        <v>0.125</v>
      </c>
      <c r="AF8117" s="7">
        <v>0.0</v>
      </c>
    </row>
    <row r="8118">
      <c r="G8118" s="5"/>
      <c r="H8118" s="6"/>
      <c r="AD8118" s="5">
        <v>45265.0</v>
      </c>
      <c r="AE8118" s="6">
        <v>0.16666666666666666</v>
      </c>
      <c r="AF8118" s="7">
        <v>0.0</v>
      </c>
    </row>
    <row r="8119">
      <c r="G8119" s="5"/>
      <c r="H8119" s="6"/>
      <c r="AD8119" s="5">
        <v>45265.0</v>
      </c>
      <c r="AE8119" s="6">
        <v>0.20833333333333334</v>
      </c>
      <c r="AF8119" s="7">
        <v>0.0</v>
      </c>
    </row>
    <row r="8120">
      <c r="G8120" s="5"/>
      <c r="H8120" s="6"/>
      <c r="AD8120" s="5">
        <v>45265.0</v>
      </c>
      <c r="AE8120" s="6">
        <v>0.25</v>
      </c>
      <c r="AF8120" s="7">
        <v>0.0</v>
      </c>
    </row>
    <row r="8121">
      <c r="G8121" s="5"/>
      <c r="H8121" s="6"/>
      <c r="AD8121" s="5">
        <v>45265.0</v>
      </c>
      <c r="AE8121" s="6">
        <v>0.2916666666666667</v>
      </c>
      <c r="AF8121" s="7">
        <v>0.0</v>
      </c>
    </row>
    <row r="8122">
      <c r="G8122" s="5"/>
      <c r="H8122" s="6"/>
      <c r="AD8122" s="5">
        <v>45265.0</v>
      </c>
      <c r="AE8122" s="6">
        <v>0.3333333333333333</v>
      </c>
      <c r="AF8122" s="7">
        <v>9702.42</v>
      </c>
    </row>
    <row r="8123">
      <c r="G8123" s="5"/>
      <c r="H8123" s="6"/>
      <c r="AD8123" s="5">
        <v>45265.0</v>
      </c>
      <c r="AE8123" s="6">
        <v>0.375</v>
      </c>
      <c r="AF8123" s="7">
        <v>22452.3</v>
      </c>
    </row>
    <row r="8124">
      <c r="G8124" s="5"/>
      <c r="H8124" s="6"/>
      <c r="AD8124" s="5">
        <v>45265.0</v>
      </c>
      <c r="AE8124" s="6">
        <v>0.4166666666666667</v>
      </c>
      <c r="AF8124" s="7">
        <v>34391.76</v>
      </c>
    </row>
    <row r="8125">
      <c r="G8125" s="5"/>
      <c r="H8125" s="6"/>
      <c r="AD8125" s="5">
        <v>45265.0</v>
      </c>
      <c r="AE8125" s="6">
        <v>0.4583333333333333</v>
      </c>
      <c r="AF8125" s="7">
        <v>38879.1</v>
      </c>
    </row>
    <row r="8126">
      <c r="G8126" s="5"/>
      <c r="H8126" s="6"/>
      <c r="AD8126" s="5">
        <v>45265.0</v>
      </c>
      <c r="AE8126" s="6">
        <v>0.5</v>
      </c>
      <c r="AF8126" s="7">
        <v>36304.32</v>
      </c>
    </row>
    <row r="8127">
      <c r="G8127" s="5"/>
      <c r="H8127" s="6"/>
      <c r="AD8127" s="5">
        <v>45265.0</v>
      </c>
      <c r="AE8127" s="6">
        <v>0.5416666666666666</v>
      </c>
      <c r="AF8127" s="7">
        <v>26378.04</v>
      </c>
    </row>
    <row r="8128">
      <c r="G8128" s="5"/>
      <c r="H8128" s="6"/>
      <c r="AD8128" s="5">
        <v>45265.0</v>
      </c>
      <c r="AE8128" s="6">
        <v>0.5833333333333334</v>
      </c>
      <c r="AF8128" s="7">
        <v>20917.26</v>
      </c>
    </row>
    <row r="8129">
      <c r="G8129" s="5"/>
      <c r="H8129" s="6"/>
      <c r="AD8129" s="5">
        <v>45265.0</v>
      </c>
      <c r="AE8129" s="6">
        <v>0.625</v>
      </c>
      <c r="AF8129" s="7">
        <v>7304.7</v>
      </c>
    </row>
    <row r="8130">
      <c r="G8130" s="5"/>
      <c r="H8130" s="6"/>
      <c r="AD8130" s="5">
        <v>45265.0</v>
      </c>
      <c r="AE8130" s="6">
        <v>0.6666666666666666</v>
      </c>
      <c r="AF8130" s="7">
        <v>223.86</v>
      </c>
    </row>
    <row r="8131">
      <c r="G8131" s="5"/>
      <c r="H8131" s="6"/>
      <c r="AD8131" s="5">
        <v>45265.0</v>
      </c>
      <c r="AE8131" s="6">
        <v>0.7083333333333334</v>
      </c>
      <c r="AF8131" s="7">
        <v>0.0</v>
      </c>
    </row>
    <row r="8132">
      <c r="G8132" s="5"/>
      <c r="H8132" s="6"/>
      <c r="AD8132" s="5">
        <v>45265.0</v>
      </c>
      <c r="AE8132" s="6">
        <v>0.75</v>
      </c>
      <c r="AF8132" s="7">
        <v>0.0</v>
      </c>
    </row>
    <row r="8133">
      <c r="G8133" s="5"/>
      <c r="H8133" s="6"/>
      <c r="AD8133" s="5">
        <v>45265.0</v>
      </c>
      <c r="AE8133" s="6">
        <v>0.7916666666666666</v>
      </c>
      <c r="AF8133" s="7">
        <v>0.0</v>
      </c>
    </row>
    <row r="8134">
      <c r="G8134" s="5"/>
      <c r="H8134" s="6"/>
      <c r="AD8134" s="5">
        <v>45265.0</v>
      </c>
      <c r="AE8134" s="6">
        <v>0.8333333333333334</v>
      </c>
      <c r="AF8134" s="7">
        <v>0.0</v>
      </c>
    </row>
    <row r="8135">
      <c r="G8135" s="5"/>
      <c r="H8135" s="6"/>
      <c r="AD8135" s="5">
        <v>45265.0</v>
      </c>
      <c r="AE8135" s="6">
        <v>0.875</v>
      </c>
      <c r="AF8135" s="7">
        <v>0.0</v>
      </c>
    </row>
    <row r="8136">
      <c r="G8136" s="5"/>
      <c r="H8136" s="6"/>
      <c r="AD8136" s="5">
        <v>45265.0</v>
      </c>
      <c r="AE8136" s="6">
        <v>0.9166666666666666</v>
      </c>
      <c r="AF8136" s="7">
        <v>0.0</v>
      </c>
    </row>
    <row r="8137">
      <c r="G8137" s="5"/>
      <c r="H8137" s="6"/>
      <c r="AD8137" s="5">
        <v>45265.0</v>
      </c>
      <c r="AE8137" s="6">
        <v>0.9583333333333334</v>
      </c>
      <c r="AF8137" s="7">
        <v>0.0</v>
      </c>
    </row>
    <row r="8138">
      <c r="G8138" s="5"/>
      <c r="H8138" s="6"/>
      <c r="AD8138" s="5">
        <v>45266.0</v>
      </c>
      <c r="AE8138" s="6">
        <v>0.0</v>
      </c>
      <c r="AF8138" s="7">
        <v>0.0</v>
      </c>
    </row>
    <row r="8139">
      <c r="G8139" s="5"/>
      <c r="H8139" s="6"/>
      <c r="AD8139" s="5">
        <v>45266.0</v>
      </c>
      <c r="AE8139" s="6">
        <v>0.041666666666666664</v>
      </c>
      <c r="AF8139" s="7">
        <v>0.0</v>
      </c>
    </row>
    <row r="8140">
      <c r="G8140" s="5"/>
      <c r="H8140" s="6"/>
      <c r="AD8140" s="5">
        <v>45266.0</v>
      </c>
      <c r="AE8140" s="6">
        <v>0.08333333333333333</v>
      </c>
      <c r="AF8140" s="7">
        <v>0.0</v>
      </c>
    </row>
    <row r="8141">
      <c r="G8141" s="5"/>
      <c r="H8141" s="6"/>
      <c r="AD8141" s="5">
        <v>45266.0</v>
      </c>
      <c r="AE8141" s="6">
        <v>0.125</v>
      </c>
      <c r="AF8141" s="7">
        <v>0.0</v>
      </c>
    </row>
    <row r="8142">
      <c r="G8142" s="5"/>
      <c r="H8142" s="6"/>
      <c r="AD8142" s="5">
        <v>45266.0</v>
      </c>
      <c r="AE8142" s="6">
        <v>0.16666666666666666</v>
      </c>
      <c r="AF8142" s="7">
        <v>0.0</v>
      </c>
    </row>
    <row r="8143">
      <c r="G8143" s="5"/>
      <c r="H8143" s="6"/>
      <c r="AD8143" s="5">
        <v>45266.0</v>
      </c>
      <c r="AE8143" s="6">
        <v>0.20833333333333334</v>
      </c>
      <c r="AF8143" s="7">
        <v>0.0</v>
      </c>
    </row>
    <row r="8144">
      <c r="G8144" s="5"/>
      <c r="H8144" s="6"/>
      <c r="AD8144" s="5">
        <v>45266.0</v>
      </c>
      <c r="AE8144" s="6">
        <v>0.25</v>
      </c>
      <c r="AF8144" s="7">
        <v>0.0</v>
      </c>
    </row>
    <row r="8145">
      <c r="G8145" s="5"/>
      <c r="H8145" s="6"/>
      <c r="AD8145" s="5">
        <v>45266.0</v>
      </c>
      <c r="AE8145" s="6">
        <v>0.2916666666666667</v>
      </c>
      <c r="AF8145" s="7">
        <v>0.0</v>
      </c>
    </row>
    <row r="8146">
      <c r="G8146" s="5"/>
      <c r="H8146" s="6"/>
      <c r="AD8146" s="5">
        <v>45266.0</v>
      </c>
      <c r="AE8146" s="6">
        <v>0.3333333333333333</v>
      </c>
      <c r="AF8146" s="7">
        <v>11018.28</v>
      </c>
    </row>
    <row r="8147">
      <c r="G8147" s="5"/>
      <c r="H8147" s="6"/>
      <c r="AD8147" s="5">
        <v>45266.0</v>
      </c>
      <c r="AE8147" s="6">
        <v>0.375</v>
      </c>
      <c r="AF8147" s="7">
        <v>25676.82</v>
      </c>
    </row>
    <row r="8148">
      <c r="G8148" s="5"/>
      <c r="H8148" s="6"/>
      <c r="AD8148" s="5">
        <v>45266.0</v>
      </c>
      <c r="AE8148" s="6">
        <v>0.4166666666666667</v>
      </c>
      <c r="AF8148" s="7">
        <v>34970.52</v>
      </c>
    </row>
    <row r="8149">
      <c r="G8149" s="5"/>
      <c r="H8149" s="6"/>
      <c r="AD8149" s="5">
        <v>45266.0</v>
      </c>
      <c r="AE8149" s="6">
        <v>0.4583333333333333</v>
      </c>
      <c r="AF8149" s="7">
        <v>40731.6</v>
      </c>
    </row>
    <row r="8150">
      <c r="G8150" s="5"/>
      <c r="H8150" s="6"/>
      <c r="AD8150" s="5">
        <v>45266.0</v>
      </c>
      <c r="AE8150" s="6">
        <v>0.5</v>
      </c>
      <c r="AF8150" s="7">
        <v>40370.46</v>
      </c>
    </row>
    <row r="8151">
      <c r="G8151" s="5"/>
      <c r="H8151" s="6"/>
      <c r="AD8151" s="5">
        <v>45266.0</v>
      </c>
      <c r="AE8151" s="6">
        <v>0.5416666666666666</v>
      </c>
      <c r="AF8151" s="7">
        <v>37198.98</v>
      </c>
    </row>
    <row r="8152">
      <c r="G8152" s="5"/>
      <c r="H8152" s="6"/>
      <c r="AD8152" s="5">
        <v>45266.0</v>
      </c>
      <c r="AE8152" s="6">
        <v>0.5833333333333334</v>
      </c>
      <c r="AF8152" s="7">
        <v>32023.68</v>
      </c>
    </row>
    <row r="8153">
      <c r="G8153" s="5"/>
      <c r="H8153" s="6"/>
      <c r="AD8153" s="5">
        <v>45266.0</v>
      </c>
      <c r="AE8153" s="6">
        <v>0.625</v>
      </c>
      <c r="AF8153" s="7">
        <v>9693.84</v>
      </c>
    </row>
    <row r="8154">
      <c r="G8154" s="5"/>
      <c r="H8154" s="6"/>
      <c r="AD8154" s="5">
        <v>45266.0</v>
      </c>
      <c r="AE8154" s="6">
        <v>0.6666666666666666</v>
      </c>
      <c r="AF8154" s="7">
        <v>1112.28</v>
      </c>
    </row>
    <row r="8155">
      <c r="G8155" s="5"/>
      <c r="H8155" s="6"/>
      <c r="AD8155" s="5">
        <v>45266.0</v>
      </c>
      <c r="AE8155" s="6">
        <v>0.7083333333333334</v>
      </c>
      <c r="AF8155" s="7">
        <v>0.0</v>
      </c>
    </row>
    <row r="8156">
      <c r="G8156" s="5"/>
      <c r="H8156" s="6"/>
      <c r="AD8156" s="5">
        <v>45266.0</v>
      </c>
      <c r="AE8156" s="6">
        <v>0.75</v>
      </c>
      <c r="AF8156" s="7">
        <v>0.0</v>
      </c>
    </row>
    <row r="8157">
      <c r="G8157" s="5"/>
      <c r="H8157" s="6"/>
      <c r="AD8157" s="5">
        <v>45266.0</v>
      </c>
      <c r="AE8157" s="6">
        <v>0.7916666666666666</v>
      </c>
      <c r="AF8157" s="7">
        <v>0.0</v>
      </c>
    </row>
    <row r="8158">
      <c r="G8158" s="5"/>
      <c r="H8158" s="6"/>
      <c r="AD8158" s="5">
        <v>45266.0</v>
      </c>
      <c r="AE8158" s="6">
        <v>0.8333333333333334</v>
      </c>
      <c r="AF8158" s="7">
        <v>0.0</v>
      </c>
    </row>
    <row r="8159">
      <c r="G8159" s="5"/>
      <c r="H8159" s="6"/>
      <c r="AD8159" s="5">
        <v>45266.0</v>
      </c>
      <c r="AE8159" s="6">
        <v>0.875</v>
      </c>
      <c r="AF8159" s="7">
        <v>0.0</v>
      </c>
    </row>
    <row r="8160">
      <c r="G8160" s="5"/>
      <c r="H8160" s="6"/>
      <c r="AD8160" s="5">
        <v>45266.0</v>
      </c>
      <c r="AE8160" s="6">
        <v>0.9166666666666666</v>
      </c>
      <c r="AF8160" s="7">
        <v>0.0</v>
      </c>
    </row>
    <row r="8161">
      <c r="G8161" s="5"/>
      <c r="H8161" s="6"/>
      <c r="AD8161" s="5">
        <v>45266.0</v>
      </c>
      <c r="AE8161" s="6">
        <v>0.9583333333333334</v>
      </c>
      <c r="AF8161" s="7">
        <v>0.0</v>
      </c>
    </row>
    <row r="8162">
      <c r="G8162" s="5"/>
      <c r="H8162" s="6"/>
      <c r="AD8162" s="5">
        <v>45267.0</v>
      </c>
      <c r="AE8162" s="6">
        <v>0.0</v>
      </c>
      <c r="AF8162" s="7">
        <v>0.0</v>
      </c>
    </row>
    <row r="8163">
      <c r="G8163" s="5"/>
      <c r="H8163" s="6"/>
      <c r="AD8163" s="5">
        <v>45267.0</v>
      </c>
      <c r="AE8163" s="6">
        <v>0.041666666666666664</v>
      </c>
      <c r="AF8163" s="7">
        <v>0.0</v>
      </c>
    </row>
    <row r="8164">
      <c r="G8164" s="5"/>
      <c r="H8164" s="6"/>
      <c r="AD8164" s="5">
        <v>45267.0</v>
      </c>
      <c r="AE8164" s="6">
        <v>0.08333333333333333</v>
      </c>
      <c r="AF8164" s="7">
        <v>0.0</v>
      </c>
    </row>
    <row r="8165">
      <c r="G8165" s="5"/>
      <c r="H8165" s="6"/>
      <c r="AD8165" s="5">
        <v>45267.0</v>
      </c>
      <c r="AE8165" s="6">
        <v>0.125</v>
      </c>
      <c r="AF8165" s="7">
        <v>0.0</v>
      </c>
    </row>
    <row r="8166">
      <c r="G8166" s="5"/>
      <c r="H8166" s="6"/>
      <c r="AD8166" s="5">
        <v>45267.0</v>
      </c>
      <c r="AE8166" s="6">
        <v>0.16666666666666666</v>
      </c>
      <c r="AF8166" s="7">
        <v>0.0</v>
      </c>
    </row>
    <row r="8167">
      <c r="G8167" s="5"/>
      <c r="H8167" s="6"/>
      <c r="AD8167" s="5">
        <v>45267.0</v>
      </c>
      <c r="AE8167" s="6">
        <v>0.20833333333333334</v>
      </c>
      <c r="AF8167" s="7">
        <v>0.0</v>
      </c>
    </row>
    <row r="8168">
      <c r="G8168" s="5"/>
      <c r="H8168" s="6"/>
      <c r="AD8168" s="5">
        <v>45267.0</v>
      </c>
      <c r="AE8168" s="6">
        <v>0.25</v>
      </c>
      <c r="AF8168" s="7">
        <v>0.0</v>
      </c>
    </row>
    <row r="8169">
      <c r="G8169" s="5"/>
      <c r="H8169" s="6"/>
      <c r="AD8169" s="5">
        <v>45267.0</v>
      </c>
      <c r="AE8169" s="6">
        <v>0.2916666666666667</v>
      </c>
      <c r="AF8169" s="7">
        <v>0.0</v>
      </c>
    </row>
    <row r="8170">
      <c r="G8170" s="5"/>
      <c r="H8170" s="6"/>
      <c r="AD8170" s="5">
        <v>45267.0</v>
      </c>
      <c r="AE8170" s="6">
        <v>0.3333333333333333</v>
      </c>
      <c r="AF8170" s="7">
        <v>3907.02</v>
      </c>
    </row>
    <row r="8171">
      <c r="G8171" s="5"/>
      <c r="H8171" s="6"/>
      <c r="AD8171" s="5">
        <v>45267.0</v>
      </c>
      <c r="AE8171" s="6">
        <v>0.375</v>
      </c>
      <c r="AF8171" s="7">
        <v>18855.72</v>
      </c>
    </row>
    <row r="8172">
      <c r="G8172" s="5"/>
      <c r="H8172" s="6"/>
      <c r="AD8172" s="5">
        <v>45267.0</v>
      </c>
      <c r="AE8172" s="6">
        <v>0.4166666666666667</v>
      </c>
      <c r="AF8172" s="7">
        <v>21385.26</v>
      </c>
    </row>
    <row r="8173">
      <c r="G8173" s="5"/>
      <c r="H8173" s="6"/>
      <c r="AD8173" s="5">
        <v>45267.0</v>
      </c>
      <c r="AE8173" s="6">
        <v>0.4583333333333333</v>
      </c>
      <c r="AF8173" s="7">
        <v>15265.38</v>
      </c>
    </row>
    <row r="8174">
      <c r="G8174" s="5"/>
      <c r="H8174" s="6"/>
      <c r="AD8174" s="5">
        <v>45267.0</v>
      </c>
      <c r="AE8174" s="6">
        <v>0.5</v>
      </c>
      <c r="AF8174" s="7">
        <v>17032.08</v>
      </c>
    </row>
    <row r="8175">
      <c r="G8175" s="5"/>
      <c r="H8175" s="6"/>
      <c r="AD8175" s="5">
        <v>45267.0</v>
      </c>
      <c r="AE8175" s="6">
        <v>0.5416666666666666</v>
      </c>
      <c r="AF8175" s="7">
        <v>2563.08</v>
      </c>
    </row>
    <row r="8176">
      <c r="G8176" s="5"/>
      <c r="H8176" s="6"/>
      <c r="AD8176" s="5">
        <v>45267.0</v>
      </c>
      <c r="AE8176" s="6">
        <v>0.5833333333333334</v>
      </c>
      <c r="AF8176" s="7">
        <v>3231.54</v>
      </c>
    </row>
    <row r="8177">
      <c r="G8177" s="5"/>
      <c r="H8177" s="6"/>
      <c r="AD8177" s="5">
        <v>45267.0</v>
      </c>
      <c r="AE8177" s="6">
        <v>0.625</v>
      </c>
      <c r="AF8177" s="7">
        <v>4378.14</v>
      </c>
    </row>
    <row r="8178">
      <c r="G8178" s="5"/>
      <c r="H8178" s="6"/>
      <c r="AD8178" s="5">
        <v>45267.0</v>
      </c>
      <c r="AE8178" s="6">
        <v>0.6666666666666666</v>
      </c>
      <c r="AF8178" s="7">
        <v>395.46</v>
      </c>
    </row>
    <row r="8179">
      <c r="G8179" s="5"/>
      <c r="H8179" s="6"/>
      <c r="AD8179" s="5">
        <v>45267.0</v>
      </c>
      <c r="AE8179" s="6">
        <v>0.7083333333333334</v>
      </c>
      <c r="AF8179" s="7">
        <v>0.0</v>
      </c>
    </row>
    <row r="8180">
      <c r="G8180" s="5"/>
      <c r="H8180" s="6"/>
      <c r="AD8180" s="5">
        <v>45267.0</v>
      </c>
      <c r="AE8180" s="6">
        <v>0.75</v>
      </c>
      <c r="AF8180" s="7">
        <v>0.0</v>
      </c>
    </row>
    <row r="8181">
      <c r="G8181" s="5"/>
      <c r="H8181" s="6"/>
      <c r="AD8181" s="5">
        <v>45267.0</v>
      </c>
      <c r="AE8181" s="6">
        <v>0.7916666666666666</v>
      </c>
      <c r="AF8181" s="7">
        <v>0.0</v>
      </c>
    </row>
    <row r="8182">
      <c r="G8182" s="5"/>
      <c r="H8182" s="6"/>
      <c r="AD8182" s="5">
        <v>45267.0</v>
      </c>
      <c r="AE8182" s="6">
        <v>0.8333333333333334</v>
      </c>
      <c r="AF8182" s="7">
        <v>0.0</v>
      </c>
    </row>
    <row r="8183">
      <c r="G8183" s="5"/>
      <c r="H8183" s="6"/>
      <c r="AD8183" s="5">
        <v>45267.0</v>
      </c>
      <c r="AE8183" s="6">
        <v>0.875</v>
      </c>
      <c r="AF8183" s="7">
        <v>0.0</v>
      </c>
    </row>
    <row r="8184">
      <c r="G8184" s="5"/>
      <c r="H8184" s="6"/>
      <c r="AD8184" s="5">
        <v>45267.0</v>
      </c>
      <c r="AE8184" s="6">
        <v>0.9166666666666666</v>
      </c>
      <c r="AF8184" s="7">
        <v>0.0</v>
      </c>
    </row>
    <row r="8185">
      <c r="G8185" s="5"/>
      <c r="H8185" s="6"/>
      <c r="AD8185" s="5">
        <v>45267.0</v>
      </c>
      <c r="AE8185" s="6">
        <v>0.9583333333333334</v>
      </c>
      <c r="AF8185" s="7">
        <v>0.0</v>
      </c>
    </row>
    <row r="8186">
      <c r="G8186" s="5"/>
      <c r="H8186" s="6"/>
      <c r="AD8186" s="5">
        <v>45268.0</v>
      </c>
      <c r="AE8186" s="6">
        <v>0.0</v>
      </c>
      <c r="AF8186" s="7">
        <v>0.0</v>
      </c>
    </row>
    <row r="8187">
      <c r="G8187" s="5"/>
      <c r="H8187" s="6"/>
      <c r="AD8187" s="5">
        <v>45268.0</v>
      </c>
      <c r="AE8187" s="6">
        <v>0.041666666666666664</v>
      </c>
      <c r="AF8187" s="7">
        <v>0.0</v>
      </c>
    </row>
    <row r="8188">
      <c r="G8188" s="5"/>
      <c r="H8188" s="6"/>
      <c r="AD8188" s="5">
        <v>45268.0</v>
      </c>
      <c r="AE8188" s="6">
        <v>0.08333333333333333</v>
      </c>
      <c r="AF8188" s="7">
        <v>0.0</v>
      </c>
    </row>
    <row r="8189">
      <c r="G8189" s="5"/>
      <c r="H8189" s="6"/>
      <c r="AD8189" s="5">
        <v>45268.0</v>
      </c>
      <c r="AE8189" s="6">
        <v>0.125</v>
      </c>
      <c r="AF8189" s="7">
        <v>0.0</v>
      </c>
    </row>
    <row r="8190">
      <c r="G8190" s="5"/>
      <c r="H8190" s="6"/>
      <c r="AD8190" s="5">
        <v>45268.0</v>
      </c>
      <c r="AE8190" s="6">
        <v>0.16666666666666666</v>
      </c>
      <c r="AF8190" s="7">
        <v>0.0</v>
      </c>
    </row>
    <row r="8191">
      <c r="G8191" s="5"/>
      <c r="H8191" s="6"/>
      <c r="AD8191" s="5">
        <v>45268.0</v>
      </c>
      <c r="AE8191" s="6">
        <v>0.20833333333333334</v>
      </c>
      <c r="AF8191" s="7">
        <v>0.0</v>
      </c>
    </row>
    <row r="8192">
      <c r="G8192" s="5"/>
      <c r="H8192" s="6"/>
      <c r="AD8192" s="5">
        <v>45268.0</v>
      </c>
      <c r="AE8192" s="6">
        <v>0.25</v>
      </c>
      <c r="AF8192" s="7">
        <v>0.0</v>
      </c>
    </row>
    <row r="8193">
      <c r="G8193" s="5"/>
      <c r="H8193" s="6"/>
      <c r="AD8193" s="5">
        <v>45268.0</v>
      </c>
      <c r="AE8193" s="6">
        <v>0.2916666666666667</v>
      </c>
      <c r="AF8193" s="7">
        <v>0.0</v>
      </c>
    </row>
    <row r="8194">
      <c r="G8194" s="5"/>
      <c r="H8194" s="6"/>
      <c r="AD8194" s="5">
        <v>45268.0</v>
      </c>
      <c r="AE8194" s="6">
        <v>0.3333333333333333</v>
      </c>
      <c r="AF8194" s="7">
        <v>1603.68</v>
      </c>
    </row>
    <row r="8195">
      <c r="G8195" s="5"/>
      <c r="H8195" s="6"/>
      <c r="AD8195" s="5">
        <v>45268.0</v>
      </c>
      <c r="AE8195" s="6">
        <v>0.375</v>
      </c>
      <c r="AF8195" s="7">
        <v>20790.12</v>
      </c>
    </row>
    <row r="8196">
      <c r="G8196" s="5"/>
      <c r="H8196" s="6"/>
      <c r="AD8196" s="5">
        <v>45268.0</v>
      </c>
      <c r="AE8196" s="6">
        <v>0.4166666666666667</v>
      </c>
      <c r="AF8196" s="7">
        <v>37171.68</v>
      </c>
    </row>
    <row r="8197">
      <c r="G8197" s="5"/>
      <c r="H8197" s="6"/>
      <c r="AD8197" s="5">
        <v>45268.0</v>
      </c>
      <c r="AE8197" s="6">
        <v>0.4583333333333333</v>
      </c>
      <c r="AF8197" s="7">
        <v>43372.68</v>
      </c>
    </row>
    <row r="8198">
      <c r="G8198" s="5"/>
      <c r="H8198" s="6"/>
      <c r="AD8198" s="5">
        <v>45268.0</v>
      </c>
      <c r="AE8198" s="6">
        <v>0.5</v>
      </c>
      <c r="AF8198" s="7">
        <v>35170.2</v>
      </c>
    </row>
    <row r="8199">
      <c r="G8199" s="5"/>
      <c r="H8199" s="6"/>
      <c r="AD8199" s="5">
        <v>45268.0</v>
      </c>
      <c r="AE8199" s="6">
        <v>0.5416666666666666</v>
      </c>
      <c r="AF8199" s="7">
        <v>38617.8</v>
      </c>
    </row>
    <row r="8200">
      <c r="G8200" s="5"/>
      <c r="H8200" s="6"/>
      <c r="AD8200" s="5">
        <v>45268.0</v>
      </c>
      <c r="AE8200" s="6">
        <v>0.5833333333333334</v>
      </c>
      <c r="AF8200" s="7">
        <v>23669.88</v>
      </c>
    </row>
    <row r="8201">
      <c r="G8201" s="5"/>
      <c r="H8201" s="6"/>
      <c r="AD8201" s="5">
        <v>45268.0</v>
      </c>
      <c r="AE8201" s="6">
        <v>0.625</v>
      </c>
      <c r="AF8201" s="7">
        <v>15369.12</v>
      </c>
    </row>
    <row r="8202">
      <c r="G8202" s="5"/>
      <c r="H8202" s="6"/>
      <c r="AD8202" s="5">
        <v>45268.0</v>
      </c>
      <c r="AE8202" s="6">
        <v>0.6666666666666666</v>
      </c>
      <c r="AF8202" s="7">
        <v>2304.12</v>
      </c>
    </row>
    <row r="8203">
      <c r="G8203" s="5"/>
      <c r="H8203" s="6"/>
      <c r="AD8203" s="5">
        <v>45268.0</v>
      </c>
      <c r="AE8203" s="6">
        <v>0.7083333333333334</v>
      </c>
      <c r="AF8203" s="7">
        <v>0.0</v>
      </c>
    </row>
    <row r="8204">
      <c r="G8204" s="5"/>
      <c r="H8204" s="6"/>
      <c r="AD8204" s="5">
        <v>45268.0</v>
      </c>
      <c r="AE8204" s="6">
        <v>0.75</v>
      </c>
      <c r="AF8204" s="7">
        <v>0.0</v>
      </c>
    </row>
    <row r="8205">
      <c r="G8205" s="5"/>
      <c r="H8205" s="6"/>
      <c r="AD8205" s="5">
        <v>45268.0</v>
      </c>
      <c r="AE8205" s="6">
        <v>0.7916666666666666</v>
      </c>
      <c r="AF8205" s="7">
        <v>0.0</v>
      </c>
    </row>
    <row r="8206">
      <c r="G8206" s="5"/>
      <c r="H8206" s="6"/>
      <c r="AD8206" s="5">
        <v>45268.0</v>
      </c>
      <c r="AE8206" s="6">
        <v>0.8333333333333334</v>
      </c>
      <c r="AF8206" s="7">
        <v>0.0</v>
      </c>
    </row>
    <row r="8207">
      <c r="G8207" s="5"/>
      <c r="H8207" s="6"/>
      <c r="AD8207" s="5">
        <v>45268.0</v>
      </c>
      <c r="AE8207" s="6">
        <v>0.875</v>
      </c>
      <c r="AF8207" s="7">
        <v>0.0</v>
      </c>
    </row>
    <row r="8208">
      <c r="G8208" s="5"/>
      <c r="H8208" s="6"/>
      <c r="AD8208" s="5">
        <v>45268.0</v>
      </c>
      <c r="AE8208" s="6">
        <v>0.9166666666666666</v>
      </c>
      <c r="AF8208" s="7">
        <v>0.0</v>
      </c>
    </row>
    <row r="8209">
      <c r="G8209" s="5"/>
      <c r="H8209" s="6"/>
      <c r="AD8209" s="5">
        <v>45268.0</v>
      </c>
      <c r="AE8209" s="6">
        <v>0.9583333333333334</v>
      </c>
      <c r="AF8209" s="7">
        <v>0.0</v>
      </c>
    </row>
    <row r="8210">
      <c r="G8210" s="5"/>
      <c r="H8210" s="6"/>
      <c r="AD8210" s="5">
        <v>45269.0</v>
      </c>
      <c r="AE8210" s="6">
        <v>0.0</v>
      </c>
      <c r="AF8210" s="7">
        <v>0.0</v>
      </c>
    </row>
    <row r="8211">
      <c r="G8211" s="5"/>
      <c r="H8211" s="6"/>
      <c r="AD8211" s="5">
        <v>45269.0</v>
      </c>
      <c r="AE8211" s="6">
        <v>0.041666666666666664</v>
      </c>
      <c r="AF8211" s="7">
        <v>0.0</v>
      </c>
    </row>
    <row r="8212">
      <c r="G8212" s="5"/>
      <c r="H8212" s="6"/>
      <c r="AD8212" s="5">
        <v>45269.0</v>
      </c>
      <c r="AE8212" s="6">
        <v>0.08333333333333333</v>
      </c>
      <c r="AF8212" s="7">
        <v>0.0</v>
      </c>
    </row>
    <row r="8213">
      <c r="G8213" s="5"/>
      <c r="H8213" s="6"/>
      <c r="AD8213" s="5">
        <v>45269.0</v>
      </c>
      <c r="AE8213" s="6">
        <v>0.125</v>
      </c>
      <c r="AF8213" s="7">
        <v>0.0</v>
      </c>
    </row>
    <row r="8214">
      <c r="G8214" s="5"/>
      <c r="H8214" s="6"/>
      <c r="AD8214" s="5">
        <v>45269.0</v>
      </c>
      <c r="AE8214" s="6">
        <v>0.16666666666666666</v>
      </c>
      <c r="AF8214" s="7">
        <v>0.0</v>
      </c>
    </row>
    <row r="8215">
      <c r="G8215" s="5"/>
      <c r="H8215" s="6"/>
      <c r="AD8215" s="5">
        <v>45269.0</v>
      </c>
      <c r="AE8215" s="6">
        <v>0.20833333333333334</v>
      </c>
      <c r="AF8215" s="7">
        <v>0.0</v>
      </c>
    </row>
    <row r="8216">
      <c r="G8216" s="5"/>
      <c r="H8216" s="6"/>
      <c r="AD8216" s="5">
        <v>45269.0</v>
      </c>
      <c r="AE8216" s="6">
        <v>0.25</v>
      </c>
      <c r="AF8216" s="7">
        <v>0.0</v>
      </c>
    </row>
    <row r="8217">
      <c r="G8217" s="5"/>
      <c r="H8217" s="6"/>
      <c r="AD8217" s="5">
        <v>45269.0</v>
      </c>
      <c r="AE8217" s="6">
        <v>0.2916666666666667</v>
      </c>
      <c r="AF8217" s="7">
        <v>0.0</v>
      </c>
    </row>
    <row r="8218">
      <c r="G8218" s="5"/>
      <c r="H8218" s="6"/>
      <c r="AD8218" s="5">
        <v>45269.0</v>
      </c>
      <c r="AE8218" s="6">
        <v>0.3333333333333333</v>
      </c>
      <c r="AF8218" s="7">
        <v>4878.9</v>
      </c>
    </row>
    <row r="8219">
      <c r="G8219" s="5"/>
      <c r="H8219" s="6"/>
      <c r="AD8219" s="5">
        <v>45269.0</v>
      </c>
      <c r="AE8219" s="6">
        <v>0.375</v>
      </c>
      <c r="AF8219" s="7">
        <v>18138.12</v>
      </c>
    </row>
    <row r="8220">
      <c r="G8220" s="5"/>
      <c r="H8220" s="6"/>
      <c r="AD8220" s="5">
        <v>45269.0</v>
      </c>
      <c r="AE8220" s="6">
        <v>0.4166666666666667</v>
      </c>
      <c r="AF8220" s="7">
        <v>33446.4</v>
      </c>
    </row>
    <row r="8221">
      <c r="G8221" s="5"/>
      <c r="H8221" s="6"/>
      <c r="AD8221" s="5">
        <v>45269.0</v>
      </c>
      <c r="AE8221" s="6">
        <v>0.4583333333333333</v>
      </c>
      <c r="AF8221" s="7">
        <v>40385.28</v>
      </c>
    </row>
    <row r="8222">
      <c r="G8222" s="5"/>
      <c r="H8222" s="6"/>
      <c r="AD8222" s="5">
        <v>45269.0</v>
      </c>
      <c r="AE8222" s="6">
        <v>0.5</v>
      </c>
      <c r="AF8222" s="7">
        <v>40202.76</v>
      </c>
    </row>
    <row r="8223">
      <c r="G8223" s="5"/>
      <c r="H8223" s="6"/>
      <c r="AD8223" s="5">
        <v>45269.0</v>
      </c>
      <c r="AE8223" s="6">
        <v>0.5416666666666666</v>
      </c>
      <c r="AF8223" s="7">
        <v>37256.7</v>
      </c>
    </row>
    <row r="8224">
      <c r="G8224" s="5"/>
      <c r="H8224" s="6"/>
      <c r="AD8224" s="5">
        <v>45269.0</v>
      </c>
      <c r="AE8224" s="6">
        <v>0.5833333333333334</v>
      </c>
      <c r="AF8224" s="7">
        <v>28438.02</v>
      </c>
    </row>
    <row r="8225">
      <c r="G8225" s="5"/>
      <c r="H8225" s="6"/>
      <c r="AD8225" s="5">
        <v>45269.0</v>
      </c>
      <c r="AE8225" s="6">
        <v>0.625</v>
      </c>
      <c r="AF8225" s="7">
        <v>8999.64</v>
      </c>
    </row>
    <row r="8226">
      <c r="G8226" s="5"/>
      <c r="H8226" s="6"/>
      <c r="AD8226" s="5">
        <v>45269.0</v>
      </c>
      <c r="AE8226" s="6">
        <v>0.6666666666666666</v>
      </c>
      <c r="AF8226" s="7">
        <v>1105.26</v>
      </c>
    </row>
    <row r="8227">
      <c r="G8227" s="5"/>
      <c r="H8227" s="6"/>
      <c r="AD8227" s="5">
        <v>45269.0</v>
      </c>
      <c r="AE8227" s="6">
        <v>0.7083333333333334</v>
      </c>
      <c r="AF8227" s="7">
        <v>0.0</v>
      </c>
    </row>
    <row r="8228">
      <c r="G8228" s="5"/>
      <c r="H8228" s="6"/>
      <c r="AD8228" s="5">
        <v>45269.0</v>
      </c>
      <c r="AE8228" s="6">
        <v>0.75</v>
      </c>
      <c r="AF8228" s="7">
        <v>0.0</v>
      </c>
    </row>
    <row r="8229">
      <c r="G8229" s="5"/>
      <c r="H8229" s="6"/>
      <c r="AD8229" s="5">
        <v>45269.0</v>
      </c>
      <c r="AE8229" s="6">
        <v>0.7916666666666666</v>
      </c>
      <c r="AF8229" s="7">
        <v>0.0</v>
      </c>
    </row>
    <row r="8230">
      <c r="G8230" s="5"/>
      <c r="H8230" s="6"/>
      <c r="AD8230" s="5">
        <v>45269.0</v>
      </c>
      <c r="AE8230" s="6">
        <v>0.8333333333333334</v>
      </c>
      <c r="AF8230" s="7">
        <v>0.0</v>
      </c>
    </row>
    <row r="8231">
      <c r="G8231" s="5"/>
      <c r="H8231" s="6"/>
      <c r="AD8231" s="5">
        <v>45269.0</v>
      </c>
      <c r="AE8231" s="6">
        <v>0.875</v>
      </c>
      <c r="AF8231" s="7">
        <v>0.0</v>
      </c>
    </row>
    <row r="8232">
      <c r="G8232" s="5"/>
      <c r="H8232" s="6"/>
      <c r="AD8232" s="5">
        <v>45269.0</v>
      </c>
      <c r="AE8232" s="6">
        <v>0.9166666666666666</v>
      </c>
      <c r="AF8232" s="7">
        <v>0.0</v>
      </c>
    </row>
    <row r="8233">
      <c r="G8233" s="5"/>
      <c r="H8233" s="6"/>
      <c r="AD8233" s="5">
        <v>45269.0</v>
      </c>
      <c r="AE8233" s="6">
        <v>0.9583333333333334</v>
      </c>
      <c r="AF8233" s="7">
        <v>0.0</v>
      </c>
    </row>
    <row r="8234">
      <c r="G8234" s="5"/>
      <c r="H8234" s="6"/>
      <c r="AD8234" s="5">
        <v>45270.0</v>
      </c>
      <c r="AE8234" s="6">
        <v>0.0</v>
      </c>
      <c r="AF8234" s="7">
        <v>0.0</v>
      </c>
    </row>
    <row r="8235">
      <c r="G8235" s="5"/>
      <c r="H8235" s="6"/>
      <c r="AD8235" s="5">
        <v>45270.0</v>
      </c>
      <c r="AE8235" s="6">
        <v>0.041666666666666664</v>
      </c>
      <c r="AF8235" s="7">
        <v>0.0</v>
      </c>
    </row>
    <row r="8236">
      <c r="G8236" s="5"/>
      <c r="H8236" s="6"/>
      <c r="AD8236" s="5">
        <v>45270.0</v>
      </c>
      <c r="AE8236" s="6">
        <v>0.08333333333333333</v>
      </c>
      <c r="AF8236" s="7">
        <v>0.0</v>
      </c>
    </row>
    <row r="8237">
      <c r="G8237" s="5"/>
      <c r="H8237" s="6"/>
      <c r="AD8237" s="5">
        <v>45270.0</v>
      </c>
      <c r="AE8237" s="6">
        <v>0.125</v>
      </c>
      <c r="AF8237" s="7">
        <v>0.0</v>
      </c>
    </row>
    <row r="8238">
      <c r="G8238" s="5"/>
      <c r="H8238" s="6"/>
      <c r="AD8238" s="5">
        <v>45270.0</v>
      </c>
      <c r="AE8238" s="6">
        <v>0.16666666666666666</v>
      </c>
      <c r="AF8238" s="7">
        <v>0.0</v>
      </c>
    </row>
    <row r="8239">
      <c r="G8239" s="5"/>
      <c r="H8239" s="6"/>
      <c r="AD8239" s="5">
        <v>45270.0</v>
      </c>
      <c r="AE8239" s="6">
        <v>0.20833333333333334</v>
      </c>
      <c r="AF8239" s="7">
        <v>0.0</v>
      </c>
    </row>
    <row r="8240">
      <c r="G8240" s="5"/>
      <c r="H8240" s="6"/>
      <c r="AD8240" s="5">
        <v>45270.0</v>
      </c>
      <c r="AE8240" s="6">
        <v>0.25</v>
      </c>
      <c r="AF8240" s="7">
        <v>0.0</v>
      </c>
    </row>
    <row r="8241">
      <c r="G8241" s="5"/>
      <c r="H8241" s="6"/>
      <c r="AD8241" s="5">
        <v>45270.0</v>
      </c>
      <c r="AE8241" s="6">
        <v>0.2916666666666667</v>
      </c>
      <c r="AF8241" s="7">
        <v>0.0</v>
      </c>
    </row>
    <row r="8242">
      <c r="G8242" s="5"/>
      <c r="H8242" s="6"/>
      <c r="AD8242" s="5">
        <v>45270.0</v>
      </c>
      <c r="AE8242" s="6">
        <v>0.3333333333333333</v>
      </c>
      <c r="AF8242" s="7">
        <v>6929.52</v>
      </c>
    </row>
    <row r="8243">
      <c r="G8243" s="5"/>
      <c r="H8243" s="6"/>
      <c r="AD8243" s="5">
        <v>45270.0</v>
      </c>
      <c r="AE8243" s="6">
        <v>0.375</v>
      </c>
      <c r="AF8243" s="7">
        <v>19338.54</v>
      </c>
    </row>
    <row r="8244">
      <c r="G8244" s="5"/>
      <c r="H8244" s="6"/>
      <c r="AD8244" s="5">
        <v>45270.0</v>
      </c>
      <c r="AE8244" s="6">
        <v>0.4166666666666667</v>
      </c>
      <c r="AF8244" s="7">
        <v>28952.04</v>
      </c>
    </row>
    <row r="8245">
      <c r="G8245" s="5"/>
      <c r="H8245" s="6"/>
      <c r="AD8245" s="5">
        <v>45270.0</v>
      </c>
      <c r="AE8245" s="6">
        <v>0.4583333333333333</v>
      </c>
      <c r="AF8245" s="7">
        <v>32947.98</v>
      </c>
    </row>
    <row r="8246">
      <c r="G8246" s="5"/>
      <c r="H8246" s="6"/>
      <c r="AD8246" s="5">
        <v>45270.0</v>
      </c>
      <c r="AE8246" s="6">
        <v>0.5</v>
      </c>
      <c r="AF8246" s="7">
        <v>24591.06</v>
      </c>
    </row>
    <row r="8247">
      <c r="G8247" s="5"/>
      <c r="H8247" s="6"/>
      <c r="AD8247" s="5">
        <v>45270.0</v>
      </c>
      <c r="AE8247" s="6">
        <v>0.5416666666666666</v>
      </c>
      <c r="AF8247" s="7">
        <v>26157.3</v>
      </c>
    </row>
    <row r="8248">
      <c r="G8248" s="5"/>
      <c r="H8248" s="6"/>
      <c r="AD8248" s="5">
        <v>45270.0</v>
      </c>
      <c r="AE8248" s="6">
        <v>0.5833333333333334</v>
      </c>
      <c r="AF8248" s="7">
        <v>12654.72</v>
      </c>
    </row>
    <row r="8249">
      <c r="G8249" s="5"/>
      <c r="H8249" s="6"/>
      <c r="AD8249" s="5">
        <v>45270.0</v>
      </c>
      <c r="AE8249" s="6">
        <v>0.625</v>
      </c>
      <c r="AF8249" s="7">
        <v>6286.8</v>
      </c>
    </row>
    <row r="8250">
      <c r="G8250" s="5"/>
      <c r="H8250" s="6"/>
      <c r="AD8250" s="5">
        <v>45270.0</v>
      </c>
      <c r="AE8250" s="6">
        <v>0.6666666666666666</v>
      </c>
      <c r="AF8250" s="7">
        <v>383.76</v>
      </c>
    </row>
    <row r="8251">
      <c r="G8251" s="5"/>
      <c r="H8251" s="6"/>
      <c r="AD8251" s="5">
        <v>45270.0</v>
      </c>
      <c r="AE8251" s="6">
        <v>0.7083333333333334</v>
      </c>
      <c r="AF8251" s="7">
        <v>0.0</v>
      </c>
    </row>
    <row r="8252">
      <c r="G8252" s="5"/>
      <c r="H8252" s="6"/>
      <c r="AD8252" s="5">
        <v>45270.0</v>
      </c>
      <c r="AE8252" s="6">
        <v>0.75</v>
      </c>
      <c r="AF8252" s="7">
        <v>0.0</v>
      </c>
    </row>
    <row r="8253">
      <c r="G8253" s="5"/>
      <c r="H8253" s="6"/>
      <c r="AD8253" s="5">
        <v>45270.0</v>
      </c>
      <c r="AE8253" s="6">
        <v>0.7916666666666666</v>
      </c>
      <c r="AF8253" s="7">
        <v>0.0</v>
      </c>
    </row>
    <row r="8254">
      <c r="G8254" s="5"/>
      <c r="H8254" s="6"/>
      <c r="AD8254" s="5">
        <v>45270.0</v>
      </c>
      <c r="AE8254" s="6">
        <v>0.8333333333333334</v>
      </c>
      <c r="AF8254" s="7">
        <v>0.0</v>
      </c>
    </row>
    <row r="8255">
      <c r="G8255" s="5"/>
      <c r="H8255" s="6"/>
      <c r="AD8255" s="5">
        <v>45270.0</v>
      </c>
      <c r="AE8255" s="6">
        <v>0.875</v>
      </c>
      <c r="AF8255" s="7">
        <v>0.0</v>
      </c>
    </row>
    <row r="8256">
      <c r="G8256" s="5"/>
      <c r="H8256" s="6"/>
      <c r="AD8256" s="5">
        <v>45270.0</v>
      </c>
      <c r="AE8256" s="6">
        <v>0.9166666666666666</v>
      </c>
      <c r="AF8256" s="7">
        <v>0.0</v>
      </c>
    </row>
    <row r="8257">
      <c r="G8257" s="5"/>
      <c r="H8257" s="6"/>
      <c r="AD8257" s="5">
        <v>45270.0</v>
      </c>
      <c r="AE8257" s="6">
        <v>0.9583333333333334</v>
      </c>
      <c r="AF8257" s="7">
        <v>0.0</v>
      </c>
    </row>
    <row r="8258">
      <c r="G8258" s="5"/>
      <c r="H8258" s="6"/>
      <c r="AD8258" s="5">
        <v>45271.0</v>
      </c>
      <c r="AE8258" s="6">
        <v>0.0</v>
      </c>
      <c r="AF8258" s="7">
        <v>0.0</v>
      </c>
    </row>
    <row r="8259">
      <c r="G8259" s="5"/>
      <c r="H8259" s="6"/>
      <c r="AD8259" s="5">
        <v>45271.0</v>
      </c>
      <c r="AE8259" s="6">
        <v>0.041666666666666664</v>
      </c>
      <c r="AF8259" s="7">
        <v>0.0</v>
      </c>
    </row>
    <row r="8260">
      <c r="G8260" s="5"/>
      <c r="H8260" s="6"/>
      <c r="AD8260" s="5">
        <v>45271.0</v>
      </c>
      <c r="AE8260" s="6">
        <v>0.08333333333333333</v>
      </c>
      <c r="AF8260" s="7">
        <v>0.0</v>
      </c>
    </row>
    <row r="8261">
      <c r="G8261" s="5"/>
      <c r="H8261" s="6"/>
      <c r="AD8261" s="5">
        <v>45271.0</v>
      </c>
      <c r="AE8261" s="6">
        <v>0.125</v>
      </c>
      <c r="AF8261" s="7">
        <v>0.0</v>
      </c>
    </row>
    <row r="8262">
      <c r="G8262" s="5"/>
      <c r="H8262" s="6"/>
      <c r="AD8262" s="5">
        <v>45271.0</v>
      </c>
      <c r="AE8262" s="6">
        <v>0.16666666666666666</v>
      </c>
      <c r="AF8262" s="7">
        <v>0.0</v>
      </c>
    </row>
    <row r="8263">
      <c r="G8263" s="5"/>
      <c r="H8263" s="6"/>
      <c r="AD8263" s="5">
        <v>45271.0</v>
      </c>
      <c r="AE8263" s="6">
        <v>0.20833333333333334</v>
      </c>
      <c r="AF8263" s="7">
        <v>0.0</v>
      </c>
    </row>
    <row r="8264">
      <c r="G8264" s="5"/>
      <c r="H8264" s="6"/>
      <c r="AD8264" s="5">
        <v>45271.0</v>
      </c>
      <c r="AE8264" s="6">
        <v>0.25</v>
      </c>
      <c r="AF8264" s="7">
        <v>0.0</v>
      </c>
    </row>
    <row r="8265">
      <c r="G8265" s="5"/>
      <c r="H8265" s="6"/>
      <c r="AD8265" s="5">
        <v>45271.0</v>
      </c>
      <c r="AE8265" s="6">
        <v>0.2916666666666667</v>
      </c>
      <c r="AF8265" s="7">
        <v>0.0</v>
      </c>
    </row>
    <row r="8266">
      <c r="G8266" s="5"/>
      <c r="H8266" s="6"/>
      <c r="AD8266" s="5">
        <v>45271.0</v>
      </c>
      <c r="AE8266" s="6">
        <v>0.3333333333333333</v>
      </c>
      <c r="AF8266" s="7">
        <v>8801.52</v>
      </c>
    </row>
    <row r="8267">
      <c r="G8267" s="5"/>
      <c r="H8267" s="6"/>
      <c r="AD8267" s="5">
        <v>45271.0</v>
      </c>
      <c r="AE8267" s="6">
        <v>0.375</v>
      </c>
      <c r="AF8267" s="7">
        <v>22104.42</v>
      </c>
    </row>
    <row r="8268">
      <c r="G8268" s="5"/>
      <c r="H8268" s="6"/>
      <c r="AD8268" s="5">
        <v>45271.0</v>
      </c>
      <c r="AE8268" s="6">
        <v>0.4166666666666667</v>
      </c>
      <c r="AF8268" s="7">
        <v>27259.44</v>
      </c>
    </row>
    <row r="8269">
      <c r="G8269" s="5"/>
      <c r="H8269" s="6"/>
      <c r="AD8269" s="5">
        <v>45271.0</v>
      </c>
      <c r="AE8269" s="6">
        <v>0.4583333333333333</v>
      </c>
      <c r="AF8269" s="7">
        <v>31108.74</v>
      </c>
    </row>
    <row r="8270">
      <c r="G8270" s="5"/>
      <c r="H8270" s="6"/>
      <c r="AD8270" s="5">
        <v>45271.0</v>
      </c>
      <c r="AE8270" s="6">
        <v>0.5</v>
      </c>
      <c r="AF8270" s="7">
        <v>33884.76</v>
      </c>
    </row>
    <row r="8271">
      <c r="G8271" s="5"/>
      <c r="H8271" s="6"/>
      <c r="AD8271" s="5">
        <v>45271.0</v>
      </c>
      <c r="AE8271" s="6">
        <v>0.5416666666666666</v>
      </c>
      <c r="AF8271" s="7">
        <v>36211.5</v>
      </c>
    </row>
    <row r="8272">
      <c r="G8272" s="5"/>
      <c r="H8272" s="6"/>
      <c r="AD8272" s="5">
        <v>45271.0</v>
      </c>
      <c r="AE8272" s="6">
        <v>0.5833333333333334</v>
      </c>
      <c r="AF8272" s="7">
        <v>27418.56</v>
      </c>
    </row>
    <row r="8273">
      <c r="G8273" s="5"/>
      <c r="H8273" s="6"/>
      <c r="AD8273" s="5">
        <v>45271.0</v>
      </c>
      <c r="AE8273" s="6">
        <v>0.625</v>
      </c>
      <c r="AF8273" s="7">
        <v>10316.28</v>
      </c>
    </row>
    <row r="8274">
      <c r="G8274" s="5"/>
      <c r="H8274" s="6"/>
      <c r="AD8274" s="5">
        <v>45271.0</v>
      </c>
      <c r="AE8274" s="6">
        <v>0.6666666666666666</v>
      </c>
      <c r="AF8274" s="7">
        <v>1109.16</v>
      </c>
    </row>
    <row r="8275">
      <c r="G8275" s="5"/>
      <c r="H8275" s="6"/>
      <c r="AD8275" s="5">
        <v>45271.0</v>
      </c>
      <c r="AE8275" s="6">
        <v>0.7083333333333334</v>
      </c>
      <c r="AF8275" s="7">
        <v>0.0</v>
      </c>
    </row>
    <row r="8276">
      <c r="G8276" s="5"/>
      <c r="H8276" s="6"/>
      <c r="AD8276" s="5">
        <v>45271.0</v>
      </c>
      <c r="AE8276" s="6">
        <v>0.75</v>
      </c>
      <c r="AF8276" s="7">
        <v>0.0</v>
      </c>
    </row>
    <row r="8277">
      <c r="G8277" s="5"/>
      <c r="H8277" s="6"/>
      <c r="AD8277" s="5">
        <v>45271.0</v>
      </c>
      <c r="AE8277" s="6">
        <v>0.7916666666666666</v>
      </c>
      <c r="AF8277" s="7">
        <v>0.0</v>
      </c>
    </row>
    <row r="8278">
      <c r="G8278" s="5"/>
      <c r="H8278" s="6"/>
      <c r="AD8278" s="5">
        <v>45271.0</v>
      </c>
      <c r="AE8278" s="6">
        <v>0.8333333333333334</v>
      </c>
      <c r="AF8278" s="7">
        <v>0.0</v>
      </c>
    </row>
    <row r="8279">
      <c r="G8279" s="5"/>
      <c r="H8279" s="6"/>
      <c r="AD8279" s="5">
        <v>45271.0</v>
      </c>
      <c r="AE8279" s="6">
        <v>0.875</v>
      </c>
      <c r="AF8279" s="7">
        <v>0.0</v>
      </c>
    </row>
    <row r="8280">
      <c r="G8280" s="5"/>
      <c r="H8280" s="6"/>
      <c r="AD8280" s="5">
        <v>45271.0</v>
      </c>
      <c r="AE8280" s="6">
        <v>0.9166666666666666</v>
      </c>
      <c r="AF8280" s="7">
        <v>0.0</v>
      </c>
    </row>
    <row r="8281">
      <c r="G8281" s="5"/>
      <c r="H8281" s="6"/>
      <c r="AD8281" s="5">
        <v>45271.0</v>
      </c>
      <c r="AE8281" s="6">
        <v>0.9583333333333334</v>
      </c>
      <c r="AF8281" s="7">
        <v>0.0</v>
      </c>
    </row>
    <row r="8282">
      <c r="G8282" s="5"/>
      <c r="H8282" s="6"/>
      <c r="AD8282" s="5">
        <v>45272.0</v>
      </c>
      <c r="AE8282" s="6">
        <v>0.0</v>
      </c>
      <c r="AF8282" s="7">
        <v>0.0</v>
      </c>
    </row>
    <row r="8283">
      <c r="G8283" s="5"/>
      <c r="H8283" s="6"/>
      <c r="AD8283" s="5">
        <v>45272.0</v>
      </c>
      <c r="AE8283" s="6">
        <v>0.041666666666666664</v>
      </c>
      <c r="AF8283" s="7">
        <v>0.0</v>
      </c>
    </row>
    <row r="8284">
      <c r="G8284" s="5"/>
      <c r="H8284" s="6"/>
      <c r="AD8284" s="5">
        <v>45272.0</v>
      </c>
      <c r="AE8284" s="6">
        <v>0.08333333333333333</v>
      </c>
      <c r="AF8284" s="7">
        <v>0.0</v>
      </c>
    </row>
    <row r="8285">
      <c r="G8285" s="5"/>
      <c r="H8285" s="6"/>
      <c r="AD8285" s="5">
        <v>45272.0</v>
      </c>
      <c r="AE8285" s="6">
        <v>0.125</v>
      </c>
      <c r="AF8285" s="7">
        <v>0.0</v>
      </c>
    </row>
    <row r="8286">
      <c r="G8286" s="5"/>
      <c r="H8286" s="6"/>
      <c r="AD8286" s="5">
        <v>45272.0</v>
      </c>
      <c r="AE8286" s="6">
        <v>0.16666666666666666</v>
      </c>
      <c r="AF8286" s="7">
        <v>0.0</v>
      </c>
    </row>
    <row r="8287">
      <c r="G8287" s="5"/>
      <c r="H8287" s="6"/>
      <c r="AD8287" s="5">
        <v>45272.0</v>
      </c>
      <c r="AE8287" s="6">
        <v>0.20833333333333334</v>
      </c>
      <c r="AF8287" s="7">
        <v>0.0</v>
      </c>
    </row>
    <row r="8288">
      <c r="G8288" s="5"/>
      <c r="H8288" s="6"/>
      <c r="AD8288" s="5">
        <v>45272.0</v>
      </c>
      <c r="AE8288" s="6">
        <v>0.25</v>
      </c>
      <c r="AF8288" s="7">
        <v>0.0</v>
      </c>
    </row>
    <row r="8289">
      <c r="G8289" s="5"/>
      <c r="H8289" s="6"/>
      <c r="AD8289" s="5">
        <v>45272.0</v>
      </c>
      <c r="AE8289" s="6">
        <v>0.2916666666666667</v>
      </c>
      <c r="AF8289" s="7">
        <v>0.0</v>
      </c>
    </row>
    <row r="8290">
      <c r="G8290" s="5"/>
      <c r="H8290" s="6"/>
      <c r="AD8290" s="5">
        <v>45272.0</v>
      </c>
      <c r="AE8290" s="6">
        <v>0.3333333333333333</v>
      </c>
      <c r="AF8290" s="7">
        <v>4787.64</v>
      </c>
    </row>
    <row r="8291">
      <c r="G8291" s="5"/>
      <c r="H8291" s="6"/>
      <c r="AD8291" s="5">
        <v>45272.0</v>
      </c>
      <c r="AE8291" s="6">
        <v>0.375</v>
      </c>
      <c r="AF8291" s="7">
        <v>14839.5</v>
      </c>
    </row>
    <row r="8292">
      <c r="G8292" s="5"/>
      <c r="H8292" s="6"/>
      <c r="AD8292" s="5">
        <v>45272.0</v>
      </c>
      <c r="AE8292" s="6">
        <v>0.4166666666666667</v>
      </c>
      <c r="AF8292" s="7">
        <v>20438.34</v>
      </c>
    </row>
    <row r="8293">
      <c r="G8293" s="5"/>
      <c r="H8293" s="6"/>
      <c r="AD8293" s="5">
        <v>45272.0</v>
      </c>
      <c r="AE8293" s="6">
        <v>0.4583333333333333</v>
      </c>
      <c r="AF8293" s="7">
        <v>34003.32</v>
      </c>
    </row>
    <row r="8294">
      <c r="G8294" s="5"/>
      <c r="H8294" s="6"/>
      <c r="AD8294" s="5">
        <v>45272.0</v>
      </c>
      <c r="AE8294" s="6">
        <v>0.5</v>
      </c>
      <c r="AF8294" s="7">
        <v>33152.34</v>
      </c>
    </row>
    <row r="8295">
      <c r="G8295" s="5"/>
      <c r="H8295" s="6"/>
      <c r="AD8295" s="5">
        <v>45272.0</v>
      </c>
      <c r="AE8295" s="6">
        <v>0.5416666666666666</v>
      </c>
      <c r="AF8295" s="7">
        <v>16246.62</v>
      </c>
    </row>
    <row r="8296">
      <c r="G8296" s="5"/>
      <c r="H8296" s="6"/>
      <c r="AD8296" s="5">
        <v>45272.0</v>
      </c>
      <c r="AE8296" s="6">
        <v>0.5833333333333334</v>
      </c>
      <c r="AF8296" s="7">
        <v>15962.7</v>
      </c>
    </row>
    <row r="8297">
      <c r="G8297" s="5"/>
      <c r="H8297" s="6"/>
      <c r="AD8297" s="5">
        <v>45272.0</v>
      </c>
      <c r="AE8297" s="6">
        <v>0.625</v>
      </c>
      <c r="AF8297" s="7">
        <v>16716.18</v>
      </c>
    </row>
    <row r="8298">
      <c r="G8298" s="5"/>
      <c r="H8298" s="6"/>
      <c r="AD8298" s="5">
        <v>45272.0</v>
      </c>
      <c r="AE8298" s="6">
        <v>0.6666666666666666</v>
      </c>
      <c r="AF8298" s="7">
        <v>0.0</v>
      </c>
    </row>
    <row r="8299">
      <c r="G8299" s="5"/>
      <c r="H8299" s="6"/>
      <c r="AD8299" s="5">
        <v>45272.0</v>
      </c>
      <c r="AE8299" s="6">
        <v>0.7083333333333334</v>
      </c>
      <c r="AF8299" s="7">
        <v>0.0</v>
      </c>
    </row>
    <row r="8300">
      <c r="G8300" s="5"/>
      <c r="H8300" s="6"/>
      <c r="AD8300" s="5">
        <v>45272.0</v>
      </c>
      <c r="AE8300" s="6">
        <v>0.75</v>
      </c>
      <c r="AF8300" s="7">
        <v>0.0</v>
      </c>
    </row>
    <row r="8301">
      <c r="G8301" s="5"/>
      <c r="H8301" s="6"/>
      <c r="AD8301" s="5">
        <v>45272.0</v>
      </c>
      <c r="AE8301" s="6">
        <v>0.7916666666666666</v>
      </c>
      <c r="AF8301" s="7">
        <v>0.0</v>
      </c>
    </row>
    <row r="8302">
      <c r="G8302" s="5"/>
      <c r="H8302" s="6"/>
      <c r="AD8302" s="5">
        <v>45272.0</v>
      </c>
      <c r="AE8302" s="6">
        <v>0.8333333333333334</v>
      </c>
      <c r="AF8302" s="7">
        <v>0.0</v>
      </c>
    </row>
    <row r="8303">
      <c r="G8303" s="5"/>
      <c r="H8303" s="6"/>
      <c r="AD8303" s="5">
        <v>45272.0</v>
      </c>
      <c r="AE8303" s="6">
        <v>0.875</v>
      </c>
      <c r="AF8303" s="7">
        <v>0.0</v>
      </c>
    </row>
    <row r="8304">
      <c r="G8304" s="5"/>
      <c r="H8304" s="6"/>
      <c r="AD8304" s="5">
        <v>45272.0</v>
      </c>
      <c r="AE8304" s="6">
        <v>0.9166666666666666</v>
      </c>
      <c r="AF8304" s="7">
        <v>0.0</v>
      </c>
    </row>
    <row r="8305">
      <c r="G8305" s="5"/>
      <c r="H8305" s="6"/>
      <c r="AD8305" s="5">
        <v>45272.0</v>
      </c>
      <c r="AE8305" s="6">
        <v>0.9583333333333334</v>
      </c>
      <c r="AF8305" s="7">
        <v>0.0</v>
      </c>
    </row>
    <row r="8306">
      <c r="G8306" s="5"/>
      <c r="H8306" s="6"/>
      <c r="AD8306" s="5">
        <v>45273.0</v>
      </c>
      <c r="AE8306" s="6">
        <v>0.0</v>
      </c>
      <c r="AF8306" s="7">
        <v>0.0</v>
      </c>
    </row>
    <row r="8307">
      <c r="G8307" s="5"/>
      <c r="H8307" s="6"/>
      <c r="AD8307" s="5">
        <v>45273.0</v>
      </c>
      <c r="AE8307" s="6">
        <v>0.041666666666666664</v>
      </c>
      <c r="AF8307" s="7">
        <v>0.0</v>
      </c>
    </row>
    <row r="8308">
      <c r="G8308" s="5"/>
      <c r="H8308" s="6"/>
      <c r="AD8308" s="5">
        <v>45273.0</v>
      </c>
      <c r="AE8308" s="6">
        <v>0.08333333333333333</v>
      </c>
      <c r="AF8308" s="7">
        <v>0.0</v>
      </c>
    </row>
    <row r="8309">
      <c r="G8309" s="5"/>
      <c r="H8309" s="6"/>
      <c r="AD8309" s="5">
        <v>45273.0</v>
      </c>
      <c r="AE8309" s="6">
        <v>0.125</v>
      </c>
      <c r="AF8309" s="7">
        <v>0.0</v>
      </c>
    </row>
    <row r="8310">
      <c r="G8310" s="5"/>
      <c r="H8310" s="6"/>
      <c r="AD8310" s="5">
        <v>45273.0</v>
      </c>
      <c r="AE8310" s="6">
        <v>0.16666666666666666</v>
      </c>
      <c r="AF8310" s="7">
        <v>0.0</v>
      </c>
    </row>
    <row r="8311">
      <c r="G8311" s="5"/>
      <c r="H8311" s="6"/>
      <c r="AD8311" s="5">
        <v>45273.0</v>
      </c>
      <c r="AE8311" s="6">
        <v>0.20833333333333334</v>
      </c>
      <c r="AF8311" s="7">
        <v>0.0</v>
      </c>
    </row>
    <row r="8312">
      <c r="G8312" s="5"/>
      <c r="H8312" s="6"/>
      <c r="AD8312" s="5">
        <v>45273.0</v>
      </c>
      <c r="AE8312" s="6">
        <v>0.25</v>
      </c>
      <c r="AF8312" s="7">
        <v>0.0</v>
      </c>
    </row>
    <row r="8313">
      <c r="G8313" s="5"/>
      <c r="H8313" s="6"/>
      <c r="AD8313" s="5">
        <v>45273.0</v>
      </c>
      <c r="AE8313" s="6">
        <v>0.2916666666666667</v>
      </c>
      <c r="AF8313" s="7">
        <v>0.0</v>
      </c>
    </row>
    <row r="8314">
      <c r="G8314" s="5"/>
      <c r="H8314" s="6"/>
      <c r="AD8314" s="5">
        <v>45273.0</v>
      </c>
      <c r="AE8314" s="6">
        <v>0.3333333333333333</v>
      </c>
      <c r="AF8314" s="7">
        <v>4110.6</v>
      </c>
    </row>
    <row r="8315">
      <c r="G8315" s="5"/>
      <c r="H8315" s="6"/>
      <c r="AD8315" s="5">
        <v>45273.0</v>
      </c>
      <c r="AE8315" s="6">
        <v>0.375</v>
      </c>
      <c r="AF8315" s="7">
        <v>18205.2</v>
      </c>
    </row>
    <row r="8316">
      <c r="G8316" s="5"/>
      <c r="H8316" s="6"/>
      <c r="AD8316" s="5">
        <v>45273.0</v>
      </c>
      <c r="AE8316" s="6">
        <v>0.4166666666666667</v>
      </c>
      <c r="AF8316" s="7">
        <v>36110.1</v>
      </c>
    </row>
    <row r="8317">
      <c r="G8317" s="5"/>
      <c r="H8317" s="6"/>
      <c r="AD8317" s="5">
        <v>45273.0</v>
      </c>
      <c r="AE8317" s="6">
        <v>0.4583333333333333</v>
      </c>
      <c r="AF8317" s="7">
        <v>40010.88</v>
      </c>
    </row>
    <row r="8318">
      <c r="G8318" s="5"/>
      <c r="H8318" s="6"/>
      <c r="AD8318" s="5">
        <v>45273.0</v>
      </c>
      <c r="AE8318" s="6">
        <v>0.5</v>
      </c>
      <c r="AF8318" s="7">
        <v>34089.9</v>
      </c>
    </row>
    <row r="8319">
      <c r="G8319" s="5"/>
      <c r="H8319" s="6"/>
      <c r="AD8319" s="5">
        <v>45273.0</v>
      </c>
      <c r="AE8319" s="6">
        <v>0.5416666666666666</v>
      </c>
      <c r="AF8319" s="7">
        <v>38599.08</v>
      </c>
    </row>
    <row r="8320">
      <c r="G8320" s="5"/>
      <c r="H8320" s="6"/>
      <c r="AD8320" s="5">
        <v>45273.0</v>
      </c>
      <c r="AE8320" s="6">
        <v>0.5833333333333334</v>
      </c>
      <c r="AF8320" s="7">
        <v>20582.64</v>
      </c>
    </row>
    <row r="8321">
      <c r="G8321" s="5"/>
      <c r="H8321" s="6"/>
      <c r="AD8321" s="5">
        <v>45273.0</v>
      </c>
      <c r="AE8321" s="6">
        <v>0.625</v>
      </c>
      <c r="AF8321" s="7">
        <v>11055.72</v>
      </c>
    </row>
    <row r="8322">
      <c r="G8322" s="5"/>
      <c r="H8322" s="6"/>
      <c r="AD8322" s="5">
        <v>45273.0</v>
      </c>
      <c r="AE8322" s="6">
        <v>0.6666666666666666</v>
      </c>
      <c r="AF8322" s="7">
        <v>1138.02</v>
      </c>
    </row>
    <row r="8323">
      <c r="G8323" s="5"/>
      <c r="H8323" s="6"/>
      <c r="AD8323" s="5">
        <v>45273.0</v>
      </c>
      <c r="AE8323" s="6">
        <v>0.7083333333333334</v>
      </c>
      <c r="AF8323" s="7">
        <v>0.0</v>
      </c>
    </row>
    <row r="8324">
      <c r="G8324" s="5"/>
      <c r="H8324" s="6"/>
      <c r="AD8324" s="5">
        <v>45273.0</v>
      </c>
      <c r="AE8324" s="6">
        <v>0.75</v>
      </c>
      <c r="AF8324" s="7">
        <v>0.0</v>
      </c>
    </row>
    <row r="8325">
      <c r="G8325" s="5"/>
      <c r="H8325" s="6"/>
      <c r="AD8325" s="5">
        <v>45273.0</v>
      </c>
      <c r="AE8325" s="6">
        <v>0.7916666666666666</v>
      </c>
      <c r="AF8325" s="7">
        <v>0.0</v>
      </c>
    </row>
    <row r="8326">
      <c r="G8326" s="5"/>
      <c r="H8326" s="6"/>
      <c r="AD8326" s="5">
        <v>45273.0</v>
      </c>
      <c r="AE8326" s="6">
        <v>0.8333333333333334</v>
      </c>
      <c r="AF8326" s="7">
        <v>0.0</v>
      </c>
    </row>
    <row r="8327">
      <c r="G8327" s="5"/>
      <c r="H8327" s="6"/>
      <c r="AD8327" s="5">
        <v>45273.0</v>
      </c>
      <c r="AE8327" s="6">
        <v>0.875</v>
      </c>
      <c r="AF8327" s="7">
        <v>0.0</v>
      </c>
    </row>
    <row r="8328">
      <c r="G8328" s="5"/>
      <c r="H8328" s="6"/>
      <c r="AD8328" s="5">
        <v>45273.0</v>
      </c>
      <c r="AE8328" s="6">
        <v>0.9166666666666666</v>
      </c>
      <c r="AF8328" s="7">
        <v>0.0</v>
      </c>
    </row>
    <row r="8329">
      <c r="G8329" s="5"/>
      <c r="H8329" s="6"/>
      <c r="AD8329" s="5">
        <v>45273.0</v>
      </c>
      <c r="AE8329" s="6">
        <v>0.9583333333333334</v>
      </c>
      <c r="AF8329" s="7">
        <v>0.0</v>
      </c>
    </row>
    <row r="8330">
      <c r="G8330" s="5"/>
      <c r="H8330" s="6"/>
      <c r="AD8330" s="5">
        <v>45274.0</v>
      </c>
      <c r="AE8330" s="6">
        <v>0.0</v>
      </c>
      <c r="AF8330" s="7">
        <v>0.0</v>
      </c>
    </row>
    <row r="8331">
      <c r="G8331" s="5"/>
      <c r="H8331" s="6"/>
      <c r="AD8331" s="5">
        <v>45274.0</v>
      </c>
      <c r="AE8331" s="6">
        <v>0.041666666666666664</v>
      </c>
      <c r="AF8331" s="7">
        <v>0.0</v>
      </c>
    </row>
    <row r="8332">
      <c r="G8332" s="5"/>
      <c r="H8332" s="6"/>
      <c r="AD8332" s="5">
        <v>45274.0</v>
      </c>
      <c r="AE8332" s="6">
        <v>0.08333333333333333</v>
      </c>
      <c r="AF8332" s="7">
        <v>0.0</v>
      </c>
    </row>
    <row r="8333">
      <c r="G8333" s="5"/>
      <c r="H8333" s="6"/>
      <c r="AD8333" s="5">
        <v>45274.0</v>
      </c>
      <c r="AE8333" s="6">
        <v>0.125</v>
      </c>
      <c r="AF8333" s="7">
        <v>0.0</v>
      </c>
    </row>
    <row r="8334">
      <c r="G8334" s="5"/>
      <c r="H8334" s="6"/>
      <c r="AD8334" s="5">
        <v>45274.0</v>
      </c>
      <c r="AE8334" s="6">
        <v>0.16666666666666666</v>
      </c>
      <c r="AF8334" s="7">
        <v>0.0</v>
      </c>
    </row>
    <row r="8335">
      <c r="G8335" s="5"/>
      <c r="H8335" s="6"/>
      <c r="AD8335" s="5">
        <v>45274.0</v>
      </c>
      <c r="AE8335" s="6">
        <v>0.20833333333333334</v>
      </c>
      <c r="AF8335" s="7">
        <v>0.0</v>
      </c>
    </row>
    <row r="8336">
      <c r="G8336" s="5"/>
      <c r="H8336" s="6"/>
      <c r="AD8336" s="5">
        <v>45274.0</v>
      </c>
      <c r="AE8336" s="6">
        <v>0.25</v>
      </c>
      <c r="AF8336" s="7">
        <v>0.0</v>
      </c>
    </row>
    <row r="8337">
      <c r="G8337" s="5"/>
      <c r="H8337" s="6"/>
      <c r="AD8337" s="5">
        <v>45274.0</v>
      </c>
      <c r="AE8337" s="6">
        <v>0.2916666666666667</v>
      </c>
      <c r="AF8337" s="7">
        <v>0.0</v>
      </c>
    </row>
    <row r="8338">
      <c r="G8338" s="5"/>
      <c r="H8338" s="6"/>
      <c r="AD8338" s="5">
        <v>45274.0</v>
      </c>
      <c r="AE8338" s="6">
        <v>0.3333333333333333</v>
      </c>
      <c r="AF8338" s="7">
        <v>8448.18</v>
      </c>
    </row>
    <row r="8339">
      <c r="G8339" s="5"/>
      <c r="H8339" s="6"/>
      <c r="AD8339" s="5">
        <v>45274.0</v>
      </c>
      <c r="AE8339" s="6">
        <v>0.375</v>
      </c>
      <c r="AF8339" s="7">
        <v>23765.82</v>
      </c>
    </row>
    <row r="8340">
      <c r="G8340" s="5"/>
      <c r="H8340" s="6"/>
      <c r="AD8340" s="5">
        <v>45274.0</v>
      </c>
      <c r="AE8340" s="6">
        <v>0.4166666666666667</v>
      </c>
      <c r="AF8340" s="7">
        <v>33889.44</v>
      </c>
    </row>
    <row r="8341">
      <c r="G8341" s="5"/>
      <c r="H8341" s="6"/>
      <c r="AD8341" s="5">
        <v>45274.0</v>
      </c>
      <c r="AE8341" s="6">
        <v>0.4583333333333333</v>
      </c>
      <c r="AF8341" s="7">
        <v>40565.46</v>
      </c>
    </row>
    <row r="8342">
      <c r="G8342" s="5"/>
      <c r="H8342" s="6"/>
      <c r="AD8342" s="5">
        <v>45274.0</v>
      </c>
      <c r="AE8342" s="6">
        <v>0.5</v>
      </c>
      <c r="AF8342" s="7">
        <v>40827.54</v>
      </c>
    </row>
    <row r="8343">
      <c r="G8343" s="5"/>
      <c r="H8343" s="6"/>
      <c r="AD8343" s="5">
        <v>45274.0</v>
      </c>
      <c r="AE8343" s="6">
        <v>0.5416666666666666</v>
      </c>
      <c r="AF8343" s="7">
        <v>37783.98</v>
      </c>
    </row>
    <row r="8344">
      <c r="G8344" s="5"/>
      <c r="H8344" s="6"/>
      <c r="AD8344" s="5">
        <v>45274.0</v>
      </c>
      <c r="AE8344" s="6">
        <v>0.5833333333333334</v>
      </c>
      <c r="AF8344" s="7">
        <v>31143.84</v>
      </c>
    </row>
    <row r="8345">
      <c r="G8345" s="5"/>
      <c r="H8345" s="6"/>
      <c r="AD8345" s="5">
        <v>45274.0</v>
      </c>
      <c r="AE8345" s="6">
        <v>0.625</v>
      </c>
      <c r="AF8345" s="7">
        <v>17796.48</v>
      </c>
    </row>
    <row r="8346">
      <c r="G8346" s="5"/>
      <c r="H8346" s="6"/>
      <c r="AD8346" s="5">
        <v>45274.0</v>
      </c>
      <c r="AE8346" s="6">
        <v>0.6666666666666666</v>
      </c>
      <c r="AF8346" s="7">
        <v>1679.34</v>
      </c>
    </row>
    <row r="8347">
      <c r="G8347" s="5"/>
      <c r="H8347" s="6"/>
      <c r="AD8347" s="5">
        <v>45274.0</v>
      </c>
      <c r="AE8347" s="6">
        <v>0.7083333333333334</v>
      </c>
      <c r="AF8347" s="7">
        <v>0.0</v>
      </c>
    </row>
    <row r="8348">
      <c r="G8348" s="5"/>
      <c r="H8348" s="6"/>
      <c r="AD8348" s="5">
        <v>45274.0</v>
      </c>
      <c r="AE8348" s="6">
        <v>0.75</v>
      </c>
      <c r="AF8348" s="7">
        <v>0.0</v>
      </c>
    </row>
    <row r="8349">
      <c r="G8349" s="5"/>
      <c r="H8349" s="6"/>
      <c r="AD8349" s="5">
        <v>45274.0</v>
      </c>
      <c r="AE8349" s="6">
        <v>0.7916666666666666</v>
      </c>
      <c r="AF8349" s="7">
        <v>0.0</v>
      </c>
    </row>
    <row r="8350">
      <c r="G8350" s="5"/>
      <c r="H8350" s="6"/>
      <c r="AD8350" s="5">
        <v>45274.0</v>
      </c>
      <c r="AE8350" s="6">
        <v>0.8333333333333334</v>
      </c>
      <c r="AF8350" s="7">
        <v>0.0</v>
      </c>
    </row>
    <row r="8351">
      <c r="G8351" s="5"/>
      <c r="H8351" s="6"/>
      <c r="AD8351" s="5">
        <v>45274.0</v>
      </c>
      <c r="AE8351" s="6">
        <v>0.875</v>
      </c>
      <c r="AF8351" s="7">
        <v>0.0</v>
      </c>
    </row>
    <row r="8352">
      <c r="G8352" s="5"/>
      <c r="H8352" s="6"/>
      <c r="AD8352" s="5">
        <v>45274.0</v>
      </c>
      <c r="AE8352" s="6">
        <v>0.9166666666666666</v>
      </c>
      <c r="AF8352" s="7">
        <v>0.0</v>
      </c>
    </row>
    <row r="8353">
      <c r="G8353" s="5"/>
      <c r="H8353" s="6"/>
      <c r="AD8353" s="5">
        <v>45274.0</v>
      </c>
      <c r="AE8353" s="6">
        <v>0.9583333333333334</v>
      </c>
      <c r="AF8353" s="7">
        <v>0.0</v>
      </c>
    </row>
    <row r="8354">
      <c r="G8354" s="5"/>
      <c r="H8354" s="6"/>
      <c r="AD8354" s="5">
        <v>45275.0</v>
      </c>
      <c r="AE8354" s="6">
        <v>0.0</v>
      </c>
      <c r="AF8354" s="7">
        <v>0.0</v>
      </c>
    </row>
    <row r="8355">
      <c r="G8355" s="5"/>
      <c r="H8355" s="6"/>
      <c r="AD8355" s="5">
        <v>45275.0</v>
      </c>
      <c r="AE8355" s="6">
        <v>0.041666666666666664</v>
      </c>
      <c r="AF8355" s="7">
        <v>0.0</v>
      </c>
    </row>
    <row r="8356">
      <c r="G8356" s="5"/>
      <c r="H8356" s="6"/>
      <c r="AD8356" s="5">
        <v>45275.0</v>
      </c>
      <c r="AE8356" s="6">
        <v>0.08333333333333333</v>
      </c>
      <c r="AF8356" s="7">
        <v>0.0</v>
      </c>
    </row>
    <row r="8357">
      <c r="G8357" s="5"/>
      <c r="H8357" s="6"/>
      <c r="AD8357" s="5">
        <v>45275.0</v>
      </c>
      <c r="AE8357" s="6">
        <v>0.125</v>
      </c>
      <c r="AF8357" s="7">
        <v>0.0</v>
      </c>
    </row>
    <row r="8358">
      <c r="G8358" s="5"/>
      <c r="H8358" s="6"/>
      <c r="AD8358" s="5">
        <v>45275.0</v>
      </c>
      <c r="AE8358" s="6">
        <v>0.16666666666666666</v>
      </c>
      <c r="AF8358" s="7">
        <v>0.0</v>
      </c>
    </row>
    <row r="8359">
      <c r="G8359" s="5"/>
      <c r="H8359" s="6"/>
      <c r="AD8359" s="5">
        <v>45275.0</v>
      </c>
      <c r="AE8359" s="6">
        <v>0.20833333333333334</v>
      </c>
      <c r="AF8359" s="7">
        <v>0.0</v>
      </c>
    </row>
    <row r="8360">
      <c r="G8360" s="5"/>
      <c r="H8360" s="6"/>
      <c r="AD8360" s="5">
        <v>45275.0</v>
      </c>
      <c r="AE8360" s="6">
        <v>0.25</v>
      </c>
      <c r="AF8360" s="7">
        <v>0.0</v>
      </c>
    </row>
    <row r="8361">
      <c r="G8361" s="5"/>
      <c r="H8361" s="6"/>
      <c r="AD8361" s="5">
        <v>45275.0</v>
      </c>
      <c r="AE8361" s="6">
        <v>0.2916666666666667</v>
      </c>
      <c r="AF8361" s="7">
        <v>0.0</v>
      </c>
    </row>
    <row r="8362">
      <c r="G8362" s="5"/>
      <c r="H8362" s="6"/>
      <c r="AD8362" s="5">
        <v>45275.0</v>
      </c>
      <c r="AE8362" s="6">
        <v>0.3333333333333333</v>
      </c>
      <c r="AF8362" s="7">
        <v>8863.14</v>
      </c>
    </row>
    <row r="8363">
      <c r="G8363" s="5"/>
      <c r="H8363" s="6"/>
      <c r="AD8363" s="5">
        <v>45275.0</v>
      </c>
      <c r="AE8363" s="6">
        <v>0.375</v>
      </c>
      <c r="AF8363" s="7">
        <v>23858.64</v>
      </c>
    </row>
    <row r="8364">
      <c r="G8364" s="5"/>
      <c r="H8364" s="6"/>
      <c r="AD8364" s="5">
        <v>45275.0</v>
      </c>
      <c r="AE8364" s="6">
        <v>0.4166666666666667</v>
      </c>
      <c r="AF8364" s="7">
        <v>33795.84</v>
      </c>
    </row>
    <row r="8365">
      <c r="G8365" s="5"/>
      <c r="H8365" s="6"/>
      <c r="AD8365" s="5">
        <v>45275.0</v>
      </c>
      <c r="AE8365" s="6">
        <v>0.4583333333333333</v>
      </c>
      <c r="AF8365" s="7">
        <v>40679.34</v>
      </c>
    </row>
    <row r="8366">
      <c r="G8366" s="5"/>
      <c r="H8366" s="6"/>
      <c r="AD8366" s="5">
        <v>45275.0</v>
      </c>
      <c r="AE8366" s="6">
        <v>0.5</v>
      </c>
      <c r="AF8366" s="7">
        <v>40942.2</v>
      </c>
    </row>
    <row r="8367">
      <c r="G8367" s="5"/>
      <c r="H8367" s="6"/>
      <c r="AD8367" s="5">
        <v>45275.0</v>
      </c>
      <c r="AE8367" s="6">
        <v>0.5416666666666666</v>
      </c>
      <c r="AF8367" s="7">
        <v>38166.18</v>
      </c>
    </row>
    <row r="8368">
      <c r="G8368" s="5"/>
      <c r="H8368" s="6"/>
      <c r="AD8368" s="5">
        <v>45275.0</v>
      </c>
      <c r="AE8368" s="6">
        <v>0.5833333333333334</v>
      </c>
      <c r="AF8368" s="7">
        <v>28410.72</v>
      </c>
    </row>
    <row r="8369">
      <c r="G8369" s="5"/>
      <c r="H8369" s="6"/>
      <c r="AD8369" s="5">
        <v>45275.0</v>
      </c>
      <c r="AE8369" s="6">
        <v>0.625</v>
      </c>
      <c r="AF8369" s="7">
        <v>16122.6</v>
      </c>
    </row>
    <row r="8370">
      <c r="G8370" s="5"/>
      <c r="H8370" s="6"/>
      <c r="AD8370" s="5">
        <v>45275.0</v>
      </c>
      <c r="AE8370" s="6">
        <v>0.6666666666666666</v>
      </c>
      <c r="AF8370" s="7">
        <v>1192.62</v>
      </c>
    </row>
    <row r="8371">
      <c r="G8371" s="5"/>
      <c r="H8371" s="6"/>
      <c r="AD8371" s="5">
        <v>45275.0</v>
      </c>
      <c r="AE8371" s="6">
        <v>0.7083333333333334</v>
      </c>
      <c r="AF8371" s="7">
        <v>0.0</v>
      </c>
    </row>
    <row r="8372">
      <c r="G8372" s="5"/>
      <c r="H8372" s="6"/>
      <c r="AD8372" s="5">
        <v>45275.0</v>
      </c>
      <c r="AE8372" s="6">
        <v>0.75</v>
      </c>
      <c r="AF8372" s="7">
        <v>0.0</v>
      </c>
    </row>
    <row r="8373">
      <c r="G8373" s="5"/>
      <c r="H8373" s="6"/>
      <c r="AD8373" s="5">
        <v>45275.0</v>
      </c>
      <c r="AE8373" s="6">
        <v>0.7916666666666666</v>
      </c>
      <c r="AF8373" s="7">
        <v>0.0</v>
      </c>
    </row>
    <row r="8374">
      <c r="G8374" s="5"/>
      <c r="H8374" s="6"/>
      <c r="AD8374" s="5">
        <v>45275.0</v>
      </c>
      <c r="AE8374" s="6">
        <v>0.8333333333333334</v>
      </c>
      <c r="AF8374" s="7">
        <v>0.0</v>
      </c>
    </row>
    <row r="8375">
      <c r="G8375" s="5"/>
      <c r="H8375" s="6"/>
      <c r="AD8375" s="5">
        <v>45275.0</v>
      </c>
      <c r="AE8375" s="6">
        <v>0.875</v>
      </c>
      <c r="AF8375" s="7">
        <v>0.0</v>
      </c>
    </row>
    <row r="8376">
      <c r="G8376" s="5"/>
      <c r="H8376" s="6"/>
      <c r="AD8376" s="5">
        <v>45275.0</v>
      </c>
      <c r="AE8376" s="6">
        <v>0.9166666666666666</v>
      </c>
      <c r="AF8376" s="7">
        <v>0.0</v>
      </c>
    </row>
    <row r="8377">
      <c r="G8377" s="5"/>
      <c r="H8377" s="6"/>
      <c r="AD8377" s="5">
        <v>45275.0</v>
      </c>
      <c r="AE8377" s="6">
        <v>0.9583333333333334</v>
      </c>
      <c r="AF8377" s="7">
        <v>0.0</v>
      </c>
    </row>
    <row r="8378">
      <c r="G8378" s="5"/>
      <c r="H8378" s="6"/>
      <c r="AD8378" s="5">
        <v>45276.0</v>
      </c>
      <c r="AE8378" s="6">
        <v>0.0</v>
      </c>
      <c r="AF8378" s="7">
        <v>0.0</v>
      </c>
    </row>
    <row r="8379">
      <c r="G8379" s="5"/>
      <c r="H8379" s="6"/>
      <c r="AD8379" s="5">
        <v>45276.0</v>
      </c>
      <c r="AE8379" s="6">
        <v>0.041666666666666664</v>
      </c>
      <c r="AF8379" s="7">
        <v>0.0</v>
      </c>
    </row>
    <row r="8380">
      <c r="G8380" s="5"/>
      <c r="H8380" s="6"/>
      <c r="AD8380" s="5">
        <v>45276.0</v>
      </c>
      <c r="AE8380" s="6">
        <v>0.08333333333333333</v>
      </c>
      <c r="AF8380" s="7">
        <v>0.0</v>
      </c>
    </row>
    <row r="8381">
      <c r="G8381" s="5"/>
      <c r="H8381" s="6"/>
      <c r="AD8381" s="5">
        <v>45276.0</v>
      </c>
      <c r="AE8381" s="6">
        <v>0.125</v>
      </c>
      <c r="AF8381" s="7">
        <v>0.0</v>
      </c>
    </row>
    <row r="8382">
      <c r="G8382" s="5"/>
      <c r="H8382" s="6"/>
      <c r="AD8382" s="5">
        <v>45276.0</v>
      </c>
      <c r="AE8382" s="6">
        <v>0.16666666666666666</v>
      </c>
      <c r="AF8382" s="7">
        <v>0.0</v>
      </c>
    </row>
    <row r="8383">
      <c r="G8383" s="5"/>
      <c r="H8383" s="6"/>
      <c r="AD8383" s="5">
        <v>45276.0</v>
      </c>
      <c r="AE8383" s="6">
        <v>0.20833333333333334</v>
      </c>
      <c r="AF8383" s="7">
        <v>0.0</v>
      </c>
    </row>
    <row r="8384">
      <c r="G8384" s="5"/>
      <c r="H8384" s="6"/>
      <c r="AD8384" s="5">
        <v>45276.0</v>
      </c>
      <c r="AE8384" s="6">
        <v>0.25</v>
      </c>
      <c r="AF8384" s="7">
        <v>0.0</v>
      </c>
    </row>
    <row r="8385">
      <c r="G8385" s="5"/>
      <c r="H8385" s="6"/>
      <c r="AD8385" s="5">
        <v>45276.0</v>
      </c>
      <c r="AE8385" s="6">
        <v>0.2916666666666667</v>
      </c>
      <c r="AF8385" s="7">
        <v>0.0</v>
      </c>
    </row>
    <row r="8386">
      <c r="G8386" s="5"/>
      <c r="H8386" s="6"/>
      <c r="AD8386" s="5">
        <v>45276.0</v>
      </c>
      <c r="AE8386" s="6">
        <v>0.3333333333333333</v>
      </c>
      <c r="AF8386" s="7">
        <v>8365.5</v>
      </c>
    </row>
    <row r="8387">
      <c r="G8387" s="5"/>
      <c r="H8387" s="6"/>
      <c r="AD8387" s="5">
        <v>45276.0</v>
      </c>
      <c r="AE8387" s="6">
        <v>0.375</v>
      </c>
      <c r="AF8387" s="7">
        <v>24481.86</v>
      </c>
    </row>
    <row r="8388">
      <c r="G8388" s="5"/>
      <c r="H8388" s="6"/>
      <c r="AD8388" s="5">
        <v>45276.0</v>
      </c>
      <c r="AE8388" s="6">
        <v>0.4166666666666667</v>
      </c>
      <c r="AF8388" s="7">
        <v>34084.44</v>
      </c>
    </row>
    <row r="8389">
      <c r="G8389" s="5"/>
      <c r="H8389" s="6"/>
      <c r="AD8389" s="5">
        <v>45276.0</v>
      </c>
      <c r="AE8389" s="6">
        <v>0.4583333333333333</v>
      </c>
      <c r="AF8389" s="7">
        <v>40785.42</v>
      </c>
    </row>
    <row r="8390">
      <c r="G8390" s="5"/>
      <c r="H8390" s="6"/>
      <c r="AD8390" s="5">
        <v>45276.0</v>
      </c>
      <c r="AE8390" s="6">
        <v>0.5</v>
      </c>
      <c r="AF8390" s="7">
        <v>41145.78</v>
      </c>
    </row>
    <row r="8391">
      <c r="G8391" s="5"/>
      <c r="H8391" s="6"/>
      <c r="AD8391" s="5">
        <v>45276.0</v>
      </c>
      <c r="AE8391" s="6">
        <v>0.5416666666666666</v>
      </c>
      <c r="AF8391" s="7">
        <v>38095.98</v>
      </c>
    </row>
    <row r="8392">
      <c r="G8392" s="5"/>
      <c r="H8392" s="6"/>
      <c r="AD8392" s="5">
        <v>45276.0</v>
      </c>
      <c r="AE8392" s="6">
        <v>0.5833333333333334</v>
      </c>
      <c r="AF8392" s="7">
        <v>29061.24</v>
      </c>
    </row>
    <row r="8393">
      <c r="G8393" s="5"/>
      <c r="H8393" s="6"/>
      <c r="AD8393" s="5">
        <v>45276.0</v>
      </c>
      <c r="AE8393" s="6">
        <v>0.625</v>
      </c>
      <c r="AF8393" s="7">
        <v>16501.68</v>
      </c>
    </row>
    <row r="8394">
      <c r="G8394" s="5"/>
      <c r="H8394" s="6"/>
      <c r="AD8394" s="5">
        <v>45276.0</v>
      </c>
      <c r="AE8394" s="6">
        <v>0.6666666666666666</v>
      </c>
      <c r="AF8394" s="7">
        <v>1372.8</v>
      </c>
    </row>
    <row r="8395">
      <c r="G8395" s="5"/>
      <c r="H8395" s="6"/>
      <c r="AD8395" s="5">
        <v>45276.0</v>
      </c>
      <c r="AE8395" s="6">
        <v>0.7083333333333334</v>
      </c>
      <c r="AF8395" s="7">
        <v>0.0</v>
      </c>
    </row>
    <row r="8396">
      <c r="G8396" s="5"/>
      <c r="H8396" s="6"/>
      <c r="AD8396" s="5">
        <v>45276.0</v>
      </c>
      <c r="AE8396" s="6">
        <v>0.75</v>
      </c>
      <c r="AF8396" s="7">
        <v>0.0</v>
      </c>
    </row>
    <row r="8397">
      <c r="G8397" s="5"/>
      <c r="H8397" s="6"/>
      <c r="AD8397" s="5">
        <v>45276.0</v>
      </c>
      <c r="AE8397" s="6">
        <v>0.7916666666666666</v>
      </c>
      <c r="AF8397" s="7">
        <v>0.0</v>
      </c>
    </row>
    <row r="8398">
      <c r="G8398" s="5"/>
      <c r="H8398" s="6"/>
      <c r="AD8398" s="5">
        <v>45276.0</v>
      </c>
      <c r="AE8398" s="6">
        <v>0.8333333333333334</v>
      </c>
      <c r="AF8398" s="7">
        <v>0.0</v>
      </c>
    </row>
    <row r="8399">
      <c r="G8399" s="5"/>
      <c r="H8399" s="6"/>
      <c r="AD8399" s="5">
        <v>45276.0</v>
      </c>
      <c r="AE8399" s="6">
        <v>0.875</v>
      </c>
      <c r="AF8399" s="7">
        <v>0.0</v>
      </c>
    </row>
    <row r="8400">
      <c r="G8400" s="5"/>
      <c r="H8400" s="6"/>
      <c r="AD8400" s="5">
        <v>45276.0</v>
      </c>
      <c r="AE8400" s="6">
        <v>0.9166666666666666</v>
      </c>
      <c r="AF8400" s="7">
        <v>0.0</v>
      </c>
    </row>
    <row r="8401">
      <c r="G8401" s="5"/>
      <c r="H8401" s="6"/>
      <c r="AD8401" s="5">
        <v>45276.0</v>
      </c>
      <c r="AE8401" s="6">
        <v>0.9583333333333334</v>
      </c>
      <c r="AF8401" s="7">
        <v>0.0</v>
      </c>
    </row>
    <row r="8402">
      <c r="G8402" s="5"/>
      <c r="H8402" s="6"/>
      <c r="AD8402" s="5">
        <v>45277.0</v>
      </c>
      <c r="AE8402" s="6">
        <v>0.0</v>
      </c>
      <c r="AF8402" s="7">
        <v>0.0</v>
      </c>
    </row>
    <row r="8403">
      <c r="G8403" s="5"/>
      <c r="H8403" s="6"/>
      <c r="AD8403" s="5">
        <v>45277.0</v>
      </c>
      <c r="AE8403" s="6">
        <v>0.041666666666666664</v>
      </c>
      <c r="AF8403" s="7">
        <v>0.0</v>
      </c>
    </row>
    <row r="8404">
      <c r="G8404" s="5"/>
      <c r="H8404" s="6"/>
      <c r="AD8404" s="5">
        <v>45277.0</v>
      </c>
      <c r="AE8404" s="6">
        <v>0.08333333333333333</v>
      </c>
      <c r="AF8404" s="7">
        <v>0.0</v>
      </c>
    </row>
    <row r="8405">
      <c r="G8405" s="5"/>
      <c r="H8405" s="6"/>
      <c r="AD8405" s="5">
        <v>45277.0</v>
      </c>
      <c r="AE8405" s="6">
        <v>0.125</v>
      </c>
      <c r="AF8405" s="7">
        <v>0.0</v>
      </c>
    </row>
    <row r="8406">
      <c r="G8406" s="5"/>
      <c r="H8406" s="6"/>
      <c r="AD8406" s="5">
        <v>45277.0</v>
      </c>
      <c r="AE8406" s="6">
        <v>0.16666666666666666</v>
      </c>
      <c r="AF8406" s="7">
        <v>0.0</v>
      </c>
    </row>
    <row r="8407">
      <c r="G8407" s="5"/>
      <c r="H8407" s="6"/>
      <c r="AD8407" s="5">
        <v>45277.0</v>
      </c>
      <c r="AE8407" s="6">
        <v>0.20833333333333334</v>
      </c>
      <c r="AF8407" s="7">
        <v>0.0</v>
      </c>
    </row>
    <row r="8408">
      <c r="G8408" s="5"/>
      <c r="H8408" s="6"/>
      <c r="AD8408" s="5">
        <v>45277.0</v>
      </c>
      <c r="AE8408" s="6">
        <v>0.25</v>
      </c>
      <c r="AF8408" s="7">
        <v>0.0</v>
      </c>
    </row>
    <row r="8409">
      <c r="G8409" s="5"/>
      <c r="H8409" s="6"/>
      <c r="AD8409" s="5">
        <v>45277.0</v>
      </c>
      <c r="AE8409" s="6">
        <v>0.2916666666666667</v>
      </c>
      <c r="AF8409" s="7">
        <v>0.0</v>
      </c>
    </row>
    <row r="8410">
      <c r="G8410" s="5"/>
      <c r="H8410" s="6"/>
      <c r="AD8410" s="5">
        <v>45277.0</v>
      </c>
      <c r="AE8410" s="6">
        <v>0.3333333333333333</v>
      </c>
      <c r="AF8410" s="7">
        <v>8012.94</v>
      </c>
    </row>
    <row r="8411">
      <c r="G8411" s="5"/>
      <c r="H8411" s="6"/>
      <c r="AD8411" s="5">
        <v>45277.0</v>
      </c>
      <c r="AE8411" s="6">
        <v>0.375</v>
      </c>
      <c r="AF8411" s="7">
        <v>24034.14</v>
      </c>
    </row>
    <row r="8412">
      <c r="G8412" s="5"/>
      <c r="H8412" s="6"/>
      <c r="AD8412" s="5">
        <v>45277.0</v>
      </c>
      <c r="AE8412" s="6">
        <v>0.4166666666666667</v>
      </c>
      <c r="AF8412" s="7">
        <v>33996.3</v>
      </c>
    </row>
    <row r="8413">
      <c r="G8413" s="5"/>
      <c r="H8413" s="6"/>
      <c r="AD8413" s="5">
        <v>45277.0</v>
      </c>
      <c r="AE8413" s="6">
        <v>0.4583333333333333</v>
      </c>
      <c r="AF8413" s="7">
        <v>40130.22</v>
      </c>
    </row>
    <row r="8414">
      <c r="G8414" s="5"/>
      <c r="H8414" s="6"/>
      <c r="AD8414" s="5">
        <v>45277.0</v>
      </c>
      <c r="AE8414" s="6">
        <v>0.5</v>
      </c>
      <c r="AF8414" s="7">
        <v>40998.36</v>
      </c>
    </row>
    <row r="8415">
      <c r="G8415" s="5"/>
      <c r="H8415" s="6"/>
      <c r="AD8415" s="5">
        <v>45277.0</v>
      </c>
      <c r="AE8415" s="6">
        <v>0.5416666666666666</v>
      </c>
      <c r="AF8415" s="7">
        <v>37630.32</v>
      </c>
    </row>
    <row r="8416">
      <c r="G8416" s="5"/>
      <c r="H8416" s="6"/>
      <c r="AD8416" s="5">
        <v>45277.0</v>
      </c>
      <c r="AE8416" s="6">
        <v>0.5833333333333334</v>
      </c>
      <c r="AF8416" s="7">
        <v>28882.62</v>
      </c>
    </row>
    <row r="8417">
      <c r="G8417" s="5"/>
      <c r="H8417" s="6"/>
      <c r="AD8417" s="5">
        <v>45277.0</v>
      </c>
      <c r="AE8417" s="6">
        <v>0.625</v>
      </c>
      <c r="AF8417" s="7">
        <v>16519.62</v>
      </c>
    </row>
    <row r="8418">
      <c r="G8418" s="5"/>
      <c r="H8418" s="6"/>
      <c r="AD8418" s="5">
        <v>45277.0</v>
      </c>
      <c r="AE8418" s="6">
        <v>0.6666666666666666</v>
      </c>
      <c r="AF8418" s="7">
        <v>1434.42</v>
      </c>
    </row>
    <row r="8419">
      <c r="G8419" s="5"/>
      <c r="H8419" s="6"/>
      <c r="AD8419" s="5">
        <v>45277.0</v>
      </c>
      <c r="AE8419" s="6">
        <v>0.7083333333333334</v>
      </c>
      <c r="AF8419" s="7">
        <v>0.0</v>
      </c>
    </row>
    <row r="8420">
      <c r="G8420" s="5"/>
      <c r="H8420" s="6"/>
      <c r="AD8420" s="5">
        <v>45277.0</v>
      </c>
      <c r="AE8420" s="6">
        <v>0.75</v>
      </c>
      <c r="AF8420" s="7">
        <v>0.0</v>
      </c>
    </row>
    <row r="8421">
      <c r="G8421" s="5"/>
      <c r="H8421" s="6"/>
      <c r="AD8421" s="5">
        <v>45277.0</v>
      </c>
      <c r="AE8421" s="6">
        <v>0.7916666666666666</v>
      </c>
      <c r="AF8421" s="7">
        <v>0.0</v>
      </c>
    </row>
    <row r="8422">
      <c r="G8422" s="5"/>
      <c r="H8422" s="6"/>
      <c r="AD8422" s="5">
        <v>45277.0</v>
      </c>
      <c r="AE8422" s="6">
        <v>0.8333333333333334</v>
      </c>
      <c r="AF8422" s="7">
        <v>0.0</v>
      </c>
    </row>
    <row r="8423">
      <c r="G8423" s="5"/>
      <c r="H8423" s="6"/>
      <c r="AD8423" s="5">
        <v>45277.0</v>
      </c>
      <c r="AE8423" s="6">
        <v>0.875</v>
      </c>
      <c r="AF8423" s="7">
        <v>0.0</v>
      </c>
    </row>
    <row r="8424">
      <c r="G8424" s="5"/>
      <c r="H8424" s="6"/>
      <c r="AD8424" s="5">
        <v>45277.0</v>
      </c>
      <c r="AE8424" s="6">
        <v>0.9166666666666666</v>
      </c>
      <c r="AF8424" s="7">
        <v>0.0</v>
      </c>
    </row>
    <row r="8425">
      <c r="G8425" s="5"/>
      <c r="H8425" s="6"/>
      <c r="AD8425" s="5">
        <v>45277.0</v>
      </c>
      <c r="AE8425" s="6">
        <v>0.9583333333333334</v>
      </c>
      <c r="AF8425" s="7">
        <v>0.0</v>
      </c>
    </row>
    <row r="8426">
      <c r="G8426" s="5"/>
      <c r="H8426" s="6"/>
      <c r="AD8426" s="5">
        <v>45278.0</v>
      </c>
      <c r="AE8426" s="6">
        <v>0.0</v>
      </c>
      <c r="AF8426" s="7">
        <v>0.0</v>
      </c>
    </row>
    <row r="8427">
      <c r="G8427" s="5"/>
      <c r="H8427" s="6"/>
      <c r="AD8427" s="5">
        <v>45278.0</v>
      </c>
      <c r="AE8427" s="6">
        <v>0.041666666666666664</v>
      </c>
      <c r="AF8427" s="7">
        <v>0.0</v>
      </c>
    </row>
    <row r="8428">
      <c r="G8428" s="5"/>
      <c r="H8428" s="6"/>
      <c r="AD8428" s="5">
        <v>45278.0</v>
      </c>
      <c r="AE8428" s="6">
        <v>0.08333333333333333</v>
      </c>
      <c r="AF8428" s="7">
        <v>0.0</v>
      </c>
    </row>
    <row r="8429">
      <c r="G8429" s="5"/>
      <c r="H8429" s="6"/>
      <c r="AD8429" s="5">
        <v>45278.0</v>
      </c>
      <c r="AE8429" s="6">
        <v>0.125</v>
      </c>
      <c r="AF8429" s="7">
        <v>0.0</v>
      </c>
    </row>
    <row r="8430">
      <c r="G8430" s="5"/>
      <c r="H8430" s="6"/>
      <c r="AD8430" s="5">
        <v>45278.0</v>
      </c>
      <c r="AE8430" s="6">
        <v>0.16666666666666666</v>
      </c>
      <c r="AF8430" s="7">
        <v>0.0</v>
      </c>
    </row>
    <row r="8431">
      <c r="G8431" s="5"/>
      <c r="H8431" s="6"/>
      <c r="AD8431" s="5">
        <v>45278.0</v>
      </c>
      <c r="AE8431" s="6">
        <v>0.20833333333333334</v>
      </c>
      <c r="AF8431" s="7">
        <v>0.0</v>
      </c>
    </row>
    <row r="8432">
      <c r="G8432" s="5"/>
      <c r="H8432" s="6"/>
      <c r="AD8432" s="5">
        <v>45278.0</v>
      </c>
      <c r="AE8432" s="6">
        <v>0.25</v>
      </c>
      <c r="AF8432" s="7">
        <v>0.0</v>
      </c>
    </row>
    <row r="8433">
      <c r="G8433" s="5"/>
      <c r="H8433" s="6"/>
      <c r="AD8433" s="5">
        <v>45278.0</v>
      </c>
      <c r="AE8433" s="6">
        <v>0.2916666666666667</v>
      </c>
      <c r="AF8433" s="7">
        <v>0.0</v>
      </c>
    </row>
    <row r="8434">
      <c r="G8434" s="5"/>
      <c r="H8434" s="6"/>
      <c r="AD8434" s="5">
        <v>45278.0</v>
      </c>
      <c r="AE8434" s="6">
        <v>0.3333333333333333</v>
      </c>
      <c r="AF8434" s="7">
        <v>3714.36</v>
      </c>
    </row>
    <row r="8435">
      <c r="G8435" s="5"/>
      <c r="H8435" s="6"/>
      <c r="AD8435" s="5">
        <v>45278.0</v>
      </c>
      <c r="AE8435" s="6">
        <v>0.375</v>
      </c>
      <c r="AF8435" s="7">
        <v>10664.94</v>
      </c>
    </row>
    <row r="8436">
      <c r="G8436" s="5"/>
      <c r="H8436" s="6"/>
      <c r="AD8436" s="5">
        <v>45278.0</v>
      </c>
      <c r="AE8436" s="6">
        <v>0.4166666666666667</v>
      </c>
      <c r="AF8436" s="7">
        <v>19294.08</v>
      </c>
    </row>
    <row r="8437">
      <c r="G8437" s="5"/>
      <c r="H8437" s="6"/>
      <c r="AD8437" s="5">
        <v>45278.0</v>
      </c>
      <c r="AE8437" s="6">
        <v>0.4583333333333333</v>
      </c>
      <c r="AF8437" s="7">
        <v>32002.62</v>
      </c>
    </row>
    <row r="8438">
      <c r="G8438" s="5"/>
      <c r="H8438" s="6"/>
      <c r="AD8438" s="5">
        <v>45278.0</v>
      </c>
      <c r="AE8438" s="6">
        <v>0.5</v>
      </c>
      <c r="AF8438" s="7">
        <v>40964.82</v>
      </c>
    </row>
    <row r="8439">
      <c r="G8439" s="5"/>
      <c r="H8439" s="6"/>
      <c r="AD8439" s="5">
        <v>45278.0</v>
      </c>
      <c r="AE8439" s="6">
        <v>0.5416666666666666</v>
      </c>
      <c r="AF8439" s="7">
        <v>37635.0</v>
      </c>
    </row>
    <row r="8440">
      <c r="G8440" s="5"/>
      <c r="H8440" s="6"/>
      <c r="AD8440" s="5">
        <v>45278.0</v>
      </c>
      <c r="AE8440" s="6">
        <v>0.5833333333333334</v>
      </c>
      <c r="AF8440" s="7">
        <v>28738.32</v>
      </c>
    </row>
    <row r="8441">
      <c r="G8441" s="5"/>
      <c r="H8441" s="6"/>
      <c r="AD8441" s="5">
        <v>45278.0</v>
      </c>
      <c r="AE8441" s="6">
        <v>0.625</v>
      </c>
      <c r="AF8441" s="7">
        <v>17261.4</v>
      </c>
    </row>
    <row r="8442">
      <c r="G8442" s="5"/>
      <c r="H8442" s="6"/>
      <c r="AD8442" s="5">
        <v>45278.0</v>
      </c>
      <c r="AE8442" s="6">
        <v>0.6666666666666666</v>
      </c>
      <c r="AF8442" s="7">
        <v>1530.36</v>
      </c>
    </row>
    <row r="8443">
      <c r="G8443" s="5"/>
      <c r="H8443" s="6"/>
      <c r="AD8443" s="5">
        <v>45278.0</v>
      </c>
      <c r="AE8443" s="6">
        <v>0.7083333333333334</v>
      </c>
      <c r="AF8443" s="7">
        <v>0.0</v>
      </c>
    </row>
    <row r="8444">
      <c r="G8444" s="5"/>
      <c r="H8444" s="6"/>
      <c r="AD8444" s="5">
        <v>45278.0</v>
      </c>
      <c r="AE8444" s="6">
        <v>0.75</v>
      </c>
      <c r="AF8444" s="7">
        <v>0.0</v>
      </c>
    </row>
    <row r="8445">
      <c r="G8445" s="5"/>
      <c r="H8445" s="6"/>
      <c r="AD8445" s="5">
        <v>45278.0</v>
      </c>
      <c r="AE8445" s="6">
        <v>0.7916666666666666</v>
      </c>
      <c r="AF8445" s="7">
        <v>0.0</v>
      </c>
    </row>
    <row r="8446">
      <c r="G8446" s="5"/>
      <c r="H8446" s="6"/>
      <c r="AD8446" s="5">
        <v>45278.0</v>
      </c>
      <c r="AE8446" s="6">
        <v>0.8333333333333334</v>
      </c>
      <c r="AF8446" s="7">
        <v>0.0</v>
      </c>
    </row>
    <row r="8447">
      <c r="G8447" s="5"/>
      <c r="H8447" s="6"/>
      <c r="AD8447" s="5">
        <v>45278.0</v>
      </c>
      <c r="AE8447" s="6">
        <v>0.875</v>
      </c>
      <c r="AF8447" s="7">
        <v>0.0</v>
      </c>
    </row>
    <row r="8448">
      <c r="G8448" s="5"/>
      <c r="H8448" s="6"/>
      <c r="AD8448" s="5">
        <v>45278.0</v>
      </c>
      <c r="AE8448" s="6">
        <v>0.9166666666666666</v>
      </c>
      <c r="AF8448" s="7">
        <v>0.0</v>
      </c>
    </row>
    <row r="8449">
      <c r="G8449" s="5"/>
      <c r="H8449" s="6"/>
      <c r="AD8449" s="5">
        <v>45278.0</v>
      </c>
      <c r="AE8449" s="6">
        <v>0.9583333333333334</v>
      </c>
      <c r="AF8449" s="7">
        <v>0.0</v>
      </c>
    </row>
    <row r="8450">
      <c r="G8450" s="5"/>
      <c r="H8450" s="6"/>
      <c r="AD8450" s="5">
        <v>45279.0</v>
      </c>
      <c r="AE8450" s="6">
        <v>0.0</v>
      </c>
      <c r="AF8450" s="7">
        <v>0.0</v>
      </c>
    </row>
    <row r="8451">
      <c r="G8451" s="5"/>
      <c r="H8451" s="6"/>
      <c r="AD8451" s="5">
        <v>45279.0</v>
      </c>
      <c r="AE8451" s="6">
        <v>0.041666666666666664</v>
      </c>
      <c r="AF8451" s="7">
        <v>0.0</v>
      </c>
    </row>
    <row r="8452">
      <c r="G8452" s="5"/>
      <c r="H8452" s="6"/>
      <c r="AD8452" s="5">
        <v>45279.0</v>
      </c>
      <c r="AE8452" s="6">
        <v>0.08333333333333333</v>
      </c>
      <c r="AF8452" s="7">
        <v>0.0</v>
      </c>
    </row>
    <row r="8453">
      <c r="G8453" s="5"/>
      <c r="H8453" s="6"/>
      <c r="AD8453" s="5">
        <v>45279.0</v>
      </c>
      <c r="AE8453" s="6">
        <v>0.125</v>
      </c>
      <c r="AF8453" s="7">
        <v>0.0</v>
      </c>
    </row>
    <row r="8454">
      <c r="G8454" s="5"/>
      <c r="H8454" s="6"/>
      <c r="AD8454" s="5">
        <v>45279.0</v>
      </c>
      <c r="AE8454" s="6">
        <v>0.16666666666666666</v>
      </c>
      <c r="AF8454" s="7">
        <v>0.0</v>
      </c>
    </row>
    <row r="8455">
      <c r="G8455" s="5"/>
      <c r="H8455" s="6"/>
      <c r="AD8455" s="5">
        <v>45279.0</v>
      </c>
      <c r="AE8455" s="6">
        <v>0.20833333333333334</v>
      </c>
      <c r="AF8455" s="7">
        <v>0.0</v>
      </c>
    </row>
    <row r="8456">
      <c r="G8456" s="5"/>
      <c r="H8456" s="6"/>
      <c r="AD8456" s="5">
        <v>45279.0</v>
      </c>
      <c r="AE8456" s="6">
        <v>0.25</v>
      </c>
      <c r="AF8456" s="7">
        <v>0.0</v>
      </c>
    </row>
    <row r="8457">
      <c r="G8457" s="5"/>
      <c r="H8457" s="6"/>
      <c r="AD8457" s="5">
        <v>45279.0</v>
      </c>
      <c r="AE8457" s="6">
        <v>0.2916666666666667</v>
      </c>
      <c r="AF8457" s="7">
        <v>0.0</v>
      </c>
    </row>
    <row r="8458">
      <c r="G8458" s="5"/>
      <c r="H8458" s="6"/>
      <c r="AD8458" s="5">
        <v>45279.0</v>
      </c>
      <c r="AE8458" s="6">
        <v>0.3333333333333333</v>
      </c>
      <c r="AF8458" s="7">
        <v>3566.94</v>
      </c>
    </row>
    <row r="8459">
      <c r="G8459" s="5"/>
      <c r="H8459" s="6"/>
      <c r="AD8459" s="5">
        <v>45279.0</v>
      </c>
      <c r="AE8459" s="6">
        <v>0.375</v>
      </c>
      <c r="AF8459" s="7">
        <v>9388.08</v>
      </c>
    </row>
    <row r="8460">
      <c r="G8460" s="5"/>
      <c r="H8460" s="6"/>
      <c r="AD8460" s="5">
        <v>45279.0</v>
      </c>
      <c r="AE8460" s="6">
        <v>0.4166666666666667</v>
      </c>
      <c r="AF8460" s="7">
        <v>12247.56</v>
      </c>
    </row>
    <row r="8461">
      <c r="G8461" s="5"/>
      <c r="H8461" s="6"/>
      <c r="AD8461" s="5">
        <v>45279.0</v>
      </c>
      <c r="AE8461" s="6">
        <v>0.4583333333333333</v>
      </c>
      <c r="AF8461" s="7">
        <v>14685.84</v>
      </c>
    </row>
    <row r="8462">
      <c r="G8462" s="5"/>
      <c r="H8462" s="6"/>
      <c r="AD8462" s="5">
        <v>45279.0</v>
      </c>
      <c r="AE8462" s="6">
        <v>0.5</v>
      </c>
      <c r="AF8462" s="7">
        <v>34901.1</v>
      </c>
    </row>
    <row r="8463">
      <c r="G8463" s="5"/>
      <c r="H8463" s="6"/>
      <c r="AD8463" s="5">
        <v>45279.0</v>
      </c>
      <c r="AE8463" s="6">
        <v>0.5416666666666666</v>
      </c>
      <c r="AF8463" s="7">
        <v>38046.84</v>
      </c>
    </row>
    <row r="8464">
      <c r="G8464" s="5"/>
      <c r="H8464" s="6"/>
      <c r="AD8464" s="5">
        <v>45279.0</v>
      </c>
      <c r="AE8464" s="6">
        <v>0.5833333333333334</v>
      </c>
      <c r="AF8464" s="7">
        <v>29096.34</v>
      </c>
    </row>
    <row r="8465">
      <c r="G8465" s="5"/>
      <c r="H8465" s="6"/>
      <c r="AD8465" s="5">
        <v>45279.0</v>
      </c>
      <c r="AE8465" s="6">
        <v>0.625</v>
      </c>
      <c r="AF8465" s="7">
        <v>17436.12</v>
      </c>
    </row>
    <row r="8466">
      <c r="G8466" s="5"/>
      <c r="H8466" s="6"/>
      <c r="AD8466" s="5">
        <v>45279.0</v>
      </c>
      <c r="AE8466" s="6">
        <v>0.6666666666666666</v>
      </c>
      <c r="AF8466" s="7">
        <v>1401.66</v>
      </c>
    </row>
    <row r="8467">
      <c r="G8467" s="5"/>
      <c r="H8467" s="6"/>
      <c r="AD8467" s="5">
        <v>45279.0</v>
      </c>
      <c r="AE8467" s="6">
        <v>0.7083333333333334</v>
      </c>
      <c r="AF8467" s="7">
        <v>0.0</v>
      </c>
    </row>
    <row r="8468">
      <c r="G8468" s="5"/>
      <c r="H8468" s="6"/>
      <c r="AD8468" s="5">
        <v>45279.0</v>
      </c>
      <c r="AE8468" s="6">
        <v>0.75</v>
      </c>
      <c r="AF8468" s="7">
        <v>0.0</v>
      </c>
    </row>
    <row r="8469">
      <c r="G8469" s="5"/>
      <c r="H8469" s="6"/>
      <c r="AD8469" s="5">
        <v>45279.0</v>
      </c>
      <c r="AE8469" s="6">
        <v>0.7916666666666666</v>
      </c>
      <c r="AF8469" s="7">
        <v>0.0</v>
      </c>
    </row>
    <row r="8470">
      <c r="G8470" s="5"/>
      <c r="H8470" s="6"/>
      <c r="AD8470" s="5">
        <v>45279.0</v>
      </c>
      <c r="AE8470" s="6">
        <v>0.8333333333333334</v>
      </c>
      <c r="AF8470" s="7">
        <v>0.0</v>
      </c>
    </row>
    <row r="8471">
      <c r="G8471" s="5"/>
      <c r="H8471" s="6"/>
      <c r="AD8471" s="5">
        <v>45279.0</v>
      </c>
      <c r="AE8471" s="6">
        <v>0.875</v>
      </c>
      <c r="AF8471" s="7">
        <v>0.0</v>
      </c>
    </row>
    <row r="8472">
      <c r="G8472" s="5"/>
      <c r="H8472" s="6"/>
      <c r="AD8472" s="5">
        <v>45279.0</v>
      </c>
      <c r="AE8472" s="6">
        <v>0.9166666666666666</v>
      </c>
      <c r="AF8472" s="7">
        <v>0.0</v>
      </c>
    </row>
    <row r="8473">
      <c r="G8473" s="5"/>
      <c r="H8473" s="6"/>
      <c r="AD8473" s="5">
        <v>45279.0</v>
      </c>
      <c r="AE8473" s="6">
        <v>0.9583333333333334</v>
      </c>
      <c r="AF8473" s="7">
        <v>0.0</v>
      </c>
    </row>
    <row r="8474">
      <c r="G8474" s="5"/>
      <c r="H8474" s="6"/>
      <c r="AD8474" s="5">
        <v>45280.0</v>
      </c>
      <c r="AE8474" s="6">
        <v>0.0</v>
      </c>
      <c r="AF8474" s="7">
        <v>0.0</v>
      </c>
    </row>
    <row r="8475">
      <c r="G8475" s="5"/>
      <c r="H8475" s="6"/>
      <c r="AD8475" s="5">
        <v>45280.0</v>
      </c>
      <c r="AE8475" s="6">
        <v>0.041666666666666664</v>
      </c>
      <c r="AF8475" s="7">
        <v>0.0</v>
      </c>
    </row>
    <row r="8476">
      <c r="G8476" s="5"/>
      <c r="H8476" s="6"/>
      <c r="AD8476" s="5">
        <v>45280.0</v>
      </c>
      <c r="AE8476" s="6">
        <v>0.08333333333333333</v>
      </c>
      <c r="AF8476" s="7">
        <v>0.0</v>
      </c>
    </row>
    <row r="8477">
      <c r="G8477" s="5"/>
      <c r="H8477" s="6"/>
      <c r="AD8477" s="5">
        <v>45280.0</v>
      </c>
      <c r="AE8477" s="6">
        <v>0.125</v>
      </c>
      <c r="AF8477" s="7">
        <v>0.0</v>
      </c>
    </row>
    <row r="8478">
      <c r="G8478" s="5"/>
      <c r="H8478" s="6"/>
      <c r="AD8478" s="5">
        <v>45280.0</v>
      </c>
      <c r="AE8478" s="6">
        <v>0.16666666666666666</v>
      </c>
      <c r="AF8478" s="7">
        <v>0.0</v>
      </c>
    </row>
    <row r="8479">
      <c r="G8479" s="5"/>
      <c r="H8479" s="6"/>
      <c r="AD8479" s="5">
        <v>45280.0</v>
      </c>
      <c r="AE8479" s="6">
        <v>0.20833333333333334</v>
      </c>
      <c r="AF8479" s="7">
        <v>0.0</v>
      </c>
    </row>
    <row r="8480">
      <c r="G8480" s="5"/>
      <c r="H8480" s="6"/>
      <c r="AD8480" s="5">
        <v>45280.0</v>
      </c>
      <c r="AE8480" s="6">
        <v>0.25</v>
      </c>
      <c r="AF8480" s="7">
        <v>0.0</v>
      </c>
    </row>
    <row r="8481">
      <c r="G8481" s="5"/>
      <c r="H8481" s="6"/>
      <c r="AD8481" s="5">
        <v>45280.0</v>
      </c>
      <c r="AE8481" s="6">
        <v>0.2916666666666667</v>
      </c>
      <c r="AF8481" s="7">
        <v>0.0</v>
      </c>
    </row>
    <row r="8482">
      <c r="G8482" s="5"/>
      <c r="H8482" s="6"/>
      <c r="AD8482" s="5">
        <v>45280.0</v>
      </c>
      <c r="AE8482" s="6">
        <v>0.3333333333333333</v>
      </c>
      <c r="AF8482" s="7">
        <v>2237.04</v>
      </c>
    </row>
    <row r="8483">
      <c r="G8483" s="5"/>
      <c r="H8483" s="6"/>
      <c r="AD8483" s="5">
        <v>45280.0</v>
      </c>
      <c r="AE8483" s="6">
        <v>0.375</v>
      </c>
      <c r="AF8483" s="7">
        <v>22222.2</v>
      </c>
    </row>
    <row r="8484">
      <c r="G8484" s="5"/>
      <c r="H8484" s="6"/>
      <c r="AD8484" s="5">
        <v>45280.0</v>
      </c>
      <c r="AE8484" s="6">
        <v>0.4166666666666667</v>
      </c>
      <c r="AF8484" s="7">
        <v>32295.12</v>
      </c>
    </row>
    <row r="8485">
      <c r="G8485" s="5"/>
      <c r="H8485" s="6"/>
      <c r="AD8485" s="5">
        <v>45280.0</v>
      </c>
      <c r="AE8485" s="6">
        <v>0.4583333333333333</v>
      </c>
      <c r="AF8485" s="7">
        <v>39960.96</v>
      </c>
    </row>
    <row r="8486">
      <c r="G8486" s="5"/>
      <c r="H8486" s="6"/>
      <c r="AD8486" s="5">
        <v>45280.0</v>
      </c>
      <c r="AE8486" s="6">
        <v>0.5</v>
      </c>
      <c r="AF8486" s="7">
        <v>41300.22</v>
      </c>
    </row>
    <row r="8487">
      <c r="G8487" s="5"/>
      <c r="H8487" s="6"/>
      <c r="AD8487" s="5">
        <v>45280.0</v>
      </c>
      <c r="AE8487" s="6">
        <v>0.5416666666666666</v>
      </c>
      <c r="AF8487" s="7">
        <v>37855.74</v>
      </c>
    </row>
    <row r="8488">
      <c r="G8488" s="5"/>
      <c r="H8488" s="6"/>
      <c r="AD8488" s="5">
        <v>45280.0</v>
      </c>
      <c r="AE8488" s="6">
        <v>0.5833333333333334</v>
      </c>
      <c r="AF8488" s="7">
        <v>29228.16</v>
      </c>
    </row>
    <row r="8489">
      <c r="G8489" s="5"/>
      <c r="H8489" s="6"/>
      <c r="AD8489" s="5">
        <v>45280.0</v>
      </c>
      <c r="AE8489" s="6">
        <v>0.625</v>
      </c>
      <c r="AF8489" s="7">
        <v>17399.46</v>
      </c>
    </row>
    <row r="8490">
      <c r="G8490" s="5"/>
      <c r="H8490" s="6"/>
      <c r="AD8490" s="5">
        <v>45280.0</v>
      </c>
      <c r="AE8490" s="6">
        <v>0.6666666666666666</v>
      </c>
      <c r="AF8490" s="7">
        <v>1588.86</v>
      </c>
    </row>
    <row r="8491">
      <c r="G8491" s="5"/>
      <c r="H8491" s="6"/>
      <c r="AD8491" s="5">
        <v>45280.0</v>
      </c>
      <c r="AE8491" s="6">
        <v>0.7083333333333334</v>
      </c>
      <c r="AF8491" s="7">
        <v>0.0</v>
      </c>
    </row>
    <row r="8492">
      <c r="G8492" s="5"/>
      <c r="H8492" s="6"/>
      <c r="AD8492" s="5">
        <v>45280.0</v>
      </c>
      <c r="AE8492" s="6">
        <v>0.75</v>
      </c>
      <c r="AF8492" s="7">
        <v>0.0</v>
      </c>
    </row>
    <row r="8493">
      <c r="G8493" s="5"/>
      <c r="H8493" s="6"/>
      <c r="AD8493" s="5">
        <v>45280.0</v>
      </c>
      <c r="AE8493" s="6">
        <v>0.7916666666666666</v>
      </c>
      <c r="AF8493" s="7">
        <v>0.0</v>
      </c>
    </row>
    <row r="8494">
      <c r="G8494" s="5"/>
      <c r="H8494" s="6"/>
      <c r="AD8494" s="5">
        <v>45280.0</v>
      </c>
      <c r="AE8494" s="6">
        <v>0.8333333333333334</v>
      </c>
      <c r="AF8494" s="7">
        <v>0.0</v>
      </c>
    </row>
    <row r="8495">
      <c r="G8495" s="5"/>
      <c r="H8495" s="6"/>
      <c r="AD8495" s="5">
        <v>45280.0</v>
      </c>
      <c r="AE8495" s="6">
        <v>0.875</v>
      </c>
      <c r="AF8495" s="7">
        <v>0.0</v>
      </c>
    </row>
    <row r="8496">
      <c r="G8496" s="5"/>
      <c r="H8496" s="6"/>
      <c r="AD8496" s="5">
        <v>45280.0</v>
      </c>
      <c r="AE8496" s="6">
        <v>0.9166666666666666</v>
      </c>
      <c r="AF8496" s="7">
        <v>0.0</v>
      </c>
    </row>
    <row r="8497">
      <c r="G8497" s="5"/>
      <c r="H8497" s="6"/>
      <c r="AD8497" s="5">
        <v>45280.0</v>
      </c>
      <c r="AE8497" s="6">
        <v>0.9583333333333334</v>
      </c>
      <c r="AF8497" s="7">
        <v>0.0</v>
      </c>
    </row>
    <row r="8498">
      <c r="G8498" s="5"/>
      <c r="H8498" s="6"/>
      <c r="AD8498" s="5">
        <v>45281.0</v>
      </c>
      <c r="AE8498" s="6">
        <v>0.0</v>
      </c>
      <c r="AF8498" s="7">
        <v>0.0</v>
      </c>
    </row>
    <row r="8499">
      <c r="G8499" s="5"/>
      <c r="H8499" s="6"/>
      <c r="AD8499" s="5">
        <v>45281.0</v>
      </c>
      <c r="AE8499" s="6">
        <v>0.041666666666666664</v>
      </c>
      <c r="AF8499" s="7">
        <v>0.0</v>
      </c>
    </row>
    <row r="8500">
      <c r="G8500" s="5"/>
      <c r="H8500" s="6"/>
      <c r="AD8500" s="5">
        <v>45281.0</v>
      </c>
      <c r="AE8500" s="6">
        <v>0.08333333333333333</v>
      </c>
      <c r="AF8500" s="7">
        <v>0.0</v>
      </c>
    </row>
    <row r="8501">
      <c r="G8501" s="5"/>
      <c r="H8501" s="6"/>
      <c r="AD8501" s="5">
        <v>45281.0</v>
      </c>
      <c r="AE8501" s="6">
        <v>0.125</v>
      </c>
      <c r="AF8501" s="7">
        <v>0.0</v>
      </c>
    </row>
    <row r="8502">
      <c r="G8502" s="5"/>
      <c r="H8502" s="6"/>
      <c r="AD8502" s="5">
        <v>45281.0</v>
      </c>
      <c r="AE8502" s="6">
        <v>0.16666666666666666</v>
      </c>
      <c r="AF8502" s="7">
        <v>0.0</v>
      </c>
    </row>
    <row r="8503">
      <c r="G8503" s="5"/>
      <c r="H8503" s="6"/>
      <c r="AD8503" s="5">
        <v>45281.0</v>
      </c>
      <c r="AE8503" s="6">
        <v>0.20833333333333334</v>
      </c>
      <c r="AF8503" s="7">
        <v>0.0</v>
      </c>
    </row>
    <row r="8504">
      <c r="G8504" s="5"/>
      <c r="H8504" s="6"/>
      <c r="AD8504" s="5">
        <v>45281.0</v>
      </c>
      <c r="AE8504" s="6">
        <v>0.25</v>
      </c>
      <c r="AF8504" s="7">
        <v>0.0</v>
      </c>
    </row>
    <row r="8505">
      <c r="G8505" s="5"/>
      <c r="H8505" s="6"/>
      <c r="AD8505" s="5">
        <v>45281.0</v>
      </c>
      <c r="AE8505" s="6">
        <v>0.2916666666666667</v>
      </c>
      <c r="AF8505" s="7">
        <v>0.0</v>
      </c>
    </row>
    <row r="8506">
      <c r="G8506" s="5"/>
      <c r="H8506" s="6"/>
      <c r="AD8506" s="5">
        <v>45281.0</v>
      </c>
      <c r="AE8506" s="6">
        <v>0.3333333333333333</v>
      </c>
      <c r="AF8506" s="7">
        <v>5651.88</v>
      </c>
    </row>
    <row r="8507">
      <c r="G8507" s="5"/>
      <c r="H8507" s="6"/>
      <c r="AD8507" s="5">
        <v>45281.0</v>
      </c>
      <c r="AE8507" s="6">
        <v>0.375</v>
      </c>
      <c r="AF8507" s="7">
        <v>21843.9</v>
      </c>
    </row>
    <row r="8508">
      <c r="G8508" s="5"/>
      <c r="H8508" s="6"/>
      <c r="AD8508" s="5">
        <v>45281.0</v>
      </c>
      <c r="AE8508" s="6">
        <v>0.4166666666666667</v>
      </c>
      <c r="AF8508" s="7">
        <v>32526.78</v>
      </c>
    </row>
    <row r="8509">
      <c r="G8509" s="5"/>
      <c r="H8509" s="6"/>
      <c r="AD8509" s="5">
        <v>45281.0</v>
      </c>
      <c r="AE8509" s="6">
        <v>0.4583333333333333</v>
      </c>
      <c r="AF8509" s="7">
        <v>39197.34</v>
      </c>
    </row>
    <row r="8510">
      <c r="G8510" s="5"/>
      <c r="H8510" s="6"/>
      <c r="AD8510" s="5">
        <v>45281.0</v>
      </c>
      <c r="AE8510" s="6">
        <v>0.5</v>
      </c>
      <c r="AF8510" s="7">
        <v>39358.8</v>
      </c>
    </row>
    <row r="8511">
      <c r="G8511" s="5"/>
      <c r="H8511" s="6"/>
      <c r="AD8511" s="5">
        <v>45281.0</v>
      </c>
      <c r="AE8511" s="6">
        <v>0.5416666666666666</v>
      </c>
      <c r="AF8511" s="7">
        <v>40121.64</v>
      </c>
    </row>
    <row r="8512">
      <c r="G8512" s="5"/>
      <c r="H8512" s="6"/>
      <c r="AD8512" s="5">
        <v>45281.0</v>
      </c>
      <c r="AE8512" s="6">
        <v>0.5833333333333334</v>
      </c>
      <c r="AF8512" s="7">
        <v>27792.96</v>
      </c>
    </row>
    <row r="8513">
      <c r="G8513" s="5"/>
      <c r="H8513" s="6"/>
      <c r="AD8513" s="5">
        <v>45281.0</v>
      </c>
      <c r="AE8513" s="6">
        <v>0.625</v>
      </c>
      <c r="AF8513" s="7">
        <v>15635.1</v>
      </c>
    </row>
    <row r="8514">
      <c r="G8514" s="5"/>
      <c r="H8514" s="6"/>
      <c r="AD8514" s="5">
        <v>45281.0</v>
      </c>
      <c r="AE8514" s="6">
        <v>0.6666666666666666</v>
      </c>
      <c r="AF8514" s="7">
        <v>442.26</v>
      </c>
    </row>
    <row r="8515">
      <c r="G8515" s="5"/>
      <c r="H8515" s="6"/>
      <c r="AD8515" s="5">
        <v>45281.0</v>
      </c>
      <c r="AE8515" s="6">
        <v>0.7083333333333334</v>
      </c>
      <c r="AF8515" s="7">
        <v>0.0</v>
      </c>
    </row>
    <row r="8516">
      <c r="G8516" s="5"/>
      <c r="H8516" s="6"/>
      <c r="AD8516" s="5">
        <v>45281.0</v>
      </c>
      <c r="AE8516" s="6">
        <v>0.75</v>
      </c>
      <c r="AF8516" s="7">
        <v>0.0</v>
      </c>
    </row>
    <row r="8517">
      <c r="G8517" s="5"/>
      <c r="H8517" s="6"/>
      <c r="AD8517" s="5">
        <v>45281.0</v>
      </c>
      <c r="AE8517" s="6">
        <v>0.7916666666666666</v>
      </c>
      <c r="AF8517" s="7">
        <v>0.0</v>
      </c>
    </row>
    <row r="8518">
      <c r="G8518" s="5"/>
      <c r="H8518" s="6"/>
      <c r="AD8518" s="5">
        <v>45281.0</v>
      </c>
      <c r="AE8518" s="6">
        <v>0.8333333333333334</v>
      </c>
      <c r="AF8518" s="7">
        <v>0.0</v>
      </c>
    </row>
    <row r="8519">
      <c r="G8519" s="5"/>
      <c r="H8519" s="6"/>
      <c r="AD8519" s="5">
        <v>45281.0</v>
      </c>
      <c r="AE8519" s="6">
        <v>0.875</v>
      </c>
      <c r="AF8519" s="7">
        <v>0.0</v>
      </c>
    </row>
    <row r="8520">
      <c r="G8520" s="5"/>
      <c r="H8520" s="6"/>
      <c r="AD8520" s="5">
        <v>45281.0</v>
      </c>
      <c r="AE8520" s="6">
        <v>0.9166666666666666</v>
      </c>
      <c r="AF8520" s="7">
        <v>0.0</v>
      </c>
    </row>
    <row r="8521">
      <c r="G8521" s="5"/>
      <c r="H8521" s="6"/>
      <c r="AD8521" s="5">
        <v>45281.0</v>
      </c>
      <c r="AE8521" s="6">
        <v>0.9583333333333334</v>
      </c>
      <c r="AF8521" s="7">
        <v>0.0</v>
      </c>
    </row>
    <row r="8522">
      <c r="G8522" s="5"/>
      <c r="H8522" s="6"/>
      <c r="AD8522" s="5">
        <v>45282.0</v>
      </c>
      <c r="AE8522" s="6">
        <v>0.0</v>
      </c>
      <c r="AF8522" s="7">
        <v>0.0</v>
      </c>
    </row>
    <row r="8523">
      <c r="G8523" s="5"/>
      <c r="H8523" s="6"/>
      <c r="AD8523" s="5">
        <v>45282.0</v>
      </c>
      <c r="AE8523" s="6">
        <v>0.041666666666666664</v>
      </c>
      <c r="AF8523" s="7">
        <v>0.0</v>
      </c>
    </row>
    <row r="8524">
      <c r="G8524" s="5"/>
      <c r="H8524" s="6"/>
      <c r="AD8524" s="5">
        <v>45282.0</v>
      </c>
      <c r="AE8524" s="6">
        <v>0.08333333333333333</v>
      </c>
      <c r="AF8524" s="7">
        <v>0.0</v>
      </c>
    </row>
    <row r="8525">
      <c r="G8525" s="5"/>
      <c r="H8525" s="6"/>
      <c r="AD8525" s="5">
        <v>45282.0</v>
      </c>
      <c r="AE8525" s="6">
        <v>0.125</v>
      </c>
      <c r="AF8525" s="7">
        <v>0.0</v>
      </c>
    </row>
    <row r="8526">
      <c r="G8526" s="5"/>
      <c r="H8526" s="6"/>
      <c r="AD8526" s="5">
        <v>45282.0</v>
      </c>
      <c r="AE8526" s="6">
        <v>0.16666666666666666</v>
      </c>
      <c r="AF8526" s="7">
        <v>0.0</v>
      </c>
    </row>
    <row r="8527">
      <c r="G8527" s="5"/>
      <c r="H8527" s="6"/>
      <c r="AD8527" s="5">
        <v>45282.0</v>
      </c>
      <c r="AE8527" s="6">
        <v>0.20833333333333334</v>
      </c>
      <c r="AF8527" s="7">
        <v>0.0</v>
      </c>
    </row>
    <row r="8528">
      <c r="G8528" s="5"/>
      <c r="H8528" s="6"/>
      <c r="AD8528" s="5">
        <v>45282.0</v>
      </c>
      <c r="AE8528" s="6">
        <v>0.25</v>
      </c>
      <c r="AF8528" s="7">
        <v>0.0</v>
      </c>
    </row>
    <row r="8529">
      <c r="G8529" s="5"/>
      <c r="H8529" s="6"/>
      <c r="AD8529" s="5">
        <v>45282.0</v>
      </c>
      <c r="AE8529" s="6">
        <v>0.2916666666666667</v>
      </c>
      <c r="AF8529" s="7">
        <v>0.0</v>
      </c>
    </row>
    <row r="8530">
      <c r="G8530" s="5"/>
      <c r="H8530" s="6"/>
      <c r="AD8530" s="5">
        <v>45282.0</v>
      </c>
      <c r="AE8530" s="6">
        <v>0.3333333333333333</v>
      </c>
      <c r="AF8530" s="7">
        <v>6848.4</v>
      </c>
    </row>
    <row r="8531">
      <c r="G8531" s="5"/>
      <c r="H8531" s="6"/>
      <c r="AD8531" s="5">
        <v>45282.0</v>
      </c>
      <c r="AE8531" s="6">
        <v>0.375</v>
      </c>
      <c r="AF8531" s="7">
        <v>22476.48</v>
      </c>
    </row>
    <row r="8532">
      <c r="G8532" s="5"/>
      <c r="H8532" s="6"/>
      <c r="AD8532" s="5">
        <v>45282.0</v>
      </c>
      <c r="AE8532" s="6">
        <v>0.4166666666666667</v>
      </c>
      <c r="AF8532" s="7">
        <v>32451.12</v>
      </c>
    </row>
    <row r="8533">
      <c r="G8533" s="5"/>
      <c r="H8533" s="6"/>
      <c r="AD8533" s="5">
        <v>45282.0</v>
      </c>
      <c r="AE8533" s="6">
        <v>0.4583333333333333</v>
      </c>
      <c r="AF8533" s="7">
        <v>39332.28</v>
      </c>
    </row>
    <row r="8534">
      <c r="G8534" s="5"/>
      <c r="H8534" s="6"/>
      <c r="AD8534" s="5">
        <v>45282.0</v>
      </c>
      <c r="AE8534" s="6">
        <v>0.5</v>
      </c>
      <c r="AF8534" s="7">
        <v>40625.52</v>
      </c>
    </row>
    <row r="8535">
      <c r="G8535" s="5"/>
      <c r="H8535" s="6"/>
      <c r="AD8535" s="5">
        <v>45282.0</v>
      </c>
      <c r="AE8535" s="6">
        <v>0.5416666666666666</v>
      </c>
      <c r="AF8535" s="7">
        <v>37508.64</v>
      </c>
    </row>
    <row r="8536">
      <c r="G8536" s="5"/>
      <c r="H8536" s="6"/>
      <c r="AD8536" s="5">
        <v>45282.0</v>
      </c>
      <c r="AE8536" s="6">
        <v>0.5833333333333334</v>
      </c>
      <c r="AF8536" s="7">
        <v>29322.54</v>
      </c>
    </row>
    <row r="8537">
      <c r="G8537" s="5"/>
      <c r="H8537" s="6"/>
      <c r="AD8537" s="5">
        <v>45282.0</v>
      </c>
      <c r="AE8537" s="6">
        <v>0.625</v>
      </c>
      <c r="AF8537" s="7">
        <v>17992.26</v>
      </c>
    </row>
    <row r="8538">
      <c r="G8538" s="5"/>
      <c r="H8538" s="6"/>
      <c r="AD8538" s="5">
        <v>45282.0</v>
      </c>
      <c r="AE8538" s="6">
        <v>0.6666666666666666</v>
      </c>
      <c r="AF8538" s="7">
        <v>1429.74</v>
      </c>
    </row>
    <row r="8539">
      <c r="G8539" s="5"/>
      <c r="H8539" s="6"/>
      <c r="AD8539" s="5">
        <v>45282.0</v>
      </c>
      <c r="AE8539" s="6">
        <v>0.7083333333333334</v>
      </c>
      <c r="AF8539" s="7">
        <v>0.0</v>
      </c>
    </row>
    <row r="8540">
      <c r="G8540" s="5"/>
      <c r="H8540" s="6"/>
      <c r="AD8540" s="5">
        <v>45282.0</v>
      </c>
      <c r="AE8540" s="6">
        <v>0.75</v>
      </c>
      <c r="AF8540" s="7">
        <v>0.0</v>
      </c>
    </row>
    <row r="8541">
      <c r="G8541" s="5"/>
      <c r="H8541" s="6"/>
      <c r="AD8541" s="5">
        <v>45282.0</v>
      </c>
      <c r="AE8541" s="6">
        <v>0.7916666666666666</v>
      </c>
      <c r="AF8541" s="7">
        <v>0.0</v>
      </c>
    </row>
    <row r="8542">
      <c r="G8542" s="5"/>
      <c r="H8542" s="6"/>
      <c r="AD8542" s="5">
        <v>45282.0</v>
      </c>
      <c r="AE8542" s="6">
        <v>0.8333333333333334</v>
      </c>
      <c r="AF8542" s="7">
        <v>0.0</v>
      </c>
    </row>
    <row r="8543">
      <c r="G8543" s="5"/>
      <c r="H8543" s="6"/>
      <c r="AD8543" s="5">
        <v>45282.0</v>
      </c>
      <c r="AE8543" s="6">
        <v>0.875</v>
      </c>
      <c r="AF8543" s="7">
        <v>0.0</v>
      </c>
    </row>
    <row r="8544">
      <c r="G8544" s="5"/>
      <c r="H8544" s="6"/>
      <c r="AD8544" s="5">
        <v>45282.0</v>
      </c>
      <c r="AE8544" s="6">
        <v>0.9166666666666666</v>
      </c>
      <c r="AF8544" s="7">
        <v>0.0</v>
      </c>
    </row>
    <row r="8545">
      <c r="G8545" s="5"/>
      <c r="H8545" s="6"/>
      <c r="AD8545" s="5">
        <v>45282.0</v>
      </c>
      <c r="AE8545" s="6">
        <v>0.9583333333333334</v>
      </c>
      <c r="AF8545" s="7">
        <v>0.0</v>
      </c>
    </row>
    <row r="8546">
      <c r="G8546" s="5"/>
      <c r="H8546" s="6"/>
      <c r="AD8546" s="5">
        <v>45283.0</v>
      </c>
      <c r="AE8546" s="6">
        <v>0.0</v>
      </c>
      <c r="AF8546" s="7">
        <v>0.0</v>
      </c>
    </row>
    <row r="8547">
      <c r="G8547" s="5"/>
      <c r="H8547" s="6"/>
      <c r="AD8547" s="5">
        <v>45283.0</v>
      </c>
      <c r="AE8547" s="6">
        <v>0.041666666666666664</v>
      </c>
      <c r="AF8547" s="7">
        <v>0.0</v>
      </c>
    </row>
    <row r="8548">
      <c r="G8548" s="5"/>
      <c r="H8548" s="6"/>
      <c r="AD8548" s="5">
        <v>45283.0</v>
      </c>
      <c r="AE8548" s="6">
        <v>0.08333333333333333</v>
      </c>
      <c r="AF8548" s="7">
        <v>0.0</v>
      </c>
    </row>
    <row r="8549">
      <c r="G8549" s="5"/>
      <c r="H8549" s="6"/>
      <c r="AD8549" s="5">
        <v>45283.0</v>
      </c>
      <c r="AE8549" s="6">
        <v>0.125</v>
      </c>
      <c r="AF8549" s="7">
        <v>0.0</v>
      </c>
    </row>
    <row r="8550">
      <c r="G8550" s="5"/>
      <c r="H8550" s="6"/>
      <c r="AD8550" s="5">
        <v>45283.0</v>
      </c>
      <c r="AE8550" s="6">
        <v>0.16666666666666666</v>
      </c>
      <c r="AF8550" s="7">
        <v>0.0</v>
      </c>
    </row>
    <row r="8551">
      <c r="G8551" s="5"/>
      <c r="H8551" s="6"/>
      <c r="AD8551" s="5">
        <v>45283.0</v>
      </c>
      <c r="AE8551" s="6">
        <v>0.20833333333333334</v>
      </c>
      <c r="AF8551" s="7">
        <v>0.0</v>
      </c>
    </row>
    <row r="8552">
      <c r="G8552" s="5"/>
      <c r="H8552" s="6"/>
      <c r="AD8552" s="5">
        <v>45283.0</v>
      </c>
      <c r="AE8552" s="6">
        <v>0.25</v>
      </c>
      <c r="AF8552" s="7">
        <v>0.0</v>
      </c>
    </row>
    <row r="8553">
      <c r="G8553" s="5"/>
      <c r="H8553" s="6"/>
      <c r="AD8553" s="5">
        <v>45283.0</v>
      </c>
      <c r="AE8553" s="6">
        <v>0.2916666666666667</v>
      </c>
      <c r="AF8553" s="7">
        <v>0.0</v>
      </c>
    </row>
    <row r="8554">
      <c r="G8554" s="5"/>
      <c r="H8554" s="6"/>
      <c r="AD8554" s="5">
        <v>45283.0</v>
      </c>
      <c r="AE8554" s="6">
        <v>0.3333333333333333</v>
      </c>
      <c r="AF8554" s="7">
        <v>6287.58</v>
      </c>
    </row>
    <row r="8555">
      <c r="G8555" s="5"/>
      <c r="H8555" s="6"/>
      <c r="AD8555" s="5">
        <v>45283.0</v>
      </c>
      <c r="AE8555" s="6">
        <v>0.375</v>
      </c>
      <c r="AF8555" s="7">
        <v>22595.04</v>
      </c>
    </row>
    <row r="8556">
      <c r="G8556" s="5"/>
      <c r="H8556" s="6"/>
      <c r="AD8556" s="5">
        <v>45283.0</v>
      </c>
      <c r="AE8556" s="6">
        <v>0.4166666666666667</v>
      </c>
      <c r="AF8556" s="7">
        <v>32690.58</v>
      </c>
    </row>
    <row r="8557">
      <c r="G8557" s="5"/>
      <c r="H8557" s="6"/>
      <c r="AD8557" s="5">
        <v>45283.0</v>
      </c>
      <c r="AE8557" s="6">
        <v>0.4583333333333333</v>
      </c>
      <c r="AF8557" s="7">
        <v>39602.94</v>
      </c>
    </row>
    <row r="8558">
      <c r="G8558" s="5"/>
      <c r="H8558" s="6"/>
      <c r="AD8558" s="5">
        <v>45283.0</v>
      </c>
      <c r="AE8558" s="6">
        <v>0.5</v>
      </c>
      <c r="AF8558" s="7">
        <v>40793.22</v>
      </c>
    </row>
    <row r="8559">
      <c r="G8559" s="5"/>
      <c r="H8559" s="6"/>
      <c r="AD8559" s="5">
        <v>45283.0</v>
      </c>
      <c r="AE8559" s="6">
        <v>0.5416666666666666</v>
      </c>
      <c r="AF8559" s="7">
        <v>37416.6</v>
      </c>
    </row>
    <row r="8560">
      <c r="G8560" s="5"/>
      <c r="H8560" s="6"/>
      <c r="AD8560" s="5">
        <v>45283.0</v>
      </c>
      <c r="AE8560" s="6">
        <v>0.5833333333333334</v>
      </c>
      <c r="AF8560" s="7">
        <v>29342.04</v>
      </c>
    </row>
    <row r="8561">
      <c r="G8561" s="5"/>
      <c r="H8561" s="6"/>
      <c r="AD8561" s="5">
        <v>45283.0</v>
      </c>
      <c r="AE8561" s="6">
        <v>0.625</v>
      </c>
      <c r="AF8561" s="7">
        <v>18606.9</v>
      </c>
    </row>
    <row r="8562">
      <c r="G8562" s="5"/>
      <c r="H8562" s="6"/>
      <c r="AD8562" s="5">
        <v>45283.0</v>
      </c>
      <c r="AE8562" s="6">
        <v>0.6666666666666666</v>
      </c>
      <c r="AF8562" s="7">
        <v>1650.48</v>
      </c>
    </row>
    <row r="8563">
      <c r="G8563" s="5"/>
      <c r="H8563" s="6"/>
      <c r="AD8563" s="5">
        <v>45283.0</v>
      </c>
      <c r="AE8563" s="6">
        <v>0.7083333333333334</v>
      </c>
      <c r="AF8563" s="7">
        <v>0.0</v>
      </c>
    </row>
    <row r="8564">
      <c r="G8564" s="5"/>
      <c r="H8564" s="6"/>
      <c r="AD8564" s="5">
        <v>45283.0</v>
      </c>
      <c r="AE8564" s="6">
        <v>0.75</v>
      </c>
      <c r="AF8564" s="7">
        <v>0.0</v>
      </c>
    </row>
    <row r="8565">
      <c r="G8565" s="5"/>
      <c r="H8565" s="6"/>
      <c r="AD8565" s="5">
        <v>45283.0</v>
      </c>
      <c r="AE8565" s="6">
        <v>0.7916666666666666</v>
      </c>
      <c r="AF8565" s="7">
        <v>0.0</v>
      </c>
    </row>
    <row r="8566">
      <c r="G8566" s="5"/>
      <c r="H8566" s="6"/>
      <c r="AD8566" s="5">
        <v>45283.0</v>
      </c>
      <c r="AE8566" s="6">
        <v>0.8333333333333334</v>
      </c>
      <c r="AF8566" s="7">
        <v>0.0</v>
      </c>
    </row>
    <row r="8567">
      <c r="G8567" s="5"/>
      <c r="H8567" s="6"/>
      <c r="AD8567" s="5">
        <v>45283.0</v>
      </c>
      <c r="AE8567" s="6">
        <v>0.875</v>
      </c>
      <c r="AF8567" s="7">
        <v>0.0</v>
      </c>
    </row>
    <row r="8568">
      <c r="G8568" s="5"/>
      <c r="H8568" s="6"/>
      <c r="AD8568" s="5">
        <v>45283.0</v>
      </c>
      <c r="AE8568" s="6">
        <v>0.9166666666666666</v>
      </c>
      <c r="AF8568" s="7">
        <v>0.0</v>
      </c>
    </row>
    <row r="8569">
      <c r="G8569" s="5"/>
      <c r="H8569" s="6"/>
      <c r="AD8569" s="5">
        <v>45283.0</v>
      </c>
      <c r="AE8569" s="6">
        <v>0.9583333333333334</v>
      </c>
      <c r="AF8569" s="7">
        <v>0.0</v>
      </c>
    </row>
    <row r="8570">
      <c r="G8570" s="5"/>
      <c r="H8570" s="6"/>
      <c r="AD8570" s="5">
        <v>45284.0</v>
      </c>
      <c r="AE8570" s="6">
        <v>0.0</v>
      </c>
      <c r="AF8570" s="7">
        <v>0.0</v>
      </c>
    </row>
    <row r="8571">
      <c r="G8571" s="5"/>
      <c r="H8571" s="6"/>
      <c r="AD8571" s="5">
        <v>45284.0</v>
      </c>
      <c r="AE8571" s="6">
        <v>0.041666666666666664</v>
      </c>
      <c r="AF8571" s="7">
        <v>0.0</v>
      </c>
    </row>
    <row r="8572">
      <c r="G8572" s="5"/>
      <c r="H8572" s="6"/>
      <c r="AD8572" s="5">
        <v>45284.0</v>
      </c>
      <c r="AE8572" s="6">
        <v>0.08333333333333333</v>
      </c>
      <c r="AF8572" s="7">
        <v>0.0</v>
      </c>
    </row>
    <row r="8573">
      <c r="G8573" s="5"/>
      <c r="H8573" s="6"/>
      <c r="AD8573" s="5">
        <v>45284.0</v>
      </c>
      <c r="AE8573" s="6">
        <v>0.125</v>
      </c>
      <c r="AF8573" s="7">
        <v>0.0</v>
      </c>
    </row>
    <row r="8574">
      <c r="G8574" s="5"/>
      <c r="H8574" s="6"/>
      <c r="AD8574" s="5">
        <v>45284.0</v>
      </c>
      <c r="AE8574" s="6">
        <v>0.16666666666666666</v>
      </c>
      <c r="AF8574" s="7">
        <v>0.0</v>
      </c>
    </row>
    <row r="8575">
      <c r="G8575" s="5"/>
      <c r="H8575" s="6"/>
      <c r="AD8575" s="5">
        <v>45284.0</v>
      </c>
      <c r="AE8575" s="6">
        <v>0.20833333333333334</v>
      </c>
      <c r="AF8575" s="7">
        <v>0.0</v>
      </c>
    </row>
    <row r="8576">
      <c r="G8576" s="5"/>
      <c r="H8576" s="6"/>
      <c r="AD8576" s="5">
        <v>45284.0</v>
      </c>
      <c r="AE8576" s="6">
        <v>0.25</v>
      </c>
      <c r="AF8576" s="7">
        <v>0.0</v>
      </c>
    </row>
    <row r="8577">
      <c r="G8577" s="5"/>
      <c r="H8577" s="6"/>
      <c r="AD8577" s="5">
        <v>45284.0</v>
      </c>
      <c r="AE8577" s="6">
        <v>0.2916666666666667</v>
      </c>
      <c r="AF8577" s="7">
        <v>0.0</v>
      </c>
    </row>
    <row r="8578">
      <c r="G8578" s="5"/>
      <c r="H8578" s="6"/>
      <c r="AD8578" s="5">
        <v>45284.0</v>
      </c>
      <c r="AE8578" s="6">
        <v>0.3333333333333333</v>
      </c>
      <c r="AF8578" s="7">
        <v>6183.84</v>
      </c>
    </row>
    <row r="8579">
      <c r="G8579" s="5"/>
      <c r="H8579" s="6"/>
      <c r="AD8579" s="5">
        <v>45284.0</v>
      </c>
      <c r="AE8579" s="6">
        <v>0.375</v>
      </c>
      <c r="AF8579" s="7">
        <v>22927.32</v>
      </c>
    </row>
    <row r="8580">
      <c r="G8580" s="5"/>
      <c r="H8580" s="6"/>
      <c r="AD8580" s="5">
        <v>45284.0</v>
      </c>
      <c r="AE8580" s="6">
        <v>0.4166666666666667</v>
      </c>
      <c r="AF8580" s="7">
        <v>33126.6</v>
      </c>
    </row>
    <row r="8581">
      <c r="G8581" s="5"/>
      <c r="H8581" s="6"/>
      <c r="AD8581" s="5">
        <v>45284.0</v>
      </c>
      <c r="AE8581" s="6">
        <v>0.4583333333333333</v>
      </c>
      <c r="AF8581" s="7">
        <v>39303.42</v>
      </c>
    </row>
    <row r="8582">
      <c r="G8582" s="5"/>
      <c r="H8582" s="6"/>
      <c r="AD8582" s="5">
        <v>45284.0</v>
      </c>
      <c r="AE8582" s="6">
        <v>0.5</v>
      </c>
      <c r="AF8582" s="7">
        <v>40315.08</v>
      </c>
    </row>
    <row r="8583">
      <c r="G8583" s="5"/>
      <c r="H8583" s="6"/>
      <c r="AD8583" s="5">
        <v>45284.0</v>
      </c>
      <c r="AE8583" s="6">
        <v>0.5416666666666666</v>
      </c>
      <c r="AF8583" s="7">
        <v>37069.5</v>
      </c>
    </row>
    <row r="8584">
      <c r="G8584" s="5"/>
      <c r="H8584" s="6"/>
      <c r="AD8584" s="5">
        <v>45284.0</v>
      </c>
      <c r="AE8584" s="6">
        <v>0.5833333333333334</v>
      </c>
      <c r="AF8584" s="7">
        <v>29200.08</v>
      </c>
    </row>
    <row r="8585">
      <c r="G8585" s="5"/>
      <c r="H8585" s="6"/>
      <c r="AD8585" s="5">
        <v>45284.0</v>
      </c>
      <c r="AE8585" s="6">
        <v>0.625</v>
      </c>
      <c r="AF8585" s="7">
        <v>18691.14</v>
      </c>
    </row>
    <row r="8586">
      <c r="G8586" s="5"/>
      <c r="H8586" s="6"/>
      <c r="AD8586" s="5">
        <v>45284.0</v>
      </c>
      <c r="AE8586" s="6">
        <v>0.6666666666666666</v>
      </c>
      <c r="AF8586" s="7">
        <v>1795.56</v>
      </c>
    </row>
    <row r="8587">
      <c r="G8587" s="5"/>
      <c r="H8587" s="6"/>
      <c r="AD8587" s="5">
        <v>45284.0</v>
      </c>
      <c r="AE8587" s="6">
        <v>0.7083333333333334</v>
      </c>
      <c r="AF8587" s="7">
        <v>0.0</v>
      </c>
    </row>
    <row r="8588">
      <c r="G8588" s="5"/>
      <c r="H8588" s="6"/>
      <c r="AD8588" s="5">
        <v>45284.0</v>
      </c>
      <c r="AE8588" s="6">
        <v>0.75</v>
      </c>
      <c r="AF8588" s="7">
        <v>0.0</v>
      </c>
    </row>
    <row r="8589">
      <c r="G8589" s="5"/>
      <c r="H8589" s="6"/>
      <c r="AD8589" s="5">
        <v>45284.0</v>
      </c>
      <c r="AE8589" s="6">
        <v>0.7916666666666666</v>
      </c>
      <c r="AF8589" s="7">
        <v>0.0</v>
      </c>
    </row>
    <row r="8590">
      <c r="G8590" s="5"/>
      <c r="H8590" s="6"/>
      <c r="AD8590" s="5">
        <v>45284.0</v>
      </c>
      <c r="AE8590" s="6">
        <v>0.8333333333333334</v>
      </c>
      <c r="AF8590" s="7">
        <v>0.0</v>
      </c>
    </row>
    <row r="8591">
      <c r="G8591" s="5"/>
      <c r="H8591" s="6"/>
      <c r="AD8591" s="5">
        <v>45284.0</v>
      </c>
      <c r="AE8591" s="6">
        <v>0.875</v>
      </c>
      <c r="AF8591" s="7">
        <v>0.0</v>
      </c>
    </row>
    <row r="8592">
      <c r="G8592" s="5"/>
      <c r="H8592" s="6"/>
      <c r="AD8592" s="5">
        <v>45284.0</v>
      </c>
      <c r="AE8592" s="6">
        <v>0.9166666666666666</v>
      </c>
      <c r="AF8592" s="7">
        <v>0.0</v>
      </c>
    </row>
    <row r="8593">
      <c r="G8593" s="5"/>
      <c r="H8593" s="6"/>
      <c r="AD8593" s="5">
        <v>45284.0</v>
      </c>
      <c r="AE8593" s="6">
        <v>0.9583333333333334</v>
      </c>
      <c r="AF8593" s="7">
        <v>0.0</v>
      </c>
    </row>
    <row r="8594">
      <c r="G8594" s="5"/>
      <c r="H8594" s="6"/>
      <c r="AD8594" s="5">
        <v>45285.0</v>
      </c>
      <c r="AE8594" s="6">
        <v>0.0</v>
      </c>
      <c r="AF8594" s="7">
        <v>0.0</v>
      </c>
    </row>
    <row r="8595">
      <c r="G8595" s="5"/>
      <c r="H8595" s="6"/>
      <c r="AD8595" s="5">
        <v>45285.0</v>
      </c>
      <c r="AE8595" s="6">
        <v>0.041666666666666664</v>
      </c>
      <c r="AF8595" s="7">
        <v>0.0</v>
      </c>
    </row>
    <row r="8596">
      <c r="G8596" s="5"/>
      <c r="H8596" s="6"/>
      <c r="AD8596" s="5">
        <v>45285.0</v>
      </c>
      <c r="AE8596" s="6">
        <v>0.08333333333333333</v>
      </c>
      <c r="AF8596" s="7">
        <v>0.0</v>
      </c>
    </row>
    <row r="8597">
      <c r="G8597" s="5"/>
      <c r="H8597" s="6"/>
      <c r="AD8597" s="5">
        <v>45285.0</v>
      </c>
      <c r="AE8597" s="6">
        <v>0.125</v>
      </c>
      <c r="AF8597" s="7">
        <v>0.0</v>
      </c>
    </row>
    <row r="8598">
      <c r="G8598" s="5"/>
      <c r="H8598" s="6"/>
      <c r="AD8598" s="5">
        <v>45285.0</v>
      </c>
      <c r="AE8598" s="6">
        <v>0.16666666666666666</v>
      </c>
      <c r="AF8598" s="7">
        <v>0.0</v>
      </c>
    </row>
    <row r="8599">
      <c r="G8599" s="5"/>
      <c r="H8599" s="6"/>
      <c r="AD8599" s="5">
        <v>45285.0</v>
      </c>
      <c r="AE8599" s="6">
        <v>0.20833333333333334</v>
      </c>
      <c r="AF8599" s="7">
        <v>0.0</v>
      </c>
    </row>
    <row r="8600">
      <c r="G8600" s="5"/>
      <c r="H8600" s="6"/>
      <c r="AD8600" s="5">
        <v>45285.0</v>
      </c>
      <c r="AE8600" s="6">
        <v>0.25</v>
      </c>
      <c r="AF8600" s="7">
        <v>0.0</v>
      </c>
    </row>
    <row r="8601">
      <c r="G8601" s="5"/>
      <c r="H8601" s="6"/>
      <c r="AD8601" s="5">
        <v>45285.0</v>
      </c>
      <c r="AE8601" s="6">
        <v>0.2916666666666667</v>
      </c>
      <c r="AF8601" s="7">
        <v>0.0</v>
      </c>
    </row>
    <row r="8602">
      <c r="G8602" s="5"/>
      <c r="H8602" s="6"/>
      <c r="AD8602" s="5">
        <v>45285.0</v>
      </c>
      <c r="AE8602" s="6">
        <v>0.3333333333333333</v>
      </c>
      <c r="AF8602" s="7">
        <v>5594.94</v>
      </c>
    </row>
    <row r="8603">
      <c r="G8603" s="5"/>
      <c r="H8603" s="6"/>
      <c r="AD8603" s="5">
        <v>45285.0</v>
      </c>
      <c r="AE8603" s="6">
        <v>0.375</v>
      </c>
      <c r="AF8603" s="7">
        <v>12692.16</v>
      </c>
    </row>
    <row r="8604">
      <c r="G8604" s="5"/>
      <c r="H8604" s="6"/>
      <c r="AD8604" s="5">
        <v>45285.0</v>
      </c>
      <c r="AE8604" s="6">
        <v>0.4166666666666667</v>
      </c>
      <c r="AF8604" s="7">
        <v>15646.02</v>
      </c>
    </row>
    <row r="8605">
      <c r="G8605" s="5"/>
      <c r="H8605" s="6"/>
      <c r="AD8605" s="5">
        <v>45285.0</v>
      </c>
      <c r="AE8605" s="6">
        <v>0.4583333333333333</v>
      </c>
      <c r="AF8605" s="7">
        <v>22191.0</v>
      </c>
    </row>
    <row r="8606">
      <c r="G8606" s="5"/>
      <c r="H8606" s="6"/>
      <c r="AD8606" s="5">
        <v>45285.0</v>
      </c>
      <c r="AE8606" s="6">
        <v>0.5</v>
      </c>
      <c r="AF8606" s="7">
        <v>33867.6</v>
      </c>
    </row>
    <row r="8607">
      <c r="G8607" s="5"/>
      <c r="H8607" s="6"/>
      <c r="AD8607" s="5">
        <v>45285.0</v>
      </c>
      <c r="AE8607" s="6">
        <v>0.5416666666666666</v>
      </c>
      <c r="AF8607" s="7">
        <v>37557.0</v>
      </c>
    </row>
    <row r="8608">
      <c r="G8608" s="5"/>
      <c r="H8608" s="6"/>
      <c r="AD8608" s="5">
        <v>45285.0</v>
      </c>
      <c r="AE8608" s="6">
        <v>0.5833333333333334</v>
      </c>
      <c r="AF8608" s="7">
        <v>30079.14</v>
      </c>
    </row>
    <row r="8609">
      <c r="G8609" s="5"/>
      <c r="H8609" s="6"/>
      <c r="AD8609" s="5">
        <v>45285.0</v>
      </c>
      <c r="AE8609" s="6">
        <v>0.625</v>
      </c>
      <c r="AF8609" s="7">
        <v>18734.04</v>
      </c>
    </row>
    <row r="8610">
      <c r="G8610" s="5"/>
      <c r="H8610" s="6"/>
      <c r="AD8610" s="5">
        <v>45285.0</v>
      </c>
      <c r="AE8610" s="6">
        <v>0.6666666666666666</v>
      </c>
      <c r="AF8610" s="7">
        <v>2170.74</v>
      </c>
    </row>
    <row r="8611">
      <c r="G8611" s="5"/>
      <c r="H8611" s="6"/>
      <c r="AD8611" s="5">
        <v>45285.0</v>
      </c>
      <c r="AE8611" s="6">
        <v>0.7083333333333334</v>
      </c>
      <c r="AF8611" s="7">
        <v>0.0</v>
      </c>
    </row>
    <row r="8612">
      <c r="G8612" s="5"/>
      <c r="H8612" s="6"/>
      <c r="AD8612" s="5">
        <v>45285.0</v>
      </c>
      <c r="AE8612" s="6">
        <v>0.75</v>
      </c>
      <c r="AF8612" s="7">
        <v>0.0</v>
      </c>
    </row>
    <row r="8613">
      <c r="G8613" s="5"/>
      <c r="H8613" s="6"/>
      <c r="AD8613" s="5">
        <v>45285.0</v>
      </c>
      <c r="AE8613" s="6">
        <v>0.7916666666666666</v>
      </c>
      <c r="AF8613" s="7">
        <v>0.0</v>
      </c>
    </row>
    <row r="8614">
      <c r="G8614" s="5"/>
      <c r="H8614" s="6"/>
      <c r="AD8614" s="5">
        <v>45285.0</v>
      </c>
      <c r="AE8614" s="6">
        <v>0.8333333333333334</v>
      </c>
      <c r="AF8614" s="7">
        <v>0.0</v>
      </c>
    </row>
    <row r="8615">
      <c r="G8615" s="5"/>
      <c r="H8615" s="6"/>
      <c r="AD8615" s="5">
        <v>45285.0</v>
      </c>
      <c r="AE8615" s="6">
        <v>0.875</v>
      </c>
      <c r="AF8615" s="7">
        <v>0.0</v>
      </c>
    </row>
    <row r="8616">
      <c r="G8616" s="5"/>
      <c r="H8616" s="6"/>
      <c r="AD8616" s="5">
        <v>45285.0</v>
      </c>
      <c r="AE8616" s="6">
        <v>0.9166666666666666</v>
      </c>
      <c r="AF8616" s="7">
        <v>0.0</v>
      </c>
    </row>
    <row r="8617">
      <c r="G8617" s="5"/>
      <c r="H8617" s="6"/>
      <c r="AD8617" s="5">
        <v>45285.0</v>
      </c>
      <c r="AE8617" s="6">
        <v>0.9583333333333334</v>
      </c>
      <c r="AF8617" s="7">
        <v>0.0</v>
      </c>
    </row>
    <row r="8618">
      <c r="G8618" s="5"/>
      <c r="H8618" s="6"/>
      <c r="AD8618" s="5">
        <v>45286.0</v>
      </c>
      <c r="AE8618" s="6">
        <v>0.0</v>
      </c>
      <c r="AF8618" s="7">
        <v>0.0</v>
      </c>
    </row>
    <row r="8619">
      <c r="G8619" s="5"/>
      <c r="H8619" s="6"/>
      <c r="AD8619" s="5">
        <v>45286.0</v>
      </c>
      <c r="AE8619" s="6">
        <v>0.041666666666666664</v>
      </c>
      <c r="AF8619" s="7">
        <v>0.0</v>
      </c>
    </row>
    <row r="8620">
      <c r="G8620" s="5"/>
      <c r="H8620" s="6"/>
      <c r="AD8620" s="5">
        <v>45286.0</v>
      </c>
      <c r="AE8620" s="6">
        <v>0.08333333333333333</v>
      </c>
      <c r="AF8620" s="7">
        <v>0.0</v>
      </c>
    </row>
    <row r="8621">
      <c r="G8621" s="5"/>
      <c r="H8621" s="6"/>
      <c r="AD8621" s="5">
        <v>45286.0</v>
      </c>
      <c r="AE8621" s="6">
        <v>0.125</v>
      </c>
      <c r="AF8621" s="7">
        <v>0.0</v>
      </c>
    </row>
    <row r="8622">
      <c r="G8622" s="5"/>
      <c r="H8622" s="6"/>
      <c r="AD8622" s="5">
        <v>45286.0</v>
      </c>
      <c r="AE8622" s="6">
        <v>0.16666666666666666</v>
      </c>
      <c r="AF8622" s="7">
        <v>0.0</v>
      </c>
    </row>
    <row r="8623">
      <c r="G8623" s="5"/>
      <c r="H8623" s="6"/>
      <c r="AD8623" s="5">
        <v>45286.0</v>
      </c>
      <c r="AE8623" s="6">
        <v>0.20833333333333334</v>
      </c>
      <c r="AF8623" s="7">
        <v>0.0</v>
      </c>
    </row>
    <row r="8624">
      <c r="G8624" s="5"/>
      <c r="H8624" s="6"/>
      <c r="AD8624" s="5">
        <v>45286.0</v>
      </c>
      <c r="AE8624" s="6">
        <v>0.25</v>
      </c>
      <c r="AF8624" s="7">
        <v>0.0</v>
      </c>
    </row>
    <row r="8625">
      <c r="G8625" s="5"/>
      <c r="H8625" s="6"/>
      <c r="AD8625" s="5">
        <v>45286.0</v>
      </c>
      <c r="AE8625" s="6">
        <v>0.2916666666666667</v>
      </c>
      <c r="AF8625" s="7">
        <v>0.0</v>
      </c>
    </row>
    <row r="8626">
      <c r="G8626" s="5"/>
      <c r="H8626" s="6"/>
      <c r="AD8626" s="5">
        <v>45286.0</v>
      </c>
      <c r="AE8626" s="6">
        <v>0.3333333333333333</v>
      </c>
      <c r="AF8626" s="7">
        <v>2627.04</v>
      </c>
    </row>
    <row r="8627">
      <c r="G8627" s="5"/>
      <c r="H8627" s="6"/>
      <c r="AD8627" s="5">
        <v>45286.0</v>
      </c>
      <c r="AE8627" s="6">
        <v>0.375</v>
      </c>
      <c r="AF8627" s="7">
        <v>8817.9</v>
      </c>
    </row>
    <row r="8628">
      <c r="G8628" s="5"/>
      <c r="H8628" s="6"/>
      <c r="AD8628" s="5">
        <v>45286.0</v>
      </c>
      <c r="AE8628" s="6">
        <v>0.4166666666666667</v>
      </c>
      <c r="AF8628" s="7">
        <v>9484.8</v>
      </c>
    </row>
    <row r="8629">
      <c r="G8629" s="5"/>
      <c r="H8629" s="6"/>
      <c r="AD8629" s="5">
        <v>45286.0</v>
      </c>
      <c r="AE8629" s="6">
        <v>0.4583333333333333</v>
      </c>
      <c r="AF8629" s="7">
        <v>12039.3</v>
      </c>
    </row>
    <row r="8630">
      <c r="G8630" s="5"/>
      <c r="H8630" s="6"/>
      <c r="AD8630" s="5">
        <v>45286.0</v>
      </c>
      <c r="AE8630" s="6">
        <v>0.5</v>
      </c>
      <c r="AF8630" s="7">
        <v>15461.94</v>
      </c>
    </row>
    <row r="8631">
      <c r="G8631" s="5"/>
      <c r="H8631" s="6"/>
      <c r="AD8631" s="5">
        <v>45286.0</v>
      </c>
      <c r="AE8631" s="6">
        <v>0.5416666666666666</v>
      </c>
      <c r="AF8631" s="7">
        <v>27353.82</v>
      </c>
    </row>
    <row r="8632">
      <c r="G8632" s="5"/>
      <c r="H8632" s="6"/>
      <c r="AD8632" s="5">
        <v>45286.0</v>
      </c>
      <c r="AE8632" s="6">
        <v>0.5833333333333334</v>
      </c>
      <c r="AF8632" s="7">
        <v>30200.04</v>
      </c>
    </row>
    <row r="8633">
      <c r="G8633" s="5"/>
      <c r="H8633" s="6"/>
      <c r="AD8633" s="5">
        <v>45286.0</v>
      </c>
      <c r="AE8633" s="6">
        <v>0.625</v>
      </c>
      <c r="AF8633" s="7">
        <v>19397.82</v>
      </c>
    </row>
    <row r="8634">
      <c r="G8634" s="5"/>
      <c r="H8634" s="6"/>
      <c r="AD8634" s="5">
        <v>45286.0</v>
      </c>
      <c r="AE8634" s="6">
        <v>0.6666666666666666</v>
      </c>
      <c r="AF8634" s="7">
        <v>2062.32</v>
      </c>
    </row>
    <row r="8635">
      <c r="G8635" s="5"/>
      <c r="H8635" s="6"/>
      <c r="AD8635" s="5">
        <v>45286.0</v>
      </c>
      <c r="AE8635" s="6">
        <v>0.7083333333333334</v>
      </c>
      <c r="AF8635" s="7">
        <v>0.0</v>
      </c>
    </row>
    <row r="8636">
      <c r="G8636" s="5"/>
      <c r="H8636" s="6"/>
      <c r="AD8636" s="5">
        <v>45286.0</v>
      </c>
      <c r="AE8636" s="6">
        <v>0.75</v>
      </c>
      <c r="AF8636" s="7">
        <v>0.0</v>
      </c>
    </row>
    <row r="8637">
      <c r="G8637" s="5"/>
      <c r="H8637" s="6"/>
      <c r="AD8637" s="5">
        <v>45286.0</v>
      </c>
      <c r="AE8637" s="6">
        <v>0.7916666666666666</v>
      </c>
      <c r="AF8637" s="7">
        <v>0.0</v>
      </c>
    </row>
    <row r="8638">
      <c r="G8638" s="5"/>
      <c r="H8638" s="6"/>
      <c r="AD8638" s="5">
        <v>45286.0</v>
      </c>
      <c r="AE8638" s="6">
        <v>0.8333333333333334</v>
      </c>
      <c r="AF8638" s="7">
        <v>0.0</v>
      </c>
    </row>
    <row r="8639">
      <c r="G8639" s="5"/>
      <c r="H8639" s="6"/>
      <c r="AD8639" s="5">
        <v>45286.0</v>
      </c>
      <c r="AE8639" s="6">
        <v>0.875</v>
      </c>
      <c r="AF8639" s="7">
        <v>0.0</v>
      </c>
    </row>
    <row r="8640">
      <c r="G8640" s="5"/>
      <c r="H8640" s="6"/>
      <c r="AD8640" s="5">
        <v>45286.0</v>
      </c>
      <c r="AE8640" s="6">
        <v>0.9166666666666666</v>
      </c>
      <c r="AF8640" s="7">
        <v>0.0</v>
      </c>
    </row>
    <row r="8641">
      <c r="G8641" s="5"/>
      <c r="H8641" s="6"/>
      <c r="AD8641" s="5">
        <v>45286.0</v>
      </c>
      <c r="AE8641" s="6">
        <v>0.9583333333333334</v>
      </c>
      <c r="AF8641" s="7">
        <v>0.0</v>
      </c>
    </row>
    <row r="8642">
      <c r="G8642" s="5"/>
      <c r="H8642" s="6"/>
      <c r="AD8642" s="5">
        <v>45287.0</v>
      </c>
      <c r="AE8642" s="6">
        <v>0.0</v>
      </c>
      <c r="AF8642" s="7">
        <v>0.0</v>
      </c>
    </row>
    <row r="8643">
      <c r="G8643" s="5"/>
      <c r="H8643" s="6"/>
      <c r="AD8643" s="5">
        <v>45287.0</v>
      </c>
      <c r="AE8643" s="6">
        <v>0.041666666666666664</v>
      </c>
      <c r="AF8643" s="7">
        <v>0.0</v>
      </c>
    </row>
    <row r="8644">
      <c r="G8644" s="5"/>
      <c r="H8644" s="6"/>
      <c r="AD8644" s="5">
        <v>45287.0</v>
      </c>
      <c r="AE8644" s="6">
        <v>0.08333333333333333</v>
      </c>
      <c r="AF8644" s="7">
        <v>0.0</v>
      </c>
    </row>
    <row r="8645">
      <c r="G8645" s="5"/>
      <c r="H8645" s="6"/>
      <c r="AD8645" s="5">
        <v>45287.0</v>
      </c>
      <c r="AE8645" s="6">
        <v>0.125</v>
      </c>
      <c r="AF8645" s="7">
        <v>0.0</v>
      </c>
    </row>
    <row r="8646">
      <c r="G8646" s="5"/>
      <c r="H8646" s="6"/>
      <c r="AD8646" s="5">
        <v>45287.0</v>
      </c>
      <c r="AE8646" s="6">
        <v>0.16666666666666666</v>
      </c>
      <c r="AF8646" s="7">
        <v>0.0</v>
      </c>
    </row>
    <row r="8647">
      <c r="G8647" s="5"/>
      <c r="H8647" s="6"/>
      <c r="AD8647" s="5">
        <v>45287.0</v>
      </c>
      <c r="AE8647" s="6">
        <v>0.20833333333333334</v>
      </c>
      <c r="AF8647" s="7">
        <v>0.0</v>
      </c>
    </row>
    <row r="8648">
      <c r="G8648" s="5"/>
      <c r="H8648" s="6"/>
      <c r="AD8648" s="5">
        <v>45287.0</v>
      </c>
      <c r="AE8648" s="6">
        <v>0.25</v>
      </c>
      <c r="AF8648" s="7">
        <v>0.0</v>
      </c>
    </row>
    <row r="8649">
      <c r="G8649" s="5"/>
      <c r="H8649" s="6"/>
      <c r="AD8649" s="5">
        <v>45287.0</v>
      </c>
      <c r="AE8649" s="6">
        <v>0.2916666666666667</v>
      </c>
      <c r="AF8649" s="7">
        <v>0.0</v>
      </c>
    </row>
    <row r="8650">
      <c r="G8650" s="5"/>
      <c r="H8650" s="6"/>
      <c r="AD8650" s="5">
        <v>45287.0</v>
      </c>
      <c r="AE8650" s="6">
        <v>0.3333333333333333</v>
      </c>
      <c r="AF8650" s="7">
        <v>2639.52</v>
      </c>
    </row>
    <row r="8651">
      <c r="G8651" s="5"/>
      <c r="H8651" s="6"/>
      <c r="AD8651" s="5">
        <v>45287.0</v>
      </c>
      <c r="AE8651" s="6">
        <v>0.375</v>
      </c>
      <c r="AF8651" s="7">
        <v>8044.14</v>
      </c>
    </row>
    <row r="8652">
      <c r="G8652" s="5"/>
      <c r="H8652" s="6"/>
      <c r="AD8652" s="5">
        <v>45287.0</v>
      </c>
      <c r="AE8652" s="6">
        <v>0.4166666666666667</v>
      </c>
      <c r="AF8652" s="7">
        <v>9813.96</v>
      </c>
    </row>
    <row r="8653">
      <c r="G8653" s="5"/>
      <c r="H8653" s="6"/>
      <c r="AD8653" s="5">
        <v>45287.0</v>
      </c>
      <c r="AE8653" s="6">
        <v>0.4583333333333333</v>
      </c>
      <c r="AF8653" s="7">
        <v>17140.5</v>
      </c>
    </row>
    <row r="8654">
      <c r="G8654" s="5"/>
      <c r="H8654" s="6"/>
      <c r="AD8654" s="5">
        <v>45287.0</v>
      </c>
      <c r="AE8654" s="6">
        <v>0.5</v>
      </c>
      <c r="AF8654" s="7">
        <v>15121.08</v>
      </c>
    </row>
    <row r="8655">
      <c r="G8655" s="5"/>
      <c r="H8655" s="6"/>
      <c r="AD8655" s="5">
        <v>45287.0</v>
      </c>
      <c r="AE8655" s="6">
        <v>0.5416666666666666</v>
      </c>
      <c r="AF8655" s="7">
        <v>15975.96</v>
      </c>
    </row>
    <row r="8656">
      <c r="G8656" s="5"/>
      <c r="H8656" s="6"/>
      <c r="AD8656" s="5">
        <v>45287.0</v>
      </c>
      <c r="AE8656" s="6">
        <v>0.5833333333333334</v>
      </c>
      <c r="AF8656" s="7">
        <v>13279.5</v>
      </c>
    </row>
    <row r="8657">
      <c r="G8657" s="5"/>
      <c r="H8657" s="6"/>
      <c r="AD8657" s="5">
        <v>45287.0</v>
      </c>
      <c r="AE8657" s="6">
        <v>0.625</v>
      </c>
      <c r="AF8657" s="7">
        <v>11401.26</v>
      </c>
    </row>
    <row r="8658">
      <c r="G8658" s="5"/>
      <c r="H8658" s="6"/>
      <c r="AD8658" s="5">
        <v>45287.0</v>
      </c>
      <c r="AE8658" s="6">
        <v>0.6666666666666666</v>
      </c>
      <c r="AF8658" s="7">
        <v>878.28</v>
      </c>
    </row>
    <row r="8659">
      <c r="G8659" s="5"/>
      <c r="H8659" s="6"/>
      <c r="AD8659" s="5">
        <v>45287.0</v>
      </c>
      <c r="AE8659" s="6">
        <v>0.7083333333333334</v>
      </c>
      <c r="AF8659" s="7">
        <v>0.0</v>
      </c>
    </row>
    <row r="8660">
      <c r="G8660" s="5"/>
      <c r="H8660" s="6"/>
      <c r="AD8660" s="5">
        <v>45287.0</v>
      </c>
      <c r="AE8660" s="6">
        <v>0.75</v>
      </c>
      <c r="AF8660" s="7">
        <v>0.0</v>
      </c>
    </row>
    <row r="8661">
      <c r="G8661" s="5"/>
      <c r="H8661" s="6"/>
      <c r="AD8661" s="5">
        <v>45287.0</v>
      </c>
      <c r="AE8661" s="6">
        <v>0.7916666666666666</v>
      </c>
      <c r="AF8661" s="7">
        <v>0.0</v>
      </c>
    </row>
    <row r="8662">
      <c r="G8662" s="5"/>
      <c r="H8662" s="6"/>
      <c r="AD8662" s="5">
        <v>45287.0</v>
      </c>
      <c r="AE8662" s="6">
        <v>0.8333333333333334</v>
      </c>
      <c r="AF8662" s="7">
        <v>0.0</v>
      </c>
    </row>
    <row r="8663">
      <c r="G8663" s="5"/>
      <c r="H8663" s="6"/>
      <c r="AD8663" s="5">
        <v>45287.0</v>
      </c>
      <c r="AE8663" s="6">
        <v>0.875</v>
      </c>
      <c r="AF8663" s="7">
        <v>0.0</v>
      </c>
    </row>
    <row r="8664">
      <c r="G8664" s="5"/>
      <c r="H8664" s="6"/>
      <c r="AD8664" s="5">
        <v>45287.0</v>
      </c>
      <c r="AE8664" s="6">
        <v>0.9166666666666666</v>
      </c>
      <c r="AF8664" s="7">
        <v>0.0</v>
      </c>
    </row>
    <row r="8665">
      <c r="G8665" s="5"/>
      <c r="H8665" s="6"/>
      <c r="AD8665" s="5">
        <v>45287.0</v>
      </c>
      <c r="AE8665" s="6">
        <v>0.9583333333333334</v>
      </c>
      <c r="AF8665" s="7">
        <v>0.0</v>
      </c>
    </row>
    <row r="8666">
      <c r="G8666" s="5"/>
      <c r="H8666" s="6"/>
      <c r="AD8666" s="5">
        <v>45288.0</v>
      </c>
      <c r="AE8666" s="6">
        <v>0.0</v>
      </c>
      <c r="AF8666" s="7">
        <v>0.0</v>
      </c>
    </row>
    <row r="8667">
      <c r="G8667" s="5"/>
      <c r="H8667" s="6"/>
      <c r="AD8667" s="5">
        <v>45288.0</v>
      </c>
      <c r="AE8667" s="6">
        <v>0.041666666666666664</v>
      </c>
      <c r="AF8667" s="7">
        <v>0.0</v>
      </c>
    </row>
    <row r="8668">
      <c r="G8668" s="5"/>
      <c r="H8668" s="6"/>
      <c r="AD8668" s="5">
        <v>45288.0</v>
      </c>
      <c r="AE8668" s="6">
        <v>0.08333333333333333</v>
      </c>
      <c r="AF8668" s="7">
        <v>0.0</v>
      </c>
    </row>
    <row r="8669">
      <c r="G8669" s="5"/>
      <c r="H8669" s="6"/>
      <c r="AD8669" s="5">
        <v>45288.0</v>
      </c>
      <c r="AE8669" s="6">
        <v>0.125</v>
      </c>
      <c r="AF8669" s="7">
        <v>0.0</v>
      </c>
    </row>
    <row r="8670">
      <c r="G8670" s="5"/>
      <c r="H8670" s="6"/>
      <c r="AD8670" s="5">
        <v>45288.0</v>
      </c>
      <c r="AE8670" s="6">
        <v>0.16666666666666666</v>
      </c>
      <c r="AF8670" s="7">
        <v>0.0</v>
      </c>
    </row>
    <row r="8671">
      <c r="G8671" s="5"/>
      <c r="H8671" s="6"/>
      <c r="AD8671" s="5">
        <v>45288.0</v>
      </c>
      <c r="AE8671" s="6">
        <v>0.20833333333333334</v>
      </c>
      <c r="AF8671" s="7">
        <v>0.0</v>
      </c>
    </row>
    <row r="8672">
      <c r="G8672" s="5"/>
      <c r="H8672" s="6"/>
      <c r="AD8672" s="5">
        <v>45288.0</v>
      </c>
      <c r="AE8672" s="6">
        <v>0.25</v>
      </c>
      <c r="AF8672" s="7">
        <v>0.0</v>
      </c>
    </row>
    <row r="8673">
      <c r="G8673" s="5"/>
      <c r="H8673" s="6"/>
      <c r="AD8673" s="5">
        <v>45288.0</v>
      </c>
      <c r="AE8673" s="6">
        <v>0.2916666666666667</v>
      </c>
      <c r="AF8673" s="7">
        <v>0.0</v>
      </c>
    </row>
    <row r="8674">
      <c r="G8674" s="5"/>
      <c r="H8674" s="6"/>
      <c r="AD8674" s="5">
        <v>45288.0</v>
      </c>
      <c r="AE8674" s="6">
        <v>0.3333333333333333</v>
      </c>
      <c r="AF8674" s="7">
        <v>4403.1</v>
      </c>
    </row>
    <row r="8675">
      <c r="G8675" s="5"/>
      <c r="H8675" s="6"/>
      <c r="AD8675" s="5">
        <v>45288.0</v>
      </c>
      <c r="AE8675" s="6">
        <v>0.375</v>
      </c>
      <c r="AF8675" s="7">
        <v>7531.68</v>
      </c>
    </row>
    <row r="8676">
      <c r="G8676" s="5"/>
      <c r="H8676" s="6"/>
      <c r="AD8676" s="5">
        <v>45288.0</v>
      </c>
      <c r="AE8676" s="6">
        <v>0.4166666666666667</v>
      </c>
      <c r="AF8676" s="7">
        <v>7646.34</v>
      </c>
    </row>
    <row r="8677">
      <c r="G8677" s="5"/>
      <c r="H8677" s="6"/>
      <c r="AD8677" s="5">
        <v>45288.0</v>
      </c>
      <c r="AE8677" s="6">
        <v>0.4583333333333333</v>
      </c>
      <c r="AF8677" s="7">
        <v>17032.08</v>
      </c>
    </row>
    <row r="8678">
      <c r="G8678" s="5"/>
      <c r="H8678" s="6"/>
      <c r="AD8678" s="5">
        <v>45288.0</v>
      </c>
      <c r="AE8678" s="6">
        <v>0.5</v>
      </c>
      <c r="AF8678" s="7">
        <v>17309.76</v>
      </c>
    </row>
    <row r="8679">
      <c r="G8679" s="5"/>
      <c r="H8679" s="6"/>
      <c r="AD8679" s="5">
        <v>45288.0</v>
      </c>
      <c r="AE8679" s="6">
        <v>0.5416666666666666</v>
      </c>
      <c r="AF8679" s="7">
        <v>23041.98</v>
      </c>
    </row>
    <row r="8680">
      <c r="G8680" s="5"/>
      <c r="H8680" s="6"/>
      <c r="AD8680" s="5">
        <v>45288.0</v>
      </c>
      <c r="AE8680" s="6">
        <v>0.5833333333333334</v>
      </c>
      <c r="AF8680" s="7">
        <v>30838.86</v>
      </c>
    </row>
    <row r="8681">
      <c r="G8681" s="5"/>
      <c r="H8681" s="6"/>
      <c r="AD8681" s="5">
        <v>45288.0</v>
      </c>
      <c r="AE8681" s="6">
        <v>0.625</v>
      </c>
      <c r="AF8681" s="7">
        <v>18549.96</v>
      </c>
    </row>
    <row r="8682">
      <c r="G8682" s="5"/>
      <c r="H8682" s="6"/>
      <c r="AD8682" s="5">
        <v>45288.0</v>
      </c>
      <c r="AE8682" s="6">
        <v>0.6666666666666666</v>
      </c>
      <c r="AF8682" s="7">
        <v>4851.6</v>
      </c>
    </row>
    <row r="8683">
      <c r="G8683" s="5"/>
      <c r="H8683" s="6"/>
      <c r="AD8683" s="5">
        <v>45288.0</v>
      </c>
      <c r="AE8683" s="6">
        <v>0.7083333333333334</v>
      </c>
      <c r="AF8683" s="7">
        <v>0.0</v>
      </c>
    </row>
    <row r="8684">
      <c r="G8684" s="5"/>
      <c r="H8684" s="6"/>
      <c r="AD8684" s="5">
        <v>45288.0</v>
      </c>
      <c r="AE8684" s="6">
        <v>0.75</v>
      </c>
      <c r="AF8684" s="7">
        <v>0.0</v>
      </c>
    </row>
    <row r="8685">
      <c r="G8685" s="5"/>
      <c r="H8685" s="6"/>
      <c r="AD8685" s="5">
        <v>45288.0</v>
      </c>
      <c r="AE8685" s="6">
        <v>0.7916666666666666</v>
      </c>
      <c r="AF8685" s="7">
        <v>0.0</v>
      </c>
    </row>
    <row r="8686">
      <c r="G8686" s="5"/>
      <c r="H8686" s="6"/>
      <c r="AD8686" s="5">
        <v>45288.0</v>
      </c>
      <c r="AE8686" s="6">
        <v>0.8333333333333334</v>
      </c>
      <c r="AF8686" s="7">
        <v>0.0</v>
      </c>
    </row>
    <row r="8687">
      <c r="G8687" s="5"/>
      <c r="H8687" s="6"/>
      <c r="AD8687" s="5">
        <v>45288.0</v>
      </c>
      <c r="AE8687" s="6">
        <v>0.875</v>
      </c>
      <c r="AF8687" s="7">
        <v>0.0</v>
      </c>
    </row>
    <row r="8688">
      <c r="G8688" s="5"/>
      <c r="H8688" s="6"/>
      <c r="AD8688" s="5">
        <v>45288.0</v>
      </c>
      <c r="AE8688" s="6">
        <v>0.9166666666666666</v>
      </c>
      <c r="AF8688" s="7">
        <v>0.0</v>
      </c>
    </row>
    <row r="8689">
      <c r="G8689" s="5"/>
      <c r="H8689" s="6"/>
      <c r="AD8689" s="5">
        <v>45288.0</v>
      </c>
      <c r="AE8689" s="6">
        <v>0.9583333333333334</v>
      </c>
      <c r="AF8689" s="7">
        <v>0.0</v>
      </c>
    </row>
    <row r="8690">
      <c r="G8690" s="5"/>
      <c r="H8690" s="6"/>
      <c r="AD8690" s="5">
        <v>45289.0</v>
      </c>
      <c r="AE8690" s="6">
        <v>0.0</v>
      </c>
      <c r="AF8690" s="7">
        <v>0.0</v>
      </c>
    </row>
    <row r="8691">
      <c r="G8691" s="5"/>
      <c r="H8691" s="6"/>
      <c r="AD8691" s="5">
        <v>45289.0</v>
      </c>
      <c r="AE8691" s="6">
        <v>0.041666666666666664</v>
      </c>
      <c r="AF8691" s="7">
        <v>0.0</v>
      </c>
    </row>
    <row r="8692">
      <c r="G8692" s="5"/>
      <c r="H8692" s="6"/>
      <c r="AD8692" s="5">
        <v>45289.0</v>
      </c>
      <c r="AE8692" s="6">
        <v>0.08333333333333333</v>
      </c>
      <c r="AF8692" s="7">
        <v>0.0</v>
      </c>
    </row>
    <row r="8693">
      <c r="G8693" s="5"/>
      <c r="H8693" s="6"/>
      <c r="AD8693" s="5">
        <v>45289.0</v>
      </c>
      <c r="AE8693" s="6">
        <v>0.125</v>
      </c>
      <c r="AF8693" s="7">
        <v>0.0</v>
      </c>
    </row>
    <row r="8694">
      <c r="G8694" s="5"/>
      <c r="H8694" s="6"/>
      <c r="AD8694" s="5">
        <v>45289.0</v>
      </c>
      <c r="AE8694" s="6">
        <v>0.16666666666666666</v>
      </c>
      <c r="AF8694" s="7">
        <v>0.0</v>
      </c>
    </row>
    <row r="8695">
      <c r="G8695" s="5"/>
      <c r="H8695" s="6"/>
      <c r="AD8695" s="5">
        <v>45289.0</v>
      </c>
      <c r="AE8695" s="6">
        <v>0.20833333333333334</v>
      </c>
      <c r="AF8695" s="7">
        <v>0.0</v>
      </c>
    </row>
    <row r="8696">
      <c r="G8696" s="5"/>
      <c r="H8696" s="6"/>
      <c r="AD8696" s="5">
        <v>45289.0</v>
      </c>
      <c r="AE8696" s="6">
        <v>0.25</v>
      </c>
      <c r="AF8696" s="7">
        <v>0.0</v>
      </c>
    </row>
    <row r="8697">
      <c r="G8697" s="5"/>
      <c r="H8697" s="6"/>
      <c r="AD8697" s="5">
        <v>45289.0</v>
      </c>
      <c r="AE8697" s="6">
        <v>0.2916666666666667</v>
      </c>
      <c r="AF8697" s="7">
        <v>0.0</v>
      </c>
    </row>
    <row r="8698">
      <c r="G8698" s="5"/>
      <c r="H8698" s="6"/>
      <c r="AD8698" s="5">
        <v>45289.0</v>
      </c>
      <c r="AE8698" s="6">
        <v>0.3333333333333333</v>
      </c>
      <c r="AF8698" s="7">
        <v>1525.68</v>
      </c>
    </row>
    <row r="8699">
      <c r="G8699" s="5"/>
      <c r="H8699" s="6"/>
      <c r="AD8699" s="5">
        <v>45289.0</v>
      </c>
      <c r="AE8699" s="6">
        <v>0.375</v>
      </c>
      <c r="AF8699" s="7">
        <v>2827.5</v>
      </c>
    </row>
    <row r="8700">
      <c r="G8700" s="5"/>
      <c r="H8700" s="6"/>
      <c r="AD8700" s="5">
        <v>45289.0</v>
      </c>
      <c r="AE8700" s="6">
        <v>0.4166666666666667</v>
      </c>
      <c r="AF8700" s="7">
        <v>19520.28</v>
      </c>
    </row>
    <row r="8701">
      <c r="G8701" s="5"/>
      <c r="H8701" s="6"/>
      <c r="AD8701" s="5">
        <v>45289.0</v>
      </c>
      <c r="AE8701" s="6">
        <v>0.4583333333333333</v>
      </c>
      <c r="AF8701" s="7">
        <v>36263.76</v>
      </c>
    </row>
    <row r="8702">
      <c r="G8702" s="5"/>
      <c r="H8702" s="6"/>
      <c r="AD8702" s="5">
        <v>45289.0</v>
      </c>
      <c r="AE8702" s="6">
        <v>0.5</v>
      </c>
      <c r="AF8702" s="7">
        <v>35192.04</v>
      </c>
    </row>
    <row r="8703">
      <c r="G8703" s="5"/>
      <c r="H8703" s="6"/>
      <c r="AD8703" s="5">
        <v>45289.0</v>
      </c>
      <c r="AE8703" s="6">
        <v>0.5416666666666666</v>
      </c>
      <c r="AF8703" s="7">
        <v>28528.5</v>
      </c>
    </row>
    <row r="8704">
      <c r="G8704" s="5"/>
      <c r="H8704" s="6"/>
      <c r="AD8704" s="5">
        <v>45289.0</v>
      </c>
      <c r="AE8704" s="6">
        <v>0.5833333333333334</v>
      </c>
      <c r="AF8704" s="7">
        <v>27970.02</v>
      </c>
    </row>
    <row r="8705">
      <c r="G8705" s="5"/>
      <c r="H8705" s="6"/>
      <c r="AD8705" s="5">
        <v>45289.0</v>
      </c>
      <c r="AE8705" s="6">
        <v>0.625</v>
      </c>
      <c r="AF8705" s="7">
        <v>19796.4</v>
      </c>
    </row>
    <row r="8706">
      <c r="G8706" s="5"/>
      <c r="H8706" s="6"/>
      <c r="AD8706" s="5">
        <v>45289.0</v>
      </c>
      <c r="AE8706" s="6">
        <v>0.6666666666666666</v>
      </c>
      <c r="AF8706" s="7">
        <v>2883.66</v>
      </c>
    </row>
    <row r="8707">
      <c r="G8707" s="5"/>
      <c r="H8707" s="6"/>
      <c r="AD8707" s="5">
        <v>45289.0</v>
      </c>
      <c r="AE8707" s="6">
        <v>0.7083333333333334</v>
      </c>
      <c r="AF8707" s="7">
        <v>0.0</v>
      </c>
    </row>
    <row r="8708">
      <c r="G8708" s="5"/>
      <c r="H8708" s="6"/>
      <c r="AD8708" s="5">
        <v>45289.0</v>
      </c>
      <c r="AE8708" s="6">
        <v>0.75</v>
      </c>
      <c r="AF8708" s="7">
        <v>0.0</v>
      </c>
    </row>
    <row r="8709">
      <c r="G8709" s="5"/>
      <c r="H8709" s="6"/>
      <c r="AD8709" s="5">
        <v>45289.0</v>
      </c>
      <c r="AE8709" s="6">
        <v>0.7916666666666666</v>
      </c>
      <c r="AF8709" s="7">
        <v>0.0</v>
      </c>
    </row>
    <row r="8710">
      <c r="G8710" s="5"/>
      <c r="H8710" s="6"/>
      <c r="AD8710" s="5">
        <v>45289.0</v>
      </c>
      <c r="AE8710" s="6">
        <v>0.8333333333333334</v>
      </c>
      <c r="AF8710" s="7">
        <v>0.0</v>
      </c>
    </row>
    <row r="8711">
      <c r="G8711" s="5"/>
      <c r="H8711" s="6"/>
      <c r="AD8711" s="5">
        <v>45289.0</v>
      </c>
      <c r="AE8711" s="6">
        <v>0.875</v>
      </c>
      <c r="AF8711" s="7">
        <v>0.0</v>
      </c>
    </row>
    <row r="8712">
      <c r="G8712" s="5"/>
      <c r="H8712" s="6"/>
      <c r="AD8712" s="5">
        <v>45289.0</v>
      </c>
      <c r="AE8712" s="6">
        <v>0.9166666666666666</v>
      </c>
      <c r="AF8712" s="7">
        <v>0.0</v>
      </c>
    </row>
    <row r="8713">
      <c r="G8713" s="5"/>
      <c r="H8713" s="6"/>
      <c r="AD8713" s="5">
        <v>45289.0</v>
      </c>
      <c r="AE8713" s="6">
        <v>0.9583333333333334</v>
      </c>
      <c r="AF8713" s="7">
        <v>0.0</v>
      </c>
    </row>
    <row r="8714">
      <c r="G8714" s="5"/>
      <c r="H8714" s="6"/>
      <c r="AD8714" s="5">
        <v>45290.0</v>
      </c>
      <c r="AE8714" s="6">
        <v>0.0</v>
      </c>
      <c r="AF8714" s="7">
        <v>0.0</v>
      </c>
    </row>
    <row r="8715">
      <c r="G8715" s="5"/>
      <c r="H8715" s="6"/>
      <c r="AD8715" s="5">
        <v>45290.0</v>
      </c>
      <c r="AE8715" s="6">
        <v>0.041666666666666664</v>
      </c>
      <c r="AF8715" s="7">
        <v>0.0</v>
      </c>
    </row>
    <row r="8716">
      <c r="G8716" s="5"/>
      <c r="H8716" s="6"/>
      <c r="AD8716" s="5">
        <v>45290.0</v>
      </c>
      <c r="AE8716" s="6">
        <v>0.08333333333333333</v>
      </c>
      <c r="AF8716" s="7">
        <v>0.0</v>
      </c>
    </row>
    <row r="8717">
      <c r="G8717" s="5"/>
      <c r="H8717" s="6"/>
      <c r="AD8717" s="5">
        <v>45290.0</v>
      </c>
      <c r="AE8717" s="6">
        <v>0.125</v>
      </c>
      <c r="AF8717" s="7">
        <v>0.0</v>
      </c>
    </row>
    <row r="8718">
      <c r="G8718" s="5"/>
      <c r="H8718" s="6"/>
      <c r="AD8718" s="5">
        <v>45290.0</v>
      </c>
      <c r="AE8718" s="6">
        <v>0.16666666666666666</v>
      </c>
      <c r="AF8718" s="7">
        <v>0.0</v>
      </c>
    </row>
    <row r="8719">
      <c r="G8719" s="5"/>
      <c r="H8719" s="6"/>
      <c r="AD8719" s="5">
        <v>45290.0</v>
      </c>
      <c r="AE8719" s="6">
        <v>0.20833333333333334</v>
      </c>
      <c r="AF8719" s="7">
        <v>0.0</v>
      </c>
    </row>
    <row r="8720">
      <c r="G8720" s="5"/>
      <c r="H8720" s="6"/>
      <c r="AD8720" s="5">
        <v>45290.0</v>
      </c>
      <c r="AE8720" s="6">
        <v>0.25</v>
      </c>
      <c r="AF8720" s="7">
        <v>0.0</v>
      </c>
    </row>
    <row r="8721">
      <c r="G8721" s="5"/>
      <c r="H8721" s="6"/>
      <c r="AD8721" s="5">
        <v>45290.0</v>
      </c>
      <c r="AE8721" s="6">
        <v>0.2916666666666667</v>
      </c>
      <c r="AF8721" s="7">
        <v>0.0</v>
      </c>
    </row>
    <row r="8722">
      <c r="G8722" s="5"/>
      <c r="H8722" s="6"/>
      <c r="AD8722" s="5">
        <v>45290.0</v>
      </c>
      <c r="AE8722" s="6">
        <v>0.3333333333333333</v>
      </c>
      <c r="AF8722" s="7">
        <v>6370.26</v>
      </c>
    </row>
    <row r="8723">
      <c r="G8723" s="5"/>
      <c r="H8723" s="6"/>
      <c r="AD8723" s="5">
        <v>45290.0</v>
      </c>
      <c r="AE8723" s="6">
        <v>0.375</v>
      </c>
      <c r="AF8723" s="7">
        <v>22593.48</v>
      </c>
    </row>
    <row r="8724">
      <c r="G8724" s="5"/>
      <c r="H8724" s="6"/>
      <c r="AD8724" s="5">
        <v>45290.0</v>
      </c>
      <c r="AE8724" s="6">
        <v>0.4166666666666667</v>
      </c>
      <c r="AF8724" s="7">
        <v>32671.08</v>
      </c>
    </row>
    <row r="8725">
      <c r="G8725" s="5"/>
      <c r="H8725" s="6"/>
      <c r="AD8725" s="5">
        <v>45290.0</v>
      </c>
      <c r="AE8725" s="6">
        <v>0.4583333333333333</v>
      </c>
      <c r="AF8725" s="7">
        <v>39331.5</v>
      </c>
    </row>
    <row r="8726">
      <c r="G8726" s="5"/>
      <c r="H8726" s="6"/>
      <c r="AD8726" s="5">
        <v>45290.0</v>
      </c>
      <c r="AE8726" s="6">
        <v>0.5</v>
      </c>
      <c r="AF8726" s="7">
        <v>40704.3</v>
      </c>
    </row>
    <row r="8727">
      <c r="G8727" s="5"/>
      <c r="H8727" s="6"/>
      <c r="AD8727" s="5">
        <v>45290.0</v>
      </c>
      <c r="AE8727" s="6">
        <v>0.5416666666666666</v>
      </c>
      <c r="AF8727" s="7">
        <v>37608.48</v>
      </c>
    </row>
    <row r="8728">
      <c r="G8728" s="5"/>
      <c r="H8728" s="6"/>
      <c r="AD8728" s="5">
        <v>45290.0</v>
      </c>
      <c r="AE8728" s="6">
        <v>0.5833333333333334</v>
      </c>
      <c r="AF8728" s="7">
        <v>29853.72</v>
      </c>
    </row>
    <row r="8729">
      <c r="G8729" s="5"/>
      <c r="H8729" s="6"/>
      <c r="AD8729" s="5">
        <v>45290.0</v>
      </c>
      <c r="AE8729" s="6">
        <v>0.625</v>
      </c>
      <c r="AF8729" s="7">
        <v>19390.8</v>
      </c>
    </row>
    <row r="8730">
      <c r="G8730" s="5"/>
      <c r="H8730" s="6"/>
      <c r="AD8730" s="5">
        <v>45290.0</v>
      </c>
      <c r="AE8730" s="6">
        <v>0.6666666666666666</v>
      </c>
      <c r="AF8730" s="7">
        <v>3814.2</v>
      </c>
    </row>
    <row r="8731">
      <c r="G8731" s="5"/>
      <c r="H8731" s="6"/>
      <c r="AD8731" s="5">
        <v>45290.0</v>
      </c>
      <c r="AE8731" s="6">
        <v>0.7083333333333334</v>
      </c>
      <c r="AF8731" s="7">
        <v>0.0</v>
      </c>
    </row>
    <row r="8732">
      <c r="G8732" s="5"/>
      <c r="H8732" s="6"/>
      <c r="AD8732" s="5">
        <v>45290.0</v>
      </c>
      <c r="AE8732" s="6">
        <v>0.75</v>
      </c>
      <c r="AF8732" s="7">
        <v>0.0</v>
      </c>
    </row>
    <row r="8733">
      <c r="G8733" s="5"/>
      <c r="H8733" s="6"/>
      <c r="AD8733" s="5">
        <v>45290.0</v>
      </c>
      <c r="AE8733" s="6">
        <v>0.7916666666666666</v>
      </c>
      <c r="AF8733" s="7">
        <v>0.0</v>
      </c>
    </row>
    <row r="8734">
      <c r="G8734" s="5"/>
      <c r="H8734" s="6"/>
      <c r="AD8734" s="5">
        <v>45290.0</v>
      </c>
      <c r="AE8734" s="6">
        <v>0.8333333333333334</v>
      </c>
      <c r="AF8734" s="7">
        <v>0.0</v>
      </c>
    </row>
    <row r="8735">
      <c r="G8735" s="5"/>
      <c r="H8735" s="6"/>
      <c r="AD8735" s="5">
        <v>45290.0</v>
      </c>
      <c r="AE8735" s="6">
        <v>0.875</v>
      </c>
      <c r="AF8735" s="7">
        <v>0.0</v>
      </c>
    </row>
    <row r="8736">
      <c r="G8736" s="5"/>
      <c r="H8736" s="6"/>
      <c r="AD8736" s="5">
        <v>45290.0</v>
      </c>
      <c r="AE8736" s="6">
        <v>0.9166666666666666</v>
      </c>
      <c r="AF8736" s="7">
        <v>0.0</v>
      </c>
    </row>
    <row r="8737">
      <c r="G8737" s="5"/>
      <c r="H8737" s="6"/>
      <c r="AD8737" s="5">
        <v>45290.0</v>
      </c>
      <c r="AE8737" s="6">
        <v>0.9583333333333334</v>
      </c>
      <c r="AF8737" s="7">
        <v>0.0</v>
      </c>
    </row>
    <row r="8738">
      <c r="G8738" s="5"/>
      <c r="H8738" s="6"/>
      <c r="AD8738" s="5">
        <v>45291.0</v>
      </c>
      <c r="AE8738" s="6">
        <v>0.0</v>
      </c>
      <c r="AF8738" s="7">
        <v>0.0</v>
      </c>
    </row>
    <row r="8739">
      <c r="G8739" s="5"/>
      <c r="H8739" s="6"/>
      <c r="AD8739" s="5">
        <v>45291.0</v>
      </c>
      <c r="AE8739" s="6">
        <v>0.041666666666666664</v>
      </c>
      <c r="AF8739" s="7">
        <v>0.0</v>
      </c>
    </row>
    <row r="8740">
      <c r="G8740" s="5"/>
      <c r="H8740" s="6"/>
      <c r="AD8740" s="5">
        <v>45291.0</v>
      </c>
      <c r="AE8740" s="6">
        <v>0.08333333333333333</v>
      </c>
      <c r="AF8740" s="7">
        <v>0.0</v>
      </c>
    </row>
    <row r="8741">
      <c r="G8741" s="5"/>
      <c r="H8741" s="6"/>
      <c r="AD8741" s="5">
        <v>45291.0</v>
      </c>
      <c r="AE8741" s="6">
        <v>0.125</v>
      </c>
      <c r="AF8741" s="7">
        <v>0.0</v>
      </c>
    </row>
    <row r="8742">
      <c r="G8742" s="5"/>
      <c r="H8742" s="6"/>
      <c r="AD8742" s="5">
        <v>45291.0</v>
      </c>
      <c r="AE8742" s="6">
        <v>0.16666666666666666</v>
      </c>
      <c r="AF8742" s="7">
        <v>0.0</v>
      </c>
    </row>
    <row r="8743">
      <c r="G8743" s="5"/>
      <c r="H8743" s="6"/>
      <c r="AD8743" s="5">
        <v>45291.0</v>
      </c>
      <c r="AE8743" s="6">
        <v>0.20833333333333334</v>
      </c>
      <c r="AF8743" s="7">
        <v>0.0</v>
      </c>
    </row>
    <row r="8744">
      <c r="G8744" s="5"/>
      <c r="H8744" s="6"/>
      <c r="AD8744" s="5">
        <v>45291.0</v>
      </c>
      <c r="AE8744" s="6">
        <v>0.25</v>
      </c>
      <c r="AF8744" s="7">
        <v>0.0</v>
      </c>
    </row>
    <row r="8745">
      <c r="G8745" s="5"/>
      <c r="H8745" s="6"/>
      <c r="AD8745" s="5">
        <v>45291.0</v>
      </c>
      <c r="AE8745" s="6">
        <v>0.2916666666666667</v>
      </c>
      <c r="AF8745" s="7">
        <v>0.0</v>
      </c>
    </row>
    <row r="8746">
      <c r="G8746" s="5"/>
      <c r="H8746" s="6"/>
      <c r="AD8746" s="5">
        <v>45291.0</v>
      </c>
      <c r="AE8746" s="6">
        <v>0.3333333333333333</v>
      </c>
      <c r="AF8746" s="7">
        <v>917.28</v>
      </c>
    </row>
    <row r="8747">
      <c r="G8747" s="5"/>
      <c r="H8747" s="6"/>
      <c r="AD8747" s="5">
        <v>45291.0</v>
      </c>
      <c r="AE8747" s="6">
        <v>0.375</v>
      </c>
      <c r="AF8747" s="7">
        <v>5779.8</v>
      </c>
    </row>
    <row r="8748">
      <c r="G8748" s="5"/>
      <c r="H8748" s="6"/>
      <c r="AD8748" s="5">
        <v>45291.0</v>
      </c>
      <c r="AE8748" s="6">
        <v>0.4166666666666667</v>
      </c>
      <c r="AF8748" s="7">
        <v>5799.3</v>
      </c>
    </row>
    <row r="8749">
      <c r="G8749" s="5"/>
      <c r="H8749" s="6"/>
      <c r="AD8749" s="5">
        <v>45291.0</v>
      </c>
      <c r="AE8749" s="6">
        <v>0.4583333333333333</v>
      </c>
      <c r="AF8749" s="7">
        <v>27658.8</v>
      </c>
    </row>
    <row r="8750">
      <c r="G8750" s="5"/>
      <c r="H8750" s="6"/>
      <c r="AD8750" s="5">
        <v>45291.0</v>
      </c>
      <c r="AE8750" s="6">
        <v>0.5</v>
      </c>
      <c r="AF8750" s="7">
        <v>42850.08</v>
      </c>
    </row>
    <row r="8751">
      <c r="G8751" s="5"/>
      <c r="H8751" s="6"/>
      <c r="AD8751" s="5">
        <v>45291.0</v>
      </c>
      <c r="AE8751" s="6">
        <v>0.5416666666666666</v>
      </c>
      <c r="AF8751" s="7">
        <v>27949.74</v>
      </c>
    </row>
    <row r="8752">
      <c r="G8752" s="5"/>
      <c r="H8752" s="6"/>
      <c r="AD8752" s="5">
        <v>45291.0</v>
      </c>
      <c r="AE8752" s="6">
        <v>0.5833333333333334</v>
      </c>
      <c r="AF8752" s="7">
        <v>31065.84</v>
      </c>
    </row>
    <row r="8753">
      <c r="G8753" s="5"/>
      <c r="H8753" s="6"/>
      <c r="AD8753" s="5">
        <v>45291.0</v>
      </c>
      <c r="AE8753" s="6">
        <v>0.625</v>
      </c>
      <c r="AF8753" s="7">
        <v>12894.96</v>
      </c>
    </row>
    <row r="8754">
      <c r="G8754" s="5"/>
      <c r="H8754" s="6"/>
      <c r="AD8754" s="5">
        <v>45291.0</v>
      </c>
      <c r="AE8754" s="6">
        <v>0.6666666666666666</v>
      </c>
      <c r="AF8754" s="7">
        <v>1711.32</v>
      </c>
    </row>
    <row r="8755">
      <c r="G8755" s="5"/>
      <c r="H8755" s="6"/>
      <c r="AD8755" s="5">
        <v>45291.0</v>
      </c>
      <c r="AE8755" s="6">
        <v>0.7083333333333334</v>
      </c>
      <c r="AF8755" s="7">
        <v>0.0</v>
      </c>
    </row>
    <row r="8756">
      <c r="G8756" s="5"/>
      <c r="H8756" s="6"/>
      <c r="AD8756" s="5">
        <v>45291.0</v>
      </c>
      <c r="AE8756" s="6">
        <v>0.75</v>
      </c>
      <c r="AF8756" s="7">
        <v>0.0</v>
      </c>
    </row>
    <row r="8757">
      <c r="G8757" s="5"/>
      <c r="H8757" s="6"/>
      <c r="AD8757" s="5">
        <v>45291.0</v>
      </c>
      <c r="AE8757" s="6">
        <v>0.7916666666666666</v>
      </c>
      <c r="AF8757" s="7">
        <v>0.0</v>
      </c>
    </row>
    <row r="8758">
      <c r="G8758" s="5"/>
      <c r="H8758" s="6"/>
      <c r="AD8758" s="5">
        <v>45291.0</v>
      </c>
      <c r="AE8758" s="6">
        <v>0.8333333333333334</v>
      </c>
      <c r="AF8758" s="7">
        <v>0.0</v>
      </c>
    </row>
    <row r="8759">
      <c r="G8759" s="5"/>
      <c r="H8759" s="6"/>
      <c r="AD8759" s="5">
        <v>45291.0</v>
      </c>
      <c r="AE8759" s="6">
        <v>0.875</v>
      </c>
      <c r="AF8759" s="7">
        <v>0.0</v>
      </c>
    </row>
    <row r="8760">
      <c r="G8760" s="5"/>
      <c r="H8760" s="6"/>
      <c r="AD8760" s="5">
        <v>45291.0</v>
      </c>
      <c r="AE8760" s="6">
        <v>0.9166666666666666</v>
      </c>
      <c r="AF8760" s="7">
        <v>0.0</v>
      </c>
    </row>
    <row r="8761">
      <c r="G8761" s="5"/>
      <c r="H8761" s="6"/>
      <c r="AD8761" s="5">
        <v>45291.0</v>
      </c>
      <c r="AE8761" s="6">
        <v>0.9583333333333334</v>
      </c>
      <c r="AF8761" s="7">
        <v>0.0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1" t="s">
        <v>32</v>
      </c>
    </row>
    <row r="2">
      <c r="A2" s="11" t="s">
        <v>33</v>
      </c>
    </row>
    <row r="3">
      <c r="A3" s="11" t="s">
        <v>34</v>
      </c>
    </row>
    <row r="4">
      <c r="A4" s="11" t="s">
        <v>35</v>
      </c>
    </row>
    <row r="5">
      <c r="A5" s="11" t="s">
        <v>36</v>
      </c>
    </row>
    <row r="6">
      <c r="A6" s="11" t="s">
        <v>37</v>
      </c>
    </row>
    <row r="7">
      <c r="A7" s="11" t="s">
        <v>38</v>
      </c>
    </row>
    <row r="8">
      <c r="A8" s="11" t="s">
        <v>39</v>
      </c>
    </row>
    <row r="9">
      <c r="A9" s="11" t="s">
        <v>40</v>
      </c>
    </row>
    <row r="10">
      <c r="A10" s="11" t="s">
        <v>41</v>
      </c>
    </row>
    <row r="11">
      <c r="A11" s="11" t="s">
        <v>42</v>
      </c>
    </row>
    <row r="12">
      <c r="A12" s="11" t="s">
        <v>43</v>
      </c>
    </row>
    <row r="13">
      <c r="A13" s="11" t="s">
        <v>44</v>
      </c>
    </row>
    <row r="14">
      <c r="A14" s="11" t="s">
        <v>45</v>
      </c>
    </row>
    <row r="15">
      <c r="A15" s="11" t="s">
        <v>46</v>
      </c>
    </row>
    <row r="16">
      <c r="A16" s="11" t="s">
        <v>47</v>
      </c>
    </row>
    <row r="17">
      <c r="A17" s="11" t="s">
        <v>48</v>
      </c>
    </row>
    <row r="18">
      <c r="A18" s="11" t="s">
        <v>49</v>
      </c>
    </row>
    <row r="19">
      <c r="A19" s="11" t="s">
        <v>50</v>
      </c>
    </row>
    <row r="20">
      <c r="A20" s="11" t="s">
        <v>51</v>
      </c>
    </row>
    <row r="21">
      <c r="A21" s="11" t="s">
        <v>52</v>
      </c>
    </row>
    <row r="22">
      <c r="A22" s="11" t="s">
        <v>53</v>
      </c>
    </row>
    <row r="23">
      <c r="A23" s="11" t="s">
        <v>54</v>
      </c>
    </row>
    <row r="24">
      <c r="A24" s="11" t="s">
        <v>55</v>
      </c>
    </row>
    <row r="25">
      <c r="A25" s="11" t="s">
        <v>56</v>
      </c>
    </row>
    <row r="26">
      <c r="A26" s="11" t="s">
        <v>57</v>
      </c>
    </row>
    <row r="27">
      <c r="A27" s="11" t="s">
        <v>58</v>
      </c>
    </row>
    <row r="28">
      <c r="A28" s="11" t="s">
        <v>59</v>
      </c>
    </row>
    <row r="29">
      <c r="A29" s="11" t="s">
        <v>60</v>
      </c>
    </row>
    <row r="30">
      <c r="A30" s="11" t="s">
        <v>61</v>
      </c>
    </row>
    <row r="31">
      <c r="A31" s="11" t="s">
        <v>62</v>
      </c>
    </row>
    <row r="32">
      <c r="A32" s="11" t="s">
        <v>63</v>
      </c>
    </row>
    <row r="33">
      <c r="A33" s="11" t="s">
        <v>64</v>
      </c>
    </row>
    <row r="34">
      <c r="A34" s="11" t="s">
        <v>65</v>
      </c>
    </row>
    <row r="35">
      <c r="A35" s="11" t="s">
        <v>66</v>
      </c>
    </row>
    <row r="36">
      <c r="A36" s="11" t="s">
        <v>67</v>
      </c>
    </row>
    <row r="37">
      <c r="A37" s="11" t="s">
        <v>68</v>
      </c>
    </row>
    <row r="38">
      <c r="A38" s="11" t="s">
        <v>69</v>
      </c>
    </row>
    <row r="39">
      <c r="A39" s="11" t="s">
        <v>70</v>
      </c>
    </row>
    <row r="40">
      <c r="A40" s="11" t="s">
        <v>71</v>
      </c>
    </row>
    <row r="41">
      <c r="A41" s="11" t="s">
        <v>72</v>
      </c>
    </row>
    <row r="42">
      <c r="A42" s="11" t="s">
        <v>73</v>
      </c>
    </row>
    <row r="43">
      <c r="A43" s="11" t="s">
        <v>74</v>
      </c>
    </row>
    <row r="44">
      <c r="A44" s="11" t="s">
        <v>75</v>
      </c>
    </row>
    <row r="45">
      <c r="A45" s="11" t="s">
        <v>76</v>
      </c>
    </row>
    <row r="46">
      <c r="A46" s="11" t="s">
        <v>77</v>
      </c>
    </row>
    <row r="47">
      <c r="A47" s="11" t="s">
        <v>78</v>
      </c>
    </row>
    <row r="48">
      <c r="A48" s="11" t="s">
        <v>79</v>
      </c>
    </row>
    <row r="49">
      <c r="A49" s="11" t="s">
        <v>80</v>
      </c>
    </row>
    <row r="50">
      <c r="A50" s="11" t="s">
        <v>81</v>
      </c>
    </row>
    <row r="51">
      <c r="A51" s="11" t="s">
        <v>82</v>
      </c>
    </row>
    <row r="52">
      <c r="A52" s="11" t="s">
        <v>83</v>
      </c>
    </row>
    <row r="53">
      <c r="A53" s="11" t="s">
        <v>84</v>
      </c>
    </row>
    <row r="54">
      <c r="A54" s="11" t="s">
        <v>85</v>
      </c>
    </row>
    <row r="55">
      <c r="A55" s="11" t="s">
        <v>86</v>
      </c>
    </row>
    <row r="56">
      <c r="A56" s="11" t="s">
        <v>87</v>
      </c>
    </row>
    <row r="57">
      <c r="A57" s="11" t="s">
        <v>88</v>
      </c>
    </row>
    <row r="58">
      <c r="A58" s="11" t="s">
        <v>89</v>
      </c>
    </row>
    <row r="59">
      <c r="A59" s="11" t="s">
        <v>90</v>
      </c>
    </row>
    <row r="60">
      <c r="A60" s="11" t="s">
        <v>91</v>
      </c>
    </row>
    <row r="61">
      <c r="A61" s="11" t="s">
        <v>92</v>
      </c>
    </row>
    <row r="62">
      <c r="A62" s="11" t="s">
        <v>93</v>
      </c>
    </row>
    <row r="63">
      <c r="A63" s="11" t="s">
        <v>94</v>
      </c>
    </row>
    <row r="64">
      <c r="A64" s="11" t="s">
        <v>95</v>
      </c>
    </row>
    <row r="65">
      <c r="A65" s="11" t="s">
        <v>96</v>
      </c>
    </row>
    <row r="66">
      <c r="A66" s="11" t="s">
        <v>97</v>
      </c>
    </row>
    <row r="67">
      <c r="A67" s="11" t="s">
        <v>98</v>
      </c>
    </row>
    <row r="68">
      <c r="A68" s="11" t="s">
        <v>99</v>
      </c>
    </row>
    <row r="69">
      <c r="A69" s="11" t="s">
        <v>100</v>
      </c>
    </row>
    <row r="70">
      <c r="A70" s="11" t="s">
        <v>101</v>
      </c>
    </row>
    <row r="71">
      <c r="A71" s="11" t="s">
        <v>102</v>
      </c>
    </row>
    <row r="72">
      <c r="A72" s="11" t="s">
        <v>103</v>
      </c>
    </row>
    <row r="73">
      <c r="A73" s="11" t="s">
        <v>104</v>
      </c>
    </row>
    <row r="74">
      <c r="A74" s="11" t="s">
        <v>105</v>
      </c>
    </row>
    <row r="75">
      <c r="A75" s="11" t="s">
        <v>106</v>
      </c>
    </row>
    <row r="76">
      <c r="A76" s="11" t="s">
        <v>107</v>
      </c>
    </row>
    <row r="77">
      <c r="A77" s="11" t="s">
        <v>108</v>
      </c>
    </row>
    <row r="78">
      <c r="A78" s="11" t="s">
        <v>109</v>
      </c>
    </row>
    <row r="79">
      <c r="A79" s="11" t="s">
        <v>110</v>
      </c>
    </row>
    <row r="80">
      <c r="A80" s="11" t="s">
        <v>111</v>
      </c>
    </row>
    <row r="81">
      <c r="A81" s="11" t="s">
        <v>112</v>
      </c>
    </row>
    <row r="82">
      <c r="A82" s="11" t="s">
        <v>113</v>
      </c>
    </row>
    <row r="83">
      <c r="A83" s="11" t="s">
        <v>114</v>
      </c>
    </row>
    <row r="84">
      <c r="A84" s="11" t="s">
        <v>115</v>
      </c>
    </row>
    <row r="85">
      <c r="A85" s="11" t="s">
        <v>116</v>
      </c>
    </row>
    <row r="86">
      <c r="A86" s="11" t="s">
        <v>117</v>
      </c>
    </row>
    <row r="87">
      <c r="A87" s="11" t="s">
        <v>118</v>
      </c>
    </row>
    <row r="88">
      <c r="A88" s="11" t="s">
        <v>119</v>
      </c>
    </row>
    <row r="89">
      <c r="A89" s="11" t="s">
        <v>120</v>
      </c>
    </row>
    <row r="90">
      <c r="A90" s="11" t="s">
        <v>121</v>
      </c>
    </row>
    <row r="91">
      <c r="A91" s="11" t="s">
        <v>122</v>
      </c>
    </row>
    <row r="92">
      <c r="A92" s="11" t="s">
        <v>123</v>
      </c>
    </row>
    <row r="93">
      <c r="A93" s="11" t="s">
        <v>124</v>
      </c>
    </row>
    <row r="94">
      <c r="A94" s="11" t="s">
        <v>125</v>
      </c>
    </row>
    <row r="95">
      <c r="A95" s="11" t="s">
        <v>126</v>
      </c>
    </row>
    <row r="96">
      <c r="A96" s="11" t="s">
        <v>127</v>
      </c>
    </row>
    <row r="97">
      <c r="A97" s="11" t="s">
        <v>128</v>
      </c>
    </row>
    <row r="98">
      <c r="A98" s="11" t="s">
        <v>129</v>
      </c>
    </row>
    <row r="99">
      <c r="A99" s="11" t="s">
        <v>130</v>
      </c>
    </row>
    <row r="100">
      <c r="A100" s="11" t="s">
        <v>131</v>
      </c>
    </row>
    <row r="101">
      <c r="A101" s="11" t="s">
        <v>132</v>
      </c>
    </row>
    <row r="102">
      <c r="A102" s="11" t="s">
        <v>133</v>
      </c>
    </row>
    <row r="103">
      <c r="A103" s="11" t="s">
        <v>134</v>
      </c>
    </row>
    <row r="104">
      <c r="A104" s="11" t="s">
        <v>135</v>
      </c>
    </row>
    <row r="105">
      <c r="A105" s="11" t="s">
        <v>136</v>
      </c>
    </row>
    <row r="106">
      <c r="A106" s="11" t="s">
        <v>137</v>
      </c>
    </row>
    <row r="107">
      <c r="A107" s="11" t="s">
        <v>138</v>
      </c>
    </row>
    <row r="108">
      <c r="A108" s="11" t="s">
        <v>139</v>
      </c>
    </row>
    <row r="109">
      <c r="A109" s="11" t="s">
        <v>140</v>
      </c>
    </row>
    <row r="110">
      <c r="A110" s="11" t="s">
        <v>141</v>
      </c>
    </row>
    <row r="111">
      <c r="A111" s="11" t="s">
        <v>142</v>
      </c>
    </row>
    <row r="112">
      <c r="A112" s="11" t="s">
        <v>143</v>
      </c>
    </row>
    <row r="113">
      <c r="A113" s="11" t="s">
        <v>144</v>
      </c>
    </row>
    <row r="114">
      <c r="A114" s="11" t="s">
        <v>145</v>
      </c>
    </row>
    <row r="115">
      <c r="A115" s="11" t="s">
        <v>146</v>
      </c>
    </row>
    <row r="116">
      <c r="A116" s="11" t="s">
        <v>147</v>
      </c>
    </row>
    <row r="117">
      <c r="A117" s="11" t="s">
        <v>148</v>
      </c>
    </row>
    <row r="118">
      <c r="A118" s="11" t="s">
        <v>149</v>
      </c>
    </row>
    <row r="119">
      <c r="A119" s="11" t="s">
        <v>150</v>
      </c>
    </row>
    <row r="120">
      <c r="A120" s="11" t="s">
        <v>151</v>
      </c>
    </row>
    <row r="121">
      <c r="A121" s="11" t="s">
        <v>152</v>
      </c>
    </row>
    <row r="122">
      <c r="A122" s="11" t="s">
        <v>153</v>
      </c>
    </row>
    <row r="123">
      <c r="A123" s="11" t="s">
        <v>154</v>
      </c>
    </row>
    <row r="124">
      <c r="A124" s="11" t="s">
        <v>155</v>
      </c>
    </row>
    <row r="125">
      <c r="A125" s="11" t="s">
        <v>156</v>
      </c>
    </row>
    <row r="126">
      <c r="A126" s="11" t="s">
        <v>157</v>
      </c>
    </row>
    <row r="127">
      <c r="A127" s="11" t="s">
        <v>158</v>
      </c>
    </row>
    <row r="128">
      <c r="A128" s="11" t="s">
        <v>159</v>
      </c>
    </row>
    <row r="129">
      <c r="A129" s="11" t="s">
        <v>160</v>
      </c>
    </row>
    <row r="130">
      <c r="A130" s="11" t="s">
        <v>161</v>
      </c>
    </row>
    <row r="131">
      <c r="A131" s="11" t="s">
        <v>162</v>
      </c>
    </row>
    <row r="132">
      <c r="A132" s="11" t="s">
        <v>163</v>
      </c>
    </row>
    <row r="133">
      <c r="A133" s="11" t="s">
        <v>164</v>
      </c>
    </row>
    <row r="134">
      <c r="A134" s="11" t="s">
        <v>165</v>
      </c>
    </row>
    <row r="135">
      <c r="A135" s="11" t="s">
        <v>166</v>
      </c>
    </row>
    <row r="136">
      <c r="A136" s="11" t="s">
        <v>167</v>
      </c>
    </row>
    <row r="137">
      <c r="A137" s="11" t="s">
        <v>168</v>
      </c>
    </row>
    <row r="138">
      <c r="A138" s="11" t="s">
        <v>169</v>
      </c>
    </row>
    <row r="139">
      <c r="A139" s="11" t="s">
        <v>170</v>
      </c>
    </row>
    <row r="140">
      <c r="A140" s="11" t="s">
        <v>171</v>
      </c>
    </row>
    <row r="141">
      <c r="A141" s="11" t="s">
        <v>172</v>
      </c>
    </row>
    <row r="142">
      <c r="A142" s="11" t="s">
        <v>173</v>
      </c>
    </row>
    <row r="143">
      <c r="A143" s="11" t="s">
        <v>174</v>
      </c>
    </row>
    <row r="144">
      <c r="A144" s="11" t="s">
        <v>175</v>
      </c>
    </row>
    <row r="145">
      <c r="A145" s="11" t="s">
        <v>176</v>
      </c>
    </row>
    <row r="146">
      <c r="A146" s="11" t="s">
        <v>177</v>
      </c>
    </row>
    <row r="147">
      <c r="A147" s="11" t="s">
        <v>178</v>
      </c>
    </row>
    <row r="148">
      <c r="A148" s="11" t="s">
        <v>179</v>
      </c>
    </row>
    <row r="149">
      <c r="A149" s="11" t="s">
        <v>180</v>
      </c>
    </row>
    <row r="150">
      <c r="A150" s="11" t="s">
        <v>181</v>
      </c>
    </row>
    <row r="151">
      <c r="A151" s="11" t="s">
        <v>182</v>
      </c>
    </row>
    <row r="152">
      <c r="A152" s="11" t="s">
        <v>183</v>
      </c>
    </row>
    <row r="153">
      <c r="A153" s="11" t="s">
        <v>184</v>
      </c>
    </row>
    <row r="154">
      <c r="A154" s="11" t="s">
        <v>185</v>
      </c>
    </row>
    <row r="155">
      <c r="A155" s="11" t="s">
        <v>186</v>
      </c>
    </row>
    <row r="156">
      <c r="A156" s="11" t="s">
        <v>187</v>
      </c>
    </row>
    <row r="157">
      <c r="A157" s="11" t="s">
        <v>188</v>
      </c>
    </row>
    <row r="158">
      <c r="A158" s="11" t="s">
        <v>189</v>
      </c>
    </row>
    <row r="159">
      <c r="A159" s="11" t="s">
        <v>190</v>
      </c>
    </row>
    <row r="160">
      <c r="A160" s="11" t="s">
        <v>191</v>
      </c>
    </row>
    <row r="161">
      <c r="A161" s="11" t="s">
        <v>192</v>
      </c>
    </row>
    <row r="162">
      <c r="A162" s="11" t="s">
        <v>193</v>
      </c>
    </row>
    <row r="163">
      <c r="A163" s="11" t="s">
        <v>194</v>
      </c>
    </row>
    <row r="164">
      <c r="A164" s="11" t="s">
        <v>195</v>
      </c>
    </row>
    <row r="165">
      <c r="A165" s="11" t="s">
        <v>196</v>
      </c>
    </row>
    <row r="166">
      <c r="A166" s="11" t="s">
        <v>197</v>
      </c>
    </row>
    <row r="167">
      <c r="A167" s="11" t="s">
        <v>198</v>
      </c>
    </row>
    <row r="168">
      <c r="A168" s="11" t="s">
        <v>199</v>
      </c>
    </row>
    <row r="169">
      <c r="A169" s="11" t="s">
        <v>200</v>
      </c>
    </row>
    <row r="170">
      <c r="A170" s="11" t="s">
        <v>201</v>
      </c>
    </row>
    <row r="171">
      <c r="A171" s="11" t="s">
        <v>202</v>
      </c>
    </row>
    <row r="172">
      <c r="A172" s="11" t="s">
        <v>203</v>
      </c>
    </row>
    <row r="173">
      <c r="A173" s="11" t="s">
        <v>204</v>
      </c>
    </row>
    <row r="174">
      <c r="A174" s="11" t="s">
        <v>205</v>
      </c>
    </row>
    <row r="175">
      <c r="A175" s="11" t="s">
        <v>206</v>
      </c>
    </row>
    <row r="176">
      <c r="A176" s="11" t="s">
        <v>207</v>
      </c>
    </row>
    <row r="177">
      <c r="A177" s="11" t="s">
        <v>208</v>
      </c>
    </row>
    <row r="178">
      <c r="A178" s="11" t="s">
        <v>209</v>
      </c>
    </row>
    <row r="179">
      <c r="A179" s="11" t="s">
        <v>210</v>
      </c>
    </row>
    <row r="180">
      <c r="A180" s="11" t="s">
        <v>211</v>
      </c>
    </row>
    <row r="181">
      <c r="A181" s="11" t="s">
        <v>212</v>
      </c>
    </row>
    <row r="182">
      <c r="A182" s="11" t="s">
        <v>213</v>
      </c>
    </row>
    <row r="183">
      <c r="A183" s="11" t="s">
        <v>214</v>
      </c>
    </row>
    <row r="184">
      <c r="A184" s="11" t="s">
        <v>215</v>
      </c>
    </row>
    <row r="185">
      <c r="A185" s="11" t="s">
        <v>216</v>
      </c>
    </row>
    <row r="186">
      <c r="A186" s="11" t="s">
        <v>217</v>
      </c>
    </row>
    <row r="187">
      <c r="A187" s="11" t="s">
        <v>218</v>
      </c>
    </row>
    <row r="188">
      <c r="A188" s="11" t="s">
        <v>219</v>
      </c>
    </row>
    <row r="189">
      <c r="A189" s="11" t="s">
        <v>220</v>
      </c>
    </row>
    <row r="190">
      <c r="A190" s="11" t="s">
        <v>221</v>
      </c>
    </row>
    <row r="191">
      <c r="A191" s="11" t="s">
        <v>222</v>
      </c>
    </row>
    <row r="192">
      <c r="A192" s="11" t="s">
        <v>223</v>
      </c>
    </row>
    <row r="193">
      <c r="A193" s="11" t="s">
        <v>224</v>
      </c>
    </row>
    <row r="194">
      <c r="A194" s="11" t="s">
        <v>225</v>
      </c>
    </row>
    <row r="195">
      <c r="A195" s="11" t="s">
        <v>226</v>
      </c>
    </row>
    <row r="196">
      <c r="A196" s="11" t="s">
        <v>227</v>
      </c>
    </row>
    <row r="197">
      <c r="A197" s="11" t="s">
        <v>228</v>
      </c>
    </row>
    <row r="198">
      <c r="A198" s="11" t="s">
        <v>229</v>
      </c>
    </row>
    <row r="199">
      <c r="A199" s="11" t="s">
        <v>230</v>
      </c>
    </row>
    <row r="200">
      <c r="A200" s="11" t="s">
        <v>231</v>
      </c>
    </row>
    <row r="201">
      <c r="A201" s="11" t="s">
        <v>232</v>
      </c>
    </row>
    <row r="202">
      <c r="A202" s="11" t="s">
        <v>233</v>
      </c>
    </row>
    <row r="203">
      <c r="A203" s="11" t="s">
        <v>234</v>
      </c>
    </row>
    <row r="204">
      <c r="A204" s="11" t="s">
        <v>235</v>
      </c>
    </row>
    <row r="205">
      <c r="A205" s="11" t="s">
        <v>236</v>
      </c>
    </row>
    <row r="206">
      <c r="A206" s="11" t="s">
        <v>237</v>
      </c>
    </row>
    <row r="207">
      <c r="A207" s="11" t="s">
        <v>238</v>
      </c>
    </row>
    <row r="208">
      <c r="A208" s="11" t="s">
        <v>239</v>
      </c>
    </row>
    <row r="209">
      <c r="A209" s="11" t="s">
        <v>240</v>
      </c>
    </row>
    <row r="210">
      <c r="A210" s="11" t="s">
        <v>241</v>
      </c>
    </row>
    <row r="211">
      <c r="A211" s="11" t="s">
        <v>242</v>
      </c>
    </row>
    <row r="212">
      <c r="A212" s="11" t="s">
        <v>243</v>
      </c>
    </row>
    <row r="213">
      <c r="A213" s="11" t="s">
        <v>244</v>
      </c>
    </row>
    <row r="214">
      <c r="A214" s="11" t="s">
        <v>245</v>
      </c>
    </row>
    <row r="215">
      <c r="A215" s="11" t="s">
        <v>246</v>
      </c>
    </row>
    <row r="216">
      <c r="A216" s="11" t="s">
        <v>247</v>
      </c>
    </row>
    <row r="217">
      <c r="A217" s="11" t="s">
        <v>248</v>
      </c>
    </row>
    <row r="218">
      <c r="A218" s="11" t="s">
        <v>249</v>
      </c>
    </row>
    <row r="219">
      <c r="A219" s="11" t="s">
        <v>250</v>
      </c>
    </row>
    <row r="220">
      <c r="A220" s="11" t="s">
        <v>251</v>
      </c>
    </row>
    <row r="221">
      <c r="A221" s="11" t="s">
        <v>252</v>
      </c>
    </row>
    <row r="222">
      <c r="A222" s="11" t="s">
        <v>253</v>
      </c>
    </row>
    <row r="223">
      <c r="A223" s="11" t="s">
        <v>254</v>
      </c>
    </row>
    <row r="224">
      <c r="A224" s="11" t="s">
        <v>255</v>
      </c>
    </row>
    <row r="225">
      <c r="A225" s="11" t="s">
        <v>256</v>
      </c>
    </row>
    <row r="226">
      <c r="A226" s="11" t="s">
        <v>257</v>
      </c>
    </row>
    <row r="227">
      <c r="A227" s="11" t="s">
        <v>258</v>
      </c>
    </row>
    <row r="228">
      <c r="A228" s="11" t="s">
        <v>259</v>
      </c>
    </row>
    <row r="229">
      <c r="A229" s="11" t="s">
        <v>260</v>
      </c>
    </row>
    <row r="230">
      <c r="A230" s="11" t="s">
        <v>261</v>
      </c>
    </row>
    <row r="231">
      <c r="A231" s="11" t="s">
        <v>262</v>
      </c>
    </row>
    <row r="232">
      <c r="A232" s="11" t="s">
        <v>263</v>
      </c>
    </row>
    <row r="233">
      <c r="A233" s="11" t="s">
        <v>264</v>
      </c>
    </row>
    <row r="234">
      <c r="A234" s="11" t="s">
        <v>265</v>
      </c>
    </row>
    <row r="235">
      <c r="A235" s="11" t="s">
        <v>266</v>
      </c>
    </row>
    <row r="236">
      <c r="A236" s="11" t="s">
        <v>267</v>
      </c>
    </row>
    <row r="237">
      <c r="A237" s="11" t="s">
        <v>268</v>
      </c>
    </row>
    <row r="238">
      <c r="A238" s="11" t="s">
        <v>269</v>
      </c>
    </row>
    <row r="239">
      <c r="A239" s="11" t="s">
        <v>270</v>
      </c>
    </row>
    <row r="240">
      <c r="A240" s="11" t="s">
        <v>271</v>
      </c>
    </row>
    <row r="241">
      <c r="A241" s="11" t="s">
        <v>272</v>
      </c>
    </row>
    <row r="242">
      <c r="A242" s="11" t="s">
        <v>273</v>
      </c>
    </row>
    <row r="243">
      <c r="A243" s="11" t="s">
        <v>274</v>
      </c>
    </row>
    <row r="244">
      <c r="A244" s="11" t="s">
        <v>275</v>
      </c>
    </row>
    <row r="245">
      <c r="A245" s="11" t="s">
        <v>276</v>
      </c>
    </row>
    <row r="246">
      <c r="A246" s="11" t="s">
        <v>277</v>
      </c>
    </row>
    <row r="247">
      <c r="A247" s="11" t="s">
        <v>278</v>
      </c>
    </row>
    <row r="248">
      <c r="A248" s="11" t="s">
        <v>279</v>
      </c>
    </row>
    <row r="249">
      <c r="A249" s="11" t="s">
        <v>280</v>
      </c>
    </row>
    <row r="250">
      <c r="A250" s="11" t="s">
        <v>281</v>
      </c>
    </row>
    <row r="251">
      <c r="A251" s="11" t="s">
        <v>282</v>
      </c>
    </row>
    <row r="252">
      <c r="A252" s="11" t="s">
        <v>283</v>
      </c>
    </row>
    <row r="253">
      <c r="A253" s="11" t="s">
        <v>284</v>
      </c>
    </row>
    <row r="254">
      <c r="A254" s="11" t="s">
        <v>285</v>
      </c>
    </row>
    <row r="255">
      <c r="A255" s="11" t="s">
        <v>286</v>
      </c>
    </row>
    <row r="256">
      <c r="A256" s="11" t="s">
        <v>287</v>
      </c>
    </row>
    <row r="257">
      <c r="A257" s="11" t="s">
        <v>288</v>
      </c>
    </row>
    <row r="258">
      <c r="A258" s="11" t="s">
        <v>289</v>
      </c>
    </row>
    <row r="259">
      <c r="A259" s="11" t="s">
        <v>290</v>
      </c>
    </row>
    <row r="260">
      <c r="A260" s="11" t="s">
        <v>291</v>
      </c>
    </row>
    <row r="261">
      <c r="A261" s="11" t="s">
        <v>292</v>
      </c>
    </row>
    <row r="262">
      <c r="A262" s="11" t="s">
        <v>293</v>
      </c>
    </row>
    <row r="263">
      <c r="A263" s="11" t="s">
        <v>294</v>
      </c>
    </row>
    <row r="264">
      <c r="A264" s="11" t="s">
        <v>295</v>
      </c>
    </row>
    <row r="265">
      <c r="A265" s="11" t="s">
        <v>296</v>
      </c>
    </row>
    <row r="266">
      <c r="A266" s="11" t="s">
        <v>297</v>
      </c>
    </row>
    <row r="267">
      <c r="A267" s="11" t="s">
        <v>298</v>
      </c>
    </row>
    <row r="268">
      <c r="A268" s="11" t="s">
        <v>299</v>
      </c>
    </row>
    <row r="269">
      <c r="A269" s="11" t="s">
        <v>300</v>
      </c>
    </row>
    <row r="270">
      <c r="A270" s="11" t="s">
        <v>301</v>
      </c>
    </row>
    <row r="271">
      <c r="A271" s="11" t="s">
        <v>302</v>
      </c>
    </row>
    <row r="272">
      <c r="A272" s="11" t="s">
        <v>303</v>
      </c>
    </row>
    <row r="273">
      <c r="A273" s="11" t="s">
        <v>304</v>
      </c>
    </row>
    <row r="274">
      <c r="A274" s="11" t="s">
        <v>305</v>
      </c>
    </row>
    <row r="275">
      <c r="A275" s="11" t="s">
        <v>306</v>
      </c>
    </row>
    <row r="276">
      <c r="A276" s="11" t="s">
        <v>307</v>
      </c>
    </row>
    <row r="277">
      <c r="A277" s="11" t="s">
        <v>308</v>
      </c>
    </row>
    <row r="278">
      <c r="A278" s="11" t="s">
        <v>309</v>
      </c>
    </row>
    <row r="279">
      <c r="A279" s="11" t="s">
        <v>310</v>
      </c>
    </row>
    <row r="280">
      <c r="A280" s="11" t="s">
        <v>311</v>
      </c>
    </row>
    <row r="281">
      <c r="A281" s="11" t="s">
        <v>312</v>
      </c>
    </row>
    <row r="282">
      <c r="A282" s="11" t="s">
        <v>313</v>
      </c>
    </row>
    <row r="283">
      <c r="A283" s="11" t="s">
        <v>314</v>
      </c>
    </row>
    <row r="284">
      <c r="A284" s="11" t="s">
        <v>315</v>
      </c>
    </row>
    <row r="285">
      <c r="A285" s="11" t="s">
        <v>316</v>
      </c>
    </row>
    <row r="286">
      <c r="A286" s="11" t="s">
        <v>317</v>
      </c>
    </row>
    <row r="287">
      <c r="A287" s="11" t="s">
        <v>318</v>
      </c>
    </row>
    <row r="288">
      <c r="A288" s="11" t="s">
        <v>319</v>
      </c>
    </row>
    <row r="289">
      <c r="A289" s="11" t="s">
        <v>320</v>
      </c>
    </row>
    <row r="290">
      <c r="A290" s="11" t="s">
        <v>321</v>
      </c>
    </row>
    <row r="291">
      <c r="A291" s="11" t="s">
        <v>322</v>
      </c>
    </row>
    <row r="292">
      <c r="A292" s="11" t="s">
        <v>323</v>
      </c>
    </row>
    <row r="293">
      <c r="A293" s="11" t="s">
        <v>324</v>
      </c>
    </row>
    <row r="294">
      <c r="A294" s="11" t="s">
        <v>325</v>
      </c>
    </row>
    <row r="295">
      <c r="A295" s="11" t="s">
        <v>326</v>
      </c>
    </row>
    <row r="296">
      <c r="A296" s="11" t="s">
        <v>327</v>
      </c>
    </row>
    <row r="297">
      <c r="A297" s="11" t="s">
        <v>328</v>
      </c>
    </row>
    <row r="298">
      <c r="A298" s="11" t="s">
        <v>329</v>
      </c>
    </row>
    <row r="299">
      <c r="A299" s="11" t="s">
        <v>330</v>
      </c>
    </row>
    <row r="300">
      <c r="A300" s="11" t="s">
        <v>331</v>
      </c>
    </row>
    <row r="301">
      <c r="A301" s="11" t="s">
        <v>332</v>
      </c>
    </row>
    <row r="302">
      <c r="A302" s="11" t="s">
        <v>333</v>
      </c>
    </row>
    <row r="303">
      <c r="A303" s="11" t="s">
        <v>334</v>
      </c>
    </row>
    <row r="304">
      <c r="A304" s="11" t="s">
        <v>335</v>
      </c>
    </row>
    <row r="305">
      <c r="A305" s="11" t="s">
        <v>336</v>
      </c>
    </row>
    <row r="306">
      <c r="A306" s="11" t="s">
        <v>337</v>
      </c>
    </row>
    <row r="307">
      <c r="A307" s="11" t="s">
        <v>338</v>
      </c>
    </row>
    <row r="308">
      <c r="A308" s="11" t="s">
        <v>339</v>
      </c>
    </row>
    <row r="309">
      <c r="A309" s="11" t="s">
        <v>340</v>
      </c>
    </row>
    <row r="310">
      <c r="A310" s="11" t="s">
        <v>341</v>
      </c>
    </row>
    <row r="311">
      <c r="A311" s="11" t="s">
        <v>342</v>
      </c>
    </row>
    <row r="312">
      <c r="A312" s="11" t="s">
        <v>343</v>
      </c>
    </row>
    <row r="313">
      <c r="A313" s="11" t="s">
        <v>344</v>
      </c>
    </row>
    <row r="314">
      <c r="A314" s="11" t="s">
        <v>345</v>
      </c>
    </row>
    <row r="315">
      <c r="A315" s="11" t="s">
        <v>346</v>
      </c>
    </row>
    <row r="316">
      <c r="A316" s="11" t="s">
        <v>347</v>
      </c>
    </row>
    <row r="317">
      <c r="A317" s="11" t="s">
        <v>348</v>
      </c>
    </row>
    <row r="318">
      <c r="A318" s="11" t="s">
        <v>349</v>
      </c>
    </row>
    <row r="319">
      <c r="A319" s="11" t="s">
        <v>350</v>
      </c>
    </row>
    <row r="320">
      <c r="A320" s="11" t="s">
        <v>351</v>
      </c>
    </row>
    <row r="321">
      <c r="A321" s="11" t="s">
        <v>352</v>
      </c>
    </row>
    <row r="322">
      <c r="A322" s="11" t="s">
        <v>353</v>
      </c>
    </row>
    <row r="323">
      <c r="A323" s="11" t="s">
        <v>354</v>
      </c>
    </row>
    <row r="324">
      <c r="A324" s="11" t="s">
        <v>355</v>
      </c>
    </row>
    <row r="325">
      <c r="A325" s="11" t="s">
        <v>356</v>
      </c>
    </row>
    <row r="326">
      <c r="A326" s="11" t="s">
        <v>357</v>
      </c>
    </row>
    <row r="327">
      <c r="A327" s="11" t="s">
        <v>358</v>
      </c>
    </row>
    <row r="328">
      <c r="A328" s="11" t="s">
        <v>359</v>
      </c>
    </row>
    <row r="329">
      <c r="A329" s="11" t="s">
        <v>360</v>
      </c>
    </row>
    <row r="330">
      <c r="A330" s="11" t="s">
        <v>361</v>
      </c>
    </row>
    <row r="331">
      <c r="A331" s="11" t="s">
        <v>362</v>
      </c>
    </row>
    <row r="332">
      <c r="A332" s="11" t="s">
        <v>363</v>
      </c>
    </row>
    <row r="333">
      <c r="A333" s="11" t="s">
        <v>364</v>
      </c>
    </row>
    <row r="334">
      <c r="A334" s="11" t="s">
        <v>365</v>
      </c>
    </row>
    <row r="335">
      <c r="A335" s="11" t="s">
        <v>366</v>
      </c>
    </row>
    <row r="336">
      <c r="A336" s="11" t="s">
        <v>367</v>
      </c>
    </row>
    <row r="337">
      <c r="A337" s="11" t="s">
        <v>368</v>
      </c>
    </row>
    <row r="338">
      <c r="A338" s="11" t="s">
        <v>369</v>
      </c>
    </row>
    <row r="339">
      <c r="A339" s="11" t="s">
        <v>370</v>
      </c>
    </row>
    <row r="340">
      <c r="A340" s="11" t="s">
        <v>371</v>
      </c>
    </row>
    <row r="341">
      <c r="A341" s="11" t="s">
        <v>372</v>
      </c>
    </row>
    <row r="342">
      <c r="A342" s="11" t="s">
        <v>373</v>
      </c>
    </row>
    <row r="343">
      <c r="A343" s="11" t="s">
        <v>374</v>
      </c>
    </row>
    <row r="344">
      <c r="A344" s="11" t="s">
        <v>375</v>
      </c>
    </row>
    <row r="345">
      <c r="A345" s="11" t="s">
        <v>376</v>
      </c>
    </row>
    <row r="346">
      <c r="A346" s="11" t="s">
        <v>377</v>
      </c>
    </row>
    <row r="347">
      <c r="A347" s="11" t="s">
        <v>378</v>
      </c>
    </row>
    <row r="348">
      <c r="A348" s="11" t="s">
        <v>379</v>
      </c>
    </row>
    <row r="349">
      <c r="A349" s="11" t="s">
        <v>380</v>
      </c>
    </row>
    <row r="350">
      <c r="A350" s="11" t="s">
        <v>381</v>
      </c>
    </row>
    <row r="351">
      <c r="A351" s="11" t="s">
        <v>382</v>
      </c>
    </row>
    <row r="352">
      <c r="A352" s="11" t="s">
        <v>383</v>
      </c>
    </row>
    <row r="353">
      <c r="A353" s="11" t="s">
        <v>384</v>
      </c>
    </row>
    <row r="354">
      <c r="A354" s="11" t="s">
        <v>385</v>
      </c>
    </row>
    <row r="355">
      <c r="A355" s="11" t="s">
        <v>386</v>
      </c>
    </row>
    <row r="356">
      <c r="A356" s="11" t="s">
        <v>387</v>
      </c>
    </row>
    <row r="357">
      <c r="A357" s="11" t="s">
        <v>388</v>
      </c>
    </row>
    <row r="358">
      <c r="A358" s="11" t="s">
        <v>389</v>
      </c>
    </row>
    <row r="359">
      <c r="A359" s="11" t="s">
        <v>390</v>
      </c>
    </row>
    <row r="360">
      <c r="A360" s="11" t="s">
        <v>391</v>
      </c>
    </row>
    <row r="361">
      <c r="A361" s="11" t="s">
        <v>392</v>
      </c>
    </row>
    <row r="362">
      <c r="A362" s="11" t="s">
        <v>393</v>
      </c>
    </row>
    <row r="363">
      <c r="A363" s="11" t="s">
        <v>394</v>
      </c>
    </row>
    <row r="364">
      <c r="A364" s="11" t="s">
        <v>395</v>
      </c>
    </row>
    <row r="365">
      <c r="A365" s="11" t="s">
        <v>396</v>
      </c>
    </row>
    <row r="366">
      <c r="A366" s="11" t="s">
        <v>397</v>
      </c>
    </row>
    <row r="367">
      <c r="A367" s="11" t="s">
        <v>398</v>
      </c>
    </row>
    <row r="368">
      <c r="A368" s="11" t="s">
        <v>399</v>
      </c>
    </row>
    <row r="369">
      <c r="A369" s="11" t="s">
        <v>400</v>
      </c>
    </row>
    <row r="370">
      <c r="A370" s="11" t="s">
        <v>401</v>
      </c>
    </row>
    <row r="371">
      <c r="A371" s="11" t="s">
        <v>402</v>
      </c>
    </row>
    <row r="372">
      <c r="A372" s="11" t="s">
        <v>403</v>
      </c>
    </row>
    <row r="373">
      <c r="A373" s="11" t="s">
        <v>404</v>
      </c>
    </row>
    <row r="374">
      <c r="A374" s="11" t="s">
        <v>405</v>
      </c>
    </row>
    <row r="375">
      <c r="A375" s="11" t="s">
        <v>406</v>
      </c>
    </row>
    <row r="376">
      <c r="A376" s="11" t="s">
        <v>407</v>
      </c>
    </row>
    <row r="377">
      <c r="A377" s="11" t="s">
        <v>408</v>
      </c>
    </row>
    <row r="378">
      <c r="A378" s="11" t="s">
        <v>409</v>
      </c>
    </row>
    <row r="379">
      <c r="A379" s="11" t="s">
        <v>410</v>
      </c>
    </row>
    <row r="380">
      <c r="A380" s="11" t="s">
        <v>411</v>
      </c>
    </row>
    <row r="381">
      <c r="A381" s="11" t="s">
        <v>412</v>
      </c>
    </row>
    <row r="382">
      <c r="A382" s="11" t="s">
        <v>413</v>
      </c>
    </row>
    <row r="383">
      <c r="A383" s="11" t="s">
        <v>414</v>
      </c>
    </row>
    <row r="384">
      <c r="A384" s="11" t="s">
        <v>415</v>
      </c>
    </row>
    <row r="385">
      <c r="A385" s="11" t="s">
        <v>416</v>
      </c>
    </row>
    <row r="386">
      <c r="A386" s="11" t="s">
        <v>417</v>
      </c>
    </row>
    <row r="387">
      <c r="A387" s="11" t="s">
        <v>418</v>
      </c>
    </row>
    <row r="388">
      <c r="A388" s="11" t="s">
        <v>419</v>
      </c>
    </row>
    <row r="389">
      <c r="A389" s="11" t="s">
        <v>420</v>
      </c>
    </row>
    <row r="390">
      <c r="A390" s="11" t="s">
        <v>421</v>
      </c>
    </row>
    <row r="391">
      <c r="A391" s="11" t="s">
        <v>422</v>
      </c>
    </row>
    <row r="392">
      <c r="A392" s="11" t="s">
        <v>423</v>
      </c>
    </row>
    <row r="393">
      <c r="A393" s="11" t="s">
        <v>424</v>
      </c>
    </row>
    <row r="394">
      <c r="A394" s="11" t="s">
        <v>425</v>
      </c>
    </row>
    <row r="395">
      <c r="A395" s="11" t="s">
        <v>426</v>
      </c>
    </row>
    <row r="396">
      <c r="A396" s="11" t="s">
        <v>427</v>
      </c>
    </row>
    <row r="397">
      <c r="A397" s="11" t="s">
        <v>428</v>
      </c>
    </row>
    <row r="398">
      <c r="A398" s="11" t="s">
        <v>429</v>
      </c>
    </row>
    <row r="399">
      <c r="A399" s="11" t="s">
        <v>430</v>
      </c>
    </row>
    <row r="400">
      <c r="A400" s="11" t="s">
        <v>431</v>
      </c>
    </row>
    <row r="401">
      <c r="A401" s="11" t="s">
        <v>432</v>
      </c>
    </row>
    <row r="402">
      <c r="A402" s="11" t="s">
        <v>433</v>
      </c>
    </row>
    <row r="403">
      <c r="A403" s="11" t="s">
        <v>434</v>
      </c>
    </row>
    <row r="404">
      <c r="A404" s="11" t="s">
        <v>435</v>
      </c>
    </row>
    <row r="405">
      <c r="A405" s="11" t="s">
        <v>436</v>
      </c>
    </row>
    <row r="406">
      <c r="A406" s="11" t="s">
        <v>437</v>
      </c>
    </row>
    <row r="407">
      <c r="A407" s="11" t="s">
        <v>438</v>
      </c>
    </row>
    <row r="408">
      <c r="A408" s="11" t="s">
        <v>439</v>
      </c>
    </row>
    <row r="409">
      <c r="A409" s="11" t="s">
        <v>440</v>
      </c>
    </row>
    <row r="410">
      <c r="A410" s="11" t="s">
        <v>441</v>
      </c>
    </row>
    <row r="411">
      <c r="A411" s="11" t="s">
        <v>442</v>
      </c>
    </row>
    <row r="412">
      <c r="A412" s="11" t="s">
        <v>443</v>
      </c>
    </row>
    <row r="413">
      <c r="A413" s="11" t="s">
        <v>444</v>
      </c>
    </row>
    <row r="414">
      <c r="A414" s="11" t="s">
        <v>445</v>
      </c>
    </row>
    <row r="415">
      <c r="A415" s="11" t="s">
        <v>446</v>
      </c>
    </row>
    <row r="416">
      <c r="A416" s="11" t="s">
        <v>447</v>
      </c>
    </row>
    <row r="417">
      <c r="A417" s="11" t="s">
        <v>448</v>
      </c>
    </row>
    <row r="418">
      <c r="A418" s="11" t="s">
        <v>449</v>
      </c>
    </row>
    <row r="419">
      <c r="A419" s="11" t="s">
        <v>450</v>
      </c>
    </row>
    <row r="420">
      <c r="A420" s="11" t="s">
        <v>451</v>
      </c>
    </row>
    <row r="421">
      <c r="A421" s="11" t="s">
        <v>452</v>
      </c>
    </row>
    <row r="422">
      <c r="A422" s="11" t="s">
        <v>453</v>
      </c>
    </row>
    <row r="423">
      <c r="A423" s="11" t="s">
        <v>454</v>
      </c>
    </row>
    <row r="424">
      <c r="A424" s="11" t="s">
        <v>455</v>
      </c>
    </row>
    <row r="425">
      <c r="A425" s="11" t="s">
        <v>456</v>
      </c>
    </row>
    <row r="426">
      <c r="A426" s="11" t="s">
        <v>457</v>
      </c>
    </row>
    <row r="427">
      <c r="A427" s="11" t="s">
        <v>458</v>
      </c>
    </row>
    <row r="428">
      <c r="A428" s="11" t="s">
        <v>459</v>
      </c>
    </row>
    <row r="429">
      <c r="A429" s="11" t="s">
        <v>460</v>
      </c>
    </row>
    <row r="430">
      <c r="A430" s="11" t="s">
        <v>461</v>
      </c>
    </row>
    <row r="431">
      <c r="A431" s="11" t="s">
        <v>462</v>
      </c>
    </row>
    <row r="432">
      <c r="A432" s="11" t="s">
        <v>463</v>
      </c>
    </row>
    <row r="433">
      <c r="A433" s="11" t="s">
        <v>464</v>
      </c>
    </row>
    <row r="434">
      <c r="A434" s="11" t="s">
        <v>465</v>
      </c>
    </row>
    <row r="435">
      <c r="A435" s="11" t="s">
        <v>466</v>
      </c>
    </row>
    <row r="436">
      <c r="A436" s="11" t="s">
        <v>467</v>
      </c>
    </row>
    <row r="437">
      <c r="A437" s="11" t="s">
        <v>468</v>
      </c>
    </row>
    <row r="438">
      <c r="A438" s="11" t="s">
        <v>469</v>
      </c>
    </row>
    <row r="439">
      <c r="A439" s="11" t="s">
        <v>470</v>
      </c>
    </row>
    <row r="440">
      <c r="A440" s="11" t="s">
        <v>471</v>
      </c>
    </row>
    <row r="441">
      <c r="A441" s="11" t="s">
        <v>472</v>
      </c>
    </row>
    <row r="442">
      <c r="A442" s="11" t="s">
        <v>473</v>
      </c>
    </row>
    <row r="443">
      <c r="A443" s="11" t="s">
        <v>474</v>
      </c>
    </row>
    <row r="444">
      <c r="A444" s="11" t="s">
        <v>475</v>
      </c>
    </row>
    <row r="445">
      <c r="A445" s="11" t="s">
        <v>476</v>
      </c>
    </row>
    <row r="446">
      <c r="A446" s="11" t="s">
        <v>477</v>
      </c>
    </row>
    <row r="447">
      <c r="A447" s="11" t="s">
        <v>478</v>
      </c>
    </row>
    <row r="448">
      <c r="A448" s="11" t="s">
        <v>479</v>
      </c>
    </row>
    <row r="449">
      <c r="A449" s="11" t="s">
        <v>480</v>
      </c>
    </row>
    <row r="450">
      <c r="A450" s="11" t="s">
        <v>481</v>
      </c>
    </row>
    <row r="451">
      <c r="A451" s="11" t="s">
        <v>482</v>
      </c>
    </row>
    <row r="452">
      <c r="A452" s="11" t="s">
        <v>483</v>
      </c>
    </row>
    <row r="453">
      <c r="A453" s="11" t="s">
        <v>484</v>
      </c>
    </row>
    <row r="454">
      <c r="A454" s="11" t="s">
        <v>485</v>
      </c>
    </row>
    <row r="455">
      <c r="A455" s="11" t="s">
        <v>486</v>
      </c>
    </row>
    <row r="456">
      <c r="A456" s="11" t="s">
        <v>487</v>
      </c>
    </row>
    <row r="457">
      <c r="A457" s="11" t="s">
        <v>488</v>
      </c>
    </row>
    <row r="458">
      <c r="A458" s="11" t="s">
        <v>489</v>
      </c>
    </row>
    <row r="459">
      <c r="A459" s="11" t="s">
        <v>490</v>
      </c>
    </row>
    <row r="460">
      <c r="A460" s="11" t="s">
        <v>491</v>
      </c>
    </row>
    <row r="461">
      <c r="A461" s="11" t="s">
        <v>492</v>
      </c>
    </row>
    <row r="462">
      <c r="A462" s="11" t="s">
        <v>493</v>
      </c>
    </row>
    <row r="463">
      <c r="A463" s="11" t="s">
        <v>494</v>
      </c>
    </row>
    <row r="464">
      <c r="A464" s="11" t="s">
        <v>495</v>
      </c>
    </row>
    <row r="465">
      <c r="A465" s="11" t="s">
        <v>496</v>
      </c>
    </row>
    <row r="466">
      <c r="A466" s="11" t="s">
        <v>497</v>
      </c>
    </row>
    <row r="467">
      <c r="A467" s="11" t="s">
        <v>498</v>
      </c>
    </row>
    <row r="468">
      <c r="A468" s="11" t="s">
        <v>499</v>
      </c>
    </row>
    <row r="469">
      <c r="A469" s="11" t="s">
        <v>500</v>
      </c>
    </row>
    <row r="470">
      <c r="A470" s="11" t="s">
        <v>501</v>
      </c>
    </row>
    <row r="471">
      <c r="A471" s="11" t="s">
        <v>502</v>
      </c>
    </row>
    <row r="472">
      <c r="A472" s="11" t="s">
        <v>503</v>
      </c>
    </row>
    <row r="473">
      <c r="A473" s="11" t="s">
        <v>504</v>
      </c>
    </row>
    <row r="474">
      <c r="A474" s="11" t="s">
        <v>505</v>
      </c>
    </row>
    <row r="475">
      <c r="A475" s="11" t="s">
        <v>506</v>
      </c>
    </row>
    <row r="476">
      <c r="A476" s="11" t="s">
        <v>507</v>
      </c>
    </row>
    <row r="477">
      <c r="A477" s="11" t="s">
        <v>508</v>
      </c>
    </row>
    <row r="478">
      <c r="A478" s="11" t="s">
        <v>509</v>
      </c>
    </row>
    <row r="479">
      <c r="A479" s="11" t="s">
        <v>510</v>
      </c>
    </row>
    <row r="480">
      <c r="A480" s="11" t="s">
        <v>511</v>
      </c>
    </row>
    <row r="481">
      <c r="A481" s="11" t="s">
        <v>512</v>
      </c>
    </row>
    <row r="482">
      <c r="A482" s="11" t="s">
        <v>513</v>
      </c>
    </row>
    <row r="483">
      <c r="A483" s="11" t="s">
        <v>514</v>
      </c>
    </row>
    <row r="484">
      <c r="A484" s="11" t="s">
        <v>515</v>
      </c>
    </row>
    <row r="485">
      <c r="A485" s="11" t="s">
        <v>516</v>
      </c>
    </row>
    <row r="486">
      <c r="A486" s="11" t="s">
        <v>517</v>
      </c>
    </row>
    <row r="487">
      <c r="A487" s="11" t="s">
        <v>518</v>
      </c>
    </row>
    <row r="488">
      <c r="A488" s="11" t="s">
        <v>519</v>
      </c>
    </row>
    <row r="489">
      <c r="A489" s="11" t="s">
        <v>520</v>
      </c>
    </row>
    <row r="490">
      <c r="A490" s="11" t="s">
        <v>521</v>
      </c>
    </row>
    <row r="491">
      <c r="A491" s="11" t="s">
        <v>522</v>
      </c>
    </row>
    <row r="492">
      <c r="A492" s="11" t="s">
        <v>523</v>
      </c>
    </row>
    <row r="493">
      <c r="A493" s="11" t="s">
        <v>524</v>
      </c>
    </row>
    <row r="494">
      <c r="A494" s="11" t="s">
        <v>525</v>
      </c>
    </row>
    <row r="495">
      <c r="A495" s="11" t="s">
        <v>526</v>
      </c>
    </row>
    <row r="496">
      <c r="A496" s="11" t="s">
        <v>527</v>
      </c>
    </row>
    <row r="497">
      <c r="A497" s="11" t="s">
        <v>528</v>
      </c>
    </row>
    <row r="498">
      <c r="A498" s="11" t="s">
        <v>529</v>
      </c>
    </row>
    <row r="499">
      <c r="A499" s="11" t="s">
        <v>530</v>
      </c>
    </row>
    <row r="500">
      <c r="A500" s="11" t="s">
        <v>531</v>
      </c>
    </row>
    <row r="501">
      <c r="A501" s="11" t="s">
        <v>532</v>
      </c>
    </row>
    <row r="502">
      <c r="A502" s="11" t="s">
        <v>533</v>
      </c>
    </row>
    <row r="503">
      <c r="A503" s="11" t="s">
        <v>534</v>
      </c>
    </row>
    <row r="504">
      <c r="A504" s="11" t="s">
        <v>535</v>
      </c>
    </row>
    <row r="505">
      <c r="A505" s="11" t="s">
        <v>536</v>
      </c>
    </row>
    <row r="506">
      <c r="A506" s="11" t="s">
        <v>537</v>
      </c>
    </row>
    <row r="507">
      <c r="A507" s="11" t="s">
        <v>538</v>
      </c>
    </row>
    <row r="508">
      <c r="A508" s="11" t="s">
        <v>539</v>
      </c>
    </row>
    <row r="509">
      <c r="A509" s="11" t="s">
        <v>540</v>
      </c>
    </row>
    <row r="510">
      <c r="A510" s="11" t="s">
        <v>541</v>
      </c>
    </row>
    <row r="511">
      <c r="A511" s="11" t="s">
        <v>542</v>
      </c>
    </row>
    <row r="512">
      <c r="A512" s="11" t="s">
        <v>543</v>
      </c>
    </row>
    <row r="513">
      <c r="A513" s="11" t="s">
        <v>544</v>
      </c>
    </row>
    <row r="514">
      <c r="A514" s="11" t="s">
        <v>545</v>
      </c>
    </row>
    <row r="515">
      <c r="A515" s="11" t="s">
        <v>546</v>
      </c>
    </row>
    <row r="516">
      <c r="A516" s="11" t="s">
        <v>547</v>
      </c>
    </row>
    <row r="517">
      <c r="A517" s="11" t="s">
        <v>548</v>
      </c>
    </row>
    <row r="518">
      <c r="A518" s="11" t="s">
        <v>549</v>
      </c>
    </row>
    <row r="519">
      <c r="A519" s="11" t="s">
        <v>550</v>
      </c>
    </row>
    <row r="520">
      <c r="A520" s="11" t="s">
        <v>551</v>
      </c>
    </row>
    <row r="521">
      <c r="A521" s="11" t="s">
        <v>552</v>
      </c>
    </row>
    <row r="522">
      <c r="A522" s="11" t="s">
        <v>553</v>
      </c>
    </row>
    <row r="523">
      <c r="A523" s="11" t="s">
        <v>554</v>
      </c>
    </row>
    <row r="524">
      <c r="A524" s="11" t="s">
        <v>555</v>
      </c>
    </row>
    <row r="525">
      <c r="A525" s="11" t="s">
        <v>556</v>
      </c>
    </row>
    <row r="526">
      <c r="A526" s="11" t="s">
        <v>557</v>
      </c>
    </row>
    <row r="527">
      <c r="A527" s="11" t="s">
        <v>558</v>
      </c>
    </row>
    <row r="528">
      <c r="A528" s="11" t="s">
        <v>559</v>
      </c>
    </row>
    <row r="529">
      <c r="A529" s="11" t="s">
        <v>560</v>
      </c>
    </row>
    <row r="530">
      <c r="A530" s="11" t="s">
        <v>561</v>
      </c>
    </row>
    <row r="531">
      <c r="A531" s="11" t="s">
        <v>562</v>
      </c>
    </row>
    <row r="532">
      <c r="A532" s="11" t="s">
        <v>563</v>
      </c>
    </row>
    <row r="533">
      <c r="A533" s="11" t="s">
        <v>564</v>
      </c>
    </row>
    <row r="534">
      <c r="A534" s="11" t="s">
        <v>565</v>
      </c>
    </row>
    <row r="535">
      <c r="A535" s="11" t="s">
        <v>566</v>
      </c>
    </row>
    <row r="536">
      <c r="A536" s="11" t="s">
        <v>567</v>
      </c>
    </row>
    <row r="537">
      <c r="A537" s="11" t="s">
        <v>568</v>
      </c>
    </row>
    <row r="538">
      <c r="A538" s="11" t="s">
        <v>569</v>
      </c>
    </row>
    <row r="539">
      <c r="A539" s="11" t="s">
        <v>570</v>
      </c>
    </row>
    <row r="540">
      <c r="A540" s="11" t="s">
        <v>571</v>
      </c>
    </row>
    <row r="541">
      <c r="A541" s="11" t="s">
        <v>572</v>
      </c>
    </row>
    <row r="542">
      <c r="A542" s="11" t="s">
        <v>573</v>
      </c>
    </row>
    <row r="543">
      <c r="A543" s="11" t="s">
        <v>574</v>
      </c>
    </row>
    <row r="544">
      <c r="A544" s="11" t="s">
        <v>575</v>
      </c>
    </row>
    <row r="545">
      <c r="A545" s="11" t="s">
        <v>576</v>
      </c>
    </row>
    <row r="546">
      <c r="A546" s="11" t="s">
        <v>577</v>
      </c>
    </row>
    <row r="547">
      <c r="A547" s="11" t="s">
        <v>578</v>
      </c>
    </row>
    <row r="548">
      <c r="A548" s="11" t="s">
        <v>579</v>
      </c>
    </row>
    <row r="549">
      <c r="A549" s="11" t="s">
        <v>580</v>
      </c>
    </row>
    <row r="550">
      <c r="A550" s="11" t="s">
        <v>581</v>
      </c>
    </row>
    <row r="551">
      <c r="A551" s="11" t="s">
        <v>582</v>
      </c>
    </row>
    <row r="552">
      <c r="A552" s="11" t="s">
        <v>583</v>
      </c>
    </row>
    <row r="553">
      <c r="A553" s="11" t="s">
        <v>584</v>
      </c>
    </row>
    <row r="554">
      <c r="A554" s="11" t="s">
        <v>585</v>
      </c>
    </row>
    <row r="555">
      <c r="A555" s="11" t="s">
        <v>586</v>
      </c>
    </row>
    <row r="556">
      <c r="A556" s="11" t="s">
        <v>587</v>
      </c>
    </row>
    <row r="557">
      <c r="A557" s="11" t="s">
        <v>588</v>
      </c>
    </row>
    <row r="558">
      <c r="A558" s="11" t="s">
        <v>589</v>
      </c>
    </row>
    <row r="559">
      <c r="A559" s="11" t="s">
        <v>590</v>
      </c>
    </row>
    <row r="560">
      <c r="A560" s="11" t="s">
        <v>591</v>
      </c>
    </row>
    <row r="561">
      <c r="A561" s="11" t="s">
        <v>592</v>
      </c>
    </row>
    <row r="562">
      <c r="A562" s="11" t="s">
        <v>593</v>
      </c>
    </row>
    <row r="563">
      <c r="A563" s="11" t="s">
        <v>594</v>
      </c>
    </row>
    <row r="564">
      <c r="A564" s="11" t="s">
        <v>595</v>
      </c>
    </row>
    <row r="565">
      <c r="A565" s="11" t="s">
        <v>596</v>
      </c>
    </row>
    <row r="566">
      <c r="A566" s="11" t="s">
        <v>597</v>
      </c>
    </row>
    <row r="567">
      <c r="A567" s="11" t="s">
        <v>598</v>
      </c>
    </row>
    <row r="568">
      <c r="A568" s="11" t="s">
        <v>599</v>
      </c>
    </row>
    <row r="569">
      <c r="A569" s="11" t="s">
        <v>600</v>
      </c>
    </row>
    <row r="570">
      <c r="A570" s="11" t="s">
        <v>601</v>
      </c>
    </row>
    <row r="571">
      <c r="A571" s="11" t="s">
        <v>602</v>
      </c>
    </row>
    <row r="572">
      <c r="A572" s="11" t="s">
        <v>603</v>
      </c>
    </row>
    <row r="573">
      <c r="A573" s="11" t="s">
        <v>604</v>
      </c>
    </row>
    <row r="574">
      <c r="A574" s="11" t="s">
        <v>605</v>
      </c>
    </row>
    <row r="575">
      <c r="A575" s="11" t="s">
        <v>606</v>
      </c>
    </row>
    <row r="576">
      <c r="A576" s="11" t="s">
        <v>607</v>
      </c>
    </row>
    <row r="577">
      <c r="A577" s="11" t="s">
        <v>608</v>
      </c>
    </row>
    <row r="578">
      <c r="A578" s="11" t="s">
        <v>609</v>
      </c>
    </row>
    <row r="579">
      <c r="A579" s="11" t="s">
        <v>610</v>
      </c>
    </row>
    <row r="580">
      <c r="A580" s="11" t="s">
        <v>611</v>
      </c>
    </row>
    <row r="581">
      <c r="A581" s="11" t="s">
        <v>612</v>
      </c>
    </row>
    <row r="582">
      <c r="A582" s="11" t="s">
        <v>613</v>
      </c>
    </row>
    <row r="583">
      <c r="A583" s="11" t="s">
        <v>614</v>
      </c>
    </row>
    <row r="584">
      <c r="A584" s="11" t="s">
        <v>615</v>
      </c>
    </row>
    <row r="585">
      <c r="A585" s="11" t="s">
        <v>616</v>
      </c>
    </row>
    <row r="586">
      <c r="A586" s="11" t="s">
        <v>617</v>
      </c>
    </row>
    <row r="587">
      <c r="A587" s="11" t="s">
        <v>618</v>
      </c>
    </row>
    <row r="588">
      <c r="A588" s="11" t="s">
        <v>619</v>
      </c>
    </row>
    <row r="589">
      <c r="A589" s="11" t="s">
        <v>620</v>
      </c>
    </row>
    <row r="590">
      <c r="A590" s="11" t="s">
        <v>621</v>
      </c>
    </row>
    <row r="591">
      <c r="A591" s="11" t="s">
        <v>622</v>
      </c>
    </row>
    <row r="592">
      <c r="A592" s="11" t="s">
        <v>623</v>
      </c>
    </row>
    <row r="593">
      <c r="A593" s="11" t="s">
        <v>624</v>
      </c>
    </row>
    <row r="594">
      <c r="A594" s="11" t="s">
        <v>625</v>
      </c>
    </row>
    <row r="595">
      <c r="A595" s="11" t="s">
        <v>626</v>
      </c>
    </row>
    <row r="596">
      <c r="A596" s="11" t="s">
        <v>627</v>
      </c>
    </row>
    <row r="597">
      <c r="A597" s="11" t="s">
        <v>628</v>
      </c>
    </row>
    <row r="598">
      <c r="A598" s="11" t="s">
        <v>629</v>
      </c>
    </row>
    <row r="599">
      <c r="A599" s="11" t="s">
        <v>630</v>
      </c>
    </row>
    <row r="600">
      <c r="A600" s="11" t="s">
        <v>631</v>
      </c>
    </row>
    <row r="601">
      <c r="A601" s="11" t="s">
        <v>632</v>
      </c>
    </row>
    <row r="602">
      <c r="A602" s="11" t="s">
        <v>633</v>
      </c>
    </row>
    <row r="603">
      <c r="A603" s="11" t="s">
        <v>634</v>
      </c>
    </row>
    <row r="604">
      <c r="A604" s="11" t="s">
        <v>635</v>
      </c>
    </row>
    <row r="605">
      <c r="A605" s="11" t="s">
        <v>636</v>
      </c>
    </row>
    <row r="606">
      <c r="A606" s="11" t="s">
        <v>637</v>
      </c>
    </row>
    <row r="607">
      <c r="A607" s="11" t="s">
        <v>638</v>
      </c>
    </row>
    <row r="608">
      <c r="A608" s="11" t="s">
        <v>639</v>
      </c>
    </row>
    <row r="609">
      <c r="A609" s="11" t="s">
        <v>640</v>
      </c>
    </row>
    <row r="610">
      <c r="A610" s="11" t="s">
        <v>641</v>
      </c>
    </row>
    <row r="611">
      <c r="A611" s="11" t="s">
        <v>642</v>
      </c>
    </row>
    <row r="612">
      <c r="A612" s="11" t="s">
        <v>643</v>
      </c>
    </row>
    <row r="613">
      <c r="A613" s="11" t="s">
        <v>644</v>
      </c>
    </row>
    <row r="614">
      <c r="A614" s="11" t="s">
        <v>645</v>
      </c>
    </row>
    <row r="615">
      <c r="A615" s="11" t="s">
        <v>646</v>
      </c>
    </row>
    <row r="616">
      <c r="A616" s="11" t="s">
        <v>647</v>
      </c>
    </row>
    <row r="617">
      <c r="A617" s="11" t="s">
        <v>648</v>
      </c>
    </row>
    <row r="618">
      <c r="A618" s="11" t="s">
        <v>649</v>
      </c>
    </row>
    <row r="619">
      <c r="A619" s="11" t="s">
        <v>650</v>
      </c>
    </row>
    <row r="620">
      <c r="A620" s="11" t="s">
        <v>651</v>
      </c>
    </row>
    <row r="621">
      <c r="A621" s="11" t="s">
        <v>652</v>
      </c>
    </row>
    <row r="622">
      <c r="A622" s="11" t="s">
        <v>653</v>
      </c>
    </row>
    <row r="623">
      <c r="A623" s="11" t="s">
        <v>654</v>
      </c>
    </row>
    <row r="624">
      <c r="A624" s="11" t="s">
        <v>655</v>
      </c>
    </row>
    <row r="625">
      <c r="A625" s="11" t="s">
        <v>656</v>
      </c>
    </row>
    <row r="626">
      <c r="A626" s="11" t="s">
        <v>657</v>
      </c>
    </row>
    <row r="627">
      <c r="A627" s="11" t="s">
        <v>658</v>
      </c>
    </row>
    <row r="628">
      <c r="A628" s="11" t="s">
        <v>659</v>
      </c>
    </row>
    <row r="629">
      <c r="A629" s="11" t="s">
        <v>660</v>
      </c>
    </row>
    <row r="630">
      <c r="A630" s="11" t="s">
        <v>661</v>
      </c>
    </row>
    <row r="631">
      <c r="A631" s="11" t="s">
        <v>662</v>
      </c>
    </row>
    <row r="632">
      <c r="A632" s="11" t="s">
        <v>663</v>
      </c>
    </row>
    <row r="633">
      <c r="A633" s="11" t="s">
        <v>664</v>
      </c>
    </row>
    <row r="634">
      <c r="A634" s="11" t="s">
        <v>665</v>
      </c>
    </row>
    <row r="635">
      <c r="A635" s="11" t="s">
        <v>666</v>
      </c>
    </row>
    <row r="636">
      <c r="A636" s="11" t="s">
        <v>667</v>
      </c>
    </row>
    <row r="637">
      <c r="A637" s="11" t="s">
        <v>668</v>
      </c>
    </row>
    <row r="638">
      <c r="A638" s="11" t="s">
        <v>669</v>
      </c>
    </row>
    <row r="639">
      <c r="A639" s="11" t="s">
        <v>670</v>
      </c>
    </row>
    <row r="640">
      <c r="A640" s="11" t="s">
        <v>671</v>
      </c>
    </row>
    <row r="641">
      <c r="A641" s="11" t="s">
        <v>672</v>
      </c>
    </row>
    <row r="642">
      <c r="A642" s="11" t="s">
        <v>673</v>
      </c>
    </row>
    <row r="643">
      <c r="A643" s="11" t="s">
        <v>674</v>
      </c>
    </row>
    <row r="644">
      <c r="A644" s="11" t="s">
        <v>675</v>
      </c>
    </row>
    <row r="645">
      <c r="A645" s="11" t="s">
        <v>676</v>
      </c>
    </row>
    <row r="646">
      <c r="A646" s="11" t="s">
        <v>677</v>
      </c>
    </row>
    <row r="647">
      <c r="A647" s="11" t="s">
        <v>678</v>
      </c>
    </row>
    <row r="648">
      <c r="A648" s="11" t="s">
        <v>679</v>
      </c>
    </row>
    <row r="649">
      <c r="A649" s="11" t="s">
        <v>680</v>
      </c>
    </row>
    <row r="650">
      <c r="A650" s="11" t="s">
        <v>681</v>
      </c>
    </row>
    <row r="651">
      <c r="A651" s="11" t="s">
        <v>682</v>
      </c>
    </row>
    <row r="652">
      <c r="A652" s="11" t="s">
        <v>683</v>
      </c>
    </row>
    <row r="653">
      <c r="A653" s="11" t="s">
        <v>684</v>
      </c>
    </row>
    <row r="654">
      <c r="A654" s="11" t="s">
        <v>685</v>
      </c>
    </row>
    <row r="655">
      <c r="A655" s="11" t="s">
        <v>686</v>
      </c>
    </row>
    <row r="656">
      <c r="A656" s="11" t="s">
        <v>687</v>
      </c>
    </row>
    <row r="657">
      <c r="A657" s="11" t="s">
        <v>688</v>
      </c>
    </row>
    <row r="658">
      <c r="A658" s="11" t="s">
        <v>689</v>
      </c>
    </row>
    <row r="659">
      <c r="A659" s="11" t="s">
        <v>690</v>
      </c>
    </row>
    <row r="660">
      <c r="A660" s="11" t="s">
        <v>691</v>
      </c>
    </row>
    <row r="661">
      <c r="A661" s="11" t="s">
        <v>692</v>
      </c>
    </row>
    <row r="662">
      <c r="A662" s="11" t="s">
        <v>693</v>
      </c>
    </row>
    <row r="663">
      <c r="A663" s="11" t="s">
        <v>694</v>
      </c>
    </row>
    <row r="664">
      <c r="A664" s="11" t="s">
        <v>695</v>
      </c>
    </row>
    <row r="665">
      <c r="A665" s="11" t="s">
        <v>696</v>
      </c>
    </row>
    <row r="666">
      <c r="A666" s="11" t="s">
        <v>697</v>
      </c>
    </row>
    <row r="667">
      <c r="A667" s="11" t="s">
        <v>698</v>
      </c>
    </row>
    <row r="668">
      <c r="A668" s="11" t="s">
        <v>699</v>
      </c>
    </row>
    <row r="669">
      <c r="A669" s="11" t="s">
        <v>700</v>
      </c>
    </row>
    <row r="670">
      <c r="A670" s="11" t="s">
        <v>701</v>
      </c>
    </row>
    <row r="671">
      <c r="A671" s="11" t="s">
        <v>702</v>
      </c>
    </row>
    <row r="672">
      <c r="A672" s="11" t="s">
        <v>703</v>
      </c>
    </row>
    <row r="673">
      <c r="A673" s="11" t="s">
        <v>704</v>
      </c>
    </row>
    <row r="674">
      <c r="A674" s="11" t="s">
        <v>705</v>
      </c>
    </row>
    <row r="675">
      <c r="A675" s="11" t="s">
        <v>706</v>
      </c>
    </row>
    <row r="676">
      <c r="A676" s="11" t="s">
        <v>707</v>
      </c>
    </row>
    <row r="677">
      <c r="A677" s="11" t="s">
        <v>708</v>
      </c>
    </row>
    <row r="678">
      <c r="A678" s="11" t="s">
        <v>709</v>
      </c>
    </row>
    <row r="679">
      <c r="A679" s="11" t="s">
        <v>710</v>
      </c>
    </row>
    <row r="680">
      <c r="A680" s="11" t="s">
        <v>711</v>
      </c>
    </row>
    <row r="681">
      <c r="A681" s="11" t="s">
        <v>712</v>
      </c>
    </row>
    <row r="682">
      <c r="A682" s="11" t="s">
        <v>713</v>
      </c>
    </row>
    <row r="683">
      <c r="A683" s="11" t="s">
        <v>714</v>
      </c>
    </row>
    <row r="684">
      <c r="A684" s="11" t="s">
        <v>715</v>
      </c>
    </row>
    <row r="685">
      <c r="A685" s="11" t="s">
        <v>716</v>
      </c>
    </row>
    <row r="686">
      <c r="A686" s="11" t="s">
        <v>717</v>
      </c>
    </row>
    <row r="687">
      <c r="A687" s="11" t="s">
        <v>718</v>
      </c>
    </row>
    <row r="688">
      <c r="A688" s="11" t="s">
        <v>719</v>
      </c>
    </row>
    <row r="689">
      <c r="A689" s="11" t="s">
        <v>720</v>
      </c>
    </row>
    <row r="690">
      <c r="A690" s="11" t="s">
        <v>721</v>
      </c>
    </row>
    <row r="691">
      <c r="A691" s="11" t="s">
        <v>722</v>
      </c>
    </row>
    <row r="692">
      <c r="A692" s="11" t="s">
        <v>723</v>
      </c>
    </row>
    <row r="693">
      <c r="A693" s="11" t="s">
        <v>724</v>
      </c>
    </row>
    <row r="694">
      <c r="A694" s="11" t="s">
        <v>725</v>
      </c>
    </row>
    <row r="695">
      <c r="A695" s="11" t="s">
        <v>726</v>
      </c>
    </row>
    <row r="696">
      <c r="A696" s="11" t="s">
        <v>727</v>
      </c>
    </row>
    <row r="697">
      <c r="A697" s="11" t="s">
        <v>728</v>
      </c>
    </row>
    <row r="698">
      <c r="A698" s="11" t="s">
        <v>729</v>
      </c>
    </row>
    <row r="699">
      <c r="A699" s="11" t="s">
        <v>730</v>
      </c>
    </row>
    <row r="700">
      <c r="A700" s="11" t="s">
        <v>731</v>
      </c>
    </row>
    <row r="701">
      <c r="A701" s="11" t="s">
        <v>732</v>
      </c>
    </row>
    <row r="702">
      <c r="A702" s="11" t="s">
        <v>733</v>
      </c>
    </row>
    <row r="703">
      <c r="A703" s="11" t="s">
        <v>734</v>
      </c>
    </row>
    <row r="704">
      <c r="A704" s="11" t="s">
        <v>735</v>
      </c>
    </row>
    <row r="705">
      <c r="A705" s="11" t="s">
        <v>736</v>
      </c>
    </row>
    <row r="706">
      <c r="A706" s="11" t="s">
        <v>737</v>
      </c>
    </row>
    <row r="707">
      <c r="A707" s="11" t="s">
        <v>738</v>
      </c>
    </row>
    <row r="708">
      <c r="A708" s="11" t="s">
        <v>739</v>
      </c>
    </row>
    <row r="709">
      <c r="A709" s="11" t="s">
        <v>740</v>
      </c>
    </row>
    <row r="710">
      <c r="A710" s="11" t="s">
        <v>741</v>
      </c>
    </row>
    <row r="711">
      <c r="A711" s="11" t="s">
        <v>742</v>
      </c>
    </row>
    <row r="712">
      <c r="A712" s="11" t="s">
        <v>743</v>
      </c>
    </row>
    <row r="713">
      <c r="A713" s="11" t="s">
        <v>744</v>
      </c>
    </row>
    <row r="714">
      <c r="A714" s="11" t="s">
        <v>745</v>
      </c>
    </row>
    <row r="715">
      <c r="A715" s="11" t="s">
        <v>746</v>
      </c>
    </row>
    <row r="716">
      <c r="A716" s="11" t="s">
        <v>747</v>
      </c>
    </row>
    <row r="717">
      <c r="A717" s="11" t="s">
        <v>748</v>
      </c>
    </row>
    <row r="718">
      <c r="A718" s="11" t="s">
        <v>749</v>
      </c>
    </row>
    <row r="719">
      <c r="A719" s="11" t="s">
        <v>750</v>
      </c>
    </row>
    <row r="720">
      <c r="A720" s="11" t="s">
        <v>751</v>
      </c>
    </row>
    <row r="721">
      <c r="A721" s="11" t="s">
        <v>752</v>
      </c>
    </row>
    <row r="722">
      <c r="A722" s="11" t="s">
        <v>753</v>
      </c>
    </row>
    <row r="723">
      <c r="A723" s="11" t="s">
        <v>754</v>
      </c>
    </row>
    <row r="724">
      <c r="A724" s="11" t="s">
        <v>755</v>
      </c>
    </row>
    <row r="725">
      <c r="A725" s="11" t="s">
        <v>756</v>
      </c>
    </row>
    <row r="726">
      <c r="A726" s="11" t="s">
        <v>757</v>
      </c>
    </row>
    <row r="727">
      <c r="A727" s="11" t="s">
        <v>758</v>
      </c>
    </row>
    <row r="728">
      <c r="A728" s="11" t="s">
        <v>759</v>
      </c>
    </row>
    <row r="729">
      <c r="A729" s="11" t="s">
        <v>760</v>
      </c>
    </row>
    <row r="730">
      <c r="A730" s="11" t="s">
        <v>761</v>
      </c>
    </row>
    <row r="731">
      <c r="A731" s="11" t="s">
        <v>762</v>
      </c>
    </row>
    <row r="732">
      <c r="A732" s="11" t="s">
        <v>763</v>
      </c>
    </row>
    <row r="733">
      <c r="A733" s="11" t="s">
        <v>764</v>
      </c>
    </row>
    <row r="734">
      <c r="A734" s="11" t="s">
        <v>765</v>
      </c>
    </row>
    <row r="735">
      <c r="A735" s="11" t="s">
        <v>766</v>
      </c>
    </row>
    <row r="736">
      <c r="A736" s="11" t="s">
        <v>767</v>
      </c>
    </row>
    <row r="737">
      <c r="A737" s="11" t="s">
        <v>768</v>
      </c>
    </row>
    <row r="738">
      <c r="A738" s="11" t="s">
        <v>769</v>
      </c>
    </row>
    <row r="739">
      <c r="A739" s="11" t="s">
        <v>770</v>
      </c>
    </row>
    <row r="740">
      <c r="A740" s="11" t="s">
        <v>771</v>
      </c>
    </row>
    <row r="741">
      <c r="A741" s="11" t="s">
        <v>772</v>
      </c>
    </row>
    <row r="742">
      <c r="A742" s="11" t="s">
        <v>773</v>
      </c>
    </row>
    <row r="743">
      <c r="A743" s="11" t="s">
        <v>774</v>
      </c>
    </row>
    <row r="744">
      <c r="A744" s="11" t="s">
        <v>775</v>
      </c>
    </row>
    <row r="745">
      <c r="A745" s="11" t="s">
        <v>776</v>
      </c>
    </row>
    <row r="746">
      <c r="A746" s="11" t="s">
        <v>777</v>
      </c>
    </row>
    <row r="747">
      <c r="A747" s="11" t="s">
        <v>778</v>
      </c>
    </row>
    <row r="748">
      <c r="A748" s="11" t="s">
        <v>779</v>
      </c>
    </row>
    <row r="749">
      <c r="A749" s="11" t="s">
        <v>780</v>
      </c>
    </row>
    <row r="750">
      <c r="A750" s="11" t="s">
        <v>781</v>
      </c>
    </row>
    <row r="751">
      <c r="A751" s="11" t="s">
        <v>782</v>
      </c>
    </row>
    <row r="752">
      <c r="A752" s="11" t="s">
        <v>783</v>
      </c>
    </row>
    <row r="753">
      <c r="A753" s="11" t="s">
        <v>784</v>
      </c>
    </row>
    <row r="754">
      <c r="A754" s="11" t="s">
        <v>785</v>
      </c>
    </row>
    <row r="755">
      <c r="A755" s="11" t="s">
        <v>786</v>
      </c>
    </row>
    <row r="756">
      <c r="A756" s="11" t="s">
        <v>787</v>
      </c>
    </row>
    <row r="757">
      <c r="A757" s="11" t="s">
        <v>788</v>
      </c>
    </row>
    <row r="758">
      <c r="A758" s="11" t="s">
        <v>789</v>
      </c>
    </row>
    <row r="759">
      <c r="A759" s="11" t="s">
        <v>790</v>
      </c>
    </row>
    <row r="760">
      <c r="A760" s="11" t="s">
        <v>791</v>
      </c>
    </row>
    <row r="761">
      <c r="A761" s="11" t="s">
        <v>792</v>
      </c>
    </row>
    <row r="762">
      <c r="A762" s="11" t="s">
        <v>793</v>
      </c>
    </row>
    <row r="763">
      <c r="A763" s="11" t="s">
        <v>794</v>
      </c>
    </row>
    <row r="764">
      <c r="A764" s="11" t="s">
        <v>795</v>
      </c>
    </row>
    <row r="765">
      <c r="A765" s="11" t="s">
        <v>796</v>
      </c>
    </row>
    <row r="766">
      <c r="A766" s="11" t="s">
        <v>797</v>
      </c>
    </row>
    <row r="767">
      <c r="A767" s="11" t="s">
        <v>798</v>
      </c>
    </row>
    <row r="768">
      <c r="A768" s="11" t="s">
        <v>799</v>
      </c>
    </row>
    <row r="769">
      <c r="A769" s="11" t="s">
        <v>800</v>
      </c>
    </row>
    <row r="770">
      <c r="A770" s="11" t="s">
        <v>801</v>
      </c>
    </row>
    <row r="771">
      <c r="A771" s="11" t="s">
        <v>802</v>
      </c>
    </row>
    <row r="772">
      <c r="A772" s="11" t="s">
        <v>803</v>
      </c>
    </row>
    <row r="773">
      <c r="A773" s="11" t="s">
        <v>804</v>
      </c>
    </row>
    <row r="774">
      <c r="A774" s="11" t="s">
        <v>805</v>
      </c>
    </row>
    <row r="775">
      <c r="A775" s="11" t="s">
        <v>806</v>
      </c>
    </row>
    <row r="776">
      <c r="A776" s="11" t="s">
        <v>807</v>
      </c>
    </row>
    <row r="777">
      <c r="A777" s="11" t="s">
        <v>808</v>
      </c>
    </row>
    <row r="778">
      <c r="A778" s="11" t="s">
        <v>809</v>
      </c>
    </row>
    <row r="779">
      <c r="A779" s="11" t="s">
        <v>810</v>
      </c>
    </row>
    <row r="780">
      <c r="A780" s="11" t="s">
        <v>811</v>
      </c>
    </row>
    <row r="781">
      <c r="A781" s="11" t="s">
        <v>812</v>
      </c>
    </row>
    <row r="782">
      <c r="A782" s="11" t="s">
        <v>813</v>
      </c>
    </row>
    <row r="783">
      <c r="A783" s="11" t="s">
        <v>814</v>
      </c>
    </row>
    <row r="784">
      <c r="A784" s="11" t="s">
        <v>815</v>
      </c>
    </row>
    <row r="785">
      <c r="A785" s="11" t="s">
        <v>816</v>
      </c>
    </row>
    <row r="786">
      <c r="A786" s="11" t="s">
        <v>817</v>
      </c>
    </row>
    <row r="787">
      <c r="A787" s="11" t="s">
        <v>818</v>
      </c>
    </row>
    <row r="788">
      <c r="A788" s="11" t="s">
        <v>819</v>
      </c>
    </row>
    <row r="789">
      <c r="A789" s="11" t="s">
        <v>820</v>
      </c>
    </row>
    <row r="790">
      <c r="A790" s="11" t="s">
        <v>821</v>
      </c>
    </row>
    <row r="791">
      <c r="A791" s="11" t="s">
        <v>822</v>
      </c>
    </row>
    <row r="792">
      <c r="A792" s="11" t="s">
        <v>823</v>
      </c>
    </row>
    <row r="793">
      <c r="A793" s="11" t="s">
        <v>824</v>
      </c>
    </row>
    <row r="794">
      <c r="A794" s="11" t="s">
        <v>825</v>
      </c>
    </row>
    <row r="795">
      <c r="A795" s="11" t="s">
        <v>826</v>
      </c>
    </row>
    <row r="796">
      <c r="A796" s="11" t="s">
        <v>827</v>
      </c>
    </row>
    <row r="797">
      <c r="A797" s="11" t="s">
        <v>828</v>
      </c>
    </row>
    <row r="798">
      <c r="A798" s="11" t="s">
        <v>829</v>
      </c>
    </row>
    <row r="799">
      <c r="A799" s="11" t="s">
        <v>830</v>
      </c>
    </row>
    <row r="800">
      <c r="A800" s="11" t="s">
        <v>831</v>
      </c>
    </row>
    <row r="801">
      <c r="A801" s="11" t="s">
        <v>832</v>
      </c>
    </row>
    <row r="802">
      <c r="A802" s="11" t="s">
        <v>833</v>
      </c>
    </row>
    <row r="803">
      <c r="A803" s="11" t="s">
        <v>834</v>
      </c>
    </row>
    <row r="804">
      <c r="A804" s="11" t="s">
        <v>835</v>
      </c>
    </row>
    <row r="805">
      <c r="A805" s="11" t="s">
        <v>836</v>
      </c>
    </row>
    <row r="806">
      <c r="A806" s="11" t="s">
        <v>837</v>
      </c>
    </row>
    <row r="807">
      <c r="A807" s="11" t="s">
        <v>838</v>
      </c>
    </row>
    <row r="808">
      <c r="A808" s="11" t="s">
        <v>839</v>
      </c>
    </row>
    <row r="809">
      <c r="A809" s="11" t="s">
        <v>840</v>
      </c>
    </row>
    <row r="810">
      <c r="A810" s="11" t="s">
        <v>841</v>
      </c>
    </row>
    <row r="811">
      <c r="A811" s="11" t="s">
        <v>842</v>
      </c>
    </row>
    <row r="812">
      <c r="A812" s="11" t="s">
        <v>843</v>
      </c>
    </row>
    <row r="813">
      <c r="A813" s="11" t="s">
        <v>844</v>
      </c>
    </row>
    <row r="814">
      <c r="A814" s="11" t="s">
        <v>845</v>
      </c>
    </row>
    <row r="815">
      <c r="A815" s="11" t="s">
        <v>846</v>
      </c>
    </row>
    <row r="816">
      <c r="A816" s="11" t="s">
        <v>847</v>
      </c>
    </row>
    <row r="817">
      <c r="A817" s="11" t="s">
        <v>848</v>
      </c>
    </row>
    <row r="818">
      <c r="A818" s="11" t="s">
        <v>849</v>
      </c>
    </row>
    <row r="819">
      <c r="A819" s="11" t="s">
        <v>850</v>
      </c>
    </row>
    <row r="820">
      <c r="A820" s="11" t="s">
        <v>851</v>
      </c>
    </row>
    <row r="821">
      <c r="A821" s="11" t="s">
        <v>852</v>
      </c>
    </row>
    <row r="822">
      <c r="A822" s="11" t="s">
        <v>853</v>
      </c>
    </row>
    <row r="823">
      <c r="A823" s="11" t="s">
        <v>854</v>
      </c>
    </row>
    <row r="824">
      <c r="A824" s="11" t="s">
        <v>855</v>
      </c>
    </row>
    <row r="825">
      <c r="A825" s="11" t="s">
        <v>856</v>
      </c>
    </row>
    <row r="826">
      <c r="A826" s="11" t="s">
        <v>857</v>
      </c>
    </row>
    <row r="827">
      <c r="A827" s="11" t="s">
        <v>858</v>
      </c>
    </row>
    <row r="828">
      <c r="A828" s="11" t="s">
        <v>859</v>
      </c>
    </row>
    <row r="829">
      <c r="A829" s="11" t="s">
        <v>860</v>
      </c>
    </row>
    <row r="830">
      <c r="A830" s="11" t="s">
        <v>861</v>
      </c>
    </row>
    <row r="831">
      <c r="A831" s="11" t="s">
        <v>862</v>
      </c>
    </row>
    <row r="832">
      <c r="A832" s="11" t="s">
        <v>863</v>
      </c>
    </row>
    <row r="833">
      <c r="A833" s="11" t="s">
        <v>864</v>
      </c>
    </row>
    <row r="834">
      <c r="A834" s="11" t="s">
        <v>865</v>
      </c>
    </row>
    <row r="835">
      <c r="A835" s="11" t="s">
        <v>866</v>
      </c>
    </row>
    <row r="836">
      <c r="A836" s="11" t="s">
        <v>867</v>
      </c>
    </row>
    <row r="837">
      <c r="A837" s="11" t="s">
        <v>868</v>
      </c>
    </row>
    <row r="838">
      <c r="A838" s="11" t="s">
        <v>869</v>
      </c>
    </row>
    <row r="839">
      <c r="A839" s="11" t="s">
        <v>870</v>
      </c>
    </row>
    <row r="840">
      <c r="A840" s="11" t="s">
        <v>871</v>
      </c>
    </row>
    <row r="841">
      <c r="A841" s="11" t="s">
        <v>872</v>
      </c>
    </row>
    <row r="842">
      <c r="A842" s="11" t="s">
        <v>873</v>
      </c>
    </row>
    <row r="843">
      <c r="A843" s="11" t="s">
        <v>874</v>
      </c>
    </row>
    <row r="844">
      <c r="A844" s="11" t="s">
        <v>875</v>
      </c>
    </row>
    <row r="845">
      <c r="A845" s="11" t="s">
        <v>876</v>
      </c>
    </row>
    <row r="846">
      <c r="A846" s="11" t="s">
        <v>877</v>
      </c>
    </row>
    <row r="847">
      <c r="A847" s="11" t="s">
        <v>878</v>
      </c>
    </row>
    <row r="848">
      <c r="A848" s="11" t="s">
        <v>879</v>
      </c>
    </row>
    <row r="849">
      <c r="A849" s="11" t="s">
        <v>880</v>
      </c>
    </row>
    <row r="850">
      <c r="A850" s="11" t="s">
        <v>881</v>
      </c>
    </row>
    <row r="851">
      <c r="A851" s="11" t="s">
        <v>882</v>
      </c>
    </row>
    <row r="852">
      <c r="A852" s="11" t="s">
        <v>883</v>
      </c>
    </row>
    <row r="853">
      <c r="A853" s="11" t="s">
        <v>884</v>
      </c>
    </row>
    <row r="854">
      <c r="A854" s="11" t="s">
        <v>885</v>
      </c>
    </row>
    <row r="855">
      <c r="A855" s="11" t="s">
        <v>886</v>
      </c>
    </row>
    <row r="856">
      <c r="A856" s="11" t="s">
        <v>887</v>
      </c>
    </row>
    <row r="857">
      <c r="A857" s="11" t="s">
        <v>888</v>
      </c>
    </row>
    <row r="858">
      <c r="A858" s="11" t="s">
        <v>889</v>
      </c>
    </row>
    <row r="859">
      <c r="A859" s="11" t="s">
        <v>890</v>
      </c>
    </row>
    <row r="860">
      <c r="A860" s="11" t="s">
        <v>891</v>
      </c>
    </row>
    <row r="861">
      <c r="A861" s="11" t="s">
        <v>892</v>
      </c>
    </row>
    <row r="862">
      <c r="A862" s="11" t="s">
        <v>893</v>
      </c>
    </row>
    <row r="863">
      <c r="A863" s="11" t="s">
        <v>894</v>
      </c>
    </row>
    <row r="864">
      <c r="A864" s="11" t="s">
        <v>895</v>
      </c>
    </row>
    <row r="865">
      <c r="A865" s="11" t="s">
        <v>896</v>
      </c>
    </row>
    <row r="866">
      <c r="A866" s="11" t="s">
        <v>897</v>
      </c>
    </row>
    <row r="867">
      <c r="A867" s="11" t="s">
        <v>898</v>
      </c>
    </row>
    <row r="868">
      <c r="A868" s="11" t="s">
        <v>899</v>
      </c>
    </row>
    <row r="869">
      <c r="A869" s="11" t="s">
        <v>900</v>
      </c>
    </row>
    <row r="870">
      <c r="A870" s="11" t="s">
        <v>901</v>
      </c>
    </row>
    <row r="871">
      <c r="A871" s="11" t="s">
        <v>902</v>
      </c>
    </row>
    <row r="872">
      <c r="A872" s="11" t="s">
        <v>903</v>
      </c>
    </row>
    <row r="873">
      <c r="A873" s="11" t="s">
        <v>904</v>
      </c>
    </row>
    <row r="874">
      <c r="A874" s="11" t="s">
        <v>905</v>
      </c>
    </row>
    <row r="875">
      <c r="A875" s="11" t="s">
        <v>906</v>
      </c>
    </row>
    <row r="876">
      <c r="A876" s="11" t="s">
        <v>907</v>
      </c>
    </row>
    <row r="877">
      <c r="A877" s="11" t="s">
        <v>908</v>
      </c>
    </row>
    <row r="878">
      <c r="A878" s="11" t="s">
        <v>909</v>
      </c>
    </row>
    <row r="879">
      <c r="A879" s="11" t="s">
        <v>910</v>
      </c>
    </row>
    <row r="880">
      <c r="A880" s="11" t="s">
        <v>911</v>
      </c>
    </row>
    <row r="881">
      <c r="A881" s="11" t="s">
        <v>912</v>
      </c>
    </row>
    <row r="882">
      <c r="A882" s="11" t="s">
        <v>913</v>
      </c>
    </row>
    <row r="883">
      <c r="A883" s="11" t="s">
        <v>914</v>
      </c>
    </row>
    <row r="884">
      <c r="A884" s="11" t="s">
        <v>915</v>
      </c>
    </row>
    <row r="885">
      <c r="A885" s="11" t="s">
        <v>916</v>
      </c>
    </row>
    <row r="886">
      <c r="A886" s="11" t="s">
        <v>917</v>
      </c>
    </row>
    <row r="887">
      <c r="A887" s="11" t="s">
        <v>918</v>
      </c>
    </row>
    <row r="888">
      <c r="A888" s="11" t="s">
        <v>919</v>
      </c>
    </row>
    <row r="889">
      <c r="A889" s="11" t="s">
        <v>920</v>
      </c>
    </row>
    <row r="890">
      <c r="A890" s="11" t="s">
        <v>921</v>
      </c>
    </row>
    <row r="891">
      <c r="A891" s="11" t="s">
        <v>922</v>
      </c>
    </row>
    <row r="892">
      <c r="A892" s="11" t="s">
        <v>923</v>
      </c>
    </row>
    <row r="893">
      <c r="A893" s="11" t="s">
        <v>924</v>
      </c>
    </row>
    <row r="894">
      <c r="A894" s="11" t="s">
        <v>925</v>
      </c>
    </row>
    <row r="895">
      <c r="A895" s="11" t="s">
        <v>926</v>
      </c>
    </row>
    <row r="896">
      <c r="A896" s="11" t="s">
        <v>927</v>
      </c>
    </row>
    <row r="897">
      <c r="A897" s="11" t="s">
        <v>928</v>
      </c>
    </row>
    <row r="898">
      <c r="A898" s="11" t="s">
        <v>929</v>
      </c>
    </row>
    <row r="899">
      <c r="A899" s="11" t="s">
        <v>930</v>
      </c>
    </row>
    <row r="900">
      <c r="A900" s="11" t="s">
        <v>931</v>
      </c>
    </row>
    <row r="901">
      <c r="A901" s="11" t="s">
        <v>932</v>
      </c>
    </row>
    <row r="902">
      <c r="A902" s="11" t="s">
        <v>933</v>
      </c>
    </row>
    <row r="903">
      <c r="A903" s="11" t="s">
        <v>934</v>
      </c>
    </row>
    <row r="904">
      <c r="A904" s="11" t="s">
        <v>935</v>
      </c>
    </row>
    <row r="905">
      <c r="A905" s="11" t="s">
        <v>936</v>
      </c>
    </row>
    <row r="906">
      <c r="A906" s="11" t="s">
        <v>937</v>
      </c>
    </row>
    <row r="907">
      <c r="A907" s="11" t="s">
        <v>938</v>
      </c>
    </row>
    <row r="908">
      <c r="A908" s="11" t="s">
        <v>939</v>
      </c>
    </row>
    <row r="909">
      <c r="A909" s="11" t="s">
        <v>940</v>
      </c>
    </row>
    <row r="910">
      <c r="A910" s="11" t="s">
        <v>941</v>
      </c>
    </row>
    <row r="911">
      <c r="A911" s="11" t="s">
        <v>942</v>
      </c>
    </row>
    <row r="912">
      <c r="A912" s="11" t="s">
        <v>943</v>
      </c>
    </row>
    <row r="913">
      <c r="A913" s="11" t="s">
        <v>944</v>
      </c>
    </row>
    <row r="914">
      <c r="A914" s="11" t="s">
        <v>945</v>
      </c>
    </row>
    <row r="915">
      <c r="A915" s="11" t="s">
        <v>946</v>
      </c>
    </row>
    <row r="916">
      <c r="A916" s="11" t="s">
        <v>947</v>
      </c>
    </row>
    <row r="917">
      <c r="A917" s="11" t="s">
        <v>948</v>
      </c>
    </row>
    <row r="918">
      <c r="A918" s="11" t="s">
        <v>949</v>
      </c>
    </row>
    <row r="919">
      <c r="A919" s="11" t="s">
        <v>950</v>
      </c>
    </row>
    <row r="920">
      <c r="A920" s="11" t="s">
        <v>951</v>
      </c>
    </row>
    <row r="921">
      <c r="A921" s="11" t="s">
        <v>952</v>
      </c>
    </row>
    <row r="922">
      <c r="A922" s="11" t="s">
        <v>953</v>
      </c>
    </row>
    <row r="923">
      <c r="A923" s="11" t="s">
        <v>954</v>
      </c>
    </row>
    <row r="924">
      <c r="A924" s="11" t="s">
        <v>955</v>
      </c>
    </row>
    <row r="925">
      <c r="A925" s="11" t="s">
        <v>956</v>
      </c>
    </row>
    <row r="926">
      <c r="A926" s="11" t="s">
        <v>957</v>
      </c>
    </row>
    <row r="927">
      <c r="A927" s="11" t="s">
        <v>958</v>
      </c>
    </row>
    <row r="928">
      <c r="A928" s="11" t="s">
        <v>959</v>
      </c>
    </row>
    <row r="929">
      <c r="A929" s="11" t="s">
        <v>960</v>
      </c>
    </row>
    <row r="930">
      <c r="A930" s="11" t="s">
        <v>961</v>
      </c>
    </row>
    <row r="931">
      <c r="A931" s="11" t="s">
        <v>962</v>
      </c>
    </row>
    <row r="932">
      <c r="A932" s="11" t="s">
        <v>963</v>
      </c>
    </row>
    <row r="933">
      <c r="A933" s="11" t="s">
        <v>964</v>
      </c>
    </row>
    <row r="934">
      <c r="A934" s="11" t="s">
        <v>965</v>
      </c>
    </row>
    <row r="935">
      <c r="A935" s="11" t="s">
        <v>966</v>
      </c>
    </row>
    <row r="936">
      <c r="A936" s="11" t="s">
        <v>967</v>
      </c>
    </row>
    <row r="937">
      <c r="A937" s="11" t="s">
        <v>968</v>
      </c>
    </row>
    <row r="938">
      <c r="A938" s="11" t="s">
        <v>969</v>
      </c>
    </row>
    <row r="939">
      <c r="A939" s="11" t="s">
        <v>970</v>
      </c>
    </row>
    <row r="940">
      <c r="A940" s="11" t="s">
        <v>971</v>
      </c>
    </row>
    <row r="941">
      <c r="A941" s="11" t="s">
        <v>972</v>
      </c>
    </row>
    <row r="942">
      <c r="A942" s="11" t="s">
        <v>973</v>
      </c>
    </row>
    <row r="943">
      <c r="A943" s="11" t="s">
        <v>974</v>
      </c>
    </row>
    <row r="944">
      <c r="A944" s="11" t="s">
        <v>975</v>
      </c>
    </row>
    <row r="945">
      <c r="A945" s="11" t="s">
        <v>976</v>
      </c>
    </row>
    <row r="946">
      <c r="A946" s="11" t="s">
        <v>977</v>
      </c>
    </row>
    <row r="947">
      <c r="A947" s="11" t="s">
        <v>978</v>
      </c>
    </row>
    <row r="948">
      <c r="A948" s="11" t="s">
        <v>979</v>
      </c>
    </row>
    <row r="949">
      <c r="A949" s="11" t="s">
        <v>980</v>
      </c>
    </row>
    <row r="950">
      <c r="A950" s="11" t="s">
        <v>981</v>
      </c>
    </row>
    <row r="951">
      <c r="A951" s="11" t="s">
        <v>982</v>
      </c>
    </row>
    <row r="952">
      <c r="A952" s="11" t="s">
        <v>983</v>
      </c>
    </row>
    <row r="953">
      <c r="A953" s="11" t="s">
        <v>984</v>
      </c>
    </row>
    <row r="954">
      <c r="A954" s="11" t="s">
        <v>985</v>
      </c>
    </row>
    <row r="955">
      <c r="A955" s="11" t="s">
        <v>986</v>
      </c>
    </row>
    <row r="956">
      <c r="A956" s="11" t="s">
        <v>987</v>
      </c>
    </row>
    <row r="957">
      <c r="A957" s="11" t="s">
        <v>988</v>
      </c>
    </row>
    <row r="958">
      <c r="A958" s="11" t="s">
        <v>989</v>
      </c>
    </row>
    <row r="959">
      <c r="A959" s="11" t="s">
        <v>990</v>
      </c>
    </row>
    <row r="960">
      <c r="A960" s="11" t="s">
        <v>991</v>
      </c>
    </row>
    <row r="961">
      <c r="A961" s="11" t="s">
        <v>992</v>
      </c>
    </row>
    <row r="962">
      <c r="A962" s="11" t="s">
        <v>993</v>
      </c>
    </row>
    <row r="963">
      <c r="A963" s="11" t="s">
        <v>994</v>
      </c>
    </row>
    <row r="964">
      <c r="A964" s="11" t="s">
        <v>995</v>
      </c>
    </row>
    <row r="965">
      <c r="A965" s="11" t="s">
        <v>996</v>
      </c>
    </row>
    <row r="966">
      <c r="A966" s="11" t="s">
        <v>997</v>
      </c>
    </row>
    <row r="967">
      <c r="A967" s="11" t="s">
        <v>998</v>
      </c>
    </row>
    <row r="968">
      <c r="A968" s="11" t="s">
        <v>999</v>
      </c>
    </row>
    <row r="969">
      <c r="A969" s="11" t="s">
        <v>1000</v>
      </c>
    </row>
    <row r="970">
      <c r="A970" s="11" t="s">
        <v>1001</v>
      </c>
    </row>
    <row r="971">
      <c r="A971" s="11" t="s">
        <v>1002</v>
      </c>
    </row>
    <row r="972">
      <c r="A972" s="11" t="s">
        <v>1003</v>
      </c>
    </row>
    <row r="973">
      <c r="A973" s="11" t="s">
        <v>1004</v>
      </c>
    </row>
    <row r="974">
      <c r="A974" s="11" t="s">
        <v>1005</v>
      </c>
    </row>
    <row r="975">
      <c r="A975" s="11" t="s">
        <v>1006</v>
      </c>
    </row>
    <row r="976">
      <c r="A976" s="11" t="s">
        <v>1007</v>
      </c>
    </row>
    <row r="977">
      <c r="A977" s="11" t="s">
        <v>1008</v>
      </c>
    </row>
    <row r="978">
      <c r="A978" s="11" t="s">
        <v>1009</v>
      </c>
    </row>
    <row r="979">
      <c r="A979" s="11" t="s">
        <v>1010</v>
      </c>
    </row>
    <row r="980">
      <c r="A980" s="11" t="s">
        <v>1011</v>
      </c>
    </row>
    <row r="981">
      <c r="A981" s="11" t="s">
        <v>1012</v>
      </c>
    </row>
    <row r="982">
      <c r="A982" s="11" t="s">
        <v>1013</v>
      </c>
    </row>
    <row r="983">
      <c r="A983" s="11" t="s">
        <v>1014</v>
      </c>
    </row>
    <row r="984">
      <c r="A984" s="11" t="s">
        <v>1015</v>
      </c>
    </row>
    <row r="985">
      <c r="A985" s="11" t="s">
        <v>1016</v>
      </c>
    </row>
    <row r="986">
      <c r="A986" s="11" t="s">
        <v>1017</v>
      </c>
    </row>
    <row r="987">
      <c r="A987" s="11" t="s">
        <v>1018</v>
      </c>
    </row>
    <row r="988">
      <c r="A988" s="11" t="s">
        <v>1019</v>
      </c>
    </row>
    <row r="989">
      <c r="A989" s="11" t="s">
        <v>1020</v>
      </c>
    </row>
    <row r="990">
      <c r="A990" s="11" t="s">
        <v>1021</v>
      </c>
    </row>
    <row r="991">
      <c r="A991" s="11" t="s">
        <v>1022</v>
      </c>
    </row>
    <row r="992">
      <c r="A992" s="11" t="s">
        <v>1023</v>
      </c>
    </row>
    <row r="993">
      <c r="A993" s="11" t="s">
        <v>1024</v>
      </c>
    </row>
    <row r="994">
      <c r="A994" s="11" t="s">
        <v>1025</v>
      </c>
    </row>
    <row r="995">
      <c r="A995" s="11" t="s">
        <v>1026</v>
      </c>
    </row>
    <row r="996">
      <c r="A996" s="11" t="s">
        <v>1027</v>
      </c>
    </row>
    <row r="997">
      <c r="A997" s="11" t="s">
        <v>1028</v>
      </c>
    </row>
    <row r="998">
      <c r="A998" s="11" t="s">
        <v>1029</v>
      </c>
    </row>
    <row r="999">
      <c r="A999" s="11" t="s">
        <v>1030</v>
      </c>
    </row>
    <row r="1000">
      <c r="A1000" s="11" t="s">
        <v>1031</v>
      </c>
    </row>
    <row r="1001">
      <c r="A1001" s="11" t="s">
        <v>1032</v>
      </c>
    </row>
    <row r="1002">
      <c r="A1002" s="11" t="s">
        <v>1033</v>
      </c>
    </row>
    <row r="1003">
      <c r="A1003" s="11" t="s">
        <v>1034</v>
      </c>
    </row>
    <row r="1004">
      <c r="A1004" s="11" t="s">
        <v>1035</v>
      </c>
    </row>
    <row r="1005">
      <c r="A1005" s="11" t="s">
        <v>1036</v>
      </c>
    </row>
    <row r="1006">
      <c r="A1006" s="11" t="s">
        <v>1037</v>
      </c>
    </row>
    <row r="1007">
      <c r="A1007" s="11" t="s">
        <v>1038</v>
      </c>
    </row>
    <row r="1008">
      <c r="A1008" s="11" t="s">
        <v>1039</v>
      </c>
    </row>
    <row r="1009">
      <c r="A1009" s="11" t="s">
        <v>1040</v>
      </c>
    </row>
    <row r="1010">
      <c r="A1010" s="11" t="s">
        <v>1041</v>
      </c>
    </row>
    <row r="1011">
      <c r="A1011" s="11" t="s">
        <v>1042</v>
      </c>
    </row>
    <row r="1012">
      <c r="A1012" s="11" t="s">
        <v>1043</v>
      </c>
    </row>
    <row r="1013">
      <c r="A1013" s="11" t="s">
        <v>1044</v>
      </c>
    </row>
    <row r="1014">
      <c r="A1014" s="11" t="s">
        <v>1045</v>
      </c>
    </row>
    <row r="1015">
      <c r="A1015" s="11" t="s">
        <v>1046</v>
      </c>
    </row>
    <row r="1016">
      <c r="A1016" s="11" t="s">
        <v>1047</v>
      </c>
    </row>
    <row r="1017">
      <c r="A1017" s="11" t="s">
        <v>1048</v>
      </c>
    </row>
    <row r="1018">
      <c r="A1018" s="11" t="s">
        <v>1049</v>
      </c>
    </row>
    <row r="1019">
      <c r="A1019" s="11" t="s">
        <v>1050</v>
      </c>
    </row>
    <row r="1020">
      <c r="A1020" s="11" t="s">
        <v>1051</v>
      </c>
    </row>
    <row r="1021">
      <c r="A1021" s="11" t="s">
        <v>1052</v>
      </c>
    </row>
    <row r="1022">
      <c r="A1022" s="11" t="s">
        <v>1053</v>
      </c>
    </row>
    <row r="1023">
      <c r="A1023" s="11" t="s">
        <v>1054</v>
      </c>
    </row>
    <row r="1024">
      <c r="A1024" s="11" t="s">
        <v>1055</v>
      </c>
    </row>
    <row r="1025">
      <c r="A1025" s="11" t="s">
        <v>1056</v>
      </c>
    </row>
    <row r="1026">
      <c r="A1026" s="11" t="s">
        <v>1057</v>
      </c>
    </row>
    <row r="1027">
      <c r="A1027" s="11" t="s">
        <v>1058</v>
      </c>
    </row>
    <row r="1028">
      <c r="A1028" s="11" t="s">
        <v>1059</v>
      </c>
    </row>
    <row r="1029">
      <c r="A1029" s="11" t="s">
        <v>1060</v>
      </c>
    </row>
    <row r="1030">
      <c r="A1030" s="11" t="s">
        <v>1061</v>
      </c>
    </row>
    <row r="1031">
      <c r="A1031" s="11" t="s">
        <v>1062</v>
      </c>
    </row>
    <row r="1032">
      <c r="A1032" s="11" t="s">
        <v>1063</v>
      </c>
    </row>
    <row r="1033">
      <c r="A1033" s="11" t="s">
        <v>1064</v>
      </c>
    </row>
    <row r="1034">
      <c r="A1034" s="11" t="s">
        <v>1065</v>
      </c>
    </row>
    <row r="1035">
      <c r="A1035" s="11" t="s">
        <v>1066</v>
      </c>
    </row>
    <row r="1036">
      <c r="A1036" s="11" t="s">
        <v>1067</v>
      </c>
    </row>
    <row r="1037">
      <c r="A1037" s="11" t="s">
        <v>1068</v>
      </c>
    </row>
    <row r="1038">
      <c r="A1038" s="11" t="s">
        <v>1069</v>
      </c>
    </row>
    <row r="1039">
      <c r="A1039" s="11" t="s">
        <v>1070</v>
      </c>
    </row>
    <row r="1040">
      <c r="A1040" s="11" t="s">
        <v>1071</v>
      </c>
    </row>
    <row r="1041">
      <c r="A1041" s="11" t="s">
        <v>1072</v>
      </c>
    </row>
    <row r="1042">
      <c r="A1042" s="11" t="s">
        <v>1073</v>
      </c>
    </row>
    <row r="1043">
      <c r="A1043" s="11" t="s">
        <v>1074</v>
      </c>
    </row>
    <row r="1044">
      <c r="A1044" s="11" t="s">
        <v>1075</v>
      </c>
    </row>
    <row r="1045">
      <c r="A1045" s="11" t="s">
        <v>1076</v>
      </c>
    </row>
    <row r="1046">
      <c r="A1046" s="11" t="s">
        <v>1077</v>
      </c>
    </row>
    <row r="1047">
      <c r="A1047" s="11" t="s">
        <v>1078</v>
      </c>
    </row>
    <row r="1048">
      <c r="A1048" s="11" t="s">
        <v>1079</v>
      </c>
    </row>
    <row r="1049">
      <c r="A1049" s="11" t="s">
        <v>1080</v>
      </c>
    </row>
    <row r="1050">
      <c r="A1050" s="11" t="s">
        <v>1081</v>
      </c>
    </row>
    <row r="1051">
      <c r="A1051" s="11" t="s">
        <v>1082</v>
      </c>
    </row>
    <row r="1052">
      <c r="A1052" s="11" t="s">
        <v>1083</v>
      </c>
    </row>
    <row r="1053">
      <c r="A1053" s="11" t="s">
        <v>1084</v>
      </c>
    </row>
    <row r="1054">
      <c r="A1054" s="11" t="s">
        <v>1085</v>
      </c>
    </row>
    <row r="1055">
      <c r="A1055" s="11" t="s">
        <v>1086</v>
      </c>
    </row>
    <row r="1056">
      <c r="A1056" s="11" t="s">
        <v>1087</v>
      </c>
    </row>
    <row r="1057">
      <c r="A1057" s="11" t="s">
        <v>1088</v>
      </c>
    </row>
    <row r="1058">
      <c r="A1058" s="11" t="s">
        <v>1089</v>
      </c>
    </row>
    <row r="1059">
      <c r="A1059" s="11" t="s">
        <v>1090</v>
      </c>
    </row>
    <row r="1060">
      <c r="A1060" s="11" t="s">
        <v>1091</v>
      </c>
    </row>
    <row r="1061">
      <c r="A1061" s="11" t="s">
        <v>1092</v>
      </c>
    </row>
    <row r="1062">
      <c r="A1062" s="11" t="s">
        <v>1093</v>
      </c>
    </row>
    <row r="1063">
      <c r="A1063" s="11" t="s">
        <v>1094</v>
      </c>
    </row>
    <row r="1064">
      <c r="A1064" s="11" t="s">
        <v>1095</v>
      </c>
    </row>
    <row r="1065">
      <c r="A1065" s="11" t="s">
        <v>1096</v>
      </c>
    </row>
    <row r="1066">
      <c r="A1066" s="11" t="s">
        <v>1097</v>
      </c>
    </row>
    <row r="1067">
      <c r="A1067" s="11" t="s">
        <v>1098</v>
      </c>
    </row>
    <row r="1068">
      <c r="A1068" s="11" t="s">
        <v>1099</v>
      </c>
    </row>
    <row r="1069">
      <c r="A1069" s="11" t="s">
        <v>1100</v>
      </c>
    </row>
    <row r="1070">
      <c r="A1070" s="11" t="s">
        <v>1101</v>
      </c>
    </row>
    <row r="1071">
      <c r="A1071" s="11" t="s">
        <v>1102</v>
      </c>
    </row>
    <row r="1072">
      <c r="A1072" s="11" t="s">
        <v>1103</v>
      </c>
    </row>
    <row r="1073">
      <c r="A1073" s="11" t="s">
        <v>1104</v>
      </c>
    </row>
    <row r="1074">
      <c r="A1074" s="11" t="s">
        <v>1105</v>
      </c>
    </row>
    <row r="1075">
      <c r="A1075" s="11" t="s">
        <v>1106</v>
      </c>
    </row>
    <row r="1076">
      <c r="A1076" s="11" t="s">
        <v>1107</v>
      </c>
    </row>
    <row r="1077">
      <c r="A1077" s="11" t="s">
        <v>1108</v>
      </c>
    </row>
    <row r="1078">
      <c r="A1078" s="11" t="s">
        <v>1109</v>
      </c>
    </row>
    <row r="1079">
      <c r="A1079" s="11" t="s">
        <v>1110</v>
      </c>
    </row>
    <row r="1080">
      <c r="A1080" s="11" t="s">
        <v>1111</v>
      </c>
    </row>
    <row r="1081">
      <c r="A1081" s="11" t="s">
        <v>1112</v>
      </c>
    </row>
    <row r="1082">
      <c r="A1082" s="11" t="s">
        <v>1113</v>
      </c>
    </row>
    <row r="1083">
      <c r="A1083" s="11" t="s">
        <v>1114</v>
      </c>
    </row>
    <row r="1084">
      <c r="A1084" s="11" t="s">
        <v>1115</v>
      </c>
    </row>
    <row r="1085">
      <c r="A1085" s="11" t="s">
        <v>1116</v>
      </c>
    </row>
    <row r="1086">
      <c r="A1086" s="11" t="s">
        <v>1117</v>
      </c>
    </row>
    <row r="1087">
      <c r="A1087" s="11" t="s">
        <v>1118</v>
      </c>
    </row>
    <row r="1088">
      <c r="A1088" s="11" t="s">
        <v>1119</v>
      </c>
    </row>
    <row r="1089">
      <c r="A1089" s="11" t="s">
        <v>1120</v>
      </c>
    </row>
    <row r="1090">
      <c r="A1090" s="11" t="s">
        <v>1121</v>
      </c>
    </row>
    <row r="1091">
      <c r="A1091" s="11" t="s">
        <v>1122</v>
      </c>
    </row>
    <row r="1092">
      <c r="A1092" s="11" t="s">
        <v>1123</v>
      </c>
    </row>
    <row r="1093">
      <c r="A1093" s="11" t="s">
        <v>1124</v>
      </c>
    </row>
    <row r="1094">
      <c r="A1094" s="11" t="s">
        <v>1125</v>
      </c>
    </row>
    <row r="1095">
      <c r="A1095" s="11" t="s">
        <v>1126</v>
      </c>
    </row>
    <row r="1096">
      <c r="A1096" s="11" t="s">
        <v>1127</v>
      </c>
    </row>
    <row r="1097">
      <c r="A1097" s="11" t="s">
        <v>1128</v>
      </c>
    </row>
    <row r="1098">
      <c r="A1098" s="11" t="s">
        <v>1129</v>
      </c>
    </row>
    <row r="1099">
      <c r="A1099" s="11" t="s">
        <v>1130</v>
      </c>
    </row>
    <row r="1100">
      <c r="A1100" s="11" t="s">
        <v>1131</v>
      </c>
    </row>
    <row r="1101">
      <c r="A1101" s="11" t="s">
        <v>1132</v>
      </c>
    </row>
    <row r="1102">
      <c r="A1102" s="11" t="s">
        <v>1133</v>
      </c>
    </row>
    <row r="1103">
      <c r="A1103" s="11" t="s">
        <v>1134</v>
      </c>
    </row>
    <row r="1104">
      <c r="A1104" s="11" t="s">
        <v>1135</v>
      </c>
    </row>
    <row r="1105">
      <c r="A1105" s="11" t="s">
        <v>1136</v>
      </c>
    </row>
    <row r="1106">
      <c r="A1106" s="11" t="s">
        <v>1137</v>
      </c>
    </row>
    <row r="1107">
      <c r="A1107" s="11" t="s">
        <v>1138</v>
      </c>
    </row>
    <row r="1108">
      <c r="A1108" s="11" t="s">
        <v>1139</v>
      </c>
    </row>
    <row r="1109">
      <c r="A1109" s="11" t="s">
        <v>1140</v>
      </c>
    </row>
    <row r="1110">
      <c r="A1110" s="11" t="s">
        <v>1141</v>
      </c>
    </row>
    <row r="1111">
      <c r="A1111" s="11" t="s">
        <v>1142</v>
      </c>
    </row>
    <row r="1112">
      <c r="A1112" s="11" t="s">
        <v>1143</v>
      </c>
    </row>
    <row r="1113">
      <c r="A1113" s="11" t="s">
        <v>1144</v>
      </c>
    </row>
    <row r="1114">
      <c r="A1114" s="11" t="s">
        <v>1145</v>
      </c>
    </row>
    <row r="1115">
      <c r="A1115" s="11" t="s">
        <v>1146</v>
      </c>
    </row>
    <row r="1116">
      <c r="A1116" s="11" t="s">
        <v>1147</v>
      </c>
    </row>
    <row r="1117">
      <c r="A1117" s="11" t="s">
        <v>1148</v>
      </c>
    </row>
    <row r="1118">
      <c r="A1118" s="11" t="s">
        <v>1149</v>
      </c>
    </row>
    <row r="1119">
      <c r="A1119" s="11" t="s">
        <v>1150</v>
      </c>
    </row>
    <row r="1120">
      <c r="A1120" s="11" t="s">
        <v>1151</v>
      </c>
    </row>
    <row r="1121">
      <c r="A1121" s="11" t="s">
        <v>1152</v>
      </c>
    </row>
    <row r="1122">
      <c r="A1122" s="11" t="s">
        <v>1153</v>
      </c>
    </row>
    <row r="1123">
      <c r="A1123" s="11" t="s">
        <v>1154</v>
      </c>
    </row>
    <row r="1124">
      <c r="A1124" s="11" t="s">
        <v>1155</v>
      </c>
    </row>
    <row r="1125">
      <c r="A1125" s="11" t="s">
        <v>1156</v>
      </c>
    </row>
    <row r="1126">
      <c r="A1126" s="11" t="s">
        <v>1157</v>
      </c>
    </row>
    <row r="1127">
      <c r="A1127" s="11" t="s">
        <v>1158</v>
      </c>
    </row>
    <row r="1128">
      <c r="A1128" s="11" t="s">
        <v>1159</v>
      </c>
    </row>
    <row r="1129">
      <c r="A1129" s="11" t="s">
        <v>1160</v>
      </c>
    </row>
    <row r="1130">
      <c r="A1130" s="11" t="s">
        <v>1161</v>
      </c>
    </row>
    <row r="1131">
      <c r="A1131" s="11" t="s">
        <v>1162</v>
      </c>
    </row>
    <row r="1132">
      <c r="A1132" s="11" t="s">
        <v>1163</v>
      </c>
    </row>
    <row r="1133">
      <c r="A1133" s="11" t="s">
        <v>1164</v>
      </c>
    </row>
    <row r="1134">
      <c r="A1134" s="11" t="s">
        <v>1165</v>
      </c>
    </row>
    <row r="1135">
      <c r="A1135" s="11" t="s">
        <v>1166</v>
      </c>
    </row>
    <row r="1136">
      <c r="A1136" s="11" t="s">
        <v>1167</v>
      </c>
    </row>
    <row r="1137">
      <c r="A1137" s="11" t="s">
        <v>1168</v>
      </c>
    </row>
    <row r="1138">
      <c r="A1138" s="11" t="s">
        <v>1169</v>
      </c>
    </row>
    <row r="1139">
      <c r="A1139" s="11" t="s">
        <v>1170</v>
      </c>
    </row>
    <row r="1140">
      <c r="A1140" s="11" t="s">
        <v>1171</v>
      </c>
    </row>
    <row r="1141">
      <c r="A1141" s="11" t="s">
        <v>1172</v>
      </c>
    </row>
    <row r="1142">
      <c r="A1142" s="11" t="s">
        <v>1173</v>
      </c>
    </row>
    <row r="1143">
      <c r="A1143" s="11" t="s">
        <v>1174</v>
      </c>
    </row>
    <row r="1144">
      <c r="A1144" s="11" t="s">
        <v>1175</v>
      </c>
    </row>
    <row r="1145">
      <c r="A1145" s="11" t="s">
        <v>1176</v>
      </c>
    </row>
    <row r="1146">
      <c r="A1146" s="11" t="s">
        <v>1177</v>
      </c>
    </row>
    <row r="1147">
      <c r="A1147" s="11" t="s">
        <v>1178</v>
      </c>
    </row>
    <row r="1148">
      <c r="A1148" s="11" t="s">
        <v>1179</v>
      </c>
    </row>
    <row r="1149">
      <c r="A1149" s="11" t="s">
        <v>1180</v>
      </c>
    </row>
    <row r="1150">
      <c r="A1150" s="11" t="s">
        <v>1181</v>
      </c>
    </row>
    <row r="1151">
      <c r="A1151" s="11" t="s">
        <v>1182</v>
      </c>
    </row>
    <row r="1152">
      <c r="A1152" s="11" t="s">
        <v>1183</v>
      </c>
    </row>
    <row r="1153">
      <c r="A1153" s="11" t="s">
        <v>1184</v>
      </c>
    </row>
    <row r="1154">
      <c r="A1154" s="11" t="s">
        <v>1185</v>
      </c>
    </row>
    <row r="1155">
      <c r="A1155" s="11" t="s">
        <v>1186</v>
      </c>
    </row>
    <row r="1156">
      <c r="A1156" s="11" t="s">
        <v>1187</v>
      </c>
    </row>
    <row r="1157">
      <c r="A1157" s="11" t="s">
        <v>1188</v>
      </c>
    </row>
    <row r="1158">
      <c r="A1158" s="11" t="s">
        <v>1189</v>
      </c>
    </row>
    <row r="1159">
      <c r="A1159" s="11" t="s">
        <v>1190</v>
      </c>
    </row>
    <row r="1160">
      <c r="A1160" s="11" t="s">
        <v>1191</v>
      </c>
    </row>
    <row r="1161">
      <c r="A1161" s="11" t="s">
        <v>1192</v>
      </c>
    </row>
    <row r="1162">
      <c r="A1162" s="11" t="s">
        <v>1193</v>
      </c>
    </row>
    <row r="1163">
      <c r="A1163" s="11" t="s">
        <v>1194</v>
      </c>
    </row>
    <row r="1164">
      <c r="A1164" s="11" t="s">
        <v>1195</v>
      </c>
    </row>
    <row r="1165">
      <c r="A1165" s="11" t="s">
        <v>1196</v>
      </c>
    </row>
    <row r="1166">
      <c r="A1166" s="11" t="s">
        <v>1197</v>
      </c>
    </row>
    <row r="1167">
      <c r="A1167" s="11" t="s">
        <v>1198</v>
      </c>
    </row>
    <row r="1168">
      <c r="A1168" s="11" t="s">
        <v>1199</v>
      </c>
    </row>
    <row r="1169">
      <c r="A1169" s="11" t="s">
        <v>1200</v>
      </c>
    </row>
    <row r="1170">
      <c r="A1170" s="11" t="s">
        <v>1201</v>
      </c>
    </row>
    <row r="1171">
      <c r="A1171" s="11" t="s">
        <v>1202</v>
      </c>
    </row>
    <row r="1172">
      <c r="A1172" s="11" t="s">
        <v>1203</v>
      </c>
    </row>
    <row r="1173">
      <c r="A1173" s="11" t="s">
        <v>1204</v>
      </c>
    </row>
    <row r="1174">
      <c r="A1174" s="11" t="s">
        <v>1205</v>
      </c>
    </row>
    <row r="1175">
      <c r="A1175" s="11" t="s">
        <v>1206</v>
      </c>
    </row>
    <row r="1176">
      <c r="A1176" s="11" t="s">
        <v>1207</v>
      </c>
    </row>
    <row r="1177">
      <c r="A1177" s="11" t="s">
        <v>1208</v>
      </c>
    </row>
    <row r="1178">
      <c r="A1178" s="11" t="s">
        <v>1209</v>
      </c>
    </row>
    <row r="1179">
      <c r="A1179" s="11" t="s">
        <v>1210</v>
      </c>
    </row>
    <row r="1180">
      <c r="A1180" s="11" t="s">
        <v>1211</v>
      </c>
    </row>
    <row r="1181">
      <c r="A1181" s="11" t="s">
        <v>1212</v>
      </c>
    </row>
    <row r="1182">
      <c r="A1182" s="11" t="s">
        <v>1213</v>
      </c>
    </row>
    <row r="1183">
      <c r="A1183" s="11" t="s">
        <v>1214</v>
      </c>
    </row>
    <row r="1184">
      <c r="A1184" s="11" t="s">
        <v>1215</v>
      </c>
    </row>
    <row r="1185">
      <c r="A1185" s="11" t="s">
        <v>1216</v>
      </c>
    </row>
    <row r="1186">
      <c r="A1186" s="11" t="s">
        <v>1217</v>
      </c>
    </row>
    <row r="1187">
      <c r="A1187" s="11" t="s">
        <v>1218</v>
      </c>
    </row>
    <row r="1188">
      <c r="A1188" s="11" t="s">
        <v>1219</v>
      </c>
    </row>
    <row r="1189">
      <c r="A1189" s="11" t="s">
        <v>1220</v>
      </c>
    </row>
    <row r="1190">
      <c r="A1190" s="11" t="s">
        <v>1221</v>
      </c>
    </row>
    <row r="1191">
      <c r="A1191" s="11" t="s">
        <v>1222</v>
      </c>
    </row>
    <row r="1192">
      <c r="A1192" s="11" t="s">
        <v>1223</v>
      </c>
    </row>
    <row r="1193">
      <c r="A1193" s="11" t="s">
        <v>1224</v>
      </c>
    </row>
    <row r="1194">
      <c r="A1194" s="11" t="s">
        <v>1225</v>
      </c>
    </row>
    <row r="1195">
      <c r="A1195" s="11" t="s">
        <v>1226</v>
      </c>
    </row>
    <row r="1196">
      <c r="A1196" s="11" t="s">
        <v>1227</v>
      </c>
    </row>
    <row r="1197">
      <c r="A1197" s="11" t="s">
        <v>1228</v>
      </c>
    </row>
    <row r="1198">
      <c r="A1198" s="11" t="s">
        <v>1229</v>
      </c>
    </row>
    <row r="1199">
      <c r="A1199" s="11" t="s">
        <v>1230</v>
      </c>
    </row>
    <row r="1200">
      <c r="A1200" s="11" t="s">
        <v>1231</v>
      </c>
    </row>
    <row r="1201">
      <c r="A1201" s="11" t="s">
        <v>1232</v>
      </c>
    </row>
    <row r="1202">
      <c r="A1202" s="11" t="s">
        <v>1233</v>
      </c>
    </row>
    <row r="1203">
      <c r="A1203" s="11" t="s">
        <v>1234</v>
      </c>
    </row>
    <row r="1204">
      <c r="A1204" s="11" t="s">
        <v>1235</v>
      </c>
    </row>
    <row r="1205">
      <c r="A1205" s="11" t="s">
        <v>1236</v>
      </c>
    </row>
    <row r="1206">
      <c r="A1206" s="11" t="s">
        <v>1237</v>
      </c>
    </row>
    <row r="1207">
      <c r="A1207" s="11" t="s">
        <v>1238</v>
      </c>
    </row>
    <row r="1208">
      <c r="A1208" s="11" t="s">
        <v>1239</v>
      </c>
    </row>
    <row r="1209">
      <c r="A1209" s="11" t="s">
        <v>1240</v>
      </c>
    </row>
    <row r="1210">
      <c r="A1210" s="11" t="s">
        <v>1241</v>
      </c>
    </row>
    <row r="1211">
      <c r="A1211" s="11" t="s">
        <v>1242</v>
      </c>
    </row>
    <row r="1212">
      <c r="A1212" s="11" t="s">
        <v>1243</v>
      </c>
    </row>
    <row r="1213">
      <c r="A1213" s="11" t="s">
        <v>1244</v>
      </c>
    </row>
    <row r="1214">
      <c r="A1214" s="11" t="s">
        <v>1245</v>
      </c>
    </row>
    <row r="1215">
      <c r="A1215" s="11" t="s">
        <v>1246</v>
      </c>
    </row>
    <row r="1216">
      <c r="A1216" s="11" t="s">
        <v>1247</v>
      </c>
    </row>
    <row r="1217">
      <c r="A1217" s="11" t="s">
        <v>1248</v>
      </c>
    </row>
    <row r="1218">
      <c r="A1218" s="11" t="s">
        <v>1249</v>
      </c>
    </row>
    <row r="1219">
      <c r="A1219" s="11" t="s">
        <v>1250</v>
      </c>
    </row>
    <row r="1220">
      <c r="A1220" s="11" t="s">
        <v>1251</v>
      </c>
    </row>
    <row r="1221">
      <c r="A1221" s="11" t="s">
        <v>1252</v>
      </c>
    </row>
    <row r="1222">
      <c r="A1222" s="11" t="s">
        <v>1253</v>
      </c>
    </row>
    <row r="1223">
      <c r="A1223" s="11" t="s">
        <v>1254</v>
      </c>
    </row>
    <row r="1224">
      <c r="A1224" s="11" t="s">
        <v>1255</v>
      </c>
    </row>
    <row r="1225">
      <c r="A1225" s="11" t="s">
        <v>1256</v>
      </c>
    </row>
    <row r="1226">
      <c r="A1226" s="11" t="s">
        <v>1257</v>
      </c>
    </row>
    <row r="1227">
      <c r="A1227" s="11" t="s">
        <v>1258</v>
      </c>
    </row>
    <row r="1228">
      <c r="A1228" s="11" t="s">
        <v>1259</v>
      </c>
    </row>
    <row r="1229">
      <c r="A1229" s="11" t="s">
        <v>1260</v>
      </c>
    </row>
    <row r="1230">
      <c r="A1230" s="11" t="s">
        <v>1261</v>
      </c>
    </row>
    <row r="1231">
      <c r="A1231" s="11" t="s">
        <v>1262</v>
      </c>
    </row>
    <row r="1232">
      <c r="A1232" s="11" t="s">
        <v>1263</v>
      </c>
    </row>
    <row r="1233">
      <c r="A1233" s="11" t="s">
        <v>1264</v>
      </c>
    </row>
    <row r="1234">
      <c r="A1234" s="11" t="s">
        <v>1265</v>
      </c>
    </row>
    <row r="1235">
      <c r="A1235" s="11" t="s">
        <v>1266</v>
      </c>
    </row>
    <row r="1236">
      <c r="A1236" s="11" t="s">
        <v>1267</v>
      </c>
    </row>
    <row r="1237">
      <c r="A1237" s="11" t="s">
        <v>1268</v>
      </c>
    </row>
    <row r="1238">
      <c r="A1238" s="11" t="s">
        <v>1269</v>
      </c>
    </row>
    <row r="1239">
      <c r="A1239" s="11" t="s">
        <v>1270</v>
      </c>
    </row>
    <row r="1240">
      <c r="A1240" s="11" t="s">
        <v>1271</v>
      </c>
    </row>
    <row r="1241">
      <c r="A1241" s="11" t="s">
        <v>1272</v>
      </c>
    </row>
    <row r="1242">
      <c r="A1242" s="11" t="s">
        <v>1273</v>
      </c>
    </row>
    <row r="1243">
      <c r="A1243" s="11" t="s">
        <v>1274</v>
      </c>
    </row>
    <row r="1244">
      <c r="A1244" s="11" t="s">
        <v>1275</v>
      </c>
    </row>
    <row r="1245">
      <c r="A1245" s="11" t="s">
        <v>1276</v>
      </c>
    </row>
    <row r="1246">
      <c r="A1246" s="11" t="s">
        <v>1277</v>
      </c>
    </row>
    <row r="1247">
      <c r="A1247" s="11" t="s">
        <v>1278</v>
      </c>
    </row>
    <row r="1248">
      <c r="A1248" s="11" t="s">
        <v>1279</v>
      </c>
    </row>
    <row r="1249">
      <c r="A1249" s="11" t="s">
        <v>1280</v>
      </c>
    </row>
    <row r="1250">
      <c r="A1250" s="11" t="s">
        <v>1281</v>
      </c>
    </row>
    <row r="1251">
      <c r="A1251" s="11" t="s">
        <v>1282</v>
      </c>
    </row>
    <row r="1252">
      <c r="A1252" s="11" t="s">
        <v>1283</v>
      </c>
    </row>
    <row r="1253">
      <c r="A1253" s="11" t="s">
        <v>1284</v>
      </c>
    </row>
    <row r="1254">
      <c r="A1254" s="11" t="s">
        <v>1285</v>
      </c>
    </row>
    <row r="1255">
      <c r="A1255" s="11" t="s">
        <v>1286</v>
      </c>
    </row>
    <row r="1256">
      <c r="A1256" s="11" t="s">
        <v>1287</v>
      </c>
    </row>
    <row r="1257">
      <c r="A1257" s="11" t="s">
        <v>1288</v>
      </c>
    </row>
    <row r="1258">
      <c r="A1258" s="11" t="s">
        <v>1289</v>
      </c>
    </row>
    <row r="1259">
      <c r="A1259" s="11" t="s">
        <v>1290</v>
      </c>
    </row>
    <row r="1260">
      <c r="A1260" s="11" t="s">
        <v>1291</v>
      </c>
    </row>
    <row r="1261">
      <c r="A1261" s="11" t="s">
        <v>1292</v>
      </c>
    </row>
    <row r="1262">
      <c r="A1262" s="11" t="s">
        <v>1293</v>
      </c>
    </row>
    <row r="1263">
      <c r="A1263" s="11" t="s">
        <v>1294</v>
      </c>
    </row>
    <row r="1264">
      <c r="A1264" s="11" t="s">
        <v>1295</v>
      </c>
    </row>
    <row r="1265">
      <c r="A1265" s="11" t="s">
        <v>1296</v>
      </c>
    </row>
    <row r="1266">
      <c r="A1266" s="11" t="s">
        <v>1297</v>
      </c>
    </row>
    <row r="1267">
      <c r="A1267" s="11" t="s">
        <v>1298</v>
      </c>
    </row>
    <row r="1268">
      <c r="A1268" s="11" t="s">
        <v>1299</v>
      </c>
    </row>
    <row r="1269">
      <c r="A1269" s="11" t="s">
        <v>1300</v>
      </c>
    </row>
    <row r="1270">
      <c r="A1270" s="11" t="s">
        <v>1301</v>
      </c>
    </row>
    <row r="1271">
      <c r="A1271" s="11" t="s">
        <v>1302</v>
      </c>
    </row>
    <row r="1272">
      <c r="A1272" s="11" t="s">
        <v>1303</v>
      </c>
    </row>
    <row r="1273">
      <c r="A1273" s="11" t="s">
        <v>1304</v>
      </c>
    </row>
    <row r="1274">
      <c r="A1274" s="11" t="s">
        <v>1305</v>
      </c>
    </row>
    <row r="1275">
      <c r="A1275" s="11" t="s">
        <v>1306</v>
      </c>
    </row>
    <row r="1276">
      <c r="A1276" s="11" t="s">
        <v>1307</v>
      </c>
    </row>
    <row r="1277">
      <c r="A1277" s="11" t="s">
        <v>1308</v>
      </c>
    </row>
    <row r="1278">
      <c r="A1278" s="11" t="s">
        <v>1309</v>
      </c>
    </row>
    <row r="1279">
      <c r="A1279" s="11" t="s">
        <v>1310</v>
      </c>
    </row>
    <row r="1280">
      <c r="A1280" s="11" t="s">
        <v>1311</v>
      </c>
    </row>
    <row r="1281">
      <c r="A1281" s="11" t="s">
        <v>1312</v>
      </c>
    </row>
    <row r="1282">
      <c r="A1282" s="11" t="s">
        <v>1313</v>
      </c>
    </row>
    <row r="1283">
      <c r="A1283" s="11" t="s">
        <v>1314</v>
      </c>
    </row>
    <row r="1284">
      <c r="A1284" s="11" t="s">
        <v>1315</v>
      </c>
    </row>
    <row r="1285">
      <c r="A1285" s="11" t="s">
        <v>1316</v>
      </c>
    </row>
    <row r="1286">
      <c r="A1286" s="11" t="s">
        <v>1317</v>
      </c>
    </row>
    <row r="1287">
      <c r="A1287" s="11" t="s">
        <v>1318</v>
      </c>
    </row>
    <row r="1288">
      <c r="A1288" s="11" t="s">
        <v>1319</v>
      </c>
    </row>
    <row r="1289">
      <c r="A1289" s="11" t="s">
        <v>1320</v>
      </c>
    </row>
    <row r="1290">
      <c r="A1290" s="11" t="s">
        <v>1321</v>
      </c>
    </row>
    <row r="1291">
      <c r="A1291" s="11" t="s">
        <v>1322</v>
      </c>
    </row>
    <row r="1292">
      <c r="A1292" s="11" t="s">
        <v>1323</v>
      </c>
    </row>
    <row r="1293">
      <c r="A1293" s="11" t="s">
        <v>1324</v>
      </c>
    </row>
    <row r="1294">
      <c r="A1294" s="11" t="s">
        <v>1325</v>
      </c>
    </row>
    <row r="1295">
      <c r="A1295" s="11" t="s">
        <v>1326</v>
      </c>
    </row>
    <row r="1296">
      <c r="A1296" s="11" t="s">
        <v>1327</v>
      </c>
    </row>
    <row r="1297">
      <c r="A1297" s="11" t="s">
        <v>1328</v>
      </c>
    </row>
    <row r="1298">
      <c r="A1298" s="11" t="s">
        <v>1329</v>
      </c>
    </row>
    <row r="1299">
      <c r="A1299" s="11" t="s">
        <v>1330</v>
      </c>
    </row>
    <row r="1300">
      <c r="A1300" s="11" t="s">
        <v>1331</v>
      </c>
    </row>
    <row r="1301">
      <c r="A1301" s="11" t="s">
        <v>1332</v>
      </c>
    </row>
    <row r="1302">
      <c r="A1302" s="11" t="s">
        <v>1333</v>
      </c>
    </row>
    <row r="1303">
      <c r="A1303" s="11" t="s">
        <v>1334</v>
      </c>
    </row>
    <row r="1304">
      <c r="A1304" s="11" t="s">
        <v>1335</v>
      </c>
    </row>
    <row r="1305">
      <c r="A1305" s="11" t="s">
        <v>1336</v>
      </c>
    </row>
    <row r="1306">
      <c r="A1306" s="11" t="s">
        <v>1337</v>
      </c>
    </row>
    <row r="1307">
      <c r="A1307" s="11" t="s">
        <v>1338</v>
      </c>
    </row>
    <row r="1308">
      <c r="A1308" s="11" t="s">
        <v>1339</v>
      </c>
    </row>
    <row r="1309">
      <c r="A1309" s="11" t="s">
        <v>1340</v>
      </c>
    </row>
    <row r="1310">
      <c r="A1310" s="11" t="s">
        <v>1341</v>
      </c>
    </row>
    <row r="1311">
      <c r="A1311" s="11" t="s">
        <v>1342</v>
      </c>
    </row>
    <row r="1312">
      <c r="A1312" s="11" t="s">
        <v>1343</v>
      </c>
    </row>
    <row r="1313">
      <c r="A1313" s="11" t="s">
        <v>1344</v>
      </c>
    </row>
    <row r="1314">
      <c r="A1314" s="11" t="s">
        <v>1345</v>
      </c>
    </row>
    <row r="1315">
      <c r="A1315" s="11" t="s">
        <v>1346</v>
      </c>
    </row>
    <row r="1316">
      <c r="A1316" s="11" t="s">
        <v>1347</v>
      </c>
    </row>
    <row r="1317">
      <c r="A1317" s="11" t="s">
        <v>1348</v>
      </c>
    </row>
    <row r="1318">
      <c r="A1318" s="11" t="s">
        <v>1349</v>
      </c>
    </row>
    <row r="1319">
      <c r="A1319" s="11" t="s">
        <v>1350</v>
      </c>
    </row>
    <row r="1320">
      <c r="A1320" s="11" t="s">
        <v>1351</v>
      </c>
    </row>
    <row r="1321">
      <c r="A1321" s="11" t="s">
        <v>1352</v>
      </c>
    </row>
    <row r="1322">
      <c r="A1322" s="11" t="s">
        <v>1353</v>
      </c>
    </row>
    <row r="1323">
      <c r="A1323" s="11" t="s">
        <v>1354</v>
      </c>
    </row>
    <row r="1324">
      <c r="A1324" s="11" t="s">
        <v>1355</v>
      </c>
    </row>
    <row r="1325">
      <c r="A1325" s="11" t="s">
        <v>1356</v>
      </c>
    </row>
    <row r="1326">
      <c r="A1326" s="11" t="s">
        <v>1357</v>
      </c>
    </row>
    <row r="1327">
      <c r="A1327" s="11" t="s">
        <v>1358</v>
      </c>
    </row>
    <row r="1328">
      <c r="A1328" s="11" t="s">
        <v>1359</v>
      </c>
    </row>
    <row r="1329">
      <c r="A1329" s="11" t="s">
        <v>1360</v>
      </c>
    </row>
    <row r="1330">
      <c r="A1330" s="11" t="s">
        <v>1361</v>
      </c>
    </row>
    <row r="1331">
      <c r="A1331" s="11" t="s">
        <v>1362</v>
      </c>
    </row>
    <row r="1332">
      <c r="A1332" s="11" t="s">
        <v>1363</v>
      </c>
    </row>
    <row r="1333">
      <c r="A1333" s="11" t="s">
        <v>1364</v>
      </c>
    </row>
    <row r="1334">
      <c r="A1334" s="11" t="s">
        <v>1365</v>
      </c>
    </row>
    <row r="1335">
      <c r="A1335" s="11" t="s">
        <v>1366</v>
      </c>
    </row>
    <row r="1336">
      <c r="A1336" s="11" t="s">
        <v>1367</v>
      </c>
    </row>
    <row r="1337">
      <c r="A1337" s="11" t="s">
        <v>1368</v>
      </c>
    </row>
    <row r="1338">
      <c r="A1338" s="11" t="s">
        <v>1369</v>
      </c>
    </row>
    <row r="1339">
      <c r="A1339" s="11" t="s">
        <v>1370</v>
      </c>
    </row>
    <row r="1340">
      <c r="A1340" s="11" t="s">
        <v>1371</v>
      </c>
    </row>
    <row r="1341">
      <c r="A1341" s="11" t="s">
        <v>1372</v>
      </c>
    </row>
    <row r="1342">
      <c r="A1342" s="11" t="s">
        <v>1373</v>
      </c>
    </row>
    <row r="1343">
      <c r="A1343" s="11" t="s">
        <v>1374</v>
      </c>
    </row>
    <row r="1344">
      <c r="A1344" s="11" t="s">
        <v>1375</v>
      </c>
    </row>
    <row r="1345">
      <c r="A1345" s="11" t="s">
        <v>1376</v>
      </c>
    </row>
    <row r="1346">
      <c r="A1346" s="11" t="s">
        <v>1377</v>
      </c>
    </row>
    <row r="1347">
      <c r="A1347" s="11" t="s">
        <v>1378</v>
      </c>
    </row>
    <row r="1348">
      <c r="A1348" s="11" t="s">
        <v>1379</v>
      </c>
    </row>
    <row r="1349">
      <c r="A1349" s="11" t="s">
        <v>1380</v>
      </c>
    </row>
    <row r="1350">
      <c r="A1350" s="11" t="s">
        <v>1381</v>
      </c>
    </row>
    <row r="1351">
      <c r="A1351" s="11" t="s">
        <v>1382</v>
      </c>
    </row>
    <row r="1352">
      <c r="A1352" s="11" t="s">
        <v>1383</v>
      </c>
    </row>
    <row r="1353">
      <c r="A1353" s="11" t="s">
        <v>1384</v>
      </c>
    </row>
    <row r="1354">
      <c r="A1354" s="11" t="s">
        <v>1385</v>
      </c>
    </row>
    <row r="1355">
      <c r="A1355" s="11" t="s">
        <v>1386</v>
      </c>
    </row>
    <row r="1356">
      <c r="A1356" s="11" t="s">
        <v>1387</v>
      </c>
    </row>
    <row r="1357">
      <c r="A1357" s="11" t="s">
        <v>1388</v>
      </c>
    </row>
    <row r="1358">
      <c r="A1358" s="11" t="s">
        <v>1389</v>
      </c>
    </row>
    <row r="1359">
      <c r="A1359" s="11" t="s">
        <v>1390</v>
      </c>
    </row>
    <row r="1360">
      <c r="A1360" s="11" t="s">
        <v>1391</v>
      </c>
    </row>
    <row r="1361">
      <c r="A1361" s="11" t="s">
        <v>1392</v>
      </c>
    </row>
    <row r="1362">
      <c r="A1362" s="11" t="s">
        <v>1393</v>
      </c>
    </row>
    <row r="1363">
      <c r="A1363" s="11" t="s">
        <v>1394</v>
      </c>
    </row>
    <row r="1364">
      <c r="A1364" s="11" t="s">
        <v>1395</v>
      </c>
    </row>
    <row r="1365">
      <c r="A1365" s="11" t="s">
        <v>1396</v>
      </c>
    </row>
    <row r="1366">
      <c r="A1366" s="11" t="s">
        <v>1397</v>
      </c>
    </row>
    <row r="1367">
      <c r="A1367" s="11" t="s">
        <v>1398</v>
      </c>
    </row>
    <row r="1368">
      <c r="A1368" s="11" t="s">
        <v>1399</v>
      </c>
    </row>
    <row r="1369">
      <c r="A1369" s="11" t="s">
        <v>1400</v>
      </c>
    </row>
    <row r="1370">
      <c r="A1370" s="11" t="s">
        <v>1401</v>
      </c>
    </row>
    <row r="1371">
      <c r="A1371" s="11" t="s">
        <v>1402</v>
      </c>
    </row>
    <row r="1372">
      <c r="A1372" s="11" t="s">
        <v>1403</v>
      </c>
    </row>
    <row r="1373">
      <c r="A1373" s="11" t="s">
        <v>1404</v>
      </c>
    </row>
    <row r="1374">
      <c r="A1374" s="11" t="s">
        <v>1405</v>
      </c>
    </row>
    <row r="1375">
      <c r="A1375" s="11" t="s">
        <v>1406</v>
      </c>
    </row>
    <row r="1376">
      <c r="A1376" s="11" t="s">
        <v>1407</v>
      </c>
    </row>
    <row r="1377">
      <c r="A1377" s="11" t="s">
        <v>1408</v>
      </c>
    </row>
    <row r="1378">
      <c r="A1378" s="11" t="s">
        <v>1409</v>
      </c>
    </row>
    <row r="1379">
      <c r="A1379" s="11" t="s">
        <v>1410</v>
      </c>
    </row>
    <row r="1380">
      <c r="A1380" s="11" t="s">
        <v>1411</v>
      </c>
    </row>
    <row r="1381">
      <c r="A1381" s="11" t="s">
        <v>1412</v>
      </c>
    </row>
    <row r="1382">
      <c r="A1382" s="11" t="s">
        <v>1413</v>
      </c>
    </row>
    <row r="1383">
      <c r="A1383" s="11" t="s">
        <v>1414</v>
      </c>
    </row>
    <row r="1384">
      <c r="A1384" s="11" t="s">
        <v>1415</v>
      </c>
    </row>
    <row r="1385">
      <c r="A1385" s="11" t="s">
        <v>1416</v>
      </c>
    </row>
    <row r="1386">
      <c r="A1386" s="11" t="s">
        <v>1417</v>
      </c>
    </row>
    <row r="1387">
      <c r="A1387" s="11" t="s">
        <v>1418</v>
      </c>
    </row>
    <row r="1388">
      <c r="A1388" s="11" t="s">
        <v>1419</v>
      </c>
    </row>
    <row r="1389">
      <c r="A1389" s="11" t="s">
        <v>1420</v>
      </c>
    </row>
    <row r="1390">
      <c r="A1390" s="11" t="s">
        <v>1421</v>
      </c>
    </row>
    <row r="1391">
      <c r="A1391" s="11" t="s">
        <v>1422</v>
      </c>
    </row>
    <row r="1392">
      <c r="A1392" s="11" t="s">
        <v>1423</v>
      </c>
    </row>
    <row r="1393">
      <c r="A1393" s="11" t="s">
        <v>1424</v>
      </c>
    </row>
    <row r="1394">
      <c r="A1394" s="11" t="s">
        <v>1425</v>
      </c>
    </row>
    <row r="1395">
      <c r="A1395" s="11" t="s">
        <v>1426</v>
      </c>
    </row>
    <row r="1396">
      <c r="A1396" s="11" t="s">
        <v>1427</v>
      </c>
    </row>
    <row r="1397">
      <c r="A1397" s="11" t="s">
        <v>1428</v>
      </c>
    </row>
    <row r="1398">
      <c r="A1398" s="11" t="s">
        <v>1429</v>
      </c>
    </row>
    <row r="1399">
      <c r="A1399" s="11" t="s">
        <v>1430</v>
      </c>
    </row>
    <row r="1400">
      <c r="A1400" s="11" t="s">
        <v>1431</v>
      </c>
    </row>
    <row r="1401">
      <c r="A1401" s="11" t="s">
        <v>1432</v>
      </c>
    </row>
    <row r="1402">
      <c r="A1402" s="11" t="s">
        <v>1433</v>
      </c>
    </row>
    <row r="1403">
      <c r="A1403" s="11" t="s">
        <v>1434</v>
      </c>
    </row>
    <row r="1404">
      <c r="A1404" s="11" t="s">
        <v>1435</v>
      </c>
    </row>
    <row r="1405">
      <c r="A1405" s="11" t="s">
        <v>1436</v>
      </c>
    </row>
    <row r="1406">
      <c r="A1406" s="11" t="s">
        <v>1437</v>
      </c>
    </row>
    <row r="1407">
      <c r="A1407" s="11" t="s">
        <v>1438</v>
      </c>
    </row>
    <row r="1408">
      <c r="A1408" s="11" t="s">
        <v>1439</v>
      </c>
    </row>
    <row r="1409">
      <c r="A1409" s="11" t="s">
        <v>1440</v>
      </c>
    </row>
    <row r="1410">
      <c r="A1410" s="11" t="s">
        <v>1441</v>
      </c>
    </row>
    <row r="1411">
      <c r="A1411" s="11" t="s">
        <v>1442</v>
      </c>
    </row>
    <row r="1412">
      <c r="A1412" s="11" t="s">
        <v>1443</v>
      </c>
    </row>
    <row r="1413">
      <c r="A1413" s="11" t="s">
        <v>1444</v>
      </c>
    </row>
    <row r="1414">
      <c r="A1414" s="11" t="s">
        <v>1445</v>
      </c>
    </row>
    <row r="1415">
      <c r="A1415" s="11" t="s">
        <v>1446</v>
      </c>
    </row>
    <row r="1416">
      <c r="A1416" s="11" t="s">
        <v>1447</v>
      </c>
    </row>
    <row r="1417">
      <c r="A1417" s="11" t="s">
        <v>1448</v>
      </c>
    </row>
    <row r="1418">
      <c r="A1418" s="11" t="s">
        <v>1449</v>
      </c>
    </row>
    <row r="1419">
      <c r="A1419" s="11" t="s">
        <v>1450</v>
      </c>
    </row>
    <row r="1420">
      <c r="A1420" s="11" t="s">
        <v>1451</v>
      </c>
    </row>
    <row r="1421">
      <c r="A1421" s="11" t="s">
        <v>1452</v>
      </c>
    </row>
    <row r="1422">
      <c r="A1422" s="11" t="s">
        <v>1453</v>
      </c>
    </row>
    <row r="1423">
      <c r="A1423" s="11" t="s">
        <v>1454</v>
      </c>
    </row>
    <row r="1424">
      <c r="A1424" s="11" t="s">
        <v>1455</v>
      </c>
    </row>
    <row r="1425">
      <c r="A1425" s="11" t="s">
        <v>1456</v>
      </c>
    </row>
    <row r="1426">
      <c r="A1426" s="11" t="s">
        <v>1457</v>
      </c>
    </row>
    <row r="1427">
      <c r="A1427" s="11" t="s">
        <v>1458</v>
      </c>
    </row>
    <row r="1428">
      <c r="A1428" s="11" t="s">
        <v>1459</v>
      </c>
    </row>
    <row r="1429">
      <c r="A1429" s="11" t="s">
        <v>1460</v>
      </c>
    </row>
    <row r="1430">
      <c r="A1430" s="11" t="s">
        <v>1461</v>
      </c>
    </row>
    <row r="1431">
      <c r="A1431" s="11" t="s">
        <v>1462</v>
      </c>
    </row>
    <row r="1432">
      <c r="A1432" s="11" t="s">
        <v>1463</v>
      </c>
    </row>
    <row r="1433">
      <c r="A1433" s="11" t="s">
        <v>1464</v>
      </c>
    </row>
    <row r="1434">
      <c r="A1434" s="11" t="s">
        <v>1465</v>
      </c>
    </row>
    <row r="1435">
      <c r="A1435" s="11" t="s">
        <v>1466</v>
      </c>
    </row>
    <row r="1436">
      <c r="A1436" s="11" t="s">
        <v>1467</v>
      </c>
    </row>
    <row r="1437">
      <c r="A1437" s="11" t="s">
        <v>1468</v>
      </c>
    </row>
    <row r="1438">
      <c r="A1438" s="11" t="s">
        <v>1469</v>
      </c>
    </row>
    <row r="1439">
      <c r="A1439" s="11" t="s">
        <v>1470</v>
      </c>
    </row>
    <row r="1440">
      <c r="A1440" s="11" t="s">
        <v>1471</v>
      </c>
    </row>
    <row r="1441">
      <c r="A1441" s="11" t="s">
        <v>1472</v>
      </c>
    </row>
    <row r="1442">
      <c r="A1442" s="11" t="s">
        <v>1473</v>
      </c>
    </row>
    <row r="1443">
      <c r="A1443" s="11" t="s">
        <v>1474</v>
      </c>
    </row>
    <row r="1444">
      <c r="A1444" s="11" t="s">
        <v>1475</v>
      </c>
    </row>
    <row r="1445">
      <c r="A1445" s="11" t="s">
        <v>1476</v>
      </c>
    </row>
    <row r="1446">
      <c r="A1446" s="11" t="s">
        <v>1477</v>
      </c>
    </row>
    <row r="1447">
      <c r="A1447" s="11" t="s">
        <v>1478</v>
      </c>
    </row>
    <row r="1448">
      <c r="A1448" s="11" t="s">
        <v>1479</v>
      </c>
    </row>
    <row r="1449">
      <c r="A1449" s="11" t="s">
        <v>1480</v>
      </c>
    </row>
    <row r="1450">
      <c r="A1450" s="11" t="s">
        <v>1481</v>
      </c>
    </row>
    <row r="1451">
      <c r="A1451" s="11" t="s">
        <v>1482</v>
      </c>
    </row>
    <row r="1452">
      <c r="A1452" s="11" t="s">
        <v>1483</v>
      </c>
    </row>
    <row r="1453">
      <c r="A1453" s="11" t="s">
        <v>1484</v>
      </c>
    </row>
    <row r="1454">
      <c r="A1454" s="11" t="s">
        <v>1485</v>
      </c>
    </row>
    <row r="1455">
      <c r="A1455" s="11" t="s">
        <v>1486</v>
      </c>
    </row>
    <row r="1456">
      <c r="A1456" s="11" t="s">
        <v>1487</v>
      </c>
    </row>
    <row r="1457">
      <c r="A1457" s="11" t="s">
        <v>1488</v>
      </c>
    </row>
    <row r="1458">
      <c r="A1458" s="11" t="s">
        <v>1489</v>
      </c>
    </row>
    <row r="1459">
      <c r="A1459" s="11" t="s">
        <v>1490</v>
      </c>
    </row>
    <row r="1460">
      <c r="A1460" s="11" t="s">
        <v>1491</v>
      </c>
    </row>
    <row r="1461">
      <c r="A1461" s="11" t="s">
        <v>1492</v>
      </c>
    </row>
    <row r="1462">
      <c r="A1462" s="11" t="s">
        <v>1493</v>
      </c>
    </row>
    <row r="1463">
      <c r="A1463" s="11" t="s">
        <v>1494</v>
      </c>
    </row>
    <row r="1464">
      <c r="A1464" s="11" t="s">
        <v>1495</v>
      </c>
    </row>
    <row r="1465">
      <c r="A1465" s="11" t="s">
        <v>1496</v>
      </c>
    </row>
    <row r="1466">
      <c r="A1466" s="11" t="s">
        <v>1497</v>
      </c>
    </row>
    <row r="1467">
      <c r="A1467" s="11" t="s">
        <v>1498</v>
      </c>
    </row>
    <row r="1468">
      <c r="A1468" s="11" t="s">
        <v>1499</v>
      </c>
    </row>
    <row r="1469">
      <c r="A1469" s="11" t="s">
        <v>1500</v>
      </c>
    </row>
    <row r="1470">
      <c r="A1470" s="11" t="s">
        <v>1501</v>
      </c>
    </row>
    <row r="1471">
      <c r="A1471" s="11" t="s">
        <v>1502</v>
      </c>
    </row>
    <row r="1472">
      <c r="A1472" s="11" t="s">
        <v>1503</v>
      </c>
    </row>
    <row r="1473">
      <c r="A1473" s="11" t="s">
        <v>1504</v>
      </c>
    </row>
    <row r="1474">
      <c r="A1474" s="11" t="s">
        <v>1505</v>
      </c>
    </row>
    <row r="1475">
      <c r="A1475" s="11" t="s">
        <v>1506</v>
      </c>
    </row>
    <row r="1476">
      <c r="A1476" s="11" t="s">
        <v>1507</v>
      </c>
    </row>
    <row r="1477">
      <c r="A1477" s="11" t="s">
        <v>1508</v>
      </c>
    </row>
    <row r="1478">
      <c r="A1478" s="11" t="s">
        <v>1509</v>
      </c>
    </row>
    <row r="1479">
      <c r="A1479" s="11" t="s">
        <v>1510</v>
      </c>
    </row>
    <row r="1480">
      <c r="A1480" s="11" t="s">
        <v>1511</v>
      </c>
    </row>
    <row r="1481">
      <c r="A1481" s="11" t="s">
        <v>1512</v>
      </c>
    </row>
    <row r="1482">
      <c r="A1482" s="11" t="s">
        <v>1513</v>
      </c>
    </row>
    <row r="1483">
      <c r="A1483" s="11" t="s">
        <v>1514</v>
      </c>
    </row>
    <row r="1484">
      <c r="A1484" s="11" t="s">
        <v>1515</v>
      </c>
    </row>
    <row r="1485">
      <c r="A1485" s="11" t="s">
        <v>1516</v>
      </c>
    </row>
    <row r="1486">
      <c r="A1486" s="11" t="s">
        <v>1517</v>
      </c>
    </row>
    <row r="1487">
      <c r="A1487" s="11" t="s">
        <v>1518</v>
      </c>
    </row>
    <row r="1488">
      <c r="A1488" s="11" t="s">
        <v>1519</v>
      </c>
    </row>
    <row r="1489">
      <c r="A1489" s="11" t="s">
        <v>1520</v>
      </c>
    </row>
    <row r="1490">
      <c r="A1490" s="11" t="s">
        <v>1521</v>
      </c>
    </row>
    <row r="1491">
      <c r="A1491" s="11" t="s">
        <v>1522</v>
      </c>
    </row>
    <row r="1492">
      <c r="A1492" s="11" t="s">
        <v>1523</v>
      </c>
    </row>
    <row r="1493">
      <c r="A1493" s="11" t="s">
        <v>1524</v>
      </c>
    </row>
    <row r="1494">
      <c r="A1494" s="11" t="s">
        <v>1525</v>
      </c>
    </row>
    <row r="1495">
      <c r="A1495" s="11" t="s">
        <v>1526</v>
      </c>
    </row>
    <row r="1496">
      <c r="A1496" s="11" t="s">
        <v>1527</v>
      </c>
    </row>
    <row r="1497">
      <c r="A1497" s="11" t="s">
        <v>1528</v>
      </c>
    </row>
    <row r="1498">
      <c r="A1498" s="11" t="s">
        <v>1529</v>
      </c>
    </row>
    <row r="1499">
      <c r="A1499" s="11" t="s">
        <v>1530</v>
      </c>
    </row>
    <row r="1500">
      <c r="A1500" s="11" t="s">
        <v>1531</v>
      </c>
    </row>
    <row r="1501">
      <c r="A1501" s="11" t="s">
        <v>1532</v>
      </c>
    </row>
    <row r="1502">
      <c r="A1502" s="11" t="s">
        <v>1533</v>
      </c>
    </row>
    <row r="1503">
      <c r="A1503" s="11" t="s">
        <v>1534</v>
      </c>
    </row>
    <row r="1504">
      <c r="A1504" s="11" t="s">
        <v>1535</v>
      </c>
    </row>
    <row r="1505">
      <c r="A1505" s="11" t="s">
        <v>1536</v>
      </c>
    </row>
    <row r="1506">
      <c r="A1506" s="11" t="s">
        <v>1537</v>
      </c>
    </row>
    <row r="1507">
      <c r="A1507" s="11" t="s">
        <v>1538</v>
      </c>
    </row>
    <row r="1508">
      <c r="A1508" s="11" t="s">
        <v>1539</v>
      </c>
    </row>
    <row r="1509">
      <c r="A1509" s="11" t="s">
        <v>1540</v>
      </c>
    </row>
    <row r="1510">
      <c r="A1510" s="11" t="s">
        <v>1541</v>
      </c>
    </row>
    <row r="1511">
      <c r="A1511" s="11" t="s">
        <v>1542</v>
      </c>
    </row>
    <row r="1512">
      <c r="A1512" s="11" t="s">
        <v>1543</v>
      </c>
    </row>
    <row r="1513">
      <c r="A1513" s="11" t="s">
        <v>1544</v>
      </c>
    </row>
    <row r="1514">
      <c r="A1514" s="11" t="s">
        <v>1545</v>
      </c>
    </row>
    <row r="1515">
      <c r="A1515" s="11" t="s">
        <v>1546</v>
      </c>
    </row>
    <row r="1516">
      <c r="A1516" s="11" t="s">
        <v>1547</v>
      </c>
    </row>
    <row r="1517">
      <c r="A1517" s="11" t="s">
        <v>1548</v>
      </c>
    </row>
    <row r="1518">
      <c r="A1518" s="11" t="s">
        <v>1549</v>
      </c>
    </row>
    <row r="1519">
      <c r="A1519" s="11" t="s">
        <v>1550</v>
      </c>
    </row>
    <row r="1520">
      <c r="A1520" s="11" t="s">
        <v>1551</v>
      </c>
    </row>
    <row r="1521">
      <c r="A1521" s="11" t="s">
        <v>1552</v>
      </c>
    </row>
    <row r="1522">
      <c r="A1522" s="11" t="s">
        <v>1553</v>
      </c>
    </row>
    <row r="1523">
      <c r="A1523" s="11" t="s">
        <v>1554</v>
      </c>
    </row>
    <row r="1524">
      <c r="A1524" s="11" t="s">
        <v>1555</v>
      </c>
    </row>
    <row r="1525">
      <c r="A1525" s="11" t="s">
        <v>1556</v>
      </c>
    </row>
    <row r="1526">
      <c r="A1526" s="11" t="s">
        <v>1557</v>
      </c>
    </row>
    <row r="1527">
      <c r="A1527" s="11" t="s">
        <v>1558</v>
      </c>
    </row>
    <row r="1528">
      <c r="A1528" s="11" t="s">
        <v>1559</v>
      </c>
    </row>
    <row r="1529">
      <c r="A1529" s="11" t="s">
        <v>1560</v>
      </c>
    </row>
    <row r="1530">
      <c r="A1530" s="11" t="s">
        <v>1561</v>
      </c>
    </row>
    <row r="1531">
      <c r="A1531" s="11" t="s">
        <v>1562</v>
      </c>
    </row>
    <row r="1532">
      <c r="A1532" s="11" t="s">
        <v>1563</v>
      </c>
    </row>
    <row r="1533">
      <c r="A1533" s="11" t="s">
        <v>1564</v>
      </c>
    </row>
    <row r="1534">
      <c r="A1534" s="11" t="s">
        <v>1565</v>
      </c>
    </row>
    <row r="1535">
      <c r="A1535" s="11" t="s">
        <v>1566</v>
      </c>
    </row>
    <row r="1536">
      <c r="A1536" s="11" t="s">
        <v>1567</v>
      </c>
    </row>
    <row r="1537">
      <c r="A1537" s="11" t="s">
        <v>1568</v>
      </c>
    </row>
    <row r="1538">
      <c r="A1538" s="11" t="s">
        <v>1569</v>
      </c>
    </row>
    <row r="1539">
      <c r="A1539" s="11" t="s">
        <v>1570</v>
      </c>
    </row>
    <row r="1540">
      <c r="A1540" s="11" t="s">
        <v>1571</v>
      </c>
    </row>
    <row r="1541">
      <c r="A1541" s="11" t="s">
        <v>1572</v>
      </c>
    </row>
    <row r="1542">
      <c r="A1542" s="11" t="s">
        <v>1573</v>
      </c>
    </row>
    <row r="1543">
      <c r="A1543" s="11" t="s">
        <v>1574</v>
      </c>
    </row>
    <row r="1544">
      <c r="A1544" s="11" t="s">
        <v>1575</v>
      </c>
    </row>
    <row r="1545">
      <c r="A1545" s="11" t="s">
        <v>1576</v>
      </c>
    </row>
    <row r="1546">
      <c r="A1546" s="11" t="s">
        <v>1577</v>
      </c>
    </row>
    <row r="1547">
      <c r="A1547" s="11" t="s">
        <v>1578</v>
      </c>
    </row>
    <row r="1548">
      <c r="A1548" s="11" t="s">
        <v>1579</v>
      </c>
    </row>
    <row r="1549">
      <c r="A1549" s="11" t="s">
        <v>1580</v>
      </c>
    </row>
    <row r="1550">
      <c r="A1550" s="11" t="s">
        <v>1581</v>
      </c>
    </row>
    <row r="1551">
      <c r="A1551" s="11" t="s">
        <v>1582</v>
      </c>
    </row>
    <row r="1552">
      <c r="A1552" s="11" t="s">
        <v>1583</v>
      </c>
    </row>
    <row r="1553">
      <c r="A1553" s="11" t="s">
        <v>1584</v>
      </c>
    </row>
    <row r="1554">
      <c r="A1554" s="11" t="s">
        <v>1585</v>
      </c>
    </row>
    <row r="1555">
      <c r="A1555" s="11" t="s">
        <v>1586</v>
      </c>
    </row>
    <row r="1556">
      <c r="A1556" s="11" t="s">
        <v>1587</v>
      </c>
    </row>
    <row r="1557">
      <c r="A1557" s="11" t="s">
        <v>1588</v>
      </c>
    </row>
    <row r="1558">
      <c r="A1558" s="11" t="s">
        <v>1589</v>
      </c>
    </row>
    <row r="1559">
      <c r="A1559" s="11" t="s">
        <v>1590</v>
      </c>
    </row>
    <row r="1560">
      <c r="A1560" s="11" t="s">
        <v>1591</v>
      </c>
    </row>
    <row r="1561">
      <c r="A1561" s="11" t="s">
        <v>1592</v>
      </c>
    </row>
    <row r="1562">
      <c r="A1562" s="11" t="s">
        <v>1593</v>
      </c>
    </row>
    <row r="1563">
      <c r="A1563" s="11" t="s">
        <v>1594</v>
      </c>
    </row>
    <row r="1564">
      <c r="A1564" s="11" t="s">
        <v>1595</v>
      </c>
    </row>
    <row r="1565">
      <c r="A1565" s="11" t="s">
        <v>1596</v>
      </c>
    </row>
    <row r="1566">
      <c r="A1566" s="11" t="s">
        <v>1597</v>
      </c>
    </row>
    <row r="1567">
      <c r="A1567" s="11" t="s">
        <v>1598</v>
      </c>
    </row>
    <row r="1568">
      <c r="A1568" s="11" t="s">
        <v>1599</v>
      </c>
    </row>
    <row r="1569">
      <c r="A1569" s="11" t="s">
        <v>1600</v>
      </c>
    </row>
    <row r="1570">
      <c r="A1570" s="11" t="s">
        <v>1601</v>
      </c>
    </row>
    <row r="1571">
      <c r="A1571" s="11" t="s">
        <v>1602</v>
      </c>
    </row>
    <row r="1572">
      <c r="A1572" s="11" t="s">
        <v>1603</v>
      </c>
    </row>
    <row r="1573">
      <c r="A1573" s="11" t="s">
        <v>1604</v>
      </c>
    </row>
    <row r="1574">
      <c r="A1574" s="11" t="s">
        <v>1605</v>
      </c>
    </row>
    <row r="1575">
      <c r="A1575" s="11" t="s">
        <v>1606</v>
      </c>
    </row>
    <row r="1576">
      <c r="A1576" s="11" t="s">
        <v>1607</v>
      </c>
    </row>
    <row r="1577">
      <c r="A1577" s="11" t="s">
        <v>1608</v>
      </c>
    </row>
    <row r="1578">
      <c r="A1578" s="11" t="s">
        <v>1609</v>
      </c>
    </row>
    <row r="1579">
      <c r="A1579" s="11" t="s">
        <v>1610</v>
      </c>
    </row>
    <row r="1580">
      <c r="A1580" s="11" t="s">
        <v>1611</v>
      </c>
    </row>
    <row r="1581">
      <c r="A1581" s="11" t="s">
        <v>1612</v>
      </c>
    </row>
    <row r="1582">
      <c r="A1582" s="11" t="s">
        <v>1613</v>
      </c>
    </row>
    <row r="1583">
      <c r="A1583" s="11" t="s">
        <v>1614</v>
      </c>
    </row>
    <row r="1584">
      <c r="A1584" s="11" t="s">
        <v>1615</v>
      </c>
    </row>
    <row r="1585">
      <c r="A1585" s="11" t="s">
        <v>1616</v>
      </c>
    </row>
    <row r="1586">
      <c r="A1586" s="11" t="s">
        <v>1617</v>
      </c>
    </row>
    <row r="1587">
      <c r="A1587" s="11" t="s">
        <v>1618</v>
      </c>
    </row>
    <row r="1588">
      <c r="A1588" s="11" t="s">
        <v>1619</v>
      </c>
    </row>
    <row r="1589">
      <c r="A1589" s="11" t="s">
        <v>1620</v>
      </c>
    </row>
    <row r="1590">
      <c r="A1590" s="11" t="s">
        <v>1621</v>
      </c>
    </row>
    <row r="1591">
      <c r="A1591" s="11" t="s">
        <v>1622</v>
      </c>
    </row>
    <row r="1592">
      <c r="A1592" s="11" t="s">
        <v>1623</v>
      </c>
    </row>
    <row r="1593">
      <c r="A1593" s="11" t="s">
        <v>1624</v>
      </c>
    </row>
    <row r="1594">
      <c r="A1594" s="11" t="s">
        <v>1625</v>
      </c>
    </row>
    <row r="1595">
      <c r="A1595" s="11" t="s">
        <v>1626</v>
      </c>
    </row>
    <row r="1596">
      <c r="A1596" s="11" t="s">
        <v>1627</v>
      </c>
    </row>
    <row r="1597">
      <c r="A1597" s="11" t="s">
        <v>1628</v>
      </c>
    </row>
    <row r="1598">
      <c r="A1598" s="11" t="s">
        <v>1629</v>
      </c>
    </row>
    <row r="1599">
      <c r="A1599" s="11" t="s">
        <v>1630</v>
      </c>
    </row>
    <row r="1600">
      <c r="A1600" s="11" t="s">
        <v>1631</v>
      </c>
    </row>
    <row r="1601">
      <c r="A1601" s="11" t="s">
        <v>1632</v>
      </c>
    </row>
    <row r="1602">
      <c r="A1602" s="11" t="s">
        <v>1633</v>
      </c>
    </row>
    <row r="1603">
      <c r="A1603" s="11" t="s">
        <v>1634</v>
      </c>
    </row>
    <row r="1604">
      <c r="A1604" s="11" t="s">
        <v>1635</v>
      </c>
    </row>
    <row r="1605">
      <c r="A1605" s="11" t="s">
        <v>1636</v>
      </c>
    </row>
    <row r="1606">
      <c r="A1606" s="11" t="s">
        <v>1637</v>
      </c>
    </row>
    <row r="1607">
      <c r="A1607" s="11" t="s">
        <v>1638</v>
      </c>
    </row>
    <row r="1608">
      <c r="A1608" s="11" t="s">
        <v>1639</v>
      </c>
    </row>
    <row r="1609">
      <c r="A1609" s="11" t="s">
        <v>1640</v>
      </c>
    </row>
    <row r="1610">
      <c r="A1610" s="11" t="s">
        <v>1641</v>
      </c>
    </row>
    <row r="1611">
      <c r="A1611" s="11" t="s">
        <v>1642</v>
      </c>
    </row>
    <row r="1612">
      <c r="A1612" s="11" t="s">
        <v>1643</v>
      </c>
    </row>
    <row r="1613">
      <c r="A1613" s="11" t="s">
        <v>1644</v>
      </c>
    </row>
    <row r="1614">
      <c r="A1614" s="11" t="s">
        <v>1645</v>
      </c>
    </row>
    <row r="1615">
      <c r="A1615" s="11" t="s">
        <v>1646</v>
      </c>
    </row>
    <row r="1616">
      <c r="A1616" s="11" t="s">
        <v>1647</v>
      </c>
    </row>
    <row r="1617">
      <c r="A1617" s="11" t="s">
        <v>1648</v>
      </c>
    </row>
    <row r="1618">
      <c r="A1618" s="11" t="s">
        <v>1649</v>
      </c>
    </row>
    <row r="1619">
      <c r="A1619" s="11" t="s">
        <v>1650</v>
      </c>
    </row>
    <row r="1620">
      <c r="A1620" s="11" t="s">
        <v>1651</v>
      </c>
    </row>
    <row r="1621">
      <c r="A1621" s="11" t="s">
        <v>1652</v>
      </c>
    </row>
    <row r="1622">
      <c r="A1622" s="11" t="s">
        <v>1653</v>
      </c>
    </row>
    <row r="1623">
      <c r="A1623" s="11" t="s">
        <v>1654</v>
      </c>
    </row>
    <row r="1624">
      <c r="A1624" s="11" t="s">
        <v>1655</v>
      </c>
    </row>
    <row r="1625">
      <c r="A1625" s="11" t="s">
        <v>1656</v>
      </c>
    </row>
    <row r="1626">
      <c r="A1626" s="11" t="s">
        <v>1657</v>
      </c>
    </row>
    <row r="1627">
      <c r="A1627" s="11" t="s">
        <v>1658</v>
      </c>
    </row>
    <row r="1628">
      <c r="A1628" s="11" t="s">
        <v>1659</v>
      </c>
    </row>
    <row r="1629">
      <c r="A1629" s="11" t="s">
        <v>1660</v>
      </c>
    </row>
    <row r="1630">
      <c r="A1630" s="11" t="s">
        <v>1661</v>
      </c>
    </row>
    <row r="1631">
      <c r="A1631" s="11" t="s">
        <v>1662</v>
      </c>
    </row>
    <row r="1632">
      <c r="A1632" s="11" t="s">
        <v>1663</v>
      </c>
    </row>
    <row r="1633">
      <c r="A1633" s="11" t="s">
        <v>1664</v>
      </c>
    </row>
    <row r="1634">
      <c r="A1634" s="11" t="s">
        <v>1665</v>
      </c>
    </row>
    <row r="1635">
      <c r="A1635" s="11" t="s">
        <v>1666</v>
      </c>
    </row>
    <row r="1636">
      <c r="A1636" s="11" t="s">
        <v>1667</v>
      </c>
    </row>
    <row r="1637">
      <c r="A1637" s="11" t="s">
        <v>1668</v>
      </c>
    </row>
    <row r="1638">
      <c r="A1638" s="11" t="s">
        <v>1669</v>
      </c>
    </row>
    <row r="1639">
      <c r="A1639" s="11" t="s">
        <v>1670</v>
      </c>
    </row>
    <row r="1640">
      <c r="A1640" s="11" t="s">
        <v>1671</v>
      </c>
    </row>
    <row r="1641">
      <c r="A1641" s="11" t="s">
        <v>1672</v>
      </c>
    </row>
    <row r="1642">
      <c r="A1642" s="11" t="s">
        <v>1673</v>
      </c>
    </row>
    <row r="1643">
      <c r="A1643" s="11" t="s">
        <v>1674</v>
      </c>
    </row>
    <row r="1644">
      <c r="A1644" s="11" t="s">
        <v>1675</v>
      </c>
    </row>
    <row r="1645">
      <c r="A1645" s="11" t="s">
        <v>1676</v>
      </c>
    </row>
    <row r="1646">
      <c r="A1646" s="11" t="s">
        <v>1677</v>
      </c>
    </row>
    <row r="1647">
      <c r="A1647" s="11" t="s">
        <v>1678</v>
      </c>
    </row>
    <row r="1648">
      <c r="A1648" s="11" t="s">
        <v>1679</v>
      </c>
    </row>
    <row r="1649">
      <c r="A1649" s="11" t="s">
        <v>1680</v>
      </c>
    </row>
    <row r="1650">
      <c r="A1650" s="11" t="s">
        <v>1681</v>
      </c>
    </row>
    <row r="1651">
      <c r="A1651" s="11" t="s">
        <v>1682</v>
      </c>
    </row>
    <row r="1652">
      <c r="A1652" s="11" t="s">
        <v>1683</v>
      </c>
    </row>
    <row r="1653">
      <c r="A1653" s="11" t="s">
        <v>1684</v>
      </c>
    </row>
    <row r="1654">
      <c r="A1654" s="11" t="s">
        <v>1685</v>
      </c>
    </row>
    <row r="1655">
      <c r="A1655" s="11" t="s">
        <v>1686</v>
      </c>
    </row>
    <row r="1656">
      <c r="A1656" s="11" t="s">
        <v>1687</v>
      </c>
    </row>
    <row r="1657">
      <c r="A1657" s="11" t="s">
        <v>1688</v>
      </c>
    </row>
    <row r="1658">
      <c r="A1658" s="11" t="s">
        <v>1689</v>
      </c>
    </row>
    <row r="1659">
      <c r="A1659" s="11" t="s">
        <v>1690</v>
      </c>
    </row>
    <row r="1660">
      <c r="A1660" s="11" t="s">
        <v>1691</v>
      </c>
    </row>
    <row r="1661">
      <c r="A1661" s="11" t="s">
        <v>1692</v>
      </c>
    </row>
    <row r="1662">
      <c r="A1662" s="11" t="s">
        <v>1693</v>
      </c>
    </row>
    <row r="1663">
      <c r="A1663" s="11" t="s">
        <v>1694</v>
      </c>
    </row>
    <row r="1664">
      <c r="A1664" s="11" t="s">
        <v>1695</v>
      </c>
    </row>
    <row r="1665">
      <c r="A1665" s="11" t="s">
        <v>1696</v>
      </c>
    </row>
    <row r="1666">
      <c r="A1666" s="11" t="s">
        <v>1697</v>
      </c>
    </row>
    <row r="1667">
      <c r="A1667" s="11" t="s">
        <v>1698</v>
      </c>
    </row>
    <row r="1668">
      <c r="A1668" s="11" t="s">
        <v>1699</v>
      </c>
    </row>
    <row r="1669">
      <c r="A1669" s="11" t="s">
        <v>1700</v>
      </c>
    </row>
    <row r="1670">
      <c r="A1670" s="11" t="s">
        <v>1701</v>
      </c>
    </row>
    <row r="1671">
      <c r="A1671" s="11" t="s">
        <v>1702</v>
      </c>
    </row>
    <row r="1672">
      <c r="A1672" s="11" t="s">
        <v>1703</v>
      </c>
    </row>
    <row r="1673">
      <c r="A1673" s="11" t="s">
        <v>1704</v>
      </c>
    </row>
    <row r="1674">
      <c r="A1674" s="11" t="s">
        <v>1705</v>
      </c>
    </row>
    <row r="1675">
      <c r="A1675" s="11" t="s">
        <v>1706</v>
      </c>
    </row>
    <row r="1676">
      <c r="A1676" s="11" t="s">
        <v>1707</v>
      </c>
    </row>
    <row r="1677">
      <c r="A1677" s="11" t="s">
        <v>1708</v>
      </c>
    </row>
    <row r="1678">
      <c r="A1678" s="11" t="s">
        <v>1709</v>
      </c>
    </row>
    <row r="1679">
      <c r="A1679" s="11" t="s">
        <v>1710</v>
      </c>
    </row>
    <row r="1680">
      <c r="A1680" s="11" t="s">
        <v>1711</v>
      </c>
    </row>
    <row r="1681">
      <c r="A1681" s="11" t="s">
        <v>1712</v>
      </c>
    </row>
    <row r="1682">
      <c r="A1682" s="11" t="s">
        <v>1713</v>
      </c>
    </row>
    <row r="1683">
      <c r="A1683" s="11" t="s">
        <v>1714</v>
      </c>
    </row>
    <row r="1684">
      <c r="A1684" s="11" t="s">
        <v>1715</v>
      </c>
    </row>
    <row r="1685">
      <c r="A1685" s="11" t="s">
        <v>1716</v>
      </c>
    </row>
    <row r="1686">
      <c r="A1686" s="11" t="s">
        <v>1717</v>
      </c>
    </row>
    <row r="1687">
      <c r="A1687" s="11" t="s">
        <v>1718</v>
      </c>
    </row>
    <row r="1688">
      <c r="A1688" s="11" t="s">
        <v>1719</v>
      </c>
    </row>
    <row r="1689">
      <c r="A1689" s="11" t="s">
        <v>1720</v>
      </c>
    </row>
    <row r="1690">
      <c r="A1690" s="11" t="s">
        <v>1721</v>
      </c>
    </row>
    <row r="1691">
      <c r="A1691" s="11" t="s">
        <v>1722</v>
      </c>
    </row>
    <row r="1692">
      <c r="A1692" s="11" t="s">
        <v>1723</v>
      </c>
    </row>
    <row r="1693">
      <c r="A1693" s="11" t="s">
        <v>1724</v>
      </c>
    </row>
    <row r="1694">
      <c r="A1694" s="11" t="s">
        <v>1725</v>
      </c>
    </row>
    <row r="1695">
      <c r="A1695" s="11" t="s">
        <v>1726</v>
      </c>
    </row>
    <row r="1696">
      <c r="A1696" s="11" t="s">
        <v>1727</v>
      </c>
    </row>
    <row r="1697">
      <c r="A1697" s="11" t="s">
        <v>1728</v>
      </c>
    </row>
    <row r="1698">
      <c r="A1698" s="11" t="s">
        <v>1729</v>
      </c>
    </row>
    <row r="1699">
      <c r="A1699" s="11" t="s">
        <v>1730</v>
      </c>
    </row>
    <row r="1700">
      <c r="A1700" s="11" t="s">
        <v>1731</v>
      </c>
    </row>
    <row r="1701">
      <c r="A1701" s="11" t="s">
        <v>1732</v>
      </c>
    </row>
    <row r="1702">
      <c r="A1702" s="11" t="s">
        <v>1733</v>
      </c>
    </row>
    <row r="1703">
      <c r="A1703" s="11" t="s">
        <v>1734</v>
      </c>
    </row>
    <row r="1704">
      <c r="A1704" s="11" t="s">
        <v>1735</v>
      </c>
    </row>
    <row r="1705">
      <c r="A1705" s="11" t="s">
        <v>1736</v>
      </c>
    </row>
    <row r="1706">
      <c r="A1706" s="11" t="s">
        <v>1737</v>
      </c>
    </row>
    <row r="1707">
      <c r="A1707" s="11" t="s">
        <v>1738</v>
      </c>
    </row>
    <row r="1708">
      <c r="A1708" s="11" t="s">
        <v>1739</v>
      </c>
    </row>
    <row r="1709">
      <c r="A1709" s="11" t="s">
        <v>1740</v>
      </c>
    </row>
    <row r="1710">
      <c r="A1710" s="11" t="s">
        <v>1741</v>
      </c>
    </row>
    <row r="1711">
      <c r="A1711" s="11" t="s">
        <v>1742</v>
      </c>
    </row>
    <row r="1712">
      <c r="A1712" s="11" t="s">
        <v>1743</v>
      </c>
    </row>
    <row r="1713">
      <c r="A1713" s="11" t="s">
        <v>1744</v>
      </c>
    </row>
    <row r="1714">
      <c r="A1714" s="11" t="s">
        <v>1745</v>
      </c>
    </row>
    <row r="1715">
      <c r="A1715" s="11" t="s">
        <v>1746</v>
      </c>
    </row>
    <row r="1716">
      <c r="A1716" s="11" t="s">
        <v>1747</v>
      </c>
    </row>
    <row r="1717">
      <c r="A1717" s="11" t="s">
        <v>1748</v>
      </c>
    </row>
    <row r="1718">
      <c r="A1718" s="11" t="s">
        <v>1749</v>
      </c>
    </row>
    <row r="1719">
      <c r="A1719" s="11" t="s">
        <v>1750</v>
      </c>
    </row>
    <row r="1720">
      <c r="A1720" s="11" t="s">
        <v>1751</v>
      </c>
    </row>
    <row r="1721">
      <c r="A1721" s="11" t="s">
        <v>1752</v>
      </c>
    </row>
    <row r="1722">
      <c r="A1722" s="11" t="s">
        <v>1753</v>
      </c>
    </row>
    <row r="1723">
      <c r="A1723" s="11" t="s">
        <v>1754</v>
      </c>
    </row>
    <row r="1724">
      <c r="A1724" s="11" t="s">
        <v>1755</v>
      </c>
    </row>
    <row r="1725">
      <c r="A1725" s="11" t="s">
        <v>1756</v>
      </c>
    </row>
    <row r="1726">
      <c r="A1726" s="11" t="s">
        <v>1757</v>
      </c>
    </row>
    <row r="1727">
      <c r="A1727" s="11" t="s">
        <v>1758</v>
      </c>
    </row>
    <row r="1728">
      <c r="A1728" s="11" t="s">
        <v>1759</v>
      </c>
    </row>
    <row r="1729">
      <c r="A1729" s="11" t="s">
        <v>1760</v>
      </c>
    </row>
    <row r="1730">
      <c r="A1730" s="11" t="s">
        <v>1761</v>
      </c>
    </row>
    <row r="1731">
      <c r="A1731" s="11" t="s">
        <v>1762</v>
      </c>
    </row>
    <row r="1732">
      <c r="A1732" s="11" t="s">
        <v>1763</v>
      </c>
    </row>
    <row r="1733">
      <c r="A1733" s="11" t="s">
        <v>1764</v>
      </c>
    </row>
    <row r="1734">
      <c r="A1734" s="11" t="s">
        <v>1765</v>
      </c>
    </row>
    <row r="1735">
      <c r="A1735" s="11" t="s">
        <v>1766</v>
      </c>
    </row>
    <row r="1736">
      <c r="A1736" s="11" t="s">
        <v>1767</v>
      </c>
    </row>
    <row r="1737">
      <c r="A1737" s="11" t="s">
        <v>1768</v>
      </c>
    </row>
    <row r="1738">
      <c r="A1738" s="11" t="s">
        <v>1769</v>
      </c>
    </row>
    <row r="1739">
      <c r="A1739" s="11" t="s">
        <v>1770</v>
      </c>
    </row>
    <row r="1740">
      <c r="A1740" s="11" t="s">
        <v>1771</v>
      </c>
    </row>
    <row r="1741">
      <c r="A1741" s="11" t="s">
        <v>1772</v>
      </c>
    </row>
    <row r="1742">
      <c r="A1742" s="11" t="s">
        <v>1773</v>
      </c>
    </row>
    <row r="1743">
      <c r="A1743" s="11" t="s">
        <v>1774</v>
      </c>
    </row>
    <row r="1744">
      <c r="A1744" s="11" t="s">
        <v>1775</v>
      </c>
    </row>
    <row r="1745">
      <c r="A1745" s="11" t="s">
        <v>1776</v>
      </c>
    </row>
    <row r="1746">
      <c r="A1746" s="11" t="s">
        <v>1777</v>
      </c>
    </row>
    <row r="1747">
      <c r="A1747" s="11" t="s">
        <v>1778</v>
      </c>
    </row>
    <row r="1748">
      <c r="A1748" s="11" t="s">
        <v>1779</v>
      </c>
    </row>
    <row r="1749">
      <c r="A1749" s="11" t="s">
        <v>1780</v>
      </c>
    </row>
    <row r="1750">
      <c r="A1750" s="11" t="s">
        <v>1781</v>
      </c>
    </row>
    <row r="1751">
      <c r="A1751" s="11" t="s">
        <v>1782</v>
      </c>
    </row>
    <row r="1752">
      <c r="A1752" s="11" t="s">
        <v>1783</v>
      </c>
    </row>
    <row r="1753">
      <c r="A1753" s="11" t="s">
        <v>1784</v>
      </c>
    </row>
    <row r="1754">
      <c r="A1754" s="11" t="s">
        <v>1785</v>
      </c>
    </row>
    <row r="1755">
      <c r="A1755" s="11" t="s">
        <v>1786</v>
      </c>
    </row>
    <row r="1756">
      <c r="A1756" s="11" t="s">
        <v>1787</v>
      </c>
    </row>
    <row r="1757">
      <c r="A1757" s="11" t="s">
        <v>1788</v>
      </c>
    </row>
    <row r="1758">
      <c r="A1758" s="11" t="s">
        <v>1789</v>
      </c>
    </row>
    <row r="1759">
      <c r="A1759" s="11" t="s">
        <v>1790</v>
      </c>
    </row>
    <row r="1760">
      <c r="A1760" s="11" t="s">
        <v>1791</v>
      </c>
    </row>
    <row r="1761">
      <c r="A1761" s="11" t="s">
        <v>1792</v>
      </c>
    </row>
    <row r="1762">
      <c r="A1762" s="11" t="s">
        <v>1793</v>
      </c>
    </row>
    <row r="1763">
      <c r="A1763" s="11" t="s">
        <v>1794</v>
      </c>
    </row>
    <row r="1764">
      <c r="A1764" s="11" t="s">
        <v>1795</v>
      </c>
    </row>
    <row r="1765">
      <c r="A1765" s="11" t="s">
        <v>1796</v>
      </c>
    </row>
    <row r="1766">
      <c r="A1766" s="11" t="s">
        <v>1797</v>
      </c>
    </row>
    <row r="1767">
      <c r="A1767" s="11" t="s">
        <v>1798</v>
      </c>
    </row>
    <row r="1768">
      <c r="A1768" s="11" t="s">
        <v>1799</v>
      </c>
    </row>
    <row r="1769">
      <c r="A1769" s="11" t="s">
        <v>1800</v>
      </c>
    </row>
    <row r="1770">
      <c r="A1770" s="11" t="s">
        <v>1801</v>
      </c>
    </row>
    <row r="1771">
      <c r="A1771" s="11" t="s">
        <v>1802</v>
      </c>
    </row>
    <row r="1772">
      <c r="A1772" s="11" t="s">
        <v>1803</v>
      </c>
    </row>
    <row r="1773">
      <c r="A1773" s="11" t="s">
        <v>1804</v>
      </c>
    </row>
    <row r="1774">
      <c r="A1774" s="11" t="s">
        <v>1805</v>
      </c>
    </row>
    <row r="1775">
      <c r="A1775" s="11" t="s">
        <v>1806</v>
      </c>
    </row>
    <row r="1776">
      <c r="A1776" s="11" t="s">
        <v>1807</v>
      </c>
    </row>
    <row r="1777">
      <c r="A1777" s="11" t="s">
        <v>1808</v>
      </c>
    </row>
    <row r="1778">
      <c r="A1778" s="11" t="s">
        <v>1809</v>
      </c>
    </row>
    <row r="1779">
      <c r="A1779" s="11" t="s">
        <v>1810</v>
      </c>
    </row>
    <row r="1780">
      <c r="A1780" s="11" t="s">
        <v>1811</v>
      </c>
    </row>
    <row r="1781">
      <c r="A1781" s="11" t="s">
        <v>1812</v>
      </c>
    </row>
    <row r="1782">
      <c r="A1782" s="11" t="s">
        <v>1813</v>
      </c>
    </row>
    <row r="1783">
      <c r="A1783" s="11" t="s">
        <v>1814</v>
      </c>
    </row>
    <row r="1784">
      <c r="A1784" s="11" t="s">
        <v>1815</v>
      </c>
    </row>
    <row r="1785">
      <c r="A1785" s="11" t="s">
        <v>1816</v>
      </c>
    </row>
    <row r="1786">
      <c r="A1786" s="11" t="s">
        <v>1817</v>
      </c>
    </row>
    <row r="1787">
      <c r="A1787" s="11" t="s">
        <v>1818</v>
      </c>
    </row>
    <row r="1788">
      <c r="A1788" s="11" t="s">
        <v>1819</v>
      </c>
    </row>
    <row r="1789">
      <c r="A1789" s="11" t="s">
        <v>1820</v>
      </c>
    </row>
    <row r="1790">
      <c r="A1790" s="11" t="s">
        <v>1821</v>
      </c>
    </row>
    <row r="1791">
      <c r="A1791" s="11" t="s">
        <v>1822</v>
      </c>
    </row>
    <row r="1792">
      <c r="A1792" s="11" t="s">
        <v>1823</v>
      </c>
    </row>
    <row r="1793">
      <c r="A1793" s="11" t="s">
        <v>1824</v>
      </c>
    </row>
    <row r="1794">
      <c r="A1794" s="11" t="s">
        <v>1825</v>
      </c>
    </row>
    <row r="1795">
      <c r="A1795" s="11" t="s">
        <v>1826</v>
      </c>
    </row>
    <row r="1796">
      <c r="A1796" s="11" t="s">
        <v>1827</v>
      </c>
    </row>
    <row r="1797">
      <c r="A1797" s="11" t="s">
        <v>1828</v>
      </c>
    </row>
    <row r="1798">
      <c r="A1798" s="11" t="s">
        <v>1829</v>
      </c>
    </row>
    <row r="1799">
      <c r="A1799" s="11" t="s">
        <v>1830</v>
      </c>
    </row>
    <row r="1800">
      <c r="A1800" s="11" t="s">
        <v>1831</v>
      </c>
    </row>
    <row r="1801">
      <c r="A1801" s="11" t="s">
        <v>1832</v>
      </c>
    </row>
    <row r="1802">
      <c r="A1802" s="11" t="s">
        <v>1833</v>
      </c>
    </row>
    <row r="1803">
      <c r="A1803" s="11" t="s">
        <v>1834</v>
      </c>
    </row>
    <row r="1804">
      <c r="A1804" s="11" t="s">
        <v>1835</v>
      </c>
    </row>
    <row r="1805">
      <c r="A1805" s="11" t="s">
        <v>1836</v>
      </c>
    </row>
    <row r="1806">
      <c r="A1806" s="11" t="s">
        <v>1837</v>
      </c>
    </row>
    <row r="1807">
      <c r="A1807" s="11" t="s">
        <v>1838</v>
      </c>
    </row>
    <row r="1808">
      <c r="A1808" s="11" t="s">
        <v>1839</v>
      </c>
    </row>
    <row r="1809">
      <c r="A1809" s="11" t="s">
        <v>1840</v>
      </c>
    </row>
    <row r="1810">
      <c r="A1810" s="11" t="s">
        <v>1841</v>
      </c>
    </row>
    <row r="1811">
      <c r="A1811" s="11" t="s">
        <v>1842</v>
      </c>
    </row>
    <row r="1812">
      <c r="A1812" s="11" t="s">
        <v>1843</v>
      </c>
    </row>
    <row r="1813">
      <c r="A1813" s="11" t="s">
        <v>1844</v>
      </c>
    </row>
    <row r="1814">
      <c r="A1814" s="11" t="s">
        <v>1845</v>
      </c>
    </row>
    <row r="1815">
      <c r="A1815" s="11" t="s">
        <v>1846</v>
      </c>
    </row>
    <row r="1816">
      <c r="A1816" s="11" t="s">
        <v>1847</v>
      </c>
    </row>
    <row r="1817">
      <c r="A1817" s="11" t="s">
        <v>1848</v>
      </c>
    </row>
    <row r="1818">
      <c r="A1818" s="11" t="s">
        <v>1849</v>
      </c>
    </row>
    <row r="1819">
      <c r="A1819" s="11" t="s">
        <v>1850</v>
      </c>
    </row>
    <row r="1820">
      <c r="A1820" s="11" t="s">
        <v>1851</v>
      </c>
    </row>
    <row r="1821">
      <c r="A1821" s="11" t="s">
        <v>1852</v>
      </c>
    </row>
    <row r="1822">
      <c r="A1822" s="11" t="s">
        <v>1853</v>
      </c>
    </row>
    <row r="1823">
      <c r="A1823" s="11" t="s">
        <v>1854</v>
      </c>
    </row>
    <row r="1824">
      <c r="A1824" s="11" t="s">
        <v>1855</v>
      </c>
    </row>
    <row r="1825">
      <c r="A1825" s="11" t="s">
        <v>1856</v>
      </c>
    </row>
    <row r="1826">
      <c r="A1826" s="11" t="s">
        <v>1857</v>
      </c>
    </row>
    <row r="1827">
      <c r="A1827" s="11" t="s">
        <v>1858</v>
      </c>
    </row>
    <row r="1828">
      <c r="A1828" s="11" t="s">
        <v>1859</v>
      </c>
    </row>
    <row r="1829">
      <c r="A1829" s="11" t="s">
        <v>1860</v>
      </c>
    </row>
    <row r="1830">
      <c r="A1830" s="11" t="s">
        <v>1861</v>
      </c>
    </row>
    <row r="1831">
      <c r="A1831" s="11" t="s">
        <v>1862</v>
      </c>
    </row>
    <row r="1832">
      <c r="A1832" s="11" t="s">
        <v>1863</v>
      </c>
    </row>
    <row r="1833">
      <c r="A1833" s="11" t="s">
        <v>1864</v>
      </c>
    </row>
    <row r="1834">
      <c r="A1834" s="11" t="s">
        <v>1865</v>
      </c>
    </row>
    <row r="1835">
      <c r="A1835" s="11" t="s">
        <v>1866</v>
      </c>
    </row>
    <row r="1836">
      <c r="A1836" s="11" t="s">
        <v>1867</v>
      </c>
    </row>
    <row r="1837">
      <c r="A1837" s="11" t="s">
        <v>1868</v>
      </c>
    </row>
    <row r="1838">
      <c r="A1838" s="11" t="s">
        <v>1869</v>
      </c>
    </row>
    <row r="1839">
      <c r="A1839" s="11" t="s">
        <v>1870</v>
      </c>
    </row>
    <row r="1840">
      <c r="A1840" s="11" t="s">
        <v>1871</v>
      </c>
    </row>
    <row r="1841">
      <c r="A1841" s="11" t="s">
        <v>1872</v>
      </c>
    </row>
    <row r="1842">
      <c r="A1842" s="11" t="s">
        <v>1873</v>
      </c>
    </row>
    <row r="1843">
      <c r="A1843" s="11" t="s">
        <v>1874</v>
      </c>
    </row>
    <row r="1844">
      <c r="A1844" s="11" t="s">
        <v>1875</v>
      </c>
    </row>
    <row r="1845">
      <c r="A1845" s="11" t="s">
        <v>1876</v>
      </c>
    </row>
    <row r="1846">
      <c r="A1846" s="11" t="s">
        <v>1877</v>
      </c>
    </row>
    <row r="1847">
      <c r="A1847" s="11" t="s">
        <v>1878</v>
      </c>
    </row>
    <row r="1848">
      <c r="A1848" s="11" t="s">
        <v>1879</v>
      </c>
    </row>
    <row r="1849">
      <c r="A1849" s="11" t="s">
        <v>1880</v>
      </c>
    </row>
    <row r="1850">
      <c r="A1850" s="11" t="s">
        <v>1881</v>
      </c>
    </row>
    <row r="1851">
      <c r="A1851" s="11" t="s">
        <v>1882</v>
      </c>
    </row>
    <row r="1852">
      <c r="A1852" s="11" t="s">
        <v>1883</v>
      </c>
    </row>
    <row r="1853">
      <c r="A1853" s="11" t="s">
        <v>1884</v>
      </c>
    </row>
    <row r="1854">
      <c r="A1854" s="11" t="s">
        <v>1885</v>
      </c>
    </row>
    <row r="1855">
      <c r="A1855" s="11" t="s">
        <v>1886</v>
      </c>
    </row>
    <row r="1856">
      <c r="A1856" s="11" t="s">
        <v>1887</v>
      </c>
    </row>
    <row r="1857">
      <c r="A1857" s="11" t="s">
        <v>1888</v>
      </c>
    </row>
    <row r="1858">
      <c r="A1858" s="11" t="s">
        <v>1889</v>
      </c>
    </row>
    <row r="1859">
      <c r="A1859" s="11" t="s">
        <v>1890</v>
      </c>
    </row>
    <row r="1860">
      <c r="A1860" s="11" t="s">
        <v>1891</v>
      </c>
    </row>
    <row r="1861">
      <c r="A1861" s="11" t="s">
        <v>1892</v>
      </c>
    </row>
    <row r="1862">
      <c r="A1862" s="11" t="s">
        <v>1893</v>
      </c>
    </row>
    <row r="1863">
      <c r="A1863" s="11" t="s">
        <v>1894</v>
      </c>
    </row>
    <row r="1864">
      <c r="A1864" s="11" t="s">
        <v>1895</v>
      </c>
    </row>
    <row r="1865">
      <c r="A1865" s="11" t="s">
        <v>1896</v>
      </c>
    </row>
    <row r="1866">
      <c r="A1866" s="11" t="s">
        <v>1897</v>
      </c>
    </row>
    <row r="1867">
      <c r="A1867" s="11" t="s">
        <v>1898</v>
      </c>
    </row>
    <row r="1868">
      <c r="A1868" s="11" t="s">
        <v>1899</v>
      </c>
    </row>
    <row r="1869">
      <c r="A1869" s="11" t="s">
        <v>1900</v>
      </c>
    </row>
    <row r="1870">
      <c r="A1870" s="11" t="s">
        <v>1901</v>
      </c>
    </row>
    <row r="1871">
      <c r="A1871" s="11" t="s">
        <v>1902</v>
      </c>
    </row>
    <row r="1872">
      <c r="A1872" s="11" t="s">
        <v>1903</v>
      </c>
    </row>
    <row r="1873">
      <c r="A1873" s="11" t="s">
        <v>1904</v>
      </c>
    </row>
    <row r="1874">
      <c r="A1874" s="11" t="s">
        <v>1905</v>
      </c>
    </row>
    <row r="1875">
      <c r="A1875" s="11" t="s">
        <v>1906</v>
      </c>
    </row>
    <row r="1876">
      <c r="A1876" s="11" t="s">
        <v>1907</v>
      </c>
    </row>
    <row r="1877">
      <c r="A1877" s="11" t="s">
        <v>1908</v>
      </c>
    </row>
    <row r="1878">
      <c r="A1878" s="11" t="s">
        <v>1909</v>
      </c>
    </row>
    <row r="1879">
      <c r="A1879" s="11" t="s">
        <v>1910</v>
      </c>
    </row>
    <row r="1880">
      <c r="A1880" s="11" t="s">
        <v>1911</v>
      </c>
    </row>
    <row r="1881">
      <c r="A1881" s="11" t="s">
        <v>1912</v>
      </c>
    </row>
    <row r="1882">
      <c r="A1882" s="11" t="s">
        <v>1913</v>
      </c>
    </row>
    <row r="1883">
      <c r="A1883" s="11" t="s">
        <v>1914</v>
      </c>
    </row>
    <row r="1884">
      <c r="A1884" s="11" t="s">
        <v>1915</v>
      </c>
    </row>
    <row r="1885">
      <c r="A1885" s="11" t="s">
        <v>1916</v>
      </c>
    </row>
    <row r="1886">
      <c r="A1886" s="11" t="s">
        <v>1917</v>
      </c>
    </row>
    <row r="1887">
      <c r="A1887" s="11" t="s">
        <v>1918</v>
      </c>
    </row>
    <row r="1888">
      <c r="A1888" s="11" t="s">
        <v>1919</v>
      </c>
    </row>
    <row r="1889">
      <c r="A1889" s="11" t="s">
        <v>1920</v>
      </c>
    </row>
    <row r="1890">
      <c r="A1890" s="11" t="s">
        <v>1921</v>
      </c>
    </row>
    <row r="1891">
      <c r="A1891" s="11" t="s">
        <v>1922</v>
      </c>
    </row>
    <row r="1892">
      <c r="A1892" s="11" t="s">
        <v>1923</v>
      </c>
    </row>
    <row r="1893">
      <c r="A1893" s="11" t="s">
        <v>1924</v>
      </c>
    </row>
    <row r="1894">
      <c r="A1894" s="11" t="s">
        <v>1925</v>
      </c>
    </row>
    <row r="1895">
      <c r="A1895" s="11" t="s">
        <v>1926</v>
      </c>
    </row>
    <row r="1896">
      <c r="A1896" s="11" t="s">
        <v>1927</v>
      </c>
    </row>
    <row r="1897">
      <c r="A1897" s="11" t="s">
        <v>1928</v>
      </c>
    </row>
    <row r="1898">
      <c r="A1898" s="11" t="s">
        <v>1929</v>
      </c>
    </row>
    <row r="1899">
      <c r="A1899" s="11" t="s">
        <v>1930</v>
      </c>
    </row>
    <row r="1900">
      <c r="A1900" s="11" t="s">
        <v>1931</v>
      </c>
    </row>
    <row r="1901">
      <c r="A1901" s="11" t="s">
        <v>1932</v>
      </c>
    </row>
    <row r="1902">
      <c r="A1902" s="11" t="s">
        <v>1933</v>
      </c>
    </row>
    <row r="1903">
      <c r="A1903" s="11" t="s">
        <v>1934</v>
      </c>
    </row>
    <row r="1904">
      <c r="A1904" s="11" t="s">
        <v>1935</v>
      </c>
    </row>
    <row r="1905">
      <c r="A1905" s="11" t="s">
        <v>1936</v>
      </c>
    </row>
    <row r="1906">
      <c r="A1906" s="11" t="s">
        <v>1937</v>
      </c>
    </row>
    <row r="1907">
      <c r="A1907" s="11" t="s">
        <v>1938</v>
      </c>
    </row>
    <row r="1908">
      <c r="A1908" s="11" t="s">
        <v>1939</v>
      </c>
    </row>
    <row r="1909">
      <c r="A1909" s="11" t="s">
        <v>1940</v>
      </c>
    </row>
    <row r="1910">
      <c r="A1910" s="11" t="s">
        <v>1941</v>
      </c>
    </row>
    <row r="1911">
      <c r="A1911" s="11" t="s">
        <v>1942</v>
      </c>
    </row>
    <row r="1912">
      <c r="A1912" s="11" t="s">
        <v>1943</v>
      </c>
    </row>
    <row r="1913">
      <c r="A1913" s="11" t="s">
        <v>1944</v>
      </c>
    </row>
    <row r="1914">
      <c r="A1914" s="11" t="s">
        <v>1945</v>
      </c>
    </row>
    <row r="1915">
      <c r="A1915" s="11" t="s">
        <v>1946</v>
      </c>
    </row>
    <row r="1916">
      <c r="A1916" s="11" t="s">
        <v>1947</v>
      </c>
    </row>
    <row r="1917">
      <c r="A1917" s="11" t="s">
        <v>1948</v>
      </c>
    </row>
    <row r="1918">
      <c r="A1918" s="11" t="s">
        <v>1949</v>
      </c>
    </row>
    <row r="1919">
      <c r="A1919" s="11" t="s">
        <v>1950</v>
      </c>
    </row>
    <row r="1920">
      <c r="A1920" s="11" t="s">
        <v>1951</v>
      </c>
    </row>
    <row r="1921">
      <c r="A1921" s="11" t="s">
        <v>1952</v>
      </c>
    </row>
    <row r="1922">
      <c r="A1922" s="11" t="s">
        <v>1953</v>
      </c>
    </row>
    <row r="1923">
      <c r="A1923" s="11" t="s">
        <v>1954</v>
      </c>
    </row>
    <row r="1924">
      <c r="A1924" s="11" t="s">
        <v>1955</v>
      </c>
    </row>
    <row r="1925">
      <c r="A1925" s="11" t="s">
        <v>1956</v>
      </c>
    </row>
    <row r="1926">
      <c r="A1926" s="11" t="s">
        <v>1957</v>
      </c>
    </row>
    <row r="1927">
      <c r="A1927" s="11" t="s">
        <v>1958</v>
      </c>
    </row>
    <row r="1928">
      <c r="A1928" s="11" t="s">
        <v>1959</v>
      </c>
    </row>
    <row r="1929">
      <c r="A1929" s="11" t="s">
        <v>1960</v>
      </c>
    </row>
    <row r="1930">
      <c r="A1930" s="11" t="s">
        <v>1961</v>
      </c>
    </row>
    <row r="1931">
      <c r="A1931" s="11" t="s">
        <v>1962</v>
      </c>
    </row>
    <row r="1932">
      <c r="A1932" s="11" t="s">
        <v>1963</v>
      </c>
    </row>
    <row r="1933">
      <c r="A1933" s="11" t="s">
        <v>1964</v>
      </c>
    </row>
    <row r="1934">
      <c r="A1934" s="11" t="s">
        <v>1965</v>
      </c>
    </row>
    <row r="1935">
      <c r="A1935" s="11" t="s">
        <v>1966</v>
      </c>
    </row>
    <row r="1936">
      <c r="A1936" s="11" t="s">
        <v>1967</v>
      </c>
    </row>
    <row r="1937">
      <c r="A1937" s="11" t="s">
        <v>1968</v>
      </c>
    </row>
    <row r="1938">
      <c r="A1938" s="11" t="s">
        <v>1969</v>
      </c>
    </row>
    <row r="1939">
      <c r="A1939" s="11" t="s">
        <v>1970</v>
      </c>
    </row>
    <row r="1940">
      <c r="A1940" s="11" t="s">
        <v>1971</v>
      </c>
    </row>
    <row r="1941">
      <c r="A1941" s="11" t="s">
        <v>1972</v>
      </c>
    </row>
    <row r="1942">
      <c r="A1942" s="11" t="s">
        <v>1973</v>
      </c>
    </row>
    <row r="1943">
      <c r="A1943" s="11" t="s">
        <v>1974</v>
      </c>
    </row>
    <row r="1944">
      <c r="A1944" s="11" t="s">
        <v>1975</v>
      </c>
    </row>
    <row r="1945">
      <c r="A1945" s="11" t="s">
        <v>1976</v>
      </c>
    </row>
    <row r="1946">
      <c r="A1946" s="11" t="s">
        <v>1977</v>
      </c>
    </row>
    <row r="1947">
      <c r="A1947" s="11" t="s">
        <v>1978</v>
      </c>
    </row>
    <row r="1948">
      <c r="A1948" s="11" t="s">
        <v>1979</v>
      </c>
    </row>
    <row r="1949">
      <c r="A1949" s="11" t="s">
        <v>1980</v>
      </c>
    </row>
    <row r="1950">
      <c r="A1950" s="11" t="s">
        <v>1981</v>
      </c>
    </row>
    <row r="1951">
      <c r="A1951" s="11" t="s">
        <v>1982</v>
      </c>
    </row>
    <row r="1952">
      <c r="A1952" s="11" t="s">
        <v>1983</v>
      </c>
    </row>
    <row r="1953">
      <c r="A1953" s="11" t="s">
        <v>1984</v>
      </c>
    </row>
    <row r="1954">
      <c r="A1954" s="11" t="s">
        <v>1985</v>
      </c>
    </row>
    <row r="1955">
      <c r="A1955" s="11" t="s">
        <v>1986</v>
      </c>
    </row>
    <row r="1956">
      <c r="A1956" s="11" t="s">
        <v>1987</v>
      </c>
    </row>
    <row r="1957">
      <c r="A1957" s="11" t="s">
        <v>1988</v>
      </c>
    </row>
    <row r="1958">
      <c r="A1958" s="11" t="s">
        <v>1989</v>
      </c>
    </row>
    <row r="1959">
      <c r="A1959" s="11" t="s">
        <v>1990</v>
      </c>
    </row>
    <row r="1960">
      <c r="A1960" s="11" t="s">
        <v>1991</v>
      </c>
    </row>
    <row r="1961">
      <c r="A1961" s="11" t="s">
        <v>1992</v>
      </c>
    </row>
    <row r="1962">
      <c r="A1962" s="11" t="s">
        <v>1993</v>
      </c>
    </row>
    <row r="1963">
      <c r="A1963" s="11" t="s">
        <v>1994</v>
      </c>
    </row>
    <row r="1964">
      <c r="A1964" s="11" t="s">
        <v>1995</v>
      </c>
    </row>
    <row r="1965">
      <c r="A1965" s="11" t="s">
        <v>1996</v>
      </c>
    </row>
    <row r="1966">
      <c r="A1966" s="11" t="s">
        <v>1997</v>
      </c>
    </row>
    <row r="1967">
      <c r="A1967" s="11" t="s">
        <v>1998</v>
      </c>
    </row>
    <row r="1968">
      <c r="A1968" s="11" t="s">
        <v>1999</v>
      </c>
    </row>
    <row r="1969">
      <c r="A1969" s="11" t="s">
        <v>2000</v>
      </c>
    </row>
    <row r="1970">
      <c r="A1970" s="11" t="s">
        <v>2001</v>
      </c>
    </row>
    <row r="1971">
      <c r="A1971" s="11" t="s">
        <v>2002</v>
      </c>
    </row>
    <row r="1972">
      <c r="A1972" s="11" t="s">
        <v>2003</v>
      </c>
    </row>
    <row r="1973">
      <c r="A1973" s="11" t="s">
        <v>2004</v>
      </c>
    </row>
    <row r="1974">
      <c r="A1974" s="11" t="s">
        <v>2005</v>
      </c>
    </row>
    <row r="1975">
      <c r="A1975" s="11" t="s">
        <v>2006</v>
      </c>
    </row>
    <row r="1976">
      <c r="A1976" s="11" t="s">
        <v>2007</v>
      </c>
    </row>
    <row r="1977">
      <c r="A1977" s="11" t="s">
        <v>2008</v>
      </c>
    </row>
    <row r="1978">
      <c r="A1978" s="11" t="s">
        <v>2009</v>
      </c>
    </row>
    <row r="1979">
      <c r="A1979" s="11" t="s">
        <v>2010</v>
      </c>
    </row>
    <row r="1980">
      <c r="A1980" s="11" t="s">
        <v>2011</v>
      </c>
    </row>
    <row r="1981">
      <c r="A1981" s="11" t="s">
        <v>2012</v>
      </c>
    </row>
    <row r="1982">
      <c r="A1982" s="11" t="s">
        <v>2013</v>
      </c>
    </row>
    <row r="1983">
      <c r="A1983" s="11" t="s">
        <v>2014</v>
      </c>
    </row>
    <row r="1984">
      <c r="A1984" s="11" t="s">
        <v>2015</v>
      </c>
    </row>
    <row r="1985">
      <c r="A1985" s="11" t="s">
        <v>2016</v>
      </c>
    </row>
    <row r="1986">
      <c r="A1986" s="11" t="s">
        <v>2017</v>
      </c>
    </row>
    <row r="1987">
      <c r="A1987" s="11" t="s">
        <v>2018</v>
      </c>
    </row>
    <row r="1988">
      <c r="A1988" s="11" t="s">
        <v>2019</v>
      </c>
    </row>
    <row r="1989">
      <c r="A1989" s="11" t="s">
        <v>2020</v>
      </c>
    </row>
    <row r="1990">
      <c r="A1990" s="11" t="s">
        <v>2021</v>
      </c>
    </row>
    <row r="1991">
      <c r="A1991" s="11" t="s">
        <v>2022</v>
      </c>
    </row>
    <row r="1992">
      <c r="A1992" s="11" t="s">
        <v>2023</v>
      </c>
    </row>
    <row r="1993">
      <c r="A1993" s="11" t="s">
        <v>2024</v>
      </c>
    </row>
    <row r="1994">
      <c r="A1994" s="11" t="s">
        <v>2025</v>
      </c>
    </row>
    <row r="1995">
      <c r="A1995" s="11" t="s">
        <v>2026</v>
      </c>
    </row>
    <row r="1996">
      <c r="A1996" s="11" t="s">
        <v>2027</v>
      </c>
    </row>
    <row r="1997">
      <c r="A1997" s="11" t="s">
        <v>2028</v>
      </c>
    </row>
    <row r="1998">
      <c r="A1998" s="11" t="s">
        <v>2029</v>
      </c>
    </row>
    <row r="1999">
      <c r="A1999" s="11" t="s">
        <v>2030</v>
      </c>
    </row>
    <row r="2000">
      <c r="A2000" s="11" t="s">
        <v>2031</v>
      </c>
    </row>
    <row r="2001">
      <c r="A2001" s="11" t="s">
        <v>2032</v>
      </c>
    </row>
    <row r="2002">
      <c r="A2002" s="11" t="s">
        <v>2033</v>
      </c>
    </row>
    <row r="2003">
      <c r="A2003" s="11" t="s">
        <v>2034</v>
      </c>
    </row>
    <row r="2004">
      <c r="A2004" s="11" t="s">
        <v>2035</v>
      </c>
    </row>
    <row r="2005">
      <c r="A2005" s="11" t="s">
        <v>2036</v>
      </c>
    </row>
    <row r="2006">
      <c r="A2006" s="11" t="s">
        <v>2037</v>
      </c>
    </row>
    <row r="2007">
      <c r="A2007" s="11" t="s">
        <v>2038</v>
      </c>
    </row>
    <row r="2008">
      <c r="A2008" s="11" t="s">
        <v>2039</v>
      </c>
    </row>
    <row r="2009">
      <c r="A2009" s="11" t="s">
        <v>2040</v>
      </c>
    </row>
    <row r="2010">
      <c r="A2010" s="11" t="s">
        <v>2041</v>
      </c>
    </row>
    <row r="2011">
      <c r="A2011" s="11" t="s">
        <v>2042</v>
      </c>
    </row>
    <row r="2012">
      <c r="A2012" s="11" t="s">
        <v>2043</v>
      </c>
    </row>
    <row r="2013">
      <c r="A2013" s="11" t="s">
        <v>2044</v>
      </c>
    </row>
    <row r="2014">
      <c r="A2014" s="11" t="s">
        <v>2045</v>
      </c>
    </row>
    <row r="2015">
      <c r="A2015" s="11" t="s">
        <v>2046</v>
      </c>
    </row>
    <row r="2016">
      <c r="A2016" s="11" t="s">
        <v>2047</v>
      </c>
    </row>
    <row r="2017">
      <c r="A2017" s="11" t="s">
        <v>2048</v>
      </c>
    </row>
    <row r="2018">
      <c r="A2018" s="11" t="s">
        <v>2049</v>
      </c>
    </row>
    <row r="2019">
      <c r="A2019" s="11" t="s">
        <v>2050</v>
      </c>
    </row>
    <row r="2020">
      <c r="A2020" s="11" t="s">
        <v>2051</v>
      </c>
    </row>
    <row r="2021">
      <c r="A2021" s="11" t="s">
        <v>2052</v>
      </c>
    </row>
    <row r="2022">
      <c r="A2022" s="11" t="s">
        <v>2053</v>
      </c>
    </row>
    <row r="2023">
      <c r="A2023" s="11" t="s">
        <v>2054</v>
      </c>
    </row>
    <row r="2024">
      <c r="A2024" s="11" t="s">
        <v>2055</v>
      </c>
    </row>
    <row r="2025">
      <c r="A2025" s="11" t="s">
        <v>2056</v>
      </c>
    </row>
    <row r="2026">
      <c r="A2026" s="11" t="s">
        <v>2057</v>
      </c>
    </row>
    <row r="2027">
      <c r="A2027" s="11" t="s">
        <v>2058</v>
      </c>
    </row>
    <row r="2028">
      <c r="A2028" s="11" t="s">
        <v>2059</v>
      </c>
    </row>
    <row r="2029">
      <c r="A2029" s="11" t="s">
        <v>2060</v>
      </c>
    </row>
    <row r="2030">
      <c r="A2030" s="11" t="s">
        <v>2061</v>
      </c>
    </row>
    <row r="2031">
      <c r="A2031" s="11" t="s">
        <v>2062</v>
      </c>
    </row>
    <row r="2032">
      <c r="A2032" s="11" t="s">
        <v>2063</v>
      </c>
    </row>
    <row r="2033">
      <c r="A2033" s="11" t="s">
        <v>2064</v>
      </c>
    </row>
    <row r="2034">
      <c r="A2034" s="11" t="s">
        <v>2065</v>
      </c>
    </row>
    <row r="2035">
      <c r="A2035" s="11" t="s">
        <v>2066</v>
      </c>
    </row>
    <row r="2036">
      <c r="A2036" s="11" t="s">
        <v>2067</v>
      </c>
    </row>
    <row r="2037">
      <c r="A2037" s="11" t="s">
        <v>2068</v>
      </c>
    </row>
    <row r="2038">
      <c r="A2038" s="11" t="s">
        <v>2069</v>
      </c>
    </row>
    <row r="2039">
      <c r="A2039" s="11" t="s">
        <v>2070</v>
      </c>
    </row>
    <row r="2040">
      <c r="A2040" s="11" t="s">
        <v>2071</v>
      </c>
    </row>
    <row r="2041">
      <c r="A2041" s="11" t="s">
        <v>2072</v>
      </c>
    </row>
    <row r="2042">
      <c r="A2042" s="11" t="s">
        <v>2073</v>
      </c>
    </row>
    <row r="2043">
      <c r="A2043" s="11" t="s">
        <v>2074</v>
      </c>
    </row>
    <row r="2044">
      <c r="A2044" s="11" t="s">
        <v>2075</v>
      </c>
    </row>
    <row r="2045">
      <c r="A2045" s="11" t="s">
        <v>2076</v>
      </c>
    </row>
    <row r="2046">
      <c r="A2046" s="11" t="s">
        <v>2077</v>
      </c>
    </row>
    <row r="2047">
      <c r="A2047" s="11" t="s">
        <v>2078</v>
      </c>
    </row>
    <row r="2048">
      <c r="A2048" s="11" t="s">
        <v>2079</v>
      </c>
    </row>
    <row r="2049">
      <c r="A2049" s="11" t="s">
        <v>2080</v>
      </c>
    </row>
    <row r="2050">
      <c r="A2050" s="11" t="s">
        <v>2081</v>
      </c>
    </row>
    <row r="2051">
      <c r="A2051" s="11" t="s">
        <v>2082</v>
      </c>
    </row>
    <row r="2052">
      <c r="A2052" s="11" t="s">
        <v>2083</v>
      </c>
    </row>
    <row r="2053">
      <c r="A2053" s="11" t="s">
        <v>2084</v>
      </c>
    </row>
    <row r="2054">
      <c r="A2054" s="11" t="s">
        <v>2085</v>
      </c>
    </row>
    <row r="2055">
      <c r="A2055" s="11" t="s">
        <v>2086</v>
      </c>
    </row>
    <row r="2056">
      <c r="A2056" s="11" t="s">
        <v>2087</v>
      </c>
    </row>
    <row r="2057">
      <c r="A2057" s="11" t="s">
        <v>2088</v>
      </c>
    </row>
    <row r="2058">
      <c r="A2058" s="11" t="s">
        <v>2089</v>
      </c>
    </row>
    <row r="2059">
      <c r="A2059" s="11" t="s">
        <v>2090</v>
      </c>
    </row>
    <row r="2060">
      <c r="A2060" s="11" t="s">
        <v>2091</v>
      </c>
    </row>
    <row r="2061">
      <c r="A2061" s="11" t="s">
        <v>2092</v>
      </c>
    </row>
    <row r="2062">
      <c r="A2062" s="11" t="s">
        <v>2093</v>
      </c>
    </row>
    <row r="2063">
      <c r="A2063" s="11" t="s">
        <v>2094</v>
      </c>
    </row>
    <row r="2064">
      <c r="A2064" s="11" t="s">
        <v>2095</v>
      </c>
    </row>
    <row r="2065">
      <c r="A2065" s="11" t="s">
        <v>2096</v>
      </c>
    </row>
    <row r="2066">
      <c r="A2066" s="11" t="s">
        <v>2097</v>
      </c>
    </row>
    <row r="2067">
      <c r="A2067" s="11" t="s">
        <v>2098</v>
      </c>
    </row>
    <row r="2068">
      <c r="A2068" s="11" t="s">
        <v>2099</v>
      </c>
    </row>
    <row r="2069">
      <c r="A2069" s="11" t="s">
        <v>2100</v>
      </c>
    </row>
    <row r="2070">
      <c r="A2070" s="11" t="s">
        <v>2101</v>
      </c>
    </row>
    <row r="2071">
      <c r="A2071" s="11" t="s">
        <v>2102</v>
      </c>
    </row>
    <row r="2072">
      <c r="A2072" s="11" t="s">
        <v>2103</v>
      </c>
    </row>
    <row r="2073">
      <c r="A2073" s="11" t="s">
        <v>2104</v>
      </c>
    </row>
    <row r="2074">
      <c r="A2074" s="11" t="s">
        <v>2105</v>
      </c>
    </row>
    <row r="2075">
      <c r="A2075" s="11" t="s">
        <v>2106</v>
      </c>
    </row>
    <row r="2076">
      <c r="A2076" s="11" t="s">
        <v>2107</v>
      </c>
    </row>
    <row r="2077">
      <c r="A2077" s="11" t="s">
        <v>2108</v>
      </c>
    </row>
    <row r="2078">
      <c r="A2078" s="11" t="s">
        <v>2109</v>
      </c>
    </row>
    <row r="2079">
      <c r="A2079" s="11" t="s">
        <v>2110</v>
      </c>
    </row>
    <row r="2080">
      <c r="A2080" s="11" t="s">
        <v>2111</v>
      </c>
    </row>
    <row r="2081">
      <c r="A2081" s="11" t="s">
        <v>2112</v>
      </c>
    </row>
    <row r="2082">
      <c r="A2082" s="11" t="s">
        <v>2113</v>
      </c>
    </row>
    <row r="2083">
      <c r="A2083" s="11" t="s">
        <v>2114</v>
      </c>
    </row>
    <row r="2084">
      <c r="A2084" s="11" t="s">
        <v>2115</v>
      </c>
    </row>
    <row r="2085">
      <c r="A2085" s="11" t="s">
        <v>2116</v>
      </c>
    </row>
    <row r="2086">
      <c r="A2086" s="11" t="s">
        <v>2117</v>
      </c>
    </row>
    <row r="2087">
      <c r="A2087" s="11" t="s">
        <v>2118</v>
      </c>
    </row>
    <row r="2088">
      <c r="A2088" s="11" t="s">
        <v>2119</v>
      </c>
    </row>
    <row r="2089">
      <c r="A2089" s="11" t="s">
        <v>2120</v>
      </c>
    </row>
    <row r="2090">
      <c r="A2090" s="11" t="s">
        <v>2121</v>
      </c>
    </row>
    <row r="2091">
      <c r="A2091" s="11" t="s">
        <v>2122</v>
      </c>
    </row>
    <row r="2092">
      <c r="A2092" s="11" t="s">
        <v>2123</v>
      </c>
    </row>
    <row r="2093">
      <c r="A2093" s="11" t="s">
        <v>2124</v>
      </c>
    </row>
    <row r="2094">
      <c r="A2094" s="11" t="s">
        <v>2125</v>
      </c>
    </row>
    <row r="2095">
      <c r="A2095" s="11" t="s">
        <v>2126</v>
      </c>
    </row>
    <row r="2096">
      <c r="A2096" s="11" t="s">
        <v>2127</v>
      </c>
    </row>
    <row r="2097">
      <c r="A2097" s="11" t="s">
        <v>2128</v>
      </c>
    </row>
    <row r="2098">
      <c r="A2098" s="11" t="s">
        <v>2129</v>
      </c>
    </row>
    <row r="2099">
      <c r="A2099" s="11" t="s">
        <v>2130</v>
      </c>
    </row>
    <row r="2100">
      <c r="A2100" s="11" t="s">
        <v>2131</v>
      </c>
    </row>
    <row r="2101">
      <c r="A2101" s="11" t="s">
        <v>2132</v>
      </c>
    </row>
    <row r="2102">
      <c r="A2102" s="11" t="s">
        <v>2133</v>
      </c>
    </row>
    <row r="2103">
      <c r="A2103" s="11" t="s">
        <v>2134</v>
      </c>
    </row>
    <row r="2104">
      <c r="A2104" s="11" t="s">
        <v>2135</v>
      </c>
    </row>
    <row r="2105">
      <c r="A2105" s="11" t="s">
        <v>2136</v>
      </c>
    </row>
    <row r="2106">
      <c r="A2106" s="11" t="s">
        <v>2137</v>
      </c>
    </row>
    <row r="2107">
      <c r="A2107" s="11" t="s">
        <v>2138</v>
      </c>
    </row>
    <row r="2108">
      <c r="A2108" s="11" t="s">
        <v>2139</v>
      </c>
    </row>
    <row r="2109">
      <c r="A2109" s="11" t="s">
        <v>2140</v>
      </c>
    </row>
    <row r="2110">
      <c r="A2110" s="11" t="s">
        <v>2141</v>
      </c>
    </row>
    <row r="2111">
      <c r="A2111" s="11" t="s">
        <v>2142</v>
      </c>
    </row>
    <row r="2112">
      <c r="A2112" s="11" t="s">
        <v>2143</v>
      </c>
    </row>
    <row r="2113">
      <c r="A2113" s="11" t="s">
        <v>2144</v>
      </c>
    </row>
    <row r="2114">
      <c r="A2114" s="11" t="s">
        <v>2145</v>
      </c>
    </row>
    <row r="2115">
      <c r="A2115" s="11" t="s">
        <v>2146</v>
      </c>
    </row>
    <row r="2116">
      <c r="A2116" s="11" t="s">
        <v>2147</v>
      </c>
    </row>
    <row r="2117">
      <c r="A2117" s="11" t="s">
        <v>2148</v>
      </c>
    </row>
    <row r="2118">
      <c r="A2118" s="11" t="s">
        <v>2149</v>
      </c>
    </row>
    <row r="2119">
      <c r="A2119" s="11" t="s">
        <v>2150</v>
      </c>
    </row>
    <row r="2120">
      <c r="A2120" s="11" t="s">
        <v>2151</v>
      </c>
    </row>
    <row r="2121">
      <c r="A2121" s="11" t="s">
        <v>2152</v>
      </c>
    </row>
    <row r="2122">
      <c r="A2122" s="11" t="s">
        <v>2153</v>
      </c>
    </row>
    <row r="2123">
      <c r="A2123" s="11" t="s">
        <v>2154</v>
      </c>
    </row>
    <row r="2124">
      <c r="A2124" s="11" t="s">
        <v>2155</v>
      </c>
    </row>
    <row r="2125">
      <c r="A2125" s="11" t="s">
        <v>2156</v>
      </c>
    </row>
    <row r="2126">
      <c r="A2126" s="11" t="s">
        <v>2157</v>
      </c>
    </row>
    <row r="2127">
      <c r="A2127" s="11" t="s">
        <v>2158</v>
      </c>
    </row>
    <row r="2128">
      <c r="A2128" s="11" t="s">
        <v>2159</v>
      </c>
    </row>
    <row r="2129">
      <c r="A2129" s="11" t="s">
        <v>2160</v>
      </c>
    </row>
    <row r="2130">
      <c r="A2130" s="11" t="s">
        <v>2161</v>
      </c>
    </row>
    <row r="2131">
      <c r="A2131" s="11" t="s">
        <v>2162</v>
      </c>
    </row>
    <row r="2132">
      <c r="A2132" s="11" t="s">
        <v>2163</v>
      </c>
    </row>
    <row r="2133">
      <c r="A2133" s="11" t="s">
        <v>2164</v>
      </c>
    </row>
    <row r="2134">
      <c r="A2134" s="11" t="s">
        <v>2165</v>
      </c>
    </row>
    <row r="2135">
      <c r="A2135" s="11" t="s">
        <v>2166</v>
      </c>
    </row>
    <row r="2136">
      <c r="A2136" s="11" t="s">
        <v>2167</v>
      </c>
    </row>
    <row r="2137">
      <c r="A2137" s="11" t="s">
        <v>2168</v>
      </c>
    </row>
    <row r="2138">
      <c r="A2138" s="11" t="s">
        <v>2169</v>
      </c>
    </row>
    <row r="2139">
      <c r="A2139" s="11" t="s">
        <v>2170</v>
      </c>
    </row>
    <row r="2140">
      <c r="A2140" s="11" t="s">
        <v>2171</v>
      </c>
    </row>
    <row r="2141">
      <c r="A2141" s="11" t="s">
        <v>2172</v>
      </c>
    </row>
    <row r="2142">
      <c r="A2142" s="11" t="s">
        <v>2173</v>
      </c>
    </row>
    <row r="2143">
      <c r="A2143" s="11" t="s">
        <v>2174</v>
      </c>
    </row>
    <row r="2144">
      <c r="A2144" s="11" t="s">
        <v>2175</v>
      </c>
    </row>
    <row r="2145">
      <c r="A2145" s="11" t="s">
        <v>2176</v>
      </c>
    </row>
    <row r="2146">
      <c r="A2146" s="11" t="s">
        <v>2177</v>
      </c>
    </row>
    <row r="2147">
      <c r="A2147" s="11" t="s">
        <v>2178</v>
      </c>
    </row>
    <row r="2148">
      <c r="A2148" s="11" t="s">
        <v>2179</v>
      </c>
    </row>
    <row r="2149">
      <c r="A2149" s="11" t="s">
        <v>2180</v>
      </c>
    </row>
    <row r="2150">
      <c r="A2150" s="11" t="s">
        <v>2181</v>
      </c>
    </row>
    <row r="2151">
      <c r="A2151" s="11" t="s">
        <v>2182</v>
      </c>
    </row>
    <row r="2152">
      <c r="A2152" s="11" t="s">
        <v>2183</v>
      </c>
    </row>
    <row r="2153">
      <c r="A2153" s="11" t="s">
        <v>2184</v>
      </c>
    </row>
    <row r="2154">
      <c r="A2154" s="11" t="s">
        <v>2185</v>
      </c>
    </row>
    <row r="2155">
      <c r="A2155" s="11" t="s">
        <v>2186</v>
      </c>
    </row>
    <row r="2156">
      <c r="A2156" s="11" t="s">
        <v>2187</v>
      </c>
    </row>
    <row r="2157">
      <c r="A2157" s="11" t="s">
        <v>2188</v>
      </c>
    </row>
    <row r="2158">
      <c r="A2158" s="11" t="s">
        <v>2189</v>
      </c>
    </row>
    <row r="2159">
      <c r="A2159" s="11" t="s">
        <v>2190</v>
      </c>
    </row>
    <row r="2160">
      <c r="A2160" s="11" t="s">
        <v>2191</v>
      </c>
    </row>
    <row r="2161">
      <c r="A2161" s="11" t="s">
        <v>2192</v>
      </c>
    </row>
    <row r="2162">
      <c r="A2162" s="11" t="s">
        <v>2193</v>
      </c>
    </row>
    <row r="2163">
      <c r="A2163" s="11" t="s">
        <v>2194</v>
      </c>
    </row>
    <row r="2164">
      <c r="A2164" s="11" t="s">
        <v>2195</v>
      </c>
    </row>
    <row r="2165">
      <c r="A2165" s="11" t="s">
        <v>2196</v>
      </c>
    </row>
    <row r="2166">
      <c r="A2166" s="11" t="s">
        <v>2197</v>
      </c>
    </row>
    <row r="2167">
      <c r="A2167" s="11" t="s">
        <v>2198</v>
      </c>
    </row>
    <row r="2168">
      <c r="A2168" s="11" t="s">
        <v>2199</v>
      </c>
    </row>
    <row r="2169">
      <c r="A2169" s="11" t="s">
        <v>2200</v>
      </c>
    </row>
    <row r="2170">
      <c r="A2170" s="11" t="s">
        <v>2201</v>
      </c>
    </row>
    <row r="2171">
      <c r="A2171" s="11" t="s">
        <v>2202</v>
      </c>
    </row>
    <row r="2172">
      <c r="A2172" s="11" t="s">
        <v>2203</v>
      </c>
    </row>
    <row r="2173">
      <c r="A2173" s="11" t="s">
        <v>2204</v>
      </c>
    </row>
    <row r="2174">
      <c r="A2174" s="11" t="s">
        <v>2205</v>
      </c>
    </row>
    <row r="2175">
      <c r="A2175" s="11" t="s">
        <v>2206</v>
      </c>
    </row>
    <row r="2176">
      <c r="A2176" s="11" t="s">
        <v>2207</v>
      </c>
    </row>
    <row r="2177">
      <c r="A2177" s="11" t="s">
        <v>2208</v>
      </c>
    </row>
    <row r="2178">
      <c r="A2178" s="11" t="s">
        <v>2209</v>
      </c>
    </row>
    <row r="2179">
      <c r="A2179" s="11" t="s">
        <v>2210</v>
      </c>
    </row>
    <row r="2180">
      <c r="A2180" s="11" t="s">
        <v>2211</v>
      </c>
    </row>
    <row r="2181">
      <c r="A2181" s="11" t="s">
        <v>2212</v>
      </c>
    </row>
    <row r="2182">
      <c r="A2182" s="11" t="s">
        <v>2213</v>
      </c>
    </row>
    <row r="2183">
      <c r="A2183" s="11" t="s">
        <v>2214</v>
      </c>
    </row>
    <row r="2184">
      <c r="A2184" s="11" t="s">
        <v>2215</v>
      </c>
    </row>
    <row r="2185">
      <c r="A2185" s="11" t="s">
        <v>2216</v>
      </c>
    </row>
    <row r="2186">
      <c r="A2186" s="11" t="s">
        <v>2217</v>
      </c>
    </row>
    <row r="2187">
      <c r="A2187" s="11" t="s">
        <v>2218</v>
      </c>
    </row>
    <row r="2188">
      <c r="A2188" s="11" t="s">
        <v>2219</v>
      </c>
    </row>
    <row r="2189">
      <c r="A2189" s="11" t="s">
        <v>2220</v>
      </c>
    </row>
    <row r="2190">
      <c r="A2190" s="11" t="s">
        <v>2221</v>
      </c>
    </row>
    <row r="2191">
      <c r="A2191" s="11" t="s">
        <v>2222</v>
      </c>
    </row>
    <row r="2192">
      <c r="A2192" s="11" t="s">
        <v>2223</v>
      </c>
    </row>
    <row r="2193">
      <c r="A2193" s="11" t="s">
        <v>2224</v>
      </c>
    </row>
    <row r="2194">
      <c r="A2194" s="11" t="s">
        <v>2225</v>
      </c>
    </row>
    <row r="2195">
      <c r="A2195" s="11" t="s">
        <v>2226</v>
      </c>
    </row>
    <row r="2196">
      <c r="A2196" s="11" t="s">
        <v>2227</v>
      </c>
    </row>
    <row r="2197">
      <c r="A2197" s="11" t="s">
        <v>2228</v>
      </c>
    </row>
    <row r="2198">
      <c r="A2198" s="11" t="s">
        <v>2229</v>
      </c>
    </row>
    <row r="2199">
      <c r="A2199" s="11" t="s">
        <v>2230</v>
      </c>
    </row>
    <row r="2200">
      <c r="A2200" s="11" t="s">
        <v>2231</v>
      </c>
    </row>
    <row r="2201">
      <c r="A2201" s="11" t="s">
        <v>2232</v>
      </c>
    </row>
    <row r="2202">
      <c r="A2202" s="11" t="s">
        <v>2233</v>
      </c>
    </row>
    <row r="2203">
      <c r="A2203" s="11" t="s">
        <v>2234</v>
      </c>
    </row>
    <row r="2204">
      <c r="A2204" s="11" t="s">
        <v>2235</v>
      </c>
    </row>
    <row r="2205">
      <c r="A2205" s="11" t="s">
        <v>2236</v>
      </c>
    </row>
    <row r="2206">
      <c r="A2206" s="11" t="s">
        <v>2237</v>
      </c>
    </row>
    <row r="2207">
      <c r="A2207" s="11" t="s">
        <v>2238</v>
      </c>
    </row>
    <row r="2208">
      <c r="A2208" s="11" t="s">
        <v>2239</v>
      </c>
    </row>
    <row r="2209">
      <c r="A2209" s="11" t="s">
        <v>2240</v>
      </c>
    </row>
    <row r="2210">
      <c r="A2210" s="11" t="s">
        <v>2241</v>
      </c>
    </row>
    <row r="2211">
      <c r="A2211" s="11" t="s">
        <v>2242</v>
      </c>
    </row>
    <row r="2212">
      <c r="A2212" s="11" t="s">
        <v>2243</v>
      </c>
    </row>
    <row r="2213">
      <c r="A2213" s="11" t="s">
        <v>2244</v>
      </c>
    </row>
    <row r="2214">
      <c r="A2214" s="11" t="s">
        <v>2245</v>
      </c>
    </row>
    <row r="2215">
      <c r="A2215" s="11" t="s">
        <v>2246</v>
      </c>
    </row>
    <row r="2216">
      <c r="A2216" s="11" t="s">
        <v>2247</v>
      </c>
    </row>
    <row r="2217">
      <c r="A2217" s="11" t="s">
        <v>2248</v>
      </c>
    </row>
    <row r="2218">
      <c r="A2218" s="11" t="s">
        <v>2249</v>
      </c>
    </row>
    <row r="2219">
      <c r="A2219" s="11" t="s">
        <v>2250</v>
      </c>
    </row>
    <row r="2220">
      <c r="A2220" s="11" t="s">
        <v>2251</v>
      </c>
    </row>
    <row r="2221">
      <c r="A2221" s="11" t="s">
        <v>2252</v>
      </c>
    </row>
    <row r="2222">
      <c r="A2222" s="11" t="s">
        <v>2253</v>
      </c>
    </row>
    <row r="2223">
      <c r="A2223" s="11" t="s">
        <v>2254</v>
      </c>
    </row>
    <row r="2224">
      <c r="A2224" s="11" t="s">
        <v>2255</v>
      </c>
    </row>
    <row r="2225">
      <c r="A2225" s="11" t="s">
        <v>2256</v>
      </c>
    </row>
    <row r="2226">
      <c r="A2226" s="11" t="s">
        <v>2257</v>
      </c>
    </row>
    <row r="2227">
      <c r="A2227" s="11" t="s">
        <v>2258</v>
      </c>
    </row>
    <row r="2228">
      <c r="A2228" s="11" t="s">
        <v>2259</v>
      </c>
    </row>
    <row r="2229">
      <c r="A2229" s="11" t="s">
        <v>2260</v>
      </c>
    </row>
    <row r="2230">
      <c r="A2230" s="11" t="s">
        <v>2261</v>
      </c>
    </row>
    <row r="2231">
      <c r="A2231" s="11" t="s">
        <v>2262</v>
      </c>
    </row>
    <row r="2232">
      <c r="A2232" s="11" t="s">
        <v>2263</v>
      </c>
    </row>
    <row r="2233">
      <c r="A2233" s="11" t="s">
        <v>2264</v>
      </c>
    </row>
    <row r="2234">
      <c r="A2234" s="11" t="s">
        <v>2265</v>
      </c>
    </row>
    <row r="2235">
      <c r="A2235" s="11" t="s">
        <v>2266</v>
      </c>
    </row>
    <row r="2236">
      <c r="A2236" s="11" t="s">
        <v>2267</v>
      </c>
    </row>
    <row r="2237">
      <c r="A2237" s="11" t="s">
        <v>2268</v>
      </c>
    </row>
    <row r="2238">
      <c r="A2238" s="11" t="s">
        <v>2269</v>
      </c>
    </row>
    <row r="2239">
      <c r="A2239" s="11" t="s">
        <v>2270</v>
      </c>
    </row>
    <row r="2240">
      <c r="A2240" s="11" t="s">
        <v>2271</v>
      </c>
    </row>
    <row r="2241">
      <c r="A2241" s="11" t="s">
        <v>2272</v>
      </c>
    </row>
    <row r="2242">
      <c r="A2242" s="11" t="s">
        <v>2273</v>
      </c>
    </row>
    <row r="2243">
      <c r="A2243" s="11" t="s">
        <v>2274</v>
      </c>
    </row>
    <row r="2244">
      <c r="A2244" s="11" t="s">
        <v>2275</v>
      </c>
    </row>
    <row r="2245">
      <c r="A2245" s="11" t="s">
        <v>2276</v>
      </c>
    </row>
    <row r="2246">
      <c r="A2246" s="11" t="s">
        <v>2277</v>
      </c>
    </row>
    <row r="2247">
      <c r="A2247" s="11" t="s">
        <v>2278</v>
      </c>
    </row>
    <row r="2248">
      <c r="A2248" s="11" t="s">
        <v>2279</v>
      </c>
    </row>
    <row r="2249">
      <c r="A2249" s="11" t="s">
        <v>2280</v>
      </c>
    </row>
    <row r="2250">
      <c r="A2250" s="11" t="s">
        <v>2281</v>
      </c>
    </row>
    <row r="2251">
      <c r="A2251" s="11" t="s">
        <v>2282</v>
      </c>
    </row>
    <row r="2252">
      <c r="A2252" s="11" t="s">
        <v>2283</v>
      </c>
    </row>
    <row r="2253">
      <c r="A2253" s="11" t="s">
        <v>2284</v>
      </c>
    </row>
    <row r="2254">
      <c r="A2254" s="11" t="s">
        <v>2285</v>
      </c>
    </row>
    <row r="2255">
      <c r="A2255" s="11" t="s">
        <v>2286</v>
      </c>
    </row>
    <row r="2256">
      <c r="A2256" s="11" t="s">
        <v>2287</v>
      </c>
    </row>
    <row r="2257">
      <c r="A2257" s="11" t="s">
        <v>2288</v>
      </c>
    </row>
    <row r="2258">
      <c r="A2258" s="11" t="s">
        <v>2289</v>
      </c>
    </row>
    <row r="2259">
      <c r="A2259" s="11" t="s">
        <v>2290</v>
      </c>
    </row>
    <row r="2260">
      <c r="A2260" s="11" t="s">
        <v>2291</v>
      </c>
    </row>
    <row r="2261">
      <c r="A2261" s="11" t="s">
        <v>2292</v>
      </c>
    </row>
    <row r="2262">
      <c r="A2262" s="11" t="s">
        <v>2293</v>
      </c>
    </row>
    <row r="2263">
      <c r="A2263" s="11" t="s">
        <v>2294</v>
      </c>
    </row>
    <row r="2264">
      <c r="A2264" s="11" t="s">
        <v>2295</v>
      </c>
    </row>
    <row r="2265">
      <c r="A2265" s="11" t="s">
        <v>2296</v>
      </c>
    </row>
    <row r="2266">
      <c r="A2266" s="11" t="s">
        <v>2297</v>
      </c>
    </row>
    <row r="2267">
      <c r="A2267" s="11" t="s">
        <v>2298</v>
      </c>
    </row>
    <row r="2268">
      <c r="A2268" s="11" t="s">
        <v>2299</v>
      </c>
    </row>
    <row r="2269">
      <c r="A2269" s="11" t="s">
        <v>2300</v>
      </c>
    </row>
    <row r="2270">
      <c r="A2270" s="11" t="s">
        <v>2301</v>
      </c>
    </row>
    <row r="2271">
      <c r="A2271" s="11" t="s">
        <v>2302</v>
      </c>
    </row>
    <row r="2272">
      <c r="A2272" s="11" t="s">
        <v>2303</v>
      </c>
    </row>
    <row r="2273">
      <c r="A2273" s="11" t="s">
        <v>2304</v>
      </c>
    </row>
    <row r="2274">
      <c r="A2274" s="11" t="s">
        <v>2305</v>
      </c>
    </row>
    <row r="2275">
      <c r="A2275" s="11" t="s">
        <v>2306</v>
      </c>
    </row>
    <row r="2276">
      <c r="A2276" s="11" t="s">
        <v>2307</v>
      </c>
    </row>
    <row r="2277">
      <c r="A2277" s="11" t="s">
        <v>2308</v>
      </c>
    </row>
    <row r="2278">
      <c r="A2278" s="11" t="s">
        <v>2309</v>
      </c>
    </row>
    <row r="2279">
      <c r="A2279" s="11" t="s">
        <v>2310</v>
      </c>
    </row>
    <row r="2280">
      <c r="A2280" s="11" t="s">
        <v>2311</v>
      </c>
    </row>
    <row r="2281">
      <c r="A2281" s="11" t="s">
        <v>2312</v>
      </c>
    </row>
    <row r="2282">
      <c r="A2282" s="11" t="s">
        <v>2313</v>
      </c>
    </row>
    <row r="2283">
      <c r="A2283" s="11" t="s">
        <v>2314</v>
      </c>
    </row>
    <row r="2284">
      <c r="A2284" s="11" t="s">
        <v>2315</v>
      </c>
    </row>
    <row r="2285">
      <c r="A2285" s="11" t="s">
        <v>2316</v>
      </c>
    </row>
    <row r="2286">
      <c r="A2286" s="11" t="s">
        <v>2317</v>
      </c>
    </row>
    <row r="2287">
      <c r="A2287" s="11" t="s">
        <v>2318</v>
      </c>
    </row>
    <row r="2288">
      <c r="A2288" s="11" t="s">
        <v>2319</v>
      </c>
    </row>
    <row r="2289">
      <c r="A2289" s="11" t="s">
        <v>2320</v>
      </c>
    </row>
    <row r="2290">
      <c r="A2290" s="11" t="s">
        <v>2321</v>
      </c>
    </row>
    <row r="2291">
      <c r="A2291" s="11" t="s">
        <v>2322</v>
      </c>
    </row>
    <row r="2292">
      <c r="A2292" s="11" t="s">
        <v>2323</v>
      </c>
    </row>
    <row r="2293">
      <c r="A2293" s="11" t="s">
        <v>2324</v>
      </c>
    </row>
    <row r="2294">
      <c r="A2294" s="11" t="s">
        <v>2325</v>
      </c>
    </row>
    <row r="2295">
      <c r="A2295" s="11" t="s">
        <v>2326</v>
      </c>
    </row>
    <row r="2296">
      <c r="A2296" s="11" t="s">
        <v>2327</v>
      </c>
    </row>
    <row r="2297">
      <c r="A2297" s="11" t="s">
        <v>2328</v>
      </c>
    </row>
    <row r="2298">
      <c r="A2298" s="11" t="s">
        <v>2329</v>
      </c>
    </row>
    <row r="2299">
      <c r="A2299" s="11" t="s">
        <v>2330</v>
      </c>
    </row>
    <row r="2300">
      <c r="A2300" s="11" t="s">
        <v>2331</v>
      </c>
    </row>
    <row r="2301">
      <c r="A2301" s="11" t="s">
        <v>2332</v>
      </c>
    </row>
    <row r="2302">
      <c r="A2302" s="11" t="s">
        <v>2333</v>
      </c>
    </row>
    <row r="2303">
      <c r="A2303" s="11" t="s">
        <v>2334</v>
      </c>
    </row>
    <row r="2304">
      <c r="A2304" s="11" t="s">
        <v>2335</v>
      </c>
    </row>
    <row r="2305">
      <c r="A2305" s="11" t="s">
        <v>2336</v>
      </c>
    </row>
    <row r="2306">
      <c r="A2306" s="11" t="s">
        <v>2337</v>
      </c>
    </row>
    <row r="2307">
      <c r="A2307" s="11" t="s">
        <v>2338</v>
      </c>
    </row>
    <row r="2308">
      <c r="A2308" s="11" t="s">
        <v>2339</v>
      </c>
    </row>
    <row r="2309">
      <c r="A2309" s="11" t="s">
        <v>2340</v>
      </c>
    </row>
    <row r="2310">
      <c r="A2310" s="11" t="s">
        <v>2341</v>
      </c>
    </row>
    <row r="2311">
      <c r="A2311" s="11" t="s">
        <v>2342</v>
      </c>
    </row>
    <row r="2312">
      <c r="A2312" s="11" t="s">
        <v>2343</v>
      </c>
    </row>
    <row r="2313">
      <c r="A2313" s="11" t="s">
        <v>2344</v>
      </c>
    </row>
    <row r="2314">
      <c r="A2314" s="11" t="s">
        <v>2345</v>
      </c>
    </row>
    <row r="2315">
      <c r="A2315" s="11" t="s">
        <v>2346</v>
      </c>
    </row>
    <row r="2316">
      <c r="A2316" s="11" t="s">
        <v>2347</v>
      </c>
    </row>
    <row r="2317">
      <c r="A2317" s="11" t="s">
        <v>2348</v>
      </c>
    </row>
    <row r="2318">
      <c r="A2318" s="11" t="s">
        <v>2349</v>
      </c>
    </row>
    <row r="2319">
      <c r="A2319" s="11" t="s">
        <v>2350</v>
      </c>
    </row>
    <row r="2320">
      <c r="A2320" s="11" t="s">
        <v>2351</v>
      </c>
    </row>
    <row r="2321">
      <c r="A2321" s="11" t="s">
        <v>2352</v>
      </c>
    </row>
    <row r="2322">
      <c r="A2322" s="11" t="s">
        <v>2353</v>
      </c>
    </row>
    <row r="2323">
      <c r="A2323" s="11" t="s">
        <v>2354</v>
      </c>
    </row>
    <row r="2324">
      <c r="A2324" s="11" t="s">
        <v>2355</v>
      </c>
    </row>
    <row r="2325">
      <c r="A2325" s="11" t="s">
        <v>2356</v>
      </c>
    </row>
    <row r="2326">
      <c r="A2326" s="11" t="s">
        <v>2357</v>
      </c>
    </row>
    <row r="2327">
      <c r="A2327" s="11" t="s">
        <v>2358</v>
      </c>
    </row>
    <row r="2328">
      <c r="A2328" s="11" t="s">
        <v>2359</v>
      </c>
    </row>
    <row r="2329">
      <c r="A2329" s="11" t="s">
        <v>2360</v>
      </c>
    </row>
    <row r="2330">
      <c r="A2330" s="11" t="s">
        <v>2361</v>
      </c>
    </row>
    <row r="2331">
      <c r="A2331" s="11" t="s">
        <v>2362</v>
      </c>
    </row>
    <row r="2332">
      <c r="A2332" s="11" t="s">
        <v>2363</v>
      </c>
    </row>
    <row r="2333">
      <c r="A2333" s="11" t="s">
        <v>2364</v>
      </c>
    </row>
    <row r="2334">
      <c r="A2334" s="11" t="s">
        <v>2365</v>
      </c>
    </row>
    <row r="2335">
      <c r="A2335" s="11" t="s">
        <v>2366</v>
      </c>
    </row>
    <row r="2336">
      <c r="A2336" s="11" t="s">
        <v>2367</v>
      </c>
    </row>
    <row r="2337">
      <c r="A2337" s="11" t="s">
        <v>2368</v>
      </c>
    </row>
    <row r="2338">
      <c r="A2338" s="11" t="s">
        <v>2369</v>
      </c>
    </row>
    <row r="2339">
      <c r="A2339" s="11" t="s">
        <v>2370</v>
      </c>
    </row>
    <row r="2340">
      <c r="A2340" s="11" t="s">
        <v>2371</v>
      </c>
    </row>
    <row r="2341">
      <c r="A2341" s="11" t="s">
        <v>2372</v>
      </c>
    </row>
    <row r="2342">
      <c r="A2342" s="11" t="s">
        <v>2373</v>
      </c>
    </row>
    <row r="2343">
      <c r="A2343" s="11" t="s">
        <v>2374</v>
      </c>
    </row>
    <row r="2344">
      <c r="A2344" s="11" t="s">
        <v>2375</v>
      </c>
    </row>
    <row r="2345">
      <c r="A2345" s="11" t="s">
        <v>2376</v>
      </c>
    </row>
    <row r="2346">
      <c r="A2346" s="11" t="s">
        <v>2377</v>
      </c>
    </row>
    <row r="2347">
      <c r="A2347" s="11" t="s">
        <v>2378</v>
      </c>
    </row>
    <row r="2348">
      <c r="A2348" s="11" t="s">
        <v>2379</v>
      </c>
    </row>
    <row r="2349">
      <c r="A2349" s="11" t="s">
        <v>2380</v>
      </c>
    </row>
    <row r="2350">
      <c r="A2350" s="11" t="s">
        <v>2381</v>
      </c>
    </row>
    <row r="2351">
      <c r="A2351" s="11" t="s">
        <v>2382</v>
      </c>
    </row>
    <row r="2352">
      <c r="A2352" s="11" t="s">
        <v>2383</v>
      </c>
    </row>
    <row r="2353">
      <c r="A2353" s="11" t="s">
        <v>2384</v>
      </c>
    </row>
    <row r="2354">
      <c r="A2354" s="11" t="s">
        <v>2385</v>
      </c>
    </row>
    <row r="2355">
      <c r="A2355" s="11" t="s">
        <v>2386</v>
      </c>
    </row>
    <row r="2356">
      <c r="A2356" s="11" t="s">
        <v>2387</v>
      </c>
    </row>
    <row r="2357">
      <c r="A2357" s="11" t="s">
        <v>2388</v>
      </c>
    </row>
    <row r="2358">
      <c r="A2358" s="11" t="s">
        <v>2389</v>
      </c>
    </row>
    <row r="2359">
      <c r="A2359" s="11" t="s">
        <v>2390</v>
      </c>
    </row>
    <row r="2360">
      <c r="A2360" s="11" t="s">
        <v>2391</v>
      </c>
    </row>
    <row r="2361">
      <c r="A2361" s="11" t="s">
        <v>2392</v>
      </c>
    </row>
    <row r="2362">
      <c r="A2362" s="11" t="s">
        <v>2393</v>
      </c>
    </row>
    <row r="2363">
      <c r="A2363" s="11" t="s">
        <v>2394</v>
      </c>
    </row>
    <row r="2364">
      <c r="A2364" s="11" t="s">
        <v>2395</v>
      </c>
    </row>
    <row r="2365">
      <c r="A2365" s="11" t="s">
        <v>2396</v>
      </c>
    </row>
    <row r="2366">
      <c r="A2366" s="11" t="s">
        <v>2397</v>
      </c>
    </row>
    <row r="2367">
      <c r="A2367" s="11" t="s">
        <v>2398</v>
      </c>
    </row>
    <row r="2368">
      <c r="A2368" s="11" t="s">
        <v>2399</v>
      </c>
    </row>
    <row r="2369">
      <c r="A2369" s="11" t="s">
        <v>2400</v>
      </c>
    </row>
    <row r="2370">
      <c r="A2370" s="11" t="s">
        <v>2401</v>
      </c>
    </row>
    <row r="2371">
      <c r="A2371" s="11" t="s">
        <v>2402</v>
      </c>
    </row>
    <row r="2372">
      <c r="A2372" s="11" t="s">
        <v>2403</v>
      </c>
    </row>
    <row r="2373">
      <c r="A2373" s="11" t="s">
        <v>2404</v>
      </c>
    </row>
    <row r="2374">
      <c r="A2374" s="11" t="s">
        <v>2405</v>
      </c>
    </row>
    <row r="2375">
      <c r="A2375" s="11" t="s">
        <v>2406</v>
      </c>
    </row>
    <row r="2376">
      <c r="A2376" s="11" t="s">
        <v>2407</v>
      </c>
    </row>
    <row r="2377">
      <c r="A2377" s="11" t="s">
        <v>2408</v>
      </c>
    </row>
    <row r="2378">
      <c r="A2378" s="11" t="s">
        <v>2409</v>
      </c>
    </row>
    <row r="2379">
      <c r="A2379" s="11" t="s">
        <v>2410</v>
      </c>
    </row>
    <row r="2380">
      <c r="A2380" s="11" t="s">
        <v>2411</v>
      </c>
    </row>
    <row r="2381">
      <c r="A2381" s="11" t="s">
        <v>2412</v>
      </c>
    </row>
    <row r="2382">
      <c r="A2382" s="11" t="s">
        <v>2413</v>
      </c>
    </row>
    <row r="2383">
      <c r="A2383" s="11" t="s">
        <v>2414</v>
      </c>
    </row>
    <row r="2384">
      <c r="A2384" s="11" t="s">
        <v>2415</v>
      </c>
    </row>
    <row r="2385">
      <c r="A2385" s="11" t="s">
        <v>2416</v>
      </c>
    </row>
    <row r="2386">
      <c r="A2386" s="11" t="s">
        <v>2417</v>
      </c>
    </row>
    <row r="2387">
      <c r="A2387" s="11" t="s">
        <v>2418</v>
      </c>
    </row>
    <row r="2388">
      <c r="A2388" s="11" t="s">
        <v>2419</v>
      </c>
    </row>
    <row r="2389">
      <c r="A2389" s="11" t="s">
        <v>2420</v>
      </c>
    </row>
    <row r="2390">
      <c r="A2390" s="11" t="s">
        <v>2421</v>
      </c>
    </row>
    <row r="2391">
      <c r="A2391" s="11" t="s">
        <v>2422</v>
      </c>
    </row>
    <row r="2392">
      <c r="A2392" s="11" t="s">
        <v>2423</v>
      </c>
    </row>
    <row r="2393">
      <c r="A2393" s="11" t="s">
        <v>2424</v>
      </c>
    </row>
    <row r="2394">
      <c r="A2394" s="11" t="s">
        <v>2425</v>
      </c>
    </row>
    <row r="2395">
      <c r="A2395" s="11" t="s">
        <v>2426</v>
      </c>
    </row>
    <row r="2396">
      <c r="A2396" s="11" t="s">
        <v>2427</v>
      </c>
    </row>
    <row r="2397">
      <c r="A2397" s="11" t="s">
        <v>2428</v>
      </c>
    </row>
    <row r="2398">
      <c r="A2398" s="11" t="s">
        <v>2429</v>
      </c>
    </row>
    <row r="2399">
      <c r="A2399" s="11" t="s">
        <v>2430</v>
      </c>
    </row>
    <row r="2400">
      <c r="A2400" s="11" t="s">
        <v>2431</v>
      </c>
    </row>
    <row r="2401">
      <c r="A2401" s="11" t="s">
        <v>2432</v>
      </c>
    </row>
    <row r="2402">
      <c r="A2402" s="11" t="s">
        <v>2433</v>
      </c>
    </row>
    <row r="2403">
      <c r="A2403" s="11" t="s">
        <v>2434</v>
      </c>
    </row>
    <row r="2404">
      <c r="A2404" s="11" t="s">
        <v>2435</v>
      </c>
    </row>
    <row r="2405">
      <c r="A2405" s="11" t="s">
        <v>2436</v>
      </c>
    </row>
    <row r="2406">
      <c r="A2406" s="11" t="s">
        <v>2437</v>
      </c>
    </row>
    <row r="2407">
      <c r="A2407" s="11" t="s">
        <v>2438</v>
      </c>
    </row>
    <row r="2408">
      <c r="A2408" s="11" t="s">
        <v>2439</v>
      </c>
    </row>
    <row r="2409">
      <c r="A2409" s="11" t="s">
        <v>2440</v>
      </c>
    </row>
    <row r="2410">
      <c r="A2410" s="11" t="s">
        <v>2441</v>
      </c>
    </row>
    <row r="2411">
      <c r="A2411" s="11" t="s">
        <v>2442</v>
      </c>
    </row>
    <row r="2412">
      <c r="A2412" s="11" t="s">
        <v>2443</v>
      </c>
    </row>
    <row r="2413">
      <c r="A2413" s="11" t="s">
        <v>2444</v>
      </c>
    </row>
    <row r="2414">
      <c r="A2414" s="11" t="s">
        <v>2445</v>
      </c>
    </row>
    <row r="2415">
      <c r="A2415" s="11" t="s">
        <v>2446</v>
      </c>
    </row>
    <row r="2416">
      <c r="A2416" s="11" t="s">
        <v>2447</v>
      </c>
    </row>
    <row r="2417">
      <c r="A2417" s="11" t="s">
        <v>2448</v>
      </c>
    </row>
    <row r="2418">
      <c r="A2418" s="11" t="s">
        <v>2449</v>
      </c>
    </row>
    <row r="2419">
      <c r="A2419" s="11" t="s">
        <v>2450</v>
      </c>
    </row>
    <row r="2420">
      <c r="A2420" s="11" t="s">
        <v>2451</v>
      </c>
    </row>
    <row r="2421">
      <c r="A2421" s="11" t="s">
        <v>2452</v>
      </c>
    </row>
    <row r="2422">
      <c r="A2422" s="11" t="s">
        <v>2453</v>
      </c>
    </row>
    <row r="2423">
      <c r="A2423" s="11" t="s">
        <v>2454</v>
      </c>
    </row>
    <row r="2424">
      <c r="A2424" s="11" t="s">
        <v>2455</v>
      </c>
    </row>
    <row r="2425">
      <c r="A2425" s="11" t="s">
        <v>2456</v>
      </c>
    </row>
    <row r="2426">
      <c r="A2426" s="11" t="s">
        <v>2457</v>
      </c>
    </row>
    <row r="2427">
      <c r="A2427" s="11" t="s">
        <v>2458</v>
      </c>
    </row>
    <row r="2428">
      <c r="A2428" s="11" t="s">
        <v>2459</v>
      </c>
    </row>
    <row r="2429">
      <c r="A2429" s="11" t="s">
        <v>2460</v>
      </c>
    </row>
    <row r="2430">
      <c r="A2430" s="11" t="s">
        <v>2461</v>
      </c>
    </row>
    <row r="2431">
      <c r="A2431" s="11" t="s">
        <v>2462</v>
      </c>
    </row>
    <row r="2432">
      <c r="A2432" s="11" t="s">
        <v>2463</v>
      </c>
    </row>
    <row r="2433">
      <c r="A2433" s="11" t="s">
        <v>2464</v>
      </c>
    </row>
    <row r="2434">
      <c r="A2434" s="11" t="s">
        <v>2465</v>
      </c>
    </row>
    <row r="2435">
      <c r="A2435" s="11" t="s">
        <v>2466</v>
      </c>
    </row>
    <row r="2436">
      <c r="A2436" s="11" t="s">
        <v>2467</v>
      </c>
    </row>
    <row r="2437">
      <c r="A2437" s="11" t="s">
        <v>2468</v>
      </c>
    </row>
    <row r="2438">
      <c r="A2438" s="11" t="s">
        <v>2469</v>
      </c>
    </row>
    <row r="2439">
      <c r="A2439" s="11" t="s">
        <v>2470</v>
      </c>
    </row>
    <row r="2440">
      <c r="A2440" s="11" t="s">
        <v>2471</v>
      </c>
    </row>
    <row r="2441">
      <c r="A2441" s="11" t="s">
        <v>2472</v>
      </c>
    </row>
    <row r="2442">
      <c r="A2442" s="11" t="s">
        <v>2473</v>
      </c>
    </row>
    <row r="2443">
      <c r="A2443" s="11" t="s">
        <v>2474</v>
      </c>
    </row>
    <row r="2444">
      <c r="A2444" s="11" t="s">
        <v>2475</v>
      </c>
    </row>
    <row r="2445">
      <c r="A2445" s="11" t="s">
        <v>2476</v>
      </c>
    </row>
    <row r="2446">
      <c r="A2446" s="11" t="s">
        <v>2477</v>
      </c>
    </row>
    <row r="2447">
      <c r="A2447" s="11" t="s">
        <v>2478</v>
      </c>
    </row>
    <row r="2448">
      <c r="A2448" s="11" t="s">
        <v>2479</v>
      </c>
    </row>
    <row r="2449">
      <c r="A2449" s="11" t="s">
        <v>2480</v>
      </c>
    </row>
    <row r="2450">
      <c r="A2450" s="11" t="s">
        <v>2481</v>
      </c>
    </row>
    <row r="2451">
      <c r="A2451" s="11" t="s">
        <v>2482</v>
      </c>
    </row>
    <row r="2452">
      <c r="A2452" s="11" t="s">
        <v>2483</v>
      </c>
    </row>
    <row r="2453">
      <c r="A2453" s="11" t="s">
        <v>2484</v>
      </c>
    </row>
    <row r="2454">
      <c r="A2454" s="11" t="s">
        <v>2485</v>
      </c>
    </row>
    <row r="2455">
      <c r="A2455" s="11" t="s">
        <v>2486</v>
      </c>
    </row>
    <row r="2456">
      <c r="A2456" s="11" t="s">
        <v>2487</v>
      </c>
    </row>
    <row r="2457">
      <c r="A2457" s="11" t="s">
        <v>2488</v>
      </c>
    </row>
    <row r="2458">
      <c r="A2458" s="11" t="s">
        <v>2489</v>
      </c>
    </row>
    <row r="2459">
      <c r="A2459" s="11" t="s">
        <v>2490</v>
      </c>
    </row>
    <row r="2460">
      <c r="A2460" s="11" t="s">
        <v>2491</v>
      </c>
    </row>
    <row r="2461">
      <c r="A2461" s="11" t="s">
        <v>2492</v>
      </c>
    </row>
    <row r="2462">
      <c r="A2462" s="11" t="s">
        <v>2493</v>
      </c>
    </row>
    <row r="2463">
      <c r="A2463" s="11" t="s">
        <v>2494</v>
      </c>
    </row>
    <row r="2464">
      <c r="A2464" s="11" t="s">
        <v>2495</v>
      </c>
    </row>
    <row r="2465">
      <c r="A2465" s="11" t="s">
        <v>2496</v>
      </c>
    </row>
    <row r="2466">
      <c r="A2466" s="11" t="s">
        <v>2497</v>
      </c>
    </row>
    <row r="2467">
      <c r="A2467" s="11" t="s">
        <v>2498</v>
      </c>
    </row>
    <row r="2468">
      <c r="A2468" s="11" t="s">
        <v>2499</v>
      </c>
    </row>
    <row r="2469">
      <c r="A2469" s="11" t="s">
        <v>2500</v>
      </c>
    </row>
    <row r="2470">
      <c r="A2470" s="11" t="s">
        <v>2501</v>
      </c>
    </row>
    <row r="2471">
      <c r="A2471" s="11" t="s">
        <v>2502</v>
      </c>
    </row>
    <row r="2472">
      <c r="A2472" s="11" t="s">
        <v>2503</v>
      </c>
    </row>
    <row r="2473">
      <c r="A2473" s="11" t="s">
        <v>2504</v>
      </c>
    </row>
    <row r="2474">
      <c r="A2474" s="11" t="s">
        <v>2505</v>
      </c>
    </row>
    <row r="2475">
      <c r="A2475" s="11" t="s">
        <v>2506</v>
      </c>
    </row>
    <row r="2476">
      <c r="A2476" s="11" t="s">
        <v>2507</v>
      </c>
    </row>
    <row r="2477">
      <c r="A2477" s="11" t="s">
        <v>2508</v>
      </c>
    </row>
    <row r="2478">
      <c r="A2478" s="11" t="s">
        <v>2509</v>
      </c>
    </row>
    <row r="2479">
      <c r="A2479" s="11" t="s">
        <v>2510</v>
      </c>
    </row>
    <row r="2480">
      <c r="A2480" s="11" t="s">
        <v>2511</v>
      </c>
    </row>
    <row r="2481">
      <c r="A2481" s="11" t="s">
        <v>2512</v>
      </c>
    </row>
    <row r="2482">
      <c r="A2482" s="11" t="s">
        <v>2513</v>
      </c>
    </row>
    <row r="2483">
      <c r="A2483" s="11" t="s">
        <v>2514</v>
      </c>
    </row>
    <row r="2484">
      <c r="A2484" s="11" t="s">
        <v>2515</v>
      </c>
    </row>
    <row r="2485">
      <c r="A2485" s="11" t="s">
        <v>2516</v>
      </c>
    </row>
    <row r="2486">
      <c r="A2486" s="11" t="s">
        <v>2517</v>
      </c>
    </row>
    <row r="2487">
      <c r="A2487" s="11" t="s">
        <v>2518</v>
      </c>
    </row>
    <row r="2488">
      <c r="A2488" s="11" t="s">
        <v>2519</v>
      </c>
    </row>
    <row r="2489">
      <c r="A2489" s="11" t="s">
        <v>2520</v>
      </c>
    </row>
    <row r="2490">
      <c r="A2490" s="11" t="s">
        <v>2521</v>
      </c>
    </row>
    <row r="2491">
      <c r="A2491" s="11" t="s">
        <v>2522</v>
      </c>
    </row>
    <row r="2492">
      <c r="A2492" s="11" t="s">
        <v>2523</v>
      </c>
    </row>
    <row r="2493">
      <c r="A2493" s="11" t="s">
        <v>2524</v>
      </c>
    </row>
    <row r="2494">
      <c r="A2494" s="11" t="s">
        <v>2525</v>
      </c>
    </row>
    <row r="2495">
      <c r="A2495" s="11" t="s">
        <v>2526</v>
      </c>
    </row>
    <row r="2496">
      <c r="A2496" s="11" t="s">
        <v>2527</v>
      </c>
    </row>
    <row r="2497">
      <c r="A2497" s="11" t="s">
        <v>2528</v>
      </c>
    </row>
    <row r="2498">
      <c r="A2498" s="11" t="s">
        <v>2529</v>
      </c>
    </row>
    <row r="2499">
      <c r="A2499" s="11" t="s">
        <v>2530</v>
      </c>
    </row>
    <row r="2500">
      <c r="A2500" s="11" t="s">
        <v>2531</v>
      </c>
    </row>
    <row r="2501">
      <c r="A2501" s="11" t="s">
        <v>2532</v>
      </c>
    </row>
    <row r="2502">
      <c r="A2502" s="11" t="s">
        <v>2533</v>
      </c>
    </row>
    <row r="2503">
      <c r="A2503" s="11" t="s">
        <v>2534</v>
      </c>
    </row>
    <row r="2504">
      <c r="A2504" s="11" t="s">
        <v>2535</v>
      </c>
    </row>
    <row r="2505">
      <c r="A2505" s="11" t="s">
        <v>2536</v>
      </c>
    </row>
    <row r="2506">
      <c r="A2506" s="11" t="s">
        <v>2537</v>
      </c>
    </row>
    <row r="2507">
      <c r="A2507" s="11" t="s">
        <v>2538</v>
      </c>
    </row>
    <row r="2508">
      <c r="A2508" s="11" t="s">
        <v>2539</v>
      </c>
    </row>
    <row r="2509">
      <c r="A2509" s="11" t="s">
        <v>2540</v>
      </c>
    </row>
    <row r="2510">
      <c r="A2510" s="11" t="s">
        <v>2541</v>
      </c>
    </row>
    <row r="2511">
      <c r="A2511" s="11" t="s">
        <v>2542</v>
      </c>
    </row>
    <row r="2512">
      <c r="A2512" s="11" t="s">
        <v>2543</v>
      </c>
    </row>
    <row r="2513">
      <c r="A2513" s="11" t="s">
        <v>2544</v>
      </c>
    </row>
    <row r="2514">
      <c r="A2514" s="11" t="s">
        <v>2545</v>
      </c>
    </row>
    <row r="2515">
      <c r="A2515" s="11" t="s">
        <v>2546</v>
      </c>
    </row>
    <row r="2516">
      <c r="A2516" s="11" t="s">
        <v>2547</v>
      </c>
    </row>
    <row r="2517">
      <c r="A2517" s="11" t="s">
        <v>2548</v>
      </c>
    </row>
    <row r="2518">
      <c r="A2518" s="11" t="s">
        <v>2549</v>
      </c>
    </row>
    <row r="2519">
      <c r="A2519" s="11" t="s">
        <v>2550</v>
      </c>
    </row>
    <row r="2520">
      <c r="A2520" s="11" t="s">
        <v>2551</v>
      </c>
    </row>
    <row r="2521">
      <c r="A2521" s="11" t="s">
        <v>2552</v>
      </c>
    </row>
    <row r="2522">
      <c r="A2522" s="11" t="s">
        <v>2553</v>
      </c>
    </row>
    <row r="2523">
      <c r="A2523" s="11" t="s">
        <v>2554</v>
      </c>
    </row>
    <row r="2524">
      <c r="A2524" s="11" t="s">
        <v>2555</v>
      </c>
    </row>
    <row r="2525">
      <c r="A2525" s="11" t="s">
        <v>2556</v>
      </c>
    </row>
    <row r="2526">
      <c r="A2526" s="11" t="s">
        <v>2557</v>
      </c>
    </row>
    <row r="2527">
      <c r="A2527" s="11" t="s">
        <v>2558</v>
      </c>
    </row>
    <row r="2528">
      <c r="A2528" s="11" t="s">
        <v>2559</v>
      </c>
    </row>
    <row r="2529">
      <c r="A2529" s="11" t="s">
        <v>2560</v>
      </c>
    </row>
    <row r="2530">
      <c r="A2530" s="11" t="s">
        <v>2561</v>
      </c>
    </row>
    <row r="2531">
      <c r="A2531" s="11" t="s">
        <v>2562</v>
      </c>
    </row>
    <row r="2532">
      <c r="A2532" s="11" t="s">
        <v>2563</v>
      </c>
    </row>
    <row r="2533">
      <c r="A2533" s="11" t="s">
        <v>2564</v>
      </c>
    </row>
    <row r="2534">
      <c r="A2534" s="11" t="s">
        <v>2565</v>
      </c>
    </row>
    <row r="2535">
      <c r="A2535" s="11" t="s">
        <v>2566</v>
      </c>
    </row>
    <row r="2536">
      <c r="A2536" s="11" t="s">
        <v>2567</v>
      </c>
    </row>
    <row r="2537">
      <c r="A2537" s="11" t="s">
        <v>2568</v>
      </c>
    </row>
    <row r="2538">
      <c r="A2538" s="11" t="s">
        <v>2569</v>
      </c>
    </row>
    <row r="2539">
      <c r="A2539" s="11" t="s">
        <v>2570</v>
      </c>
    </row>
    <row r="2540">
      <c r="A2540" s="11" t="s">
        <v>2571</v>
      </c>
    </row>
    <row r="2541">
      <c r="A2541" s="11" t="s">
        <v>2572</v>
      </c>
    </row>
    <row r="2542">
      <c r="A2542" s="11" t="s">
        <v>2573</v>
      </c>
    </row>
    <row r="2543">
      <c r="A2543" s="11" t="s">
        <v>2574</v>
      </c>
    </row>
    <row r="2544">
      <c r="A2544" s="11" t="s">
        <v>2575</v>
      </c>
    </row>
    <row r="2545">
      <c r="A2545" s="11" t="s">
        <v>2576</v>
      </c>
    </row>
    <row r="2546">
      <c r="A2546" s="11" t="s">
        <v>2577</v>
      </c>
    </row>
    <row r="2547">
      <c r="A2547" s="11" t="s">
        <v>2578</v>
      </c>
    </row>
    <row r="2548">
      <c r="A2548" s="11" t="s">
        <v>2579</v>
      </c>
    </row>
    <row r="2549">
      <c r="A2549" s="11" t="s">
        <v>2580</v>
      </c>
    </row>
    <row r="2550">
      <c r="A2550" s="11" t="s">
        <v>2581</v>
      </c>
    </row>
    <row r="2551">
      <c r="A2551" s="11" t="s">
        <v>2582</v>
      </c>
    </row>
    <row r="2552">
      <c r="A2552" s="11" t="s">
        <v>2583</v>
      </c>
    </row>
    <row r="2553">
      <c r="A2553" s="11" t="s">
        <v>2584</v>
      </c>
    </row>
    <row r="2554">
      <c r="A2554" s="11" t="s">
        <v>2585</v>
      </c>
    </row>
    <row r="2555">
      <c r="A2555" s="11" t="s">
        <v>2586</v>
      </c>
    </row>
    <row r="2556">
      <c r="A2556" s="11" t="s">
        <v>2587</v>
      </c>
    </row>
    <row r="2557">
      <c r="A2557" s="11" t="s">
        <v>2588</v>
      </c>
    </row>
    <row r="2558">
      <c r="A2558" s="11" t="s">
        <v>2589</v>
      </c>
    </row>
    <row r="2559">
      <c r="A2559" s="11" t="s">
        <v>2590</v>
      </c>
    </row>
    <row r="2560">
      <c r="A2560" s="11" t="s">
        <v>2591</v>
      </c>
    </row>
    <row r="2561">
      <c r="A2561" s="11" t="s">
        <v>2592</v>
      </c>
    </row>
    <row r="2562">
      <c r="A2562" s="11" t="s">
        <v>2593</v>
      </c>
    </row>
    <row r="2563">
      <c r="A2563" s="11" t="s">
        <v>2594</v>
      </c>
    </row>
    <row r="2564">
      <c r="A2564" s="11" t="s">
        <v>2595</v>
      </c>
    </row>
    <row r="2565">
      <c r="A2565" s="11" t="s">
        <v>2596</v>
      </c>
    </row>
    <row r="2566">
      <c r="A2566" s="11" t="s">
        <v>2597</v>
      </c>
    </row>
    <row r="2567">
      <c r="A2567" s="11" t="s">
        <v>2598</v>
      </c>
    </row>
    <row r="2568">
      <c r="A2568" s="11" t="s">
        <v>2599</v>
      </c>
    </row>
    <row r="2569">
      <c r="A2569" s="11" t="s">
        <v>2600</v>
      </c>
    </row>
    <row r="2570">
      <c r="A2570" s="11" t="s">
        <v>2601</v>
      </c>
    </row>
    <row r="2571">
      <c r="A2571" s="11" t="s">
        <v>2602</v>
      </c>
    </row>
    <row r="2572">
      <c r="A2572" s="11" t="s">
        <v>2603</v>
      </c>
    </row>
    <row r="2573">
      <c r="A2573" s="11" t="s">
        <v>2604</v>
      </c>
    </row>
    <row r="2574">
      <c r="A2574" s="11" t="s">
        <v>2605</v>
      </c>
    </row>
    <row r="2575">
      <c r="A2575" s="11" t="s">
        <v>2606</v>
      </c>
    </row>
    <row r="2576">
      <c r="A2576" s="11" t="s">
        <v>2607</v>
      </c>
    </row>
    <row r="2577">
      <c r="A2577" s="11" t="s">
        <v>2608</v>
      </c>
    </row>
    <row r="2578">
      <c r="A2578" s="11" t="s">
        <v>2609</v>
      </c>
    </row>
    <row r="2579">
      <c r="A2579" s="11" t="s">
        <v>2610</v>
      </c>
    </row>
    <row r="2580">
      <c r="A2580" s="11" t="s">
        <v>2611</v>
      </c>
    </row>
    <row r="2581">
      <c r="A2581" s="11" t="s">
        <v>2612</v>
      </c>
    </row>
    <row r="2582">
      <c r="A2582" s="11" t="s">
        <v>2613</v>
      </c>
    </row>
    <row r="2583">
      <c r="A2583" s="11" t="s">
        <v>2614</v>
      </c>
    </row>
    <row r="2584">
      <c r="A2584" s="11" t="s">
        <v>2615</v>
      </c>
    </row>
    <row r="2585">
      <c r="A2585" s="11" t="s">
        <v>2616</v>
      </c>
    </row>
    <row r="2586">
      <c r="A2586" s="11" t="s">
        <v>2617</v>
      </c>
    </row>
    <row r="2587">
      <c r="A2587" s="11" t="s">
        <v>2618</v>
      </c>
    </row>
    <row r="2588">
      <c r="A2588" s="11" t="s">
        <v>2619</v>
      </c>
    </row>
    <row r="2589">
      <c r="A2589" s="11" t="s">
        <v>2620</v>
      </c>
    </row>
    <row r="2590">
      <c r="A2590" s="11" t="s">
        <v>2621</v>
      </c>
    </row>
    <row r="2591">
      <c r="A2591" s="11" t="s">
        <v>2622</v>
      </c>
    </row>
    <row r="2592">
      <c r="A2592" s="11" t="s">
        <v>2623</v>
      </c>
    </row>
    <row r="2593">
      <c r="A2593" s="11" t="s">
        <v>2624</v>
      </c>
    </row>
    <row r="2594">
      <c r="A2594" s="11" t="s">
        <v>2625</v>
      </c>
    </row>
    <row r="2595">
      <c r="A2595" s="11" t="s">
        <v>2626</v>
      </c>
    </row>
    <row r="2596">
      <c r="A2596" s="11" t="s">
        <v>2627</v>
      </c>
    </row>
    <row r="2597">
      <c r="A2597" s="11" t="s">
        <v>2628</v>
      </c>
    </row>
    <row r="2598">
      <c r="A2598" s="11" t="s">
        <v>2629</v>
      </c>
    </row>
    <row r="2599">
      <c r="A2599" s="11" t="s">
        <v>2630</v>
      </c>
    </row>
    <row r="2600">
      <c r="A2600" s="11" t="s">
        <v>2631</v>
      </c>
    </row>
    <row r="2601">
      <c r="A2601" s="11" t="s">
        <v>2632</v>
      </c>
    </row>
    <row r="2602">
      <c r="A2602" s="11" t="s">
        <v>2633</v>
      </c>
    </row>
    <row r="2603">
      <c r="A2603" s="11" t="s">
        <v>2634</v>
      </c>
    </row>
    <row r="2604">
      <c r="A2604" s="11" t="s">
        <v>2635</v>
      </c>
    </row>
    <row r="2605">
      <c r="A2605" s="11" t="s">
        <v>2636</v>
      </c>
    </row>
    <row r="2606">
      <c r="A2606" s="11" t="s">
        <v>2637</v>
      </c>
    </row>
    <row r="2607">
      <c r="A2607" s="11" t="s">
        <v>2638</v>
      </c>
    </row>
    <row r="2608">
      <c r="A2608" s="11" t="s">
        <v>2639</v>
      </c>
    </row>
    <row r="2609">
      <c r="A2609" s="11" t="s">
        <v>2640</v>
      </c>
    </row>
    <row r="2610">
      <c r="A2610" s="11" t="s">
        <v>2641</v>
      </c>
    </row>
    <row r="2611">
      <c r="A2611" s="11" t="s">
        <v>2642</v>
      </c>
    </row>
    <row r="2612">
      <c r="A2612" s="11" t="s">
        <v>2643</v>
      </c>
    </row>
    <row r="2613">
      <c r="A2613" s="11" t="s">
        <v>2644</v>
      </c>
    </row>
    <row r="2614">
      <c r="A2614" s="11" t="s">
        <v>2645</v>
      </c>
    </row>
    <row r="2615">
      <c r="A2615" s="11" t="s">
        <v>2646</v>
      </c>
    </row>
    <row r="2616">
      <c r="A2616" s="11" t="s">
        <v>2647</v>
      </c>
    </row>
    <row r="2617">
      <c r="A2617" s="11" t="s">
        <v>2648</v>
      </c>
    </row>
    <row r="2618">
      <c r="A2618" s="11" t="s">
        <v>2649</v>
      </c>
    </row>
    <row r="2619">
      <c r="A2619" s="11" t="s">
        <v>2650</v>
      </c>
    </row>
    <row r="2620">
      <c r="A2620" s="11" t="s">
        <v>2651</v>
      </c>
    </row>
    <row r="2621">
      <c r="A2621" s="11" t="s">
        <v>2652</v>
      </c>
    </row>
    <row r="2622">
      <c r="A2622" s="11" t="s">
        <v>2653</v>
      </c>
    </row>
    <row r="2623">
      <c r="A2623" s="11" t="s">
        <v>2654</v>
      </c>
    </row>
    <row r="2624">
      <c r="A2624" s="11" t="s">
        <v>2655</v>
      </c>
    </row>
    <row r="2625">
      <c r="A2625" s="11" t="s">
        <v>2656</v>
      </c>
    </row>
    <row r="2626">
      <c r="A2626" s="11" t="s">
        <v>2657</v>
      </c>
    </row>
    <row r="2627">
      <c r="A2627" s="11" t="s">
        <v>2658</v>
      </c>
    </row>
    <row r="2628">
      <c r="A2628" s="11" t="s">
        <v>2659</v>
      </c>
    </row>
    <row r="2629">
      <c r="A2629" s="11" t="s">
        <v>2660</v>
      </c>
    </row>
    <row r="2630">
      <c r="A2630" s="11" t="s">
        <v>2661</v>
      </c>
    </row>
    <row r="2631">
      <c r="A2631" s="11" t="s">
        <v>2662</v>
      </c>
    </row>
    <row r="2632">
      <c r="A2632" s="11" t="s">
        <v>2663</v>
      </c>
    </row>
    <row r="2633">
      <c r="A2633" s="11" t="s">
        <v>2664</v>
      </c>
    </row>
    <row r="2634">
      <c r="A2634" s="11" t="s">
        <v>2665</v>
      </c>
    </row>
    <row r="2635">
      <c r="A2635" s="11" t="s">
        <v>2666</v>
      </c>
    </row>
    <row r="2636">
      <c r="A2636" s="11" t="s">
        <v>2667</v>
      </c>
    </row>
    <row r="2637">
      <c r="A2637" s="11" t="s">
        <v>2668</v>
      </c>
    </row>
    <row r="2638">
      <c r="A2638" s="11" t="s">
        <v>2669</v>
      </c>
    </row>
    <row r="2639">
      <c r="A2639" s="11" t="s">
        <v>2670</v>
      </c>
    </row>
    <row r="2640">
      <c r="A2640" s="11" t="s">
        <v>2671</v>
      </c>
    </row>
    <row r="2641">
      <c r="A2641" s="11" t="s">
        <v>2672</v>
      </c>
    </row>
    <row r="2642">
      <c r="A2642" s="11" t="s">
        <v>2673</v>
      </c>
    </row>
    <row r="2643">
      <c r="A2643" s="11" t="s">
        <v>2674</v>
      </c>
    </row>
    <row r="2644">
      <c r="A2644" s="11" t="s">
        <v>2675</v>
      </c>
    </row>
    <row r="2645">
      <c r="A2645" s="11" t="s">
        <v>2676</v>
      </c>
    </row>
    <row r="2646">
      <c r="A2646" s="11" t="s">
        <v>2677</v>
      </c>
    </row>
    <row r="2647">
      <c r="A2647" s="11" t="s">
        <v>2678</v>
      </c>
    </row>
    <row r="2648">
      <c r="A2648" s="11" t="s">
        <v>2679</v>
      </c>
    </row>
    <row r="2649">
      <c r="A2649" s="11" t="s">
        <v>2680</v>
      </c>
    </row>
    <row r="2650">
      <c r="A2650" s="11" t="s">
        <v>2681</v>
      </c>
    </row>
    <row r="2651">
      <c r="A2651" s="11" t="s">
        <v>2682</v>
      </c>
    </row>
    <row r="2652">
      <c r="A2652" s="11" t="s">
        <v>2683</v>
      </c>
    </row>
    <row r="2653">
      <c r="A2653" s="11" t="s">
        <v>2684</v>
      </c>
    </row>
    <row r="2654">
      <c r="A2654" s="11" t="s">
        <v>2685</v>
      </c>
    </row>
    <row r="2655">
      <c r="A2655" s="11" t="s">
        <v>2686</v>
      </c>
    </row>
    <row r="2656">
      <c r="A2656" s="11" t="s">
        <v>2687</v>
      </c>
    </row>
    <row r="2657">
      <c r="A2657" s="11" t="s">
        <v>2688</v>
      </c>
    </row>
    <row r="2658">
      <c r="A2658" s="11" t="s">
        <v>2689</v>
      </c>
    </row>
    <row r="2659">
      <c r="A2659" s="11" t="s">
        <v>2690</v>
      </c>
    </row>
    <row r="2660">
      <c r="A2660" s="11" t="s">
        <v>2691</v>
      </c>
    </row>
    <row r="2661">
      <c r="A2661" s="11" t="s">
        <v>2692</v>
      </c>
    </row>
    <row r="2662">
      <c r="A2662" s="11" t="s">
        <v>2693</v>
      </c>
    </row>
    <row r="2663">
      <c r="A2663" s="11" t="s">
        <v>2694</v>
      </c>
    </row>
    <row r="2664">
      <c r="A2664" s="11" t="s">
        <v>2695</v>
      </c>
    </row>
    <row r="2665">
      <c r="A2665" s="11" t="s">
        <v>2696</v>
      </c>
    </row>
    <row r="2666">
      <c r="A2666" s="11" t="s">
        <v>2697</v>
      </c>
    </row>
    <row r="2667">
      <c r="A2667" s="11" t="s">
        <v>2698</v>
      </c>
    </row>
    <row r="2668">
      <c r="A2668" s="11" t="s">
        <v>2699</v>
      </c>
    </row>
    <row r="2669">
      <c r="A2669" s="11" t="s">
        <v>2700</v>
      </c>
    </row>
    <row r="2670">
      <c r="A2670" s="11" t="s">
        <v>2701</v>
      </c>
    </row>
    <row r="2671">
      <c r="A2671" s="11" t="s">
        <v>2702</v>
      </c>
    </row>
    <row r="2672">
      <c r="A2672" s="11" t="s">
        <v>2703</v>
      </c>
    </row>
    <row r="2673">
      <c r="A2673" s="11" t="s">
        <v>2704</v>
      </c>
    </row>
    <row r="2674">
      <c r="A2674" s="11" t="s">
        <v>2705</v>
      </c>
    </row>
    <row r="2675">
      <c r="A2675" s="11" t="s">
        <v>2706</v>
      </c>
    </row>
    <row r="2676">
      <c r="A2676" s="11" t="s">
        <v>2707</v>
      </c>
    </row>
    <row r="2677">
      <c r="A2677" s="11" t="s">
        <v>2708</v>
      </c>
    </row>
    <row r="2678">
      <c r="A2678" s="11" t="s">
        <v>2709</v>
      </c>
    </row>
    <row r="2679">
      <c r="A2679" s="11" t="s">
        <v>2710</v>
      </c>
    </row>
    <row r="2680">
      <c r="A2680" s="11" t="s">
        <v>2711</v>
      </c>
    </row>
    <row r="2681">
      <c r="A2681" s="11" t="s">
        <v>2712</v>
      </c>
    </row>
    <row r="2682">
      <c r="A2682" s="11" t="s">
        <v>2713</v>
      </c>
    </row>
    <row r="2683">
      <c r="A2683" s="11" t="s">
        <v>2714</v>
      </c>
    </row>
    <row r="2684">
      <c r="A2684" s="11" t="s">
        <v>2715</v>
      </c>
    </row>
    <row r="2685">
      <c r="A2685" s="11" t="s">
        <v>2716</v>
      </c>
    </row>
    <row r="2686">
      <c r="A2686" s="11" t="s">
        <v>2717</v>
      </c>
    </row>
    <row r="2687">
      <c r="A2687" s="11" t="s">
        <v>2718</v>
      </c>
    </row>
    <row r="2688">
      <c r="A2688" s="11" t="s">
        <v>2719</v>
      </c>
    </row>
    <row r="2689">
      <c r="A2689" s="11" t="s">
        <v>2720</v>
      </c>
    </row>
    <row r="2690">
      <c r="A2690" s="11" t="s">
        <v>2721</v>
      </c>
    </row>
    <row r="2691">
      <c r="A2691" s="11" t="s">
        <v>2722</v>
      </c>
    </row>
    <row r="2692">
      <c r="A2692" s="11" t="s">
        <v>2723</v>
      </c>
    </row>
    <row r="2693">
      <c r="A2693" s="11" t="s">
        <v>2724</v>
      </c>
    </row>
    <row r="2694">
      <c r="A2694" s="11" t="s">
        <v>2725</v>
      </c>
    </row>
    <row r="2695">
      <c r="A2695" s="11" t="s">
        <v>2726</v>
      </c>
    </row>
    <row r="2696">
      <c r="A2696" s="11" t="s">
        <v>2727</v>
      </c>
    </row>
    <row r="2697">
      <c r="A2697" s="11" t="s">
        <v>2728</v>
      </c>
    </row>
    <row r="2698">
      <c r="A2698" s="11" t="s">
        <v>2729</v>
      </c>
    </row>
    <row r="2699">
      <c r="A2699" s="11" t="s">
        <v>2730</v>
      </c>
    </row>
    <row r="2700">
      <c r="A2700" s="11" t="s">
        <v>2731</v>
      </c>
    </row>
    <row r="2701">
      <c r="A2701" s="11" t="s">
        <v>2732</v>
      </c>
    </row>
    <row r="2702">
      <c r="A2702" s="11" t="s">
        <v>2733</v>
      </c>
    </row>
    <row r="2703">
      <c r="A2703" s="11" t="s">
        <v>2734</v>
      </c>
    </row>
    <row r="2704">
      <c r="A2704" s="11" t="s">
        <v>2735</v>
      </c>
    </row>
    <row r="2705">
      <c r="A2705" s="11" t="s">
        <v>2736</v>
      </c>
    </row>
    <row r="2706">
      <c r="A2706" s="11" t="s">
        <v>2737</v>
      </c>
    </row>
    <row r="2707">
      <c r="A2707" s="11" t="s">
        <v>2738</v>
      </c>
    </row>
    <row r="2708">
      <c r="A2708" s="11" t="s">
        <v>2739</v>
      </c>
    </row>
    <row r="2709">
      <c r="A2709" s="11" t="s">
        <v>2740</v>
      </c>
    </row>
    <row r="2710">
      <c r="A2710" s="11" t="s">
        <v>2741</v>
      </c>
    </row>
    <row r="2711">
      <c r="A2711" s="11" t="s">
        <v>2742</v>
      </c>
    </row>
    <row r="2712">
      <c r="A2712" s="11" t="s">
        <v>2743</v>
      </c>
    </row>
    <row r="2713">
      <c r="A2713" s="11" t="s">
        <v>2744</v>
      </c>
    </row>
    <row r="2714">
      <c r="A2714" s="11" t="s">
        <v>2745</v>
      </c>
    </row>
    <row r="2715">
      <c r="A2715" s="11" t="s">
        <v>2746</v>
      </c>
    </row>
    <row r="2716">
      <c r="A2716" s="11" t="s">
        <v>2747</v>
      </c>
    </row>
    <row r="2717">
      <c r="A2717" s="11" t="s">
        <v>2748</v>
      </c>
    </row>
    <row r="2718">
      <c r="A2718" s="11" t="s">
        <v>2749</v>
      </c>
    </row>
    <row r="2719">
      <c r="A2719" s="11" t="s">
        <v>2750</v>
      </c>
    </row>
    <row r="2720">
      <c r="A2720" s="11" t="s">
        <v>2751</v>
      </c>
    </row>
    <row r="2721">
      <c r="A2721" s="11" t="s">
        <v>2752</v>
      </c>
    </row>
    <row r="2722">
      <c r="A2722" s="11" t="s">
        <v>2753</v>
      </c>
    </row>
    <row r="2723">
      <c r="A2723" s="11" t="s">
        <v>2754</v>
      </c>
    </row>
    <row r="2724">
      <c r="A2724" s="11" t="s">
        <v>2755</v>
      </c>
    </row>
    <row r="2725">
      <c r="A2725" s="11" t="s">
        <v>2756</v>
      </c>
    </row>
    <row r="2726">
      <c r="A2726" s="11" t="s">
        <v>2757</v>
      </c>
    </row>
    <row r="2727">
      <c r="A2727" s="11" t="s">
        <v>2758</v>
      </c>
    </row>
    <row r="2728">
      <c r="A2728" s="11" t="s">
        <v>2759</v>
      </c>
    </row>
    <row r="2729">
      <c r="A2729" s="11" t="s">
        <v>2760</v>
      </c>
    </row>
    <row r="2730">
      <c r="A2730" s="11" t="s">
        <v>2761</v>
      </c>
    </row>
    <row r="2731">
      <c r="A2731" s="11" t="s">
        <v>2762</v>
      </c>
    </row>
    <row r="2732">
      <c r="A2732" s="11" t="s">
        <v>2763</v>
      </c>
    </row>
    <row r="2733">
      <c r="A2733" s="11" t="s">
        <v>2764</v>
      </c>
    </row>
    <row r="2734">
      <c r="A2734" s="11" t="s">
        <v>2765</v>
      </c>
    </row>
    <row r="2735">
      <c r="A2735" s="11" t="s">
        <v>2766</v>
      </c>
    </row>
    <row r="2736">
      <c r="A2736" s="11" t="s">
        <v>2767</v>
      </c>
    </row>
    <row r="2737">
      <c r="A2737" s="11" t="s">
        <v>2768</v>
      </c>
    </row>
    <row r="2738">
      <c r="A2738" s="11" t="s">
        <v>2769</v>
      </c>
    </row>
    <row r="2739">
      <c r="A2739" s="11" t="s">
        <v>2770</v>
      </c>
    </row>
    <row r="2740">
      <c r="A2740" s="11" t="s">
        <v>2771</v>
      </c>
    </row>
    <row r="2741">
      <c r="A2741" s="11" t="s">
        <v>2772</v>
      </c>
    </row>
    <row r="2742">
      <c r="A2742" s="11" t="s">
        <v>2773</v>
      </c>
    </row>
    <row r="2743">
      <c r="A2743" s="11" t="s">
        <v>2774</v>
      </c>
    </row>
    <row r="2744">
      <c r="A2744" s="11" t="s">
        <v>2775</v>
      </c>
    </row>
    <row r="2745">
      <c r="A2745" s="11" t="s">
        <v>2776</v>
      </c>
    </row>
    <row r="2746">
      <c r="A2746" s="11" t="s">
        <v>2777</v>
      </c>
    </row>
    <row r="2747">
      <c r="A2747" s="11" t="s">
        <v>2778</v>
      </c>
    </row>
    <row r="2748">
      <c r="A2748" s="11" t="s">
        <v>2779</v>
      </c>
    </row>
    <row r="2749">
      <c r="A2749" s="11" t="s">
        <v>2780</v>
      </c>
    </row>
    <row r="2750">
      <c r="A2750" s="11" t="s">
        <v>2781</v>
      </c>
    </row>
    <row r="2751">
      <c r="A2751" s="11" t="s">
        <v>2782</v>
      </c>
    </row>
    <row r="2752">
      <c r="A2752" s="11" t="s">
        <v>2783</v>
      </c>
    </row>
    <row r="2753">
      <c r="A2753" s="11" t="s">
        <v>2784</v>
      </c>
    </row>
    <row r="2754">
      <c r="A2754" s="11" t="s">
        <v>2785</v>
      </c>
    </row>
    <row r="2755">
      <c r="A2755" s="11" t="s">
        <v>2786</v>
      </c>
    </row>
    <row r="2756">
      <c r="A2756" s="11" t="s">
        <v>2787</v>
      </c>
    </row>
    <row r="2757">
      <c r="A2757" s="11" t="s">
        <v>2788</v>
      </c>
    </row>
    <row r="2758">
      <c r="A2758" s="11" t="s">
        <v>2789</v>
      </c>
    </row>
    <row r="2759">
      <c r="A2759" s="11" t="s">
        <v>2790</v>
      </c>
    </row>
    <row r="2760">
      <c r="A2760" s="11" t="s">
        <v>2791</v>
      </c>
    </row>
    <row r="2761">
      <c r="A2761" s="11" t="s">
        <v>2792</v>
      </c>
    </row>
    <row r="2762">
      <c r="A2762" s="11" t="s">
        <v>2793</v>
      </c>
    </row>
    <row r="2763">
      <c r="A2763" s="11" t="s">
        <v>2794</v>
      </c>
    </row>
    <row r="2764">
      <c r="A2764" s="11" t="s">
        <v>2795</v>
      </c>
    </row>
    <row r="2765">
      <c r="A2765" s="11" t="s">
        <v>2796</v>
      </c>
    </row>
    <row r="2766">
      <c r="A2766" s="11" t="s">
        <v>2797</v>
      </c>
    </row>
    <row r="2767">
      <c r="A2767" s="11" t="s">
        <v>2798</v>
      </c>
    </row>
    <row r="2768">
      <c r="A2768" s="11" t="s">
        <v>2799</v>
      </c>
    </row>
    <row r="2769">
      <c r="A2769" s="11" t="s">
        <v>2800</v>
      </c>
    </row>
    <row r="2770">
      <c r="A2770" s="11" t="s">
        <v>2801</v>
      </c>
    </row>
    <row r="2771">
      <c r="A2771" s="11" t="s">
        <v>2802</v>
      </c>
    </row>
    <row r="2772">
      <c r="A2772" s="11" t="s">
        <v>2803</v>
      </c>
    </row>
    <row r="2773">
      <c r="A2773" s="11" t="s">
        <v>2804</v>
      </c>
    </row>
    <row r="2774">
      <c r="A2774" s="11" t="s">
        <v>2805</v>
      </c>
    </row>
    <row r="2775">
      <c r="A2775" s="11" t="s">
        <v>2806</v>
      </c>
    </row>
    <row r="2776">
      <c r="A2776" s="11" t="s">
        <v>2807</v>
      </c>
    </row>
    <row r="2777">
      <c r="A2777" s="11" t="s">
        <v>2808</v>
      </c>
    </row>
    <row r="2778">
      <c r="A2778" s="11" t="s">
        <v>2809</v>
      </c>
    </row>
    <row r="2779">
      <c r="A2779" s="11" t="s">
        <v>2810</v>
      </c>
    </row>
    <row r="2780">
      <c r="A2780" s="11" t="s">
        <v>2811</v>
      </c>
    </row>
    <row r="2781">
      <c r="A2781" s="11" t="s">
        <v>2812</v>
      </c>
    </row>
    <row r="2782">
      <c r="A2782" s="11" t="s">
        <v>2813</v>
      </c>
    </row>
    <row r="2783">
      <c r="A2783" s="11" t="s">
        <v>2814</v>
      </c>
    </row>
    <row r="2784">
      <c r="A2784" s="11" t="s">
        <v>2815</v>
      </c>
    </row>
    <row r="2785">
      <c r="A2785" s="11" t="s">
        <v>2816</v>
      </c>
    </row>
    <row r="2786">
      <c r="A2786" s="11" t="s">
        <v>2817</v>
      </c>
    </row>
    <row r="2787">
      <c r="A2787" s="11" t="s">
        <v>2818</v>
      </c>
    </row>
    <row r="2788">
      <c r="A2788" s="11" t="s">
        <v>2819</v>
      </c>
    </row>
    <row r="2789">
      <c r="A2789" s="11" t="s">
        <v>2820</v>
      </c>
    </row>
    <row r="2790">
      <c r="A2790" s="11" t="s">
        <v>2821</v>
      </c>
    </row>
    <row r="2791">
      <c r="A2791" s="11" t="s">
        <v>2822</v>
      </c>
    </row>
    <row r="2792">
      <c r="A2792" s="11" t="s">
        <v>2823</v>
      </c>
    </row>
    <row r="2793">
      <c r="A2793" s="11" t="s">
        <v>2824</v>
      </c>
    </row>
    <row r="2794">
      <c r="A2794" s="11" t="s">
        <v>2825</v>
      </c>
    </row>
    <row r="2795">
      <c r="A2795" s="11" t="s">
        <v>2826</v>
      </c>
    </row>
    <row r="2796">
      <c r="A2796" s="11" t="s">
        <v>2827</v>
      </c>
    </row>
    <row r="2797">
      <c r="A2797" s="11" t="s">
        <v>2828</v>
      </c>
    </row>
    <row r="2798">
      <c r="A2798" s="11" t="s">
        <v>2829</v>
      </c>
    </row>
    <row r="2799">
      <c r="A2799" s="11" t="s">
        <v>2830</v>
      </c>
    </row>
    <row r="2800">
      <c r="A2800" s="11" t="s">
        <v>2831</v>
      </c>
    </row>
    <row r="2801">
      <c r="A2801" s="11" t="s">
        <v>2832</v>
      </c>
    </row>
    <row r="2802">
      <c r="A2802" s="11" t="s">
        <v>2833</v>
      </c>
    </row>
    <row r="2803">
      <c r="A2803" s="11" t="s">
        <v>2834</v>
      </c>
    </row>
    <row r="2804">
      <c r="A2804" s="11" t="s">
        <v>2835</v>
      </c>
    </row>
    <row r="2805">
      <c r="A2805" s="11" t="s">
        <v>2836</v>
      </c>
    </row>
    <row r="2806">
      <c r="A2806" s="11" t="s">
        <v>2837</v>
      </c>
    </row>
    <row r="2807">
      <c r="A2807" s="11" t="s">
        <v>2838</v>
      </c>
    </row>
    <row r="2808">
      <c r="A2808" s="11" t="s">
        <v>2839</v>
      </c>
    </row>
    <row r="2809">
      <c r="A2809" s="11" t="s">
        <v>2840</v>
      </c>
    </row>
    <row r="2810">
      <c r="A2810" s="11" t="s">
        <v>2841</v>
      </c>
    </row>
    <row r="2811">
      <c r="A2811" s="11" t="s">
        <v>2842</v>
      </c>
    </row>
    <row r="2812">
      <c r="A2812" s="11" t="s">
        <v>2843</v>
      </c>
    </row>
    <row r="2813">
      <c r="A2813" s="11" t="s">
        <v>2844</v>
      </c>
    </row>
    <row r="2814">
      <c r="A2814" s="11" t="s">
        <v>2845</v>
      </c>
    </row>
    <row r="2815">
      <c r="A2815" s="11" t="s">
        <v>2846</v>
      </c>
    </row>
    <row r="2816">
      <c r="A2816" s="11" t="s">
        <v>2847</v>
      </c>
    </row>
    <row r="2817">
      <c r="A2817" s="11" t="s">
        <v>2848</v>
      </c>
    </row>
    <row r="2818">
      <c r="A2818" s="11" t="s">
        <v>2849</v>
      </c>
    </row>
    <row r="2819">
      <c r="A2819" s="11" t="s">
        <v>2850</v>
      </c>
    </row>
    <row r="2820">
      <c r="A2820" s="11" t="s">
        <v>2851</v>
      </c>
    </row>
    <row r="2821">
      <c r="A2821" s="11" t="s">
        <v>2852</v>
      </c>
    </row>
    <row r="2822">
      <c r="A2822" s="11" t="s">
        <v>2853</v>
      </c>
    </row>
    <row r="2823">
      <c r="A2823" s="11" t="s">
        <v>2854</v>
      </c>
    </row>
    <row r="2824">
      <c r="A2824" s="11" t="s">
        <v>2855</v>
      </c>
    </row>
    <row r="2825">
      <c r="A2825" s="11" t="s">
        <v>2856</v>
      </c>
    </row>
    <row r="2826">
      <c r="A2826" s="11" t="s">
        <v>2857</v>
      </c>
    </row>
    <row r="2827">
      <c r="A2827" s="11" t="s">
        <v>2858</v>
      </c>
    </row>
    <row r="2828">
      <c r="A2828" s="11" t="s">
        <v>2859</v>
      </c>
    </row>
    <row r="2829">
      <c r="A2829" s="11" t="s">
        <v>2860</v>
      </c>
    </row>
    <row r="2830">
      <c r="A2830" s="11" t="s">
        <v>2861</v>
      </c>
    </row>
    <row r="2831">
      <c r="A2831" s="11" t="s">
        <v>2862</v>
      </c>
    </row>
    <row r="2832">
      <c r="A2832" s="11" t="s">
        <v>2863</v>
      </c>
    </row>
    <row r="2833">
      <c r="A2833" s="11" t="s">
        <v>2864</v>
      </c>
    </row>
    <row r="2834">
      <c r="A2834" s="11" t="s">
        <v>2865</v>
      </c>
    </row>
    <row r="2835">
      <c r="A2835" s="11" t="s">
        <v>2866</v>
      </c>
    </row>
    <row r="2836">
      <c r="A2836" s="11" t="s">
        <v>2867</v>
      </c>
    </row>
    <row r="2837">
      <c r="A2837" s="11" t="s">
        <v>2868</v>
      </c>
    </row>
    <row r="2838">
      <c r="A2838" s="11" t="s">
        <v>2869</v>
      </c>
    </row>
    <row r="2839">
      <c r="A2839" s="11" t="s">
        <v>2870</v>
      </c>
    </row>
    <row r="2840">
      <c r="A2840" s="11" t="s">
        <v>2871</v>
      </c>
    </row>
    <row r="2841">
      <c r="A2841" s="11" t="s">
        <v>2872</v>
      </c>
    </row>
    <row r="2842">
      <c r="A2842" s="11" t="s">
        <v>2873</v>
      </c>
    </row>
    <row r="2843">
      <c r="A2843" s="11" t="s">
        <v>2874</v>
      </c>
    </row>
    <row r="2844">
      <c r="A2844" s="11" t="s">
        <v>2875</v>
      </c>
    </row>
    <row r="2845">
      <c r="A2845" s="11" t="s">
        <v>2876</v>
      </c>
    </row>
    <row r="2846">
      <c r="A2846" s="11" t="s">
        <v>2877</v>
      </c>
    </row>
    <row r="2847">
      <c r="A2847" s="11" t="s">
        <v>2878</v>
      </c>
    </row>
    <row r="2848">
      <c r="A2848" s="11" t="s">
        <v>2879</v>
      </c>
    </row>
    <row r="2849">
      <c r="A2849" s="11" t="s">
        <v>2880</v>
      </c>
    </row>
    <row r="2850">
      <c r="A2850" s="11" t="s">
        <v>2881</v>
      </c>
    </row>
    <row r="2851">
      <c r="A2851" s="11" t="s">
        <v>2882</v>
      </c>
    </row>
    <row r="2852">
      <c r="A2852" s="11" t="s">
        <v>2883</v>
      </c>
    </row>
    <row r="2853">
      <c r="A2853" s="11" t="s">
        <v>2884</v>
      </c>
    </row>
    <row r="2854">
      <c r="A2854" s="11" t="s">
        <v>2885</v>
      </c>
    </row>
    <row r="2855">
      <c r="A2855" s="11" t="s">
        <v>2886</v>
      </c>
    </row>
    <row r="2856">
      <c r="A2856" s="11" t="s">
        <v>2887</v>
      </c>
    </row>
    <row r="2857">
      <c r="A2857" s="11" t="s">
        <v>2888</v>
      </c>
    </row>
    <row r="2858">
      <c r="A2858" s="11" t="s">
        <v>2889</v>
      </c>
    </row>
    <row r="2859">
      <c r="A2859" s="11" t="s">
        <v>2890</v>
      </c>
    </row>
    <row r="2860">
      <c r="A2860" s="11" t="s">
        <v>2891</v>
      </c>
    </row>
    <row r="2861">
      <c r="A2861" s="11" t="s">
        <v>2892</v>
      </c>
    </row>
    <row r="2862">
      <c r="A2862" s="11" t="s">
        <v>2893</v>
      </c>
    </row>
    <row r="2863">
      <c r="A2863" s="11" t="s">
        <v>2894</v>
      </c>
    </row>
    <row r="2864">
      <c r="A2864" s="11" t="s">
        <v>2895</v>
      </c>
    </row>
    <row r="2865">
      <c r="A2865" s="11" t="s">
        <v>2896</v>
      </c>
    </row>
    <row r="2866">
      <c r="A2866" s="11" t="s">
        <v>2897</v>
      </c>
    </row>
    <row r="2867">
      <c r="A2867" s="11" t="s">
        <v>2898</v>
      </c>
    </row>
    <row r="2868">
      <c r="A2868" s="11" t="s">
        <v>2899</v>
      </c>
    </row>
    <row r="2869">
      <c r="A2869" s="11" t="s">
        <v>2900</v>
      </c>
    </row>
    <row r="2870">
      <c r="A2870" s="11" t="s">
        <v>2901</v>
      </c>
    </row>
    <row r="2871">
      <c r="A2871" s="11" t="s">
        <v>2902</v>
      </c>
    </row>
    <row r="2872">
      <c r="A2872" s="11" t="s">
        <v>2903</v>
      </c>
    </row>
    <row r="2873">
      <c r="A2873" s="11" t="s">
        <v>2904</v>
      </c>
    </row>
    <row r="2874">
      <c r="A2874" s="11" t="s">
        <v>2905</v>
      </c>
    </row>
    <row r="2875">
      <c r="A2875" s="11" t="s">
        <v>2906</v>
      </c>
    </row>
    <row r="2876">
      <c r="A2876" s="11" t="s">
        <v>2907</v>
      </c>
    </row>
    <row r="2877">
      <c r="A2877" s="11" t="s">
        <v>2908</v>
      </c>
    </row>
    <row r="2878">
      <c r="A2878" s="11" t="s">
        <v>2909</v>
      </c>
    </row>
    <row r="2879">
      <c r="A2879" s="11" t="s">
        <v>2910</v>
      </c>
    </row>
    <row r="2880">
      <c r="A2880" s="11" t="s">
        <v>2911</v>
      </c>
    </row>
    <row r="2881">
      <c r="A2881" s="11" t="s">
        <v>2912</v>
      </c>
    </row>
    <row r="2882">
      <c r="A2882" s="11" t="s">
        <v>2913</v>
      </c>
    </row>
    <row r="2883">
      <c r="A2883" s="11" t="s">
        <v>2914</v>
      </c>
    </row>
    <row r="2884">
      <c r="A2884" s="11" t="s">
        <v>2915</v>
      </c>
    </row>
    <row r="2885">
      <c r="A2885" s="11" t="s">
        <v>2916</v>
      </c>
    </row>
    <row r="2886">
      <c r="A2886" s="11" t="s">
        <v>2917</v>
      </c>
    </row>
    <row r="2887">
      <c r="A2887" s="11" t="s">
        <v>2918</v>
      </c>
    </row>
    <row r="2888">
      <c r="A2888" s="11" t="s">
        <v>2919</v>
      </c>
    </row>
    <row r="2889">
      <c r="A2889" s="11" t="s">
        <v>2920</v>
      </c>
    </row>
    <row r="2890">
      <c r="A2890" s="11" t="s">
        <v>2921</v>
      </c>
    </row>
    <row r="2891">
      <c r="A2891" s="11" t="s">
        <v>2922</v>
      </c>
    </row>
    <row r="2892">
      <c r="A2892" s="11" t="s">
        <v>2923</v>
      </c>
    </row>
    <row r="2893">
      <c r="A2893" s="11" t="s">
        <v>2924</v>
      </c>
    </row>
    <row r="2894">
      <c r="A2894" s="11" t="s">
        <v>2925</v>
      </c>
    </row>
    <row r="2895">
      <c r="A2895" s="11" t="s">
        <v>2926</v>
      </c>
    </row>
    <row r="2896">
      <c r="A2896" s="11" t="s">
        <v>2927</v>
      </c>
    </row>
    <row r="2897">
      <c r="A2897" s="11" t="s">
        <v>2928</v>
      </c>
    </row>
    <row r="2898">
      <c r="A2898" s="11" t="s">
        <v>2929</v>
      </c>
    </row>
    <row r="2899">
      <c r="A2899" s="11" t="s">
        <v>2930</v>
      </c>
    </row>
    <row r="2900">
      <c r="A2900" s="11" t="s">
        <v>2931</v>
      </c>
    </row>
    <row r="2901">
      <c r="A2901" s="11" t="s">
        <v>2932</v>
      </c>
    </row>
    <row r="2902">
      <c r="A2902" s="11" t="s">
        <v>2933</v>
      </c>
    </row>
    <row r="2903">
      <c r="A2903" s="11" t="s">
        <v>2934</v>
      </c>
    </row>
    <row r="2904">
      <c r="A2904" s="11" t="s">
        <v>2935</v>
      </c>
    </row>
    <row r="2905">
      <c r="A2905" s="11" t="s">
        <v>2936</v>
      </c>
    </row>
    <row r="2906">
      <c r="A2906" s="11" t="s">
        <v>2937</v>
      </c>
    </row>
    <row r="2907">
      <c r="A2907" s="11" t="s">
        <v>2938</v>
      </c>
    </row>
    <row r="2908">
      <c r="A2908" s="11" t="s">
        <v>2939</v>
      </c>
    </row>
    <row r="2909">
      <c r="A2909" s="11" t="s">
        <v>2940</v>
      </c>
    </row>
    <row r="2910">
      <c r="A2910" s="11" t="s">
        <v>2941</v>
      </c>
    </row>
    <row r="2911">
      <c r="A2911" s="11" t="s">
        <v>2942</v>
      </c>
    </row>
    <row r="2912">
      <c r="A2912" s="11" t="s">
        <v>2943</v>
      </c>
    </row>
    <row r="2913">
      <c r="A2913" s="11" t="s">
        <v>2944</v>
      </c>
    </row>
    <row r="2914">
      <c r="A2914" s="11" t="s">
        <v>2945</v>
      </c>
    </row>
    <row r="2915">
      <c r="A2915" s="11" t="s">
        <v>2946</v>
      </c>
    </row>
    <row r="2916">
      <c r="A2916" s="11" t="s">
        <v>2947</v>
      </c>
    </row>
    <row r="2917">
      <c r="A2917" s="11" t="s">
        <v>2948</v>
      </c>
    </row>
    <row r="2918">
      <c r="A2918" s="11" t="s">
        <v>2949</v>
      </c>
    </row>
    <row r="2919">
      <c r="A2919" s="11" t="s">
        <v>2950</v>
      </c>
    </row>
    <row r="2920">
      <c r="A2920" s="11" t="s">
        <v>2951</v>
      </c>
    </row>
    <row r="2921">
      <c r="A2921" s="11" t="s">
        <v>2952</v>
      </c>
    </row>
    <row r="2922">
      <c r="A2922" s="11" t="s">
        <v>2953</v>
      </c>
    </row>
    <row r="2923">
      <c r="A2923" s="11" t="s">
        <v>2954</v>
      </c>
    </row>
    <row r="2924">
      <c r="A2924" s="11" t="s">
        <v>2955</v>
      </c>
    </row>
    <row r="2925">
      <c r="A2925" s="11" t="s">
        <v>2956</v>
      </c>
    </row>
    <row r="2926">
      <c r="A2926" s="11" t="s">
        <v>2957</v>
      </c>
    </row>
    <row r="2927">
      <c r="A2927" s="11" t="s">
        <v>2958</v>
      </c>
    </row>
    <row r="2928">
      <c r="A2928" s="11" t="s">
        <v>2959</v>
      </c>
    </row>
    <row r="2929">
      <c r="A2929" s="11" t="s">
        <v>2960</v>
      </c>
    </row>
    <row r="2930">
      <c r="A2930" s="11" t="s">
        <v>2961</v>
      </c>
    </row>
    <row r="2931">
      <c r="A2931" s="11" t="s">
        <v>2962</v>
      </c>
    </row>
    <row r="2932">
      <c r="A2932" s="11" t="s">
        <v>2963</v>
      </c>
    </row>
    <row r="2933">
      <c r="A2933" s="11" t="s">
        <v>2964</v>
      </c>
    </row>
    <row r="2934">
      <c r="A2934" s="11" t="s">
        <v>2965</v>
      </c>
    </row>
    <row r="2935">
      <c r="A2935" s="11" t="s">
        <v>2966</v>
      </c>
    </row>
    <row r="2936">
      <c r="A2936" s="11" t="s">
        <v>2967</v>
      </c>
    </row>
    <row r="2937">
      <c r="A2937" s="11" t="s">
        <v>2968</v>
      </c>
    </row>
    <row r="2938">
      <c r="A2938" s="11" t="s">
        <v>2969</v>
      </c>
    </row>
    <row r="2939">
      <c r="A2939" s="11" t="s">
        <v>2970</v>
      </c>
    </row>
    <row r="2940">
      <c r="A2940" s="11" t="s">
        <v>2971</v>
      </c>
    </row>
    <row r="2941">
      <c r="A2941" s="11" t="s">
        <v>2972</v>
      </c>
    </row>
    <row r="2942">
      <c r="A2942" s="11" t="s">
        <v>2973</v>
      </c>
    </row>
    <row r="2943">
      <c r="A2943" s="11" t="s">
        <v>2974</v>
      </c>
    </row>
    <row r="2944">
      <c r="A2944" s="11" t="s">
        <v>2975</v>
      </c>
    </row>
    <row r="2945">
      <c r="A2945" s="11" t="s">
        <v>2976</v>
      </c>
    </row>
    <row r="2946">
      <c r="A2946" s="11" t="s">
        <v>2977</v>
      </c>
    </row>
    <row r="2947">
      <c r="A2947" s="11" t="s">
        <v>2978</v>
      </c>
    </row>
    <row r="2948">
      <c r="A2948" s="11" t="s">
        <v>2979</v>
      </c>
    </row>
    <row r="2949">
      <c r="A2949" s="11" t="s">
        <v>2980</v>
      </c>
    </row>
    <row r="2950">
      <c r="A2950" s="11" t="s">
        <v>2981</v>
      </c>
    </row>
    <row r="2951">
      <c r="A2951" s="11" t="s">
        <v>2982</v>
      </c>
    </row>
    <row r="2952">
      <c r="A2952" s="11" t="s">
        <v>2983</v>
      </c>
    </row>
    <row r="2953">
      <c r="A2953" s="11" t="s">
        <v>2984</v>
      </c>
    </row>
    <row r="2954">
      <c r="A2954" s="11" t="s">
        <v>2985</v>
      </c>
    </row>
    <row r="2955">
      <c r="A2955" s="11" t="s">
        <v>2986</v>
      </c>
    </row>
    <row r="2956">
      <c r="A2956" s="11" t="s">
        <v>2987</v>
      </c>
    </row>
    <row r="2957">
      <c r="A2957" s="11" t="s">
        <v>2988</v>
      </c>
    </row>
    <row r="2958">
      <c r="A2958" s="11" t="s">
        <v>2989</v>
      </c>
    </row>
    <row r="2959">
      <c r="A2959" s="11" t="s">
        <v>2990</v>
      </c>
    </row>
    <row r="2960">
      <c r="A2960" s="11" t="s">
        <v>2991</v>
      </c>
    </row>
    <row r="2961">
      <c r="A2961" s="11" t="s">
        <v>2992</v>
      </c>
    </row>
    <row r="2962">
      <c r="A2962" s="11" t="s">
        <v>2993</v>
      </c>
    </row>
    <row r="2963">
      <c r="A2963" s="11" t="s">
        <v>2994</v>
      </c>
    </row>
    <row r="2964">
      <c r="A2964" s="11" t="s">
        <v>2995</v>
      </c>
    </row>
    <row r="2965">
      <c r="A2965" s="11" t="s">
        <v>2996</v>
      </c>
    </row>
    <row r="2966">
      <c r="A2966" s="11" t="s">
        <v>2997</v>
      </c>
    </row>
    <row r="2967">
      <c r="A2967" s="11" t="s">
        <v>2998</v>
      </c>
    </row>
    <row r="2968">
      <c r="A2968" s="11" t="s">
        <v>2999</v>
      </c>
    </row>
    <row r="2969">
      <c r="A2969" s="11" t="s">
        <v>3000</v>
      </c>
    </row>
    <row r="2970">
      <c r="A2970" s="11" t="s">
        <v>3001</v>
      </c>
    </row>
    <row r="2971">
      <c r="A2971" s="11" t="s">
        <v>3002</v>
      </c>
    </row>
    <row r="2972">
      <c r="A2972" s="11" t="s">
        <v>3003</v>
      </c>
    </row>
    <row r="2973">
      <c r="A2973" s="11" t="s">
        <v>3004</v>
      </c>
    </row>
    <row r="2974">
      <c r="A2974" s="11" t="s">
        <v>3005</v>
      </c>
    </row>
    <row r="2975">
      <c r="A2975" s="11" t="s">
        <v>3006</v>
      </c>
    </row>
    <row r="2976">
      <c r="A2976" s="11" t="s">
        <v>3007</v>
      </c>
    </row>
    <row r="2977">
      <c r="A2977" s="11" t="s">
        <v>3008</v>
      </c>
    </row>
    <row r="2978">
      <c r="A2978" s="11" t="s">
        <v>3009</v>
      </c>
    </row>
    <row r="2979">
      <c r="A2979" s="11" t="s">
        <v>3010</v>
      </c>
    </row>
    <row r="2980">
      <c r="A2980" s="11" t="s">
        <v>3011</v>
      </c>
    </row>
    <row r="2981">
      <c r="A2981" s="11" t="s">
        <v>3012</v>
      </c>
    </row>
    <row r="2982">
      <c r="A2982" s="11" t="s">
        <v>3013</v>
      </c>
    </row>
    <row r="2983">
      <c r="A2983" s="11" t="s">
        <v>3014</v>
      </c>
    </row>
    <row r="2984">
      <c r="A2984" s="11" t="s">
        <v>3015</v>
      </c>
    </row>
    <row r="2985">
      <c r="A2985" s="11" t="s">
        <v>3016</v>
      </c>
    </row>
    <row r="2986">
      <c r="A2986" s="11" t="s">
        <v>3017</v>
      </c>
    </row>
    <row r="2987">
      <c r="A2987" s="11" t="s">
        <v>3018</v>
      </c>
    </row>
    <row r="2988">
      <c r="A2988" s="11" t="s">
        <v>3019</v>
      </c>
    </row>
    <row r="2989">
      <c r="A2989" s="11" t="s">
        <v>3020</v>
      </c>
    </row>
    <row r="2990">
      <c r="A2990" s="11" t="s">
        <v>3021</v>
      </c>
    </row>
    <row r="2991">
      <c r="A2991" s="11" t="s">
        <v>3022</v>
      </c>
    </row>
    <row r="2992">
      <c r="A2992" s="11" t="s">
        <v>3023</v>
      </c>
    </row>
    <row r="2993">
      <c r="A2993" s="11" t="s">
        <v>3024</v>
      </c>
    </row>
    <row r="2994">
      <c r="A2994" s="11" t="s">
        <v>3025</v>
      </c>
    </row>
    <row r="2995">
      <c r="A2995" s="11" t="s">
        <v>3026</v>
      </c>
    </row>
    <row r="2996">
      <c r="A2996" s="11" t="s">
        <v>3027</v>
      </c>
    </row>
    <row r="2997">
      <c r="A2997" s="11" t="s">
        <v>3028</v>
      </c>
    </row>
    <row r="2998">
      <c r="A2998" s="11" t="s">
        <v>3029</v>
      </c>
    </row>
    <row r="2999">
      <c r="A2999" s="11" t="s">
        <v>3030</v>
      </c>
    </row>
    <row r="3000">
      <c r="A3000" s="11" t="s">
        <v>3031</v>
      </c>
    </row>
    <row r="3001">
      <c r="A3001" s="11" t="s">
        <v>3032</v>
      </c>
    </row>
    <row r="3002">
      <c r="A3002" s="11" t="s">
        <v>3033</v>
      </c>
    </row>
    <row r="3003">
      <c r="A3003" s="11" t="s">
        <v>3034</v>
      </c>
    </row>
    <row r="3004">
      <c r="A3004" s="11" t="s">
        <v>3035</v>
      </c>
    </row>
    <row r="3005">
      <c r="A3005" s="11" t="s">
        <v>3036</v>
      </c>
    </row>
    <row r="3006">
      <c r="A3006" s="11" t="s">
        <v>3037</v>
      </c>
    </row>
    <row r="3007">
      <c r="A3007" s="11" t="s">
        <v>3038</v>
      </c>
    </row>
    <row r="3008">
      <c r="A3008" s="11" t="s">
        <v>3039</v>
      </c>
    </row>
    <row r="3009">
      <c r="A3009" s="11" t="s">
        <v>3040</v>
      </c>
    </row>
    <row r="3010">
      <c r="A3010" s="11" t="s">
        <v>3041</v>
      </c>
    </row>
    <row r="3011">
      <c r="A3011" s="11" t="s">
        <v>3042</v>
      </c>
    </row>
    <row r="3012">
      <c r="A3012" s="11" t="s">
        <v>3043</v>
      </c>
    </row>
    <row r="3013">
      <c r="A3013" s="11" t="s">
        <v>3044</v>
      </c>
    </row>
    <row r="3014">
      <c r="A3014" s="11" t="s">
        <v>3045</v>
      </c>
    </row>
    <row r="3015">
      <c r="A3015" s="11" t="s">
        <v>3046</v>
      </c>
    </row>
    <row r="3016">
      <c r="A3016" s="11" t="s">
        <v>3047</v>
      </c>
    </row>
    <row r="3017">
      <c r="A3017" s="11" t="s">
        <v>3048</v>
      </c>
    </row>
    <row r="3018">
      <c r="A3018" s="11" t="s">
        <v>3049</v>
      </c>
    </row>
    <row r="3019">
      <c r="A3019" s="11" t="s">
        <v>3050</v>
      </c>
    </row>
    <row r="3020">
      <c r="A3020" s="11" t="s">
        <v>3051</v>
      </c>
    </row>
    <row r="3021">
      <c r="A3021" s="11" t="s">
        <v>3052</v>
      </c>
    </row>
    <row r="3022">
      <c r="A3022" s="11" t="s">
        <v>3053</v>
      </c>
    </row>
    <row r="3023">
      <c r="A3023" s="11" t="s">
        <v>3054</v>
      </c>
    </row>
    <row r="3024">
      <c r="A3024" s="11" t="s">
        <v>3055</v>
      </c>
    </row>
    <row r="3025">
      <c r="A3025" s="11" t="s">
        <v>3056</v>
      </c>
    </row>
    <row r="3026">
      <c r="A3026" s="11" t="s">
        <v>3057</v>
      </c>
    </row>
    <row r="3027">
      <c r="A3027" s="11" t="s">
        <v>3058</v>
      </c>
    </row>
    <row r="3028">
      <c r="A3028" s="11" t="s">
        <v>3059</v>
      </c>
    </row>
    <row r="3029">
      <c r="A3029" s="11" t="s">
        <v>3060</v>
      </c>
    </row>
    <row r="3030">
      <c r="A3030" s="11" t="s">
        <v>3061</v>
      </c>
    </row>
    <row r="3031">
      <c r="A3031" s="11" t="s">
        <v>3062</v>
      </c>
    </row>
    <row r="3032">
      <c r="A3032" s="11" t="s">
        <v>3063</v>
      </c>
    </row>
    <row r="3033">
      <c r="A3033" s="11" t="s">
        <v>3064</v>
      </c>
    </row>
    <row r="3034">
      <c r="A3034" s="11" t="s">
        <v>3065</v>
      </c>
    </row>
    <row r="3035">
      <c r="A3035" s="11" t="s">
        <v>3066</v>
      </c>
    </row>
    <row r="3036">
      <c r="A3036" s="11" t="s">
        <v>3067</v>
      </c>
    </row>
    <row r="3037">
      <c r="A3037" s="11" t="s">
        <v>3068</v>
      </c>
    </row>
    <row r="3038">
      <c r="A3038" s="11" t="s">
        <v>3069</v>
      </c>
    </row>
    <row r="3039">
      <c r="A3039" s="11" t="s">
        <v>3070</v>
      </c>
    </row>
    <row r="3040">
      <c r="A3040" s="11" t="s">
        <v>3071</v>
      </c>
    </row>
    <row r="3041">
      <c r="A3041" s="11" t="s">
        <v>3072</v>
      </c>
    </row>
    <row r="3042">
      <c r="A3042" s="11" t="s">
        <v>3073</v>
      </c>
    </row>
    <row r="3043">
      <c r="A3043" s="11" t="s">
        <v>3074</v>
      </c>
    </row>
    <row r="3044">
      <c r="A3044" s="11" t="s">
        <v>3075</v>
      </c>
    </row>
    <row r="3045">
      <c r="A3045" s="11" t="s">
        <v>3076</v>
      </c>
    </row>
    <row r="3046">
      <c r="A3046" s="11" t="s">
        <v>3077</v>
      </c>
    </row>
    <row r="3047">
      <c r="A3047" s="11" t="s">
        <v>3078</v>
      </c>
    </row>
    <row r="3048">
      <c r="A3048" s="11" t="s">
        <v>3079</v>
      </c>
    </row>
    <row r="3049">
      <c r="A3049" s="11" t="s">
        <v>3080</v>
      </c>
    </row>
    <row r="3050">
      <c r="A3050" s="11" t="s">
        <v>3081</v>
      </c>
    </row>
    <row r="3051">
      <c r="A3051" s="11" t="s">
        <v>3082</v>
      </c>
    </row>
    <row r="3052">
      <c r="A3052" s="11" t="s">
        <v>3083</v>
      </c>
    </row>
    <row r="3053">
      <c r="A3053" s="11" t="s">
        <v>3084</v>
      </c>
    </row>
    <row r="3054">
      <c r="A3054" s="11" t="s">
        <v>3085</v>
      </c>
    </row>
    <row r="3055">
      <c r="A3055" s="11" t="s">
        <v>3086</v>
      </c>
    </row>
    <row r="3056">
      <c r="A3056" s="11" t="s">
        <v>3087</v>
      </c>
    </row>
    <row r="3057">
      <c r="A3057" s="11" t="s">
        <v>3088</v>
      </c>
    </row>
    <row r="3058">
      <c r="A3058" s="11" t="s">
        <v>3089</v>
      </c>
    </row>
    <row r="3059">
      <c r="A3059" s="11" t="s">
        <v>3090</v>
      </c>
    </row>
    <row r="3060">
      <c r="A3060" s="11" t="s">
        <v>3091</v>
      </c>
    </row>
    <row r="3061">
      <c r="A3061" s="11" t="s">
        <v>3092</v>
      </c>
    </row>
    <row r="3062">
      <c r="A3062" s="11" t="s">
        <v>3093</v>
      </c>
    </row>
    <row r="3063">
      <c r="A3063" s="11" t="s">
        <v>3094</v>
      </c>
    </row>
    <row r="3064">
      <c r="A3064" s="11" t="s">
        <v>3095</v>
      </c>
    </row>
    <row r="3065">
      <c r="A3065" s="11" t="s">
        <v>3096</v>
      </c>
    </row>
    <row r="3066">
      <c r="A3066" s="11" t="s">
        <v>3097</v>
      </c>
    </row>
    <row r="3067">
      <c r="A3067" s="11" t="s">
        <v>3098</v>
      </c>
    </row>
    <row r="3068">
      <c r="A3068" s="11" t="s">
        <v>3099</v>
      </c>
    </row>
    <row r="3069">
      <c r="A3069" s="11" t="s">
        <v>3100</v>
      </c>
    </row>
    <row r="3070">
      <c r="A3070" s="11" t="s">
        <v>3101</v>
      </c>
    </row>
    <row r="3071">
      <c r="A3071" s="11" t="s">
        <v>3102</v>
      </c>
    </row>
    <row r="3072">
      <c r="A3072" s="11" t="s">
        <v>3103</v>
      </c>
    </row>
    <row r="3073">
      <c r="A3073" s="11" t="s">
        <v>3104</v>
      </c>
    </row>
    <row r="3074">
      <c r="A3074" s="11" t="s">
        <v>3105</v>
      </c>
    </row>
    <row r="3075">
      <c r="A3075" s="11" t="s">
        <v>3106</v>
      </c>
    </row>
    <row r="3076">
      <c r="A3076" s="11" t="s">
        <v>3107</v>
      </c>
    </row>
    <row r="3077">
      <c r="A3077" s="11" t="s">
        <v>3108</v>
      </c>
    </row>
    <row r="3078">
      <c r="A3078" s="11" t="s">
        <v>3109</v>
      </c>
    </row>
    <row r="3079">
      <c r="A3079" s="11" t="s">
        <v>3110</v>
      </c>
    </row>
    <row r="3080">
      <c r="A3080" s="11" t="s">
        <v>3111</v>
      </c>
    </row>
    <row r="3081">
      <c r="A3081" s="11" t="s">
        <v>3112</v>
      </c>
    </row>
    <row r="3082">
      <c r="A3082" s="11" t="s">
        <v>3113</v>
      </c>
    </row>
    <row r="3083">
      <c r="A3083" s="11" t="s">
        <v>3114</v>
      </c>
    </row>
    <row r="3084">
      <c r="A3084" s="11" t="s">
        <v>3115</v>
      </c>
    </row>
    <row r="3085">
      <c r="A3085" s="11" t="s">
        <v>3116</v>
      </c>
    </row>
    <row r="3086">
      <c r="A3086" s="11" t="s">
        <v>3117</v>
      </c>
    </row>
    <row r="3087">
      <c r="A3087" s="11" t="s">
        <v>3118</v>
      </c>
    </row>
    <row r="3088">
      <c r="A3088" s="11" t="s">
        <v>3119</v>
      </c>
    </row>
    <row r="3089">
      <c r="A3089" s="11" t="s">
        <v>3120</v>
      </c>
    </row>
    <row r="3090">
      <c r="A3090" s="11" t="s">
        <v>3121</v>
      </c>
    </row>
    <row r="3091">
      <c r="A3091" s="11" t="s">
        <v>3122</v>
      </c>
    </row>
    <row r="3092">
      <c r="A3092" s="11" t="s">
        <v>3123</v>
      </c>
    </row>
    <row r="3093">
      <c r="A3093" s="11" t="s">
        <v>3124</v>
      </c>
    </row>
    <row r="3094">
      <c r="A3094" s="11" t="s">
        <v>3125</v>
      </c>
    </row>
    <row r="3095">
      <c r="A3095" s="11" t="s">
        <v>3126</v>
      </c>
    </row>
    <row r="3096">
      <c r="A3096" s="11" t="s">
        <v>3127</v>
      </c>
    </row>
    <row r="3097">
      <c r="A3097" s="11" t="s">
        <v>3128</v>
      </c>
    </row>
    <row r="3098">
      <c r="A3098" s="11" t="s">
        <v>3129</v>
      </c>
    </row>
    <row r="3099">
      <c r="A3099" s="11" t="s">
        <v>3130</v>
      </c>
    </row>
    <row r="3100">
      <c r="A3100" s="11" t="s">
        <v>3131</v>
      </c>
    </row>
    <row r="3101">
      <c r="A3101" s="11" t="s">
        <v>3132</v>
      </c>
    </row>
    <row r="3102">
      <c r="A3102" s="11" t="s">
        <v>3133</v>
      </c>
    </row>
    <row r="3103">
      <c r="A3103" s="11" t="s">
        <v>3134</v>
      </c>
    </row>
    <row r="3104">
      <c r="A3104" s="11" t="s">
        <v>3135</v>
      </c>
    </row>
    <row r="3105">
      <c r="A3105" s="11" t="s">
        <v>3136</v>
      </c>
    </row>
    <row r="3106">
      <c r="A3106" s="11" t="s">
        <v>3137</v>
      </c>
    </row>
    <row r="3107">
      <c r="A3107" s="11" t="s">
        <v>3138</v>
      </c>
    </row>
    <row r="3108">
      <c r="A3108" s="11" t="s">
        <v>3139</v>
      </c>
    </row>
    <row r="3109">
      <c r="A3109" s="11" t="s">
        <v>3140</v>
      </c>
    </row>
    <row r="3110">
      <c r="A3110" s="11" t="s">
        <v>3141</v>
      </c>
    </row>
    <row r="3111">
      <c r="A3111" s="11" t="s">
        <v>3142</v>
      </c>
    </row>
    <row r="3112">
      <c r="A3112" s="11" t="s">
        <v>3143</v>
      </c>
    </row>
    <row r="3113">
      <c r="A3113" s="11" t="s">
        <v>3144</v>
      </c>
    </row>
    <row r="3114">
      <c r="A3114" s="11" t="s">
        <v>3145</v>
      </c>
    </row>
    <row r="3115">
      <c r="A3115" s="11" t="s">
        <v>3146</v>
      </c>
    </row>
    <row r="3116">
      <c r="A3116" s="11" t="s">
        <v>3147</v>
      </c>
    </row>
    <row r="3117">
      <c r="A3117" s="11" t="s">
        <v>3148</v>
      </c>
    </row>
    <row r="3118">
      <c r="A3118" s="11" t="s">
        <v>3149</v>
      </c>
    </row>
    <row r="3119">
      <c r="A3119" s="11" t="s">
        <v>3150</v>
      </c>
    </row>
    <row r="3120">
      <c r="A3120" s="11" t="s">
        <v>3151</v>
      </c>
    </row>
    <row r="3121">
      <c r="A3121" s="11" t="s">
        <v>3152</v>
      </c>
    </row>
    <row r="3122">
      <c r="A3122" s="11" t="s">
        <v>3153</v>
      </c>
    </row>
    <row r="3123">
      <c r="A3123" s="11" t="s">
        <v>3154</v>
      </c>
    </row>
    <row r="3124">
      <c r="A3124" s="11" t="s">
        <v>3155</v>
      </c>
    </row>
    <row r="3125">
      <c r="A3125" s="11" t="s">
        <v>3156</v>
      </c>
    </row>
    <row r="3126">
      <c r="A3126" s="11" t="s">
        <v>3157</v>
      </c>
    </row>
    <row r="3127">
      <c r="A3127" s="11" t="s">
        <v>3158</v>
      </c>
    </row>
    <row r="3128">
      <c r="A3128" s="11" t="s">
        <v>3159</v>
      </c>
    </row>
    <row r="3129">
      <c r="A3129" s="11" t="s">
        <v>3160</v>
      </c>
    </row>
    <row r="3130">
      <c r="A3130" s="11" t="s">
        <v>3161</v>
      </c>
    </row>
    <row r="3131">
      <c r="A3131" s="11" t="s">
        <v>3162</v>
      </c>
    </row>
    <row r="3132">
      <c r="A3132" s="11" t="s">
        <v>3163</v>
      </c>
    </row>
    <row r="3133">
      <c r="A3133" s="11" t="s">
        <v>3164</v>
      </c>
    </row>
    <row r="3134">
      <c r="A3134" s="11" t="s">
        <v>3165</v>
      </c>
    </row>
    <row r="3135">
      <c r="A3135" s="11" t="s">
        <v>3166</v>
      </c>
    </row>
    <row r="3136">
      <c r="A3136" s="11" t="s">
        <v>3167</v>
      </c>
    </row>
    <row r="3137">
      <c r="A3137" s="11" t="s">
        <v>3168</v>
      </c>
    </row>
    <row r="3138">
      <c r="A3138" s="11" t="s">
        <v>3169</v>
      </c>
    </row>
    <row r="3139">
      <c r="A3139" s="11" t="s">
        <v>3170</v>
      </c>
    </row>
    <row r="3140">
      <c r="A3140" s="11" t="s">
        <v>3171</v>
      </c>
    </row>
    <row r="3141">
      <c r="A3141" s="11" t="s">
        <v>3172</v>
      </c>
    </row>
    <row r="3142">
      <c r="A3142" s="11" t="s">
        <v>3173</v>
      </c>
    </row>
    <row r="3143">
      <c r="A3143" s="11" t="s">
        <v>3174</v>
      </c>
    </row>
    <row r="3144">
      <c r="A3144" s="11" t="s">
        <v>3175</v>
      </c>
    </row>
    <row r="3145">
      <c r="A3145" s="11" t="s">
        <v>3176</v>
      </c>
    </row>
    <row r="3146">
      <c r="A3146" s="11" t="s">
        <v>3177</v>
      </c>
    </row>
    <row r="3147">
      <c r="A3147" s="11" t="s">
        <v>3178</v>
      </c>
    </row>
    <row r="3148">
      <c r="A3148" s="11" t="s">
        <v>3179</v>
      </c>
    </row>
    <row r="3149">
      <c r="A3149" s="11" t="s">
        <v>3180</v>
      </c>
    </row>
    <row r="3150">
      <c r="A3150" s="11" t="s">
        <v>3181</v>
      </c>
    </row>
    <row r="3151">
      <c r="A3151" s="11" t="s">
        <v>3182</v>
      </c>
    </row>
    <row r="3152">
      <c r="A3152" s="11" t="s">
        <v>3183</v>
      </c>
    </row>
    <row r="3153">
      <c r="A3153" s="11" t="s">
        <v>3184</v>
      </c>
    </row>
    <row r="3154">
      <c r="A3154" s="11" t="s">
        <v>3185</v>
      </c>
    </row>
    <row r="3155">
      <c r="A3155" s="11" t="s">
        <v>3186</v>
      </c>
    </row>
    <row r="3156">
      <c r="A3156" s="11" t="s">
        <v>3187</v>
      </c>
    </row>
    <row r="3157">
      <c r="A3157" s="11" t="s">
        <v>3188</v>
      </c>
    </row>
    <row r="3158">
      <c r="A3158" s="11" t="s">
        <v>3189</v>
      </c>
    </row>
    <row r="3159">
      <c r="A3159" s="11" t="s">
        <v>3190</v>
      </c>
    </row>
    <row r="3160">
      <c r="A3160" s="11" t="s">
        <v>3191</v>
      </c>
    </row>
    <row r="3161">
      <c r="A3161" s="11" t="s">
        <v>3192</v>
      </c>
    </row>
    <row r="3162">
      <c r="A3162" s="11" t="s">
        <v>3193</v>
      </c>
    </row>
    <row r="3163">
      <c r="A3163" s="11" t="s">
        <v>3194</v>
      </c>
    </row>
    <row r="3164">
      <c r="A3164" s="11" t="s">
        <v>3195</v>
      </c>
    </row>
    <row r="3165">
      <c r="A3165" s="11" t="s">
        <v>3196</v>
      </c>
    </row>
    <row r="3166">
      <c r="A3166" s="11" t="s">
        <v>3197</v>
      </c>
    </row>
    <row r="3167">
      <c r="A3167" s="11" t="s">
        <v>3198</v>
      </c>
    </row>
    <row r="3168">
      <c r="A3168" s="11" t="s">
        <v>3199</v>
      </c>
    </row>
    <row r="3169">
      <c r="A3169" s="11" t="s">
        <v>3200</v>
      </c>
    </row>
    <row r="3170">
      <c r="A3170" s="11" t="s">
        <v>3201</v>
      </c>
    </row>
    <row r="3171">
      <c r="A3171" s="11" t="s">
        <v>3202</v>
      </c>
    </row>
    <row r="3172">
      <c r="A3172" s="11" t="s">
        <v>3203</v>
      </c>
    </row>
    <row r="3173">
      <c r="A3173" s="11" t="s">
        <v>3204</v>
      </c>
    </row>
    <row r="3174">
      <c r="A3174" s="11" t="s">
        <v>3205</v>
      </c>
    </row>
    <row r="3175">
      <c r="A3175" s="11" t="s">
        <v>3206</v>
      </c>
    </row>
    <row r="3176">
      <c r="A3176" s="11" t="s">
        <v>3207</v>
      </c>
    </row>
    <row r="3177">
      <c r="A3177" s="11" t="s">
        <v>3208</v>
      </c>
    </row>
    <row r="3178">
      <c r="A3178" s="11" t="s">
        <v>3209</v>
      </c>
    </row>
    <row r="3179">
      <c r="A3179" s="11" t="s">
        <v>3210</v>
      </c>
    </row>
    <row r="3180">
      <c r="A3180" s="11" t="s">
        <v>3211</v>
      </c>
    </row>
    <row r="3181">
      <c r="A3181" s="11" t="s">
        <v>3212</v>
      </c>
    </row>
    <row r="3182">
      <c r="A3182" s="11" t="s">
        <v>3213</v>
      </c>
    </row>
    <row r="3183">
      <c r="A3183" s="11" t="s">
        <v>3214</v>
      </c>
    </row>
    <row r="3184">
      <c r="A3184" s="11" t="s">
        <v>3215</v>
      </c>
    </row>
    <row r="3185">
      <c r="A3185" s="11" t="s">
        <v>3216</v>
      </c>
    </row>
    <row r="3186">
      <c r="A3186" s="11" t="s">
        <v>3217</v>
      </c>
    </row>
    <row r="3187">
      <c r="A3187" s="11" t="s">
        <v>3218</v>
      </c>
    </row>
    <row r="3188">
      <c r="A3188" s="11" t="s">
        <v>3219</v>
      </c>
    </row>
    <row r="3189">
      <c r="A3189" s="11" t="s">
        <v>3220</v>
      </c>
    </row>
    <row r="3190">
      <c r="A3190" s="11" t="s">
        <v>3221</v>
      </c>
    </row>
    <row r="3191">
      <c r="A3191" s="11" t="s">
        <v>3222</v>
      </c>
    </row>
    <row r="3192">
      <c r="A3192" s="11" t="s">
        <v>3223</v>
      </c>
    </row>
    <row r="3193">
      <c r="A3193" s="11" t="s">
        <v>3224</v>
      </c>
    </row>
    <row r="3194">
      <c r="A3194" s="11" t="s">
        <v>3225</v>
      </c>
    </row>
    <row r="3195">
      <c r="A3195" s="11" t="s">
        <v>3226</v>
      </c>
    </row>
    <row r="3196">
      <c r="A3196" s="11" t="s">
        <v>3227</v>
      </c>
    </row>
    <row r="3197">
      <c r="A3197" s="11" t="s">
        <v>3228</v>
      </c>
    </row>
    <row r="3198">
      <c r="A3198" s="11" t="s">
        <v>3229</v>
      </c>
    </row>
    <row r="3199">
      <c r="A3199" s="11" t="s">
        <v>3230</v>
      </c>
    </row>
    <row r="3200">
      <c r="A3200" s="11" t="s">
        <v>3231</v>
      </c>
    </row>
    <row r="3201">
      <c r="A3201" s="11" t="s">
        <v>3232</v>
      </c>
    </row>
    <row r="3202">
      <c r="A3202" s="11" t="s">
        <v>3233</v>
      </c>
    </row>
    <row r="3203">
      <c r="A3203" s="11" t="s">
        <v>3234</v>
      </c>
    </row>
    <row r="3204">
      <c r="A3204" s="11" t="s">
        <v>3235</v>
      </c>
    </row>
    <row r="3205">
      <c r="A3205" s="11" t="s">
        <v>3236</v>
      </c>
    </row>
    <row r="3206">
      <c r="A3206" s="11" t="s">
        <v>3237</v>
      </c>
    </row>
    <row r="3207">
      <c r="A3207" s="11" t="s">
        <v>3238</v>
      </c>
    </row>
    <row r="3208">
      <c r="A3208" s="11" t="s">
        <v>3239</v>
      </c>
    </row>
    <row r="3209">
      <c r="A3209" s="11" t="s">
        <v>3240</v>
      </c>
    </row>
    <row r="3210">
      <c r="A3210" s="11" t="s">
        <v>3241</v>
      </c>
    </row>
    <row r="3211">
      <c r="A3211" s="11" t="s">
        <v>3242</v>
      </c>
    </row>
    <row r="3212">
      <c r="A3212" s="11" t="s">
        <v>3243</v>
      </c>
    </row>
    <row r="3213">
      <c r="A3213" s="11" t="s">
        <v>3244</v>
      </c>
    </row>
    <row r="3214">
      <c r="A3214" s="11" t="s">
        <v>3245</v>
      </c>
    </row>
    <row r="3215">
      <c r="A3215" s="11" t="s">
        <v>3246</v>
      </c>
    </row>
    <row r="3216">
      <c r="A3216" s="11" t="s">
        <v>3247</v>
      </c>
    </row>
    <row r="3217">
      <c r="A3217" s="11" t="s">
        <v>3248</v>
      </c>
    </row>
    <row r="3218">
      <c r="A3218" s="11" t="s">
        <v>3249</v>
      </c>
    </row>
    <row r="3219">
      <c r="A3219" s="11" t="s">
        <v>3250</v>
      </c>
    </row>
    <row r="3220">
      <c r="A3220" s="11" t="s">
        <v>3251</v>
      </c>
    </row>
    <row r="3221">
      <c r="A3221" s="11" t="s">
        <v>3252</v>
      </c>
    </row>
    <row r="3222">
      <c r="A3222" s="11" t="s">
        <v>3253</v>
      </c>
    </row>
    <row r="3223">
      <c r="A3223" s="11" t="s">
        <v>3254</v>
      </c>
    </row>
    <row r="3224">
      <c r="A3224" s="11" t="s">
        <v>3255</v>
      </c>
    </row>
    <row r="3225">
      <c r="A3225" s="11" t="s">
        <v>3256</v>
      </c>
    </row>
    <row r="3226">
      <c r="A3226" s="11" t="s">
        <v>3257</v>
      </c>
    </row>
    <row r="3227">
      <c r="A3227" s="11" t="s">
        <v>3258</v>
      </c>
    </row>
    <row r="3228">
      <c r="A3228" s="11" t="s">
        <v>3259</v>
      </c>
    </row>
    <row r="3229">
      <c r="A3229" s="11" t="s">
        <v>3260</v>
      </c>
    </row>
    <row r="3230">
      <c r="A3230" s="11" t="s">
        <v>3261</v>
      </c>
    </row>
    <row r="3231">
      <c r="A3231" s="11" t="s">
        <v>3262</v>
      </c>
    </row>
    <row r="3232">
      <c r="A3232" s="11" t="s">
        <v>3263</v>
      </c>
    </row>
    <row r="3233">
      <c r="A3233" s="11" t="s">
        <v>3264</v>
      </c>
    </row>
    <row r="3234">
      <c r="A3234" s="11" t="s">
        <v>3265</v>
      </c>
    </row>
    <row r="3235">
      <c r="A3235" s="11" t="s">
        <v>3266</v>
      </c>
    </row>
    <row r="3236">
      <c r="A3236" s="11" t="s">
        <v>3267</v>
      </c>
    </row>
    <row r="3237">
      <c r="A3237" s="11" t="s">
        <v>3268</v>
      </c>
    </row>
    <row r="3238">
      <c r="A3238" s="11" t="s">
        <v>3269</v>
      </c>
    </row>
    <row r="3239">
      <c r="A3239" s="11" t="s">
        <v>3270</v>
      </c>
    </row>
    <row r="3240">
      <c r="A3240" s="11" t="s">
        <v>3271</v>
      </c>
    </row>
    <row r="3241">
      <c r="A3241" s="11" t="s">
        <v>3272</v>
      </c>
    </row>
    <row r="3242">
      <c r="A3242" s="11" t="s">
        <v>3273</v>
      </c>
    </row>
    <row r="3243">
      <c r="A3243" s="11" t="s">
        <v>3274</v>
      </c>
    </row>
    <row r="3244">
      <c r="A3244" s="11" t="s">
        <v>3275</v>
      </c>
    </row>
    <row r="3245">
      <c r="A3245" s="11" t="s">
        <v>3276</v>
      </c>
    </row>
    <row r="3246">
      <c r="A3246" s="11" t="s">
        <v>3277</v>
      </c>
    </row>
    <row r="3247">
      <c r="A3247" s="11" t="s">
        <v>3278</v>
      </c>
    </row>
    <row r="3248">
      <c r="A3248" s="11" t="s">
        <v>3279</v>
      </c>
    </row>
    <row r="3249">
      <c r="A3249" s="11" t="s">
        <v>3280</v>
      </c>
    </row>
    <row r="3250">
      <c r="A3250" s="11" t="s">
        <v>3281</v>
      </c>
    </row>
    <row r="3251">
      <c r="A3251" s="11" t="s">
        <v>3282</v>
      </c>
    </row>
    <row r="3252">
      <c r="A3252" s="11" t="s">
        <v>3283</v>
      </c>
    </row>
    <row r="3253">
      <c r="A3253" s="11" t="s">
        <v>3284</v>
      </c>
    </row>
    <row r="3254">
      <c r="A3254" s="11" t="s">
        <v>3285</v>
      </c>
    </row>
    <row r="3255">
      <c r="A3255" s="11" t="s">
        <v>3286</v>
      </c>
    </row>
    <row r="3256">
      <c r="A3256" s="11" t="s">
        <v>3287</v>
      </c>
    </row>
    <row r="3257">
      <c r="A3257" s="11" t="s">
        <v>3288</v>
      </c>
    </row>
    <row r="3258">
      <c r="A3258" s="11" t="s">
        <v>3289</v>
      </c>
    </row>
    <row r="3259">
      <c r="A3259" s="11" t="s">
        <v>3290</v>
      </c>
    </row>
    <row r="3260">
      <c r="A3260" s="11" t="s">
        <v>3291</v>
      </c>
    </row>
    <row r="3261">
      <c r="A3261" s="11" t="s">
        <v>3292</v>
      </c>
    </row>
    <row r="3262">
      <c r="A3262" s="11" t="s">
        <v>3293</v>
      </c>
    </row>
    <row r="3263">
      <c r="A3263" s="11" t="s">
        <v>3294</v>
      </c>
    </row>
    <row r="3264">
      <c r="A3264" s="11" t="s">
        <v>3295</v>
      </c>
    </row>
    <row r="3265">
      <c r="A3265" s="11" t="s">
        <v>3296</v>
      </c>
    </row>
    <row r="3266">
      <c r="A3266" s="11" t="s">
        <v>3297</v>
      </c>
    </row>
    <row r="3267">
      <c r="A3267" s="11" t="s">
        <v>3298</v>
      </c>
    </row>
    <row r="3268">
      <c r="A3268" s="11" t="s">
        <v>3299</v>
      </c>
    </row>
    <row r="3269">
      <c r="A3269" s="11" t="s">
        <v>3300</v>
      </c>
    </row>
    <row r="3270">
      <c r="A3270" s="11" t="s">
        <v>3301</v>
      </c>
    </row>
    <row r="3271">
      <c r="A3271" s="11" t="s">
        <v>3302</v>
      </c>
    </row>
    <row r="3272">
      <c r="A3272" s="11" t="s">
        <v>3303</v>
      </c>
    </row>
    <row r="3273">
      <c r="A3273" s="11" t="s">
        <v>3304</v>
      </c>
    </row>
    <row r="3274">
      <c r="A3274" s="11" t="s">
        <v>3305</v>
      </c>
    </row>
    <row r="3275">
      <c r="A3275" s="11" t="s">
        <v>3306</v>
      </c>
    </row>
    <row r="3276">
      <c r="A3276" s="11" t="s">
        <v>3307</v>
      </c>
    </row>
    <row r="3277">
      <c r="A3277" s="11" t="s">
        <v>3308</v>
      </c>
    </row>
    <row r="3278">
      <c r="A3278" s="11" t="s">
        <v>3309</v>
      </c>
    </row>
    <row r="3279">
      <c r="A3279" s="11" t="s">
        <v>3310</v>
      </c>
    </row>
    <row r="3280">
      <c r="A3280" s="11" t="s">
        <v>3311</v>
      </c>
    </row>
    <row r="3281">
      <c r="A3281" s="11" t="s">
        <v>3312</v>
      </c>
    </row>
    <row r="3282">
      <c r="A3282" s="11" t="s">
        <v>3313</v>
      </c>
    </row>
    <row r="3283">
      <c r="A3283" s="11" t="s">
        <v>3314</v>
      </c>
    </row>
    <row r="3284">
      <c r="A3284" s="11" t="s">
        <v>3315</v>
      </c>
    </row>
    <row r="3285">
      <c r="A3285" s="11" t="s">
        <v>3316</v>
      </c>
    </row>
    <row r="3286">
      <c r="A3286" s="11" t="s">
        <v>3317</v>
      </c>
    </row>
    <row r="3287">
      <c r="A3287" s="11" t="s">
        <v>3318</v>
      </c>
    </row>
    <row r="3288">
      <c r="A3288" s="11" t="s">
        <v>3319</v>
      </c>
    </row>
    <row r="3289">
      <c r="A3289" s="11" t="s">
        <v>3320</v>
      </c>
    </row>
    <row r="3290">
      <c r="A3290" s="11" t="s">
        <v>3321</v>
      </c>
    </row>
    <row r="3291">
      <c r="A3291" s="11" t="s">
        <v>3322</v>
      </c>
    </row>
    <row r="3292">
      <c r="A3292" s="11" t="s">
        <v>3323</v>
      </c>
    </row>
    <row r="3293">
      <c r="A3293" s="11" t="s">
        <v>3324</v>
      </c>
    </row>
    <row r="3294">
      <c r="A3294" s="11" t="s">
        <v>3325</v>
      </c>
    </row>
    <row r="3295">
      <c r="A3295" s="11" t="s">
        <v>3326</v>
      </c>
    </row>
    <row r="3296">
      <c r="A3296" s="11" t="s">
        <v>3327</v>
      </c>
    </row>
    <row r="3297">
      <c r="A3297" s="11" t="s">
        <v>3328</v>
      </c>
    </row>
    <row r="3298">
      <c r="A3298" s="11" t="s">
        <v>3329</v>
      </c>
    </row>
    <row r="3299">
      <c r="A3299" s="11" t="s">
        <v>3330</v>
      </c>
    </row>
    <row r="3300">
      <c r="A3300" s="11" t="s">
        <v>3331</v>
      </c>
    </row>
    <row r="3301">
      <c r="A3301" s="11" t="s">
        <v>3332</v>
      </c>
    </row>
    <row r="3302">
      <c r="A3302" s="11" t="s">
        <v>3333</v>
      </c>
    </row>
    <row r="3303">
      <c r="A3303" s="11" t="s">
        <v>3334</v>
      </c>
    </row>
    <row r="3304">
      <c r="A3304" s="11" t="s">
        <v>3335</v>
      </c>
    </row>
    <row r="3305">
      <c r="A3305" s="11" t="s">
        <v>3336</v>
      </c>
    </row>
    <row r="3306">
      <c r="A3306" s="11" t="s">
        <v>3337</v>
      </c>
    </row>
    <row r="3307">
      <c r="A3307" s="11" t="s">
        <v>3338</v>
      </c>
    </row>
    <row r="3308">
      <c r="A3308" s="11" t="s">
        <v>3339</v>
      </c>
    </row>
    <row r="3309">
      <c r="A3309" s="11" t="s">
        <v>3340</v>
      </c>
    </row>
    <row r="3310">
      <c r="A3310" s="11" t="s">
        <v>3341</v>
      </c>
    </row>
    <row r="3311">
      <c r="A3311" s="11" t="s">
        <v>3342</v>
      </c>
    </row>
    <row r="3312">
      <c r="A3312" s="11" t="s">
        <v>3343</v>
      </c>
    </row>
    <row r="3313">
      <c r="A3313" s="11" t="s">
        <v>3344</v>
      </c>
    </row>
    <row r="3314">
      <c r="A3314" s="11" t="s">
        <v>3345</v>
      </c>
    </row>
    <row r="3315">
      <c r="A3315" s="11" t="s">
        <v>3346</v>
      </c>
    </row>
    <row r="3316">
      <c r="A3316" s="11" t="s">
        <v>3347</v>
      </c>
    </row>
    <row r="3317">
      <c r="A3317" s="11" t="s">
        <v>3348</v>
      </c>
    </row>
    <row r="3318">
      <c r="A3318" s="11" t="s">
        <v>3349</v>
      </c>
    </row>
    <row r="3319">
      <c r="A3319" s="11" t="s">
        <v>3350</v>
      </c>
    </row>
    <row r="3320">
      <c r="A3320" s="11" t="s">
        <v>3351</v>
      </c>
    </row>
    <row r="3321">
      <c r="A3321" s="11" t="s">
        <v>3352</v>
      </c>
    </row>
    <row r="3322">
      <c r="A3322" s="11" t="s">
        <v>3353</v>
      </c>
    </row>
    <row r="3323">
      <c r="A3323" s="11" t="s">
        <v>3354</v>
      </c>
    </row>
    <row r="3324">
      <c r="A3324" s="11" t="s">
        <v>3355</v>
      </c>
    </row>
    <row r="3325">
      <c r="A3325" s="11" t="s">
        <v>3356</v>
      </c>
    </row>
    <row r="3326">
      <c r="A3326" s="11" t="s">
        <v>3357</v>
      </c>
    </row>
    <row r="3327">
      <c r="A3327" s="11" t="s">
        <v>3358</v>
      </c>
    </row>
    <row r="3328">
      <c r="A3328" s="11" t="s">
        <v>3359</v>
      </c>
    </row>
    <row r="3329">
      <c r="A3329" s="11" t="s">
        <v>3360</v>
      </c>
    </row>
    <row r="3330">
      <c r="A3330" s="11" t="s">
        <v>3361</v>
      </c>
    </row>
    <row r="3331">
      <c r="A3331" s="11" t="s">
        <v>3362</v>
      </c>
    </row>
    <row r="3332">
      <c r="A3332" s="11" t="s">
        <v>3363</v>
      </c>
    </row>
    <row r="3333">
      <c r="A3333" s="11" t="s">
        <v>3364</v>
      </c>
    </row>
    <row r="3334">
      <c r="A3334" s="11" t="s">
        <v>3365</v>
      </c>
    </row>
    <row r="3335">
      <c r="A3335" s="11" t="s">
        <v>3366</v>
      </c>
    </row>
    <row r="3336">
      <c r="A3336" s="11" t="s">
        <v>3367</v>
      </c>
    </row>
    <row r="3337">
      <c r="A3337" s="11" t="s">
        <v>3368</v>
      </c>
    </row>
    <row r="3338">
      <c r="A3338" s="11" t="s">
        <v>3369</v>
      </c>
    </row>
    <row r="3339">
      <c r="A3339" s="11" t="s">
        <v>3370</v>
      </c>
    </row>
    <row r="3340">
      <c r="A3340" s="11" t="s">
        <v>3371</v>
      </c>
    </row>
    <row r="3341">
      <c r="A3341" s="11" t="s">
        <v>3372</v>
      </c>
    </row>
    <row r="3342">
      <c r="A3342" s="11" t="s">
        <v>3373</v>
      </c>
    </row>
    <row r="3343">
      <c r="A3343" s="11" t="s">
        <v>3374</v>
      </c>
    </row>
    <row r="3344">
      <c r="A3344" s="11" t="s">
        <v>3375</v>
      </c>
    </row>
    <row r="3345">
      <c r="A3345" s="11" t="s">
        <v>3376</v>
      </c>
    </row>
    <row r="3346">
      <c r="A3346" s="11" t="s">
        <v>3377</v>
      </c>
    </row>
    <row r="3347">
      <c r="A3347" s="11" t="s">
        <v>3378</v>
      </c>
    </row>
    <row r="3348">
      <c r="A3348" s="11" t="s">
        <v>3379</v>
      </c>
    </row>
    <row r="3349">
      <c r="A3349" s="11" t="s">
        <v>3380</v>
      </c>
    </row>
    <row r="3350">
      <c r="A3350" s="11" t="s">
        <v>3381</v>
      </c>
    </row>
    <row r="3351">
      <c r="A3351" s="11" t="s">
        <v>3382</v>
      </c>
    </row>
    <row r="3352">
      <c r="A3352" s="11" t="s">
        <v>3383</v>
      </c>
    </row>
    <row r="3353">
      <c r="A3353" s="11" t="s">
        <v>3384</v>
      </c>
    </row>
    <row r="3354">
      <c r="A3354" s="11" t="s">
        <v>3385</v>
      </c>
    </row>
    <row r="3355">
      <c r="A3355" s="11" t="s">
        <v>3386</v>
      </c>
    </row>
    <row r="3356">
      <c r="A3356" s="11" t="s">
        <v>3387</v>
      </c>
    </row>
    <row r="3357">
      <c r="A3357" s="11" t="s">
        <v>3388</v>
      </c>
    </row>
    <row r="3358">
      <c r="A3358" s="11" t="s">
        <v>3389</v>
      </c>
    </row>
    <row r="3359">
      <c r="A3359" s="11" t="s">
        <v>3390</v>
      </c>
    </row>
    <row r="3360">
      <c r="A3360" s="11" t="s">
        <v>3391</v>
      </c>
    </row>
    <row r="3361">
      <c r="A3361" s="11" t="s">
        <v>3392</v>
      </c>
    </row>
    <row r="3362">
      <c r="A3362" s="11" t="s">
        <v>3393</v>
      </c>
    </row>
    <row r="3363">
      <c r="A3363" s="11" t="s">
        <v>3394</v>
      </c>
    </row>
    <row r="3364">
      <c r="A3364" s="11" t="s">
        <v>3395</v>
      </c>
    </row>
    <row r="3365">
      <c r="A3365" s="11" t="s">
        <v>3396</v>
      </c>
    </row>
    <row r="3366">
      <c r="A3366" s="11" t="s">
        <v>3397</v>
      </c>
    </row>
    <row r="3367">
      <c r="A3367" s="11" t="s">
        <v>3398</v>
      </c>
    </row>
    <row r="3368">
      <c r="A3368" s="11" t="s">
        <v>3399</v>
      </c>
    </row>
    <row r="3369">
      <c r="A3369" s="11" t="s">
        <v>3400</v>
      </c>
    </row>
    <row r="3370">
      <c r="A3370" s="11" t="s">
        <v>3401</v>
      </c>
    </row>
    <row r="3371">
      <c r="A3371" s="11" t="s">
        <v>3402</v>
      </c>
    </row>
    <row r="3372">
      <c r="A3372" s="11" t="s">
        <v>3403</v>
      </c>
    </row>
    <row r="3373">
      <c r="A3373" s="11" t="s">
        <v>3404</v>
      </c>
    </row>
    <row r="3374">
      <c r="A3374" s="11" t="s">
        <v>3405</v>
      </c>
    </row>
    <row r="3375">
      <c r="A3375" s="11" t="s">
        <v>3406</v>
      </c>
    </row>
    <row r="3376">
      <c r="A3376" s="11" t="s">
        <v>3407</v>
      </c>
    </row>
    <row r="3377">
      <c r="A3377" s="11" t="s">
        <v>3408</v>
      </c>
    </row>
    <row r="3378">
      <c r="A3378" s="11" t="s">
        <v>3409</v>
      </c>
    </row>
    <row r="3379">
      <c r="A3379" s="11" t="s">
        <v>3410</v>
      </c>
    </row>
    <row r="3380">
      <c r="A3380" s="11" t="s">
        <v>3411</v>
      </c>
    </row>
    <row r="3381">
      <c r="A3381" s="11" t="s">
        <v>3412</v>
      </c>
    </row>
    <row r="3382">
      <c r="A3382" s="11" t="s">
        <v>3413</v>
      </c>
    </row>
    <row r="3383">
      <c r="A3383" s="11" t="s">
        <v>3414</v>
      </c>
    </row>
    <row r="3384">
      <c r="A3384" s="11" t="s">
        <v>3415</v>
      </c>
    </row>
    <row r="3385">
      <c r="A3385" s="11" t="s">
        <v>3416</v>
      </c>
    </row>
    <row r="3386">
      <c r="A3386" s="11" t="s">
        <v>3417</v>
      </c>
    </row>
    <row r="3387">
      <c r="A3387" s="11" t="s">
        <v>3418</v>
      </c>
    </row>
    <row r="3388">
      <c r="A3388" s="11" t="s">
        <v>3419</v>
      </c>
    </row>
    <row r="3389">
      <c r="A3389" s="11" t="s">
        <v>3420</v>
      </c>
    </row>
    <row r="3390">
      <c r="A3390" s="11" t="s">
        <v>3421</v>
      </c>
    </row>
    <row r="3391">
      <c r="A3391" s="11" t="s">
        <v>3422</v>
      </c>
    </row>
    <row r="3392">
      <c r="A3392" s="11" t="s">
        <v>3423</v>
      </c>
    </row>
    <row r="3393">
      <c r="A3393" s="11" t="s">
        <v>3424</v>
      </c>
    </row>
    <row r="3394">
      <c r="A3394" s="11" t="s">
        <v>3425</v>
      </c>
    </row>
    <row r="3395">
      <c r="A3395" s="11" t="s">
        <v>3426</v>
      </c>
    </row>
    <row r="3396">
      <c r="A3396" s="11" t="s">
        <v>3427</v>
      </c>
    </row>
    <row r="3397">
      <c r="A3397" s="11" t="s">
        <v>3428</v>
      </c>
    </row>
    <row r="3398">
      <c r="A3398" s="11" t="s">
        <v>3429</v>
      </c>
    </row>
    <row r="3399">
      <c r="A3399" s="11" t="s">
        <v>3430</v>
      </c>
    </row>
    <row r="3400">
      <c r="A3400" s="11" t="s">
        <v>3431</v>
      </c>
    </row>
    <row r="3401">
      <c r="A3401" s="11" t="s">
        <v>3432</v>
      </c>
    </row>
    <row r="3402">
      <c r="A3402" s="11" t="s">
        <v>3433</v>
      </c>
    </row>
    <row r="3403">
      <c r="A3403" s="11" t="s">
        <v>3434</v>
      </c>
    </row>
    <row r="3404">
      <c r="A3404" s="11" t="s">
        <v>3435</v>
      </c>
    </row>
    <row r="3405">
      <c r="A3405" s="11" t="s">
        <v>3436</v>
      </c>
    </row>
    <row r="3406">
      <c r="A3406" s="11" t="s">
        <v>3437</v>
      </c>
    </row>
    <row r="3407">
      <c r="A3407" s="11" t="s">
        <v>3438</v>
      </c>
    </row>
    <row r="3408">
      <c r="A3408" s="11" t="s">
        <v>3439</v>
      </c>
    </row>
    <row r="3409">
      <c r="A3409" s="11" t="s">
        <v>3440</v>
      </c>
    </row>
    <row r="3410">
      <c r="A3410" s="11" t="s">
        <v>3441</v>
      </c>
    </row>
    <row r="3411">
      <c r="A3411" s="11" t="s">
        <v>3442</v>
      </c>
    </row>
    <row r="3412">
      <c r="A3412" s="11" t="s">
        <v>3443</v>
      </c>
    </row>
    <row r="3413">
      <c r="A3413" s="11" t="s">
        <v>3444</v>
      </c>
    </row>
    <row r="3414">
      <c r="A3414" s="11" t="s">
        <v>3445</v>
      </c>
    </row>
    <row r="3415">
      <c r="A3415" s="11" t="s">
        <v>3446</v>
      </c>
    </row>
    <row r="3416">
      <c r="A3416" s="11" t="s">
        <v>3447</v>
      </c>
    </row>
    <row r="3417">
      <c r="A3417" s="11" t="s">
        <v>3448</v>
      </c>
    </row>
    <row r="3418">
      <c r="A3418" s="11" t="s">
        <v>3449</v>
      </c>
    </row>
    <row r="3419">
      <c r="A3419" s="11" t="s">
        <v>3450</v>
      </c>
    </row>
    <row r="3420">
      <c r="A3420" s="11" t="s">
        <v>3451</v>
      </c>
    </row>
    <row r="3421">
      <c r="A3421" s="11" t="s">
        <v>3452</v>
      </c>
    </row>
    <row r="3422">
      <c r="A3422" s="11" t="s">
        <v>3453</v>
      </c>
    </row>
    <row r="3423">
      <c r="A3423" s="11" t="s">
        <v>3454</v>
      </c>
    </row>
    <row r="3424">
      <c r="A3424" s="11" t="s">
        <v>3455</v>
      </c>
    </row>
    <row r="3425">
      <c r="A3425" s="11" t="s">
        <v>3456</v>
      </c>
    </row>
    <row r="3426">
      <c r="A3426" s="11" t="s">
        <v>3457</v>
      </c>
    </row>
    <row r="3427">
      <c r="A3427" s="11" t="s">
        <v>3458</v>
      </c>
    </row>
    <row r="3428">
      <c r="A3428" s="11" t="s">
        <v>3459</v>
      </c>
    </row>
    <row r="3429">
      <c r="A3429" s="11" t="s">
        <v>3460</v>
      </c>
    </row>
    <row r="3430">
      <c r="A3430" s="11" t="s">
        <v>3461</v>
      </c>
    </row>
    <row r="3431">
      <c r="A3431" s="11" t="s">
        <v>3462</v>
      </c>
    </row>
    <row r="3432">
      <c r="A3432" s="11" t="s">
        <v>3463</v>
      </c>
    </row>
    <row r="3433">
      <c r="A3433" s="11" t="s">
        <v>3464</v>
      </c>
    </row>
    <row r="3434">
      <c r="A3434" s="11" t="s">
        <v>3465</v>
      </c>
    </row>
    <row r="3435">
      <c r="A3435" s="11" t="s">
        <v>3466</v>
      </c>
    </row>
    <row r="3436">
      <c r="A3436" s="11" t="s">
        <v>3467</v>
      </c>
    </row>
    <row r="3437">
      <c r="A3437" s="11" t="s">
        <v>3468</v>
      </c>
    </row>
    <row r="3438">
      <c r="A3438" s="11" t="s">
        <v>3469</v>
      </c>
    </row>
    <row r="3439">
      <c r="A3439" s="11" t="s">
        <v>3470</v>
      </c>
    </row>
    <row r="3440">
      <c r="A3440" s="11" t="s">
        <v>3471</v>
      </c>
    </row>
    <row r="3441">
      <c r="A3441" s="11" t="s">
        <v>3472</v>
      </c>
    </row>
    <row r="3442">
      <c r="A3442" s="11" t="s">
        <v>3473</v>
      </c>
    </row>
    <row r="3443">
      <c r="A3443" s="11" t="s">
        <v>3474</v>
      </c>
    </row>
    <row r="3444">
      <c r="A3444" s="11" t="s">
        <v>3475</v>
      </c>
    </row>
    <row r="3445">
      <c r="A3445" s="11" t="s">
        <v>3476</v>
      </c>
    </row>
    <row r="3446">
      <c r="A3446" s="11" t="s">
        <v>3477</v>
      </c>
    </row>
    <row r="3447">
      <c r="A3447" s="11" t="s">
        <v>3478</v>
      </c>
    </row>
    <row r="3448">
      <c r="A3448" s="11" t="s">
        <v>3479</v>
      </c>
    </row>
    <row r="3449">
      <c r="A3449" s="11" t="s">
        <v>3480</v>
      </c>
    </row>
    <row r="3450">
      <c r="A3450" s="11" t="s">
        <v>3481</v>
      </c>
    </row>
    <row r="3451">
      <c r="A3451" s="11" t="s">
        <v>3482</v>
      </c>
    </row>
    <row r="3452">
      <c r="A3452" s="11" t="s">
        <v>3483</v>
      </c>
    </row>
    <row r="3453">
      <c r="A3453" s="11" t="s">
        <v>3484</v>
      </c>
    </row>
    <row r="3454">
      <c r="A3454" s="11" t="s">
        <v>3485</v>
      </c>
    </row>
    <row r="3455">
      <c r="A3455" s="11" t="s">
        <v>3486</v>
      </c>
    </row>
    <row r="3456">
      <c r="A3456" s="11" t="s">
        <v>3487</v>
      </c>
    </row>
    <row r="3457">
      <c r="A3457" s="11" t="s">
        <v>3488</v>
      </c>
    </row>
    <row r="3458">
      <c r="A3458" s="11" t="s">
        <v>3489</v>
      </c>
    </row>
    <row r="3459">
      <c r="A3459" s="11" t="s">
        <v>3490</v>
      </c>
    </row>
    <row r="3460">
      <c r="A3460" s="11" t="s">
        <v>3491</v>
      </c>
    </row>
    <row r="3461">
      <c r="A3461" s="11" t="s">
        <v>3492</v>
      </c>
    </row>
    <row r="3462">
      <c r="A3462" s="11" t="s">
        <v>3493</v>
      </c>
    </row>
    <row r="3463">
      <c r="A3463" s="11" t="s">
        <v>3494</v>
      </c>
    </row>
    <row r="3464">
      <c r="A3464" s="11" t="s">
        <v>3495</v>
      </c>
    </row>
    <row r="3465">
      <c r="A3465" s="11" t="s">
        <v>3496</v>
      </c>
    </row>
    <row r="3466">
      <c r="A3466" s="11" t="s">
        <v>3497</v>
      </c>
    </row>
    <row r="3467">
      <c r="A3467" s="11" t="s">
        <v>3498</v>
      </c>
    </row>
    <row r="3468">
      <c r="A3468" s="11" t="s">
        <v>3499</v>
      </c>
    </row>
    <row r="3469">
      <c r="A3469" s="11" t="s">
        <v>3500</v>
      </c>
    </row>
    <row r="3470">
      <c r="A3470" s="11" t="s">
        <v>3501</v>
      </c>
    </row>
    <row r="3471">
      <c r="A3471" s="11" t="s">
        <v>3502</v>
      </c>
    </row>
    <row r="3472">
      <c r="A3472" s="11" t="s">
        <v>3503</v>
      </c>
    </row>
    <row r="3473">
      <c r="A3473" s="11" t="s">
        <v>3504</v>
      </c>
    </row>
    <row r="3474">
      <c r="A3474" s="11" t="s">
        <v>3505</v>
      </c>
    </row>
    <row r="3475">
      <c r="A3475" s="11" t="s">
        <v>3506</v>
      </c>
    </row>
    <row r="3476">
      <c r="A3476" s="11" t="s">
        <v>3507</v>
      </c>
    </row>
    <row r="3477">
      <c r="A3477" s="11" t="s">
        <v>3508</v>
      </c>
    </row>
    <row r="3478">
      <c r="A3478" s="11" t="s">
        <v>3509</v>
      </c>
    </row>
    <row r="3479">
      <c r="A3479" s="11" t="s">
        <v>3510</v>
      </c>
    </row>
    <row r="3480">
      <c r="A3480" s="11" t="s">
        <v>3511</v>
      </c>
    </row>
    <row r="3481">
      <c r="A3481" s="11" t="s">
        <v>3512</v>
      </c>
    </row>
    <row r="3482">
      <c r="A3482" s="11" t="s">
        <v>3513</v>
      </c>
    </row>
    <row r="3483">
      <c r="A3483" s="11" t="s">
        <v>3514</v>
      </c>
    </row>
    <row r="3484">
      <c r="A3484" s="11" t="s">
        <v>3515</v>
      </c>
    </row>
    <row r="3485">
      <c r="A3485" s="11" t="s">
        <v>3516</v>
      </c>
    </row>
    <row r="3486">
      <c r="A3486" s="11" t="s">
        <v>3517</v>
      </c>
    </row>
    <row r="3487">
      <c r="A3487" s="11" t="s">
        <v>3518</v>
      </c>
    </row>
    <row r="3488">
      <c r="A3488" s="11" t="s">
        <v>3519</v>
      </c>
    </row>
    <row r="3489">
      <c r="A3489" s="11" t="s">
        <v>3520</v>
      </c>
    </row>
    <row r="3490">
      <c r="A3490" s="11" t="s">
        <v>3521</v>
      </c>
    </row>
    <row r="3491">
      <c r="A3491" s="11" t="s">
        <v>3522</v>
      </c>
    </row>
    <row r="3492">
      <c r="A3492" s="11" t="s">
        <v>3523</v>
      </c>
    </row>
    <row r="3493">
      <c r="A3493" s="11" t="s">
        <v>3524</v>
      </c>
    </row>
    <row r="3494">
      <c r="A3494" s="11" t="s">
        <v>3525</v>
      </c>
    </row>
    <row r="3495">
      <c r="A3495" s="11" t="s">
        <v>3526</v>
      </c>
    </row>
    <row r="3496">
      <c r="A3496" s="11" t="s">
        <v>3527</v>
      </c>
    </row>
    <row r="3497">
      <c r="A3497" s="11" t="s">
        <v>3528</v>
      </c>
    </row>
    <row r="3498">
      <c r="A3498" s="11" t="s">
        <v>3529</v>
      </c>
    </row>
    <row r="3499">
      <c r="A3499" s="11" t="s">
        <v>3530</v>
      </c>
    </row>
    <row r="3500">
      <c r="A3500" s="11" t="s">
        <v>3531</v>
      </c>
    </row>
    <row r="3501">
      <c r="A3501" s="11" t="s">
        <v>3532</v>
      </c>
    </row>
    <row r="3502">
      <c r="A3502" s="11" t="s">
        <v>3533</v>
      </c>
    </row>
    <row r="3503">
      <c r="A3503" s="11" t="s">
        <v>3534</v>
      </c>
    </row>
    <row r="3504">
      <c r="A3504" s="11" t="s">
        <v>3535</v>
      </c>
    </row>
    <row r="3505">
      <c r="A3505" s="11" t="s">
        <v>3536</v>
      </c>
    </row>
    <row r="3506">
      <c r="A3506" s="11" t="s">
        <v>3537</v>
      </c>
    </row>
    <row r="3507">
      <c r="A3507" s="11" t="s">
        <v>3538</v>
      </c>
    </row>
    <row r="3508">
      <c r="A3508" s="11" t="s">
        <v>3539</v>
      </c>
    </row>
    <row r="3509">
      <c r="A3509" s="11" t="s">
        <v>3540</v>
      </c>
    </row>
    <row r="3510">
      <c r="A3510" s="11" t="s">
        <v>3541</v>
      </c>
    </row>
    <row r="3511">
      <c r="A3511" s="11" t="s">
        <v>3542</v>
      </c>
    </row>
    <row r="3512">
      <c r="A3512" s="11" t="s">
        <v>3543</v>
      </c>
    </row>
    <row r="3513">
      <c r="A3513" s="11" t="s">
        <v>3544</v>
      </c>
    </row>
    <row r="3514">
      <c r="A3514" s="11" t="s">
        <v>3545</v>
      </c>
    </row>
    <row r="3515">
      <c r="A3515" s="11" t="s">
        <v>3546</v>
      </c>
    </row>
    <row r="3516">
      <c r="A3516" s="11" t="s">
        <v>3547</v>
      </c>
    </row>
    <row r="3517">
      <c r="A3517" s="11" t="s">
        <v>3548</v>
      </c>
    </row>
    <row r="3518">
      <c r="A3518" s="11" t="s">
        <v>3549</v>
      </c>
    </row>
    <row r="3519">
      <c r="A3519" s="11" t="s">
        <v>3550</v>
      </c>
    </row>
    <row r="3520">
      <c r="A3520" s="11" t="s">
        <v>3551</v>
      </c>
    </row>
    <row r="3521">
      <c r="A3521" s="11" t="s">
        <v>3552</v>
      </c>
    </row>
    <row r="3522">
      <c r="A3522" s="11" t="s">
        <v>3553</v>
      </c>
    </row>
    <row r="3523">
      <c r="A3523" s="11" t="s">
        <v>3554</v>
      </c>
    </row>
    <row r="3524">
      <c r="A3524" s="11" t="s">
        <v>3555</v>
      </c>
    </row>
    <row r="3525">
      <c r="A3525" s="11" t="s">
        <v>3556</v>
      </c>
    </row>
    <row r="3526">
      <c r="A3526" s="11" t="s">
        <v>3557</v>
      </c>
    </row>
    <row r="3527">
      <c r="A3527" s="11" t="s">
        <v>3558</v>
      </c>
    </row>
    <row r="3528">
      <c r="A3528" s="11" t="s">
        <v>3559</v>
      </c>
    </row>
    <row r="3529">
      <c r="A3529" s="11" t="s">
        <v>3560</v>
      </c>
    </row>
    <row r="3530">
      <c r="A3530" s="11" t="s">
        <v>3561</v>
      </c>
    </row>
    <row r="3531">
      <c r="A3531" s="11" t="s">
        <v>3562</v>
      </c>
    </row>
    <row r="3532">
      <c r="A3532" s="11" t="s">
        <v>3563</v>
      </c>
    </row>
    <row r="3533">
      <c r="A3533" s="11" t="s">
        <v>3564</v>
      </c>
    </row>
    <row r="3534">
      <c r="A3534" s="11" t="s">
        <v>3565</v>
      </c>
    </row>
    <row r="3535">
      <c r="A3535" s="11" t="s">
        <v>3566</v>
      </c>
    </row>
    <row r="3536">
      <c r="A3536" s="11" t="s">
        <v>3567</v>
      </c>
    </row>
    <row r="3537">
      <c r="A3537" s="11" t="s">
        <v>3568</v>
      </c>
    </row>
    <row r="3538">
      <c r="A3538" s="11" t="s">
        <v>3569</v>
      </c>
    </row>
    <row r="3539">
      <c r="A3539" s="11" t="s">
        <v>3570</v>
      </c>
    </row>
    <row r="3540">
      <c r="A3540" s="11" t="s">
        <v>3571</v>
      </c>
    </row>
    <row r="3541">
      <c r="A3541" s="11" t="s">
        <v>3572</v>
      </c>
    </row>
    <row r="3542">
      <c r="A3542" s="11" t="s">
        <v>3573</v>
      </c>
    </row>
    <row r="3543">
      <c r="A3543" s="11" t="s">
        <v>3574</v>
      </c>
    </row>
    <row r="3544">
      <c r="A3544" s="11" t="s">
        <v>3575</v>
      </c>
    </row>
    <row r="3545">
      <c r="A3545" s="11" t="s">
        <v>3576</v>
      </c>
    </row>
    <row r="3546">
      <c r="A3546" s="11" t="s">
        <v>3577</v>
      </c>
    </row>
    <row r="3547">
      <c r="A3547" s="11" t="s">
        <v>3578</v>
      </c>
    </row>
    <row r="3548">
      <c r="A3548" s="11" t="s">
        <v>3579</v>
      </c>
    </row>
    <row r="3549">
      <c r="A3549" s="11" t="s">
        <v>3580</v>
      </c>
    </row>
    <row r="3550">
      <c r="A3550" s="11" t="s">
        <v>3581</v>
      </c>
    </row>
    <row r="3551">
      <c r="A3551" s="11" t="s">
        <v>3582</v>
      </c>
    </row>
    <row r="3552">
      <c r="A3552" s="11" t="s">
        <v>3583</v>
      </c>
    </row>
    <row r="3553">
      <c r="A3553" s="11" t="s">
        <v>3584</v>
      </c>
    </row>
    <row r="3554">
      <c r="A3554" s="11" t="s">
        <v>3585</v>
      </c>
    </row>
    <row r="3555">
      <c r="A3555" s="11" t="s">
        <v>3586</v>
      </c>
    </row>
    <row r="3556">
      <c r="A3556" s="11" t="s">
        <v>3587</v>
      </c>
    </row>
    <row r="3557">
      <c r="A3557" s="11" t="s">
        <v>3588</v>
      </c>
    </row>
    <row r="3558">
      <c r="A3558" s="11" t="s">
        <v>3589</v>
      </c>
    </row>
    <row r="3559">
      <c r="A3559" s="11" t="s">
        <v>3590</v>
      </c>
    </row>
    <row r="3560">
      <c r="A3560" s="11" t="s">
        <v>3591</v>
      </c>
    </row>
    <row r="3561">
      <c r="A3561" s="11" t="s">
        <v>3592</v>
      </c>
    </row>
    <row r="3562">
      <c r="A3562" s="11" t="s">
        <v>3593</v>
      </c>
    </row>
    <row r="3563">
      <c r="A3563" s="11" t="s">
        <v>3594</v>
      </c>
    </row>
    <row r="3564">
      <c r="A3564" s="11" t="s">
        <v>3595</v>
      </c>
    </row>
    <row r="3565">
      <c r="A3565" s="11" t="s">
        <v>3596</v>
      </c>
    </row>
    <row r="3566">
      <c r="A3566" s="11" t="s">
        <v>3597</v>
      </c>
    </row>
    <row r="3567">
      <c r="A3567" s="11" t="s">
        <v>3598</v>
      </c>
    </row>
    <row r="3568">
      <c r="A3568" s="11" t="s">
        <v>3599</v>
      </c>
    </row>
    <row r="3569">
      <c r="A3569" s="11" t="s">
        <v>3600</v>
      </c>
    </row>
    <row r="3570">
      <c r="A3570" s="11" t="s">
        <v>3601</v>
      </c>
    </row>
    <row r="3571">
      <c r="A3571" s="11" t="s">
        <v>3602</v>
      </c>
    </row>
    <row r="3572">
      <c r="A3572" s="11" t="s">
        <v>3603</v>
      </c>
    </row>
    <row r="3573">
      <c r="A3573" s="11" t="s">
        <v>3604</v>
      </c>
    </row>
    <row r="3574">
      <c r="A3574" s="11" t="s">
        <v>3605</v>
      </c>
    </row>
    <row r="3575">
      <c r="A3575" s="11" t="s">
        <v>3606</v>
      </c>
    </row>
    <row r="3576">
      <c r="A3576" s="11" t="s">
        <v>3607</v>
      </c>
    </row>
    <row r="3577">
      <c r="A3577" s="11" t="s">
        <v>3608</v>
      </c>
    </row>
    <row r="3578">
      <c r="A3578" s="11" t="s">
        <v>3609</v>
      </c>
    </row>
    <row r="3579">
      <c r="A3579" s="11" t="s">
        <v>3610</v>
      </c>
    </row>
    <row r="3580">
      <c r="A3580" s="11" t="s">
        <v>3611</v>
      </c>
    </row>
    <row r="3581">
      <c r="A3581" s="11" t="s">
        <v>3612</v>
      </c>
    </row>
    <row r="3582">
      <c r="A3582" s="11" t="s">
        <v>3613</v>
      </c>
    </row>
    <row r="3583">
      <c r="A3583" s="11" t="s">
        <v>3614</v>
      </c>
    </row>
    <row r="3584">
      <c r="A3584" s="11" t="s">
        <v>3615</v>
      </c>
    </row>
    <row r="3585">
      <c r="A3585" s="11" t="s">
        <v>3616</v>
      </c>
    </row>
    <row r="3586">
      <c r="A3586" s="11" t="s">
        <v>3617</v>
      </c>
    </row>
    <row r="3587">
      <c r="A3587" s="11" t="s">
        <v>3618</v>
      </c>
    </row>
    <row r="3588">
      <c r="A3588" s="11" t="s">
        <v>3619</v>
      </c>
    </row>
    <row r="3589">
      <c r="A3589" s="11" t="s">
        <v>3620</v>
      </c>
    </row>
    <row r="3590">
      <c r="A3590" s="11" t="s">
        <v>3621</v>
      </c>
    </row>
    <row r="3591">
      <c r="A3591" s="11" t="s">
        <v>3622</v>
      </c>
    </row>
    <row r="3592">
      <c r="A3592" s="11" t="s">
        <v>3623</v>
      </c>
    </row>
    <row r="3593">
      <c r="A3593" s="11" t="s">
        <v>3624</v>
      </c>
    </row>
    <row r="3594">
      <c r="A3594" s="11" t="s">
        <v>3625</v>
      </c>
    </row>
    <row r="3595">
      <c r="A3595" s="11" t="s">
        <v>3626</v>
      </c>
    </row>
    <row r="3596">
      <c r="A3596" s="11" t="s">
        <v>3627</v>
      </c>
    </row>
    <row r="3597">
      <c r="A3597" s="11" t="s">
        <v>3628</v>
      </c>
    </row>
    <row r="3598">
      <c r="A3598" s="11" t="s">
        <v>3629</v>
      </c>
    </row>
    <row r="3599">
      <c r="A3599" s="11" t="s">
        <v>3630</v>
      </c>
    </row>
    <row r="3600">
      <c r="A3600" s="11" t="s">
        <v>3631</v>
      </c>
    </row>
    <row r="3601">
      <c r="A3601" s="11" t="s">
        <v>3632</v>
      </c>
    </row>
    <row r="3602">
      <c r="A3602" s="11" t="s">
        <v>3633</v>
      </c>
    </row>
    <row r="3603">
      <c r="A3603" s="11" t="s">
        <v>3634</v>
      </c>
    </row>
    <row r="3604">
      <c r="A3604" s="11" t="s">
        <v>3635</v>
      </c>
    </row>
    <row r="3605">
      <c r="A3605" s="11" t="s">
        <v>3636</v>
      </c>
    </row>
    <row r="3606">
      <c r="A3606" s="11" t="s">
        <v>3637</v>
      </c>
    </row>
    <row r="3607">
      <c r="A3607" s="11" t="s">
        <v>3638</v>
      </c>
    </row>
    <row r="3608">
      <c r="A3608" s="11" t="s">
        <v>3639</v>
      </c>
    </row>
    <row r="3609">
      <c r="A3609" s="11" t="s">
        <v>3640</v>
      </c>
    </row>
    <row r="3610">
      <c r="A3610" s="11" t="s">
        <v>3641</v>
      </c>
    </row>
    <row r="3611">
      <c r="A3611" s="11" t="s">
        <v>3642</v>
      </c>
    </row>
    <row r="3612">
      <c r="A3612" s="11" t="s">
        <v>3643</v>
      </c>
    </row>
    <row r="3613">
      <c r="A3613" s="11" t="s">
        <v>3644</v>
      </c>
    </row>
    <row r="3614">
      <c r="A3614" s="11" t="s">
        <v>3645</v>
      </c>
    </row>
    <row r="3615">
      <c r="A3615" s="11" t="s">
        <v>3646</v>
      </c>
    </row>
    <row r="3616">
      <c r="A3616" s="11" t="s">
        <v>3647</v>
      </c>
    </row>
    <row r="3617">
      <c r="A3617" s="11" t="s">
        <v>3648</v>
      </c>
    </row>
    <row r="3618">
      <c r="A3618" s="11" t="s">
        <v>3649</v>
      </c>
    </row>
    <row r="3619">
      <c r="A3619" s="11" t="s">
        <v>3650</v>
      </c>
    </row>
    <row r="3620">
      <c r="A3620" s="11" t="s">
        <v>3651</v>
      </c>
    </row>
    <row r="3621">
      <c r="A3621" s="11" t="s">
        <v>3652</v>
      </c>
    </row>
    <row r="3622">
      <c r="A3622" s="11" t="s">
        <v>3653</v>
      </c>
    </row>
    <row r="3623">
      <c r="A3623" s="11" t="s">
        <v>3654</v>
      </c>
    </row>
    <row r="3624">
      <c r="A3624" s="11" t="s">
        <v>3655</v>
      </c>
    </row>
    <row r="3625">
      <c r="A3625" s="11" t="s">
        <v>3656</v>
      </c>
    </row>
    <row r="3626">
      <c r="A3626" s="11" t="s">
        <v>3657</v>
      </c>
    </row>
    <row r="3627">
      <c r="A3627" s="11" t="s">
        <v>3658</v>
      </c>
    </row>
    <row r="3628">
      <c r="A3628" s="11" t="s">
        <v>3659</v>
      </c>
    </row>
    <row r="3629">
      <c r="A3629" s="11" t="s">
        <v>3660</v>
      </c>
    </row>
    <row r="3630">
      <c r="A3630" s="11" t="s">
        <v>3661</v>
      </c>
    </row>
    <row r="3631">
      <c r="A3631" s="11" t="s">
        <v>3662</v>
      </c>
    </row>
    <row r="3632">
      <c r="A3632" s="11" t="s">
        <v>3663</v>
      </c>
    </row>
    <row r="3633">
      <c r="A3633" s="11" t="s">
        <v>3664</v>
      </c>
    </row>
    <row r="3634">
      <c r="A3634" s="11" t="s">
        <v>3665</v>
      </c>
    </row>
    <row r="3635">
      <c r="A3635" s="11" t="s">
        <v>3666</v>
      </c>
    </row>
    <row r="3636">
      <c r="A3636" s="11" t="s">
        <v>3667</v>
      </c>
    </row>
    <row r="3637">
      <c r="A3637" s="11" t="s">
        <v>3668</v>
      </c>
    </row>
    <row r="3638">
      <c r="A3638" s="11" t="s">
        <v>3669</v>
      </c>
    </row>
    <row r="3639">
      <c r="A3639" s="11" t="s">
        <v>3670</v>
      </c>
    </row>
    <row r="3640">
      <c r="A3640" s="11" t="s">
        <v>3671</v>
      </c>
    </row>
    <row r="3641">
      <c r="A3641" s="11" t="s">
        <v>3672</v>
      </c>
    </row>
    <row r="3642">
      <c r="A3642" s="11" t="s">
        <v>3673</v>
      </c>
    </row>
    <row r="3643">
      <c r="A3643" s="11" t="s">
        <v>3674</v>
      </c>
    </row>
    <row r="3644">
      <c r="A3644" s="11" t="s">
        <v>3675</v>
      </c>
    </row>
    <row r="3645">
      <c r="A3645" s="11" t="s">
        <v>3676</v>
      </c>
    </row>
    <row r="3646">
      <c r="A3646" s="11" t="s">
        <v>3677</v>
      </c>
    </row>
    <row r="3647">
      <c r="A3647" s="11" t="s">
        <v>3678</v>
      </c>
    </row>
    <row r="3648">
      <c r="A3648" s="11" t="s">
        <v>3679</v>
      </c>
    </row>
    <row r="3649">
      <c r="A3649" s="11" t="s">
        <v>3680</v>
      </c>
    </row>
    <row r="3650">
      <c r="A3650" s="11" t="s">
        <v>3681</v>
      </c>
    </row>
    <row r="3651">
      <c r="A3651" s="11" t="s">
        <v>3682</v>
      </c>
    </row>
    <row r="3652">
      <c r="A3652" s="11" t="s">
        <v>3683</v>
      </c>
    </row>
    <row r="3653">
      <c r="A3653" s="11" t="s">
        <v>3684</v>
      </c>
    </row>
    <row r="3654">
      <c r="A3654" s="11" t="s">
        <v>3685</v>
      </c>
    </row>
    <row r="3655">
      <c r="A3655" s="11" t="s">
        <v>3686</v>
      </c>
    </row>
    <row r="3656">
      <c r="A3656" s="11" t="s">
        <v>3687</v>
      </c>
    </row>
    <row r="3657">
      <c r="A3657" s="11" t="s">
        <v>3688</v>
      </c>
    </row>
    <row r="3658">
      <c r="A3658" s="11" t="s">
        <v>3689</v>
      </c>
    </row>
    <row r="3659">
      <c r="A3659" s="11" t="s">
        <v>3690</v>
      </c>
    </row>
    <row r="3660">
      <c r="A3660" s="11" t="s">
        <v>3691</v>
      </c>
    </row>
    <row r="3661">
      <c r="A3661" s="11" t="s">
        <v>3692</v>
      </c>
    </row>
    <row r="3662">
      <c r="A3662" s="11" t="s">
        <v>3693</v>
      </c>
    </row>
    <row r="3663">
      <c r="A3663" s="11" t="s">
        <v>3694</v>
      </c>
    </row>
    <row r="3664">
      <c r="A3664" s="11" t="s">
        <v>3695</v>
      </c>
    </row>
    <row r="3665">
      <c r="A3665" s="11" t="s">
        <v>3696</v>
      </c>
    </row>
    <row r="3666">
      <c r="A3666" s="11" t="s">
        <v>3697</v>
      </c>
    </row>
    <row r="3667">
      <c r="A3667" s="11" t="s">
        <v>3698</v>
      </c>
    </row>
    <row r="3668">
      <c r="A3668" s="11" t="s">
        <v>3699</v>
      </c>
    </row>
    <row r="3669">
      <c r="A3669" s="11" t="s">
        <v>3700</v>
      </c>
    </row>
    <row r="3670">
      <c r="A3670" s="11" t="s">
        <v>3701</v>
      </c>
    </row>
    <row r="3671">
      <c r="A3671" s="11" t="s">
        <v>3702</v>
      </c>
    </row>
    <row r="3672">
      <c r="A3672" s="11" t="s">
        <v>3703</v>
      </c>
    </row>
    <row r="3673">
      <c r="A3673" s="11" t="s">
        <v>3704</v>
      </c>
    </row>
    <row r="3674">
      <c r="A3674" s="11" t="s">
        <v>3705</v>
      </c>
    </row>
    <row r="3675">
      <c r="A3675" s="11" t="s">
        <v>3706</v>
      </c>
    </row>
    <row r="3676">
      <c r="A3676" s="11" t="s">
        <v>3707</v>
      </c>
    </row>
    <row r="3677">
      <c r="A3677" s="11" t="s">
        <v>3708</v>
      </c>
    </row>
    <row r="3678">
      <c r="A3678" s="11" t="s">
        <v>3709</v>
      </c>
    </row>
    <row r="3679">
      <c r="A3679" s="11" t="s">
        <v>3710</v>
      </c>
    </row>
    <row r="3680">
      <c r="A3680" s="11" t="s">
        <v>3711</v>
      </c>
    </row>
    <row r="3681">
      <c r="A3681" s="11" t="s">
        <v>3712</v>
      </c>
    </row>
    <row r="3682">
      <c r="A3682" s="11" t="s">
        <v>3713</v>
      </c>
    </row>
    <row r="3683">
      <c r="A3683" s="11" t="s">
        <v>3714</v>
      </c>
    </row>
    <row r="3684">
      <c r="A3684" s="11" t="s">
        <v>3715</v>
      </c>
    </row>
    <row r="3685">
      <c r="A3685" s="11" t="s">
        <v>3716</v>
      </c>
    </row>
    <row r="3686">
      <c r="A3686" s="11" t="s">
        <v>3717</v>
      </c>
    </row>
    <row r="3687">
      <c r="A3687" s="11" t="s">
        <v>3718</v>
      </c>
    </row>
    <row r="3688">
      <c r="A3688" s="11" t="s">
        <v>3719</v>
      </c>
    </row>
    <row r="3689">
      <c r="A3689" s="11" t="s">
        <v>3720</v>
      </c>
    </row>
    <row r="3690">
      <c r="A3690" s="11" t="s">
        <v>3721</v>
      </c>
    </row>
    <row r="3691">
      <c r="A3691" s="11" t="s">
        <v>3722</v>
      </c>
    </row>
    <row r="3692">
      <c r="A3692" s="11" t="s">
        <v>3723</v>
      </c>
    </row>
    <row r="3693">
      <c r="A3693" s="11" t="s">
        <v>3724</v>
      </c>
    </row>
    <row r="3694">
      <c r="A3694" s="11" t="s">
        <v>3725</v>
      </c>
    </row>
    <row r="3695">
      <c r="A3695" s="11" t="s">
        <v>3726</v>
      </c>
    </row>
    <row r="3696">
      <c r="A3696" s="11" t="s">
        <v>3727</v>
      </c>
    </row>
    <row r="3697">
      <c r="A3697" s="11" t="s">
        <v>3728</v>
      </c>
    </row>
    <row r="3698">
      <c r="A3698" s="11" t="s">
        <v>3729</v>
      </c>
    </row>
    <row r="3699">
      <c r="A3699" s="11" t="s">
        <v>3730</v>
      </c>
    </row>
    <row r="3700">
      <c r="A3700" s="11" t="s">
        <v>3731</v>
      </c>
    </row>
    <row r="3701">
      <c r="A3701" s="11" t="s">
        <v>3732</v>
      </c>
    </row>
    <row r="3702">
      <c r="A3702" s="11" t="s">
        <v>3733</v>
      </c>
    </row>
    <row r="3703">
      <c r="A3703" s="11" t="s">
        <v>3734</v>
      </c>
    </row>
    <row r="3704">
      <c r="A3704" s="11" t="s">
        <v>3735</v>
      </c>
    </row>
    <row r="3705">
      <c r="A3705" s="11" t="s">
        <v>3736</v>
      </c>
    </row>
    <row r="3706">
      <c r="A3706" s="11" t="s">
        <v>3737</v>
      </c>
    </row>
    <row r="3707">
      <c r="A3707" s="11" t="s">
        <v>3738</v>
      </c>
    </row>
    <row r="3708">
      <c r="A3708" s="11" t="s">
        <v>3739</v>
      </c>
    </row>
    <row r="3709">
      <c r="A3709" s="11" t="s">
        <v>3740</v>
      </c>
    </row>
    <row r="3710">
      <c r="A3710" s="11" t="s">
        <v>3741</v>
      </c>
    </row>
    <row r="3711">
      <c r="A3711" s="11" t="s">
        <v>3742</v>
      </c>
    </row>
    <row r="3712">
      <c r="A3712" s="11" t="s">
        <v>3743</v>
      </c>
    </row>
    <row r="3713">
      <c r="A3713" s="11" t="s">
        <v>3744</v>
      </c>
    </row>
    <row r="3714">
      <c r="A3714" s="11" t="s">
        <v>3745</v>
      </c>
    </row>
    <row r="3715">
      <c r="A3715" s="11" t="s">
        <v>3746</v>
      </c>
    </row>
    <row r="3716">
      <c r="A3716" s="11" t="s">
        <v>3747</v>
      </c>
    </row>
    <row r="3717">
      <c r="A3717" s="11" t="s">
        <v>3748</v>
      </c>
    </row>
    <row r="3718">
      <c r="A3718" s="11" t="s">
        <v>3749</v>
      </c>
    </row>
    <row r="3719">
      <c r="A3719" s="11" t="s">
        <v>3750</v>
      </c>
    </row>
    <row r="3720">
      <c r="A3720" s="11" t="s">
        <v>3751</v>
      </c>
    </row>
    <row r="3721">
      <c r="A3721" s="11" t="s">
        <v>3752</v>
      </c>
    </row>
    <row r="3722">
      <c r="A3722" s="11" t="s">
        <v>3753</v>
      </c>
    </row>
    <row r="3723">
      <c r="A3723" s="11" t="s">
        <v>3754</v>
      </c>
    </row>
    <row r="3724">
      <c r="A3724" s="11" t="s">
        <v>3755</v>
      </c>
    </row>
    <row r="3725">
      <c r="A3725" s="11" t="s">
        <v>3756</v>
      </c>
    </row>
    <row r="3726">
      <c r="A3726" s="11" t="s">
        <v>3757</v>
      </c>
    </row>
    <row r="3727">
      <c r="A3727" s="11" t="s">
        <v>3758</v>
      </c>
    </row>
    <row r="3728">
      <c r="A3728" s="11" t="s">
        <v>3759</v>
      </c>
    </row>
    <row r="3729">
      <c r="A3729" s="11" t="s">
        <v>3760</v>
      </c>
    </row>
    <row r="3730">
      <c r="A3730" s="11" t="s">
        <v>3761</v>
      </c>
    </row>
    <row r="3731">
      <c r="A3731" s="11" t="s">
        <v>3762</v>
      </c>
    </row>
    <row r="3732">
      <c r="A3732" s="11" t="s">
        <v>3763</v>
      </c>
    </row>
    <row r="3733">
      <c r="A3733" s="11" t="s">
        <v>3764</v>
      </c>
    </row>
    <row r="3734">
      <c r="A3734" s="11" t="s">
        <v>3765</v>
      </c>
    </row>
    <row r="3735">
      <c r="A3735" s="11" t="s">
        <v>3766</v>
      </c>
    </row>
    <row r="3736">
      <c r="A3736" s="11" t="s">
        <v>3767</v>
      </c>
    </row>
    <row r="3737">
      <c r="A3737" s="11" t="s">
        <v>3768</v>
      </c>
    </row>
    <row r="3738">
      <c r="A3738" s="11" t="s">
        <v>3769</v>
      </c>
    </row>
    <row r="3739">
      <c r="A3739" s="11" t="s">
        <v>3770</v>
      </c>
    </row>
    <row r="3740">
      <c r="A3740" s="11" t="s">
        <v>3771</v>
      </c>
    </row>
    <row r="3741">
      <c r="A3741" s="11" t="s">
        <v>3772</v>
      </c>
    </row>
    <row r="3742">
      <c r="A3742" s="11" t="s">
        <v>3773</v>
      </c>
    </row>
    <row r="3743">
      <c r="A3743" s="11" t="s">
        <v>3774</v>
      </c>
    </row>
    <row r="3744">
      <c r="A3744" s="11" t="s">
        <v>3775</v>
      </c>
    </row>
    <row r="3745">
      <c r="A3745" s="11" t="s">
        <v>3776</v>
      </c>
    </row>
    <row r="3746">
      <c r="A3746" s="11" t="s">
        <v>3777</v>
      </c>
    </row>
    <row r="3747">
      <c r="A3747" s="11" t="s">
        <v>3778</v>
      </c>
    </row>
    <row r="3748">
      <c r="A3748" s="11" t="s">
        <v>3779</v>
      </c>
    </row>
    <row r="3749">
      <c r="A3749" s="11" t="s">
        <v>3780</v>
      </c>
    </row>
    <row r="3750">
      <c r="A3750" s="11" t="s">
        <v>3781</v>
      </c>
    </row>
    <row r="3751">
      <c r="A3751" s="11" t="s">
        <v>3782</v>
      </c>
    </row>
    <row r="3752">
      <c r="A3752" s="11" t="s">
        <v>3783</v>
      </c>
    </row>
    <row r="3753">
      <c r="A3753" s="11" t="s">
        <v>3784</v>
      </c>
    </row>
    <row r="3754">
      <c r="A3754" s="11" t="s">
        <v>3785</v>
      </c>
    </row>
    <row r="3755">
      <c r="A3755" s="11" t="s">
        <v>3786</v>
      </c>
    </row>
    <row r="3756">
      <c r="A3756" s="11" t="s">
        <v>3787</v>
      </c>
    </row>
    <row r="3757">
      <c r="A3757" s="11" t="s">
        <v>3788</v>
      </c>
    </row>
    <row r="3758">
      <c r="A3758" s="11" t="s">
        <v>3789</v>
      </c>
    </row>
    <row r="3759">
      <c r="A3759" s="11" t="s">
        <v>3790</v>
      </c>
    </row>
    <row r="3760">
      <c r="A3760" s="11" t="s">
        <v>3791</v>
      </c>
    </row>
    <row r="3761">
      <c r="A3761" s="11" t="s">
        <v>3792</v>
      </c>
    </row>
    <row r="3762">
      <c r="A3762" s="11" t="s">
        <v>3793</v>
      </c>
    </row>
    <row r="3763">
      <c r="A3763" s="11" t="s">
        <v>3794</v>
      </c>
    </row>
    <row r="3764">
      <c r="A3764" s="11" t="s">
        <v>3795</v>
      </c>
    </row>
    <row r="3765">
      <c r="A3765" s="11" t="s">
        <v>3796</v>
      </c>
    </row>
    <row r="3766">
      <c r="A3766" s="11" t="s">
        <v>3797</v>
      </c>
    </row>
    <row r="3767">
      <c r="A3767" s="11" t="s">
        <v>3798</v>
      </c>
    </row>
    <row r="3768">
      <c r="A3768" s="11" t="s">
        <v>3799</v>
      </c>
    </row>
    <row r="3769">
      <c r="A3769" s="11" t="s">
        <v>3800</v>
      </c>
    </row>
    <row r="3770">
      <c r="A3770" s="11" t="s">
        <v>3801</v>
      </c>
    </row>
    <row r="3771">
      <c r="A3771" s="11" t="s">
        <v>3802</v>
      </c>
    </row>
    <row r="3772">
      <c r="A3772" s="11" t="s">
        <v>3803</v>
      </c>
    </row>
    <row r="3773">
      <c r="A3773" s="11" t="s">
        <v>3804</v>
      </c>
    </row>
    <row r="3774">
      <c r="A3774" s="11" t="s">
        <v>3805</v>
      </c>
    </row>
    <row r="3775">
      <c r="A3775" s="11" t="s">
        <v>3806</v>
      </c>
    </row>
    <row r="3776">
      <c r="A3776" s="11" t="s">
        <v>3807</v>
      </c>
    </row>
    <row r="3777">
      <c r="A3777" s="11" t="s">
        <v>3808</v>
      </c>
    </row>
    <row r="3778">
      <c r="A3778" s="11" t="s">
        <v>3809</v>
      </c>
    </row>
    <row r="3779">
      <c r="A3779" s="11" t="s">
        <v>3810</v>
      </c>
    </row>
    <row r="3780">
      <c r="A3780" s="11" t="s">
        <v>3811</v>
      </c>
    </row>
    <row r="3781">
      <c r="A3781" s="11" t="s">
        <v>3812</v>
      </c>
    </row>
    <row r="3782">
      <c r="A3782" s="11" t="s">
        <v>3813</v>
      </c>
    </row>
    <row r="3783">
      <c r="A3783" s="11" t="s">
        <v>3814</v>
      </c>
    </row>
    <row r="3784">
      <c r="A3784" s="11" t="s">
        <v>3815</v>
      </c>
    </row>
    <row r="3785">
      <c r="A3785" s="11" t="s">
        <v>3816</v>
      </c>
    </row>
    <row r="3786">
      <c r="A3786" s="11" t="s">
        <v>3817</v>
      </c>
    </row>
    <row r="3787">
      <c r="A3787" s="11" t="s">
        <v>3818</v>
      </c>
    </row>
    <row r="3788">
      <c r="A3788" s="11" t="s">
        <v>3819</v>
      </c>
    </row>
    <row r="3789">
      <c r="A3789" s="11" t="s">
        <v>3820</v>
      </c>
    </row>
    <row r="3790">
      <c r="A3790" s="11" t="s">
        <v>3821</v>
      </c>
    </row>
    <row r="3791">
      <c r="A3791" s="11" t="s">
        <v>3822</v>
      </c>
    </row>
    <row r="3792">
      <c r="A3792" s="11" t="s">
        <v>3823</v>
      </c>
    </row>
    <row r="3793">
      <c r="A3793" s="11" t="s">
        <v>3824</v>
      </c>
    </row>
    <row r="3794">
      <c r="A3794" s="11" t="s">
        <v>3825</v>
      </c>
    </row>
    <row r="3795">
      <c r="A3795" s="11" t="s">
        <v>3826</v>
      </c>
    </row>
    <row r="3796">
      <c r="A3796" s="11" t="s">
        <v>3827</v>
      </c>
    </row>
    <row r="3797">
      <c r="A3797" s="11" t="s">
        <v>3828</v>
      </c>
    </row>
    <row r="3798">
      <c r="A3798" s="11" t="s">
        <v>3829</v>
      </c>
    </row>
    <row r="3799">
      <c r="A3799" s="11" t="s">
        <v>3830</v>
      </c>
    </row>
    <row r="3800">
      <c r="A3800" s="11" t="s">
        <v>3831</v>
      </c>
    </row>
    <row r="3801">
      <c r="A3801" s="11" t="s">
        <v>3832</v>
      </c>
    </row>
    <row r="3802">
      <c r="A3802" s="11" t="s">
        <v>3833</v>
      </c>
    </row>
    <row r="3803">
      <c r="A3803" s="11" t="s">
        <v>3834</v>
      </c>
    </row>
    <row r="3804">
      <c r="A3804" s="11" t="s">
        <v>3835</v>
      </c>
    </row>
    <row r="3805">
      <c r="A3805" s="11" t="s">
        <v>3836</v>
      </c>
    </row>
    <row r="3806">
      <c r="A3806" s="11" t="s">
        <v>3837</v>
      </c>
    </row>
    <row r="3807">
      <c r="A3807" s="11" t="s">
        <v>3838</v>
      </c>
    </row>
    <row r="3808">
      <c r="A3808" s="11" t="s">
        <v>3839</v>
      </c>
    </row>
    <row r="3809">
      <c r="A3809" s="11" t="s">
        <v>3840</v>
      </c>
    </row>
    <row r="3810">
      <c r="A3810" s="11" t="s">
        <v>3841</v>
      </c>
    </row>
    <row r="3811">
      <c r="A3811" s="11" t="s">
        <v>3842</v>
      </c>
    </row>
    <row r="3812">
      <c r="A3812" s="11" t="s">
        <v>3843</v>
      </c>
    </row>
    <row r="3813">
      <c r="A3813" s="11" t="s">
        <v>3844</v>
      </c>
    </row>
    <row r="3814">
      <c r="A3814" s="11" t="s">
        <v>3845</v>
      </c>
    </row>
    <row r="3815">
      <c r="A3815" s="11" t="s">
        <v>3846</v>
      </c>
    </row>
    <row r="3816">
      <c r="A3816" s="11" t="s">
        <v>3847</v>
      </c>
    </row>
    <row r="3817">
      <c r="A3817" s="11" t="s">
        <v>3848</v>
      </c>
    </row>
    <row r="3818">
      <c r="A3818" s="11" t="s">
        <v>3849</v>
      </c>
    </row>
    <row r="3819">
      <c r="A3819" s="11" t="s">
        <v>3850</v>
      </c>
    </row>
    <row r="3820">
      <c r="A3820" s="11" t="s">
        <v>3851</v>
      </c>
    </row>
    <row r="3821">
      <c r="A3821" s="11" t="s">
        <v>3852</v>
      </c>
    </row>
    <row r="3822">
      <c r="A3822" s="11" t="s">
        <v>3853</v>
      </c>
    </row>
    <row r="3823">
      <c r="A3823" s="11" t="s">
        <v>3854</v>
      </c>
    </row>
    <row r="3824">
      <c r="A3824" s="11" t="s">
        <v>3855</v>
      </c>
    </row>
    <row r="3825">
      <c r="A3825" s="11" t="s">
        <v>3856</v>
      </c>
    </row>
    <row r="3826">
      <c r="A3826" s="11" t="s">
        <v>3857</v>
      </c>
    </row>
    <row r="3827">
      <c r="A3827" s="11" t="s">
        <v>3858</v>
      </c>
    </row>
    <row r="3828">
      <c r="A3828" s="11" t="s">
        <v>3859</v>
      </c>
    </row>
    <row r="3829">
      <c r="A3829" s="11" t="s">
        <v>3860</v>
      </c>
    </row>
    <row r="3830">
      <c r="A3830" s="11" t="s">
        <v>3861</v>
      </c>
    </row>
    <row r="3831">
      <c r="A3831" s="11" t="s">
        <v>3862</v>
      </c>
    </row>
    <row r="3832">
      <c r="A3832" s="11" t="s">
        <v>3863</v>
      </c>
    </row>
    <row r="3833">
      <c r="A3833" s="11" t="s">
        <v>3864</v>
      </c>
    </row>
    <row r="3834">
      <c r="A3834" s="11" t="s">
        <v>3865</v>
      </c>
    </row>
    <row r="3835">
      <c r="A3835" s="11" t="s">
        <v>3866</v>
      </c>
    </row>
    <row r="3836">
      <c r="A3836" s="11" t="s">
        <v>3867</v>
      </c>
    </row>
    <row r="3837">
      <c r="A3837" s="11" t="s">
        <v>3868</v>
      </c>
    </row>
    <row r="3838">
      <c r="A3838" s="11" t="s">
        <v>3869</v>
      </c>
    </row>
    <row r="3839">
      <c r="A3839" s="11" t="s">
        <v>3870</v>
      </c>
    </row>
    <row r="3840">
      <c r="A3840" s="11" t="s">
        <v>3871</v>
      </c>
    </row>
    <row r="3841">
      <c r="A3841" s="11" t="s">
        <v>3872</v>
      </c>
    </row>
    <row r="3842">
      <c r="A3842" s="11" t="s">
        <v>3873</v>
      </c>
    </row>
    <row r="3843">
      <c r="A3843" s="11" t="s">
        <v>3874</v>
      </c>
    </row>
    <row r="3844">
      <c r="A3844" s="11" t="s">
        <v>3875</v>
      </c>
    </row>
    <row r="3845">
      <c r="A3845" s="11" t="s">
        <v>3876</v>
      </c>
    </row>
    <row r="3846">
      <c r="A3846" s="11" t="s">
        <v>3877</v>
      </c>
    </row>
    <row r="3847">
      <c r="A3847" s="11" t="s">
        <v>3878</v>
      </c>
    </row>
    <row r="3848">
      <c r="A3848" s="11" t="s">
        <v>3879</v>
      </c>
    </row>
    <row r="3849">
      <c r="A3849" s="11" t="s">
        <v>3880</v>
      </c>
    </row>
    <row r="3850">
      <c r="A3850" s="11" t="s">
        <v>3881</v>
      </c>
    </row>
    <row r="3851">
      <c r="A3851" s="11" t="s">
        <v>3882</v>
      </c>
    </row>
    <row r="3852">
      <c r="A3852" s="11" t="s">
        <v>3883</v>
      </c>
    </row>
    <row r="3853">
      <c r="A3853" s="11" t="s">
        <v>3884</v>
      </c>
    </row>
    <row r="3854">
      <c r="A3854" s="11" t="s">
        <v>3885</v>
      </c>
    </row>
    <row r="3855">
      <c r="A3855" s="11" t="s">
        <v>3886</v>
      </c>
    </row>
    <row r="3856">
      <c r="A3856" s="11" t="s">
        <v>3887</v>
      </c>
    </row>
    <row r="3857">
      <c r="A3857" s="11" t="s">
        <v>3888</v>
      </c>
    </row>
    <row r="3858">
      <c r="A3858" s="11" t="s">
        <v>3889</v>
      </c>
    </row>
    <row r="3859">
      <c r="A3859" s="11" t="s">
        <v>3890</v>
      </c>
    </row>
    <row r="3860">
      <c r="A3860" s="11" t="s">
        <v>3891</v>
      </c>
    </row>
    <row r="3861">
      <c r="A3861" s="11" t="s">
        <v>3892</v>
      </c>
    </row>
    <row r="3862">
      <c r="A3862" s="11" t="s">
        <v>3893</v>
      </c>
    </row>
    <row r="3863">
      <c r="A3863" s="11" t="s">
        <v>3894</v>
      </c>
    </row>
    <row r="3864">
      <c r="A3864" s="11" t="s">
        <v>3895</v>
      </c>
    </row>
    <row r="3865">
      <c r="A3865" s="11" t="s">
        <v>3896</v>
      </c>
    </row>
    <row r="3866">
      <c r="A3866" s="11" t="s">
        <v>3897</v>
      </c>
    </row>
    <row r="3867">
      <c r="A3867" s="11" t="s">
        <v>3898</v>
      </c>
    </row>
    <row r="3868">
      <c r="A3868" s="11" t="s">
        <v>3899</v>
      </c>
    </row>
    <row r="3869">
      <c r="A3869" s="11" t="s">
        <v>3900</v>
      </c>
    </row>
    <row r="3870">
      <c r="A3870" s="11" t="s">
        <v>3901</v>
      </c>
    </row>
    <row r="3871">
      <c r="A3871" s="11" t="s">
        <v>3902</v>
      </c>
    </row>
    <row r="3872">
      <c r="A3872" s="11" t="s">
        <v>3903</v>
      </c>
    </row>
    <row r="3873">
      <c r="A3873" s="11" t="s">
        <v>3904</v>
      </c>
    </row>
    <row r="3874">
      <c r="A3874" s="11" t="s">
        <v>3905</v>
      </c>
    </row>
    <row r="3875">
      <c r="A3875" s="11" t="s">
        <v>3906</v>
      </c>
    </row>
    <row r="3876">
      <c r="A3876" s="11" t="s">
        <v>3907</v>
      </c>
    </row>
    <row r="3877">
      <c r="A3877" s="11" t="s">
        <v>3908</v>
      </c>
    </row>
    <row r="3878">
      <c r="A3878" s="11" t="s">
        <v>3909</v>
      </c>
    </row>
    <row r="3879">
      <c r="A3879" s="11" t="s">
        <v>3910</v>
      </c>
    </row>
    <row r="3880">
      <c r="A3880" s="11" t="s">
        <v>3911</v>
      </c>
    </row>
    <row r="3881">
      <c r="A3881" s="11" t="s">
        <v>3912</v>
      </c>
    </row>
    <row r="3882">
      <c r="A3882" s="11" t="s">
        <v>3913</v>
      </c>
    </row>
    <row r="3883">
      <c r="A3883" s="11" t="s">
        <v>3914</v>
      </c>
    </row>
    <row r="3884">
      <c r="A3884" s="11" t="s">
        <v>3915</v>
      </c>
    </row>
    <row r="3885">
      <c r="A3885" s="11" t="s">
        <v>3916</v>
      </c>
    </row>
    <row r="3886">
      <c r="A3886" s="11" t="s">
        <v>3917</v>
      </c>
    </row>
    <row r="3887">
      <c r="A3887" s="11" t="s">
        <v>3918</v>
      </c>
    </row>
    <row r="3888">
      <c r="A3888" s="11" t="s">
        <v>3919</v>
      </c>
    </row>
    <row r="3889">
      <c r="A3889" s="11" t="s">
        <v>3920</v>
      </c>
    </row>
    <row r="3890">
      <c r="A3890" s="11" t="s">
        <v>3921</v>
      </c>
    </row>
    <row r="3891">
      <c r="A3891" s="11" t="s">
        <v>3922</v>
      </c>
    </row>
    <row r="3892">
      <c r="A3892" s="11" t="s">
        <v>3923</v>
      </c>
    </row>
    <row r="3893">
      <c r="A3893" s="11" t="s">
        <v>3924</v>
      </c>
    </row>
    <row r="3894">
      <c r="A3894" s="11" t="s">
        <v>3925</v>
      </c>
    </row>
    <row r="3895">
      <c r="A3895" s="11" t="s">
        <v>3926</v>
      </c>
    </row>
    <row r="3896">
      <c r="A3896" s="11" t="s">
        <v>3927</v>
      </c>
    </row>
    <row r="3897">
      <c r="A3897" s="11" t="s">
        <v>3928</v>
      </c>
    </row>
    <row r="3898">
      <c r="A3898" s="11" t="s">
        <v>3929</v>
      </c>
    </row>
    <row r="3899">
      <c r="A3899" s="11" t="s">
        <v>3930</v>
      </c>
    </row>
    <row r="3900">
      <c r="A3900" s="11" t="s">
        <v>3931</v>
      </c>
    </row>
    <row r="3901">
      <c r="A3901" s="11" t="s">
        <v>3932</v>
      </c>
    </row>
    <row r="3902">
      <c r="A3902" s="11" t="s">
        <v>3933</v>
      </c>
    </row>
    <row r="3903">
      <c r="A3903" s="11" t="s">
        <v>3934</v>
      </c>
    </row>
    <row r="3904">
      <c r="A3904" s="11" t="s">
        <v>3935</v>
      </c>
    </row>
    <row r="3905">
      <c r="A3905" s="11" t="s">
        <v>3936</v>
      </c>
    </row>
    <row r="3906">
      <c r="A3906" s="11" t="s">
        <v>3937</v>
      </c>
    </row>
    <row r="3907">
      <c r="A3907" s="11" t="s">
        <v>3938</v>
      </c>
    </row>
    <row r="3908">
      <c r="A3908" s="11" t="s">
        <v>3939</v>
      </c>
    </row>
    <row r="3909">
      <c r="A3909" s="11" t="s">
        <v>3940</v>
      </c>
    </row>
    <row r="3910">
      <c r="A3910" s="11" t="s">
        <v>3941</v>
      </c>
    </row>
    <row r="3911">
      <c r="A3911" s="11" t="s">
        <v>3942</v>
      </c>
    </row>
    <row r="3912">
      <c r="A3912" s="11" t="s">
        <v>3943</v>
      </c>
    </row>
    <row r="3913">
      <c r="A3913" s="11" t="s">
        <v>3944</v>
      </c>
    </row>
    <row r="3914">
      <c r="A3914" s="11" t="s">
        <v>3945</v>
      </c>
    </row>
    <row r="3915">
      <c r="A3915" s="11" t="s">
        <v>3946</v>
      </c>
    </row>
    <row r="3916">
      <c r="A3916" s="11" t="s">
        <v>3947</v>
      </c>
    </row>
    <row r="3917">
      <c r="A3917" s="11" t="s">
        <v>3948</v>
      </c>
    </row>
    <row r="3918">
      <c r="A3918" s="11" t="s">
        <v>3949</v>
      </c>
    </row>
    <row r="3919">
      <c r="A3919" s="11" t="s">
        <v>3950</v>
      </c>
    </row>
    <row r="3920">
      <c r="A3920" s="11" t="s">
        <v>3951</v>
      </c>
    </row>
    <row r="3921">
      <c r="A3921" s="11" t="s">
        <v>3952</v>
      </c>
    </row>
    <row r="3922">
      <c r="A3922" s="11" t="s">
        <v>3953</v>
      </c>
    </row>
    <row r="3923">
      <c r="A3923" s="11" t="s">
        <v>3954</v>
      </c>
    </row>
    <row r="3924">
      <c r="A3924" s="11" t="s">
        <v>3955</v>
      </c>
    </row>
    <row r="3925">
      <c r="A3925" s="11" t="s">
        <v>3956</v>
      </c>
    </row>
    <row r="3926">
      <c r="A3926" s="11" t="s">
        <v>3957</v>
      </c>
    </row>
    <row r="3927">
      <c r="A3927" s="11" t="s">
        <v>3958</v>
      </c>
    </row>
    <row r="3928">
      <c r="A3928" s="11" t="s">
        <v>3959</v>
      </c>
    </row>
    <row r="3929">
      <c r="A3929" s="11" t="s">
        <v>3960</v>
      </c>
    </row>
    <row r="3930">
      <c r="A3930" s="11" t="s">
        <v>3961</v>
      </c>
    </row>
    <row r="3931">
      <c r="A3931" s="11" t="s">
        <v>3962</v>
      </c>
    </row>
    <row r="3932">
      <c r="A3932" s="11" t="s">
        <v>3963</v>
      </c>
    </row>
    <row r="3933">
      <c r="A3933" s="11" t="s">
        <v>3964</v>
      </c>
    </row>
    <row r="3934">
      <c r="A3934" s="11" t="s">
        <v>3965</v>
      </c>
    </row>
    <row r="3935">
      <c r="A3935" s="11" t="s">
        <v>3966</v>
      </c>
    </row>
    <row r="3936">
      <c r="A3936" s="11" t="s">
        <v>3967</v>
      </c>
    </row>
    <row r="3937">
      <c r="A3937" s="11" t="s">
        <v>3968</v>
      </c>
    </row>
    <row r="3938">
      <c r="A3938" s="11" t="s">
        <v>3969</v>
      </c>
    </row>
    <row r="3939">
      <c r="A3939" s="11" t="s">
        <v>3970</v>
      </c>
    </row>
    <row r="3940">
      <c r="A3940" s="11" t="s">
        <v>3971</v>
      </c>
    </row>
    <row r="3941">
      <c r="A3941" s="11" t="s">
        <v>3972</v>
      </c>
    </row>
    <row r="3942">
      <c r="A3942" s="11" t="s">
        <v>3973</v>
      </c>
    </row>
    <row r="3943">
      <c r="A3943" s="11" t="s">
        <v>3974</v>
      </c>
    </row>
    <row r="3944">
      <c r="A3944" s="11" t="s">
        <v>3975</v>
      </c>
    </row>
    <row r="3945">
      <c r="A3945" s="11" t="s">
        <v>3976</v>
      </c>
    </row>
    <row r="3946">
      <c r="A3946" s="11" t="s">
        <v>3977</v>
      </c>
    </row>
    <row r="3947">
      <c r="A3947" s="11" t="s">
        <v>3978</v>
      </c>
    </row>
    <row r="3948">
      <c r="A3948" s="11" t="s">
        <v>3979</v>
      </c>
    </row>
    <row r="3949">
      <c r="A3949" s="11" t="s">
        <v>3980</v>
      </c>
    </row>
    <row r="3950">
      <c r="A3950" s="11" t="s">
        <v>3981</v>
      </c>
    </row>
    <row r="3951">
      <c r="A3951" s="11" t="s">
        <v>3982</v>
      </c>
    </row>
    <row r="3952">
      <c r="A3952" s="11" t="s">
        <v>3983</v>
      </c>
    </row>
    <row r="3953">
      <c r="A3953" s="11" t="s">
        <v>3984</v>
      </c>
    </row>
    <row r="3954">
      <c r="A3954" s="11" t="s">
        <v>3985</v>
      </c>
    </row>
    <row r="3955">
      <c r="A3955" s="11" t="s">
        <v>3986</v>
      </c>
    </row>
    <row r="3956">
      <c r="A3956" s="11" t="s">
        <v>3987</v>
      </c>
    </row>
    <row r="3957">
      <c r="A3957" s="11" t="s">
        <v>3988</v>
      </c>
    </row>
    <row r="3958">
      <c r="A3958" s="11" t="s">
        <v>3989</v>
      </c>
    </row>
    <row r="3959">
      <c r="A3959" s="11" t="s">
        <v>3990</v>
      </c>
    </row>
    <row r="3960">
      <c r="A3960" s="11" t="s">
        <v>3991</v>
      </c>
    </row>
    <row r="3961">
      <c r="A3961" s="11" t="s">
        <v>3992</v>
      </c>
    </row>
    <row r="3962">
      <c r="A3962" s="11" t="s">
        <v>3993</v>
      </c>
    </row>
    <row r="3963">
      <c r="A3963" s="11" t="s">
        <v>3994</v>
      </c>
    </row>
    <row r="3964">
      <c r="A3964" s="11" t="s">
        <v>3995</v>
      </c>
    </row>
    <row r="3965">
      <c r="A3965" s="11" t="s">
        <v>3996</v>
      </c>
    </row>
    <row r="3966">
      <c r="A3966" s="11" t="s">
        <v>3997</v>
      </c>
    </row>
    <row r="3967">
      <c r="A3967" s="11" t="s">
        <v>3998</v>
      </c>
    </row>
    <row r="3968">
      <c r="A3968" s="11" t="s">
        <v>3999</v>
      </c>
    </row>
    <row r="3969">
      <c r="A3969" s="11" t="s">
        <v>4000</v>
      </c>
    </row>
    <row r="3970">
      <c r="A3970" s="11" t="s">
        <v>4001</v>
      </c>
    </row>
    <row r="3971">
      <c r="A3971" s="11" t="s">
        <v>4002</v>
      </c>
    </row>
    <row r="3972">
      <c r="A3972" s="11" t="s">
        <v>4003</v>
      </c>
    </row>
    <row r="3973">
      <c r="A3973" s="11" t="s">
        <v>4004</v>
      </c>
    </row>
    <row r="3974">
      <c r="A3974" s="11" t="s">
        <v>4005</v>
      </c>
    </row>
    <row r="3975">
      <c r="A3975" s="11" t="s">
        <v>4006</v>
      </c>
    </row>
    <row r="3976">
      <c r="A3976" s="11" t="s">
        <v>4007</v>
      </c>
    </row>
    <row r="3977">
      <c r="A3977" s="11" t="s">
        <v>4008</v>
      </c>
    </row>
    <row r="3978">
      <c r="A3978" s="11" t="s">
        <v>4009</v>
      </c>
    </row>
    <row r="3979">
      <c r="A3979" s="11" t="s">
        <v>4010</v>
      </c>
    </row>
    <row r="3980">
      <c r="A3980" s="11" t="s">
        <v>4011</v>
      </c>
    </row>
    <row r="3981">
      <c r="A3981" s="11" t="s">
        <v>4012</v>
      </c>
    </row>
    <row r="3982">
      <c r="A3982" s="11" t="s">
        <v>4013</v>
      </c>
    </row>
    <row r="3983">
      <c r="A3983" s="11" t="s">
        <v>4014</v>
      </c>
    </row>
    <row r="3984">
      <c r="A3984" s="11" t="s">
        <v>4015</v>
      </c>
    </row>
    <row r="3985">
      <c r="A3985" s="11" t="s">
        <v>4016</v>
      </c>
    </row>
    <row r="3986">
      <c r="A3986" s="11" t="s">
        <v>4017</v>
      </c>
    </row>
    <row r="3987">
      <c r="A3987" s="11" t="s">
        <v>4018</v>
      </c>
    </row>
    <row r="3988">
      <c r="A3988" s="11" t="s">
        <v>4019</v>
      </c>
    </row>
    <row r="3989">
      <c r="A3989" s="11" t="s">
        <v>4020</v>
      </c>
    </row>
    <row r="3990">
      <c r="A3990" s="11" t="s">
        <v>4021</v>
      </c>
    </row>
    <row r="3991">
      <c r="A3991" s="11" t="s">
        <v>4022</v>
      </c>
    </row>
    <row r="3992">
      <c r="A3992" s="11" t="s">
        <v>4023</v>
      </c>
    </row>
    <row r="3993">
      <c r="A3993" s="11" t="s">
        <v>4024</v>
      </c>
    </row>
    <row r="3994">
      <c r="A3994" s="11" t="s">
        <v>4025</v>
      </c>
    </row>
    <row r="3995">
      <c r="A3995" s="11" t="s">
        <v>4026</v>
      </c>
    </row>
    <row r="3996">
      <c r="A3996" s="11" t="s">
        <v>4027</v>
      </c>
    </row>
    <row r="3997">
      <c r="A3997" s="11" t="s">
        <v>4028</v>
      </c>
    </row>
    <row r="3998">
      <c r="A3998" s="11" t="s">
        <v>4029</v>
      </c>
    </row>
    <row r="3999">
      <c r="A3999" s="11" t="s">
        <v>4030</v>
      </c>
    </row>
    <row r="4000">
      <c r="A4000" s="11" t="s">
        <v>4031</v>
      </c>
    </row>
    <row r="4001">
      <c r="A4001" s="11" t="s">
        <v>4032</v>
      </c>
    </row>
    <row r="4002">
      <c r="A4002" s="11" t="s">
        <v>4033</v>
      </c>
    </row>
    <row r="4003">
      <c r="A4003" s="11" t="s">
        <v>4034</v>
      </c>
    </row>
    <row r="4004">
      <c r="A4004" s="11" t="s">
        <v>4035</v>
      </c>
    </row>
    <row r="4005">
      <c r="A4005" s="11" t="s">
        <v>4036</v>
      </c>
    </row>
    <row r="4006">
      <c r="A4006" s="11" t="s">
        <v>4037</v>
      </c>
    </row>
    <row r="4007">
      <c r="A4007" s="11" t="s">
        <v>4038</v>
      </c>
    </row>
    <row r="4008">
      <c r="A4008" s="11" t="s">
        <v>4039</v>
      </c>
    </row>
    <row r="4009">
      <c r="A4009" s="11" t="s">
        <v>4040</v>
      </c>
    </row>
    <row r="4010">
      <c r="A4010" s="11" t="s">
        <v>4041</v>
      </c>
    </row>
    <row r="4011">
      <c r="A4011" s="11" t="s">
        <v>4042</v>
      </c>
    </row>
    <row r="4012">
      <c r="A4012" s="11" t="s">
        <v>4043</v>
      </c>
    </row>
    <row r="4013">
      <c r="A4013" s="11" t="s">
        <v>4044</v>
      </c>
    </row>
    <row r="4014">
      <c r="A4014" s="11" t="s">
        <v>4045</v>
      </c>
    </row>
    <row r="4015">
      <c r="A4015" s="11" t="s">
        <v>4046</v>
      </c>
    </row>
    <row r="4016">
      <c r="A4016" s="11" t="s">
        <v>4047</v>
      </c>
    </row>
    <row r="4017">
      <c r="A4017" s="11" t="s">
        <v>4048</v>
      </c>
    </row>
    <row r="4018">
      <c r="A4018" s="11" t="s">
        <v>4049</v>
      </c>
    </row>
    <row r="4019">
      <c r="A4019" s="11" t="s">
        <v>4050</v>
      </c>
    </row>
    <row r="4020">
      <c r="A4020" s="11" t="s">
        <v>4051</v>
      </c>
    </row>
    <row r="4021">
      <c r="A4021" s="11" t="s">
        <v>4052</v>
      </c>
    </row>
    <row r="4022">
      <c r="A4022" s="11" t="s">
        <v>4053</v>
      </c>
    </row>
    <row r="4023">
      <c r="A4023" s="11" t="s">
        <v>4054</v>
      </c>
    </row>
    <row r="4024">
      <c r="A4024" s="11" t="s">
        <v>4055</v>
      </c>
    </row>
    <row r="4025">
      <c r="A4025" s="11" t="s">
        <v>4056</v>
      </c>
    </row>
    <row r="4026">
      <c r="A4026" s="11" t="s">
        <v>4057</v>
      </c>
    </row>
    <row r="4027">
      <c r="A4027" s="11" t="s">
        <v>4058</v>
      </c>
    </row>
    <row r="4028">
      <c r="A4028" s="11" t="s">
        <v>4059</v>
      </c>
    </row>
    <row r="4029">
      <c r="A4029" s="11" t="s">
        <v>4060</v>
      </c>
    </row>
    <row r="4030">
      <c r="A4030" s="11" t="s">
        <v>4061</v>
      </c>
    </row>
    <row r="4031">
      <c r="A4031" s="11" t="s">
        <v>4062</v>
      </c>
    </row>
    <row r="4032">
      <c r="A4032" s="11" t="s">
        <v>4063</v>
      </c>
    </row>
    <row r="4033">
      <c r="A4033" s="11" t="s">
        <v>4064</v>
      </c>
    </row>
    <row r="4034">
      <c r="A4034" s="11" t="s">
        <v>4065</v>
      </c>
    </row>
    <row r="4035">
      <c r="A4035" s="11" t="s">
        <v>4066</v>
      </c>
    </row>
    <row r="4036">
      <c r="A4036" s="11" t="s">
        <v>4067</v>
      </c>
    </row>
    <row r="4037">
      <c r="A4037" s="11" t="s">
        <v>4068</v>
      </c>
    </row>
    <row r="4038">
      <c r="A4038" s="11" t="s">
        <v>4069</v>
      </c>
    </row>
    <row r="4039">
      <c r="A4039" s="11" t="s">
        <v>4070</v>
      </c>
    </row>
    <row r="4040">
      <c r="A4040" s="11" t="s">
        <v>4071</v>
      </c>
    </row>
    <row r="4041">
      <c r="A4041" s="11" t="s">
        <v>4072</v>
      </c>
    </row>
    <row r="4042">
      <c r="A4042" s="11" t="s">
        <v>4073</v>
      </c>
    </row>
    <row r="4043">
      <c r="A4043" s="11" t="s">
        <v>4074</v>
      </c>
    </row>
    <row r="4044">
      <c r="A4044" s="11" t="s">
        <v>4075</v>
      </c>
    </row>
    <row r="4045">
      <c r="A4045" s="11" t="s">
        <v>4076</v>
      </c>
    </row>
    <row r="4046">
      <c r="A4046" s="11" t="s">
        <v>4077</v>
      </c>
    </row>
    <row r="4047">
      <c r="A4047" s="11" t="s">
        <v>4078</v>
      </c>
    </row>
    <row r="4048">
      <c r="A4048" s="11" t="s">
        <v>4079</v>
      </c>
    </row>
    <row r="4049">
      <c r="A4049" s="11" t="s">
        <v>4080</v>
      </c>
    </row>
    <row r="4050">
      <c r="A4050" s="11" t="s">
        <v>4081</v>
      </c>
    </row>
    <row r="4051">
      <c r="A4051" s="11" t="s">
        <v>4082</v>
      </c>
    </row>
    <row r="4052">
      <c r="A4052" s="11" t="s">
        <v>4083</v>
      </c>
    </row>
    <row r="4053">
      <c r="A4053" s="11" t="s">
        <v>4084</v>
      </c>
    </row>
    <row r="4054">
      <c r="A4054" s="11" t="s">
        <v>4085</v>
      </c>
    </row>
    <row r="4055">
      <c r="A4055" s="11" t="s">
        <v>4086</v>
      </c>
    </row>
    <row r="4056">
      <c r="A4056" s="11" t="s">
        <v>4087</v>
      </c>
    </row>
    <row r="4057">
      <c r="A4057" s="11" t="s">
        <v>4088</v>
      </c>
    </row>
    <row r="4058">
      <c r="A4058" s="11" t="s">
        <v>4089</v>
      </c>
    </row>
    <row r="4059">
      <c r="A4059" s="11" t="s">
        <v>4090</v>
      </c>
    </row>
    <row r="4060">
      <c r="A4060" s="11" t="s">
        <v>4091</v>
      </c>
    </row>
    <row r="4061">
      <c r="A4061" s="11" t="s">
        <v>4092</v>
      </c>
    </row>
    <row r="4062">
      <c r="A4062" s="11" t="s">
        <v>4093</v>
      </c>
    </row>
    <row r="4063">
      <c r="A4063" s="11" t="s">
        <v>4094</v>
      </c>
    </row>
    <row r="4064">
      <c r="A4064" s="11" t="s">
        <v>4095</v>
      </c>
    </row>
    <row r="4065">
      <c r="A4065" s="11" t="s">
        <v>4096</v>
      </c>
    </row>
    <row r="4066">
      <c r="A4066" s="11" t="s">
        <v>4097</v>
      </c>
    </row>
    <row r="4067">
      <c r="A4067" s="11" t="s">
        <v>4098</v>
      </c>
    </row>
    <row r="4068">
      <c r="A4068" s="11" t="s">
        <v>4099</v>
      </c>
    </row>
    <row r="4069">
      <c r="A4069" s="11" t="s">
        <v>4100</v>
      </c>
    </row>
    <row r="4070">
      <c r="A4070" s="11" t="s">
        <v>4101</v>
      </c>
    </row>
    <row r="4071">
      <c r="A4071" s="11" t="s">
        <v>4102</v>
      </c>
    </row>
    <row r="4072">
      <c r="A4072" s="11" t="s">
        <v>4103</v>
      </c>
    </row>
    <row r="4073">
      <c r="A4073" s="11" t="s">
        <v>4104</v>
      </c>
    </row>
    <row r="4074">
      <c r="A4074" s="11" t="s">
        <v>4105</v>
      </c>
    </row>
    <row r="4075">
      <c r="A4075" s="11" t="s">
        <v>4106</v>
      </c>
    </row>
    <row r="4076">
      <c r="A4076" s="11" t="s">
        <v>4107</v>
      </c>
    </row>
    <row r="4077">
      <c r="A4077" s="11" t="s">
        <v>4108</v>
      </c>
    </row>
    <row r="4078">
      <c r="A4078" s="11" t="s">
        <v>4109</v>
      </c>
    </row>
    <row r="4079">
      <c r="A4079" s="11" t="s">
        <v>4110</v>
      </c>
    </row>
    <row r="4080">
      <c r="A4080" s="11" t="s">
        <v>4111</v>
      </c>
    </row>
    <row r="4081">
      <c r="A4081" s="11" t="s">
        <v>4112</v>
      </c>
    </row>
    <row r="4082">
      <c r="A4082" s="11" t="s">
        <v>4113</v>
      </c>
    </row>
    <row r="4083">
      <c r="A4083" s="11" t="s">
        <v>4114</v>
      </c>
    </row>
    <row r="4084">
      <c r="A4084" s="11" t="s">
        <v>4115</v>
      </c>
    </row>
    <row r="4085">
      <c r="A4085" s="11" t="s">
        <v>4116</v>
      </c>
    </row>
    <row r="4086">
      <c r="A4086" s="11" t="s">
        <v>4117</v>
      </c>
    </row>
    <row r="4087">
      <c r="A4087" s="11" t="s">
        <v>4118</v>
      </c>
    </row>
    <row r="4088">
      <c r="A4088" s="11" t="s">
        <v>4119</v>
      </c>
    </row>
    <row r="4089">
      <c r="A4089" s="11" t="s">
        <v>4120</v>
      </c>
    </row>
    <row r="4090">
      <c r="A4090" s="11" t="s">
        <v>4121</v>
      </c>
    </row>
    <row r="4091">
      <c r="A4091" s="11" t="s">
        <v>4122</v>
      </c>
    </row>
    <row r="4092">
      <c r="A4092" s="11" t="s">
        <v>4123</v>
      </c>
    </row>
    <row r="4093">
      <c r="A4093" s="11" t="s">
        <v>4124</v>
      </c>
    </row>
    <row r="4094">
      <c r="A4094" s="11" t="s">
        <v>4125</v>
      </c>
    </row>
    <row r="4095">
      <c r="A4095" s="11" t="s">
        <v>4126</v>
      </c>
    </row>
    <row r="4096">
      <c r="A4096" s="11" t="s">
        <v>4127</v>
      </c>
    </row>
    <row r="4097">
      <c r="A4097" s="11" t="s">
        <v>4128</v>
      </c>
    </row>
    <row r="4098">
      <c r="A4098" s="11" t="s">
        <v>4129</v>
      </c>
    </row>
    <row r="4099">
      <c r="A4099" s="11" t="s">
        <v>4130</v>
      </c>
    </row>
    <row r="4100">
      <c r="A4100" s="11" t="s">
        <v>4131</v>
      </c>
    </row>
    <row r="4101">
      <c r="A4101" s="11" t="s">
        <v>4132</v>
      </c>
    </row>
    <row r="4102">
      <c r="A4102" s="11" t="s">
        <v>4133</v>
      </c>
    </row>
    <row r="4103">
      <c r="A4103" s="11" t="s">
        <v>4134</v>
      </c>
    </row>
    <row r="4104">
      <c r="A4104" s="11" t="s">
        <v>4135</v>
      </c>
    </row>
    <row r="4105">
      <c r="A4105" s="11" t="s">
        <v>4136</v>
      </c>
    </row>
    <row r="4106">
      <c r="A4106" s="11" t="s">
        <v>4137</v>
      </c>
    </row>
    <row r="4107">
      <c r="A4107" s="11" t="s">
        <v>4138</v>
      </c>
    </row>
    <row r="4108">
      <c r="A4108" s="11" t="s">
        <v>4139</v>
      </c>
    </row>
    <row r="4109">
      <c r="A4109" s="11" t="s">
        <v>4140</v>
      </c>
    </row>
    <row r="4110">
      <c r="A4110" s="11" t="s">
        <v>4141</v>
      </c>
    </row>
    <row r="4111">
      <c r="A4111" s="11" t="s">
        <v>4142</v>
      </c>
    </row>
    <row r="4112">
      <c r="A4112" s="11" t="s">
        <v>4143</v>
      </c>
    </row>
    <row r="4113">
      <c r="A4113" s="11" t="s">
        <v>4144</v>
      </c>
    </row>
    <row r="4114">
      <c r="A4114" s="11" t="s">
        <v>4145</v>
      </c>
    </row>
    <row r="4115">
      <c r="A4115" s="11" t="s">
        <v>4146</v>
      </c>
    </row>
    <row r="4116">
      <c r="A4116" s="11" t="s">
        <v>4147</v>
      </c>
    </row>
    <row r="4117">
      <c r="A4117" s="11" t="s">
        <v>4148</v>
      </c>
    </row>
    <row r="4118">
      <c r="A4118" s="11" t="s">
        <v>4149</v>
      </c>
    </row>
    <row r="4119">
      <c r="A4119" s="11" t="s">
        <v>4150</v>
      </c>
    </row>
    <row r="4120">
      <c r="A4120" s="11" t="s">
        <v>4151</v>
      </c>
    </row>
    <row r="4121">
      <c r="A4121" s="11" t="s">
        <v>4152</v>
      </c>
    </row>
    <row r="4122">
      <c r="A4122" s="11" t="s">
        <v>4153</v>
      </c>
    </row>
    <row r="4123">
      <c r="A4123" s="11" t="s">
        <v>4154</v>
      </c>
    </row>
    <row r="4124">
      <c r="A4124" s="11" t="s">
        <v>4155</v>
      </c>
    </row>
    <row r="4125">
      <c r="A4125" s="11" t="s">
        <v>4156</v>
      </c>
    </row>
    <row r="4126">
      <c r="A4126" s="11" t="s">
        <v>4157</v>
      </c>
    </row>
    <row r="4127">
      <c r="A4127" s="11" t="s">
        <v>4158</v>
      </c>
    </row>
    <row r="4128">
      <c r="A4128" s="11" t="s">
        <v>4159</v>
      </c>
    </row>
    <row r="4129">
      <c r="A4129" s="11" t="s">
        <v>4160</v>
      </c>
    </row>
    <row r="4130">
      <c r="A4130" s="11" t="s">
        <v>4161</v>
      </c>
    </row>
    <row r="4131">
      <c r="A4131" s="11" t="s">
        <v>4162</v>
      </c>
    </row>
    <row r="4132">
      <c r="A4132" s="11" t="s">
        <v>4163</v>
      </c>
    </row>
    <row r="4133">
      <c r="A4133" s="11" t="s">
        <v>4164</v>
      </c>
    </row>
    <row r="4134">
      <c r="A4134" s="11" t="s">
        <v>4165</v>
      </c>
    </row>
    <row r="4135">
      <c r="A4135" s="11" t="s">
        <v>4166</v>
      </c>
    </row>
    <row r="4136">
      <c r="A4136" s="11" t="s">
        <v>4167</v>
      </c>
    </row>
    <row r="4137">
      <c r="A4137" s="11" t="s">
        <v>4168</v>
      </c>
    </row>
    <row r="4138">
      <c r="A4138" s="11" t="s">
        <v>4169</v>
      </c>
    </row>
    <row r="4139">
      <c r="A4139" s="11" t="s">
        <v>4170</v>
      </c>
    </row>
    <row r="4140">
      <c r="A4140" s="11" t="s">
        <v>4171</v>
      </c>
    </row>
    <row r="4141">
      <c r="A4141" s="11" t="s">
        <v>4172</v>
      </c>
    </row>
    <row r="4142">
      <c r="A4142" s="11" t="s">
        <v>4173</v>
      </c>
    </row>
    <row r="4143">
      <c r="A4143" s="11" t="s">
        <v>4174</v>
      </c>
    </row>
    <row r="4144">
      <c r="A4144" s="11" t="s">
        <v>4175</v>
      </c>
    </row>
    <row r="4145">
      <c r="A4145" s="11" t="s">
        <v>4176</v>
      </c>
    </row>
    <row r="4146">
      <c r="A4146" s="11" t="s">
        <v>4177</v>
      </c>
    </row>
    <row r="4147">
      <c r="A4147" s="11" t="s">
        <v>4178</v>
      </c>
    </row>
    <row r="4148">
      <c r="A4148" s="11" t="s">
        <v>4179</v>
      </c>
    </row>
    <row r="4149">
      <c r="A4149" s="11" t="s">
        <v>4180</v>
      </c>
    </row>
    <row r="4150">
      <c r="A4150" s="11" t="s">
        <v>4181</v>
      </c>
    </row>
    <row r="4151">
      <c r="A4151" s="11" t="s">
        <v>4182</v>
      </c>
    </row>
    <row r="4152">
      <c r="A4152" s="11" t="s">
        <v>4183</v>
      </c>
    </row>
    <row r="4153">
      <c r="A4153" s="11" t="s">
        <v>4184</v>
      </c>
    </row>
    <row r="4154">
      <c r="A4154" s="11" t="s">
        <v>4185</v>
      </c>
    </row>
    <row r="4155">
      <c r="A4155" s="11" t="s">
        <v>4186</v>
      </c>
    </row>
    <row r="4156">
      <c r="A4156" s="11" t="s">
        <v>4187</v>
      </c>
    </row>
    <row r="4157">
      <c r="A4157" s="11" t="s">
        <v>4188</v>
      </c>
    </row>
    <row r="4158">
      <c r="A4158" s="11" t="s">
        <v>4189</v>
      </c>
    </row>
    <row r="4159">
      <c r="A4159" s="11" t="s">
        <v>4190</v>
      </c>
    </row>
    <row r="4160">
      <c r="A4160" s="11" t="s">
        <v>4191</v>
      </c>
    </row>
    <row r="4161">
      <c r="A4161" s="11" t="s">
        <v>4192</v>
      </c>
    </row>
    <row r="4162">
      <c r="A4162" s="11" t="s">
        <v>4193</v>
      </c>
    </row>
    <row r="4163">
      <c r="A4163" s="11" t="s">
        <v>4194</v>
      </c>
    </row>
    <row r="4164">
      <c r="A4164" s="11" t="s">
        <v>4195</v>
      </c>
    </row>
    <row r="4165">
      <c r="A4165" s="11" t="s">
        <v>4196</v>
      </c>
    </row>
    <row r="4166">
      <c r="A4166" s="11" t="s">
        <v>4197</v>
      </c>
    </row>
    <row r="4167">
      <c r="A4167" s="11" t="s">
        <v>4198</v>
      </c>
    </row>
    <row r="4168">
      <c r="A4168" s="11" t="s">
        <v>4199</v>
      </c>
    </row>
    <row r="4169">
      <c r="A4169" s="11" t="s">
        <v>4200</v>
      </c>
    </row>
    <row r="4170">
      <c r="A4170" s="11" t="s">
        <v>4201</v>
      </c>
    </row>
    <row r="4171">
      <c r="A4171" s="11" t="s">
        <v>4202</v>
      </c>
    </row>
    <row r="4172">
      <c r="A4172" s="11" t="s">
        <v>4203</v>
      </c>
    </row>
    <row r="4173">
      <c r="A4173" s="11" t="s">
        <v>4204</v>
      </c>
    </row>
    <row r="4174">
      <c r="A4174" s="11" t="s">
        <v>4205</v>
      </c>
    </row>
    <row r="4175">
      <c r="A4175" s="11" t="s">
        <v>4206</v>
      </c>
    </row>
    <row r="4176">
      <c r="A4176" s="11" t="s">
        <v>4207</v>
      </c>
    </row>
    <row r="4177">
      <c r="A4177" s="11" t="s">
        <v>4208</v>
      </c>
    </row>
    <row r="4178">
      <c r="A4178" s="11" t="s">
        <v>4209</v>
      </c>
    </row>
    <row r="4179">
      <c r="A4179" s="11" t="s">
        <v>4210</v>
      </c>
    </row>
    <row r="4180">
      <c r="A4180" s="11" t="s">
        <v>4211</v>
      </c>
    </row>
    <row r="4181">
      <c r="A4181" s="11" t="s">
        <v>4212</v>
      </c>
    </row>
    <row r="4182">
      <c r="A4182" s="11" t="s">
        <v>4213</v>
      </c>
    </row>
    <row r="4183">
      <c r="A4183" s="11" t="s">
        <v>4214</v>
      </c>
    </row>
    <row r="4184">
      <c r="A4184" s="11" t="s">
        <v>4215</v>
      </c>
    </row>
    <row r="4185">
      <c r="A4185" s="11" t="s">
        <v>4216</v>
      </c>
    </row>
    <row r="4186">
      <c r="A4186" s="11" t="s">
        <v>4217</v>
      </c>
    </row>
    <row r="4187">
      <c r="A4187" s="11" t="s">
        <v>4218</v>
      </c>
    </row>
    <row r="4188">
      <c r="A4188" s="11" t="s">
        <v>4219</v>
      </c>
    </row>
    <row r="4189">
      <c r="A4189" s="11" t="s">
        <v>4220</v>
      </c>
    </row>
    <row r="4190">
      <c r="A4190" s="11" t="s">
        <v>4221</v>
      </c>
    </row>
    <row r="4191">
      <c r="A4191" s="11" t="s">
        <v>4222</v>
      </c>
    </row>
    <row r="4192">
      <c r="A4192" s="11" t="s">
        <v>4223</v>
      </c>
    </row>
    <row r="4193">
      <c r="A4193" s="11" t="s">
        <v>4224</v>
      </c>
    </row>
    <row r="4194">
      <c r="A4194" s="11" t="s">
        <v>4225</v>
      </c>
    </row>
    <row r="4195">
      <c r="A4195" s="11" t="s">
        <v>4226</v>
      </c>
    </row>
    <row r="4196">
      <c r="A4196" s="11" t="s">
        <v>4227</v>
      </c>
    </row>
    <row r="4197">
      <c r="A4197" s="11" t="s">
        <v>4228</v>
      </c>
    </row>
    <row r="4198">
      <c r="A4198" s="11" t="s">
        <v>4229</v>
      </c>
    </row>
    <row r="4199">
      <c r="A4199" s="11" t="s">
        <v>4230</v>
      </c>
    </row>
    <row r="4200">
      <c r="A4200" s="11" t="s">
        <v>4231</v>
      </c>
    </row>
    <row r="4201">
      <c r="A4201" s="11" t="s">
        <v>4232</v>
      </c>
    </row>
    <row r="4202">
      <c r="A4202" s="11" t="s">
        <v>4233</v>
      </c>
    </row>
    <row r="4203">
      <c r="A4203" s="11" t="s">
        <v>4234</v>
      </c>
    </row>
    <row r="4204">
      <c r="A4204" s="11" t="s">
        <v>4235</v>
      </c>
    </row>
    <row r="4205">
      <c r="A4205" s="11" t="s">
        <v>4236</v>
      </c>
    </row>
    <row r="4206">
      <c r="A4206" s="11" t="s">
        <v>4237</v>
      </c>
    </row>
    <row r="4207">
      <c r="A4207" s="11" t="s">
        <v>4238</v>
      </c>
    </row>
    <row r="4208">
      <c r="A4208" s="11" t="s">
        <v>4239</v>
      </c>
    </row>
    <row r="4209">
      <c r="A4209" s="11" t="s">
        <v>4240</v>
      </c>
    </row>
    <row r="4210">
      <c r="A4210" s="11" t="s">
        <v>4241</v>
      </c>
    </row>
    <row r="4211">
      <c r="A4211" s="11" t="s">
        <v>4242</v>
      </c>
    </row>
    <row r="4212">
      <c r="A4212" s="11" t="s">
        <v>4243</v>
      </c>
    </row>
    <row r="4213">
      <c r="A4213" s="11" t="s">
        <v>4244</v>
      </c>
    </row>
    <row r="4214">
      <c r="A4214" s="11" t="s">
        <v>4245</v>
      </c>
    </row>
    <row r="4215">
      <c r="A4215" s="11" t="s">
        <v>4246</v>
      </c>
    </row>
    <row r="4216">
      <c r="A4216" s="11" t="s">
        <v>4247</v>
      </c>
    </row>
    <row r="4217">
      <c r="A4217" s="11" t="s">
        <v>4248</v>
      </c>
    </row>
    <row r="4218">
      <c r="A4218" s="11" t="s">
        <v>4249</v>
      </c>
    </row>
    <row r="4219">
      <c r="A4219" s="11" t="s">
        <v>4250</v>
      </c>
    </row>
    <row r="4220">
      <c r="A4220" s="11" t="s">
        <v>4251</v>
      </c>
    </row>
    <row r="4221">
      <c r="A4221" s="11" t="s">
        <v>4252</v>
      </c>
    </row>
    <row r="4222">
      <c r="A4222" s="11" t="s">
        <v>4253</v>
      </c>
    </row>
    <row r="4223">
      <c r="A4223" s="11" t="s">
        <v>4254</v>
      </c>
    </row>
    <row r="4224">
      <c r="A4224" s="11" t="s">
        <v>4255</v>
      </c>
    </row>
    <row r="4225">
      <c r="A4225" s="11" t="s">
        <v>4256</v>
      </c>
    </row>
    <row r="4226">
      <c r="A4226" s="11" t="s">
        <v>4257</v>
      </c>
    </row>
    <row r="4227">
      <c r="A4227" s="11" t="s">
        <v>4258</v>
      </c>
    </row>
    <row r="4228">
      <c r="A4228" s="11" t="s">
        <v>4259</v>
      </c>
    </row>
    <row r="4229">
      <c r="A4229" s="11" t="s">
        <v>4260</v>
      </c>
    </row>
    <row r="4230">
      <c r="A4230" s="11" t="s">
        <v>4261</v>
      </c>
    </row>
    <row r="4231">
      <c r="A4231" s="11" t="s">
        <v>4262</v>
      </c>
    </row>
    <row r="4232">
      <c r="A4232" s="11" t="s">
        <v>4263</v>
      </c>
    </row>
    <row r="4233">
      <c r="A4233" s="11" t="s">
        <v>4264</v>
      </c>
    </row>
    <row r="4234">
      <c r="A4234" s="11" t="s">
        <v>4265</v>
      </c>
    </row>
    <row r="4235">
      <c r="A4235" s="11" t="s">
        <v>4266</v>
      </c>
    </row>
    <row r="4236">
      <c r="A4236" s="11" t="s">
        <v>4267</v>
      </c>
    </row>
    <row r="4237">
      <c r="A4237" s="11" t="s">
        <v>4268</v>
      </c>
    </row>
    <row r="4238">
      <c r="A4238" s="11" t="s">
        <v>4269</v>
      </c>
    </row>
    <row r="4239">
      <c r="A4239" s="11" t="s">
        <v>4270</v>
      </c>
    </row>
    <row r="4240">
      <c r="A4240" s="11" t="s">
        <v>4271</v>
      </c>
    </row>
    <row r="4241">
      <c r="A4241" s="11" t="s">
        <v>4272</v>
      </c>
    </row>
    <row r="4242">
      <c r="A4242" s="11" t="s">
        <v>4273</v>
      </c>
    </row>
    <row r="4243">
      <c r="A4243" s="11" t="s">
        <v>4274</v>
      </c>
    </row>
    <row r="4244">
      <c r="A4244" s="11" t="s">
        <v>4275</v>
      </c>
    </row>
    <row r="4245">
      <c r="A4245" s="11" t="s">
        <v>4276</v>
      </c>
    </row>
    <row r="4246">
      <c r="A4246" s="11" t="s">
        <v>4277</v>
      </c>
    </row>
    <row r="4247">
      <c r="A4247" s="11" t="s">
        <v>4278</v>
      </c>
    </row>
    <row r="4248">
      <c r="A4248" s="11" t="s">
        <v>4279</v>
      </c>
    </row>
    <row r="4249">
      <c r="A4249" s="11" t="s">
        <v>4280</v>
      </c>
    </row>
    <row r="4250">
      <c r="A4250" s="11" t="s">
        <v>4281</v>
      </c>
    </row>
    <row r="4251">
      <c r="A4251" s="11" t="s">
        <v>4282</v>
      </c>
    </row>
    <row r="4252">
      <c r="A4252" s="11" t="s">
        <v>4283</v>
      </c>
    </row>
    <row r="4253">
      <c r="A4253" s="11" t="s">
        <v>4284</v>
      </c>
    </row>
    <row r="4254">
      <c r="A4254" s="11" t="s">
        <v>4285</v>
      </c>
    </row>
    <row r="4255">
      <c r="A4255" s="11" t="s">
        <v>4286</v>
      </c>
    </row>
    <row r="4256">
      <c r="A4256" s="11" t="s">
        <v>4287</v>
      </c>
    </row>
    <row r="4257">
      <c r="A4257" s="11" t="s">
        <v>4288</v>
      </c>
    </row>
    <row r="4258">
      <c r="A4258" s="11" t="s">
        <v>4289</v>
      </c>
    </row>
    <row r="4259">
      <c r="A4259" s="11" t="s">
        <v>4290</v>
      </c>
    </row>
    <row r="4260">
      <c r="A4260" s="11" t="s">
        <v>4291</v>
      </c>
    </row>
    <row r="4261">
      <c r="A4261" s="11" t="s">
        <v>4292</v>
      </c>
    </row>
    <row r="4262">
      <c r="A4262" s="11" t="s">
        <v>4293</v>
      </c>
    </row>
    <row r="4263">
      <c r="A4263" s="11" t="s">
        <v>4294</v>
      </c>
    </row>
    <row r="4264">
      <c r="A4264" s="11" t="s">
        <v>4295</v>
      </c>
    </row>
    <row r="4265">
      <c r="A4265" s="11" t="s">
        <v>4296</v>
      </c>
    </row>
    <row r="4266">
      <c r="A4266" s="11" t="s">
        <v>4297</v>
      </c>
    </row>
    <row r="4267">
      <c r="A4267" s="11" t="s">
        <v>4298</v>
      </c>
    </row>
    <row r="4268">
      <c r="A4268" s="11" t="s">
        <v>4299</v>
      </c>
    </row>
    <row r="4269">
      <c r="A4269" s="11" t="s">
        <v>4300</v>
      </c>
    </row>
    <row r="4270">
      <c r="A4270" s="11" t="s">
        <v>4301</v>
      </c>
    </row>
    <row r="4271">
      <c r="A4271" s="11" t="s">
        <v>4302</v>
      </c>
    </row>
    <row r="4272">
      <c r="A4272" s="11" t="s">
        <v>4303</v>
      </c>
    </row>
    <row r="4273">
      <c r="A4273" s="11" t="s">
        <v>4304</v>
      </c>
    </row>
    <row r="4274">
      <c r="A4274" s="11" t="s">
        <v>4305</v>
      </c>
    </row>
    <row r="4275">
      <c r="A4275" s="11" t="s">
        <v>4306</v>
      </c>
    </row>
    <row r="4276">
      <c r="A4276" s="11" t="s">
        <v>4307</v>
      </c>
    </row>
    <row r="4277">
      <c r="A4277" s="11" t="s">
        <v>4308</v>
      </c>
    </row>
    <row r="4278">
      <c r="A4278" s="11" t="s">
        <v>4309</v>
      </c>
    </row>
    <row r="4279">
      <c r="A4279" s="11" t="s">
        <v>4310</v>
      </c>
    </row>
    <row r="4280">
      <c r="A4280" s="11" t="s">
        <v>4311</v>
      </c>
    </row>
    <row r="4281">
      <c r="A4281" s="11" t="s">
        <v>4312</v>
      </c>
    </row>
    <row r="4282">
      <c r="A4282" s="11" t="s">
        <v>4313</v>
      </c>
    </row>
    <row r="4283">
      <c r="A4283" s="11" t="s">
        <v>4314</v>
      </c>
    </row>
    <row r="4284">
      <c r="A4284" s="11" t="s">
        <v>4315</v>
      </c>
    </row>
    <row r="4285">
      <c r="A4285" s="11" t="s">
        <v>4316</v>
      </c>
    </row>
    <row r="4286">
      <c r="A4286" s="11" t="s">
        <v>4317</v>
      </c>
    </row>
    <row r="4287">
      <c r="A4287" s="11" t="s">
        <v>4318</v>
      </c>
    </row>
    <row r="4288">
      <c r="A4288" s="11" t="s">
        <v>4319</v>
      </c>
    </row>
    <row r="4289">
      <c r="A4289" s="11" t="s">
        <v>4320</v>
      </c>
    </row>
    <row r="4290">
      <c r="A4290" s="11" t="s">
        <v>4321</v>
      </c>
    </row>
    <row r="4291">
      <c r="A4291" s="11" t="s">
        <v>4322</v>
      </c>
    </row>
    <row r="4292">
      <c r="A4292" s="11" t="s">
        <v>4323</v>
      </c>
    </row>
    <row r="4293">
      <c r="A4293" s="11" t="s">
        <v>4324</v>
      </c>
    </row>
    <row r="4294">
      <c r="A4294" s="11" t="s">
        <v>4325</v>
      </c>
    </row>
    <row r="4295">
      <c r="A4295" s="11" t="s">
        <v>4326</v>
      </c>
    </row>
    <row r="4296">
      <c r="A4296" s="11" t="s">
        <v>4327</v>
      </c>
    </row>
    <row r="4297">
      <c r="A4297" s="11" t="s">
        <v>4328</v>
      </c>
    </row>
    <row r="4298">
      <c r="A4298" s="11" t="s">
        <v>4329</v>
      </c>
    </row>
    <row r="4299">
      <c r="A4299" s="11" t="s">
        <v>4330</v>
      </c>
    </row>
    <row r="4300">
      <c r="A4300" s="11" t="s">
        <v>4331</v>
      </c>
    </row>
    <row r="4301">
      <c r="A4301" s="11" t="s">
        <v>4332</v>
      </c>
    </row>
    <row r="4302">
      <c r="A4302" s="11" t="s">
        <v>4333</v>
      </c>
    </row>
    <row r="4303">
      <c r="A4303" s="11" t="s">
        <v>4334</v>
      </c>
    </row>
    <row r="4304">
      <c r="A4304" s="11" t="s">
        <v>4335</v>
      </c>
    </row>
    <row r="4305">
      <c r="A4305" s="11" t="s">
        <v>4336</v>
      </c>
    </row>
    <row r="4306">
      <c r="A4306" s="11" t="s">
        <v>4337</v>
      </c>
    </row>
    <row r="4307">
      <c r="A4307" s="11" t="s">
        <v>4338</v>
      </c>
    </row>
    <row r="4308">
      <c r="A4308" s="11" t="s">
        <v>4339</v>
      </c>
    </row>
    <row r="4309">
      <c r="A4309" s="11" t="s">
        <v>4340</v>
      </c>
    </row>
    <row r="4310">
      <c r="A4310" s="11" t="s">
        <v>4341</v>
      </c>
    </row>
    <row r="4311">
      <c r="A4311" s="11" t="s">
        <v>4342</v>
      </c>
    </row>
    <row r="4312">
      <c r="A4312" s="11" t="s">
        <v>4343</v>
      </c>
    </row>
    <row r="4313">
      <c r="A4313" s="11" t="s">
        <v>4344</v>
      </c>
    </row>
    <row r="4314">
      <c r="A4314" s="11" t="s">
        <v>4345</v>
      </c>
    </row>
    <row r="4315">
      <c r="A4315" s="11" t="s">
        <v>4346</v>
      </c>
    </row>
    <row r="4316">
      <c r="A4316" s="11" t="s">
        <v>4347</v>
      </c>
    </row>
    <row r="4317">
      <c r="A4317" s="11" t="s">
        <v>4348</v>
      </c>
    </row>
    <row r="4318">
      <c r="A4318" s="11" t="s">
        <v>4349</v>
      </c>
    </row>
    <row r="4319">
      <c r="A4319" s="11" t="s">
        <v>4350</v>
      </c>
    </row>
    <row r="4320">
      <c r="A4320" s="11" t="s">
        <v>4351</v>
      </c>
    </row>
    <row r="4321">
      <c r="A4321" s="11" t="s">
        <v>4352</v>
      </c>
    </row>
    <row r="4322">
      <c r="A4322" s="11" t="s">
        <v>4353</v>
      </c>
    </row>
    <row r="4323">
      <c r="A4323" s="11" t="s">
        <v>4354</v>
      </c>
    </row>
    <row r="4324">
      <c r="A4324" s="11" t="s">
        <v>4355</v>
      </c>
    </row>
    <row r="4325">
      <c r="A4325" s="11" t="s">
        <v>4356</v>
      </c>
    </row>
    <row r="4326">
      <c r="A4326" s="11" t="s">
        <v>4357</v>
      </c>
    </row>
    <row r="4327">
      <c r="A4327" s="11" t="s">
        <v>4358</v>
      </c>
    </row>
    <row r="4328">
      <c r="A4328" s="11" t="s">
        <v>4359</v>
      </c>
    </row>
    <row r="4329">
      <c r="A4329" s="11" t="s">
        <v>4360</v>
      </c>
    </row>
    <row r="4330">
      <c r="A4330" s="11" t="s">
        <v>4361</v>
      </c>
    </row>
    <row r="4331">
      <c r="A4331" s="11" t="s">
        <v>4362</v>
      </c>
    </row>
    <row r="4332">
      <c r="A4332" s="11" t="s">
        <v>4363</v>
      </c>
    </row>
    <row r="4333">
      <c r="A4333" s="11" t="s">
        <v>4364</v>
      </c>
    </row>
    <row r="4334">
      <c r="A4334" s="11" t="s">
        <v>4365</v>
      </c>
    </row>
    <row r="4335">
      <c r="A4335" s="11" t="s">
        <v>4366</v>
      </c>
    </row>
    <row r="4336">
      <c r="A4336" s="11" t="s">
        <v>4367</v>
      </c>
    </row>
    <row r="4337">
      <c r="A4337" s="11" t="s">
        <v>4368</v>
      </c>
    </row>
    <row r="4338">
      <c r="A4338" s="11" t="s">
        <v>4369</v>
      </c>
    </row>
    <row r="4339">
      <c r="A4339" s="11" t="s">
        <v>4370</v>
      </c>
    </row>
    <row r="4340">
      <c r="A4340" s="11" t="s">
        <v>4371</v>
      </c>
    </row>
    <row r="4341">
      <c r="A4341" s="11" t="s">
        <v>4372</v>
      </c>
    </row>
    <row r="4342">
      <c r="A4342" s="11" t="s">
        <v>4373</v>
      </c>
    </row>
    <row r="4343">
      <c r="A4343" s="11" t="s">
        <v>4374</v>
      </c>
    </row>
    <row r="4344">
      <c r="A4344" s="11" t="s">
        <v>4375</v>
      </c>
    </row>
    <row r="4345">
      <c r="A4345" s="11" t="s">
        <v>4376</v>
      </c>
    </row>
    <row r="4346">
      <c r="A4346" s="11" t="s">
        <v>4377</v>
      </c>
    </row>
    <row r="4347">
      <c r="A4347" s="11" t="s">
        <v>4378</v>
      </c>
    </row>
    <row r="4348">
      <c r="A4348" s="11" t="s">
        <v>4379</v>
      </c>
    </row>
    <row r="4349">
      <c r="A4349" s="11" t="s">
        <v>4380</v>
      </c>
    </row>
    <row r="4350">
      <c r="A4350" s="11" t="s">
        <v>4381</v>
      </c>
    </row>
    <row r="4351">
      <c r="A4351" s="11" t="s">
        <v>4382</v>
      </c>
    </row>
    <row r="4352">
      <c r="A4352" s="11" t="s">
        <v>4383</v>
      </c>
    </row>
    <row r="4353">
      <c r="A4353" s="11" t="s">
        <v>4384</v>
      </c>
    </row>
    <row r="4354">
      <c r="A4354" s="11" t="s">
        <v>4385</v>
      </c>
    </row>
    <row r="4355">
      <c r="A4355" s="11" t="s">
        <v>4386</v>
      </c>
    </row>
    <row r="4356">
      <c r="A4356" s="11" t="s">
        <v>4387</v>
      </c>
    </row>
    <row r="4357">
      <c r="A4357" s="11" t="s">
        <v>4388</v>
      </c>
    </row>
    <row r="4358">
      <c r="A4358" s="11" t="s">
        <v>4389</v>
      </c>
    </row>
    <row r="4359">
      <c r="A4359" s="11" t="s">
        <v>4390</v>
      </c>
    </row>
    <row r="4360">
      <c r="A4360" s="11" t="s">
        <v>4391</v>
      </c>
    </row>
    <row r="4361">
      <c r="A4361" s="11" t="s">
        <v>4392</v>
      </c>
    </row>
    <row r="4362">
      <c r="A4362" s="11" t="s">
        <v>4393</v>
      </c>
    </row>
    <row r="4363">
      <c r="A4363" s="11" t="s">
        <v>4394</v>
      </c>
    </row>
    <row r="4364">
      <c r="A4364" s="11" t="s">
        <v>4395</v>
      </c>
    </row>
    <row r="4365">
      <c r="A4365" s="11" t="s">
        <v>4396</v>
      </c>
    </row>
    <row r="4366">
      <c r="A4366" s="11" t="s">
        <v>4397</v>
      </c>
    </row>
    <row r="4367">
      <c r="A4367" s="11" t="s">
        <v>4398</v>
      </c>
    </row>
    <row r="4368">
      <c r="A4368" s="11" t="s">
        <v>4399</v>
      </c>
    </row>
    <row r="4369">
      <c r="A4369" s="11" t="s">
        <v>4400</v>
      </c>
    </row>
    <row r="4370">
      <c r="A4370" s="11" t="s">
        <v>4401</v>
      </c>
    </row>
    <row r="4371">
      <c r="A4371" s="11" t="s">
        <v>4402</v>
      </c>
    </row>
    <row r="4372">
      <c r="A4372" s="11" t="s">
        <v>4403</v>
      </c>
    </row>
    <row r="4373">
      <c r="A4373" s="11" t="s">
        <v>4404</v>
      </c>
    </row>
    <row r="4374">
      <c r="A4374" s="11" t="s">
        <v>4405</v>
      </c>
    </row>
    <row r="4375">
      <c r="A4375" s="11" t="s">
        <v>4406</v>
      </c>
    </row>
    <row r="4376">
      <c r="A4376" s="11" t="s">
        <v>4407</v>
      </c>
    </row>
    <row r="4377">
      <c r="A4377" s="11" t="s">
        <v>4408</v>
      </c>
    </row>
    <row r="4378">
      <c r="A4378" s="11" t="s">
        <v>4409</v>
      </c>
    </row>
    <row r="4379">
      <c r="A4379" s="11" t="s">
        <v>4410</v>
      </c>
    </row>
    <row r="4380">
      <c r="A4380" s="11" t="s">
        <v>4411</v>
      </c>
    </row>
    <row r="4381">
      <c r="A4381" s="11" t="s">
        <v>4412</v>
      </c>
    </row>
    <row r="4382">
      <c r="A4382" s="11" t="s">
        <v>4413</v>
      </c>
    </row>
    <row r="4383">
      <c r="A4383" s="11" t="s">
        <v>4414</v>
      </c>
    </row>
    <row r="4384">
      <c r="A4384" s="11" t="s">
        <v>4415</v>
      </c>
    </row>
    <row r="4385">
      <c r="A4385" s="11" t="s">
        <v>4416</v>
      </c>
    </row>
    <row r="4386">
      <c r="A4386" s="11" t="s">
        <v>4417</v>
      </c>
    </row>
    <row r="4387">
      <c r="A4387" s="11" t="s">
        <v>4418</v>
      </c>
    </row>
    <row r="4388">
      <c r="A4388" s="11" t="s">
        <v>4419</v>
      </c>
    </row>
    <row r="4389">
      <c r="A4389" s="11" t="s">
        <v>4420</v>
      </c>
    </row>
    <row r="4390">
      <c r="A4390" s="11" t="s">
        <v>4421</v>
      </c>
    </row>
    <row r="4391">
      <c r="A4391" s="11" t="s">
        <v>4422</v>
      </c>
    </row>
    <row r="4392">
      <c r="A4392" s="11" t="s">
        <v>4423</v>
      </c>
    </row>
    <row r="4393">
      <c r="A4393" s="11" t="s">
        <v>4424</v>
      </c>
    </row>
    <row r="4394">
      <c r="A4394" s="11" t="s">
        <v>4425</v>
      </c>
    </row>
    <row r="4395">
      <c r="A4395" s="11" t="s">
        <v>4426</v>
      </c>
    </row>
    <row r="4396">
      <c r="A4396" s="11" t="s">
        <v>4427</v>
      </c>
    </row>
    <row r="4397">
      <c r="A4397" s="11" t="s">
        <v>4428</v>
      </c>
    </row>
    <row r="4398">
      <c r="A4398" s="11" t="s">
        <v>4429</v>
      </c>
    </row>
    <row r="4399">
      <c r="A4399" s="11" t="s">
        <v>4430</v>
      </c>
    </row>
    <row r="4400">
      <c r="A4400" s="11" t="s">
        <v>4431</v>
      </c>
    </row>
    <row r="4401">
      <c r="A4401" s="11" t="s">
        <v>4432</v>
      </c>
    </row>
    <row r="4402">
      <c r="A4402" s="11" t="s">
        <v>4433</v>
      </c>
    </row>
    <row r="4403">
      <c r="A4403" s="11" t="s">
        <v>4434</v>
      </c>
    </row>
    <row r="4404">
      <c r="A4404" s="11" t="s">
        <v>4435</v>
      </c>
    </row>
    <row r="4405">
      <c r="A4405" s="11" t="s">
        <v>4436</v>
      </c>
    </row>
    <row r="4406">
      <c r="A4406" s="11" t="s">
        <v>4437</v>
      </c>
    </row>
    <row r="4407">
      <c r="A4407" s="11" t="s">
        <v>4438</v>
      </c>
    </row>
    <row r="4408">
      <c r="A4408" s="11" t="s">
        <v>4439</v>
      </c>
    </row>
    <row r="4409">
      <c r="A4409" s="11" t="s">
        <v>4440</v>
      </c>
    </row>
    <row r="4410">
      <c r="A4410" s="11" t="s">
        <v>4441</v>
      </c>
    </row>
    <row r="4411">
      <c r="A4411" s="11" t="s">
        <v>4442</v>
      </c>
    </row>
    <row r="4412">
      <c r="A4412" s="11" t="s">
        <v>4443</v>
      </c>
    </row>
    <row r="4413">
      <c r="A4413" s="11" t="s">
        <v>4444</v>
      </c>
    </row>
    <row r="4414">
      <c r="A4414" s="11" t="s">
        <v>4445</v>
      </c>
    </row>
    <row r="4415">
      <c r="A4415" s="11" t="s">
        <v>4446</v>
      </c>
    </row>
    <row r="4416">
      <c r="A4416" s="11" t="s">
        <v>4447</v>
      </c>
    </row>
    <row r="4417">
      <c r="A4417" s="11" t="s">
        <v>4448</v>
      </c>
    </row>
    <row r="4418">
      <c r="A4418" s="11" t="s">
        <v>4449</v>
      </c>
    </row>
    <row r="4419">
      <c r="A4419" s="11" t="s">
        <v>4450</v>
      </c>
    </row>
    <row r="4420">
      <c r="A4420" s="11" t="s">
        <v>4451</v>
      </c>
    </row>
    <row r="4421">
      <c r="A4421" s="11" t="s">
        <v>4452</v>
      </c>
    </row>
    <row r="4422">
      <c r="A4422" s="11" t="s">
        <v>4453</v>
      </c>
    </row>
    <row r="4423">
      <c r="A4423" s="11" t="s">
        <v>4454</v>
      </c>
    </row>
    <row r="4424">
      <c r="A4424" s="11" t="s">
        <v>4455</v>
      </c>
    </row>
    <row r="4425">
      <c r="A4425" s="11" t="s">
        <v>4456</v>
      </c>
    </row>
    <row r="4426">
      <c r="A4426" s="11" t="s">
        <v>4457</v>
      </c>
    </row>
    <row r="4427">
      <c r="A4427" s="11" t="s">
        <v>4458</v>
      </c>
    </row>
    <row r="4428">
      <c r="A4428" s="11" t="s">
        <v>4459</v>
      </c>
    </row>
    <row r="4429">
      <c r="A4429" s="11" t="s">
        <v>4460</v>
      </c>
    </row>
    <row r="4430">
      <c r="A4430" s="11" t="s">
        <v>4461</v>
      </c>
    </row>
    <row r="4431">
      <c r="A4431" s="11" t="s">
        <v>4462</v>
      </c>
    </row>
    <row r="4432">
      <c r="A4432" s="11" t="s">
        <v>4463</v>
      </c>
    </row>
    <row r="4433">
      <c r="A4433" s="11" t="s">
        <v>4464</v>
      </c>
    </row>
    <row r="4434">
      <c r="A4434" s="11" t="s">
        <v>4465</v>
      </c>
    </row>
    <row r="4435">
      <c r="A4435" s="11" t="s">
        <v>4466</v>
      </c>
    </row>
    <row r="4436">
      <c r="A4436" s="11" t="s">
        <v>4467</v>
      </c>
    </row>
    <row r="4437">
      <c r="A4437" s="11" t="s">
        <v>4468</v>
      </c>
    </row>
    <row r="4438">
      <c r="A4438" s="11" t="s">
        <v>4469</v>
      </c>
    </row>
    <row r="4439">
      <c r="A4439" s="11" t="s">
        <v>4470</v>
      </c>
    </row>
    <row r="4440">
      <c r="A4440" s="11" t="s">
        <v>4471</v>
      </c>
    </row>
    <row r="4441">
      <c r="A4441" s="11" t="s">
        <v>4472</v>
      </c>
    </row>
    <row r="4442">
      <c r="A4442" s="11" t="s">
        <v>4473</v>
      </c>
    </row>
    <row r="4443">
      <c r="A4443" s="11" t="s">
        <v>4474</v>
      </c>
    </row>
    <row r="4444">
      <c r="A4444" s="11" t="s">
        <v>4475</v>
      </c>
    </row>
    <row r="4445">
      <c r="A4445" s="11" t="s">
        <v>4476</v>
      </c>
    </row>
    <row r="4446">
      <c r="A4446" s="11" t="s">
        <v>4477</v>
      </c>
    </row>
    <row r="4447">
      <c r="A4447" s="11" t="s">
        <v>4478</v>
      </c>
    </row>
    <row r="4448">
      <c r="A4448" s="11" t="s">
        <v>4479</v>
      </c>
    </row>
    <row r="4449">
      <c r="A4449" s="11" t="s">
        <v>4480</v>
      </c>
    </row>
    <row r="4450">
      <c r="A4450" s="11" t="s">
        <v>4481</v>
      </c>
    </row>
    <row r="4451">
      <c r="A4451" s="11" t="s">
        <v>4482</v>
      </c>
    </row>
    <row r="4452">
      <c r="A4452" s="11" t="s">
        <v>4483</v>
      </c>
    </row>
    <row r="4453">
      <c r="A4453" s="11" t="s">
        <v>4484</v>
      </c>
    </row>
    <row r="4454">
      <c r="A4454" s="11" t="s">
        <v>4485</v>
      </c>
    </row>
    <row r="4455">
      <c r="A4455" s="11" t="s">
        <v>4486</v>
      </c>
    </row>
    <row r="4456">
      <c r="A4456" s="11" t="s">
        <v>4487</v>
      </c>
    </row>
    <row r="4457">
      <c r="A4457" s="11" t="s">
        <v>4488</v>
      </c>
    </row>
    <row r="4458">
      <c r="A4458" s="11" t="s">
        <v>4489</v>
      </c>
    </row>
    <row r="4459">
      <c r="A4459" s="11" t="s">
        <v>4490</v>
      </c>
    </row>
    <row r="4460">
      <c r="A4460" s="11" t="s">
        <v>4491</v>
      </c>
    </row>
    <row r="4461">
      <c r="A4461" s="11" t="s">
        <v>4492</v>
      </c>
    </row>
    <row r="4462">
      <c r="A4462" s="11" t="s">
        <v>4493</v>
      </c>
    </row>
    <row r="4463">
      <c r="A4463" s="11" t="s">
        <v>4494</v>
      </c>
    </row>
    <row r="4464">
      <c r="A4464" s="11" t="s">
        <v>4495</v>
      </c>
    </row>
    <row r="4465">
      <c r="A4465" s="11" t="s">
        <v>4496</v>
      </c>
    </row>
    <row r="4466">
      <c r="A4466" s="11" t="s">
        <v>4497</v>
      </c>
    </row>
    <row r="4467">
      <c r="A4467" s="11" t="s">
        <v>4498</v>
      </c>
    </row>
    <row r="4468">
      <c r="A4468" s="11" t="s">
        <v>4499</v>
      </c>
    </row>
    <row r="4469">
      <c r="A4469" s="11" t="s">
        <v>4500</v>
      </c>
    </row>
    <row r="4470">
      <c r="A4470" s="11" t="s">
        <v>4501</v>
      </c>
    </row>
    <row r="4471">
      <c r="A4471" s="11" t="s">
        <v>4502</v>
      </c>
    </row>
    <row r="4472">
      <c r="A4472" s="11" t="s">
        <v>4503</v>
      </c>
    </row>
    <row r="4473">
      <c r="A4473" s="11" t="s">
        <v>4504</v>
      </c>
    </row>
    <row r="4474">
      <c r="A4474" s="11" t="s">
        <v>4505</v>
      </c>
    </row>
    <row r="4475">
      <c r="A4475" s="11" t="s">
        <v>4506</v>
      </c>
    </row>
    <row r="4476">
      <c r="A4476" s="11" t="s">
        <v>4507</v>
      </c>
    </row>
    <row r="4477">
      <c r="A4477" s="11" t="s">
        <v>4508</v>
      </c>
    </row>
    <row r="4478">
      <c r="A4478" s="11" t="s">
        <v>4509</v>
      </c>
    </row>
    <row r="4479">
      <c r="A4479" s="11" t="s">
        <v>4510</v>
      </c>
    </row>
    <row r="4480">
      <c r="A4480" s="11" t="s">
        <v>4511</v>
      </c>
    </row>
    <row r="4481">
      <c r="A4481" s="11" t="s">
        <v>4512</v>
      </c>
    </row>
    <row r="4482">
      <c r="A4482" s="11" t="s">
        <v>4513</v>
      </c>
    </row>
    <row r="4483">
      <c r="A4483" s="11" t="s">
        <v>4514</v>
      </c>
    </row>
    <row r="4484">
      <c r="A4484" s="11" t="s">
        <v>4515</v>
      </c>
    </row>
    <row r="4485">
      <c r="A4485" s="11" t="s">
        <v>4516</v>
      </c>
    </row>
    <row r="4486">
      <c r="A4486" s="11" t="s">
        <v>4517</v>
      </c>
    </row>
    <row r="4487">
      <c r="A4487" s="11" t="s">
        <v>4518</v>
      </c>
    </row>
    <row r="4488">
      <c r="A4488" s="11" t="s">
        <v>4519</v>
      </c>
    </row>
    <row r="4489">
      <c r="A4489" s="11" t="s">
        <v>4520</v>
      </c>
    </row>
    <row r="4490">
      <c r="A4490" s="11" t="s">
        <v>4521</v>
      </c>
    </row>
    <row r="4491">
      <c r="A4491" s="11" t="s">
        <v>4522</v>
      </c>
    </row>
    <row r="4492">
      <c r="A4492" s="11" t="s">
        <v>4523</v>
      </c>
    </row>
    <row r="4493">
      <c r="A4493" s="11" t="s">
        <v>4524</v>
      </c>
    </row>
    <row r="4494">
      <c r="A4494" s="11" t="s">
        <v>4525</v>
      </c>
    </row>
    <row r="4495">
      <c r="A4495" s="11" t="s">
        <v>4526</v>
      </c>
    </row>
    <row r="4496">
      <c r="A4496" s="11" t="s">
        <v>4527</v>
      </c>
    </row>
    <row r="4497">
      <c r="A4497" s="11" t="s">
        <v>4528</v>
      </c>
    </row>
    <row r="4498">
      <c r="A4498" s="11" t="s">
        <v>4529</v>
      </c>
    </row>
    <row r="4499">
      <c r="A4499" s="11" t="s">
        <v>4530</v>
      </c>
    </row>
    <row r="4500">
      <c r="A4500" s="11" t="s">
        <v>4531</v>
      </c>
    </row>
    <row r="4501">
      <c r="A4501" s="11" t="s">
        <v>4532</v>
      </c>
    </row>
    <row r="4502">
      <c r="A4502" s="11" t="s">
        <v>4533</v>
      </c>
    </row>
    <row r="4503">
      <c r="A4503" s="11" t="s">
        <v>4534</v>
      </c>
    </row>
    <row r="4504">
      <c r="A4504" s="11" t="s">
        <v>4535</v>
      </c>
    </row>
    <row r="4505">
      <c r="A4505" s="11" t="s">
        <v>4536</v>
      </c>
    </row>
    <row r="4506">
      <c r="A4506" s="11" t="s">
        <v>4537</v>
      </c>
    </row>
    <row r="4507">
      <c r="A4507" s="11" t="s">
        <v>4538</v>
      </c>
    </row>
    <row r="4508">
      <c r="A4508" s="11" t="s">
        <v>4539</v>
      </c>
    </row>
    <row r="4509">
      <c r="A4509" s="11" t="s">
        <v>4540</v>
      </c>
    </row>
    <row r="4510">
      <c r="A4510" s="11" t="s">
        <v>4541</v>
      </c>
    </row>
    <row r="4511">
      <c r="A4511" s="11" t="s">
        <v>4542</v>
      </c>
    </row>
    <row r="4512">
      <c r="A4512" s="11" t="s">
        <v>4543</v>
      </c>
    </row>
    <row r="4513">
      <c r="A4513" s="11" t="s">
        <v>4544</v>
      </c>
    </row>
    <row r="4514">
      <c r="A4514" s="11" t="s">
        <v>4545</v>
      </c>
    </row>
    <row r="4515">
      <c r="A4515" s="11" t="s">
        <v>4546</v>
      </c>
    </row>
    <row r="4516">
      <c r="A4516" s="11" t="s">
        <v>4547</v>
      </c>
    </row>
    <row r="4517">
      <c r="A4517" s="11" t="s">
        <v>4548</v>
      </c>
    </row>
    <row r="4518">
      <c r="A4518" s="11" t="s">
        <v>4549</v>
      </c>
    </row>
    <row r="4519">
      <c r="A4519" s="11" t="s">
        <v>4550</v>
      </c>
    </row>
    <row r="4520">
      <c r="A4520" s="11" t="s">
        <v>4551</v>
      </c>
    </row>
    <row r="4521">
      <c r="A4521" s="11" t="s">
        <v>4552</v>
      </c>
    </row>
    <row r="4522">
      <c r="A4522" s="11" t="s">
        <v>4553</v>
      </c>
    </row>
    <row r="4523">
      <c r="A4523" s="11" t="s">
        <v>4554</v>
      </c>
    </row>
    <row r="4524">
      <c r="A4524" s="11" t="s">
        <v>4555</v>
      </c>
    </row>
    <row r="4525">
      <c r="A4525" s="11" t="s">
        <v>4556</v>
      </c>
    </row>
    <row r="4526">
      <c r="A4526" s="11" t="s">
        <v>4557</v>
      </c>
    </row>
    <row r="4527">
      <c r="A4527" s="11" t="s">
        <v>4558</v>
      </c>
    </row>
    <row r="4528">
      <c r="A4528" s="11" t="s">
        <v>4559</v>
      </c>
    </row>
    <row r="4529">
      <c r="A4529" s="11" t="s">
        <v>4560</v>
      </c>
    </row>
    <row r="4530">
      <c r="A4530" s="11" t="s">
        <v>4561</v>
      </c>
    </row>
    <row r="4531">
      <c r="A4531" s="11" t="s">
        <v>4562</v>
      </c>
    </row>
    <row r="4532">
      <c r="A4532" s="11" t="s">
        <v>4563</v>
      </c>
    </row>
    <row r="4533">
      <c r="A4533" s="11" t="s">
        <v>4564</v>
      </c>
    </row>
    <row r="4534">
      <c r="A4534" s="11" t="s">
        <v>4565</v>
      </c>
    </row>
    <row r="4535">
      <c r="A4535" s="11" t="s">
        <v>4566</v>
      </c>
    </row>
    <row r="4536">
      <c r="A4536" s="11" t="s">
        <v>4567</v>
      </c>
    </row>
    <row r="4537">
      <c r="A4537" s="11" t="s">
        <v>4568</v>
      </c>
    </row>
    <row r="4538">
      <c r="A4538" s="11" t="s">
        <v>4569</v>
      </c>
    </row>
    <row r="4539">
      <c r="A4539" s="11" t="s">
        <v>4570</v>
      </c>
    </row>
    <row r="4540">
      <c r="A4540" s="11" t="s">
        <v>4571</v>
      </c>
    </row>
    <row r="4541">
      <c r="A4541" s="11" t="s">
        <v>4572</v>
      </c>
    </row>
    <row r="4542">
      <c r="A4542" s="11" t="s">
        <v>4573</v>
      </c>
    </row>
    <row r="4543">
      <c r="A4543" s="11" t="s">
        <v>4574</v>
      </c>
    </row>
    <row r="4544">
      <c r="A4544" s="11" t="s">
        <v>4575</v>
      </c>
    </row>
    <row r="4545">
      <c r="A4545" s="11" t="s">
        <v>4576</v>
      </c>
    </row>
    <row r="4546">
      <c r="A4546" s="11" t="s">
        <v>4577</v>
      </c>
    </row>
    <row r="4547">
      <c r="A4547" s="11" t="s">
        <v>4578</v>
      </c>
    </row>
    <row r="4548">
      <c r="A4548" s="11" t="s">
        <v>4579</v>
      </c>
    </row>
    <row r="4549">
      <c r="A4549" s="11" t="s">
        <v>4580</v>
      </c>
    </row>
    <row r="4550">
      <c r="A4550" s="11" t="s">
        <v>4581</v>
      </c>
    </row>
    <row r="4551">
      <c r="A4551" s="11" t="s">
        <v>4582</v>
      </c>
    </row>
    <row r="4552">
      <c r="A4552" s="11" t="s">
        <v>4583</v>
      </c>
    </row>
    <row r="4553">
      <c r="A4553" s="11" t="s">
        <v>4584</v>
      </c>
    </row>
    <row r="4554">
      <c r="A4554" s="11" t="s">
        <v>4585</v>
      </c>
    </row>
    <row r="4555">
      <c r="A4555" s="11" t="s">
        <v>4586</v>
      </c>
    </row>
    <row r="4556">
      <c r="A4556" s="11" t="s">
        <v>4587</v>
      </c>
    </row>
    <row r="4557">
      <c r="A4557" s="11" t="s">
        <v>4588</v>
      </c>
    </row>
    <row r="4558">
      <c r="A4558" s="11" t="s">
        <v>4589</v>
      </c>
    </row>
    <row r="4559">
      <c r="A4559" s="11" t="s">
        <v>4590</v>
      </c>
    </row>
    <row r="4560">
      <c r="A4560" s="11" t="s">
        <v>4591</v>
      </c>
    </row>
    <row r="4561">
      <c r="A4561" s="11" t="s">
        <v>4592</v>
      </c>
    </row>
    <row r="4562">
      <c r="A4562" s="11" t="s">
        <v>4593</v>
      </c>
    </row>
    <row r="4563">
      <c r="A4563" s="11" t="s">
        <v>4594</v>
      </c>
    </row>
    <row r="4564">
      <c r="A4564" s="11" t="s">
        <v>4595</v>
      </c>
    </row>
    <row r="4565">
      <c r="A4565" s="11" t="s">
        <v>4596</v>
      </c>
    </row>
    <row r="4566">
      <c r="A4566" s="11" t="s">
        <v>4597</v>
      </c>
    </row>
    <row r="4567">
      <c r="A4567" s="11" t="s">
        <v>4598</v>
      </c>
    </row>
    <row r="4568">
      <c r="A4568" s="11" t="s">
        <v>4599</v>
      </c>
    </row>
    <row r="4569">
      <c r="A4569" s="11" t="s">
        <v>4600</v>
      </c>
    </row>
    <row r="4570">
      <c r="A4570" s="11" t="s">
        <v>4601</v>
      </c>
    </row>
    <row r="4571">
      <c r="A4571" s="11" t="s">
        <v>4602</v>
      </c>
    </row>
    <row r="4572">
      <c r="A4572" s="11" t="s">
        <v>4603</v>
      </c>
    </row>
    <row r="4573">
      <c r="A4573" s="11" t="s">
        <v>4604</v>
      </c>
    </row>
    <row r="4574">
      <c r="A4574" s="11" t="s">
        <v>4605</v>
      </c>
    </row>
    <row r="4575">
      <c r="A4575" s="11" t="s">
        <v>4606</v>
      </c>
    </row>
    <row r="4576">
      <c r="A4576" s="11" t="s">
        <v>4607</v>
      </c>
    </row>
    <row r="4577">
      <c r="A4577" s="11" t="s">
        <v>4608</v>
      </c>
    </row>
    <row r="4578">
      <c r="A4578" s="11" t="s">
        <v>4609</v>
      </c>
    </row>
    <row r="4579">
      <c r="A4579" s="11" t="s">
        <v>4610</v>
      </c>
    </row>
    <row r="4580">
      <c r="A4580" s="11" t="s">
        <v>4611</v>
      </c>
    </row>
    <row r="4581">
      <c r="A4581" s="11" t="s">
        <v>4612</v>
      </c>
    </row>
    <row r="4582">
      <c r="A4582" s="11" t="s">
        <v>4613</v>
      </c>
    </row>
    <row r="4583">
      <c r="A4583" s="11" t="s">
        <v>4614</v>
      </c>
    </row>
    <row r="4584">
      <c r="A4584" s="11" t="s">
        <v>4615</v>
      </c>
    </row>
    <row r="4585">
      <c r="A4585" s="11" t="s">
        <v>4616</v>
      </c>
    </row>
    <row r="4586">
      <c r="A4586" s="11" t="s">
        <v>4617</v>
      </c>
    </row>
    <row r="4587">
      <c r="A4587" s="11" t="s">
        <v>4618</v>
      </c>
    </row>
    <row r="4588">
      <c r="A4588" s="11" t="s">
        <v>4619</v>
      </c>
    </row>
    <row r="4589">
      <c r="A4589" s="11" t="s">
        <v>4620</v>
      </c>
    </row>
    <row r="4590">
      <c r="A4590" s="11" t="s">
        <v>4621</v>
      </c>
    </row>
    <row r="4591">
      <c r="A4591" s="11" t="s">
        <v>4622</v>
      </c>
    </row>
    <row r="4592">
      <c r="A4592" s="11" t="s">
        <v>4623</v>
      </c>
    </row>
    <row r="4593">
      <c r="A4593" s="11" t="s">
        <v>4624</v>
      </c>
    </row>
    <row r="4594">
      <c r="A4594" s="11" t="s">
        <v>4625</v>
      </c>
    </row>
    <row r="4595">
      <c r="A4595" s="11" t="s">
        <v>4626</v>
      </c>
    </row>
    <row r="4596">
      <c r="A4596" s="11" t="s">
        <v>4627</v>
      </c>
    </row>
    <row r="4597">
      <c r="A4597" s="11" t="s">
        <v>4628</v>
      </c>
    </row>
    <row r="4598">
      <c r="A4598" s="11" t="s">
        <v>4629</v>
      </c>
    </row>
    <row r="4599">
      <c r="A4599" s="11" t="s">
        <v>4630</v>
      </c>
    </row>
    <row r="4600">
      <c r="A4600" s="11" t="s">
        <v>4631</v>
      </c>
    </row>
    <row r="4601">
      <c r="A4601" s="11" t="s">
        <v>4632</v>
      </c>
    </row>
    <row r="4602">
      <c r="A4602" s="11" t="s">
        <v>4633</v>
      </c>
    </row>
    <row r="4603">
      <c r="A4603" s="11" t="s">
        <v>4634</v>
      </c>
    </row>
    <row r="4604">
      <c r="A4604" s="11" t="s">
        <v>4635</v>
      </c>
    </row>
    <row r="4605">
      <c r="A4605" s="11" t="s">
        <v>4636</v>
      </c>
    </row>
    <row r="4606">
      <c r="A4606" s="11" t="s">
        <v>4637</v>
      </c>
    </row>
    <row r="4607">
      <c r="A4607" s="11" t="s">
        <v>4638</v>
      </c>
    </row>
    <row r="4608">
      <c r="A4608" s="11" t="s">
        <v>4639</v>
      </c>
    </row>
    <row r="4609">
      <c r="A4609" s="11" t="s">
        <v>4640</v>
      </c>
    </row>
    <row r="4610">
      <c r="A4610" s="11" t="s">
        <v>4641</v>
      </c>
    </row>
    <row r="4611">
      <c r="A4611" s="11" t="s">
        <v>4642</v>
      </c>
    </row>
    <row r="4612">
      <c r="A4612" s="11" t="s">
        <v>4643</v>
      </c>
    </row>
    <row r="4613">
      <c r="A4613" s="11" t="s">
        <v>4644</v>
      </c>
    </row>
    <row r="4614">
      <c r="A4614" s="11" t="s">
        <v>4645</v>
      </c>
    </row>
    <row r="4615">
      <c r="A4615" s="11" t="s">
        <v>4646</v>
      </c>
    </row>
    <row r="4616">
      <c r="A4616" s="11" t="s">
        <v>4647</v>
      </c>
    </row>
    <row r="4617">
      <c r="A4617" s="11" t="s">
        <v>4648</v>
      </c>
    </row>
    <row r="4618">
      <c r="A4618" s="11" t="s">
        <v>4649</v>
      </c>
    </row>
    <row r="4619">
      <c r="A4619" s="11" t="s">
        <v>4650</v>
      </c>
    </row>
    <row r="4620">
      <c r="A4620" s="11" t="s">
        <v>4651</v>
      </c>
    </row>
    <row r="4621">
      <c r="A4621" s="11" t="s">
        <v>4652</v>
      </c>
    </row>
    <row r="4622">
      <c r="A4622" s="11" t="s">
        <v>4653</v>
      </c>
    </row>
    <row r="4623">
      <c r="A4623" s="11" t="s">
        <v>4654</v>
      </c>
    </row>
    <row r="4624">
      <c r="A4624" s="11" t="s">
        <v>4655</v>
      </c>
    </row>
    <row r="4625">
      <c r="A4625" s="11" t="s">
        <v>4656</v>
      </c>
    </row>
    <row r="4626">
      <c r="A4626" s="11" t="s">
        <v>4657</v>
      </c>
    </row>
    <row r="4627">
      <c r="A4627" s="11" t="s">
        <v>4658</v>
      </c>
    </row>
    <row r="4628">
      <c r="A4628" s="11" t="s">
        <v>4659</v>
      </c>
    </row>
    <row r="4629">
      <c r="A4629" s="11" t="s">
        <v>4660</v>
      </c>
    </row>
    <row r="4630">
      <c r="A4630" s="11" t="s">
        <v>4661</v>
      </c>
    </row>
    <row r="4631">
      <c r="A4631" s="11" t="s">
        <v>4662</v>
      </c>
    </row>
    <row r="4632">
      <c r="A4632" s="11" t="s">
        <v>4663</v>
      </c>
    </row>
    <row r="4633">
      <c r="A4633" s="11" t="s">
        <v>4664</v>
      </c>
    </row>
    <row r="4634">
      <c r="A4634" s="11" t="s">
        <v>4665</v>
      </c>
    </row>
    <row r="4635">
      <c r="A4635" s="11" t="s">
        <v>4666</v>
      </c>
    </row>
    <row r="4636">
      <c r="A4636" s="11" t="s">
        <v>4667</v>
      </c>
    </row>
    <row r="4637">
      <c r="A4637" s="11" t="s">
        <v>4668</v>
      </c>
    </row>
    <row r="4638">
      <c r="A4638" s="11" t="s">
        <v>4669</v>
      </c>
    </row>
    <row r="4639">
      <c r="A4639" s="11" t="s">
        <v>4670</v>
      </c>
    </row>
    <row r="4640">
      <c r="A4640" s="11" t="s">
        <v>4671</v>
      </c>
    </row>
    <row r="4641">
      <c r="A4641" s="11" t="s">
        <v>4672</v>
      </c>
    </row>
    <row r="4642">
      <c r="A4642" s="11" t="s">
        <v>4673</v>
      </c>
    </row>
    <row r="4643">
      <c r="A4643" s="11" t="s">
        <v>4674</v>
      </c>
    </row>
    <row r="4644">
      <c r="A4644" s="11" t="s">
        <v>4675</v>
      </c>
    </row>
    <row r="4645">
      <c r="A4645" s="11" t="s">
        <v>4676</v>
      </c>
    </row>
    <row r="4646">
      <c r="A4646" s="11" t="s">
        <v>4677</v>
      </c>
    </row>
    <row r="4647">
      <c r="A4647" s="11" t="s">
        <v>4678</v>
      </c>
    </row>
    <row r="4648">
      <c r="A4648" s="11" t="s">
        <v>4679</v>
      </c>
    </row>
    <row r="4649">
      <c r="A4649" s="11" t="s">
        <v>4680</v>
      </c>
    </row>
    <row r="4650">
      <c r="A4650" s="11" t="s">
        <v>4681</v>
      </c>
    </row>
    <row r="4651">
      <c r="A4651" s="11" t="s">
        <v>4682</v>
      </c>
    </row>
    <row r="4652">
      <c r="A4652" s="11" t="s">
        <v>4683</v>
      </c>
    </row>
    <row r="4653">
      <c r="A4653" s="11" t="s">
        <v>4684</v>
      </c>
    </row>
    <row r="4654">
      <c r="A4654" s="11" t="s">
        <v>4685</v>
      </c>
    </row>
    <row r="4655">
      <c r="A4655" s="11" t="s">
        <v>4686</v>
      </c>
    </row>
    <row r="4656">
      <c r="A4656" s="11" t="s">
        <v>4687</v>
      </c>
    </row>
    <row r="4657">
      <c r="A4657" s="11" t="s">
        <v>4688</v>
      </c>
    </row>
    <row r="4658">
      <c r="A4658" s="11" t="s">
        <v>4689</v>
      </c>
    </row>
    <row r="4659">
      <c r="A4659" s="11" t="s">
        <v>4690</v>
      </c>
    </row>
    <row r="4660">
      <c r="A4660" s="11" t="s">
        <v>4691</v>
      </c>
    </row>
    <row r="4661">
      <c r="A4661" s="11" t="s">
        <v>4692</v>
      </c>
    </row>
    <row r="4662">
      <c r="A4662" s="11" t="s">
        <v>4693</v>
      </c>
    </row>
    <row r="4663">
      <c r="A4663" s="11" t="s">
        <v>4694</v>
      </c>
    </row>
    <row r="4664">
      <c r="A4664" s="11" t="s">
        <v>4695</v>
      </c>
    </row>
    <row r="4665">
      <c r="A4665" s="11" t="s">
        <v>4696</v>
      </c>
    </row>
    <row r="4666">
      <c r="A4666" s="11" t="s">
        <v>4697</v>
      </c>
    </row>
    <row r="4667">
      <c r="A4667" s="11" t="s">
        <v>4698</v>
      </c>
    </row>
    <row r="4668">
      <c r="A4668" s="11" t="s">
        <v>4699</v>
      </c>
    </row>
    <row r="4669">
      <c r="A4669" s="11" t="s">
        <v>4700</v>
      </c>
    </row>
    <row r="4670">
      <c r="A4670" s="11" t="s">
        <v>4701</v>
      </c>
    </row>
    <row r="4671">
      <c r="A4671" s="11" t="s">
        <v>4702</v>
      </c>
    </row>
    <row r="4672">
      <c r="A4672" s="11" t="s">
        <v>4703</v>
      </c>
    </row>
    <row r="4673">
      <c r="A4673" s="11" t="s">
        <v>4704</v>
      </c>
    </row>
    <row r="4674">
      <c r="A4674" s="11" t="s">
        <v>4705</v>
      </c>
    </row>
    <row r="4675">
      <c r="A4675" s="11" t="s">
        <v>4706</v>
      </c>
    </row>
    <row r="4676">
      <c r="A4676" s="11" t="s">
        <v>4707</v>
      </c>
    </row>
    <row r="4677">
      <c r="A4677" s="11" t="s">
        <v>4708</v>
      </c>
    </row>
    <row r="4678">
      <c r="A4678" s="11" t="s">
        <v>4709</v>
      </c>
    </row>
    <row r="4679">
      <c r="A4679" s="11" t="s">
        <v>4710</v>
      </c>
    </row>
    <row r="4680">
      <c r="A4680" s="11" t="s">
        <v>4711</v>
      </c>
    </row>
    <row r="4681">
      <c r="A4681" s="11" t="s">
        <v>4712</v>
      </c>
    </row>
    <row r="4682">
      <c r="A4682" s="11" t="s">
        <v>4713</v>
      </c>
    </row>
    <row r="4683">
      <c r="A4683" s="11" t="s">
        <v>4714</v>
      </c>
    </row>
    <row r="4684">
      <c r="A4684" s="11" t="s">
        <v>4715</v>
      </c>
    </row>
    <row r="4685">
      <c r="A4685" s="11" t="s">
        <v>4716</v>
      </c>
    </row>
    <row r="4686">
      <c r="A4686" s="11" t="s">
        <v>4717</v>
      </c>
    </row>
    <row r="4687">
      <c r="A4687" s="11" t="s">
        <v>4718</v>
      </c>
    </row>
    <row r="4688">
      <c r="A4688" s="11" t="s">
        <v>4719</v>
      </c>
    </row>
    <row r="4689">
      <c r="A4689" s="11" t="s">
        <v>4720</v>
      </c>
    </row>
    <row r="4690">
      <c r="A4690" s="11" t="s">
        <v>4721</v>
      </c>
    </row>
    <row r="4691">
      <c r="A4691" s="11" t="s">
        <v>4722</v>
      </c>
    </row>
    <row r="4692">
      <c r="A4692" s="11" t="s">
        <v>4723</v>
      </c>
    </row>
    <row r="4693">
      <c r="A4693" s="11" t="s">
        <v>4724</v>
      </c>
    </row>
    <row r="4694">
      <c r="A4694" s="11" t="s">
        <v>4725</v>
      </c>
    </row>
    <row r="4695">
      <c r="A4695" s="11" t="s">
        <v>4726</v>
      </c>
    </row>
    <row r="4696">
      <c r="A4696" s="11" t="s">
        <v>4727</v>
      </c>
    </row>
    <row r="4697">
      <c r="A4697" s="11" t="s">
        <v>4728</v>
      </c>
    </row>
    <row r="4698">
      <c r="A4698" s="11" t="s">
        <v>4729</v>
      </c>
    </row>
    <row r="4699">
      <c r="A4699" s="11" t="s">
        <v>4730</v>
      </c>
    </row>
    <row r="4700">
      <c r="A4700" s="11" t="s">
        <v>4731</v>
      </c>
    </row>
    <row r="4701">
      <c r="A4701" s="11" t="s">
        <v>4732</v>
      </c>
    </row>
    <row r="4702">
      <c r="A4702" s="11" t="s">
        <v>4733</v>
      </c>
    </row>
    <row r="4703">
      <c r="A4703" s="11" t="s">
        <v>4734</v>
      </c>
    </row>
    <row r="4704">
      <c r="A4704" s="11" t="s">
        <v>4735</v>
      </c>
    </row>
    <row r="4705">
      <c r="A4705" s="11" t="s">
        <v>4736</v>
      </c>
    </row>
    <row r="4706">
      <c r="A4706" s="11" t="s">
        <v>4737</v>
      </c>
    </row>
    <row r="4707">
      <c r="A4707" s="11" t="s">
        <v>4738</v>
      </c>
    </row>
    <row r="4708">
      <c r="A4708" s="11" t="s">
        <v>4739</v>
      </c>
    </row>
    <row r="4709">
      <c r="A4709" s="11" t="s">
        <v>4740</v>
      </c>
    </row>
    <row r="4710">
      <c r="A4710" s="11" t="s">
        <v>4741</v>
      </c>
    </row>
    <row r="4711">
      <c r="A4711" s="11" t="s">
        <v>4742</v>
      </c>
    </row>
    <row r="4712">
      <c r="A4712" s="11" t="s">
        <v>4743</v>
      </c>
    </row>
    <row r="4713">
      <c r="A4713" s="11" t="s">
        <v>4744</v>
      </c>
    </row>
    <row r="4714">
      <c r="A4714" s="11" t="s">
        <v>4745</v>
      </c>
    </row>
    <row r="4715">
      <c r="A4715" s="11" t="s">
        <v>4746</v>
      </c>
    </row>
    <row r="4716">
      <c r="A4716" s="11" t="s">
        <v>4747</v>
      </c>
    </row>
    <row r="4717">
      <c r="A4717" s="11" t="s">
        <v>4748</v>
      </c>
    </row>
    <row r="4718">
      <c r="A4718" s="11" t="s">
        <v>4749</v>
      </c>
    </row>
    <row r="4719">
      <c r="A4719" s="11" t="s">
        <v>4750</v>
      </c>
    </row>
    <row r="4720">
      <c r="A4720" s="11" t="s">
        <v>4751</v>
      </c>
    </row>
    <row r="4721">
      <c r="A4721" s="11" t="s">
        <v>4752</v>
      </c>
    </row>
    <row r="4722">
      <c r="A4722" s="11" t="s">
        <v>4753</v>
      </c>
    </row>
    <row r="4723">
      <c r="A4723" s="11" t="s">
        <v>4754</v>
      </c>
    </row>
    <row r="4724">
      <c r="A4724" s="11" t="s">
        <v>4755</v>
      </c>
    </row>
    <row r="4725">
      <c r="A4725" s="11" t="s">
        <v>4756</v>
      </c>
    </row>
    <row r="4726">
      <c r="A4726" s="11" t="s">
        <v>4757</v>
      </c>
    </row>
    <row r="4727">
      <c r="A4727" s="11" t="s">
        <v>4758</v>
      </c>
    </row>
    <row r="4728">
      <c r="A4728" s="11" t="s">
        <v>4759</v>
      </c>
    </row>
    <row r="4729">
      <c r="A4729" s="11" t="s">
        <v>4760</v>
      </c>
    </row>
    <row r="4730">
      <c r="A4730" s="11" t="s">
        <v>4761</v>
      </c>
    </row>
    <row r="4731">
      <c r="A4731" s="11" t="s">
        <v>4762</v>
      </c>
    </row>
    <row r="4732">
      <c r="A4732" s="11" t="s">
        <v>4763</v>
      </c>
    </row>
    <row r="4733">
      <c r="A4733" s="11" t="s">
        <v>4764</v>
      </c>
    </row>
    <row r="4734">
      <c r="A4734" s="11" t="s">
        <v>4765</v>
      </c>
    </row>
    <row r="4735">
      <c r="A4735" s="11" t="s">
        <v>4766</v>
      </c>
    </row>
    <row r="4736">
      <c r="A4736" s="11" t="s">
        <v>4767</v>
      </c>
    </row>
    <row r="4737">
      <c r="A4737" s="11" t="s">
        <v>4768</v>
      </c>
    </row>
    <row r="4738">
      <c r="A4738" s="11" t="s">
        <v>4769</v>
      </c>
    </row>
    <row r="4739">
      <c r="A4739" s="11" t="s">
        <v>4770</v>
      </c>
    </row>
    <row r="4740">
      <c r="A4740" s="11" t="s">
        <v>4771</v>
      </c>
    </row>
    <row r="4741">
      <c r="A4741" s="11" t="s">
        <v>4772</v>
      </c>
    </row>
    <row r="4742">
      <c r="A4742" s="11" t="s">
        <v>4773</v>
      </c>
    </row>
    <row r="4743">
      <c r="A4743" s="11" t="s">
        <v>4774</v>
      </c>
    </row>
    <row r="4744">
      <c r="A4744" s="11" t="s">
        <v>4775</v>
      </c>
    </row>
    <row r="4745">
      <c r="A4745" s="11" t="s">
        <v>4776</v>
      </c>
    </row>
    <row r="4746">
      <c r="A4746" s="11" t="s">
        <v>4777</v>
      </c>
    </row>
    <row r="4747">
      <c r="A4747" s="11" t="s">
        <v>4778</v>
      </c>
    </row>
    <row r="4748">
      <c r="A4748" s="11" t="s">
        <v>4779</v>
      </c>
    </row>
    <row r="4749">
      <c r="A4749" s="11" t="s">
        <v>4780</v>
      </c>
    </row>
    <row r="4750">
      <c r="A4750" s="11" t="s">
        <v>4781</v>
      </c>
    </row>
    <row r="4751">
      <c r="A4751" s="11" t="s">
        <v>4782</v>
      </c>
    </row>
    <row r="4752">
      <c r="A4752" s="11" t="s">
        <v>4783</v>
      </c>
    </row>
    <row r="4753">
      <c r="A4753" s="11" t="s">
        <v>4784</v>
      </c>
    </row>
    <row r="4754">
      <c r="A4754" s="11" t="s">
        <v>4785</v>
      </c>
    </row>
    <row r="4755">
      <c r="A4755" s="11" t="s">
        <v>4786</v>
      </c>
    </row>
    <row r="4756">
      <c r="A4756" s="11" t="s">
        <v>4787</v>
      </c>
    </row>
    <row r="4757">
      <c r="A4757" s="11" t="s">
        <v>4788</v>
      </c>
    </row>
    <row r="4758">
      <c r="A4758" s="11" t="s">
        <v>4789</v>
      </c>
    </row>
    <row r="4759">
      <c r="A4759" s="11" t="s">
        <v>4790</v>
      </c>
    </row>
    <row r="4760">
      <c r="A4760" s="11" t="s">
        <v>4791</v>
      </c>
    </row>
    <row r="4761">
      <c r="A4761" s="11" t="s">
        <v>4792</v>
      </c>
    </row>
    <row r="4762">
      <c r="A4762" s="11" t="s">
        <v>4793</v>
      </c>
    </row>
    <row r="4763">
      <c r="A4763" s="11" t="s">
        <v>4794</v>
      </c>
    </row>
    <row r="4764">
      <c r="A4764" s="11" t="s">
        <v>4795</v>
      </c>
    </row>
    <row r="4765">
      <c r="A4765" s="11" t="s">
        <v>4796</v>
      </c>
    </row>
    <row r="4766">
      <c r="A4766" s="11" t="s">
        <v>4797</v>
      </c>
    </row>
    <row r="4767">
      <c r="A4767" s="11" t="s">
        <v>4798</v>
      </c>
    </row>
    <row r="4768">
      <c r="A4768" s="11" t="s">
        <v>4799</v>
      </c>
    </row>
    <row r="4769">
      <c r="A4769" s="11" t="s">
        <v>4800</v>
      </c>
    </row>
    <row r="4770">
      <c r="A4770" s="11" t="s">
        <v>4801</v>
      </c>
    </row>
    <row r="4771">
      <c r="A4771" s="11" t="s">
        <v>4802</v>
      </c>
    </row>
    <row r="4772">
      <c r="A4772" s="11" t="s">
        <v>4803</v>
      </c>
    </row>
    <row r="4773">
      <c r="A4773" s="11" t="s">
        <v>4804</v>
      </c>
    </row>
    <row r="4774">
      <c r="A4774" s="11" t="s">
        <v>4805</v>
      </c>
    </row>
    <row r="4775">
      <c r="A4775" s="11" t="s">
        <v>4806</v>
      </c>
    </row>
    <row r="4776">
      <c r="A4776" s="11" t="s">
        <v>4807</v>
      </c>
    </row>
    <row r="4777">
      <c r="A4777" s="11" t="s">
        <v>4808</v>
      </c>
    </row>
    <row r="4778">
      <c r="A4778" s="11" t="s">
        <v>4809</v>
      </c>
    </row>
    <row r="4779">
      <c r="A4779" s="11" t="s">
        <v>4810</v>
      </c>
    </row>
    <row r="4780">
      <c r="A4780" s="11" t="s">
        <v>4811</v>
      </c>
    </row>
    <row r="4781">
      <c r="A4781" s="11" t="s">
        <v>4812</v>
      </c>
    </row>
    <row r="4782">
      <c r="A4782" s="11" t="s">
        <v>4813</v>
      </c>
    </row>
    <row r="4783">
      <c r="A4783" s="11" t="s">
        <v>4814</v>
      </c>
    </row>
    <row r="4784">
      <c r="A4784" s="11" t="s">
        <v>4815</v>
      </c>
    </row>
    <row r="4785">
      <c r="A4785" s="11" t="s">
        <v>4816</v>
      </c>
    </row>
    <row r="4786">
      <c r="A4786" s="11" t="s">
        <v>4817</v>
      </c>
    </row>
    <row r="4787">
      <c r="A4787" s="11" t="s">
        <v>4818</v>
      </c>
    </row>
    <row r="4788">
      <c r="A4788" s="11" t="s">
        <v>4819</v>
      </c>
    </row>
    <row r="4789">
      <c r="A4789" s="11" t="s">
        <v>4820</v>
      </c>
    </row>
    <row r="4790">
      <c r="A4790" s="11" t="s">
        <v>4821</v>
      </c>
    </row>
    <row r="4791">
      <c r="A4791" s="11" t="s">
        <v>4822</v>
      </c>
    </row>
    <row r="4792">
      <c r="A4792" s="11" t="s">
        <v>4823</v>
      </c>
    </row>
    <row r="4793">
      <c r="A4793" s="11" t="s">
        <v>4824</v>
      </c>
    </row>
    <row r="4794">
      <c r="A4794" s="11" t="s">
        <v>4825</v>
      </c>
    </row>
    <row r="4795">
      <c r="A4795" s="11" t="s">
        <v>4826</v>
      </c>
    </row>
    <row r="4796">
      <c r="A4796" s="11" t="s">
        <v>4827</v>
      </c>
    </row>
    <row r="4797">
      <c r="A4797" s="11" t="s">
        <v>4828</v>
      </c>
    </row>
    <row r="4798">
      <c r="A4798" s="11" t="s">
        <v>4829</v>
      </c>
    </row>
    <row r="4799">
      <c r="A4799" s="11" t="s">
        <v>4830</v>
      </c>
    </row>
    <row r="4800">
      <c r="A4800" s="11" t="s">
        <v>4831</v>
      </c>
    </row>
    <row r="4801">
      <c r="A4801" s="11" t="s">
        <v>4832</v>
      </c>
    </row>
    <row r="4802">
      <c r="A4802" s="11" t="s">
        <v>4833</v>
      </c>
    </row>
    <row r="4803">
      <c r="A4803" s="11" t="s">
        <v>4834</v>
      </c>
    </row>
    <row r="4804">
      <c r="A4804" s="11" t="s">
        <v>4835</v>
      </c>
    </row>
    <row r="4805">
      <c r="A4805" s="11" t="s">
        <v>4836</v>
      </c>
    </row>
    <row r="4806">
      <c r="A4806" s="11" t="s">
        <v>4837</v>
      </c>
    </row>
    <row r="4807">
      <c r="A4807" s="11" t="s">
        <v>4838</v>
      </c>
    </row>
    <row r="4808">
      <c r="A4808" s="11" t="s">
        <v>4839</v>
      </c>
    </row>
    <row r="4809">
      <c r="A4809" s="11" t="s">
        <v>4840</v>
      </c>
    </row>
    <row r="4810">
      <c r="A4810" s="11" t="s">
        <v>4841</v>
      </c>
    </row>
    <row r="4811">
      <c r="A4811" s="11" t="s">
        <v>4842</v>
      </c>
    </row>
    <row r="4812">
      <c r="A4812" s="11" t="s">
        <v>4843</v>
      </c>
    </row>
    <row r="4813">
      <c r="A4813" s="11" t="s">
        <v>4844</v>
      </c>
    </row>
    <row r="4814">
      <c r="A4814" s="11" t="s">
        <v>4845</v>
      </c>
    </row>
    <row r="4815">
      <c r="A4815" s="11" t="s">
        <v>4846</v>
      </c>
    </row>
    <row r="4816">
      <c r="A4816" s="11" t="s">
        <v>4847</v>
      </c>
    </row>
    <row r="4817">
      <c r="A4817" s="11" t="s">
        <v>4848</v>
      </c>
    </row>
    <row r="4818">
      <c r="A4818" s="11" t="s">
        <v>4849</v>
      </c>
    </row>
    <row r="4819">
      <c r="A4819" s="11" t="s">
        <v>4850</v>
      </c>
    </row>
    <row r="4820">
      <c r="A4820" s="11" t="s">
        <v>4851</v>
      </c>
    </row>
    <row r="4821">
      <c r="A4821" s="11" t="s">
        <v>4852</v>
      </c>
    </row>
    <row r="4822">
      <c r="A4822" s="11" t="s">
        <v>4853</v>
      </c>
    </row>
    <row r="4823">
      <c r="A4823" s="11" t="s">
        <v>4854</v>
      </c>
    </row>
    <row r="4824">
      <c r="A4824" s="11" t="s">
        <v>4855</v>
      </c>
    </row>
    <row r="4825">
      <c r="A4825" s="11" t="s">
        <v>4856</v>
      </c>
    </row>
    <row r="4826">
      <c r="A4826" s="11" t="s">
        <v>4857</v>
      </c>
    </row>
    <row r="4827">
      <c r="A4827" s="11" t="s">
        <v>4858</v>
      </c>
    </row>
    <row r="4828">
      <c r="A4828" s="11" t="s">
        <v>4859</v>
      </c>
    </row>
    <row r="4829">
      <c r="A4829" s="11" t="s">
        <v>4860</v>
      </c>
    </row>
    <row r="4830">
      <c r="A4830" s="11" t="s">
        <v>4861</v>
      </c>
    </row>
    <row r="4831">
      <c r="A4831" s="11" t="s">
        <v>4862</v>
      </c>
    </row>
    <row r="4832">
      <c r="A4832" s="11" t="s">
        <v>4863</v>
      </c>
    </row>
    <row r="4833">
      <c r="A4833" s="11" t="s">
        <v>4864</v>
      </c>
    </row>
    <row r="4834">
      <c r="A4834" s="11" t="s">
        <v>4865</v>
      </c>
    </row>
    <row r="4835">
      <c r="A4835" s="11" t="s">
        <v>4866</v>
      </c>
    </row>
    <row r="4836">
      <c r="A4836" s="11" t="s">
        <v>4867</v>
      </c>
    </row>
    <row r="4837">
      <c r="A4837" s="11" t="s">
        <v>4868</v>
      </c>
    </row>
    <row r="4838">
      <c r="A4838" s="11" t="s">
        <v>4869</v>
      </c>
    </row>
    <row r="4839">
      <c r="A4839" s="11" t="s">
        <v>4870</v>
      </c>
    </row>
    <row r="4840">
      <c r="A4840" s="11" t="s">
        <v>4871</v>
      </c>
    </row>
    <row r="4841">
      <c r="A4841" s="11" t="s">
        <v>4872</v>
      </c>
    </row>
    <row r="4842">
      <c r="A4842" s="11" t="s">
        <v>4873</v>
      </c>
    </row>
    <row r="4843">
      <c r="A4843" s="11" t="s">
        <v>4874</v>
      </c>
    </row>
    <row r="4844">
      <c r="A4844" s="11" t="s">
        <v>4875</v>
      </c>
    </row>
    <row r="4845">
      <c r="A4845" s="11" t="s">
        <v>4876</v>
      </c>
    </row>
    <row r="4846">
      <c r="A4846" s="11" t="s">
        <v>4877</v>
      </c>
    </row>
    <row r="4847">
      <c r="A4847" s="11" t="s">
        <v>4878</v>
      </c>
    </row>
    <row r="4848">
      <c r="A4848" s="11" t="s">
        <v>4879</v>
      </c>
    </row>
    <row r="4849">
      <c r="A4849" s="11" t="s">
        <v>4880</v>
      </c>
    </row>
    <row r="4850">
      <c r="A4850" s="11" t="s">
        <v>4881</v>
      </c>
    </row>
    <row r="4851">
      <c r="A4851" s="11" t="s">
        <v>4882</v>
      </c>
    </row>
    <row r="4852">
      <c r="A4852" s="11" t="s">
        <v>4883</v>
      </c>
    </row>
    <row r="4853">
      <c r="A4853" s="11" t="s">
        <v>4884</v>
      </c>
    </row>
    <row r="4854">
      <c r="A4854" s="11" t="s">
        <v>4885</v>
      </c>
    </row>
    <row r="4855">
      <c r="A4855" s="11" t="s">
        <v>4886</v>
      </c>
    </row>
    <row r="4856">
      <c r="A4856" s="11" t="s">
        <v>4887</v>
      </c>
    </row>
    <row r="4857">
      <c r="A4857" s="11" t="s">
        <v>4888</v>
      </c>
    </row>
    <row r="4858">
      <c r="A4858" s="11" t="s">
        <v>4889</v>
      </c>
    </row>
    <row r="4859">
      <c r="A4859" s="11" t="s">
        <v>4890</v>
      </c>
    </row>
    <row r="4860">
      <c r="A4860" s="11" t="s">
        <v>4891</v>
      </c>
    </row>
    <row r="4861">
      <c r="A4861" s="11" t="s">
        <v>4892</v>
      </c>
    </row>
    <row r="4862">
      <c r="A4862" s="11" t="s">
        <v>4893</v>
      </c>
    </row>
    <row r="4863">
      <c r="A4863" s="11" t="s">
        <v>4894</v>
      </c>
    </row>
    <row r="4864">
      <c r="A4864" s="11" t="s">
        <v>4895</v>
      </c>
    </row>
    <row r="4865">
      <c r="A4865" s="11" t="s">
        <v>4896</v>
      </c>
    </row>
    <row r="4866">
      <c r="A4866" s="11" t="s">
        <v>4897</v>
      </c>
    </row>
    <row r="4867">
      <c r="A4867" s="11" t="s">
        <v>4898</v>
      </c>
    </row>
    <row r="4868">
      <c r="A4868" s="11" t="s">
        <v>4899</v>
      </c>
    </row>
    <row r="4869">
      <c r="A4869" s="11" t="s">
        <v>4900</v>
      </c>
    </row>
    <row r="4870">
      <c r="A4870" s="11" t="s">
        <v>4901</v>
      </c>
    </row>
    <row r="4871">
      <c r="A4871" s="11" t="s">
        <v>4902</v>
      </c>
    </row>
    <row r="4872">
      <c r="A4872" s="11" t="s">
        <v>4903</v>
      </c>
    </row>
    <row r="4873">
      <c r="A4873" s="11" t="s">
        <v>4904</v>
      </c>
    </row>
    <row r="4874">
      <c r="A4874" s="11" t="s">
        <v>4905</v>
      </c>
    </row>
    <row r="4875">
      <c r="A4875" s="11" t="s">
        <v>4906</v>
      </c>
    </row>
    <row r="4876">
      <c r="A4876" s="11" t="s">
        <v>4907</v>
      </c>
    </row>
    <row r="4877">
      <c r="A4877" s="11" t="s">
        <v>4908</v>
      </c>
    </row>
    <row r="4878">
      <c r="A4878" s="11" t="s">
        <v>4909</v>
      </c>
    </row>
    <row r="4879">
      <c r="A4879" s="11" t="s">
        <v>4910</v>
      </c>
    </row>
    <row r="4880">
      <c r="A4880" s="11" t="s">
        <v>4911</v>
      </c>
    </row>
    <row r="4881">
      <c r="A4881" s="11" t="s">
        <v>4912</v>
      </c>
    </row>
    <row r="4882">
      <c r="A4882" s="11" t="s">
        <v>4913</v>
      </c>
    </row>
    <row r="4883">
      <c r="A4883" s="11" t="s">
        <v>4914</v>
      </c>
    </row>
    <row r="4884">
      <c r="A4884" s="11" t="s">
        <v>4915</v>
      </c>
    </row>
    <row r="4885">
      <c r="A4885" s="11" t="s">
        <v>4916</v>
      </c>
    </row>
    <row r="4886">
      <c r="A4886" s="11" t="s">
        <v>4917</v>
      </c>
    </row>
    <row r="4887">
      <c r="A4887" s="11" t="s">
        <v>4918</v>
      </c>
    </row>
    <row r="4888">
      <c r="A4888" s="11" t="s">
        <v>4919</v>
      </c>
    </row>
    <row r="4889">
      <c r="A4889" s="11" t="s">
        <v>4920</v>
      </c>
    </row>
    <row r="4890">
      <c r="A4890" s="11" t="s">
        <v>4921</v>
      </c>
    </row>
    <row r="4891">
      <c r="A4891" s="11" t="s">
        <v>4922</v>
      </c>
    </row>
    <row r="4892">
      <c r="A4892" s="11" t="s">
        <v>4923</v>
      </c>
    </row>
    <row r="4893">
      <c r="A4893" s="11" t="s">
        <v>4924</v>
      </c>
    </row>
    <row r="4894">
      <c r="A4894" s="11" t="s">
        <v>4925</v>
      </c>
    </row>
    <row r="4895">
      <c r="A4895" s="11" t="s">
        <v>4926</v>
      </c>
    </row>
    <row r="4896">
      <c r="A4896" s="11" t="s">
        <v>4927</v>
      </c>
    </row>
    <row r="4897">
      <c r="A4897" s="11" t="s">
        <v>4928</v>
      </c>
    </row>
    <row r="4898">
      <c r="A4898" s="11" t="s">
        <v>4929</v>
      </c>
    </row>
    <row r="4899">
      <c r="A4899" s="11" t="s">
        <v>4930</v>
      </c>
    </row>
    <row r="4900">
      <c r="A4900" s="11" t="s">
        <v>4931</v>
      </c>
    </row>
    <row r="4901">
      <c r="A4901" s="11" t="s">
        <v>4932</v>
      </c>
    </row>
    <row r="4902">
      <c r="A4902" s="11" t="s">
        <v>4933</v>
      </c>
    </row>
    <row r="4903">
      <c r="A4903" s="11" t="s">
        <v>4934</v>
      </c>
    </row>
    <row r="4904">
      <c r="A4904" s="11" t="s">
        <v>4935</v>
      </c>
    </row>
    <row r="4905">
      <c r="A4905" s="11" t="s">
        <v>4936</v>
      </c>
    </row>
    <row r="4906">
      <c r="A4906" s="11" t="s">
        <v>4937</v>
      </c>
    </row>
    <row r="4907">
      <c r="A4907" s="11" t="s">
        <v>4938</v>
      </c>
    </row>
    <row r="4908">
      <c r="A4908" s="11" t="s">
        <v>4939</v>
      </c>
    </row>
    <row r="4909">
      <c r="A4909" s="11" t="s">
        <v>4940</v>
      </c>
    </row>
    <row r="4910">
      <c r="A4910" s="11" t="s">
        <v>4941</v>
      </c>
    </row>
    <row r="4911">
      <c r="A4911" s="11" t="s">
        <v>4942</v>
      </c>
    </row>
    <row r="4912">
      <c r="A4912" s="11" t="s">
        <v>4943</v>
      </c>
    </row>
    <row r="4913">
      <c r="A4913" s="11" t="s">
        <v>4944</v>
      </c>
    </row>
    <row r="4914">
      <c r="A4914" s="11" t="s">
        <v>4945</v>
      </c>
    </row>
    <row r="4915">
      <c r="A4915" s="11" t="s">
        <v>4946</v>
      </c>
    </row>
    <row r="4916">
      <c r="A4916" s="11" t="s">
        <v>4947</v>
      </c>
    </row>
    <row r="4917">
      <c r="A4917" s="11" t="s">
        <v>4948</v>
      </c>
    </row>
    <row r="4918">
      <c r="A4918" s="11" t="s">
        <v>4949</v>
      </c>
    </row>
    <row r="4919">
      <c r="A4919" s="11" t="s">
        <v>4950</v>
      </c>
    </row>
    <row r="4920">
      <c r="A4920" s="11" t="s">
        <v>4951</v>
      </c>
    </row>
    <row r="4921">
      <c r="A4921" s="11" t="s">
        <v>4952</v>
      </c>
    </row>
    <row r="4922">
      <c r="A4922" s="11" t="s">
        <v>4953</v>
      </c>
    </row>
    <row r="4923">
      <c r="A4923" s="11" t="s">
        <v>4954</v>
      </c>
    </row>
    <row r="4924">
      <c r="A4924" s="11" t="s">
        <v>4955</v>
      </c>
    </row>
    <row r="4925">
      <c r="A4925" s="11" t="s">
        <v>4956</v>
      </c>
    </row>
    <row r="4926">
      <c r="A4926" s="11" t="s">
        <v>4957</v>
      </c>
    </row>
    <row r="4927">
      <c r="A4927" s="11" t="s">
        <v>4958</v>
      </c>
    </row>
    <row r="4928">
      <c r="A4928" s="11" t="s">
        <v>4959</v>
      </c>
    </row>
    <row r="4929">
      <c r="A4929" s="11" t="s">
        <v>4960</v>
      </c>
    </row>
    <row r="4930">
      <c r="A4930" s="11" t="s">
        <v>4961</v>
      </c>
    </row>
    <row r="4931">
      <c r="A4931" s="11" t="s">
        <v>4962</v>
      </c>
    </row>
    <row r="4932">
      <c r="A4932" s="11" t="s">
        <v>4963</v>
      </c>
    </row>
    <row r="4933">
      <c r="A4933" s="11" t="s">
        <v>4964</v>
      </c>
    </row>
    <row r="4934">
      <c r="A4934" s="11" t="s">
        <v>4965</v>
      </c>
    </row>
    <row r="4935">
      <c r="A4935" s="11" t="s">
        <v>4966</v>
      </c>
    </row>
    <row r="4936">
      <c r="A4936" s="11" t="s">
        <v>4967</v>
      </c>
    </row>
    <row r="4937">
      <c r="A4937" s="11" t="s">
        <v>4968</v>
      </c>
    </row>
    <row r="4938">
      <c r="A4938" s="11" t="s">
        <v>4969</v>
      </c>
    </row>
    <row r="4939">
      <c r="A4939" s="11" t="s">
        <v>4970</v>
      </c>
    </row>
    <row r="4940">
      <c r="A4940" s="11" t="s">
        <v>4971</v>
      </c>
    </row>
    <row r="4941">
      <c r="A4941" s="11" t="s">
        <v>4972</v>
      </c>
    </row>
    <row r="4942">
      <c r="A4942" s="11" t="s">
        <v>4973</v>
      </c>
    </row>
    <row r="4943">
      <c r="A4943" s="11" t="s">
        <v>4974</v>
      </c>
    </row>
    <row r="4944">
      <c r="A4944" s="11" t="s">
        <v>4975</v>
      </c>
    </row>
    <row r="4945">
      <c r="A4945" s="11" t="s">
        <v>4976</v>
      </c>
    </row>
    <row r="4946">
      <c r="A4946" s="11" t="s">
        <v>4977</v>
      </c>
    </row>
    <row r="4947">
      <c r="A4947" s="11" t="s">
        <v>4978</v>
      </c>
    </row>
    <row r="4948">
      <c r="A4948" s="11" t="s">
        <v>4979</v>
      </c>
    </row>
    <row r="4949">
      <c r="A4949" s="11" t="s">
        <v>4980</v>
      </c>
    </row>
    <row r="4950">
      <c r="A4950" s="11" t="s">
        <v>4981</v>
      </c>
    </row>
    <row r="4951">
      <c r="A4951" s="11" t="s">
        <v>4982</v>
      </c>
    </row>
    <row r="4952">
      <c r="A4952" s="11" t="s">
        <v>4983</v>
      </c>
    </row>
    <row r="4953">
      <c r="A4953" s="11" t="s">
        <v>4984</v>
      </c>
    </row>
    <row r="4954">
      <c r="A4954" s="11" t="s">
        <v>4985</v>
      </c>
    </row>
    <row r="4955">
      <c r="A4955" s="11" t="s">
        <v>4986</v>
      </c>
    </row>
    <row r="4956">
      <c r="A4956" s="11" t="s">
        <v>4987</v>
      </c>
    </row>
    <row r="4957">
      <c r="A4957" s="11" t="s">
        <v>4988</v>
      </c>
    </row>
    <row r="4958">
      <c r="A4958" s="11" t="s">
        <v>4989</v>
      </c>
    </row>
    <row r="4959">
      <c r="A4959" s="11" t="s">
        <v>4990</v>
      </c>
    </row>
    <row r="4960">
      <c r="A4960" s="11" t="s">
        <v>4991</v>
      </c>
    </row>
    <row r="4961">
      <c r="A4961" s="11" t="s">
        <v>4992</v>
      </c>
    </row>
    <row r="4962">
      <c r="A4962" s="11" t="s">
        <v>4993</v>
      </c>
    </row>
    <row r="4963">
      <c r="A4963" s="11" t="s">
        <v>4994</v>
      </c>
    </row>
    <row r="4964">
      <c r="A4964" s="11" t="s">
        <v>4995</v>
      </c>
    </row>
    <row r="4965">
      <c r="A4965" s="11" t="s">
        <v>4996</v>
      </c>
    </row>
    <row r="4966">
      <c r="A4966" s="11" t="s">
        <v>4997</v>
      </c>
    </row>
    <row r="4967">
      <c r="A4967" s="11" t="s">
        <v>4998</v>
      </c>
    </row>
    <row r="4968">
      <c r="A4968" s="11" t="s">
        <v>4999</v>
      </c>
    </row>
    <row r="4969">
      <c r="A4969" s="11" t="s">
        <v>5000</v>
      </c>
    </row>
    <row r="4970">
      <c r="A4970" s="11" t="s">
        <v>5001</v>
      </c>
    </row>
    <row r="4971">
      <c r="A4971" s="11" t="s">
        <v>5002</v>
      </c>
    </row>
    <row r="4972">
      <c r="A4972" s="11" t="s">
        <v>5003</v>
      </c>
    </row>
    <row r="4973">
      <c r="A4973" s="11" t="s">
        <v>5004</v>
      </c>
    </row>
    <row r="4974">
      <c r="A4974" s="11" t="s">
        <v>5005</v>
      </c>
    </row>
    <row r="4975">
      <c r="A4975" s="11" t="s">
        <v>5006</v>
      </c>
    </row>
    <row r="4976">
      <c r="A4976" s="11" t="s">
        <v>5007</v>
      </c>
    </row>
    <row r="4977">
      <c r="A4977" s="11" t="s">
        <v>5008</v>
      </c>
    </row>
    <row r="4978">
      <c r="A4978" s="11" t="s">
        <v>5009</v>
      </c>
    </row>
    <row r="4979">
      <c r="A4979" s="11" t="s">
        <v>5010</v>
      </c>
    </row>
    <row r="4980">
      <c r="A4980" s="11" t="s">
        <v>5011</v>
      </c>
    </row>
    <row r="4981">
      <c r="A4981" s="11" t="s">
        <v>5012</v>
      </c>
    </row>
    <row r="4982">
      <c r="A4982" s="11" t="s">
        <v>5013</v>
      </c>
    </row>
    <row r="4983">
      <c r="A4983" s="11" t="s">
        <v>5014</v>
      </c>
    </row>
    <row r="4984">
      <c r="A4984" s="11" t="s">
        <v>5015</v>
      </c>
    </row>
    <row r="4985">
      <c r="A4985" s="11" t="s">
        <v>5016</v>
      </c>
    </row>
    <row r="4986">
      <c r="A4986" s="11" t="s">
        <v>5017</v>
      </c>
    </row>
    <row r="4987">
      <c r="A4987" s="11" t="s">
        <v>5018</v>
      </c>
    </row>
    <row r="4988">
      <c r="A4988" s="11" t="s">
        <v>5019</v>
      </c>
    </row>
    <row r="4989">
      <c r="A4989" s="11" t="s">
        <v>5020</v>
      </c>
    </row>
    <row r="4990">
      <c r="A4990" s="11" t="s">
        <v>5021</v>
      </c>
    </row>
    <row r="4991">
      <c r="A4991" s="11" t="s">
        <v>5022</v>
      </c>
    </row>
    <row r="4992">
      <c r="A4992" s="11" t="s">
        <v>5023</v>
      </c>
    </row>
    <row r="4993">
      <c r="A4993" s="11" t="s">
        <v>5024</v>
      </c>
    </row>
    <row r="4994">
      <c r="A4994" s="11" t="s">
        <v>5025</v>
      </c>
    </row>
    <row r="4995">
      <c r="A4995" s="11" t="s">
        <v>5026</v>
      </c>
    </row>
    <row r="4996">
      <c r="A4996" s="11" t="s">
        <v>5027</v>
      </c>
    </row>
    <row r="4997">
      <c r="A4997" s="11" t="s">
        <v>5028</v>
      </c>
    </row>
    <row r="4998">
      <c r="A4998" s="11" t="s">
        <v>5029</v>
      </c>
    </row>
    <row r="4999">
      <c r="A4999" s="11" t="s">
        <v>5030</v>
      </c>
    </row>
    <row r="5000">
      <c r="A5000" s="11" t="s">
        <v>5031</v>
      </c>
    </row>
    <row r="5001">
      <c r="A5001" s="11" t="s">
        <v>5032</v>
      </c>
    </row>
    <row r="5002">
      <c r="A5002" s="11" t="s">
        <v>5033</v>
      </c>
    </row>
    <row r="5003">
      <c r="A5003" s="11" t="s">
        <v>5034</v>
      </c>
    </row>
    <row r="5004">
      <c r="A5004" s="11" t="s">
        <v>5035</v>
      </c>
    </row>
    <row r="5005">
      <c r="A5005" s="11" t="s">
        <v>5036</v>
      </c>
    </row>
    <row r="5006">
      <c r="A5006" s="11" t="s">
        <v>5037</v>
      </c>
    </row>
    <row r="5007">
      <c r="A5007" s="11" t="s">
        <v>5038</v>
      </c>
    </row>
    <row r="5008">
      <c r="A5008" s="11" t="s">
        <v>5039</v>
      </c>
    </row>
    <row r="5009">
      <c r="A5009" s="11" t="s">
        <v>5040</v>
      </c>
    </row>
    <row r="5010">
      <c r="A5010" s="11" t="s">
        <v>5041</v>
      </c>
    </row>
    <row r="5011">
      <c r="A5011" s="11" t="s">
        <v>5042</v>
      </c>
    </row>
    <row r="5012">
      <c r="A5012" s="11" t="s">
        <v>5043</v>
      </c>
    </row>
    <row r="5013">
      <c r="A5013" s="11" t="s">
        <v>5044</v>
      </c>
    </row>
    <row r="5014">
      <c r="A5014" s="11" t="s">
        <v>5045</v>
      </c>
    </row>
    <row r="5015">
      <c r="A5015" s="11" t="s">
        <v>5046</v>
      </c>
    </row>
    <row r="5016">
      <c r="A5016" s="11" t="s">
        <v>5047</v>
      </c>
    </row>
    <row r="5017">
      <c r="A5017" s="11" t="s">
        <v>5048</v>
      </c>
    </row>
    <row r="5018">
      <c r="A5018" s="11" t="s">
        <v>5049</v>
      </c>
    </row>
    <row r="5019">
      <c r="A5019" s="11" t="s">
        <v>5050</v>
      </c>
    </row>
    <row r="5020">
      <c r="A5020" s="11" t="s">
        <v>5051</v>
      </c>
    </row>
    <row r="5021">
      <c r="A5021" s="11" t="s">
        <v>5052</v>
      </c>
    </row>
    <row r="5022">
      <c r="A5022" s="11" t="s">
        <v>5053</v>
      </c>
    </row>
    <row r="5023">
      <c r="A5023" s="11" t="s">
        <v>5054</v>
      </c>
    </row>
    <row r="5024">
      <c r="A5024" s="11" t="s">
        <v>5055</v>
      </c>
    </row>
    <row r="5025">
      <c r="A5025" s="11" t="s">
        <v>5056</v>
      </c>
    </row>
    <row r="5026">
      <c r="A5026" s="11" t="s">
        <v>5057</v>
      </c>
    </row>
    <row r="5027">
      <c r="A5027" s="11" t="s">
        <v>5058</v>
      </c>
    </row>
    <row r="5028">
      <c r="A5028" s="11" t="s">
        <v>5059</v>
      </c>
    </row>
    <row r="5029">
      <c r="A5029" s="11" t="s">
        <v>5060</v>
      </c>
    </row>
    <row r="5030">
      <c r="A5030" s="11" t="s">
        <v>5061</v>
      </c>
    </row>
    <row r="5031">
      <c r="A5031" s="11" t="s">
        <v>5062</v>
      </c>
    </row>
    <row r="5032">
      <c r="A5032" s="11" t="s">
        <v>5063</v>
      </c>
    </row>
    <row r="5033">
      <c r="A5033" s="11" t="s">
        <v>5064</v>
      </c>
    </row>
    <row r="5034">
      <c r="A5034" s="11" t="s">
        <v>5065</v>
      </c>
    </row>
    <row r="5035">
      <c r="A5035" s="11" t="s">
        <v>5066</v>
      </c>
    </row>
    <row r="5036">
      <c r="A5036" s="11" t="s">
        <v>5067</v>
      </c>
    </row>
    <row r="5037">
      <c r="A5037" s="11" t="s">
        <v>5068</v>
      </c>
    </row>
    <row r="5038">
      <c r="A5038" s="11" t="s">
        <v>5069</v>
      </c>
    </row>
    <row r="5039">
      <c r="A5039" s="11" t="s">
        <v>5070</v>
      </c>
    </row>
    <row r="5040">
      <c r="A5040" s="11" t="s">
        <v>5071</v>
      </c>
    </row>
    <row r="5041">
      <c r="A5041" s="11" t="s">
        <v>5072</v>
      </c>
    </row>
    <row r="5042">
      <c r="A5042" s="11" t="s">
        <v>5073</v>
      </c>
    </row>
    <row r="5043">
      <c r="A5043" s="11" t="s">
        <v>5074</v>
      </c>
    </row>
    <row r="5044">
      <c r="A5044" s="11" t="s">
        <v>5075</v>
      </c>
    </row>
    <row r="5045">
      <c r="A5045" s="11" t="s">
        <v>5076</v>
      </c>
    </row>
    <row r="5046">
      <c r="A5046" s="11" t="s">
        <v>5077</v>
      </c>
    </row>
    <row r="5047">
      <c r="A5047" s="11" t="s">
        <v>5078</v>
      </c>
    </row>
    <row r="5048">
      <c r="A5048" s="11" t="s">
        <v>5079</v>
      </c>
    </row>
    <row r="5049">
      <c r="A5049" s="11" t="s">
        <v>5080</v>
      </c>
    </row>
    <row r="5050">
      <c r="A5050" s="11" t="s">
        <v>5081</v>
      </c>
    </row>
    <row r="5051">
      <c r="A5051" s="11" t="s">
        <v>5082</v>
      </c>
    </row>
    <row r="5052">
      <c r="A5052" s="11" t="s">
        <v>5083</v>
      </c>
    </row>
    <row r="5053">
      <c r="A5053" s="11" t="s">
        <v>5084</v>
      </c>
    </row>
    <row r="5054">
      <c r="A5054" s="11" t="s">
        <v>5085</v>
      </c>
    </row>
    <row r="5055">
      <c r="A5055" s="11" t="s">
        <v>5086</v>
      </c>
    </row>
    <row r="5056">
      <c r="A5056" s="11" t="s">
        <v>5087</v>
      </c>
    </row>
    <row r="5057">
      <c r="A5057" s="11" t="s">
        <v>5088</v>
      </c>
    </row>
    <row r="5058">
      <c r="A5058" s="11" t="s">
        <v>5089</v>
      </c>
    </row>
    <row r="5059">
      <c r="A5059" s="11" t="s">
        <v>5090</v>
      </c>
    </row>
    <row r="5060">
      <c r="A5060" s="11" t="s">
        <v>5091</v>
      </c>
    </row>
    <row r="5061">
      <c r="A5061" s="11" t="s">
        <v>5092</v>
      </c>
    </row>
    <row r="5062">
      <c r="A5062" s="11" t="s">
        <v>5093</v>
      </c>
    </row>
    <row r="5063">
      <c r="A5063" s="11" t="s">
        <v>5094</v>
      </c>
    </row>
    <row r="5064">
      <c r="A5064" s="11" t="s">
        <v>5095</v>
      </c>
    </row>
    <row r="5065">
      <c r="A5065" s="11" t="s">
        <v>5096</v>
      </c>
    </row>
    <row r="5066">
      <c r="A5066" s="11" t="s">
        <v>5097</v>
      </c>
    </row>
    <row r="5067">
      <c r="A5067" s="11" t="s">
        <v>5098</v>
      </c>
    </row>
    <row r="5068">
      <c r="A5068" s="11" t="s">
        <v>5099</v>
      </c>
    </row>
    <row r="5069">
      <c r="A5069" s="11" t="s">
        <v>5100</v>
      </c>
    </row>
    <row r="5070">
      <c r="A5070" s="11" t="s">
        <v>5101</v>
      </c>
    </row>
    <row r="5071">
      <c r="A5071" s="11" t="s">
        <v>5102</v>
      </c>
    </row>
    <row r="5072">
      <c r="A5072" s="11" t="s">
        <v>5103</v>
      </c>
    </row>
    <row r="5073">
      <c r="A5073" s="11" t="s">
        <v>5104</v>
      </c>
    </row>
    <row r="5074">
      <c r="A5074" s="11" t="s">
        <v>5105</v>
      </c>
    </row>
    <row r="5075">
      <c r="A5075" s="11" t="s">
        <v>5106</v>
      </c>
    </row>
    <row r="5076">
      <c r="A5076" s="11" t="s">
        <v>5107</v>
      </c>
    </row>
    <row r="5077">
      <c r="A5077" s="11" t="s">
        <v>5108</v>
      </c>
    </row>
    <row r="5078">
      <c r="A5078" s="11" t="s">
        <v>5109</v>
      </c>
    </row>
    <row r="5079">
      <c r="A5079" s="11" t="s">
        <v>5110</v>
      </c>
    </row>
    <row r="5080">
      <c r="A5080" s="11" t="s">
        <v>5111</v>
      </c>
    </row>
    <row r="5081">
      <c r="A5081" s="11" t="s">
        <v>5112</v>
      </c>
    </row>
    <row r="5082">
      <c r="A5082" s="11" t="s">
        <v>5113</v>
      </c>
    </row>
    <row r="5083">
      <c r="A5083" s="11" t="s">
        <v>5114</v>
      </c>
    </row>
    <row r="5084">
      <c r="A5084" s="11" t="s">
        <v>5115</v>
      </c>
    </row>
    <row r="5085">
      <c r="A5085" s="11" t="s">
        <v>5116</v>
      </c>
    </row>
    <row r="5086">
      <c r="A5086" s="11" t="s">
        <v>5117</v>
      </c>
    </row>
    <row r="5087">
      <c r="A5087" s="11" t="s">
        <v>5118</v>
      </c>
    </row>
    <row r="5088">
      <c r="A5088" s="11" t="s">
        <v>5119</v>
      </c>
    </row>
    <row r="5089">
      <c r="A5089" s="11" t="s">
        <v>5120</v>
      </c>
    </row>
    <row r="5090">
      <c r="A5090" s="11" t="s">
        <v>5121</v>
      </c>
    </row>
    <row r="5091">
      <c r="A5091" s="11" t="s">
        <v>5122</v>
      </c>
    </row>
    <row r="5092">
      <c r="A5092" s="11" t="s">
        <v>5123</v>
      </c>
    </row>
    <row r="5093">
      <c r="A5093" s="11" t="s">
        <v>5124</v>
      </c>
    </row>
    <row r="5094">
      <c r="A5094" s="11" t="s">
        <v>5125</v>
      </c>
    </row>
    <row r="5095">
      <c r="A5095" s="11" t="s">
        <v>5126</v>
      </c>
    </row>
    <row r="5096">
      <c r="A5096" s="11" t="s">
        <v>5127</v>
      </c>
    </row>
    <row r="5097">
      <c r="A5097" s="11" t="s">
        <v>5128</v>
      </c>
    </row>
    <row r="5098">
      <c r="A5098" s="11" t="s">
        <v>5129</v>
      </c>
    </row>
    <row r="5099">
      <c r="A5099" s="11" t="s">
        <v>5130</v>
      </c>
    </row>
    <row r="5100">
      <c r="A5100" s="11" t="s">
        <v>5131</v>
      </c>
    </row>
    <row r="5101">
      <c r="A5101" s="11" t="s">
        <v>5132</v>
      </c>
    </row>
    <row r="5102">
      <c r="A5102" s="11" t="s">
        <v>5133</v>
      </c>
    </row>
    <row r="5103">
      <c r="A5103" s="11" t="s">
        <v>5134</v>
      </c>
    </row>
    <row r="5104">
      <c r="A5104" s="11" t="s">
        <v>5135</v>
      </c>
    </row>
    <row r="5105">
      <c r="A5105" s="11" t="s">
        <v>5136</v>
      </c>
    </row>
    <row r="5106">
      <c r="A5106" s="11" t="s">
        <v>5137</v>
      </c>
    </row>
    <row r="5107">
      <c r="A5107" s="11" t="s">
        <v>5138</v>
      </c>
    </row>
    <row r="5108">
      <c r="A5108" s="11" t="s">
        <v>5139</v>
      </c>
    </row>
    <row r="5109">
      <c r="A5109" s="11" t="s">
        <v>5140</v>
      </c>
    </row>
    <row r="5110">
      <c r="A5110" s="11" t="s">
        <v>5141</v>
      </c>
    </row>
    <row r="5111">
      <c r="A5111" s="11" t="s">
        <v>5142</v>
      </c>
    </row>
    <row r="5112">
      <c r="A5112" s="11" t="s">
        <v>5143</v>
      </c>
    </row>
    <row r="5113">
      <c r="A5113" s="11" t="s">
        <v>5144</v>
      </c>
    </row>
    <row r="5114">
      <c r="A5114" s="11" t="s">
        <v>5145</v>
      </c>
    </row>
    <row r="5115">
      <c r="A5115" s="11" t="s">
        <v>5146</v>
      </c>
    </row>
    <row r="5116">
      <c r="A5116" s="11" t="s">
        <v>5147</v>
      </c>
    </row>
    <row r="5117">
      <c r="A5117" s="11" t="s">
        <v>5148</v>
      </c>
    </row>
    <row r="5118">
      <c r="A5118" s="11" t="s">
        <v>5149</v>
      </c>
    </row>
    <row r="5119">
      <c r="A5119" s="11" t="s">
        <v>5150</v>
      </c>
    </row>
    <row r="5120">
      <c r="A5120" s="11" t="s">
        <v>5151</v>
      </c>
    </row>
    <row r="5121">
      <c r="A5121" s="11" t="s">
        <v>5152</v>
      </c>
    </row>
    <row r="5122">
      <c r="A5122" s="11" t="s">
        <v>5153</v>
      </c>
    </row>
    <row r="5123">
      <c r="A5123" s="11" t="s">
        <v>5154</v>
      </c>
    </row>
    <row r="5124">
      <c r="A5124" s="11" t="s">
        <v>5155</v>
      </c>
    </row>
    <row r="5125">
      <c r="A5125" s="11" t="s">
        <v>5156</v>
      </c>
    </row>
    <row r="5126">
      <c r="A5126" s="11" t="s">
        <v>5157</v>
      </c>
    </row>
    <row r="5127">
      <c r="A5127" s="11" t="s">
        <v>5158</v>
      </c>
    </row>
    <row r="5128">
      <c r="A5128" s="11" t="s">
        <v>5159</v>
      </c>
    </row>
    <row r="5129">
      <c r="A5129" s="11" t="s">
        <v>5160</v>
      </c>
    </row>
    <row r="5130">
      <c r="A5130" s="11" t="s">
        <v>5161</v>
      </c>
    </row>
    <row r="5131">
      <c r="A5131" s="11" t="s">
        <v>5162</v>
      </c>
    </row>
    <row r="5132">
      <c r="A5132" s="11" t="s">
        <v>5163</v>
      </c>
    </row>
    <row r="5133">
      <c r="A5133" s="11" t="s">
        <v>5164</v>
      </c>
    </row>
    <row r="5134">
      <c r="A5134" s="11" t="s">
        <v>5165</v>
      </c>
    </row>
    <row r="5135">
      <c r="A5135" s="11" t="s">
        <v>5166</v>
      </c>
    </row>
    <row r="5136">
      <c r="A5136" s="11" t="s">
        <v>5167</v>
      </c>
    </row>
    <row r="5137">
      <c r="A5137" s="11" t="s">
        <v>5168</v>
      </c>
    </row>
    <row r="5138">
      <c r="A5138" s="11" t="s">
        <v>5169</v>
      </c>
    </row>
    <row r="5139">
      <c r="A5139" s="11" t="s">
        <v>5170</v>
      </c>
    </row>
    <row r="5140">
      <c r="A5140" s="11" t="s">
        <v>5171</v>
      </c>
    </row>
    <row r="5141">
      <c r="A5141" s="11" t="s">
        <v>5172</v>
      </c>
    </row>
    <row r="5142">
      <c r="A5142" s="11" t="s">
        <v>5173</v>
      </c>
    </row>
    <row r="5143">
      <c r="A5143" s="11" t="s">
        <v>5174</v>
      </c>
    </row>
    <row r="5144">
      <c r="A5144" s="11" t="s">
        <v>5175</v>
      </c>
    </row>
    <row r="5145">
      <c r="A5145" s="11" t="s">
        <v>5176</v>
      </c>
    </row>
    <row r="5146">
      <c r="A5146" s="11" t="s">
        <v>5177</v>
      </c>
    </row>
    <row r="5147">
      <c r="A5147" s="11" t="s">
        <v>5178</v>
      </c>
    </row>
    <row r="5148">
      <c r="A5148" s="11" t="s">
        <v>5179</v>
      </c>
    </row>
    <row r="5149">
      <c r="A5149" s="11" t="s">
        <v>5180</v>
      </c>
    </row>
    <row r="5150">
      <c r="A5150" s="11" t="s">
        <v>5181</v>
      </c>
    </row>
    <row r="5151">
      <c r="A5151" s="11" t="s">
        <v>5182</v>
      </c>
    </row>
    <row r="5152">
      <c r="A5152" s="11" t="s">
        <v>5183</v>
      </c>
    </row>
    <row r="5153">
      <c r="A5153" s="11" t="s">
        <v>5184</v>
      </c>
    </row>
    <row r="5154">
      <c r="A5154" s="11" t="s">
        <v>5185</v>
      </c>
    </row>
    <row r="5155">
      <c r="A5155" s="11" t="s">
        <v>5186</v>
      </c>
    </row>
    <row r="5156">
      <c r="A5156" s="11" t="s">
        <v>5187</v>
      </c>
    </row>
    <row r="5157">
      <c r="A5157" s="11" t="s">
        <v>5188</v>
      </c>
    </row>
    <row r="5158">
      <c r="A5158" s="11" t="s">
        <v>5189</v>
      </c>
    </row>
    <row r="5159">
      <c r="A5159" s="11" t="s">
        <v>5190</v>
      </c>
    </row>
    <row r="5160">
      <c r="A5160" s="11" t="s">
        <v>5191</v>
      </c>
    </row>
    <row r="5161">
      <c r="A5161" s="11" t="s">
        <v>5192</v>
      </c>
    </row>
    <row r="5162">
      <c r="A5162" s="11" t="s">
        <v>5193</v>
      </c>
    </row>
    <row r="5163">
      <c r="A5163" s="11" t="s">
        <v>5194</v>
      </c>
    </row>
    <row r="5164">
      <c r="A5164" s="11" t="s">
        <v>5195</v>
      </c>
    </row>
    <row r="5165">
      <c r="A5165" s="11" t="s">
        <v>5196</v>
      </c>
    </row>
    <row r="5166">
      <c r="A5166" s="11" t="s">
        <v>5197</v>
      </c>
    </row>
    <row r="5167">
      <c r="A5167" s="11" t="s">
        <v>5198</v>
      </c>
    </row>
    <row r="5168">
      <c r="A5168" s="11" t="s">
        <v>5199</v>
      </c>
    </row>
    <row r="5169">
      <c r="A5169" s="11" t="s">
        <v>5200</v>
      </c>
    </row>
    <row r="5170">
      <c r="A5170" s="11" t="s">
        <v>5201</v>
      </c>
    </row>
    <row r="5171">
      <c r="A5171" s="11" t="s">
        <v>5202</v>
      </c>
    </row>
    <row r="5172">
      <c r="A5172" s="11" t="s">
        <v>5203</v>
      </c>
    </row>
    <row r="5173">
      <c r="A5173" s="11" t="s">
        <v>5204</v>
      </c>
    </row>
    <row r="5174">
      <c r="A5174" s="11" t="s">
        <v>5205</v>
      </c>
    </row>
    <row r="5175">
      <c r="A5175" s="11" t="s">
        <v>5206</v>
      </c>
    </row>
    <row r="5176">
      <c r="A5176" s="11" t="s">
        <v>5207</v>
      </c>
    </row>
    <row r="5177">
      <c r="A5177" s="11" t="s">
        <v>5208</v>
      </c>
    </row>
    <row r="5178">
      <c r="A5178" s="11" t="s">
        <v>5209</v>
      </c>
    </row>
    <row r="5179">
      <c r="A5179" s="11" t="s">
        <v>5210</v>
      </c>
    </row>
    <row r="5180">
      <c r="A5180" s="11" t="s">
        <v>5211</v>
      </c>
    </row>
    <row r="5181">
      <c r="A5181" s="11" t="s">
        <v>5212</v>
      </c>
    </row>
    <row r="5182">
      <c r="A5182" s="11" t="s">
        <v>5213</v>
      </c>
    </row>
    <row r="5183">
      <c r="A5183" s="11" t="s">
        <v>5214</v>
      </c>
    </row>
    <row r="5184">
      <c r="A5184" s="11" t="s">
        <v>5215</v>
      </c>
    </row>
    <row r="5185">
      <c r="A5185" s="11" t="s">
        <v>5216</v>
      </c>
    </row>
    <row r="5186">
      <c r="A5186" s="11" t="s">
        <v>5217</v>
      </c>
    </row>
    <row r="5187">
      <c r="A5187" s="11" t="s">
        <v>5218</v>
      </c>
    </row>
    <row r="5188">
      <c r="A5188" s="11" t="s">
        <v>5219</v>
      </c>
    </row>
    <row r="5189">
      <c r="A5189" s="11" t="s">
        <v>5220</v>
      </c>
    </row>
    <row r="5190">
      <c r="A5190" s="11" t="s">
        <v>5221</v>
      </c>
    </row>
    <row r="5191">
      <c r="A5191" s="11" t="s">
        <v>5222</v>
      </c>
    </row>
    <row r="5192">
      <c r="A5192" s="11" t="s">
        <v>5223</v>
      </c>
    </row>
    <row r="5193">
      <c r="A5193" s="11" t="s">
        <v>5224</v>
      </c>
    </row>
    <row r="5194">
      <c r="A5194" s="11" t="s">
        <v>5225</v>
      </c>
    </row>
    <row r="5195">
      <c r="A5195" s="11" t="s">
        <v>5226</v>
      </c>
    </row>
    <row r="5196">
      <c r="A5196" s="11" t="s">
        <v>5227</v>
      </c>
    </row>
    <row r="5197">
      <c r="A5197" s="11" t="s">
        <v>5228</v>
      </c>
    </row>
    <row r="5198">
      <c r="A5198" s="11" t="s">
        <v>5229</v>
      </c>
    </row>
    <row r="5199">
      <c r="A5199" s="11" t="s">
        <v>5230</v>
      </c>
    </row>
    <row r="5200">
      <c r="A5200" s="11" t="s">
        <v>5231</v>
      </c>
    </row>
    <row r="5201">
      <c r="A5201" s="11" t="s">
        <v>5232</v>
      </c>
    </row>
    <row r="5202">
      <c r="A5202" s="11" t="s">
        <v>5233</v>
      </c>
    </row>
    <row r="5203">
      <c r="A5203" s="11" t="s">
        <v>5234</v>
      </c>
    </row>
    <row r="5204">
      <c r="A5204" s="11" t="s">
        <v>5235</v>
      </c>
    </row>
    <row r="5205">
      <c r="A5205" s="11" t="s">
        <v>5236</v>
      </c>
    </row>
    <row r="5206">
      <c r="A5206" s="11" t="s">
        <v>5237</v>
      </c>
    </row>
    <row r="5207">
      <c r="A5207" s="11" t="s">
        <v>5238</v>
      </c>
    </row>
    <row r="5208">
      <c r="A5208" s="11" t="s">
        <v>5239</v>
      </c>
    </row>
    <row r="5209">
      <c r="A5209" s="11" t="s">
        <v>5240</v>
      </c>
    </row>
    <row r="5210">
      <c r="A5210" s="11" t="s">
        <v>5241</v>
      </c>
    </row>
    <row r="5211">
      <c r="A5211" s="11" t="s">
        <v>5242</v>
      </c>
    </row>
    <row r="5212">
      <c r="A5212" s="11" t="s">
        <v>5243</v>
      </c>
    </row>
    <row r="5213">
      <c r="A5213" s="11" t="s">
        <v>5244</v>
      </c>
    </row>
    <row r="5214">
      <c r="A5214" s="11" t="s">
        <v>5245</v>
      </c>
    </row>
    <row r="5215">
      <c r="A5215" s="11" t="s">
        <v>5246</v>
      </c>
    </row>
    <row r="5216">
      <c r="A5216" s="11" t="s">
        <v>5247</v>
      </c>
    </row>
    <row r="5217">
      <c r="A5217" s="11" t="s">
        <v>5248</v>
      </c>
    </row>
    <row r="5218">
      <c r="A5218" s="11" t="s">
        <v>5249</v>
      </c>
    </row>
    <row r="5219">
      <c r="A5219" s="11" t="s">
        <v>5250</v>
      </c>
    </row>
    <row r="5220">
      <c r="A5220" s="11" t="s">
        <v>5251</v>
      </c>
    </row>
    <row r="5221">
      <c r="A5221" s="11" t="s">
        <v>5252</v>
      </c>
    </row>
    <row r="5222">
      <c r="A5222" s="11" t="s">
        <v>5253</v>
      </c>
    </row>
    <row r="5223">
      <c r="A5223" s="11" t="s">
        <v>5254</v>
      </c>
    </row>
    <row r="5224">
      <c r="A5224" s="11" t="s">
        <v>5255</v>
      </c>
    </row>
    <row r="5225">
      <c r="A5225" s="11" t="s">
        <v>5256</v>
      </c>
    </row>
    <row r="5226">
      <c r="A5226" s="11" t="s">
        <v>5257</v>
      </c>
    </row>
    <row r="5227">
      <c r="A5227" s="11" t="s">
        <v>5258</v>
      </c>
    </row>
    <row r="5228">
      <c r="A5228" s="11" t="s">
        <v>5259</v>
      </c>
    </row>
    <row r="5229">
      <c r="A5229" s="11" t="s">
        <v>5260</v>
      </c>
    </row>
    <row r="5230">
      <c r="A5230" s="11" t="s">
        <v>5261</v>
      </c>
    </row>
    <row r="5231">
      <c r="A5231" s="11" t="s">
        <v>5262</v>
      </c>
    </row>
    <row r="5232">
      <c r="A5232" s="11" t="s">
        <v>5263</v>
      </c>
    </row>
    <row r="5233">
      <c r="A5233" s="11" t="s">
        <v>5264</v>
      </c>
    </row>
    <row r="5234">
      <c r="A5234" s="11" t="s">
        <v>5265</v>
      </c>
    </row>
    <row r="5235">
      <c r="A5235" s="11" t="s">
        <v>5266</v>
      </c>
    </row>
    <row r="5236">
      <c r="A5236" s="11" t="s">
        <v>5267</v>
      </c>
    </row>
    <row r="5237">
      <c r="A5237" s="11" t="s">
        <v>5268</v>
      </c>
    </row>
    <row r="5238">
      <c r="A5238" s="11" t="s">
        <v>5269</v>
      </c>
    </row>
    <row r="5239">
      <c r="A5239" s="11" t="s">
        <v>5270</v>
      </c>
    </row>
    <row r="5240">
      <c r="A5240" s="11" t="s">
        <v>5271</v>
      </c>
    </row>
    <row r="5241">
      <c r="A5241" s="11" t="s">
        <v>5272</v>
      </c>
    </row>
    <row r="5242">
      <c r="A5242" s="11" t="s">
        <v>5273</v>
      </c>
    </row>
    <row r="5243">
      <c r="A5243" s="11" t="s">
        <v>5274</v>
      </c>
    </row>
    <row r="5244">
      <c r="A5244" s="11" t="s">
        <v>5275</v>
      </c>
    </row>
    <row r="5245">
      <c r="A5245" s="11" t="s">
        <v>5276</v>
      </c>
    </row>
    <row r="5246">
      <c r="A5246" s="11" t="s">
        <v>5277</v>
      </c>
    </row>
    <row r="5247">
      <c r="A5247" s="11" t="s">
        <v>5278</v>
      </c>
    </row>
    <row r="5248">
      <c r="A5248" s="11" t="s">
        <v>5279</v>
      </c>
    </row>
    <row r="5249">
      <c r="A5249" s="11" t="s">
        <v>5280</v>
      </c>
    </row>
    <row r="5250">
      <c r="A5250" s="11" t="s">
        <v>5281</v>
      </c>
    </row>
    <row r="5251">
      <c r="A5251" s="11" t="s">
        <v>5282</v>
      </c>
    </row>
    <row r="5252">
      <c r="A5252" s="11" t="s">
        <v>5283</v>
      </c>
    </row>
    <row r="5253">
      <c r="A5253" s="11" t="s">
        <v>5284</v>
      </c>
    </row>
    <row r="5254">
      <c r="A5254" s="11" t="s">
        <v>5285</v>
      </c>
    </row>
    <row r="5255">
      <c r="A5255" s="11" t="s">
        <v>5286</v>
      </c>
    </row>
    <row r="5256">
      <c r="A5256" s="11" t="s">
        <v>5287</v>
      </c>
    </row>
    <row r="5257">
      <c r="A5257" s="11" t="s">
        <v>5288</v>
      </c>
    </row>
    <row r="5258">
      <c r="A5258" s="11" t="s">
        <v>5289</v>
      </c>
    </row>
    <row r="5259">
      <c r="A5259" s="11" t="s">
        <v>5290</v>
      </c>
    </row>
    <row r="5260">
      <c r="A5260" s="11" t="s">
        <v>5291</v>
      </c>
    </row>
    <row r="5261">
      <c r="A5261" s="11" t="s">
        <v>5292</v>
      </c>
    </row>
    <row r="5262">
      <c r="A5262" s="11" t="s">
        <v>5293</v>
      </c>
    </row>
    <row r="5263">
      <c r="A5263" s="11" t="s">
        <v>5294</v>
      </c>
    </row>
    <row r="5264">
      <c r="A5264" s="11" t="s">
        <v>5295</v>
      </c>
    </row>
    <row r="5265">
      <c r="A5265" s="11" t="s">
        <v>5296</v>
      </c>
    </row>
    <row r="5266">
      <c r="A5266" s="11" t="s">
        <v>5297</v>
      </c>
    </row>
    <row r="5267">
      <c r="A5267" s="11" t="s">
        <v>5298</v>
      </c>
    </row>
    <row r="5268">
      <c r="A5268" s="11" t="s">
        <v>5299</v>
      </c>
    </row>
    <row r="5269">
      <c r="A5269" s="11" t="s">
        <v>5300</v>
      </c>
    </row>
    <row r="5270">
      <c r="A5270" s="11" t="s">
        <v>5301</v>
      </c>
    </row>
    <row r="5271">
      <c r="A5271" s="11" t="s">
        <v>5302</v>
      </c>
    </row>
    <row r="5272">
      <c r="A5272" s="11" t="s">
        <v>5303</v>
      </c>
    </row>
    <row r="5273">
      <c r="A5273" s="11" t="s">
        <v>5304</v>
      </c>
    </row>
    <row r="5274">
      <c r="A5274" s="11" t="s">
        <v>5305</v>
      </c>
    </row>
    <row r="5275">
      <c r="A5275" s="11" t="s">
        <v>5306</v>
      </c>
    </row>
    <row r="5276">
      <c r="A5276" s="11" t="s">
        <v>5307</v>
      </c>
    </row>
    <row r="5277">
      <c r="A5277" s="11" t="s">
        <v>5308</v>
      </c>
    </row>
    <row r="5278">
      <c r="A5278" s="11" t="s">
        <v>5309</v>
      </c>
    </row>
    <row r="5279">
      <c r="A5279" s="11" t="s">
        <v>5310</v>
      </c>
    </row>
    <row r="5280">
      <c r="A5280" s="11" t="s">
        <v>5311</v>
      </c>
    </row>
    <row r="5281">
      <c r="A5281" s="11" t="s">
        <v>5312</v>
      </c>
    </row>
    <row r="5282">
      <c r="A5282" s="11" t="s">
        <v>5313</v>
      </c>
    </row>
    <row r="5283">
      <c r="A5283" s="11" t="s">
        <v>5314</v>
      </c>
    </row>
    <row r="5284">
      <c r="A5284" s="11" t="s">
        <v>5315</v>
      </c>
    </row>
    <row r="5285">
      <c r="A5285" s="11" t="s">
        <v>5316</v>
      </c>
    </row>
    <row r="5286">
      <c r="A5286" s="11" t="s">
        <v>5317</v>
      </c>
    </row>
    <row r="5287">
      <c r="A5287" s="11" t="s">
        <v>5318</v>
      </c>
    </row>
    <row r="5288">
      <c r="A5288" s="11" t="s">
        <v>5319</v>
      </c>
    </row>
    <row r="5289">
      <c r="A5289" s="11" t="s">
        <v>5320</v>
      </c>
    </row>
    <row r="5290">
      <c r="A5290" s="11" t="s">
        <v>5321</v>
      </c>
    </row>
    <row r="5291">
      <c r="A5291" s="11" t="s">
        <v>5322</v>
      </c>
    </row>
    <row r="5292">
      <c r="A5292" s="11" t="s">
        <v>5323</v>
      </c>
    </row>
    <row r="5293">
      <c r="A5293" s="11" t="s">
        <v>5324</v>
      </c>
    </row>
    <row r="5294">
      <c r="A5294" s="11" t="s">
        <v>5325</v>
      </c>
    </row>
    <row r="5295">
      <c r="A5295" s="11" t="s">
        <v>5326</v>
      </c>
    </row>
    <row r="5296">
      <c r="A5296" s="11" t="s">
        <v>5327</v>
      </c>
    </row>
    <row r="5297">
      <c r="A5297" s="11" t="s">
        <v>5328</v>
      </c>
    </row>
    <row r="5298">
      <c r="A5298" s="11" t="s">
        <v>5329</v>
      </c>
    </row>
    <row r="5299">
      <c r="A5299" s="11" t="s">
        <v>5330</v>
      </c>
    </row>
    <row r="5300">
      <c r="A5300" s="11" t="s">
        <v>5331</v>
      </c>
    </row>
    <row r="5301">
      <c r="A5301" s="11" t="s">
        <v>5332</v>
      </c>
    </row>
    <row r="5302">
      <c r="A5302" s="11" t="s">
        <v>5333</v>
      </c>
    </row>
    <row r="5303">
      <c r="A5303" s="11" t="s">
        <v>5334</v>
      </c>
    </row>
    <row r="5304">
      <c r="A5304" s="11" t="s">
        <v>5335</v>
      </c>
    </row>
    <row r="5305">
      <c r="A5305" s="11" t="s">
        <v>5336</v>
      </c>
    </row>
    <row r="5306">
      <c r="A5306" s="11" t="s">
        <v>5337</v>
      </c>
    </row>
    <row r="5307">
      <c r="A5307" s="11" t="s">
        <v>5338</v>
      </c>
    </row>
    <row r="5308">
      <c r="A5308" s="11" t="s">
        <v>5339</v>
      </c>
    </row>
    <row r="5309">
      <c r="A5309" s="11" t="s">
        <v>5340</v>
      </c>
    </row>
    <row r="5310">
      <c r="A5310" s="11" t="s">
        <v>5341</v>
      </c>
    </row>
    <row r="5311">
      <c r="A5311" s="11" t="s">
        <v>5342</v>
      </c>
    </row>
    <row r="5312">
      <c r="A5312" s="11" t="s">
        <v>5343</v>
      </c>
    </row>
    <row r="5313">
      <c r="A5313" s="11" t="s">
        <v>5344</v>
      </c>
    </row>
    <row r="5314">
      <c r="A5314" s="11" t="s">
        <v>5345</v>
      </c>
    </row>
    <row r="5315">
      <c r="A5315" s="11" t="s">
        <v>5346</v>
      </c>
    </row>
    <row r="5316">
      <c r="A5316" s="11" t="s">
        <v>5347</v>
      </c>
    </row>
    <row r="5317">
      <c r="A5317" s="11" t="s">
        <v>5348</v>
      </c>
    </row>
    <row r="5318">
      <c r="A5318" s="11" t="s">
        <v>5349</v>
      </c>
    </row>
    <row r="5319">
      <c r="A5319" s="11" t="s">
        <v>5350</v>
      </c>
    </row>
    <row r="5320">
      <c r="A5320" s="11" t="s">
        <v>5351</v>
      </c>
    </row>
    <row r="5321">
      <c r="A5321" s="11" t="s">
        <v>5352</v>
      </c>
    </row>
    <row r="5322">
      <c r="A5322" s="11" t="s">
        <v>5353</v>
      </c>
    </row>
    <row r="5323">
      <c r="A5323" s="11" t="s">
        <v>5354</v>
      </c>
    </row>
    <row r="5324">
      <c r="A5324" s="11" t="s">
        <v>5355</v>
      </c>
    </row>
    <row r="5325">
      <c r="A5325" s="11" t="s">
        <v>5356</v>
      </c>
    </row>
    <row r="5326">
      <c r="A5326" s="11" t="s">
        <v>5357</v>
      </c>
    </row>
    <row r="5327">
      <c r="A5327" s="11" t="s">
        <v>5358</v>
      </c>
    </row>
    <row r="5328">
      <c r="A5328" s="11" t="s">
        <v>5359</v>
      </c>
    </row>
    <row r="5329">
      <c r="A5329" s="11" t="s">
        <v>5360</v>
      </c>
    </row>
    <row r="5330">
      <c r="A5330" s="11" t="s">
        <v>5361</v>
      </c>
    </row>
    <row r="5331">
      <c r="A5331" s="11" t="s">
        <v>5362</v>
      </c>
    </row>
    <row r="5332">
      <c r="A5332" s="11" t="s">
        <v>5363</v>
      </c>
    </row>
    <row r="5333">
      <c r="A5333" s="11" t="s">
        <v>5364</v>
      </c>
    </row>
    <row r="5334">
      <c r="A5334" s="11" t="s">
        <v>5365</v>
      </c>
    </row>
    <row r="5335">
      <c r="A5335" s="11" t="s">
        <v>5366</v>
      </c>
    </row>
    <row r="5336">
      <c r="A5336" s="11" t="s">
        <v>5367</v>
      </c>
    </row>
    <row r="5337">
      <c r="A5337" s="11" t="s">
        <v>5368</v>
      </c>
    </row>
    <row r="5338">
      <c r="A5338" s="11" t="s">
        <v>5369</v>
      </c>
    </row>
    <row r="5339">
      <c r="A5339" s="11" t="s">
        <v>5370</v>
      </c>
    </row>
    <row r="5340">
      <c r="A5340" s="11" t="s">
        <v>5371</v>
      </c>
    </row>
    <row r="5341">
      <c r="A5341" s="11" t="s">
        <v>5372</v>
      </c>
    </row>
    <row r="5342">
      <c r="A5342" s="11" t="s">
        <v>5373</v>
      </c>
    </row>
    <row r="5343">
      <c r="A5343" s="11" t="s">
        <v>5374</v>
      </c>
    </row>
    <row r="5344">
      <c r="A5344" s="11" t="s">
        <v>5375</v>
      </c>
    </row>
    <row r="5345">
      <c r="A5345" s="11" t="s">
        <v>5376</v>
      </c>
    </row>
    <row r="5346">
      <c r="A5346" s="11" t="s">
        <v>5377</v>
      </c>
    </row>
    <row r="5347">
      <c r="A5347" s="11" t="s">
        <v>5378</v>
      </c>
    </row>
    <row r="5348">
      <c r="A5348" s="11" t="s">
        <v>5379</v>
      </c>
    </row>
    <row r="5349">
      <c r="A5349" s="11" t="s">
        <v>5380</v>
      </c>
    </row>
    <row r="5350">
      <c r="A5350" s="11" t="s">
        <v>5381</v>
      </c>
    </row>
    <row r="5351">
      <c r="A5351" s="11" t="s">
        <v>5382</v>
      </c>
    </row>
    <row r="5352">
      <c r="A5352" s="11" t="s">
        <v>5383</v>
      </c>
    </row>
    <row r="5353">
      <c r="A5353" s="11" t="s">
        <v>5384</v>
      </c>
    </row>
    <row r="5354">
      <c r="A5354" s="11" t="s">
        <v>5385</v>
      </c>
    </row>
    <row r="5355">
      <c r="A5355" s="11" t="s">
        <v>5386</v>
      </c>
    </row>
    <row r="5356">
      <c r="A5356" s="11" t="s">
        <v>5387</v>
      </c>
    </row>
    <row r="5357">
      <c r="A5357" s="11" t="s">
        <v>5388</v>
      </c>
    </row>
    <row r="5358">
      <c r="A5358" s="11" t="s">
        <v>5389</v>
      </c>
    </row>
    <row r="5359">
      <c r="A5359" s="11" t="s">
        <v>5390</v>
      </c>
    </row>
    <row r="5360">
      <c r="A5360" s="11" t="s">
        <v>5391</v>
      </c>
    </row>
    <row r="5361">
      <c r="A5361" s="11" t="s">
        <v>5392</v>
      </c>
    </row>
    <row r="5362">
      <c r="A5362" s="11" t="s">
        <v>5393</v>
      </c>
    </row>
    <row r="5363">
      <c r="A5363" s="11" t="s">
        <v>5394</v>
      </c>
    </row>
    <row r="5364">
      <c r="A5364" s="11" t="s">
        <v>5395</v>
      </c>
    </row>
    <row r="5365">
      <c r="A5365" s="11" t="s">
        <v>5396</v>
      </c>
    </row>
    <row r="5366">
      <c r="A5366" s="11" t="s">
        <v>5397</v>
      </c>
    </row>
    <row r="5367">
      <c r="A5367" s="11" t="s">
        <v>5398</v>
      </c>
    </row>
    <row r="5368">
      <c r="A5368" s="11" t="s">
        <v>5399</v>
      </c>
    </row>
    <row r="5369">
      <c r="A5369" s="11" t="s">
        <v>5400</v>
      </c>
    </row>
    <row r="5370">
      <c r="A5370" s="11" t="s">
        <v>5401</v>
      </c>
    </row>
    <row r="5371">
      <c r="A5371" s="11" t="s">
        <v>5402</v>
      </c>
    </row>
    <row r="5372">
      <c r="A5372" s="11" t="s">
        <v>5403</v>
      </c>
    </row>
    <row r="5373">
      <c r="A5373" s="11" t="s">
        <v>5404</v>
      </c>
    </row>
    <row r="5374">
      <c r="A5374" s="11" t="s">
        <v>5405</v>
      </c>
    </row>
    <row r="5375">
      <c r="A5375" s="11" t="s">
        <v>5406</v>
      </c>
    </row>
    <row r="5376">
      <c r="A5376" s="11" t="s">
        <v>5407</v>
      </c>
    </row>
    <row r="5377">
      <c r="A5377" s="11" t="s">
        <v>5408</v>
      </c>
    </row>
    <row r="5378">
      <c r="A5378" s="11" t="s">
        <v>5409</v>
      </c>
    </row>
    <row r="5379">
      <c r="A5379" s="11" t="s">
        <v>5410</v>
      </c>
    </row>
    <row r="5380">
      <c r="A5380" s="11" t="s">
        <v>5411</v>
      </c>
    </row>
    <row r="5381">
      <c r="A5381" s="11" t="s">
        <v>5412</v>
      </c>
    </row>
    <row r="5382">
      <c r="A5382" s="11" t="s">
        <v>5413</v>
      </c>
    </row>
    <row r="5383">
      <c r="A5383" s="11" t="s">
        <v>5414</v>
      </c>
    </row>
    <row r="5384">
      <c r="A5384" s="11" t="s">
        <v>5415</v>
      </c>
    </row>
    <row r="5385">
      <c r="A5385" s="11" t="s">
        <v>5416</v>
      </c>
    </row>
    <row r="5386">
      <c r="A5386" s="11" t="s">
        <v>5417</v>
      </c>
    </row>
    <row r="5387">
      <c r="A5387" s="11" t="s">
        <v>5418</v>
      </c>
    </row>
    <row r="5388">
      <c r="A5388" s="11" t="s">
        <v>5419</v>
      </c>
    </row>
    <row r="5389">
      <c r="A5389" s="11" t="s">
        <v>5420</v>
      </c>
    </row>
    <row r="5390">
      <c r="A5390" s="11" t="s">
        <v>5421</v>
      </c>
    </row>
    <row r="5391">
      <c r="A5391" s="11" t="s">
        <v>5422</v>
      </c>
    </row>
    <row r="5392">
      <c r="A5392" s="11" t="s">
        <v>5423</v>
      </c>
    </row>
    <row r="5393">
      <c r="A5393" s="11" t="s">
        <v>5424</v>
      </c>
    </row>
    <row r="5394">
      <c r="A5394" s="11" t="s">
        <v>5425</v>
      </c>
    </row>
    <row r="5395">
      <c r="A5395" s="11" t="s">
        <v>5426</v>
      </c>
    </row>
    <row r="5396">
      <c r="A5396" s="11" t="s">
        <v>5427</v>
      </c>
    </row>
    <row r="5397">
      <c r="A5397" s="11" t="s">
        <v>5428</v>
      </c>
    </row>
    <row r="5398">
      <c r="A5398" s="11" t="s">
        <v>5429</v>
      </c>
    </row>
    <row r="5399">
      <c r="A5399" s="11" t="s">
        <v>5430</v>
      </c>
    </row>
    <row r="5400">
      <c r="A5400" s="11" t="s">
        <v>5431</v>
      </c>
    </row>
    <row r="5401">
      <c r="A5401" s="11" t="s">
        <v>5432</v>
      </c>
    </row>
    <row r="5402">
      <c r="A5402" s="11" t="s">
        <v>5433</v>
      </c>
    </row>
    <row r="5403">
      <c r="A5403" s="11" t="s">
        <v>5434</v>
      </c>
    </row>
    <row r="5404">
      <c r="A5404" s="11" t="s">
        <v>5435</v>
      </c>
    </row>
    <row r="5405">
      <c r="A5405" s="11" t="s">
        <v>5436</v>
      </c>
    </row>
    <row r="5406">
      <c r="A5406" s="11" t="s">
        <v>5437</v>
      </c>
    </row>
    <row r="5407">
      <c r="A5407" s="11" t="s">
        <v>5438</v>
      </c>
    </row>
    <row r="5408">
      <c r="A5408" s="11" t="s">
        <v>5439</v>
      </c>
    </row>
    <row r="5409">
      <c r="A5409" s="11" t="s">
        <v>5440</v>
      </c>
    </row>
    <row r="5410">
      <c r="A5410" s="11" t="s">
        <v>5441</v>
      </c>
    </row>
    <row r="5411">
      <c r="A5411" s="11" t="s">
        <v>5442</v>
      </c>
    </row>
    <row r="5412">
      <c r="A5412" s="11" t="s">
        <v>5443</v>
      </c>
    </row>
    <row r="5413">
      <c r="A5413" s="11" t="s">
        <v>5444</v>
      </c>
    </row>
    <row r="5414">
      <c r="A5414" s="11" t="s">
        <v>5445</v>
      </c>
    </row>
    <row r="5415">
      <c r="A5415" s="11" t="s">
        <v>5446</v>
      </c>
    </row>
    <row r="5416">
      <c r="A5416" s="11" t="s">
        <v>5447</v>
      </c>
    </row>
    <row r="5417">
      <c r="A5417" s="11" t="s">
        <v>5448</v>
      </c>
    </row>
    <row r="5418">
      <c r="A5418" s="11" t="s">
        <v>5449</v>
      </c>
    </row>
    <row r="5419">
      <c r="A5419" s="11" t="s">
        <v>5450</v>
      </c>
    </row>
    <row r="5420">
      <c r="A5420" s="11" t="s">
        <v>5451</v>
      </c>
    </row>
    <row r="5421">
      <c r="A5421" s="11" t="s">
        <v>5452</v>
      </c>
    </row>
    <row r="5422">
      <c r="A5422" s="11" t="s">
        <v>5453</v>
      </c>
    </row>
    <row r="5423">
      <c r="A5423" s="11" t="s">
        <v>5454</v>
      </c>
    </row>
    <row r="5424">
      <c r="A5424" s="11" t="s">
        <v>5455</v>
      </c>
    </row>
    <row r="5425">
      <c r="A5425" s="11" t="s">
        <v>5456</v>
      </c>
    </row>
    <row r="5426">
      <c r="A5426" s="11" t="s">
        <v>5457</v>
      </c>
    </row>
    <row r="5427">
      <c r="A5427" s="11" t="s">
        <v>5458</v>
      </c>
    </row>
    <row r="5428">
      <c r="A5428" s="11" t="s">
        <v>5459</v>
      </c>
    </row>
    <row r="5429">
      <c r="A5429" s="11" t="s">
        <v>5460</v>
      </c>
    </row>
    <row r="5430">
      <c r="A5430" s="11" t="s">
        <v>5461</v>
      </c>
    </row>
    <row r="5431">
      <c r="A5431" s="11" t="s">
        <v>5462</v>
      </c>
    </row>
    <row r="5432">
      <c r="A5432" s="11" t="s">
        <v>5463</v>
      </c>
    </row>
    <row r="5433">
      <c r="A5433" s="11" t="s">
        <v>5464</v>
      </c>
    </row>
    <row r="5434">
      <c r="A5434" s="11" t="s">
        <v>5465</v>
      </c>
    </row>
    <row r="5435">
      <c r="A5435" s="11" t="s">
        <v>5466</v>
      </c>
    </row>
    <row r="5436">
      <c r="A5436" s="11" t="s">
        <v>5467</v>
      </c>
    </row>
    <row r="5437">
      <c r="A5437" s="11" t="s">
        <v>5468</v>
      </c>
    </row>
    <row r="5438">
      <c r="A5438" s="11" t="s">
        <v>5469</v>
      </c>
    </row>
    <row r="5439">
      <c r="A5439" s="11" t="s">
        <v>5470</v>
      </c>
    </row>
    <row r="5440">
      <c r="A5440" s="11" t="s">
        <v>5471</v>
      </c>
    </row>
    <row r="5441">
      <c r="A5441" s="11" t="s">
        <v>5472</v>
      </c>
    </row>
    <row r="5442">
      <c r="A5442" s="11" t="s">
        <v>5473</v>
      </c>
    </row>
    <row r="5443">
      <c r="A5443" s="11" t="s">
        <v>5474</v>
      </c>
    </row>
    <row r="5444">
      <c r="A5444" s="11" t="s">
        <v>5475</v>
      </c>
    </row>
    <row r="5445">
      <c r="A5445" s="11" t="s">
        <v>5476</v>
      </c>
    </row>
    <row r="5446">
      <c r="A5446" s="11" t="s">
        <v>5477</v>
      </c>
    </row>
    <row r="5447">
      <c r="A5447" s="11" t="s">
        <v>5478</v>
      </c>
    </row>
    <row r="5448">
      <c r="A5448" s="11" t="s">
        <v>5479</v>
      </c>
    </row>
    <row r="5449">
      <c r="A5449" s="11" t="s">
        <v>5480</v>
      </c>
    </row>
    <row r="5450">
      <c r="A5450" s="11" t="s">
        <v>5481</v>
      </c>
    </row>
    <row r="5451">
      <c r="A5451" s="11" t="s">
        <v>5482</v>
      </c>
    </row>
    <row r="5452">
      <c r="A5452" s="11" t="s">
        <v>5483</v>
      </c>
    </row>
    <row r="5453">
      <c r="A5453" s="11" t="s">
        <v>5484</v>
      </c>
    </row>
    <row r="5454">
      <c r="A5454" s="11" t="s">
        <v>5485</v>
      </c>
    </row>
    <row r="5455">
      <c r="A5455" s="11" t="s">
        <v>5486</v>
      </c>
    </row>
    <row r="5456">
      <c r="A5456" s="11" t="s">
        <v>5487</v>
      </c>
    </row>
    <row r="5457">
      <c r="A5457" s="11" t="s">
        <v>5488</v>
      </c>
    </row>
    <row r="5458">
      <c r="A5458" s="11" t="s">
        <v>5489</v>
      </c>
    </row>
    <row r="5459">
      <c r="A5459" s="11" t="s">
        <v>5490</v>
      </c>
    </row>
    <row r="5460">
      <c r="A5460" s="11" t="s">
        <v>5491</v>
      </c>
    </row>
    <row r="5461">
      <c r="A5461" s="11" t="s">
        <v>5492</v>
      </c>
    </row>
    <row r="5462">
      <c r="A5462" s="11" t="s">
        <v>5493</v>
      </c>
    </row>
    <row r="5463">
      <c r="A5463" s="11" t="s">
        <v>5494</v>
      </c>
    </row>
    <row r="5464">
      <c r="A5464" s="11" t="s">
        <v>5495</v>
      </c>
    </row>
    <row r="5465">
      <c r="A5465" s="11" t="s">
        <v>5496</v>
      </c>
    </row>
    <row r="5466">
      <c r="A5466" s="11" t="s">
        <v>5497</v>
      </c>
    </row>
    <row r="5467">
      <c r="A5467" s="11" t="s">
        <v>5498</v>
      </c>
    </row>
    <row r="5468">
      <c r="A5468" s="11" t="s">
        <v>5499</v>
      </c>
    </row>
    <row r="5469">
      <c r="A5469" s="11" t="s">
        <v>5500</v>
      </c>
    </row>
    <row r="5470">
      <c r="A5470" s="11" t="s">
        <v>5501</v>
      </c>
    </row>
    <row r="5471">
      <c r="A5471" s="11" t="s">
        <v>5502</v>
      </c>
    </row>
    <row r="5472">
      <c r="A5472" s="11" t="s">
        <v>5503</v>
      </c>
    </row>
    <row r="5473">
      <c r="A5473" s="11" t="s">
        <v>5504</v>
      </c>
    </row>
    <row r="5474">
      <c r="A5474" s="11" t="s">
        <v>5505</v>
      </c>
    </row>
    <row r="5475">
      <c r="A5475" s="11" t="s">
        <v>5506</v>
      </c>
    </row>
    <row r="5476">
      <c r="A5476" s="11" t="s">
        <v>5507</v>
      </c>
    </row>
    <row r="5477">
      <c r="A5477" s="11" t="s">
        <v>5508</v>
      </c>
    </row>
    <row r="5478">
      <c r="A5478" s="11" t="s">
        <v>5509</v>
      </c>
    </row>
    <row r="5479">
      <c r="A5479" s="11" t="s">
        <v>5510</v>
      </c>
    </row>
    <row r="5480">
      <c r="A5480" s="11" t="s">
        <v>5511</v>
      </c>
    </row>
    <row r="5481">
      <c r="A5481" s="11" t="s">
        <v>5512</v>
      </c>
    </row>
    <row r="5482">
      <c r="A5482" s="11" t="s">
        <v>5513</v>
      </c>
    </row>
    <row r="5483">
      <c r="A5483" s="11" t="s">
        <v>5514</v>
      </c>
    </row>
    <row r="5484">
      <c r="A5484" s="11" t="s">
        <v>5515</v>
      </c>
    </row>
    <row r="5485">
      <c r="A5485" s="11" t="s">
        <v>5516</v>
      </c>
    </row>
    <row r="5486">
      <c r="A5486" s="11" t="s">
        <v>5517</v>
      </c>
    </row>
    <row r="5487">
      <c r="A5487" s="11" t="s">
        <v>5518</v>
      </c>
    </row>
    <row r="5488">
      <c r="A5488" s="11" t="s">
        <v>5519</v>
      </c>
    </row>
    <row r="5489">
      <c r="A5489" s="11" t="s">
        <v>5520</v>
      </c>
    </row>
    <row r="5490">
      <c r="A5490" s="11" t="s">
        <v>5521</v>
      </c>
    </row>
    <row r="5491">
      <c r="A5491" s="11" t="s">
        <v>5522</v>
      </c>
    </row>
    <row r="5492">
      <c r="A5492" s="11" t="s">
        <v>5523</v>
      </c>
    </row>
    <row r="5493">
      <c r="A5493" s="11" t="s">
        <v>5524</v>
      </c>
    </row>
    <row r="5494">
      <c r="A5494" s="11" t="s">
        <v>5525</v>
      </c>
    </row>
    <row r="5495">
      <c r="A5495" s="11" t="s">
        <v>5526</v>
      </c>
    </row>
    <row r="5496">
      <c r="A5496" s="11" t="s">
        <v>5527</v>
      </c>
    </row>
    <row r="5497">
      <c r="A5497" s="11" t="s">
        <v>5528</v>
      </c>
    </row>
    <row r="5498">
      <c r="A5498" s="11" t="s">
        <v>5529</v>
      </c>
    </row>
    <row r="5499">
      <c r="A5499" s="11" t="s">
        <v>5530</v>
      </c>
    </row>
    <row r="5500">
      <c r="A5500" s="11" t="s">
        <v>5531</v>
      </c>
    </row>
    <row r="5501">
      <c r="A5501" s="11" t="s">
        <v>5532</v>
      </c>
    </row>
    <row r="5502">
      <c r="A5502" s="11" t="s">
        <v>5533</v>
      </c>
    </row>
    <row r="5503">
      <c r="A5503" s="11" t="s">
        <v>5534</v>
      </c>
    </row>
    <row r="5504">
      <c r="A5504" s="11" t="s">
        <v>5535</v>
      </c>
    </row>
    <row r="5505">
      <c r="A5505" s="11" t="s">
        <v>5536</v>
      </c>
    </row>
    <row r="5506">
      <c r="A5506" s="11" t="s">
        <v>5537</v>
      </c>
    </row>
    <row r="5507">
      <c r="A5507" s="11" t="s">
        <v>5538</v>
      </c>
    </row>
    <row r="5508">
      <c r="A5508" s="11" t="s">
        <v>5539</v>
      </c>
    </row>
    <row r="5509">
      <c r="A5509" s="11" t="s">
        <v>5540</v>
      </c>
    </row>
    <row r="5510">
      <c r="A5510" s="11" t="s">
        <v>5541</v>
      </c>
    </row>
    <row r="5511">
      <c r="A5511" s="11" t="s">
        <v>5542</v>
      </c>
    </row>
    <row r="5512">
      <c r="A5512" s="11" t="s">
        <v>5543</v>
      </c>
    </row>
    <row r="5513">
      <c r="A5513" s="11" t="s">
        <v>5544</v>
      </c>
    </row>
    <row r="5514">
      <c r="A5514" s="11" t="s">
        <v>5545</v>
      </c>
    </row>
    <row r="5515">
      <c r="A5515" s="11" t="s">
        <v>5546</v>
      </c>
    </row>
    <row r="5516">
      <c r="A5516" s="11" t="s">
        <v>5547</v>
      </c>
    </row>
    <row r="5517">
      <c r="A5517" s="11" t="s">
        <v>5548</v>
      </c>
    </row>
    <row r="5518">
      <c r="A5518" s="11" t="s">
        <v>5549</v>
      </c>
    </row>
    <row r="5519">
      <c r="A5519" s="11" t="s">
        <v>5550</v>
      </c>
    </row>
    <row r="5520">
      <c r="A5520" s="11" t="s">
        <v>5551</v>
      </c>
    </row>
    <row r="5521">
      <c r="A5521" s="11" t="s">
        <v>5552</v>
      </c>
    </row>
    <row r="5522">
      <c r="A5522" s="11" t="s">
        <v>5553</v>
      </c>
    </row>
    <row r="5523">
      <c r="A5523" s="11" t="s">
        <v>5554</v>
      </c>
    </row>
    <row r="5524">
      <c r="A5524" s="11" t="s">
        <v>5555</v>
      </c>
    </row>
    <row r="5525">
      <c r="A5525" s="11" t="s">
        <v>5556</v>
      </c>
    </row>
    <row r="5526">
      <c r="A5526" s="11" t="s">
        <v>5557</v>
      </c>
    </row>
    <row r="5527">
      <c r="A5527" s="11" t="s">
        <v>5558</v>
      </c>
    </row>
    <row r="5528">
      <c r="A5528" s="11" t="s">
        <v>5559</v>
      </c>
    </row>
    <row r="5529">
      <c r="A5529" s="11" t="s">
        <v>5560</v>
      </c>
    </row>
    <row r="5530">
      <c r="A5530" s="11" t="s">
        <v>5561</v>
      </c>
    </row>
    <row r="5531">
      <c r="A5531" s="11" t="s">
        <v>5562</v>
      </c>
    </row>
    <row r="5532">
      <c r="A5532" s="11" t="s">
        <v>5563</v>
      </c>
    </row>
    <row r="5533">
      <c r="A5533" s="11" t="s">
        <v>5564</v>
      </c>
    </row>
    <row r="5534">
      <c r="A5534" s="11" t="s">
        <v>5565</v>
      </c>
    </row>
    <row r="5535">
      <c r="A5535" s="11" t="s">
        <v>5566</v>
      </c>
    </row>
    <row r="5536">
      <c r="A5536" s="11" t="s">
        <v>5567</v>
      </c>
    </row>
    <row r="5537">
      <c r="A5537" s="11" t="s">
        <v>5568</v>
      </c>
    </row>
    <row r="5538">
      <c r="A5538" s="11" t="s">
        <v>5569</v>
      </c>
    </row>
    <row r="5539">
      <c r="A5539" s="11" t="s">
        <v>5570</v>
      </c>
    </row>
    <row r="5540">
      <c r="A5540" s="11" t="s">
        <v>5571</v>
      </c>
    </row>
    <row r="5541">
      <c r="A5541" s="11" t="s">
        <v>5572</v>
      </c>
    </row>
    <row r="5542">
      <c r="A5542" s="11" t="s">
        <v>5573</v>
      </c>
    </row>
    <row r="5543">
      <c r="A5543" s="11" t="s">
        <v>5574</v>
      </c>
    </row>
    <row r="5544">
      <c r="A5544" s="11" t="s">
        <v>5575</v>
      </c>
    </row>
    <row r="5545">
      <c r="A5545" s="11" t="s">
        <v>5576</v>
      </c>
    </row>
    <row r="5546">
      <c r="A5546" s="11" t="s">
        <v>5577</v>
      </c>
    </row>
    <row r="5547">
      <c r="A5547" s="11" t="s">
        <v>5578</v>
      </c>
    </row>
    <row r="5548">
      <c r="A5548" s="11" t="s">
        <v>5579</v>
      </c>
    </row>
    <row r="5549">
      <c r="A5549" s="11" t="s">
        <v>5580</v>
      </c>
    </row>
    <row r="5550">
      <c r="A5550" s="11" t="s">
        <v>5581</v>
      </c>
    </row>
    <row r="5551">
      <c r="A5551" s="11" t="s">
        <v>5582</v>
      </c>
    </row>
    <row r="5552">
      <c r="A5552" s="11" t="s">
        <v>5583</v>
      </c>
    </row>
    <row r="5553">
      <c r="A5553" s="11" t="s">
        <v>5584</v>
      </c>
    </row>
    <row r="5554">
      <c r="A5554" s="11" t="s">
        <v>5585</v>
      </c>
    </row>
    <row r="5555">
      <c r="A5555" s="11" t="s">
        <v>5586</v>
      </c>
    </row>
    <row r="5556">
      <c r="A5556" s="11" t="s">
        <v>5587</v>
      </c>
    </row>
    <row r="5557">
      <c r="A5557" s="11" t="s">
        <v>5588</v>
      </c>
    </row>
    <row r="5558">
      <c r="A5558" s="11" t="s">
        <v>5589</v>
      </c>
    </row>
    <row r="5559">
      <c r="A5559" s="11" t="s">
        <v>5590</v>
      </c>
    </row>
    <row r="5560">
      <c r="A5560" s="11" t="s">
        <v>5591</v>
      </c>
    </row>
    <row r="5561">
      <c r="A5561" s="11" t="s">
        <v>5592</v>
      </c>
    </row>
    <row r="5562">
      <c r="A5562" s="11" t="s">
        <v>5593</v>
      </c>
    </row>
    <row r="5563">
      <c r="A5563" s="11" t="s">
        <v>5594</v>
      </c>
    </row>
    <row r="5564">
      <c r="A5564" s="11" t="s">
        <v>5595</v>
      </c>
    </row>
    <row r="5565">
      <c r="A5565" s="11" t="s">
        <v>5596</v>
      </c>
    </row>
    <row r="5566">
      <c r="A5566" s="11" t="s">
        <v>5597</v>
      </c>
    </row>
    <row r="5567">
      <c r="A5567" s="11" t="s">
        <v>5598</v>
      </c>
    </row>
    <row r="5568">
      <c r="A5568" s="11" t="s">
        <v>5599</v>
      </c>
    </row>
    <row r="5569">
      <c r="A5569" s="11" t="s">
        <v>5600</v>
      </c>
    </row>
    <row r="5570">
      <c r="A5570" s="11" t="s">
        <v>5601</v>
      </c>
    </row>
    <row r="5571">
      <c r="A5571" s="11" t="s">
        <v>5602</v>
      </c>
    </row>
    <row r="5572">
      <c r="A5572" s="11" t="s">
        <v>5603</v>
      </c>
    </row>
    <row r="5573">
      <c r="A5573" s="11" t="s">
        <v>5604</v>
      </c>
    </row>
    <row r="5574">
      <c r="A5574" s="11" t="s">
        <v>5605</v>
      </c>
    </row>
    <row r="5575">
      <c r="A5575" s="11" t="s">
        <v>5606</v>
      </c>
    </row>
    <row r="5576">
      <c r="A5576" s="11" t="s">
        <v>5607</v>
      </c>
    </row>
    <row r="5577">
      <c r="A5577" s="11" t="s">
        <v>5608</v>
      </c>
    </row>
    <row r="5578">
      <c r="A5578" s="11" t="s">
        <v>5609</v>
      </c>
    </row>
    <row r="5579">
      <c r="A5579" s="11" t="s">
        <v>5610</v>
      </c>
    </row>
    <row r="5580">
      <c r="A5580" s="11" t="s">
        <v>5611</v>
      </c>
    </row>
    <row r="5581">
      <c r="A5581" s="11" t="s">
        <v>5612</v>
      </c>
    </row>
    <row r="5582">
      <c r="A5582" s="11" t="s">
        <v>5613</v>
      </c>
    </row>
    <row r="5583">
      <c r="A5583" s="11" t="s">
        <v>5614</v>
      </c>
    </row>
    <row r="5584">
      <c r="A5584" s="11" t="s">
        <v>5615</v>
      </c>
    </row>
    <row r="5585">
      <c r="A5585" s="11" t="s">
        <v>5616</v>
      </c>
    </row>
    <row r="5586">
      <c r="A5586" s="11" t="s">
        <v>5617</v>
      </c>
    </row>
    <row r="5587">
      <c r="A5587" s="11" t="s">
        <v>5618</v>
      </c>
    </row>
    <row r="5588">
      <c r="A5588" s="11" t="s">
        <v>5619</v>
      </c>
    </row>
    <row r="5589">
      <c r="A5589" s="11" t="s">
        <v>5620</v>
      </c>
    </row>
    <row r="5590">
      <c r="A5590" s="11" t="s">
        <v>5621</v>
      </c>
    </row>
    <row r="5591">
      <c r="A5591" s="11" t="s">
        <v>5622</v>
      </c>
    </row>
    <row r="5592">
      <c r="A5592" s="11" t="s">
        <v>5623</v>
      </c>
    </row>
    <row r="5593">
      <c r="A5593" s="11" t="s">
        <v>5624</v>
      </c>
    </row>
    <row r="5594">
      <c r="A5594" s="11" t="s">
        <v>5625</v>
      </c>
    </row>
    <row r="5595">
      <c r="A5595" s="11" t="s">
        <v>5626</v>
      </c>
    </row>
    <row r="5596">
      <c r="A5596" s="11" t="s">
        <v>5627</v>
      </c>
    </row>
    <row r="5597">
      <c r="A5597" s="11" t="s">
        <v>5628</v>
      </c>
    </row>
    <row r="5598">
      <c r="A5598" s="11" t="s">
        <v>5629</v>
      </c>
    </row>
    <row r="5599">
      <c r="A5599" s="11" t="s">
        <v>5630</v>
      </c>
    </row>
    <row r="5600">
      <c r="A5600" s="11" t="s">
        <v>5631</v>
      </c>
    </row>
    <row r="5601">
      <c r="A5601" s="11" t="s">
        <v>5632</v>
      </c>
    </row>
    <row r="5602">
      <c r="A5602" s="11" t="s">
        <v>5633</v>
      </c>
    </row>
    <row r="5603">
      <c r="A5603" s="11" t="s">
        <v>5634</v>
      </c>
    </row>
    <row r="5604">
      <c r="A5604" s="11" t="s">
        <v>5635</v>
      </c>
    </row>
    <row r="5605">
      <c r="A5605" s="11" t="s">
        <v>5636</v>
      </c>
    </row>
    <row r="5606">
      <c r="A5606" s="11" t="s">
        <v>5637</v>
      </c>
    </row>
    <row r="5607">
      <c r="A5607" s="11" t="s">
        <v>5638</v>
      </c>
    </row>
    <row r="5608">
      <c r="A5608" s="11" t="s">
        <v>5639</v>
      </c>
    </row>
    <row r="5609">
      <c r="A5609" s="11" t="s">
        <v>5640</v>
      </c>
    </row>
    <row r="5610">
      <c r="A5610" s="11" t="s">
        <v>5641</v>
      </c>
    </row>
    <row r="5611">
      <c r="A5611" s="11" t="s">
        <v>5642</v>
      </c>
    </row>
    <row r="5612">
      <c r="A5612" s="11" t="s">
        <v>5643</v>
      </c>
    </row>
    <row r="5613">
      <c r="A5613" s="11" t="s">
        <v>5644</v>
      </c>
    </row>
    <row r="5614">
      <c r="A5614" s="11" t="s">
        <v>5645</v>
      </c>
    </row>
    <row r="5615">
      <c r="A5615" s="11" t="s">
        <v>5646</v>
      </c>
    </row>
    <row r="5616">
      <c r="A5616" s="11" t="s">
        <v>5647</v>
      </c>
    </row>
    <row r="5617">
      <c r="A5617" s="11" t="s">
        <v>5648</v>
      </c>
    </row>
    <row r="5618">
      <c r="A5618" s="11" t="s">
        <v>5649</v>
      </c>
    </row>
    <row r="5619">
      <c r="A5619" s="11" t="s">
        <v>5650</v>
      </c>
    </row>
    <row r="5620">
      <c r="A5620" s="11" t="s">
        <v>5651</v>
      </c>
    </row>
    <row r="5621">
      <c r="A5621" s="11" t="s">
        <v>5652</v>
      </c>
    </row>
    <row r="5622">
      <c r="A5622" s="11" t="s">
        <v>5653</v>
      </c>
    </row>
    <row r="5623">
      <c r="A5623" s="11" t="s">
        <v>5654</v>
      </c>
    </row>
    <row r="5624">
      <c r="A5624" s="11" t="s">
        <v>5655</v>
      </c>
    </row>
    <row r="5625">
      <c r="A5625" s="11" t="s">
        <v>5656</v>
      </c>
    </row>
    <row r="5626">
      <c r="A5626" s="11" t="s">
        <v>5657</v>
      </c>
    </row>
    <row r="5627">
      <c r="A5627" s="11" t="s">
        <v>5658</v>
      </c>
    </row>
    <row r="5628">
      <c r="A5628" s="11" t="s">
        <v>5659</v>
      </c>
    </row>
    <row r="5629">
      <c r="A5629" s="11" t="s">
        <v>5660</v>
      </c>
    </row>
    <row r="5630">
      <c r="A5630" s="11" t="s">
        <v>5661</v>
      </c>
    </row>
    <row r="5631">
      <c r="A5631" s="11" t="s">
        <v>5662</v>
      </c>
    </row>
    <row r="5632">
      <c r="A5632" s="11" t="s">
        <v>5663</v>
      </c>
    </row>
    <row r="5633">
      <c r="A5633" s="11" t="s">
        <v>5664</v>
      </c>
    </row>
    <row r="5634">
      <c r="A5634" s="11" t="s">
        <v>5665</v>
      </c>
    </row>
    <row r="5635">
      <c r="A5635" s="11" t="s">
        <v>5666</v>
      </c>
    </row>
    <row r="5636">
      <c r="A5636" s="11" t="s">
        <v>5667</v>
      </c>
    </row>
    <row r="5637">
      <c r="A5637" s="11" t="s">
        <v>5668</v>
      </c>
    </row>
    <row r="5638">
      <c r="A5638" s="11" t="s">
        <v>5669</v>
      </c>
    </row>
    <row r="5639">
      <c r="A5639" s="11" t="s">
        <v>5670</v>
      </c>
    </row>
    <row r="5640">
      <c r="A5640" s="11" t="s">
        <v>5671</v>
      </c>
    </row>
    <row r="5641">
      <c r="A5641" s="11" t="s">
        <v>5672</v>
      </c>
    </row>
    <row r="5642">
      <c r="A5642" s="11" t="s">
        <v>5673</v>
      </c>
    </row>
    <row r="5643">
      <c r="A5643" s="11" t="s">
        <v>5674</v>
      </c>
    </row>
    <row r="5644">
      <c r="A5644" s="11" t="s">
        <v>5675</v>
      </c>
    </row>
    <row r="5645">
      <c r="A5645" s="11" t="s">
        <v>5676</v>
      </c>
    </row>
    <row r="5646">
      <c r="A5646" s="11" t="s">
        <v>5677</v>
      </c>
    </row>
    <row r="5647">
      <c r="A5647" s="11" t="s">
        <v>5678</v>
      </c>
    </row>
    <row r="5648">
      <c r="A5648" s="11" t="s">
        <v>5679</v>
      </c>
    </row>
    <row r="5649">
      <c r="A5649" s="11" t="s">
        <v>5680</v>
      </c>
    </row>
    <row r="5650">
      <c r="A5650" s="11" t="s">
        <v>5681</v>
      </c>
    </row>
    <row r="5651">
      <c r="A5651" s="11" t="s">
        <v>5682</v>
      </c>
    </row>
    <row r="5652">
      <c r="A5652" s="11" t="s">
        <v>5683</v>
      </c>
    </row>
    <row r="5653">
      <c r="A5653" s="11" t="s">
        <v>5684</v>
      </c>
    </row>
    <row r="5654">
      <c r="A5654" s="11" t="s">
        <v>5685</v>
      </c>
    </row>
    <row r="5655">
      <c r="A5655" s="11" t="s">
        <v>5686</v>
      </c>
    </row>
    <row r="5656">
      <c r="A5656" s="11" t="s">
        <v>5687</v>
      </c>
    </row>
    <row r="5657">
      <c r="A5657" s="11" t="s">
        <v>5688</v>
      </c>
    </row>
    <row r="5658">
      <c r="A5658" s="11" t="s">
        <v>5689</v>
      </c>
    </row>
    <row r="5659">
      <c r="A5659" s="11" t="s">
        <v>5690</v>
      </c>
    </row>
    <row r="5660">
      <c r="A5660" s="11" t="s">
        <v>5691</v>
      </c>
    </row>
    <row r="5661">
      <c r="A5661" s="11" t="s">
        <v>5692</v>
      </c>
    </row>
    <row r="5662">
      <c r="A5662" s="11" t="s">
        <v>5693</v>
      </c>
    </row>
    <row r="5663">
      <c r="A5663" s="11" t="s">
        <v>5694</v>
      </c>
    </row>
    <row r="5664">
      <c r="A5664" s="11" t="s">
        <v>5695</v>
      </c>
    </row>
    <row r="5665">
      <c r="A5665" s="11" t="s">
        <v>5696</v>
      </c>
    </row>
    <row r="5666">
      <c r="A5666" s="11" t="s">
        <v>5697</v>
      </c>
    </row>
    <row r="5667">
      <c r="A5667" s="11" t="s">
        <v>5698</v>
      </c>
    </row>
    <row r="5668">
      <c r="A5668" s="11" t="s">
        <v>5699</v>
      </c>
    </row>
    <row r="5669">
      <c r="A5669" s="11" t="s">
        <v>5700</v>
      </c>
    </row>
    <row r="5670">
      <c r="A5670" s="11" t="s">
        <v>5701</v>
      </c>
    </row>
    <row r="5671">
      <c r="A5671" s="11" t="s">
        <v>5702</v>
      </c>
    </row>
    <row r="5672">
      <c r="A5672" s="11" t="s">
        <v>5703</v>
      </c>
    </row>
    <row r="5673">
      <c r="A5673" s="11" t="s">
        <v>5704</v>
      </c>
    </row>
    <row r="5674">
      <c r="A5674" s="11" t="s">
        <v>5705</v>
      </c>
    </row>
    <row r="5675">
      <c r="A5675" s="11" t="s">
        <v>5706</v>
      </c>
    </row>
    <row r="5676">
      <c r="A5676" s="11" t="s">
        <v>5707</v>
      </c>
    </row>
    <row r="5677">
      <c r="A5677" s="11" t="s">
        <v>5708</v>
      </c>
    </row>
    <row r="5678">
      <c r="A5678" s="11" t="s">
        <v>5709</v>
      </c>
    </row>
    <row r="5679">
      <c r="A5679" s="11" t="s">
        <v>5710</v>
      </c>
    </row>
    <row r="5680">
      <c r="A5680" s="11" t="s">
        <v>5711</v>
      </c>
    </row>
    <row r="5681">
      <c r="A5681" s="11" t="s">
        <v>5712</v>
      </c>
    </row>
    <row r="5682">
      <c r="A5682" s="11" t="s">
        <v>5713</v>
      </c>
    </row>
    <row r="5683">
      <c r="A5683" s="11" t="s">
        <v>5714</v>
      </c>
    </row>
    <row r="5684">
      <c r="A5684" s="11" t="s">
        <v>5715</v>
      </c>
    </row>
    <row r="5685">
      <c r="A5685" s="11" t="s">
        <v>5716</v>
      </c>
    </row>
    <row r="5686">
      <c r="A5686" s="11" t="s">
        <v>5717</v>
      </c>
    </row>
    <row r="5687">
      <c r="A5687" s="11" t="s">
        <v>5718</v>
      </c>
    </row>
    <row r="5688">
      <c r="A5688" s="11" t="s">
        <v>5719</v>
      </c>
    </row>
    <row r="5689">
      <c r="A5689" s="11" t="s">
        <v>5720</v>
      </c>
    </row>
    <row r="5690">
      <c r="A5690" s="11" t="s">
        <v>5721</v>
      </c>
    </row>
    <row r="5691">
      <c r="A5691" s="11" t="s">
        <v>5722</v>
      </c>
    </row>
    <row r="5692">
      <c r="A5692" s="11" t="s">
        <v>5723</v>
      </c>
    </row>
    <row r="5693">
      <c r="A5693" s="11" t="s">
        <v>5724</v>
      </c>
    </row>
    <row r="5694">
      <c r="A5694" s="11" t="s">
        <v>5725</v>
      </c>
    </row>
    <row r="5695">
      <c r="A5695" s="11" t="s">
        <v>5726</v>
      </c>
    </row>
    <row r="5696">
      <c r="A5696" s="11" t="s">
        <v>5727</v>
      </c>
    </row>
    <row r="5697">
      <c r="A5697" s="11" t="s">
        <v>5728</v>
      </c>
    </row>
    <row r="5698">
      <c r="A5698" s="11" t="s">
        <v>5729</v>
      </c>
    </row>
    <row r="5699">
      <c r="A5699" s="11" t="s">
        <v>5730</v>
      </c>
    </row>
    <row r="5700">
      <c r="A5700" s="11" t="s">
        <v>5731</v>
      </c>
    </row>
    <row r="5701">
      <c r="A5701" s="11" t="s">
        <v>5732</v>
      </c>
    </row>
    <row r="5702">
      <c r="A5702" s="11" t="s">
        <v>5733</v>
      </c>
    </row>
    <row r="5703">
      <c r="A5703" s="11" t="s">
        <v>5734</v>
      </c>
    </row>
    <row r="5704">
      <c r="A5704" s="11" t="s">
        <v>5735</v>
      </c>
    </row>
    <row r="5705">
      <c r="A5705" s="11" t="s">
        <v>5736</v>
      </c>
    </row>
    <row r="5706">
      <c r="A5706" s="11" t="s">
        <v>5737</v>
      </c>
    </row>
    <row r="5707">
      <c r="A5707" s="11" t="s">
        <v>5738</v>
      </c>
    </row>
    <row r="5708">
      <c r="A5708" s="11" t="s">
        <v>5739</v>
      </c>
    </row>
    <row r="5709">
      <c r="A5709" s="11" t="s">
        <v>5740</v>
      </c>
    </row>
    <row r="5710">
      <c r="A5710" s="11" t="s">
        <v>5741</v>
      </c>
    </row>
    <row r="5711">
      <c r="A5711" s="11" t="s">
        <v>5742</v>
      </c>
    </row>
    <row r="5712">
      <c r="A5712" s="11" t="s">
        <v>5743</v>
      </c>
    </row>
    <row r="5713">
      <c r="A5713" s="11" t="s">
        <v>5744</v>
      </c>
    </row>
    <row r="5714">
      <c r="A5714" s="11" t="s">
        <v>5745</v>
      </c>
    </row>
    <row r="5715">
      <c r="A5715" s="11" t="s">
        <v>5746</v>
      </c>
    </row>
    <row r="5716">
      <c r="A5716" s="11" t="s">
        <v>5747</v>
      </c>
    </row>
    <row r="5717">
      <c r="A5717" s="11" t="s">
        <v>5748</v>
      </c>
    </row>
    <row r="5718">
      <c r="A5718" s="11" t="s">
        <v>5749</v>
      </c>
    </row>
    <row r="5719">
      <c r="A5719" s="11" t="s">
        <v>5750</v>
      </c>
    </row>
    <row r="5720">
      <c r="A5720" s="11" t="s">
        <v>5751</v>
      </c>
    </row>
    <row r="5721">
      <c r="A5721" s="11" t="s">
        <v>5752</v>
      </c>
    </row>
    <row r="5722">
      <c r="A5722" s="11" t="s">
        <v>5753</v>
      </c>
    </row>
    <row r="5723">
      <c r="A5723" s="11" t="s">
        <v>5754</v>
      </c>
    </row>
    <row r="5724">
      <c r="A5724" s="11" t="s">
        <v>5755</v>
      </c>
    </row>
    <row r="5725">
      <c r="A5725" s="11" t="s">
        <v>5756</v>
      </c>
    </row>
    <row r="5726">
      <c r="A5726" s="11" t="s">
        <v>5757</v>
      </c>
    </row>
    <row r="5727">
      <c r="A5727" s="11" t="s">
        <v>5758</v>
      </c>
    </row>
    <row r="5728">
      <c r="A5728" s="11" t="s">
        <v>5759</v>
      </c>
    </row>
    <row r="5729">
      <c r="A5729" s="11" t="s">
        <v>5760</v>
      </c>
    </row>
    <row r="5730">
      <c r="A5730" s="11" t="s">
        <v>5761</v>
      </c>
    </row>
    <row r="5731">
      <c r="A5731" s="11" t="s">
        <v>5762</v>
      </c>
    </row>
    <row r="5732">
      <c r="A5732" s="11" t="s">
        <v>5763</v>
      </c>
    </row>
    <row r="5733">
      <c r="A5733" s="11" t="s">
        <v>5764</v>
      </c>
    </row>
    <row r="5734">
      <c r="A5734" s="11" t="s">
        <v>5765</v>
      </c>
    </row>
    <row r="5735">
      <c r="A5735" s="11" t="s">
        <v>5766</v>
      </c>
    </row>
    <row r="5736">
      <c r="A5736" s="11" t="s">
        <v>5767</v>
      </c>
    </row>
    <row r="5737">
      <c r="A5737" s="11" t="s">
        <v>5768</v>
      </c>
    </row>
    <row r="5738">
      <c r="A5738" s="11" t="s">
        <v>5769</v>
      </c>
    </row>
    <row r="5739">
      <c r="A5739" s="11" t="s">
        <v>5770</v>
      </c>
    </row>
    <row r="5740">
      <c r="A5740" s="11" t="s">
        <v>5771</v>
      </c>
    </row>
    <row r="5741">
      <c r="A5741" s="11" t="s">
        <v>5772</v>
      </c>
    </row>
    <row r="5742">
      <c r="A5742" s="11" t="s">
        <v>5773</v>
      </c>
    </row>
    <row r="5743">
      <c r="A5743" s="11" t="s">
        <v>5774</v>
      </c>
    </row>
    <row r="5744">
      <c r="A5744" s="11" t="s">
        <v>5775</v>
      </c>
    </row>
    <row r="5745">
      <c r="A5745" s="11" t="s">
        <v>5776</v>
      </c>
    </row>
    <row r="5746">
      <c r="A5746" s="11" t="s">
        <v>5777</v>
      </c>
    </row>
    <row r="5747">
      <c r="A5747" s="11" t="s">
        <v>5778</v>
      </c>
    </row>
    <row r="5748">
      <c r="A5748" s="11" t="s">
        <v>5779</v>
      </c>
    </row>
    <row r="5749">
      <c r="A5749" s="11" t="s">
        <v>5780</v>
      </c>
    </row>
    <row r="5750">
      <c r="A5750" s="11" t="s">
        <v>5781</v>
      </c>
    </row>
    <row r="5751">
      <c r="A5751" s="11" t="s">
        <v>5782</v>
      </c>
    </row>
    <row r="5752">
      <c r="A5752" s="11" t="s">
        <v>5783</v>
      </c>
    </row>
    <row r="5753">
      <c r="A5753" s="11" t="s">
        <v>5784</v>
      </c>
    </row>
    <row r="5754">
      <c r="A5754" s="11" t="s">
        <v>5785</v>
      </c>
    </row>
    <row r="5755">
      <c r="A5755" s="11" t="s">
        <v>5786</v>
      </c>
    </row>
    <row r="5756">
      <c r="A5756" s="11" t="s">
        <v>5787</v>
      </c>
    </row>
    <row r="5757">
      <c r="A5757" s="11" t="s">
        <v>5788</v>
      </c>
    </row>
    <row r="5758">
      <c r="A5758" s="11" t="s">
        <v>5789</v>
      </c>
    </row>
    <row r="5759">
      <c r="A5759" s="11" t="s">
        <v>5790</v>
      </c>
    </row>
    <row r="5760">
      <c r="A5760" s="11" t="s">
        <v>5791</v>
      </c>
    </row>
    <row r="5761">
      <c r="A5761" s="11" t="s">
        <v>5792</v>
      </c>
    </row>
    <row r="5762">
      <c r="A5762" s="11" t="s">
        <v>5793</v>
      </c>
    </row>
    <row r="5763">
      <c r="A5763" s="11" t="s">
        <v>5794</v>
      </c>
    </row>
    <row r="5764">
      <c r="A5764" s="11" t="s">
        <v>5795</v>
      </c>
    </row>
    <row r="5765">
      <c r="A5765" s="11" t="s">
        <v>5796</v>
      </c>
    </row>
    <row r="5766">
      <c r="A5766" s="11" t="s">
        <v>5797</v>
      </c>
    </row>
    <row r="5767">
      <c r="A5767" s="11" t="s">
        <v>5798</v>
      </c>
    </row>
    <row r="5768">
      <c r="A5768" s="11" t="s">
        <v>5799</v>
      </c>
    </row>
    <row r="5769">
      <c r="A5769" s="11" t="s">
        <v>5800</v>
      </c>
    </row>
    <row r="5770">
      <c r="A5770" s="11" t="s">
        <v>5801</v>
      </c>
    </row>
    <row r="5771">
      <c r="A5771" s="11" t="s">
        <v>5802</v>
      </c>
    </row>
    <row r="5772">
      <c r="A5772" s="11" t="s">
        <v>5803</v>
      </c>
    </row>
    <row r="5773">
      <c r="A5773" s="11" t="s">
        <v>5804</v>
      </c>
    </row>
    <row r="5774">
      <c r="A5774" s="11" t="s">
        <v>5805</v>
      </c>
    </row>
    <row r="5775">
      <c r="A5775" s="11" t="s">
        <v>5806</v>
      </c>
    </row>
    <row r="5776">
      <c r="A5776" s="11" t="s">
        <v>5807</v>
      </c>
    </row>
    <row r="5777">
      <c r="A5777" s="11" t="s">
        <v>5808</v>
      </c>
    </row>
    <row r="5778">
      <c r="A5778" s="11" t="s">
        <v>5809</v>
      </c>
    </row>
    <row r="5779">
      <c r="A5779" s="11" t="s">
        <v>5810</v>
      </c>
    </row>
    <row r="5780">
      <c r="A5780" s="11" t="s">
        <v>5811</v>
      </c>
    </row>
    <row r="5781">
      <c r="A5781" s="11" t="s">
        <v>5812</v>
      </c>
    </row>
    <row r="5782">
      <c r="A5782" s="11" t="s">
        <v>5813</v>
      </c>
    </row>
    <row r="5783">
      <c r="A5783" s="11" t="s">
        <v>5814</v>
      </c>
    </row>
    <row r="5784">
      <c r="A5784" s="11" t="s">
        <v>5815</v>
      </c>
    </row>
    <row r="5785">
      <c r="A5785" s="11" t="s">
        <v>5816</v>
      </c>
    </row>
    <row r="5786">
      <c r="A5786" s="11" t="s">
        <v>5817</v>
      </c>
    </row>
    <row r="5787">
      <c r="A5787" s="11" t="s">
        <v>5818</v>
      </c>
    </row>
    <row r="5788">
      <c r="A5788" s="11" t="s">
        <v>5819</v>
      </c>
    </row>
    <row r="5789">
      <c r="A5789" s="11" t="s">
        <v>5820</v>
      </c>
    </row>
    <row r="5790">
      <c r="A5790" s="11" t="s">
        <v>5821</v>
      </c>
    </row>
    <row r="5791">
      <c r="A5791" s="11" t="s">
        <v>5822</v>
      </c>
    </row>
    <row r="5792">
      <c r="A5792" s="11" t="s">
        <v>5823</v>
      </c>
    </row>
    <row r="5793">
      <c r="A5793" s="11" t="s">
        <v>5824</v>
      </c>
    </row>
    <row r="5794">
      <c r="A5794" s="11" t="s">
        <v>5825</v>
      </c>
    </row>
    <row r="5795">
      <c r="A5795" s="11" t="s">
        <v>5826</v>
      </c>
    </row>
    <row r="5796">
      <c r="A5796" s="11" t="s">
        <v>5827</v>
      </c>
    </row>
    <row r="5797">
      <c r="A5797" s="11" t="s">
        <v>5828</v>
      </c>
    </row>
    <row r="5798">
      <c r="A5798" s="11" t="s">
        <v>5829</v>
      </c>
    </row>
    <row r="5799">
      <c r="A5799" s="11" t="s">
        <v>5830</v>
      </c>
    </row>
    <row r="5800">
      <c r="A5800" s="11" t="s">
        <v>5831</v>
      </c>
    </row>
    <row r="5801">
      <c r="A5801" s="11" t="s">
        <v>5832</v>
      </c>
    </row>
    <row r="5802">
      <c r="A5802" s="11" t="s">
        <v>5833</v>
      </c>
    </row>
    <row r="5803">
      <c r="A5803" s="11" t="s">
        <v>5834</v>
      </c>
    </row>
    <row r="5804">
      <c r="A5804" s="11" t="s">
        <v>5835</v>
      </c>
    </row>
    <row r="5805">
      <c r="A5805" s="11" t="s">
        <v>5836</v>
      </c>
    </row>
    <row r="5806">
      <c r="A5806" s="11" t="s">
        <v>5837</v>
      </c>
    </row>
    <row r="5807">
      <c r="A5807" s="11" t="s">
        <v>5838</v>
      </c>
    </row>
    <row r="5808">
      <c r="A5808" s="11" t="s">
        <v>5839</v>
      </c>
    </row>
    <row r="5809">
      <c r="A5809" s="11" t="s">
        <v>5840</v>
      </c>
    </row>
    <row r="5810">
      <c r="A5810" s="11" t="s">
        <v>5841</v>
      </c>
    </row>
    <row r="5811">
      <c r="A5811" s="11" t="s">
        <v>5842</v>
      </c>
    </row>
    <row r="5812">
      <c r="A5812" s="11" t="s">
        <v>5843</v>
      </c>
    </row>
    <row r="5813">
      <c r="A5813" s="11" t="s">
        <v>5844</v>
      </c>
    </row>
    <row r="5814">
      <c r="A5814" s="11" t="s">
        <v>5845</v>
      </c>
    </row>
    <row r="5815">
      <c r="A5815" s="11" t="s">
        <v>5846</v>
      </c>
    </row>
    <row r="5816">
      <c r="A5816" s="11" t="s">
        <v>5847</v>
      </c>
    </row>
    <row r="5817">
      <c r="A5817" s="11" t="s">
        <v>5848</v>
      </c>
    </row>
    <row r="5818">
      <c r="A5818" s="11" t="s">
        <v>5849</v>
      </c>
    </row>
    <row r="5819">
      <c r="A5819" s="11" t="s">
        <v>5850</v>
      </c>
    </row>
    <row r="5820">
      <c r="A5820" s="11" t="s">
        <v>5851</v>
      </c>
    </row>
    <row r="5821">
      <c r="A5821" s="11" t="s">
        <v>5852</v>
      </c>
    </row>
    <row r="5822">
      <c r="A5822" s="11" t="s">
        <v>5853</v>
      </c>
    </row>
    <row r="5823">
      <c r="A5823" s="11" t="s">
        <v>5854</v>
      </c>
    </row>
    <row r="5824">
      <c r="A5824" s="11" t="s">
        <v>5855</v>
      </c>
    </row>
    <row r="5825">
      <c r="A5825" s="11" t="s">
        <v>5856</v>
      </c>
    </row>
    <row r="5826">
      <c r="A5826" s="11" t="s">
        <v>5857</v>
      </c>
    </row>
    <row r="5827">
      <c r="A5827" s="11" t="s">
        <v>5858</v>
      </c>
    </row>
    <row r="5828">
      <c r="A5828" s="11" t="s">
        <v>5859</v>
      </c>
    </row>
    <row r="5829">
      <c r="A5829" s="11" t="s">
        <v>5860</v>
      </c>
    </row>
    <row r="5830">
      <c r="A5830" s="11" t="s">
        <v>5861</v>
      </c>
    </row>
    <row r="5831">
      <c r="A5831" s="11" t="s">
        <v>5862</v>
      </c>
    </row>
    <row r="5832">
      <c r="A5832" s="11" t="s">
        <v>5863</v>
      </c>
    </row>
    <row r="5833">
      <c r="A5833" s="11" t="s">
        <v>5864</v>
      </c>
    </row>
    <row r="5834">
      <c r="A5834" s="11" t="s">
        <v>5865</v>
      </c>
    </row>
    <row r="5835">
      <c r="A5835" s="11" t="s">
        <v>5866</v>
      </c>
    </row>
    <row r="5836">
      <c r="A5836" s="11" t="s">
        <v>5867</v>
      </c>
    </row>
    <row r="5837">
      <c r="A5837" s="11" t="s">
        <v>5868</v>
      </c>
    </row>
    <row r="5838">
      <c r="A5838" s="11" t="s">
        <v>5869</v>
      </c>
    </row>
    <row r="5839">
      <c r="A5839" s="11" t="s">
        <v>5870</v>
      </c>
    </row>
    <row r="5840">
      <c r="A5840" s="11" t="s">
        <v>5871</v>
      </c>
    </row>
    <row r="5841">
      <c r="A5841" s="11" t="s">
        <v>5872</v>
      </c>
    </row>
    <row r="5842">
      <c r="A5842" s="11" t="s">
        <v>5873</v>
      </c>
    </row>
    <row r="5843">
      <c r="A5843" s="11" t="s">
        <v>5874</v>
      </c>
    </row>
    <row r="5844">
      <c r="A5844" s="11" t="s">
        <v>5875</v>
      </c>
    </row>
    <row r="5845">
      <c r="A5845" s="11" t="s">
        <v>5876</v>
      </c>
    </row>
    <row r="5846">
      <c r="A5846" s="11" t="s">
        <v>5877</v>
      </c>
    </row>
    <row r="5847">
      <c r="A5847" s="11" t="s">
        <v>5878</v>
      </c>
    </row>
    <row r="5848">
      <c r="A5848" s="11" t="s">
        <v>5879</v>
      </c>
    </row>
    <row r="5849">
      <c r="A5849" s="11" t="s">
        <v>5880</v>
      </c>
    </row>
    <row r="5850">
      <c r="A5850" s="11" t="s">
        <v>5881</v>
      </c>
    </row>
    <row r="5851">
      <c r="A5851" s="11" t="s">
        <v>5882</v>
      </c>
    </row>
    <row r="5852">
      <c r="A5852" s="11" t="s">
        <v>5883</v>
      </c>
    </row>
    <row r="5853">
      <c r="A5853" s="11" t="s">
        <v>5884</v>
      </c>
    </row>
    <row r="5854">
      <c r="A5854" s="11" t="s">
        <v>5885</v>
      </c>
    </row>
    <row r="5855">
      <c r="A5855" s="11" t="s">
        <v>5886</v>
      </c>
    </row>
    <row r="5856">
      <c r="A5856" s="11" t="s">
        <v>5887</v>
      </c>
    </row>
    <row r="5857">
      <c r="A5857" s="11" t="s">
        <v>5888</v>
      </c>
    </row>
    <row r="5858">
      <c r="A5858" s="11" t="s">
        <v>5889</v>
      </c>
    </row>
    <row r="5859">
      <c r="A5859" s="11" t="s">
        <v>5890</v>
      </c>
    </row>
    <row r="5860">
      <c r="A5860" s="11" t="s">
        <v>5891</v>
      </c>
    </row>
    <row r="5861">
      <c r="A5861" s="11" t="s">
        <v>5892</v>
      </c>
    </row>
    <row r="5862">
      <c r="A5862" s="11" t="s">
        <v>5893</v>
      </c>
    </row>
    <row r="5863">
      <c r="A5863" s="11" t="s">
        <v>5894</v>
      </c>
    </row>
    <row r="5864">
      <c r="A5864" s="11" t="s">
        <v>5895</v>
      </c>
    </row>
    <row r="5865">
      <c r="A5865" s="11" t="s">
        <v>5896</v>
      </c>
    </row>
    <row r="5866">
      <c r="A5866" s="11" t="s">
        <v>5897</v>
      </c>
    </row>
    <row r="5867">
      <c r="A5867" s="11" t="s">
        <v>5898</v>
      </c>
    </row>
    <row r="5868">
      <c r="A5868" s="11" t="s">
        <v>5899</v>
      </c>
    </row>
    <row r="5869">
      <c r="A5869" s="11" t="s">
        <v>5900</v>
      </c>
    </row>
    <row r="5870">
      <c r="A5870" s="11" t="s">
        <v>5901</v>
      </c>
    </row>
    <row r="5871">
      <c r="A5871" s="11" t="s">
        <v>5902</v>
      </c>
    </row>
    <row r="5872">
      <c r="A5872" s="11" t="s">
        <v>5903</v>
      </c>
    </row>
    <row r="5873">
      <c r="A5873" s="11" t="s">
        <v>5904</v>
      </c>
    </row>
    <row r="5874">
      <c r="A5874" s="11" t="s">
        <v>5905</v>
      </c>
    </row>
    <row r="5875">
      <c r="A5875" s="11" t="s">
        <v>5906</v>
      </c>
    </row>
    <row r="5876">
      <c r="A5876" s="11" t="s">
        <v>5907</v>
      </c>
    </row>
    <row r="5877">
      <c r="A5877" s="11" t="s">
        <v>5908</v>
      </c>
    </row>
    <row r="5878">
      <c r="A5878" s="11" t="s">
        <v>5909</v>
      </c>
    </row>
    <row r="5879">
      <c r="A5879" s="11" t="s">
        <v>5910</v>
      </c>
    </row>
    <row r="5880">
      <c r="A5880" s="11" t="s">
        <v>5911</v>
      </c>
    </row>
    <row r="5881">
      <c r="A5881" s="11" t="s">
        <v>5912</v>
      </c>
    </row>
    <row r="5882">
      <c r="A5882" s="11" t="s">
        <v>5913</v>
      </c>
    </row>
    <row r="5883">
      <c r="A5883" s="11" t="s">
        <v>5914</v>
      </c>
    </row>
    <row r="5884">
      <c r="A5884" s="11" t="s">
        <v>5915</v>
      </c>
    </row>
    <row r="5885">
      <c r="A5885" s="11" t="s">
        <v>5916</v>
      </c>
    </row>
    <row r="5886">
      <c r="A5886" s="11" t="s">
        <v>5917</v>
      </c>
    </row>
    <row r="5887">
      <c r="A5887" s="11" t="s">
        <v>5918</v>
      </c>
    </row>
    <row r="5888">
      <c r="A5888" s="11" t="s">
        <v>5919</v>
      </c>
    </row>
    <row r="5889">
      <c r="A5889" s="11" t="s">
        <v>5920</v>
      </c>
    </row>
    <row r="5890">
      <c r="A5890" s="11" t="s">
        <v>5921</v>
      </c>
    </row>
    <row r="5891">
      <c r="A5891" s="11" t="s">
        <v>5922</v>
      </c>
    </row>
    <row r="5892">
      <c r="A5892" s="11" t="s">
        <v>5923</v>
      </c>
    </row>
    <row r="5893">
      <c r="A5893" s="11" t="s">
        <v>5924</v>
      </c>
    </row>
    <row r="5894">
      <c r="A5894" s="11" t="s">
        <v>5925</v>
      </c>
    </row>
    <row r="5895">
      <c r="A5895" s="11" t="s">
        <v>5926</v>
      </c>
    </row>
    <row r="5896">
      <c r="A5896" s="11" t="s">
        <v>5927</v>
      </c>
    </row>
    <row r="5897">
      <c r="A5897" s="11" t="s">
        <v>5928</v>
      </c>
    </row>
    <row r="5898">
      <c r="A5898" s="11" t="s">
        <v>5929</v>
      </c>
    </row>
    <row r="5899">
      <c r="A5899" s="11" t="s">
        <v>5930</v>
      </c>
    </row>
    <row r="5900">
      <c r="A5900" s="11" t="s">
        <v>5931</v>
      </c>
    </row>
    <row r="5901">
      <c r="A5901" s="11" t="s">
        <v>5932</v>
      </c>
    </row>
    <row r="5902">
      <c r="A5902" s="11" t="s">
        <v>5933</v>
      </c>
    </row>
    <row r="5903">
      <c r="A5903" s="11" t="s">
        <v>5934</v>
      </c>
    </row>
    <row r="5904">
      <c r="A5904" s="11" t="s">
        <v>5935</v>
      </c>
    </row>
    <row r="5905">
      <c r="A5905" s="11" t="s">
        <v>5936</v>
      </c>
    </row>
    <row r="5906">
      <c r="A5906" s="11" t="s">
        <v>5937</v>
      </c>
    </row>
    <row r="5907">
      <c r="A5907" s="11" t="s">
        <v>5938</v>
      </c>
    </row>
    <row r="5908">
      <c r="A5908" s="11" t="s">
        <v>5939</v>
      </c>
    </row>
    <row r="5909">
      <c r="A5909" s="11" t="s">
        <v>5940</v>
      </c>
    </row>
    <row r="5910">
      <c r="A5910" s="11" t="s">
        <v>5941</v>
      </c>
    </row>
    <row r="5911">
      <c r="A5911" s="11" t="s">
        <v>5942</v>
      </c>
    </row>
    <row r="5912">
      <c r="A5912" s="11" t="s">
        <v>5943</v>
      </c>
    </row>
    <row r="5913">
      <c r="A5913" s="11" t="s">
        <v>5944</v>
      </c>
    </row>
    <row r="5914">
      <c r="A5914" s="11" t="s">
        <v>5945</v>
      </c>
    </row>
    <row r="5915">
      <c r="A5915" s="11" t="s">
        <v>5946</v>
      </c>
    </row>
    <row r="5916">
      <c r="A5916" s="11" t="s">
        <v>5947</v>
      </c>
    </row>
    <row r="5917">
      <c r="A5917" s="11" t="s">
        <v>5948</v>
      </c>
    </row>
    <row r="5918">
      <c r="A5918" s="11" t="s">
        <v>5949</v>
      </c>
    </row>
    <row r="5919">
      <c r="A5919" s="11" t="s">
        <v>5950</v>
      </c>
    </row>
    <row r="5920">
      <c r="A5920" s="11" t="s">
        <v>5951</v>
      </c>
    </row>
    <row r="5921">
      <c r="A5921" s="11" t="s">
        <v>5952</v>
      </c>
    </row>
    <row r="5922">
      <c r="A5922" s="11" t="s">
        <v>5953</v>
      </c>
    </row>
    <row r="5923">
      <c r="A5923" s="11" t="s">
        <v>5954</v>
      </c>
    </row>
    <row r="5924">
      <c r="A5924" s="11" t="s">
        <v>5955</v>
      </c>
    </row>
    <row r="5925">
      <c r="A5925" s="11" t="s">
        <v>5956</v>
      </c>
    </row>
    <row r="5926">
      <c r="A5926" s="11" t="s">
        <v>5957</v>
      </c>
    </row>
    <row r="5927">
      <c r="A5927" s="11" t="s">
        <v>5958</v>
      </c>
    </row>
    <row r="5928">
      <c r="A5928" s="11" t="s">
        <v>5959</v>
      </c>
    </row>
    <row r="5929">
      <c r="A5929" s="11" t="s">
        <v>5960</v>
      </c>
    </row>
    <row r="5930">
      <c r="A5930" s="11" t="s">
        <v>5961</v>
      </c>
    </row>
    <row r="5931">
      <c r="A5931" s="11" t="s">
        <v>5962</v>
      </c>
    </row>
    <row r="5932">
      <c r="A5932" s="11" t="s">
        <v>5963</v>
      </c>
    </row>
    <row r="5933">
      <c r="A5933" s="11" t="s">
        <v>5964</v>
      </c>
    </row>
    <row r="5934">
      <c r="A5934" s="11" t="s">
        <v>5965</v>
      </c>
    </row>
    <row r="5935">
      <c r="A5935" s="11" t="s">
        <v>5966</v>
      </c>
    </row>
    <row r="5936">
      <c r="A5936" s="11" t="s">
        <v>5967</v>
      </c>
    </row>
    <row r="5937">
      <c r="A5937" s="11" t="s">
        <v>5968</v>
      </c>
    </row>
    <row r="5938">
      <c r="A5938" s="11" t="s">
        <v>5969</v>
      </c>
    </row>
    <row r="5939">
      <c r="A5939" s="11" t="s">
        <v>5970</v>
      </c>
    </row>
    <row r="5940">
      <c r="A5940" s="11" t="s">
        <v>5971</v>
      </c>
    </row>
    <row r="5941">
      <c r="A5941" s="11" t="s">
        <v>5972</v>
      </c>
    </row>
    <row r="5942">
      <c r="A5942" s="11" t="s">
        <v>5973</v>
      </c>
    </row>
    <row r="5943">
      <c r="A5943" s="11" t="s">
        <v>5974</v>
      </c>
    </row>
    <row r="5944">
      <c r="A5944" s="11" t="s">
        <v>5975</v>
      </c>
    </row>
    <row r="5945">
      <c r="A5945" s="11" t="s">
        <v>5976</v>
      </c>
    </row>
    <row r="5946">
      <c r="A5946" s="11" t="s">
        <v>5977</v>
      </c>
    </row>
    <row r="5947">
      <c r="A5947" s="11" t="s">
        <v>5978</v>
      </c>
    </row>
    <row r="5948">
      <c r="A5948" s="11" t="s">
        <v>5979</v>
      </c>
    </row>
    <row r="5949">
      <c r="A5949" s="11" t="s">
        <v>5980</v>
      </c>
    </row>
    <row r="5950">
      <c r="A5950" s="11" t="s">
        <v>5981</v>
      </c>
    </row>
    <row r="5951">
      <c r="A5951" s="11" t="s">
        <v>5982</v>
      </c>
    </row>
    <row r="5952">
      <c r="A5952" s="11" t="s">
        <v>5983</v>
      </c>
    </row>
    <row r="5953">
      <c r="A5953" s="11" t="s">
        <v>5984</v>
      </c>
    </row>
    <row r="5954">
      <c r="A5954" s="11" t="s">
        <v>5985</v>
      </c>
    </row>
    <row r="5955">
      <c r="A5955" s="11" t="s">
        <v>5986</v>
      </c>
    </row>
    <row r="5956">
      <c r="A5956" s="11" t="s">
        <v>5987</v>
      </c>
    </row>
    <row r="5957">
      <c r="A5957" s="11" t="s">
        <v>5988</v>
      </c>
    </row>
    <row r="5958">
      <c r="A5958" s="11" t="s">
        <v>5989</v>
      </c>
    </row>
    <row r="5959">
      <c r="A5959" s="11" t="s">
        <v>5990</v>
      </c>
    </row>
    <row r="5960">
      <c r="A5960" s="11" t="s">
        <v>5991</v>
      </c>
    </row>
    <row r="5961">
      <c r="A5961" s="11" t="s">
        <v>5992</v>
      </c>
    </row>
    <row r="5962">
      <c r="A5962" s="11" t="s">
        <v>5993</v>
      </c>
    </row>
    <row r="5963">
      <c r="A5963" s="11" t="s">
        <v>5994</v>
      </c>
    </row>
    <row r="5964">
      <c r="A5964" s="11" t="s">
        <v>5995</v>
      </c>
    </row>
    <row r="5965">
      <c r="A5965" s="11" t="s">
        <v>5996</v>
      </c>
    </row>
    <row r="5966">
      <c r="A5966" s="11" t="s">
        <v>5997</v>
      </c>
    </row>
    <row r="5967">
      <c r="A5967" s="11" t="s">
        <v>5998</v>
      </c>
    </row>
    <row r="5968">
      <c r="A5968" s="11" t="s">
        <v>5999</v>
      </c>
    </row>
    <row r="5969">
      <c r="A5969" s="11" t="s">
        <v>6000</v>
      </c>
    </row>
    <row r="5970">
      <c r="A5970" s="11" t="s">
        <v>6001</v>
      </c>
    </row>
    <row r="5971">
      <c r="A5971" s="11" t="s">
        <v>6002</v>
      </c>
    </row>
    <row r="5972">
      <c r="A5972" s="11" t="s">
        <v>6003</v>
      </c>
    </row>
    <row r="5973">
      <c r="A5973" s="11" t="s">
        <v>6004</v>
      </c>
    </row>
    <row r="5974">
      <c r="A5974" s="11" t="s">
        <v>6005</v>
      </c>
    </row>
    <row r="5975">
      <c r="A5975" s="11" t="s">
        <v>6006</v>
      </c>
    </row>
    <row r="5976">
      <c r="A5976" s="11" t="s">
        <v>6007</v>
      </c>
    </row>
    <row r="5977">
      <c r="A5977" s="11" t="s">
        <v>6008</v>
      </c>
    </row>
    <row r="5978">
      <c r="A5978" s="11" t="s">
        <v>6009</v>
      </c>
    </row>
    <row r="5979">
      <c r="A5979" s="11" t="s">
        <v>6010</v>
      </c>
    </row>
    <row r="5980">
      <c r="A5980" s="11" t="s">
        <v>6011</v>
      </c>
    </row>
    <row r="5981">
      <c r="A5981" s="11" t="s">
        <v>6012</v>
      </c>
    </row>
    <row r="5982">
      <c r="A5982" s="11" t="s">
        <v>6013</v>
      </c>
    </row>
    <row r="5983">
      <c r="A5983" s="11" t="s">
        <v>6014</v>
      </c>
    </row>
    <row r="5984">
      <c r="A5984" s="11" t="s">
        <v>6015</v>
      </c>
    </row>
    <row r="5985">
      <c r="A5985" s="11" t="s">
        <v>6016</v>
      </c>
    </row>
    <row r="5986">
      <c r="A5986" s="11" t="s">
        <v>6017</v>
      </c>
    </row>
    <row r="5987">
      <c r="A5987" s="11" t="s">
        <v>6018</v>
      </c>
    </row>
    <row r="5988">
      <c r="A5988" s="11" t="s">
        <v>6019</v>
      </c>
    </row>
    <row r="5989">
      <c r="A5989" s="11" t="s">
        <v>6020</v>
      </c>
    </row>
    <row r="5990">
      <c r="A5990" s="11" t="s">
        <v>6021</v>
      </c>
    </row>
    <row r="5991">
      <c r="A5991" s="11" t="s">
        <v>6022</v>
      </c>
    </row>
    <row r="5992">
      <c r="A5992" s="11" t="s">
        <v>6023</v>
      </c>
    </row>
    <row r="5993">
      <c r="A5993" s="11" t="s">
        <v>6024</v>
      </c>
    </row>
    <row r="5994">
      <c r="A5994" s="11" t="s">
        <v>6025</v>
      </c>
    </row>
    <row r="5995">
      <c r="A5995" s="11" t="s">
        <v>6026</v>
      </c>
    </row>
    <row r="5996">
      <c r="A5996" s="11" t="s">
        <v>6027</v>
      </c>
    </row>
    <row r="5997">
      <c r="A5997" s="11" t="s">
        <v>6028</v>
      </c>
    </row>
    <row r="5998">
      <c r="A5998" s="11" t="s">
        <v>6029</v>
      </c>
    </row>
    <row r="5999">
      <c r="A5999" s="11" t="s">
        <v>6030</v>
      </c>
    </row>
    <row r="6000">
      <c r="A6000" s="11" t="s">
        <v>6031</v>
      </c>
    </row>
    <row r="6001">
      <c r="A6001" s="11" t="s">
        <v>6032</v>
      </c>
    </row>
    <row r="6002">
      <c r="A6002" s="11" t="s">
        <v>6033</v>
      </c>
    </row>
    <row r="6003">
      <c r="A6003" s="11" t="s">
        <v>6034</v>
      </c>
    </row>
    <row r="6004">
      <c r="A6004" s="11" t="s">
        <v>6035</v>
      </c>
    </row>
    <row r="6005">
      <c r="A6005" s="11" t="s">
        <v>6036</v>
      </c>
    </row>
    <row r="6006">
      <c r="A6006" s="11" t="s">
        <v>6037</v>
      </c>
    </row>
    <row r="6007">
      <c r="A6007" s="11" t="s">
        <v>6038</v>
      </c>
    </row>
    <row r="6008">
      <c r="A6008" s="11" t="s">
        <v>6039</v>
      </c>
    </row>
    <row r="6009">
      <c r="A6009" s="11" t="s">
        <v>6040</v>
      </c>
    </row>
    <row r="6010">
      <c r="A6010" s="11" t="s">
        <v>6041</v>
      </c>
    </row>
    <row r="6011">
      <c r="A6011" s="11" t="s">
        <v>6042</v>
      </c>
    </row>
    <row r="6012">
      <c r="A6012" s="11" t="s">
        <v>6043</v>
      </c>
    </row>
    <row r="6013">
      <c r="A6013" s="11" t="s">
        <v>6044</v>
      </c>
    </row>
    <row r="6014">
      <c r="A6014" s="11" t="s">
        <v>6045</v>
      </c>
    </row>
    <row r="6015">
      <c r="A6015" s="11" t="s">
        <v>6046</v>
      </c>
    </row>
    <row r="6016">
      <c r="A6016" s="11" t="s">
        <v>6047</v>
      </c>
    </row>
    <row r="6017">
      <c r="A6017" s="11" t="s">
        <v>6048</v>
      </c>
    </row>
    <row r="6018">
      <c r="A6018" s="11" t="s">
        <v>6049</v>
      </c>
    </row>
    <row r="6019">
      <c r="A6019" s="11" t="s">
        <v>6050</v>
      </c>
    </row>
    <row r="6020">
      <c r="A6020" s="11" t="s">
        <v>6051</v>
      </c>
    </row>
    <row r="6021">
      <c r="A6021" s="11" t="s">
        <v>6052</v>
      </c>
    </row>
    <row r="6022">
      <c r="A6022" s="11" t="s">
        <v>6053</v>
      </c>
    </row>
    <row r="6023">
      <c r="A6023" s="11" t="s">
        <v>6054</v>
      </c>
    </row>
    <row r="6024">
      <c r="A6024" s="11" t="s">
        <v>6055</v>
      </c>
    </row>
    <row r="6025">
      <c r="A6025" s="11" t="s">
        <v>6056</v>
      </c>
    </row>
    <row r="6026">
      <c r="A6026" s="11" t="s">
        <v>6057</v>
      </c>
    </row>
    <row r="6027">
      <c r="A6027" s="11" t="s">
        <v>6058</v>
      </c>
    </row>
    <row r="6028">
      <c r="A6028" s="11" t="s">
        <v>6059</v>
      </c>
    </row>
    <row r="6029">
      <c r="A6029" s="11" t="s">
        <v>6060</v>
      </c>
    </row>
    <row r="6030">
      <c r="A6030" s="11" t="s">
        <v>6061</v>
      </c>
    </row>
    <row r="6031">
      <c r="A6031" s="11" t="s">
        <v>6062</v>
      </c>
    </row>
    <row r="6032">
      <c r="A6032" s="11" t="s">
        <v>6063</v>
      </c>
    </row>
    <row r="6033">
      <c r="A6033" s="11" t="s">
        <v>6064</v>
      </c>
    </row>
    <row r="6034">
      <c r="A6034" s="11" t="s">
        <v>6065</v>
      </c>
    </row>
    <row r="6035">
      <c r="A6035" s="11" t="s">
        <v>6066</v>
      </c>
    </row>
    <row r="6036">
      <c r="A6036" s="11" t="s">
        <v>6067</v>
      </c>
    </row>
    <row r="6037">
      <c r="A6037" s="11" t="s">
        <v>6068</v>
      </c>
    </row>
    <row r="6038">
      <c r="A6038" s="11" t="s">
        <v>6069</v>
      </c>
    </row>
    <row r="6039">
      <c r="A6039" s="11" t="s">
        <v>6070</v>
      </c>
    </row>
    <row r="6040">
      <c r="A6040" s="11" t="s">
        <v>6071</v>
      </c>
    </row>
    <row r="6041">
      <c r="A6041" s="11" t="s">
        <v>6072</v>
      </c>
    </row>
    <row r="6042">
      <c r="A6042" s="11" t="s">
        <v>6073</v>
      </c>
    </row>
    <row r="6043">
      <c r="A6043" s="11" t="s">
        <v>6074</v>
      </c>
    </row>
    <row r="6044">
      <c r="A6044" s="11" t="s">
        <v>6075</v>
      </c>
    </row>
    <row r="6045">
      <c r="A6045" s="11" t="s">
        <v>6076</v>
      </c>
    </row>
    <row r="6046">
      <c r="A6046" s="11" t="s">
        <v>6077</v>
      </c>
    </row>
    <row r="6047">
      <c r="A6047" s="11" t="s">
        <v>6078</v>
      </c>
    </row>
    <row r="6048">
      <c r="A6048" s="11" t="s">
        <v>6079</v>
      </c>
    </row>
    <row r="6049">
      <c r="A6049" s="11" t="s">
        <v>6080</v>
      </c>
    </row>
    <row r="6050">
      <c r="A6050" s="11" t="s">
        <v>6081</v>
      </c>
    </row>
    <row r="6051">
      <c r="A6051" s="11" t="s">
        <v>6082</v>
      </c>
    </row>
    <row r="6052">
      <c r="A6052" s="11" t="s">
        <v>6083</v>
      </c>
    </row>
    <row r="6053">
      <c r="A6053" s="11" t="s">
        <v>6084</v>
      </c>
    </row>
    <row r="6054">
      <c r="A6054" s="11" t="s">
        <v>6085</v>
      </c>
    </row>
    <row r="6055">
      <c r="A6055" s="11" t="s">
        <v>6086</v>
      </c>
    </row>
    <row r="6056">
      <c r="A6056" s="11" t="s">
        <v>6087</v>
      </c>
    </row>
    <row r="6057">
      <c r="A6057" s="11" t="s">
        <v>6088</v>
      </c>
    </row>
    <row r="6058">
      <c r="A6058" s="11" t="s">
        <v>6089</v>
      </c>
    </row>
    <row r="6059">
      <c r="A6059" s="11" t="s">
        <v>6090</v>
      </c>
    </row>
    <row r="6060">
      <c r="A6060" s="11" t="s">
        <v>6091</v>
      </c>
    </row>
    <row r="6061">
      <c r="A6061" s="11" t="s">
        <v>6092</v>
      </c>
    </row>
    <row r="6062">
      <c r="A6062" s="11" t="s">
        <v>6093</v>
      </c>
    </row>
    <row r="6063">
      <c r="A6063" s="11" t="s">
        <v>6094</v>
      </c>
    </row>
    <row r="6064">
      <c r="A6064" s="11" t="s">
        <v>6095</v>
      </c>
    </row>
    <row r="6065">
      <c r="A6065" s="11" t="s">
        <v>6096</v>
      </c>
    </row>
    <row r="6066">
      <c r="A6066" s="11" t="s">
        <v>6097</v>
      </c>
    </row>
    <row r="6067">
      <c r="A6067" s="11" t="s">
        <v>6098</v>
      </c>
    </row>
    <row r="6068">
      <c r="A6068" s="11" t="s">
        <v>6099</v>
      </c>
    </row>
    <row r="6069">
      <c r="A6069" s="11" t="s">
        <v>6100</v>
      </c>
    </row>
    <row r="6070">
      <c r="A6070" s="11" t="s">
        <v>6101</v>
      </c>
    </row>
    <row r="6071">
      <c r="A6071" s="11" t="s">
        <v>6102</v>
      </c>
    </row>
    <row r="6072">
      <c r="A6072" s="11" t="s">
        <v>6103</v>
      </c>
    </row>
    <row r="6073">
      <c r="A6073" s="11" t="s">
        <v>6104</v>
      </c>
    </row>
    <row r="6074">
      <c r="A6074" s="11" t="s">
        <v>6105</v>
      </c>
    </row>
    <row r="6075">
      <c r="A6075" s="11" t="s">
        <v>6106</v>
      </c>
    </row>
    <row r="6076">
      <c r="A6076" s="11" t="s">
        <v>6107</v>
      </c>
    </row>
    <row r="6077">
      <c r="A6077" s="11" t="s">
        <v>6108</v>
      </c>
    </row>
    <row r="6078">
      <c r="A6078" s="11" t="s">
        <v>6109</v>
      </c>
    </row>
    <row r="6079">
      <c r="A6079" s="11" t="s">
        <v>6110</v>
      </c>
    </row>
    <row r="6080">
      <c r="A6080" s="11" t="s">
        <v>6111</v>
      </c>
    </row>
    <row r="6081">
      <c r="A6081" s="11" t="s">
        <v>6112</v>
      </c>
    </row>
    <row r="6082">
      <c r="A6082" s="11" t="s">
        <v>6113</v>
      </c>
    </row>
    <row r="6083">
      <c r="A6083" s="11" t="s">
        <v>6114</v>
      </c>
    </row>
    <row r="6084">
      <c r="A6084" s="11" t="s">
        <v>6115</v>
      </c>
    </row>
    <row r="6085">
      <c r="A6085" s="11" t="s">
        <v>6116</v>
      </c>
    </row>
    <row r="6086">
      <c r="A6086" s="11" t="s">
        <v>6117</v>
      </c>
    </row>
    <row r="6087">
      <c r="A6087" s="11" t="s">
        <v>6118</v>
      </c>
    </row>
    <row r="6088">
      <c r="A6088" s="11" t="s">
        <v>6119</v>
      </c>
    </row>
    <row r="6089">
      <c r="A6089" s="11" t="s">
        <v>6120</v>
      </c>
    </row>
    <row r="6090">
      <c r="A6090" s="11" t="s">
        <v>6121</v>
      </c>
    </row>
    <row r="6091">
      <c r="A6091" s="11" t="s">
        <v>6122</v>
      </c>
    </row>
    <row r="6092">
      <c r="A6092" s="11" t="s">
        <v>6123</v>
      </c>
    </row>
    <row r="6093">
      <c r="A6093" s="11" t="s">
        <v>6124</v>
      </c>
    </row>
    <row r="6094">
      <c r="A6094" s="11" t="s">
        <v>6125</v>
      </c>
    </row>
    <row r="6095">
      <c r="A6095" s="11" t="s">
        <v>6126</v>
      </c>
    </row>
    <row r="6096">
      <c r="A6096" s="11" t="s">
        <v>6127</v>
      </c>
    </row>
    <row r="6097">
      <c r="A6097" s="11" t="s">
        <v>6128</v>
      </c>
    </row>
    <row r="6098">
      <c r="A6098" s="11" t="s">
        <v>6129</v>
      </c>
    </row>
    <row r="6099">
      <c r="A6099" s="11" t="s">
        <v>6130</v>
      </c>
    </row>
    <row r="6100">
      <c r="A6100" s="11" t="s">
        <v>6131</v>
      </c>
    </row>
    <row r="6101">
      <c r="A6101" s="11" t="s">
        <v>6132</v>
      </c>
    </row>
    <row r="6102">
      <c r="A6102" s="11" t="s">
        <v>6133</v>
      </c>
    </row>
    <row r="6103">
      <c r="A6103" s="11" t="s">
        <v>6134</v>
      </c>
    </row>
    <row r="6104">
      <c r="A6104" s="11" t="s">
        <v>6135</v>
      </c>
    </row>
    <row r="6105">
      <c r="A6105" s="11" t="s">
        <v>6136</v>
      </c>
    </row>
    <row r="6106">
      <c r="A6106" s="11" t="s">
        <v>6137</v>
      </c>
    </row>
    <row r="6107">
      <c r="A6107" s="11" t="s">
        <v>6138</v>
      </c>
    </row>
    <row r="6108">
      <c r="A6108" s="11" t="s">
        <v>6139</v>
      </c>
    </row>
    <row r="6109">
      <c r="A6109" s="11" t="s">
        <v>6140</v>
      </c>
    </row>
    <row r="6110">
      <c r="A6110" s="11" t="s">
        <v>6141</v>
      </c>
    </row>
    <row r="6111">
      <c r="A6111" s="11" t="s">
        <v>6142</v>
      </c>
    </row>
    <row r="6112">
      <c r="A6112" s="11" t="s">
        <v>6143</v>
      </c>
    </row>
    <row r="6113">
      <c r="A6113" s="11" t="s">
        <v>6144</v>
      </c>
    </row>
    <row r="6114">
      <c r="A6114" s="11" t="s">
        <v>6145</v>
      </c>
    </row>
    <row r="6115">
      <c r="A6115" s="11" t="s">
        <v>6146</v>
      </c>
    </row>
    <row r="6116">
      <c r="A6116" s="11" t="s">
        <v>6147</v>
      </c>
    </row>
    <row r="6117">
      <c r="A6117" s="11" t="s">
        <v>6148</v>
      </c>
    </row>
    <row r="6118">
      <c r="A6118" s="11" t="s">
        <v>6149</v>
      </c>
    </row>
    <row r="6119">
      <c r="A6119" s="11" t="s">
        <v>6150</v>
      </c>
    </row>
    <row r="6120">
      <c r="A6120" s="11" t="s">
        <v>6151</v>
      </c>
    </row>
    <row r="6121">
      <c r="A6121" s="11" t="s">
        <v>6152</v>
      </c>
    </row>
    <row r="6122">
      <c r="A6122" s="11" t="s">
        <v>6153</v>
      </c>
    </row>
    <row r="6123">
      <c r="A6123" s="11" t="s">
        <v>6154</v>
      </c>
    </row>
    <row r="6124">
      <c r="A6124" s="11" t="s">
        <v>6155</v>
      </c>
    </row>
    <row r="6125">
      <c r="A6125" s="11" t="s">
        <v>6156</v>
      </c>
    </row>
    <row r="6126">
      <c r="A6126" s="11" t="s">
        <v>6157</v>
      </c>
    </row>
    <row r="6127">
      <c r="A6127" s="11" t="s">
        <v>6158</v>
      </c>
    </row>
    <row r="6128">
      <c r="A6128" s="11" t="s">
        <v>6159</v>
      </c>
    </row>
    <row r="6129">
      <c r="A6129" s="11" t="s">
        <v>6160</v>
      </c>
    </row>
    <row r="6130">
      <c r="A6130" s="11" t="s">
        <v>6161</v>
      </c>
    </row>
    <row r="6131">
      <c r="A6131" s="11" t="s">
        <v>6162</v>
      </c>
    </row>
    <row r="6132">
      <c r="A6132" s="11" t="s">
        <v>6163</v>
      </c>
    </row>
    <row r="6133">
      <c r="A6133" s="11" t="s">
        <v>6164</v>
      </c>
    </row>
    <row r="6134">
      <c r="A6134" s="11" t="s">
        <v>6165</v>
      </c>
    </row>
    <row r="6135">
      <c r="A6135" s="11" t="s">
        <v>6166</v>
      </c>
    </row>
    <row r="6136">
      <c r="A6136" s="11" t="s">
        <v>6167</v>
      </c>
    </row>
    <row r="6137">
      <c r="A6137" s="11" t="s">
        <v>6168</v>
      </c>
    </row>
    <row r="6138">
      <c r="A6138" s="11" t="s">
        <v>6169</v>
      </c>
    </row>
    <row r="6139">
      <c r="A6139" s="11" t="s">
        <v>6170</v>
      </c>
    </row>
    <row r="6140">
      <c r="A6140" s="11" t="s">
        <v>6171</v>
      </c>
    </row>
    <row r="6141">
      <c r="A6141" s="11" t="s">
        <v>6172</v>
      </c>
    </row>
    <row r="6142">
      <c r="A6142" s="11" t="s">
        <v>6173</v>
      </c>
    </row>
    <row r="6143">
      <c r="A6143" s="11" t="s">
        <v>6174</v>
      </c>
    </row>
    <row r="6144">
      <c r="A6144" s="11" t="s">
        <v>6175</v>
      </c>
    </row>
    <row r="6145">
      <c r="A6145" s="11" t="s">
        <v>6176</v>
      </c>
    </row>
    <row r="6146">
      <c r="A6146" s="11" t="s">
        <v>6177</v>
      </c>
    </row>
    <row r="6147">
      <c r="A6147" s="11" t="s">
        <v>6178</v>
      </c>
    </row>
    <row r="6148">
      <c r="A6148" s="11" t="s">
        <v>6179</v>
      </c>
    </row>
    <row r="6149">
      <c r="A6149" s="11" t="s">
        <v>6180</v>
      </c>
    </row>
    <row r="6150">
      <c r="A6150" s="11" t="s">
        <v>6181</v>
      </c>
    </row>
    <row r="6151">
      <c r="A6151" s="11" t="s">
        <v>6182</v>
      </c>
    </row>
    <row r="6152">
      <c r="A6152" s="11" t="s">
        <v>6183</v>
      </c>
    </row>
    <row r="6153">
      <c r="A6153" s="11" t="s">
        <v>6184</v>
      </c>
    </row>
    <row r="6154">
      <c r="A6154" s="11" t="s">
        <v>6185</v>
      </c>
    </row>
    <row r="6155">
      <c r="A6155" s="11" t="s">
        <v>6186</v>
      </c>
    </row>
    <row r="6156">
      <c r="A6156" s="11" t="s">
        <v>6187</v>
      </c>
    </row>
    <row r="6157">
      <c r="A6157" s="11" t="s">
        <v>6188</v>
      </c>
    </row>
    <row r="6158">
      <c r="A6158" s="11" t="s">
        <v>6189</v>
      </c>
    </row>
    <row r="6159">
      <c r="A6159" s="11" t="s">
        <v>6190</v>
      </c>
    </row>
    <row r="6160">
      <c r="A6160" s="11" t="s">
        <v>6191</v>
      </c>
    </row>
    <row r="6161">
      <c r="A6161" s="11" t="s">
        <v>6192</v>
      </c>
    </row>
    <row r="6162">
      <c r="A6162" s="11" t="s">
        <v>6193</v>
      </c>
    </row>
    <row r="6163">
      <c r="A6163" s="11" t="s">
        <v>6194</v>
      </c>
    </row>
    <row r="6164">
      <c r="A6164" s="11" t="s">
        <v>6195</v>
      </c>
    </row>
    <row r="6165">
      <c r="A6165" s="11" t="s">
        <v>6196</v>
      </c>
    </row>
    <row r="6166">
      <c r="A6166" s="11" t="s">
        <v>6197</v>
      </c>
    </row>
    <row r="6167">
      <c r="A6167" s="11" t="s">
        <v>6198</v>
      </c>
    </row>
    <row r="6168">
      <c r="A6168" s="11" t="s">
        <v>6199</v>
      </c>
    </row>
    <row r="6169">
      <c r="A6169" s="11" t="s">
        <v>6200</v>
      </c>
    </row>
    <row r="6170">
      <c r="A6170" s="11" t="s">
        <v>6201</v>
      </c>
    </row>
    <row r="6171">
      <c r="A6171" s="11" t="s">
        <v>6202</v>
      </c>
    </row>
    <row r="6172">
      <c r="A6172" s="11" t="s">
        <v>6203</v>
      </c>
    </row>
    <row r="6173">
      <c r="A6173" s="11" t="s">
        <v>6204</v>
      </c>
    </row>
    <row r="6174">
      <c r="A6174" s="11" t="s">
        <v>6205</v>
      </c>
    </row>
    <row r="6175">
      <c r="A6175" s="11" t="s">
        <v>6206</v>
      </c>
    </row>
    <row r="6176">
      <c r="A6176" s="11" t="s">
        <v>6207</v>
      </c>
    </row>
    <row r="6177">
      <c r="A6177" s="11" t="s">
        <v>6208</v>
      </c>
    </row>
    <row r="6178">
      <c r="A6178" s="11" t="s">
        <v>6209</v>
      </c>
    </row>
    <row r="6179">
      <c r="A6179" s="11" t="s">
        <v>6210</v>
      </c>
    </row>
    <row r="6180">
      <c r="A6180" s="11" t="s">
        <v>6211</v>
      </c>
    </row>
    <row r="6181">
      <c r="A6181" s="11" t="s">
        <v>6212</v>
      </c>
    </row>
    <row r="6182">
      <c r="A6182" s="11" t="s">
        <v>6213</v>
      </c>
    </row>
    <row r="6183">
      <c r="A6183" s="11" t="s">
        <v>6214</v>
      </c>
    </row>
    <row r="6184">
      <c r="A6184" s="11" t="s">
        <v>6215</v>
      </c>
    </row>
    <row r="6185">
      <c r="A6185" s="11" t="s">
        <v>6216</v>
      </c>
    </row>
    <row r="6186">
      <c r="A6186" s="11" t="s">
        <v>6217</v>
      </c>
    </row>
    <row r="6187">
      <c r="A6187" s="11" t="s">
        <v>6218</v>
      </c>
    </row>
    <row r="6188">
      <c r="A6188" s="11" t="s">
        <v>6219</v>
      </c>
    </row>
    <row r="6189">
      <c r="A6189" s="11" t="s">
        <v>6220</v>
      </c>
    </row>
    <row r="6190">
      <c r="A6190" s="11" t="s">
        <v>6221</v>
      </c>
    </row>
    <row r="6191">
      <c r="A6191" s="11" t="s">
        <v>6222</v>
      </c>
    </row>
    <row r="6192">
      <c r="A6192" s="11" t="s">
        <v>6223</v>
      </c>
    </row>
    <row r="6193">
      <c r="A6193" s="11" t="s">
        <v>6224</v>
      </c>
    </row>
    <row r="6194">
      <c r="A6194" s="11" t="s">
        <v>6225</v>
      </c>
    </row>
    <row r="6195">
      <c r="A6195" s="11" t="s">
        <v>6226</v>
      </c>
    </row>
    <row r="6196">
      <c r="A6196" s="11" t="s">
        <v>6227</v>
      </c>
    </row>
    <row r="6197">
      <c r="A6197" s="11" t="s">
        <v>6228</v>
      </c>
    </row>
    <row r="6198">
      <c r="A6198" s="11" t="s">
        <v>6229</v>
      </c>
    </row>
    <row r="6199">
      <c r="A6199" s="11" t="s">
        <v>6230</v>
      </c>
    </row>
    <row r="6200">
      <c r="A6200" s="11" t="s">
        <v>6231</v>
      </c>
    </row>
    <row r="6201">
      <c r="A6201" s="11" t="s">
        <v>6232</v>
      </c>
    </row>
    <row r="6202">
      <c r="A6202" s="11" t="s">
        <v>6233</v>
      </c>
    </row>
    <row r="6203">
      <c r="A6203" s="11" t="s">
        <v>6234</v>
      </c>
    </row>
    <row r="6204">
      <c r="A6204" s="11" t="s">
        <v>6235</v>
      </c>
    </row>
    <row r="6205">
      <c r="A6205" s="11" t="s">
        <v>6236</v>
      </c>
    </row>
    <row r="6206">
      <c r="A6206" s="11" t="s">
        <v>6237</v>
      </c>
    </row>
    <row r="6207">
      <c r="A6207" s="11" t="s">
        <v>6238</v>
      </c>
    </row>
    <row r="6208">
      <c r="A6208" s="11" t="s">
        <v>6239</v>
      </c>
    </row>
    <row r="6209">
      <c r="A6209" s="11" t="s">
        <v>6240</v>
      </c>
    </row>
    <row r="6210">
      <c r="A6210" s="11" t="s">
        <v>6241</v>
      </c>
    </row>
    <row r="6211">
      <c r="A6211" s="11" t="s">
        <v>6242</v>
      </c>
    </row>
    <row r="6212">
      <c r="A6212" s="11" t="s">
        <v>6243</v>
      </c>
    </row>
    <row r="6213">
      <c r="A6213" s="11" t="s">
        <v>6244</v>
      </c>
    </row>
    <row r="6214">
      <c r="A6214" s="11" t="s">
        <v>6245</v>
      </c>
    </row>
    <row r="6215">
      <c r="A6215" s="11" t="s">
        <v>6246</v>
      </c>
    </row>
    <row r="6216">
      <c r="A6216" s="11" t="s">
        <v>6247</v>
      </c>
    </row>
    <row r="6217">
      <c r="A6217" s="11" t="s">
        <v>6248</v>
      </c>
    </row>
    <row r="6218">
      <c r="A6218" s="11" t="s">
        <v>6249</v>
      </c>
    </row>
    <row r="6219">
      <c r="A6219" s="11" t="s">
        <v>6250</v>
      </c>
    </row>
    <row r="6220">
      <c r="A6220" s="11" t="s">
        <v>6251</v>
      </c>
    </row>
    <row r="6221">
      <c r="A6221" s="11" t="s">
        <v>6252</v>
      </c>
    </row>
    <row r="6222">
      <c r="A6222" s="11" t="s">
        <v>6253</v>
      </c>
    </row>
    <row r="6223">
      <c r="A6223" s="11" t="s">
        <v>6254</v>
      </c>
    </row>
    <row r="6224">
      <c r="A6224" s="11" t="s">
        <v>6255</v>
      </c>
    </row>
    <row r="6225">
      <c r="A6225" s="11" t="s">
        <v>6256</v>
      </c>
    </row>
    <row r="6226">
      <c r="A6226" s="11" t="s">
        <v>6257</v>
      </c>
    </row>
    <row r="6227">
      <c r="A6227" s="11" t="s">
        <v>6258</v>
      </c>
    </row>
    <row r="6228">
      <c r="A6228" s="11" t="s">
        <v>6259</v>
      </c>
    </row>
    <row r="6229">
      <c r="A6229" s="11" t="s">
        <v>6260</v>
      </c>
    </row>
    <row r="6230">
      <c r="A6230" s="11" t="s">
        <v>6261</v>
      </c>
    </row>
    <row r="6231">
      <c r="A6231" s="11" t="s">
        <v>6262</v>
      </c>
    </row>
    <row r="6232">
      <c r="A6232" s="11" t="s">
        <v>6263</v>
      </c>
    </row>
    <row r="6233">
      <c r="A6233" s="11" t="s">
        <v>6264</v>
      </c>
    </row>
    <row r="6234">
      <c r="A6234" s="11" t="s">
        <v>6265</v>
      </c>
    </row>
    <row r="6235">
      <c r="A6235" s="11" t="s">
        <v>6266</v>
      </c>
    </row>
    <row r="6236">
      <c r="A6236" s="11" t="s">
        <v>6267</v>
      </c>
    </row>
    <row r="6237">
      <c r="A6237" s="11" t="s">
        <v>6268</v>
      </c>
    </row>
    <row r="6238">
      <c r="A6238" s="11" t="s">
        <v>6269</v>
      </c>
    </row>
    <row r="6239">
      <c r="A6239" s="11" t="s">
        <v>6270</v>
      </c>
    </row>
    <row r="6240">
      <c r="A6240" s="11" t="s">
        <v>6271</v>
      </c>
    </row>
    <row r="6241">
      <c r="A6241" s="11" t="s">
        <v>6272</v>
      </c>
    </row>
    <row r="6242">
      <c r="A6242" s="11" t="s">
        <v>6273</v>
      </c>
    </row>
    <row r="6243">
      <c r="A6243" s="11" t="s">
        <v>6274</v>
      </c>
    </row>
    <row r="6244">
      <c r="A6244" s="11" t="s">
        <v>6275</v>
      </c>
    </row>
    <row r="6245">
      <c r="A6245" s="11" t="s">
        <v>6276</v>
      </c>
    </row>
    <row r="6246">
      <c r="A6246" s="11" t="s">
        <v>6277</v>
      </c>
    </row>
    <row r="6247">
      <c r="A6247" s="11" t="s">
        <v>6278</v>
      </c>
    </row>
    <row r="6248">
      <c r="A6248" s="11" t="s">
        <v>6279</v>
      </c>
    </row>
    <row r="6249">
      <c r="A6249" s="11" t="s">
        <v>6280</v>
      </c>
    </row>
    <row r="6250">
      <c r="A6250" s="11" t="s">
        <v>6281</v>
      </c>
    </row>
    <row r="6251">
      <c r="A6251" s="11" t="s">
        <v>6282</v>
      </c>
    </row>
    <row r="6252">
      <c r="A6252" s="11" t="s">
        <v>6283</v>
      </c>
    </row>
    <row r="6253">
      <c r="A6253" s="11" t="s">
        <v>6284</v>
      </c>
    </row>
    <row r="6254">
      <c r="A6254" s="11" t="s">
        <v>6285</v>
      </c>
    </row>
    <row r="6255">
      <c r="A6255" s="11" t="s">
        <v>6286</v>
      </c>
    </row>
    <row r="6256">
      <c r="A6256" s="11" t="s">
        <v>6287</v>
      </c>
    </row>
    <row r="6257">
      <c r="A6257" s="11" t="s">
        <v>6288</v>
      </c>
    </row>
    <row r="6258">
      <c r="A6258" s="11" t="s">
        <v>6289</v>
      </c>
    </row>
    <row r="6259">
      <c r="A6259" s="11" t="s">
        <v>6290</v>
      </c>
    </row>
    <row r="6260">
      <c r="A6260" s="11" t="s">
        <v>6291</v>
      </c>
    </row>
    <row r="6261">
      <c r="A6261" s="11" t="s">
        <v>6292</v>
      </c>
    </row>
    <row r="6262">
      <c r="A6262" s="11" t="s">
        <v>6293</v>
      </c>
    </row>
    <row r="6263">
      <c r="A6263" s="11" t="s">
        <v>6294</v>
      </c>
    </row>
    <row r="6264">
      <c r="A6264" s="11" t="s">
        <v>6295</v>
      </c>
    </row>
    <row r="6265">
      <c r="A6265" s="11" t="s">
        <v>6296</v>
      </c>
    </row>
    <row r="6266">
      <c r="A6266" s="11" t="s">
        <v>6297</v>
      </c>
    </row>
    <row r="6267">
      <c r="A6267" s="11" t="s">
        <v>6298</v>
      </c>
    </row>
    <row r="6268">
      <c r="A6268" s="11" t="s">
        <v>6299</v>
      </c>
    </row>
    <row r="6269">
      <c r="A6269" s="11" t="s">
        <v>6300</v>
      </c>
    </row>
    <row r="6270">
      <c r="A6270" s="11" t="s">
        <v>6301</v>
      </c>
    </row>
    <row r="6271">
      <c r="A6271" s="11" t="s">
        <v>6302</v>
      </c>
    </row>
    <row r="6272">
      <c r="A6272" s="11" t="s">
        <v>6303</v>
      </c>
    </row>
    <row r="6273">
      <c r="A6273" s="11" t="s">
        <v>6304</v>
      </c>
    </row>
    <row r="6274">
      <c r="A6274" s="11" t="s">
        <v>6305</v>
      </c>
    </row>
    <row r="6275">
      <c r="A6275" s="11" t="s">
        <v>6306</v>
      </c>
    </row>
    <row r="6276">
      <c r="A6276" s="11" t="s">
        <v>6307</v>
      </c>
    </row>
    <row r="6277">
      <c r="A6277" s="11" t="s">
        <v>6308</v>
      </c>
    </row>
    <row r="6278">
      <c r="A6278" s="11" t="s">
        <v>6309</v>
      </c>
    </row>
    <row r="6279">
      <c r="A6279" s="11" t="s">
        <v>6310</v>
      </c>
    </row>
    <row r="6280">
      <c r="A6280" s="11" t="s">
        <v>6311</v>
      </c>
    </row>
    <row r="6281">
      <c r="A6281" s="11" t="s">
        <v>6312</v>
      </c>
    </row>
    <row r="6282">
      <c r="A6282" s="11" t="s">
        <v>6313</v>
      </c>
    </row>
    <row r="6283">
      <c r="A6283" s="11" t="s">
        <v>6314</v>
      </c>
    </row>
    <row r="6284">
      <c r="A6284" s="11" t="s">
        <v>6315</v>
      </c>
    </row>
    <row r="6285">
      <c r="A6285" s="11" t="s">
        <v>6316</v>
      </c>
    </row>
    <row r="6286">
      <c r="A6286" s="11" t="s">
        <v>6317</v>
      </c>
    </row>
    <row r="6287">
      <c r="A6287" s="11" t="s">
        <v>6318</v>
      </c>
    </row>
    <row r="6288">
      <c r="A6288" s="11" t="s">
        <v>6319</v>
      </c>
    </row>
    <row r="6289">
      <c r="A6289" s="11" t="s">
        <v>6320</v>
      </c>
    </row>
    <row r="6290">
      <c r="A6290" s="11" t="s">
        <v>6321</v>
      </c>
    </row>
    <row r="6291">
      <c r="A6291" s="11" t="s">
        <v>6322</v>
      </c>
    </row>
    <row r="6292">
      <c r="A6292" s="11" t="s">
        <v>6323</v>
      </c>
    </row>
    <row r="6293">
      <c r="A6293" s="11" t="s">
        <v>6324</v>
      </c>
    </row>
    <row r="6294">
      <c r="A6294" s="11" t="s">
        <v>6325</v>
      </c>
    </row>
    <row r="6295">
      <c r="A6295" s="11" t="s">
        <v>6326</v>
      </c>
    </row>
    <row r="6296">
      <c r="A6296" s="11" t="s">
        <v>6327</v>
      </c>
    </row>
    <row r="6297">
      <c r="A6297" s="11" t="s">
        <v>6328</v>
      </c>
    </row>
    <row r="6298">
      <c r="A6298" s="11" t="s">
        <v>6329</v>
      </c>
    </row>
    <row r="6299">
      <c r="A6299" s="11" t="s">
        <v>6330</v>
      </c>
    </row>
    <row r="6300">
      <c r="A6300" s="11" t="s">
        <v>6331</v>
      </c>
    </row>
    <row r="6301">
      <c r="A6301" s="11" t="s">
        <v>6332</v>
      </c>
    </row>
    <row r="6302">
      <c r="A6302" s="11" t="s">
        <v>6333</v>
      </c>
    </row>
    <row r="6303">
      <c r="A6303" s="11" t="s">
        <v>6334</v>
      </c>
    </row>
    <row r="6304">
      <c r="A6304" s="11" t="s">
        <v>6335</v>
      </c>
    </row>
    <row r="6305">
      <c r="A6305" s="11" t="s">
        <v>6336</v>
      </c>
    </row>
    <row r="6306">
      <c r="A6306" s="11" t="s">
        <v>6337</v>
      </c>
    </row>
    <row r="6307">
      <c r="A6307" s="11" t="s">
        <v>6338</v>
      </c>
    </row>
    <row r="6308">
      <c r="A6308" s="11" t="s">
        <v>6339</v>
      </c>
    </row>
    <row r="6309">
      <c r="A6309" s="11" t="s">
        <v>6340</v>
      </c>
    </row>
    <row r="6310">
      <c r="A6310" s="11" t="s">
        <v>6341</v>
      </c>
    </row>
    <row r="6311">
      <c r="A6311" s="11" t="s">
        <v>6342</v>
      </c>
    </row>
    <row r="6312">
      <c r="A6312" s="11" t="s">
        <v>6343</v>
      </c>
    </row>
    <row r="6313">
      <c r="A6313" s="11" t="s">
        <v>6344</v>
      </c>
    </row>
    <row r="6314">
      <c r="A6314" s="11" t="s">
        <v>6345</v>
      </c>
    </row>
    <row r="6315">
      <c r="A6315" s="11" t="s">
        <v>6346</v>
      </c>
    </row>
    <row r="6316">
      <c r="A6316" s="11" t="s">
        <v>6347</v>
      </c>
    </row>
    <row r="6317">
      <c r="A6317" s="11" t="s">
        <v>6348</v>
      </c>
    </row>
    <row r="6318">
      <c r="A6318" s="11" t="s">
        <v>6349</v>
      </c>
    </row>
    <row r="6319">
      <c r="A6319" s="11" t="s">
        <v>6350</v>
      </c>
    </row>
    <row r="6320">
      <c r="A6320" s="11" t="s">
        <v>6351</v>
      </c>
    </row>
    <row r="6321">
      <c r="A6321" s="11" t="s">
        <v>6352</v>
      </c>
    </row>
    <row r="6322">
      <c r="A6322" s="11" t="s">
        <v>6353</v>
      </c>
    </row>
    <row r="6323">
      <c r="A6323" s="11" t="s">
        <v>6354</v>
      </c>
    </row>
    <row r="6324">
      <c r="A6324" s="11" t="s">
        <v>6355</v>
      </c>
    </row>
    <row r="6325">
      <c r="A6325" s="11" t="s">
        <v>6356</v>
      </c>
    </row>
    <row r="6326">
      <c r="A6326" s="11" t="s">
        <v>6357</v>
      </c>
    </row>
    <row r="6327">
      <c r="A6327" s="11" t="s">
        <v>6358</v>
      </c>
    </row>
    <row r="6328">
      <c r="A6328" s="11" t="s">
        <v>6359</v>
      </c>
    </row>
    <row r="6329">
      <c r="A6329" s="11" t="s">
        <v>6360</v>
      </c>
    </row>
    <row r="6330">
      <c r="A6330" s="11" t="s">
        <v>6361</v>
      </c>
    </row>
    <row r="6331">
      <c r="A6331" s="11" t="s">
        <v>6362</v>
      </c>
    </row>
    <row r="6332">
      <c r="A6332" s="11" t="s">
        <v>6363</v>
      </c>
    </row>
    <row r="6333">
      <c r="A6333" s="11" t="s">
        <v>6364</v>
      </c>
    </row>
    <row r="6334">
      <c r="A6334" s="11" t="s">
        <v>6365</v>
      </c>
    </row>
    <row r="6335">
      <c r="A6335" s="11" t="s">
        <v>6366</v>
      </c>
    </row>
    <row r="6336">
      <c r="A6336" s="11" t="s">
        <v>6367</v>
      </c>
    </row>
    <row r="6337">
      <c r="A6337" s="11" t="s">
        <v>6368</v>
      </c>
    </row>
    <row r="6338">
      <c r="A6338" s="11" t="s">
        <v>6369</v>
      </c>
    </row>
    <row r="6339">
      <c r="A6339" s="11" t="s">
        <v>6370</v>
      </c>
    </row>
    <row r="6340">
      <c r="A6340" s="11" t="s">
        <v>6371</v>
      </c>
    </row>
    <row r="6341">
      <c r="A6341" s="11" t="s">
        <v>6372</v>
      </c>
    </row>
    <row r="6342">
      <c r="A6342" s="11" t="s">
        <v>6373</v>
      </c>
    </row>
    <row r="6343">
      <c r="A6343" s="11" t="s">
        <v>6374</v>
      </c>
    </row>
    <row r="6344">
      <c r="A6344" s="11" t="s">
        <v>6375</v>
      </c>
    </row>
    <row r="6345">
      <c r="A6345" s="11" t="s">
        <v>6376</v>
      </c>
    </row>
    <row r="6346">
      <c r="A6346" s="11" t="s">
        <v>6377</v>
      </c>
    </row>
    <row r="6347">
      <c r="A6347" s="11" t="s">
        <v>6378</v>
      </c>
    </row>
    <row r="6348">
      <c r="A6348" s="11" t="s">
        <v>6379</v>
      </c>
    </row>
    <row r="6349">
      <c r="A6349" s="11" t="s">
        <v>6380</v>
      </c>
    </row>
    <row r="6350">
      <c r="A6350" s="11" t="s">
        <v>6381</v>
      </c>
    </row>
    <row r="6351">
      <c r="A6351" s="11" t="s">
        <v>6382</v>
      </c>
    </row>
    <row r="6352">
      <c r="A6352" s="11" t="s">
        <v>6383</v>
      </c>
    </row>
    <row r="6353">
      <c r="A6353" s="11" t="s">
        <v>6384</v>
      </c>
    </row>
    <row r="6354">
      <c r="A6354" s="11" t="s">
        <v>6385</v>
      </c>
    </row>
    <row r="6355">
      <c r="A6355" s="11" t="s">
        <v>6386</v>
      </c>
    </row>
    <row r="6356">
      <c r="A6356" s="11" t="s">
        <v>6387</v>
      </c>
    </row>
    <row r="6357">
      <c r="A6357" s="11" t="s">
        <v>6388</v>
      </c>
    </row>
    <row r="6358">
      <c r="A6358" s="11" t="s">
        <v>6389</v>
      </c>
    </row>
    <row r="6359">
      <c r="A6359" s="11" t="s">
        <v>6390</v>
      </c>
    </row>
    <row r="6360">
      <c r="A6360" s="11" t="s">
        <v>6391</v>
      </c>
    </row>
    <row r="6361">
      <c r="A6361" s="11" t="s">
        <v>6392</v>
      </c>
    </row>
    <row r="6362">
      <c r="A6362" s="11" t="s">
        <v>6393</v>
      </c>
    </row>
    <row r="6363">
      <c r="A6363" s="11" t="s">
        <v>6394</v>
      </c>
    </row>
    <row r="6364">
      <c r="A6364" s="11" t="s">
        <v>6395</v>
      </c>
    </row>
    <row r="6365">
      <c r="A6365" s="11" t="s">
        <v>6396</v>
      </c>
    </row>
    <row r="6366">
      <c r="A6366" s="11" t="s">
        <v>6397</v>
      </c>
    </row>
    <row r="6367">
      <c r="A6367" s="11" t="s">
        <v>6398</v>
      </c>
    </row>
    <row r="6368">
      <c r="A6368" s="11" t="s">
        <v>6399</v>
      </c>
    </row>
    <row r="6369">
      <c r="A6369" s="11" t="s">
        <v>6400</v>
      </c>
    </row>
    <row r="6370">
      <c r="A6370" s="11" t="s">
        <v>6401</v>
      </c>
    </row>
    <row r="6371">
      <c r="A6371" s="11" t="s">
        <v>6402</v>
      </c>
    </row>
    <row r="6372">
      <c r="A6372" s="11" t="s">
        <v>6403</v>
      </c>
    </row>
    <row r="6373">
      <c r="A6373" s="11" t="s">
        <v>6404</v>
      </c>
    </row>
    <row r="6374">
      <c r="A6374" s="11" t="s">
        <v>6405</v>
      </c>
    </row>
    <row r="6375">
      <c r="A6375" s="11" t="s">
        <v>6406</v>
      </c>
    </row>
    <row r="6376">
      <c r="A6376" s="11" t="s">
        <v>6407</v>
      </c>
    </row>
    <row r="6377">
      <c r="A6377" s="11" t="s">
        <v>6408</v>
      </c>
    </row>
    <row r="6378">
      <c r="A6378" s="11" t="s">
        <v>6409</v>
      </c>
    </row>
    <row r="6379">
      <c r="A6379" s="11" t="s">
        <v>6410</v>
      </c>
    </row>
    <row r="6380">
      <c r="A6380" s="11" t="s">
        <v>6411</v>
      </c>
    </row>
    <row r="6381">
      <c r="A6381" s="11" t="s">
        <v>6412</v>
      </c>
    </row>
    <row r="6382">
      <c r="A6382" s="11" t="s">
        <v>6413</v>
      </c>
    </row>
    <row r="6383">
      <c r="A6383" s="11" t="s">
        <v>6414</v>
      </c>
    </row>
    <row r="6384">
      <c r="A6384" s="11" t="s">
        <v>6415</v>
      </c>
    </row>
    <row r="6385">
      <c r="A6385" s="11" t="s">
        <v>6416</v>
      </c>
    </row>
    <row r="6386">
      <c r="A6386" s="11" t="s">
        <v>6417</v>
      </c>
    </row>
    <row r="6387">
      <c r="A6387" s="11" t="s">
        <v>6418</v>
      </c>
    </row>
    <row r="6388">
      <c r="A6388" s="11" t="s">
        <v>6419</v>
      </c>
    </row>
    <row r="6389">
      <c r="A6389" s="11" t="s">
        <v>6420</v>
      </c>
    </row>
    <row r="6390">
      <c r="A6390" s="11" t="s">
        <v>6421</v>
      </c>
    </row>
    <row r="6391">
      <c r="A6391" s="11" t="s">
        <v>6422</v>
      </c>
    </row>
    <row r="6392">
      <c r="A6392" s="11" t="s">
        <v>6423</v>
      </c>
    </row>
    <row r="6393">
      <c r="A6393" s="11" t="s">
        <v>6424</v>
      </c>
    </row>
    <row r="6394">
      <c r="A6394" s="11" t="s">
        <v>6425</v>
      </c>
    </row>
    <row r="6395">
      <c r="A6395" s="11" t="s">
        <v>6426</v>
      </c>
    </row>
    <row r="6396">
      <c r="A6396" s="11" t="s">
        <v>6427</v>
      </c>
    </row>
    <row r="6397">
      <c r="A6397" s="11" t="s">
        <v>6428</v>
      </c>
    </row>
    <row r="6398">
      <c r="A6398" s="11" t="s">
        <v>6429</v>
      </c>
    </row>
    <row r="6399">
      <c r="A6399" s="11" t="s">
        <v>6430</v>
      </c>
    </row>
    <row r="6400">
      <c r="A6400" s="11" t="s">
        <v>6431</v>
      </c>
    </row>
    <row r="6401">
      <c r="A6401" s="11" t="s">
        <v>6432</v>
      </c>
    </row>
    <row r="6402">
      <c r="A6402" s="11" t="s">
        <v>6433</v>
      </c>
    </row>
    <row r="6403">
      <c r="A6403" s="11" t="s">
        <v>6434</v>
      </c>
    </row>
    <row r="6404">
      <c r="A6404" s="11" t="s">
        <v>6435</v>
      </c>
    </row>
    <row r="6405">
      <c r="A6405" s="11" t="s">
        <v>6436</v>
      </c>
    </row>
    <row r="6406">
      <c r="A6406" s="11" t="s">
        <v>6437</v>
      </c>
    </row>
    <row r="6407">
      <c r="A6407" s="11" t="s">
        <v>6438</v>
      </c>
    </row>
    <row r="6408">
      <c r="A6408" s="11" t="s">
        <v>6439</v>
      </c>
    </row>
    <row r="6409">
      <c r="A6409" s="11" t="s">
        <v>6440</v>
      </c>
    </row>
    <row r="6410">
      <c r="A6410" s="11" t="s">
        <v>6441</v>
      </c>
    </row>
    <row r="6411">
      <c r="A6411" s="11" t="s">
        <v>6442</v>
      </c>
    </row>
    <row r="6412">
      <c r="A6412" s="11" t="s">
        <v>6443</v>
      </c>
    </row>
    <row r="6413">
      <c r="A6413" s="11" t="s">
        <v>6444</v>
      </c>
    </row>
    <row r="6414">
      <c r="A6414" s="11" t="s">
        <v>6445</v>
      </c>
    </row>
    <row r="6415">
      <c r="A6415" s="11" t="s">
        <v>6446</v>
      </c>
    </row>
    <row r="6416">
      <c r="A6416" s="11" t="s">
        <v>6447</v>
      </c>
    </row>
    <row r="6417">
      <c r="A6417" s="11" t="s">
        <v>6448</v>
      </c>
    </row>
    <row r="6418">
      <c r="A6418" s="11" t="s">
        <v>6449</v>
      </c>
    </row>
    <row r="6419">
      <c r="A6419" s="11" t="s">
        <v>6450</v>
      </c>
    </row>
    <row r="6420">
      <c r="A6420" s="11" t="s">
        <v>6451</v>
      </c>
    </row>
    <row r="6421">
      <c r="A6421" s="11" t="s">
        <v>6452</v>
      </c>
    </row>
    <row r="6422">
      <c r="A6422" s="11" t="s">
        <v>6453</v>
      </c>
    </row>
    <row r="6423">
      <c r="A6423" s="11" t="s">
        <v>6454</v>
      </c>
    </row>
    <row r="6424">
      <c r="A6424" s="11" t="s">
        <v>6455</v>
      </c>
    </row>
    <row r="6425">
      <c r="A6425" s="11" t="s">
        <v>6456</v>
      </c>
    </row>
    <row r="6426">
      <c r="A6426" s="11" t="s">
        <v>6457</v>
      </c>
    </row>
    <row r="6427">
      <c r="A6427" s="11" t="s">
        <v>6458</v>
      </c>
    </row>
    <row r="6428">
      <c r="A6428" s="11" t="s">
        <v>6459</v>
      </c>
    </row>
    <row r="6429">
      <c r="A6429" s="11" t="s">
        <v>6460</v>
      </c>
    </row>
    <row r="6430">
      <c r="A6430" s="11" t="s">
        <v>6461</v>
      </c>
    </row>
    <row r="6431">
      <c r="A6431" s="11" t="s">
        <v>6462</v>
      </c>
    </row>
    <row r="6432">
      <c r="A6432" s="11" t="s">
        <v>6463</v>
      </c>
    </row>
    <row r="6433">
      <c r="A6433" s="11" t="s">
        <v>6464</v>
      </c>
    </row>
    <row r="6434">
      <c r="A6434" s="11" t="s">
        <v>6465</v>
      </c>
    </row>
    <row r="6435">
      <c r="A6435" s="11" t="s">
        <v>6466</v>
      </c>
    </row>
    <row r="6436">
      <c r="A6436" s="11" t="s">
        <v>6467</v>
      </c>
    </row>
    <row r="6437">
      <c r="A6437" s="11" t="s">
        <v>6468</v>
      </c>
    </row>
    <row r="6438">
      <c r="A6438" s="11" t="s">
        <v>6469</v>
      </c>
    </row>
    <row r="6439">
      <c r="A6439" s="11" t="s">
        <v>6470</v>
      </c>
    </row>
    <row r="6440">
      <c r="A6440" s="11" t="s">
        <v>6471</v>
      </c>
    </row>
    <row r="6441">
      <c r="A6441" s="11" t="s">
        <v>6472</v>
      </c>
    </row>
    <row r="6442">
      <c r="A6442" s="11" t="s">
        <v>6473</v>
      </c>
    </row>
    <row r="6443">
      <c r="A6443" s="11" t="s">
        <v>6474</v>
      </c>
    </row>
    <row r="6444">
      <c r="A6444" s="11" t="s">
        <v>6475</v>
      </c>
    </row>
    <row r="6445">
      <c r="A6445" s="11" t="s">
        <v>6476</v>
      </c>
    </row>
    <row r="6446">
      <c r="A6446" s="11" t="s">
        <v>6477</v>
      </c>
    </row>
    <row r="6447">
      <c r="A6447" s="11" t="s">
        <v>6478</v>
      </c>
    </row>
    <row r="6448">
      <c r="A6448" s="11" t="s">
        <v>6479</v>
      </c>
    </row>
    <row r="6449">
      <c r="A6449" s="11" t="s">
        <v>6480</v>
      </c>
    </row>
    <row r="6450">
      <c r="A6450" s="11" t="s">
        <v>6481</v>
      </c>
    </row>
    <row r="6451">
      <c r="A6451" s="11" t="s">
        <v>6482</v>
      </c>
    </row>
    <row r="6452">
      <c r="A6452" s="11" t="s">
        <v>6483</v>
      </c>
    </row>
    <row r="6453">
      <c r="A6453" s="11" t="s">
        <v>6484</v>
      </c>
    </row>
    <row r="6454">
      <c r="A6454" s="11" t="s">
        <v>6485</v>
      </c>
    </row>
    <row r="6455">
      <c r="A6455" s="11" t="s">
        <v>6486</v>
      </c>
    </row>
    <row r="6456">
      <c r="A6456" s="11" t="s">
        <v>6487</v>
      </c>
    </row>
    <row r="6457">
      <c r="A6457" s="11" t="s">
        <v>6488</v>
      </c>
    </row>
    <row r="6458">
      <c r="A6458" s="11" t="s">
        <v>6489</v>
      </c>
    </row>
    <row r="6459">
      <c r="A6459" s="11" t="s">
        <v>6490</v>
      </c>
    </row>
    <row r="6460">
      <c r="A6460" s="11" t="s">
        <v>6491</v>
      </c>
    </row>
    <row r="6461">
      <c r="A6461" s="11" t="s">
        <v>6492</v>
      </c>
    </row>
    <row r="6462">
      <c r="A6462" s="11" t="s">
        <v>6493</v>
      </c>
    </row>
    <row r="6463">
      <c r="A6463" s="11" t="s">
        <v>6494</v>
      </c>
    </row>
    <row r="6464">
      <c r="A6464" s="11" t="s">
        <v>6495</v>
      </c>
    </row>
    <row r="6465">
      <c r="A6465" s="11" t="s">
        <v>6496</v>
      </c>
    </row>
    <row r="6466">
      <c r="A6466" s="11" t="s">
        <v>6497</v>
      </c>
    </row>
    <row r="6467">
      <c r="A6467" s="11" t="s">
        <v>6498</v>
      </c>
    </row>
    <row r="6468">
      <c r="A6468" s="11" t="s">
        <v>6499</v>
      </c>
    </row>
    <row r="6469">
      <c r="A6469" s="11" t="s">
        <v>6500</v>
      </c>
    </row>
    <row r="6470">
      <c r="A6470" s="11" t="s">
        <v>6501</v>
      </c>
    </row>
    <row r="6471">
      <c r="A6471" s="11" t="s">
        <v>6502</v>
      </c>
    </row>
    <row r="6472">
      <c r="A6472" s="11" t="s">
        <v>6503</v>
      </c>
    </row>
    <row r="6473">
      <c r="A6473" s="11" t="s">
        <v>6504</v>
      </c>
    </row>
    <row r="6474">
      <c r="A6474" s="11" t="s">
        <v>6505</v>
      </c>
    </row>
    <row r="6475">
      <c r="A6475" s="11" t="s">
        <v>6506</v>
      </c>
    </row>
    <row r="6476">
      <c r="A6476" s="11" t="s">
        <v>6507</v>
      </c>
    </row>
    <row r="6477">
      <c r="A6477" s="11" t="s">
        <v>6508</v>
      </c>
    </row>
    <row r="6478">
      <c r="A6478" s="11" t="s">
        <v>6509</v>
      </c>
    </row>
    <row r="6479">
      <c r="A6479" s="11" t="s">
        <v>6510</v>
      </c>
    </row>
    <row r="6480">
      <c r="A6480" s="11" t="s">
        <v>6511</v>
      </c>
    </row>
    <row r="6481">
      <c r="A6481" s="11" t="s">
        <v>6512</v>
      </c>
    </row>
    <row r="6482">
      <c r="A6482" s="11" t="s">
        <v>6513</v>
      </c>
    </row>
    <row r="6483">
      <c r="A6483" s="11" t="s">
        <v>6514</v>
      </c>
    </row>
    <row r="6484">
      <c r="A6484" s="11" t="s">
        <v>6515</v>
      </c>
    </row>
    <row r="6485">
      <c r="A6485" s="11" t="s">
        <v>6516</v>
      </c>
    </row>
    <row r="6486">
      <c r="A6486" s="11" t="s">
        <v>6517</v>
      </c>
    </row>
    <row r="6487">
      <c r="A6487" s="11" t="s">
        <v>6518</v>
      </c>
    </row>
    <row r="6488">
      <c r="A6488" s="11" t="s">
        <v>6519</v>
      </c>
    </row>
    <row r="6489">
      <c r="A6489" s="11" t="s">
        <v>6520</v>
      </c>
    </row>
    <row r="6490">
      <c r="A6490" s="11" t="s">
        <v>6521</v>
      </c>
    </row>
    <row r="6491">
      <c r="A6491" s="11" t="s">
        <v>6522</v>
      </c>
    </row>
    <row r="6492">
      <c r="A6492" s="11" t="s">
        <v>6523</v>
      </c>
    </row>
    <row r="6493">
      <c r="A6493" s="11" t="s">
        <v>6524</v>
      </c>
    </row>
    <row r="6494">
      <c r="A6494" s="11" t="s">
        <v>6525</v>
      </c>
    </row>
    <row r="6495">
      <c r="A6495" s="11" t="s">
        <v>6526</v>
      </c>
    </row>
    <row r="6496">
      <c r="A6496" s="11" t="s">
        <v>6527</v>
      </c>
    </row>
    <row r="6497">
      <c r="A6497" s="11" t="s">
        <v>6528</v>
      </c>
    </row>
    <row r="6498">
      <c r="A6498" s="11" t="s">
        <v>6529</v>
      </c>
    </row>
    <row r="6499">
      <c r="A6499" s="11" t="s">
        <v>6530</v>
      </c>
    </row>
    <row r="6500">
      <c r="A6500" s="11" t="s">
        <v>6531</v>
      </c>
    </row>
    <row r="6501">
      <c r="A6501" s="11" t="s">
        <v>6532</v>
      </c>
    </row>
    <row r="6502">
      <c r="A6502" s="11" t="s">
        <v>6533</v>
      </c>
    </row>
    <row r="6503">
      <c r="A6503" s="11" t="s">
        <v>6534</v>
      </c>
    </row>
    <row r="6504">
      <c r="A6504" s="11" t="s">
        <v>6535</v>
      </c>
    </row>
    <row r="6505">
      <c r="A6505" s="11" t="s">
        <v>6536</v>
      </c>
    </row>
    <row r="6506">
      <c r="A6506" s="11" t="s">
        <v>6537</v>
      </c>
    </row>
    <row r="6507">
      <c r="A6507" s="11" t="s">
        <v>6538</v>
      </c>
    </row>
    <row r="6508">
      <c r="A6508" s="11" t="s">
        <v>6539</v>
      </c>
    </row>
    <row r="6509">
      <c r="A6509" s="11" t="s">
        <v>6540</v>
      </c>
    </row>
    <row r="6510">
      <c r="A6510" s="11" t="s">
        <v>6541</v>
      </c>
    </row>
    <row r="6511">
      <c r="A6511" s="11" t="s">
        <v>6542</v>
      </c>
    </row>
    <row r="6512">
      <c r="A6512" s="11" t="s">
        <v>6543</v>
      </c>
    </row>
    <row r="6513">
      <c r="A6513" s="11" t="s">
        <v>6544</v>
      </c>
    </row>
    <row r="6514">
      <c r="A6514" s="11" t="s">
        <v>6545</v>
      </c>
    </row>
    <row r="6515">
      <c r="A6515" s="11" t="s">
        <v>6546</v>
      </c>
    </row>
    <row r="6516">
      <c r="A6516" s="11" t="s">
        <v>6547</v>
      </c>
    </row>
    <row r="6517">
      <c r="A6517" s="11" t="s">
        <v>6548</v>
      </c>
    </row>
    <row r="6518">
      <c r="A6518" s="11" t="s">
        <v>6549</v>
      </c>
    </row>
    <row r="6519">
      <c r="A6519" s="11" t="s">
        <v>6550</v>
      </c>
    </row>
    <row r="6520">
      <c r="A6520" s="11" t="s">
        <v>6551</v>
      </c>
    </row>
    <row r="6521">
      <c r="A6521" s="11" t="s">
        <v>6552</v>
      </c>
    </row>
    <row r="6522">
      <c r="A6522" s="11" t="s">
        <v>6553</v>
      </c>
    </row>
    <row r="6523">
      <c r="A6523" s="11" t="s">
        <v>6554</v>
      </c>
    </row>
    <row r="6524">
      <c r="A6524" s="11" t="s">
        <v>6555</v>
      </c>
    </row>
    <row r="6525">
      <c r="A6525" s="11" t="s">
        <v>6556</v>
      </c>
    </row>
    <row r="6526">
      <c r="A6526" s="11" t="s">
        <v>6557</v>
      </c>
    </row>
    <row r="6527">
      <c r="A6527" s="11" t="s">
        <v>6558</v>
      </c>
    </row>
    <row r="6528">
      <c r="A6528" s="11" t="s">
        <v>6559</v>
      </c>
    </row>
    <row r="6529">
      <c r="A6529" s="11" t="s">
        <v>6560</v>
      </c>
    </row>
    <row r="6530">
      <c r="A6530" s="11" t="s">
        <v>6561</v>
      </c>
    </row>
    <row r="6531">
      <c r="A6531" s="11" t="s">
        <v>6562</v>
      </c>
    </row>
    <row r="6532">
      <c r="A6532" s="11" t="s">
        <v>6563</v>
      </c>
    </row>
    <row r="6533">
      <c r="A6533" s="11" t="s">
        <v>6564</v>
      </c>
    </row>
    <row r="6534">
      <c r="A6534" s="11" t="s">
        <v>6565</v>
      </c>
    </row>
    <row r="6535">
      <c r="A6535" s="11" t="s">
        <v>6566</v>
      </c>
    </row>
    <row r="6536">
      <c r="A6536" s="11" t="s">
        <v>6567</v>
      </c>
    </row>
    <row r="6537">
      <c r="A6537" s="11" t="s">
        <v>6568</v>
      </c>
    </row>
    <row r="6538">
      <c r="A6538" s="11" t="s">
        <v>6569</v>
      </c>
    </row>
    <row r="6539">
      <c r="A6539" s="11" t="s">
        <v>6570</v>
      </c>
    </row>
    <row r="6540">
      <c r="A6540" s="11" t="s">
        <v>6571</v>
      </c>
    </row>
    <row r="6541">
      <c r="A6541" s="11" t="s">
        <v>6572</v>
      </c>
    </row>
    <row r="6542">
      <c r="A6542" s="11" t="s">
        <v>6573</v>
      </c>
    </row>
    <row r="6543">
      <c r="A6543" s="11" t="s">
        <v>6574</v>
      </c>
    </row>
    <row r="6544">
      <c r="A6544" s="11" t="s">
        <v>6575</v>
      </c>
    </row>
    <row r="6545">
      <c r="A6545" s="11" t="s">
        <v>6576</v>
      </c>
    </row>
    <row r="6546">
      <c r="A6546" s="11" t="s">
        <v>6577</v>
      </c>
    </row>
    <row r="6547">
      <c r="A6547" s="11" t="s">
        <v>6578</v>
      </c>
    </row>
    <row r="6548">
      <c r="A6548" s="11" t="s">
        <v>6579</v>
      </c>
    </row>
    <row r="6549">
      <c r="A6549" s="11" t="s">
        <v>6580</v>
      </c>
    </row>
    <row r="6550">
      <c r="A6550" s="11" t="s">
        <v>6581</v>
      </c>
    </row>
    <row r="6551">
      <c r="A6551" s="11" t="s">
        <v>6582</v>
      </c>
    </row>
    <row r="6552">
      <c r="A6552" s="11" t="s">
        <v>6583</v>
      </c>
    </row>
    <row r="6553">
      <c r="A6553" s="11" t="s">
        <v>6584</v>
      </c>
    </row>
    <row r="6554">
      <c r="A6554" s="11" t="s">
        <v>6585</v>
      </c>
    </row>
    <row r="6555">
      <c r="A6555" s="11" t="s">
        <v>6586</v>
      </c>
    </row>
    <row r="6556">
      <c r="A6556" s="11" t="s">
        <v>6587</v>
      </c>
    </row>
    <row r="6557">
      <c r="A6557" s="11" t="s">
        <v>6588</v>
      </c>
    </row>
    <row r="6558">
      <c r="A6558" s="11" t="s">
        <v>6589</v>
      </c>
    </row>
    <row r="6559">
      <c r="A6559" s="11" t="s">
        <v>6590</v>
      </c>
    </row>
    <row r="6560">
      <c r="A6560" s="11" t="s">
        <v>6591</v>
      </c>
    </row>
    <row r="6561">
      <c r="A6561" s="11" t="s">
        <v>6592</v>
      </c>
    </row>
    <row r="6562">
      <c r="A6562" s="11" t="s">
        <v>6593</v>
      </c>
    </row>
    <row r="6563">
      <c r="A6563" s="11" t="s">
        <v>6594</v>
      </c>
    </row>
    <row r="6564">
      <c r="A6564" s="11" t="s">
        <v>6595</v>
      </c>
    </row>
    <row r="6565">
      <c r="A6565" s="11" t="s">
        <v>6596</v>
      </c>
    </row>
    <row r="6566">
      <c r="A6566" s="11" t="s">
        <v>6597</v>
      </c>
    </row>
    <row r="6567">
      <c r="A6567" s="11" t="s">
        <v>6598</v>
      </c>
    </row>
    <row r="6568">
      <c r="A6568" s="11" t="s">
        <v>6599</v>
      </c>
    </row>
    <row r="6569">
      <c r="A6569" s="11" t="s">
        <v>6600</v>
      </c>
    </row>
    <row r="6570">
      <c r="A6570" s="11" t="s">
        <v>6601</v>
      </c>
    </row>
    <row r="6571">
      <c r="A6571" s="11" t="s">
        <v>6602</v>
      </c>
    </row>
    <row r="6572">
      <c r="A6572" s="11" t="s">
        <v>6603</v>
      </c>
    </row>
    <row r="6573">
      <c r="A6573" s="11" t="s">
        <v>6604</v>
      </c>
    </row>
    <row r="6574">
      <c r="A6574" s="11" t="s">
        <v>6605</v>
      </c>
    </row>
    <row r="6575">
      <c r="A6575" s="11" t="s">
        <v>6606</v>
      </c>
    </row>
    <row r="6576">
      <c r="A6576" s="11" t="s">
        <v>6607</v>
      </c>
    </row>
    <row r="6577">
      <c r="A6577" s="11" t="s">
        <v>6608</v>
      </c>
    </row>
    <row r="6578">
      <c r="A6578" s="11" t="s">
        <v>6609</v>
      </c>
    </row>
    <row r="6579">
      <c r="A6579" s="11" t="s">
        <v>6610</v>
      </c>
    </row>
    <row r="6580">
      <c r="A6580" s="11" t="s">
        <v>6611</v>
      </c>
    </row>
    <row r="6581">
      <c r="A6581" s="11" t="s">
        <v>6612</v>
      </c>
    </row>
    <row r="6582">
      <c r="A6582" s="11" t="s">
        <v>6613</v>
      </c>
    </row>
    <row r="6583">
      <c r="A6583" s="11" t="s">
        <v>6614</v>
      </c>
    </row>
    <row r="6584">
      <c r="A6584" s="11" t="s">
        <v>6615</v>
      </c>
    </row>
    <row r="6585">
      <c r="A6585" s="11" t="s">
        <v>6616</v>
      </c>
    </row>
    <row r="6586">
      <c r="A6586" s="11" t="s">
        <v>6617</v>
      </c>
    </row>
    <row r="6587">
      <c r="A6587" s="11" t="s">
        <v>6618</v>
      </c>
    </row>
    <row r="6588">
      <c r="A6588" s="11" t="s">
        <v>6619</v>
      </c>
    </row>
    <row r="6589">
      <c r="A6589" s="11" t="s">
        <v>6620</v>
      </c>
    </row>
    <row r="6590">
      <c r="A6590" s="11" t="s">
        <v>6621</v>
      </c>
    </row>
    <row r="6591">
      <c r="A6591" s="11" t="s">
        <v>6622</v>
      </c>
    </row>
    <row r="6592">
      <c r="A6592" s="11" t="s">
        <v>6623</v>
      </c>
    </row>
    <row r="6593">
      <c r="A6593" s="11" t="s">
        <v>6624</v>
      </c>
    </row>
    <row r="6594">
      <c r="A6594" s="11" t="s">
        <v>6625</v>
      </c>
    </row>
    <row r="6595">
      <c r="A6595" s="11" t="s">
        <v>6626</v>
      </c>
    </row>
    <row r="6596">
      <c r="A6596" s="11" t="s">
        <v>6627</v>
      </c>
    </row>
    <row r="6597">
      <c r="A6597" s="11" t="s">
        <v>6628</v>
      </c>
    </row>
    <row r="6598">
      <c r="A6598" s="11" t="s">
        <v>6629</v>
      </c>
    </row>
    <row r="6599">
      <c r="A6599" s="11" t="s">
        <v>6630</v>
      </c>
    </row>
    <row r="6600">
      <c r="A6600" s="11" t="s">
        <v>6631</v>
      </c>
    </row>
    <row r="6601">
      <c r="A6601" s="11" t="s">
        <v>6632</v>
      </c>
    </row>
    <row r="6602">
      <c r="A6602" s="11" t="s">
        <v>6633</v>
      </c>
    </row>
    <row r="6603">
      <c r="A6603" s="11" t="s">
        <v>6634</v>
      </c>
    </row>
    <row r="6604">
      <c r="A6604" s="11" t="s">
        <v>6635</v>
      </c>
    </row>
    <row r="6605">
      <c r="A6605" s="11" t="s">
        <v>6636</v>
      </c>
    </row>
    <row r="6606">
      <c r="A6606" s="11" t="s">
        <v>6637</v>
      </c>
    </row>
    <row r="6607">
      <c r="A6607" s="11" t="s">
        <v>6638</v>
      </c>
    </row>
    <row r="6608">
      <c r="A6608" s="11" t="s">
        <v>6639</v>
      </c>
    </row>
    <row r="6609">
      <c r="A6609" s="11" t="s">
        <v>6640</v>
      </c>
    </row>
    <row r="6610">
      <c r="A6610" s="11" t="s">
        <v>6641</v>
      </c>
    </row>
    <row r="6611">
      <c r="A6611" s="11" t="s">
        <v>6642</v>
      </c>
    </row>
    <row r="6612">
      <c r="A6612" s="11" t="s">
        <v>6643</v>
      </c>
    </row>
    <row r="6613">
      <c r="A6613" s="11" t="s">
        <v>6644</v>
      </c>
    </row>
    <row r="6614">
      <c r="A6614" s="11" t="s">
        <v>6645</v>
      </c>
    </row>
    <row r="6615">
      <c r="A6615" s="11" t="s">
        <v>6646</v>
      </c>
    </row>
    <row r="6616">
      <c r="A6616" s="11" t="s">
        <v>6647</v>
      </c>
    </row>
    <row r="6617">
      <c r="A6617" s="11" t="s">
        <v>6648</v>
      </c>
    </row>
    <row r="6618">
      <c r="A6618" s="11" t="s">
        <v>6649</v>
      </c>
    </row>
    <row r="6619">
      <c r="A6619" s="11" t="s">
        <v>6650</v>
      </c>
    </row>
    <row r="6620">
      <c r="A6620" s="11" t="s">
        <v>6651</v>
      </c>
    </row>
    <row r="6621">
      <c r="A6621" s="11" t="s">
        <v>6652</v>
      </c>
    </row>
    <row r="6622">
      <c r="A6622" s="11" t="s">
        <v>6653</v>
      </c>
    </row>
    <row r="6623">
      <c r="A6623" s="11" t="s">
        <v>6654</v>
      </c>
    </row>
    <row r="6624">
      <c r="A6624" s="11" t="s">
        <v>6655</v>
      </c>
    </row>
    <row r="6625">
      <c r="A6625" s="11" t="s">
        <v>6656</v>
      </c>
    </row>
    <row r="6626">
      <c r="A6626" s="11" t="s">
        <v>6657</v>
      </c>
    </row>
    <row r="6627">
      <c r="A6627" s="11" t="s">
        <v>6658</v>
      </c>
    </row>
    <row r="6628">
      <c r="A6628" s="11" t="s">
        <v>6659</v>
      </c>
    </row>
    <row r="6629">
      <c r="A6629" s="11" t="s">
        <v>6660</v>
      </c>
    </row>
    <row r="6630">
      <c r="A6630" s="11" t="s">
        <v>6661</v>
      </c>
    </row>
    <row r="6631">
      <c r="A6631" s="11" t="s">
        <v>6662</v>
      </c>
    </row>
    <row r="6632">
      <c r="A6632" s="11" t="s">
        <v>6663</v>
      </c>
    </row>
    <row r="6633">
      <c r="A6633" s="11" t="s">
        <v>6664</v>
      </c>
    </row>
    <row r="6634">
      <c r="A6634" s="11" t="s">
        <v>6665</v>
      </c>
    </row>
    <row r="6635">
      <c r="A6635" s="11" t="s">
        <v>6666</v>
      </c>
    </row>
    <row r="6636">
      <c r="A6636" s="11" t="s">
        <v>6667</v>
      </c>
    </row>
    <row r="6637">
      <c r="A6637" s="11" t="s">
        <v>6668</v>
      </c>
    </row>
    <row r="6638">
      <c r="A6638" s="11" t="s">
        <v>6669</v>
      </c>
    </row>
    <row r="6639">
      <c r="A6639" s="11" t="s">
        <v>6670</v>
      </c>
    </row>
    <row r="6640">
      <c r="A6640" s="11" t="s">
        <v>6671</v>
      </c>
    </row>
    <row r="6641">
      <c r="A6641" s="11" t="s">
        <v>6672</v>
      </c>
    </row>
    <row r="6642">
      <c r="A6642" s="11" t="s">
        <v>6673</v>
      </c>
    </row>
    <row r="6643">
      <c r="A6643" s="11" t="s">
        <v>6674</v>
      </c>
    </row>
    <row r="6644">
      <c r="A6644" s="11" t="s">
        <v>6675</v>
      </c>
    </row>
    <row r="6645">
      <c r="A6645" s="11" t="s">
        <v>6676</v>
      </c>
    </row>
    <row r="6646">
      <c r="A6646" s="11" t="s">
        <v>6677</v>
      </c>
    </row>
    <row r="6647">
      <c r="A6647" s="11" t="s">
        <v>6678</v>
      </c>
    </row>
    <row r="6648">
      <c r="A6648" s="11" t="s">
        <v>6679</v>
      </c>
    </row>
    <row r="6649">
      <c r="A6649" s="11" t="s">
        <v>6680</v>
      </c>
    </row>
    <row r="6650">
      <c r="A6650" s="11" t="s">
        <v>6681</v>
      </c>
    </row>
    <row r="6651">
      <c r="A6651" s="11" t="s">
        <v>6682</v>
      </c>
    </row>
    <row r="6652">
      <c r="A6652" s="11" t="s">
        <v>6683</v>
      </c>
    </row>
    <row r="6653">
      <c r="A6653" s="11" t="s">
        <v>6684</v>
      </c>
    </row>
    <row r="6654">
      <c r="A6654" s="11" t="s">
        <v>6685</v>
      </c>
    </row>
    <row r="6655">
      <c r="A6655" s="11" t="s">
        <v>6686</v>
      </c>
    </row>
    <row r="6656">
      <c r="A6656" s="11" t="s">
        <v>6687</v>
      </c>
    </row>
    <row r="6657">
      <c r="A6657" s="11" t="s">
        <v>6688</v>
      </c>
    </row>
    <row r="6658">
      <c r="A6658" s="11" t="s">
        <v>6689</v>
      </c>
    </row>
    <row r="6659">
      <c r="A6659" s="11" t="s">
        <v>6690</v>
      </c>
    </row>
    <row r="6660">
      <c r="A6660" s="11" t="s">
        <v>6691</v>
      </c>
    </row>
    <row r="6661">
      <c r="A6661" s="11" t="s">
        <v>6692</v>
      </c>
    </row>
    <row r="6662">
      <c r="A6662" s="11" t="s">
        <v>6693</v>
      </c>
    </row>
    <row r="6663">
      <c r="A6663" s="11" t="s">
        <v>6694</v>
      </c>
    </row>
    <row r="6664">
      <c r="A6664" s="11" t="s">
        <v>6695</v>
      </c>
    </row>
    <row r="6665">
      <c r="A6665" s="11" t="s">
        <v>6696</v>
      </c>
    </row>
    <row r="6666">
      <c r="A6666" s="11" t="s">
        <v>6697</v>
      </c>
    </row>
    <row r="6667">
      <c r="A6667" s="11" t="s">
        <v>6698</v>
      </c>
    </row>
    <row r="6668">
      <c r="A6668" s="11" t="s">
        <v>6699</v>
      </c>
    </row>
    <row r="6669">
      <c r="A6669" s="11" t="s">
        <v>6700</v>
      </c>
    </row>
    <row r="6670">
      <c r="A6670" s="11" t="s">
        <v>6701</v>
      </c>
    </row>
    <row r="6671">
      <c r="A6671" s="11" t="s">
        <v>6702</v>
      </c>
    </row>
    <row r="6672">
      <c r="A6672" s="11" t="s">
        <v>6703</v>
      </c>
    </row>
    <row r="6673">
      <c r="A6673" s="11" t="s">
        <v>6704</v>
      </c>
    </row>
    <row r="6674">
      <c r="A6674" s="11" t="s">
        <v>6705</v>
      </c>
    </row>
    <row r="6675">
      <c r="A6675" s="11" t="s">
        <v>6706</v>
      </c>
    </row>
    <row r="6676">
      <c r="A6676" s="11" t="s">
        <v>6707</v>
      </c>
    </row>
    <row r="6677">
      <c r="A6677" s="11" t="s">
        <v>6708</v>
      </c>
    </row>
    <row r="6678">
      <c r="A6678" s="11" t="s">
        <v>6709</v>
      </c>
    </row>
    <row r="6679">
      <c r="A6679" s="11" t="s">
        <v>6710</v>
      </c>
    </row>
    <row r="6680">
      <c r="A6680" s="11" t="s">
        <v>6711</v>
      </c>
    </row>
    <row r="6681">
      <c r="A6681" s="11" t="s">
        <v>6712</v>
      </c>
    </row>
    <row r="6682">
      <c r="A6682" s="11" t="s">
        <v>6713</v>
      </c>
    </row>
    <row r="6683">
      <c r="A6683" s="11" t="s">
        <v>6714</v>
      </c>
    </row>
    <row r="6684">
      <c r="A6684" s="11" t="s">
        <v>6715</v>
      </c>
    </row>
    <row r="6685">
      <c r="A6685" s="11" t="s">
        <v>6716</v>
      </c>
    </row>
    <row r="6686">
      <c r="A6686" s="11" t="s">
        <v>6717</v>
      </c>
    </row>
    <row r="6687">
      <c r="A6687" s="11" t="s">
        <v>6718</v>
      </c>
    </row>
    <row r="6688">
      <c r="A6688" s="11" t="s">
        <v>6719</v>
      </c>
    </row>
    <row r="6689">
      <c r="A6689" s="11" t="s">
        <v>6720</v>
      </c>
    </row>
    <row r="6690">
      <c r="A6690" s="11" t="s">
        <v>6721</v>
      </c>
    </row>
    <row r="6691">
      <c r="A6691" s="11" t="s">
        <v>6722</v>
      </c>
    </row>
    <row r="6692">
      <c r="A6692" s="11" t="s">
        <v>6723</v>
      </c>
    </row>
    <row r="6693">
      <c r="A6693" s="11" t="s">
        <v>6724</v>
      </c>
    </row>
    <row r="6694">
      <c r="A6694" s="11" t="s">
        <v>6725</v>
      </c>
    </row>
    <row r="6695">
      <c r="A6695" s="11" t="s">
        <v>6726</v>
      </c>
    </row>
    <row r="6696">
      <c r="A6696" s="11" t="s">
        <v>6727</v>
      </c>
    </row>
    <row r="6697">
      <c r="A6697" s="11" t="s">
        <v>6728</v>
      </c>
    </row>
    <row r="6698">
      <c r="A6698" s="11" t="s">
        <v>6729</v>
      </c>
    </row>
    <row r="6699">
      <c r="A6699" s="11" t="s">
        <v>6730</v>
      </c>
    </row>
    <row r="6700">
      <c r="A6700" s="11" t="s">
        <v>6731</v>
      </c>
    </row>
    <row r="6701">
      <c r="A6701" s="11" t="s">
        <v>6732</v>
      </c>
    </row>
    <row r="6702">
      <c r="A6702" s="11" t="s">
        <v>6733</v>
      </c>
    </row>
    <row r="6703">
      <c r="A6703" s="11" t="s">
        <v>6734</v>
      </c>
    </row>
    <row r="6704">
      <c r="A6704" s="11" t="s">
        <v>6735</v>
      </c>
    </row>
    <row r="6705">
      <c r="A6705" s="11" t="s">
        <v>6736</v>
      </c>
    </row>
    <row r="6706">
      <c r="A6706" s="11" t="s">
        <v>6737</v>
      </c>
    </row>
    <row r="6707">
      <c r="A6707" s="11" t="s">
        <v>6738</v>
      </c>
    </row>
    <row r="6708">
      <c r="A6708" s="11" t="s">
        <v>6739</v>
      </c>
    </row>
    <row r="6709">
      <c r="A6709" s="11" t="s">
        <v>6740</v>
      </c>
    </row>
    <row r="6710">
      <c r="A6710" s="11" t="s">
        <v>6741</v>
      </c>
    </row>
    <row r="6711">
      <c r="A6711" s="11" t="s">
        <v>6742</v>
      </c>
    </row>
    <row r="6712">
      <c r="A6712" s="11" t="s">
        <v>6743</v>
      </c>
    </row>
    <row r="6713">
      <c r="A6713" s="11" t="s">
        <v>6744</v>
      </c>
    </row>
    <row r="6714">
      <c r="A6714" s="11" t="s">
        <v>6745</v>
      </c>
    </row>
    <row r="6715">
      <c r="A6715" s="11" t="s">
        <v>6746</v>
      </c>
    </row>
    <row r="6716">
      <c r="A6716" s="11" t="s">
        <v>6747</v>
      </c>
    </row>
    <row r="6717">
      <c r="A6717" s="11" t="s">
        <v>6748</v>
      </c>
    </row>
    <row r="6718">
      <c r="A6718" s="11" t="s">
        <v>6749</v>
      </c>
    </row>
    <row r="6719">
      <c r="A6719" s="11" t="s">
        <v>6750</v>
      </c>
    </row>
    <row r="6720">
      <c r="A6720" s="11" t="s">
        <v>6751</v>
      </c>
    </row>
    <row r="6721">
      <c r="A6721" s="11" t="s">
        <v>6752</v>
      </c>
    </row>
    <row r="6722">
      <c r="A6722" s="11" t="s">
        <v>6753</v>
      </c>
    </row>
    <row r="6723">
      <c r="A6723" s="11" t="s">
        <v>6754</v>
      </c>
    </row>
    <row r="6724">
      <c r="A6724" s="11" t="s">
        <v>6755</v>
      </c>
    </row>
    <row r="6725">
      <c r="A6725" s="11" t="s">
        <v>6756</v>
      </c>
    </row>
    <row r="6726">
      <c r="A6726" s="11" t="s">
        <v>6757</v>
      </c>
    </row>
    <row r="6727">
      <c r="A6727" s="11" t="s">
        <v>6758</v>
      </c>
    </row>
    <row r="6728">
      <c r="A6728" s="11" t="s">
        <v>6759</v>
      </c>
    </row>
    <row r="6729">
      <c r="A6729" s="11" t="s">
        <v>6760</v>
      </c>
    </row>
    <row r="6730">
      <c r="A6730" s="11" t="s">
        <v>6761</v>
      </c>
    </row>
    <row r="6731">
      <c r="A6731" s="11" t="s">
        <v>6762</v>
      </c>
    </row>
    <row r="6732">
      <c r="A6732" s="11" t="s">
        <v>6763</v>
      </c>
    </row>
    <row r="6733">
      <c r="A6733" s="11" t="s">
        <v>6764</v>
      </c>
    </row>
    <row r="6734">
      <c r="A6734" s="11" t="s">
        <v>6765</v>
      </c>
    </row>
    <row r="6735">
      <c r="A6735" s="11" t="s">
        <v>6766</v>
      </c>
    </row>
    <row r="6736">
      <c r="A6736" s="11" t="s">
        <v>6767</v>
      </c>
    </row>
    <row r="6737">
      <c r="A6737" s="11" t="s">
        <v>6768</v>
      </c>
    </row>
    <row r="6738">
      <c r="A6738" s="11" t="s">
        <v>6769</v>
      </c>
    </row>
    <row r="6739">
      <c r="A6739" s="11" t="s">
        <v>6770</v>
      </c>
    </row>
    <row r="6740">
      <c r="A6740" s="11" t="s">
        <v>6771</v>
      </c>
    </row>
    <row r="6741">
      <c r="A6741" s="11" t="s">
        <v>6772</v>
      </c>
    </row>
    <row r="6742">
      <c r="A6742" s="11" t="s">
        <v>6773</v>
      </c>
    </row>
    <row r="6743">
      <c r="A6743" s="11" t="s">
        <v>6774</v>
      </c>
    </row>
    <row r="6744">
      <c r="A6744" s="11" t="s">
        <v>6775</v>
      </c>
    </row>
    <row r="6745">
      <c r="A6745" s="11" t="s">
        <v>6776</v>
      </c>
    </row>
    <row r="6746">
      <c r="A6746" s="11" t="s">
        <v>6777</v>
      </c>
    </row>
    <row r="6747">
      <c r="A6747" s="11" t="s">
        <v>6778</v>
      </c>
    </row>
    <row r="6748">
      <c r="A6748" s="11" t="s">
        <v>6779</v>
      </c>
    </row>
    <row r="6749">
      <c r="A6749" s="11" t="s">
        <v>6780</v>
      </c>
    </row>
    <row r="6750">
      <c r="A6750" s="11" t="s">
        <v>6781</v>
      </c>
    </row>
    <row r="6751">
      <c r="A6751" s="11" t="s">
        <v>6782</v>
      </c>
    </row>
    <row r="6752">
      <c r="A6752" s="11" t="s">
        <v>6783</v>
      </c>
    </row>
    <row r="6753">
      <c r="A6753" s="11" t="s">
        <v>6784</v>
      </c>
    </row>
    <row r="6754">
      <c r="A6754" s="11" t="s">
        <v>6785</v>
      </c>
    </row>
    <row r="6755">
      <c r="A6755" s="11" t="s">
        <v>6786</v>
      </c>
    </row>
    <row r="6756">
      <c r="A6756" s="11" t="s">
        <v>6787</v>
      </c>
    </row>
    <row r="6757">
      <c r="A6757" s="11" t="s">
        <v>6788</v>
      </c>
    </row>
    <row r="6758">
      <c r="A6758" s="11" t="s">
        <v>6789</v>
      </c>
    </row>
    <row r="6759">
      <c r="A6759" s="11" t="s">
        <v>6790</v>
      </c>
    </row>
    <row r="6760">
      <c r="A6760" s="11" t="s">
        <v>6791</v>
      </c>
    </row>
    <row r="6761">
      <c r="A6761" s="11" t="s">
        <v>6792</v>
      </c>
    </row>
    <row r="6762">
      <c r="A6762" s="11" t="s">
        <v>6793</v>
      </c>
    </row>
    <row r="6763">
      <c r="A6763" s="11" t="s">
        <v>6794</v>
      </c>
    </row>
    <row r="6764">
      <c r="A6764" s="11" t="s">
        <v>6795</v>
      </c>
    </row>
    <row r="6765">
      <c r="A6765" s="11" t="s">
        <v>6796</v>
      </c>
    </row>
    <row r="6766">
      <c r="A6766" s="11" t="s">
        <v>6797</v>
      </c>
    </row>
    <row r="6767">
      <c r="A6767" s="11" t="s">
        <v>6798</v>
      </c>
    </row>
    <row r="6768">
      <c r="A6768" s="11" t="s">
        <v>6799</v>
      </c>
    </row>
    <row r="6769">
      <c r="A6769" s="11" t="s">
        <v>6800</v>
      </c>
    </row>
    <row r="6770">
      <c r="A6770" s="11" t="s">
        <v>6801</v>
      </c>
    </row>
    <row r="6771">
      <c r="A6771" s="11" t="s">
        <v>6802</v>
      </c>
    </row>
    <row r="6772">
      <c r="A6772" s="11" t="s">
        <v>6803</v>
      </c>
    </row>
    <row r="6773">
      <c r="A6773" s="11" t="s">
        <v>6804</v>
      </c>
    </row>
    <row r="6774">
      <c r="A6774" s="11" t="s">
        <v>6805</v>
      </c>
    </row>
    <row r="6775">
      <c r="A6775" s="11" t="s">
        <v>6806</v>
      </c>
    </row>
    <row r="6776">
      <c r="A6776" s="11" t="s">
        <v>6807</v>
      </c>
    </row>
    <row r="6777">
      <c r="A6777" s="11" t="s">
        <v>6808</v>
      </c>
    </row>
    <row r="6778">
      <c r="A6778" s="11" t="s">
        <v>6809</v>
      </c>
    </row>
    <row r="6779">
      <c r="A6779" s="11" t="s">
        <v>6810</v>
      </c>
    </row>
    <row r="6780">
      <c r="A6780" s="11" t="s">
        <v>6811</v>
      </c>
    </row>
    <row r="6781">
      <c r="A6781" s="11" t="s">
        <v>6812</v>
      </c>
    </row>
    <row r="6782">
      <c r="A6782" s="11" t="s">
        <v>6813</v>
      </c>
    </row>
    <row r="6783">
      <c r="A6783" s="11" t="s">
        <v>6814</v>
      </c>
    </row>
    <row r="6784">
      <c r="A6784" s="11" t="s">
        <v>6815</v>
      </c>
    </row>
    <row r="6785">
      <c r="A6785" s="11" t="s">
        <v>6816</v>
      </c>
    </row>
    <row r="6786">
      <c r="A6786" s="11" t="s">
        <v>6817</v>
      </c>
    </row>
    <row r="6787">
      <c r="A6787" s="11" t="s">
        <v>6818</v>
      </c>
    </row>
    <row r="6788">
      <c r="A6788" s="11" t="s">
        <v>6819</v>
      </c>
    </row>
    <row r="6789">
      <c r="A6789" s="11" t="s">
        <v>6820</v>
      </c>
    </row>
    <row r="6790">
      <c r="A6790" s="11" t="s">
        <v>6821</v>
      </c>
    </row>
    <row r="6791">
      <c r="A6791" s="11" t="s">
        <v>6822</v>
      </c>
    </row>
    <row r="6792">
      <c r="A6792" s="11" t="s">
        <v>6823</v>
      </c>
    </row>
    <row r="6793">
      <c r="A6793" s="11" t="s">
        <v>6824</v>
      </c>
    </row>
    <row r="6794">
      <c r="A6794" s="11" t="s">
        <v>6825</v>
      </c>
    </row>
    <row r="6795">
      <c r="A6795" s="11" t="s">
        <v>6826</v>
      </c>
    </row>
    <row r="6796">
      <c r="A6796" s="11" t="s">
        <v>6827</v>
      </c>
    </row>
    <row r="6797">
      <c r="A6797" s="11" t="s">
        <v>6828</v>
      </c>
    </row>
    <row r="6798">
      <c r="A6798" s="11" t="s">
        <v>6829</v>
      </c>
    </row>
    <row r="6799">
      <c r="A6799" s="11" t="s">
        <v>6830</v>
      </c>
    </row>
    <row r="6800">
      <c r="A6800" s="11" t="s">
        <v>6831</v>
      </c>
    </row>
    <row r="6801">
      <c r="A6801" s="11" t="s">
        <v>6832</v>
      </c>
    </row>
    <row r="6802">
      <c r="A6802" s="11" t="s">
        <v>6833</v>
      </c>
    </row>
    <row r="6803">
      <c r="A6803" s="11" t="s">
        <v>6834</v>
      </c>
    </row>
    <row r="6804">
      <c r="A6804" s="11" t="s">
        <v>6835</v>
      </c>
    </row>
    <row r="6805">
      <c r="A6805" s="11" t="s">
        <v>6836</v>
      </c>
    </row>
    <row r="6806">
      <c r="A6806" s="11" t="s">
        <v>6837</v>
      </c>
    </row>
    <row r="6807">
      <c r="A6807" s="11" t="s">
        <v>6838</v>
      </c>
    </row>
    <row r="6808">
      <c r="A6808" s="11" t="s">
        <v>6839</v>
      </c>
    </row>
    <row r="6809">
      <c r="A6809" s="11" t="s">
        <v>6840</v>
      </c>
    </row>
    <row r="6810">
      <c r="A6810" s="11" t="s">
        <v>6841</v>
      </c>
    </row>
    <row r="6811">
      <c r="A6811" s="11" t="s">
        <v>6842</v>
      </c>
    </row>
    <row r="6812">
      <c r="A6812" s="11" t="s">
        <v>6843</v>
      </c>
    </row>
    <row r="6813">
      <c r="A6813" s="11" t="s">
        <v>6844</v>
      </c>
    </row>
    <row r="6814">
      <c r="A6814" s="11" t="s">
        <v>6845</v>
      </c>
    </row>
    <row r="6815">
      <c r="A6815" s="11" t="s">
        <v>6846</v>
      </c>
    </row>
    <row r="6816">
      <c r="A6816" s="11" t="s">
        <v>6847</v>
      </c>
    </row>
    <row r="6817">
      <c r="A6817" s="11" t="s">
        <v>6848</v>
      </c>
    </row>
    <row r="6818">
      <c r="A6818" s="11" t="s">
        <v>6849</v>
      </c>
    </row>
    <row r="6819">
      <c r="A6819" s="11" t="s">
        <v>6850</v>
      </c>
    </row>
    <row r="6820">
      <c r="A6820" s="11" t="s">
        <v>6851</v>
      </c>
    </row>
    <row r="6821">
      <c r="A6821" s="11" t="s">
        <v>6852</v>
      </c>
    </row>
    <row r="6822">
      <c r="A6822" s="11" t="s">
        <v>6853</v>
      </c>
    </row>
    <row r="6823">
      <c r="A6823" s="11" t="s">
        <v>6854</v>
      </c>
    </row>
    <row r="6824">
      <c r="A6824" s="11" t="s">
        <v>6855</v>
      </c>
    </row>
    <row r="6825">
      <c r="A6825" s="11" t="s">
        <v>6856</v>
      </c>
    </row>
    <row r="6826">
      <c r="A6826" s="11" t="s">
        <v>6857</v>
      </c>
    </row>
    <row r="6827">
      <c r="A6827" s="11" t="s">
        <v>6858</v>
      </c>
    </row>
    <row r="6828">
      <c r="A6828" s="11" t="s">
        <v>6859</v>
      </c>
    </row>
    <row r="6829">
      <c r="A6829" s="11" t="s">
        <v>6860</v>
      </c>
    </row>
    <row r="6830">
      <c r="A6830" s="11" t="s">
        <v>6861</v>
      </c>
    </row>
    <row r="6831">
      <c r="A6831" s="11" t="s">
        <v>6862</v>
      </c>
    </row>
    <row r="6832">
      <c r="A6832" s="11" t="s">
        <v>6863</v>
      </c>
    </row>
    <row r="6833">
      <c r="A6833" s="11" t="s">
        <v>6864</v>
      </c>
    </row>
    <row r="6834">
      <c r="A6834" s="11" t="s">
        <v>6865</v>
      </c>
    </row>
    <row r="6835">
      <c r="A6835" s="11" t="s">
        <v>6866</v>
      </c>
    </row>
    <row r="6836">
      <c r="A6836" s="11" t="s">
        <v>6867</v>
      </c>
    </row>
    <row r="6837">
      <c r="A6837" s="11" t="s">
        <v>6868</v>
      </c>
    </row>
    <row r="6838">
      <c r="A6838" s="11" t="s">
        <v>6869</v>
      </c>
    </row>
    <row r="6839">
      <c r="A6839" s="11" t="s">
        <v>6870</v>
      </c>
    </row>
    <row r="6840">
      <c r="A6840" s="11" t="s">
        <v>6871</v>
      </c>
    </row>
    <row r="6841">
      <c r="A6841" s="11" t="s">
        <v>6872</v>
      </c>
    </row>
    <row r="6842">
      <c r="A6842" s="11" t="s">
        <v>6873</v>
      </c>
    </row>
    <row r="6843">
      <c r="A6843" s="11" t="s">
        <v>6874</v>
      </c>
    </row>
    <row r="6844">
      <c r="A6844" s="11" t="s">
        <v>6875</v>
      </c>
    </row>
    <row r="6845">
      <c r="A6845" s="11" t="s">
        <v>6876</v>
      </c>
    </row>
    <row r="6846">
      <c r="A6846" s="11" t="s">
        <v>6877</v>
      </c>
    </row>
    <row r="6847">
      <c r="A6847" s="11" t="s">
        <v>6878</v>
      </c>
    </row>
    <row r="6848">
      <c r="A6848" s="11" t="s">
        <v>6879</v>
      </c>
    </row>
    <row r="6849">
      <c r="A6849" s="11" t="s">
        <v>6880</v>
      </c>
    </row>
    <row r="6850">
      <c r="A6850" s="11" t="s">
        <v>6881</v>
      </c>
    </row>
    <row r="6851">
      <c r="A6851" s="11" t="s">
        <v>6882</v>
      </c>
    </row>
    <row r="6852">
      <c r="A6852" s="11" t="s">
        <v>6883</v>
      </c>
    </row>
    <row r="6853">
      <c r="A6853" s="11" t="s">
        <v>6884</v>
      </c>
    </row>
    <row r="6854">
      <c r="A6854" s="11" t="s">
        <v>6885</v>
      </c>
    </row>
    <row r="6855">
      <c r="A6855" s="11" t="s">
        <v>6886</v>
      </c>
    </row>
    <row r="6856">
      <c r="A6856" s="11" t="s">
        <v>6887</v>
      </c>
    </row>
    <row r="6857">
      <c r="A6857" s="11" t="s">
        <v>6888</v>
      </c>
    </row>
    <row r="6858">
      <c r="A6858" s="11" t="s">
        <v>6889</v>
      </c>
    </row>
    <row r="6859">
      <c r="A6859" s="11" t="s">
        <v>6890</v>
      </c>
    </row>
    <row r="6860">
      <c r="A6860" s="11" t="s">
        <v>6891</v>
      </c>
    </row>
    <row r="6861">
      <c r="A6861" s="11" t="s">
        <v>6892</v>
      </c>
    </row>
    <row r="6862">
      <c r="A6862" s="11" t="s">
        <v>6893</v>
      </c>
    </row>
    <row r="6863">
      <c r="A6863" s="11" t="s">
        <v>6894</v>
      </c>
    </row>
    <row r="6864">
      <c r="A6864" s="11" t="s">
        <v>6895</v>
      </c>
    </row>
    <row r="6865">
      <c r="A6865" s="11" t="s">
        <v>6896</v>
      </c>
    </row>
    <row r="6866">
      <c r="A6866" s="11" t="s">
        <v>6897</v>
      </c>
    </row>
    <row r="6867">
      <c r="A6867" s="11" t="s">
        <v>6898</v>
      </c>
    </row>
    <row r="6868">
      <c r="A6868" s="11" t="s">
        <v>6899</v>
      </c>
    </row>
    <row r="6869">
      <c r="A6869" s="11" t="s">
        <v>6900</v>
      </c>
    </row>
    <row r="6870">
      <c r="A6870" s="11" t="s">
        <v>6901</v>
      </c>
    </row>
    <row r="6871">
      <c r="A6871" s="11" t="s">
        <v>6902</v>
      </c>
    </row>
    <row r="6872">
      <c r="A6872" s="11" t="s">
        <v>6903</v>
      </c>
    </row>
    <row r="6873">
      <c r="A6873" s="11" t="s">
        <v>6904</v>
      </c>
    </row>
    <row r="6874">
      <c r="A6874" s="11" t="s">
        <v>6905</v>
      </c>
    </row>
    <row r="6875">
      <c r="A6875" s="11" t="s">
        <v>6906</v>
      </c>
    </row>
    <row r="6876">
      <c r="A6876" s="11" t="s">
        <v>6907</v>
      </c>
    </row>
    <row r="6877">
      <c r="A6877" s="11" t="s">
        <v>6908</v>
      </c>
    </row>
    <row r="6878">
      <c r="A6878" s="11" t="s">
        <v>6909</v>
      </c>
    </row>
    <row r="6879">
      <c r="A6879" s="11" t="s">
        <v>6910</v>
      </c>
    </row>
    <row r="6880">
      <c r="A6880" s="11" t="s">
        <v>6911</v>
      </c>
    </row>
    <row r="6881">
      <c r="A6881" s="11" t="s">
        <v>6912</v>
      </c>
    </row>
    <row r="6882">
      <c r="A6882" s="11" t="s">
        <v>6913</v>
      </c>
    </row>
    <row r="6883">
      <c r="A6883" s="11" t="s">
        <v>6914</v>
      </c>
    </row>
    <row r="6884">
      <c r="A6884" s="11" t="s">
        <v>6915</v>
      </c>
    </row>
    <row r="6885">
      <c r="A6885" s="11" t="s">
        <v>6916</v>
      </c>
    </row>
    <row r="6886">
      <c r="A6886" s="11" t="s">
        <v>6917</v>
      </c>
    </row>
    <row r="6887">
      <c r="A6887" s="11" t="s">
        <v>6918</v>
      </c>
    </row>
    <row r="6888">
      <c r="A6888" s="11" t="s">
        <v>6919</v>
      </c>
    </row>
    <row r="6889">
      <c r="A6889" s="11" t="s">
        <v>6920</v>
      </c>
    </row>
    <row r="6890">
      <c r="A6890" s="11" t="s">
        <v>6921</v>
      </c>
    </row>
    <row r="6891">
      <c r="A6891" s="11" t="s">
        <v>6922</v>
      </c>
    </row>
    <row r="6892">
      <c r="A6892" s="11" t="s">
        <v>6923</v>
      </c>
    </row>
    <row r="6893">
      <c r="A6893" s="11" t="s">
        <v>6924</v>
      </c>
    </row>
    <row r="6894">
      <c r="A6894" s="11" t="s">
        <v>6925</v>
      </c>
    </row>
    <row r="6895">
      <c r="A6895" s="11" t="s">
        <v>6926</v>
      </c>
    </row>
    <row r="6896">
      <c r="A6896" s="11" t="s">
        <v>6927</v>
      </c>
    </row>
    <row r="6897">
      <c r="A6897" s="11" t="s">
        <v>6928</v>
      </c>
    </row>
    <row r="6898">
      <c r="A6898" s="11" t="s">
        <v>6929</v>
      </c>
    </row>
    <row r="6899">
      <c r="A6899" s="11" t="s">
        <v>6930</v>
      </c>
    </row>
    <row r="6900">
      <c r="A6900" s="11" t="s">
        <v>6931</v>
      </c>
    </row>
    <row r="6901">
      <c r="A6901" s="11" t="s">
        <v>6932</v>
      </c>
    </row>
    <row r="6902">
      <c r="A6902" s="11" t="s">
        <v>6933</v>
      </c>
    </row>
    <row r="6903">
      <c r="A6903" s="11" t="s">
        <v>6934</v>
      </c>
    </row>
    <row r="6904">
      <c r="A6904" s="11" t="s">
        <v>6935</v>
      </c>
    </row>
    <row r="6905">
      <c r="A6905" s="11" t="s">
        <v>6936</v>
      </c>
    </row>
    <row r="6906">
      <c r="A6906" s="11" t="s">
        <v>6937</v>
      </c>
    </row>
    <row r="6907">
      <c r="A6907" s="11" t="s">
        <v>6938</v>
      </c>
    </row>
    <row r="6908">
      <c r="A6908" s="11" t="s">
        <v>6939</v>
      </c>
    </row>
    <row r="6909">
      <c r="A6909" s="11" t="s">
        <v>6940</v>
      </c>
    </row>
    <row r="6910">
      <c r="A6910" s="11" t="s">
        <v>6941</v>
      </c>
    </row>
    <row r="6911">
      <c r="A6911" s="11" t="s">
        <v>6942</v>
      </c>
    </row>
    <row r="6912">
      <c r="A6912" s="11" t="s">
        <v>6943</v>
      </c>
    </row>
    <row r="6913">
      <c r="A6913" s="11" t="s">
        <v>6944</v>
      </c>
    </row>
    <row r="6914">
      <c r="A6914" s="11" t="s">
        <v>6945</v>
      </c>
    </row>
    <row r="6915">
      <c r="A6915" s="11" t="s">
        <v>6946</v>
      </c>
    </row>
    <row r="6916">
      <c r="A6916" s="11" t="s">
        <v>6947</v>
      </c>
    </row>
    <row r="6917">
      <c r="A6917" s="11" t="s">
        <v>6948</v>
      </c>
    </row>
    <row r="6918">
      <c r="A6918" s="11" t="s">
        <v>6949</v>
      </c>
    </row>
    <row r="6919">
      <c r="A6919" s="11" t="s">
        <v>6950</v>
      </c>
    </row>
    <row r="6920">
      <c r="A6920" s="11" t="s">
        <v>6951</v>
      </c>
    </row>
    <row r="6921">
      <c r="A6921" s="11" t="s">
        <v>6952</v>
      </c>
    </row>
    <row r="6922">
      <c r="A6922" s="11" t="s">
        <v>6953</v>
      </c>
    </row>
    <row r="6923">
      <c r="A6923" s="11" t="s">
        <v>6954</v>
      </c>
    </row>
    <row r="6924">
      <c r="A6924" s="11" t="s">
        <v>6955</v>
      </c>
    </row>
    <row r="6925">
      <c r="A6925" s="11" t="s">
        <v>6956</v>
      </c>
    </row>
    <row r="6926">
      <c r="A6926" s="11" t="s">
        <v>6957</v>
      </c>
    </row>
    <row r="6927">
      <c r="A6927" s="11" t="s">
        <v>6958</v>
      </c>
    </row>
    <row r="6928">
      <c r="A6928" s="11" t="s">
        <v>6959</v>
      </c>
    </row>
    <row r="6929">
      <c r="A6929" s="11" t="s">
        <v>6960</v>
      </c>
    </row>
    <row r="6930">
      <c r="A6930" s="11" t="s">
        <v>6961</v>
      </c>
    </row>
    <row r="6931">
      <c r="A6931" s="11" t="s">
        <v>6962</v>
      </c>
    </row>
    <row r="6932">
      <c r="A6932" s="11" t="s">
        <v>6963</v>
      </c>
    </row>
    <row r="6933">
      <c r="A6933" s="11" t="s">
        <v>6964</v>
      </c>
    </row>
    <row r="6934">
      <c r="A6934" s="11" t="s">
        <v>6965</v>
      </c>
    </row>
    <row r="6935">
      <c r="A6935" s="11" t="s">
        <v>6966</v>
      </c>
    </row>
    <row r="6936">
      <c r="A6936" s="11" t="s">
        <v>6967</v>
      </c>
    </row>
    <row r="6937">
      <c r="A6937" s="11" t="s">
        <v>6968</v>
      </c>
    </row>
    <row r="6938">
      <c r="A6938" s="11" t="s">
        <v>6969</v>
      </c>
    </row>
    <row r="6939">
      <c r="A6939" s="11" t="s">
        <v>6970</v>
      </c>
    </row>
    <row r="6940">
      <c r="A6940" s="11" t="s">
        <v>6971</v>
      </c>
    </row>
    <row r="6941">
      <c r="A6941" s="11" t="s">
        <v>6972</v>
      </c>
    </row>
    <row r="6942">
      <c r="A6942" s="11" t="s">
        <v>6973</v>
      </c>
    </row>
    <row r="6943">
      <c r="A6943" s="11" t="s">
        <v>6974</v>
      </c>
    </row>
    <row r="6944">
      <c r="A6944" s="11" t="s">
        <v>6975</v>
      </c>
    </row>
    <row r="6945">
      <c r="A6945" s="11" t="s">
        <v>6976</v>
      </c>
    </row>
    <row r="6946">
      <c r="A6946" s="11" t="s">
        <v>6977</v>
      </c>
    </row>
    <row r="6947">
      <c r="A6947" s="11" t="s">
        <v>6978</v>
      </c>
    </row>
    <row r="6948">
      <c r="A6948" s="11" t="s">
        <v>6979</v>
      </c>
    </row>
    <row r="6949">
      <c r="A6949" s="11" t="s">
        <v>6980</v>
      </c>
    </row>
    <row r="6950">
      <c r="A6950" s="11" t="s">
        <v>6981</v>
      </c>
    </row>
    <row r="6951">
      <c r="A6951" s="11" t="s">
        <v>6982</v>
      </c>
    </row>
    <row r="6952">
      <c r="A6952" s="11" t="s">
        <v>6983</v>
      </c>
    </row>
    <row r="6953">
      <c r="A6953" s="11" t="s">
        <v>6984</v>
      </c>
    </row>
    <row r="6954">
      <c r="A6954" s="11" t="s">
        <v>6985</v>
      </c>
    </row>
    <row r="6955">
      <c r="A6955" s="11" t="s">
        <v>6986</v>
      </c>
    </row>
    <row r="6956">
      <c r="A6956" s="11" t="s">
        <v>6987</v>
      </c>
    </row>
    <row r="6957">
      <c r="A6957" s="11" t="s">
        <v>6988</v>
      </c>
    </row>
    <row r="6958">
      <c r="A6958" s="11" t="s">
        <v>6989</v>
      </c>
    </row>
    <row r="6959">
      <c r="A6959" s="11" t="s">
        <v>6990</v>
      </c>
    </row>
    <row r="6960">
      <c r="A6960" s="11" t="s">
        <v>6991</v>
      </c>
    </row>
    <row r="6961">
      <c r="A6961" s="11" t="s">
        <v>6992</v>
      </c>
    </row>
    <row r="6962">
      <c r="A6962" s="11" t="s">
        <v>6993</v>
      </c>
    </row>
    <row r="6963">
      <c r="A6963" s="11" t="s">
        <v>6994</v>
      </c>
    </row>
    <row r="6964">
      <c r="A6964" s="11" t="s">
        <v>6995</v>
      </c>
    </row>
    <row r="6965">
      <c r="A6965" s="11" t="s">
        <v>6996</v>
      </c>
    </row>
    <row r="6966">
      <c r="A6966" s="11" t="s">
        <v>6997</v>
      </c>
    </row>
    <row r="6967">
      <c r="A6967" s="11" t="s">
        <v>6998</v>
      </c>
    </row>
    <row r="6968">
      <c r="A6968" s="11" t="s">
        <v>6999</v>
      </c>
    </row>
    <row r="6969">
      <c r="A6969" s="11" t="s">
        <v>7000</v>
      </c>
    </row>
    <row r="6970">
      <c r="A6970" s="11" t="s">
        <v>7001</v>
      </c>
    </row>
    <row r="6971">
      <c r="A6971" s="11" t="s">
        <v>7002</v>
      </c>
    </row>
    <row r="6972">
      <c r="A6972" s="11" t="s">
        <v>7003</v>
      </c>
    </row>
    <row r="6973">
      <c r="A6973" s="11" t="s">
        <v>7004</v>
      </c>
    </row>
    <row r="6974">
      <c r="A6974" s="11" t="s">
        <v>7005</v>
      </c>
    </row>
    <row r="6975">
      <c r="A6975" s="11" t="s">
        <v>7006</v>
      </c>
    </row>
    <row r="6976">
      <c r="A6976" s="11" t="s">
        <v>7007</v>
      </c>
    </row>
    <row r="6977">
      <c r="A6977" s="11" t="s">
        <v>7008</v>
      </c>
    </row>
    <row r="6978">
      <c r="A6978" s="11" t="s">
        <v>7009</v>
      </c>
    </row>
    <row r="6979">
      <c r="A6979" s="11" t="s">
        <v>7010</v>
      </c>
    </row>
    <row r="6980">
      <c r="A6980" s="11" t="s">
        <v>7011</v>
      </c>
    </row>
    <row r="6981">
      <c r="A6981" s="11" t="s">
        <v>7012</v>
      </c>
    </row>
    <row r="6982">
      <c r="A6982" s="11" t="s">
        <v>7013</v>
      </c>
    </row>
    <row r="6983">
      <c r="A6983" s="11" t="s">
        <v>7014</v>
      </c>
    </row>
    <row r="6984">
      <c r="A6984" s="11" t="s">
        <v>7015</v>
      </c>
    </row>
    <row r="6985">
      <c r="A6985" s="11" t="s">
        <v>7016</v>
      </c>
    </row>
    <row r="6986">
      <c r="A6986" s="11" t="s">
        <v>7017</v>
      </c>
    </row>
    <row r="6987">
      <c r="A6987" s="11" t="s">
        <v>7018</v>
      </c>
    </row>
    <row r="6988">
      <c r="A6988" s="11" t="s">
        <v>7019</v>
      </c>
    </row>
    <row r="6989">
      <c r="A6989" s="11" t="s">
        <v>7020</v>
      </c>
    </row>
    <row r="6990">
      <c r="A6990" s="11" t="s">
        <v>7021</v>
      </c>
    </row>
    <row r="6991">
      <c r="A6991" s="11" t="s">
        <v>7022</v>
      </c>
    </row>
    <row r="6992">
      <c r="A6992" s="11" t="s">
        <v>7023</v>
      </c>
    </row>
    <row r="6993">
      <c r="A6993" s="11" t="s">
        <v>7024</v>
      </c>
    </row>
    <row r="6994">
      <c r="A6994" s="11" t="s">
        <v>7025</v>
      </c>
    </row>
    <row r="6995">
      <c r="A6995" s="11" t="s">
        <v>7026</v>
      </c>
    </row>
    <row r="6996">
      <c r="A6996" s="11" t="s">
        <v>7027</v>
      </c>
    </row>
    <row r="6997">
      <c r="A6997" s="11" t="s">
        <v>7028</v>
      </c>
    </row>
    <row r="6998">
      <c r="A6998" s="11" t="s">
        <v>7029</v>
      </c>
    </row>
    <row r="6999">
      <c r="A6999" s="11" t="s">
        <v>7030</v>
      </c>
    </row>
    <row r="7000">
      <c r="A7000" s="11" t="s">
        <v>7031</v>
      </c>
    </row>
    <row r="7001">
      <c r="A7001" s="11" t="s">
        <v>7032</v>
      </c>
    </row>
    <row r="7002">
      <c r="A7002" s="11" t="s">
        <v>7033</v>
      </c>
    </row>
    <row r="7003">
      <c r="A7003" s="11" t="s">
        <v>7034</v>
      </c>
    </row>
    <row r="7004">
      <c r="A7004" s="11" t="s">
        <v>7035</v>
      </c>
    </row>
    <row r="7005">
      <c r="A7005" s="11" t="s">
        <v>7036</v>
      </c>
    </row>
    <row r="7006">
      <c r="A7006" s="11" t="s">
        <v>7037</v>
      </c>
    </row>
    <row r="7007">
      <c r="A7007" s="11" t="s">
        <v>7038</v>
      </c>
    </row>
    <row r="7008">
      <c r="A7008" s="11" t="s">
        <v>7039</v>
      </c>
    </row>
    <row r="7009">
      <c r="A7009" s="11" t="s">
        <v>7040</v>
      </c>
    </row>
    <row r="7010">
      <c r="A7010" s="11" t="s">
        <v>7041</v>
      </c>
    </row>
    <row r="7011">
      <c r="A7011" s="11" t="s">
        <v>7042</v>
      </c>
    </row>
    <row r="7012">
      <c r="A7012" s="11" t="s">
        <v>7043</v>
      </c>
    </row>
    <row r="7013">
      <c r="A7013" s="11" t="s">
        <v>7044</v>
      </c>
    </row>
    <row r="7014">
      <c r="A7014" s="11" t="s">
        <v>7045</v>
      </c>
    </row>
    <row r="7015">
      <c r="A7015" s="11" t="s">
        <v>7046</v>
      </c>
    </row>
    <row r="7016">
      <c r="A7016" s="11" t="s">
        <v>7047</v>
      </c>
    </row>
    <row r="7017">
      <c r="A7017" s="11" t="s">
        <v>7048</v>
      </c>
    </row>
    <row r="7018">
      <c r="A7018" s="11" t="s">
        <v>7049</v>
      </c>
    </row>
    <row r="7019">
      <c r="A7019" s="11" t="s">
        <v>7050</v>
      </c>
    </row>
    <row r="7020">
      <c r="A7020" s="11" t="s">
        <v>7051</v>
      </c>
    </row>
    <row r="7021">
      <c r="A7021" s="11" t="s">
        <v>7052</v>
      </c>
    </row>
    <row r="7022">
      <c r="A7022" s="11" t="s">
        <v>7053</v>
      </c>
    </row>
    <row r="7023">
      <c r="A7023" s="11" t="s">
        <v>7054</v>
      </c>
    </row>
    <row r="7024">
      <c r="A7024" s="11" t="s">
        <v>7055</v>
      </c>
    </row>
    <row r="7025">
      <c r="A7025" s="11" t="s">
        <v>7056</v>
      </c>
    </row>
    <row r="7026">
      <c r="A7026" s="11" t="s">
        <v>7057</v>
      </c>
    </row>
    <row r="7027">
      <c r="A7027" s="11" t="s">
        <v>7058</v>
      </c>
    </row>
    <row r="7028">
      <c r="A7028" s="11" t="s">
        <v>7059</v>
      </c>
    </row>
    <row r="7029">
      <c r="A7029" s="11" t="s">
        <v>7060</v>
      </c>
    </row>
    <row r="7030">
      <c r="A7030" s="11" t="s">
        <v>7061</v>
      </c>
    </row>
    <row r="7031">
      <c r="A7031" s="11" t="s">
        <v>7062</v>
      </c>
    </row>
    <row r="7032">
      <c r="A7032" s="11" t="s">
        <v>7063</v>
      </c>
    </row>
    <row r="7033">
      <c r="A7033" s="11" t="s">
        <v>7064</v>
      </c>
    </row>
    <row r="7034">
      <c r="A7034" s="11" t="s">
        <v>7065</v>
      </c>
    </row>
    <row r="7035">
      <c r="A7035" s="11" t="s">
        <v>7066</v>
      </c>
    </row>
    <row r="7036">
      <c r="A7036" s="11" t="s">
        <v>7067</v>
      </c>
    </row>
    <row r="7037">
      <c r="A7037" s="11" t="s">
        <v>7068</v>
      </c>
    </row>
    <row r="7038">
      <c r="A7038" s="11" t="s">
        <v>7069</v>
      </c>
    </row>
    <row r="7039">
      <c r="A7039" s="11" t="s">
        <v>7070</v>
      </c>
    </row>
    <row r="7040">
      <c r="A7040" s="11" t="s">
        <v>7071</v>
      </c>
    </row>
    <row r="7041">
      <c r="A7041" s="11" t="s">
        <v>7072</v>
      </c>
    </row>
    <row r="7042">
      <c r="A7042" s="11" t="s">
        <v>7073</v>
      </c>
    </row>
    <row r="7043">
      <c r="A7043" s="11" t="s">
        <v>7074</v>
      </c>
    </row>
    <row r="7044">
      <c r="A7044" s="11" t="s">
        <v>7075</v>
      </c>
    </row>
    <row r="7045">
      <c r="A7045" s="11" t="s">
        <v>7076</v>
      </c>
    </row>
    <row r="7046">
      <c r="A7046" s="11" t="s">
        <v>7077</v>
      </c>
    </row>
    <row r="7047">
      <c r="A7047" s="11" t="s">
        <v>7078</v>
      </c>
    </row>
    <row r="7048">
      <c r="A7048" s="11" t="s">
        <v>7079</v>
      </c>
    </row>
    <row r="7049">
      <c r="A7049" s="11" t="s">
        <v>7080</v>
      </c>
    </row>
    <row r="7050">
      <c r="A7050" s="11" t="s">
        <v>7081</v>
      </c>
    </row>
    <row r="7051">
      <c r="A7051" s="11" t="s">
        <v>7082</v>
      </c>
    </row>
    <row r="7052">
      <c r="A7052" s="11" t="s">
        <v>7083</v>
      </c>
    </row>
    <row r="7053">
      <c r="A7053" s="11" t="s">
        <v>7084</v>
      </c>
    </row>
    <row r="7054">
      <c r="A7054" s="11" t="s">
        <v>7085</v>
      </c>
    </row>
    <row r="7055">
      <c r="A7055" s="11" t="s">
        <v>7086</v>
      </c>
    </row>
    <row r="7056">
      <c r="A7056" s="11" t="s">
        <v>7087</v>
      </c>
    </row>
    <row r="7057">
      <c r="A7057" s="11" t="s">
        <v>7088</v>
      </c>
    </row>
    <row r="7058">
      <c r="A7058" s="11" t="s">
        <v>7089</v>
      </c>
    </row>
    <row r="7059">
      <c r="A7059" s="11" t="s">
        <v>7090</v>
      </c>
    </row>
    <row r="7060">
      <c r="A7060" s="11" t="s">
        <v>7091</v>
      </c>
    </row>
    <row r="7061">
      <c r="A7061" s="11" t="s">
        <v>7092</v>
      </c>
    </row>
    <row r="7062">
      <c r="A7062" s="11" t="s">
        <v>7093</v>
      </c>
    </row>
    <row r="7063">
      <c r="A7063" s="11" t="s">
        <v>7094</v>
      </c>
    </row>
    <row r="7064">
      <c r="A7064" s="11" t="s">
        <v>7095</v>
      </c>
    </row>
    <row r="7065">
      <c r="A7065" s="11" t="s">
        <v>7096</v>
      </c>
    </row>
    <row r="7066">
      <c r="A7066" s="11" t="s">
        <v>7097</v>
      </c>
    </row>
    <row r="7067">
      <c r="A7067" s="11" t="s">
        <v>7098</v>
      </c>
    </row>
    <row r="7068">
      <c r="A7068" s="11" t="s">
        <v>7099</v>
      </c>
    </row>
    <row r="7069">
      <c r="A7069" s="11" t="s">
        <v>7100</v>
      </c>
    </row>
    <row r="7070">
      <c r="A7070" s="11" t="s">
        <v>7101</v>
      </c>
    </row>
    <row r="7071">
      <c r="A7071" s="11" t="s">
        <v>7102</v>
      </c>
    </row>
    <row r="7072">
      <c r="A7072" s="11" t="s">
        <v>7103</v>
      </c>
    </row>
    <row r="7073">
      <c r="A7073" s="11" t="s">
        <v>7104</v>
      </c>
    </row>
    <row r="7074">
      <c r="A7074" s="11" t="s">
        <v>7105</v>
      </c>
    </row>
    <row r="7075">
      <c r="A7075" s="11" t="s">
        <v>7106</v>
      </c>
    </row>
    <row r="7076">
      <c r="A7076" s="11" t="s">
        <v>7107</v>
      </c>
    </row>
    <row r="7077">
      <c r="A7077" s="11" t="s">
        <v>7108</v>
      </c>
    </row>
    <row r="7078">
      <c r="A7078" s="11" t="s">
        <v>7109</v>
      </c>
    </row>
    <row r="7079">
      <c r="A7079" s="11" t="s">
        <v>7110</v>
      </c>
    </row>
    <row r="7080">
      <c r="A7080" s="11" t="s">
        <v>7111</v>
      </c>
    </row>
    <row r="7081">
      <c r="A7081" s="11" t="s">
        <v>7112</v>
      </c>
    </row>
    <row r="7082">
      <c r="A7082" s="11" t="s">
        <v>7113</v>
      </c>
    </row>
    <row r="7083">
      <c r="A7083" s="11" t="s">
        <v>7114</v>
      </c>
    </row>
    <row r="7084">
      <c r="A7084" s="11" t="s">
        <v>7115</v>
      </c>
    </row>
    <row r="7085">
      <c r="A7085" s="11" t="s">
        <v>7116</v>
      </c>
    </row>
    <row r="7086">
      <c r="A7086" s="11" t="s">
        <v>7117</v>
      </c>
    </row>
    <row r="7087">
      <c r="A7087" s="11" t="s">
        <v>7118</v>
      </c>
    </row>
    <row r="7088">
      <c r="A7088" s="11" t="s">
        <v>7119</v>
      </c>
    </row>
    <row r="7089">
      <c r="A7089" s="11" t="s">
        <v>7120</v>
      </c>
    </row>
    <row r="7090">
      <c r="A7090" s="11" t="s">
        <v>7121</v>
      </c>
    </row>
    <row r="7091">
      <c r="A7091" s="11" t="s">
        <v>7122</v>
      </c>
    </row>
    <row r="7092">
      <c r="A7092" s="11" t="s">
        <v>7123</v>
      </c>
    </row>
    <row r="7093">
      <c r="A7093" s="11" t="s">
        <v>7124</v>
      </c>
    </row>
    <row r="7094">
      <c r="A7094" s="11" t="s">
        <v>7125</v>
      </c>
    </row>
    <row r="7095">
      <c r="A7095" s="11" t="s">
        <v>7126</v>
      </c>
    </row>
    <row r="7096">
      <c r="A7096" s="11" t="s">
        <v>7127</v>
      </c>
    </row>
    <row r="7097">
      <c r="A7097" s="11" t="s">
        <v>7128</v>
      </c>
    </row>
    <row r="7098">
      <c r="A7098" s="11" t="s">
        <v>7129</v>
      </c>
    </row>
    <row r="7099">
      <c r="A7099" s="11" t="s">
        <v>7130</v>
      </c>
    </row>
    <row r="7100">
      <c r="A7100" s="11" t="s">
        <v>7131</v>
      </c>
    </row>
    <row r="7101">
      <c r="A7101" s="11" t="s">
        <v>7132</v>
      </c>
    </row>
    <row r="7102">
      <c r="A7102" s="11" t="s">
        <v>7133</v>
      </c>
    </row>
    <row r="7103">
      <c r="A7103" s="11" t="s">
        <v>7134</v>
      </c>
    </row>
    <row r="7104">
      <c r="A7104" s="11" t="s">
        <v>7135</v>
      </c>
    </row>
    <row r="7105">
      <c r="A7105" s="11" t="s">
        <v>7136</v>
      </c>
    </row>
    <row r="7106">
      <c r="A7106" s="11" t="s">
        <v>7137</v>
      </c>
    </row>
    <row r="7107">
      <c r="A7107" s="11" t="s">
        <v>7138</v>
      </c>
    </row>
    <row r="7108">
      <c r="A7108" s="11" t="s">
        <v>7139</v>
      </c>
    </row>
    <row r="7109">
      <c r="A7109" s="11" t="s">
        <v>7140</v>
      </c>
    </row>
    <row r="7110">
      <c r="A7110" s="11" t="s">
        <v>7141</v>
      </c>
    </row>
    <row r="7111">
      <c r="A7111" s="11" t="s">
        <v>7142</v>
      </c>
    </row>
    <row r="7112">
      <c r="A7112" s="11" t="s">
        <v>7143</v>
      </c>
    </row>
    <row r="7113">
      <c r="A7113" s="11" t="s">
        <v>7144</v>
      </c>
    </row>
    <row r="7114">
      <c r="A7114" s="11" t="s">
        <v>7145</v>
      </c>
    </row>
    <row r="7115">
      <c r="A7115" s="11" t="s">
        <v>7146</v>
      </c>
    </row>
    <row r="7116">
      <c r="A7116" s="11" t="s">
        <v>7147</v>
      </c>
    </row>
    <row r="7117">
      <c r="A7117" s="11" t="s">
        <v>7148</v>
      </c>
    </row>
    <row r="7118">
      <c r="A7118" s="11" t="s">
        <v>7149</v>
      </c>
    </row>
    <row r="7119">
      <c r="A7119" s="11" t="s">
        <v>7150</v>
      </c>
    </row>
    <row r="7120">
      <c r="A7120" s="11" t="s">
        <v>7151</v>
      </c>
    </row>
    <row r="7121">
      <c r="A7121" s="11" t="s">
        <v>7152</v>
      </c>
    </row>
    <row r="7122">
      <c r="A7122" s="11" t="s">
        <v>7153</v>
      </c>
    </row>
    <row r="7123">
      <c r="A7123" s="11" t="s">
        <v>7154</v>
      </c>
    </row>
    <row r="7124">
      <c r="A7124" s="11" t="s">
        <v>7155</v>
      </c>
    </row>
    <row r="7125">
      <c r="A7125" s="11" t="s">
        <v>7156</v>
      </c>
    </row>
    <row r="7126">
      <c r="A7126" s="11" t="s">
        <v>7157</v>
      </c>
    </row>
    <row r="7127">
      <c r="A7127" s="11" t="s">
        <v>7158</v>
      </c>
    </row>
    <row r="7128">
      <c r="A7128" s="11" t="s">
        <v>7159</v>
      </c>
    </row>
    <row r="7129">
      <c r="A7129" s="11" t="s">
        <v>7160</v>
      </c>
    </row>
    <row r="7130">
      <c r="A7130" s="11" t="s">
        <v>7161</v>
      </c>
    </row>
    <row r="7131">
      <c r="A7131" s="11" t="s">
        <v>7162</v>
      </c>
    </row>
    <row r="7132">
      <c r="A7132" s="11" t="s">
        <v>7163</v>
      </c>
    </row>
    <row r="7133">
      <c r="A7133" s="11" t="s">
        <v>7164</v>
      </c>
    </row>
    <row r="7134">
      <c r="A7134" s="11" t="s">
        <v>7165</v>
      </c>
    </row>
    <row r="7135">
      <c r="A7135" s="11" t="s">
        <v>7166</v>
      </c>
    </row>
    <row r="7136">
      <c r="A7136" s="11" t="s">
        <v>7167</v>
      </c>
    </row>
    <row r="7137">
      <c r="A7137" s="11" t="s">
        <v>7168</v>
      </c>
    </row>
    <row r="7138">
      <c r="A7138" s="11" t="s">
        <v>7169</v>
      </c>
    </row>
    <row r="7139">
      <c r="A7139" s="11" t="s">
        <v>7170</v>
      </c>
    </row>
    <row r="7140">
      <c r="A7140" s="11" t="s">
        <v>7171</v>
      </c>
    </row>
    <row r="7141">
      <c r="A7141" s="11" t="s">
        <v>7172</v>
      </c>
    </row>
    <row r="7142">
      <c r="A7142" s="11" t="s">
        <v>7173</v>
      </c>
    </row>
    <row r="7143">
      <c r="A7143" s="11" t="s">
        <v>7174</v>
      </c>
    </row>
    <row r="7144">
      <c r="A7144" s="11" t="s">
        <v>7175</v>
      </c>
    </row>
    <row r="7145">
      <c r="A7145" s="11" t="s">
        <v>7176</v>
      </c>
    </row>
    <row r="7146">
      <c r="A7146" s="11" t="s">
        <v>7177</v>
      </c>
    </row>
    <row r="7147">
      <c r="A7147" s="11" t="s">
        <v>7178</v>
      </c>
    </row>
    <row r="7148">
      <c r="A7148" s="11" t="s">
        <v>7179</v>
      </c>
    </row>
    <row r="7149">
      <c r="A7149" s="11" t="s">
        <v>7180</v>
      </c>
    </row>
    <row r="7150">
      <c r="A7150" s="11" t="s">
        <v>7181</v>
      </c>
    </row>
    <row r="7151">
      <c r="A7151" s="11" t="s">
        <v>7182</v>
      </c>
    </row>
    <row r="7152">
      <c r="A7152" s="11" t="s">
        <v>7183</v>
      </c>
    </row>
    <row r="7153">
      <c r="A7153" s="11" t="s">
        <v>7184</v>
      </c>
    </row>
    <row r="7154">
      <c r="A7154" s="11" t="s">
        <v>7185</v>
      </c>
    </row>
    <row r="7155">
      <c r="A7155" s="11" t="s">
        <v>7186</v>
      </c>
    </row>
    <row r="7156">
      <c r="A7156" s="11" t="s">
        <v>7187</v>
      </c>
    </row>
    <row r="7157">
      <c r="A7157" s="11" t="s">
        <v>7188</v>
      </c>
    </row>
    <row r="7158">
      <c r="A7158" s="11" t="s">
        <v>7189</v>
      </c>
    </row>
    <row r="7159">
      <c r="A7159" s="11" t="s">
        <v>7190</v>
      </c>
    </row>
    <row r="7160">
      <c r="A7160" s="11" t="s">
        <v>7191</v>
      </c>
    </row>
    <row r="7161">
      <c r="A7161" s="11" t="s">
        <v>7192</v>
      </c>
    </row>
    <row r="7162">
      <c r="A7162" s="11" t="s">
        <v>7193</v>
      </c>
    </row>
    <row r="7163">
      <c r="A7163" s="11" t="s">
        <v>7194</v>
      </c>
    </row>
    <row r="7164">
      <c r="A7164" s="11" t="s">
        <v>7195</v>
      </c>
    </row>
    <row r="7165">
      <c r="A7165" s="11" t="s">
        <v>7196</v>
      </c>
    </row>
    <row r="7166">
      <c r="A7166" s="11" t="s">
        <v>7197</v>
      </c>
    </row>
    <row r="7167">
      <c r="A7167" s="11" t="s">
        <v>7198</v>
      </c>
    </row>
    <row r="7168">
      <c r="A7168" s="11" t="s">
        <v>7199</v>
      </c>
    </row>
    <row r="7169">
      <c r="A7169" s="11" t="s">
        <v>7200</v>
      </c>
    </row>
    <row r="7170">
      <c r="A7170" s="11" t="s">
        <v>7201</v>
      </c>
    </row>
    <row r="7171">
      <c r="A7171" s="11" t="s">
        <v>7202</v>
      </c>
    </row>
    <row r="7172">
      <c r="A7172" s="11" t="s">
        <v>7203</v>
      </c>
    </row>
    <row r="7173">
      <c r="A7173" s="11" t="s">
        <v>7204</v>
      </c>
    </row>
    <row r="7174">
      <c r="A7174" s="11" t="s">
        <v>7205</v>
      </c>
    </row>
    <row r="7175">
      <c r="A7175" s="11" t="s">
        <v>7206</v>
      </c>
    </row>
    <row r="7176">
      <c r="A7176" s="11" t="s">
        <v>7207</v>
      </c>
    </row>
    <row r="7177">
      <c r="A7177" s="11" t="s">
        <v>7208</v>
      </c>
    </row>
    <row r="7178">
      <c r="A7178" s="11" t="s">
        <v>7209</v>
      </c>
    </row>
    <row r="7179">
      <c r="A7179" s="11" t="s">
        <v>7210</v>
      </c>
    </row>
    <row r="7180">
      <c r="A7180" s="11" t="s">
        <v>7211</v>
      </c>
    </row>
    <row r="7181">
      <c r="A7181" s="11" t="s">
        <v>7212</v>
      </c>
    </row>
    <row r="7182">
      <c r="A7182" s="11" t="s">
        <v>7213</v>
      </c>
    </row>
    <row r="7183">
      <c r="A7183" s="11" t="s">
        <v>7214</v>
      </c>
    </row>
    <row r="7184">
      <c r="A7184" s="11" t="s">
        <v>7215</v>
      </c>
    </row>
    <row r="7185">
      <c r="A7185" s="11" t="s">
        <v>7216</v>
      </c>
    </row>
    <row r="7186">
      <c r="A7186" s="11" t="s">
        <v>7217</v>
      </c>
    </row>
    <row r="7187">
      <c r="A7187" s="11" t="s">
        <v>7218</v>
      </c>
    </row>
    <row r="7188">
      <c r="A7188" s="11" t="s">
        <v>7219</v>
      </c>
    </row>
    <row r="7189">
      <c r="A7189" s="11" t="s">
        <v>7220</v>
      </c>
    </row>
    <row r="7190">
      <c r="A7190" s="11" t="s">
        <v>7221</v>
      </c>
    </row>
    <row r="7191">
      <c r="A7191" s="11" t="s">
        <v>7222</v>
      </c>
    </row>
    <row r="7192">
      <c r="A7192" s="11" t="s">
        <v>7223</v>
      </c>
    </row>
    <row r="7193">
      <c r="A7193" s="11" t="s">
        <v>7224</v>
      </c>
    </row>
    <row r="7194">
      <c r="A7194" s="11" t="s">
        <v>7225</v>
      </c>
    </row>
    <row r="7195">
      <c r="A7195" s="11" t="s">
        <v>7226</v>
      </c>
    </row>
    <row r="7196">
      <c r="A7196" s="11" t="s">
        <v>7227</v>
      </c>
    </row>
    <row r="7197">
      <c r="A7197" s="11" t="s">
        <v>7228</v>
      </c>
    </row>
    <row r="7198">
      <c r="A7198" s="11" t="s">
        <v>7229</v>
      </c>
    </row>
    <row r="7199">
      <c r="A7199" s="11" t="s">
        <v>7230</v>
      </c>
    </row>
    <row r="7200">
      <c r="A7200" s="11" t="s">
        <v>7231</v>
      </c>
    </row>
    <row r="7201">
      <c r="A7201" s="11" t="s">
        <v>7232</v>
      </c>
    </row>
    <row r="7202">
      <c r="A7202" s="11" t="s">
        <v>7233</v>
      </c>
    </row>
    <row r="7203">
      <c r="A7203" s="11" t="s">
        <v>7234</v>
      </c>
    </row>
    <row r="7204">
      <c r="A7204" s="11" t="s">
        <v>7235</v>
      </c>
    </row>
    <row r="7205">
      <c r="A7205" s="11" t="s">
        <v>7236</v>
      </c>
    </row>
    <row r="7206">
      <c r="A7206" s="11" t="s">
        <v>7237</v>
      </c>
    </row>
    <row r="7207">
      <c r="A7207" s="11" t="s">
        <v>7238</v>
      </c>
    </row>
    <row r="7208">
      <c r="A7208" s="11" t="s">
        <v>7239</v>
      </c>
    </row>
    <row r="7209">
      <c r="A7209" s="11" t="s">
        <v>7240</v>
      </c>
    </row>
    <row r="7210">
      <c r="A7210" s="11" t="s">
        <v>7241</v>
      </c>
    </row>
    <row r="7211">
      <c r="A7211" s="11" t="s">
        <v>7242</v>
      </c>
    </row>
    <row r="7212">
      <c r="A7212" s="11" t="s">
        <v>7243</v>
      </c>
    </row>
    <row r="7213">
      <c r="A7213" s="11" t="s">
        <v>7244</v>
      </c>
    </row>
    <row r="7214">
      <c r="A7214" s="11" t="s">
        <v>7245</v>
      </c>
    </row>
    <row r="7215">
      <c r="A7215" s="11" t="s">
        <v>7246</v>
      </c>
    </row>
    <row r="7216">
      <c r="A7216" s="11" t="s">
        <v>7247</v>
      </c>
    </row>
    <row r="7217">
      <c r="A7217" s="11" t="s">
        <v>7248</v>
      </c>
    </row>
    <row r="7218">
      <c r="A7218" s="11" t="s">
        <v>7249</v>
      </c>
    </row>
    <row r="7219">
      <c r="A7219" s="11" t="s">
        <v>7250</v>
      </c>
    </row>
    <row r="7220">
      <c r="A7220" s="11" t="s">
        <v>7251</v>
      </c>
    </row>
    <row r="7221">
      <c r="A7221" s="11" t="s">
        <v>7252</v>
      </c>
    </row>
    <row r="7222">
      <c r="A7222" s="11" t="s">
        <v>7253</v>
      </c>
    </row>
    <row r="7223">
      <c r="A7223" s="11" t="s">
        <v>7254</v>
      </c>
    </row>
    <row r="7224">
      <c r="A7224" s="11" t="s">
        <v>7255</v>
      </c>
    </row>
    <row r="7225">
      <c r="A7225" s="11" t="s">
        <v>7256</v>
      </c>
    </row>
    <row r="7226">
      <c r="A7226" s="11" t="s">
        <v>7257</v>
      </c>
    </row>
    <row r="7227">
      <c r="A7227" s="11" t="s">
        <v>7258</v>
      </c>
    </row>
    <row r="7228">
      <c r="A7228" s="11" t="s">
        <v>7259</v>
      </c>
    </row>
    <row r="7229">
      <c r="A7229" s="11" t="s">
        <v>7260</v>
      </c>
    </row>
    <row r="7230">
      <c r="A7230" s="11" t="s">
        <v>7261</v>
      </c>
    </row>
    <row r="7231">
      <c r="A7231" s="11" t="s">
        <v>7262</v>
      </c>
    </row>
    <row r="7232">
      <c r="A7232" s="11" t="s">
        <v>7263</v>
      </c>
    </row>
    <row r="7233">
      <c r="A7233" s="11" t="s">
        <v>7264</v>
      </c>
    </row>
    <row r="7234">
      <c r="A7234" s="11" t="s">
        <v>7265</v>
      </c>
    </row>
    <row r="7235">
      <c r="A7235" s="11" t="s">
        <v>7266</v>
      </c>
    </row>
    <row r="7236">
      <c r="A7236" s="11" t="s">
        <v>7267</v>
      </c>
    </row>
    <row r="7237">
      <c r="A7237" s="11" t="s">
        <v>7268</v>
      </c>
    </row>
    <row r="7238">
      <c r="A7238" s="11" t="s">
        <v>7269</v>
      </c>
    </row>
    <row r="7239">
      <c r="A7239" s="11" t="s">
        <v>7270</v>
      </c>
    </row>
    <row r="7240">
      <c r="A7240" s="11" t="s">
        <v>7271</v>
      </c>
    </row>
    <row r="7241">
      <c r="A7241" s="11" t="s">
        <v>7272</v>
      </c>
    </row>
    <row r="7242">
      <c r="A7242" s="11" t="s">
        <v>7273</v>
      </c>
    </row>
    <row r="7243">
      <c r="A7243" s="11" t="s">
        <v>7274</v>
      </c>
    </row>
    <row r="7244">
      <c r="A7244" s="11" t="s">
        <v>7275</v>
      </c>
    </row>
    <row r="7245">
      <c r="A7245" s="11" t="s">
        <v>7276</v>
      </c>
    </row>
    <row r="7246">
      <c r="A7246" s="11" t="s">
        <v>7277</v>
      </c>
    </row>
    <row r="7247">
      <c r="A7247" s="11" t="s">
        <v>7278</v>
      </c>
    </row>
    <row r="7248">
      <c r="A7248" s="11" t="s">
        <v>7279</v>
      </c>
    </row>
    <row r="7249">
      <c r="A7249" s="11" t="s">
        <v>7280</v>
      </c>
    </row>
    <row r="7250">
      <c r="A7250" s="11" t="s">
        <v>7281</v>
      </c>
    </row>
    <row r="7251">
      <c r="A7251" s="11" t="s">
        <v>7282</v>
      </c>
    </row>
    <row r="7252">
      <c r="A7252" s="11" t="s">
        <v>7283</v>
      </c>
    </row>
    <row r="7253">
      <c r="A7253" s="11" t="s">
        <v>7284</v>
      </c>
    </row>
    <row r="7254">
      <c r="A7254" s="11" t="s">
        <v>7285</v>
      </c>
    </row>
    <row r="7255">
      <c r="A7255" s="11" t="s">
        <v>7286</v>
      </c>
    </row>
    <row r="7256">
      <c r="A7256" s="11" t="s">
        <v>7287</v>
      </c>
    </row>
    <row r="7257">
      <c r="A7257" s="11" t="s">
        <v>7288</v>
      </c>
    </row>
    <row r="7258">
      <c r="A7258" s="11" t="s">
        <v>7289</v>
      </c>
    </row>
    <row r="7259">
      <c r="A7259" s="11" t="s">
        <v>7290</v>
      </c>
    </row>
    <row r="7260">
      <c r="A7260" s="11" t="s">
        <v>7291</v>
      </c>
    </row>
    <row r="7261">
      <c r="A7261" s="11" t="s">
        <v>7292</v>
      </c>
    </row>
    <row r="7262">
      <c r="A7262" s="11" t="s">
        <v>7293</v>
      </c>
    </row>
    <row r="7263">
      <c r="A7263" s="11" t="s">
        <v>7294</v>
      </c>
    </row>
    <row r="7264">
      <c r="A7264" s="11" t="s">
        <v>7295</v>
      </c>
    </row>
    <row r="7265">
      <c r="A7265" s="11" t="s">
        <v>7296</v>
      </c>
    </row>
    <row r="7266">
      <c r="A7266" s="11" t="s">
        <v>7297</v>
      </c>
    </row>
    <row r="7267">
      <c r="A7267" s="11" t="s">
        <v>7298</v>
      </c>
    </row>
    <row r="7268">
      <c r="A7268" s="11" t="s">
        <v>7299</v>
      </c>
    </row>
    <row r="7269">
      <c r="A7269" s="11" t="s">
        <v>7300</v>
      </c>
    </row>
    <row r="7270">
      <c r="A7270" s="11" t="s">
        <v>7301</v>
      </c>
    </row>
    <row r="7271">
      <c r="A7271" s="11" t="s">
        <v>7302</v>
      </c>
    </row>
    <row r="7272">
      <c r="A7272" s="11" t="s">
        <v>7303</v>
      </c>
    </row>
    <row r="7273">
      <c r="A7273" s="11" t="s">
        <v>7304</v>
      </c>
    </row>
    <row r="7274">
      <c r="A7274" s="11" t="s">
        <v>7305</v>
      </c>
    </row>
    <row r="7275">
      <c r="A7275" s="11" t="s">
        <v>7306</v>
      </c>
    </row>
    <row r="7276">
      <c r="A7276" s="11" t="s">
        <v>7307</v>
      </c>
    </row>
    <row r="7277">
      <c r="A7277" s="11" t="s">
        <v>7308</v>
      </c>
    </row>
    <row r="7278">
      <c r="A7278" s="11" t="s">
        <v>7309</v>
      </c>
    </row>
    <row r="7279">
      <c r="A7279" s="11" t="s">
        <v>7310</v>
      </c>
    </row>
    <row r="7280">
      <c r="A7280" s="11" t="s">
        <v>7311</v>
      </c>
    </row>
    <row r="7281">
      <c r="A7281" s="11" t="s">
        <v>7312</v>
      </c>
    </row>
    <row r="7282">
      <c r="A7282" s="11" t="s">
        <v>7313</v>
      </c>
    </row>
    <row r="7283">
      <c r="A7283" s="11" t="s">
        <v>7314</v>
      </c>
    </row>
    <row r="7284">
      <c r="A7284" s="11" t="s">
        <v>7315</v>
      </c>
    </row>
    <row r="7285">
      <c r="A7285" s="11" t="s">
        <v>7316</v>
      </c>
    </row>
    <row r="7286">
      <c r="A7286" s="11" t="s">
        <v>7317</v>
      </c>
    </row>
    <row r="7287">
      <c r="A7287" s="11" t="s">
        <v>7318</v>
      </c>
    </row>
    <row r="7288">
      <c r="A7288" s="11" t="s">
        <v>7319</v>
      </c>
    </row>
    <row r="7289">
      <c r="A7289" s="11" t="s">
        <v>7320</v>
      </c>
    </row>
    <row r="7290">
      <c r="A7290" s="11" t="s">
        <v>7321</v>
      </c>
    </row>
    <row r="7291">
      <c r="A7291" s="11" t="s">
        <v>7322</v>
      </c>
    </row>
    <row r="7292">
      <c r="A7292" s="11" t="s">
        <v>7323</v>
      </c>
    </row>
    <row r="7293">
      <c r="A7293" s="11" t="s">
        <v>7324</v>
      </c>
    </row>
    <row r="7294">
      <c r="A7294" s="11" t="s">
        <v>7325</v>
      </c>
    </row>
    <row r="7295">
      <c r="A7295" s="11" t="s">
        <v>7326</v>
      </c>
    </row>
    <row r="7296">
      <c r="A7296" s="11" t="s">
        <v>7327</v>
      </c>
    </row>
    <row r="7297">
      <c r="A7297" s="11" t="s">
        <v>7328</v>
      </c>
    </row>
    <row r="7298">
      <c r="A7298" s="11" t="s">
        <v>7329</v>
      </c>
    </row>
    <row r="7299">
      <c r="A7299" s="11" t="s">
        <v>7330</v>
      </c>
    </row>
    <row r="7300">
      <c r="A7300" s="11" t="s">
        <v>7331</v>
      </c>
    </row>
    <row r="7301">
      <c r="A7301" s="11" t="s">
        <v>7332</v>
      </c>
    </row>
    <row r="7302">
      <c r="A7302" s="11" t="s">
        <v>7333</v>
      </c>
    </row>
    <row r="7303">
      <c r="A7303" s="11" t="s">
        <v>7334</v>
      </c>
    </row>
    <row r="7304">
      <c r="A7304" s="11" t="s">
        <v>7335</v>
      </c>
    </row>
    <row r="7305">
      <c r="A7305" s="11" t="s">
        <v>7336</v>
      </c>
    </row>
    <row r="7306">
      <c r="A7306" s="11" t="s">
        <v>7337</v>
      </c>
    </row>
    <row r="7307">
      <c r="A7307" s="11" t="s">
        <v>7338</v>
      </c>
    </row>
    <row r="7308">
      <c r="A7308" s="11" t="s">
        <v>7339</v>
      </c>
    </row>
    <row r="7309">
      <c r="A7309" s="11" t="s">
        <v>7340</v>
      </c>
    </row>
    <row r="7310">
      <c r="A7310" s="11" t="s">
        <v>7341</v>
      </c>
    </row>
    <row r="7311">
      <c r="A7311" s="11" t="s">
        <v>7342</v>
      </c>
    </row>
    <row r="7312">
      <c r="A7312" s="11" t="s">
        <v>7343</v>
      </c>
    </row>
    <row r="7313">
      <c r="A7313" s="11" t="s">
        <v>7344</v>
      </c>
    </row>
    <row r="7314">
      <c r="A7314" s="11" t="s">
        <v>7345</v>
      </c>
    </row>
    <row r="7315">
      <c r="A7315" s="11" t="s">
        <v>7346</v>
      </c>
    </row>
    <row r="7316">
      <c r="A7316" s="11" t="s">
        <v>7347</v>
      </c>
    </row>
    <row r="7317">
      <c r="A7317" s="11" t="s">
        <v>7348</v>
      </c>
    </row>
    <row r="7318">
      <c r="A7318" s="11" t="s">
        <v>7349</v>
      </c>
    </row>
    <row r="7319">
      <c r="A7319" s="11" t="s">
        <v>7350</v>
      </c>
    </row>
    <row r="7320">
      <c r="A7320" s="11" t="s">
        <v>7351</v>
      </c>
    </row>
    <row r="7321">
      <c r="A7321" s="11" t="s">
        <v>7352</v>
      </c>
    </row>
    <row r="7322">
      <c r="A7322" s="11" t="s">
        <v>7353</v>
      </c>
    </row>
    <row r="7323">
      <c r="A7323" s="11" t="s">
        <v>7354</v>
      </c>
    </row>
    <row r="7324">
      <c r="A7324" s="11" t="s">
        <v>7355</v>
      </c>
    </row>
    <row r="7325">
      <c r="A7325" s="11" t="s">
        <v>7356</v>
      </c>
    </row>
    <row r="7326">
      <c r="A7326" s="11" t="s">
        <v>7357</v>
      </c>
    </row>
    <row r="7327">
      <c r="A7327" s="11" t="s">
        <v>7358</v>
      </c>
    </row>
    <row r="7328">
      <c r="A7328" s="11" t="s">
        <v>7359</v>
      </c>
    </row>
    <row r="7329">
      <c r="A7329" s="11" t="s">
        <v>7360</v>
      </c>
    </row>
    <row r="7330">
      <c r="A7330" s="11" t="s">
        <v>7361</v>
      </c>
    </row>
    <row r="7331">
      <c r="A7331" s="11" t="s">
        <v>7362</v>
      </c>
    </row>
    <row r="7332">
      <c r="A7332" s="11" t="s">
        <v>7363</v>
      </c>
    </row>
    <row r="7333">
      <c r="A7333" s="11" t="s">
        <v>7364</v>
      </c>
    </row>
    <row r="7334">
      <c r="A7334" s="11" t="s">
        <v>7365</v>
      </c>
    </row>
    <row r="7335">
      <c r="A7335" s="11" t="s">
        <v>7366</v>
      </c>
    </row>
    <row r="7336">
      <c r="A7336" s="11" t="s">
        <v>7367</v>
      </c>
    </row>
    <row r="7337">
      <c r="A7337" s="11" t="s">
        <v>7368</v>
      </c>
    </row>
    <row r="7338">
      <c r="A7338" s="11" t="s">
        <v>7369</v>
      </c>
    </row>
    <row r="7339">
      <c r="A7339" s="11" t="s">
        <v>7370</v>
      </c>
    </row>
    <row r="7340">
      <c r="A7340" s="11" t="s">
        <v>7371</v>
      </c>
    </row>
    <row r="7341">
      <c r="A7341" s="11" t="s">
        <v>7372</v>
      </c>
    </row>
    <row r="7342">
      <c r="A7342" s="11" t="s">
        <v>7373</v>
      </c>
    </row>
    <row r="7343">
      <c r="A7343" s="11" t="s">
        <v>7374</v>
      </c>
    </row>
    <row r="7344">
      <c r="A7344" s="11" t="s">
        <v>7375</v>
      </c>
    </row>
    <row r="7345">
      <c r="A7345" s="11" t="s">
        <v>7376</v>
      </c>
    </row>
    <row r="7346">
      <c r="A7346" s="11" t="s">
        <v>7377</v>
      </c>
    </row>
    <row r="7347">
      <c r="A7347" s="11" t="s">
        <v>7378</v>
      </c>
    </row>
    <row r="7348">
      <c r="A7348" s="11" t="s">
        <v>7379</v>
      </c>
    </row>
    <row r="7349">
      <c r="A7349" s="11" t="s">
        <v>7380</v>
      </c>
    </row>
    <row r="7350">
      <c r="A7350" s="11" t="s">
        <v>7381</v>
      </c>
    </row>
    <row r="7351">
      <c r="A7351" s="11" t="s">
        <v>7382</v>
      </c>
    </row>
    <row r="7352">
      <c r="A7352" s="11" t="s">
        <v>7383</v>
      </c>
    </row>
    <row r="7353">
      <c r="A7353" s="11" t="s">
        <v>7384</v>
      </c>
    </row>
    <row r="7354">
      <c r="A7354" s="11" t="s">
        <v>7385</v>
      </c>
    </row>
    <row r="7355">
      <c r="A7355" s="11" t="s">
        <v>7386</v>
      </c>
    </row>
    <row r="7356">
      <c r="A7356" s="11" t="s">
        <v>7387</v>
      </c>
    </row>
    <row r="7357">
      <c r="A7357" s="11" t="s">
        <v>7388</v>
      </c>
    </row>
    <row r="7358">
      <c r="A7358" s="11" t="s">
        <v>7389</v>
      </c>
    </row>
    <row r="7359">
      <c r="A7359" s="11" t="s">
        <v>7390</v>
      </c>
    </row>
    <row r="7360">
      <c r="A7360" s="11" t="s">
        <v>7391</v>
      </c>
    </row>
    <row r="7361">
      <c r="A7361" s="11" t="s">
        <v>7392</v>
      </c>
    </row>
    <row r="7362">
      <c r="A7362" s="11" t="s">
        <v>7393</v>
      </c>
    </row>
    <row r="7363">
      <c r="A7363" s="11" t="s">
        <v>7394</v>
      </c>
    </row>
    <row r="7364">
      <c r="A7364" s="11" t="s">
        <v>7395</v>
      </c>
    </row>
    <row r="7365">
      <c r="A7365" s="11" t="s">
        <v>7396</v>
      </c>
    </row>
    <row r="7366">
      <c r="A7366" s="11" t="s">
        <v>7397</v>
      </c>
    </row>
    <row r="7367">
      <c r="A7367" s="11" t="s">
        <v>7398</v>
      </c>
    </row>
    <row r="7368">
      <c r="A7368" s="11" t="s">
        <v>7399</v>
      </c>
    </row>
    <row r="7369">
      <c r="A7369" s="11" t="s">
        <v>7400</v>
      </c>
    </row>
    <row r="7370">
      <c r="A7370" s="11" t="s">
        <v>7401</v>
      </c>
    </row>
    <row r="7371">
      <c r="A7371" s="11" t="s">
        <v>7402</v>
      </c>
    </row>
    <row r="7372">
      <c r="A7372" s="11" t="s">
        <v>7403</v>
      </c>
    </row>
    <row r="7373">
      <c r="A7373" s="11" t="s">
        <v>7404</v>
      </c>
    </row>
    <row r="7374">
      <c r="A7374" s="11" t="s">
        <v>7405</v>
      </c>
    </row>
    <row r="7375">
      <c r="A7375" s="11" t="s">
        <v>7406</v>
      </c>
    </row>
    <row r="7376">
      <c r="A7376" s="11" t="s">
        <v>7407</v>
      </c>
    </row>
    <row r="7377">
      <c r="A7377" s="11" t="s">
        <v>7408</v>
      </c>
    </row>
    <row r="7378">
      <c r="A7378" s="11" t="s">
        <v>7409</v>
      </c>
    </row>
    <row r="7379">
      <c r="A7379" s="11" t="s">
        <v>7410</v>
      </c>
    </row>
    <row r="7380">
      <c r="A7380" s="11" t="s">
        <v>7411</v>
      </c>
    </row>
    <row r="7381">
      <c r="A7381" s="11" t="s">
        <v>7412</v>
      </c>
    </row>
    <row r="7382">
      <c r="A7382" s="11" t="s">
        <v>7413</v>
      </c>
    </row>
    <row r="7383">
      <c r="A7383" s="11" t="s">
        <v>7414</v>
      </c>
    </row>
    <row r="7384">
      <c r="A7384" s="11" t="s">
        <v>7415</v>
      </c>
    </row>
    <row r="7385">
      <c r="A7385" s="11" t="s">
        <v>7416</v>
      </c>
    </row>
    <row r="7386">
      <c r="A7386" s="11" t="s">
        <v>7417</v>
      </c>
    </row>
    <row r="7387">
      <c r="A7387" s="11" t="s">
        <v>7418</v>
      </c>
    </row>
    <row r="7388">
      <c r="A7388" s="11" t="s">
        <v>7419</v>
      </c>
    </row>
    <row r="7389">
      <c r="A7389" s="11" t="s">
        <v>7420</v>
      </c>
    </row>
    <row r="7390">
      <c r="A7390" s="11" t="s">
        <v>7421</v>
      </c>
    </row>
    <row r="7391">
      <c r="A7391" s="11" t="s">
        <v>7422</v>
      </c>
    </row>
    <row r="7392">
      <c r="A7392" s="11" t="s">
        <v>7423</v>
      </c>
    </row>
    <row r="7393">
      <c r="A7393" s="11" t="s">
        <v>7424</v>
      </c>
    </row>
    <row r="7394">
      <c r="A7394" s="11" t="s">
        <v>7425</v>
      </c>
    </row>
    <row r="7395">
      <c r="A7395" s="11" t="s">
        <v>7426</v>
      </c>
    </row>
    <row r="7396">
      <c r="A7396" s="11" t="s">
        <v>7427</v>
      </c>
    </row>
    <row r="7397">
      <c r="A7397" s="11" t="s">
        <v>7428</v>
      </c>
    </row>
    <row r="7398">
      <c r="A7398" s="11" t="s">
        <v>7429</v>
      </c>
    </row>
    <row r="7399">
      <c r="A7399" s="11" t="s">
        <v>7430</v>
      </c>
    </row>
    <row r="7400">
      <c r="A7400" s="11" t="s">
        <v>7431</v>
      </c>
    </row>
    <row r="7401">
      <c r="A7401" s="11" t="s">
        <v>7432</v>
      </c>
    </row>
    <row r="7402">
      <c r="A7402" s="11" t="s">
        <v>7433</v>
      </c>
    </row>
    <row r="7403">
      <c r="A7403" s="11" t="s">
        <v>7434</v>
      </c>
    </row>
    <row r="7404">
      <c r="A7404" s="11" t="s">
        <v>7435</v>
      </c>
    </row>
    <row r="7405">
      <c r="A7405" s="11" t="s">
        <v>7436</v>
      </c>
    </row>
    <row r="7406">
      <c r="A7406" s="11" t="s">
        <v>7437</v>
      </c>
    </row>
    <row r="7407">
      <c r="A7407" s="11" t="s">
        <v>7438</v>
      </c>
    </row>
    <row r="7408">
      <c r="A7408" s="11" t="s">
        <v>7439</v>
      </c>
    </row>
    <row r="7409">
      <c r="A7409" s="11" t="s">
        <v>7440</v>
      </c>
    </row>
    <row r="7410">
      <c r="A7410" s="11" t="s">
        <v>7441</v>
      </c>
    </row>
    <row r="7411">
      <c r="A7411" s="11" t="s">
        <v>7442</v>
      </c>
    </row>
    <row r="7412">
      <c r="A7412" s="11" t="s">
        <v>7443</v>
      </c>
    </row>
    <row r="7413">
      <c r="A7413" s="11" t="s">
        <v>7444</v>
      </c>
    </row>
    <row r="7414">
      <c r="A7414" s="11" t="s">
        <v>7445</v>
      </c>
    </row>
    <row r="7415">
      <c r="A7415" s="11" t="s">
        <v>7446</v>
      </c>
    </row>
    <row r="7416">
      <c r="A7416" s="11" t="s">
        <v>7447</v>
      </c>
    </row>
    <row r="7417">
      <c r="A7417" s="11" t="s">
        <v>7448</v>
      </c>
    </row>
    <row r="7418">
      <c r="A7418" s="11" t="s">
        <v>7449</v>
      </c>
    </row>
    <row r="7419">
      <c r="A7419" s="11" t="s">
        <v>7450</v>
      </c>
    </row>
    <row r="7420">
      <c r="A7420" s="11" t="s">
        <v>7451</v>
      </c>
    </row>
    <row r="7421">
      <c r="A7421" s="11" t="s">
        <v>7452</v>
      </c>
    </row>
    <row r="7422">
      <c r="A7422" s="11" t="s">
        <v>7453</v>
      </c>
    </row>
    <row r="7423">
      <c r="A7423" s="11" t="s">
        <v>7454</v>
      </c>
    </row>
    <row r="7424">
      <c r="A7424" s="11" t="s">
        <v>7455</v>
      </c>
    </row>
    <row r="7425">
      <c r="A7425" s="11" t="s">
        <v>7456</v>
      </c>
    </row>
    <row r="7426">
      <c r="A7426" s="11" t="s">
        <v>7457</v>
      </c>
    </row>
    <row r="7427">
      <c r="A7427" s="11" t="s">
        <v>7458</v>
      </c>
    </row>
    <row r="7428">
      <c r="A7428" s="11" t="s">
        <v>7459</v>
      </c>
    </row>
    <row r="7429">
      <c r="A7429" s="11" t="s">
        <v>7460</v>
      </c>
    </row>
    <row r="7430">
      <c r="A7430" s="11" t="s">
        <v>7461</v>
      </c>
    </row>
    <row r="7431">
      <c r="A7431" s="11" t="s">
        <v>7462</v>
      </c>
    </row>
    <row r="7432">
      <c r="A7432" s="11" t="s">
        <v>7463</v>
      </c>
    </row>
    <row r="7433">
      <c r="A7433" s="11" t="s">
        <v>7464</v>
      </c>
    </row>
    <row r="7434">
      <c r="A7434" s="11" t="s">
        <v>7465</v>
      </c>
    </row>
    <row r="7435">
      <c r="A7435" s="11" t="s">
        <v>7466</v>
      </c>
    </row>
    <row r="7436">
      <c r="A7436" s="11" t="s">
        <v>7467</v>
      </c>
    </row>
    <row r="7437">
      <c r="A7437" s="11" t="s">
        <v>7468</v>
      </c>
    </row>
    <row r="7438">
      <c r="A7438" s="11" t="s">
        <v>7469</v>
      </c>
    </row>
    <row r="7439">
      <c r="A7439" s="11" t="s">
        <v>7470</v>
      </c>
    </row>
    <row r="7440">
      <c r="A7440" s="11" t="s">
        <v>7471</v>
      </c>
    </row>
    <row r="7441">
      <c r="A7441" s="11" t="s">
        <v>7472</v>
      </c>
    </row>
    <row r="7442">
      <c r="A7442" s="11" t="s">
        <v>7473</v>
      </c>
    </row>
    <row r="7443">
      <c r="A7443" s="11" t="s">
        <v>7474</v>
      </c>
    </row>
    <row r="7444">
      <c r="A7444" s="11" t="s">
        <v>7475</v>
      </c>
    </row>
    <row r="7445">
      <c r="A7445" s="11" t="s">
        <v>7476</v>
      </c>
    </row>
    <row r="7446">
      <c r="A7446" s="11" t="s">
        <v>7477</v>
      </c>
    </row>
    <row r="7447">
      <c r="A7447" s="11" t="s">
        <v>7478</v>
      </c>
    </row>
    <row r="7448">
      <c r="A7448" s="11" t="s">
        <v>7479</v>
      </c>
    </row>
    <row r="7449">
      <c r="A7449" s="11" t="s">
        <v>7480</v>
      </c>
    </row>
    <row r="7450">
      <c r="A7450" s="11" t="s">
        <v>7481</v>
      </c>
    </row>
    <row r="7451">
      <c r="A7451" s="11" t="s">
        <v>7482</v>
      </c>
    </row>
    <row r="7452">
      <c r="A7452" s="11" t="s">
        <v>7483</v>
      </c>
    </row>
    <row r="7453">
      <c r="A7453" s="11" t="s">
        <v>7484</v>
      </c>
    </row>
    <row r="7454">
      <c r="A7454" s="11" t="s">
        <v>7485</v>
      </c>
    </row>
    <row r="7455">
      <c r="A7455" s="11" t="s">
        <v>7486</v>
      </c>
    </row>
    <row r="7456">
      <c r="A7456" s="11" t="s">
        <v>7487</v>
      </c>
    </row>
    <row r="7457">
      <c r="A7457" s="11" t="s">
        <v>7488</v>
      </c>
    </row>
    <row r="7458">
      <c r="A7458" s="11" t="s">
        <v>7489</v>
      </c>
    </row>
    <row r="7459">
      <c r="A7459" s="11" t="s">
        <v>7490</v>
      </c>
    </row>
    <row r="7460">
      <c r="A7460" s="11" t="s">
        <v>7491</v>
      </c>
    </row>
    <row r="7461">
      <c r="A7461" s="11" t="s">
        <v>7492</v>
      </c>
    </row>
    <row r="7462">
      <c r="A7462" s="11" t="s">
        <v>7493</v>
      </c>
    </row>
    <row r="7463">
      <c r="A7463" s="11" t="s">
        <v>7494</v>
      </c>
    </row>
    <row r="7464">
      <c r="A7464" s="11" t="s">
        <v>7495</v>
      </c>
    </row>
    <row r="7465">
      <c r="A7465" s="11" t="s">
        <v>7496</v>
      </c>
    </row>
    <row r="7466">
      <c r="A7466" s="11" t="s">
        <v>7497</v>
      </c>
    </row>
    <row r="7467">
      <c r="A7467" s="11" t="s">
        <v>7498</v>
      </c>
    </row>
    <row r="7468">
      <c r="A7468" s="11" t="s">
        <v>7499</v>
      </c>
    </row>
    <row r="7469">
      <c r="A7469" s="11" t="s">
        <v>7500</v>
      </c>
    </row>
    <row r="7470">
      <c r="A7470" s="11" t="s">
        <v>7501</v>
      </c>
    </row>
    <row r="7471">
      <c r="A7471" s="11" t="s">
        <v>7502</v>
      </c>
    </row>
    <row r="7472">
      <c r="A7472" s="11" t="s">
        <v>7503</v>
      </c>
    </row>
    <row r="7473">
      <c r="A7473" s="11" t="s">
        <v>7504</v>
      </c>
    </row>
    <row r="7474">
      <c r="A7474" s="11" t="s">
        <v>7505</v>
      </c>
    </row>
    <row r="7475">
      <c r="A7475" s="11" t="s">
        <v>7506</v>
      </c>
    </row>
    <row r="7476">
      <c r="A7476" s="11" t="s">
        <v>7507</v>
      </c>
    </row>
    <row r="7477">
      <c r="A7477" s="11" t="s">
        <v>7508</v>
      </c>
    </row>
    <row r="7478">
      <c r="A7478" s="11" t="s">
        <v>7509</v>
      </c>
    </row>
    <row r="7479">
      <c r="A7479" s="11" t="s">
        <v>7510</v>
      </c>
    </row>
    <row r="7480">
      <c r="A7480" s="11" t="s">
        <v>7511</v>
      </c>
    </row>
    <row r="7481">
      <c r="A7481" s="11" t="s">
        <v>7512</v>
      </c>
    </row>
    <row r="7482">
      <c r="A7482" s="11" t="s">
        <v>7513</v>
      </c>
    </row>
    <row r="7483">
      <c r="A7483" s="11" t="s">
        <v>7514</v>
      </c>
    </row>
    <row r="7484">
      <c r="A7484" s="11" t="s">
        <v>7515</v>
      </c>
    </row>
    <row r="7485">
      <c r="A7485" s="11" t="s">
        <v>7516</v>
      </c>
    </row>
    <row r="7486">
      <c r="A7486" s="11" t="s">
        <v>7517</v>
      </c>
    </row>
    <row r="7487">
      <c r="A7487" s="11" t="s">
        <v>7518</v>
      </c>
    </row>
    <row r="7488">
      <c r="A7488" s="11" t="s">
        <v>7519</v>
      </c>
    </row>
    <row r="7489">
      <c r="A7489" s="11" t="s">
        <v>7520</v>
      </c>
    </row>
    <row r="7490">
      <c r="A7490" s="11" t="s">
        <v>7521</v>
      </c>
    </row>
    <row r="7491">
      <c r="A7491" s="11" t="s">
        <v>7522</v>
      </c>
    </row>
    <row r="7492">
      <c r="A7492" s="11" t="s">
        <v>7523</v>
      </c>
    </row>
    <row r="7493">
      <c r="A7493" s="11" t="s">
        <v>7524</v>
      </c>
    </row>
    <row r="7494">
      <c r="A7494" s="11" t="s">
        <v>7525</v>
      </c>
    </row>
    <row r="7495">
      <c r="A7495" s="11" t="s">
        <v>7526</v>
      </c>
    </row>
    <row r="7496">
      <c r="A7496" s="11" t="s">
        <v>7527</v>
      </c>
    </row>
    <row r="7497">
      <c r="A7497" s="11" t="s">
        <v>7528</v>
      </c>
    </row>
    <row r="7498">
      <c r="A7498" s="11" t="s">
        <v>7529</v>
      </c>
    </row>
    <row r="7499">
      <c r="A7499" s="11" t="s">
        <v>7530</v>
      </c>
    </row>
    <row r="7500">
      <c r="A7500" s="11" t="s">
        <v>7531</v>
      </c>
    </row>
    <row r="7501">
      <c r="A7501" s="11" t="s">
        <v>7532</v>
      </c>
    </row>
    <row r="7502">
      <c r="A7502" s="11" t="s">
        <v>7533</v>
      </c>
    </row>
    <row r="7503">
      <c r="A7503" s="11" t="s">
        <v>7534</v>
      </c>
    </row>
    <row r="7504">
      <c r="A7504" s="11" t="s">
        <v>7535</v>
      </c>
    </row>
    <row r="7505">
      <c r="A7505" s="11" t="s">
        <v>7536</v>
      </c>
    </row>
    <row r="7506">
      <c r="A7506" s="11" t="s">
        <v>7537</v>
      </c>
    </row>
    <row r="7507">
      <c r="A7507" s="11" t="s">
        <v>7538</v>
      </c>
    </row>
    <row r="7508">
      <c r="A7508" s="11" t="s">
        <v>7539</v>
      </c>
    </row>
    <row r="7509">
      <c r="A7509" s="11" t="s">
        <v>7540</v>
      </c>
    </row>
    <row r="7510">
      <c r="A7510" s="11" t="s">
        <v>7541</v>
      </c>
    </row>
    <row r="7511">
      <c r="A7511" s="11" t="s">
        <v>7542</v>
      </c>
    </row>
    <row r="7512">
      <c r="A7512" s="11" t="s">
        <v>7543</v>
      </c>
    </row>
    <row r="7513">
      <c r="A7513" s="11" t="s">
        <v>7544</v>
      </c>
    </row>
    <row r="7514">
      <c r="A7514" s="11" t="s">
        <v>7545</v>
      </c>
    </row>
    <row r="7515">
      <c r="A7515" s="11" t="s">
        <v>7546</v>
      </c>
    </row>
    <row r="7516">
      <c r="A7516" s="11" t="s">
        <v>7547</v>
      </c>
    </row>
    <row r="7517">
      <c r="A7517" s="11" t="s">
        <v>7548</v>
      </c>
    </row>
    <row r="7518">
      <c r="A7518" s="11" t="s">
        <v>7549</v>
      </c>
    </row>
    <row r="7519">
      <c r="A7519" s="11" t="s">
        <v>7550</v>
      </c>
    </row>
    <row r="7520">
      <c r="A7520" s="11" t="s">
        <v>7551</v>
      </c>
    </row>
    <row r="7521">
      <c r="A7521" s="11" t="s">
        <v>7552</v>
      </c>
    </row>
    <row r="7522">
      <c r="A7522" s="11" t="s">
        <v>7553</v>
      </c>
    </row>
    <row r="7523">
      <c r="A7523" s="11" t="s">
        <v>7554</v>
      </c>
    </row>
    <row r="7524">
      <c r="A7524" s="11" t="s">
        <v>7555</v>
      </c>
    </row>
    <row r="7525">
      <c r="A7525" s="11" t="s">
        <v>7556</v>
      </c>
    </row>
    <row r="7526">
      <c r="A7526" s="11" t="s">
        <v>7557</v>
      </c>
    </row>
    <row r="7527">
      <c r="A7527" s="11" t="s">
        <v>7558</v>
      </c>
    </row>
    <row r="7528">
      <c r="A7528" s="11" t="s">
        <v>7559</v>
      </c>
    </row>
    <row r="7529">
      <c r="A7529" s="11" t="s">
        <v>7560</v>
      </c>
    </row>
    <row r="7530">
      <c r="A7530" s="11" t="s">
        <v>7561</v>
      </c>
    </row>
    <row r="7531">
      <c r="A7531" s="11" t="s">
        <v>7562</v>
      </c>
    </row>
    <row r="7532">
      <c r="A7532" s="11" t="s">
        <v>7563</v>
      </c>
    </row>
    <row r="7533">
      <c r="A7533" s="11" t="s">
        <v>7564</v>
      </c>
    </row>
    <row r="7534">
      <c r="A7534" s="11" t="s">
        <v>7565</v>
      </c>
    </row>
    <row r="7535">
      <c r="A7535" s="11" t="s">
        <v>7566</v>
      </c>
    </row>
    <row r="7536">
      <c r="A7536" s="11" t="s">
        <v>7567</v>
      </c>
    </row>
    <row r="7537">
      <c r="A7537" s="11" t="s">
        <v>7568</v>
      </c>
    </row>
    <row r="7538">
      <c r="A7538" s="11" t="s">
        <v>7569</v>
      </c>
    </row>
    <row r="7539">
      <c r="A7539" s="11" t="s">
        <v>7570</v>
      </c>
    </row>
    <row r="7540">
      <c r="A7540" s="11" t="s">
        <v>7571</v>
      </c>
    </row>
    <row r="7541">
      <c r="A7541" s="11" t="s">
        <v>7572</v>
      </c>
    </row>
    <row r="7542">
      <c r="A7542" s="11" t="s">
        <v>7573</v>
      </c>
    </row>
    <row r="7543">
      <c r="A7543" s="11" t="s">
        <v>7574</v>
      </c>
    </row>
    <row r="7544">
      <c r="A7544" s="11" t="s">
        <v>7575</v>
      </c>
    </row>
    <row r="7545">
      <c r="A7545" s="11" t="s">
        <v>7576</v>
      </c>
    </row>
    <row r="7546">
      <c r="A7546" s="11" t="s">
        <v>7577</v>
      </c>
    </row>
    <row r="7547">
      <c r="A7547" s="11" t="s">
        <v>7578</v>
      </c>
    </row>
    <row r="7548">
      <c r="A7548" s="11" t="s">
        <v>7579</v>
      </c>
    </row>
    <row r="7549">
      <c r="A7549" s="11" t="s">
        <v>7580</v>
      </c>
    </row>
    <row r="7550">
      <c r="A7550" s="11" t="s">
        <v>7581</v>
      </c>
    </row>
    <row r="7551">
      <c r="A7551" s="11" t="s">
        <v>7582</v>
      </c>
    </row>
    <row r="7552">
      <c r="A7552" s="11" t="s">
        <v>7583</v>
      </c>
    </row>
    <row r="7553">
      <c r="A7553" s="11" t="s">
        <v>7584</v>
      </c>
    </row>
    <row r="7554">
      <c r="A7554" s="11" t="s">
        <v>7585</v>
      </c>
    </row>
    <row r="7555">
      <c r="A7555" s="11" t="s">
        <v>7586</v>
      </c>
    </row>
    <row r="7556">
      <c r="A7556" s="11" t="s">
        <v>7587</v>
      </c>
    </row>
    <row r="7557">
      <c r="A7557" s="11" t="s">
        <v>7588</v>
      </c>
    </row>
    <row r="7558">
      <c r="A7558" s="11" t="s">
        <v>7589</v>
      </c>
    </row>
    <row r="7559">
      <c r="A7559" s="11" t="s">
        <v>7590</v>
      </c>
    </row>
    <row r="7560">
      <c r="A7560" s="11" t="s">
        <v>7591</v>
      </c>
    </row>
    <row r="7561">
      <c r="A7561" s="11" t="s">
        <v>7592</v>
      </c>
    </row>
    <row r="7562">
      <c r="A7562" s="11" t="s">
        <v>7593</v>
      </c>
    </row>
    <row r="7563">
      <c r="A7563" s="11" t="s">
        <v>7594</v>
      </c>
    </row>
    <row r="7564">
      <c r="A7564" s="11" t="s">
        <v>7595</v>
      </c>
    </row>
    <row r="7565">
      <c r="A7565" s="11" t="s">
        <v>7596</v>
      </c>
    </row>
    <row r="7566">
      <c r="A7566" s="11" t="s">
        <v>7597</v>
      </c>
    </row>
    <row r="7567">
      <c r="A7567" s="11" t="s">
        <v>7598</v>
      </c>
    </row>
    <row r="7568">
      <c r="A7568" s="11" t="s">
        <v>7599</v>
      </c>
    </row>
    <row r="7569">
      <c r="A7569" s="11" t="s">
        <v>7600</v>
      </c>
    </row>
    <row r="7570">
      <c r="A7570" s="11" t="s">
        <v>7601</v>
      </c>
    </row>
    <row r="7571">
      <c r="A7571" s="11" t="s">
        <v>7602</v>
      </c>
    </row>
    <row r="7572">
      <c r="A7572" s="11" t="s">
        <v>7603</v>
      </c>
    </row>
    <row r="7573">
      <c r="A7573" s="11" t="s">
        <v>7604</v>
      </c>
    </row>
    <row r="7574">
      <c r="A7574" s="11" t="s">
        <v>7605</v>
      </c>
    </row>
    <row r="7575">
      <c r="A7575" s="11" t="s">
        <v>7606</v>
      </c>
    </row>
    <row r="7576">
      <c r="A7576" s="11" t="s">
        <v>7607</v>
      </c>
    </row>
    <row r="7577">
      <c r="A7577" s="11" t="s">
        <v>7608</v>
      </c>
    </row>
    <row r="7578">
      <c r="A7578" s="11" t="s">
        <v>7609</v>
      </c>
    </row>
    <row r="7579">
      <c r="A7579" s="11" t="s">
        <v>7610</v>
      </c>
    </row>
    <row r="7580">
      <c r="A7580" s="11" t="s">
        <v>7611</v>
      </c>
    </row>
    <row r="7581">
      <c r="A7581" s="11" t="s">
        <v>7612</v>
      </c>
    </row>
    <row r="7582">
      <c r="A7582" s="11" t="s">
        <v>7613</v>
      </c>
    </row>
    <row r="7583">
      <c r="A7583" s="11" t="s">
        <v>7614</v>
      </c>
    </row>
    <row r="7584">
      <c r="A7584" s="11" t="s">
        <v>7615</v>
      </c>
    </row>
    <row r="7585">
      <c r="A7585" s="11" t="s">
        <v>7616</v>
      </c>
    </row>
    <row r="7586">
      <c r="A7586" s="11" t="s">
        <v>7617</v>
      </c>
    </row>
    <row r="7587">
      <c r="A7587" s="11" t="s">
        <v>7618</v>
      </c>
    </row>
    <row r="7588">
      <c r="A7588" s="11" t="s">
        <v>7619</v>
      </c>
    </row>
    <row r="7589">
      <c r="A7589" s="11" t="s">
        <v>7620</v>
      </c>
    </row>
    <row r="7590">
      <c r="A7590" s="11" t="s">
        <v>7621</v>
      </c>
    </row>
    <row r="7591">
      <c r="A7591" s="11" t="s">
        <v>7622</v>
      </c>
    </row>
    <row r="7592">
      <c r="A7592" s="11" t="s">
        <v>7623</v>
      </c>
    </row>
    <row r="7593">
      <c r="A7593" s="11" t="s">
        <v>7624</v>
      </c>
    </row>
    <row r="7594">
      <c r="A7594" s="11" t="s">
        <v>7625</v>
      </c>
    </row>
    <row r="7595">
      <c r="A7595" s="11" t="s">
        <v>7626</v>
      </c>
    </row>
    <row r="7596">
      <c r="A7596" s="11" t="s">
        <v>7627</v>
      </c>
    </row>
    <row r="7597">
      <c r="A7597" s="11" t="s">
        <v>7628</v>
      </c>
    </row>
    <row r="7598">
      <c r="A7598" s="11" t="s">
        <v>7629</v>
      </c>
    </row>
    <row r="7599">
      <c r="A7599" s="11" t="s">
        <v>7630</v>
      </c>
    </row>
    <row r="7600">
      <c r="A7600" s="11" t="s">
        <v>7631</v>
      </c>
    </row>
    <row r="7601">
      <c r="A7601" s="11" t="s">
        <v>7632</v>
      </c>
    </row>
    <row r="7602">
      <c r="A7602" s="11" t="s">
        <v>7633</v>
      </c>
    </row>
    <row r="7603">
      <c r="A7603" s="11" t="s">
        <v>7634</v>
      </c>
    </row>
    <row r="7604">
      <c r="A7604" s="11" t="s">
        <v>7635</v>
      </c>
    </row>
    <row r="7605">
      <c r="A7605" s="11" t="s">
        <v>7636</v>
      </c>
    </row>
    <row r="7606">
      <c r="A7606" s="11" t="s">
        <v>7637</v>
      </c>
    </row>
    <row r="7607">
      <c r="A7607" s="11" t="s">
        <v>7638</v>
      </c>
    </row>
    <row r="7608">
      <c r="A7608" s="11" t="s">
        <v>7639</v>
      </c>
    </row>
    <row r="7609">
      <c r="A7609" s="11" t="s">
        <v>7640</v>
      </c>
    </row>
    <row r="7610">
      <c r="A7610" s="11" t="s">
        <v>7641</v>
      </c>
    </row>
    <row r="7611">
      <c r="A7611" s="11" t="s">
        <v>7642</v>
      </c>
    </row>
    <row r="7612">
      <c r="A7612" s="11" t="s">
        <v>7643</v>
      </c>
    </row>
    <row r="7613">
      <c r="A7613" s="11" t="s">
        <v>7644</v>
      </c>
    </row>
    <row r="7614">
      <c r="A7614" s="11" t="s">
        <v>7645</v>
      </c>
    </row>
    <row r="7615">
      <c r="A7615" s="11" t="s">
        <v>7646</v>
      </c>
    </row>
    <row r="7616">
      <c r="A7616" s="11" t="s">
        <v>7647</v>
      </c>
    </row>
    <row r="7617">
      <c r="A7617" s="11" t="s">
        <v>7648</v>
      </c>
    </row>
    <row r="7618">
      <c r="A7618" s="11" t="s">
        <v>7649</v>
      </c>
    </row>
    <row r="7619">
      <c r="A7619" s="11" t="s">
        <v>7650</v>
      </c>
    </row>
    <row r="7620">
      <c r="A7620" s="11" t="s">
        <v>7651</v>
      </c>
    </row>
    <row r="7621">
      <c r="A7621" s="11" t="s">
        <v>7652</v>
      </c>
    </row>
    <row r="7622">
      <c r="A7622" s="11" t="s">
        <v>7653</v>
      </c>
    </row>
    <row r="7623">
      <c r="A7623" s="11" t="s">
        <v>7654</v>
      </c>
    </row>
    <row r="7624">
      <c r="A7624" s="11" t="s">
        <v>7655</v>
      </c>
    </row>
    <row r="7625">
      <c r="A7625" s="11" t="s">
        <v>7656</v>
      </c>
    </row>
    <row r="7626">
      <c r="A7626" s="11" t="s">
        <v>7657</v>
      </c>
    </row>
    <row r="7627">
      <c r="A7627" s="11" t="s">
        <v>7658</v>
      </c>
    </row>
    <row r="7628">
      <c r="A7628" s="11" t="s">
        <v>7659</v>
      </c>
    </row>
    <row r="7629">
      <c r="A7629" s="11" t="s">
        <v>7660</v>
      </c>
    </row>
    <row r="7630">
      <c r="A7630" s="11" t="s">
        <v>7661</v>
      </c>
    </row>
    <row r="7631">
      <c r="A7631" s="11" t="s">
        <v>7662</v>
      </c>
    </row>
    <row r="7632">
      <c r="A7632" s="11" t="s">
        <v>7663</v>
      </c>
    </row>
    <row r="7633">
      <c r="A7633" s="11" t="s">
        <v>7664</v>
      </c>
    </row>
    <row r="7634">
      <c r="A7634" s="11" t="s">
        <v>7665</v>
      </c>
    </row>
    <row r="7635">
      <c r="A7635" s="11" t="s">
        <v>7666</v>
      </c>
    </row>
    <row r="7636">
      <c r="A7636" s="11" t="s">
        <v>7667</v>
      </c>
    </row>
    <row r="7637">
      <c r="A7637" s="11" t="s">
        <v>7668</v>
      </c>
    </row>
    <row r="7638">
      <c r="A7638" s="11" t="s">
        <v>7669</v>
      </c>
    </row>
    <row r="7639">
      <c r="A7639" s="11" t="s">
        <v>7670</v>
      </c>
    </row>
    <row r="7640">
      <c r="A7640" s="11" t="s">
        <v>7671</v>
      </c>
    </row>
    <row r="7641">
      <c r="A7641" s="11" t="s">
        <v>7672</v>
      </c>
    </row>
    <row r="7642">
      <c r="A7642" s="11" t="s">
        <v>7673</v>
      </c>
    </row>
    <row r="7643">
      <c r="A7643" s="11" t="s">
        <v>7674</v>
      </c>
    </row>
    <row r="7644">
      <c r="A7644" s="11" t="s">
        <v>7675</v>
      </c>
    </row>
    <row r="7645">
      <c r="A7645" s="11" t="s">
        <v>7676</v>
      </c>
    </row>
    <row r="7646">
      <c r="A7646" s="11" t="s">
        <v>7677</v>
      </c>
    </row>
    <row r="7647">
      <c r="A7647" s="11" t="s">
        <v>7678</v>
      </c>
    </row>
    <row r="7648">
      <c r="A7648" s="11" t="s">
        <v>7679</v>
      </c>
    </row>
    <row r="7649">
      <c r="A7649" s="11" t="s">
        <v>7680</v>
      </c>
    </row>
    <row r="7650">
      <c r="A7650" s="11" t="s">
        <v>7681</v>
      </c>
    </row>
    <row r="7651">
      <c r="A7651" s="11" t="s">
        <v>7682</v>
      </c>
    </row>
    <row r="7652">
      <c r="A7652" s="11" t="s">
        <v>7683</v>
      </c>
    </row>
    <row r="7653">
      <c r="A7653" s="11" t="s">
        <v>7684</v>
      </c>
    </row>
    <row r="7654">
      <c r="A7654" s="11" t="s">
        <v>7685</v>
      </c>
    </row>
    <row r="7655">
      <c r="A7655" s="11" t="s">
        <v>7686</v>
      </c>
    </row>
    <row r="7656">
      <c r="A7656" s="11" t="s">
        <v>7687</v>
      </c>
    </row>
    <row r="7657">
      <c r="A7657" s="11" t="s">
        <v>7688</v>
      </c>
    </row>
    <row r="7658">
      <c r="A7658" s="11" t="s">
        <v>7689</v>
      </c>
    </row>
    <row r="7659">
      <c r="A7659" s="11" t="s">
        <v>7690</v>
      </c>
    </row>
    <row r="7660">
      <c r="A7660" s="11" t="s">
        <v>7691</v>
      </c>
    </row>
    <row r="7661">
      <c r="A7661" s="11" t="s">
        <v>7692</v>
      </c>
    </row>
    <row r="7662">
      <c r="A7662" s="11" t="s">
        <v>7693</v>
      </c>
    </row>
    <row r="7663">
      <c r="A7663" s="11" t="s">
        <v>7694</v>
      </c>
    </row>
    <row r="7664">
      <c r="A7664" s="11" t="s">
        <v>7695</v>
      </c>
    </row>
    <row r="7665">
      <c r="A7665" s="11" t="s">
        <v>7696</v>
      </c>
    </row>
    <row r="7666">
      <c r="A7666" s="11" t="s">
        <v>7697</v>
      </c>
    </row>
    <row r="7667">
      <c r="A7667" s="11" t="s">
        <v>7698</v>
      </c>
    </row>
    <row r="7668">
      <c r="A7668" s="11" t="s">
        <v>7699</v>
      </c>
    </row>
    <row r="7669">
      <c r="A7669" s="11" t="s">
        <v>7700</v>
      </c>
    </row>
    <row r="7670">
      <c r="A7670" s="11" t="s">
        <v>7701</v>
      </c>
    </row>
    <row r="7671">
      <c r="A7671" s="11" t="s">
        <v>7702</v>
      </c>
    </row>
    <row r="7672">
      <c r="A7672" s="11" t="s">
        <v>7703</v>
      </c>
    </row>
    <row r="7673">
      <c r="A7673" s="11" t="s">
        <v>7704</v>
      </c>
    </row>
    <row r="7674">
      <c r="A7674" s="11" t="s">
        <v>7705</v>
      </c>
    </row>
    <row r="7675">
      <c r="A7675" s="11" t="s">
        <v>7706</v>
      </c>
    </row>
    <row r="7676">
      <c r="A7676" s="11" t="s">
        <v>7707</v>
      </c>
    </row>
    <row r="7677">
      <c r="A7677" s="11" t="s">
        <v>7708</v>
      </c>
    </row>
    <row r="7678">
      <c r="A7678" s="11" t="s">
        <v>7709</v>
      </c>
    </row>
    <row r="7679">
      <c r="A7679" s="11" t="s">
        <v>7710</v>
      </c>
    </row>
    <row r="7680">
      <c r="A7680" s="11" t="s">
        <v>7711</v>
      </c>
    </row>
    <row r="7681">
      <c r="A7681" s="11" t="s">
        <v>7712</v>
      </c>
    </row>
    <row r="7682">
      <c r="A7682" s="11" t="s">
        <v>7713</v>
      </c>
    </row>
    <row r="7683">
      <c r="A7683" s="11" t="s">
        <v>7714</v>
      </c>
    </row>
    <row r="7684">
      <c r="A7684" s="11" t="s">
        <v>7715</v>
      </c>
    </row>
    <row r="7685">
      <c r="A7685" s="11" t="s">
        <v>7716</v>
      </c>
    </row>
    <row r="7686">
      <c r="A7686" s="11" t="s">
        <v>7717</v>
      </c>
    </row>
    <row r="7687">
      <c r="A7687" s="11" t="s">
        <v>7718</v>
      </c>
    </row>
    <row r="7688">
      <c r="A7688" s="11" t="s">
        <v>7719</v>
      </c>
    </row>
    <row r="7689">
      <c r="A7689" s="11" t="s">
        <v>7720</v>
      </c>
    </row>
    <row r="7690">
      <c r="A7690" s="11" t="s">
        <v>7721</v>
      </c>
    </row>
    <row r="7691">
      <c r="A7691" s="11" t="s">
        <v>7722</v>
      </c>
    </row>
    <row r="7692">
      <c r="A7692" s="11" t="s">
        <v>7723</v>
      </c>
    </row>
    <row r="7693">
      <c r="A7693" s="11" t="s">
        <v>7724</v>
      </c>
    </row>
    <row r="7694">
      <c r="A7694" s="11" t="s">
        <v>7725</v>
      </c>
    </row>
    <row r="7695">
      <c r="A7695" s="11" t="s">
        <v>7726</v>
      </c>
    </row>
    <row r="7696">
      <c r="A7696" s="11" t="s">
        <v>7727</v>
      </c>
    </row>
    <row r="7697">
      <c r="A7697" s="11" t="s">
        <v>7728</v>
      </c>
    </row>
    <row r="7698">
      <c r="A7698" s="11" t="s">
        <v>7729</v>
      </c>
    </row>
    <row r="7699">
      <c r="A7699" s="11" t="s">
        <v>7730</v>
      </c>
    </row>
    <row r="7700">
      <c r="A7700" s="11" t="s">
        <v>7731</v>
      </c>
    </row>
    <row r="7701">
      <c r="A7701" s="11" t="s">
        <v>7732</v>
      </c>
    </row>
    <row r="7702">
      <c r="A7702" s="11" t="s">
        <v>7733</v>
      </c>
    </row>
    <row r="7703">
      <c r="A7703" s="11" t="s">
        <v>7734</v>
      </c>
    </row>
    <row r="7704">
      <c r="A7704" s="11" t="s">
        <v>7735</v>
      </c>
    </row>
    <row r="7705">
      <c r="A7705" s="11" t="s">
        <v>7736</v>
      </c>
    </row>
    <row r="7706">
      <c r="A7706" s="11" t="s">
        <v>7737</v>
      </c>
    </row>
    <row r="7707">
      <c r="A7707" s="11" t="s">
        <v>7738</v>
      </c>
    </row>
    <row r="7708">
      <c r="A7708" s="11" t="s">
        <v>7739</v>
      </c>
    </row>
    <row r="7709">
      <c r="A7709" s="11" t="s">
        <v>7740</v>
      </c>
    </row>
    <row r="7710">
      <c r="A7710" s="11" t="s">
        <v>7741</v>
      </c>
    </row>
    <row r="7711">
      <c r="A7711" s="11" t="s">
        <v>7742</v>
      </c>
    </row>
    <row r="7712">
      <c r="A7712" s="11" t="s">
        <v>7743</v>
      </c>
    </row>
    <row r="7713">
      <c r="A7713" s="11" t="s">
        <v>7744</v>
      </c>
    </row>
    <row r="7714">
      <c r="A7714" s="11" t="s">
        <v>7745</v>
      </c>
    </row>
    <row r="7715">
      <c r="A7715" s="11" t="s">
        <v>7746</v>
      </c>
    </row>
    <row r="7716">
      <c r="A7716" s="11" t="s">
        <v>7747</v>
      </c>
    </row>
    <row r="7717">
      <c r="A7717" s="11" t="s">
        <v>7748</v>
      </c>
    </row>
    <row r="7718">
      <c r="A7718" s="11" t="s">
        <v>7749</v>
      </c>
    </row>
    <row r="7719">
      <c r="A7719" s="11" t="s">
        <v>7750</v>
      </c>
    </row>
    <row r="7720">
      <c r="A7720" s="11" t="s">
        <v>7751</v>
      </c>
    </row>
    <row r="7721">
      <c r="A7721" s="11" t="s">
        <v>7752</v>
      </c>
    </row>
    <row r="7722">
      <c r="A7722" s="11" t="s">
        <v>7753</v>
      </c>
    </row>
    <row r="7723">
      <c r="A7723" s="11" t="s">
        <v>7754</v>
      </c>
    </row>
    <row r="7724">
      <c r="A7724" s="11" t="s">
        <v>7755</v>
      </c>
    </row>
    <row r="7725">
      <c r="A7725" s="11" t="s">
        <v>7756</v>
      </c>
    </row>
    <row r="7726">
      <c r="A7726" s="11" t="s">
        <v>7757</v>
      </c>
    </row>
    <row r="7727">
      <c r="A7727" s="11" t="s">
        <v>7758</v>
      </c>
    </row>
    <row r="7728">
      <c r="A7728" s="11" t="s">
        <v>7759</v>
      </c>
    </row>
    <row r="7729">
      <c r="A7729" s="11" t="s">
        <v>7760</v>
      </c>
    </row>
    <row r="7730">
      <c r="A7730" s="11" t="s">
        <v>7761</v>
      </c>
    </row>
    <row r="7731">
      <c r="A7731" s="11" t="s">
        <v>7762</v>
      </c>
    </row>
    <row r="7732">
      <c r="A7732" s="11" t="s">
        <v>7763</v>
      </c>
    </row>
    <row r="7733">
      <c r="A7733" s="11" t="s">
        <v>7764</v>
      </c>
    </row>
    <row r="7734">
      <c r="A7734" s="11" t="s">
        <v>7765</v>
      </c>
    </row>
    <row r="7735">
      <c r="A7735" s="11" t="s">
        <v>7766</v>
      </c>
    </row>
    <row r="7736">
      <c r="A7736" s="11" t="s">
        <v>7767</v>
      </c>
    </row>
    <row r="7737">
      <c r="A7737" s="11" t="s">
        <v>7768</v>
      </c>
    </row>
    <row r="7738">
      <c r="A7738" s="11" t="s">
        <v>7769</v>
      </c>
    </row>
    <row r="7739">
      <c r="A7739" s="11" t="s">
        <v>7770</v>
      </c>
    </row>
    <row r="7740">
      <c r="A7740" s="11" t="s">
        <v>7771</v>
      </c>
    </row>
    <row r="7741">
      <c r="A7741" s="11" t="s">
        <v>7772</v>
      </c>
    </row>
    <row r="7742">
      <c r="A7742" s="11" t="s">
        <v>7773</v>
      </c>
    </row>
    <row r="7743">
      <c r="A7743" s="11" t="s">
        <v>7774</v>
      </c>
    </row>
    <row r="7744">
      <c r="A7744" s="11" t="s">
        <v>7775</v>
      </c>
    </row>
    <row r="7745">
      <c r="A7745" s="11" t="s">
        <v>7776</v>
      </c>
    </row>
    <row r="7746">
      <c r="A7746" s="11" t="s">
        <v>7777</v>
      </c>
    </row>
    <row r="7747">
      <c r="A7747" s="11" t="s">
        <v>7778</v>
      </c>
    </row>
    <row r="7748">
      <c r="A7748" s="11" t="s">
        <v>7779</v>
      </c>
    </row>
    <row r="7749">
      <c r="A7749" s="11" t="s">
        <v>7780</v>
      </c>
    </row>
    <row r="7750">
      <c r="A7750" s="11" t="s">
        <v>7781</v>
      </c>
    </row>
    <row r="7751">
      <c r="A7751" s="11" t="s">
        <v>7782</v>
      </c>
    </row>
    <row r="7752">
      <c r="A7752" s="11" t="s">
        <v>7783</v>
      </c>
    </row>
    <row r="7753">
      <c r="A7753" s="11" t="s">
        <v>7784</v>
      </c>
    </row>
    <row r="7754">
      <c r="A7754" s="11" t="s">
        <v>7785</v>
      </c>
    </row>
    <row r="7755">
      <c r="A7755" s="11" t="s">
        <v>7786</v>
      </c>
    </row>
    <row r="7756">
      <c r="A7756" s="11" t="s">
        <v>7787</v>
      </c>
    </row>
    <row r="7757">
      <c r="A7757" s="11" t="s">
        <v>7788</v>
      </c>
    </row>
    <row r="7758">
      <c r="A7758" s="11" t="s">
        <v>7789</v>
      </c>
    </row>
    <row r="7759">
      <c r="A7759" s="11" t="s">
        <v>7790</v>
      </c>
    </row>
    <row r="7760">
      <c r="A7760" s="11" t="s">
        <v>7791</v>
      </c>
    </row>
    <row r="7761">
      <c r="A7761" s="11" t="s">
        <v>7792</v>
      </c>
    </row>
    <row r="7762">
      <c r="A7762" s="11" t="s">
        <v>7793</v>
      </c>
    </row>
    <row r="7763">
      <c r="A7763" s="11" t="s">
        <v>7794</v>
      </c>
    </row>
    <row r="7764">
      <c r="A7764" s="11" t="s">
        <v>7795</v>
      </c>
    </row>
    <row r="7765">
      <c r="A7765" s="11" t="s">
        <v>7796</v>
      </c>
    </row>
    <row r="7766">
      <c r="A7766" s="11" t="s">
        <v>7797</v>
      </c>
    </row>
    <row r="7767">
      <c r="A7767" s="11" t="s">
        <v>7798</v>
      </c>
    </row>
    <row r="7768">
      <c r="A7768" s="11" t="s">
        <v>7799</v>
      </c>
    </row>
    <row r="7769">
      <c r="A7769" s="11" t="s">
        <v>7800</v>
      </c>
    </row>
    <row r="7770">
      <c r="A7770" s="11" t="s">
        <v>7801</v>
      </c>
    </row>
    <row r="7771">
      <c r="A7771" s="11" t="s">
        <v>7802</v>
      </c>
    </row>
    <row r="7772">
      <c r="A7772" s="11" t="s">
        <v>7803</v>
      </c>
    </row>
    <row r="7773">
      <c r="A7773" s="11" t="s">
        <v>7804</v>
      </c>
    </row>
    <row r="7774">
      <c r="A7774" s="11" t="s">
        <v>7805</v>
      </c>
    </row>
    <row r="7775">
      <c r="A7775" s="11" t="s">
        <v>7806</v>
      </c>
    </row>
    <row r="7776">
      <c r="A7776" s="11" t="s">
        <v>7807</v>
      </c>
    </row>
    <row r="7777">
      <c r="A7777" s="11" t="s">
        <v>7808</v>
      </c>
    </row>
    <row r="7778">
      <c r="A7778" s="11" t="s">
        <v>7809</v>
      </c>
    </row>
    <row r="7779">
      <c r="A7779" s="11" t="s">
        <v>7810</v>
      </c>
    </row>
    <row r="7780">
      <c r="A7780" s="11" t="s">
        <v>7811</v>
      </c>
    </row>
    <row r="7781">
      <c r="A7781" s="11" t="s">
        <v>7812</v>
      </c>
    </row>
    <row r="7782">
      <c r="A7782" s="11" t="s">
        <v>7813</v>
      </c>
    </row>
    <row r="7783">
      <c r="A7783" s="11" t="s">
        <v>7814</v>
      </c>
    </row>
    <row r="7784">
      <c r="A7784" s="11" t="s">
        <v>7815</v>
      </c>
    </row>
    <row r="7785">
      <c r="A7785" s="11" t="s">
        <v>7816</v>
      </c>
    </row>
    <row r="7786">
      <c r="A7786" s="11" t="s">
        <v>7817</v>
      </c>
    </row>
    <row r="7787">
      <c r="A7787" s="11" t="s">
        <v>7818</v>
      </c>
    </row>
    <row r="7788">
      <c r="A7788" s="11" t="s">
        <v>7819</v>
      </c>
    </row>
    <row r="7789">
      <c r="A7789" s="11" t="s">
        <v>7820</v>
      </c>
    </row>
    <row r="7790">
      <c r="A7790" s="11" t="s">
        <v>7821</v>
      </c>
    </row>
    <row r="7791">
      <c r="A7791" s="11" t="s">
        <v>7822</v>
      </c>
    </row>
    <row r="7792">
      <c r="A7792" s="11" t="s">
        <v>7823</v>
      </c>
    </row>
    <row r="7793">
      <c r="A7793" s="11" t="s">
        <v>7824</v>
      </c>
    </row>
    <row r="7794">
      <c r="A7794" s="11" t="s">
        <v>7825</v>
      </c>
    </row>
    <row r="7795">
      <c r="A7795" s="11" t="s">
        <v>7826</v>
      </c>
    </row>
    <row r="7796">
      <c r="A7796" s="11" t="s">
        <v>7827</v>
      </c>
    </row>
    <row r="7797">
      <c r="A7797" s="11" t="s">
        <v>7828</v>
      </c>
    </row>
    <row r="7798">
      <c r="A7798" s="11" t="s">
        <v>7829</v>
      </c>
    </row>
    <row r="7799">
      <c r="A7799" s="11" t="s">
        <v>7830</v>
      </c>
    </row>
    <row r="7800">
      <c r="A7800" s="11" t="s">
        <v>7831</v>
      </c>
    </row>
    <row r="7801">
      <c r="A7801" s="11" t="s">
        <v>7832</v>
      </c>
    </row>
    <row r="7802">
      <c r="A7802" s="11" t="s">
        <v>7833</v>
      </c>
    </row>
    <row r="7803">
      <c r="A7803" s="11" t="s">
        <v>7834</v>
      </c>
    </row>
    <row r="7804">
      <c r="A7804" s="11" t="s">
        <v>7835</v>
      </c>
    </row>
    <row r="7805">
      <c r="A7805" s="11" t="s">
        <v>7836</v>
      </c>
    </row>
    <row r="7806">
      <c r="A7806" s="11" t="s">
        <v>7837</v>
      </c>
    </row>
    <row r="7807">
      <c r="A7807" s="11" t="s">
        <v>7838</v>
      </c>
    </row>
    <row r="7808">
      <c r="A7808" s="11" t="s">
        <v>7839</v>
      </c>
    </row>
    <row r="7809">
      <c r="A7809" s="11" t="s">
        <v>7840</v>
      </c>
    </row>
    <row r="7810">
      <c r="A7810" s="11" t="s">
        <v>7841</v>
      </c>
    </row>
    <row r="7811">
      <c r="A7811" s="11" t="s">
        <v>7842</v>
      </c>
    </row>
    <row r="7812">
      <c r="A7812" s="11" t="s">
        <v>7843</v>
      </c>
    </row>
    <row r="7813">
      <c r="A7813" s="11" t="s">
        <v>7844</v>
      </c>
    </row>
    <row r="7814">
      <c r="A7814" s="11" t="s">
        <v>7845</v>
      </c>
    </row>
    <row r="7815">
      <c r="A7815" s="11" t="s">
        <v>7846</v>
      </c>
    </row>
    <row r="7816">
      <c r="A7816" s="11" t="s">
        <v>7847</v>
      </c>
    </row>
    <row r="7817">
      <c r="A7817" s="11" t="s">
        <v>7848</v>
      </c>
    </row>
    <row r="7818">
      <c r="A7818" s="11" t="s">
        <v>7849</v>
      </c>
    </row>
    <row r="7819">
      <c r="A7819" s="11" t="s">
        <v>7850</v>
      </c>
    </row>
    <row r="7820">
      <c r="A7820" s="11" t="s">
        <v>7851</v>
      </c>
    </row>
    <row r="7821">
      <c r="A7821" s="11" t="s">
        <v>7852</v>
      </c>
    </row>
    <row r="7822">
      <c r="A7822" s="11" t="s">
        <v>7853</v>
      </c>
    </row>
    <row r="7823">
      <c r="A7823" s="11" t="s">
        <v>7854</v>
      </c>
    </row>
    <row r="7824">
      <c r="A7824" s="11" t="s">
        <v>7855</v>
      </c>
    </row>
    <row r="7825">
      <c r="A7825" s="11" t="s">
        <v>7856</v>
      </c>
    </row>
    <row r="7826">
      <c r="A7826" s="11" t="s">
        <v>7857</v>
      </c>
    </row>
    <row r="7827">
      <c r="A7827" s="11" t="s">
        <v>7858</v>
      </c>
    </row>
    <row r="7828">
      <c r="A7828" s="11" t="s">
        <v>7859</v>
      </c>
    </row>
    <row r="7829">
      <c r="A7829" s="11" t="s">
        <v>7860</v>
      </c>
    </row>
    <row r="7830">
      <c r="A7830" s="11" t="s">
        <v>7861</v>
      </c>
    </row>
    <row r="7831">
      <c r="A7831" s="11" t="s">
        <v>7862</v>
      </c>
    </row>
    <row r="7832">
      <c r="A7832" s="11" t="s">
        <v>7863</v>
      </c>
    </row>
    <row r="7833">
      <c r="A7833" s="11" t="s">
        <v>7864</v>
      </c>
    </row>
    <row r="7834">
      <c r="A7834" s="11" t="s">
        <v>7865</v>
      </c>
    </row>
    <row r="7835">
      <c r="A7835" s="11" t="s">
        <v>7866</v>
      </c>
    </row>
    <row r="7836">
      <c r="A7836" s="11" t="s">
        <v>7867</v>
      </c>
    </row>
    <row r="7837">
      <c r="A7837" s="11" t="s">
        <v>7868</v>
      </c>
    </row>
    <row r="7838">
      <c r="A7838" s="11" t="s">
        <v>7869</v>
      </c>
    </row>
    <row r="7839">
      <c r="A7839" s="11" t="s">
        <v>7870</v>
      </c>
    </row>
    <row r="7840">
      <c r="A7840" s="11" t="s">
        <v>7871</v>
      </c>
    </row>
    <row r="7841">
      <c r="A7841" s="11" t="s">
        <v>7872</v>
      </c>
    </row>
    <row r="7842">
      <c r="A7842" s="11" t="s">
        <v>7873</v>
      </c>
    </row>
    <row r="7843">
      <c r="A7843" s="11" t="s">
        <v>7874</v>
      </c>
    </row>
    <row r="7844">
      <c r="A7844" s="11" t="s">
        <v>7875</v>
      </c>
    </row>
    <row r="7845">
      <c r="A7845" s="11" t="s">
        <v>7876</v>
      </c>
    </row>
    <row r="7846">
      <c r="A7846" s="11" t="s">
        <v>7877</v>
      </c>
    </row>
    <row r="7847">
      <c r="A7847" s="11" t="s">
        <v>7878</v>
      </c>
    </row>
    <row r="7848">
      <c r="A7848" s="11" t="s">
        <v>7879</v>
      </c>
    </row>
    <row r="7849">
      <c r="A7849" s="11" t="s">
        <v>7880</v>
      </c>
    </row>
    <row r="7850">
      <c r="A7850" s="11" t="s">
        <v>7881</v>
      </c>
    </row>
    <row r="7851">
      <c r="A7851" s="11" t="s">
        <v>7882</v>
      </c>
    </row>
    <row r="7852">
      <c r="A7852" s="11" t="s">
        <v>7883</v>
      </c>
    </row>
    <row r="7853">
      <c r="A7853" s="11" t="s">
        <v>7884</v>
      </c>
    </row>
    <row r="7854">
      <c r="A7854" s="11" t="s">
        <v>7885</v>
      </c>
    </row>
    <row r="7855">
      <c r="A7855" s="11" t="s">
        <v>7886</v>
      </c>
    </row>
    <row r="7856">
      <c r="A7856" s="11" t="s">
        <v>7887</v>
      </c>
    </row>
    <row r="7857">
      <c r="A7857" s="11" t="s">
        <v>7888</v>
      </c>
    </row>
    <row r="7858">
      <c r="A7858" s="11" t="s">
        <v>7889</v>
      </c>
    </row>
    <row r="7859">
      <c r="A7859" s="11" t="s">
        <v>7890</v>
      </c>
    </row>
    <row r="7860">
      <c r="A7860" s="11" t="s">
        <v>7891</v>
      </c>
    </row>
    <row r="7861">
      <c r="A7861" s="11" t="s">
        <v>7892</v>
      </c>
    </row>
    <row r="7862">
      <c r="A7862" s="11" t="s">
        <v>7893</v>
      </c>
    </row>
    <row r="7863">
      <c r="A7863" s="11" t="s">
        <v>7894</v>
      </c>
    </row>
    <row r="7864">
      <c r="A7864" s="11" t="s">
        <v>7895</v>
      </c>
    </row>
    <row r="7865">
      <c r="A7865" s="11" t="s">
        <v>7896</v>
      </c>
    </row>
    <row r="7866">
      <c r="A7866" s="11" t="s">
        <v>7897</v>
      </c>
    </row>
    <row r="7867">
      <c r="A7867" s="11" t="s">
        <v>7898</v>
      </c>
    </row>
    <row r="7868">
      <c r="A7868" s="11" t="s">
        <v>7899</v>
      </c>
    </row>
    <row r="7869">
      <c r="A7869" s="11" t="s">
        <v>7900</v>
      </c>
    </row>
    <row r="7870">
      <c r="A7870" s="11" t="s">
        <v>7901</v>
      </c>
    </row>
    <row r="7871">
      <c r="A7871" s="11" t="s">
        <v>7902</v>
      </c>
    </row>
    <row r="7872">
      <c r="A7872" s="11" t="s">
        <v>7903</v>
      </c>
    </row>
    <row r="7873">
      <c r="A7873" s="11" t="s">
        <v>7904</v>
      </c>
    </row>
    <row r="7874">
      <c r="A7874" s="11" t="s">
        <v>7905</v>
      </c>
    </row>
    <row r="7875">
      <c r="A7875" s="11" t="s">
        <v>7906</v>
      </c>
    </row>
    <row r="7876">
      <c r="A7876" s="11" t="s">
        <v>7907</v>
      </c>
    </row>
    <row r="7877">
      <c r="A7877" s="11" t="s">
        <v>7908</v>
      </c>
    </row>
    <row r="7878">
      <c r="A7878" s="11" t="s">
        <v>7909</v>
      </c>
    </row>
    <row r="7879">
      <c r="A7879" s="11" t="s">
        <v>7910</v>
      </c>
    </row>
    <row r="7880">
      <c r="A7880" s="11" t="s">
        <v>7911</v>
      </c>
    </row>
    <row r="7881">
      <c r="A7881" s="11" t="s">
        <v>7912</v>
      </c>
    </row>
    <row r="7882">
      <c r="A7882" s="11" t="s">
        <v>7913</v>
      </c>
    </row>
    <row r="7883">
      <c r="A7883" s="11" t="s">
        <v>7914</v>
      </c>
    </row>
    <row r="7884">
      <c r="A7884" s="11" t="s">
        <v>7915</v>
      </c>
    </row>
    <row r="7885">
      <c r="A7885" s="11" t="s">
        <v>7916</v>
      </c>
    </row>
    <row r="7886">
      <c r="A7886" s="11" t="s">
        <v>7917</v>
      </c>
    </row>
    <row r="7887">
      <c r="A7887" s="11" t="s">
        <v>7918</v>
      </c>
    </row>
    <row r="7888">
      <c r="A7888" s="11" t="s">
        <v>7919</v>
      </c>
    </row>
    <row r="7889">
      <c r="A7889" s="11" t="s">
        <v>7920</v>
      </c>
    </row>
    <row r="7890">
      <c r="A7890" s="11" t="s">
        <v>7921</v>
      </c>
    </row>
    <row r="7891">
      <c r="A7891" s="11" t="s">
        <v>7922</v>
      </c>
    </row>
    <row r="7892">
      <c r="A7892" s="11" t="s">
        <v>7923</v>
      </c>
    </row>
    <row r="7893">
      <c r="A7893" s="11" t="s">
        <v>7924</v>
      </c>
    </row>
    <row r="7894">
      <c r="A7894" s="11" t="s">
        <v>7925</v>
      </c>
    </row>
    <row r="7895">
      <c r="A7895" s="11" t="s">
        <v>7926</v>
      </c>
    </row>
    <row r="7896">
      <c r="A7896" s="11" t="s">
        <v>7927</v>
      </c>
    </row>
    <row r="7897">
      <c r="A7897" s="11" t="s">
        <v>7928</v>
      </c>
    </row>
    <row r="7898">
      <c r="A7898" s="11" t="s">
        <v>7929</v>
      </c>
    </row>
    <row r="7899">
      <c r="A7899" s="11" t="s">
        <v>7930</v>
      </c>
    </row>
    <row r="7900">
      <c r="A7900" s="11" t="s">
        <v>7931</v>
      </c>
    </row>
    <row r="7901">
      <c r="A7901" s="11" t="s">
        <v>7932</v>
      </c>
    </row>
    <row r="7902">
      <c r="A7902" s="11" t="s">
        <v>7933</v>
      </c>
    </row>
    <row r="7903">
      <c r="A7903" s="11" t="s">
        <v>7934</v>
      </c>
    </row>
    <row r="7904">
      <c r="A7904" s="11" t="s">
        <v>7935</v>
      </c>
    </row>
    <row r="7905">
      <c r="A7905" s="11" t="s">
        <v>7936</v>
      </c>
    </row>
    <row r="7906">
      <c r="A7906" s="11" t="s">
        <v>7937</v>
      </c>
    </row>
    <row r="7907">
      <c r="A7907" s="11" t="s">
        <v>7938</v>
      </c>
    </row>
    <row r="7908">
      <c r="A7908" s="11" t="s">
        <v>7939</v>
      </c>
    </row>
    <row r="7909">
      <c r="A7909" s="11" t="s">
        <v>7940</v>
      </c>
    </row>
    <row r="7910">
      <c r="A7910" s="11" t="s">
        <v>7941</v>
      </c>
    </row>
    <row r="7911">
      <c r="A7911" s="11" t="s">
        <v>7942</v>
      </c>
    </row>
    <row r="7912">
      <c r="A7912" s="11" t="s">
        <v>7943</v>
      </c>
    </row>
    <row r="7913">
      <c r="A7913" s="11" t="s">
        <v>7944</v>
      </c>
    </row>
    <row r="7914">
      <c r="A7914" s="11" t="s">
        <v>7945</v>
      </c>
    </row>
    <row r="7915">
      <c r="A7915" s="11" t="s">
        <v>7946</v>
      </c>
    </row>
    <row r="7916">
      <c r="A7916" s="11" t="s">
        <v>7947</v>
      </c>
    </row>
    <row r="7917">
      <c r="A7917" s="11" t="s">
        <v>7948</v>
      </c>
    </row>
    <row r="7918">
      <c r="A7918" s="11" t="s">
        <v>7949</v>
      </c>
    </row>
    <row r="7919">
      <c r="A7919" s="11" t="s">
        <v>7950</v>
      </c>
    </row>
    <row r="7920">
      <c r="A7920" s="11" t="s">
        <v>7951</v>
      </c>
    </row>
    <row r="7921">
      <c r="A7921" s="11" t="s">
        <v>7952</v>
      </c>
    </row>
    <row r="7922">
      <c r="A7922" s="11" t="s">
        <v>7953</v>
      </c>
    </row>
    <row r="7923">
      <c r="A7923" s="11" t="s">
        <v>7954</v>
      </c>
    </row>
    <row r="7924">
      <c r="A7924" s="11" t="s">
        <v>7955</v>
      </c>
    </row>
    <row r="7925">
      <c r="A7925" s="11" t="s">
        <v>7956</v>
      </c>
    </row>
    <row r="7926">
      <c r="A7926" s="11" t="s">
        <v>7957</v>
      </c>
    </row>
    <row r="7927">
      <c r="A7927" s="11" t="s">
        <v>7958</v>
      </c>
    </row>
    <row r="7928">
      <c r="A7928" s="11" t="s">
        <v>7959</v>
      </c>
    </row>
    <row r="7929">
      <c r="A7929" s="11" t="s">
        <v>7960</v>
      </c>
    </row>
    <row r="7930">
      <c r="A7930" s="11" t="s">
        <v>7961</v>
      </c>
    </row>
    <row r="7931">
      <c r="A7931" s="11" t="s">
        <v>7962</v>
      </c>
    </row>
    <row r="7932">
      <c r="A7932" s="11" t="s">
        <v>7963</v>
      </c>
    </row>
    <row r="7933">
      <c r="A7933" s="11" t="s">
        <v>7964</v>
      </c>
    </row>
    <row r="7934">
      <c r="A7934" s="11" t="s">
        <v>7965</v>
      </c>
    </row>
    <row r="7935">
      <c r="A7935" s="11" t="s">
        <v>7966</v>
      </c>
    </row>
    <row r="7936">
      <c r="A7936" s="11" t="s">
        <v>7967</v>
      </c>
    </row>
    <row r="7937">
      <c r="A7937" s="11" t="s">
        <v>7968</v>
      </c>
    </row>
    <row r="7938">
      <c r="A7938" s="11" t="s">
        <v>7969</v>
      </c>
    </row>
    <row r="7939">
      <c r="A7939" s="11" t="s">
        <v>7970</v>
      </c>
    </row>
    <row r="7940">
      <c r="A7940" s="11" t="s">
        <v>7971</v>
      </c>
    </row>
    <row r="7941">
      <c r="A7941" s="11" t="s">
        <v>7972</v>
      </c>
    </row>
    <row r="7942">
      <c r="A7942" s="11" t="s">
        <v>7973</v>
      </c>
    </row>
    <row r="7943">
      <c r="A7943" s="11" t="s">
        <v>7974</v>
      </c>
    </row>
    <row r="7944">
      <c r="A7944" s="11" t="s">
        <v>7975</v>
      </c>
    </row>
    <row r="7945">
      <c r="A7945" s="11" t="s">
        <v>7976</v>
      </c>
    </row>
    <row r="7946">
      <c r="A7946" s="11" t="s">
        <v>7977</v>
      </c>
    </row>
    <row r="7947">
      <c r="A7947" s="11" t="s">
        <v>7978</v>
      </c>
    </row>
    <row r="7948">
      <c r="A7948" s="11" t="s">
        <v>7979</v>
      </c>
    </row>
    <row r="7949">
      <c r="A7949" s="11" t="s">
        <v>7980</v>
      </c>
    </row>
    <row r="7950">
      <c r="A7950" s="11" t="s">
        <v>7981</v>
      </c>
    </row>
    <row r="7951">
      <c r="A7951" s="11" t="s">
        <v>7982</v>
      </c>
    </row>
    <row r="7952">
      <c r="A7952" s="11" t="s">
        <v>7983</v>
      </c>
    </row>
    <row r="7953">
      <c r="A7953" s="11" t="s">
        <v>7984</v>
      </c>
    </row>
    <row r="7954">
      <c r="A7954" s="11" t="s">
        <v>7985</v>
      </c>
    </row>
    <row r="7955">
      <c r="A7955" s="11" t="s">
        <v>7986</v>
      </c>
    </row>
    <row r="7956">
      <c r="A7956" s="11" t="s">
        <v>7987</v>
      </c>
    </row>
    <row r="7957">
      <c r="A7957" s="11" t="s">
        <v>7988</v>
      </c>
    </row>
    <row r="7958">
      <c r="A7958" s="11" t="s">
        <v>7989</v>
      </c>
    </row>
    <row r="7959">
      <c r="A7959" s="11" t="s">
        <v>7990</v>
      </c>
    </row>
    <row r="7960">
      <c r="A7960" s="11" t="s">
        <v>7991</v>
      </c>
    </row>
    <row r="7961">
      <c r="A7961" s="11" t="s">
        <v>7992</v>
      </c>
    </row>
    <row r="7962">
      <c r="A7962" s="11" t="s">
        <v>7993</v>
      </c>
    </row>
    <row r="7963">
      <c r="A7963" s="11" t="s">
        <v>7994</v>
      </c>
    </row>
    <row r="7964">
      <c r="A7964" s="11" t="s">
        <v>7995</v>
      </c>
    </row>
    <row r="7965">
      <c r="A7965" s="11" t="s">
        <v>7996</v>
      </c>
    </row>
    <row r="7966">
      <c r="A7966" s="11" t="s">
        <v>7997</v>
      </c>
    </row>
    <row r="7967">
      <c r="A7967" s="11" t="s">
        <v>7998</v>
      </c>
    </row>
    <row r="7968">
      <c r="A7968" s="11" t="s">
        <v>7999</v>
      </c>
    </row>
    <row r="7969">
      <c r="A7969" s="11" t="s">
        <v>8000</v>
      </c>
    </row>
    <row r="7970">
      <c r="A7970" s="11" t="s">
        <v>8001</v>
      </c>
    </row>
    <row r="7971">
      <c r="A7971" s="11" t="s">
        <v>8002</v>
      </c>
    </row>
    <row r="7972">
      <c r="A7972" s="11" t="s">
        <v>8003</v>
      </c>
    </row>
    <row r="7973">
      <c r="A7973" s="11" t="s">
        <v>8004</v>
      </c>
    </row>
    <row r="7974">
      <c r="A7974" s="11" t="s">
        <v>8005</v>
      </c>
    </row>
    <row r="7975">
      <c r="A7975" s="11" t="s">
        <v>8006</v>
      </c>
    </row>
    <row r="7976">
      <c r="A7976" s="11" t="s">
        <v>8007</v>
      </c>
    </row>
    <row r="7977">
      <c r="A7977" s="11" t="s">
        <v>8008</v>
      </c>
    </row>
    <row r="7978">
      <c r="A7978" s="11" t="s">
        <v>8009</v>
      </c>
    </row>
    <row r="7979">
      <c r="A7979" s="11" t="s">
        <v>8010</v>
      </c>
    </row>
    <row r="7980">
      <c r="A7980" s="11" t="s">
        <v>8011</v>
      </c>
    </row>
    <row r="7981">
      <c r="A7981" s="11" t="s">
        <v>8012</v>
      </c>
    </row>
    <row r="7982">
      <c r="A7982" s="11" t="s">
        <v>8013</v>
      </c>
    </row>
    <row r="7983">
      <c r="A7983" s="11" t="s">
        <v>8014</v>
      </c>
    </row>
    <row r="7984">
      <c r="A7984" s="11" t="s">
        <v>8015</v>
      </c>
    </row>
    <row r="7985">
      <c r="A7985" s="11" t="s">
        <v>8016</v>
      </c>
    </row>
    <row r="7986">
      <c r="A7986" s="11" t="s">
        <v>8017</v>
      </c>
    </row>
    <row r="7987">
      <c r="A7987" s="11" t="s">
        <v>8018</v>
      </c>
    </row>
    <row r="7988">
      <c r="A7988" s="11" t="s">
        <v>8019</v>
      </c>
    </row>
    <row r="7989">
      <c r="A7989" s="11" t="s">
        <v>8020</v>
      </c>
    </row>
    <row r="7990">
      <c r="A7990" s="11" t="s">
        <v>8021</v>
      </c>
    </row>
    <row r="7991">
      <c r="A7991" s="11" t="s">
        <v>8022</v>
      </c>
    </row>
    <row r="7992">
      <c r="A7992" s="11" t="s">
        <v>8023</v>
      </c>
    </row>
    <row r="7993">
      <c r="A7993" s="11" t="s">
        <v>8024</v>
      </c>
    </row>
    <row r="7994">
      <c r="A7994" s="11" t="s">
        <v>8025</v>
      </c>
    </row>
    <row r="7995">
      <c r="A7995" s="11" t="s">
        <v>8026</v>
      </c>
    </row>
    <row r="7996">
      <c r="A7996" s="11" t="s">
        <v>8027</v>
      </c>
    </row>
    <row r="7997">
      <c r="A7997" s="11" t="s">
        <v>8028</v>
      </c>
    </row>
    <row r="7998">
      <c r="A7998" s="11" t="s">
        <v>8029</v>
      </c>
    </row>
    <row r="7999">
      <c r="A7999" s="11" t="s">
        <v>8030</v>
      </c>
    </row>
    <row r="8000">
      <c r="A8000" s="11" t="s">
        <v>8031</v>
      </c>
    </row>
    <row r="8001">
      <c r="A8001" s="11" t="s">
        <v>8032</v>
      </c>
    </row>
    <row r="8002">
      <c r="A8002" s="11" t="s">
        <v>8033</v>
      </c>
    </row>
    <row r="8003">
      <c r="A8003" s="11" t="s">
        <v>8034</v>
      </c>
    </row>
    <row r="8004">
      <c r="A8004" s="11" t="s">
        <v>8035</v>
      </c>
    </row>
    <row r="8005">
      <c r="A8005" s="11" t="s">
        <v>8036</v>
      </c>
    </row>
    <row r="8006">
      <c r="A8006" s="11" t="s">
        <v>8037</v>
      </c>
    </row>
    <row r="8007">
      <c r="A8007" s="11" t="s">
        <v>8038</v>
      </c>
    </row>
    <row r="8008">
      <c r="A8008" s="11" t="s">
        <v>8039</v>
      </c>
    </row>
    <row r="8009">
      <c r="A8009" s="11" t="s">
        <v>8040</v>
      </c>
    </row>
    <row r="8010">
      <c r="A8010" s="11" t="s">
        <v>8041</v>
      </c>
    </row>
    <row r="8011">
      <c r="A8011" s="11" t="s">
        <v>8042</v>
      </c>
    </row>
    <row r="8012">
      <c r="A8012" s="11" t="s">
        <v>8043</v>
      </c>
    </row>
    <row r="8013">
      <c r="A8013" s="11" t="s">
        <v>8044</v>
      </c>
    </row>
    <row r="8014">
      <c r="A8014" s="11" t="s">
        <v>8045</v>
      </c>
    </row>
    <row r="8015">
      <c r="A8015" s="11" t="s">
        <v>8046</v>
      </c>
    </row>
    <row r="8016">
      <c r="A8016" s="11" t="s">
        <v>8047</v>
      </c>
    </row>
    <row r="8017">
      <c r="A8017" s="11" t="s">
        <v>8048</v>
      </c>
    </row>
    <row r="8018">
      <c r="A8018" s="11" t="s">
        <v>8049</v>
      </c>
    </row>
    <row r="8019">
      <c r="A8019" s="11" t="s">
        <v>8050</v>
      </c>
    </row>
    <row r="8020">
      <c r="A8020" s="11" t="s">
        <v>8051</v>
      </c>
    </row>
    <row r="8021">
      <c r="A8021" s="11" t="s">
        <v>8052</v>
      </c>
    </row>
    <row r="8022">
      <c r="A8022" s="11" t="s">
        <v>8053</v>
      </c>
    </row>
    <row r="8023">
      <c r="A8023" s="11" t="s">
        <v>8054</v>
      </c>
    </row>
    <row r="8024">
      <c r="A8024" s="11" t="s">
        <v>8055</v>
      </c>
    </row>
    <row r="8025">
      <c r="A8025" s="11" t="s">
        <v>8056</v>
      </c>
    </row>
    <row r="8026">
      <c r="A8026" s="11" t="s">
        <v>8057</v>
      </c>
    </row>
    <row r="8027">
      <c r="A8027" s="11" t="s">
        <v>8058</v>
      </c>
    </row>
    <row r="8028">
      <c r="A8028" s="11" t="s">
        <v>8059</v>
      </c>
    </row>
    <row r="8029">
      <c r="A8029" s="11" t="s">
        <v>8060</v>
      </c>
    </row>
    <row r="8030">
      <c r="A8030" s="11" t="s">
        <v>8061</v>
      </c>
    </row>
    <row r="8031">
      <c r="A8031" s="11" t="s">
        <v>8062</v>
      </c>
    </row>
    <row r="8032">
      <c r="A8032" s="11" t="s">
        <v>8063</v>
      </c>
    </row>
    <row r="8033">
      <c r="A8033" s="11" t="s">
        <v>8064</v>
      </c>
    </row>
    <row r="8034">
      <c r="A8034" s="11" t="s">
        <v>8065</v>
      </c>
    </row>
    <row r="8035">
      <c r="A8035" s="11" t="s">
        <v>8066</v>
      </c>
    </row>
    <row r="8036">
      <c r="A8036" s="11" t="s">
        <v>8067</v>
      </c>
    </row>
    <row r="8037">
      <c r="A8037" s="11" t="s">
        <v>8068</v>
      </c>
    </row>
    <row r="8038">
      <c r="A8038" s="11" t="s">
        <v>8069</v>
      </c>
    </row>
    <row r="8039">
      <c r="A8039" s="11" t="s">
        <v>8070</v>
      </c>
    </row>
    <row r="8040">
      <c r="A8040" s="11" t="s">
        <v>8071</v>
      </c>
    </row>
    <row r="8041">
      <c r="A8041" s="11" t="s">
        <v>8072</v>
      </c>
    </row>
    <row r="8042">
      <c r="A8042" s="11" t="s">
        <v>8073</v>
      </c>
    </row>
    <row r="8043">
      <c r="A8043" s="11" t="s">
        <v>8074</v>
      </c>
    </row>
    <row r="8044">
      <c r="A8044" s="11" t="s">
        <v>8075</v>
      </c>
    </row>
    <row r="8045">
      <c r="A8045" s="11" t="s">
        <v>8076</v>
      </c>
    </row>
    <row r="8046">
      <c r="A8046" s="11" t="s">
        <v>8077</v>
      </c>
    </row>
    <row r="8047">
      <c r="A8047" s="11" t="s">
        <v>8078</v>
      </c>
    </row>
    <row r="8048">
      <c r="A8048" s="11" t="s">
        <v>8079</v>
      </c>
    </row>
    <row r="8049">
      <c r="A8049" s="11" t="s">
        <v>8080</v>
      </c>
    </row>
    <row r="8050">
      <c r="A8050" s="11" t="s">
        <v>8081</v>
      </c>
    </row>
    <row r="8051">
      <c r="A8051" s="11" t="s">
        <v>8082</v>
      </c>
    </row>
    <row r="8052">
      <c r="A8052" s="11" t="s">
        <v>8083</v>
      </c>
    </row>
    <row r="8053">
      <c r="A8053" s="11" t="s">
        <v>8084</v>
      </c>
    </row>
    <row r="8054">
      <c r="A8054" s="11" t="s">
        <v>8085</v>
      </c>
    </row>
    <row r="8055">
      <c r="A8055" s="11" t="s">
        <v>8086</v>
      </c>
    </row>
    <row r="8056">
      <c r="A8056" s="11" t="s">
        <v>8087</v>
      </c>
    </row>
    <row r="8057">
      <c r="A8057" s="11" t="s">
        <v>8088</v>
      </c>
    </row>
    <row r="8058">
      <c r="A8058" s="11" t="s">
        <v>8089</v>
      </c>
    </row>
    <row r="8059">
      <c r="A8059" s="11" t="s">
        <v>8090</v>
      </c>
    </row>
    <row r="8060">
      <c r="A8060" s="11" t="s">
        <v>8091</v>
      </c>
    </row>
    <row r="8061">
      <c r="A8061" s="11" t="s">
        <v>8092</v>
      </c>
    </row>
    <row r="8062">
      <c r="A8062" s="11" t="s">
        <v>8093</v>
      </c>
    </row>
    <row r="8063">
      <c r="A8063" s="11" t="s">
        <v>8094</v>
      </c>
    </row>
    <row r="8064">
      <c r="A8064" s="11" t="s">
        <v>8095</v>
      </c>
    </row>
    <row r="8065">
      <c r="A8065" s="11" t="s">
        <v>8096</v>
      </c>
    </row>
    <row r="8066">
      <c r="A8066" s="11" t="s">
        <v>8097</v>
      </c>
    </row>
    <row r="8067">
      <c r="A8067" s="11" t="s">
        <v>8098</v>
      </c>
    </row>
    <row r="8068">
      <c r="A8068" s="11" t="s">
        <v>8099</v>
      </c>
    </row>
    <row r="8069">
      <c r="A8069" s="11" t="s">
        <v>8100</v>
      </c>
    </row>
    <row r="8070">
      <c r="A8070" s="11" t="s">
        <v>8101</v>
      </c>
    </row>
    <row r="8071">
      <c r="A8071" s="11" t="s">
        <v>8102</v>
      </c>
    </row>
    <row r="8072">
      <c r="A8072" s="11" t="s">
        <v>8103</v>
      </c>
    </row>
    <row r="8073">
      <c r="A8073" s="11" t="s">
        <v>8104</v>
      </c>
    </row>
    <row r="8074">
      <c r="A8074" s="11" t="s">
        <v>8105</v>
      </c>
    </row>
    <row r="8075">
      <c r="A8075" s="11" t="s">
        <v>8106</v>
      </c>
    </row>
    <row r="8076">
      <c r="A8076" s="11" t="s">
        <v>8107</v>
      </c>
    </row>
    <row r="8077">
      <c r="A8077" s="11" t="s">
        <v>8108</v>
      </c>
    </row>
    <row r="8078">
      <c r="A8078" s="11" t="s">
        <v>8109</v>
      </c>
    </row>
    <row r="8079">
      <c r="A8079" s="11" t="s">
        <v>8110</v>
      </c>
    </row>
    <row r="8080">
      <c r="A8080" s="11" t="s">
        <v>8111</v>
      </c>
    </row>
    <row r="8081">
      <c r="A8081" s="11" t="s">
        <v>8112</v>
      </c>
    </row>
    <row r="8082">
      <c r="A8082" s="11" t="s">
        <v>8113</v>
      </c>
    </row>
    <row r="8083">
      <c r="A8083" s="11" t="s">
        <v>8114</v>
      </c>
    </row>
    <row r="8084">
      <c r="A8084" s="11" t="s">
        <v>8115</v>
      </c>
    </row>
    <row r="8085">
      <c r="A8085" s="11" t="s">
        <v>8116</v>
      </c>
    </row>
    <row r="8086">
      <c r="A8086" s="11" t="s">
        <v>8117</v>
      </c>
    </row>
    <row r="8087">
      <c r="A8087" s="11" t="s">
        <v>8118</v>
      </c>
    </row>
    <row r="8088">
      <c r="A8088" s="11" t="s">
        <v>8119</v>
      </c>
    </row>
    <row r="8089">
      <c r="A8089" s="11" t="s">
        <v>8120</v>
      </c>
    </row>
    <row r="8090">
      <c r="A8090" s="11" t="s">
        <v>8121</v>
      </c>
    </row>
    <row r="8091">
      <c r="A8091" s="11" t="s">
        <v>8122</v>
      </c>
    </row>
    <row r="8092">
      <c r="A8092" s="11" t="s">
        <v>8123</v>
      </c>
    </row>
    <row r="8093">
      <c r="A8093" s="11" t="s">
        <v>8124</v>
      </c>
    </row>
    <row r="8094">
      <c r="A8094" s="11" t="s">
        <v>8125</v>
      </c>
    </row>
    <row r="8095">
      <c r="A8095" s="11" t="s">
        <v>8126</v>
      </c>
    </row>
    <row r="8096">
      <c r="A8096" s="11" t="s">
        <v>8127</v>
      </c>
    </row>
    <row r="8097">
      <c r="A8097" s="11" t="s">
        <v>8128</v>
      </c>
    </row>
    <row r="8098">
      <c r="A8098" s="11" t="s">
        <v>8129</v>
      </c>
    </row>
    <row r="8099">
      <c r="A8099" s="11" t="s">
        <v>8130</v>
      </c>
    </row>
    <row r="8100">
      <c r="A8100" s="11" t="s">
        <v>8131</v>
      </c>
    </row>
    <row r="8101">
      <c r="A8101" s="11" t="s">
        <v>8132</v>
      </c>
    </row>
    <row r="8102">
      <c r="A8102" s="11" t="s">
        <v>8133</v>
      </c>
    </row>
    <row r="8103">
      <c r="A8103" s="11" t="s">
        <v>8134</v>
      </c>
    </row>
    <row r="8104">
      <c r="A8104" s="11" t="s">
        <v>8135</v>
      </c>
    </row>
    <row r="8105">
      <c r="A8105" s="11" t="s">
        <v>8136</v>
      </c>
    </row>
    <row r="8106">
      <c r="A8106" s="11" t="s">
        <v>8137</v>
      </c>
    </row>
    <row r="8107">
      <c r="A8107" s="11" t="s">
        <v>8138</v>
      </c>
    </row>
    <row r="8108">
      <c r="A8108" s="11" t="s">
        <v>8139</v>
      </c>
    </row>
    <row r="8109">
      <c r="A8109" s="11" t="s">
        <v>8140</v>
      </c>
    </row>
    <row r="8110">
      <c r="A8110" s="11" t="s">
        <v>8141</v>
      </c>
    </row>
    <row r="8111">
      <c r="A8111" s="11" t="s">
        <v>8142</v>
      </c>
    </row>
    <row r="8112">
      <c r="A8112" s="11" t="s">
        <v>8143</v>
      </c>
    </row>
    <row r="8113">
      <c r="A8113" s="11" t="s">
        <v>8144</v>
      </c>
    </row>
    <row r="8114">
      <c r="A8114" s="11" t="s">
        <v>8145</v>
      </c>
    </row>
    <row r="8115">
      <c r="A8115" s="11" t="s">
        <v>8146</v>
      </c>
    </row>
    <row r="8116">
      <c r="A8116" s="11" t="s">
        <v>8147</v>
      </c>
    </row>
    <row r="8117">
      <c r="A8117" s="11" t="s">
        <v>8148</v>
      </c>
    </row>
    <row r="8118">
      <c r="A8118" s="11" t="s">
        <v>8149</v>
      </c>
    </row>
    <row r="8119">
      <c r="A8119" s="11" t="s">
        <v>8150</v>
      </c>
    </row>
    <row r="8120">
      <c r="A8120" s="11" t="s">
        <v>8151</v>
      </c>
    </row>
    <row r="8121">
      <c r="A8121" s="11" t="s">
        <v>8152</v>
      </c>
    </row>
    <row r="8122">
      <c r="A8122" s="11" t="s">
        <v>8153</v>
      </c>
    </row>
    <row r="8123">
      <c r="A8123" s="11" t="s">
        <v>8154</v>
      </c>
    </row>
    <row r="8124">
      <c r="A8124" s="11" t="s">
        <v>8155</v>
      </c>
    </row>
    <row r="8125">
      <c r="A8125" s="11" t="s">
        <v>8156</v>
      </c>
    </row>
    <row r="8126">
      <c r="A8126" s="11" t="s">
        <v>8157</v>
      </c>
    </row>
    <row r="8127">
      <c r="A8127" s="11" t="s">
        <v>8158</v>
      </c>
    </row>
    <row r="8128">
      <c r="A8128" s="11" t="s">
        <v>8159</v>
      </c>
    </row>
    <row r="8129">
      <c r="A8129" s="11" t="s">
        <v>8160</v>
      </c>
    </row>
    <row r="8130">
      <c r="A8130" s="11" t="s">
        <v>8161</v>
      </c>
    </row>
    <row r="8131">
      <c r="A8131" s="11" t="s">
        <v>8162</v>
      </c>
    </row>
    <row r="8132">
      <c r="A8132" s="11" t="s">
        <v>8163</v>
      </c>
    </row>
    <row r="8133">
      <c r="A8133" s="11" t="s">
        <v>8164</v>
      </c>
    </row>
    <row r="8134">
      <c r="A8134" s="11" t="s">
        <v>8165</v>
      </c>
    </row>
    <row r="8135">
      <c r="A8135" s="11" t="s">
        <v>8166</v>
      </c>
    </row>
    <row r="8136">
      <c r="A8136" s="11" t="s">
        <v>8167</v>
      </c>
    </row>
    <row r="8137">
      <c r="A8137" s="11" t="s">
        <v>8168</v>
      </c>
    </row>
    <row r="8138">
      <c r="A8138" s="11" t="s">
        <v>8169</v>
      </c>
    </row>
    <row r="8139">
      <c r="A8139" s="11" t="s">
        <v>8170</v>
      </c>
    </row>
    <row r="8140">
      <c r="A8140" s="11" t="s">
        <v>8171</v>
      </c>
    </row>
    <row r="8141">
      <c r="A8141" s="11" t="s">
        <v>8172</v>
      </c>
    </row>
    <row r="8142">
      <c r="A8142" s="11" t="s">
        <v>8173</v>
      </c>
    </row>
    <row r="8143">
      <c r="A8143" s="11" t="s">
        <v>8174</v>
      </c>
    </row>
    <row r="8144">
      <c r="A8144" s="11" t="s">
        <v>8175</v>
      </c>
    </row>
    <row r="8145">
      <c r="A8145" s="11" t="s">
        <v>8176</v>
      </c>
    </row>
    <row r="8146">
      <c r="A8146" s="11" t="s">
        <v>8177</v>
      </c>
    </row>
    <row r="8147">
      <c r="A8147" s="11" t="s">
        <v>8178</v>
      </c>
    </row>
    <row r="8148">
      <c r="A8148" s="11" t="s">
        <v>8179</v>
      </c>
    </row>
    <row r="8149">
      <c r="A8149" s="11" t="s">
        <v>8180</v>
      </c>
    </row>
    <row r="8150">
      <c r="A8150" s="11" t="s">
        <v>8181</v>
      </c>
    </row>
    <row r="8151">
      <c r="A8151" s="11" t="s">
        <v>8182</v>
      </c>
    </row>
    <row r="8152">
      <c r="A8152" s="11" t="s">
        <v>8183</v>
      </c>
    </row>
    <row r="8153">
      <c r="A8153" s="11" t="s">
        <v>8184</v>
      </c>
    </row>
    <row r="8154">
      <c r="A8154" s="11" t="s">
        <v>8185</v>
      </c>
    </row>
    <row r="8155">
      <c r="A8155" s="11" t="s">
        <v>8186</v>
      </c>
    </row>
    <row r="8156">
      <c r="A8156" s="11" t="s">
        <v>8187</v>
      </c>
    </row>
    <row r="8157">
      <c r="A8157" s="11" t="s">
        <v>8188</v>
      </c>
    </row>
    <row r="8158">
      <c r="A8158" s="11" t="s">
        <v>8189</v>
      </c>
    </row>
    <row r="8159">
      <c r="A8159" s="11" t="s">
        <v>8190</v>
      </c>
    </row>
    <row r="8160">
      <c r="A8160" s="11" t="s">
        <v>8191</v>
      </c>
    </row>
    <row r="8161">
      <c r="A8161" s="11" t="s">
        <v>8192</v>
      </c>
    </row>
    <row r="8162">
      <c r="A8162" s="11" t="s">
        <v>8193</v>
      </c>
    </row>
    <row r="8163">
      <c r="A8163" s="11" t="s">
        <v>8194</v>
      </c>
    </row>
    <row r="8164">
      <c r="A8164" s="11" t="s">
        <v>8195</v>
      </c>
    </row>
    <row r="8165">
      <c r="A8165" s="11" t="s">
        <v>8196</v>
      </c>
    </row>
    <row r="8166">
      <c r="A8166" s="11" t="s">
        <v>8197</v>
      </c>
    </row>
    <row r="8167">
      <c r="A8167" s="11" t="s">
        <v>8198</v>
      </c>
    </row>
    <row r="8168">
      <c r="A8168" s="11" t="s">
        <v>8199</v>
      </c>
    </row>
    <row r="8169">
      <c r="A8169" s="11" t="s">
        <v>8200</v>
      </c>
    </row>
    <row r="8170">
      <c r="A8170" s="11" t="s">
        <v>8201</v>
      </c>
    </row>
    <row r="8171">
      <c r="A8171" s="11" t="s">
        <v>8202</v>
      </c>
    </row>
    <row r="8172">
      <c r="A8172" s="11" t="s">
        <v>8203</v>
      </c>
    </row>
    <row r="8173">
      <c r="A8173" s="11" t="s">
        <v>8204</v>
      </c>
    </row>
    <row r="8174">
      <c r="A8174" s="11" t="s">
        <v>8205</v>
      </c>
    </row>
    <row r="8175">
      <c r="A8175" s="11" t="s">
        <v>8206</v>
      </c>
    </row>
    <row r="8176">
      <c r="A8176" s="11" t="s">
        <v>8207</v>
      </c>
    </row>
    <row r="8177">
      <c r="A8177" s="11" t="s">
        <v>8208</v>
      </c>
    </row>
    <row r="8178">
      <c r="A8178" s="11" t="s">
        <v>8209</v>
      </c>
    </row>
    <row r="8179">
      <c r="A8179" s="11" t="s">
        <v>8210</v>
      </c>
    </row>
    <row r="8180">
      <c r="A8180" s="11" t="s">
        <v>8211</v>
      </c>
    </row>
    <row r="8181">
      <c r="A8181" s="11" t="s">
        <v>8212</v>
      </c>
    </row>
    <row r="8182">
      <c r="A8182" s="11" t="s">
        <v>8213</v>
      </c>
    </row>
    <row r="8183">
      <c r="A8183" s="11" t="s">
        <v>8214</v>
      </c>
    </row>
    <row r="8184">
      <c r="A8184" s="11" t="s">
        <v>8215</v>
      </c>
    </row>
    <row r="8185">
      <c r="A8185" s="11" t="s">
        <v>8216</v>
      </c>
    </row>
    <row r="8186">
      <c r="A8186" s="11" t="s">
        <v>8217</v>
      </c>
    </row>
    <row r="8187">
      <c r="A8187" s="11" t="s">
        <v>8218</v>
      </c>
    </row>
    <row r="8188">
      <c r="A8188" s="11" t="s">
        <v>8219</v>
      </c>
    </row>
    <row r="8189">
      <c r="A8189" s="11" t="s">
        <v>8220</v>
      </c>
    </row>
    <row r="8190">
      <c r="A8190" s="11" t="s">
        <v>8221</v>
      </c>
    </row>
    <row r="8191">
      <c r="A8191" s="11" t="s">
        <v>8222</v>
      </c>
    </row>
    <row r="8192">
      <c r="A8192" s="11" t="s">
        <v>8223</v>
      </c>
    </row>
    <row r="8193">
      <c r="A8193" s="11" t="s">
        <v>8224</v>
      </c>
    </row>
    <row r="8194">
      <c r="A8194" s="11" t="s">
        <v>8225</v>
      </c>
    </row>
    <row r="8195">
      <c r="A8195" s="11" t="s">
        <v>8226</v>
      </c>
    </row>
    <row r="8196">
      <c r="A8196" s="11" t="s">
        <v>8227</v>
      </c>
    </row>
    <row r="8197">
      <c r="A8197" s="11" t="s">
        <v>8228</v>
      </c>
    </row>
    <row r="8198">
      <c r="A8198" s="11" t="s">
        <v>8229</v>
      </c>
    </row>
    <row r="8199">
      <c r="A8199" s="11" t="s">
        <v>8230</v>
      </c>
    </row>
    <row r="8200">
      <c r="A8200" s="11" t="s">
        <v>8231</v>
      </c>
    </row>
    <row r="8201">
      <c r="A8201" s="11" t="s">
        <v>8232</v>
      </c>
    </row>
    <row r="8202">
      <c r="A8202" s="11" t="s">
        <v>8233</v>
      </c>
    </row>
    <row r="8203">
      <c r="A8203" s="11" t="s">
        <v>8234</v>
      </c>
    </row>
    <row r="8204">
      <c r="A8204" s="11" t="s">
        <v>8235</v>
      </c>
    </row>
    <row r="8205">
      <c r="A8205" s="11" t="s">
        <v>8236</v>
      </c>
    </row>
    <row r="8206">
      <c r="A8206" s="11" t="s">
        <v>8237</v>
      </c>
    </row>
    <row r="8207">
      <c r="A8207" s="11" t="s">
        <v>8238</v>
      </c>
    </row>
    <row r="8208">
      <c r="A8208" s="11" t="s">
        <v>8239</v>
      </c>
    </row>
    <row r="8209">
      <c r="A8209" s="11" t="s">
        <v>8240</v>
      </c>
    </row>
    <row r="8210">
      <c r="A8210" s="11" t="s">
        <v>8241</v>
      </c>
    </row>
    <row r="8211">
      <c r="A8211" s="11" t="s">
        <v>8242</v>
      </c>
    </row>
    <row r="8212">
      <c r="A8212" s="11" t="s">
        <v>8243</v>
      </c>
    </row>
    <row r="8213">
      <c r="A8213" s="11" t="s">
        <v>8244</v>
      </c>
    </row>
    <row r="8214">
      <c r="A8214" s="11" t="s">
        <v>8245</v>
      </c>
    </row>
    <row r="8215">
      <c r="A8215" s="11" t="s">
        <v>8246</v>
      </c>
    </row>
    <row r="8216">
      <c r="A8216" s="11" t="s">
        <v>8247</v>
      </c>
    </row>
    <row r="8217">
      <c r="A8217" s="11" t="s">
        <v>8248</v>
      </c>
    </row>
    <row r="8218">
      <c r="A8218" s="11" t="s">
        <v>8249</v>
      </c>
    </row>
    <row r="8219">
      <c r="A8219" s="11" t="s">
        <v>8250</v>
      </c>
    </row>
    <row r="8220">
      <c r="A8220" s="11" t="s">
        <v>8251</v>
      </c>
    </row>
    <row r="8221">
      <c r="A8221" s="11" t="s">
        <v>8252</v>
      </c>
    </row>
    <row r="8222">
      <c r="A8222" s="11" t="s">
        <v>8253</v>
      </c>
    </row>
    <row r="8223">
      <c r="A8223" s="11" t="s">
        <v>8254</v>
      </c>
    </row>
    <row r="8224">
      <c r="A8224" s="11" t="s">
        <v>8255</v>
      </c>
    </row>
    <row r="8225">
      <c r="A8225" s="11" t="s">
        <v>8256</v>
      </c>
    </row>
    <row r="8226">
      <c r="A8226" s="11" t="s">
        <v>8257</v>
      </c>
    </row>
    <row r="8227">
      <c r="A8227" s="11" t="s">
        <v>8258</v>
      </c>
    </row>
    <row r="8228">
      <c r="A8228" s="11" t="s">
        <v>8259</v>
      </c>
    </row>
    <row r="8229">
      <c r="A8229" s="11" t="s">
        <v>8260</v>
      </c>
    </row>
    <row r="8230">
      <c r="A8230" s="11" t="s">
        <v>8261</v>
      </c>
    </row>
    <row r="8231">
      <c r="A8231" s="11" t="s">
        <v>8262</v>
      </c>
    </row>
    <row r="8232">
      <c r="A8232" s="11" t="s">
        <v>8263</v>
      </c>
    </row>
    <row r="8233">
      <c r="A8233" s="11" t="s">
        <v>8264</v>
      </c>
    </row>
    <row r="8234">
      <c r="A8234" s="11" t="s">
        <v>8265</v>
      </c>
    </row>
    <row r="8235">
      <c r="A8235" s="11" t="s">
        <v>8266</v>
      </c>
    </row>
    <row r="8236">
      <c r="A8236" s="11" t="s">
        <v>8267</v>
      </c>
    </row>
    <row r="8237">
      <c r="A8237" s="11" t="s">
        <v>8268</v>
      </c>
    </row>
    <row r="8238">
      <c r="A8238" s="11" t="s">
        <v>8269</v>
      </c>
    </row>
    <row r="8239">
      <c r="A8239" s="11" t="s">
        <v>8270</v>
      </c>
    </row>
    <row r="8240">
      <c r="A8240" s="11" t="s">
        <v>8271</v>
      </c>
    </row>
    <row r="8241">
      <c r="A8241" s="11" t="s">
        <v>8272</v>
      </c>
    </row>
    <row r="8242">
      <c r="A8242" s="11" t="s">
        <v>8273</v>
      </c>
    </row>
    <row r="8243">
      <c r="A8243" s="11" t="s">
        <v>8274</v>
      </c>
    </row>
    <row r="8244">
      <c r="A8244" s="11" t="s">
        <v>8275</v>
      </c>
    </row>
    <row r="8245">
      <c r="A8245" s="11" t="s">
        <v>8276</v>
      </c>
    </row>
    <row r="8246">
      <c r="A8246" s="11" t="s">
        <v>8277</v>
      </c>
    </row>
    <row r="8247">
      <c r="A8247" s="11" t="s">
        <v>8278</v>
      </c>
    </row>
    <row r="8248">
      <c r="A8248" s="11" t="s">
        <v>8279</v>
      </c>
    </row>
    <row r="8249">
      <c r="A8249" s="11" t="s">
        <v>8280</v>
      </c>
    </row>
    <row r="8250">
      <c r="A8250" s="11" t="s">
        <v>8281</v>
      </c>
    </row>
    <row r="8251">
      <c r="A8251" s="11" t="s">
        <v>8282</v>
      </c>
    </row>
    <row r="8252">
      <c r="A8252" s="11" t="s">
        <v>8283</v>
      </c>
    </row>
    <row r="8253">
      <c r="A8253" s="11" t="s">
        <v>8284</v>
      </c>
    </row>
    <row r="8254">
      <c r="A8254" s="11" t="s">
        <v>8285</v>
      </c>
    </row>
    <row r="8255">
      <c r="A8255" s="11" t="s">
        <v>8286</v>
      </c>
    </row>
    <row r="8256">
      <c r="A8256" s="11" t="s">
        <v>8287</v>
      </c>
    </row>
    <row r="8257">
      <c r="A8257" s="11" t="s">
        <v>8288</v>
      </c>
    </row>
    <row r="8258">
      <c r="A8258" s="11" t="s">
        <v>8289</v>
      </c>
    </row>
    <row r="8259">
      <c r="A8259" s="11" t="s">
        <v>8290</v>
      </c>
    </row>
    <row r="8260">
      <c r="A8260" s="11" t="s">
        <v>8291</v>
      </c>
    </row>
    <row r="8261">
      <c r="A8261" s="11" t="s">
        <v>8292</v>
      </c>
    </row>
    <row r="8262">
      <c r="A8262" s="11" t="s">
        <v>8293</v>
      </c>
    </row>
    <row r="8263">
      <c r="A8263" s="11" t="s">
        <v>8294</v>
      </c>
    </row>
    <row r="8264">
      <c r="A8264" s="11" t="s">
        <v>8295</v>
      </c>
    </row>
    <row r="8265">
      <c r="A8265" s="11" t="s">
        <v>8296</v>
      </c>
    </row>
    <row r="8266">
      <c r="A8266" s="11" t="s">
        <v>8297</v>
      </c>
    </row>
    <row r="8267">
      <c r="A8267" s="11" t="s">
        <v>8298</v>
      </c>
    </row>
    <row r="8268">
      <c r="A8268" s="11" t="s">
        <v>8299</v>
      </c>
    </row>
    <row r="8269">
      <c r="A8269" s="11" t="s">
        <v>8300</v>
      </c>
    </row>
    <row r="8270">
      <c r="A8270" s="11" t="s">
        <v>8301</v>
      </c>
    </row>
    <row r="8271">
      <c r="A8271" s="11" t="s">
        <v>8302</v>
      </c>
    </row>
    <row r="8272">
      <c r="A8272" s="11" t="s">
        <v>8303</v>
      </c>
    </row>
    <row r="8273">
      <c r="A8273" s="11" t="s">
        <v>8304</v>
      </c>
    </row>
    <row r="8274">
      <c r="A8274" s="11" t="s">
        <v>8305</v>
      </c>
    </row>
    <row r="8275">
      <c r="A8275" s="11" t="s">
        <v>8306</v>
      </c>
    </row>
    <row r="8276">
      <c r="A8276" s="11" t="s">
        <v>8307</v>
      </c>
    </row>
    <row r="8277">
      <c r="A8277" s="11" t="s">
        <v>8308</v>
      </c>
    </row>
    <row r="8278">
      <c r="A8278" s="11" t="s">
        <v>8309</v>
      </c>
    </row>
    <row r="8279">
      <c r="A8279" s="11" t="s">
        <v>8310</v>
      </c>
    </row>
    <row r="8280">
      <c r="A8280" s="11" t="s">
        <v>8311</v>
      </c>
    </row>
    <row r="8281">
      <c r="A8281" s="11" t="s">
        <v>8312</v>
      </c>
    </row>
    <row r="8282">
      <c r="A8282" s="11" t="s">
        <v>8313</v>
      </c>
    </row>
    <row r="8283">
      <c r="A8283" s="11" t="s">
        <v>8314</v>
      </c>
    </row>
    <row r="8284">
      <c r="A8284" s="11" t="s">
        <v>8315</v>
      </c>
    </row>
    <row r="8285">
      <c r="A8285" s="11" t="s">
        <v>8316</v>
      </c>
    </row>
    <row r="8286">
      <c r="A8286" s="11" t="s">
        <v>8317</v>
      </c>
    </row>
    <row r="8287">
      <c r="A8287" s="11" t="s">
        <v>8318</v>
      </c>
    </row>
    <row r="8288">
      <c r="A8288" s="11" t="s">
        <v>8319</v>
      </c>
    </row>
    <row r="8289">
      <c r="A8289" s="11" t="s">
        <v>8320</v>
      </c>
    </row>
    <row r="8290">
      <c r="A8290" s="11" t="s">
        <v>8321</v>
      </c>
    </row>
    <row r="8291">
      <c r="A8291" s="11" t="s">
        <v>8322</v>
      </c>
    </row>
    <row r="8292">
      <c r="A8292" s="11" t="s">
        <v>8323</v>
      </c>
    </row>
    <row r="8293">
      <c r="A8293" s="11" t="s">
        <v>8324</v>
      </c>
    </row>
    <row r="8294">
      <c r="A8294" s="11" t="s">
        <v>8325</v>
      </c>
    </row>
    <row r="8295">
      <c r="A8295" s="11" t="s">
        <v>8326</v>
      </c>
    </row>
    <row r="8296">
      <c r="A8296" s="11" t="s">
        <v>8327</v>
      </c>
    </row>
    <row r="8297">
      <c r="A8297" s="11" t="s">
        <v>8328</v>
      </c>
    </row>
    <row r="8298">
      <c r="A8298" s="11" t="s">
        <v>8329</v>
      </c>
    </row>
    <row r="8299">
      <c r="A8299" s="11" t="s">
        <v>8330</v>
      </c>
    </row>
    <row r="8300">
      <c r="A8300" s="11" t="s">
        <v>8331</v>
      </c>
    </row>
    <row r="8301">
      <c r="A8301" s="11" t="s">
        <v>8332</v>
      </c>
    </row>
    <row r="8302">
      <c r="A8302" s="11" t="s">
        <v>8333</v>
      </c>
    </row>
    <row r="8303">
      <c r="A8303" s="11" t="s">
        <v>8334</v>
      </c>
    </row>
    <row r="8304">
      <c r="A8304" s="11" t="s">
        <v>8335</v>
      </c>
    </row>
    <row r="8305">
      <c r="A8305" s="11" t="s">
        <v>8336</v>
      </c>
    </row>
    <row r="8306">
      <c r="A8306" s="11" t="s">
        <v>8337</v>
      </c>
    </row>
    <row r="8307">
      <c r="A8307" s="11" t="s">
        <v>8338</v>
      </c>
    </row>
    <row r="8308">
      <c r="A8308" s="11" t="s">
        <v>8339</v>
      </c>
    </row>
    <row r="8309">
      <c r="A8309" s="11" t="s">
        <v>8340</v>
      </c>
    </row>
    <row r="8310">
      <c r="A8310" s="11" t="s">
        <v>8341</v>
      </c>
    </row>
    <row r="8311">
      <c r="A8311" s="11" t="s">
        <v>8342</v>
      </c>
    </row>
    <row r="8312">
      <c r="A8312" s="11" t="s">
        <v>8343</v>
      </c>
    </row>
    <row r="8313">
      <c r="A8313" s="11" t="s">
        <v>8344</v>
      </c>
    </row>
    <row r="8314">
      <c r="A8314" s="11" t="s">
        <v>8345</v>
      </c>
    </row>
    <row r="8315">
      <c r="A8315" s="11" t="s">
        <v>8346</v>
      </c>
    </row>
    <row r="8316">
      <c r="A8316" s="11" t="s">
        <v>8347</v>
      </c>
    </row>
    <row r="8317">
      <c r="A8317" s="11" t="s">
        <v>8348</v>
      </c>
    </row>
    <row r="8318">
      <c r="A8318" s="11" t="s">
        <v>8349</v>
      </c>
    </row>
    <row r="8319">
      <c r="A8319" s="11" t="s">
        <v>8350</v>
      </c>
    </row>
    <row r="8320">
      <c r="A8320" s="11" t="s">
        <v>8351</v>
      </c>
    </row>
    <row r="8321">
      <c r="A8321" s="11" t="s">
        <v>8352</v>
      </c>
    </row>
    <row r="8322">
      <c r="A8322" s="11" t="s">
        <v>8353</v>
      </c>
    </row>
    <row r="8323">
      <c r="A8323" s="11" t="s">
        <v>8354</v>
      </c>
    </row>
    <row r="8324">
      <c r="A8324" s="11" t="s">
        <v>8355</v>
      </c>
    </row>
    <row r="8325">
      <c r="A8325" s="11" t="s">
        <v>8356</v>
      </c>
    </row>
    <row r="8326">
      <c r="A8326" s="11" t="s">
        <v>8357</v>
      </c>
    </row>
    <row r="8327">
      <c r="A8327" s="11" t="s">
        <v>8358</v>
      </c>
    </row>
    <row r="8328">
      <c r="A8328" s="11" t="s">
        <v>8359</v>
      </c>
    </row>
    <row r="8329">
      <c r="A8329" s="11" t="s">
        <v>8360</v>
      </c>
    </row>
    <row r="8330">
      <c r="A8330" s="11" t="s">
        <v>8361</v>
      </c>
    </row>
    <row r="8331">
      <c r="A8331" s="11" t="s">
        <v>8362</v>
      </c>
    </row>
    <row r="8332">
      <c r="A8332" s="11" t="s">
        <v>8363</v>
      </c>
    </row>
    <row r="8333">
      <c r="A8333" s="11" t="s">
        <v>8364</v>
      </c>
    </row>
    <row r="8334">
      <c r="A8334" s="11" t="s">
        <v>8365</v>
      </c>
    </row>
    <row r="8335">
      <c r="A8335" s="11" t="s">
        <v>8366</v>
      </c>
    </row>
    <row r="8336">
      <c r="A8336" s="11" t="s">
        <v>8367</v>
      </c>
    </row>
    <row r="8337">
      <c r="A8337" s="11" t="s">
        <v>8368</v>
      </c>
    </row>
    <row r="8338">
      <c r="A8338" s="11" t="s">
        <v>8369</v>
      </c>
    </row>
    <row r="8339">
      <c r="A8339" s="11" t="s">
        <v>8370</v>
      </c>
    </row>
    <row r="8340">
      <c r="A8340" s="11" t="s">
        <v>8371</v>
      </c>
    </row>
    <row r="8341">
      <c r="A8341" s="11" t="s">
        <v>8372</v>
      </c>
    </row>
    <row r="8342">
      <c r="A8342" s="11" t="s">
        <v>8373</v>
      </c>
    </row>
    <row r="8343">
      <c r="A8343" s="11" t="s">
        <v>8374</v>
      </c>
    </row>
    <row r="8344">
      <c r="A8344" s="11" t="s">
        <v>8375</v>
      </c>
    </row>
    <row r="8345">
      <c r="A8345" s="11" t="s">
        <v>8376</v>
      </c>
    </row>
    <row r="8346">
      <c r="A8346" s="11" t="s">
        <v>8377</v>
      </c>
    </row>
    <row r="8347">
      <c r="A8347" s="11" t="s">
        <v>8378</v>
      </c>
    </row>
    <row r="8348">
      <c r="A8348" s="11" t="s">
        <v>8379</v>
      </c>
    </row>
    <row r="8349">
      <c r="A8349" s="11" t="s">
        <v>8380</v>
      </c>
    </row>
    <row r="8350">
      <c r="A8350" s="11" t="s">
        <v>8381</v>
      </c>
    </row>
    <row r="8351">
      <c r="A8351" s="11" t="s">
        <v>8382</v>
      </c>
    </row>
    <row r="8352">
      <c r="A8352" s="11" t="s">
        <v>8383</v>
      </c>
    </row>
    <row r="8353">
      <c r="A8353" s="11" t="s">
        <v>8384</v>
      </c>
    </row>
    <row r="8354">
      <c r="A8354" s="11" t="s">
        <v>8385</v>
      </c>
    </row>
    <row r="8355">
      <c r="A8355" s="11" t="s">
        <v>8386</v>
      </c>
    </row>
    <row r="8356">
      <c r="A8356" s="11" t="s">
        <v>8387</v>
      </c>
    </row>
    <row r="8357">
      <c r="A8357" s="11" t="s">
        <v>8388</v>
      </c>
    </row>
    <row r="8358">
      <c r="A8358" s="11" t="s">
        <v>8389</v>
      </c>
    </row>
    <row r="8359">
      <c r="A8359" s="11" t="s">
        <v>8390</v>
      </c>
    </row>
    <row r="8360">
      <c r="A8360" s="11" t="s">
        <v>8391</v>
      </c>
    </row>
    <row r="8361">
      <c r="A8361" s="11" t="s">
        <v>8392</v>
      </c>
    </row>
    <row r="8362">
      <c r="A8362" s="11" t="s">
        <v>8393</v>
      </c>
    </row>
    <row r="8363">
      <c r="A8363" s="11" t="s">
        <v>8394</v>
      </c>
    </row>
    <row r="8364">
      <c r="A8364" s="11" t="s">
        <v>8395</v>
      </c>
    </row>
    <row r="8365">
      <c r="A8365" s="11" t="s">
        <v>8396</v>
      </c>
    </row>
    <row r="8366">
      <c r="A8366" s="11" t="s">
        <v>8397</v>
      </c>
    </row>
    <row r="8367">
      <c r="A8367" s="11" t="s">
        <v>8398</v>
      </c>
    </row>
    <row r="8368">
      <c r="A8368" s="11" t="s">
        <v>8399</v>
      </c>
    </row>
    <row r="8369">
      <c r="A8369" s="11" t="s">
        <v>8400</v>
      </c>
    </row>
    <row r="8370">
      <c r="A8370" s="11" t="s">
        <v>8401</v>
      </c>
    </row>
    <row r="8371">
      <c r="A8371" s="11" t="s">
        <v>8402</v>
      </c>
    </row>
    <row r="8372">
      <c r="A8372" s="11" t="s">
        <v>8403</v>
      </c>
    </row>
    <row r="8373">
      <c r="A8373" s="11" t="s">
        <v>8404</v>
      </c>
    </row>
    <row r="8374">
      <c r="A8374" s="11" t="s">
        <v>8405</v>
      </c>
    </row>
    <row r="8375">
      <c r="A8375" s="11" t="s">
        <v>8406</v>
      </c>
    </row>
    <row r="8376">
      <c r="A8376" s="11" t="s">
        <v>8407</v>
      </c>
    </row>
    <row r="8377">
      <c r="A8377" s="11" t="s">
        <v>8408</v>
      </c>
    </row>
    <row r="8378">
      <c r="A8378" s="11" t="s">
        <v>8409</v>
      </c>
    </row>
    <row r="8379">
      <c r="A8379" s="11" t="s">
        <v>8410</v>
      </c>
    </row>
    <row r="8380">
      <c r="A8380" s="11" t="s">
        <v>8411</v>
      </c>
    </row>
    <row r="8381">
      <c r="A8381" s="11" t="s">
        <v>8412</v>
      </c>
    </row>
    <row r="8382">
      <c r="A8382" s="11" t="s">
        <v>8413</v>
      </c>
    </row>
    <row r="8383">
      <c r="A8383" s="11" t="s">
        <v>8414</v>
      </c>
    </row>
    <row r="8384">
      <c r="A8384" s="11" t="s">
        <v>8415</v>
      </c>
    </row>
    <row r="8385">
      <c r="A8385" s="11" t="s">
        <v>8416</v>
      </c>
    </row>
    <row r="8386">
      <c r="A8386" s="11" t="s">
        <v>8417</v>
      </c>
    </row>
    <row r="8387">
      <c r="A8387" s="11" t="s">
        <v>8418</v>
      </c>
    </row>
    <row r="8388">
      <c r="A8388" s="11" t="s">
        <v>8419</v>
      </c>
    </row>
    <row r="8389">
      <c r="A8389" s="11" t="s">
        <v>8420</v>
      </c>
    </row>
    <row r="8390">
      <c r="A8390" s="11" t="s">
        <v>8421</v>
      </c>
    </row>
    <row r="8391">
      <c r="A8391" s="11" t="s">
        <v>8422</v>
      </c>
    </row>
    <row r="8392">
      <c r="A8392" s="11" t="s">
        <v>8423</v>
      </c>
    </row>
    <row r="8393">
      <c r="A8393" s="11" t="s">
        <v>8424</v>
      </c>
    </row>
    <row r="8394">
      <c r="A8394" s="11" t="s">
        <v>8425</v>
      </c>
    </row>
    <row r="8395">
      <c r="A8395" s="11" t="s">
        <v>8426</v>
      </c>
    </row>
    <row r="8396">
      <c r="A8396" s="11" t="s">
        <v>8427</v>
      </c>
    </row>
    <row r="8397">
      <c r="A8397" s="11" t="s">
        <v>8428</v>
      </c>
    </row>
    <row r="8398">
      <c r="A8398" s="11" t="s">
        <v>8429</v>
      </c>
    </row>
    <row r="8399">
      <c r="A8399" s="11" t="s">
        <v>8430</v>
      </c>
    </row>
    <row r="8400">
      <c r="A8400" s="11" t="s">
        <v>8431</v>
      </c>
    </row>
    <row r="8401">
      <c r="A8401" s="11" t="s">
        <v>8432</v>
      </c>
    </row>
    <row r="8402">
      <c r="A8402" s="11" t="s">
        <v>8433</v>
      </c>
    </row>
    <row r="8403">
      <c r="A8403" s="11" t="s">
        <v>8434</v>
      </c>
    </row>
    <row r="8404">
      <c r="A8404" s="11" t="s">
        <v>8435</v>
      </c>
    </row>
    <row r="8405">
      <c r="A8405" s="11" t="s">
        <v>8436</v>
      </c>
    </row>
    <row r="8406">
      <c r="A8406" s="11" t="s">
        <v>8437</v>
      </c>
    </row>
    <row r="8407">
      <c r="A8407" s="11" t="s">
        <v>8438</v>
      </c>
    </row>
    <row r="8408">
      <c r="A8408" s="11" t="s">
        <v>8439</v>
      </c>
    </row>
    <row r="8409">
      <c r="A8409" s="11" t="s">
        <v>8440</v>
      </c>
    </row>
    <row r="8410">
      <c r="A8410" s="11" t="s">
        <v>8441</v>
      </c>
    </row>
    <row r="8411">
      <c r="A8411" s="11" t="s">
        <v>8442</v>
      </c>
    </row>
    <row r="8412">
      <c r="A8412" s="11" t="s">
        <v>8443</v>
      </c>
    </row>
    <row r="8413">
      <c r="A8413" s="11" t="s">
        <v>8444</v>
      </c>
    </row>
    <row r="8414">
      <c r="A8414" s="11" t="s">
        <v>8445</v>
      </c>
    </row>
    <row r="8415">
      <c r="A8415" s="11" t="s">
        <v>8446</v>
      </c>
    </row>
    <row r="8416">
      <c r="A8416" s="11" t="s">
        <v>8447</v>
      </c>
    </row>
    <row r="8417">
      <c r="A8417" s="11" t="s">
        <v>8448</v>
      </c>
    </row>
    <row r="8418">
      <c r="A8418" s="11" t="s">
        <v>8449</v>
      </c>
    </row>
    <row r="8419">
      <c r="A8419" s="11" t="s">
        <v>8450</v>
      </c>
    </row>
    <row r="8420">
      <c r="A8420" s="11" t="s">
        <v>8451</v>
      </c>
    </row>
    <row r="8421">
      <c r="A8421" s="11" t="s">
        <v>8452</v>
      </c>
    </row>
    <row r="8422">
      <c r="A8422" s="11" t="s">
        <v>8453</v>
      </c>
    </row>
    <row r="8423">
      <c r="A8423" s="11" t="s">
        <v>8454</v>
      </c>
    </row>
    <row r="8424">
      <c r="A8424" s="11" t="s">
        <v>8455</v>
      </c>
    </row>
    <row r="8425">
      <c r="A8425" s="11" t="s">
        <v>8456</v>
      </c>
    </row>
    <row r="8426">
      <c r="A8426" s="11" t="s">
        <v>8457</v>
      </c>
    </row>
    <row r="8427">
      <c r="A8427" s="11" t="s">
        <v>8458</v>
      </c>
    </row>
    <row r="8428">
      <c r="A8428" s="11" t="s">
        <v>8459</v>
      </c>
    </row>
    <row r="8429">
      <c r="A8429" s="11" t="s">
        <v>8460</v>
      </c>
    </row>
    <row r="8430">
      <c r="A8430" s="11" t="s">
        <v>8461</v>
      </c>
    </row>
    <row r="8431">
      <c r="A8431" s="11" t="s">
        <v>8462</v>
      </c>
    </row>
    <row r="8432">
      <c r="A8432" s="11" t="s">
        <v>8463</v>
      </c>
    </row>
    <row r="8433">
      <c r="A8433" s="11" t="s">
        <v>8464</v>
      </c>
    </row>
    <row r="8434">
      <c r="A8434" s="11" t="s">
        <v>8465</v>
      </c>
    </row>
    <row r="8435">
      <c r="A8435" s="11" t="s">
        <v>8466</v>
      </c>
    </row>
    <row r="8436">
      <c r="A8436" s="11" t="s">
        <v>8467</v>
      </c>
    </row>
    <row r="8437">
      <c r="A8437" s="11" t="s">
        <v>8468</v>
      </c>
    </row>
    <row r="8438">
      <c r="A8438" s="11" t="s">
        <v>8469</v>
      </c>
    </row>
    <row r="8439">
      <c r="A8439" s="11" t="s">
        <v>8470</v>
      </c>
    </row>
    <row r="8440">
      <c r="A8440" s="11" t="s">
        <v>8471</v>
      </c>
    </row>
    <row r="8441">
      <c r="A8441" s="11" t="s">
        <v>8472</v>
      </c>
    </row>
    <row r="8442">
      <c r="A8442" s="11" t="s">
        <v>8473</v>
      </c>
    </row>
    <row r="8443">
      <c r="A8443" s="11" t="s">
        <v>8474</v>
      </c>
    </row>
    <row r="8444">
      <c r="A8444" s="11" t="s">
        <v>8475</v>
      </c>
    </row>
    <row r="8445">
      <c r="A8445" s="11" t="s">
        <v>8476</v>
      </c>
    </row>
    <row r="8446">
      <c r="A8446" s="11" t="s">
        <v>8477</v>
      </c>
    </row>
    <row r="8447">
      <c r="A8447" s="11" t="s">
        <v>8478</v>
      </c>
    </row>
    <row r="8448">
      <c r="A8448" s="11" t="s">
        <v>8479</v>
      </c>
    </row>
    <row r="8449">
      <c r="A8449" s="11" t="s">
        <v>8480</v>
      </c>
    </row>
    <row r="8450">
      <c r="A8450" s="11" t="s">
        <v>8481</v>
      </c>
    </row>
    <row r="8451">
      <c r="A8451" s="11" t="s">
        <v>8482</v>
      </c>
    </row>
    <row r="8452">
      <c r="A8452" s="11" t="s">
        <v>8483</v>
      </c>
    </row>
    <row r="8453">
      <c r="A8453" s="11" t="s">
        <v>8484</v>
      </c>
    </row>
    <row r="8454">
      <c r="A8454" s="11" t="s">
        <v>8485</v>
      </c>
    </row>
    <row r="8455">
      <c r="A8455" s="11" t="s">
        <v>8486</v>
      </c>
    </row>
    <row r="8456">
      <c r="A8456" s="11" t="s">
        <v>8487</v>
      </c>
    </row>
    <row r="8457">
      <c r="A8457" s="11" t="s">
        <v>8488</v>
      </c>
    </row>
    <row r="8458">
      <c r="A8458" s="11" t="s">
        <v>8489</v>
      </c>
    </row>
    <row r="8459">
      <c r="A8459" s="11" t="s">
        <v>8490</v>
      </c>
    </row>
    <row r="8460">
      <c r="A8460" s="11" t="s">
        <v>8491</v>
      </c>
    </row>
    <row r="8461">
      <c r="A8461" s="11" t="s">
        <v>8492</v>
      </c>
    </row>
    <row r="8462">
      <c r="A8462" s="11" t="s">
        <v>8493</v>
      </c>
    </row>
    <row r="8463">
      <c r="A8463" s="11" t="s">
        <v>8494</v>
      </c>
    </row>
    <row r="8464">
      <c r="A8464" s="11" t="s">
        <v>8495</v>
      </c>
    </row>
    <row r="8465">
      <c r="A8465" s="11" t="s">
        <v>8496</v>
      </c>
    </row>
    <row r="8466">
      <c r="A8466" s="11" t="s">
        <v>8497</v>
      </c>
    </row>
    <row r="8467">
      <c r="A8467" s="11" t="s">
        <v>8498</v>
      </c>
    </row>
    <row r="8468">
      <c r="A8468" s="11" t="s">
        <v>8499</v>
      </c>
    </row>
    <row r="8469">
      <c r="A8469" s="11" t="s">
        <v>8500</v>
      </c>
    </row>
    <row r="8470">
      <c r="A8470" s="11" t="s">
        <v>8501</v>
      </c>
    </row>
    <row r="8471">
      <c r="A8471" s="11" t="s">
        <v>8502</v>
      </c>
    </row>
    <row r="8472">
      <c r="A8472" s="11" t="s">
        <v>8503</v>
      </c>
    </row>
    <row r="8473">
      <c r="A8473" s="11" t="s">
        <v>8504</v>
      </c>
    </row>
    <row r="8474">
      <c r="A8474" s="11" t="s">
        <v>8505</v>
      </c>
    </row>
    <row r="8475">
      <c r="A8475" s="11" t="s">
        <v>8506</v>
      </c>
    </row>
    <row r="8476">
      <c r="A8476" s="11" t="s">
        <v>8507</v>
      </c>
    </row>
    <row r="8477">
      <c r="A8477" s="11" t="s">
        <v>8508</v>
      </c>
    </row>
    <row r="8478">
      <c r="A8478" s="11" t="s">
        <v>8509</v>
      </c>
    </row>
    <row r="8479">
      <c r="A8479" s="11" t="s">
        <v>8510</v>
      </c>
    </row>
    <row r="8480">
      <c r="A8480" s="11" t="s">
        <v>8511</v>
      </c>
    </row>
    <row r="8481">
      <c r="A8481" s="11" t="s">
        <v>8512</v>
      </c>
    </row>
    <row r="8482">
      <c r="A8482" s="11" t="s">
        <v>8513</v>
      </c>
    </row>
    <row r="8483">
      <c r="A8483" s="11" t="s">
        <v>8514</v>
      </c>
    </row>
    <row r="8484">
      <c r="A8484" s="11" t="s">
        <v>8515</v>
      </c>
    </row>
    <row r="8485">
      <c r="A8485" s="11" t="s">
        <v>8516</v>
      </c>
    </row>
    <row r="8486">
      <c r="A8486" s="11" t="s">
        <v>8517</v>
      </c>
    </row>
    <row r="8487">
      <c r="A8487" s="11" t="s">
        <v>8518</v>
      </c>
    </row>
    <row r="8488">
      <c r="A8488" s="11" t="s">
        <v>8519</v>
      </c>
    </row>
    <row r="8489">
      <c r="A8489" s="11" t="s">
        <v>8520</v>
      </c>
    </row>
    <row r="8490">
      <c r="A8490" s="11" t="s">
        <v>8521</v>
      </c>
    </row>
    <row r="8491">
      <c r="A8491" s="11" t="s">
        <v>8522</v>
      </c>
    </row>
    <row r="8492">
      <c r="A8492" s="11" t="s">
        <v>8523</v>
      </c>
    </row>
    <row r="8493">
      <c r="A8493" s="11" t="s">
        <v>8524</v>
      </c>
    </row>
    <row r="8494">
      <c r="A8494" s="11" t="s">
        <v>8525</v>
      </c>
    </row>
    <row r="8495">
      <c r="A8495" s="11" t="s">
        <v>8526</v>
      </c>
    </row>
    <row r="8496">
      <c r="A8496" s="11" t="s">
        <v>8527</v>
      </c>
    </row>
    <row r="8497">
      <c r="A8497" s="11" t="s">
        <v>8528</v>
      </c>
    </row>
    <row r="8498">
      <c r="A8498" s="11" t="s">
        <v>8529</v>
      </c>
    </row>
    <row r="8499">
      <c r="A8499" s="11" t="s">
        <v>8530</v>
      </c>
    </row>
    <row r="8500">
      <c r="A8500" s="11" t="s">
        <v>8531</v>
      </c>
    </row>
    <row r="8501">
      <c r="A8501" s="11" t="s">
        <v>8532</v>
      </c>
    </row>
    <row r="8502">
      <c r="A8502" s="11" t="s">
        <v>8533</v>
      </c>
    </row>
    <row r="8503">
      <c r="A8503" s="11" t="s">
        <v>8534</v>
      </c>
    </row>
    <row r="8504">
      <c r="A8504" s="11" t="s">
        <v>8535</v>
      </c>
    </row>
    <row r="8505">
      <c r="A8505" s="11" t="s">
        <v>8536</v>
      </c>
    </row>
    <row r="8506">
      <c r="A8506" s="11" t="s">
        <v>8537</v>
      </c>
    </row>
    <row r="8507">
      <c r="A8507" s="11" t="s">
        <v>8538</v>
      </c>
    </row>
    <row r="8508">
      <c r="A8508" s="11" t="s">
        <v>8539</v>
      </c>
    </row>
    <row r="8509">
      <c r="A8509" s="11" t="s">
        <v>8540</v>
      </c>
    </row>
    <row r="8510">
      <c r="A8510" s="11" t="s">
        <v>8541</v>
      </c>
    </row>
    <row r="8511">
      <c r="A8511" s="11" t="s">
        <v>8542</v>
      </c>
    </row>
    <row r="8512">
      <c r="A8512" s="11" t="s">
        <v>8543</v>
      </c>
    </row>
    <row r="8513">
      <c r="A8513" s="11" t="s">
        <v>8544</v>
      </c>
    </row>
    <row r="8514">
      <c r="A8514" s="11" t="s">
        <v>8545</v>
      </c>
    </row>
    <row r="8515">
      <c r="A8515" s="11" t="s">
        <v>8546</v>
      </c>
    </row>
    <row r="8516">
      <c r="A8516" s="11" t="s">
        <v>8547</v>
      </c>
    </row>
    <row r="8517">
      <c r="A8517" s="11" t="s">
        <v>8548</v>
      </c>
    </row>
    <row r="8518">
      <c r="A8518" s="11" t="s">
        <v>8549</v>
      </c>
    </row>
    <row r="8519">
      <c r="A8519" s="11" t="s">
        <v>8550</v>
      </c>
    </row>
    <row r="8520">
      <c r="A8520" s="11" t="s">
        <v>8551</v>
      </c>
    </row>
    <row r="8521">
      <c r="A8521" s="11" t="s">
        <v>8552</v>
      </c>
    </row>
    <row r="8522">
      <c r="A8522" s="11" t="s">
        <v>8553</v>
      </c>
    </row>
    <row r="8523">
      <c r="A8523" s="11" t="s">
        <v>8554</v>
      </c>
    </row>
    <row r="8524">
      <c r="A8524" s="11" t="s">
        <v>8555</v>
      </c>
    </row>
    <row r="8525">
      <c r="A8525" s="11" t="s">
        <v>8556</v>
      </c>
    </row>
    <row r="8526">
      <c r="A8526" s="11" t="s">
        <v>8557</v>
      </c>
    </row>
    <row r="8527">
      <c r="A8527" s="11" t="s">
        <v>8558</v>
      </c>
    </row>
    <row r="8528">
      <c r="A8528" s="11" t="s">
        <v>8559</v>
      </c>
    </row>
    <row r="8529">
      <c r="A8529" s="11" t="s">
        <v>8560</v>
      </c>
    </row>
    <row r="8530">
      <c r="A8530" s="11" t="s">
        <v>8561</v>
      </c>
    </row>
    <row r="8531">
      <c r="A8531" s="11" t="s">
        <v>8562</v>
      </c>
    </row>
    <row r="8532">
      <c r="A8532" s="11" t="s">
        <v>8563</v>
      </c>
    </row>
    <row r="8533">
      <c r="A8533" s="11" t="s">
        <v>8564</v>
      </c>
    </row>
    <row r="8534">
      <c r="A8534" s="11" t="s">
        <v>8565</v>
      </c>
    </row>
    <row r="8535">
      <c r="A8535" s="11" t="s">
        <v>8566</v>
      </c>
    </row>
    <row r="8536">
      <c r="A8536" s="11" t="s">
        <v>8567</v>
      </c>
    </row>
    <row r="8537">
      <c r="A8537" s="11" t="s">
        <v>8568</v>
      </c>
    </row>
    <row r="8538">
      <c r="A8538" s="11" t="s">
        <v>8569</v>
      </c>
    </row>
    <row r="8539">
      <c r="A8539" s="11" t="s">
        <v>8570</v>
      </c>
    </row>
    <row r="8540">
      <c r="A8540" s="11" t="s">
        <v>8571</v>
      </c>
    </row>
    <row r="8541">
      <c r="A8541" s="11" t="s">
        <v>8572</v>
      </c>
    </row>
    <row r="8542">
      <c r="A8542" s="11" t="s">
        <v>8573</v>
      </c>
    </row>
    <row r="8543">
      <c r="A8543" s="11" t="s">
        <v>8574</v>
      </c>
    </row>
    <row r="8544">
      <c r="A8544" s="11" t="s">
        <v>8575</v>
      </c>
    </row>
    <row r="8545">
      <c r="A8545" s="11" t="s">
        <v>8576</v>
      </c>
    </row>
    <row r="8546">
      <c r="A8546" s="11" t="s">
        <v>8577</v>
      </c>
    </row>
    <row r="8547">
      <c r="A8547" s="11" t="s">
        <v>8578</v>
      </c>
    </row>
    <row r="8548">
      <c r="A8548" s="11" t="s">
        <v>8579</v>
      </c>
    </row>
    <row r="8549">
      <c r="A8549" s="11" t="s">
        <v>8580</v>
      </c>
    </row>
    <row r="8550">
      <c r="A8550" s="11" t="s">
        <v>8581</v>
      </c>
    </row>
    <row r="8551">
      <c r="A8551" s="11" t="s">
        <v>8582</v>
      </c>
    </row>
    <row r="8552">
      <c r="A8552" s="11" t="s">
        <v>8583</v>
      </c>
    </row>
    <row r="8553">
      <c r="A8553" s="11" t="s">
        <v>8584</v>
      </c>
    </row>
    <row r="8554">
      <c r="A8554" s="11" t="s">
        <v>8585</v>
      </c>
    </row>
    <row r="8555">
      <c r="A8555" s="11" t="s">
        <v>8586</v>
      </c>
    </row>
    <row r="8556">
      <c r="A8556" s="11" t="s">
        <v>8587</v>
      </c>
    </row>
    <row r="8557">
      <c r="A8557" s="11" t="s">
        <v>8588</v>
      </c>
    </row>
    <row r="8558">
      <c r="A8558" s="11" t="s">
        <v>8589</v>
      </c>
    </row>
    <row r="8559">
      <c r="A8559" s="11" t="s">
        <v>8590</v>
      </c>
    </row>
    <row r="8560">
      <c r="A8560" s="11" t="s">
        <v>8591</v>
      </c>
    </row>
    <row r="8561">
      <c r="A8561" s="11" t="s">
        <v>8592</v>
      </c>
    </row>
    <row r="8562">
      <c r="A8562" s="11" t="s">
        <v>8593</v>
      </c>
    </row>
    <row r="8563">
      <c r="A8563" s="11" t="s">
        <v>8594</v>
      </c>
    </row>
    <row r="8564">
      <c r="A8564" s="11" t="s">
        <v>8595</v>
      </c>
    </row>
    <row r="8565">
      <c r="A8565" s="11" t="s">
        <v>8596</v>
      </c>
    </row>
    <row r="8566">
      <c r="A8566" s="11" t="s">
        <v>8597</v>
      </c>
    </row>
    <row r="8567">
      <c r="A8567" s="11" t="s">
        <v>8598</v>
      </c>
    </row>
    <row r="8568">
      <c r="A8568" s="11" t="s">
        <v>8599</v>
      </c>
    </row>
    <row r="8569">
      <c r="A8569" s="11" t="s">
        <v>8600</v>
      </c>
    </row>
    <row r="8570">
      <c r="A8570" s="11" t="s">
        <v>8601</v>
      </c>
    </row>
    <row r="8571">
      <c r="A8571" s="11" t="s">
        <v>8602</v>
      </c>
    </row>
    <row r="8572">
      <c r="A8572" s="11" t="s">
        <v>8603</v>
      </c>
    </row>
    <row r="8573">
      <c r="A8573" s="11" t="s">
        <v>8604</v>
      </c>
    </row>
    <row r="8574">
      <c r="A8574" s="11" t="s">
        <v>8605</v>
      </c>
    </row>
    <row r="8575">
      <c r="A8575" s="11" t="s">
        <v>8606</v>
      </c>
    </row>
    <row r="8576">
      <c r="A8576" s="11" t="s">
        <v>8607</v>
      </c>
    </row>
    <row r="8577">
      <c r="A8577" s="11" t="s">
        <v>8608</v>
      </c>
    </row>
    <row r="8578">
      <c r="A8578" s="11" t="s">
        <v>8609</v>
      </c>
    </row>
    <row r="8579">
      <c r="A8579" s="11" t="s">
        <v>8610</v>
      </c>
    </row>
    <row r="8580">
      <c r="A8580" s="11" t="s">
        <v>8611</v>
      </c>
    </row>
    <row r="8581">
      <c r="A8581" s="11" t="s">
        <v>8612</v>
      </c>
    </row>
    <row r="8582">
      <c r="A8582" s="11" t="s">
        <v>8613</v>
      </c>
    </row>
    <row r="8583">
      <c r="A8583" s="11" t="s">
        <v>8614</v>
      </c>
    </row>
    <row r="8584">
      <c r="A8584" s="11" t="s">
        <v>8615</v>
      </c>
    </row>
    <row r="8585">
      <c r="A8585" s="11" t="s">
        <v>8616</v>
      </c>
    </row>
    <row r="8586">
      <c r="A8586" s="11" t="s">
        <v>8617</v>
      </c>
    </row>
    <row r="8587">
      <c r="A8587" s="11" t="s">
        <v>8618</v>
      </c>
    </row>
    <row r="8588">
      <c r="A8588" s="11" t="s">
        <v>8619</v>
      </c>
    </row>
    <row r="8589">
      <c r="A8589" s="11" t="s">
        <v>8620</v>
      </c>
    </row>
    <row r="8590">
      <c r="A8590" s="11" t="s">
        <v>8621</v>
      </c>
    </row>
    <row r="8591">
      <c r="A8591" s="11" t="s">
        <v>8622</v>
      </c>
    </row>
    <row r="8592">
      <c r="A8592" s="11" t="s">
        <v>8623</v>
      </c>
    </row>
    <row r="8593">
      <c r="A8593" s="11" t="s">
        <v>8624</v>
      </c>
    </row>
    <row r="8594">
      <c r="A8594" s="11" t="s">
        <v>8625</v>
      </c>
    </row>
    <row r="8595">
      <c r="A8595" s="11" t="s">
        <v>8626</v>
      </c>
    </row>
    <row r="8596">
      <c r="A8596" s="11" t="s">
        <v>8627</v>
      </c>
    </row>
    <row r="8597">
      <c r="A8597" s="11" t="s">
        <v>8628</v>
      </c>
    </row>
    <row r="8598">
      <c r="A8598" s="11" t="s">
        <v>8629</v>
      </c>
    </row>
    <row r="8599">
      <c r="A8599" s="11" t="s">
        <v>8630</v>
      </c>
    </row>
    <row r="8600">
      <c r="A8600" s="11" t="s">
        <v>8631</v>
      </c>
    </row>
    <row r="8601">
      <c r="A8601" s="11" t="s">
        <v>8632</v>
      </c>
    </row>
    <row r="8602">
      <c r="A8602" s="11" t="s">
        <v>8633</v>
      </c>
    </row>
    <row r="8603">
      <c r="A8603" s="11" t="s">
        <v>8634</v>
      </c>
    </row>
    <row r="8604">
      <c r="A8604" s="11" t="s">
        <v>8635</v>
      </c>
    </row>
    <row r="8605">
      <c r="A8605" s="11" t="s">
        <v>8636</v>
      </c>
    </row>
    <row r="8606">
      <c r="A8606" s="11" t="s">
        <v>8637</v>
      </c>
    </row>
    <row r="8607">
      <c r="A8607" s="11" t="s">
        <v>8638</v>
      </c>
    </row>
    <row r="8608">
      <c r="A8608" s="11" t="s">
        <v>8639</v>
      </c>
    </row>
    <row r="8609">
      <c r="A8609" s="11" t="s">
        <v>8640</v>
      </c>
    </row>
    <row r="8610">
      <c r="A8610" s="11" t="s">
        <v>8641</v>
      </c>
    </row>
    <row r="8611">
      <c r="A8611" s="11" t="s">
        <v>8642</v>
      </c>
    </row>
    <row r="8612">
      <c r="A8612" s="11" t="s">
        <v>8643</v>
      </c>
    </row>
    <row r="8613">
      <c r="A8613" s="11" t="s">
        <v>8644</v>
      </c>
    </row>
    <row r="8614">
      <c r="A8614" s="11" t="s">
        <v>8645</v>
      </c>
    </row>
    <row r="8615">
      <c r="A8615" s="11" t="s">
        <v>8646</v>
      </c>
    </row>
    <row r="8616">
      <c r="A8616" s="11" t="s">
        <v>8647</v>
      </c>
    </row>
    <row r="8617">
      <c r="A8617" s="11" t="s">
        <v>8648</v>
      </c>
    </row>
    <row r="8618">
      <c r="A8618" s="11" t="s">
        <v>8649</v>
      </c>
    </row>
    <row r="8619">
      <c r="A8619" s="11" t="s">
        <v>8650</v>
      </c>
    </row>
    <row r="8620">
      <c r="A8620" s="11" t="s">
        <v>8651</v>
      </c>
    </row>
    <row r="8621">
      <c r="A8621" s="11" t="s">
        <v>8652</v>
      </c>
    </row>
    <row r="8622">
      <c r="A8622" s="11" t="s">
        <v>8653</v>
      </c>
    </row>
    <row r="8623">
      <c r="A8623" s="11" t="s">
        <v>8654</v>
      </c>
    </row>
    <row r="8624">
      <c r="A8624" s="11" t="s">
        <v>8655</v>
      </c>
    </row>
    <row r="8625">
      <c r="A8625" s="11" t="s">
        <v>8656</v>
      </c>
    </row>
    <row r="8626">
      <c r="A8626" s="11" t="s">
        <v>8657</v>
      </c>
    </row>
    <row r="8627">
      <c r="A8627" s="11" t="s">
        <v>8658</v>
      </c>
    </row>
    <row r="8628">
      <c r="A8628" s="11" t="s">
        <v>8659</v>
      </c>
    </row>
    <row r="8629">
      <c r="A8629" s="11" t="s">
        <v>8660</v>
      </c>
    </row>
    <row r="8630">
      <c r="A8630" s="11" t="s">
        <v>8661</v>
      </c>
    </row>
    <row r="8631">
      <c r="A8631" s="11" t="s">
        <v>8662</v>
      </c>
    </row>
    <row r="8632">
      <c r="A8632" s="11" t="s">
        <v>8663</v>
      </c>
    </row>
    <row r="8633">
      <c r="A8633" s="11" t="s">
        <v>8664</v>
      </c>
    </row>
    <row r="8634">
      <c r="A8634" s="11" t="s">
        <v>8665</v>
      </c>
    </row>
    <row r="8635">
      <c r="A8635" s="11" t="s">
        <v>8666</v>
      </c>
    </row>
    <row r="8636">
      <c r="A8636" s="11" t="s">
        <v>8667</v>
      </c>
    </row>
    <row r="8637">
      <c r="A8637" s="11" t="s">
        <v>8668</v>
      </c>
    </row>
    <row r="8638">
      <c r="A8638" s="11" t="s">
        <v>8669</v>
      </c>
    </row>
    <row r="8639">
      <c r="A8639" s="11" t="s">
        <v>8670</v>
      </c>
    </row>
    <row r="8640">
      <c r="A8640" s="11" t="s">
        <v>8671</v>
      </c>
    </row>
    <row r="8641">
      <c r="A8641" s="11" t="s">
        <v>8672</v>
      </c>
    </row>
    <row r="8642">
      <c r="A8642" s="11" t="s">
        <v>8673</v>
      </c>
    </row>
    <row r="8643">
      <c r="A8643" s="11" t="s">
        <v>8674</v>
      </c>
    </row>
    <row r="8644">
      <c r="A8644" s="11" t="s">
        <v>8675</v>
      </c>
    </row>
    <row r="8645">
      <c r="A8645" s="11" t="s">
        <v>8676</v>
      </c>
    </row>
    <row r="8646">
      <c r="A8646" s="11" t="s">
        <v>8677</v>
      </c>
    </row>
    <row r="8647">
      <c r="A8647" s="11" t="s">
        <v>8678</v>
      </c>
    </row>
    <row r="8648">
      <c r="A8648" s="11" t="s">
        <v>8679</v>
      </c>
    </row>
    <row r="8649">
      <c r="A8649" s="11" t="s">
        <v>8680</v>
      </c>
    </row>
    <row r="8650">
      <c r="A8650" s="11" t="s">
        <v>8681</v>
      </c>
    </row>
    <row r="8651">
      <c r="A8651" s="11" t="s">
        <v>8682</v>
      </c>
    </row>
    <row r="8652">
      <c r="A8652" s="11" t="s">
        <v>8683</v>
      </c>
    </row>
    <row r="8653">
      <c r="A8653" s="11" t="s">
        <v>8684</v>
      </c>
    </row>
    <row r="8654">
      <c r="A8654" s="11" t="s">
        <v>8685</v>
      </c>
    </row>
    <row r="8655">
      <c r="A8655" s="11" t="s">
        <v>8686</v>
      </c>
    </row>
    <row r="8656">
      <c r="A8656" s="11" t="s">
        <v>8687</v>
      </c>
    </row>
    <row r="8657">
      <c r="A8657" s="11" t="s">
        <v>8688</v>
      </c>
    </row>
    <row r="8658">
      <c r="A8658" s="11" t="s">
        <v>8689</v>
      </c>
    </row>
    <row r="8659">
      <c r="A8659" s="11" t="s">
        <v>8690</v>
      </c>
    </row>
    <row r="8660">
      <c r="A8660" s="11" t="s">
        <v>8691</v>
      </c>
    </row>
    <row r="8661">
      <c r="A8661" s="11" t="s">
        <v>8692</v>
      </c>
    </row>
    <row r="8662">
      <c r="A8662" s="11" t="s">
        <v>8693</v>
      </c>
    </row>
    <row r="8663">
      <c r="A8663" s="11" t="s">
        <v>8694</v>
      </c>
    </row>
    <row r="8664">
      <c r="A8664" s="11" t="s">
        <v>8695</v>
      </c>
    </row>
    <row r="8665">
      <c r="A8665" s="11" t="s">
        <v>8696</v>
      </c>
    </row>
    <row r="8666">
      <c r="A8666" s="11" t="s">
        <v>8697</v>
      </c>
    </row>
    <row r="8667">
      <c r="A8667" s="11" t="s">
        <v>8698</v>
      </c>
    </row>
    <row r="8668">
      <c r="A8668" s="11" t="s">
        <v>8699</v>
      </c>
    </row>
    <row r="8669">
      <c r="A8669" s="11" t="s">
        <v>8700</v>
      </c>
    </row>
    <row r="8670">
      <c r="A8670" s="11" t="s">
        <v>8701</v>
      </c>
    </row>
    <row r="8671">
      <c r="A8671" s="11" t="s">
        <v>8702</v>
      </c>
    </row>
    <row r="8672">
      <c r="A8672" s="11" t="s">
        <v>8703</v>
      </c>
    </row>
    <row r="8673">
      <c r="A8673" s="11" t="s">
        <v>8704</v>
      </c>
    </row>
    <row r="8674">
      <c r="A8674" s="11" t="s">
        <v>8705</v>
      </c>
    </row>
    <row r="8675">
      <c r="A8675" s="11" t="s">
        <v>8706</v>
      </c>
    </row>
    <row r="8676">
      <c r="A8676" s="11" t="s">
        <v>8707</v>
      </c>
    </row>
    <row r="8677">
      <c r="A8677" s="11" t="s">
        <v>8708</v>
      </c>
    </row>
    <row r="8678">
      <c r="A8678" s="11" t="s">
        <v>8709</v>
      </c>
    </row>
    <row r="8679">
      <c r="A8679" s="11" t="s">
        <v>8710</v>
      </c>
    </row>
    <row r="8680">
      <c r="A8680" s="11" t="s">
        <v>8711</v>
      </c>
    </row>
    <row r="8681">
      <c r="A8681" s="11" t="s">
        <v>8712</v>
      </c>
    </row>
    <row r="8682">
      <c r="A8682" s="11" t="s">
        <v>8713</v>
      </c>
    </row>
    <row r="8683">
      <c r="A8683" s="11" t="s">
        <v>8714</v>
      </c>
    </row>
    <row r="8684">
      <c r="A8684" s="11" t="s">
        <v>8715</v>
      </c>
    </row>
    <row r="8685">
      <c r="A8685" s="11" t="s">
        <v>8716</v>
      </c>
    </row>
    <row r="8686">
      <c r="A8686" s="11" t="s">
        <v>8717</v>
      </c>
    </row>
    <row r="8687">
      <c r="A8687" s="11" t="s">
        <v>8718</v>
      </c>
    </row>
    <row r="8688">
      <c r="A8688" s="11" t="s">
        <v>8719</v>
      </c>
    </row>
    <row r="8689">
      <c r="A8689" s="11" t="s">
        <v>8720</v>
      </c>
    </row>
    <row r="8690">
      <c r="A8690" s="11" t="s">
        <v>8721</v>
      </c>
    </row>
    <row r="8691">
      <c r="A8691" s="11" t="s">
        <v>8722</v>
      </c>
    </row>
    <row r="8692">
      <c r="A8692" s="11" t="s">
        <v>8723</v>
      </c>
    </row>
    <row r="8693">
      <c r="A8693" s="11" t="s">
        <v>8724</v>
      </c>
    </row>
    <row r="8694">
      <c r="A8694" s="11" t="s">
        <v>8725</v>
      </c>
    </row>
    <row r="8695">
      <c r="A8695" s="11" t="s">
        <v>8726</v>
      </c>
    </row>
    <row r="8696">
      <c r="A8696" s="11" t="s">
        <v>8727</v>
      </c>
    </row>
    <row r="8697">
      <c r="A8697" s="11" t="s">
        <v>8728</v>
      </c>
    </row>
    <row r="8698">
      <c r="A8698" s="11" t="s">
        <v>8729</v>
      </c>
    </row>
    <row r="8699">
      <c r="A8699" s="11" t="s">
        <v>8730</v>
      </c>
    </row>
    <row r="8700">
      <c r="A8700" s="11" t="s">
        <v>8731</v>
      </c>
    </row>
    <row r="8701">
      <c r="A8701" s="11" t="s">
        <v>8732</v>
      </c>
    </row>
    <row r="8702">
      <c r="A8702" s="11" t="s">
        <v>8733</v>
      </c>
    </row>
    <row r="8703">
      <c r="A8703" s="11" t="s">
        <v>8734</v>
      </c>
    </row>
    <row r="8704">
      <c r="A8704" s="11" t="s">
        <v>8735</v>
      </c>
    </row>
    <row r="8705">
      <c r="A8705" s="11" t="s">
        <v>8736</v>
      </c>
    </row>
    <row r="8706">
      <c r="A8706" s="11" t="s">
        <v>8737</v>
      </c>
    </row>
    <row r="8707">
      <c r="A8707" s="11" t="s">
        <v>8738</v>
      </c>
    </row>
    <row r="8708">
      <c r="A8708" s="11" t="s">
        <v>8739</v>
      </c>
    </row>
    <row r="8709">
      <c r="A8709" s="11" t="s">
        <v>8740</v>
      </c>
    </row>
    <row r="8710">
      <c r="A8710" s="11" t="s">
        <v>8741</v>
      </c>
    </row>
    <row r="8711">
      <c r="A8711" s="11" t="s">
        <v>8742</v>
      </c>
    </row>
    <row r="8712">
      <c r="A8712" s="11" t="s">
        <v>8743</v>
      </c>
    </row>
    <row r="8713">
      <c r="A8713" s="11" t="s">
        <v>8744</v>
      </c>
    </row>
    <row r="8714">
      <c r="A8714" s="11" t="s">
        <v>8745</v>
      </c>
    </row>
    <row r="8715">
      <c r="A8715" s="11" t="s">
        <v>8746</v>
      </c>
    </row>
    <row r="8716">
      <c r="A8716" s="11" t="s">
        <v>8747</v>
      </c>
    </row>
    <row r="8717">
      <c r="A8717" s="11" t="s">
        <v>8748</v>
      </c>
    </row>
    <row r="8718">
      <c r="A8718" s="11" t="s">
        <v>8749</v>
      </c>
    </row>
    <row r="8719">
      <c r="A8719" s="11" t="s">
        <v>8750</v>
      </c>
    </row>
    <row r="8720">
      <c r="A8720" s="11" t="s">
        <v>8751</v>
      </c>
    </row>
    <row r="8721">
      <c r="A8721" s="11" t="s">
        <v>8752</v>
      </c>
    </row>
    <row r="8722">
      <c r="A8722" s="11" t="s">
        <v>8753</v>
      </c>
    </row>
    <row r="8723">
      <c r="A8723" s="11" t="s">
        <v>8754</v>
      </c>
    </row>
    <row r="8724">
      <c r="A8724" s="11" t="s">
        <v>8755</v>
      </c>
    </row>
    <row r="8725">
      <c r="A8725" s="11" t="s">
        <v>8756</v>
      </c>
    </row>
    <row r="8726">
      <c r="A8726" s="11" t="s">
        <v>8757</v>
      </c>
    </row>
    <row r="8727">
      <c r="A8727" s="11" t="s">
        <v>8758</v>
      </c>
    </row>
    <row r="8728">
      <c r="A8728" s="11" t="s">
        <v>8759</v>
      </c>
    </row>
    <row r="8729">
      <c r="A8729" s="11" t="s">
        <v>8760</v>
      </c>
    </row>
    <row r="8730">
      <c r="A8730" s="11" t="s">
        <v>8761</v>
      </c>
    </row>
    <row r="8731">
      <c r="A8731" s="11" t="s">
        <v>8762</v>
      </c>
    </row>
    <row r="8732">
      <c r="A8732" s="11" t="s">
        <v>8763</v>
      </c>
    </row>
    <row r="8733">
      <c r="A8733" s="11" t="s">
        <v>8764</v>
      </c>
    </row>
    <row r="8734">
      <c r="A8734" s="11" t="s">
        <v>8765</v>
      </c>
    </row>
    <row r="8735">
      <c r="A8735" s="11" t="s">
        <v>8766</v>
      </c>
    </row>
    <row r="8736">
      <c r="A8736" s="11" t="s">
        <v>8767</v>
      </c>
    </row>
    <row r="8737">
      <c r="A8737" s="11" t="s">
        <v>8768</v>
      </c>
    </row>
    <row r="8738">
      <c r="A8738" s="11" t="s">
        <v>8769</v>
      </c>
    </row>
    <row r="8739">
      <c r="A8739" s="11" t="s">
        <v>8770</v>
      </c>
    </row>
    <row r="8740">
      <c r="A8740" s="11" t="s">
        <v>8771</v>
      </c>
    </row>
    <row r="8741">
      <c r="A8741" s="11" t="s">
        <v>8772</v>
      </c>
    </row>
    <row r="8742">
      <c r="A8742" s="11" t="s">
        <v>8773</v>
      </c>
    </row>
    <row r="8743">
      <c r="A8743" s="11" t="s">
        <v>8774</v>
      </c>
    </row>
    <row r="8744">
      <c r="A8744" s="11" t="s">
        <v>8775</v>
      </c>
    </row>
    <row r="8745">
      <c r="A8745" s="11" t="s">
        <v>8776</v>
      </c>
    </row>
    <row r="8746">
      <c r="A8746" s="11" t="s">
        <v>8777</v>
      </c>
    </row>
    <row r="8747">
      <c r="A8747" s="11" t="s">
        <v>8778</v>
      </c>
    </row>
    <row r="8748">
      <c r="A8748" s="11" t="s">
        <v>8779</v>
      </c>
    </row>
    <row r="8749">
      <c r="A8749" s="11" t="s">
        <v>8780</v>
      </c>
    </row>
    <row r="8750">
      <c r="A8750" s="11" t="s">
        <v>8781</v>
      </c>
    </row>
    <row r="8751">
      <c r="A8751" s="11" t="s">
        <v>8782</v>
      </c>
    </row>
    <row r="8752">
      <c r="A8752" s="11" t="s">
        <v>8783</v>
      </c>
    </row>
    <row r="8753">
      <c r="A8753" s="11" t="s">
        <v>8784</v>
      </c>
    </row>
    <row r="8754">
      <c r="A8754" s="11" t="s">
        <v>8785</v>
      </c>
    </row>
    <row r="8755">
      <c r="A8755" s="11" t="s">
        <v>8786</v>
      </c>
    </row>
    <row r="8756">
      <c r="A8756" s="11" t="s">
        <v>8787</v>
      </c>
    </row>
    <row r="8757">
      <c r="A8757" s="11" t="s">
        <v>8788</v>
      </c>
    </row>
    <row r="8758">
      <c r="A8758" s="11" t="s">
        <v>8789</v>
      </c>
    </row>
    <row r="8759">
      <c r="A8759" s="11" t="s">
        <v>8790</v>
      </c>
    </row>
    <row r="8760">
      <c r="A8760" s="11" t="s">
        <v>8791</v>
      </c>
    </row>
    <row r="8761">
      <c r="A8761" s="11" t="s">
        <v>8792</v>
      </c>
    </row>
    <row r="8762">
      <c r="A8762" s="11" t="s">
        <v>8793</v>
      </c>
    </row>
    <row r="8763">
      <c r="A8763" s="11" t="s">
        <v>8794</v>
      </c>
    </row>
    <row r="8764">
      <c r="A8764" s="11" t="s">
        <v>8795</v>
      </c>
    </row>
    <row r="8765">
      <c r="A8765" s="11" t="s">
        <v>8796</v>
      </c>
    </row>
    <row r="8766">
      <c r="A8766" s="11" t="s">
        <v>8797</v>
      </c>
    </row>
    <row r="8767">
      <c r="A8767" s="11" t="s">
        <v>8798</v>
      </c>
    </row>
    <row r="8768">
      <c r="A8768" s="11" t="s">
        <v>8799</v>
      </c>
    </row>
    <row r="8769">
      <c r="A8769" s="11" t="s">
        <v>8800</v>
      </c>
    </row>
    <row r="8770">
      <c r="A8770" s="11" t="s">
        <v>8801</v>
      </c>
    </row>
    <row r="8771">
      <c r="A8771" s="11" t="s">
        <v>8802</v>
      </c>
    </row>
    <row r="8772">
      <c r="A8772" s="11" t="s">
        <v>8803</v>
      </c>
    </row>
    <row r="8773">
      <c r="A8773" s="11" t="s">
        <v>8804</v>
      </c>
    </row>
    <row r="8774">
      <c r="A8774" s="11" t="s">
        <v>8805</v>
      </c>
    </row>
    <row r="8775">
      <c r="A8775" s="11" t="s">
        <v>8806</v>
      </c>
    </row>
    <row r="8776">
      <c r="A8776" s="11" t="s">
        <v>8807</v>
      </c>
    </row>
    <row r="8777">
      <c r="A8777" s="11" t="s">
        <v>8808</v>
      </c>
    </row>
    <row r="8778">
      <c r="A8778" s="11" t="s">
        <v>8809</v>
      </c>
    </row>
    <row r="8779">
      <c r="A8779" s="11" t="s">
        <v>8810</v>
      </c>
    </row>
    <row r="8780">
      <c r="A8780" s="11" t="s">
        <v>8811</v>
      </c>
    </row>
    <row r="8781">
      <c r="A8781" s="11" t="s">
        <v>8812</v>
      </c>
    </row>
    <row r="8782">
      <c r="A8782" s="11" t="s">
        <v>8813</v>
      </c>
    </row>
    <row r="8783">
      <c r="A8783" s="11" t="s">
        <v>8814</v>
      </c>
    </row>
    <row r="8784">
      <c r="A8784" s="11" t="s">
        <v>8815</v>
      </c>
    </row>
    <row r="8785">
      <c r="A8785" s="11" t="s">
        <v>8816</v>
      </c>
    </row>
    <row r="8786">
      <c r="A8786" s="11" t="s">
        <v>8817</v>
      </c>
    </row>
    <row r="8787">
      <c r="A8787" s="11" t="s">
        <v>8818</v>
      </c>
    </row>
    <row r="8788">
      <c r="A8788" s="11" t="s">
        <v>8819</v>
      </c>
    </row>
    <row r="8789">
      <c r="A8789" s="11" t="s">
        <v>8820</v>
      </c>
    </row>
    <row r="8790">
      <c r="A8790" s="11" t="s">
        <v>8821</v>
      </c>
    </row>
    <row r="8791">
      <c r="A8791" s="11" t="s">
        <v>8822</v>
      </c>
    </row>
    <row r="8792">
      <c r="A8792" s="11" t="s">
        <v>8823</v>
      </c>
    </row>
    <row r="8793">
      <c r="A8793" s="11" t="s">
        <v>8824</v>
      </c>
    </row>
    <row r="8794">
      <c r="A8794" s="11" t="s">
        <v>8825</v>
      </c>
    </row>
    <row r="8795">
      <c r="A8795" s="11" t="s">
        <v>8826</v>
      </c>
    </row>
    <row r="8796">
      <c r="A8796" s="11" t="s">
        <v>8827</v>
      </c>
    </row>
    <row r="8797">
      <c r="A8797" s="11" t="s">
        <v>8828</v>
      </c>
    </row>
    <row r="8798">
      <c r="A8798" s="11" t="s">
        <v>8829</v>
      </c>
    </row>
    <row r="8799">
      <c r="A8799" s="11" t="s">
        <v>8830</v>
      </c>
    </row>
    <row r="8800">
      <c r="A8800" s="11" t="s">
        <v>8831</v>
      </c>
    </row>
    <row r="8801">
      <c r="A8801" s="11" t="s">
        <v>8832</v>
      </c>
    </row>
    <row r="8802">
      <c r="A8802" s="11" t="s">
        <v>8833</v>
      </c>
    </row>
    <row r="8803">
      <c r="A8803" s="11" t="s">
        <v>8834</v>
      </c>
    </row>
    <row r="8804">
      <c r="A8804" s="11" t="s">
        <v>8835</v>
      </c>
    </row>
    <row r="8805">
      <c r="A8805" s="11" t="s">
        <v>8836</v>
      </c>
    </row>
    <row r="8806">
      <c r="A8806" s="11" t="s">
        <v>8837</v>
      </c>
    </row>
    <row r="8807">
      <c r="A8807" s="11" t="s">
        <v>8838</v>
      </c>
    </row>
    <row r="8808">
      <c r="A8808" s="11" t="s">
        <v>8839</v>
      </c>
    </row>
    <row r="8809">
      <c r="A8809" s="11" t="s">
        <v>8840</v>
      </c>
    </row>
    <row r="8810">
      <c r="A8810" s="11" t="s">
        <v>8841</v>
      </c>
    </row>
    <row r="8811">
      <c r="A8811" s="11" t="s">
        <v>8842</v>
      </c>
    </row>
    <row r="8812">
      <c r="A8812" s="11" t="s">
        <v>8843</v>
      </c>
    </row>
    <row r="8813">
      <c r="A8813" s="11" t="s">
        <v>8844</v>
      </c>
    </row>
    <row r="8814">
      <c r="A8814" s="11" t="s">
        <v>8845</v>
      </c>
    </row>
    <row r="8815">
      <c r="A8815" s="11" t="s">
        <v>8846</v>
      </c>
    </row>
    <row r="8816">
      <c r="A8816" s="11" t="s">
        <v>8847</v>
      </c>
    </row>
    <row r="8817">
      <c r="A8817" s="11" t="s">
        <v>8848</v>
      </c>
    </row>
    <row r="8818">
      <c r="A8818" s="11" t="s">
        <v>8849</v>
      </c>
    </row>
    <row r="8819">
      <c r="A8819" s="11" t="s">
        <v>8850</v>
      </c>
    </row>
    <row r="8820">
      <c r="A8820" s="11" t="s">
        <v>8851</v>
      </c>
    </row>
    <row r="8821">
      <c r="A8821" s="11" t="s">
        <v>8852</v>
      </c>
    </row>
    <row r="8822">
      <c r="A8822" s="11" t="s">
        <v>8853</v>
      </c>
    </row>
    <row r="8823">
      <c r="A8823" s="11" t="s">
        <v>8854</v>
      </c>
    </row>
    <row r="8824">
      <c r="A8824" s="11" t="s">
        <v>8855</v>
      </c>
    </row>
    <row r="8825">
      <c r="A8825" s="11" t="s">
        <v>8856</v>
      </c>
    </row>
    <row r="8826">
      <c r="A8826" s="11" t="s">
        <v>8857</v>
      </c>
    </row>
    <row r="8827">
      <c r="A8827" s="11" t="s">
        <v>8858</v>
      </c>
    </row>
    <row r="8828">
      <c r="A8828" s="11" t="s">
        <v>8859</v>
      </c>
    </row>
    <row r="8829">
      <c r="A8829" s="11" t="s">
        <v>8860</v>
      </c>
    </row>
    <row r="8830">
      <c r="A8830" s="11" t="s">
        <v>8861</v>
      </c>
    </row>
    <row r="8831">
      <c r="A8831" s="11" t="s">
        <v>8862</v>
      </c>
    </row>
    <row r="8832">
      <c r="A8832" s="11" t="s">
        <v>8863</v>
      </c>
    </row>
    <row r="8833">
      <c r="A8833" s="11" t="s">
        <v>8864</v>
      </c>
    </row>
    <row r="8834">
      <c r="A8834" s="11" t="s">
        <v>8865</v>
      </c>
    </row>
    <row r="8835">
      <c r="A8835" s="11" t="s">
        <v>8866</v>
      </c>
    </row>
    <row r="8836">
      <c r="A8836" s="11" t="s">
        <v>8867</v>
      </c>
    </row>
    <row r="8837">
      <c r="A8837" s="11" t="s">
        <v>8868</v>
      </c>
    </row>
    <row r="8838">
      <c r="A8838" s="11" t="s">
        <v>8869</v>
      </c>
    </row>
    <row r="8839">
      <c r="A8839" s="11" t="s">
        <v>8870</v>
      </c>
    </row>
    <row r="8840">
      <c r="A8840" s="11" t="s">
        <v>8871</v>
      </c>
    </row>
    <row r="8841">
      <c r="A8841" s="11" t="s">
        <v>8872</v>
      </c>
    </row>
    <row r="8842">
      <c r="A8842" s="11" t="s">
        <v>8873</v>
      </c>
    </row>
    <row r="8843">
      <c r="A8843" s="11" t="s">
        <v>8874</v>
      </c>
    </row>
    <row r="8844">
      <c r="A8844" s="11" t="s">
        <v>8875</v>
      </c>
    </row>
    <row r="8845">
      <c r="A8845" s="11" t="s">
        <v>8876</v>
      </c>
    </row>
    <row r="8846">
      <c r="A8846" s="11" t="s">
        <v>8877</v>
      </c>
    </row>
    <row r="8847">
      <c r="A8847" s="11" t="s">
        <v>8878</v>
      </c>
    </row>
    <row r="8848">
      <c r="A8848" s="11" t="s">
        <v>8879</v>
      </c>
    </row>
    <row r="8849">
      <c r="A8849" s="11" t="s">
        <v>8880</v>
      </c>
    </row>
    <row r="8850">
      <c r="A8850" s="11" t="s">
        <v>8881</v>
      </c>
    </row>
    <row r="8851">
      <c r="A8851" s="11" t="s">
        <v>8882</v>
      </c>
    </row>
    <row r="8852">
      <c r="A8852" s="11" t="s">
        <v>8883</v>
      </c>
    </row>
    <row r="8853">
      <c r="A8853" s="11" t="s">
        <v>8884</v>
      </c>
    </row>
    <row r="8854">
      <c r="A8854" s="11" t="s">
        <v>8885</v>
      </c>
    </row>
    <row r="8855">
      <c r="A8855" s="11" t="s">
        <v>8886</v>
      </c>
    </row>
    <row r="8856">
      <c r="A8856" s="11" t="s">
        <v>8887</v>
      </c>
    </row>
    <row r="8857">
      <c r="A8857" s="11" t="s">
        <v>8888</v>
      </c>
    </row>
    <row r="8858">
      <c r="A8858" s="11" t="s">
        <v>8889</v>
      </c>
    </row>
    <row r="8859">
      <c r="A8859" s="11" t="s">
        <v>8890</v>
      </c>
    </row>
    <row r="8860">
      <c r="A8860" s="11" t="s">
        <v>8891</v>
      </c>
    </row>
    <row r="8861">
      <c r="A8861" s="11" t="s">
        <v>8892</v>
      </c>
    </row>
    <row r="8862">
      <c r="A8862" s="11" t="s">
        <v>8893</v>
      </c>
    </row>
    <row r="8863">
      <c r="A8863" s="11" t="s">
        <v>8894</v>
      </c>
    </row>
    <row r="8864">
      <c r="A8864" s="11" t="s">
        <v>8895</v>
      </c>
    </row>
    <row r="8865">
      <c r="A8865" s="11" t="s">
        <v>8896</v>
      </c>
    </row>
    <row r="8866">
      <c r="A8866" s="11" t="s">
        <v>8897</v>
      </c>
    </row>
    <row r="8867">
      <c r="A8867" s="11" t="s">
        <v>8898</v>
      </c>
    </row>
    <row r="8868">
      <c r="A8868" s="11" t="s">
        <v>8899</v>
      </c>
    </row>
    <row r="8869">
      <c r="A8869" s="11" t="s">
        <v>8900</v>
      </c>
    </row>
    <row r="8870">
      <c r="A8870" s="11" t="s">
        <v>8901</v>
      </c>
    </row>
    <row r="8871">
      <c r="A8871" s="11" t="s">
        <v>8902</v>
      </c>
    </row>
    <row r="8872">
      <c r="A8872" s="11" t="s">
        <v>8903</v>
      </c>
    </row>
    <row r="8873">
      <c r="A8873" s="11" t="s">
        <v>8904</v>
      </c>
    </row>
    <row r="8874">
      <c r="A8874" s="11" t="s">
        <v>8905</v>
      </c>
    </row>
    <row r="8875">
      <c r="A8875" s="11" t="s">
        <v>8906</v>
      </c>
    </row>
    <row r="8876">
      <c r="A8876" s="11" t="s">
        <v>8907</v>
      </c>
    </row>
    <row r="8877">
      <c r="A8877" s="11" t="s">
        <v>8908</v>
      </c>
    </row>
    <row r="8878">
      <c r="A8878" s="11" t="s">
        <v>8909</v>
      </c>
    </row>
    <row r="8879">
      <c r="A8879" s="11" t="s">
        <v>8910</v>
      </c>
    </row>
    <row r="8880">
      <c r="A8880" s="11" t="s">
        <v>8911</v>
      </c>
    </row>
    <row r="8881">
      <c r="A8881" s="11" t="s">
        <v>8912</v>
      </c>
    </row>
    <row r="8882">
      <c r="A8882" s="11" t="s">
        <v>8913</v>
      </c>
    </row>
    <row r="8883">
      <c r="A8883" s="11" t="s">
        <v>8914</v>
      </c>
    </row>
    <row r="8884">
      <c r="A8884" s="11" t="s">
        <v>8915</v>
      </c>
    </row>
    <row r="8885">
      <c r="A8885" s="11" t="s">
        <v>8916</v>
      </c>
    </row>
    <row r="8886">
      <c r="A8886" s="11" t="s">
        <v>8917</v>
      </c>
    </row>
    <row r="8887">
      <c r="A8887" s="11" t="s">
        <v>8918</v>
      </c>
    </row>
    <row r="8888">
      <c r="A8888" s="11" t="s">
        <v>8919</v>
      </c>
    </row>
    <row r="8889">
      <c r="A8889" s="11" t="s">
        <v>8920</v>
      </c>
    </row>
    <row r="8890">
      <c r="A8890" s="11" t="s">
        <v>8921</v>
      </c>
    </row>
    <row r="8891">
      <c r="A8891" s="11" t="s">
        <v>8922</v>
      </c>
    </row>
    <row r="8892">
      <c r="A8892" s="11" t="s">
        <v>8923</v>
      </c>
    </row>
    <row r="8893">
      <c r="A8893" s="11" t="s">
        <v>8924</v>
      </c>
    </row>
    <row r="8894">
      <c r="A8894" s="11" t="s">
        <v>8925</v>
      </c>
    </row>
    <row r="8895">
      <c r="A8895" s="11" t="s">
        <v>8926</v>
      </c>
    </row>
    <row r="8896">
      <c r="A8896" s="11" t="s">
        <v>8927</v>
      </c>
    </row>
    <row r="8897">
      <c r="A8897" s="11" t="s">
        <v>8928</v>
      </c>
    </row>
    <row r="8898">
      <c r="A8898" s="11" t="s">
        <v>8929</v>
      </c>
    </row>
    <row r="8899">
      <c r="A8899" s="11" t="s">
        <v>8930</v>
      </c>
    </row>
    <row r="8900">
      <c r="A8900" s="11" t="s">
        <v>8931</v>
      </c>
    </row>
    <row r="8901">
      <c r="A8901" s="11" t="s">
        <v>8932</v>
      </c>
    </row>
    <row r="8902">
      <c r="A8902" s="11" t="s">
        <v>8933</v>
      </c>
    </row>
    <row r="8903">
      <c r="A8903" s="11" t="s">
        <v>8934</v>
      </c>
    </row>
    <row r="8904">
      <c r="A8904" s="11" t="s">
        <v>8935</v>
      </c>
    </row>
    <row r="8905">
      <c r="A8905" s="11" t="s">
        <v>8936</v>
      </c>
    </row>
    <row r="8906">
      <c r="A8906" s="11" t="s">
        <v>8937</v>
      </c>
    </row>
    <row r="8907">
      <c r="A8907" s="11" t="s">
        <v>8938</v>
      </c>
    </row>
    <row r="8908">
      <c r="A8908" s="11" t="s">
        <v>8939</v>
      </c>
    </row>
    <row r="8909">
      <c r="A8909" s="11" t="s">
        <v>8940</v>
      </c>
    </row>
    <row r="8910">
      <c r="A8910" s="11" t="s">
        <v>8941</v>
      </c>
    </row>
    <row r="8911">
      <c r="A8911" s="11" t="s">
        <v>8942</v>
      </c>
    </row>
    <row r="8912">
      <c r="A8912" s="11" t="s">
        <v>8943</v>
      </c>
    </row>
    <row r="8913">
      <c r="A8913" s="11" t="s">
        <v>8944</v>
      </c>
    </row>
    <row r="8914">
      <c r="A8914" s="11" t="s">
        <v>8945</v>
      </c>
    </row>
    <row r="8915">
      <c r="A8915" s="11" t="s">
        <v>8946</v>
      </c>
    </row>
    <row r="8916">
      <c r="A8916" s="11" t="s">
        <v>8947</v>
      </c>
    </row>
    <row r="8917">
      <c r="A8917" s="11" t="s">
        <v>8948</v>
      </c>
    </row>
    <row r="8918">
      <c r="A8918" s="11" t="s">
        <v>8949</v>
      </c>
    </row>
    <row r="8919">
      <c r="A8919" s="11" t="s">
        <v>8950</v>
      </c>
    </row>
    <row r="8920">
      <c r="A8920" s="11" t="s">
        <v>8951</v>
      </c>
    </row>
    <row r="8921">
      <c r="A8921" s="11" t="s">
        <v>8952</v>
      </c>
    </row>
    <row r="8922">
      <c r="A8922" s="11" t="s">
        <v>8953</v>
      </c>
    </row>
    <row r="8923">
      <c r="A8923" s="11" t="s">
        <v>8954</v>
      </c>
    </row>
    <row r="8924">
      <c r="A8924" s="11" t="s">
        <v>8955</v>
      </c>
    </row>
    <row r="8925">
      <c r="A8925" s="11" t="s">
        <v>8956</v>
      </c>
    </row>
    <row r="8926">
      <c r="A8926" s="11" t="s">
        <v>8957</v>
      </c>
    </row>
    <row r="8927">
      <c r="A8927" s="11" t="s">
        <v>8958</v>
      </c>
    </row>
    <row r="8928">
      <c r="A8928" s="11" t="s">
        <v>8959</v>
      </c>
    </row>
    <row r="8929">
      <c r="A8929" s="11" t="s">
        <v>8960</v>
      </c>
    </row>
    <row r="8930">
      <c r="A8930" s="11" t="s">
        <v>8961</v>
      </c>
    </row>
    <row r="8931">
      <c r="A8931" s="11" t="s">
        <v>8962</v>
      </c>
    </row>
    <row r="8932">
      <c r="A8932" s="11" t="s">
        <v>8963</v>
      </c>
    </row>
    <row r="8933">
      <c r="A8933" s="11" t="s">
        <v>8964</v>
      </c>
    </row>
    <row r="8934">
      <c r="A8934" s="11" t="s">
        <v>8965</v>
      </c>
    </row>
    <row r="8935">
      <c r="A8935" s="11" t="s">
        <v>8966</v>
      </c>
    </row>
    <row r="8936">
      <c r="A8936" s="11" t="s">
        <v>8967</v>
      </c>
    </row>
    <row r="8937">
      <c r="A8937" s="11" t="s">
        <v>8968</v>
      </c>
    </row>
    <row r="8938">
      <c r="A8938" s="11" t="s">
        <v>8969</v>
      </c>
    </row>
    <row r="8939">
      <c r="A8939" s="11" t="s">
        <v>8970</v>
      </c>
    </row>
    <row r="8940">
      <c r="A8940" s="11" t="s">
        <v>8971</v>
      </c>
    </row>
    <row r="8941">
      <c r="A8941" s="11" t="s">
        <v>8972</v>
      </c>
    </row>
    <row r="8942">
      <c r="A8942" s="11" t="s">
        <v>8973</v>
      </c>
    </row>
    <row r="8943">
      <c r="A8943" s="11" t="s">
        <v>8974</v>
      </c>
    </row>
    <row r="8944">
      <c r="A8944" s="11" t="s">
        <v>8975</v>
      </c>
    </row>
    <row r="8945">
      <c r="A8945" s="11" t="s">
        <v>8976</v>
      </c>
    </row>
    <row r="8946">
      <c r="A8946" s="11" t="s">
        <v>8977</v>
      </c>
    </row>
    <row r="8947">
      <c r="A8947" s="11" t="s">
        <v>8978</v>
      </c>
    </row>
    <row r="8948">
      <c r="A8948" s="11" t="s">
        <v>8979</v>
      </c>
    </row>
    <row r="8949">
      <c r="A8949" s="11" t="s">
        <v>8980</v>
      </c>
    </row>
    <row r="8950">
      <c r="A8950" s="11" t="s">
        <v>8981</v>
      </c>
    </row>
    <row r="8951">
      <c r="A8951" s="11" t="s">
        <v>8982</v>
      </c>
    </row>
    <row r="8952">
      <c r="A8952" s="11" t="s">
        <v>8983</v>
      </c>
    </row>
    <row r="8953">
      <c r="A8953" s="11" t="s">
        <v>8984</v>
      </c>
    </row>
    <row r="8954">
      <c r="A8954" s="11" t="s">
        <v>8985</v>
      </c>
    </row>
    <row r="8955">
      <c r="A8955" s="11" t="s">
        <v>8986</v>
      </c>
    </row>
    <row r="8956">
      <c r="A8956" s="11" t="s">
        <v>8987</v>
      </c>
    </row>
    <row r="8957">
      <c r="A8957" s="11" t="s">
        <v>8988</v>
      </c>
    </row>
    <row r="8958">
      <c r="A8958" s="11" t="s">
        <v>8989</v>
      </c>
    </row>
    <row r="8959">
      <c r="A8959" s="11" t="s">
        <v>8990</v>
      </c>
    </row>
    <row r="8960">
      <c r="A8960" s="11" t="s">
        <v>8991</v>
      </c>
    </row>
    <row r="8961">
      <c r="A8961" s="11" t="s">
        <v>8992</v>
      </c>
    </row>
    <row r="8962">
      <c r="A8962" s="11" t="s">
        <v>8993</v>
      </c>
    </row>
    <row r="8963">
      <c r="A8963" s="11" t="s">
        <v>8994</v>
      </c>
    </row>
    <row r="8964">
      <c r="A8964" s="11" t="s">
        <v>8995</v>
      </c>
    </row>
    <row r="8965">
      <c r="A8965" s="11" t="s">
        <v>8996</v>
      </c>
    </row>
    <row r="8966">
      <c r="A8966" s="11" t="s">
        <v>8997</v>
      </c>
    </row>
    <row r="8967">
      <c r="A8967" s="11" t="s">
        <v>8998</v>
      </c>
    </row>
    <row r="8968">
      <c r="A8968" s="11" t="s">
        <v>8999</v>
      </c>
    </row>
    <row r="8969">
      <c r="A8969" s="11" t="s">
        <v>9000</v>
      </c>
    </row>
    <row r="8970">
      <c r="A8970" s="11" t="s">
        <v>9001</v>
      </c>
    </row>
    <row r="8971">
      <c r="A8971" s="11" t="s">
        <v>9002</v>
      </c>
    </row>
    <row r="8972">
      <c r="A8972" s="11" t="s">
        <v>9003</v>
      </c>
    </row>
    <row r="8973">
      <c r="A8973" s="11" t="s">
        <v>9004</v>
      </c>
    </row>
    <row r="8974">
      <c r="A8974" s="11" t="s">
        <v>9005</v>
      </c>
    </row>
    <row r="8975">
      <c r="A8975" s="11" t="s">
        <v>9006</v>
      </c>
    </row>
    <row r="8976">
      <c r="A8976" s="11" t="s">
        <v>9007</v>
      </c>
    </row>
    <row r="8977">
      <c r="A8977" s="11" t="s">
        <v>9008</v>
      </c>
    </row>
    <row r="8978">
      <c r="A8978" s="11" t="s">
        <v>9009</v>
      </c>
    </row>
    <row r="8979">
      <c r="A8979" s="11" t="s">
        <v>9010</v>
      </c>
    </row>
    <row r="8980">
      <c r="A8980" s="11" t="s">
        <v>9011</v>
      </c>
    </row>
    <row r="8981">
      <c r="A8981" s="11" t="s">
        <v>9012</v>
      </c>
    </row>
    <row r="8982">
      <c r="A8982" s="11" t="s">
        <v>9013</v>
      </c>
    </row>
    <row r="8983">
      <c r="A8983" s="11" t="s">
        <v>9014</v>
      </c>
    </row>
    <row r="8984">
      <c r="A8984" s="11" t="s">
        <v>9015</v>
      </c>
    </row>
    <row r="8985">
      <c r="A8985" s="11" t="s">
        <v>9016</v>
      </c>
    </row>
    <row r="8986">
      <c r="A8986" s="11" t="s">
        <v>9017</v>
      </c>
    </row>
    <row r="8987">
      <c r="A8987" s="11" t="s">
        <v>9018</v>
      </c>
    </row>
    <row r="8988">
      <c r="A8988" s="11" t="s">
        <v>9019</v>
      </c>
    </row>
    <row r="8989">
      <c r="A8989" s="11" t="s">
        <v>9020</v>
      </c>
    </row>
    <row r="8990">
      <c r="A8990" s="11" t="s">
        <v>9021</v>
      </c>
    </row>
    <row r="8991">
      <c r="A8991" s="11" t="s">
        <v>9022</v>
      </c>
    </row>
    <row r="8992">
      <c r="A8992" s="11" t="s">
        <v>9023</v>
      </c>
    </row>
    <row r="8993">
      <c r="A8993" s="11" t="s">
        <v>9024</v>
      </c>
    </row>
    <row r="8994">
      <c r="A8994" s="11" t="s">
        <v>9025</v>
      </c>
    </row>
    <row r="8995">
      <c r="A8995" s="11" t="s">
        <v>9026</v>
      </c>
    </row>
    <row r="8996">
      <c r="A8996" s="11" t="s">
        <v>9027</v>
      </c>
    </row>
    <row r="8997">
      <c r="A8997" s="11" t="s">
        <v>9028</v>
      </c>
    </row>
    <row r="8998">
      <c r="A8998" s="11" t="s">
        <v>9029</v>
      </c>
    </row>
    <row r="8999">
      <c r="A8999" s="11" t="s">
        <v>9030</v>
      </c>
    </row>
    <row r="9000">
      <c r="A9000" s="11" t="s">
        <v>9031</v>
      </c>
    </row>
    <row r="9001">
      <c r="A9001" s="11" t="s">
        <v>9032</v>
      </c>
    </row>
    <row r="9002">
      <c r="A9002" s="11" t="s">
        <v>9033</v>
      </c>
    </row>
    <row r="9003">
      <c r="A9003" s="11" t="s">
        <v>9034</v>
      </c>
    </row>
    <row r="9004">
      <c r="A9004" s="11" t="s">
        <v>9035</v>
      </c>
    </row>
    <row r="9005">
      <c r="A9005" s="11" t="s">
        <v>9036</v>
      </c>
    </row>
    <row r="9006">
      <c r="A9006" s="11" t="s">
        <v>9037</v>
      </c>
    </row>
    <row r="9007">
      <c r="A9007" s="11" t="s">
        <v>9038</v>
      </c>
    </row>
    <row r="9008">
      <c r="A9008" s="11" t="s">
        <v>9039</v>
      </c>
    </row>
    <row r="9009">
      <c r="A9009" s="11" t="s">
        <v>9040</v>
      </c>
    </row>
    <row r="9010">
      <c r="A9010" s="11" t="s">
        <v>9041</v>
      </c>
    </row>
    <row r="9011">
      <c r="A9011" s="11" t="s">
        <v>9042</v>
      </c>
    </row>
    <row r="9012">
      <c r="A9012" s="11" t="s">
        <v>9043</v>
      </c>
    </row>
    <row r="9013">
      <c r="A9013" s="11" t="s">
        <v>9044</v>
      </c>
    </row>
    <row r="9014">
      <c r="A9014" s="11" t="s">
        <v>9045</v>
      </c>
    </row>
    <row r="9015">
      <c r="A9015" s="11" t="s">
        <v>9046</v>
      </c>
    </row>
    <row r="9016">
      <c r="A9016" s="11" t="s">
        <v>9047</v>
      </c>
    </row>
    <row r="9017">
      <c r="A9017" s="11" t="s">
        <v>9048</v>
      </c>
    </row>
    <row r="9018">
      <c r="A9018" s="11" t="s">
        <v>9049</v>
      </c>
    </row>
    <row r="9019">
      <c r="A9019" s="11" t="s">
        <v>9050</v>
      </c>
    </row>
    <row r="9020">
      <c r="A9020" s="11" t="s">
        <v>9051</v>
      </c>
    </row>
    <row r="9021">
      <c r="A9021" s="11" t="s">
        <v>9052</v>
      </c>
    </row>
    <row r="9022">
      <c r="A9022" s="11" t="s">
        <v>9053</v>
      </c>
    </row>
    <row r="9023">
      <c r="A9023" s="11" t="s">
        <v>9054</v>
      </c>
    </row>
    <row r="9024">
      <c r="A9024" s="11" t="s">
        <v>9055</v>
      </c>
    </row>
    <row r="9025">
      <c r="A9025" s="11" t="s">
        <v>9056</v>
      </c>
    </row>
    <row r="9026">
      <c r="A9026" s="11" t="s">
        <v>9057</v>
      </c>
    </row>
    <row r="9027">
      <c r="A9027" s="11" t="s">
        <v>9058</v>
      </c>
    </row>
    <row r="9028">
      <c r="A9028" s="11" t="s">
        <v>9059</v>
      </c>
    </row>
    <row r="9029">
      <c r="A9029" s="11" t="s">
        <v>9060</v>
      </c>
    </row>
    <row r="9030">
      <c r="A9030" s="11" t="s">
        <v>9061</v>
      </c>
    </row>
    <row r="9031">
      <c r="A9031" s="11" t="s">
        <v>9062</v>
      </c>
    </row>
    <row r="9032">
      <c r="A9032" s="11" t="s">
        <v>9063</v>
      </c>
    </row>
    <row r="9033">
      <c r="A9033" s="11" t="s">
        <v>9064</v>
      </c>
    </row>
    <row r="9034">
      <c r="A9034" s="11" t="s">
        <v>9065</v>
      </c>
    </row>
    <row r="9035">
      <c r="A9035" s="11" t="s">
        <v>9066</v>
      </c>
    </row>
    <row r="9036">
      <c r="A9036" s="11" t="s">
        <v>9067</v>
      </c>
    </row>
    <row r="9037">
      <c r="A9037" s="11" t="s">
        <v>9068</v>
      </c>
    </row>
    <row r="9038">
      <c r="A9038" s="11" t="s">
        <v>9069</v>
      </c>
    </row>
    <row r="9039">
      <c r="A9039" s="11" t="s">
        <v>9070</v>
      </c>
    </row>
    <row r="9040">
      <c r="A9040" s="11" t="s">
        <v>9071</v>
      </c>
    </row>
    <row r="9041">
      <c r="A9041" s="11" t="s">
        <v>9072</v>
      </c>
    </row>
    <row r="9042">
      <c r="A9042" s="11" t="s">
        <v>9073</v>
      </c>
    </row>
    <row r="9043">
      <c r="A9043" s="11" t="s">
        <v>9074</v>
      </c>
    </row>
    <row r="9044">
      <c r="A9044" s="11" t="s">
        <v>9075</v>
      </c>
    </row>
    <row r="9045">
      <c r="A9045" s="11" t="s">
        <v>9076</v>
      </c>
    </row>
    <row r="9046">
      <c r="A9046" s="11" t="s">
        <v>9077</v>
      </c>
    </row>
    <row r="9047">
      <c r="A9047" s="11" t="s">
        <v>9078</v>
      </c>
    </row>
    <row r="9048">
      <c r="A9048" s="11" t="s">
        <v>9079</v>
      </c>
    </row>
    <row r="9049">
      <c r="A9049" s="11" t="s">
        <v>9080</v>
      </c>
    </row>
    <row r="9050">
      <c r="A9050" s="11" t="s">
        <v>9081</v>
      </c>
    </row>
    <row r="9051">
      <c r="A9051" s="11" t="s">
        <v>9082</v>
      </c>
    </row>
    <row r="9052">
      <c r="A9052" s="11" t="s">
        <v>9083</v>
      </c>
    </row>
    <row r="9053">
      <c r="A9053" s="11" t="s">
        <v>9084</v>
      </c>
    </row>
    <row r="9054">
      <c r="A9054" s="11" t="s">
        <v>9085</v>
      </c>
    </row>
    <row r="9055">
      <c r="A9055" s="11" t="s">
        <v>9086</v>
      </c>
    </row>
    <row r="9056">
      <c r="A9056" s="11" t="s">
        <v>9087</v>
      </c>
    </row>
    <row r="9057">
      <c r="A9057" s="11" t="s">
        <v>9088</v>
      </c>
    </row>
    <row r="9058">
      <c r="A9058" s="11" t="s">
        <v>9089</v>
      </c>
    </row>
    <row r="9059">
      <c r="A9059" s="11" t="s">
        <v>9090</v>
      </c>
    </row>
    <row r="9060">
      <c r="A9060" s="11" t="s">
        <v>9091</v>
      </c>
    </row>
    <row r="9061">
      <c r="A9061" s="11" t="s">
        <v>9092</v>
      </c>
    </row>
    <row r="9062">
      <c r="A9062" s="11" t="s">
        <v>9093</v>
      </c>
    </row>
    <row r="9063">
      <c r="A9063" s="11" t="s">
        <v>9094</v>
      </c>
    </row>
    <row r="9064">
      <c r="A9064" s="11" t="s">
        <v>9095</v>
      </c>
    </row>
    <row r="9065">
      <c r="A9065" s="11" t="s">
        <v>9096</v>
      </c>
    </row>
    <row r="9066">
      <c r="A9066" s="11" t="s">
        <v>9097</v>
      </c>
    </row>
    <row r="9067">
      <c r="A9067" s="11" t="s">
        <v>9098</v>
      </c>
    </row>
    <row r="9068">
      <c r="A9068" s="11" t="s">
        <v>9099</v>
      </c>
    </row>
    <row r="9069">
      <c r="A9069" s="11" t="s">
        <v>9100</v>
      </c>
    </row>
    <row r="9070">
      <c r="A9070" s="11" t="s">
        <v>9101</v>
      </c>
    </row>
    <row r="9071">
      <c r="A9071" s="11" t="s">
        <v>9102</v>
      </c>
    </row>
    <row r="9072">
      <c r="A9072" s="11" t="s">
        <v>9103</v>
      </c>
    </row>
    <row r="9073">
      <c r="A9073" s="11" t="s">
        <v>9104</v>
      </c>
    </row>
    <row r="9074">
      <c r="A9074" s="11" t="s">
        <v>9105</v>
      </c>
    </row>
    <row r="9075">
      <c r="A9075" s="11" t="s">
        <v>9106</v>
      </c>
    </row>
    <row r="9076">
      <c r="A9076" s="11" t="s">
        <v>9107</v>
      </c>
    </row>
    <row r="9077">
      <c r="A9077" s="11" t="s">
        <v>9108</v>
      </c>
    </row>
    <row r="9078">
      <c r="A9078" s="11" t="s">
        <v>9109</v>
      </c>
    </row>
    <row r="9079">
      <c r="A9079" s="11" t="s">
        <v>9110</v>
      </c>
    </row>
    <row r="9080">
      <c r="A9080" s="11" t="s">
        <v>9111</v>
      </c>
    </row>
    <row r="9081">
      <c r="A9081" s="11" t="s">
        <v>9112</v>
      </c>
    </row>
    <row r="9082">
      <c r="A9082" s="11" t="s">
        <v>9113</v>
      </c>
    </row>
    <row r="9083">
      <c r="A9083" s="11" t="s">
        <v>9114</v>
      </c>
    </row>
    <row r="9084">
      <c r="A9084" s="11" t="s">
        <v>9115</v>
      </c>
    </row>
    <row r="9085">
      <c r="A9085" s="11" t="s">
        <v>9116</v>
      </c>
    </row>
    <row r="9086">
      <c r="A9086" s="11" t="s">
        <v>9117</v>
      </c>
    </row>
    <row r="9087">
      <c r="A9087" s="11" t="s">
        <v>9118</v>
      </c>
    </row>
    <row r="9088">
      <c r="A9088" s="11" t="s">
        <v>9119</v>
      </c>
    </row>
    <row r="9089">
      <c r="A9089" s="11" t="s">
        <v>9120</v>
      </c>
    </row>
    <row r="9090">
      <c r="A9090" s="11" t="s">
        <v>9121</v>
      </c>
    </row>
    <row r="9091">
      <c r="A9091" s="11" t="s">
        <v>9122</v>
      </c>
    </row>
    <row r="9092">
      <c r="A9092" s="11" t="s">
        <v>9123</v>
      </c>
    </row>
    <row r="9093">
      <c r="A9093" s="11" t="s">
        <v>9124</v>
      </c>
    </row>
    <row r="9094">
      <c r="A9094" s="11" t="s">
        <v>9125</v>
      </c>
    </row>
    <row r="9095">
      <c r="A9095" s="11" t="s">
        <v>9126</v>
      </c>
    </row>
    <row r="9096">
      <c r="A9096" s="11" t="s">
        <v>9127</v>
      </c>
    </row>
    <row r="9097">
      <c r="A9097" s="11" t="s">
        <v>9128</v>
      </c>
    </row>
    <row r="9098">
      <c r="A9098" s="11" t="s">
        <v>9129</v>
      </c>
    </row>
    <row r="9099">
      <c r="A9099" s="11" t="s">
        <v>9130</v>
      </c>
    </row>
    <row r="9100">
      <c r="A9100" s="11" t="s">
        <v>9131</v>
      </c>
    </row>
    <row r="9101">
      <c r="A9101" s="11" t="s">
        <v>9132</v>
      </c>
    </row>
    <row r="9102">
      <c r="A9102" s="11" t="s">
        <v>9133</v>
      </c>
    </row>
    <row r="9103">
      <c r="A9103" s="11" t="s">
        <v>9134</v>
      </c>
    </row>
    <row r="9104">
      <c r="A9104" s="11" t="s">
        <v>9135</v>
      </c>
    </row>
    <row r="9105">
      <c r="A9105" s="11" t="s">
        <v>9136</v>
      </c>
    </row>
    <row r="9106">
      <c r="A9106" s="11" t="s">
        <v>9137</v>
      </c>
    </row>
    <row r="9107">
      <c r="A9107" s="11" t="s">
        <v>9138</v>
      </c>
    </row>
    <row r="9108">
      <c r="A9108" s="11" t="s">
        <v>9139</v>
      </c>
    </row>
    <row r="9109">
      <c r="A9109" s="11" t="s">
        <v>9140</v>
      </c>
    </row>
    <row r="9110">
      <c r="A9110" s="11" t="s">
        <v>9141</v>
      </c>
    </row>
    <row r="9111">
      <c r="A9111" s="11" t="s">
        <v>9142</v>
      </c>
    </row>
    <row r="9112">
      <c r="A9112" s="11" t="s">
        <v>9143</v>
      </c>
    </row>
    <row r="9113">
      <c r="A9113" s="11" t="s">
        <v>9144</v>
      </c>
    </row>
    <row r="9114">
      <c r="A9114" s="11" t="s">
        <v>9145</v>
      </c>
    </row>
    <row r="9115">
      <c r="A9115" s="11" t="s">
        <v>9146</v>
      </c>
    </row>
    <row r="9116">
      <c r="A9116" s="11" t="s">
        <v>9147</v>
      </c>
    </row>
    <row r="9117">
      <c r="A9117" s="11" t="s">
        <v>9148</v>
      </c>
    </row>
    <row r="9118">
      <c r="A9118" s="11" t="s">
        <v>9149</v>
      </c>
    </row>
    <row r="9119">
      <c r="A9119" s="11" t="s">
        <v>9150</v>
      </c>
    </row>
    <row r="9120">
      <c r="A9120" s="11" t="s">
        <v>9151</v>
      </c>
    </row>
    <row r="9121">
      <c r="A9121" s="11" t="s">
        <v>9152</v>
      </c>
    </row>
    <row r="9122">
      <c r="A9122" s="11" t="s">
        <v>9153</v>
      </c>
    </row>
    <row r="9123">
      <c r="A9123" s="11" t="s">
        <v>9154</v>
      </c>
    </row>
    <row r="9124">
      <c r="A9124" s="11" t="s">
        <v>9155</v>
      </c>
    </row>
    <row r="9125">
      <c r="A9125" s="11" t="s">
        <v>9156</v>
      </c>
    </row>
    <row r="9126">
      <c r="A9126" s="11" t="s">
        <v>9157</v>
      </c>
    </row>
    <row r="9127">
      <c r="A9127" s="11" t="s">
        <v>9158</v>
      </c>
    </row>
    <row r="9128">
      <c r="A9128" s="11" t="s">
        <v>9159</v>
      </c>
    </row>
    <row r="9129">
      <c r="A9129" s="11" t="s">
        <v>9160</v>
      </c>
    </row>
    <row r="9130">
      <c r="A9130" s="11" t="s">
        <v>9161</v>
      </c>
    </row>
    <row r="9131">
      <c r="A9131" s="11" t="s">
        <v>9162</v>
      </c>
    </row>
    <row r="9132">
      <c r="A9132" s="11" t="s">
        <v>9163</v>
      </c>
    </row>
    <row r="9133">
      <c r="A9133" s="11" t="s">
        <v>9164</v>
      </c>
    </row>
    <row r="9134">
      <c r="A9134" s="11" t="s">
        <v>9165</v>
      </c>
    </row>
    <row r="9135">
      <c r="A9135" s="11" t="s">
        <v>9166</v>
      </c>
    </row>
    <row r="9136">
      <c r="A9136" s="11" t="s">
        <v>9167</v>
      </c>
    </row>
    <row r="9137">
      <c r="A9137" s="11" t="s">
        <v>9168</v>
      </c>
    </row>
    <row r="9138">
      <c r="A9138" s="11" t="s">
        <v>9169</v>
      </c>
    </row>
    <row r="9139">
      <c r="A9139" s="11" t="s">
        <v>9170</v>
      </c>
    </row>
    <row r="9140">
      <c r="A9140" s="11" t="s">
        <v>9171</v>
      </c>
    </row>
    <row r="9141">
      <c r="A9141" s="11" t="s">
        <v>9172</v>
      </c>
    </row>
    <row r="9142">
      <c r="A9142" s="11" t="s">
        <v>9173</v>
      </c>
    </row>
    <row r="9143">
      <c r="A9143" s="11" t="s">
        <v>9174</v>
      </c>
    </row>
    <row r="9144">
      <c r="A9144" s="11" t="s">
        <v>9175</v>
      </c>
    </row>
    <row r="9145">
      <c r="A9145" s="11" t="s">
        <v>9176</v>
      </c>
    </row>
    <row r="9146">
      <c r="A9146" s="11" t="s">
        <v>9177</v>
      </c>
    </row>
    <row r="9147">
      <c r="A9147" s="11" t="s">
        <v>9178</v>
      </c>
    </row>
    <row r="9148">
      <c r="A9148" s="11" t="s">
        <v>9179</v>
      </c>
    </row>
    <row r="9149">
      <c r="A9149" s="11" t="s">
        <v>9180</v>
      </c>
    </row>
    <row r="9150">
      <c r="A9150" s="11" t="s">
        <v>9181</v>
      </c>
    </row>
    <row r="9151">
      <c r="A9151" s="11" t="s">
        <v>9182</v>
      </c>
    </row>
    <row r="9152">
      <c r="A9152" s="11" t="s">
        <v>9183</v>
      </c>
    </row>
    <row r="9153">
      <c r="A9153" s="11" t="s">
        <v>9184</v>
      </c>
    </row>
    <row r="9154">
      <c r="A9154" s="11" t="s">
        <v>9185</v>
      </c>
    </row>
    <row r="9155">
      <c r="A9155" s="11" t="s">
        <v>9186</v>
      </c>
    </row>
    <row r="9156">
      <c r="A9156" s="11" t="s">
        <v>9187</v>
      </c>
    </row>
    <row r="9157">
      <c r="A9157" s="11" t="s">
        <v>9188</v>
      </c>
    </row>
    <row r="9158">
      <c r="A9158" s="11" t="s">
        <v>9189</v>
      </c>
    </row>
    <row r="9159">
      <c r="A9159" s="11" t="s">
        <v>9190</v>
      </c>
    </row>
    <row r="9160">
      <c r="A9160" s="11" t="s">
        <v>9191</v>
      </c>
    </row>
    <row r="9161">
      <c r="A9161" s="11" t="s">
        <v>9192</v>
      </c>
    </row>
    <row r="9162">
      <c r="A9162" s="11" t="s">
        <v>9193</v>
      </c>
    </row>
    <row r="9163">
      <c r="A9163" s="11" t="s">
        <v>9194</v>
      </c>
    </row>
    <row r="9164">
      <c r="A9164" s="11" t="s">
        <v>9195</v>
      </c>
    </row>
    <row r="9165">
      <c r="A9165" s="11" t="s">
        <v>9196</v>
      </c>
    </row>
    <row r="9166">
      <c r="A9166" s="11" t="s">
        <v>9197</v>
      </c>
    </row>
    <row r="9167">
      <c r="A9167" s="11" t="s">
        <v>9198</v>
      </c>
    </row>
    <row r="9168">
      <c r="A9168" s="11" t="s">
        <v>9199</v>
      </c>
    </row>
    <row r="9169">
      <c r="A9169" s="11" t="s">
        <v>9200</v>
      </c>
    </row>
    <row r="9170">
      <c r="A9170" s="11" t="s">
        <v>9201</v>
      </c>
    </row>
    <row r="9171">
      <c r="A9171" s="11" t="s">
        <v>9202</v>
      </c>
    </row>
    <row r="9172">
      <c r="A9172" s="11" t="s">
        <v>9203</v>
      </c>
    </row>
    <row r="9173">
      <c r="A9173" s="11" t="s">
        <v>9204</v>
      </c>
    </row>
    <row r="9174">
      <c r="A9174" s="11" t="s">
        <v>9205</v>
      </c>
    </row>
    <row r="9175">
      <c r="A9175" s="11" t="s">
        <v>9206</v>
      </c>
    </row>
    <row r="9176">
      <c r="A9176" s="11" t="s">
        <v>9207</v>
      </c>
    </row>
    <row r="9177">
      <c r="A9177" s="11" t="s">
        <v>9208</v>
      </c>
    </row>
    <row r="9178">
      <c r="A9178" s="11" t="s">
        <v>9209</v>
      </c>
    </row>
    <row r="9179">
      <c r="A9179" s="11" t="s">
        <v>9210</v>
      </c>
    </row>
    <row r="9180">
      <c r="A9180" s="11" t="s">
        <v>9211</v>
      </c>
    </row>
    <row r="9181">
      <c r="A9181" s="11" t="s">
        <v>9212</v>
      </c>
    </row>
    <row r="9182">
      <c r="A9182" s="11" t="s">
        <v>9213</v>
      </c>
    </row>
    <row r="9183">
      <c r="A9183" s="11" t="s">
        <v>9214</v>
      </c>
    </row>
    <row r="9184">
      <c r="A9184" s="11" t="s">
        <v>9215</v>
      </c>
    </row>
    <row r="9185">
      <c r="A9185" s="11" t="s">
        <v>9216</v>
      </c>
    </row>
    <row r="9186">
      <c r="A9186" s="11" t="s">
        <v>9217</v>
      </c>
    </row>
    <row r="9187">
      <c r="A9187" s="11" t="s">
        <v>9218</v>
      </c>
    </row>
    <row r="9188">
      <c r="A9188" s="11" t="s">
        <v>9219</v>
      </c>
    </row>
    <row r="9189">
      <c r="A9189" s="11" t="s">
        <v>9220</v>
      </c>
    </row>
    <row r="9190">
      <c r="A9190" s="11" t="s">
        <v>9221</v>
      </c>
    </row>
    <row r="9191">
      <c r="A9191" s="11" t="s">
        <v>9222</v>
      </c>
    </row>
    <row r="9192">
      <c r="A9192" s="11" t="s">
        <v>9223</v>
      </c>
    </row>
    <row r="9193">
      <c r="A9193" s="11" t="s">
        <v>9224</v>
      </c>
    </row>
    <row r="9194">
      <c r="A9194" s="11" t="s">
        <v>9225</v>
      </c>
    </row>
    <row r="9195">
      <c r="A9195" s="11" t="s">
        <v>9226</v>
      </c>
    </row>
    <row r="9196">
      <c r="A9196" s="11" t="s">
        <v>9227</v>
      </c>
    </row>
    <row r="9197">
      <c r="A9197" s="11" t="s">
        <v>9228</v>
      </c>
    </row>
    <row r="9198">
      <c r="A9198" s="11" t="s">
        <v>9229</v>
      </c>
    </row>
    <row r="9199">
      <c r="A9199" s="11" t="s">
        <v>9230</v>
      </c>
    </row>
    <row r="9200">
      <c r="A9200" s="11" t="s">
        <v>9231</v>
      </c>
    </row>
    <row r="9201">
      <c r="A9201" s="11" t="s">
        <v>9232</v>
      </c>
    </row>
    <row r="9202">
      <c r="A9202" s="11" t="s">
        <v>9233</v>
      </c>
    </row>
    <row r="9203">
      <c r="A9203" s="11" t="s">
        <v>9234</v>
      </c>
    </row>
    <row r="9204">
      <c r="A9204" s="11" t="s">
        <v>9235</v>
      </c>
    </row>
    <row r="9205">
      <c r="A9205" s="11" t="s">
        <v>9236</v>
      </c>
    </row>
    <row r="9206">
      <c r="A9206" s="11" t="s">
        <v>9237</v>
      </c>
    </row>
    <row r="9207">
      <c r="A9207" s="11" t="s">
        <v>9238</v>
      </c>
    </row>
    <row r="9208">
      <c r="A9208" s="11" t="s">
        <v>9239</v>
      </c>
    </row>
    <row r="9209">
      <c r="A9209" s="11" t="s">
        <v>9240</v>
      </c>
    </row>
    <row r="9210">
      <c r="A9210" s="11" t="s">
        <v>9241</v>
      </c>
    </row>
    <row r="9211">
      <c r="A9211" s="11" t="s">
        <v>9242</v>
      </c>
    </row>
    <row r="9212">
      <c r="A9212" s="11" t="s">
        <v>9243</v>
      </c>
    </row>
    <row r="9213">
      <c r="A9213" s="11" t="s">
        <v>9244</v>
      </c>
    </row>
    <row r="9214">
      <c r="A9214" s="11" t="s">
        <v>9245</v>
      </c>
    </row>
    <row r="9215">
      <c r="A9215" s="11" t="s">
        <v>9246</v>
      </c>
    </row>
    <row r="9216">
      <c r="A9216" s="11" t="s">
        <v>9247</v>
      </c>
    </row>
    <row r="9217">
      <c r="A9217" s="11" t="s">
        <v>9248</v>
      </c>
    </row>
    <row r="9218">
      <c r="A9218" s="11" t="s">
        <v>9249</v>
      </c>
    </row>
    <row r="9219">
      <c r="A9219" s="11" t="s">
        <v>9250</v>
      </c>
    </row>
    <row r="9220">
      <c r="A9220" s="11" t="s">
        <v>9251</v>
      </c>
    </row>
    <row r="9221">
      <c r="A9221" s="11" t="s">
        <v>9252</v>
      </c>
    </row>
    <row r="9222">
      <c r="A9222" s="11" t="s">
        <v>9253</v>
      </c>
    </row>
    <row r="9223">
      <c r="A9223" s="11" t="s">
        <v>9254</v>
      </c>
    </row>
    <row r="9224">
      <c r="A9224" s="11" t="s">
        <v>9255</v>
      </c>
    </row>
    <row r="9225">
      <c r="A9225" s="11" t="s">
        <v>9256</v>
      </c>
    </row>
    <row r="9226">
      <c r="A9226" s="11" t="s">
        <v>9257</v>
      </c>
    </row>
    <row r="9227">
      <c r="A9227" s="11" t="s">
        <v>9258</v>
      </c>
    </row>
    <row r="9228">
      <c r="A9228" s="11" t="s">
        <v>9259</v>
      </c>
    </row>
    <row r="9229">
      <c r="A9229" s="11" t="s">
        <v>9260</v>
      </c>
    </row>
    <row r="9230">
      <c r="A9230" s="11" t="s">
        <v>9261</v>
      </c>
    </row>
    <row r="9231">
      <c r="A9231" s="11" t="s">
        <v>9262</v>
      </c>
    </row>
    <row r="9232">
      <c r="A9232" s="11" t="s">
        <v>9263</v>
      </c>
    </row>
    <row r="9233">
      <c r="A9233" s="11" t="s">
        <v>9264</v>
      </c>
    </row>
    <row r="9234">
      <c r="A9234" s="11" t="s">
        <v>9265</v>
      </c>
    </row>
    <row r="9235">
      <c r="A9235" s="11" t="s">
        <v>9266</v>
      </c>
    </row>
    <row r="9236">
      <c r="A9236" s="11" t="s">
        <v>9267</v>
      </c>
    </row>
    <row r="9237">
      <c r="A9237" s="11" t="s">
        <v>9268</v>
      </c>
    </row>
    <row r="9238">
      <c r="A9238" s="11" t="s">
        <v>9269</v>
      </c>
    </row>
    <row r="9239">
      <c r="A9239" s="11" t="s">
        <v>9270</v>
      </c>
    </row>
    <row r="9240">
      <c r="A9240" s="11" t="s">
        <v>9271</v>
      </c>
    </row>
    <row r="9241">
      <c r="A9241" s="11" t="s">
        <v>9272</v>
      </c>
    </row>
    <row r="9242">
      <c r="A9242" s="11" t="s">
        <v>9273</v>
      </c>
    </row>
    <row r="9243">
      <c r="A9243" s="11" t="s">
        <v>9274</v>
      </c>
    </row>
    <row r="9244">
      <c r="A9244" s="11" t="s">
        <v>9275</v>
      </c>
    </row>
    <row r="9245">
      <c r="A9245" s="11" t="s">
        <v>9276</v>
      </c>
    </row>
    <row r="9246">
      <c r="A9246" s="11" t="s">
        <v>9277</v>
      </c>
    </row>
    <row r="9247">
      <c r="A9247" s="11" t="s">
        <v>9278</v>
      </c>
    </row>
    <row r="9248">
      <c r="A9248" s="11" t="s">
        <v>9279</v>
      </c>
    </row>
    <row r="9249">
      <c r="A9249" s="11" t="s">
        <v>9280</v>
      </c>
    </row>
    <row r="9250">
      <c r="A9250" s="11" t="s">
        <v>9281</v>
      </c>
    </row>
    <row r="9251">
      <c r="A9251" s="11" t="s">
        <v>9282</v>
      </c>
    </row>
    <row r="9252">
      <c r="A9252" s="11" t="s">
        <v>9283</v>
      </c>
    </row>
    <row r="9253">
      <c r="A9253" s="11" t="s">
        <v>9284</v>
      </c>
    </row>
    <row r="9254">
      <c r="A9254" s="11" t="s">
        <v>9285</v>
      </c>
    </row>
    <row r="9255">
      <c r="A9255" s="11" t="s">
        <v>9286</v>
      </c>
    </row>
    <row r="9256">
      <c r="A9256" s="11" t="s">
        <v>9287</v>
      </c>
    </row>
    <row r="9257">
      <c r="A9257" s="11" t="s">
        <v>9288</v>
      </c>
    </row>
    <row r="9258">
      <c r="A9258" s="11" t="s">
        <v>9289</v>
      </c>
    </row>
    <row r="9259">
      <c r="A9259" s="11" t="s">
        <v>9290</v>
      </c>
    </row>
    <row r="9260">
      <c r="A9260" s="11" t="s">
        <v>9291</v>
      </c>
    </row>
    <row r="9261">
      <c r="A9261" s="11" t="s">
        <v>9292</v>
      </c>
    </row>
    <row r="9262">
      <c r="A9262" s="11" t="s">
        <v>9293</v>
      </c>
    </row>
    <row r="9263">
      <c r="A9263" s="11" t="s">
        <v>9294</v>
      </c>
    </row>
    <row r="9264">
      <c r="A9264" s="11" t="s">
        <v>9295</v>
      </c>
    </row>
    <row r="9265">
      <c r="A9265" s="11" t="s">
        <v>9296</v>
      </c>
    </row>
    <row r="9266">
      <c r="A9266" s="11" t="s">
        <v>9297</v>
      </c>
    </row>
    <row r="9267">
      <c r="A9267" s="11" t="s">
        <v>9298</v>
      </c>
    </row>
    <row r="9268">
      <c r="A9268" s="11" t="s">
        <v>9299</v>
      </c>
    </row>
    <row r="9269">
      <c r="A9269" s="11" t="s">
        <v>9300</v>
      </c>
    </row>
    <row r="9270">
      <c r="A9270" s="11" t="s">
        <v>9301</v>
      </c>
    </row>
    <row r="9271">
      <c r="A9271" s="11" t="s">
        <v>9302</v>
      </c>
    </row>
    <row r="9272">
      <c r="A9272" s="11" t="s">
        <v>9303</v>
      </c>
    </row>
    <row r="9273">
      <c r="A9273" s="11" t="s">
        <v>9304</v>
      </c>
    </row>
    <row r="9274">
      <c r="A9274" s="11" t="s">
        <v>9305</v>
      </c>
    </row>
    <row r="9275">
      <c r="A9275" s="11" t="s">
        <v>9306</v>
      </c>
    </row>
    <row r="9276">
      <c r="A9276" s="11" t="s">
        <v>9307</v>
      </c>
    </row>
    <row r="9277">
      <c r="A9277" s="11" t="s">
        <v>9308</v>
      </c>
    </row>
    <row r="9278">
      <c r="A9278" s="11" t="s">
        <v>9309</v>
      </c>
    </row>
    <row r="9279">
      <c r="A9279" s="11" t="s">
        <v>9310</v>
      </c>
    </row>
    <row r="9280">
      <c r="A9280" s="11" t="s">
        <v>9311</v>
      </c>
    </row>
    <row r="9281">
      <c r="A9281" s="11" t="s">
        <v>9312</v>
      </c>
    </row>
    <row r="9282">
      <c r="A9282" s="11" t="s">
        <v>9313</v>
      </c>
    </row>
    <row r="9283">
      <c r="A9283" s="11" t="s">
        <v>9314</v>
      </c>
    </row>
    <row r="9284">
      <c r="A9284" s="11" t="s">
        <v>9315</v>
      </c>
    </row>
    <row r="9285">
      <c r="A9285" s="11" t="s">
        <v>9316</v>
      </c>
    </row>
    <row r="9286">
      <c r="A9286" s="11" t="s">
        <v>9317</v>
      </c>
    </row>
    <row r="9287">
      <c r="A9287" s="11" t="s">
        <v>9318</v>
      </c>
    </row>
    <row r="9288">
      <c r="A9288" s="11" t="s">
        <v>9319</v>
      </c>
    </row>
    <row r="9289">
      <c r="A9289" s="11" t="s">
        <v>9320</v>
      </c>
    </row>
    <row r="9290">
      <c r="A9290" s="11" t="s">
        <v>9321</v>
      </c>
    </row>
    <row r="9291">
      <c r="A9291" s="11" t="s">
        <v>9322</v>
      </c>
    </row>
    <row r="9292">
      <c r="A9292" s="11" t="s">
        <v>9323</v>
      </c>
    </row>
    <row r="9293">
      <c r="A9293" s="11" t="s">
        <v>9324</v>
      </c>
    </row>
    <row r="9294">
      <c r="A9294" s="11" t="s">
        <v>9325</v>
      </c>
    </row>
    <row r="9295">
      <c r="A9295" s="11" t="s">
        <v>9326</v>
      </c>
    </row>
    <row r="9296">
      <c r="A9296" s="11" t="s">
        <v>9327</v>
      </c>
    </row>
    <row r="9297">
      <c r="A9297" s="11" t="s">
        <v>9328</v>
      </c>
    </row>
    <row r="9298">
      <c r="A9298" s="11" t="s">
        <v>9329</v>
      </c>
    </row>
    <row r="9299">
      <c r="A9299" s="11" t="s">
        <v>9330</v>
      </c>
    </row>
    <row r="9300">
      <c r="A9300" s="11" t="s">
        <v>9331</v>
      </c>
    </row>
    <row r="9301">
      <c r="A9301" s="11" t="s">
        <v>9332</v>
      </c>
    </row>
    <row r="9302">
      <c r="A9302" s="11" t="s">
        <v>9333</v>
      </c>
    </row>
    <row r="9303">
      <c r="A9303" s="11" t="s">
        <v>9334</v>
      </c>
    </row>
    <row r="9304">
      <c r="A9304" s="11" t="s">
        <v>9335</v>
      </c>
    </row>
    <row r="9305">
      <c r="A9305" s="11" t="s">
        <v>9336</v>
      </c>
    </row>
    <row r="9306">
      <c r="A9306" s="11" t="s">
        <v>9337</v>
      </c>
    </row>
    <row r="9307">
      <c r="A9307" s="11" t="s">
        <v>9338</v>
      </c>
    </row>
    <row r="9308">
      <c r="A9308" s="11" t="s">
        <v>9339</v>
      </c>
    </row>
    <row r="9309">
      <c r="A9309" s="11" t="s">
        <v>9340</v>
      </c>
    </row>
    <row r="9310">
      <c r="A9310" s="11" t="s">
        <v>9341</v>
      </c>
    </row>
    <row r="9311">
      <c r="A9311" s="11" t="s">
        <v>9342</v>
      </c>
    </row>
    <row r="9312">
      <c r="A9312" s="11" t="s">
        <v>9343</v>
      </c>
    </row>
    <row r="9313">
      <c r="A9313" s="11" t="s">
        <v>9344</v>
      </c>
    </row>
    <row r="9314">
      <c r="A9314" s="11" t="s">
        <v>9345</v>
      </c>
    </row>
    <row r="9315">
      <c r="A9315" s="11" t="s">
        <v>9346</v>
      </c>
    </row>
    <row r="9316">
      <c r="A9316" s="11" t="s">
        <v>9347</v>
      </c>
    </row>
    <row r="9317">
      <c r="A9317" s="11" t="s">
        <v>9348</v>
      </c>
    </row>
    <row r="9318">
      <c r="A9318" s="11" t="s">
        <v>9349</v>
      </c>
    </row>
    <row r="9319">
      <c r="A9319" s="11" t="s">
        <v>9350</v>
      </c>
    </row>
    <row r="9320">
      <c r="A9320" s="11" t="s">
        <v>9351</v>
      </c>
    </row>
    <row r="9321">
      <c r="A9321" s="11" t="s">
        <v>9352</v>
      </c>
    </row>
    <row r="9322">
      <c r="A9322" s="11" t="s">
        <v>9353</v>
      </c>
    </row>
    <row r="9323">
      <c r="A9323" s="11" t="s">
        <v>9354</v>
      </c>
    </row>
    <row r="9324">
      <c r="A9324" s="11" t="s">
        <v>9355</v>
      </c>
    </row>
    <row r="9325">
      <c r="A9325" s="11" t="s">
        <v>9356</v>
      </c>
    </row>
    <row r="9326">
      <c r="A9326" s="11" t="s">
        <v>9357</v>
      </c>
    </row>
    <row r="9327">
      <c r="A9327" s="11" t="s">
        <v>9358</v>
      </c>
    </row>
    <row r="9328">
      <c r="A9328" s="11" t="s">
        <v>9359</v>
      </c>
    </row>
    <row r="9329">
      <c r="A9329" s="11" t="s">
        <v>9360</v>
      </c>
    </row>
    <row r="9330">
      <c r="A9330" s="11" t="s">
        <v>9361</v>
      </c>
    </row>
    <row r="9331">
      <c r="A9331" s="11" t="s">
        <v>9362</v>
      </c>
    </row>
    <row r="9332">
      <c r="A9332" s="11" t="s">
        <v>9363</v>
      </c>
    </row>
    <row r="9333">
      <c r="A9333" s="11" t="s">
        <v>9364</v>
      </c>
    </row>
    <row r="9334">
      <c r="A9334" s="11" t="s">
        <v>9365</v>
      </c>
    </row>
    <row r="9335">
      <c r="A9335" s="11" t="s">
        <v>9366</v>
      </c>
    </row>
    <row r="9336">
      <c r="A9336" s="11" t="s">
        <v>9367</v>
      </c>
    </row>
    <row r="9337">
      <c r="A9337" s="11" t="s">
        <v>9368</v>
      </c>
    </row>
    <row r="9338">
      <c r="A9338" s="11" t="s">
        <v>9369</v>
      </c>
    </row>
    <row r="9339">
      <c r="A9339" s="11" t="s">
        <v>9370</v>
      </c>
    </row>
    <row r="9340">
      <c r="A9340" s="11" t="s">
        <v>9371</v>
      </c>
    </row>
    <row r="9341">
      <c r="A9341" s="11" t="s">
        <v>9372</v>
      </c>
    </row>
    <row r="9342">
      <c r="A9342" s="11" t="s">
        <v>9373</v>
      </c>
    </row>
    <row r="9343">
      <c r="A9343" s="11" t="s">
        <v>9374</v>
      </c>
    </row>
    <row r="9344">
      <c r="A9344" s="11" t="s">
        <v>9375</v>
      </c>
    </row>
    <row r="9345">
      <c r="A9345" s="11" t="s">
        <v>9376</v>
      </c>
    </row>
    <row r="9346">
      <c r="A9346" s="11" t="s">
        <v>9377</v>
      </c>
    </row>
    <row r="9347">
      <c r="A9347" s="11" t="s">
        <v>9378</v>
      </c>
    </row>
    <row r="9348">
      <c r="A9348" s="11" t="s">
        <v>9379</v>
      </c>
    </row>
    <row r="9349">
      <c r="A9349" s="11" t="s">
        <v>9380</v>
      </c>
    </row>
    <row r="9350">
      <c r="A9350" s="11" t="s">
        <v>9381</v>
      </c>
    </row>
    <row r="9351">
      <c r="A9351" s="11" t="s">
        <v>9382</v>
      </c>
    </row>
    <row r="9352">
      <c r="A9352" s="11" t="s">
        <v>9383</v>
      </c>
    </row>
    <row r="9353">
      <c r="A9353" s="11" t="s">
        <v>9384</v>
      </c>
    </row>
    <row r="9354">
      <c r="A9354" s="11" t="s">
        <v>9385</v>
      </c>
    </row>
    <row r="9355">
      <c r="A9355" s="11" t="s">
        <v>9386</v>
      </c>
    </row>
    <row r="9356">
      <c r="A9356" s="11" t="s">
        <v>9387</v>
      </c>
    </row>
    <row r="9357">
      <c r="A9357" s="11" t="s">
        <v>9388</v>
      </c>
    </row>
    <row r="9358">
      <c r="A9358" s="11" t="s">
        <v>9389</v>
      </c>
    </row>
    <row r="9359">
      <c r="A9359" s="11" t="s">
        <v>9390</v>
      </c>
    </row>
    <row r="9360">
      <c r="A9360" s="11" t="s">
        <v>9391</v>
      </c>
    </row>
    <row r="9361">
      <c r="A9361" s="11" t="s">
        <v>9392</v>
      </c>
    </row>
    <row r="9362">
      <c r="A9362" s="11" t="s">
        <v>9393</v>
      </c>
    </row>
    <row r="9363">
      <c r="A9363" s="11" t="s">
        <v>9394</v>
      </c>
    </row>
    <row r="9364">
      <c r="A9364" s="11" t="s">
        <v>9395</v>
      </c>
    </row>
    <row r="9365">
      <c r="A9365" s="11" t="s">
        <v>9396</v>
      </c>
    </row>
    <row r="9366">
      <c r="A9366" s="11" t="s">
        <v>9397</v>
      </c>
    </row>
    <row r="9367">
      <c r="A9367" s="11" t="s">
        <v>9398</v>
      </c>
    </row>
    <row r="9368">
      <c r="A9368" s="11" t="s">
        <v>9399</v>
      </c>
    </row>
    <row r="9369">
      <c r="A9369" s="11" t="s">
        <v>9400</v>
      </c>
    </row>
    <row r="9370">
      <c r="A9370" s="11" t="s">
        <v>9401</v>
      </c>
    </row>
    <row r="9371">
      <c r="A9371" s="11" t="s">
        <v>9402</v>
      </c>
    </row>
    <row r="9372">
      <c r="A9372" s="11" t="s">
        <v>9403</v>
      </c>
    </row>
    <row r="9373">
      <c r="A9373" s="11" t="s">
        <v>9404</v>
      </c>
    </row>
    <row r="9374">
      <c r="A9374" s="11" t="s">
        <v>9405</v>
      </c>
    </row>
    <row r="9375">
      <c r="A9375" s="11" t="s">
        <v>9406</v>
      </c>
    </row>
    <row r="9376">
      <c r="A9376" s="11" t="s">
        <v>9407</v>
      </c>
    </row>
    <row r="9377">
      <c r="A9377" s="11" t="s">
        <v>9408</v>
      </c>
    </row>
    <row r="9378">
      <c r="A9378" s="11" t="s">
        <v>9409</v>
      </c>
    </row>
    <row r="9379">
      <c r="A9379" s="11" t="s">
        <v>9410</v>
      </c>
    </row>
    <row r="9380">
      <c r="A9380" s="11" t="s">
        <v>9411</v>
      </c>
    </row>
    <row r="9381">
      <c r="A9381" s="11" t="s">
        <v>9412</v>
      </c>
    </row>
    <row r="9382">
      <c r="A9382" s="11" t="s">
        <v>9413</v>
      </c>
    </row>
    <row r="9383">
      <c r="A9383" s="11" t="s">
        <v>9414</v>
      </c>
    </row>
    <row r="9384">
      <c r="A9384" s="11" t="s">
        <v>9415</v>
      </c>
    </row>
    <row r="9385">
      <c r="A9385" s="11" t="s">
        <v>9416</v>
      </c>
    </row>
    <row r="9386">
      <c r="A9386" s="11" t="s">
        <v>9417</v>
      </c>
    </row>
    <row r="9387">
      <c r="A9387" s="11" t="s">
        <v>9418</v>
      </c>
    </row>
    <row r="9388">
      <c r="A9388" s="11" t="s">
        <v>9419</v>
      </c>
    </row>
    <row r="9389">
      <c r="A9389" s="11" t="s">
        <v>9420</v>
      </c>
    </row>
    <row r="9390">
      <c r="A9390" s="11" t="s">
        <v>9421</v>
      </c>
    </row>
    <row r="9391">
      <c r="A9391" s="11" t="s">
        <v>9422</v>
      </c>
    </row>
    <row r="9392">
      <c r="A9392" s="11" t="s">
        <v>9423</v>
      </c>
    </row>
    <row r="9393">
      <c r="A9393" s="11" t="s">
        <v>9424</v>
      </c>
    </row>
    <row r="9394">
      <c r="A9394" s="11" t="s">
        <v>9425</v>
      </c>
    </row>
    <row r="9395">
      <c r="A9395" s="11" t="s">
        <v>9426</v>
      </c>
    </row>
    <row r="9396">
      <c r="A9396" s="11" t="s">
        <v>9427</v>
      </c>
    </row>
    <row r="9397">
      <c r="A9397" s="11" t="s">
        <v>9428</v>
      </c>
    </row>
    <row r="9398">
      <c r="A9398" s="11" t="s">
        <v>9429</v>
      </c>
    </row>
    <row r="9399">
      <c r="A9399" s="11" t="s">
        <v>9430</v>
      </c>
    </row>
    <row r="9400">
      <c r="A9400" s="11" t="s">
        <v>9431</v>
      </c>
    </row>
    <row r="9401">
      <c r="A9401" s="11" t="s">
        <v>9432</v>
      </c>
    </row>
    <row r="9402">
      <c r="A9402" s="11" t="s">
        <v>9433</v>
      </c>
    </row>
    <row r="9403">
      <c r="A9403" s="11" t="s">
        <v>9434</v>
      </c>
    </row>
    <row r="9404">
      <c r="A9404" s="11" t="s">
        <v>9435</v>
      </c>
    </row>
    <row r="9405">
      <c r="A9405" s="11" t="s">
        <v>9436</v>
      </c>
    </row>
    <row r="9406">
      <c r="A9406" s="11" t="s">
        <v>9437</v>
      </c>
    </row>
    <row r="9407">
      <c r="A9407" s="11" t="s">
        <v>9438</v>
      </c>
    </row>
    <row r="9408">
      <c r="A9408" s="11" t="s">
        <v>9439</v>
      </c>
    </row>
    <row r="9409">
      <c r="A9409" s="11" t="s">
        <v>9440</v>
      </c>
    </row>
    <row r="9410">
      <c r="A9410" s="11" t="s">
        <v>9441</v>
      </c>
    </row>
    <row r="9411">
      <c r="A9411" s="11" t="s">
        <v>9442</v>
      </c>
    </row>
    <row r="9412">
      <c r="A9412" s="11" t="s">
        <v>9443</v>
      </c>
    </row>
    <row r="9413">
      <c r="A9413" s="11" t="s">
        <v>9444</v>
      </c>
    </row>
    <row r="9414">
      <c r="A9414" s="11" t="s">
        <v>9445</v>
      </c>
    </row>
    <row r="9415">
      <c r="A9415" s="11" t="s">
        <v>9446</v>
      </c>
    </row>
    <row r="9416">
      <c r="A9416" s="11" t="s">
        <v>9447</v>
      </c>
    </row>
    <row r="9417">
      <c r="A9417" s="11" t="s">
        <v>9448</v>
      </c>
    </row>
    <row r="9418">
      <c r="A9418" s="11" t="s">
        <v>9449</v>
      </c>
    </row>
    <row r="9419">
      <c r="A9419" s="11" t="s">
        <v>9450</v>
      </c>
    </row>
    <row r="9420">
      <c r="A9420" s="11" t="s">
        <v>9451</v>
      </c>
    </row>
    <row r="9421">
      <c r="A9421" s="11" t="s">
        <v>9452</v>
      </c>
    </row>
    <row r="9422">
      <c r="A9422" s="11" t="s">
        <v>9453</v>
      </c>
    </row>
    <row r="9423">
      <c r="A9423" s="11" t="s">
        <v>9454</v>
      </c>
    </row>
    <row r="9424">
      <c r="A9424" s="11" t="s">
        <v>9455</v>
      </c>
    </row>
    <row r="9425">
      <c r="A9425" s="11" t="s">
        <v>9456</v>
      </c>
    </row>
    <row r="9426">
      <c r="A9426" s="11" t="s">
        <v>9457</v>
      </c>
    </row>
    <row r="9427">
      <c r="A9427" s="11" t="s">
        <v>9458</v>
      </c>
    </row>
    <row r="9428">
      <c r="A9428" s="11" t="s">
        <v>9459</v>
      </c>
    </row>
    <row r="9429">
      <c r="A9429" s="11" t="s">
        <v>9460</v>
      </c>
    </row>
    <row r="9430">
      <c r="A9430" s="11" t="s">
        <v>9461</v>
      </c>
    </row>
    <row r="9431">
      <c r="A9431" s="11" t="s">
        <v>9462</v>
      </c>
    </row>
    <row r="9432">
      <c r="A9432" s="11" t="s">
        <v>9463</v>
      </c>
    </row>
    <row r="9433">
      <c r="A9433" s="11" t="s">
        <v>9464</v>
      </c>
    </row>
    <row r="9434">
      <c r="A9434" s="11" t="s">
        <v>9465</v>
      </c>
    </row>
    <row r="9435">
      <c r="A9435" s="11" t="s">
        <v>9466</v>
      </c>
    </row>
    <row r="9436">
      <c r="A9436" s="11" t="s">
        <v>9467</v>
      </c>
    </row>
    <row r="9437">
      <c r="A9437" s="11" t="s">
        <v>9468</v>
      </c>
    </row>
    <row r="9438">
      <c r="A9438" s="11" t="s">
        <v>9469</v>
      </c>
    </row>
    <row r="9439">
      <c r="A9439" s="11" t="s">
        <v>9470</v>
      </c>
    </row>
    <row r="9440">
      <c r="A9440" s="11" t="s">
        <v>9471</v>
      </c>
    </row>
    <row r="9441">
      <c r="A9441" s="11" t="s">
        <v>9472</v>
      </c>
    </row>
    <row r="9442">
      <c r="A9442" s="11" t="s">
        <v>9473</v>
      </c>
    </row>
    <row r="9443">
      <c r="A9443" s="11" t="s">
        <v>9474</v>
      </c>
    </row>
    <row r="9444">
      <c r="A9444" s="11" t="s">
        <v>9475</v>
      </c>
    </row>
    <row r="9445">
      <c r="A9445" s="11" t="s">
        <v>9476</v>
      </c>
    </row>
    <row r="9446">
      <c r="A9446" s="11" t="s">
        <v>9477</v>
      </c>
    </row>
    <row r="9447">
      <c r="A9447" s="11" t="s">
        <v>9478</v>
      </c>
    </row>
    <row r="9448">
      <c r="A9448" s="11" t="s">
        <v>9479</v>
      </c>
    </row>
    <row r="9449">
      <c r="A9449" s="11" t="s">
        <v>9480</v>
      </c>
    </row>
    <row r="9450">
      <c r="A9450" s="11" t="s">
        <v>9481</v>
      </c>
    </row>
    <row r="9451">
      <c r="A9451" s="11" t="s">
        <v>9482</v>
      </c>
    </row>
    <row r="9452">
      <c r="A9452" s="11" t="s">
        <v>9483</v>
      </c>
    </row>
    <row r="9453">
      <c r="A9453" s="11" t="s">
        <v>9484</v>
      </c>
    </row>
    <row r="9454">
      <c r="A9454" s="11" t="s">
        <v>9485</v>
      </c>
    </row>
    <row r="9455">
      <c r="A9455" s="11" t="s">
        <v>9486</v>
      </c>
    </row>
    <row r="9456">
      <c r="A9456" s="11" t="s">
        <v>9487</v>
      </c>
    </row>
    <row r="9457">
      <c r="A9457" s="11" t="s">
        <v>9488</v>
      </c>
    </row>
    <row r="9458">
      <c r="A9458" s="11" t="s">
        <v>9489</v>
      </c>
    </row>
    <row r="9459">
      <c r="A9459" s="11" t="s">
        <v>9490</v>
      </c>
    </row>
    <row r="9460">
      <c r="A9460" s="11" t="s">
        <v>9491</v>
      </c>
    </row>
    <row r="9461">
      <c r="A9461" s="11" t="s">
        <v>9492</v>
      </c>
    </row>
    <row r="9462">
      <c r="A9462" s="11" t="s">
        <v>9493</v>
      </c>
    </row>
    <row r="9463">
      <c r="A9463" s="11" t="s">
        <v>9494</v>
      </c>
    </row>
    <row r="9464">
      <c r="A9464" s="11" t="s">
        <v>9495</v>
      </c>
    </row>
    <row r="9465">
      <c r="A9465" s="11" t="s">
        <v>9496</v>
      </c>
    </row>
    <row r="9466">
      <c r="A9466" s="11" t="s">
        <v>9497</v>
      </c>
    </row>
    <row r="9467">
      <c r="A9467" s="11" t="s">
        <v>9498</v>
      </c>
    </row>
    <row r="9468">
      <c r="A9468" s="11" t="s">
        <v>9499</v>
      </c>
    </row>
    <row r="9469">
      <c r="A9469" s="11" t="s">
        <v>9500</v>
      </c>
    </row>
    <row r="9470">
      <c r="A9470" s="11" t="s">
        <v>9501</v>
      </c>
    </row>
    <row r="9471">
      <c r="A9471" s="11" t="s">
        <v>9502</v>
      </c>
    </row>
    <row r="9472">
      <c r="A9472" s="11" t="s">
        <v>9503</v>
      </c>
    </row>
    <row r="9473">
      <c r="A9473" s="11" t="s">
        <v>9504</v>
      </c>
    </row>
    <row r="9474">
      <c r="A9474" s="11" t="s">
        <v>9505</v>
      </c>
    </row>
    <row r="9475">
      <c r="A9475" s="11" t="s">
        <v>9506</v>
      </c>
    </row>
    <row r="9476">
      <c r="A9476" s="11" t="s">
        <v>9507</v>
      </c>
    </row>
    <row r="9477">
      <c r="A9477" s="11" t="s">
        <v>9508</v>
      </c>
    </row>
    <row r="9478">
      <c r="A9478" s="11" t="s">
        <v>9509</v>
      </c>
    </row>
    <row r="9479">
      <c r="A9479" s="11" t="s">
        <v>9510</v>
      </c>
    </row>
    <row r="9480">
      <c r="A9480" s="11" t="s">
        <v>9511</v>
      </c>
    </row>
    <row r="9481">
      <c r="A9481" s="11" t="s">
        <v>9512</v>
      </c>
    </row>
    <row r="9482">
      <c r="A9482" s="11" t="s">
        <v>9513</v>
      </c>
    </row>
    <row r="9483">
      <c r="A9483" s="11" t="s">
        <v>9514</v>
      </c>
    </row>
    <row r="9484">
      <c r="A9484" s="11" t="s">
        <v>9515</v>
      </c>
    </row>
    <row r="9485">
      <c r="A9485" s="11" t="s">
        <v>9516</v>
      </c>
    </row>
    <row r="9486">
      <c r="A9486" s="11" t="s">
        <v>9517</v>
      </c>
    </row>
    <row r="9487">
      <c r="A9487" s="11" t="s">
        <v>9518</v>
      </c>
    </row>
    <row r="9488">
      <c r="A9488" s="11" t="s">
        <v>9519</v>
      </c>
    </row>
    <row r="9489">
      <c r="A9489" s="11" t="s">
        <v>9520</v>
      </c>
    </row>
    <row r="9490">
      <c r="A9490" s="11" t="s">
        <v>9521</v>
      </c>
    </row>
    <row r="9491">
      <c r="A9491" s="11" t="s">
        <v>9522</v>
      </c>
    </row>
    <row r="9492">
      <c r="A9492" s="11" t="s">
        <v>9523</v>
      </c>
    </row>
    <row r="9493">
      <c r="A9493" s="11" t="s">
        <v>9524</v>
      </c>
    </row>
    <row r="9494">
      <c r="A9494" s="11" t="s">
        <v>9525</v>
      </c>
    </row>
    <row r="9495">
      <c r="A9495" s="11" t="s">
        <v>9526</v>
      </c>
    </row>
    <row r="9496">
      <c r="A9496" s="11" t="s">
        <v>9527</v>
      </c>
    </row>
    <row r="9497">
      <c r="A9497" s="11" t="s">
        <v>9528</v>
      </c>
    </row>
    <row r="9498">
      <c r="A9498" s="11" t="s">
        <v>9529</v>
      </c>
    </row>
    <row r="9499">
      <c r="A9499" s="11" t="s">
        <v>9530</v>
      </c>
    </row>
    <row r="9500">
      <c r="A9500" s="11" t="s">
        <v>9531</v>
      </c>
    </row>
    <row r="9501">
      <c r="A9501" s="11" t="s">
        <v>9532</v>
      </c>
    </row>
    <row r="9502">
      <c r="A9502" s="11" t="s">
        <v>9533</v>
      </c>
    </row>
    <row r="9503">
      <c r="A9503" s="11" t="s">
        <v>9534</v>
      </c>
    </row>
    <row r="9504">
      <c r="A9504" s="11" t="s">
        <v>9535</v>
      </c>
    </row>
    <row r="9505">
      <c r="A9505" s="11" t="s">
        <v>9536</v>
      </c>
    </row>
    <row r="9506">
      <c r="A9506" s="11" t="s">
        <v>9537</v>
      </c>
    </row>
    <row r="9507">
      <c r="A9507" s="11" t="s">
        <v>9538</v>
      </c>
    </row>
    <row r="9508">
      <c r="A9508" s="11" t="s">
        <v>9539</v>
      </c>
    </row>
    <row r="9509">
      <c r="A9509" s="11" t="s">
        <v>9540</v>
      </c>
    </row>
    <row r="9510">
      <c r="A9510" s="11" t="s">
        <v>9541</v>
      </c>
    </row>
    <row r="9511">
      <c r="A9511" s="11" t="s">
        <v>9542</v>
      </c>
    </row>
    <row r="9512">
      <c r="A9512" s="11" t="s">
        <v>9543</v>
      </c>
    </row>
    <row r="9513">
      <c r="A9513" s="11" t="s">
        <v>9544</v>
      </c>
    </row>
    <row r="9514">
      <c r="A9514" s="11" t="s">
        <v>9545</v>
      </c>
    </row>
    <row r="9515">
      <c r="A9515" s="11" t="s">
        <v>9546</v>
      </c>
    </row>
    <row r="9516">
      <c r="A9516" s="11" t="s">
        <v>9547</v>
      </c>
    </row>
    <row r="9517">
      <c r="A9517" s="11" t="s">
        <v>9548</v>
      </c>
    </row>
    <row r="9518">
      <c r="A9518" s="11" t="s">
        <v>9549</v>
      </c>
    </row>
    <row r="9519">
      <c r="A9519" s="11" t="s">
        <v>9550</v>
      </c>
    </row>
    <row r="9520">
      <c r="A9520" s="11" t="s">
        <v>9551</v>
      </c>
    </row>
    <row r="9521">
      <c r="A9521" s="11" t="s">
        <v>9552</v>
      </c>
    </row>
    <row r="9522">
      <c r="A9522" s="11" t="s">
        <v>9553</v>
      </c>
    </row>
    <row r="9523">
      <c r="A9523" s="11" t="s">
        <v>9554</v>
      </c>
    </row>
    <row r="9524">
      <c r="A9524" s="11" t="s">
        <v>9555</v>
      </c>
    </row>
    <row r="9525">
      <c r="A9525" s="11" t="s">
        <v>9556</v>
      </c>
    </row>
    <row r="9526">
      <c r="A9526" s="11" t="s">
        <v>9557</v>
      </c>
    </row>
    <row r="9527">
      <c r="A9527" s="11" t="s">
        <v>9558</v>
      </c>
    </row>
    <row r="9528">
      <c r="A9528" s="11" t="s">
        <v>9559</v>
      </c>
    </row>
    <row r="9529">
      <c r="A9529" s="11" t="s">
        <v>9560</v>
      </c>
    </row>
    <row r="9530">
      <c r="A9530" s="11" t="s">
        <v>9561</v>
      </c>
    </row>
    <row r="9531">
      <c r="A9531" s="11" t="s">
        <v>9562</v>
      </c>
    </row>
    <row r="9532">
      <c r="A9532" s="11" t="s">
        <v>9563</v>
      </c>
    </row>
    <row r="9533">
      <c r="A9533" s="11" t="s">
        <v>9564</v>
      </c>
    </row>
    <row r="9534">
      <c r="A9534" s="11" t="s">
        <v>9565</v>
      </c>
    </row>
    <row r="9535">
      <c r="A9535" s="11" t="s">
        <v>9566</v>
      </c>
    </row>
    <row r="9536">
      <c r="A9536" s="11" t="s">
        <v>9567</v>
      </c>
    </row>
    <row r="9537">
      <c r="A9537" s="11" t="s">
        <v>9568</v>
      </c>
    </row>
    <row r="9538">
      <c r="A9538" s="11" t="s">
        <v>9569</v>
      </c>
    </row>
    <row r="9539">
      <c r="A9539" s="11" t="s">
        <v>9570</v>
      </c>
    </row>
    <row r="9540">
      <c r="A9540" s="11" t="s">
        <v>9571</v>
      </c>
    </row>
    <row r="9541">
      <c r="A9541" s="11" t="s">
        <v>9572</v>
      </c>
    </row>
    <row r="9542">
      <c r="A9542" s="11" t="s">
        <v>9573</v>
      </c>
    </row>
    <row r="9543">
      <c r="A9543" s="11" t="s">
        <v>9574</v>
      </c>
    </row>
    <row r="9544">
      <c r="A9544" s="11" t="s">
        <v>9575</v>
      </c>
    </row>
    <row r="9545">
      <c r="A9545" s="11" t="s">
        <v>9576</v>
      </c>
    </row>
    <row r="9546">
      <c r="A9546" s="11" t="s">
        <v>9577</v>
      </c>
    </row>
    <row r="9547">
      <c r="A9547" s="11" t="s">
        <v>9578</v>
      </c>
    </row>
    <row r="9548">
      <c r="A9548" s="11" t="s">
        <v>9579</v>
      </c>
    </row>
    <row r="9549">
      <c r="A9549" s="11" t="s">
        <v>9580</v>
      </c>
    </row>
    <row r="9550">
      <c r="A9550" s="11" t="s">
        <v>9581</v>
      </c>
    </row>
    <row r="9551">
      <c r="A9551" s="11" t="s">
        <v>9582</v>
      </c>
    </row>
    <row r="9552">
      <c r="A9552" s="11" t="s">
        <v>9583</v>
      </c>
    </row>
    <row r="9553">
      <c r="A9553" s="11" t="s">
        <v>9584</v>
      </c>
    </row>
    <row r="9554">
      <c r="A9554" s="11" t="s">
        <v>9585</v>
      </c>
    </row>
    <row r="9555">
      <c r="A9555" s="11" t="s">
        <v>9586</v>
      </c>
    </row>
    <row r="9556">
      <c r="A9556" s="11" t="s">
        <v>9587</v>
      </c>
    </row>
    <row r="9557">
      <c r="A9557" s="11" t="s">
        <v>9588</v>
      </c>
    </row>
    <row r="9558">
      <c r="A9558" s="11" t="s">
        <v>9589</v>
      </c>
    </row>
    <row r="9559">
      <c r="A9559" s="11" t="s">
        <v>9590</v>
      </c>
    </row>
    <row r="9560">
      <c r="A9560" s="11" t="s">
        <v>9591</v>
      </c>
    </row>
    <row r="9561">
      <c r="A9561" s="11" t="s">
        <v>9592</v>
      </c>
    </row>
    <row r="9562">
      <c r="A9562" s="11" t="s">
        <v>9593</v>
      </c>
    </row>
    <row r="9563">
      <c r="A9563" s="11" t="s">
        <v>9594</v>
      </c>
    </row>
    <row r="9564">
      <c r="A9564" s="11" t="s">
        <v>9595</v>
      </c>
    </row>
    <row r="9565">
      <c r="A9565" s="11" t="s">
        <v>9596</v>
      </c>
    </row>
    <row r="9566">
      <c r="A9566" s="11" t="s">
        <v>9597</v>
      </c>
    </row>
    <row r="9567">
      <c r="A9567" s="11" t="s">
        <v>9598</v>
      </c>
    </row>
    <row r="9568">
      <c r="A9568" s="11" t="s">
        <v>9599</v>
      </c>
    </row>
    <row r="9569">
      <c r="A9569" s="11" t="s">
        <v>9600</v>
      </c>
    </row>
    <row r="9570">
      <c r="A9570" s="11" t="s">
        <v>9601</v>
      </c>
    </row>
    <row r="9571">
      <c r="A9571" s="11" t="s">
        <v>9602</v>
      </c>
    </row>
    <row r="9572">
      <c r="A9572" s="11" t="s">
        <v>9603</v>
      </c>
    </row>
    <row r="9573">
      <c r="A9573" s="11" t="s">
        <v>9604</v>
      </c>
    </row>
    <row r="9574">
      <c r="A9574" s="11" t="s">
        <v>9605</v>
      </c>
    </row>
    <row r="9575">
      <c r="A9575" s="11" t="s">
        <v>9606</v>
      </c>
    </row>
    <row r="9576">
      <c r="A9576" s="11" t="s">
        <v>9607</v>
      </c>
    </row>
    <row r="9577">
      <c r="A9577" s="11" t="s">
        <v>9608</v>
      </c>
    </row>
    <row r="9578">
      <c r="A9578" s="11" t="s">
        <v>9609</v>
      </c>
    </row>
    <row r="9579">
      <c r="A9579" s="11" t="s">
        <v>9610</v>
      </c>
    </row>
    <row r="9580">
      <c r="A9580" s="11" t="s">
        <v>9611</v>
      </c>
    </row>
    <row r="9581">
      <c r="A9581" s="11" t="s">
        <v>9612</v>
      </c>
    </row>
    <row r="9582">
      <c r="A9582" s="11" t="s">
        <v>9613</v>
      </c>
    </row>
    <row r="9583">
      <c r="A9583" s="11" t="s">
        <v>9614</v>
      </c>
    </row>
    <row r="9584">
      <c r="A9584" s="11" t="s">
        <v>9615</v>
      </c>
    </row>
    <row r="9585">
      <c r="A9585" s="11" t="s">
        <v>9616</v>
      </c>
    </row>
    <row r="9586">
      <c r="A9586" s="11" t="s">
        <v>9617</v>
      </c>
    </row>
    <row r="9587">
      <c r="A9587" s="11" t="s">
        <v>9618</v>
      </c>
    </row>
    <row r="9588">
      <c r="A9588" s="11" t="s">
        <v>9619</v>
      </c>
    </row>
    <row r="9589">
      <c r="A9589" s="11" t="s">
        <v>9620</v>
      </c>
    </row>
    <row r="9590">
      <c r="A9590" s="11" t="s">
        <v>9621</v>
      </c>
    </row>
    <row r="9591">
      <c r="A9591" s="11" t="s">
        <v>9622</v>
      </c>
    </row>
    <row r="9592">
      <c r="A9592" s="11" t="s">
        <v>9623</v>
      </c>
    </row>
    <row r="9593">
      <c r="A9593" s="11" t="s">
        <v>9624</v>
      </c>
    </row>
    <row r="9594">
      <c r="A9594" s="11" t="s">
        <v>9625</v>
      </c>
    </row>
    <row r="9595">
      <c r="A9595" s="11" t="s">
        <v>9626</v>
      </c>
    </row>
    <row r="9596">
      <c r="A9596" s="11" t="s">
        <v>9627</v>
      </c>
    </row>
    <row r="9597">
      <c r="A9597" s="11" t="s">
        <v>9628</v>
      </c>
    </row>
    <row r="9598">
      <c r="A9598" s="11" t="s">
        <v>9629</v>
      </c>
    </row>
    <row r="9599">
      <c r="A9599" s="11" t="s">
        <v>9630</v>
      </c>
    </row>
    <row r="9600">
      <c r="A9600" s="11" t="s">
        <v>9631</v>
      </c>
    </row>
    <row r="9601">
      <c r="A9601" s="11" t="s">
        <v>9632</v>
      </c>
    </row>
    <row r="9602">
      <c r="A9602" s="11" t="s">
        <v>9633</v>
      </c>
    </row>
    <row r="9603">
      <c r="A9603" s="11" t="s">
        <v>9634</v>
      </c>
    </row>
    <row r="9604">
      <c r="A9604" s="11" t="s">
        <v>9635</v>
      </c>
    </row>
    <row r="9605">
      <c r="A9605" s="11" t="s">
        <v>9636</v>
      </c>
    </row>
    <row r="9606">
      <c r="A9606" s="11" t="s">
        <v>9637</v>
      </c>
    </row>
    <row r="9607">
      <c r="A9607" s="11" t="s">
        <v>9638</v>
      </c>
    </row>
    <row r="9608">
      <c r="A9608" s="11" t="s">
        <v>9639</v>
      </c>
    </row>
    <row r="9609">
      <c r="A9609" s="11" t="s">
        <v>9640</v>
      </c>
    </row>
    <row r="9610">
      <c r="A9610" s="11" t="s">
        <v>9641</v>
      </c>
    </row>
    <row r="9611">
      <c r="A9611" s="11" t="s">
        <v>9642</v>
      </c>
    </row>
    <row r="9612">
      <c r="A9612" s="11" t="s">
        <v>9643</v>
      </c>
    </row>
    <row r="9613">
      <c r="A9613" s="11" t="s">
        <v>9644</v>
      </c>
    </row>
    <row r="9614">
      <c r="A9614" s="11" t="s">
        <v>9645</v>
      </c>
    </row>
    <row r="9615">
      <c r="A9615" s="11" t="s">
        <v>9646</v>
      </c>
    </row>
    <row r="9616">
      <c r="A9616" s="11" t="s">
        <v>9647</v>
      </c>
    </row>
    <row r="9617">
      <c r="A9617" s="11" t="s">
        <v>9648</v>
      </c>
    </row>
    <row r="9618">
      <c r="A9618" s="11" t="s">
        <v>9649</v>
      </c>
    </row>
    <row r="9619">
      <c r="A9619" s="11" t="s">
        <v>9650</v>
      </c>
    </row>
    <row r="9620">
      <c r="A9620" s="11" t="s">
        <v>9651</v>
      </c>
    </row>
    <row r="9621">
      <c r="A9621" s="11" t="s">
        <v>9652</v>
      </c>
    </row>
    <row r="9622">
      <c r="A9622" s="11" t="s">
        <v>9653</v>
      </c>
    </row>
    <row r="9623">
      <c r="A9623" s="11" t="s">
        <v>9654</v>
      </c>
    </row>
    <row r="9624">
      <c r="A9624" s="11" t="s">
        <v>9655</v>
      </c>
    </row>
    <row r="9625">
      <c r="A9625" s="11" t="s">
        <v>9656</v>
      </c>
    </row>
    <row r="9626">
      <c r="A9626" s="11" t="s">
        <v>9657</v>
      </c>
    </row>
    <row r="9627">
      <c r="A9627" s="11" t="s">
        <v>9658</v>
      </c>
    </row>
    <row r="9628">
      <c r="A9628" s="11" t="s">
        <v>9659</v>
      </c>
    </row>
    <row r="9629">
      <c r="A9629" s="11" t="s">
        <v>9660</v>
      </c>
    </row>
    <row r="9630">
      <c r="A9630" s="11" t="s">
        <v>9661</v>
      </c>
    </row>
    <row r="9631">
      <c r="A9631" s="11" t="s">
        <v>9662</v>
      </c>
    </row>
    <row r="9632">
      <c r="A9632" s="11" t="s">
        <v>9663</v>
      </c>
    </row>
    <row r="9633">
      <c r="A9633" s="11" t="s">
        <v>9664</v>
      </c>
    </row>
    <row r="9634">
      <c r="A9634" s="11" t="s">
        <v>9665</v>
      </c>
    </row>
    <row r="9635">
      <c r="A9635" s="11" t="s">
        <v>9666</v>
      </c>
    </row>
    <row r="9636">
      <c r="A9636" s="11" t="s">
        <v>9667</v>
      </c>
    </row>
    <row r="9637">
      <c r="A9637" s="11" t="s">
        <v>9668</v>
      </c>
    </row>
    <row r="9638">
      <c r="A9638" s="11" t="s">
        <v>9669</v>
      </c>
    </row>
    <row r="9639">
      <c r="A9639" s="11" t="s">
        <v>9670</v>
      </c>
    </row>
    <row r="9640">
      <c r="A9640" s="11" t="s">
        <v>9671</v>
      </c>
    </row>
    <row r="9641">
      <c r="A9641" s="11" t="s">
        <v>9672</v>
      </c>
    </row>
    <row r="9642">
      <c r="A9642" s="11" t="s">
        <v>9673</v>
      </c>
    </row>
    <row r="9643">
      <c r="A9643" s="11" t="s">
        <v>9674</v>
      </c>
    </row>
    <row r="9644">
      <c r="A9644" s="11" t="s">
        <v>9675</v>
      </c>
    </row>
    <row r="9645">
      <c r="A9645" s="11" t="s">
        <v>9676</v>
      </c>
    </row>
    <row r="9646">
      <c r="A9646" s="11" t="s">
        <v>9677</v>
      </c>
    </row>
    <row r="9647">
      <c r="A9647" s="11" t="s">
        <v>9678</v>
      </c>
    </row>
    <row r="9648">
      <c r="A9648" s="11" t="s">
        <v>9679</v>
      </c>
    </row>
    <row r="9649">
      <c r="A9649" s="11" t="s">
        <v>9680</v>
      </c>
    </row>
    <row r="9650">
      <c r="A9650" s="11" t="s">
        <v>9681</v>
      </c>
    </row>
    <row r="9651">
      <c r="A9651" s="11" t="s">
        <v>9682</v>
      </c>
    </row>
    <row r="9652">
      <c r="A9652" s="11" t="s">
        <v>9683</v>
      </c>
    </row>
    <row r="9653">
      <c r="A9653" s="11" t="s">
        <v>9684</v>
      </c>
    </row>
    <row r="9654">
      <c r="A9654" s="11" t="s">
        <v>9685</v>
      </c>
    </row>
    <row r="9655">
      <c r="A9655" s="11" t="s">
        <v>9686</v>
      </c>
    </row>
    <row r="9656">
      <c r="A9656" s="11" t="s">
        <v>9687</v>
      </c>
    </row>
    <row r="9657">
      <c r="A9657" s="11" t="s">
        <v>9688</v>
      </c>
    </row>
    <row r="9658">
      <c r="A9658" s="11" t="s">
        <v>9689</v>
      </c>
    </row>
    <row r="9659">
      <c r="A9659" s="11" t="s">
        <v>9690</v>
      </c>
    </row>
    <row r="9660">
      <c r="A9660" s="11" t="s">
        <v>9691</v>
      </c>
    </row>
    <row r="9661">
      <c r="A9661" s="11" t="s">
        <v>9692</v>
      </c>
    </row>
    <row r="9662">
      <c r="A9662" s="11" t="s">
        <v>9693</v>
      </c>
    </row>
    <row r="9663">
      <c r="A9663" s="11" t="s">
        <v>9694</v>
      </c>
    </row>
    <row r="9664">
      <c r="A9664" s="11" t="s">
        <v>9695</v>
      </c>
    </row>
    <row r="9665">
      <c r="A9665" s="11" t="s">
        <v>9696</v>
      </c>
    </row>
    <row r="9666">
      <c r="A9666" s="11" t="s">
        <v>9697</v>
      </c>
    </row>
    <row r="9667">
      <c r="A9667" s="11" t="s">
        <v>9698</v>
      </c>
    </row>
    <row r="9668">
      <c r="A9668" s="11" t="s">
        <v>9699</v>
      </c>
    </row>
    <row r="9669">
      <c r="A9669" s="11" t="s">
        <v>9700</v>
      </c>
    </row>
    <row r="9670">
      <c r="A9670" s="11" t="s">
        <v>9701</v>
      </c>
    </row>
    <row r="9671">
      <c r="A9671" s="11" t="s">
        <v>9702</v>
      </c>
    </row>
    <row r="9672">
      <c r="A9672" s="11" t="s">
        <v>9703</v>
      </c>
    </row>
    <row r="9673">
      <c r="A9673" s="11" t="s">
        <v>9704</v>
      </c>
    </row>
    <row r="9674">
      <c r="A9674" s="11" t="s">
        <v>9705</v>
      </c>
    </row>
    <row r="9675">
      <c r="A9675" s="11" t="s">
        <v>9706</v>
      </c>
    </row>
    <row r="9676">
      <c r="A9676" s="11" t="s">
        <v>9707</v>
      </c>
    </row>
    <row r="9677">
      <c r="A9677" s="11" t="s">
        <v>9708</v>
      </c>
    </row>
    <row r="9678">
      <c r="A9678" s="11" t="s">
        <v>9709</v>
      </c>
    </row>
    <row r="9679">
      <c r="A9679" s="11" t="s">
        <v>9710</v>
      </c>
    </row>
    <row r="9680">
      <c r="A9680" s="11" t="s">
        <v>9711</v>
      </c>
    </row>
    <row r="9681">
      <c r="A9681" s="11" t="s">
        <v>9712</v>
      </c>
    </row>
    <row r="9682">
      <c r="A9682" s="11" t="s">
        <v>9713</v>
      </c>
    </row>
    <row r="9683">
      <c r="A9683" s="11" t="s">
        <v>9714</v>
      </c>
    </row>
    <row r="9684">
      <c r="A9684" s="11" t="s">
        <v>9715</v>
      </c>
    </row>
    <row r="9685">
      <c r="A9685" s="11" t="s">
        <v>9716</v>
      </c>
    </row>
    <row r="9686">
      <c r="A9686" s="11" t="s">
        <v>9717</v>
      </c>
    </row>
    <row r="9687">
      <c r="A9687" s="11" t="s">
        <v>9718</v>
      </c>
    </row>
    <row r="9688">
      <c r="A9688" s="11" t="s">
        <v>9719</v>
      </c>
    </row>
    <row r="9689">
      <c r="A9689" s="11" t="s">
        <v>9720</v>
      </c>
    </row>
    <row r="9690">
      <c r="A9690" s="11" t="s">
        <v>9721</v>
      </c>
    </row>
    <row r="9691">
      <c r="A9691" s="11" t="s">
        <v>9722</v>
      </c>
    </row>
    <row r="9692">
      <c r="A9692" s="11" t="s">
        <v>9723</v>
      </c>
    </row>
    <row r="9693">
      <c r="A9693" s="11" t="s">
        <v>9724</v>
      </c>
    </row>
    <row r="9694">
      <c r="A9694" s="11" t="s">
        <v>9725</v>
      </c>
    </row>
    <row r="9695">
      <c r="A9695" s="11" t="s">
        <v>9726</v>
      </c>
    </row>
    <row r="9696">
      <c r="A9696" s="11" t="s">
        <v>9727</v>
      </c>
    </row>
    <row r="9697">
      <c r="A9697" s="11" t="s">
        <v>9728</v>
      </c>
    </row>
    <row r="9698">
      <c r="A9698" s="11" t="s">
        <v>9729</v>
      </c>
    </row>
    <row r="9699">
      <c r="A9699" s="11" t="s">
        <v>9730</v>
      </c>
    </row>
    <row r="9700">
      <c r="A9700" s="11" t="s">
        <v>9731</v>
      </c>
    </row>
    <row r="9701">
      <c r="A9701" s="11" t="s">
        <v>9732</v>
      </c>
    </row>
    <row r="9702">
      <c r="A9702" s="11" t="s">
        <v>9733</v>
      </c>
    </row>
    <row r="9703">
      <c r="A9703" s="11" t="s">
        <v>9734</v>
      </c>
    </row>
    <row r="9704">
      <c r="A9704" s="11" t="s">
        <v>9735</v>
      </c>
    </row>
    <row r="9705">
      <c r="A9705" s="11" t="s">
        <v>9736</v>
      </c>
    </row>
    <row r="9706">
      <c r="A9706" s="11" t="s">
        <v>9737</v>
      </c>
    </row>
    <row r="9707">
      <c r="A9707" s="11" t="s">
        <v>9738</v>
      </c>
    </row>
    <row r="9708">
      <c r="A9708" s="11" t="s">
        <v>9739</v>
      </c>
    </row>
    <row r="9709">
      <c r="A9709" s="11" t="s">
        <v>9740</v>
      </c>
    </row>
    <row r="9710">
      <c r="A9710" s="11" t="s">
        <v>9741</v>
      </c>
    </row>
    <row r="9711">
      <c r="A9711" s="11" t="s">
        <v>9742</v>
      </c>
    </row>
    <row r="9712">
      <c r="A9712" s="11" t="s">
        <v>9743</v>
      </c>
    </row>
    <row r="9713">
      <c r="A9713" s="11" t="s">
        <v>9744</v>
      </c>
    </row>
    <row r="9714">
      <c r="A9714" s="11" t="s">
        <v>9745</v>
      </c>
    </row>
    <row r="9715">
      <c r="A9715" s="11" t="s">
        <v>9746</v>
      </c>
    </row>
    <row r="9716">
      <c r="A9716" s="11" t="s">
        <v>9747</v>
      </c>
    </row>
    <row r="9717">
      <c r="A9717" s="11" t="s">
        <v>9748</v>
      </c>
    </row>
    <row r="9718">
      <c r="A9718" s="11" t="s">
        <v>9749</v>
      </c>
    </row>
    <row r="9719">
      <c r="A9719" s="11" t="s">
        <v>9750</v>
      </c>
    </row>
    <row r="9720">
      <c r="A9720" s="11" t="s">
        <v>9751</v>
      </c>
    </row>
    <row r="9721">
      <c r="A9721" s="11" t="s">
        <v>9752</v>
      </c>
    </row>
    <row r="9722">
      <c r="A9722" s="11" t="s">
        <v>9753</v>
      </c>
    </row>
    <row r="9723">
      <c r="A9723" s="11" t="s">
        <v>9754</v>
      </c>
    </row>
    <row r="9724">
      <c r="A9724" s="11" t="s">
        <v>9755</v>
      </c>
    </row>
    <row r="9725">
      <c r="A9725" s="11" t="s">
        <v>9756</v>
      </c>
    </row>
    <row r="9726">
      <c r="A9726" s="11" t="s">
        <v>9757</v>
      </c>
    </row>
    <row r="9727">
      <c r="A9727" s="11" t="s">
        <v>9758</v>
      </c>
    </row>
    <row r="9728">
      <c r="A9728" s="11" t="s">
        <v>9759</v>
      </c>
    </row>
    <row r="9729">
      <c r="A9729" s="11" t="s">
        <v>9760</v>
      </c>
    </row>
    <row r="9730">
      <c r="A9730" s="11" t="s">
        <v>9761</v>
      </c>
    </row>
    <row r="9731">
      <c r="A9731" s="11" t="s">
        <v>9762</v>
      </c>
    </row>
    <row r="9732">
      <c r="A9732" s="11" t="s">
        <v>9763</v>
      </c>
    </row>
    <row r="9733">
      <c r="A9733" s="11" t="s">
        <v>9764</v>
      </c>
    </row>
    <row r="9734">
      <c r="A9734" s="11" t="s">
        <v>9765</v>
      </c>
    </row>
    <row r="9735">
      <c r="A9735" s="11" t="s">
        <v>9766</v>
      </c>
    </row>
    <row r="9736">
      <c r="A9736" s="11" t="s">
        <v>9767</v>
      </c>
    </row>
    <row r="9737">
      <c r="A9737" s="11" t="s">
        <v>9768</v>
      </c>
    </row>
    <row r="9738">
      <c r="A9738" s="11" t="s">
        <v>9769</v>
      </c>
    </row>
    <row r="9739">
      <c r="A9739" s="11" t="s">
        <v>9770</v>
      </c>
    </row>
    <row r="9740">
      <c r="A9740" s="11" t="s">
        <v>9771</v>
      </c>
    </row>
    <row r="9741">
      <c r="A9741" s="11" t="s">
        <v>9772</v>
      </c>
    </row>
    <row r="9742">
      <c r="A9742" s="11" t="s">
        <v>9773</v>
      </c>
    </row>
    <row r="9743">
      <c r="A9743" s="11" t="s">
        <v>9774</v>
      </c>
    </row>
    <row r="9744">
      <c r="A9744" s="11" t="s">
        <v>9775</v>
      </c>
    </row>
    <row r="9745">
      <c r="A9745" s="11" t="s">
        <v>9776</v>
      </c>
    </row>
    <row r="9746">
      <c r="A9746" s="11" t="s">
        <v>9777</v>
      </c>
    </row>
    <row r="9747">
      <c r="A9747" s="11" t="s">
        <v>9778</v>
      </c>
    </row>
    <row r="9748">
      <c r="A9748" s="11" t="s">
        <v>9779</v>
      </c>
    </row>
    <row r="9749">
      <c r="A9749" s="11" t="s">
        <v>9780</v>
      </c>
    </row>
    <row r="9750">
      <c r="A9750" s="11" t="s">
        <v>9781</v>
      </c>
    </row>
    <row r="9751">
      <c r="A9751" s="11" t="s">
        <v>9782</v>
      </c>
    </row>
    <row r="9752">
      <c r="A9752" s="11" t="s">
        <v>9783</v>
      </c>
    </row>
    <row r="9753">
      <c r="A9753" s="11" t="s">
        <v>9784</v>
      </c>
    </row>
    <row r="9754">
      <c r="A9754" s="11" t="s">
        <v>9785</v>
      </c>
    </row>
    <row r="9755">
      <c r="A9755" s="11" t="s">
        <v>9786</v>
      </c>
    </row>
    <row r="9756">
      <c r="A9756" s="11" t="s">
        <v>9787</v>
      </c>
    </row>
    <row r="9757">
      <c r="A9757" s="11" t="s">
        <v>9788</v>
      </c>
    </row>
    <row r="9758">
      <c r="A9758" s="11" t="s">
        <v>9789</v>
      </c>
    </row>
    <row r="9759">
      <c r="A9759" s="11" t="s">
        <v>9790</v>
      </c>
    </row>
    <row r="9760">
      <c r="A9760" s="11" t="s">
        <v>9791</v>
      </c>
    </row>
    <row r="9761">
      <c r="A9761" s="11" t="s">
        <v>9792</v>
      </c>
    </row>
    <row r="9762">
      <c r="A9762" s="11" t="s">
        <v>9793</v>
      </c>
    </row>
    <row r="9763">
      <c r="A9763" s="11" t="s">
        <v>9794</v>
      </c>
    </row>
    <row r="9764">
      <c r="A9764" s="11" t="s">
        <v>9795</v>
      </c>
    </row>
    <row r="9765">
      <c r="A9765" s="11" t="s">
        <v>9796</v>
      </c>
    </row>
    <row r="9766">
      <c r="A9766" s="11" t="s">
        <v>9797</v>
      </c>
    </row>
    <row r="9767">
      <c r="A9767" s="11" t="s">
        <v>9798</v>
      </c>
    </row>
    <row r="9768">
      <c r="A9768" s="11" t="s">
        <v>9799</v>
      </c>
    </row>
    <row r="9769">
      <c r="A9769" s="11" t="s">
        <v>9800</v>
      </c>
    </row>
    <row r="9770">
      <c r="A9770" s="11" t="s">
        <v>9801</v>
      </c>
    </row>
    <row r="9771">
      <c r="A9771" s="11" t="s">
        <v>9802</v>
      </c>
    </row>
    <row r="9772">
      <c r="A9772" s="11" t="s">
        <v>9803</v>
      </c>
    </row>
    <row r="9773">
      <c r="A9773" s="11" t="s">
        <v>9804</v>
      </c>
    </row>
    <row r="9774">
      <c r="A9774" s="11" t="s">
        <v>9805</v>
      </c>
    </row>
    <row r="9775">
      <c r="A9775" s="11" t="s">
        <v>9806</v>
      </c>
    </row>
    <row r="9776">
      <c r="A9776" s="11" t="s">
        <v>9807</v>
      </c>
    </row>
    <row r="9777">
      <c r="A9777" s="11" t="s">
        <v>9808</v>
      </c>
    </row>
    <row r="9778">
      <c r="A9778" s="11" t="s">
        <v>9809</v>
      </c>
    </row>
    <row r="9779">
      <c r="A9779" s="11" t="s">
        <v>9810</v>
      </c>
    </row>
    <row r="9780">
      <c r="A9780" s="11" t="s">
        <v>9811</v>
      </c>
    </row>
    <row r="9781">
      <c r="A9781" s="11" t="s">
        <v>9812</v>
      </c>
    </row>
    <row r="9782">
      <c r="A9782" s="11" t="s">
        <v>9813</v>
      </c>
    </row>
    <row r="9783">
      <c r="A9783" s="11" t="s">
        <v>9814</v>
      </c>
    </row>
    <row r="9784">
      <c r="A9784" s="11" t="s">
        <v>9815</v>
      </c>
    </row>
    <row r="9785">
      <c r="A9785" s="11" t="s">
        <v>9816</v>
      </c>
    </row>
    <row r="9786">
      <c r="A9786" s="11" t="s">
        <v>9817</v>
      </c>
    </row>
    <row r="9787">
      <c r="A9787" s="11" t="s">
        <v>9818</v>
      </c>
    </row>
    <row r="9788">
      <c r="A9788" s="11" t="s">
        <v>9819</v>
      </c>
    </row>
    <row r="9789">
      <c r="A9789" s="11" t="s">
        <v>9820</v>
      </c>
    </row>
    <row r="9790">
      <c r="A9790" s="11" t="s">
        <v>9821</v>
      </c>
    </row>
    <row r="9791">
      <c r="A9791" s="11" t="s">
        <v>9822</v>
      </c>
    </row>
    <row r="9792">
      <c r="A9792" s="11" t="s">
        <v>9823</v>
      </c>
    </row>
    <row r="9793">
      <c r="A9793" s="11" t="s">
        <v>9824</v>
      </c>
    </row>
    <row r="9794">
      <c r="A9794" s="11" t="s">
        <v>9825</v>
      </c>
    </row>
    <row r="9795">
      <c r="A9795" s="11" t="s">
        <v>9826</v>
      </c>
    </row>
    <row r="9796">
      <c r="A9796" s="11" t="s">
        <v>9827</v>
      </c>
    </row>
    <row r="9797">
      <c r="A9797" s="11" t="s">
        <v>9828</v>
      </c>
    </row>
    <row r="9798">
      <c r="A9798" s="11" t="s">
        <v>9829</v>
      </c>
    </row>
    <row r="9799">
      <c r="A9799" s="11" t="s">
        <v>9830</v>
      </c>
    </row>
    <row r="9800">
      <c r="A9800" s="11" t="s">
        <v>9831</v>
      </c>
    </row>
    <row r="9801">
      <c r="A9801" s="11" t="s">
        <v>9832</v>
      </c>
    </row>
    <row r="9802">
      <c r="A9802" s="11" t="s">
        <v>9833</v>
      </c>
    </row>
    <row r="9803">
      <c r="A9803" s="11" t="s">
        <v>9834</v>
      </c>
    </row>
    <row r="9804">
      <c r="A9804" s="11" t="s">
        <v>9835</v>
      </c>
    </row>
    <row r="9805">
      <c r="A9805" s="11" t="s">
        <v>9836</v>
      </c>
    </row>
    <row r="9806">
      <c r="A9806" s="11" t="s">
        <v>9837</v>
      </c>
    </row>
    <row r="9807">
      <c r="A9807" s="11" t="s">
        <v>9838</v>
      </c>
    </row>
    <row r="9808">
      <c r="A9808" s="11" t="s">
        <v>9839</v>
      </c>
    </row>
    <row r="9809">
      <c r="A9809" s="11" t="s">
        <v>9840</v>
      </c>
    </row>
    <row r="9810">
      <c r="A9810" s="11" t="s">
        <v>9841</v>
      </c>
    </row>
    <row r="9811">
      <c r="A9811" s="11" t="s">
        <v>9842</v>
      </c>
    </row>
    <row r="9812">
      <c r="A9812" s="11" t="s">
        <v>9843</v>
      </c>
    </row>
    <row r="9813">
      <c r="A9813" s="11" t="s">
        <v>9844</v>
      </c>
    </row>
    <row r="9814">
      <c r="A9814" s="11" t="s">
        <v>9845</v>
      </c>
    </row>
    <row r="9815">
      <c r="A9815" s="11" t="s">
        <v>9846</v>
      </c>
    </row>
    <row r="9816">
      <c r="A9816" s="11" t="s">
        <v>9847</v>
      </c>
    </row>
    <row r="9817">
      <c r="A9817" s="11" t="s">
        <v>9848</v>
      </c>
    </row>
    <row r="9818">
      <c r="A9818" s="11" t="s">
        <v>9849</v>
      </c>
    </row>
    <row r="9819">
      <c r="A9819" s="11" t="s">
        <v>9850</v>
      </c>
    </row>
    <row r="9820">
      <c r="A9820" s="11" t="s">
        <v>9851</v>
      </c>
    </row>
    <row r="9821">
      <c r="A9821" s="11" t="s">
        <v>9852</v>
      </c>
    </row>
    <row r="9822">
      <c r="A9822" s="11" t="s">
        <v>9853</v>
      </c>
    </row>
    <row r="9823">
      <c r="A9823" s="11" t="s">
        <v>9854</v>
      </c>
    </row>
    <row r="9824">
      <c r="A9824" s="11" t="s">
        <v>9855</v>
      </c>
    </row>
    <row r="9825">
      <c r="A9825" s="11" t="s">
        <v>9856</v>
      </c>
    </row>
    <row r="9826">
      <c r="A9826" s="11" t="s">
        <v>9857</v>
      </c>
    </row>
    <row r="9827">
      <c r="A9827" s="11" t="s">
        <v>9858</v>
      </c>
    </row>
    <row r="9828">
      <c r="A9828" s="11" t="s">
        <v>9859</v>
      </c>
    </row>
    <row r="9829">
      <c r="A9829" s="11" t="s">
        <v>9860</v>
      </c>
    </row>
    <row r="9830">
      <c r="A9830" s="11" t="s">
        <v>9861</v>
      </c>
    </row>
    <row r="9831">
      <c r="A9831" s="11" t="s">
        <v>9862</v>
      </c>
    </row>
    <row r="9832">
      <c r="A9832" s="11" t="s">
        <v>9863</v>
      </c>
    </row>
    <row r="9833">
      <c r="A9833" s="11" t="s">
        <v>9864</v>
      </c>
    </row>
    <row r="9834">
      <c r="A9834" s="11" t="s">
        <v>9865</v>
      </c>
    </row>
    <row r="9835">
      <c r="A9835" s="11" t="s">
        <v>9866</v>
      </c>
    </row>
    <row r="9836">
      <c r="A9836" s="11" t="s">
        <v>9867</v>
      </c>
    </row>
    <row r="9837">
      <c r="A9837" s="11" t="s">
        <v>9868</v>
      </c>
    </row>
    <row r="9838">
      <c r="A9838" s="11" t="s">
        <v>9869</v>
      </c>
    </row>
    <row r="9839">
      <c r="A9839" s="11" t="s">
        <v>9870</v>
      </c>
    </row>
    <row r="9840">
      <c r="A9840" s="11" t="s">
        <v>9871</v>
      </c>
    </row>
    <row r="9841">
      <c r="A9841" s="11" t="s">
        <v>9872</v>
      </c>
    </row>
    <row r="9842">
      <c r="A9842" s="11" t="s">
        <v>9873</v>
      </c>
    </row>
    <row r="9843">
      <c r="A9843" s="11" t="s">
        <v>9874</v>
      </c>
    </row>
    <row r="9844">
      <c r="A9844" s="11" t="s">
        <v>9875</v>
      </c>
    </row>
    <row r="9845">
      <c r="A9845" s="11" t="s">
        <v>9876</v>
      </c>
    </row>
    <row r="9846">
      <c r="A9846" s="11" t="s">
        <v>9877</v>
      </c>
    </row>
    <row r="9847">
      <c r="A9847" s="11" t="s">
        <v>9878</v>
      </c>
    </row>
    <row r="9848">
      <c r="A9848" s="11" t="s">
        <v>9879</v>
      </c>
    </row>
    <row r="9849">
      <c r="A9849" s="11" t="s">
        <v>9880</v>
      </c>
    </row>
    <row r="9850">
      <c r="A9850" s="11" t="s">
        <v>9881</v>
      </c>
    </row>
    <row r="9851">
      <c r="A9851" s="11" t="s">
        <v>9882</v>
      </c>
    </row>
    <row r="9852">
      <c r="A9852" s="11" t="s">
        <v>9883</v>
      </c>
    </row>
    <row r="9853">
      <c r="A9853" s="11" t="s">
        <v>9884</v>
      </c>
    </row>
    <row r="9854">
      <c r="A9854" s="11" t="s">
        <v>9885</v>
      </c>
    </row>
    <row r="9855">
      <c r="A9855" s="11" t="s">
        <v>9886</v>
      </c>
    </row>
    <row r="9856">
      <c r="A9856" s="11" t="s">
        <v>9887</v>
      </c>
    </row>
    <row r="9857">
      <c r="A9857" s="11" t="s">
        <v>9888</v>
      </c>
    </row>
    <row r="9858">
      <c r="A9858" s="11" t="s">
        <v>9889</v>
      </c>
    </row>
    <row r="9859">
      <c r="A9859" s="11" t="s">
        <v>9890</v>
      </c>
    </row>
    <row r="9860">
      <c r="A9860" s="11" t="s">
        <v>9891</v>
      </c>
    </row>
    <row r="9861">
      <c r="A9861" s="11" t="s">
        <v>9892</v>
      </c>
    </row>
    <row r="9862">
      <c r="A9862" s="11" t="s">
        <v>9893</v>
      </c>
    </row>
    <row r="9863">
      <c r="A9863" s="11" t="s">
        <v>9894</v>
      </c>
    </row>
    <row r="9864">
      <c r="A9864" s="11" t="s">
        <v>9895</v>
      </c>
    </row>
    <row r="9865">
      <c r="A9865" s="11" t="s">
        <v>9896</v>
      </c>
    </row>
    <row r="9866">
      <c r="A9866" s="11" t="s">
        <v>9897</v>
      </c>
    </row>
    <row r="9867">
      <c r="A9867" s="11" t="s">
        <v>9898</v>
      </c>
    </row>
    <row r="9868">
      <c r="A9868" s="11" t="s">
        <v>9899</v>
      </c>
    </row>
    <row r="9869">
      <c r="A9869" s="11" t="s">
        <v>9900</v>
      </c>
    </row>
    <row r="9870">
      <c r="A9870" s="11" t="s">
        <v>9901</v>
      </c>
    </row>
    <row r="9871">
      <c r="A9871" s="11" t="s">
        <v>9902</v>
      </c>
    </row>
    <row r="9872">
      <c r="A9872" s="11" t="s">
        <v>9903</v>
      </c>
    </row>
    <row r="9873">
      <c r="A9873" s="11" t="s">
        <v>9904</v>
      </c>
    </row>
    <row r="9874">
      <c r="A9874" s="11" t="s">
        <v>9905</v>
      </c>
    </row>
    <row r="9875">
      <c r="A9875" s="11" t="s">
        <v>9906</v>
      </c>
    </row>
    <row r="9876">
      <c r="A9876" s="11" t="s">
        <v>9907</v>
      </c>
    </row>
    <row r="9877">
      <c r="A9877" s="11" t="s">
        <v>9908</v>
      </c>
    </row>
    <row r="9878">
      <c r="A9878" s="11" t="s">
        <v>9909</v>
      </c>
    </row>
    <row r="9879">
      <c r="A9879" s="11" t="s">
        <v>9910</v>
      </c>
    </row>
    <row r="9880">
      <c r="A9880" s="11" t="s">
        <v>9911</v>
      </c>
    </row>
    <row r="9881">
      <c r="A9881" s="11" t="s">
        <v>9912</v>
      </c>
    </row>
    <row r="9882">
      <c r="A9882" s="11" t="s">
        <v>9913</v>
      </c>
    </row>
    <row r="9883">
      <c r="A9883" s="11" t="s">
        <v>9914</v>
      </c>
    </row>
    <row r="9884">
      <c r="A9884" s="11" t="s">
        <v>9915</v>
      </c>
    </row>
    <row r="9885">
      <c r="A9885" s="11" t="s">
        <v>9916</v>
      </c>
    </row>
    <row r="9886">
      <c r="A9886" s="11" t="s">
        <v>9917</v>
      </c>
    </row>
    <row r="9887">
      <c r="A9887" s="11" t="s">
        <v>9918</v>
      </c>
    </row>
    <row r="9888">
      <c r="A9888" s="11" t="s">
        <v>9919</v>
      </c>
    </row>
    <row r="9889">
      <c r="A9889" s="11" t="s">
        <v>9920</v>
      </c>
    </row>
    <row r="9890">
      <c r="A9890" s="11" t="s">
        <v>9921</v>
      </c>
    </row>
    <row r="9891">
      <c r="A9891" s="11" t="s">
        <v>9922</v>
      </c>
    </row>
    <row r="9892">
      <c r="A9892" s="11" t="s">
        <v>9923</v>
      </c>
    </row>
    <row r="9893">
      <c r="A9893" s="11" t="s">
        <v>9924</v>
      </c>
    </row>
    <row r="9894">
      <c r="A9894" s="11" t="s">
        <v>9925</v>
      </c>
    </row>
    <row r="9895">
      <c r="A9895" s="11" t="s">
        <v>9926</v>
      </c>
    </row>
    <row r="9896">
      <c r="A9896" s="11" t="s">
        <v>9927</v>
      </c>
    </row>
    <row r="9897">
      <c r="A9897" s="11" t="s">
        <v>9928</v>
      </c>
    </row>
    <row r="9898">
      <c r="A9898" s="11" t="s">
        <v>9929</v>
      </c>
    </row>
    <row r="9899">
      <c r="A9899" s="11" t="s">
        <v>9930</v>
      </c>
    </row>
    <row r="9900">
      <c r="A9900" s="11" t="s">
        <v>9931</v>
      </c>
    </row>
    <row r="9901">
      <c r="A9901" s="11" t="s">
        <v>9932</v>
      </c>
    </row>
    <row r="9902">
      <c r="A9902" s="11" t="s">
        <v>9933</v>
      </c>
    </row>
    <row r="9903">
      <c r="A9903" s="11" t="s">
        <v>9934</v>
      </c>
    </row>
    <row r="9904">
      <c r="A9904" s="11" t="s">
        <v>9935</v>
      </c>
    </row>
    <row r="9905">
      <c r="A9905" s="11" t="s">
        <v>9936</v>
      </c>
    </row>
    <row r="9906">
      <c r="A9906" s="11" t="s">
        <v>9937</v>
      </c>
    </row>
    <row r="9907">
      <c r="A9907" s="11" t="s">
        <v>9938</v>
      </c>
    </row>
    <row r="9908">
      <c r="A9908" s="11" t="s">
        <v>9939</v>
      </c>
    </row>
    <row r="9909">
      <c r="A9909" s="11" t="s">
        <v>9940</v>
      </c>
    </row>
    <row r="9910">
      <c r="A9910" s="11" t="s">
        <v>9941</v>
      </c>
    </row>
    <row r="9911">
      <c r="A9911" s="11" t="s">
        <v>9942</v>
      </c>
    </row>
    <row r="9912">
      <c r="A9912" s="11" t="s">
        <v>9943</v>
      </c>
    </row>
    <row r="9913">
      <c r="A9913" s="11" t="s">
        <v>9944</v>
      </c>
    </row>
    <row r="9914">
      <c r="A9914" s="11" t="s">
        <v>9945</v>
      </c>
    </row>
    <row r="9915">
      <c r="A9915" s="11" t="s">
        <v>9946</v>
      </c>
    </row>
    <row r="9916">
      <c r="A9916" s="11" t="s">
        <v>9947</v>
      </c>
    </row>
    <row r="9917">
      <c r="A9917" s="11" t="s">
        <v>9948</v>
      </c>
    </row>
    <row r="9918">
      <c r="A9918" s="11" t="s">
        <v>9949</v>
      </c>
    </row>
    <row r="9919">
      <c r="A9919" s="11" t="s">
        <v>9950</v>
      </c>
    </row>
    <row r="9920">
      <c r="A9920" s="11" t="s">
        <v>9951</v>
      </c>
    </row>
    <row r="9921">
      <c r="A9921" s="11" t="s">
        <v>9952</v>
      </c>
    </row>
    <row r="9922">
      <c r="A9922" s="11" t="s">
        <v>9953</v>
      </c>
    </row>
    <row r="9923">
      <c r="A9923" s="11" t="s">
        <v>9954</v>
      </c>
    </row>
    <row r="9924">
      <c r="A9924" s="11" t="s">
        <v>9955</v>
      </c>
    </row>
    <row r="9925">
      <c r="A9925" s="11" t="s">
        <v>9956</v>
      </c>
    </row>
    <row r="9926">
      <c r="A9926" s="11" t="s">
        <v>9957</v>
      </c>
    </row>
    <row r="9927">
      <c r="A9927" s="11" t="s">
        <v>9958</v>
      </c>
    </row>
    <row r="9928">
      <c r="A9928" s="11" t="s">
        <v>9959</v>
      </c>
    </row>
    <row r="9929">
      <c r="A9929" s="11" t="s">
        <v>9960</v>
      </c>
    </row>
    <row r="9930">
      <c r="A9930" s="11" t="s">
        <v>9961</v>
      </c>
    </row>
    <row r="9931">
      <c r="A9931" s="11" t="s">
        <v>9962</v>
      </c>
    </row>
    <row r="9932">
      <c r="A9932" s="11" t="s">
        <v>9963</v>
      </c>
    </row>
    <row r="9933">
      <c r="A9933" s="11" t="s">
        <v>9964</v>
      </c>
    </row>
    <row r="9934">
      <c r="A9934" s="11" t="s">
        <v>9965</v>
      </c>
    </row>
    <row r="9935">
      <c r="A9935" s="11" t="s">
        <v>9966</v>
      </c>
    </row>
    <row r="9936">
      <c r="A9936" s="11" t="s">
        <v>9967</v>
      </c>
    </row>
    <row r="9937">
      <c r="A9937" s="11" t="s">
        <v>9968</v>
      </c>
    </row>
    <row r="9938">
      <c r="A9938" s="11" t="s">
        <v>9969</v>
      </c>
    </row>
    <row r="9939">
      <c r="A9939" s="11" t="s">
        <v>9970</v>
      </c>
    </row>
    <row r="9940">
      <c r="A9940" s="11" t="s">
        <v>9971</v>
      </c>
    </row>
    <row r="9941">
      <c r="A9941" s="11" t="s">
        <v>9972</v>
      </c>
    </row>
    <row r="9942">
      <c r="A9942" s="11" t="s">
        <v>9973</v>
      </c>
    </row>
    <row r="9943">
      <c r="A9943" s="11" t="s">
        <v>9974</v>
      </c>
    </row>
    <row r="9944">
      <c r="A9944" s="11" t="s">
        <v>9975</v>
      </c>
    </row>
    <row r="9945">
      <c r="A9945" s="11" t="s">
        <v>9976</v>
      </c>
    </row>
    <row r="9946">
      <c r="A9946" s="11" t="s">
        <v>9977</v>
      </c>
    </row>
    <row r="9947">
      <c r="A9947" s="11" t="s">
        <v>9978</v>
      </c>
    </row>
    <row r="9948">
      <c r="A9948" s="11" t="s">
        <v>9979</v>
      </c>
    </row>
    <row r="9949">
      <c r="A9949" s="11" t="s">
        <v>9980</v>
      </c>
    </row>
    <row r="9950">
      <c r="A9950" s="11" t="s">
        <v>9981</v>
      </c>
    </row>
    <row r="9951">
      <c r="A9951" s="11" t="s">
        <v>9982</v>
      </c>
    </row>
    <row r="9952">
      <c r="A9952" s="11" t="s">
        <v>9983</v>
      </c>
    </row>
    <row r="9953">
      <c r="A9953" s="11" t="s">
        <v>9984</v>
      </c>
    </row>
    <row r="9954">
      <c r="A9954" s="11" t="s">
        <v>9985</v>
      </c>
    </row>
    <row r="9955">
      <c r="A9955" s="11" t="s">
        <v>9986</v>
      </c>
    </row>
    <row r="9956">
      <c r="A9956" s="11" t="s">
        <v>9987</v>
      </c>
    </row>
    <row r="9957">
      <c r="A9957" s="11" t="s">
        <v>9988</v>
      </c>
    </row>
    <row r="9958">
      <c r="A9958" s="11" t="s">
        <v>9989</v>
      </c>
    </row>
    <row r="9959">
      <c r="A9959" s="11" t="s">
        <v>9990</v>
      </c>
    </row>
    <row r="9960">
      <c r="A9960" s="11" t="s">
        <v>9991</v>
      </c>
    </row>
    <row r="9961">
      <c r="A9961" s="11" t="s">
        <v>9992</v>
      </c>
    </row>
    <row r="9962">
      <c r="A9962" s="11" t="s">
        <v>9993</v>
      </c>
    </row>
    <row r="9963">
      <c r="A9963" s="11" t="s">
        <v>9994</v>
      </c>
    </row>
    <row r="9964">
      <c r="A9964" s="11" t="s">
        <v>9995</v>
      </c>
    </row>
    <row r="9965">
      <c r="A9965" s="11" t="s">
        <v>9996</v>
      </c>
    </row>
    <row r="9966">
      <c r="A9966" s="11" t="s">
        <v>9997</v>
      </c>
    </row>
    <row r="9967">
      <c r="A9967" s="11" t="s">
        <v>9998</v>
      </c>
    </row>
    <row r="9968">
      <c r="A9968" s="11" t="s">
        <v>9999</v>
      </c>
    </row>
    <row r="9969">
      <c r="A9969" s="11" t="s">
        <v>10000</v>
      </c>
    </row>
    <row r="9970">
      <c r="A9970" s="11" t="s">
        <v>10001</v>
      </c>
    </row>
    <row r="9971">
      <c r="A9971" s="11" t="s">
        <v>10002</v>
      </c>
    </row>
    <row r="9972">
      <c r="A9972" s="11" t="s">
        <v>10003</v>
      </c>
    </row>
    <row r="9973">
      <c r="A9973" s="11" t="s">
        <v>10004</v>
      </c>
    </row>
    <row r="9974">
      <c r="A9974" s="11" t="s">
        <v>10005</v>
      </c>
    </row>
    <row r="9975">
      <c r="A9975" s="11" t="s">
        <v>10006</v>
      </c>
    </row>
    <row r="9976">
      <c r="A9976" s="11" t="s">
        <v>10007</v>
      </c>
    </row>
    <row r="9977">
      <c r="A9977" s="11" t="s">
        <v>10008</v>
      </c>
    </row>
    <row r="9978">
      <c r="A9978" s="11" t="s">
        <v>10009</v>
      </c>
    </row>
    <row r="9979">
      <c r="A9979" s="11" t="s">
        <v>10010</v>
      </c>
    </row>
    <row r="9980">
      <c r="A9980" s="11" t="s">
        <v>10011</v>
      </c>
    </row>
    <row r="9981">
      <c r="A9981" s="11" t="s">
        <v>10012</v>
      </c>
    </row>
    <row r="9982">
      <c r="A9982" s="11" t="s">
        <v>10013</v>
      </c>
    </row>
    <row r="9983">
      <c r="A9983" s="11" t="s">
        <v>10014</v>
      </c>
    </row>
    <row r="9984">
      <c r="A9984" s="11" t="s">
        <v>10015</v>
      </c>
    </row>
    <row r="9985">
      <c r="A9985" s="11" t="s">
        <v>10016</v>
      </c>
    </row>
    <row r="9986">
      <c r="A9986" s="11" t="s">
        <v>10017</v>
      </c>
    </row>
    <row r="9987">
      <c r="A9987" s="11" t="s">
        <v>10018</v>
      </c>
    </row>
    <row r="9988">
      <c r="A9988" s="11" t="s">
        <v>10019</v>
      </c>
    </row>
    <row r="9989">
      <c r="A9989" s="11" t="s">
        <v>10020</v>
      </c>
    </row>
    <row r="9990">
      <c r="A9990" s="11" t="s">
        <v>10021</v>
      </c>
    </row>
    <row r="9991">
      <c r="A9991" s="11" t="s">
        <v>10022</v>
      </c>
    </row>
    <row r="9992">
      <c r="A9992" s="11" t="s">
        <v>10023</v>
      </c>
    </row>
    <row r="9993">
      <c r="A9993" s="11" t="s">
        <v>10024</v>
      </c>
    </row>
    <row r="9994">
      <c r="A9994" s="11" t="s">
        <v>10025</v>
      </c>
    </row>
    <row r="9995">
      <c r="A9995" s="11" t="s">
        <v>10026</v>
      </c>
    </row>
    <row r="9996">
      <c r="A9996" s="11" t="s">
        <v>10027</v>
      </c>
    </row>
    <row r="9997">
      <c r="A9997" s="11" t="s">
        <v>10028</v>
      </c>
    </row>
    <row r="9998">
      <c r="A9998" s="11" t="s">
        <v>10029</v>
      </c>
    </row>
    <row r="9999">
      <c r="A9999" s="11" t="s">
        <v>10030</v>
      </c>
    </row>
    <row r="10000">
      <c r="A10000" s="11" t="s">
        <v>10031</v>
      </c>
    </row>
    <row r="10001">
      <c r="A10001" s="11" t="s">
        <v>10032</v>
      </c>
    </row>
    <row r="10002">
      <c r="A10002" s="11" t="s">
        <v>10033</v>
      </c>
    </row>
    <row r="10003">
      <c r="A10003" s="11" t="s">
        <v>10034</v>
      </c>
    </row>
    <row r="10004">
      <c r="A10004" s="11" t="s">
        <v>10035</v>
      </c>
    </row>
    <row r="10005">
      <c r="A10005" s="11" t="s">
        <v>10036</v>
      </c>
    </row>
    <row r="10006">
      <c r="A10006" s="11" t="s">
        <v>10037</v>
      </c>
    </row>
    <row r="10007">
      <c r="A10007" s="11" t="s">
        <v>10038</v>
      </c>
    </row>
    <row r="10008">
      <c r="A10008" s="11" t="s">
        <v>10039</v>
      </c>
    </row>
    <row r="10009">
      <c r="A10009" s="11" t="s">
        <v>10040</v>
      </c>
    </row>
    <row r="10010">
      <c r="A10010" s="11" t="s">
        <v>10041</v>
      </c>
    </row>
    <row r="10011">
      <c r="A10011" s="11" t="s">
        <v>10042</v>
      </c>
    </row>
    <row r="10012">
      <c r="A10012" s="11" t="s">
        <v>10043</v>
      </c>
    </row>
    <row r="10013">
      <c r="A10013" s="11" t="s">
        <v>10044</v>
      </c>
    </row>
    <row r="10014">
      <c r="A10014" s="11" t="s">
        <v>10045</v>
      </c>
    </row>
    <row r="10015">
      <c r="A10015" s="11" t="s">
        <v>10046</v>
      </c>
    </row>
    <row r="10016">
      <c r="A10016" s="11" t="s">
        <v>10047</v>
      </c>
    </row>
    <row r="10017">
      <c r="A10017" s="11" t="s">
        <v>10048</v>
      </c>
    </row>
    <row r="10018">
      <c r="A10018" s="11" t="s">
        <v>10049</v>
      </c>
    </row>
    <row r="10019">
      <c r="A10019" s="11" t="s">
        <v>10050</v>
      </c>
    </row>
    <row r="10020">
      <c r="A10020" s="11" t="s">
        <v>10051</v>
      </c>
    </row>
    <row r="10021">
      <c r="A10021" s="11" t="s">
        <v>10052</v>
      </c>
    </row>
    <row r="10022">
      <c r="A10022" s="11" t="s">
        <v>10053</v>
      </c>
    </row>
    <row r="10023">
      <c r="A10023" s="11" t="s">
        <v>10054</v>
      </c>
    </row>
    <row r="10024">
      <c r="A10024" s="11" t="s">
        <v>10055</v>
      </c>
    </row>
    <row r="10025">
      <c r="A10025" s="11" t="s">
        <v>10056</v>
      </c>
    </row>
    <row r="10026">
      <c r="A10026" s="11" t="s">
        <v>10057</v>
      </c>
    </row>
    <row r="10027">
      <c r="A10027" s="11" t="s">
        <v>10058</v>
      </c>
    </row>
    <row r="10028">
      <c r="A10028" s="11" t="s">
        <v>10059</v>
      </c>
    </row>
    <row r="10029">
      <c r="A10029" s="11" t="s">
        <v>10060</v>
      </c>
    </row>
    <row r="10030">
      <c r="A10030" s="11" t="s">
        <v>10061</v>
      </c>
    </row>
    <row r="10031">
      <c r="A10031" s="11" t="s">
        <v>10062</v>
      </c>
    </row>
    <row r="10032">
      <c r="A10032" s="11" t="s">
        <v>10063</v>
      </c>
    </row>
    <row r="10033">
      <c r="A10033" s="11" t="s">
        <v>10064</v>
      </c>
    </row>
    <row r="10034">
      <c r="A10034" s="11" t="s">
        <v>10065</v>
      </c>
    </row>
    <row r="10035">
      <c r="A10035" s="11" t="s">
        <v>10066</v>
      </c>
    </row>
    <row r="10036">
      <c r="A10036" s="11" t="s">
        <v>10067</v>
      </c>
    </row>
    <row r="10037">
      <c r="A10037" s="11" t="s">
        <v>10068</v>
      </c>
    </row>
    <row r="10038">
      <c r="A10038" s="11" t="s">
        <v>10069</v>
      </c>
    </row>
    <row r="10039">
      <c r="A10039" s="11" t="s">
        <v>10070</v>
      </c>
    </row>
    <row r="10040">
      <c r="A10040" s="11" t="s">
        <v>10071</v>
      </c>
    </row>
    <row r="10041">
      <c r="A10041" s="11" t="s">
        <v>10072</v>
      </c>
    </row>
    <row r="10042">
      <c r="A10042" s="11" t="s">
        <v>10073</v>
      </c>
    </row>
    <row r="10043">
      <c r="A10043" s="11" t="s">
        <v>10074</v>
      </c>
    </row>
    <row r="10044">
      <c r="A10044" s="11" t="s">
        <v>10075</v>
      </c>
    </row>
    <row r="10045">
      <c r="A10045" s="11" t="s">
        <v>10076</v>
      </c>
    </row>
    <row r="10046">
      <c r="A10046" s="11" t="s">
        <v>10077</v>
      </c>
    </row>
    <row r="10047">
      <c r="A10047" s="11" t="s">
        <v>10078</v>
      </c>
    </row>
    <row r="10048">
      <c r="A10048" s="11" t="s">
        <v>10079</v>
      </c>
    </row>
    <row r="10049">
      <c r="A10049" s="11" t="s">
        <v>10080</v>
      </c>
    </row>
    <row r="10050">
      <c r="A10050" s="11" t="s">
        <v>10081</v>
      </c>
    </row>
    <row r="10051">
      <c r="A10051" s="11" t="s">
        <v>10082</v>
      </c>
    </row>
    <row r="10052">
      <c r="A10052" s="11" t="s">
        <v>10083</v>
      </c>
    </row>
    <row r="10053">
      <c r="A10053" s="11" t="s">
        <v>10084</v>
      </c>
    </row>
    <row r="10054">
      <c r="A10054" s="11" t="s">
        <v>10085</v>
      </c>
    </row>
    <row r="10055">
      <c r="A10055" s="11" t="s">
        <v>10086</v>
      </c>
    </row>
    <row r="10056">
      <c r="A10056" s="11" t="s">
        <v>10087</v>
      </c>
    </row>
    <row r="10057">
      <c r="A10057" s="11" t="s">
        <v>10088</v>
      </c>
    </row>
    <row r="10058">
      <c r="A10058" s="11" t="s">
        <v>10089</v>
      </c>
    </row>
    <row r="10059">
      <c r="A10059" s="11" t="s">
        <v>10090</v>
      </c>
    </row>
    <row r="10060">
      <c r="A10060" s="11" t="s">
        <v>10091</v>
      </c>
    </row>
    <row r="10061">
      <c r="A10061" s="11" t="s">
        <v>10092</v>
      </c>
    </row>
    <row r="10062">
      <c r="A10062" s="11" t="s">
        <v>10093</v>
      </c>
    </row>
    <row r="10063">
      <c r="A10063" s="11" t="s">
        <v>10094</v>
      </c>
    </row>
    <row r="10064">
      <c r="A10064" s="11" t="s">
        <v>10095</v>
      </c>
    </row>
    <row r="10065">
      <c r="A10065" s="11" t="s">
        <v>10096</v>
      </c>
    </row>
    <row r="10066">
      <c r="A10066" s="11" t="s">
        <v>10097</v>
      </c>
    </row>
    <row r="10067">
      <c r="A10067" s="11" t="s">
        <v>10098</v>
      </c>
    </row>
    <row r="10068">
      <c r="A10068" s="11" t="s">
        <v>10099</v>
      </c>
    </row>
    <row r="10069">
      <c r="A10069" s="11" t="s">
        <v>10100</v>
      </c>
    </row>
    <row r="10070">
      <c r="A10070" s="11" t="s">
        <v>10101</v>
      </c>
    </row>
    <row r="10071">
      <c r="A10071" s="11" t="s">
        <v>10102</v>
      </c>
    </row>
    <row r="10072">
      <c r="A10072" s="11" t="s">
        <v>10103</v>
      </c>
    </row>
    <row r="10073">
      <c r="A10073" s="11" t="s">
        <v>10104</v>
      </c>
    </row>
    <row r="10074">
      <c r="A10074" s="11" t="s">
        <v>10105</v>
      </c>
    </row>
    <row r="10075">
      <c r="A10075" s="11" t="s">
        <v>10106</v>
      </c>
    </row>
    <row r="10076">
      <c r="A10076" s="11" t="s">
        <v>10107</v>
      </c>
    </row>
    <row r="10077">
      <c r="A10077" s="11" t="s">
        <v>10108</v>
      </c>
    </row>
    <row r="10078">
      <c r="A10078" s="11" t="s">
        <v>10109</v>
      </c>
    </row>
    <row r="10079">
      <c r="A10079" s="11" t="s">
        <v>10110</v>
      </c>
    </row>
    <row r="10080">
      <c r="A10080" s="11" t="s">
        <v>10111</v>
      </c>
    </row>
    <row r="10081">
      <c r="A10081" s="11" t="s">
        <v>10112</v>
      </c>
    </row>
    <row r="10082">
      <c r="A10082" s="11" t="s">
        <v>10113</v>
      </c>
    </row>
    <row r="10083">
      <c r="A10083" s="11" t="s">
        <v>10114</v>
      </c>
    </row>
    <row r="10084">
      <c r="A10084" s="11" t="s">
        <v>10115</v>
      </c>
    </row>
    <row r="10085">
      <c r="A10085" s="11" t="s">
        <v>10116</v>
      </c>
    </row>
    <row r="10086">
      <c r="A10086" s="11" t="s">
        <v>10117</v>
      </c>
    </row>
    <row r="10087">
      <c r="A10087" s="11" t="s">
        <v>10118</v>
      </c>
    </row>
    <row r="10088">
      <c r="A10088" s="11" t="s">
        <v>10119</v>
      </c>
    </row>
    <row r="10089">
      <c r="A10089" s="11" t="s">
        <v>10120</v>
      </c>
    </row>
    <row r="10090">
      <c r="A10090" s="11" t="s">
        <v>10121</v>
      </c>
    </row>
    <row r="10091">
      <c r="A10091" s="11" t="s">
        <v>10122</v>
      </c>
    </row>
    <row r="10092">
      <c r="A10092" s="11" t="s">
        <v>10123</v>
      </c>
    </row>
    <row r="10093">
      <c r="A10093" s="11" t="s">
        <v>10124</v>
      </c>
    </row>
    <row r="10094">
      <c r="A10094" s="11" t="s">
        <v>10125</v>
      </c>
    </row>
    <row r="10095">
      <c r="A10095" s="11" t="s">
        <v>10126</v>
      </c>
    </row>
    <row r="10096">
      <c r="A10096" s="11" t="s">
        <v>10127</v>
      </c>
    </row>
    <row r="10097">
      <c r="A10097" s="11" t="s">
        <v>10128</v>
      </c>
    </row>
    <row r="10098">
      <c r="A10098" s="11" t="s">
        <v>10129</v>
      </c>
    </row>
    <row r="10099">
      <c r="A10099" s="11" t="s">
        <v>10130</v>
      </c>
    </row>
    <row r="10100">
      <c r="A10100" s="11" t="s">
        <v>10131</v>
      </c>
    </row>
    <row r="10101">
      <c r="A10101" s="11" t="s">
        <v>10132</v>
      </c>
    </row>
    <row r="10102">
      <c r="A10102" s="11" t="s">
        <v>10133</v>
      </c>
    </row>
    <row r="10103">
      <c r="A10103" s="11" t="s">
        <v>10134</v>
      </c>
    </row>
    <row r="10104">
      <c r="A10104" s="11" t="s">
        <v>10135</v>
      </c>
    </row>
    <row r="10105">
      <c r="A10105" s="11" t="s">
        <v>10136</v>
      </c>
    </row>
    <row r="10106">
      <c r="A10106" s="11" t="s">
        <v>10137</v>
      </c>
    </row>
    <row r="10107">
      <c r="A10107" s="11" t="s">
        <v>10138</v>
      </c>
    </row>
    <row r="10108">
      <c r="A10108" s="11" t="s">
        <v>10139</v>
      </c>
    </row>
    <row r="10109">
      <c r="A10109" s="11" t="s">
        <v>10140</v>
      </c>
    </row>
    <row r="10110">
      <c r="A10110" s="11" t="s">
        <v>10141</v>
      </c>
    </row>
    <row r="10111">
      <c r="A10111" s="11" t="s">
        <v>10142</v>
      </c>
    </row>
    <row r="10112">
      <c r="A10112" s="11" t="s">
        <v>10143</v>
      </c>
    </row>
    <row r="10113">
      <c r="A10113" s="11" t="s">
        <v>10144</v>
      </c>
    </row>
    <row r="10114">
      <c r="A10114" s="11" t="s">
        <v>10145</v>
      </c>
    </row>
    <row r="10115">
      <c r="A10115" s="11" t="s">
        <v>10146</v>
      </c>
    </row>
    <row r="10116">
      <c r="A10116" s="11" t="s">
        <v>10147</v>
      </c>
    </row>
    <row r="10117">
      <c r="A10117" s="11" t="s">
        <v>10148</v>
      </c>
    </row>
    <row r="10118">
      <c r="A10118" s="11" t="s">
        <v>10149</v>
      </c>
    </row>
    <row r="10119">
      <c r="A10119" s="11" t="s">
        <v>10150</v>
      </c>
    </row>
    <row r="10120">
      <c r="A10120" s="11" t="s">
        <v>10151</v>
      </c>
    </row>
    <row r="10121">
      <c r="A10121" s="11" t="s">
        <v>10152</v>
      </c>
    </row>
    <row r="10122">
      <c r="A10122" s="11" t="s">
        <v>10153</v>
      </c>
    </row>
    <row r="10123">
      <c r="A10123" s="11" t="s">
        <v>10154</v>
      </c>
    </row>
    <row r="10124">
      <c r="A10124" s="11" t="s">
        <v>10155</v>
      </c>
    </row>
    <row r="10125">
      <c r="A10125" s="11" t="s">
        <v>10156</v>
      </c>
    </row>
    <row r="10126">
      <c r="A10126" s="11" t="s">
        <v>10157</v>
      </c>
    </row>
    <row r="10127">
      <c r="A10127" s="11" t="s">
        <v>10158</v>
      </c>
    </row>
    <row r="10128">
      <c r="A10128" s="11" t="s">
        <v>10159</v>
      </c>
    </row>
    <row r="10129">
      <c r="A10129" s="11" t="s">
        <v>10160</v>
      </c>
    </row>
    <row r="10130">
      <c r="A10130" s="11" t="s">
        <v>10161</v>
      </c>
    </row>
    <row r="10131">
      <c r="A10131" s="11" t="s">
        <v>10162</v>
      </c>
    </row>
    <row r="10132">
      <c r="A10132" s="11" t="s">
        <v>10163</v>
      </c>
    </row>
    <row r="10133">
      <c r="A10133" s="11" t="s">
        <v>10164</v>
      </c>
    </row>
    <row r="10134">
      <c r="A10134" s="11" t="s">
        <v>10165</v>
      </c>
    </row>
    <row r="10135">
      <c r="A10135" s="11" t="s">
        <v>10166</v>
      </c>
    </row>
    <row r="10136">
      <c r="A10136" s="11" t="s">
        <v>10167</v>
      </c>
    </row>
    <row r="10137">
      <c r="A10137" s="11" t="s">
        <v>10168</v>
      </c>
    </row>
    <row r="10138">
      <c r="A10138" s="11" t="s">
        <v>10169</v>
      </c>
    </row>
    <row r="10139">
      <c r="A10139" s="11" t="s">
        <v>10170</v>
      </c>
    </row>
    <row r="10140">
      <c r="A10140" s="11" t="s">
        <v>10171</v>
      </c>
    </row>
    <row r="10141">
      <c r="A10141" s="11" t="s">
        <v>10172</v>
      </c>
    </row>
    <row r="10142">
      <c r="A10142" s="11" t="s">
        <v>10173</v>
      </c>
    </row>
    <row r="10143">
      <c r="A10143" s="11" t="s">
        <v>10174</v>
      </c>
    </row>
    <row r="10144">
      <c r="A10144" s="11" t="s">
        <v>10175</v>
      </c>
    </row>
    <row r="10145">
      <c r="A10145" s="11" t="s">
        <v>10176</v>
      </c>
    </row>
    <row r="10146">
      <c r="A10146" s="11" t="s">
        <v>10177</v>
      </c>
    </row>
    <row r="10147">
      <c r="A10147" s="11" t="s">
        <v>10178</v>
      </c>
    </row>
    <row r="10148">
      <c r="A10148" s="11" t="s">
        <v>10179</v>
      </c>
    </row>
    <row r="10149">
      <c r="A10149" s="11" t="s">
        <v>10180</v>
      </c>
    </row>
    <row r="10150">
      <c r="A10150" s="11" t="s">
        <v>10181</v>
      </c>
    </row>
    <row r="10151">
      <c r="A10151" s="11" t="s">
        <v>10182</v>
      </c>
    </row>
    <row r="10152">
      <c r="A10152" s="11" t="s">
        <v>10183</v>
      </c>
    </row>
    <row r="10153">
      <c r="A10153" s="11" t="s">
        <v>10184</v>
      </c>
    </row>
    <row r="10154">
      <c r="A10154" s="11" t="s">
        <v>10185</v>
      </c>
    </row>
    <row r="10155">
      <c r="A10155" s="11" t="s">
        <v>10186</v>
      </c>
    </row>
    <row r="10156">
      <c r="A10156" s="11" t="s">
        <v>10187</v>
      </c>
    </row>
    <row r="10157">
      <c r="A10157" s="11" t="s">
        <v>10188</v>
      </c>
    </row>
    <row r="10158">
      <c r="A10158" s="11" t="s">
        <v>10189</v>
      </c>
    </row>
    <row r="10159">
      <c r="A10159" s="11" t="s">
        <v>10190</v>
      </c>
    </row>
    <row r="10160">
      <c r="A10160" s="11" t="s">
        <v>10191</v>
      </c>
    </row>
    <row r="10161">
      <c r="A10161" s="11" t="s">
        <v>10192</v>
      </c>
    </row>
    <row r="10162">
      <c r="A10162" s="11" t="s">
        <v>10193</v>
      </c>
    </row>
    <row r="10163">
      <c r="A10163" s="11" t="s">
        <v>10194</v>
      </c>
    </row>
    <row r="10164">
      <c r="A10164" s="11" t="s">
        <v>10195</v>
      </c>
    </row>
    <row r="10165">
      <c r="A10165" s="11" t="s">
        <v>10196</v>
      </c>
    </row>
    <row r="10166">
      <c r="A10166" s="11" t="s">
        <v>10197</v>
      </c>
    </row>
    <row r="10167">
      <c r="A10167" s="11" t="s">
        <v>10198</v>
      </c>
    </row>
    <row r="10168">
      <c r="A10168" s="11" t="s">
        <v>10199</v>
      </c>
    </row>
    <row r="10169">
      <c r="A10169" s="11" t="s">
        <v>10200</v>
      </c>
    </row>
    <row r="10170">
      <c r="A10170" s="11" t="s">
        <v>10201</v>
      </c>
    </row>
    <row r="10171">
      <c r="A10171" s="11" t="s">
        <v>10202</v>
      </c>
    </row>
    <row r="10172">
      <c r="A10172" s="11" t="s">
        <v>10203</v>
      </c>
    </row>
    <row r="10173">
      <c r="A10173" s="11" t="s">
        <v>10204</v>
      </c>
    </row>
    <row r="10174">
      <c r="A10174" s="11" t="s">
        <v>10205</v>
      </c>
    </row>
    <row r="10175">
      <c r="A10175" s="11" t="s">
        <v>10206</v>
      </c>
    </row>
    <row r="10176">
      <c r="A10176" s="11" t="s">
        <v>10207</v>
      </c>
    </row>
    <row r="10177">
      <c r="A10177" s="11" t="s">
        <v>10208</v>
      </c>
    </row>
    <row r="10178">
      <c r="A10178" s="11" t="s">
        <v>10209</v>
      </c>
    </row>
    <row r="10179">
      <c r="A10179" s="11" t="s">
        <v>10210</v>
      </c>
    </row>
    <row r="10180">
      <c r="A10180" s="11" t="s">
        <v>10211</v>
      </c>
    </row>
    <row r="10181">
      <c r="A10181" s="11" t="s">
        <v>10212</v>
      </c>
    </row>
    <row r="10182">
      <c r="A10182" s="11" t="s">
        <v>10213</v>
      </c>
    </row>
    <row r="10183">
      <c r="A10183" s="11" t="s">
        <v>10214</v>
      </c>
    </row>
    <row r="10184">
      <c r="A10184" s="11" t="s">
        <v>10215</v>
      </c>
    </row>
    <row r="10185">
      <c r="A10185" s="11" t="s">
        <v>10216</v>
      </c>
    </row>
    <row r="10186">
      <c r="A10186" s="11" t="s">
        <v>10217</v>
      </c>
    </row>
    <row r="10187">
      <c r="A10187" s="11" t="s">
        <v>10218</v>
      </c>
    </row>
    <row r="10188">
      <c r="A10188" s="11" t="s">
        <v>10219</v>
      </c>
    </row>
    <row r="10189">
      <c r="A10189" s="11" t="s">
        <v>10220</v>
      </c>
    </row>
    <row r="10190">
      <c r="A10190" s="11" t="s">
        <v>10221</v>
      </c>
    </row>
    <row r="10191">
      <c r="A10191" s="11" t="s">
        <v>10222</v>
      </c>
    </row>
    <row r="10192">
      <c r="A10192" s="11" t="s">
        <v>10223</v>
      </c>
    </row>
    <row r="10193">
      <c r="A10193" s="11" t="s">
        <v>10224</v>
      </c>
    </row>
    <row r="10194">
      <c r="A10194" s="11" t="s">
        <v>10225</v>
      </c>
    </row>
    <row r="10195">
      <c r="A10195" s="11" t="s">
        <v>10226</v>
      </c>
    </row>
    <row r="10196">
      <c r="A10196" s="11" t="s">
        <v>10227</v>
      </c>
    </row>
    <row r="10197">
      <c r="A10197" s="11" t="s">
        <v>10228</v>
      </c>
    </row>
    <row r="10198">
      <c r="A10198" s="11" t="s">
        <v>10229</v>
      </c>
    </row>
    <row r="10199">
      <c r="A10199" s="11" t="s">
        <v>10230</v>
      </c>
    </row>
    <row r="10200">
      <c r="A10200" s="11" t="s">
        <v>10231</v>
      </c>
    </row>
    <row r="10201">
      <c r="A10201" s="11" t="s">
        <v>10232</v>
      </c>
    </row>
    <row r="10202">
      <c r="A10202" s="11" t="s">
        <v>10233</v>
      </c>
    </row>
    <row r="10203">
      <c r="A10203" s="11" t="s">
        <v>10234</v>
      </c>
    </row>
    <row r="10204">
      <c r="A10204" s="11" t="s">
        <v>10235</v>
      </c>
    </row>
    <row r="10205">
      <c r="A10205" s="11" t="s">
        <v>10236</v>
      </c>
    </row>
    <row r="10206">
      <c r="A10206" s="11" t="s">
        <v>10237</v>
      </c>
    </row>
    <row r="10207">
      <c r="A10207" s="11" t="s">
        <v>10238</v>
      </c>
    </row>
    <row r="10208">
      <c r="A10208" s="11" t="s">
        <v>10239</v>
      </c>
    </row>
    <row r="10209">
      <c r="A10209" s="11" t="s">
        <v>10240</v>
      </c>
    </row>
    <row r="10210">
      <c r="A10210" s="11" t="s">
        <v>10241</v>
      </c>
    </row>
    <row r="10211">
      <c r="A10211" s="11" t="s">
        <v>10242</v>
      </c>
    </row>
    <row r="10212">
      <c r="A10212" s="11" t="s">
        <v>10243</v>
      </c>
    </row>
    <row r="10213">
      <c r="A10213" s="11" t="s">
        <v>10244</v>
      </c>
    </row>
    <row r="10214">
      <c r="A10214" s="11" t="s">
        <v>10245</v>
      </c>
    </row>
    <row r="10215">
      <c r="A10215" s="11" t="s">
        <v>10246</v>
      </c>
    </row>
    <row r="10216">
      <c r="A10216" s="11" t="s">
        <v>10247</v>
      </c>
    </row>
    <row r="10217">
      <c r="A10217" s="11" t="s">
        <v>10248</v>
      </c>
    </row>
    <row r="10218">
      <c r="A10218" s="11" t="s">
        <v>10249</v>
      </c>
    </row>
    <row r="10219">
      <c r="A10219" s="11" t="s">
        <v>10250</v>
      </c>
    </row>
    <row r="10220">
      <c r="A10220" s="11" t="s">
        <v>10251</v>
      </c>
    </row>
    <row r="10221">
      <c r="A10221" s="11" t="s">
        <v>10252</v>
      </c>
    </row>
    <row r="10222">
      <c r="A10222" s="11" t="s">
        <v>10253</v>
      </c>
    </row>
    <row r="10223">
      <c r="A10223" s="11" t="s">
        <v>10254</v>
      </c>
    </row>
    <row r="10224">
      <c r="A10224" s="11" t="s">
        <v>10255</v>
      </c>
    </row>
    <row r="10225">
      <c r="A10225" s="11" t="s">
        <v>10256</v>
      </c>
    </row>
    <row r="10226">
      <c r="A10226" s="11" t="s">
        <v>10257</v>
      </c>
    </row>
    <row r="10227">
      <c r="A10227" s="11" t="s">
        <v>10258</v>
      </c>
    </row>
    <row r="10228">
      <c r="A10228" s="11" t="s">
        <v>10259</v>
      </c>
    </row>
    <row r="10229">
      <c r="A10229" s="11" t="s">
        <v>10260</v>
      </c>
    </row>
    <row r="10230">
      <c r="A10230" s="11" t="s">
        <v>10261</v>
      </c>
    </row>
    <row r="10231">
      <c r="A10231" s="11" t="s">
        <v>10262</v>
      </c>
    </row>
    <row r="10232">
      <c r="A10232" s="11" t="s">
        <v>10263</v>
      </c>
    </row>
    <row r="10233">
      <c r="A10233" s="11" t="s">
        <v>10264</v>
      </c>
    </row>
    <row r="10234">
      <c r="A10234" s="11" t="s">
        <v>10265</v>
      </c>
    </row>
    <row r="10235">
      <c r="A10235" s="11" t="s">
        <v>10266</v>
      </c>
    </row>
    <row r="10236">
      <c r="A10236" s="11" t="s">
        <v>10267</v>
      </c>
    </row>
    <row r="10237">
      <c r="A10237" s="11" t="s">
        <v>10268</v>
      </c>
    </row>
    <row r="10238">
      <c r="A10238" s="11" t="s">
        <v>10269</v>
      </c>
    </row>
    <row r="10239">
      <c r="A10239" s="11" t="s">
        <v>10270</v>
      </c>
    </row>
    <row r="10240">
      <c r="A10240" s="11" t="s">
        <v>10271</v>
      </c>
    </row>
    <row r="10241">
      <c r="A10241" s="11" t="s">
        <v>10272</v>
      </c>
    </row>
    <row r="10242">
      <c r="A10242" s="11" t="s">
        <v>10273</v>
      </c>
    </row>
    <row r="10243">
      <c r="A10243" s="11" t="s">
        <v>10274</v>
      </c>
    </row>
    <row r="10244">
      <c r="A10244" s="11" t="s">
        <v>10275</v>
      </c>
    </row>
    <row r="10245">
      <c r="A10245" s="11" t="s">
        <v>10276</v>
      </c>
    </row>
    <row r="10246">
      <c r="A10246" s="11" t="s">
        <v>10277</v>
      </c>
    </row>
    <row r="10247">
      <c r="A10247" s="11" t="s">
        <v>10278</v>
      </c>
    </row>
    <row r="10248">
      <c r="A10248" s="11" t="s">
        <v>10279</v>
      </c>
    </row>
    <row r="10249">
      <c r="A10249" s="11" t="s">
        <v>10280</v>
      </c>
    </row>
    <row r="10250">
      <c r="A10250" s="11" t="s">
        <v>10281</v>
      </c>
    </row>
    <row r="10251">
      <c r="A10251" s="11" t="s">
        <v>10282</v>
      </c>
    </row>
    <row r="10252">
      <c r="A10252" s="11" t="s">
        <v>10283</v>
      </c>
    </row>
    <row r="10253">
      <c r="A10253" s="11" t="s">
        <v>10284</v>
      </c>
    </row>
    <row r="10254">
      <c r="A10254" s="11" t="s">
        <v>10285</v>
      </c>
    </row>
    <row r="10255">
      <c r="A10255" s="11" t="s">
        <v>10286</v>
      </c>
    </row>
    <row r="10256">
      <c r="A10256" s="11" t="s">
        <v>10287</v>
      </c>
    </row>
    <row r="10257">
      <c r="A10257" s="11" t="s">
        <v>10288</v>
      </c>
    </row>
    <row r="10258">
      <c r="A10258" s="11" t="s">
        <v>10289</v>
      </c>
    </row>
    <row r="10259">
      <c r="A10259" s="11" t="s">
        <v>10290</v>
      </c>
    </row>
    <row r="10260">
      <c r="A10260" s="11" t="s">
        <v>10291</v>
      </c>
    </row>
    <row r="10261">
      <c r="A10261" s="11" t="s">
        <v>10292</v>
      </c>
    </row>
    <row r="10262">
      <c r="A10262" s="11" t="s">
        <v>10293</v>
      </c>
    </row>
    <row r="10263">
      <c r="A10263" s="11" t="s">
        <v>10294</v>
      </c>
    </row>
    <row r="10264">
      <c r="A10264" s="11" t="s">
        <v>10295</v>
      </c>
    </row>
    <row r="10265">
      <c r="A10265" s="11" t="s">
        <v>10296</v>
      </c>
    </row>
    <row r="10266">
      <c r="A10266" s="11" t="s">
        <v>10297</v>
      </c>
    </row>
    <row r="10267">
      <c r="A10267" s="11" t="s">
        <v>10298</v>
      </c>
    </row>
    <row r="10268">
      <c r="A10268" s="11" t="s">
        <v>10299</v>
      </c>
    </row>
    <row r="10269">
      <c r="A10269" s="11" t="s">
        <v>10300</v>
      </c>
    </row>
    <row r="10270">
      <c r="A10270" s="11" t="s">
        <v>10301</v>
      </c>
    </row>
    <row r="10271">
      <c r="A10271" s="11" t="s">
        <v>10302</v>
      </c>
    </row>
    <row r="10272">
      <c r="A10272" s="11" t="s">
        <v>10303</v>
      </c>
    </row>
    <row r="10273">
      <c r="A10273" s="11" t="s">
        <v>10304</v>
      </c>
    </row>
    <row r="10274">
      <c r="A10274" s="11" t="s">
        <v>10305</v>
      </c>
    </row>
    <row r="10275">
      <c r="A10275" s="11" t="s">
        <v>10306</v>
      </c>
    </row>
    <row r="10276">
      <c r="A10276" s="11" t="s">
        <v>10307</v>
      </c>
    </row>
    <row r="10277">
      <c r="A10277" s="11" t="s">
        <v>10308</v>
      </c>
    </row>
    <row r="10278">
      <c r="A10278" s="11" t="s">
        <v>10309</v>
      </c>
    </row>
    <row r="10279">
      <c r="A10279" s="11" t="s">
        <v>10310</v>
      </c>
    </row>
    <row r="10280">
      <c r="A10280" s="11" t="s">
        <v>10311</v>
      </c>
    </row>
    <row r="10281">
      <c r="A10281" s="11" t="s">
        <v>10312</v>
      </c>
    </row>
    <row r="10282">
      <c r="A10282" s="11" t="s">
        <v>10313</v>
      </c>
    </row>
    <row r="10283">
      <c r="A10283" s="11" t="s">
        <v>10314</v>
      </c>
    </row>
    <row r="10284">
      <c r="A10284" s="11" t="s">
        <v>10315</v>
      </c>
    </row>
    <row r="10285">
      <c r="A10285" s="11" t="s">
        <v>10316</v>
      </c>
    </row>
    <row r="10286">
      <c r="A10286" s="11" t="s">
        <v>10317</v>
      </c>
    </row>
    <row r="10287">
      <c r="A10287" s="11" t="s">
        <v>10318</v>
      </c>
    </row>
    <row r="10288">
      <c r="A10288" s="11" t="s">
        <v>10319</v>
      </c>
    </row>
    <row r="10289">
      <c r="A10289" s="11" t="s">
        <v>10320</v>
      </c>
    </row>
    <row r="10290">
      <c r="A10290" s="11" t="s">
        <v>10321</v>
      </c>
    </row>
    <row r="10291">
      <c r="A10291" s="11" t="s">
        <v>10322</v>
      </c>
    </row>
    <row r="10292">
      <c r="A10292" s="11" t="s">
        <v>10323</v>
      </c>
    </row>
    <row r="10293">
      <c r="A10293" s="11" t="s">
        <v>10324</v>
      </c>
    </row>
    <row r="10294">
      <c r="A10294" s="11" t="s">
        <v>10325</v>
      </c>
    </row>
    <row r="10295">
      <c r="A10295" s="11" t="s">
        <v>10326</v>
      </c>
    </row>
    <row r="10296">
      <c r="A10296" s="11" t="s">
        <v>10327</v>
      </c>
    </row>
    <row r="10297">
      <c r="A10297" s="11" t="s">
        <v>10328</v>
      </c>
    </row>
    <row r="10298">
      <c r="A10298" s="11" t="s">
        <v>10329</v>
      </c>
    </row>
    <row r="10299">
      <c r="A10299" s="11" t="s">
        <v>10330</v>
      </c>
    </row>
    <row r="10300">
      <c r="A10300" s="11" t="s">
        <v>10331</v>
      </c>
    </row>
    <row r="10301">
      <c r="A10301" s="11" t="s">
        <v>10332</v>
      </c>
    </row>
    <row r="10302">
      <c r="A10302" s="11" t="s">
        <v>10333</v>
      </c>
    </row>
    <row r="10303">
      <c r="A10303" s="11" t="s">
        <v>10334</v>
      </c>
    </row>
    <row r="10304">
      <c r="A10304" s="11" t="s">
        <v>10335</v>
      </c>
    </row>
    <row r="10305">
      <c r="A10305" s="11" t="s">
        <v>10336</v>
      </c>
    </row>
    <row r="10306">
      <c r="A10306" s="11" t="s">
        <v>10337</v>
      </c>
    </row>
    <row r="10307">
      <c r="A10307" s="11" t="s">
        <v>10338</v>
      </c>
    </row>
    <row r="10308">
      <c r="A10308" s="11" t="s">
        <v>10339</v>
      </c>
    </row>
    <row r="10309">
      <c r="A10309" s="11" t="s">
        <v>10340</v>
      </c>
    </row>
    <row r="10310">
      <c r="A10310" s="11" t="s">
        <v>10341</v>
      </c>
    </row>
    <row r="10311">
      <c r="A10311" s="11" t="s">
        <v>10342</v>
      </c>
    </row>
    <row r="10312">
      <c r="A10312" s="11" t="s">
        <v>10343</v>
      </c>
    </row>
    <row r="10313">
      <c r="A10313" s="11" t="s">
        <v>10344</v>
      </c>
    </row>
    <row r="10314">
      <c r="A10314" s="11" t="s">
        <v>10345</v>
      </c>
    </row>
    <row r="10315">
      <c r="A10315" s="11" t="s">
        <v>10346</v>
      </c>
    </row>
    <row r="10316">
      <c r="A10316" s="11" t="s">
        <v>10347</v>
      </c>
    </row>
    <row r="10317">
      <c r="A10317" s="11" t="s">
        <v>10348</v>
      </c>
    </row>
    <row r="10318">
      <c r="A10318" s="11" t="s">
        <v>10349</v>
      </c>
    </row>
    <row r="10319">
      <c r="A10319" s="11" t="s">
        <v>10350</v>
      </c>
    </row>
    <row r="10320">
      <c r="A10320" s="11" t="s">
        <v>10351</v>
      </c>
    </row>
    <row r="10321">
      <c r="A10321" s="11" t="s">
        <v>10352</v>
      </c>
    </row>
    <row r="10322">
      <c r="A10322" s="11" t="s">
        <v>10353</v>
      </c>
    </row>
    <row r="10323">
      <c r="A10323" s="11" t="s">
        <v>10354</v>
      </c>
    </row>
    <row r="10324">
      <c r="A10324" s="11" t="s">
        <v>10355</v>
      </c>
    </row>
    <row r="10325">
      <c r="A10325" s="11" t="s">
        <v>10356</v>
      </c>
    </row>
    <row r="10326">
      <c r="A10326" s="11" t="s">
        <v>10357</v>
      </c>
    </row>
    <row r="10327">
      <c r="A10327" s="11" t="s">
        <v>10358</v>
      </c>
    </row>
    <row r="10328">
      <c r="A10328" s="11" t="s">
        <v>10359</v>
      </c>
    </row>
    <row r="10329">
      <c r="A10329" s="11" t="s">
        <v>10360</v>
      </c>
    </row>
    <row r="10330">
      <c r="A10330" s="11" t="s">
        <v>10361</v>
      </c>
    </row>
    <row r="10331">
      <c r="A10331" s="11" t="s">
        <v>10362</v>
      </c>
    </row>
    <row r="10332">
      <c r="A10332" s="11" t="s">
        <v>10363</v>
      </c>
    </row>
    <row r="10333">
      <c r="A10333" s="11" t="s">
        <v>10364</v>
      </c>
    </row>
    <row r="10334">
      <c r="A10334" s="11" t="s">
        <v>10365</v>
      </c>
    </row>
    <row r="10335">
      <c r="A10335" s="11" t="s">
        <v>10366</v>
      </c>
    </row>
    <row r="10336">
      <c r="A10336" s="11" t="s">
        <v>10367</v>
      </c>
    </row>
    <row r="10337">
      <c r="A10337" s="11" t="s">
        <v>10368</v>
      </c>
    </row>
    <row r="10338">
      <c r="A10338" s="11" t="s">
        <v>10369</v>
      </c>
    </row>
    <row r="10339">
      <c r="A10339" s="11" t="s">
        <v>10370</v>
      </c>
    </row>
    <row r="10340">
      <c r="A10340" s="11" t="s">
        <v>10371</v>
      </c>
    </row>
    <row r="10341">
      <c r="A10341" s="11" t="s">
        <v>10372</v>
      </c>
    </row>
    <row r="10342">
      <c r="A10342" s="11" t="s">
        <v>10373</v>
      </c>
    </row>
    <row r="10343">
      <c r="A10343" s="11" t="s">
        <v>10374</v>
      </c>
    </row>
    <row r="10344">
      <c r="A10344" s="11" t="s">
        <v>10375</v>
      </c>
    </row>
    <row r="10345">
      <c r="A10345" s="11" t="s">
        <v>10376</v>
      </c>
    </row>
    <row r="10346">
      <c r="A10346" s="11" t="s">
        <v>10377</v>
      </c>
    </row>
    <row r="10347">
      <c r="A10347" s="11" t="s">
        <v>10378</v>
      </c>
    </row>
    <row r="10348">
      <c r="A10348" s="11" t="s">
        <v>10379</v>
      </c>
    </row>
    <row r="10349">
      <c r="A10349" s="11" t="s">
        <v>10380</v>
      </c>
    </row>
    <row r="10350">
      <c r="A10350" s="11" t="s">
        <v>10381</v>
      </c>
    </row>
    <row r="10351">
      <c r="A10351" s="11" t="s">
        <v>10382</v>
      </c>
    </row>
    <row r="10352">
      <c r="A10352" s="11" t="s">
        <v>10383</v>
      </c>
    </row>
    <row r="10353">
      <c r="A10353" s="11" t="s">
        <v>10384</v>
      </c>
    </row>
    <row r="10354">
      <c r="A10354" s="11" t="s">
        <v>10385</v>
      </c>
    </row>
    <row r="10355">
      <c r="A10355" s="11" t="s">
        <v>10386</v>
      </c>
    </row>
    <row r="10356">
      <c r="A10356" s="11" t="s">
        <v>10387</v>
      </c>
    </row>
    <row r="10357">
      <c r="A10357" s="11" t="s">
        <v>10388</v>
      </c>
    </row>
    <row r="10358">
      <c r="A10358" s="11" t="s">
        <v>10389</v>
      </c>
    </row>
    <row r="10359">
      <c r="A10359" s="11" t="s">
        <v>10390</v>
      </c>
    </row>
    <row r="10360">
      <c r="A10360" s="11" t="s">
        <v>10391</v>
      </c>
    </row>
    <row r="10361">
      <c r="A10361" s="11" t="s">
        <v>10392</v>
      </c>
    </row>
    <row r="10362">
      <c r="A10362" s="11" t="s">
        <v>10393</v>
      </c>
    </row>
    <row r="10363">
      <c r="A10363" s="11" t="s">
        <v>10394</v>
      </c>
    </row>
    <row r="10364">
      <c r="A10364" s="11" t="s">
        <v>10395</v>
      </c>
    </row>
    <row r="10365">
      <c r="A10365" s="11" t="s">
        <v>10396</v>
      </c>
    </row>
    <row r="10366">
      <c r="A10366" s="11" t="s">
        <v>10397</v>
      </c>
    </row>
    <row r="10367">
      <c r="A10367" s="11" t="s">
        <v>10398</v>
      </c>
    </row>
    <row r="10368">
      <c r="A10368" s="11" t="s">
        <v>10399</v>
      </c>
    </row>
    <row r="10369">
      <c r="A10369" s="11" t="s">
        <v>10400</v>
      </c>
    </row>
    <row r="10370">
      <c r="A10370" s="11" t="s">
        <v>10401</v>
      </c>
    </row>
    <row r="10371">
      <c r="A10371" s="11" t="s">
        <v>10402</v>
      </c>
    </row>
    <row r="10372">
      <c r="A10372" s="11" t="s">
        <v>10403</v>
      </c>
    </row>
    <row r="10373">
      <c r="A10373" s="11" t="s">
        <v>10404</v>
      </c>
    </row>
    <row r="10374">
      <c r="A10374" s="11" t="s">
        <v>10405</v>
      </c>
    </row>
    <row r="10375">
      <c r="A10375" s="11" t="s">
        <v>10406</v>
      </c>
    </row>
    <row r="10376">
      <c r="A10376" s="11" t="s">
        <v>10407</v>
      </c>
    </row>
    <row r="10377">
      <c r="A10377" s="11" t="s">
        <v>10408</v>
      </c>
    </row>
    <row r="10378">
      <c r="A10378" s="11" t="s">
        <v>10409</v>
      </c>
    </row>
    <row r="10379">
      <c r="A10379" s="11" t="s">
        <v>10410</v>
      </c>
    </row>
    <row r="10380">
      <c r="A10380" s="11" t="s">
        <v>10411</v>
      </c>
    </row>
    <row r="10381">
      <c r="A10381" s="11" t="s">
        <v>10412</v>
      </c>
    </row>
    <row r="10382">
      <c r="A10382" s="11" t="s">
        <v>10413</v>
      </c>
    </row>
    <row r="10383">
      <c r="A10383" s="11" t="s">
        <v>10414</v>
      </c>
    </row>
    <row r="10384">
      <c r="A10384" s="11" t="s">
        <v>10415</v>
      </c>
    </row>
    <row r="10385">
      <c r="A10385" s="11" t="s">
        <v>10416</v>
      </c>
    </row>
    <row r="10386">
      <c r="A10386" s="11" t="s">
        <v>10417</v>
      </c>
    </row>
    <row r="10387">
      <c r="A10387" s="11" t="s">
        <v>10418</v>
      </c>
    </row>
    <row r="10388">
      <c r="A10388" s="11" t="s">
        <v>10419</v>
      </c>
    </row>
    <row r="10389">
      <c r="A10389" s="11" t="s">
        <v>10420</v>
      </c>
    </row>
    <row r="10390">
      <c r="A10390" s="11" t="s">
        <v>10421</v>
      </c>
    </row>
    <row r="10391">
      <c r="A10391" s="11" t="s">
        <v>10422</v>
      </c>
    </row>
    <row r="10392">
      <c r="A10392" s="11" t="s">
        <v>10423</v>
      </c>
    </row>
    <row r="10393">
      <c r="A10393" s="11" t="s">
        <v>10424</v>
      </c>
    </row>
    <row r="10394">
      <c r="A10394" s="11" t="s">
        <v>10425</v>
      </c>
    </row>
    <row r="10395">
      <c r="A10395" s="11" t="s">
        <v>10426</v>
      </c>
    </row>
    <row r="10396">
      <c r="A10396" s="11" t="s">
        <v>10427</v>
      </c>
    </row>
    <row r="10397">
      <c r="A10397" s="11" t="s">
        <v>10428</v>
      </c>
    </row>
    <row r="10398">
      <c r="A10398" s="11" t="s">
        <v>10429</v>
      </c>
    </row>
    <row r="10399">
      <c r="A10399" s="11" t="s">
        <v>10430</v>
      </c>
    </row>
    <row r="10400">
      <c r="A10400" s="11" t="s">
        <v>10431</v>
      </c>
    </row>
    <row r="10401">
      <c r="A10401" s="11" t="s">
        <v>10432</v>
      </c>
    </row>
    <row r="10402">
      <c r="A10402" s="11" t="s">
        <v>10433</v>
      </c>
    </row>
    <row r="10403">
      <c r="A10403" s="11" t="s">
        <v>10434</v>
      </c>
    </row>
    <row r="10404">
      <c r="A10404" s="11" t="s">
        <v>10435</v>
      </c>
    </row>
    <row r="10405">
      <c r="A10405" s="11" t="s">
        <v>10436</v>
      </c>
    </row>
    <row r="10406">
      <c r="A10406" s="11" t="s">
        <v>10437</v>
      </c>
    </row>
    <row r="10407">
      <c r="A10407" s="11" t="s">
        <v>10438</v>
      </c>
    </row>
    <row r="10408">
      <c r="A10408" s="11" t="s">
        <v>10439</v>
      </c>
    </row>
    <row r="10409">
      <c r="A10409" s="11" t="s">
        <v>10440</v>
      </c>
    </row>
    <row r="10410">
      <c r="A10410" s="11" t="s">
        <v>10441</v>
      </c>
    </row>
    <row r="10411">
      <c r="A10411" s="11" t="s">
        <v>10442</v>
      </c>
    </row>
    <row r="10412">
      <c r="A10412" s="11" t="s">
        <v>10443</v>
      </c>
    </row>
    <row r="10413">
      <c r="A10413" s="11" t="s">
        <v>10444</v>
      </c>
    </row>
    <row r="10414">
      <c r="A10414" s="11" t="s">
        <v>10445</v>
      </c>
    </row>
    <row r="10415">
      <c r="A10415" s="11" t="s">
        <v>10446</v>
      </c>
    </row>
    <row r="10416">
      <c r="A10416" s="11" t="s">
        <v>10447</v>
      </c>
    </row>
    <row r="10417">
      <c r="A10417" s="11" t="s">
        <v>10448</v>
      </c>
    </row>
    <row r="10418">
      <c r="A10418" s="11" t="s">
        <v>10449</v>
      </c>
    </row>
    <row r="10419">
      <c r="A10419" s="11" t="s">
        <v>10450</v>
      </c>
    </row>
    <row r="10420">
      <c r="A10420" s="11" t="s">
        <v>10451</v>
      </c>
    </row>
    <row r="10421">
      <c r="A10421" s="11" t="s">
        <v>10452</v>
      </c>
    </row>
    <row r="10422">
      <c r="A10422" s="11" t="s">
        <v>10453</v>
      </c>
    </row>
    <row r="10423">
      <c r="A10423" s="11" t="s">
        <v>10454</v>
      </c>
    </row>
    <row r="10424">
      <c r="A10424" s="11" t="s">
        <v>10455</v>
      </c>
    </row>
    <row r="10425">
      <c r="A10425" s="11" t="s">
        <v>10456</v>
      </c>
    </row>
    <row r="10426">
      <c r="A10426" s="11" t="s">
        <v>10457</v>
      </c>
    </row>
    <row r="10427">
      <c r="A10427" s="11" t="s">
        <v>10458</v>
      </c>
    </row>
    <row r="10428">
      <c r="A10428" s="11" t="s">
        <v>10459</v>
      </c>
    </row>
    <row r="10429">
      <c r="A10429" s="11" t="s">
        <v>10460</v>
      </c>
    </row>
    <row r="10430">
      <c r="A10430" s="11" t="s">
        <v>10461</v>
      </c>
    </row>
    <row r="10431">
      <c r="A10431" s="11" t="s">
        <v>10462</v>
      </c>
    </row>
    <row r="10432">
      <c r="A10432" s="11" t="s">
        <v>10463</v>
      </c>
    </row>
    <row r="10433">
      <c r="A10433" s="11" t="s">
        <v>10464</v>
      </c>
    </row>
    <row r="10434">
      <c r="A10434" s="11" t="s">
        <v>10465</v>
      </c>
    </row>
    <row r="10435">
      <c r="A10435" s="11" t="s">
        <v>10466</v>
      </c>
    </row>
    <row r="10436">
      <c r="A10436" s="11" t="s">
        <v>10467</v>
      </c>
    </row>
    <row r="10437">
      <c r="A10437" s="11" t="s">
        <v>10468</v>
      </c>
    </row>
    <row r="10438">
      <c r="A10438" s="11" t="s">
        <v>10469</v>
      </c>
    </row>
    <row r="10439">
      <c r="A10439" s="11" t="s">
        <v>10470</v>
      </c>
    </row>
    <row r="10440">
      <c r="A10440" s="11" t="s">
        <v>10471</v>
      </c>
    </row>
    <row r="10441">
      <c r="A10441" s="11" t="s">
        <v>10472</v>
      </c>
    </row>
    <row r="10442">
      <c r="A10442" s="11" t="s">
        <v>10473</v>
      </c>
    </row>
    <row r="10443">
      <c r="A10443" s="11" t="s">
        <v>10474</v>
      </c>
    </row>
    <row r="10444">
      <c r="A10444" s="11" t="s">
        <v>10475</v>
      </c>
    </row>
    <row r="10445">
      <c r="A10445" s="11" t="s">
        <v>10476</v>
      </c>
    </row>
    <row r="10446">
      <c r="A10446" s="11" t="s">
        <v>10477</v>
      </c>
    </row>
    <row r="10447">
      <c r="A10447" s="11" t="s">
        <v>10478</v>
      </c>
    </row>
    <row r="10448">
      <c r="A10448" s="11" t="s">
        <v>10479</v>
      </c>
    </row>
    <row r="10449">
      <c r="A10449" s="11" t="s">
        <v>10480</v>
      </c>
    </row>
    <row r="10450">
      <c r="A10450" s="11" t="s">
        <v>10481</v>
      </c>
    </row>
    <row r="10451">
      <c r="A10451" s="11" t="s">
        <v>10482</v>
      </c>
    </row>
    <row r="10452">
      <c r="A10452" s="11" t="s">
        <v>10483</v>
      </c>
    </row>
    <row r="10453">
      <c r="A10453" s="11" t="s">
        <v>10484</v>
      </c>
    </row>
    <row r="10454">
      <c r="A10454" s="11" t="s">
        <v>10485</v>
      </c>
    </row>
    <row r="10455">
      <c r="A10455" s="11" t="s">
        <v>10486</v>
      </c>
    </row>
    <row r="10456">
      <c r="A10456" s="11" t="s">
        <v>10487</v>
      </c>
    </row>
    <row r="10457">
      <c r="A10457" s="11" t="s">
        <v>10488</v>
      </c>
    </row>
    <row r="10458">
      <c r="A10458" s="11" t="s">
        <v>10489</v>
      </c>
    </row>
    <row r="10459">
      <c r="A10459" s="11" t="s">
        <v>10490</v>
      </c>
    </row>
    <row r="10460">
      <c r="A10460" s="11" t="s">
        <v>10491</v>
      </c>
    </row>
    <row r="10461">
      <c r="A10461" s="11" t="s">
        <v>10492</v>
      </c>
    </row>
    <row r="10462">
      <c r="A10462" s="11" t="s">
        <v>10493</v>
      </c>
    </row>
    <row r="10463">
      <c r="A10463" s="11" t="s">
        <v>10494</v>
      </c>
    </row>
    <row r="10464">
      <c r="A10464" s="11" t="s">
        <v>10495</v>
      </c>
    </row>
    <row r="10465">
      <c r="A10465" s="11" t="s">
        <v>10496</v>
      </c>
    </row>
    <row r="10466">
      <c r="A10466" s="11" t="s">
        <v>10497</v>
      </c>
    </row>
    <row r="10467">
      <c r="A10467" s="11" t="s">
        <v>10498</v>
      </c>
    </row>
    <row r="10468">
      <c r="A10468" s="11" t="s">
        <v>10499</v>
      </c>
    </row>
    <row r="10469">
      <c r="A10469" s="11" t="s">
        <v>10500</v>
      </c>
    </row>
    <row r="10470">
      <c r="A10470" s="11" t="s">
        <v>10501</v>
      </c>
    </row>
    <row r="10471">
      <c r="A10471" s="11" t="s">
        <v>10502</v>
      </c>
    </row>
    <row r="10472">
      <c r="A10472" s="11" t="s">
        <v>10503</v>
      </c>
    </row>
    <row r="10473">
      <c r="A10473" s="11" t="s">
        <v>10504</v>
      </c>
    </row>
    <row r="10474">
      <c r="A10474" s="11" t="s">
        <v>10505</v>
      </c>
    </row>
    <row r="10475">
      <c r="A10475" s="11" t="s">
        <v>10506</v>
      </c>
    </row>
    <row r="10476">
      <c r="A10476" s="11" t="s">
        <v>10507</v>
      </c>
    </row>
    <row r="10477">
      <c r="A10477" s="11" t="s">
        <v>10508</v>
      </c>
    </row>
    <row r="10478">
      <c r="A10478" s="11" t="s">
        <v>10509</v>
      </c>
    </row>
    <row r="10479">
      <c r="A10479" s="11" t="s">
        <v>10510</v>
      </c>
    </row>
    <row r="10480">
      <c r="A10480" s="11" t="s">
        <v>10511</v>
      </c>
    </row>
    <row r="10481">
      <c r="A10481" s="11" t="s">
        <v>10512</v>
      </c>
    </row>
    <row r="10482">
      <c r="A10482" s="11" t="s">
        <v>10513</v>
      </c>
    </row>
    <row r="10483">
      <c r="A10483" s="11" t="s">
        <v>10514</v>
      </c>
    </row>
    <row r="10484">
      <c r="A10484" s="11" t="s">
        <v>10515</v>
      </c>
    </row>
    <row r="10485">
      <c r="A10485" s="11" t="s">
        <v>10516</v>
      </c>
    </row>
    <row r="10486">
      <c r="A10486" s="11" t="s">
        <v>10517</v>
      </c>
    </row>
    <row r="10487">
      <c r="A10487" s="11" t="s">
        <v>10518</v>
      </c>
    </row>
    <row r="10488">
      <c r="A10488" s="11" t="s">
        <v>10519</v>
      </c>
    </row>
    <row r="10489">
      <c r="A10489" s="11" t="s">
        <v>10520</v>
      </c>
    </row>
    <row r="10490">
      <c r="A10490" s="11" t="s">
        <v>10521</v>
      </c>
    </row>
    <row r="10491">
      <c r="A10491" s="11" t="s">
        <v>10522</v>
      </c>
    </row>
    <row r="10492">
      <c r="A10492" s="11" t="s">
        <v>10523</v>
      </c>
    </row>
    <row r="10493">
      <c r="A10493" s="11" t="s">
        <v>10524</v>
      </c>
    </row>
    <row r="10494">
      <c r="A10494" s="11" t="s">
        <v>10525</v>
      </c>
    </row>
    <row r="10495">
      <c r="A10495" s="11" t="s">
        <v>10526</v>
      </c>
    </row>
    <row r="10496">
      <c r="A10496" s="11" t="s">
        <v>10527</v>
      </c>
    </row>
    <row r="10497">
      <c r="A10497" s="11" t="s">
        <v>10528</v>
      </c>
    </row>
    <row r="10498">
      <c r="A10498" s="11" t="s">
        <v>10529</v>
      </c>
    </row>
    <row r="10499">
      <c r="A10499" s="11" t="s">
        <v>10530</v>
      </c>
    </row>
    <row r="10500">
      <c r="A10500" s="11" t="s">
        <v>10531</v>
      </c>
    </row>
    <row r="10501">
      <c r="A10501" s="11" t="s">
        <v>10532</v>
      </c>
    </row>
    <row r="10502">
      <c r="A10502" s="11" t="s">
        <v>10533</v>
      </c>
    </row>
    <row r="10503">
      <c r="A10503" s="11" t="s">
        <v>10534</v>
      </c>
    </row>
    <row r="10504">
      <c r="A10504" s="11" t="s">
        <v>10535</v>
      </c>
    </row>
    <row r="10505">
      <c r="A10505" s="11" t="s">
        <v>10536</v>
      </c>
    </row>
    <row r="10506">
      <c r="A10506" s="11" t="s">
        <v>10537</v>
      </c>
    </row>
    <row r="10507">
      <c r="A10507" s="11" t="s">
        <v>10538</v>
      </c>
    </row>
    <row r="10508">
      <c r="A10508" s="11" t="s">
        <v>10539</v>
      </c>
    </row>
    <row r="10509">
      <c r="A10509" s="11" t="s">
        <v>10540</v>
      </c>
    </row>
    <row r="10510">
      <c r="A10510" s="11" t="s">
        <v>10541</v>
      </c>
    </row>
    <row r="10511">
      <c r="A10511" s="11" t="s">
        <v>10542</v>
      </c>
    </row>
    <row r="10512">
      <c r="A10512" s="11" t="s">
        <v>10543</v>
      </c>
    </row>
    <row r="10513">
      <c r="A10513" s="11" t="s">
        <v>10544</v>
      </c>
    </row>
    <row r="10514">
      <c r="A10514" s="11" t="s">
        <v>10545</v>
      </c>
    </row>
    <row r="10515">
      <c r="A10515" s="11" t="s">
        <v>10546</v>
      </c>
    </row>
    <row r="10516">
      <c r="A10516" s="11" t="s">
        <v>10547</v>
      </c>
    </row>
    <row r="10517">
      <c r="A10517" s="11" t="s">
        <v>10548</v>
      </c>
    </row>
    <row r="10518">
      <c r="A10518" s="11" t="s">
        <v>10549</v>
      </c>
    </row>
    <row r="10519">
      <c r="A10519" s="11" t="s">
        <v>10550</v>
      </c>
    </row>
    <row r="10520">
      <c r="A10520" s="11" t="s">
        <v>10551</v>
      </c>
    </row>
    <row r="10521">
      <c r="A10521" s="11" t="s">
        <v>10552</v>
      </c>
    </row>
    <row r="10522">
      <c r="A10522" s="11" t="s">
        <v>10553</v>
      </c>
    </row>
    <row r="10523">
      <c r="A10523" s="11" t="s">
        <v>10554</v>
      </c>
    </row>
    <row r="10524">
      <c r="A10524" s="11" t="s">
        <v>10555</v>
      </c>
    </row>
    <row r="10525">
      <c r="A10525" s="11" t="s">
        <v>10556</v>
      </c>
    </row>
    <row r="10526">
      <c r="A10526" s="11" t="s">
        <v>10557</v>
      </c>
    </row>
    <row r="10527">
      <c r="A10527" s="11" t="s">
        <v>10558</v>
      </c>
    </row>
    <row r="10528">
      <c r="A10528" s="11" t="s">
        <v>10559</v>
      </c>
    </row>
    <row r="10529">
      <c r="A10529" s="11" t="s">
        <v>10560</v>
      </c>
    </row>
    <row r="10530">
      <c r="A10530" s="11" t="s">
        <v>10561</v>
      </c>
    </row>
    <row r="10531">
      <c r="A10531" s="11" t="s">
        <v>10562</v>
      </c>
    </row>
    <row r="10532">
      <c r="A10532" s="11" t="s">
        <v>10563</v>
      </c>
    </row>
    <row r="10533">
      <c r="A10533" s="11" t="s">
        <v>10564</v>
      </c>
    </row>
    <row r="10534">
      <c r="A10534" s="11" t="s">
        <v>10565</v>
      </c>
    </row>
    <row r="10535">
      <c r="A10535" s="11" t="s">
        <v>10566</v>
      </c>
    </row>
    <row r="10536">
      <c r="A10536" s="11" t="s">
        <v>10567</v>
      </c>
    </row>
    <row r="10537">
      <c r="A10537" s="11" t="s">
        <v>10568</v>
      </c>
    </row>
    <row r="10538">
      <c r="A10538" s="11" t="s">
        <v>10569</v>
      </c>
    </row>
    <row r="10539">
      <c r="A10539" s="11" t="s">
        <v>10570</v>
      </c>
    </row>
    <row r="10540">
      <c r="A10540" s="11" t="s">
        <v>10571</v>
      </c>
    </row>
    <row r="10541">
      <c r="A10541" s="11" t="s">
        <v>10572</v>
      </c>
    </row>
    <row r="10542">
      <c r="A10542" s="11" t="s">
        <v>10573</v>
      </c>
    </row>
    <row r="10543">
      <c r="A10543" s="11" t="s">
        <v>10574</v>
      </c>
    </row>
    <row r="10544">
      <c r="A10544" s="11" t="s">
        <v>10575</v>
      </c>
    </row>
    <row r="10545">
      <c r="A10545" s="11" t="s">
        <v>10576</v>
      </c>
    </row>
    <row r="10546">
      <c r="A10546" s="11" t="s">
        <v>10577</v>
      </c>
    </row>
    <row r="10547">
      <c r="A10547" s="11" t="s">
        <v>10578</v>
      </c>
    </row>
    <row r="10548">
      <c r="A10548" s="11" t="s">
        <v>10579</v>
      </c>
    </row>
    <row r="10549">
      <c r="A10549" s="11" t="s">
        <v>10580</v>
      </c>
    </row>
    <row r="10550">
      <c r="A10550" s="11" t="s">
        <v>10581</v>
      </c>
    </row>
    <row r="10551">
      <c r="A10551" s="11" t="s">
        <v>10582</v>
      </c>
    </row>
    <row r="10552">
      <c r="A10552" s="11" t="s">
        <v>10583</v>
      </c>
    </row>
    <row r="10553">
      <c r="A10553" s="11" t="s">
        <v>10584</v>
      </c>
    </row>
    <row r="10554">
      <c r="A10554" s="11" t="s">
        <v>10585</v>
      </c>
    </row>
    <row r="10555">
      <c r="A10555" s="11" t="s">
        <v>10586</v>
      </c>
    </row>
    <row r="10556">
      <c r="A10556" s="11" t="s">
        <v>10587</v>
      </c>
    </row>
    <row r="10557">
      <c r="A10557" s="11" t="s">
        <v>10588</v>
      </c>
    </row>
    <row r="10558">
      <c r="A10558" s="11" t="s">
        <v>10589</v>
      </c>
    </row>
    <row r="10559">
      <c r="A10559" s="11" t="s">
        <v>10590</v>
      </c>
    </row>
    <row r="10560">
      <c r="A10560" s="11" t="s">
        <v>10591</v>
      </c>
    </row>
    <row r="10561">
      <c r="A10561" s="11" t="s">
        <v>10592</v>
      </c>
    </row>
    <row r="10562">
      <c r="A10562" s="11" t="s">
        <v>10593</v>
      </c>
    </row>
    <row r="10563">
      <c r="A10563" s="11" t="s">
        <v>10594</v>
      </c>
    </row>
    <row r="10564">
      <c r="A10564" s="11" t="s">
        <v>10595</v>
      </c>
    </row>
    <row r="10565">
      <c r="A10565" s="11" t="s">
        <v>10596</v>
      </c>
    </row>
    <row r="10566">
      <c r="A10566" s="11" t="s">
        <v>10597</v>
      </c>
    </row>
    <row r="10567">
      <c r="A10567" s="11" t="s">
        <v>10598</v>
      </c>
    </row>
    <row r="10568">
      <c r="A10568" s="11" t="s">
        <v>10599</v>
      </c>
    </row>
    <row r="10569">
      <c r="A10569" s="11" t="s">
        <v>10600</v>
      </c>
    </row>
    <row r="10570">
      <c r="A10570" s="11" t="s">
        <v>10601</v>
      </c>
    </row>
    <row r="10571">
      <c r="A10571" s="11" t="s">
        <v>10602</v>
      </c>
    </row>
    <row r="10572">
      <c r="A10572" s="11" t="s">
        <v>10603</v>
      </c>
    </row>
    <row r="10573">
      <c r="A10573" s="11" t="s">
        <v>10604</v>
      </c>
    </row>
    <row r="10574">
      <c r="A10574" s="11" t="s">
        <v>10605</v>
      </c>
    </row>
    <row r="10575">
      <c r="A10575" s="11" t="s">
        <v>10606</v>
      </c>
    </row>
    <row r="10576">
      <c r="A10576" s="11" t="s">
        <v>10607</v>
      </c>
    </row>
    <row r="10577">
      <c r="A10577" s="11" t="s">
        <v>10608</v>
      </c>
    </row>
    <row r="10578">
      <c r="A10578" s="11" t="s">
        <v>10609</v>
      </c>
    </row>
    <row r="10579">
      <c r="A10579" s="11" t="s">
        <v>10610</v>
      </c>
    </row>
    <row r="10580">
      <c r="A10580" s="11" t="s">
        <v>10611</v>
      </c>
    </row>
    <row r="10581">
      <c r="A10581" s="11" t="s">
        <v>10612</v>
      </c>
    </row>
    <row r="10582">
      <c r="A10582" s="11" t="s">
        <v>10613</v>
      </c>
    </row>
    <row r="10583">
      <c r="A10583" s="11" t="s">
        <v>10614</v>
      </c>
    </row>
    <row r="10584">
      <c r="A10584" s="11" t="s">
        <v>10615</v>
      </c>
    </row>
    <row r="10585">
      <c r="A10585" s="11" t="s">
        <v>10616</v>
      </c>
    </row>
    <row r="10586">
      <c r="A10586" s="11" t="s">
        <v>10617</v>
      </c>
    </row>
    <row r="10587">
      <c r="A10587" s="11" t="s">
        <v>10618</v>
      </c>
    </row>
    <row r="10588">
      <c r="A10588" s="11" t="s">
        <v>10619</v>
      </c>
    </row>
    <row r="10589">
      <c r="A10589" s="11" t="s">
        <v>10620</v>
      </c>
    </row>
    <row r="10590">
      <c r="A10590" s="11" t="s">
        <v>10621</v>
      </c>
    </row>
    <row r="10591">
      <c r="A10591" s="11" t="s">
        <v>10622</v>
      </c>
    </row>
    <row r="10592">
      <c r="A10592" s="11" t="s">
        <v>10623</v>
      </c>
    </row>
    <row r="10593">
      <c r="A10593" s="11" t="s">
        <v>10624</v>
      </c>
    </row>
    <row r="10594">
      <c r="A10594" s="11" t="s">
        <v>10625</v>
      </c>
    </row>
    <row r="10595">
      <c r="A10595" s="11" t="s">
        <v>10626</v>
      </c>
    </row>
    <row r="10596">
      <c r="A10596" s="11" t="s">
        <v>10627</v>
      </c>
    </row>
    <row r="10597">
      <c r="A10597" s="11" t="s">
        <v>10628</v>
      </c>
    </row>
    <row r="10598">
      <c r="A10598" s="11" t="s">
        <v>10629</v>
      </c>
    </row>
    <row r="10599">
      <c r="A10599" s="11" t="s">
        <v>10630</v>
      </c>
    </row>
    <row r="10600">
      <c r="A10600" s="11" t="s">
        <v>10631</v>
      </c>
    </row>
    <row r="10601">
      <c r="A10601" s="11" t="s">
        <v>10632</v>
      </c>
    </row>
    <row r="10602">
      <c r="A10602" s="11" t="s">
        <v>10633</v>
      </c>
    </row>
    <row r="10603">
      <c r="A10603" s="11" t="s">
        <v>10634</v>
      </c>
    </row>
    <row r="10604">
      <c r="A10604" s="11" t="s">
        <v>10635</v>
      </c>
    </row>
    <row r="10605">
      <c r="A10605" s="11" t="s">
        <v>10636</v>
      </c>
    </row>
    <row r="10606">
      <c r="A10606" s="11" t="s">
        <v>10637</v>
      </c>
    </row>
    <row r="10607">
      <c r="A10607" s="11" t="s">
        <v>10638</v>
      </c>
    </row>
    <row r="10608">
      <c r="A10608" s="11" t="s">
        <v>10639</v>
      </c>
    </row>
    <row r="10609">
      <c r="A10609" s="11" t="s">
        <v>10640</v>
      </c>
    </row>
    <row r="10610">
      <c r="A10610" s="11" t="s">
        <v>10641</v>
      </c>
    </row>
    <row r="10611">
      <c r="A10611" s="11" t="s">
        <v>10642</v>
      </c>
    </row>
    <row r="10612">
      <c r="A10612" s="11" t="s">
        <v>10643</v>
      </c>
    </row>
    <row r="10613">
      <c r="A10613" s="11" t="s">
        <v>10644</v>
      </c>
    </row>
    <row r="10614">
      <c r="A10614" s="11" t="s">
        <v>10645</v>
      </c>
    </row>
    <row r="10615">
      <c r="A10615" s="11" t="s">
        <v>10646</v>
      </c>
    </row>
    <row r="10616">
      <c r="A10616" s="11" t="s">
        <v>10647</v>
      </c>
    </row>
    <row r="10617">
      <c r="A10617" s="11" t="s">
        <v>10648</v>
      </c>
    </row>
    <row r="10618">
      <c r="A10618" s="11" t="s">
        <v>10649</v>
      </c>
    </row>
    <row r="10619">
      <c r="A10619" s="11" t="s">
        <v>10650</v>
      </c>
    </row>
    <row r="10620">
      <c r="A10620" s="11" t="s">
        <v>10651</v>
      </c>
    </row>
    <row r="10621">
      <c r="A10621" s="11" t="s">
        <v>10652</v>
      </c>
    </row>
    <row r="10622">
      <c r="A10622" s="11" t="s">
        <v>10653</v>
      </c>
    </row>
    <row r="10623">
      <c r="A10623" s="11" t="s">
        <v>10654</v>
      </c>
    </row>
    <row r="10624">
      <c r="A10624" s="11" t="s">
        <v>10655</v>
      </c>
    </row>
    <row r="10625">
      <c r="A10625" s="11" t="s">
        <v>10656</v>
      </c>
    </row>
    <row r="10626">
      <c r="A10626" s="11" t="s">
        <v>10657</v>
      </c>
    </row>
    <row r="10627">
      <c r="A10627" s="11" t="s">
        <v>10658</v>
      </c>
    </row>
    <row r="10628">
      <c r="A10628" s="11" t="s">
        <v>10659</v>
      </c>
    </row>
    <row r="10629">
      <c r="A10629" s="11" t="s">
        <v>10660</v>
      </c>
    </row>
    <row r="10630">
      <c r="A10630" s="11" t="s">
        <v>10661</v>
      </c>
    </row>
    <row r="10631">
      <c r="A10631" s="11" t="s">
        <v>10662</v>
      </c>
    </row>
    <row r="10632">
      <c r="A10632" s="11" t="s">
        <v>10663</v>
      </c>
    </row>
    <row r="10633">
      <c r="A10633" s="11" t="s">
        <v>10664</v>
      </c>
    </row>
    <row r="10634">
      <c r="A10634" s="11" t="s">
        <v>10665</v>
      </c>
    </row>
    <row r="10635">
      <c r="A10635" s="11" t="s">
        <v>10666</v>
      </c>
    </row>
    <row r="10636">
      <c r="A10636" s="11" t="s">
        <v>10667</v>
      </c>
    </row>
    <row r="10637">
      <c r="A10637" s="11" t="s">
        <v>10668</v>
      </c>
    </row>
    <row r="10638">
      <c r="A10638" s="11" t="s">
        <v>10669</v>
      </c>
    </row>
    <row r="10639">
      <c r="A10639" s="11" t="s">
        <v>10670</v>
      </c>
    </row>
    <row r="10640">
      <c r="A10640" s="11" t="s">
        <v>10671</v>
      </c>
    </row>
    <row r="10641">
      <c r="A10641" s="11" t="s">
        <v>10672</v>
      </c>
    </row>
    <row r="10642">
      <c r="A10642" s="11" t="s">
        <v>10673</v>
      </c>
    </row>
    <row r="10643">
      <c r="A10643" s="11" t="s">
        <v>10674</v>
      </c>
    </row>
    <row r="10644">
      <c r="A10644" s="11" t="s">
        <v>10675</v>
      </c>
    </row>
    <row r="10645">
      <c r="A10645" s="11" t="s">
        <v>10676</v>
      </c>
    </row>
    <row r="10646">
      <c r="A10646" s="11" t="s">
        <v>10677</v>
      </c>
    </row>
    <row r="10647">
      <c r="A10647" s="11" t="s">
        <v>10678</v>
      </c>
    </row>
    <row r="10648">
      <c r="A10648" s="11" t="s">
        <v>10679</v>
      </c>
    </row>
    <row r="10649">
      <c r="A10649" s="11" t="s">
        <v>10680</v>
      </c>
    </row>
    <row r="10650">
      <c r="A10650" s="11" t="s">
        <v>10681</v>
      </c>
    </row>
    <row r="10651">
      <c r="A10651" s="11" t="s">
        <v>10682</v>
      </c>
    </row>
    <row r="10652">
      <c r="A10652" s="11" t="s">
        <v>10683</v>
      </c>
    </row>
    <row r="10653">
      <c r="A10653" s="11" t="s">
        <v>10684</v>
      </c>
    </row>
    <row r="10654">
      <c r="A10654" s="11" t="s">
        <v>10685</v>
      </c>
    </row>
    <row r="10655">
      <c r="A10655" s="11" t="s">
        <v>10686</v>
      </c>
    </row>
    <row r="10656">
      <c r="A10656" s="11" t="s">
        <v>10687</v>
      </c>
    </row>
    <row r="10657">
      <c r="A10657" s="11" t="s">
        <v>10688</v>
      </c>
    </row>
    <row r="10658">
      <c r="A10658" s="11" t="s">
        <v>10689</v>
      </c>
    </row>
    <row r="10659">
      <c r="A10659" s="11" t="s">
        <v>10690</v>
      </c>
    </row>
    <row r="10660">
      <c r="A10660" s="11" t="s">
        <v>10691</v>
      </c>
    </row>
    <row r="10661">
      <c r="A10661" s="11" t="s">
        <v>10692</v>
      </c>
    </row>
    <row r="10662">
      <c r="A10662" s="11" t="s">
        <v>10693</v>
      </c>
    </row>
    <row r="10663">
      <c r="A10663" s="11" t="s">
        <v>10694</v>
      </c>
    </row>
    <row r="10664">
      <c r="A10664" s="11" t="s">
        <v>10695</v>
      </c>
    </row>
    <row r="10665">
      <c r="A10665" s="11" t="s">
        <v>10696</v>
      </c>
    </row>
    <row r="10666">
      <c r="A10666" s="11" t="s">
        <v>10697</v>
      </c>
    </row>
    <row r="10667">
      <c r="A10667" s="11" t="s">
        <v>10698</v>
      </c>
    </row>
    <row r="10668">
      <c r="A10668" s="11" t="s">
        <v>10699</v>
      </c>
    </row>
    <row r="10669">
      <c r="A10669" s="11" t="s">
        <v>10700</v>
      </c>
    </row>
    <row r="10670">
      <c r="A10670" s="11" t="s">
        <v>10701</v>
      </c>
    </row>
    <row r="10671">
      <c r="A10671" s="11" t="s">
        <v>10702</v>
      </c>
    </row>
    <row r="10672">
      <c r="A10672" s="11" t="s">
        <v>10703</v>
      </c>
    </row>
    <row r="10673">
      <c r="A10673" s="11" t="s">
        <v>10704</v>
      </c>
    </row>
    <row r="10674">
      <c r="A10674" s="11" t="s">
        <v>10705</v>
      </c>
    </row>
    <row r="10675">
      <c r="A10675" s="11" t="s">
        <v>10706</v>
      </c>
    </row>
    <row r="10676">
      <c r="A10676" s="11" t="s">
        <v>10707</v>
      </c>
    </row>
    <row r="10677">
      <c r="A10677" s="11" t="s">
        <v>10708</v>
      </c>
    </row>
    <row r="10678">
      <c r="A10678" s="11" t="s">
        <v>10709</v>
      </c>
    </row>
    <row r="10679">
      <c r="A10679" s="11" t="s">
        <v>10710</v>
      </c>
    </row>
    <row r="10680">
      <c r="A10680" s="11" t="s">
        <v>10711</v>
      </c>
    </row>
    <row r="10681">
      <c r="A10681" s="11" t="s">
        <v>10712</v>
      </c>
    </row>
    <row r="10682">
      <c r="A10682" s="11" t="s">
        <v>10713</v>
      </c>
    </row>
    <row r="10683">
      <c r="A10683" s="11" t="s">
        <v>10714</v>
      </c>
    </row>
    <row r="10684">
      <c r="A10684" s="11" t="s">
        <v>10715</v>
      </c>
    </row>
    <row r="10685">
      <c r="A10685" s="11" t="s">
        <v>10716</v>
      </c>
    </row>
    <row r="10686">
      <c r="A10686" s="11" t="s">
        <v>10717</v>
      </c>
    </row>
    <row r="10687">
      <c r="A10687" s="11" t="s">
        <v>10718</v>
      </c>
    </row>
    <row r="10688">
      <c r="A10688" s="11" t="s">
        <v>10719</v>
      </c>
    </row>
    <row r="10689">
      <c r="A10689" s="11" t="s">
        <v>10720</v>
      </c>
    </row>
    <row r="10690">
      <c r="A10690" s="11" t="s">
        <v>10721</v>
      </c>
    </row>
    <row r="10691">
      <c r="A10691" s="11" t="s">
        <v>10722</v>
      </c>
    </row>
    <row r="10692">
      <c r="A10692" s="11" t="s">
        <v>10723</v>
      </c>
    </row>
    <row r="10693">
      <c r="A10693" s="11" t="s">
        <v>10724</v>
      </c>
    </row>
    <row r="10694">
      <c r="A10694" s="11" t="s">
        <v>10725</v>
      </c>
    </row>
    <row r="10695">
      <c r="A10695" s="11" t="s">
        <v>10726</v>
      </c>
    </row>
    <row r="10696">
      <c r="A10696" s="11" t="s">
        <v>10727</v>
      </c>
    </row>
    <row r="10697">
      <c r="A10697" s="11" t="s">
        <v>10728</v>
      </c>
    </row>
    <row r="10698">
      <c r="A10698" s="11" t="s">
        <v>10729</v>
      </c>
    </row>
    <row r="10699">
      <c r="A10699" s="11" t="s">
        <v>10730</v>
      </c>
    </row>
    <row r="10700">
      <c r="A10700" s="11" t="s">
        <v>10731</v>
      </c>
    </row>
    <row r="10701">
      <c r="A10701" s="11" t="s">
        <v>10732</v>
      </c>
    </row>
    <row r="10702">
      <c r="A10702" s="11" t="s">
        <v>10733</v>
      </c>
    </row>
    <row r="10703">
      <c r="A10703" s="11" t="s">
        <v>10734</v>
      </c>
    </row>
    <row r="10704">
      <c r="A10704" s="11" t="s">
        <v>10735</v>
      </c>
    </row>
    <row r="10705">
      <c r="A10705" s="11" t="s">
        <v>10736</v>
      </c>
    </row>
    <row r="10706">
      <c r="A10706" s="11" t="s">
        <v>10737</v>
      </c>
    </row>
    <row r="10707">
      <c r="A10707" s="11" t="s">
        <v>10738</v>
      </c>
    </row>
    <row r="10708">
      <c r="A10708" s="11" t="s">
        <v>10739</v>
      </c>
    </row>
    <row r="10709">
      <c r="A10709" s="11" t="s">
        <v>10740</v>
      </c>
    </row>
    <row r="10710">
      <c r="A10710" s="11" t="s">
        <v>10741</v>
      </c>
    </row>
    <row r="10711">
      <c r="A10711" s="11" t="s">
        <v>10742</v>
      </c>
    </row>
    <row r="10712">
      <c r="A10712" s="11" t="s">
        <v>10743</v>
      </c>
    </row>
    <row r="10713">
      <c r="A10713" s="11" t="s">
        <v>10744</v>
      </c>
    </row>
    <row r="10714">
      <c r="A10714" s="11" t="s">
        <v>10745</v>
      </c>
    </row>
    <row r="10715">
      <c r="A10715" s="11" t="s">
        <v>10746</v>
      </c>
    </row>
    <row r="10716">
      <c r="A10716" s="11" t="s">
        <v>10747</v>
      </c>
    </row>
    <row r="10717">
      <c r="A10717" s="11" t="s">
        <v>10748</v>
      </c>
    </row>
    <row r="10718">
      <c r="A10718" s="11" t="s">
        <v>10749</v>
      </c>
    </row>
    <row r="10719">
      <c r="A10719" s="11" t="s">
        <v>10750</v>
      </c>
    </row>
    <row r="10720">
      <c r="A10720" s="11" t="s">
        <v>10751</v>
      </c>
    </row>
    <row r="10721">
      <c r="A10721" s="11" t="s">
        <v>10752</v>
      </c>
    </row>
    <row r="10722">
      <c r="A10722" s="11" t="s">
        <v>10753</v>
      </c>
    </row>
    <row r="10723">
      <c r="A10723" s="11" t="s">
        <v>10754</v>
      </c>
    </row>
    <row r="10724">
      <c r="A10724" s="11" t="s">
        <v>10755</v>
      </c>
    </row>
    <row r="10725">
      <c r="A10725" s="11" t="s">
        <v>10756</v>
      </c>
    </row>
    <row r="10726">
      <c r="A10726" s="11" t="s">
        <v>10757</v>
      </c>
    </row>
    <row r="10727">
      <c r="A10727" s="11" t="s">
        <v>10758</v>
      </c>
    </row>
    <row r="10728">
      <c r="A10728" s="11" t="s">
        <v>10759</v>
      </c>
    </row>
    <row r="10729">
      <c r="A10729" s="11" t="s">
        <v>10760</v>
      </c>
    </row>
    <row r="10730">
      <c r="A10730" s="11" t="s">
        <v>10761</v>
      </c>
    </row>
    <row r="10731">
      <c r="A10731" s="11" t="s">
        <v>10762</v>
      </c>
    </row>
    <row r="10732">
      <c r="A10732" s="11" t="s">
        <v>10763</v>
      </c>
    </row>
    <row r="10733">
      <c r="A10733" s="11" t="s">
        <v>10764</v>
      </c>
    </row>
    <row r="10734">
      <c r="A10734" s="11" t="s">
        <v>10765</v>
      </c>
    </row>
    <row r="10735">
      <c r="A10735" s="11" t="s">
        <v>10766</v>
      </c>
    </row>
    <row r="10736">
      <c r="A10736" s="11" t="s">
        <v>10767</v>
      </c>
    </row>
    <row r="10737">
      <c r="A10737" s="11" t="s">
        <v>10768</v>
      </c>
    </row>
    <row r="10738">
      <c r="A10738" s="11" t="s">
        <v>10769</v>
      </c>
    </row>
    <row r="10739">
      <c r="A10739" s="11" t="s">
        <v>10770</v>
      </c>
    </row>
    <row r="10740">
      <c r="A10740" s="11" t="s">
        <v>10771</v>
      </c>
    </row>
    <row r="10741">
      <c r="A10741" s="11" t="s">
        <v>10772</v>
      </c>
    </row>
    <row r="10742">
      <c r="A10742" s="11" t="s">
        <v>10773</v>
      </c>
    </row>
    <row r="10743">
      <c r="A10743" s="11" t="s">
        <v>10774</v>
      </c>
    </row>
    <row r="10744">
      <c r="A10744" s="11" t="s">
        <v>10775</v>
      </c>
    </row>
    <row r="10745">
      <c r="A10745" s="11" t="s">
        <v>10776</v>
      </c>
    </row>
    <row r="10746">
      <c r="A10746" s="11" t="s">
        <v>10777</v>
      </c>
    </row>
    <row r="10747">
      <c r="A10747" s="11" t="s">
        <v>10778</v>
      </c>
    </row>
    <row r="10748">
      <c r="A10748" s="11" t="s">
        <v>10779</v>
      </c>
    </row>
    <row r="10749">
      <c r="A10749" s="11" t="s">
        <v>10780</v>
      </c>
    </row>
    <row r="10750">
      <c r="A10750" s="11" t="s">
        <v>10781</v>
      </c>
    </row>
    <row r="10751">
      <c r="A10751" s="11" t="s">
        <v>10782</v>
      </c>
    </row>
    <row r="10752">
      <c r="A10752" s="11" t="s">
        <v>10783</v>
      </c>
    </row>
    <row r="10753">
      <c r="A10753" s="11" t="s">
        <v>10784</v>
      </c>
    </row>
    <row r="10754">
      <c r="A10754" s="11" t="s">
        <v>10785</v>
      </c>
    </row>
    <row r="10755">
      <c r="A10755" s="11" t="s">
        <v>10786</v>
      </c>
    </row>
    <row r="10756">
      <c r="A10756" s="11" t="s">
        <v>10787</v>
      </c>
    </row>
    <row r="10757">
      <c r="A10757" s="11" t="s">
        <v>10788</v>
      </c>
    </row>
    <row r="10758">
      <c r="A10758" s="11" t="s">
        <v>10789</v>
      </c>
    </row>
    <row r="10759">
      <c r="A10759" s="11" t="s">
        <v>10790</v>
      </c>
    </row>
    <row r="10760">
      <c r="A10760" s="11" t="s">
        <v>10791</v>
      </c>
    </row>
    <row r="10761">
      <c r="A10761" s="11" t="s">
        <v>10792</v>
      </c>
    </row>
    <row r="10762">
      <c r="A10762" s="11" t="s">
        <v>10793</v>
      </c>
    </row>
    <row r="10763">
      <c r="A10763" s="11" t="s">
        <v>10794</v>
      </c>
    </row>
    <row r="10764">
      <c r="A10764" s="11" t="s">
        <v>10795</v>
      </c>
    </row>
    <row r="10765">
      <c r="A10765" s="11" t="s">
        <v>10796</v>
      </c>
    </row>
    <row r="10766">
      <c r="A10766" s="11" t="s">
        <v>10797</v>
      </c>
    </row>
    <row r="10767">
      <c r="A10767" s="11" t="s">
        <v>10798</v>
      </c>
    </row>
    <row r="10768">
      <c r="A10768" s="11" t="s">
        <v>10799</v>
      </c>
    </row>
    <row r="10769">
      <c r="A10769" s="11" t="s">
        <v>10800</v>
      </c>
    </row>
    <row r="10770">
      <c r="A10770" s="11" t="s">
        <v>10801</v>
      </c>
    </row>
    <row r="10771">
      <c r="A10771" s="11" t="s">
        <v>10802</v>
      </c>
    </row>
    <row r="10772">
      <c r="A10772" s="11" t="s">
        <v>10803</v>
      </c>
    </row>
    <row r="10773">
      <c r="A10773" s="11" t="s">
        <v>10804</v>
      </c>
    </row>
    <row r="10774">
      <c r="A10774" s="11" t="s">
        <v>10805</v>
      </c>
    </row>
    <row r="10775">
      <c r="A10775" s="11" t="s">
        <v>10806</v>
      </c>
    </row>
    <row r="10776">
      <c r="A10776" s="11" t="s">
        <v>10807</v>
      </c>
    </row>
    <row r="10777">
      <c r="A10777" s="11" t="s">
        <v>10808</v>
      </c>
    </row>
    <row r="10778">
      <c r="A10778" s="11" t="s">
        <v>10809</v>
      </c>
    </row>
    <row r="10779">
      <c r="A10779" s="11" t="s">
        <v>10810</v>
      </c>
    </row>
    <row r="10780">
      <c r="A10780" s="11" t="s">
        <v>10811</v>
      </c>
    </row>
    <row r="10781">
      <c r="A10781" s="11" t="s">
        <v>10812</v>
      </c>
    </row>
    <row r="10782">
      <c r="A10782" s="11" t="s">
        <v>10813</v>
      </c>
    </row>
    <row r="10783">
      <c r="A10783" s="11" t="s">
        <v>10814</v>
      </c>
    </row>
    <row r="10784">
      <c r="A10784" s="11" t="s">
        <v>10815</v>
      </c>
    </row>
    <row r="10785">
      <c r="A10785" s="11" t="s">
        <v>10816</v>
      </c>
    </row>
    <row r="10786">
      <c r="A10786" s="11" t="s">
        <v>10817</v>
      </c>
    </row>
    <row r="10787">
      <c r="A10787" s="11" t="s">
        <v>10818</v>
      </c>
    </row>
    <row r="10788">
      <c r="A10788" s="11" t="s">
        <v>10819</v>
      </c>
    </row>
    <row r="10789">
      <c r="A10789" s="11" t="s">
        <v>10820</v>
      </c>
    </row>
    <row r="10790">
      <c r="A10790" s="11" t="s">
        <v>10821</v>
      </c>
    </row>
    <row r="10791">
      <c r="A10791" s="11" t="s">
        <v>10822</v>
      </c>
    </row>
    <row r="10792">
      <c r="A10792" s="11" t="s">
        <v>10823</v>
      </c>
    </row>
    <row r="10793">
      <c r="A10793" s="11" t="s">
        <v>10824</v>
      </c>
    </row>
    <row r="10794">
      <c r="A10794" s="11" t="s">
        <v>10825</v>
      </c>
    </row>
    <row r="10795">
      <c r="A10795" s="11" t="s">
        <v>10826</v>
      </c>
    </row>
    <row r="10796">
      <c r="A10796" s="11" t="s">
        <v>10827</v>
      </c>
    </row>
    <row r="10797">
      <c r="A10797" s="11" t="s">
        <v>10828</v>
      </c>
    </row>
    <row r="10798">
      <c r="A10798" s="11" t="s">
        <v>10829</v>
      </c>
    </row>
    <row r="10799">
      <c r="A10799" s="11" t="s">
        <v>10830</v>
      </c>
    </row>
    <row r="10800">
      <c r="A10800" s="11" t="s">
        <v>10831</v>
      </c>
    </row>
    <row r="10801">
      <c r="A10801" s="11" t="s">
        <v>10832</v>
      </c>
    </row>
    <row r="10802">
      <c r="A10802" s="11" t="s">
        <v>10833</v>
      </c>
    </row>
    <row r="10803">
      <c r="A10803" s="11" t="s">
        <v>10834</v>
      </c>
    </row>
    <row r="10804">
      <c r="A10804" s="11" t="s">
        <v>10835</v>
      </c>
    </row>
    <row r="10805">
      <c r="A10805" s="11" t="s">
        <v>10836</v>
      </c>
    </row>
    <row r="10806">
      <c r="A10806" s="11" t="s">
        <v>10837</v>
      </c>
    </row>
    <row r="10807">
      <c r="A10807" s="11" t="s">
        <v>10838</v>
      </c>
    </row>
    <row r="10808">
      <c r="A10808" s="11" t="s">
        <v>10839</v>
      </c>
    </row>
    <row r="10809">
      <c r="A10809" s="11" t="s">
        <v>10840</v>
      </c>
    </row>
    <row r="10810">
      <c r="A10810" s="11" t="s">
        <v>10841</v>
      </c>
    </row>
    <row r="10811">
      <c r="A10811" s="11" t="s">
        <v>10842</v>
      </c>
    </row>
    <row r="10812">
      <c r="A10812" s="11" t="s">
        <v>10843</v>
      </c>
    </row>
    <row r="10813">
      <c r="A10813" s="11" t="s">
        <v>10844</v>
      </c>
    </row>
    <row r="10814">
      <c r="A10814" s="11" t="s">
        <v>10845</v>
      </c>
    </row>
    <row r="10815">
      <c r="A10815" s="11" t="s">
        <v>10846</v>
      </c>
    </row>
    <row r="10816">
      <c r="A10816" s="11" t="s">
        <v>10847</v>
      </c>
    </row>
    <row r="10817">
      <c r="A10817" s="11" t="s">
        <v>10848</v>
      </c>
    </row>
    <row r="10818">
      <c r="A10818" s="11" t="s">
        <v>10849</v>
      </c>
    </row>
    <row r="10819">
      <c r="A10819" s="11" t="s">
        <v>10850</v>
      </c>
    </row>
    <row r="10820">
      <c r="A10820" s="11" t="s">
        <v>10851</v>
      </c>
    </row>
    <row r="10821">
      <c r="A10821" s="11" t="s">
        <v>10852</v>
      </c>
    </row>
    <row r="10822">
      <c r="A10822" s="11" t="s">
        <v>10853</v>
      </c>
    </row>
    <row r="10823">
      <c r="A10823" s="11" t="s">
        <v>10854</v>
      </c>
    </row>
    <row r="10824">
      <c r="A10824" s="11" t="s">
        <v>10855</v>
      </c>
    </row>
    <row r="10825">
      <c r="A10825" s="11" t="s">
        <v>10856</v>
      </c>
    </row>
    <row r="10826">
      <c r="A10826" s="11" t="s">
        <v>10857</v>
      </c>
    </row>
    <row r="10827">
      <c r="A10827" s="11" t="s">
        <v>10858</v>
      </c>
    </row>
    <row r="10828">
      <c r="A10828" s="11" t="s">
        <v>10859</v>
      </c>
    </row>
    <row r="10829">
      <c r="A10829" s="11" t="s">
        <v>10860</v>
      </c>
    </row>
    <row r="10830">
      <c r="A10830" s="11" t="s">
        <v>10861</v>
      </c>
    </row>
    <row r="10831">
      <c r="A10831" s="11" t="s">
        <v>10862</v>
      </c>
    </row>
    <row r="10832">
      <c r="A10832" s="11" t="s">
        <v>10863</v>
      </c>
    </row>
    <row r="10833">
      <c r="A10833" s="11" t="s">
        <v>10864</v>
      </c>
    </row>
    <row r="10834">
      <c r="A10834" s="11" t="s">
        <v>10865</v>
      </c>
    </row>
    <row r="10835">
      <c r="A10835" s="11" t="s">
        <v>10866</v>
      </c>
    </row>
    <row r="10836">
      <c r="A10836" s="11" t="s">
        <v>10867</v>
      </c>
    </row>
    <row r="10837">
      <c r="A10837" s="11" t="s">
        <v>10868</v>
      </c>
    </row>
    <row r="10838">
      <c r="A10838" s="11" t="s">
        <v>10869</v>
      </c>
    </row>
    <row r="10839">
      <c r="A10839" s="11" t="s">
        <v>10870</v>
      </c>
    </row>
    <row r="10840">
      <c r="A10840" s="11" t="s">
        <v>10871</v>
      </c>
    </row>
    <row r="10841">
      <c r="A10841" s="11" t="s">
        <v>10872</v>
      </c>
    </row>
    <row r="10842">
      <c r="A10842" s="11" t="s">
        <v>10873</v>
      </c>
    </row>
    <row r="10843">
      <c r="A10843" s="11" t="s">
        <v>10874</v>
      </c>
    </row>
    <row r="10844">
      <c r="A10844" s="11" t="s">
        <v>10875</v>
      </c>
    </row>
    <row r="10845">
      <c r="A10845" s="11" t="s">
        <v>10876</v>
      </c>
    </row>
    <row r="10846">
      <c r="A10846" s="11" t="s">
        <v>10877</v>
      </c>
    </row>
    <row r="10847">
      <c r="A10847" s="11" t="s">
        <v>10878</v>
      </c>
    </row>
    <row r="10848">
      <c r="A10848" s="11" t="s">
        <v>10879</v>
      </c>
    </row>
    <row r="10849">
      <c r="A10849" s="11" t="s">
        <v>10880</v>
      </c>
    </row>
    <row r="10850">
      <c r="A10850" s="11" t="s">
        <v>10881</v>
      </c>
    </row>
    <row r="10851">
      <c r="A10851" s="11" t="s">
        <v>10882</v>
      </c>
    </row>
    <row r="10852">
      <c r="A10852" s="11" t="s">
        <v>10883</v>
      </c>
    </row>
    <row r="10853">
      <c r="A10853" s="11" t="s">
        <v>10884</v>
      </c>
    </row>
    <row r="10854">
      <c r="A10854" s="11" t="s">
        <v>10885</v>
      </c>
    </row>
    <row r="10855">
      <c r="A10855" s="11" t="s">
        <v>10886</v>
      </c>
    </row>
    <row r="10856">
      <c r="A10856" s="11" t="s">
        <v>10887</v>
      </c>
    </row>
    <row r="10857">
      <c r="A10857" s="11" t="s">
        <v>10888</v>
      </c>
    </row>
    <row r="10858">
      <c r="A10858" s="11" t="s">
        <v>10889</v>
      </c>
    </row>
    <row r="10859">
      <c r="A10859" s="11" t="s">
        <v>10890</v>
      </c>
    </row>
    <row r="10860">
      <c r="A10860" s="11" t="s">
        <v>10891</v>
      </c>
    </row>
    <row r="10861">
      <c r="A10861" s="11" t="s">
        <v>10892</v>
      </c>
    </row>
    <row r="10862">
      <c r="A10862" s="11" t="s">
        <v>10893</v>
      </c>
    </row>
    <row r="10863">
      <c r="A10863" s="11" t="s">
        <v>10894</v>
      </c>
    </row>
    <row r="10864">
      <c r="A10864" s="11" t="s">
        <v>10895</v>
      </c>
    </row>
    <row r="10865">
      <c r="A10865" s="11" t="s">
        <v>10896</v>
      </c>
    </row>
    <row r="10866">
      <c r="A10866" s="11" t="s">
        <v>10897</v>
      </c>
    </row>
    <row r="10867">
      <c r="A10867" s="11" t="s">
        <v>10898</v>
      </c>
    </row>
    <row r="10868">
      <c r="A10868" s="11" t="s">
        <v>10899</v>
      </c>
    </row>
    <row r="10869">
      <c r="A10869" s="11" t="s">
        <v>10900</v>
      </c>
    </row>
    <row r="10870">
      <c r="A10870" s="11" t="s">
        <v>10901</v>
      </c>
    </row>
    <row r="10871">
      <c r="A10871" s="11" t="s">
        <v>10902</v>
      </c>
    </row>
    <row r="10872">
      <c r="A10872" s="11" t="s">
        <v>10903</v>
      </c>
    </row>
    <row r="10873">
      <c r="A10873" s="11" t="s">
        <v>10904</v>
      </c>
    </row>
    <row r="10874">
      <c r="A10874" s="11" t="s">
        <v>10905</v>
      </c>
    </row>
    <row r="10875">
      <c r="A10875" s="11" t="s">
        <v>10906</v>
      </c>
    </row>
    <row r="10876">
      <c r="A10876" s="11" t="s">
        <v>10907</v>
      </c>
    </row>
    <row r="10877">
      <c r="A10877" s="11" t="s">
        <v>10908</v>
      </c>
    </row>
    <row r="10878">
      <c r="A10878" s="11" t="s">
        <v>10909</v>
      </c>
    </row>
    <row r="10879">
      <c r="A10879" s="11" t="s">
        <v>10910</v>
      </c>
    </row>
    <row r="10880">
      <c r="A10880" s="11" t="s">
        <v>10911</v>
      </c>
    </row>
    <row r="10881">
      <c r="A10881" s="11" t="s">
        <v>10912</v>
      </c>
    </row>
    <row r="10882">
      <c r="A10882" s="11" t="s">
        <v>10913</v>
      </c>
    </row>
    <row r="10883">
      <c r="A10883" s="11" t="s">
        <v>10914</v>
      </c>
    </row>
    <row r="10884">
      <c r="A10884" s="11" t="s">
        <v>10915</v>
      </c>
    </row>
    <row r="10885">
      <c r="A10885" s="11" t="s">
        <v>10916</v>
      </c>
    </row>
    <row r="10886">
      <c r="A10886" s="11" t="s">
        <v>10917</v>
      </c>
    </row>
    <row r="10887">
      <c r="A10887" s="11" t="s">
        <v>10918</v>
      </c>
    </row>
    <row r="10888">
      <c r="A10888" s="11" t="s">
        <v>10919</v>
      </c>
    </row>
    <row r="10889">
      <c r="A10889" s="11" t="s">
        <v>10920</v>
      </c>
    </row>
    <row r="10890">
      <c r="A10890" s="11" t="s">
        <v>10921</v>
      </c>
    </row>
    <row r="10891">
      <c r="A10891" s="11" t="s">
        <v>10922</v>
      </c>
    </row>
    <row r="10892">
      <c r="A10892" s="11" t="s">
        <v>10923</v>
      </c>
    </row>
    <row r="10893">
      <c r="A10893" s="11" t="s">
        <v>10924</v>
      </c>
    </row>
    <row r="10894">
      <c r="A10894" s="11" t="s">
        <v>10925</v>
      </c>
    </row>
    <row r="10895">
      <c r="A10895" s="11" t="s">
        <v>10926</v>
      </c>
    </row>
    <row r="10896">
      <c r="A10896" s="11" t="s">
        <v>10927</v>
      </c>
    </row>
    <row r="10897">
      <c r="A10897" s="11" t="s">
        <v>10928</v>
      </c>
    </row>
    <row r="10898">
      <c r="A10898" s="11" t="s">
        <v>10929</v>
      </c>
    </row>
    <row r="10899">
      <c r="A10899" s="11" t="s">
        <v>10930</v>
      </c>
    </row>
    <row r="10900">
      <c r="A10900" s="11" t="s">
        <v>10931</v>
      </c>
    </row>
    <row r="10901">
      <c r="A10901" s="11" t="s">
        <v>10932</v>
      </c>
    </row>
    <row r="10902">
      <c r="A10902" s="11" t="s">
        <v>10933</v>
      </c>
    </row>
    <row r="10903">
      <c r="A10903" s="11" t="s">
        <v>10934</v>
      </c>
    </row>
    <row r="10904">
      <c r="A10904" s="11" t="s">
        <v>10935</v>
      </c>
    </row>
    <row r="10905">
      <c r="A10905" s="11" t="s">
        <v>10936</v>
      </c>
    </row>
    <row r="10906">
      <c r="A10906" s="11" t="s">
        <v>10937</v>
      </c>
    </row>
    <row r="10907">
      <c r="A10907" s="11" t="s">
        <v>10938</v>
      </c>
    </row>
    <row r="10908">
      <c r="A10908" s="11" t="s">
        <v>10939</v>
      </c>
    </row>
    <row r="10909">
      <c r="A10909" s="11" t="s">
        <v>10940</v>
      </c>
    </row>
    <row r="10910">
      <c r="A10910" s="11" t="s">
        <v>10941</v>
      </c>
    </row>
    <row r="10911">
      <c r="A10911" s="11" t="s">
        <v>10942</v>
      </c>
    </row>
    <row r="10912">
      <c r="A10912" s="11" t="s">
        <v>10943</v>
      </c>
    </row>
    <row r="10913">
      <c r="A10913" s="11" t="s">
        <v>10944</v>
      </c>
    </row>
    <row r="10914">
      <c r="A10914" s="11" t="s">
        <v>10945</v>
      </c>
    </row>
    <row r="10915">
      <c r="A10915" s="11" t="s">
        <v>10946</v>
      </c>
    </row>
    <row r="10916">
      <c r="A10916" s="11" t="s">
        <v>10947</v>
      </c>
    </row>
    <row r="10917">
      <c r="A10917" s="11" t="s">
        <v>10948</v>
      </c>
    </row>
    <row r="10918">
      <c r="A10918" s="11" t="s">
        <v>10949</v>
      </c>
    </row>
    <row r="10919">
      <c r="A10919" s="11" t="s">
        <v>10950</v>
      </c>
    </row>
    <row r="10920">
      <c r="A10920" s="11" t="s">
        <v>10951</v>
      </c>
    </row>
    <row r="10921">
      <c r="A10921" s="11" t="s">
        <v>10952</v>
      </c>
    </row>
    <row r="10922">
      <c r="A10922" s="11" t="s">
        <v>10953</v>
      </c>
    </row>
    <row r="10923">
      <c r="A10923" s="11" t="s">
        <v>10954</v>
      </c>
    </row>
    <row r="10924">
      <c r="A10924" s="11" t="s">
        <v>10955</v>
      </c>
    </row>
    <row r="10925">
      <c r="A10925" s="11" t="s">
        <v>10956</v>
      </c>
    </row>
    <row r="10926">
      <c r="A10926" s="11" t="s">
        <v>10957</v>
      </c>
    </row>
    <row r="10927">
      <c r="A10927" s="11" t="s">
        <v>10958</v>
      </c>
    </row>
    <row r="10928">
      <c r="A10928" s="11" t="s">
        <v>10959</v>
      </c>
    </row>
    <row r="10929">
      <c r="A10929" s="11" t="s">
        <v>10960</v>
      </c>
    </row>
    <row r="10930">
      <c r="A10930" s="11" t="s">
        <v>10961</v>
      </c>
    </row>
    <row r="10931">
      <c r="A10931" s="11" t="s">
        <v>10962</v>
      </c>
    </row>
    <row r="10932">
      <c r="A10932" s="11" t="s">
        <v>10963</v>
      </c>
    </row>
    <row r="10933">
      <c r="A10933" s="11" t="s">
        <v>10964</v>
      </c>
    </row>
    <row r="10934">
      <c r="A10934" s="11" t="s">
        <v>10965</v>
      </c>
    </row>
    <row r="10935">
      <c r="A10935" s="11" t="s">
        <v>10966</v>
      </c>
    </row>
    <row r="10936">
      <c r="A10936" s="11" t="s">
        <v>10967</v>
      </c>
    </row>
    <row r="10937">
      <c r="A10937" s="11" t="s">
        <v>10968</v>
      </c>
    </row>
    <row r="10938">
      <c r="A10938" s="11" t="s">
        <v>10969</v>
      </c>
    </row>
    <row r="10939">
      <c r="A10939" s="11" t="s">
        <v>10970</v>
      </c>
    </row>
    <row r="10940">
      <c r="A10940" s="11" t="s">
        <v>10971</v>
      </c>
    </row>
    <row r="10941">
      <c r="A10941" s="11" t="s">
        <v>10972</v>
      </c>
    </row>
    <row r="10942">
      <c r="A10942" s="11" t="s">
        <v>10973</v>
      </c>
    </row>
    <row r="10943">
      <c r="A10943" s="11" t="s">
        <v>10974</v>
      </c>
    </row>
    <row r="10944">
      <c r="A10944" s="11" t="s">
        <v>10975</v>
      </c>
    </row>
    <row r="10945">
      <c r="A10945" s="11" t="s">
        <v>10976</v>
      </c>
    </row>
    <row r="10946">
      <c r="A10946" s="11" t="s">
        <v>10977</v>
      </c>
    </row>
    <row r="10947">
      <c r="A10947" s="11" t="s">
        <v>10978</v>
      </c>
    </row>
    <row r="10948">
      <c r="A10948" s="11" t="s">
        <v>10979</v>
      </c>
    </row>
    <row r="10949">
      <c r="A10949" s="11" t="s">
        <v>10980</v>
      </c>
    </row>
    <row r="10950">
      <c r="A10950" s="11" t="s">
        <v>10981</v>
      </c>
    </row>
    <row r="10951">
      <c r="A10951" s="11" t="s">
        <v>10982</v>
      </c>
    </row>
    <row r="10952">
      <c r="A10952" s="11" t="s">
        <v>10983</v>
      </c>
    </row>
    <row r="10953">
      <c r="A10953" s="11" t="s">
        <v>10984</v>
      </c>
    </row>
    <row r="10954">
      <c r="A10954" s="11" t="s">
        <v>10985</v>
      </c>
    </row>
    <row r="10955">
      <c r="A10955" s="11" t="s">
        <v>10986</v>
      </c>
    </row>
    <row r="10956">
      <c r="A10956" s="11" t="s">
        <v>10987</v>
      </c>
    </row>
    <row r="10957">
      <c r="A10957" s="11" t="s">
        <v>10988</v>
      </c>
    </row>
    <row r="10958">
      <c r="A10958" s="11" t="s">
        <v>10989</v>
      </c>
    </row>
    <row r="10959">
      <c r="A10959" s="11" t="s">
        <v>10990</v>
      </c>
    </row>
    <row r="10960">
      <c r="A10960" s="11" t="s">
        <v>10991</v>
      </c>
    </row>
    <row r="10961">
      <c r="A10961" s="11" t="s">
        <v>10992</v>
      </c>
    </row>
    <row r="10962">
      <c r="A10962" s="11" t="s">
        <v>10993</v>
      </c>
    </row>
    <row r="10963">
      <c r="A10963" s="11" t="s">
        <v>10994</v>
      </c>
    </row>
    <row r="10964">
      <c r="A10964" s="11" t="s">
        <v>10995</v>
      </c>
    </row>
    <row r="10965">
      <c r="A10965" s="11" t="s">
        <v>10996</v>
      </c>
    </row>
    <row r="10966">
      <c r="A10966" s="11" t="s">
        <v>10997</v>
      </c>
    </row>
    <row r="10967">
      <c r="A10967" s="11" t="s">
        <v>10998</v>
      </c>
    </row>
    <row r="10968">
      <c r="A10968" s="11" t="s">
        <v>10999</v>
      </c>
    </row>
    <row r="10969">
      <c r="A10969" s="11" t="s">
        <v>11000</v>
      </c>
    </row>
    <row r="10970">
      <c r="A10970" s="11" t="s">
        <v>11001</v>
      </c>
    </row>
    <row r="10971">
      <c r="A10971" s="11" t="s">
        <v>11002</v>
      </c>
    </row>
    <row r="10972">
      <c r="A10972" s="11" t="s">
        <v>11003</v>
      </c>
    </row>
    <row r="10973">
      <c r="A10973" s="11" t="s">
        <v>11004</v>
      </c>
    </row>
    <row r="10974">
      <c r="A10974" s="11" t="s">
        <v>11005</v>
      </c>
    </row>
    <row r="10975">
      <c r="A10975" s="11" t="s">
        <v>11006</v>
      </c>
    </row>
    <row r="10976">
      <c r="A10976" s="11" t="s">
        <v>11007</v>
      </c>
    </row>
    <row r="10977">
      <c r="A10977" s="11" t="s">
        <v>11008</v>
      </c>
    </row>
    <row r="10978">
      <c r="A10978" s="11" t="s">
        <v>11009</v>
      </c>
    </row>
    <row r="10979">
      <c r="A10979" s="11" t="s">
        <v>11010</v>
      </c>
    </row>
    <row r="10980">
      <c r="A10980" s="11" t="s">
        <v>11011</v>
      </c>
    </row>
    <row r="10981">
      <c r="A10981" s="11" t="s">
        <v>11012</v>
      </c>
    </row>
    <row r="10982">
      <c r="A10982" s="11" t="s">
        <v>11013</v>
      </c>
    </row>
    <row r="10983">
      <c r="A10983" s="11" t="s">
        <v>11014</v>
      </c>
    </row>
    <row r="10984">
      <c r="A10984" s="11" t="s">
        <v>11015</v>
      </c>
    </row>
    <row r="10985">
      <c r="A10985" s="11" t="s">
        <v>11016</v>
      </c>
    </row>
    <row r="10986">
      <c r="A10986" s="11" t="s">
        <v>11017</v>
      </c>
    </row>
    <row r="10987">
      <c r="A10987" s="11" t="s">
        <v>11018</v>
      </c>
    </row>
    <row r="10988">
      <c r="A10988" s="11" t="s">
        <v>11019</v>
      </c>
    </row>
    <row r="10989">
      <c r="A10989" s="11" t="s">
        <v>11020</v>
      </c>
    </row>
    <row r="10990">
      <c r="A10990" s="11" t="s">
        <v>11021</v>
      </c>
    </row>
    <row r="10991">
      <c r="A10991" s="11" t="s">
        <v>11022</v>
      </c>
    </row>
    <row r="10992">
      <c r="A10992" s="11" t="s">
        <v>11023</v>
      </c>
    </row>
    <row r="10993">
      <c r="A10993" s="11" t="s">
        <v>11024</v>
      </c>
    </row>
    <row r="10994">
      <c r="A10994" s="11" t="s">
        <v>11025</v>
      </c>
    </row>
    <row r="10995">
      <c r="A10995" s="11" t="s">
        <v>11026</v>
      </c>
    </row>
    <row r="10996">
      <c r="A10996" s="11" t="s">
        <v>11027</v>
      </c>
    </row>
    <row r="10997">
      <c r="A10997" s="11" t="s">
        <v>11028</v>
      </c>
    </row>
    <row r="10998">
      <c r="A10998" s="11" t="s">
        <v>11029</v>
      </c>
    </row>
    <row r="10999">
      <c r="A10999" s="11" t="s">
        <v>11030</v>
      </c>
    </row>
    <row r="11000">
      <c r="A11000" s="11" t="s">
        <v>11031</v>
      </c>
    </row>
    <row r="11001">
      <c r="A11001" s="11" t="s">
        <v>11032</v>
      </c>
    </row>
    <row r="11002">
      <c r="A11002" s="11" t="s">
        <v>11033</v>
      </c>
    </row>
    <row r="11003">
      <c r="A11003" s="11" t="s">
        <v>11034</v>
      </c>
    </row>
    <row r="11004">
      <c r="A11004" s="11" t="s">
        <v>11035</v>
      </c>
    </row>
    <row r="11005">
      <c r="A11005" s="11" t="s">
        <v>11036</v>
      </c>
    </row>
    <row r="11006">
      <c r="A11006" s="11" t="s">
        <v>11037</v>
      </c>
    </row>
    <row r="11007">
      <c r="A11007" s="11" t="s">
        <v>11038</v>
      </c>
    </row>
    <row r="11008">
      <c r="A11008" s="11" t="s">
        <v>11039</v>
      </c>
    </row>
    <row r="11009">
      <c r="A11009" s="11" t="s">
        <v>11040</v>
      </c>
    </row>
    <row r="11010">
      <c r="A11010" s="11" t="s">
        <v>11041</v>
      </c>
    </row>
    <row r="11011">
      <c r="A11011" s="11" t="s">
        <v>11042</v>
      </c>
    </row>
    <row r="11012">
      <c r="A11012" s="11" t="s">
        <v>11043</v>
      </c>
    </row>
    <row r="11013">
      <c r="A11013" s="11" t="s">
        <v>11044</v>
      </c>
    </row>
    <row r="11014">
      <c r="A11014" s="11" t="s">
        <v>11045</v>
      </c>
    </row>
    <row r="11015">
      <c r="A11015" s="11" t="s">
        <v>11046</v>
      </c>
    </row>
    <row r="11016">
      <c r="A11016" s="11" t="s">
        <v>11047</v>
      </c>
    </row>
    <row r="11017">
      <c r="A11017" s="11" t="s">
        <v>11048</v>
      </c>
    </row>
    <row r="11018">
      <c r="A11018" s="11" t="s">
        <v>11049</v>
      </c>
    </row>
    <row r="11019">
      <c r="A11019" s="11" t="s">
        <v>11050</v>
      </c>
    </row>
    <row r="11020">
      <c r="A11020" s="11" t="s">
        <v>11051</v>
      </c>
    </row>
    <row r="11021">
      <c r="A11021" s="11" t="s">
        <v>11052</v>
      </c>
    </row>
    <row r="11022">
      <c r="A11022" s="11" t="s">
        <v>11053</v>
      </c>
    </row>
    <row r="11023">
      <c r="A11023" s="11" t="s">
        <v>11054</v>
      </c>
    </row>
    <row r="11024">
      <c r="A11024" s="11" t="s">
        <v>11055</v>
      </c>
    </row>
    <row r="11025">
      <c r="A11025" s="11" t="s">
        <v>11056</v>
      </c>
    </row>
    <row r="11026">
      <c r="A11026" s="11" t="s">
        <v>11057</v>
      </c>
    </row>
    <row r="11027">
      <c r="A11027" s="11" t="s">
        <v>11058</v>
      </c>
    </row>
    <row r="11028">
      <c r="A11028" s="11" t="s">
        <v>11059</v>
      </c>
    </row>
    <row r="11029">
      <c r="A11029" s="11" t="s">
        <v>11060</v>
      </c>
    </row>
    <row r="11030">
      <c r="A11030" s="11" t="s">
        <v>11061</v>
      </c>
    </row>
    <row r="11031">
      <c r="A11031" s="11" t="s">
        <v>11062</v>
      </c>
    </row>
    <row r="11032">
      <c r="A11032" s="11" t="s">
        <v>11063</v>
      </c>
    </row>
    <row r="11033">
      <c r="A11033" s="11" t="s">
        <v>11064</v>
      </c>
    </row>
    <row r="11034">
      <c r="A11034" s="11" t="s">
        <v>11065</v>
      </c>
    </row>
    <row r="11035">
      <c r="A11035" s="11" t="s">
        <v>11066</v>
      </c>
    </row>
    <row r="11036">
      <c r="A11036" s="11" t="s">
        <v>11067</v>
      </c>
    </row>
    <row r="11037">
      <c r="A11037" s="11" t="s">
        <v>11068</v>
      </c>
    </row>
    <row r="11038">
      <c r="A11038" s="11" t="s">
        <v>11069</v>
      </c>
    </row>
    <row r="11039">
      <c r="A11039" s="11" t="s">
        <v>11070</v>
      </c>
    </row>
    <row r="11040">
      <c r="A11040" s="11" t="s">
        <v>11071</v>
      </c>
    </row>
    <row r="11041">
      <c r="A11041" s="11" t="s">
        <v>11072</v>
      </c>
    </row>
    <row r="11042">
      <c r="A11042" s="11" t="s">
        <v>11073</v>
      </c>
    </row>
    <row r="11043">
      <c r="A11043" s="11" t="s">
        <v>11074</v>
      </c>
    </row>
    <row r="11044">
      <c r="A11044" s="11" t="s">
        <v>11075</v>
      </c>
    </row>
    <row r="11045">
      <c r="A11045" s="11" t="s">
        <v>11076</v>
      </c>
    </row>
    <row r="11046">
      <c r="A11046" s="11" t="s">
        <v>11077</v>
      </c>
    </row>
    <row r="11047">
      <c r="A11047" s="11" t="s">
        <v>11078</v>
      </c>
    </row>
    <row r="11048">
      <c r="A11048" s="11" t="s">
        <v>11079</v>
      </c>
    </row>
    <row r="11049">
      <c r="A11049" s="11" t="s">
        <v>11080</v>
      </c>
    </row>
    <row r="11050">
      <c r="A11050" s="11" t="s">
        <v>11081</v>
      </c>
    </row>
    <row r="11051">
      <c r="A11051" s="11" t="s">
        <v>11082</v>
      </c>
    </row>
    <row r="11052">
      <c r="A11052" s="11" t="s">
        <v>11083</v>
      </c>
    </row>
    <row r="11053">
      <c r="A11053" s="11" t="s">
        <v>11084</v>
      </c>
    </row>
    <row r="11054">
      <c r="A11054" s="11" t="s">
        <v>11085</v>
      </c>
    </row>
    <row r="11055">
      <c r="A11055" s="11" t="s">
        <v>11086</v>
      </c>
    </row>
    <row r="11056">
      <c r="A11056" s="11" t="s">
        <v>11087</v>
      </c>
    </row>
    <row r="11057">
      <c r="A11057" s="11" t="s">
        <v>11088</v>
      </c>
    </row>
    <row r="11058">
      <c r="A11058" s="11" t="s">
        <v>11089</v>
      </c>
    </row>
    <row r="11059">
      <c r="A11059" s="11" t="s">
        <v>11090</v>
      </c>
    </row>
    <row r="11060">
      <c r="A11060" s="11" t="s">
        <v>11091</v>
      </c>
    </row>
    <row r="11061">
      <c r="A11061" s="11" t="s">
        <v>11092</v>
      </c>
    </row>
    <row r="11062">
      <c r="A11062" s="11" t="s">
        <v>11093</v>
      </c>
    </row>
    <row r="11063">
      <c r="A11063" s="11" t="s">
        <v>11094</v>
      </c>
    </row>
    <row r="11064">
      <c r="A11064" s="11" t="s">
        <v>11095</v>
      </c>
    </row>
    <row r="11065">
      <c r="A11065" s="11" t="s">
        <v>11096</v>
      </c>
    </row>
    <row r="11066">
      <c r="A11066" s="11" t="s">
        <v>11097</v>
      </c>
    </row>
    <row r="11067">
      <c r="A11067" s="11" t="s">
        <v>11098</v>
      </c>
    </row>
    <row r="11068">
      <c r="A11068" s="11" t="s">
        <v>11099</v>
      </c>
    </row>
    <row r="11069">
      <c r="A11069" s="11" t="s">
        <v>11100</v>
      </c>
    </row>
    <row r="11070">
      <c r="A11070" s="11" t="s">
        <v>11101</v>
      </c>
    </row>
    <row r="11071">
      <c r="A11071" s="11" t="s">
        <v>11102</v>
      </c>
    </row>
    <row r="11072">
      <c r="A11072" s="11" t="s">
        <v>11103</v>
      </c>
    </row>
    <row r="11073">
      <c r="A11073" s="11" t="s">
        <v>11104</v>
      </c>
    </row>
    <row r="11074">
      <c r="A11074" s="11" t="s">
        <v>11105</v>
      </c>
    </row>
    <row r="11075">
      <c r="A11075" s="11" t="s">
        <v>11106</v>
      </c>
    </row>
    <row r="11076">
      <c r="A11076" s="11" t="s">
        <v>11107</v>
      </c>
    </row>
    <row r="11077">
      <c r="A11077" s="11" t="s">
        <v>11108</v>
      </c>
    </row>
    <row r="11078">
      <c r="A11078" s="11" t="s">
        <v>11109</v>
      </c>
    </row>
    <row r="11079">
      <c r="A11079" s="11" t="s">
        <v>11110</v>
      </c>
    </row>
    <row r="11080">
      <c r="A11080" s="11" t="s">
        <v>11111</v>
      </c>
    </row>
    <row r="11081">
      <c r="A11081" s="11" t="s">
        <v>11112</v>
      </c>
    </row>
    <row r="11082">
      <c r="A11082" s="11" t="s">
        <v>11113</v>
      </c>
    </row>
    <row r="11083">
      <c r="A11083" s="11" t="s">
        <v>11114</v>
      </c>
    </row>
    <row r="11084">
      <c r="A11084" s="11" t="s">
        <v>11115</v>
      </c>
    </row>
    <row r="11085">
      <c r="A11085" s="11" t="s">
        <v>11116</v>
      </c>
    </row>
    <row r="11086">
      <c r="A11086" s="11" t="s">
        <v>11117</v>
      </c>
    </row>
    <row r="11087">
      <c r="A11087" s="11" t="s">
        <v>11118</v>
      </c>
    </row>
    <row r="11088">
      <c r="A11088" s="11" t="s">
        <v>11119</v>
      </c>
    </row>
    <row r="11089">
      <c r="A11089" s="11" t="s">
        <v>11120</v>
      </c>
    </row>
    <row r="11090">
      <c r="A11090" s="11" t="s">
        <v>11121</v>
      </c>
    </row>
    <row r="11091">
      <c r="A11091" s="11" t="s">
        <v>11122</v>
      </c>
    </row>
    <row r="11092">
      <c r="A11092" s="11" t="s">
        <v>11123</v>
      </c>
    </row>
    <row r="11093">
      <c r="A11093" s="11" t="s">
        <v>11124</v>
      </c>
    </row>
    <row r="11094">
      <c r="A11094" s="11" t="s">
        <v>11125</v>
      </c>
    </row>
    <row r="11095">
      <c r="A11095" s="11" t="s">
        <v>11126</v>
      </c>
    </row>
    <row r="11096">
      <c r="A11096" s="11" t="s">
        <v>11127</v>
      </c>
    </row>
    <row r="11097">
      <c r="A11097" s="11" t="s">
        <v>11128</v>
      </c>
    </row>
    <row r="11098">
      <c r="A11098" s="11" t="s">
        <v>11129</v>
      </c>
    </row>
    <row r="11099">
      <c r="A11099" s="11" t="s">
        <v>11130</v>
      </c>
    </row>
    <row r="11100">
      <c r="A11100" s="11" t="s">
        <v>11131</v>
      </c>
    </row>
    <row r="11101">
      <c r="A11101" s="11" t="s">
        <v>11132</v>
      </c>
    </row>
    <row r="11102">
      <c r="A11102" s="11" t="s">
        <v>11133</v>
      </c>
    </row>
    <row r="11103">
      <c r="A11103" s="11" t="s">
        <v>11134</v>
      </c>
    </row>
    <row r="11104">
      <c r="A11104" s="11" t="s">
        <v>11135</v>
      </c>
    </row>
    <row r="11105">
      <c r="A11105" s="11" t="s">
        <v>11136</v>
      </c>
    </row>
    <row r="11106">
      <c r="A11106" s="11" t="s">
        <v>11137</v>
      </c>
    </row>
    <row r="11107">
      <c r="A11107" s="11" t="s">
        <v>11138</v>
      </c>
    </row>
    <row r="11108">
      <c r="A11108" s="11" t="s">
        <v>11139</v>
      </c>
    </row>
    <row r="11109">
      <c r="A11109" s="11" t="s">
        <v>11140</v>
      </c>
    </row>
    <row r="11110">
      <c r="A11110" s="11" t="s">
        <v>11141</v>
      </c>
    </row>
    <row r="11111">
      <c r="A11111" s="11" t="s">
        <v>11142</v>
      </c>
    </row>
    <row r="11112">
      <c r="A11112" s="11" t="s">
        <v>11143</v>
      </c>
    </row>
    <row r="11113">
      <c r="A11113" s="11" t="s">
        <v>11144</v>
      </c>
    </row>
    <row r="11114">
      <c r="A11114" s="11" t="s">
        <v>11145</v>
      </c>
    </row>
    <row r="11115">
      <c r="A11115" s="11" t="s">
        <v>11146</v>
      </c>
    </row>
    <row r="11116">
      <c r="A11116" s="11" t="s">
        <v>11147</v>
      </c>
    </row>
    <row r="11117">
      <c r="A11117" s="11" t="s">
        <v>11148</v>
      </c>
    </row>
    <row r="11118">
      <c r="A11118" s="11" t="s">
        <v>11149</v>
      </c>
    </row>
    <row r="11119">
      <c r="A11119" s="11" t="s">
        <v>11150</v>
      </c>
    </row>
    <row r="11120">
      <c r="A11120" s="11" t="s">
        <v>11151</v>
      </c>
    </row>
    <row r="11121">
      <c r="A11121" s="11" t="s">
        <v>11152</v>
      </c>
    </row>
    <row r="11122">
      <c r="A11122" s="11" t="s">
        <v>11153</v>
      </c>
    </row>
    <row r="11123">
      <c r="A11123" s="11" t="s">
        <v>11154</v>
      </c>
    </row>
    <row r="11124">
      <c r="A11124" s="11" t="s">
        <v>11155</v>
      </c>
    </row>
    <row r="11125">
      <c r="A11125" s="11" t="s">
        <v>11156</v>
      </c>
    </row>
    <row r="11126">
      <c r="A11126" s="11" t="s">
        <v>11157</v>
      </c>
    </row>
    <row r="11127">
      <c r="A11127" s="11" t="s">
        <v>11158</v>
      </c>
    </row>
    <row r="11128">
      <c r="A11128" s="11" t="s">
        <v>11159</v>
      </c>
    </row>
    <row r="11129">
      <c r="A11129" s="11" t="s">
        <v>11160</v>
      </c>
    </row>
    <row r="11130">
      <c r="A11130" s="11" t="s">
        <v>11161</v>
      </c>
    </row>
    <row r="11131">
      <c r="A11131" s="11" t="s">
        <v>11162</v>
      </c>
    </row>
    <row r="11132">
      <c r="A11132" s="11" t="s">
        <v>11163</v>
      </c>
    </row>
    <row r="11133">
      <c r="A11133" s="11" t="s">
        <v>11164</v>
      </c>
    </row>
    <row r="11134">
      <c r="A11134" s="11" t="s">
        <v>11165</v>
      </c>
    </row>
    <row r="11135">
      <c r="A11135" s="11" t="s">
        <v>11166</v>
      </c>
    </row>
    <row r="11136">
      <c r="A11136" s="11" t="s">
        <v>11167</v>
      </c>
    </row>
    <row r="11137">
      <c r="A11137" s="11" t="s">
        <v>11168</v>
      </c>
    </row>
    <row r="11138">
      <c r="A11138" s="11" t="s">
        <v>11169</v>
      </c>
    </row>
    <row r="11139">
      <c r="A11139" s="11" t="s">
        <v>11170</v>
      </c>
    </row>
    <row r="11140">
      <c r="A11140" s="11" t="s">
        <v>11171</v>
      </c>
    </row>
    <row r="11141">
      <c r="A11141" s="11" t="s">
        <v>11172</v>
      </c>
    </row>
    <row r="11142">
      <c r="A11142" s="11" t="s">
        <v>11173</v>
      </c>
    </row>
    <row r="11143">
      <c r="A11143" s="11" t="s">
        <v>11174</v>
      </c>
    </row>
    <row r="11144">
      <c r="A11144" s="11" t="s">
        <v>11175</v>
      </c>
    </row>
    <row r="11145">
      <c r="A11145" s="11" t="s">
        <v>11176</v>
      </c>
    </row>
    <row r="11146">
      <c r="A11146" s="11" t="s">
        <v>11177</v>
      </c>
    </row>
    <row r="11147">
      <c r="A11147" s="11" t="s">
        <v>11178</v>
      </c>
    </row>
    <row r="11148">
      <c r="A11148" s="11" t="s">
        <v>11179</v>
      </c>
    </row>
    <row r="11149">
      <c r="A11149" s="11" t="s">
        <v>11180</v>
      </c>
    </row>
    <row r="11150">
      <c r="A11150" s="11" t="s">
        <v>11181</v>
      </c>
    </row>
    <row r="11151">
      <c r="A11151" s="11" t="s">
        <v>11182</v>
      </c>
    </row>
    <row r="11152">
      <c r="A11152" s="11" t="s">
        <v>11183</v>
      </c>
    </row>
    <row r="11153">
      <c r="A11153" s="11" t="s">
        <v>11184</v>
      </c>
    </row>
    <row r="11154">
      <c r="A11154" s="11" t="s">
        <v>11185</v>
      </c>
    </row>
    <row r="11155">
      <c r="A11155" s="11" t="s">
        <v>11186</v>
      </c>
    </row>
    <row r="11156">
      <c r="A11156" s="11" t="s">
        <v>11187</v>
      </c>
    </row>
    <row r="11157">
      <c r="A11157" s="11" t="s">
        <v>11188</v>
      </c>
    </row>
    <row r="11158">
      <c r="A11158" s="11" t="s">
        <v>11189</v>
      </c>
    </row>
    <row r="11159">
      <c r="A11159" s="11" t="s">
        <v>11190</v>
      </c>
    </row>
    <row r="11160">
      <c r="A11160" s="11" t="s">
        <v>11191</v>
      </c>
    </row>
    <row r="11161">
      <c r="A11161" s="11" t="s">
        <v>11192</v>
      </c>
    </row>
    <row r="11162">
      <c r="A11162" s="11" t="s">
        <v>11193</v>
      </c>
    </row>
    <row r="11163">
      <c r="A11163" s="11" t="s">
        <v>11194</v>
      </c>
    </row>
    <row r="11164">
      <c r="A11164" s="11" t="s">
        <v>11195</v>
      </c>
    </row>
    <row r="11165">
      <c r="A11165" s="11" t="s">
        <v>11196</v>
      </c>
    </row>
    <row r="11166">
      <c r="A11166" s="11" t="s">
        <v>11197</v>
      </c>
    </row>
    <row r="11167">
      <c r="A11167" s="11" t="s">
        <v>11198</v>
      </c>
    </row>
    <row r="11168">
      <c r="A11168" s="11" t="s">
        <v>11199</v>
      </c>
    </row>
    <row r="11169">
      <c r="A11169" s="11" t="s">
        <v>11200</v>
      </c>
    </row>
    <row r="11170">
      <c r="A11170" s="11" t="s">
        <v>11201</v>
      </c>
    </row>
    <row r="11171">
      <c r="A11171" s="11" t="s">
        <v>11202</v>
      </c>
    </row>
    <row r="11172">
      <c r="A11172" s="11" t="s">
        <v>11203</v>
      </c>
    </row>
    <row r="11173">
      <c r="A11173" s="11" t="s">
        <v>11204</v>
      </c>
    </row>
    <row r="11174">
      <c r="A11174" s="11" t="s">
        <v>11205</v>
      </c>
    </row>
    <row r="11175">
      <c r="A11175" s="11" t="s">
        <v>11206</v>
      </c>
    </row>
    <row r="11176">
      <c r="A11176" s="11" t="s">
        <v>11207</v>
      </c>
    </row>
    <row r="11177">
      <c r="A11177" s="11" t="s">
        <v>11208</v>
      </c>
    </row>
    <row r="11178">
      <c r="A11178" s="11" t="s">
        <v>11209</v>
      </c>
    </row>
    <row r="11179">
      <c r="A11179" s="11" t="s">
        <v>11210</v>
      </c>
    </row>
    <row r="11180">
      <c r="A11180" s="11" t="s">
        <v>11211</v>
      </c>
    </row>
    <row r="11181">
      <c r="A11181" s="11" t="s">
        <v>11212</v>
      </c>
    </row>
    <row r="11182">
      <c r="A11182" s="11" t="s">
        <v>11213</v>
      </c>
    </row>
    <row r="11183">
      <c r="A11183" s="11" t="s">
        <v>11214</v>
      </c>
    </row>
    <row r="11184">
      <c r="A11184" s="11" t="s">
        <v>11215</v>
      </c>
    </row>
    <row r="11185">
      <c r="A11185" s="11" t="s">
        <v>11216</v>
      </c>
    </row>
    <row r="11186">
      <c r="A11186" s="11" t="s">
        <v>11217</v>
      </c>
    </row>
    <row r="11187">
      <c r="A11187" s="11" t="s">
        <v>11218</v>
      </c>
    </row>
    <row r="11188">
      <c r="A11188" s="11" t="s">
        <v>11219</v>
      </c>
    </row>
    <row r="11189">
      <c r="A11189" s="11" t="s">
        <v>11220</v>
      </c>
    </row>
    <row r="11190">
      <c r="A11190" s="11" t="s">
        <v>11221</v>
      </c>
    </row>
    <row r="11191">
      <c r="A11191" s="11" t="s">
        <v>11222</v>
      </c>
    </row>
    <row r="11192">
      <c r="A11192" s="11" t="s">
        <v>11223</v>
      </c>
    </row>
    <row r="11193">
      <c r="A11193" s="11" t="s">
        <v>11224</v>
      </c>
    </row>
    <row r="11194">
      <c r="A11194" s="11" t="s">
        <v>11225</v>
      </c>
    </row>
    <row r="11195">
      <c r="A11195" s="11" t="s">
        <v>11226</v>
      </c>
    </row>
    <row r="11196">
      <c r="A11196" s="11" t="s">
        <v>11227</v>
      </c>
    </row>
    <row r="11197">
      <c r="A11197" s="11" t="s">
        <v>11228</v>
      </c>
    </row>
    <row r="11198">
      <c r="A11198" s="11" t="s">
        <v>11229</v>
      </c>
    </row>
    <row r="11199">
      <c r="A11199" s="11" t="s">
        <v>11230</v>
      </c>
    </row>
    <row r="11200">
      <c r="A11200" s="11" t="s">
        <v>11231</v>
      </c>
    </row>
    <row r="11201">
      <c r="A11201" s="11" t="s">
        <v>11232</v>
      </c>
    </row>
    <row r="11202">
      <c r="A11202" s="11" t="s">
        <v>11233</v>
      </c>
    </row>
    <row r="11203">
      <c r="A11203" s="11" t="s">
        <v>11234</v>
      </c>
    </row>
    <row r="11204">
      <c r="A11204" s="11" t="s">
        <v>11235</v>
      </c>
    </row>
    <row r="11205">
      <c r="A11205" s="11" t="s">
        <v>11236</v>
      </c>
    </row>
    <row r="11206">
      <c r="A11206" s="11" t="s">
        <v>11237</v>
      </c>
    </row>
    <row r="11207">
      <c r="A11207" s="11" t="s">
        <v>11238</v>
      </c>
    </row>
    <row r="11208">
      <c r="A11208" s="11" t="s">
        <v>11239</v>
      </c>
    </row>
    <row r="11209">
      <c r="A11209" s="11" t="s">
        <v>11240</v>
      </c>
    </row>
    <row r="11210">
      <c r="A11210" s="11" t="s">
        <v>11241</v>
      </c>
    </row>
    <row r="11211">
      <c r="A11211" s="11" t="s">
        <v>11242</v>
      </c>
    </row>
    <row r="11212">
      <c r="A11212" s="11" t="s">
        <v>11243</v>
      </c>
    </row>
    <row r="11213">
      <c r="A11213" s="11" t="s">
        <v>11244</v>
      </c>
    </row>
    <row r="11214">
      <c r="A11214" s="11" t="s">
        <v>11245</v>
      </c>
    </row>
    <row r="11215">
      <c r="A11215" s="11" t="s">
        <v>11246</v>
      </c>
    </row>
    <row r="11216">
      <c r="A11216" s="11" t="s">
        <v>11247</v>
      </c>
    </row>
    <row r="11217">
      <c r="A11217" s="11" t="s">
        <v>11248</v>
      </c>
    </row>
    <row r="11218">
      <c r="A11218" s="11" t="s">
        <v>11249</v>
      </c>
    </row>
    <row r="11219">
      <c r="A11219" s="11" t="s">
        <v>11250</v>
      </c>
    </row>
    <row r="11220">
      <c r="A11220" s="11" t="s">
        <v>11251</v>
      </c>
    </row>
    <row r="11221">
      <c r="A11221" s="11" t="s">
        <v>11252</v>
      </c>
    </row>
    <row r="11222">
      <c r="A11222" s="11" t="s">
        <v>11253</v>
      </c>
    </row>
    <row r="11223">
      <c r="A11223" s="11" t="s">
        <v>11254</v>
      </c>
    </row>
    <row r="11224">
      <c r="A11224" s="11" t="s">
        <v>11255</v>
      </c>
    </row>
    <row r="11225">
      <c r="A11225" s="11" t="s">
        <v>11256</v>
      </c>
    </row>
    <row r="11226">
      <c r="A11226" s="11" t="s">
        <v>11257</v>
      </c>
    </row>
    <row r="11227">
      <c r="A11227" s="11" t="s">
        <v>11258</v>
      </c>
    </row>
    <row r="11228">
      <c r="A11228" s="11" t="s">
        <v>11259</v>
      </c>
    </row>
    <row r="11229">
      <c r="A11229" s="11" t="s">
        <v>11260</v>
      </c>
    </row>
    <row r="11230">
      <c r="A11230" s="11" t="s">
        <v>11261</v>
      </c>
    </row>
    <row r="11231">
      <c r="A11231" s="11" t="s">
        <v>11262</v>
      </c>
    </row>
    <row r="11232">
      <c r="A11232" s="11" t="s">
        <v>11263</v>
      </c>
    </row>
    <row r="11233">
      <c r="A11233" s="11" t="s">
        <v>11264</v>
      </c>
    </row>
    <row r="11234">
      <c r="A11234" s="11" t="s">
        <v>11265</v>
      </c>
    </row>
    <row r="11235">
      <c r="A11235" s="11" t="s">
        <v>11266</v>
      </c>
    </row>
    <row r="11236">
      <c r="A11236" s="11" t="s">
        <v>11267</v>
      </c>
    </row>
    <row r="11237">
      <c r="A11237" s="11" t="s">
        <v>11268</v>
      </c>
    </row>
    <row r="11238">
      <c r="A11238" s="11" t="s">
        <v>11269</v>
      </c>
    </row>
    <row r="11239">
      <c r="A11239" s="11" t="s">
        <v>11270</v>
      </c>
    </row>
    <row r="11240">
      <c r="A11240" s="11" t="s">
        <v>11271</v>
      </c>
    </row>
    <row r="11241">
      <c r="A11241" s="11" t="s">
        <v>11272</v>
      </c>
    </row>
    <row r="11242">
      <c r="A11242" s="11" t="s">
        <v>11273</v>
      </c>
    </row>
    <row r="11243">
      <c r="A11243" s="11" t="s">
        <v>11274</v>
      </c>
    </row>
    <row r="11244">
      <c r="A11244" s="11" t="s">
        <v>11275</v>
      </c>
    </row>
    <row r="11245">
      <c r="A11245" s="11" t="s">
        <v>11276</v>
      </c>
    </row>
    <row r="11246">
      <c r="A11246" s="11" t="s">
        <v>11277</v>
      </c>
    </row>
    <row r="11247">
      <c r="A11247" s="11" t="s">
        <v>11278</v>
      </c>
    </row>
    <row r="11248">
      <c r="A11248" s="11" t="s">
        <v>11279</v>
      </c>
    </row>
    <row r="11249">
      <c r="A11249" s="11" t="s">
        <v>11280</v>
      </c>
    </row>
    <row r="11250">
      <c r="A11250" s="11" t="s">
        <v>11281</v>
      </c>
    </row>
    <row r="11251">
      <c r="A11251" s="11" t="s">
        <v>11282</v>
      </c>
    </row>
    <row r="11252">
      <c r="A11252" s="11" t="s">
        <v>11283</v>
      </c>
    </row>
    <row r="11253">
      <c r="A11253" s="11" t="s">
        <v>11284</v>
      </c>
    </row>
    <row r="11254">
      <c r="A11254" s="11" t="s">
        <v>11285</v>
      </c>
    </row>
    <row r="11255">
      <c r="A11255" s="11" t="s">
        <v>11286</v>
      </c>
    </row>
    <row r="11256">
      <c r="A11256" s="11" t="s">
        <v>11287</v>
      </c>
    </row>
    <row r="11257">
      <c r="A11257" s="11" t="s">
        <v>11288</v>
      </c>
    </row>
    <row r="11258">
      <c r="A11258" s="11" t="s">
        <v>11289</v>
      </c>
    </row>
    <row r="11259">
      <c r="A11259" s="11" t="s">
        <v>11290</v>
      </c>
    </row>
    <row r="11260">
      <c r="A11260" s="11" t="s">
        <v>11291</v>
      </c>
    </row>
    <row r="11261">
      <c r="A11261" s="11" t="s">
        <v>11292</v>
      </c>
    </row>
    <row r="11262">
      <c r="A11262" s="11" t="s">
        <v>11293</v>
      </c>
    </row>
    <row r="11263">
      <c r="A11263" s="11" t="s">
        <v>11294</v>
      </c>
    </row>
    <row r="11264">
      <c r="A11264" s="11" t="s">
        <v>11295</v>
      </c>
    </row>
    <row r="11265">
      <c r="A11265" s="11" t="s">
        <v>11296</v>
      </c>
    </row>
    <row r="11266">
      <c r="A11266" s="11" t="s">
        <v>11297</v>
      </c>
    </row>
    <row r="11267">
      <c r="A11267" s="11" t="s">
        <v>11298</v>
      </c>
    </row>
    <row r="11268">
      <c r="A11268" s="11" t="s">
        <v>11299</v>
      </c>
    </row>
    <row r="11269">
      <c r="A11269" s="11" t="s">
        <v>11300</v>
      </c>
    </row>
    <row r="11270">
      <c r="A11270" s="11" t="s">
        <v>11301</v>
      </c>
    </row>
    <row r="11271">
      <c r="A11271" s="11" t="s">
        <v>11302</v>
      </c>
    </row>
    <row r="11272">
      <c r="A11272" s="11" t="s">
        <v>11303</v>
      </c>
    </row>
    <row r="11273">
      <c r="A11273" s="11" t="s">
        <v>11304</v>
      </c>
    </row>
    <row r="11274">
      <c r="A11274" s="11" t="s">
        <v>11305</v>
      </c>
    </row>
    <row r="11275">
      <c r="A11275" s="11" t="s">
        <v>11306</v>
      </c>
    </row>
    <row r="11276">
      <c r="A11276" s="11" t="s">
        <v>11307</v>
      </c>
    </row>
    <row r="11277">
      <c r="A11277" s="11" t="s">
        <v>11308</v>
      </c>
    </row>
    <row r="11278">
      <c r="A11278" s="11" t="s">
        <v>11309</v>
      </c>
    </row>
    <row r="11279">
      <c r="A11279" s="11" t="s">
        <v>11310</v>
      </c>
    </row>
    <row r="11280">
      <c r="A11280" s="11" t="s">
        <v>11311</v>
      </c>
    </row>
    <row r="11281">
      <c r="A11281" s="11" t="s">
        <v>11312</v>
      </c>
    </row>
    <row r="11282">
      <c r="A11282" s="11" t="s">
        <v>11313</v>
      </c>
    </row>
    <row r="11283">
      <c r="A11283" s="11" t="s">
        <v>11314</v>
      </c>
    </row>
    <row r="11284">
      <c r="A11284" s="11" t="s">
        <v>11315</v>
      </c>
    </row>
    <row r="11285">
      <c r="A11285" s="11" t="s">
        <v>11316</v>
      </c>
    </row>
    <row r="11286">
      <c r="A11286" s="11" t="s">
        <v>11317</v>
      </c>
    </row>
    <row r="11287">
      <c r="A11287" s="11" t="s">
        <v>11318</v>
      </c>
    </row>
    <row r="11288">
      <c r="A11288" s="11" t="s">
        <v>11319</v>
      </c>
    </row>
    <row r="11289">
      <c r="A11289" s="11" t="s">
        <v>11320</v>
      </c>
    </row>
    <row r="11290">
      <c r="A11290" s="11" t="s">
        <v>11321</v>
      </c>
    </row>
    <row r="11291">
      <c r="A11291" s="11" t="s">
        <v>11322</v>
      </c>
    </row>
    <row r="11292">
      <c r="A11292" s="11" t="s">
        <v>11323</v>
      </c>
    </row>
    <row r="11293">
      <c r="A11293" s="11" t="s">
        <v>11324</v>
      </c>
    </row>
    <row r="11294">
      <c r="A11294" s="11" t="s">
        <v>11325</v>
      </c>
    </row>
    <row r="11295">
      <c r="A11295" s="11" t="s">
        <v>11326</v>
      </c>
    </row>
    <row r="11296">
      <c r="A11296" s="11" t="s">
        <v>11327</v>
      </c>
    </row>
    <row r="11297">
      <c r="A11297" s="11" t="s">
        <v>11328</v>
      </c>
    </row>
    <row r="11298">
      <c r="A11298" s="11" t="s">
        <v>11329</v>
      </c>
    </row>
    <row r="11299">
      <c r="A11299" s="11" t="s">
        <v>11330</v>
      </c>
    </row>
    <row r="11300">
      <c r="A11300" s="11" t="s">
        <v>11331</v>
      </c>
    </row>
    <row r="11301">
      <c r="A11301" s="11" t="s">
        <v>11332</v>
      </c>
    </row>
    <row r="11302">
      <c r="A11302" s="11" t="s">
        <v>11333</v>
      </c>
    </row>
    <row r="11303">
      <c r="A11303" s="11" t="s">
        <v>11334</v>
      </c>
    </row>
    <row r="11304">
      <c r="A11304" s="11" t="s">
        <v>11335</v>
      </c>
    </row>
    <row r="11305">
      <c r="A11305" s="11" t="s">
        <v>11336</v>
      </c>
    </row>
    <row r="11306">
      <c r="A11306" s="11" t="s">
        <v>11337</v>
      </c>
    </row>
    <row r="11307">
      <c r="A11307" s="11" t="s">
        <v>11338</v>
      </c>
    </row>
    <row r="11308">
      <c r="A11308" s="11" t="s">
        <v>11339</v>
      </c>
    </row>
    <row r="11309">
      <c r="A11309" s="11" t="s">
        <v>11340</v>
      </c>
    </row>
    <row r="11310">
      <c r="A11310" s="11" t="s">
        <v>11341</v>
      </c>
    </row>
    <row r="11311">
      <c r="A11311" s="11" t="s">
        <v>11342</v>
      </c>
    </row>
    <row r="11312">
      <c r="A11312" s="11" t="s">
        <v>11343</v>
      </c>
    </row>
    <row r="11313">
      <c r="A11313" s="11" t="s">
        <v>11344</v>
      </c>
    </row>
    <row r="11314">
      <c r="A11314" s="11" t="s">
        <v>11345</v>
      </c>
    </row>
    <row r="11315">
      <c r="A11315" s="11" t="s">
        <v>11346</v>
      </c>
    </row>
    <row r="11316">
      <c r="A11316" s="11" t="s">
        <v>11347</v>
      </c>
    </row>
    <row r="11317">
      <c r="A11317" s="11" t="s">
        <v>11348</v>
      </c>
    </row>
    <row r="11318">
      <c r="A11318" s="11" t="s">
        <v>11349</v>
      </c>
    </row>
    <row r="11319">
      <c r="A11319" s="11" t="s">
        <v>11350</v>
      </c>
    </row>
    <row r="11320">
      <c r="A11320" s="11" t="s">
        <v>11351</v>
      </c>
    </row>
    <row r="11321">
      <c r="A11321" s="11" t="s">
        <v>11352</v>
      </c>
    </row>
    <row r="11322">
      <c r="A11322" s="11" t="s">
        <v>11353</v>
      </c>
    </row>
    <row r="11323">
      <c r="A11323" s="11" t="s">
        <v>11354</v>
      </c>
    </row>
    <row r="11324">
      <c r="A11324" s="11" t="s">
        <v>11355</v>
      </c>
    </row>
    <row r="11325">
      <c r="A11325" s="11" t="s">
        <v>11356</v>
      </c>
    </row>
    <row r="11326">
      <c r="A11326" s="11" t="s">
        <v>11357</v>
      </c>
    </row>
    <row r="11327">
      <c r="A11327" s="11" t="s">
        <v>11358</v>
      </c>
    </row>
    <row r="11328">
      <c r="A11328" s="11" t="s">
        <v>11359</v>
      </c>
    </row>
    <row r="11329">
      <c r="A11329" s="11" t="s">
        <v>11360</v>
      </c>
    </row>
    <row r="11330">
      <c r="A11330" s="11" t="s">
        <v>11361</v>
      </c>
    </row>
    <row r="11331">
      <c r="A11331" s="11" t="s">
        <v>11362</v>
      </c>
    </row>
    <row r="11332">
      <c r="A11332" s="11" t="s">
        <v>11363</v>
      </c>
    </row>
    <row r="11333">
      <c r="A11333" s="11" t="s">
        <v>11364</v>
      </c>
    </row>
    <row r="11334">
      <c r="A11334" s="11" t="s">
        <v>11365</v>
      </c>
    </row>
    <row r="11335">
      <c r="A11335" s="11" t="s">
        <v>11366</v>
      </c>
    </row>
    <row r="11336">
      <c r="A11336" s="11" t="s">
        <v>11367</v>
      </c>
    </row>
    <row r="11337">
      <c r="A11337" s="11" t="s">
        <v>11368</v>
      </c>
    </row>
    <row r="11338">
      <c r="A11338" s="11" t="s">
        <v>11369</v>
      </c>
    </row>
    <row r="11339">
      <c r="A11339" s="11" t="s">
        <v>11370</v>
      </c>
    </row>
    <row r="11340">
      <c r="A11340" s="11" t="s">
        <v>11371</v>
      </c>
    </row>
    <row r="11341">
      <c r="A11341" s="11" t="s">
        <v>11372</v>
      </c>
    </row>
    <row r="11342">
      <c r="A11342" s="11" t="s">
        <v>11373</v>
      </c>
    </row>
    <row r="11343">
      <c r="A11343" s="11" t="s">
        <v>11374</v>
      </c>
    </row>
    <row r="11344">
      <c r="A11344" s="11" t="s">
        <v>11375</v>
      </c>
    </row>
    <row r="11345">
      <c r="A11345" s="11" t="s">
        <v>11376</v>
      </c>
    </row>
    <row r="11346">
      <c r="A11346" s="11" t="s">
        <v>11377</v>
      </c>
    </row>
    <row r="11347">
      <c r="A11347" s="11" t="s">
        <v>11378</v>
      </c>
    </row>
    <row r="11348">
      <c r="A11348" s="11" t="s">
        <v>11379</v>
      </c>
    </row>
    <row r="11349">
      <c r="A11349" s="11" t="s">
        <v>11380</v>
      </c>
    </row>
    <row r="11350">
      <c r="A11350" s="11" t="s">
        <v>11381</v>
      </c>
    </row>
    <row r="11351">
      <c r="A11351" s="11" t="s">
        <v>11382</v>
      </c>
    </row>
    <row r="11352">
      <c r="A11352" s="11" t="s">
        <v>11383</v>
      </c>
    </row>
    <row r="11353">
      <c r="A11353" s="11" t="s">
        <v>11384</v>
      </c>
    </row>
    <row r="11354">
      <c r="A11354" s="11" t="s">
        <v>11385</v>
      </c>
    </row>
    <row r="11355">
      <c r="A11355" s="11" t="s">
        <v>11386</v>
      </c>
    </row>
    <row r="11356">
      <c r="A11356" s="11" t="s">
        <v>11387</v>
      </c>
    </row>
    <row r="11357">
      <c r="A11357" s="11" t="s">
        <v>11388</v>
      </c>
    </row>
    <row r="11358">
      <c r="A11358" s="11" t="s">
        <v>11389</v>
      </c>
    </row>
    <row r="11359">
      <c r="A11359" s="11" t="s">
        <v>11390</v>
      </c>
    </row>
    <row r="11360">
      <c r="A11360" s="11" t="s">
        <v>11391</v>
      </c>
    </row>
    <row r="11361">
      <c r="A11361" s="11" t="s">
        <v>11392</v>
      </c>
    </row>
    <row r="11362">
      <c r="A11362" s="11" t="s">
        <v>11393</v>
      </c>
    </row>
    <row r="11363">
      <c r="A11363" s="11" t="s">
        <v>11394</v>
      </c>
    </row>
    <row r="11364">
      <c r="A11364" s="11" t="s">
        <v>11395</v>
      </c>
    </row>
    <row r="11365">
      <c r="A11365" s="11" t="s">
        <v>11396</v>
      </c>
    </row>
    <row r="11366">
      <c r="A11366" s="11" t="s">
        <v>11397</v>
      </c>
    </row>
    <row r="11367">
      <c r="A11367" s="11" t="s">
        <v>11398</v>
      </c>
    </row>
    <row r="11368">
      <c r="A11368" s="11" t="s">
        <v>11399</v>
      </c>
    </row>
    <row r="11369">
      <c r="A11369" s="11" t="s">
        <v>11400</v>
      </c>
    </row>
    <row r="11370">
      <c r="A11370" s="11" t="s">
        <v>11401</v>
      </c>
    </row>
    <row r="11371">
      <c r="A11371" s="11" t="s">
        <v>11402</v>
      </c>
    </row>
    <row r="11372">
      <c r="A11372" s="11" t="s">
        <v>11403</v>
      </c>
    </row>
    <row r="11373">
      <c r="A11373" s="11" t="s">
        <v>11404</v>
      </c>
    </row>
    <row r="11374">
      <c r="A11374" s="11" t="s">
        <v>11405</v>
      </c>
    </row>
    <row r="11375">
      <c r="A11375" s="11" t="s">
        <v>11406</v>
      </c>
    </row>
    <row r="11376">
      <c r="A11376" s="11" t="s">
        <v>11407</v>
      </c>
    </row>
    <row r="11377">
      <c r="A11377" s="11" t="s">
        <v>11408</v>
      </c>
    </row>
    <row r="11378">
      <c r="A11378" s="11" t="s">
        <v>11409</v>
      </c>
    </row>
    <row r="11379">
      <c r="A11379" s="11" t="s">
        <v>11410</v>
      </c>
    </row>
    <row r="11380">
      <c r="A11380" s="11" t="s">
        <v>11411</v>
      </c>
    </row>
    <row r="11381">
      <c r="A11381" s="11" t="s">
        <v>11412</v>
      </c>
    </row>
    <row r="11382">
      <c r="A11382" s="11" t="s">
        <v>11413</v>
      </c>
    </row>
    <row r="11383">
      <c r="A11383" s="11" t="s">
        <v>11414</v>
      </c>
    </row>
    <row r="11384">
      <c r="A11384" s="11" t="s">
        <v>11415</v>
      </c>
    </row>
    <row r="11385">
      <c r="A11385" s="11" t="s">
        <v>11416</v>
      </c>
    </row>
    <row r="11386">
      <c r="A11386" s="11" t="s">
        <v>11417</v>
      </c>
    </row>
    <row r="11387">
      <c r="A11387" s="11" t="s">
        <v>11418</v>
      </c>
    </row>
    <row r="11388">
      <c r="A11388" s="11" t="s">
        <v>11419</v>
      </c>
    </row>
    <row r="11389">
      <c r="A11389" s="11" t="s">
        <v>11420</v>
      </c>
    </row>
    <row r="11390">
      <c r="A11390" s="11" t="s">
        <v>11421</v>
      </c>
    </row>
    <row r="11391">
      <c r="A11391" s="11" t="s">
        <v>11422</v>
      </c>
    </row>
    <row r="11392">
      <c r="A11392" s="11" t="s">
        <v>11423</v>
      </c>
    </row>
    <row r="11393">
      <c r="A11393" s="11" t="s">
        <v>11424</v>
      </c>
    </row>
    <row r="11394">
      <c r="A11394" s="11" t="s">
        <v>11425</v>
      </c>
    </row>
    <row r="11395">
      <c r="A11395" s="11" t="s">
        <v>11426</v>
      </c>
    </row>
    <row r="11396">
      <c r="A11396" s="11" t="s">
        <v>11427</v>
      </c>
    </row>
    <row r="11397">
      <c r="A11397" s="11" t="s">
        <v>11428</v>
      </c>
    </row>
    <row r="11398">
      <c r="A11398" s="11" t="s">
        <v>11429</v>
      </c>
    </row>
    <row r="11399">
      <c r="A11399" s="11" t="s">
        <v>11430</v>
      </c>
    </row>
    <row r="11400">
      <c r="A11400" s="11" t="s">
        <v>11431</v>
      </c>
    </row>
    <row r="11401">
      <c r="A11401" s="11" t="s">
        <v>11432</v>
      </c>
    </row>
    <row r="11402">
      <c r="A11402" s="11" t="s">
        <v>11433</v>
      </c>
    </row>
    <row r="11403">
      <c r="A11403" s="11" t="s">
        <v>11434</v>
      </c>
    </row>
    <row r="11404">
      <c r="A11404" s="11" t="s">
        <v>11435</v>
      </c>
    </row>
    <row r="11405">
      <c r="A11405" s="11" t="s">
        <v>11436</v>
      </c>
    </row>
    <row r="11406">
      <c r="A11406" s="11" t="s">
        <v>11437</v>
      </c>
    </row>
    <row r="11407">
      <c r="A11407" s="11" t="s">
        <v>11438</v>
      </c>
    </row>
    <row r="11408">
      <c r="A11408" s="11" t="s">
        <v>11439</v>
      </c>
    </row>
    <row r="11409">
      <c r="A11409" s="11" t="s">
        <v>11440</v>
      </c>
    </row>
    <row r="11410">
      <c r="A11410" s="11" t="s">
        <v>11441</v>
      </c>
    </row>
    <row r="11411">
      <c r="A11411" s="11" t="s">
        <v>11442</v>
      </c>
    </row>
    <row r="11412">
      <c r="A11412" s="11" t="s">
        <v>11443</v>
      </c>
    </row>
    <row r="11413">
      <c r="A11413" s="11" t="s">
        <v>11444</v>
      </c>
    </row>
    <row r="11414">
      <c r="A11414" s="11" t="s">
        <v>11445</v>
      </c>
    </row>
    <row r="11415">
      <c r="A11415" s="11" t="s">
        <v>11446</v>
      </c>
    </row>
    <row r="11416">
      <c r="A11416" s="11" t="s">
        <v>11447</v>
      </c>
    </row>
    <row r="11417">
      <c r="A11417" s="11" t="s">
        <v>11448</v>
      </c>
    </row>
    <row r="11418">
      <c r="A11418" s="11" t="s">
        <v>11449</v>
      </c>
    </row>
    <row r="11419">
      <c r="A11419" s="11" t="s">
        <v>11450</v>
      </c>
    </row>
    <row r="11420">
      <c r="A11420" s="11" t="s">
        <v>11451</v>
      </c>
    </row>
    <row r="11421">
      <c r="A11421" s="11" t="s">
        <v>11452</v>
      </c>
    </row>
    <row r="11422">
      <c r="A11422" s="11" t="s">
        <v>11453</v>
      </c>
    </row>
    <row r="11423">
      <c r="A11423" s="11" t="s">
        <v>11454</v>
      </c>
    </row>
    <row r="11424">
      <c r="A11424" s="11" t="s">
        <v>11455</v>
      </c>
    </row>
    <row r="11425">
      <c r="A11425" s="11" t="s">
        <v>11456</v>
      </c>
    </row>
    <row r="11426">
      <c r="A11426" s="11" t="s">
        <v>11457</v>
      </c>
    </row>
    <row r="11427">
      <c r="A11427" s="11" t="s">
        <v>11458</v>
      </c>
    </row>
    <row r="11428">
      <c r="A11428" s="11" t="s">
        <v>11459</v>
      </c>
    </row>
    <row r="11429">
      <c r="A11429" s="11" t="s">
        <v>11460</v>
      </c>
    </row>
    <row r="11430">
      <c r="A11430" s="11" t="s">
        <v>11461</v>
      </c>
    </row>
    <row r="11431">
      <c r="A11431" s="11" t="s">
        <v>11462</v>
      </c>
    </row>
    <row r="11432">
      <c r="A11432" s="11" t="s">
        <v>11463</v>
      </c>
    </row>
    <row r="11433">
      <c r="A11433" s="11" t="s">
        <v>11464</v>
      </c>
    </row>
    <row r="11434">
      <c r="A11434" s="11" t="s">
        <v>11465</v>
      </c>
    </row>
    <row r="11435">
      <c r="A11435" s="11" t="s">
        <v>11466</v>
      </c>
    </row>
    <row r="11436">
      <c r="A11436" s="11" t="s">
        <v>11467</v>
      </c>
    </row>
    <row r="11437">
      <c r="A11437" s="11" t="s">
        <v>11468</v>
      </c>
    </row>
    <row r="11438">
      <c r="A11438" s="11" t="s">
        <v>11469</v>
      </c>
    </row>
    <row r="11439">
      <c r="A11439" s="11" t="s">
        <v>11470</v>
      </c>
    </row>
    <row r="11440">
      <c r="A11440" s="11" t="s">
        <v>11471</v>
      </c>
    </row>
    <row r="11441">
      <c r="A11441" s="11" t="s">
        <v>11472</v>
      </c>
    </row>
    <row r="11442">
      <c r="A11442" s="11" t="s">
        <v>11473</v>
      </c>
    </row>
    <row r="11443">
      <c r="A11443" s="11" t="s">
        <v>11474</v>
      </c>
    </row>
    <row r="11444">
      <c r="A11444" s="11" t="s">
        <v>11475</v>
      </c>
    </row>
    <row r="11445">
      <c r="A11445" s="11" t="s">
        <v>11476</v>
      </c>
    </row>
    <row r="11446">
      <c r="A11446" s="11" t="s">
        <v>11477</v>
      </c>
    </row>
    <row r="11447">
      <c r="A11447" s="11" t="s">
        <v>11478</v>
      </c>
    </row>
    <row r="11448">
      <c r="A11448" s="11" t="s">
        <v>11479</v>
      </c>
    </row>
    <row r="11449">
      <c r="A11449" s="11" t="s">
        <v>11480</v>
      </c>
    </row>
    <row r="11450">
      <c r="A11450" s="11" t="s">
        <v>11481</v>
      </c>
    </row>
    <row r="11451">
      <c r="A11451" s="11" t="s">
        <v>11482</v>
      </c>
    </row>
    <row r="11452">
      <c r="A11452" s="11" t="s">
        <v>11483</v>
      </c>
    </row>
    <row r="11453">
      <c r="A11453" s="11" t="s">
        <v>11484</v>
      </c>
    </row>
    <row r="11454">
      <c r="A11454" s="11" t="s">
        <v>11485</v>
      </c>
    </row>
    <row r="11455">
      <c r="A11455" s="11" t="s">
        <v>11486</v>
      </c>
    </row>
    <row r="11456">
      <c r="A11456" s="11" t="s">
        <v>11487</v>
      </c>
    </row>
    <row r="11457">
      <c r="A11457" s="11" t="s">
        <v>11488</v>
      </c>
    </row>
    <row r="11458">
      <c r="A11458" s="11" t="s">
        <v>11489</v>
      </c>
    </row>
    <row r="11459">
      <c r="A11459" s="11" t="s">
        <v>11490</v>
      </c>
    </row>
    <row r="11460">
      <c r="A11460" s="11" t="s">
        <v>11491</v>
      </c>
    </row>
    <row r="11461">
      <c r="A11461" s="11" t="s">
        <v>11492</v>
      </c>
    </row>
    <row r="11462">
      <c r="A11462" s="11" t="s">
        <v>11493</v>
      </c>
    </row>
    <row r="11463">
      <c r="A11463" s="11" t="s">
        <v>11494</v>
      </c>
    </row>
    <row r="11464">
      <c r="A11464" s="11" t="s">
        <v>11495</v>
      </c>
    </row>
    <row r="11465">
      <c r="A11465" s="11" t="s">
        <v>11496</v>
      </c>
    </row>
    <row r="11466">
      <c r="A11466" s="11" t="s">
        <v>11497</v>
      </c>
    </row>
    <row r="11467">
      <c r="A11467" s="11" t="s">
        <v>11498</v>
      </c>
    </row>
    <row r="11468">
      <c r="A11468" s="11" t="s">
        <v>11499</v>
      </c>
    </row>
    <row r="11469">
      <c r="A11469" s="11" t="s">
        <v>11500</v>
      </c>
    </row>
    <row r="11470">
      <c r="A11470" s="11" t="s">
        <v>11501</v>
      </c>
    </row>
    <row r="11471">
      <c r="A11471" s="11" t="s">
        <v>11502</v>
      </c>
    </row>
    <row r="11472">
      <c r="A11472" s="11" t="s">
        <v>11503</v>
      </c>
    </row>
    <row r="11473">
      <c r="A11473" s="11" t="s">
        <v>11504</v>
      </c>
    </row>
    <row r="11474">
      <c r="A11474" s="11" t="s">
        <v>11505</v>
      </c>
    </row>
    <row r="11475">
      <c r="A11475" s="11" t="s">
        <v>11506</v>
      </c>
    </row>
    <row r="11476">
      <c r="A11476" s="11" t="s">
        <v>11507</v>
      </c>
    </row>
    <row r="11477">
      <c r="A11477" s="11" t="s">
        <v>11508</v>
      </c>
    </row>
    <row r="11478">
      <c r="A11478" s="11" t="s">
        <v>11509</v>
      </c>
    </row>
    <row r="11479">
      <c r="A11479" s="11" t="s">
        <v>11510</v>
      </c>
    </row>
    <row r="11480">
      <c r="A11480" s="11" t="s">
        <v>11511</v>
      </c>
    </row>
    <row r="11481">
      <c r="A11481" s="11" t="s">
        <v>11512</v>
      </c>
    </row>
    <row r="11482">
      <c r="A11482" s="11" t="s">
        <v>11513</v>
      </c>
    </row>
    <row r="11483">
      <c r="A11483" s="11" t="s">
        <v>11514</v>
      </c>
    </row>
    <row r="11484">
      <c r="A11484" s="11" t="s">
        <v>11515</v>
      </c>
    </row>
    <row r="11485">
      <c r="A11485" s="11" t="s">
        <v>11516</v>
      </c>
    </row>
    <row r="11486">
      <c r="A11486" s="11" t="s">
        <v>11517</v>
      </c>
    </row>
    <row r="11487">
      <c r="A11487" s="11" t="s">
        <v>11518</v>
      </c>
    </row>
    <row r="11488">
      <c r="A11488" s="11" t="s">
        <v>11519</v>
      </c>
    </row>
    <row r="11489">
      <c r="A11489" s="11" t="s">
        <v>11520</v>
      </c>
    </row>
    <row r="11490">
      <c r="A11490" s="11" t="s">
        <v>11521</v>
      </c>
    </row>
    <row r="11491">
      <c r="A11491" s="11" t="s">
        <v>11522</v>
      </c>
    </row>
    <row r="11492">
      <c r="A11492" s="11" t="s">
        <v>11523</v>
      </c>
    </row>
    <row r="11493">
      <c r="A11493" s="11" t="s">
        <v>11524</v>
      </c>
    </row>
    <row r="11494">
      <c r="A11494" s="11" t="s">
        <v>11525</v>
      </c>
    </row>
    <row r="11495">
      <c r="A11495" s="11" t="s">
        <v>11526</v>
      </c>
    </row>
    <row r="11496">
      <c r="A11496" s="11" t="s">
        <v>11527</v>
      </c>
    </row>
    <row r="11497">
      <c r="A11497" s="11" t="s">
        <v>11528</v>
      </c>
    </row>
    <row r="11498">
      <c r="A11498" s="11" t="s">
        <v>11529</v>
      </c>
    </row>
    <row r="11499">
      <c r="A11499" s="11" t="s">
        <v>11530</v>
      </c>
    </row>
    <row r="11500">
      <c r="A11500" s="11" t="s">
        <v>11531</v>
      </c>
    </row>
    <row r="11501">
      <c r="A11501" s="11" t="s">
        <v>11532</v>
      </c>
    </row>
    <row r="11502">
      <c r="A11502" s="11" t="s">
        <v>11533</v>
      </c>
    </row>
    <row r="11503">
      <c r="A11503" s="11" t="s">
        <v>11534</v>
      </c>
    </row>
    <row r="11504">
      <c r="A11504" s="11" t="s">
        <v>11535</v>
      </c>
    </row>
    <row r="11505">
      <c r="A11505" s="11" t="s">
        <v>11536</v>
      </c>
    </row>
    <row r="11506">
      <c r="A11506" s="11" t="s">
        <v>11537</v>
      </c>
    </row>
    <row r="11507">
      <c r="A11507" s="11" t="s">
        <v>11538</v>
      </c>
    </row>
    <row r="11508">
      <c r="A11508" s="11" t="s">
        <v>11539</v>
      </c>
    </row>
    <row r="11509">
      <c r="A11509" s="11" t="s">
        <v>11540</v>
      </c>
    </row>
    <row r="11510">
      <c r="A11510" s="11" t="s">
        <v>11541</v>
      </c>
    </row>
    <row r="11511">
      <c r="A11511" s="11" t="s">
        <v>11542</v>
      </c>
    </row>
    <row r="11512">
      <c r="A11512" s="11" t="s">
        <v>11543</v>
      </c>
    </row>
    <row r="11513">
      <c r="A11513" s="11" t="s">
        <v>11544</v>
      </c>
    </row>
    <row r="11514">
      <c r="A11514" s="11" t="s">
        <v>11545</v>
      </c>
    </row>
    <row r="11515">
      <c r="A11515" s="11" t="s">
        <v>11546</v>
      </c>
    </row>
    <row r="11516">
      <c r="A11516" s="11" t="s">
        <v>11547</v>
      </c>
    </row>
    <row r="11517">
      <c r="A11517" s="11" t="s">
        <v>11548</v>
      </c>
    </row>
    <row r="11518">
      <c r="A11518" s="11" t="s">
        <v>11549</v>
      </c>
    </row>
    <row r="11519">
      <c r="A11519" s="11" t="s">
        <v>11550</v>
      </c>
    </row>
    <row r="11520">
      <c r="A11520" s="11" t="s">
        <v>11551</v>
      </c>
    </row>
    <row r="11521">
      <c r="A11521" s="11" t="s">
        <v>11552</v>
      </c>
    </row>
    <row r="11522">
      <c r="A11522" s="11" t="s">
        <v>11553</v>
      </c>
    </row>
    <row r="11523">
      <c r="A11523" s="11" t="s">
        <v>11554</v>
      </c>
    </row>
    <row r="11524">
      <c r="A11524" s="11" t="s">
        <v>11555</v>
      </c>
    </row>
    <row r="11525">
      <c r="A11525" s="11" t="s">
        <v>11556</v>
      </c>
    </row>
    <row r="11526">
      <c r="A11526" s="11" t="s">
        <v>11557</v>
      </c>
    </row>
    <row r="11527">
      <c r="A11527" s="11" t="s">
        <v>11558</v>
      </c>
    </row>
    <row r="11528">
      <c r="A11528" s="11" t="s">
        <v>11559</v>
      </c>
    </row>
    <row r="11529">
      <c r="A11529" s="11" t="s">
        <v>11560</v>
      </c>
    </row>
    <row r="11530">
      <c r="A11530" s="11" t="s">
        <v>11561</v>
      </c>
    </row>
    <row r="11531">
      <c r="A11531" s="11" t="s">
        <v>11562</v>
      </c>
    </row>
    <row r="11532">
      <c r="A11532" s="11" t="s">
        <v>11563</v>
      </c>
    </row>
    <row r="11533">
      <c r="A11533" s="11" t="s">
        <v>11564</v>
      </c>
    </row>
    <row r="11534">
      <c r="A11534" s="11" t="s">
        <v>11565</v>
      </c>
    </row>
    <row r="11535">
      <c r="A11535" s="11" t="s">
        <v>11566</v>
      </c>
    </row>
    <row r="11536">
      <c r="A11536" s="11" t="s">
        <v>11567</v>
      </c>
    </row>
    <row r="11537">
      <c r="A11537" s="11" t="s">
        <v>11568</v>
      </c>
    </row>
    <row r="11538">
      <c r="A11538" s="11" t="s">
        <v>11569</v>
      </c>
    </row>
    <row r="11539">
      <c r="A11539" s="11" t="s">
        <v>11570</v>
      </c>
    </row>
    <row r="11540">
      <c r="A11540" s="11" t="s">
        <v>11571</v>
      </c>
    </row>
    <row r="11541">
      <c r="A11541" s="11" t="s">
        <v>11572</v>
      </c>
    </row>
    <row r="11542">
      <c r="A11542" s="11" t="s">
        <v>11573</v>
      </c>
    </row>
    <row r="11543">
      <c r="A11543" s="11" t="s">
        <v>11574</v>
      </c>
    </row>
    <row r="11544">
      <c r="A11544" s="11" t="s">
        <v>11575</v>
      </c>
    </row>
    <row r="11545">
      <c r="A11545" s="11" t="s">
        <v>11576</v>
      </c>
    </row>
    <row r="11546">
      <c r="A11546" s="11" t="s">
        <v>11577</v>
      </c>
    </row>
    <row r="11547">
      <c r="A11547" s="11" t="s">
        <v>11578</v>
      </c>
    </row>
    <row r="11548">
      <c r="A11548" s="11" t="s">
        <v>11579</v>
      </c>
    </row>
    <row r="11549">
      <c r="A11549" s="11" t="s">
        <v>11580</v>
      </c>
    </row>
    <row r="11550">
      <c r="A11550" s="11" t="s">
        <v>11581</v>
      </c>
    </row>
    <row r="11551">
      <c r="A11551" s="11" t="s">
        <v>11582</v>
      </c>
    </row>
    <row r="11552">
      <c r="A11552" s="11" t="s">
        <v>11583</v>
      </c>
    </row>
    <row r="11553">
      <c r="A11553" s="11" t="s">
        <v>11584</v>
      </c>
    </row>
    <row r="11554">
      <c r="A11554" s="11" t="s">
        <v>11585</v>
      </c>
    </row>
    <row r="11555">
      <c r="A11555" s="11" t="s">
        <v>11586</v>
      </c>
    </row>
    <row r="11556">
      <c r="A11556" s="11" t="s">
        <v>11587</v>
      </c>
    </row>
    <row r="11557">
      <c r="A11557" s="11" t="s">
        <v>11588</v>
      </c>
    </row>
    <row r="11558">
      <c r="A11558" s="11" t="s">
        <v>11589</v>
      </c>
    </row>
    <row r="11559">
      <c r="A11559" s="11" t="s">
        <v>11590</v>
      </c>
    </row>
    <row r="11560">
      <c r="A11560" s="11" t="s">
        <v>11591</v>
      </c>
    </row>
    <row r="11561">
      <c r="A11561" s="11" t="s">
        <v>11592</v>
      </c>
    </row>
    <row r="11562">
      <c r="A11562" s="11" t="s">
        <v>11593</v>
      </c>
    </row>
    <row r="11563">
      <c r="A11563" s="11" t="s">
        <v>11594</v>
      </c>
    </row>
    <row r="11564">
      <c r="A11564" s="11" t="s">
        <v>11595</v>
      </c>
    </row>
    <row r="11565">
      <c r="A11565" s="11" t="s">
        <v>11596</v>
      </c>
    </row>
    <row r="11566">
      <c r="A11566" s="11" t="s">
        <v>11597</v>
      </c>
    </row>
    <row r="11567">
      <c r="A11567" s="11" t="s">
        <v>11598</v>
      </c>
    </row>
    <row r="11568">
      <c r="A11568" s="11" t="s">
        <v>11599</v>
      </c>
    </row>
    <row r="11569">
      <c r="A11569" s="11" t="s">
        <v>11600</v>
      </c>
    </row>
    <row r="11570">
      <c r="A11570" s="11" t="s">
        <v>11601</v>
      </c>
    </row>
    <row r="11571">
      <c r="A11571" s="11" t="s">
        <v>11602</v>
      </c>
    </row>
    <row r="11572">
      <c r="A11572" s="11" t="s">
        <v>11603</v>
      </c>
    </row>
    <row r="11573">
      <c r="A11573" s="11" t="s">
        <v>11604</v>
      </c>
    </row>
    <row r="11574">
      <c r="A11574" s="11" t="s">
        <v>11605</v>
      </c>
    </row>
    <row r="11575">
      <c r="A11575" s="11" t="s">
        <v>11606</v>
      </c>
    </row>
    <row r="11576">
      <c r="A11576" s="11" t="s">
        <v>11607</v>
      </c>
    </row>
    <row r="11577">
      <c r="A11577" s="11" t="s">
        <v>11608</v>
      </c>
    </row>
    <row r="11578">
      <c r="A11578" s="11" t="s">
        <v>11609</v>
      </c>
    </row>
    <row r="11579">
      <c r="A11579" s="11" t="s">
        <v>11610</v>
      </c>
    </row>
    <row r="11580">
      <c r="A11580" s="11" t="s">
        <v>11611</v>
      </c>
    </row>
    <row r="11581">
      <c r="A11581" s="11" t="s">
        <v>11612</v>
      </c>
    </row>
    <row r="11582">
      <c r="A11582" s="11" t="s">
        <v>11613</v>
      </c>
    </row>
    <row r="11583">
      <c r="A11583" s="11" t="s">
        <v>11614</v>
      </c>
    </row>
    <row r="11584">
      <c r="A11584" s="11" t="s">
        <v>11615</v>
      </c>
    </row>
    <row r="11585">
      <c r="A11585" s="11" t="s">
        <v>11616</v>
      </c>
    </row>
    <row r="11586">
      <c r="A11586" s="11" t="s">
        <v>11617</v>
      </c>
    </row>
    <row r="11587">
      <c r="A11587" s="11" t="s">
        <v>11618</v>
      </c>
    </row>
    <row r="11588">
      <c r="A11588" s="11" t="s">
        <v>11619</v>
      </c>
    </row>
    <row r="11589">
      <c r="A11589" s="11" t="s">
        <v>11620</v>
      </c>
    </row>
    <row r="11590">
      <c r="A11590" s="11" t="s">
        <v>11621</v>
      </c>
    </row>
    <row r="11591">
      <c r="A11591" s="11" t="s">
        <v>11622</v>
      </c>
    </row>
    <row r="11592">
      <c r="A11592" s="11" t="s">
        <v>11623</v>
      </c>
    </row>
    <row r="11593">
      <c r="A11593" s="11" t="s">
        <v>11624</v>
      </c>
    </row>
    <row r="11594">
      <c r="A11594" s="11" t="s">
        <v>11625</v>
      </c>
    </row>
    <row r="11595">
      <c r="A11595" s="11" t="s">
        <v>11626</v>
      </c>
    </row>
    <row r="11596">
      <c r="A11596" s="11" t="s">
        <v>11627</v>
      </c>
    </row>
    <row r="11597">
      <c r="A11597" s="11" t="s">
        <v>11628</v>
      </c>
    </row>
    <row r="11598">
      <c r="A11598" s="11" t="s">
        <v>11629</v>
      </c>
    </row>
    <row r="11599">
      <c r="A11599" s="11" t="s">
        <v>11630</v>
      </c>
    </row>
    <row r="11600">
      <c r="A11600" s="11" t="s">
        <v>11631</v>
      </c>
    </row>
    <row r="11601">
      <c r="A11601" s="11" t="s">
        <v>11632</v>
      </c>
    </row>
    <row r="11602">
      <c r="A11602" s="11" t="s">
        <v>11633</v>
      </c>
    </row>
    <row r="11603">
      <c r="A11603" s="11" t="s">
        <v>11634</v>
      </c>
    </row>
    <row r="11604">
      <c r="A11604" s="11" t="s">
        <v>11635</v>
      </c>
    </row>
    <row r="11605">
      <c r="A11605" s="11" t="s">
        <v>11636</v>
      </c>
    </row>
    <row r="11606">
      <c r="A11606" s="11" t="s">
        <v>11637</v>
      </c>
    </row>
    <row r="11607">
      <c r="A11607" s="11" t="s">
        <v>11638</v>
      </c>
    </row>
    <row r="11608">
      <c r="A11608" s="11" t="s">
        <v>11639</v>
      </c>
    </row>
    <row r="11609">
      <c r="A11609" s="11" t="s">
        <v>11640</v>
      </c>
    </row>
    <row r="11610">
      <c r="A11610" s="11" t="s">
        <v>11641</v>
      </c>
    </row>
    <row r="11611">
      <c r="A11611" s="11" t="s">
        <v>11642</v>
      </c>
    </row>
    <row r="11612">
      <c r="A11612" s="11" t="s">
        <v>11643</v>
      </c>
    </row>
    <row r="11613">
      <c r="A11613" s="11" t="s">
        <v>11644</v>
      </c>
    </row>
    <row r="11614">
      <c r="A11614" s="11" t="s">
        <v>11645</v>
      </c>
    </row>
    <row r="11615">
      <c r="A11615" s="11" t="s">
        <v>11646</v>
      </c>
    </row>
    <row r="11616">
      <c r="A11616" s="11" t="s">
        <v>11647</v>
      </c>
    </row>
    <row r="11617">
      <c r="A11617" s="11" t="s">
        <v>11648</v>
      </c>
    </row>
    <row r="11618">
      <c r="A11618" s="11" t="s">
        <v>11649</v>
      </c>
    </row>
    <row r="11619">
      <c r="A11619" s="11" t="s">
        <v>11650</v>
      </c>
    </row>
    <row r="11620">
      <c r="A11620" s="11" t="s">
        <v>11651</v>
      </c>
    </row>
    <row r="11621">
      <c r="A11621" s="11" t="s">
        <v>11652</v>
      </c>
    </row>
    <row r="11622">
      <c r="A11622" s="11" t="s">
        <v>11653</v>
      </c>
    </row>
    <row r="11623">
      <c r="A11623" s="11" t="s">
        <v>11654</v>
      </c>
    </row>
    <row r="11624">
      <c r="A11624" s="11" t="s">
        <v>11655</v>
      </c>
    </row>
    <row r="11625">
      <c r="A11625" s="11" t="s">
        <v>11656</v>
      </c>
    </row>
    <row r="11626">
      <c r="A11626" s="11" t="s">
        <v>11657</v>
      </c>
    </row>
    <row r="11627">
      <c r="A11627" s="11" t="s">
        <v>11658</v>
      </c>
    </row>
    <row r="11628">
      <c r="A11628" s="11" t="s">
        <v>11659</v>
      </c>
    </row>
    <row r="11629">
      <c r="A11629" s="11" t="s">
        <v>11660</v>
      </c>
    </row>
    <row r="11630">
      <c r="A11630" s="11" t="s">
        <v>11661</v>
      </c>
    </row>
    <row r="11631">
      <c r="A11631" s="11" t="s">
        <v>11662</v>
      </c>
    </row>
    <row r="11632">
      <c r="A11632" s="11" t="s">
        <v>11663</v>
      </c>
    </row>
    <row r="11633">
      <c r="A11633" s="11" t="s">
        <v>11664</v>
      </c>
    </row>
    <row r="11634">
      <c r="A11634" s="11" t="s">
        <v>11665</v>
      </c>
    </row>
    <row r="11635">
      <c r="A11635" s="11" t="s">
        <v>11666</v>
      </c>
    </row>
    <row r="11636">
      <c r="A11636" s="11" t="s">
        <v>11667</v>
      </c>
    </row>
    <row r="11637">
      <c r="A11637" s="11" t="s">
        <v>11668</v>
      </c>
    </row>
    <row r="11638">
      <c r="A11638" s="11" t="s">
        <v>11669</v>
      </c>
    </row>
    <row r="11639">
      <c r="A11639" s="11" t="s">
        <v>11670</v>
      </c>
    </row>
    <row r="11640">
      <c r="A11640" s="11" t="s">
        <v>11671</v>
      </c>
    </row>
    <row r="11641">
      <c r="A11641" s="11" t="s">
        <v>11672</v>
      </c>
    </row>
    <row r="11642">
      <c r="A11642" s="11" t="s">
        <v>11673</v>
      </c>
    </row>
    <row r="11643">
      <c r="A11643" s="11" t="s">
        <v>11674</v>
      </c>
    </row>
    <row r="11644">
      <c r="A11644" s="11" t="s">
        <v>11675</v>
      </c>
    </row>
    <row r="11645">
      <c r="A11645" s="11" t="s">
        <v>11676</v>
      </c>
    </row>
    <row r="11646">
      <c r="A11646" s="11" t="s">
        <v>11677</v>
      </c>
    </row>
    <row r="11647">
      <c r="A11647" s="11" t="s">
        <v>11678</v>
      </c>
    </row>
    <row r="11648">
      <c r="A11648" s="11" t="s">
        <v>11679</v>
      </c>
    </row>
    <row r="11649">
      <c r="A11649" s="11" t="s">
        <v>11680</v>
      </c>
    </row>
    <row r="11650">
      <c r="A11650" s="11" t="s">
        <v>11681</v>
      </c>
    </row>
    <row r="11651">
      <c r="A11651" s="11" t="s">
        <v>11682</v>
      </c>
    </row>
    <row r="11652">
      <c r="A11652" s="11" t="s">
        <v>11683</v>
      </c>
    </row>
    <row r="11653">
      <c r="A11653" s="11" t="s">
        <v>11684</v>
      </c>
    </row>
    <row r="11654">
      <c r="A11654" s="11" t="s">
        <v>11685</v>
      </c>
    </row>
    <row r="11655">
      <c r="A11655" s="11" t="s">
        <v>11686</v>
      </c>
    </row>
    <row r="11656">
      <c r="A11656" s="11" t="s">
        <v>11687</v>
      </c>
    </row>
    <row r="11657">
      <c r="A11657" s="11" t="s">
        <v>11688</v>
      </c>
    </row>
    <row r="11658">
      <c r="A11658" s="11" t="s">
        <v>11689</v>
      </c>
    </row>
    <row r="11659">
      <c r="A11659" s="11" t="s">
        <v>11690</v>
      </c>
    </row>
    <row r="11660">
      <c r="A11660" s="11" t="s">
        <v>11691</v>
      </c>
    </row>
    <row r="11661">
      <c r="A11661" s="11" t="s">
        <v>11692</v>
      </c>
    </row>
    <row r="11662">
      <c r="A11662" s="11" t="s">
        <v>11693</v>
      </c>
    </row>
    <row r="11663">
      <c r="A11663" s="11" t="s">
        <v>11694</v>
      </c>
    </row>
    <row r="11664">
      <c r="A11664" s="11" t="s">
        <v>11695</v>
      </c>
    </row>
    <row r="11665">
      <c r="A11665" s="11" t="s">
        <v>11696</v>
      </c>
    </row>
    <row r="11666">
      <c r="A11666" s="11" t="s">
        <v>11697</v>
      </c>
    </row>
    <row r="11667">
      <c r="A11667" s="11" t="s">
        <v>11698</v>
      </c>
    </row>
    <row r="11668">
      <c r="A11668" s="11" t="s">
        <v>11699</v>
      </c>
    </row>
    <row r="11669">
      <c r="A11669" s="11" t="s">
        <v>11700</v>
      </c>
    </row>
    <row r="11670">
      <c r="A11670" s="11" t="s">
        <v>11701</v>
      </c>
    </row>
    <row r="11671">
      <c r="A11671" s="11" t="s">
        <v>11702</v>
      </c>
    </row>
    <row r="11672">
      <c r="A11672" s="11" t="s">
        <v>11703</v>
      </c>
    </row>
    <row r="11673">
      <c r="A11673" s="11" t="s">
        <v>11704</v>
      </c>
    </row>
    <row r="11674">
      <c r="A11674" s="11" t="s">
        <v>11705</v>
      </c>
    </row>
    <row r="11675">
      <c r="A11675" s="11" t="s">
        <v>11706</v>
      </c>
    </row>
    <row r="11676">
      <c r="A11676" s="11" t="s">
        <v>11707</v>
      </c>
    </row>
    <row r="11677">
      <c r="A11677" s="11" t="s">
        <v>11708</v>
      </c>
    </row>
    <row r="11678">
      <c r="A11678" s="11" t="s">
        <v>11709</v>
      </c>
    </row>
    <row r="11679">
      <c r="A11679" s="11" t="s">
        <v>11710</v>
      </c>
    </row>
    <row r="11680">
      <c r="A11680" s="11" t="s">
        <v>11711</v>
      </c>
    </row>
    <row r="11681">
      <c r="A11681" s="11" t="s">
        <v>11712</v>
      </c>
    </row>
    <row r="11682">
      <c r="A11682" s="11" t="s">
        <v>11713</v>
      </c>
    </row>
    <row r="11683">
      <c r="A11683" s="11" t="s">
        <v>11714</v>
      </c>
    </row>
    <row r="11684">
      <c r="A11684" s="11" t="s">
        <v>11715</v>
      </c>
    </row>
    <row r="11685">
      <c r="A11685" s="11" t="s">
        <v>11716</v>
      </c>
    </row>
    <row r="11686">
      <c r="A11686" s="11" t="s">
        <v>11717</v>
      </c>
    </row>
    <row r="11687">
      <c r="A11687" s="11" t="s">
        <v>11718</v>
      </c>
    </row>
    <row r="11688">
      <c r="A11688" s="11" t="s">
        <v>11719</v>
      </c>
    </row>
    <row r="11689">
      <c r="A11689" s="11" t="s">
        <v>11720</v>
      </c>
    </row>
    <row r="11690">
      <c r="A11690" s="11" t="s">
        <v>11721</v>
      </c>
    </row>
    <row r="11691">
      <c r="A11691" s="11" t="s">
        <v>11722</v>
      </c>
    </row>
    <row r="11692">
      <c r="A11692" s="11" t="s">
        <v>11723</v>
      </c>
    </row>
    <row r="11693">
      <c r="A11693" s="11" t="s">
        <v>11724</v>
      </c>
    </row>
    <row r="11694">
      <c r="A11694" s="11" t="s">
        <v>11725</v>
      </c>
    </row>
    <row r="11695">
      <c r="A11695" s="11" t="s">
        <v>11726</v>
      </c>
    </row>
    <row r="11696">
      <c r="A11696" s="11" t="s">
        <v>11727</v>
      </c>
    </row>
    <row r="11697">
      <c r="A11697" s="11" t="s">
        <v>11728</v>
      </c>
    </row>
    <row r="11698">
      <c r="A11698" s="11" t="s">
        <v>11729</v>
      </c>
    </row>
    <row r="11699">
      <c r="A11699" s="11" t="s">
        <v>11730</v>
      </c>
    </row>
    <row r="11700">
      <c r="A11700" s="11" t="s">
        <v>11731</v>
      </c>
    </row>
    <row r="11701">
      <c r="A11701" s="11" t="s">
        <v>11732</v>
      </c>
    </row>
    <row r="11702">
      <c r="A11702" s="11" t="s">
        <v>11733</v>
      </c>
    </row>
    <row r="11703">
      <c r="A11703" s="11" t="s">
        <v>11734</v>
      </c>
    </row>
    <row r="11704">
      <c r="A11704" s="11" t="s">
        <v>11735</v>
      </c>
    </row>
    <row r="11705">
      <c r="A11705" s="11" t="s">
        <v>11736</v>
      </c>
    </row>
    <row r="11706">
      <c r="A11706" s="11" t="s">
        <v>11737</v>
      </c>
    </row>
    <row r="11707">
      <c r="A11707" s="11" t="s">
        <v>11738</v>
      </c>
    </row>
    <row r="11708">
      <c r="A11708" s="11" t="s">
        <v>11739</v>
      </c>
    </row>
    <row r="11709">
      <c r="A11709" s="11" t="s">
        <v>11740</v>
      </c>
    </row>
    <row r="11710">
      <c r="A11710" s="11" t="s">
        <v>11741</v>
      </c>
    </row>
    <row r="11711">
      <c r="A11711" s="11" t="s">
        <v>11742</v>
      </c>
    </row>
    <row r="11712">
      <c r="A11712" s="11" t="s">
        <v>11743</v>
      </c>
    </row>
    <row r="11713">
      <c r="A11713" s="11" t="s">
        <v>11744</v>
      </c>
    </row>
    <row r="11714">
      <c r="A11714" s="11" t="s">
        <v>11745</v>
      </c>
    </row>
    <row r="11715">
      <c r="A11715" s="11" t="s">
        <v>11746</v>
      </c>
    </row>
    <row r="11716">
      <c r="A11716" s="11" t="s">
        <v>11747</v>
      </c>
    </row>
    <row r="11717">
      <c r="A11717" s="11" t="s">
        <v>11748</v>
      </c>
    </row>
    <row r="11718">
      <c r="A11718" s="11" t="s">
        <v>11749</v>
      </c>
    </row>
    <row r="11719">
      <c r="A11719" s="11" t="s">
        <v>11750</v>
      </c>
    </row>
    <row r="11720">
      <c r="A11720" s="11" t="s">
        <v>11751</v>
      </c>
    </row>
    <row r="11721">
      <c r="A11721" s="11" t="s">
        <v>11752</v>
      </c>
    </row>
    <row r="11722">
      <c r="A11722" s="11" t="s">
        <v>11753</v>
      </c>
    </row>
    <row r="11723">
      <c r="A11723" s="11" t="s">
        <v>11754</v>
      </c>
    </row>
    <row r="11724">
      <c r="A11724" s="11" t="s">
        <v>11755</v>
      </c>
    </row>
    <row r="11725">
      <c r="A11725" s="11" t="s">
        <v>11756</v>
      </c>
    </row>
    <row r="11726">
      <c r="A11726" s="11" t="s">
        <v>11757</v>
      </c>
    </row>
    <row r="11727">
      <c r="A11727" s="11" t="s">
        <v>11758</v>
      </c>
    </row>
    <row r="11728">
      <c r="A11728" s="11" t="s">
        <v>11759</v>
      </c>
    </row>
    <row r="11729">
      <c r="A11729" s="11" t="s">
        <v>11760</v>
      </c>
    </row>
    <row r="11730">
      <c r="A11730" s="11" t="s">
        <v>11761</v>
      </c>
    </row>
    <row r="11731">
      <c r="A11731" s="11" t="s">
        <v>11762</v>
      </c>
    </row>
    <row r="11732">
      <c r="A11732" s="11" t="s">
        <v>11763</v>
      </c>
    </row>
    <row r="11733">
      <c r="A11733" s="11" t="s">
        <v>11764</v>
      </c>
    </row>
    <row r="11734">
      <c r="A11734" s="11" t="s">
        <v>11765</v>
      </c>
    </row>
    <row r="11735">
      <c r="A11735" s="11" t="s">
        <v>11766</v>
      </c>
    </row>
    <row r="11736">
      <c r="A11736" s="11" t="s">
        <v>11767</v>
      </c>
    </row>
    <row r="11737">
      <c r="A11737" s="11" t="s">
        <v>11768</v>
      </c>
    </row>
    <row r="11738">
      <c r="A11738" s="11" t="s">
        <v>11769</v>
      </c>
    </row>
    <row r="11739">
      <c r="A11739" s="11" t="s">
        <v>11770</v>
      </c>
    </row>
    <row r="11740">
      <c r="A11740" s="11" t="s">
        <v>11771</v>
      </c>
    </row>
    <row r="11741">
      <c r="A11741" s="11" t="s">
        <v>11772</v>
      </c>
    </row>
    <row r="11742">
      <c r="A11742" s="11" t="s">
        <v>11773</v>
      </c>
    </row>
    <row r="11743">
      <c r="A11743" s="11" t="s">
        <v>11774</v>
      </c>
    </row>
    <row r="11744">
      <c r="A11744" s="11" t="s">
        <v>11775</v>
      </c>
    </row>
    <row r="11745">
      <c r="A11745" s="11" t="s">
        <v>11776</v>
      </c>
    </row>
    <row r="11746">
      <c r="A11746" s="11" t="s">
        <v>11777</v>
      </c>
    </row>
    <row r="11747">
      <c r="A11747" s="11" t="s">
        <v>11778</v>
      </c>
    </row>
    <row r="11748">
      <c r="A11748" s="11" t="s">
        <v>11779</v>
      </c>
    </row>
    <row r="11749">
      <c r="A11749" s="11" t="s">
        <v>11780</v>
      </c>
    </row>
    <row r="11750">
      <c r="A11750" s="11" t="s">
        <v>11781</v>
      </c>
    </row>
    <row r="11751">
      <c r="A11751" s="11" t="s">
        <v>11782</v>
      </c>
    </row>
    <row r="11752">
      <c r="A11752" s="11" t="s">
        <v>11783</v>
      </c>
    </row>
    <row r="11753">
      <c r="A11753" s="11" t="s">
        <v>11784</v>
      </c>
    </row>
    <row r="11754">
      <c r="A11754" s="11" t="s">
        <v>11785</v>
      </c>
    </row>
    <row r="11755">
      <c r="A11755" s="11" t="s">
        <v>11786</v>
      </c>
    </row>
    <row r="11756">
      <c r="A11756" s="11" t="s">
        <v>11787</v>
      </c>
    </row>
    <row r="11757">
      <c r="A11757" s="11" t="s">
        <v>11788</v>
      </c>
    </row>
    <row r="11758">
      <c r="A11758" s="11" t="s">
        <v>11789</v>
      </c>
    </row>
    <row r="11759">
      <c r="A11759" s="11" t="s">
        <v>11790</v>
      </c>
    </row>
    <row r="11760">
      <c r="A11760" s="11" t="s">
        <v>11791</v>
      </c>
    </row>
    <row r="11761">
      <c r="A11761" s="11" t="s">
        <v>11792</v>
      </c>
    </row>
    <row r="11762">
      <c r="A11762" s="11" t="s">
        <v>11793</v>
      </c>
    </row>
    <row r="11763">
      <c r="A11763" s="11" t="s">
        <v>11794</v>
      </c>
    </row>
    <row r="11764">
      <c r="A11764" s="11" t="s">
        <v>11795</v>
      </c>
    </row>
    <row r="11765">
      <c r="A11765" s="11" t="s">
        <v>11796</v>
      </c>
    </row>
    <row r="11766">
      <c r="A11766" s="11" t="s">
        <v>11797</v>
      </c>
    </row>
    <row r="11767">
      <c r="A11767" s="11" t="s">
        <v>11798</v>
      </c>
    </row>
    <row r="11768">
      <c r="A11768" s="11" t="s">
        <v>11799</v>
      </c>
    </row>
    <row r="11769">
      <c r="A11769" s="11" t="s">
        <v>11800</v>
      </c>
    </row>
    <row r="11770">
      <c r="A11770" s="11" t="s">
        <v>11801</v>
      </c>
    </row>
    <row r="11771">
      <c r="A11771" s="11" t="s">
        <v>11802</v>
      </c>
    </row>
    <row r="11772">
      <c r="A11772" s="11" t="s">
        <v>11803</v>
      </c>
    </row>
    <row r="11773">
      <c r="A11773" s="11" t="s">
        <v>11804</v>
      </c>
    </row>
    <row r="11774">
      <c r="A11774" s="11" t="s">
        <v>11805</v>
      </c>
    </row>
    <row r="11775">
      <c r="A11775" s="11" t="s">
        <v>11806</v>
      </c>
    </row>
    <row r="11776">
      <c r="A11776" s="11" t="s">
        <v>11807</v>
      </c>
    </row>
    <row r="11777">
      <c r="A11777" s="11" t="s">
        <v>11808</v>
      </c>
    </row>
    <row r="11778">
      <c r="A11778" s="11" t="s">
        <v>11809</v>
      </c>
    </row>
    <row r="11779">
      <c r="A11779" s="11" t="s">
        <v>11810</v>
      </c>
    </row>
    <row r="11780">
      <c r="A11780" s="11" t="s">
        <v>11811</v>
      </c>
    </row>
    <row r="11781">
      <c r="A11781" s="11" t="s">
        <v>11812</v>
      </c>
    </row>
    <row r="11782">
      <c r="A11782" s="11" t="s">
        <v>11813</v>
      </c>
    </row>
    <row r="11783">
      <c r="A11783" s="11" t="s">
        <v>11814</v>
      </c>
    </row>
    <row r="11784">
      <c r="A11784" s="11" t="s">
        <v>11815</v>
      </c>
    </row>
    <row r="11785">
      <c r="A11785" s="11" t="s">
        <v>11816</v>
      </c>
    </row>
    <row r="11786">
      <c r="A11786" s="11" t="s">
        <v>11817</v>
      </c>
    </row>
    <row r="11787">
      <c r="A11787" s="11" t="s">
        <v>11818</v>
      </c>
    </row>
    <row r="11788">
      <c r="A11788" s="11" t="s">
        <v>11819</v>
      </c>
    </row>
    <row r="11789">
      <c r="A11789" s="11" t="s">
        <v>11820</v>
      </c>
    </row>
    <row r="11790">
      <c r="A11790" s="11" t="s">
        <v>11821</v>
      </c>
    </row>
    <row r="11791">
      <c r="A11791" s="11" t="s">
        <v>11822</v>
      </c>
    </row>
    <row r="11792">
      <c r="A11792" s="11" t="s">
        <v>11823</v>
      </c>
    </row>
    <row r="11793">
      <c r="A11793" s="11" t="s">
        <v>11824</v>
      </c>
    </row>
    <row r="11794">
      <c r="A11794" s="11" t="s">
        <v>11825</v>
      </c>
    </row>
    <row r="11795">
      <c r="A11795" s="11" t="s">
        <v>11826</v>
      </c>
    </row>
    <row r="11796">
      <c r="A11796" s="11" t="s">
        <v>11827</v>
      </c>
    </row>
    <row r="11797">
      <c r="A11797" s="11" t="s">
        <v>11828</v>
      </c>
    </row>
    <row r="11798">
      <c r="A11798" s="11" t="s">
        <v>11829</v>
      </c>
    </row>
    <row r="11799">
      <c r="A11799" s="11" t="s">
        <v>11830</v>
      </c>
    </row>
    <row r="11800">
      <c r="A11800" s="11" t="s">
        <v>11831</v>
      </c>
    </row>
    <row r="11801">
      <c r="A11801" s="11" t="s">
        <v>11832</v>
      </c>
    </row>
    <row r="11802">
      <c r="A11802" s="11" t="s">
        <v>11833</v>
      </c>
    </row>
    <row r="11803">
      <c r="A11803" s="11" t="s">
        <v>11834</v>
      </c>
    </row>
    <row r="11804">
      <c r="A11804" s="11" t="s">
        <v>11835</v>
      </c>
    </row>
    <row r="11805">
      <c r="A11805" s="11" t="s">
        <v>11836</v>
      </c>
    </row>
    <row r="11806">
      <c r="A11806" s="11" t="s">
        <v>11837</v>
      </c>
    </row>
    <row r="11807">
      <c r="A11807" s="11" t="s">
        <v>11838</v>
      </c>
    </row>
    <row r="11808">
      <c r="A11808" s="11" t="s">
        <v>11839</v>
      </c>
    </row>
    <row r="11809">
      <c r="A11809" s="11" t="s">
        <v>11840</v>
      </c>
    </row>
    <row r="11810">
      <c r="A11810" s="11" t="s">
        <v>11841</v>
      </c>
    </row>
    <row r="11811">
      <c r="A11811" s="11" t="s">
        <v>11842</v>
      </c>
    </row>
    <row r="11812">
      <c r="A11812" s="11" t="s">
        <v>11843</v>
      </c>
    </row>
    <row r="11813">
      <c r="A11813" s="11" t="s">
        <v>11844</v>
      </c>
    </row>
    <row r="11814">
      <c r="A11814" s="11" t="s">
        <v>11845</v>
      </c>
    </row>
    <row r="11815">
      <c r="A11815" s="11" t="s">
        <v>11846</v>
      </c>
    </row>
    <row r="11816">
      <c r="A11816" s="11" t="s">
        <v>11847</v>
      </c>
    </row>
    <row r="11817">
      <c r="A11817" s="11" t="s">
        <v>11848</v>
      </c>
    </row>
    <row r="11818">
      <c r="A11818" s="11" t="s">
        <v>11849</v>
      </c>
    </row>
    <row r="11819">
      <c r="A11819" s="11" t="s">
        <v>11850</v>
      </c>
    </row>
    <row r="11820">
      <c r="A11820" s="11" t="s">
        <v>11851</v>
      </c>
    </row>
    <row r="11821">
      <c r="A11821" s="11" t="s">
        <v>11852</v>
      </c>
    </row>
    <row r="11822">
      <c r="A11822" s="11" t="s">
        <v>11853</v>
      </c>
    </row>
    <row r="11823">
      <c r="A11823" s="11" t="s">
        <v>11854</v>
      </c>
    </row>
    <row r="11824">
      <c r="A11824" s="11" t="s">
        <v>11855</v>
      </c>
    </row>
    <row r="11825">
      <c r="A11825" s="11" t="s">
        <v>11856</v>
      </c>
    </row>
    <row r="11826">
      <c r="A11826" s="11" t="s">
        <v>11857</v>
      </c>
    </row>
    <row r="11827">
      <c r="A11827" s="11" t="s">
        <v>11858</v>
      </c>
    </row>
    <row r="11828">
      <c r="A11828" s="11" t="s">
        <v>11859</v>
      </c>
    </row>
    <row r="11829">
      <c r="A11829" s="11" t="s">
        <v>11860</v>
      </c>
    </row>
    <row r="11830">
      <c r="A11830" s="11" t="s">
        <v>11861</v>
      </c>
    </row>
    <row r="11831">
      <c r="A11831" s="11" t="s">
        <v>11862</v>
      </c>
    </row>
    <row r="11832">
      <c r="A11832" s="11" t="s">
        <v>11863</v>
      </c>
    </row>
    <row r="11833">
      <c r="A11833" s="11" t="s">
        <v>11864</v>
      </c>
    </row>
    <row r="11834">
      <c r="A11834" s="11" t="s">
        <v>11865</v>
      </c>
    </row>
    <row r="11835">
      <c r="A11835" s="11" t="s">
        <v>11866</v>
      </c>
    </row>
    <row r="11836">
      <c r="A11836" s="11" t="s">
        <v>11867</v>
      </c>
    </row>
    <row r="11837">
      <c r="A11837" s="11" t="s">
        <v>11868</v>
      </c>
    </row>
    <row r="11838">
      <c r="A11838" s="11" t="s">
        <v>11869</v>
      </c>
    </row>
    <row r="11839">
      <c r="A11839" s="11" t="s">
        <v>11870</v>
      </c>
    </row>
    <row r="11840">
      <c r="A11840" s="11" t="s">
        <v>11871</v>
      </c>
    </row>
    <row r="11841">
      <c r="A11841" s="11" t="s">
        <v>11872</v>
      </c>
    </row>
    <row r="11842">
      <c r="A11842" s="11" t="s">
        <v>11873</v>
      </c>
    </row>
    <row r="11843">
      <c r="A11843" s="11" t="s">
        <v>11874</v>
      </c>
    </row>
    <row r="11844">
      <c r="A11844" s="11" t="s">
        <v>11875</v>
      </c>
    </row>
    <row r="11845">
      <c r="A11845" s="11" t="s">
        <v>11876</v>
      </c>
    </row>
    <row r="11846">
      <c r="A11846" s="11" t="s">
        <v>11877</v>
      </c>
    </row>
    <row r="11847">
      <c r="A11847" s="11" t="s">
        <v>11878</v>
      </c>
    </row>
    <row r="11848">
      <c r="A11848" s="11" t="s">
        <v>11879</v>
      </c>
    </row>
    <row r="11849">
      <c r="A11849" s="11" t="s">
        <v>11880</v>
      </c>
    </row>
    <row r="11850">
      <c r="A11850" s="11" t="s">
        <v>11881</v>
      </c>
    </row>
    <row r="11851">
      <c r="A11851" s="11" t="s">
        <v>11882</v>
      </c>
    </row>
    <row r="11852">
      <c r="A11852" s="11" t="s">
        <v>11883</v>
      </c>
    </row>
    <row r="11853">
      <c r="A11853" s="11" t="s">
        <v>11884</v>
      </c>
    </row>
    <row r="11854">
      <c r="A11854" s="11" t="s">
        <v>11885</v>
      </c>
    </row>
    <row r="11855">
      <c r="A11855" s="11" t="s">
        <v>11886</v>
      </c>
    </row>
    <row r="11856">
      <c r="A11856" s="11" t="s">
        <v>11887</v>
      </c>
    </row>
    <row r="11857">
      <c r="A11857" s="11" t="s">
        <v>11888</v>
      </c>
    </row>
    <row r="11858">
      <c r="A11858" s="11" t="s">
        <v>11889</v>
      </c>
    </row>
    <row r="11859">
      <c r="A11859" s="11" t="s">
        <v>11890</v>
      </c>
    </row>
    <row r="11860">
      <c r="A11860" s="11" t="s">
        <v>11891</v>
      </c>
    </row>
    <row r="11861">
      <c r="A11861" s="11" t="s">
        <v>11892</v>
      </c>
    </row>
    <row r="11862">
      <c r="A11862" s="11" t="s">
        <v>11893</v>
      </c>
    </row>
    <row r="11863">
      <c r="A11863" s="11" t="s">
        <v>11894</v>
      </c>
    </row>
    <row r="11864">
      <c r="A11864" s="11" t="s">
        <v>11895</v>
      </c>
    </row>
    <row r="11865">
      <c r="A11865" s="11" t="s">
        <v>11896</v>
      </c>
    </row>
    <row r="11866">
      <c r="A11866" s="11" t="s">
        <v>11897</v>
      </c>
    </row>
    <row r="11867">
      <c r="A11867" s="11" t="s">
        <v>11898</v>
      </c>
    </row>
    <row r="11868">
      <c r="A11868" s="11" t="s">
        <v>11899</v>
      </c>
    </row>
    <row r="11869">
      <c r="A11869" s="11" t="s">
        <v>11900</v>
      </c>
    </row>
    <row r="11870">
      <c r="A11870" s="11" t="s">
        <v>11901</v>
      </c>
    </row>
    <row r="11871">
      <c r="A11871" s="11" t="s">
        <v>11902</v>
      </c>
    </row>
    <row r="11872">
      <c r="A11872" s="11" t="s">
        <v>11903</v>
      </c>
    </row>
    <row r="11873">
      <c r="A11873" s="11" t="s">
        <v>11904</v>
      </c>
    </row>
    <row r="11874">
      <c r="A11874" s="11" t="s">
        <v>11905</v>
      </c>
    </row>
    <row r="11875">
      <c r="A11875" s="11" t="s">
        <v>11906</v>
      </c>
    </row>
    <row r="11876">
      <c r="A11876" s="11" t="s">
        <v>11907</v>
      </c>
    </row>
    <row r="11877">
      <c r="A11877" s="11" t="s">
        <v>11908</v>
      </c>
    </row>
    <row r="11878">
      <c r="A11878" s="11" t="s">
        <v>11909</v>
      </c>
    </row>
    <row r="11879">
      <c r="A11879" s="11" t="s">
        <v>11910</v>
      </c>
    </row>
    <row r="11880">
      <c r="A11880" s="11" t="s">
        <v>11911</v>
      </c>
    </row>
    <row r="11881">
      <c r="A11881" s="11" t="s">
        <v>11912</v>
      </c>
    </row>
    <row r="11882">
      <c r="A11882" s="11" t="s">
        <v>11913</v>
      </c>
    </row>
    <row r="11883">
      <c r="A11883" s="11" t="s">
        <v>11914</v>
      </c>
    </row>
    <row r="11884">
      <c r="A11884" s="11" t="s">
        <v>11915</v>
      </c>
    </row>
    <row r="11885">
      <c r="A11885" s="11" t="s">
        <v>11916</v>
      </c>
    </row>
    <row r="11886">
      <c r="A11886" s="11" t="s">
        <v>11917</v>
      </c>
    </row>
    <row r="11887">
      <c r="A11887" s="11" t="s">
        <v>11918</v>
      </c>
    </row>
    <row r="11888">
      <c r="A11888" s="11" t="s">
        <v>11919</v>
      </c>
    </row>
    <row r="11889">
      <c r="A11889" s="11" t="s">
        <v>11920</v>
      </c>
    </row>
    <row r="11890">
      <c r="A11890" s="11" t="s">
        <v>11921</v>
      </c>
    </row>
    <row r="11891">
      <c r="A11891" s="11" t="s">
        <v>11922</v>
      </c>
    </row>
    <row r="11892">
      <c r="A11892" s="11" t="s">
        <v>11923</v>
      </c>
    </row>
    <row r="11893">
      <c r="A11893" s="11" t="s">
        <v>11924</v>
      </c>
    </row>
    <row r="11894">
      <c r="A11894" s="11" t="s">
        <v>11925</v>
      </c>
    </row>
    <row r="11895">
      <c r="A11895" s="11" t="s">
        <v>11926</v>
      </c>
    </row>
    <row r="11896">
      <c r="A11896" s="11" t="s">
        <v>11927</v>
      </c>
    </row>
    <row r="11897">
      <c r="A11897" s="11" t="s">
        <v>11928</v>
      </c>
    </row>
    <row r="11898">
      <c r="A11898" s="11" t="s">
        <v>11929</v>
      </c>
    </row>
    <row r="11899">
      <c r="A11899" s="11" t="s">
        <v>11930</v>
      </c>
    </row>
    <row r="11900">
      <c r="A11900" s="11" t="s">
        <v>11931</v>
      </c>
    </row>
    <row r="11901">
      <c r="A11901" s="11" t="s">
        <v>11932</v>
      </c>
    </row>
    <row r="11902">
      <c r="A11902" s="11" t="s">
        <v>11933</v>
      </c>
    </row>
    <row r="11903">
      <c r="A11903" s="11" t="s">
        <v>11934</v>
      </c>
    </row>
    <row r="11904">
      <c r="A11904" s="11" t="s">
        <v>11935</v>
      </c>
    </row>
    <row r="11905">
      <c r="A11905" s="11" t="s">
        <v>11936</v>
      </c>
    </row>
    <row r="11906">
      <c r="A11906" s="11" t="s">
        <v>11937</v>
      </c>
    </row>
    <row r="11907">
      <c r="A11907" s="11" t="s">
        <v>11938</v>
      </c>
    </row>
    <row r="11908">
      <c r="A11908" s="11" t="s">
        <v>11939</v>
      </c>
    </row>
    <row r="11909">
      <c r="A11909" s="11" t="s">
        <v>11940</v>
      </c>
    </row>
    <row r="11910">
      <c r="A11910" s="11" t="s">
        <v>11941</v>
      </c>
    </row>
    <row r="11911">
      <c r="A11911" s="11" t="s">
        <v>11942</v>
      </c>
    </row>
    <row r="11912">
      <c r="A11912" s="11" t="s">
        <v>11943</v>
      </c>
    </row>
    <row r="11913">
      <c r="A11913" s="11" t="s">
        <v>11944</v>
      </c>
    </row>
    <row r="11914">
      <c r="A11914" s="11" t="s">
        <v>11945</v>
      </c>
    </row>
    <row r="11915">
      <c r="A11915" s="11" t="s">
        <v>11946</v>
      </c>
    </row>
    <row r="11916">
      <c r="A11916" s="11" t="s">
        <v>11947</v>
      </c>
    </row>
    <row r="11917">
      <c r="A11917" s="11" t="s">
        <v>11948</v>
      </c>
    </row>
    <row r="11918">
      <c r="A11918" s="11" t="s">
        <v>11949</v>
      </c>
    </row>
    <row r="11919">
      <c r="A11919" s="11" t="s">
        <v>11950</v>
      </c>
    </row>
    <row r="11920">
      <c r="A11920" s="11" t="s">
        <v>11951</v>
      </c>
    </row>
    <row r="11921">
      <c r="A11921" s="11" t="s">
        <v>11952</v>
      </c>
    </row>
    <row r="11922">
      <c r="A11922" s="11" t="s">
        <v>11953</v>
      </c>
    </row>
    <row r="11923">
      <c r="A11923" s="11" t="s">
        <v>11954</v>
      </c>
    </row>
    <row r="11924">
      <c r="A11924" s="11" t="s">
        <v>11955</v>
      </c>
    </row>
    <row r="11925">
      <c r="A11925" s="11" t="s">
        <v>11956</v>
      </c>
    </row>
    <row r="11926">
      <c r="A11926" s="11" t="s">
        <v>11957</v>
      </c>
    </row>
    <row r="11927">
      <c r="A11927" s="11" t="s">
        <v>11958</v>
      </c>
    </row>
    <row r="11928">
      <c r="A11928" s="11" t="s">
        <v>11959</v>
      </c>
    </row>
    <row r="11929">
      <c r="A11929" s="11" t="s">
        <v>11960</v>
      </c>
    </row>
    <row r="11930">
      <c r="A11930" s="11" t="s">
        <v>11961</v>
      </c>
    </row>
    <row r="11931">
      <c r="A11931" s="11" t="s">
        <v>11962</v>
      </c>
    </row>
    <row r="11932">
      <c r="A11932" s="11" t="s">
        <v>11963</v>
      </c>
    </row>
    <row r="11933">
      <c r="A11933" s="11" t="s">
        <v>11964</v>
      </c>
    </row>
    <row r="11934">
      <c r="A11934" s="11" t="s">
        <v>11965</v>
      </c>
    </row>
    <row r="11935">
      <c r="A11935" s="11" t="s">
        <v>11966</v>
      </c>
    </row>
    <row r="11936">
      <c r="A11936" s="11" t="s">
        <v>11967</v>
      </c>
    </row>
    <row r="11937">
      <c r="A11937" s="11" t="s">
        <v>11968</v>
      </c>
    </row>
    <row r="11938">
      <c r="A11938" s="11" t="s">
        <v>11969</v>
      </c>
    </row>
    <row r="11939">
      <c r="A11939" s="11" t="s">
        <v>11970</v>
      </c>
    </row>
    <row r="11940">
      <c r="A11940" s="11" t="s">
        <v>11971</v>
      </c>
    </row>
    <row r="11941">
      <c r="A11941" s="11" t="s">
        <v>11972</v>
      </c>
    </row>
    <row r="11942">
      <c r="A11942" s="11" t="s">
        <v>11973</v>
      </c>
    </row>
    <row r="11943">
      <c r="A11943" s="11" t="s">
        <v>11974</v>
      </c>
    </row>
    <row r="11944">
      <c r="A11944" s="11" t="s">
        <v>11975</v>
      </c>
    </row>
    <row r="11945">
      <c r="A11945" s="11" t="s">
        <v>11976</v>
      </c>
    </row>
    <row r="11946">
      <c r="A11946" s="11" t="s">
        <v>11977</v>
      </c>
    </row>
    <row r="11947">
      <c r="A11947" s="11" t="s">
        <v>11978</v>
      </c>
    </row>
    <row r="11948">
      <c r="A11948" s="11" t="s">
        <v>11979</v>
      </c>
    </row>
    <row r="11949">
      <c r="A11949" s="11" t="s">
        <v>11980</v>
      </c>
    </row>
    <row r="11950">
      <c r="A11950" s="11" t="s">
        <v>11981</v>
      </c>
    </row>
    <row r="11951">
      <c r="A11951" s="11" t="s">
        <v>11982</v>
      </c>
    </row>
    <row r="11952">
      <c r="A11952" s="11" t="s">
        <v>11983</v>
      </c>
    </row>
    <row r="11953">
      <c r="A11953" s="11" t="s">
        <v>11984</v>
      </c>
    </row>
    <row r="11954">
      <c r="A11954" s="11" t="s">
        <v>11985</v>
      </c>
    </row>
    <row r="11955">
      <c r="A11955" s="11" t="s">
        <v>11986</v>
      </c>
    </row>
    <row r="11956">
      <c r="A11956" s="11" t="s">
        <v>11987</v>
      </c>
    </row>
    <row r="11957">
      <c r="A11957" s="11" t="s">
        <v>11988</v>
      </c>
    </row>
    <row r="11958">
      <c r="A11958" s="11" t="s">
        <v>11989</v>
      </c>
    </row>
    <row r="11959">
      <c r="A11959" s="11" t="s">
        <v>11990</v>
      </c>
    </row>
    <row r="11960">
      <c r="A11960" s="11" t="s">
        <v>11991</v>
      </c>
    </row>
    <row r="11961">
      <c r="A11961" s="11" t="s">
        <v>11992</v>
      </c>
    </row>
    <row r="11962">
      <c r="A11962" s="11" t="s">
        <v>11993</v>
      </c>
    </row>
    <row r="11963">
      <c r="A11963" s="11" t="s">
        <v>11994</v>
      </c>
    </row>
    <row r="11964">
      <c r="A11964" s="11" t="s">
        <v>11995</v>
      </c>
    </row>
    <row r="11965">
      <c r="A11965" s="11" t="s">
        <v>11996</v>
      </c>
    </row>
    <row r="11966">
      <c r="A11966" s="11" t="s">
        <v>11997</v>
      </c>
    </row>
    <row r="11967">
      <c r="A11967" s="11" t="s">
        <v>11998</v>
      </c>
    </row>
    <row r="11968">
      <c r="A11968" s="11" t="s">
        <v>11999</v>
      </c>
    </row>
    <row r="11969">
      <c r="A11969" s="11" t="s">
        <v>12000</v>
      </c>
    </row>
    <row r="11970">
      <c r="A11970" s="11" t="s">
        <v>12001</v>
      </c>
    </row>
    <row r="11971">
      <c r="A11971" s="11" t="s">
        <v>12002</v>
      </c>
    </row>
    <row r="11972">
      <c r="A11972" s="11" t="s">
        <v>12003</v>
      </c>
    </row>
    <row r="11973">
      <c r="A11973" s="11" t="s">
        <v>12004</v>
      </c>
    </row>
    <row r="11974">
      <c r="A11974" s="11" t="s">
        <v>12005</v>
      </c>
    </row>
    <row r="11975">
      <c r="A11975" s="11" t="s">
        <v>12006</v>
      </c>
    </row>
    <row r="11976">
      <c r="A11976" s="11" t="s">
        <v>12007</v>
      </c>
    </row>
    <row r="11977">
      <c r="A11977" s="11" t="s">
        <v>12008</v>
      </c>
    </row>
    <row r="11978">
      <c r="A11978" s="11" t="s">
        <v>12009</v>
      </c>
    </row>
    <row r="11979">
      <c r="A11979" s="11" t="s">
        <v>12010</v>
      </c>
    </row>
    <row r="11980">
      <c r="A11980" s="11" t="s">
        <v>12011</v>
      </c>
    </row>
    <row r="11981">
      <c r="A11981" s="11" t="s">
        <v>12012</v>
      </c>
    </row>
    <row r="11982">
      <c r="A11982" s="11" t="s">
        <v>12013</v>
      </c>
    </row>
    <row r="11983">
      <c r="A11983" s="11" t="s">
        <v>12014</v>
      </c>
    </row>
    <row r="11984">
      <c r="A11984" s="11" t="s">
        <v>12015</v>
      </c>
    </row>
    <row r="11985">
      <c r="A11985" s="11" t="s">
        <v>12016</v>
      </c>
    </row>
    <row r="11986">
      <c r="A11986" s="11" t="s">
        <v>12017</v>
      </c>
    </row>
    <row r="11987">
      <c r="A11987" s="11" t="s">
        <v>12018</v>
      </c>
    </row>
    <row r="11988">
      <c r="A11988" s="11" t="s">
        <v>12019</v>
      </c>
    </row>
    <row r="11989">
      <c r="A11989" s="11" t="s">
        <v>12020</v>
      </c>
    </row>
    <row r="11990">
      <c r="A11990" s="11" t="s">
        <v>12021</v>
      </c>
    </row>
    <row r="11991">
      <c r="A11991" s="11" t="s">
        <v>12022</v>
      </c>
    </row>
    <row r="11992">
      <c r="A11992" s="11" t="s">
        <v>12023</v>
      </c>
    </row>
    <row r="11993">
      <c r="A11993" s="11" t="s">
        <v>12024</v>
      </c>
    </row>
    <row r="11994">
      <c r="A11994" s="11" t="s">
        <v>12025</v>
      </c>
    </row>
    <row r="11995">
      <c r="A11995" s="11" t="s">
        <v>12026</v>
      </c>
    </row>
    <row r="11996">
      <c r="A11996" s="11" t="s">
        <v>12027</v>
      </c>
    </row>
    <row r="11997">
      <c r="A11997" s="11" t="s">
        <v>12028</v>
      </c>
    </row>
    <row r="11998">
      <c r="A11998" s="11" t="s">
        <v>12029</v>
      </c>
    </row>
    <row r="11999">
      <c r="A11999" s="11" t="s">
        <v>12030</v>
      </c>
    </row>
    <row r="12000">
      <c r="A12000" s="11" t="s">
        <v>12031</v>
      </c>
    </row>
    <row r="12001">
      <c r="A12001" s="11" t="s">
        <v>12032</v>
      </c>
    </row>
    <row r="12002">
      <c r="A12002" s="11" t="s">
        <v>12033</v>
      </c>
    </row>
    <row r="12003">
      <c r="A12003" s="11" t="s">
        <v>12034</v>
      </c>
    </row>
    <row r="12004">
      <c r="A12004" s="11" t="s">
        <v>12035</v>
      </c>
    </row>
    <row r="12005">
      <c r="A12005" s="11" t="s">
        <v>12036</v>
      </c>
    </row>
    <row r="12006">
      <c r="A12006" s="11" t="s">
        <v>12037</v>
      </c>
    </row>
    <row r="12007">
      <c r="A12007" s="11" t="s">
        <v>12038</v>
      </c>
    </row>
    <row r="12008">
      <c r="A12008" s="11" t="s">
        <v>12039</v>
      </c>
    </row>
    <row r="12009">
      <c r="A12009" s="11" t="s">
        <v>12040</v>
      </c>
    </row>
    <row r="12010">
      <c r="A12010" s="11" t="s">
        <v>12041</v>
      </c>
    </row>
    <row r="12011">
      <c r="A12011" s="11" t="s">
        <v>12042</v>
      </c>
    </row>
    <row r="12012">
      <c r="A12012" s="11" t="s">
        <v>12043</v>
      </c>
    </row>
    <row r="12013">
      <c r="A12013" s="11" t="s">
        <v>12044</v>
      </c>
    </row>
    <row r="12014">
      <c r="A12014" s="11" t="s">
        <v>12045</v>
      </c>
    </row>
    <row r="12015">
      <c r="A12015" s="11" t="s">
        <v>12046</v>
      </c>
    </row>
    <row r="12016">
      <c r="A12016" s="11" t="s">
        <v>12047</v>
      </c>
    </row>
    <row r="12017">
      <c r="A12017" s="11" t="s">
        <v>12048</v>
      </c>
    </row>
    <row r="12018">
      <c r="A12018" s="11" t="s">
        <v>12049</v>
      </c>
    </row>
    <row r="12019">
      <c r="A12019" s="11" t="s">
        <v>12050</v>
      </c>
    </row>
    <row r="12020">
      <c r="A12020" s="11" t="s">
        <v>12051</v>
      </c>
    </row>
    <row r="12021">
      <c r="A12021" s="11" t="s">
        <v>12052</v>
      </c>
    </row>
    <row r="12022">
      <c r="A12022" s="11" t="s">
        <v>12053</v>
      </c>
    </row>
    <row r="12023">
      <c r="A12023" s="11" t="s">
        <v>12054</v>
      </c>
    </row>
    <row r="12024">
      <c r="A12024" s="11" t="s">
        <v>12055</v>
      </c>
    </row>
    <row r="12025">
      <c r="A12025" s="11" t="s">
        <v>12056</v>
      </c>
    </row>
    <row r="12026">
      <c r="A12026" s="11" t="s">
        <v>12057</v>
      </c>
    </row>
    <row r="12027">
      <c r="A12027" s="11" t="s">
        <v>12058</v>
      </c>
    </row>
    <row r="12028">
      <c r="A12028" s="11" t="s">
        <v>12059</v>
      </c>
    </row>
    <row r="12029">
      <c r="A12029" s="11" t="s">
        <v>12060</v>
      </c>
    </row>
    <row r="12030">
      <c r="A12030" s="11" t="s">
        <v>12061</v>
      </c>
    </row>
    <row r="12031">
      <c r="A12031" s="11" t="s">
        <v>12062</v>
      </c>
    </row>
    <row r="12032">
      <c r="A12032" s="11" t="s">
        <v>12063</v>
      </c>
    </row>
    <row r="12033">
      <c r="A12033" s="11" t="s">
        <v>12064</v>
      </c>
    </row>
    <row r="12034">
      <c r="A12034" s="11" t="s">
        <v>12065</v>
      </c>
    </row>
    <row r="12035">
      <c r="A12035" s="11" t="s">
        <v>12066</v>
      </c>
    </row>
    <row r="12036">
      <c r="A12036" s="11" t="s">
        <v>12067</v>
      </c>
    </row>
    <row r="12037">
      <c r="A12037" s="11" t="s">
        <v>12068</v>
      </c>
    </row>
    <row r="12038">
      <c r="A12038" s="11" t="s">
        <v>12069</v>
      </c>
    </row>
    <row r="12039">
      <c r="A12039" s="11" t="s">
        <v>12070</v>
      </c>
    </row>
    <row r="12040">
      <c r="A12040" s="11" t="s">
        <v>12071</v>
      </c>
    </row>
    <row r="12041">
      <c r="A12041" s="11" t="s">
        <v>12072</v>
      </c>
    </row>
    <row r="12042">
      <c r="A12042" s="11" t="s">
        <v>12073</v>
      </c>
    </row>
    <row r="12043">
      <c r="A12043" s="11" t="s">
        <v>12074</v>
      </c>
    </row>
    <row r="12044">
      <c r="A12044" s="11" t="s">
        <v>12075</v>
      </c>
    </row>
    <row r="12045">
      <c r="A12045" s="11" t="s">
        <v>12076</v>
      </c>
    </row>
    <row r="12046">
      <c r="A12046" s="11" t="s">
        <v>12077</v>
      </c>
    </row>
    <row r="12047">
      <c r="A12047" s="11" t="s">
        <v>12078</v>
      </c>
    </row>
    <row r="12048">
      <c r="A12048" s="11" t="s">
        <v>12079</v>
      </c>
    </row>
    <row r="12049">
      <c r="A12049" s="11" t="s">
        <v>12080</v>
      </c>
    </row>
    <row r="12050">
      <c r="A12050" s="11" t="s">
        <v>12081</v>
      </c>
    </row>
    <row r="12051">
      <c r="A12051" s="11" t="s">
        <v>12082</v>
      </c>
    </row>
    <row r="12052">
      <c r="A12052" s="11" t="s">
        <v>12083</v>
      </c>
    </row>
    <row r="12053">
      <c r="A12053" s="11" t="s">
        <v>12084</v>
      </c>
    </row>
    <row r="12054">
      <c r="A12054" s="11" t="s">
        <v>12085</v>
      </c>
    </row>
    <row r="12055">
      <c r="A12055" s="11" t="s">
        <v>12086</v>
      </c>
    </row>
    <row r="12056">
      <c r="A12056" s="11" t="s">
        <v>12087</v>
      </c>
    </row>
    <row r="12057">
      <c r="A12057" s="11" t="s">
        <v>12088</v>
      </c>
    </row>
    <row r="12058">
      <c r="A12058" s="11" t="s">
        <v>12089</v>
      </c>
    </row>
    <row r="12059">
      <c r="A12059" s="11" t="s">
        <v>12090</v>
      </c>
    </row>
    <row r="12060">
      <c r="A12060" s="11" t="s">
        <v>12091</v>
      </c>
    </row>
    <row r="12061">
      <c r="A12061" s="11" t="s">
        <v>12092</v>
      </c>
    </row>
    <row r="12062">
      <c r="A12062" s="11" t="s">
        <v>12093</v>
      </c>
    </row>
    <row r="12063">
      <c r="A12063" s="11" t="s">
        <v>12094</v>
      </c>
    </row>
    <row r="12064">
      <c r="A12064" s="11" t="s">
        <v>12095</v>
      </c>
    </row>
    <row r="12065">
      <c r="A12065" s="11" t="s">
        <v>12096</v>
      </c>
    </row>
    <row r="12066">
      <c r="A12066" s="11" t="s">
        <v>12097</v>
      </c>
    </row>
    <row r="12067">
      <c r="A12067" s="11" t="s">
        <v>12098</v>
      </c>
    </row>
    <row r="12068">
      <c r="A12068" s="11" t="s">
        <v>12099</v>
      </c>
    </row>
    <row r="12069">
      <c r="A12069" s="11" t="s">
        <v>12100</v>
      </c>
    </row>
    <row r="12070">
      <c r="A12070" s="11" t="s">
        <v>12101</v>
      </c>
    </row>
    <row r="12071">
      <c r="A12071" s="11" t="s">
        <v>12102</v>
      </c>
    </row>
    <row r="12072">
      <c r="A12072" s="11" t="s">
        <v>12103</v>
      </c>
    </row>
    <row r="12073">
      <c r="A12073" s="11" t="s">
        <v>12104</v>
      </c>
    </row>
    <row r="12074">
      <c r="A12074" s="11" t="s">
        <v>12105</v>
      </c>
    </row>
    <row r="12075">
      <c r="A12075" s="11" t="s">
        <v>12106</v>
      </c>
    </row>
    <row r="12076">
      <c r="A12076" s="11" t="s">
        <v>12107</v>
      </c>
    </row>
    <row r="12077">
      <c r="A12077" s="11" t="s">
        <v>12108</v>
      </c>
    </row>
    <row r="12078">
      <c r="A12078" s="11" t="s">
        <v>12109</v>
      </c>
    </row>
    <row r="12079">
      <c r="A12079" s="11" t="s">
        <v>12110</v>
      </c>
    </row>
    <row r="12080">
      <c r="A12080" s="11" t="s">
        <v>12111</v>
      </c>
    </row>
    <row r="12081">
      <c r="A12081" s="11" t="s">
        <v>12112</v>
      </c>
    </row>
    <row r="12082">
      <c r="A12082" s="11" t="s">
        <v>12113</v>
      </c>
    </row>
    <row r="12083">
      <c r="A12083" s="11" t="s">
        <v>12114</v>
      </c>
    </row>
    <row r="12084">
      <c r="A12084" s="11" t="s">
        <v>12115</v>
      </c>
    </row>
    <row r="12085">
      <c r="A12085" s="11" t="s">
        <v>12116</v>
      </c>
    </row>
    <row r="12086">
      <c r="A12086" s="11" t="s">
        <v>12117</v>
      </c>
    </row>
    <row r="12087">
      <c r="A12087" s="11" t="s">
        <v>12118</v>
      </c>
    </row>
    <row r="12088">
      <c r="A12088" s="11" t="s">
        <v>12119</v>
      </c>
    </row>
    <row r="12089">
      <c r="A12089" s="11" t="s">
        <v>12120</v>
      </c>
    </row>
    <row r="12090">
      <c r="A12090" s="11" t="s">
        <v>12121</v>
      </c>
    </row>
    <row r="12091">
      <c r="A12091" s="11" t="s">
        <v>12122</v>
      </c>
    </row>
    <row r="12092">
      <c r="A12092" s="11" t="s">
        <v>12123</v>
      </c>
    </row>
    <row r="12093">
      <c r="A12093" s="11" t="s">
        <v>12124</v>
      </c>
    </row>
    <row r="12094">
      <c r="A12094" s="11" t="s">
        <v>12125</v>
      </c>
    </row>
    <row r="12095">
      <c r="A12095" s="11" t="s">
        <v>12126</v>
      </c>
    </row>
    <row r="12096">
      <c r="A12096" s="11" t="s">
        <v>12127</v>
      </c>
    </row>
    <row r="12097">
      <c r="A12097" s="11" t="s">
        <v>12128</v>
      </c>
    </row>
    <row r="12098">
      <c r="A12098" s="11" t="s">
        <v>12129</v>
      </c>
    </row>
    <row r="12099">
      <c r="A12099" s="11" t="s">
        <v>12130</v>
      </c>
    </row>
    <row r="12100">
      <c r="A12100" s="11" t="s">
        <v>12131</v>
      </c>
    </row>
    <row r="12101">
      <c r="A12101" s="11" t="s">
        <v>12132</v>
      </c>
    </row>
    <row r="12102">
      <c r="A12102" s="11" t="s">
        <v>12133</v>
      </c>
    </row>
    <row r="12103">
      <c r="A12103" s="11" t="s">
        <v>12134</v>
      </c>
    </row>
    <row r="12104">
      <c r="A12104" s="11" t="s">
        <v>12135</v>
      </c>
    </row>
    <row r="12105">
      <c r="A12105" s="11" t="s">
        <v>12136</v>
      </c>
    </row>
    <row r="12106">
      <c r="A12106" s="11" t="s">
        <v>12137</v>
      </c>
    </row>
    <row r="12107">
      <c r="A12107" s="11" t="s">
        <v>12138</v>
      </c>
    </row>
    <row r="12108">
      <c r="A12108" s="11" t="s">
        <v>12139</v>
      </c>
    </row>
    <row r="12109">
      <c r="A12109" s="11" t="s">
        <v>12140</v>
      </c>
    </row>
    <row r="12110">
      <c r="A12110" s="11" t="s">
        <v>12141</v>
      </c>
    </row>
    <row r="12111">
      <c r="A12111" s="11" t="s">
        <v>12142</v>
      </c>
    </row>
    <row r="12112">
      <c r="A12112" s="11" t="s">
        <v>12143</v>
      </c>
    </row>
    <row r="12113">
      <c r="A12113" s="11" t="s">
        <v>12144</v>
      </c>
    </row>
    <row r="12114">
      <c r="A12114" s="11" t="s">
        <v>12145</v>
      </c>
    </row>
    <row r="12115">
      <c r="A12115" s="11" t="s">
        <v>12146</v>
      </c>
    </row>
    <row r="12116">
      <c r="A12116" s="11" t="s">
        <v>12147</v>
      </c>
    </row>
    <row r="12117">
      <c r="A12117" s="11" t="s">
        <v>12148</v>
      </c>
    </row>
    <row r="12118">
      <c r="A12118" s="11" t="s">
        <v>12149</v>
      </c>
    </row>
    <row r="12119">
      <c r="A12119" s="11" t="s">
        <v>12150</v>
      </c>
    </row>
    <row r="12120">
      <c r="A12120" s="11" t="s">
        <v>12151</v>
      </c>
    </row>
    <row r="12121">
      <c r="A12121" s="11" t="s">
        <v>12152</v>
      </c>
    </row>
    <row r="12122">
      <c r="A12122" s="11" t="s">
        <v>12153</v>
      </c>
    </row>
    <row r="12123">
      <c r="A12123" s="11" t="s">
        <v>12154</v>
      </c>
    </row>
    <row r="12124">
      <c r="A12124" s="11" t="s">
        <v>12155</v>
      </c>
    </row>
    <row r="12125">
      <c r="A12125" s="11" t="s">
        <v>12156</v>
      </c>
    </row>
    <row r="12126">
      <c r="A12126" s="11" t="s">
        <v>12157</v>
      </c>
    </row>
    <row r="12127">
      <c r="A12127" s="11" t="s">
        <v>12158</v>
      </c>
    </row>
    <row r="12128">
      <c r="A12128" s="11" t="s">
        <v>12159</v>
      </c>
    </row>
    <row r="12129">
      <c r="A12129" s="11" t="s">
        <v>12160</v>
      </c>
    </row>
    <row r="12130">
      <c r="A12130" s="11" t="s">
        <v>12161</v>
      </c>
    </row>
    <row r="12131">
      <c r="A12131" s="11" t="s">
        <v>12162</v>
      </c>
    </row>
    <row r="12132">
      <c r="A12132" s="11" t="s">
        <v>12163</v>
      </c>
    </row>
    <row r="12133">
      <c r="A12133" s="11" t="s">
        <v>12164</v>
      </c>
    </row>
    <row r="12134">
      <c r="A12134" s="11" t="s">
        <v>12165</v>
      </c>
    </row>
    <row r="12135">
      <c r="A12135" s="11" t="s">
        <v>12166</v>
      </c>
    </row>
    <row r="12136">
      <c r="A12136" s="11" t="s">
        <v>12167</v>
      </c>
    </row>
    <row r="12137">
      <c r="A12137" s="11" t="s">
        <v>12168</v>
      </c>
    </row>
    <row r="12138">
      <c r="A12138" s="11" t="s">
        <v>12169</v>
      </c>
    </row>
    <row r="12139">
      <c r="A12139" s="11" t="s">
        <v>12170</v>
      </c>
    </row>
    <row r="12140">
      <c r="A12140" s="11" t="s">
        <v>12171</v>
      </c>
    </row>
    <row r="12141">
      <c r="A12141" s="11" t="s">
        <v>12172</v>
      </c>
    </row>
    <row r="12142">
      <c r="A12142" s="11" t="s">
        <v>12173</v>
      </c>
    </row>
    <row r="12143">
      <c r="A12143" s="11" t="s">
        <v>12174</v>
      </c>
    </row>
    <row r="12144">
      <c r="A12144" s="11" t="s">
        <v>12175</v>
      </c>
    </row>
    <row r="12145">
      <c r="A12145" s="11" t="s">
        <v>12176</v>
      </c>
    </row>
    <row r="12146">
      <c r="A12146" s="11" t="s">
        <v>12177</v>
      </c>
    </row>
    <row r="12147">
      <c r="A12147" s="11" t="s">
        <v>12178</v>
      </c>
    </row>
    <row r="12148">
      <c r="A12148" s="11" t="s">
        <v>12179</v>
      </c>
    </row>
    <row r="12149">
      <c r="A12149" s="11" t="s">
        <v>12180</v>
      </c>
    </row>
    <row r="12150">
      <c r="A12150" s="11" t="s">
        <v>12181</v>
      </c>
    </row>
    <row r="12151">
      <c r="A12151" s="11" t="s">
        <v>12182</v>
      </c>
    </row>
    <row r="12152">
      <c r="A12152" s="11" t="s">
        <v>12183</v>
      </c>
    </row>
    <row r="12153">
      <c r="A12153" s="11" t="s">
        <v>12184</v>
      </c>
    </row>
    <row r="12154">
      <c r="A12154" s="11" t="s">
        <v>12185</v>
      </c>
    </row>
    <row r="12155">
      <c r="A12155" s="11" t="s">
        <v>12186</v>
      </c>
    </row>
    <row r="12156">
      <c r="A12156" s="11" t="s">
        <v>12187</v>
      </c>
    </row>
    <row r="12157">
      <c r="A12157" s="11" t="s">
        <v>12188</v>
      </c>
    </row>
    <row r="12158">
      <c r="A12158" s="11" t="s">
        <v>12189</v>
      </c>
    </row>
    <row r="12159">
      <c r="A12159" s="11" t="s">
        <v>12190</v>
      </c>
    </row>
    <row r="12160">
      <c r="A12160" s="11" t="s">
        <v>12191</v>
      </c>
    </row>
    <row r="12161">
      <c r="A12161" s="11" t="s">
        <v>12192</v>
      </c>
    </row>
    <row r="12162">
      <c r="A12162" s="11" t="s">
        <v>12193</v>
      </c>
    </row>
    <row r="12163">
      <c r="A12163" s="11" t="s">
        <v>12194</v>
      </c>
    </row>
    <row r="12164">
      <c r="A12164" s="11" t="s">
        <v>12195</v>
      </c>
    </row>
    <row r="12165">
      <c r="A12165" s="11" t="s">
        <v>12196</v>
      </c>
    </row>
    <row r="12166">
      <c r="A12166" s="11" t="s">
        <v>12197</v>
      </c>
    </row>
    <row r="12167">
      <c r="A12167" s="11" t="s">
        <v>12198</v>
      </c>
    </row>
    <row r="12168">
      <c r="A12168" s="11" t="s">
        <v>12199</v>
      </c>
    </row>
    <row r="12169">
      <c r="A12169" s="11" t="s">
        <v>12200</v>
      </c>
    </row>
    <row r="12170">
      <c r="A12170" s="11" t="s">
        <v>12201</v>
      </c>
    </row>
    <row r="12171">
      <c r="A12171" s="11" t="s">
        <v>12202</v>
      </c>
    </row>
    <row r="12172">
      <c r="A12172" s="11" t="s">
        <v>12203</v>
      </c>
    </row>
    <row r="12173">
      <c r="A12173" s="11" t="s">
        <v>12204</v>
      </c>
    </row>
    <row r="12174">
      <c r="A12174" s="11" t="s">
        <v>12205</v>
      </c>
    </row>
    <row r="12175">
      <c r="A12175" s="11" t="s">
        <v>12206</v>
      </c>
    </row>
    <row r="12176">
      <c r="A12176" s="11" t="s">
        <v>12207</v>
      </c>
    </row>
    <row r="12177">
      <c r="A12177" s="11" t="s">
        <v>12208</v>
      </c>
    </row>
    <row r="12178">
      <c r="A12178" s="11" t="s">
        <v>12209</v>
      </c>
    </row>
    <row r="12179">
      <c r="A12179" s="11" t="s">
        <v>12210</v>
      </c>
    </row>
    <row r="12180">
      <c r="A12180" s="11" t="s">
        <v>12211</v>
      </c>
    </row>
    <row r="12181">
      <c r="A12181" s="11" t="s">
        <v>12212</v>
      </c>
    </row>
    <row r="12182">
      <c r="A12182" s="11" t="s">
        <v>12213</v>
      </c>
    </row>
    <row r="12183">
      <c r="A12183" s="11" t="s">
        <v>12214</v>
      </c>
    </row>
    <row r="12184">
      <c r="A12184" s="11" t="s">
        <v>12215</v>
      </c>
    </row>
    <row r="12185">
      <c r="A12185" s="11" t="s">
        <v>12216</v>
      </c>
    </row>
    <row r="12186">
      <c r="A12186" s="11" t="s">
        <v>12217</v>
      </c>
    </row>
    <row r="12187">
      <c r="A12187" s="11" t="s">
        <v>12218</v>
      </c>
    </row>
    <row r="12188">
      <c r="A12188" s="11" t="s">
        <v>12219</v>
      </c>
    </row>
    <row r="12189">
      <c r="A12189" s="11" t="s">
        <v>12220</v>
      </c>
    </row>
    <row r="12190">
      <c r="A12190" s="11" t="s">
        <v>12221</v>
      </c>
    </row>
    <row r="12191">
      <c r="A12191" s="11" t="s">
        <v>12222</v>
      </c>
    </row>
    <row r="12192">
      <c r="A12192" s="11" t="s">
        <v>12223</v>
      </c>
    </row>
    <row r="12193">
      <c r="A12193" s="11" t="s">
        <v>12224</v>
      </c>
    </row>
    <row r="12194">
      <c r="A12194" s="11" t="s">
        <v>12225</v>
      </c>
    </row>
    <row r="12195">
      <c r="A12195" s="11" t="s">
        <v>12226</v>
      </c>
    </row>
    <row r="12196">
      <c r="A12196" s="11" t="s">
        <v>12227</v>
      </c>
    </row>
    <row r="12197">
      <c r="A12197" s="11" t="s">
        <v>12228</v>
      </c>
    </row>
    <row r="12198">
      <c r="A12198" s="11" t="s">
        <v>12229</v>
      </c>
    </row>
    <row r="12199">
      <c r="A12199" s="11" t="s">
        <v>12230</v>
      </c>
    </row>
    <row r="12200">
      <c r="A12200" s="11" t="s">
        <v>12231</v>
      </c>
    </row>
    <row r="12201">
      <c r="A12201" s="11" t="s">
        <v>12232</v>
      </c>
    </row>
    <row r="12202">
      <c r="A12202" s="11" t="s">
        <v>12233</v>
      </c>
    </row>
    <row r="12203">
      <c r="A12203" s="11" t="s">
        <v>12234</v>
      </c>
    </row>
    <row r="12204">
      <c r="A12204" s="11" t="s">
        <v>12235</v>
      </c>
    </row>
    <row r="12205">
      <c r="A12205" s="11" t="s">
        <v>12236</v>
      </c>
    </row>
    <row r="12206">
      <c r="A12206" s="11" t="s">
        <v>12237</v>
      </c>
    </row>
    <row r="12207">
      <c r="A12207" s="11" t="s">
        <v>12238</v>
      </c>
    </row>
    <row r="12208">
      <c r="A12208" s="11" t="s">
        <v>12239</v>
      </c>
    </row>
    <row r="12209">
      <c r="A12209" s="11" t="s">
        <v>12240</v>
      </c>
    </row>
    <row r="12210">
      <c r="A12210" s="11" t="s">
        <v>12241</v>
      </c>
    </row>
    <row r="12211">
      <c r="A12211" s="11" t="s">
        <v>12242</v>
      </c>
    </row>
    <row r="12212">
      <c r="A12212" s="11" t="s">
        <v>12243</v>
      </c>
    </row>
    <row r="12213">
      <c r="A12213" s="11" t="s">
        <v>12244</v>
      </c>
    </row>
    <row r="12214">
      <c r="A12214" s="11" t="s">
        <v>12245</v>
      </c>
    </row>
    <row r="12215">
      <c r="A12215" s="11" t="s">
        <v>12246</v>
      </c>
    </row>
    <row r="12216">
      <c r="A12216" s="11" t="s">
        <v>12247</v>
      </c>
    </row>
    <row r="12217">
      <c r="A12217" s="11" t="s">
        <v>12248</v>
      </c>
    </row>
    <row r="12218">
      <c r="A12218" s="11" t="s">
        <v>12249</v>
      </c>
    </row>
    <row r="12219">
      <c r="A12219" s="11" t="s">
        <v>12250</v>
      </c>
    </row>
    <row r="12220">
      <c r="A12220" s="11" t="s">
        <v>12251</v>
      </c>
    </row>
    <row r="12221">
      <c r="A12221" s="11" t="s">
        <v>12252</v>
      </c>
    </row>
    <row r="12222">
      <c r="A12222" s="11" t="s">
        <v>12253</v>
      </c>
    </row>
    <row r="12223">
      <c r="A12223" s="11" t="s">
        <v>12254</v>
      </c>
    </row>
    <row r="12224">
      <c r="A12224" s="11" t="s">
        <v>12255</v>
      </c>
    </row>
    <row r="12225">
      <c r="A12225" s="11" t="s">
        <v>12256</v>
      </c>
    </row>
    <row r="12226">
      <c r="A12226" s="11" t="s">
        <v>12257</v>
      </c>
    </row>
    <row r="12227">
      <c r="A12227" s="11" t="s">
        <v>12258</v>
      </c>
    </row>
    <row r="12228">
      <c r="A12228" s="11" t="s">
        <v>12259</v>
      </c>
    </row>
    <row r="12229">
      <c r="A12229" s="11" t="s">
        <v>12260</v>
      </c>
    </row>
    <row r="12230">
      <c r="A12230" s="11" t="s">
        <v>12261</v>
      </c>
    </row>
    <row r="12231">
      <c r="A12231" s="11" t="s">
        <v>12262</v>
      </c>
    </row>
    <row r="12232">
      <c r="A12232" s="11" t="s">
        <v>12263</v>
      </c>
    </row>
    <row r="12233">
      <c r="A12233" s="11" t="s">
        <v>12264</v>
      </c>
    </row>
    <row r="12234">
      <c r="A12234" s="11" t="s">
        <v>12265</v>
      </c>
    </row>
    <row r="12235">
      <c r="A12235" s="11" t="s">
        <v>12266</v>
      </c>
    </row>
    <row r="12236">
      <c r="A12236" s="11" t="s">
        <v>12267</v>
      </c>
    </row>
    <row r="12237">
      <c r="A12237" s="11" t="s">
        <v>12268</v>
      </c>
    </row>
    <row r="12238">
      <c r="A12238" s="11" t="s">
        <v>12269</v>
      </c>
    </row>
    <row r="12239">
      <c r="A12239" s="11" t="s">
        <v>12270</v>
      </c>
    </row>
    <row r="12240">
      <c r="A12240" s="11" t="s">
        <v>12271</v>
      </c>
    </row>
    <row r="12241">
      <c r="A12241" s="11" t="s">
        <v>12272</v>
      </c>
    </row>
    <row r="12242">
      <c r="A12242" s="11" t="s">
        <v>12273</v>
      </c>
    </row>
    <row r="12243">
      <c r="A12243" s="11" t="s">
        <v>12274</v>
      </c>
    </row>
    <row r="12244">
      <c r="A12244" s="11" t="s">
        <v>12275</v>
      </c>
    </row>
    <row r="12245">
      <c r="A12245" s="11" t="s">
        <v>12276</v>
      </c>
    </row>
    <row r="12246">
      <c r="A12246" s="11" t="s">
        <v>12277</v>
      </c>
    </row>
    <row r="12247">
      <c r="A12247" s="11" t="s">
        <v>12278</v>
      </c>
    </row>
    <row r="12248">
      <c r="A12248" s="11" t="s">
        <v>12279</v>
      </c>
    </row>
    <row r="12249">
      <c r="A12249" s="11" t="s">
        <v>12280</v>
      </c>
    </row>
    <row r="12250">
      <c r="A12250" s="11" t="s">
        <v>12281</v>
      </c>
    </row>
    <row r="12251">
      <c r="A12251" s="11" t="s">
        <v>12282</v>
      </c>
    </row>
    <row r="12252">
      <c r="A12252" s="11" t="s">
        <v>12283</v>
      </c>
    </row>
    <row r="12253">
      <c r="A12253" s="11" t="s">
        <v>12284</v>
      </c>
    </row>
    <row r="12254">
      <c r="A12254" s="11" t="s">
        <v>12285</v>
      </c>
    </row>
    <row r="12255">
      <c r="A12255" s="11" t="s">
        <v>12286</v>
      </c>
    </row>
    <row r="12256">
      <c r="A12256" s="11" t="s">
        <v>12287</v>
      </c>
    </row>
    <row r="12257">
      <c r="A12257" s="11" t="s">
        <v>12288</v>
      </c>
    </row>
    <row r="12258">
      <c r="A12258" s="11" t="s">
        <v>12289</v>
      </c>
    </row>
    <row r="12259">
      <c r="A12259" s="11" t="s">
        <v>12290</v>
      </c>
    </row>
    <row r="12260">
      <c r="A12260" s="11" t="s">
        <v>12291</v>
      </c>
    </row>
    <row r="12261">
      <c r="A12261" s="11" t="s">
        <v>12292</v>
      </c>
    </row>
    <row r="12262">
      <c r="A12262" s="11" t="s">
        <v>12293</v>
      </c>
    </row>
    <row r="12263">
      <c r="A12263" s="11" t="s">
        <v>12294</v>
      </c>
    </row>
    <row r="12264">
      <c r="A12264" s="11" t="s">
        <v>12295</v>
      </c>
    </row>
    <row r="12265">
      <c r="A12265" s="11" t="s">
        <v>12296</v>
      </c>
    </row>
    <row r="12266">
      <c r="A12266" s="11" t="s">
        <v>12297</v>
      </c>
    </row>
    <row r="12267">
      <c r="A12267" s="11" t="s">
        <v>12298</v>
      </c>
    </row>
    <row r="12268">
      <c r="A12268" s="11" t="s">
        <v>12299</v>
      </c>
    </row>
    <row r="12269">
      <c r="A12269" s="11" t="s">
        <v>12300</v>
      </c>
    </row>
    <row r="12270">
      <c r="A12270" s="11" t="s">
        <v>12301</v>
      </c>
    </row>
    <row r="12271">
      <c r="A12271" s="11" t="s">
        <v>12302</v>
      </c>
    </row>
    <row r="12272">
      <c r="A12272" s="11" t="s">
        <v>12303</v>
      </c>
    </row>
    <row r="12273">
      <c r="A12273" s="11" t="s">
        <v>12304</v>
      </c>
    </row>
    <row r="12274">
      <c r="A12274" s="11" t="s">
        <v>12305</v>
      </c>
    </row>
    <row r="12275">
      <c r="A12275" s="11" t="s">
        <v>12306</v>
      </c>
    </row>
    <row r="12276">
      <c r="A12276" s="11" t="s">
        <v>12307</v>
      </c>
    </row>
    <row r="12277">
      <c r="A12277" s="11" t="s">
        <v>12308</v>
      </c>
    </row>
    <row r="12278">
      <c r="A12278" s="11" t="s">
        <v>12309</v>
      </c>
    </row>
    <row r="12279">
      <c r="A12279" s="11" t="s">
        <v>12310</v>
      </c>
    </row>
    <row r="12280">
      <c r="A12280" s="11" t="s">
        <v>12311</v>
      </c>
    </row>
    <row r="12281">
      <c r="A12281" s="11" t="s">
        <v>12312</v>
      </c>
    </row>
    <row r="12282">
      <c r="A12282" s="11" t="s">
        <v>12313</v>
      </c>
    </row>
    <row r="12283">
      <c r="A12283" s="11" t="s">
        <v>12314</v>
      </c>
    </row>
    <row r="12284">
      <c r="A12284" s="11" t="s">
        <v>12315</v>
      </c>
    </row>
    <row r="12285">
      <c r="A12285" s="11" t="s">
        <v>12316</v>
      </c>
    </row>
    <row r="12286">
      <c r="A12286" s="11" t="s">
        <v>12317</v>
      </c>
    </row>
    <row r="12287">
      <c r="A12287" s="11" t="s">
        <v>12318</v>
      </c>
    </row>
    <row r="12288">
      <c r="A12288" s="11" t="s">
        <v>12319</v>
      </c>
    </row>
    <row r="12289">
      <c r="A12289" s="11" t="s">
        <v>12320</v>
      </c>
    </row>
    <row r="12290">
      <c r="A12290" s="11" t="s">
        <v>12321</v>
      </c>
    </row>
    <row r="12291">
      <c r="A12291" s="11" t="s">
        <v>12322</v>
      </c>
    </row>
    <row r="12292">
      <c r="A12292" s="11" t="s">
        <v>12323</v>
      </c>
    </row>
    <row r="12293">
      <c r="A12293" s="11" t="s">
        <v>12324</v>
      </c>
    </row>
    <row r="12294">
      <c r="A12294" s="11" t="s">
        <v>12325</v>
      </c>
    </row>
    <row r="12295">
      <c r="A12295" s="11" t="s">
        <v>12326</v>
      </c>
    </row>
    <row r="12296">
      <c r="A12296" s="11" t="s">
        <v>12327</v>
      </c>
    </row>
    <row r="12297">
      <c r="A12297" s="11" t="s">
        <v>12328</v>
      </c>
    </row>
    <row r="12298">
      <c r="A12298" s="11" t="s">
        <v>12329</v>
      </c>
    </row>
    <row r="12299">
      <c r="A12299" s="11" t="s">
        <v>12330</v>
      </c>
    </row>
    <row r="12300">
      <c r="A12300" s="11" t="s">
        <v>12331</v>
      </c>
    </row>
    <row r="12301">
      <c r="A12301" s="11" t="s">
        <v>12332</v>
      </c>
    </row>
    <row r="12302">
      <c r="A12302" s="11" t="s">
        <v>12333</v>
      </c>
    </row>
    <row r="12303">
      <c r="A12303" s="11" t="s">
        <v>12334</v>
      </c>
    </row>
    <row r="12304">
      <c r="A12304" s="11" t="s">
        <v>12335</v>
      </c>
    </row>
    <row r="12305">
      <c r="A12305" s="11" t="s">
        <v>12336</v>
      </c>
    </row>
    <row r="12306">
      <c r="A12306" s="11" t="s">
        <v>12337</v>
      </c>
    </row>
    <row r="12307">
      <c r="A12307" s="11" t="s">
        <v>12338</v>
      </c>
    </row>
    <row r="12308">
      <c r="A12308" s="11" t="s">
        <v>12339</v>
      </c>
    </row>
    <row r="12309">
      <c r="A12309" s="11" t="s">
        <v>12340</v>
      </c>
    </row>
    <row r="12310">
      <c r="A12310" s="11" t="s">
        <v>12341</v>
      </c>
    </row>
    <row r="12311">
      <c r="A12311" s="11" t="s">
        <v>12342</v>
      </c>
    </row>
    <row r="12312">
      <c r="A12312" s="11" t="s">
        <v>12343</v>
      </c>
    </row>
    <row r="12313">
      <c r="A12313" s="11" t="s">
        <v>12344</v>
      </c>
    </row>
    <row r="12314">
      <c r="A12314" s="11" t="s">
        <v>12345</v>
      </c>
    </row>
    <row r="12315">
      <c r="A12315" s="11" t="s">
        <v>12346</v>
      </c>
    </row>
    <row r="12316">
      <c r="A12316" s="11" t="s">
        <v>12347</v>
      </c>
    </row>
    <row r="12317">
      <c r="A12317" s="11" t="s">
        <v>12348</v>
      </c>
    </row>
    <row r="12318">
      <c r="A12318" s="11" t="s">
        <v>12349</v>
      </c>
    </row>
    <row r="12319">
      <c r="A12319" s="11" t="s">
        <v>12350</v>
      </c>
    </row>
    <row r="12320">
      <c r="A12320" s="11" t="s">
        <v>12351</v>
      </c>
    </row>
    <row r="12321">
      <c r="A12321" s="11" t="s">
        <v>12352</v>
      </c>
    </row>
    <row r="12322">
      <c r="A12322" s="11" t="s">
        <v>12353</v>
      </c>
    </row>
    <row r="12323">
      <c r="A12323" s="11" t="s">
        <v>12354</v>
      </c>
    </row>
    <row r="12324">
      <c r="A12324" s="11" t="s">
        <v>12355</v>
      </c>
    </row>
    <row r="12325">
      <c r="A12325" s="11" t="s">
        <v>12356</v>
      </c>
    </row>
    <row r="12326">
      <c r="A12326" s="11" t="s">
        <v>12357</v>
      </c>
    </row>
    <row r="12327">
      <c r="A12327" s="11" t="s">
        <v>12358</v>
      </c>
    </row>
    <row r="12328">
      <c r="A12328" s="11" t="s">
        <v>12359</v>
      </c>
    </row>
    <row r="12329">
      <c r="A12329" s="11" t="s">
        <v>12360</v>
      </c>
    </row>
    <row r="12330">
      <c r="A12330" s="11" t="s">
        <v>12361</v>
      </c>
    </row>
    <row r="12331">
      <c r="A12331" s="11" t="s">
        <v>12362</v>
      </c>
    </row>
    <row r="12332">
      <c r="A12332" s="11" t="s">
        <v>12363</v>
      </c>
    </row>
    <row r="12333">
      <c r="A12333" s="11" t="s">
        <v>12364</v>
      </c>
    </row>
    <row r="12334">
      <c r="A12334" s="11" t="s">
        <v>12365</v>
      </c>
    </row>
    <row r="12335">
      <c r="A12335" s="11" t="s">
        <v>12366</v>
      </c>
    </row>
    <row r="12336">
      <c r="A12336" s="11" t="s">
        <v>12367</v>
      </c>
    </row>
    <row r="12337">
      <c r="A12337" s="11" t="s">
        <v>12368</v>
      </c>
    </row>
    <row r="12338">
      <c r="A12338" s="11" t="s">
        <v>12369</v>
      </c>
    </row>
    <row r="12339">
      <c r="A12339" s="11" t="s">
        <v>12370</v>
      </c>
    </row>
    <row r="12340">
      <c r="A12340" s="11" t="s">
        <v>12371</v>
      </c>
    </row>
    <row r="12341">
      <c r="A12341" s="11" t="s">
        <v>12372</v>
      </c>
    </row>
    <row r="12342">
      <c r="A12342" s="11" t="s">
        <v>12373</v>
      </c>
    </row>
    <row r="12343">
      <c r="A12343" s="11" t="s">
        <v>12374</v>
      </c>
    </row>
    <row r="12344">
      <c r="A12344" s="11" t="s">
        <v>12375</v>
      </c>
    </row>
    <row r="12345">
      <c r="A12345" s="11" t="s">
        <v>12376</v>
      </c>
    </row>
    <row r="12346">
      <c r="A12346" s="11" t="s">
        <v>12377</v>
      </c>
    </row>
    <row r="12347">
      <c r="A12347" s="11" t="s">
        <v>12378</v>
      </c>
    </row>
    <row r="12348">
      <c r="A12348" s="11" t="s">
        <v>12379</v>
      </c>
    </row>
    <row r="12349">
      <c r="A12349" s="11" t="s">
        <v>12380</v>
      </c>
    </row>
    <row r="12350">
      <c r="A12350" s="11" t="s">
        <v>12381</v>
      </c>
    </row>
    <row r="12351">
      <c r="A12351" s="11" t="s">
        <v>12382</v>
      </c>
    </row>
    <row r="12352">
      <c r="A12352" s="11" t="s">
        <v>12383</v>
      </c>
    </row>
    <row r="12353">
      <c r="A12353" s="11" t="s">
        <v>12384</v>
      </c>
    </row>
    <row r="12354">
      <c r="A12354" s="11" t="s">
        <v>12385</v>
      </c>
    </row>
    <row r="12355">
      <c r="A12355" s="11" t="s">
        <v>12386</v>
      </c>
    </row>
    <row r="12356">
      <c r="A12356" s="11" t="s">
        <v>12387</v>
      </c>
    </row>
    <row r="12357">
      <c r="A12357" s="11" t="s">
        <v>12388</v>
      </c>
    </row>
    <row r="12358">
      <c r="A12358" s="11" t="s">
        <v>12389</v>
      </c>
    </row>
    <row r="12359">
      <c r="A12359" s="11" t="s">
        <v>12390</v>
      </c>
    </row>
    <row r="12360">
      <c r="A12360" s="11" t="s">
        <v>12391</v>
      </c>
    </row>
    <row r="12361">
      <c r="A12361" s="11" t="s">
        <v>12392</v>
      </c>
    </row>
    <row r="12362">
      <c r="A12362" s="11" t="s">
        <v>12393</v>
      </c>
    </row>
    <row r="12363">
      <c r="A12363" s="11" t="s">
        <v>12394</v>
      </c>
    </row>
    <row r="12364">
      <c r="A12364" s="11" t="s">
        <v>12395</v>
      </c>
    </row>
    <row r="12365">
      <c r="A12365" s="11" t="s">
        <v>12396</v>
      </c>
    </row>
    <row r="12366">
      <c r="A12366" s="11" t="s">
        <v>12397</v>
      </c>
    </row>
    <row r="12367">
      <c r="A12367" s="11" t="s">
        <v>12398</v>
      </c>
    </row>
    <row r="12368">
      <c r="A12368" s="11" t="s">
        <v>12399</v>
      </c>
    </row>
    <row r="12369">
      <c r="A12369" s="11" t="s">
        <v>12400</v>
      </c>
    </row>
    <row r="12370">
      <c r="A12370" s="11" t="s">
        <v>12401</v>
      </c>
    </row>
    <row r="12371">
      <c r="A12371" s="11" t="s">
        <v>12402</v>
      </c>
    </row>
    <row r="12372">
      <c r="A12372" s="11" t="s">
        <v>12403</v>
      </c>
    </row>
    <row r="12373">
      <c r="A12373" s="11" t="s">
        <v>12404</v>
      </c>
    </row>
    <row r="12374">
      <c r="A12374" s="11" t="s">
        <v>12405</v>
      </c>
    </row>
    <row r="12375">
      <c r="A12375" s="11" t="s">
        <v>12406</v>
      </c>
    </row>
    <row r="12376">
      <c r="A12376" s="11" t="s">
        <v>12407</v>
      </c>
    </row>
    <row r="12377">
      <c r="A12377" s="11" t="s">
        <v>12408</v>
      </c>
    </row>
    <row r="12378">
      <c r="A12378" s="11" t="s">
        <v>12409</v>
      </c>
    </row>
    <row r="12379">
      <c r="A12379" s="11" t="s">
        <v>12410</v>
      </c>
    </row>
    <row r="12380">
      <c r="A12380" s="11" t="s">
        <v>12411</v>
      </c>
    </row>
    <row r="12381">
      <c r="A12381" s="11" t="s">
        <v>12412</v>
      </c>
    </row>
    <row r="12382">
      <c r="A12382" s="11" t="s">
        <v>12413</v>
      </c>
    </row>
    <row r="12383">
      <c r="A12383" s="11" t="s">
        <v>12414</v>
      </c>
    </row>
    <row r="12384">
      <c r="A12384" s="11" t="s">
        <v>12415</v>
      </c>
    </row>
    <row r="12385">
      <c r="A12385" s="11" t="s">
        <v>12416</v>
      </c>
    </row>
    <row r="12386">
      <c r="A12386" s="11" t="s">
        <v>12417</v>
      </c>
    </row>
    <row r="12387">
      <c r="A12387" s="11" t="s">
        <v>12418</v>
      </c>
    </row>
    <row r="12388">
      <c r="A12388" s="11" t="s">
        <v>12419</v>
      </c>
    </row>
    <row r="12389">
      <c r="A12389" s="11" t="s">
        <v>12420</v>
      </c>
    </row>
    <row r="12390">
      <c r="A12390" s="11" t="s">
        <v>12421</v>
      </c>
    </row>
    <row r="12391">
      <c r="A12391" s="11" t="s">
        <v>12422</v>
      </c>
    </row>
    <row r="12392">
      <c r="A12392" s="11" t="s">
        <v>12423</v>
      </c>
    </row>
    <row r="12393">
      <c r="A12393" s="11" t="s">
        <v>12424</v>
      </c>
    </row>
    <row r="12394">
      <c r="A12394" s="11" t="s">
        <v>12425</v>
      </c>
    </row>
    <row r="12395">
      <c r="A12395" s="11" t="s">
        <v>12426</v>
      </c>
    </row>
    <row r="12396">
      <c r="A12396" s="11" t="s">
        <v>12427</v>
      </c>
    </row>
    <row r="12397">
      <c r="A12397" s="11" t="s">
        <v>12428</v>
      </c>
    </row>
    <row r="12398">
      <c r="A12398" s="11" t="s">
        <v>12429</v>
      </c>
    </row>
    <row r="12399">
      <c r="A12399" s="11" t="s">
        <v>12430</v>
      </c>
    </row>
    <row r="12400">
      <c r="A12400" s="11" t="s">
        <v>12431</v>
      </c>
    </row>
    <row r="12401">
      <c r="A12401" s="11" t="s">
        <v>12432</v>
      </c>
    </row>
    <row r="12402">
      <c r="A12402" s="11" t="s">
        <v>12433</v>
      </c>
    </row>
    <row r="12403">
      <c r="A12403" s="11" t="s">
        <v>12434</v>
      </c>
    </row>
    <row r="12404">
      <c r="A12404" s="11" t="s">
        <v>12435</v>
      </c>
    </row>
    <row r="12405">
      <c r="A12405" s="11" t="s">
        <v>12436</v>
      </c>
    </row>
    <row r="12406">
      <c r="A12406" s="11" t="s">
        <v>12437</v>
      </c>
    </row>
    <row r="12407">
      <c r="A12407" s="11" t="s">
        <v>12438</v>
      </c>
    </row>
    <row r="12408">
      <c r="A12408" s="11" t="s">
        <v>12439</v>
      </c>
    </row>
    <row r="12409">
      <c r="A12409" s="11" t="s">
        <v>12440</v>
      </c>
    </row>
    <row r="12410">
      <c r="A12410" s="11" t="s">
        <v>12441</v>
      </c>
    </row>
    <row r="12411">
      <c r="A12411" s="11" t="s">
        <v>12442</v>
      </c>
    </row>
    <row r="12412">
      <c r="A12412" s="11" t="s">
        <v>12443</v>
      </c>
    </row>
    <row r="12413">
      <c r="A12413" s="11" t="s">
        <v>12444</v>
      </c>
    </row>
    <row r="12414">
      <c r="A12414" s="11" t="s">
        <v>12445</v>
      </c>
    </row>
    <row r="12415">
      <c r="A12415" s="11" t="s">
        <v>12446</v>
      </c>
    </row>
    <row r="12416">
      <c r="A12416" s="11" t="s">
        <v>12447</v>
      </c>
    </row>
    <row r="12417">
      <c r="A12417" s="11" t="s">
        <v>12448</v>
      </c>
    </row>
    <row r="12418">
      <c r="A12418" s="11" t="s">
        <v>12449</v>
      </c>
    </row>
    <row r="12419">
      <c r="A12419" s="11" t="s">
        <v>12450</v>
      </c>
    </row>
    <row r="12420">
      <c r="A12420" s="11" t="s">
        <v>12451</v>
      </c>
    </row>
    <row r="12421">
      <c r="A12421" s="11" t="s">
        <v>12452</v>
      </c>
    </row>
    <row r="12422">
      <c r="A12422" s="11" t="s">
        <v>12453</v>
      </c>
    </row>
    <row r="12423">
      <c r="A12423" s="11" t="s">
        <v>12454</v>
      </c>
    </row>
    <row r="12424">
      <c r="A12424" s="11" t="s">
        <v>12455</v>
      </c>
    </row>
    <row r="12425">
      <c r="A12425" s="11" t="s">
        <v>12456</v>
      </c>
    </row>
    <row r="12426">
      <c r="A12426" s="11" t="s">
        <v>12457</v>
      </c>
    </row>
    <row r="12427">
      <c r="A12427" s="11" t="s">
        <v>12458</v>
      </c>
    </row>
    <row r="12428">
      <c r="A12428" s="11" t="s">
        <v>12459</v>
      </c>
    </row>
    <row r="12429">
      <c r="A12429" s="11" t="s">
        <v>12460</v>
      </c>
    </row>
    <row r="12430">
      <c r="A12430" s="11" t="s">
        <v>12461</v>
      </c>
    </row>
    <row r="12431">
      <c r="A12431" s="11" t="s">
        <v>12462</v>
      </c>
    </row>
    <row r="12432">
      <c r="A12432" s="11" t="s">
        <v>12463</v>
      </c>
    </row>
    <row r="12433">
      <c r="A12433" s="11" t="s">
        <v>12464</v>
      </c>
    </row>
    <row r="12434">
      <c r="A12434" s="11" t="s">
        <v>12465</v>
      </c>
    </row>
    <row r="12435">
      <c r="A12435" s="11" t="s">
        <v>12466</v>
      </c>
    </row>
    <row r="12436">
      <c r="A12436" s="11" t="s">
        <v>12467</v>
      </c>
    </row>
    <row r="12437">
      <c r="A12437" s="11" t="s">
        <v>12468</v>
      </c>
    </row>
    <row r="12438">
      <c r="A12438" s="11" t="s">
        <v>12469</v>
      </c>
    </row>
    <row r="12439">
      <c r="A12439" s="11" t="s">
        <v>12470</v>
      </c>
    </row>
    <row r="12440">
      <c r="A12440" s="11" t="s">
        <v>12471</v>
      </c>
    </row>
    <row r="12441">
      <c r="A12441" s="11" t="s">
        <v>12472</v>
      </c>
    </row>
    <row r="12442">
      <c r="A12442" s="11" t="s">
        <v>12473</v>
      </c>
    </row>
    <row r="12443">
      <c r="A12443" s="11" t="s">
        <v>12474</v>
      </c>
    </row>
    <row r="12444">
      <c r="A12444" s="11" t="s">
        <v>12475</v>
      </c>
    </row>
    <row r="12445">
      <c r="A12445" s="11" t="s">
        <v>12476</v>
      </c>
    </row>
    <row r="12446">
      <c r="A12446" s="11" t="s">
        <v>12477</v>
      </c>
    </row>
    <row r="12447">
      <c r="A12447" s="11" t="s">
        <v>12478</v>
      </c>
    </row>
    <row r="12448">
      <c r="A12448" s="11" t="s">
        <v>12479</v>
      </c>
    </row>
    <row r="12449">
      <c r="A12449" s="11" t="s">
        <v>12480</v>
      </c>
    </row>
    <row r="12450">
      <c r="A12450" s="11" t="s">
        <v>12481</v>
      </c>
    </row>
    <row r="12451">
      <c r="A12451" s="11" t="s">
        <v>12482</v>
      </c>
    </row>
    <row r="12452">
      <c r="A12452" s="11" t="s">
        <v>12483</v>
      </c>
    </row>
    <row r="12453">
      <c r="A12453" s="11" t="s">
        <v>12484</v>
      </c>
    </row>
    <row r="12454">
      <c r="A12454" s="11" t="s">
        <v>12485</v>
      </c>
    </row>
    <row r="12455">
      <c r="A12455" s="11" t="s">
        <v>12486</v>
      </c>
    </row>
    <row r="12456">
      <c r="A12456" s="11" t="s">
        <v>12487</v>
      </c>
    </row>
    <row r="12457">
      <c r="A12457" s="11" t="s">
        <v>12488</v>
      </c>
    </row>
    <row r="12458">
      <c r="A12458" s="11" t="s">
        <v>12489</v>
      </c>
    </row>
    <row r="12459">
      <c r="A12459" s="11" t="s">
        <v>12490</v>
      </c>
    </row>
    <row r="12460">
      <c r="A12460" s="11" t="s">
        <v>12491</v>
      </c>
    </row>
    <row r="12461">
      <c r="A12461" s="11" t="s">
        <v>12492</v>
      </c>
    </row>
    <row r="12462">
      <c r="A12462" s="11" t="s">
        <v>12493</v>
      </c>
    </row>
    <row r="12463">
      <c r="A12463" s="11" t="s">
        <v>12494</v>
      </c>
    </row>
    <row r="12464">
      <c r="A12464" s="11" t="s">
        <v>12495</v>
      </c>
    </row>
    <row r="12465">
      <c r="A12465" s="11" t="s">
        <v>12496</v>
      </c>
    </row>
    <row r="12466">
      <c r="A12466" s="11" t="s">
        <v>12497</v>
      </c>
    </row>
    <row r="12467">
      <c r="A12467" s="11" t="s">
        <v>12498</v>
      </c>
    </row>
    <row r="12468">
      <c r="A12468" s="11" t="s">
        <v>12499</v>
      </c>
    </row>
    <row r="12469">
      <c r="A12469" s="11" t="s">
        <v>12500</v>
      </c>
    </row>
    <row r="12470">
      <c r="A12470" s="11" t="s">
        <v>12501</v>
      </c>
    </row>
    <row r="12471">
      <c r="A12471" s="11" t="s">
        <v>12502</v>
      </c>
    </row>
    <row r="12472">
      <c r="A12472" s="11" t="s">
        <v>12503</v>
      </c>
    </row>
    <row r="12473">
      <c r="A12473" s="11" t="s">
        <v>12504</v>
      </c>
    </row>
    <row r="12474">
      <c r="A12474" s="11" t="s">
        <v>12505</v>
      </c>
    </row>
    <row r="12475">
      <c r="A12475" s="11" t="s">
        <v>12506</v>
      </c>
    </row>
    <row r="12476">
      <c r="A12476" s="11" t="s">
        <v>12507</v>
      </c>
    </row>
    <row r="12477">
      <c r="A12477" s="11" t="s">
        <v>12508</v>
      </c>
    </row>
    <row r="12478">
      <c r="A12478" s="11" t="s">
        <v>12509</v>
      </c>
    </row>
    <row r="12479">
      <c r="A12479" s="11" t="s">
        <v>12510</v>
      </c>
    </row>
    <row r="12480">
      <c r="A12480" s="11" t="s">
        <v>12511</v>
      </c>
    </row>
    <row r="12481">
      <c r="A12481" s="11" t="s">
        <v>12512</v>
      </c>
    </row>
    <row r="12482">
      <c r="A12482" s="11" t="s">
        <v>12513</v>
      </c>
    </row>
    <row r="12483">
      <c r="A12483" s="11" t="s">
        <v>12514</v>
      </c>
    </row>
    <row r="12484">
      <c r="A12484" s="11" t="s">
        <v>12515</v>
      </c>
    </row>
    <row r="12485">
      <c r="A12485" s="11" t="s">
        <v>12516</v>
      </c>
    </row>
    <row r="12486">
      <c r="A12486" s="11" t="s">
        <v>12517</v>
      </c>
    </row>
    <row r="12487">
      <c r="A12487" s="11" t="s">
        <v>12518</v>
      </c>
    </row>
    <row r="12488">
      <c r="A12488" s="11" t="s">
        <v>12519</v>
      </c>
    </row>
    <row r="12489">
      <c r="A12489" s="11" t="s">
        <v>12520</v>
      </c>
    </row>
    <row r="12490">
      <c r="A12490" s="11" t="s">
        <v>12521</v>
      </c>
    </row>
    <row r="12491">
      <c r="A12491" s="11" t="s">
        <v>12522</v>
      </c>
    </row>
    <row r="12492">
      <c r="A12492" s="11" t="s">
        <v>12523</v>
      </c>
    </row>
    <row r="12493">
      <c r="A12493" s="11" t="s">
        <v>12524</v>
      </c>
    </row>
    <row r="12494">
      <c r="A12494" s="11" t="s">
        <v>12525</v>
      </c>
    </row>
    <row r="12495">
      <c r="A12495" s="11" t="s">
        <v>12526</v>
      </c>
    </row>
    <row r="12496">
      <c r="A12496" s="11" t="s">
        <v>12527</v>
      </c>
    </row>
    <row r="12497">
      <c r="A12497" s="11" t="s">
        <v>12528</v>
      </c>
    </row>
    <row r="12498">
      <c r="A12498" s="11" t="s">
        <v>12529</v>
      </c>
    </row>
    <row r="12499">
      <c r="A12499" s="11" t="s">
        <v>12530</v>
      </c>
    </row>
    <row r="12500">
      <c r="A12500" s="11" t="s">
        <v>12531</v>
      </c>
    </row>
    <row r="12501">
      <c r="A12501" s="11" t="s">
        <v>12532</v>
      </c>
    </row>
    <row r="12502">
      <c r="A12502" s="11" t="s">
        <v>12533</v>
      </c>
    </row>
    <row r="12503">
      <c r="A12503" s="11" t="s">
        <v>12534</v>
      </c>
    </row>
    <row r="12504">
      <c r="A12504" s="11" t="s">
        <v>12535</v>
      </c>
    </row>
    <row r="12505">
      <c r="A12505" s="11" t="s">
        <v>12536</v>
      </c>
    </row>
    <row r="12506">
      <c r="A12506" s="11" t="s">
        <v>12537</v>
      </c>
    </row>
    <row r="12507">
      <c r="A12507" s="11" t="s">
        <v>12538</v>
      </c>
    </row>
    <row r="12508">
      <c r="A12508" s="11" t="s">
        <v>12539</v>
      </c>
    </row>
    <row r="12509">
      <c r="A12509" s="11" t="s">
        <v>12540</v>
      </c>
    </row>
    <row r="12510">
      <c r="A12510" s="11" t="s">
        <v>12541</v>
      </c>
    </row>
    <row r="12511">
      <c r="A12511" s="11" t="s">
        <v>12542</v>
      </c>
    </row>
    <row r="12512">
      <c r="A12512" s="11" t="s">
        <v>12543</v>
      </c>
    </row>
    <row r="12513">
      <c r="A12513" s="11" t="s">
        <v>12544</v>
      </c>
    </row>
    <row r="12514">
      <c r="A12514" s="11" t="s">
        <v>12545</v>
      </c>
    </row>
    <row r="12515">
      <c r="A12515" s="11" t="s">
        <v>12546</v>
      </c>
    </row>
    <row r="12516">
      <c r="A12516" s="11" t="s">
        <v>12547</v>
      </c>
    </row>
    <row r="12517">
      <c r="A12517" s="11" t="s">
        <v>12548</v>
      </c>
    </row>
    <row r="12518">
      <c r="A12518" s="11" t="s">
        <v>12549</v>
      </c>
    </row>
    <row r="12519">
      <c r="A12519" s="11" t="s">
        <v>12550</v>
      </c>
    </row>
    <row r="12520">
      <c r="A12520" s="11" t="s">
        <v>12551</v>
      </c>
    </row>
    <row r="12521">
      <c r="A12521" s="11" t="s">
        <v>12552</v>
      </c>
    </row>
    <row r="12522">
      <c r="A12522" s="11" t="s">
        <v>12553</v>
      </c>
    </row>
    <row r="12523">
      <c r="A12523" s="11" t="s">
        <v>12554</v>
      </c>
    </row>
    <row r="12524">
      <c r="A12524" s="11" t="s">
        <v>12555</v>
      </c>
    </row>
    <row r="12525">
      <c r="A12525" s="11" t="s">
        <v>12556</v>
      </c>
    </row>
    <row r="12526">
      <c r="A12526" s="11" t="s">
        <v>12557</v>
      </c>
    </row>
    <row r="12527">
      <c r="A12527" s="11" t="s">
        <v>12558</v>
      </c>
    </row>
    <row r="12528">
      <c r="A12528" s="11" t="s">
        <v>12559</v>
      </c>
    </row>
    <row r="12529">
      <c r="A12529" s="11" t="s">
        <v>12560</v>
      </c>
    </row>
    <row r="12530">
      <c r="A12530" s="11" t="s">
        <v>12561</v>
      </c>
    </row>
    <row r="12531">
      <c r="A12531" s="11" t="s">
        <v>12562</v>
      </c>
    </row>
    <row r="12532">
      <c r="A12532" s="11" t="s">
        <v>12563</v>
      </c>
    </row>
    <row r="12533">
      <c r="A12533" s="11" t="s">
        <v>12564</v>
      </c>
    </row>
    <row r="12534">
      <c r="A12534" s="11" t="s">
        <v>12565</v>
      </c>
    </row>
    <row r="12535">
      <c r="A12535" s="11" t="s">
        <v>12566</v>
      </c>
    </row>
    <row r="12536">
      <c r="A12536" s="11" t="s">
        <v>12567</v>
      </c>
    </row>
    <row r="12537">
      <c r="A12537" s="11" t="s">
        <v>12568</v>
      </c>
    </row>
    <row r="12538">
      <c r="A12538" s="11" t="s">
        <v>12569</v>
      </c>
    </row>
    <row r="12539">
      <c r="A12539" s="11" t="s">
        <v>12570</v>
      </c>
    </row>
    <row r="12540">
      <c r="A12540" s="11" t="s">
        <v>12571</v>
      </c>
    </row>
    <row r="12541">
      <c r="A12541" s="11" t="s">
        <v>12572</v>
      </c>
    </row>
    <row r="12542">
      <c r="A12542" s="11" t="s">
        <v>12573</v>
      </c>
    </row>
    <row r="12543">
      <c r="A12543" s="11" t="s">
        <v>12574</v>
      </c>
    </row>
    <row r="12544">
      <c r="A12544" s="11" t="s">
        <v>12575</v>
      </c>
    </row>
    <row r="12545">
      <c r="A12545" s="11" t="s">
        <v>12576</v>
      </c>
    </row>
    <row r="12546">
      <c r="A12546" s="11" t="s">
        <v>12577</v>
      </c>
    </row>
    <row r="12547">
      <c r="A12547" s="11" t="s">
        <v>12578</v>
      </c>
    </row>
    <row r="12548">
      <c r="A12548" s="11" t="s">
        <v>12579</v>
      </c>
    </row>
    <row r="12549">
      <c r="A12549" s="11" t="s">
        <v>12580</v>
      </c>
    </row>
    <row r="12550">
      <c r="A12550" s="11" t="s">
        <v>12581</v>
      </c>
    </row>
    <row r="12551">
      <c r="A12551" s="11" t="s">
        <v>12582</v>
      </c>
    </row>
    <row r="12552">
      <c r="A12552" s="11" t="s">
        <v>12583</v>
      </c>
    </row>
    <row r="12553">
      <c r="A12553" s="11" t="s">
        <v>12584</v>
      </c>
    </row>
    <row r="12554">
      <c r="A12554" s="11" t="s">
        <v>12585</v>
      </c>
    </row>
    <row r="12555">
      <c r="A12555" s="11" t="s">
        <v>12586</v>
      </c>
    </row>
    <row r="12556">
      <c r="A12556" s="11" t="s">
        <v>12587</v>
      </c>
    </row>
    <row r="12557">
      <c r="A12557" s="11" t="s">
        <v>12588</v>
      </c>
    </row>
    <row r="12558">
      <c r="A12558" s="11" t="s">
        <v>12589</v>
      </c>
    </row>
    <row r="12559">
      <c r="A12559" s="11" t="s">
        <v>12590</v>
      </c>
    </row>
    <row r="12560">
      <c r="A12560" s="11" t="s">
        <v>12591</v>
      </c>
    </row>
    <row r="12561">
      <c r="A12561" s="11" t="s">
        <v>12592</v>
      </c>
    </row>
    <row r="12562">
      <c r="A12562" s="11" t="s">
        <v>12593</v>
      </c>
    </row>
    <row r="12563">
      <c r="A12563" s="11" t="s">
        <v>12594</v>
      </c>
    </row>
    <row r="12564">
      <c r="A12564" s="11" t="s">
        <v>12595</v>
      </c>
    </row>
    <row r="12565">
      <c r="A12565" s="11" t="s">
        <v>12596</v>
      </c>
    </row>
    <row r="12566">
      <c r="A12566" s="11" t="s">
        <v>12597</v>
      </c>
    </row>
    <row r="12567">
      <c r="A12567" s="11" t="s">
        <v>12598</v>
      </c>
    </row>
    <row r="12568">
      <c r="A12568" s="11" t="s">
        <v>12599</v>
      </c>
    </row>
    <row r="12569">
      <c r="A12569" s="11" t="s">
        <v>12600</v>
      </c>
    </row>
    <row r="12570">
      <c r="A12570" s="11" t="s">
        <v>12601</v>
      </c>
    </row>
    <row r="12571">
      <c r="A12571" s="11" t="s">
        <v>12602</v>
      </c>
    </row>
    <row r="12572">
      <c r="A12572" s="11" t="s">
        <v>12603</v>
      </c>
    </row>
    <row r="12573">
      <c r="A12573" s="11" t="s">
        <v>12604</v>
      </c>
    </row>
    <row r="12574">
      <c r="A12574" s="11" t="s">
        <v>12605</v>
      </c>
    </row>
    <row r="12575">
      <c r="A12575" s="11" t="s">
        <v>12606</v>
      </c>
    </row>
    <row r="12576">
      <c r="A12576" s="11" t="s">
        <v>12607</v>
      </c>
    </row>
    <row r="12577">
      <c r="A12577" s="11" t="s">
        <v>12608</v>
      </c>
    </row>
    <row r="12578">
      <c r="A12578" s="11" t="s">
        <v>12609</v>
      </c>
    </row>
    <row r="12579">
      <c r="A12579" s="11" t="s">
        <v>12610</v>
      </c>
    </row>
    <row r="12580">
      <c r="A12580" s="11" t="s">
        <v>12611</v>
      </c>
    </row>
    <row r="12581">
      <c r="A12581" s="11" t="s">
        <v>12612</v>
      </c>
    </row>
    <row r="12582">
      <c r="A12582" s="11" t="s">
        <v>12613</v>
      </c>
    </row>
    <row r="12583">
      <c r="A12583" s="11" t="s">
        <v>12614</v>
      </c>
    </row>
    <row r="12584">
      <c r="A12584" s="11" t="s">
        <v>12615</v>
      </c>
    </row>
    <row r="12585">
      <c r="A12585" s="11" t="s">
        <v>12616</v>
      </c>
    </row>
    <row r="12586">
      <c r="A12586" s="11" t="s">
        <v>12617</v>
      </c>
    </row>
    <row r="12587">
      <c r="A12587" s="11" t="s">
        <v>12618</v>
      </c>
    </row>
    <row r="12588">
      <c r="A12588" s="11" t="s">
        <v>12619</v>
      </c>
    </row>
    <row r="12589">
      <c r="A12589" s="11" t="s">
        <v>12620</v>
      </c>
    </row>
    <row r="12590">
      <c r="A12590" s="11" t="s">
        <v>12621</v>
      </c>
    </row>
    <row r="12591">
      <c r="A12591" s="11" t="s">
        <v>12622</v>
      </c>
    </row>
    <row r="12592">
      <c r="A12592" s="11" t="s">
        <v>12623</v>
      </c>
    </row>
    <row r="12593">
      <c r="A12593" s="11" t="s">
        <v>12624</v>
      </c>
    </row>
    <row r="12594">
      <c r="A12594" s="11" t="s">
        <v>12625</v>
      </c>
    </row>
    <row r="12595">
      <c r="A12595" s="11" t="s">
        <v>12626</v>
      </c>
    </row>
    <row r="12596">
      <c r="A12596" s="11" t="s">
        <v>12627</v>
      </c>
    </row>
    <row r="12597">
      <c r="A12597" s="11" t="s">
        <v>12628</v>
      </c>
    </row>
    <row r="12598">
      <c r="A12598" s="11" t="s">
        <v>12629</v>
      </c>
    </row>
    <row r="12599">
      <c r="A12599" s="11" t="s">
        <v>12630</v>
      </c>
    </row>
    <row r="12600">
      <c r="A12600" s="11" t="s">
        <v>12631</v>
      </c>
    </row>
    <row r="12601">
      <c r="A12601" s="11" t="s">
        <v>12632</v>
      </c>
    </row>
    <row r="12602">
      <c r="A12602" s="11" t="s">
        <v>12633</v>
      </c>
    </row>
    <row r="12603">
      <c r="A12603" s="11" t="s">
        <v>12634</v>
      </c>
    </row>
    <row r="12604">
      <c r="A12604" s="11" t="s">
        <v>12635</v>
      </c>
    </row>
    <row r="12605">
      <c r="A12605" s="11" t="s">
        <v>12636</v>
      </c>
    </row>
    <row r="12606">
      <c r="A12606" s="11" t="s">
        <v>12637</v>
      </c>
    </row>
    <row r="12607">
      <c r="A12607" s="11" t="s">
        <v>12638</v>
      </c>
    </row>
    <row r="12608">
      <c r="A12608" s="11" t="s">
        <v>12639</v>
      </c>
    </row>
    <row r="12609">
      <c r="A12609" s="11" t="s">
        <v>12640</v>
      </c>
    </row>
    <row r="12610">
      <c r="A12610" s="11" t="s">
        <v>12641</v>
      </c>
    </row>
    <row r="12611">
      <c r="A12611" s="11" t="s">
        <v>12642</v>
      </c>
    </row>
    <row r="12612">
      <c r="A12612" s="11" t="s">
        <v>12643</v>
      </c>
    </row>
    <row r="12613">
      <c r="A12613" s="11" t="s">
        <v>12644</v>
      </c>
    </row>
    <row r="12614">
      <c r="A12614" s="11" t="s">
        <v>12645</v>
      </c>
    </row>
    <row r="12615">
      <c r="A12615" s="11" t="s">
        <v>12646</v>
      </c>
    </row>
    <row r="12616">
      <c r="A12616" s="11" t="s">
        <v>12647</v>
      </c>
    </row>
    <row r="12617">
      <c r="A12617" s="11" t="s">
        <v>12648</v>
      </c>
    </row>
    <row r="12618">
      <c r="A12618" s="11" t="s">
        <v>12649</v>
      </c>
    </row>
    <row r="12619">
      <c r="A12619" s="11" t="s">
        <v>12650</v>
      </c>
    </row>
    <row r="12620">
      <c r="A12620" s="11" t="s">
        <v>12651</v>
      </c>
    </row>
    <row r="12621">
      <c r="A12621" s="11" t="s">
        <v>12652</v>
      </c>
    </row>
    <row r="12622">
      <c r="A12622" s="11" t="s">
        <v>12653</v>
      </c>
    </row>
    <row r="12623">
      <c r="A12623" s="11" t="s">
        <v>12654</v>
      </c>
    </row>
    <row r="12624">
      <c r="A12624" s="11" t="s">
        <v>12655</v>
      </c>
    </row>
    <row r="12625">
      <c r="A12625" s="11" t="s">
        <v>12656</v>
      </c>
    </row>
    <row r="12626">
      <c r="A12626" s="11" t="s">
        <v>12657</v>
      </c>
    </row>
    <row r="12627">
      <c r="A12627" s="11" t="s">
        <v>12658</v>
      </c>
    </row>
    <row r="12628">
      <c r="A12628" s="11" t="s">
        <v>12659</v>
      </c>
    </row>
    <row r="12629">
      <c r="A12629" s="11" t="s">
        <v>12660</v>
      </c>
    </row>
    <row r="12630">
      <c r="A12630" s="11" t="s">
        <v>12661</v>
      </c>
    </row>
    <row r="12631">
      <c r="A12631" s="11" t="s">
        <v>12662</v>
      </c>
    </row>
    <row r="12632">
      <c r="A12632" s="11" t="s">
        <v>12663</v>
      </c>
    </row>
    <row r="12633">
      <c r="A12633" s="11" t="s">
        <v>12664</v>
      </c>
    </row>
    <row r="12634">
      <c r="A12634" s="11" t="s">
        <v>12665</v>
      </c>
    </row>
    <row r="12635">
      <c r="A12635" s="11" t="s">
        <v>12666</v>
      </c>
    </row>
    <row r="12636">
      <c r="A12636" s="11" t="s">
        <v>12667</v>
      </c>
    </row>
    <row r="12637">
      <c r="A12637" s="11" t="s">
        <v>12668</v>
      </c>
    </row>
    <row r="12638">
      <c r="A12638" s="11" t="s">
        <v>12669</v>
      </c>
    </row>
    <row r="12639">
      <c r="A12639" s="11" t="s">
        <v>12670</v>
      </c>
    </row>
    <row r="12640">
      <c r="A12640" s="11" t="s">
        <v>12671</v>
      </c>
    </row>
    <row r="12641">
      <c r="A12641" s="11" t="s">
        <v>12672</v>
      </c>
    </row>
    <row r="12642">
      <c r="A12642" s="11" t="s">
        <v>12673</v>
      </c>
    </row>
    <row r="12643">
      <c r="A12643" s="11" t="s">
        <v>12674</v>
      </c>
    </row>
    <row r="12644">
      <c r="A12644" s="11" t="s">
        <v>12675</v>
      </c>
    </row>
    <row r="12645">
      <c r="A12645" s="11" t="s">
        <v>12676</v>
      </c>
    </row>
    <row r="12646">
      <c r="A12646" s="11" t="s">
        <v>12677</v>
      </c>
    </row>
    <row r="12647">
      <c r="A12647" s="11" t="s">
        <v>12678</v>
      </c>
    </row>
    <row r="12648">
      <c r="A12648" s="11" t="s">
        <v>12679</v>
      </c>
    </row>
    <row r="12649">
      <c r="A12649" s="11" t="s">
        <v>12680</v>
      </c>
    </row>
    <row r="12650">
      <c r="A12650" s="11" t="s">
        <v>12681</v>
      </c>
    </row>
    <row r="12651">
      <c r="A12651" s="11" t="s">
        <v>12682</v>
      </c>
    </row>
    <row r="12652">
      <c r="A12652" s="11" t="s">
        <v>12683</v>
      </c>
    </row>
    <row r="12653">
      <c r="A12653" s="11" t="s">
        <v>12684</v>
      </c>
    </row>
    <row r="12654">
      <c r="A12654" s="11" t="s">
        <v>12685</v>
      </c>
    </row>
    <row r="12655">
      <c r="A12655" s="11" t="s">
        <v>12686</v>
      </c>
    </row>
    <row r="12656">
      <c r="A12656" s="11" t="s">
        <v>12687</v>
      </c>
    </row>
    <row r="12657">
      <c r="A12657" s="11" t="s">
        <v>12688</v>
      </c>
    </row>
    <row r="12658">
      <c r="A12658" s="11" t="s">
        <v>12689</v>
      </c>
    </row>
    <row r="12659">
      <c r="A12659" s="11" t="s">
        <v>12690</v>
      </c>
    </row>
    <row r="12660">
      <c r="A12660" s="11" t="s">
        <v>12691</v>
      </c>
    </row>
    <row r="12661">
      <c r="A12661" s="11" t="s">
        <v>12692</v>
      </c>
    </row>
    <row r="12662">
      <c r="A12662" s="11" t="s">
        <v>12693</v>
      </c>
    </row>
    <row r="12663">
      <c r="A12663" s="11" t="s">
        <v>12694</v>
      </c>
    </row>
    <row r="12664">
      <c r="A12664" s="11" t="s">
        <v>12695</v>
      </c>
    </row>
    <row r="12665">
      <c r="A12665" s="11" t="s">
        <v>12696</v>
      </c>
    </row>
    <row r="12666">
      <c r="A12666" s="11" t="s">
        <v>12697</v>
      </c>
    </row>
    <row r="12667">
      <c r="A12667" s="11" t="s">
        <v>12698</v>
      </c>
    </row>
    <row r="12668">
      <c r="A12668" s="11" t="s">
        <v>12699</v>
      </c>
    </row>
    <row r="12669">
      <c r="A12669" s="11" t="s">
        <v>12700</v>
      </c>
    </row>
    <row r="12670">
      <c r="A12670" s="11" t="s">
        <v>12701</v>
      </c>
    </row>
    <row r="12671">
      <c r="A12671" s="11" t="s">
        <v>12702</v>
      </c>
    </row>
    <row r="12672">
      <c r="A12672" s="11" t="s">
        <v>12703</v>
      </c>
    </row>
    <row r="12673">
      <c r="A12673" s="11" t="s">
        <v>12704</v>
      </c>
    </row>
    <row r="12674">
      <c r="A12674" s="11" t="s">
        <v>12705</v>
      </c>
    </row>
    <row r="12675">
      <c r="A12675" s="11" t="s">
        <v>12706</v>
      </c>
    </row>
    <row r="12676">
      <c r="A12676" s="11" t="s">
        <v>12707</v>
      </c>
    </row>
    <row r="12677">
      <c r="A12677" s="11" t="s">
        <v>12708</v>
      </c>
    </row>
    <row r="12678">
      <c r="A12678" s="11" t="s">
        <v>12709</v>
      </c>
    </row>
    <row r="12679">
      <c r="A12679" s="11" t="s">
        <v>12710</v>
      </c>
    </row>
    <row r="12680">
      <c r="A12680" s="11" t="s">
        <v>12711</v>
      </c>
    </row>
    <row r="12681">
      <c r="A12681" s="11" t="s">
        <v>12712</v>
      </c>
    </row>
    <row r="12682">
      <c r="A12682" s="11" t="s">
        <v>12713</v>
      </c>
    </row>
    <row r="12683">
      <c r="A12683" s="11" t="s">
        <v>12714</v>
      </c>
    </row>
    <row r="12684">
      <c r="A12684" s="11" t="s">
        <v>12715</v>
      </c>
    </row>
    <row r="12685">
      <c r="A12685" s="11" t="s">
        <v>12716</v>
      </c>
    </row>
    <row r="12686">
      <c r="A12686" s="11" t="s">
        <v>12717</v>
      </c>
    </row>
    <row r="12687">
      <c r="A12687" s="11" t="s">
        <v>12718</v>
      </c>
    </row>
    <row r="12688">
      <c r="A12688" s="11" t="s">
        <v>12719</v>
      </c>
    </row>
    <row r="12689">
      <c r="A12689" s="11" t="s">
        <v>12720</v>
      </c>
    </row>
    <row r="12690">
      <c r="A12690" s="11" t="s">
        <v>12721</v>
      </c>
    </row>
    <row r="12691">
      <c r="A12691" s="11" t="s">
        <v>12722</v>
      </c>
    </row>
    <row r="12692">
      <c r="A12692" s="11" t="s">
        <v>12723</v>
      </c>
    </row>
    <row r="12693">
      <c r="A12693" s="11" t="s">
        <v>12724</v>
      </c>
    </row>
    <row r="12694">
      <c r="A12694" s="11" t="s">
        <v>12725</v>
      </c>
    </row>
    <row r="12695">
      <c r="A12695" s="11" t="s">
        <v>12726</v>
      </c>
    </row>
    <row r="12696">
      <c r="A12696" s="11" t="s">
        <v>12727</v>
      </c>
    </row>
    <row r="12697">
      <c r="A12697" s="11" t="s">
        <v>12728</v>
      </c>
    </row>
    <row r="12698">
      <c r="A12698" s="11" t="s">
        <v>12729</v>
      </c>
    </row>
    <row r="12699">
      <c r="A12699" s="11" t="s">
        <v>12730</v>
      </c>
    </row>
    <row r="12700">
      <c r="A12700" s="11" t="s">
        <v>12731</v>
      </c>
    </row>
    <row r="12701">
      <c r="A12701" s="11" t="s">
        <v>12732</v>
      </c>
    </row>
    <row r="12702">
      <c r="A12702" s="11" t="s">
        <v>12733</v>
      </c>
    </row>
    <row r="12703">
      <c r="A12703" s="11" t="s">
        <v>12734</v>
      </c>
    </row>
    <row r="12704">
      <c r="A12704" s="11" t="s">
        <v>12735</v>
      </c>
    </row>
    <row r="12705">
      <c r="A12705" s="11" t="s">
        <v>12736</v>
      </c>
    </row>
    <row r="12706">
      <c r="A12706" s="11" t="s">
        <v>12737</v>
      </c>
    </row>
    <row r="12707">
      <c r="A12707" s="11" t="s">
        <v>12738</v>
      </c>
    </row>
    <row r="12708">
      <c r="A12708" s="11" t="s">
        <v>12739</v>
      </c>
    </row>
    <row r="12709">
      <c r="A12709" s="11" t="s">
        <v>12740</v>
      </c>
    </row>
    <row r="12710">
      <c r="A12710" s="11" t="s">
        <v>12741</v>
      </c>
    </row>
    <row r="12711">
      <c r="A12711" s="11" t="s">
        <v>12742</v>
      </c>
    </row>
    <row r="12712">
      <c r="A12712" s="11" t="s">
        <v>12743</v>
      </c>
    </row>
    <row r="12713">
      <c r="A12713" s="11" t="s">
        <v>12744</v>
      </c>
    </row>
    <row r="12714">
      <c r="A12714" s="11" t="s">
        <v>12745</v>
      </c>
    </row>
    <row r="12715">
      <c r="A12715" s="11" t="s">
        <v>12746</v>
      </c>
    </row>
    <row r="12716">
      <c r="A12716" s="11" t="s">
        <v>12747</v>
      </c>
    </row>
    <row r="12717">
      <c r="A12717" s="11" t="s">
        <v>12748</v>
      </c>
    </row>
    <row r="12718">
      <c r="A12718" s="11" t="s">
        <v>12749</v>
      </c>
    </row>
    <row r="12719">
      <c r="A12719" s="11" t="s">
        <v>12750</v>
      </c>
    </row>
    <row r="12720">
      <c r="A12720" s="11" t="s">
        <v>12751</v>
      </c>
    </row>
    <row r="12721">
      <c r="A12721" s="11" t="s">
        <v>12752</v>
      </c>
    </row>
    <row r="12722">
      <c r="A12722" s="11" t="s">
        <v>12753</v>
      </c>
    </row>
    <row r="12723">
      <c r="A12723" s="11" t="s">
        <v>12754</v>
      </c>
    </row>
    <row r="12724">
      <c r="A12724" s="11" t="s">
        <v>12755</v>
      </c>
    </row>
    <row r="12725">
      <c r="A12725" s="11" t="s">
        <v>12756</v>
      </c>
    </row>
    <row r="12726">
      <c r="A12726" s="11" t="s">
        <v>12757</v>
      </c>
    </row>
    <row r="12727">
      <c r="A12727" s="11" t="s">
        <v>12758</v>
      </c>
    </row>
    <row r="12728">
      <c r="A12728" s="11" t="s">
        <v>12759</v>
      </c>
    </row>
    <row r="12729">
      <c r="A12729" s="11" t="s">
        <v>12760</v>
      </c>
    </row>
    <row r="12730">
      <c r="A12730" s="11" t="s">
        <v>12761</v>
      </c>
    </row>
    <row r="12731">
      <c r="A12731" s="11" t="s">
        <v>12762</v>
      </c>
    </row>
    <row r="12732">
      <c r="A12732" s="11" t="s">
        <v>12763</v>
      </c>
    </row>
    <row r="12733">
      <c r="A12733" s="11" t="s">
        <v>12764</v>
      </c>
    </row>
    <row r="12734">
      <c r="A12734" s="11" t="s">
        <v>12765</v>
      </c>
    </row>
    <row r="12735">
      <c r="A12735" s="11" t="s">
        <v>12766</v>
      </c>
    </row>
    <row r="12736">
      <c r="A12736" s="11" t="s">
        <v>12767</v>
      </c>
    </row>
    <row r="12737">
      <c r="A12737" s="11" t="s">
        <v>12768</v>
      </c>
    </row>
    <row r="12738">
      <c r="A12738" s="11" t="s">
        <v>12769</v>
      </c>
    </row>
    <row r="12739">
      <c r="A12739" s="11" t="s">
        <v>12770</v>
      </c>
    </row>
    <row r="12740">
      <c r="A12740" s="11" t="s">
        <v>12771</v>
      </c>
    </row>
    <row r="12741">
      <c r="A12741" s="11" t="s">
        <v>12772</v>
      </c>
    </row>
    <row r="12742">
      <c r="A12742" s="11" t="s">
        <v>12773</v>
      </c>
    </row>
    <row r="12743">
      <c r="A12743" s="11" t="s">
        <v>12774</v>
      </c>
    </row>
    <row r="12744">
      <c r="A12744" s="11" t="s">
        <v>12775</v>
      </c>
    </row>
    <row r="12745">
      <c r="A12745" s="11" t="s">
        <v>12776</v>
      </c>
    </row>
    <row r="12746">
      <c r="A12746" s="11" t="s">
        <v>12777</v>
      </c>
    </row>
    <row r="12747">
      <c r="A12747" s="11" t="s">
        <v>12778</v>
      </c>
    </row>
    <row r="12748">
      <c r="A12748" s="11" t="s">
        <v>12779</v>
      </c>
    </row>
    <row r="12749">
      <c r="A12749" s="11" t="s">
        <v>12780</v>
      </c>
    </row>
    <row r="12750">
      <c r="A12750" s="11" t="s">
        <v>12781</v>
      </c>
    </row>
    <row r="12751">
      <c r="A12751" s="11" t="s">
        <v>12782</v>
      </c>
    </row>
    <row r="12752">
      <c r="A12752" s="11" t="s">
        <v>12783</v>
      </c>
    </row>
    <row r="12753">
      <c r="A12753" s="11" t="s">
        <v>12784</v>
      </c>
    </row>
    <row r="12754">
      <c r="A12754" s="11" t="s">
        <v>12785</v>
      </c>
    </row>
    <row r="12755">
      <c r="A12755" s="11" t="s">
        <v>12786</v>
      </c>
    </row>
    <row r="12756">
      <c r="A12756" s="11" t="s">
        <v>12787</v>
      </c>
    </row>
    <row r="12757">
      <c r="A12757" s="11" t="s">
        <v>12788</v>
      </c>
    </row>
    <row r="12758">
      <c r="A12758" s="11" t="s">
        <v>12789</v>
      </c>
    </row>
    <row r="12759">
      <c r="A12759" s="11" t="s">
        <v>12790</v>
      </c>
    </row>
    <row r="12760">
      <c r="A12760" s="11" t="s">
        <v>12791</v>
      </c>
    </row>
    <row r="12761">
      <c r="A12761" s="11" t="s">
        <v>12792</v>
      </c>
    </row>
    <row r="12762">
      <c r="A12762" s="11" t="s">
        <v>12793</v>
      </c>
    </row>
    <row r="12763">
      <c r="A12763" s="11" t="s">
        <v>12794</v>
      </c>
    </row>
    <row r="12764">
      <c r="A12764" s="11" t="s">
        <v>12795</v>
      </c>
    </row>
    <row r="12765">
      <c r="A12765" s="11" t="s">
        <v>12796</v>
      </c>
    </row>
    <row r="12766">
      <c r="A12766" s="11" t="s">
        <v>12797</v>
      </c>
    </row>
    <row r="12767">
      <c r="A12767" s="11" t="s">
        <v>12798</v>
      </c>
    </row>
    <row r="12768">
      <c r="A12768" s="11" t="s">
        <v>12799</v>
      </c>
    </row>
    <row r="12769">
      <c r="A12769" s="11" t="s">
        <v>12800</v>
      </c>
    </row>
    <row r="12770">
      <c r="A12770" s="11" t="s">
        <v>12801</v>
      </c>
    </row>
    <row r="12771">
      <c r="A12771" s="11" t="s">
        <v>12802</v>
      </c>
    </row>
    <row r="12772">
      <c r="A12772" s="11" t="s">
        <v>12803</v>
      </c>
    </row>
    <row r="12773">
      <c r="A12773" s="11" t="s">
        <v>12804</v>
      </c>
    </row>
    <row r="12774">
      <c r="A12774" s="11" t="s">
        <v>12805</v>
      </c>
    </row>
    <row r="12775">
      <c r="A12775" s="11" t="s">
        <v>12806</v>
      </c>
    </row>
    <row r="12776">
      <c r="A12776" s="11" t="s">
        <v>12807</v>
      </c>
    </row>
    <row r="12777">
      <c r="A12777" s="11" t="s">
        <v>12808</v>
      </c>
    </row>
    <row r="12778">
      <c r="A12778" s="11" t="s">
        <v>12809</v>
      </c>
    </row>
    <row r="12779">
      <c r="A12779" s="11" t="s">
        <v>12810</v>
      </c>
    </row>
    <row r="12780">
      <c r="A12780" s="11" t="s">
        <v>12811</v>
      </c>
    </row>
    <row r="12781">
      <c r="A12781" s="11" t="s">
        <v>12812</v>
      </c>
    </row>
    <row r="12782">
      <c r="A12782" s="11" t="s">
        <v>12813</v>
      </c>
    </row>
    <row r="12783">
      <c r="A12783" s="11" t="s">
        <v>12814</v>
      </c>
    </row>
    <row r="12784">
      <c r="A12784" s="11" t="s">
        <v>12815</v>
      </c>
    </row>
    <row r="12785">
      <c r="A12785" s="11" t="s">
        <v>12816</v>
      </c>
    </row>
    <row r="12786">
      <c r="A12786" s="11" t="s">
        <v>12817</v>
      </c>
    </row>
    <row r="12787">
      <c r="A12787" s="11" t="s">
        <v>12818</v>
      </c>
    </row>
    <row r="12788">
      <c r="A12788" s="11" t="s">
        <v>12819</v>
      </c>
    </row>
    <row r="12789">
      <c r="A12789" s="11" t="s">
        <v>12820</v>
      </c>
    </row>
    <row r="12790">
      <c r="A12790" s="11" t="s">
        <v>12821</v>
      </c>
    </row>
    <row r="12791">
      <c r="A12791" s="11" t="s">
        <v>12822</v>
      </c>
    </row>
    <row r="12792">
      <c r="A12792" s="11" t="s">
        <v>12823</v>
      </c>
    </row>
    <row r="12793">
      <c r="A12793" s="11" t="s">
        <v>12824</v>
      </c>
    </row>
    <row r="12794">
      <c r="A12794" s="11" t="s">
        <v>12825</v>
      </c>
    </row>
    <row r="12795">
      <c r="A12795" s="11" t="s">
        <v>12826</v>
      </c>
    </row>
    <row r="12796">
      <c r="A12796" s="11" t="s">
        <v>12827</v>
      </c>
    </row>
    <row r="12797">
      <c r="A12797" s="11" t="s">
        <v>12828</v>
      </c>
    </row>
    <row r="12798">
      <c r="A12798" s="11" t="s">
        <v>12829</v>
      </c>
    </row>
    <row r="12799">
      <c r="A12799" s="11" t="s">
        <v>12830</v>
      </c>
    </row>
    <row r="12800">
      <c r="A12800" s="11" t="s">
        <v>12831</v>
      </c>
    </row>
    <row r="12801">
      <c r="A12801" s="11" t="s">
        <v>12832</v>
      </c>
    </row>
    <row r="12802">
      <c r="A12802" s="11" t="s">
        <v>12833</v>
      </c>
    </row>
    <row r="12803">
      <c r="A12803" s="11" t="s">
        <v>12834</v>
      </c>
    </row>
    <row r="12804">
      <c r="A12804" s="11" t="s">
        <v>12835</v>
      </c>
    </row>
    <row r="12805">
      <c r="A12805" s="11" t="s">
        <v>12836</v>
      </c>
    </row>
    <row r="12806">
      <c r="A12806" s="11" t="s">
        <v>12837</v>
      </c>
    </row>
    <row r="12807">
      <c r="A12807" s="11" t="s">
        <v>12838</v>
      </c>
    </row>
    <row r="12808">
      <c r="A12808" s="11" t="s">
        <v>12839</v>
      </c>
    </row>
    <row r="12809">
      <c r="A12809" s="11" t="s">
        <v>12840</v>
      </c>
    </row>
    <row r="12810">
      <c r="A12810" s="11" t="s">
        <v>12841</v>
      </c>
    </row>
    <row r="12811">
      <c r="A12811" s="11" t="s">
        <v>12842</v>
      </c>
    </row>
    <row r="12812">
      <c r="A12812" s="11" t="s">
        <v>12843</v>
      </c>
    </row>
    <row r="12813">
      <c r="A12813" s="11" t="s">
        <v>12844</v>
      </c>
    </row>
    <row r="12814">
      <c r="A12814" s="11" t="s">
        <v>12845</v>
      </c>
    </row>
    <row r="12815">
      <c r="A12815" s="11" t="s">
        <v>12846</v>
      </c>
    </row>
    <row r="12816">
      <c r="A12816" s="11" t="s">
        <v>12847</v>
      </c>
    </row>
    <row r="12817">
      <c r="A12817" s="11" t="s">
        <v>12848</v>
      </c>
    </row>
    <row r="12818">
      <c r="A12818" s="11" t="s">
        <v>12849</v>
      </c>
    </row>
    <row r="12819">
      <c r="A12819" s="11" t="s">
        <v>12850</v>
      </c>
    </row>
    <row r="12820">
      <c r="A12820" s="11" t="s">
        <v>12851</v>
      </c>
    </row>
    <row r="12821">
      <c r="A12821" s="11" t="s">
        <v>12852</v>
      </c>
    </row>
    <row r="12822">
      <c r="A12822" s="11" t="s">
        <v>12853</v>
      </c>
    </row>
    <row r="12823">
      <c r="A12823" s="11" t="s">
        <v>12854</v>
      </c>
    </row>
    <row r="12824">
      <c r="A12824" s="11" t="s">
        <v>12855</v>
      </c>
    </row>
    <row r="12825">
      <c r="A12825" s="11" t="s">
        <v>12856</v>
      </c>
    </row>
    <row r="12826">
      <c r="A12826" s="11" t="s">
        <v>12857</v>
      </c>
    </row>
    <row r="12827">
      <c r="A12827" s="11" t="s">
        <v>12858</v>
      </c>
    </row>
    <row r="12828">
      <c r="A12828" s="11" t="s">
        <v>12859</v>
      </c>
    </row>
    <row r="12829">
      <c r="A12829" s="11" t="s">
        <v>12860</v>
      </c>
    </row>
    <row r="12830">
      <c r="A12830" s="11" t="s">
        <v>12861</v>
      </c>
    </row>
    <row r="12831">
      <c r="A12831" s="11" t="s">
        <v>12862</v>
      </c>
    </row>
    <row r="12832">
      <c r="A12832" s="11" t="s">
        <v>12863</v>
      </c>
    </row>
    <row r="12833">
      <c r="A12833" s="11" t="s">
        <v>12864</v>
      </c>
    </row>
    <row r="12834">
      <c r="A12834" s="11" t="s">
        <v>12865</v>
      </c>
    </row>
    <row r="12835">
      <c r="A12835" s="11" t="s">
        <v>12866</v>
      </c>
    </row>
    <row r="12836">
      <c r="A12836" s="11" t="s">
        <v>12867</v>
      </c>
    </row>
    <row r="12837">
      <c r="A12837" s="11" t="s">
        <v>12868</v>
      </c>
    </row>
    <row r="12838">
      <c r="A12838" s="11" t="s">
        <v>12869</v>
      </c>
    </row>
    <row r="12839">
      <c r="A12839" s="11" t="s">
        <v>12870</v>
      </c>
    </row>
    <row r="12840">
      <c r="A12840" s="11" t="s">
        <v>12871</v>
      </c>
    </row>
    <row r="12841">
      <c r="A12841" s="11" t="s">
        <v>12872</v>
      </c>
    </row>
    <row r="12842">
      <c r="A12842" s="11" t="s">
        <v>12873</v>
      </c>
    </row>
    <row r="12843">
      <c r="A12843" s="11" t="s">
        <v>12874</v>
      </c>
    </row>
    <row r="12844">
      <c r="A12844" s="11" t="s">
        <v>12875</v>
      </c>
    </row>
    <row r="12845">
      <c r="A12845" s="11" t="s">
        <v>12876</v>
      </c>
    </row>
    <row r="12846">
      <c r="A12846" s="11" t="s">
        <v>12877</v>
      </c>
    </row>
    <row r="12847">
      <c r="A12847" s="11" t="s">
        <v>12878</v>
      </c>
    </row>
    <row r="12848">
      <c r="A12848" s="11" t="s">
        <v>12879</v>
      </c>
    </row>
    <row r="12849">
      <c r="A12849" s="11" t="s">
        <v>12880</v>
      </c>
    </row>
    <row r="12850">
      <c r="A12850" s="11" t="s">
        <v>12881</v>
      </c>
    </row>
    <row r="12851">
      <c r="A12851" s="11" t="s">
        <v>12882</v>
      </c>
    </row>
    <row r="12852">
      <c r="A12852" s="11" t="s">
        <v>12883</v>
      </c>
    </row>
    <row r="12853">
      <c r="A12853" s="11" t="s">
        <v>12884</v>
      </c>
    </row>
    <row r="12854">
      <c r="A12854" s="11" t="s">
        <v>12885</v>
      </c>
    </row>
    <row r="12855">
      <c r="A12855" s="11" t="s">
        <v>12886</v>
      </c>
    </row>
    <row r="12856">
      <c r="A12856" s="11" t="s">
        <v>12887</v>
      </c>
    </row>
    <row r="12857">
      <c r="A12857" s="11" t="s">
        <v>12888</v>
      </c>
    </row>
    <row r="12858">
      <c r="A12858" s="11" t="s">
        <v>12889</v>
      </c>
    </row>
    <row r="12859">
      <c r="A12859" s="11" t="s">
        <v>12890</v>
      </c>
    </row>
    <row r="12860">
      <c r="A12860" s="11" t="s">
        <v>12891</v>
      </c>
    </row>
    <row r="12861">
      <c r="A12861" s="11" t="s">
        <v>12892</v>
      </c>
    </row>
    <row r="12862">
      <c r="A12862" s="11" t="s">
        <v>12893</v>
      </c>
    </row>
    <row r="12863">
      <c r="A12863" s="11" t="s">
        <v>12894</v>
      </c>
    </row>
    <row r="12864">
      <c r="A12864" s="11" t="s">
        <v>12895</v>
      </c>
    </row>
    <row r="12865">
      <c r="A12865" s="11" t="s">
        <v>12896</v>
      </c>
    </row>
    <row r="12866">
      <c r="A12866" s="11" t="s">
        <v>12897</v>
      </c>
    </row>
    <row r="12867">
      <c r="A12867" s="11" t="s">
        <v>12898</v>
      </c>
    </row>
    <row r="12868">
      <c r="A12868" s="11" t="s">
        <v>12899</v>
      </c>
    </row>
    <row r="12869">
      <c r="A12869" s="11" t="s">
        <v>12900</v>
      </c>
    </row>
    <row r="12870">
      <c r="A12870" s="11" t="s">
        <v>12901</v>
      </c>
    </row>
    <row r="12871">
      <c r="A12871" s="11" t="s">
        <v>12902</v>
      </c>
    </row>
    <row r="12872">
      <c r="A12872" s="11" t="s">
        <v>12903</v>
      </c>
    </row>
    <row r="12873">
      <c r="A12873" s="11" t="s">
        <v>12904</v>
      </c>
    </row>
    <row r="12874">
      <c r="A12874" s="11" t="s">
        <v>12905</v>
      </c>
    </row>
    <row r="12875">
      <c r="A12875" s="11" t="s">
        <v>12906</v>
      </c>
    </row>
    <row r="12876">
      <c r="A12876" s="11" t="s">
        <v>12907</v>
      </c>
    </row>
    <row r="12877">
      <c r="A12877" s="11" t="s">
        <v>12908</v>
      </c>
    </row>
    <row r="12878">
      <c r="A12878" s="11" t="s">
        <v>12909</v>
      </c>
    </row>
    <row r="12879">
      <c r="A12879" s="11" t="s">
        <v>12910</v>
      </c>
    </row>
    <row r="12880">
      <c r="A12880" s="11" t="s">
        <v>12911</v>
      </c>
    </row>
    <row r="12881">
      <c r="A12881" s="11" t="s">
        <v>12912</v>
      </c>
    </row>
    <row r="12882">
      <c r="A12882" s="11" t="s">
        <v>12913</v>
      </c>
    </row>
    <row r="12883">
      <c r="A12883" s="11" t="s">
        <v>12914</v>
      </c>
    </row>
    <row r="12884">
      <c r="A12884" s="11" t="s">
        <v>12915</v>
      </c>
    </row>
    <row r="12885">
      <c r="A12885" s="11" t="s">
        <v>12916</v>
      </c>
    </row>
    <row r="12886">
      <c r="A12886" s="11" t="s">
        <v>12917</v>
      </c>
    </row>
    <row r="12887">
      <c r="A12887" s="11" t="s">
        <v>12918</v>
      </c>
    </row>
    <row r="12888">
      <c r="A12888" s="11" t="s">
        <v>12919</v>
      </c>
    </row>
    <row r="12889">
      <c r="A12889" s="11" t="s">
        <v>12920</v>
      </c>
    </row>
    <row r="12890">
      <c r="A12890" s="11" t="s">
        <v>12921</v>
      </c>
    </row>
    <row r="12891">
      <c r="A12891" s="11" t="s">
        <v>12922</v>
      </c>
    </row>
    <row r="12892">
      <c r="A12892" s="11" t="s">
        <v>12923</v>
      </c>
    </row>
    <row r="12893">
      <c r="A12893" s="11" t="s">
        <v>12924</v>
      </c>
    </row>
    <row r="12894">
      <c r="A12894" s="11" t="s">
        <v>12925</v>
      </c>
    </row>
    <row r="12895">
      <c r="A12895" s="11" t="s">
        <v>12926</v>
      </c>
    </row>
    <row r="12896">
      <c r="A12896" s="11" t="s">
        <v>12927</v>
      </c>
    </row>
    <row r="12897">
      <c r="A12897" s="11" t="s">
        <v>12928</v>
      </c>
    </row>
    <row r="12898">
      <c r="A12898" s="11" t="s">
        <v>12929</v>
      </c>
    </row>
    <row r="12899">
      <c r="A12899" s="11" t="s">
        <v>12930</v>
      </c>
    </row>
    <row r="12900">
      <c r="A12900" s="11" t="s">
        <v>12931</v>
      </c>
    </row>
    <row r="12901">
      <c r="A12901" s="11" t="s">
        <v>12932</v>
      </c>
    </row>
    <row r="12902">
      <c r="A12902" s="11" t="s">
        <v>12933</v>
      </c>
    </row>
    <row r="12903">
      <c r="A12903" s="11" t="s">
        <v>12934</v>
      </c>
    </row>
    <row r="12904">
      <c r="A12904" s="11" t="s">
        <v>12935</v>
      </c>
    </row>
    <row r="12905">
      <c r="A12905" s="11" t="s">
        <v>12936</v>
      </c>
    </row>
    <row r="12906">
      <c r="A12906" s="11" t="s">
        <v>12937</v>
      </c>
    </row>
    <row r="12907">
      <c r="A12907" s="11" t="s">
        <v>12938</v>
      </c>
    </row>
    <row r="12908">
      <c r="A12908" s="11" t="s">
        <v>12939</v>
      </c>
    </row>
    <row r="12909">
      <c r="A12909" s="11" t="s">
        <v>12940</v>
      </c>
    </row>
    <row r="12910">
      <c r="A12910" s="11" t="s">
        <v>12941</v>
      </c>
    </row>
    <row r="12911">
      <c r="A12911" s="11" t="s">
        <v>12942</v>
      </c>
    </row>
    <row r="12912">
      <c r="A12912" s="11" t="s">
        <v>12943</v>
      </c>
    </row>
    <row r="12913">
      <c r="A12913" s="11" t="s">
        <v>12944</v>
      </c>
    </row>
    <row r="12914">
      <c r="A12914" s="11" t="s">
        <v>12945</v>
      </c>
    </row>
    <row r="12915">
      <c r="A12915" s="11" t="s">
        <v>12946</v>
      </c>
    </row>
    <row r="12916">
      <c r="A12916" s="11" t="s">
        <v>12947</v>
      </c>
    </row>
    <row r="12917">
      <c r="A12917" s="11" t="s">
        <v>12948</v>
      </c>
    </row>
    <row r="12918">
      <c r="A12918" s="11" t="s">
        <v>12949</v>
      </c>
    </row>
    <row r="12919">
      <c r="A12919" s="11" t="s">
        <v>12950</v>
      </c>
    </row>
    <row r="12920">
      <c r="A12920" s="11" t="s">
        <v>12951</v>
      </c>
    </row>
    <row r="12921">
      <c r="A12921" s="11" t="s">
        <v>12952</v>
      </c>
    </row>
    <row r="12922">
      <c r="A12922" s="11" t="s">
        <v>12953</v>
      </c>
    </row>
    <row r="12923">
      <c r="A12923" s="11" t="s">
        <v>12954</v>
      </c>
    </row>
    <row r="12924">
      <c r="A12924" s="11" t="s">
        <v>12955</v>
      </c>
    </row>
    <row r="12925">
      <c r="A12925" s="11" t="s">
        <v>12956</v>
      </c>
    </row>
    <row r="12926">
      <c r="A12926" s="11" t="s">
        <v>12957</v>
      </c>
    </row>
    <row r="12927">
      <c r="A12927" s="11" t="s">
        <v>12958</v>
      </c>
    </row>
    <row r="12928">
      <c r="A12928" s="11" t="s">
        <v>12959</v>
      </c>
    </row>
    <row r="12929">
      <c r="A12929" s="11" t="s">
        <v>12960</v>
      </c>
    </row>
    <row r="12930">
      <c r="A12930" s="11" t="s">
        <v>12961</v>
      </c>
    </row>
    <row r="12931">
      <c r="A12931" s="11" t="s">
        <v>12962</v>
      </c>
    </row>
    <row r="12932">
      <c r="A12932" s="11" t="s">
        <v>12963</v>
      </c>
    </row>
    <row r="12933">
      <c r="A12933" s="11" t="s">
        <v>12964</v>
      </c>
    </row>
    <row r="12934">
      <c r="A12934" s="11" t="s">
        <v>12965</v>
      </c>
    </row>
    <row r="12935">
      <c r="A12935" s="11" t="s">
        <v>12966</v>
      </c>
    </row>
    <row r="12936">
      <c r="A12936" s="11" t="s">
        <v>12967</v>
      </c>
    </row>
    <row r="12937">
      <c r="A12937" s="11" t="s">
        <v>12968</v>
      </c>
    </row>
    <row r="12938">
      <c r="A12938" s="11" t="s">
        <v>12969</v>
      </c>
    </row>
    <row r="12939">
      <c r="A12939" s="11" t="s">
        <v>12970</v>
      </c>
    </row>
    <row r="12940">
      <c r="A12940" s="11" t="s">
        <v>12971</v>
      </c>
    </row>
    <row r="12941">
      <c r="A12941" s="11" t="s">
        <v>12972</v>
      </c>
    </row>
    <row r="12942">
      <c r="A12942" s="11" t="s">
        <v>12973</v>
      </c>
    </row>
    <row r="12943">
      <c r="A12943" s="11" t="s">
        <v>12974</v>
      </c>
    </row>
    <row r="12944">
      <c r="A12944" s="11" t="s">
        <v>12975</v>
      </c>
    </row>
    <row r="12945">
      <c r="A12945" s="11" t="s">
        <v>12976</v>
      </c>
    </row>
    <row r="12946">
      <c r="A12946" s="11" t="s">
        <v>12977</v>
      </c>
    </row>
    <row r="12947">
      <c r="A12947" s="11" t="s">
        <v>12978</v>
      </c>
    </row>
    <row r="12948">
      <c r="A12948" s="11" t="s">
        <v>12979</v>
      </c>
    </row>
    <row r="12949">
      <c r="A12949" s="11" t="s">
        <v>12980</v>
      </c>
    </row>
    <row r="12950">
      <c r="A12950" s="11" t="s">
        <v>12981</v>
      </c>
    </row>
    <row r="12951">
      <c r="A12951" s="11" t="s">
        <v>12982</v>
      </c>
    </row>
    <row r="12952">
      <c r="A12952" s="11" t="s">
        <v>12983</v>
      </c>
    </row>
    <row r="12953">
      <c r="A12953" s="11" t="s">
        <v>12984</v>
      </c>
    </row>
    <row r="12954">
      <c r="A12954" s="11" t="s">
        <v>12985</v>
      </c>
    </row>
    <row r="12955">
      <c r="A12955" s="11" t="s">
        <v>12986</v>
      </c>
    </row>
    <row r="12956">
      <c r="A12956" s="11" t="s">
        <v>12987</v>
      </c>
    </row>
    <row r="12957">
      <c r="A12957" s="11" t="s">
        <v>12988</v>
      </c>
    </row>
    <row r="12958">
      <c r="A12958" s="11" t="s">
        <v>12989</v>
      </c>
    </row>
    <row r="12959">
      <c r="A12959" s="11" t="s">
        <v>12990</v>
      </c>
    </row>
    <row r="12960">
      <c r="A12960" s="11" t="s">
        <v>12991</v>
      </c>
    </row>
    <row r="12961">
      <c r="A12961" s="11" t="s">
        <v>12992</v>
      </c>
    </row>
    <row r="12962">
      <c r="A12962" s="11" t="s">
        <v>12993</v>
      </c>
    </row>
    <row r="12963">
      <c r="A12963" s="11" t="s">
        <v>12994</v>
      </c>
    </row>
    <row r="12964">
      <c r="A12964" s="11" t="s">
        <v>12995</v>
      </c>
    </row>
    <row r="12965">
      <c r="A12965" s="11" t="s">
        <v>12996</v>
      </c>
    </row>
    <row r="12966">
      <c r="A12966" s="11" t="s">
        <v>12997</v>
      </c>
    </row>
    <row r="12967">
      <c r="A12967" s="11" t="s">
        <v>12998</v>
      </c>
    </row>
    <row r="12968">
      <c r="A12968" s="11" t="s">
        <v>12999</v>
      </c>
    </row>
    <row r="12969">
      <c r="A12969" s="11" t="s">
        <v>13000</v>
      </c>
    </row>
    <row r="12970">
      <c r="A12970" s="11" t="s">
        <v>13001</v>
      </c>
    </row>
    <row r="12971">
      <c r="A12971" s="11" t="s">
        <v>13002</v>
      </c>
    </row>
    <row r="12972">
      <c r="A12972" s="11" t="s">
        <v>13003</v>
      </c>
    </row>
    <row r="12973">
      <c r="A12973" s="11" t="s">
        <v>13004</v>
      </c>
    </row>
    <row r="12974">
      <c r="A12974" s="11" t="s">
        <v>13005</v>
      </c>
    </row>
    <row r="12975">
      <c r="A12975" s="11" t="s">
        <v>13006</v>
      </c>
    </row>
    <row r="12976">
      <c r="A12976" s="11" t="s">
        <v>13007</v>
      </c>
    </row>
    <row r="12977">
      <c r="A12977" s="11" t="s">
        <v>13008</v>
      </c>
    </row>
    <row r="12978">
      <c r="A12978" s="11" t="s">
        <v>13009</v>
      </c>
    </row>
    <row r="12979">
      <c r="A12979" s="11" t="s">
        <v>13010</v>
      </c>
    </row>
    <row r="12980">
      <c r="A12980" s="11" t="s">
        <v>13011</v>
      </c>
    </row>
    <row r="12981">
      <c r="A12981" s="11" t="s">
        <v>13012</v>
      </c>
    </row>
    <row r="12982">
      <c r="A12982" s="11" t="s">
        <v>13013</v>
      </c>
    </row>
    <row r="12983">
      <c r="A12983" s="11" t="s">
        <v>13014</v>
      </c>
    </row>
    <row r="12984">
      <c r="A12984" s="11" t="s">
        <v>13015</v>
      </c>
    </row>
    <row r="12985">
      <c r="A12985" s="11" t="s">
        <v>13016</v>
      </c>
    </row>
    <row r="12986">
      <c r="A12986" s="11" t="s">
        <v>13017</v>
      </c>
    </row>
    <row r="12987">
      <c r="A12987" s="11" t="s">
        <v>13018</v>
      </c>
    </row>
    <row r="12988">
      <c r="A12988" s="11" t="s">
        <v>13019</v>
      </c>
    </row>
    <row r="12989">
      <c r="A12989" s="11" t="s">
        <v>13020</v>
      </c>
    </row>
    <row r="12990">
      <c r="A12990" s="11" t="s">
        <v>13021</v>
      </c>
    </row>
    <row r="12991">
      <c r="A12991" s="11" t="s">
        <v>13022</v>
      </c>
    </row>
    <row r="12992">
      <c r="A12992" s="11" t="s">
        <v>13023</v>
      </c>
    </row>
    <row r="12993">
      <c r="A12993" s="11" t="s">
        <v>13024</v>
      </c>
    </row>
    <row r="12994">
      <c r="A12994" s="11" t="s">
        <v>13025</v>
      </c>
    </row>
    <row r="12995">
      <c r="A12995" s="11" t="s">
        <v>13026</v>
      </c>
    </row>
    <row r="12996">
      <c r="A12996" s="11" t="s">
        <v>13027</v>
      </c>
    </row>
    <row r="12997">
      <c r="A12997" s="11" t="s">
        <v>13028</v>
      </c>
    </row>
    <row r="12998">
      <c r="A12998" s="11" t="s">
        <v>13029</v>
      </c>
    </row>
    <row r="12999">
      <c r="A12999" s="11" t="s">
        <v>13030</v>
      </c>
    </row>
    <row r="13000">
      <c r="A13000" s="11" t="s">
        <v>13031</v>
      </c>
    </row>
    <row r="13001">
      <c r="A13001" s="11" t="s">
        <v>13032</v>
      </c>
    </row>
    <row r="13002">
      <c r="A13002" s="11" t="s">
        <v>13033</v>
      </c>
    </row>
    <row r="13003">
      <c r="A13003" s="11" t="s">
        <v>13034</v>
      </c>
    </row>
    <row r="13004">
      <c r="A13004" s="11" t="s">
        <v>13035</v>
      </c>
    </row>
    <row r="13005">
      <c r="A13005" s="11" t="s">
        <v>13036</v>
      </c>
    </row>
    <row r="13006">
      <c r="A13006" s="11" t="s">
        <v>13037</v>
      </c>
    </row>
    <row r="13007">
      <c r="A13007" s="11" t="s">
        <v>13038</v>
      </c>
    </row>
    <row r="13008">
      <c r="A13008" s="11" t="s">
        <v>13039</v>
      </c>
    </row>
    <row r="13009">
      <c r="A13009" s="11" t="s">
        <v>13040</v>
      </c>
    </row>
    <row r="13010">
      <c r="A13010" s="11" t="s">
        <v>13041</v>
      </c>
    </row>
    <row r="13011">
      <c r="A13011" s="11" t="s">
        <v>13042</v>
      </c>
    </row>
    <row r="13012">
      <c r="A13012" s="11" t="s">
        <v>13043</v>
      </c>
    </row>
    <row r="13013">
      <c r="A13013" s="11" t="s">
        <v>13044</v>
      </c>
    </row>
    <row r="13014">
      <c r="A13014" s="11" t="s">
        <v>13045</v>
      </c>
    </row>
    <row r="13015">
      <c r="A13015" s="11" t="s">
        <v>13046</v>
      </c>
    </row>
    <row r="13016">
      <c r="A13016" s="11" t="s">
        <v>13047</v>
      </c>
    </row>
    <row r="13017">
      <c r="A13017" s="11" t="s">
        <v>13048</v>
      </c>
    </row>
    <row r="13018">
      <c r="A13018" s="11" t="s">
        <v>13049</v>
      </c>
    </row>
    <row r="13019">
      <c r="A13019" s="11" t="s">
        <v>13050</v>
      </c>
    </row>
    <row r="13020">
      <c r="A13020" s="11" t="s">
        <v>13051</v>
      </c>
    </row>
    <row r="13021">
      <c r="A13021" s="11" t="s">
        <v>13052</v>
      </c>
    </row>
    <row r="13022">
      <c r="A13022" s="11" t="s">
        <v>13053</v>
      </c>
    </row>
    <row r="13023">
      <c r="A13023" s="11" t="s">
        <v>13054</v>
      </c>
    </row>
    <row r="13024">
      <c r="A13024" s="11" t="s">
        <v>13055</v>
      </c>
    </row>
    <row r="13025">
      <c r="A13025" s="11" t="s">
        <v>13056</v>
      </c>
    </row>
    <row r="13026">
      <c r="A13026" s="11" t="s">
        <v>13057</v>
      </c>
    </row>
    <row r="13027">
      <c r="A13027" s="11" t="s">
        <v>13058</v>
      </c>
    </row>
    <row r="13028">
      <c r="A13028" s="11" t="s">
        <v>13059</v>
      </c>
    </row>
    <row r="13029">
      <c r="A13029" s="11" t="s">
        <v>13060</v>
      </c>
    </row>
    <row r="13030">
      <c r="A13030" s="11" t="s">
        <v>13061</v>
      </c>
    </row>
    <row r="13031">
      <c r="A13031" s="11" t="s">
        <v>13062</v>
      </c>
    </row>
    <row r="13032">
      <c r="A13032" s="11" t="s">
        <v>13063</v>
      </c>
    </row>
    <row r="13033">
      <c r="A13033" s="11" t="s">
        <v>13064</v>
      </c>
    </row>
    <row r="13034">
      <c r="A13034" s="11" t="s">
        <v>13065</v>
      </c>
    </row>
    <row r="13035">
      <c r="A13035" s="11" t="s">
        <v>13066</v>
      </c>
    </row>
    <row r="13036">
      <c r="A13036" s="11" t="s">
        <v>13067</v>
      </c>
    </row>
    <row r="13037">
      <c r="A13037" s="11" t="s">
        <v>13068</v>
      </c>
    </row>
    <row r="13038">
      <c r="A13038" s="11" t="s">
        <v>13069</v>
      </c>
    </row>
    <row r="13039">
      <c r="A13039" s="11" t="s">
        <v>13070</v>
      </c>
    </row>
    <row r="13040">
      <c r="A13040" s="11" t="s">
        <v>13071</v>
      </c>
    </row>
    <row r="13041">
      <c r="A13041" s="11" t="s">
        <v>13072</v>
      </c>
    </row>
    <row r="13042">
      <c r="A13042" s="11" t="s">
        <v>13073</v>
      </c>
    </row>
    <row r="13043">
      <c r="A13043" s="11" t="s">
        <v>13074</v>
      </c>
    </row>
    <row r="13044">
      <c r="A13044" s="11" t="s">
        <v>13075</v>
      </c>
    </row>
    <row r="13045">
      <c r="A13045" s="11" t="s">
        <v>13076</v>
      </c>
    </row>
    <row r="13046">
      <c r="A13046" s="11" t="s">
        <v>13077</v>
      </c>
    </row>
    <row r="13047">
      <c r="A13047" s="11" t="s">
        <v>13078</v>
      </c>
    </row>
    <row r="13048">
      <c r="A13048" s="11" t="s">
        <v>13079</v>
      </c>
    </row>
    <row r="13049">
      <c r="A13049" s="11" t="s">
        <v>13080</v>
      </c>
    </row>
    <row r="13050">
      <c r="A13050" s="11" t="s">
        <v>13081</v>
      </c>
    </row>
    <row r="13051">
      <c r="A13051" s="11" t="s">
        <v>13082</v>
      </c>
    </row>
    <row r="13052">
      <c r="A13052" s="11" t="s">
        <v>13083</v>
      </c>
    </row>
    <row r="13053">
      <c r="A13053" s="11" t="s">
        <v>13084</v>
      </c>
    </row>
    <row r="13054">
      <c r="A13054" s="11" t="s">
        <v>13085</v>
      </c>
    </row>
    <row r="13055">
      <c r="A13055" s="11" t="s">
        <v>13086</v>
      </c>
    </row>
    <row r="13056">
      <c r="A13056" s="11" t="s">
        <v>13087</v>
      </c>
    </row>
    <row r="13057">
      <c r="A13057" s="11" t="s">
        <v>13088</v>
      </c>
    </row>
    <row r="13058">
      <c r="A13058" s="11" t="s">
        <v>13089</v>
      </c>
    </row>
    <row r="13059">
      <c r="A13059" s="11" t="s">
        <v>13090</v>
      </c>
    </row>
    <row r="13060">
      <c r="A13060" s="11" t="s">
        <v>13091</v>
      </c>
    </row>
    <row r="13061">
      <c r="A13061" s="11" t="s">
        <v>13092</v>
      </c>
    </row>
    <row r="13062">
      <c r="A13062" s="11" t="s">
        <v>13093</v>
      </c>
    </row>
    <row r="13063">
      <c r="A13063" s="11" t="s">
        <v>13094</v>
      </c>
    </row>
    <row r="13064">
      <c r="A13064" s="11" t="s">
        <v>13095</v>
      </c>
    </row>
    <row r="13065">
      <c r="A13065" s="11" t="s">
        <v>13096</v>
      </c>
    </row>
    <row r="13066">
      <c r="A13066" s="11" t="s">
        <v>13097</v>
      </c>
    </row>
    <row r="13067">
      <c r="A13067" s="11" t="s">
        <v>13098</v>
      </c>
    </row>
    <row r="13068">
      <c r="A13068" s="11" t="s">
        <v>13099</v>
      </c>
    </row>
    <row r="13069">
      <c r="A13069" s="11" t="s">
        <v>13100</v>
      </c>
    </row>
    <row r="13070">
      <c r="A13070" s="11" t="s">
        <v>13101</v>
      </c>
    </row>
    <row r="13071">
      <c r="A13071" s="11" t="s">
        <v>13102</v>
      </c>
    </row>
    <row r="13072">
      <c r="A13072" s="11" t="s">
        <v>13103</v>
      </c>
    </row>
    <row r="13073">
      <c r="A13073" s="11" t="s">
        <v>13104</v>
      </c>
    </row>
    <row r="13074">
      <c r="A13074" s="11" t="s">
        <v>13105</v>
      </c>
    </row>
    <row r="13075">
      <c r="A13075" s="11" t="s">
        <v>13106</v>
      </c>
    </row>
    <row r="13076">
      <c r="A13076" s="11" t="s">
        <v>13107</v>
      </c>
    </row>
    <row r="13077">
      <c r="A13077" s="11" t="s">
        <v>13108</v>
      </c>
    </row>
    <row r="13078">
      <c r="A13078" s="11" t="s">
        <v>13109</v>
      </c>
    </row>
    <row r="13079">
      <c r="A13079" s="11" t="s">
        <v>13110</v>
      </c>
    </row>
    <row r="13080">
      <c r="A13080" s="11" t="s">
        <v>13111</v>
      </c>
    </row>
    <row r="13081">
      <c r="A13081" s="11" t="s">
        <v>13112</v>
      </c>
    </row>
    <row r="13082">
      <c r="A13082" s="11" t="s">
        <v>13113</v>
      </c>
    </row>
    <row r="13083">
      <c r="A13083" s="11" t="s">
        <v>13114</v>
      </c>
    </row>
    <row r="13084">
      <c r="A13084" s="11" t="s">
        <v>13115</v>
      </c>
    </row>
    <row r="13085">
      <c r="A13085" s="11" t="s">
        <v>13116</v>
      </c>
    </row>
    <row r="13086">
      <c r="A13086" s="11" t="s">
        <v>13117</v>
      </c>
    </row>
    <row r="13087">
      <c r="A13087" s="11" t="s">
        <v>13118</v>
      </c>
    </row>
    <row r="13088">
      <c r="A13088" s="11" t="s">
        <v>13119</v>
      </c>
    </row>
    <row r="13089">
      <c r="A13089" s="11" t="s">
        <v>13120</v>
      </c>
    </row>
    <row r="13090">
      <c r="A13090" s="11" t="s">
        <v>13121</v>
      </c>
    </row>
    <row r="13091">
      <c r="A13091" s="11" t="s">
        <v>13122</v>
      </c>
    </row>
    <row r="13092">
      <c r="A13092" s="11" t="s">
        <v>13123</v>
      </c>
    </row>
    <row r="13093">
      <c r="A13093" s="11" t="s">
        <v>13124</v>
      </c>
    </row>
    <row r="13094">
      <c r="A13094" s="11" t="s">
        <v>13125</v>
      </c>
    </row>
    <row r="13095">
      <c r="A13095" s="11" t="s">
        <v>13126</v>
      </c>
    </row>
    <row r="13096">
      <c r="A13096" s="11" t="s">
        <v>13127</v>
      </c>
    </row>
    <row r="13097">
      <c r="A13097" s="11" t="s">
        <v>13128</v>
      </c>
    </row>
    <row r="13098">
      <c r="A13098" s="11" t="s">
        <v>13129</v>
      </c>
    </row>
    <row r="13099">
      <c r="A13099" s="11" t="s">
        <v>13130</v>
      </c>
    </row>
    <row r="13100">
      <c r="A13100" s="11" t="s">
        <v>13131</v>
      </c>
    </row>
    <row r="13101">
      <c r="A13101" s="11" t="s">
        <v>13132</v>
      </c>
    </row>
    <row r="13102">
      <c r="A13102" s="11" t="s">
        <v>13133</v>
      </c>
    </row>
    <row r="13103">
      <c r="A13103" s="11" t="s">
        <v>13134</v>
      </c>
    </row>
    <row r="13104">
      <c r="A13104" s="11" t="s">
        <v>13135</v>
      </c>
    </row>
    <row r="13105">
      <c r="A13105" s="11" t="s">
        <v>13136</v>
      </c>
    </row>
    <row r="13106">
      <c r="A13106" s="11" t="s">
        <v>13137</v>
      </c>
    </row>
    <row r="13107">
      <c r="A13107" s="11" t="s">
        <v>13138</v>
      </c>
    </row>
    <row r="13108">
      <c r="A13108" s="11" t="s">
        <v>13139</v>
      </c>
    </row>
    <row r="13109">
      <c r="A13109" s="11" t="s">
        <v>13140</v>
      </c>
    </row>
    <row r="13110">
      <c r="A13110" s="11" t="s">
        <v>13141</v>
      </c>
    </row>
    <row r="13111">
      <c r="A13111" s="11" t="s">
        <v>13142</v>
      </c>
    </row>
    <row r="13112">
      <c r="A13112" s="11" t="s">
        <v>13143</v>
      </c>
    </row>
    <row r="13113">
      <c r="A13113" s="11" t="s">
        <v>13144</v>
      </c>
    </row>
    <row r="13114">
      <c r="A13114" s="11" t="s">
        <v>13145</v>
      </c>
    </row>
    <row r="13115">
      <c r="A13115" s="11" t="s">
        <v>13146</v>
      </c>
    </row>
    <row r="13116">
      <c r="A13116" s="11" t="s">
        <v>13147</v>
      </c>
    </row>
    <row r="13117">
      <c r="A13117" s="11" t="s">
        <v>13148</v>
      </c>
    </row>
    <row r="13118">
      <c r="A13118" s="11" t="s">
        <v>13149</v>
      </c>
    </row>
    <row r="13119">
      <c r="A13119" s="11" t="s">
        <v>13150</v>
      </c>
    </row>
    <row r="13120">
      <c r="A13120" s="11" t="s">
        <v>13151</v>
      </c>
    </row>
    <row r="13121">
      <c r="A13121" s="11" t="s">
        <v>13152</v>
      </c>
    </row>
    <row r="13122">
      <c r="A13122" s="11" t="s">
        <v>13153</v>
      </c>
    </row>
    <row r="13123">
      <c r="A13123" s="11" t="s">
        <v>13154</v>
      </c>
    </row>
    <row r="13124">
      <c r="A13124" s="11" t="s">
        <v>13155</v>
      </c>
    </row>
    <row r="13125">
      <c r="A13125" s="11" t="s">
        <v>13156</v>
      </c>
    </row>
    <row r="13126">
      <c r="A13126" s="11" t="s">
        <v>13157</v>
      </c>
    </row>
    <row r="13127">
      <c r="A13127" s="11" t="s">
        <v>13158</v>
      </c>
    </row>
    <row r="13128">
      <c r="A13128" s="11" t="s">
        <v>13159</v>
      </c>
    </row>
    <row r="13129">
      <c r="A13129" s="11" t="s">
        <v>13160</v>
      </c>
    </row>
    <row r="13130">
      <c r="A13130" s="11" t="s">
        <v>13161</v>
      </c>
    </row>
    <row r="13131">
      <c r="A13131" s="11" t="s">
        <v>13162</v>
      </c>
    </row>
    <row r="13132">
      <c r="A13132" s="11" t="s">
        <v>13163</v>
      </c>
    </row>
    <row r="13133">
      <c r="A13133" s="11" t="s">
        <v>13164</v>
      </c>
    </row>
    <row r="13134">
      <c r="A13134" s="11" t="s">
        <v>13165</v>
      </c>
    </row>
    <row r="13135">
      <c r="A13135" s="11" t="s">
        <v>13166</v>
      </c>
    </row>
    <row r="13136">
      <c r="A13136" s="11" t="s">
        <v>13167</v>
      </c>
    </row>
    <row r="13137">
      <c r="A13137" s="11" t="s">
        <v>13168</v>
      </c>
    </row>
    <row r="13138">
      <c r="A13138" s="11" t="s">
        <v>13169</v>
      </c>
    </row>
    <row r="13139">
      <c r="A13139" s="11" t="s">
        <v>13170</v>
      </c>
    </row>
    <row r="13140">
      <c r="A13140" s="11" t="s">
        <v>13171</v>
      </c>
    </row>
    <row r="13141">
      <c r="A13141" s="11" t="s">
        <v>13172</v>
      </c>
    </row>
    <row r="13142">
      <c r="A13142" s="11" t="s">
        <v>13173</v>
      </c>
    </row>
    <row r="13143">
      <c r="A13143" s="11" t="s">
        <v>13174</v>
      </c>
    </row>
    <row r="13144">
      <c r="A13144" s="11" t="s">
        <v>13175</v>
      </c>
    </row>
    <row r="13145">
      <c r="A13145" s="11" t="s">
        <v>13176</v>
      </c>
    </row>
    <row r="13146">
      <c r="A13146" s="11" t="s">
        <v>13177</v>
      </c>
    </row>
    <row r="13147">
      <c r="A13147" s="11" t="s">
        <v>13178</v>
      </c>
    </row>
    <row r="13148">
      <c r="A13148" s="11" t="s">
        <v>13179</v>
      </c>
    </row>
    <row r="13149">
      <c r="A13149" s="11" t="s">
        <v>13180</v>
      </c>
    </row>
    <row r="13150">
      <c r="A13150" s="11" t="s">
        <v>13181</v>
      </c>
    </row>
    <row r="13151">
      <c r="A13151" s="11" t="s">
        <v>13182</v>
      </c>
    </row>
    <row r="13152">
      <c r="A13152" s="11" t="s">
        <v>13183</v>
      </c>
    </row>
    <row r="13153">
      <c r="A13153" s="11" t="s">
        <v>13184</v>
      </c>
    </row>
    <row r="13154">
      <c r="A13154" s="11" t="s">
        <v>13185</v>
      </c>
    </row>
    <row r="13155">
      <c r="A13155" s="11" t="s">
        <v>13186</v>
      </c>
    </row>
    <row r="13156">
      <c r="A13156" s="11" t="s">
        <v>13187</v>
      </c>
    </row>
    <row r="13157">
      <c r="A13157" s="11" t="s">
        <v>13188</v>
      </c>
    </row>
    <row r="13158">
      <c r="A13158" s="11" t="s">
        <v>13189</v>
      </c>
    </row>
    <row r="13159">
      <c r="A13159" s="11" t="s">
        <v>13190</v>
      </c>
    </row>
    <row r="13160">
      <c r="A13160" s="11" t="s">
        <v>13191</v>
      </c>
    </row>
    <row r="13161">
      <c r="A13161" s="11" t="s">
        <v>13192</v>
      </c>
    </row>
    <row r="13162">
      <c r="A13162" s="11" t="s">
        <v>13193</v>
      </c>
    </row>
    <row r="13163">
      <c r="A13163" s="11" t="s">
        <v>13194</v>
      </c>
    </row>
    <row r="13164">
      <c r="A13164" s="11" t="s">
        <v>13195</v>
      </c>
    </row>
    <row r="13165">
      <c r="A13165" s="11" t="s">
        <v>13196</v>
      </c>
    </row>
    <row r="13166">
      <c r="A13166" s="11" t="s">
        <v>13197</v>
      </c>
    </row>
    <row r="13167">
      <c r="A13167" s="11" t="s">
        <v>13198</v>
      </c>
    </row>
    <row r="13168">
      <c r="A13168" s="11" t="s">
        <v>13199</v>
      </c>
    </row>
    <row r="13169">
      <c r="A13169" s="11" t="s">
        <v>13200</v>
      </c>
    </row>
    <row r="13170">
      <c r="A13170" s="11" t="s">
        <v>13201</v>
      </c>
    </row>
    <row r="13171">
      <c r="A13171" s="11" t="s">
        <v>13202</v>
      </c>
    </row>
    <row r="13172">
      <c r="A13172" s="11" t="s">
        <v>13203</v>
      </c>
    </row>
    <row r="13173">
      <c r="A13173" s="11" t="s">
        <v>13204</v>
      </c>
    </row>
    <row r="13174">
      <c r="A13174" s="11" t="s">
        <v>13205</v>
      </c>
    </row>
    <row r="13175">
      <c r="A13175" s="11" t="s">
        <v>13206</v>
      </c>
    </row>
    <row r="13176">
      <c r="A13176" s="11" t="s">
        <v>13207</v>
      </c>
    </row>
    <row r="13177">
      <c r="A13177" s="11" t="s">
        <v>13208</v>
      </c>
    </row>
    <row r="13178">
      <c r="A13178" s="11" t="s">
        <v>13209</v>
      </c>
    </row>
    <row r="13179">
      <c r="A13179" s="11" t="s">
        <v>13210</v>
      </c>
    </row>
    <row r="13180">
      <c r="A13180" s="11" t="s">
        <v>13211</v>
      </c>
    </row>
    <row r="13181">
      <c r="A13181" s="11" t="s">
        <v>13212</v>
      </c>
    </row>
    <row r="13182">
      <c r="A13182" s="11" t="s">
        <v>13213</v>
      </c>
    </row>
    <row r="13183">
      <c r="A13183" s="11" t="s">
        <v>13214</v>
      </c>
    </row>
    <row r="13184">
      <c r="A13184" s="11" t="s">
        <v>13215</v>
      </c>
    </row>
    <row r="13185">
      <c r="A13185" s="11" t="s">
        <v>13216</v>
      </c>
    </row>
    <row r="13186">
      <c r="A13186" s="11" t="s">
        <v>13217</v>
      </c>
    </row>
    <row r="13187">
      <c r="A13187" s="11" t="s">
        <v>13218</v>
      </c>
    </row>
    <row r="13188">
      <c r="A13188" s="11" t="s">
        <v>13219</v>
      </c>
    </row>
    <row r="13189">
      <c r="A13189" s="11" t="s">
        <v>13220</v>
      </c>
    </row>
    <row r="13190">
      <c r="A13190" s="11" t="s">
        <v>13221</v>
      </c>
    </row>
    <row r="13191">
      <c r="A13191" s="11" t="s">
        <v>13222</v>
      </c>
    </row>
    <row r="13192">
      <c r="A13192" s="11" t="s">
        <v>13223</v>
      </c>
    </row>
    <row r="13193">
      <c r="A13193" s="11" t="s">
        <v>13224</v>
      </c>
    </row>
    <row r="13194">
      <c r="A13194" s="11" t="s">
        <v>13225</v>
      </c>
    </row>
    <row r="13195">
      <c r="A13195" s="11" t="s">
        <v>13226</v>
      </c>
    </row>
    <row r="13196">
      <c r="A13196" s="11" t="s">
        <v>13227</v>
      </c>
    </row>
    <row r="13197">
      <c r="A13197" s="11" t="s">
        <v>13228</v>
      </c>
    </row>
    <row r="13198">
      <c r="A13198" s="11" t="s">
        <v>13229</v>
      </c>
    </row>
    <row r="13199">
      <c r="A13199" s="11" t="s">
        <v>13230</v>
      </c>
    </row>
    <row r="13200">
      <c r="A13200" s="11" t="s">
        <v>13231</v>
      </c>
    </row>
    <row r="13201">
      <c r="A13201" s="11" t="s">
        <v>13232</v>
      </c>
    </row>
    <row r="13202">
      <c r="A13202" s="11" t="s">
        <v>13233</v>
      </c>
    </row>
    <row r="13203">
      <c r="A13203" s="11" t="s">
        <v>13234</v>
      </c>
    </row>
    <row r="13204">
      <c r="A13204" s="11" t="s">
        <v>13235</v>
      </c>
    </row>
    <row r="13205">
      <c r="A13205" s="11" t="s">
        <v>13236</v>
      </c>
    </row>
    <row r="13206">
      <c r="A13206" s="11" t="s">
        <v>13237</v>
      </c>
    </row>
    <row r="13207">
      <c r="A13207" s="11" t="s">
        <v>13238</v>
      </c>
    </row>
    <row r="13208">
      <c r="A13208" s="11" t="s">
        <v>13239</v>
      </c>
    </row>
    <row r="13209">
      <c r="A13209" s="11" t="s">
        <v>13240</v>
      </c>
    </row>
    <row r="13210">
      <c r="A13210" s="11" t="s">
        <v>13241</v>
      </c>
    </row>
    <row r="13211">
      <c r="A13211" s="11" t="s">
        <v>13242</v>
      </c>
    </row>
    <row r="13212">
      <c r="A13212" s="11" t="s">
        <v>13243</v>
      </c>
    </row>
    <row r="13213">
      <c r="A13213" s="11" t="s">
        <v>13244</v>
      </c>
    </row>
    <row r="13214">
      <c r="A13214" s="11" t="s">
        <v>13245</v>
      </c>
    </row>
    <row r="13215">
      <c r="A13215" s="11" t="s">
        <v>13246</v>
      </c>
    </row>
    <row r="13216">
      <c r="A13216" s="11" t="s">
        <v>13247</v>
      </c>
    </row>
    <row r="13217">
      <c r="A13217" s="11" t="s">
        <v>13248</v>
      </c>
    </row>
    <row r="13218">
      <c r="A13218" s="11" t="s">
        <v>13249</v>
      </c>
    </row>
    <row r="13219">
      <c r="A13219" s="11" t="s">
        <v>13250</v>
      </c>
    </row>
    <row r="13220">
      <c r="A13220" s="11" t="s">
        <v>13251</v>
      </c>
    </row>
    <row r="13221">
      <c r="A13221" s="11" t="s">
        <v>13252</v>
      </c>
    </row>
    <row r="13222">
      <c r="A13222" s="11" t="s">
        <v>13253</v>
      </c>
    </row>
    <row r="13223">
      <c r="A13223" s="11" t="s">
        <v>13254</v>
      </c>
    </row>
    <row r="13224">
      <c r="A13224" s="11" t="s">
        <v>13255</v>
      </c>
    </row>
    <row r="13225">
      <c r="A13225" s="11" t="s">
        <v>13256</v>
      </c>
    </row>
    <row r="13226">
      <c r="A13226" s="11" t="s">
        <v>13257</v>
      </c>
    </row>
    <row r="13227">
      <c r="A13227" s="11" t="s">
        <v>13258</v>
      </c>
    </row>
    <row r="13228">
      <c r="A13228" s="11" t="s">
        <v>13259</v>
      </c>
    </row>
    <row r="13229">
      <c r="A13229" s="11" t="s">
        <v>13260</v>
      </c>
    </row>
    <row r="13230">
      <c r="A13230" s="11" t="s">
        <v>13261</v>
      </c>
    </row>
    <row r="13231">
      <c r="A13231" s="11" t="s">
        <v>13262</v>
      </c>
    </row>
    <row r="13232">
      <c r="A13232" s="11" t="s">
        <v>13263</v>
      </c>
    </row>
    <row r="13233">
      <c r="A13233" s="11" t="s">
        <v>13264</v>
      </c>
    </row>
    <row r="13234">
      <c r="A13234" s="11" t="s">
        <v>13265</v>
      </c>
    </row>
    <row r="13235">
      <c r="A13235" s="11" t="s">
        <v>13266</v>
      </c>
    </row>
    <row r="13236">
      <c r="A13236" s="11" t="s">
        <v>13267</v>
      </c>
    </row>
    <row r="13237">
      <c r="A13237" s="11" t="s">
        <v>13268</v>
      </c>
    </row>
    <row r="13238">
      <c r="A13238" s="11" t="s">
        <v>13269</v>
      </c>
    </row>
    <row r="13239">
      <c r="A13239" s="11" t="s">
        <v>13270</v>
      </c>
    </row>
    <row r="13240">
      <c r="A13240" s="11" t="s">
        <v>13271</v>
      </c>
    </row>
    <row r="13241">
      <c r="A13241" s="11" t="s">
        <v>13272</v>
      </c>
    </row>
    <row r="13242">
      <c r="A13242" s="11" t="s">
        <v>13273</v>
      </c>
    </row>
    <row r="13243">
      <c r="A13243" s="11" t="s">
        <v>13274</v>
      </c>
    </row>
    <row r="13244">
      <c r="A13244" s="11" t="s">
        <v>13275</v>
      </c>
    </row>
    <row r="13245">
      <c r="A13245" s="11" t="s">
        <v>13276</v>
      </c>
    </row>
    <row r="13246">
      <c r="A13246" s="11" t="s">
        <v>13277</v>
      </c>
    </row>
    <row r="13247">
      <c r="A13247" s="11" t="s">
        <v>13278</v>
      </c>
    </row>
    <row r="13248">
      <c r="A13248" s="11" t="s">
        <v>13279</v>
      </c>
    </row>
    <row r="13249">
      <c r="A13249" s="11" t="s">
        <v>13280</v>
      </c>
    </row>
    <row r="13250">
      <c r="A13250" s="11" t="s">
        <v>13281</v>
      </c>
    </row>
    <row r="13251">
      <c r="A13251" s="11" t="s">
        <v>13282</v>
      </c>
    </row>
    <row r="13252">
      <c r="A13252" s="11" t="s">
        <v>13283</v>
      </c>
    </row>
    <row r="13253">
      <c r="A13253" s="11" t="s">
        <v>13284</v>
      </c>
    </row>
    <row r="13254">
      <c r="A13254" s="11" t="s">
        <v>13285</v>
      </c>
    </row>
    <row r="13255">
      <c r="A13255" s="11" t="s">
        <v>13286</v>
      </c>
    </row>
    <row r="13256">
      <c r="A13256" s="11" t="s">
        <v>13287</v>
      </c>
    </row>
    <row r="13257">
      <c r="A13257" s="11" t="s">
        <v>13288</v>
      </c>
    </row>
    <row r="13258">
      <c r="A13258" s="11" t="s">
        <v>13289</v>
      </c>
    </row>
    <row r="13259">
      <c r="A13259" s="11" t="s">
        <v>13290</v>
      </c>
    </row>
    <row r="13260">
      <c r="A13260" s="11" t="s">
        <v>13291</v>
      </c>
    </row>
    <row r="13261">
      <c r="A13261" s="11" t="s">
        <v>13292</v>
      </c>
    </row>
    <row r="13262">
      <c r="A13262" s="11" t="s">
        <v>13293</v>
      </c>
    </row>
    <row r="13263">
      <c r="A13263" s="11" t="s">
        <v>13294</v>
      </c>
    </row>
    <row r="13264">
      <c r="A13264" s="11" t="s">
        <v>13295</v>
      </c>
    </row>
    <row r="13265">
      <c r="A13265" s="11" t="s">
        <v>13296</v>
      </c>
    </row>
    <row r="13266">
      <c r="A13266" s="11" t="s">
        <v>13297</v>
      </c>
    </row>
    <row r="13267">
      <c r="A13267" s="11" t="s">
        <v>13298</v>
      </c>
    </row>
    <row r="13268">
      <c r="A13268" s="11" t="s">
        <v>13299</v>
      </c>
    </row>
    <row r="13269">
      <c r="A13269" s="11" t="s">
        <v>13300</v>
      </c>
    </row>
    <row r="13270">
      <c r="A13270" s="11" t="s">
        <v>13301</v>
      </c>
    </row>
    <row r="13271">
      <c r="A13271" s="11" t="s">
        <v>13302</v>
      </c>
    </row>
    <row r="13272">
      <c r="A13272" s="11" t="s">
        <v>13303</v>
      </c>
    </row>
    <row r="13273">
      <c r="A13273" s="11" t="s">
        <v>13304</v>
      </c>
    </row>
    <row r="13274">
      <c r="A13274" s="11" t="s">
        <v>13305</v>
      </c>
    </row>
    <row r="13275">
      <c r="A13275" s="11" t="s">
        <v>13306</v>
      </c>
    </row>
    <row r="13276">
      <c r="A13276" s="11" t="s">
        <v>13307</v>
      </c>
    </row>
    <row r="13277">
      <c r="A13277" s="11" t="s">
        <v>13308</v>
      </c>
    </row>
    <row r="13278">
      <c r="A13278" s="11" t="s">
        <v>13309</v>
      </c>
    </row>
    <row r="13279">
      <c r="A13279" s="11" t="s">
        <v>13310</v>
      </c>
    </row>
    <row r="13280">
      <c r="A13280" s="11" t="s">
        <v>13311</v>
      </c>
    </row>
    <row r="13281">
      <c r="A13281" s="11" t="s">
        <v>13312</v>
      </c>
    </row>
    <row r="13282">
      <c r="A13282" s="11" t="s">
        <v>13313</v>
      </c>
    </row>
    <row r="13283">
      <c r="A13283" s="11" t="s">
        <v>13314</v>
      </c>
    </row>
    <row r="13284">
      <c r="A13284" s="11" t="s">
        <v>13315</v>
      </c>
    </row>
    <row r="13285">
      <c r="A13285" s="11" t="s">
        <v>13316</v>
      </c>
    </row>
    <row r="13286">
      <c r="A13286" s="11" t="s">
        <v>13317</v>
      </c>
    </row>
    <row r="13287">
      <c r="A13287" s="11" t="s">
        <v>13318</v>
      </c>
    </row>
    <row r="13288">
      <c r="A13288" s="11" t="s">
        <v>13319</v>
      </c>
    </row>
    <row r="13289">
      <c r="A13289" s="11" t="s">
        <v>13320</v>
      </c>
    </row>
    <row r="13290">
      <c r="A13290" s="11" t="s">
        <v>13321</v>
      </c>
    </row>
    <row r="13291">
      <c r="A13291" s="11" t="s">
        <v>13322</v>
      </c>
    </row>
    <row r="13292">
      <c r="A13292" s="11" t="s">
        <v>13323</v>
      </c>
    </row>
    <row r="13293">
      <c r="A13293" s="11" t="s">
        <v>13324</v>
      </c>
    </row>
    <row r="13294">
      <c r="A13294" s="11" t="s">
        <v>13325</v>
      </c>
    </row>
    <row r="13295">
      <c r="A13295" s="11" t="s">
        <v>13326</v>
      </c>
    </row>
    <row r="13296">
      <c r="A13296" s="11" t="s">
        <v>13327</v>
      </c>
    </row>
    <row r="13297">
      <c r="A13297" s="11" t="s">
        <v>13328</v>
      </c>
    </row>
    <row r="13298">
      <c r="A13298" s="11" t="s">
        <v>13329</v>
      </c>
    </row>
    <row r="13299">
      <c r="A13299" s="11" t="s">
        <v>13330</v>
      </c>
    </row>
    <row r="13300">
      <c r="A13300" s="11" t="s">
        <v>13331</v>
      </c>
    </row>
    <row r="13301">
      <c r="A13301" s="11" t="s">
        <v>13332</v>
      </c>
    </row>
    <row r="13302">
      <c r="A13302" s="11" t="s">
        <v>13333</v>
      </c>
    </row>
    <row r="13303">
      <c r="A13303" s="11" t="s">
        <v>13334</v>
      </c>
    </row>
    <row r="13304">
      <c r="A13304" s="11" t="s">
        <v>13335</v>
      </c>
    </row>
    <row r="13305">
      <c r="A13305" s="11" t="s">
        <v>13336</v>
      </c>
    </row>
    <row r="13306">
      <c r="A13306" s="11" t="s">
        <v>13337</v>
      </c>
    </row>
    <row r="13307">
      <c r="A13307" s="11" t="s">
        <v>13338</v>
      </c>
    </row>
    <row r="13308">
      <c r="A13308" s="11" t="s">
        <v>13339</v>
      </c>
    </row>
    <row r="13309">
      <c r="A13309" s="11" t="s">
        <v>13340</v>
      </c>
    </row>
    <row r="13310">
      <c r="A13310" s="11" t="s">
        <v>13341</v>
      </c>
    </row>
    <row r="13311">
      <c r="A13311" s="11" t="s">
        <v>13342</v>
      </c>
    </row>
    <row r="13312">
      <c r="A13312" s="11" t="s">
        <v>13343</v>
      </c>
    </row>
    <row r="13313">
      <c r="A13313" s="11" t="s">
        <v>13344</v>
      </c>
    </row>
    <row r="13314">
      <c r="A13314" s="11" t="s">
        <v>13345</v>
      </c>
    </row>
    <row r="13315">
      <c r="A13315" s="11" t="s">
        <v>13346</v>
      </c>
    </row>
    <row r="13316">
      <c r="A13316" s="11" t="s">
        <v>13347</v>
      </c>
    </row>
    <row r="13317">
      <c r="A13317" s="11" t="s">
        <v>13348</v>
      </c>
    </row>
    <row r="13318">
      <c r="A13318" s="11" t="s">
        <v>13349</v>
      </c>
    </row>
    <row r="13319">
      <c r="A13319" s="11" t="s">
        <v>13350</v>
      </c>
    </row>
    <row r="13320">
      <c r="A13320" s="11" t="s">
        <v>13351</v>
      </c>
    </row>
    <row r="13321">
      <c r="A13321" s="11" t="s">
        <v>13352</v>
      </c>
    </row>
    <row r="13322">
      <c r="A13322" s="11" t="s">
        <v>13353</v>
      </c>
    </row>
    <row r="13323">
      <c r="A13323" s="11" t="s">
        <v>13354</v>
      </c>
    </row>
    <row r="13324">
      <c r="A13324" s="11" t="s">
        <v>13355</v>
      </c>
    </row>
    <row r="13325">
      <c r="A13325" s="11" t="s">
        <v>13356</v>
      </c>
    </row>
    <row r="13326">
      <c r="A13326" s="11" t="s">
        <v>13357</v>
      </c>
    </row>
    <row r="13327">
      <c r="A13327" s="11" t="s">
        <v>13358</v>
      </c>
    </row>
    <row r="13328">
      <c r="A13328" s="11" t="s">
        <v>13359</v>
      </c>
    </row>
    <row r="13329">
      <c r="A13329" s="11" t="s">
        <v>13360</v>
      </c>
    </row>
    <row r="13330">
      <c r="A13330" s="11" t="s">
        <v>13361</v>
      </c>
    </row>
    <row r="13331">
      <c r="A13331" s="11" t="s">
        <v>13362</v>
      </c>
    </row>
    <row r="13332">
      <c r="A13332" s="11" t="s">
        <v>13363</v>
      </c>
    </row>
    <row r="13333">
      <c r="A13333" s="11" t="s">
        <v>13364</v>
      </c>
    </row>
    <row r="13334">
      <c r="A13334" s="11" t="s">
        <v>13365</v>
      </c>
    </row>
    <row r="13335">
      <c r="A13335" s="11" t="s">
        <v>13366</v>
      </c>
    </row>
    <row r="13336">
      <c r="A13336" s="11" t="s">
        <v>13367</v>
      </c>
    </row>
    <row r="13337">
      <c r="A13337" s="11" t="s">
        <v>13368</v>
      </c>
    </row>
    <row r="13338">
      <c r="A13338" s="11" t="s">
        <v>13369</v>
      </c>
    </row>
    <row r="13339">
      <c r="A13339" s="11" t="s">
        <v>13370</v>
      </c>
    </row>
    <row r="13340">
      <c r="A13340" s="11" t="s">
        <v>13371</v>
      </c>
    </row>
    <row r="13341">
      <c r="A13341" s="11" t="s">
        <v>13372</v>
      </c>
    </row>
    <row r="13342">
      <c r="A13342" s="11" t="s">
        <v>13373</v>
      </c>
    </row>
    <row r="13343">
      <c r="A13343" s="11" t="s">
        <v>13374</v>
      </c>
    </row>
    <row r="13344">
      <c r="A13344" s="11" t="s">
        <v>13375</v>
      </c>
    </row>
    <row r="13345">
      <c r="A13345" s="11" t="s">
        <v>13376</v>
      </c>
    </row>
    <row r="13346">
      <c r="A13346" s="11" t="s">
        <v>13377</v>
      </c>
    </row>
    <row r="13347">
      <c r="A13347" s="11" t="s">
        <v>13378</v>
      </c>
    </row>
    <row r="13348">
      <c r="A13348" s="11" t="s">
        <v>13379</v>
      </c>
    </row>
    <row r="13349">
      <c r="A13349" s="11" t="s">
        <v>13380</v>
      </c>
    </row>
    <row r="13350">
      <c r="A13350" s="11" t="s">
        <v>13381</v>
      </c>
    </row>
    <row r="13351">
      <c r="A13351" s="11" t="s">
        <v>13382</v>
      </c>
    </row>
    <row r="13352">
      <c r="A13352" s="11" t="s">
        <v>13383</v>
      </c>
    </row>
    <row r="13353">
      <c r="A13353" s="11" t="s">
        <v>13384</v>
      </c>
    </row>
    <row r="13354">
      <c r="A13354" s="11" t="s">
        <v>13385</v>
      </c>
    </row>
    <row r="13355">
      <c r="A13355" s="11" t="s">
        <v>13386</v>
      </c>
    </row>
    <row r="13356">
      <c r="A13356" s="11" t="s">
        <v>13387</v>
      </c>
    </row>
    <row r="13357">
      <c r="A13357" s="11" t="s">
        <v>13388</v>
      </c>
    </row>
    <row r="13358">
      <c r="A13358" s="11" t="s">
        <v>13389</v>
      </c>
    </row>
    <row r="13359">
      <c r="A13359" s="11" t="s">
        <v>13390</v>
      </c>
    </row>
    <row r="13360">
      <c r="A13360" s="11" t="s">
        <v>13391</v>
      </c>
    </row>
    <row r="13361">
      <c r="A13361" s="11" t="s">
        <v>13392</v>
      </c>
    </row>
    <row r="13362">
      <c r="A13362" s="11" t="s">
        <v>13393</v>
      </c>
    </row>
    <row r="13363">
      <c r="A13363" s="11" t="s">
        <v>13394</v>
      </c>
    </row>
    <row r="13364">
      <c r="A13364" s="11" t="s">
        <v>13395</v>
      </c>
    </row>
    <row r="13365">
      <c r="A13365" s="11" t="s">
        <v>13396</v>
      </c>
    </row>
    <row r="13366">
      <c r="A13366" s="11" t="s">
        <v>13397</v>
      </c>
    </row>
    <row r="13367">
      <c r="A13367" s="11" t="s">
        <v>13398</v>
      </c>
    </row>
    <row r="13368">
      <c r="A13368" s="11" t="s">
        <v>13399</v>
      </c>
    </row>
    <row r="13369">
      <c r="A13369" s="11" t="s">
        <v>13400</v>
      </c>
    </row>
    <row r="13370">
      <c r="A13370" s="11" t="s">
        <v>13401</v>
      </c>
    </row>
    <row r="13371">
      <c r="A13371" s="11" t="s">
        <v>13402</v>
      </c>
    </row>
    <row r="13372">
      <c r="A13372" s="11" t="s">
        <v>13403</v>
      </c>
    </row>
    <row r="13373">
      <c r="A13373" s="11" t="s">
        <v>13404</v>
      </c>
    </row>
    <row r="13374">
      <c r="A13374" s="11" t="s">
        <v>13405</v>
      </c>
    </row>
    <row r="13375">
      <c r="A13375" s="11" t="s">
        <v>13406</v>
      </c>
    </row>
    <row r="13376">
      <c r="A13376" s="11" t="s">
        <v>13407</v>
      </c>
    </row>
    <row r="13377">
      <c r="A13377" s="11" t="s">
        <v>13408</v>
      </c>
    </row>
    <row r="13378">
      <c r="A13378" s="11" t="s">
        <v>13409</v>
      </c>
    </row>
    <row r="13379">
      <c r="A13379" s="11" t="s">
        <v>13410</v>
      </c>
    </row>
    <row r="13380">
      <c r="A13380" s="11" t="s">
        <v>13411</v>
      </c>
    </row>
    <row r="13381">
      <c r="A13381" s="11" t="s">
        <v>13412</v>
      </c>
    </row>
    <row r="13382">
      <c r="A13382" s="11" t="s">
        <v>13413</v>
      </c>
    </row>
    <row r="13383">
      <c r="A13383" s="11" t="s">
        <v>13414</v>
      </c>
    </row>
    <row r="13384">
      <c r="A13384" s="11" t="s">
        <v>13415</v>
      </c>
    </row>
    <row r="13385">
      <c r="A13385" s="11" t="s">
        <v>13416</v>
      </c>
    </row>
    <row r="13386">
      <c r="A13386" s="11" t="s">
        <v>13417</v>
      </c>
    </row>
    <row r="13387">
      <c r="A13387" s="11" t="s">
        <v>13418</v>
      </c>
    </row>
    <row r="13388">
      <c r="A13388" s="11" t="s">
        <v>13419</v>
      </c>
    </row>
    <row r="13389">
      <c r="A13389" s="11" t="s">
        <v>13420</v>
      </c>
    </row>
    <row r="13390">
      <c r="A13390" s="11" t="s">
        <v>13421</v>
      </c>
    </row>
    <row r="13391">
      <c r="A13391" s="11" t="s">
        <v>13422</v>
      </c>
    </row>
    <row r="13392">
      <c r="A13392" s="11" t="s">
        <v>13423</v>
      </c>
    </row>
    <row r="13393">
      <c r="A13393" s="11" t="s">
        <v>13424</v>
      </c>
    </row>
    <row r="13394">
      <c r="A13394" s="11" t="s">
        <v>13425</v>
      </c>
    </row>
    <row r="13395">
      <c r="A13395" s="11" t="s">
        <v>13426</v>
      </c>
    </row>
    <row r="13396">
      <c r="A13396" s="11" t="s">
        <v>13427</v>
      </c>
    </row>
    <row r="13397">
      <c r="A13397" s="11" t="s">
        <v>13428</v>
      </c>
    </row>
    <row r="13398">
      <c r="A13398" s="11" t="s">
        <v>13429</v>
      </c>
    </row>
    <row r="13399">
      <c r="A13399" s="11" t="s">
        <v>13430</v>
      </c>
    </row>
    <row r="13400">
      <c r="A13400" s="11" t="s">
        <v>13431</v>
      </c>
    </row>
    <row r="13401">
      <c r="A13401" s="11" t="s">
        <v>13432</v>
      </c>
    </row>
    <row r="13402">
      <c r="A13402" s="11" t="s">
        <v>13433</v>
      </c>
    </row>
    <row r="13403">
      <c r="A13403" s="11" t="s">
        <v>13434</v>
      </c>
    </row>
    <row r="13404">
      <c r="A13404" s="11" t="s">
        <v>13435</v>
      </c>
    </row>
    <row r="13405">
      <c r="A13405" s="11" t="s">
        <v>13436</v>
      </c>
    </row>
    <row r="13406">
      <c r="A13406" s="11" t="s">
        <v>13437</v>
      </c>
    </row>
    <row r="13407">
      <c r="A13407" s="11" t="s">
        <v>13438</v>
      </c>
    </row>
    <row r="13408">
      <c r="A13408" s="11" t="s">
        <v>13439</v>
      </c>
    </row>
    <row r="13409">
      <c r="A13409" s="11" t="s">
        <v>13440</v>
      </c>
    </row>
    <row r="13410">
      <c r="A13410" s="11" t="s">
        <v>13441</v>
      </c>
    </row>
    <row r="13411">
      <c r="A13411" s="11" t="s">
        <v>13442</v>
      </c>
    </row>
    <row r="13412">
      <c r="A13412" s="11" t="s">
        <v>13443</v>
      </c>
    </row>
    <row r="13413">
      <c r="A13413" s="11" t="s">
        <v>13444</v>
      </c>
    </row>
    <row r="13414">
      <c r="A13414" s="11" t="s">
        <v>13445</v>
      </c>
    </row>
    <row r="13415">
      <c r="A13415" s="11" t="s">
        <v>13446</v>
      </c>
    </row>
    <row r="13416">
      <c r="A13416" s="11" t="s">
        <v>13447</v>
      </c>
    </row>
    <row r="13417">
      <c r="A13417" s="11" t="s">
        <v>13448</v>
      </c>
    </row>
    <row r="13418">
      <c r="A13418" s="11" t="s">
        <v>13449</v>
      </c>
    </row>
    <row r="13419">
      <c r="A13419" s="11" t="s">
        <v>13450</v>
      </c>
    </row>
    <row r="13420">
      <c r="A13420" s="11" t="s">
        <v>13451</v>
      </c>
    </row>
    <row r="13421">
      <c r="A13421" s="11" t="s">
        <v>13452</v>
      </c>
    </row>
    <row r="13422">
      <c r="A13422" s="11" t="s">
        <v>13453</v>
      </c>
    </row>
    <row r="13423">
      <c r="A13423" s="11" t="s">
        <v>13454</v>
      </c>
    </row>
    <row r="13424">
      <c r="A13424" s="11" t="s">
        <v>13455</v>
      </c>
    </row>
    <row r="13425">
      <c r="A13425" s="11" t="s">
        <v>13456</v>
      </c>
    </row>
    <row r="13426">
      <c r="A13426" s="11" t="s">
        <v>13457</v>
      </c>
    </row>
    <row r="13427">
      <c r="A13427" s="11" t="s">
        <v>13458</v>
      </c>
    </row>
    <row r="13428">
      <c r="A13428" s="11" t="s">
        <v>13459</v>
      </c>
    </row>
    <row r="13429">
      <c r="A13429" s="11" t="s">
        <v>13460</v>
      </c>
    </row>
    <row r="13430">
      <c r="A13430" s="11" t="s">
        <v>13461</v>
      </c>
    </row>
    <row r="13431">
      <c r="A13431" s="11" t="s">
        <v>13462</v>
      </c>
    </row>
    <row r="13432">
      <c r="A13432" s="11" t="s">
        <v>13463</v>
      </c>
    </row>
    <row r="13433">
      <c r="A13433" s="11" t="s">
        <v>13464</v>
      </c>
    </row>
    <row r="13434">
      <c r="A13434" s="11" t="s">
        <v>13465</v>
      </c>
    </row>
    <row r="13435">
      <c r="A13435" s="11" t="s">
        <v>13466</v>
      </c>
    </row>
    <row r="13436">
      <c r="A13436" s="11" t="s">
        <v>13467</v>
      </c>
    </row>
    <row r="13437">
      <c r="A13437" s="11" t="s">
        <v>13468</v>
      </c>
    </row>
    <row r="13438">
      <c r="A13438" s="11" t="s">
        <v>13469</v>
      </c>
    </row>
    <row r="13439">
      <c r="A13439" s="11" t="s">
        <v>13470</v>
      </c>
    </row>
    <row r="13440">
      <c r="A13440" s="11" t="s">
        <v>13471</v>
      </c>
    </row>
    <row r="13441">
      <c r="A13441" s="11" t="s">
        <v>13472</v>
      </c>
    </row>
    <row r="13442">
      <c r="A13442" s="11" t="s">
        <v>13473</v>
      </c>
    </row>
    <row r="13443">
      <c r="A13443" s="11" t="s">
        <v>13474</v>
      </c>
    </row>
    <row r="13444">
      <c r="A13444" s="11" t="s">
        <v>13475</v>
      </c>
    </row>
    <row r="13445">
      <c r="A13445" s="11" t="s">
        <v>13476</v>
      </c>
    </row>
    <row r="13446">
      <c r="A13446" s="11" t="s">
        <v>13477</v>
      </c>
    </row>
    <row r="13447">
      <c r="A13447" s="11" t="s">
        <v>13478</v>
      </c>
    </row>
    <row r="13448">
      <c r="A13448" s="11" t="s">
        <v>13479</v>
      </c>
    </row>
    <row r="13449">
      <c r="A13449" s="11" t="s">
        <v>13480</v>
      </c>
    </row>
    <row r="13450">
      <c r="A13450" s="11" t="s">
        <v>13481</v>
      </c>
    </row>
    <row r="13451">
      <c r="A13451" s="11" t="s">
        <v>13482</v>
      </c>
    </row>
    <row r="13452">
      <c r="A13452" s="11" t="s">
        <v>13483</v>
      </c>
    </row>
    <row r="13453">
      <c r="A13453" s="11" t="s">
        <v>13484</v>
      </c>
    </row>
    <row r="13454">
      <c r="A13454" s="11" t="s">
        <v>13485</v>
      </c>
    </row>
    <row r="13455">
      <c r="A13455" s="11" t="s">
        <v>13486</v>
      </c>
    </row>
    <row r="13456">
      <c r="A13456" s="11" t="s">
        <v>13487</v>
      </c>
    </row>
    <row r="13457">
      <c r="A13457" s="11" t="s">
        <v>13488</v>
      </c>
    </row>
    <row r="13458">
      <c r="A13458" s="11" t="s">
        <v>13489</v>
      </c>
    </row>
    <row r="13459">
      <c r="A13459" s="11" t="s">
        <v>13490</v>
      </c>
    </row>
    <row r="13460">
      <c r="A13460" s="11" t="s">
        <v>13491</v>
      </c>
    </row>
    <row r="13461">
      <c r="A13461" s="11" t="s">
        <v>13492</v>
      </c>
    </row>
    <row r="13462">
      <c r="A13462" s="11" t="s">
        <v>13493</v>
      </c>
    </row>
    <row r="13463">
      <c r="A13463" s="11" t="s">
        <v>13494</v>
      </c>
    </row>
    <row r="13464">
      <c r="A13464" s="11" t="s">
        <v>13495</v>
      </c>
    </row>
    <row r="13465">
      <c r="A13465" s="11" t="s">
        <v>13496</v>
      </c>
    </row>
    <row r="13466">
      <c r="A13466" s="11" t="s">
        <v>13497</v>
      </c>
    </row>
    <row r="13467">
      <c r="A13467" s="11" t="s">
        <v>13498</v>
      </c>
    </row>
    <row r="13468">
      <c r="A13468" s="11" t="s">
        <v>13499</v>
      </c>
    </row>
    <row r="13469">
      <c r="A13469" s="11" t="s">
        <v>13500</v>
      </c>
    </row>
    <row r="13470">
      <c r="A13470" s="11" t="s">
        <v>13501</v>
      </c>
    </row>
    <row r="13471">
      <c r="A13471" s="11" t="s">
        <v>13502</v>
      </c>
    </row>
    <row r="13472">
      <c r="A13472" s="11" t="s">
        <v>13503</v>
      </c>
    </row>
    <row r="13473">
      <c r="A13473" s="11" t="s">
        <v>13504</v>
      </c>
    </row>
    <row r="13474">
      <c r="A13474" s="11" t="s">
        <v>13505</v>
      </c>
    </row>
    <row r="13475">
      <c r="A13475" s="11" t="s">
        <v>13506</v>
      </c>
    </row>
    <row r="13476">
      <c r="A13476" s="11" t="s">
        <v>13507</v>
      </c>
    </row>
    <row r="13477">
      <c r="A13477" s="11" t="s">
        <v>13508</v>
      </c>
    </row>
    <row r="13478">
      <c r="A13478" s="11" t="s">
        <v>13509</v>
      </c>
    </row>
    <row r="13479">
      <c r="A13479" s="11" t="s">
        <v>13510</v>
      </c>
    </row>
    <row r="13480">
      <c r="A13480" s="11" t="s">
        <v>13511</v>
      </c>
    </row>
    <row r="13481">
      <c r="A13481" s="11" t="s">
        <v>13512</v>
      </c>
    </row>
    <row r="13482">
      <c r="A13482" s="11" t="s">
        <v>13513</v>
      </c>
    </row>
    <row r="13483">
      <c r="A13483" s="11" t="s">
        <v>13514</v>
      </c>
    </row>
    <row r="13484">
      <c r="A13484" s="11" t="s">
        <v>13515</v>
      </c>
    </row>
    <row r="13485">
      <c r="A13485" s="11" t="s">
        <v>13516</v>
      </c>
    </row>
    <row r="13486">
      <c r="A13486" s="11" t="s">
        <v>13517</v>
      </c>
    </row>
    <row r="13487">
      <c r="A13487" s="11" t="s">
        <v>13518</v>
      </c>
    </row>
    <row r="13488">
      <c r="A13488" s="11" t="s">
        <v>13519</v>
      </c>
    </row>
    <row r="13489">
      <c r="A13489" s="11" t="s">
        <v>13520</v>
      </c>
    </row>
    <row r="13490">
      <c r="A13490" s="11" t="s">
        <v>13521</v>
      </c>
    </row>
    <row r="13491">
      <c r="A13491" s="11" t="s">
        <v>13522</v>
      </c>
    </row>
    <row r="13492">
      <c r="A13492" s="11" t="s">
        <v>13523</v>
      </c>
    </row>
    <row r="13493">
      <c r="A13493" s="11" t="s">
        <v>13524</v>
      </c>
    </row>
    <row r="13494">
      <c r="A13494" s="11" t="s">
        <v>13525</v>
      </c>
    </row>
    <row r="13495">
      <c r="A13495" s="11" t="s">
        <v>13526</v>
      </c>
    </row>
    <row r="13496">
      <c r="A13496" s="11" t="s">
        <v>13527</v>
      </c>
    </row>
    <row r="13497">
      <c r="A13497" s="11" t="s">
        <v>13528</v>
      </c>
    </row>
    <row r="13498">
      <c r="A13498" s="11" t="s">
        <v>13529</v>
      </c>
    </row>
    <row r="13499">
      <c r="A13499" s="11" t="s">
        <v>13530</v>
      </c>
    </row>
    <row r="13500">
      <c r="A13500" s="11" t="s">
        <v>13531</v>
      </c>
    </row>
    <row r="13501">
      <c r="A13501" s="11" t="s">
        <v>13532</v>
      </c>
    </row>
    <row r="13502">
      <c r="A13502" s="11" t="s">
        <v>13533</v>
      </c>
    </row>
    <row r="13503">
      <c r="A13503" s="11" t="s">
        <v>13534</v>
      </c>
    </row>
    <row r="13504">
      <c r="A13504" s="11" t="s">
        <v>13535</v>
      </c>
    </row>
    <row r="13505">
      <c r="A13505" s="11" t="s">
        <v>13536</v>
      </c>
    </row>
    <row r="13506">
      <c r="A13506" s="11" t="s">
        <v>13537</v>
      </c>
    </row>
    <row r="13507">
      <c r="A13507" s="11" t="s">
        <v>13538</v>
      </c>
    </row>
    <row r="13508">
      <c r="A13508" s="11" t="s">
        <v>13539</v>
      </c>
    </row>
    <row r="13509">
      <c r="A13509" s="11" t="s">
        <v>13540</v>
      </c>
    </row>
    <row r="13510">
      <c r="A13510" s="11" t="s">
        <v>13541</v>
      </c>
    </row>
    <row r="13511">
      <c r="A13511" s="11" t="s">
        <v>13542</v>
      </c>
    </row>
    <row r="13512">
      <c r="A13512" s="11" t="s">
        <v>13543</v>
      </c>
    </row>
    <row r="13513">
      <c r="A13513" s="11" t="s">
        <v>13544</v>
      </c>
    </row>
    <row r="13514">
      <c r="A13514" s="11" t="s">
        <v>13545</v>
      </c>
    </row>
    <row r="13515">
      <c r="A13515" s="11" t="s">
        <v>13546</v>
      </c>
    </row>
    <row r="13516">
      <c r="A13516" s="11" t="s">
        <v>13547</v>
      </c>
    </row>
    <row r="13517">
      <c r="A13517" s="11" t="s">
        <v>13548</v>
      </c>
    </row>
    <row r="13518">
      <c r="A13518" s="11" t="s">
        <v>13549</v>
      </c>
    </row>
    <row r="13519">
      <c r="A13519" s="11" t="s">
        <v>13550</v>
      </c>
    </row>
    <row r="13520">
      <c r="A13520" s="11" t="s">
        <v>13551</v>
      </c>
    </row>
    <row r="13521">
      <c r="A13521" s="11" t="s">
        <v>13552</v>
      </c>
    </row>
    <row r="13522">
      <c r="A13522" s="11" t="s">
        <v>13553</v>
      </c>
    </row>
    <row r="13523">
      <c r="A13523" s="11" t="s">
        <v>13554</v>
      </c>
    </row>
    <row r="13524">
      <c r="A13524" s="11" t="s">
        <v>13555</v>
      </c>
    </row>
    <row r="13525">
      <c r="A13525" s="11" t="s">
        <v>13556</v>
      </c>
    </row>
    <row r="13526">
      <c r="A13526" s="11" t="s">
        <v>13557</v>
      </c>
    </row>
    <row r="13527">
      <c r="A13527" s="11" t="s">
        <v>13558</v>
      </c>
    </row>
    <row r="13528">
      <c r="A13528" s="11" t="s">
        <v>13559</v>
      </c>
    </row>
    <row r="13529">
      <c r="A13529" s="11" t="s">
        <v>13560</v>
      </c>
    </row>
    <row r="13530">
      <c r="A13530" s="11" t="s">
        <v>13561</v>
      </c>
    </row>
    <row r="13531">
      <c r="A13531" s="11" t="s">
        <v>13562</v>
      </c>
    </row>
    <row r="13532">
      <c r="A13532" s="11" t="s">
        <v>13563</v>
      </c>
    </row>
    <row r="13533">
      <c r="A13533" s="11" t="s">
        <v>13564</v>
      </c>
    </row>
    <row r="13534">
      <c r="A13534" s="11" t="s">
        <v>13565</v>
      </c>
    </row>
    <row r="13535">
      <c r="A13535" s="11" t="s">
        <v>13566</v>
      </c>
    </row>
    <row r="13536">
      <c r="A13536" s="11" t="s">
        <v>13567</v>
      </c>
    </row>
    <row r="13537">
      <c r="A13537" s="11" t="s">
        <v>13568</v>
      </c>
    </row>
    <row r="13538">
      <c r="A13538" s="11" t="s">
        <v>13569</v>
      </c>
    </row>
    <row r="13539">
      <c r="A13539" s="11" t="s">
        <v>13570</v>
      </c>
    </row>
    <row r="13540">
      <c r="A13540" s="11" t="s">
        <v>13571</v>
      </c>
    </row>
    <row r="13541">
      <c r="A13541" s="11" t="s">
        <v>13572</v>
      </c>
    </row>
    <row r="13542">
      <c r="A13542" s="11" t="s">
        <v>13573</v>
      </c>
    </row>
    <row r="13543">
      <c r="A13543" s="11" t="s">
        <v>13574</v>
      </c>
    </row>
    <row r="13544">
      <c r="A13544" s="11" t="s">
        <v>13575</v>
      </c>
    </row>
    <row r="13545">
      <c r="A13545" s="11" t="s">
        <v>13576</v>
      </c>
    </row>
    <row r="13546">
      <c r="A13546" s="11" t="s">
        <v>13577</v>
      </c>
    </row>
    <row r="13547">
      <c r="A13547" s="11" t="s">
        <v>13578</v>
      </c>
    </row>
    <row r="13548">
      <c r="A13548" s="11" t="s">
        <v>13579</v>
      </c>
    </row>
    <row r="13549">
      <c r="A13549" s="11" t="s">
        <v>13580</v>
      </c>
    </row>
    <row r="13550">
      <c r="A13550" s="11" t="s">
        <v>13581</v>
      </c>
    </row>
    <row r="13551">
      <c r="A13551" s="11" t="s">
        <v>13582</v>
      </c>
    </row>
    <row r="13552">
      <c r="A13552" s="11" t="s">
        <v>13583</v>
      </c>
    </row>
    <row r="13553">
      <c r="A13553" s="11" t="s">
        <v>13584</v>
      </c>
    </row>
    <row r="13554">
      <c r="A13554" s="11" t="s">
        <v>13585</v>
      </c>
    </row>
    <row r="13555">
      <c r="A13555" s="11" t="s">
        <v>13586</v>
      </c>
    </row>
    <row r="13556">
      <c r="A13556" s="11" t="s">
        <v>13587</v>
      </c>
    </row>
    <row r="13557">
      <c r="A13557" s="11" t="s">
        <v>13588</v>
      </c>
    </row>
    <row r="13558">
      <c r="A13558" s="11" t="s">
        <v>13589</v>
      </c>
    </row>
    <row r="13559">
      <c r="A13559" s="11" t="s">
        <v>13590</v>
      </c>
    </row>
    <row r="13560">
      <c r="A13560" s="11" t="s">
        <v>13591</v>
      </c>
    </row>
    <row r="13561">
      <c r="A13561" s="11" t="s">
        <v>13592</v>
      </c>
    </row>
    <row r="13562">
      <c r="A13562" s="11" t="s">
        <v>13593</v>
      </c>
    </row>
    <row r="13563">
      <c r="A13563" s="11" t="s">
        <v>13594</v>
      </c>
    </row>
    <row r="13564">
      <c r="A13564" s="11" t="s">
        <v>13595</v>
      </c>
    </row>
    <row r="13565">
      <c r="A13565" s="11" t="s">
        <v>13596</v>
      </c>
    </row>
    <row r="13566">
      <c r="A13566" s="11" t="s">
        <v>13597</v>
      </c>
    </row>
    <row r="13567">
      <c r="A13567" s="11" t="s">
        <v>13598</v>
      </c>
    </row>
    <row r="13568">
      <c r="A13568" s="11" t="s">
        <v>13599</v>
      </c>
    </row>
    <row r="13569">
      <c r="A13569" s="11" t="s">
        <v>13600</v>
      </c>
    </row>
    <row r="13570">
      <c r="A13570" s="11" t="s">
        <v>13601</v>
      </c>
    </row>
    <row r="13571">
      <c r="A13571" s="11" t="s">
        <v>13602</v>
      </c>
    </row>
    <row r="13572">
      <c r="A13572" s="11" t="s">
        <v>13603</v>
      </c>
    </row>
    <row r="13573">
      <c r="A13573" s="11" t="s">
        <v>13604</v>
      </c>
    </row>
    <row r="13574">
      <c r="A13574" s="11" t="s">
        <v>13605</v>
      </c>
    </row>
    <row r="13575">
      <c r="A13575" s="11" t="s">
        <v>13606</v>
      </c>
    </row>
    <row r="13576">
      <c r="A13576" s="11" t="s">
        <v>13607</v>
      </c>
    </row>
    <row r="13577">
      <c r="A13577" s="11" t="s">
        <v>13608</v>
      </c>
    </row>
    <row r="13578">
      <c r="A13578" s="11" t="s">
        <v>13609</v>
      </c>
    </row>
    <row r="13579">
      <c r="A13579" s="11" t="s">
        <v>13610</v>
      </c>
    </row>
    <row r="13580">
      <c r="A13580" s="11" t="s">
        <v>13611</v>
      </c>
    </row>
    <row r="13581">
      <c r="A13581" s="11" t="s">
        <v>13612</v>
      </c>
    </row>
    <row r="13582">
      <c r="A13582" s="11" t="s">
        <v>13613</v>
      </c>
    </row>
    <row r="13583">
      <c r="A13583" s="11" t="s">
        <v>13614</v>
      </c>
    </row>
    <row r="13584">
      <c r="A13584" s="11" t="s">
        <v>13615</v>
      </c>
    </row>
    <row r="13585">
      <c r="A13585" s="11" t="s">
        <v>13616</v>
      </c>
    </row>
    <row r="13586">
      <c r="A13586" s="11" t="s">
        <v>13617</v>
      </c>
    </row>
    <row r="13587">
      <c r="A13587" s="11" t="s">
        <v>13618</v>
      </c>
    </row>
    <row r="13588">
      <c r="A13588" s="11" t="s">
        <v>13619</v>
      </c>
    </row>
    <row r="13589">
      <c r="A13589" s="11" t="s">
        <v>13620</v>
      </c>
    </row>
    <row r="13590">
      <c r="A13590" s="11" t="s">
        <v>13621</v>
      </c>
    </row>
    <row r="13591">
      <c r="A13591" s="11" t="s">
        <v>13622</v>
      </c>
    </row>
    <row r="13592">
      <c r="A13592" s="11" t="s">
        <v>13623</v>
      </c>
    </row>
    <row r="13593">
      <c r="A13593" s="11" t="s">
        <v>13624</v>
      </c>
    </row>
    <row r="13594">
      <c r="A13594" s="11" t="s">
        <v>13625</v>
      </c>
    </row>
    <row r="13595">
      <c r="A13595" s="11" t="s">
        <v>13626</v>
      </c>
    </row>
    <row r="13596">
      <c r="A13596" s="11" t="s">
        <v>13627</v>
      </c>
    </row>
    <row r="13597">
      <c r="A13597" s="11" t="s">
        <v>13628</v>
      </c>
    </row>
    <row r="13598">
      <c r="A13598" s="11" t="s">
        <v>13629</v>
      </c>
    </row>
    <row r="13599">
      <c r="A13599" s="11" t="s">
        <v>13630</v>
      </c>
    </row>
    <row r="13600">
      <c r="A13600" s="11" t="s">
        <v>13631</v>
      </c>
    </row>
    <row r="13601">
      <c r="A13601" s="11" t="s">
        <v>13632</v>
      </c>
    </row>
    <row r="13602">
      <c r="A13602" s="11" t="s">
        <v>13633</v>
      </c>
    </row>
    <row r="13603">
      <c r="A13603" s="11" t="s">
        <v>13634</v>
      </c>
    </row>
    <row r="13604">
      <c r="A13604" s="11" t="s">
        <v>13635</v>
      </c>
    </row>
    <row r="13605">
      <c r="A13605" s="11" t="s">
        <v>13636</v>
      </c>
    </row>
    <row r="13606">
      <c r="A13606" s="11" t="s">
        <v>13637</v>
      </c>
    </row>
    <row r="13607">
      <c r="A13607" s="11" t="s">
        <v>13638</v>
      </c>
    </row>
    <row r="13608">
      <c r="A13608" s="11" t="s">
        <v>13639</v>
      </c>
    </row>
    <row r="13609">
      <c r="A13609" s="11" t="s">
        <v>13640</v>
      </c>
    </row>
    <row r="13610">
      <c r="A13610" s="11" t="s">
        <v>13641</v>
      </c>
    </row>
    <row r="13611">
      <c r="A13611" s="11" t="s">
        <v>13642</v>
      </c>
    </row>
    <row r="13612">
      <c r="A13612" s="11" t="s">
        <v>13643</v>
      </c>
    </row>
    <row r="13613">
      <c r="A13613" s="11" t="s">
        <v>13644</v>
      </c>
    </row>
    <row r="13614">
      <c r="A13614" s="11" t="s">
        <v>13645</v>
      </c>
    </row>
    <row r="13615">
      <c r="A13615" s="11" t="s">
        <v>13646</v>
      </c>
    </row>
    <row r="13616">
      <c r="A13616" s="11" t="s">
        <v>13647</v>
      </c>
    </row>
    <row r="13617">
      <c r="A13617" s="11" t="s">
        <v>13648</v>
      </c>
    </row>
    <row r="13618">
      <c r="A13618" s="11" t="s">
        <v>13649</v>
      </c>
    </row>
    <row r="13619">
      <c r="A13619" s="11" t="s">
        <v>13650</v>
      </c>
    </row>
    <row r="13620">
      <c r="A13620" s="11" t="s">
        <v>13651</v>
      </c>
    </row>
    <row r="13621">
      <c r="A13621" s="11" t="s">
        <v>13652</v>
      </c>
    </row>
    <row r="13622">
      <c r="A13622" s="11" t="s">
        <v>13653</v>
      </c>
    </row>
    <row r="13623">
      <c r="A13623" s="11" t="s">
        <v>13654</v>
      </c>
    </row>
    <row r="13624">
      <c r="A13624" s="11" t="s">
        <v>13655</v>
      </c>
    </row>
    <row r="13625">
      <c r="A13625" s="11" t="s">
        <v>13656</v>
      </c>
    </row>
    <row r="13626">
      <c r="A13626" s="11" t="s">
        <v>13657</v>
      </c>
    </row>
    <row r="13627">
      <c r="A13627" s="11" t="s">
        <v>13658</v>
      </c>
    </row>
    <row r="13628">
      <c r="A13628" s="11" t="s">
        <v>13659</v>
      </c>
    </row>
    <row r="13629">
      <c r="A13629" s="11" t="s">
        <v>13660</v>
      </c>
    </row>
    <row r="13630">
      <c r="A13630" s="11" t="s">
        <v>13661</v>
      </c>
    </row>
    <row r="13631">
      <c r="A13631" s="11" t="s">
        <v>13662</v>
      </c>
    </row>
    <row r="13632">
      <c r="A13632" s="11" t="s">
        <v>13663</v>
      </c>
    </row>
    <row r="13633">
      <c r="A13633" s="11" t="s">
        <v>13664</v>
      </c>
    </row>
    <row r="13634">
      <c r="A13634" s="11" t="s">
        <v>13665</v>
      </c>
    </row>
    <row r="13635">
      <c r="A13635" s="11" t="s">
        <v>13666</v>
      </c>
    </row>
    <row r="13636">
      <c r="A13636" s="11" t="s">
        <v>13667</v>
      </c>
    </row>
    <row r="13637">
      <c r="A13637" s="11" t="s">
        <v>13668</v>
      </c>
    </row>
    <row r="13638">
      <c r="A13638" s="11" t="s">
        <v>13669</v>
      </c>
    </row>
    <row r="13639">
      <c r="A13639" s="11" t="s">
        <v>13670</v>
      </c>
    </row>
    <row r="13640">
      <c r="A13640" s="11" t="s">
        <v>13671</v>
      </c>
    </row>
    <row r="13641">
      <c r="A13641" s="11" t="s">
        <v>13672</v>
      </c>
    </row>
    <row r="13642">
      <c r="A13642" s="11" t="s">
        <v>13673</v>
      </c>
    </row>
    <row r="13643">
      <c r="A13643" s="11" t="s">
        <v>13674</v>
      </c>
    </row>
    <row r="13644">
      <c r="A13644" s="11" t="s">
        <v>13675</v>
      </c>
    </row>
    <row r="13645">
      <c r="A13645" s="11" t="s">
        <v>13676</v>
      </c>
    </row>
    <row r="13646">
      <c r="A13646" s="11" t="s">
        <v>13677</v>
      </c>
    </row>
    <row r="13647">
      <c r="A13647" s="11" t="s">
        <v>13678</v>
      </c>
    </row>
    <row r="13648">
      <c r="A13648" s="11" t="s">
        <v>13679</v>
      </c>
    </row>
    <row r="13649">
      <c r="A13649" s="11" t="s">
        <v>13680</v>
      </c>
    </row>
    <row r="13650">
      <c r="A13650" s="11" t="s">
        <v>13681</v>
      </c>
    </row>
    <row r="13651">
      <c r="A13651" s="11" t="s">
        <v>13682</v>
      </c>
    </row>
    <row r="13652">
      <c r="A13652" s="11" t="s">
        <v>13683</v>
      </c>
    </row>
    <row r="13653">
      <c r="A13653" s="11" t="s">
        <v>13684</v>
      </c>
    </row>
    <row r="13654">
      <c r="A13654" s="11" t="s">
        <v>13685</v>
      </c>
    </row>
    <row r="13655">
      <c r="A13655" s="11" t="s">
        <v>13686</v>
      </c>
    </row>
    <row r="13656">
      <c r="A13656" s="11" t="s">
        <v>13687</v>
      </c>
    </row>
    <row r="13657">
      <c r="A13657" s="11" t="s">
        <v>13688</v>
      </c>
    </row>
    <row r="13658">
      <c r="A13658" s="11" t="s">
        <v>13689</v>
      </c>
    </row>
    <row r="13659">
      <c r="A13659" s="11" t="s">
        <v>13690</v>
      </c>
    </row>
    <row r="13660">
      <c r="A13660" s="11" t="s">
        <v>13691</v>
      </c>
    </row>
    <row r="13661">
      <c r="A13661" s="11" t="s">
        <v>13692</v>
      </c>
    </row>
    <row r="13662">
      <c r="A13662" s="11" t="s">
        <v>13693</v>
      </c>
    </row>
    <row r="13663">
      <c r="A13663" s="11" t="s">
        <v>13694</v>
      </c>
    </row>
    <row r="13664">
      <c r="A13664" s="11" t="s">
        <v>13695</v>
      </c>
    </row>
    <row r="13665">
      <c r="A13665" s="11" t="s">
        <v>13696</v>
      </c>
    </row>
    <row r="13666">
      <c r="A13666" s="11" t="s">
        <v>13697</v>
      </c>
    </row>
    <row r="13667">
      <c r="A13667" s="11" t="s">
        <v>13698</v>
      </c>
    </row>
    <row r="13668">
      <c r="A13668" s="11" t="s">
        <v>13699</v>
      </c>
    </row>
    <row r="13669">
      <c r="A13669" s="11" t="s">
        <v>13700</v>
      </c>
    </row>
    <row r="13670">
      <c r="A13670" s="11" t="s">
        <v>13701</v>
      </c>
    </row>
    <row r="13671">
      <c r="A13671" s="11" t="s">
        <v>13702</v>
      </c>
    </row>
    <row r="13672">
      <c r="A13672" s="11" t="s">
        <v>13703</v>
      </c>
    </row>
    <row r="13673">
      <c r="A13673" s="11" t="s">
        <v>13704</v>
      </c>
    </row>
    <row r="13674">
      <c r="A13674" s="11" t="s">
        <v>13705</v>
      </c>
    </row>
    <row r="13675">
      <c r="A13675" s="11" t="s">
        <v>13706</v>
      </c>
    </row>
    <row r="13676">
      <c r="A13676" s="11" t="s">
        <v>13707</v>
      </c>
    </row>
    <row r="13677">
      <c r="A13677" s="11" t="s">
        <v>13708</v>
      </c>
    </row>
    <row r="13678">
      <c r="A13678" s="11" t="s">
        <v>13709</v>
      </c>
    </row>
    <row r="13679">
      <c r="A13679" s="11" t="s">
        <v>13710</v>
      </c>
    </row>
    <row r="13680">
      <c r="A13680" s="11" t="s">
        <v>13711</v>
      </c>
    </row>
    <row r="13681">
      <c r="A13681" s="11" t="s">
        <v>13712</v>
      </c>
    </row>
    <row r="13682">
      <c r="A13682" s="11" t="s">
        <v>13713</v>
      </c>
    </row>
    <row r="13683">
      <c r="A13683" s="11" t="s">
        <v>13714</v>
      </c>
    </row>
    <row r="13684">
      <c r="A13684" s="11" t="s">
        <v>13715</v>
      </c>
    </row>
    <row r="13685">
      <c r="A13685" s="11" t="s">
        <v>13716</v>
      </c>
    </row>
    <row r="13686">
      <c r="A13686" s="11" t="s">
        <v>13717</v>
      </c>
    </row>
    <row r="13687">
      <c r="A13687" s="11" t="s">
        <v>13718</v>
      </c>
    </row>
    <row r="13688">
      <c r="A13688" s="11" t="s">
        <v>13719</v>
      </c>
    </row>
    <row r="13689">
      <c r="A13689" s="11" t="s">
        <v>13720</v>
      </c>
    </row>
    <row r="13690">
      <c r="A13690" s="11" t="s">
        <v>13721</v>
      </c>
    </row>
    <row r="13691">
      <c r="A13691" s="11" t="s">
        <v>13722</v>
      </c>
    </row>
    <row r="13692">
      <c r="A13692" s="11" t="s">
        <v>13723</v>
      </c>
    </row>
    <row r="13693">
      <c r="A13693" s="11" t="s">
        <v>13724</v>
      </c>
    </row>
    <row r="13694">
      <c r="A13694" s="11" t="s">
        <v>13725</v>
      </c>
    </row>
    <row r="13695">
      <c r="A13695" s="11" t="s">
        <v>13726</v>
      </c>
    </row>
    <row r="13696">
      <c r="A13696" s="11" t="s">
        <v>13727</v>
      </c>
    </row>
    <row r="13697">
      <c r="A13697" s="11" t="s">
        <v>13728</v>
      </c>
    </row>
    <row r="13698">
      <c r="A13698" s="11" t="s">
        <v>13729</v>
      </c>
    </row>
    <row r="13699">
      <c r="A13699" s="11" t="s">
        <v>13730</v>
      </c>
    </row>
    <row r="13700">
      <c r="A13700" s="11" t="s">
        <v>13731</v>
      </c>
    </row>
    <row r="13701">
      <c r="A13701" s="11" t="s">
        <v>13732</v>
      </c>
    </row>
    <row r="13702">
      <c r="A13702" s="11" t="s">
        <v>13733</v>
      </c>
    </row>
    <row r="13703">
      <c r="A13703" s="11" t="s">
        <v>13734</v>
      </c>
    </row>
    <row r="13704">
      <c r="A13704" s="11" t="s">
        <v>13735</v>
      </c>
    </row>
    <row r="13705">
      <c r="A13705" s="11" t="s">
        <v>13736</v>
      </c>
    </row>
    <row r="13706">
      <c r="A13706" s="11" t="s">
        <v>13737</v>
      </c>
    </row>
    <row r="13707">
      <c r="A13707" s="11" t="s">
        <v>13738</v>
      </c>
    </row>
    <row r="13708">
      <c r="A13708" s="11" t="s">
        <v>13739</v>
      </c>
    </row>
    <row r="13709">
      <c r="A13709" s="11" t="s">
        <v>13740</v>
      </c>
    </row>
    <row r="13710">
      <c r="A13710" s="11" t="s">
        <v>13741</v>
      </c>
    </row>
    <row r="13711">
      <c r="A13711" s="11" t="s">
        <v>13742</v>
      </c>
    </row>
    <row r="13712">
      <c r="A13712" s="11" t="s">
        <v>13743</v>
      </c>
    </row>
    <row r="13713">
      <c r="A13713" s="11" t="s">
        <v>13744</v>
      </c>
    </row>
    <row r="13714">
      <c r="A13714" s="11" t="s">
        <v>13745</v>
      </c>
    </row>
    <row r="13715">
      <c r="A13715" s="11" t="s">
        <v>13746</v>
      </c>
    </row>
    <row r="13716">
      <c r="A13716" s="11" t="s">
        <v>13747</v>
      </c>
    </row>
    <row r="13717">
      <c r="A13717" s="11" t="s">
        <v>13748</v>
      </c>
    </row>
    <row r="13718">
      <c r="A13718" s="11" t="s">
        <v>13749</v>
      </c>
    </row>
    <row r="13719">
      <c r="A13719" s="11" t="s">
        <v>13750</v>
      </c>
    </row>
    <row r="13720">
      <c r="A13720" s="11" t="s">
        <v>13751</v>
      </c>
    </row>
    <row r="13721">
      <c r="A13721" s="11" t="s">
        <v>13752</v>
      </c>
    </row>
    <row r="13722">
      <c r="A13722" s="11" t="s">
        <v>13753</v>
      </c>
    </row>
    <row r="13723">
      <c r="A13723" s="11" t="s">
        <v>13754</v>
      </c>
    </row>
    <row r="13724">
      <c r="A13724" s="11" t="s">
        <v>13755</v>
      </c>
    </row>
    <row r="13725">
      <c r="A13725" s="11" t="s">
        <v>13756</v>
      </c>
    </row>
    <row r="13726">
      <c r="A13726" s="11" t="s">
        <v>13757</v>
      </c>
    </row>
    <row r="13727">
      <c r="A13727" s="11" t="s">
        <v>13758</v>
      </c>
    </row>
    <row r="13728">
      <c r="A13728" s="11" t="s">
        <v>13759</v>
      </c>
    </row>
    <row r="13729">
      <c r="A13729" s="11" t="s">
        <v>13760</v>
      </c>
    </row>
    <row r="13730">
      <c r="A13730" s="11" t="s">
        <v>13761</v>
      </c>
    </row>
    <row r="13731">
      <c r="A13731" s="11" t="s">
        <v>13762</v>
      </c>
    </row>
    <row r="13732">
      <c r="A13732" s="11" t="s">
        <v>13763</v>
      </c>
    </row>
    <row r="13733">
      <c r="A13733" s="11" t="s">
        <v>13764</v>
      </c>
    </row>
    <row r="13734">
      <c r="A13734" s="11" t="s">
        <v>13765</v>
      </c>
    </row>
    <row r="13735">
      <c r="A13735" s="11" t="s">
        <v>13766</v>
      </c>
    </row>
    <row r="13736">
      <c r="A13736" s="11" t="s">
        <v>13767</v>
      </c>
    </row>
    <row r="13737">
      <c r="A13737" s="11" t="s">
        <v>13768</v>
      </c>
    </row>
    <row r="13738">
      <c r="A13738" s="11" t="s">
        <v>13769</v>
      </c>
    </row>
    <row r="13739">
      <c r="A13739" s="11" t="s">
        <v>13770</v>
      </c>
    </row>
    <row r="13740">
      <c r="A13740" s="11" t="s">
        <v>13771</v>
      </c>
    </row>
    <row r="13741">
      <c r="A13741" s="11" t="s">
        <v>13772</v>
      </c>
    </row>
    <row r="13742">
      <c r="A13742" s="11" t="s">
        <v>13773</v>
      </c>
    </row>
    <row r="13743">
      <c r="A13743" s="11" t="s">
        <v>13774</v>
      </c>
    </row>
    <row r="13744">
      <c r="A13744" s="11" t="s">
        <v>13775</v>
      </c>
    </row>
    <row r="13745">
      <c r="A13745" s="11" t="s">
        <v>13776</v>
      </c>
    </row>
    <row r="13746">
      <c r="A13746" s="11" t="s">
        <v>13777</v>
      </c>
    </row>
    <row r="13747">
      <c r="A13747" s="11" t="s">
        <v>13778</v>
      </c>
    </row>
    <row r="13748">
      <c r="A13748" s="11" t="s">
        <v>13779</v>
      </c>
    </row>
    <row r="13749">
      <c r="A13749" s="11" t="s">
        <v>13780</v>
      </c>
    </row>
    <row r="13750">
      <c r="A13750" s="11" t="s">
        <v>13781</v>
      </c>
    </row>
    <row r="13751">
      <c r="A13751" s="11" t="s">
        <v>13782</v>
      </c>
    </row>
    <row r="13752">
      <c r="A13752" s="11" t="s">
        <v>13783</v>
      </c>
    </row>
    <row r="13753">
      <c r="A13753" s="11" t="s">
        <v>13784</v>
      </c>
    </row>
    <row r="13754">
      <c r="A13754" s="11" t="s">
        <v>13785</v>
      </c>
    </row>
    <row r="13755">
      <c r="A13755" s="11" t="s">
        <v>13786</v>
      </c>
    </row>
    <row r="13756">
      <c r="A13756" s="11" t="s">
        <v>13787</v>
      </c>
    </row>
    <row r="13757">
      <c r="A13757" s="11" t="s">
        <v>13788</v>
      </c>
    </row>
    <row r="13758">
      <c r="A13758" s="11" t="s">
        <v>13789</v>
      </c>
    </row>
    <row r="13759">
      <c r="A13759" s="11" t="s">
        <v>13790</v>
      </c>
    </row>
    <row r="13760">
      <c r="A13760" s="11" t="s">
        <v>13791</v>
      </c>
    </row>
    <row r="13761">
      <c r="A13761" s="11" t="s">
        <v>13792</v>
      </c>
    </row>
    <row r="13762">
      <c r="A13762" s="11" t="s">
        <v>13793</v>
      </c>
    </row>
    <row r="13763">
      <c r="A13763" s="11" t="s">
        <v>13794</v>
      </c>
    </row>
    <row r="13764">
      <c r="A13764" s="11" t="s">
        <v>13795</v>
      </c>
    </row>
    <row r="13765">
      <c r="A13765" s="11" t="s">
        <v>13796</v>
      </c>
    </row>
    <row r="13766">
      <c r="A13766" s="11" t="s">
        <v>13797</v>
      </c>
    </row>
    <row r="13767">
      <c r="A13767" s="11" t="s">
        <v>13798</v>
      </c>
    </row>
    <row r="13768">
      <c r="A13768" s="11" t="s">
        <v>13799</v>
      </c>
    </row>
    <row r="13769">
      <c r="A13769" s="11" t="s">
        <v>13800</v>
      </c>
    </row>
    <row r="13770">
      <c r="A13770" s="11" t="s">
        <v>13801</v>
      </c>
    </row>
    <row r="13771">
      <c r="A13771" s="11" t="s">
        <v>13802</v>
      </c>
    </row>
    <row r="13772">
      <c r="A13772" s="11" t="s">
        <v>13803</v>
      </c>
    </row>
    <row r="13773">
      <c r="A13773" s="11" t="s">
        <v>13804</v>
      </c>
    </row>
    <row r="13774">
      <c r="A13774" s="11" t="s">
        <v>13805</v>
      </c>
    </row>
    <row r="13775">
      <c r="A13775" s="11" t="s">
        <v>13806</v>
      </c>
    </row>
    <row r="13776">
      <c r="A13776" s="11" t="s">
        <v>13807</v>
      </c>
    </row>
    <row r="13777">
      <c r="A13777" s="11" t="s">
        <v>13808</v>
      </c>
    </row>
    <row r="13778">
      <c r="A13778" s="11" t="s">
        <v>13809</v>
      </c>
    </row>
    <row r="13779">
      <c r="A13779" s="11" t="s">
        <v>13810</v>
      </c>
    </row>
    <row r="13780">
      <c r="A13780" s="11" t="s">
        <v>13811</v>
      </c>
    </row>
    <row r="13781">
      <c r="A13781" s="11" t="s">
        <v>13812</v>
      </c>
    </row>
    <row r="13782">
      <c r="A13782" s="11" t="s">
        <v>13813</v>
      </c>
    </row>
    <row r="13783">
      <c r="A13783" s="11" t="s">
        <v>13814</v>
      </c>
    </row>
    <row r="13784">
      <c r="A13784" s="11" t="s">
        <v>13815</v>
      </c>
    </row>
    <row r="13785">
      <c r="A13785" s="11" t="s">
        <v>13816</v>
      </c>
    </row>
    <row r="13786">
      <c r="A13786" s="11" t="s">
        <v>13817</v>
      </c>
    </row>
    <row r="13787">
      <c r="A13787" s="11" t="s">
        <v>13818</v>
      </c>
    </row>
    <row r="13788">
      <c r="A13788" s="11" t="s">
        <v>13819</v>
      </c>
    </row>
    <row r="13789">
      <c r="A13789" s="11" t="s">
        <v>13820</v>
      </c>
    </row>
    <row r="13790">
      <c r="A13790" s="11" t="s">
        <v>13821</v>
      </c>
    </row>
    <row r="13791">
      <c r="A13791" s="11" t="s">
        <v>13822</v>
      </c>
    </row>
    <row r="13792">
      <c r="A13792" s="11" t="s">
        <v>13823</v>
      </c>
    </row>
    <row r="13793">
      <c r="A13793" s="11" t="s">
        <v>13824</v>
      </c>
    </row>
    <row r="13794">
      <c r="A13794" s="11" t="s">
        <v>13825</v>
      </c>
    </row>
    <row r="13795">
      <c r="A13795" s="11" t="s">
        <v>13826</v>
      </c>
    </row>
    <row r="13796">
      <c r="A13796" s="11" t="s">
        <v>13827</v>
      </c>
    </row>
    <row r="13797">
      <c r="A13797" s="11" t="s">
        <v>13828</v>
      </c>
    </row>
    <row r="13798">
      <c r="A13798" s="11" t="s">
        <v>13829</v>
      </c>
    </row>
    <row r="13799">
      <c r="A13799" s="11" t="s">
        <v>13830</v>
      </c>
    </row>
    <row r="13800">
      <c r="A13800" s="11" t="s">
        <v>13831</v>
      </c>
    </row>
    <row r="13801">
      <c r="A13801" s="11" t="s">
        <v>13832</v>
      </c>
    </row>
    <row r="13802">
      <c r="A13802" s="11" t="s">
        <v>13833</v>
      </c>
    </row>
    <row r="13803">
      <c r="A13803" s="11" t="s">
        <v>13834</v>
      </c>
    </row>
    <row r="13804">
      <c r="A13804" s="11" t="s">
        <v>13835</v>
      </c>
    </row>
    <row r="13805">
      <c r="A13805" s="11" t="s">
        <v>13836</v>
      </c>
    </row>
    <row r="13806">
      <c r="A13806" s="11" t="s">
        <v>13837</v>
      </c>
    </row>
    <row r="13807">
      <c r="A13807" s="11" t="s">
        <v>13838</v>
      </c>
    </row>
    <row r="13808">
      <c r="A13808" s="11" t="s">
        <v>13839</v>
      </c>
    </row>
    <row r="13809">
      <c r="A13809" s="11" t="s">
        <v>13840</v>
      </c>
    </row>
    <row r="13810">
      <c r="A13810" s="11" t="s">
        <v>13841</v>
      </c>
    </row>
    <row r="13811">
      <c r="A13811" s="11" t="s">
        <v>13842</v>
      </c>
    </row>
    <row r="13812">
      <c r="A13812" s="11" t="s">
        <v>13843</v>
      </c>
    </row>
    <row r="13813">
      <c r="A13813" s="11" t="s">
        <v>13844</v>
      </c>
    </row>
    <row r="13814">
      <c r="A13814" s="11" t="s">
        <v>13845</v>
      </c>
    </row>
    <row r="13815">
      <c r="A13815" s="11" t="s">
        <v>13846</v>
      </c>
    </row>
    <row r="13816">
      <c r="A13816" s="11" t="s">
        <v>13847</v>
      </c>
    </row>
    <row r="13817">
      <c r="A13817" s="11" t="s">
        <v>13848</v>
      </c>
    </row>
    <row r="13818">
      <c r="A13818" s="11" t="s">
        <v>13849</v>
      </c>
    </row>
    <row r="13819">
      <c r="A13819" s="11" t="s">
        <v>13850</v>
      </c>
    </row>
    <row r="13820">
      <c r="A13820" s="11" t="s">
        <v>13851</v>
      </c>
    </row>
    <row r="13821">
      <c r="A13821" s="11" t="s">
        <v>13852</v>
      </c>
    </row>
    <row r="13822">
      <c r="A13822" s="11" t="s">
        <v>13853</v>
      </c>
    </row>
    <row r="13823">
      <c r="A13823" s="11" t="s">
        <v>13854</v>
      </c>
    </row>
    <row r="13824">
      <c r="A13824" s="11" t="s">
        <v>13855</v>
      </c>
    </row>
    <row r="13825">
      <c r="A13825" s="11" t="s">
        <v>13856</v>
      </c>
    </row>
    <row r="13826">
      <c r="A13826" s="11" t="s">
        <v>13857</v>
      </c>
    </row>
    <row r="13827">
      <c r="A13827" s="11" t="s">
        <v>13858</v>
      </c>
    </row>
    <row r="13828">
      <c r="A13828" s="11" t="s">
        <v>13859</v>
      </c>
    </row>
    <row r="13829">
      <c r="A13829" s="11" t="s">
        <v>13860</v>
      </c>
    </row>
    <row r="13830">
      <c r="A13830" s="11" t="s">
        <v>13861</v>
      </c>
    </row>
    <row r="13831">
      <c r="A13831" s="11" t="s">
        <v>13862</v>
      </c>
    </row>
    <row r="13832">
      <c r="A13832" s="11" t="s">
        <v>13863</v>
      </c>
    </row>
    <row r="13833">
      <c r="A13833" s="11" t="s">
        <v>13864</v>
      </c>
    </row>
    <row r="13834">
      <c r="A13834" s="11" t="s">
        <v>13865</v>
      </c>
    </row>
    <row r="13835">
      <c r="A13835" s="11" t="s">
        <v>13866</v>
      </c>
    </row>
    <row r="13836">
      <c r="A13836" s="11" t="s">
        <v>13867</v>
      </c>
    </row>
    <row r="13837">
      <c r="A13837" s="11" t="s">
        <v>13868</v>
      </c>
    </row>
    <row r="13838">
      <c r="A13838" s="11" t="s">
        <v>13869</v>
      </c>
    </row>
    <row r="13839">
      <c r="A13839" s="11" t="s">
        <v>13870</v>
      </c>
    </row>
    <row r="13840">
      <c r="A13840" s="11" t="s">
        <v>13871</v>
      </c>
    </row>
    <row r="13841">
      <c r="A13841" s="11" t="s">
        <v>13872</v>
      </c>
    </row>
    <row r="13842">
      <c r="A13842" s="11" t="s">
        <v>13873</v>
      </c>
    </row>
    <row r="13843">
      <c r="A13843" s="11" t="s">
        <v>13874</v>
      </c>
    </row>
    <row r="13844">
      <c r="A13844" s="11" t="s">
        <v>13875</v>
      </c>
    </row>
    <row r="13845">
      <c r="A13845" s="11" t="s">
        <v>13876</v>
      </c>
    </row>
    <row r="13846">
      <c r="A13846" s="11" t="s">
        <v>13877</v>
      </c>
    </row>
    <row r="13847">
      <c r="A13847" s="11" t="s">
        <v>13878</v>
      </c>
    </row>
    <row r="13848">
      <c r="A13848" s="11" t="s">
        <v>13879</v>
      </c>
    </row>
    <row r="13849">
      <c r="A13849" s="11" t="s">
        <v>13880</v>
      </c>
    </row>
    <row r="13850">
      <c r="A13850" s="11" t="s">
        <v>13881</v>
      </c>
    </row>
    <row r="13851">
      <c r="A13851" s="11" t="s">
        <v>13882</v>
      </c>
    </row>
    <row r="13852">
      <c r="A13852" s="11" t="s">
        <v>13883</v>
      </c>
    </row>
    <row r="13853">
      <c r="A13853" s="11" t="s">
        <v>13884</v>
      </c>
    </row>
    <row r="13854">
      <c r="A13854" s="11" t="s">
        <v>13885</v>
      </c>
    </row>
    <row r="13855">
      <c r="A13855" s="11" t="s">
        <v>13886</v>
      </c>
    </row>
    <row r="13856">
      <c r="A13856" s="11" t="s">
        <v>13887</v>
      </c>
    </row>
    <row r="13857">
      <c r="A13857" s="11" t="s">
        <v>13888</v>
      </c>
    </row>
    <row r="13858">
      <c r="A13858" s="11" t="s">
        <v>13889</v>
      </c>
    </row>
    <row r="13859">
      <c r="A13859" s="11" t="s">
        <v>13890</v>
      </c>
    </row>
    <row r="13860">
      <c r="A13860" s="11" t="s">
        <v>13891</v>
      </c>
    </row>
    <row r="13861">
      <c r="A13861" s="11" t="s">
        <v>13892</v>
      </c>
    </row>
    <row r="13862">
      <c r="A13862" s="11" t="s">
        <v>13893</v>
      </c>
    </row>
    <row r="13863">
      <c r="A13863" s="11" t="s">
        <v>13894</v>
      </c>
    </row>
    <row r="13864">
      <c r="A13864" s="11" t="s">
        <v>13895</v>
      </c>
    </row>
    <row r="13865">
      <c r="A13865" s="11" t="s">
        <v>13896</v>
      </c>
    </row>
    <row r="13866">
      <c r="A13866" s="11" t="s">
        <v>13897</v>
      </c>
    </row>
    <row r="13867">
      <c r="A13867" s="11" t="s">
        <v>13898</v>
      </c>
    </row>
    <row r="13868">
      <c r="A13868" s="11" t="s">
        <v>13899</v>
      </c>
    </row>
    <row r="13869">
      <c r="A13869" s="11" t="s">
        <v>13900</v>
      </c>
    </row>
    <row r="13870">
      <c r="A13870" s="11" t="s">
        <v>13901</v>
      </c>
    </row>
    <row r="13871">
      <c r="A13871" s="11" t="s">
        <v>13902</v>
      </c>
    </row>
    <row r="13872">
      <c r="A13872" s="11" t="s">
        <v>13903</v>
      </c>
    </row>
    <row r="13873">
      <c r="A13873" s="11" t="s">
        <v>13904</v>
      </c>
    </row>
    <row r="13874">
      <c r="A13874" s="11" t="s">
        <v>13905</v>
      </c>
    </row>
    <row r="13875">
      <c r="A13875" s="11" t="s">
        <v>13906</v>
      </c>
    </row>
    <row r="13876">
      <c r="A13876" s="11" t="s">
        <v>13907</v>
      </c>
    </row>
    <row r="13877">
      <c r="A13877" s="11" t="s">
        <v>13908</v>
      </c>
    </row>
    <row r="13878">
      <c r="A13878" s="11" t="s">
        <v>13909</v>
      </c>
    </row>
    <row r="13879">
      <c r="A13879" s="11" t="s">
        <v>13910</v>
      </c>
    </row>
    <row r="13880">
      <c r="A13880" s="11" t="s">
        <v>13911</v>
      </c>
    </row>
    <row r="13881">
      <c r="A13881" s="11" t="s">
        <v>13912</v>
      </c>
    </row>
    <row r="13882">
      <c r="A13882" s="11" t="s">
        <v>13913</v>
      </c>
    </row>
    <row r="13883">
      <c r="A13883" s="11" t="s">
        <v>13914</v>
      </c>
    </row>
    <row r="13884">
      <c r="A13884" s="11" t="s">
        <v>13915</v>
      </c>
    </row>
    <row r="13885">
      <c r="A13885" s="11" t="s">
        <v>13916</v>
      </c>
    </row>
    <row r="13886">
      <c r="A13886" s="11" t="s">
        <v>13917</v>
      </c>
    </row>
    <row r="13887">
      <c r="A13887" s="11" t="s">
        <v>13918</v>
      </c>
    </row>
    <row r="13888">
      <c r="A13888" s="11" t="s">
        <v>13919</v>
      </c>
    </row>
    <row r="13889">
      <c r="A13889" s="11" t="s">
        <v>13920</v>
      </c>
    </row>
    <row r="13890">
      <c r="A13890" s="11" t="s">
        <v>13921</v>
      </c>
    </row>
    <row r="13891">
      <c r="A13891" s="11" t="s">
        <v>13922</v>
      </c>
    </row>
    <row r="13892">
      <c r="A13892" s="11" t="s">
        <v>13923</v>
      </c>
    </row>
    <row r="13893">
      <c r="A13893" s="11" t="s">
        <v>13924</v>
      </c>
    </row>
    <row r="13894">
      <c r="A13894" s="11" t="s">
        <v>13925</v>
      </c>
    </row>
    <row r="13895">
      <c r="A13895" s="11" t="s">
        <v>13926</v>
      </c>
    </row>
    <row r="13896">
      <c r="A13896" s="11" t="s">
        <v>13927</v>
      </c>
    </row>
    <row r="13897">
      <c r="A13897" s="11" t="s">
        <v>13928</v>
      </c>
    </row>
    <row r="13898">
      <c r="A13898" s="11" t="s">
        <v>13929</v>
      </c>
    </row>
    <row r="13899">
      <c r="A13899" s="11" t="s">
        <v>13930</v>
      </c>
    </row>
    <row r="13900">
      <c r="A13900" s="11" t="s">
        <v>13931</v>
      </c>
    </row>
    <row r="13901">
      <c r="A13901" s="11" t="s">
        <v>13932</v>
      </c>
    </row>
    <row r="13902">
      <c r="A13902" s="11" t="s">
        <v>13933</v>
      </c>
    </row>
    <row r="13903">
      <c r="A13903" s="11" t="s">
        <v>13934</v>
      </c>
    </row>
    <row r="13904">
      <c r="A13904" s="11" t="s">
        <v>13935</v>
      </c>
    </row>
    <row r="13905">
      <c r="A13905" s="11" t="s">
        <v>13936</v>
      </c>
    </row>
    <row r="13906">
      <c r="A13906" s="11" t="s">
        <v>13937</v>
      </c>
    </row>
    <row r="13907">
      <c r="A13907" s="11" t="s">
        <v>13938</v>
      </c>
    </row>
    <row r="13908">
      <c r="A13908" s="11" t="s">
        <v>13939</v>
      </c>
    </row>
    <row r="13909">
      <c r="A13909" s="11" t="s">
        <v>13940</v>
      </c>
    </row>
    <row r="13910">
      <c r="A13910" s="11" t="s">
        <v>13941</v>
      </c>
    </row>
    <row r="13911">
      <c r="A13911" s="11" t="s">
        <v>13942</v>
      </c>
    </row>
    <row r="13912">
      <c r="A13912" s="11" t="s">
        <v>13943</v>
      </c>
    </row>
    <row r="13913">
      <c r="A13913" s="11" t="s">
        <v>13944</v>
      </c>
    </row>
    <row r="13914">
      <c r="A13914" s="11" t="s">
        <v>13945</v>
      </c>
    </row>
    <row r="13915">
      <c r="A13915" s="11" t="s">
        <v>13946</v>
      </c>
    </row>
    <row r="13916">
      <c r="A13916" s="11" t="s">
        <v>13947</v>
      </c>
    </row>
    <row r="13917">
      <c r="A13917" s="11" t="s">
        <v>13948</v>
      </c>
    </row>
    <row r="13918">
      <c r="A13918" s="11" t="s">
        <v>13949</v>
      </c>
    </row>
    <row r="13919">
      <c r="A13919" s="11" t="s">
        <v>13950</v>
      </c>
    </row>
    <row r="13920">
      <c r="A13920" s="11" t="s">
        <v>13951</v>
      </c>
    </row>
    <row r="13921">
      <c r="A13921" s="11" t="s">
        <v>13952</v>
      </c>
    </row>
    <row r="13922">
      <c r="A13922" s="11" t="s">
        <v>13953</v>
      </c>
    </row>
    <row r="13923">
      <c r="A13923" s="11" t="s">
        <v>13954</v>
      </c>
    </row>
    <row r="13924">
      <c r="A13924" s="11" t="s">
        <v>13955</v>
      </c>
    </row>
    <row r="13925">
      <c r="A13925" s="11" t="s">
        <v>13956</v>
      </c>
    </row>
    <row r="13926">
      <c r="A13926" s="11" t="s">
        <v>13957</v>
      </c>
    </row>
    <row r="13927">
      <c r="A13927" s="11" t="s">
        <v>13958</v>
      </c>
    </row>
    <row r="13928">
      <c r="A13928" s="11" t="s">
        <v>13959</v>
      </c>
    </row>
    <row r="13929">
      <c r="A13929" s="11" t="s">
        <v>13960</v>
      </c>
    </row>
    <row r="13930">
      <c r="A13930" s="11" t="s">
        <v>13961</v>
      </c>
    </row>
    <row r="13931">
      <c r="A13931" s="11" t="s">
        <v>13962</v>
      </c>
    </row>
    <row r="13932">
      <c r="A13932" s="11" t="s">
        <v>13963</v>
      </c>
    </row>
    <row r="13933">
      <c r="A13933" s="11" t="s">
        <v>13964</v>
      </c>
    </row>
    <row r="13934">
      <c r="A13934" s="11" t="s">
        <v>13965</v>
      </c>
    </row>
    <row r="13935">
      <c r="A13935" s="11" t="s">
        <v>13966</v>
      </c>
    </row>
    <row r="13936">
      <c r="A13936" s="11" t="s">
        <v>13967</v>
      </c>
    </row>
    <row r="13937">
      <c r="A13937" s="11" t="s">
        <v>13968</v>
      </c>
    </row>
    <row r="13938">
      <c r="A13938" s="11" t="s">
        <v>13969</v>
      </c>
    </row>
    <row r="13939">
      <c r="A13939" s="11" t="s">
        <v>13970</v>
      </c>
    </row>
    <row r="13940">
      <c r="A13940" s="11" t="s">
        <v>13971</v>
      </c>
    </row>
    <row r="13941">
      <c r="A13941" s="11" t="s">
        <v>13972</v>
      </c>
    </row>
    <row r="13942">
      <c r="A13942" s="11" t="s">
        <v>13973</v>
      </c>
    </row>
    <row r="13943">
      <c r="A13943" s="11" t="s">
        <v>13974</v>
      </c>
    </row>
    <row r="13944">
      <c r="A13944" s="11" t="s">
        <v>13975</v>
      </c>
    </row>
    <row r="13945">
      <c r="A13945" s="11" t="s">
        <v>13976</v>
      </c>
    </row>
    <row r="13946">
      <c r="A13946" s="11" t="s">
        <v>13977</v>
      </c>
    </row>
    <row r="13947">
      <c r="A13947" s="11" t="s">
        <v>13978</v>
      </c>
    </row>
    <row r="13948">
      <c r="A13948" s="11" t="s">
        <v>13979</v>
      </c>
    </row>
    <row r="13949">
      <c r="A13949" s="11" t="s">
        <v>13980</v>
      </c>
    </row>
    <row r="13950">
      <c r="A13950" s="11" t="s">
        <v>13981</v>
      </c>
    </row>
    <row r="13951">
      <c r="A13951" s="11" t="s">
        <v>13982</v>
      </c>
    </row>
    <row r="13952">
      <c r="A13952" s="11" t="s">
        <v>13983</v>
      </c>
    </row>
    <row r="13953">
      <c r="A13953" s="11" t="s">
        <v>13984</v>
      </c>
    </row>
    <row r="13954">
      <c r="A13954" s="11" t="s">
        <v>13985</v>
      </c>
    </row>
    <row r="13955">
      <c r="A13955" s="11" t="s">
        <v>13986</v>
      </c>
    </row>
    <row r="13956">
      <c r="A13956" s="11" t="s">
        <v>13987</v>
      </c>
    </row>
    <row r="13957">
      <c r="A13957" s="11" t="s">
        <v>13988</v>
      </c>
    </row>
    <row r="13958">
      <c r="A13958" s="11" t="s">
        <v>13989</v>
      </c>
    </row>
    <row r="13959">
      <c r="A13959" s="11" t="s">
        <v>13990</v>
      </c>
    </row>
    <row r="13960">
      <c r="A13960" s="11" t="s">
        <v>13991</v>
      </c>
    </row>
    <row r="13961">
      <c r="A13961" s="11" t="s">
        <v>13992</v>
      </c>
    </row>
    <row r="13962">
      <c r="A13962" s="11" t="s">
        <v>13993</v>
      </c>
    </row>
    <row r="13963">
      <c r="A13963" s="11" t="s">
        <v>13994</v>
      </c>
    </row>
    <row r="13964">
      <c r="A13964" s="11" t="s">
        <v>13995</v>
      </c>
    </row>
    <row r="13965">
      <c r="A13965" s="11" t="s">
        <v>13996</v>
      </c>
    </row>
    <row r="13966">
      <c r="A13966" s="11" t="s">
        <v>13997</v>
      </c>
    </row>
    <row r="13967">
      <c r="A13967" s="11" t="s">
        <v>13998</v>
      </c>
    </row>
    <row r="13968">
      <c r="A13968" s="11" t="s">
        <v>13999</v>
      </c>
    </row>
    <row r="13969">
      <c r="A13969" s="11" t="s">
        <v>14000</v>
      </c>
    </row>
    <row r="13970">
      <c r="A13970" s="11" t="s">
        <v>14001</v>
      </c>
    </row>
    <row r="13971">
      <c r="A13971" s="11" t="s">
        <v>14002</v>
      </c>
    </row>
    <row r="13972">
      <c r="A13972" s="11" t="s">
        <v>14003</v>
      </c>
    </row>
    <row r="13973">
      <c r="A13973" s="11" t="s">
        <v>14004</v>
      </c>
    </row>
    <row r="13974">
      <c r="A13974" s="11" t="s">
        <v>14005</v>
      </c>
    </row>
    <row r="13975">
      <c r="A13975" s="11" t="s">
        <v>14006</v>
      </c>
    </row>
    <row r="13976">
      <c r="A13976" s="11" t="s">
        <v>14007</v>
      </c>
    </row>
    <row r="13977">
      <c r="A13977" s="11" t="s">
        <v>14008</v>
      </c>
    </row>
    <row r="13978">
      <c r="A13978" s="11" t="s">
        <v>14009</v>
      </c>
    </row>
    <row r="13979">
      <c r="A13979" s="11" t="s">
        <v>14010</v>
      </c>
    </row>
    <row r="13980">
      <c r="A13980" s="11" t="s">
        <v>14011</v>
      </c>
    </row>
    <row r="13981">
      <c r="A13981" s="11" t="s">
        <v>14012</v>
      </c>
    </row>
    <row r="13982">
      <c r="A13982" s="11" t="s">
        <v>14013</v>
      </c>
    </row>
    <row r="13983">
      <c r="A13983" s="11" t="s">
        <v>14014</v>
      </c>
    </row>
    <row r="13984">
      <c r="A13984" s="11" t="s">
        <v>14015</v>
      </c>
    </row>
    <row r="13985">
      <c r="A13985" s="11" t="s">
        <v>14016</v>
      </c>
    </row>
    <row r="13986">
      <c r="A13986" s="11" t="s">
        <v>14017</v>
      </c>
    </row>
    <row r="13987">
      <c r="A13987" s="11" t="s">
        <v>14018</v>
      </c>
    </row>
    <row r="13988">
      <c r="A13988" s="11" t="s">
        <v>14019</v>
      </c>
    </row>
    <row r="13989">
      <c r="A13989" s="11" t="s">
        <v>14020</v>
      </c>
    </row>
    <row r="13990">
      <c r="A13990" s="11" t="s">
        <v>14021</v>
      </c>
    </row>
    <row r="13991">
      <c r="A13991" s="11" t="s">
        <v>14022</v>
      </c>
    </row>
    <row r="13992">
      <c r="A13992" s="11" t="s">
        <v>14023</v>
      </c>
    </row>
    <row r="13993">
      <c r="A13993" s="11" t="s">
        <v>14024</v>
      </c>
    </row>
    <row r="13994">
      <c r="A13994" s="11" t="s">
        <v>14025</v>
      </c>
    </row>
    <row r="13995">
      <c r="A13995" s="11" t="s">
        <v>14026</v>
      </c>
    </row>
    <row r="13996">
      <c r="A13996" s="11" t="s">
        <v>14027</v>
      </c>
    </row>
    <row r="13997">
      <c r="A13997" s="11" t="s">
        <v>14028</v>
      </c>
    </row>
    <row r="13998">
      <c r="A13998" s="11" t="s">
        <v>14029</v>
      </c>
    </row>
    <row r="13999">
      <c r="A13999" s="11" t="s">
        <v>14030</v>
      </c>
    </row>
    <row r="14000">
      <c r="A14000" s="11" t="s">
        <v>14031</v>
      </c>
    </row>
    <row r="14001">
      <c r="A14001" s="11" t="s">
        <v>14032</v>
      </c>
    </row>
    <row r="14002">
      <c r="A14002" s="11" t="s">
        <v>14033</v>
      </c>
    </row>
    <row r="14003">
      <c r="A14003" s="11" t="s">
        <v>14034</v>
      </c>
    </row>
    <row r="14004">
      <c r="A14004" s="11" t="s">
        <v>14035</v>
      </c>
    </row>
    <row r="14005">
      <c r="A14005" s="11" t="s">
        <v>14036</v>
      </c>
    </row>
    <row r="14006">
      <c r="A14006" s="11" t="s">
        <v>14037</v>
      </c>
    </row>
    <row r="14007">
      <c r="A14007" s="11" t="s">
        <v>14038</v>
      </c>
    </row>
    <row r="14008">
      <c r="A14008" s="11" t="s">
        <v>14039</v>
      </c>
    </row>
    <row r="14009">
      <c r="A14009" s="11" t="s">
        <v>14040</v>
      </c>
    </row>
    <row r="14010">
      <c r="A14010" s="11" t="s">
        <v>14041</v>
      </c>
    </row>
    <row r="14011">
      <c r="A14011" s="11" t="s">
        <v>14042</v>
      </c>
    </row>
    <row r="14012">
      <c r="A14012" s="11" t="s">
        <v>14043</v>
      </c>
    </row>
    <row r="14013">
      <c r="A14013" s="11" t="s">
        <v>14044</v>
      </c>
    </row>
    <row r="14014">
      <c r="A14014" s="11" t="s">
        <v>14045</v>
      </c>
    </row>
    <row r="14015">
      <c r="A14015" s="11" t="s">
        <v>14046</v>
      </c>
    </row>
    <row r="14016">
      <c r="A14016" s="11" t="s">
        <v>14047</v>
      </c>
    </row>
    <row r="14017">
      <c r="A14017" s="11" t="s">
        <v>14048</v>
      </c>
    </row>
    <row r="14018">
      <c r="A14018" s="11" t="s">
        <v>14049</v>
      </c>
    </row>
    <row r="14019">
      <c r="A14019" s="11" t="s">
        <v>14050</v>
      </c>
    </row>
    <row r="14020">
      <c r="A14020" s="11" t="s">
        <v>14051</v>
      </c>
    </row>
    <row r="14021">
      <c r="A14021" s="11" t="s">
        <v>14052</v>
      </c>
    </row>
    <row r="14022">
      <c r="A14022" s="11" t="s">
        <v>14053</v>
      </c>
    </row>
    <row r="14023">
      <c r="A14023" s="11" t="s">
        <v>14054</v>
      </c>
    </row>
    <row r="14024">
      <c r="A14024" s="11" t="s">
        <v>14055</v>
      </c>
    </row>
    <row r="14025">
      <c r="A14025" s="11" t="s">
        <v>14056</v>
      </c>
    </row>
    <row r="14026">
      <c r="A14026" s="11" t="s">
        <v>14057</v>
      </c>
    </row>
    <row r="14027">
      <c r="A14027" s="11" t="s">
        <v>14058</v>
      </c>
    </row>
    <row r="14028">
      <c r="A14028" s="11" t="s">
        <v>14059</v>
      </c>
    </row>
    <row r="14029">
      <c r="A14029" s="11" t="s">
        <v>14060</v>
      </c>
    </row>
    <row r="14030">
      <c r="A14030" s="11" t="s">
        <v>14061</v>
      </c>
    </row>
    <row r="14031">
      <c r="A14031" s="11" t="s">
        <v>14062</v>
      </c>
    </row>
    <row r="14032">
      <c r="A14032" s="11" t="s">
        <v>14063</v>
      </c>
    </row>
    <row r="14033">
      <c r="A14033" s="11" t="s">
        <v>14064</v>
      </c>
    </row>
    <row r="14034">
      <c r="A14034" s="11" t="s">
        <v>14065</v>
      </c>
    </row>
    <row r="14035">
      <c r="A14035" s="11" t="s">
        <v>14066</v>
      </c>
    </row>
    <row r="14036">
      <c r="A14036" s="11" t="s">
        <v>14067</v>
      </c>
    </row>
    <row r="14037">
      <c r="A14037" s="11" t="s">
        <v>14068</v>
      </c>
    </row>
    <row r="14038">
      <c r="A14038" s="11" t="s">
        <v>14069</v>
      </c>
    </row>
    <row r="14039">
      <c r="A14039" s="11" t="s">
        <v>14070</v>
      </c>
    </row>
    <row r="14040">
      <c r="A14040" s="11" t="s">
        <v>14071</v>
      </c>
    </row>
    <row r="14041">
      <c r="A14041" s="11" t="s">
        <v>14072</v>
      </c>
    </row>
    <row r="14042">
      <c r="A14042" s="11" t="s">
        <v>14073</v>
      </c>
    </row>
    <row r="14043">
      <c r="A14043" s="11" t="s">
        <v>14074</v>
      </c>
    </row>
    <row r="14044">
      <c r="A14044" s="11" t="s">
        <v>14075</v>
      </c>
    </row>
    <row r="14045">
      <c r="A14045" s="11" t="s">
        <v>14076</v>
      </c>
    </row>
    <row r="14046">
      <c r="A14046" s="11" t="s">
        <v>14077</v>
      </c>
    </row>
    <row r="14047">
      <c r="A14047" s="11" t="s">
        <v>14078</v>
      </c>
    </row>
    <row r="14048">
      <c r="A14048" s="11" t="s">
        <v>14079</v>
      </c>
    </row>
    <row r="14049">
      <c r="A14049" s="11" t="s">
        <v>14080</v>
      </c>
    </row>
    <row r="14050">
      <c r="A14050" s="11" t="s">
        <v>14081</v>
      </c>
    </row>
    <row r="14051">
      <c r="A14051" s="11" t="s">
        <v>14082</v>
      </c>
    </row>
    <row r="14052">
      <c r="A14052" s="11" t="s">
        <v>14083</v>
      </c>
    </row>
    <row r="14053">
      <c r="A14053" s="11" t="s">
        <v>14084</v>
      </c>
    </row>
    <row r="14054">
      <c r="A14054" s="11" t="s">
        <v>14085</v>
      </c>
    </row>
    <row r="14055">
      <c r="A14055" s="11" t="s">
        <v>14086</v>
      </c>
    </row>
    <row r="14056">
      <c r="A14056" s="11" t="s">
        <v>14087</v>
      </c>
    </row>
    <row r="14057">
      <c r="A14057" s="11" t="s">
        <v>14088</v>
      </c>
    </row>
    <row r="14058">
      <c r="A14058" s="11" t="s">
        <v>14089</v>
      </c>
    </row>
    <row r="14059">
      <c r="A14059" s="11" t="s">
        <v>14090</v>
      </c>
    </row>
    <row r="14060">
      <c r="A14060" s="11" t="s">
        <v>14091</v>
      </c>
    </row>
    <row r="14061">
      <c r="A14061" s="11" t="s">
        <v>14092</v>
      </c>
    </row>
    <row r="14062">
      <c r="A14062" s="11" t="s">
        <v>14093</v>
      </c>
    </row>
    <row r="14063">
      <c r="A14063" s="11" t="s">
        <v>14094</v>
      </c>
    </row>
    <row r="14064">
      <c r="A14064" s="11" t="s">
        <v>14095</v>
      </c>
    </row>
    <row r="14065">
      <c r="A14065" s="11" t="s">
        <v>14096</v>
      </c>
    </row>
    <row r="14066">
      <c r="A14066" s="11" t="s">
        <v>14097</v>
      </c>
    </row>
    <row r="14067">
      <c r="A14067" s="11" t="s">
        <v>14098</v>
      </c>
    </row>
    <row r="14068">
      <c r="A14068" s="11" t="s">
        <v>14099</v>
      </c>
    </row>
    <row r="14069">
      <c r="A14069" s="11" t="s">
        <v>14100</v>
      </c>
    </row>
    <row r="14070">
      <c r="A14070" s="11" t="s">
        <v>14101</v>
      </c>
    </row>
    <row r="14071">
      <c r="A14071" s="11" t="s">
        <v>14102</v>
      </c>
    </row>
    <row r="14072">
      <c r="A14072" s="11" t="s">
        <v>14103</v>
      </c>
    </row>
    <row r="14073">
      <c r="A14073" s="11" t="s">
        <v>14104</v>
      </c>
    </row>
    <row r="14074">
      <c r="A14074" s="11" t="s">
        <v>14105</v>
      </c>
    </row>
    <row r="14075">
      <c r="A14075" s="11" t="s">
        <v>14106</v>
      </c>
    </row>
    <row r="14076">
      <c r="A14076" s="11" t="s">
        <v>14107</v>
      </c>
    </row>
    <row r="14077">
      <c r="A14077" s="11" t="s">
        <v>14108</v>
      </c>
    </row>
    <row r="14078">
      <c r="A14078" s="11" t="s">
        <v>14109</v>
      </c>
    </row>
    <row r="14079">
      <c r="A14079" s="11" t="s">
        <v>14110</v>
      </c>
    </row>
    <row r="14080">
      <c r="A14080" s="11" t="s">
        <v>14111</v>
      </c>
    </row>
    <row r="14081">
      <c r="A14081" s="11" t="s">
        <v>14112</v>
      </c>
    </row>
    <row r="14082">
      <c r="A14082" s="11" t="s">
        <v>14113</v>
      </c>
    </row>
    <row r="14083">
      <c r="A14083" s="11" t="s">
        <v>14114</v>
      </c>
    </row>
    <row r="14084">
      <c r="A14084" s="11" t="s">
        <v>14115</v>
      </c>
    </row>
    <row r="14085">
      <c r="A14085" s="11" t="s">
        <v>14116</v>
      </c>
    </row>
    <row r="14086">
      <c r="A14086" s="11" t="s">
        <v>14117</v>
      </c>
    </row>
    <row r="14087">
      <c r="A14087" s="11" t="s">
        <v>14118</v>
      </c>
    </row>
    <row r="14088">
      <c r="A14088" s="11" t="s">
        <v>14119</v>
      </c>
    </row>
    <row r="14089">
      <c r="A14089" s="11" t="s">
        <v>14120</v>
      </c>
    </row>
    <row r="14090">
      <c r="A14090" s="11" t="s">
        <v>14121</v>
      </c>
    </row>
    <row r="14091">
      <c r="A14091" s="11" t="s">
        <v>14122</v>
      </c>
    </row>
    <row r="14092">
      <c r="A14092" s="11" t="s">
        <v>14123</v>
      </c>
    </row>
    <row r="14093">
      <c r="A14093" s="11" t="s">
        <v>14124</v>
      </c>
    </row>
    <row r="14094">
      <c r="A14094" s="11" t="s">
        <v>14125</v>
      </c>
    </row>
    <row r="14095">
      <c r="A14095" s="11" t="s">
        <v>14126</v>
      </c>
    </row>
    <row r="14096">
      <c r="A14096" s="11" t="s">
        <v>14127</v>
      </c>
    </row>
    <row r="14097">
      <c r="A14097" s="11" t="s">
        <v>14128</v>
      </c>
    </row>
    <row r="14098">
      <c r="A14098" s="11" t="s">
        <v>14129</v>
      </c>
    </row>
    <row r="14099">
      <c r="A14099" s="11" t="s">
        <v>14130</v>
      </c>
    </row>
    <row r="14100">
      <c r="A14100" s="11" t="s">
        <v>14131</v>
      </c>
    </row>
    <row r="14101">
      <c r="A14101" s="11" t="s">
        <v>14132</v>
      </c>
    </row>
    <row r="14102">
      <c r="A14102" s="11" t="s">
        <v>14133</v>
      </c>
    </row>
    <row r="14103">
      <c r="A14103" s="11" t="s">
        <v>14134</v>
      </c>
    </row>
    <row r="14104">
      <c r="A14104" s="11" t="s">
        <v>14135</v>
      </c>
    </row>
    <row r="14105">
      <c r="A14105" s="11" t="s">
        <v>14136</v>
      </c>
    </row>
    <row r="14106">
      <c r="A14106" s="11" t="s">
        <v>14137</v>
      </c>
    </row>
    <row r="14107">
      <c r="A14107" s="11" t="s">
        <v>14138</v>
      </c>
    </row>
    <row r="14108">
      <c r="A14108" s="11" t="s">
        <v>14139</v>
      </c>
    </row>
    <row r="14109">
      <c r="A14109" s="11" t="s">
        <v>14140</v>
      </c>
    </row>
    <row r="14110">
      <c r="A14110" s="11" t="s">
        <v>14141</v>
      </c>
    </row>
    <row r="14111">
      <c r="A14111" s="11" t="s">
        <v>14142</v>
      </c>
    </row>
    <row r="14112">
      <c r="A14112" s="11" t="s">
        <v>14143</v>
      </c>
    </row>
    <row r="14113">
      <c r="A14113" s="11" t="s">
        <v>14144</v>
      </c>
    </row>
    <row r="14114">
      <c r="A14114" s="11" t="s">
        <v>14145</v>
      </c>
    </row>
    <row r="14115">
      <c r="A14115" s="11" t="s">
        <v>14146</v>
      </c>
    </row>
    <row r="14116">
      <c r="A14116" s="11" t="s">
        <v>14147</v>
      </c>
    </row>
    <row r="14117">
      <c r="A14117" s="11" t="s">
        <v>14148</v>
      </c>
    </row>
    <row r="14118">
      <c r="A14118" s="11" t="s">
        <v>14149</v>
      </c>
    </row>
    <row r="14119">
      <c r="A14119" s="11" t="s">
        <v>14150</v>
      </c>
    </row>
    <row r="14120">
      <c r="A14120" s="11" t="s">
        <v>14151</v>
      </c>
    </row>
    <row r="14121">
      <c r="A14121" s="11" t="s">
        <v>14152</v>
      </c>
    </row>
    <row r="14122">
      <c r="A14122" s="11" t="s">
        <v>14153</v>
      </c>
    </row>
    <row r="14123">
      <c r="A14123" s="11" t="s">
        <v>14154</v>
      </c>
    </row>
    <row r="14124">
      <c r="A14124" s="11" t="s">
        <v>14155</v>
      </c>
    </row>
    <row r="14125">
      <c r="A14125" s="11" t="s">
        <v>14156</v>
      </c>
    </row>
    <row r="14126">
      <c r="A14126" s="11" t="s">
        <v>14157</v>
      </c>
    </row>
    <row r="14127">
      <c r="A14127" s="11" t="s">
        <v>14158</v>
      </c>
    </row>
    <row r="14128">
      <c r="A14128" s="11" t="s">
        <v>14159</v>
      </c>
    </row>
    <row r="14129">
      <c r="A14129" s="11" t="s">
        <v>14160</v>
      </c>
    </row>
    <row r="14130">
      <c r="A14130" s="11" t="s">
        <v>14161</v>
      </c>
    </row>
    <row r="14131">
      <c r="A14131" s="11" t="s">
        <v>14162</v>
      </c>
    </row>
    <row r="14132">
      <c r="A14132" s="11" t="s">
        <v>14163</v>
      </c>
    </row>
    <row r="14133">
      <c r="A14133" s="11" t="s">
        <v>14164</v>
      </c>
    </row>
    <row r="14134">
      <c r="A14134" s="11" t="s">
        <v>14165</v>
      </c>
    </row>
    <row r="14135">
      <c r="A14135" s="11" t="s">
        <v>14166</v>
      </c>
    </row>
    <row r="14136">
      <c r="A14136" s="11" t="s">
        <v>14167</v>
      </c>
    </row>
    <row r="14137">
      <c r="A14137" s="11" t="s">
        <v>14168</v>
      </c>
    </row>
    <row r="14138">
      <c r="A14138" s="11" t="s">
        <v>14169</v>
      </c>
    </row>
    <row r="14139">
      <c r="A14139" s="11" t="s">
        <v>14170</v>
      </c>
    </row>
    <row r="14140">
      <c r="A14140" s="11" t="s">
        <v>14171</v>
      </c>
    </row>
    <row r="14141">
      <c r="A14141" s="11" t="s">
        <v>14172</v>
      </c>
    </row>
    <row r="14142">
      <c r="A14142" s="11" t="s">
        <v>14173</v>
      </c>
    </row>
    <row r="14143">
      <c r="A14143" s="11" t="s">
        <v>14174</v>
      </c>
    </row>
    <row r="14144">
      <c r="A14144" s="11" t="s">
        <v>14175</v>
      </c>
    </row>
    <row r="14145">
      <c r="A14145" s="11" t="s">
        <v>14176</v>
      </c>
    </row>
    <row r="14146">
      <c r="A14146" s="11" t="s">
        <v>14177</v>
      </c>
    </row>
    <row r="14147">
      <c r="A14147" s="11" t="s">
        <v>14178</v>
      </c>
    </row>
    <row r="14148">
      <c r="A14148" s="11" t="s">
        <v>14179</v>
      </c>
    </row>
    <row r="14149">
      <c r="A14149" s="11" t="s">
        <v>14180</v>
      </c>
    </row>
    <row r="14150">
      <c r="A14150" s="11" t="s">
        <v>14181</v>
      </c>
    </row>
    <row r="14151">
      <c r="A14151" s="11" t="s">
        <v>14182</v>
      </c>
    </row>
    <row r="14152">
      <c r="A14152" s="11" t="s">
        <v>14183</v>
      </c>
    </row>
    <row r="14153">
      <c r="A14153" s="11" t="s">
        <v>14184</v>
      </c>
    </row>
    <row r="14154">
      <c r="A14154" s="11" t="s">
        <v>14185</v>
      </c>
    </row>
    <row r="14155">
      <c r="A14155" s="11" t="s">
        <v>14186</v>
      </c>
    </row>
    <row r="14156">
      <c r="A14156" s="11" t="s">
        <v>14187</v>
      </c>
    </row>
    <row r="14157">
      <c r="A14157" s="11" t="s">
        <v>14188</v>
      </c>
    </row>
    <row r="14158">
      <c r="A14158" s="11" t="s">
        <v>14189</v>
      </c>
    </row>
    <row r="14159">
      <c r="A14159" s="11" t="s">
        <v>14190</v>
      </c>
    </row>
    <row r="14160">
      <c r="A14160" s="11" t="s">
        <v>14191</v>
      </c>
    </row>
    <row r="14161">
      <c r="A14161" s="11" t="s">
        <v>14192</v>
      </c>
    </row>
    <row r="14162">
      <c r="A14162" s="11" t="s">
        <v>14193</v>
      </c>
    </row>
    <row r="14163">
      <c r="A14163" s="11" t="s">
        <v>14194</v>
      </c>
    </row>
    <row r="14164">
      <c r="A14164" s="11" t="s">
        <v>14195</v>
      </c>
    </row>
    <row r="14165">
      <c r="A14165" s="11" t="s">
        <v>14196</v>
      </c>
    </row>
    <row r="14166">
      <c r="A14166" s="11" t="s">
        <v>14197</v>
      </c>
    </row>
    <row r="14167">
      <c r="A14167" s="11" t="s">
        <v>14198</v>
      </c>
    </row>
    <row r="14168">
      <c r="A14168" s="11" t="s">
        <v>14199</v>
      </c>
    </row>
    <row r="14169">
      <c r="A14169" s="11" t="s">
        <v>14200</v>
      </c>
    </row>
    <row r="14170">
      <c r="A14170" s="11" t="s">
        <v>14201</v>
      </c>
    </row>
    <row r="14171">
      <c r="A14171" s="11" t="s">
        <v>14202</v>
      </c>
    </row>
    <row r="14172">
      <c r="A14172" s="11" t="s">
        <v>14203</v>
      </c>
    </row>
    <row r="14173">
      <c r="A14173" s="11" t="s">
        <v>14204</v>
      </c>
    </row>
    <row r="14174">
      <c r="A14174" s="11" t="s">
        <v>14205</v>
      </c>
    </row>
    <row r="14175">
      <c r="A14175" s="11" t="s">
        <v>14206</v>
      </c>
    </row>
    <row r="14176">
      <c r="A14176" s="11" t="s">
        <v>14207</v>
      </c>
    </row>
    <row r="14177">
      <c r="A14177" s="11" t="s">
        <v>14208</v>
      </c>
    </row>
    <row r="14178">
      <c r="A14178" s="11" t="s">
        <v>14209</v>
      </c>
    </row>
    <row r="14179">
      <c r="A14179" s="11" t="s">
        <v>14210</v>
      </c>
    </row>
    <row r="14180">
      <c r="A14180" s="11" t="s">
        <v>14211</v>
      </c>
    </row>
    <row r="14181">
      <c r="A14181" s="11" t="s">
        <v>14212</v>
      </c>
    </row>
    <row r="14182">
      <c r="A14182" s="11" t="s">
        <v>14213</v>
      </c>
    </row>
    <row r="14183">
      <c r="A14183" s="11" t="s">
        <v>14214</v>
      </c>
    </row>
    <row r="14184">
      <c r="A14184" s="11" t="s">
        <v>14215</v>
      </c>
    </row>
    <row r="14185">
      <c r="A14185" s="11" t="s">
        <v>14216</v>
      </c>
    </row>
    <row r="14186">
      <c r="A14186" s="11" t="s">
        <v>14217</v>
      </c>
    </row>
    <row r="14187">
      <c r="A14187" s="11" t="s">
        <v>14218</v>
      </c>
    </row>
    <row r="14188">
      <c r="A14188" s="11" t="s">
        <v>14219</v>
      </c>
    </row>
    <row r="14189">
      <c r="A14189" s="11" t="s">
        <v>14220</v>
      </c>
    </row>
    <row r="14190">
      <c r="A14190" s="11" t="s">
        <v>14221</v>
      </c>
    </row>
    <row r="14191">
      <c r="A14191" s="11" t="s">
        <v>14222</v>
      </c>
    </row>
    <row r="14192">
      <c r="A14192" s="11" t="s">
        <v>14223</v>
      </c>
    </row>
    <row r="14193">
      <c r="A14193" s="11" t="s">
        <v>14224</v>
      </c>
    </row>
    <row r="14194">
      <c r="A14194" s="11" t="s">
        <v>14225</v>
      </c>
    </row>
    <row r="14195">
      <c r="A14195" s="11" t="s">
        <v>14226</v>
      </c>
    </row>
    <row r="14196">
      <c r="A14196" s="11" t="s">
        <v>14227</v>
      </c>
    </row>
    <row r="14197">
      <c r="A14197" s="11" t="s">
        <v>14228</v>
      </c>
    </row>
    <row r="14198">
      <c r="A14198" s="11" t="s">
        <v>14229</v>
      </c>
    </row>
    <row r="14199">
      <c r="A14199" s="11" t="s">
        <v>14230</v>
      </c>
    </row>
    <row r="14200">
      <c r="A14200" s="11" t="s">
        <v>14231</v>
      </c>
    </row>
    <row r="14201">
      <c r="A14201" s="11" t="s">
        <v>14232</v>
      </c>
    </row>
    <row r="14202">
      <c r="A14202" s="11" t="s">
        <v>14233</v>
      </c>
    </row>
    <row r="14203">
      <c r="A14203" s="11" t="s">
        <v>14234</v>
      </c>
    </row>
    <row r="14204">
      <c r="A14204" s="11" t="s">
        <v>14235</v>
      </c>
    </row>
    <row r="14205">
      <c r="A14205" s="11" t="s">
        <v>14236</v>
      </c>
    </row>
    <row r="14206">
      <c r="A14206" s="11" t="s">
        <v>14237</v>
      </c>
    </row>
    <row r="14207">
      <c r="A14207" s="11" t="s">
        <v>14238</v>
      </c>
    </row>
    <row r="14208">
      <c r="A14208" s="11" t="s">
        <v>14239</v>
      </c>
    </row>
    <row r="14209">
      <c r="A14209" s="11" t="s">
        <v>14240</v>
      </c>
    </row>
    <row r="14210">
      <c r="A14210" s="11" t="s">
        <v>14241</v>
      </c>
    </row>
    <row r="14211">
      <c r="A14211" s="11" t="s">
        <v>14242</v>
      </c>
    </row>
    <row r="14212">
      <c r="A14212" s="11" t="s">
        <v>14243</v>
      </c>
    </row>
    <row r="14213">
      <c r="A14213" s="11" t="s">
        <v>14244</v>
      </c>
    </row>
    <row r="14214">
      <c r="A14214" s="11" t="s">
        <v>14245</v>
      </c>
    </row>
    <row r="14215">
      <c r="A14215" s="11" t="s">
        <v>14246</v>
      </c>
    </row>
    <row r="14216">
      <c r="A14216" s="11" t="s">
        <v>14247</v>
      </c>
    </row>
    <row r="14217">
      <c r="A14217" s="11" t="s">
        <v>14248</v>
      </c>
    </row>
    <row r="14218">
      <c r="A14218" s="11" t="s">
        <v>14249</v>
      </c>
    </row>
    <row r="14219">
      <c r="A14219" s="11" t="s">
        <v>14250</v>
      </c>
    </row>
    <row r="14220">
      <c r="A14220" s="11" t="s">
        <v>14251</v>
      </c>
    </row>
    <row r="14221">
      <c r="A14221" s="11" t="s">
        <v>14252</v>
      </c>
    </row>
    <row r="14222">
      <c r="A14222" s="11" t="s">
        <v>14253</v>
      </c>
    </row>
    <row r="14223">
      <c r="A14223" s="11" t="s">
        <v>14254</v>
      </c>
    </row>
    <row r="14224">
      <c r="A14224" s="11" t="s">
        <v>14255</v>
      </c>
    </row>
    <row r="14225">
      <c r="A14225" s="11" t="s">
        <v>14256</v>
      </c>
    </row>
    <row r="14226">
      <c r="A14226" s="11" t="s">
        <v>14257</v>
      </c>
    </row>
    <row r="14227">
      <c r="A14227" s="11" t="s">
        <v>14258</v>
      </c>
    </row>
    <row r="14228">
      <c r="A14228" s="11" t="s">
        <v>14259</v>
      </c>
    </row>
    <row r="14229">
      <c r="A14229" s="11" t="s">
        <v>14260</v>
      </c>
    </row>
    <row r="14230">
      <c r="A14230" s="11" t="s">
        <v>14261</v>
      </c>
    </row>
    <row r="14231">
      <c r="A14231" s="11" t="s">
        <v>14262</v>
      </c>
    </row>
    <row r="14232">
      <c r="A14232" s="11" t="s">
        <v>14263</v>
      </c>
    </row>
    <row r="14233">
      <c r="A14233" s="11" t="s">
        <v>14264</v>
      </c>
    </row>
    <row r="14234">
      <c r="A14234" s="11" t="s">
        <v>14265</v>
      </c>
    </row>
    <row r="14235">
      <c r="A14235" s="11" t="s">
        <v>14266</v>
      </c>
    </row>
    <row r="14236">
      <c r="A14236" s="11" t="s">
        <v>14267</v>
      </c>
    </row>
    <row r="14237">
      <c r="A14237" s="11" t="s">
        <v>14268</v>
      </c>
    </row>
    <row r="14238">
      <c r="A14238" s="11" t="s">
        <v>14269</v>
      </c>
    </row>
    <row r="14239">
      <c r="A14239" s="11" t="s">
        <v>14270</v>
      </c>
    </row>
    <row r="14240">
      <c r="A14240" s="11" t="s">
        <v>14271</v>
      </c>
    </row>
    <row r="14241">
      <c r="A14241" s="11" t="s">
        <v>14272</v>
      </c>
    </row>
    <row r="14242">
      <c r="A14242" s="11" t="s">
        <v>14273</v>
      </c>
    </row>
    <row r="14243">
      <c r="A14243" s="11" t="s">
        <v>14274</v>
      </c>
    </row>
    <row r="14244">
      <c r="A14244" s="11" t="s">
        <v>14275</v>
      </c>
    </row>
    <row r="14245">
      <c r="A14245" s="11" t="s">
        <v>14276</v>
      </c>
    </row>
    <row r="14246">
      <c r="A14246" s="11" t="s">
        <v>14277</v>
      </c>
    </row>
    <row r="14247">
      <c r="A14247" s="11" t="s">
        <v>14278</v>
      </c>
    </row>
    <row r="14248">
      <c r="A14248" s="11" t="s">
        <v>14279</v>
      </c>
    </row>
    <row r="14249">
      <c r="A14249" s="11" t="s">
        <v>14280</v>
      </c>
    </row>
    <row r="14250">
      <c r="A14250" s="11" t="s">
        <v>14281</v>
      </c>
    </row>
    <row r="14251">
      <c r="A14251" s="11" t="s">
        <v>14282</v>
      </c>
    </row>
    <row r="14252">
      <c r="A14252" s="11" t="s">
        <v>14283</v>
      </c>
    </row>
    <row r="14253">
      <c r="A14253" s="11" t="s">
        <v>14284</v>
      </c>
    </row>
    <row r="14254">
      <c r="A14254" s="11" t="s">
        <v>14285</v>
      </c>
    </row>
    <row r="14255">
      <c r="A14255" s="11" t="s">
        <v>14286</v>
      </c>
    </row>
    <row r="14256">
      <c r="A14256" s="11" t="s">
        <v>14287</v>
      </c>
    </row>
    <row r="14257">
      <c r="A14257" s="11" t="s">
        <v>14288</v>
      </c>
    </row>
    <row r="14258">
      <c r="A14258" s="11" t="s">
        <v>14289</v>
      </c>
    </row>
    <row r="14259">
      <c r="A14259" s="11" t="s">
        <v>14290</v>
      </c>
    </row>
    <row r="14260">
      <c r="A14260" s="11" t="s">
        <v>14291</v>
      </c>
    </row>
    <row r="14261">
      <c r="A14261" s="11" t="s">
        <v>14292</v>
      </c>
    </row>
    <row r="14262">
      <c r="A14262" s="11" t="s">
        <v>14293</v>
      </c>
    </row>
    <row r="14263">
      <c r="A14263" s="11" t="s">
        <v>14294</v>
      </c>
    </row>
    <row r="14264">
      <c r="A14264" s="11" t="s">
        <v>14295</v>
      </c>
    </row>
    <row r="14265">
      <c r="A14265" s="11" t="s">
        <v>14296</v>
      </c>
    </row>
    <row r="14266">
      <c r="A14266" s="11" t="s">
        <v>14297</v>
      </c>
    </row>
    <row r="14267">
      <c r="A14267" s="11" t="s">
        <v>14298</v>
      </c>
    </row>
    <row r="14268">
      <c r="A14268" s="11" t="s">
        <v>14299</v>
      </c>
    </row>
    <row r="14269">
      <c r="A14269" s="11" t="s">
        <v>14300</v>
      </c>
    </row>
    <row r="14270">
      <c r="A14270" s="11" t="s">
        <v>14301</v>
      </c>
    </row>
    <row r="14271">
      <c r="A14271" s="11" t="s">
        <v>14302</v>
      </c>
    </row>
    <row r="14272">
      <c r="A14272" s="11" t="s">
        <v>14303</v>
      </c>
    </row>
    <row r="14273">
      <c r="A14273" s="11" t="s">
        <v>14304</v>
      </c>
    </row>
    <row r="14274">
      <c r="A14274" s="11" t="s">
        <v>14305</v>
      </c>
    </row>
    <row r="14275">
      <c r="A14275" s="11" t="s">
        <v>14306</v>
      </c>
    </row>
    <row r="14276">
      <c r="A14276" s="11" t="s">
        <v>14307</v>
      </c>
    </row>
    <row r="14277">
      <c r="A14277" s="11" t="s">
        <v>14308</v>
      </c>
    </row>
    <row r="14278">
      <c r="A14278" s="11" t="s">
        <v>14309</v>
      </c>
    </row>
    <row r="14279">
      <c r="A14279" s="11" t="s">
        <v>14310</v>
      </c>
    </row>
    <row r="14280">
      <c r="A14280" s="11" t="s">
        <v>14311</v>
      </c>
    </row>
    <row r="14281">
      <c r="A14281" s="11" t="s">
        <v>14312</v>
      </c>
    </row>
    <row r="14282">
      <c r="A14282" s="11" t="s">
        <v>14313</v>
      </c>
    </row>
    <row r="14283">
      <c r="A14283" s="11" t="s">
        <v>14314</v>
      </c>
    </row>
    <row r="14284">
      <c r="A14284" s="11" t="s">
        <v>14315</v>
      </c>
    </row>
    <row r="14285">
      <c r="A14285" s="11" t="s">
        <v>14316</v>
      </c>
    </row>
    <row r="14286">
      <c r="A14286" s="11" t="s">
        <v>14317</v>
      </c>
    </row>
    <row r="14287">
      <c r="A14287" s="11" t="s">
        <v>14318</v>
      </c>
    </row>
    <row r="14288">
      <c r="A14288" s="11" t="s">
        <v>14319</v>
      </c>
    </row>
    <row r="14289">
      <c r="A14289" s="11" t="s">
        <v>14320</v>
      </c>
    </row>
    <row r="14290">
      <c r="A14290" s="11" t="s">
        <v>14321</v>
      </c>
    </row>
    <row r="14291">
      <c r="A14291" s="11" t="s">
        <v>14322</v>
      </c>
    </row>
    <row r="14292">
      <c r="A14292" s="11" t="s">
        <v>14323</v>
      </c>
    </row>
    <row r="14293">
      <c r="A14293" s="11" t="s">
        <v>14324</v>
      </c>
    </row>
    <row r="14294">
      <c r="A14294" s="11" t="s">
        <v>14325</v>
      </c>
    </row>
    <row r="14295">
      <c r="A14295" s="11" t="s">
        <v>14326</v>
      </c>
    </row>
    <row r="14296">
      <c r="A14296" s="11" t="s">
        <v>14327</v>
      </c>
    </row>
    <row r="14297">
      <c r="A14297" s="11" t="s">
        <v>14328</v>
      </c>
    </row>
    <row r="14298">
      <c r="A14298" s="11" t="s">
        <v>14329</v>
      </c>
    </row>
    <row r="14299">
      <c r="A14299" s="11" t="s">
        <v>14330</v>
      </c>
    </row>
    <row r="14300">
      <c r="A14300" s="11" t="s">
        <v>14331</v>
      </c>
    </row>
    <row r="14301">
      <c r="A14301" s="11" t="s">
        <v>14332</v>
      </c>
    </row>
    <row r="14302">
      <c r="A14302" s="11" t="s">
        <v>14333</v>
      </c>
    </row>
    <row r="14303">
      <c r="A14303" s="11" t="s">
        <v>14334</v>
      </c>
    </row>
    <row r="14304">
      <c r="A14304" s="11" t="s">
        <v>14335</v>
      </c>
    </row>
    <row r="14305">
      <c r="A14305" s="11" t="s">
        <v>14336</v>
      </c>
    </row>
    <row r="14306">
      <c r="A14306" s="11" t="s">
        <v>14337</v>
      </c>
    </row>
    <row r="14307">
      <c r="A14307" s="11" t="s">
        <v>14338</v>
      </c>
    </row>
    <row r="14308">
      <c r="A14308" s="11" t="s">
        <v>14339</v>
      </c>
    </row>
    <row r="14309">
      <c r="A14309" s="11" t="s">
        <v>14340</v>
      </c>
    </row>
    <row r="14310">
      <c r="A14310" s="11" t="s">
        <v>14341</v>
      </c>
    </row>
    <row r="14311">
      <c r="A14311" s="11" t="s">
        <v>14342</v>
      </c>
    </row>
    <row r="14312">
      <c r="A14312" s="11" t="s">
        <v>14343</v>
      </c>
    </row>
    <row r="14313">
      <c r="A14313" s="11" t="s">
        <v>14344</v>
      </c>
    </row>
    <row r="14314">
      <c r="A14314" s="11" t="s">
        <v>14345</v>
      </c>
    </row>
    <row r="14315">
      <c r="A14315" s="11" t="s">
        <v>14346</v>
      </c>
    </row>
    <row r="14316">
      <c r="A14316" s="11" t="s">
        <v>14347</v>
      </c>
    </row>
    <row r="14317">
      <c r="A14317" s="11" t="s">
        <v>14348</v>
      </c>
    </row>
    <row r="14318">
      <c r="A14318" s="11" t="s">
        <v>14349</v>
      </c>
    </row>
    <row r="14319">
      <c r="A14319" s="11" t="s">
        <v>14350</v>
      </c>
    </row>
    <row r="14320">
      <c r="A14320" s="11" t="s">
        <v>14351</v>
      </c>
    </row>
    <row r="14321">
      <c r="A14321" s="11" t="s">
        <v>14352</v>
      </c>
    </row>
    <row r="14322">
      <c r="A14322" s="11" t="s">
        <v>14353</v>
      </c>
    </row>
    <row r="14323">
      <c r="A14323" s="11" t="s">
        <v>14354</v>
      </c>
    </row>
    <row r="14324">
      <c r="A14324" s="11" t="s">
        <v>14355</v>
      </c>
    </row>
    <row r="14325">
      <c r="A14325" s="11" t="s">
        <v>14356</v>
      </c>
    </row>
    <row r="14326">
      <c r="A14326" s="11" t="s">
        <v>14357</v>
      </c>
    </row>
    <row r="14327">
      <c r="A14327" s="11" t="s">
        <v>14358</v>
      </c>
    </row>
    <row r="14328">
      <c r="A14328" s="11" t="s">
        <v>14359</v>
      </c>
    </row>
    <row r="14329">
      <c r="A14329" s="11" t="s">
        <v>14360</v>
      </c>
    </row>
    <row r="14330">
      <c r="A14330" s="11" t="s">
        <v>14361</v>
      </c>
    </row>
    <row r="14331">
      <c r="A14331" s="11" t="s">
        <v>14362</v>
      </c>
    </row>
    <row r="14332">
      <c r="A14332" s="11" t="s">
        <v>14363</v>
      </c>
    </row>
    <row r="14333">
      <c r="A14333" s="11" t="s">
        <v>14364</v>
      </c>
    </row>
    <row r="14334">
      <c r="A14334" s="11" t="s">
        <v>14365</v>
      </c>
    </row>
    <row r="14335">
      <c r="A14335" s="11" t="s">
        <v>14366</v>
      </c>
    </row>
    <row r="14336">
      <c r="A14336" s="11" t="s">
        <v>14367</v>
      </c>
    </row>
    <row r="14337">
      <c r="A14337" s="11" t="s">
        <v>14368</v>
      </c>
    </row>
    <row r="14338">
      <c r="A14338" s="11" t="s">
        <v>14369</v>
      </c>
    </row>
    <row r="14339">
      <c r="A14339" s="11" t="s">
        <v>14370</v>
      </c>
    </row>
    <row r="14340">
      <c r="A14340" s="11" t="s">
        <v>14371</v>
      </c>
    </row>
    <row r="14341">
      <c r="A14341" s="11" t="s">
        <v>14372</v>
      </c>
    </row>
    <row r="14342">
      <c r="A14342" s="11" t="s">
        <v>14373</v>
      </c>
    </row>
    <row r="14343">
      <c r="A14343" s="11" t="s">
        <v>14374</v>
      </c>
    </row>
    <row r="14344">
      <c r="A14344" s="11" t="s">
        <v>14375</v>
      </c>
    </row>
    <row r="14345">
      <c r="A14345" s="11" t="s">
        <v>14376</v>
      </c>
    </row>
    <row r="14346">
      <c r="A14346" s="11" t="s">
        <v>14377</v>
      </c>
    </row>
    <row r="14347">
      <c r="A14347" s="11" t="s">
        <v>14378</v>
      </c>
    </row>
    <row r="14348">
      <c r="A14348" s="11" t="s">
        <v>14379</v>
      </c>
    </row>
    <row r="14349">
      <c r="A14349" s="11" t="s">
        <v>14380</v>
      </c>
    </row>
    <row r="14350">
      <c r="A14350" s="11" t="s">
        <v>14381</v>
      </c>
    </row>
    <row r="14351">
      <c r="A14351" s="11" t="s">
        <v>14382</v>
      </c>
    </row>
    <row r="14352">
      <c r="A14352" s="11" t="s">
        <v>14383</v>
      </c>
    </row>
    <row r="14353">
      <c r="A14353" s="11" t="s">
        <v>14384</v>
      </c>
    </row>
    <row r="14354">
      <c r="A14354" s="11" t="s">
        <v>14385</v>
      </c>
    </row>
    <row r="14355">
      <c r="A14355" s="11" t="s">
        <v>14386</v>
      </c>
    </row>
    <row r="14356">
      <c r="A14356" s="11" t="s">
        <v>14387</v>
      </c>
    </row>
    <row r="14357">
      <c r="A14357" s="11" t="s">
        <v>14388</v>
      </c>
    </row>
    <row r="14358">
      <c r="A14358" s="11" t="s">
        <v>14389</v>
      </c>
    </row>
    <row r="14359">
      <c r="A14359" s="11" t="s">
        <v>14390</v>
      </c>
    </row>
    <row r="14360">
      <c r="A14360" s="11" t="s">
        <v>14391</v>
      </c>
    </row>
    <row r="14361">
      <c r="A14361" s="11" t="s">
        <v>14392</v>
      </c>
    </row>
    <row r="14362">
      <c r="A14362" s="11" t="s">
        <v>14393</v>
      </c>
    </row>
    <row r="14363">
      <c r="A14363" s="11" t="s">
        <v>14394</v>
      </c>
    </row>
    <row r="14364">
      <c r="A14364" s="11" t="s">
        <v>14395</v>
      </c>
    </row>
    <row r="14365">
      <c r="A14365" s="11" t="s">
        <v>14396</v>
      </c>
    </row>
    <row r="14366">
      <c r="A14366" s="11" t="s">
        <v>14397</v>
      </c>
    </row>
    <row r="14367">
      <c r="A14367" s="11" t="s">
        <v>14398</v>
      </c>
    </row>
    <row r="14368">
      <c r="A14368" s="11" t="s">
        <v>14399</v>
      </c>
    </row>
    <row r="14369">
      <c r="A14369" s="11" t="s">
        <v>14400</v>
      </c>
    </row>
    <row r="14370">
      <c r="A14370" s="11" t="s">
        <v>14401</v>
      </c>
    </row>
    <row r="14371">
      <c r="A14371" s="11" t="s">
        <v>14402</v>
      </c>
    </row>
    <row r="14372">
      <c r="A14372" s="11" t="s">
        <v>14403</v>
      </c>
    </row>
    <row r="14373">
      <c r="A14373" s="11" t="s">
        <v>14404</v>
      </c>
    </row>
    <row r="14374">
      <c r="A14374" s="11" t="s">
        <v>14405</v>
      </c>
    </row>
    <row r="14375">
      <c r="A14375" s="11" t="s">
        <v>14406</v>
      </c>
    </row>
    <row r="14376">
      <c r="A14376" s="11" t="s">
        <v>14407</v>
      </c>
    </row>
    <row r="14377">
      <c r="A14377" s="11" t="s">
        <v>14408</v>
      </c>
    </row>
    <row r="14378">
      <c r="A14378" s="11" t="s">
        <v>14409</v>
      </c>
    </row>
    <row r="14379">
      <c r="A14379" s="11" t="s">
        <v>14410</v>
      </c>
    </row>
    <row r="14380">
      <c r="A14380" s="11" t="s">
        <v>14411</v>
      </c>
    </row>
    <row r="14381">
      <c r="A14381" s="11" t="s">
        <v>14412</v>
      </c>
    </row>
    <row r="14382">
      <c r="A14382" s="11" t="s">
        <v>14413</v>
      </c>
    </row>
    <row r="14383">
      <c r="A14383" s="11" t="s">
        <v>14414</v>
      </c>
    </row>
    <row r="14384">
      <c r="A14384" s="11" t="s">
        <v>14415</v>
      </c>
    </row>
    <row r="14385">
      <c r="A14385" s="11" t="s">
        <v>14416</v>
      </c>
    </row>
    <row r="14386">
      <c r="A14386" s="11" t="s">
        <v>14417</v>
      </c>
    </row>
    <row r="14387">
      <c r="A14387" s="11" t="s">
        <v>14418</v>
      </c>
    </row>
    <row r="14388">
      <c r="A14388" s="11" t="s">
        <v>14419</v>
      </c>
    </row>
    <row r="14389">
      <c r="A14389" s="11" t="s">
        <v>14420</v>
      </c>
    </row>
    <row r="14390">
      <c r="A14390" s="11" t="s">
        <v>14421</v>
      </c>
    </row>
    <row r="14391">
      <c r="A14391" s="11" t="s">
        <v>14422</v>
      </c>
    </row>
    <row r="14392">
      <c r="A14392" s="11" t="s">
        <v>14423</v>
      </c>
    </row>
    <row r="14393">
      <c r="A14393" s="11" t="s">
        <v>14424</v>
      </c>
    </row>
    <row r="14394">
      <c r="A14394" s="11" t="s">
        <v>14425</v>
      </c>
    </row>
    <row r="14395">
      <c r="A14395" s="11" t="s">
        <v>14426</v>
      </c>
    </row>
    <row r="14396">
      <c r="A14396" s="11" t="s">
        <v>14427</v>
      </c>
    </row>
    <row r="14397">
      <c r="A14397" s="11" t="s">
        <v>14428</v>
      </c>
    </row>
    <row r="14398">
      <c r="A14398" s="11" t="s">
        <v>14429</v>
      </c>
    </row>
    <row r="14399">
      <c r="A14399" s="11" t="s">
        <v>14430</v>
      </c>
    </row>
    <row r="14400">
      <c r="A14400" s="11" t="s">
        <v>14431</v>
      </c>
    </row>
    <row r="14401">
      <c r="A14401" s="11" t="s">
        <v>14432</v>
      </c>
    </row>
    <row r="14402">
      <c r="A14402" s="11" t="s">
        <v>14433</v>
      </c>
    </row>
    <row r="14403">
      <c r="A14403" s="11" t="s">
        <v>14434</v>
      </c>
    </row>
    <row r="14404">
      <c r="A14404" s="11" t="s">
        <v>14435</v>
      </c>
    </row>
    <row r="14405">
      <c r="A14405" s="11" t="s">
        <v>14436</v>
      </c>
    </row>
    <row r="14406">
      <c r="A14406" s="11" t="s">
        <v>14437</v>
      </c>
    </row>
    <row r="14407">
      <c r="A14407" s="11" t="s">
        <v>14438</v>
      </c>
    </row>
    <row r="14408">
      <c r="A14408" s="11" t="s">
        <v>14439</v>
      </c>
    </row>
    <row r="14409">
      <c r="A14409" s="11" t="s">
        <v>14440</v>
      </c>
    </row>
    <row r="14410">
      <c r="A14410" s="11" t="s">
        <v>14441</v>
      </c>
    </row>
    <row r="14411">
      <c r="A14411" s="11" t="s">
        <v>14442</v>
      </c>
    </row>
    <row r="14412">
      <c r="A14412" s="11" t="s">
        <v>14443</v>
      </c>
    </row>
    <row r="14413">
      <c r="A14413" s="11" t="s">
        <v>14444</v>
      </c>
    </row>
    <row r="14414">
      <c r="A14414" s="11" t="s">
        <v>14445</v>
      </c>
    </row>
    <row r="14415">
      <c r="A14415" s="11" t="s">
        <v>14446</v>
      </c>
    </row>
    <row r="14416">
      <c r="A14416" s="11" t="s">
        <v>14447</v>
      </c>
    </row>
    <row r="14417">
      <c r="A14417" s="11" t="s">
        <v>14448</v>
      </c>
    </row>
    <row r="14418">
      <c r="A14418" s="11" t="s">
        <v>14449</v>
      </c>
    </row>
    <row r="14419">
      <c r="A14419" s="11" t="s">
        <v>14450</v>
      </c>
    </row>
    <row r="14420">
      <c r="A14420" s="11" t="s">
        <v>14451</v>
      </c>
    </row>
    <row r="14421">
      <c r="A14421" s="11" t="s">
        <v>14452</v>
      </c>
    </row>
    <row r="14422">
      <c r="A14422" s="11" t="s">
        <v>14453</v>
      </c>
    </row>
    <row r="14423">
      <c r="A14423" s="11" t="s">
        <v>14454</v>
      </c>
    </row>
    <row r="14424">
      <c r="A14424" s="11" t="s">
        <v>14455</v>
      </c>
    </row>
    <row r="14425">
      <c r="A14425" s="11" t="s">
        <v>14456</v>
      </c>
    </row>
    <row r="14426">
      <c r="A14426" s="11" t="s">
        <v>14457</v>
      </c>
    </row>
    <row r="14427">
      <c r="A14427" s="11" t="s">
        <v>14458</v>
      </c>
    </row>
    <row r="14428">
      <c r="A14428" s="11" t="s">
        <v>14459</v>
      </c>
    </row>
    <row r="14429">
      <c r="A14429" s="11" t="s">
        <v>14460</v>
      </c>
    </row>
    <row r="14430">
      <c r="A14430" s="11" t="s">
        <v>14461</v>
      </c>
    </row>
    <row r="14431">
      <c r="A14431" s="11" t="s">
        <v>14462</v>
      </c>
    </row>
    <row r="14432">
      <c r="A14432" s="11" t="s">
        <v>14463</v>
      </c>
    </row>
    <row r="14433">
      <c r="A14433" s="11" t="s">
        <v>14464</v>
      </c>
    </row>
    <row r="14434">
      <c r="A14434" s="11" t="s">
        <v>14465</v>
      </c>
    </row>
    <row r="14435">
      <c r="A14435" s="11" t="s">
        <v>14466</v>
      </c>
    </row>
    <row r="14436">
      <c r="A14436" s="11" t="s">
        <v>14467</v>
      </c>
    </row>
    <row r="14437">
      <c r="A14437" s="11" t="s">
        <v>14468</v>
      </c>
    </row>
    <row r="14438">
      <c r="A14438" s="11" t="s">
        <v>14469</v>
      </c>
    </row>
    <row r="14439">
      <c r="A14439" s="11" t="s">
        <v>14470</v>
      </c>
    </row>
    <row r="14440">
      <c r="A14440" s="11" t="s">
        <v>14471</v>
      </c>
    </row>
    <row r="14441">
      <c r="A14441" s="11" t="s">
        <v>14472</v>
      </c>
    </row>
    <row r="14442">
      <c r="A14442" s="11" t="s">
        <v>14473</v>
      </c>
    </row>
    <row r="14443">
      <c r="A14443" s="11" t="s">
        <v>14474</v>
      </c>
    </row>
    <row r="14444">
      <c r="A14444" s="11" t="s">
        <v>14475</v>
      </c>
    </row>
    <row r="14445">
      <c r="A14445" s="11" t="s">
        <v>14476</v>
      </c>
    </row>
    <row r="14446">
      <c r="A14446" s="11" t="s">
        <v>14477</v>
      </c>
    </row>
    <row r="14447">
      <c r="A14447" s="11" t="s">
        <v>14478</v>
      </c>
    </row>
    <row r="14448">
      <c r="A14448" s="11" t="s">
        <v>14479</v>
      </c>
    </row>
    <row r="14449">
      <c r="A14449" s="11" t="s">
        <v>14480</v>
      </c>
    </row>
    <row r="14450">
      <c r="A14450" s="11" t="s">
        <v>14481</v>
      </c>
    </row>
    <row r="14451">
      <c r="A14451" s="11" t="s">
        <v>14482</v>
      </c>
    </row>
    <row r="14452">
      <c r="A14452" s="11" t="s">
        <v>14483</v>
      </c>
    </row>
    <row r="14453">
      <c r="A14453" s="11" t="s">
        <v>14484</v>
      </c>
    </row>
    <row r="14454">
      <c r="A14454" s="11" t="s">
        <v>14485</v>
      </c>
    </row>
    <row r="14455">
      <c r="A14455" s="11" t="s">
        <v>14486</v>
      </c>
    </row>
    <row r="14456">
      <c r="A14456" s="11" t="s">
        <v>14487</v>
      </c>
    </row>
    <row r="14457">
      <c r="A14457" s="11" t="s">
        <v>14488</v>
      </c>
    </row>
    <row r="14458">
      <c r="A14458" s="11" t="s">
        <v>14489</v>
      </c>
    </row>
    <row r="14459">
      <c r="A14459" s="11" t="s">
        <v>14490</v>
      </c>
    </row>
    <row r="14460">
      <c r="A14460" s="11" t="s">
        <v>14491</v>
      </c>
    </row>
    <row r="14461">
      <c r="A14461" s="11" t="s">
        <v>14492</v>
      </c>
    </row>
    <row r="14462">
      <c r="A14462" s="11" t="s">
        <v>14493</v>
      </c>
    </row>
    <row r="14463">
      <c r="A14463" s="11" t="s">
        <v>14494</v>
      </c>
    </row>
    <row r="14464">
      <c r="A14464" s="11" t="s">
        <v>14495</v>
      </c>
    </row>
    <row r="14465">
      <c r="A14465" s="11" t="s">
        <v>14496</v>
      </c>
    </row>
    <row r="14466">
      <c r="A14466" s="11" t="s">
        <v>14497</v>
      </c>
    </row>
    <row r="14467">
      <c r="A14467" s="11" t="s">
        <v>14498</v>
      </c>
    </row>
    <row r="14468">
      <c r="A14468" s="11" t="s">
        <v>14499</v>
      </c>
    </row>
    <row r="14469">
      <c r="A14469" s="11" t="s">
        <v>14500</v>
      </c>
    </row>
    <row r="14470">
      <c r="A14470" s="11" t="s">
        <v>14501</v>
      </c>
    </row>
    <row r="14471">
      <c r="A14471" s="11" t="s">
        <v>14502</v>
      </c>
    </row>
    <row r="14472">
      <c r="A14472" s="11" t="s">
        <v>14503</v>
      </c>
    </row>
    <row r="14473">
      <c r="A14473" s="11" t="s">
        <v>14504</v>
      </c>
    </row>
    <row r="14474">
      <c r="A14474" s="11" t="s">
        <v>14505</v>
      </c>
    </row>
    <row r="14475">
      <c r="A14475" s="11" t="s">
        <v>14506</v>
      </c>
    </row>
    <row r="14476">
      <c r="A14476" s="11" t="s">
        <v>14507</v>
      </c>
    </row>
    <row r="14477">
      <c r="A14477" s="11" t="s">
        <v>14508</v>
      </c>
    </row>
    <row r="14478">
      <c r="A14478" s="11" t="s">
        <v>14509</v>
      </c>
    </row>
    <row r="14479">
      <c r="A14479" s="11" t="s">
        <v>14510</v>
      </c>
    </row>
    <row r="14480">
      <c r="A14480" s="11" t="s">
        <v>14511</v>
      </c>
    </row>
    <row r="14481">
      <c r="A14481" s="11" t="s">
        <v>14512</v>
      </c>
    </row>
    <row r="14482">
      <c r="A14482" s="11" t="s">
        <v>14513</v>
      </c>
    </row>
    <row r="14483">
      <c r="A14483" s="11" t="s">
        <v>14514</v>
      </c>
    </row>
    <row r="14484">
      <c r="A14484" s="11" t="s">
        <v>14515</v>
      </c>
    </row>
    <row r="14485">
      <c r="A14485" s="11" t="s">
        <v>14516</v>
      </c>
    </row>
    <row r="14486">
      <c r="A14486" s="11" t="s">
        <v>14517</v>
      </c>
    </row>
    <row r="14487">
      <c r="A14487" s="11" t="s">
        <v>14518</v>
      </c>
    </row>
    <row r="14488">
      <c r="A14488" s="11" t="s">
        <v>14519</v>
      </c>
    </row>
    <row r="14489">
      <c r="A14489" s="11" t="s">
        <v>14520</v>
      </c>
    </row>
    <row r="14490">
      <c r="A14490" s="11" t="s">
        <v>14521</v>
      </c>
    </row>
    <row r="14491">
      <c r="A14491" s="11" t="s">
        <v>14522</v>
      </c>
    </row>
    <row r="14492">
      <c r="A14492" s="11" t="s">
        <v>14523</v>
      </c>
    </row>
    <row r="14493">
      <c r="A14493" s="11" t="s">
        <v>14524</v>
      </c>
    </row>
    <row r="14494">
      <c r="A14494" s="11" t="s">
        <v>14525</v>
      </c>
    </row>
    <row r="14495">
      <c r="A14495" s="11" t="s">
        <v>14526</v>
      </c>
    </row>
    <row r="14496">
      <c r="A14496" s="11" t="s">
        <v>14527</v>
      </c>
    </row>
    <row r="14497">
      <c r="A14497" s="11" t="s">
        <v>14528</v>
      </c>
    </row>
    <row r="14498">
      <c r="A14498" s="11" t="s">
        <v>14529</v>
      </c>
    </row>
    <row r="14499">
      <c r="A14499" s="11" t="s">
        <v>14530</v>
      </c>
    </row>
    <row r="14500">
      <c r="A14500" s="11" t="s">
        <v>14531</v>
      </c>
    </row>
    <row r="14501">
      <c r="A14501" s="11" t="s">
        <v>14532</v>
      </c>
    </row>
    <row r="14502">
      <c r="A14502" s="11" t="s">
        <v>14533</v>
      </c>
    </row>
    <row r="14503">
      <c r="A14503" s="11" t="s">
        <v>14534</v>
      </c>
    </row>
    <row r="14504">
      <c r="A14504" s="11" t="s">
        <v>14535</v>
      </c>
    </row>
    <row r="14505">
      <c r="A14505" s="11" t="s">
        <v>14536</v>
      </c>
    </row>
    <row r="14506">
      <c r="A14506" s="11" t="s">
        <v>14537</v>
      </c>
    </row>
    <row r="14507">
      <c r="A14507" s="11" t="s">
        <v>14538</v>
      </c>
    </row>
    <row r="14508">
      <c r="A14508" s="11" t="s">
        <v>14539</v>
      </c>
    </row>
    <row r="14509">
      <c r="A14509" s="11" t="s">
        <v>14540</v>
      </c>
    </row>
    <row r="14510">
      <c r="A14510" s="11" t="s">
        <v>14541</v>
      </c>
    </row>
    <row r="14511">
      <c r="A14511" s="11" t="s">
        <v>14542</v>
      </c>
    </row>
    <row r="14512">
      <c r="A14512" s="11" t="s">
        <v>14543</v>
      </c>
    </row>
    <row r="14513">
      <c r="A14513" s="11" t="s">
        <v>14544</v>
      </c>
    </row>
    <row r="14514">
      <c r="A14514" s="11" t="s">
        <v>14545</v>
      </c>
    </row>
    <row r="14515">
      <c r="A14515" s="11" t="s">
        <v>14546</v>
      </c>
    </row>
    <row r="14516">
      <c r="A14516" s="11" t="s">
        <v>14547</v>
      </c>
    </row>
    <row r="14517">
      <c r="A14517" s="11" t="s">
        <v>14548</v>
      </c>
    </row>
    <row r="14518">
      <c r="A14518" s="11" t="s">
        <v>14549</v>
      </c>
    </row>
    <row r="14519">
      <c r="A14519" s="11" t="s">
        <v>14550</v>
      </c>
    </row>
    <row r="14520">
      <c r="A14520" s="11" t="s">
        <v>14551</v>
      </c>
    </row>
    <row r="14521">
      <c r="A14521" s="11" t="s">
        <v>14552</v>
      </c>
    </row>
    <row r="14522">
      <c r="A14522" s="11" t="s">
        <v>14553</v>
      </c>
    </row>
    <row r="14523">
      <c r="A14523" s="11" t="s">
        <v>14554</v>
      </c>
    </row>
    <row r="14524">
      <c r="A14524" s="11" t="s">
        <v>14555</v>
      </c>
    </row>
    <row r="14525">
      <c r="A14525" s="11" t="s">
        <v>14556</v>
      </c>
    </row>
    <row r="14526">
      <c r="A14526" s="11" t="s">
        <v>14557</v>
      </c>
    </row>
    <row r="14527">
      <c r="A14527" s="11" t="s">
        <v>14558</v>
      </c>
    </row>
    <row r="14528">
      <c r="A14528" s="11" t="s">
        <v>14559</v>
      </c>
    </row>
    <row r="14529">
      <c r="A14529" s="11" t="s">
        <v>14560</v>
      </c>
    </row>
    <row r="14530">
      <c r="A14530" s="11" t="s">
        <v>14561</v>
      </c>
    </row>
    <row r="14531">
      <c r="A14531" s="11" t="s">
        <v>14562</v>
      </c>
    </row>
    <row r="14532">
      <c r="A14532" s="11" t="s">
        <v>14563</v>
      </c>
    </row>
    <row r="14533">
      <c r="A14533" s="11" t="s">
        <v>14564</v>
      </c>
    </row>
    <row r="14534">
      <c r="A14534" s="11" t="s">
        <v>14565</v>
      </c>
    </row>
    <row r="14535">
      <c r="A14535" s="11" t="s">
        <v>14566</v>
      </c>
    </row>
    <row r="14536">
      <c r="A14536" s="11" t="s">
        <v>14567</v>
      </c>
    </row>
    <row r="14537">
      <c r="A14537" s="11" t="s">
        <v>14568</v>
      </c>
    </row>
    <row r="14538">
      <c r="A14538" s="11" t="s">
        <v>14569</v>
      </c>
    </row>
    <row r="14539">
      <c r="A14539" s="11" t="s">
        <v>14570</v>
      </c>
    </row>
    <row r="14540">
      <c r="A14540" s="11" t="s">
        <v>14571</v>
      </c>
    </row>
    <row r="14541">
      <c r="A14541" s="11" t="s">
        <v>14572</v>
      </c>
    </row>
    <row r="14542">
      <c r="A14542" s="11" t="s">
        <v>14573</v>
      </c>
    </row>
    <row r="14543">
      <c r="A14543" s="11" t="s">
        <v>14574</v>
      </c>
    </row>
    <row r="14544">
      <c r="A14544" s="11" t="s">
        <v>14575</v>
      </c>
    </row>
    <row r="14545">
      <c r="A14545" s="11" t="s">
        <v>14576</v>
      </c>
    </row>
    <row r="14546">
      <c r="A14546" s="11" t="s">
        <v>14577</v>
      </c>
    </row>
    <row r="14547">
      <c r="A14547" s="11" t="s">
        <v>14578</v>
      </c>
    </row>
    <row r="14548">
      <c r="A14548" s="11" t="s">
        <v>14579</v>
      </c>
    </row>
    <row r="14549">
      <c r="A14549" s="11" t="s">
        <v>14580</v>
      </c>
    </row>
    <row r="14550">
      <c r="A14550" s="11" t="s">
        <v>14581</v>
      </c>
    </row>
    <row r="14551">
      <c r="A14551" s="11" t="s">
        <v>14582</v>
      </c>
    </row>
    <row r="14552">
      <c r="A14552" s="11" t="s">
        <v>14583</v>
      </c>
    </row>
    <row r="14553">
      <c r="A14553" s="11" t="s">
        <v>14584</v>
      </c>
    </row>
    <row r="14554">
      <c r="A14554" s="11" t="s">
        <v>14585</v>
      </c>
    </row>
    <row r="14555">
      <c r="A14555" s="11" t="s">
        <v>14586</v>
      </c>
    </row>
    <row r="14556">
      <c r="A14556" s="11" t="s">
        <v>14587</v>
      </c>
    </row>
    <row r="14557">
      <c r="A14557" s="11" t="s">
        <v>14588</v>
      </c>
    </row>
    <row r="14558">
      <c r="A14558" s="11" t="s">
        <v>14589</v>
      </c>
    </row>
    <row r="14559">
      <c r="A14559" s="11" t="s">
        <v>14590</v>
      </c>
    </row>
    <row r="14560">
      <c r="A14560" s="11" t="s">
        <v>14591</v>
      </c>
    </row>
    <row r="14561">
      <c r="A14561" s="11" t="s">
        <v>14592</v>
      </c>
    </row>
    <row r="14562">
      <c r="A14562" s="11" t="s">
        <v>14593</v>
      </c>
    </row>
    <row r="14563">
      <c r="A14563" s="11" t="s">
        <v>14594</v>
      </c>
    </row>
    <row r="14564">
      <c r="A14564" s="11" t="s">
        <v>14595</v>
      </c>
    </row>
    <row r="14565">
      <c r="A14565" s="11" t="s">
        <v>14596</v>
      </c>
    </row>
    <row r="14566">
      <c r="A14566" s="11" t="s">
        <v>14597</v>
      </c>
    </row>
    <row r="14567">
      <c r="A14567" s="11" t="s">
        <v>14598</v>
      </c>
    </row>
    <row r="14568">
      <c r="A14568" s="11" t="s">
        <v>14599</v>
      </c>
    </row>
    <row r="14569">
      <c r="A14569" s="11" t="s">
        <v>14600</v>
      </c>
    </row>
    <row r="14570">
      <c r="A14570" s="11" t="s">
        <v>14601</v>
      </c>
    </row>
    <row r="14571">
      <c r="A14571" s="11" t="s">
        <v>14602</v>
      </c>
    </row>
    <row r="14572">
      <c r="A14572" s="11" t="s">
        <v>14603</v>
      </c>
    </row>
    <row r="14573">
      <c r="A14573" s="11" t="s">
        <v>14604</v>
      </c>
    </row>
    <row r="14574">
      <c r="A14574" s="11" t="s">
        <v>14605</v>
      </c>
    </row>
    <row r="14575">
      <c r="A14575" s="11" t="s">
        <v>14606</v>
      </c>
    </row>
    <row r="14576">
      <c r="A14576" s="11" t="s">
        <v>14607</v>
      </c>
    </row>
    <row r="14577">
      <c r="A14577" s="11" t="s">
        <v>14608</v>
      </c>
    </row>
    <row r="14578">
      <c r="A14578" s="11" t="s">
        <v>14609</v>
      </c>
    </row>
    <row r="14579">
      <c r="A14579" s="11" t="s">
        <v>14610</v>
      </c>
    </row>
    <row r="14580">
      <c r="A14580" s="11" t="s">
        <v>14611</v>
      </c>
    </row>
    <row r="14581">
      <c r="A14581" s="11" t="s">
        <v>14612</v>
      </c>
    </row>
    <row r="14582">
      <c r="A14582" s="11" t="s">
        <v>14613</v>
      </c>
    </row>
    <row r="14583">
      <c r="A14583" s="11" t="s">
        <v>14614</v>
      </c>
    </row>
    <row r="14584">
      <c r="A14584" s="11" t="s">
        <v>14615</v>
      </c>
    </row>
    <row r="14585">
      <c r="A14585" s="11" t="s">
        <v>14616</v>
      </c>
    </row>
    <row r="14586">
      <c r="A14586" s="11" t="s">
        <v>14617</v>
      </c>
    </row>
    <row r="14587">
      <c r="A14587" s="11" t="s">
        <v>14618</v>
      </c>
    </row>
    <row r="14588">
      <c r="A14588" s="11" t="s">
        <v>14619</v>
      </c>
    </row>
    <row r="14589">
      <c r="A14589" s="11" t="s">
        <v>14620</v>
      </c>
    </row>
    <row r="14590">
      <c r="A14590" s="11" t="s">
        <v>14621</v>
      </c>
    </row>
    <row r="14591">
      <c r="A14591" s="11" t="s">
        <v>14622</v>
      </c>
    </row>
    <row r="14592">
      <c r="A14592" s="11" t="s">
        <v>14623</v>
      </c>
    </row>
    <row r="14593">
      <c r="A14593" s="11" t="s">
        <v>14624</v>
      </c>
    </row>
    <row r="14594">
      <c r="A14594" s="11" t="s">
        <v>14625</v>
      </c>
    </row>
    <row r="14595">
      <c r="A14595" s="11" t="s">
        <v>14626</v>
      </c>
    </row>
    <row r="14596">
      <c r="A14596" s="11" t="s">
        <v>14627</v>
      </c>
    </row>
    <row r="14597">
      <c r="A14597" s="11" t="s">
        <v>14628</v>
      </c>
    </row>
    <row r="14598">
      <c r="A14598" s="11" t="s">
        <v>14629</v>
      </c>
    </row>
    <row r="14599">
      <c r="A14599" s="11" t="s">
        <v>14630</v>
      </c>
    </row>
    <row r="14600">
      <c r="A14600" s="11" t="s">
        <v>14631</v>
      </c>
    </row>
    <row r="14601">
      <c r="A14601" s="11" t="s">
        <v>14632</v>
      </c>
    </row>
    <row r="14602">
      <c r="A14602" s="11" t="s">
        <v>14633</v>
      </c>
    </row>
    <row r="14603">
      <c r="A14603" s="11" t="s">
        <v>14634</v>
      </c>
    </row>
    <row r="14604">
      <c r="A14604" s="11" t="s">
        <v>14635</v>
      </c>
    </row>
    <row r="14605">
      <c r="A14605" s="11" t="s">
        <v>14636</v>
      </c>
    </row>
    <row r="14606">
      <c r="A14606" s="11" t="s">
        <v>14637</v>
      </c>
    </row>
    <row r="14607">
      <c r="A14607" s="11" t="s">
        <v>14638</v>
      </c>
    </row>
    <row r="14608">
      <c r="A14608" s="11" t="s">
        <v>14639</v>
      </c>
    </row>
    <row r="14609">
      <c r="A14609" s="11" t="s">
        <v>14640</v>
      </c>
    </row>
    <row r="14610">
      <c r="A14610" s="11" t="s">
        <v>14641</v>
      </c>
    </row>
    <row r="14611">
      <c r="A14611" s="11" t="s">
        <v>14642</v>
      </c>
    </row>
    <row r="14612">
      <c r="A14612" s="11" t="s">
        <v>14643</v>
      </c>
    </row>
    <row r="14613">
      <c r="A14613" s="11" t="s">
        <v>14644</v>
      </c>
    </row>
    <row r="14614">
      <c r="A14614" s="11" t="s">
        <v>14645</v>
      </c>
    </row>
    <row r="14615">
      <c r="A14615" s="11" t="s">
        <v>14646</v>
      </c>
    </row>
    <row r="14616">
      <c r="A14616" s="11" t="s">
        <v>14647</v>
      </c>
    </row>
    <row r="14617">
      <c r="A14617" s="11" t="s">
        <v>14648</v>
      </c>
    </row>
    <row r="14618">
      <c r="A14618" s="11" t="s">
        <v>14649</v>
      </c>
    </row>
    <row r="14619">
      <c r="A14619" s="11" t="s">
        <v>14650</v>
      </c>
    </row>
    <row r="14620">
      <c r="A14620" s="11" t="s">
        <v>14651</v>
      </c>
    </row>
    <row r="14621">
      <c r="A14621" s="11" t="s">
        <v>14652</v>
      </c>
    </row>
    <row r="14622">
      <c r="A14622" s="11" t="s">
        <v>14653</v>
      </c>
    </row>
    <row r="14623">
      <c r="A14623" s="11" t="s">
        <v>14654</v>
      </c>
    </row>
    <row r="14624">
      <c r="A14624" s="11" t="s">
        <v>14655</v>
      </c>
    </row>
    <row r="14625">
      <c r="A14625" s="11" t="s">
        <v>14656</v>
      </c>
    </row>
    <row r="14626">
      <c r="A14626" s="11" t="s">
        <v>14657</v>
      </c>
    </row>
    <row r="14627">
      <c r="A14627" s="11" t="s">
        <v>14658</v>
      </c>
    </row>
    <row r="14628">
      <c r="A14628" s="11" t="s">
        <v>14659</v>
      </c>
    </row>
    <row r="14629">
      <c r="A14629" s="11" t="s">
        <v>14660</v>
      </c>
    </row>
    <row r="14630">
      <c r="A14630" s="11" t="s">
        <v>14661</v>
      </c>
    </row>
    <row r="14631">
      <c r="A14631" s="11" t="s">
        <v>14662</v>
      </c>
    </row>
    <row r="14632">
      <c r="A14632" s="11" t="s">
        <v>14663</v>
      </c>
    </row>
    <row r="14633">
      <c r="A14633" s="11" t="s">
        <v>14664</v>
      </c>
    </row>
    <row r="14634">
      <c r="A14634" s="11" t="s">
        <v>14665</v>
      </c>
    </row>
    <row r="14635">
      <c r="A14635" s="11" t="s">
        <v>14666</v>
      </c>
    </row>
    <row r="14636">
      <c r="A14636" s="11" t="s">
        <v>14667</v>
      </c>
    </row>
    <row r="14637">
      <c r="A14637" s="11" t="s">
        <v>14668</v>
      </c>
    </row>
    <row r="14638">
      <c r="A14638" s="11" t="s">
        <v>14669</v>
      </c>
    </row>
    <row r="14639">
      <c r="A14639" s="11" t="s">
        <v>14670</v>
      </c>
    </row>
    <row r="14640">
      <c r="A14640" s="11" t="s">
        <v>14671</v>
      </c>
    </row>
    <row r="14641">
      <c r="A14641" s="11" t="s">
        <v>14672</v>
      </c>
    </row>
    <row r="14642">
      <c r="A14642" s="11" t="s">
        <v>14673</v>
      </c>
    </row>
    <row r="14643">
      <c r="A14643" s="11" t="s">
        <v>14674</v>
      </c>
    </row>
    <row r="14644">
      <c r="A14644" s="11" t="s">
        <v>14675</v>
      </c>
    </row>
    <row r="14645">
      <c r="A14645" s="11" t="s">
        <v>14676</v>
      </c>
    </row>
    <row r="14646">
      <c r="A14646" s="11" t="s">
        <v>14677</v>
      </c>
    </row>
    <row r="14647">
      <c r="A14647" s="11" t="s">
        <v>14678</v>
      </c>
    </row>
    <row r="14648">
      <c r="A14648" s="11" t="s">
        <v>14679</v>
      </c>
    </row>
    <row r="14649">
      <c r="A14649" s="11" t="s">
        <v>14680</v>
      </c>
    </row>
    <row r="14650">
      <c r="A14650" s="11" t="s">
        <v>14681</v>
      </c>
    </row>
    <row r="14651">
      <c r="A14651" s="11" t="s">
        <v>14682</v>
      </c>
    </row>
    <row r="14652">
      <c r="A14652" s="11" t="s">
        <v>14683</v>
      </c>
    </row>
    <row r="14653">
      <c r="A14653" s="11" t="s">
        <v>14684</v>
      </c>
    </row>
    <row r="14654">
      <c r="A14654" s="11" t="s">
        <v>14685</v>
      </c>
    </row>
    <row r="14655">
      <c r="A14655" s="11" t="s">
        <v>14686</v>
      </c>
    </row>
    <row r="14656">
      <c r="A14656" s="11" t="s">
        <v>14687</v>
      </c>
    </row>
    <row r="14657">
      <c r="A14657" s="11" t="s">
        <v>14688</v>
      </c>
    </row>
    <row r="14658">
      <c r="A14658" s="11" t="s">
        <v>14689</v>
      </c>
    </row>
    <row r="14659">
      <c r="A14659" s="11" t="s">
        <v>14690</v>
      </c>
    </row>
    <row r="14660">
      <c r="A14660" s="11" t="s">
        <v>14691</v>
      </c>
    </row>
    <row r="14661">
      <c r="A14661" s="11" t="s">
        <v>14692</v>
      </c>
    </row>
    <row r="14662">
      <c r="A14662" s="11" t="s">
        <v>14693</v>
      </c>
    </row>
    <row r="14663">
      <c r="A14663" s="11" t="s">
        <v>14694</v>
      </c>
    </row>
    <row r="14664">
      <c r="A14664" s="11" t="s">
        <v>14695</v>
      </c>
    </row>
    <row r="14665">
      <c r="A14665" s="11" t="s">
        <v>14696</v>
      </c>
    </row>
    <row r="14666">
      <c r="A14666" s="11" t="s">
        <v>14697</v>
      </c>
    </row>
    <row r="14667">
      <c r="A14667" s="11" t="s">
        <v>14698</v>
      </c>
    </row>
    <row r="14668">
      <c r="A14668" s="11" t="s">
        <v>14699</v>
      </c>
    </row>
    <row r="14669">
      <c r="A14669" s="11" t="s">
        <v>14700</v>
      </c>
    </row>
    <row r="14670">
      <c r="A14670" s="11" t="s">
        <v>14701</v>
      </c>
    </row>
    <row r="14671">
      <c r="A14671" s="11" t="s">
        <v>14702</v>
      </c>
    </row>
    <row r="14672">
      <c r="A14672" s="11" t="s">
        <v>14703</v>
      </c>
    </row>
    <row r="14673">
      <c r="A14673" s="11" t="s">
        <v>14704</v>
      </c>
    </row>
    <row r="14674">
      <c r="A14674" s="11" t="s">
        <v>14705</v>
      </c>
    </row>
    <row r="14675">
      <c r="A14675" s="11" t="s">
        <v>14706</v>
      </c>
    </row>
    <row r="14676">
      <c r="A14676" s="11" t="s">
        <v>14707</v>
      </c>
    </row>
    <row r="14677">
      <c r="A14677" s="11" t="s">
        <v>14708</v>
      </c>
    </row>
    <row r="14678">
      <c r="A14678" s="11" t="s">
        <v>14709</v>
      </c>
    </row>
    <row r="14679">
      <c r="A14679" s="11" t="s">
        <v>14710</v>
      </c>
    </row>
    <row r="14680">
      <c r="A14680" s="11" t="s">
        <v>14711</v>
      </c>
    </row>
    <row r="14681">
      <c r="A14681" s="11" t="s">
        <v>14712</v>
      </c>
    </row>
    <row r="14682">
      <c r="A14682" s="11" t="s">
        <v>14713</v>
      </c>
    </row>
    <row r="14683">
      <c r="A14683" s="11" t="s">
        <v>14714</v>
      </c>
    </row>
    <row r="14684">
      <c r="A14684" s="11" t="s">
        <v>14715</v>
      </c>
    </row>
    <row r="14685">
      <c r="A14685" s="11" t="s">
        <v>14716</v>
      </c>
    </row>
    <row r="14686">
      <c r="A14686" s="11" t="s">
        <v>14717</v>
      </c>
    </row>
    <row r="14687">
      <c r="A14687" s="11" t="s">
        <v>14718</v>
      </c>
    </row>
    <row r="14688">
      <c r="A14688" s="11" t="s">
        <v>14719</v>
      </c>
    </row>
    <row r="14689">
      <c r="A14689" s="11" t="s">
        <v>14720</v>
      </c>
    </row>
    <row r="14690">
      <c r="A14690" s="11" t="s">
        <v>14721</v>
      </c>
    </row>
    <row r="14691">
      <c r="A14691" s="11" t="s">
        <v>14722</v>
      </c>
    </row>
    <row r="14692">
      <c r="A14692" s="11" t="s">
        <v>14723</v>
      </c>
    </row>
    <row r="14693">
      <c r="A14693" s="11" t="s">
        <v>14724</v>
      </c>
    </row>
    <row r="14694">
      <c r="A14694" s="11" t="s">
        <v>14725</v>
      </c>
    </row>
    <row r="14695">
      <c r="A14695" s="11" t="s">
        <v>14726</v>
      </c>
    </row>
    <row r="14696">
      <c r="A14696" s="11" t="s">
        <v>14727</v>
      </c>
    </row>
    <row r="14697">
      <c r="A14697" s="11" t="s">
        <v>14728</v>
      </c>
    </row>
    <row r="14698">
      <c r="A14698" s="11" t="s">
        <v>14729</v>
      </c>
    </row>
    <row r="14699">
      <c r="A14699" s="11" t="s">
        <v>14730</v>
      </c>
    </row>
    <row r="14700">
      <c r="A14700" s="11" t="s">
        <v>14731</v>
      </c>
    </row>
    <row r="14701">
      <c r="A14701" s="11" t="s">
        <v>14732</v>
      </c>
    </row>
    <row r="14702">
      <c r="A14702" s="11" t="s">
        <v>14733</v>
      </c>
    </row>
    <row r="14703">
      <c r="A14703" s="11" t="s">
        <v>14734</v>
      </c>
    </row>
    <row r="14704">
      <c r="A14704" s="11" t="s">
        <v>14735</v>
      </c>
    </row>
    <row r="14705">
      <c r="A14705" s="11" t="s">
        <v>14736</v>
      </c>
    </row>
    <row r="14706">
      <c r="A14706" s="11" t="s">
        <v>14737</v>
      </c>
    </row>
    <row r="14707">
      <c r="A14707" s="11" t="s">
        <v>14738</v>
      </c>
    </row>
    <row r="14708">
      <c r="A14708" s="11" t="s">
        <v>14739</v>
      </c>
    </row>
    <row r="14709">
      <c r="A14709" s="11" t="s">
        <v>14740</v>
      </c>
    </row>
    <row r="14710">
      <c r="A14710" s="11" t="s">
        <v>14741</v>
      </c>
    </row>
    <row r="14711">
      <c r="A14711" s="11" t="s">
        <v>14742</v>
      </c>
    </row>
    <row r="14712">
      <c r="A14712" s="11" t="s">
        <v>14743</v>
      </c>
    </row>
    <row r="14713">
      <c r="A14713" s="11" t="s">
        <v>14744</v>
      </c>
    </row>
    <row r="14714">
      <c r="A14714" s="11" t="s">
        <v>14745</v>
      </c>
    </row>
    <row r="14715">
      <c r="A14715" s="11" t="s">
        <v>14746</v>
      </c>
    </row>
    <row r="14716">
      <c r="A14716" s="11" t="s">
        <v>14747</v>
      </c>
    </row>
    <row r="14717">
      <c r="A14717" s="11" t="s">
        <v>14748</v>
      </c>
    </row>
    <row r="14718">
      <c r="A14718" s="11" t="s">
        <v>14749</v>
      </c>
    </row>
    <row r="14719">
      <c r="A14719" s="11" t="s">
        <v>14750</v>
      </c>
    </row>
    <row r="14720">
      <c r="A14720" s="11" t="s">
        <v>14751</v>
      </c>
    </row>
    <row r="14721">
      <c r="A14721" s="11" t="s">
        <v>14752</v>
      </c>
    </row>
    <row r="14722">
      <c r="A14722" s="11" t="s">
        <v>14753</v>
      </c>
    </row>
    <row r="14723">
      <c r="A14723" s="11" t="s">
        <v>14754</v>
      </c>
    </row>
    <row r="14724">
      <c r="A14724" s="11" t="s">
        <v>14755</v>
      </c>
    </row>
    <row r="14725">
      <c r="A14725" s="11" t="s">
        <v>14756</v>
      </c>
    </row>
    <row r="14726">
      <c r="A14726" s="11" t="s">
        <v>14757</v>
      </c>
    </row>
    <row r="14727">
      <c r="A14727" s="11" t="s">
        <v>14758</v>
      </c>
    </row>
    <row r="14728">
      <c r="A14728" s="11" t="s">
        <v>14759</v>
      </c>
    </row>
    <row r="14729">
      <c r="A14729" s="11" t="s">
        <v>14760</v>
      </c>
    </row>
    <row r="14730">
      <c r="A14730" s="11" t="s">
        <v>14761</v>
      </c>
    </row>
    <row r="14731">
      <c r="A14731" s="11" t="s">
        <v>14762</v>
      </c>
    </row>
    <row r="14732">
      <c r="A14732" s="11" t="s">
        <v>14763</v>
      </c>
    </row>
    <row r="14733">
      <c r="A14733" s="11" t="s">
        <v>14764</v>
      </c>
    </row>
    <row r="14734">
      <c r="A14734" s="11" t="s">
        <v>14765</v>
      </c>
    </row>
    <row r="14735">
      <c r="A14735" s="11" t="s">
        <v>14766</v>
      </c>
    </row>
    <row r="14736">
      <c r="A14736" s="11" t="s">
        <v>14767</v>
      </c>
    </row>
    <row r="14737">
      <c r="A14737" s="11" t="s">
        <v>14768</v>
      </c>
    </row>
    <row r="14738">
      <c r="A14738" s="11" t="s">
        <v>14769</v>
      </c>
    </row>
    <row r="14739">
      <c r="A14739" s="11" t="s">
        <v>14770</v>
      </c>
    </row>
    <row r="14740">
      <c r="A14740" s="11" t="s">
        <v>14771</v>
      </c>
    </row>
    <row r="14741">
      <c r="A14741" s="11" t="s">
        <v>14772</v>
      </c>
    </row>
    <row r="14742">
      <c r="A14742" s="11" t="s">
        <v>14773</v>
      </c>
    </row>
    <row r="14743">
      <c r="A14743" s="11" t="s">
        <v>14774</v>
      </c>
    </row>
    <row r="14744">
      <c r="A14744" s="11" t="s">
        <v>14775</v>
      </c>
    </row>
    <row r="14745">
      <c r="A14745" s="11" t="s">
        <v>14776</v>
      </c>
    </row>
    <row r="14746">
      <c r="A14746" s="11" t="s">
        <v>14777</v>
      </c>
    </row>
    <row r="14747">
      <c r="A14747" s="11" t="s">
        <v>14778</v>
      </c>
    </row>
    <row r="14748">
      <c r="A14748" s="11" t="s">
        <v>14779</v>
      </c>
    </row>
    <row r="14749">
      <c r="A14749" s="11" t="s">
        <v>14780</v>
      </c>
    </row>
    <row r="14750">
      <c r="A14750" s="11" t="s">
        <v>14781</v>
      </c>
    </row>
    <row r="14751">
      <c r="A14751" s="11" t="s">
        <v>14782</v>
      </c>
    </row>
    <row r="14752">
      <c r="A14752" s="11" t="s">
        <v>14783</v>
      </c>
    </row>
    <row r="14753">
      <c r="A14753" s="11" t="s">
        <v>14784</v>
      </c>
    </row>
    <row r="14754">
      <c r="A14754" s="11" t="s">
        <v>14785</v>
      </c>
    </row>
    <row r="14755">
      <c r="A14755" s="11" t="s">
        <v>14786</v>
      </c>
    </row>
    <row r="14756">
      <c r="A14756" s="11" t="s">
        <v>14787</v>
      </c>
    </row>
    <row r="14757">
      <c r="A14757" s="11" t="s">
        <v>14788</v>
      </c>
    </row>
    <row r="14758">
      <c r="A14758" s="11" t="s">
        <v>14789</v>
      </c>
    </row>
    <row r="14759">
      <c r="A14759" s="11" t="s">
        <v>14790</v>
      </c>
    </row>
    <row r="14760">
      <c r="A14760" s="11" t="s">
        <v>14791</v>
      </c>
    </row>
    <row r="14761">
      <c r="A14761" s="11" t="s">
        <v>14792</v>
      </c>
    </row>
    <row r="14762">
      <c r="A14762" s="11" t="s">
        <v>14793</v>
      </c>
    </row>
    <row r="14763">
      <c r="A14763" s="11" t="s">
        <v>14794</v>
      </c>
    </row>
    <row r="14764">
      <c r="A14764" s="11" t="s">
        <v>14795</v>
      </c>
    </row>
    <row r="14765">
      <c r="A14765" s="11" t="s">
        <v>14796</v>
      </c>
    </row>
    <row r="14766">
      <c r="A14766" s="11" t="s">
        <v>14797</v>
      </c>
    </row>
    <row r="14767">
      <c r="A14767" s="11" t="s">
        <v>14798</v>
      </c>
    </row>
    <row r="14768">
      <c r="A14768" s="11" t="s">
        <v>14799</v>
      </c>
    </row>
    <row r="14769">
      <c r="A14769" s="11" t="s">
        <v>14800</v>
      </c>
    </row>
    <row r="14770">
      <c r="A14770" s="11" t="s">
        <v>14801</v>
      </c>
    </row>
    <row r="14771">
      <c r="A14771" s="11" t="s">
        <v>14802</v>
      </c>
    </row>
    <row r="14772">
      <c r="A14772" s="11" t="s">
        <v>14803</v>
      </c>
    </row>
    <row r="14773">
      <c r="A14773" s="11" t="s">
        <v>14804</v>
      </c>
    </row>
    <row r="14774">
      <c r="A14774" s="11" t="s">
        <v>14805</v>
      </c>
    </row>
    <row r="14775">
      <c r="A14775" s="11" t="s">
        <v>14806</v>
      </c>
    </row>
    <row r="14776">
      <c r="A14776" s="11" t="s">
        <v>14807</v>
      </c>
    </row>
    <row r="14777">
      <c r="A14777" s="11" t="s">
        <v>14808</v>
      </c>
    </row>
    <row r="14778">
      <c r="A14778" s="11" t="s">
        <v>14809</v>
      </c>
    </row>
    <row r="14779">
      <c r="A14779" s="11" t="s">
        <v>14810</v>
      </c>
    </row>
    <row r="14780">
      <c r="A14780" s="11" t="s">
        <v>14811</v>
      </c>
    </row>
    <row r="14781">
      <c r="A14781" s="11" t="s">
        <v>14812</v>
      </c>
    </row>
    <row r="14782">
      <c r="A14782" s="11" t="s">
        <v>14813</v>
      </c>
    </row>
    <row r="14783">
      <c r="A14783" s="11" t="s">
        <v>14814</v>
      </c>
    </row>
    <row r="14784">
      <c r="A14784" s="11" t="s">
        <v>14815</v>
      </c>
    </row>
    <row r="14785">
      <c r="A14785" s="11" t="s">
        <v>14816</v>
      </c>
    </row>
    <row r="14786">
      <c r="A14786" s="11" t="s">
        <v>14817</v>
      </c>
    </row>
    <row r="14787">
      <c r="A14787" s="11" t="s">
        <v>14818</v>
      </c>
    </row>
    <row r="14788">
      <c r="A14788" s="11" t="s">
        <v>14819</v>
      </c>
    </row>
    <row r="14789">
      <c r="A14789" s="11" t="s">
        <v>14820</v>
      </c>
    </row>
    <row r="14790">
      <c r="A14790" s="11" t="s">
        <v>14821</v>
      </c>
    </row>
    <row r="14791">
      <c r="A14791" s="11" t="s">
        <v>14822</v>
      </c>
    </row>
    <row r="14792">
      <c r="A14792" s="11" t="s">
        <v>14823</v>
      </c>
    </row>
    <row r="14793">
      <c r="A14793" s="11" t="s">
        <v>14824</v>
      </c>
    </row>
    <row r="14794">
      <c r="A14794" s="11" t="s">
        <v>14825</v>
      </c>
    </row>
    <row r="14795">
      <c r="A14795" s="11" t="s">
        <v>14826</v>
      </c>
    </row>
    <row r="14796">
      <c r="A14796" s="11" t="s">
        <v>14827</v>
      </c>
    </row>
    <row r="14797">
      <c r="A14797" s="11" t="s">
        <v>14828</v>
      </c>
    </row>
    <row r="14798">
      <c r="A14798" s="11" t="s">
        <v>14829</v>
      </c>
    </row>
    <row r="14799">
      <c r="A14799" s="11" t="s">
        <v>14830</v>
      </c>
    </row>
    <row r="14800">
      <c r="A14800" s="11" t="s">
        <v>14831</v>
      </c>
    </row>
    <row r="14801">
      <c r="A14801" s="11" t="s">
        <v>14832</v>
      </c>
    </row>
    <row r="14802">
      <c r="A14802" s="11" t="s">
        <v>14833</v>
      </c>
    </row>
    <row r="14803">
      <c r="A14803" s="11" t="s">
        <v>14834</v>
      </c>
    </row>
    <row r="14804">
      <c r="A14804" s="11" t="s">
        <v>14835</v>
      </c>
    </row>
    <row r="14805">
      <c r="A14805" s="11" t="s">
        <v>14836</v>
      </c>
    </row>
    <row r="14806">
      <c r="A14806" s="11" t="s">
        <v>14837</v>
      </c>
    </row>
    <row r="14807">
      <c r="A14807" s="11" t="s">
        <v>14838</v>
      </c>
    </row>
    <row r="14808">
      <c r="A14808" s="11" t="s">
        <v>14839</v>
      </c>
    </row>
    <row r="14809">
      <c r="A14809" s="11" t="s">
        <v>14840</v>
      </c>
    </row>
    <row r="14810">
      <c r="A14810" s="11" t="s">
        <v>14841</v>
      </c>
    </row>
    <row r="14811">
      <c r="A14811" s="11" t="s">
        <v>14842</v>
      </c>
    </row>
    <row r="14812">
      <c r="A14812" s="11" t="s">
        <v>14843</v>
      </c>
    </row>
    <row r="14813">
      <c r="A14813" s="11" t="s">
        <v>14844</v>
      </c>
    </row>
    <row r="14814">
      <c r="A14814" s="11" t="s">
        <v>14845</v>
      </c>
    </row>
    <row r="14815">
      <c r="A14815" s="11" t="s">
        <v>14846</v>
      </c>
    </row>
    <row r="14816">
      <c r="A14816" s="11" t="s">
        <v>14847</v>
      </c>
    </row>
    <row r="14817">
      <c r="A14817" s="11" t="s">
        <v>14848</v>
      </c>
    </row>
    <row r="14818">
      <c r="A14818" s="11" t="s">
        <v>14849</v>
      </c>
    </row>
    <row r="14819">
      <c r="A14819" s="11" t="s">
        <v>14850</v>
      </c>
    </row>
    <row r="14820">
      <c r="A14820" s="11" t="s">
        <v>14851</v>
      </c>
    </row>
    <row r="14821">
      <c r="A14821" s="11" t="s">
        <v>14852</v>
      </c>
    </row>
    <row r="14822">
      <c r="A14822" s="11" t="s">
        <v>14853</v>
      </c>
    </row>
    <row r="14823">
      <c r="A14823" s="11" t="s">
        <v>14854</v>
      </c>
    </row>
    <row r="14824">
      <c r="A14824" s="11" t="s">
        <v>14855</v>
      </c>
    </row>
    <row r="14825">
      <c r="A14825" s="11" t="s">
        <v>14856</v>
      </c>
    </row>
    <row r="14826">
      <c r="A14826" s="11" t="s">
        <v>14857</v>
      </c>
    </row>
    <row r="14827">
      <c r="A14827" s="11" t="s">
        <v>14858</v>
      </c>
    </row>
    <row r="14828">
      <c r="A14828" s="11" t="s">
        <v>14859</v>
      </c>
    </row>
    <row r="14829">
      <c r="A14829" s="11" t="s">
        <v>14860</v>
      </c>
    </row>
    <row r="14830">
      <c r="A14830" s="11" t="s">
        <v>14861</v>
      </c>
    </row>
    <row r="14831">
      <c r="A14831" s="11" t="s">
        <v>14862</v>
      </c>
    </row>
    <row r="14832">
      <c r="A14832" s="11" t="s">
        <v>14863</v>
      </c>
    </row>
    <row r="14833">
      <c r="A14833" s="11" t="s">
        <v>14864</v>
      </c>
    </row>
    <row r="14834">
      <c r="A14834" s="11" t="s">
        <v>14865</v>
      </c>
    </row>
    <row r="14835">
      <c r="A14835" s="11" t="s">
        <v>14866</v>
      </c>
    </row>
    <row r="14836">
      <c r="A14836" s="11" t="s">
        <v>14867</v>
      </c>
    </row>
    <row r="14837">
      <c r="A14837" s="11" t="s">
        <v>14868</v>
      </c>
    </row>
    <row r="14838">
      <c r="A14838" s="11" t="s">
        <v>14869</v>
      </c>
    </row>
    <row r="14839">
      <c r="A14839" s="11" t="s">
        <v>14870</v>
      </c>
    </row>
    <row r="14840">
      <c r="A14840" s="11" t="s">
        <v>14871</v>
      </c>
    </row>
    <row r="14841">
      <c r="A14841" s="11" t="s">
        <v>14872</v>
      </c>
    </row>
    <row r="14842">
      <c r="A14842" s="11" t="s">
        <v>14873</v>
      </c>
    </row>
    <row r="14843">
      <c r="A14843" s="11" t="s">
        <v>14874</v>
      </c>
    </row>
    <row r="14844">
      <c r="A14844" s="11" t="s">
        <v>14875</v>
      </c>
    </row>
    <row r="14845">
      <c r="A14845" s="11" t="s">
        <v>14876</v>
      </c>
    </row>
    <row r="14846">
      <c r="A14846" s="11" t="s">
        <v>14877</v>
      </c>
    </row>
    <row r="14847">
      <c r="A14847" s="11" t="s">
        <v>14878</v>
      </c>
    </row>
    <row r="14848">
      <c r="A14848" s="11" t="s">
        <v>14879</v>
      </c>
    </row>
    <row r="14849">
      <c r="A14849" s="11" t="s">
        <v>14880</v>
      </c>
    </row>
    <row r="14850">
      <c r="A14850" s="11" t="s">
        <v>14881</v>
      </c>
    </row>
    <row r="14851">
      <c r="A14851" s="11" t="s">
        <v>14882</v>
      </c>
    </row>
    <row r="14852">
      <c r="A14852" s="11" t="s">
        <v>14883</v>
      </c>
    </row>
    <row r="14853">
      <c r="A14853" s="11" t="s">
        <v>14884</v>
      </c>
    </row>
    <row r="14854">
      <c r="A14854" s="11" t="s">
        <v>14885</v>
      </c>
    </row>
    <row r="14855">
      <c r="A14855" s="11" t="s">
        <v>14886</v>
      </c>
    </row>
    <row r="14856">
      <c r="A14856" s="11" t="s">
        <v>14887</v>
      </c>
    </row>
    <row r="14857">
      <c r="A14857" s="11" t="s">
        <v>14888</v>
      </c>
    </row>
    <row r="14858">
      <c r="A14858" s="11" t="s">
        <v>14889</v>
      </c>
    </row>
    <row r="14859">
      <c r="A14859" s="11" t="s">
        <v>14890</v>
      </c>
    </row>
    <row r="14860">
      <c r="A14860" s="11" t="s">
        <v>14891</v>
      </c>
    </row>
    <row r="14861">
      <c r="A14861" s="11" t="s">
        <v>14892</v>
      </c>
    </row>
    <row r="14862">
      <c r="A14862" s="11" t="s">
        <v>14893</v>
      </c>
    </row>
    <row r="14863">
      <c r="A14863" s="11" t="s">
        <v>14894</v>
      </c>
    </row>
    <row r="14864">
      <c r="A14864" s="11" t="s">
        <v>14895</v>
      </c>
    </row>
    <row r="14865">
      <c r="A14865" s="11" t="s">
        <v>14896</v>
      </c>
    </row>
    <row r="14866">
      <c r="A14866" s="11" t="s">
        <v>14897</v>
      </c>
    </row>
    <row r="14867">
      <c r="A14867" s="11" t="s">
        <v>14898</v>
      </c>
    </row>
    <row r="14868">
      <c r="A14868" s="11" t="s">
        <v>14899</v>
      </c>
    </row>
    <row r="14869">
      <c r="A14869" s="11" t="s">
        <v>14900</v>
      </c>
    </row>
    <row r="14870">
      <c r="A14870" s="11" t="s">
        <v>14901</v>
      </c>
    </row>
    <row r="14871">
      <c r="A14871" s="11" t="s">
        <v>14902</v>
      </c>
    </row>
    <row r="14872">
      <c r="A14872" s="11" t="s">
        <v>14903</v>
      </c>
    </row>
    <row r="14873">
      <c r="A14873" s="11" t="s">
        <v>14904</v>
      </c>
    </row>
    <row r="14874">
      <c r="A14874" s="11" t="s">
        <v>14905</v>
      </c>
    </row>
    <row r="14875">
      <c r="A14875" s="11" t="s">
        <v>14906</v>
      </c>
    </row>
    <row r="14876">
      <c r="A14876" s="11" t="s">
        <v>14907</v>
      </c>
    </row>
    <row r="14877">
      <c r="A14877" s="11" t="s">
        <v>14908</v>
      </c>
    </row>
    <row r="14878">
      <c r="A14878" s="11" t="s">
        <v>14909</v>
      </c>
    </row>
    <row r="14879">
      <c r="A14879" s="11" t="s">
        <v>14910</v>
      </c>
    </row>
    <row r="14880">
      <c r="A14880" s="11" t="s">
        <v>14911</v>
      </c>
    </row>
    <row r="14881">
      <c r="A14881" s="11" t="s">
        <v>14912</v>
      </c>
    </row>
    <row r="14882">
      <c r="A14882" s="11" t="s">
        <v>14913</v>
      </c>
    </row>
    <row r="14883">
      <c r="A14883" s="11" t="s">
        <v>14914</v>
      </c>
    </row>
    <row r="14884">
      <c r="A14884" s="11" t="s">
        <v>14915</v>
      </c>
    </row>
    <row r="14885">
      <c r="A14885" s="11" t="s">
        <v>14916</v>
      </c>
    </row>
    <row r="14886">
      <c r="A14886" s="11" t="s">
        <v>14917</v>
      </c>
    </row>
    <row r="14887">
      <c r="A14887" s="11" t="s">
        <v>14918</v>
      </c>
    </row>
    <row r="14888">
      <c r="A14888" s="11" t="s">
        <v>14919</v>
      </c>
    </row>
    <row r="14889">
      <c r="A14889" s="11" t="s">
        <v>14920</v>
      </c>
    </row>
    <row r="14890">
      <c r="A14890" s="11" t="s">
        <v>14921</v>
      </c>
    </row>
    <row r="14891">
      <c r="A14891" s="11" t="s">
        <v>14922</v>
      </c>
    </row>
    <row r="14892">
      <c r="A14892" s="11" t="s">
        <v>14923</v>
      </c>
    </row>
    <row r="14893">
      <c r="A14893" s="11" t="s">
        <v>14924</v>
      </c>
    </row>
    <row r="14894">
      <c r="A14894" s="11" t="s">
        <v>14925</v>
      </c>
    </row>
    <row r="14895">
      <c r="A14895" s="11" t="s">
        <v>14926</v>
      </c>
    </row>
    <row r="14896">
      <c r="A14896" s="11" t="s">
        <v>14927</v>
      </c>
    </row>
    <row r="14897">
      <c r="A14897" s="11" t="s">
        <v>14928</v>
      </c>
    </row>
    <row r="14898">
      <c r="A14898" s="11" t="s">
        <v>14929</v>
      </c>
    </row>
    <row r="14899">
      <c r="A14899" s="11" t="s">
        <v>14930</v>
      </c>
    </row>
    <row r="14900">
      <c r="A14900" s="11" t="s">
        <v>14931</v>
      </c>
    </row>
    <row r="14901">
      <c r="A14901" s="11" t="s">
        <v>14932</v>
      </c>
    </row>
    <row r="14902">
      <c r="A14902" s="11" t="s">
        <v>14933</v>
      </c>
    </row>
    <row r="14903">
      <c r="A14903" s="11" t="s">
        <v>14934</v>
      </c>
    </row>
    <row r="14904">
      <c r="A14904" s="11" t="s">
        <v>14935</v>
      </c>
    </row>
    <row r="14905">
      <c r="A14905" s="11" t="s">
        <v>14936</v>
      </c>
    </row>
    <row r="14906">
      <c r="A14906" s="11" t="s">
        <v>14937</v>
      </c>
    </row>
    <row r="14907">
      <c r="A14907" s="11" t="s">
        <v>14938</v>
      </c>
    </row>
    <row r="14908">
      <c r="A14908" s="11" t="s">
        <v>14939</v>
      </c>
    </row>
    <row r="14909">
      <c r="A14909" s="11" t="s">
        <v>14940</v>
      </c>
    </row>
    <row r="14910">
      <c r="A14910" s="11" t="s">
        <v>14941</v>
      </c>
    </row>
    <row r="14911">
      <c r="A14911" s="11" t="s">
        <v>14942</v>
      </c>
    </row>
    <row r="14912">
      <c r="A14912" s="11" t="s">
        <v>14943</v>
      </c>
    </row>
    <row r="14913">
      <c r="A14913" s="11" t="s">
        <v>14944</v>
      </c>
    </row>
    <row r="14914">
      <c r="A14914" s="11" t="s">
        <v>14945</v>
      </c>
    </row>
    <row r="14915">
      <c r="A14915" s="11" t="s">
        <v>14946</v>
      </c>
    </row>
    <row r="14916">
      <c r="A14916" s="11" t="s">
        <v>14947</v>
      </c>
    </row>
    <row r="14917">
      <c r="A14917" s="11" t="s">
        <v>14948</v>
      </c>
    </row>
    <row r="14918">
      <c r="A14918" s="11" t="s">
        <v>14949</v>
      </c>
    </row>
    <row r="14919">
      <c r="A14919" s="11" t="s">
        <v>14950</v>
      </c>
    </row>
    <row r="14920">
      <c r="A14920" s="11" t="s">
        <v>14951</v>
      </c>
    </row>
    <row r="14921">
      <c r="A14921" s="11" t="s">
        <v>14952</v>
      </c>
    </row>
    <row r="14922">
      <c r="A14922" s="11" t="s">
        <v>14953</v>
      </c>
    </row>
    <row r="14923">
      <c r="A14923" s="11" t="s">
        <v>14954</v>
      </c>
    </row>
    <row r="14924">
      <c r="A14924" s="11" t="s">
        <v>14955</v>
      </c>
    </row>
    <row r="14925">
      <c r="A14925" s="11" t="s">
        <v>14956</v>
      </c>
    </row>
    <row r="14926">
      <c r="A14926" s="11" t="s">
        <v>14957</v>
      </c>
    </row>
    <row r="14927">
      <c r="A14927" s="11" t="s">
        <v>14958</v>
      </c>
    </row>
    <row r="14928">
      <c r="A14928" s="11" t="s">
        <v>14959</v>
      </c>
    </row>
    <row r="14929">
      <c r="A14929" s="11" t="s">
        <v>14960</v>
      </c>
    </row>
    <row r="14930">
      <c r="A14930" s="11" t="s">
        <v>14961</v>
      </c>
    </row>
    <row r="14931">
      <c r="A14931" s="11" t="s">
        <v>14962</v>
      </c>
    </row>
    <row r="14932">
      <c r="A14932" s="11" t="s">
        <v>14963</v>
      </c>
    </row>
    <row r="14933">
      <c r="A14933" s="11" t="s">
        <v>14964</v>
      </c>
    </row>
    <row r="14934">
      <c r="A14934" s="11" t="s">
        <v>14965</v>
      </c>
    </row>
    <row r="14935">
      <c r="A14935" s="11" t="s">
        <v>14966</v>
      </c>
    </row>
    <row r="14936">
      <c r="A14936" s="11" t="s">
        <v>14967</v>
      </c>
    </row>
    <row r="14937">
      <c r="A14937" s="11" t="s">
        <v>14968</v>
      </c>
    </row>
    <row r="14938">
      <c r="A14938" s="11" t="s">
        <v>14969</v>
      </c>
    </row>
    <row r="14939">
      <c r="A14939" s="11" t="s">
        <v>14970</v>
      </c>
    </row>
    <row r="14940">
      <c r="A14940" s="11" t="s">
        <v>14971</v>
      </c>
    </row>
    <row r="14941">
      <c r="A14941" s="11" t="s">
        <v>14972</v>
      </c>
    </row>
    <row r="14942">
      <c r="A14942" s="11" t="s">
        <v>14973</v>
      </c>
    </row>
    <row r="14943">
      <c r="A14943" s="11" t="s">
        <v>14974</v>
      </c>
    </row>
    <row r="14944">
      <c r="A14944" s="11" t="s">
        <v>14975</v>
      </c>
    </row>
    <row r="14945">
      <c r="A14945" s="11" t="s">
        <v>14976</v>
      </c>
    </row>
    <row r="14946">
      <c r="A14946" s="11" t="s">
        <v>14977</v>
      </c>
    </row>
    <row r="14947">
      <c r="A14947" s="11" t="s">
        <v>14978</v>
      </c>
    </row>
    <row r="14948">
      <c r="A14948" s="11" t="s">
        <v>14979</v>
      </c>
    </row>
    <row r="14949">
      <c r="A14949" s="11" t="s">
        <v>14980</v>
      </c>
    </row>
    <row r="14950">
      <c r="A14950" s="11" t="s">
        <v>14981</v>
      </c>
    </row>
    <row r="14951">
      <c r="A14951" s="11" t="s">
        <v>14982</v>
      </c>
    </row>
    <row r="14952">
      <c r="A14952" s="11" t="s">
        <v>14983</v>
      </c>
    </row>
    <row r="14953">
      <c r="A14953" s="11" t="s">
        <v>14984</v>
      </c>
    </row>
    <row r="14954">
      <c r="A14954" s="11" t="s">
        <v>14985</v>
      </c>
    </row>
    <row r="14955">
      <c r="A14955" s="11" t="s">
        <v>14986</v>
      </c>
    </row>
    <row r="14956">
      <c r="A14956" s="11" t="s">
        <v>14987</v>
      </c>
    </row>
    <row r="14957">
      <c r="A14957" s="11" t="s">
        <v>14988</v>
      </c>
    </row>
    <row r="14958">
      <c r="A14958" s="11" t="s">
        <v>14989</v>
      </c>
    </row>
    <row r="14959">
      <c r="A14959" s="11" t="s">
        <v>14990</v>
      </c>
    </row>
    <row r="14960">
      <c r="A14960" s="11" t="s">
        <v>14991</v>
      </c>
    </row>
    <row r="14961">
      <c r="A14961" s="11" t="s">
        <v>14992</v>
      </c>
    </row>
    <row r="14962">
      <c r="A14962" s="11" t="s">
        <v>14993</v>
      </c>
    </row>
    <row r="14963">
      <c r="A14963" s="11" t="s">
        <v>14994</v>
      </c>
    </row>
    <row r="14964">
      <c r="A14964" s="11" t="s">
        <v>14995</v>
      </c>
    </row>
    <row r="14965">
      <c r="A14965" s="11" t="s">
        <v>14996</v>
      </c>
    </row>
    <row r="14966">
      <c r="A14966" s="11" t="s">
        <v>14997</v>
      </c>
    </row>
    <row r="14967">
      <c r="A14967" s="11" t="s">
        <v>14998</v>
      </c>
    </row>
    <row r="14968">
      <c r="A14968" s="11" t="s">
        <v>14999</v>
      </c>
    </row>
    <row r="14969">
      <c r="A14969" s="11" t="s">
        <v>15000</v>
      </c>
    </row>
    <row r="14970">
      <c r="A14970" s="11" t="s">
        <v>15001</v>
      </c>
    </row>
    <row r="14971">
      <c r="A14971" s="11" t="s">
        <v>15002</v>
      </c>
    </row>
    <row r="14972">
      <c r="A14972" s="11" t="s">
        <v>15003</v>
      </c>
    </row>
    <row r="14973">
      <c r="A14973" s="11" t="s">
        <v>15004</v>
      </c>
    </row>
    <row r="14974">
      <c r="A14974" s="11" t="s">
        <v>15005</v>
      </c>
    </row>
    <row r="14975">
      <c r="A14975" s="11" t="s">
        <v>15006</v>
      </c>
    </row>
    <row r="14976">
      <c r="A14976" s="11" t="s">
        <v>15007</v>
      </c>
    </row>
    <row r="14977">
      <c r="A14977" s="11" t="s">
        <v>15008</v>
      </c>
    </row>
    <row r="14978">
      <c r="A14978" s="11" t="s">
        <v>15009</v>
      </c>
    </row>
    <row r="14979">
      <c r="A14979" s="11" t="s">
        <v>15010</v>
      </c>
    </row>
    <row r="14980">
      <c r="A14980" s="11" t="s">
        <v>15011</v>
      </c>
    </row>
    <row r="14981">
      <c r="A14981" s="11" t="s">
        <v>15012</v>
      </c>
    </row>
    <row r="14982">
      <c r="A14982" s="11" t="s">
        <v>15013</v>
      </c>
    </row>
    <row r="14983">
      <c r="A14983" s="11" t="s">
        <v>15014</v>
      </c>
    </row>
    <row r="14984">
      <c r="A14984" s="11" t="s">
        <v>15015</v>
      </c>
    </row>
    <row r="14985">
      <c r="A14985" s="11" t="s">
        <v>15016</v>
      </c>
    </row>
    <row r="14986">
      <c r="A14986" s="11" t="s">
        <v>15017</v>
      </c>
    </row>
    <row r="14987">
      <c r="A14987" s="11" t="s">
        <v>15018</v>
      </c>
    </row>
    <row r="14988">
      <c r="A14988" s="11" t="s">
        <v>15019</v>
      </c>
    </row>
    <row r="14989">
      <c r="A14989" s="11" t="s">
        <v>15020</v>
      </c>
    </row>
    <row r="14990">
      <c r="A14990" s="11" t="s">
        <v>15021</v>
      </c>
    </row>
    <row r="14991">
      <c r="A14991" s="11" t="s">
        <v>15022</v>
      </c>
    </row>
    <row r="14992">
      <c r="A14992" s="11" t="s">
        <v>15023</v>
      </c>
    </row>
    <row r="14993">
      <c r="A14993" s="11" t="s">
        <v>15024</v>
      </c>
    </row>
    <row r="14994">
      <c r="A14994" s="11" t="s">
        <v>15025</v>
      </c>
    </row>
    <row r="14995">
      <c r="A14995" s="11" t="s">
        <v>15026</v>
      </c>
    </row>
    <row r="14996">
      <c r="A14996" s="11" t="s">
        <v>15027</v>
      </c>
    </row>
    <row r="14997">
      <c r="A14997" s="11" t="s">
        <v>15028</v>
      </c>
    </row>
    <row r="14998">
      <c r="A14998" s="11" t="s">
        <v>15029</v>
      </c>
    </row>
    <row r="14999">
      <c r="A14999" s="11" t="s">
        <v>15030</v>
      </c>
    </row>
    <row r="15000">
      <c r="A15000" s="11" t="s">
        <v>15031</v>
      </c>
    </row>
    <row r="15001">
      <c r="A15001" s="11" t="s">
        <v>15032</v>
      </c>
    </row>
    <row r="15002">
      <c r="A15002" s="11" t="s">
        <v>15033</v>
      </c>
    </row>
    <row r="15003">
      <c r="A15003" s="11" t="s">
        <v>15034</v>
      </c>
    </row>
    <row r="15004">
      <c r="A15004" s="11" t="s">
        <v>15035</v>
      </c>
    </row>
    <row r="15005">
      <c r="A15005" s="11" t="s">
        <v>15036</v>
      </c>
    </row>
    <row r="15006">
      <c r="A15006" s="11" t="s">
        <v>15037</v>
      </c>
    </row>
    <row r="15007">
      <c r="A15007" s="11" t="s">
        <v>15038</v>
      </c>
    </row>
    <row r="15008">
      <c r="A15008" s="11" t="s">
        <v>15039</v>
      </c>
    </row>
    <row r="15009">
      <c r="A15009" s="11" t="s">
        <v>15040</v>
      </c>
    </row>
    <row r="15010">
      <c r="A15010" s="11" t="s">
        <v>15041</v>
      </c>
    </row>
    <row r="15011">
      <c r="A15011" s="11" t="s">
        <v>15042</v>
      </c>
    </row>
    <row r="15012">
      <c r="A15012" s="11" t="s">
        <v>15043</v>
      </c>
    </row>
    <row r="15013">
      <c r="A15013" s="11" t="s">
        <v>15044</v>
      </c>
    </row>
    <row r="15014">
      <c r="A15014" s="11" t="s">
        <v>15045</v>
      </c>
    </row>
    <row r="15015">
      <c r="A15015" s="11" t="s">
        <v>15046</v>
      </c>
    </row>
    <row r="15016">
      <c r="A15016" s="11" t="s">
        <v>15047</v>
      </c>
    </row>
    <row r="15017">
      <c r="A15017" s="11" t="s">
        <v>15048</v>
      </c>
    </row>
    <row r="15018">
      <c r="A15018" s="11" t="s">
        <v>15049</v>
      </c>
    </row>
    <row r="15019">
      <c r="A15019" s="11" t="s">
        <v>15050</v>
      </c>
    </row>
    <row r="15020">
      <c r="A15020" s="11" t="s">
        <v>15051</v>
      </c>
    </row>
    <row r="15021">
      <c r="A15021" s="11" t="s">
        <v>15052</v>
      </c>
    </row>
    <row r="15022">
      <c r="A15022" s="11" t="s">
        <v>15053</v>
      </c>
    </row>
    <row r="15023">
      <c r="A15023" s="11" t="s">
        <v>15054</v>
      </c>
    </row>
    <row r="15024">
      <c r="A15024" s="11" t="s">
        <v>15055</v>
      </c>
    </row>
    <row r="15025">
      <c r="A15025" s="11" t="s">
        <v>15056</v>
      </c>
    </row>
    <row r="15026">
      <c r="A15026" s="11" t="s">
        <v>15057</v>
      </c>
    </row>
    <row r="15027">
      <c r="A15027" s="11" t="s">
        <v>15058</v>
      </c>
    </row>
    <row r="15028">
      <c r="A15028" s="11" t="s">
        <v>15059</v>
      </c>
    </row>
    <row r="15029">
      <c r="A15029" s="11" t="s">
        <v>15060</v>
      </c>
    </row>
    <row r="15030">
      <c r="A15030" s="11" t="s">
        <v>15061</v>
      </c>
    </row>
    <row r="15031">
      <c r="A15031" s="11" t="s">
        <v>15062</v>
      </c>
    </row>
    <row r="15032">
      <c r="A15032" s="11" t="s">
        <v>15063</v>
      </c>
    </row>
    <row r="15033">
      <c r="A15033" s="11" t="s">
        <v>15064</v>
      </c>
    </row>
    <row r="15034">
      <c r="A15034" s="11" t="s">
        <v>15065</v>
      </c>
    </row>
    <row r="15035">
      <c r="A15035" s="11" t="s">
        <v>15066</v>
      </c>
    </row>
    <row r="15036">
      <c r="A15036" s="11" t="s">
        <v>15067</v>
      </c>
    </row>
    <row r="15037">
      <c r="A15037" s="11" t="s">
        <v>15068</v>
      </c>
    </row>
    <row r="15038">
      <c r="A15038" s="11" t="s">
        <v>15069</v>
      </c>
    </row>
    <row r="15039">
      <c r="A15039" s="11" t="s">
        <v>15070</v>
      </c>
    </row>
    <row r="15040">
      <c r="A15040" s="11" t="s">
        <v>15071</v>
      </c>
    </row>
    <row r="15041">
      <c r="A15041" s="11" t="s">
        <v>15072</v>
      </c>
    </row>
    <row r="15042">
      <c r="A15042" s="11" t="s">
        <v>15073</v>
      </c>
    </row>
    <row r="15043">
      <c r="A15043" s="11" t="s">
        <v>15074</v>
      </c>
    </row>
    <row r="15044">
      <c r="A15044" s="11" t="s">
        <v>15075</v>
      </c>
    </row>
    <row r="15045">
      <c r="A15045" s="11" t="s">
        <v>15076</v>
      </c>
    </row>
    <row r="15046">
      <c r="A15046" s="11" t="s">
        <v>15077</v>
      </c>
    </row>
    <row r="15047">
      <c r="A15047" s="11" t="s">
        <v>15078</v>
      </c>
    </row>
    <row r="15048">
      <c r="A15048" s="11" t="s">
        <v>15079</v>
      </c>
    </row>
    <row r="15049">
      <c r="A15049" s="11" t="s">
        <v>15080</v>
      </c>
    </row>
    <row r="15050">
      <c r="A15050" s="11" t="s">
        <v>15081</v>
      </c>
    </row>
    <row r="15051">
      <c r="A15051" s="11" t="s">
        <v>15082</v>
      </c>
    </row>
    <row r="15052">
      <c r="A15052" s="11" t="s">
        <v>15083</v>
      </c>
    </row>
    <row r="15053">
      <c r="A15053" s="11" t="s">
        <v>15084</v>
      </c>
    </row>
    <row r="15054">
      <c r="A15054" s="11" t="s">
        <v>15085</v>
      </c>
    </row>
    <row r="15055">
      <c r="A15055" s="11" t="s">
        <v>15086</v>
      </c>
    </row>
    <row r="15056">
      <c r="A15056" s="11" t="s">
        <v>15087</v>
      </c>
    </row>
    <row r="15057">
      <c r="A15057" s="11" t="s">
        <v>15088</v>
      </c>
    </row>
    <row r="15058">
      <c r="A15058" s="11" t="s">
        <v>15089</v>
      </c>
    </row>
    <row r="15059">
      <c r="A15059" s="11" t="s">
        <v>15090</v>
      </c>
    </row>
    <row r="15060">
      <c r="A15060" s="11" t="s">
        <v>15091</v>
      </c>
    </row>
    <row r="15061">
      <c r="A15061" s="11" t="s">
        <v>15092</v>
      </c>
    </row>
    <row r="15062">
      <c r="A15062" s="11" t="s">
        <v>15093</v>
      </c>
    </row>
    <row r="15063">
      <c r="A15063" s="11" t="s">
        <v>15094</v>
      </c>
    </row>
    <row r="15064">
      <c r="A15064" s="11" t="s">
        <v>15095</v>
      </c>
    </row>
    <row r="15065">
      <c r="A15065" s="11" t="s">
        <v>15096</v>
      </c>
    </row>
    <row r="15066">
      <c r="A15066" s="11" t="s">
        <v>15097</v>
      </c>
    </row>
    <row r="15067">
      <c r="A15067" s="11" t="s">
        <v>15098</v>
      </c>
    </row>
    <row r="15068">
      <c r="A15068" s="11" t="s">
        <v>15099</v>
      </c>
    </row>
    <row r="15069">
      <c r="A15069" s="11" t="s">
        <v>15100</v>
      </c>
    </row>
    <row r="15070">
      <c r="A15070" s="11" t="s">
        <v>15101</v>
      </c>
    </row>
    <row r="15071">
      <c r="A15071" s="11" t="s">
        <v>15102</v>
      </c>
    </row>
    <row r="15072">
      <c r="A15072" s="11" t="s">
        <v>15103</v>
      </c>
    </row>
    <row r="15073">
      <c r="A15073" s="11" t="s">
        <v>15104</v>
      </c>
    </row>
    <row r="15074">
      <c r="A15074" s="11" t="s">
        <v>15105</v>
      </c>
    </row>
    <row r="15075">
      <c r="A15075" s="11" t="s">
        <v>15106</v>
      </c>
    </row>
    <row r="15076">
      <c r="A15076" s="11" t="s">
        <v>15107</v>
      </c>
    </row>
    <row r="15077">
      <c r="A15077" s="11" t="s">
        <v>15108</v>
      </c>
    </row>
    <row r="15078">
      <c r="A15078" s="11" t="s">
        <v>15109</v>
      </c>
    </row>
    <row r="15079">
      <c r="A15079" s="11" t="s">
        <v>15110</v>
      </c>
    </row>
    <row r="15080">
      <c r="A15080" s="11" t="s">
        <v>15111</v>
      </c>
    </row>
    <row r="15081">
      <c r="A15081" s="11" t="s">
        <v>15112</v>
      </c>
    </row>
    <row r="15082">
      <c r="A15082" s="11" t="s">
        <v>15113</v>
      </c>
    </row>
    <row r="15083">
      <c r="A15083" s="11" t="s">
        <v>15114</v>
      </c>
    </row>
    <row r="15084">
      <c r="A15084" s="11" t="s">
        <v>15115</v>
      </c>
    </row>
    <row r="15085">
      <c r="A15085" s="11" t="s">
        <v>15116</v>
      </c>
    </row>
    <row r="15086">
      <c r="A15086" s="11" t="s">
        <v>15117</v>
      </c>
    </row>
    <row r="15087">
      <c r="A15087" s="11" t="s">
        <v>15118</v>
      </c>
    </row>
    <row r="15088">
      <c r="A15088" s="11" t="s">
        <v>15119</v>
      </c>
    </row>
    <row r="15089">
      <c r="A15089" s="11" t="s">
        <v>15120</v>
      </c>
    </row>
    <row r="15090">
      <c r="A15090" s="11" t="s">
        <v>15121</v>
      </c>
    </row>
    <row r="15091">
      <c r="A15091" s="11" t="s">
        <v>15122</v>
      </c>
    </row>
    <row r="15092">
      <c r="A15092" s="11" t="s">
        <v>15123</v>
      </c>
    </row>
    <row r="15093">
      <c r="A15093" s="11" t="s">
        <v>15124</v>
      </c>
    </row>
    <row r="15094">
      <c r="A15094" s="11" t="s">
        <v>15125</v>
      </c>
    </row>
    <row r="15095">
      <c r="A15095" s="11" t="s">
        <v>15126</v>
      </c>
    </row>
    <row r="15096">
      <c r="A15096" s="11" t="s">
        <v>15127</v>
      </c>
    </row>
    <row r="15097">
      <c r="A15097" s="11" t="s">
        <v>15128</v>
      </c>
    </row>
    <row r="15098">
      <c r="A15098" s="11" t="s">
        <v>15129</v>
      </c>
    </row>
    <row r="15099">
      <c r="A15099" s="11" t="s">
        <v>15130</v>
      </c>
    </row>
    <row r="15100">
      <c r="A15100" s="11" t="s">
        <v>15131</v>
      </c>
    </row>
    <row r="15101">
      <c r="A15101" s="11" t="s">
        <v>15132</v>
      </c>
    </row>
    <row r="15102">
      <c r="A15102" s="11" t="s">
        <v>15133</v>
      </c>
    </row>
    <row r="15103">
      <c r="A15103" s="11" t="s">
        <v>15134</v>
      </c>
    </row>
    <row r="15104">
      <c r="A15104" s="11" t="s">
        <v>15135</v>
      </c>
    </row>
    <row r="15105">
      <c r="A15105" s="11" t="s">
        <v>15136</v>
      </c>
    </row>
    <row r="15106">
      <c r="A15106" s="11" t="s">
        <v>15137</v>
      </c>
    </row>
    <row r="15107">
      <c r="A15107" s="11" t="s">
        <v>15138</v>
      </c>
    </row>
    <row r="15108">
      <c r="A15108" s="11" t="s">
        <v>15139</v>
      </c>
    </row>
    <row r="15109">
      <c r="A15109" s="11" t="s">
        <v>15140</v>
      </c>
    </row>
    <row r="15110">
      <c r="A15110" s="11" t="s">
        <v>15141</v>
      </c>
    </row>
    <row r="15111">
      <c r="A15111" s="11" t="s">
        <v>15142</v>
      </c>
    </row>
    <row r="15112">
      <c r="A15112" s="11" t="s">
        <v>15143</v>
      </c>
    </row>
    <row r="15113">
      <c r="A15113" s="11" t="s">
        <v>15144</v>
      </c>
    </row>
    <row r="15114">
      <c r="A15114" s="11" t="s">
        <v>15145</v>
      </c>
    </row>
    <row r="15115">
      <c r="A15115" s="11" t="s">
        <v>15146</v>
      </c>
    </row>
    <row r="15116">
      <c r="A15116" s="11" t="s">
        <v>15147</v>
      </c>
    </row>
    <row r="15117">
      <c r="A15117" s="11" t="s">
        <v>15148</v>
      </c>
    </row>
    <row r="15118">
      <c r="A15118" s="11" t="s">
        <v>15149</v>
      </c>
    </row>
    <row r="15119">
      <c r="A15119" s="11" t="s">
        <v>15150</v>
      </c>
    </row>
    <row r="15120">
      <c r="A15120" s="11" t="s">
        <v>15151</v>
      </c>
    </row>
    <row r="15121">
      <c r="A15121" s="11" t="s">
        <v>15152</v>
      </c>
    </row>
    <row r="15122">
      <c r="A15122" s="11" t="s">
        <v>15153</v>
      </c>
    </row>
    <row r="15123">
      <c r="A15123" s="11" t="s">
        <v>15154</v>
      </c>
    </row>
    <row r="15124">
      <c r="A15124" s="11" t="s">
        <v>15155</v>
      </c>
    </row>
    <row r="15125">
      <c r="A15125" s="11" t="s">
        <v>15156</v>
      </c>
    </row>
    <row r="15126">
      <c r="A15126" s="11" t="s">
        <v>15157</v>
      </c>
    </row>
    <row r="15127">
      <c r="A15127" s="11" t="s">
        <v>15158</v>
      </c>
    </row>
    <row r="15128">
      <c r="A15128" s="11" t="s">
        <v>15159</v>
      </c>
    </row>
    <row r="15129">
      <c r="A15129" s="11" t="s">
        <v>15160</v>
      </c>
    </row>
    <row r="15130">
      <c r="A15130" s="11" t="s">
        <v>15161</v>
      </c>
    </row>
    <row r="15131">
      <c r="A15131" s="11" t="s">
        <v>15162</v>
      </c>
    </row>
    <row r="15132">
      <c r="A15132" s="11" t="s">
        <v>15163</v>
      </c>
    </row>
    <row r="15133">
      <c r="A15133" s="11" t="s">
        <v>15164</v>
      </c>
    </row>
    <row r="15134">
      <c r="A15134" s="11" t="s">
        <v>15165</v>
      </c>
    </row>
    <row r="15135">
      <c r="A15135" s="11" t="s">
        <v>15166</v>
      </c>
    </row>
    <row r="15136">
      <c r="A15136" s="11" t="s">
        <v>15167</v>
      </c>
    </row>
    <row r="15137">
      <c r="A15137" s="11" t="s">
        <v>15168</v>
      </c>
    </row>
    <row r="15138">
      <c r="A15138" s="11" t="s">
        <v>15169</v>
      </c>
    </row>
    <row r="15139">
      <c r="A15139" s="11" t="s">
        <v>15170</v>
      </c>
    </row>
    <row r="15140">
      <c r="A15140" s="11" t="s">
        <v>15171</v>
      </c>
    </row>
    <row r="15141">
      <c r="A15141" s="11" t="s">
        <v>15172</v>
      </c>
    </row>
    <row r="15142">
      <c r="A15142" s="11" t="s">
        <v>15173</v>
      </c>
    </row>
    <row r="15143">
      <c r="A15143" s="11" t="s">
        <v>15174</v>
      </c>
    </row>
    <row r="15144">
      <c r="A15144" s="11" t="s">
        <v>15175</v>
      </c>
    </row>
    <row r="15145">
      <c r="A15145" s="11" t="s">
        <v>15176</v>
      </c>
    </row>
    <row r="15146">
      <c r="A15146" s="11" t="s">
        <v>15177</v>
      </c>
    </row>
    <row r="15147">
      <c r="A15147" s="11" t="s">
        <v>15178</v>
      </c>
    </row>
    <row r="15148">
      <c r="A15148" s="11" t="s">
        <v>15179</v>
      </c>
    </row>
    <row r="15149">
      <c r="A15149" s="11" t="s">
        <v>15180</v>
      </c>
    </row>
    <row r="15150">
      <c r="A15150" s="11" t="s">
        <v>15181</v>
      </c>
    </row>
    <row r="15151">
      <c r="A15151" s="11" t="s">
        <v>15182</v>
      </c>
    </row>
    <row r="15152">
      <c r="A15152" s="11" t="s">
        <v>15183</v>
      </c>
    </row>
    <row r="15153">
      <c r="A15153" s="11" t="s">
        <v>15184</v>
      </c>
    </row>
    <row r="15154">
      <c r="A15154" s="11" t="s">
        <v>15185</v>
      </c>
    </row>
    <row r="15155">
      <c r="A15155" s="11" t="s">
        <v>15186</v>
      </c>
    </row>
    <row r="15156">
      <c r="A15156" s="11" t="s">
        <v>15187</v>
      </c>
    </row>
    <row r="15157">
      <c r="A15157" s="11" t="s">
        <v>15188</v>
      </c>
    </row>
    <row r="15158">
      <c r="A15158" s="11" t="s">
        <v>15189</v>
      </c>
    </row>
    <row r="15159">
      <c r="A15159" s="11" t="s">
        <v>15190</v>
      </c>
    </row>
    <row r="15160">
      <c r="A15160" s="11" t="s">
        <v>15191</v>
      </c>
    </row>
    <row r="15161">
      <c r="A15161" s="11" t="s">
        <v>15192</v>
      </c>
    </row>
    <row r="15162">
      <c r="A15162" s="11" t="s">
        <v>15193</v>
      </c>
    </row>
    <row r="15163">
      <c r="A15163" s="11" t="s">
        <v>15194</v>
      </c>
    </row>
    <row r="15164">
      <c r="A15164" s="11" t="s">
        <v>15195</v>
      </c>
    </row>
    <row r="15165">
      <c r="A15165" s="11" t="s">
        <v>15196</v>
      </c>
    </row>
    <row r="15166">
      <c r="A15166" s="11" t="s">
        <v>15197</v>
      </c>
    </row>
    <row r="15167">
      <c r="A15167" s="11" t="s">
        <v>15198</v>
      </c>
    </row>
    <row r="15168">
      <c r="A15168" s="11" t="s">
        <v>15199</v>
      </c>
    </row>
    <row r="15169">
      <c r="A15169" s="11" t="s">
        <v>15200</v>
      </c>
    </row>
    <row r="15170">
      <c r="A15170" s="11" t="s">
        <v>15201</v>
      </c>
    </row>
    <row r="15171">
      <c r="A15171" s="11" t="s">
        <v>15202</v>
      </c>
    </row>
    <row r="15172">
      <c r="A15172" s="11" t="s">
        <v>15203</v>
      </c>
    </row>
    <row r="15173">
      <c r="A15173" s="11" t="s">
        <v>15204</v>
      </c>
    </row>
    <row r="15174">
      <c r="A15174" s="11" t="s">
        <v>15205</v>
      </c>
    </row>
    <row r="15175">
      <c r="A15175" s="11" t="s">
        <v>15206</v>
      </c>
    </row>
    <row r="15176">
      <c r="A15176" s="11" t="s">
        <v>15207</v>
      </c>
    </row>
    <row r="15177">
      <c r="A15177" s="11" t="s">
        <v>15208</v>
      </c>
    </row>
    <row r="15178">
      <c r="A15178" s="11" t="s">
        <v>15209</v>
      </c>
    </row>
    <row r="15179">
      <c r="A15179" s="11" t="s">
        <v>15210</v>
      </c>
    </row>
    <row r="15180">
      <c r="A15180" s="11" t="s">
        <v>15211</v>
      </c>
    </row>
    <row r="15181">
      <c r="A15181" s="11" t="s">
        <v>15212</v>
      </c>
    </row>
    <row r="15182">
      <c r="A15182" s="11" t="s">
        <v>15213</v>
      </c>
    </row>
    <row r="15183">
      <c r="A15183" s="11" t="s">
        <v>15214</v>
      </c>
    </row>
    <row r="15184">
      <c r="A15184" s="11" t="s">
        <v>15215</v>
      </c>
    </row>
    <row r="15185">
      <c r="A15185" s="11" t="s">
        <v>15216</v>
      </c>
    </row>
    <row r="15186">
      <c r="A15186" s="11" t="s">
        <v>15217</v>
      </c>
    </row>
    <row r="15187">
      <c r="A15187" s="11" t="s">
        <v>15218</v>
      </c>
    </row>
    <row r="15188">
      <c r="A15188" s="11" t="s">
        <v>15219</v>
      </c>
    </row>
    <row r="15189">
      <c r="A15189" s="11" t="s">
        <v>15220</v>
      </c>
    </row>
    <row r="15190">
      <c r="A15190" s="11" t="s">
        <v>15221</v>
      </c>
    </row>
    <row r="15191">
      <c r="A15191" s="11" t="s">
        <v>15222</v>
      </c>
    </row>
    <row r="15192">
      <c r="A15192" s="11" t="s">
        <v>15223</v>
      </c>
    </row>
    <row r="15193">
      <c r="A15193" s="11" t="s">
        <v>15224</v>
      </c>
    </row>
    <row r="15194">
      <c r="A15194" s="11" t="s">
        <v>15225</v>
      </c>
    </row>
    <row r="15195">
      <c r="A15195" s="11" t="s">
        <v>15226</v>
      </c>
    </row>
    <row r="15196">
      <c r="A15196" s="11" t="s">
        <v>15227</v>
      </c>
    </row>
    <row r="15197">
      <c r="A15197" s="11" t="s">
        <v>15228</v>
      </c>
    </row>
    <row r="15198">
      <c r="A15198" s="11" t="s">
        <v>15229</v>
      </c>
    </row>
    <row r="15199">
      <c r="A15199" s="11" t="s">
        <v>15230</v>
      </c>
    </row>
    <row r="15200">
      <c r="A15200" s="11" t="s">
        <v>15231</v>
      </c>
    </row>
    <row r="15201">
      <c r="A15201" s="11" t="s">
        <v>15232</v>
      </c>
    </row>
    <row r="15202">
      <c r="A15202" s="11" t="s">
        <v>15233</v>
      </c>
    </row>
    <row r="15203">
      <c r="A15203" s="11" t="s">
        <v>15234</v>
      </c>
    </row>
    <row r="15204">
      <c r="A15204" s="11" t="s">
        <v>15235</v>
      </c>
    </row>
    <row r="15205">
      <c r="A15205" s="11" t="s">
        <v>15236</v>
      </c>
    </row>
    <row r="15206">
      <c r="A15206" s="11" t="s">
        <v>15237</v>
      </c>
    </row>
    <row r="15207">
      <c r="A15207" s="11" t="s">
        <v>15238</v>
      </c>
    </row>
    <row r="15208">
      <c r="A15208" s="11" t="s">
        <v>15239</v>
      </c>
    </row>
    <row r="15209">
      <c r="A15209" s="11" t="s">
        <v>15240</v>
      </c>
    </row>
    <row r="15210">
      <c r="A15210" s="11" t="s">
        <v>15241</v>
      </c>
    </row>
    <row r="15211">
      <c r="A15211" s="11" t="s">
        <v>15242</v>
      </c>
    </row>
    <row r="15212">
      <c r="A15212" s="11" t="s">
        <v>15243</v>
      </c>
    </row>
    <row r="15213">
      <c r="A15213" s="11" t="s">
        <v>15244</v>
      </c>
    </row>
    <row r="15214">
      <c r="A15214" s="11" t="s">
        <v>15245</v>
      </c>
    </row>
    <row r="15215">
      <c r="A15215" s="11" t="s">
        <v>15246</v>
      </c>
    </row>
    <row r="15216">
      <c r="A15216" s="11" t="s">
        <v>15247</v>
      </c>
    </row>
    <row r="15217">
      <c r="A15217" s="11" t="s">
        <v>15248</v>
      </c>
    </row>
    <row r="15218">
      <c r="A15218" s="11" t="s">
        <v>15249</v>
      </c>
    </row>
    <row r="15219">
      <c r="A15219" s="11" t="s">
        <v>15250</v>
      </c>
    </row>
    <row r="15220">
      <c r="A15220" s="11" t="s">
        <v>15251</v>
      </c>
    </row>
    <row r="15221">
      <c r="A15221" s="11" t="s">
        <v>15252</v>
      </c>
    </row>
    <row r="15222">
      <c r="A15222" s="11" t="s">
        <v>15253</v>
      </c>
    </row>
    <row r="15223">
      <c r="A15223" s="11" t="s">
        <v>15254</v>
      </c>
    </row>
    <row r="15224">
      <c r="A15224" s="11" t="s">
        <v>15255</v>
      </c>
    </row>
    <row r="15225">
      <c r="A15225" s="11" t="s">
        <v>15256</v>
      </c>
    </row>
    <row r="15226">
      <c r="A15226" s="11" t="s">
        <v>15257</v>
      </c>
    </row>
    <row r="15227">
      <c r="A15227" s="11" t="s">
        <v>15258</v>
      </c>
    </row>
    <row r="15228">
      <c r="A15228" s="11" t="s">
        <v>15259</v>
      </c>
    </row>
    <row r="15229">
      <c r="A15229" s="11" t="s">
        <v>15260</v>
      </c>
    </row>
    <row r="15230">
      <c r="A15230" s="11" t="s">
        <v>15261</v>
      </c>
    </row>
    <row r="15231">
      <c r="A15231" s="11" t="s">
        <v>15262</v>
      </c>
    </row>
    <row r="15232">
      <c r="A15232" s="11" t="s">
        <v>15263</v>
      </c>
    </row>
    <row r="15233">
      <c r="A15233" s="11" t="s">
        <v>15264</v>
      </c>
    </row>
    <row r="15234">
      <c r="A15234" s="11" t="s">
        <v>15265</v>
      </c>
    </row>
    <row r="15235">
      <c r="A15235" s="11" t="s">
        <v>15266</v>
      </c>
    </row>
    <row r="15236">
      <c r="A15236" s="11" t="s">
        <v>15267</v>
      </c>
    </row>
    <row r="15237">
      <c r="A15237" s="11" t="s">
        <v>15268</v>
      </c>
    </row>
    <row r="15238">
      <c r="A15238" s="11" t="s">
        <v>15269</v>
      </c>
    </row>
    <row r="15239">
      <c r="A15239" s="11" t="s">
        <v>15270</v>
      </c>
    </row>
    <row r="15240">
      <c r="A15240" s="11" t="s">
        <v>15271</v>
      </c>
    </row>
    <row r="15241">
      <c r="A15241" s="11" t="s">
        <v>15272</v>
      </c>
    </row>
    <row r="15242">
      <c r="A15242" s="11" t="s">
        <v>15273</v>
      </c>
    </row>
    <row r="15243">
      <c r="A15243" s="11" t="s">
        <v>15274</v>
      </c>
    </row>
    <row r="15244">
      <c r="A15244" s="11" t="s">
        <v>15275</v>
      </c>
    </row>
    <row r="15245">
      <c r="A15245" s="11" t="s">
        <v>15276</v>
      </c>
    </row>
    <row r="15246">
      <c r="A15246" s="11" t="s">
        <v>15277</v>
      </c>
    </row>
    <row r="15247">
      <c r="A15247" s="11" t="s">
        <v>15278</v>
      </c>
    </row>
    <row r="15248">
      <c r="A15248" s="11" t="s">
        <v>15279</v>
      </c>
    </row>
    <row r="15249">
      <c r="A15249" s="11" t="s">
        <v>15280</v>
      </c>
    </row>
    <row r="15250">
      <c r="A15250" s="11" t="s">
        <v>15281</v>
      </c>
    </row>
    <row r="15251">
      <c r="A15251" s="11" t="s">
        <v>15282</v>
      </c>
    </row>
    <row r="15252">
      <c r="A15252" s="11" t="s">
        <v>15283</v>
      </c>
    </row>
    <row r="15253">
      <c r="A15253" s="11" t="s">
        <v>15284</v>
      </c>
    </row>
    <row r="15254">
      <c r="A15254" s="11" t="s">
        <v>15285</v>
      </c>
    </row>
    <row r="15255">
      <c r="A15255" s="11" t="s">
        <v>15286</v>
      </c>
    </row>
    <row r="15256">
      <c r="A15256" s="11" t="s">
        <v>15287</v>
      </c>
    </row>
    <row r="15257">
      <c r="A15257" s="11" t="s">
        <v>15288</v>
      </c>
    </row>
    <row r="15258">
      <c r="A15258" s="11" t="s">
        <v>15289</v>
      </c>
    </row>
    <row r="15259">
      <c r="A15259" s="11" t="s">
        <v>15290</v>
      </c>
    </row>
    <row r="15260">
      <c r="A15260" s="11" t="s">
        <v>15291</v>
      </c>
    </row>
    <row r="15261">
      <c r="A15261" s="11" t="s">
        <v>15292</v>
      </c>
    </row>
    <row r="15262">
      <c r="A15262" s="11" t="s">
        <v>15293</v>
      </c>
    </row>
    <row r="15263">
      <c r="A15263" s="11" t="s">
        <v>15294</v>
      </c>
    </row>
    <row r="15264">
      <c r="A15264" s="11" t="s">
        <v>15295</v>
      </c>
    </row>
    <row r="15265">
      <c r="A15265" s="11" t="s">
        <v>15296</v>
      </c>
    </row>
    <row r="15266">
      <c r="A15266" s="11" t="s">
        <v>15297</v>
      </c>
    </row>
    <row r="15267">
      <c r="A15267" s="11" t="s">
        <v>15298</v>
      </c>
    </row>
    <row r="15268">
      <c r="A15268" s="11" t="s">
        <v>15299</v>
      </c>
    </row>
    <row r="15269">
      <c r="A15269" s="11" t="s">
        <v>15300</v>
      </c>
    </row>
    <row r="15270">
      <c r="A15270" s="11" t="s">
        <v>15301</v>
      </c>
    </row>
    <row r="15271">
      <c r="A15271" s="11" t="s">
        <v>15302</v>
      </c>
    </row>
    <row r="15272">
      <c r="A15272" s="11" t="s">
        <v>15303</v>
      </c>
    </row>
    <row r="15273">
      <c r="A15273" s="11" t="s">
        <v>15304</v>
      </c>
    </row>
    <row r="15274">
      <c r="A15274" s="11" t="s">
        <v>15305</v>
      </c>
    </row>
    <row r="15275">
      <c r="A15275" s="11" t="s">
        <v>15306</v>
      </c>
    </row>
    <row r="15276">
      <c r="A15276" s="11" t="s">
        <v>15307</v>
      </c>
    </row>
    <row r="15277">
      <c r="A15277" s="11" t="s">
        <v>15308</v>
      </c>
    </row>
    <row r="15278">
      <c r="A15278" s="11" t="s">
        <v>15309</v>
      </c>
    </row>
    <row r="15279">
      <c r="A15279" s="11" t="s">
        <v>15310</v>
      </c>
    </row>
    <row r="15280">
      <c r="A15280" s="11" t="s">
        <v>15311</v>
      </c>
    </row>
    <row r="15281">
      <c r="A15281" s="11" t="s">
        <v>15312</v>
      </c>
    </row>
    <row r="15282">
      <c r="A15282" s="11" t="s">
        <v>15313</v>
      </c>
    </row>
    <row r="15283">
      <c r="A15283" s="11" t="s">
        <v>15314</v>
      </c>
    </row>
    <row r="15284">
      <c r="A15284" s="11" t="s">
        <v>15315</v>
      </c>
    </row>
    <row r="15285">
      <c r="A15285" s="11" t="s">
        <v>15316</v>
      </c>
    </row>
    <row r="15286">
      <c r="A15286" s="11" t="s">
        <v>15317</v>
      </c>
    </row>
    <row r="15287">
      <c r="A15287" s="11" t="s">
        <v>15318</v>
      </c>
    </row>
    <row r="15288">
      <c r="A15288" s="11" t="s">
        <v>15319</v>
      </c>
    </row>
    <row r="15289">
      <c r="A15289" s="11" t="s">
        <v>15320</v>
      </c>
    </row>
    <row r="15290">
      <c r="A15290" s="11" t="s">
        <v>15321</v>
      </c>
    </row>
    <row r="15291">
      <c r="A15291" s="11" t="s">
        <v>15322</v>
      </c>
    </row>
    <row r="15292">
      <c r="A15292" s="11" t="s">
        <v>15323</v>
      </c>
    </row>
    <row r="15293">
      <c r="A15293" s="11" t="s">
        <v>15324</v>
      </c>
    </row>
    <row r="15294">
      <c r="A15294" s="11" t="s">
        <v>15325</v>
      </c>
    </row>
    <row r="15295">
      <c r="A15295" s="11" t="s">
        <v>15326</v>
      </c>
    </row>
    <row r="15296">
      <c r="A15296" s="11" t="s">
        <v>15327</v>
      </c>
    </row>
    <row r="15297">
      <c r="A15297" s="11" t="s">
        <v>15328</v>
      </c>
    </row>
    <row r="15298">
      <c r="A15298" s="11" t="s">
        <v>15329</v>
      </c>
    </row>
    <row r="15299">
      <c r="A15299" s="11" t="s">
        <v>15330</v>
      </c>
    </row>
    <row r="15300">
      <c r="A15300" s="11" t="s">
        <v>15331</v>
      </c>
    </row>
    <row r="15301">
      <c r="A15301" s="11" t="s">
        <v>15332</v>
      </c>
    </row>
    <row r="15302">
      <c r="A15302" s="11" t="s">
        <v>15333</v>
      </c>
    </row>
    <row r="15303">
      <c r="A15303" s="11" t="s">
        <v>15334</v>
      </c>
    </row>
    <row r="15304">
      <c r="A15304" s="11" t="s">
        <v>15335</v>
      </c>
    </row>
    <row r="15305">
      <c r="A15305" s="11" t="s">
        <v>15336</v>
      </c>
    </row>
    <row r="15306">
      <c r="A15306" s="11" t="s">
        <v>15337</v>
      </c>
    </row>
    <row r="15307">
      <c r="A15307" s="11" t="s">
        <v>15338</v>
      </c>
    </row>
    <row r="15308">
      <c r="A15308" s="11" t="s">
        <v>15339</v>
      </c>
    </row>
    <row r="15309">
      <c r="A15309" s="11" t="s">
        <v>15340</v>
      </c>
    </row>
    <row r="15310">
      <c r="A15310" s="11" t="s">
        <v>15341</v>
      </c>
    </row>
    <row r="15311">
      <c r="A15311" s="11" t="s">
        <v>15342</v>
      </c>
    </row>
    <row r="15312">
      <c r="A15312" s="11" t="s">
        <v>15343</v>
      </c>
    </row>
    <row r="15313">
      <c r="A15313" s="11" t="s">
        <v>15344</v>
      </c>
    </row>
    <row r="15314">
      <c r="A15314" s="11" t="s">
        <v>15345</v>
      </c>
    </row>
    <row r="15315">
      <c r="A15315" s="11" t="s">
        <v>15346</v>
      </c>
    </row>
    <row r="15316">
      <c r="A15316" s="11" t="s">
        <v>15347</v>
      </c>
    </row>
    <row r="15317">
      <c r="A15317" s="11" t="s">
        <v>15348</v>
      </c>
    </row>
    <row r="15318">
      <c r="A15318" s="11" t="s">
        <v>15349</v>
      </c>
    </row>
    <row r="15319">
      <c r="A15319" s="11" t="s">
        <v>15350</v>
      </c>
    </row>
    <row r="15320">
      <c r="A15320" s="11" t="s">
        <v>15351</v>
      </c>
    </row>
    <row r="15321">
      <c r="A15321" s="11" t="s">
        <v>15352</v>
      </c>
    </row>
    <row r="15322">
      <c r="A15322" s="11" t="s">
        <v>15353</v>
      </c>
    </row>
    <row r="15323">
      <c r="A15323" s="11" t="s">
        <v>15354</v>
      </c>
    </row>
    <row r="15324">
      <c r="A15324" s="11" t="s">
        <v>15355</v>
      </c>
    </row>
    <row r="15325">
      <c r="A15325" s="11" t="s">
        <v>15356</v>
      </c>
    </row>
    <row r="15326">
      <c r="A15326" s="11" t="s">
        <v>15357</v>
      </c>
    </row>
    <row r="15327">
      <c r="A15327" s="11" t="s">
        <v>15358</v>
      </c>
    </row>
    <row r="15328">
      <c r="A15328" s="11" t="s">
        <v>15359</v>
      </c>
    </row>
    <row r="15329">
      <c r="A15329" s="11" t="s">
        <v>15360</v>
      </c>
    </row>
    <row r="15330">
      <c r="A15330" s="11" t="s">
        <v>15361</v>
      </c>
    </row>
    <row r="15331">
      <c r="A15331" s="11" t="s">
        <v>15362</v>
      </c>
    </row>
    <row r="15332">
      <c r="A15332" s="11" t="s">
        <v>15363</v>
      </c>
    </row>
    <row r="15333">
      <c r="A15333" s="11" t="s">
        <v>15364</v>
      </c>
    </row>
    <row r="15334">
      <c r="A15334" s="11" t="s">
        <v>15365</v>
      </c>
    </row>
    <row r="15335">
      <c r="A15335" s="11" t="s">
        <v>15366</v>
      </c>
    </row>
    <row r="15336">
      <c r="A15336" s="11" t="s">
        <v>15367</v>
      </c>
    </row>
    <row r="15337">
      <c r="A15337" s="11" t="s">
        <v>15368</v>
      </c>
    </row>
    <row r="15338">
      <c r="A15338" s="11" t="s">
        <v>15369</v>
      </c>
    </row>
    <row r="15339">
      <c r="A15339" s="11" t="s">
        <v>15370</v>
      </c>
    </row>
    <row r="15340">
      <c r="A15340" s="11" t="s">
        <v>15371</v>
      </c>
    </row>
    <row r="15341">
      <c r="A15341" s="11" t="s">
        <v>15372</v>
      </c>
    </row>
    <row r="15342">
      <c r="A15342" s="11" t="s">
        <v>15373</v>
      </c>
    </row>
    <row r="15343">
      <c r="A15343" s="11" t="s">
        <v>15374</v>
      </c>
    </row>
    <row r="15344">
      <c r="A15344" s="11" t="s">
        <v>15375</v>
      </c>
    </row>
    <row r="15345">
      <c r="A15345" s="11" t="s">
        <v>15376</v>
      </c>
    </row>
    <row r="15346">
      <c r="A15346" s="11" t="s">
        <v>15377</v>
      </c>
    </row>
    <row r="15347">
      <c r="A15347" s="11" t="s">
        <v>15378</v>
      </c>
    </row>
    <row r="15348">
      <c r="A15348" s="11" t="s">
        <v>15379</v>
      </c>
    </row>
    <row r="15349">
      <c r="A15349" s="11" t="s">
        <v>15380</v>
      </c>
    </row>
    <row r="15350">
      <c r="A15350" s="11" t="s">
        <v>15381</v>
      </c>
    </row>
    <row r="15351">
      <c r="A15351" s="11" t="s">
        <v>15382</v>
      </c>
    </row>
    <row r="15352">
      <c r="A15352" s="11" t="s">
        <v>15383</v>
      </c>
    </row>
    <row r="15353">
      <c r="A15353" s="11" t="s">
        <v>15384</v>
      </c>
    </row>
    <row r="15354">
      <c r="A15354" s="11" t="s">
        <v>15385</v>
      </c>
    </row>
    <row r="15355">
      <c r="A15355" s="11" t="s">
        <v>15386</v>
      </c>
    </row>
    <row r="15356">
      <c r="A15356" s="11" t="s">
        <v>15387</v>
      </c>
    </row>
    <row r="15357">
      <c r="A15357" s="11" t="s">
        <v>15388</v>
      </c>
    </row>
    <row r="15358">
      <c r="A15358" s="11" t="s">
        <v>15389</v>
      </c>
    </row>
    <row r="15359">
      <c r="A15359" s="11" t="s">
        <v>15390</v>
      </c>
    </row>
    <row r="15360">
      <c r="A15360" s="11" t="s">
        <v>15391</v>
      </c>
    </row>
    <row r="15361">
      <c r="A15361" s="11" t="s">
        <v>15392</v>
      </c>
    </row>
    <row r="15362">
      <c r="A15362" s="11" t="s">
        <v>15393</v>
      </c>
    </row>
    <row r="15363">
      <c r="A15363" s="11" t="s">
        <v>15394</v>
      </c>
    </row>
    <row r="15364">
      <c r="A15364" s="11" t="s">
        <v>15395</v>
      </c>
    </row>
    <row r="15365">
      <c r="A15365" s="11" t="s">
        <v>15396</v>
      </c>
    </row>
    <row r="15366">
      <c r="A15366" s="11" t="s">
        <v>15397</v>
      </c>
    </row>
    <row r="15367">
      <c r="A15367" s="11" t="s">
        <v>15398</v>
      </c>
    </row>
    <row r="15368">
      <c r="A15368" s="11" t="s">
        <v>15399</v>
      </c>
    </row>
    <row r="15369">
      <c r="A15369" s="11" t="s">
        <v>15400</v>
      </c>
    </row>
    <row r="15370">
      <c r="A15370" s="11" t="s">
        <v>15401</v>
      </c>
    </row>
    <row r="15371">
      <c r="A15371" s="11" t="s">
        <v>15402</v>
      </c>
    </row>
    <row r="15372">
      <c r="A15372" s="11" t="s">
        <v>15403</v>
      </c>
    </row>
    <row r="15373">
      <c r="A15373" s="11" t="s">
        <v>15404</v>
      </c>
    </row>
    <row r="15374">
      <c r="A15374" s="11" t="s">
        <v>15405</v>
      </c>
    </row>
    <row r="15375">
      <c r="A15375" s="11" t="s">
        <v>15406</v>
      </c>
    </row>
    <row r="15376">
      <c r="A15376" s="11" t="s">
        <v>15407</v>
      </c>
    </row>
    <row r="15377">
      <c r="A15377" s="11" t="s">
        <v>15408</v>
      </c>
    </row>
    <row r="15378">
      <c r="A15378" s="11" t="s">
        <v>15409</v>
      </c>
    </row>
    <row r="15379">
      <c r="A15379" s="11" t="s">
        <v>15410</v>
      </c>
    </row>
    <row r="15380">
      <c r="A15380" s="11" t="s">
        <v>15411</v>
      </c>
    </row>
    <row r="15381">
      <c r="A15381" s="11" t="s">
        <v>15412</v>
      </c>
    </row>
    <row r="15382">
      <c r="A15382" s="11" t="s">
        <v>15413</v>
      </c>
    </row>
    <row r="15383">
      <c r="A15383" s="11" t="s">
        <v>15414</v>
      </c>
    </row>
    <row r="15384">
      <c r="A15384" s="11" t="s">
        <v>15415</v>
      </c>
    </row>
    <row r="15385">
      <c r="A15385" s="11" t="s">
        <v>15416</v>
      </c>
    </row>
    <row r="15386">
      <c r="A15386" s="11" t="s">
        <v>15417</v>
      </c>
    </row>
    <row r="15387">
      <c r="A15387" s="11" t="s">
        <v>15418</v>
      </c>
    </row>
    <row r="15388">
      <c r="A15388" s="11" t="s">
        <v>15419</v>
      </c>
    </row>
    <row r="15389">
      <c r="A15389" s="11" t="s">
        <v>15420</v>
      </c>
    </row>
    <row r="15390">
      <c r="A15390" s="11" t="s">
        <v>15421</v>
      </c>
    </row>
    <row r="15391">
      <c r="A15391" s="11" t="s">
        <v>15422</v>
      </c>
    </row>
    <row r="15392">
      <c r="A15392" s="11" t="s">
        <v>15423</v>
      </c>
    </row>
    <row r="15393">
      <c r="A15393" s="11" t="s">
        <v>15424</v>
      </c>
    </row>
    <row r="15394">
      <c r="A15394" s="11" t="s">
        <v>15425</v>
      </c>
    </row>
    <row r="15395">
      <c r="A15395" s="11" t="s">
        <v>15426</v>
      </c>
    </row>
    <row r="15396">
      <c r="A15396" s="11" t="s">
        <v>15427</v>
      </c>
    </row>
    <row r="15397">
      <c r="A15397" s="11" t="s">
        <v>15428</v>
      </c>
    </row>
    <row r="15398">
      <c r="A15398" s="11" t="s">
        <v>15429</v>
      </c>
    </row>
    <row r="15399">
      <c r="A15399" s="11" t="s">
        <v>15430</v>
      </c>
    </row>
    <row r="15400">
      <c r="A15400" s="11" t="s">
        <v>15431</v>
      </c>
    </row>
    <row r="15401">
      <c r="A15401" s="11" t="s">
        <v>15432</v>
      </c>
    </row>
    <row r="15402">
      <c r="A15402" s="11" t="s">
        <v>15433</v>
      </c>
    </row>
    <row r="15403">
      <c r="A15403" s="11" t="s">
        <v>15434</v>
      </c>
    </row>
    <row r="15404">
      <c r="A15404" s="11" t="s">
        <v>15435</v>
      </c>
    </row>
    <row r="15405">
      <c r="A15405" s="11" t="s">
        <v>15436</v>
      </c>
    </row>
    <row r="15406">
      <c r="A15406" s="11" t="s">
        <v>15437</v>
      </c>
    </row>
    <row r="15407">
      <c r="A15407" s="11" t="s">
        <v>15438</v>
      </c>
    </row>
    <row r="15408">
      <c r="A15408" s="11" t="s">
        <v>15439</v>
      </c>
    </row>
    <row r="15409">
      <c r="A15409" s="11" t="s">
        <v>15440</v>
      </c>
    </row>
    <row r="15410">
      <c r="A15410" s="11" t="s">
        <v>15441</v>
      </c>
    </row>
    <row r="15411">
      <c r="A15411" s="11" t="s">
        <v>15442</v>
      </c>
    </row>
    <row r="15412">
      <c r="A15412" s="11" t="s">
        <v>15443</v>
      </c>
    </row>
    <row r="15413">
      <c r="A15413" s="11" t="s">
        <v>15444</v>
      </c>
    </row>
    <row r="15414">
      <c r="A15414" s="11" t="s">
        <v>15445</v>
      </c>
    </row>
    <row r="15415">
      <c r="A15415" s="11" t="s">
        <v>15446</v>
      </c>
    </row>
    <row r="15416">
      <c r="A15416" s="11" t="s">
        <v>15447</v>
      </c>
    </row>
    <row r="15417">
      <c r="A15417" s="11" t="s">
        <v>15448</v>
      </c>
    </row>
    <row r="15418">
      <c r="A15418" s="11" t="s">
        <v>15449</v>
      </c>
    </row>
    <row r="15419">
      <c r="A15419" s="11" t="s">
        <v>15450</v>
      </c>
    </row>
    <row r="15420">
      <c r="A15420" s="11" t="s">
        <v>15451</v>
      </c>
    </row>
    <row r="15421">
      <c r="A15421" s="11" t="s">
        <v>15452</v>
      </c>
    </row>
    <row r="15422">
      <c r="A15422" s="11" t="s">
        <v>15453</v>
      </c>
    </row>
    <row r="15423">
      <c r="A15423" s="11" t="s">
        <v>15454</v>
      </c>
    </row>
    <row r="15424">
      <c r="A15424" s="11" t="s">
        <v>15455</v>
      </c>
    </row>
    <row r="15425">
      <c r="A15425" s="11" t="s">
        <v>15456</v>
      </c>
    </row>
    <row r="15426">
      <c r="A15426" s="11" t="s">
        <v>15457</v>
      </c>
    </row>
    <row r="15427">
      <c r="A15427" s="11" t="s">
        <v>15458</v>
      </c>
    </row>
    <row r="15428">
      <c r="A15428" s="11" t="s">
        <v>15459</v>
      </c>
    </row>
    <row r="15429">
      <c r="A15429" s="11" t="s">
        <v>15460</v>
      </c>
    </row>
    <row r="15430">
      <c r="A15430" s="11" t="s">
        <v>15461</v>
      </c>
    </row>
    <row r="15431">
      <c r="A15431" s="11" t="s">
        <v>15462</v>
      </c>
    </row>
    <row r="15432">
      <c r="A15432" s="11" t="s">
        <v>15463</v>
      </c>
    </row>
    <row r="15433">
      <c r="A15433" s="11" t="s">
        <v>15464</v>
      </c>
    </row>
    <row r="15434">
      <c r="A15434" s="11" t="s">
        <v>15465</v>
      </c>
    </row>
    <row r="15435">
      <c r="A15435" s="11" t="s">
        <v>15466</v>
      </c>
    </row>
    <row r="15436">
      <c r="A15436" s="11" t="s">
        <v>15467</v>
      </c>
    </row>
    <row r="15437">
      <c r="A15437" s="11" t="s">
        <v>15468</v>
      </c>
    </row>
    <row r="15438">
      <c r="A15438" s="11" t="s">
        <v>15469</v>
      </c>
    </row>
    <row r="15439">
      <c r="A15439" s="11" t="s">
        <v>15470</v>
      </c>
    </row>
    <row r="15440">
      <c r="A15440" s="11" t="s">
        <v>15471</v>
      </c>
    </row>
    <row r="15441">
      <c r="A15441" s="11" t="s">
        <v>15472</v>
      </c>
    </row>
    <row r="15442">
      <c r="A15442" s="11" t="s">
        <v>15473</v>
      </c>
    </row>
    <row r="15443">
      <c r="A15443" s="11" t="s">
        <v>15474</v>
      </c>
    </row>
    <row r="15444">
      <c r="A15444" s="11" t="s">
        <v>15475</v>
      </c>
    </row>
    <row r="15445">
      <c r="A15445" s="11" t="s">
        <v>15476</v>
      </c>
    </row>
    <row r="15446">
      <c r="A15446" s="11" t="s">
        <v>15477</v>
      </c>
    </row>
    <row r="15447">
      <c r="A15447" s="11" t="s">
        <v>15478</v>
      </c>
    </row>
    <row r="15448">
      <c r="A15448" s="11" t="s">
        <v>15479</v>
      </c>
    </row>
    <row r="15449">
      <c r="A15449" s="11" t="s">
        <v>15480</v>
      </c>
    </row>
    <row r="15450">
      <c r="A15450" s="11" t="s">
        <v>15481</v>
      </c>
    </row>
    <row r="15451">
      <c r="A15451" s="11" t="s">
        <v>15482</v>
      </c>
    </row>
    <row r="15452">
      <c r="A15452" s="11" t="s">
        <v>15483</v>
      </c>
    </row>
    <row r="15453">
      <c r="A15453" s="11" t="s">
        <v>15484</v>
      </c>
    </row>
    <row r="15454">
      <c r="A15454" s="11" t="s">
        <v>15485</v>
      </c>
    </row>
    <row r="15455">
      <c r="A15455" s="11" t="s">
        <v>15486</v>
      </c>
    </row>
    <row r="15456">
      <c r="A15456" s="11" t="s">
        <v>15487</v>
      </c>
    </row>
    <row r="15457">
      <c r="A15457" s="11" t="s">
        <v>15488</v>
      </c>
    </row>
    <row r="15458">
      <c r="A15458" s="11" t="s">
        <v>15489</v>
      </c>
    </row>
    <row r="15459">
      <c r="A15459" s="11" t="s">
        <v>15490</v>
      </c>
    </row>
    <row r="15460">
      <c r="A15460" s="11" t="s">
        <v>15491</v>
      </c>
    </row>
    <row r="15461">
      <c r="A15461" s="11" t="s">
        <v>15492</v>
      </c>
    </row>
    <row r="15462">
      <c r="A15462" s="11" t="s">
        <v>15493</v>
      </c>
    </row>
    <row r="15463">
      <c r="A15463" s="11" t="s">
        <v>15494</v>
      </c>
    </row>
    <row r="15464">
      <c r="A15464" s="11" t="s">
        <v>15495</v>
      </c>
    </row>
    <row r="15465">
      <c r="A15465" s="11" t="s">
        <v>15496</v>
      </c>
    </row>
    <row r="15466">
      <c r="A15466" s="11" t="s">
        <v>15497</v>
      </c>
    </row>
    <row r="15467">
      <c r="A15467" s="11" t="s">
        <v>15498</v>
      </c>
    </row>
    <row r="15468">
      <c r="A15468" s="11" t="s">
        <v>15499</v>
      </c>
    </row>
    <row r="15469">
      <c r="A15469" s="11" t="s">
        <v>15500</v>
      </c>
    </row>
    <row r="15470">
      <c r="A15470" s="11" t="s">
        <v>15501</v>
      </c>
    </row>
    <row r="15471">
      <c r="A15471" s="11" t="s">
        <v>15502</v>
      </c>
    </row>
    <row r="15472">
      <c r="A15472" s="11" t="s">
        <v>15503</v>
      </c>
    </row>
    <row r="15473">
      <c r="A15473" s="11" t="s">
        <v>15504</v>
      </c>
    </row>
    <row r="15474">
      <c r="A15474" s="11" t="s">
        <v>15505</v>
      </c>
    </row>
    <row r="15475">
      <c r="A15475" s="11" t="s">
        <v>15506</v>
      </c>
    </row>
    <row r="15476">
      <c r="A15476" s="11" t="s">
        <v>15507</v>
      </c>
    </row>
    <row r="15477">
      <c r="A15477" s="11" t="s">
        <v>15508</v>
      </c>
    </row>
    <row r="15478">
      <c r="A15478" s="11" t="s">
        <v>15509</v>
      </c>
    </row>
    <row r="15479">
      <c r="A15479" s="11" t="s">
        <v>15510</v>
      </c>
    </row>
    <row r="15480">
      <c r="A15480" s="11" t="s">
        <v>15511</v>
      </c>
    </row>
    <row r="15481">
      <c r="A15481" s="11" t="s">
        <v>15512</v>
      </c>
    </row>
    <row r="15482">
      <c r="A15482" s="11" t="s">
        <v>15513</v>
      </c>
    </row>
    <row r="15483">
      <c r="A15483" s="11" t="s">
        <v>15514</v>
      </c>
    </row>
    <row r="15484">
      <c r="A15484" s="11" t="s">
        <v>15515</v>
      </c>
    </row>
    <row r="15485">
      <c r="A15485" s="11" t="s">
        <v>15516</v>
      </c>
    </row>
    <row r="15486">
      <c r="A15486" s="11" t="s">
        <v>15517</v>
      </c>
    </row>
    <row r="15487">
      <c r="A15487" s="11" t="s">
        <v>15518</v>
      </c>
    </row>
    <row r="15488">
      <c r="A15488" s="11" t="s">
        <v>15519</v>
      </c>
    </row>
    <row r="15489">
      <c r="A15489" s="11" t="s">
        <v>15520</v>
      </c>
    </row>
    <row r="15490">
      <c r="A15490" s="11" t="s">
        <v>15521</v>
      </c>
    </row>
    <row r="15491">
      <c r="A15491" s="11" t="s">
        <v>15522</v>
      </c>
    </row>
    <row r="15492">
      <c r="A15492" s="11" t="s">
        <v>15523</v>
      </c>
    </row>
    <row r="15493">
      <c r="A15493" s="11" t="s">
        <v>15524</v>
      </c>
    </row>
    <row r="15494">
      <c r="A15494" s="11" t="s">
        <v>15525</v>
      </c>
    </row>
    <row r="15495">
      <c r="A15495" s="11" t="s">
        <v>15526</v>
      </c>
    </row>
    <row r="15496">
      <c r="A15496" s="11" t="s">
        <v>15527</v>
      </c>
    </row>
    <row r="15497">
      <c r="A15497" s="11" t="s">
        <v>15528</v>
      </c>
    </row>
    <row r="15498">
      <c r="A15498" s="11" t="s">
        <v>15529</v>
      </c>
    </row>
    <row r="15499">
      <c r="A15499" s="11" t="s">
        <v>15530</v>
      </c>
    </row>
    <row r="15500">
      <c r="A15500" s="11" t="s">
        <v>15531</v>
      </c>
    </row>
    <row r="15501">
      <c r="A15501" s="11" t="s">
        <v>15532</v>
      </c>
    </row>
    <row r="15502">
      <c r="A15502" s="11" t="s">
        <v>15533</v>
      </c>
    </row>
    <row r="15503">
      <c r="A15503" s="11" t="s">
        <v>15534</v>
      </c>
    </row>
    <row r="15504">
      <c r="A15504" s="11" t="s">
        <v>15535</v>
      </c>
    </row>
    <row r="15505">
      <c r="A15505" s="11" t="s">
        <v>15536</v>
      </c>
    </row>
    <row r="15506">
      <c r="A15506" s="11" t="s">
        <v>15537</v>
      </c>
    </row>
    <row r="15507">
      <c r="A15507" s="11" t="s">
        <v>15538</v>
      </c>
    </row>
    <row r="15508">
      <c r="A15508" s="11" t="s">
        <v>15539</v>
      </c>
    </row>
    <row r="15509">
      <c r="A15509" s="11" t="s">
        <v>15540</v>
      </c>
    </row>
    <row r="15510">
      <c r="A15510" s="11" t="s">
        <v>15541</v>
      </c>
    </row>
    <row r="15511">
      <c r="A15511" s="11" t="s">
        <v>15542</v>
      </c>
    </row>
    <row r="15512">
      <c r="A15512" s="11" t="s">
        <v>15543</v>
      </c>
    </row>
    <row r="15513">
      <c r="A15513" s="11" t="s">
        <v>15544</v>
      </c>
    </row>
    <row r="15514">
      <c r="A15514" s="11" t="s">
        <v>15545</v>
      </c>
    </row>
    <row r="15515">
      <c r="A15515" s="11" t="s">
        <v>15546</v>
      </c>
    </row>
    <row r="15516">
      <c r="A15516" s="11" t="s">
        <v>15547</v>
      </c>
    </row>
    <row r="15517">
      <c r="A15517" s="11" t="s">
        <v>15548</v>
      </c>
    </row>
    <row r="15518">
      <c r="A15518" s="11" t="s">
        <v>15549</v>
      </c>
    </row>
    <row r="15519">
      <c r="A15519" s="11" t="s">
        <v>15550</v>
      </c>
    </row>
    <row r="15520">
      <c r="A15520" s="11" t="s">
        <v>15551</v>
      </c>
    </row>
    <row r="15521">
      <c r="A15521" s="11" t="s">
        <v>15552</v>
      </c>
    </row>
    <row r="15522">
      <c r="A15522" s="11" t="s">
        <v>15553</v>
      </c>
    </row>
    <row r="15523">
      <c r="A15523" s="11" t="s">
        <v>15554</v>
      </c>
    </row>
    <row r="15524">
      <c r="A15524" s="11" t="s">
        <v>15555</v>
      </c>
    </row>
    <row r="15525">
      <c r="A15525" s="11" t="s">
        <v>15556</v>
      </c>
    </row>
    <row r="15526">
      <c r="A15526" s="11" t="s">
        <v>15557</v>
      </c>
    </row>
    <row r="15527">
      <c r="A15527" s="11" t="s">
        <v>15558</v>
      </c>
    </row>
    <row r="15528">
      <c r="A15528" s="11" t="s">
        <v>15559</v>
      </c>
    </row>
    <row r="15529">
      <c r="A15529" s="11" t="s">
        <v>15560</v>
      </c>
    </row>
    <row r="15530">
      <c r="A15530" s="11" t="s">
        <v>15561</v>
      </c>
    </row>
    <row r="15531">
      <c r="A15531" s="11" t="s">
        <v>15562</v>
      </c>
    </row>
    <row r="15532">
      <c r="A15532" s="11" t="s">
        <v>15563</v>
      </c>
    </row>
    <row r="15533">
      <c r="A15533" s="11" t="s">
        <v>15564</v>
      </c>
    </row>
    <row r="15534">
      <c r="A15534" s="11" t="s">
        <v>15565</v>
      </c>
    </row>
    <row r="15535">
      <c r="A15535" s="11" t="s">
        <v>15566</v>
      </c>
    </row>
    <row r="15536">
      <c r="A15536" s="11" t="s">
        <v>15567</v>
      </c>
    </row>
    <row r="15537">
      <c r="A15537" s="11" t="s">
        <v>15568</v>
      </c>
    </row>
    <row r="15538">
      <c r="A15538" s="11" t="s">
        <v>15569</v>
      </c>
    </row>
    <row r="15539">
      <c r="A15539" s="11" t="s">
        <v>15570</v>
      </c>
    </row>
    <row r="15540">
      <c r="A15540" s="11" t="s">
        <v>15571</v>
      </c>
    </row>
    <row r="15541">
      <c r="A15541" s="11" t="s">
        <v>15572</v>
      </c>
    </row>
    <row r="15542">
      <c r="A15542" s="11" t="s">
        <v>15573</v>
      </c>
    </row>
    <row r="15543">
      <c r="A15543" s="11" t="s">
        <v>15574</v>
      </c>
    </row>
    <row r="15544">
      <c r="A15544" s="11" t="s">
        <v>15575</v>
      </c>
    </row>
    <row r="15545">
      <c r="A15545" s="11" t="s">
        <v>15576</v>
      </c>
    </row>
    <row r="15546">
      <c r="A15546" s="11" t="s">
        <v>15577</v>
      </c>
    </row>
    <row r="15547">
      <c r="A15547" s="11" t="s">
        <v>15578</v>
      </c>
    </row>
    <row r="15548">
      <c r="A15548" s="11" t="s">
        <v>15579</v>
      </c>
    </row>
    <row r="15549">
      <c r="A15549" s="11" t="s">
        <v>15580</v>
      </c>
    </row>
    <row r="15550">
      <c r="A15550" s="11" t="s">
        <v>15581</v>
      </c>
    </row>
    <row r="15551">
      <c r="A15551" s="11" t="s">
        <v>15582</v>
      </c>
    </row>
    <row r="15552">
      <c r="A15552" s="11" t="s">
        <v>15583</v>
      </c>
    </row>
    <row r="15553">
      <c r="A15553" s="11" t="s">
        <v>15584</v>
      </c>
    </row>
    <row r="15554">
      <c r="A15554" s="11" t="s">
        <v>15585</v>
      </c>
    </row>
    <row r="15555">
      <c r="A15555" s="11" t="s">
        <v>15586</v>
      </c>
    </row>
    <row r="15556">
      <c r="A15556" s="11" t="s">
        <v>15587</v>
      </c>
    </row>
    <row r="15557">
      <c r="A15557" s="11" t="s">
        <v>15588</v>
      </c>
    </row>
    <row r="15558">
      <c r="A15558" s="11" t="s">
        <v>15589</v>
      </c>
    </row>
    <row r="15559">
      <c r="A15559" s="11" t="s">
        <v>15590</v>
      </c>
    </row>
    <row r="15560">
      <c r="A15560" s="11" t="s">
        <v>15591</v>
      </c>
    </row>
    <row r="15561">
      <c r="A15561" s="11" t="s">
        <v>15592</v>
      </c>
    </row>
    <row r="15562">
      <c r="A15562" s="11" t="s">
        <v>15593</v>
      </c>
    </row>
    <row r="15563">
      <c r="A15563" s="11" t="s">
        <v>15594</v>
      </c>
    </row>
    <row r="15564">
      <c r="A15564" s="11" t="s">
        <v>15595</v>
      </c>
    </row>
    <row r="15565">
      <c r="A15565" s="11" t="s">
        <v>15596</v>
      </c>
    </row>
    <row r="15566">
      <c r="A15566" s="11" t="s">
        <v>15597</v>
      </c>
    </row>
    <row r="15567">
      <c r="A15567" s="11" t="s">
        <v>15598</v>
      </c>
    </row>
    <row r="15568">
      <c r="A15568" s="11" t="s">
        <v>15599</v>
      </c>
    </row>
    <row r="15569">
      <c r="A15569" s="11" t="s">
        <v>15600</v>
      </c>
    </row>
    <row r="15570">
      <c r="A15570" s="11" t="s">
        <v>15601</v>
      </c>
    </row>
    <row r="15571">
      <c r="A15571" s="11" t="s">
        <v>15602</v>
      </c>
    </row>
    <row r="15572">
      <c r="A15572" s="11" t="s">
        <v>15603</v>
      </c>
    </row>
    <row r="15573">
      <c r="A15573" s="11" t="s">
        <v>15604</v>
      </c>
    </row>
    <row r="15574">
      <c r="A15574" s="11" t="s">
        <v>15605</v>
      </c>
    </row>
    <row r="15575">
      <c r="A15575" s="11" t="s">
        <v>15606</v>
      </c>
    </row>
    <row r="15576">
      <c r="A15576" s="11" t="s">
        <v>15607</v>
      </c>
    </row>
    <row r="15577">
      <c r="A15577" s="11" t="s">
        <v>15608</v>
      </c>
    </row>
    <row r="15578">
      <c r="A15578" s="11" t="s">
        <v>15609</v>
      </c>
    </row>
    <row r="15579">
      <c r="A15579" s="11" t="s">
        <v>15610</v>
      </c>
    </row>
    <row r="15580">
      <c r="A15580" s="11" t="s">
        <v>15611</v>
      </c>
    </row>
    <row r="15581">
      <c r="A15581" s="11" t="s">
        <v>15612</v>
      </c>
    </row>
    <row r="15582">
      <c r="A15582" s="11" t="s">
        <v>15613</v>
      </c>
    </row>
    <row r="15583">
      <c r="A15583" s="11" t="s">
        <v>15614</v>
      </c>
    </row>
    <row r="15584">
      <c r="A15584" s="11" t="s">
        <v>15615</v>
      </c>
    </row>
    <row r="15585">
      <c r="A15585" s="11" t="s">
        <v>15616</v>
      </c>
    </row>
    <row r="15586">
      <c r="A15586" s="11" t="s">
        <v>15617</v>
      </c>
    </row>
    <row r="15587">
      <c r="A15587" s="11" t="s">
        <v>15618</v>
      </c>
    </row>
    <row r="15588">
      <c r="A15588" s="11" t="s">
        <v>15619</v>
      </c>
    </row>
    <row r="15589">
      <c r="A15589" s="11" t="s">
        <v>15620</v>
      </c>
    </row>
    <row r="15590">
      <c r="A15590" s="11" t="s">
        <v>15621</v>
      </c>
    </row>
    <row r="15591">
      <c r="A15591" s="11" t="s">
        <v>15622</v>
      </c>
    </row>
    <row r="15592">
      <c r="A15592" s="11" t="s">
        <v>15623</v>
      </c>
    </row>
    <row r="15593">
      <c r="A15593" s="11" t="s">
        <v>15624</v>
      </c>
    </row>
    <row r="15594">
      <c r="A15594" s="11" t="s">
        <v>15625</v>
      </c>
    </row>
    <row r="15595">
      <c r="A15595" s="11" t="s">
        <v>15626</v>
      </c>
    </row>
    <row r="15596">
      <c r="A15596" s="11" t="s">
        <v>15627</v>
      </c>
    </row>
    <row r="15597">
      <c r="A15597" s="11" t="s">
        <v>15628</v>
      </c>
    </row>
    <row r="15598">
      <c r="A15598" s="11" t="s">
        <v>15629</v>
      </c>
    </row>
    <row r="15599">
      <c r="A15599" s="11" t="s">
        <v>15630</v>
      </c>
    </row>
    <row r="15600">
      <c r="A15600" s="11" t="s">
        <v>15631</v>
      </c>
    </row>
    <row r="15601">
      <c r="A15601" s="11" t="s">
        <v>15632</v>
      </c>
    </row>
    <row r="15602">
      <c r="A15602" s="11" t="s">
        <v>15633</v>
      </c>
    </row>
    <row r="15603">
      <c r="A15603" s="11" t="s">
        <v>15634</v>
      </c>
    </row>
    <row r="15604">
      <c r="A15604" s="11" t="s">
        <v>15635</v>
      </c>
    </row>
    <row r="15605">
      <c r="A15605" s="11" t="s">
        <v>15636</v>
      </c>
    </row>
    <row r="15606">
      <c r="A15606" s="11" t="s">
        <v>15637</v>
      </c>
    </row>
    <row r="15607">
      <c r="A15607" s="11" t="s">
        <v>15638</v>
      </c>
    </row>
    <row r="15608">
      <c r="A15608" s="11" t="s">
        <v>15639</v>
      </c>
    </row>
    <row r="15609">
      <c r="A15609" s="11" t="s">
        <v>15640</v>
      </c>
    </row>
    <row r="15610">
      <c r="A15610" s="11" t="s">
        <v>15641</v>
      </c>
    </row>
    <row r="15611">
      <c r="A15611" s="11" t="s">
        <v>15642</v>
      </c>
    </row>
    <row r="15612">
      <c r="A15612" s="11" t="s">
        <v>15643</v>
      </c>
    </row>
    <row r="15613">
      <c r="A15613" s="11" t="s">
        <v>15644</v>
      </c>
    </row>
    <row r="15614">
      <c r="A15614" s="11" t="s">
        <v>15645</v>
      </c>
    </row>
    <row r="15615">
      <c r="A15615" s="11" t="s">
        <v>15646</v>
      </c>
    </row>
    <row r="15616">
      <c r="A15616" s="11" t="s">
        <v>15647</v>
      </c>
    </row>
    <row r="15617">
      <c r="A15617" s="11" t="s">
        <v>15648</v>
      </c>
    </row>
    <row r="15618">
      <c r="A15618" s="11" t="s">
        <v>15649</v>
      </c>
    </row>
    <row r="15619">
      <c r="A15619" s="11" t="s">
        <v>15650</v>
      </c>
    </row>
    <row r="15620">
      <c r="A15620" s="11" t="s">
        <v>15651</v>
      </c>
    </row>
    <row r="15621">
      <c r="A15621" s="11" t="s">
        <v>15652</v>
      </c>
    </row>
    <row r="15622">
      <c r="A15622" s="11" t="s">
        <v>15653</v>
      </c>
    </row>
    <row r="15623">
      <c r="A15623" s="11" t="s">
        <v>15654</v>
      </c>
    </row>
    <row r="15624">
      <c r="A15624" s="11" t="s">
        <v>15655</v>
      </c>
    </row>
    <row r="15625">
      <c r="A15625" s="11" t="s">
        <v>15656</v>
      </c>
    </row>
    <row r="15626">
      <c r="A15626" s="11" t="s">
        <v>15657</v>
      </c>
    </row>
    <row r="15627">
      <c r="A15627" s="11" t="s">
        <v>15658</v>
      </c>
    </row>
    <row r="15628">
      <c r="A15628" s="11" t="s">
        <v>15659</v>
      </c>
    </row>
    <row r="15629">
      <c r="A15629" s="11" t="s">
        <v>15660</v>
      </c>
    </row>
    <row r="15630">
      <c r="A15630" s="11" t="s">
        <v>15661</v>
      </c>
    </row>
    <row r="15631">
      <c r="A15631" s="11" t="s">
        <v>15662</v>
      </c>
    </row>
    <row r="15632">
      <c r="A15632" s="11" t="s">
        <v>15663</v>
      </c>
    </row>
    <row r="15633">
      <c r="A15633" s="11" t="s">
        <v>15664</v>
      </c>
    </row>
    <row r="15634">
      <c r="A15634" s="11" t="s">
        <v>15665</v>
      </c>
    </row>
    <row r="15635">
      <c r="A15635" s="11" t="s">
        <v>15666</v>
      </c>
    </row>
    <row r="15636">
      <c r="A15636" s="11" t="s">
        <v>15667</v>
      </c>
    </row>
    <row r="15637">
      <c r="A15637" s="11" t="s">
        <v>15668</v>
      </c>
    </row>
    <row r="15638">
      <c r="A15638" s="11" t="s">
        <v>15669</v>
      </c>
    </row>
    <row r="15639">
      <c r="A15639" s="11" t="s">
        <v>15670</v>
      </c>
    </row>
    <row r="15640">
      <c r="A15640" s="11" t="s">
        <v>15671</v>
      </c>
    </row>
    <row r="15641">
      <c r="A15641" s="11" t="s">
        <v>15672</v>
      </c>
    </row>
    <row r="15642">
      <c r="A15642" s="11" t="s">
        <v>15673</v>
      </c>
    </row>
    <row r="15643">
      <c r="A15643" s="11" t="s">
        <v>15674</v>
      </c>
    </row>
    <row r="15644">
      <c r="A15644" s="11" t="s">
        <v>15675</v>
      </c>
    </row>
    <row r="15645">
      <c r="A15645" s="11" t="s">
        <v>15676</v>
      </c>
    </row>
    <row r="15646">
      <c r="A15646" s="11" t="s">
        <v>15677</v>
      </c>
    </row>
    <row r="15647">
      <c r="A15647" s="11" t="s">
        <v>15678</v>
      </c>
    </row>
    <row r="15648">
      <c r="A15648" s="11" t="s">
        <v>15679</v>
      </c>
    </row>
    <row r="15649">
      <c r="A15649" s="11" t="s">
        <v>15680</v>
      </c>
    </row>
    <row r="15650">
      <c r="A15650" s="11" t="s">
        <v>15681</v>
      </c>
    </row>
    <row r="15651">
      <c r="A15651" s="11" t="s">
        <v>15682</v>
      </c>
    </row>
    <row r="15652">
      <c r="A15652" s="11" t="s">
        <v>15683</v>
      </c>
    </row>
    <row r="15653">
      <c r="A15653" s="11" t="s">
        <v>15684</v>
      </c>
    </row>
    <row r="15654">
      <c r="A15654" s="11" t="s">
        <v>15685</v>
      </c>
    </row>
    <row r="15655">
      <c r="A15655" s="11" t="s">
        <v>15686</v>
      </c>
    </row>
    <row r="15656">
      <c r="A15656" s="11" t="s">
        <v>15687</v>
      </c>
    </row>
    <row r="15657">
      <c r="A15657" s="11" t="s">
        <v>15688</v>
      </c>
    </row>
    <row r="15658">
      <c r="A15658" s="11" t="s">
        <v>15689</v>
      </c>
    </row>
    <row r="15659">
      <c r="A15659" s="11" t="s">
        <v>15690</v>
      </c>
    </row>
    <row r="15660">
      <c r="A15660" s="11" t="s">
        <v>15691</v>
      </c>
    </row>
    <row r="15661">
      <c r="A15661" s="11" t="s">
        <v>15692</v>
      </c>
    </row>
    <row r="15662">
      <c r="A15662" s="11" t="s">
        <v>15693</v>
      </c>
    </row>
    <row r="15663">
      <c r="A15663" s="11" t="s">
        <v>15694</v>
      </c>
    </row>
    <row r="15664">
      <c r="A15664" s="11" t="s">
        <v>15695</v>
      </c>
    </row>
    <row r="15665">
      <c r="A15665" s="11" t="s">
        <v>15696</v>
      </c>
    </row>
    <row r="15666">
      <c r="A15666" s="11" t="s">
        <v>15697</v>
      </c>
    </row>
    <row r="15667">
      <c r="A15667" s="11" t="s">
        <v>15698</v>
      </c>
    </row>
    <row r="15668">
      <c r="A15668" s="11" t="s">
        <v>15699</v>
      </c>
    </row>
    <row r="15669">
      <c r="A15669" s="11" t="s">
        <v>15700</v>
      </c>
    </row>
    <row r="15670">
      <c r="A15670" s="11" t="s">
        <v>15701</v>
      </c>
    </row>
    <row r="15671">
      <c r="A15671" s="11" t="s">
        <v>15702</v>
      </c>
    </row>
    <row r="15672">
      <c r="A15672" s="11" t="s">
        <v>15703</v>
      </c>
    </row>
    <row r="15673">
      <c r="A15673" s="11" t="s">
        <v>15704</v>
      </c>
    </row>
    <row r="15674">
      <c r="A15674" s="11" t="s">
        <v>15705</v>
      </c>
    </row>
    <row r="15675">
      <c r="A15675" s="11" t="s">
        <v>15706</v>
      </c>
    </row>
    <row r="15676">
      <c r="A15676" s="11" t="s">
        <v>15707</v>
      </c>
    </row>
    <row r="15677">
      <c r="A15677" s="11" t="s">
        <v>15708</v>
      </c>
    </row>
    <row r="15678">
      <c r="A15678" s="11" t="s">
        <v>15709</v>
      </c>
    </row>
    <row r="15679">
      <c r="A15679" s="11" t="s">
        <v>15710</v>
      </c>
    </row>
    <row r="15680">
      <c r="A15680" s="11" t="s">
        <v>15711</v>
      </c>
    </row>
    <row r="15681">
      <c r="A15681" s="11" t="s">
        <v>15712</v>
      </c>
    </row>
    <row r="15682">
      <c r="A15682" s="11" t="s">
        <v>15713</v>
      </c>
    </row>
    <row r="15683">
      <c r="A15683" s="11" t="s">
        <v>15714</v>
      </c>
    </row>
    <row r="15684">
      <c r="A15684" s="11" t="s">
        <v>15715</v>
      </c>
    </row>
    <row r="15685">
      <c r="A15685" s="11" t="s">
        <v>15716</v>
      </c>
    </row>
    <row r="15686">
      <c r="A15686" s="11" t="s">
        <v>15717</v>
      </c>
    </row>
    <row r="15687">
      <c r="A15687" s="11" t="s">
        <v>15718</v>
      </c>
    </row>
    <row r="15688">
      <c r="A15688" s="11" t="s">
        <v>15719</v>
      </c>
    </row>
    <row r="15689">
      <c r="A15689" s="11" t="s">
        <v>15720</v>
      </c>
    </row>
    <row r="15690">
      <c r="A15690" s="11" t="s">
        <v>15721</v>
      </c>
    </row>
    <row r="15691">
      <c r="A15691" s="11" t="s">
        <v>15722</v>
      </c>
    </row>
    <row r="15692">
      <c r="A15692" s="11" t="s">
        <v>15723</v>
      </c>
    </row>
    <row r="15693">
      <c r="A15693" s="11" t="s">
        <v>15724</v>
      </c>
    </row>
    <row r="15694">
      <c r="A15694" s="11" t="s">
        <v>15725</v>
      </c>
    </row>
    <row r="15695">
      <c r="A15695" s="11" t="s">
        <v>15726</v>
      </c>
    </row>
    <row r="15696">
      <c r="A15696" s="11" t="s">
        <v>15727</v>
      </c>
    </row>
    <row r="15697">
      <c r="A15697" s="11" t="s">
        <v>15728</v>
      </c>
    </row>
    <row r="15698">
      <c r="A15698" s="11" t="s">
        <v>15729</v>
      </c>
    </row>
    <row r="15699">
      <c r="A15699" s="11" t="s">
        <v>15730</v>
      </c>
    </row>
    <row r="15700">
      <c r="A15700" s="11" t="s">
        <v>15731</v>
      </c>
    </row>
    <row r="15701">
      <c r="A15701" s="11" t="s">
        <v>15732</v>
      </c>
    </row>
    <row r="15702">
      <c r="A15702" s="11" t="s">
        <v>15733</v>
      </c>
    </row>
    <row r="15703">
      <c r="A15703" s="11" t="s">
        <v>15734</v>
      </c>
    </row>
    <row r="15704">
      <c r="A15704" s="11" t="s">
        <v>15735</v>
      </c>
    </row>
    <row r="15705">
      <c r="A15705" s="11" t="s">
        <v>15736</v>
      </c>
    </row>
    <row r="15706">
      <c r="A15706" s="11" t="s">
        <v>15737</v>
      </c>
    </row>
    <row r="15707">
      <c r="A15707" s="11" t="s">
        <v>15738</v>
      </c>
    </row>
    <row r="15708">
      <c r="A15708" s="11" t="s">
        <v>15739</v>
      </c>
    </row>
    <row r="15709">
      <c r="A15709" s="11" t="s">
        <v>15740</v>
      </c>
    </row>
    <row r="15710">
      <c r="A15710" s="11" t="s">
        <v>15741</v>
      </c>
    </row>
    <row r="15711">
      <c r="A15711" s="11" t="s">
        <v>15742</v>
      </c>
    </row>
    <row r="15712">
      <c r="A15712" s="11" t="s">
        <v>15743</v>
      </c>
    </row>
    <row r="15713">
      <c r="A15713" s="11" t="s">
        <v>15744</v>
      </c>
    </row>
    <row r="15714">
      <c r="A15714" s="11" t="s">
        <v>15745</v>
      </c>
    </row>
    <row r="15715">
      <c r="A15715" s="11" t="s">
        <v>15746</v>
      </c>
    </row>
    <row r="15716">
      <c r="A15716" s="11" t="s">
        <v>15747</v>
      </c>
    </row>
    <row r="15717">
      <c r="A15717" s="11" t="s">
        <v>15748</v>
      </c>
    </row>
    <row r="15718">
      <c r="A15718" s="11" t="s">
        <v>15749</v>
      </c>
    </row>
    <row r="15719">
      <c r="A15719" s="11" t="s">
        <v>15750</v>
      </c>
    </row>
    <row r="15720">
      <c r="A15720" s="11" t="s">
        <v>15751</v>
      </c>
    </row>
    <row r="15721">
      <c r="A15721" s="11" t="s">
        <v>15752</v>
      </c>
    </row>
    <row r="15722">
      <c r="A15722" s="11" t="s">
        <v>15753</v>
      </c>
    </row>
    <row r="15723">
      <c r="A15723" s="11" t="s">
        <v>15754</v>
      </c>
    </row>
    <row r="15724">
      <c r="A15724" s="11" t="s">
        <v>15755</v>
      </c>
    </row>
    <row r="15725">
      <c r="A15725" s="11" t="s">
        <v>15756</v>
      </c>
    </row>
    <row r="15726">
      <c r="A15726" s="11" t="s">
        <v>15757</v>
      </c>
    </row>
    <row r="15727">
      <c r="A15727" s="11" t="s">
        <v>15758</v>
      </c>
    </row>
    <row r="15728">
      <c r="A15728" s="11" t="s">
        <v>15759</v>
      </c>
    </row>
    <row r="15729">
      <c r="A15729" s="11" t="s">
        <v>15760</v>
      </c>
    </row>
    <row r="15730">
      <c r="A15730" s="11" t="s">
        <v>15761</v>
      </c>
    </row>
    <row r="15731">
      <c r="A15731" s="11" t="s">
        <v>15762</v>
      </c>
    </row>
    <row r="15732">
      <c r="A15732" s="11" t="s">
        <v>15763</v>
      </c>
    </row>
    <row r="15733">
      <c r="A15733" s="11" t="s">
        <v>15764</v>
      </c>
    </row>
    <row r="15734">
      <c r="A15734" s="11" t="s">
        <v>15765</v>
      </c>
    </row>
    <row r="15735">
      <c r="A15735" s="11" t="s">
        <v>15766</v>
      </c>
    </row>
    <row r="15736">
      <c r="A15736" s="11" t="s">
        <v>15767</v>
      </c>
    </row>
    <row r="15737">
      <c r="A15737" s="11" t="s">
        <v>15768</v>
      </c>
    </row>
    <row r="15738">
      <c r="A15738" s="11" t="s">
        <v>15769</v>
      </c>
    </row>
    <row r="15739">
      <c r="A15739" s="11" t="s">
        <v>15770</v>
      </c>
    </row>
    <row r="15740">
      <c r="A15740" s="11" t="s">
        <v>15771</v>
      </c>
    </row>
    <row r="15741">
      <c r="A15741" s="11" t="s">
        <v>15772</v>
      </c>
    </row>
    <row r="15742">
      <c r="A15742" s="11" t="s">
        <v>15773</v>
      </c>
    </row>
    <row r="15743">
      <c r="A15743" s="11" t="s">
        <v>15774</v>
      </c>
    </row>
    <row r="15744">
      <c r="A15744" s="11" t="s">
        <v>15775</v>
      </c>
    </row>
    <row r="15745">
      <c r="A15745" s="11" t="s">
        <v>15776</v>
      </c>
    </row>
    <row r="15746">
      <c r="A15746" s="11" t="s">
        <v>15777</v>
      </c>
    </row>
    <row r="15747">
      <c r="A15747" s="11" t="s">
        <v>15778</v>
      </c>
    </row>
    <row r="15748">
      <c r="A15748" s="11" t="s">
        <v>15779</v>
      </c>
    </row>
    <row r="15749">
      <c r="A15749" s="11" t="s">
        <v>15780</v>
      </c>
    </row>
    <row r="15750">
      <c r="A15750" s="11" t="s">
        <v>15781</v>
      </c>
    </row>
    <row r="15751">
      <c r="A15751" s="11" t="s">
        <v>15782</v>
      </c>
    </row>
    <row r="15752">
      <c r="A15752" s="11" t="s">
        <v>15783</v>
      </c>
    </row>
    <row r="15753">
      <c r="A15753" s="11" t="s">
        <v>15784</v>
      </c>
    </row>
    <row r="15754">
      <c r="A15754" s="11" t="s">
        <v>15785</v>
      </c>
    </row>
    <row r="15755">
      <c r="A15755" s="11" t="s">
        <v>15786</v>
      </c>
    </row>
    <row r="15756">
      <c r="A15756" s="11" t="s">
        <v>15787</v>
      </c>
    </row>
    <row r="15757">
      <c r="A15757" s="11" t="s">
        <v>15788</v>
      </c>
    </row>
    <row r="15758">
      <c r="A15758" s="11" t="s">
        <v>15789</v>
      </c>
    </row>
    <row r="15759">
      <c r="A15759" s="11" t="s">
        <v>15790</v>
      </c>
    </row>
    <row r="15760">
      <c r="A15760" s="11" t="s">
        <v>15791</v>
      </c>
    </row>
    <row r="15761">
      <c r="A15761" s="11" t="s">
        <v>15792</v>
      </c>
    </row>
    <row r="15762">
      <c r="A15762" s="11" t="s">
        <v>15793</v>
      </c>
    </row>
    <row r="15763">
      <c r="A15763" s="11" t="s">
        <v>15794</v>
      </c>
    </row>
    <row r="15764">
      <c r="A15764" s="11" t="s">
        <v>15795</v>
      </c>
    </row>
    <row r="15765">
      <c r="A15765" s="11" t="s">
        <v>15796</v>
      </c>
    </row>
    <row r="15766">
      <c r="A15766" s="11" t="s">
        <v>15797</v>
      </c>
    </row>
    <row r="15767">
      <c r="A15767" s="11" t="s">
        <v>15798</v>
      </c>
    </row>
    <row r="15768">
      <c r="A15768" s="11" t="s">
        <v>15799</v>
      </c>
    </row>
    <row r="15769">
      <c r="A15769" s="11" t="s">
        <v>15800</v>
      </c>
    </row>
    <row r="15770">
      <c r="A15770" s="11" t="s">
        <v>15801</v>
      </c>
    </row>
    <row r="15771">
      <c r="A15771" s="11" t="s">
        <v>15802</v>
      </c>
    </row>
    <row r="15772">
      <c r="A15772" s="11" t="s">
        <v>15803</v>
      </c>
    </row>
    <row r="15773">
      <c r="A15773" s="11" t="s">
        <v>15804</v>
      </c>
    </row>
    <row r="15774">
      <c r="A15774" s="11" t="s">
        <v>15805</v>
      </c>
    </row>
    <row r="15775">
      <c r="A15775" s="11" t="s">
        <v>15806</v>
      </c>
    </row>
    <row r="15776">
      <c r="A15776" s="11" t="s">
        <v>15807</v>
      </c>
    </row>
    <row r="15777">
      <c r="A15777" s="11" t="s">
        <v>15808</v>
      </c>
    </row>
    <row r="15778">
      <c r="A15778" s="11" t="s">
        <v>15809</v>
      </c>
    </row>
    <row r="15779">
      <c r="A15779" s="11" t="s">
        <v>15810</v>
      </c>
    </row>
    <row r="15780">
      <c r="A15780" s="11" t="s">
        <v>15811</v>
      </c>
    </row>
    <row r="15781">
      <c r="A15781" s="11" t="s">
        <v>15812</v>
      </c>
    </row>
    <row r="15782">
      <c r="A15782" s="11" t="s">
        <v>15813</v>
      </c>
    </row>
    <row r="15783">
      <c r="A15783" s="11" t="s">
        <v>15814</v>
      </c>
    </row>
    <row r="15784">
      <c r="A15784" s="11" t="s">
        <v>15815</v>
      </c>
    </row>
    <row r="15785">
      <c r="A15785" s="11" t="s">
        <v>15816</v>
      </c>
    </row>
    <row r="15786">
      <c r="A15786" s="11" t="s">
        <v>15817</v>
      </c>
    </row>
    <row r="15787">
      <c r="A15787" s="11" t="s">
        <v>15818</v>
      </c>
    </row>
    <row r="15788">
      <c r="A15788" s="11" t="s">
        <v>15819</v>
      </c>
    </row>
    <row r="15789">
      <c r="A15789" s="11" t="s">
        <v>15820</v>
      </c>
    </row>
    <row r="15790">
      <c r="A15790" s="11" t="s">
        <v>15821</v>
      </c>
    </row>
    <row r="15791">
      <c r="A15791" s="11" t="s">
        <v>15822</v>
      </c>
    </row>
    <row r="15792">
      <c r="A15792" s="11" t="s">
        <v>15823</v>
      </c>
    </row>
    <row r="15793">
      <c r="A15793" s="11" t="s">
        <v>15824</v>
      </c>
    </row>
    <row r="15794">
      <c r="A15794" s="11" t="s">
        <v>15825</v>
      </c>
    </row>
    <row r="15795">
      <c r="A15795" s="11" t="s">
        <v>15826</v>
      </c>
    </row>
    <row r="15796">
      <c r="A15796" s="11" t="s">
        <v>15827</v>
      </c>
    </row>
    <row r="15797">
      <c r="A15797" s="11" t="s">
        <v>15828</v>
      </c>
    </row>
    <row r="15798">
      <c r="A15798" s="11" t="s">
        <v>15829</v>
      </c>
    </row>
    <row r="15799">
      <c r="A15799" s="11" t="s">
        <v>15830</v>
      </c>
    </row>
    <row r="15800">
      <c r="A15800" s="11" t="s">
        <v>15831</v>
      </c>
    </row>
    <row r="15801">
      <c r="A15801" s="11" t="s">
        <v>15832</v>
      </c>
    </row>
    <row r="15802">
      <c r="A15802" s="11" t="s">
        <v>15833</v>
      </c>
    </row>
    <row r="15803">
      <c r="A15803" s="11" t="s">
        <v>15834</v>
      </c>
    </row>
    <row r="15804">
      <c r="A15804" s="11" t="s">
        <v>15835</v>
      </c>
    </row>
    <row r="15805">
      <c r="A15805" s="11" t="s">
        <v>15836</v>
      </c>
    </row>
    <row r="15806">
      <c r="A15806" s="11" t="s">
        <v>15837</v>
      </c>
    </row>
    <row r="15807">
      <c r="A15807" s="11" t="s">
        <v>15838</v>
      </c>
    </row>
    <row r="15808">
      <c r="A15808" s="11" t="s">
        <v>15839</v>
      </c>
    </row>
    <row r="15809">
      <c r="A15809" s="11" t="s">
        <v>15840</v>
      </c>
    </row>
    <row r="15810">
      <c r="A15810" s="11" t="s">
        <v>15841</v>
      </c>
    </row>
    <row r="15811">
      <c r="A15811" s="11" t="s">
        <v>15842</v>
      </c>
    </row>
    <row r="15812">
      <c r="A15812" s="11" t="s">
        <v>15843</v>
      </c>
    </row>
    <row r="15813">
      <c r="A15813" s="11" t="s">
        <v>15844</v>
      </c>
    </row>
    <row r="15814">
      <c r="A15814" s="11" t="s">
        <v>15845</v>
      </c>
    </row>
    <row r="15815">
      <c r="A15815" s="11" t="s">
        <v>15846</v>
      </c>
    </row>
    <row r="15816">
      <c r="A15816" s="11" t="s">
        <v>15847</v>
      </c>
    </row>
    <row r="15817">
      <c r="A15817" s="11" t="s">
        <v>15848</v>
      </c>
    </row>
    <row r="15818">
      <c r="A15818" s="11" t="s">
        <v>15849</v>
      </c>
    </row>
    <row r="15819">
      <c r="A15819" s="11" t="s">
        <v>15850</v>
      </c>
    </row>
    <row r="15820">
      <c r="A15820" s="11" t="s">
        <v>15851</v>
      </c>
    </row>
    <row r="15821">
      <c r="A15821" s="11" t="s">
        <v>15852</v>
      </c>
    </row>
    <row r="15822">
      <c r="A15822" s="11" t="s">
        <v>15853</v>
      </c>
    </row>
    <row r="15823">
      <c r="A15823" s="11" t="s">
        <v>15854</v>
      </c>
    </row>
    <row r="15824">
      <c r="A15824" s="11" t="s">
        <v>15855</v>
      </c>
    </row>
    <row r="15825">
      <c r="A15825" s="11" t="s">
        <v>15856</v>
      </c>
    </row>
    <row r="15826">
      <c r="A15826" s="11" t="s">
        <v>15857</v>
      </c>
    </row>
    <row r="15827">
      <c r="A15827" s="11" t="s">
        <v>15858</v>
      </c>
    </row>
    <row r="15828">
      <c r="A15828" s="11" t="s">
        <v>15859</v>
      </c>
    </row>
    <row r="15829">
      <c r="A15829" s="11" t="s">
        <v>15860</v>
      </c>
    </row>
    <row r="15830">
      <c r="A15830" s="11" t="s">
        <v>15861</v>
      </c>
    </row>
    <row r="15831">
      <c r="A15831" s="11" t="s">
        <v>15862</v>
      </c>
    </row>
    <row r="15832">
      <c r="A15832" s="11" t="s">
        <v>15863</v>
      </c>
    </row>
    <row r="15833">
      <c r="A15833" s="11" t="s">
        <v>15864</v>
      </c>
    </row>
    <row r="15834">
      <c r="A15834" s="11" t="s">
        <v>15865</v>
      </c>
    </row>
    <row r="15835">
      <c r="A15835" s="11" t="s">
        <v>15866</v>
      </c>
    </row>
    <row r="15836">
      <c r="A15836" s="11" t="s">
        <v>15867</v>
      </c>
    </row>
    <row r="15837">
      <c r="A15837" s="11" t="s">
        <v>15868</v>
      </c>
    </row>
    <row r="15838">
      <c r="A15838" s="11" t="s">
        <v>15869</v>
      </c>
    </row>
    <row r="15839">
      <c r="A15839" s="11" t="s">
        <v>15870</v>
      </c>
    </row>
    <row r="15840">
      <c r="A15840" s="11" t="s">
        <v>15871</v>
      </c>
    </row>
    <row r="15841">
      <c r="A15841" s="11" t="s">
        <v>15872</v>
      </c>
    </row>
    <row r="15842">
      <c r="A15842" s="11" t="s">
        <v>15873</v>
      </c>
    </row>
    <row r="15843">
      <c r="A15843" s="11" t="s">
        <v>15874</v>
      </c>
    </row>
    <row r="15844">
      <c r="A15844" s="11" t="s">
        <v>15875</v>
      </c>
    </row>
    <row r="15845">
      <c r="A15845" s="11" t="s">
        <v>15876</v>
      </c>
    </row>
    <row r="15846">
      <c r="A15846" s="11" t="s">
        <v>15877</v>
      </c>
    </row>
    <row r="15847">
      <c r="A15847" s="11" t="s">
        <v>15878</v>
      </c>
    </row>
    <row r="15848">
      <c r="A15848" s="11" t="s">
        <v>15879</v>
      </c>
    </row>
    <row r="15849">
      <c r="A15849" s="11" t="s">
        <v>15880</v>
      </c>
    </row>
    <row r="15850">
      <c r="A15850" s="11" t="s">
        <v>15881</v>
      </c>
    </row>
    <row r="15851">
      <c r="A15851" s="11" t="s">
        <v>15882</v>
      </c>
    </row>
    <row r="15852">
      <c r="A15852" s="11" t="s">
        <v>15883</v>
      </c>
    </row>
    <row r="15853">
      <c r="A15853" s="11" t="s">
        <v>15884</v>
      </c>
    </row>
    <row r="15854">
      <c r="A15854" s="11" t="s">
        <v>15885</v>
      </c>
    </row>
    <row r="15855">
      <c r="A15855" s="11" t="s">
        <v>15886</v>
      </c>
    </row>
    <row r="15856">
      <c r="A15856" s="11" t="s">
        <v>15887</v>
      </c>
    </row>
    <row r="15857">
      <c r="A15857" s="11" t="s">
        <v>15888</v>
      </c>
    </row>
    <row r="15858">
      <c r="A15858" s="11" t="s">
        <v>15889</v>
      </c>
    </row>
    <row r="15859">
      <c r="A15859" s="11" t="s">
        <v>15890</v>
      </c>
    </row>
    <row r="15860">
      <c r="A15860" s="11" t="s">
        <v>15891</v>
      </c>
    </row>
    <row r="15861">
      <c r="A15861" s="11" t="s">
        <v>15892</v>
      </c>
    </row>
    <row r="15862">
      <c r="A15862" s="11" t="s">
        <v>15893</v>
      </c>
    </row>
    <row r="15863">
      <c r="A15863" s="11" t="s">
        <v>15894</v>
      </c>
    </row>
    <row r="15864">
      <c r="A15864" s="11" t="s">
        <v>15895</v>
      </c>
    </row>
    <row r="15865">
      <c r="A15865" s="11" t="s">
        <v>15896</v>
      </c>
    </row>
    <row r="15866">
      <c r="A15866" s="11" t="s">
        <v>15897</v>
      </c>
    </row>
    <row r="15867">
      <c r="A15867" s="11" t="s">
        <v>15898</v>
      </c>
    </row>
    <row r="15868">
      <c r="A15868" s="11" t="s">
        <v>15899</v>
      </c>
    </row>
    <row r="15869">
      <c r="A15869" s="11" t="s">
        <v>15900</v>
      </c>
    </row>
    <row r="15870">
      <c r="A15870" s="11" t="s">
        <v>15901</v>
      </c>
    </row>
    <row r="15871">
      <c r="A15871" s="11" t="s">
        <v>15902</v>
      </c>
    </row>
    <row r="15872">
      <c r="A15872" s="11" t="s">
        <v>15903</v>
      </c>
    </row>
    <row r="15873">
      <c r="A15873" s="11" t="s">
        <v>15904</v>
      </c>
    </row>
    <row r="15874">
      <c r="A15874" s="11" t="s">
        <v>15905</v>
      </c>
    </row>
    <row r="15875">
      <c r="A15875" s="11" t="s">
        <v>15906</v>
      </c>
    </row>
    <row r="15876">
      <c r="A15876" s="11" t="s">
        <v>15907</v>
      </c>
    </row>
    <row r="15877">
      <c r="A15877" s="11" t="s">
        <v>15908</v>
      </c>
    </row>
    <row r="15878">
      <c r="A15878" s="11" t="s">
        <v>15909</v>
      </c>
    </row>
    <row r="15879">
      <c r="A15879" s="11" t="s">
        <v>15910</v>
      </c>
    </row>
    <row r="15880">
      <c r="A15880" s="11" t="s">
        <v>15911</v>
      </c>
    </row>
    <row r="15881">
      <c r="A15881" s="11" t="s">
        <v>15912</v>
      </c>
    </row>
    <row r="15882">
      <c r="A15882" s="11" t="s">
        <v>15913</v>
      </c>
    </row>
    <row r="15883">
      <c r="A15883" s="11" t="s">
        <v>15914</v>
      </c>
    </row>
    <row r="15884">
      <c r="A15884" s="11" t="s">
        <v>15915</v>
      </c>
    </row>
    <row r="15885">
      <c r="A15885" s="11" t="s">
        <v>15916</v>
      </c>
    </row>
    <row r="15886">
      <c r="A15886" s="11" t="s">
        <v>15917</v>
      </c>
    </row>
    <row r="15887">
      <c r="A15887" s="11" t="s">
        <v>15918</v>
      </c>
    </row>
    <row r="15888">
      <c r="A15888" s="11" t="s">
        <v>15919</v>
      </c>
    </row>
    <row r="15889">
      <c r="A15889" s="11" t="s">
        <v>15920</v>
      </c>
    </row>
    <row r="15890">
      <c r="A15890" s="11" t="s">
        <v>15921</v>
      </c>
    </row>
    <row r="15891">
      <c r="A15891" s="11" t="s">
        <v>15922</v>
      </c>
    </row>
    <row r="15892">
      <c r="A15892" s="11" t="s">
        <v>15923</v>
      </c>
    </row>
    <row r="15893">
      <c r="A15893" s="11" t="s">
        <v>15924</v>
      </c>
    </row>
    <row r="15894">
      <c r="A15894" s="11" t="s">
        <v>15925</v>
      </c>
    </row>
    <row r="15895">
      <c r="A15895" s="11" t="s">
        <v>15926</v>
      </c>
    </row>
    <row r="15896">
      <c r="A15896" s="11" t="s">
        <v>15927</v>
      </c>
    </row>
    <row r="15897">
      <c r="A15897" s="11" t="s">
        <v>15928</v>
      </c>
    </row>
    <row r="15898">
      <c r="A15898" s="11" t="s">
        <v>15929</v>
      </c>
    </row>
    <row r="15899">
      <c r="A15899" s="11" t="s">
        <v>15930</v>
      </c>
    </row>
    <row r="15900">
      <c r="A15900" s="11" t="s">
        <v>15931</v>
      </c>
    </row>
    <row r="15901">
      <c r="A15901" s="11" t="s">
        <v>15932</v>
      </c>
    </row>
    <row r="15902">
      <c r="A15902" s="11" t="s">
        <v>15933</v>
      </c>
    </row>
    <row r="15903">
      <c r="A15903" s="11" t="s">
        <v>15934</v>
      </c>
    </row>
    <row r="15904">
      <c r="A15904" s="11" t="s">
        <v>15935</v>
      </c>
    </row>
    <row r="15905">
      <c r="A15905" s="11" t="s">
        <v>15936</v>
      </c>
    </row>
    <row r="15906">
      <c r="A15906" s="11" t="s">
        <v>15937</v>
      </c>
    </row>
    <row r="15907">
      <c r="A15907" s="11" t="s">
        <v>15938</v>
      </c>
    </row>
    <row r="15908">
      <c r="A15908" s="11" t="s">
        <v>15939</v>
      </c>
    </row>
    <row r="15909">
      <c r="A15909" s="11" t="s">
        <v>15940</v>
      </c>
    </row>
    <row r="15910">
      <c r="A15910" s="11" t="s">
        <v>15941</v>
      </c>
    </row>
    <row r="15911">
      <c r="A15911" s="11" t="s">
        <v>15942</v>
      </c>
    </row>
    <row r="15912">
      <c r="A15912" s="11" t="s">
        <v>15943</v>
      </c>
    </row>
    <row r="15913">
      <c r="A15913" s="11" t="s">
        <v>15944</v>
      </c>
    </row>
    <row r="15914">
      <c r="A15914" s="11" t="s">
        <v>15945</v>
      </c>
    </row>
    <row r="15915">
      <c r="A15915" s="11" t="s">
        <v>15946</v>
      </c>
    </row>
    <row r="15916">
      <c r="A15916" s="11" t="s">
        <v>15947</v>
      </c>
    </row>
    <row r="15917">
      <c r="A15917" s="11" t="s">
        <v>15948</v>
      </c>
    </row>
    <row r="15918">
      <c r="A15918" s="11" t="s">
        <v>15949</v>
      </c>
    </row>
    <row r="15919">
      <c r="A15919" s="11" t="s">
        <v>15950</v>
      </c>
    </row>
    <row r="15920">
      <c r="A15920" s="11" t="s">
        <v>15951</v>
      </c>
    </row>
    <row r="15921">
      <c r="A15921" s="11" t="s">
        <v>15952</v>
      </c>
    </row>
    <row r="15922">
      <c r="A15922" s="11" t="s">
        <v>15953</v>
      </c>
    </row>
    <row r="15923">
      <c r="A15923" s="11" t="s">
        <v>15954</v>
      </c>
    </row>
    <row r="15924">
      <c r="A15924" s="11" t="s">
        <v>15955</v>
      </c>
    </row>
    <row r="15925">
      <c r="A15925" s="11" t="s">
        <v>15956</v>
      </c>
    </row>
    <row r="15926">
      <c r="A15926" s="11" t="s">
        <v>15957</v>
      </c>
    </row>
    <row r="15927">
      <c r="A15927" s="11" t="s">
        <v>15958</v>
      </c>
    </row>
    <row r="15928">
      <c r="A15928" s="11" t="s">
        <v>15959</v>
      </c>
    </row>
    <row r="15929">
      <c r="A15929" s="11" t="s">
        <v>15960</v>
      </c>
    </row>
    <row r="15930">
      <c r="A15930" s="11" t="s">
        <v>15961</v>
      </c>
    </row>
    <row r="15931">
      <c r="A15931" s="11" t="s">
        <v>15962</v>
      </c>
    </row>
    <row r="15932">
      <c r="A15932" s="11" t="s">
        <v>15963</v>
      </c>
    </row>
    <row r="15933">
      <c r="A15933" s="11" t="s">
        <v>15964</v>
      </c>
    </row>
    <row r="15934">
      <c r="A15934" s="11" t="s">
        <v>15965</v>
      </c>
    </row>
    <row r="15935">
      <c r="A15935" s="11" t="s">
        <v>15966</v>
      </c>
    </row>
    <row r="15936">
      <c r="A15936" s="11" t="s">
        <v>15967</v>
      </c>
    </row>
    <row r="15937">
      <c r="A15937" s="11" t="s">
        <v>15968</v>
      </c>
    </row>
    <row r="15938">
      <c r="A15938" s="11" t="s">
        <v>15969</v>
      </c>
    </row>
    <row r="15939">
      <c r="A15939" s="11" t="s">
        <v>15970</v>
      </c>
    </row>
    <row r="15940">
      <c r="A15940" s="11" t="s">
        <v>15971</v>
      </c>
    </row>
    <row r="15941">
      <c r="A15941" s="11" t="s">
        <v>15972</v>
      </c>
    </row>
    <row r="15942">
      <c r="A15942" s="11" t="s">
        <v>15973</v>
      </c>
    </row>
    <row r="15943">
      <c r="A15943" s="11" t="s">
        <v>15974</v>
      </c>
    </row>
    <row r="15944">
      <c r="A15944" s="11" t="s">
        <v>15975</v>
      </c>
    </row>
    <row r="15945">
      <c r="A15945" s="11" t="s">
        <v>15976</v>
      </c>
    </row>
    <row r="15946">
      <c r="A15946" s="11" t="s">
        <v>15977</v>
      </c>
    </row>
    <row r="15947">
      <c r="A15947" s="11" t="s">
        <v>15978</v>
      </c>
    </row>
    <row r="15948">
      <c r="A15948" s="11" t="s">
        <v>15979</v>
      </c>
    </row>
    <row r="15949">
      <c r="A15949" s="11" t="s">
        <v>15980</v>
      </c>
    </row>
    <row r="15950">
      <c r="A15950" s="11" t="s">
        <v>15981</v>
      </c>
    </row>
    <row r="15951">
      <c r="A15951" s="11" t="s">
        <v>15982</v>
      </c>
    </row>
    <row r="15952">
      <c r="A15952" s="11" t="s">
        <v>15983</v>
      </c>
    </row>
    <row r="15953">
      <c r="A15953" s="11" t="s">
        <v>15984</v>
      </c>
    </row>
    <row r="15954">
      <c r="A15954" s="11" t="s">
        <v>15985</v>
      </c>
    </row>
    <row r="15955">
      <c r="A15955" s="11" t="s">
        <v>15986</v>
      </c>
    </row>
    <row r="15956">
      <c r="A15956" s="11" t="s">
        <v>15987</v>
      </c>
    </row>
    <row r="15957">
      <c r="A15957" s="11" t="s">
        <v>15988</v>
      </c>
    </row>
    <row r="15958">
      <c r="A15958" s="11" t="s">
        <v>15989</v>
      </c>
    </row>
    <row r="15959">
      <c r="A15959" s="11" t="s">
        <v>15990</v>
      </c>
    </row>
    <row r="15960">
      <c r="A15960" s="11" t="s">
        <v>15991</v>
      </c>
    </row>
    <row r="15961">
      <c r="A15961" s="11" t="s">
        <v>15992</v>
      </c>
    </row>
    <row r="15962">
      <c r="A15962" s="11" t="s">
        <v>15993</v>
      </c>
    </row>
    <row r="15963">
      <c r="A15963" s="11" t="s">
        <v>15994</v>
      </c>
    </row>
    <row r="15964">
      <c r="A15964" s="11" t="s">
        <v>15995</v>
      </c>
    </row>
    <row r="15965">
      <c r="A15965" s="11" t="s">
        <v>15996</v>
      </c>
    </row>
    <row r="15966">
      <c r="A15966" s="11" t="s">
        <v>15997</v>
      </c>
    </row>
    <row r="15967">
      <c r="A15967" s="11" t="s">
        <v>15998</v>
      </c>
    </row>
    <row r="15968">
      <c r="A15968" s="11" t="s">
        <v>15999</v>
      </c>
    </row>
    <row r="15969">
      <c r="A15969" s="11" t="s">
        <v>16000</v>
      </c>
    </row>
    <row r="15970">
      <c r="A15970" s="11" t="s">
        <v>16001</v>
      </c>
    </row>
    <row r="15971">
      <c r="A15971" s="11" t="s">
        <v>16002</v>
      </c>
    </row>
    <row r="15972">
      <c r="A15972" s="11" t="s">
        <v>16003</v>
      </c>
    </row>
    <row r="15973">
      <c r="A15973" s="11" t="s">
        <v>16004</v>
      </c>
    </row>
    <row r="15974">
      <c r="A15974" s="11" t="s">
        <v>16005</v>
      </c>
    </row>
    <row r="15975">
      <c r="A15975" s="11" t="s">
        <v>16006</v>
      </c>
    </row>
    <row r="15976">
      <c r="A15976" s="11" t="s">
        <v>16007</v>
      </c>
    </row>
    <row r="15977">
      <c r="A15977" s="11" t="s">
        <v>16008</v>
      </c>
    </row>
    <row r="15978">
      <c r="A15978" s="11" t="s">
        <v>16009</v>
      </c>
    </row>
    <row r="15979">
      <c r="A15979" s="11" t="s">
        <v>16010</v>
      </c>
    </row>
    <row r="15980">
      <c r="A15980" s="11" t="s">
        <v>16011</v>
      </c>
    </row>
    <row r="15981">
      <c r="A15981" s="11" t="s">
        <v>16012</v>
      </c>
    </row>
    <row r="15982">
      <c r="A15982" s="11" t="s">
        <v>16013</v>
      </c>
    </row>
    <row r="15983">
      <c r="A15983" s="11" t="s">
        <v>16014</v>
      </c>
    </row>
    <row r="15984">
      <c r="A15984" s="11" t="s">
        <v>16015</v>
      </c>
    </row>
    <row r="15985">
      <c r="A15985" s="11" t="s">
        <v>16016</v>
      </c>
    </row>
    <row r="15986">
      <c r="A15986" s="11" t="s">
        <v>16017</v>
      </c>
    </row>
    <row r="15987">
      <c r="A15987" s="11" t="s">
        <v>16018</v>
      </c>
    </row>
    <row r="15988">
      <c r="A15988" s="11" t="s">
        <v>16019</v>
      </c>
    </row>
    <row r="15989">
      <c r="A15989" s="11" t="s">
        <v>16020</v>
      </c>
    </row>
    <row r="15990">
      <c r="A15990" s="11" t="s">
        <v>16021</v>
      </c>
    </row>
    <row r="15991">
      <c r="A15991" s="11" t="s">
        <v>16022</v>
      </c>
    </row>
    <row r="15992">
      <c r="A15992" s="11" t="s">
        <v>16023</v>
      </c>
    </row>
    <row r="15993">
      <c r="A15993" s="11" t="s">
        <v>16024</v>
      </c>
    </row>
    <row r="15994">
      <c r="A15994" s="11" t="s">
        <v>16025</v>
      </c>
    </row>
    <row r="15995">
      <c r="A15995" s="11" t="s">
        <v>16026</v>
      </c>
    </row>
    <row r="15996">
      <c r="A15996" s="11" t="s">
        <v>16027</v>
      </c>
    </row>
    <row r="15997">
      <c r="A15997" s="11" t="s">
        <v>16028</v>
      </c>
    </row>
    <row r="15998">
      <c r="A15998" s="11" t="s">
        <v>16029</v>
      </c>
    </row>
    <row r="15999">
      <c r="A15999" s="11" t="s">
        <v>16030</v>
      </c>
    </row>
    <row r="16000">
      <c r="A16000" s="11" t="s">
        <v>16031</v>
      </c>
    </row>
    <row r="16001">
      <c r="A16001" s="11" t="s">
        <v>16032</v>
      </c>
    </row>
    <row r="16002">
      <c r="A16002" s="11" t="s">
        <v>16033</v>
      </c>
    </row>
    <row r="16003">
      <c r="A16003" s="11" t="s">
        <v>16034</v>
      </c>
    </row>
    <row r="16004">
      <c r="A16004" s="11" t="s">
        <v>16035</v>
      </c>
    </row>
    <row r="16005">
      <c r="A16005" s="11" t="s">
        <v>16036</v>
      </c>
    </row>
    <row r="16006">
      <c r="A16006" s="11" t="s">
        <v>16037</v>
      </c>
    </row>
    <row r="16007">
      <c r="A16007" s="11" t="s">
        <v>16038</v>
      </c>
    </row>
    <row r="16008">
      <c r="A16008" s="11" t="s">
        <v>16039</v>
      </c>
    </row>
    <row r="16009">
      <c r="A16009" s="11" t="s">
        <v>16040</v>
      </c>
    </row>
    <row r="16010">
      <c r="A16010" s="11" t="s">
        <v>16041</v>
      </c>
    </row>
    <row r="16011">
      <c r="A16011" s="11" t="s">
        <v>16042</v>
      </c>
    </row>
    <row r="16012">
      <c r="A16012" s="11" t="s">
        <v>16043</v>
      </c>
    </row>
    <row r="16013">
      <c r="A16013" s="11" t="s">
        <v>16044</v>
      </c>
    </row>
    <row r="16014">
      <c r="A16014" s="11" t="s">
        <v>16045</v>
      </c>
    </row>
    <row r="16015">
      <c r="A16015" s="11" t="s">
        <v>16046</v>
      </c>
    </row>
    <row r="16016">
      <c r="A16016" s="11" t="s">
        <v>16047</v>
      </c>
    </row>
    <row r="16017">
      <c r="A16017" s="11" t="s">
        <v>16048</v>
      </c>
    </row>
    <row r="16018">
      <c r="A16018" s="11" t="s">
        <v>16049</v>
      </c>
    </row>
    <row r="16019">
      <c r="A16019" s="11" t="s">
        <v>16050</v>
      </c>
    </row>
    <row r="16020">
      <c r="A16020" s="11" t="s">
        <v>16051</v>
      </c>
    </row>
    <row r="16021">
      <c r="A16021" s="11" t="s">
        <v>16052</v>
      </c>
    </row>
    <row r="16022">
      <c r="A16022" s="11" t="s">
        <v>16053</v>
      </c>
    </row>
    <row r="16023">
      <c r="A16023" s="11" t="s">
        <v>16054</v>
      </c>
    </row>
    <row r="16024">
      <c r="A16024" s="11" t="s">
        <v>16055</v>
      </c>
    </row>
    <row r="16025">
      <c r="A16025" s="11" t="s">
        <v>16056</v>
      </c>
    </row>
    <row r="16026">
      <c r="A16026" s="11" t="s">
        <v>16057</v>
      </c>
    </row>
    <row r="16027">
      <c r="A16027" s="11" t="s">
        <v>16058</v>
      </c>
    </row>
    <row r="16028">
      <c r="A16028" s="11" t="s">
        <v>16059</v>
      </c>
    </row>
    <row r="16029">
      <c r="A16029" s="11" t="s">
        <v>16060</v>
      </c>
    </row>
    <row r="16030">
      <c r="A16030" s="11" t="s">
        <v>16061</v>
      </c>
    </row>
    <row r="16031">
      <c r="A16031" s="11" t="s">
        <v>16062</v>
      </c>
    </row>
    <row r="16032">
      <c r="A16032" s="11" t="s">
        <v>16063</v>
      </c>
    </row>
    <row r="16033">
      <c r="A16033" s="11" t="s">
        <v>16064</v>
      </c>
    </row>
    <row r="16034">
      <c r="A16034" s="11" t="s">
        <v>16065</v>
      </c>
    </row>
    <row r="16035">
      <c r="A16035" s="11" t="s">
        <v>16066</v>
      </c>
    </row>
    <row r="16036">
      <c r="A16036" s="11" t="s">
        <v>16067</v>
      </c>
    </row>
    <row r="16037">
      <c r="A16037" s="11" t="s">
        <v>16068</v>
      </c>
    </row>
    <row r="16038">
      <c r="A16038" s="11" t="s">
        <v>16069</v>
      </c>
    </row>
    <row r="16039">
      <c r="A16039" s="11" t="s">
        <v>16070</v>
      </c>
    </row>
    <row r="16040">
      <c r="A16040" s="11" t="s">
        <v>16071</v>
      </c>
    </row>
    <row r="16041">
      <c r="A16041" s="11" t="s">
        <v>16072</v>
      </c>
    </row>
    <row r="16042">
      <c r="A16042" s="11" t="s">
        <v>16073</v>
      </c>
    </row>
    <row r="16043">
      <c r="A16043" s="11" t="s">
        <v>16074</v>
      </c>
    </row>
    <row r="16044">
      <c r="A16044" s="11" t="s">
        <v>16075</v>
      </c>
    </row>
    <row r="16045">
      <c r="A16045" s="11" t="s">
        <v>16076</v>
      </c>
    </row>
    <row r="16046">
      <c r="A16046" s="11" t="s">
        <v>16077</v>
      </c>
    </row>
    <row r="16047">
      <c r="A16047" s="11" t="s">
        <v>16078</v>
      </c>
    </row>
    <row r="16048">
      <c r="A16048" s="11" t="s">
        <v>16079</v>
      </c>
    </row>
    <row r="16049">
      <c r="A16049" s="11" t="s">
        <v>16080</v>
      </c>
    </row>
    <row r="16050">
      <c r="A16050" s="11" t="s">
        <v>16081</v>
      </c>
    </row>
    <row r="16051">
      <c r="A16051" s="11" t="s">
        <v>16082</v>
      </c>
    </row>
    <row r="16052">
      <c r="A16052" s="11" t="s">
        <v>16083</v>
      </c>
    </row>
    <row r="16053">
      <c r="A16053" s="11" t="s">
        <v>16084</v>
      </c>
    </row>
    <row r="16054">
      <c r="A16054" s="11" t="s">
        <v>16085</v>
      </c>
    </row>
    <row r="16055">
      <c r="A16055" s="11" t="s">
        <v>16086</v>
      </c>
    </row>
    <row r="16056">
      <c r="A16056" s="11" t="s">
        <v>16087</v>
      </c>
    </row>
    <row r="16057">
      <c r="A16057" s="11" t="s">
        <v>16088</v>
      </c>
    </row>
    <row r="16058">
      <c r="A16058" s="11" t="s">
        <v>16089</v>
      </c>
    </row>
    <row r="16059">
      <c r="A16059" s="11" t="s">
        <v>16090</v>
      </c>
    </row>
    <row r="16060">
      <c r="A16060" s="11" t="s">
        <v>16091</v>
      </c>
    </row>
    <row r="16061">
      <c r="A16061" s="11" t="s">
        <v>16092</v>
      </c>
    </row>
    <row r="16062">
      <c r="A16062" s="11" t="s">
        <v>16093</v>
      </c>
    </row>
    <row r="16063">
      <c r="A16063" s="11" t="s">
        <v>16094</v>
      </c>
    </row>
    <row r="16064">
      <c r="A16064" s="11" t="s">
        <v>16095</v>
      </c>
    </row>
    <row r="16065">
      <c r="A16065" s="11" t="s">
        <v>16096</v>
      </c>
    </row>
    <row r="16066">
      <c r="A16066" s="11" t="s">
        <v>16097</v>
      </c>
    </row>
    <row r="16067">
      <c r="A16067" s="11" t="s">
        <v>16098</v>
      </c>
    </row>
    <row r="16068">
      <c r="A16068" s="11" t="s">
        <v>16099</v>
      </c>
    </row>
    <row r="16069">
      <c r="A16069" s="11" t="s">
        <v>16100</v>
      </c>
    </row>
    <row r="16070">
      <c r="A16070" s="11" t="s">
        <v>16101</v>
      </c>
    </row>
    <row r="16071">
      <c r="A16071" s="11" t="s">
        <v>16102</v>
      </c>
    </row>
    <row r="16072">
      <c r="A16072" s="11" t="s">
        <v>16103</v>
      </c>
    </row>
    <row r="16073">
      <c r="A16073" s="11" t="s">
        <v>16104</v>
      </c>
    </row>
    <row r="16074">
      <c r="A16074" s="11" t="s">
        <v>16105</v>
      </c>
    </row>
    <row r="16075">
      <c r="A16075" s="11" t="s">
        <v>16106</v>
      </c>
    </row>
    <row r="16076">
      <c r="A16076" s="11" t="s">
        <v>16107</v>
      </c>
    </row>
    <row r="16077">
      <c r="A16077" s="11" t="s">
        <v>16108</v>
      </c>
    </row>
    <row r="16078">
      <c r="A16078" s="11" t="s">
        <v>16109</v>
      </c>
    </row>
    <row r="16079">
      <c r="A16079" s="11" t="s">
        <v>16110</v>
      </c>
    </row>
    <row r="16080">
      <c r="A16080" s="11" t="s">
        <v>16111</v>
      </c>
    </row>
    <row r="16081">
      <c r="A16081" s="11" t="s">
        <v>16112</v>
      </c>
    </row>
    <row r="16082">
      <c r="A16082" s="11" t="s">
        <v>16113</v>
      </c>
    </row>
    <row r="16083">
      <c r="A16083" s="11" t="s">
        <v>16114</v>
      </c>
    </row>
    <row r="16084">
      <c r="A16084" s="11" t="s">
        <v>16115</v>
      </c>
    </row>
    <row r="16085">
      <c r="A16085" s="11" t="s">
        <v>16116</v>
      </c>
    </row>
    <row r="16086">
      <c r="A16086" s="11" t="s">
        <v>16117</v>
      </c>
    </row>
    <row r="16087">
      <c r="A16087" s="11" t="s">
        <v>16118</v>
      </c>
    </row>
    <row r="16088">
      <c r="A16088" s="11" t="s">
        <v>16119</v>
      </c>
    </row>
    <row r="16089">
      <c r="A16089" s="11" t="s">
        <v>16120</v>
      </c>
    </row>
    <row r="16090">
      <c r="A16090" s="11" t="s">
        <v>16121</v>
      </c>
    </row>
    <row r="16091">
      <c r="A16091" s="11" t="s">
        <v>16122</v>
      </c>
    </row>
    <row r="16092">
      <c r="A16092" s="11" t="s">
        <v>16123</v>
      </c>
    </row>
    <row r="16093">
      <c r="A16093" s="11" t="s">
        <v>16124</v>
      </c>
    </row>
    <row r="16094">
      <c r="A16094" s="11" t="s">
        <v>16125</v>
      </c>
    </row>
    <row r="16095">
      <c r="A16095" s="11" t="s">
        <v>16126</v>
      </c>
    </row>
    <row r="16096">
      <c r="A16096" s="11" t="s">
        <v>16127</v>
      </c>
    </row>
    <row r="16097">
      <c r="A16097" s="11" t="s">
        <v>16128</v>
      </c>
    </row>
    <row r="16098">
      <c r="A16098" s="11" t="s">
        <v>16129</v>
      </c>
    </row>
    <row r="16099">
      <c r="A16099" s="11" t="s">
        <v>16130</v>
      </c>
    </row>
    <row r="16100">
      <c r="A16100" s="11" t="s">
        <v>16131</v>
      </c>
    </row>
    <row r="16101">
      <c r="A16101" s="11" t="s">
        <v>16132</v>
      </c>
    </row>
    <row r="16102">
      <c r="A16102" s="11" t="s">
        <v>16133</v>
      </c>
    </row>
    <row r="16103">
      <c r="A16103" s="11" t="s">
        <v>16134</v>
      </c>
    </row>
    <row r="16104">
      <c r="A16104" s="11" t="s">
        <v>16135</v>
      </c>
    </row>
    <row r="16105">
      <c r="A16105" s="11" t="s">
        <v>16136</v>
      </c>
    </row>
    <row r="16106">
      <c r="A16106" s="11" t="s">
        <v>16137</v>
      </c>
    </row>
    <row r="16107">
      <c r="A16107" s="11" t="s">
        <v>16138</v>
      </c>
    </row>
    <row r="16108">
      <c r="A16108" s="11" t="s">
        <v>16139</v>
      </c>
    </row>
    <row r="16109">
      <c r="A16109" s="11" t="s">
        <v>16140</v>
      </c>
    </row>
    <row r="16110">
      <c r="A16110" s="11" t="s">
        <v>16141</v>
      </c>
    </row>
    <row r="16111">
      <c r="A16111" s="11" t="s">
        <v>16142</v>
      </c>
    </row>
    <row r="16112">
      <c r="A16112" s="11" t="s">
        <v>16143</v>
      </c>
    </row>
    <row r="16113">
      <c r="A16113" s="11" t="s">
        <v>16144</v>
      </c>
    </row>
    <row r="16114">
      <c r="A16114" s="11" t="s">
        <v>16145</v>
      </c>
    </row>
    <row r="16115">
      <c r="A16115" s="11" t="s">
        <v>16146</v>
      </c>
    </row>
    <row r="16116">
      <c r="A16116" s="11" t="s">
        <v>16147</v>
      </c>
    </row>
    <row r="16117">
      <c r="A16117" s="11" t="s">
        <v>16148</v>
      </c>
    </row>
    <row r="16118">
      <c r="A16118" s="11" t="s">
        <v>16149</v>
      </c>
    </row>
    <row r="16119">
      <c r="A16119" s="11" t="s">
        <v>16150</v>
      </c>
    </row>
    <row r="16120">
      <c r="A16120" s="11" t="s">
        <v>16151</v>
      </c>
    </row>
    <row r="16121">
      <c r="A16121" s="11" t="s">
        <v>16152</v>
      </c>
    </row>
    <row r="16122">
      <c r="A16122" s="11" t="s">
        <v>16153</v>
      </c>
    </row>
    <row r="16123">
      <c r="A16123" s="11" t="s">
        <v>16154</v>
      </c>
    </row>
    <row r="16124">
      <c r="A16124" s="11" t="s">
        <v>16155</v>
      </c>
    </row>
    <row r="16125">
      <c r="A16125" s="11" t="s">
        <v>16156</v>
      </c>
    </row>
    <row r="16126">
      <c r="A16126" s="11" t="s">
        <v>16157</v>
      </c>
    </row>
    <row r="16127">
      <c r="A16127" s="11" t="s">
        <v>16158</v>
      </c>
    </row>
    <row r="16128">
      <c r="A16128" s="11" t="s">
        <v>16159</v>
      </c>
    </row>
    <row r="16129">
      <c r="A16129" s="11" t="s">
        <v>16160</v>
      </c>
    </row>
    <row r="16130">
      <c r="A16130" s="11" t="s">
        <v>16161</v>
      </c>
    </row>
    <row r="16131">
      <c r="A16131" s="11" t="s">
        <v>16162</v>
      </c>
    </row>
    <row r="16132">
      <c r="A16132" s="11" t="s">
        <v>16163</v>
      </c>
    </row>
    <row r="16133">
      <c r="A16133" s="11" t="s">
        <v>16164</v>
      </c>
    </row>
    <row r="16134">
      <c r="A16134" s="11" t="s">
        <v>16165</v>
      </c>
    </row>
    <row r="16135">
      <c r="A16135" s="11" t="s">
        <v>16166</v>
      </c>
    </row>
    <row r="16136">
      <c r="A16136" s="11" t="s">
        <v>16167</v>
      </c>
    </row>
    <row r="16137">
      <c r="A16137" s="11" t="s">
        <v>16168</v>
      </c>
    </row>
    <row r="16138">
      <c r="A16138" s="11" t="s">
        <v>16169</v>
      </c>
    </row>
    <row r="16139">
      <c r="A16139" s="11" t="s">
        <v>16170</v>
      </c>
    </row>
    <row r="16140">
      <c r="A16140" s="11" t="s">
        <v>16171</v>
      </c>
    </row>
    <row r="16141">
      <c r="A16141" s="11" t="s">
        <v>16172</v>
      </c>
    </row>
    <row r="16142">
      <c r="A16142" s="11" t="s">
        <v>16173</v>
      </c>
    </row>
    <row r="16143">
      <c r="A16143" s="11" t="s">
        <v>16174</v>
      </c>
    </row>
    <row r="16144">
      <c r="A16144" s="11" t="s">
        <v>16175</v>
      </c>
    </row>
    <row r="16145">
      <c r="A16145" s="11" t="s">
        <v>16176</v>
      </c>
    </row>
    <row r="16146">
      <c r="A16146" s="11" t="s">
        <v>16177</v>
      </c>
    </row>
    <row r="16147">
      <c r="A16147" s="11" t="s">
        <v>16178</v>
      </c>
    </row>
    <row r="16148">
      <c r="A16148" s="11" t="s">
        <v>16179</v>
      </c>
    </row>
    <row r="16149">
      <c r="A16149" s="11" t="s">
        <v>16180</v>
      </c>
    </row>
    <row r="16150">
      <c r="A16150" s="11" t="s">
        <v>16181</v>
      </c>
    </row>
    <row r="16151">
      <c r="A16151" s="11" t="s">
        <v>16182</v>
      </c>
    </row>
    <row r="16152">
      <c r="A16152" s="11" t="s">
        <v>16183</v>
      </c>
    </row>
    <row r="16153">
      <c r="A16153" s="11" t="s">
        <v>16184</v>
      </c>
    </row>
    <row r="16154">
      <c r="A16154" s="11" t="s">
        <v>16185</v>
      </c>
    </row>
    <row r="16155">
      <c r="A16155" s="11" t="s">
        <v>16186</v>
      </c>
    </row>
    <row r="16156">
      <c r="A16156" s="11" t="s">
        <v>16187</v>
      </c>
    </row>
    <row r="16157">
      <c r="A16157" s="11" t="s">
        <v>16188</v>
      </c>
    </row>
    <row r="16158">
      <c r="A16158" s="11" t="s">
        <v>16189</v>
      </c>
    </row>
    <row r="16159">
      <c r="A16159" s="11" t="s">
        <v>16190</v>
      </c>
    </row>
    <row r="16160">
      <c r="A16160" s="11" t="s">
        <v>16191</v>
      </c>
    </row>
    <row r="16161">
      <c r="A16161" s="11" t="s">
        <v>16192</v>
      </c>
    </row>
    <row r="16162">
      <c r="A16162" s="11" t="s">
        <v>16193</v>
      </c>
    </row>
    <row r="16163">
      <c r="A16163" s="11" t="s">
        <v>16194</v>
      </c>
    </row>
    <row r="16164">
      <c r="A16164" s="11" t="s">
        <v>16195</v>
      </c>
    </row>
    <row r="16165">
      <c r="A16165" s="11" t="s">
        <v>16196</v>
      </c>
    </row>
    <row r="16166">
      <c r="A16166" s="11" t="s">
        <v>16197</v>
      </c>
    </row>
    <row r="16167">
      <c r="A16167" s="11" t="s">
        <v>16198</v>
      </c>
    </row>
    <row r="16168">
      <c r="A16168" s="11" t="s">
        <v>16199</v>
      </c>
    </row>
    <row r="16169">
      <c r="A16169" s="11" t="s">
        <v>16200</v>
      </c>
    </row>
    <row r="16170">
      <c r="A16170" s="11" t="s">
        <v>16201</v>
      </c>
    </row>
    <row r="16171">
      <c r="A16171" s="11" t="s">
        <v>16202</v>
      </c>
    </row>
    <row r="16172">
      <c r="A16172" s="11" t="s">
        <v>16203</v>
      </c>
    </row>
    <row r="16173">
      <c r="A16173" s="11" t="s">
        <v>16204</v>
      </c>
    </row>
    <row r="16174">
      <c r="A16174" s="11" t="s">
        <v>16205</v>
      </c>
    </row>
    <row r="16175">
      <c r="A16175" s="11" t="s">
        <v>16206</v>
      </c>
    </row>
    <row r="16176">
      <c r="A16176" s="11" t="s">
        <v>16207</v>
      </c>
    </row>
    <row r="16177">
      <c r="A16177" s="11" t="s">
        <v>16208</v>
      </c>
    </row>
    <row r="16178">
      <c r="A16178" s="11" t="s">
        <v>16209</v>
      </c>
    </row>
    <row r="16179">
      <c r="A16179" s="11" t="s">
        <v>16210</v>
      </c>
    </row>
    <row r="16180">
      <c r="A16180" s="11" t="s">
        <v>16211</v>
      </c>
    </row>
    <row r="16181">
      <c r="A16181" s="11" t="s">
        <v>16212</v>
      </c>
    </row>
    <row r="16182">
      <c r="A16182" s="11" t="s">
        <v>16213</v>
      </c>
    </row>
    <row r="16183">
      <c r="A16183" s="11" t="s">
        <v>16214</v>
      </c>
    </row>
    <row r="16184">
      <c r="A16184" s="11" t="s">
        <v>16215</v>
      </c>
    </row>
    <row r="16185">
      <c r="A16185" s="11" t="s">
        <v>16216</v>
      </c>
    </row>
    <row r="16186">
      <c r="A16186" s="11" t="s">
        <v>16217</v>
      </c>
    </row>
    <row r="16187">
      <c r="A16187" s="11" t="s">
        <v>16218</v>
      </c>
    </row>
    <row r="16188">
      <c r="A16188" s="11" t="s">
        <v>16219</v>
      </c>
    </row>
    <row r="16189">
      <c r="A16189" s="11" t="s">
        <v>16220</v>
      </c>
    </row>
    <row r="16190">
      <c r="A16190" s="11" t="s">
        <v>16221</v>
      </c>
    </row>
    <row r="16191">
      <c r="A16191" s="11" t="s">
        <v>16222</v>
      </c>
    </row>
    <row r="16192">
      <c r="A16192" s="11" t="s">
        <v>16223</v>
      </c>
    </row>
    <row r="16193">
      <c r="A16193" s="11" t="s">
        <v>16224</v>
      </c>
    </row>
    <row r="16194">
      <c r="A16194" s="11" t="s">
        <v>16225</v>
      </c>
    </row>
    <row r="16195">
      <c r="A16195" s="11" t="s">
        <v>16226</v>
      </c>
    </row>
    <row r="16196">
      <c r="A16196" s="11" t="s">
        <v>16227</v>
      </c>
    </row>
    <row r="16197">
      <c r="A16197" s="11" t="s">
        <v>16228</v>
      </c>
    </row>
    <row r="16198">
      <c r="A16198" s="11" t="s">
        <v>16229</v>
      </c>
    </row>
    <row r="16199">
      <c r="A16199" s="11" t="s">
        <v>16230</v>
      </c>
    </row>
    <row r="16200">
      <c r="A16200" s="11" t="s">
        <v>16231</v>
      </c>
    </row>
    <row r="16201">
      <c r="A16201" s="11" t="s">
        <v>16232</v>
      </c>
    </row>
    <row r="16202">
      <c r="A16202" s="11" t="s">
        <v>16233</v>
      </c>
    </row>
    <row r="16203">
      <c r="A16203" s="11" t="s">
        <v>16234</v>
      </c>
    </row>
    <row r="16204">
      <c r="A16204" s="11" t="s">
        <v>16235</v>
      </c>
    </row>
    <row r="16205">
      <c r="A16205" s="11" t="s">
        <v>16236</v>
      </c>
    </row>
    <row r="16206">
      <c r="A16206" s="11" t="s">
        <v>16237</v>
      </c>
    </row>
    <row r="16207">
      <c r="A16207" s="11" t="s">
        <v>16238</v>
      </c>
    </row>
    <row r="16208">
      <c r="A16208" s="11" t="s">
        <v>16239</v>
      </c>
    </row>
    <row r="16209">
      <c r="A16209" s="11" t="s">
        <v>16240</v>
      </c>
    </row>
    <row r="16210">
      <c r="A16210" s="11" t="s">
        <v>16241</v>
      </c>
    </row>
    <row r="16211">
      <c r="A16211" s="11" t="s">
        <v>16242</v>
      </c>
    </row>
    <row r="16212">
      <c r="A16212" s="11" t="s">
        <v>16243</v>
      </c>
    </row>
    <row r="16213">
      <c r="A16213" s="11" t="s">
        <v>16244</v>
      </c>
    </row>
    <row r="16214">
      <c r="A16214" s="11" t="s">
        <v>16245</v>
      </c>
    </row>
    <row r="16215">
      <c r="A16215" s="11" t="s">
        <v>16246</v>
      </c>
    </row>
    <row r="16216">
      <c r="A16216" s="11" t="s">
        <v>16247</v>
      </c>
    </row>
    <row r="16217">
      <c r="A16217" s="11" t="s">
        <v>16248</v>
      </c>
    </row>
    <row r="16218">
      <c r="A16218" s="11" t="s">
        <v>16249</v>
      </c>
    </row>
    <row r="16219">
      <c r="A16219" s="11" t="s">
        <v>16250</v>
      </c>
    </row>
    <row r="16220">
      <c r="A16220" s="11" t="s">
        <v>16251</v>
      </c>
    </row>
    <row r="16221">
      <c r="A16221" s="11" t="s">
        <v>16252</v>
      </c>
    </row>
    <row r="16222">
      <c r="A16222" s="11" t="s">
        <v>16253</v>
      </c>
    </row>
    <row r="16223">
      <c r="A16223" s="11" t="s">
        <v>16254</v>
      </c>
    </row>
    <row r="16224">
      <c r="A16224" s="11" t="s">
        <v>16255</v>
      </c>
    </row>
    <row r="16225">
      <c r="A16225" s="11" t="s">
        <v>16256</v>
      </c>
    </row>
    <row r="16226">
      <c r="A16226" s="11" t="s">
        <v>16257</v>
      </c>
    </row>
    <row r="16227">
      <c r="A16227" s="11" t="s">
        <v>16258</v>
      </c>
    </row>
    <row r="16228">
      <c r="A16228" s="11" t="s">
        <v>16259</v>
      </c>
    </row>
    <row r="16229">
      <c r="A16229" s="11" t="s">
        <v>16260</v>
      </c>
    </row>
    <row r="16230">
      <c r="A16230" s="11" t="s">
        <v>16261</v>
      </c>
    </row>
    <row r="16231">
      <c r="A16231" s="11" t="s">
        <v>16262</v>
      </c>
    </row>
    <row r="16232">
      <c r="A16232" s="11" t="s">
        <v>16263</v>
      </c>
    </row>
    <row r="16233">
      <c r="A16233" s="11" t="s">
        <v>16264</v>
      </c>
    </row>
    <row r="16234">
      <c r="A16234" s="11" t="s">
        <v>16265</v>
      </c>
    </row>
    <row r="16235">
      <c r="A16235" s="11" t="s">
        <v>16266</v>
      </c>
    </row>
    <row r="16236">
      <c r="A16236" s="11" t="s">
        <v>16267</v>
      </c>
    </row>
    <row r="16237">
      <c r="A16237" s="11" t="s">
        <v>16268</v>
      </c>
    </row>
    <row r="16238">
      <c r="A16238" s="11" t="s">
        <v>16269</v>
      </c>
    </row>
    <row r="16239">
      <c r="A16239" s="11" t="s">
        <v>16270</v>
      </c>
    </row>
    <row r="16240">
      <c r="A16240" s="11" t="s">
        <v>16271</v>
      </c>
    </row>
    <row r="16241">
      <c r="A16241" s="11" t="s">
        <v>16272</v>
      </c>
    </row>
    <row r="16242">
      <c r="A16242" s="11" t="s">
        <v>16273</v>
      </c>
    </row>
    <row r="16243">
      <c r="A16243" s="11" t="s">
        <v>16274</v>
      </c>
    </row>
    <row r="16244">
      <c r="A16244" s="11" t="s">
        <v>16275</v>
      </c>
    </row>
    <row r="16245">
      <c r="A16245" s="11" t="s">
        <v>16276</v>
      </c>
    </row>
    <row r="16246">
      <c r="A16246" s="11" t="s">
        <v>16277</v>
      </c>
    </row>
    <row r="16247">
      <c r="A16247" s="11" t="s">
        <v>16278</v>
      </c>
    </row>
    <row r="16248">
      <c r="A16248" s="11" t="s">
        <v>16279</v>
      </c>
    </row>
    <row r="16249">
      <c r="A16249" s="11" t="s">
        <v>16280</v>
      </c>
    </row>
    <row r="16250">
      <c r="A16250" s="11" t="s">
        <v>16281</v>
      </c>
    </row>
    <row r="16251">
      <c r="A16251" s="11" t="s">
        <v>16282</v>
      </c>
    </row>
    <row r="16252">
      <c r="A16252" s="11" t="s">
        <v>16283</v>
      </c>
    </row>
    <row r="16253">
      <c r="A16253" s="11" t="s">
        <v>16284</v>
      </c>
    </row>
    <row r="16254">
      <c r="A16254" s="11" t="s">
        <v>16285</v>
      </c>
    </row>
    <row r="16255">
      <c r="A16255" s="11" t="s">
        <v>16286</v>
      </c>
    </row>
    <row r="16256">
      <c r="A16256" s="11" t="s">
        <v>16287</v>
      </c>
    </row>
    <row r="16257">
      <c r="A16257" s="11" t="s">
        <v>16288</v>
      </c>
    </row>
    <row r="16258">
      <c r="A16258" s="11" t="s">
        <v>16289</v>
      </c>
    </row>
    <row r="16259">
      <c r="A16259" s="11" t="s">
        <v>16290</v>
      </c>
    </row>
    <row r="16260">
      <c r="A16260" s="11" t="s">
        <v>16291</v>
      </c>
    </row>
    <row r="16261">
      <c r="A16261" s="11" t="s">
        <v>16292</v>
      </c>
    </row>
    <row r="16262">
      <c r="A16262" s="11" t="s">
        <v>16293</v>
      </c>
    </row>
    <row r="16263">
      <c r="A16263" s="11" t="s">
        <v>16294</v>
      </c>
    </row>
    <row r="16264">
      <c r="A16264" s="11" t="s">
        <v>16295</v>
      </c>
    </row>
    <row r="16265">
      <c r="A16265" s="11" t="s">
        <v>16296</v>
      </c>
    </row>
    <row r="16266">
      <c r="A16266" s="11" t="s">
        <v>16297</v>
      </c>
    </row>
    <row r="16267">
      <c r="A16267" s="11" t="s">
        <v>16298</v>
      </c>
    </row>
    <row r="16268">
      <c r="A16268" s="11" t="s">
        <v>16299</v>
      </c>
    </row>
    <row r="16269">
      <c r="A16269" s="11" t="s">
        <v>16300</v>
      </c>
    </row>
    <row r="16270">
      <c r="A16270" s="11" t="s">
        <v>16301</v>
      </c>
    </row>
    <row r="16271">
      <c r="A16271" s="11" t="s">
        <v>16302</v>
      </c>
    </row>
    <row r="16272">
      <c r="A16272" s="11" t="s">
        <v>16303</v>
      </c>
    </row>
    <row r="16273">
      <c r="A16273" s="11" t="s">
        <v>16304</v>
      </c>
    </row>
    <row r="16274">
      <c r="A16274" s="11" t="s">
        <v>16305</v>
      </c>
    </row>
    <row r="16275">
      <c r="A16275" s="11" t="s">
        <v>16306</v>
      </c>
    </row>
    <row r="16276">
      <c r="A16276" s="11" t="s">
        <v>16307</v>
      </c>
    </row>
    <row r="16277">
      <c r="A16277" s="11" t="s">
        <v>16308</v>
      </c>
    </row>
    <row r="16278">
      <c r="A16278" s="11" t="s">
        <v>16309</v>
      </c>
    </row>
    <row r="16279">
      <c r="A16279" s="11" t="s">
        <v>16310</v>
      </c>
    </row>
    <row r="16280">
      <c r="A16280" s="11" t="s">
        <v>16311</v>
      </c>
    </row>
    <row r="16281">
      <c r="A16281" s="11" t="s">
        <v>16312</v>
      </c>
    </row>
    <row r="16282">
      <c r="A16282" s="11" t="s">
        <v>16313</v>
      </c>
    </row>
    <row r="16283">
      <c r="A16283" s="11" t="s">
        <v>16314</v>
      </c>
    </row>
    <row r="16284">
      <c r="A16284" s="11" t="s">
        <v>16315</v>
      </c>
    </row>
    <row r="16285">
      <c r="A16285" s="11" t="s">
        <v>16316</v>
      </c>
    </row>
    <row r="16286">
      <c r="A16286" s="11" t="s">
        <v>16317</v>
      </c>
    </row>
    <row r="16287">
      <c r="A16287" s="11" t="s">
        <v>16318</v>
      </c>
    </row>
    <row r="16288">
      <c r="A16288" s="11" t="s">
        <v>16319</v>
      </c>
    </row>
    <row r="16289">
      <c r="A16289" s="11" t="s">
        <v>16320</v>
      </c>
    </row>
    <row r="16290">
      <c r="A16290" s="11" t="s">
        <v>16321</v>
      </c>
    </row>
    <row r="16291">
      <c r="A16291" s="11" t="s">
        <v>16322</v>
      </c>
    </row>
    <row r="16292">
      <c r="A16292" s="11" t="s">
        <v>16323</v>
      </c>
    </row>
    <row r="16293">
      <c r="A16293" s="11" t="s">
        <v>16324</v>
      </c>
    </row>
    <row r="16294">
      <c r="A16294" s="11" t="s">
        <v>16325</v>
      </c>
    </row>
    <row r="16295">
      <c r="A16295" s="11" t="s">
        <v>16326</v>
      </c>
    </row>
    <row r="16296">
      <c r="A16296" s="11" t="s">
        <v>16327</v>
      </c>
    </row>
    <row r="16297">
      <c r="A16297" s="11" t="s">
        <v>16328</v>
      </c>
    </row>
    <row r="16298">
      <c r="A16298" s="11" t="s">
        <v>16329</v>
      </c>
    </row>
    <row r="16299">
      <c r="A16299" s="11" t="s">
        <v>16330</v>
      </c>
    </row>
    <row r="16300">
      <c r="A16300" s="11" t="s">
        <v>16331</v>
      </c>
    </row>
    <row r="16301">
      <c r="A16301" s="11" t="s">
        <v>16332</v>
      </c>
    </row>
    <row r="16302">
      <c r="A16302" s="11" t="s">
        <v>16333</v>
      </c>
    </row>
    <row r="16303">
      <c r="A16303" s="11" t="s">
        <v>16334</v>
      </c>
    </row>
    <row r="16304">
      <c r="A16304" s="11" t="s">
        <v>16335</v>
      </c>
    </row>
    <row r="16305">
      <c r="A16305" s="11" t="s">
        <v>16336</v>
      </c>
    </row>
    <row r="16306">
      <c r="A16306" s="11" t="s">
        <v>16337</v>
      </c>
    </row>
    <row r="16307">
      <c r="A16307" s="11" t="s">
        <v>16338</v>
      </c>
    </row>
    <row r="16308">
      <c r="A16308" s="11" t="s">
        <v>16339</v>
      </c>
    </row>
    <row r="16309">
      <c r="A16309" s="11" t="s">
        <v>16340</v>
      </c>
    </row>
    <row r="16310">
      <c r="A16310" s="11" t="s">
        <v>16341</v>
      </c>
    </row>
    <row r="16311">
      <c r="A16311" s="11" t="s">
        <v>16342</v>
      </c>
    </row>
    <row r="16312">
      <c r="A16312" s="11" t="s">
        <v>16343</v>
      </c>
    </row>
    <row r="16313">
      <c r="A16313" s="11" t="s">
        <v>16344</v>
      </c>
    </row>
    <row r="16314">
      <c r="A16314" s="11" t="s">
        <v>16345</v>
      </c>
    </row>
    <row r="16315">
      <c r="A16315" s="11" t="s">
        <v>16346</v>
      </c>
    </row>
    <row r="16316">
      <c r="A16316" s="11" t="s">
        <v>16347</v>
      </c>
    </row>
    <row r="16317">
      <c r="A16317" s="11" t="s">
        <v>16348</v>
      </c>
    </row>
    <row r="16318">
      <c r="A16318" s="11" t="s">
        <v>16349</v>
      </c>
    </row>
    <row r="16319">
      <c r="A16319" s="11" t="s">
        <v>16350</v>
      </c>
    </row>
    <row r="16320">
      <c r="A16320" s="11" t="s">
        <v>16351</v>
      </c>
    </row>
    <row r="16321">
      <c r="A16321" s="11" t="s">
        <v>16352</v>
      </c>
    </row>
    <row r="16322">
      <c r="A16322" s="11" t="s">
        <v>16353</v>
      </c>
    </row>
    <row r="16323">
      <c r="A16323" s="11" t="s">
        <v>16354</v>
      </c>
    </row>
    <row r="16324">
      <c r="A16324" s="11" t="s">
        <v>16355</v>
      </c>
    </row>
    <row r="16325">
      <c r="A16325" s="11" t="s">
        <v>16356</v>
      </c>
    </row>
    <row r="16326">
      <c r="A16326" s="11" t="s">
        <v>16357</v>
      </c>
    </row>
    <row r="16327">
      <c r="A16327" s="11" t="s">
        <v>16358</v>
      </c>
    </row>
    <row r="16328">
      <c r="A16328" s="11" t="s">
        <v>16359</v>
      </c>
    </row>
    <row r="16329">
      <c r="A16329" s="11" t="s">
        <v>16360</v>
      </c>
    </row>
    <row r="16330">
      <c r="A16330" s="11" t="s">
        <v>16361</v>
      </c>
    </row>
    <row r="16331">
      <c r="A16331" s="11" t="s">
        <v>16362</v>
      </c>
    </row>
    <row r="16332">
      <c r="A16332" s="11" t="s">
        <v>16363</v>
      </c>
    </row>
    <row r="16333">
      <c r="A16333" s="11" t="s">
        <v>16364</v>
      </c>
    </row>
    <row r="16334">
      <c r="A16334" s="11" t="s">
        <v>16365</v>
      </c>
    </row>
    <row r="16335">
      <c r="A16335" s="11" t="s">
        <v>16366</v>
      </c>
    </row>
    <row r="16336">
      <c r="A16336" s="11" t="s">
        <v>16367</v>
      </c>
    </row>
    <row r="16337">
      <c r="A16337" s="11" t="s">
        <v>16368</v>
      </c>
    </row>
    <row r="16338">
      <c r="A16338" s="11" t="s">
        <v>16369</v>
      </c>
    </row>
    <row r="16339">
      <c r="A16339" s="11" t="s">
        <v>16370</v>
      </c>
    </row>
    <row r="16340">
      <c r="A16340" s="11" t="s">
        <v>16371</v>
      </c>
    </row>
    <row r="16341">
      <c r="A16341" s="11" t="s">
        <v>16372</v>
      </c>
    </row>
    <row r="16342">
      <c r="A16342" s="11" t="s">
        <v>16373</v>
      </c>
    </row>
    <row r="16343">
      <c r="A16343" s="11" t="s">
        <v>16374</v>
      </c>
    </row>
    <row r="16344">
      <c r="A16344" s="11" t="s">
        <v>16375</v>
      </c>
    </row>
    <row r="16345">
      <c r="A16345" s="11" t="s">
        <v>16376</v>
      </c>
    </row>
    <row r="16346">
      <c r="A16346" s="11" t="s">
        <v>16377</v>
      </c>
    </row>
    <row r="16347">
      <c r="A16347" s="11" t="s">
        <v>16378</v>
      </c>
    </row>
    <row r="16348">
      <c r="A16348" s="11" t="s">
        <v>16379</v>
      </c>
    </row>
    <row r="16349">
      <c r="A16349" s="11" t="s">
        <v>16380</v>
      </c>
    </row>
    <row r="16350">
      <c r="A16350" s="11" t="s">
        <v>16381</v>
      </c>
    </row>
    <row r="16351">
      <c r="A16351" s="11" t="s">
        <v>16382</v>
      </c>
    </row>
    <row r="16352">
      <c r="A16352" s="11" t="s">
        <v>16383</v>
      </c>
    </row>
    <row r="16353">
      <c r="A16353" s="11" t="s">
        <v>16384</v>
      </c>
    </row>
    <row r="16354">
      <c r="A16354" s="11" t="s">
        <v>16385</v>
      </c>
    </row>
    <row r="16355">
      <c r="A16355" s="11" t="s">
        <v>16386</v>
      </c>
    </row>
    <row r="16356">
      <c r="A16356" s="11" t="s">
        <v>16387</v>
      </c>
    </row>
    <row r="16357">
      <c r="A16357" s="11" t="s">
        <v>16388</v>
      </c>
    </row>
    <row r="16358">
      <c r="A16358" s="11" t="s">
        <v>16389</v>
      </c>
    </row>
    <row r="16359">
      <c r="A16359" s="11" t="s">
        <v>16390</v>
      </c>
    </row>
    <row r="16360">
      <c r="A16360" s="11" t="s">
        <v>16391</v>
      </c>
    </row>
    <row r="16361">
      <c r="A16361" s="11" t="s">
        <v>16392</v>
      </c>
    </row>
    <row r="16362">
      <c r="A16362" s="11" t="s">
        <v>16393</v>
      </c>
    </row>
    <row r="16363">
      <c r="A16363" s="11" t="s">
        <v>16394</v>
      </c>
    </row>
    <row r="16364">
      <c r="A16364" s="11" t="s">
        <v>16395</v>
      </c>
    </row>
    <row r="16365">
      <c r="A16365" s="11" t="s">
        <v>16396</v>
      </c>
    </row>
    <row r="16366">
      <c r="A16366" s="11" t="s">
        <v>16397</v>
      </c>
    </row>
    <row r="16367">
      <c r="A16367" s="11" t="s">
        <v>16398</v>
      </c>
    </row>
    <row r="16368">
      <c r="A16368" s="11" t="s">
        <v>16399</v>
      </c>
    </row>
    <row r="16369">
      <c r="A16369" s="11" t="s">
        <v>16400</v>
      </c>
    </row>
    <row r="16370">
      <c r="A16370" s="11" t="s">
        <v>16401</v>
      </c>
    </row>
    <row r="16371">
      <c r="A16371" s="11" t="s">
        <v>16402</v>
      </c>
    </row>
    <row r="16372">
      <c r="A16372" s="11" t="s">
        <v>16403</v>
      </c>
    </row>
    <row r="16373">
      <c r="A16373" s="11" t="s">
        <v>16404</v>
      </c>
    </row>
    <row r="16374">
      <c r="A16374" s="11" t="s">
        <v>16405</v>
      </c>
    </row>
    <row r="16375">
      <c r="A16375" s="11" t="s">
        <v>16406</v>
      </c>
    </row>
    <row r="16376">
      <c r="A16376" s="11" t="s">
        <v>16407</v>
      </c>
    </row>
    <row r="16377">
      <c r="A16377" s="11" t="s">
        <v>16408</v>
      </c>
    </row>
    <row r="16378">
      <c r="A16378" s="11" t="s">
        <v>16409</v>
      </c>
    </row>
    <row r="16379">
      <c r="A16379" s="11" t="s">
        <v>16410</v>
      </c>
    </row>
    <row r="16380">
      <c r="A16380" s="11" t="s">
        <v>16411</v>
      </c>
    </row>
    <row r="16381">
      <c r="A16381" s="11" t="s">
        <v>16412</v>
      </c>
    </row>
    <row r="16382">
      <c r="A16382" s="11" t="s">
        <v>16413</v>
      </c>
    </row>
    <row r="16383">
      <c r="A16383" s="11" t="s">
        <v>16414</v>
      </c>
    </row>
    <row r="16384">
      <c r="A16384" s="11" t="s">
        <v>16415</v>
      </c>
    </row>
    <row r="16385">
      <c r="A16385" s="11" t="s">
        <v>16416</v>
      </c>
    </row>
    <row r="16386">
      <c r="A16386" s="11" t="s">
        <v>16417</v>
      </c>
    </row>
    <row r="16387">
      <c r="A16387" s="11" t="s">
        <v>16418</v>
      </c>
    </row>
    <row r="16388">
      <c r="A16388" s="11" t="s">
        <v>16419</v>
      </c>
    </row>
    <row r="16389">
      <c r="A16389" s="11" t="s">
        <v>16420</v>
      </c>
    </row>
    <row r="16390">
      <c r="A16390" s="11" t="s">
        <v>16421</v>
      </c>
    </row>
    <row r="16391">
      <c r="A16391" s="11" t="s">
        <v>16422</v>
      </c>
    </row>
    <row r="16392">
      <c r="A16392" s="11" t="s">
        <v>16423</v>
      </c>
    </row>
    <row r="16393">
      <c r="A16393" s="11" t="s">
        <v>16424</v>
      </c>
    </row>
    <row r="16394">
      <c r="A16394" s="11" t="s">
        <v>16425</v>
      </c>
    </row>
    <row r="16395">
      <c r="A16395" s="11" t="s">
        <v>16426</v>
      </c>
    </row>
    <row r="16396">
      <c r="A16396" s="11" t="s">
        <v>16427</v>
      </c>
    </row>
    <row r="16397">
      <c r="A16397" s="11" t="s">
        <v>16428</v>
      </c>
    </row>
    <row r="16398">
      <c r="A16398" s="11" t="s">
        <v>16429</v>
      </c>
    </row>
    <row r="16399">
      <c r="A16399" s="11" t="s">
        <v>16430</v>
      </c>
    </row>
    <row r="16400">
      <c r="A16400" s="11" t="s">
        <v>16431</v>
      </c>
    </row>
    <row r="16401">
      <c r="A16401" s="11" t="s">
        <v>16432</v>
      </c>
    </row>
    <row r="16402">
      <c r="A16402" s="11" t="s">
        <v>16433</v>
      </c>
    </row>
    <row r="16403">
      <c r="A16403" s="11" t="s">
        <v>16434</v>
      </c>
    </row>
    <row r="16404">
      <c r="A16404" s="11" t="s">
        <v>16435</v>
      </c>
    </row>
    <row r="16405">
      <c r="A16405" s="11" t="s">
        <v>16436</v>
      </c>
    </row>
    <row r="16406">
      <c r="A16406" s="11" t="s">
        <v>16437</v>
      </c>
    </row>
    <row r="16407">
      <c r="A16407" s="11" t="s">
        <v>16438</v>
      </c>
    </row>
    <row r="16408">
      <c r="A16408" s="11" t="s">
        <v>16439</v>
      </c>
    </row>
    <row r="16409">
      <c r="A16409" s="11" t="s">
        <v>16440</v>
      </c>
    </row>
    <row r="16410">
      <c r="A16410" s="11" t="s">
        <v>16441</v>
      </c>
    </row>
    <row r="16411">
      <c r="A16411" s="11" t="s">
        <v>16442</v>
      </c>
    </row>
    <row r="16412">
      <c r="A16412" s="11" t="s">
        <v>16443</v>
      </c>
    </row>
    <row r="16413">
      <c r="A16413" s="11" t="s">
        <v>16444</v>
      </c>
    </row>
    <row r="16414">
      <c r="A16414" s="11" t="s">
        <v>16445</v>
      </c>
    </row>
    <row r="16415">
      <c r="A16415" s="11" t="s">
        <v>16446</v>
      </c>
    </row>
    <row r="16416">
      <c r="A16416" s="11" t="s">
        <v>16447</v>
      </c>
    </row>
    <row r="16417">
      <c r="A16417" s="11" t="s">
        <v>16448</v>
      </c>
    </row>
    <row r="16418">
      <c r="A16418" s="11" t="s">
        <v>16449</v>
      </c>
    </row>
    <row r="16419">
      <c r="A16419" s="11" t="s">
        <v>16450</v>
      </c>
    </row>
    <row r="16420">
      <c r="A16420" s="11" t="s">
        <v>16451</v>
      </c>
    </row>
    <row r="16421">
      <c r="A16421" s="11" t="s">
        <v>16452</v>
      </c>
    </row>
    <row r="16422">
      <c r="A16422" s="11" t="s">
        <v>16453</v>
      </c>
    </row>
    <row r="16423">
      <c r="A16423" s="11" t="s">
        <v>16454</v>
      </c>
    </row>
    <row r="16424">
      <c r="A16424" s="11" t="s">
        <v>16455</v>
      </c>
    </row>
    <row r="16425">
      <c r="A16425" s="11" t="s">
        <v>16456</v>
      </c>
    </row>
    <row r="16426">
      <c r="A16426" s="11" t="s">
        <v>16457</v>
      </c>
    </row>
    <row r="16427">
      <c r="A16427" s="11" t="s">
        <v>16458</v>
      </c>
    </row>
    <row r="16428">
      <c r="A16428" s="11" t="s">
        <v>16459</v>
      </c>
    </row>
    <row r="16429">
      <c r="A16429" s="11" t="s">
        <v>16460</v>
      </c>
    </row>
    <row r="16430">
      <c r="A16430" s="11" t="s">
        <v>16461</v>
      </c>
    </row>
    <row r="16431">
      <c r="A16431" s="11" t="s">
        <v>16462</v>
      </c>
    </row>
    <row r="16432">
      <c r="A16432" s="11" t="s">
        <v>16463</v>
      </c>
    </row>
    <row r="16433">
      <c r="A16433" s="11" t="s">
        <v>16464</v>
      </c>
    </row>
    <row r="16434">
      <c r="A16434" s="11" t="s">
        <v>16465</v>
      </c>
    </row>
    <row r="16435">
      <c r="A16435" s="11" t="s">
        <v>16466</v>
      </c>
    </row>
    <row r="16436">
      <c r="A16436" s="11" t="s">
        <v>16467</v>
      </c>
    </row>
    <row r="16437">
      <c r="A16437" s="11" t="s">
        <v>16468</v>
      </c>
    </row>
    <row r="16438">
      <c r="A16438" s="11" t="s">
        <v>16469</v>
      </c>
    </row>
    <row r="16439">
      <c r="A16439" s="11" t="s">
        <v>16470</v>
      </c>
    </row>
    <row r="16440">
      <c r="A16440" s="11" t="s">
        <v>16471</v>
      </c>
    </row>
    <row r="16441">
      <c r="A16441" s="11" t="s">
        <v>16472</v>
      </c>
    </row>
    <row r="16442">
      <c r="A16442" s="11" t="s">
        <v>16473</v>
      </c>
    </row>
    <row r="16443">
      <c r="A16443" s="11" t="s">
        <v>16474</v>
      </c>
    </row>
    <row r="16444">
      <c r="A16444" s="11" t="s">
        <v>16475</v>
      </c>
    </row>
    <row r="16445">
      <c r="A16445" s="11" t="s">
        <v>16476</v>
      </c>
    </row>
    <row r="16446">
      <c r="A16446" s="11" t="s">
        <v>16477</v>
      </c>
    </row>
    <row r="16447">
      <c r="A16447" s="11" t="s">
        <v>16478</v>
      </c>
    </row>
    <row r="16448">
      <c r="A16448" s="11" t="s">
        <v>16479</v>
      </c>
    </row>
    <row r="16449">
      <c r="A16449" s="11" t="s">
        <v>16480</v>
      </c>
    </row>
    <row r="16450">
      <c r="A16450" s="11" t="s">
        <v>16481</v>
      </c>
    </row>
    <row r="16451">
      <c r="A16451" s="11" t="s">
        <v>16482</v>
      </c>
    </row>
    <row r="16452">
      <c r="A16452" s="11" t="s">
        <v>16483</v>
      </c>
    </row>
    <row r="16453">
      <c r="A16453" s="11" t="s">
        <v>16484</v>
      </c>
    </row>
    <row r="16454">
      <c r="A16454" s="11" t="s">
        <v>16485</v>
      </c>
    </row>
    <row r="16455">
      <c r="A16455" s="11" t="s">
        <v>16486</v>
      </c>
    </row>
    <row r="16456">
      <c r="A16456" s="11" t="s">
        <v>16487</v>
      </c>
    </row>
    <row r="16457">
      <c r="A16457" s="11" t="s">
        <v>16488</v>
      </c>
    </row>
    <row r="16458">
      <c r="A16458" s="11" t="s">
        <v>16489</v>
      </c>
    </row>
    <row r="16459">
      <c r="A16459" s="11" t="s">
        <v>16490</v>
      </c>
    </row>
    <row r="16460">
      <c r="A16460" s="11" t="s">
        <v>16491</v>
      </c>
    </row>
    <row r="16461">
      <c r="A16461" s="11" t="s">
        <v>16492</v>
      </c>
    </row>
    <row r="16462">
      <c r="A16462" s="11" t="s">
        <v>16493</v>
      </c>
    </row>
    <row r="16463">
      <c r="A16463" s="11" t="s">
        <v>16494</v>
      </c>
    </row>
    <row r="16464">
      <c r="A16464" s="11" t="s">
        <v>16495</v>
      </c>
    </row>
    <row r="16465">
      <c r="A16465" s="11" t="s">
        <v>16496</v>
      </c>
    </row>
    <row r="16466">
      <c r="A16466" s="11" t="s">
        <v>16497</v>
      </c>
    </row>
    <row r="16467">
      <c r="A16467" s="11" t="s">
        <v>16498</v>
      </c>
    </row>
    <row r="16468">
      <c r="A16468" s="11" t="s">
        <v>16499</v>
      </c>
    </row>
    <row r="16469">
      <c r="A16469" s="11" t="s">
        <v>16500</v>
      </c>
    </row>
    <row r="16470">
      <c r="A16470" s="11" t="s">
        <v>16501</v>
      </c>
    </row>
    <row r="16471">
      <c r="A16471" s="11" t="s">
        <v>16502</v>
      </c>
    </row>
    <row r="16472">
      <c r="A16472" s="11" t="s">
        <v>16503</v>
      </c>
    </row>
    <row r="16473">
      <c r="A16473" s="11" t="s">
        <v>16504</v>
      </c>
    </row>
    <row r="16474">
      <c r="A16474" s="11" t="s">
        <v>16505</v>
      </c>
    </row>
    <row r="16475">
      <c r="A16475" s="11" t="s">
        <v>16506</v>
      </c>
    </row>
    <row r="16476">
      <c r="A16476" s="11" t="s">
        <v>16507</v>
      </c>
    </row>
    <row r="16477">
      <c r="A16477" s="11" t="s">
        <v>16508</v>
      </c>
    </row>
    <row r="16478">
      <c r="A16478" s="11" t="s">
        <v>16509</v>
      </c>
    </row>
    <row r="16479">
      <c r="A16479" s="11" t="s">
        <v>16510</v>
      </c>
    </row>
    <row r="16480">
      <c r="A16480" s="11" t="s">
        <v>16511</v>
      </c>
    </row>
    <row r="16481">
      <c r="A16481" s="11" t="s">
        <v>16512</v>
      </c>
    </row>
    <row r="16482">
      <c r="A16482" s="11" t="s">
        <v>16513</v>
      </c>
    </row>
    <row r="16483">
      <c r="A16483" s="11" t="s">
        <v>16514</v>
      </c>
    </row>
    <row r="16484">
      <c r="A16484" s="11" t="s">
        <v>16515</v>
      </c>
    </row>
    <row r="16485">
      <c r="A16485" s="11" t="s">
        <v>16516</v>
      </c>
    </row>
    <row r="16486">
      <c r="A16486" s="11" t="s">
        <v>16517</v>
      </c>
    </row>
    <row r="16487">
      <c r="A16487" s="11" t="s">
        <v>16518</v>
      </c>
    </row>
    <row r="16488">
      <c r="A16488" s="11" t="s">
        <v>16519</v>
      </c>
    </row>
    <row r="16489">
      <c r="A16489" s="11" t="s">
        <v>16520</v>
      </c>
    </row>
    <row r="16490">
      <c r="A16490" s="11" t="s">
        <v>16521</v>
      </c>
    </row>
    <row r="16491">
      <c r="A16491" s="11" t="s">
        <v>16522</v>
      </c>
    </row>
    <row r="16492">
      <c r="A16492" s="11" t="s">
        <v>16523</v>
      </c>
    </row>
    <row r="16493">
      <c r="A16493" s="11" t="s">
        <v>16524</v>
      </c>
    </row>
    <row r="16494">
      <c r="A16494" s="11" t="s">
        <v>16525</v>
      </c>
    </row>
    <row r="16495">
      <c r="A16495" s="11" t="s">
        <v>16526</v>
      </c>
    </row>
    <row r="16496">
      <c r="A16496" s="11" t="s">
        <v>16527</v>
      </c>
    </row>
    <row r="16497">
      <c r="A16497" s="11" t="s">
        <v>16528</v>
      </c>
    </row>
    <row r="16498">
      <c r="A16498" s="11" t="s">
        <v>16529</v>
      </c>
    </row>
    <row r="16499">
      <c r="A16499" s="11" t="s">
        <v>16530</v>
      </c>
    </row>
    <row r="16500">
      <c r="A16500" s="11" t="s">
        <v>16531</v>
      </c>
    </row>
    <row r="16501">
      <c r="A16501" s="11" t="s">
        <v>16532</v>
      </c>
    </row>
    <row r="16502">
      <c r="A16502" s="11" t="s">
        <v>16533</v>
      </c>
    </row>
    <row r="16503">
      <c r="A16503" s="11" t="s">
        <v>16534</v>
      </c>
    </row>
    <row r="16504">
      <c r="A16504" s="11" t="s">
        <v>16535</v>
      </c>
    </row>
    <row r="16505">
      <c r="A16505" s="11" t="s">
        <v>16536</v>
      </c>
    </row>
    <row r="16506">
      <c r="A16506" s="11" t="s">
        <v>16537</v>
      </c>
    </row>
    <row r="16507">
      <c r="A16507" s="11" t="s">
        <v>16538</v>
      </c>
    </row>
    <row r="16508">
      <c r="A16508" s="11" t="s">
        <v>16539</v>
      </c>
    </row>
    <row r="16509">
      <c r="A16509" s="11" t="s">
        <v>16540</v>
      </c>
    </row>
    <row r="16510">
      <c r="A16510" s="11" t="s">
        <v>16541</v>
      </c>
    </row>
    <row r="16511">
      <c r="A16511" s="11" t="s">
        <v>16542</v>
      </c>
    </row>
    <row r="16512">
      <c r="A16512" s="11" t="s">
        <v>16543</v>
      </c>
    </row>
    <row r="16513">
      <c r="A16513" s="11" t="s">
        <v>16544</v>
      </c>
    </row>
    <row r="16514">
      <c r="A16514" s="11" t="s">
        <v>16545</v>
      </c>
    </row>
    <row r="16515">
      <c r="A16515" s="11" t="s">
        <v>16546</v>
      </c>
    </row>
    <row r="16516">
      <c r="A16516" s="11" t="s">
        <v>16547</v>
      </c>
    </row>
    <row r="16517">
      <c r="A16517" s="11" t="s">
        <v>16548</v>
      </c>
    </row>
    <row r="16518">
      <c r="A16518" s="11" t="s">
        <v>16549</v>
      </c>
    </row>
    <row r="16519">
      <c r="A16519" s="11" t="s">
        <v>16550</v>
      </c>
    </row>
    <row r="16520">
      <c r="A16520" s="11" t="s">
        <v>16551</v>
      </c>
    </row>
    <row r="16521">
      <c r="A16521" s="11" t="s">
        <v>16552</v>
      </c>
    </row>
    <row r="16522">
      <c r="A16522" s="11" t="s">
        <v>16553</v>
      </c>
    </row>
    <row r="16523">
      <c r="A16523" s="11" t="s">
        <v>16554</v>
      </c>
    </row>
    <row r="16524">
      <c r="A16524" s="11" t="s">
        <v>16555</v>
      </c>
    </row>
    <row r="16525">
      <c r="A16525" s="11" t="s">
        <v>16556</v>
      </c>
    </row>
    <row r="16526">
      <c r="A16526" s="11" t="s">
        <v>16557</v>
      </c>
    </row>
    <row r="16527">
      <c r="A16527" s="11" t="s">
        <v>16558</v>
      </c>
    </row>
    <row r="16528">
      <c r="A16528" s="11" t="s">
        <v>16559</v>
      </c>
    </row>
    <row r="16529">
      <c r="A16529" s="11" t="s">
        <v>16560</v>
      </c>
    </row>
    <row r="16530">
      <c r="A16530" s="11" t="s">
        <v>16561</v>
      </c>
    </row>
    <row r="16531">
      <c r="A16531" s="11" t="s">
        <v>16562</v>
      </c>
    </row>
    <row r="16532">
      <c r="A16532" s="11" t="s">
        <v>16563</v>
      </c>
    </row>
    <row r="16533">
      <c r="A16533" s="11" t="s">
        <v>16564</v>
      </c>
    </row>
    <row r="16534">
      <c r="A16534" s="11" t="s">
        <v>16565</v>
      </c>
    </row>
    <row r="16535">
      <c r="A16535" s="11" t="s">
        <v>16566</v>
      </c>
    </row>
    <row r="16536">
      <c r="A16536" s="11" t="s">
        <v>16567</v>
      </c>
    </row>
    <row r="16537">
      <c r="A16537" s="11" t="s">
        <v>16568</v>
      </c>
    </row>
    <row r="16538">
      <c r="A16538" s="11" t="s">
        <v>16569</v>
      </c>
    </row>
    <row r="16539">
      <c r="A16539" s="11" t="s">
        <v>16570</v>
      </c>
    </row>
    <row r="16540">
      <c r="A16540" s="11" t="s">
        <v>16571</v>
      </c>
    </row>
    <row r="16541">
      <c r="A16541" s="11" t="s">
        <v>16572</v>
      </c>
    </row>
    <row r="16542">
      <c r="A16542" s="11" t="s">
        <v>16573</v>
      </c>
    </row>
    <row r="16543">
      <c r="A16543" s="11" t="s">
        <v>16574</v>
      </c>
    </row>
    <row r="16544">
      <c r="A16544" s="11" t="s">
        <v>16575</v>
      </c>
    </row>
    <row r="16545">
      <c r="A16545" s="11" t="s">
        <v>16576</v>
      </c>
    </row>
    <row r="16546">
      <c r="A16546" s="11" t="s">
        <v>16577</v>
      </c>
    </row>
    <row r="16547">
      <c r="A16547" s="11" t="s">
        <v>16578</v>
      </c>
    </row>
    <row r="16548">
      <c r="A16548" s="11" t="s">
        <v>16579</v>
      </c>
    </row>
    <row r="16549">
      <c r="A16549" s="11" t="s">
        <v>16580</v>
      </c>
    </row>
    <row r="16550">
      <c r="A16550" s="11" t="s">
        <v>16581</v>
      </c>
    </row>
    <row r="16551">
      <c r="A16551" s="11" t="s">
        <v>16582</v>
      </c>
    </row>
    <row r="16552">
      <c r="A16552" s="11" t="s">
        <v>16583</v>
      </c>
    </row>
    <row r="16553">
      <c r="A16553" s="11" t="s">
        <v>16584</v>
      </c>
    </row>
    <row r="16554">
      <c r="A16554" s="11" t="s">
        <v>16585</v>
      </c>
    </row>
    <row r="16555">
      <c r="A16555" s="11" t="s">
        <v>16586</v>
      </c>
    </row>
    <row r="16556">
      <c r="A16556" s="11" t="s">
        <v>16587</v>
      </c>
    </row>
    <row r="16557">
      <c r="A16557" s="11" t="s">
        <v>16588</v>
      </c>
    </row>
    <row r="16558">
      <c r="A16558" s="11" t="s">
        <v>16589</v>
      </c>
    </row>
    <row r="16559">
      <c r="A16559" s="11" t="s">
        <v>16590</v>
      </c>
    </row>
    <row r="16560">
      <c r="A16560" s="11" t="s">
        <v>16591</v>
      </c>
    </row>
    <row r="16561">
      <c r="A16561" s="11" t="s">
        <v>16592</v>
      </c>
    </row>
    <row r="16562">
      <c r="A16562" s="11" t="s">
        <v>16593</v>
      </c>
    </row>
    <row r="16563">
      <c r="A16563" s="11" t="s">
        <v>16594</v>
      </c>
    </row>
    <row r="16564">
      <c r="A16564" s="11" t="s">
        <v>16595</v>
      </c>
    </row>
    <row r="16565">
      <c r="A16565" s="11" t="s">
        <v>16596</v>
      </c>
    </row>
    <row r="16566">
      <c r="A16566" s="11" t="s">
        <v>16597</v>
      </c>
    </row>
    <row r="16567">
      <c r="A16567" s="11" t="s">
        <v>16598</v>
      </c>
    </row>
    <row r="16568">
      <c r="A16568" s="11" t="s">
        <v>16599</v>
      </c>
    </row>
    <row r="16569">
      <c r="A16569" s="11" t="s">
        <v>16600</v>
      </c>
    </row>
    <row r="16570">
      <c r="A16570" s="11" t="s">
        <v>16601</v>
      </c>
    </row>
    <row r="16571">
      <c r="A16571" s="11" t="s">
        <v>16602</v>
      </c>
    </row>
    <row r="16572">
      <c r="A16572" s="11" t="s">
        <v>16603</v>
      </c>
    </row>
    <row r="16573">
      <c r="A16573" s="11" t="s">
        <v>16604</v>
      </c>
    </row>
    <row r="16574">
      <c r="A16574" s="11" t="s">
        <v>16605</v>
      </c>
    </row>
    <row r="16575">
      <c r="A16575" s="11" t="s">
        <v>16606</v>
      </c>
    </row>
    <row r="16576">
      <c r="A16576" s="11" t="s">
        <v>16607</v>
      </c>
    </row>
    <row r="16577">
      <c r="A16577" s="11" t="s">
        <v>16608</v>
      </c>
    </row>
    <row r="16578">
      <c r="A16578" s="11" t="s">
        <v>16609</v>
      </c>
    </row>
    <row r="16579">
      <c r="A16579" s="11" t="s">
        <v>16610</v>
      </c>
    </row>
    <row r="16580">
      <c r="A16580" s="11" t="s">
        <v>16611</v>
      </c>
    </row>
    <row r="16581">
      <c r="A16581" s="11" t="s">
        <v>16612</v>
      </c>
    </row>
    <row r="16582">
      <c r="A16582" s="11" t="s">
        <v>16613</v>
      </c>
    </row>
    <row r="16583">
      <c r="A16583" s="11" t="s">
        <v>16614</v>
      </c>
    </row>
    <row r="16584">
      <c r="A16584" s="11" t="s">
        <v>16615</v>
      </c>
    </row>
    <row r="16585">
      <c r="A16585" s="11" t="s">
        <v>16616</v>
      </c>
    </row>
    <row r="16586">
      <c r="A16586" s="11" t="s">
        <v>16617</v>
      </c>
    </row>
    <row r="16587">
      <c r="A16587" s="11" t="s">
        <v>16618</v>
      </c>
    </row>
    <row r="16588">
      <c r="A16588" s="11" t="s">
        <v>16619</v>
      </c>
    </row>
    <row r="16589">
      <c r="A16589" s="11" t="s">
        <v>16620</v>
      </c>
    </row>
    <row r="16590">
      <c r="A16590" s="11" t="s">
        <v>16621</v>
      </c>
    </row>
    <row r="16591">
      <c r="A16591" s="11" t="s">
        <v>16622</v>
      </c>
    </row>
    <row r="16592">
      <c r="A16592" s="11" t="s">
        <v>16623</v>
      </c>
    </row>
    <row r="16593">
      <c r="A16593" s="11" t="s">
        <v>16624</v>
      </c>
    </row>
    <row r="16594">
      <c r="A16594" s="11" t="s">
        <v>16625</v>
      </c>
    </row>
    <row r="16595">
      <c r="A16595" s="11" t="s">
        <v>16626</v>
      </c>
    </row>
    <row r="16596">
      <c r="A16596" s="11" t="s">
        <v>16627</v>
      </c>
    </row>
    <row r="16597">
      <c r="A16597" s="11" t="s">
        <v>16628</v>
      </c>
    </row>
    <row r="16598">
      <c r="A16598" s="11" t="s">
        <v>16629</v>
      </c>
    </row>
    <row r="16599">
      <c r="A16599" s="11" t="s">
        <v>16630</v>
      </c>
    </row>
    <row r="16600">
      <c r="A16600" s="11" t="s">
        <v>16631</v>
      </c>
    </row>
    <row r="16601">
      <c r="A16601" s="11" t="s">
        <v>16632</v>
      </c>
    </row>
    <row r="16602">
      <c r="A16602" s="11" t="s">
        <v>16633</v>
      </c>
    </row>
    <row r="16603">
      <c r="A16603" s="11" t="s">
        <v>16634</v>
      </c>
    </row>
    <row r="16604">
      <c r="A16604" s="11" t="s">
        <v>16635</v>
      </c>
    </row>
    <row r="16605">
      <c r="A16605" s="11" t="s">
        <v>16636</v>
      </c>
    </row>
    <row r="16606">
      <c r="A16606" s="11" t="s">
        <v>16637</v>
      </c>
    </row>
    <row r="16607">
      <c r="A16607" s="11" t="s">
        <v>16638</v>
      </c>
    </row>
    <row r="16608">
      <c r="A16608" s="11" t="s">
        <v>16639</v>
      </c>
    </row>
    <row r="16609">
      <c r="A16609" s="11" t="s">
        <v>16640</v>
      </c>
    </row>
    <row r="16610">
      <c r="A16610" s="11" t="s">
        <v>16641</v>
      </c>
    </row>
    <row r="16611">
      <c r="A16611" s="11" t="s">
        <v>16642</v>
      </c>
    </row>
    <row r="16612">
      <c r="A16612" s="11" t="s">
        <v>16643</v>
      </c>
    </row>
    <row r="16613">
      <c r="A16613" s="11" t="s">
        <v>16644</v>
      </c>
    </row>
    <row r="16614">
      <c r="A16614" s="11" t="s">
        <v>16645</v>
      </c>
    </row>
    <row r="16615">
      <c r="A16615" s="11" t="s">
        <v>16646</v>
      </c>
    </row>
    <row r="16616">
      <c r="A16616" s="11" t="s">
        <v>16647</v>
      </c>
    </row>
    <row r="16617">
      <c r="A16617" s="11" t="s">
        <v>16648</v>
      </c>
    </row>
    <row r="16618">
      <c r="A16618" s="11" t="s">
        <v>16649</v>
      </c>
    </row>
    <row r="16619">
      <c r="A16619" s="11" t="s">
        <v>16650</v>
      </c>
    </row>
    <row r="16620">
      <c r="A16620" s="11" t="s">
        <v>16651</v>
      </c>
    </row>
    <row r="16621">
      <c r="A16621" s="11" t="s">
        <v>16652</v>
      </c>
    </row>
    <row r="16622">
      <c r="A16622" s="11" t="s">
        <v>16653</v>
      </c>
    </row>
    <row r="16623">
      <c r="A16623" s="11" t="s">
        <v>16654</v>
      </c>
    </row>
    <row r="16624">
      <c r="A16624" s="11" t="s">
        <v>16655</v>
      </c>
    </row>
    <row r="16625">
      <c r="A16625" s="11" t="s">
        <v>16656</v>
      </c>
    </row>
    <row r="16626">
      <c r="A16626" s="11" t="s">
        <v>16657</v>
      </c>
    </row>
    <row r="16627">
      <c r="A16627" s="11" t="s">
        <v>16658</v>
      </c>
    </row>
    <row r="16628">
      <c r="A16628" s="11" t="s">
        <v>16659</v>
      </c>
    </row>
    <row r="16629">
      <c r="A16629" s="11" t="s">
        <v>16660</v>
      </c>
    </row>
    <row r="16630">
      <c r="A16630" s="11" t="s">
        <v>16661</v>
      </c>
    </row>
    <row r="16631">
      <c r="A16631" s="11" t="s">
        <v>16662</v>
      </c>
    </row>
    <row r="16632">
      <c r="A16632" s="11" t="s">
        <v>16663</v>
      </c>
    </row>
    <row r="16633">
      <c r="A16633" s="11" t="s">
        <v>16664</v>
      </c>
    </row>
    <row r="16634">
      <c r="A16634" s="11" t="s">
        <v>16665</v>
      </c>
    </row>
    <row r="16635">
      <c r="A16635" s="11" t="s">
        <v>16666</v>
      </c>
    </row>
    <row r="16636">
      <c r="A16636" s="11" t="s">
        <v>16667</v>
      </c>
    </row>
    <row r="16637">
      <c r="A16637" s="11" t="s">
        <v>16668</v>
      </c>
    </row>
    <row r="16638">
      <c r="A16638" s="11" t="s">
        <v>16669</v>
      </c>
    </row>
    <row r="16639">
      <c r="A16639" s="11" t="s">
        <v>16670</v>
      </c>
    </row>
    <row r="16640">
      <c r="A16640" s="11" t="s">
        <v>16671</v>
      </c>
    </row>
    <row r="16641">
      <c r="A16641" s="11" t="s">
        <v>16672</v>
      </c>
    </row>
    <row r="16642">
      <c r="A16642" s="11" t="s">
        <v>16673</v>
      </c>
    </row>
    <row r="16643">
      <c r="A16643" s="11" t="s">
        <v>16674</v>
      </c>
    </row>
    <row r="16644">
      <c r="A16644" s="11" t="s">
        <v>16675</v>
      </c>
    </row>
    <row r="16645">
      <c r="A16645" s="11" t="s">
        <v>16676</v>
      </c>
    </row>
    <row r="16646">
      <c r="A16646" s="11" t="s">
        <v>16677</v>
      </c>
    </row>
    <row r="16647">
      <c r="A16647" s="11" t="s">
        <v>16678</v>
      </c>
    </row>
    <row r="16648">
      <c r="A16648" s="11" t="s">
        <v>16679</v>
      </c>
    </row>
    <row r="16649">
      <c r="A16649" s="11" t="s">
        <v>16680</v>
      </c>
    </row>
    <row r="16650">
      <c r="A16650" s="11" t="s">
        <v>16681</v>
      </c>
    </row>
    <row r="16651">
      <c r="A16651" s="11" t="s">
        <v>16682</v>
      </c>
    </row>
    <row r="16652">
      <c r="A16652" s="11" t="s">
        <v>16683</v>
      </c>
    </row>
    <row r="16653">
      <c r="A16653" s="11" t="s">
        <v>16684</v>
      </c>
    </row>
    <row r="16654">
      <c r="A16654" s="11" t="s">
        <v>16685</v>
      </c>
    </row>
    <row r="16655">
      <c r="A16655" s="11" t="s">
        <v>16686</v>
      </c>
    </row>
    <row r="16656">
      <c r="A16656" s="11" t="s">
        <v>16687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tr">
        <f>IFERROR(__xludf.DUMMYFUNCTION("IF('(INGESTA)Datos_consumo_datadis'!A1&lt;&gt;"""",SPLIT('(INGESTA)Datos_consumo_datadis'!A:A,"",""),"""")"),"cups")</f>
        <v>cups</v>
      </c>
      <c r="B1" s="8" t="str">
        <f>IFERROR(__xludf.DUMMYFUNCTION("""COMPUTED_VALUE"""),"date")</f>
        <v>date</v>
      </c>
      <c r="C1" s="8" t="str">
        <f>IFERROR(__xludf.DUMMYFUNCTION("""COMPUTED_VALUE"""),"time")</f>
        <v>time</v>
      </c>
      <c r="D1" s="8" t="str">
        <f>IFERROR(__xludf.DUMMYFUNCTION("""COMPUTED_VALUE"""),"consumptionKWh")</f>
        <v>consumptionKWh</v>
      </c>
      <c r="E1" s="8" t="str">
        <f>IFERROR(__xludf.DUMMYFUNCTION("""COMPUTED_VALUE"""),"obtainMethod")</f>
        <v>obtainMethod</v>
      </c>
      <c r="F1" s="8" t="str">
        <f>IFERROR(__xludf.DUMMYFUNCTION("""COMPUTED_VALUE"""),"surplusEnergyKWh")</f>
        <v>surplusEnergyKWh</v>
      </c>
      <c r="G1" s="11" t="s">
        <v>16688</v>
      </c>
      <c r="H1" s="11" t="s">
        <v>16689</v>
      </c>
      <c r="I1" s="11" t="s">
        <v>16690</v>
      </c>
      <c r="M1" s="1" t="s">
        <v>16688</v>
      </c>
      <c r="N1" s="8">
        <f>SWITCH(Vista!B1, "enero", 1, "febrero", 2, "marzo", 3, "abril", 4, "mayo", 5, "junio", 6, "julio", 7, "agosto", 8, "septiembre", 9, "octubre", 10, "noviembre", 11, "diciembre", 12)</f>
        <v>2</v>
      </c>
    </row>
    <row r="2">
      <c r="A2" s="8" t="str">
        <f>IFERROR(__xludf.DUMMYFUNCTION("IF('(INGESTA)Datos_consumo_datadis'!A2&lt;&gt;"""",SPLIT('(INGESTA)Datos_consumo_datadis'!A:A,"",""),"""")"),"ES0031408323131005HX0F")</f>
        <v>ES0031408323131005HX0F</v>
      </c>
      <c r="B2" s="12">
        <f>IFERROR(__xludf.DUMMYFUNCTION("""COMPUTED_VALUE"""),44866.0)</f>
        <v>44866</v>
      </c>
      <c r="C2" s="13">
        <f>IFERROR(__xludf.DUMMYFUNCTION("""COMPUTED_VALUE"""),0.041666666666666664)</f>
        <v>0.04166666667</v>
      </c>
      <c r="D2" s="8">
        <f>IFERROR(__xludf.DUMMYFUNCTION("""COMPUTED_VALUE"""),0.324)</f>
        <v>0.324</v>
      </c>
      <c r="E2" s="8" t="str">
        <f>IFERROR(__xludf.DUMMYFUNCTION("""COMPUTED_VALUE"""),"Real")</f>
        <v>Real</v>
      </c>
      <c r="G2" s="8">
        <f t="shared" ref="G2:G19000" si="1">IF(B2&lt;&gt;"",MONTH(B2),"")</f>
        <v>11</v>
      </c>
      <c r="H2" s="14">
        <f t="shared" ref="H2:H19000" si="2">IF(B2&lt;&gt;"",DAY(B2),"")</f>
        <v>1</v>
      </c>
      <c r="I2" s="15">
        <f t="shared" ref="I2:I19000" si="3">IF(C2="24:00:00","0",IF(C2&lt;&gt;"",HOUR(C2),""))</f>
        <v>1</v>
      </c>
      <c r="L2" s="1">
        <v>0.0</v>
      </c>
      <c r="M2" s="8">
        <f t="shared" ref="M2:M25" si="4">AVERAGEIFS(D:D,I:I,L2,G:G,$N$1)</f>
        <v>1.176614035</v>
      </c>
      <c r="N2" s="8">
        <f>IF(PV!W4&lt;0,0,IF(M2&gt;PV!W4,PV!W4,M2))</f>
        <v>0</v>
      </c>
    </row>
    <row r="3">
      <c r="A3" s="8" t="str">
        <f>IFERROR(__xludf.DUMMYFUNCTION("IF('(INGESTA)Datos_consumo_datadis'!A3&lt;&gt;"""",SPLIT('(INGESTA)Datos_consumo_datadis'!A:A,"",""),"""")"),"ES0031408323131005HX0F")</f>
        <v>ES0031408323131005HX0F</v>
      </c>
      <c r="B3" s="12">
        <f>IFERROR(__xludf.DUMMYFUNCTION("""COMPUTED_VALUE"""),44866.0)</f>
        <v>44866</v>
      </c>
      <c r="C3" s="13">
        <f>IFERROR(__xludf.DUMMYFUNCTION("""COMPUTED_VALUE"""),0.08333333333333333)</f>
        <v>0.08333333333</v>
      </c>
      <c r="D3" s="8">
        <f>IFERROR(__xludf.DUMMYFUNCTION("""COMPUTED_VALUE"""),0.136)</f>
        <v>0.136</v>
      </c>
      <c r="E3" s="8" t="str">
        <f>IFERROR(__xludf.DUMMYFUNCTION("""COMPUTED_VALUE"""),"Real")</f>
        <v>Real</v>
      </c>
      <c r="G3" s="8">
        <f t="shared" si="1"/>
        <v>11</v>
      </c>
      <c r="H3" s="14">
        <f t="shared" si="2"/>
        <v>1</v>
      </c>
      <c r="I3" s="15">
        <f t="shared" si="3"/>
        <v>2</v>
      </c>
      <c r="L3" s="1">
        <v>1.0</v>
      </c>
      <c r="M3" s="8">
        <f t="shared" si="4"/>
        <v>0.8995438596</v>
      </c>
      <c r="N3" s="8">
        <f>IF(PV!W5&lt;0,0,IF(M3&gt;PV!W5,PV!W5,M3))</f>
        <v>0</v>
      </c>
    </row>
    <row r="4">
      <c r="A4" s="8" t="str">
        <f>IFERROR(__xludf.DUMMYFUNCTION("IF('(INGESTA)Datos_consumo_datadis'!A4&lt;&gt;"""",SPLIT('(INGESTA)Datos_consumo_datadis'!A:A,"",""),"""")"),"ES0031408323131005HX0F")</f>
        <v>ES0031408323131005HX0F</v>
      </c>
      <c r="B4" s="12">
        <f>IFERROR(__xludf.DUMMYFUNCTION("""COMPUTED_VALUE"""),44866.0)</f>
        <v>44866</v>
      </c>
      <c r="C4" s="13">
        <f>IFERROR(__xludf.DUMMYFUNCTION("""COMPUTED_VALUE"""),0.125)</f>
        <v>0.125</v>
      </c>
      <c r="D4" s="8">
        <f>IFERROR(__xludf.DUMMYFUNCTION("""COMPUTED_VALUE"""),0.111)</f>
        <v>0.111</v>
      </c>
      <c r="E4" s="8" t="str">
        <f>IFERROR(__xludf.DUMMYFUNCTION("""COMPUTED_VALUE"""),"Real")</f>
        <v>Real</v>
      </c>
      <c r="G4" s="8">
        <f t="shared" si="1"/>
        <v>11</v>
      </c>
      <c r="H4" s="14">
        <f t="shared" si="2"/>
        <v>1</v>
      </c>
      <c r="I4" s="15">
        <f t="shared" si="3"/>
        <v>3</v>
      </c>
      <c r="L4" s="1">
        <v>2.0</v>
      </c>
      <c r="M4" s="8">
        <f t="shared" si="4"/>
        <v>0.6994210526</v>
      </c>
      <c r="N4" s="8">
        <f>IF(PV!W6&lt;0,0,IF(M4&gt;PV!W6,PV!W6,M4))</f>
        <v>0</v>
      </c>
    </row>
    <row r="5">
      <c r="A5" s="8" t="str">
        <f>IFERROR(__xludf.DUMMYFUNCTION("IF('(INGESTA)Datos_consumo_datadis'!A5&lt;&gt;"""",SPLIT('(INGESTA)Datos_consumo_datadis'!A:A,"",""),"""")"),"ES0031408323131005HX0F")</f>
        <v>ES0031408323131005HX0F</v>
      </c>
      <c r="B5" s="12">
        <f>IFERROR(__xludf.DUMMYFUNCTION("""COMPUTED_VALUE"""),44866.0)</f>
        <v>44866</v>
      </c>
      <c r="C5" s="13">
        <f>IFERROR(__xludf.DUMMYFUNCTION("""COMPUTED_VALUE"""),0.16666666666666666)</f>
        <v>0.1666666667</v>
      </c>
      <c r="D5" s="8">
        <f>IFERROR(__xludf.DUMMYFUNCTION("""COMPUTED_VALUE"""),0.073)</f>
        <v>0.073</v>
      </c>
      <c r="E5" s="8" t="str">
        <f>IFERROR(__xludf.DUMMYFUNCTION("""COMPUTED_VALUE"""),"Real")</f>
        <v>Real</v>
      </c>
      <c r="G5" s="8">
        <f t="shared" si="1"/>
        <v>11</v>
      </c>
      <c r="H5" s="14">
        <f t="shared" si="2"/>
        <v>1</v>
      </c>
      <c r="I5" s="15">
        <f t="shared" si="3"/>
        <v>4</v>
      </c>
      <c r="L5" s="1">
        <v>3.0</v>
      </c>
      <c r="M5" s="8">
        <f t="shared" si="4"/>
        <v>0.6597368421</v>
      </c>
      <c r="N5" s="8">
        <f>IF(PV!W7&lt;0,0,IF(M5&gt;PV!W7,PV!W7,M5))</f>
        <v>0</v>
      </c>
    </row>
    <row r="6">
      <c r="A6" s="8" t="str">
        <f>IFERROR(__xludf.DUMMYFUNCTION("IF('(INGESTA)Datos_consumo_datadis'!A6&lt;&gt;"""",SPLIT('(INGESTA)Datos_consumo_datadis'!A:A,"",""),"""")"),"ES0031408323131005HX0F")</f>
        <v>ES0031408323131005HX0F</v>
      </c>
      <c r="B6" s="12">
        <f>IFERROR(__xludf.DUMMYFUNCTION("""COMPUTED_VALUE"""),44866.0)</f>
        <v>44866</v>
      </c>
      <c r="C6" s="13">
        <f>IFERROR(__xludf.DUMMYFUNCTION("""COMPUTED_VALUE"""),0.20833333333333334)</f>
        <v>0.2083333333</v>
      </c>
      <c r="D6" s="8">
        <f>IFERROR(__xludf.DUMMYFUNCTION("""COMPUTED_VALUE"""),0.024)</f>
        <v>0.024</v>
      </c>
      <c r="E6" s="8" t="str">
        <f>IFERROR(__xludf.DUMMYFUNCTION("""COMPUTED_VALUE"""),"Real")</f>
        <v>Real</v>
      </c>
      <c r="G6" s="8">
        <f t="shared" si="1"/>
        <v>11</v>
      </c>
      <c r="H6" s="14">
        <f t="shared" si="2"/>
        <v>1</v>
      </c>
      <c r="I6" s="15">
        <f t="shared" si="3"/>
        <v>5</v>
      </c>
      <c r="L6" s="1">
        <v>4.0</v>
      </c>
      <c r="M6" s="8">
        <f t="shared" si="4"/>
        <v>0.6564912281</v>
      </c>
      <c r="N6" s="8">
        <f>IF(PV!W8&lt;0,0,IF(M6&gt;PV!W8,PV!W8,M6))</f>
        <v>0</v>
      </c>
    </row>
    <row r="7">
      <c r="A7" s="8" t="str">
        <f>IFERROR(__xludf.DUMMYFUNCTION("IF('(INGESTA)Datos_consumo_datadis'!A7&lt;&gt;"""",SPLIT('(INGESTA)Datos_consumo_datadis'!A:A,"",""),"""")"),"ES0031408323131005HX0F")</f>
        <v>ES0031408323131005HX0F</v>
      </c>
      <c r="B7" s="12">
        <f>IFERROR(__xludf.DUMMYFUNCTION("""COMPUTED_VALUE"""),44866.0)</f>
        <v>44866</v>
      </c>
      <c r="C7" s="13">
        <f>IFERROR(__xludf.DUMMYFUNCTION("""COMPUTED_VALUE"""),0.25)</f>
        <v>0.25</v>
      </c>
      <c r="D7" s="8">
        <f>IFERROR(__xludf.DUMMYFUNCTION("""COMPUTED_VALUE"""),0.085)</f>
        <v>0.085</v>
      </c>
      <c r="E7" s="8" t="str">
        <f>IFERROR(__xludf.DUMMYFUNCTION("""COMPUTED_VALUE"""),"Real")</f>
        <v>Real</v>
      </c>
      <c r="G7" s="8">
        <f t="shared" si="1"/>
        <v>11</v>
      </c>
      <c r="H7" s="14">
        <f t="shared" si="2"/>
        <v>1</v>
      </c>
      <c r="I7" s="15">
        <f t="shared" si="3"/>
        <v>6</v>
      </c>
      <c r="L7" s="1">
        <v>5.0</v>
      </c>
      <c r="M7" s="8">
        <f t="shared" si="4"/>
        <v>0.6012280702</v>
      </c>
      <c r="N7" s="8">
        <f>IF(PV!W9&lt;0,0,IF(M7&gt;PV!W9,PV!W9,M7))</f>
        <v>0</v>
      </c>
    </row>
    <row r="8">
      <c r="A8" s="8" t="str">
        <f>IFERROR(__xludf.DUMMYFUNCTION("IF('(INGESTA)Datos_consumo_datadis'!A8&lt;&gt;"""",SPLIT('(INGESTA)Datos_consumo_datadis'!A:A,"",""),"""")"),"ES0031408323131005HX0F")</f>
        <v>ES0031408323131005HX0F</v>
      </c>
      <c r="B8" s="12">
        <f>IFERROR(__xludf.DUMMYFUNCTION("""COMPUTED_VALUE"""),44866.0)</f>
        <v>44866</v>
      </c>
      <c r="C8" s="13">
        <f>IFERROR(__xludf.DUMMYFUNCTION("""COMPUTED_VALUE"""),0.2916666666666667)</f>
        <v>0.2916666667</v>
      </c>
      <c r="D8" s="8">
        <f>IFERROR(__xludf.DUMMYFUNCTION("""COMPUTED_VALUE"""),0.109)</f>
        <v>0.109</v>
      </c>
      <c r="E8" s="8" t="str">
        <f>IFERROR(__xludf.DUMMYFUNCTION("""COMPUTED_VALUE"""),"Real")</f>
        <v>Real</v>
      </c>
      <c r="G8" s="8">
        <f t="shared" si="1"/>
        <v>11</v>
      </c>
      <c r="H8" s="14">
        <f t="shared" si="2"/>
        <v>1</v>
      </c>
      <c r="I8" s="15">
        <f t="shared" si="3"/>
        <v>7</v>
      </c>
      <c r="L8" s="1">
        <v>6.0</v>
      </c>
      <c r="M8" s="8">
        <f t="shared" si="4"/>
        <v>0.6369649123</v>
      </c>
      <c r="N8" s="8">
        <f>IF(PV!W10&lt;0,0,IF(M8&gt;PV!W10,PV!W10,M8))</f>
        <v>0</v>
      </c>
    </row>
    <row r="9">
      <c r="A9" s="8" t="str">
        <f>IFERROR(__xludf.DUMMYFUNCTION("IF('(INGESTA)Datos_consumo_datadis'!A9&lt;&gt;"""",SPLIT('(INGESTA)Datos_consumo_datadis'!A:A,"",""),"""")"),"ES0031408323131005HX0F")</f>
        <v>ES0031408323131005HX0F</v>
      </c>
      <c r="B9" s="12">
        <f>IFERROR(__xludf.DUMMYFUNCTION("""COMPUTED_VALUE"""),44866.0)</f>
        <v>44866</v>
      </c>
      <c r="C9" s="13">
        <f>IFERROR(__xludf.DUMMYFUNCTION("""COMPUTED_VALUE"""),0.3333333333333333)</f>
        <v>0.3333333333</v>
      </c>
      <c r="D9" s="8">
        <f>IFERROR(__xludf.DUMMYFUNCTION("""COMPUTED_VALUE"""),0.544)</f>
        <v>0.544</v>
      </c>
      <c r="E9" s="8" t="str">
        <f>IFERROR(__xludf.DUMMYFUNCTION("""COMPUTED_VALUE"""),"Real")</f>
        <v>Real</v>
      </c>
      <c r="G9" s="8">
        <f t="shared" si="1"/>
        <v>11</v>
      </c>
      <c r="H9" s="14">
        <f t="shared" si="2"/>
        <v>1</v>
      </c>
      <c r="I9" s="15">
        <f t="shared" si="3"/>
        <v>8</v>
      </c>
      <c r="L9" s="1">
        <v>7.0</v>
      </c>
      <c r="M9" s="8">
        <f t="shared" si="4"/>
        <v>0.6758070175</v>
      </c>
      <c r="N9" s="8">
        <f>IF(PV!W11&lt;0,0,IF(M9&gt;PV!W11,PV!W11,M9))</f>
        <v>0.1356642857</v>
      </c>
    </row>
    <row r="10">
      <c r="A10" s="8" t="str">
        <f>IFERROR(__xludf.DUMMYFUNCTION("IF('(INGESTA)Datos_consumo_datadis'!A10&lt;&gt;"""",SPLIT('(INGESTA)Datos_consumo_datadis'!A:A,"",""),"""")"),"ES0031408323131005HX0F")</f>
        <v>ES0031408323131005HX0F</v>
      </c>
      <c r="B10" s="12">
        <f>IFERROR(__xludf.DUMMYFUNCTION("""COMPUTED_VALUE"""),44866.0)</f>
        <v>44866</v>
      </c>
      <c r="C10" s="13">
        <f>IFERROR(__xludf.DUMMYFUNCTION("""COMPUTED_VALUE"""),0.375)</f>
        <v>0.375</v>
      </c>
      <c r="D10" s="8">
        <f>IFERROR(__xludf.DUMMYFUNCTION("""COMPUTED_VALUE"""),0.8)</f>
        <v>0.8</v>
      </c>
      <c r="E10" s="8" t="str">
        <f>IFERROR(__xludf.DUMMYFUNCTION("""COMPUTED_VALUE"""),"Real")</f>
        <v>Real</v>
      </c>
      <c r="G10" s="8">
        <f t="shared" si="1"/>
        <v>11</v>
      </c>
      <c r="H10" s="14">
        <f t="shared" si="2"/>
        <v>1</v>
      </c>
      <c r="I10" s="15">
        <f t="shared" si="3"/>
        <v>9</v>
      </c>
      <c r="L10" s="1">
        <v>8.0</v>
      </c>
      <c r="M10" s="8">
        <f t="shared" si="4"/>
        <v>0.7247894737</v>
      </c>
      <c r="N10" s="8">
        <f>IF(PV!W12&lt;0,0,IF(M10&gt;PV!W12,PV!W12,M10))</f>
        <v>0.7247894737</v>
      </c>
    </row>
    <row r="11">
      <c r="A11" s="8" t="str">
        <f>IFERROR(__xludf.DUMMYFUNCTION("IF('(INGESTA)Datos_consumo_datadis'!A11&lt;&gt;"""",SPLIT('(INGESTA)Datos_consumo_datadis'!A:A,"",""),"""")"),"ES0031408323131005HX0F")</f>
        <v>ES0031408323131005HX0F</v>
      </c>
      <c r="B11" s="12">
        <f>IFERROR(__xludf.DUMMYFUNCTION("""COMPUTED_VALUE"""),44866.0)</f>
        <v>44866</v>
      </c>
      <c r="C11" s="13">
        <f>IFERROR(__xludf.DUMMYFUNCTION("""COMPUTED_VALUE"""),0.4166666666666667)</f>
        <v>0.4166666667</v>
      </c>
      <c r="D11" s="8">
        <f>IFERROR(__xludf.DUMMYFUNCTION("""COMPUTED_VALUE"""),0.121)</f>
        <v>0.121</v>
      </c>
      <c r="E11" s="8" t="str">
        <f>IFERROR(__xludf.DUMMYFUNCTION("""COMPUTED_VALUE"""),"Real")</f>
        <v>Real</v>
      </c>
      <c r="G11" s="8">
        <f t="shared" si="1"/>
        <v>11</v>
      </c>
      <c r="H11" s="14">
        <f t="shared" si="2"/>
        <v>1</v>
      </c>
      <c r="I11" s="15">
        <f t="shared" si="3"/>
        <v>10</v>
      </c>
      <c r="L11" s="1">
        <v>9.0</v>
      </c>
      <c r="M11" s="8">
        <f t="shared" si="4"/>
        <v>0.6129122807</v>
      </c>
      <c r="N11" s="8">
        <f>IF(PV!W13&lt;0,0,IF(M11&gt;PV!W13,PV!W13,M11))</f>
        <v>0.6129122807</v>
      </c>
    </row>
    <row r="12">
      <c r="A12" s="8" t="str">
        <f>IFERROR(__xludf.DUMMYFUNCTION("IF('(INGESTA)Datos_consumo_datadis'!A12&lt;&gt;"""",SPLIT('(INGESTA)Datos_consumo_datadis'!A:A,"",""),"""")"),"ES0031408323131005HX0F")</f>
        <v>ES0031408323131005HX0F</v>
      </c>
      <c r="B12" s="12">
        <f>IFERROR(__xludf.DUMMYFUNCTION("""COMPUTED_VALUE"""),44866.0)</f>
        <v>44866</v>
      </c>
      <c r="C12" s="13">
        <f>IFERROR(__xludf.DUMMYFUNCTION("""COMPUTED_VALUE"""),0.4583333333333333)</f>
        <v>0.4583333333</v>
      </c>
      <c r="D12" s="8">
        <f>IFERROR(__xludf.DUMMYFUNCTION("""COMPUTED_VALUE"""),0.016)</f>
        <v>0.016</v>
      </c>
      <c r="E12" s="8" t="str">
        <f>IFERROR(__xludf.DUMMYFUNCTION("""COMPUTED_VALUE"""),"Real")</f>
        <v>Real</v>
      </c>
      <c r="G12" s="8">
        <f t="shared" si="1"/>
        <v>11</v>
      </c>
      <c r="H12" s="14">
        <f t="shared" si="2"/>
        <v>1</v>
      </c>
      <c r="I12" s="15">
        <f t="shared" si="3"/>
        <v>11</v>
      </c>
      <c r="L12" s="1">
        <v>10.0</v>
      </c>
      <c r="M12" s="8">
        <f t="shared" si="4"/>
        <v>0.7680701754</v>
      </c>
      <c r="N12" s="8">
        <f>IF(PV!W14&lt;0,0,IF(M12&gt;PV!W14,PV!W14,M12))</f>
        <v>0.7680701754</v>
      </c>
    </row>
    <row r="13">
      <c r="A13" s="8" t="str">
        <f>IFERROR(__xludf.DUMMYFUNCTION("IF('(INGESTA)Datos_consumo_datadis'!A13&lt;&gt;"""",SPLIT('(INGESTA)Datos_consumo_datadis'!A:A,"",""),"""")"),"ES0031408323131005HX0F")</f>
        <v>ES0031408323131005HX0F</v>
      </c>
      <c r="B13" s="12">
        <f>IFERROR(__xludf.DUMMYFUNCTION("""COMPUTED_VALUE"""),44866.0)</f>
        <v>44866</v>
      </c>
      <c r="C13" s="13">
        <f>IFERROR(__xludf.DUMMYFUNCTION("""COMPUTED_VALUE"""),0.5)</f>
        <v>0.5</v>
      </c>
      <c r="D13" s="8">
        <f>IFERROR(__xludf.DUMMYFUNCTION("""COMPUTED_VALUE"""),0.0)</f>
        <v>0</v>
      </c>
      <c r="E13" s="8" t="str">
        <f>IFERROR(__xludf.DUMMYFUNCTION("""COMPUTED_VALUE"""),"Real")</f>
        <v>Real</v>
      </c>
      <c r="G13" s="8">
        <f t="shared" si="1"/>
        <v>11</v>
      </c>
      <c r="H13" s="14">
        <f t="shared" si="2"/>
        <v>1</v>
      </c>
      <c r="I13" s="15">
        <f t="shared" si="3"/>
        <v>12</v>
      </c>
      <c r="L13" s="1">
        <v>11.0</v>
      </c>
      <c r="M13" s="8">
        <f t="shared" si="4"/>
        <v>0.9052105263</v>
      </c>
      <c r="N13" s="8">
        <f>IF(PV!W15&lt;0,0,IF(M13&gt;PV!W15,PV!W15,M13))</f>
        <v>0.9052105263</v>
      </c>
    </row>
    <row r="14">
      <c r="A14" s="8" t="str">
        <f>IFERROR(__xludf.DUMMYFUNCTION("IF('(INGESTA)Datos_consumo_datadis'!A14&lt;&gt;"""",SPLIT('(INGESTA)Datos_consumo_datadis'!A:A,"",""),"""")"),"ES0031408323131005HX0F")</f>
        <v>ES0031408323131005HX0F</v>
      </c>
      <c r="B14" s="12">
        <f>IFERROR(__xludf.DUMMYFUNCTION("""COMPUTED_VALUE"""),44866.0)</f>
        <v>44866</v>
      </c>
      <c r="C14" s="13">
        <f>IFERROR(__xludf.DUMMYFUNCTION("""COMPUTED_VALUE"""),0.5416666666666666)</f>
        <v>0.5416666667</v>
      </c>
      <c r="D14" s="8">
        <f>IFERROR(__xludf.DUMMYFUNCTION("""COMPUTED_VALUE"""),0.0)</f>
        <v>0</v>
      </c>
      <c r="E14" s="8" t="str">
        <f>IFERROR(__xludf.DUMMYFUNCTION("""COMPUTED_VALUE"""),"Real")</f>
        <v>Real</v>
      </c>
      <c r="G14" s="8">
        <f t="shared" si="1"/>
        <v>11</v>
      </c>
      <c r="H14" s="14">
        <f t="shared" si="2"/>
        <v>1</v>
      </c>
      <c r="I14" s="15">
        <f t="shared" si="3"/>
        <v>13</v>
      </c>
      <c r="L14" s="1">
        <v>12.0</v>
      </c>
      <c r="M14" s="8">
        <f t="shared" si="4"/>
        <v>0.7042105263</v>
      </c>
      <c r="N14" s="8">
        <f>IF(PV!W16&lt;0,0,IF(M14&gt;PV!W16,PV!W16,M14))</f>
        <v>0.7042105263</v>
      </c>
    </row>
    <row r="15">
      <c r="A15" s="8" t="str">
        <f>IFERROR(__xludf.DUMMYFUNCTION("IF('(INGESTA)Datos_consumo_datadis'!A15&lt;&gt;"""",SPLIT('(INGESTA)Datos_consumo_datadis'!A:A,"",""),"""")"),"ES0031408323131005HX0F")</f>
        <v>ES0031408323131005HX0F</v>
      </c>
      <c r="B15" s="12">
        <f>IFERROR(__xludf.DUMMYFUNCTION("""COMPUTED_VALUE"""),44866.0)</f>
        <v>44866</v>
      </c>
      <c r="C15" s="13">
        <f>IFERROR(__xludf.DUMMYFUNCTION("""COMPUTED_VALUE"""),0.5833333333333334)</f>
        <v>0.5833333333</v>
      </c>
      <c r="D15" s="8">
        <f>IFERROR(__xludf.DUMMYFUNCTION("""COMPUTED_VALUE"""),0.0)</f>
        <v>0</v>
      </c>
      <c r="E15" s="8" t="str">
        <f>IFERROR(__xludf.DUMMYFUNCTION("""COMPUTED_VALUE"""),"Real")</f>
        <v>Real</v>
      </c>
      <c r="G15" s="8">
        <f t="shared" si="1"/>
        <v>11</v>
      </c>
      <c r="H15" s="14">
        <f t="shared" si="2"/>
        <v>1</v>
      </c>
      <c r="I15" s="15">
        <f t="shared" si="3"/>
        <v>14</v>
      </c>
      <c r="L15" s="1">
        <v>13.0</v>
      </c>
      <c r="M15" s="8">
        <f t="shared" si="4"/>
        <v>0.439</v>
      </c>
      <c r="N15" s="8">
        <f>IF(PV!W17&lt;0,0,IF(M15&gt;PV!W17,PV!W17,M15))</f>
        <v>0.439</v>
      </c>
    </row>
    <row r="16">
      <c r="A16" s="8" t="str">
        <f>IFERROR(__xludf.DUMMYFUNCTION("IF('(INGESTA)Datos_consumo_datadis'!A16&lt;&gt;"""",SPLIT('(INGESTA)Datos_consumo_datadis'!A:A,"",""),"""")"),"ES0031408323131005HX0F")</f>
        <v>ES0031408323131005HX0F</v>
      </c>
      <c r="B16" s="12">
        <f>IFERROR(__xludf.DUMMYFUNCTION("""COMPUTED_VALUE"""),44866.0)</f>
        <v>44866</v>
      </c>
      <c r="C16" s="13">
        <f>IFERROR(__xludf.DUMMYFUNCTION("""COMPUTED_VALUE"""),0.625)</f>
        <v>0.625</v>
      </c>
      <c r="D16" s="8">
        <f>IFERROR(__xludf.DUMMYFUNCTION("""COMPUTED_VALUE"""),0.0)</f>
        <v>0</v>
      </c>
      <c r="E16" s="8" t="str">
        <f>IFERROR(__xludf.DUMMYFUNCTION("""COMPUTED_VALUE"""),"Real")</f>
        <v>Real</v>
      </c>
      <c r="G16" s="8">
        <f t="shared" si="1"/>
        <v>11</v>
      </c>
      <c r="H16" s="14">
        <f t="shared" si="2"/>
        <v>1</v>
      </c>
      <c r="I16" s="15">
        <f t="shared" si="3"/>
        <v>15</v>
      </c>
      <c r="L16" s="1">
        <v>14.0</v>
      </c>
      <c r="M16" s="8">
        <f t="shared" si="4"/>
        <v>0.5734210526</v>
      </c>
      <c r="N16" s="8">
        <f>IF(PV!W18&lt;0,0,IF(M16&gt;PV!W18,PV!W18,M16))</f>
        <v>0.5734210526</v>
      </c>
    </row>
    <row r="17">
      <c r="A17" s="8" t="str">
        <f>IFERROR(__xludf.DUMMYFUNCTION("IF('(INGESTA)Datos_consumo_datadis'!A17&lt;&gt;"""",SPLIT('(INGESTA)Datos_consumo_datadis'!A:A,"",""),"""")"),"ES0031408323131005HX0F")</f>
        <v>ES0031408323131005HX0F</v>
      </c>
      <c r="B17" s="12">
        <f>IFERROR(__xludf.DUMMYFUNCTION("""COMPUTED_VALUE"""),44866.0)</f>
        <v>44866</v>
      </c>
      <c r="C17" s="13">
        <f>IFERROR(__xludf.DUMMYFUNCTION("""COMPUTED_VALUE"""),0.6666666666666666)</f>
        <v>0.6666666667</v>
      </c>
      <c r="D17" s="8">
        <f>IFERROR(__xludf.DUMMYFUNCTION("""COMPUTED_VALUE"""),0.0)</f>
        <v>0</v>
      </c>
      <c r="E17" s="8" t="str">
        <f>IFERROR(__xludf.DUMMYFUNCTION("""COMPUTED_VALUE"""),"Real")</f>
        <v>Real</v>
      </c>
      <c r="G17" s="8">
        <f t="shared" si="1"/>
        <v>11</v>
      </c>
      <c r="H17" s="14">
        <f t="shared" si="2"/>
        <v>1</v>
      </c>
      <c r="I17" s="15">
        <f t="shared" si="3"/>
        <v>16</v>
      </c>
      <c r="L17" s="1">
        <v>15.0</v>
      </c>
      <c r="M17" s="8">
        <f t="shared" si="4"/>
        <v>0.4844736842</v>
      </c>
      <c r="N17" s="8">
        <f>IF(PV!W19&lt;0,0,IF(M17&gt;PV!W19,PV!W19,M17))</f>
        <v>0.4844736842</v>
      </c>
    </row>
    <row r="18">
      <c r="A18" s="8" t="str">
        <f>IFERROR(__xludf.DUMMYFUNCTION("IF('(INGESTA)Datos_consumo_datadis'!A18&lt;&gt;"""",SPLIT('(INGESTA)Datos_consumo_datadis'!A:A,"",""),"""")"),"ES0031408323131005HX0F")</f>
        <v>ES0031408323131005HX0F</v>
      </c>
      <c r="B18" s="12">
        <f>IFERROR(__xludf.DUMMYFUNCTION("""COMPUTED_VALUE"""),44866.0)</f>
        <v>44866</v>
      </c>
      <c r="C18" s="13">
        <f>IFERROR(__xludf.DUMMYFUNCTION("""COMPUTED_VALUE"""),0.7083333333333334)</f>
        <v>0.7083333333</v>
      </c>
      <c r="D18" s="8">
        <f>IFERROR(__xludf.DUMMYFUNCTION("""COMPUTED_VALUE"""),0.0)</f>
        <v>0</v>
      </c>
      <c r="E18" s="8" t="str">
        <f>IFERROR(__xludf.DUMMYFUNCTION("""COMPUTED_VALUE"""),"Real")</f>
        <v>Real</v>
      </c>
      <c r="G18" s="8">
        <f t="shared" si="1"/>
        <v>11</v>
      </c>
      <c r="H18" s="14">
        <f t="shared" si="2"/>
        <v>1</v>
      </c>
      <c r="I18" s="15">
        <f t="shared" si="3"/>
        <v>17</v>
      </c>
      <c r="L18" s="1">
        <v>16.0</v>
      </c>
      <c r="M18" s="8">
        <f t="shared" si="4"/>
        <v>0.409877193</v>
      </c>
      <c r="N18" s="8">
        <f>IF(PV!W20&lt;0,0,IF(M18&gt;PV!W20,PV!W20,M18))</f>
        <v>0.409877193</v>
      </c>
    </row>
    <row r="19">
      <c r="A19" s="8" t="str">
        <f>IFERROR(__xludf.DUMMYFUNCTION("IF('(INGESTA)Datos_consumo_datadis'!A19&lt;&gt;"""",SPLIT('(INGESTA)Datos_consumo_datadis'!A:A,"",""),"""")"),"ES0031408323131005HX0F")</f>
        <v>ES0031408323131005HX0F</v>
      </c>
      <c r="B19" s="12">
        <f>IFERROR(__xludf.DUMMYFUNCTION("""COMPUTED_VALUE"""),44866.0)</f>
        <v>44866</v>
      </c>
      <c r="C19" s="13">
        <f>IFERROR(__xludf.DUMMYFUNCTION("""COMPUTED_VALUE"""),0.75)</f>
        <v>0.75</v>
      </c>
      <c r="D19" s="8">
        <f>IFERROR(__xludf.DUMMYFUNCTION("""COMPUTED_VALUE"""),0.0)</f>
        <v>0</v>
      </c>
      <c r="E19" s="8" t="str">
        <f>IFERROR(__xludf.DUMMYFUNCTION("""COMPUTED_VALUE"""),"Real")</f>
        <v>Real</v>
      </c>
      <c r="G19" s="8">
        <f t="shared" si="1"/>
        <v>11</v>
      </c>
      <c r="H19" s="14">
        <f t="shared" si="2"/>
        <v>1</v>
      </c>
      <c r="I19" s="15">
        <f t="shared" si="3"/>
        <v>18</v>
      </c>
      <c r="L19" s="1">
        <v>17.0</v>
      </c>
      <c r="M19" s="8">
        <f t="shared" si="4"/>
        <v>0.4468421053</v>
      </c>
      <c r="N19" s="8">
        <f>IF(PV!W21&lt;0,0,IF(M19&gt;PV!W21,PV!W21,M19))</f>
        <v>0.4468421053</v>
      </c>
    </row>
    <row r="20">
      <c r="A20" s="8" t="str">
        <f>IFERROR(__xludf.DUMMYFUNCTION("IF('(INGESTA)Datos_consumo_datadis'!A20&lt;&gt;"""",SPLIT('(INGESTA)Datos_consumo_datadis'!A:A,"",""),"""")"),"ES0031408323131005HX0F")</f>
        <v>ES0031408323131005HX0F</v>
      </c>
      <c r="B20" s="12">
        <f>IFERROR(__xludf.DUMMYFUNCTION("""COMPUTED_VALUE"""),44866.0)</f>
        <v>44866</v>
      </c>
      <c r="C20" s="13">
        <f>IFERROR(__xludf.DUMMYFUNCTION("""COMPUTED_VALUE"""),0.7916666666666666)</f>
        <v>0.7916666667</v>
      </c>
      <c r="D20" s="8">
        <f>IFERROR(__xludf.DUMMYFUNCTION("""COMPUTED_VALUE"""),0.0)</f>
        <v>0</v>
      </c>
      <c r="E20" s="8" t="str">
        <f>IFERROR(__xludf.DUMMYFUNCTION("""COMPUTED_VALUE"""),"Real")</f>
        <v>Real</v>
      </c>
      <c r="G20" s="8">
        <f t="shared" si="1"/>
        <v>11</v>
      </c>
      <c r="H20" s="14">
        <f t="shared" si="2"/>
        <v>1</v>
      </c>
      <c r="I20" s="15">
        <f t="shared" si="3"/>
        <v>19</v>
      </c>
      <c r="L20" s="1">
        <v>18.0</v>
      </c>
      <c r="M20" s="8">
        <f t="shared" si="4"/>
        <v>0.3893684211</v>
      </c>
      <c r="N20" s="8">
        <f>IF(PV!W22&lt;0,0,IF(M20&gt;PV!W22,PV!W22,M20))</f>
        <v>0</v>
      </c>
    </row>
    <row r="21">
      <c r="A21" s="8" t="str">
        <f>IFERROR(__xludf.DUMMYFUNCTION("IF('(INGESTA)Datos_consumo_datadis'!A21&lt;&gt;"""",SPLIT('(INGESTA)Datos_consumo_datadis'!A:A,"",""),"""")"),"ES0031408323131005HX0F")</f>
        <v>ES0031408323131005HX0F</v>
      </c>
      <c r="B21" s="12">
        <f>IFERROR(__xludf.DUMMYFUNCTION("""COMPUTED_VALUE"""),44866.0)</f>
        <v>44866</v>
      </c>
      <c r="C21" s="13">
        <f>IFERROR(__xludf.DUMMYFUNCTION("""COMPUTED_VALUE"""),0.8333333333333334)</f>
        <v>0.8333333333</v>
      </c>
      <c r="D21" s="8">
        <f>IFERROR(__xludf.DUMMYFUNCTION("""COMPUTED_VALUE"""),0.0)</f>
        <v>0</v>
      </c>
      <c r="E21" s="8" t="str">
        <f>IFERROR(__xludf.DUMMYFUNCTION("""COMPUTED_VALUE"""),"Real")</f>
        <v>Real</v>
      </c>
      <c r="G21" s="8">
        <f t="shared" si="1"/>
        <v>11</v>
      </c>
      <c r="H21" s="14">
        <f t="shared" si="2"/>
        <v>1</v>
      </c>
      <c r="I21" s="15">
        <f t="shared" si="3"/>
        <v>20</v>
      </c>
      <c r="L21" s="1">
        <v>19.0</v>
      </c>
      <c r="M21" s="8">
        <f t="shared" si="4"/>
        <v>0.3292631579</v>
      </c>
      <c r="N21" s="8">
        <f>IF(PV!W23&lt;0,0,IF(M21&gt;PV!W23,PV!W23,M21))</f>
        <v>0</v>
      </c>
    </row>
    <row r="22">
      <c r="A22" s="8" t="str">
        <f>IFERROR(__xludf.DUMMYFUNCTION("IF('(INGESTA)Datos_consumo_datadis'!A22&lt;&gt;"""",SPLIT('(INGESTA)Datos_consumo_datadis'!A:A,"",""),"""")"),"ES0031408323131005HX0F")</f>
        <v>ES0031408323131005HX0F</v>
      </c>
      <c r="B22" s="12">
        <f>IFERROR(__xludf.DUMMYFUNCTION("""COMPUTED_VALUE"""),44866.0)</f>
        <v>44866</v>
      </c>
      <c r="C22" s="13">
        <f>IFERROR(__xludf.DUMMYFUNCTION("""COMPUTED_VALUE"""),0.875)</f>
        <v>0.875</v>
      </c>
      <c r="D22" s="8">
        <f>IFERROR(__xludf.DUMMYFUNCTION("""COMPUTED_VALUE"""),0.0)</f>
        <v>0</v>
      </c>
      <c r="E22" s="8" t="str">
        <f>IFERROR(__xludf.DUMMYFUNCTION("""COMPUTED_VALUE"""),"Real")</f>
        <v>Real</v>
      </c>
      <c r="G22" s="8">
        <f t="shared" si="1"/>
        <v>11</v>
      </c>
      <c r="H22" s="14">
        <f t="shared" si="2"/>
        <v>1</v>
      </c>
      <c r="I22" s="15">
        <f t="shared" si="3"/>
        <v>21</v>
      </c>
      <c r="L22" s="1">
        <v>20.0</v>
      </c>
      <c r="M22" s="8">
        <f t="shared" si="4"/>
        <v>0.7515438596</v>
      </c>
      <c r="N22" s="8">
        <f>IF(PV!W24&lt;0,0,IF(M22&gt;PV!W24,PV!W24,M22))</f>
        <v>0</v>
      </c>
    </row>
    <row r="23">
      <c r="A23" s="8" t="str">
        <f>IFERROR(__xludf.DUMMYFUNCTION("IF('(INGESTA)Datos_consumo_datadis'!A23&lt;&gt;"""",SPLIT('(INGESTA)Datos_consumo_datadis'!A:A,"",""),"""")"),"ES0031408323131005HX0F")</f>
        <v>ES0031408323131005HX0F</v>
      </c>
      <c r="B23" s="12">
        <f>IFERROR(__xludf.DUMMYFUNCTION("""COMPUTED_VALUE"""),44866.0)</f>
        <v>44866</v>
      </c>
      <c r="C23" s="13">
        <f>IFERROR(__xludf.DUMMYFUNCTION("""COMPUTED_VALUE"""),0.9166666666666666)</f>
        <v>0.9166666667</v>
      </c>
      <c r="D23" s="8">
        <f>IFERROR(__xludf.DUMMYFUNCTION("""COMPUTED_VALUE"""),0.0)</f>
        <v>0</v>
      </c>
      <c r="E23" s="8" t="str">
        <f>IFERROR(__xludf.DUMMYFUNCTION("""COMPUTED_VALUE"""),"Real")</f>
        <v>Real</v>
      </c>
      <c r="G23" s="8">
        <f t="shared" si="1"/>
        <v>11</v>
      </c>
      <c r="H23" s="14">
        <f t="shared" si="2"/>
        <v>1</v>
      </c>
      <c r="I23" s="15">
        <f t="shared" si="3"/>
        <v>22</v>
      </c>
      <c r="L23" s="1">
        <v>21.0</v>
      </c>
      <c r="M23" s="8">
        <f t="shared" si="4"/>
        <v>1.118263158</v>
      </c>
      <c r="N23" s="8">
        <f>IF(PV!W25&lt;0,0,IF(M23&gt;PV!W25,PV!W25,M23))</f>
        <v>0</v>
      </c>
    </row>
    <row r="24">
      <c r="A24" s="8" t="str">
        <f>IFERROR(__xludf.DUMMYFUNCTION("IF('(INGESTA)Datos_consumo_datadis'!A24&lt;&gt;"""",SPLIT('(INGESTA)Datos_consumo_datadis'!A:A,"",""),"""")"),"ES0031408323131005HX0F")</f>
        <v>ES0031408323131005HX0F</v>
      </c>
      <c r="B24" s="12">
        <f>IFERROR(__xludf.DUMMYFUNCTION("""COMPUTED_VALUE"""),44866.0)</f>
        <v>44866</v>
      </c>
      <c r="C24" s="13">
        <f>IFERROR(__xludf.DUMMYFUNCTION("""COMPUTED_VALUE"""),0.9583333333333334)</f>
        <v>0.9583333333</v>
      </c>
      <c r="D24" s="8">
        <f>IFERROR(__xludf.DUMMYFUNCTION("""COMPUTED_VALUE"""),0.0)</f>
        <v>0</v>
      </c>
      <c r="E24" s="8" t="str">
        <f>IFERROR(__xludf.DUMMYFUNCTION("""COMPUTED_VALUE"""),"Real")</f>
        <v>Real</v>
      </c>
      <c r="G24" s="8">
        <f t="shared" si="1"/>
        <v>11</v>
      </c>
      <c r="H24" s="14">
        <f t="shared" si="2"/>
        <v>1</v>
      </c>
      <c r="I24" s="15">
        <f t="shared" si="3"/>
        <v>23</v>
      </c>
      <c r="L24" s="1">
        <v>22.0</v>
      </c>
      <c r="M24" s="8">
        <f t="shared" si="4"/>
        <v>1.375982456</v>
      </c>
      <c r="N24" s="8">
        <f>IF(PV!W26&lt;0,0,IF(M24&gt;PV!W26,PV!W26,M24))</f>
        <v>0</v>
      </c>
    </row>
    <row r="25">
      <c r="A25" s="8" t="str">
        <f>IFERROR(__xludf.DUMMYFUNCTION("IF('(INGESTA)Datos_consumo_datadis'!A25&lt;&gt;"""",SPLIT('(INGESTA)Datos_consumo_datadis'!A:A,"",""),"""")"),"ES0031408323131005HX0F")</f>
        <v>ES0031408323131005HX0F</v>
      </c>
      <c r="B25" s="12">
        <f>IFERROR(__xludf.DUMMYFUNCTION("""COMPUTED_VALUE"""),44866.0)</f>
        <v>44866</v>
      </c>
      <c r="C25" s="16">
        <f>IFERROR(__xludf.DUMMYFUNCTION("""COMPUTED_VALUE"""),1.0)</f>
        <v>1</v>
      </c>
      <c r="D25" s="8">
        <f>IFERROR(__xludf.DUMMYFUNCTION("""COMPUTED_VALUE"""),0.0)</f>
        <v>0</v>
      </c>
      <c r="E25" s="8" t="str">
        <f>IFERROR(__xludf.DUMMYFUNCTION("""COMPUTED_VALUE"""),"Real")</f>
        <v>Real</v>
      </c>
      <c r="G25" s="8">
        <f t="shared" si="1"/>
        <v>11</v>
      </c>
      <c r="H25" s="14">
        <f t="shared" si="2"/>
        <v>1</v>
      </c>
      <c r="I25" s="15">
        <f t="shared" si="3"/>
        <v>0</v>
      </c>
      <c r="L25" s="1">
        <v>23.0</v>
      </c>
      <c r="M25" s="8">
        <f t="shared" si="4"/>
        <v>1.524245614</v>
      </c>
      <c r="N25" s="8">
        <f>IF(PV!W27&lt;0,0,IF(M25&gt;PV!W27,PV!W27,M25))</f>
        <v>0</v>
      </c>
    </row>
    <row r="26">
      <c r="A26" s="8" t="str">
        <f>IFERROR(__xludf.DUMMYFUNCTION("IF('(INGESTA)Datos_consumo_datadis'!A26&lt;&gt;"""",SPLIT('(INGESTA)Datos_consumo_datadis'!A:A,"",""),"""")"),"ES0031408323131005HX0F")</f>
        <v>ES0031408323131005HX0F</v>
      </c>
      <c r="B26" s="12">
        <f>IFERROR(__xludf.DUMMYFUNCTION("""COMPUTED_VALUE"""),44867.0)</f>
        <v>44867</v>
      </c>
      <c r="C26" s="13">
        <f>IFERROR(__xludf.DUMMYFUNCTION("""COMPUTED_VALUE"""),0.041666666666666664)</f>
        <v>0.04166666667</v>
      </c>
      <c r="D26" s="8">
        <f>IFERROR(__xludf.DUMMYFUNCTION("""COMPUTED_VALUE"""),0.0)</f>
        <v>0</v>
      </c>
      <c r="E26" s="8" t="str">
        <f>IFERROR(__xludf.DUMMYFUNCTION("""COMPUTED_VALUE"""),"Real")</f>
        <v>Real</v>
      </c>
      <c r="G26" s="8">
        <f t="shared" si="1"/>
        <v>11</v>
      </c>
      <c r="H26" s="14">
        <f t="shared" si="2"/>
        <v>2</v>
      </c>
      <c r="I26" s="15">
        <f t="shared" si="3"/>
        <v>1</v>
      </c>
    </row>
    <row r="27">
      <c r="A27" s="8" t="str">
        <f>IFERROR(__xludf.DUMMYFUNCTION("IF('(INGESTA)Datos_consumo_datadis'!A27&lt;&gt;"""",SPLIT('(INGESTA)Datos_consumo_datadis'!A:A,"",""),"""")"),"ES0031408323131005HX0F")</f>
        <v>ES0031408323131005HX0F</v>
      </c>
      <c r="B27" s="12">
        <f>IFERROR(__xludf.DUMMYFUNCTION("""COMPUTED_VALUE"""),44867.0)</f>
        <v>44867</v>
      </c>
      <c r="C27" s="13">
        <f>IFERROR(__xludf.DUMMYFUNCTION("""COMPUTED_VALUE"""),0.08333333333333333)</f>
        <v>0.08333333333</v>
      </c>
      <c r="D27" s="8">
        <f>IFERROR(__xludf.DUMMYFUNCTION("""COMPUTED_VALUE"""),0.0)</f>
        <v>0</v>
      </c>
      <c r="E27" s="8" t="str">
        <f>IFERROR(__xludf.DUMMYFUNCTION("""COMPUTED_VALUE"""),"Real")</f>
        <v>Real</v>
      </c>
      <c r="G27" s="8">
        <f t="shared" si="1"/>
        <v>11</v>
      </c>
      <c r="H27" s="14">
        <f t="shared" si="2"/>
        <v>2</v>
      </c>
      <c r="I27" s="15">
        <f t="shared" si="3"/>
        <v>2</v>
      </c>
    </row>
    <row r="28">
      <c r="A28" s="8" t="str">
        <f>IFERROR(__xludf.DUMMYFUNCTION("IF('(INGESTA)Datos_consumo_datadis'!A28&lt;&gt;"""",SPLIT('(INGESTA)Datos_consumo_datadis'!A:A,"",""),"""")"),"ES0031408323131005HX0F")</f>
        <v>ES0031408323131005HX0F</v>
      </c>
      <c r="B28" s="12">
        <f>IFERROR(__xludf.DUMMYFUNCTION("""COMPUTED_VALUE"""),44867.0)</f>
        <v>44867</v>
      </c>
      <c r="C28" s="13">
        <f>IFERROR(__xludf.DUMMYFUNCTION("""COMPUTED_VALUE"""),0.125)</f>
        <v>0.125</v>
      </c>
      <c r="D28" s="8">
        <f>IFERROR(__xludf.DUMMYFUNCTION("""COMPUTED_VALUE"""),0.0)</f>
        <v>0</v>
      </c>
      <c r="E28" s="8" t="str">
        <f>IFERROR(__xludf.DUMMYFUNCTION("""COMPUTED_VALUE"""),"Real")</f>
        <v>Real</v>
      </c>
      <c r="G28" s="8">
        <f t="shared" si="1"/>
        <v>11</v>
      </c>
      <c r="H28" s="14">
        <f t="shared" si="2"/>
        <v>2</v>
      </c>
      <c r="I28" s="15">
        <f t="shared" si="3"/>
        <v>3</v>
      </c>
    </row>
    <row r="29">
      <c r="A29" s="8" t="str">
        <f>IFERROR(__xludf.DUMMYFUNCTION("IF('(INGESTA)Datos_consumo_datadis'!A29&lt;&gt;"""",SPLIT('(INGESTA)Datos_consumo_datadis'!A:A,"",""),"""")"),"ES0031408323131005HX0F")</f>
        <v>ES0031408323131005HX0F</v>
      </c>
      <c r="B29" s="12">
        <f>IFERROR(__xludf.DUMMYFUNCTION("""COMPUTED_VALUE"""),44867.0)</f>
        <v>44867</v>
      </c>
      <c r="C29" s="13">
        <f>IFERROR(__xludf.DUMMYFUNCTION("""COMPUTED_VALUE"""),0.16666666666666666)</f>
        <v>0.1666666667</v>
      </c>
      <c r="D29" s="8">
        <f>IFERROR(__xludf.DUMMYFUNCTION("""COMPUTED_VALUE"""),0.0)</f>
        <v>0</v>
      </c>
      <c r="E29" s="8" t="str">
        <f>IFERROR(__xludf.DUMMYFUNCTION("""COMPUTED_VALUE"""),"Real")</f>
        <v>Real</v>
      </c>
      <c r="G29" s="8">
        <f t="shared" si="1"/>
        <v>11</v>
      </c>
      <c r="H29" s="14">
        <f t="shared" si="2"/>
        <v>2</v>
      </c>
      <c r="I29" s="15">
        <f t="shared" si="3"/>
        <v>4</v>
      </c>
    </row>
    <row r="30">
      <c r="A30" s="8" t="str">
        <f>IFERROR(__xludf.DUMMYFUNCTION("IF('(INGESTA)Datos_consumo_datadis'!A30&lt;&gt;"""",SPLIT('(INGESTA)Datos_consumo_datadis'!A:A,"",""),"""")"),"ES0031408323131005HX0F")</f>
        <v>ES0031408323131005HX0F</v>
      </c>
      <c r="B30" s="12">
        <f>IFERROR(__xludf.DUMMYFUNCTION("""COMPUTED_VALUE"""),44867.0)</f>
        <v>44867</v>
      </c>
      <c r="C30" s="13">
        <f>IFERROR(__xludf.DUMMYFUNCTION("""COMPUTED_VALUE"""),0.20833333333333334)</f>
        <v>0.2083333333</v>
      </c>
      <c r="D30" s="8">
        <f>IFERROR(__xludf.DUMMYFUNCTION("""COMPUTED_VALUE"""),0.0)</f>
        <v>0</v>
      </c>
      <c r="E30" s="8" t="str">
        <f>IFERROR(__xludf.DUMMYFUNCTION("""COMPUTED_VALUE"""),"Real")</f>
        <v>Real</v>
      </c>
      <c r="G30" s="8">
        <f t="shared" si="1"/>
        <v>11</v>
      </c>
      <c r="H30" s="14">
        <f t="shared" si="2"/>
        <v>2</v>
      </c>
      <c r="I30" s="15">
        <f t="shared" si="3"/>
        <v>5</v>
      </c>
    </row>
    <row r="31">
      <c r="A31" s="8" t="str">
        <f>IFERROR(__xludf.DUMMYFUNCTION("IF('(INGESTA)Datos_consumo_datadis'!A31&lt;&gt;"""",SPLIT('(INGESTA)Datos_consumo_datadis'!A:A,"",""),"""")"),"ES0031408323131005HX0F")</f>
        <v>ES0031408323131005HX0F</v>
      </c>
      <c r="B31" s="12">
        <f>IFERROR(__xludf.DUMMYFUNCTION("""COMPUTED_VALUE"""),44867.0)</f>
        <v>44867</v>
      </c>
      <c r="C31" s="13">
        <f>IFERROR(__xludf.DUMMYFUNCTION("""COMPUTED_VALUE"""),0.25)</f>
        <v>0.25</v>
      </c>
      <c r="D31" s="8">
        <f>IFERROR(__xludf.DUMMYFUNCTION("""COMPUTED_VALUE"""),0.0)</f>
        <v>0</v>
      </c>
      <c r="E31" s="8" t="str">
        <f>IFERROR(__xludf.DUMMYFUNCTION("""COMPUTED_VALUE"""),"Real")</f>
        <v>Real</v>
      </c>
      <c r="G31" s="8">
        <f t="shared" si="1"/>
        <v>11</v>
      </c>
      <c r="H31" s="14">
        <f t="shared" si="2"/>
        <v>2</v>
      </c>
      <c r="I31" s="15">
        <f t="shared" si="3"/>
        <v>6</v>
      </c>
    </row>
    <row r="32">
      <c r="A32" s="8" t="str">
        <f>IFERROR(__xludf.DUMMYFUNCTION("IF('(INGESTA)Datos_consumo_datadis'!A32&lt;&gt;"""",SPLIT('(INGESTA)Datos_consumo_datadis'!A:A,"",""),"""")"),"ES0031408323131005HX0F")</f>
        <v>ES0031408323131005HX0F</v>
      </c>
      <c r="B32" s="12">
        <f>IFERROR(__xludf.DUMMYFUNCTION("""COMPUTED_VALUE"""),44867.0)</f>
        <v>44867</v>
      </c>
      <c r="C32" s="13">
        <f>IFERROR(__xludf.DUMMYFUNCTION("""COMPUTED_VALUE"""),0.2916666666666667)</f>
        <v>0.2916666667</v>
      </c>
      <c r="D32" s="8">
        <f>IFERROR(__xludf.DUMMYFUNCTION("""COMPUTED_VALUE"""),0.0)</f>
        <v>0</v>
      </c>
      <c r="E32" s="8" t="str">
        <f>IFERROR(__xludf.DUMMYFUNCTION("""COMPUTED_VALUE"""),"Real")</f>
        <v>Real</v>
      </c>
      <c r="G32" s="8">
        <f t="shared" si="1"/>
        <v>11</v>
      </c>
      <c r="H32" s="14">
        <f t="shared" si="2"/>
        <v>2</v>
      </c>
      <c r="I32" s="15">
        <f t="shared" si="3"/>
        <v>7</v>
      </c>
    </row>
    <row r="33">
      <c r="A33" s="8" t="str">
        <f>IFERROR(__xludf.DUMMYFUNCTION("IF('(INGESTA)Datos_consumo_datadis'!A33&lt;&gt;"""",SPLIT('(INGESTA)Datos_consumo_datadis'!A:A,"",""),"""")"),"ES0031408323131005HX0F")</f>
        <v>ES0031408323131005HX0F</v>
      </c>
      <c r="B33" s="12">
        <f>IFERROR(__xludf.DUMMYFUNCTION("""COMPUTED_VALUE"""),44867.0)</f>
        <v>44867</v>
      </c>
      <c r="C33" s="13">
        <f>IFERROR(__xludf.DUMMYFUNCTION("""COMPUTED_VALUE"""),0.3333333333333333)</f>
        <v>0.3333333333</v>
      </c>
      <c r="D33" s="8">
        <f>IFERROR(__xludf.DUMMYFUNCTION("""COMPUTED_VALUE"""),0.0)</f>
        <v>0</v>
      </c>
      <c r="E33" s="8" t="str">
        <f>IFERROR(__xludf.DUMMYFUNCTION("""COMPUTED_VALUE"""),"Real")</f>
        <v>Real</v>
      </c>
      <c r="G33" s="8">
        <f t="shared" si="1"/>
        <v>11</v>
      </c>
      <c r="H33" s="14">
        <f t="shared" si="2"/>
        <v>2</v>
      </c>
      <c r="I33" s="15">
        <f t="shared" si="3"/>
        <v>8</v>
      </c>
    </row>
    <row r="34">
      <c r="A34" s="8" t="str">
        <f>IFERROR(__xludf.DUMMYFUNCTION("IF('(INGESTA)Datos_consumo_datadis'!A34&lt;&gt;"""",SPLIT('(INGESTA)Datos_consumo_datadis'!A:A,"",""),"""")"),"ES0031408323131005HX0F")</f>
        <v>ES0031408323131005HX0F</v>
      </c>
      <c r="B34" s="12">
        <f>IFERROR(__xludf.DUMMYFUNCTION("""COMPUTED_VALUE"""),44867.0)</f>
        <v>44867</v>
      </c>
      <c r="C34" s="13">
        <f>IFERROR(__xludf.DUMMYFUNCTION("""COMPUTED_VALUE"""),0.375)</f>
        <v>0.375</v>
      </c>
      <c r="D34" s="8">
        <f>IFERROR(__xludf.DUMMYFUNCTION("""COMPUTED_VALUE"""),0.0)</f>
        <v>0</v>
      </c>
      <c r="E34" s="8" t="str">
        <f>IFERROR(__xludf.DUMMYFUNCTION("""COMPUTED_VALUE"""),"Real")</f>
        <v>Real</v>
      </c>
      <c r="G34" s="8">
        <f t="shared" si="1"/>
        <v>11</v>
      </c>
      <c r="H34" s="14">
        <f t="shared" si="2"/>
        <v>2</v>
      </c>
      <c r="I34" s="15">
        <f t="shared" si="3"/>
        <v>9</v>
      </c>
    </row>
    <row r="35">
      <c r="A35" s="8" t="str">
        <f>IFERROR(__xludf.DUMMYFUNCTION("IF('(INGESTA)Datos_consumo_datadis'!A35&lt;&gt;"""",SPLIT('(INGESTA)Datos_consumo_datadis'!A:A,"",""),"""")"),"ES0031408323131005HX0F")</f>
        <v>ES0031408323131005HX0F</v>
      </c>
      <c r="B35" s="12">
        <f>IFERROR(__xludf.DUMMYFUNCTION("""COMPUTED_VALUE"""),44867.0)</f>
        <v>44867</v>
      </c>
      <c r="C35" s="13">
        <f>IFERROR(__xludf.DUMMYFUNCTION("""COMPUTED_VALUE"""),0.4166666666666667)</f>
        <v>0.4166666667</v>
      </c>
      <c r="D35" s="8">
        <f>IFERROR(__xludf.DUMMYFUNCTION("""COMPUTED_VALUE"""),0.0)</f>
        <v>0</v>
      </c>
      <c r="E35" s="8" t="str">
        <f>IFERROR(__xludf.DUMMYFUNCTION("""COMPUTED_VALUE"""),"Real")</f>
        <v>Real</v>
      </c>
      <c r="G35" s="8">
        <f t="shared" si="1"/>
        <v>11</v>
      </c>
      <c r="H35" s="14">
        <f t="shared" si="2"/>
        <v>2</v>
      </c>
      <c r="I35" s="15">
        <f t="shared" si="3"/>
        <v>10</v>
      </c>
    </row>
    <row r="36">
      <c r="A36" s="8" t="str">
        <f>IFERROR(__xludf.DUMMYFUNCTION("IF('(INGESTA)Datos_consumo_datadis'!A36&lt;&gt;"""",SPLIT('(INGESTA)Datos_consumo_datadis'!A:A,"",""),"""")"),"ES0031408323131005HX0F")</f>
        <v>ES0031408323131005HX0F</v>
      </c>
      <c r="B36" s="12">
        <f>IFERROR(__xludf.DUMMYFUNCTION("""COMPUTED_VALUE"""),44867.0)</f>
        <v>44867</v>
      </c>
      <c r="C36" s="13">
        <f>IFERROR(__xludf.DUMMYFUNCTION("""COMPUTED_VALUE"""),0.4583333333333333)</f>
        <v>0.4583333333</v>
      </c>
      <c r="D36" s="8">
        <f>IFERROR(__xludf.DUMMYFUNCTION("""COMPUTED_VALUE"""),0.0)</f>
        <v>0</v>
      </c>
      <c r="E36" s="8" t="str">
        <f>IFERROR(__xludf.DUMMYFUNCTION("""COMPUTED_VALUE"""),"Real")</f>
        <v>Real</v>
      </c>
      <c r="G36" s="8">
        <f t="shared" si="1"/>
        <v>11</v>
      </c>
      <c r="H36" s="14">
        <f t="shared" si="2"/>
        <v>2</v>
      </c>
      <c r="I36" s="15">
        <f t="shared" si="3"/>
        <v>11</v>
      </c>
    </row>
    <row r="37">
      <c r="A37" s="8" t="str">
        <f>IFERROR(__xludf.DUMMYFUNCTION("IF('(INGESTA)Datos_consumo_datadis'!A37&lt;&gt;"""",SPLIT('(INGESTA)Datos_consumo_datadis'!A:A,"",""),"""")"),"ES0031408323131005HX0F")</f>
        <v>ES0031408323131005HX0F</v>
      </c>
      <c r="B37" s="12">
        <f>IFERROR(__xludf.DUMMYFUNCTION("""COMPUTED_VALUE"""),44867.0)</f>
        <v>44867</v>
      </c>
      <c r="C37" s="13">
        <f>IFERROR(__xludf.DUMMYFUNCTION("""COMPUTED_VALUE"""),0.5)</f>
        <v>0.5</v>
      </c>
      <c r="D37" s="8">
        <f>IFERROR(__xludf.DUMMYFUNCTION("""COMPUTED_VALUE"""),0.0)</f>
        <v>0</v>
      </c>
      <c r="E37" s="8" t="str">
        <f>IFERROR(__xludf.DUMMYFUNCTION("""COMPUTED_VALUE"""),"Real")</f>
        <v>Real</v>
      </c>
      <c r="G37" s="8">
        <f t="shared" si="1"/>
        <v>11</v>
      </c>
      <c r="H37" s="14">
        <f t="shared" si="2"/>
        <v>2</v>
      </c>
      <c r="I37" s="15">
        <f t="shared" si="3"/>
        <v>12</v>
      </c>
    </row>
    <row r="38">
      <c r="A38" s="8" t="str">
        <f>IFERROR(__xludf.DUMMYFUNCTION("IF('(INGESTA)Datos_consumo_datadis'!A38&lt;&gt;"""",SPLIT('(INGESTA)Datos_consumo_datadis'!A:A,"",""),"""")"),"ES0031408323131005HX0F")</f>
        <v>ES0031408323131005HX0F</v>
      </c>
      <c r="B38" s="12">
        <f>IFERROR(__xludf.DUMMYFUNCTION("""COMPUTED_VALUE"""),44867.0)</f>
        <v>44867</v>
      </c>
      <c r="C38" s="13">
        <f>IFERROR(__xludf.DUMMYFUNCTION("""COMPUTED_VALUE"""),0.5416666666666666)</f>
        <v>0.5416666667</v>
      </c>
      <c r="D38" s="8">
        <f>IFERROR(__xludf.DUMMYFUNCTION("""COMPUTED_VALUE"""),0.0)</f>
        <v>0</v>
      </c>
      <c r="E38" s="8" t="str">
        <f>IFERROR(__xludf.DUMMYFUNCTION("""COMPUTED_VALUE"""),"Real")</f>
        <v>Real</v>
      </c>
      <c r="G38" s="8">
        <f t="shared" si="1"/>
        <v>11</v>
      </c>
      <c r="H38" s="14">
        <f t="shared" si="2"/>
        <v>2</v>
      </c>
      <c r="I38" s="15">
        <f t="shared" si="3"/>
        <v>13</v>
      </c>
    </row>
    <row r="39">
      <c r="A39" s="8" t="str">
        <f>IFERROR(__xludf.DUMMYFUNCTION("IF('(INGESTA)Datos_consumo_datadis'!A39&lt;&gt;"""",SPLIT('(INGESTA)Datos_consumo_datadis'!A:A,"",""),"""")"),"ES0031408323131005HX0F")</f>
        <v>ES0031408323131005HX0F</v>
      </c>
      <c r="B39" s="12">
        <f>IFERROR(__xludf.DUMMYFUNCTION("""COMPUTED_VALUE"""),44867.0)</f>
        <v>44867</v>
      </c>
      <c r="C39" s="13">
        <f>IFERROR(__xludf.DUMMYFUNCTION("""COMPUTED_VALUE"""),0.5833333333333334)</f>
        <v>0.5833333333</v>
      </c>
      <c r="D39" s="8">
        <f>IFERROR(__xludf.DUMMYFUNCTION("""COMPUTED_VALUE"""),0.0)</f>
        <v>0</v>
      </c>
      <c r="E39" s="8" t="str">
        <f>IFERROR(__xludf.DUMMYFUNCTION("""COMPUTED_VALUE"""),"Real")</f>
        <v>Real</v>
      </c>
      <c r="G39" s="8">
        <f t="shared" si="1"/>
        <v>11</v>
      </c>
      <c r="H39" s="14">
        <f t="shared" si="2"/>
        <v>2</v>
      </c>
      <c r="I39" s="15">
        <f t="shared" si="3"/>
        <v>14</v>
      </c>
    </row>
    <row r="40">
      <c r="A40" s="8" t="str">
        <f>IFERROR(__xludf.DUMMYFUNCTION("IF('(INGESTA)Datos_consumo_datadis'!A40&lt;&gt;"""",SPLIT('(INGESTA)Datos_consumo_datadis'!A:A,"",""),"""")"),"ES0031408323131005HX0F")</f>
        <v>ES0031408323131005HX0F</v>
      </c>
      <c r="B40" s="12">
        <f>IFERROR(__xludf.DUMMYFUNCTION("""COMPUTED_VALUE"""),44867.0)</f>
        <v>44867</v>
      </c>
      <c r="C40" s="13">
        <f>IFERROR(__xludf.DUMMYFUNCTION("""COMPUTED_VALUE"""),0.625)</f>
        <v>0.625</v>
      </c>
      <c r="D40" s="8">
        <f>IFERROR(__xludf.DUMMYFUNCTION("""COMPUTED_VALUE"""),0.0)</f>
        <v>0</v>
      </c>
      <c r="E40" s="8" t="str">
        <f>IFERROR(__xludf.DUMMYFUNCTION("""COMPUTED_VALUE"""),"Real")</f>
        <v>Real</v>
      </c>
      <c r="G40" s="8">
        <f t="shared" si="1"/>
        <v>11</v>
      </c>
      <c r="H40" s="14">
        <f t="shared" si="2"/>
        <v>2</v>
      </c>
      <c r="I40" s="15">
        <f t="shared" si="3"/>
        <v>15</v>
      </c>
    </row>
    <row r="41">
      <c r="A41" s="8" t="str">
        <f>IFERROR(__xludf.DUMMYFUNCTION("IF('(INGESTA)Datos_consumo_datadis'!A41&lt;&gt;"""",SPLIT('(INGESTA)Datos_consumo_datadis'!A:A,"",""),"""")"),"ES0031408323131005HX0F")</f>
        <v>ES0031408323131005HX0F</v>
      </c>
      <c r="B41" s="12">
        <f>IFERROR(__xludf.DUMMYFUNCTION("""COMPUTED_VALUE"""),44867.0)</f>
        <v>44867</v>
      </c>
      <c r="C41" s="13">
        <f>IFERROR(__xludf.DUMMYFUNCTION("""COMPUTED_VALUE"""),0.6666666666666666)</f>
        <v>0.6666666667</v>
      </c>
      <c r="D41" s="8">
        <f>IFERROR(__xludf.DUMMYFUNCTION("""COMPUTED_VALUE"""),0.0)</f>
        <v>0</v>
      </c>
      <c r="E41" s="8" t="str">
        <f>IFERROR(__xludf.DUMMYFUNCTION("""COMPUTED_VALUE"""),"Real")</f>
        <v>Real</v>
      </c>
      <c r="G41" s="8">
        <f t="shared" si="1"/>
        <v>11</v>
      </c>
      <c r="H41" s="14">
        <f t="shared" si="2"/>
        <v>2</v>
      </c>
      <c r="I41" s="15">
        <f t="shared" si="3"/>
        <v>16</v>
      </c>
    </row>
    <row r="42">
      <c r="A42" s="8" t="str">
        <f>IFERROR(__xludf.DUMMYFUNCTION("IF('(INGESTA)Datos_consumo_datadis'!A42&lt;&gt;"""",SPLIT('(INGESTA)Datos_consumo_datadis'!A:A,"",""),"""")"),"ES0031408323131005HX0F")</f>
        <v>ES0031408323131005HX0F</v>
      </c>
      <c r="B42" s="12">
        <f>IFERROR(__xludf.DUMMYFUNCTION("""COMPUTED_VALUE"""),44867.0)</f>
        <v>44867</v>
      </c>
      <c r="C42" s="13">
        <f>IFERROR(__xludf.DUMMYFUNCTION("""COMPUTED_VALUE"""),0.7083333333333334)</f>
        <v>0.7083333333</v>
      </c>
      <c r="D42" s="8">
        <f>IFERROR(__xludf.DUMMYFUNCTION("""COMPUTED_VALUE"""),0.0)</f>
        <v>0</v>
      </c>
      <c r="E42" s="8" t="str">
        <f>IFERROR(__xludf.DUMMYFUNCTION("""COMPUTED_VALUE"""),"Real")</f>
        <v>Real</v>
      </c>
      <c r="G42" s="8">
        <f t="shared" si="1"/>
        <v>11</v>
      </c>
      <c r="H42" s="14">
        <f t="shared" si="2"/>
        <v>2</v>
      </c>
      <c r="I42" s="15">
        <f t="shared" si="3"/>
        <v>17</v>
      </c>
    </row>
    <row r="43">
      <c r="A43" s="8" t="str">
        <f>IFERROR(__xludf.DUMMYFUNCTION("IF('(INGESTA)Datos_consumo_datadis'!A43&lt;&gt;"""",SPLIT('(INGESTA)Datos_consumo_datadis'!A:A,"",""),"""")"),"ES0031408323131005HX0F")</f>
        <v>ES0031408323131005HX0F</v>
      </c>
      <c r="B43" s="12">
        <f>IFERROR(__xludf.DUMMYFUNCTION("""COMPUTED_VALUE"""),44867.0)</f>
        <v>44867</v>
      </c>
      <c r="C43" s="13">
        <f>IFERROR(__xludf.DUMMYFUNCTION("""COMPUTED_VALUE"""),0.75)</f>
        <v>0.75</v>
      </c>
      <c r="D43" s="8">
        <f>IFERROR(__xludf.DUMMYFUNCTION("""COMPUTED_VALUE"""),0.0)</f>
        <v>0</v>
      </c>
      <c r="E43" s="8" t="str">
        <f>IFERROR(__xludf.DUMMYFUNCTION("""COMPUTED_VALUE"""),"Real")</f>
        <v>Real</v>
      </c>
      <c r="G43" s="8">
        <f t="shared" si="1"/>
        <v>11</v>
      </c>
      <c r="H43" s="14">
        <f t="shared" si="2"/>
        <v>2</v>
      </c>
      <c r="I43" s="15">
        <f t="shared" si="3"/>
        <v>18</v>
      </c>
    </row>
    <row r="44">
      <c r="A44" s="8" t="str">
        <f>IFERROR(__xludf.DUMMYFUNCTION("IF('(INGESTA)Datos_consumo_datadis'!A44&lt;&gt;"""",SPLIT('(INGESTA)Datos_consumo_datadis'!A:A,"",""),"""")"),"ES0031408323131005HX0F")</f>
        <v>ES0031408323131005HX0F</v>
      </c>
      <c r="B44" s="12">
        <f>IFERROR(__xludf.DUMMYFUNCTION("""COMPUTED_VALUE"""),44867.0)</f>
        <v>44867</v>
      </c>
      <c r="C44" s="13">
        <f>IFERROR(__xludf.DUMMYFUNCTION("""COMPUTED_VALUE"""),0.7916666666666666)</f>
        <v>0.7916666667</v>
      </c>
      <c r="D44" s="8">
        <f>IFERROR(__xludf.DUMMYFUNCTION("""COMPUTED_VALUE"""),0.0)</f>
        <v>0</v>
      </c>
      <c r="E44" s="8" t="str">
        <f>IFERROR(__xludf.DUMMYFUNCTION("""COMPUTED_VALUE"""),"Real")</f>
        <v>Real</v>
      </c>
      <c r="G44" s="8">
        <f t="shared" si="1"/>
        <v>11</v>
      </c>
      <c r="H44" s="14">
        <f t="shared" si="2"/>
        <v>2</v>
      </c>
      <c r="I44" s="15">
        <f t="shared" si="3"/>
        <v>19</v>
      </c>
    </row>
    <row r="45">
      <c r="A45" s="8" t="str">
        <f>IFERROR(__xludf.DUMMYFUNCTION("IF('(INGESTA)Datos_consumo_datadis'!A45&lt;&gt;"""",SPLIT('(INGESTA)Datos_consumo_datadis'!A:A,"",""),"""")"),"ES0031408323131005HX0F")</f>
        <v>ES0031408323131005HX0F</v>
      </c>
      <c r="B45" s="12">
        <f>IFERROR(__xludf.DUMMYFUNCTION("""COMPUTED_VALUE"""),44867.0)</f>
        <v>44867</v>
      </c>
      <c r="C45" s="13">
        <f>IFERROR(__xludf.DUMMYFUNCTION("""COMPUTED_VALUE"""),0.8333333333333334)</f>
        <v>0.8333333333</v>
      </c>
      <c r="D45" s="8">
        <f>IFERROR(__xludf.DUMMYFUNCTION("""COMPUTED_VALUE"""),0.0)</f>
        <v>0</v>
      </c>
      <c r="E45" s="8" t="str">
        <f>IFERROR(__xludf.DUMMYFUNCTION("""COMPUTED_VALUE"""),"Real")</f>
        <v>Real</v>
      </c>
      <c r="G45" s="8">
        <f t="shared" si="1"/>
        <v>11</v>
      </c>
      <c r="H45" s="14">
        <f t="shared" si="2"/>
        <v>2</v>
      </c>
      <c r="I45" s="15">
        <f t="shared" si="3"/>
        <v>20</v>
      </c>
    </row>
    <row r="46">
      <c r="A46" s="8" t="str">
        <f>IFERROR(__xludf.DUMMYFUNCTION("IF('(INGESTA)Datos_consumo_datadis'!A46&lt;&gt;"""",SPLIT('(INGESTA)Datos_consumo_datadis'!A:A,"",""),"""")"),"ES0031408323131005HX0F")</f>
        <v>ES0031408323131005HX0F</v>
      </c>
      <c r="B46" s="12">
        <f>IFERROR(__xludf.DUMMYFUNCTION("""COMPUTED_VALUE"""),44867.0)</f>
        <v>44867</v>
      </c>
      <c r="C46" s="13">
        <f>IFERROR(__xludf.DUMMYFUNCTION("""COMPUTED_VALUE"""),0.875)</f>
        <v>0.875</v>
      </c>
      <c r="D46" s="8">
        <f>IFERROR(__xludf.DUMMYFUNCTION("""COMPUTED_VALUE"""),0.0)</f>
        <v>0</v>
      </c>
      <c r="E46" s="8" t="str">
        <f>IFERROR(__xludf.DUMMYFUNCTION("""COMPUTED_VALUE"""),"Real")</f>
        <v>Real</v>
      </c>
      <c r="G46" s="8">
        <f t="shared" si="1"/>
        <v>11</v>
      </c>
      <c r="H46" s="14">
        <f t="shared" si="2"/>
        <v>2</v>
      </c>
      <c r="I46" s="15">
        <f t="shared" si="3"/>
        <v>21</v>
      </c>
    </row>
    <row r="47">
      <c r="A47" s="8" t="str">
        <f>IFERROR(__xludf.DUMMYFUNCTION("IF('(INGESTA)Datos_consumo_datadis'!A47&lt;&gt;"""",SPLIT('(INGESTA)Datos_consumo_datadis'!A:A,"",""),"""")"),"ES0031408323131005HX0F")</f>
        <v>ES0031408323131005HX0F</v>
      </c>
      <c r="B47" s="12">
        <f>IFERROR(__xludf.DUMMYFUNCTION("""COMPUTED_VALUE"""),44867.0)</f>
        <v>44867</v>
      </c>
      <c r="C47" s="13">
        <f>IFERROR(__xludf.DUMMYFUNCTION("""COMPUTED_VALUE"""),0.9166666666666666)</f>
        <v>0.9166666667</v>
      </c>
      <c r="D47" s="8">
        <f>IFERROR(__xludf.DUMMYFUNCTION("""COMPUTED_VALUE"""),0.0)</f>
        <v>0</v>
      </c>
      <c r="E47" s="8" t="str">
        <f>IFERROR(__xludf.DUMMYFUNCTION("""COMPUTED_VALUE"""),"Real")</f>
        <v>Real</v>
      </c>
      <c r="G47" s="8">
        <f t="shared" si="1"/>
        <v>11</v>
      </c>
      <c r="H47" s="14">
        <f t="shared" si="2"/>
        <v>2</v>
      </c>
      <c r="I47" s="15">
        <f t="shared" si="3"/>
        <v>22</v>
      </c>
    </row>
    <row r="48">
      <c r="A48" s="8" t="str">
        <f>IFERROR(__xludf.DUMMYFUNCTION("IF('(INGESTA)Datos_consumo_datadis'!A48&lt;&gt;"""",SPLIT('(INGESTA)Datos_consumo_datadis'!A:A,"",""),"""")"),"ES0031408323131005HX0F")</f>
        <v>ES0031408323131005HX0F</v>
      </c>
      <c r="B48" s="12">
        <f>IFERROR(__xludf.DUMMYFUNCTION("""COMPUTED_VALUE"""),44867.0)</f>
        <v>44867</v>
      </c>
      <c r="C48" s="13">
        <f>IFERROR(__xludf.DUMMYFUNCTION("""COMPUTED_VALUE"""),0.9583333333333334)</f>
        <v>0.9583333333</v>
      </c>
      <c r="D48" s="8">
        <f>IFERROR(__xludf.DUMMYFUNCTION("""COMPUTED_VALUE"""),0.0)</f>
        <v>0</v>
      </c>
      <c r="E48" s="8" t="str">
        <f>IFERROR(__xludf.DUMMYFUNCTION("""COMPUTED_VALUE"""),"Real")</f>
        <v>Real</v>
      </c>
      <c r="G48" s="8">
        <f t="shared" si="1"/>
        <v>11</v>
      </c>
      <c r="H48" s="14">
        <f t="shared" si="2"/>
        <v>2</v>
      </c>
      <c r="I48" s="15">
        <f t="shared" si="3"/>
        <v>23</v>
      </c>
    </row>
    <row r="49">
      <c r="A49" s="8" t="str">
        <f>IFERROR(__xludf.DUMMYFUNCTION("IF('(INGESTA)Datos_consumo_datadis'!A49&lt;&gt;"""",SPLIT('(INGESTA)Datos_consumo_datadis'!A:A,"",""),"""")"),"ES0031408323131005HX0F")</f>
        <v>ES0031408323131005HX0F</v>
      </c>
      <c r="B49" s="12">
        <f>IFERROR(__xludf.DUMMYFUNCTION("""COMPUTED_VALUE"""),44867.0)</f>
        <v>44867</v>
      </c>
      <c r="C49" s="16">
        <f>IFERROR(__xludf.DUMMYFUNCTION("""COMPUTED_VALUE"""),1.0)</f>
        <v>1</v>
      </c>
      <c r="D49" s="8">
        <f>IFERROR(__xludf.DUMMYFUNCTION("""COMPUTED_VALUE"""),0.0)</f>
        <v>0</v>
      </c>
      <c r="E49" s="8" t="str">
        <f>IFERROR(__xludf.DUMMYFUNCTION("""COMPUTED_VALUE"""),"Real")</f>
        <v>Real</v>
      </c>
      <c r="G49" s="8">
        <f t="shared" si="1"/>
        <v>11</v>
      </c>
      <c r="H49" s="14">
        <f t="shared" si="2"/>
        <v>2</v>
      </c>
      <c r="I49" s="15">
        <f t="shared" si="3"/>
        <v>0</v>
      </c>
    </row>
    <row r="50">
      <c r="A50" s="8" t="str">
        <f>IFERROR(__xludf.DUMMYFUNCTION("IF('(INGESTA)Datos_consumo_datadis'!A50&lt;&gt;"""",SPLIT('(INGESTA)Datos_consumo_datadis'!A:A,"",""),"""")"),"ES0031408323131005HX0F")</f>
        <v>ES0031408323131005HX0F</v>
      </c>
      <c r="B50" s="12">
        <f>IFERROR(__xludf.DUMMYFUNCTION("""COMPUTED_VALUE"""),44868.0)</f>
        <v>44868</v>
      </c>
      <c r="C50" s="13">
        <f>IFERROR(__xludf.DUMMYFUNCTION("""COMPUTED_VALUE"""),0.041666666666666664)</f>
        <v>0.04166666667</v>
      </c>
      <c r="D50" s="8">
        <f>IFERROR(__xludf.DUMMYFUNCTION("""COMPUTED_VALUE"""),0.0)</f>
        <v>0</v>
      </c>
      <c r="E50" s="8" t="str">
        <f>IFERROR(__xludf.DUMMYFUNCTION("""COMPUTED_VALUE"""),"Real")</f>
        <v>Real</v>
      </c>
      <c r="G50" s="8">
        <f t="shared" si="1"/>
        <v>11</v>
      </c>
      <c r="H50" s="14">
        <f t="shared" si="2"/>
        <v>3</v>
      </c>
      <c r="I50" s="15">
        <f t="shared" si="3"/>
        <v>1</v>
      </c>
    </row>
    <row r="51">
      <c r="A51" s="8" t="str">
        <f>IFERROR(__xludf.DUMMYFUNCTION("IF('(INGESTA)Datos_consumo_datadis'!A51&lt;&gt;"""",SPLIT('(INGESTA)Datos_consumo_datadis'!A:A,"",""),"""")"),"ES0031408323131005HX0F")</f>
        <v>ES0031408323131005HX0F</v>
      </c>
      <c r="B51" s="12">
        <f>IFERROR(__xludf.DUMMYFUNCTION("""COMPUTED_VALUE"""),44868.0)</f>
        <v>44868</v>
      </c>
      <c r="C51" s="13">
        <f>IFERROR(__xludf.DUMMYFUNCTION("""COMPUTED_VALUE"""),0.08333333333333333)</f>
        <v>0.08333333333</v>
      </c>
      <c r="D51" s="8">
        <f>IFERROR(__xludf.DUMMYFUNCTION("""COMPUTED_VALUE"""),0.0)</f>
        <v>0</v>
      </c>
      <c r="E51" s="8" t="str">
        <f>IFERROR(__xludf.DUMMYFUNCTION("""COMPUTED_VALUE"""),"Real")</f>
        <v>Real</v>
      </c>
      <c r="G51" s="8">
        <f t="shared" si="1"/>
        <v>11</v>
      </c>
      <c r="H51" s="14">
        <f t="shared" si="2"/>
        <v>3</v>
      </c>
      <c r="I51" s="15">
        <f t="shared" si="3"/>
        <v>2</v>
      </c>
    </row>
    <row r="52">
      <c r="A52" s="8" t="str">
        <f>IFERROR(__xludf.DUMMYFUNCTION("IF('(INGESTA)Datos_consumo_datadis'!A52&lt;&gt;"""",SPLIT('(INGESTA)Datos_consumo_datadis'!A:A,"",""),"""")"),"ES0031408323131005HX0F")</f>
        <v>ES0031408323131005HX0F</v>
      </c>
      <c r="B52" s="12">
        <f>IFERROR(__xludf.DUMMYFUNCTION("""COMPUTED_VALUE"""),44868.0)</f>
        <v>44868</v>
      </c>
      <c r="C52" s="13">
        <f>IFERROR(__xludf.DUMMYFUNCTION("""COMPUTED_VALUE"""),0.125)</f>
        <v>0.125</v>
      </c>
      <c r="D52" s="8">
        <f>IFERROR(__xludf.DUMMYFUNCTION("""COMPUTED_VALUE"""),0.0)</f>
        <v>0</v>
      </c>
      <c r="E52" s="8" t="str">
        <f>IFERROR(__xludf.DUMMYFUNCTION("""COMPUTED_VALUE"""),"Real")</f>
        <v>Real</v>
      </c>
      <c r="G52" s="8">
        <f t="shared" si="1"/>
        <v>11</v>
      </c>
      <c r="H52" s="14">
        <f t="shared" si="2"/>
        <v>3</v>
      </c>
      <c r="I52" s="15">
        <f t="shared" si="3"/>
        <v>3</v>
      </c>
    </row>
    <row r="53">
      <c r="A53" s="8" t="str">
        <f>IFERROR(__xludf.DUMMYFUNCTION("IF('(INGESTA)Datos_consumo_datadis'!A53&lt;&gt;"""",SPLIT('(INGESTA)Datos_consumo_datadis'!A:A,"",""),"""")"),"ES0031408323131005HX0F")</f>
        <v>ES0031408323131005HX0F</v>
      </c>
      <c r="B53" s="12">
        <f>IFERROR(__xludf.DUMMYFUNCTION("""COMPUTED_VALUE"""),44868.0)</f>
        <v>44868</v>
      </c>
      <c r="C53" s="13">
        <f>IFERROR(__xludf.DUMMYFUNCTION("""COMPUTED_VALUE"""),0.16666666666666666)</f>
        <v>0.1666666667</v>
      </c>
      <c r="D53" s="8">
        <f>IFERROR(__xludf.DUMMYFUNCTION("""COMPUTED_VALUE"""),0.0)</f>
        <v>0</v>
      </c>
      <c r="E53" s="8" t="str">
        <f>IFERROR(__xludf.DUMMYFUNCTION("""COMPUTED_VALUE"""),"Real")</f>
        <v>Real</v>
      </c>
      <c r="G53" s="8">
        <f t="shared" si="1"/>
        <v>11</v>
      </c>
      <c r="H53" s="14">
        <f t="shared" si="2"/>
        <v>3</v>
      </c>
      <c r="I53" s="15">
        <f t="shared" si="3"/>
        <v>4</v>
      </c>
    </row>
    <row r="54">
      <c r="A54" s="8" t="str">
        <f>IFERROR(__xludf.DUMMYFUNCTION("IF('(INGESTA)Datos_consumo_datadis'!A54&lt;&gt;"""",SPLIT('(INGESTA)Datos_consumo_datadis'!A:A,"",""),"""")"),"ES0031408323131005HX0F")</f>
        <v>ES0031408323131005HX0F</v>
      </c>
      <c r="B54" s="12">
        <f>IFERROR(__xludf.DUMMYFUNCTION("""COMPUTED_VALUE"""),44868.0)</f>
        <v>44868</v>
      </c>
      <c r="C54" s="13">
        <f>IFERROR(__xludf.DUMMYFUNCTION("""COMPUTED_VALUE"""),0.20833333333333334)</f>
        <v>0.2083333333</v>
      </c>
      <c r="D54" s="8">
        <f>IFERROR(__xludf.DUMMYFUNCTION("""COMPUTED_VALUE"""),0.0)</f>
        <v>0</v>
      </c>
      <c r="E54" s="8" t="str">
        <f>IFERROR(__xludf.DUMMYFUNCTION("""COMPUTED_VALUE"""),"Real")</f>
        <v>Real</v>
      </c>
      <c r="G54" s="8">
        <f t="shared" si="1"/>
        <v>11</v>
      </c>
      <c r="H54" s="14">
        <f t="shared" si="2"/>
        <v>3</v>
      </c>
      <c r="I54" s="15">
        <f t="shared" si="3"/>
        <v>5</v>
      </c>
    </row>
    <row r="55">
      <c r="A55" s="8" t="str">
        <f>IFERROR(__xludf.DUMMYFUNCTION("IF('(INGESTA)Datos_consumo_datadis'!A55&lt;&gt;"""",SPLIT('(INGESTA)Datos_consumo_datadis'!A:A,"",""),"""")"),"ES0031408323131005HX0F")</f>
        <v>ES0031408323131005HX0F</v>
      </c>
      <c r="B55" s="12">
        <f>IFERROR(__xludf.DUMMYFUNCTION("""COMPUTED_VALUE"""),44868.0)</f>
        <v>44868</v>
      </c>
      <c r="C55" s="13">
        <f>IFERROR(__xludf.DUMMYFUNCTION("""COMPUTED_VALUE"""),0.25)</f>
        <v>0.25</v>
      </c>
      <c r="D55" s="8">
        <f>IFERROR(__xludf.DUMMYFUNCTION("""COMPUTED_VALUE"""),0.0)</f>
        <v>0</v>
      </c>
      <c r="E55" s="8" t="str">
        <f>IFERROR(__xludf.DUMMYFUNCTION("""COMPUTED_VALUE"""),"Real")</f>
        <v>Real</v>
      </c>
      <c r="G55" s="8">
        <f t="shared" si="1"/>
        <v>11</v>
      </c>
      <c r="H55" s="14">
        <f t="shared" si="2"/>
        <v>3</v>
      </c>
      <c r="I55" s="15">
        <f t="shared" si="3"/>
        <v>6</v>
      </c>
    </row>
    <row r="56">
      <c r="A56" s="8" t="str">
        <f>IFERROR(__xludf.DUMMYFUNCTION("IF('(INGESTA)Datos_consumo_datadis'!A56&lt;&gt;"""",SPLIT('(INGESTA)Datos_consumo_datadis'!A:A,"",""),"""")"),"ES0031408323131005HX0F")</f>
        <v>ES0031408323131005HX0F</v>
      </c>
      <c r="B56" s="12">
        <f>IFERROR(__xludf.DUMMYFUNCTION("""COMPUTED_VALUE"""),44868.0)</f>
        <v>44868</v>
      </c>
      <c r="C56" s="13">
        <f>IFERROR(__xludf.DUMMYFUNCTION("""COMPUTED_VALUE"""),0.2916666666666667)</f>
        <v>0.2916666667</v>
      </c>
      <c r="D56" s="8">
        <f>IFERROR(__xludf.DUMMYFUNCTION("""COMPUTED_VALUE"""),0.0)</f>
        <v>0</v>
      </c>
      <c r="E56" s="8" t="str">
        <f>IFERROR(__xludf.DUMMYFUNCTION("""COMPUTED_VALUE"""),"Real")</f>
        <v>Real</v>
      </c>
      <c r="G56" s="8">
        <f t="shared" si="1"/>
        <v>11</v>
      </c>
      <c r="H56" s="14">
        <f t="shared" si="2"/>
        <v>3</v>
      </c>
      <c r="I56" s="15">
        <f t="shared" si="3"/>
        <v>7</v>
      </c>
    </row>
    <row r="57">
      <c r="A57" s="8" t="str">
        <f>IFERROR(__xludf.DUMMYFUNCTION("IF('(INGESTA)Datos_consumo_datadis'!A57&lt;&gt;"""",SPLIT('(INGESTA)Datos_consumo_datadis'!A:A,"",""),"""")"),"ES0031408323131005HX0F")</f>
        <v>ES0031408323131005HX0F</v>
      </c>
      <c r="B57" s="12">
        <f>IFERROR(__xludf.DUMMYFUNCTION("""COMPUTED_VALUE"""),44868.0)</f>
        <v>44868</v>
      </c>
      <c r="C57" s="13">
        <f>IFERROR(__xludf.DUMMYFUNCTION("""COMPUTED_VALUE"""),0.3333333333333333)</f>
        <v>0.3333333333</v>
      </c>
      <c r="D57" s="8">
        <f>IFERROR(__xludf.DUMMYFUNCTION("""COMPUTED_VALUE"""),0.0)</f>
        <v>0</v>
      </c>
      <c r="E57" s="8" t="str">
        <f>IFERROR(__xludf.DUMMYFUNCTION("""COMPUTED_VALUE"""),"Real")</f>
        <v>Real</v>
      </c>
      <c r="G57" s="8">
        <f t="shared" si="1"/>
        <v>11</v>
      </c>
      <c r="H57" s="14">
        <f t="shared" si="2"/>
        <v>3</v>
      </c>
      <c r="I57" s="15">
        <f t="shared" si="3"/>
        <v>8</v>
      </c>
    </row>
    <row r="58">
      <c r="A58" s="8" t="str">
        <f>IFERROR(__xludf.DUMMYFUNCTION("IF('(INGESTA)Datos_consumo_datadis'!A58&lt;&gt;"""",SPLIT('(INGESTA)Datos_consumo_datadis'!A:A,"",""),"""")"),"ES0031408323131005HX0F")</f>
        <v>ES0031408323131005HX0F</v>
      </c>
      <c r="B58" s="12">
        <f>IFERROR(__xludf.DUMMYFUNCTION("""COMPUTED_VALUE"""),44868.0)</f>
        <v>44868</v>
      </c>
      <c r="C58" s="13">
        <f>IFERROR(__xludf.DUMMYFUNCTION("""COMPUTED_VALUE"""),0.375)</f>
        <v>0.375</v>
      </c>
      <c r="D58" s="8">
        <f>IFERROR(__xludf.DUMMYFUNCTION("""COMPUTED_VALUE"""),0.0)</f>
        <v>0</v>
      </c>
      <c r="E58" s="8" t="str">
        <f>IFERROR(__xludf.DUMMYFUNCTION("""COMPUTED_VALUE"""),"Real")</f>
        <v>Real</v>
      </c>
      <c r="G58" s="8">
        <f t="shared" si="1"/>
        <v>11</v>
      </c>
      <c r="H58" s="14">
        <f t="shared" si="2"/>
        <v>3</v>
      </c>
      <c r="I58" s="15">
        <f t="shared" si="3"/>
        <v>9</v>
      </c>
    </row>
    <row r="59">
      <c r="A59" s="8" t="str">
        <f>IFERROR(__xludf.DUMMYFUNCTION("IF('(INGESTA)Datos_consumo_datadis'!A59&lt;&gt;"""",SPLIT('(INGESTA)Datos_consumo_datadis'!A:A,"",""),"""")"),"ES0031408323131005HX0F")</f>
        <v>ES0031408323131005HX0F</v>
      </c>
      <c r="B59" s="12">
        <f>IFERROR(__xludf.DUMMYFUNCTION("""COMPUTED_VALUE"""),44868.0)</f>
        <v>44868</v>
      </c>
      <c r="C59" s="13">
        <f>IFERROR(__xludf.DUMMYFUNCTION("""COMPUTED_VALUE"""),0.4166666666666667)</f>
        <v>0.4166666667</v>
      </c>
      <c r="D59" s="8">
        <f>IFERROR(__xludf.DUMMYFUNCTION("""COMPUTED_VALUE"""),0.0)</f>
        <v>0</v>
      </c>
      <c r="E59" s="8" t="str">
        <f>IFERROR(__xludf.DUMMYFUNCTION("""COMPUTED_VALUE"""),"Real")</f>
        <v>Real</v>
      </c>
      <c r="G59" s="8">
        <f t="shared" si="1"/>
        <v>11</v>
      </c>
      <c r="H59" s="14">
        <f t="shared" si="2"/>
        <v>3</v>
      </c>
      <c r="I59" s="15">
        <f t="shared" si="3"/>
        <v>10</v>
      </c>
    </row>
    <row r="60">
      <c r="A60" s="8" t="str">
        <f>IFERROR(__xludf.DUMMYFUNCTION("IF('(INGESTA)Datos_consumo_datadis'!A60&lt;&gt;"""",SPLIT('(INGESTA)Datos_consumo_datadis'!A:A,"",""),"""")"),"ES0031408323131005HX0F")</f>
        <v>ES0031408323131005HX0F</v>
      </c>
      <c r="B60" s="12">
        <f>IFERROR(__xludf.DUMMYFUNCTION("""COMPUTED_VALUE"""),44868.0)</f>
        <v>44868</v>
      </c>
      <c r="C60" s="13">
        <f>IFERROR(__xludf.DUMMYFUNCTION("""COMPUTED_VALUE"""),0.4583333333333333)</f>
        <v>0.4583333333</v>
      </c>
      <c r="D60" s="8">
        <f>IFERROR(__xludf.DUMMYFUNCTION("""COMPUTED_VALUE"""),0.0)</f>
        <v>0</v>
      </c>
      <c r="E60" s="8" t="str">
        <f>IFERROR(__xludf.DUMMYFUNCTION("""COMPUTED_VALUE"""),"Real")</f>
        <v>Real</v>
      </c>
      <c r="G60" s="8">
        <f t="shared" si="1"/>
        <v>11</v>
      </c>
      <c r="H60" s="14">
        <f t="shared" si="2"/>
        <v>3</v>
      </c>
      <c r="I60" s="15">
        <f t="shared" si="3"/>
        <v>11</v>
      </c>
    </row>
    <row r="61">
      <c r="A61" s="8" t="str">
        <f>IFERROR(__xludf.DUMMYFUNCTION("IF('(INGESTA)Datos_consumo_datadis'!A61&lt;&gt;"""",SPLIT('(INGESTA)Datos_consumo_datadis'!A:A,"",""),"""")"),"ES0031408323131005HX0F")</f>
        <v>ES0031408323131005HX0F</v>
      </c>
      <c r="B61" s="12">
        <f>IFERROR(__xludf.DUMMYFUNCTION("""COMPUTED_VALUE"""),44868.0)</f>
        <v>44868</v>
      </c>
      <c r="C61" s="13">
        <f>IFERROR(__xludf.DUMMYFUNCTION("""COMPUTED_VALUE"""),0.5)</f>
        <v>0.5</v>
      </c>
      <c r="D61" s="8">
        <f>IFERROR(__xludf.DUMMYFUNCTION("""COMPUTED_VALUE"""),0.0)</f>
        <v>0</v>
      </c>
      <c r="E61" s="8" t="str">
        <f>IFERROR(__xludf.DUMMYFUNCTION("""COMPUTED_VALUE"""),"Real")</f>
        <v>Real</v>
      </c>
      <c r="G61" s="8">
        <f t="shared" si="1"/>
        <v>11</v>
      </c>
      <c r="H61" s="14">
        <f t="shared" si="2"/>
        <v>3</v>
      </c>
      <c r="I61" s="15">
        <f t="shared" si="3"/>
        <v>12</v>
      </c>
    </row>
    <row r="62">
      <c r="A62" s="8" t="str">
        <f>IFERROR(__xludf.DUMMYFUNCTION("IF('(INGESTA)Datos_consumo_datadis'!A62&lt;&gt;"""",SPLIT('(INGESTA)Datos_consumo_datadis'!A:A,"",""),"""")"),"ES0031408323131005HX0F")</f>
        <v>ES0031408323131005HX0F</v>
      </c>
      <c r="B62" s="12">
        <f>IFERROR(__xludf.DUMMYFUNCTION("""COMPUTED_VALUE"""),44868.0)</f>
        <v>44868</v>
      </c>
      <c r="C62" s="13">
        <f>IFERROR(__xludf.DUMMYFUNCTION("""COMPUTED_VALUE"""),0.5416666666666666)</f>
        <v>0.5416666667</v>
      </c>
      <c r="D62" s="8">
        <f>IFERROR(__xludf.DUMMYFUNCTION("""COMPUTED_VALUE"""),0.0)</f>
        <v>0</v>
      </c>
      <c r="E62" s="8" t="str">
        <f>IFERROR(__xludf.DUMMYFUNCTION("""COMPUTED_VALUE"""),"Real")</f>
        <v>Real</v>
      </c>
      <c r="G62" s="8">
        <f t="shared" si="1"/>
        <v>11</v>
      </c>
      <c r="H62" s="14">
        <f t="shared" si="2"/>
        <v>3</v>
      </c>
      <c r="I62" s="15">
        <f t="shared" si="3"/>
        <v>13</v>
      </c>
    </row>
    <row r="63">
      <c r="A63" s="8" t="str">
        <f>IFERROR(__xludf.DUMMYFUNCTION("IF('(INGESTA)Datos_consumo_datadis'!A63&lt;&gt;"""",SPLIT('(INGESTA)Datos_consumo_datadis'!A:A,"",""),"""")"),"ES0031408323131005HX0F")</f>
        <v>ES0031408323131005HX0F</v>
      </c>
      <c r="B63" s="12">
        <f>IFERROR(__xludf.DUMMYFUNCTION("""COMPUTED_VALUE"""),44868.0)</f>
        <v>44868</v>
      </c>
      <c r="C63" s="13">
        <f>IFERROR(__xludf.DUMMYFUNCTION("""COMPUTED_VALUE"""),0.5833333333333334)</f>
        <v>0.5833333333</v>
      </c>
      <c r="D63" s="8">
        <f>IFERROR(__xludf.DUMMYFUNCTION("""COMPUTED_VALUE"""),0.0)</f>
        <v>0</v>
      </c>
      <c r="E63" s="8" t="str">
        <f>IFERROR(__xludf.DUMMYFUNCTION("""COMPUTED_VALUE"""),"Real")</f>
        <v>Real</v>
      </c>
      <c r="G63" s="8">
        <f t="shared" si="1"/>
        <v>11</v>
      </c>
      <c r="H63" s="14">
        <f t="shared" si="2"/>
        <v>3</v>
      </c>
      <c r="I63" s="15">
        <f t="shared" si="3"/>
        <v>14</v>
      </c>
    </row>
    <row r="64">
      <c r="A64" s="8" t="str">
        <f>IFERROR(__xludf.DUMMYFUNCTION("IF('(INGESTA)Datos_consumo_datadis'!A64&lt;&gt;"""",SPLIT('(INGESTA)Datos_consumo_datadis'!A:A,"",""),"""")"),"ES0031408323131005HX0F")</f>
        <v>ES0031408323131005HX0F</v>
      </c>
      <c r="B64" s="12">
        <f>IFERROR(__xludf.DUMMYFUNCTION("""COMPUTED_VALUE"""),44868.0)</f>
        <v>44868</v>
      </c>
      <c r="C64" s="13">
        <f>IFERROR(__xludf.DUMMYFUNCTION("""COMPUTED_VALUE"""),0.625)</f>
        <v>0.625</v>
      </c>
      <c r="D64" s="8">
        <f>IFERROR(__xludf.DUMMYFUNCTION("""COMPUTED_VALUE"""),0.0)</f>
        <v>0</v>
      </c>
      <c r="E64" s="8" t="str">
        <f>IFERROR(__xludf.DUMMYFUNCTION("""COMPUTED_VALUE"""),"Real")</f>
        <v>Real</v>
      </c>
      <c r="G64" s="8">
        <f t="shared" si="1"/>
        <v>11</v>
      </c>
      <c r="H64" s="14">
        <f t="shared" si="2"/>
        <v>3</v>
      </c>
      <c r="I64" s="15">
        <f t="shared" si="3"/>
        <v>15</v>
      </c>
    </row>
    <row r="65">
      <c r="A65" s="8" t="str">
        <f>IFERROR(__xludf.DUMMYFUNCTION("IF('(INGESTA)Datos_consumo_datadis'!A65&lt;&gt;"""",SPLIT('(INGESTA)Datos_consumo_datadis'!A:A,"",""),"""")"),"ES0031408323131005HX0F")</f>
        <v>ES0031408323131005HX0F</v>
      </c>
      <c r="B65" s="12">
        <f>IFERROR(__xludf.DUMMYFUNCTION("""COMPUTED_VALUE"""),44868.0)</f>
        <v>44868</v>
      </c>
      <c r="C65" s="13">
        <f>IFERROR(__xludf.DUMMYFUNCTION("""COMPUTED_VALUE"""),0.6666666666666666)</f>
        <v>0.6666666667</v>
      </c>
      <c r="D65" s="8">
        <f>IFERROR(__xludf.DUMMYFUNCTION("""COMPUTED_VALUE"""),0.0)</f>
        <v>0</v>
      </c>
      <c r="E65" s="8" t="str">
        <f>IFERROR(__xludf.DUMMYFUNCTION("""COMPUTED_VALUE"""),"Real")</f>
        <v>Real</v>
      </c>
      <c r="G65" s="8">
        <f t="shared" si="1"/>
        <v>11</v>
      </c>
      <c r="H65" s="14">
        <f t="shared" si="2"/>
        <v>3</v>
      </c>
      <c r="I65" s="15">
        <f t="shared" si="3"/>
        <v>16</v>
      </c>
    </row>
    <row r="66">
      <c r="A66" s="8" t="str">
        <f>IFERROR(__xludf.DUMMYFUNCTION("IF('(INGESTA)Datos_consumo_datadis'!A66&lt;&gt;"""",SPLIT('(INGESTA)Datos_consumo_datadis'!A:A,"",""),"""")"),"ES0031408323131005HX0F")</f>
        <v>ES0031408323131005HX0F</v>
      </c>
      <c r="B66" s="12">
        <f>IFERROR(__xludf.DUMMYFUNCTION("""COMPUTED_VALUE"""),44868.0)</f>
        <v>44868</v>
      </c>
      <c r="C66" s="13">
        <f>IFERROR(__xludf.DUMMYFUNCTION("""COMPUTED_VALUE"""),0.7083333333333334)</f>
        <v>0.7083333333</v>
      </c>
      <c r="D66" s="8">
        <f>IFERROR(__xludf.DUMMYFUNCTION("""COMPUTED_VALUE"""),0.0)</f>
        <v>0</v>
      </c>
      <c r="E66" s="8" t="str">
        <f>IFERROR(__xludf.DUMMYFUNCTION("""COMPUTED_VALUE"""),"Real")</f>
        <v>Real</v>
      </c>
      <c r="G66" s="8">
        <f t="shared" si="1"/>
        <v>11</v>
      </c>
      <c r="H66" s="14">
        <f t="shared" si="2"/>
        <v>3</v>
      </c>
      <c r="I66" s="15">
        <f t="shared" si="3"/>
        <v>17</v>
      </c>
    </row>
    <row r="67">
      <c r="A67" s="8" t="str">
        <f>IFERROR(__xludf.DUMMYFUNCTION("IF('(INGESTA)Datos_consumo_datadis'!A67&lt;&gt;"""",SPLIT('(INGESTA)Datos_consumo_datadis'!A:A,"",""),"""")"),"ES0031408323131005HX0F")</f>
        <v>ES0031408323131005HX0F</v>
      </c>
      <c r="B67" s="12">
        <f>IFERROR(__xludf.DUMMYFUNCTION("""COMPUTED_VALUE"""),44868.0)</f>
        <v>44868</v>
      </c>
      <c r="C67" s="13">
        <f>IFERROR(__xludf.DUMMYFUNCTION("""COMPUTED_VALUE"""),0.75)</f>
        <v>0.75</v>
      </c>
      <c r="D67" s="8">
        <f>IFERROR(__xludf.DUMMYFUNCTION("""COMPUTED_VALUE"""),0.0)</f>
        <v>0</v>
      </c>
      <c r="E67" s="8" t="str">
        <f>IFERROR(__xludf.DUMMYFUNCTION("""COMPUTED_VALUE"""),"Real")</f>
        <v>Real</v>
      </c>
      <c r="G67" s="8">
        <f t="shared" si="1"/>
        <v>11</v>
      </c>
      <c r="H67" s="14">
        <f t="shared" si="2"/>
        <v>3</v>
      </c>
      <c r="I67" s="15">
        <f t="shared" si="3"/>
        <v>18</v>
      </c>
    </row>
    <row r="68">
      <c r="A68" s="8" t="str">
        <f>IFERROR(__xludf.DUMMYFUNCTION("IF('(INGESTA)Datos_consumo_datadis'!A68&lt;&gt;"""",SPLIT('(INGESTA)Datos_consumo_datadis'!A:A,"",""),"""")"),"ES0031408323131005HX0F")</f>
        <v>ES0031408323131005HX0F</v>
      </c>
      <c r="B68" s="12">
        <f>IFERROR(__xludf.DUMMYFUNCTION("""COMPUTED_VALUE"""),44868.0)</f>
        <v>44868</v>
      </c>
      <c r="C68" s="13">
        <f>IFERROR(__xludf.DUMMYFUNCTION("""COMPUTED_VALUE"""),0.7916666666666666)</f>
        <v>0.7916666667</v>
      </c>
      <c r="D68" s="8">
        <f>IFERROR(__xludf.DUMMYFUNCTION("""COMPUTED_VALUE"""),0.0)</f>
        <v>0</v>
      </c>
      <c r="E68" s="8" t="str">
        <f>IFERROR(__xludf.DUMMYFUNCTION("""COMPUTED_VALUE"""),"Real")</f>
        <v>Real</v>
      </c>
      <c r="G68" s="8">
        <f t="shared" si="1"/>
        <v>11</v>
      </c>
      <c r="H68" s="14">
        <f t="shared" si="2"/>
        <v>3</v>
      </c>
      <c r="I68" s="15">
        <f t="shared" si="3"/>
        <v>19</v>
      </c>
    </row>
    <row r="69">
      <c r="A69" s="8" t="str">
        <f>IFERROR(__xludf.DUMMYFUNCTION("IF('(INGESTA)Datos_consumo_datadis'!A69&lt;&gt;"""",SPLIT('(INGESTA)Datos_consumo_datadis'!A:A,"",""),"""")"),"ES0031408323131005HX0F")</f>
        <v>ES0031408323131005HX0F</v>
      </c>
      <c r="B69" s="12">
        <f>IFERROR(__xludf.DUMMYFUNCTION("""COMPUTED_VALUE"""),44868.0)</f>
        <v>44868</v>
      </c>
      <c r="C69" s="13">
        <f>IFERROR(__xludf.DUMMYFUNCTION("""COMPUTED_VALUE"""),0.8333333333333334)</f>
        <v>0.8333333333</v>
      </c>
      <c r="D69" s="8">
        <f>IFERROR(__xludf.DUMMYFUNCTION("""COMPUTED_VALUE"""),0.0)</f>
        <v>0</v>
      </c>
      <c r="E69" s="8" t="str">
        <f>IFERROR(__xludf.DUMMYFUNCTION("""COMPUTED_VALUE"""),"Real")</f>
        <v>Real</v>
      </c>
      <c r="G69" s="8">
        <f t="shared" si="1"/>
        <v>11</v>
      </c>
      <c r="H69" s="14">
        <f t="shared" si="2"/>
        <v>3</v>
      </c>
      <c r="I69" s="15">
        <f t="shared" si="3"/>
        <v>20</v>
      </c>
    </row>
    <row r="70">
      <c r="A70" s="8" t="str">
        <f>IFERROR(__xludf.DUMMYFUNCTION("IF('(INGESTA)Datos_consumo_datadis'!A70&lt;&gt;"""",SPLIT('(INGESTA)Datos_consumo_datadis'!A:A,"",""),"""")"),"ES0031408323131005HX0F")</f>
        <v>ES0031408323131005HX0F</v>
      </c>
      <c r="B70" s="12">
        <f>IFERROR(__xludf.DUMMYFUNCTION("""COMPUTED_VALUE"""),44868.0)</f>
        <v>44868</v>
      </c>
      <c r="C70" s="13">
        <f>IFERROR(__xludf.DUMMYFUNCTION("""COMPUTED_VALUE"""),0.875)</f>
        <v>0.875</v>
      </c>
      <c r="D70" s="8">
        <f>IFERROR(__xludf.DUMMYFUNCTION("""COMPUTED_VALUE"""),0.0)</f>
        <v>0</v>
      </c>
      <c r="E70" s="8" t="str">
        <f>IFERROR(__xludf.DUMMYFUNCTION("""COMPUTED_VALUE"""),"Real")</f>
        <v>Real</v>
      </c>
      <c r="G70" s="8">
        <f t="shared" si="1"/>
        <v>11</v>
      </c>
      <c r="H70" s="14">
        <f t="shared" si="2"/>
        <v>3</v>
      </c>
      <c r="I70" s="15">
        <f t="shared" si="3"/>
        <v>21</v>
      </c>
    </row>
    <row r="71">
      <c r="A71" s="8" t="str">
        <f>IFERROR(__xludf.DUMMYFUNCTION("IF('(INGESTA)Datos_consumo_datadis'!A71&lt;&gt;"""",SPLIT('(INGESTA)Datos_consumo_datadis'!A:A,"",""),"""")"),"ES0031408323131005HX0F")</f>
        <v>ES0031408323131005HX0F</v>
      </c>
      <c r="B71" s="12">
        <f>IFERROR(__xludf.DUMMYFUNCTION("""COMPUTED_VALUE"""),44868.0)</f>
        <v>44868</v>
      </c>
      <c r="C71" s="13">
        <f>IFERROR(__xludf.DUMMYFUNCTION("""COMPUTED_VALUE"""),0.9166666666666666)</f>
        <v>0.9166666667</v>
      </c>
      <c r="D71" s="8">
        <f>IFERROR(__xludf.DUMMYFUNCTION("""COMPUTED_VALUE"""),0.0)</f>
        <v>0</v>
      </c>
      <c r="E71" s="8" t="str">
        <f>IFERROR(__xludf.DUMMYFUNCTION("""COMPUTED_VALUE"""),"Real")</f>
        <v>Real</v>
      </c>
      <c r="G71" s="8">
        <f t="shared" si="1"/>
        <v>11</v>
      </c>
      <c r="H71" s="14">
        <f t="shared" si="2"/>
        <v>3</v>
      </c>
      <c r="I71" s="15">
        <f t="shared" si="3"/>
        <v>22</v>
      </c>
    </row>
    <row r="72">
      <c r="A72" s="8" t="str">
        <f>IFERROR(__xludf.DUMMYFUNCTION("IF('(INGESTA)Datos_consumo_datadis'!A72&lt;&gt;"""",SPLIT('(INGESTA)Datos_consumo_datadis'!A:A,"",""),"""")"),"ES0031408323131005HX0F")</f>
        <v>ES0031408323131005HX0F</v>
      </c>
      <c r="B72" s="12">
        <f>IFERROR(__xludf.DUMMYFUNCTION("""COMPUTED_VALUE"""),44868.0)</f>
        <v>44868</v>
      </c>
      <c r="C72" s="13">
        <f>IFERROR(__xludf.DUMMYFUNCTION("""COMPUTED_VALUE"""),0.9583333333333334)</f>
        <v>0.9583333333</v>
      </c>
      <c r="D72" s="8">
        <f>IFERROR(__xludf.DUMMYFUNCTION("""COMPUTED_VALUE"""),0.0)</f>
        <v>0</v>
      </c>
      <c r="E72" s="8" t="str">
        <f>IFERROR(__xludf.DUMMYFUNCTION("""COMPUTED_VALUE"""),"Real")</f>
        <v>Real</v>
      </c>
      <c r="G72" s="8">
        <f t="shared" si="1"/>
        <v>11</v>
      </c>
      <c r="H72" s="14">
        <f t="shared" si="2"/>
        <v>3</v>
      </c>
      <c r="I72" s="15">
        <f t="shared" si="3"/>
        <v>23</v>
      </c>
    </row>
    <row r="73">
      <c r="A73" s="8" t="str">
        <f>IFERROR(__xludf.DUMMYFUNCTION("IF('(INGESTA)Datos_consumo_datadis'!A73&lt;&gt;"""",SPLIT('(INGESTA)Datos_consumo_datadis'!A:A,"",""),"""")"),"ES0031408323131005HX0F")</f>
        <v>ES0031408323131005HX0F</v>
      </c>
      <c r="B73" s="12">
        <f>IFERROR(__xludf.DUMMYFUNCTION("""COMPUTED_VALUE"""),44868.0)</f>
        <v>44868</v>
      </c>
      <c r="C73" s="16">
        <f>IFERROR(__xludf.DUMMYFUNCTION("""COMPUTED_VALUE"""),1.0)</f>
        <v>1</v>
      </c>
      <c r="D73" s="8">
        <f>IFERROR(__xludf.DUMMYFUNCTION("""COMPUTED_VALUE"""),0.0)</f>
        <v>0</v>
      </c>
      <c r="E73" s="8" t="str">
        <f>IFERROR(__xludf.DUMMYFUNCTION("""COMPUTED_VALUE"""),"Real")</f>
        <v>Real</v>
      </c>
      <c r="G73" s="8">
        <f t="shared" si="1"/>
        <v>11</v>
      </c>
      <c r="H73" s="14">
        <f t="shared" si="2"/>
        <v>3</v>
      </c>
      <c r="I73" s="15">
        <f t="shared" si="3"/>
        <v>0</v>
      </c>
    </row>
    <row r="74">
      <c r="A74" s="8" t="str">
        <f>IFERROR(__xludf.DUMMYFUNCTION("IF('(INGESTA)Datos_consumo_datadis'!A74&lt;&gt;"""",SPLIT('(INGESTA)Datos_consumo_datadis'!A:A,"",""),"""")"),"ES0031408323131005HX0F")</f>
        <v>ES0031408323131005HX0F</v>
      </c>
      <c r="B74" s="12">
        <f>IFERROR(__xludf.DUMMYFUNCTION("""COMPUTED_VALUE"""),44869.0)</f>
        <v>44869</v>
      </c>
      <c r="C74" s="13">
        <f>IFERROR(__xludf.DUMMYFUNCTION("""COMPUTED_VALUE"""),0.041666666666666664)</f>
        <v>0.04166666667</v>
      </c>
      <c r="D74" s="8">
        <f>IFERROR(__xludf.DUMMYFUNCTION("""COMPUTED_VALUE"""),0.0)</f>
        <v>0</v>
      </c>
      <c r="E74" s="8" t="str">
        <f>IFERROR(__xludf.DUMMYFUNCTION("""COMPUTED_VALUE"""),"Real")</f>
        <v>Real</v>
      </c>
      <c r="G74" s="8">
        <f t="shared" si="1"/>
        <v>11</v>
      </c>
      <c r="H74" s="14">
        <f t="shared" si="2"/>
        <v>4</v>
      </c>
      <c r="I74" s="15">
        <f t="shared" si="3"/>
        <v>1</v>
      </c>
    </row>
    <row r="75">
      <c r="A75" s="8" t="str">
        <f>IFERROR(__xludf.DUMMYFUNCTION("IF('(INGESTA)Datos_consumo_datadis'!A75&lt;&gt;"""",SPLIT('(INGESTA)Datos_consumo_datadis'!A:A,"",""),"""")"),"ES0031408323131005HX0F")</f>
        <v>ES0031408323131005HX0F</v>
      </c>
      <c r="B75" s="12">
        <f>IFERROR(__xludf.DUMMYFUNCTION("""COMPUTED_VALUE"""),44869.0)</f>
        <v>44869</v>
      </c>
      <c r="C75" s="13">
        <f>IFERROR(__xludf.DUMMYFUNCTION("""COMPUTED_VALUE"""),0.08333333333333333)</f>
        <v>0.08333333333</v>
      </c>
      <c r="D75" s="8">
        <f>IFERROR(__xludf.DUMMYFUNCTION("""COMPUTED_VALUE"""),0.0)</f>
        <v>0</v>
      </c>
      <c r="E75" s="8" t="str">
        <f>IFERROR(__xludf.DUMMYFUNCTION("""COMPUTED_VALUE"""),"Real")</f>
        <v>Real</v>
      </c>
      <c r="G75" s="8">
        <f t="shared" si="1"/>
        <v>11</v>
      </c>
      <c r="H75" s="14">
        <f t="shared" si="2"/>
        <v>4</v>
      </c>
      <c r="I75" s="15">
        <f t="shared" si="3"/>
        <v>2</v>
      </c>
    </row>
    <row r="76">
      <c r="A76" s="8" t="str">
        <f>IFERROR(__xludf.DUMMYFUNCTION("IF('(INGESTA)Datos_consumo_datadis'!A76&lt;&gt;"""",SPLIT('(INGESTA)Datos_consumo_datadis'!A:A,"",""),"""")"),"ES0031408323131005HX0F")</f>
        <v>ES0031408323131005HX0F</v>
      </c>
      <c r="B76" s="12">
        <f>IFERROR(__xludf.DUMMYFUNCTION("""COMPUTED_VALUE"""),44869.0)</f>
        <v>44869</v>
      </c>
      <c r="C76" s="13">
        <f>IFERROR(__xludf.DUMMYFUNCTION("""COMPUTED_VALUE"""),0.125)</f>
        <v>0.125</v>
      </c>
      <c r="D76" s="8">
        <f>IFERROR(__xludf.DUMMYFUNCTION("""COMPUTED_VALUE"""),0.0)</f>
        <v>0</v>
      </c>
      <c r="E76" s="8" t="str">
        <f>IFERROR(__xludf.DUMMYFUNCTION("""COMPUTED_VALUE"""),"Real")</f>
        <v>Real</v>
      </c>
      <c r="G76" s="8">
        <f t="shared" si="1"/>
        <v>11</v>
      </c>
      <c r="H76" s="14">
        <f t="shared" si="2"/>
        <v>4</v>
      </c>
      <c r="I76" s="15">
        <f t="shared" si="3"/>
        <v>3</v>
      </c>
    </row>
    <row r="77">
      <c r="A77" s="8" t="str">
        <f>IFERROR(__xludf.DUMMYFUNCTION("IF('(INGESTA)Datos_consumo_datadis'!A77&lt;&gt;"""",SPLIT('(INGESTA)Datos_consumo_datadis'!A:A,"",""),"""")"),"ES0031408323131005HX0F")</f>
        <v>ES0031408323131005HX0F</v>
      </c>
      <c r="B77" s="12">
        <f>IFERROR(__xludf.DUMMYFUNCTION("""COMPUTED_VALUE"""),44869.0)</f>
        <v>44869</v>
      </c>
      <c r="C77" s="13">
        <f>IFERROR(__xludf.DUMMYFUNCTION("""COMPUTED_VALUE"""),0.16666666666666666)</f>
        <v>0.1666666667</v>
      </c>
      <c r="D77" s="8">
        <f>IFERROR(__xludf.DUMMYFUNCTION("""COMPUTED_VALUE"""),0.0)</f>
        <v>0</v>
      </c>
      <c r="E77" s="8" t="str">
        <f>IFERROR(__xludf.DUMMYFUNCTION("""COMPUTED_VALUE"""),"Real")</f>
        <v>Real</v>
      </c>
      <c r="G77" s="8">
        <f t="shared" si="1"/>
        <v>11</v>
      </c>
      <c r="H77" s="14">
        <f t="shared" si="2"/>
        <v>4</v>
      </c>
      <c r="I77" s="15">
        <f t="shared" si="3"/>
        <v>4</v>
      </c>
    </row>
    <row r="78">
      <c r="A78" s="8" t="str">
        <f>IFERROR(__xludf.DUMMYFUNCTION("IF('(INGESTA)Datos_consumo_datadis'!A78&lt;&gt;"""",SPLIT('(INGESTA)Datos_consumo_datadis'!A:A,"",""),"""")"),"ES0031408323131005HX0F")</f>
        <v>ES0031408323131005HX0F</v>
      </c>
      <c r="B78" s="12">
        <f>IFERROR(__xludf.DUMMYFUNCTION("""COMPUTED_VALUE"""),44869.0)</f>
        <v>44869</v>
      </c>
      <c r="C78" s="13">
        <f>IFERROR(__xludf.DUMMYFUNCTION("""COMPUTED_VALUE"""),0.20833333333333334)</f>
        <v>0.2083333333</v>
      </c>
      <c r="D78" s="8">
        <f>IFERROR(__xludf.DUMMYFUNCTION("""COMPUTED_VALUE"""),0.0)</f>
        <v>0</v>
      </c>
      <c r="E78" s="8" t="str">
        <f>IFERROR(__xludf.DUMMYFUNCTION("""COMPUTED_VALUE"""),"Real")</f>
        <v>Real</v>
      </c>
      <c r="G78" s="8">
        <f t="shared" si="1"/>
        <v>11</v>
      </c>
      <c r="H78" s="14">
        <f t="shared" si="2"/>
        <v>4</v>
      </c>
      <c r="I78" s="15">
        <f t="shared" si="3"/>
        <v>5</v>
      </c>
    </row>
    <row r="79">
      <c r="A79" s="8" t="str">
        <f>IFERROR(__xludf.DUMMYFUNCTION("IF('(INGESTA)Datos_consumo_datadis'!A79&lt;&gt;"""",SPLIT('(INGESTA)Datos_consumo_datadis'!A:A,"",""),"""")"),"ES0031408323131005HX0F")</f>
        <v>ES0031408323131005HX0F</v>
      </c>
      <c r="B79" s="12">
        <f>IFERROR(__xludf.DUMMYFUNCTION("""COMPUTED_VALUE"""),44869.0)</f>
        <v>44869</v>
      </c>
      <c r="C79" s="13">
        <f>IFERROR(__xludf.DUMMYFUNCTION("""COMPUTED_VALUE"""),0.25)</f>
        <v>0.25</v>
      </c>
      <c r="D79" s="8">
        <f>IFERROR(__xludf.DUMMYFUNCTION("""COMPUTED_VALUE"""),0.0)</f>
        <v>0</v>
      </c>
      <c r="E79" s="8" t="str">
        <f>IFERROR(__xludf.DUMMYFUNCTION("""COMPUTED_VALUE"""),"Real")</f>
        <v>Real</v>
      </c>
      <c r="G79" s="8">
        <f t="shared" si="1"/>
        <v>11</v>
      </c>
      <c r="H79" s="14">
        <f t="shared" si="2"/>
        <v>4</v>
      </c>
      <c r="I79" s="15">
        <f t="shared" si="3"/>
        <v>6</v>
      </c>
    </row>
    <row r="80">
      <c r="A80" s="8" t="str">
        <f>IFERROR(__xludf.DUMMYFUNCTION("IF('(INGESTA)Datos_consumo_datadis'!A80&lt;&gt;"""",SPLIT('(INGESTA)Datos_consumo_datadis'!A:A,"",""),"""")"),"ES0031408323131005HX0F")</f>
        <v>ES0031408323131005HX0F</v>
      </c>
      <c r="B80" s="12">
        <f>IFERROR(__xludf.DUMMYFUNCTION("""COMPUTED_VALUE"""),44869.0)</f>
        <v>44869</v>
      </c>
      <c r="C80" s="13">
        <f>IFERROR(__xludf.DUMMYFUNCTION("""COMPUTED_VALUE"""),0.2916666666666667)</f>
        <v>0.2916666667</v>
      </c>
      <c r="D80" s="8">
        <f>IFERROR(__xludf.DUMMYFUNCTION("""COMPUTED_VALUE"""),0.0)</f>
        <v>0</v>
      </c>
      <c r="E80" s="8" t="str">
        <f>IFERROR(__xludf.DUMMYFUNCTION("""COMPUTED_VALUE"""),"Real")</f>
        <v>Real</v>
      </c>
      <c r="G80" s="8">
        <f t="shared" si="1"/>
        <v>11</v>
      </c>
      <c r="H80" s="14">
        <f t="shared" si="2"/>
        <v>4</v>
      </c>
      <c r="I80" s="15">
        <f t="shared" si="3"/>
        <v>7</v>
      </c>
    </row>
    <row r="81">
      <c r="A81" s="8" t="str">
        <f>IFERROR(__xludf.DUMMYFUNCTION("IF('(INGESTA)Datos_consumo_datadis'!A81&lt;&gt;"""",SPLIT('(INGESTA)Datos_consumo_datadis'!A:A,"",""),"""")"),"ES0031408323131005HX0F")</f>
        <v>ES0031408323131005HX0F</v>
      </c>
      <c r="B81" s="12">
        <f>IFERROR(__xludf.DUMMYFUNCTION("""COMPUTED_VALUE"""),44869.0)</f>
        <v>44869</v>
      </c>
      <c r="C81" s="13">
        <f>IFERROR(__xludf.DUMMYFUNCTION("""COMPUTED_VALUE"""),0.3333333333333333)</f>
        <v>0.3333333333</v>
      </c>
      <c r="D81" s="8">
        <f>IFERROR(__xludf.DUMMYFUNCTION("""COMPUTED_VALUE"""),0.0)</f>
        <v>0</v>
      </c>
      <c r="E81" s="8" t="str">
        <f>IFERROR(__xludf.DUMMYFUNCTION("""COMPUTED_VALUE"""),"Real")</f>
        <v>Real</v>
      </c>
      <c r="G81" s="8">
        <f t="shared" si="1"/>
        <v>11</v>
      </c>
      <c r="H81" s="14">
        <f t="shared" si="2"/>
        <v>4</v>
      </c>
      <c r="I81" s="15">
        <f t="shared" si="3"/>
        <v>8</v>
      </c>
    </row>
    <row r="82">
      <c r="A82" s="8" t="str">
        <f>IFERROR(__xludf.DUMMYFUNCTION("IF('(INGESTA)Datos_consumo_datadis'!A82&lt;&gt;"""",SPLIT('(INGESTA)Datos_consumo_datadis'!A:A,"",""),"""")"),"ES0031408323131005HX0F")</f>
        <v>ES0031408323131005HX0F</v>
      </c>
      <c r="B82" s="12">
        <f>IFERROR(__xludf.DUMMYFUNCTION("""COMPUTED_VALUE"""),44869.0)</f>
        <v>44869</v>
      </c>
      <c r="C82" s="13">
        <f>IFERROR(__xludf.DUMMYFUNCTION("""COMPUTED_VALUE"""),0.375)</f>
        <v>0.375</v>
      </c>
      <c r="D82" s="8">
        <f>IFERROR(__xludf.DUMMYFUNCTION("""COMPUTED_VALUE"""),0.0)</f>
        <v>0</v>
      </c>
      <c r="E82" s="8" t="str">
        <f>IFERROR(__xludf.DUMMYFUNCTION("""COMPUTED_VALUE"""),"Real")</f>
        <v>Real</v>
      </c>
      <c r="G82" s="8">
        <f t="shared" si="1"/>
        <v>11</v>
      </c>
      <c r="H82" s="14">
        <f t="shared" si="2"/>
        <v>4</v>
      </c>
      <c r="I82" s="15">
        <f t="shared" si="3"/>
        <v>9</v>
      </c>
    </row>
    <row r="83">
      <c r="A83" s="8" t="str">
        <f>IFERROR(__xludf.DUMMYFUNCTION("IF('(INGESTA)Datos_consumo_datadis'!A83&lt;&gt;"""",SPLIT('(INGESTA)Datos_consumo_datadis'!A:A,"",""),"""")"),"ES0031408323131005HX0F")</f>
        <v>ES0031408323131005HX0F</v>
      </c>
      <c r="B83" s="12">
        <f>IFERROR(__xludf.DUMMYFUNCTION("""COMPUTED_VALUE"""),44869.0)</f>
        <v>44869</v>
      </c>
      <c r="C83" s="13">
        <f>IFERROR(__xludf.DUMMYFUNCTION("""COMPUTED_VALUE"""),0.4166666666666667)</f>
        <v>0.4166666667</v>
      </c>
      <c r="D83" s="8">
        <f>IFERROR(__xludf.DUMMYFUNCTION("""COMPUTED_VALUE"""),0.0)</f>
        <v>0</v>
      </c>
      <c r="E83" s="8" t="str">
        <f>IFERROR(__xludf.DUMMYFUNCTION("""COMPUTED_VALUE"""),"Real")</f>
        <v>Real</v>
      </c>
      <c r="G83" s="8">
        <f t="shared" si="1"/>
        <v>11</v>
      </c>
      <c r="H83" s="14">
        <f t="shared" si="2"/>
        <v>4</v>
      </c>
      <c r="I83" s="15">
        <f t="shared" si="3"/>
        <v>10</v>
      </c>
    </row>
    <row r="84">
      <c r="A84" s="8" t="str">
        <f>IFERROR(__xludf.DUMMYFUNCTION("IF('(INGESTA)Datos_consumo_datadis'!A84&lt;&gt;"""",SPLIT('(INGESTA)Datos_consumo_datadis'!A:A,"",""),"""")"),"ES0031408323131005HX0F")</f>
        <v>ES0031408323131005HX0F</v>
      </c>
      <c r="B84" s="12">
        <f>IFERROR(__xludf.DUMMYFUNCTION("""COMPUTED_VALUE"""),44869.0)</f>
        <v>44869</v>
      </c>
      <c r="C84" s="13">
        <f>IFERROR(__xludf.DUMMYFUNCTION("""COMPUTED_VALUE"""),0.4583333333333333)</f>
        <v>0.4583333333</v>
      </c>
      <c r="D84" s="8">
        <f>IFERROR(__xludf.DUMMYFUNCTION("""COMPUTED_VALUE"""),0.0)</f>
        <v>0</v>
      </c>
      <c r="E84" s="8" t="str">
        <f>IFERROR(__xludf.DUMMYFUNCTION("""COMPUTED_VALUE"""),"Real")</f>
        <v>Real</v>
      </c>
      <c r="G84" s="8">
        <f t="shared" si="1"/>
        <v>11</v>
      </c>
      <c r="H84" s="14">
        <f t="shared" si="2"/>
        <v>4</v>
      </c>
      <c r="I84" s="15">
        <f t="shared" si="3"/>
        <v>11</v>
      </c>
    </row>
    <row r="85">
      <c r="A85" s="8" t="str">
        <f>IFERROR(__xludf.DUMMYFUNCTION("IF('(INGESTA)Datos_consumo_datadis'!A85&lt;&gt;"""",SPLIT('(INGESTA)Datos_consumo_datadis'!A:A,"",""),"""")"),"ES0031408323131005HX0F")</f>
        <v>ES0031408323131005HX0F</v>
      </c>
      <c r="B85" s="12">
        <f>IFERROR(__xludf.DUMMYFUNCTION("""COMPUTED_VALUE"""),44869.0)</f>
        <v>44869</v>
      </c>
      <c r="C85" s="13">
        <f>IFERROR(__xludf.DUMMYFUNCTION("""COMPUTED_VALUE"""),0.5)</f>
        <v>0.5</v>
      </c>
      <c r="D85" s="8">
        <f>IFERROR(__xludf.DUMMYFUNCTION("""COMPUTED_VALUE"""),0.0)</f>
        <v>0</v>
      </c>
      <c r="E85" s="8" t="str">
        <f>IFERROR(__xludf.DUMMYFUNCTION("""COMPUTED_VALUE"""),"Real")</f>
        <v>Real</v>
      </c>
      <c r="G85" s="8">
        <f t="shared" si="1"/>
        <v>11</v>
      </c>
      <c r="H85" s="14">
        <f t="shared" si="2"/>
        <v>4</v>
      </c>
      <c r="I85" s="15">
        <f t="shared" si="3"/>
        <v>12</v>
      </c>
    </row>
    <row r="86">
      <c r="A86" s="8" t="str">
        <f>IFERROR(__xludf.DUMMYFUNCTION("IF('(INGESTA)Datos_consumo_datadis'!A86&lt;&gt;"""",SPLIT('(INGESTA)Datos_consumo_datadis'!A:A,"",""),"""")"),"ES0031408323131005HX0F")</f>
        <v>ES0031408323131005HX0F</v>
      </c>
      <c r="B86" s="12">
        <f>IFERROR(__xludf.DUMMYFUNCTION("""COMPUTED_VALUE"""),44869.0)</f>
        <v>44869</v>
      </c>
      <c r="C86" s="13">
        <f>IFERROR(__xludf.DUMMYFUNCTION("""COMPUTED_VALUE"""),0.5416666666666666)</f>
        <v>0.5416666667</v>
      </c>
      <c r="D86" s="8">
        <f>IFERROR(__xludf.DUMMYFUNCTION("""COMPUTED_VALUE"""),0.0)</f>
        <v>0</v>
      </c>
      <c r="E86" s="8" t="str">
        <f>IFERROR(__xludf.DUMMYFUNCTION("""COMPUTED_VALUE"""),"Real")</f>
        <v>Real</v>
      </c>
      <c r="G86" s="8">
        <f t="shared" si="1"/>
        <v>11</v>
      </c>
      <c r="H86" s="14">
        <f t="shared" si="2"/>
        <v>4</v>
      </c>
      <c r="I86" s="15">
        <f t="shared" si="3"/>
        <v>13</v>
      </c>
    </row>
    <row r="87">
      <c r="A87" s="8" t="str">
        <f>IFERROR(__xludf.DUMMYFUNCTION("IF('(INGESTA)Datos_consumo_datadis'!A87&lt;&gt;"""",SPLIT('(INGESTA)Datos_consumo_datadis'!A:A,"",""),"""")"),"ES0031408323131005HX0F")</f>
        <v>ES0031408323131005HX0F</v>
      </c>
      <c r="B87" s="12">
        <f>IFERROR(__xludf.DUMMYFUNCTION("""COMPUTED_VALUE"""),44869.0)</f>
        <v>44869</v>
      </c>
      <c r="C87" s="13">
        <f>IFERROR(__xludf.DUMMYFUNCTION("""COMPUTED_VALUE"""),0.5833333333333334)</f>
        <v>0.5833333333</v>
      </c>
      <c r="D87" s="8">
        <f>IFERROR(__xludf.DUMMYFUNCTION("""COMPUTED_VALUE"""),0.0)</f>
        <v>0</v>
      </c>
      <c r="E87" s="8" t="str">
        <f>IFERROR(__xludf.DUMMYFUNCTION("""COMPUTED_VALUE"""),"Real")</f>
        <v>Real</v>
      </c>
      <c r="G87" s="8">
        <f t="shared" si="1"/>
        <v>11</v>
      </c>
      <c r="H87" s="14">
        <f t="shared" si="2"/>
        <v>4</v>
      </c>
      <c r="I87" s="15">
        <f t="shared" si="3"/>
        <v>14</v>
      </c>
    </row>
    <row r="88">
      <c r="A88" s="8" t="str">
        <f>IFERROR(__xludf.DUMMYFUNCTION("IF('(INGESTA)Datos_consumo_datadis'!A88&lt;&gt;"""",SPLIT('(INGESTA)Datos_consumo_datadis'!A:A,"",""),"""")"),"ES0031408323131005HX0F")</f>
        <v>ES0031408323131005HX0F</v>
      </c>
      <c r="B88" s="12">
        <f>IFERROR(__xludf.DUMMYFUNCTION("""COMPUTED_VALUE"""),44869.0)</f>
        <v>44869</v>
      </c>
      <c r="C88" s="13">
        <f>IFERROR(__xludf.DUMMYFUNCTION("""COMPUTED_VALUE"""),0.625)</f>
        <v>0.625</v>
      </c>
      <c r="D88" s="8">
        <f>IFERROR(__xludf.DUMMYFUNCTION("""COMPUTED_VALUE"""),0.0)</f>
        <v>0</v>
      </c>
      <c r="E88" s="8" t="str">
        <f>IFERROR(__xludf.DUMMYFUNCTION("""COMPUTED_VALUE"""),"Real")</f>
        <v>Real</v>
      </c>
      <c r="G88" s="8">
        <f t="shared" si="1"/>
        <v>11</v>
      </c>
      <c r="H88" s="14">
        <f t="shared" si="2"/>
        <v>4</v>
      </c>
      <c r="I88" s="15">
        <f t="shared" si="3"/>
        <v>15</v>
      </c>
    </row>
    <row r="89">
      <c r="A89" s="8" t="str">
        <f>IFERROR(__xludf.DUMMYFUNCTION("IF('(INGESTA)Datos_consumo_datadis'!A89&lt;&gt;"""",SPLIT('(INGESTA)Datos_consumo_datadis'!A:A,"",""),"""")"),"ES0031408323131005HX0F")</f>
        <v>ES0031408323131005HX0F</v>
      </c>
      <c r="B89" s="12">
        <f>IFERROR(__xludf.DUMMYFUNCTION("""COMPUTED_VALUE"""),44869.0)</f>
        <v>44869</v>
      </c>
      <c r="C89" s="13">
        <f>IFERROR(__xludf.DUMMYFUNCTION("""COMPUTED_VALUE"""),0.6666666666666666)</f>
        <v>0.6666666667</v>
      </c>
      <c r="D89" s="8">
        <f>IFERROR(__xludf.DUMMYFUNCTION("""COMPUTED_VALUE"""),0.0)</f>
        <v>0</v>
      </c>
      <c r="E89" s="8" t="str">
        <f>IFERROR(__xludf.DUMMYFUNCTION("""COMPUTED_VALUE"""),"Real")</f>
        <v>Real</v>
      </c>
      <c r="G89" s="8">
        <f t="shared" si="1"/>
        <v>11</v>
      </c>
      <c r="H89" s="14">
        <f t="shared" si="2"/>
        <v>4</v>
      </c>
      <c r="I89" s="15">
        <f t="shared" si="3"/>
        <v>16</v>
      </c>
    </row>
    <row r="90">
      <c r="A90" s="8" t="str">
        <f>IFERROR(__xludf.DUMMYFUNCTION("IF('(INGESTA)Datos_consumo_datadis'!A90&lt;&gt;"""",SPLIT('(INGESTA)Datos_consumo_datadis'!A:A,"",""),"""")"),"ES0031408323131005HX0F")</f>
        <v>ES0031408323131005HX0F</v>
      </c>
      <c r="B90" s="12">
        <f>IFERROR(__xludf.DUMMYFUNCTION("""COMPUTED_VALUE"""),44869.0)</f>
        <v>44869</v>
      </c>
      <c r="C90" s="13">
        <f>IFERROR(__xludf.DUMMYFUNCTION("""COMPUTED_VALUE"""),0.7083333333333334)</f>
        <v>0.7083333333</v>
      </c>
      <c r="D90" s="8">
        <f>IFERROR(__xludf.DUMMYFUNCTION("""COMPUTED_VALUE"""),0.0)</f>
        <v>0</v>
      </c>
      <c r="E90" s="8" t="str">
        <f>IFERROR(__xludf.DUMMYFUNCTION("""COMPUTED_VALUE"""),"Real")</f>
        <v>Real</v>
      </c>
      <c r="G90" s="8">
        <f t="shared" si="1"/>
        <v>11</v>
      </c>
      <c r="H90" s="14">
        <f t="shared" si="2"/>
        <v>4</v>
      </c>
      <c r="I90" s="15">
        <f t="shared" si="3"/>
        <v>17</v>
      </c>
    </row>
    <row r="91">
      <c r="A91" s="8" t="str">
        <f>IFERROR(__xludf.DUMMYFUNCTION("IF('(INGESTA)Datos_consumo_datadis'!A91&lt;&gt;"""",SPLIT('(INGESTA)Datos_consumo_datadis'!A:A,"",""),"""")"),"ES0031408323131005HX0F")</f>
        <v>ES0031408323131005HX0F</v>
      </c>
      <c r="B91" s="12">
        <f>IFERROR(__xludf.DUMMYFUNCTION("""COMPUTED_VALUE"""),44869.0)</f>
        <v>44869</v>
      </c>
      <c r="C91" s="13">
        <f>IFERROR(__xludf.DUMMYFUNCTION("""COMPUTED_VALUE"""),0.75)</f>
        <v>0.75</v>
      </c>
      <c r="D91" s="8">
        <f>IFERROR(__xludf.DUMMYFUNCTION("""COMPUTED_VALUE"""),0.0)</f>
        <v>0</v>
      </c>
      <c r="E91" s="8" t="str">
        <f>IFERROR(__xludf.DUMMYFUNCTION("""COMPUTED_VALUE"""),"Real")</f>
        <v>Real</v>
      </c>
      <c r="G91" s="8">
        <f t="shared" si="1"/>
        <v>11</v>
      </c>
      <c r="H91" s="14">
        <f t="shared" si="2"/>
        <v>4</v>
      </c>
      <c r="I91" s="15">
        <f t="shared" si="3"/>
        <v>18</v>
      </c>
    </row>
    <row r="92">
      <c r="A92" s="8" t="str">
        <f>IFERROR(__xludf.DUMMYFUNCTION("IF('(INGESTA)Datos_consumo_datadis'!A92&lt;&gt;"""",SPLIT('(INGESTA)Datos_consumo_datadis'!A:A,"",""),"""")"),"ES0031408323131005HX0F")</f>
        <v>ES0031408323131005HX0F</v>
      </c>
      <c r="B92" s="12">
        <f>IFERROR(__xludf.DUMMYFUNCTION("""COMPUTED_VALUE"""),44869.0)</f>
        <v>44869</v>
      </c>
      <c r="C92" s="13">
        <f>IFERROR(__xludf.DUMMYFUNCTION("""COMPUTED_VALUE"""),0.7916666666666666)</f>
        <v>0.7916666667</v>
      </c>
      <c r="D92" s="8">
        <f>IFERROR(__xludf.DUMMYFUNCTION("""COMPUTED_VALUE"""),0.0)</f>
        <v>0</v>
      </c>
      <c r="E92" s="8" t="str">
        <f>IFERROR(__xludf.DUMMYFUNCTION("""COMPUTED_VALUE"""),"Real")</f>
        <v>Real</v>
      </c>
      <c r="G92" s="8">
        <f t="shared" si="1"/>
        <v>11</v>
      </c>
      <c r="H92" s="14">
        <f t="shared" si="2"/>
        <v>4</v>
      </c>
      <c r="I92" s="15">
        <f t="shared" si="3"/>
        <v>19</v>
      </c>
    </row>
    <row r="93">
      <c r="A93" s="8" t="str">
        <f>IFERROR(__xludf.DUMMYFUNCTION("IF('(INGESTA)Datos_consumo_datadis'!A93&lt;&gt;"""",SPLIT('(INGESTA)Datos_consumo_datadis'!A:A,"",""),"""")"),"ES0031408323131005HX0F")</f>
        <v>ES0031408323131005HX0F</v>
      </c>
      <c r="B93" s="12">
        <f>IFERROR(__xludf.DUMMYFUNCTION("""COMPUTED_VALUE"""),44869.0)</f>
        <v>44869</v>
      </c>
      <c r="C93" s="13">
        <f>IFERROR(__xludf.DUMMYFUNCTION("""COMPUTED_VALUE"""),0.8333333333333334)</f>
        <v>0.8333333333</v>
      </c>
      <c r="D93" s="8">
        <f>IFERROR(__xludf.DUMMYFUNCTION("""COMPUTED_VALUE"""),0.0)</f>
        <v>0</v>
      </c>
      <c r="E93" s="8" t="str">
        <f>IFERROR(__xludf.DUMMYFUNCTION("""COMPUTED_VALUE"""),"Real")</f>
        <v>Real</v>
      </c>
      <c r="G93" s="8">
        <f t="shared" si="1"/>
        <v>11</v>
      </c>
      <c r="H93" s="14">
        <f t="shared" si="2"/>
        <v>4</v>
      </c>
      <c r="I93" s="15">
        <f t="shared" si="3"/>
        <v>20</v>
      </c>
    </row>
    <row r="94">
      <c r="A94" s="8" t="str">
        <f>IFERROR(__xludf.DUMMYFUNCTION("IF('(INGESTA)Datos_consumo_datadis'!A94&lt;&gt;"""",SPLIT('(INGESTA)Datos_consumo_datadis'!A:A,"",""),"""")"),"ES0031408323131005HX0F")</f>
        <v>ES0031408323131005HX0F</v>
      </c>
      <c r="B94" s="12">
        <f>IFERROR(__xludf.DUMMYFUNCTION("""COMPUTED_VALUE"""),44869.0)</f>
        <v>44869</v>
      </c>
      <c r="C94" s="13">
        <f>IFERROR(__xludf.DUMMYFUNCTION("""COMPUTED_VALUE"""),0.875)</f>
        <v>0.875</v>
      </c>
      <c r="D94" s="8">
        <f>IFERROR(__xludf.DUMMYFUNCTION("""COMPUTED_VALUE"""),0.0)</f>
        <v>0</v>
      </c>
      <c r="E94" s="8" t="str">
        <f>IFERROR(__xludf.DUMMYFUNCTION("""COMPUTED_VALUE"""),"Real")</f>
        <v>Real</v>
      </c>
      <c r="G94" s="8">
        <f t="shared" si="1"/>
        <v>11</v>
      </c>
      <c r="H94" s="14">
        <f t="shared" si="2"/>
        <v>4</v>
      </c>
      <c r="I94" s="15">
        <f t="shared" si="3"/>
        <v>21</v>
      </c>
    </row>
    <row r="95">
      <c r="A95" s="8" t="str">
        <f>IFERROR(__xludf.DUMMYFUNCTION("IF('(INGESTA)Datos_consumo_datadis'!A95&lt;&gt;"""",SPLIT('(INGESTA)Datos_consumo_datadis'!A:A,"",""),"""")"),"ES0031408323131005HX0F")</f>
        <v>ES0031408323131005HX0F</v>
      </c>
      <c r="B95" s="12">
        <f>IFERROR(__xludf.DUMMYFUNCTION("""COMPUTED_VALUE"""),44869.0)</f>
        <v>44869</v>
      </c>
      <c r="C95" s="13">
        <f>IFERROR(__xludf.DUMMYFUNCTION("""COMPUTED_VALUE"""),0.9166666666666666)</f>
        <v>0.9166666667</v>
      </c>
      <c r="D95" s="8">
        <f>IFERROR(__xludf.DUMMYFUNCTION("""COMPUTED_VALUE"""),0.0)</f>
        <v>0</v>
      </c>
      <c r="E95" s="8" t="str">
        <f>IFERROR(__xludf.DUMMYFUNCTION("""COMPUTED_VALUE"""),"Real")</f>
        <v>Real</v>
      </c>
      <c r="G95" s="8">
        <f t="shared" si="1"/>
        <v>11</v>
      </c>
      <c r="H95" s="14">
        <f t="shared" si="2"/>
        <v>4</v>
      </c>
      <c r="I95" s="15">
        <f t="shared" si="3"/>
        <v>22</v>
      </c>
    </row>
    <row r="96">
      <c r="A96" s="8" t="str">
        <f>IFERROR(__xludf.DUMMYFUNCTION("IF('(INGESTA)Datos_consumo_datadis'!A96&lt;&gt;"""",SPLIT('(INGESTA)Datos_consumo_datadis'!A:A,"",""),"""")"),"ES0031408323131005HX0F")</f>
        <v>ES0031408323131005HX0F</v>
      </c>
      <c r="B96" s="12">
        <f>IFERROR(__xludf.DUMMYFUNCTION("""COMPUTED_VALUE"""),44869.0)</f>
        <v>44869</v>
      </c>
      <c r="C96" s="13">
        <f>IFERROR(__xludf.DUMMYFUNCTION("""COMPUTED_VALUE"""),0.9583333333333334)</f>
        <v>0.9583333333</v>
      </c>
      <c r="D96" s="8">
        <f>IFERROR(__xludf.DUMMYFUNCTION("""COMPUTED_VALUE"""),0.0)</f>
        <v>0</v>
      </c>
      <c r="E96" s="8" t="str">
        <f>IFERROR(__xludf.DUMMYFUNCTION("""COMPUTED_VALUE"""),"Real")</f>
        <v>Real</v>
      </c>
      <c r="G96" s="8">
        <f t="shared" si="1"/>
        <v>11</v>
      </c>
      <c r="H96" s="14">
        <f t="shared" si="2"/>
        <v>4</v>
      </c>
      <c r="I96" s="15">
        <f t="shared" si="3"/>
        <v>23</v>
      </c>
    </row>
    <row r="97">
      <c r="A97" s="8" t="str">
        <f>IFERROR(__xludf.DUMMYFUNCTION("IF('(INGESTA)Datos_consumo_datadis'!A97&lt;&gt;"""",SPLIT('(INGESTA)Datos_consumo_datadis'!A:A,"",""),"""")"),"ES0031408323131005HX0F")</f>
        <v>ES0031408323131005HX0F</v>
      </c>
      <c r="B97" s="12">
        <f>IFERROR(__xludf.DUMMYFUNCTION("""COMPUTED_VALUE"""),44869.0)</f>
        <v>44869</v>
      </c>
      <c r="C97" s="16">
        <f>IFERROR(__xludf.DUMMYFUNCTION("""COMPUTED_VALUE"""),1.0)</f>
        <v>1</v>
      </c>
      <c r="D97" s="8">
        <f>IFERROR(__xludf.DUMMYFUNCTION("""COMPUTED_VALUE"""),0.0)</f>
        <v>0</v>
      </c>
      <c r="E97" s="8" t="str">
        <f>IFERROR(__xludf.DUMMYFUNCTION("""COMPUTED_VALUE"""),"Real")</f>
        <v>Real</v>
      </c>
      <c r="G97" s="8">
        <f t="shared" si="1"/>
        <v>11</v>
      </c>
      <c r="H97" s="14">
        <f t="shared" si="2"/>
        <v>4</v>
      </c>
      <c r="I97" s="15">
        <f t="shared" si="3"/>
        <v>0</v>
      </c>
    </row>
    <row r="98">
      <c r="A98" s="8" t="str">
        <f>IFERROR(__xludf.DUMMYFUNCTION("IF('(INGESTA)Datos_consumo_datadis'!A98&lt;&gt;"""",SPLIT('(INGESTA)Datos_consumo_datadis'!A:A,"",""),"""")"),"ES0031408323131005HX0F")</f>
        <v>ES0031408323131005HX0F</v>
      </c>
      <c r="B98" s="12">
        <f>IFERROR(__xludf.DUMMYFUNCTION("""COMPUTED_VALUE"""),44870.0)</f>
        <v>44870</v>
      </c>
      <c r="C98" s="13">
        <f>IFERROR(__xludf.DUMMYFUNCTION("""COMPUTED_VALUE"""),0.041666666666666664)</f>
        <v>0.04166666667</v>
      </c>
      <c r="D98" s="8">
        <f>IFERROR(__xludf.DUMMYFUNCTION("""COMPUTED_VALUE"""),0.0)</f>
        <v>0</v>
      </c>
      <c r="E98" s="8" t="str">
        <f>IFERROR(__xludf.DUMMYFUNCTION("""COMPUTED_VALUE"""),"Real")</f>
        <v>Real</v>
      </c>
      <c r="G98" s="8">
        <f t="shared" si="1"/>
        <v>11</v>
      </c>
      <c r="H98" s="14">
        <f t="shared" si="2"/>
        <v>5</v>
      </c>
      <c r="I98" s="15">
        <f t="shared" si="3"/>
        <v>1</v>
      </c>
    </row>
    <row r="99">
      <c r="A99" s="8" t="str">
        <f>IFERROR(__xludf.DUMMYFUNCTION("IF('(INGESTA)Datos_consumo_datadis'!A99&lt;&gt;"""",SPLIT('(INGESTA)Datos_consumo_datadis'!A:A,"",""),"""")"),"ES0031408323131005HX0F")</f>
        <v>ES0031408323131005HX0F</v>
      </c>
      <c r="B99" s="12">
        <f>IFERROR(__xludf.DUMMYFUNCTION("""COMPUTED_VALUE"""),44870.0)</f>
        <v>44870</v>
      </c>
      <c r="C99" s="13">
        <f>IFERROR(__xludf.DUMMYFUNCTION("""COMPUTED_VALUE"""),0.08333333333333333)</f>
        <v>0.08333333333</v>
      </c>
      <c r="D99" s="8">
        <f>IFERROR(__xludf.DUMMYFUNCTION("""COMPUTED_VALUE"""),0.0)</f>
        <v>0</v>
      </c>
      <c r="E99" s="8" t="str">
        <f>IFERROR(__xludf.DUMMYFUNCTION("""COMPUTED_VALUE"""),"Real")</f>
        <v>Real</v>
      </c>
      <c r="G99" s="8">
        <f t="shared" si="1"/>
        <v>11</v>
      </c>
      <c r="H99" s="14">
        <f t="shared" si="2"/>
        <v>5</v>
      </c>
      <c r="I99" s="15">
        <f t="shared" si="3"/>
        <v>2</v>
      </c>
    </row>
    <row r="100">
      <c r="A100" s="8" t="str">
        <f>IFERROR(__xludf.DUMMYFUNCTION("IF('(INGESTA)Datos_consumo_datadis'!A100&lt;&gt;"""",SPLIT('(INGESTA)Datos_consumo_datadis'!A:A,"",""),"""")"),"ES0031408323131005HX0F")</f>
        <v>ES0031408323131005HX0F</v>
      </c>
      <c r="B100" s="12">
        <f>IFERROR(__xludf.DUMMYFUNCTION("""COMPUTED_VALUE"""),44870.0)</f>
        <v>44870</v>
      </c>
      <c r="C100" s="13">
        <f>IFERROR(__xludf.DUMMYFUNCTION("""COMPUTED_VALUE"""),0.125)</f>
        <v>0.125</v>
      </c>
      <c r="D100" s="8">
        <f>IFERROR(__xludf.DUMMYFUNCTION("""COMPUTED_VALUE"""),0.0)</f>
        <v>0</v>
      </c>
      <c r="E100" s="8" t="str">
        <f>IFERROR(__xludf.DUMMYFUNCTION("""COMPUTED_VALUE"""),"Real")</f>
        <v>Real</v>
      </c>
      <c r="G100" s="8">
        <f t="shared" si="1"/>
        <v>11</v>
      </c>
      <c r="H100" s="14">
        <f t="shared" si="2"/>
        <v>5</v>
      </c>
      <c r="I100" s="15">
        <f t="shared" si="3"/>
        <v>3</v>
      </c>
    </row>
    <row r="101">
      <c r="A101" s="8" t="str">
        <f>IFERROR(__xludf.DUMMYFUNCTION("IF('(INGESTA)Datos_consumo_datadis'!A101&lt;&gt;"""",SPLIT('(INGESTA)Datos_consumo_datadis'!A:A,"",""),"""")"),"ES0031408323131005HX0F")</f>
        <v>ES0031408323131005HX0F</v>
      </c>
      <c r="B101" s="12">
        <f>IFERROR(__xludf.DUMMYFUNCTION("""COMPUTED_VALUE"""),44870.0)</f>
        <v>44870</v>
      </c>
      <c r="C101" s="13">
        <f>IFERROR(__xludf.DUMMYFUNCTION("""COMPUTED_VALUE"""),0.16666666666666666)</f>
        <v>0.1666666667</v>
      </c>
      <c r="D101" s="8">
        <f>IFERROR(__xludf.DUMMYFUNCTION("""COMPUTED_VALUE"""),0.0)</f>
        <v>0</v>
      </c>
      <c r="E101" s="8" t="str">
        <f>IFERROR(__xludf.DUMMYFUNCTION("""COMPUTED_VALUE"""),"Real")</f>
        <v>Real</v>
      </c>
      <c r="G101" s="8">
        <f t="shared" si="1"/>
        <v>11</v>
      </c>
      <c r="H101" s="14">
        <f t="shared" si="2"/>
        <v>5</v>
      </c>
      <c r="I101" s="15">
        <f t="shared" si="3"/>
        <v>4</v>
      </c>
    </row>
    <row r="102">
      <c r="A102" s="8" t="str">
        <f>IFERROR(__xludf.DUMMYFUNCTION("IF('(INGESTA)Datos_consumo_datadis'!A102&lt;&gt;"""",SPLIT('(INGESTA)Datos_consumo_datadis'!A:A,"",""),"""")"),"ES0031408323131005HX0F")</f>
        <v>ES0031408323131005HX0F</v>
      </c>
      <c r="B102" s="12">
        <f>IFERROR(__xludf.DUMMYFUNCTION("""COMPUTED_VALUE"""),44870.0)</f>
        <v>44870</v>
      </c>
      <c r="C102" s="13">
        <f>IFERROR(__xludf.DUMMYFUNCTION("""COMPUTED_VALUE"""),0.20833333333333334)</f>
        <v>0.2083333333</v>
      </c>
      <c r="D102" s="8">
        <f>IFERROR(__xludf.DUMMYFUNCTION("""COMPUTED_VALUE"""),0.0)</f>
        <v>0</v>
      </c>
      <c r="E102" s="8" t="str">
        <f>IFERROR(__xludf.DUMMYFUNCTION("""COMPUTED_VALUE"""),"Real")</f>
        <v>Real</v>
      </c>
      <c r="G102" s="8">
        <f t="shared" si="1"/>
        <v>11</v>
      </c>
      <c r="H102" s="14">
        <f t="shared" si="2"/>
        <v>5</v>
      </c>
      <c r="I102" s="15">
        <f t="shared" si="3"/>
        <v>5</v>
      </c>
    </row>
    <row r="103">
      <c r="A103" s="8" t="str">
        <f>IFERROR(__xludf.DUMMYFUNCTION("IF('(INGESTA)Datos_consumo_datadis'!A103&lt;&gt;"""",SPLIT('(INGESTA)Datos_consumo_datadis'!A:A,"",""),"""")"),"ES0031408323131005HX0F")</f>
        <v>ES0031408323131005HX0F</v>
      </c>
      <c r="B103" s="12">
        <f>IFERROR(__xludf.DUMMYFUNCTION("""COMPUTED_VALUE"""),44870.0)</f>
        <v>44870</v>
      </c>
      <c r="C103" s="13">
        <f>IFERROR(__xludf.DUMMYFUNCTION("""COMPUTED_VALUE"""),0.25)</f>
        <v>0.25</v>
      </c>
      <c r="D103" s="8">
        <f>IFERROR(__xludf.DUMMYFUNCTION("""COMPUTED_VALUE"""),0.0)</f>
        <v>0</v>
      </c>
      <c r="E103" s="8" t="str">
        <f>IFERROR(__xludf.DUMMYFUNCTION("""COMPUTED_VALUE"""),"Real")</f>
        <v>Real</v>
      </c>
      <c r="G103" s="8">
        <f t="shared" si="1"/>
        <v>11</v>
      </c>
      <c r="H103" s="14">
        <f t="shared" si="2"/>
        <v>5</v>
      </c>
      <c r="I103" s="15">
        <f t="shared" si="3"/>
        <v>6</v>
      </c>
    </row>
    <row r="104">
      <c r="A104" s="8" t="str">
        <f>IFERROR(__xludf.DUMMYFUNCTION("IF('(INGESTA)Datos_consumo_datadis'!A104&lt;&gt;"""",SPLIT('(INGESTA)Datos_consumo_datadis'!A:A,"",""),"""")"),"ES0031408323131005HX0F")</f>
        <v>ES0031408323131005HX0F</v>
      </c>
      <c r="B104" s="12">
        <f>IFERROR(__xludf.DUMMYFUNCTION("""COMPUTED_VALUE"""),44870.0)</f>
        <v>44870</v>
      </c>
      <c r="C104" s="13">
        <f>IFERROR(__xludf.DUMMYFUNCTION("""COMPUTED_VALUE"""),0.2916666666666667)</f>
        <v>0.2916666667</v>
      </c>
      <c r="D104" s="8">
        <f>IFERROR(__xludf.DUMMYFUNCTION("""COMPUTED_VALUE"""),0.0)</f>
        <v>0</v>
      </c>
      <c r="E104" s="8" t="str">
        <f>IFERROR(__xludf.DUMMYFUNCTION("""COMPUTED_VALUE"""),"Real")</f>
        <v>Real</v>
      </c>
      <c r="G104" s="8">
        <f t="shared" si="1"/>
        <v>11</v>
      </c>
      <c r="H104" s="14">
        <f t="shared" si="2"/>
        <v>5</v>
      </c>
      <c r="I104" s="15">
        <f t="shared" si="3"/>
        <v>7</v>
      </c>
    </row>
    <row r="105">
      <c r="A105" s="8" t="str">
        <f>IFERROR(__xludf.DUMMYFUNCTION("IF('(INGESTA)Datos_consumo_datadis'!A105&lt;&gt;"""",SPLIT('(INGESTA)Datos_consumo_datadis'!A:A,"",""),"""")"),"ES0031408323131005HX0F")</f>
        <v>ES0031408323131005HX0F</v>
      </c>
      <c r="B105" s="12">
        <f>IFERROR(__xludf.DUMMYFUNCTION("""COMPUTED_VALUE"""),44870.0)</f>
        <v>44870</v>
      </c>
      <c r="C105" s="13">
        <f>IFERROR(__xludf.DUMMYFUNCTION("""COMPUTED_VALUE"""),0.3333333333333333)</f>
        <v>0.3333333333</v>
      </c>
      <c r="D105" s="8">
        <f>IFERROR(__xludf.DUMMYFUNCTION("""COMPUTED_VALUE"""),0.0)</f>
        <v>0</v>
      </c>
      <c r="E105" s="8" t="str">
        <f>IFERROR(__xludf.DUMMYFUNCTION("""COMPUTED_VALUE"""),"Real")</f>
        <v>Real</v>
      </c>
      <c r="G105" s="8">
        <f t="shared" si="1"/>
        <v>11</v>
      </c>
      <c r="H105" s="14">
        <f t="shared" si="2"/>
        <v>5</v>
      </c>
      <c r="I105" s="15">
        <f t="shared" si="3"/>
        <v>8</v>
      </c>
    </row>
    <row r="106">
      <c r="A106" s="8" t="str">
        <f>IFERROR(__xludf.DUMMYFUNCTION("IF('(INGESTA)Datos_consumo_datadis'!A106&lt;&gt;"""",SPLIT('(INGESTA)Datos_consumo_datadis'!A:A,"",""),"""")"),"ES0031408323131005HX0F")</f>
        <v>ES0031408323131005HX0F</v>
      </c>
      <c r="B106" s="12">
        <f>IFERROR(__xludf.DUMMYFUNCTION("""COMPUTED_VALUE"""),44870.0)</f>
        <v>44870</v>
      </c>
      <c r="C106" s="13">
        <f>IFERROR(__xludf.DUMMYFUNCTION("""COMPUTED_VALUE"""),0.375)</f>
        <v>0.375</v>
      </c>
      <c r="D106" s="8">
        <f>IFERROR(__xludf.DUMMYFUNCTION("""COMPUTED_VALUE"""),0.0)</f>
        <v>0</v>
      </c>
      <c r="E106" s="8" t="str">
        <f>IFERROR(__xludf.DUMMYFUNCTION("""COMPUTED_VALUE"""),"Real")</f>
        <v>Real</v>
      </c>
      <c r="G106" s="8">
        <f t="shared" si="1"/>
        <v>11</v>
      </c>
      <c r="H106" s="14">
        <f t="shared" si="2"/>
        <v>5</v>
      </c>
      <c r="I106" s="15">
        <f t="shared" si="3"/>
        <v>9</v>
      </c>
    </row>
    <row r="107">
      <c r="A107" s="8" t="str">
        <f>IFERROR(__xludf.DUMMYFUNCTION("IF('(INGESTA)Datos_consumo_datadis'!A107&lt;&gt;"""",SPLIT('(INGESTA)Datos_consumo_datadis'!A:A,"",""),"""")"),"ES0031408323131005HX0F")</f>
        <v>ES0031408323131005HX0F</v>
      </c>
      <c r="B107" s="12">
        <f>IFERROR(__xludf.DUMMYFUNCTION("""COMPUTED_VALUE"""),44870.0)</f>
        <v>44870</v>
      </c>
      <c r="C107" s="13">
        <f>IFERROR(__xludf.DUMMYFUNCTION("""COMPUTED_VALUE"""),0.4166666666666667)</f>
        <v>0.4166666667</v>
      </c>
      <c r="D107" s="8">
        <f>IFERROR(__xludf.DUMMYFUNCTION("""COMPUTED_VALUE"""),0.0)</f>
        <v>0</v>
      </c>
      <c r="E107" s="8" t="str">
        <f>IFERROR(__xludf.DUMMYFUNCTION("""COMPUTED_VALUE"""),"Real")</f>
        <v>Real</v>
      </c>
      <c r="G107" s="8">
        <f t="shared" si="1"/>
        <v>11</v>
      </c>
      <c r="H107" s="14">
        <f t="shared" si="2"/>
        <v>5</v>
      </c>
      <c r="I107" s="15">
        <f t="shared" si="3"/>
        <v>10</v>
      </c>
    </row>
    <row r="108">
      <c r="A108" s="8" t="str">
        <f>IFERROR(__xludf.DUMMYFUNCTION("IF('(INGESTA)Datos_consumo_datadis'!A108&lt;&gt;"""",SPLIT('(INGESTA)Datos_consumo_datadis'!A:A,"",""),"""")"),"ES0031408323131005HX0F")</f>
        <v>ES0031408323131005HX0F</v>
      </c>
      <c r="B108" s="12">
        <f>IFERROR(__xludf.DUMMYFUNCTION("""COMPUTED_VALUE"""),44870.0)</f>
        <v>44870</v>
      </c>
      <c r="C108" s="13">
        <f>IFERROR(__xludf.DUMMYFUNCTION("""COMPUTED_VALUE"""),0.4583333333333333)</f>
        <v>0.4583333333</v>
      </c>
      <c r="D108" s="8">
        <f>IFERROR(__xludf.DUMMYFUNCTION("""COMPUTED_VALUE"""),0.0)</f>
        <v>0</v>
      </c>
      <c r="E108" s="8" t="str">
        <f>IFERROR(__xludf.DUMMYFUNCTION("""COMPUTED_VALUE"""),"Real")</f>
        <v>Real</v>
      </c>
      <c r="G108" s="8">
        <f t="shared" si="1"/>
        <v>11</v>
      </c>
      <c r="H108" s="14">
        <f t="shared" si="2"/>
        <v>5</v>
      </c>
      <c r="I108" s="15">
        <f t="shared" si="3"/>
        <v>11</v>
      </c>
    </row>
    <row r="109">
      <c r="A109" s="8" t="str">
        <f>IFERROR(__xludf.DUMMYFUNCTION("IF('(INGESTA)Datos_consumo_datadis'!A109&lt;&gt;"""",SPLIT('(INGESTA)Datos_consumo_datadis'!A:A,"",""),"""")"),"ES0031408323131005HX0F")</f>
        <v>ES0031408323131005HX0F</v>
      </c>
      <c r="B109" s="12">
        <f>IFERROR(__xludf.DUMMYFUNCTION("""COMPUTED_VALUE"""),44870.0)</f>
        <v>44870</v>
      </c>
      <c r="C109" s="13">
        <f>IFERROR(__xludf.DUMMYFUNCTION("""COMPUTED_VALUE"""),0.5)</f>
        <v>0.5</v>
      </c>
      <c r="D109" s="8">
        <f>IFERROR(__xludf.DUMMYFUNCTION("""COMPUTED_VALUE"""),0.0)</f>
        <v>0</v>
      </c>
      <c r="E109" s="8" t="str">
        <f>IFERROR(__xludf.DUMMYFUNCTION("""COMPUTED_VALUE"""),"Real")</f>
        <v>Real</v>
      </c>
      <c r="G109" s="8">
        <f t="shared" si="1"/>
        <v>11</v>
      </c>
      <c r="H109" s="14">
        <f t="shared" si="2"/>
        <v>5</v>
      </c>
      <c r="I109" s="15">
        <f t="shared" si="3"/>
        <v>12</v>
      </c>
    </row>
    <row r="110">
      <c r="A110" s="8" t="str">
        <f>IFERROR(__xludf.DUMMYFUNCTION("IF('(INGESTA)Datos_consumo_datadis'!A110&lt;&gt;"""",SPLIT('(INGESTA)Datos_consumo_datadis'!A:A,"",""),"""")"),"ES0031408323131005HX0F")</f>
        <v>ES0031408323131005HX0F</v>
      </c>
      <c r="B110" s="12">
        <f>IFERROR(__xludf.DUMMYFUNCTION("""COMPUTED_VALUE"""),44870.0)</f>
        <v>44870</v>
      </c>
      <c r="C110" s="13">
        <f>IFERROR(__xludf.DUMMYFUNCTION("""COMPUTED_VALUE"""),0.5416666666666666)</f>
        <v>0.5416666667</v>
      </c>
      <c r="D110" s="8">
        <f>IFERROR(__xludf.DUMMYFUNCTION("""COMPUTED_VALUE"""),0.0)</f>
        <v>0</v>
      </c>
      <c r="E110" s="8" t="str">
        <f>IFERROR(__xludf.DUMMYFUNCTION("""COMPUTED_VALUE"""),"Real")</f>
        <v>Real</v>
      </c>
      <c r="G110" s="8">
        <f t="shared" si="1"/>
        <v>11</v>
      </c>
      <c r="H110" s="14">
        <f t="shared" si="2"/>
        <v>5</v>
      </c>
      <c r="I110" s="15">
        <f t="shared" si="3"/>
        <v>13</v>
      </c>
    </row>
    <row r="111">
      <c r="A111" s="8" t="str">
        <f>IFERROR(__xludf.DUMMYFUNCTION("IF('(INGESTA)Datos_consumo_datadis'!A111&lt;&gt;"""",SPLIT('(INGESTA)Datos_consumo_datadis'!A:A,"",""),"""")"),"ES0031408323131005HX0F")</f>
        <v>ES0031408323131005HX0F</v>
      </c>
      <c r="B111" s="12">
        <f>IFERROR(__xludf.DUMMYFUNCTION("""COMPUTED_VALUE"""),44870.0)</f>
        <v>44870</v>
      </c>
      <c r="C111" s="13">
        <f>IFERROR(__xludf.DUMMYFUNCTION("""COMPUTED_VALUE"""),0.5833333333333334)</f>
        <v>0.5833333333</v>
      </c>
      <c r="D111" s="8">
        <f>IFERROR(__xludf.DUMMYFUNCTION("""COMPUTED_VALUE"""),0.0)</f>
        <v>0</v>
      </c>
      <c r="E111" s="8" t="str">
        <f>IFERROR(__xludf.DUMMYFUNCTION("""COMPUTED_VALUE"""),"Real")</f>
        <v>Real</v>
      </c>
      <c r="G111" s="8">
        <f t="shared" si="1"/>
        <v>11</v>
      </c>
      <c r="H111" s="14">
        <f t="shared" si="2"/>
        <v>5</v>
      </c>
      <c r="I111" s="15">
        <f t="shared" si="3"/>
        <v>14</v>
      </c>
    </row>
    <row r="112">
      <c r="A112" s="8" t="str">
        <f>IFERROR(__xludf.DUMMYFUNCTION("IF('(INGESTA)Datos_consumo_datadis'!A112&lt;&gt;"""",SPLIT('(INGESTA)Datos_consumo_datadis'!A:A,"",""),"""")"),"ES0031408323131005HX0F")</f>
        <v>ES0031408323131005HX0F</v>
      </c>
      <c r="B112" s="12">
        <f>IFERROR(__xludf.DUMMYFUNCTION("""COMPUTED_VALUE"""),44870.0)</f>
        <v>44870</v>
      </c>
      <c r="C112" s="13">
        <f>IFERROR(__xludf.DUMMYFUNCTION("""COMPUTED_VALUE"""),0.625)</f>
        <v>0.625</v>
      </c>
      <c r="D112" s="8">
        <f>IFERROR(__xludf.DUMMYFUNCTION("""COMPUTED_VALUE"""),0.0)</f>
        <v>0</v>
      </c>
      <c r="E112" s="8" t="str">
        <f>IFERROR(__xludf.DUMMYFUNCTION("""COMPUTED_VALUE"""),"Real")</f>
        <v>Real</v>
      </c>
      <c r="G112" s="8">
        <f t="shared" si="1"/>
        <v>11</v>
      </c>
      <c r="H112" s="14">
        <f t="shared" si="2"/>
        <v>5</v>
      </c>
      <c r="I112" s="15">
        <f t="shared" si="3"/>
        <v>15</v>
      </c>
    </row>
    <row r="113">
      <c r="A113" s="8" t="str">
        <f>IFERROR(__xludf.DUMMYFUNCTION("IF('(INGESTA)Datos_consumo_datadis'!A113&lt;&gt;"""",SPLIT('(INGESTA)Datos_consumo_datadis'!A:A,"",""),"""")"),"ES0031408323131005HX0F")</f>
        <v>ES0031408323131005HX0F</v>
      </c>
      <c r="B113" s="12">
        <f>IFERROR(__xludf.DUMMYFUNCTION("""COMPUTED_VALUE"""),44870.0)</f>
        <v>44870</v>
      </c>
      <c r="C113" s="13">
        <f>IFERROR(__xludf.DUMMYFUNCTION("""COMPUTED_VALUE"""),0.6666666666666666)</f>
        <v>0.6666666667</v>
      </c>
      <c r="D113" s="8">
        <f>IFERROR(__xludf.DUMMYFUNCTION("""COMPUTED_VALUE"""),0.0)</f>
        <v>0</v>
      </c>
      <c r="E113" s="8" t="str">
        <f>IFERROR(__xludf.DUMMYFUNCTION("""COMPUTED_VALUE"""),"Real")</f>
        <v>Real</v>
      </c>
      <c r="G113" s="8">
        <f t="shared" si="1"/>
        <v>11</v>
      </c>
      <c r="H113" s="14">
        <f t="shared" si="2"/>
        <v>5</v>
      </c>
      <c r="I113" s="15">
        <f t="shared" si="3"/>
        <v>16</v>
      </c>
    </row>
    <row r="114">
      <c r="A114" s="8" t="str">
        <f>IFERROR(__xludf.DUMMYFUNCTION("IF('(INGESTA)Datos_consumo_datadis'!A114&lt;&gt;"""",SPLIT('(INGESTA)Datos_consumo_datadis'!A:A,"",""),"""")"),"ES0031408323131005HX0F")</f>
        <v>ES0031408323131005HX0F</v>
      </c>
      <c r="B114" s="12">
        <f>IFERROR(__xludf.DUMMYFUNCTION("""COMPUTED_VALUE"""),44870.0)</f>
        <v>44870</v>
      </c>
      <c r="C114" s="13">
        <f>IFERROR(__xludf.DUMMYFUNCTION("""COMPUTED_VALUE"""),0.7083333333333334)</f>
        <v>0.7083333333</v>
      </c>
      <c r="D114" s="8">
        <f>IFERROR(__xludf.DUMMYFUNCTION("""COMPUTED_VALUE"""),0.0)</f>
        <v>0</v>
      </c>
      <c r="E114" s="8" t="str">
        <f>IFERROR(__xludf.DUMMYFUNCTION("""COMPUTED_VALUE"""),"Real")</f>
        <v>Real</v>
      </c>
      <c r="G114" s="8">
        <f t="shared" si="1"/>
        <v>11</v>
      </c>
      <c r="H114" s="14">
        <f t="shared" si="2"/>
        <v>5</v>
      </c>
      <c r="I114" s="15">
        <f t="shared" si="3"/>
        <v>17</v>
      </c>
    </row>
    <row r="115">
      <c r="A115" s="8" t="str">
        <f>IFERROR(__xludf.DUMMYFUNCTION("IF('(INGESTA)Datos_consumo_datadis'!A115&lt;&gt;"""",SPLIT('(INGESTA)Datos_consumo_datadis'!A:A,"",""),"""")"),"ES0031408323131005HX0F")</f>
        <v>ES0031408323131005HX0F</v>
      </c>
      <c r="B115" s="12">
        <f>IFERROR(__xludf.DUMMYFUNCTION("""COMPUTED_VALUE"""),44870.0)</f>
        <v>44870</v>
      </c>
      <c r="C115" s="13">
        <f>IFERROR(__xludf.DUMMYFUNCTION("""COMPUTED_VALUE"""),0.75)</f>
        <v>0.75</v>
      </c>
      <c r="D115" s="8">
        <f>IFERROR(__xludf.DUMMYFUNCTION("""COMPUTED_VALUE"""),0.0)</f>
        <v>0</v>
      </c>
      <c r="E115" s="8" t="str">
        <f>IFERROR(__xludf.DUMMYFUNCTION("""COMPUTED_VALUE"""),"Real")</f>
        <v>Real</v>
      </c>
      <c r="G115" s="8">
        <f t="shared" si="1"/>
        <v>11</v>
      </c>
      <c r="H115" s="14">
        <f t="shared" si="2"/>
        <v>5</v>
      </c>
      <c r="I115" s="15">
        <f t="shared" si="3"/>
        <v>18</v>
      </c>
    </row>
    <row r="116">
      <c r="A116" s="8" t="str">
        <f>IFERROR(__xludf.DUMMYFUNCTION("IF('(INGESTA)Datos_consumo_datadis'!A116&lt;&gt;"""",SPLIT('(INGESTA)Datos_consumo_datadis'!A:A,"",""),"""")"),"ES0031408323131005HX0F")</f>
        <v>ES0031408323131005HX0F</v>
      </c>
      <c r="B116" s="12">
        <f>IFERROR(__xludf.DUMMYFUNCTION("""COMPUTED_VALUE"""),44870.0)</f>
        <v>44870</v>
      </c>
      <c r="C116" s="13">
        <f>IFERROR(__xludf.DUMMYFUNCTION("""COMPUTED_VALUE"""),0.7916666666666666)</f>
        <v>0.7916666667</v>
      </c>
      <c r="D116" s="8">
        <f>IFERROR(__xludf.DUMMYFUNCTION("""COMPUTED_VALUE"""),0.0)</f>
        <v>0</v>
      </c>
      <c r="E116" s="8" t="str">
        <f>IFERROR(__xludf.DUMMYFUNCTION("""COMPUTED_VALUE"""),"Real")</f>
        <v>Real</v>
      </c>
      <c r="G116" s="8">
        <f t="shared" si="1"/>
        <v>11</v>
      </c>
      <c r="H116" s="14">
        <f t="shared" si="2"/>
        <v>5</v>
      </c>
      <c r="I116" s="15">
        <f t="shared" si="3"/>
        <v>19</v>
      </c>
    </row>
    <row r="117">
      <c r="A117" s="8" t="str">
        <f>IFERROR(__xludf.DUMMYFUNCTION("IF('(INGESTA)Datos_consumo_datadis'!A117&lt;&gt;"""",SPLIT('(INGESTA)Datos_consumo_datadis'!A:A,"",""),"""")"),"ES0031408323131005HX0F")</f>
        <v>ES0031408323131005HX0F</v>
      </c>
      <c r="B117" s="12">
        <f>IFERROR(__xludf.DUMMYFUNCTION("""COMPUTED_VALUE"""),44870.0)</f>
        <v>44870</v>
      </c>
      <c r="C117" s="13">
        <f>IFERROR(__xludf.DUMMYFUNCTION("""COMPUTED_VALUE"""),0.8333333333333334)</f>
        <v>0.8333333333</v>
      </c>
      <c r="D117" s="8">
        <f>IFERROR(__xludf.DUMMYFUNCTION("""COMPUTED_VALUE"""),0.0)</f>
        <v>0</v>
      </c>
      <c r="E117" s="8" t="str">
        <f>IFERROR(__xludf.DUMMYFUNCTION("""COMPUTED_VALUE"""),"Real")</f>
        <v>Real</v>
      </c>
      <c r="G117" s="8">
        <f t="shared" si="1"/>
        <v>11</v>
      </c>
      <c r="H117" s="14">
        <f t="shared" si="2"/>
        <v>5</v>
      </c>
      <c r="I117" s="15">
        <f t="shared" si="3"/>
        <v>20</v>
      </c>
    </row>
    <row r="118">
      <c r="A118" s="8" t="str">
        <f>IFERROR(__xludf.DUMMYFUNCTION("IF('(INGESTA)Datos_consumo_datadis'!A118&lt;&gt;"""",SPLIT('(INGESTA)Datos_consumo_datadis'!A:A,"",""),"""")"),"ES0031408323131005HX0F")</f>
        <v>ES0031408323131005HX0F</v>
      </c>
      <c r="B118" s="12">
        <f>IFERROR(__xludf.DUMMYFUNCTION("""COMPUTED_VALUE"""),44870.0)</f>
        <v>44870</v>
      </c>
      <c r="C118" s="13">
        <f>IFERROR(__xludf.DUMMYFUNCTION("""COMPUTED_VALUE"""),0.875)</f>
        <v>0.875</v>
      </c>
      <c r="D118" s="8">
        <f>IFERROR(__xludf.DUMMYFUNCTION("""COMPUTED_VALUE"""),0.0)</f>
        <v>0</v>
      </c>
      <c r="E118" s="8" t="str">
        <f>IFERROR(__xludf.DUMMYFUNCTION("""COMPUTED_VALUE"""),"Real")</f>
        <v>Real</v>
      </c>
      <c r="G118" s="8">
        <f t="shared" si="1"/>
        <v>11</v>
      </c>
      <c r="H118" s="14">
        <f t="shared" si="2"/>
        <v>5</v>
      </c>
      <c r="I118" s="15">
        <f t="shared" si="3"/>
        <v>21</v>
      </c>
    </row>
    <row r="119">
      <c r="A119" s="8" t="str">
        <f>IFERROR(__xludf.DUMMYFUNCTION("IF('(INGESTA)Datos_consumo_datadis'!A119&lt;&gt;"""",SPLIT('(INGESTA)Datos_consumo_datadis'!A:A,"",""),"""")"),"ES0031408323131005HX0F")</f>
        <v>ES0031408323131005HX0F</v>
      </c>
      <c r="B119" s="12">
        <f>IFERROR(__xludf.DUMMYFUNCTION("""COMPUTED_VALUE"""),44870.0)</f>
        <v>44870</v>
      </c>
      <c r="C119" s="13">
        <f>IFERROR(__xludf.DUMMYFUNCTION("""COMPUTED_VALUE"""),0.9166666666666666)</f>
        <v>0.9166666667</v>
      </c>
      <c r="D119" s="8">
        <f>IFERROR(__xludf.DUMMYFUNCTION("""COMPUTED_VALUE"""),0.0)</f>
        <v>0</v>
      </c>
      <c r="E119" s="8" t="str">
        <f>IFERROR(__xludf.DUMMYFUNCTION("""COMPUTED_VALUE"""),"Real")</f>
        <v>Real</v>
      </c>
      <c r="G119" s="8">
        <f t="shared" si="1"/>
        <v>11</v>
      </c>
      <c r="H119" s="14">
        <f t="shared" si="2"/>
        <v>5</v>
      </c>
      <c r="I119" s="15">
        <f t="shared" si="3"/>
        <v>22</v>
      </c>
    </row>
    <row r="120">
      <c r="A120" s="8" t="str">
        <f>IFERROR(__xludf.DUMMYFUNCTION("IF('(INGESTA)Datos_consumo_datadis'!A120&lt;&gt;"""",SPLIT('(INGESTA)Datos_consumo_datadis'!A:A,"",""),"""")"),"ES0031408323131005HX0F")</f>
        <v>ES0031408323131005HX0F</v>
      </c>
      <c r="B120" s="12">
        <f>IFERROR(__xludf.DUMMYFUNCTION("""COMPUTED_VALUE"""),44870.0)</f>
        <v>44870</v>
      </c>
      <c r="C120" s="13">
        <f>IFERROR(__xludf.DUMMYFUNCTION("""COMPUTED_VALUE"""),0.9583333333333334)</f>
        <v>0.9583333333</v>
      </c>
      <c r="D120" s="8">
        <f>IFERROR(__xludf.DUMMYFUNCTION("""COMPUTED_VALUE"""),0.0)</f>
        <v>0</v>
      </c>
      <c r="E120" s="8" t="str">
        <f>IFERROR(__xludf.DUMMYFUNCTION("""COMPUTED_VALUE"""),"Real")</f>
        <v>Real</v>
      </c>
      <c r="G120" s="8">
        <f t="shared" si="1"/>
        <v>11</v>
      </c>
      <c r="H120" s="14">
        <f t="shared" si="2"/>
        <v>5</v>
      </c>
      <c r="I120" s="15">
        <f t="shared" si="3"/>
        <v>23</v>
      </c>
    </row>
    <row r="121">
      <c r="A121" s="8" t="str">
        <f>IFERROR(__xludf.DUMMYFUNCTION("IF('(INGESTA)Datos_consumo_datadis'!A121&lt;&gt;"""",SPLIT('(INGESTA)Datos_consumo_datadis'!A:A,"",""),"""")"),"ES0031408323131005HX0F")</f>
        <v>ES0031408323131005HX0F</v>
      </c>
      <c r="B121" s="12">
        <f>IFERROR(__xludf.DUMMYFUNCTION("""COMPUTED_VALUE"""),44870.0)</f>
        <v>44870</v>
      </c>
      <c r="C121" s="16">
        <f>IFERROR(__xludf.DUMMYFUNCTION("""COMPUTED_VALUE"""),1.0)</f>
        <v>1</v>
      </c>
      <c r="D121" s="8">
        <f>IFERROR(__xludf.DUMMYFUNCTION("""COMPUTED_VALUE"""),0.0)</f>
        <v>0</v>
      </c>
      <c r="E121" s="8" t="str">
        <f>IFERROR(__xludf.DUMMYFUNCTION("""COMPUTED_VALUE"""),"Real")</f>
        <v>Real</v>
      </c>
      <c r="G121" s="8">
        <f t="shared" si="1"/>
        <v>11</v>
      </c>
      <c r="H121" s="14">
        <f t="shared" si="2"/>
        <v>5</v>
      </c>
      <c r="I121" s="15">
        <f t="shared" si="3"/>
        <v>0</v>
      </c>
    </row>
    <row r="122">
      <c r="A122" s="8" t="str">
        <f>IFERROR(__xludf.DUMMYFUNCTION("IF('(INGESTA)Datos_consumo_datadis'!A122&lt;&gt;"""",SPLIT('(INGESTA)Datos_consumo_datadis'!A:A,"",""),"""")"),"ES0031408323131005HX0F")</f>
        <v>ES0031408323131005HX0F</v>
      </c>
      <c r="B122" s="12">
        <f>IFERROR(__xludf.DUMMYFUNCTION("""COMPUTED_VALUE"""),44871.0)</f>
        <v>44871</v>
      </c>
      <c r="C122" s="13">
        <f>IFERROR(__xludf.DUMMYFUNCTION("""COMPUTED_VALUE"""),0.041666666666666664)</f>
        <v>0.04166666667</v>
      </c>
      <c r="D122" s="8">
        <f>IFERROR(__xludf.DUMMYFUNCTION("""COMPUTED_VALUE"""),0.0)</f>
        <v>0</v>
      </c>
      <c r="E122" s="8" t="str">
        <f>IFERROR(__xludf.DUMMYFUNCTION("""COMPUTED_VALUE"""),"Real")</f>
        <v>Real</v>
      </c>
      <c r="G122" s="8">
        <f t="shared" si="1"/>
        <v>11</v>
      </c>
      <c r="H122" s="14">
        <f t="shared" si="2"/>
        <v>6</v>
      </c>
      <c r="I122" s="15">
        <f t="shared" si="3"/>
        <v>1</v>
      </c>
    </row>
    <row r="123">
      <c r="A123" s="8" t="str">
        <f>IFERROR(__xludf.DUMMYFUNCTION("IF('(INGESTA)Datos_consumo_datadis'!A123&lt;&gt;"""",SPLIT('(INGESTA)Datos_consumo_datadis'!A:A,"",""),"""")"),"ES0031408323131005HX0F")</f>
        <v>ES0031408323131005HX0F</v>
      </c>
      <c r="B123" s="12">
        <f>IFERROR(__xludf.DUMMYFUNCTION("""COMPUTED_VALUE"""),44871.0)</f>
        <v>44871</v>
      </c>
      <c r="C123" s="13">
        <f>IFERROR(__xludf.DUMMYFUNCTION("""COMPUTED_VALUE"""),0.08333333333333333)</f>
        <v>0.08333333333</v>
      </c>
      <c r="D123" s="8">
        <f>IFERROR(__xludf.DUMMYFUNCTION("""COMPUTED_VALUE"""),0.0)</f>
        <v>0</v>
      </c>
      <c r="E123" s="8" t="str">
        <f>IFERROR(__xludf.DUMMYFUNCTION("""COMPUTED_VALUE"""),"Real")</f>
        <v>Real</v>
      </c>
      <c r="G123" s="8">
        <f t="shared" si="1"/>
        <v>11</v>
      </c>
      <c r="H123" s="14">
        <f t="shared" si="2"/>
        <v>6</v>
      </c>
      <c r="I123" s="15">
        <f t="shared" si="3"/>
        <v>2</v>
      </c>
    </row>
    <row r="124">
      <c r="A124" s="8" t="str">
        <f>IFERROR(__xludf.DUMMYFUNCTION("IF('(INGESTA)Datos_consumo_datadis'!A124&lt;&gt;"""",SPLIT('(INGESTA)Datos_consumo_datadis'!A:A,"",""),"""")"),"ES0031408323131005HX0F")</f>
        <v>ES0031408323131005HX0F</v>
      </c>
      <c r="B124" s="12">
        <f>IFERROR(__xludf.DUMMYFUNCTION("""COMPUTED_VALUE"""),44871.0)</f>
        <v>44871</v>
      </c>
      <c r="C124" s="13">
        <f>IFERROR(__xludf.DUMMYFUNCTION("""COMPUTED_VALUE"""),0.125)</f>
        <v>0.125</v>
      </c>
      <c r="D124" s="8">
        <f>IFERROR(__xludf.DUMMYFUNCTION("""COMPUTED_VALUE"""),0.0)</f>
        <v>0</v>
      </c>
      <c r="E124" s="8" t="str">
        <f>IFERROR(__xludf.DUMMYFUNCTION("""COMPUTED_VALUE"""),"Real")</f>
        <v>Real</v>
      </c>
      <c r="G124" s="8">
        <f t="shared" si="1"/>
        <v>11</v>
      </c>
      <c r="H124" s="14">
        <f t="shared" si="2"/>
        <v>6</v>
      </c>
      <c r="I124" s="15">
        <f t="shared" si="3"/>
        <v>3</v>
      </c>
    </row>
    <row r="125">
      <c r="A125" s="8" t="str">
        <f>IFERROR(__xludf.DUMMYFUNCTION("IF('(INGESTA)Datos_consumo_datadis'!A125&lt;&gt;"""",SPLIT('(INGESTA)Datos_consumo_datadis'!A:A,"",""),"""")"),"ES0031408323131005HX0F")</f>
        <v>ES0031408323131005HX0F</v>
      </c>
      <c r="B125" s="12">
        <f>IFERROR(__xludf.DUMMYFUNCTION("""COMPUTED_VALUE"""),44871.0)</f>
        <v>44871</v>
      </c>
      <c r="C125" s="13">
        <f>IFERROR(__xludf.DUMMYFUNCTION("""COMPUTED_VALUE"""),0.16666666666666666)</f>
        <v>0.1666666667</v>
      </c>
      <c r="D125" s="8">
        <f>IFERROR(__xludf.DUMMYFUNCTION("""COMPUTED_VALUE"""),0.0)</f>
        <v>0</v>
      </c>
      <c r="E125" s="8" t="str">
        <f>IFERROR(__xludf.DUMMYFUNCTION("""COMPUTED_VALUE"""),"Real")</f>
        <v>Real</v>
      </c>
      <c r="G125" s="8">
        <f t="shared" si="1"/>
        <v>11</v>
      </c>
      <c r="H125" s="14">
        <f t="shared" si="2"/>
        <v>6</v>
      </c>
      <c r="I125" s="15">
        <f t="shared" si="3"/>
        <v>4</v>
      </c>
    </row>
    <row r="126">
      <c r="A126" s="8" t="str">
        <f>IFERROR(__xludf.DUMMYFUNCTION("IF('(INGESTA)Datos_consumo_datadis'!A126&lt;&gt;"""",SPLIT('(INGESTA)Datos_consumo_datadis'!A:A,"",""),"""")"),"ES0031408323131005HX0F")</f>
        <v>ES0031408323131005HX0F</v>
      </c>
      <c r="B126" s="12">
        <f>IFERROR(__xludf.DUMMYFUNCTION("""COMPUTED_VALUE"""),44871.0)</f>
        <v>44871</v>
      </c>
      <c r="C126" s="13">
        <f>IFERROR(__xludf.DUMMYFUNCTION("""COMPUTED_VALUE"""),0.20833333333333334)</f>
        <v>0.2083333333</v>
      </c>
      <c r="D126" s="8">
        <f>IFERROR(__xludf.DUMMYFUNCTION("""COMPUTED_VALUE"""),0.0)</f>
        <v>0</v>
      </c>
      <c r="E126" s="8" t="str">
        <f>IFERROR(__xludf.DUMMYFUNCTION("""COMPUTED_VALUE"""),"Real")</f>
        <v>Real</v>
      </c>
      <c r="G126" s="8">
        <f t="shared" si="1"/>
        <v>11</v>
      </c>
      <c r="H126" s="14">
        <f t="shared" si="2"/>
        <v>6</v>
      </c>
      <c r="I126" s="15">
        <f t="shared" si="3"/>
        <v>5</v>
      </c>
    </row>
    <row r="127">
      <c r="A127" s="8" t="str">
        <f>IFERROR(__xludf.DUMMYFUNCTION("IF('(INGESTA)Datos_consumo_datadis'!A127&lt;&gt;"""",SPLIT('(INGESTA)Datos_consumo_datadis'!A:A,"",""),"""")"),"ES0031408323131005HX0F")</f>
        <v>ES0031408323131005HX0F</v>
      </c>
      <c r="B127" s="12">
        <f>IFERROR(__xludf.DUMMYFUNCTION("""COMPUTED_VALUE"""),44871.0)</f>
        <v>44871</v>
      </c>
      <c r="C127" s="13">
        <f>IFERROR(__xludf.DUMMYFUNCTION("""COMPUTED_VALUE"""),0.25)</f>
        <v>0.25</v>
      </c>
      <c r="D127" s="8">
        <f>IFERROR(__xludf.DUMMYFUNCTION("""COMPUTED_VALUE"""),0.0)</f>
        <v>0</v>
      </c>
      <c r="E127" s="8" t="str">
        <f>IFERROR(__xludf.DUMMYFUNCTION("""COMPUTED_VALUE"""),"Real")</f>
        <v>Real</v>
      </c>
      <c r="G127" s="8">
        <f t="shared" si="1"/>
        <v>11</v>
      </c>
      <c r="H127" s="14">
        <f t="shared" si="2"/>
        <v>6</v>
      </c>
      <c r="I127" s="15">
        <f t="shared" si="3"/>
        <v>6</v>
      </c>
    </row>
    <row r="128">
      <c r="A128" s="8" t="str">
        <f>IFERROR(__xludf.DUMMYFUNCTION("IF('(INGESTA)Datos_consumo_datadis'!A128&lt;&gt;"""",SPLIT('(INGESTA)Datos_consumo_datadis'!A:A,"",""),"""")"),"ES0031408323131005HX0F")</f>
        <v>ES0031408323131005HX0F</v>
      </c>
      <c r="B128" s="12">
        <f>IFERROR(__xludf.DUMMYFUNCTION("""COMPUTED_VALUE"""),44871.0)</f>
        <v>44871</v>
      </c>
      <c r="C128" s="13">
        <f>IFERROR(__xludf.DUMMYFUNCTION("""COMPUTED_VALUE"""),0.2916666666666667)</f>
        <v>0.2916666667</v>
      </c>
      <c r="D128" s="8">
        <f>IFERROR(__xludf.DUMMYFUNCTION("""COMPUTED_VALUE"""),0.0)</f>
        <v>0</v>
      </c>
      <c r="E128" s="8" t="str">
        <f>IFERROR(__xludf.DUMMYFUNCTION("""COMPUTED_VALUE"""),"Real")</f>
        <v>Real</v>
      </c>
      <c r="G128" s="8">
        <f t="shared" si="1"/>
        <v>11</v>
      </c>
      <c r="H128" s="14">
        <f t="shared" si="2"/>
        <v>6</v>
      </c>
      <c r="I128" s="15">
        <f t="shared" si="3"/>
        <v>7</v>
      </c>
    </row>
    <row r="129">
      <c r="A129" s="8" t="str">
        <f>IFERROR(__xludf.DUMMYFUNCTION("IF('(INGESTA)Datos_consumo_datadis'!A129&lt;&gt;"""",SPLIT('(INGESTA)Datos_consumo_datadis'!A:A,"",""),"""")"),"ES0031408323131005HX0F")</f>
        <v>ES0031408323131005HX0F</v>
      </c>
      <c r="B129" s="12">
        <f>IFERROR(__xludf.DUMMYFUNCTION("""COMPUTED_VALUE"""),44871.0)</f>
        <v>44871</v>
      </c>
      <c r="C129" s="13">
        <f>IFERROR(__xludf.DUMMYFUNCTION("""COMPUTED_VALUE"""),0.3333333333333333)</f>
        <v>0.3333333333</v>
      </c>
      <c r="D129" s="8">
        <f>IFERROR(__xludf.DUMMYFUNCTION("""COMPUTED_VALUE"""),0.0)</f>
        <v>0</v>
      </c>
      <c r="E129" s="8" t="str">
        <f>IFERROR(__xludf.DUMMYFUNCTION("""COMPUTED_VALUE"""),"Real")</f>
        <v>Real</v>
      </c>
      <c r="G129" s="8">
        <f t="shared" si="1"/>
        <v>11</v>
      </c>
      <c r="H129" s="14">
        <f t="shared" si="2"/>
        <v>6</v>
      </c>
      <c r="I129" s="15">
        <f t="shared" si="3"/>
        <v>8</v>
      </c>
    </row>
    <row r="130">
      <c r="A130" s="8" t="str">
        <f>IFERROR(__xludf.DUMMYFUNCTION("IF('(INGESTA)Datos_consumo_datadis'!A130&lt;&gt;"""",SPLIT('(INGESTA)Datos_consumo_datadis'!A:A,"",""),"""")"),"ES0031408323131005HX0F")</f>
        <v>ES0031408323131005HX0F</v>
      </c>
      <c r="B130" s="12">
        <f>IFERROR(__xludf.DUMMYFUNCTION("""COMPUTED_VALUE"""),44871.0)</f>
        <v>44871</v>
      </c>
      <c r="C130" s="13">
        <f>IFERROR(__xludf.DUMMYFUNCTION("""COMPUTED_VALUE"""),0.375)</f>
        <v>0.375</v>
      </c>
      <c r="D130" s="8">
        <f>IFERROR(__xludf.DUMMYFUNCTION("""COMPUTED_VALUE"""),0.0)</f>
        <v>0</v>
      </c>
      <c r="E130" s="8" t="str">
        <f>IFERROR(__xludf.DUMMYFUNCTION("""COMPUTED_VALUE"""),"Real")</f>
        <v>Real</v>
      </c>
      <c r="G130" s="8">
        <f t="shared" si="1"/>
        <v>11</v>
      </c>
      <c r="H130" s="14">
        <f t="shared" si="2"/>
        <v>6</v>
      </c>
      <c r="I130" s="15">
        <f t="shared" si="3"/>
        <v>9</v>
      </c>
    </row>
    <row r="131">
      <c r="A131" s="8" t="str">
        <f>IFERROR(__xludf.DUMMYFUNCTION("IF('(INGESTA)Datos_consumo_datadis'!A131&lt;&gt;"""",SPLIT('(INGESTA)Datos_consumo_datadis'!A:A,"",""),"""")"),"ES0031408323131005HX0F")</f>
        <v>ES0031408323131005HX0F</v>
      </c>
      <c r="B131" s="12">
        <f>IFERROR(__xludf.DUMMYFUNCTION("""COMPUTED_VALUE"""),44871.0)</f>
        <v>44871</v>
      </c>
      <c r="C131" s="13">
        <f>IFERROR(__xludf.DUMMYFUNCTION("""COMPUTED_VALUE"""),0.4166666666666667)</f>
        <v>0.4166666667</v>
      </c>
      <c r="D131" s="8">
        <f>IFERROR(__xludf.DUMMYFUNCTION("""COMPUTED_VALUE"""),0.0)</f>
        <v>0</v>
      </c>
      <c r="E131" s="8" t="str">
        <f>IFERROR(__xludf.DUMMYFUNCTION("""COMPUTED_VALUE"""),"Real")</f>
        <v>Real</v>
      </c>
      <c r="G131" s="8">
        <f t="shared" si="1"/>
        <v>11</v>
      </c>
      <c r="H131" s="14">
        <f t="shared" si="2"/>
        <v>6</v>
      </c>
      <c r="I131" s="15">
        <f t="shared" si="3"/>
        <v>10</v>
      </c>
    </row>
    <row r="132">
      <c r="A132" s="8" t="str">
        <f>IFERROR(__xludf.DUMMYFUNCTION("IF('(INGESTA)Datos_consumo_datadis'!A132&lt;&gt;"""",SPLIT('(INGESTA)Datos_consumo_datadis'!A:A,"",""),"""")"),"ES0031408323131005HX0F")</f>
        <v>ES0031408323131005HX0F</v>
      </c>
      <c r="B132" s="12">
        <f>IFERROR(__xludf.DUMMYFUNCTION("""COMPUTED_VALUE"""),44871.0)</f>
        <v>44871</v>
      </c>
      <c r="C132" s="13">
        <f>IFERROR(__xludf.DUMMYFUNCTION("""COMPUTED_VALUE"""),0.4583333333333333)</f>
        <v>0.4583333333</v>
      </c>
      <c r="D132" s="8">
        <f>IFERROR(__xludf.DUMMYFUNCTION("""COMPUTED_VALUE"""),0.0)</f>
        <v>0</v>
      </c>
      <c r="E132" s="8" t="str">
        <f>IFERROR(__xludf.DUMMYFUNCTION("""COMPUTED_VALUE"""),"Real")</f>
        <v>Real</v>
      </c>
      <c r="G132" s="8">
        <f t="shared" si="1"/>
        <v>11</v>
      </c>
      <c r="H132" s="14">
        <f t="shared" si="2"/>
        <v>6</v>
      </c>
      <c r="I132" s="15">
        <f t="shared" si="3"/>
        <v>11</v>
      </c>
    </row>
    <row r="133">
      <c r="A133" s="8" t="str">
        <f>IFERROR(__xludf.DUMMYFUNCTION("IF('(INGESTA)Datos_consumo_datadis'!A133&lt;&gt;"""",SPLIT('(INGESTA)Datos_consumo_datadis'!A:A,"",""),"""")"),"ES0031408323131005HX0F")</f>
        <v>ES0031408323131005HX0F</v>
      </c>
      <c r="B133" s="12">
        <f>IFERROR(__xludf.DUMMYFUNCTION("""COMPUTED_VALUE"""),44871.0)</f>
        <v>44871</v>
      </c>
      <c r="C133" s="13">
        <f>IFERROR(__xludf.DUMMYFUNCTION("""COMPUTED_VALUE"""),0.5)</f>
        <v>0.5</v>
      </c>
      <c r="D133" s="8">
        <f>IFERROR(__xludf.DUMMYFUNCTION("""COMPUTED_VALUE"""),0.0)</f>
        <v>0</v>
      </c>
      <c r="E133" s="8" t="str">
        <f>IFERROR(__xludf.DUMMYFUNCTION("""COMPUTED_VALUE"""),"Real")</f>
        <v>Real</v>
      </c>
      <c r="G133" s="8">
        <f t="shared" si="1"/>
        <v>11</v>
      </c>
      <c r="H133" s="14">
        <f t="shared" si="2"/>
        <v>6</v>
      </c>
      <c r="I133" s="15">
        <f t="shared" si="3"/>
        <v>12</v>
      </c>
    </row>
    <row r="134">
      <c r="A134" s="8" t="str">
        <f>IFERROR(__xludf.DUMMYFUNCTION("IF('(INGESTA)Datos_consumo_datadis'!A134&lt;&gt;"""",SPLIT('(INGESTA)Datos_consumo_datadis'!A:A,"",""),"""")"),"ES0031408323131005HX0F")</f>
        <v>ES0031408323131005HX0F</v>
      </c>
      <c r="B134" s="12">
        <f>IFERROR(__xludf.DUMMYFUNCTION("""COMPUTED_VALUE"""),44871.0)</f>
        <v>44871</v>
      </c>
      <c r="C134" s="13">
        <f>IFERROR(__xludf.DUMMYFUNCTION("""COMPUTED_VALUE"""),0.5416666666666666)</f>
        <v>0.5416666667</v>
      </c>
      <c r="D134" s="8">
        <f>IFERROR(__xludf.DUMMYFUNCTION("""COMPUTED_VALUE"""),0.0)</f>
        <v>0</v>
      </c>
      <c r="E134" s="8" t="str">
        <f>IFERROR(__xludf.DUMMYFUNCTION("""COMPUTED_VALUE"""),"Real")</f>
        <v>Real</v>
      </c>
      <c r="G134" s="8">
        <f t="shared" si="1"/>
        <v>11</v>
      </c>
      <c r="H134" s="14">
        <f t="shared" si="2"/>
        <v>6</v>
      </c>
      <c r="I134" s="15">
        <f t="shared" si="3"/>
        <v>13</v>
      </c>
    </row>
    <row r="135">
      <c r="A135" s="8" t="str">
        <f>IFERROR(__xludf.DUMMYFUNCTION("IF('(INGESTA)Datos_consumo_datadis'!A135&lt;&gt;"""",SPLIT('(INGESTA)Datos_consumo_datadis'!A:A,"",""),"""")"),"ES0031408323131005HX0F")</f>
        <v>ES0031408323131005HX0F</v>
      </c>
      <c r="B135" s="12">
        <f>IFERROR(__xludf.DUMMYFUNCTION("""COMPUTED_VALUE"""),44871.0)</f>
        <v>44871</v>
      </c>
      <c r="C135" s="13">
        <f>IFERROR(__xludf.DUMMYFUNCTION("""COMPUTED_VALUE"""),0.5833333333333334)</f>
        <v>0.5833333333</v>
      </c>
      <c r="D135" s="8">
        <f>IFERROR(__xludf.DUMMYFUNCTION("""COMPUTED_VALUE"""),0.0)</f>
        <v>0</v>
      </c>
      <c r="E135" s="8" t="str">
        <f>IFERROR(__xludf.DUMMYFUNCTION("""COMPUTED_VALUE"""),"Real")</f>
        <v>Real</v>
      </c>
      <c r="G135" s="8">
        <f t="shared" si="1"/>
        <v>11</v>
      </c>
      <c r="H135" s="14">
        <f t="shared" si="2"/>
        <v>6</v>
      </c>
      <c r="I135" s="15">
        <f t="shared" si="3"/>
        <v>14</v>
      </c>
    </row>
    <row r="136">
      <c r="A136" s="8" t="str">
        <f>IFERROR(__xludf.DUMMYFUNCTION("IF('(INGESTA)Datos_consumo_datadis'!A136&lt;&gt;"""",SPLIT('(INGESTA)Datos_consumo_datadis'!A:A,"",""),"""")"),"ES0031408323131005HX0F")</f>
        <v>ES0031408323131005HX0F</v>
      </c>
      <c r="B136" s="12">
        <f>IFERROR(__xludf.DUMMYFUNCTION("""COMPUTED_VALUE"""),44871.0)</f>
        <v>44871</v>
      </c>
      <c r="C136" s="13">
        <f>IFERROR(__xludf.DUMMYFUNCTION("""COMPUTED_VALUE"""),0.625)</f>
        <v>0.625</v>
      </c>
      <c r="D136" s="8">
        <f>IFERROR(__xludf.DUMMYFUNCTION("""COMPUTED_VALUE"""),0.0)</f>
        <v>0</v>
      </c>
      <c r="E136" s="8" t="str">
        <f>IFERROR(__xludf.DUMMYFUNCTION("""COMPUTED_VALUE"""),"Real")</f>
        <v>Real</v>
      </c>
      <c r="G136" s="8">
        <f t="shared" si="1"/>
        <v>11</v>
      </c>
      <c r="H136" s="14">
        <f t="shared" si="2"/>
        <v>6</v>
      </c>
      <c r="I136" s="15">
        <f t="shared" si="3"/>
        <v>15</v>
      </c>
    </row>
    <row r="137">
      <c r="A137" s="8" t="str">
        <f>IFERROR(__xludf.DUMMYFUNCTION("IF('(INGESTA)Datos_consumo_datadis'!A137&lt;&gt;"""",SPLIT('(INGESTA)Datos_consumo_datadis'!A:A,"",""),"""")"),"ES0031408323131005HX0F")</f>
        <v>ES0031408323131005HX0F</v>
      </c>
      <c r="B137" s="12">
        <f>IFERROR(__xludf.DUMMYFUNCTION("""COMPUTED_VALUE"""),44871.0)</f>
        <v>44871</v>
      </c>
      <c r="C137" s="13">
        <f>IFERROR(__xludf.DUMMYFUNCTION("""COMPUTED_VALUE"""),0.6666666666666666)</f>
        <v>0.6666666667</v>
      </c>
      <c r="D137" s="8">
        <f>IFERROR(__xludf.DUMMYFUNCTION("""COMPUTED_VALUE"""),0.0)</f>
        <v>0</v>
      </c>
      <c r="E137" s="8" t="str">
        <f>IFERROR(__xludf.DUMMYFUNCTION("""COMPUTED_VALUE"""),"Real")</f>
        <v>Real</v>
      </c>
      <c r="G137" s="8">
        <f t="shared" si="1"/>
        <v>11</v>
      </c>
      <c r="H137" s="14">
        <f t="shared" si="2"/>
        <v>6</v>
      </c>
      <c r="I137" s="15">
        <f t="shared" si="3"/>
        <v>16</v>
      </c>
    </row>
    <row r="138">
      <c r="A138" s="8" t="str">
        <f>IFERROR(__xludf.DUMMYFUNCTION("IF('(INGESTA)Datos_consumo_datadis'!A138&lt;&gt;"""",SPLIT('(INGESTA)Datos_consumo_datadis'!A:A,"",""),"""")"),"ES0031408323131005HX0F")</f>
        <v>ES0031408323131005HX0F</v>
      </c>
      <c r="B138" s="12">
        <f>IFERROR(__xludf.DUMMYFUNCTION("""COMPUTED_VALUE"""),44871.0)</f>
        <v>44871</v>
      </c>
      <c r="C138" s="13">
        <f>IFERROR(__xludf.DUMMYFUNCTION("""COMPUTED_VALUE"""),0.7083333333333334)</f>
        <v>0.7083333333</v>
      </c>
      <c r="D138" s="8">
        <f>IFERROR(__xludf.DUMMYFUNCTION("""COMPUTED_VALUE"""),0.0)</f>
        <v>0</v>
      </c>
      <c r="E138" s="8" t="str">
        <f>IFERROR(__xludf.DUMMYFUNCTION("""COMPUTED_VALUE"""),"Real")</f>
        <v>Real</v>
      </c>
      <c r="G138" s="8">
        <f t="shared" si="1"/>
        <v>11</v>
      </c>
      <c r="H138" s="14">
        <f t="shared" si="2"/>
        <v>6</v>
      </c>
      <c r="I138" s="15">
        <f t="shared" si="3"/>
        <v>17</v>
      </c>
    </row>
    <row r="139">
      <c r="A139" s="8" t="str">
        <f>IFERROR(__xludf.DUMMYFUNCTION("IF('(INGESTA)Datos_consumo_datadis'!A139&lt;&gt;"""",SPLIT('(INGESTA)Datos_consumo_datadis'!A:A,"",""),"""")"),"ES0031408323131005HX0F")</f>
        <v>ES0031408323131005HX0F</v>
      </c>
      <c r="B139" s="12">
        <f>IFERROR(__xludf.DUMMYFUNCTION("""COMPUTED_VALUE"""),44871.0)</f>
        <v>44871</v>
      </c>
      <c r="C139" s="13">
        <f>IFERROR(__xludf.DUMMYFUNCTION("""COMPUTED_VALUE"""),0.75)</f>
        <v>0.75</v>
      </c>
      <c r="D139" s="8">
        <f>IFERROR(__xludf.DUMMYFUNCTION("""COMPUTED_VALUE"""),0.0)</f>
        <v>0</v>
      </c>
      <c r="E139" s="8" t="str">
        <f>IFERROR(__xludf.DUMMYFUNCTION("""COMPUTED_VALUE"""),"Real")</f>
        <v>Real</v>
      </c>
      <c r="G139" s="8">
        <f t="shared" si="1"/>
        <v>11</v>
      </c>
      <c r="H139" s="14">
        <f t="shared" si="2"/>
        <v>6</v>
      </c>
      <c r="I139" s="15">
        <f t="shared" si="3"/>
        <v>18</v>
      </c>
    </row>
    <row r="140">
      <c r="A140" s="8" t="str">
        <f>IFERROR(__xludf.DUMMYFUNCTION("IF('(INGESTA)Datos_consumo_datadis'!A140&lt;&gt;"""",SPLIT('(INGESTA)Datos_consumo_datadis'!A:A,"",""),"""")"),"ES0031408323131005HX0F")</f>
        <v>ES0031408323131005HX0F</v>
      </c>
      <c r="B140" s="12">
        <f>IFERROR(__xludf.DUMMYFUNCTION("""COMPUTED_VALUE"""),44871.0)</f>
        <v>44871</v>
      </c>
      <c r="C140" s="13">
        <f>IFERROR(__xludf.DUMMYFUNCTION("""COMPUTED_VALUE"""),0.7916666666666666)</f>
        <v>0.7916666667</v>
      </c>
      <c r="D140" s="8">
        <f>IFERROR(__xludf.DUMMYFUNCTION("""COMPUTED_VALUE"""),0.0)</f>
        <v>0</v>
      </c>
      <c r="E140" s="8" t="str">
        <f>IFERROR(__xludf.DUMMYFUNCTION("""COMPUTED_VALUE"""),"Real")</f>
        <v>Real</v>
      </c>
      <c r="G140" s="8">
        <f t="shared" si="1"/>
        <v>11</v>
      </c>
      <c r="H140" s="14">
        <f t="shared" si="2"/>
        <v>6</v>
      </c>
      <c r="I140" s="15">
        <f t="shared" si="3"/>
        <v>19</v>
      </c>
    </row>
    <row r="141">
      <c r="A141" s="8" t="str">
        <f>IFERROR(__xludf.DUMMYFUNCTION("IF('(INGESTA)Datos_consumo_datadis'!A141&lt;&gt;"""",SPLIT('(INGESTA)Datos_consumo_datadis'!A:A,"",""),"""")"),"ES0031408323131005HX0F")</f>
        <v>ES0031408323131005HX0F</v>
      </c>
      <c r="B141" s="12">
        <f>IFERROR(__xludf.DUMMYFUNCTION("""COMPUTED_VALUE"""),44871.0)</f>
        <v>44871</v>
      </c>
      <c r="C141" s="13">
        <f>IFERROR(__xludf.DUMMYFUNCTION("""COMPUTED_VALUE"""),0.8333333333333334)</f>
        <v>0.8333333333</v>
      </c>
      <c r="D141" s="8">
        <f>IFERROR(__xludf.DUMMYFUNCTION("""COMPUTED_VALUE"""),0.0)</f>
        <v>0</v>
      </c>
      <c r="E141" s="8" t="str">
        <f>IFERROR(__xludf.DUMMYFUNCTION("""COMPUTED_VALUE"""),"Real")</f>
        <v>Real</v>
      </c>
      <c r="G141" s="8">
        <f t="shared" si="1"/>
        <v>11</v>
      </c>
      <c r="H141" s="14">
        <f t="shared" si="2"/>
        <v>6</v>
      </c>
      <c r="I141" s="15">
        <f t="shared" si="3"/>
        <v>20</v>
      </c>
    </row>
    <row r="142">
      <c r="A142" s="8" t="str">
        <f>IFERROR(__xludf.DUMMYFUNCTION("IF('(INGESTA)Datos_consumo_datadis'!A142&lt;&gt;"""",SPLIT('(INGESTA)Datos_consumo_datadis'!A:A,"",""),"""")"),"ES0031408323131005HX0F")</f>
        <v>ES0031408323131005HX0F</v>
      </c>
      <c r="B142" s="12">
        <f>IFERROR(__xludf.DUMMYFUNCTION("""COMPUTED_VALUE"""),44871.0)</f>
        <v>44871</v>
      </c>
      <c r="C142" s="13">
        <f>IFERROR(__xludf.DUMMYFUNCTION("""COMPUTED_VALUE"""),0.875)</f>
        <v>0.875</v>
      </c>
      <c r="D142" s="8">
        <f>IFERROR(__xludf.DUMMYFUNCTION("""COMPUTED_VALUE"""),0.0)</f>
        <v>0</v>
      </c>
      <c r="E142" s="8" t="str">
        <f>IFERROR(__xludf.DUMMYFUNCTION("""COMPUTED_VALUE"""),"Real")</f>
        <v>Real</v>
      </c>
      <c r="G142" s="8">
        <f t="shared" si="1"/>
        <v>11</v>
      </c>
      <c r="H142" s="14">
        <f t="shared" si="2"/>
        <v>6</v>
      </c>
      <c r="I142" s="15">
        <f t="shared" si="3"/>
        <v>21</v>
      </c>
    </row>
    <row r="143">
      <c r="A143" s="8" t="str">
        <f>IFERROR(__xludf.DUMMYFUNCTION("IF('(INGESTA)Datos_consumo_datadis'!A143&lt;&gt;"""",SPLIT('(INGESTA)Datos_consumo_datadis'!A:A,"",""),"""")"),"ES0031408323131005HX0F")</f>
        <v>ES0031408323131005HX0F</v>
      </c>
      <c r="B143" s="12">
        <f>IFERROR(__xludf.DUMMYFUNCTION("""COMPUTED_VALUE"""),44871.0)</f>
        <v>44871</v>
      </c>
      <c r="C143" s="13">
        <f>IFERROR(__xludf.DUMMYFUNCTION("""COMPUTED_VALUE"""),0.9166666666666666)</f>
        <v>0.9166666667</v>
      </c>
      <c r="D143" s="8">
        <f>IFERROR(__xludf.DUMMYFUNCTION("""COMPUTED_VALUE"""),0.0)</f>
        <v>0</v>
      </c>
      <c r="E143" s="8" t="str">
        <f>IFERROR(__xludf.DUMMYFUNCTION("""COMPUTED_VALUE"""),"Real")</f>
        <v>Real</v>
      </c>
      <c r="G143" s="8">
        <f t="shared" si="1"/>
        <v>11</v>
      </c>
      <c r="H143" s="14">
        <f t="shared" si="2"/>
        <v>6</v>
      </c>
      <c r="I143" s="15">
        <f t="shared" si="3"/>
        <v>22</v>
      </c>
    </row>
    <row r="144">
      <c r="A144" s="8" t="str">
        <f>IFERROR(__xludf.DUMMYFUNCTION("IF('(INGESTA)Datos_consumo_datadis'!A144&lt;&gt;"""",SPLIT('(INGESTA)Datos_consumo_datadis'!A:A,"",""),"""")"),"ES0031408323131005HX0F")</f>
        <v>ES0031408323131005HX0F</v>
      </c>
      <c r="B144" s="12">
        <f>IFERROR(__xludf.DUMMYFUNCTION("""COMPUTED_VALUE"""),44871.0)</f>
        <v>44871</v>
      </c>
      <c r="C144" s="13">
        <f>IFERROR(__xludf.DUMMYFUNCTION("""COMPUTED_VALUE"""),0.9583333333333334)</f>
        <v>0.9583333333</v>
      </c>
      <c r="D144" s="8">
        <f>IFERROR(__xludf.DUMMYFUNCTION("""COMPUTED_VALUE"""),0.0)</f>
        <v>0</v>
      </c>
      <c r="E144" s="8" t="str">
        <f>IFERROR(__xludf.DUMMYFUNCTION("""COMPUTED_VALUE"""),"Real")</f>
        <v>Real</v>
      </c>
      <c r="G144" s="8">
        <f t="shared" si="1"/>
        <v>11</v>
      </c>
      <c r="H144" s="14">
        <f t="shared" si="2"/>
        <v>6</v>
      </c>
      <c r="I144" s="15">
        <f t="shared" si="3"/>
        <v>23</v>
      </c>
    </row>
    <row r="145">
      <c r="A145" s="8" t="str">
        <f>IFERROR(__xludf.DUMMYFUNCTION("IF('(INGESTA)Datos_consumo_datadis'!A145&lt;&gt;"""",SPLIT('(INGESTA)Datos_consumo_datadis'!A:A,"",""),"""")"),"ES0031408323131005HX0F")</f>
        <v>ES0031408323131005HX0F</v>
      </c>
      <c r="B145" s="12">
        <f>IFERROR(__xludf.DUMMYFUNCTION("""COMPUTED_VALUE"""),44871.0)</f>
        <v>44871</v>
      </c>
      <c r="C145" s="16">
        <f>IFERROR(__xludf.DUMMYFUNCTION("""COMPUTED_VALUE"""),1.0)</f>
        <v>1</v>
      </c>
      <c r="D145" s="8">
        <f>IFERROR(__xludf.DUMMYFUNCTION("""COMPUTED_VALUE"""),0.0)</f>
        <v>0</v>
      </c>
      <c r="E145" s="8" t="str">
        <f>IFERROR(__xludf.DUMMYFUNCTION("""COMPUTED_VALUE"""),"Real")</f>
        <v>Real</v>
      </c>
      <c r="G145" s="8">
        <f t="shared" si="1"/>
        <v>11</v>
      </c>
      <c r="H145" s="14">
        <f t="shared" si="2"/>
        <v>6</v>
      </c>
      <c r="I145" s="15">
        <f t="shared" si="3"/>
        <v>0</v>
      </c>
    </row>
    <row r="146">
      <c r="A146" s="8" t="str">
        <f>IFERROR(__xludf.DUMMYFUNCTION("IF('(INGESTA)Datos_consumo_datadis'!A146&lt;&gt;"""",SPLIT('(INGESTA)Datos_consumo_datadis'!A:A,"",""),"""")"),"ES0031408323131005HX0F")</f>
        <v>ES0031408323131005HX0F</v>
      </c>
      <c r="B146" s="12">
        <f>IFERROR(__xludf.DUMMYFUNCTION("""COMPUTED_VALUE"""),44872.0)</f>
        <v>44872</v>
      </c>
      <c r="C146" s="13">
        <f>IFERROR(__xludf.DUMMYFUNCTION("""COMPUTED_VALUE"""),0.041666666666666664)</f>
        <v>0.04166666667</v>
      </c>
      <c r="D146" s="8">
        <f>IFERROR(__xludf.DUMMYFUNCTION("""COMPUTED_VALUE"""),0.0)</f>
        <v>0</v>
      </c>
      <c r="E146" s="8" t="str">
        <f>IFERROR(__xludf.DUMMYFUNCTION("""COMPUTED_VALUE"""),"Real")</f>
        <v>Real</v>
      </c>
      <c r="G146" s="8">
        <f t="shared" si="1"/>
        <v>11</v>
      </c>
      <c r="H146" s="14">
        <f t="shared" si="2"/>
        <v>7</v>
      </c>
      <c r="I146" s="15">
        <f t="shared" si="3"/>
        <v>1</v>
      </c>
    </row>
    <row r="147">
      <c r="A147" s="8" t="str">
        <f>IFERROR(__xludf.DUMMYFUNCTION("IF('(INGESTA)Datos_consumo_datadis'!A147&lt;&gt;"""",SPLIT('(INGESTA)Datos_consumo_datadis'!A:A,"",""),"""")"),"ES0031408323131005HX0F")</f>
        <v>ES0031408323131005HX0F</v>
      </c>
      <c r="B147" s="12">
        <f>IFERROR(__xludf.DUMMYFUNCTION("""COMPUTED_VALUE"""),44872.0)</f>
        <v>44872</v>
      </c>
      <c r="C147" s="13">
        <f>IFERROR(__xludf.DUMMYFUNCTION("""COMPUTED_VALUE"""),0.08333333333333333)</f>
        <v>0.08333333333</v>
      </c>
      <c r="D147" s="8">
        <f>IFERROR(__xludf.DUMMYFUNCTION("""COMPUTED_VALUE"""),0.0)</f>
        <v>0</v>
      </c>
      <c r="E147" s="8" t="str">
        <f>IFERROR(__xludf.DUMMYFUNCTION("""COMPUTED_VALUE"""),"Real")</f>
        <v>Real</v>
      </c>
      <c r="G147" s="8">
        <f t="shared" si="1"/>
        <v>11</v>
      </c>
      <c r="H147" s="14">
        <f t="shared" si="2"/>
        <v>7</v>
      </c>
      <c r="I147" s="15">
        <f t="shared" si="3"/>
        <v>2</v>
      </c>
    </row>
    <row r="148">
      <c r="A148" s="8" t="str">
        <f>IFERROR(__xludf.DUMMYFUNCTION("IF('(INGESTA)Datos_consumo_datadis'!A148&lt;&gt;"""",SPLIT('(INGESTA)Datos_consumo_datadis'!A:A,"",""),"""")"),"ES0031408323131005HX0F")</f>
        <v>ES0031408323131005HX0F</v>
      </c>
      <c r="B148" s="12">
        <f>IFERROR(__xludf.DUMMYFUNCTION("""COMPUTED_VALUE"""),44872.0)</f>
        <v>44872</v>
      </c>
      <c r="C148" s="13">
        <f>IFERROR(__xludf.DUMMYFUNCTION("""COMPUTED_VALUE"""),0.125)</f>
        <v>0.125</v>
      </c>
      <c r="D148" s="8">
        <f>IFERROR(__xludf.DUMMYFUNCTION("""COMPUTED_VALUE"""),0.0)</f>
        <v>0</v>
      </c>
      <c r="E148" s="8" t="str">
        <f>IFERROR(__xludf.DUMMYFUNCTION("""COMPUTED_VALUE"""),"Real")</f>
        <v>Real</v>
      </c>
      <c r="G148" s="8">
        <f t="shared" si="1"/>
        <v>11</v>
      </c>
      <c r="H148" s="14">
        <f t="shared" si="2"/>
        <v>7</v>
      </c>
      <c r="I148" s="15">
        <f t="shared" si="3"/>
        <v>3</v>
      </c>
    </row>
    <row r="149">
      <c r="A149" s="8" t="str">
        <f>IFERROR(__xludf.DUMMYFUNCTION("IF('(INGESTA)Datos_consumo_datadis'!A149&lt;&gt;"""",SPLIT('(INGESTA)Datos_consumo_datadis'!A:A,"",""),"""")"),"ES0031408323131005HX0F")</f>
        <v>ES0031408323131005HX0F</v>
      </c>
      <c r="B149" s="12">
        <f>IFERROR(__xludf.DUMMYFUNCTION("""COMPUTED_VALUE"""),44872.0)</f>
        <v>44872</v>
      </c>
      <c r="C149" s="13">
        <f>IFERROR(__xludf.DUMMYFUNCTION("""COMPUTED_VALUE"""),0.16666666666666666)</f>
        <v>0.1666666667</v>
      </c>
      <c r="D149" s="8">
        <f>IFERROR(__xludf.DUMMYFUNCTION("""COMPUTED_VALUE"""),0.0)</f>
        <v>0</v>
      </c>
      <c r="E149" s="8" t="str">
        <f>IFERROR(__xludf.DUMMYFUNCTION("""COMPUTED_VALUE"""),"Real")</f>
        <v>Real</v>
      </c>
      <c r="G149" s="8">
        <f t="shared" si="1"/>
        <v>11</v>
      </c>
      <c r="H149" s="14">
        <f t="shared" si="2"/>
        <v>7</v>
      </c>
      <c r="I149" s="15">
        <f t="shared" si="3"/>
        <v>4</v>
      </c>
    </row>
    <row r="150">
      <c r="A150" s="8" t="str">
        <f>IFERROR(__xludf.DUMMYFUNCTION("IF('(INGESTA)Datos_consumo_datadis'!A150&lt;&gt;"""",SPLIT('(INGESTA)Datos_consumo_datadis'!A:A,"",""),"""")"),"ES0031408323131005HX0F")</f>
        <v>ES0031408323131005HX0F</v>
      </c>
      <c r="B150" s="12">
        <f>IFERROR(__xludf.DUMMYFUNCTION("""COMPUTED_VALUE"""),44872.0)</f>
        <v>44872</v>
      </c>
      <c r="C150" s="13">
        <f>IFERROR(__xludf.DUMMYFUNCTION("""COMPUTED_VALUE"""),0.20833333333333334)</f>
        <v>0.2083333333</v>
      </c>
      <c r="D150" s="8">
        <f>IFERROR(__xludf.DUMMYFUNCTION("""COMPUTED_VALUE"""),0.0)</f>
        <v>0</v>
      </c>
      <c r="E150" s="8" t="str">
        <f>IFERROR(__xludf.DUMMYFUNCTION("""COMPUTED_VALUE"""),"Real")</f>
        <v>Real</v>
      </c>
      <c r="G150" s="8">
        <f t="shared" si="1"/>
        <v>11</v>
      </c>
      <c r="H150" s="14">
        <f t="shared" si="2"/>
        <v>7</v>
      </c>
      <c r="I150" s="15">
        <f t="shared" si="3"/>
        <v>5</v>
      </c>
    </row>
    <row r="151">
      <c r="A151" s="8" t="str">
        <f>IFERROR(__xludf.DUMMYFUNCTION("IF('(INGESTA)Datos_consumo_datadis'!A151&lt;&gt;"""",SPLIT('(INGESTA)Datos_consumo_datadis'!A:A,"",""),"""")"),"ES0031408323131005HX0F")</f>
        <v>ES0031408323131005HX0F</v>
      </c>
      <c r="B151" s="12">
        <f>IFERROR(__xludf.DUMMYFUNCTION("""COMPUTED_VALUE"""),44872.0)</f>
        <v>44872</v>
      </c>
      <c r="C151" s="13">
        <f>IFERROR(__xludf.DUMMYFUNCTION("""COMPUTED_VALUE"""),0.25)</f>
        <v>0.25</v>
      </c>
      <c r="D151" s="8">
        <f>IFERROR(__xludf.DUMMYFUNCTION("""COMPUTED_VALUE"""),0.0)</f>
        <v>0</v>
      </c>
      <c r="E151" s="8" t="str">
        <f>IFERROR(__xludf.DUMMYFUNCTION("""COMPUTED_VALUE"""),"Real")</f>
        <v>Real</v>
      </c>
      <c r="G151" s="8">
        <f t="shared" si="1"/>
        <v>11</v>
      </c>
      <c r="H151" s="14">
        <f t="shared" si="2"/>
        <v>7</v>
      </c>
      <c r="I151" s="15">
        <f t="shared" si="3"/>
        <v>6</v>
      </c>
    </row>
    <row r="152">
      <c r="A152" s="8" t="str">
        <f>IFERROR(__xludf.DUMMYFUNCTION("IF('(INGESTA)Datos_consumo_datadis'!A152&lt;&gt;"""",SPLIT('(INGESTA)Datos_consumo_datadis'!A:A,"",""),"""")"),"ES0031408323131005HX0F")</f>
        <v>ES0031408323131005HX0F</v>
      </c>
      <c r="B152" s="12">
        <f>IFERROR(__xludf.DUMMYFUNCTION("""COMPUTED_VALUE"""),44872.0)</f>
        <v>44872</v>
      </c>
      <c r="C152" s="13">
        <f>IFERROR(__xludf.DUMMYFUNCTION("""COMPUTED_VALUE"""),0.2916666666666667)</f>
        <v>0.2916666667</v>
      </c>
      <c r="D152" s="8">
        <f>IFERROR(__xludf.DUMMYFUNCTION("""COMPUTED_VALUE"""),0.0)</f>
        <v>0</v>
      </c>
      <c r="E152" s="8" t="str">
        <f>IFERROR(__xludf.DUMMYFUNCTION("""COMPUTED_VALUE"""),"Real")</f>
        <v>Real</v>
      </c>
      <c r="G152" s="8">
        <f t="shared" si="1"/>
        <v>11</v>
      </c>
      <c r="H152" s="14">
        <f t="shared" si="2"/>
        <v>7</v>
      </c>
      <c r="I152" s="15">
        <f t="shared" si="3"/>
        <v>7</v>
      </c>
    </row>
    <row r="153">
      <c r="A153" s="8" t="str">
        <f>IFERROR(__xludf.DUMMYFUNCTION("IF('(INGESTA)Datos_consumo_datadis'!A153&lt;&gt;"""",SPLIT('(INGESTA)Datos_consumo_datadis'!A:A,"",""),"""")"),"ES0031408323131005HX0F")</f>
        <v>ES0031408323131005HX0F</v>
      </c>
      <c r="B153" s="12">
        <f>IFERROR(__xludf.DUMMYFUNCTION("""COMPUTED_VALUE"""),44872.0)</f>
        <v>44872</v>
      </c>
      <c r="C153" s="13">
        <f>IFERROR(__xludf.DUMMYFUNCTION("""COMPUTED_VALUE"""),0.3333333333333333)</f>
        <v>0.3333333333</v>
      </c>
      <c r="D153" s="8">
        <f>IFERROR(__xludf.DUMMYFUNCTION("""COMPUTED_VALUE"""),0.0)</f>
        <v>0</v>
      </c>
      <c r="E153" s="8" t="str">
        <f>IFERROR(__xludf.DUMMYFUNCTION("""COMPUTED_VALUE"""),"Real")</f>
        <v>Real</v>
      </c>
      <c r="G153" s="8">
        <f t="shared" si="1"/>
        <v>11</v>
      </c>
      <c r="H153" s="14">
        <f t="shared" si="2"/>
        <v>7</v>
      </c>
      <c r="I153" s="15">
        <f t="shared" si="3"/>
        <v>8</v>
      </c>
    </row>
    <row r="154">
      <c r="A154" s="8" t="str">
        <f>IFERROR(__xludf.DUMMYFUNCTION("IF('(INGESTA)Datos_consumo_datadis'!A154&lt;&gt;"""",SPLIT('(INGESTA)Datos_consumo_datadis'!A:A,"",""),"""")"),"ES0031408323131005HX0F")</f>
        <v>ES0031408323131005HX0F</v>
      </c>
      <c r="B154" s="12">
        <f>IFERROR(__xludf.DUMMYFUNCTION("""COMPUTED_VALUE"""),44872.0)</f>
        <v>44872</v>
      </c>
      <c r="C154" s="13">
        <f>IFERROR(__xludf.DUMMYFUNCTION("""COMPUTED_VALUE"""),0.375)</f>
        <v>0.375</v>
      </c>
      <c r="D154" s="8">
        <f>IFERROR(__xludf.DUMMYFUNCTION("""COMPUTED_VALUE"""),0.0)</f>
        <v>0</v>
      </c>
      <c r="E154" s="8" t="str">
        <f>IFERROR(__xludf.DUMMYFUNCTION("""COMPUTED_VALUE"""),"Real")</f>
        <v>Real</v>
      </c>
      <c r="G154" s="8">
        <f t="shared" si="1"/>
        <v>11</v>
      </c>
      <c r="H154" s="14">
        <f t="shared" si="2"/>
        <v>7</v>
      </c>
      <c r="I154" s="15">
        <f t="shared" si="3"/>
        <v>9</v>
      </c>
    </row>
    <row r="155">
      <c r="A155" s="8" t="str">
        <f>IFERROR(__xludf.DUMMYFUNCTION("IF('(INGESTA)Datos_consumo_datadis'!A155&lt;&gt;"""",SPLIT('(INGESTA)Datos_consumo_datadis'!A:A,"",""),"""")"),"ES0031408323131005HX0F")</f>
        <v>ES0031408323131005HX0F</v>
      </c>
      <c r="B155" s="12">
        <f>IFERROR(__xludf.DUMMYFUNCTION("""COMPUTED_VALUE"""),44872.0)</f>
        <v>44872</v>
      </c>
      <c r="C155" s="13">
        <f>IFERROR(__xludf.DUMMYFUNCTION("""COMPUTED_VALUE"""),0.4166666666666667)</f>
        <v>0.4166666667</v>
      </c>
      <c r="D155" s="8">
        <f>IFERROR(__xludf.DUMMYFUNCTION("""COMPUTED_VALUE"""),0.0)</f>
        <v>0</v>
      </c>
      <c r="E155" s="8" t="str">
        <f>IFERROR(__xludf.DUMMYFUNCTION("""COMPUTED_VALUE"""),"Real")</f>
        <v>Real</v>
      </c>
      <c r="G155" s="8">
        <f t="shared" si="1"/>
        <v>11</v>
      </c>
      <c r="H155" s="14">
        <f t="shared" si="2"/>
        <v>7</v>
      </c>
      <c r="I155" s="15">
        <f t="shared" si="3"/>
        <v>10</v>
      </c>
    </row>
    <row r="156">
      <c r="A156" s="8" t="str">
        <f>IFERROR(__xludf.DUMMYFUNCTION("IF('(INGESTA)Datos_consumo_datadis'!A156&lt;&gt;"""",SPLIT('(INGESTA)Datos_consumo_datadis'!A:A,"",""),"""")"),"ES0031408323131005HX0F")</f>
        <v>ES0031408323131005HX0F</v>
      </c>
      <c r="B156" s="12">
        <f>IFERROR(__xludf.DUMMYFUNCTION("""COMPUTED_VALUE"""),44872.0)</f>
        <v>44872</v>
      </c>
      <c r="C156" s="13">
        <f>IFERROR(__xludf.DUMMYFUNCTION("""COMPUTED_VALUE"""),0.4583333333333333)</f>
        <v>0.4583333333</v>
      </c>
      <c r="D156" s="8">
        <f>IFERROR(__xludf.DUMMYFUNCTION("""COMPUTED_VALUE"""),0.0)</f>
        <v>0</v>
      </c>
      <c r="E156" s="8" t="str">
        <f>IFERROR(__xludf.DUMMYFUNCTION("""COMPUTED_VALUE"""),"Real")</f>
        <v>Real</v>
      </c>
      <c r="G156" s="8">
        <f t="shared" si="1"/>
        <v>11</v>
      </c>
      <c r="H156" s="14">
        <f t="shared" si="2"/>
        <v>7</v>
      </c>
      <c r="I156" s="15">
        <f t="shared" si="3"/>
        <v>11</v>
      </c>
    </row>
    <row r="157">
      <c r="A157" s="8" t="str">
        <f>IFERROR(__xludf.DUMMYFUNCTION("IF('(INGESTA)Datos_consumo_datadis'!A157&lt;&gt;"""",SPLIT('(INGESTA)Datos_consumo_datadis'!A:A,"",""),"""")"),"ES0031408323131005HX0F")</f>
        <v>ES0031408323131005HX0F</v>
      </c>
      <c r="B157" s="12">
        <f>IFERROR(__xludf.DUMMYFUNCTION("""COMPUTED_VALUE"""),44872.0)</f>
        <v>44872</v>
      </c>
      <c r="C157" s="13">
        <f>IFERROR(__xludf.DUMMYFUNCTION("""COMPUTED_VALUE"""),0.5)</f>
        <v>0.5</v>
      </c>
      <c r="D157" s="8">
        <f>IFERROR(__xludf.DUMMYFUNCTION("""COMPUTED_VALUE"""),0.027)</f>
        <v>0.027</v>
      </c>
      <c r="E157" s="8" t="str">
        <f>IFERROR(__xludf.DUMMYFUNCTION("""COMPUTED_VALUE"""),"Real")</f>
        <v>Real</v>
      </c>
      <c r="G157" s="8">
        <f t="shared" si="1"/>
        <v>11</v>
      </c>
      <c r="H157" s="14">
        <f t="shared" si="2"/>
        <v>7</v>
      </c>
      <c r="I157" s="15">
        <f t="shared" si="3"/>
        <v>12</v>
      </c>
    </row>
    <row r="158">
      <c r="A158" s="8" t="str">
        <f>IFERROR(__xludf.DUMMYFUNCTION("IF('(INGESTA)Datos_consumo_datadis'!A158&lt;&gt;"""",SPLIT('(INGESTA)Datos_consumo_datadis'!A:A,"",""),"""")"),"ES0031408323131005HX0F")</f>
        <v>ES0031408323131005HX0F</v>
      </c>
      <c r="B158" s="12">
        <f>IFERROR(__xludf.DUMMYFUNCTION("""COMPUTED_VALUE"""),44872.0)</f>
        <v>44872</v>
      </c>
      <c r="C158" s="13">
        <f>IFERROR(__xludf.DUMMYFUNCTION("""COMPUTED_VALUE"""),0.5416666666666666)</f>
        <v>0.5416666667</v>
      </c>
      <c r="D158" s="8">
        <f>IFERROR(__xludf.DUMMYFUNCTION("""COMPUTED_VALUE"""),0.0)</f>
        <v>0</v>
      </c>
      <c r="E158" s="8" t="str">
        <f>IFERROR(__xludf.DUMMYFUNCTION("""COMPUTED_VALUE"""),"Real")</f>
        <v>Real</v>
      </c>
      <c r="G158" s="8">
        <f t="shared" si="1"/>
        <v>11</v>
      </c>
      <c r="H158" s="14">
        <f t="shared" si="2"/>
        <v>7</v>
      </c>
      <c r="I158" s="15">
        <f t="shared" si="3"/>
        <v>13</v>
      </c>
    </row>
    <row r="159">
      <c r="A159" s="8" t="str">
        <f>IFERROR(__xludf.DUMMYFUNCTION("IF('(INGESTA)Datos_consumo_datadis'!A159&lt;&gt;"""",SPLIT('(INGESTA)Datos_consumo_datadis'!A:A,"",""),"""")"),"ES0031408323131005HX0F")</f>
        <v>ES0031408323131005HX0F</v>
      </c>
      <c r="B159" s="12">
        <f>IFERROR(__xludf.DUMMYFUNCTION("""COMPUTED_VALUE"""),44872.0)</f>
        <v>44872</v>
      </c>
      <c r="C159" s="13">
        <f>IFERROR(__xludf.DUMMYFUNCTION("""COMPUTED_VALUE"""),0.5833333333333334)</f>
        <v>0.5833333333</v>
      </c>
      <c r="D159" s="8">
        <f>IFERROR(__xludf.DUMMYFUNCTION("""COMPUTED_VALUE"""),0.0)</f>
        <v>0</v>
      </c>
      <c r="E159" s="8" t="str">
        <f>IFERROR(__xludf.DUMMYFUNCTION("""COMPUTED_VALUE"""),"Real")</f>
        <v>Real</v>
      </c>
      <c r="G159" s="8">
        <f t="shared" si="1"/>
        <v>11</v>
      </c>
      <c r="H159" s="14">
        <f t="shared" si="2"/>
        <v>7</v>
      </c>
      <c r="I159" s="15">
        <f t="shared" si="3"/>
        <v>14</v>
      </c>
    </row>
    <row r="160">
      <c r="A160" s="8" t="str">
        <f>IFERROR(__xludf.DUMMYFUNCTION("IF('(INGESTA)Datos_consumo_datadis'!A160&lt;&gt;"""",SPLIT('(INGESTA)Datos_consumo_datadis'!A:A,"",""),"""")"),"ES0031408323131005HX0F")</f>
        <v>ES0031408323131005HX0F</v>
      </c>
      <c r="B160" s="12">
        <f>IFERROR(__xludf.DUMMYFUNCTION("""COMPUTED_VALUE"""),44872.0)</f>
        <v>44872</v>
      </c>
      <c r="C160" s="13">
        <f>IFERROR(__xludf.DUMMYFUNCTION("""COMPUTED_VALUE"""),0.625)</f>
        <v>0.625</v>
      </c>
      <c r="D160" s="8">
        <f>IFERROR(__xludf.DUMMYFUNCTION("""COMPUTED_VALUE"""),0.0)</f>
        <v>0</v>
      </c>
      <c r="E160" s="8" t="str">
        <f>IFERROR(__xludf.DUMMYFUNCTION("""COMPUTED_VALUE"""),"Real")</f>
        <v>Real</v>
      </c>
      <c r="G160" s="8">
        <f t="shared" si="1"/>
        <v>11</v>
      </c>
      <c r="H160" s="14">
        <f t="shared" si="2"/>
        <v>7</v>
      </c>
      <c r="I160" s="15">
        <f t="shared" si="3"/>
        <v>15</v>
      </c>
    </row>
    <row r="161">
      <c r="A161" s="8" t="str">
        <f>IFERROR(__xludf.DUMMYFUNCTION("IF('(INGESTA)Datos_consumo_datadis'!A161&lt;&gt;"""",SPLIT('(INGESTA)Datos_consumo_datadis'!A:A,"",""),"""")"),"ES0031408323131005HX0F")</f>
        <v>ES0031408323131005HX0F</v>
      </c>
      <c r="B161" s="12">
        <f>IFERROR(__xludf.DUMMYFUNCTION("""COMPUTED_VALUE"""),44872.0)</f>
        <v>44872</v>
      </c>
      <c r="C161" s="13">
        <f>IFERROR(__xludf.DUMMYFUNCTION("""COMPUTED_VALUE"""),0.6666666666666666)</f>
        <v>0.6666666667</v>
      </c>
      <c r="D161" s="8">
        <f>IFERROR(__xludf.DUMMYFUNCTION("""COMPUTED_VALUE"""),0.0)</f>
        <v>0</v>
      </c>
      <c r="E161" s="8" t="str">
        <f>IFERROR(__xludf.DUMMYFUNCTION("""COMPUTED_VALUE"""),"Real")</f>
        <v>Real</v>
      </c>
      <c r="G161" s="8">
        <f t="shared" si="1"/>
        <v>11</v>
      </c>
      <c r="H161" s="14">
        <f t="shared" si="2"/>
        <v>7</v>
      </c>
      <c r="I161" s="15">
        <f t="shared" si="3"/>
        <v>16</v>
      </c>
    </row>
    <row r="162">
      <c r="A162" s="8" t="str">
        <f>IFERROR(__xludf.DUMMYFUNCTION("IF('(INGESTA)Datos_consumo_datadis'!A162&lt;&gt;"""",SPLIT('(INGESTA)Datos_consumo_datadis'!A:A,"",""),"""")"),"ES0031408323131005HX0F")</f>
        <v>ES0031408323131005HX0F</v>
      </c>
      <c r="B162" s="12">
        <f>IFERROR(__xludf.DUMMYFUNCTION("""COMPUTED_VALUE"""),44872.0)</f>
        <v>44872</v>
      </c>
      <c r="C162" s="13">
        <f>IFERROR(__xludf.DUMMYFUNCTION("""COMPUTED_VALUE"""),0.7083333333333334)</f>
        <v>0.7083333333</v>
      </c>
      <c r="D162" s="8">
        <f>IFERROR(__xludf.DUMMYFUNCTION("""COMPUTED_VALUE"""),0.0)</f>
        <v>0</v>
      </c>
      <c r="E162" s="8" t="str">
        <f>IFERROR(__xludf.DUMMYFUNCTION("""COMPUTED_VALUE"""),"Real")</f>
        <v>Real</v>
      </c>
      <c r="G162" s="8">
        <f t="shared" si="1"/>
        <v>11</v>
      </c>
      <c r="H162" s="14">
        <f t="shared" si="2"/>
        <v>7</v>
      </c>
      <c r="I162" s="15">
        <f t="shared" si="3"/>
        <v>17</v>
      </c>
    </row>
    <row r="163">
      <c r="A163" s="8" t="str">
        <f>IFERROR(__xludf.DUMMYFUNCTION("IF('(INGESTA)Datos_consumo_datadis'!A163&lt;&gt;"""",SPLIT('(INGESTA)Datos_consumo_datadis'!A:A,"",""),"""")"),"ES0031408323131005HX0F")</f>
        <v>ES0031408323131005HX0F</v>
      </c>
      <c r="B163" s="12">
        <f>IFERROR(__xludf.DUMMYFUNCTION("""COMPUTED_VALUE"""),44872.0)</f>
        <v>44872</v>
      </c>
      <c r="C163" s="13">
        <f>IFERROR(__xludf.DUMMYFUNCTION("""COMPUTED_VALUE"""),0.75)</f>
        <v>0.75</v>
      </c>
      <c r="D163" s="8">
        <f>IFERROR(__xludf.DUMMYFUNCTION("""COMPUTED_VALUE"""),0.0)</f>
        <v>0</v>
      </c>
      <c r="E163" s="8" t="str">
        <f>IFERROR(__xludf.DUMMYFUNCTION("""COMPUTED_VALUE"""),"Real")</f>
        <v>Real</v>
      </c>
      <c r="G163" s="8">
        <f t="shared" si="1"/>
        <v>11</v>
      </c>
      <c r="H163" s="14">
        <f t="shared" si="2"/>
        <v>7</v>
      </c>
      <c r="I163" s="15">
        <f t="shared" si="3"/>
        <v>18</v>
      </c>
    </row>
    <row r="164">
      <c r="A164" s="8" t="str">
        <f>IFERROR(__xludf.DUMMYFUNCTION("IF('(INGESTA)Datos_consumo_datadis'!A164&lt;&gt;"""",SPLIT('(INGESTA)Datos_consumo_datadis'!A:A,"",""),"""")"),"ES0031408323131005HX0F")</f>
        <v>ES0031408323131005HX0F</v>
      </c>
      <c r="B164" s="12">
        <f>IFERROR(__xludf.DUMMYFUNCTION("""COMPUTED_VALUE"""),44872.0)</f>
        <v>44872</v>
      </c>
      <c r="C164" s="13">
        <f>IFERROR(__xludf.DUMMYFUNCTION("""COMPUTED_VALUE"""),0.7916666666666666)</f>
        <v>0.7916666667</v>
      </c>
      <c r="D164" s="8">
        <f>IFERROR(__xludf.DUMMYFUNCTION("""COMPUTED_VALUE"""),0.0)</f>
        <v>0</v>
      </c>
      <c r="E164" s="8" t="str">
        <f>IFERROR(__xludf.DUMMYFUNCTION("""COMPUTED_VALUE"""),"Real")</f>
        <v>Real</v>
      </c>
      <c r="G164" s="8">
        <f t="shared" si="1"/>
        <v>11</v>
      </c>
      <c r="H164" s="14">
        <f t="shared" si="2"/>
        <v>7</v>
      </c>
      <c r="I164" s="15">
        <f t="shared" si="3"/>
        <v>19</v>
      </c>
    </row>
    <row r="165">
      <c r="A165" s="8" t="str">
        <f>IFERROR(__xludf.DUMMYFUNCTION("IF('(INGESTA)Datos_consumo_datadis'!A165&lt;&gt;"""",SPLIT('(INGESTA)Datos_consumo_datadis'!A:A,"",""),"""")"),"ES0031408323131005HX0F")</f>
        <v>ES0031408323131005HX0F</v>
      </c>
      <c r="B165" s="12">
        <f>IFERROR(__xludf.DUMMYFUNCTION("""COMPUTED_VALUE"""),44872.0)</f>
        <v>44872</v>
      </c>
      <c r="C165" s="13">
        <f>IFERROR(__xludf.DUMMYFUNCTION("""COMPUTED_VALUE"""),0.8333333333333334)</f>
        <v>0.8333333333</v>
      </c>
      <c r="D165" s="8">
        <f>IFERROR(__xludf.DUMMYFUNCTION("""COMPUTED_VALUE"""),0.0)</f>
        <v>0</v>
      </c>
      <c r="E165" s="8" t="str">
        <f>IFERROR(__xludf.DUMMYFUNCTION("""COMPUTED_VALUE"""),"Real")</f>
        <v>Real</v>
      </c>
      <c r="G165" s="8">
        <f t="shared" si="1"/>
        <v>11</v>
      </c>
      <c r="H165" s="14">
        <f t="shared" si="2"/>
        <v>7</v>
      </c>
      <c r="I165" s="15">
        <f t="shared" si="3"/>
        <v>20</v>
      </c>
    </row>
    <row r="166">
      <c r="A166" s="8" t="str">
        <f>IFERROR(__xludf.DUMMYFUNCTION("IF('(INGESTA)Datos_consumo_datadis'!A166&lt;&gt;"""",SPLIT('(INGESTA)Datos_consumo_datadis'!A:A,"",""),"""")"),"ES0031408323131005HX0F")</f>
        <v>ES0031408323131005HX0F</v>
      </c>
      <c r="B166" s="12">
        <f>IFERROR(__xludf.DUMMYFUNCTION("""COMPUTED_VALUE"""),44872.0)</f>
        <v>44872</v>
      </c>
      <c r="C166" s="13">
        <f>IFERROR(__xludf.DUMMYFUNCTION("""COMPUTED_VALUE"""),0.875)</f>
        <v>0.875</v>
      </c>
      <c r="D166" s="8">
        <f>IFERROR(__xludf.DUMMYFUNCTION("""COMPUTED_VALUE"""),0.0)</f>
        <v>0</v>
      </c>
      <c r="E166" s="8" t="str">
        <f>IFERROR(__xludf.DUMMYFUNCTION("""COMPUTED_VALUE"""),"Real")</f>
        <v>Real</v>
      </c>
      <c r="G166" s="8">
        <f t="shared" si="1"/>
        <v>11</v>
      </c>
      <c r="H166" s="14">
        <f t="shared" si="2"/>
        <v>7</v>
      </c>
      <c r="I166" s="15">
        <f t="shared" si="3"/>
        <v>21</v>
      </c>
    </row>
    <row r="167">
      <c r="A167" s="8" t="str">
        <f>IFERROR(__xludf.DUMMYFUNCTION("IF('(INGESTA)Datos_consumo_datadis'!A167&lt;&gt;"""",SPLIT('(INGESTA)Datos_consumo_datadis'!A:A,"",""),"""")"),"ES0031408323131005HX0F")</f>
        <v>ES0031408323131005HX0F</v>
      </c>
      <c r="B167" s="12">
        <f>IFERROR(__xludf.DUMMYFUNCTION("""COMPUTED_VALUE"""),44872.0)</f>
        <v>44872</v>
      </c>
      <c r="C167" s="13">
        <f>IFERROR(__xludf.DUMMYFUNCTION("""COMPUTED_VALUE"""),0.9166666666666666)</f>
        <v>0.9166666667</v>
      </c>
      <c r="D167" s="8">
        <f>IFERROR(__xludf.DUMMYFUNCTION("""COMPUTED_VALUE"""),0.0)</f>
        <v>0</v>
      </c>
      <c r="E167" s="8" t="str">
        <f>IFERROR(__xludf.DUMMYFUNCTION("""COMPUTED_VALUE"""),"Real")</f>
        <v>Real</v>
      </c>
      <c r="G167" s="8">
        <f t="shared" si="1"/>
        <v>11</v>
      </c>
      <c r="H167" s="14">
        <f t="shared" si="2"/>
        <v>7</v>
      </c>
      <c r="I167" s="15">
        <f t="shared" si="3"/>
        <v>22</v>
      </c>
    </row>
    <row r="168">
      <c r="A168" s="8" t="str">
        <f>IFERROR(__xludf.DUMMYFUNCTION("IF('(INGESTA)Datos_consumo_datadis'!A168&lt;&gt;"""",SPLIT('(INGESTA)Datos_consumo_datadis'!A:A,"",""),"""")"),"ES0031408323131005HX0F")</f>
        <v>ES0031408323131005HX0F</v>
      </c>
      <c r="B168" s="12">
        <f>IFERROR(__xludf.DUMMYFUNCTION("""COMPUTED_VALUE"""),44872.0)</f>
        <v>44872</v>
      </c>
      <c r="C168" s="13">
        <f>IFERROR(__xludf.DUMMYFUNCTION("""COMPUTED_VALUE"""),0.9583333333333334)</f>
        <v>0.9583333333</v>
      </c>
      <c r="D168" s="8">
        <f>IFERROR(__xludf.DUMMYFUNCTION("""COMPUTED_VALUE"""),0.0)</f>
        <v>0</v>
      </c>
      <c r="E168" s="8" t="str">
        <f>IFERROR(__xludf.DUMMYFUNCTION("""COMPUTED_VALUE"""),"Real")</f>
        <v>Real</v>
      </c>
      <c r="G168" s="8">
        <f t="shared" si="1"/>
        <v>11</v>
      </c>
      <c r="H168" s="14">
        <f t="shared" si="2"/>
        <v>7</v>
      </c>
      <c r="I168" s="15">
        <f t="shared" si="3"/>
        <v>23</v>
      </c>
    </row>
    <row r="169">
      <c r="A169" s="8" t="str">
        <f>IFERROR(__xludf.DUMMYFUNCTION("IF('(INGESTA)Datos_consumo_datadis'!A169&lt;&gt;"""",SPLIT('(INGESTA)Datos_consumo_datadis'!A:A,"",""),"""")"),"ES0031408323131005HX0F")</f>
        <v>ES0031408323131005HX0F</v>
      </c>
      <c r="B169" s="12">
        <f>IFERROR(__xludf.DUMMYFUNCTION("""COMPUTED_VALUE"""),44872.0)</f>
        <v>44872</v>
      </c>
      <c r="C169" s="16">
        <f>IFERROR(__xludf.DUMMYFUNCTION("""COMPUTED_VALUE"""),1.0)</f>
        <v>1</v>
      </c>
      <c r="D169" s="8">
        <f>IFERROR(__xludf.DUMMYFUNCTION("""COMPUTED_VALUE"""),0.0)</f>
        <v>0</v>
      </c>
      <c r="E169" s="8" t="str">
        <f>IFERROR(__xludf.DUMMYFUNCTION("""COMPUTED_VALUE"""),"Real")</f>
        <v>Real</v>
      </c>
      <c r="G169" s="8">
        <f t="shared" si="1"/>
        <v>11</v>
      </c>
      <c r="H169" s="14">
        <f t="shared" si="2"/>
        <v>7</v>
      </c>
      <c r="I169" s="15">
        <f t="shared" si="3"/>
        <v>0</v>
      </c>
    </row>
    <row r="170">
      <c r="A170" s="8" t="str">
        <f>IFERROR(__xludf.DUMMYFUNCTION("IF('(INGESTA)Datos_consumo_datadis'!A170&lt;&gt;"""",SPLIT('(INGESTA)Datos_consumo_datadis'!A:A,"",""),"""")"),"ES0031408323131005HX0F")</f>
        <v>ES0031408323131005HX0F</v>
      </c>
      <c r="B170" s="12">
        <f>IFERROR(__xludf.DUMMYFUNCTION("""COMPUTED_VALUE"""),44873.0)</f>
        <v>44873</v>
      </c>
      <c r="C170" s="13">
        <f>IFERROR(__xludf.DUMMYFUNCTION("""COMPUTED_VALUE"""),0.041666666666666664)</f>
        <v>0.04166666667</v>
      </c>
      <c r="D170" s="8">
        <f>IFERROR(__xludf.DUMMYFUNCTION("""COMPUTED_VALUE"""),0.0)</f>
        <v>0</v>
      </c>
      <c r="E170" s="8" t="str">
        <f>IFERROR(__xludf.DUMMYFUNCTION("""COMPUTED_VALUE"""),"Real")</f>
        <v>Real</v>
      </c>
      <c r="G170" s="8">
        <f t="shared" si="1"/>
        <v>11</v>
      </c>
      <c r="H170" s="14">
        <f t="shared" si="2"/>
        <v>8</v>
      </c>
      <c r="I170" s="15">
        <f t="shared" si="3"/>
        <v>1</v>
      </c>
    </row>
    <row r="171">
      <c r="A171" s="8" t="str">
        <f>IFERROR(__xludf.DUMMYFUNCTION("IF('(INGESTA)Datos_consumo_datadis'!A171&lt;&gt;"""",SPLIT('(INGESTA)Datos_consumo_datadis'!A:A,"",""),"""")"),"ES0031408323131005HX0F")</f>
        <v>ES0031408323131005HX0F</v>
      </c>
      <c r="B171" s="12">
        <f>IFERROR(__xludf.DUMMYFUNCTION("""COMPUTED_VALUE"""),44873.0)</f>
        <v>44873</v>
      </c>
      <c r="C171" s="13">
        <f>IFERROR(__xludf.DUMMYFUNCTION("""COMPUTED_VALUE"""),0.08333333333333333)</f>
        <v>0.08333333333</v>
      </c>
      <c r="D171" s="8">
        <f>IFERROR(__xludf.DUMMYFUNCTION("""COMPUTED_VALUE"""),0.0)</f>
        <v>0</v>
      </c>
      <c r="E171" s="8" t="str">
        <f>IFERROR(__xludf.DUMMYFUNCTION("""COMPUTED_VALUE"""),"Real")</f>
        <v>Real</v>
      </c>
      <c r="G171" s="8">
        <f t="shared" si="1"/>
        <v>11</v>
      </c>
      <c r="H171" s="14">
        <f t="shared" si="2"/>
        <v>8</v>
      </c>
      <c r="I171" s="15">
        <f t="shared" si="3"/>
        <v>2</v>
      </c>
    </row>
    <row r="172">
      <c r="A172" s="8" t="str">
        <f>IFERROR(__xludf.DUMMYFUNCTION("IF('(INGESTA)Datos_consumo_datadis'!A172&lt;&gt;"""",SPLIT('(INGESTA)Datos_consumo_datadis'!A:A,"",""),"""")"),"ES0031408323131005HX0F")</f>
        <v>ES0031408323131005HX0F</v>
      </c>
      <c r="B172" s="12">
        <f>IFERROR(__xludf.DUMMYFUNCTION("""COMPUTED_VALUE"""),44873.0)</f>
        <v>44873</v>
      </c>
      <c r="C172" s="13">
        <f>IFERROR(__xludf.DUMMYFUNCTION("""COMPUTED_VALUE"""),0.125)</f>
        <v>0.125</v>
      </c>
      <c r="D172" s="8">
        <f>IFERROR(__xludf.DUMMYFUNCTION("""COMPUTED_VALUE"""),0.0)</f>
        <v>0</v>
      </c>
      <c r="E172" s="8" t="str">
        <f>IFERROR(__xludf.DUMMYFUNCTION("""COMPUTED_VALUE"""),"Real")</f>
        <v>Real</v>
      </c>
      <c r="G172" s="8">
        <f t="shared" si="1"/>
        <v>11</v>
      </c>
      <c r="H172" s="14">
        <f t="shared" si="2"/>
        <v>8</v>
      </c>
      <c r="I172" s="15">
        <f t="shared" si="3"/>
        <v>3</v>
      </c>
    </row>
    <row r="173">
      <c r="A173" s="8" t="str">
        <f>IFERROR(__xludf.DUMMYFUNCTION("IF('(INGESTA)Datos_consumo_datadis'!A173&lt;&gt;"""",SPLIT('(INGESTA)Datos_consumo_datadis'!A:A,"",""),"""")"),"ES0031408323131005HX0F")</f>
        <v>ES0031408323131005HX0F</v>
      </c>
      <c r="B173" s="12">
        <f>IFERROR(__xludf.DUMMYFUNCTION("""COMPUTED_VALUE"""),44873.0)</f>
        <v>44873</v>
      </c>
      <c r="C173" s="13">
        <f>IFERROR(__xludf.DUMMYFUNCTION("""COMPUTED_VALUE"""),0.16666666666666666)</f>
        <v>0.1666666667</v>
      </c>
      <c r="D173" s="8">
        <f>IFERROR(__xludf.DUMMYFUNCTION("""COMPUTED_VALUE"""),0.0)</f>
        <v>0</v>
      </c>
      <c r="E173" s="8" t="str">
        <f>IFERROR(__xludf.DUMMYFUNCTION("""COMPUTED_VALUE"""),"Real")</f>
        <v>Real</v>
      </c>
      <c r="G173" s="8">
        <f t="shared" si="1"/>
        <v>11</v>
      </c>
      <c r="H173" s="14">
        <f t="shared" si="2"/>
        <v>8</v>
      </c>
      <c r="I173" s="15">
        <f t="shared" si="3"/>
        <v>4</v>
      </c>
    </row>
    <row r="174">
      <c r="A174" s="8" t="str">
        <f>IFERROR(__xludf.DUMMYFUNCTION("IF('(INGESTA)Datos_consumo_datadis'!A174&lt;&gt;"""",SPLIT('(INGESTA)Datos_consumo_datadis'!A:A,"",""),"""")"),"ES0031408323131005HX0F")</f>
        <v>ES0031408323131005HX0F</v>
      </c>
      <c r="B174" s="12">
        <f>IFERROR(__xludf.DUMMYFUNCTION("""COMPUTED_VALUE"""),44873.0)</f>
        <v>44873</v>
      </c>
      <c r="C174" s="13">
        <f>IFERROR(__xludf.DUMMYFUNCTION("""COMPUTED_VALUE"""),0.20833333333333334)</f>
        <v>0.2083333333</v>
      </c>
      <c r="D174" s="8">
        <f>IFERROR(__xludf.DUMMYFUNCTION("""COMPUTED_VALUE"""),0.0)</f>
        <v>0</v>
      </c>
      <c r="E174" s="8" t="str">
        <f>IFERROR(__xludf.DUMMYFUNCTION("""COMPUTED_VALUE"""),"Real")</f>
        <v>Real</v>
      </c>
      <c r="G174" s="8">
        <f t="shared" si="1"/>
        <v>11</v>
      </c>
      <c r="H174" s="14">
        <f t="shared" si="2"/>
        <v>8</v>
      </c>
      <c r="I174" s="15">
        <f t="shared" si="3"/>
        <v>5</v>
      </c>
    </row>
    <row r="175">
      <c r="A175" s="8" t="str">
        <f>IFERROR(__xludf.DUMMYFUNCTION("IF('(INGESTA)Datos_consumo_datadis'!A175&lt;&gt;"""",SPLIT('(INGESTA)Datos_consumo_datadis'!A:A,"",""),"""")"),"ES0031408323131005HX0F")</f>
        <v>ES0031408323131005HX0F</v>
      </c>
      <c r="B175" s="12">
        <f>IFERROR(__xludf.DUMMYFUNCTION("""COMPUTED_VALUE"""),44873.0)</f>
        <v>44873</v>
      </c>
      <c r="C175" s="13">
        <f>IFERROR(__xludf.DUMMYFUNCTION("""COMPUTED_VALUE"""),0.25)</f>
        <v>0.25</v>
      </c>
      <c r="D175" s="8">
        <f>IFERROR(__xludf.DUMMYFUNCTION("""COMPUTED_VALUE"""),0.0)</f>
        <v>0</v>
      </c>
      <c r="E175" s="8" t="str">
        <f>IFERROR(__xludf.DUMMYFUNCTION("""COMPUTED_VALUE"""),"Real")</f>
        <v>Real</v>
      </c>
      <c r="G175" s="8">
        <f t="shared" si="1"/>
        <v>11</v>
      </c>
      <c r="H175" s="14">
        <f t="shared" si="2"/>
        <v>8</v>
      </c>
      <c r="I175" s="15">
        <f t="shared" si="3"/>
        <v>6</v>
      </c>
    </row>
    <row r="176">
      <c r="A176" s="8" t="str">
        <f>IFERROR(__xludf.DUMMYFUNCTION("IF('(INGESTA)Datos_consumo_datadis'!A176&lt;&gt;"""",SPLIT('(INGESTA)Datos_consumo_datadis'!A:A,"",""),"""")"),"ES0031408323131005HX0F")</f>
        <v>ES0031408323131005HX0F</v>
      </c>
      <c r="B176" s="12">
        <f>IFERROR(__xludf.DUMMYFUNCTION("""COMPUTED_VALUE"""),44873.0)</f>
        <v>44873</v>
      </c>
      <c r="C176" s="13">
        <f>IFERROR(__xludf.DUMMYFUNCTION("""COMPUTED_VALUE"""),0.2916666666666667)</f>
        <v>0.2916666667</v>
      </c>
      <c r="D176" s="8">
        <f>IFERROR(__xludf.DUMMYFUNCTION("""COMPUTED_VALUE"""),0.0)</f>
        <v>0</v>
      </c>
      <c r="E176" s="8" t="str">
        <f>IFERROR(__xludf.DUMMYFUNCTION("""COMPUTED_VALUE"""),"Real")</f>
        <v>Real</v>
      </c>
      <c r="G176" s="8">
        <f t="shared" si="1"/>
        <v>11</v>
      </c>
      <c r="H176" s="14">
        <f t="shared" si="2"/>
        <v>8</v>
      </c>
      <c r="I176" s="15">
        <f t="shared" si="3"/>
        <v>7</v>
      </c>
    </row>
    <row r="177">
      <c r="A177" s="8" t="str">
        <f>IFERROR(__xludf.DUMMYFUNCTION("IF('(INGESTA)Datos_consumo_datadis'!A177&lt;&gt;"""",SPLIT('(INGESTA)Datos_consumo_datadis'!A:A,"",""),"""")"),"ES0031408323131005HX0F")</f>
        <v>ES0031408323131005HX0F</v>
      </c>
      <c r="B177" s="12">
        <f>IFERROR(__xludf.DUMMYFUNCTION("""COMPUTED_VALUE"""),44873.0)</f>
        <v>44873</v>
      </c>
      <c r="C177" s="13">
        <f>IFERROR(__xludf.DUMMYFUNCTION("""COMPUTED_VALUE"""),0.3333333333333333)</f>
        <v>0.3333333333</v>
      </c>
      <c r="D177" s="8">
        <f>IFERROR(__xludf.DUMMYFUNCTION("""COMPUTED_VALUE"""),0.0)</f>
        <v>0</v>
      </c>
      <c r="E177" s="8" t="str">
        <f>IFERROR(__xludf.DUMMYFUNCTION("""COMPUTED_VALUE"""),"Real")</f>
        <v>Real</v>
      </c>
      <c r="G177" s="8">
        <f t="shared" si="1"/>
        <v>11</v>
      </c>
      <c r="H177" s="14">
        <f t="shared" si="2"/>
        <v>8</v>
      </c>
      <c r="I177" s="15">
        <f t="shared" si="3"/>
        <v>8</v>
      </c>
    </row>
    <row r="178">
      <c r="A178" s="8" t="str">
        <f>IFERROR(__xludf.DUMMYFUNCTION("IF('(INGESTA)Datos_consumo_datadis'!A178&lt;&gt;"""",SPLIT('(INGESTA)Datos_consumo_datadis'!A:A,"",""),"""")"),"ES0031408323131005HX0F")</f>
        <v>ES0031408323131005HX0F</v>
      </c>
      <c r="B178" s="12">
        <f>IFERROR(__xludf.DUMMYFUNCTION("""COMPUTED_VALUE"""),44873.0)</f>
        <v>44873</v>
      </c>
      <c r="C178" s="13">
        <f>IFERROR(__xludf.DUMMYFUNCTION("""COMPUTED_VALUE"""),0.375)</f>
        <v>0.375</v>
      </c>
      <c r="D178" s="8">
        <f>IFERROR(__xludf.DUMMYFUNCTION("""COMPUTED_VALUE"""),0.0)</f>
        <v>0</v>
      </c>
      <c r="E178" s="8" t="str">
        <f>IFERROR(__xludf.DUMMYFUNCTION("""COMPUTED_VALUE"""),"Real")</f>
        <v>Real</v>
      </c>
      <c r="G178" s="8">
        <f t="shared" si="1"/>
        <v>11</v>
      </c>
      <c r="H178" s="14">
        <f t="shared" si="2"/>
        <v>8</v>
      </c>
      <c r="I178" s="15">
        <f t="shared" si="3"/>
        <v>9</v>
      </c>
    </row>
    <row r="179">
      <c r="A179" s="8" t="str">
        <f>IFERROR(__xludf.DUMMYFUNCTION("IF('(INGESTA)Datos_consumo_datadis'!A179&lt;&gt;"""",SPLIT('(INGESTA)Datos_consumo_datadis'!A:A,"",""),"""")"),"ES0031408323131005HX0F")</f>
        <v>ES0031408323131005HX0F</v>
      </c>
      <c r="B179" s="12">
        <f>IFERROR(__xludf.DUMMYFUNCTION("""COMPUTED_VALUE"""),44873.0)</f>
        <v>44873</v>
      </c>
      <c r="C179" s="13">
        <f>IFERROR(__xludf.DUMMYFUNCTION("""COMPUTED_VALUE"""),0.4166666666666667)</f>
        <v>0.4166666667</v>
      </c>
      <c r="D179" s="8">
        <f>IFERROR(__xludf.DUMMYFUNCTION("""COMPUTED_VALUE"""),0.0)</f>
        <v>0</v>
      </c>
      <c r="E179" s="8" t="str">
        <f>IFERROR(__xludf.DUMMYFUNCTION("""COMPUTED_VALUE"""),"Real")</f>
        <v>Real</v>
      </c>
      <c r="G179" s="8">
        <f t="shared" si="1"/>
        <v>11</v>
      </c>
      <c r="H179" s="14">
        <f t="shared" si="2"/>
        <v>8</v>
      </c>
      <c r="I179" s="15">
        <f t="shared" si="3"/>
        <v>10</v>
      </c>
    </row>
    <row r="180">
      <c r="A180" s="8" t="str">
        <f>IFERROR(__xludf.DUMMYFUNCTION("IF('(INGESTA)Datos_consumo_datadis'!A180&lt;&gt;"""",SPLIT('(INGESTA)Datos_consumo_datadis'!A:A,"",""),"""")"),"ES0031408323131005HX0F")</f>
        <v>ES0031408323131005HX0F</v>
      </c>
      <c r="B180" s="12">
        <f>IFERROR(__xludf.DUMMYFUNCTION("""COMPUTED_VALUE"""),44873.0)</f>
        <v>44873</v>
      </c>
      <c r="C180" s="13">
        <f>IFERROR(__xludf.DUMMYFUNCTION("""COMPUTED_VALUE"""),0.4583333333333333)</f>
        <v>0.4583333333</v>
      </c>
      <c r="D180" s="8">
        <f>IFERROR(__xludf.DUMMYFUNCTION("""COMPUTED_VALUE"""),0.0)</f>
        <v>0</v>
      </c>
      <c r="E180" s="8" t="str">
        <f>IFERROR(__xludf.DUMMYFUNCTION("""COMPUTED_VALUE"""),"Real")</f>
        <v>Real</v>
      </c>
      <c r="G180" s="8">
        <f t="shared" si="1"/>
        <v>11</v>
      </c>
      <c r="H180" s="14">
        <f t="shared" si="2"/>
        <v>8</v>
      </c>
      <c r="I180" s="15">
        <f t="shared" si="3"/>
        <v>11</v>
      </c>
    </row>
    <row r="181">
      <c r="A181" s="8" t="str">
        <f>IFERROR(__xludf.DUMMYFUNCTION("IF('(INGESTA)Datos_consumo_datadis'!A181&lt;&gt;"""",SPLIT('(INGESTA)Datos_consumo_datadis'!A:A,"",""),"""")"),"ES0031408323131005HX0F")</f>
        <v>ES0031408323131005HX0F</v>
      </c>
      <c r="B181" s="12">
        <f>IFERROR(__xludf.DUMMYFUNCTION("""COMPUTED_VALUE"""),44873.0)</f>
        <v>44873</v>
      </c>
      <c r="C181" s="13">
        <f>IFERROR(__xludf.DUMMYFUNCTION("""COMPUTED_VALUE"""),0.5)</f>
        <v>0.5</v>
      </c>
      <c r="D181" s="8">
        <f>IFERROR(__xludf.DUMMYFUNCTION("""COMPUTED_VALUE"""),0.0)</f>
        <v>0</v>
      </c>
      <c r="E181" s="8" t="str">
        <f>IFERROR(__xludf.DUMMYFUNCTION("""COMPUTED_VALUE"""),"Real")</f>
        <v>Real</v>
      </c>
      <c r="G181" s="8">
        <f t="shared" si="1"/>
        <v>11</v>
      </c>
      <c r="H181" s="14">
        <f t="shared" si="2"/>
        <v>8</v>
      </c>
      <c r="I181" s="15">
        <f t="shared" si="3"/>
        <v>12</v>
      </c>
    </row>
    <row r="182">
      <c r="A182" s="8" t="str">
        <f>IFERROR(__xludf.DUMMYFUNCTION("IF('(INGESTA)Datos_consumo_datadis'!A182&lt;&gt;"""",SPLIT('(INGESTA)Datos_consumo_datadis'!A:A,"",""),"""")"),"ES0031408323131005HX0F")</f>
        <v>ES0031408323131005HX0F</v>
      </c>
      <c r="B182" s="12">
        <f>IFERROR(__xludf.DUMMYFUNCTION("""COMPUTED_VALUE"""),44873.0)</f>
        <v>44873</v>
      </c>
      <c r="C182" s="13">
        <f>IFERROR(__xludf.DUMMYFUNCTION("""COMPUTED_VALUE"""),0.5416666666666666)</f>
        <v>0.5416666667</v>
      </c>
      <c r="D182" s="8">
        <f>IFERROR(__xludf.DUMMYFUNCTION("""COMPUTED_VALUE"""),0.0)</f>
        <v>0</v>
      </c>
      <c r="E182" s="8" t="str">
        <f>IFERROR(__xludf.DUMMYFUNCTION("""COMPUTED_VALUE"""),"Real")</f>
        <v>Real</v>
      </c>
      <c r="G182" s="8">
        <f t="shared" si="1"/>
        <v>11</v>
      </c>
      <c r="H182" s="14">
        <f t="shared" si="2"/>
        <v>8</v>
      </c>
      <c r="I182" s="15">
        <f t="shared" si="3"/>
        <v>13</v>
      </c>
    </row>
    <row r="183">
      <c r="A183" s="8" t="str">
        <f>IFERROR(__xludf.DUMMYFUNCTION("IF('(INGESTA)Datos_consumo_datadis'!A183&lt;&gt;"""",SPLIT('(INGESTA)Datos_consumo_datadis'!A:A,"",""),"""")"),"ES0031408323131005HX0F")</f>
        <v>ES0031408323131005HX0F</v>
      </c>
      <c r="B183" s="12">
        <f>IFERROR(__xludf.DUMMYFUNCTION("""COMPUTED_VALUE"""),44873.0)</f>
        <v>44873</v>
      </c>
      <c r="C183" s="13">
        <f>IFERROR(__xludf.DUMMYFUNCTION("""COMPUTED_VALUE"""),0.5833333333333334)</f>
        <v>0.5833333333</v>
      </c>
      <c r="D183" s="8">
        <f>IFERROR(__xludf.DUMMYFUNCTION("""COMPUTED_VALUE"""),0.0)</f>
        <v>0</v>
      </c>
      <c r="E183" s="8" t="str">
        <f>IFERROR(__xludf.DUMMYFUNCTION("""COMPUTED_VALUE"""),"Real")</f>
        <v>Real</v>
      </c>
      <c r="G183" s="8">
        <f t="shared" si="1"/>
        <v>11</v>
      </c>
      <c r="H183" s="14">
        <f t="shared" si="2"/>
        <v>8</v>
      </c>
      <c r="I183" s="15">
        <f t="shared" si="3"/>
        <v>14</v>
      </c>
    </row>
    <row r="184">
      <c r="A184" s="8" t="str">
        <f>IFERROR(__xludf.DUMMYFUNCTION("IF('(INGESTA)Datos_consumo_datadis'!A184&lt;&gt;"""",SPLIT('(INGESTA)Datos_consumo_datadis'!A:A,"",""),"""")"),"ES0031408323131005HX0F")</f>
        <v>ES0031408323131005HX0F</v>
      </c>
      <c r="B184" s="12">
        <f>IFERROR(__xludf.DUMMYFUNCTION("""COMPUTED_VALUE"""),44873.0)</f>
        <v>44873</v>
      </c>
      <c r="C184" s="13">
        <f>IFERROR(__xludf.DUMMYFUNCTION("""COMPUTED_VALUE"""),0.625)</f>
        <v>0.625</v>
      </c>
      <c r="D184" s="8">
        <f>IFERROR(__xludf.DUMMYFUNCTION("""COMPUTED_VALUE"""),0.0)</f>
        <v>0</v>
      </c>
      <c r="E184" s="8" t="str">
        <f>IFERROR(__xludf.DUMMYFUNCTION("""COMPUTED_VALUE"""),"Real")</f>
        <v>Real</v>
      </c>
      <c r="G184" s="8">
        <f t="shared" si="1"/>
        <v>11</v>
      </c>
      <c r="H184" s="14">
        <f t="shared" si="2"/>
        <v>8</v>
      </c>
      <c r="I184" s="15">
        <f t="shared" si="3"/>
        <v>15</v>
      </c>
    </row>
    <row r="185">
      <c r="A185" s="8" t="str">
        <f>IFERROR(__xludf.DUMMYFUNCTION("IF('(INGESTA)Datos_consumo_datadis'!A185&lt;&gt;"""",SPLIT('(INGESTA)Datos_consumo_datadis'!A:A,"",""),"""")"),"ES0031408323131005HX0F")</f>
        <v>ES0031408323131005HX0F</v>
      </c>
      <c r="B185" s="12">
        <f>IFERROR(__xludf.DUMMYFUNCTION("""COMPUTED_VALUE"""),44873.0)</f>
        <v>44873</v>
      </c>
      <c r="C185" s="13">
        <f>IFERROR(__xludf.DUMMYFUNCTION("""COMPUTED_VALUE"""),0.6666666666666666)</f>
        <v>0.6666666667</v>
      </c>
      <c r="D185" s="8">
        <f>IFERROR(__xludf.DUMMYFUNCTION("""COMPUTED_VALUE"""),0.0)</f>
        <v>0</v>
      </c>
      <c r="E185" s="8" t="str">
        <f>IFERROR(__xludf.DUMMYFUNCTION("""COMPUTED_VALUE"""),"Real")</f>
        <v>Real</v>
      </c>
      <c r="G185" s="8">
        <f t="shared" si="1"/>
        <v>11</v>
      </c>
      <c r="H185" s="14">
        <f t="shared" si="2"/>
        <v>8</v>
      </c>
      <c r="I185" s="15">
        <f t="shared" si="3"/>
        <v>16</v>
      </c>
    </row>
    <row r="186">
      <c r="A186" s="8" t="str">
        <f>IFERROR(__xludf.DUMMYFUNCTION("IF('(INGESTA)Datos_consumo_datadis'!A186&lt;&gt;"""",SPLIT('(INGESTA)Datos_consumo_datadis'!A:A,"",""),"""")"),"ES0031408323131005HX0F")</f>
        <v>ES0031408323131005HX0F</v>
      </c>
      <c r="B186" s="12">
        <f>IFERROR(__xludf.DUMMYFUNCTION("""COMPUTED_VALUE"""),44873.0)</f>
        <v>44873</v>
      </c>
      <c r="C186" s="13">
        <f>IFERROR(__xludf.DUMMYFUNCTION("""COMPUTED_VALUE"""),0.7083333333333334)</f>
        <v>0.7083333333</v>
      </c>
      <c r="D186" s="8">
        <f>IFERROR(__xludf.DUMMYFUNCTION("""COMPUTED_VALUE"""),0.0)</f>
        <v>0</v>
      </c>
      <c r="E186" s="8" t="str">
        <f>IFERROR(__xludf.DUMMYFUNCTION("""COMPUTED_VALUE"""),"Real")</f>
        <v>Real</v>
      </c>
      <c r="G186" s="8">
        <f t="shared" si="1"/>
        <v>11</v>
      </c>
      <c r="H186" s="14">
        <f t="shared" si="2"/>
        <v>8</v>
      </c>
      <c r="I186" s="15">
        <f t="shared" si="3"/>
        <v>17</v>
      </c>
    </row>
    <row r="187">
      <c r="A187" s="8" t="str">
        <f>IFERROR(__xludf.DUMMYFUNCTION("IF('(INGESTA)Datos_consumo_datadis'!A187&lt;&gt;"""",SPLIT('(INGESTA)Datos_consumo_datadis'!A:A,"",""),"""")"),"ES0031408323131005HX0F")</f>
        <v>ES0031408323131005HX0F</v>
      </c>
      <c r="B187" s="12">
        <f>IFERROR(__xludf.DUMMYFUNCTION("""COMPUTED_VALUE"""),44873.0)</f>
        <v>44873</v>
      </c>
      <c r="C187" s="13">
        <f>IFERROR(__xludf.DUMMYFUNCTION("""COMPUTED_VALUE"""),0.75)</f>
        <v>0.75</v>
      </c>
      <c r="D187" s="8">
        <f>IFERROR(__xludf.DUMMYFUNCTION("""COMPUTED_VALUE"""),0.0)</f>
        <v>0</v>
      </c>
      <c r="E187" s="8" t="str">
        <f>IFERROR(__xludf.DUMMYFUNCTION("""COMPUTED_VALUE"""),"Real")</f>
        <v>Real</v>
      </c>
      <c r="G187" s="8">
        <f t="shared" si="1"/>
        <v>11</v>
      </c>
      <c r="H187" s="14">
        <f t="shared" si="2"/>
        <v>8</v>
      </c>
      <c r="I187" s="15">
        <f t="shared" si="3"/>
        <v>18</v>
      </c>
    </row>
    <row r="188">
      <c r="A188" s="8" t="str">
        <f>IFERROR(__xludf.DUMMYFUNCTION("IF('(INGESTA)Datos_consumo_datadis'!A188&lt;&gt;"""",SPLIT('(INGESTA)Datos_consumo_datadis'!A:A,"",""),"""")"),"ES0031408323131005HX0F")</f>
        <v>ES0031408323131005HX0F</v>
      </c>
      <c r="B188" s="12">
        <f>IFERROR(__xludf.DUMMYFUNCTION("""COMPUTED_VALUE"""),44873.0)</f>
        <v>44873</v>
      </c>
      <c r="C188" s="13">
        <f>IFERROR(__xludf.DUMMYFUNCTION("""COMPUTED_VALUE"""),0.7916666666666666)</f>
        <v>0.7916666667</v>
      </c>
      <c r="D188" s="8">
        <f>IFERROR(__xludf.DUMMYFUNCTION("""COMPUTED_VALUE"""),0.0)</f>
        <v>0</v>
      </c>
      <c r="E188" s="8" t="str">
        <f>IFERROR(__xludf.DUMMYFUNCTION("""COMPUTED_VALUE"""),"Real")</f>
        <v>Real</v>
      </c>
      <c r="G188" s="8">
        <f t="shared" si="1"/>
        <v>11</v>
      </c>
      <c r="H188" s="14">
        <f t="shared" si="2"/>
        <v>8</v>
      </c>
      <c r="I188" s="15">
        <f t="shared" si="3"/>
        <v>19</v>
      </c>
    </row>
    <row r="189">
      <c r="A189" s="8" t="str">
        <f>IFERROR(__xludf.DUMMYFUNCTION("IF('(INGESTA)Datos_consumo_datadis'!A189&lt;&gt;"""",SPLIT('(INGESTA)Datos_consumo_datadis'!A:A,"",""),"""")"),"ES0031408323131005HX0F")</f>
        <v>ES0031408323131005HX0F</v>
      </c>
      <c r="B189" s="12">
        <f>IFERROR(__xludf.DUMMYFUNCTION("""COMPUTED_VALUE"""),44873.0)</f>
        <v>44873</v>
      </c>
      <c r="C189" s="13">
        <f>IFERROR(__xludf.DUMMYFUNCTION("""COMPUTED_VALUE"""),0.8333333333333334)</f>
        <v>0.8333333333</v>
      </c>
      <c r="D189" s="8">
        <f>IFERROR(__xludf.DUMMYFUNCTION("""COMPUTED_VALUE"""),0.0)</f>
        <v>0</v>
      </c>
      <c r="E189" s="8" t="str">
        <f>IFERROR(__xludf.DUMMYFUNCTION("""COMPUTED_VALUE"""),"Real")</f>
        <v>Real</v>
      </c>
      <c r="G189" s="8">
        <f t="shared" si="1"/>
        <v>11</v>
      </c>
      <c r="H189" s="14">
        <f t="shared" si="2"/>
        <v>8</v>
      </c>
      <c r="I189" s="15">
        <f t="shared" si="3"/>
        <v>20</v>
      </c>
    </row>
    <row r="190">
      <c r="A190" s="8" t="str">
        <f>IFERROR(__xludf.DUMMYFUNCTION("IF('(INGESTA)Datos_consumo_datadis'!A190&lt;&gt;"""",SPLIT('(INGESTA)Datos_consumo_datadis'!A:A,"",""),"""")"),"ES0031408323131005HX0F")</f>
        <v>ES0031408323131005HX0F</v>
      </c>
      <c r="B190" s="12">
        <f>IFERROR(__xludf.DUMMYFUNCTION("""COMPUTED_VALUE"""),44873.0)</f>
        <v>44873</v>
      </c>
      <c r="C190" s="13">
        <f>IFERROR(__xludf.DUMMYFUNCTION("""COMPUTED_VALUE"""),0.875)</f>
        <v>0.875</v>
      </c>
      <c r="D190" s="8">
        <f>IFERROR(__xludf.DUMMYFUNCTION("""COMPUTED_VALUE"""),0.0)</f>
        <v>0</v>
      </c>
      <c r="E190" s="8" t="str">
        <f>IFERROR(__xludf.DUMMYFUNCTION("""COMPUTED_VALUE"""),"Real")</f>
        <v>Real</v>
      </c>
      <c r="G190" s="8">
        <f t="shared" si="1"/>
        <v>11</v>
      </c>
      <c r="H190" s="14">
        <f t="shared" si="2"/>
        <v>8</v>
      </c>
      <c r="I190" s="15">
        <f t="shared" si="3"/>
        <v>21</v>
      </c>
    </row>
    <row r="191">
      <c r="A191" s="8" t="str">
        <f>IFERROR(__xludf.DUMMYFUNCTION("IF('(INGESTA)Datos_consumo_datadis'!A191&lt;&gt;"""",SPLIT('(INGESTA)Datos_consumo_datadis'!A:A,"",""),"""")"),"ES0031408323131005HX0F")</f>
        <v>ES0031408323131005HX0F</v>
      </c>
      <c r="B191" s="12">
        <f>IFERROR(__xludf.DUMMYFUNCTION("""COMPUTED_VALUE"""),44873.0)</f>
        <v>44873</v>
      </c>
      <c r="C191" s="13">
        <f>IFERROR(__xludf.DUMMYFUNCTION("""COMPUTED_VALUE"""),0.9166666666666666)</f>
        <v>0.9166666667</v>
      </c>
      <c r="D191" s="8">
        <f>IFERROR(__xludf.DUMMYFUNCTION("""COMPUTED_VALUE"""),0.0)</f>
        <v>0</v>
      </c>
      <c r="E191" s="8" t="str">
        <f>IFERROR(__xludf.DUMMYFUNCTION("""COMPUTED_VALUE"""),"Real")</f>
        <v>Real</v>
      </c>
      <c r="G191" s="8">
        <f t="shared" si="1"/>
        <v>11</v>
      </c>
      <c r="H191" s="14">
        <f t="shared" si="2"/>
        <v>8</v>
      </c>
      <c r="I191" s="15">
        <f t="shared" si="3"/>
        <v>22</v>
      </c>
    </row>
    <row r="192">
      <c r="A192" s="8" t="str">
        <f>IFERROR(__xludf.DUMMYFUNCTION("IF('(INGESTA)Datos_consumo_datadis'!A192&lt;&gt;"""",SPLIT('(INGESTA)Datos_consumo_datadis'!A:A,"",""),"""")"),"ES0031408323131005HX0F")</f>
        <v>ES0031408323131005HX0F</v>
      </c>
      <c r="B192" s="12">
        <f>IFERROR(__xludf.DUMMYFUNCTION("""COMPUTED_VALUE"""),44873.0)</f>
        <v>44873</v>
      </c>
      <c r="C192" s="13">
        <f>IFERROR(__xludf.DUMMYFUNCTION("""COMPUTED_VALUE"""),0.9583333333333334)</f>
        <v>0.9583333333</v>
      </c>
      <c r="D192" s="8">
        <f>IFERROR(__xludf.DUMMYFUNCTION("""COMPUTED_VALUE"""),0.0)</f>
        <v>0</v>
      </c>
      <c r="E192" s="8" t="str">
        <f>IFERROR(__xludf.DUMMYFUNCTION("""COMPUTED_VALUE"""),"Real")</f>
        <v>Real</v>
      </c>
      <c r="G192" s="8">
        <f t="shared" si="1"/>
        <v>11</v>
      </c>
      <c r="H192" s="14">
        <f t="shared" si="2"/>
        <v>8</v>
      </c>
      <c r="I192" s="15">
        <f t="shared" si="3"/>
        <v>23</v>
      </c>
    </row>
    <row r="193">
      <c r="A193" s="8" t="str">
        <f>IFERROR(__xludf.DUMMYFUNCTION("IF('(INGESTA)Datos_consumo_datadis'!A193&lt;&gt;"""",SPLIT('(INGESTA)Datos_consumo_datadis'!A:A,"",""),"""")"),"ES0031408323131005HX0F")</f>
        <v>ES0031408323131005HX0F</v>
      </c>
      <c r="B193" s="12">
        <f>IFERROR(__xludf.DUMMYFUNCTION("""COMPUTED_VALUE"""),44873.0)</f>
        <v>44873</v>
      </c>
      <c r="C193" s="16">
        <f>IFERROR(__xludf.DUMMYFUNCTION("""COMPUTED_VALUE"""),1.0)</f>
        <v>1</v>
      </c>
      <c r="D193" s="8">
        <f>IFERROR(__xludf.DUMMYFUNCTION("""COMPUTED_VALUE"""),0.0)</f>
        <v>0</v>
      </c>
      <c r="E193" s="8" t="str">
        <f>IFERROR(__xludf.DUMMYFUNCTION("""COMPUTED_VALUE"""),"Real")</f>
        <v>Real</v>
      </c>
      <c r="G193" s="8">
        <f t="shared" si="1"/>
        <v>11</v>
      </c>
      <c r="H193" s="14">
        <f t="shared" si="2"/>
        <v>8</v>
      </c>
      <c r="I193" s="15">
        <f t="shared" si="3"/>
        <v>0</v>
      </c>
    </row>
    <row r="194">
      <c r="A194" s="8" t="str">
        <f>IFERROR(__xludf.DUMMYFUNCTION("IF('(INGESTA)Datos_consumo_datadis'!A194&lt;&gt;"""",SPLIT('(INGESTA)Datos_consumo_datadis'!A:A,"",""),"""")"),"ES0031408323131005HX0F")</f>
        <v>ES0031408323131005HX0F</v>
      </c>
      <c r="B194" s="12">
        <f>IFERROR(__xludf.DUMMYFUNCTION("""COMPUTED_VALUE"""),44874.0)</f>
        <v>44874</v>
      </c>
      <c r="C194" s="13">
        <f>IFERROR(__xludf.DUMMYFUNCTION("""COMPUTED_VALUE"""),0.041666666666666664)</f>
        <v>0.04166666667</v>
      </c>
      <c r="D194" s="8">
        <f>IFERROR(__xludf.DUMMYFUNCTION("""COMPUTED_VALUE"""),0.0)</f>
        <v>0</v>
      </c>
      <c r="E194" s="8" t="str">
        <f>IFERROR(__xludf.DUMMYFUNCTION("""COMPUTED_VALUE"""),"Real")</f>
        <v>Real</v>
      </c>
      <c r="G194" s="8">
        <f t="shared" si="1"/>
        <v>11</v>
      </c>
      <c r="H194" s="14">
        <f t="shared" si="2"/>
        <v>9</v>
      </c>
      <c r="I194" s="15">
        <f t="shared" si="3"/>
        <v>1</v>
      </c>
    </row>
    <row r="195">
      <c r="A195" s="8" t="str">
        <f>IFERROR(__xludf.DUMMYFUNCTION("IF('(INGESTA)Datos_consumo_datadis'!A195&lt;&gt;"""",SPLIT('(INGESTA)Datos_consumo_datadis'!A:A,"",""),"""")"),"ES0031408323131005HX0F")</f>
        <v>ES0031408323131005HX0F</v>
      </c>
      <c r="B195" s="12">
        <f>IFERROR(__xludf.DUMMYFUNCTION("""COMPUTED_VALUE"""),44874.0)</f>
        <v>44874</v>
      </c>
      <c r="C195" s="13">
        <f>IFERROR(__xludf.DUMMYFUNCTION("""COMPUTED_VALUE"""),0.08333333333333333)</f>
        <v>0.08333333333</v>
      </c>
      <c r="D195" s="8">
        <f>IFERROR(__xludf.DUMMYFUNCTION("""COMPUTED_VALUE"""),0.0)</f>
        <v>0</v>
      </c>
      <c r="E195" s="8" t="str">
        <f>IFERROR(__xludf.DUMMYFUNCTION("""COMPUTED_VALUE"""),"Real")</f>
        <v>Real</v>
      </c>
      <c r="G195" s="8">
        <f t="shared" si="1"/>
        <v>11</v>
      </c>
      <c r="H195" s="14">
        <f t="shared" si="2"/>
        <v>9</v>
      </c>
      <c r="I195" s="15">
        <f t="shared" si="3"/>
        <v>2</v>
      </c>
    </row>
    <row r="196">
      <c r="A196" s="8" t="str">
        <f>IFERROR(__xludf.DUMMYFUNCTION("IF('(INGESTA)Datos_consumo_datadis'!A196&lt;&gt;"""",SPLIT('(INGESTA)Datos_consumo_datadis'!A:A,"",""),"""")"),"ES0031408323131005HX0F")</f>
        <v>ES0031408323131005HX0F</v>
      </c>
      <c r="B196" s="12">
        <f>IFERROR(__xludf.DUMMYFUNCTION("""COMPUTED_VALUE"""),44874.0)</f>
        <v>44874</v>
      </c>
      <c r="C196" s="13">
        <f>IFERROR(__xludf.DUMMYFUNCTION("""COMPUTED_VALUE"""),0.125)</f>
        <v>0.125</v>
      </c>
      <c r="D196" s="8">
        <f>IFERROR(__xludf.DUMMYFUNCTION("""COMPUTED_VALUE"""),0.0)</f>
        <v>0</v>
      </c>
      <c r="E196" s="8" t="str">
        <f>IFERROR(__xludf.DUMMYFUNCTION("""COMPUTED_VALUE"""),"Real")</f>
        <v>Real</v>
      </c>
      <c r="G196" s="8">
        <f t="shared" si="1"/>
        <v>11</v>
      </c>
      <c r="H196" s="14">
        <f t="shared" si="2"/>
        <v>9</v>
      </c>
      <c r="I196" s="15">
        <f t="shared" si="3"/>
        <v>3</v>
      </c>
    </row>
    <row r="197">
      <c r="A197" s="8" t="str">
        <f>IFERROR(__xludf.DUMMYFUNCTION("IF('(INGESTA)Datos_consumo_datadis'!A197&lt;&gt;"""",SPLIT('(INGESTA)Datos_consumo_datadis'!A:A,"",""),"""")"),"ES0031408323131005HX0F")</f>
        <v>ES0031408323131005HX0F</v>
      </c>
      <c r="B197" s="12">
        <f>IFERROR(__xludf.DUMMYFUNCTION("""COMPUTED_VALUE"""),44874.0)</f>
        <v>44874</v>
      </c>
      <c r="C197" s="13">
        <f>IFERROR(__xludf.DUMMYFUNCTION("""COMPUTED_VALUE"""),0.16666666666666666)</f>
        <v>0.1666666667</v>
      </c>
      <c r="D197" s="8">
        <f>IFERROR(__xludf.DUMMYFUNCTION("""COMPUTED_VALUE"""),0.0)</f>
        <v>0</v>
      </c>
      <c r="E197" s="8" t="str">
        <f>IFERROR(__xludf.DUMMYFUNCTION("""COMPUTED_VALUE"""),"Real")</f>
        <v>Real</v>
      </c>
      <c r="G197" s="8">
        <f t="shared" si="1"/>
        <v>11</v>
      </c>
      <c r="H197" s="14">
        <f t="shared" si="2"/>
        <v>9</v>
      </c>
      <c r="I197" s="15">
        <f t="shared" si="3"/>
        <v>4</v>
      </c>
    </row>
    <row r="198">
      <c r="A198" s="8" t="str">
        <f>IFERROR(__xludf.DUMMYFUNCTION("IF('(INGESTA)Datos_consumo_datadis'!A198&lt;&gt;"""",SPLIT('(INGESTA)Datos_consumo_datadis'!A:A,"",""),"""")"),"ES0031408323131005HX0F")</f>
        <v>ES0031408323131005HX0F</v>
      </c>
      <c r="B198" s="12">
        <f>IFERROR(__xludf.DUMMYFUNCTION("""COMPUTED_VALUE"""),44874.0)</f>
        <v>44874</v>
      </c>
      <c r="C198" s="13">
        <f>IFERROR(__xludf.DUMMYFUNCTION("""COMPUTED_VALUE"""),0.20833333333333334)</f>
        <v>0.2083333333</v>
      </c>
      <c r="D198" s="8">
        <f>IFERROR(__xludf.DUMMYFUNCTION("""COMPUTED_VALUE"""),0.0)</f>
        <v>0</v>
      </c>
      <c r="E198" s="8" t="str">
        <f>IFERROR(__xludf.DUMMYFUNCTION("""COMPUTED_VALUE"""),"Real")</f>
        <v>Real</v>
      </c>
      <c r="G198" s="8">
        <f t="shared" si="1"/>
        <v>11</v>
      </c>
      <c r="H198" s="14">
        <f t="shared" si="2"/>
        <v>9</v>
      </c>
      <c r="I198" s="15">
        <f t="shared" si="3"/>
        <v>5</v>
      </c>
    </row>
    <row r="199">
      <c r="A199" s="8" t="str">
        <f>IFERROR(__xludf.DUMMYFUNCTION("IF('(INGESTA)Datos_consumo_datadis'!A199&lt;&gt;"""",SPLIT('(INGESTA)Datos_consumo_datadis'!A:A,"",""),"""")"),"ES0031408323131005HX0F")</f>
        <v>ES0031408323131005HX0F</v>
      </c>
      <c r="B199" s="12">
        <f>IFERROR(__xludf.DUMMYFUNCTION("""COMPUTED_VALUE"""),44874.0)</f>
        <v>44874</v>
      </c>
      <c r="C199" s="13">
        <f>IFERROR(__xludf.DUMMYFUNCTION("""COMPUTED_VALUE"""),0.25)</f>
        <v>0.25</v>
      </c>
      <c r="D199" s="8">
        <f>IFERROR(__xludf.DUMMYFUNCTION("""COMPUTED_VALUE"""),0.0)</f>
        <v>0</v>
      </c>
      <c r="E199" s="8" t="str">
        <f>IFERROR(__xludf.DUMMYFUNCTION("""COMPUTED_VALUE"""),"Real")</f>
        <v>Real</v>
      </c>
      <c r="G199" s="8">
        <f t="shared" si="1"/>
        <v>11</v>
      </c>
      <c r="H199" s="14">
        <f t="shared" si="2"/>
        <v>9</v>
      </c>
      <c r="I199" s="15">
        <f t="shared" si="3"/>
        <v>6</v>
      </c>
    </row>
    <row r="200">
      <c r="A200" s="8" t="str">
        <f>IFERROR(__xludf.DUMMYFUNCTION("IF('(INGESTA)Datos_consumo_datadis'!A200&lt;&gt;"""",SPLIT('(INGESTA)Datos_consumo_datadis'!A:A,"",""),"""")"),"ES0031408323131005HX0F")</f>
        <v>ES0031408323131005HX0F</v>
      </c>
      <c r="B200" s="12">
        <f>IFERROR(__xludf.DUMMYFUNCTION("""COMPUTED_VALUE"""),44874.0)</f>
        <v>44874</v>
      </c>
      <c r="C200" s="13">
        <f>IFERROR(__xludf.DUMMYFUNCTION("""COMPUTED_VALUE"""),0.2916666666666667)</f>
        <v>0.2916666667</v>
      </c>
      <c r="D200" s="8">
        <f>IFERROR(__xludf.DUMMYFUNCTION("""COMPUTED_VALUE"""),0.0)</f>
        <v>0</v>
      </c>
      <c r="E200" s="8" t="str">
        <f>IFERROR(__xludf.DUMMYFUNCTION("""COMPUTED_VALUE"""),"Real")</f>
        <v>Real</v>
      </c>
      <c r="G200" s="8">
        <f t="shared" si="1"/>
        <v>11</v>
      </c>
      <c r="H200" s="14">
        <f t="shared" si="2"/>
        <v>9</v>
      </c>
      <c r="I200" s="15">
        <f t="shared" si="3"/>
        <v>7</v>
      </c>
    </row>
    <row r="201">
      <c r="A201" s="8" t="str">
        <f>IFERROR(__xludf.DUMMYFUNCTION("IF('(INGESTA)Datos_consumo_datadis'!A201&lt;&gt;"""",SPLIT('(INGESTA)Datos_consumo_datadis'!A:A,"",""),"""")"),"ES0031408323131005HX0F")</f>
        <v>ES0031408323131005HX0F</v>
      </c>
      <c r="B201" s="12">
        <f>IFERROR(__xludf.DUMMYFUNCTION("""COMPUTED_VALUE"""),44874.0)</f>
        <v>44874</v>
      </c>
      <c r="C201" s="13">
        <f>IFERROR(__xludf.DUMMYFUNCTION("""COMPUTED_VALUE"""),0.3333333333333333)</f>
        <v>0.3333333333</v>
      </c>
      <c r="D201" s="8">
        <f>IFERROR(__xludf.DUMMYFUNCTION("""COMPUTED_VALUE"""),0.0)</f>
        <v>0</v>
      </c>
      <c r="E201" s="8" t="str">
        <f>IFERROR(__xludf.DUMMYFUNCTION("""COMPUTED_VALUE"""),"Real")</f>
        <v>Real</v>
      </c>
      <c r="G201" s="8">
        <f t="shared" si="1"/>
        <v>11</v>
      </c>
      <c r="H201" s="14">
        <f t="shared" si="2"/>
        <v>9</v>
      </c>
      <c r="I201" s="15">
        <f t="shared" si="3"/>
        <v>8</v>
      </c>
    </row>
    <row r="202">
      <c r="A202" s="8" t="str">
        <f>IFERROR(__xludf.DUMMYFUNCTION("IF('(INGESTA)Datos_consumo_datadis'!A202&lt;&gt;"""",SPLIT('(INGESTA)Datos_consumo_datadis'!A:A,"",""),"""")"),"ES0031408323131005HX0F")</f>
        <v>ES0031408323131005HX0F</v>
      </c>
      <c r="B202" s="12">
        <f>IFERROR(__xludf.DUMMYFUNCTION("""COMPUTED_VALUE"""),44874.0)</f>
        <v>44874</v>
      </c>
      <c r="C202" s="13">
        <f>IFERROR(__xludf.DUMMYFUNCTION("""COMPUTED_VALUE"""),0.375)</f>
        <v>0.375</v>
      </c>
      <c r="D202" s="8">
        <f>IFERROR(__xludf.DUMMYFUNCTION("""COMPUTED_VALUE"""),0.0)</f>
        <v>0</v>
      </c>
      <c r="E202" s="8" t="str">
        <f>IFERROR(__xludf.DUMMYFUNCTION("""COMPUTED_VALUE"""),"Real")</f>
        <v>Real</v>
      </c>
      <c r="G202" s="8">
        <f t="shared" si="1"/>
        <v>11</v>
      </c>
      <c r="H202" s="14">
        <f t="shared" si="2"/>
        <v>9</v>
      </c>
      <c r="I202" s="15">
        <f t="shared" si="3"/>
        <v>9</v>
      </c>
    </row>
    <row r="203">
      <c r="A203" s="8" t="str">
        <f>IFERROR(__xludf.DUMMYFUNCTION("IF('(INGESTA)Datos_consumo_datadis'!A203&lt;&gt;"""",SPLIT('(INGESTA)Datos_consumo_datadis'!A:A,"",""),"""")"),"ES0031408323131005HX0F")</f>
        <v>ES0031408323131005HX0F</v>
      </c>
      <c r="B203" s="12">
        <f>IFERROR(__xludf.DUMMYFUNCTION("""COMPUTED_VALUE"""),44874.0)</f>
        <v>44874</v>
      </c>
      <c r="C203" s="13">
        <f>IFERROR(__xludf.DUMMYFUNCTION("""COMPUTED_VALUE"""),0.4166666666666667)</f>
        <v>0.4166666667</v>
      </c>
      <c r="D203" s="8">
        <f>IFERROR(__xludf.DUMMYFUNCTION("""COMPUTED_VALUE"""),0.0)</f>
        <v>0</v>
      </c>
      <c r="E203" s="8" t="str">
        <f>IFERROR(__xludf.DUMMYFUNCTION("""COMPUTED_VALUE"""),"Real")</f>
        <v>Real</v>
      </c>
      <c r="G203" s="8">
        <f t="shared" si="1"/>
        <v>11</v>
      </c>
      <c r="H203" s="14">
        <f t="shared" si="2"/>
        <v>9</v>
      </c>
      <c r="I203" s="15">
        <f t="shared" si="3"/>
        <v>10</v>
      </c>
    </row>
    <row r="204">
      <c r="A204" s="8" t="str">
        <f>IFERROR(__xludf.DUMMYFUNCTION("IF('(INGESTA)Datos_consumo_datadis'!A204&lt;&gt;"""",SPLIT('(INGESTA)Datos_consumo_datadis'!A:A,"",""),"""")"),"ES0031408323131005HX0F")</f>
        <v>ES0031408323131005HX0F</v>
      </c>
      <c r="B204" s="12">
        <f>IFERROR(__xludf.DUMMYFUNCTION("""COMPUTED_VALUE"""),44874.0)</f>
        <v>44874</v>
      </c>
      <c r="C204" s="13">
        <f>IFERROR(__xludf.DUMMYFUNCTION("""COMPUTED_VALUE"""),0.4583333333333333)</f>
        <v>0.4583333333</v>
      </c>
      <c r="D204" s="8">
        <f>IFERROR(__xludf.DUMMYFUNCTION("""COMPUTED_VALUE"""),0.0)</f>
        <v>0</v>
      </c>
      <c r="E204" s="8" t="str">
        <f>IFERROR(__xludf.DUMMYFUNCTION("""COMPUTED_VALUE"""),"Real")</f>
        <v>Real</v>
      </c>
      <c r="G204" s="8">
        <f t="shared" si="1"/>
        <v>11</v>
      </c>
      <c r="H204" s="14">
        <f t="shared" si="2"/>
        <v>9</v>
      </c>
      <c r="I204" s="15">
        <f t="shared" si="3"/>
        <v>11</v>
      </c>
    </row>
    <row r="205">
      <c r="A205" s="8" t="str">
        <f>IFERROR(__xludf.DUMMYFUNCTION("IF('(INGESTA)Datos_consumo_datadis'!A205&lt;&gt;"""",SPLIT('(INGESTA)Datos_consumo_datadis'!A:A,"",""),"""")"),"ES0031408323131005HX0F")</f>
        <v>ES0031408323131005HX0F</v>
      </c>
      <c r="B205" s="12">
        <f>IFERROR(__xludf.DUMMYFUNCTION("""COMPUTED_VALUE"""),44874.0)</f>
        <v>44874</v>
      </c>
      <c r="C205" s="13">
        <f>IFERROR(__xludf.DUMMYFUNCTION("""COMPUTED_VALUE"""),0.5)</f>
        <v>0.5</v>
      </c>
      <c r="D205" s="8">
        <f>IFERROR(__xludf.DUMMYFUNCTION("""COMPUTED_VALUE"""),0.0)</f>
        <v>0</v>
      </c>
      <c r="E205" s="8" t="str">
        <f>IFERROR(__xludf.DUMMYFUNCTION("""COMPUTED_VALUE"""),"Real")</f>
        <v>Real</v>
      </c>
      <c r="G205" s="8">
        <f t="shared" si="1"/>
        <v>11</v>
      </c>
      <c r="H205" s="14">
        <f t="shared" si="2"/>
        <v>9</v>
      </c>
      <c r="I205" s="15">
        <f t="shared" si="3"/>
        <v>12</v>
      </c>
    </row>
    <row r="206">
      <c r="A206" s="8" t="str">
        <f>IFERROR(__xludf.DUMMYFUNCTION("IF('(INGESTA)Datos_consumo_datadis'!A206&lt;&gt;"""",SPLIT('(INGESTA)Datos_consumo_datadis'!A:A,"",""),"""")"),"ES0031408323131005HX0F")</f>
        <v>ES0031408323131005HX0F</v>
      </c>
      <c r="B206" s="12">
        <f>IFERROR(__xludf.DUMMYFUNCTION("""COMPUTED_VALUE"""),44874.0)</f>
        <v>44874</v>
      </c>
      <c r="C206" s="13">
        <f>IFERROR(__xludf.DUMMYFUNCTION("""COMPUTED_VALUE"""),0.5416666666666666)</f>
        <v>0.5416666667</v>
      </c>
      <c r="D206" s="8">
        <f>IFERROR(__xludf.DUMMYFUNCTION("""COMPUTED_VALUE"""),0.0)</f>
        <v>0</v>
      </c>
      <c r="E206" s="8" t="str">
        <f>IFERROR(__xludf.DUMMYFUNCTION("""COMPUTED_VALUE"""),"Real")</f>
        <v>Real</v>
      </c>
      <c r="G206" s="8">
        <f t="shared" si="1"/>
        <v>11</v>
      </c>
      <c r="H206" s="14">
        <f t="shared" si="2"/>
        <v>9</v>
      </c>
      <c r="I206" s="15">
        <f t="shared" si="3"/>
        <v>13</v>
      </c>
    </row>
    <row r="207">
      <c r="A207" s="8" t="str">
        <f>IFERROR(__xludf.DUMMYFUNCTION("IF('(INGESTA)Datos_consumo_datadis'!A207&lt;&gt;"""",SPLIT('(INGESTA)Datos_consumo_datadis'!A:A,"",""),"""")"),"ES0031408323131005HX0F")</f>
        <v>ES0031408323131005HX0F</v>
      </c>
      <c r="B207" s="12">
        <f>IFERROR(__xludf.DUMMYFUNCTION("""COMPUTED_VALUE"""),44874.0)</f>
        <v>44874</v>
      </c>
      <c r="C207" s="13">
        <f>IFERROR(__xludf.DUMMYFUNCTION("""COMPUTED_VALUE"""),0.5833333333333334)</f>
        <v>0.5833333333</v>
      </c>
      <c r="D207" s="8">
        <f>IFERROR(__xludf.DUMMYFUNCTION("""COMPUTED_VALUE"""),0.0)</f>
        <v>0</v>
      </c>
      <c r="E207" s="8" t="str">
        <f>IFERROR(__xludf.DUMMYFUNCTION("""COMPUTED_VALUE"""),"Real")</f>
        <v>Real</v>
      </c>
      <c r="G207" s="8">
        <f t="shared" si="1"/>
        <v>11</v>
      </c>
      <c r="H207" s="14">
        <f t="shared" si="2"/>
        <v>9</v>
      </c>
      <c r="I207" s="15">
        <f t="shared" si="3"/>
        <v>14</v>
      </c>
    </row>
    <row r="208">
      <c r="A208" s="8" t="str">
        <f>IFERROR(__xludf.DUMMYFUNCTION("IF('(INGESTA)Datos_consumo_datadis'!A208&lt;&gt;"""",SPLIT('(INGESTA)Datos_consumo_datadis'!A:A,"",""),"""")"),"ES0031408323131005HX0F")</f>
        <v>ES0031408323131005HX0F</v>
      </c>
      <c r="B208" s="12">
        <f>IFERROR(__xludf.DUMMYFUNCTION("""COMPUTED_VALUE"""),44874.0)</f>
        <v>44874</v>
      </c>
      <c r="C208" s="13">
        <f>IFERROR(__xludf.DUMMYFUNCTION("""COMPUTED_VALUE"""),0.625)</f>
        <v>0.625</v>
      </c>
      <c r="D208" s="8">
        <f>IFERROR(__xludf.DUMMYFUNCTION("""COMPUTED_VALUE"""),0.0)</f>
        <v>0</v>
      </c>
      <c r="E208" s="8" t="str">
        <f>IFERROR(__xludf.DUMMYFUNCTION("""COMPUTED_VALUE"""),"Real")</f>
        <v>Real</v>
      </c>
      <c r="G208" s="8">
        <f t="shared" si="1"/>
        <v>11</v>
      </c>
      <c r="H208" s="14">
        <f t="shared" si="2"/>
        <v>9</v>
      </c>
      <c r="I208" s="15">
        <f t="shared" si="3"/>
        <v>15</v>
      </c>
    </row>
    <row r="209">
      <c r="A209" s="8" t="str">
        <f>IFERROR(__xludf.DUMMYFUNCTION("IF('(INGESTA)Datos_consumo_datadis'!A209&lt;&gt;"""",SPLIT('(INGESTA)Datos_consumo_datadis'!A:A,"",""),"""")"),"ES0031408323131005HX0F")</f>
        <v>ES0031408323131005HX0F</v>
      </c>
      <c r="B209" s="12">
        <f>IFERROR(__xludf.DUMMYFUNCTION("""COMPUTED_VALUE"""),44874.0)</f>
        <v>44874</v>
      </c>
      <c r="C209" s="13">
        <f>IFERROR(__xludf.DUMMYFUNCTION("""COMPUTED_VALUE"""),0.6666666666666666)</f>
        <v>0.6666666667</v>
      </c>
      <c r="D209" s="8">
        <f>IFERROR(__xludf.DUMMYFUNCTION("""COMPUTED_VALUE"""),0.0)</f>
        <v>0</v>
      </c>
      <c r="E209" s="8" t="str">
        <f>IFERROR(__xludf.DUMMYFUNCTION("""COMPUTED_VALUE"""),"Real")</f>
        <v>Real</v>
      </c>
      <c r="G209" s="8">
        <f t="shared" si="1"/>
        <v>11</v>
      </c>
      <c r="H209" s="14">
        <f t="shared" si="2"/>
        <v>9</v>
      </c>
      <c r="I209" s="15">
        <f t="shared" si="3"/>
        <v>16</v>
      </c>
    </row>
    <row r="210">
      <c r="A210" s="8" t="str">
        <f>IFERROR(__xludf.DUMMYFUNCTION("IF('(INGESTA)Datos_consumo_datadis'!A210&lt;&gt;"""",SPLIT('(INGESTA)Datos_consumo_datadis'!A:A,"",""),"""")"),"ES0031408323131005HX0F")</f>
        <v>ES0031408323131005HX0F</v>
      </c>
      <c r="B210" s="12">
        <f>IFERROR(__xludf.DUMMYFUNCTION("""COMPUTED_VALUE"""),44874.0)</f>
        <v>44874</v>
      </c>
      <c r="C210" s="13">
        <f>IFERROR(__xludf.DUMMYFUNCTION("""COMPUTED_VALUE"""),0.7083333333333334)</f>
        <v>0.7083333333</v>
      </c>
      <c r="D210" s="8">
        <f>IFERROR(__xludf.DUMMYFUNCTION("""COMPUTED_VALUE"""),0.0)</f>
        <v>0</v>
      </c>
      <c r="E210" s="8" t="str">
        <f>IFERROR(__xludf.DUMMYFUNCTION("""COMPUTED_VALUE"""),"Real")</f>
        <v>Real</v>
      </c>
      <c r="G210" s="8">
        <f t="shared" si="1"/>
        <v>11</v>
      </c>
      <c r="H210" s="14">
        <f t="shared" si="2"/>
        <v>9</v>
      </c>
      <c r="I210" s="15">
        <f t="shared" si="3"/>
        <v>17</v>
      </c>
    </row>
    <row r="211">
      <c r="A211" s="8" t="str">
        <f>IFERROR(__xludf.DUMMYFUNCTION("IF('(INGESTA)Datos_consumo_datadis'!A211&lt;&gt;"""",SPLIT('(INGESTA)Datos_consumo_datadis'!A:A,"",""),"""")"),"ES0031408323131005HX0F")</f>
        <v>ES0031408323131005HX0F</v>
      </c>
      <c r="B211" s="12">
        <f>IFERROR(__xludf.DUMMYFUNCTION("""COMPUTED_VALUE"""),44874.0)</f>
        <v>44874</v>
      </c>
      <c r="C211" s="13">
        <f>IFERROR(__xludf.DUMMYFUNCTION("""COMPUTED_VALUE"""),0.75)</f>
        <v>0.75</v>
      </c>
      <c r="D211" s="8">
        <f>IFERROR(__xludf.DUMMYFUNCTION("""COMPUTED_VALUE"""),0.0)</f>
        <v>0</v>
      </c>
      <c r="E211" s="8" t="str">
        <f>IFERROR(__xludf.DUMMYFUNCTION("""COMPUTED_VALUE"""),"Real")</f>
        <v>Real</v>
      </c>
      <c r="G211" s="8">
        <f t="shared" si="1"/>
        <v>11</v>
      </c>
      <c r="H211" s="14">
        <f t="shared" si="2"/>
        <v>9</v>
      </c>
      <c r="I211" s="15">
        <f t="shared" si="3"/>
        <v>18</v>
      </c>
    </row>
    <row r="212">
      <c r="A212" s="8" t="str">
        <f>IFERROR(__xludf.DUMMYFUNCTION("IF('(INGESTA)Datos_consumo_datadis'!A212&lt;&gt;"""",SPLIT('(INGESTA)Datos_consumo_datadis'!A:A,"",""),"""")"),"ES0031408323131005HX0F")</f>
        <v>ES0031408323131005HX0F</v>
      </c>
      <c r="B212" s="12">
        <f>IFERROR(__xludf.DUMMYFUNCTION("""COMPUTED_VALUE"""),44874.0)</f>
        <v>44874</v>
      </c>
      <c r="C212" s="13">
        <f>IFERROR(__xludf.DUMMYFUNCTION("""COMPUTED_VALUE"""),0.7916666666666666)</f>
        <v>0.7916666667</v>
      </c>
      <c r="D212" s="8">
        <f>IFERROR(__xludf.DUMMYFUNCTION("""COMPUTED_VALUE"""),0.0)</f>
        <v>0</v>
      </c>
      <c r="E212" s="8" t="str">
        <f>IFERROR(__xludf.DUMMYFUNCTION("""COMPUTED_VALUE"""),"Real")</f>
        <v>Real</v>
      </c>
      <c r="G212" s="8">
        <f t="shared" si="1"/>
        <v>11</v>
      </c>
      <c r="H212" s="14">
        <f t="shared" si="2"/>
        <v>9</v>
      </c>
      <c r="I212" s="15">
        <f t="shared" si="3"/>
        <v>19</v>
      </c>
    </row>
    <row r="213">
      <c r="A213" s="8" t="str">
        <f>IFERROR(__xludf.DUMMYFUNCTION("IF('(INGESTA)Datos_consumo_datadis'!A213&lt;&gt;"""",SPLIT('(INGESTA)Datos_consumo_datadis'!A:A,"",""),"""")"),"ES0031408323131005HX0F")</f>
        <v>ES0031408323131005HX0F</v>
      </c>
      <c r="B213" s="12">
        <f>IFERROR(__xludf.DUMMYFUNCTION("""COMPUTED_VALUE"""),44874.0)</f>
        <v>44874</v>
      </c>
      <c r="C213" s="13">
        <f>IFERROR(__xludf.DUMMYFUNCTION("""COMPUTED_VALUE"""),0.8333333333333334)</f>
        <v>0.8333333333</v>
      </c>
      <c r="D213" s="8">
        <f>IFERROR(__xludf.DUMMYFUNCTION("""COMPUTED_VALUE"""),0.0)</f>
        <v>0</v>
      </c>
      <c r="E213" s="8" t="str">
        <f>IFERROR(__xludf.DUMMYFUNCTION("""COMPUTED_VALUE"""),"Real")</f>
        <v>Real</v>
      </c>
      <c r="G213" s="8">
        <f t="shared" si="1"/>
        <v>11</v>
      </c>
      <c r="H213" s="14">
        <f t="shared" si="2"/>
        <v>9</v>
      </c>
      <c r="I213" s="15">
        <f t="shared" si="3"/>
        <v>20</v>
      </c>
    </row>
    <row r="214">
      <c r="A214" s="8" t="str">
        <f>IFERROR(__xludf.DUMMYFUNCTION("IF('(INGESTA)Datos_consumo_datadis'!A214&lt;&gt;"""",SPLIT('(INGESTA)Datos_consumo_datadis'!A:A,"",""),"""")"),"ES0031408323131005HX0F")</f>
        <v>ES0031408323131005HX0F</v>
      </c>
      <c r="B214" s="12">
        <f>IFERROR(__xludf.DUMMYFUNCTION("""COMPUTED_VALUE"""),44874.0)</f>
        <v>44874</v>
      </c>
      <c r="C214" s="13">
        <f>IFERROR(__xludf.DUMMYFUNCTION("""COMPUTED_VALUE"""),0.875)</f>
        <v>0.875</v>
      </c>
      <c r="D214" s="8">
        <f>IFERROR(__xludf.DUMMYFUNCTION("""COMPUTED_VALUE"""),0.0)</f>
        <v>0</v>
      </c>
      <c r="E214" s="8" t="str">
        <f>IFERROR(__xludf.DUMMYFUNCTION("""COMPUTED_VALUE"""),"Real")</f>
        <v>Real</v>
      </c>
      <c r="G214" s="8">
        <f t="shared" si="1"/>
        <v>11</v>
      </c>
      <c r="H214" s="14">
        <f t="shared" si="2"/>
        <v>9</v>
      </c>
      <c r="I214" s="15">
        <f t="shared" si="3"/>
        <v>21</v>
      </c>
    </row>
    <row r="215">
      <c r="A215" s="8" t="str">
        <f>IFERROR(__xludf.DUMMYFUNCTION("IF('(INGESTA)Datos_consumo_datadis'!A215&lt;&gt;"""",SPLIT('(INGESTA)Datos_consumo_datadis'!A:A,"",""),"""")"),"ES0031408323131005HX0F")</f>
        <v>ES0031408323131005HX0F</v>
      </c>
      <c r="B215" s="12">
        <f>IFERROR(__xludf.DUMMYFUNCTION("""COMPUTED_VALUE"""),44874.0)</f>
        <v>44874</v>
      </c>
      <c r="C215" s="13">
        <f>IFERROR(__xludf.DUMMYFUNCTION("""COMPUTED_VALUE"""),0.9166666666666666)</f>
        <v>0.9166666667</v>
      </c>
      <c r="D215" s="8">
        <f>IFERROR(__xludf.DUMMYFUNCTION("""COMPUTED_VALUE"""),0.0)</f>
        <v>0</v>
      </c>
      <c r="E215" s="8" t="str">
        <f>IFERROR(__xludf.DUMMYFUNCTION("""COMPUTED_VALUE"""),"Real")</f>
        <v>Real</v>
      </c>
      <c r="G215" s="8">
        <f t="shared" si="1"/>
        <v>11</v>
      </c>
      <c r="H215" s="14">
        <f t="shared" si="2"/>
        <v>9</v>
      </c>
      <c r="I215" s="15">
        <f t="shared" si="3"/>
        <v>22</v>
      </c>
    </row>
    <row r="216">
      <c r="A216" s="8" t="str">
        <f>IFERROR(__xludf.DUMMYFUNCTION("IF('(INGESTA)Datos_consumo_datadis'!A216&lt;&gt;"""",SPLIT('(INGESTA)Datos_consumo_datadis'!A:A,"",""),"""")"),"ES0031408323131005HX0F")</f>
        <v>ES0031408323131005HX0F</v>
      </c>
      <c r="B216" s="12">
        <f>IFERROR(__xludf.DUMMYFUNCTION("""COMPUTED_VALUE"""),44874.0)</f>
        <v>44874</v>
      </c>
      <c r="C216" s="13">
        <f>IFERROR(__xludf.DUMMYFUNCTION("""COMPUTED_VALUE"""),0.9583333333333334)</f>
        <v>0.9583333333</v>
      </c>
      <c r="D216" s="8">
        <f>IFERROR(__xludf.DUMMYFUNCTION("""COMPUTED_VALUE"""),0.0)</f>
        <v>0</v>
      </c>
      <c r="E216" s="8" t="str">
        <f>IFERROR(__xludf.DUMMYFUNCTION("""COMPUTED_VALUE"""),"Real")</f>
        <v>Real</v>
      </c>
      <c r="G216" s="8">
        <f t="shared" si="1"/>
        <v>11</v>
      </c>
      <c r="H216" s="14">
        <f t="shared" si="2"/>
        <v>9</v>
      </c>
      <c r="I216" s="15">
        <f t="shared" si="3"/>
        <v>23</v>
      </c>
    </row>
    <row r="217">
      <c r="A217" s="8" t="str">
        <f>IFERROR(__xludf.DUMMYFUNCTION("IF('(INGESTA)Datos_consumo_datadis'!A217&lt;&gt;"""",SPLIT('(INGESTA)Datos_consumo_datadis'!A:A,"",""),"""")"),"ES0031408323131005HX0F")</f>
        <v>ES0031408323131005HX0F</v>
      </c>
      <c r="B217" s="12">
        <f>IFERROR(__xludf.DUMMYFUNCTION("""COMPUTED_VALUE"""),44874.0)</f>
        <v>44874</v>
      </c>
      <c r="C217" s="16">
        <f>IFERROR(__xludf.DUMMYFUNCTION("""COMPUTED_VALUE"""),1.0)</f>
        <v>1</v>
      </c>
      <c r="D217" s="8">
        <f>IFERROR(__xludf.DUMMYFUNCTION("""COMPUTED_VALUE"""),0.0)</f>
        <v>0</v>
      </c>
      <c r="E217" s="8" t="str">
        <f>IFERROR(__xludf.DUMMYFUNCTION("""COMPUTED_VALUE"""),"Real")</f>
        <v>Real</v>
      </c>
      <c r="G217" s="8">
        <f t="shared" si="1"/>
        <v>11</v>
      </c>
      <c r="H217" s="14">
        <f t="shared" si="2"/>
        <v>9</v>
      </c>
      <c r="I217" s="15">
        <f t="shared" si="3"/>
        <v>0</v>
      </c>
    </row>
    <row r="218">
      <c r="A218" s="8" t="str">
        <f>IFERROR(__xludf.DUMMYFUNCTION("IF('(INGESTA)Datos_consumo_datadis'!A218&lt;&gt;"""",SPLIT('(INGESTA)Datos_consumo_datadis'!A:A,"",""),"""")"),"ES0031408323131005HX0F")</f>
        <v>ES0031408323131005HX0F</v>
      </c>
      <c r="B218" s="17">
        <f>IFERROR(__xludf.DUMMYFUNCTION("""COMPUTED_VALUE"""),44875.0)</f>
        <v>44875</v>
      </c>
      <c r="C218" s="13">
        <f>IFERROR(__xludf.DUMMYFUNCTION("""COMPUTED_VALUE"""),0.041666666666666664)</f>
        <v>0.04166666667</v>
      </c>
      <c r="D218" s="8">
        <f>IFERROR(__xludf.DUMMYFUNCTION("""COMPUTED_VALUE"""),0.0)</f>
        <v>0</v>
      </c>
      <c r="E218" s="8" t="str">
        <f>IFERROR(__xludf.DUMMYFUNCTION("""COMPUTED_VALUE"""),"Real")</f>
        <v>Real</v>
      </c>
      <c r="G218" s="8">
        <f t="shared" si="1"/>
        <v>11</v>
      </c>
      <c r="H218" s="14">
        <f t="shared" si="2"/>
        <v>10</v>
      </c>
      <c r="I218" s="15">
        <f t="shared" si="3"/>
        <v>1</v>
      </c>
    </row>
    <row r="219">
      <c r="A219" s="8" t="str">
        <f>IFERROR(__xludf.DUMMYFUNCTION("IF('(INGESTA)Datos_consumo_datadis'!A219&lt;&gt;"""",SPLIT('(INGESTA)Datos_consumo_datadis'!A:A,"",""),"""")"),"ES0031408323131005HX0F")</f>
        <v>ES0031408323131005HX0F</v>
      </c>
      <c r="B219" s="17">
        <f>IFERROR(__xludf.DUMMYFUNCTION("""COMPUTED_VALUE"""),44875.0)</f>
        <v>44875</v>
      </c>
      <c r="C219" s="13">
        <f>IFERROR(__xludf.DUMMYFUNCTION("""COMPUTED_VALUE"""),0.08333333333333333)</f>
        <v>0.08333333333</v>
      </c>
      <c r="D219" s="8">
        <f>IFERROR(__xludf.DUMMYFUNCTION("""COMPUTED_VALUE"""),0.0)</f>
        <v>0</v>
      </c>
      <c r="E219" s="8" t="str">
        <f>IFERROR(__xludf.DUMMYFUNCTION("""COMPUTED_VALUE"""),"Real")</f>
        <v>Real</v>
      </c>
      <c r="G219" s="8">
        <f t="shared" si="1"/>
        <v>11</v>
      </c>
      <c r="H219" s="14">
        <f t="shared" si="2"/>
        <v>10</v>
      </c>
      <c r="I219" s="15">
        <f t="shared" si="3"/>
        <v>2</v>
      </c>
    </row>
    <row r="220">
      <c r="A220" s="8" t="str">
        <f>IFERROR(__xludf.DUMMYFUNCTION("IF('(INGESTA)Datos_consumo_datadis'!A220&lt;&gt;"""",SPLIT('(INGESTA)Datos_consumo_datadis'!A:A,"",""),"""")"),"ES0031408323131005HX0F")</f>
        <v>ES0031408323131005HX0F</v>
      </c>
      <c r="B220" s="17">
        <f>IFERROR(__xludf.DUMMYFUNCTION("""COMPUTED_VALUE"""),44875.0)</f>
        <v>44875</v>
      </c>
      <c r="C220" s="13">
        <f>IFERROR(__xludf.DUMMYFUNCTION("""COMPUTED_VALUE"""),0.125)</f>
        <v>0.125</v>
      </c>
      <c r="D220" s="8">
        <f>IFERROR(__xludf.DUMMYFUNCTION("""COMPUTED_VALUE"""),0.0)</f>
        <v>0</v>
      </c>
      <c r="E220" s="8" t="str">
        <f>IFERROR(__xludf.DUMMYFUNCTION("""COMPUTED_VALUE"""),"Real")</f>
        <v>Real</v>
      </c>
      <c r="G220" s="8">
        <f t="shared" si="1"/>
        <v>11</v>
      </c>
      <c r="H220" s="14">
        <f t="shared" si="2"/>
        <v>10</v>
      </c>
      <c r="I220" s="15">
        <f t="shared" si="3"/>
        <v>3</v>
      </c>
    </row>
    <row r="221">
      <c r="A221" s="8" t="str">
        <f>IFERROR(__xludf.DUMMYFUNCTION("IF('(INGESTA)Datos_consumo_datadis'!A221&lt;&gt;"""",SPLIT('(INGESTA)Datos_consumo_datadis'!A:A,"",""),"""")"),"ES0031408323131005HX0F")</f>
        <v>ES0031408323131005HX0F</v>
      </c>
      <c r="B221" s="17">
        <f>IFERROR(__xludf.DUMMYFUNCTION("""COMPUTED_VALUE"""),44875.0)</f>
        <v>44875</v>
      </c>
      <c r="C221" s="13">
        <f>IFERROR(__xludf.DUMMYFUNCTION("""COMPUTED_VALUE"""),0.16666666666666666)</f>
        <v>0.1666666667</v>
      </c>
      <c r="D221" s="8">
        <f>IFERROR(__xludf.DUMMYFUNCTION("""COMPUTED_VALUE"""),0.0)</f>
        <v>0</v>
      </c>
      <c r="E221" s="8" t="str">
        <f>IFERROR(__xludf.DUMMYFUNCTION("""COMPUTED_VALUE"""),"Real")</f>
        <v>Real</v>
      </c>
      <c r="G221" s="8">
        <f t="shared" si="1"/>
        <v>11</v>
      </c>
      <c r="H221" s="14">
        <f t="shared" si="2"/>
        <v>10</v>
      </c>
      <c r="I221" s="15">
        <f t="shared" si="3"/>
        <v>4</v>
      </c>
    </row>
    <row r="222">
      <c r="A222" s="8" t="str">
        <f>IFERROR(__xludf.DUMMYFUNCTION("IF('(INGESTA)Datos_consumo_datadis'!A222&lt;&gt;"""",SPLIT('(INGESTA)Datos_consumo_datadis'!A:A,"",""),"""")"),"ES0031408323131005HX0F")</f>
        <v>ES0031408323131005HX0F</v>
      </c>
      <c r="B222" s="17">
        <f>IFERROR(__xludf.DUMMYFUNCTION("""COMPUTED_VALUE"""),44875.0)</f>
        <v>44875</v>
      </c>
      <c r="C222" s="13">
        <f>IFERROR(__xludf.DUMMYFUNCTION("""COMPUTED_VALUE"""),0.20833333333333334)</f>
        <v>0.2083333333</v>
      </c>
      <c r="D222" s="8">
        <f>IFERROR(__xludf.DUMMYFUNCTION("""COMPUTED_VALUE"""),0.0)</f>
        <v>0</v>
      </c>
      <c r="E222" s="8" t="str">
        <f>IFERROR(__xludf.DUMMYFUNCTION("""COMPUTED_VALUE"""),"Real")</f>
        <v>Real</v>
      </c>
      <c r="G222" s="8">
        <f t="shared" si="1"/>
        <v>11</v>
      </c>
      <c r="H222" s="14">
        <f t="shared" si="2"/>
        <v>10</v>
      </c>
      <c r="I222" s="15">
        <f t="shared" si="3"/>
        <v>5</v>
      </c>
    </row>
    <row r="223">
      <c r="A223" s="8" t="str">
        <f>IFERROR(__xludf.DUMMYFUNCTION("IF('(INGESTA)Datos_consumo_datadis'!A223&lt;&gt;"""",SPLIT('(INGESTA)Datos_consumo_datadis'!A:A,"",""),"""")"),"ES0031408323131005HX0F")</f>
        <v>ES0031408323131005HX0F</v>
      </c>
      <c r="B223" s="17">
        <f>IFERROR(__xludf.DUMMYFUNCTION("""COMPUTED_VALUE"""),44875.0)</f>
        <v>44875</v>
      </c>
      <c r="C223" s="13">
        <f>IFERROR(__xludf.DUMMYFUNCTION("""COMPUTED_VALUE"""),0.25)</f>
        <v>0.25</v>
      </c>
      <c r="D223" s="8">
        <f>IFERROR(__xludf.DUMMYFUNCTION("""COMPUTED_VALUE"""),0.0)</f>
        <v>0</v>
      </c>
      <c r="E223" s="8" t="str">
        <f>IFERROR(__xludf.DUMMYFUNCTION("""COMPUTED_VALUE"""),"Real")</f>
        <v>Real</v>
      </c>
      <c r="G223" s="8">
        <f t="shared" si="1"/>
        <v>11</v>
      </c>
      <c r="H223" s="14">
        <f t="shared" si="2"/>
        <v>10</v>
      </c>
      <c r="I223" s="15">
        <f t="shared" si="3"/>
        <v>6</v>
      </c>
    </row>
    <row r="224">
      <c r="A224" s="8" t="str">
        <f>IFERROR(__xludf.DUMMYFUNCTION("IF('(INGESTA)Datos_consumo_datadis'!A224&lt;&gt;"""",SPLIT('(INGESTA)Datos_consumo_datadis'!A:A,"",""),"""")"),"ES0031408323131005HX0F")</f>
        <v>ES0031408323131005HX0F</v>
      </c>
      <c r="B224" s="17">
        <f>IFERROR(__xludf.DUMMYFUNCTION("""COMPUTED_VALUE"""),44875.0)</f>
        <v>44875</v>
      </c>
      <c r="C224" s="13">
        <f>IFERROR(__xludf.DUMMYFUNCTION("""COMPUTED_VALUE"""),0.2916666666666667)</f>
        <v>0.2916666667</v>
      </c>
      <c r="D224" s="8">
        <f>IFERROR(__xludf.DUMMYFUNCTION("""COMPUTED_VALUE"""),0.0)</f>
        <v>0</v>
      </c>
      <c r="E224" s="8" t="str">
        <f>IFERROR(__xludf.DUMMYFUNCTION("""COMPUTED_VALUE"""),"Real")</f>
        <v>Real</v>
      </c>
      <c r="G224" s="8">
        <f t="shared" si="1"/>
        <v>11</v>
      </c>
      <c r="H224" s="14">
        <f t="shared" si="2"/>
        <v>10</v>
      </c>
      <c r="I224" s="15">
        <f t="shared" si="3"/>
        <v>7</v>
      </c>
    </row>
    <row r="225">
      <c r="A225" s="8" t="str">
        <f>IFERROR(__xludf.DUMMYFUNCTION("IF('(INGESTA)Datos_consumo_datadis'!A225&lt;&gt;"""",SPLIT('(INGESTA)Datos_consumo_datadis'!A:A,"",""),"""")"),"ES0031408323131005HX0F")</f>
        <v>ES0031408323131005HX0F</v>
      </c>
      <c r="B225" s="17">
        <f>IFERROR(__xludf.DUMMYFUNCTION("""COMPUTED_VALUE"""),44875.0)</f>
        <v>44875</v>
      </c>
      <c r="C225" s="13">
        <f>IFERROR(__xludf.DUMMYFUNCTION("""COMPUTED_VALUE"""),0.3333333333333333)</f>
        <v>0.3333333333</v>
      </c>
      <c r="D225" s="8">
        <f>IFERROR(__xludf.DUMMYFUNCTION("""COMPUTED_VALUE"""),0.0)</f>
        <v>0</v>
      </c>
      <c r="E225" s="8" t="str">
        <f>IFERROR(__xludf.DUMMYFUNCTION("""COMPUTED_VALUE"""),"Real")</f>
        <v>Real</v>
      </c>
      <c r="G225" s="8">
        <f t="shared" si="1"/>
        <v>11</v>
      </c>
      <c r="H225" s="14">
        <f t="shared" si="2"/>
        <v>10</v>
      </c>
      <c r="I225" s="15">
        <f t="shared" si="3"/>
        <v>8</v>
      </c>
    </row>
    <row r="226">
      <c r="A226" s="8" t="str">
        <f>IFERROR(__xludf.DUMMYFUNCTION("IF('(INGESTA)Datos_consumo_datadis'!A226&lt;&gt;"""",SPLIT('(INGESTA)Datos_consumo_datadis'!A:A,"",""),"""")"),"ES0031408323131005HX0F")</f>
        <v>ES0031408323131005HX0F</v>
      </c>
      <c r="B226" s="17">
        <f>IFERROR(__xludf.DUMMYFUNCTION("""COMPUTED_VALUE"""),44875.0)</f>
        <v>44875</v>
      </c>
      <c r="C226" s="13">
        <f>IFERROR(__xludf.DUMMYFUNCTION("""COMPUTED_VALUE"""),0.375)</f>
        <v>0.375</v>
      </c>
      <c r="D226" s="8">
        <f>IFERROR(__xludf.DUMMYFUNCTION("""COMPUTED_VALUE"""),0.0)</f>
        <v>0</v>
      </c>
      <c r="E226" s="8" t="str">
        <f>IFERROR(__xludf.DUMMYFUNCTION("""COMPUTED_VALUE"""),"Real")</f>
        <v>Real</v>
      </c>
      <c r="G226" s="8">
        <f t="shared" si="1"/>
        <v>11</v>
      </c>
      <c r="H226" s="14">
        <f t="shared" si="2"/>
        <v>10</v>
      </c>
      <c r="I226" s="15">
        <f t="shared" si="3"/>
        <v>9</v>
      </c>
    </row>
    <row r="227">
      <c r="A227" s="8" t="str">
        <f>IFERROR(__xludf.DUMMYFUNCTION("IF('(INGESTA)Datos_consumo_datadis'!A227&lt;&gt;"""",SPLIT('(INGESTA)Datos_consumo_datadis'!A:A,"",""),"""")"),"ES0031408323131005HX0F")</f>
        <v>ES0031408323131005HX0F</v>
      </c>
      <c r="B227" s="17">
        <f>IFERROR(__xludf.DUMMYFUNCTION("""COMPUTED_VALUE"""),44875.0)</f>
        <v>44875</v>
      </c>
      <c r="C227" s="13">
        <f>IFERROR(__xludf.DUMMYFUNCTION("""COMPUTED_VALUE"""),0.4166666666666667)</f>
        <v>0.4166666667</v>
      </c>
      <c r="D227" s="8">
        <f>IFERROR(__xludf.DUMMYFUNCTION("""COMPUTED_VALUE"""),0.0)</f>
        <v>0</v>
      </c>
      <c r="E227" s="8" t="str">
        <f>IFERROR(__xludf.DUMMYFUNCTION("""COMPUTED_VALUE"""),"Real")</f>
        <v>Real</v>
      </c>
      <c r="G227" s="8">
        <f t="shared" si="1"/>
        <v>11</v>
      </c>
      <c r="H227" s="14">
        <f t="shared" si="2"/>
        <v>10</v>
      </c>
      <c r="I227" s="15">
        <f t="shared" si="3"/>
        <v>10</v>
      </c>
    </row>
    <row r="228">
      <c r="A228" s="8" t="str">
        <f>IFERROR(__xludf.DUMMYFUNCTION("IF('(INGESTA)Datos_consumo_datadis'!A228&lt;&gt;"""",SPLIT('(INGESTA)Datos_consumo_datadis'!A:A,"",""),"""")"),"ES0031408323131005HX0F")</f>
        <v>ES0031408323131005HX0F</v>
      </c>
      <c r="B228" s="17">
        <f>IFERROR(__xludf.DUMMYFUNCTION("""COMPUTED_VALUE"""),44875.0)</f>
        <v>44875</v>
      </c>
      <c r="C228" s="13">
        <f>IFERROR(__xludf.DUMMYFUNCTION("""COMPUTED_VALUE"""),0.4583333333333333)</f>
        <v>0.4583333333</v>
      </c>
      <c r="D228" s="8">
        <f>IFERROR(__xludf.DUMMYFUNCTION("""COMPUTED_VALUE"""),0.0)</f>
        <v>0</v>
      </c>
      <c r="E228" s="8" t="str">
        <f>IFERROR(__xludf.DUMMYFUNCTION("""COMPUTED_VALUE"""),"Real")</f>
        <v>Real</v>
      </c>
      <c r="G228" s="8">
        <f t="shared" si="1"/>
        <v>11</v>
      </c>
      <c r="H228" s="14">
        <f t="shared" si="2"/>
        <v>10</v>
      </c>
      <c r="I228" s="15">
        <f t="shared" si="3"/>
        <v>11</v>
      </c>
    </row>
    <row r="229">
      <c r="A229" s="8" t="str">
        <f>IFERROR(__xludf.DUMMYFUNCTION("IF('(INGESTA)Datos_consumo_datadis'!A229&lt;&gt;"""",SPLIT('(INGESTA)Datos_consumo_datadis'!A:A,"",""),"""")"),"ES0031408323131005HX0F")</f>
        <v>ES0031408323131005HX0F</v>
      </c>
      <c r="B229" s="17">
        <f>IFERROR(__xludf.DUMMYFUNCTION("""COMPUTED_VALUE"""),44875.0)</f>
        <v>44875</v>
      </c>
      <c r="C229" s="13">
        <f>IFERROR(__xludf.DUMMYFUNCTION("""COMPUTED_VALUE"""),0.5)</f>
        <v>0.5</v>
      </c>
      <c r="D229" s="8">
        <f>IFERROR(__xludf.DUMMYFUNCTION("""COMPUTED_VALUE"""),0.0)</f>
        <v>0</v>
      </c>
      <c r="E229" s="8" t="str">
        <f>IFERROR(__xludf.DUMMYFUNCTION("""COMPUTED_VALUE"""),"Real")</f>
        <v>Real</v>
      </c>
      <c r="G229" s="8">
        <f t="shared" si="1"/>
        <v>11</v>
      </c>
      <c r="H229" s="14">
        <f t="shared" si="2"/>
        <v>10</v>
      </c>
      <c r="I229" s="15">
        <f t="shared" si="3"/>
        <v>12</v>
      </c>
    </row>
    <row r="230">
      <c r="A230" s="8" t="str">
        <f>IFERROR(__xludf.DUMMYFUNCTION("IF('(INGESTA)Datos_consumo_datadis'!A230&lt;&gt;"""",SPLIT('(INGESTA)Datos_consumo_datadis'!A:A,"",""),"""")"),"ES0031408323131005HX0F")</f>
        <v>ES0031408323131005HX0F</v>
      </c>
      <c r="B230" s="17">
        <f>IFERROR(__xludf.DUMMYFUNCTION("""COMPUTED_VALUE"""),44875.0)</f>
        <v>44875</v>
      </c>
      <c r="C230" s="13">
        <f>IFERROR(__xludf.DUMMYFUNCTION("""COMPUTED_VALUE"""),0.5416666666666666)</f>
        <v>0.5416666667</v>
      </c>
      <c r="D230" s="8">
        <f>IFERROR(__xludf.DUMMYFUNCTION("""COMPUTED_VALUE"""),0.0)</f>
        <v>0</v>
      </c>
      <c r="E230" s="8" t="str">
        <f>IFERROR(__xludf.DUMMYFUNCTION("""COMPUTED_VALUE"""),"Real")</f>
        <v>Real</v>
      </c>
      <c r="G230" s="8">
        <f t="shared" si="1"/>
        <v>11</v>
      </c>
      <c r="H230" s="14">
        <f t="shared" si="2"/>
        <v>10</v>
      </c>
      <c r="I230" s="15">
        <f t="shared" si="3"/>
        <v>13</v>
      </c>
    </row>
    <row r="231">
      <c r="A231" s="8" t="str">
        <f>IFERROR(__xludf.DUMMYFUNCTION("IF('(INGESTA)Datos_consumo_datadis'!A231&lt;&gt;"""",SPLIT('(INGESTA)Datos_consumo_datadis'!A:A,"",""),"""")"),"ES0031408323131005HX0F")</f>
        <v>ES0031408323131005HX0F</v>
      </c>
      <c r="B231" s="17">
        <f>IFERROR(__xludf.DUMMYFUNCTION("""COMPUTED_VALUE"""),44875.0)</f>
        <v>44875</v>
      </c>
      <c r="C231" s="13">
        <f>IFERROR(__xludf.DUMMYFUNCTION("""COMPUTED_VALUE"""),0.5833333333333334)</f>
        <v>0.5833333333</v>
      </c>
      <c r="D231" s="8">
        <f>IFERROR(__xludf.DUMMYFUNCTION("""COMPUTED_VALUE"""),0.0)</f>
        <v>0</v>
      </c>
      <c r="E231" s="8" t="str">
        <f>IFERROR(__xludf.DUMMYFUNCTION("""COMPUTED_VALUE"""),"Real")</f>
        <v>Real</v>
      </c>
      <c r="G231" s="8">
        <f t="shared" si="1"/>
        <v>11</v>
      </c>
      <c r="H231" s="14">
        <f t="shared" si="2"/>
        <v>10</v>
      </c>
      <c r="I231" s="15">
        <f t="shared" si="3"/>
        <v>14</v>
      </c>
    </row>
    <row r="232">
      <c r="A232" s="8" t="str">
        <f>IFERROR(__xludf.DUMMYFUNCTION("IF('(INGESTA)Datos_consumo_datadis'!A232&lt;&gt;"""",SPLIT('(INGESTA)Datos_consumo_datadis'!A:A,"",""),"""")"),"ES0031408323131005HX0F")</f>
        <v>ES0031408323131005HX0F</v>
      </c>
      <c r="B232" s="17">
        <f>IFERROR(__xludf.DUMMYFUNCTION("""COMPUTED_VALUE"""),44875.0)</f>
        <v>44875</v>
      </c>
      <c r="C232" s="13">
        <f>IFERROR(__xludf.DUMMYFUNCTION("""COMPUTED_VALUE"""),0.625)</f>
        <v>0.625</v>
      </c>
      <c r="D232" s="8">
        <f>IFERROR(__xludf.DUMMYFUNCTION("""COMPUTED_VALUE"""),0.0)</f>
        <v>0</v>
      </c>
      <c r="E232" s="8" t="str">
        <f>IFERROR(__xludf.DUMMYFUNCTION("""COMPUTED_VALUE"""),"Real")</f>
        <v>Real</v>
      </c>
      <c r="G232" s="8">
        <f t="shared" si="1"/>
        <v>11</v>
      </c>
      <c r="H232" s="14">
        <f t="shared" si="2"/>
        <v>10</v>
      </c>
      <c r="I232" s="15">
        <f t="shared" si="3"/>
        <v>15</v>
      </c>
    </row>
    <row r="233">
      <c r="A233" s="8" t="str">
        <f>IFERROR(__xludf.DUMMYFUNCTION("IF('(INGESTA)Datos_consumo_datadis'!A233&lt;&gt;"""",SPLIT('(INGESTA)Datos_consumo_datadis'!A:A,"",""),"""")"),"ES0031408323131005HX0F")</f>
        <v>ES0031408323131005HX0F</v>
      </c>
      <c r="B233" s="17">
        <f>IFERROR(__xludf.DUMMYFUNCTION("""COMPUTED_VALUE"""),44875.0)</f>
        <v>44875</v>
      </c>
      <c r="C233" s="13">
        <f>IFERROR(__xludf.DUMMYFUNCTION("""COMPUTED_VALUE"""),0.6666666666666666)</f>
        <v>0.6666666667</v>
      </c>
      <c r="D233" s="8">
        <f>IFERROR(__xludf.DUMMYFUNCTION("""COMPUTED_VALUE"""),0.0)</f>
        <v>0</v>
      </c>
      <c r="E233" s="8" t="str">
        <f>IFERROR(__xludf.DUMMYFUNCTION("""COMPUTED_VALUE"""),"Real")</f>
        <v>Real</v>
      </c>
      <c r="G233" s="8">
        <f t="shared" si="1"/>
        <v>11</v>
      </c>
      <c r="H233" s="14">
        <f t="shared" si="2"/>
        <v>10</v>
      </c>
      <c r="I233" s="15">
        <f t="shared" si="3"/>
        <v>16</v>
      </c>
    </row>
    <row r="234">
      <c r="A234" s="8" t="str">
        <f>IFERROR(__xludf.DUMMYFUNCTION("IF('(INGESTA)Datos_consumo_datadis'!A234&lt;&gt;"""",SPLIT('(INGESTA)Datos_consumo_datadis'!A:A,"",""),"""")"),"ES0031408323131005HX0F")</f>
        <v>ES0031408323131005HX0F</v>
      </c>
      <c r="B234" s="17">
        <f>IFERROR(__xludf.DUMMYFUNCTION("""COMPUTED_VALUE"""),44875.0)</f>
        <v>44875</v>
      </c>
      <c r="C234" s="13">
        <f>IFERROR(__xludf.DUMMYFUNCTION("""COMPUTED_VALUE"""),0.7083333333333334)</f>
        <v>0.7083333333</v>
      </c>
      <c r="D234" s="8">
        <f>IFERROR(__xludf.DUMMYFUNCTION("""COMPUTED_VALUE"""),0.0)</f>
        <v>0</v>
      </c>
      <c r="E234" s="8" t="str">
        <f>IFERROR(__xludf.DUMMYFUNCTION("""COMPUTED_VALUE"""),"Real")</f>
        <v>Real</v>
      </c>
      <c r="G234" s="8">
        <f t="shared" si="1"/>
        <v>11</v>
      </c>
      <c r="H234" s="14">
        <f t="shared" si="2"/>
        <v>10</v>
      </c>
      <c r="I234" s="15">
        <f t="shared" si="3"/>
        <v>17</v>
      </c>
    </row>
    <row r="235">
      <c r="A235" s="8" t="str">
        <f>IFERROR(__xludf.DUMMYFUNCTION("IF('(INGESTA)Datos_consumo_datadis'!A235&lt;&gt;"""",SPLIT('(INGESTA)Datos_consumo_datadis'!A:A,"",""),"""")"),"ES0031408323131005HX0F")</f>
        <v>ES0031408323131005HX0F</v>
      </c>
      <c r="B235" s="17">
        <f>IFERROR(__xludf.DUMMYFUNCTION("""COMPUTED_VALUE"""),44875.0)</f>
        <v>44875</v>
      </c>
      <c r="C235" s="13">
        <f>IFERROR(__xludf.DUMMYFUNCTION("""COMPUTED_VALUE"""),0.75)</f>
        <v>0.75</v>
      </c>
      <c r="D235" s="8">
        <f>IFERROR(__xludf.DUMMYFUNCTION("""COMPUTED_VALUE"""),0.0)</f>
        <v>0</v>
      </c>
      <c r="E235" s="8" t="str">
        <f>IFERROR(__xludf.DUMMYFUNCTION("""COMPUTED_VALUE"""),"Real")</f>
        <v>Real</v>
      </c>
      <c r="G235" s="8">
        <f t="shared" si="1"/>
        <v>11</v>
      </c>
      <c r="H235" s="14">
        <f t="shared" si="2"/>
        <v>10</v>
      </c>
      <c r="I235" s="15">
        <f t="shared" si="3"/>
        <v>18</v>
      </c>
    </row>
    <row r="236">
      <c r="A236" s="8" t="str">
        <f>IFERROR(__xludf.DUMMYFUNCTION("IF('(INGESTA)Datos_consumo_datadis'!A236&lt;&gt;"""",SPLIT('(INGESTA)Datos_consumo_datadis'!A:A,"",""),"""")"),"ES0031408323131005HX0F")</f>
        <v>ES0031408323131005HX0F</v>
      </c>
      <c r="B236" s="17">
        <f>IFERROR(__xludf.DUMMYFUNCTION("""COMPUTED_VALUE"""),44875.0)</f>
        <v>44875</v>
      </c>
      <c r="C236" s="13">
        <f>IFERROR(__xludf.DUMMYFUNCTION("""COMPUTED_VALUE"""),0.7916666666666666)</f>
        <v>0.7916666667</v>
      </c>
      <c r="D236" s="8">
        <f>IFERROR(__xludf.DUMMYFUNCTION("""COMPUTED_VALUE"""),0.0)</f>
        <v>0</v>
      </c>
      <c r="E236" s="8" t="str">
        <f>IFERROR(__xludf.DUMMYFUNCTION("""COMPUTED_VALUE"""),"Real")</f>
        <v>Real</v>
      </c>
      <c r="G236" s="8">
        <f t="shared" si="1"/>
        <v>11</v>
      </c>
      <c r="H236" s="14">
        <f t="shared" si="2"/>
        <v>10</v>
      </c>
      <c r="I236" s="15">
        <f t="shared" si="3"/>
        <v>19</v>
      </c>
    </row>
    <row r="237">
      <c r="A237" s="8" t="str">
        <f>IFERROR(__xludf.DUMMYFUNCTION("IF('(INGESTA)Datos_consumo_datadis'!A237&lt;&gt;"""",SPLIT('(INGESTA)Datos_consumo_datadis'!A:A,"",""),"""")"),"ES0031408323131005HX0F")</f>
        <v>ES0031408323131005HX0F</v>
      </c>
      <c r="B237" s="17">
        <f>IFERROR(__xludf.DUMMYFUNCTION("""COMPUTED_VALUE"""),44875.0)</f>
        <v>44875</v>
      </c>
      <c r="C237" s="13">
        <f>IFERROR(__xludf.DUMMYFUNCTION("""COMPUTED_VALUE"""),0.8333333333333334)</f>
        <v>0.8333333333</v>
      </c>
      <c r="D237" s="8">
        <f>IFERROR(__xludf.DUMMYFUNCTION("""COMPUTED_VALUE"""),0.0)</f>
        <v>0</v>
      </c>
      <c r="E237" s="8" t="str">
        <f>IFERROR(__xludf.DUMMYFUNCTION("""COMPUTED_VALUE"""),"Real")</f>
        <v>Real</v>
      </c>
      <c r="G237" s="8">
        <f t="shared" si="1"/>
        <v>11</v>
      </c>
      <c r="H237" s="14">
        <f t="shared" si="2"/>
        <v>10</v>
      </c>
      <c r="I237" s="15">
        <f t="shared" si="3"/>
        <v>20</v>
      </c>
    </row>
    <row r="238">
      <c r="A238" s="8" t="str">
        <f>IFERROR(__xludf.DUMMYFUNCTION("IF('(INGESTA)Datos_consumo_datadis'!A238&lt;&gt;"""",SPLIT('(INGESTA)Datos_consumo_datadis'!A:A,"",""),"""")"),"ES0031408323131005HX0F")</f>
        <v>ES0031408323131005HX0F</v>
      </c>
      <c r="B238" s="17">
        <f>IFERROR(__xludf.DUMMYFUNCTION("""COMPUTED_VALUE"""),44875.0)</f>
        <v>44875</v>
      </c>
      <c r="C238" s="13">
        <f>IFERROR(__xludf.DUMMYFUNCTION("""COMPUTED_VALUE"""),0.875)</f>
        <v>0.875</v>
      </c>
      <c r="D238" s="8">
        <f>IFERROR(__xludf.DUMMYFUNCTION("""COMPUTED_VALUE"""),0.0)</f>
        <v>0</v>
      </c>
      <c r="E238" s="8" t="str">
        <f>IFERROR(__xludf.DUMMYFUNCTION("""COMPUTED_VALUE"""),"Real")</f>
        <v>Real</v>
      </c>
      <c r="G238" s="8">
        <f t="shared" si="1"/>
        <v>11</v>
      </c>
      <c r="H238" s="14">
        <f t="shared" si="2"/>
        <v>10</v>
      </c>
      <c r="I238" s="15">
        <f t="shared" si="3"/>
        <v>21</v>
      </c>
    </row>
    <row r="239">
      <c r="A239" s="8" t="str">
        <f>IFERROR(__xludf.DUMMYFUNCTION("IF('(INGESTA)Datos_consumo_datadis'!A239&lt;&gt;"""",SPLIT('(INGESTA)Datos_consumo_datadis'!A:A,"",""),"""")"),"ES0031408323131005HX0F")</f>
        <v>ES0031408323131005HX0F</v>
      </c>
      <c r="B239" s="17">
        <f>IFERROR(__xludf.DUMMYFUNCTION("""COMPUTED_VALUE"""),44875.0)</f>
        <v>44875</v>
      </c>
      <c r="C239" s="13">
        <f>IFERROR(__xludf.DUMMYFUNCTION("""COMPUTED_VALUE"""),0.9166666666666666)</f>
        <v>0.9166666667</v>
      </c>
      <c r="D239" s="8">
        <f>IFERROR(__xludf.DUMMYFUNCTION("""COMPUTED_VALUE"""),0.0)</f>
        <v>0</v>
      </c>
      <c r="E239" s="8" t="str">
        <f>IFERROR(__xludf.DUMMYFUNCTION("""COMPUTED_VALUE"""),"Real")</f>
        <v>Real</v>
      </c>
      <c r="G239" s="8">
        <f t="shared" si="1"/>
        <v>11</v>
      </c>
      <c r="H239" s="14">
        <f t="shared" si="2"/>
        <v>10</v>
      </c>
      <c r="I239" s="15">
        <f t="shared" si="3"/>
        <v>22</v>
      </c>
    </row>
    <row r="240">
      <c r="A240" s="8" t="str">
        <f>IFERROR(__xludf.DUMMYFUNCTION("IF('(INGESTA)Datos_consumo_datadis'!A240&lt;&gt;"""",SPLIT('(INGESTA)Datos_consumo_datadis'!A:A,"",""),"""")"),"ES0031408323131005HX0F")</f>
        <v>ES0031408323131005HX0F</v>
      </c>
      <c r="B240" s="17">
        <f>IFERROR(__xludf.DUMMYFUNCTION("""COMPUTED_VALUE"""),44875.0)</f>
        <v>44875</v>
      </c>
      <c r="C240" s="13">
        <f>IFERROR(__xludf.DUMMYFUNCTION("""COMPUTED_VALUE"""),0.9583333333333334)</f>
        <v>0.9583333333</v>
      </c>
      <c r="D240" s="8">
        <f>IFERROR(__xludf.DUMMYFUNCTION("""COMPUTED_VALUE"""),0.0)</f>
        <v>0</v>
      </c>
      <c r="E240" s="8" t="str">
        <f>IFERROR(__xludf.DUMMYFUNCTION("""COMPUTED_VALUE"""),"Real")</f>
        <v>Real</v>
      </c>
      <c r="G240" s="8">
        <f t="shared" si="1"/>
        <v>11</v>
      </c>
      <c r="H240" s="14">
        <f t="shared" si="2"/>
        <v>10</v>
      </c>
      <c r="I240" s="15">
        <f t="shared" si="3"/>
        <v>23</v>
      </c>
    </row>
    <row r="241">
      <c r="A241" s="8" t="str">
        <f>IFERROR(__xludf.DUMMYFUNCTION("IF('(INGESTA)Datos_consumo_datadis'!A241&lt;&gt;"""",SPLIT('(INGESTA)Datos_consumo_datadis'!A:A,"",""),"""")"),"ES0031408323131005HX0F")</f>
        <v>ES0031408323131005HX0F</v>
      </c>
      <c r="B241" s="17">
        <f>IFERROR(__xludf.DUMMYFUNCTION("""COMPUTED_VALUE"""),44875.0)</f>
        <v>44875</v>
      </c>
      <c r="C241" s="16">
        <f>IFERROR(__xludf.DUMMYFUNCTION("""COMPUTED_VALUE"""),1.0)</f>
        <v>1</v>
      </c>
      <c r="D241" s="8">
        <f>IFERROR(__xludf.DUMMYFUNCTION("""COMPUTED_VALUE"""),0.0)</f>
        <v>0</v>
      </c>
      <c r="E241" s="8" t="str">
        <f>IFERROR(__xludf.DUMMYFUNCTION("""COMPUTED_VALUE"""),"Real")</f>
        <v>Real</v>
      </c>
      <c r="G241" s="8">
        <f t="shared" si="1"/>
        <v>11</v>
      </c>
      <c r="H241" s="14">
        <f t="shared" si="2"/>
        <v>10</v>
      </c>
      <c r="I241" s="15">
        <f t="shared" si="3"/>
        <v>0</v>
      </c>
    </row>
    <row r="242">
      <c r="A242" s="8" t="str">
        <f>IFERROR(__xludf.DUMMYFUNCTION("IF('(INGESTA)Datos_consumo_datadis'!A242&lt;&gt;"""",SPLIT('(INGESTA)Datos_consumo_datadis'!A:A,"",""),"""")"),"ES0031408323131005HX0F")</f>
        <v>ES0031408323131005HX0F</v>
      </c>
      <c r="B242" s="17">
        <f>IFERROR(__xludf.DUMMYFUNCTION("""COMPUTED_VALUE"""),44876.0)</f>
        <v>44876</v>
      </c>
      <c r="C242" s="13">
        <f>IFERROR(__xludf.DUMMYFUNCTION("""COMPUTED_VALUE"""),0.041666666666666664)</f>
        <v>0.04166666667</v>
      </c>
      <c r="D242" s="8">
        <f>IFERROR(__xludf.DUMMYFUNCTION("""COMPUTED_VALUE"""),0.0)</f>
        <v>0</v>
      </c>
      <c r="E242" s="8" t="str">
        <f>IFERROR(__xludf.DUMMYFUNCTION("""COMPUTED_VALUE"""),"Real")</f>
        <v>Real</v>
      </c>
      <c r="G242" s="8">
        <f t="shared" si="1"/>
        <v>11</v>
      </c>
      <c r="H242" s="14">
        <f t="shared" si="2"/>
        <v>11</v>
      </c>
      <c r="I242" s="15">
        <f t="shared" si="3"/>
        <v>1</v>
      </c>
    </row>
    <row r="243">
      <c r="A243" s="8" t="str">
        <f>IFERROR(__xludf.DUMMYFUNCTION("IF('(INGESTA)Datos_consumo_datadis'!A243&lt;&gt;"""",SPLIT('(INGESTA)Datos_consumo_datadis'!A:A,"",""),"""")"),"ES0031408323131005HX0F")</f>
        <v>ES0031408323131005HX0F</v>
      </c>
      <c r="B243" s="17">
        <f>IFERROR(__xludf.DUMMYFUNCTION("""COMPUTED_VALUE"""),44876.0)</f>
        <v>44876</v>
      </c>
      <c r="C243" s="13">
        <f>IFERROR(__xludf.DUMMYFUNCTION("""COMPUTED_VALUE"""),0.08333333333333333)</f>
        <v>0.08333333333</v>
      </c>
      <c r="D243" s="8">
        <f>IFERROR(__xludf.DUMMYFUNCTION("""COMPUTED_VALUE"""),0.0)</f>
        <v>0</v>
      </c>
      <c r="E243" s="8" t="str">
        <f>IFERROR(__xludf.DUMMYFUNCTION("""COMPUTED_VALUE"""),"Real")</f>
        <v>Real</v>
      </c>
      <c r="G243" s="8">
        <f t="shared" si="1"/>
        <v>11</v>
      </c>
      <c r="H243" s="14">
        <f t="shared" si="2"/>
        <v>11</v>
      </c>
      <c r="I243" s="15">
        <f t="shared" si="3"/>
        <v>2</v>
      </c>
    </row>
    <row r="244">
      <c r="A244" s="8" t="str">
        <f>IFERROR(__xludf.DUMMYFUNCTION("IF('(INGESTA)Datos_consumo_datadis'!A244&lt;&gt;"""",SPLIT('(INGESTA)Datos_consumo_datadis'!A:A,"",""),"""")"),"ES0031408323131005HX0F")</f>
        <v>ES0031408323131005HX0F</v>
      </c>
      <c r="B244" s="17">
        <f>IFERROR(__xludf.DUMMYFUNCTION("""COMPUTED_VALUE"""),44876.0)</f>
        <v>44876</v>
      </c>
      <c r="C244" s="13">
        <f>IFERROR(__xludf.DUMMYFUNCTION("""COMPUTED_VALUE"""),0.125)</f>
        <v>0.125</v>
      </c>
      <c r="D244" s="8">
        <f>IFERROR(__xludf.DUMMYFUNCTION("""COMPUTED_VALUE"""),0.0)</f>
        <v>0</v>
      </c>
      <c r="E244" s="8" t="str">
        <f>IFERROR(__xludf.DUMMYFUNCTION("""COMPUTED_VALUE"""),"Real")</f>
        <v>Real</v>
      </c>
      <c r="G244" s="8">
        <f t="shared" si="1"/>
        <v>11</v>
      </c>
      <c r="H244" s="14">
        <f t="shared" si="2"/>
        <v>11</v>
      </c>
      <c r="I244" s="15">
        <f t="shared" si="3"/>
        <v>3</v>
      </c>
    </row>
    <row r="245">
      <c r="A245" s="8" t="str">
        <f>IFERROR(__xludf.DUMMYFUNCTION("IF('(INGESTA)Datos_consumo_datadis'!A245&lt;&gt;"""",SPLIT('(INGESTA)Datos_consumo_datadis'!A:A,"",""),"""")"),"ES0031408323131005HX0F")</f>
        <v>ES0031408323131005HX0F</v>
      </c>
      <c r="B245" s="17">
        <f>IFERROR(__xludf.DUMMYFUNCTION("""COMPUTED_VALUE"""),44876.0)</f>
        <v>44876</v>
      </c>
      <c r="C245" s="13">
        <f>IFERROR(__xludf.DUMMYFUNCTION("""COMPUTED_VALUE"""),0.16666666666666666)</f>
        <v>0.1666666667</v>
      </c>
      <c r="D245" s="8">
        <f>IFERROR(__xludf.DUMMYFUNCTION("""COMPUTED_VALUE"""),0.0)</f>
        <v>0</v>
      </c>
      <c r="E245" s="8" t="str">
        <f>IFERROR(__xludf.DUMMYFUNCTION("""COMPUTED_VALUE"""),"Real")</f>
        <v>Real</v>
      </c>
      <c r="G245" s="8">
        <f t="shared" si="1"/>
        <v>11</v>
      </c>
      <c r="H245" s="14">
        <f t="shared" si="2"/>
        <v>11</v>
      </c>
      <c r="I245" s="15">
        <f t="shared" si="3"/>
        <v>4</v>
      </c>
    </row>
    <row r="246">
      <c r="A246" s="8" t="str">
        <f>IFERROR(__xludf.DUMMYFUNCTION("IF('(INGESTA)Datos_consumo_datadis'!A246&lt;&gt;"""",SPLIT('(INGESTA)Datos_consumo_datadis'!A:A,"",""),"""")"),"ES0031408323131005HX0F")</f>
        <v>ES0031408323131005HX0F</v>
      </c>
      <c r="B246" s="17">
        <f>IFERROR(__xludf.DUMMYFUNCTION("""COMPUTED_VALUE"""),44876.0)</f>
        <v>44876</v>
      </c>
      <c r="C246" s="13">
        <f>IFERROR(__xludf.DUMMYFUNCTION("""COMPUTED_VALUE"""),0.20833333333333334)</f>
        <v>0.2083333333</v>
      </c>
      <c r="D246" s="8">
        <f>IFERROR(__xludf.DUMMYFUNCTION("""COMPUTED_VALUE"""),0.0)</f>
        <v>0</v>
      </c>
      <c r="E246" s="8" t="str">
        <f>IFERROR(__xludf.DUMMYFUNCTION("""COMPUTED_VALUE"""),"Real")</f>
        <v>Real</v>
      </c>
      <c r="G246" s="8">
        <f t="shared" si="1"/>
        <v>11</v>
      </c>
      <c r="H246" s="14">
        <f t="shared" si="2"/>
        <v>11</v>
      </c>
      <c r="I246" s="15">
        <f t="shared" si="3"/>
        <v>5</v>
      </c>
    </row>
    <row r="247">
      <c r="A247" s="8" t="str">
        <f>IFERROR(__xludf.DUMMYFUNCTION("IF('(INGESTA)Datos_consumo_datadis'!A247&lt;&gt;"""",SPLIT('(INGESTA)Datos_consumo_datadis'!A:A,"",""),"""")"),"ES0031408323131005HX0F")</f>
        <v>ES0031408323131005HX0F</v>
      </c>
      <c r="B247" s="17">
        <f>IFERROR(__xludf.DUMMYFUNCTION("""COMPUTED_VALUE"""),44876.0)</f>
        <v>44876</v>
      </c>
      <c r="C247" s="13">
        <f>IFERROR(__xludf.DUMMYFUNCTION("""COMPUTED_VALUE"""),0.25)</f>
        <v>0.25</v>
      </c>
      <c r="D247" s="8">
        <f>IFERROR(__xludf.DUMMYFUNCTION("""COMPUTED_VALUE"""),0.0)</f>
        <v>0</v>
      </c>
      <c r="E247" s="8" t="str">
        <f>IFERROR(__xludf.DUMMYFUNCTION("""COMPUTED_VALUE"""),"Real")</f>
        <v>Real</v>
      </c>
      <c r="G247" s="8">
        <f t="shared" si="1"/>
        <v>11</v>
      </c>
      <c r="H247" s="14">
        <f t="shared" si="2"/>
        <v>11</v>
      </c>
      <c r="I247" s="15">
        <f t="shared" si="3"/>
        <v>6</v>
      </c>
    </row>
    <row r="248">
      <c r="A248" s="8" t="str">
        <f>IFERROR(__xludf.DUMMYFUNCTION("IF('(INGESTA)Datos_consumo_datadis'!A248&lt;&gt;"""",SPLIT('(INGESTA)Datos_consumo_datadis'!A:A,"",""),"""")"),"ES0031408323131005HX0F")</f>
        <v>ES0031408323131005HX0F</v>
      </c>
      <c r="B248" s="17">
        <f>IFERROR(__xludf.DUMMYFUNCTION("""COMPUTED_VALUE"""),44876.0)</f>
        <v>44876</v>
      </c>
      <c r="C248" s="13">
        <f>IFERROR(__xludf.DUMMYFUNCTION("""COMPUTED_VALUE"""),0.2916666666666667)</f>
        <v>0.2916666667</v>
      </c>
      <c r="D248" s="8">
        <f>IFERROR(__xludf.DUMMYFUNCTION("""COMPUTED_VALUE"""),0.0)</f>
        <v>0</v>
      </c>
      <c r="E248" s="8" t="str">
        <f>IFERROR(__xludf.DUMMYFUNCTION("""COMPUTED_VALUE"""),"Real")</f>
        <v>Real</v>
      </c>
      <c r="G248" s="8">
        <f t="shared" si="1"/>
        <v>11</v>
      </c>
      <c r="H248" s="14">
        <f t="shared" si="2"/>
        <v>11</v>
      </c>
      <c r="I248" s="15">
        <f t="shared" si="3"/>
        <v>7</v>
      </c>
    </row>
    <row r="249">
      <c r="A249" s="8" t="str">
        <f>IFERROR(__xludf.DUMMYFUNCTION("IF('(INGESTA)Datos_consumo_datadis'!A249&lt;&gt;"""",SPLIT('(INGESTA)Datos_consumo_datadis'!A:A,"",""),"""")"),"ES0031408323131005HX0F")</f>
        <v>ES0031408323131005HX0F</v>
      </c>
      <c r="B249" s="17">
        <f>IFERROR(__xludf.DUMMYFUNCTION("""COMPUTED_VALUE"""),44876.0)</f>
        <v>44876</v>
      </c>
      <c r="C249" s="13">
        <f>IFERROR(__xludf.DUMMYFUNCTION("""COMPUTED_VALUE"""),0.3333333333333333)</f>
        <v>0.3333333333</v>
      </c>
      <c r="D249" s="8">
        <f>IFERROR(__xludf.DUMMYFUNCTION("""COMPUTED_VALUE"""),0.0)</f>
        <v>0</v>
      </c>
      <c r="E249" s="8" t="str">
        <f>IFERROR(__xludf.DUMMYFUNCTION("""COMPUTED_VALUE"""),"Real")</f>
        <v>Real</v>
      </c>
      <c r="G249" s="8">
        <f t="shared" si="1"/>
        <v>11</v>
      </c>
      <c r="H249" s="14">
        <f t="shared" si="2"/>
        <v>11</v>
      </c>
      <c r="I249" s="15">
        <f t="shared" si="3"/>
        <v>8</v>
      </c>
    </row>
    <row r="250">
      <c r="A250" s="8" t="str">
        <f>IFERROR(__xludf.DUMMYFUNCTION("IF('(INGESTA)Datos_consumo_datadis'!A250&lt;&gt;"""",SPLIT('(INGESTA)Datos_consumo_datadis'!A:A,"",""),"""")"),"ES0031408323131005HX0F")</f>
        <v>ES0031408323131005HX0F</v>
      </c>
      <c r="B250" s="17">
        <f>IFERROR(__xludf.DUMMYFUNCTION("""COMPUTED_VALUE"""),44876.0)</f>
        <v>44876</v>
      </c>
      <c r="C250" s="13">
        <f>IFERROR(__xludf.DUMMYFUNCTION("""COMPUTED_VALUE"""),0.375)</f>
        <v>0.375</v>
      </c>
      <c r="D250" s="8">
        <f>IFERROR(__xludf.DUMMYFUNCTION("""COMPUTED_VALUE"""),0.0)</f>
        <v>0</v>
      </c>
      <c r="E250" s="8" t="str">
        <f>IFERROR(__xludf.DUMMYFUNCTION("""COMPUTED_VALUE"""),"Real")</f>
        <v>Real</v>
      </c>
      <c r="G250" s="8">
        <f t="shared" si="1"/>
        <v>11</v>
      </c>
      <c r="H250" s="14">
        <f t="shared" si="2"/>
        <v>11</v>
      </c>
      <c r="I250" s="15">
        <f t="shared" si="3"/>
        <v>9</v>
      </c>
    </row>
    <row r="251">
      <c r="A251" s="8" t="str">
        <f>IFERROR(__xludf.DUMMYFUNCTION("IF('(INGESTA)Datos_consumo_datadis'!A251&lt;&gt;"""",SPLIT('(INGESTA)Datos_consumo_datadis'!A:A,"",""),"""")"),"ES0031408323131005HX0F")</f>
        <v>ES0031408323131005HX0F</v>
      </c>
      <c r="B251" s="17">
        <f>IFERROR(__xludf.DUMMYFUNCTION("""COMPUTED_VALUE"""),44876.0)</f>
        <v>44876</v>
      </c>
      <c r="C251" s="13">
        <f>IFERROR(__xludf.DUMMYFUNCTION("""COMPUTED_VALUE"""),0.4166666666666667)</f>
        <v>0.4166666667</v>
      </c>
      <c r="D251" s="8">
        <f>IFERROR(__xludf.DUMMYFUNCTION("""COMPUTED_VALUE"""),0.0)</f>
        <v>0</v>
      </c>
      <c r="E251" s="8" t="str">
        <f>IFERROR(__xludf.DUMMYFUNCTION("""COMPUTED_VALUE"""),"Real")</f>
        <v>Real</v>
      </c>
      <c r="G251" s="8">
        <f t="shared" si="1"/>
        <v>11</v>
      </c>
      <c r="H251" s="14">
        <f t="shared" si="2"/>
        <v>11</v>
      </c>
      <c r="I251" s="15">
        <f t="shared" si="3"/>
        <v>10</v>
      </c>
    </row>
    <row r="252">
      <c r="A252" s="8" t="str">
        <f>IFERROR(__xludf.DUMMYFUNCTION("IF('(INGESTA)Datos_consumo_datadis'!A252&lt;&gt;"""",SPLIT('(INGESTA)Datos_consumo_datadis'!A:A,"",""),"""")"),"ES0031408323131005HX0F")</f>
        <v>ES0031408323131005HX0F</v>
      </c>
      <c r="B252" s="17">
        <f>IFERROR(__xludf.DUMMYFUNCTION("""COMPUTED_VALUE"""),44876.0)</f>
        <v>44876</v>
      </c>
      <c r="C252" s="13">
        <f>IFERROR(__xludf.DUMMYFUNCTION("""COMPUTED_VALUE"""),0.4583333333333333)</f>
        <v>0.4583333333</v>
      </c>
      <c r="D252" s="8">
        <f>IFERROR(__xludf.DUMMYFUNCTION("""COMPUTED_VALUE"""),0.0)</f>
        <v>0</v>
      </c>
      <c r="E252" s="8" t="str">
        <f>IFERROR(__xludf.DUMMYFUNCTION("""COMPUTED_VALUE"""),"Real")</f>
        <v>Real</v>
      </c>
      <c r="G252" s="8">
        <f t="shared" si="1"/>
        <v>11</v>
      </c>
      <c r="H252" s="14">
        <f t="shared" si="2"/>
        <v>11</v>
      </c>
      <c r="I252" s="15">
        <f t="shared" si="3"/>
        <v>11</v>
      </c>
    </row>
    <row r="253">
      <c r="A253" s="8" t="str">
        <f>IFERROR(__xludf.DUMMYFUNCTION("IF('(INGESTA)Datos_consumo_datadis'!A253&lt;&gt;"""",SPLIT('(INGESTA)Datos_consumo_datadis'!A:A,"",""),"""")"),"ES0031408323131005HX0F")</f>
        <v>ES0031408323131005HX0F</v>
      </c>
      <c r="B253" s="17">
        <f>IFERROR(__xludf.DUMMYFUNCTION("""COMPUTED_VALUE"""),44876.0)</f>
        <v>44876</v>
      </c>
      <c r="C253" s="13">
        <f>IFERROR(__xludf.DUMMYFUNCTION("""COMPUTED_VALUE"""),0.5)</f>
        <v>0.5</v>
      </c>
      <c r="D253" s="8">
        <f>IFERROR(__xludf.DUMMYFUNCTION("""COMPUTED_VALUE"""),0.0)</f>
        <v>0</v>
      </c>
      <c r="E253" s="8" t="str">
        <f>IFERROR(__xludf.DUMMYFUNCTION("""COMPUTED_VALUE"""),"Real")</f>
        <v>Real</v>
      </c>
      <c r="G253" s="8">
        <f t="shared" si="1"/>
        <v>11</v>
      </c>
      <c r="H253" s="14">
        <f t="shared" si="2"/>
        <v>11</v>
      </c>
      <c r="I253" s="15">
        <f t="shared" si="3"/>
        <v>12</v>
      </c>
    </row>
    <row r="254">
      <c r="A254" s="8" t="str">
        <f>IFERROR(__xludf.DUMMYFUNCTION("IF('(INGESTA)Datos_consumo_datadis'!A254&lt;&gt;"""",SPLIT('(INGESTA)Datos_consumo_datadis'!A:A,"",""),"""")"),"ES0031408323131005HX0F")</f>
        <v>ES0031408323131005HX0F</v>
      </c>
      <c r="B254" s="17">
        <f>IFERROR(__xludf.DUMMYFUNCTION("""COMPUTED_VALUE"""),44876.0)</f>
        <v>44876</v>
      </c>
      <c r="C254" s="13">
        <f>IFERROR(__xludf.DUMMYFUNCTION("""COMPUTED_VALUE"""),0.5416666666666666)</f>
        <v>0.5416666667</v>
      </c>
      <c r="D254" s="8">
        <f>IFERROR(__xludf.DUMMYFUNCTION("""COMPUTED_VALUE"""),0.0)</f>
        <v>0</v>
      </c>
      <c r="E254" s="8" t="str">
        <f>IFERROR(__xludf.DUMMYFUNCTION("""COMPUTED_VALUE"""),"Real")</f>
        <v>Real</v>
      </c>
      <c r="G254" s="8">
        <f t="shared" si="1"/>
        <v>11</v>
      </c>
      <c r="H254" s="14">
        <f t="shared" si="2"/>
        <v>11</v>
      </c>
      <c r="I254" s="15">
        <f t="shared" si="3"/>
        <v>13</v>
      </c>
    </row>
    <row r="255">
      <c r="A255" s="8" t="str">
        <f>IFERROR(__xludf.DUMMYFUNCTION("IF('(INGESTA)Datos_consumo_datadis'!A255&lt;&gt;"""",SPLIT('(INGESTA)Datos_consumo_datadis'!A:A,"",""),"""")"),"ES0031408323131005HX0F")</f>
        <v>ES0031408323131005HX0F</v>
      </c>
      <c r="B255" s="17">
        <f>IFERROR(__xludf.DUMMYFUNCTION("""COMPUTED_VALUE"""),44876.0)</f>
        <v>44876</v>
      </c>
      <c r="C255" s="13">
        <f>IFERROR(__xludf.DUMMYFUNCTION("""COMPUTED_VALUE"""),0.5833333333333334)</f>
        <v>0.5833333333</v>
      </c>
      <c r="D255" s="8">
        <f>IFERROR(__xludf.DUMMYFUNCTION("""COMPUTED_VALUE"""),0.0)</f>
        <v>0</v>
      </c>
      <c r="E255" s="8" t="str">
        <f>IFERROR(__xludf.DUMMYFUNCTION("""COMPUTED_VALUE"""),"Real")</f>
        <v>Real</v>
      </c>
      <c r="G255" s="8">
        <f t="shared" si="1"/>
        <v>11</v>
      </c>
      <c r="H255" s="14">
        <f t="shared" si="2"/>
        <v>11</v>
      </c>
      <c r="I255" s="15">
        <f t="shared" si="3"/>
        <v>14</v>
      </c>
    </row>
    <row r="256">
      <c r="A256" s="8" t="str">
        <f>IFERROR(__xludf.DUMMYFUNCTION("IF('(INGESTA)Datos_consumo_datadis'!A256&lt;&gt;"""",SPLIT('(INGESTA)Datos_consumo_datadis'!A:A,"",""),"""")"),"ES0031408323131005HX0F")</f>
        <v>ES0031408323131005HX0F</v>
      </c>
      <c r="B256" s="17">
        <f>IFERROR(__xludf.DUMMYFUNCTION("""COMPUTED_VALUE"""),44876.0)</f>
        <v>44876</v>
      </c>
      <c r="C256" s="13">
        <f>IFERROR(__xludf.DUMMYFUNCTION("""COMPUTED_VALUE"""),0.625)</f>
        <v>0.625</v>
      </c>
      <c r="D256" s="8">
        <f>IFERROR(__xludf.DUMMYFUNCTION("""COMPUTED_VALUE"""),0.0)</f>
        <v>0</v>
      </c>
      <c r="E256" s="8" t="str">
        <f>IFERROR(__xludf.DUMMYFUNCTION("""COMPUTED_VALUE"""),"Real")</f>
        <v>Real</v>
      </c>
      <c r="G256" s="8">
        <f t="shared" si="1"/>
        <v>11</v>
      </c>
      <c r="H256" s="14">
        <f t="shared" si="2"/>
        <v>11</v>
      </c>
      <c r="I256" s="15">
        <f t="shared" si="3"/>
        <v>15</v>
      </c>
    </row>
    <row r="257">
      <c r="A257" s="8" t="str">
        <f>IFERROR(__xludf.DUMMYFUNCTION("IF('(INGESTA)Datos_consumo_datadis'!A257&lt;&gt;"""",SPLIT('(INGESTA)Datos_consumo_datadis'!A:A,"",""),"""")"),"ES0031408323131005HX0F")</f>
        <v>ES0031408323131005HX0F</v>
      </c>
      <c r="B257" s="17">
        <f>IFERROR(__xludf.DUMMYFUNCTION("""COMPUTED_VALUE"""),44876.0)</f>
        <v>44876</v>
      </c>
      <c r="C257" s="13">
        <f>IFERROR(__xludf.DUMMYFUNCTION("""COMPUTED_VALUE"""),0.6666666666666666)</f>
        <v>0.6666666667</v>
      </c>
      <c r="D257" s="8">
        <f>IFERROR(__xludf.DUMMYFUNCTION("""COMPUTED_VALUE"""),0.0)</f>
        <v>0</v>
      </c>
      <c r="E257" s="8" t="str">
        <f>IFERROR(__xludf.DUMMYFUNCTION("""COMPUTED_VALUE"""),"Real")</f>
        <v>Real</v>
      </c>
      <c r="G257" s="8">
        <f t="shared" si="1"/>
        <v>11</v>
      </c>
      <c r="H257" s="14">
        <f t="shared" si="2"/>
        <v>11</v>
      </c>
      <c r="I257" s="15">
        <f t="shared" si="3"/>
        <v>16</v>
      </c>
    </row>
    <row r="258">
      <c r="A258" s="8" t="str">
        <f>IFERROR(__xludf.DUMMYFUNCTION("IF('(INGESTA)Datos_consumo_datadis'!A258&lt;&gt;"""",SPLIT('(INGESTA)Datos_consumo_datadis'!A:A,"",""),"""")"),"ES0031408323131005HX0F")</f>
        <v>ES0031408323131005HX0F</v>
      </c>
      <c r="B258" s="17">
        <f>IFERROR(__xludf.DUMMYFUNCTION("""COMPUTED_VALUE"""),44876.0)</f>
        <v>44876</v>
      </c>
      <c r="C258" s="13">
        <f>IFERROR(__xludf.DUMMYFUNCTION("""COMPUTED_VALUE"""),0.7083333333333334)</f>
        <v>0.7083333333</v>
      </c>
      <c r="D258" s="8">
        <f>IFERROR(__xludf.DUMMYFUNCTION("""COMPUTED_VALUE"""),0.0)</f>
        <v>0</v>
      </c>
      <c r="E258" s="8" t="str">
        <f>IFERROR(__xludf.DUMMYFUNCTION("""COMPUTED_VALUE"""),"Real")</f>
        <v>Real</v>
      </c>
      <c r="G258" s="8">
        <f t="shared" si="1"/>
        <v>11</v>
      </c>
      <c r="H258" s="14">
        <f t="shared" si="2"/>
        <v>11</v>
      </c>
      <c r="I258" s="15">
        <f t="shared" si="3"/>
        <v>17</v>
      </c>
    </row>
    <row r="259">
      <c r="A259" s="8" t="str">
        <f>IFERROR(__xludf.DUMMYFUNCTION("IF('(INGESTA)Datos_consumo_datadis'!A259&lt;&gt;"""",SPLIT('(INGESTA)Datos_consumo_datadis'!A:A,"",""),"""")"),"ES0031408323131005HX0F")</f>
        <v>ES0031408323131005HX0F</v>
      </c>
      <c r="B259" s="17">
        <f>IFERROR(__xludf.DUMMYFUNCTION("""COMPUTED_VALUE"""),44876.0)</f>
        <v>44876</v>
      </c>
      <c r="C259" s="13">
        <f>IFERROR(__xludf.DUMMYFUNCTION("""COMPUTED_VALUE"""),0.75)</f>
        <v>0.75</v>
      </c>
      <c r="D259" s="8">
        <f>IFERROR(__xludf.DUMMYFUNCTION("""COMPUTED_VALUE"""),0.0)</f>
        <v>0</v>
      </c>
      <c r="E259" s="8" t="str">
        <f>IFERROR(__xludf.DUMMYFUNCTION("""COMPUTED_VALUE"""),"Real")</f>
        <v>Real</v>
      </c>
      <c r="G259" s="8">
        <f t="shared" si="1"/>
        <v>11</v>
      </c>
      <c r="H259" s="14">
        <f t="shared" si="2"/>
        <v>11</v>
      </c>
      <c r="I259" s="15">
        <f t="shared" si="3"/>
        <v>18</v>
      </c>
    </row>
    <row r="260">
      <c r="A260" s="8" t="str">
        <f>IFERROR(__xludf.DUMMYFUNCTION("IF('(INGESTA)Datos_consumo_datadis'!A260&lt;&gt;"""",SPLIT('(INGESTA)Datos_consumo_datadis'!A:A,"",""),"""")"),"ES0031408323131005HX0F")</f>
        <v>ES0031408323131005HX0F</v>
      </c>
      <c r="B260" s="17">
        <f>IFERROR(__xludf.DUMMYFUNCTION("""COMPUTED_VALUE"""),44876.0)</f>
        <v>44876</v>
      </c>
      <c r="C260" s="13">
        <f>IFERROR(__xludf.DUMMYFUNCTION("""COMPUTED_VALUE"""),0.7916666666666666)</f>
        <v>0.7916666667</v>
      </c>
      <c r="D260" s="8">
        <f>IFERROR(__xludf.DUMMYFUNCTION("""COMPUTED_VALUE"""),0.0)</f>
        <v>0</v>
      </c>
      <c r="E260" s="8" t="str">
        <f>IFERROR(__xludf.DUMMYFUNCTION("""COMPUTED_VALUE"""),"Real")</f>
        <v>Real</v>
      </c>
      <c r="G260" s="8">
        <f t="shared" si="1"/>
        <v>11</v>
      </c>
      <c r="H260" s="14">
        <f t="shared" si="2"/>
        <v>11</v>
      </c>
      <c r="I260" s="15">
        <f t="shared" si="3"/>
        <v>19</v>
      </c>
    </row>
    <row r="261">
      <c r="A261" s="8" t="str">
        <f>IFERROR(__xludf.DUMMYFUNCTION("IF('(INGESTA)Datos_consumo_datadis'!A261&lt;&gt;"""",SPLIT('(INGESTA)Datos_consumo_datadis'!A:A,"",""),"""")"),"ES0031408323131005HX0F")</f>
        <v>ES0031408323131005HX0F</v>
      </c>
      <c r="B261" s="17">
        <f>IFERROR(__xludf.DUMMYFUNCTION("""COMPUTED_VALUE"""),44876.0)</f>
        <v>44876</v>
      </c>
      <c r="C261" s="13">
        <f>IFERROR(__xludf.DUMMYFUNCTION("""COMPUTED_VALUE"""),0.8333333333333334)</f>
        <v>0.8333333333</v>
      </c>
      <c r="D261" s="8">
        <f>IFERROR(__xludf.DUMMYFUNCTION("""COMPUTED_VALUE"""),0.0)</f>
        <v>0</v>
      </c>
      <c r="E261" s="8" t="str">
        <f>IFERROR(__xludf.DUMMYFUNCTION("""COMPUTED_VALUE"""),"Real")</f>
        <v>Real</v>
      </c>
      <c r="G261" s="8">
        <f t="shared" si="1"/>
        <v>11</v>
      </c>
      <c r="H261" s="14">
        <f t="shared" si="2"/>
        <v>11</v>
      </c>
      <c r="I261" s="15">
        <f t="shared" si="3"/>
        <v>20</v>
      </c>
    </row>
    <row r="262">
      <c r="A262" s="8" t="str">
        <f>IFERROR(__xludf.DUMMYFUNCTION("IF('(INGESTA)Datos_consumo_datadis'!A262&lt;&gt;"""",SPLIT('(INGESTA)Datos_consumo_datadis'!A:A,"",""),"""")"),"ES0031408323131005HX0F")</f>
        <v>ES0031408323131005HX0F</v>
      </c>
      <c r="B262" s="17">
        <f>IFERROR(__xludf.DUMMYFUNCTION("""COMPUTED_VALUE"""),44876.0)</f>
        <v>44876</v>
      </c>
      <c r="C262" s="13">
        <f>IFERROR(__xludf.DUMMYFUNCTION("""COMPUTED_VALUE"""),0.875)</f>
        <v>0.875</v>
      </c>
      <c r="D262" s="8">
        <f>IFERROR(__xludf.DUMMYFUNCTION("""COMPUTED_VALUE"""),0.0)</f>
        <v>0</v>
      </c>
      <c r="E262" s="8" t="str">
        <f>IFERROR(__xludf.DUMMYFUNCTION("""COMPUTED_VALUE"""),"Real")</f>
        <v>Real</v>
      </c>
      <c r="G262" s="8">
        <f t="shared" si="1"/>
        <v>11</v>
      </c>
      <c r="H262" s="14">
        <f t="shared" si="2"/>
        <v>11</v>
      </c>
      <c r="I262" s="15">
        <f t="shared" si="3"/>
        <v>21</v>
      </c>
    </row>
    <row r="263">
      <c r="A263" s="8" t="str">
        <f>IFERROR(__xludf.DUMMYFUNCTION("IF('(INGESTA)Datos_consumo_datadis'!A263&lt;&gt;"""",SPLIT('(INGESTA)Datos_consumo_datadis'!A:A,"",""),"""")"),"ES0031408323131005HX0F")</f>
        <v>ES0031408323131005HX0F</v>
      </c>
      <c r="B263" s="17">
        <f>IFERROR(__xludf.DUMMYFUNCTION("""COMPUTED_VALUE"""),44876.0)</f>
        <v>44876</v>
      </c>
      <c r="C263" s="13">
        <f>IFERROR(__xludf.DUMMYFUNCTION("""COMPUTED_VALUE"""),0.9166666666666666)</f>
        <v>0.9166666667</v>
      </c>
      <c r="D263" s="8">
        <f>IFERROR(__xludf.DUMMYFUNCTION("""COMPUTED_VALUE"""),0.0)</f>
        <v>0</v>
      </c>
      <c r="E263" s="8" t="str">
        <f>IFERROR(__xludf.DUMMYFUNCTION("""COMPUTED_VALUE"""),"Real")</f>
        <v>Real</v>
      </c>
      <c r="G263" s="8">
        <f t="shared" si="1"/>
        <v>11</v>
      </c>
      <c r="H263" s="14">
        <f t="shared" si="2"/>
        <v>11</v>
      </c>
      <c r="I263" s="15">
        <f t="shared" si="3"/>
        <v>22</v>
      </c>
    </row>
    <row r="264">
      <c r="A264" s="8" t="str">
        <f>IFERROR(__xludf.DUMMYFUNCTION("IF('(INGESTA)Datos_consumo_datadis'!A264&lt;&gt;"""",SPLIT('(INGESTA)Datos_consumo_datadis'!A:A,"",""),"""")"),"ES0031408323131005HX0F")</f>
        <v>ES0031408323131005HX0F</v>
      </c>
      <c r="B264" s="17">
        <f>IFERROR(__xludf.DUMMYFUNCTION("""COMPUTED_VALUE"""),44876.0)</f>
        <v>44876</v>
      </c>
      <c r="C264" s="13">
        <f>IFERROR(__xludf.DUMMYFUNCTION("""COMPUTED_VALUE"""),0.9583333333333334)</f>
        <v>0.9583333333</v>
      </c>
      <c r="D264" s="8">
        <f>IFERROR(__xludf.DUMMYFUNCTION("""COMPUTED_VALUE"""),0.0)</f>
        <v>0</v>
      </c>
      <c r="E264" s="8" t="str">
        <f>IFERROR(__xludf.DUMMYFUNCTION("""COMPUTED_VALUE"""),"Real")</f>
        <v>Real</v>
      </c>
      <c r="G264" s="8">
        <f t="shared" si="1"/>
        <v>11</v>
      </c>
      <c r="H264" s="14">
        <f t="shared" si="2"/>
        <v>11</v>
      </c>
      <c r="I264" s="15">
        <f t="shared" si="3"/>
        <v>23</v>
      </c>
    </row>
    <row r="265">
      <c r="A265" s="8" t="str">
        <f>IFERROR(__xludf.DUMMYFUNCTION("IF('(INGESTA)Datos_consumo_datadis'!A265&lt;&gt;"""",SPLIT('(INGESTA)Datos_consumo_datadis'!A:A,"",""),"""")"),"ES0031408323131005HX0F")</f>
        <v>ES0031408323131005HX0F</v>
      </c>
      <c r="B265" s="17">
        <f>IFERROR(__xludf.DUMMYFUNCTION("""COMPUTED_VALUE"""),44876.0)</f>
        <v>44876</v>
      </c>
      <c r="C265" s="16">
        <f>IFERROR(__xludf.DUMMYFUNCTION("""COMPUTED_VALUE"""),1.0)</f>
        <v>1</v>
      </c>
      <c r="D265" s="8">
        <f>IFERROR(__xludf.DUMMYFUNCTION("""COMPUTED_VALUE"""),0.0)</f>
        <v>0</v>
      </c>
      <c r="E265" s="8" t="str">
        <f>IFERROR(__xludf.DUMMYFUNCTION("""COMPUTED_VALUE"""),"Real")</f>
        <v>Real</v>
      </c>
      <c r="G265" s="8">
        <f t="shared" si="1"/>
        <v>11</v>
      </c>
      <c r="H265" s="14">
        <f t="shared" si="2"/>
        <v>11</v>
      </c>
      <c r="I265" s="15">
        <f t="shared" si="3"/>
        <v>0</v>
      </c>
    </row>
    <row r="266">
      <c r="A266" s="8" t="str">
        <f>IFERROR(__xludf.DUMMYFUNCTION("IF('(INGESTA)Datos_consumo_datadis'!A266&lt;&gt;"""",SPLIT('(INGESTA)Datos_consumo_datadis'!A:A,"",""),"""")"),"ES0031408323131005HX0F")</f>
        <v>ES0031408323131005HX0F</v>
      </c>
      <c r="B266" s="17">
        <f>IFERROR(__xludf.DUMMYFUNCTION("""COMPUTED_VALUE"""),44877.0)</f>
        <v>44877</v>
      </c>
      <c r="C266" s="13">
        <f>IFERROR(__xludf.DUMMYFUNCTION("""COMPUTED_VALUE"""),0.041666666666666664)</f>
        <v>0.04166666667</v>
      </c>
      <c r="D266" s="8">
        <f>IFERROR(__xludf.DUMMYFUNCTION("""COMPUTED_VALUE"""),0.0)</f>
        <v>0</v>
      </c>
      <c r="E266" s="8" t="str">
        <f>IFERROR(__xludf.DUMMYFUNCTION("""COMPUTED_VALUE"""),"Real")</f>
        <v>Real</v>
      </c>
      <c r="G266" s="8">
        <f t="shared" si="1"/>
        <v>11</v>
      </c>
      <c r="H266" s="14">
        <f t="shared" si="2"/>
        <v>12</v>
      </c>
      <c r="I266" s="15">
        <f t="shared" si="3"/>
        <v>1</v>
      </c>
    </row>
    <row r="267">
      <c r="A267" s="8" t="str">
        <f>IFERROR(__xludf.DUMMYFUNCTION("IF('(INGESTA)Datos_consumo_datadis'!A267&lt;&gt;"""",SPLIT('(INGESTA)Datos_consumo_datadis'!A:A,"",""),"""")"),"ES0031408323131005HX0F")</f>
        <v>ES0031408323131005HX0F</v>
      </c>
      <c r="B267" s="17">
        <f>IFERROR(__xludf.DUMMYFUNCTION("""COMPUTED_VALUE"""),44877.0)</f>
        <v>44877</v>
      </c>
      <c r="C267" s="13">
        <f>IFERROR(__xludf.DUMMYFUNCTION("""COMPUTED_VALUE"""),0.08333333333333333)</f>
        <v>0.08333333333</v>
      </c>
      <c r="D267" s="8">
        <f>IFERROR(__xludf.DUMMYFUNCTION("""COMPUTED_VALUE"""),0.0)</f>
        <v>0</v>
      </c>
      <c r="E267" s="8" t="str">
        <f>IFERROR(__xludf.DUMMYFUNCTION("""COMPUTED_VALUE"""),"Real")</f>
        <v>Real</v>
      </c>
      <c r="G267" s="8">
        <f t="shared" si="1"/>
        <v>11</v>
      </c>
      <c r="H267" s="14">
        <f t="shared" si="2"/>
        <v>12</v>
      </c>
      <c r="I267" s="15">
        <f t="shared" si="3"/>
        <v>2</v>
      </c>
    </row>
    <row r="268">
      <c r="A268" s="8" t="str">
        <f>IFERROR(__xludf.DUMMYFUNCTION("IF('(INGESTA)Datos_consumo_datadis'!A268&lt;&gt;"""",SPLIT('(INGESTA)Datos_consumo_datadis'!A:A,"",""),"""")"),"ES0031408323131005HX0F")</f>
        <v>ES0031408323131005HX0F</v>
      </c>
      <c r="B268" s="17">
        <f>IFERROR(__xludf.DUMMYFUNCTION("""COMPUTED_VALUE"""),44877.0)</f>
        <v>44877</v>
      </c>
      <c r="C268" s="13">
        <f>IFERROR(__xludf.DUMMYFUNCTION("""COMPUTED_VALUE"""),0.125)</f>
        <v>0.125</v>
      </c>
      <c r="D268" s="8">
        <f>IFERROR(__xludf.DUMMYFUNCTION("""COMPUTED_VALUE"""),0.0)</f>
        <v>0</v>
      </c>
      <c r="E268" s="8" t="str">
        <f>IFERROR(__xludf.DUMMYFUNCTION("""COMPUTED_VALUE"""),"Real")</f>
        <v>Real</v>
      </c>
      <c r="G268" s="8">
        <f t="shared" si="1"/>
        <v>11</v>
      </c>
      <c r="H268" s="14">
        <f t="shared" si="2"/>
        <v>12</v>
      </c>
      <c r="I268" s="15">
        <f t="shared" si="3"/>
        <v>3</v>
      </c>
    </row>
    <row r="269">
      <c r="A269" s="8" t="str">
        <f>IFERROR(__xludf.DUMMYFUNCTION("IF('(INGESTA)Datos_consumo_datadis'!A269&lt;&gt;"""",SPLIT('(INGESTA)Datos_consumo_datadis'!A:A,"",""),"""")"),"ES0031408323131005HX0F")</f>
        <v>ES0031408323131005HX0F</v>
      </c>
      <c r="B269" s="17">
        <f>IFERROR(__xludf.DUMMYFUNCTION("""COMPUTED_VALUE"""),44877.0)</f>
        <v>44877</v>
      </c>
      <c r="C269" s="13">
        <f>IFERROR(__xludf.DUMMYFUNCTION("""COMPUTED_VALUE"""),0.16666666666666666)</f>
        <v>0.1666666667</v>
      </c>
      <c r="D269" s="8">
        <f>IFERROR(__xludf.DUMMYFUNCTION("""COMPUTED_VALUE"""),0.0)</f>
        <v>0</v>
      </c>
      <c r="E269" s="8" t="str">
        <f>IFERROR(__xludf.DUMMYFUNCTION("""COMPUTED_VALUE"""),"Real")</f>
        <v>Real</v>
      </c>
      <c r="G269" s="8">
        <f t="shared" si="1"/>
        <v>11</v>
      </c>
      <c r="H269" s="14">
        <f t="shared" si="2"/>
        <v>12</v>
      </c>
      <c r="I269" s="15">
        <f t="shared" si="3"/>
        <v>4</v>
      </c>
    </row>
    <row r="270">
      <c r="A270" s="8" t="str">
        <f>IFERROR(__xludf.DUMMYFUNCTION("IF('(INGESTA)Datos_consumo_datadis'!A270&lt;&gt;"""",SPLIT('(INGESTA)Datos_consumo_datadis'!A:A,"",""),"""")"),"ES0031408323131005HX0F")</f>
        <v>ES0031408323131005HX0F</v>
      </c>
      <c r="B270" s="17">
        <f>IFERROR(__xludf.DUMMYFUNCTION("""COMPUTED_VALUE"""),44877.0)</f>
        <v>44877</v>
      </c>
      <c r="C270" s="13">
        <f>IFERROR(__xludf.DUMMYFUNCTION("""COMPUTED_VALUE"""),0.20833333333333334)</f>
        <v>0.2083333333</v>
      </c>
      <c r="D270" s="8">
        <f>IFERROR(__xludf.DUMMYFUNCTION("""COMPUTED_VALUE"""),0.0)</f>
        <v>0</v>
      </c>
      <c r="E270" s="8" t="str">
        <f>IFERROR(__xludf.DUMMYFUNCTION("""COMPUTED_VALUE"""),"Real")</f>
        <v>Real</v>
      </c>
      <c r="G270" s="8">
        <f t="shared" si="1"/>
        <v>11</v>
      </c>
      <c r="H270" s="14">
        <f t="shared" si="2"/>
        <v>12</v>
      </c>
      <c r="I270" s="15">
        <f t="shared" si="3"/>
        <v>5</v>
      </c>
    </row>
    <row r="271">
      <c r="A271" s="8" t="str">
        <f>IFERROR(__xludf.DUMMYFUNCTION("IF('(INGESTA)Datos_consumo_datadis'!A271&lt;&gt;"""",SPLIT('(INGESTA)Datos_consumo_datadis'!A:A,"",""),"""")"),"ES0031408323131005HX0F")</f>
        <v>ES0031408323131005HX0F</v>
      </c>
      <c r="B271" s="17">
        <f>IFERROR(__xludf.DUMMYFUNCTION("""COMPUTED_VALUE"""),44877.0)</f>
        <v>44877</v>
      </c>
      <c r="C271" s="13">
        <f>IFERROR(__xludf.DUMMYFUNCTION("""COMPUTED_VALUE"""),0.25)</f>
        <v>0.25</v>
      </c>
      <c r="D271" s="8">
        <f>IFERROR(__xludf.DUMMYFUNCTION("""COMPUTED_VALUE"""),0.0)</f>
        <v>0</v>
      </c>
      <c r="E271" s="8" t="str">
        <f>IFERROR(__xludf.DUMMYFUNCTION("""COMPUTED_VALUE"""),"Real")</f>
        <v>Real</v>
      </c>
      <c r="G271" s="8">
        <f t="shared" si="1"/>
        <v>11</v>
      </c>
      <c r="H271" s="14">
        <f t="shared" si="2"/>
        <v>12</v>
      </c>
      <c r="I271" s="15">
        <f t="shared" si="3"/>
        <v>6</v>
      </c>
    </row>
    <row r="272">
      <c r="A272" s="8" t="str">
        <f>IFERROR(__xludf.DUMMYFUNCTION("IF('(INGESTA)Datos_consumo_datadis'!A272&lt;&gt;"""",SPLIT('(INGESTA)Datos_consumo_datadis'!A:A,"",""),"""")"),"ES0031408323131005HX0F")</f>
        <v>ES0031408323131005HX0F</v>
      </c>
      <c r="B272" s="17">
        <f>IFERROR(__xludf.DUMMYFUNCTION("""COMPUTED_VALUE"""),44877.0)</f>
        <v>44877</v>
      </c>
      <c r="C272" s="13">
        <f>IFERROR(__xludf.DUMMYFUNCTION("""COMPUTED_VALUE"""),0.2916666666666667)</f>
        <v>0.2916666667</v>
      </c>
      <c r="D272" s="8">
        <f>IFERROR(__xludf.DUMMYFUNCTION("""COMPUTED_VALUE"""),0.0)</f>
        <v>0</v>
      </c>
      <c r="E272" s="8" t="str">
        <f>IFERROR(__xludf.DUMMYFUNCTION("""COMPUTED_VALUE"""),"Real")</f>
        <v>Real</v>
      </c>
      <c r="G272" s="8">
        <f t="shared" si="1"/>
        <v>11</v>
      </c>
      <c r="H272" s="14">
        <f t="shared" si="2"/>
        <v>12</v>
      </c>
      <c r="I272" s="15">
        <f t="shared" si="3"/>
        <v>7</v>
      </c>
    </row>
    <row r="273">
      <c r="A273" s="8" t="str">
        <f>IFERROR(__xludf.DUMMYFUNCTION("IF('(INGESTA)Datos_consumo_datadis'!A273&lt;&gt;"""",SPLIT('(INGESTA)Datos_consumo_datadis'!A:A,"",""),"""")"),"ES0031408323131005HX0F")</f>
        <v>ES0031408323131005HX0F</v>
      </c>
      <c r="B273" s="17">
        <f>IFERROR(__xludf.DUMMYFUNCTION("""COMPUTED_VALUE"""),44877.0)</f>
        <v>44877</v>
      </c>
      <c r="C273" s="13">
        <f>IFERROR(__xludf.DUMMYFUNCTION("""COMPUTED_VALUE"""),0.3333333333333333)</f>
        <v>0.3333333333</v>
      </c>
      <c r="D273" s="8">
        <f>IFERROR(__xludf.DUMMYFUNCTION("""COMPUTED_VALUE"""),0.0)</f>
        <v>0</v>
      </c>
      <c r="E273" s="8" t="str">
        <f>IFERROR(__xludf.DUMMYFUNCTION("""COMPUTED_VALUE"""),"Real")</f>
        <v>Real</v>
      </c>
      <c r="G273" s="8">
        <f t="shared" si="1"/>
        <v>11</v>
      </c>
      <c r="H273" s="14">
        <f t="shared" si="2"/>
        <v>12</v>
      </c>
      <c r="I273" s="15">
        <f t="shared" si="3"/>
        <v>8</v>
      </c>
    </row>
    <row r="274">
      <c r="A274" s="8" t="str">
        <f>IFERROR(__xludf.DUMMYFUNCTION("IF('(INGESTA)Datos_consumo_datadis'!A274&lt;&gt;"""",SPLIT('(INGESTA)Datos_consumo_datadis'!A:A,"",""),"""")"),"ES0031408323131005HX0F")</f>
        <v>ES0031408323131005HX0F</v>
      </c>
      <c r="B274" s="17">
        <f>IFERROR(__xludf.DUMMYFUNCTION("""COMPUTED_VALUE"""),44877.0)</f>
        <v>44877</v>
      </c>
      <c r="C274" s="13">
        <f>IFERROR(__xludf.DUMMYFUNCTION("""COMPUTED_VALUE"""),0.375)</f>
        <v>0.375</v>
      </c>
      <c r="D274" s="8">
        <f>IFERROR(__xludf.DUMMYFUNCTION("""COMPUTED_VALUE"""),0.0)</f>
        <v>0</v>
      </c>
      <c r="E274" s="8" t="str">
        <f>IFERROR(__xludf.DUMMYFUNCTION("""COMPUTED_VALUE"""),"Real")</f>
        <v>Real</v>
      </c>
      <c r="G274" s="8">
        <f t="shared" si="1"/>
        <v>11</v>
      </c>
      <c r="H274" s="14">
        <f t="shared" si="2"/>
        <v>12</v>
      </c>
      <c r="I274" s="15">
        <f t="shared" si="3"/>
        <v>9</v>
      </c>
    </row>
    <row r="275">
      <c r="A275" s="8" t="str">
        <f>IFERROR(__xludf.DUMMYFUNCTION("IF('(INGESTA)Datos_consumo_datadis'!A275&lt;&gt;"""",SPLIT('(INGESTA)Datos_consumo_datadis'!A:A,"",""),"""")"),"ES0031408323131005HX0F")</f>
        <v>ES0031408323131005HX0F</v>
      </c>
      <c r="B275" s="17">
        <f>IFERROR(__xludf.DUMMYFUNCTION("""COMPUTED_VALUE"""),44877.0)</f>
        <v>44877</v>
      </c>
      <c r="C275" s="13">
        <f>IFERROR(__xludf.DUMMYFUNCTION("""COMPUTED_VALUE"""),0.4166666666666667)</f>
        <v>0.4166666667</v>
      </c>
      <c r="D275" s="8">
        <f>IFERROR(__xludf.DUMMYFUNCTION("""COMPUTED_VALUE"""),0.0)</f>
        <v>0</v>
      </c>
      <c r="E275" s="8" t="str">
        <f>IFERROR(__xludf.DUMMYFUNCTION("""COMPUTED_VALUE"""),"Real")</f>
        <v>Real</v>
      </c>
      <c r="G275" s="8">
        <f t="shared" si="1"/>
        <v>11</v>
      </c>
      <c r="H275" s="14">
        <f t="shared" si="2"/>
        <v>12</v>
      </c>
      <c r="I275" s="15">
        <f t="shared" si="3"/>
        <v>10</v>
      </c>
    </row>
    <row r="276">
      <c r="A276" s="8" t="str">
        <f>IFERROR(__xludf.DUMMYFUNCTION("IF('(INGESTA)Datos_consumo_datadis'!A276&lt;&gt;"""",SPLIT('(INGESTA)Datos_consumo_datadis'!A:A,"",""),"""")"),"ES0031408323131005HX0F")</f>
        <v>ES0031408323131005HX0F</v>
      </c>
      <c r="B276" s="17">
        <f>IFERROR(__xludf.DUMMYFUNCTION("""COMPUTED_VALUE"""),44877.0)</f>
        <v>44877</v>
      </c>
      <c r="C276" s="13">
        <f>IFERROR(__xludf.DUMMYFUNCTION("""COMPUTED_VALUE"""),0.4583333333333333)</f>
        <v>0.4583333333</v>
      </c>
      <c r="D276" s="8">
        <f>IFERROR(__xludf.DUMMYFUNCTION("""COMPUTED_VALUE"""),0.0)</f>
        <v>0</v>
      </c>
      <c r="E276" s="8" t="str">
        <f>IFERROR(__xludf.DUMMYFUNCTION("""COMPUTED_VALUE"""),"Real")</f>
        <v>Real</v>
      </c>
      <c r="G276" s="8">
        <f t="shared" si="1"/>
        <v>11</v>
      </c>
      <c r="H276" s="14">
        <f t="shared" si="2"/>
        <v>12</v>
      </c>
      <c r="I276" s="15">
        <f t="shared" si="3"/>
        <v>11</v>
      </c>
    </row>
    <row r="277">
      <c r="A277" s="8" t="str">
        <f>IFERROR(__xludf.DUMMYFUNCTION("IF('(INGESTA)Datos_consumo_datadis'!A277&lt;&gt;"""",SPLIT('(INGESTA)Datos_consumo_datadis'!A:A,"",""),"""")"),"ES0031408323131005HX0F")</f>
        <v>ES0031408323131005HX0F</v>
      </c>
      <c r="B277" s="17">
        <f>IFERROR(__xludf.DUMMYFUNCTION("""COMPUTED_VALUE"""),44877.0)</f>
        <v>44877</v>
      </c>
      <c r="C277" s="13">
        <f>IFERROR(__xludf.DUMMYFUNCTION("""COMPUTED_VALUE"""),0.5)</f>
        <v>0.5</v>
      </c>
      <c r="D277" s="8">
        <f>IFERROR(__xludf.DUMMYFUNCTION("""COMPUTED_VALUE"""),0.0)</f>
        <v>0</v>
      </c>
      <c r="E277" s="8" t="str">
        <f>IFERROR(__xludf.DUMMYFUNCTION("""COMPUTED_VALUE"""),"Real")</f>
        <v>Real</v>
      </c>
      <c r="G277" s="8">
        <f t="shared" si="1"/>
        <v>11</v>
      </c>
      <c r="H277" s="14">
        <f t="shared" si="2"/>
        <v>12</v>
      </c>
      <c r="I277" s="15">
        <f t="shared" si="3"/>
        <v>12</v>
      </c>
    </row>
    <row r="278">
      <c r="A278" s="8" t="str">
        <f>IFERROR(__xludf.DUMMYFUNCTION("IF('(INGESTA)Datos_consumo_datadis'!A278&lt;&gt;"""",SPLIT('(INGESTA)Datos_consumo_datadis'!A:A,"",""),"""")"),"ES0031408323131005HX0F")</f>
        <v>ES0031408323131005HX0F</v>
      </c>
      <c r="B278" s="17">
        <f>IFERROR(__xludf.DUMMYFUNCTION("""COMPUTED_VALUE"""),44877.0)</f>
        <v>44877</v>
      </c>
      <c r="C278" s="13">
        <f>IFERROR(__xludf.DUMMYFUNCTION("""COMPUTED_VALUE"""),0.5416666666666666)</f>
        <v>0.5416666667</v>
      </c>
      <c r="D278" s="8">
        <f>IFERROR(__xludf.DUMMYFUNCTION("""COMPUTED_VALUE"""),0.0)</f>
        <v>0</v>
      </c>
      <c r="E278" s="8" t="str">
        <f>IFERROR(__xludf.DUMMYFUNCTION("""COMPUTED_VALUE"""),"Real")</f>
        <v>Real</v>
      </c>
      <c r="G278" s="8">
        <f t="shared" si="1"/>
        <v>11</v>
      </c>
      <c r="H278" s="14">
        <f t="shared" si="2"/>
        <v>12</v>
      </c>
      <c r="I278" s="15">
        <f t="shared" si="3"/>
        <v>13</v>
      </c>
    </row>
    <row r="279">
      <c r="A279" s="8" t="str">
        <f>IFERROR(__xludf.DUMMYFUNCTION("IF('(INGESTA)Datos_consumo_datadis'!A279&lt;&gt;"""",SPLIT('(INGESTA)Datos_consumo_datadis'!A:A,"",""),"""")"),"ES0031408323131005HX0F")</f>
        <v>ES0031408323131005HX0F</v>
      </c>
      <c r="B279" s="17">
        <f>IFERROR(__xludf.DUMMYFUNCTION("""COMPUTED_VALUE"""),44877.0)</f>
        <v>44877</v>
      </c>
      <c r="C279" s="13">
        <f>IFERROR(__xludf.DUMMYFUNCTION("""COMPUTED_VALUE"""),0.5833333333333334)</f>
        <v>0.5833333333</v>
      </c>
      <c r="D279" s="8">
        <f>IFERROR(__xludf.DUMMYFUNCTION("""COMPUTED_VALUE"""),0.0)</f>
        <v>0</v>
      </c>
      <c r="E279" s="8" t="str">
        <f>IFERROR(__xludf.DUMMYFUNCTION("""COMPUTED_VALUE"""),"Real")</f>
        <v>Real</v>
      </c>
      <c r="G279" s="8">
        <f t="shared" si="1"/>
        <v>11</v>
      </c>
      <c r="H279" s="14">
        <f t="shared" si="2"/>
        <v>12</v>
      </c>
      <c r="I279" s="15">
        <f t="shared" si="3"/>
        <v>14</v>
      </c>
    </row>
    <row r="280">
      <c r="A280" s="8" t="str">
        <f>IFERROR(__xludf.DUMMYFUNCTION("IF('(INGESTA)Datos_consumo_datadis'!A280&lt;&gt;"""",SPLIT('(INGESTA)Datos_consumo_datadis'!A:A,"",""),"""")"),"ES0031408323131005HX0F")</f>
        <v>ES0031408323131005HX0F</v>
      </c>
      <c r="B280" s="17">
        <f>IFERROR(__xludf.DUMMYFUNCTION("""COMPUTED_VALUE"""),44877.0)</f>
        <v>44877</v>
      </c>
      <c r="C280" s="13">
        <f>IFERROR(__xludf.DUMMYFUNCTION("""COMPUTED_VALUE"""),0.625)</f>
        <v>0.625</v>
      </c>
      <c r="D280" s="8">
        <f>IFERROR(__xludf.DUMMYFUNCTION("""COMPUTED_VALUE"""),0.0)</f>
        <v>0</v>
      </c>
      <c r="E280" s="8" t="str">
        <f>IFERROR(__xludf.DUMMYFUNCTION("""COMPUTED_VALUE"""),"Real")</f>
        <v>Real</v>
      </c>
      <c r="G280" s="8">
        <f t="shared" si="1"/>
        <v>11</v>
      </c>
      <c r="H280" s="14">
        <f t="shared" si="2"/>
        <v>12</v>
      </c>
      <c r="I280" s="15">
        <f t="shared" si="3"/>
        <v>15</v>
      </c>
    </row>
    <row r="281">
      <c r="A281" s="8" t="str">
        <f>IFERROR(__xludf.DUMMYFUNCTION("IF('(INGESTA)Datos_consumo_datadis'!A281&lt;&gt;"""",SPLIT('(INGESTA)Datos_consumo_datadis'!A:A,"",""),"""")"),"ES0031408323131005HX0F")</f>
        <v>ES0031408323131005HX0F</v>
      </c>
      <c r="B281" s="17">
        <f>IFERROR(__xludf.DUMMYFUNCTION("""COMPUTED_VALUE"""),44877.0)</f>
        <v>44877</v>
      </c>
      <c r="C281" s="13">
        <f>IFERROR(__xludf.DUMMYFUNCTION("""COMPUTED_VALUE"""),0.6666666666666666)</f>
        <v>0.6666666667</v>
      </c>
      <c r="D281" s="8">
        <f>IFERROR(__xludf.DUMMYFUNCTION("""COMPUTED_VALUE"""),0.0)</f>
        <v>0</v>
      </c>
      <c r="E281" s="8" t="str">
        <f>IFERROR(__xludf.DUMMYFUNCTION("""COMPUTED_VALUE"""),"Real")</f>
        <v>Real</v>
      </c>
      <c r="G281" s="8">
        <f t="shared" si="1"/>
        <v>11</v>
      </c>
      <c r="H281" s="14">
        <f t="shared" si="2"/>
        <v>12</v>
      </c>
      <c r="I281" s="15">
        <f t="shared" si="3"/>
        <v>16</v>
      </c>
    </row>
    <row r="282">
      <c r="A282" s="8" t="str">
        <f>IFERROR(__xludf.DUMMYFUNCTION("IF('(INGESTA)Datos_consumo_datadis'!A282&lt;&gt;"""",SPLIT('(INGESTA)Datos_consumo_datadis'!A:A,"",""),"""")"),"ES0031408323131005HX0F")</f>
        <v>ES0031408323131005HX0F</v>
      </c>
      <c r="B282" s="17">
        <f>IFERROR(__xludf.DUMMYFUNCTION("""COMPUTED_VALUE"""),44877.0)</f>
        <v>44877</v>
      </c>
      <c r="C282" s="13">
        <f>IFERROR(__xludf.DUMMYFUNCTION("""COMPUTED_VALUE"""),0.7083333333333334)</f>
        <v>0.7083333333</v>
      </c>
      <c r="D282" s="8">
        <f>IFERROR(__xludf.DUMMYFUNCTION("""COMPUTED_VALUE"""),0.0)</f>
        <v>0</v>
      </c>
      <c r="E282" s="8" t="str">
        <f>IFERROR(__xludf.DUMMYFUNCTION("""COMPUTED_VALUE"""),"Real")</f>
        <v>Real</v>
      </c>
      <c r="G282" s="8">
        <f t="shared" si="1"/>
        <v>11</v>
      </c>
      <c r="H282" s="14">
        <f t="shared" si="2"/>
        <v>12</v>
      </c>
      <c r="I282" s="15">
        <f t="shared" si="3"/>
        <v>17</v>
      </c>
    </row>
    <row r="283">
      <c r="A283" s="8" t="str">
        <f>IFERROR(__xludf.DUMMYFUNCTION("IF('(INGESTA)Datos_consumo_datadis'!A283&lt;&gt;"""",SPLIT('(INGESTA)Datos_consumo_datadis'!A:A,"",""),"""")"),"ES0031408323131005HX0F")</f>
        <v>ES0031408323131005HX0F</v>
      </c>
      <c r="B283" s="17">
        <f>IFERROR(__xludf.DUMMYFUNCTION("""COMPUTED_VALUE"""),44877.0)</f>
        <v>44877</v>
      </c>
      <c r="C283" s="13">
        <f>IFERROR(__xludf.DUMMYFUNCTION("""COMPUTED_VALUE"""),0.75)</f>
        <v>0.75</v>
      </c>
      <c r="D283" s="8">
        <f>IFERROR(__xludf.DUMMYFUNCTION("""COMPUTED_VALUE"""),0.0)</f>
        <v>0</v>
      </c>
      <c r="E283" s="8" t="str">
        <f>IFERROR(__xludf.DUMMYFUNCTION("""COMPUTED_VALUE"""),"Real")</f>
        <v>Real</v>
      </c>
      <c r="G283" s="8">
        <f t="shared" si="1"/>
        <v>11</v>
      </c>
      <c r="H283" s="14">
        <f t="shared" si="2"/>
        <v>12</v>
      </c>
      <c r="I283" s="15">
        <f t="shared" si="3"/>
        <v>18</v>
      </c>
    </row>
    <row r="284">
      <c r="A284" s="8" t="str">
        <f>IFERROR(__xludf.DUMMYFUNCTION("IF('(INGESTA)Datos_consumo_datadis'!A284&lt;&gt;"""",SPLIT('(INGESTA)Datos_consumo_datadis'!A:A,"",""),"""")"),"ES0031408323131005HX0F")</f>
        <v>ES0031408323131005HX0F</v>
      </c>
      <c r="B284" s="17">
        <f>IFERROR(__xludf.DUMMYFUNCTION("""COMPUTED_VALUE"""),44877.0)</f>
        <v>44877</v>
      </c>
      <c r="C284" s="13">
        <f>IFERROR(__xludf.DUMMYFUNCTION("""COMPUTED_VALUE"""),0.7916666666666666)</f>
        <v>0.7916666667</v>
      </c>
      <c r="D284" s="8">
        <f>IFERROR(__xludf.DUMMYFUNCTION("""COMPUTED_VALUE"""),0.0)</f>
        <v>0</v>
      </c>
      <c r="E284" s="8" t="str">
        <f>IFERROR(__xludf.DUMMYFUNCTION("""COMPUTED_VALUE"""),"Real")</f>
        <v>Real</v>
      </c>
      <c r="G284" s="8">
        <f t="shared" si="1"/>
        <v>11</v>
      </c>
      <c r="H284" s="14">
        <f t="shared" si="2"/>
        <v>12</v>
      </c>
      <c r="I284" s="15">
        <f t="shared" si="3"/>
        <v>19</v>
      </c>
    </row>
    <row r="285">
      <c r="A285" s="8" t="str">
        <f>IFERROR(__xludf.DUMMYFUNCTION("IF('(INGESTA)Datos_consumo_datadis'!A285&lt;&gt;"""",SPLIT('(INGESTA)Datos_consumo_datadis'!A:A,"",""),"""")"),"ES0031408323131005HX0F")</f>
        <v>ES0031408323131005HX0F</v>
      </c>
      <c r="B285" s="17">
        <f>IFERROR(__xludf.DUMMYFUNCTION("""COMPUTED_VALUE"""),44877.0)</f>
        <v>44877</v>
      </c>
      <c r="C285" s="13">
        <f>IFERROR(__xludf.DUMMYFUNCTION("""COMPUTED_VALUE"""),0.8333333333333334)</f>
        <v>0.8333333333</v>
      </c>
      <c r="D285" s="8">
        <f>IFERROR(__xludf.DUMMYFUNCTION("""COMPUTED_VALUE"""),0.0)</f>
        <v>0</v>
      </c>
      <c r="E285" s="8" t="str">
        <f>IFERROR(__xludf.DUMMYFUNCTION("""COMPUTED_VALUE"""),"Real")</f>
        <v>Real</v>
      </c>
      <c r="G285" s="8">
        <f t="shared" si="1"/>
        <v>11</v>
      </c>
      <c r="H285" s="14">
        <f t="shared" si="2"/>
        <v>12</v>
      </c>
      <c r="I285" s="15">
        <f t="shared" si="3"/>
        <v>20</v>
      </c>
    </row>
    <row r="286">
      <c r="A286" s="8" t="str">
        <f>IFERROR(__xludf.DUMMYFUNCTION("IF('(INGESTA)Datos_consumo_datadis'!A286&lt;&gt;"""",SPLIT('(INGESTA)Datos_consumo_datadis'!A:A,"",""),"""")"),"ES0031408323131005HX0F")</f>
        <v>ES0031408323131005HX0F</v>
      </c>
      <c r="B286" s="17">
        <f>IFERROR(__xludf.DUMMYFUNCTION("""COMPUTED_VALUE"""),44877.0)</f>
        <v>44877</v>
      </c>
      <c r="C286" s="13">
        <f>IFERROR(__xludf.DUMMYFUNCTION("""COMPUTED_VALUE"""),0.875)</f>
        <v>0.875</v>
      </c>
      <c r="D286" s="8">
        <f>IFERROR(__xludf.DUMMYFUNCTION("""COMPUTED_VALUE"""),0.0)</f>
        <v>0</v>
      </c>
      <c r="E286" s="8" t="str">
        <f>IFERROR(__xludf.DUMMYFUNCTION("""COMPUTED_VALUE"""),"Real")</f>
        <v>Real</v>
      </c>
      <c r="G286" s="8">
        <f t="shared" si="1"/>
        <v>11</v>
      </c>
      <c r="H286" s="14">
        <f t="shared" si="2"/>
        <v>12</v>
      </c>
      <c r="I286" s="15">
        <f t="shared" si="3"/>
        <v>21</v>
      </c>
    </row>
    <row r="287">
      <c r="A287" s="8" t="str">
        <f>IFERROR(__xludf.DUMMYFUNCTION("IF('(INGESTA)Datos_consumo_datadis'!A287&lt;&gt;"""",SPLIT('(INGESTA)Datos_consumo_datadis'!A:A,"",""),"""")"),"ES0031408323131005HX0F")</f>
        <v>ES0031408323131005HX0F</v>
      </c>
      <c r="B287" s="17">
        <f>IFERROR(__xludf.DUMMYFUNCTION("""COMPUTED_VALUE"""),44877.0)</f>
        <v>44877</v>
      </c>
      <c r="C287" s="13">
        <f>IFERROR(__xludf.DUMMYFUNCTION("""COMPUTED_VALUE"""),0.9166666666666666)</f>
        <v>0.9166666667</v>
      </c>
      <c r="D287" s="8">
        <f>IFERROR(__xludf.DUMMYFUNCTION("""COMPUTED_VALUE"""),0.0)</f>
        <v>0</v>
      </c>
      <c r="E287" s="8" t="str">
        <f>IFERROR(__xludf.DUMMYFUNCTION("""COMPUTED_VALUE"""),"Real")</f>
        <v>Real</v>
      </c>
      <c r="G287" s="8">
        <f t="shared" si="1"/>
        <v>11</v>
      </c>
      <c r="H287" s="14">
        <f t="shared" si="2"/>
        <v>12</v>
      </c>
      <c r="I287" s="15">
        <f t="shared" si="3"/>
        <v>22</v>
      </c>
    </row>
    <row r="288">
      <c r="A288" s="8" t="str">
        <f>IFERROR(__xludf.DUMMYFUNCTION("IF('(INGESTA)Datos_consumo_datadis'!A288&lt;&gt;"""",SPLIT('(INGESTA)Datos_consumo_datadis'!A:A,"",""),"""")"),"ES0031408323131005HX0F")</f>
        <v>ES0031408323131005HX0F</v>
      </c>
      <c r="B288" s="17">
        <f>IFERROR(__xludf.DUMMYFUNCTION("""COMPUTED_VALUE"""),44877.0)</f>
        <v>44877</v>
      </c>
      <c r="C288" s="13">
        <f>IFERROR(__xludf.DUMMYFUNCTION("""COMPUTED_VALUE"""),0.9583333333333334)</f>
        <v>0.9583333333</v>
      </c>
      <c r="D288" s="8">
        <f>IFERROR(__xludf.DUMMYFUNCTION("""COMPUTED_VALUE"""),0.0)</f>
        <v>0</v>
      </c>
      <c r="E288" s="8" t="str">
        <f>IFERROR(__xludf.DUMMYFUNCTION("""COMPUTED_VALUE"""),"Real")</f>
        <v>Real</v>
      </c>
      <c r="G288" s="8">
        <f t="shared" si="1"/>
        <v>11</v>
      </c>
      <c r="H288" s="14">
        <f t="shared" si="2"/>
        <v>12</v>
      </c>
      <c r="I288" s="15">
        <f t="shared" si="3"/>
        <v>23</v>
      </c>
    </row>
    <row r="289">
      <c r="A289" s="8" t="str">
        <f>IFERROR(__xludf.DUMMYFUNCTION("IF('(INGESTA)Datos_consumo_datadis'!A289&lt;&gt;"""",SPLIT('(INGESTA)Datos_consumo_datadis'!A:A,"",""),"""")"),"ES0031408323131005HX0F")</f>
        <v>ES0031408323131005HX0F</v>
      </c>
      <c r="B289" s="17">
        <f>IFERROR(__xludf.DUMMYFUNCTION("""COMPUTED_VALUE"""),44877.0)</f>
        <v>44877</v>
      </c>
      <c r="C289" s="16">
        <f>IFERROR(__xludf.DUMMYFUNCTION("""COMPUTED_VALUE"""),1.0)</f>
        <v>1</v>
      </c>
      <c r="D289" s="8">
        <f>IFERROR(__xludf.DUMMYFUNCTION("""COMPUTED_VALUE"""),0.0)</f>
        <v>0</v>
      </c>
      <c r="E289" s="8" t="str">
        <f>IFERROR(__xludf.DUMMYFUNCTION("""COMPUTED_VALUE"""),"Real")</f>
        <v>Real</v>
      </c>
      <c r="G289" s="8">
        <f t="shared" si="1"/>
        <v>11</v>
      </c>
      <c r="H289" s="14">
        <f t="shared" si="2"/>
        <v>12</v>
      </c>
      <c r="I289" s="15">
        <f t="shared" si="3"/>
        <v>0</v>
      </c>
    </row>
    <row r="290">
      <c r="A290" s="8" t="str">
        <f>IFERROR(__xludf.DUMMYFUNCTION("IF('(INGESTA)Datos_consumo_datadis'!A290&lt;&gt;"""",SPLIT('(INGESTA)Datos_consumo_datadis'!A:A,"",""),"""")"),"ES0031408323131005HX0F")</f>
        <v>ES0031408323131005HX0F</v>
      </c>
      <c r="B290" s="17">
        <f>IFERROR(__xludf.DUMMYFUNCTION("""COMPUTED_VALUE"""),44878.0)</f>
        <v>44878</v>
      </c>
      <c r="C290" s="13">
        <f>IFERROR(__xludf.DUMMYFUNCTION("""COMPUTED_VALUE"""),0.041666666666666664)</f>
        <v>0.04166666667</v>
      </c>
      <c r="D290" s="8">
        <f>IFERROR(__xludf.DUMMYFUNCTION("""COMPUTED_VALUE"""),0.0)</f>
        <v>0</v>
      </c>
      <c r="E290" s="8" t="str">
        <f>IFERROR(__xludf.DUMMYFUNCTION("""COMPUTED_VALUE"""),"Real")</f>
        <v>Real</v>
      </c>
      <c r="G290" s="8">
        <f t="shared" si="1"/>
        <v>11</v>
      </c>
      <c r="H290" s="14">
        <f t="shared" si="2"/>
        <v>13</v>
      </c>
      <c r="I290" s="15">
        <f t="shared" si="3"/>
        <v>1</v>
      </c>
    </row>
    <row r="291">
      <c r="A291" s="8" t="str">
        <f>IFERROR(__xludf.DUMMYFUNCTION("IF('(INGESTA)Datos_consumo_datadis'!A291&lt;&gt;"""",SPLIT('(INGESTA)Datos_consumo_datadis'!A:A,"",""),"""")"),"ES0031408323131005HX0F")</f>
        <v>ES0031408323131005HX0F</v>
      </c>
      <c r="B291" s="17">
        <f>IFERROR(__xludf.DUMMYFUNCTION("""COMPUTED_VALUE"""),44878.0)</f>
        <v>44878</v>
      </c>
      <c r="C291" s="13">
        <f>IFERROR(__xludf.DUMMYFUNCTION("""COMPUTED_VALUE"""),0.08333333333333333)</f>
        <v>0.08333333333</v>
      </c>
      <c r="D291" s="8">
        <f>IFERROR(__xludf.DUMMYFUNCTION("""COMPUTED_VALUE"""),0.0)</f>
        <v>0</v>
      </c>
      <c r="E291" s="8" t="str">
        <f>IFERROR(__xludf.DUMMYFUNCTION("""COMPUTED_VALUE"""),"Real")</f>
        <v>Real</v>
      </c>
      <c r="G291" s="8">
        <f t="shared" si="1"/>
        <v>11</v>
      </c>
      <c r="H291" s="14">
        <f t="shared" si="2"/>
        <v>13</v>
      </c>
      <c r="I291" s="15">
        <f t="shared" si="3"/>
        <v>2</v>
      </c>
    </row>
    <row r="292">
      <c r="A292" s="8" t="str">
        <f>IFERROR(__xludf.DUMMYFUNCTION("IF('(INGESTA)Datos_consumo_datadis'!A292&lt;&gt;"""",SPLIT('(INGESTA)Datos_consumo_datadis'!A:A,"",""),"""")"),"ES0031408323131005HX0F")</f>
        <v>ES0031408323131005HX0F</v>
      </c>
      <c r="B292" s="17">
        <f>IFERROR(__xludf.DUMMYFUNCTION("""COMPUTED_VALUE"""),44878.0)</f>
        <v>44878</v>
      </c>
      <c r="C292" s="13">
        <f>IFERROR(__xludf.DUMMYFUNCTION("""COMPUTED_VALUE"""),0.125)</f>
        <v>0.125</v>
      </c>
      <c r="D292" s="8">
        <f>IFERROR(__xludf.DUMMYFUNCTION("""COMPUTED_VALUE"""),0.0)</f>
        <v>0</v>
      </c>
      <c r="E292" s="8" t="str">
        <f>IFERROR(__xludf.DUMMYFUNCTION("""COMPUTED_VALUE"""),"Real")</f>
        <v>Real</v>
      </c>
      <c r="G292" s="8">
        <f t="shared" si="1"/>
        <v>11</v>
      </c>
      <c r="H292" s="14">
        <f t="shared" si="2"/>
        <v>13</v>
      </c>
      <c r="I292" s="15">
        <f t="shared" si="3"/>
        <v>3</v>
      </c>
    </row>
    <row r="293">
      <c r="A293" s="8" t="str">
        <f>IFERROR(__xludf.DUMMYFUNCTION("IF('(INGESTA)Datos_consumo_datadis'!A293&lt;&gt;"""",SPLIT('(INGESTA)Datos_consumo_datadis'!A:A,"",""),"""")"),"ES0031408323131005HX0F")</f>
        <v>ES0031408323131005HX0F</v>
      </c>
      <c r="B293" s="17">
        <f>IFERROR(__xludf.DUMMYFUNCTION("""COMPUTED_VALUE"""),44878.0)</f>
        <v>44878</v>
      </c>
      <c r="C293" s="13">
        <f>IFERROR(__xludf.DUMMYFUNCTION("""COMPUTED_VALUE"""),0.16666666666666666)</f>
        <v>0.1666666667</v>
      </c>
      <c r="D293" s="8">
        <f>IFERROR(__xludf.DUMMYFUNCTION("""COMPUTED_VALUE"""),0.0)</f>
        <v>0</v>
      </c>
      <c r="E293" s="8" t="str">
        <f>IFERROR(__xludf.DUMMYFUNCTION("""COMPUTED_VALUE"""),"Real")</f>
        <v>Real</v>
      </c>
      <c r="G293" s="8">
        <f t="shared" si="1"/>
        <v>11</v>
      </c>
      <c r="H293" s="14">
        <f t="shared" si="2"/>
        <v>13</v>
      </c>
      <c r="I293" s="15">
        <f t="shared" si="3"/>
        <v>4</v>
      </c>
    </row>
    <row r="294">
      <c r="A294" s="8" t="str">
        <f>IFERROR(__xludf.DUMMYFUNCTION("IF('(INGESTA)Datos_consumo_datadis'!A294&lt;&gt;"""",SPLIT('(INGESTA)Datos_consumo_datadis'!A:A,"",""),"""")"),"ES0031408323131005HX0F")</f>
        <v>ES0031408323131005HX0F</v>
      </c>
      <c r="B294" s="17">
        <f>IFERROR(__xludf.DUMMYFUNCTION("""COMPUTED_VALUE"""),44878.0)</f>
        <v>44878</v>
      </c>
      <c r="C294" s="13">
        <f>IFERROR(__xludf.DUMMYFUNCTION("""COMPUTED_VALUE"""),0.20833333333333334)</f>
        <v>0.2083333333</v>
      </c>
      <c r="D294" s="8">
        <f>IFERROR(__xludf.DUMMYFUNCTION("""COMPUTED_VALUE"""),0.0)</f>
        <v>0</v>
      </c>
      <c r="E294" s="8" t="str">
        <f>IFERROR(__xludf.DUMMYFUNCTION("""COMPUTED_VALUE"""),"Real")</f>
        <v>Real</v>
      </c>
      <c r="G294" s="8">
        <f t="shared" si="1"/>
        <v>11</v>
      </c>
      <c r="H294" s="14">
        <f t="shared" si="2"/>
        <v>13</v>
      </c>
      <c r="I294" s="15">
        <f t="shared" si="3"/>
        <v>5</v>
      </c>
    </row>
    <row r="295">
      <c r="A295" s="8" t="str">
        <f>IFERROR(__xludf.DUMMYFUNCTION("IF('(INGESTA)Datos_consumo_datadis'!A295&lt;&gt;"""",SPLIT('(INGESTA)Datos_consumo_datadis'!A:A,"",""),"""")"),"ES0031408323131005HX0F")</f>
        <v>ES0031408323131005HX0F</v>
      </c>
      <c r="B295" s="17">
        <f>IFERROR(__xludf.DUMMYFUNCTION("""COMPUTED_VALUE"""),44878.0)</f>
        <v>44878</v>
      </c>
      <c r="C295" s="13">
        <f>IFERROR(__xludf.DUMMYFUNCTION("""COMPUTED_VALUE"""),0.25)</f>
        <v>0.25</v>
      </c>
      <c r="D295" s="8">
        <f>IFERROR(__xludf.DUMMYFUNCTION("""COMPUTED_VALUE"""),0.0)</f>
        <v>0</v>
      </c>
      <c r="E295" s="8" t="str">
        <f>IFERROR(__xludf.DUMMYFUNCTION("""COMPUTED_VALUE"""),"Real")</f>
        <v>Real</v>
      </c>
      <c r="G295" s="8">
        <f t="shared" si="1"/>
        <v>11</v>
      </c>
      <c r="H295" s="14">
        <f t="shared" si="2"/>
        <v>13</v>
      </c>
      <c r="I295" s="15">
        <f t="shared" si="3"/>
        <v>6</v>
      </c>
    </row>
    <row r="296">
      <c r="A296" s="8" t="str">
        <f>IFERROR(__xludf.DUMMYFUNCTION("IF('(INGESTA)Datos_consumo_datadis'!A296&lt;&gt;"""",SPLIT('(INGESTA)Datos_consumo_datadis'!A:A,"",""),"""")"),"ES0031408323131005HX0F")</f>
        <v>ES0031408323131005HX0F</v>
      </c>
      <c r="B296" s="17">
        <f>IFERROR(__xludf.DUMMYFUNCTION("""COMPUTED_VALUE"""),44878.0)</f>
        <v>44878</v>
      </c>
      <c r="C296" s="13">
        <f>IFERROR(__xludf.DUMMYFUNCTION("""COMPUTED_VALUE"""),0.2916666666666667)</f>
        <v>0.2916666667</v>
      </c>
      <c r="D296" s="8">
        <f>IFERROR(__xludf.DUMMYFUNCTION("""COMPUTED_VALUE"""),0.0)</f>
        <v>0</v>
      </c>
      <c r="E296" s="8" t="str">
        <f>IFERROR(__xludf.DUMMYFUNCTION("""COMPUTED_VALUE"""),"Real")</f>
        <v>Real</v>
      </c>
      <c r="G296" s="8">
        <f t="shared" si="1"/>
        <v>11</v>
      </c>
      <c r="H296" s="14">
        <f t="shared" si="2"/>
        <v>13</v>
      </c>
      <c r="I296" s="15">
        <f t="shared" si="3"/>
        <v>7</v>
      </c>
    </row>
    <row r="297">
      <c r="A297" s="8" t="str">
        <f>IFERROR(__xludf.DUMMYFUNCTION("IF('(INGESTA)Datos_consumo_datadis'!A297&lt;&gt;"""",SPLIT('(INGESTA)Datos_consumo_datadis'!A:A,"",""),"""")"),"ES0031408323131005HX0F")</f>
        <v>ES0031408323131005HX0F</v>
      </c>
      <c r="B297" s="17">
        <f>IFERROR(__xludf.DUMMYFUNCTION("""COMPUTED_VALUE"""),44878.0)</f>
        <v>44878</v>
      </c>
      <c r="C297" s="13">
        <f>IFERROR(__xludf.DUMMYFUNCTION("""COMPUTED_VALUE"""),0.3333333333333333)</f>
        <v>0.3333333333</v>
      </c>
      <c r="D297" s="8">
        <f>IFERROR(__xludf.DUMMYFUNCTION("""COMPUTED_VALUE"""),0.0)</f>
        <v>0</v>
      </c>
      <c r="E297" s="8" t="str">
        <f>IFERROR(__xludf.DUMMYFUNCTION("""COMPUTED_VALUE"""),"Real")</f>
        <v>Real</v>
      </c>
      <c r="G297" s="8">
        <f t="shared" si="1"/>
        <v>11</v>
      </c>
      <c r="H297" s="14">
        <f t="shared" si="2"/>
        <v>13</v>
      </c>
      <c r="I297" s="15">
        <f t="shared" si="3"/>
        <v>8</v>
      </c>
    </row>
    <row r="298">
      <c r="A298" s="8" t="str">
        <f>IFERROR(__xludf.DUMMYFUNCTION("IF('(INGESTA)Datos_consumo_datadis'!A298&lt;&gt;"""",SPLIT('(INGESTA)Datos_consumo_datadis'!A:A,"",""),"""")"),"ES0031408323131005HX0F")</f>
        <v>ES0031408323131005HX0F</v>
      </c>
      <c r="B298" s="17">
        <f>IFERROR(__xludf.DUMMYFUNCTION("""COMPUTED_VALUE"""),44878.0)</f>
        <v>44878</v>
      </c>
      <c r="C298" s="13">
        <f>IFERROR(__xludf.DUMMYFUNCTION("""COMPUTED_VALUE"""),0.375)</f>
        <v>0.375</v>
      </c>
      <c r="D298" s="8">
        <f>IFERROR(__xludf.DUMMYFUNCTION("""COMPUTED_VALUE"""),0.0)</f>
        <v>0</v>
      </c>
      <c r="E298" s="8" t="str">
        <f>IFERROR(__xludf.DUMMYFUNCTION("""COMPUTED_VALUE"""),"Real")</f>
        <v>Real</v>
      </c>
      <c r="G298" s="8">
        <f t="shared" si="1"/>
        <v>11</v>
      </c>
      <c r="H298" s="14">
        <f t="shared" si="2"/>
        <v>13</v>
      </c>
      <c r="I298" s="15">
        <f t="shared" si="3"/>
        <v>9</v>
      </c>
    </row>
    <row r="299">
      <c r="A299" s="8" t="str">
        <f>IFERROR(__xludf.DUMMYFUNCTION("IF('(INGESTA)Datos_consumo_datadis'!A299&lt;&gt;"""",SPLIT('(INGESTA)Datos_consumo_datadis'!A:A,"",""),"""")"),"ES0031408323131005HX0F")</f>
        <v>ES0031408323131005HX0F</v>
      </c>
      <c r="B299" s="17">
        <f>IFERROR(__xludf.DUMMYFUNCTION("""COMPUTED_VALUE"""),44878.0)</f>
        <v>44878</v>
      </c>
      <c r="C299" s="13">
        <f>IFERROR(__xludf.DUMMYFUNCTION("""COMPUTED_VALUE"""),0.4166666666666667)</f>
        <v>0.4166666667</v>
      </c>
      <c r="D299" s="8">
        <f>IFERROR(__xludf.DUMMYFUNCTION("""COMPUTED_VALUE"""),0.0)</f>
        <v>0</v>
      </c>
      <c r="E299" s="8" t="str">
        <f>IFERROR(__xludf.DUMMYFUNCTION("""COMPUTED_VALUE"""),"Real")</f>
        <v>Real</v>
      </c>
      <c r="G299" s="8">
        <f t="shared" si="1"/>
        <v>11</v>
      </c>
      <c r="H299" s="14">
        <f t="shared" si="2"/>
        <v>13</v>
      </c>
      <c r="I299" s="15">
        <f t="shared" si="3"/>
        <v>10</v>
      </c>
    </row>
    <row r="300">
      <c r="A300" s="8" t="str">
        <f>IFERROR(__xludf.DUMMYFUNCTION("IF('(INGESTA)Datos_consumo_datadis'!A300&lt;&gt;"""",SPLIT('(INGESTA)Datos_consumo_datadis'!A:A,"",""),"""")"),"ES0031408323131005HX0F")</f>
        <v>ES0031408323131005HX0F</v>
      </c>
      <c r="B300" s="17">
        <f>IFERROR(__xludf.DUMMYFUNCTION("""COMPUTED_VALUE"""),44878.0)</f>
        <v>44878</v>
      </c>
      <c r="C300" s="13">
        <f>IFERROR(__xludf.DUMMYFUNCTION("""COMPUTED_VALUE"""),0.4583333333333333)</f>
        <v>0.4583333333</v>
      </c>
      <c r="D300" s="8">
        <f>IFERROR(__xludf.DUMMYFUNCTION("""COMPUTED_VALUE"""),0.0)</f>
        <v>0</v>
      </c>
      <c r="E300" s="8" t="str">
        <f>IFERROR(__xludf.DUMMYFUNCTION("""COMPUTED_VALUE"""),"Real")</f>
        <v>Real</v>
      </c>
      <c r="G300" s="8">
        <f t="shared" si="1"/>
        <v>11</v>
      </c>
      <c r="H300" s="14">
        <f t="shared" si="2"/>
        <v>13</v>
      </c>
      <c r="I300" s="15">
        <f t="shared" si="3"/>
        <v>11</v>
      </c>
    </row>
    <row r="301">
      <c r="A301" s="8" t="str">
        <f>IFERROR(__xludf.DUMMYFUNCTION("IF('(INGESTA)Datos_consumo_datadis'!A301&lt;&gt;"""",SPLIT('(INGESTA)Datos_consumo_datadis'!A:A,"",""),"""")"),"ES0031408323131005HX0F")</f>
        <v>ES0031408323131005HX0F</v>
      </c>
      <c r="B301" s="17">
        <f>IFERROR(__xludf.DUMMYFUNCTION("""COMPUTED_VALUE"""),44878.0)</f>
        <v>44878</v>
      </c>
      <c r="C301" s="13">
        <f>IFERROR(__xludf.DUMMYFUNCTION("""COMPUTED_VALUE"""),0.5)</f>
        <v>0.5</v>
      </c>
      <c r="D301" s="8">
        <f>IFERROR(__xludf.DUMMYFUNCTION("""COMPUTED_VALUE"""),0.0)</f>
        <v>0</v>
      </c>
      <c r="E301" s="8" t="str">
        <f>IFERROR(__xludf.DUMMYFUNCTION("""COMPUTED_VALUE"""),"Real")</f>
        <v>Real</v>
      </c>
      <c r="G301" s="8">
        <f t="shared" si="1"/>
        <v>11</v>
      </c>
      <c r="H301" s="14">
        <f t="shared" si="2"/>
        <v>13</v>
      </c>
      <c r="I301" s="15">
        <f t="shared" si="3"/>
        <v>12</v>
      </c>
    </row>
    <row r="302">
      <c r="A302" s="8" t="str">
        <f>IFERROR(__xludf.DUMMYFUNCTION("IF('(INGESTA)Datos_consumo_datadis'!A302&lt;&gt;"""",SPLIT('(INGESTA)Datos_consumo_datadis'!A:A,"",""),"""")"),"ES0031408323131005HX0F")</f>
        <v>ES0031408323131005HX0F</v>
      </c>
      <c r="B302" s="17">
        <f>IFERROR(__xludf.DUMMYFUNCTION("""COMPUTED_VALUE"""),44878.0)</f>
        <v>44878</v>
      </c>
      <c r="C302" s="13">
        <f>IFERROR(__xludf.DUMMYFUNCTION("""COMPUTED_VALUE"""),0.5416666666666666)</f>
        <v>0.5416666667</v>
      </c>
      <c r="D302" s="8">
        <f>IFERROR(__xludf.DUMMYFUNCTION("""COMPUTED_VALUE"""),0.0)</f>
        <v>0</v>
      </c>
      <c r="E302" s="8" t="str">
        <f>IFERROR(__xludf.DUMMYFUNCTION("""COMPUTED_VALUE"""),"Real")</f>
        <v>Real</v>
      </c>
      <c r="G302" s="8">
        <f t="shared" si="1"/>
        <v>11</v>
      </c>
      <c r="H302" s="14">
        <f t="shared" si="2"/>
        <v>13</v>
      </c>
      <c r="I302" s="15">
        <f t="shared" si="3"/>
        <v>13</v>
      </c>
    </row>
    <row r="303">
      <c r="A303" s="8" t="str">
        <f>IFERROR(__xludf.DUMMYFUNCTION("IF('(INGESTA)Datos_consumo_datadis'!A303&lt;&gt;"""",SPLIT('(INGESTA)Datos_consumo_datadis'!A:A,"",""),"""")"),"ES0031408323131005HX0F")</f>
        <v>ES0031408323131005HX0F</v>
      </c>
      <c r="B303" s="17">
        <f>IFERROR(__xludf.DUMMYFUNCTION("""COMPUTED_VALUE"""),44878.0)</f>
        <v>44878</v>
      </c>
      <c r="C303" s="13">
        <f>IFERROR(__xludf.DUMMYFUNCTION("""COMPUTED_VALUE"""),0.5833333333333334)</f>
        <v>0.5833333333</v>
      </c>
      <c r="D303" s="8">
        <f>IFERROR(__xludf.DUMMYFUNCTION("""COMPUTED_VALUE"""),0.0)</f>
        <v>0</v>
      </c>
      <c r="E303" s="8" t="str">
        <f>IFERROR(__xludf.DUMMYFUNCTION("""COMPUTED_VALUE"""),"Real")</f>
        <v>Real</v>
      </c>
      <c r="G303" s="8">
        <f t="shared" si="1"/>
        <v>11</v>
      </c>
      <c r="H303" s="14">
        <f t="shared" si="2"/>
        <v>13</v>
      </c>
      <c r="I303" s="15">
        <f t="shared" si="3"/>
        <v>14</v>
      </c>
    </row>
    <row r="304">
      <c r="A304" s="8" t="str">
        <f>IFERROR(__xludf.DUMMYFUNCTION("IF('(INGESTA)Datos_consumo_datadis'!A304&lt;&gt;"""",SPLIT('(INGESTA)Datos_consumo_datadis'!A:A,"",""),"""")"),"ES0031408323131005HX0F")</f>
        <v>ES0031408323131005HX0F</v>
      </c>
      <c r="B304" s="17">
        <f>IFERROR(__xludf.DUMMYFUNCTION("""COMPUTED_VALUE"""),44878.0)</f>
        <v>44878</v>
      </c>
      <c r="C304" s="13">
        <f>IFERROR(__xludf.DUMMYFUNCTION("""COMPUTED_VALUE"""),0.625)</f>
        <v>0.625</v>
      </c>
      <c r="D304" s="8">
        <f>IFERROR(__xludf.DUMMYFUNCTION("""COMPUTED_VALUE"""),0.0)</f>
        <v>0</v>
      </c>
      <c r="E304" s="8" t="str">
        <f>IFERROR(__xludf.DUMMYFUNCTION("""COMPUTED_VALUE"""),"Real")</f>
        <v>Real</v>
      </c>
      <c r="G304" s="8">
        <f t="shared" si="1"/>
        <v>11</v>
      </c>
      <c r="H304" s="14">
        <f t="shared" si="2"/>
        <v>13</v>
      </c>
      <c r="I304" s="15">
        <f t="shared" si="3"/>
        <v>15</v>
      </c>
    </row>
    <row r="305">
      <c r="A305" s="8" t="str">
        <f>IFERROR(__xludf.DUMMYFUNCTION("IF('(INGESTA)Datos_consumo_datadis'!A305&lt;&gt;"""",SPLIT('(INGESTA)Datos_consumo_datadis'!A:A,"",""),"""")"),"ES0031408323131005HX0F")</f>
        <v>ES0031408323131005HX0F</v>
      </c>
      <c r="B305" s="17">
        <f>IFERROR(__xludf.DUMMYFUNCTION("""COMPUTED_VALUE"""),44878.0)</f>
        <v>44878</v>
      </c>
      <c r="C305" s="13">
        <f>IFERROR(__xludf.DUMMYFUNCTION("""COMPUTED_VALUE"""),0.6666666666666666)</f>
        <v>0.6666666667</v>
      </c>
      <c r="D305" s="8">
        <f>IFERROR(__xludf.DUMMYFUNCTION("""COMPUTED_VALUE"""),0.0)</f>
        <v>0</v>
      </c>
      <c r="E305" s="8" t="str">
        <f>IFERROR(__xludf.DUMMYFUNCTION("""COMPUTED_VALUE"""),"Real")</f>
        <v>Real</v>
      </c>
      <c r="G305" s="8">
        <f t="shared" si="1"/>
        <v>11</v>
      </c>
      <c r="H305" s="14">
        <f t="shared" si="2"/>
        <v>13</v>
      </c>
      <c r="I305" s="15">
        <f t="shared" si="3"/>
        <v>16</v>
      </c>
    </row>
    <row r="306">
      <c r="A306" s="8" t="str">
        <f>IFERROR(__xludf.DUMMYFUNCTION("IF('(INGESTA)Datos_consumo_datadis'!A306&lt;&gt;"""",SPLIT('(INGESTA)Datos_consumo_datadis'!A:A,"",""),"""")"),"ES0031408323131005HX0F")</f>
        <v>ES0031408323131005HX0F</v>
      </c>
      <c r="B306" s="17">
        <f>IFERROR(__xludf.DUMMYFUNCTION("""COMPUTED_VALUE"""),44878.0)</f>
        <v>44878</v>
      </c>
      <c r="C306" s="13">
        <f>IFERROR(__xludf.DUMMYFUNCTION("""COMPUTED_VALUE"""),0.7083333333333334)</f>
        <v>0.7083333333</v>
      </c>
      <c r="D306" s="8">
        <f>IFERROR(__xludf.DUMMYFUNCTION("""COMPUTED_VALUE"""),0.0)</f>
        <v>0</v>
      </c>
      <c r="E306" s="8" t="str">
        <f>IFERROR(__xludf.DUMMYFUNCTION("""COMPUTED_VALUE"""),"Real")</f>
        <v>Real</v>
      </c>
      <c r="G306" s="8">
        <f t="shared" si="1"/>
        <v>11</v>
      </c>
      <c r="H306" s="14">
        <f t="shared" si="2"/>
        <v>13</v>
      </c>
      <c r="I306" s="15">
        <f t="shared" si="3"/>
        <v>17</v>
      </c>
    </row>
    <row r="307">
      <c r="A307" s="8" t="str">
        <f>IFERROR(__xludf.DUMMYFUNCTION("IF('(INGESTA)Datos_consumo_datadis'!A307&lt;&gt;"""",SPLIT('(INGESTA)Datos_consumo_datadis'!A:A,"",""),"""")"),"ES0031408323131005HX0F")</f>
        <v>ES0031408323131005HX0F</v>
      </c>
      <c r="B307" s="17">
        <f>IFERROR(__xludf.DUMMYFUNCTION("""COMPUTED_VALUE"""),44878.0)</f>
        <v>44878</v>
      </c>
      <c r="C307" s="13">
        <f>IFERROR(__xludf.DUMMYFUNCTION("""COMPUTED_VALUE"""),0.75)</f>
        <v>0.75</v>
      </c>
      <c r="D307" s="8">
        <f>IFERROR(__xludf.DUMMYFUNCTION("""COMPUTED_VALUE"""),0.0)</f>
        <v>0</v>
      </c>
      <c r="E307" s="8" t="str">
        <f>IFERROR(__xludf.DUMMYFUNCTION("""COMPUTED_VALUE"""),"Real")</f>
        <v>Real</v>
      </c>
      <c r="G307" s="8">
        <f t="shared" si="1"/>
        <v>11</v>
      </c>
      <c r="H307" s="14">
        <f t="shared" si="2"/>
        <v>13</v>
      </c>
      <c r="I307" s="15">
        <f t="shared" si="3"/>
        <v>18</v>
      </c>
    </row>
    <row r="308">
      <c r="A308" s="8" t="str">
        <f>IFERROR(__xludf.DUMMYFUNCTION("IF('(INGESTA)Datos_consumo_datadis'!A308&lt;&gt;"""",SPLIT('(INGESTA)Datos_consumo_datadis'!A:A,"",""),"""")"),"ES0031408323131005HX0F")</f>
        <v>ES0031408323131005HX0F</v>
      </c>
      <c r="B308" s="17">
        <f>IFERROR(__xludf.DUMMYFUNCTION("""COMPUTED_VALUE"""),44878.0)</f>
        <v>44878</v>
      </c>
      <c r="C308" s="13">
        <f>IFERROR(__xludf.DUMMYFUNCTION("""COMPUTED_VALUE"""),0.7916666666666666)</f>
        <v>0.7916666667</v>
      </c>
      <c r="D308" s="8">
        <f>IFERROR(__xludf.DUMMYFUNCTION("""COMPUTED_VALUE"""),0.0)</f>
        <v>0</v>
      </c>
      <c r="E308" s="8" t="str">
        <f>IFERROR(__xludf.DUMMYFUNCTION("""COMPUTED_VALUE"""),"Real")</f>
        <v>Real</v>
      </c>
      <c r="G308" s="8">
        <f t="shared" si="1"/>
        <v>11</v>
      </c>
      <c r="H308" s="14">
        <f t="shared" si="2"/>
        <v>13</v>
      </c>
      <c r="I308" s="15">
        <f t="shared" si="3"/>
        <v>19</v>
      </c>
    </row>
    <row r="309">
      <c r="A309" s="8" t="str">
        <f>IFERROR(__xludf.DUMMYFUNCTION("IF('(INGESTA)Datos_consumo_datadis'!A309&lt;&gt;"""",SPLIT('(INGESTA)Datos_consumo_datadis'!A:A,"",""),"""")"),"ES0031408323131005HX0F")</f>
        <v>ES0031408323131005HX0F</v>
      </c>
      <c r="B309" s="17">
        <f>IFERROR(__xludf.DUMMYFUNCTION("""COMPUTED_VALUE"""),44878.0)</f>
        <v>44878</v>
      </c>
      <c r="C309" s="13">
        <f>IFERROR(__xludf.DUMMYFUNCTION("""COMPUTED_VALUE"""),0.8333333333333334)</f>
        <v>0.8333333333</v>
      </c>
      <c r="D309" s="8">
        <f>IFERROR(__xludf.DUMMYFUNCTION("""COMPUTED_VALUE"""),0.0)</f>
        <v>0</v>
      </c>
      <c r="E309" s="8" t="str">
        <f>IFERROR(__xludf.DUMMYFUNCTION("""COMPUTED_VALUE"""),"Real")</f>
        <v>Real</v>
      </c>
      <c r="G309" s="8">
        <f t="shared" si="1"/>
        <v>11</v>
      </c>
      <c r="H309" s="14">
        <f t="shared" si="2"/>
        <v>13</v>
      </c>
      <c r="I309" s="15">
        <f t="shared" si="3"/>
        <v>20</v>
      </c>
    </row>
    <row r="310">
      <c r="A310" s="8" t="str">
        <f>IFERROR(__xludf.DUMMYFUNCTION("IF('(INGESTA)Datos_consumo_datadis'!A310&lt;&gt;"""",SPLIT('(INGESTA)Datos_consumo_datadis'!A:A,"",""),"""")"),"ES0031408323131005HX0F")</f>
        <v>ES0031408323131005HX0F</v>
      </c>
      <c r="B310" s="17">
        <f>IFERROR(__xludf.DUMMYFUNCTION("""COMPUTED_VALUE"""),44878.0)</f>
        <v>44878</v>
      </c>
      <c r="C310" s="13">
        <f>IFERROR(__xludf.DUMMYFUNCTION("""COMPUTED_VALUE"""),0.875)</f>
        <v>0.875</v>
      </c>
      <c r="D310" s="8">
        <f>IFERROR(__xludf.DUMMYFUNCTION("""COMPUTED_VALUE"""),0.0)</f>
        <v>0</v>
      </c>
      <c r="E310" s="8" t="str">
        <f>IFERROR(__xludf.DUMMYFUNCTION("""COMPUTED_VALUE"""),"Real")</f>
        <v>Real</v>
      </c>
      <c r="G310" s="8">
        <f t="shared" si="1"/>
        <v>11</v>
      </c>
      <c r="H310" s="14">
        <f t="shared" si="2"/>
        <v>13</v>
      </c>
      <c r="I310" s="15">
        <f t="shared" si="3"/>
        <v>21</v>
      </c>
    </row>
    <row r="311">
      <c r="A311" s="8" t="str">
        <f>IFERROR(__xludf.DUMMYFUNCTION("IF('(INGESTA)Datos_consumo_datadis'!A311&lt;&gt;"""",SPLIT('(INGESTA)Datos_consumo_datadis'!A:A,"",""),"""")"),"ES0031408323131005HX0F")</f>
        <v>ES0031408323131005HX0F</v>
      </c>
      <c r="B311" s="17">
        <f>IFERROR(__xludf.DUMMYFUNCTION("""COMPUTED_VALUE"""),44878.0)</f>
        <v>44878</v>
      </c>
      <c r="C311" s="13">
        <f>IFERROR(__xludf.DUMMYFUNCTION("""COMPUTED_VALUE"""),0.9166666666666666)</f>
        <v>0.9166666667</v>
      </c>
      <c r="D311" s="8">
        <f>IFERROR(__xludf.DUMMYFUNCTION("""COMPUTED_VALUE"""),0.0)</f>
        <v>0</v>
      </c>
      <c r="E311" s="8" t="str">
        <f>IFERROR(__xludf.DUMMYFUNCTION("""COMPUTED_VALUE"""),"Real")</f>
        <v>Real</v>
      </c>
      <c r="G311" s="8">
        <f t="shared" si="1"/>
        <v>11</v>
      </c>
      <c r="H311" s="14">
        <f t="shared" si="2"/>
        <v>13</v>
      </c>
      <c r="I311" s="15">
        <f t="shared" si="3"/>
        <v>22</v>
      </c>
    </row>
    <row r="312">
      <c r="A312" s="8" t="str">
        <f>IFERROR(__xludf.DUMMYFUNCTION("IF('(INGESTA)Datos_consumo_datadis'!A312&lt;&gt;"""",SPLIT('(INGESTA)Datos_consumo_datadis'!A:A,"",""),"""")"),"ES0031408323131005HX0F")</f>
        <v>ES0031408323131005HX0F</v>
      </c>
      <c r="B312" s="17">
        <f>IFERROR(__xludf.DUMMYFUNCTION("""COMPUTED_VALUE"""),44878.0)</f>
        <v>44878</v>
      </c>
      <c r="C312" s="13">
        <f>IFERROR(__xludf.DUMMYFUNCTION("""COMPUTED_VALUE"""),0.9583333333333334)</f>
        <v>0.9583333333</v>
      </c>
      <c r="D312" s="8">
        <f>IFERROR(__xludf.DUMMYFUNCTION("""COMPUTED_VALUE"""),0.0)</f>
        <v>0</v>
      </c>
      <c r="E312" s="8" t="str">
        <f>IFERROR(__xludf.DUMMYFUNCTION("""COMPUTED_VALUE"""),"Real")</f>
        <v>Real</v>
      </c>
      <c r="G312" s="8">
        <f t="shared" si="1"/>
        <v>11</v>
      </c>
      <c r="H312" s="14">
        <f t="shared" si="2"/>
        <v>13</v>
      </c>
      <c r="I312" s="15">
        <f t="shared" si="3"/>
        <v>23</v>
      </c>
    </row>
    <row r="313">
      <c r="A313" s="8" t="str">
        <f>IFERROR(__xludf.DUMMYFUNCTION("IF('(INGESTA)Datos_consumo_datadis'!A313&lt;&gt;"""",SPLIT('(INGESTA)Datos_consumo_datadis'!A:A,"",""),"""")"),"ES0031408323131005HX0F")</f>
        <v>ES0031408323131005HX0F</v>
      </c>
      <c r="B313" s="17">
        <f>IFERROR(__xludf.DUMMYFUNCTION("""COMPUTED_VALUE"""),44878.0)</f>
        <v>44878</v>
      </c>
      <c r="C313" s="16">
        <f>IFERROR(__xludf.DUMMYFUNCTION("""COMPUTED_VALUE"""),1.0)</f>
        <v>1</v>
      </c>
      <c r="D313" s="8">
        <f>IFERROR(__xludf.DUMMYFUNCTION("""COMPUTED_VALUE"""),0.0)</f>
        <v>0</v>
      </c>
      <c r="E313" s="8" t="str">
        <f>IFERROR(__xludf.DUMMYFUNCTION("""COMPUTED_VALUE"""),"Real")</f>
        <v>Real</v>
      </c>
      <c r="G313" s="8">
        <f t="shared" si="1"/>
        <v>11</v>
      </c>
      <c r="H313" s="14">
        <f t="shared" si="2"/>
        <v>13</v>
      </c>
      <c r="I313" s="15">
        <f t="shared" si="3"/>
        <v>0</v>
      </c>
    </row>
    <row r="314">
      <c r="A314" s="8" t="str">
        <f>IFERROR(__xludf.DUMMYFUNCTION("IF('(INGESTA)Datos_consumo_datadis'!A314&lt;&gt;"""",SPLIT('(INGESTA)Datos_consumo_datadis'!A:A,"",""),"""")"),"ES0031408323131005HX0F")</f>
        <v>ES0031408323131005HX0F</v>
      </c>
      <c r="B314" s="17">
        <f>IFERROR(__xludf.DUMMYFUNCTION("""COMPUTED_VALUE"""),44879.0)</f>
        <v>44879</v>
      </c>
      <c r="C314" s="13">
        <f>IFERROR(__xludf.DUMMYFUNCTION("""COMPUTED_VALUE"""),0.041666666666666664)</f>
        <v>0.04166666667</v>
      </c>
      <c r="D314" s="8">
        <f>IFERROR(__xludf.DUMMYFUNCTION("""COMPUTED_VALUE"""),0.0)</f>
        <v>0</v>
      </c>
      <c r="E314" s="8" t="str">
        <f>IFERROR(__xludf.DUMMYFUNCTION("""COMPUTED_VALUE"""),"Real")</f>
        <v>Real</v>
      </c>
      <c r="G314" s="8">
        <f t="shared" si="1"/>
        <v>11</v>
      </c>
      <c r="H314" s="14">
        <f t="shared" si="2"/>
        <v>14</v>
      </c>
      <c r="I314" s="15">
        <f t="shared" si="3"/>
        <v>1</v>
      </c>
    </row>
    <row r="315">
      <c r="A315" s="8" t="str">
        <f>IFERROR(__xludf.DUMMYFUNCTION("IF('(INGESTA)Datos_consumo_datadis'!A315&lt;&gt;"""",SPLIT('(INGESTA)Datos_consumo_datadis'!A:A,"",""),"""")"),"ES0031408323131005HX0F")</f>
        <v>ES0031408323131005HX0F</v>
      </c>
      <c r="B315" s="17">
        <f>IFERROR(__xludf.DUMMYFUNCTION("""COMPUTED_VALUE"""),44879.0)</f>
        <v>44879</v>
      </c>
      <c r="C315" s="13">
        <f>IFERROR(__xludf.DUMMYFUNCTION("""COMPUTED_VALUE"""),0.08333333333333333)</f>
        <v>0.08333333333</v>
      </c>
      <c r="D315" s="8">
        <f>IFERROR(__xludf.DUMMYFUNCTION("""COMPUTED_VALUE"""),0.0)</f>
        <v>0</v>
      </c>
      <c r="E315" s="8" t="str">
        <f>IFERROR(__xludf.DUMMYFUNCTION("""COMPUTED_VALUE"""),"Real")</f>
        <v>Real</v>
      </c>
      <c r="G315" s="8">
        <f t="shared" si="1"/>
        <v>11</v>
      </c>
      <c r="H315" s="14">
        <f t="shared" si="2"/>
        <v>14</v>
      </c>
      <c r="I315" s="15">
        <f t="shared" si="3"/>
        <v>2</v>
      </c>
    </row>
    <row r="316">
      <c r="A316" s="8" t="str">
        <f>IFERROR(__xludf.DUMMYFUNCTION("IF('(INGESTA)Datos_consumo_datadis'!A316&lt;&gt;"""",SPLIT('(INGESTA)Datos_consumo_datadis'!A:A,"",""),"""")"),"ES0031408323131005HX0F")</f>
        <v>ES0031408323131005HX0F</v>
      </c>
      <c r="B316" s="17">
        <f>IFERROR(__xludf.DUMMYFUNCTION("""COMPUTED_VALUE"""),44879.0)</f>
        <v>44879</v>
      </c>
      <c r="C316" s="13">
        <f>IFERROR(__xludf.DUMMYFUNCTION("""COMPUTED_VALUE"""),0.125)</f>
        <v>0.125</v>
      </c>
      <c r="D316" s="8">
        <f>IFERROR(__xludf.DUMMYFUNCTION("""COMPUTED_VALUE"""),0.0)</f>
        <v>0</v>
      </c>
      <c r="E316" s="8" t="str">
        <f>IFERROR(__xludf.DUMMYFUNCTION("""COMPUTED_VALUE"""),"Real")</f>
        <v>Real</v>
      </c>
      <c r="G316" s="8">
        <f t="shared" si="1"/>
        <v>11</v>
      </c>
      <c r="H316" s="14">
        <f t="shared" si="2"/>
        <v>14</v>
      </c>
      <c r="I316" s="15">
        <f t="shared" si="3"/>
        <v>3</v>
      </c>
    </row>
    <row r="317">
      <c r="A317" s="8" t="str">
        <f>IFERROR(__xludf.DUMMYFUNCTION("IF('(INGESTA)Datos_consumo_datadis'!A317&lt;&gt;"""",SPLIT('(INGESTA)Datos_consumo_datadis'!A:A,"",""),"""")"),"ES0031408323131005HX0F")</f>
        <v>ES0031408323131005HX0F</v>
      </c>
      <c r="B317" s="17">
        <f>IFERROR(__xludf.DUMMYFUNCTION("""COMPUTED_VALUE"""),44879.0)</f>
        <v>44879</v>
      </c>
      <c r="C317" s="13">
        <f>IFERROR(__xludf.DUMMYFUNCTION("""COMPUTED_VALUE"""),0.16666666666666666)</f>
        <v>0.1666666667</v>
      </c>
      <c r="D317" s="8">
        <f>IFERROR(__xludf.DUMMYFUNCTION("""COMPUTED_VALUE"""),0.0)</f>
        <v>0</v>
      </c>
      <c r="E317" s="8" t="str">
        <f>IFERROR(__xludf.DUMMYFUNCTION("""COMPUTED_VALUE"""),"Real")</f>
        <v>Real</v>
      </c>
      <c r="G317" s="8">
        <f t="shared" si="1"/>
        <v>11</v>
      </c>
      <c r="H317" s="14">
        <f t="shared" si="2"/>
        <v>14</v>
      </c>
      <c r="I317" s="15">
        <f t="shared" si="3"/>
        <v>4</v>
      </c>
    </row>
    <row r="318">
      <c r="A318" s="8" t="str">
        <f>IFERROR(__xludf.DUMMYFUNCTION("IF('(INGESTA)Datos_consumo_datadis'!A318&lt;&gt;"""",SPLIT('(INGESTA)Datos_consumo_datadis'!A:A,"",""),"""")"),"ES0031408323131005HX0F")</f>
        <v>ES0031408323131005HX0F</v>
      </c>
      <c r="B318" s="17">
        <f>IFERROR(__xludf.DUMMYFUNCTION("""COMPUTED_VALUE"""),44879.0)</f>
        <v>44879</v>
      </c>
      <c r="C318" s="13">
        <f>IFERROR(__xludf.DUMMYFUNCTION("""COMPUTED_VALUE"""),0.20833333333333334)</f>
        <v>0.2083333333</v>
      </c>
      <c r="D318" s="8">
        <f>IFERROR(__xludf.DUMMYFUNCTION("""COMPUTED_VALUE"""),0.0)</f>
        <v>0</v>
      </c>
      <c r="E318" s="8" t="str">
        <f>IFERROR(__xludf.DUMMYFUNCTION("""COMPUTED_VALUE"""),"Real")</f>
        <v>Real</v>
      </c>
      <c r="G318" s="8">
        <f t="shared" si="1"/>
        <v>11</v>
      </c>
      <c r="H318" s="14">
        <f t="shared" si="2"/>
        <v>14</v>
      </c>
      <c r="I318" s="15">
        <f t="shared" si="3"/>
        <v>5</v>
      </c>
    </row>
    <row r="319">
      <c r="A319" s="8" t="str">
        <f>IFERROR(__xludf.DUMMYFUNCTION("IF('(INGESTA)Datos_consumo_datadis'!A319&lt;&gt;"""",SPLIT('(INGESTA)Datos_consumo_datadis'!A:A,"",""),"""")"),"ES0031408323131005HX0F")</f>
        <v>ES0031408323131005HX0F</v>
      </c>
      <c r="B319" s="17">
        <f>IFERROR(__xludf.DUMMYFUNCTION("""COMPUTED_VALUE"""),44879.0)</f>
        <v>44879</v>
      </c>
      <c r="C319" s="13">
        <f>IFERROR(__xludf.DUMMYFUNCTION("""COMPUTED_VALUE"""),0.25)</f>
        <v>0.25</v>
      </c>
      <c r="D319" s="8">
        <f>IFERROR(__xludf.DUMMYFUNCTION("""COMPUTED_VALUE"""),0.0)</f>
        <v>0</v>
      </c>
      <c r="E319" s="8" t="str">
        <f>IFERROR(__xludf.DUMMYFUNCTION("""COMPUTED_VALUE"""),"Real")</f>
        <v>Real</v>
      </c>
      <c r="G319" s="8">
        <f t="shared" si="1"/>
        <v>11</v>
      </c>
      <c r="H319" s="14">
        <f t="shared" si="2"/>
        <v>14</v>
      </c>
      <c r="I319" s="15">
        <f t="shared" si="3"/>
        <v>6</v>
      </c>
    </row>
    <row r="320">
      <c r="A320" s="8" t="str">
        <f>IFERROR(__xludf.DUMMYFUNCTION("IF('(INGESTA)Datos_consumo_datadis'!A320&lt;&gt;"""",SPLIT('(INGESTA)Datos_consumo_datadis'!A:A,"",""),"""")"),"ES0031408323131005HX0F")</f>
        <v>ES0031408323131005HX0F</v>
      </c>
      <c r="B320" s="17">
        <f>IFERROR(__xludf.DUMMYFUNCTION("""COMPUTED_VALUE"""),44879.0)</f>
        <v>44879</v>
      </c>
      <c r="C320" s="13">
        <f>IFERROR(__xludf.DUMMYFUNCTION("""COMPUTED_VALUE"""),0.2916666666666667)</f>
        <v>0.2916666667</v>
      </c>
      <c r="D320" s="8">
        <f>IFERROR(__xludf.DUMMYFUNCTION("""COMPUTED_VALUE"""),0.0)</f>
        <v>0</v>
      </c>
      <c r="E320" s="8" t="str">
        <f>IFERROR(__xludf.DUMMYFUNCTION("""COMPUTED_VALUE"""),"Real")</f>
        <v>Real</v>
      </c>
      <c r="G320" s="8">
        <f t="shared" si="1"/>
        <v>11</v>
      </c>
      <c r="H320" s="14">
        <f t="shared" si="2"/>
        <v>14</v>
      </c>
      <c r="I320" s="15">
        <f t="shared" si="3"/>
        <v>7</v>
      </c>
    </row>
    <row r="321">
      <c r="A321" s="8" t="str">
        <f>IFERROR(__xludf.DUMMYFUNCTION("IF('(INGESTA)Datos_consumo_datadis'!A321&lt;&gt;"""",SPLIT('(INGESTA)Datos_consumo_datadis'!A:A,"",""),"""")"),"ES0031408323131005HX0F")</f>
        <v>ES0031408323131005HX0F</v>
      </c>
      <c r="B321" s="17">
        <f>IFERROR(__xludf.DUMMYFUNCTION("""COMPUTED_VALUE"""),44879.0)</f>
        <v>44879</v>
      </c>
      <c r="C321" s="13">
        <f>IFERROR(__xludf.DUMMYFUNCTION("""COMPUTED_VALUE"""),0.3333333333333333)</f>
        <v>0.3333333333</v>
      </c>
      <c r="D321" s="8">
        <f>IFERROR(__xludf.DUMMYFUNCTION("""COMPUTED_VALUE"""),0.0)</f>
        <v>0</v>
      </c>
      <c r="E321" s="8" t="str">
        <f>IFERROR(__xludf.DUMMYFUNCTION("""COMPUTED_VALUE"""),"Real")</f>
        <v>Real</v>
      </c>
      <c r="G321" s="8">
        <f t="shared" si="1"/>
        <v>11</v>
      </c>
      <c r="H321" s="14">
        <f t="shared" si="2"/>
        <v>14</v>
      </c>
      <c r="I321" s="15">
        <f t="shared" si="3"/>
        <v>8</v>
      </c>
    </row>
    <row r="322">
      <c r="A322" s="8" t="str">
        <f>IFERROR(__xludf.DUMMYFUNCTION("IF('(INGESTA)Datos_consumo_datadis'!A322&lt;&gt;"""",SPLIT('(INGESTA)Datos_consumo_datadis'!A:A,"",""),"""")"),"ES0031408323131005HX0F")</f>
        <v>ES0031408323131005HX0F</v>
      </c>
      <c r="B322" s="17">
        <f>IFERROR(__xludf.DUMMYFUNCTION("""COMPUTED_VALUE"""),44879.0)</f>
        <v>44879</v>
      </c>
      <c r="C322" s="13">
        <f>IFERROR(__xludf.DUMMYFUNCTION("""COMPUTED_VALUE"""),0.375)</f>
        <v>0.375</v>
      </c>
      <c r="D322" s="8">
        <f>IFERROR(__xludf.DUMMYFUNCTION("""COMPUTED_VALUE"""),0.0)</f>
        <v>0</v>
      </c>
      <c r="E322" s="8" t="str">
        <f>IFERROR(__xludf.DUMMYFUNCTION("""COMPUTED_VALUE"""),"Real")</f>
        <v>Real</v>
      </c>
      <c r="G322" s="8">
        <f t="shared" si="1"/>
        <v>11</v>
      </c>
      <c r="H322" s="14">
        <f t="shared" si="2"/>
        <v>14</v>
      </c>
      <c r="I322" s="15">
        <f t="shared" si="3"/>
        <v>9</v>
      </c>
    </row>
    <row r="323">
      <c r="A323" s="8" t="str">
        <f>IFERROR(__xludf.DUMMYFUNCTION("IF('(INGESTA)Datos_consumo_datadis'!A323&lt;&gt;"""",SPLIT('(INGESTA)Datos_consumo_datadis'!A:A,"",""),"""")"),"ES0031408323131005HX0F")</f>
        <v>ES0031408323131005HX0F</v>
      </c>
      <c r="B323" s="17">
        <f>IFERROR(__xludf.DUMMYFUNCTION("""COMPUTED_VALUE"""),44879.0)</f>
        <v>44879</v>
      </c>
      <c r="C323" s="13">
        <f>IFERROR(__xludf.DUMMYFUNCTION("""COMPUTED_VALUE"""),0.4166666666666667)</f>
        <v>0.4166666667</v>
      </c>
      <c r="D323" s="8">
        <f>IFERROR(__xludf.DUMMYFUNCTION("""COMPUTED_VALUE"""),0.0)</f>
        <v>0</v>
      </c>
      <c r="E323" s="8" t="str">
        <f>IFERROR(__xludf.DUMMYFUNCTION("""COMPUTED_VALUE"""),"Real")</f>
        <v>Real</v>
      </c>
      <c r="G323" s="8">
        <f t="shared" si="1"/>
        <v>11</v>
      </c>
      <c r="H323" s="14">
        <f t="shared" si="2"/>
        <v>14</v>
      </c>
      <c r="I323" s="15">
        <f t="shared" si="3"/>
        <v>10</v>
      </c>
    </row>
    <row r="324">
      <c r="A324" s="8" t="str">
        <f>IFERROR(__xludf.DUMMYFUNCTION("IF('(INGESTA)Datos_consumo_datadis'!A324&lt;&gt;"""",SPLIT('(INGESTA)Datos_consumo_datadis'!A:A,"",""),"""")"),"ES0031408323131005HX0F")</f>
        <v>ES0031408323131005HX0F</v>
      </c>
      <c r="B324" s="17">
        <f>IFERROR(__xludf.DUMMYFUNCTION("""COMPUTED_VALUE"""),44879.0)</f>
        <v>44879</v>
      </c>
      <c r="C324" s="13">
        <f>IFERROR(__xludf.DUMMYFUNCTION("""COMPUTED_VALUE"""),0.4583333333333333)</f>
        <v>0.4583333333</v>
      </c>
      <c r="D324" s="8">
        <f>IFERROR(__xludf.DUMMYFUNCTION("""COMPUTED_VALUE"""),0.0)</f>
        <v>0</v>
      </c>
      <c r="E324" s="8" t="str">
        <f>IFERROR(__xludf.DUMMYFUNCTION("""COMPUTED_VALUE"""),"Real")</f>
        <v>Real</v>
      </c>
      <c r="G324" s="8">
        <f t="shared" si="1"/>
        <v>11</v>
      </c>
      <c r="H324" s="14">
        <f t="shared" si="2"/>
        <v>14</v>
      </c>
      <c r="I324" s="15">
        <f t="shared" si="3"/>
        <v>11</v>
      </c>
    </row>
    <row r="325">
      <c r="A325" s="8" t="str">
        <f>IFERROR(__xludf.DUMMYFUNCTION("IF('(INGESTA)Datos_consumo_datadis'!A325&lt;&gt;"""",SPLIT('(INGESTA)Datos_consumo_datadis'!A:A,"",""),"""")"),"ES0031408323131005HX0F")</f>
        <v>ES0031408323131005HX0F</v>
      </c>
      <c r="B325" s="17">
        <f>IFERROR(__xludf.DUMMYFUNCTION("""COMPUTED_VALUE"""),44879.0)</f>
        <v>44879</v>
      </c>
      <c r="C325" s="13">
        <f>IFERROR(__xludf.DUMMYFUNCTION("""COMPUTED_VALUE"""),0.5)</f>
        <v>0.5</v>
      </c>
      <c r="D325" s="8">
        <f>IFERROR(__xludf.DUMMYFUNCTION("""COMPUTED_VALUE"""),0.0)</f>
        <v>0</v>
      </c>
      <c r="E325" s="8" t="str">
        <f>IFERROR(__xludf.DUMMYFUNCTION("""COMPUTED_VALUE"""),"Real")</f>
        <v>Real</v>
      </c>
      <c r="G325" s="8">
        <f t="shared" si="1"/>
        <v>11</v>
      </c>
      <c r="H325" s="14">
        <f t="shared" si="2"/>
        <v>14</v>
      </c>
      <c r="I325" s="15">
        <f t="shared" si="3"/>
        <v>12</v>
      </c>
    </row>
    <row r="326">
      <c r="A326" s="8" t="str">
        <f>IFERROR(__xludf.DUMMYFUNCTION("IF('(INGESTA)Datos_consumo_datadis'!A326&lt;&gt;"""",SPLIT('(INGESTA)Datos_consumo_datadis'!A:A,"",""),"""")"),"ES0031408323131005HX0F")</f>
        <v>ES0031408323131005HX0F</v>
      </c>
      <c r="B326" s="17">
        <f>IFERROR(__xludf.DUMMYFUNCTION("""COMPUTED_VALUE"""),44879.0)</f>
        <v>44879</v>
      </c>
      <c r="C326" s="13">
        <f>IFERROR(__xludf.DUMMYFUNCTION("""COMPUTED_VALUE"""),0.5416666666666666)</f>
        <v>0.5416666667</v>
      </c>
      <c r="D326" s="8">
        <f>IFERROR(__xludf.DUMMYFUNCTION("""COMPUTED_VALUE"""),0.0)</f>
        <v>0</v>
      </c>
      <c r="E326" s="8" t="str">
        <f>IFERROR(__xludf.DUMMYFUNCTION("""COMPUTED_VALUE"""),"Real")</f>
        <v>Real</v>
      </c>
      <c r="G326" s="8">
        <f t="shared" si="1"/>
        <v>11</v>
      </c>
      <c r="H326" s="14">
        <f t="shared" si="2"/>
        <v>14</v>
      </c>
      <c r="I326" s="15">
        <f t="shared" si="3"/>
        <v>13</v>
      </c>
    </row>
    <row r="327">
      <c r="A327" s="8" t="str">
        <f>IFERROR(__xludf.DUMMYFUNCTION("IF('(INGESTA)Datos_consumo_datadis'!A327&lt;&gt;"""",SPLIT('(INGESTA)Datos_consumo_datadis'!A:A,"",""),"""")"),"ES0031408323131005HX0F")</f>
        <v>ES0031408323131005HX0F</v>
      </c>
      <c r="B327" s="17">
        <f>IFERROR(__xludf.DUMMYFUNCTION("""COMPUTED_VALUE"""),44879.0)</f>
        <v>44879</v>
      </c>
      <c r="C327" s="13">
        <f>IFERROR(__xludf.DUMMYFUNCTION("""COMPUTED_VALUE"""),0.5833333333333334)</f>
        <v>0.5833333333</v>
      </c>
      <c r="D327" s="8">
        <f>IFERROR(__xludf.DUMMYFUNCTION("""COMPUTED_VALUE"""),0.0)</f>
        <v>0</v>
      </c>
      <c r="E327" s="8" t="str">
        <f>IFERROR(__xludf.DUMMYFUNCTION("""COMPUTED_VALUE"""),"Real")</f>
        <v>Real</v>
      </c>
      <c r="G327" s="8">
        <f t="shared" si="1"/>
        <v>11</v>
      </c>
      <c r="H327" s="14">
        <f t="shared" si="2"/>
        <v>14</v>
      </c>
      <c r="I327" s="15">
        <f t="shared" si="3"/>
        <v>14</v>
      </c>
    </row>
    <row r="328">
      <c r="A328" s="8" t="str">
        <f>IFERROR(__xludf.DUMMYFUNCTION("IF('(INGESTA)Datos_consumo_datadis'!A328&lt;&gt;"""",SPLIT('(INGESTA)Datos_consumo_datadis'!A:A,"",""),"""")"),"ES0031408323131005HX0F")</f>
        <v>ES0031408323131005HX0F</v>
      </c>
      <c r="B328" s="17">
        <f>IFERROR(__xludf.DUMMYFUNCTION("""COMPUTED_VALUE"""),44879.0)</f>
        <v>44879</v>
      </c>
      <c r="C328" s="13">
        <f>IFERROR(__xludf.DUMMYFUNCTION("""COMPUTED_VALUE"""),0.625)</f>
        <v>0.625</v>
      </c>
      <c r="D328" s="8">
        <f>IFERROR(__xludf.DUMMYFUNCTION("""COMPUTED_VALUE"""),0.0)</f>
        <v>0</v>
      </c>
      <c r="E328" s="8" t="str">
        <f>IFERROR(__xludf.DUMMYFUNCTION("""COMPUTED_VALUE"""),"Real")</f>
        <v>Real</v>
      </c>
      <c r="G328" s="8">
        <f t="shared" si="1"/>
        <v>11</v>
      </c>
      <c r="H328" s="14">
        <f t="shared" si="2"/>
        <v>14</v>
      </c>
      <c r="I328" s="15">
        <f t="shared" si="3"/>
        <v>15</v>
      </c>
    </row>
    <row r="329">
      <c r="A329" s="8" t="str">
        <f>IFERROR(__xludf.DUMMYFUNCTION("IF('(INGESTA)Datos_consumo_datadis'!A329&lt;&gt;"""",SPLIT('(INGESTA)Datos_consumo_datadis'!A:A,"",""),"""")"),"ES0031408323131005HX0F")</f>
        <v>ES0031408323131005HX0F</v>
      </c>
      <c r="B329" s="17">
        <f>IFERROR(__xludf.DUMMYFUNCTION("""COMPUTED_VALUE"""),44879.0)</f>
        <v>44879</v>
      </c>
      <c r="C329" s="13">
        <f>IFERROR(__xludf.DUMMYFUNCTION("""COMPUTED_VALUE"""),0.6666666666666666)</f>
        <v>0.6666666667</v>
      </c>
      <c r="D329" s="8">
        <f>IFERROR(__xludf.DUMMYFUNCTION("""COMPUTED_VALUE"""),0.0)</f>
        <v>0</v>
      </c>
      <c r="E329" s="8" t="str">
        <f>IFERROR(__xludf.DUMMYFUNCTION("""COMPUTED_VALUE"""),"Real")</f>
        <v>Real</v>
      </c>
      <c r="G329" s="8">
        <f t="shared" si="1"/>
        <v>11</v>
      </c>
      <c r="H329" s="14">
        <f t="shared" si="2"/>
        <v>14</v>
      </c>
      <c r="I329" s="15">
        <f t="shared" si="3"/>
        <v>16</v>
      </c>
    </row>
    <row r="330">
      <c r="A330" s="8" t="str">
        <f>IFERROR(__xludf.DUMMYFUNCTION("IF('(INGESTA)Datos_consumo_datadis'!A330&lt;&gt;"""",SPLIT('(INGESTA)Datos_consumo_datadis'!A:A,"",""),"""")"),"ES0031408323131005HX0F")</f>
        <v>ES0031408323131005HX0F</v>
      </c>
      <c r="B330" s="17">
        <f>IFERROR(__xludf.DUMMYFUNCTION("""COMPUTED_VALUE"""),44879.0)</f>
        <v>44879</v>
      </c>
      <c r="C330" s="13">
        <f>IFERROR(__xludf.DUMMYFUNCTION("""COMPUTED_VALUE"""),0.7083333333333334)</f>
        <v>0.7083333333</v>
      </c>
      <c r="D330" s="8">
        <f>IFERROR(__xludf.DUMMYFUNCTION("""COMPUTED_VALUE"""),0.0)</f>
        <v>0</v>
      </c>
      <c r="E330" s="8" t="str">
        <f>IFERROR(__xludf.DUMMYFUNCTION("""COMPUTED_VALUE"""),"Real")</f>
        <v>Real</v>
      </c>
      <c r="G330" s="8">
        <f t="shared" si="1"/>
        <v>11</v>
      </c>
      <c r="H330" s="14">
        <f t="shared" si="2"/>
        <v>14</v>
      </c>
      <c r="I330" s="15">
        <f t="shared" si="3"/>
        <v>17</v>
      </c>
    </row>
    <row r="331">
      <c r="A331" s="8" t="str">
        <f>IFERROR(__xludf.DUMMYFUNCTION("IF('(INGESTA)Datos_consumo_datadis'!A331&lt;&gt;"""",SPLIT('(INGESTA)Datos_consumo_datadis'!A:A,"",""),"""")"),"ES0031408323131005HX0F")</f>
        <v>ES0031408323131005HX0F</v>
      </c>
      <c r="B331" s="17">
        <f>IFERROR(__xludf.DUMMYFUNCTION("""COMPUTED_VALUE"""),44879.0)</f>
        <v>44879</v>
      </c>
      <c r="C331" s="13">
        <f>IFERROR(__xludf.DUMMYFUNCTION("""COMPUTED_VALUE"""),0.75)</f>
        <v>0.75</v>
      </c>
      <c r="D331" s="8">
        <f>IFERROR(__xludf.DUMMYFUNCTION("""COMPUTED_VALUE"""),0.0)</f>
        <v>0</v>
      </c>
      <c r="E331" s="8" t="str">
        <f>IFERROR(__xludf.DUMMYFUNCTION("""COMPUTED_VALUE"""),"Real")</f>
        <v>Real</v>
      </c>
      <c r="G331" s="8">
        <f t="shared" si="1"/>
        <v>11</v>
      </c>
      <c r="H331" s="14">
        <f t="shared" si="2"/>
        <v>14</v>
      </c>
      <c r="I331" s="15">
        <f t="shared" si="3"/>
        <v>18</v>
      </c>
    </row>
    <row r="332">
      <c r="A332" s="8" t="str">
        <f>IFERROR(__xludf.DUMMYFUNCTION("IF('(INGESTA)Datos_consumo_datadis'!A332&lt;&gt;"""",SPLIT('(INGESTA)Datos_consumo_datadis'!A:A,"",""),"""")"),"ES0031408323131005HX0F")</f>
        <v>ES0031408323131005HX0F</v>
      </c>
      <c r="B332" s="17">
        <f>IFERROR(__xludf.DUMMYFUNCTION("""COMPUTED_VALUE"""),44879.0)</f>
        <v>44879</v>
      </c>
      <c r="C332" s="13">
        <f>IFERROR(__xludf.DUMMYFUNCTION("""COMPUTED_VALUE"""),0.7916666666666666)</f>
        <v>0.7916666667</v>
      </c>
      <c r="D332" s="8">
        <f>IFERROR(__xludf.DUMMYFUNCTION("""COMPUTED_VALUE"""),0.0)</f>
        <v>0</v>
      </c>
      <c r="E332" s="8" t="str">
        <f>IFERROR(__xludf.DUMMYFUNCTION("""COMPUTED_VALUE"""),"Real")</f>
        <v>Real</v>
      </c>
      <c r="G332" s="8">
        <f t="shared" si="1"/>
        <v>11</v>
      </c>
      <c r="H332" s="14">
        <f t="shared" si="2"/>
        <v>14</v>
      </c>
      <c r="I332" s="15">
        <f t="shared" si="3"/>
        <v>19</v>
      </c>
    </row>
    <row r="333">
      <c r="A333" s="8" t="str">
        <f>IFERROR(__xludf.DUMMYFUNCTION("IF('(INGESTA)Datos_consumo_datadis'!A333&lt;&gt;"""",SPLIT('(INGESTA)Datos_consumo_datadis'!A:A,"",""),"""")"),"ES0031408323131005HX0F")</f>
        <v>ES0031408323131005HX0F</v>
      </c>
      <c r="B333" s="17">
        <f>IFERROR(__xludf.DUMMYFUNCTION("""COMPUTED_VALUE"""),44879.0)</f>
        <v>44879</v>
      </c>
      <c r="C333" s="13">
        <f>IFERROR(__xludf.DUMMYFUNCTION("""COMPUTED_VALUE"""),0.8333333333333334)</f>
        <v>0.8333333333</v>
      </c>
      <c r="D333" s="8">
        <f>IFERROR(__xludf.DUMMYFUNCTION("""COMPUTED_VALUE"""),0.0)</f>
        <v>0</v>
      </c>
      <c r="E333" s="8" t="str">
        <f>IFERROR(__xludf.DUMMYFUNCTION("""COMPUTED_VALUE"""),"Real")</f>
        <v>Real</v>
      </c>
      <c r="G333" s="8">
        <f t="shared" si="1"/>
        <v>11</v>
      </c>
      <c r="H333" s="14">
        <f t="shared" si="2"/>
        <v>14</v>
      </c>
      <c r="I333" s="15">
        <f t="shared" si="3"/>
        <v>20</v>
      </c>
    </row>
    <row r="334">
      <c r="A334" s="8" t="str">
        <f>IFERROR(__xludf.DUMMYFUNCTION("IF('(INGESTA)Datos_consumo_datadis'!A334&lt;&gt;"""",SPLIT('(INGESTA)Datos_consumo_datadis'!A:A,"",""),"""")"),"ES0031408323131005HX0F")</f>
        <v>ES0031408323131005HX0F</v>
      </c>
      <c r="B334" s="17">
        <f>IFERROR(__xludf.DUMMYFUNCTION("""COMPUTED_VALUE"""),44879.0)</f>
        <v>44879</v>
      </c>
      <c r="C334" s="13">
        <f>IFERROR(__xludf.DUMMYFUNCTION("""COMPUTED_VALUE"""),0.875)</f>
        <v>0.875</v>
      </c>
      <c r="D334" s="8">
        <f>IFERROR(__xludf.DUMMYFUNCTION("""COMPUTED_VALUE"""),0.0)</f>
        <v>0</v>
      </c>
      <c r="E334" s="8" t="str">
        <f>IFERROR(__xludf.DUMMYFUNCTION("""COMPUTED_VALUE"""),"Real")</f>
        <v>Real</v>
      </c>
      <c r="G334" s="8">
        <f t="shared" si="1"/>
        <v>11</v>
      </c>
      <c r="H334" s="14">
        <f t="shared" si="2"/>
        <v>14</v>
      </c>
      <c r="I334" s="15">
        <f t="shared" si="3"/>
        <v>21</v>
      </c>
    </row>
    <row r="335">
      <c r="A335" s="8" t="str">
        <f>IFERROR(__xludf.DUMMYFUNCTION("IF('(INGESTA)Datos_consumo_datadis'!A335&lt;&gt;"""",SPLIT('(INGESTA)Datos_consumo_datadis'!A:A,"",""),"""")"),"ES0031408323131005HX0F")</f>
        <v>ES0031408323131005HX0F</v>
      </c>
      <c r="B335" s="17">
        <f>IFERROR(__xludf.DUMMYFUNCTION("""COMPUTED_VALUE"""),44879.0)</f>
        <v>44879</v>
      </c>
      <c r="C335" s="13">
        <f>IFERROR(__xludf.DUMMYFUNCTION("""COMPUTED_VALUE"""),0.9166666666666666)</f>
        <v>0.9166666667</v>
      </c>
      <c r="D335" s="8">
        <f>IFERROR(__xludf.DUMMYFUNCTION("""COMPUTED_VALUE"""),0.0)</f>
        <v>0</v>
      </c>
      <c r="E335" s="8" t="str">
        <f>IFERROR(__xludf.DUMMYFUNCTION("""COMPUTED_VALUE"""),"Real")</f>
        <v>Real</v>
      </c>
      <c r="G335" s="8">
        <f t="shared" si="1"/>
        <v>11</v>
      </c>
      <c r="H335" s="14">
        <f t="shared" si="2"/>
        <v>14</v>
      </c>
      <c r="I335" s="15">
        <f t="shared" si="3"/>
        <v>22</v>
      </c>
    </row>
    <row r="336">
      <c r="A336" s="8" t="str">
        <f>IFERROR(__xludf.DUMMYFUNCTION("IF('(INGESTA)Datos_consumo_datadis'!A336&lt;&gt;"""",SPLIT('(INGESTA)Datos_consumo_datadis'!A:A,"",""),"""")"),"ES0031408323131005HX0F")</f>
        <v>ES0031408323131005HX0F</v>
      </c>
      <c r="B336" s="17">
        <f>IFERROR(__xludf.DUMMYFUNCTION("""COMPUTED_VALUE"""),44879.0)</f>
        <v>44879</v>
      </c>
      <c r="C336" s="13">
        <f>IFERROR(__xludf.DUMMYFUNCTION("""COMPUTED_VALUE"""),0.9583333333333334)</f>
        <v>0.9583333333</v>
      </c>
      <c r="D336" s="8">
        <f>IFERROR(__xludf.DUMMYFUNCTION("""COMPUTED_VALUE"""),0.0)</f>
        <v>0</v>
      </c>
      <c r="E336" s="8" t="str">
        <f>IFERROR(__xludf.DUMMYFUNCTION("""COMPUTED_VALUE"""),"Real")</f>
        <v>Real</v>
      </c>
      <c r="G336" s="8">
        <f t="shared" si="1"/>
        <v>11</v>
      </c>
      <c r="H336" s="14">
        <f t="shared" si="2"/>
        <v>14</v>
      </c>
      <c r="I336" s="15">
        <f t="shared" si="3"/>
        <v>23</v>
      </c>
    </row>
    <row r="337">
      <c r="A337" s="8" t="str">
        <f>IFERROR(__xludf.DUMMYFUNCTION("IF('(INGESTA)Datos_consumo_datadis'!A337&lt;&gt;"""",SPLIT('(INGESTA)Datos_consumo_datadis'!A:A,"",""),"""")"),"ES0031408323131005HX0F")</f>
        <v>ES0031408323131005HX0F</v>
      </c>
      <c r="B337" s="17">
        <f>IFERROR(__xludf.DUMMYFUNCTION("""COMPUTED_VALUE"""),44879.0)</f>
        <v>44879</v>
      </c>
      <c r="C337" s="16">
        <f>IFERROR(__xludf.DUMMYFUNCTION("""COMPUTED_VALUE"""),1.0)</f>
        <v>1</v>
      </c>
      <c r="D337" s="8">
        <f>IFERROR(__xludf.DUMMYFUNCTION("""COMPUTED_VALUE"""),0.0)</f>
        <v>0</v>
      </c>
      <c r="E337" s="8" t="str">
        <f>IFERROR(__xludf.DUMMYFUNCTION("""COMPUTED_VALUE"""),"Real")</f>
        <v>Real</v>
      </c>
      <c r="G337" s="8">
        <f t="shared" si="1"/>
        <v>11</v>
      </c>
      <c r="H337" s="14">
        <f t="shared" si="2"/>
        <v>14</v>
      </c>
      <c r="I337" s="15">
        <f t="shared" si="3"/>
        <v>0</v>
      </c>
    </row>
    <row r="338">
      <c r="A338" s="8" t="str">
        <f>IFERROR(__xludf.DUMMYFUNCTION("IF('(INGESTA)Datos_consumo_datadis'!A338&lt;&gt;"""",SPLIT('(INGESTA)Datos_consumo_datadis'!A:A,"",""),"""")"),"ES0031408323131005HX0F")</f>
        <v>ES0031408323131005HX0F</v>
      </c>
      <c r="B338" s="17">
        <f>IFERROR(__xludf.DUMMYFUNCTION("""COMPUTED_VALUE"""),44880.0)</f>
        <v>44880</v>
      </c>
      <c r="C338" s="13">
        <f>IFERROR(__xludf.DUMMYFUNCTION("""COMPUTED_VALUE"""),0.041666666666666664)</f>
        <v>0.04166666667</v>
      </c>
      <c r="D338" s="8">
        <f>IFERROR(__xludf.DUMMYFUNCTION("""COMPUTED_VALUE"""),0.0)</f>
        <v>0</v>
      </c>
      <c r="E338" s="8" t="str">
        <f>IFERROR(__xludf.DUMMYFUNCTION("""COMPUTED_VALUE"""),"Real")</f>
        <v>Real</v>
      </c>
      <c r="G338" s="8">
        <f t="shared" si="1"/>
        <v>11</v>
      </c>
      <c r="H338" s="14">
        <f t="shared" si="2"/>
        <v>15</v>
      </c>
      <c r="I338" s="15">
        <f t="shared" si="3"/>
        <v>1</v>
      </c>
    </row>
    <row r="339">
      <c r="A339" s="8" t="str">
        <f>IFERROR(__xludf.DUMMYFUNCTION("IF('(INGESTA)Datos_consumo_datadis'!A339&lt;&gt;"""",SPLIT('(INGESTA)Datos_consumo_datadis'!A:A,"",""),"""")"),"ES0031408323131005HX0F")</f>
        <v>ES0031408323131005HX0F</v>
      </c>
      <c r="B339" s="17">
        <f>IFERROR(__xludf.DUMMYFUNCTION("""COMPUTED_VALUE"""),44880.0)</f>
        <v>44880</v>
      </c>
      <c r="C339" s="13">
        <f>IFERROR(__xludf.DUMMYFUNCTION("""COMPUTED_VALUE"""),0.08333333333333333)</f>
        <v>0.08333333333</v>
      </c>
      <c r="D339" s="8">
        <f>IFERROR(__xludf.DUMMYFUNCTION("""COMPUTED_VALUE"""),0.0)</f>
        <v>0</v>
      </c>
      <c r="E339" s="8" t="str">
        <f>IFERROR(__xludf.DUMMYFUNCTION("""COMPUTED_VALUE"""),"Real")</f>
        <v>Real</v>
      </c>
      <c r="G339" s="8">
        <f t="shared" si="1"/>
        <v>11</v>
      </c>
      <c r="H339" s="14">
        <f t="shared" si="2"/>
        <v>15</v>
      </c>
      <c r="I339" s="15">
        <f t="shared" si="3"/>
        <v>2</v>
      </c>
    </row>
    <row r="340">
      <c r="A340" s="8" t="str">
        <f>IFERROR(__xludf.DUMMYFUNCTION("IF('(INGESTA)Datos_consumo_datadis'!A340&lt;&gt;"""",SPLIT('(INGESTA)Datos_consumo_datadis'!A:A,"",""),"""")"),"ES0031408323131005HX0F")</f>
        <v>ES0031408323131005HX0F</v>
      </c>
      <c r="B340" s="17">
        <f>IFERROR(__xludf.DUMMYFUNCTION("""COMPUTED_VALUE"""),44880.0)</f>
        <v>44880</v>
      </c>
      <c r="C340" s="13">
        <f>IFERROR(__xludf.DUMMYFUNCTION("""COMPUTED_VALUE"""),0.125)</f>
        <v>0.125</v>
      </c>
      <c r="D340" s="8">
        <f>IFERROR(__xludf.DUMMYFUNCTION("""COMPUTED_VALUE"""),0.0)</f>
        <v>0</v>
      </c>
      <c r="E340" s="8" t="str">
        <f>IFERROR(__xludf.DUMMYFUNCTION("""COMPUTED_VALUE"""),"Real")</f>
        <v>Real</v>
      </c>
      <c r="G340" s="8">
        <f t="shared" si="1"/>
        <v>11</v>
      </c>
      <c r="H340" s="14">
        <f t="shared" si="2"/>
        <v>15</v>
      </c>
      <c r="I340" s="15">
        <f t="shared" si="3"/>
        <v>3</v>
      </c>
    </row>
    <row r="341">
      <c r="A341" s="8" t="str">
        <f>IFERROR(__xludf.DUMMYFUNCTION("IF('(INGESTA)Datos_consumo_datadis'!A341&lt;&gt;"""",SPLIT('(INGESTA)Datos_consumo_datadis'!A:A,"",""),"""")"),"ES0031408323131005HX0F")</f>
        <v>ES0031408323131005HX0F</v>
      </c>
      <c r="B341" s="17">
        <f>IFERROR(__xludf.DUMMYFUNCTION("""COMPUTED_VALUE"""),44880.0)</f>
        <v>44880</v>
      </c>
      <c r="C341" s="13">
        <f>IFERROR(__xludf.DUMMYFUNCTION("""COMPUTED_VALUE"""),0.16666666666666666)</f>
        <v>0.1666666667</v>
      </c>
      <c r="D341" s="8">
        <f>IFERROR(__xludf.DUMMYFUNCTION("""COMPUTED_VALUE"""),0.0)</f>
        <v>0</v>
      </c>
      <c r="E341" s="8" t="str">
        <f>IFERROR(__xludf.DUMMYFUNCTION("""COMPUTED_VALUE"""),"Real")</f>
        <v>Real</v>
      </c>
      <c r="G341" s="8">
        <f t="shared" si="1"/>
        <v>11</v>
      </c>
      <c r="H341" s="14">
        <f t="shared" si="2"/>
        <v>15</v>
      </c>
      <c r="I341" s="15">
        <f t="shared" si="3"/>
        <v>4</v>
      </c>
    </row>
    <row r="342">
      <c r="A342" s="8" t="str">
        <f>IFERROR(__xludf.DUMMYFUNCTION("IF('(INGESTA)Datos_consumo_datadis'!A342&lt;&gt;"""",SPLIT('(INGESTA)Datos_consumo_datadis'!A:A,"",""),"""")"),"ES0031408323131005HX0F")</f>
        <v>ES0031408323131005HX0F</v>
      </c>
      <c r="B342" s="17">
        <f>IFERROR(__xludf.DUMMYFUNCTION("""COMPUTED_VALUE"""),44880.0)</f>
        <v>44880</v>
      </c>
      <c r="C342" s="13">
        <f>IFERROR(__xludf.DUMMYFUNCTION("""COMPUTED_VALUE"""),0.20833333333333334)</f>
        <v>0.2083333333</v>
      </c>
      <c r="D342" s="8">
        <f>IFERROR(__xludf.DUMMYFUNCTION("""COMPUTED_VALUE"""),0.0)</f>
        <v>0</v>
      </c>
      <c r="E342" s="8" t="str">
        <f>IFERROR(__xludf.DUMMYFUNCTION("""COMPUTED_VALUE"""),"Real")</f>
        <v>Real</v>
      </c>
      <c r="G342" s="8">
        <f t="shared" si="1"/>
        <v>11</v>
      </c>
      <c r="H342" s="14">
        <f t="shared" si="2"/>
        <v>15</v>
      </c>
      <c r="I342" s="15">
        <f t="shared" si="3"/>
        <v>5</v>
      </c>
    </row>
    <row r="343">
      <c r="A343" s="8" t="str">
        <f>IFERROR(__xludf.DUMMYFUNCTION("IF('(INGESTA)Datos_consumo_datadis'!A343&lt;&gt;"""",SPLIT('(INGESTA)Datos_consumo_datadis'!A:A,"",""),"""")"),"ES0031408323131005HX0F")</f>
        <v>ES0031408323131005HX0F</v>
      </c>
      <c r="B343" s="17">
        <f>IFERROR(__xludf.DUMMYFUNCTION("""COMPUTED_VALUE"""),44880.0)</f>
        <v>44880</v>
      </c>
      <c r="C343" s="13">
        <f>IFERROR(__xludf.DUMMYFUNCTION("""COMPUTED_VALUE"""),0.25)</f>
        <v>0.25</v>
      </c>
      <c r="D343" s="8">
        <f>IFERROR(__xludf.DUMMYFUNCTION("""COMPUTED_VALUE"""),0.0)</f>
        <v>0</v>
      </c>
      <c r="E343" s="8" t="str">
        <f>IFERROR(__xludf.DUMMYFUNCTION("""COMPUTED_VALUE"""),"Real")</f>
        <v>Real</v>
      </c>
      <c r="G343" s="8">
        <f t="shared" si="1"/>
        <v>11</v>
      </c>
      <c r="H343" s="14">
        <f t="shared" si="2"/>
        <v>15</v>
      </c>
      <c r="I343" s="15">
        <f t="shared" si="3"/>
        <v>6</v>
      </c>
    </row>
    <row r="344">
      <c r="A344" s="8" t="str">
        <f>IFERROR(__xludf.DUMMYFUNCTION("IF('(INGESTA)Datos_consumo_datadis'!A344&lt;&gt;"""",SPLIT('(INGESTA)Datos_consumo_datadis'!A:A,"",""),"""")"),"ES0031408323131005HX0F")</f>
        <v>ES0031408323131005HX0F</v>
      </c>
      <c r="B344" s="17">
        <f>IFERROR(__xludf.DUMMYFUNCTION("""COMPUTED_VALUE"""),44880.0)</f>
        <v>44880</v>
      </c>
      <c r="C344" s="13">
        <f>IFERROR(__xludf.DUMMYFUNCTION("""COMPUTED_VALUE"""),0.2916666666666667)</f>
        <v>0.2916666667</v>
      </c>
      <c r="D344" s="8">
        <f>IFERROR(__xludf.DUMMYFUNCTION("""COMPUTED_VALUE"""),0.0)</f>
        <v>0</v>
      </c>
      <c r="E344" s="8" t="str">
        <f>IFERROR(__xludf.DUMMYFUNCTION("""COMPUTED_VALUE"""),"Real")</f>
        <v>Real</v>
      </c>
      <c r="G344" s="8">
        <f t="shared" si="1"/>
        <v>11</v>
      </c>
      <c r="H344" s="14">
        <f t="shared" si="2"/>
        <v>15</v>
      </c>
      <c r="I344" s="15">
        <f t="shared" si="3"/>
        <v>7</v>
      </c>
    </row>
    <row r="345">
      <c r="A345" s="8" t="str">
        <f>IFERROR(__xludf.DUMMYFUNCTION("IF('(INGESTA)Datos_consumo_datadis'!A345&lt;&gt;"""",SPLIT('(INGESTA)Datos_consumo_datadis'!A:A,"",""),"""")"),"ES0031408323131005HX0F")</f>
        <v>ES0031408323131005HX0F</v>
      </c>
      <c r="B345" s="17">
        <f>IFERROR(__xludf.DUMMYFUNCTION("""COMPUTED_VALUE"""),44880.0)</f>
        <v>44880</v>
      </c>
      <c r="C345" s="13">
        <f>IFERROR(__xludf.DUMMYFUNCTION("""COMPUTED_VALUE"""),0.3333333333333333)</f>
        <v>0.3333333333</v>
      </c>
      <c r="D345" s="8">
        <f>IFERROR(__xludf.DUMMYFUNCTION("""COMPUTED_VALUE"""),0.0)</f>
        <v>0</v>
      </c>
      <c r="E345" s="8" t="str">
        <f>IFERROR(__xludf.DUMMYFUNCTION("""COMPUTED_VALUE"""),"Real")</f>
        <v>Real</v>
      </c>
      <c r="G345" s="8">
        <f t="shared" si="1"/>
        <v>11</v>
      </c>
      <c r="H345" s="14">
        <f t="shared" si="2"/>
        <v>15</v>
      </c>
      <c r="I345" s="15">
        <f t="shared" si="3"/>
        <v>8</v>
      </c>
    </row>
    <row r="346">
      <c r="A346" s="8" t="str">
        <f>IFERROR(__xludf.DUMMYFUNCTION("IF('(INGESTA)Datos_consumo_datadis'!A346&lt;&gt;"""",SPLIT('(INGESTA)Datos_consumo_datadis'!A:A,"",""),"""")"),"ES0031408323131005HX0F")</f>
        <v>ES0031408323131005HX0F</v>
      </c>
      <c r="B346" s="17">
        <f>IFERROR(__xludf.DUMMYFUNCTION("""COMPUTED_VALUE"""),44880.0)</f>
        <v>44880</v>
      </c>
      <c r="C346" s="13">
        <f>IFERROR(__xludf.DUMMYFUNCTION("""COMPUTED_VALUE"""),0.375)</f>
        <v>0.375</v>
      </c>
      <c r="D346" s="8">
        <f>IFERROR(__xludf.DUMMYFUNCTION("""COMPUTED_VALUE"""),0.0)</f>
        <v>0</v>
      </c>
      <c r="E346" s="8" t="str">
        <f>IFERROR(__xludf.DUMMYFUNCTION("""COMPUTED_VALUE"""),"Real")</f>
        <v>Real</v>
      </c>
      <c r="G346" s="8">
        <f t="shared" si="1"/>
        <v>11</v>
      </c>
      <c r="H346" s="14">
        <f t="shared" si="2"/>
        <v>15</v>
      </c>
      <c r="I346" s="15">
        <f t="shared" si="3"/>
        <v>9</v>
      </c>
    </row>
    <row r="347">
      <c r="A347" s="8" t="str">
        <f>IFERROR(__xludf.DUMMYFUNCTION("IF('(INGESTA)Datos_consumo_datadis'!A347&lt;&gt;"""",SPLIT('(INGESTA)Datos_consumo_datadis'!A:A,"",""),"""")"),"ES0031408323131005HX0F")</f>
        <v>ES0031408323131005HX0F</v>
      </c>
      <c r="B347" s="17">
        <f>IFERROR(__xludf.DUMMYFUNCTION("""COMPUTED_VALUE"""),44880.0)</f>
        <v>44880</v>
      </c>
      <c r="C347" s="13">
        <f>IFERROR(__xludf.DUMMYFUNCTION("""COMPUTED_VALUE"""),0.4166666666666667)</f>
        <v>0.4166666667</v>
      </c>
      <c r="D347" s="8">
        <f>IFERROR(__xludf.DUMMYFUNCTION("""COMPUTED_VALUE"""),0.0)</f>
        <v>0</v>
      </c>
      <c r="E347" s="8" t="str">
        <f>IFERROR(__xludf.DUMMYFUNCTION("""COMPUTED_VALUE"""),"Real")</f>
        <v>Real</v>
      </c>
      <c r="G347" s="8">
        <f t="shared" si="1"/>
        <v>11</v>
      </c>
      <c r="H347" s="14">
        <f t="shared" si="2"/>
        <v>15</v>
      </c>
      <c r="I347" s="15">
        <f t="shared" si="3"/>
        <v>10</v>
      </c>
    </row>
    <row r="348">
      <c r="A348" s="8" t="str">
        <f>IFERROR(__xludf.DUMMYFUNCTION("IF('(INGESTA)Datos_consumo_datadis'!A348&lt;&gt;"""",SPLIT('(INGESTA)Datos_consumo_datadis'!A:A,"",""),"""")"),"ES0031408323131005HX0F")</f>
        <v>ES0031408323131005HX0F</v>
      </c>
      <c r="B348" s="17">
        <f>IFERROR(__xludf.DUMMYFUNCTION("""COMPUTED_VALUE"""),44880.0)</f>
        <v>44880</v>
      </c>
      <c r="C348" s="13">
        <f>IFERROR(__xludf.DUMMYFUNCTION("""COMPUTED_VALUE"""),0.4583333333333333)</f>
        <v>0.4583333333</v>
      </c>
      <c r="D348" s="8">
        <f>IFERROR(__xludf.DUMMYFUNCTION("""COMPUTED_VALUE"""),0.0)</f>
        <v>0</v>
      </c>
      <c r="E348" s="8" t="str">
        <f>IFERROR(__xludf.DUMMYFUNCTION("""COMPUTED_VALUE"""),"Real")</f>
        <v>Real</v>
      </c>
      <c r="G348" s="8">
        <f t="shared" si="1"/>
        <v>11</v>
      </c>
      <c r="H348" s="14">
        <f t="shared" si="2"/>
        <v>15</v>
      </c>
      <c r="I348" s="15">
        <f t="shared" si="3"/>
        <v>11</v>
      </c>
    </row>
    <row r="349">
      <c r="A349" s="8" t="str">
        <f>IFERROR(__xludf.DUMMYFUNCTION("IF('(INGESTA)Datos_consumo_datadis'!A349&lt;&gt;"""",SPLIT('(INGESTA)Datos_consumo_datadis'!A:A,"",""),"""")"),"ES0031408323131005HX0F")</f>
        <v>ES0031408323131005HX0F</v>
      </c>
      <c r="B349" s="17">
        <f>IFERROR(__xludf.DUMMYFUNCTION("""COMPUTED_VALUE"""),44880.0)</f>
        <v>44880</v>
      </c>
      <c r="C349" s="13">
        <f>IFERROR(__xludf.DUMMYFUNCTION("""COMPUTED_VALUE"""),0.5)</f>
        <v>0.5</v>
      </c>
      <c r="D349" s="8">
        <f>IFERROR(__xludf.DUMMYFUNCTION("""COMPUTED_VALUE"""),0.0)</f>
        <v>0</v>
      </c>
      <c r="E349" s="8" t="str">
        <f>IFERROR(__xludf.DUMMYFUNCTION("""COMPUTED_VALUE"""),"Real")</f>
        <v>Real</v>
      </c>
      <c r="G349" s="8">
        <f t="shared" si="1"/>
        <v>11</v>
      </c>
      <c r="H349" s="14">
        <f t="shared" si="2"/>
        <v>15</v>
      </c>
      <c r="I349" s="15">
        <f t="shared" si="3"/>
        <v>12</v>
      </c>
    </row>
    <row r="350">
      <c r="A350" s="8" t="str">
        <f>IFERROR(__xludf.DUMMYFUNCTION("IF('(INGESTA)Datos_consumo_datadis'!A350&lt;&gt;"""",SPLIT('(INGESTA)Datos_consumo_datadis'!A:A,"",""),"""")"),"ES0031408323131005HX0F")</f>
        <v>ES0031408323131005HX0F</v>
      </c>
      <c r="B350" s="17">
        <f>IFERROR(__xludf.DUMMYFUNCTION("""COMPUTED_VALUE"""),44880.0)</f>
        <v>44880</v>
      </c>
      <c r="C350" s="13">
        <f>IFERROR(__xludf.DUMMYFUNCTION("""COMPUTED_VALUE"""),0.5416666666666666)</f>
        <v>0.5416666667</v>
      </c>
      <c r="D350" s="8">
        <f>IFERROR(__xludf.DUMMYFUNCTION("""COMPUTED_VALUE"""),0.0)</f>
        <v>0</v>
      </c>
      <c r="E350" s="8" t="str">
        <f>IFERROR(__xludf.DUMMYFUNCTION("""COMPUTED_VALUE"""),"Real")</f>
        <v>Real</v>
      </c>
      <c r="G350" s="8">
        <f t="shared" si="1"/>
        <v>11</v>
      </c>
      <c r="H350" s="14">
        <f t="shared" si="2"/>
        <v>15</v>
      </c>
      <c r="I350" s="15">
        <f t="shared" si="3"/>
        <v>13</v>
      </c>
    </row>
    <row r="351">
      <c r="A351" s="8" t="str">
        <f>IFERROR(__xludf.DUMMYFUNCTION("IF('(INGESTA)Datos_consumo_datadis'!A351&lt;&gt;"""",SPLIT('(INGESTA)Datos_consumo_datadis'!A:A,"",""),"""")"),"ES0031408323131005HX0F")</f>
        <v>ES0031408323131005HX0F</v>
      </c>
      <c r="B351" s="17">
        <f>IFERROR(__xludf.DUMMYFUNCTION("""COMPUTED_VALUE"""),44880.0)</f>
        <v>44880</v>
      </c>
      <c r="C351" s="13">
        <f>IFERROR(__xludf.DUMMYFUNCTION("""COMPUTED_VALUE"""),0.5833333333333334)</f>
        <v>0.5833333333</v>
      </c>
      <c r="D351" s="8">
        <f>IFERROR(__xludf.DUMMYFUNCTION("""COMPUTED_VALUE"""),0.0)</f>
        <v>0</v>
      </c>
      <c r="E351" s="8" t="str">
        <f>IFERROR(__xludf.DUMMYFUNCTION("""COMPUTED_VALUE"""),"Real")</f>
        <v>Real</v>
      </c>
      <c r="G351" s="8">
        <f t="shared" si="1"/>
        <v>11</v>
      </c>
      <c r="H351" s="14">
        <f t="shared" si="2"/>
        <v>15</v>
      </c>
      <c r="I351" s="15">
        <f t="shared" si="3"/>
        <v>14</v>
      </c>
    </row>
    <row r="352">
      <c r="A352" s="8" t="str">
        <f>IFERROR(__xludf.DUMMYFUNCTION("IF('(INGESTA)Datos_consumo_datadis'!A352&lt;&gt;"""",SPLIT('(INGESTA)Datos_consumo_datadis'!A:A,"",""),"""")"),"ES0031408323131005HX0F")</f>
        <v>ES0031408323131005HX0F</v>
      </c>
      <c r="B352" s="17">
        <f>IFERROR(__xludf.DUMMYFUNCTION("""COMPUTED_VALUE"""),44880.0)</f>
        <v>44880</v>
      </c>
      <c r="C352" s="13">
        <f>IFERROR(__xludf.DUMMYFUNCTION("""COMPUTED_VALUE"""),0.625)</f>
        <v>0.625</v>
      </c>
      <c r="D352" s="8">
        <f>IFERROR(__xludf.DUMMYFUNCTION("""COMPUTED_VALUE"""),0.0)</f>
        <v>0</v>
      </c>
      <c r="E352" s="8" t="str">
        <f>IFERROR(__xludf.DUMMYFUNCTION("""COMPUTED_VALUE"""),"Real")</f>
        <v>Real</v>
      </c>
      <c r="G352" s="8">
        <f t="shared" si="1"/>
        <v>11</v>
      </c>
      <c r="H352" s="14">
        <f t="shared" si="2"/>
        <v>15</v>
      </c>
      <c r="I352" s="15">
        <f t="shared" si="3"/>
        <v>15</v>
      </c>
    </row>
    <row r="353">
      <c r="A353" s="8" t="str">
        <f>IFERROR(__xludf.DUMMYFUNCTION("IF('(INGESTA)Datos_consumo_datadis'!A353&lt;&gt;"""",SPLIT('(INGESTA)Datos_consumo_datadis'!A:A,"",""),"""")"),"ES0031408323131005HX0F")</f>
        <v>ES0031408323131005HX0F</v>
      </c>
      <c r="B353" s="17">
        <f>IFERROR(__xludf.DUMMYFUNCTION("""COMPUTED_VALUE"""),44880.0)</f>
        <v>44880</v>
      </c>
      <c r="C353" s="13">
        <f>IFERROR(__xludf.DUMMYFUNCTION("""COMPUTED_VALUE"""),0.6666666666666666)</f>
        <v>0.6666666667</v>
      </c>
      <c r="D353" s="8">
        <f>IFERROR(__xludf.DUMMYFUNCTION("""COMPUTED_VALUE"""),0.0)</f>
        <v>0</v>
      </c>
      <c r="E353" s="8" t="str">
        <f>IFERROR(__xludf.DUMMYFUNCTION("""COMPUTED_VALUE"""),"Real")</f>
        <v>Real</v>
      </c>
      <c r="G353" s="8">
        <f t="shared" si="1"/>
        <v>11</v>
      </c>
      <c r="H353" s="14">
        <f t="shared" si="2"/>
        <v>15</v>
      </c>
      <c r="I353" s="15">
        <f t="shared" si="3"/>
        <v>16</v>
      </c>
    </row>
    <row r="354">
      <c r="A354" s="8" t="str">
        <f>IFERROR(__xludf.DUMMYFUNCTION("IF('(INGESTA)Datos_consumo_datadis'!A354&lt;&gt;"""",SPLIT('(INGESTA)Datos_consumo_datadis'!A:A,"",""),"""")"),"ES0031408323131005HX0F")</f>
        <v>ES0031408323131005HX0F</v>
      </c>
      <c r="B354" s="17">
        <f>IFERROR(__xludf.DUMMYFUNCTION("""COMPUTED_VALUE"""),44880.0)</f>
        <v>44880</v>
      </c>
      <c r="C354" s="13">
        <f>IFERROR(__xludf.DUMMYFUNCTION("""COMPUTED_VALUE"""),0.7083333333333334)</f>
        <v>0.7083333333</v>
      </c>
      <c r="D354" s="8">
        <f>IFERROR(__xludf.DUMMYFUNCTION("""COMPUTED_VALUE"""),0.0)</f>
        <v>0</v>
      </c>
      <c r="E354" s="8" t="str">
        <f>IFERROR(__xludf.DUMMYFUNCTION("""COMPUTED_VALUE"""),"Real")</f>
        <v>Real</v>
      </c>
      <c r="G354" s="8">
        <f t="shared" si="1"/>
        <v>11</v>
      </c>
      <c r="H354" s="14">
        <f t="shared" si="2"/>
        <v>15</v>
      </c>
      <c r="I354" s="15">
        <f t="shared" si="3"/>
        <v>17</v>
      </c>
    </row>
    <row r="355">
      <c r="A355" s="8" t="str">
        <f>IFERROR(__xludf.DUMMYFUNCTION("IF('(INGESTA)Datos_consumo_datadis'!A355&lt;&gt;"""",SPLIT('(INGESTA)Datos_consumo_datadis'!A:A,"",""),"""")"),"ES0031408323131005HX0F")</f>
        <v>ES0031408323131005HX0F</v>
      </c>
      <c r="B355" s="17">
        <f>IFERROR(__xludf.DUMMYFUNCTION("""COMPUTED_VALUE"""),44880.0)</f>
        <v>44880</v>
      </c>
      <c r="C355" s="13">
        <f>IFERROR(__xludf.DUMMYFUNCTION("""COMPUTED_VALUE"""),0.75)</f>
        <v>0.75</v>
      </c>
      <c r="D355" s="8">
        <f>IFERROR(__xludf.DUMMYFUNCTION("""COMPUTED_VALUE"""),0.0)</f>
        <v>0</v>
      </c>
      <c r="E355" s="8" t="str">
        <f>IFERROR(__xludf.DUMMYFUNCTION("""COMPUTED_VALUE"""),"Real")</f>
        <v>Real</v>
      </c>
      <c r="G355" s="8">
        <f t="shared" si="1"/>
        <v>11</v>
      </c>
      <c r="H355" s="14">
        <f t="shared" si="2"/>
        <v>15</v>
      </c>
      <c r="I355" s="15">
        <f t="shared" si="3"/>
        <v>18</v>
      </c>
    </row>
    <row r="356">
      <c r="A356" s="8" t="str">
        <f>IFERROR(__xludf.DUMMYFUNCTION("IF('(INGESTA)Datos_consumo_datadis'!A356&lt;&gt;"""",SPLIT('(INGESTA)Datos_consumo_datadis'!A:A,"",""),"""")"),"ES0031408323131005HX0F")</f>
        <v>ES0031408323131005HX0F</v>
      </c>
      <c r="B356" s="17">
        <f>IFERROR(__xludf.DUMMYFUNCTION("""COMPUTED_VALUE"""),44880.0)</f>
        <v>44880</v>
      </c>
      <c r="C356" s="13">
        <f>IFERROR(__xludf.DUMMYFUNCTION("""COMPUTED_VALUE"""),0.7916666666666666)</f>
        <v>0.7916666667</v>
      </c>
      <c r="D356" s="8">
        <f>IFERROR(__xludf.DUMMYFUNCTION("""COMPUTED_VALUE"""),0.0)</f>
        <v>0</v>
      </c>
      <c r="E356" s="8" t="str">
        <f>IFERROR(__xludf.DUMMYFUNCTION("""COMPUTED_VALUE"""),"Real")</f>
        <v>Real</v>
      </c>
      <c r="G356" s="8">
        <f t="shared" si="1"/>
        <v>11</v>
      </c>
      <c r="H356" s="14">
        <f t="shared" si="2"/>
        <v>15</v>
      </c>
      <c r="I356" s="15">
        <f t="shared" si="3"/>
        <v>19</v>
      </c>
    </row>
    <row r="357">
      <c r="A357" s="8" t="str">
        <f>IFERROR(__xludf.DUMMYFUNCTION("IF('(INGESTA)Datos_consumo_datadis'!A357&lt;&gt;"""",SPLIT('(INGESTA)Datos_consumo_datadis'!A:A,"",""),"""")"),"ES0031408323131005HX0F")</f>
        <v>ES0031408323131005HX0F</v>
      </c>
      <c r="B357" s="17">
        <f>IFERROR(__xludf.DUMMYFUNCTION("""COMPUTED_VALUE"""),44880.0)</f>
        <v>44880</v>
      </c>
      <c r="C357" s="13">
        <f>IFERROR(__xludf.DUMMYFUNCTION("""COMPUTED_VALUE"""),0.8333333333333334)</f>
        <v>0.8333333333</v>
      </c>
      <c r="D357" s="8">
        <f>IFERROR(__xludf.DUMMYFUNCTION("""COMPUTED_VALUE"""),0.0)</f>
        <v>0</v>
      </c>
      <c r="E357" s="8" t="str">
        <f>IFERROR(__xludf.DUMMYFUNCTION("""COMPUTED_VALUE"""),"Real")</f>
        <v>Real</v>
      </c>
      <c r="G357" s="8">
        <f t="shared" si="1"/>
        <v>11</v>
      </c>
      <c r="H357" s="14">
        <f t="shared" si="2"/>
        <v>15</v>
      </c>
      <c r="I357" s="15">
        <f t="shared" si="3"/>
        <v>20</v>
      </c>
    </row>
    <row r="358">
      <c r="A358" s="8" t="str">
        <f>IFERROR(__xludf.DUMMYFUNCTION("IF('(INGESTA)Datos_consumo_datadis'!A358&lt;&gt;"""",SPLIT('(INGESTA)Datos_consumo_datadis'!A:A,"",""),"""")"),"ES0031408323131005HX0F")</f>
        <v>ES0031408323131005HX0F</v>
      </c>
      <c r="B358" s="17">
        <f>IFERROR(__xludf.DUMMYFUNCTION("""COMPUTED_VALUE"""),44880.0)</f>
        <v>44880</v>
      </c>
      <c r="C358" s="13">
        <f>IFERROR(__xludf.DUMMYFUNCTION("""COMPUTED_VALUE"""),0.875)</f>
        <v>0.875</v>
      </c>
      <c r="D358" s="8">
        <f>IFERROR(__xludf.DUMMYFUNCTION("""COMPUTED_VALUE"""),0.0)</f>
        <v>0</v>
      </c>
      <c r="E358" s="8" t="str">
        <f>IFERROR(__xludf.DUMMYFUNCTION("""COMPUTED_VALUE"""),"Real")</f>
        <v>Real</v>
      </c>
      <c r="G358" s="8">
        <f t="shared" si="1"/>
        <v>11</v>
      </c>
      <c r="H358" s="14">
        <f t="shared" si="2"/>
        <v>15</v>
      </c>
      <c r="I358" s="15">
        <f t="shared" si="3"/>
        <v>21</v>
      </c>
    </row>
    <row r="359">
      <c r="A359" s="8" t="str">
        <f>IFERROR(__xludf.DUMMYFUNCTION("IF('(INGESTA)Datos_consumo_datadis'!A359&lt;&gt;"""",SPLIT('(INGESTA)Datos_consumo_datadis'!A:A,"",""),"""")"),"ES0031408323131005HX0F")</f>
        <v>ES0031408323131005HX0F</v>
      </c>
      <c r="B359" s="17">
        <f>IFERROR(__xludf.DUMMYFUNCTION("""COMPUTED_VALUE"""),44880.0)</f>
        <v>44880</v>
      </c>
      <c r="C359" s="13">
        <f>IFERROR(__xludf.DUMMYFUNCTION("""COMPUTED_VALUE"""),0.9166666666666666)</f>
        <v>0.9166666667</v>
      </c>
      <c r="D359" s="8">
        <f>IFERROR(__xludf.DUMMYFUNCTION("""COMPUTED_VALUE"""),0.0)</f>
        <v>0</v>
      </c>
      <c r="E359" s="8" t="str">
        <f>IFERROR(__xludf.DUMMYFUNCTION("""COMPUTED_VALUE"""),"Real")</f>
        <v>Real</v>
      </c>
      <c r="G359" s="8">
        <f t="shared" si="1"/>
        <v>11</v>
      </c>
      <c r="H359" s="14">
        <f t="shared" si="2"/>
        <v>15</v>
      </c>
      <c r="I359" s="15">
        <f t="shared" si="3"/>
        <v>22</v>
      </c>
    </row>
    <row r="360">
      <c r="A360" s="8" t="str">
        <f>IFERROR(__xludf.DUMMYFUNCTION("IF('(INGESTA)Datos_consumo_datadis'!A360&lt;&gt;"""",SPLIT('(INGESTA)Datos_consumo_datadis'!A:A,"",""),"""")"),"ES0031408323131005HX0F")</f>
        <v>ES0031408323131005HX0F</v>
      </c>
      <c r="B360" s="17">
        <f>IFERROR(__xludf.DUMMYFUNCTION("""COMPUTED_VALUE"""),44880.0)</f>
        <v>44880</v>
      </c>
      <c r="C360" s="13">
        <f>IFERROR(__xludf.DUMMYFUNCTION("""COMPUTED_VALUE"""),0.9583333333333334)</f>
        <v>0.9583333333</v>
      </c>
      <c r="D360" s="8">
        <f>IFERROR(__xludf.DUMMYFUNCTION("""COMPUTED_VALUE"""),0.0)</f>
        <v>0</v>
      </c>
      <c r="E360" s="8" t="str">
        <f>IFERROR(__xludf.DUMMYFUNCTION("""COMPUTED_VALUE"""),"Real")</f>
        <v>Real</v>
      </c>
      <c r="G360" s="8">
        <f t="shared" si="1"/>
        <v>11</v>
      </c>
      <c r="H360" s="14">
        <f t="shared" si="2"/>
        <v>15</v>
      </c>
      <c r="I360" s="15">
        <f t="shared" si="3"/>
        <v>23</v>
      </c>
    </row>
    <row r="361">
      <c r="A361" s="8" t="str">
        <f>IFERROR(__xludf.DUMMYFUNCTION("IF('(INGESTA)Datos_consumo_datadis'!A361&lt;&gt;"""",SPLIT('(INGESTA)Datos_consumo_datadis'!A:A,"",""),"""")"),"ES0031408323131005HX0F")</f>
        <v>ES0031408323131005HX0F</v>
      </c>
      <c r="B361" s="17">
        <f>IFERROR(__xludf.DUMMYFUNCTION("""COMPUTED_VALUE"""),44880.0)</f>
        <v>44880</v>
      </c>
      <c r="C361" s="16">
        <f>IFERROR(__xludf.DUMMYFUNCTION("""COMPUTED_VALUE"""),1.0)</f>
        <v>1</v>
      </c>
      <c r="D361" s="8">
        <f>IFERROR(__xludf.DUMMYFUNCTION("""COMPUTED_VALUE"""),0.0)</f>
        <v>0</v>
      </c>
      <c r="E361" s="8" t="str">
        <f>IFERROR(__xludf.DUMMYFUNCTION("""COMPUTED_VALUE"""),"Real")</f>
        <v>Real</v>
      </c>
      <c r="G361" s="8">
        <f t="shared" si="1"/>
        <v>11</v>
      </c>
      <c r="H361" s="14">
        <f t="shared" si="2"/>
        <v>15</v>
      </c>
      <c r="I361" s="15">
        <f t="shared" si="3"/>
        <v>0</v>
      </c>
    </row>
    <row r="362">
      <c r="A362" s="8" t="str">
        <f>IFERROR(__xludf.DUMMYFUNCTION("IF('(INGESTA)Datos_consumo_datadis'!A362&lt;&gt;"""",SPLIT('(INGESTA)Datos_consumo_datadis'!A:A,"",""),"""")"),"ES0031408323131005HX0F")</f>
        <v>ES0031408323131005HX0F</v>
      </c>
      <c r="B362" s="17">
        <f>IFERROR(__xludf.DUMMYFUNCTION("""COMPUTED_VALUE"""),44881.0)</f>
        <v>44881</v>
      </c>
      <c r="C362" s="13">
        <f>IFERROR(__xludf.DUMMYFUNCTION("""COMPUTED_VALUE"""),0.041666666666666664)</f>
        <v>0.04166666667</v>
      </c>
      <c r="D362" s="8">
        <f>IFERROR(__xludf.DUMMYFUNCTION("""COMPUTED_VALUE"""),0.0)</f>
        <v>0</v>
      </c>
      <c r="E362" s="8" t="str">
        <f>IFERROR(__xludf.DUMMYFUNCTION("""COMPUTED_VALUE"""),"Real")</f>
        <v>Real</v>
      </c>
      <c r="G362" s="8">
        <f t="shared" si="1"/>
        <v>11</v>
      </c>
      <c r="H362" s="14">
        <f t="shared" si="2"/>
        <v>16</v>
      </c>
      <c r="I362" s="15">
        <f t="shared" si="3"/>
        <v>1</v>
      </c>
    </row>
    <row r="363">
      <c r="A363" s="8" t="str">
        <f>IFERROR(__xludf.DUMMYFUNCTION("IF('(INGESTA)Datos_consumo_datadis'!A363&lt;&gt;"""",SPLIT('(INGESTA)Datos_consumo_datadis'!A:A,"",""),"""")"),"ES0031408323131005HX0F")</f>
        <v>ES0031408323131005HX0F</v>
      </c>
      <c r="B363" s="17">
        <f>IFERROR(__xludf.DUMMYFUNCTION("""COMPUTED_VALUE"""),44881.0)</f>
        <v>44881</v>
      </c>
      <c r="C363" s="13">
        <f>IFERROR(__xludf.DUMMYFUNCTION("""COMPUTED_VALUE"""),0.08333333333333333)</f>
        <v>0.08333333333</v>
      </c>
      <c r="D363" s="8">
        <f>IFERROR(__xludf.DUMMYFUNCTION("""COMPUTED_VALUE"""),0.0)</f>
        <v>0</v>
      </c>
      <c r="E363" s="8" t="str">
        <f>IFERROR(__xludf.DUMMYFUNCTION("""COMPUTED_VALUE"""),"Real")</f>
        <v>Real</v>
      </c>
      <c r="G363" s="8">
        <f t="shared" si="1"/>
        <v>11</v>
      </c>
      <c r="H363" s="14">
        <f t="shared" si="2"/>
        <v>16</v>
      </c>
      <c r="I363" s="15">
        <f t="shared" si="3"/>
        <v>2</v>
      </c>
    </row>
    <row r="364">
      <c r="A364" s="8" t="str">
        <f>IFERROR(__xludf.DUMMYFUNCTION("IF('(INGESTA)Datos_consumo_datadis'!A364&lt;&gt;"""",SPLIT('(INGESTA)Datos_consumo_datadis'!A:A,"",""),"""")"),"ES0031408323131005HX0F")</f>
        <v>ES0031408323131005HX0F</v>
      </c>
      <c r="B364" s="17">
        <f>IFERROR(__xludf.DUMMYFUNCTION("""COMPUTED_VALUE"""),44881.0)</f>
        <v>44881</v>
      </c>
      <c r="C364" s="13">
        <f>IFERROR(__xludf.DUMMYFUNCTION("""COMPUTED_VALUE"""),0.125)</f>
        <v>0.125</v>
      </c>
      <c r="D364" s="8">
        <f>IFERROR(__xludf.DUMMYFUNCTION("""COMPUTED_VALUE"""),0.0)</f>
        <v>0</v>
      </c>
      <c r="E364" s="8" t="str">
        <f>IFERROR(__xludf.DUMMYFUNCTION("""COMPUTED_VALUE"""),"Real")</f>
        <v>Real</v>
      </c>
      <c r="G364" s="8">
        <f t="shared" si="1"/>
        <v>11</v>
      </c>
      <c r="H364" s="14">
        <f t="shared" si="2"/>
        <v>16</v>
      </c>
      <c r="I364" s="15">
        <f t="shared" si="3"/>
        <v>3</v>
      </c>
    </row>
    <row r="365">
      <c r="A365" s="8" t="str">
        <f>IFERROR(__xludf.DUMMYFUNCTION("IF('(INGESTA)Datos_consumo_datadis'!A365&lt;&gt;"""",SPLIT('(INGESTA)Datos_consumo_datadis'!A:A,"",""),"""")"),"ES0031408323131005HX0F")</f>
        <v>ES0031408323131005HX0F</v>
      </c>
      <c r="B365" s="17">
        <f>IFERROR(__xludf.DUMMYFUNCTION("""COMPUTED_VALUE"""),44881.0)</f>
        <v>44881</v>
      </c>
      <c r="C365" s="13">
        <f>IFERROR(__xludf.DUMMYFUNCTION("""COMPUTED_VALUE"""),0.16666666666666666)</f>
        <v>0.1666666667</v>
      </c>
      <c r="D365" s="8">
        <f>IFERROR(__xludf.DUMMYFUNCTION("""COMPUTED_VALUE"""),0.0)</f>
        <v>0</v>
      </c>
      <c r="E365" s="8" t="str">
        <f>IFERROR(__xludf.DUMMYFUNCTION("""COMPUTED_VALUE"""),"Real")</f>
        <v>Real</v>
      </c>
      <c r="G365" s="8">
        <f t="shared" si="1"/>
        <v>11</v>
      </c>
      <c r="H365" s="14">
        <f t="shared" si="2"/>
        <v>16</v>
      </c>
      <c r="I365" s="15">
        <f t="shared" si="3"/>
        <v>4</v>
      </c>
    </row>
    <row r="366">
      <c r="A366" s="8" t="str">
        <f>IFERROR(__xludf.DUMMYFUNCTION("IF('(INGESTA)Datos_consumo_datadis'!A366&lt;&gt;"""",SPLIT('(INGESTA)Datos_consumo_datadis'!A:A,"",""),"""")"),"ES0031408323131005HX0F")</f>
        <v>ES0031408323131005HX0F</v>
      </c>
      <c r="B366" s="17">
        <f>IFERROR(__xludf.DUMMYFUNCTION("""COMPUTED_VALUE"""),44881.0)</f>
        <v>44881</v>
      </c>
      <c r="C366" s="13">
        <f>IFERROR(__xludf.DUMMYFUNCTION("""COMPUTED_VALUE"""),0.20833333333333334)</f>
        <v>0.2083333333</v>
      </c>
      <c r="D366" s="8">
        <f>IFERROR(__xludf.DUMMYFUNCTION("""COMPUTED_VALUE"""),0.0)</f>
        <v>0</v>
      </c>
      <c r="E366" s="8" t="str">
        <f>IFERROR(__xludf.DUMMYFUNCTION("""COMPUTED_VALUE"""),"Real")</f>
        <v>Real</v>
      </c>
      <c r="G366" s="8">
        <f t="shared" si="1"/>
        <v>11</v>
      </c>
      <c r="H366" s="14">
        <f t="shared" si="2"/>
        <v>16</v>
      </c>
      <c r="I366" s="15">
        <f t="shared" si="3"/>
        <v>5</v>
      </c>
    </row>
    <row r="367">
      <c r="A367" s="8" t="str">
        <f>IFERROR(__xludf.DUMMYFUNCTION("IF('(INGESTA)Datos_consumo_datadis'!A367&lt;&gt;"""",SPLIT('(INGESTA)Datos_consumo_datadis'!A:A,"",""),"""")"),"ES0031408323131005HX0F")</f>
        <v>ES0031408323131005HX0F</v>
      </c>
      <c r="B367" s="17">
        <f>IFERROR(__xludf.DUMMYFUNCTION("""COMPUTED_VALUE"""),44881.0)</f>
        <v>44881</v>
      </c>
      <c r="C367" s="13">
        <f>IFERROR(__xludf.DUMMYFUNCTION("""COMPUTED_VALUE"""),0.25)</f>
        <v>0.25</v>
      </c>
      <c r="D367" s="8">
        <f>IFERROR(__xludf.DUMMYFUNCTION("""COMPUTED_VALUE"""),0.0)</f>
        <v>0</v>
      </c>
      <c r="E367" s="8" t="str">
        <f>IFERROR(__xludf.DUMMYFUNCTION("""COMPUTED_VALUE"""),"Real")</f>
        <v>Real</v>
      </c>
      <c r="G367" s="8">
        <f t="shared" si="1"/>
        <v>11</v>
      </c>
      <c r="H367" s="14">
        <f t="shared" si="2"/>
        <v>16</v>
      </c>
      <c r="I367" s="15">
        <f t="shared" si="3"/>
        <v>6</v>
      </c>
    </row>
    <row r="368">
      <c r="A368" s="8" t="str">
        <f>IFERROR(__xludf.DUMMYFUNCTION("IF('(INGESTA)Datos_consumo_datadis'!A368&lt;&gt;"""",SPLIT('(INGESTA)Datos_consumo_datadis'!A:A,"",""),"""")"),"ES0031408323131005HX0F")</f>
        <v>ES0031408323131005HX0F</v>
      </c>
      <c r="B368" s="17">
        <f>IFERROR(__xludf.DUMMYFUNCTION("""COMPUTED_VALUE"""),44881.0)</f>
        <v>44881</v>
      </c>
      <c r="C368" s="13">
        <f>IFERROR(__xludf.DUMMYFUNCTION("""COMPUTED_VALUE"""),0.2916666666666667)</f>
        <v>0.2916666667</v>
      </c>
      <c r="D368" s="8">
        <f>IFERROR(__xludf.DUMMYFUNCTION("""COMPUTED_VALUE"""),0.0)</f>
        <v>0</v>
      </c>
      <c r="E368" s="8" t="str">
        <f>IFERROR(__xludf.DUMMYFUNCTION("""COMPUTED_VALUE"""),"Real")</f>
        <v>Real</v>
      </c>
      <c r="G368" s="8">
        <f t="shared" si="1"/>
        <v>11</v>
      </c>
      <c r="H368" s="14">
        <f t="shared" si="2"/>
        <v>16</v>
      </c>
      <c r="I368" s="15">
        <f t="shared" si="3"/>
        <v>7</v>
      </c>
    </row>
    <row r="369">
      <c r="A369" s="8" t="str">
        <f>IFERROR(__xludf.DUMMYFUNCTION("IF('(INGESTA)Datos_consumo_datadis'!A369&lt;&gt;"""",SPLIT('(INGESTA)Datos_consumo_datadis'!A:A,"",""),"""")"),"ES0031408323131005HX0F")</f>
        <v>ES0031408323131005HX0F</v>
      </c>
      <c r="B369" s="17">
        <f>IFERROR(__xludf.DUMMYFUNCTION("""COMPUTED_VALUE"""),44881.0)</f>
        <v>44881</v>
      </c>
      <c r="C369" s="13">
        <f>IFERROR(__xludf.DUMMYFUNCTION("""COMPUTED_VALUE"""),0.3333333333333333)</f>
        <v>0.3333333333</v>
      </c>
      <c r="D369" s="8">
        <f>IFERROR(__xludf.DUMMYFUNCTION("""COMPUTED_VALUE"""),0.0)</f>
        <v>0</v>
      </c>
      <c r="E369" s="8" t="str">
        <f>IFERROR(__xludf.DUMMYFUNCTION("""COMPUTED_VALUE"""),"Real")</f>
        <v>Real</v>
      </c>
      <c r="G369" s="8">
        <f t="shared" si="1"/>
        <v>11</v>
      </c>
      <c r="H369" s="14">
        <f t="shared" si="2"/>
        <v>16</v>
      </c>
      <c r="I369" s="15">
        <f t="shared" si="3"/>
        <v>8</v>
      </c>
    </row>
    <row r="370">
      <c r="A370" s="8" t="str">
        <f>IFERROR(__xludf.DUMMYFUNCTION("IF('(INGESTA)Datos_consumo_datadis'!A370&lt;&gt;"""",SPLIT('(INGESTA)Datos_consumo_datadis'!A:A,"",""),"""")"),"ES0031408323131005HX0F")</f>
        <v>ES0031408323131005HX0F</v>
      </c>
      <c r="B370" s="17">
        <f>IFERROR(__xludf.DUMMYFUNCTION("""COMPUTED_VALUE"""),44881.0)</f>
        <v>44881</v>
      </c>
      <c r="C370" s="13">
        <f>IFERROR(__xludf.DUMMYFUNCTION("""COMPUTED_VALUE"""),0.375)</f>
        <v>0.375</v>
      </c>
      <c r="D370" s="8">
        <f>IFERROR(__xludf.DUMMYFUNCTION("""COMPUTED_VALUE"""),0.0)</f>
        <v>0</v>
      </c>
      <c r="E370" s="8" t="str">
        <f>IFERROR(__xludf.DUMMYFUNCTION("""COMPUTED_VALUE"""),"Real")</f>
        <v>Real</v>
      </c>
      <c r="G370" s="8">
        <f t="shared" si="1"/>
        <v>11</v>
      </c>
      <c r="H370" s="14">
        <f t="shared" si="2"/>
        <v>16</v>
      </c>
      <c r="I370" s="15">
        <f t="shared" si="3"/>
        <v>9</v>
      </c>
    </row>
    <row r="371">
      <c r="A371" s="8" t="str">
        <f>IFERROR(__xludf.DUMMYFUNCTION("IF('(INGESTA)Datos_consumo_datadis'!A371&lt;&gt;"""",SPLIT('(INGESTA)Datos_consumo_datadis'!A:A,"",""),"""")"),"ES0031408323131005HX0F")</f>
        <v>ES0031408323131005HX0F</v>
      </c>
      <c r="B371" s="17">
        <f>IFERROR(__xludf.DUMMYFUNCTION("""COMPUTED_VALUE"""),44881.0)</f>
        <v>44881</v>
      </c>
      <c r="C371" s="13">
        <f>IFERROR(__xludf.DUMMYFUNCTION("""COMPUTED_VALUE"""),0.4166666666666667)</f>
        <v>0.4166666667</v>
      </c>
      <c r="D371" s="8">
        <f>IFERROR(__xludf.DUMMYFUNCTION("""COMPUTED_VALUE"""),0.0)</f>
        <v>0</v>
      </c>
      <c r="E371" s="8" t="str">
        <f>IFERROR(__xludf.DUMMYFUNCTION("""COMPUTED_VALUE"""),"Real")</f>
        <v>Real</v>
      </c>
      <c r="G371" s="8">
        <f t="shared" si="1"/>
        <v>11</v>
      </c>
      <c r="H371" s="14">
        <f t="shared" si="2"/>
        <v>16</v>
      </c>
      <c r="I371" s="15">
        <f t="shared" si="3"/>
        <v>10</v>
      </c>
    </row>
    <row r="372">
      <c r="A372" s="8" t="str">
        <f>IFERROR(__xludf.DUMMYFUNCTION("IF('(INGESTA)Datos_consumo_datadis'!A372&lt;&gt;"""",SPLIT('(INGESTA)Datos_consumo_datadis'!A:A,"",""),"""")"),"ES0031408323131005HX0F")</f>
        <v>ES0031408323131005HX0F</v>
      </c>
      <c r="B372" s="17">
        <f>IFERROR(__xludf.DUMMYFUNCTION("""COMPUTED_VALUE"""),44881.0)</f>
        <v>44881</v>
      </c>
      <c r="C372" s="13">
        <f>IFERROR(__xludf.DUMMYFUNCTION("""COMPUTED_VALUE"""),0.4583333333333333)</f>
        <v>0.4583333333</v>
      </c>
      <c r="D372" s="8">
        <f>IFERROR(__xludf.DUMMYFUNCTION("""COMPUTED_VALUE"""),0.0)</f>
        <v>0</v>
      </c>
      <c r="E372" s="8" t="str">
        <f>IFERROR(__xludf.DUMMYFUNCTION("""COMPUTED_VALUE"""),"Real")</f>
        <v>Real</v>
      </c>
      <c r="G372" s="8">
        <f t="shared" si="1"/>
        <v>11</v>
      </c>
      <c r="H372" s="14">
        <f t="shared" si="2"/>
        <v>16</v>
      </c>
      <c r="I372" s="15">
        <f t="shared" si="3"/>
        <v>11</v>
      </c>
    </row>
    <row r="373">
      <c r="A373" s="8" t="str">
        <f>IFERROR(__xludf.DUMMYFUNCTION("IF('(INGESTA)Datos_consumo_datadis'!A373&lt;&gt;"""",SPLIT('(INGESTA)Datos_consumo_datadis'!A:A,"",""),"""")"),"ES0031408323131005HX0F")</f>
        <v>ES0031408323131005HX0F</v>
      </c>
      <c r="B373" s="17">
        <f>IFERROR(__xludf.DUMMYFUNCTION("""COMPUTED_VALUE"""),44881.0)</f>
        <v>44881</v>
      </c>
      <c r="C373" s="13">
        <f>IFERROR(__xludf.DUMMYFUNCTION("""COMPUTED_VALUE"""),0.5)</f>
        <v>0.5</v>
      </c>
      <c r="D373" s="8">
        <f>IFERROR(__xludf.DUMMYFUNCTION("""COMPUTED_VALUE"""),0.0)</f>
        <v>0</v>
      </c>
      <c r="E373" s="8" t="str">
        <f>IFERROR(__xludf.DUMMYFUNCTION("""COMPUTED_VALUE"""),"Real")</f>
        <v>Real</v>
      </c>
      <c r="G373" s="8">
        <f t="shared" si="1"/>
        <v>11</v>
      </c>
      <c r="H373" s="14">
        <f t="shared" si="2"/>
        <v>16</v>
      </c>
      <c r="I373" s="15">
        <f t="shared" si="3"/>
        <v>12</v>
      </c>
    </row>
    <row r="374">
      <c r="A374" s="8" t="str">
        <f>IFERROR(__xludf.DUMMYFUNCTION("IF('(INGESTA)Datos_consumo_datadis'!A374&lt;&gt;"""",SPLIT('(INGESTA)Datos_consumo_datadis'!A:A,"",""),"""")"),"ES0031408323131005HX0F")</f>
        <v>ES0031408323131005HX0F</v>
      </c>
      <c r="B374" s="17">
        <f>IFERROR(__xludf.DUMMYFUNCTION("""COMPUTED_VALUE"""),44881.0)</f>
        <v>44881</v>
      </c>
      <c r="C374" s="13">
        <f>IFERROR(__xludf.DUMMYFUNCTION("""COMPUTED_VALUE"""),0.5416666666666666)</f>
        <v>0.5416666667</v>
      </c>
      <c r="D374" s="8">
        <f>IFERROR(__xludf.DUMMYFUNCTION("""COMPUTED_VALUE"""),0.0)</f>
        <v>0</v>
      </c>
      <c r="E374" s="8" t="str">
        <f>IFERROR(__xludf.DUMMYFUNCTION("""COMPUTED_VALUE"""),"Real")</f>
        <v>Real</v>
      </c>
      <c r="G374" s="8">
        <f t="shared" si="1"/>
        <v>11</v>
      </c>
      <c r="H374" s="14">
        <f t="shared" si="2"/>
        <v>16</v>
      </c>
      <c r="I374" s="15">
        <f t="shared" si="3"/>
        <v>13</v>
      </c>
    </row>
    <row r="375">
      <c r="A375" s="8" t="str">
        <f>IFERROR(__xludf.DUMMYFUNCTION("IF('(INGESTA)Datos_consumo_datadis'!A375&lt;&gt;"""",SPLIT('(INGESTA)Datos_consumo_datadis'!A:A,"",""),"""")"),"ES0031408323131005HX0F")</f>
        <v>ES0031408323131005HX0F</v>
      </c>
      <c r="B375" s="17">
        <f>IFERROR(__xludf.DUMMYFUNCTION("""COMPUTED_VALUE"""),44881.0)</f>
        <v>44881</v>
      </c>
      <c r="C375" s="13">
        <f>IFERROR(__xludf.DUMMYFUNCTION("""COMPUTED_VALUE"""),0.5833333333333334)</f>
        <v>0.5833333333</v>
      </c>
      <c r="D375" s="8">
        <f>IFERROR(__xludf.DUMMYFUNCTION("""COMPUTED_VALUE"""),0.0)</f>
        <v>0</v>
      </c>
      <c r="E375" s="8" t="str">
        <f>IFERROR(__xludf.DUMMYFUNCTION("""COMPUTED_VALUE"""),"Real")</f>
        <v>Real</v>
      </c>
      <c r="G375" s="8">
        <f t="shared" si="1"/>
        <v>11</v>
      </c>
      <c r="H375" s="14">
        <f t="shared" si="2"/>
        <v>16</v>
      </c>
      <c r="I375" s="15">
        <f t="shared" si="3"/>
        <v>14</v>
      </c>
    </row>
    <row r="376">
      <c r="A376" s="8" t="str">
        <f>IFERROR(__xludf.DUMMYFUNCTION("IF('(INGESTA)Datos_consumo_datadis'!A376&lt;&gt;"""",SPLIT('(INGESTA)Datos_consumo_datadis'!A:A,"",""),"""")"),"ES0031408323131005HX0F")</f>
        <v>ES0031408323131005HX0F</v>
      </c>
      <c r="B376" s="17">
        <f>IFERROR(__xludf.DUMMYFUNCTION("""COMPUTED_VALUE"""),44881.0)</f>
        <v>44881</v>
      </c>
      <c r="C376" s="13">
        <f>IFERROR(__xludf.DUMMYFUNCTION("""COMPUTED_VALUE"""),0.625)</f>
        <v>0.625</v>
      </c>
      <c r="D376" s="8">
        <f>IFERROR(__xludf.DUMMYFUNCTION("""COMPUTED_VALUE"""),0.0)</f>
        <v>0</v>
      </c>
      <c r="E376" s="8" t="str">
        <f>IFERROR(__xludf.DUMMYFUNCTION("""COMPUTED_VALUE"""),"Real")</f>
        <v>Real</v>
      </c>
      <c r="G376" s="8">
        <f t="shared" si="1"/>
        <v>11</v>
      </c>
      <c r="H376" s="14">
        <f t="shared" si="2"/>
        <v>16</v>
      </c>
      <c r="I376" s="15">
        <f t="shared" si="3"/>
        <v>15</v>
      </c>
    </row>
    <row r="377">
      <c r="A377" s="8" t="str">
        <f>IFERROR(__xludf.DUMMYFUNCTION("IF('(INGESTA)Datos_consumo_datadis'!A377&lt;&gt;"""",SPLIT('(INGESTA)Datos_consumo_datadis'!A:A,"",""),"""")"),"ES0031408323131005HX0F")</f>
        <v>ES0031408323131005HX0F</v>
      </c>
      <c r="B377" s="17">
        <f>IFERROR(__xludf.DUMMYFUNCTION("""COMPUTED_VALUE"""),44881.0)</f>
        <v>44881</v>
      </c>
      <c r="C377" s="13">
        <f>IFERROR(__xludf.DUMMYFUNCTION("""COMPUTED_VALUE"""),0.6666666666666666)</f>
        <v>0.6666666667</v>
      </c>
      <c r="D377" s="8">
        <f>IFERROR(__xludf.DUMMYFUNCTION("""COMPUTED_VALUE"""),0.0)</f>
        <v>0</v>
      </c>
      <c r="E377" s="8" t="str">
        <f>IFERROR(__xludf.DUMMYFUNCTION("""COMPUTED_VALUE"""),"Real")</f>
        <v>Real</v>
      </c>
      <c r="G377" s="8">
        <f t="shared" si="1"/>
        <v>11</v>
      </c>
      <c r="H377" s="14">
        <f t="shared" si="2"/>
        <v>16</v>
      </c>
      <c r="I377" s="15">
        <f t="shared" si="3"/>
        <v>16</v>
      </c>
    </row>
    <row r="378">
      <c r="A378" s="8" t="str">
        <f>IFERROR(__xludf.DUMMYFUNCTION("IF('(INGESTA)Datos_consumo_datadis'!A378&lt;&gt;"""",SPLIT('(INGESTA)Datos_consumo_datadis'!A:A,"",""),"""")"),"ES0031408323131005HX0F")</f>
        <v>ES0031408323131005HX0F</v>
      </c>
      <c r="B378" s="17">
        <f>IFERROR(__xludf.DUMMYFUNCTION("""COMPUTED_VALUE"""),44881.0)</f>
        <v>44881</v>
      </c>
      <c r="C378" s="13">
        <f>IFERROR(__xludf.DUMMYFUNCTION("""COMPUTED_VALUE"""),0.7083333333333334)</f>
        <v>0.7083333333</v>
      </c>
      <c r="D378" s="8">
        <f>IFERROR(__xludf.DUMMYFUNCTION("""COMPUTED_VALUE"""),0.0)</f>
        <v>0</v>
      </c>
      <c r="E378" s="8" t="str">
        <f>IFERROR(__xludf.DUMMYFUNCTION("""COMPUTED_VALUE"""),"Real")</f>
        <v>Real</v>
      </c>
      <c r="G378" s="8">
        <f t="shared" si="1"/>
        <v>11</v>
      </c>
      <c r="H378" s="14">
        <f t="shared" si="2"/>
        <v>16</v>
      </c>
      <c r="I378" s="15">
        <f t="shared" si="3"/>
        <v>17</v>
      </c>
    </row>
    <row r="379">
      <c r="A379" s="8" t="str">
        <f>IFERROR(__xludf.DUMMYFUNCTION("IF('(INGESTA)Datos_consumo_datadis'!A379&lt;&gt;"""",SPLIT('(INGESTA)Datos_consumo_datadis'!A:A,"",""),"""")"),"ES0031408323131005HX0F")</f>
        <v>ES0031408323131005HX0F</v>
      </c>
      <c r="B379" s="17">
        <f>IFERROR(__xludf.DUMMYFUNCTION("""COMPUTED_VALUE"""),44881.0)</f>
        <v>44881</v>
      </c>
      <c r="C379" s="13">
        <f>IFERROR(__xludf.DUMMYFUNCTION("""COMPUTED_VALUE"""),0.75)</f>
        <v>0.75</v>
      </c>
      <c r="D379" s="8">
        <f>IFERROR(__xludf.DUMMYFUNCTION("""COMPUTED_VALUE"""),0.0)</f>
        <v>0</v>
      </c>
      <c r="E379" s="8" t="str">
        <f>IFERROR(__xludf.DUMMYFUNCTION("""COMPUTED_VALUE"""),"Real")</f>
        <v>Real</v>
      </c>
      <c r="G379" s="8">
        <f t="shared" si="1"/>
        <v>11</v>
      </c>
      <c r="H379" s="14">
        <f t="shared" si="2"/>
        <v>16</v>
      </c>
      <c r="I379" s="15">
        <f t="shared" si="3"/>
        <v>18</v>
      </c>
    </row>
    <row r="380">
      <c r="A380" s="8" t="str">
        <f>IFERROR(__xludf.DUMMYFUNCTION("IF('(INGESTA)Datos_consumo_datadis'!A380&lt;&gt;"""",SPLIT('(INGESTA)Datos_consumo_datadis'!A:A,"",""),"""")"),"ES0031408323131005HX0F")</f>
        <v>ES0031408323131005HX0F</v>
      </c>
      <c r="B380" s="17">
        <f>IFERROR(__xludf.DUMMYFUNCTION("""COMPUTED_VALUE"""),44881.0)</f>
        <v>44881</v>
      </c>
      <c r="C380" s="13">
        <f>IFERROR(__xludf.DUMMYFUNCTION("""COMPUTED_VALUE"""),0.7916666666666666)</f>
        <v>0.7916666667</v>
      </c>
      <c r="D380" s="8">
        <f>IFERROR(__xludf.DUMMYFUNCTION("""COMPUTED_VALUE"""),0.0)</f>
        <v>0</v>
      </c>
      <c r="E380" s="8" t="str">
        <f>IFERROR(__xludf.DUMMYFUNCTION("""COMPUTED_VALUE"""),"Real")</f>
        <v>Real</v>
      </c>
      <c r="G380" s="8">
        <f t="shared" si="1"/>
        <v>11</v>
      </c>
      <c r="H380" s="14">
        <f t="shared" si="2"/>
        <v>16</v>
      </c>
      <c r="I380" s="15">
        <f t="shared" si="3"/>
        <v>19</v>
      </c>
    </row>
    <row r="381">
      <c r="A381" s="8" t="str">
        <f>IFERROR(__xludf.DUMMYFUNCTION("IF('(INGESTA)Datos_consumo_datadis'!A381&lt;&gt;"""",SPLIT('(INGESTA)Datos_consumo_datadis'!A:A,"",""),"""")"),"ES0031408323131005HX0F")</f>
        <v>ES0031408323131005HX0F</v>
      </c>
      <c r="B381" s="17">
        <f>IFERROR(__xludf.DUMMYFUNCTION("""COMPUTED_VALUE"""),44881.0)</f>
        <v>44881</v>
      </c>
      <c r="C381" s="13">
        <f>IFERROR(__xludf.DUMMYFUNCTION("""COMPUTED_VALUE"""),0.8333333333333334)</f>
        <v>0.8333333333</v>
      </c>
      <c r="D381" s="8">
        <f>IFERROR(__xludf.DUMMYFUNCTION("""COMPUTED_VALUE"""),0.0)</f>
        <v>0</v>
      </c>
      <c r="E381" s="8" t="str">
        <f>IFERROR(__xludf.DUMMYFUNCTION("""COMPUTED_VALUE"""),"Real")</f>
        <v>Real</v>
      </c>
      <c r="G381" s="8">
        <f t="shared" si="1"/>
        <v>11</v>
      </c>
      <c r="H381" s="14">
        <f t="shared" si="2"/>
        <v>16</v>
      </c>
      <c r="I381" s="15">
        <f t="shared" si="3"/>
        <v>20</v>
      </c>
    </row>
    <row r="382">
      <c r="A382" s="8" t="str">
        <f>IFERROR(__xludf.DUMMYFUNCTION("IF('(INGESTA)Datos_consumo_datadis'!A382&lt;&gt;"""",SPLIT('(INGESTA)Datos_consumo_datadis'!A:A,"",""),"""")"),"ES0031408323131005HX0F")</f>
        <v>ES0031408323131005HX0F</v>
      </c>
      <c r="B382" s="17">
        <f>IFERROR(__xludf.DUMMYFUNCTION("""COMPUTED_VALUE"""),44881.0)</f>
        <v>44881</v>
      </c>
      <c r="C382" s="13">
        <f>IFERROR(__xludf.DUMMYFUNCTION("""COMPUTED_VALUE"""),0.875)</f>
        <v>0.875</v>
      </c>
      <c r="D382" s="8">
        <f>IFERROR(__xludf.DUMMYFUNCTION("""COMPUTED_VALUE"""),0.0)</f>
        <v>0</v>
      </c>
      <c r="E382" s="8" t="str">
        <f>IFERROR(__xludf.DUMMYFUNCTION("""COMPUTED_VALUE"""),"Real")</f>
        <v>Real</v>
      </c>
      <c r="G382" s="8">
        <f t="shared" si="1"/>
        <v>11</v>
      </c>
      <c r="H382" s="14">
        <f t="shared" si="2"/>
        <v>16</v>
      </c>
      <c r="I382" s="15">
        <f t="shared" si="3"/>
        <v>21</v>
      </c>
    </row>
    <row r="383">
      <c r="A383" s="8" t="str">
        <f>IFERROR(__xludf.DUMMYFUNCTION("IF('(INGESTA)Datos_consumo_datadis'!A383&lt;&gt;"""",SPLIT('(INGESTA)Datos_consumo_datadis'!A:A,"",""),"""")"),"ES0031408323131005HX0F")</f>
        <v>ES0031408323131005HX0F</v>
      </c>
      <c r="B383" s="17">
        <f>IFERROR(__xludf.DUMMYFUNCTION("""COMPUTED_VALUE"""),44881.0)</f>
        <v>44881</v>
      </c>
      <c r="C383" s="13">
        <f>IFERROR(__xludf.DUMMYFUNCTION("""COMPUTED_VALUE"""),0.9166666666666666)</f>
        <v>0.9166666667</v>
      </c>
      <c r="D383" s="8">
        <f>IFERROR(__xludf.DUMMYFUNCTION("""COMPUTED_VALUE"""),0.0)</f>
        <v>0</v>
      </c>
      <c r="E383" s="8" t="str">
        <f>IFERROR(__xludf.DUMMYFUNCTION("""COMPUTED_VALUE"""),"Real")</f>
        <v>Real</v>
      </c>
      <c r="G383" s="8">
        <f t="shared" si="1"/>
        <v>11</v>
      </c>
      <c r="H383" s="14">
        <f t="shared" si="2"/>
        <v>16</v>
      </c>
      <c r="I383" s="15">
        <f t="shared" si="3"/>
        <v>22</v>
      </c>
    </row>
    <row r="384">
      <c r="A384" s="8" t="str">
        <f>IFERROR(__xludf.DUMMYFUNCTION("IF('(INGESTA)Datos_consumo_datadis'!A384&lt;&gt;"""",SPLIT('(INGESTA)Datos_consumo_datadis'!A:A,"",""),"""")"),"ES0031408323131005HX0F")</f>
        <v>ES0031408323131005HX0F</v>
      </c>
      <c r="B384" s="17">
        <f>IFERROR(__xludf.DUMMYFUNCTION("""COMPUTED_VALUE"""),44881.0)</f>
        <v>44881</v>
      </c>
      <c r="C384" s="13">
        <f>IFERROR(__xludf.DUMMYFUNCTION("""COMPUTED_VALUE"""),0.9583333333333334)</f>
        <v>0.9583333333</v>
      </c>
      <c r="D384" s="8">
        <f>IFERROR(__xludf.DUMMYFUNCTION("""COMPUTED_VALUE"""),0.0)</f>
        <v>0</v>
      </c>
      <c r="E384" s="8" t="str">
        <f>IFERROR(__xludf.DUMMYFUNCTION("""COMPUTED_VALUE"""),"Real")</f>
        <v>Real</v>
      </c>
      <c r="G384" s="8">
        <f t="shared" si="1"/>
        <v>11</v>
      </c>
      <c r="H384" s="14">
        <f t="shared" si="2"/>
        <v>16</v>
      </c>
      <c r="I384" s="15">
        <f t="shared" si="3"/>
        <v>23</v>
      </c>
    </row>
    <row r="385">
      <c r="A385" s="8" t="str">
        <f>IFERROR(__xludf.DUMMYFUNCTION("IF('(INGESTA)Datos_consumo_datadis'!A385&lt;&gt;"""",SPLIT('(INGESTA)Datos_consumo_datadis'!A:A,"",""),"""")"),"ES0031408323131005HX0F")</f>
        <v>ES0031408323131005HX0F</v>
      </c>
      <c r="B385" s="17">
        <f>IFERROR(__xludf.DUMMYFUNCTION("""COMPUTED_VALUE"""),44881.0)</f>
        <v>44881</v>
      </c>
      <c r="C385" s="16">
        <f>IFERROR(__xludf.DUMMYFUNCTION("""COMPUTED_VALUE"""),1.0)</f>
        <v>1</v>
      </c>
      <c r="D385" s="8">
        <f>IFERROR(__xludf.DUMMYFUNCTION("""COMPUTED_VALUE"""),0.0)</f>
        <v>0</v>
      </c>
      <c r="E385" s="8" t="str">
        <f>IFERROR(__xludf.DUMMYFUNCTION("""COMPUTED_VALUE"""),"Real")</f>
        <v>Real</v>
      </c>
      <c r="G385" s="8">
        <f t="shared" si="1"/>
        <v>11</v>
      </c>
      <c r="H385" s="14">
        <f t="shared" si="2"/>
        <v>16</v>
      </c>
      <c r="I385" s="15">
        <f t="shared" si="3"/>
        <v>0</v>
      </c>
    </row>
    <row r="386">
      <c r="A386" s="8" t="str">
        <f>IFERROR(__xludf.DUMMYFUNCTION("IF('(INGESTA)Datos_consumo_datadis'!A386&lt;&gt;"""",SPLIT('(INGESTA)Datos_consumo_datadis'!A:A,"",""),"""")"),"ES0031408323131005HX0F")</f>
        <v>ES0031408323131005HX0F</v>
      </c>
      <c r="B386" s="17">
        <f>IFERROR(__xludf.DUMMYFUNCTION("""COMPUTED_VALUE"""),44882.0)</f>
        <v>44882</v>
      </c>
      <c r="C386" s="13">
        <f>IFERROR(__xludf.DUMMYFUNCTION("""COMPUTED_VALUE"""),0.041666666666666664)</f>
        <v>0.04166666667</v>
      </c>
      <c r="D386" s="8">
        <f>IFERROR(__xludf.DUMMYFUNCTION("""COMPUTED_VALUE"""),0.0)</f>
        <v>0</v>
      </c>
      <c r="E386" s="8" t="str">
        <f>IFERROR(__xludf.DUMMYFUNCTION("""COMPUTED_VALUE"""),"Real")</f>
        <v>Real</v>
      </c>
      <c r="G386" s="8">
        <f t="shared" si="1"/>
        <v>11</v>
      </c>
      <c r="H386" s="14">
        <f t="shared" si="2"/>
        <v>17</v>
      </c>
      <c r="I386" s="15">
        <f t="shared" si="3"/>
        <v>1</v>
      </c>
    </row>
    <row r="387">
      <c r="A387" s="8" t="str">
        <f>IFERROR(__xludf.DUMMYFUNCTION("IF('(INGESTA)Datos_consumo_datadis'!A387&lt;&gt;"""",SPLIT('(INGESTA)Datos_consumo_datadis'!A:A,"",""),"""")"),"ES0031408323131005HX0F")</f>
        <v>ES0031408323131005HX0F</v>
      </c>
      <c r="B387" s="17">
        <f>IFERROR(__xludf.DUMMYFUNCTION("""COMPUTED_VALUE"""),44882.0)</f>
        <v>44882</v>
      </c>
      <c r="C387" s="13">
        <f>IFERROR(__xludf.DUMMYFUNCTION("""COMPUTED_VALUE"""),0.08333333333333333)</f>
        <v>0.08333333333</v>
      </c>
      <c r="D387" s="8">
        <f>IFERROR(__xludf.DUMMYFUNCTION("""COMPUTED_VALUE"""),0.0)</f>
        <v>0</v>
      </c>
      <c r="E387" s="8" t="str">
        <f>IFERROR(__xludf.DUMMYFUNCTION("""COMPUTED_VALUE"""),"Real")</f>
        <v>Real</v>
      </c>
      <c r="G387" s="8">
        <f t="shared" si="1"/>
        <v>11</v>
      </c>
      <c r="H387" s="14">
        <f t="shared" si="2"/>
        <v>17</v>
      </c>
      <c r="I387" s="15">
        <f t="shared" si="3"/>
        <v>2</v>
      </c>
    </row>
    <row r="388">
      <c r="A388" s="8" t="str">
        <f>IFERROR(__xludf.DUMMYFUNCTION("IF('(INGESTA)Datos_consumo_datadis'!A388&lt;&gt;"""",SPLIT('(INGESTA)Datos_consumo_datadis'!A:A,"",""),"""")"),"ES0031408323131005HX0F")</f>
        <v>ES0031408323131005HX0F</v>
      </c>
      <c r="B388" s="17">
        <f>IFERROR(__xludf.DUMMYFUNCTION("""COMPUTED_VALUE"""),44882.0)</f>
        <v>44882</v>
      </c>
      <c r="C388" s="13">
        <f>IFERROR(__xludf.DUMMYFUNCTION("""COMPUTED_VALUE"""),0.125)</f>
        <v>0.125</v>
      </c>
      <c r="D388" s="8">
        <f>IFERROR(__xludf.DUMMYFUNCTION("""COMPUTED_VALUE"""),0.0)</f>
        <v>0</v>
      </c>
      <c r="E388" s="8" t="str">
        <f>IFERROR(__xludf.DUMMYFUNCTION("""COMPUTED_VALUE"""),"Real")</f>
        <v>Real</v>
      </c>
      <c r="G388" s="8">
        <f t="shared" si="1"/>
        <v>11</v>
      </c>
      <c r="H388" s="14">
        <f t="shared" si="2"/>
        <v>17</v>
      </c>
      <c r="I388" s="15">
        <f t="shared" si="3"/>
        <v>3</v>
      </c>
    </row>
    <row r="389">
      <c r="A389" s="8" t="str">
        <f>IFERROR(__xludf.DUMMYFUNCTION("IF('(INGESTA)Datos_consumo_datadis'!A389&lt;&gt;"""",SPLIT('(INGESTA)Datos_consumo_datadis'!A:A,"",""),"""")"),"ES0031408323131005HX0F")</f>
        <v>ES0031408323131005HX0F</v>
      </c>
      <c r="B389" s="17">
        <f>IFERROR(__xludf.DUMMYFUNCTION("""COMPUTED_VALUE"""),44882.0)</f>
        <v>44882</v>
      </c>
      <c r="C389" s="13">
        <f>IFERROR(__xludf.DUMMYFUNCTION("""COMPUTED_VALUE"""),0.16666666666666666)</f>
        <v>0.1666666667</v>
      </c>
      <c r="D389" s="8">
        <f>IFERROR(__xludf.DUMMYFUNCTION("""COMPUTED_VALUE"""),0.0)</f>
        <v>0</v>
      </c>
      <c r="E389" s="8" t="str">
        <f>IFERROR(__xludf.DUMMYFUNCTION("""COMPUTED_VALUE"""),"Real")</f>
        <v>Real</v>
      </c>
      <c r="G389" s="8">
        <f t="shared" si="1"/>
        <v>11</v>
      </c>
      <c r="H389" s="14">
        <f t="shared" si="2"/>
        <v>17</v>
      </c>
      <c r="I389" s="15">
        <f t="shared" si="3"/>
        <v>4</v>
      </c>
    </row>
    <row r="390">
      <c r="A390" s="8" t="str">
        <f>IFERROR(__xludf.DUMMYFUNCTION("IF('(INGESTA)Datos_consumo_datadis'!A390&lt;&gt;"""",SPLIT('(INGESTA)Datos_consumo_datadis'!A:A,"",""),"""")"),"ES0031408323131005HX0F")</f>
        <v>ES0031408323131005HX0F</v>
      </c>
      <c r="B390" s="17">
        <f>IFERROR(__xludf.DUMMYFUNCTION("""COMPUTED_VALUE"""),44882.0)</f>
        <v>44882</v>
      </c>
      <c r="C390" s="13">
        <f>IFERROR(__xludf.DUMMYFUNCTION("""COMPUTED_VALUE"""),0.20833333333333334)</f>
        <v>0.2083333333</v>
      </c>
      <c r="D390" s="8">
        <f>IFERROR(__xludf.DUMMYFUNCTION("""COMPUTED_VALUE"""),0.0)</f>
        <v>0</v>
      </c>
      <c r="E390" s="8" t="str">
        <f>IFERROR(__xludf.DUMMYFUNCTION("""COMPUTED_VALUE"""),"Real")</f>
        <v>Real</v>
      </c>
      <c r="G390" s="8">
        <f t="shared" si="1"/>
        <v>11</v>
      </c>
      <c r="H390" s="14">
        <f t="shared" si="2"/>
        <v>17</v>
      </c>
      <c r="I390" s="15">
        <f t="shared" si="3"/>
        <v>5</v>
      </c>
    </row>
    <row r="391">
      <c r="A391" s="8" t="str">
        <f>IFERROR(__xludf.DUMMYFUNCTION("IF('(INGESTA)Datos_consumo_datadis'!A391&lt;&gt;"""",SPLIT('(INGESTA)Datos_consumo_datadis'!A:A,"",""),"""")"),"ES0031408323131005HX0F")</f>
        <v>ES0031408323131005HX0F</v>
      </c>
      <c r="B391" s="17">
        <f>IFERROR(__xludf.DUMMYFUNCTION("""COMPUTED_VALUE"""),44882.0)</f>
        <v>44882</v>
      </c>
      <c r="C391" s="13">
        <f>IFERROR(__xludf.DUMMYFUNCTION("""COMPUTED_VALUE"""),0.25)</f>
        <v>0.25</v>
      </c>
      <c r="D391" s="8">
        <f>IFERROR(__xludf.DUMMYFUNCTION("""COMPUTED_VALUE"""),0.0)</f>
        <v>0</v>
      </c>
      <c r="E391" s="8" t="str">
        <f>IFERROR(__xludf.DUMMYFUNCTION("""COMPUTED_VALUE"""),"Real")</f>
        <v>Real</v>
      </c>
      <c r="G391" s="8">
        <f t="shared" si="1"/>
        <v>11</v>
      </c>
      <c r="H391" s="14">
        <f t="shared" si="2"/>
        <v>17</v>
      </c>
      <c r="I391" s="15">
        <f t="shared" si="3"/>
        <v>6</v>
      </c>
    </row>
    <row r="392">
      <c r="A392" s="8" t="str">
        <f>IFERROR(__xludf.DUMMYFUNCTION("IF('(INGESTA)Datos_consumo_datadis'!A392&lt;&gt;"""",SPLIT('(INGESTA)Datos_consumo_datadis'!A:A,"",""),"""")"),"ES0031408323131005HX0F")</f>
        <v>ES0031408323131005HX0F</v>
      </c>
      <c r="B392" s="17">
        <f>IFERROR(__xludf.DUMMYFUNCTION("""COMPUTED_VALUE"""),44882.0)</f>
        <v>44882</v>
      </c>
      <c r="C392" s="13">
        <f>IFERROR(__xludf.DUMMYFUNCTION("""COMPUTED_VALUE"""),0.2916666666666667)</f>
        <v>0.2916666667</v>
      </c>
      <c r="D392" s="8">
        <f>IFERROR(__xludf.DUMMYFUNCTION("""COMPUTED_VALUE"""),0.0)</f>
        <v>0</v>
      </c>
      <c r="E392" s="8" t="str">
        <f>IFERROR(__xludf.DUMMYFUNCTION("""COMPUTED_VALUE"""),"Real")</f>
        <v>Real</v>
      </c>
      <c r="G392" s="8">
        <f t="shared" si="1"/>
        <v>11</v>
      </c>
      <c r="H392" s="14">
        <f t="shared" si="2"/>
        <v>17</v>
      </c>
      <c r="I392" s="15">
        <f t="shared" si="3"/>
        <v>7</v>
      </c>
    </row>
    <row r="393">
      <c r="A393" s="8" t="str">
        <f>IFERROR(__xludf.DUMMYFUNCTION("IF('(INGESTA)Datos_consumo_datadis'!A393&lt;&gt;"""",SPLIT('(INGESTA)Datos_consumo_datadis'!A:A,"",""),"""")"),"ES0031408323131005HX0F")</f>
        <v>ES0031408323131005HX0F</v>
      </c>
      <c r="B393" s="17">
        <f>IFERROR(__xludf.DUMMYFUNCTION("""COMPUTED_VALUE"""),44882.0)</f>
        <v>44882</v>
      </c>
      <c r="C393" s="13">
        <f>IFERROR(__xludf.DUMMYFUNCTION("""COMPUTED_VALUE"""),0.3333333333333333)</f>
        <v>0.3333333333</v>
      </c>
      <c r="D393" s="8">
        <f>IFERROR(__xludf.DUMMYFUNCTION("""COMPUTED_VALUE"""),0.0)</f>
        <v>0</v>
      </c>
      <c r="E393" s="8" t="str">
        <f>IFERROR(__xludf.DUMMYFUNCTION("""COMPUTED_VALUE"""),"Real")</f>
        <v>Real</v>
      </c>
      <c r="G393" s="8">
        <f t="shared" si="1"/>
        <v>11</v>
      </c>
      <c r="H393" s="14">
        <f t="shared" si="2"/>
        <v>17</v>
      </c>
      <c r="I393" s="15">
        <f t="shared" si="3"/>
        <v>8</v>
      </c>
    </row>
    <row r="394">
      <c r="A394" s="8" t="str">
        <f>IFERROR(__xludf.DUMMYFUNCTION("IF('(INGESTA)Datos_consumo_datadis'!A394&lt;&gt;"""",SPLIT('(INGESTA)Datos_consumo_datadis'!A:A,"",""),"""")"),"ES0031408323131005HX0F")</f>
        <v>ES0031408323131005HX0F</v>
      </c>
      <c r="B394" s="17">
        <f>IFERROR(__xludf.DUMMYFUNCTION("""COMPUTED_VALUE"""),44882.0)</f>
        <v>44882</v>
      </c>
      <c r="C394" s="13">
        <f>IFERROR(__xludf.DUMMYFUNCTION("""COMPUTED_VALUE"""),0.375)</f>
        <v>0.375</v>
      </c>
      <c r="D394" s="8">
        <f>IFERROR(__xludf.DUMMYFUNCTION("""COMPUTED_VALUE"""),0.0)</f>
        <v>0</v>
      </c>
      <c r="E394" s="8" t="str">
        <f>IFERROR(__xludf.DUMMYFUNCTION("""COMPUTED_VALUE"""),"Real")</f>
        <v>Real</v>
      </c>
      <c r="G394" s="8">
        <f t="shared" si="1"/>
        <v>11</v>
      </c>
      <c r="H394" s="14">
        <f t="shared" si="2"/>
        <v>17</v>
      </c>
      <c r="I394" s="15">
        <f t="shared" si="3"/>
        <v>9</v>
      </c>
    </row>
    <row r="395">
      <c r="A395" s="8" t="str">
        <f>IFERROR(__xludf.DUMMYFUNCTION("IF('(INGESTA)Datos_consumo_datadis'!A395&lt;&gt;"""",SPLIT('(INGESTA)Datos_consumo_datadis'!A:A,"",""),"""")"),"ES0031408323131005HX0F")</f>
        <v>ES0031408323131005HX0F</v>
      </c>
      <c r="B395" s="17">
        <f>IFERROR(__xludf.DUMMYFUNCTION("""COMPUTED_VALUE"""),44882.0)</f>
        <v>44882</v>
      </c>
      <c r="C395" s="13">
        <f>IFERROR(__xludf.DUMMYFUNCTION("""COMPUTED_VALUE"""),0.4166666666666667)</f>
        <v>0.4166666667</v>
      </c>
      <c r="D395" s="8">
        <f>IFERROR(__xludf.DUMMYFUNCTION("""COMPUTED_VALUE"""),0.0)</f>
        <v>0</v>
      </c>
      <c r="E395" s="8" t="str">
        <f>IFERROR(__xludf.DUMMYFUNCTION("""COMPUTED_VALUE"""),"Real")</f>
        <v>Real</v>
      </c>
      <c r="G395" s="8">
        <f t="shared" si="1"/>
        <v>11</v>
      </c>
      <c r="H395" s="14">
        <f t="shared" si="2"/>
        <v>17</v>
      </c>
      <c r="I395" s="15">
        <f t="shared" si="3"/>
        <v>10</v>
      </c>
    </row>
    <row r="396">
      <c r="A396" s="8" t="str">
        <f>IFERROR(__xludf.DUMMYFUNCTION("IF('(INGESTA)Datos_consumo_datadis'!A396&lt;&gt;"""",SPLIT('(INGESTA)Datos_consumo_datadis'!A:A,"",""),"""")"),"ES0031408323131005HX0F")</f>
        <v>ES0031408323131005HX0F</v>
      </c>
      <c r="B396" s="17">
        <f>IFERROR(__xludf.DUMMYFUNCTION("""COMPUTED_VALUE"""),44882.0)</f>
        <v>44882</v>
      </c>
      <c r="C396" s="13">
        <f>IFERROR(__xludf.DUMMYFUNCTION("""COMPUTED_VALUE"""),0.4583333333333333)</f>
        <v>0.4583333333</v>
      </c>
      <c r="D396" s="8">
        <f>IFERROR(__xludf.DUMMYFUNCTION("""COMPUTED_VALUE"""),0.0)</f>
        <v>0</v>
      </c>
      <c r="E396" s="8" t="str">
        <f>IFERROR(__xludf.DUMMYFUNCTION("""COMPUTED_VALUE"""),"Real")</f>
        <v>Real</v>
      </c>
      <c r="G396" s="8">
        <f t="shared" si="1"/>
        <v>11</v>
      </c>
      <c r="H396" s="14">
        <f t="shared" si="2"/>
        <v>17</v>
      </c>
      <c r="I396" s="15">
        <f t="shared" si="3"/>
        <v>11</v>
      </c>
    </row>
    <row r="397">
      <c r="A397" s="8" t="str">
        <f>IFERROR(__xludf.DUMMYFUNCTION("IF('(INGESTA)Datos_consumo_datadis'!A397&lt;&gt;"""",SPLIT('(INGESTA)Datos_consumo_datadis'!A:A,"",""),"""")"),"ES0031408323131005HX0F")</f>
        <v>ES0031408323131005HX0F</v>
      </c>
      <c r="B397" s="17">
        <f>IFERROR(__xludf.DUMMYFUNCTION("""COMPUTED_VALUE"""),44882.0)</f>
        <v>44882</v>
      </c>
      <c r="C397" s="13">
        <f>IFERROR(__xludf.DUMMYFUNCTION("""COMPUTED_VALUE"""),0.5)</f>
        <v>0.5</v>
      </c>
      <c r="D397" s="8">
        <f>IFERROR(__xludf.DUMMYFUNCTION("""COMPUTED_VALUE"""),0.0)</f>
        <v>0</v>
      </c>
      <c r="E397" s="8" t="str">
        <f>IFERROR(__xludf.DUMMYFUNCTION("""COMPUTED_VALUE"""),"Real")</f>
        <v>Real</v>
      </c>
      <c r="G397" s="8">
        <f t="shared" si="1"/>
        <v>11</v>
      </c>
      <c r="H397" s="14">
        <f t="shared" si="2"/>
        <v>17</v>
      </c>
      <c r="I397" s="15">
        <f t="shared" si="3"/>
        <v>12</v>
      </c>
    </row>
    <row r="398">
      <c r="A398" s="8" t="str">
        <f>IFERROR(__xludf.DUMMYFUNCTION("IF('(INGESTA)Datos_consumo_datadis'!A398&lt;&gt;"""",SPLIT('(INGESTA)Datos_consumo_datadis'!A:A,"",""),"""")"),"ES0031408323131005HX0F")</f>
        <v>ES0031408323131005HX0F</v>
      </c>
      <c r="B398" s="17">
        <f>IFERROR(__xludf.DUMMYFUNCTION("""COMPUTED_VALUE"""),44882.0)</f>
        <v>44882</v>
      </c>
      <c r="C398" s="13">
        <f>IFERROR(__xludf.DUMMYFUNCTION("""COMPUTED_VALUE"""),0.5416666666666666)</f>
        <v>0.5416666667</v>
      </c>
      <c r="D398" s="8">
        <f>IFERROR(__xludf.DUMMYFUNCTION("""COMPUTED_VALUE"""),0.0)</f>
        <v>0</v>
      </c>
      <c r="E398" s="8" t="str">
        <f>IFERROR(__xludf.DUMMYFUNCTION("""COMPUTED_VALUE"""),"Real")</f>
        <v>Real</v>
      </c>
      <c r="G398" s="8">
        <f t="shared" si="1"/>
        <v>11</v>
      </c>
      <c r="H398" s="14">
        <f t="shared" si="2"/>
        <v>17</v>
      </c>
      <c r="I398" s="15">
        <f t="shared" si="3"/>
        <v>13</v>
      </c>
    </row>
    <row r="399">
      <c r="A399" s="8" t="str">
        <f>IFERROR(__xludf.DUMMYFUNCTION("IF('(INGESTA)Datos_consumo_datadis'!A399&lt;&gt;"""",SPLIT('(INGESTA)Datos_consumo_datadis'!A:A,"",""),"""")"),"ES0031408323131005HX0F")</f>
        <v>ES0031408323131005HX0F</v>
      </c>
      <c r="B399" s="17">
        <f>IFERROR(__xludf.DUMMYFUNCTION("""COMPUTED_VALUE"""),44882.0)</f>
        <v>44882</v>
      </c>
      <c r="C399" s="13">
        <f>IFERROR(__xludf.DUMMYFUNCTION("""COMPUTED_VALUE"""),0.5833333333333334)</f>
        <v>0.5833333333</v>
      </c>
      <c r="D399" s="8">
        <f>IFERROR(__xludf.DUMMYFUNCTION("""COMPUTED_VALUE"""),0.0)</f>
        <v>0</v>
      </c>
      <c r="E399" s="8" t="str">
        <f>IFERROR(__xludf.DUMMYFUNCTION("""COMPUTED_VALUE"""),"Real")</f>
        <v>Real</v>
      </c>
      <c r="G399" s="8">
        <f t="shared" si="1"/>
        <v>11</v>
      </c>
      <c r="H399" s="14">
        <f t="shared" si="2"/>
        <v>17</v>
      </c>
      <c r="I399" s="15">
        <f t="shared" si="3"/>
        <v>14</v>
      </c>
    </row>
    <row r="400">
      <c r="A400" s="8" t="str">
        <f>IFERROR(__xludf.DUMMYFUNCTION("IF('(INGESTA)Datos_consumo_datadis'!A400&lt;&gt;"""",SPLIT('(INGESTA)Datos_consumo_datadis'!A:A,"",""),"""")"),"ES0031408323131005HX0F")</f>
        <v>ES0031408323131005HX0F</v>
      </c>
      <c r="B400" s="17">
        <f>IFERROR(__xludf.DUMMYFUNCTION("""COMPUTED_VALUE"""),44882.0)</f>
        <v>44882</v>
      </c>
      <c r="C400" s="13">
        <f>IFERROR(__xludf.DUMMYFUNCTION("""COMPUTED_VALUE"""),0.625)</f>
        <v>0.625</v>
      </c>
      <c r="D400" s="8">
        <f>IFERROR(__xludf.DUMMYFUNCTION("""COMPUTED_VALUE"""),0.0)</f>
        <v>0</v>
      </c>
      <c r="E400" s="8" t="str">
        <f>IFERROR(__xludf.DUMMYFUNCTION("""COMPUTED_VALUE"""),"Real")</f>
        <v>Real</v>
      </c>
      <c r="G400" s="8">
        <f t="shared" si="1"/>
        <v>11</v>
      </c>
      <c r="H400" s="14">
        <f t="shared" si="2"/>
        <v>17</v>
      </c>
      <c r="I400" s="15">
        <f t="shared" si="3"/>
        <v>15</v>
      </c>
    </row>
    <row r="401">
      <c r="A401" s="8" t="str">
        <f>IFERROR(__xludf.DUMMYFUNCTION("IF('(INGESTA)Datos_consumo_datadis'!A401&lt;&gt;"""",SPLIT('(INGESTA)Datos_consumo_datadis'!A:A,"",""),"""")"),"ES0031408323131005HX0F")</f>
        <v>ES0031408323131005HX0F</v>
      </c>
      <c r="B401" s="17">
        <f>IFERROR(__xludf.DUMMYFUNCTION("""COMPUTED_VALUE"""),44882.0)</f>
        <v>44882</v>
      </c>
      <c r="C401" s="13">
        <f>IFERROR(__xludf.DUMMYFUNCTION("""COMPUTED_VALUE"""),0.6666666666666666)</f>
        <v>0.6666666667</v>
      </c>
      <c r="D401" s="8">
        <f>IFERROR(__xludf.DUMMYFUNCTION("""COMPUTED_VALUE"""),0.0)</f>
        <v>0</v>
      </c>
      <c r="E401" s="8" t="str">
        <f>IFERROR(__xludf.DUMMYFUNCTION("""COMPUTED_VALUE"""),"Real")</f>
        <v>Real</v>
      </c>
      <c r="G401" s="8">
        <f t="shared" si="1"/>
        <v>11</v>
      </c>
      <c r="H401" s="14">
        <f t="shared" si="2"/>
        <v>17</v>
      </c>
      <c r="I401" s="15">
        <f t="shared" si="3"/>
        <v>16</v>
      </c>
    </row>
    <row r="402">
      <c r="A402" s="8" t="str">
        <f>IFERROR(__xludf.DUMMYFUNCTION("IF('(INGESTA)Datos_consumo_datadis'!A402&lt;&gt;"""",SPLIT('(INGESTA)Datos_consumo_datadis'!A:A,"",""),"""")"),"ES0031408323131005HX0F")</f>
        <v>ES0031408323131005HX0F</v>
      </c>
      <c r="B402" s="17">
        <f>IFERROR(__xludf.DUMMYFUNCTION("""COMPUTED_VALUE"""),44882.0)</f>
        <v>44882</v>
      </c>
      <c r="C402" s="13">
        <f>IFERROR(__xludf.DUMMYFUNCTION("""COMPUTED_VALUE"""),0.7083333333333334)</f>
        <v>0.7083333333</v>
      </c>
      <c r="D402" s="8">
        <f>IFERROR(__xludf.DUMMYFUNCTION("""COMPUTED_VALUE"""),0.0)</f>
        <v>0</v>
      </c>
      <c r="E402" s="8" t="str">
        <f>IFERROR(__xludf.DUMMYFUNCTION("""COMPUTED_VALUE"""),"Real")</f>
        <v>Real</v>
      </c>
      <c r="G402" s="8">
        <f t="shared" si="1"/>
        <v>11</v>
      </c>
      <c r="H402" s="14">
        <f t="shared" si="2"/>
        <v>17</v>
      </c>
      <c r="I402" s="15">
        <f t="shared" si="3"/>
        <v>17</v>
      </c>
    </row>
    <row r="403">
      <c r="A403" s="8" t="str">
        <f>IFERROR(__xludf.DUMMYFUNCTION("IF('(INGESTA)Datos_consumo_datadis'!A403&lt;&gt;"""",SPLIT('(INGESTA)Datos_consumo_datadis'!A:A,"",""),"""")"),"ES0031408323131005HX0F")</f>
        <v>ES0031408323131005HX0F</v>
      </c>
      <c r="B403" s="17">
        <f>IFERROR(__xludf.DUMMYFUNCTION("""COMPUTED_VALUE"""),44882.0)</f>
        <v>44882</v>
      </c>
      <c r="C403" s="13">
        <f>IFERROR(__xludf.DUMMYFUNCTION("""COMPUTED_VALUE"""),0.75)</f>
        <v>0.75</v>
      </c>
      <c r="D403" s="8">
        <f>IFERROR(__xludf.DUMMYFUNCTION("""COMPUTED_VALUE"""),0.0)</f>
        <v>0</v>
      </c>
      <c r="E403" s="8" t="str">
        <f>IFERROR(__xludf.DUMMYFUNCTION("""COMPUTED_VALUE"""),"Real")</f>
        <v>Real</v>
      </c>
      <c r="G403" s="8">
        <f t="shared" si="1"/>
        <v>11</v>
      </c>
      <c r="H403" s="14">
        <f t="shared" si="2"/>
        <v>17</v>
      </c>
      <c r="I403" s="15">
        <f t="shared" si="3"/>
        <v>18</v>
      </c>
    </row>
    <row r="404">
      <c r="A404" s="8" t="str">
        <f>IFERROR(__xludf.DUMMYFUNCTION("IF('(INGESTA)Datos_consumo_datadis'!A404&lt;&gt;"""",SPLIT('(INGESTA)Datos_consumo_datadis'!A:A,"",""),"""")"),"ES0031408323131005HX0F")</f>
        <v>ES0031408323131005HX0F</v>
      </c>
      <c r="B404" s="17">
        <f>IFERROR(__xludf.DUMMYFUNCTION("""COMPUTED_VALUE"""),44882.0)</f>
        <v>44882</v>
      </c>
      <c r="C404" s="13">
        <f>IFERROR(__xludf.DUMMYFUNCTION("""COMPUTED_VALUE"""),0.7916666666666666)</f>
        <v>0.7916666667</v>
      </c>
      <c r="D404" s="8">
        <f>IFERROR(__xludf.DUMMYFUNCTION("""COMPUTED_VALUE"""),0.0)</f>
        <v>0</v>
      </c>
      <c r="E404" s="8" t="str">
        <f>IFERROR(__xludf.DUMMYFUNCTION("""COMPUTED_VALUE"""),"Real")</f>
        <v>Real</v>
      </c>
      <c r="G404" s="8">
        <f t="shared" si="1"/>
        <v>11</v>
      </c>
      <c r="H404" s="14">
        <f t="shared" si="2"/>
        <v>17</v>
      </c>
      <c r="I404" s="15">
        <f t="shared" si="3"/>
        <v>19</v>
      </c>
    </row>
    <row r="405">
      <c r="A405" s="8" t="str">
        <f>IFERROR(__xludf.DUMMYFUNCTION("IF('(INGESTA)Datos_consumo_datadis'!A405&lt;&gt;"""",SPLIT('(INGESTA)Datos_consumo_datadis'!A:A,"",""),"""")"),"ES0031408323131005HX0F")</f>
        <v>ES0031408323131005HX0F</v>
      </c>
      <c r="B405" s="17">
        <f>IFERROR(__xludf.DUMMYFUNCTION("""COMPUTED_VALUE"""),44882.0)</f>
        <v>44882</v>
      </c>
      <c r="C405" s="13">
        <f>IFERROR(__xludf.DUMMYFUNCTION("""COMPUTED_VALUE"""),0.8333333333333334)</f>
        <v>0.8333333333</v>
      </c>
      <c r="D405" s="8">
        <f>IFERROR(__xludf.DUMMYFUNCTION("""COMPUTED_VALUE"""),0.0)</f>
        <v>0</v>
      </c>
      <c r="E405" s="8" t="str">
        <f>IFERROR(__xludf.DUMMYFUNCTION("""COMPUTED_VALUE"""),"Real")</f>
        <v>Real</v>
      </c>
      <c r="G405" s="8">
        <f t="shared" si="1"/>
        <v>11</v>
      </c>
      <c r="H405" s="14">
        <f t="shared" si="2"/>
        <v>17</v>
      </c>
      <c r="I405" s="15">
        <f t="shared" si="3"/>
        <v>20</v>
      </c>
    </row>
    <row r="406">
      <c r="A406" s="8" t="str">
        <f>IFERROR(__xludf.DUMMYFUNCTION("IF('(INGESTA)Datos_consumo_datadis'!A406&lt;&gt;"""",SPLIT('(INGESTA)Datos_consumo_datadis'!A:A,"",""),"""")"),"ES0031408323131005HX0F")</f>
        <v>ES0031408323131005HX0F</v>
      </c>
      <c r="B406" s="17">
        <f>IFERROR(__xludf.DUMMYFUNCTION("""COMPUTED_VALUE"""),44882.0)</f>
        <v>44882</v>
      </c>
      <c r="C406" s="13">
        <f>IFERROR(__xludf.DUMMYFUNCTION("""COMPUTED_VALUE"""),0.875)</f>
        <v>0.875</v>
      </c>
      <c r="D406" s="8">
        <f>IFERROR(__xludf.DUMMYFUNCTION("""COMPUTED_VALUE"""),0.0)</f>
        <v>0</v>
      </c>
      <c r="E406" s="8" t="str">
        <f>IFERROR(__xludf.DUMMYFUNCTION("""COMPUTED_VALUE"""),"Real")</f>
        <v>Real</v>
      </c>
      <c r="G406" s="8">
        <f t="shared" si="1"/>
        <v>11</v>
      </c>
      <c r="H406" s="14">
        <f t="shared" si="2"/>
        <v>17</v>
      </c>
      <c r="I406" s="15">
        <f t="shared" si="3"/>
        <v>21</v>
      </c>
    </row>
    <row r="407">
      <c r="A407" s="8" t="str">
        <f>IFERROR(__xludf.DUMMYFUNCTION("IF('(INGESTA)Datos_consumo_datadis'!A407&lt;&gt;"""",SPLIT('(INGESTA)Datos_consumo_datadis'!A:A,"",""),"""")"),"ES0031408323131005HX0F")</f>
        <v>ES0031408323131005HX0F</v>
      </c>
      <c r="B407" s="17">
        <f>IFERROR(__xludf.DUMMYFUNCTION("""COMPUTED_VALUE"""),44882.0)</f>
        <v>44882</v>
      </c>
      <c r="C407" s="13">
        <f>IFERROR(__xludf.DUMMYFUNCTION("""COMPUTED_VALUE"""),0.9166666666666666)</f>
        <v>0.9166666667</v>
      </c>
      <c r="D407" s="8">
        <f>IFERROR(__xludf.DUMMYFUNCTION("""COMPUTED_VALUE"""),0.0)</f>
        <v>0</v>
      </c>
      <c r="E407" s="8" t="str">
        <f>IFERROR(__xludf.DUMMYFUNCTION("""COMPUTED_VALUE"""),"Real")</f>
        <v>Real</v>
      </c>
      <c r="G407" s="8">
        <f t="shared" si="1"/>
        <v>11</v>
      </c>
      <c r="H407" s="14">
        <f t="shared" si="2"/>
        <v>17</v>
      </c>
      <c r="I407" s="15">
        <f t="shared" si="3"/>
        <v>22</v>
      </c>
    </row>
    <row r="408">
      <c r="A408" s="8" t="str">
        <f>IFERROR(__xludf.DUMMYFUNCTION("IF('(INGESTA)Datos_consumo_datadis'!A408&lt;&gt;"""",SPLIT('(INGESTA)Datos_consumo_datadis'!A:A,"",""),"""")"),"ES0031408323131005HX0F")</f>
        <v>ES0031408323131005HX0F</v>
      </c>
      <c r="B408" s="17">
        <f>IFERROR(__xludf.DUMMYFUNCTION("""COMPUTED_VALUE"""),44882.0)</f>
        <v>44882</v>
      </c>
      <c r="C408" s="13">
        <f>IFERROR(__xludf.DUMMYFUNCTION("""COMPUTED_VALUE"""),0.9583333333333334)</f>
        <v>0.9583333333</v>
      </c>
      <c r="D408" s="8">
        <f>IFERROR(__xludf.DUMMYFUNCTION("""COMPUTED_VALUE"""),0.0)</f>
        <v>0</v>
      </c>
      <c r="E408" s="8" t="str">
        <f>IFERROR(__xludf.DUMMYFUNCTION("""COMPUTED_VALUE"""),"Real")</f>
        <v>Real</v>
      </c>
      <c r="G408" s="8">
        <f t="shared" si="1"/>
        <v>11</v>
      </c>
      <c r="H408" s="14">
        <f t="shared" si="2"/>
        <v>17</v>
      </c>
      <c r="I408" s="15">
        <f t="shared" si="3"/>
        <v>23</v>
      </c>
    </row>
    <row r="409">
      <c r="A409" s="8" t="str">
        <f>IFERROR(__xludf.DUMMYFUNCTION("IF('(INGESTA)Datos_consumo_datadis'!A409&lt;&gt;"""",SPLIT('(INGESTA)Datos_consumo_datadis'!A:A,"",""),"""")"),"ES0031408323131005HX0F")</f>
        <v>ES0031408323131005HX0F</v>
      </c>
      <c r="B409" s="17">
        <f>IFERROR(__xludf.DUMMYFUNCTION("""COMPUTED_VALUE"""),44882.0)</f>
        <v>44882</v>
      </c>
      <c r="C409" s="16">
        <f>IFERROR(__xludf.DUMMYFUNCTION("""COMPUTED_VALUE"""),1.0)</f>
        <v>1</v>
      </c>
      <c r="D409" s="8">
        <f>IFERROR(__xludf.DUMMYFUNCTION("""COMPUTED_VALUE"""),0.0)</f>
        <v>0</v>
      </c>
      <c r="E409" s="8" t="str">
        <f>IFERROR(__xludf.DUMMYFUNCTION("""COMPUTED_VALUE"""),"Real")</f>
        <v>Real</v>
      </c>
      <c r="G409" s="8">
        <f t="shared" si="1"/>
        <v>11</v>
      </c>
      <c r="H409" s="14">
        <f t="shared" si="2"/>
        <v>17</v>
      </c>
      <c r="I409" s="15">
        <f t="shared" si="3"/>
        <v>0</v>
      </c>
    </row>
    <row r="410">
      <c r="A410" s="8" t="str">
        <f>IFERROR(__xludf.DUMMYFUNCTION("IF('(INGESTA)Datos_consumo_datadis'!A410&lt;&gt;"""",SPLIT('(INGESTA)Datos_consumo_datadis'!A:A,"",""),"""")"),"ES0031408323131005HX0F")</f>
        <v>ES0031408323131005HX0F</v>
      </c>
      <c r="B410" s="17">
        <f>IFERROR(__xludf.DUMMYFUNCTION("""COMPUTED_VALUE"""),44883.0)</f>
        <v>44883</v>
      </c>
      <c r="C410" s="13">
        <f>IFERROR(__xludf.DUMMYFUNCTION("""COMPUTED_VALUE"""),0.041666666666666664)</f>
        <v>0.04166666667</v>
      </c>
      <c r="D410" s="8">
        <f>IFERROR(__xludf.DUMMYFUNCTION("""COMPUTED_VALUE"""),0.0)</f>
        <v>0</v>
      </c>
      <c r="E410" s="8" t="str">
        <f>IFERROR(__xludf.DUMMYFUNCTION("""COMPUTED_VALUE"""),"Real")</f>
        <v>Real</v>
      </c>
      <c r="G410" s="8">
        <f t="shared" si="1"/>
        <v>11</v>
      </c>
      <c r="H410" s="14">
        <f t="shared" si="2"/>
        <v>18</v>
      </c>
      <c r="I410" s="15">
        <f t="shared" si="3"/>
        <v>1</v>
      </c>
    </row>
    <row r="411">
      <c r="A411" s="8" t="str">
        <f>IFERROR(__xludf.DUMMYFUNCTION("IF('(INGESTA)Datos_consumo_datadis'!A411&lt;&gt;"""",SPLIT('(INGESTA)Datos_consumo_datadis'!A:A,"",""),"""")"),"ES0031408323131005HX0F")</f>
        <v>ES0031408323131005HX0F</v>
      </c>
      <c r="B411" s="17">
        <f>IFERROR(__xludf.DUMMYFUNCTION("""COMPUTED_VALUE"""),44883.0)</f>
        <v>44883</v>
      </c>
      <c r="C411" s="13">
        <f>IFERROR(__xludf.DUMMYFUNCTION("""COMPUTED_VALUE"""),0.08333333333333333)</f>
        <v>0.08333333333</v>
      </c>
      <c r="D411" s="8">
        <f>IFERROR(__xludf.DUMMYFUNCTION("""COMPUTED_VALUE"""),0.0)</f>
        <v>0</v>
      </c>
      <c r="E411" s="8" t="str">
        <f>IFERROR(__xludf.DUMMYFUNCTION("""COMPUTED_VALUE"""),"Real")</f>
        <v>Real</v>
      </c>
      <c r="G411" s="8">
        <f t="shared" si="1"/>
        <v>11</v>
      </c>
      <c r="H411" s="14">
        <f t="shared" si="2"/>
        <v>18</v>
      </c>
      <c r="I411" s="15">
        <f t="shared" si="3"/>
        <v>2</v>
      </c>
    </row>
    <row r="412">
      <c r="A412" s="8" t="str">
        <f>IFERROR(__xludf.DUMMYFUNCTION("IF('(INGESTA)Datos_consumo_datadis'!A412&lt;&gt;"""",SPLIT('(INGESTA)Datos_consumo_datadis'!A:A,"",""),"""")"),"ES0031408323131005HX0F")</f>
        <v>ES0031408323131005HX0F</v>
      </c>
      <c r="B412" s="17">
        <f>IFERROR(__xludf.DUMMYFUNCTION("""COMPUTED_VALUE"""),44883.0)</f>
        <v>44883</v>
      </c>
      <c r="C412" s="13">
        <f>IFERROR(__xludf.DUMMYFUNCTION("""COMPUTED_VALUE"""),0.125)</f>
        <v>0.125</v>
      </c>
      <c r="D412" s="8">
        <f>IFERROR(__xludf.DUMMYFUNCTION("""COMPUTED_VALUE"""),0.0)</f>
        <v>0</v>
      </c>
      <c r="E412" s="8" t="str">
        <f>IFERROR(__xludf.DUMMYFUNCTION("""COMPUTED_VALUE"""),"Real")</f>
        <v>Real</v>
      </c>
      <c r="G412" s="8">
        <f t="shared" si="1"/>
        <v>11</v>
      </c>
      <c r="H412" s="14">
        <f t="shared" si="2"/>
        <v>18</v>
      </c>
      <c r="I412" s="15">
        <f t="shared" si="3"/>
        <v>3</v>
      </c>
    </row>
    <row r="413">
      <c r="A413" s="8" t="str">
        <f>IFERROR(__xludf.DUMMYFUNCTION("IF('(INGESTA)Datos_consumo_datadis'!A413&lt;&gt;"""",SPLIT('(INGESTA)Datos_consumo_datadis'!A:A,"",""),"""")"),"ES0031408323131005HX0F")</f>
        <v>ES0031408323131005HX0F</v>
      </c>
      <c r="B413" s="17">
        <f>IFERROR(__xludf.DUMMYFUNCTION("""COMPUTED_VALUE"""),44883.0)</f>
        <v>44883</v>
      </c>
      <c r="C413" s="13">
        <f>IFERROR(__xludf.DUMMYFUNCTION("""COMPUTED_VALUE"""),0.16666666666666666)</f>
        <v>0.1666666667</v>
      </c>
      <c r="D413" s="8">
        <f>IFERROR(__xludf.DUMMYFUNCTION("""COMPUTED_VALUE"""),0.0)</f>
        <v>0</v>
      </c>
      <c r="E413" s="8" t="str">
        <f>IFERROR(__xludf.DUMMYFUNCTION("""COMPUTED_VALUE"""),"Real")</f>
        <v>Real</v>
      </c>
      <c r="G413" s="8">
        <f t="shared" si="1"/>
        <v>11</v>
      </c>
      <c r="H413" s="14">
        <f t="shared" si="2"/>
        <v>18</v>
      </c>
      <c r="I413" s="15">
        <f t="shared" si="3"/>
        <v>4</v>
      </c>
    </row>
    <row r="414">
      <c r="A414" s="8" t="str">
        <f>IFERROR(__xludf.DUMMYFUNCTION("IF('(INGESTA)Datos_consumo_datadis'!A414&lt;&gt;"""",SPLIT('(INGESTA)Datos_consumo_datadis'!A:A,"",""),"""")"),"ES0031408323131005HX0F")</f>
        <v>ES0031408323131005HX0F</v>
      </c>
      <c r="B414" s="17">
        <f>IFERROR(__xludf.DUMMYFUNCTION("""COMPUTED_VALUE"""),44883.0)</f>
        <v>44883</v>
      </c>
      <c r="C414" s="13">
        <f>IFERROR(__xludf.DUMMYFUNCTION("""COMPUTED_VALUE"""),0.20833333333333334)</f>
        <v>0.2083333333</v>
      </c>
      <c r="D414" s="8">
        <f>IFERROR(__xludf.DUMMYFUNCTION("""COMPUTED_VALUE"""),0.0)</f>
        <v>0</v>
      </c>
      <c r="E414" s="8" t="str">
        <f>IFERROR(__xludf.DUMMYFUNCTION("""COMPUTED_VALUE"""),"Real")</f>
        <v>Real</v>
      </c>
      <c r="G414" s="8">
        <f t="shared" si="1"/>
        <v>11</v>
      </c>
      <c r="H414" s="14">
        <f t="shared" si="2"/>
        <v>18</v>
      </c>
      <c r="I414" s="15">
        <f t="shared" si="3"/>
        <v>5</v>
      </c>
    </row>
    <row r="415">
      <c r="A415" s="8" t="str">
        <f>IFERROR(__xludf.DUMMYFUNCTION("IF('(INGESTA)Datos_consumo_datadis'!A415&lt;&gt;"""",SPLIT('(INGESTA)Datos_consumo_datadis'!A:A,"",""),"""")"),"ES0031408323131005HX0F")</f>
        <v>ES0031408323131005HX0F</v>
      </c>
      <c r="B415" s="17">
        <f>IFERROR(__xludf.DUMMYFUNCTION("""COMPUTED_VALUE"""),44883.0)</f>
        <v>44883</v>
      </c>
      <c r="C415" s="13">
        <f>IFERROR(__xludf.DUMMYFUNCTION("""COMPUTED_VALUE"""),0.25)</f>
        <v>0.25</v>
      </c>
      <c r="D415" s="8">
        <f>IFERROR(__xludf.DUMMYFUNCTION("""COMPUTED_VALUE"""),0.0)</f>
        <v>0</v>
      </c>
      <c r="E415" s="8" t="str">
        <f>IFERROR(__xludf.DUMMYFUNCTION("""COMPUTED_VALUE"""),"Real")</f>
        <v>Real</v>
      </c>
      <c r="G415" s="8">
        <f t="shared" si="1"/>
        <v>11</v>
      </c>
      <c r="H415" s="14">
        <f t="shared" si="2"/>
        <v>18</v>
      </c>
      <c r="I415" s="15">
        <f t="shared" si="3"/>
        <v>6</v>
      </c>
    </row>
    <row r="416">
      <c r="A416" s="8" t="str">
        <f>IFERROR(__xludf.DUMMYFUNCTION("IF('(INGESTA)Datos_consumo_datadis'!A416&lt;&gt;"""",SPLIT('(INGESTA)Datos_consumo_datadis'!A:A,"",""),"""")"),"ES0031408323131005HX0F")</f>
        <v>ES0031408323131005HX0F</v>
      </c>
      <c r="B416" s="17">
        <f>IFERROR(__xludf.DUMMYFUNCTION("""COMPUTED_VALUE"""),44883.0)</f>
        <v>44883</v>
      </c>
      <c r="C416" s="13">
        <f>IFERROR(__xludf.DUMMYFUNCTION("""COMPUTED_VALUE"""),0.2916666666666667)</f>
        <v>0.2916666667</v>
      </c>
      <c r="D416" s="8">
        <f>IFERROR(__xludf.DUMMYFUNCTION("""COMPUTED_VALUE"""),0.0)</f>
        <v>0</v>
      </c>
      <c r="E416" s="8" t="str">
        <f>IFERROR(__xludf.DUMMYFUNCTION("""COMPUTED_VALUE"""),"Real")</f>
        <v>Real</v>
      </c>
      <c r="G416" s="8">
        <f t="shared" si="1"/>
        <v>11</v>
      </c>
      <c r="H416" s="14">
        <f t="shared" si="2"/>
        <v>18</v>
      </c>
      <c r="I416" s="15">
        <f t="shared" si="3"/>
        <v>7</v>
      </c>
    </row>
    <row r="417">
      <c r="A417" s="8" t="str">
        <f>IFERROR(__xludf.DUMMYFUNCTION("IF('(INGESTA)Datos_consumo_datadis'!A417&lt;&gt;"""",SPLIT('(INGESTA)Datos_consumo_datadis'!A:A,"",""),"""")"),"ES0031408323131005HX0F")</f>
        <v>ES0031408323131005HX0F</v>
      </c>
      <c r="B417" s="17">
        <f>IFERROR(__xludf.DUMMYFUNCTION("""COMPUTED_VALUE"""),44883.0)</f>
        <v>44883</v>
      </c>
      <c r="C417" s="13">
        <f>IFERROR(__xludf.DUMMYFUNCTION("""COMPUTED_VALUE"""),0.3333333333333333)</f>
        <v>0.3333333333</v>
      </c>
      <c r="D417" s="8">
        <f>IFERROR(__xludf.DUMMYFUNCTION("""COMPUTED_VALUE"""),0.0)</f>
        <v>0</v>
      </c>
      <c r="E417" s="8" t="str">
        <f>IFERROR(__xludf.DUMMYFUNCTION("""COMPUTED_VALUE"""),"Real")</f>
        <v>Real</v>
      </c>
      <c r="G417" s="8">
        <f t="shared" si="1"/>
        <v>11</v>
      </c>
      <c r="H417" s="14">
        <f t="shared" si="2"/>
        <v>18</v>
      </c>
      <c r="I417" s="15">
        <f t="shared" si="3"/>
        <v>8</v>
      </c>
    </row>
    <row r="418">
      <c r="A418" s="8" t="str">
        <f>IFERROR(__xludf.DUMMYFUNCTION("IF('(INGESTA)Datos_consumo_datadis'!A418&lt;&gt;"""",SPLIT('(INGESTA)Datos_consumo_datadis'!A:A,"",""),"""")"),"ES0031408323131005HX0F")</f>
        <v>ES0031408323131005HX0F</v>
      </c>
      <c r="B418" s="17">
        <f>IFERROR(__xludf.DUMMYFUNCTION("""COMPUTED_VALUE"""),44883.0)</f>
        <v>44883</v>
      </c>
      <c r="C418" s="13">
        <f>IFERROR(__xludf.DUMMYFUNCTION("""COMPUTED_VALUE"""),0.375)</f>
        <v>0.375</v>
      </c>
      <c r="D418" s="8">
        <f>IFERROR(__xludf.DUMMYFUNCTION("""COMPUTED_VALUE"""),0.0)</f>
        <v>0</v>
      </c>
      <c r="E418" s="8" t="str">
        <f>IFERROR(__xludf.DUMMYFUNCTION("""COMPUTED_VALUE"""),"Real")</f>
        <v>Real</v>
      </c>
      <c r="G418" s="8">
        <f t="shared" si="1"/>
        <v>11</v>
      </c>
      <c r="H418" s="14">
        <f t="shared" si="2"/>
        <v>18</v>
      </c>
      <c r="I418" s="15">
        <f t="shared" si="3"/>
        <v>9</v>
      </c>
    </row>
    <row r="419">
      <c r="A419" s="8" t="str">
        <f>IFERROR(__xludf.DUMMYFUNCTION("IF('(INGESTA)Datos_consumo_datadis'!A419&lt;&gt;"""",SPLIT('(INGESTA)Datos_consumo_datadis'!A:A,"",""),"""")"),"ES0031408323131005HX0F")</f>
        <v>ES0031408323131005HX0F</v>
      </c>
      <c r="B419" s="17">
        <f>IFERROR(__xludf.DUMMYFUNCTION("""COMPUTED_VALUE"""),44883.0)</f>
        <v>44883</v>
      </c>
      <c r="C419" s="13">
        <f>IFERROR(__xludf.DUMMYFUNCTION("""COMPUTED_VALUE"""),0.4166666666666667)</f>
        <v>0.4166666667</v>
      </c>
      <c r="D419" s="8">
        <f>IFERROR(__xludf.DUMMYFUNCTION("""COMPUTED_VALUE"""),0.0)</f>
        <v>0</v>
      </c>
      <c r="E419" s="8" t="str">
        <f>IFERROR(__xludf.DUMMYFUNCTION("""COMPUTED_VALUE"""),"Real")</f>
        <v>Real</v>
      </c>
      <c r="G419" s="8">
        <f t="shared" si="1"/>
        <v>11</v>
      </c>
      <c r="H419" s="14">
        <f t="shared" si="2"/>
        <v>18</v>
      </c>
      <c r="I419" s="15">
        <f t="shared" si="3"/>
        <v>10</v>
      </c>
    </row>
    <row r="420">
      <c r="A420" s="8" t="str">
        <f>IFERROR(__xludf.DUMMYFUNCTION("IF('(INGESTA)Datos_consumo_datadis'!A420&lt;&gt;"""",SPLIT('(INGESTA)Datos_consumo_datadis'!A:A,"",""),"""")"),"ES0031408323131005HX0F")</f>
        <v>ES0031408323131005HX0F</v>
      </c>
      <c r="B420" s="17">
        <f>IFERROR(__xludf.DUMMYFUNCTION("""COMPUTED_VALUE"""),44883.0)</f>
        <v>44883</v>
      </c>
      <c r="C420" s="13">
        <f>IFERROR(__xludf.DUMMYFUNCTION("""COMPUTED_VALUE"""),0.4583333333333333)</f>
        <v>0.4583333333</v>
      </c>
      <c r="D420" s="8">
        <f>IFERROR(__xludf.DUMMYFUNCTION("""COMPUTED_VALUE"""),0.0)</f>
        <v>0</v>
      </c>
      <c r="E420" s="8" t="str">
        <f>IFERROR(__xludf.DUMMYFUNCTION("""COMPUTED_VALUE"""),"Real")</f>
        <v>Real</v>
      </c>
      <c r="G420" s="8">
        <f t="shared" si="1"/>
        <v>11</v>
      </c>
      <c r="H420" s="14">
        <f t="shared" si="2"/>
        <v>18</v>
      </c>
      <c r="I420" s="15">
        <f t="shared" si="3"/>
        <v>11</v>
      </c>
    </row>
    <row r="421">
      <c r="A421" s="8" t="str">
        <f>IFERROR(__xludf.DUMMYFUNCTION("IF('(INGESTA)Datos_consumo_datadis'!A421&lt;&gt;"""",SPLIT('(INGESTA)Datos_consumo_datadis'!A:A,"",""),"""")"),"ES0031408323131005HX0F")</f>
        <v>ES0031408323131005HX0F</v>
      </c>
      <c r="B421" s="17">
        <f>IFERROR(__xludf.DUMMYFUNCTION("""COMPUTED_VALUE"""),44883.0)</f>
        <v>44883</v>
      </c>
      <c r="C421" s="13">
        <f>IFERROR(__xludf.DUMMYFUNCTION("""COMPUTED_VALUE"""),0.5)</f>
        <v>0.5</v>
      </c>
      <c r="D421" s="8">
        <f>IFERROR(__xludf.DUMMYFUNCTION("""COMPUTED_VALUE"""),0.0)</f>
        <v>0</v>
      </c>
      <c r="E421" s="8" t="str">
        <f>IFERROR(__xludf.DUMMYFUNCTION("""COMPUTED_VALUE"""),"Real")</f>
        <v>Real</v>
      </c>
      <c r="G421" s="8">
        <f t="shared" si="1"/>
        <v>11</v>
      </c>
      <c r="H421" s="14">
        <f t="shared" si="2"/>
        <v>18</v>
      </c>
      <c r="I421" s="15">
        <f t="shared" si="3"/>
        <v>12</v>
      </c>
    </row>
    <row r="422">
      <c r="A422" s="8" t="str">
        <f>IFERROR(__xludf.DUMMYFUNCTION("IF('(INGESTA)Datos_consumo_datadis'!A422&lt;&gt;"""",SPLIT('(INGESTA)Datos_consumo_datadis'!A:A,"",""),"""")"),"ES0031408323131005HX0F")</f>
        <v>ES0031408323131005HX0F</v>
      </c>
      <c r="B422" s="17">
        <f>IFERROR(__xludf.DUMMYFUNCTION("""COMPUTED_VALUE"""),44883.0)</f>
        <v>44883</v>
      </c>
      <c r="C422" s="13">
        <f>IFERROR(__xludf.DUMMYFUNCTION("""COMPUTED_VALUE"""),0.5416666666666666)</f>
        <v>0.5416666667</v>
      </c>
      <c r="D422" s="8">
        <f>IFERROR(__xludf.DUMMYFUNCTION("""COMPUTED_VALUE"""),0.0)</f>
        <v>0</v>
      </c>
      <c r="E422" s="8" t="str">
        <f>IFERROR(__xludf.DUMMYFUNCTION("""COMPUTED_VALUE"""),"Real")</f>
        <v>Real</v>
      </c>
      <c r="G422" s="8">
        <f t="shared" si="1"/>
        <v>11</v>
      </c>
      <c r="H422" s="14">
        <f t="shared" si="2"/>
        <v>18</v>
      </c>
      <c r="I422" s="15">
        <f t="shared" si="3"/>
        <v>13</v>
      </c>
    </row>
    <row r="423">
      <c r="A423" s="8" t="str">
        <f>IFERROR(__xludf.DUMMYFUNCTION("IF('(INGESTA)Datos_consumo_datadis'!A423&lt;&gt;"""",SPLIT('(INGESTA)Datos_consumo_datadis'!A:A,"",""),"""")"),"ES0031408323131005HX0F")</f>
        <v>ES0031408323131005HX0F</v>
      </c>
      <c r="B423" s="17">
        <f>IFERROR(__xludf.DUMMYFUNCTION("""COMPUTED_VALUE"""),44883.0)</f>
        <v>44883</v>
      </c>
      <c r="C423" s="13">
        <f>IFERROR(__xludf.DUMMYFUNCTION("""COMPUTED_VALUE"""),0.5833333333333334)</f>
        <v>0.5833333333</v>
      </c>
      <c r="D423" s="8">
        <f>IFERROR(__xludf.DUMMYFUNCTION("""COMPUTED_VALUE"""),0.0)</f>
        <v>0</v>
      </c>
      <c r="E423" s="8" t="str">
        <f>IFERROR(__xludf.DUMMYFUNCTION("""COMPUTED_VALUE"""),"Real")</f>
        <v>Real</v>
      </c>
      <c r="G423" s="8">
        <f t="shared" si="1"/>
        <v>11</v>
      </c>
      <c r="H423" s="14">
        <f t="shared" si="2"/>
        <v>18</v>
      </c>
      <c r="I423" s="15">
        <f t="shared" si="3"/>
        <v>14</v>
      </c>
    </row>
    <row r="424">
      <c r="A424" s="8" t="str">
        <f>IFERROR(__xludf.DUMMYFUNCTION("IF('(INGESTA)Datos_consumo_datadis'!A424&lt;&gt;"""",SPLIT('(INGESTA)Datos_consumo_datadis'!A:A,"",""),"""")"),"ES0031408323131005HX0F")</f>
        <v>ES0031408323131005HX0F</v>
      </c>
      <c r="B424" s="17">
        <f>IFERROR(__xludf.DUMMYFUNCTION("""COMPUTED_VALUE"""),44883.0)</f>
        <v>44883</v>
      </c>
      <c r="C424" s="13">
        <f>IFERROR(__xludf.DUMMYFUNCTION("""COMPUTED_VALUE"""),0.625)</f>
        <v>0.625</v>
      </c>
      <c r="D424" s="8">
        <f>IFERROR(__xludf.DUMMYFUNCTION("""COMPUTED_VALUE"""),0.0)</f>
        <v>0</v>
      </c>
      <c r="E424" s="8" t="str">
        <f>IFERROR(__xludf.DUMMYFUNCTION("""COMPUTED_VALUE"""),"Real")</f>
        <v>Real</v>
      </c>
      <c r="G424" s="8">
        <f t="shared" si="1"/>
        <v>11</v>
      </c>
      <c r="H424" s="14">
        <f t="shared" si="2"/>
        <v>18</v>
      </c>
      <c r="I424" s="15">
        <f t="shared" si="3"/>
        <v>15</v>
      </c>
    </row>
    <row r="425">
      <c r="A425" s="8" t="str">
        <f>IFERROR(__xludf.DUMMYFUNCTION("IF('(INGESTA)Datos_consumo_datadis'!A425&lt;&gt;"""",SPLIT('(INGESTA)Datos_consumo_datadis'!A:A,"",""),"""")"),"ES0031408323131005HX0F")</f>
        <v>ES0031408323131005HX0F</v>
      </c>
      <c r="B425" s="17">
        <f>IFERROR(__xludf.DUMMYFUNCTION("""COMPUTED_VALUE"""),44883.0)</f>
        <v>44883</v>
      </c>
      <c r="C425" s="13">
        <f>IFERROR(__xludf.DUMMYFUNCTION("""COMPUTED_VALUE"""),0.6666666666666666)</f>
        <v>0.6666666667</v>
      </c>
      <c r="D425" s="8">
        <f>IFERROR(__xludf.DUMMYFUNCTION("""COMPUTED_VALUE"""),0.0)</f>
        <v>0</v>
      </c>
      <c r="E425" s="8" t="str">
        <f>IFERROR(__xludf.DUMMYFUNCTION("""COMPUTED_VALUE"""),"Real")</f>
        <v>Real</v>
      </c>
      <c r="G425" s="8">
        <f t="shared" si="1"/>
        <v>11</v>
      </c>
      <c r="H425" s="14">
        <f t="shared" si="2"/>
        <v>18</v>
      </c>
      <c r="I425" s="15">
        <f t="shared" si="3"/>
        <v>16</v>
      </c>
    </row>
    <row r="426">
      <c r="A426" s="8" t="str">
        <f>IFERROR(__xludf.DUMMYFUNCTION("IF('(INGESTA)Datos_consumo_datadis'!A426&lt;&gt;"""",SPLIT('(INGESTA)Datos_consumo_datadis'!A:A,"",""),"""")"),"ES0031408323131005HX0F")</f>
        <v>ES0031408323131005HX0F</v>
      </c>
      <c r="B426" s="17">
        <f>IFERROR(__xludf.DUMMYFUNCTION("""COMPUTED_VALUE"""),44883.0)</f>
        <v>44883</v>
      </c>
      <c r="C426" s="13">
        <f>IFERROR(__xludf.DUMMYFUNCTION("""COMPUTED_VALUE"""),0.7083333333333334)</f>
        <v>0.7083333333</v>
      </c>
      <c r="D426" s="8">
        <f>IFERROR(__xludf.DUMMYFUNCTION("""COMPUTED_VALUE"""),0.0)</f>
        <v>0</v>
      </c>
      <c r="E426" s="8" t="str">
        <f>IFERROR(__xludf.DUMMYFUNCTION("""COMPUTED_VALUE"""),"Real")</f>
        <v>Real</v>
      </c>
      <c r="G426" s="8">
        <f t="shared" si="1"/>
        <v>11</v>
      </c>
      <c r="H426" s="14">
        <f t="shared" si="2"/>
        <v>18</v>
      </c>
      <c r="I426" s="15">
        <f t="shared" si="3"/>
        <v>17</v>
      </c>
    </row>
    <row r="427">
      <c r="A427" s="8" t="str">
        <f>IFERROR(__xludf.DUMMYFUNCTION("IF('(INGESTA)Datos_consumo_datadis'!A427&lt;&gt;"""",SPLIT('(INGESTA)Datos_consumo_datadis'!A:A,"",""),"""")"),"ES0031408323131005HX0F")</f>
        <v>ES0031408323131005HX0F</v>
      </c>
      <c r="B427" s="17">
        <f>IFERROR(__xludf.DUMMYFUNCTION("""COMPUTED_VALUE"""),44883.0)</f>
        <v>44883</v>
      </c>
      <c r="C427" s="13">
        <f>IFERROR(__xludf.DUMMYFUNCTION("""COMPUTED_VALUE"""),0.75)</f>
        <v>0.75</v>
      </c>
      <c r="D427" s="8">
        <f>IFERROR(__xludf.DUMMYFUNCTION("""COMPUTED_VALUE"""),0.0)</f>
        <v>0</v>
      </c>
      <c r="E427" s="8" t="str">
        <f>IFERROR(__xludf.DUMMYFUNCTION("""COMPUTED_VALUE"""),"Real")</f>
        <v>Real</v>
      </c>
      <c r="G427" s="8">
        <f t="shared" si="1"/>
        <v>11</v>
      </c>
      <c r="H427" s="14">
        <f t="shared" si="2"/>
        <v>18</v>
      </c>
      <c r="I427" s="15">
        <f t="shared" si="3"/>
        <v>18</v>
      </c>
    </row>
    <row r="428">
      <c r="A428" s="8" t="str">
        <f>IFERROR(__xludf.DUMMYFUNCTION("IF('(INGESTA)Datos_consumo_datadis'!A428&lt;&gt;"""",SPLIT('(INGESTA)Datos_consumo_datadis'!A:A,"",""),"""")"),"ES0031408323131005HX0F")</f>
        <v>ES0031408323131005HX0F</v>
      </c>
      <c r="B428" s="17">
        <f>IFERROR(__xludf.DUMMYFUNCTION("""COMPUTED_VALUE"""),44883.0)</f>
        <v>44883</v>
      </c>
      <c r="C428" s="13">
        <f>IFERROR(__xludf.DUMMYFUNCTION("""COMPUTED_VALUE"""),0.7916666666666666)</f>
        <v>0.7916666667</v>
      </c>
      <c r="D428" s="8">
        <f>IFERROR(__xludf.DUMMYFUNCTION("""COMPUTED_VALUE"""),0.0)</f>
        <v>0</v>
      </c>
      <c r="E428" s="8" t="str">
        <f>IFERROR(__xludf.DUMMYFUNCTION("""COMPUTED_VALUE"""),"Real")</f>
        <v>Real</v>
      </c>
      <c r="G428" s="8">
        <f t="shared" si="1"/>
        <v>11</v>
      </c>
      <c r="H428" s="14">
        <f t="shared" si="2"/>
        <v>18</v>
      </c>
      <c r="I428" s="15">
        <f t="shared" si="3"/>
        <v>19</v>
      </c>
    </row>
    <row r="429">
      <c r="A429" s="8" t="str">
        <f>IFERROR(__xludf.DUMMYFUNCTION("IF('(INGESTA)Datos_consumo_datadis'!A429&lt;&gt;"""",SPLIT('(INGESTA)Datos_consumo_datadis'!A:A,"",""),"""")"),"ES0031408323131005HX0F")</f>
        <v>ES0031408323131005HX0F</v>
      </c>
      <c r="B429" s="17">
        <f>IFERROR(__xludf.DUMMYFUNCTION("""COMPUTED_VALUE"""),44883.0)</f>
        <v>44883</v>
      </c>
      <c r="C429" s="13">
        <f>IFERROR(__xludf.DUMMYFUNCTION("""COMPUTED_VALUE"""),0.8333333333333334)</f>
        <v>0.8333333333</v>
      </c>
      <c r="D429" s="8">
        <f>IFERROR(__xludf.DUMMYFUNCTION("""COMPUTED_VALUE"""),0.0)</f>
        <v>0</v>
      </c>
      <c r="E429" s="8" t="str">
        <f>IFERROR(__xludf.DUMMYFUNCTION("""COMPUTED_VALUE"""),"Real")</f>
        <v>Real</v>
      </c>
      <c r="G429" s="8">
        <f t="shared" si="1"/>
        <v>11</v>
      </c>
      <c r="H429" s="14">
        <f t="shared" si="2"/>
        <v>18</v>
      </c>
      <c r="I429" s="15">
        <f t="shared" si="3"/>
        <v>20</v>
      </c>
    </row>
    <row r="430">
      <c r="A430" s="8" t="str">
        <f>IFERROR(__xludf.DUMMYFUNCTION("IF('(INGESTA)Datos_consumo_datadis'!A430&lt;&gt;"""",SPLIT('(INGESTA)Datos_consumo_datadis'!A:A,"",""),"""")"),"ES0031408323131005HX0F")</f>
        <v>ES0031408323131005HX0F</v>
      </c>
      <c r="B430" s="17">
        <f>IFERROR(__xludf.DUMMYFUNCTION("""COMPUTED_VALUE"""),44883.0)</f>
        <v>44883</v>
      </c>
      <c r="C430" s="13">
        <f>IFERROR(__xludf.DUMMYFUNCTION("""COMPUTED_VALUE"""),0.875)</f>
        <v>0.875</v>
      </c>
      <c r="D430" s="8">
        <f>IFERROR(__xludf.DUMMYFUNCTION("""COMPUTED_VALUE"""),0.0)</f>
        <v>0</v>
      </c>
      <c r="E430" s="8" t="str">
        <f>IFERROR(__xludf.DUMMYFUNCTION("""COMPUTED_VALUE"""),"Real")</f>
        <v>Real</v>
      </c>
      <c r="G430" s="8">
        <f t="shared" si="1"/>
        <v>11</v>
      </c>
      <c r="H430" s="14">
        <f t="shared" si="2"/>
        <v>18</v>
      </c>
      <c r="I430" s="15">
        <f t="shared" si="3"/>
        <v>21</v>
      </c>
    </row>
    <row r="431">
      <c r="A431" s="8" t="str">
        <f>IFERROR(__xludf.DUMMYFUNCTION("IF('(INGESTA)Datos_consumo_datadis'!A431&lt;&gt;"""",SPLIT('(INGESTA)Datos_consumo_datadis'!A:A,"",""),"""")"),"ES0031408323131005HX0F")</f>
        <v>ES0031408323131005HX0F</v>
      </c>
      <c r="B431" s="17">
        <f>IFERROR(__xludf.DUMMYFUNCTION("""COMPUTED_VALUE"""),44883.0)</f>
        <v>44883</v>
      </c>
      <c r="C431" s="13">
        <f>IFERROR(__xludf.DUMMYFUNCTION("""COMPUTED_VALUE"""),0.9166666666666666)</f>
        <v>0.9166666667</v>
      </c>
      <c r="D431" s="8">
        <f>IFERROR(__xludf.DUMMYFUNCTION("""COMPUTED_VALUE"""),0.0)</f>
        <v>0</v>
      </c>
      <c r="E431" s="8" t="str">
        <f>IFERROR(__xludf.DUMMYFUNCTION("""COMPUTED_VALUE"""),"Real")</f>
        <v>Real</v>
      </c>
      <c r="G431" s="8">
        <f t="shared" si="1"/>
        <v>11</v>
      </c>
      <c r="H431" s="14">
        <f t="shared" si="2"/>
        <v>18</v>
      </c>
      <c r="I431" s="15">
        <f t="shared" si="3"/>
        <v>22</v>
      </c>
    </row>
    <row r="432">
      <c r="A432" s="8" t="str">
        <f>IFERROR(__xludf.DUMMYFUNCTION("IF('(INGESTA)Datos_consumo_datadis'!A432&lt;&gt;"""",SPLIT('(INGESTA)Datos_consumo_datadis'!A:A,"",""),"""")"),"ES0031408323131005HX0F")</f>
        <v>ES0031408323131005HX0F</v>
      </c>
      <c r="B432" s="17">
        <f>IFERROR(__xludf.DUMMYFUNCTION("""COMPUTED_VALUE"""),44883.0)</f>
        <v>44883</v>
      </c>
      <c r="C432" s="13">
        <f>IFERROR(__xludf.DUMMYFUNCTION("""COMPUTED_VALUE"""),0.9583333333333334)</f>
        <v>0.9583333333</v>
      </c>
      <c r="D432" s="8">
        <f>IFERROR(__xludf.DUMMYFUNCTION("""COMPUTED_VALUE"""),0.0)</f>
        <v>0</v>
      </c>
      <c r="E432" s="8" t="str">
        <f>IFERROR(__xludf.DUMMYFUNCTION("""COMPUTED_VALUE"""),"Real")</f>
        <v>Real</v>
      </c>
      <c r="G432" s="8">
        <f t="shared" si="1"/>
        <v>11</v>
      </c>
      <c r="H432" s="14">
        <f t="shared" si="2"/>
        <v>18</v>
      </c>
      <c r="I432" s="15">
        <f t="shared" si="3"/>
        <v>23</v>
      </c>
    </row>
    <row r="433">
      <c r="A433" s="8" t="str">
        <f>IFERROR(__xludf.DUMMYFUNCTION("IF('(INGESTA)Datos_consumo_datadis'!A433&lt;&gt;"""",SPLIT('(INGESTA)Datos_consumo_datadis'!A:A,"",""),"""")"),"ES0031408323131005HX0F")</f>
        <v>ES0031408323131005HX0F</v>
      </c>
      <c r="B433" s="17">
        <f>IFERROR(__xludf.DUMMYFUNCTION("""COMPUTED_VALUE"""),44883.0)</f>
        <v>44883</v>
      </c>
      <c r="C433" s="16">
        <f>IFERROR(__xludf.DUMMYFUNCTION("""COMPUTED_VALUE"""),1.0)</f>
        <v>1</v>
      </c>
      <c r="D433" s="8">
        <f>IFERROR(__xludf.DUMMYFUNCTION("""COMPUTED_VALUE"""),0.0)</f>
        <v>0</v>
      </c>
      <c r="E433" s="8" t="str">
        <f>IFERROR(__xludf.DUMMYFUNCTION("""COMPUTED_VALUE"""),"Real")</f>
        <v>Real</v>
      </c>
      <c r="G433" s="8">
        <f t="shared" si="1"/>
        <v>11</v>
      </c>
      <c r="H433" s="14">
        <f t="shared" si="2"/>
        <v>18</v>
      </c>
      <c r="I433" s="15">
        <f t="shared" si="3"/>
        <v>0</v>
      </c>
    </row>
    <row r="434">
      <c r="A434" s="8" t="str">
        <f>IFERROR(__xludf.DUMMYFUNCTION("IF('(INGESTA)Datos_consumo_datadis'!A434&lt;&gt;"""",SPLIT('(INGESTA)Datos_consumo_datadis'!A:A,"",""),"""")"),"ES0031408323131005HX0F")</f>
        <v>ES0031408323131005HX0F</v>
      </c>
      <c r="B434" s="17">
        <f>IFERROR(__xludf.DUMMYFUNCTION("""COMPUTED_VALUE"""),44884.0)</f>
        <v>44884</v>
      </c>
      <c r="C434" s="13">
        <f>IFERROR(__xludf.DUMMYFUNCTION("""COMPUTED_VALUE"""),0.041666666666666664)</f>
        <v>0.04166666667</v>
      </c>
      <c r="D434" s="8">
        <f>IFERROR(__xludf.DUMMYFUNCTION("""COMPUTED_VALUE"""),0.0)</f>
        <v>0</v>
      </c>
      <c r="E434" s="8" t="str">
        <f>IFERROR(__xludf.DUMMYFUNCTION("""COMPUTED_VALUE"""),"Real")</f>
        <v>Real</v>
      </c>
      <c r="G434" s="8">
        <f t="shared" si="1"/>
        <v>11</v>
      </c>
      <c r="H434" s="14">
        <f t="shared" si="2"/>
        <v>19</v>
      </c>
      <c r="I434" s="15">
        <f t="shared" si="3"/>
        <v>1</v>
      </c>
    </row>
    <row r="435">
      <c r="A435" s="8" t="str">
        <f>IFERROR(__xludf.DUMMYFUNCTION("IF('(INGESTA)Datos_consumo_datadis'!A435&lt;&gt;"""",SPLIT('(INGESTA)Datos_consumo_datadis'!A:A,"",""),"""")"),"ES0031408323131005HX0F")</f>
        <v>ES0031408323131005HX0F</v>
      </c>
      <c r="B435" s="17">
        <f>IFERROR(__xludf.DUMMYFUNCTION("""COMPUTED_VALUE"""),44884.0)</f>
        <v>44884</v>
      </c>
      <c r="C435" s="13">
        <f>IFERROR(__xludf.DUMMYFUNCTION("""COMPUTED_VALUE"""),0.08333333333333333)</f>
        <v>0.08333333333</v>
      </c>
      <c r="D435" s="8">
        <f>IFERROR(__xludf.DUMMYFUNCTION("""COMPUTED_VALUE"""),0.0)</f>
        <v>0</v>
      </c>
      <c r="E435" s="8" t="str">
        <f>IFERROR(__xludf.DUMMYFUNCTION("""COMPUTED_VALUE"""),"Real")</f>
        <v>Real</v>
      </c>
      <c r="G435" s="8">
        <f t="shared" si="1"/>
        <v>11</v>
      </c>
      <c r="H435" s="14">
        <f t="shared" si="2"/>
        <v>19</v>
      </c>
      <c r="I435" s="15">
        <f t="shared" si="3"/>
        <v>2</v>
      </c>
    </row>
    <row r="436">
      <c r="A436" s="8" t="str">
        <f>IFERROR(__xludf.DUMMYFUNCTION("IF('(INGESTA)Datos_consumo_datadis'!A436&lt;&gt;"""",SPLIT('(INGESTA)Datos_consumo_datadis'!A:A,"",""),"""")"),"ES0031408323131005HX0F")</f>
        <v>ES0031408323131005HX0F</v>
      </c>
      <c r="B436" s="17">
        <f>IFERROR(__xludf.DUMMYFUNCTION("""COMPUTED_VALUE"""),44884.0)</f>
        <v>44884</v>
      </c>
      <c r="C436" s="13">
        <f>IFERROR(__xludf.DUMMYFUNCTION("""COMPUTED_VALUE"""),0.125)</f>
        <v>0.125</v>
      </c>
      <c r="D436" s="8">
        <f>IFERROR(__xludf.DUMMYFUNCTION("""COMPUTED_VALUE"""),0.0)</f>
        <v>0</v>
      </c>
      <c r="E436" s="8" t="str">
        <f>IFERROR(__xludf.DUMMYFUNCTION("""COMPUTED_VALUE"""),"Real")</f>
        <v>Real</v>
      </c>
      <c r="G436" s="8">
        <f t="shared" si="1"/>
        <v>11</v>
      </c>
      <c r="H436" s="14">
        <f t="shared" si="2"/>
        <v>19</v>
      </c>
      <c r="I436" s="15">
        <f t="shared" si="3"/>
        <v>3</v>
      </c>
    </row>
    <row r="437">
      <c r="A437" s="8" t="str">
        <f>IFERROR(__xludf.DUMMYFUNCTION("IF('(INGESTA)Datos_consumo_datadis'!A437&lt;&gt;"""",SPLIT('(INGESTA)Datos_consumo_datadis'!A:A,"",""),"""")"),"ES0031408323131005HX0F")</f>
        <v>ES0031408323131005HX0F</v>
      </c>
      <c r="B437" s="17">
        <f>IFERROR(__xludf.DUMMYFUNCTION("""COMPUTED_VALUE"""),44884.0)</f>
        <v>44884</v>
      </c>
      <c r="C437" s="13">
        <f>IFERROR(__xludf.DUMMYFUNCTION("""COMPUTED_VALUE"""),0.16666666666666666)</f>
        <v>0.1666666667</v>
      </c>
      <c r="D437" s="8">
        <f>IFERROR(__xludf.DUMMYFUNCTION("""COMPUTED_VALUE"""),0.0)</f>
        <v>0</v>
      </c>
      <c r="E437" s="8" t="str">
        <f>IFERROR(__xludf.DUMMYFUNCTION("""COMPUTED_VALUE"""),"Real")</f>
        <v>Real</v>
      </c>
      <c r="G437" s="8">
        <f t="shared" si="1"/>
        <v>11</v>
      </c>
      <c r="H437" s="14">
        <f t="shared" si="2"/>
        <v>19</v>
      </c>
      <c r="I437" s="15">
        <f t="shared" si="3"/>
        <v>4</v>
      </c>
    </row>
    <row r="438">
      <c r="A438" s="8" t="str">
        <f>IFERROR(__xludf.DUMMYFUNCTION("IF('(INGESTA)Datos_consumo_datadis'!A438&lt;&gt;"""",SPLIT('(INGESTA)Datos_consumo_datadis'!A:A,"",""),"""")"),"ES0031408323131005HX0F")</f>
        <v>ES0031408323131005HX0F</v>
      </c>
      <c r="B438" s="17">
        <f>IFERROR(__xludf.DUMMYFUNCTION("""COMPUTED_VALUE"""),44884.0)</f>
        <v>44884</v>
      </c>
      <c r="C438" s="13">
        <f>IFERROR(__xludf.DUMMYFUNCTION("""COMPUTED_VALUE"""),0.20833333333333334)</f>
        <v>0.2083333333</v>
      </c>
      <c r="D438" s="8">
        <f>IFERROR(__xludf.DUMMYFUNCTION("""COMPUTED_VALUE"""),0.0)</f>
        <v>0</v>
      </c>
      <c r="E438" s="8" t="str">
        <f>IFERROR(__xludf.DUMMYFUNCTION("""COMPUTED_VALUE"""),"Real")</f>
        <v>Real</v>
      </c>
      <c r="G438" s="8">
        <f t="shared" si="1"/>
        <v>11</v>
      </c>
      <c r="H438" s="14">
        <f t="shared" si="2"/>
        <v>19</v>
      </c>
      <c r="I438" s="15">
        <f t="shared" si="3"/>
        <v>5</v>
      </c>
    </row>
    <row r="439">
      <c r="A439" s="8" t="str">
        <f>IFERROR(__xludf.DUMMYFUNCTION("IF('(INGESTA)Datos_consumo_datadis'!A439&lt;&gt;"""",SPLIT('(INGESTA)Datos_consumo_datadis'!A:A,"",""),"""")"),"ES0031408323131005HX0F")</f>
        <v>ES0031408323131005HX0F</v>
      </c>
      <c r="B439" s="17">
        <f>IFERROR(__xludf.DUMMYFUNCTION("""COMPUTED_VALUE"""),44884.0)</f>
        <v>44884</v>
      </c>
      <c r="C439" s="13">
        <f>IFERROR(__xludf.DUMMYFUNCTION("""COMPUTED_VALUE"""),0.25)</f>
        <v>0.25</v>
      </c>
      <c r="D439" s="8">
        <f>IFERROR(__xludf.DUMMYFUNCTION("""COMPUTED_VALUE"""),0.0)</f>
        <v>0</v>
      </c>
      <c r="E439" s="8" t="str">
        <f>IFERROR(__xludf.DUMMYFUNCTION("""COMPUTED_VALUE"""),"Real")</f>
        <v>Real</v>
      </c>
      <c r="G439" s="8">
        <f t="shared" si="1"/>
        <v>11</v>
      </c>
      <c r="H439" s="14">
        <f t="shared" si="2"/>
        <v>19</v>
      </c>
      <c r="I439" s="15">
        <f t="shared" si="3"/>
        <v>6</v>
      </c>
    </row>
    <row r="440">
      <c r="A440" s="8" t="str">
        <f>IFERROR(__xludf.DUMMYFUNCTION("IF('(INGESTA)Datos_consumo_datadis'!A440&lt;&gt;"""",SPLIT('(INGESTA)Datos_consumo_datadis'!A:A,"",""),"""")"),"ES0031408323131005HX0F")</f>
        <v>ES0031408323131005HX0F</v>
      </c>
      <c r="B440" s="17">
        <f>IFERROR(__xludf.DUMMYFUNCTION("""COMPUTED_VALUE"""),44884.0)</f>
        <v>44884</v>
      </c>
      <c r="C440" s="13">
        <f>IFERROR(__xludf.DUMMYFUNCTION("""COMPUTED_VALUE"""),0.2916666666666667)</f>
        <v>0.2916666667</v>
      </c>
      <c r="D440" s="8">
        <f>IFERROR(__xludf.DUMMYFUNCTION("""COMPUTED_VALUE"""),0.0)</f>
        <v>0</v>
      </c>
      <c r="E440" s="8" t="str">
        <f>IFERROR(__xludf.DUMMYFUNCTION("""COMPUTED_VALUE"""),"Real")</f>
        <v>Real</v>
      </c>
      <c r="G440" s="8">
        <f t="shared" si="1"/>
        <v>11</v>
      </c>
      <c r="H440" s="14">
        <f t="shared" si="2"/>
        <v>19</v>
      </c>
      <c r="I440" s="15">
        <f t="shared" si="3"/>
        <v>7</v>
      </c>
    </row>
    <row r="441">
      <c r="A441" s="8" t="str">
        <f>IFERROR(__xludf.DUMMYFUNCTION("IF('(INGESTA)Datos_consumo_datadis'!A441&lt;&gt;"""",SPLIT('(INGESTA)Datos_consumo_datadis'!A:A,"",""),"""")"),"ES0031408323131005HX0F")</f>
        <v>ES0031408323131005HX0F</v>
      </c>
      <c r="B441" s="17">
        <f>IFERROR(__xludf.DUMMYFUNCTION("""COMPUTED_VALUE"""),44884.0)</f>
        <v>44884</v>
      </c>
      <c r="C441" s="13">
        <f>IFERROR(__xludf.DUMMYFUNCTION("""COMPUTED_VALUE"""),0.3333333333333333)</f>
        <v>0.3333333333</v>
      </c>
      <c r="D441" s="8">
        <f>IFERROR(__xludf.DUMMYFUNCTION("""COMPUTED_VALUE"""),0.0)</f>
        <v>0</v>
      </c>
      <c r="E441" s="8" t="str">
        <f>IFERROR(__xludf.DUMMYFUNCTION("""COMPUTED_VALUE"""),"Real")</f>
        <v>Real</v>
      </c>
      <c r="G441" s="8">
        <f t="shared" si="1"/>
        <v>11</v>
      </c>
      <c r="H441" s="14">
        <f t="shared" si="2"/>
        <v>19</v>
      </c>
      <c r="I441" s="15">
        <f t="shared" si="3"/>
        <v>8</v>
      </c>
    </row>
    <row r="442">
      <c r="A442" s="8" t="str">
        <f>IFERROR(__xludf.DUMMYFUNCTION("IF('(INGESTA)Datos_consumo_datadis'!A442&lt;&gt;"""",SPLIT('(INGESTA)Datos_consumo_datadis'!A:A,"",""),"""")"),"ES0031408323131005HX0F")</f>
        <v>ES0031408323131005HX0F</v>
      </c>
      <c r="B442" s="17">
        <f>IFERROR(__xludf.DUMMYFUNCTION("""COMPUTED_VALUE"""),44884.0)</f>
        <v>44884</v>
      </c>
      <c r="C442" s="13">
        <f>IFERROR(__xludf.DUMMYFUNCTION("""COMPUTED_VALUE"""),0.375)</f>
        <v>0.375</v>
      </c>
      <c r="D442" s="8">
        <f>IFERROR(__xludf.DUMMYFUNCTION("""COMPUTED_VALUE"""),0.0)</f>
        <v>0</v>
      </c>
      <c r="E442" s="8" t="str">
        <f>IFERROR(__xludf.DUMMYFUNCTION("""COMPUTED_VALUE"""),"Real")</f>
        <v>Real</v>
      </c>
      <c r="G442" s="8">
        <f t="shared" si="1"/>
        <v>11</v>
      </c>
      <c r="H442" s="14">
        <f t="shared" si="2"/>
        <v>19</v>
      </c>
      <c r="I442" s="15">
        <f t="shared" si="3"/>
        <v>9</v>
      </c>
    </row>
    <row r="443">
      <c r="A443" s="8" t="str">
        <f>IFERROR(__xludf.DUMMYFUNCTION("IF('(INGESTA)Datos_consumo_datadis'!A443&lt;&gt;"""",SPLIT('(INGESTA)Datos_consumo_datadis'!A:A,"",""),"""")"),"ES0031408323131005HX0F")</f>
        <v>ES0031408323131005HX0F</v>
      </c>
      <c r="B443" s="17">
        <f>IFERROR(__xludf.DUMMYFUNCTION("""COMPUTED_VALUE"""),44884.0)</f>
        <v>44884</v>
      </c>
      <c r="C443" s="13">
        <f>IFERROR(__xludf.DUMMYFUNCTION("""COMPUTED_VALUE"""),0.4166666666666667)</f>
        <v>0.4166666667</v>
      </c>
      <c r="D443" s="8">
        <f>IFERROR(__xludf.DUMMYFUNCTION("""COMPUTED_VALUE"""),0.0)</f>
        <v>0</v>
      </c>
      <c r="E443" s="8" t="str">
        <f>IFERROR(__xludf.DUMMYFUNCTION("""COMPUTED_VALUE"""),"Real")</f>
        <v>Real</v>
      </c>
      <c r="G443" s="8">
        <f t="shared" si="1"/>
        <v>11</v>
      </c>
      <c r="H443" s="14">
        <f t="shared" si="2"/>
        <v>19</v>
      </c>
      <c r="I443" s="15">
        <f t="shared" si="3"/>
        <v>10</v>
      </c>
    </row>
    <row r="444">
      <c r="A444" s="8" t="str">
        <f>IFERROR(__xludf.DUMMYFUNCTION("IF('(INGESTA)Datos_consumo_datadis'!A444&lt;&gt;"""",SPLIT('(INGESTA)Datos_consumo_datadis'!A:A,"",""),"""")"),"ES0031408323131005HX0F")</f>
        <v>ES0031408323131005HX0F</v>
      </c>
      <c r="B444" s="17">
        <f>IFERROR(__xludf.DUMMYFUNCTION("""COMPUTED_VALUE"""),44884.0)</f>
        <v>44884</v>
      </c>
      <c r="C444" s="13">
        <f>IFERROR(__xludf.DUMMYFUNCTION("""COMPUTED_VALUE"""),0.4583333333333333)</f>
        <v>0.4583333333</v>
      </c>
      <c r="D444" s="8">
        <f>IFERROR(__xludf.DUMMYFUNCTION("""COMPUTED_VALUE"""),0.0)</f>
        <v>0</v>
      </c>
      <c r="E444" s="8" t="str">
        <f>IFERROR(__xludf.DUMMYFUNCTION("""COMPUTED_VALUE"""),"Real")</f>
        <v>Real</v>
      </c>
      <c r="G444" s="8">
        <f t="shared" si="1"/>
        <v>11</v>
      </c>
      <c r="H444" s="14">
        <f t="shared" si="2"/>
        <v>19</v>
      </c>
      <c r="I444" s="15">
        <f t="shared" si="3"/>
        <v>11</v>
      </c>
    </row>
    <row r="445">
      <c r="A445" s="8" t="str">
        <f>IFERROR(__xludf.DUMMYFUNCTION("IF('(INGESTA)Datos_consumo_datadis'!A445&lt;&gt;"""",SPLIT('(INGESTA)Datos_consumo_datadis'!A:A,"",""),"""")"),"ES0031408323131005HX0F")</f>
        <v>ES0031408323131005HX0F</v>
      </c>
      <c r="B445" s="17">
        <f>IFERROR(__xludf.DUMMYFUNCTION("""COMPUTED_VALUE"""),44884.0)</f>
        <v>44884</v>
      </c>
      <c r="C445" s="13">
        <f>IFERROR(__xludf.DUMMYFUNCTION("""COMPUTED_VALUE"""),0.5)</f>
        <v>0.5</v>
      </c>
      <c r="D445" s="8">
        <f>IFERROR(__xludf.DUMMYFUNCTION("""COMPUTED_VALUE"""),0.0)</f>
        <v>0</v>
      </c>
      <c r="E445" s="8" t="str">
        <f>IFERROR(__xludf.DUMMYFUNCTION("""COMPUTED_VALUE"""),"Real")</f>
        <v>Real</v>
      </c>
      <c r="G445" s="8">
        <f t="shared" si="1"/>
        <v>11</v>
      </c>
      <c r="H445" s="14">
        <f t="shared" si="2"/>
        <v>19</v>
      </c>
      <c r="I445" s="15">
        <f t="shared" si="3"/>
        <v>12</v>
      </c>
    </row>
    <row r="446">
      <c r="A446" s="8" t="str">
        <f>IFERROR(__xludf.DUMMYFUNCTION("IF('(INGESTA)Datos_consumo_datadis'!A446&lt;&gt;"""",SPLIT('(INGESTA)Datos_consumo_datadis'!A:A,"",""),"""")"),"ES0031408323131005HX0F")</f>
        <v>ES0031408323131005HX0F</v>
      </c>
      <c r="B446" s="17">
        <f>IFERROR(__xludf.DUMMYFUNCTION("""COMPUTED_VALUE"""),44884.0)</f>
        <v>44884</v>
      </c>
      <c r="C446" s="13">
        <f>IFERROR(__xludf.DUMMYFUNCTION("""COMPUTED_VALUE"""),0.5416666666666666)</f>
        <v>0.5416666667</v>
      </c>
      <c r="D446" s="8">
        <f>IFERROR(__xludf.DUMMYFUNCTION("""COMPUTED_VALUE"""),0.0)</f>
        <v>0</v>
      </c>
      <c r="E446" s="8" t="str">
        <f>IFERROR(__xludf.DUMMYFUNCTION("""COMPUTED_VALUE"""),"Real")</f>
        <v>Real</v>
      </c>
      <c r="G446" s="8">
        <f t="shared" si="1"/>
        <v>11</v>
      </c>
      <c r="H446" s="14">
        <f t="shared" si="2"/>
        <v>19</v>
      </c>
      <c r="I446" s="15">
        <f t="shared" si="3"/>
        <v>13</v>
      </c>
    </row>
    <row r="447">
      <c r="A447" s="8" t="str">
        <f>IFERROR(__xludf.DUMMYFUNCTION("IF('(INGESTA)Datos_consumo_datadis'!A447&lt;&gt;"""",SPLIT('(INGESTA)Datos_consumo_datadis'!A:A,"",""),"""")"),"ES0031408323131005HX0F")</f>
        <v>ES0031408323131005HX0F</v>
      </c>
      <c r="B447" s="17">
        <f>IFERROR(__xludf.DUMMYFUNCTION("""COMPUTED_VALUE"""),44884.0)</f>
        <v>44884</v>
      </c>
      <c r="C447" s="13">
        <f>IFERROR(__xludf.DUMMYFUNCTION("""COMPUTED_VALUE"""),0.5833333333333334)</f>
        <v>0.5833333333</v>
      </c>
      <c r="D447" s="8">
        <f>IFERROR(__xludf.DUMMYFUNCTION("""COMPUTED_VALUE"""),0.0)</f>
        <v>0</v>
      </c>
      <c r="E447" s="8" t="str">
        <f>IFERROR(__xludf.DUMMYFUNCTION("""COMPUTED_VALUE"""),"Real")</f>
        <v>Real</v>
      </c>
      <c r="G447" s="8">
        <f t="shared" si="1"/>
        <v>11</v>
      </c>
      <c r="H447" s="14">
        <f t="shared" si="2"/>
        <v>19</v>
      </c>
      <c r="I447" s="15">
        <f t="shared" si="3"/>
        <v>14</v>
      </c>
    </row>
    <row r="448">
      <c r="A448" s="8" t="str">
        <f>IFERROR(__xludf.DUMMYFUNCTION("IF('(INGESTA)Datos_consumo_datadis'!A448&lt;&gt;"""",SPLIT('(INGESTA)Datos_consumo_datadis'!A:A,"",""),"""")"),"ES0031408323131005HX0F")</f>
        <v>ES0031408323131005HX0F</v>
      </c>
      <c r="B448" s="17">
        <f>IFERROR(__xludf.DUMMYFUNCTION("""COMPUTED_VALUE"""),44884.0)</f>
        <v>44884</v>
      </c>
      <c r="C448" s="13">
        <f>IFERROR(__xludf.DUMMYFUNCTION("""COMPUTED_VALUE"""),0.625)</f>
        <v>0.625</v>
      </c>
      <c r="D448" s="8">
        <f>IFERROR(__xludf.DUMMYFUNCTION("""COMPUTED_VALUE"""),0.0)</f>
        <v>0</v>
      </c>
      <c r="E448" s="8" t="str">
        <f>IFERROR(__xludf.DUMMYFUNCTION("""COMPUTED_VALUE"""),"Real")</f>
        <v>Real</v>
      </c>
      <c r="G448" s="8">
        <f t="shared" si="1"/>
        <v>11</v>
      </c>
      <c r="H448" s="14">
        <f t="shared" si="2"/>
        <v>19</v>
      </c>
      <c r="I448" s="15">
        <f t="shared" si="3"/>
        <v>15</v>
      </c>
    </row>
    <row r="449">
      <c r="A449" s="8" t="str">
        <f>IFERROR(__xludf.DUMMYFUNCTION("IF('(INGESTA)Datos_consumo_datadis'!A449&lt;&gt;"""",SPLIT('(INGESTA)Datos_consumo_datadis'!A:A,"",""),"""")"),"ES0031408323131005HX0F")</f>
        <v>ES0031408323131005HX0F</v>
      </c>
      <c r="B449" s="17">
        <f>IFERROR(__xludf.DUMMYFUNCTION("""COMPUTED_VALUE"""),44884.0)</f>
        <v>44884</v>
      </c>
      <c r="C449" s="13">
        <f>IFERROR(__xludf.DUMMYFUNCTION("""COMPUTED_VALUE"""),0.6666666666666666)</f>
        <v>0.6666666667</v>
      </c>
      <c r="D449" s="8">
        <f>IFERROR(__xludf.DUMMYFUNCTION("""COMPUTED_VALUE"""),0.0)</f>
        <v>0</v>
      </c>
      <c r="E449" s="8" t="str">
        <f>IFERROR(__xludf.DUMMYFUNCTION("""COMPUTED_VALUE"""),"Real")</f>
        <v>Real</v>
      </c>
      <c r="G449" s="8">
        <f t="shared" si="1"/>
        <v>11</v>
      </c>
      <c r="H449" s="14">
        <f t="shared" si="2"/>
        <v>19</v>
      </c>
      <c r="I449" s="15">
        <f t="shared" si="3"/>
        <v>16</v>
      </c>
    </row>
    <row r="450">
      <c r="A450" s="8" t="str">
        <f>IFERROR(__xludf.DUMMYFUNCTION("IF('(INGESTA)Datos_consumo_datadis'!A450&lt;&gt;"""",SPLIT('(INGESTA)Datos_consumo_datadis'!A:A,"",""),"""")"),"ES0031408323131005HX0F")</f>
        <v>ES0031408323131005HX0F</v>
      </c>
      <c r="B450" s="17">
        <f>IFERROR(__xludf.DUMMYFUNCTION("""COMPUTED_VALUE"""),44884.0)</f>
        <v>44884</v>
      </c>
      <c r="C450" s="13">
        <f>IFERROR(__xludf.DUMMYFUNCTION("""COMPUTED_VALUE"""),0.7083333333333334)</f>
        <v>0.7083333333</v>
      </c>
      <c r="D450" s="8">
        <f>IFERROR(__xludf.DUMMYFUNCTION("""COMPUTED_VALUE"""),0.0)</f>
        <v>0</v>
      </c>
      <c r="E450" s="8" t="str">
        <f>IFERROR(__xludf.DUMMYFUNCTION("""COMPUTED_VALUE"""),"Real")</f>
        <v>Real</v>
      </c>
      <c r="G450" s="8">
        <f t="shared" si="1"/>
        <v>11</v>
      </c>
      <c r="H450" s="14">
        <f t="shared" si="2"/>
        <v>19</v>
      </c>
      <c r="I450" s="15">
        <f t="shared" si="3"/>
        <v>17</v>
      </c>
    </row>
    <row r="451">
      <c r="A451" s="8" t="str">
        <f>IFERROR(__xludf.DUMMYFUNCTION("IF('(INGESTA)Datos_consumo_datadis'!A451&lt;&gt;"""",SPLIT('(INGESTA)Datos_consumo_datadis'!A:A,"",""),"""")"),"ES0031408323131005HX0F")</f>
        <v>ES0031408323131005HX0F</v>
      </c>
      <c r="B451" s="17">
        <f>IFERROR(__xludf.DUMMYFUNCTION("""COMPUTED_VALUE"""),44884.0)</f>
        <v>44884</v>
      </c>
      <c r="C451" s="13">
        <f>IFERROR(__xludf.DUMMYFUNCTION("""COMPUTED_VALUE"""),0.75)</f>
        <v>0.75</v>
      </c>
      <c r="D451" s="8">
        <f>IFERROR(__xludf.DUMMYFUNCTION("""COMPUTED_VALUE"""),0.0)</f>
        <v>0</v>
      </c>
      <c r="E451" s="8" t="str">
        <f>IFERROR(__xludf.DUMMYFUNCTION("""COMPUTED_VALUE"""),"Real")</f>
        <v>Real</v>
      </c>
      <c r="G451" s="8">
        <f t="shared" si="1"/>
        <v>11</v>
      </c>
      <c r="H451" s="14">
        <f t="shared" si="2"/>
        <v>19</v>
      </c>
      <c r="I451" s="15">
        <f t="shared" si="3"/>
        <v>18</v>
      </c>
    </row>
    <row r="452">
      <c r="A452" s="8" t="str">
        <f>IFERROR(__xludf.DUMMYFUNCTION("IF('(INGESTA)Datos_consumo_datadis'!A452&lt;&gt;"""",SPLIT('(INGESTA)Datos_consumo_datadis'!A:A,"",""),"""")"),"ES0031408323131005HX0F")</f>
        <v>ES0031408323131005HX0F</v>
      </c>
      <c r="B452" s="17">
        <f>IFERROR(__xludf.DUMMYFUNCTION("""COMPUTED_VALUE"""),44884.0)</f>
        <v>44884</v>
      </c>
      <c r="C452" s="13">
        <f>IFERROR(__xludf.DUMMYFUNCTION("""COMPUTED_VALUE"""),0.7916666666666666)</f>
        <v>0.7916666667</v>
      </c>
      <c r="D452" s="8">
        <f>IFERROR(__xludf.DUMMYFUNCTION("""COMPUTED_VALUE"""),0.0)</f>
        <v>0</v>
      </c>
      <c r="E452" s="8" t="str">
        <f>IFERROR(__xludf.DUMMYFUNCTION("""COMPUTED_VALUE"""),"Real")</f>
        <v>Real</v>
      </c>
      <c r="G452" s="8">
        <f t="shared" si="1"/>
        <v>11</v>
      </c>
      <c r="H452" s="14">
        <f t="shared" si="2"/>
        <v>19</v>
      </c>
      <c r="I452" s="15">
        <f t="shared" si="3"/>
        <v>19</v>
      </c>
    </row>
    <row r="453">
      <c r="A453" s="8" t="str">
        <f>IFERROR(__xludf.DUMMYFUNCTION("IF('(INGESTA)Datos_consumo_datadis'!A453&lt;&gt;"""",SPLIT('(INGESTA)Datos_consumo_datadis'!A:A,"",""),"""")"),"ES0031408323131005HX0F")</f>
        <v>ES0031408323131005HX0F</v>
      </c>
      <c r="B453" s="17">
        <f>IFERROR(__xludf.DUMMYFUNCTION("""COMPUTED_VALUE"""),44884.0)</f>
        <v>44884</v>
      </c>
      <c r="C453" s="13">
        <f>IFERROR(__xludf.DUMMYFUNCTION("""COMPUTED_VALUE"""),0.8333333333333334)</f>
        <v>0.8333333333</v>
      </c>
      <c r="D453" s="8">
        <f>IFERROR(__xludf.DUMMYFUNCTION("""COMPUTED_VALUE"""),0.0)</f>
        <v>0</v>
      </c>
      <c r="E453" s="8" t="str">
        <f>IFERROR(__xludf.DUMMYFUNCTION("""COMPUTED_VALUE"""),"Real")</f>
        <v>Real</v>
      </c>
      <c r="G453" s="8">
        <f t="shared" si="1"/>
        <v>11</v>
      </c>
      <c r="H453" s="14">
        <f t="shared" si="2"/>
        <v>19</v>
      </c>
      <c r="I453" s="15">
        <f t="shared" si="3"/>
        <v>20</v>
      </c>
    </row>
    <row r="454">
      <c r="A454" s="8" t="str">
        <f>IFERROR(__xludf.DUMMYFUNCTION("IF('(INGESTA)Datos_consumo_datadis'!A454&lt;&gt;"""",SPLIT('(INGESTA)Datos_consumo_datadis'!A:A,"",""),"""")"),"ES0031408323131005HX0F")</f>
        <v>ES0031408323131005HX0F</v>
      </c>
      <c r="B454" s="17">
        <f>IFERROR(__xludf.DUMMYFUNCTION("""COMPUTED_VALUE"""),44884.0)</f>
        <v>44884</v>
      </c>
      <c r="C454" s="13">
        <f>IFERROR(__xludf.DUMMYFUNCTION("""COMPUTED_VALUE"""),0.875)</f>
        <v>0.875</v>
      </c>
      <c r="D454" s="8">
        <f>IFERROR(__xludf.DUMMYFUNCTION("""COMPUTED_VALUE"""),0.0)</f>
        <v>0</v>
      </c>
      <c r="E454" s="8" t="str">
        <f>IFERROR(__xludf.DUMMYFUNCTION("""COMPUTED_VALUE"""),"Real")</f>
        <v>Real</v>
      </c>
      <c r="G454" s="8">
        <f t="shared" si="1"/>
        <v>11</v>
      </c>
      <c r="H454" s="14">
        <f t="shared" si="2"/>
        <v>19</v>
      </c>
      <c r="I454" s="15">
        <f t="shared" si="3"/>
        <v>21</v>
      </c>
    </row>
    <row r="455">
      <c r="A455" s="8" t="str">
        <f>IFERROR(__xludf.DUMMYFUNCTION("IF('(INGESTA)Datos_consumo_datadis'!A455&lt;&gt;"""",SPLIT('(INGESTA)Datos_consumo_datadis'!A:A,"",""),"""")"),"ES0031408323131005HX0F")</f>
        <v>ES0031408323131005HX0F</v>
      </c>
      <c r="B455" s="17">
        <f>IFERROR(__xludf.DUMMYFUNCTION("""COMPUTED_VALUE"""),44884.0)</f>
        <v>44884</v>
      </c>
      <c r="C455" s="13">
        <f>IFERROR(__xludf.DUMMYFUNCTION("""COMPUTED_VALUE"""),0.9166666666666666)</f>
        <v>0.9166666667</v>
      </c>
      <c r="D455" s="8">
        <f>IFERROR(__xludf.DUMMYFUNCTION("""COMPUTED_VALUE"""),0.0)</f>
        <v>0</v>
      </c>
      <c r="E455" s="8" t="str">
        <f>IFERROR(__xludf.DUMMYFUNCTION("""COMPUTED_VALUE"""),"Real")</f>
        <v>Real</v>
      </c>
      <c r="G455" s="8">
        <f t="shared" si="1"/>
        <v>11</v>
      </c>
      <c r="H455" s="14">
        <f t="shared" si="2"/>
        <v>19</v>
      </c>
      <c r="I455" s="15">
        <f t="shared" si="3"/>
        <v>22</v>
      </c>
    </row>
    <row r="456">
      <c r="A456" s="8" t="str">
        <f>IFERROR(__xludf.DUMMYFUNCTION("IF('(INGESTA)Datos_consumo_datadis'!A456&lt;&gt;"""",SPLIT('(INGESTA)Datos_consumo_datadis'!A:A,"",""),"""")"),"ES0031408323131005HX0F")</f>
        <v>ES0031408323131005HX0F</v>
      </c>
      <c r="B456" s="17">
        <f>IFERROR(__xludf.DUMMYFUNCTION("""COMPUTED_VALUE"""),44884.0)</f>
        <v>44884</v>
      </c>
      <c r="C456" s="13">
        <f>IFERROR(__xludf.DUMMYFUNCTION("""COMPUTED_VALUE"""),0.9583333333333334)</f>
        <v>0.9583333333</v>
      </c>
      <c r="D456" s="8">
        <f>IFERROR(__xludf.DUMMYFUNCTION("""COMPUTED_VALUE"""),0.0)</f>
        <v>0</v>
      </c>
      <c r="E456" s="8" t="str">
        <f>IFERROR(__xludf.DUMMYFUNCTION("""COMPUTED_VALUE"""),"Real")</f>
        <v>Real</v>
      </c>
      <c r="G456" s="8">
        <f t="shared" si="1"/>
        <v>11</v>
      </c>
      <c r="H456" s="14">
        <f t="shared" si="2"/>
        <v>19</v>
      </c>
      <c r="I456" s="15">
        <f t="shared" si="3"/>
        <v>23</v>
      </c>
    </row>
    <row r="457">
      <c r="A457" s="8" t="str">
        <f>IFERROR(__xludf.DUMMYFUNCTION("IF('(INGESTA)Datos_consumo_datadis'!A457&lt;&gt;"""",SPLIT('(INGESTA)Datos_consumo_datadis'!A:A,"",""),"""")"),"ES0031408323131005HX0F")</f>
        <v>ES0031408323131005HX0F</v>
      </c>
      <c r="B457" s="17">
        <f>IFERROR(__xludf.DUMMYFUNCTION("""COMPUTED_VALUE"""),44884.0)</f>
        <v>44884</v>
      </c>
      <c r="C457" s="16">
        <f>IFERROR(__xludf.DUMMYFUNCTION("""COMPUTED_VALUE"""),1.0)</f>
        <v>1</v>
      </c>
      <c r="D457" s="8">
        <f>IFERROR(__xludf.DUMMYFUNCTION("""COMPUTED_VALUE"""),0.0)</f>
        <v>0</v>
      </c>
      <c r="E457" s="8" t="str">
        <f>IFERROR(__xludf.DUMMYFUNCTION("""COMPUTED_VALUE"""),"Real")</f>
        <v>Real</v>
      </c>
      <c r="G457" s="8">
        <f t="shared" si="1"/>
        <v>11</v>
      </c>
      <c r="H457" s="14">
        <f t="shared" si="2"/>
        <v>19</v>
      </c>
      <c r="I457" s="15">
        <f t="shared" si="3"/>
        <v>0</v>
      </c>
    </row>
    <row r="458">
      <c r="A458" s="8" t="str">
        <f>IFERROR(__xludf.DUMMYFUNCTION("IF('(INGESTA)Datos_consumo_datadis'!A458&lt;&gt;"""",SPLIT('(INGESTA)Datos_consumo_datadis'!A:A,"",""),"""")"),"ES0031408323131005HX0F")</f>
        <v>ES0031408323131005HX0F</v>
      </c>
      <c r="B458" s="17">
        <f>IFERROR(__xludf.DUMMYFUNCTION("""COMPUTED_VALUE"""),44885.0)</f>
        <v>44885</v>
      </c>
      <c r="C458" s="13">
        <f>IFERROR(__xludf.DUMMYFUNCTION("""COMPUTED_VALUE"""),0.041666666666666664)</f>
        <v>0.04166666667</v>
      </c>
      <c r="D458" s="8">
        <f>IFERROR(__xludf.DUMMYFUNCTION("""COMPUTED_VALUE"""),0.0)</f>
        <v>0</v>
      </c>
      <c r="E458" s="8" t="str">
        <f>IFERROR(__xludf.DUMMYFUNCTION("""COMPUTED_VALUE"""),"Real")</f>
        <v>Real</v>
      </c>
      <c r="G458" s="8">
        <f t="shared" si="1"/>
        <v>11</v>
      </c>
      <c r="H458" s="14">
        <f t="shared" si="2"/>
        <v>20</v>
      </c>
      <c r="I458" s="15">
        <f t="shared" si="3"/>
        <v>1</v>
      </c>
    </row>
    <row r="459">
      <c r="A459" s="8" t="str">
        <f>IFERROR(__xludf.DUMMYFUNCTION("IF('(INGESTA)Datos_consumo_datadis'!A459&lt;&gt;"""",SPLIT('(INGESTA)Datos_consumo_datadis'!A:A,"",""),"""")"),"ES0031408323131005HX0F")</f>
        <v>ES0031408323131005HX0F</v>
      </c>
      <c r="B459" s="17">
        <f>IFERROR(__xludf.DUMMYFUNCTION("""COMPUTED_VALUE"""),44885.0)</f>
        <v>44885</v>
      </c>
      <c r="C459" s="13">
        <f>IFERROR(__xludf.DUMMYFUNCTION("""COMPUTED_VALUE"""),0.08333333333333333)</f>
        <v>0.08333333333</v>
      </c>
      <c r="D459" s="8">
        <f>IFERROR(__xludf.DUMMYFUNCTION("""COMPUTED_VALUE"""),0.0)</f>
        <v>0</v>
      </c>
      <c r="E459" s="8" t="str">
        <f>IFERROR(__xludf.DUMMYFUNCTION("""COMPUTED_VALUE"""),"Real")</f>
        <v>Real</v>
      </c>
      <c r="G459" s="8">
        <f t="shared" si="1"/>
        <v>11</v>
      </c>
      <c r="H459" s="14">
        <f t="shared" si="2"/>
        <v>20</v>
      </c>
      <c r="I459" s="15">
        <f t="shared" si="3"/>
        <v>2</v>
      </c>
    </row>
    <row r="460">
      <c r="A460" s="8" t="str">
        <f>IFERROR(__xludf.DUMMYFUNCTION("IF('(INGESTA)Datos_consumo_datadis'!A460&lt;&gt;"""",SPLIT('(INGESTA)Datos_consumo_datadis'!A:A,"",""),"""")"),"ES0031408323131005HX0F")</f>
        <v>ES0031408323131005HX0F</v>
      </c>
      <c r="B460" s="17">
        <f>IFERROR(__xludf.DUMMYFUNCTION("""COMPUTED_VALUE"""),44885.0)</f>
        <v>44885</v>
      </c>
      <c r="C460" s="13">
        <f>IFERROR(__xludf.DUMMYFUNCTION("""COMPUTED_VALUE"""),0.125)</f>
        <v>0.125</v>
      </c>
      <c r="D460" s="8">
        <f>IFERROR(__xludf.DUMMYFUNCTION("""COMPUTED_VALUE"""),0.0)</f>
        <v>0</v>
      </c>
      <c r="E460" s="8" t="str">
        <f>IFERROR(__xludf.DUMMYFUNCTION("""COMPUTED_VALUE"""),"Real")</f>
        <v>Real</v>
      </c>
      <c r="G460" s="8">
        <f t="shared" si="1"/>
        <v>11</v>
      </c>
      <c r="H460" s="14">
        <f t="shared" si="2"/>
        <v>20</v>
      </c>
      <c r="I460" s="15">
        <f t="shared" si="3"/>
        <v>3</v>
      </c>
    </row>
    <row r="461">
      <c r="A461" s="8" t="str">
        <f>IFERROR(__xludf.DUMMYFUNCTION("IF('(INGESTA)Datos_consumo_datadis'!A461&lt;&gt;"""",SPLIT('(INGESTA)Datos_consumo_datadis'!A:A,"",""),"""")"),"ES0031408323131005HX0F")</f>
        <v>ES0031408323131005HX0F</v>
      </c>
      <c r="B461" s="17">
        <f>IFERROR(__xludf.DUMMYFUNCTION("""COMPUTED_VALUE"""),44885.0)</f>
        <v>44885</v>
      </c>
      <c r="C461" s="13">
        <f>IFERROR(__xludf.DUMMYFUNCTION("""COMPUTED_VALUE"""),0.16666666666666666)</f>
        <v>0.1666666667</v>
      </c>
      <c r="D461" s="8">
        <f>IFERROR(__xludf.DUMMYFUNCTION("""COMPUTED_VALUE"""),0.0)</f>
        <v>0</v>
      </c>
      <c r="E461" s="8" t="str">
        <f>IFERROR(__xludf.DUMMYFUNCTION("""COMPUTED_VALUE"""),"Real")</f>
        <v>Real</v>
      </c>
      <c r="G461" s="8">
        <f t="shared" si="1"/>
        <v>11</v>
      </c>
      <c r="H461" s="14">
        <f t="shared" si="2"/>
        <v>20</v>
      </c>
      <c r="I461" s="15">
        <f t="shared" si="3"/>
        <v>4</v>
      </c>
    </row>
    <row r="462">
      <c r="A462" s="8" t="str">
        <f>IFERROR(__xludf.DUMMYFUNCTION("IF('(INGESTA)Datos_consumo_datadis'!A462&lt;&gt;"""",SPLIT('(INGESTA)Datos_consumo_datadis'!A:A,"",""),"""")"),"ES0031408323131005HX0F")</f>
        <v>ES0031408323131005HX0F</v>
      </c>
      <c r="B462" s="17">
        <f>IFERROR(__xludf.DUMMYFUNCTION("""COMPUTED_VALUE"""),44885.0)</f>
        <v>44885</v>
      </c>
      <c r="C462" s="13">
        <f>IFERROR(__xludf.DUMMYFUNCTION("""COMPUTED_VALUE"""),0.20833333333333334)</f>
        <v>0.2083333333</v>
      </c>
      <c r="D462" s="8">
        <f>IFERROR(__xludf.DUMMYFUNCTION("""COMPUTED_VALUE"""),0.0)</f>
        <v>0</v>
      </c>
      <c r="E462" s="8" t="str">
        <f>IFERROR(__xludf.DUMMYFUNCTION("""COMPUTED_VALUE"""),"Real")</f>
        <v>Real</v>
      </c>
      <c r="G462" s="8">
        <f t="shared" si="1"/>
        <v>11</v>
      </c>
      <c r="H462" s="14">
        <f t="shared" si="2"/>
        <v>20</v>
      </c>
      <c r="I462" s="15">
        <f t="shared" si="3"/>
        <v>5</v>
      </c>
    </row>
    <row r="463">
      <c r="A463" s="8" t="str">
        <f>IFERROR(__xludf.DUMMYFUNCTION("IF('(INGESTA)Datos_consumo_datadis'!A463&lt;&gt;"""",SPLIT('(INGESTA)Datos_consumo_datadis'!A:A,"",""),"""")"),"ES0031408323131005HX0F")</f>
        <v>ES0031408323131005HX0F</v>
      </c>
      <c r="B463" s="17">
        <f>IFERROR(__xludf.DUMMYFUNCTION("""COMPUTED_VALUE"""),44885.0)</f>
        <v>44885</v>
      </c>
      <c r="C463" s="13">
        <f>IFERROR(__xludf.DUMMYFUNCTION("""COMPUTED_VALUE"""),0.25)</f>
        <v>0.25</v>
      </c>
      <c r="D463" s="8">
        <f>IFERROR(__xludf.DUMMYFUNCTION("""COMPUTED_VALUE"""),0.0)</f>
        <v>0</v>
      </c>
      <c r="E463" s="8" t="str">
        <f>IFERROR(__xludf.DUMMYFUNCTION("""COMPUTED_VALUE"""),"Real")</f>
        <v>Real</v>
      </c>
      <c r="G463" s="8">
        <f t="shared" si="1"/>
        <v>11</v>
      </c>
      <c r="H463" s="14">
        <f t="shared" si="2"/>
        <v>20</v>
      </c>
      <c r="I463" s="15">
        <f t="shared" si="3"/>
        <v>6</v>
      </c>
    </row>
    <row r="464">
      <c r="A464" s="8" t="str">
        <f>IFERROR(__xludf.DUMMYFUNCTION("IF('(INGESTA)Datos_consumo_datadis'!A464&lt;&gt;"""",SPLIT('(INGESTA)Datos_consumo_datadis'!A:A,"",""),"""")"),"ES0031408323131005HX0F")</f>
        <v>ES0031408323131005HX0F</v>
      </c>
      <c r="B464" s="17">
        <f>IFERROR(__xludf.DUMMYFUNCTION("""COMPUTED_VALUE"""),44885.0)</f>
        <v>44885</v>
      </c>
      <c r="C464" s="13">
        <f>IFERROR(__xludf.DUMMYFUNCTION("""COMPUTED_VALUE"""),0.2916666666666667)</f>
        <v>0.2916666667</v>
      </c>
      <c r="D464" s="8">
        <f>IFERROR(__xludf.DUMMYFUNCTION("""COMPUTED_VALUE"""),0.0)</f>
        <v>0</v>
      </c>
      <c r="E464" s="8" t="str">
        <f>IFERROR(__xludf.DUMMYFUNCTION("""COMPUTED_VALUE"""),"Real")</f>
        <v>Real</v>
      </c>
      <c r="G464" s="8">
        <f t="shared" si="1"/>
        <v>11</v>
      </c>
      <c r="H464" s="14">
        <f t="shared" si="2"/>
        <v>20</v>
      </c>
      <c r="I464" s="15">
        <f t="shared" si="3"/>
        <v>7</v>
      </c>
    </row>
    <row r="465">
      <c r="A465" s="8" t="str">
        <f>IFERROR(__xludf.DUMMYFUNCTION("IF('(INGESTA)Datos_consumo_datadis'!A465&lt;&gt;"""",SPLIT('(INGESTA)Datos_consumo_datadis'!A:A,"",""),"""")"),"ES0031408323131005HX0F")</f>
        <v>ES0031408323131005HX0F</v>
      </c>
      <c r="B465" s="17">
        <f>IFERROR(__xludf.DUMMYFUNCTION("""COMPUTED_VALUE"""),44885.0)</f>
        <v>44885</v>
      </c>
      <c r="C465" s="13">
        <f>IFERROR(__xludf.DUMMYFUNCTION("""COMPUTED_VALUE"""),0.3333333333333333)</f>
        <v>0.3333333333</v>
      </c>
      <c r="D465" s="8">
        <f>IFERROR(__xludf.DUMMYFUNCTION("""COMPUTED_VALUE"""),0.0)</f>
        <v>0</v>
      </c>
      <c r="E465" s="8" t="str">
        <f>IFERROR(__xludf.DUMMYFUNCTION("""COMPUTED_VALUE"""),"Real")</f>
        <v>Real</v>
      </c>
      <c r="G465" s="8">
        <f t="shared" si="1"/>
        <v>11</v>
      </c>
      <c r="H465" s="14">
        <f t="shared" si="2"/>
        <v>20</v>
      </c>
      <c r="I465" s="15">
        <f t="shared" si="3"/>
        <v>8</v>
      </c>
    </row>
    <row r="466">
      <c r="A466" s="8" t="str">
        <f>IFERROR(__xludf.DUMMYFUNCTION("IF('(INGESTA)Datos_consumo_datadis'!A466&lt;&gt;"""",SPLIT('(INGESTA)Datos_consumo_datadis'!A:A,"",""),"""")"),"ES0031408323131005HX0F")</f>
        <v>ES0031408323131005HX0F</v>
      </c>
      <c r="B466" s="17">
        <f>IFERROR(__xludf.DUMMYFUNCTION("""COMPUTED_VALUE"""),44885.0)</f>
        <v>44885</v>
      </c>
      <c r="C466" s="13">
        <f>IFERROR(__xludf.DUMMYFUNCTION("""COMPUTED_VALUE"""),0.375)</f>
        <v>0.375</v>
      </c>
      <c r="D466" s="8">
        <f>IFERROR(__xludf.DUMMYFUNCTION("""COMPUTED_VALUE"""),0.0)</f>
        <v>0</v>
      </c>
      <c r="E466" s="8" t="str">
        <f>IFERROR(__xludf.DUMMYFUNCTION("""COMPUTED_VALUE"""),"Real")</f>
        <v>Real</v>
      </c>
      <c r="G466" s="8">
        <f t="shared" si="1"/>
        <v>11</v>
      </c>
      <c r="H466" s="14">
        <f t="shared" si="2"/>
        <v>20</v>
      </c>
      <c r="I466" s="15">
        <f t="shared" si="3"/>
        <v>9</v>
      </c>
    </row>
    <row r="467">
      <c r="A467" s="8" t="str">
        <f>IFERROR(__xludf.DUMMYFUNCTION("IF('(INGESTA)Datos_consumo_datadis'!A467&lt;&gt;"""",SPLIT('(INGESTA)Datos_consumo_datadis'!A:A,"",""),"""")"),"ES0031408323131005HX0F")</f>
        <v>ES0031408323131005HX0F</v>
      </c>
      <c r="B467" s="17">
        <f>IFERROR(__xludf.DUMMYFUNCTION("""COMPUTED_VALUE"""),44885.0)</f>
        <v>44885</v>
      </c>
      <c r="C467" s="13">
        <f>IFERROR(__xludf.DUMMYFUNCTION("""COMPUTED_VALUE"""),0.4166666666666667)</f>
        <v>0.4166666667</v>
      </c>
      <c r="D467" s="8">
        <f>IFERROR(__xludf.DUMMYFUNCTION("""COMPUTED_VALUE"""),0.0)</f>
        <v>0</v>
      </c>
      <c r="E467" s="8" t="str">
        <f>IFERROR(__xludf.DUMMYFUNCTION("""COMPUTED_VALUE"""),"Real")</f>
        <v>Real</v>
      </c>
      <c r="G467" s="8">
        <f t="shared" si="1"/>
        <v>11</v>
      </c>
      <c r="H467" s="14">
        <f t="shared" si="2"/>
        <v>20</v>
      </c>
      <c r="I467" s="15">
        <f t="shared" si="3"/>
        <v>10</v>
      </c>
    </row>
    <row r="468">
      <c r="A468" s="8" t="str">
        <f>IFERROR(__xludf.DUMMYFUNCTION("IF('(INGESTA)Datos_consumo_datadis'!A468&lt;&gt;"""",SPLIT('(INGESTA)Datos_consumo_datadis'!A:A,"",""),"""")"),"ES0031408323131005HX0F")</f>
        <v>ES0031408323131005HX0F</v>
      </c>
      <c r="B468" s="17">
        <f>IFERROR(__xludf.DUMMYFUNCTION("""COMPUTED_VALUE"""),44885.0)</f>
        <v>44885</v>
      </c>
      <c r="C468" s="13">
        <f>IFERROR(__xludf.DUMMYFUNCTION("""COMPUTED_VALUE"""),0.4583333333333333)</f>
        <v>0.4583333333</v>
      </c>
      <c r="D468" s="8">
        <f>IFERROR(__xludf.DUMMYFUNCTION("""COMPUTED_VALUE"""),0.0)</f>
        <v>0</v>
      </c>
      <c r="E468" s="8" t="str">
        <f>IFERROR(__xludf.DUMMYFUNCTION("""COMPUTED_VALUE"""),"Real")</f>
        <v>Real</v>
      </c>
      <c r="G468" s="8">
        <f t="shared" si="1"/>
        <v>11</v>
      </c>
      <c r="H468" s="14">
        <f t="shared" si="2"/>
        <v>20</v>
      </c>
      <c r="I468" s="15">
        <f t="shared" si="3"/>
        <v>11</v>
      </c>
    </row>
    <row r="469">
      <c r="A469" s="8" t="str">
        <f>IFERROR(__xludf.DUMMYFUNCTION("IF('(INGESTA)Datos_consumo_datadis'!A469&lt;&gt;"""",SPLIT('(INGESTA)Datos_consumo_datadis'!A:A,"",""),"""")"),"ES0031408323131005HX0F")</f>
        <v>ES0031408323131005HX0F</v>
      </c>
      <c r="B469" s="17">
        <f>IFERROR(__xludf.DUMMYFUNCTION("""COMPUTED_VALUE"""),44885.0)</f>
        <v>44885</v>
      </c>
      <c r="C469" s="13">
        <f>IFERROR(__xludf.DUMMYFUNCTION("""COMPUTED_VALUE"""),0.5)</f>
        <v>0.5</v>
      </c>
      <c r="D469" s="8">
        <f>IFERROR(__xludf.DUMMYFUNCTION("""COMPUTED_VALUE"""),0.0)</f>
        <v>0</v>
      </c>
      <c r="E469" s="8" t="str">
        <f>IFERROR(__xludf.DUMMYFUNCTION("""COMPUTED_VALUE"""),"Real")</f>
        <v>Real</v>
      </c>
      <c r="G469" s="8">
        <f t="shared" si="1"/>
        <v>11</v>
      </c>
      <c r="H469" s="14">
        <f t="shared" si="2"/>
        <v>20</v>
      </c>
      <c r="I469" s="15">
        <f t="shared" si="3"/>
        <v>12</v>
      </c>
    </row>
    <row r="470">
      <c r="A470" s="8" t="str">
        <f>IFERROR(__xludf.DUMMYFUNCTION("IF('(INGESTA)Datos_consumo_datadis'!A470&lt;&gt;"""",SPLIT('(INGESTA)Datos_consumo_datadis'!A:A,"",""),"""")"),"ES0031408323131005HX0F")</f>
        <v>ES0031408323131005HX0F</v>
      </c>
      <c r="B470" s="17">
        <f>IFERROR(__xludf.DUMMYFUNCTION("""COMPUTED_VALUE"""),44885.0)</f>
        <v>44885</v>
      </c>
      <c r="C470" s="13">
        <f>IFERROR(__xludf.DUMMYFUNCTION("""COMPUTED_VALUE"""),0.5416666666666666)</f>
        <v>0.5416666667</v>
      </c>
      <c r="D470" s="8">
        <f>IFERROR(__xludf.DUMMYFUNCTION("""COMPUTED_VALUE"""),0.0)</f>
        <v>0</v>
      </c>
      <c r="E470" s="8" t="str">
        <f>IFERROR(__xludf.DUMMYFUNCTION("""COMPUTED_VALUE"""),"Real")</f>
        <v>Real</v>
      </c>
      <c r="G470" s="8">
        <f t="shared" si="1"/>
        <v>11</v>
      </c>
      <c r="H470" s="14">
        <f t="shared" si="2"/>
        <v>20</v>
      </c>
      <c r="I470" s="15">
        <f t="shared" si="3"/>
        <v>13</v>
      </c>
    </row>
    <row r="471">
      <c r="A471" s="8" t="str">
        <f>IFERROR(__xludf.DUMMYFUNCTION("IF('(INGESTA)Datos_consumo_datadis'!A471&lt;&gt;"""",SPLIT('(INGESTA)Datos_consumo_datadis'!A:A,"",""),"""")"),"ES0031408323131005HX0F")</f>
        <v>ES0031408323131005HX0F</v>
      </c>
      <c r="B471" s="17">
        <f>IFERROR(__xludf.DUMMYFUNCTION("""COMPUTED_VALUE"""),44885.0)</f>
        <v>44885</v>
      </c>
      <c r="C471" s="13">
        <f>IFERROR(__xludf.DUMMYFUNCTION("""COMPUTED_VALUE"""),0.5833333333333334)</f>
        <v>0.5833333333</v>
      </c>
      <c r="D471" s="8">
        <f>IFERROR(__xludf.DUMMYFUNCTION("""COMPUTED_VALUE"""),0.0)</f>
        <v>0</v>
      </c>
      <c r="E471" s="8" t="str">
        <f>IFERROR(__xludf.DUMMYFUNCTION("""COMPUTED_VALUE"""),"Real")</f>
        <v>Real</v>
      </c>
      <c r="G471" s="8">
        <f t="shared" si="1"/>
        <v>11</v>
      </c>
      <c r="H471" s="14">
        <f t="shared" si="2"/>
        <v>20</v>
      </c>
      <c r="I471" s="15">
        <f t="shared" si="3"/>
        <v>14</v>
      </c>
    </row>
    <row r="472">
      <c r="A472" s="8" t="str">
        <f>IFERROR(__xludf.DUMMYFUNCTION("IF('(INGESTA)Datos_consumo_datadis'!A472&lt;&gt;"""",SPLIT('(INGESTA)Datos_consumo_datadis'!A:A,"",""),"""")"),"ES0031408323131005HX0F")</f>
        <v>ES0031408323131005HX0F</v>
      </c>
      <c r="B472" s="17">
        <f>IFERROR(__xludf.DUMMYFUNCTION("""COMPUTED_VALUE"""),44885.0)</f>
        <v>44885</v>
      </c>
      <c r="C472" s="13">
        <f>IFERROR(__xludf.DUMMYFUNCTION("""COMPUTED_VALUE"""),0.625)</f>
        <v>0.625</v>
      </c>
      <c r="D472" s="8">
        <f>IFERROR(__xludf.DUMMYFUNCTION("""COMPUTED_VALUE"""),0.0)</f>
        <v>0</v>
      </c>
      <c r="E472" s="8" t="str">
        <f>IFERROR(__xludf.DUMMYFUNCTION("""COMPUTED_VALUE"""),"Real")</f>
        <v>Real</v>
      </c>
      <c r="G472" s="8">
        <f t="shared" si="1"/>
        <v>11</v>
      </c>
      <c r="H472" s="14">
        <f t="shared" si="2"/>
        <v>20</v>
      </c>
      <c r="I472" s="15">
        <f t="shared" si="3"/>
        <v>15</v>
      </c>
    </row>
    <row r="473">
      <c r="A473" s="8" t="str">
        <f>IFERROR(__xludf.DUMMYFUNCTION("IF('(INGESTA)Datos_consumo_datadis'!A473&lt;&gt;"""",SPLIT('(INGESTA)Datos_consumo_datadis'!A:A,"",""),"""")"),"ES0031408323131005HX0F")</f>
        <v>ES0031408323131005HX0F</v>
      </c>
      <c r="B473" s="17">
        <f>IFERROR(__xludf.DUMMYFUNCTION("""COMPUTED_VALUE"""),44885.0)</f>
        <v>44885</v>
      </c>
      <c r="C473" s="13">
        <f>IFERROR(__xludf.DUMMYFUNCTION("""COMPUTED_VALUE"""),0.6666666666666666)</f>
        <v>0.6666666667</v>
      </c>
      <c r="D473" s="8">
        <f>IFERROR(__xludf.DUMMYFUNCTION("""COMPUTED_VALUE"""),0.0)</f>
        <v>0</v>
      </c>
      <c r="E473" s="8" t="str">
        <f>IFERROR(__xludf.DUMMYFUNCTION("""COMPUTED_VALUE"""),"Real")</f>
        <v>Real</v>
      </c>
      <c r="G473" s="8">
        <f t="shared" si="1"/>
        <v>11</v>
      </c>
      <c r="H473" s="14">
        <f t="shared" si="2"/>
        <v>20</v>
      </c>
      <c r="I473" s="15">
        <f t="shared" si="3"/>
        <v>16</v>
      </c>
    </row>
    <row r="474">
      <c r="A474" s="8" t="str">
        <f>IFERROR(__xludf.DUMMYFUNCTION("IF('(INGESTA)Datos_consumo_datadis'!A474&lt;&gt;"""",SPLIT('(INGESTA)Datos_consumo_datadis'!A:A,"",""),"""")"),"ES0031408323131005HX0F")</f>
        <v>ES0031408323131005HX0F</v>
      </c>
      <c r="B474" s="17">
        <f>IFERROR(__xludf.DUMMYFUNCTION("""COMPUTED_VALUE"""),44885.0)</f>
        <v>44885</v>
      </c>
      <c r="C474" s="13">
        <f>IFERROR(__xludf.DUMMYFUNCTION("""COMPUTED_VALUE"""),0.7083333333333334)</f>
        <v>0.7083333333</v>
      </c>
      <c r="D474" s="8">
        <f>IFERROR(__xludf.DUMMYFUNCTION("""COMPUTED_VALUE"""),0.0)</f>
        <v>0</v>
      </c>
      <c r="E474" s="8" t="str">
        <f>IFERROR(__xludf.DUMMYFUNCTION("""COMPUTED_VALUE"""),"Real")</f>
        <v>Real</v>
      </c>
      <c r="G474" s="8">
        <f t="shared" si="1"/>
        <v>11</v>
      </c>
      <c r="H474" s="14">
        <f t="shared" si="2"/>
        <v>20</v>
      </c>
      <c r="I474" s="15">
        <f t="shared" si="3"/>
        <v>17</v>
      </c>
    </row>
    <row r="475">
      <c r="A475" s="8" t="str">
        <f>IFERROR(__xludf.DUMMYFUNCTION("IF('(INGESTA)Datos_consumo_datadis'!A475&lt;&gt;"""",SPLIT('(INGESTA)Datos_consumo_datadis'!A:A,"",""),"""")"),"ES0031408323131005HX0F")</f>
        <v>ES0031408323131005HX0F</v>
      </c>
      <c r="B475" s="17">
        <f>IFERROR(__xludf.DUMMYFUNCTION("""COMPUTED_VALUE"""),44885.0)</f>
        <v>44885</v>
      </c>
      <c r="C475" s="13">
        <f>IFERROR(__xludf.DUMMYFUNCTION("""COMPUTED_VALUE"""),0.75)</f>
        <v>0.75</v>
      </c>
      <c r="D475" s="8">
        <f>IFERROR(__xludf.DUMMYFUNCTION("""COMPUTED_VALUE"""),0.0)</f>
        <v>0</v>
      </c>
      <c r="E475" s="8" t="str">
        <f>IFERROR(__xludf.DUMMYFUNCTION("""COMPUTED_VALUE"""),"Real")</f>
        <v>Real</v>
      </c>
      <c r="G475" s="8">
        <f t="shared" si="1"/>
        <v>11</v>
      </c>
      <c r="H475" s="14">
        <f t="shared" si="2"/>
        <v>20</v>
      </c>
      <c r="I475" s="15">
        <f t="shared" si="3"/>
        <v>18</v>
      </c>
    </row>
    <row r="476">
      <c r="A476" s="8" t="str">
        <f>IFERROR(__xludf.DUMMYFUNCTION("IF('(INGESTA)Datos_consumo_datadis'!A476&lt;&gt;"""",SPLIT('(INGESTA)Datos_consumo_datadis'!A:A,"",""),"""")"),"ES0031408323131005HX0F")</f>
        <v>ES0031408323131005HX0F</v>
      </c>
      <c r="B476" s="17">
        <f>IFERROR(__xludf.DUMMYFUNCTION("""COMPUTED_VALUE"""),44885.0)</f>
        <v>44885</v>
      </c>
      <c r="C476" s="13">
        <f>IFERROR(__xludf.DUMMYFUNCTION("""COMPUTED_VALUE"""),0.7916666666666666)</f>
        <v>0.7916666667</v>
      </c>
      <c r="D476" s="8">
        <f>IFERROR(__xludf.DUMMYFUNCTION("""COMPUTED_VALUE"""),0.0)</f>
        <v>0</v>
      </c>
      <c r="E476" s="8" t="str">
        <f>IFERROR(__xludf.DUMMYFUNCTION("""COMPUTED_VALUE"""),"Real")</f>
        <v>Real</v>
      </c>
      <c r="G476" s="8">
        <f t="shared" si="1"/>
        <v>11</v>
      </c>
      <c r="H476" s="14">
        <f t="shared" si="2"/>
        <v>20</v>
      </c>
      <c r="I476" s="15">
        <f t="shared" si="3"/>
        <v>19</v>
      </c>
    </row>
    <row r="477">
      <c r="A477" s="8" t="str">
        <f>IFERROR(__xludf.DUMMYFUNCTION("IF('(INGESTA)Datos_consumo_datadis'!A477&lt;&gt;"""",SPLIT('(INGESTA)Datos_consumo_datadis'!A:A,"",""),"""")"),"ES0031408323131005HX0F")</f>
        <v>ES0031408323131005HX0F</v>
      </c>
      <c r="B477" s="17">
        <f>IFERROR(__xludf.DUMMYFUNCTION("""COMPUTED_VALUE"""),44885.0)</f>
        <v>44885</v>
      </c>
      <c r="C477" s="13">
        <f>IFERROR(__xludf.DUMMYFUNCTION("""COMPUTED_VALUE"""),0.8333333333333334)</f>
        <v>0.8333333333</v>
      </c>
      <c r="D477" s="8">
        <f>IFERROR(__xludf.DUMMYFUNCTION("""COMPUTED_VALUE"""),0.0)</f>
        <v>0</v>
      </c>
      <c r="E477" s="8" t="str">
        <f>IFERROR(__xludf.DUMMYFUNCTION("""COMPUTED_VALUE"""),"Real")</f>
        <v>Real</v>
      </c>
      <c r="G477" s="8">
        <f t="shared" si="1"/>
        <v>11</v>
      </c>
      <c r="H477" s="14">
        <f t="shared" si="2"/>
        <v>20</v>
      </c>
      <c r="I477" s="15">
        <f t="shared" si="3"/>
        <v>20</v>
      </c>
    </row>
    <row r="478">
      <c r="A478" s="8" t="str">
        <f>IFERROR(__xludf.DUMMYFUNCTION("IF('(INGESTA)Datos_consumo_datadis'!A478&lt;&gt;"""",SPLIT('(INGESTA)Datos_consumo_datadis'!A:A,"",""),"""")"),"ES0031408323131005HX0F")</f>
        <v>ES0031408323131005HX0F</v>
      </c>
      <c r="B478" s="17">
        <f>IFERROR(__xludf.DUMMYFUNCTION("""COMPUTED_VALUE"""),44885.0)</f>
        <v>44885</v>
      </c>
      <c r="C478" s="13">
        <f>IFERROR(__xludf.DUMMYFUNCTION("""COMPUTED_VALUE"""),0.875)</f>
        <v>0.875</v>
      </c>
      <c r="D478" s="8">
        <f>IFERROR(__xludf.DUMMYFUNCTION("""COMPUTED_VALUE"""),0.0)</f>
        <v>0</v>
      </c>
      <c r="E478" s="8" t="str">
        <f>IFERROR(__xludf.DUMMYFUNCTION("""COMPUTED_VALUE"""),"Real")</f>
        <v>Real</v>
      </c>
      <c r="G478" s="8">
        <f t="shared" si="1"/>
        <v>11</v>
      </c>
      <c r="H478" s="14">
        <f t="shared" si="2"/>
        <v>20</v>
      </c>
      <c r="I478" s="15">
        <f t="shared" si="3"/>
        <v>21</v>
      </c>
    </row>
    <row r="479">
      <c r="A479" s="8" t="str">
        <f>IFERROR(__xludf.DUMMYFUNCTION("IF('(INGESTA)Datos_consumo_datadis'!A479&lt;&gt;"""",SPLIT('(INGESTA)Datos_consumo_datadis'!A:A,"",""),"""")"),"ES0031408323131005HX0F")</f>
        <v>ES0031408323131005HX0F</v>
      </c>
      <c r="B479" s="17">
        <f>IFERROR(__xludf.DUMMYFUNCTION("""COMPUTED_VALUE"""),44885.0)</f>
        <v>44885</v>
      </c>
      <c r="C479" s="13">
        <f>IFERROR(__xludf.DUMMYFUNCTION("""COMPUTED_VALUE"""),0.9166666666666666)</f>
        <v>0.9166666667</v>
      </c>
      <c r="D479" s="8">
        <f>IFERROR(__xludf.DUMMYFUNCTION("""COMPUTED_VALUE"""),0.0)</f>
        <v>0</v>
      </c>
      <c r="E479" s="8" t="str">
        <f>IFERROR(__xludf.DUMMYFUNCTION("""COMPUTED_VALUE"""),"Real")</f>
        <v>Real</v>
      </c>
      <c r="G479" s="8">
        <f t="shared" si="1"/>
        <v>11</v>
      </c>
      <c r="H479" s="14">
        <f t="shared" si="2"/>
        <v>20</v>
      </c>
      <c r="I479" s="15">
        <f t="shared" si="3"/>
        <v>22</v>
      </c>
    </row>
    <row r="480">
      <c r="A480" s="8" t="str">
        <f>IFERROR(__xludf.DUMMYFUNCTION("IF('(INGESTA)Datos_consumo_datadis'!A480&lt;&gt;"""",SPLIT('(INGESTA)Datos_consumo_datadis'!A:A,"",""),"""")"),"ES0031408323131005HX0F")</f>
        <v>ES0031408323131005HX0F</v>
      </c>
      <c r="B480" s="17">
        <f>IFERROR(__xludf.DUMMYFUNCTION("""COMPUTED_VALUE"""),44885.0)</f>
        <v>44885</v>
      </c>
      <c r="C480" s="13">
        <f>IFERROR(__xludf.DUMMYFUNCTION("""COMPUTED_VALUE"""),0.9583333333333334)</f>
        <v>0.9583333333</v>
      </c>
      <c r="D480" s="8">
        <f>IFERROR(__xludf.DUMMYFUNCTION("""COMPUTED_VALUE"""),0.0)</f>
        <v>0</v>
      </c>
      <c r="E480" s="8" t="str">
        <f>IFERROR(__xludf.DUMMYFUNCTION("""COMPUTED_VALUE"""),"Real")</f>
        <v>Real</v>
      </c>
      <c r="G480" s="8">
        <f t="shared" si="1"/>
        <v>11</v>
      </c>
      <c r="H480" s="14">
        <f t="shared" si="2"/>
        <v>20</v>
      </c>
      <c r="I480" s="15">
        <f t="shared" si="3"/>
        <v>23</v>
      </c>
    </row>
    <row r="481">
      <c r="A481" s="8" t="str">
        <f>IFERROR(__xludf.DUMMYFUNCTION("IF('(INGESTA)Datos_consumo_datadis'!A481&lt;&gt;"""",SPLIT('(INGESTA)Datos_consumo_datadis'!A:A,"",""),"""")"),"ES0031408323131005HX0F")</f>
        <v>ES0031408323131005HX0F</v>
      </c>
      <c r="B481" s="17">
        <f>IFERROR(__xludf.DUMMYFUNCTION("""COMPUTED_VALUE"""),44885.0)</f>
        <v>44885</v>
      </c>
      <c r="C481" s="16">
        <f>IFERROR(__xludf.DUMMYFUNCTION("""COMPUTED_VALUE"""),1.0)</f>
        <v>1</v>
      </c>
      <c r="D481" s="8">
        <f>IFERROR(__xludf.DUMMYFUNCTION("""COMPUTED_VALUE"""),0.0)</f>
        <v>0</v>
      </c>
      <c r="E481" s="8" t="str">
        <f>IFERROR(__xludf.DUMMYFUNCTION("""COMPUTED_VALUE"""),"Real")</f>
        <v>Real</v>
      </c>
      <c r="G481" s="8">
        <f t="shared" si="1"/>
        <v>11</v>
      </c>
      <c r="H481" s="14">
        <f t="shared" si="2"/>
        <v>20</v>
      </c>
      <c r="I481" s="15">
        <f t="shared" si="3"/>
        <v>0</v>
      </c>
    </row>
    <row r="482">
      <c r="A482" s="8" t="str">
        <f>IFERROR(__xludf.DUMMYFUNCTION("IF('(INGESTA)Datos_consumo_datadis'!A482&lt;&gt;"""",SPLIT('(INGESTA)Datos_consumo_datadis'!A:A,"",""),"""")"),"ES0031408323131005HX0F")</f>
        <v>ES0031408323131005HX0F</v>
      </c>
      <c r="B482" s="17">
        <f>IFERROR(__xludf.DUMMYFUNCTION("""COMPUTED_VALUE"""),44886.0)</f>
        <v>44886</v>
      </c>
      <c r="C482" s="13">
        <f>IFERROR(__xludf.DUMMYFUNCTION("""COMPUTED_VALUE"""),0.041666666666666664)</f>
        <v>0.04166666667</v>
      </c>
      <c r="D482" s="8">
        <f>IFERROR(__xludf.DUMMYFUNCTION("""COMPUTED_VALUE"""),0.0)</f>
        <v>0</v>
      </c>
      <c r="E482" s="8" t="str">
        <f>IFERROR(__xludf.DUMMYFUNCTION("""COMPUTED_VALUE"""),"Real")</f>
        <v>Real</v>
      </c>
      <c r="G482" s="8">
        <f t="shared" si="1"/>
        <v>11</v>
      </c>
      <c r="H482" s="14">
        <f t="shared" si="2"/>
        <v>21</v>
      </c>
      <c r="I482" s="15">
        <f t="shared" si="3"/>
        <v>1</v>
      </c>
    </row>
    <row r="483">
      <c r="A483" s="8" t="str">
        <f>IFERROR(__xludf.DUMMYFUNCTION("IF('(INGESTA)Datos_consumo_datadis'!A483&lt;&gt;"""",SPLIT('(INGESTA)Datos_consumo_datadis'!A:A,"",""),"""")"),"ES0031408323131005HX0F")</f>
        <v>ES0031408323131005HX0F</v>
      </c>
      <c r="B483" s="17">
        <f>IFERROR(__xludf.DUMMYFUNCTION("""COMPUTED_VALUE"""),44886.0)</f>
        <v>44886</v>
      </c>
      <c r="C483" s="13">
        <f>IFERROR(__xludf.DUMMYFUNCTION("""COMPUTED_VALUE"""),0.08333333333333333)</f>
        <v>0.08333333333</v>
      </c>
      <c r="D483" s="8">
        <f>IFERROR(__xludf.DUMMYFUNCTION("""COMPUTED_VALUE"""),0.0)</f>
        <v>0</v>
      </c>
      <c r="E483" s="8" t="str">
        <f>IFERROR(__xludf.DUMMYFUNCTION("""COMPUTED_VALUE"""),"Real")</f>
        <v>Real</v>
      </c>
      <c r="G483" s="8">
        <f t="shared" si="1"/>
        <v>11</v>
      </c>
      <c r="H483" s="14">
        <f t="shared" si="2"/>
        <v>21</v>
      </c>
      <c r="I483" s="15">
        <f t="shared" si="3"/>
        <v>2</v>
      </c>
    </row>
    <row r="484">
      <c r="A484" s="8" t="str">
        <f>IFERROR(__xludf.DUMMYFUNCTION("IF('(INGESTA)Datos_consumo_datadis'!A484&lt;&gt;"""",SPLIT('(INGESTA)Datos_consumo_datadis'!A:A,"",""),"""")"),"ES0031408323131005HX0F")</f>
        <v>ES0031408323131005HX0F</v>
      </c>
      <c r="B484" s="17">
        <f>IFERROR(__xludf.DUMMYFUNCTION("""COMPUTED_VALUE"""),44886.0)</f>
        <v>44886</v>
      </c>
      <c r="C484" s="13">
        <f>IFERROR(__xludf.DUMMYFUNCTION("""COMPUTED_VALUE"""),0.125)</f>
        <v>0.125</v>
      </c>
      <c r="D484" s="8">
        <f>IFERROR(__xludf.DUMMYFUNCTION("""COMPUTED_VALUE"""),0.0)</f>
        <v>0</v>
      </c>
      <c r="E484" s="8" t="str">
        <f>IFERROR(__xludf.DUMMYFUNCTION("""COMPUTED_VALUE"""),"Real")</f>
        <v>Real</v>
      </c>
      <c r="G484" s="8">
        <f t="shared" si="1"/>
        <v>11</v>
      </c>
      <c r="H484" s="14">
        <f t="shared" si="2"/>
        <v>21</v>
      </c>
      <c r="I484" s="15">
        <f t="shared" si="3"/>
        <v>3</v>
      </c>
    </row>
    <row r="485">
      <c r="A485" s="8" t="str">
        <f>IFERROR(__xludf.DUMMYFUNCTION("IF('(INGESTA)Datos_consumo_datadis'!A485&lt;&gt;"""",SPLIT('(INGESTA)Datos_consumo_datadis'!A:A,"",""),"""")"),"ES0031408323131005HX0F")</f>
        <v>ES0031408323131005HX0F</v>
      </c>
      <c r="B485" s="17">
        <f>IFERROR(__xludf.DUMMYFUNCTION("""COMPUTED_VALUE"""),44886.0)</f>
        <v>44886</v>
      </c>
      <c r="C485" s="13">
        <f>IFERROR(__xludf.DUMMYFUNCTION("""COMPUTED_VALUE"""),0.16666666666666666)</f>
        <v>0.1666666667</v>
      </c>
      <c r="D485" s="8">
        <f>IFERROR(__xludf.DUMMYFUNCTION("""COMPUTED_VALUE"""),0.0)</f>
        <v>0</v>
      </c>
      <c r="E485" s="8" t="str">
        <f>IFERROR(__xludf.DUMMYFUNCTION("""COMPUTED_VALUE"""),"Real")</f>
        <v>Real</v>
      </c>
      <c r="G485" s="8">
        <f t="shared" si="1"/>
        <v>11</v>
      </c>
      <c r="H485" s="14">
        <f t="shared" si="2"/>
        <v>21</v>
      </c>
      <c r="I485" s="15">
        <f t="shared" si="3"/>
        <v>4</v>
      </c>
    </row>
    <row r="486">
      <c r="A486" s="8" t="str">
        <f>IFERROR(__xludf.DUMMYFUNCTION("IF('(INGESTA)Datos_consumo_datadis'!A486&lt;&gt;"""",SPLIT('(INGESTA)Datos_consumo_datadis'!A:A,"",""),"""")"),"ES0031408323131005HX0F")</f>
        <v>ES0031408323131005HX0F</v>
      </c>
      <c r="B486" s="17">
        <f>IFERROR(__xludf.DUMMYFUNCTION("""COMPUTED_VALUE"""),44886.0)</f>
        <v>44886</v>
      </c>
      <c r="C486" s="13">
        <f>IFERROR(__xludf.DUMMYFUNCTION("""COMPUTED_VALUE"""),0.20833333333333334)</f>
        <v>0.2083333333</v>
      </c>
      <c r="D486" s="8">
        <f>IFERROR(__xludf.DUMMYFUNCTION("""COMPUTED_VALUE"""),0.0)</f>
        <v>0</v>
      </c>
      <c r="E486" s="8" t="str">
        <f>IFERROR(__xludf.DUMMYFUNCTION("""COMPUTED_VALUE"""),"Real")</f>
        <v>Real</v>
      </c>
      <c r="G486" s="8">
        <f t="shared" si="1"/>
        <v>11</v>
      </c>
      <c r="H486" s="14">
        <f t="shared" si="2"/>
        <v>21</v>
      </c>
      <c r="I486" s="15">
        <f t="shared" si="3"/>
        <v>5</v>
      </c>
    </row>
    <row r="487">
      <c r="A487" s="8" t="str">
        <f>IFERROR(__xludf.DUMMYFUNCTION("IF('(INGESTA)Datos_consumo_datadis'!A487&lt;&gt;"""",SPLIT('(INGESTA)Datos_consumo_datadis'!A:A,"",""),"""")"),"ES0031408323131005HX0F")</f>
        <v>ES0031408323131005HX0F</v>
      </c>
      <c r="B487" s="17">
        <f>IFERROR(__xludf.DUMMYFUNCTION("""COMPUTED_VALUE"""),44886.0)</f>
        <v>44886</v>
      </c>
      <c r="C487" s="13">
        <f>IFERROR(__xludf.DUMMYFUNCTION("""COMPUTED_VALUE"""),0.25)</f>
        <v>0.25</v>
      </c>
      <c r="D487" s="8">
        <f>IFERROR(__xludf.DUMMYFUNCTION("""COMPUTED_VALUE"""),0.0)</f>
        <v>0</v>
      </c>
      <c r="E487" s="8" t="str">
        <f>IFERROR(__xludf.DUMMYFUNCTION("""COMPUTED_VALUE"""),"Real")</f>
        <v>Real</v>
      </c>
      <c r="G487" s="8">
        <f t="shared" si="1"/>
        <v>11</v>
      </c>
      <c r="H487" s="14">
        <f t="shared" si="2"/>
        <v>21</v>
      </c>
      <c r="I487" s="15">
        <f t="shared" si="3"/>
        <v>6</v>
      </c>
    </row>
    <row r="488">
      <c r="A488" s="8" t="str">
        <f>IFERROR(__xludf.DUMMYFUNCTION("IF('(INGESTA)Datos_consumo_datadis'!A488&lt;&gt;"""",SPLIT('(INGESTA)Datos_consumo_datadis'!A:A,"",""),"""")"),"ES0031408323131005HX0F")</f>
        <v>ES0031408323131005HX0F</v>
      </c>
      <c r="B488" s="17">
        <f>IFERROR(__xludf.DUMMYFUNCTION("""COMPUTED_VALUE"""),44886.0)</f>
        <v>44886</v>
      </c>
      <c r="C488" s="13">
        <f>IFERROR(__xludf.DUMMYFUNCTION("""COMPUTED_VALUE"""),0.2916666666666667)</f>
        <v>0.2916666667</v>
      </c>
      <c r="D488" s="8">
        <f>IFERROR(__xludf.DUMMYFUNCTION("""COMPUTED_VALUE"""),0.0)</f>
        <v>0</v>
      </c>
      <c r="E488" s="8" t="str">
        <f>IFERROR(__xludf.DUMMYFUNCTION("""COMPUTED_VALUE"""),"Real")</f>
        <v>Real</v>
      </c>
      <c r="G488" s="8">
        <f t="shared" si="1"/>
        <v>11</v>
      </c>
      <c r="H488" s="14">
        <f t="shared" si="2"/>
        <v>21</v>
      </c>
      <c r="I488" s="15">
        <f t="shared" si="3"/>
        <v>7</v>
      </c>
    </row>
    <row r="489">
      <c r="A489" s="8" t="str">
        <f>IFERROR(__xludf.DUMMYFUNCTION("IF('(INGESTA)Datos_consumo_datadis'!A489&lt;&gt;"""",SPLIT('(INGESTA)Datos_consumo_datadis'!A:A,"",""),"""")"),"ES0031408323131005HX0F")</f>
        <v>ES0031408323131005HX0F</v>
      </c>
      <c r="B489" s="17">
        <f>IFERROR(__xludf.DUMMYFUNCTION("""COMPUTED_VALUE"""),44886.0)</f>
        <v>44886</v>
      </c>
      <c r="C489" s="13">
        <f>IFERROR(__xludf.DUMMYFUNCTION("""COMPUTED_VALUE"""),0.3333333333333333)</f>
        <v>0.3333333333</v>
      </c>
      <c r="D489" s="8">
        <f>IFERROR(__xludf.DUMMYFUNCTION("""COMPUTED_VALUE"""),0.0)</f>
        <v>0</v>
      </c>
      <c r="E489" s="8" t="str">
        <f>IFERROR(__xludf.DUMMYFUNCTION("""COMPUTED_VALUE"""),"Real")</f>
        <v>Real</v>
      </c>
      <c r="G489" s="8">
        <f t="shared" si="1"/>
        <v>11</v>
      </c>
      <c r="H489" s="14">
        <f t="shared" si="2"/>
        <v>21</v>
      </c>
      <c r="I489" s="15">
        <f t="shared" si="3"/>
        <v>8</v>
      </c>
    </row>
    <row r="490">
      <c r="A490" s="8" t="str">
        <f>IFERROR(__xludf.DUMMYFUNCTION("IF('(INGESTA)Datos_consumo_datadis'!A490&lt;&gt;"""",SPLIT('(INGESTA)Datos_consumo_datadis'!A:A,"",""),"""")"),"ES0031408323131005HX0F")</f>
        <v>ES0031408323131005HX0F</v>
      </c>
      <c r="B490" s="17">
        <f>IFERROR(__xludf.DUMMYFUNCTION("""COMPUTED_VALUE"""),44886.0)</f>
        <v>44886</v>
      </c>
      <c r="C490" s="13">
        <f>IFERROR(__xludf.DUMMYFUNCTION("""COMPUTED_VALUE"""),0.375)</f>
        <v>0.375</v>
      </c>
      <c r="D490" s="8">
        <f>IFERROR(__xludf.DUMMYFUNCTION("""COMPUTED_VALUE"""),0.0)</f>
        <v>0</v>
      </c>
      <c r="E490" s="8" t="str">
        <f>IFERROR(__xludf.DUMMYFUNCTION("""COMPUTED_VALUE"""),"Real")</f>
        <v>Real</v>
      </c>
      <c r="G490" s="8">
        <f t="shared" si="1"/>
        <v>11</v>
      </c>
      <c r="H490" s="14">
        <f t="shared" si="2"/>
        <v>21</v>
      </c>
      <c r="I490" s="15">
        <f t="shared" si="3"/>
        <v>9</v>
      </c>
    </row>
    <row r="491">
      <c r="A491" s="8" t="str">
        <f>IFERROR(__xludf.DUMMYFUNCTION("IF('(INGESTA)Datos_consumo_datadis'!A491&lt;&gt;"""",SPLIT('(INGESTA)Datos_consumo_datadis'!A:A,"",""),"""")"),"ES0031408323131005HX0F")</f>
        <v>ES0031408323131005HX0F</v>
      </c>
      <c r="B491" s="17">
        <f>IFERROR(__xludf.DUMMYFUNCTION("""COMPUTED_VALUE"""),44886.0)</f>
        <v>44886</v>
      </c>
      <c r="C491" s="13">
        <f>IFERROR(__xludf.DUMMYFUNCTION("""COMPUTED_VALUE"""),0.4166666666666667)</f>
        <v>0.4166666667</v>
      </c>
      <c r="D491" s="8">
        <f>IFERROR(__xludf.DUMMYFUNCTION("""COMPUTED_VALUE"""),0.0)</f>
        <v>0</v>
      </c>
      <c r="E491" s="8" t="str">
        <f>IFERROR(__xludf.DUMMYFUNCTION("""COMPUTED_VALUE"""),"Real")</f>
        <v>Real</v>
      </c>
      <c r="G491" s="8">
        <f t="shared" si="1"/>
        <v>11</v>
      </c>
      <c r="H491" s="14">
        <f t="shared" si="2"/>
        <v>21</v>
      </c>
      <c r="I491" s="15">
        <f t="shared" si="3"/>
        <v>10</v>
      </c>
    </row>
    <row r="492">
      <c r="A492" s="8" t="str">
        <f>IFERROR(__xludf.DUMMYFUNCTION("IF('(INGESTA)Datos_consumo_datadis'!A492&lt;&gt;"""",SPLIT('(INGESTA)Datos_consumo_datadis'!A:A,"",""),"""")"),"ES0031408323131005HX0F")</f>
        <v>ES0031408323131005HX0F</v>
      </c>
      <c r="B492" s="17">
        <f>IFERROR(__xludf.DUMMYFUNCTION("""COMPUTED_VALUE"""),44886.0)</f>
        <v>44886</v>
      </c>
      <c r="C492" s="13">
        <f>IFERROR(__xludf.DUMMYFUNCTION("""COMPUTED_VALUE"""),0.4583333333333333)</f>
        <v>0.4583333333</v>
      </c>
      <c r="D492" s="8">
        <f>IFERROR(__xludf.DUMMYFUNCTION("""COMPUTED_VALUE"""),0.0)</f>
        <v>0</v>
      </c>
      <c r="E492" s="8" t="str">
        <f>IFERROR(__xludf.DUMMYFUNCTION("""COMPUTED_VALUE"""),"Real")</f>
        <v>Real</v>
      </c>
      <c r="G492" s="8">
        <f t="shared" si="1"/>
        <v>11</v>
      </c>
      <c r="H492" s="14">
        <f t="shared" si="2"/>
        <v>21</v>
      </c>
      <c r="I492" s="15">
        <f t="shared" si="3"/>
        <v>11</v>
      </c>
    </row>
    <row r="493">
      <c r="A493" s="8" t="str">
        <f>IFERROR(__xludf.DUMMYFUNCTION("IF('(INGESTA)Datos_consumo_datadis'!A493&lt;&gt;"""",SPLIT('(INGESTA)Datos_consumo_datadis'!A:A,"",""),"""")"),"ES0031408323131005HX0F")</f>
        <v>ES0031408323131005HX0F</v>
      </c>
      <c r="B493" s="17">
        <f>IFERROR(__xludf.DUMMYFUNCTION("""COMPUTED_VALUE"""),44886.0)</f>
        <v>44886</v>
      </c>
      <c r="C493" s="13">
        <f>IFERROR(__xludf.DUMMYFUNCTION("""COMPUTED_VALUE"""),0.5)</f>
        <v>0.5</v>
      </c>
      <c r="D493" s="8">
        <f>IFERROR(__xludf.DUMMYFUNCTION("""COMPUTED_VALUE"""),0.0)</f>
        <v>0</v>
      </c>
      <c r="E493" s="8" t="str">
        <f>IFERROR(__xludf.DUMMYFUNCTION("""COMPUTED_VALUE"""),"Real")</f>
        <v>Real</v>
      </c>
      <c r="G493" s="8">
        <f t="shared" si="1"/>
        <v>11</v>
      </c>
      <c r="H493" s="14">
        <f t="shared" si="2"/>
        <v>21</v>
      </c>
      <c r="I493" s="15">
        <f t="shared" si="3"/>
        <v>12</v>
      </c>
    </row>
    <row r="494">
      <c r="A494" s="8" t="str">
        <f>IFERROR(__xludf.DUMMYFUNCTION("IF('(INGESTA)Datos_consumo_datadis'!A494&lt;&gt;"""",SPLIT('(INGESTA)Datos_consumo_datadis'!A:A,"",""),"""")"),"ES0031408323131005HX0F")</f>
        <v>ES0031408323131005HX0F</v>
      </c>
      <c r="B494" s="17">
        <f>IFERROR(__xludf.DUMMYFUNCTION("""COMPUTED_VALUE"""),44886.0)</f>
        <v>44886</v>
      </c>
      <c r="C494" s="13">
        <f>IFERROR(__xludf.DUMMYFUNCTION("""COMPUTED_VALUE"""),0.5416666666666666)</f>
        <v>0.5416666667</v>
      </c>
      <c r="D494" s="8">
        <f>IFERROR(__xludf.DUMMYFUNCTION("""COMPUTED_VALUE"""),0.0)</f>
        <v>0</v>
      </c>
      <c r="E494" s="8" t="str">
        <f>IFERROR(__xludf.DUMMYFUNCTION("""COMPUTED_VALUE"""),"Real")</f>
        <v>Real</v>
      </c>
      <c r="G494" s="8">
        <f t="shared" si="1"/>
        <v>11</v>
      </c>
      <c r="H494" s="14">
        <f t="shared" si="2"/>
        <v>21</v>
      </c>
      <c r="I494" s="15">
        <f t="shared" si="3"/>
        <v>13</v>
      </c>
    </row>
    <row r="495">
      <c r="A495" s="8" t="str">
        <f>IFERROR(__xludf.DUMMYFUNCTION("IF('(INGESTA)Datos_consumo_datadis'!A495&lt;&gt;"""",SPLIT('(INGESTA)Datos_consumo_datadis'!A:A,"",""),"""")"),"ES0031408323131005HX0F")</f>
        <v>ES0031408323131005HX0F</v>
      </c>
      <c r="B495" s="17">
        <f>IFERROR(__xludf.DUMMYFUNCTION("""COMPUTED_VALUE"""),44886.0)</f>
        <v>44886</v>
      </c>
      <c r="C495" s="13">
        <f>IFERROR(__xludf.DUMMYFUNCTION("""COMPUTED_VALUE"""),0.5833333333333334)</f>
        <v>0.5833333333</v>
      </c>
      <c r="D495" s="8">
        <f>IFERROR(__xludf.DUMMYFUNCTION("""COMPUTED_VALUE"""),0.0)</f>
        <v>0</v>
      </c>
      <c r="E495" s="8" t="str">
        <f>IFERROR(__xludf.DUMMYFUNCTION("""COMPUTED_VALUE"""),"Real")</f>
        <v>Real</v>
      </c>
      <c r="G495" s="8">
        <f t="shared" si="1"/>
        <v>11</v>
      </c>
      <c r="H495" s="14">
        <f t="shared" si="2"/>
        <v>21</v>
      </c>
      <c r="I495" s="15">
        <f t="shared" si="3"/>
        <v>14</v>
      </c>
    </row>
    <row r="496">
      <c r="A496" s="8" t="str">
        <f>IFERROR(__xludf.DUMMYFUNCTION("IF('(INGESTA)Datos_consumo_datadis'!A496&lt;&gt;"""",SPLIT('(INGESTA)Datos_consumo_datadis'!A:A,"",""),"""")"),"ES0031408323131005HX0F")</f>
        <v>ES0031408323131005HX0F</v>
      </c>
      <c r="B496" s="17">
        <f>IFERROR(__xludf.DUMMYFUNCTION("""COMPUTED_VALUE"""),44886.0)</f>
        <v>44886</v>
      </c>
      <c r="C496" s="13">
        <f>IFERROR(__xludf.DUMMYFUNCTION("""COMPUTED_VALUE"""),0.625)</f>
        <v>0.625</v>
      </c>
      <c r="D496" s="8">
        <f>IFERROR(__xludf.DUMMYFUNCTION("""COMPUTED_VALUE"""),0.0)</f>
        <v>0</v>
      </c>
      <c r="E496" s="8" t="str">
        <f>IFERROR(__xludf.DUMMYFUNCTION("""COMPUTED_VALUE"""),"Real")</f>
        <v>Real</v>
      </c>
      <c r="G496" s="8">
        <f t="shared" si="1"/>
        <v>11</v>
      </c>
      <c r="H496" s="14">
        <f t="shared" si="2"/>
        <v>21</v>
      </c>
      <c r="I496" s="15">
        <f t="shared" si="3"/>
        <v>15</v>
      </c>
    </row>
    <row r="497">
      <c r="A497" s="8" t="str">
        <f>IFERROR(__xludf.DUMMYFUNCTION("IF('(INGESTA)Datos_consumo_datadis'!A497&lt;&gt;"""",SPLIT('(INGESTA)Datos_consumo_datadis'!A:A,"",""),"""")"),"ES0031408323131005HX0F")</f>
        <v>ES0031408323131005HX0F</v>
      </c>
      <c r="B497" s="17">
        <f>IFERROR(__xludf.DUMMYFUNCTION("""COMPUTED_VALUE"""),44886.0)</f>
        <v>44886</v>
      </c>
      <c r="C497" s="13">
        <f>IFERROR(__xludf.DUMMYFUNCTION("""COMPUTED_VALUE"""),0.6666666666666666)</f>
        <v>0.6666666667</v>
      </c>
      <c r="D497" s="8">
        <f>IFERROR(__xludf.DUMMYFUNCTION("""COMPUTED_VALUE"""),0.0)</f>
        <v>0</v>
      </c>
      <c r="E497" s="8" t="str">
        <f>IFERROR(__xludf.DUMMYFUNCTION("""COMPUTED_VALUE"""),"Real")</f>
        <v>Real</v>
      </c>
      <c r="G497" s="8">
        <f t="shared" si="1"/>
        <v>11</v>
      </c>
      <c r="H497" s="14">
        <f t="shared" si="2"/>
        <v>21</v>
      </c>
      <c r="I497" s="15">
        <f t="shared" si="3"/>
        <v>16</v>
      </c>
    </row>
    <row r="498">
      <c r="A498" s="8" t="str">
        <f>IFERROR(__xludf.DUMMYFUNCTION("IF('(INGESTA)Datos_consumo_datadis'!A498&lt;&gt;"""",SPLIT('(INGESTA)Datos_consumo_datadis'!A:A,"",""),"""")"),"ES0031408323131005HX0F")</f>
        <v>ES0031408323131005HX0F</v>
      </c>
      <c r="B498" s="17">
        <f>IFERROR(__xludf.DUMMYFUNCTION("""COMPUTED_VALUE"""),44886.0)</f>
        <v>44886</v>
      </c>
      <c r="C498" s="13">
        <f>IFERROR(__xludf.DUMMYFUNCTION("""COMPUTED_VALUE"""),0.7083333333333334)</f>
        <v>0.7083333333</v>
      </c>
      <c r="D498" s="8">
        <f>IFERROR(__xludf.DUMMYFUNCTION("""COMPUTED_VALUE"""),0.0)</f>
        <v>0</v>
      </c>
      <c r="E498" s="8" t="str">
        <f>IFERROR(__xludf.DUMMYFUNCTION("""COMPUTED_VALUE"""),"Real")</f>
        <v>Real</v>
      </c>
      <c r="G498" s="8">
        <f t="shared" si="1"/>
        <v>11</v>
      </c>
      <c r="H498" s="14">
        <f t="shared" si="2"/>
        <v>21</v>
      </c>
      <c r="I498" s="15">
        <f t="shared" si="3"/>
        <v>17</v>
      </c>
    </row>
    <row r="499">
      <c r="A499" s="8" t="str">
        <f>IFERROR(__xludf.DUMMYFUNCTION("IF('(INGESTA)Datos_consumo_datadis'!A499&lt;&gt;"""",SPLIT('(INGESTA)Datos_consumo_datadis'!A:A,"",""),"""")"),"ES0031408323131005HX0F")</f>
        <v>ES0031408323131005HX0F</v>
      </c>
      <c r="B499" s="17">
        <f>IFERROR(__xludf.DUMMYFUNCTION("""COMPUTED_VALUE"""),44886.0)</f>
        <v>44886</v>
      </c>
      <c r="C499" s="13">
        <f>IFERROR(__xludf.DUMMYFUNCTION("""COMPUTED_VALUE"""),0.75)</f>
        <v>0.75</v>
      </c>
      <c r="D499" s="8">
        <f>IFERROR(__xludf.DUMMYFUNCTION("""COMPUTED_VALUE"""),0.0)</f>
        <v>0</v>
      </c>
      <c r="E499" s="8" t="str">
        <f>IFERROR(__xludf.DUMMYFUNCTION("""COMPUTED_VALUE"""),"Real")</f>
        <v>Real</v>
      </c>
      <c r="G499" s="8">
        <f t="shared" si="1"/>
        <v>11</v>
      </c>
      <c r="H499" s="14">
        <f t="shared" si="2"/>
        <v>21</v>
      </c>
      <c r="I499" s="15">
        <f t="shared" si="3"/>
        <v>18</v>
      </c>
    </row>
    <row r="500">
      <c r="A500" s="8" t="str">
        <f>IFERROR(__xludf.DUMMYFUNCTION("IF('(INGESTA)Datos_consumo_datadis'!A500&lt;&gt;"""",SPLIT('(INGESTA)Datos_consumo_datadis'!A:A,"",""),"""")"),"ES0031408323131005HX0F")</f>
        <v>ES0031408323131005HX0F</v>
      </c>
      <c r="B500" s="17">
        <f>IFERROR(__xludf.DUMMYFUNCTION("""COMPUTED_VALUE"""),44886.0)</f>
        <v>44886</v>
      </c>
      <c r="C500" s="13">
        <f>IFERROR(__xludf.DUMMYFUNCTION("""COMPUTED_VALUE"""),0.7916666666666666)</f>
        <v>0.7916666667</v>
      </c>
      <c r="D500" s="8">
        <f>IFERROR(__xludf.DUMMYFUNCTION("""COMPUTED_VALUE"""),0.0)</f>
        <v>0</v>
      </c>
      <c r="E500" s="8" t="str">
        <f>IFERROR(__xludf.DUMMYFUNCTION("""COMPUTED_VALUE"""),"Real")</f>
        <v>Real</v>
      </c>
      <c r="G500" s="8">
        <f t="shared" si="1"/>
        <v>11</v>
      </c>
      <c r="H500" s="14">
        <f t="shared" si="2"/>
        <v>21</v>
      </c>
      <c r="I500" s="15">
        <f t="shared" si="3"/>
        <v>19</v>
      </c>
    </row>
    <row r="501">
      <c r="A501" s="8" t="str">
        <f>IFERROR(__xludf.DUMMYFUNCTION("IF('(INGESTA)Datos_consumo_datadis'!A501&lt;&gt;"""",SPLIT('(INGESTA)Datos_consumo_datadis'!A:A,"",""),"""")"),"ES0031408323131005HX0F")</f>
        <v>ES0031408323131005HX0F</v>
      </c>
      <c r="B501" s="17">
        <f>IFERROR(__xludf.DUMMYFUNCTION("""COMPUTED_VALUE"""),44886.0)</f>
        <v>44886</v>
      </c>
      <c r="C501" s="13">
        <f>IFERROR(__xludf.DUMMYFUNCTION("""COMPUTED_VALUE"""),0.8333333333333334)</f>
        <v>0.8333333333</v>
      </c>
      <c r="D501" s="8">
        <f>IFERROR(__xludf.DUMMYFUNCTION("""COMPUTED_VALUE"""),0.0)</f>
        <v>0</v>
      </c>
      <c r="E501" s="8" t="str">
        <f>IFERROR(__xludf.DUMMYFUNCTION("""COMPUTED_VALUE"""),"Real")</f>
        <v>Real</v>
      </c>
      <c r="G501" s="8">
        <f t="shared" si="1"/>
        <v>11</v>
      </c>
      <c r="H501" s="14">
        <f t="shared" si="2"/>
        <v>21</v>
      </c>
      <c r="I501" s="15">
        <f t="shared" si="3"/>
        <v>20</v>
      </c>
    </row>
    <row r="502">
      <c r="A502" s="8" t="str">
        <f>IFERROR(__xludf.DUMMYFUNCTION("IF('(INGESTA)Datos_consumo_datadis'!A502&lt;&gt;"""",SPLIT('(INGESTA)Datos_consumo_datadis'!A:A,"",""),"""")"),"ES0031408323131005HX0F")</f>
        <v>ES0031408323131005HX0F</v>
      </c>
      <c r="B502" s="17">
        <f>IFERROR(__xludf.DUMMYFUNCTION("""COMPUTED_VALUE"""),44886.0)</f>
        <v>44886</v>
      </c>
      <c r="C502" s="13">
        <f>IFERROR(__xludf.DUMMYFUNCTION("""COMPUTED_VALUE"""),0.875)</f>
        <v>0.875</v>
      </c>
      <c r="D502" s="8">
        <f>IFERROR(__xludf.DUMMYFUNCTION("""COMPUTED_VALUE"""),0.0)</f>
        <v>0</v>
      </c>
      <c r="E502" s="8" t="str">
        <f>IFERROR(__xludf.DUMMYFUNCTION("""COMPUTED_VALUE"""),"Real")</f>
        <v>Real</v>
      </c>
      <c r="G502" s="8">
        <f t="shared" si="1"/>
        <v>11</v>
      </c>
      <c r="H502" s="14">
        <f t="shared" si="2"/>
        <v>21</v>
      </c>
      <c r="I502" s="15">
        <f t="shared" si="3"/>
        <v>21</v>
      </c>
    </row>
    <row r="503">
      <c r="A503" s="8" t="str">
        <f>IFERROR(__xludf.DUMMYFUNCTION("IF('(INGESTA)Datos_consumo_datadis'!A503&lt;&gt;"""",SPLIT('(INGESTA)Datos_consumo_datadis'!A:A,"",""),"""")"),"ES0031408323131005HX0F")</f>
        <v>ES0031408323131005HX0F</v>
      </c>
      <c r="B503" s="17">
        <f>IFERROR(__xludf.DUMMYFUNCTION("""COMPUTED_VALUE"""),44886.0)</f>
        <v>44886</v>
      </c>
      <c r="C503" s="13">
        <f>IFERROR(__xludf.DUMMYFUNCTION("""COMPUTED_VALUE"""),0.9166666666666666)</f>
        <v>0.9166666667</v>
      </c>
      <c r="D503" s="8">
        <f>IFERROR(__xludf.DUMMYFUNCTION("""COMPUTED_VALUE"""),0.0)</f>
        <v>0</v>
      </c>
      <c r="E503" s="8" t="str">
        <f>IFERROR(__xludf.DUMMYFUNCTION("""COMPUTED_VALUE"""),"Real")</f>
        <v>Real</v>
      </c>
      <c r="G503" s="8">
        <f t="shared" si="1"/>
        <v>11</v>
      </c>
      <c r="H503" s="14">
        <f t="shared" si="2"/>
        <v>21</v>
      </c>
      <c r="I503" s="15">
        <f t="shared" si="3"/>
        <v>22</v>
      </c>
    </row>
    <row r="504">
      <c r="A504" s="8" t="str">
        <f>IFERROR(__xludf.DUMMYFUNCTION("IF('(INGESTA)Datos_consumo_datadis'!A504&lt;&gt;"""",SPLIT('(INGESTA)Datos_consumo_datadis'!A:A,"",""),"""")"),"ES0031408323131005HX0F")</f>
        <v>ES0031408323131005HX0F</v>
      </c>
      <c r="B504" s="17">
        <f>IFERROR(__xludf.DUMMYFUNCTION("""COMPUTED_VALUE"""),44886.0)</f>
        <v>44886</v>
      </c>
      <c r="C504" s="13">
        <f>IFERROR(__xludf.DUMMYFUNCTION("""COMPUTED_VALUE"""),0.9583333333333334)</f>
        <v>0.9583333333</v>
      </c>
      <c r="D504" s="8">
        <f>IFERROR(__xludf.DUMMYFUNCTION("""COMPUTED_VALUE"""),0.0)</f>
        <v>0</v>
      </c>
      <c r="E504" s="8" t="str">
        <f>IFERROR(__xludf.DUMMYFUNCTION("""COMPUTED_VALUE"""),"Real")</f>
        <v>Real</v>
      </c>
      <c r="G504" s="8">
        <f t="shared" si="1"/>
        <v>11</v>
      </c>
      <c r="H504" s="14">
        <f t="shared" si="2"/>
        <v>21</v>
      </c>
      <c r="I504" s="15">
        <f t="shared" si="3"/>
        <v>23</v>
      </c>
    </row>
    <row r="505">
      <c r="A505" s="8" t="str">
        <f>IFERROR(__xludf.DUMMYFUNCTION("IF('(INGESTA)Datos_consumo_datadis'!A505&lt;&gt;"""",SPLIT('(INGESTA)Datos_consumo_datadis'!A:A,"",""),"""")"),"ES0031408323131005HX0F")</f>
        <v>ES0031408323131005HX0F</v>
      </c>
      <c r="B505" s="17">
        <f>IFERROR(__xludf.DUMMYFUNCTION("""COMPUTED_VALUE"""),44886.0)</f>
        <v>44886</v>
      </c>
      <c r="C505" s="16">
        <f>IFERROR(__xludf.DUMMYFUNCTION("""COMPUTED_VALUE"""),1.0)</f>
        <v>1</v>
      </c>
      <c r="D505" s="8">
        <f>IFERROR(__xludf.DUMMYFUNCTION("""COMPUTED_VALUE"""),0.0)</f>
        <v>0</v>
      </c>
      <c r="E505" s="8" t="str">
        <f>IFERROR(__xludf.DUMMYFUNCTION("""COMPUTED_VALUE"""),"Real")</f>
        <v>Real</v>
      </c>
      <c r="G505" s="8">
        <f t="shared" si="1"/>
        <v>11</v>
      </c>
      <c r="H505" s="14">
        <f t="shared" si="2"/>
        <v>21</v>
      </c>
      <c r="I505" s="15">
        <f t="shared" si="3"/>
        <v>0</v>
      </c>
    </row>
    <row r="506">
      <c r="A506" s="8" t="str">
        <f>IFERROR(__xludf.DUMMYFUNCTION("IF('(INGESTA)Datos_consumo_datadis'!A506&lt;&gt;"""",SPLIT('(INGESTA)Datos_consumo_datadis'!A:A,"",""),"""")"),"ES0031408323131005HX0F")</f>
        <v>ES0031408323131005HX0F</v>
      </c>
      <c r="B506" s="17">
        <f>IFERROR(__xludf.DUMMYFUNCTION("""COMPUTED_VALUE"""),44887.0)</f>
        <v>44887</v>
      </c>
      <c r="C506" s="13">
        <f>IFERROR(__xludf.DUMMYFUNCTION("""COMPUTED_VALUE"""),0.041666666666666664)</f>
        <v>0.04166666667</v>
      </c>
      <c r="D506" s="8">
        <f>IFERROR(__xludf.DUMMYFUNCTION("""COMPUTED_VALUE"""),0.0)</f>
        <v>0</v>
      </c>
      <c r="E506" s="8" t="str">
        <f>IFERROR(__xludf.DUMMYFUNCTION("""COMPUTED_VALUE"""),"Real")</f>
        <v>Real</v>
      </c>
      <c r="G506" s="8">
        <f t="shared" si="1"/>
        <v>11</v>
      </c>
      <c r="H506" s="14">
        <f t="shared" si="2"/>
        <v>22</v>
      </c>
      <c r="I506" s="15">
        <f t="shared" si="3"/>
        <v>1</v>
      </c>
    </row>
    <row r="507">
      <c r="A507" s="8" t="str">
        <f>IFERROR(__xludf.DUMMYFUNCTION("IF('(INGESTA)Datos_consumo_datadis'!A507&lt;&gt;"""",SPLIT('(INGESTA)Datos_consumo_datadis'!A:A,"",""),"""")"),"ES0031408323131005HX0F")</f>
        <v>ES0031408323131005HX0F</v>
      </c>
      <c r="B507" s="17">
        <f>IFERROR(__xludf.DUMMYFUNCTION("""COMPUTED_VALUE"""),44887.0)</f>
        <v>44887</v>
      </c>
      <c r="C507" s="13">
        <f>IFERROR(__xludf.DUMMYFUNCTION("""COMPUTED_VALUE"""),0.08333333333333333)</f>
        <v>0.08333333333</v>
      </c>
      <c r="D507" s="8">
        <f>IFERROR(__xludf.DUMMYFUNCTION("""COMPUTED_VALUE"""),0.0)</f>
        <v>0</v>
      </c>
      <c r="E507" s="8" t="str">
        <f>IFERROR(__xludf.DUMMYFUNCTION("""COMPUTED_VALUE"""),"Real")</f>
        <v>Real</v>
      </c>
      <c r="G507" s="8">
        <f t="shared" si="1"/>
        <v>11</v>
      </c>
      <c r="H507" s="14">
        <f t="shared" si="2"/>
        <v>22</v>
      </c>
      <c r="I507" s="15">
        <f t="shared" si="3"/>
        <v>2</v>
      </c>
    </row>
    <row r="508">
      <c r="A508" s="8" t="str">
        <f>IFERROR(__xludf.DUMMYFUNCTION("IF('(INGESTA)Datos_consumo_datadis'!A508&lt;&gt;"""",SPLIT('(INGESTA)Datos_consumo_datadis'!A:A,"",""),"""")"),"ES0031408323131005HX0F")</f>
        <v>ES0031408323131005HX0F</v>
      </c>
      <c r="B508" s="17">
        <f>IFERROR(__xludf.DUMMYFUNCTION("""COMPUTED_VALUE"""),44887.0)</f>
        <v>44887</v>
      </c>
      <c r="C508" s="13">
        <f>IFERROR(__xludf.DUMMYFUNCTION("""COMPUTED_VALUE"""),0.125)</f>
        <v>0.125</v>
      </c>
      <c r="D508" s="8">
        <f>IFERROR(__xludf.DUMMYFUNCTION("""COMPUTED_VALUE"""),0.0)</f>
        <v>0</v>
      </c>
      <c r="E508" s="8" t="str">
        <f>IFERROR(__xludf.DUMMYFUNCTION("""COMPUTED_VALUE"""),"Real")</f>
        <v>Real</v>
      </c>
      <c r="G508" s="8">
        <f t="shared" si="1"/>
        <v>11</v>
      </c>
      <c r="H508" s="14">
        <f t="shared" si="2"/>
        <v>22</v>
      </c>
      <c r="I508" s="15">
        <f t="shared" si="3"/>
        <v>3</v>
      </c>
    </row>
    <row r="509">
      <c r="A509" s="8" t="str">
        <f>IFERROR(__xludf.DUMMYFUNCTION("IF('(INGESTA)Datos_consumo_datadis'!A509&lt;&gt;"""",SPLIT('(INGESTA)Datos_consumo_datadis'!A:A,"",""),"""")"),"ES0031408323131005HX0F")</f>
        <v>ES0031408323131005HX0F</v>
      </c>
      <c r="B509" s="17">
        <f>IFERROR(__xludf.DUMMYFUNCTION("""COMPUTED_VALUE"""),44887.0)</f>
        <v>44887</v>
      </c>
      <c r="C509" s="13">
        <f>IFERROR(__xludf.DUMMYFUNCTION("""COMPUTED_VALUE"""),0.16666666666666666)</f>
        <v>0.1666666667</v>
      </c>
      <c r="D509" s="8">
        <f>IFERROR(__xludf.DUMMYFUNCTION("""COMPUTED_VALUE"""),0.0)</f>
        <v>0</v>
      </c>
      <c r="E509" s="8" t="str">
        <f>IFERROR(__xludf.DUMMYFUNCTION("""COMPUTED_VALUE"""),"Real")</f>
        <v>Real</v>
      </c>
      <c r="G509" s="8">
        <f t="shared" si="1"/>
        <v>11</v>
      </c>
      <c r="H509" s="14">
        <f t="shared" si="2"/>
        <v>22</v>
      </c>
      <c r="I509" s="15">
        <f t="shared" si="3"/>
        <v>4</v>
      </c>
    </row>
    <row r="510">
      <c r="A510" s="8" t="str">
        <f>IFERROR(__xludf.DUMMYFUNCTION("IF('(INGESTA)Datos_consumo_datadis'!A510&lt;&gt;"""",SPLIT('(INGESTA)Datos_consumo_datadis'!A:A,"",""),"""")"),"ES0031408323131005HX0F")</f>
        <v>ES0031408323131005HX0F</v>
      </c>
      <c r="B510" s="17">
        <f>IFERROR(__xludf.DUMMYFUNCTION("""COMPUTED_VALUE"""),44887.0)</f>
        <v>44887</v>
      </c>
      <c r="C510" s="13">
        <f>IFERROR(__xludf.DUMMYFUNCTION("""COMPUTED_VALUE"""),0.20833333333333334)</f>
        <v>0.2083333333</v>
      </c>
      <c r="D510" s="8">
        <f>IFERROR(__xludf.DUMMYFUNCTION("""COMPUTED_VALUE"""),0.0)</f>
        <v>0</v>
      </c>
      <c r="E510" s="8" t="str">
        <f>IFERROR(__xludf.DUMMYFUNCTION("""COMPUTED_VALUE"""),"Real")</f>
        <v>Real</v>
      </c>
      <c r="G510" s="8">
        <f t="shared" si="1"/>
        <v>11</v>
      </c>
      <c r="H510" s="14">
        <f t="shared" si="2"/>
        <v>22</v>
      </c>
      <c r="I510" s="15">
        <f t="shared" si="3"/>
        <v>5</v>
      </c>
    </row>
    <row r="511">
      <c r="A511" s="8" t="str">
        <f>IFERROR(__xludf.DUMMYFUNCTION("IF('(INGESTA)Datos_consumo_datadis'!A511&lt;&gt;"""",SPLIT('(INGESTA)Datos_consumo_datadis'!A:A,"",""),"""")"),"ES0031408323131005HX0F")</f>
        <v>ES0031408323131005HX0F</v>
      </c>
      <c r="B511" s="17">
        <f>IFERROR(__xludf.DUMMYFUNCTION("""COMPUTED_VALUE"""),44887.0)</f>
        <v>44887</v>
      </c>
      <c r="C511" s="13">
        <f>IFERROR(__xludf.DUMMYFUNCTION("""COMPUTED_VALUE"""),0.25)</f>
        <v>0.25</v>
      </c>
      <c r="D511" s="8">
        <f>IFERROR(__xludf.DUMMYFUNCTION("""COMPUTED_VALUE"""),0.0)</f>
        <v>0</v>
      </c>
      <c r="E511" s="8" t="str">
        <f>IFERROR(__xludf.DUMMYFUNCTION("""COMPUTED_VALUE"""),"Real")</f>
        <v>Real</v>
      </c>
      <c r="G511" s="8">
        <f t="shared" si="1"/>
        <v>11</v>
      </c>
      <c r="H511" s="14">
        <f t="shared" si="2"/>
        <v>22</v>
      </c>
      <c r="I511" s="15">
        <f t="shared" si="3"/>
        <v>6</v>
      </c>
    </row>
    <row r="512">
      <c r="A512" s="8" t="str">
        <f>IFERROR(__xludf.DUMMYFUNCTION("IF('(INGESTA)Datos_consumo_datadis'!A512&lt;&gt;"""",SPLIT('(INGESTA)Datos_consumo_datadis'!A:A,"",""),"""")"),"ES0031408323131005HX0F")</f>
        <v>ES0031408323131005HX0F</v>
      </c>
      <c r="B512" s="17">
        <f>IFERROR(__xludf.DUMMYFUNCTION("""COMPUTED_VALUE"""),44887.0)</f>
        <v>44887</v>
      </c>
      <c r="C512" s="13">
        <f>IFERROR(__xludf.DUMMYFUNCTION("""COMPUTED_VALUE"""),0.2916666666666667)</f>
        <v>0.2916666667</v>
      </c>
      <c r="D512" s="8">
        <f>IFERROR(__xludf.DUMMYFUNCTION("""COMPUTED_VALUE"""),0.0)</f>
        <v>0</v>
      </c>
      <c r="E512" s="8" t="str">
        <f>IFERROR(__xludf.DUMMYFUNCTION("""COMPUTED_VALUE"""),"Real")</f>
        <v>Real</v>
      </c>
      <c r="G512" s="8">
        <f t="shared" si="1"/>
        <v>11</v>
      </c>
      <c r="H512" s="14">
        <f t="shared" si="2"/>
        <v>22</v>
      </c>
      <c r="I512" s="15">
        <f t="shared" si="3"/>
        <v>7</v>
      </c>
    </row>
    <row r="513">
      <c r="A513" s="8" t="str">
        <f>IFERROR(__xludf.DUMMYFUNCTION("IF('(INGESTA)Datos_consumo_datadis'!A513&lt;&gt;"""",SPLIT('(INGESTA)Datos_consumo_datadis'!A:A,"",""),"""")"),"ES0031408323131005HX0F")</f>
        <v>ES0031408323131005HX0F</v>
      </c>
      <c r="B513" s="17">
        <f>IFERROR(__xludf.DUMMYFUNCTION("""COMPUTED_VALUE"""),44887.0)</f>
        <v>44887</v>
      </c>
      <c r="C513" s="13">
        <f>IFERROR(__xludf.DUMMYFUNCTION("""COMPUTED_VALUE"""),0.3333333333333333)</f>
        <v>0.3333333333</v>
      </c>
      <c r="D513" s="8">
        <f>IFERROR(__xludf.DUMMYFUNCTION("""COMPUTED_VALUE"""),0.0)</f>
        <v>0</v>
      </c>
      <c r="E513" s="8" t="str">
        <f>IFERROR(__xludf.DUMMYFUNCTION("""COMPUTED_VALUE"""),"Real")</f>
        <v>Real</v>
      </c>
      <c r="G513" s="8">
        <f t="shared" si="1"/>
        <v>11</v>
      </c>
      <c r="H513" s="14">
        <f t="shared" si="2"/>
        <v>22</v>
      </c>
      <c r="I513" s="15">
        <f t="shared" si="3"/>
        <v>8</v>
      </c>
    </row>
    <row r="514">
      <c r="A514" s="8" t="str">
        <f>IFERROR(__xludf.DUMMYFUNCTION("IF('(INGESTA)Datos_consumo_datadis'!A514&lt;&gt;"""",SPLIT('(INGESTA)Datos_consumo_datadis'!A:A,"",""),"""")"),"ES0031408323131005HX0F")</f>
        <v>ES0031408323131005HX0F</v>
      </c>
      <c r="B514" s="17">
        <f>IFERROR(__xludf.DUMMYFUNCTION("""COMPUTED_VALUE"""),44887.0)</f>
        <v>44887</v>
      </c>
      <c r="C514" s="13">
        <f>IFERROR(__xludf.DUMMYFUNCTION("""COMPUTED_VALUE"""),0.375)</f>
        <v>0.375</v>
      </c>
      <c r="D514" s="8">
        <f>IFERROR(__xludf.DUMMYFUNCTION("""COMPUTED_VALUE"""),0.0)</f>
        <v>0</v>
      </c>
      <c r="E514" s="8" t="str">
        <f>IFERROR(__xludf.DUMMYFUNCTION("""COMPUTED_VALUE"""),"Real")</f>
        <v>Real</v>
      </c>
      <c r="G514" s="8">
        <f t="shared" si="1"/>
        <v>11</v>
      </c>
      <c r="H514" s="14">
        <f t="shared" si="2"/>
        <v>22</v>
      </c>
      <c r="I514" s="15">
        <f t="shared" si="3"/>
        <v>9</v>
      </c>
    </row>
    <row r="515">
      <c r="A515" s="8" t="str">
        <f>IFERROR(__xludf.DUMMYFUNCTION("IF('(INGESTA)Datos_consumo_datadis'!A515&lt;&gt;"""",SPLIT('(INGESTA)Datos_consumo_datadis'!A:A,"",""),"""")"),"ES0031408323131005HX0F")</f>
        <v>ES0031408323131005HX0F</v>
      </c>
      <c r="B515" s="17">
        <f>IFERROR(__xludf.DUMMYFUNCTION("""COMPUTED_VALUE"""),44887.0)</f>
        <v>44887</v>
      </c>
      <c r="C515" s="13">
        <f>IFERROR(__xludf.DUMMYFUNCTION("""COMPUTED_VALUE"""),0.4166666666666667)</f>
        <v>0.4166666667</v>
      </c>
      <c r="D515" s="8">
        <f>IFERROR(__xludf.DUMMYFUNCTION("""COMPUTED_VALUE"""),0.0)</f>
        <v>0</v>
      </c>
      <c r="E515" s="8" t="str">
        <f>IFERROR(__xludf.DUMMYFUNCTION("""COMPUTED_VALUE"""),"Real")</f>
        <v>Real</v>
      </c>
      <c r="G515" s="8">
        <f t="shared" si="1"/>
        <v>11</v>
      </c>
      <c r="H515" s="14">
        <f t="shared" si="2"/>
        <v>22</v>
      </c>
      <c r="I515" s="15">
        <f t="shared" si="3"/>
        <v>10</v>
      </c>
    </row>
    <row r="516">
      <c r="A516" s="8" t="str">
        <f>IFERROR(__xludf.DUMMYFUNCTION("IF('(INGESTA)Datos_consumo_datadis'!A516&lt;&gt;"""",SPLIT('(INGESTA)Datos_consumo_datadis'!A:A,"",""),"""")"),"ES0031408323131005HX0F")</f>
        <v>ES0031408323131005HX0F</v>
      </c>
      <c r="B516" s="17">
        <f>IFERROR(__xludf.DUMMYFUNCTION("""COMPUTED_VALUE"""),44887.0)</f>
        <v>44887</v>
      </c>
      <c r="C516" s="13">
        <f>IFERROR(__xludf.DUMMYFUNCTION("""COMPUTED_VALUE"""),0.4583333333333333)</f>
        <v>0.4583333333</v>
      </c>
      <c r="D516" s="8">
        <f>IFERROR(__xludf.DUMMYFUNCTION("""COMPUTED_VALUE"""),0.0)</f>
        <v>0</v>
      </c>
      <c r="E516" s="8" t="str">
        <f>IFERROR(__xludf.DUMMYFUNCTION("""COMPUTED_VALUE"""),"Real")</f>
        <v>Real</v>
      </c>
      <c r="G516" s="8">
        <f t="shared" si="1"/>
        <v>11</v>
      </c>
      <c r="H516" s="14">
        <f t="shared" si="2"/>
        <v>22</v>
      </c>
      <c r="I516" s="15">
        <f t="shared" si="3"/>
        <v>11</v>
      </c>
    </row>
    <row r="517">
      <c r="A517" s="8" t="str">
        <f>IFERROR(__xludf.DUMMYFUNCTION("IF('(INGESTA)Datos_consumo_datadis'!A517&lt;&gt;"""",SPLIT('(INGESTA)Datos_consumo_datadis'!A:A,"",""),"""")"),"ES0031408323131005HX0F")</f>
        <v>ES0031408323131005HX0F</v>
      </c>
      <c r="B517" s="17">
        <f>IFERROR(__xludf.DUMMYFUNCTION("""COMPUTED_VALUE"""),44887.0)</f>
        <v>44887</v>
      </c>
      <c r="C517" s="13">
        <f>IFERROR(__xludf.DUMMYFUNCTION("""COMPUTED_VALUE"""),0.5)</f>
        <v>0.5</v>
      </c>
      <c r="D517" s="8">
        <f>IFERROR(__xludf.DUMMYFUNCTION("""COMPUTED_VALUE"""),0.0)</f>
        <v>0</v>
      </c>
      <c r="E517" s="8" t="str">
        <f>IFERROR(__xludf.DUMMYFUNCTION("""COMPUTED_VALUE"""),"Real")</f>
        <v>Real</v>
      </c>
      <c r="G517" s="8">
        <f t="shared" si="1"/>
        <v>11</v>
      </c>
      <c r="H517" s="14">
        <f t="shared" si="2"/>
        <v>22</v>
      </c>
      <c r="I517" s="15">
        <f t="shared" si="3"/>
        <v>12</v>
      </c>
    </row>
    <row r="518">
      <c r="A518" s="8" t="str">
        <f>IFERROR(__xludf.DUMMYFUNCTION("IF('(INGESTA)Datos_consumo_datadis'!A518&lt;&gt;"""",SPLIT('(INGESTA)Datos_consumo_datadis'!A:A,"",""),"""")"),"ES0031408323131005HX0F")</f>
        <v>ES0031408323131005HX0F</v>
      </c>
      <c r="B518" s="17">
        <f>IFERROR(__xludf.DUMMYFUNCTION("""COMPUTED_VALUE"""),44887.0)</f>
        <v>44887</v>
      </c>
      <c r="C518" s="13">
        <f>IFERROR(__xludf.DUMMYFUNCTION("""COMPUTED_VALUE"""),0.5416666666666666)</f>
        <v>0.5416666667</v>
      </c>
      <c r="D518" s="8">
        <f>IFERROR(__xludf.DUMMYFUNCTION("""COMPUTED_VALUE"""),0.0)</f>
        <v>0</v>
      </c>
      <c r="E518" s="8" t="str">
        <f>IFERROR(__xludf.DUMMYFUNCTION("""COMPUTED_VALUE"""),"Real")</f>
        <v>Real</v>
      </c>
      <c r="G518" s="8">
        <f t="shared" si="1"/>
        <v>11</v>
      </c>
      <c r="H518" s="14">
        <f t="shared" si="2"/>
        <v>22</v>
      </c>
      <c r="I518" s="15">
        <f t="shared" si="3"/>
        <v>13</v>
      </c>
    </row>
    <row r="519">
      <c r="A519" s="8" t="str">
        <f>IFERROR(__xludf.DUMMYFUNCTION("IF('(INGESTA)Datos_consumo_datadis'!A519&lt;&gt;"""",SPLIT('(INGESTA)Datos_consumo_datadis'!A:A,"",""),"""")"),"ES0031408323131005HX0F")</f>
        <v>ES0031408323131005HX0F</v>
      </c>
      <c r="B519" s="17">
        <f>IFERROR(__xludf.DUMMYFUNCTION("""COMPUTED_VALUE"""),44887.0)</f>
        <v>44887</v>
      </c>
      <c r="C519" s="13">
        <f>IFERROR(__xludf.DUMMYFUNCTION("""COMPUTED_VALUE"""),0.5833333333333334)</f>
        <v>0.5833333333</v>
      </c>
      <c r="D519" s="8">
        <f>IFERROR(__xludf.DUMMYFUNCTION("""COMPUTED_VALUE"""),0.0)</f>
        <v>0</v>
      </c>
      <c r="E519" s="8" t="str">
        <f>IFERROR(__xludf.DUMMYFUNCTION("""COMPUTED_VALUE"""),"Real")</f>
        <v>Real</v>
      </c>
      <c r="G519" s="8">
        <f t="shared" si="1"/>
        <v>11</v>
      </c>
      <c r="H519" s="14">
        <f t="shared" si="2"/>
        <v>22</v>
      </c>
      <c r="I519" s="15">
        <f t="shared" si="3"/>
        <v>14</v>
      </c>
    </row>
    <row r="520">
      <c r="A520" s="8" t="str">
        <f>IFERROR(__xludf.DUMMYFUNCTION("IF('(INGESTA)Datos_consumo_datadis'!A520&lt;&gt;"""",SPLIT('(INGESTA)Datos_consumo_datadis'!A:A,"",""),"""")"),"ES0031408323131005HX0F")</f>
        <v>ES0031408323131005HX0F</v>
      </c>
      <c r="B520" s="17">
        <f>IFERROR(__xludf.DUMMYFUNCTION("""COMPUTED_VALUE"""),44887.0)</f>
        <v>44887</v>
      </c>
      <c r="C520" s="13">
        <f>IFERROR(__xludf.DUMMYFUNCTION("""COMPUTED_VALUE"""),0.625)</f>
        <v>0.625</v>
      </c>
      <c r="D520" s="8">
        <f>IFERROR(__xludf.DUMMYFUNCTION("""COMPUTED_VALUE"""),0.0)</f>
        <v>0</v>
      </c>
      <c r="E520" s="8" t="str">
        <f>IFERROR(__xludf.DUMMYFUNCTION("""COMPUTED_VALUE"""),"Real")</f>
        <v>Real</v>
      </c>
      <c r="G520" s="8">
        <f t="shared" si="1"/>
        <v>11</v>
      </c>
      <c r="H520" s="14">
        <f t="shared" si="2"/>
        <v>22</v>
      </c>
      <c r="I520" s="15">
        <f t="shared" si="3"/>
        <v>15</v>
      </c>
    </row>
    <row r="521">
      <c r="A521" s="8" t="str">
        <f>IFERROR(__xludf.DUMMYFUNCTION("IF('(INGESTA)Datos_consumo_datadis'!A521&lt;&gt;"""",SPLIT('(INGESTA)Datos_consumo_datadis'!A:A,"",""),"""")"),"ES0031408323131005HX0F")</f>
        <v>ES0031408323131005HX0F</v>
      </c>
      <c r="B521" s="17">
        <f>IFERROR(__xludf.DUMMYFUNCTION("""COMPUTED_VALUE"""),44887.0)</f>
        <v>44887</v>
      </c>
      <c r="C521" s="13">
        <f>IFERROR(__xludf.DUMMYFUNCTION("""COMPUTED_VALUE"""),0.6666666666666666)</f>
        <v>0.6666666667</v>
      </c>
      <c r="D521" s="8">
        <f>IFERROR(__xludf.DUMMYFUNCTION("""COMPUTED_VALUE"""),0.0)</f>
        <v>0</v>
      </c>
      <c r="E521" s="8" t="str">
        <f>IFERROR(__xludf.DUMMYFUNCTION("""COMPUTED_VALUE"""),"Real")</f>
        <v>Real</v>
      </c>
      <c r="G521" s="8">
        <f t="shared" si="1"/>
        <v>11</v>
      </c>
      <c r="H521" s="14">
        <f t="shared" si="2"/>
        <v>22</v>
      </c>
      <c r="I521" s="15">
        <f t="shared" si="3"/>
        <v>16</v>
      </c>
    </row>
    <row r="522">
      <c r="A522" s="8" t="str">
        <f>IFERROR(__xludf.DUMMYFUNCTION("IF('(INGESTA)Datos_consumo_datadis'!A522&lt;&gt;"""",SPLIT('(INGESTA)Datos_consumo_datadis'!A:A,"",""),"""")"),"ES0031408323131005HX0F")</f>
        <v>ES0031408323131005HX0F</v>
      </c>
      <c r="B522" s="17">
        <f>IFERROR(__xludf.DUMMYFUNCTION("""COMPUTED_VALUE"""),44887.0)</f>
        <v>44887</v>
      </c>
      <c r="C522" s="13">
        <f>IFERROR(__xludf.DUMMYFUNCTION("""COMPUTED_VALUE"""),0.7083333333333334)</f>
        <v>0.7083333333</v>
      </c>
      <c r="D522" s="8">
        <f>IFERROR(__xludf.DUMMYFUNCTION("""COMPUTED_VALUE"""),0.0)</f>
        <v>0</v>
      </c>
      <c r="E522" s="8" t="str">
        <f>IFERROR(__xludf.DUMMYFUNCTION("""COMPUTED_VALUE"""),"Real")</f>
        <v>Real</v>
      </c>
      <c r="G522" s="8">
        <f t="shared" si="1"/>
        <v>11</v>
      </c>
      <c r="H522" s="14">
        <f t="shared" si="2"/>
        <v>22</v>
      </c>
      <c r="I522" s="15">
        <f t="shared" si="3"/>
        <v>17</v>
      </c>
    </row>
    <row r="523">
      <c r="A523" s="8" t="str">
        <f>IFERROR(__xludf.DUMMYFUNCTION("IF('(INGESTA)Datos_consumo_datadis'!A523&lt;&gt;"""",SPLIT('(INGESTA)Datos_consumo_datadis'!A:A,"",""),"""")"),"ES0031408323131005HX0F")</f>
        <v>ES0031408323131005HX0F</v>
      </c>
      <c r="B523" s="17">
        <f>IFERROR(__xludf.DUMMYFUNCTION("""COMPUTED_VALUE"""),44887.0)</f>
        <v>44887</v>
      </c>
      <c r="C523" s="13">
        <f>IFERROR(__xludf.DUMMYFUNCTION("""COMPUTED_VALUE"""),0.75)</f>
        <v>0.75</v>
      </c>
      <c r="D523" s="8">
        <f>IFERROR(__xludf.DUMMYFUNCTION("""COMPUTED_VALUE"""),0.0)</f>
        <v>0</v>
      </c>
      <c r="E523" s="8" t="str">
        <f>IFERROR(__xludf.DUMMYFUNCTION("""COMPUTED_VALUE"""),"Real")</f>
        <v>Real</v>
      </c>
      <c r="G523" s="8">
        <f t="shared" si="1"/>
        <v>11</v>
      </c>
      <c r="H523" s="14">
        <f t="shared" si="2"/>
        <v>22</v>
      </c>
      <c r="I523" s="15">
        <f t="shared" si="3"/>
        <v>18</v>
      </c>
    </row>
    <row r="524">
      <c r="A524" s="8" t="str">
        <f>IFERROR(__xludf.DUMMYFUNCTION("IF('(INGESTA)Datos_consumo_datadis'!A524&lt;&gt;"""",SPLIT('(INGESTA)Datos_consumo_datadis'!A:A,"",""),"""")"),"ES0031408323131005HX0F")</f>
        <v>ES0031408323131005HX0F</v>
      </c>
      <c r="B524" s="17">
        <f>IFERROR(__xludf.DUMMYFUNCTION("""COMPUTED_VALUE"""),44887.0)</f>
        <v>44887</v>
      </c>
      <c r="C524" s="13">
        <f>IFERROR(__xludf.DUMMYFUNCTION("""COMPUTED_VALUE"""),0.7916666666666666)</f>
        <v>0.7916666667</v>
      </c>
      <c r="D524" s="8">
        <f>IFERROR(__xludf.DUMMYFUNCTION("""COMPUTED_VALUE"""),0.0)</f>
        <v>0</v>
      </c>
      <c r="E524" s="8" t="str">
        <f>IFERROR(__xludf.DUMMYFUNCTION("""COMPUTED_VALUE"""),"Real")</f>
        <v>Real</v>
      </c>
      <c r="G524" s="8">
        <f t="shared" si="1"/>
        <v>11</v>
      </c>
      <c r="H524" s="14">
        <f t="shared" si="2"/>
        <v>22</v>
      </c>
      <c r="I524" s="15">
        <f t="shared" si="3"/>
        <v>19</v>
      </c>
    </row>
    <row r="525">
      <c r="A525" s="8" t="str">
        <f>IFERROR(__xludf.DUMMYFUNCTION("IF('(INGESTA)Datos_consumo_datadis'!A525&lt;&gt;"""",SPLIT('(INGESTA)Datos_consumo_datadis'!A:A,"",""),"""")"),"ES0031408323131005HX0F")</f>
        <v>ES0031408323131005HX0F</v>
      </c>
      <c r="B525" s="17">
        <f>IFERROR(__xludf.DUMMYFUNCTION("""COMPUTED_VALUE"""),44887.0)</f>
        <v>44887</v>
      </c>
      <c r="C525" s="13">
        <f>IFERROR(__xludf.DUMMYFUNCTION("""COMPUTED_VALUE"""),0.8333333333333334)</f>
        <v>0.8333333333</v>
      </c>
      <c r="D525" s="8">
        <f>IFERROR(__xludf.DUMMYFUNCTION("""COMPUTED_VALUE"""),0.0)</f>
        <v>0</v>
      </c>
      <c r="E525" s="8" t="str">
        <f>IFERROR(__xludf.DUMMYFUNCTION("""COMPUTED_VALUE"""),"Real")</f>
        <v>Real</v>
      </c>
      <c r="G525" s="8">
        <f t="shared" si="1"/>
        <v>11</v>
      </c>
      <c r="H525" s="14">
        <f t="shared" si="2"/>
        <v>22</v>
      </c>
      <c r="I525" s="15">
        <f t="shared" si="3"/>
        <v>20</v>
      </c>
    </row>
    <row r="526">
      <c r="A526" s="8" t="str">
        <f>IFERROR(__xludf.DUMMYFUNCTION("IF('(INGESTA)Datos_consumo_datadis'!A526&lt;&gt;"""",SPLIT('(INGESTA)Datos_consumo_datadis'!A:A,"",""),"""")"),"ES0031408323131005HX0F")</f>
        <v>ES0031408323131005HX0F</v>
      </c>
      <c r="B526" s="17">
        <f>IFERROR(__xludf.DUMMYFUNCTION("""COMPUTED_VALUE"""),44887.0)</f>
        <v>44887</v>
      </c>
      <c r="C526" s="13">
        <f>IFERROR(__xludf.DUMMYFUNCTION("""COMPUTED_VALUE"""),0.875)</f>
        <v>0.875</v>
      </c>
      <c r="D526" s="8">
        <f>IFERROR(__xludf.DUMMYFUNCTION("""COMPUTED_VALUE"""),0.0)</f>
        <v>0</v>
      </c>
      <c r="E526" s="8" t="str">
        <f>IFERROR(__xludf.DUMMYFUNCTION("""COMPUTED_VALUE"""),"Real")</f>
        <v>Real</v>
      </c>
      <c r="G526" s="8">
        <f t="shared" si="1"/>
        <v>11</v>
      </c>
      <c r="H526" s="14">
        <f t="shared" si="2"/>
        <v>22</v>
      </c>
      <c r="I526" s="15">
        <f t="shared" si="3"/>
        <v>21</v>
      </c>
    </row>
    <row r="527">
      <c r="A527" s="8" t="str">
        <f>IFERROR(__xludf.DUMMYFUNCTION("IF('(INGESTA)Datos_consumo_datadis'!A527&lt;&gt;"""",SPLIT('(INGESTA)Datos_consumo_datadis'!A:A,"",""),"""")"),"ES0031408323131005HX0F")</f>
        <v>ES0031408323131005HX0F</v>
      </c>
      <c r="B527" s="17">
        <f>IFERROR(__xludf.DUMMYFUNCTION("""COMPUTED_VALUE"""),44887.0)</f>
        <v>44887</v>
      </c>
      <c r="C527" s="13">
        <f>IFERROR(__xludf.DUMMYFUNCTION("""COMPUTED_VALUE"""),0.9166666666666666)</f>
        <v>0.9166666667</v>
      </c>
      <c r="D527" s="8">
        <f>IFERROR(__xludf.DUMMYFUNCTION("""COMPUTED_VALUE"""),0.0)</f>
        <v>0</v>
      </c>
      <c r="E527" s="8" t="str">
        <f>IFERROR(__xludf.DUMMYFUNCTION("""COMPUTED_VALUE"""),"Real")</f>
        <v>Real</v>
      </c>
      <c r="G527" s="8">
        <f t="shared" si="1"/>
        <v>11</v>
      </c>
      <c r="H527" s="14">
        <f t="shared" si="2"/>
        <v>22</v>
      </c>
      <c r="I527" s="15">
        <f t="shared" si="3"/>
        <v>22</v>
      </c>
    </row>
    <row r="528">
      <c r="A528" s="8" t="str">
        <f>IFERROR(__xludf.DUMMYFUNCTION("IF('(INGESTA)Datos_consumo_datadis'!A528&lt;&gt;"""",SPLIT('(INGESTA)Datos_consumo_datadis'!A:A,"",""),"""")"),"ES0031408323131005HX0F")</f>
        <v>ES0031408323131005HX0F</v>
      </c>
      <c r="B528" s="17">
        <f>IFERROR(__xludf.DUMMYFUNCTION("""COMPUTED_VALUE"""),44887.0)</f>
        <v>44887</v>
      </c>
      <c r="C528" s="13">
        <f>IFERROR(__xludf.DUMMYFUNCTION("""COMPUTED_VALUE"""),0.9583333333333334)</f>
        <v>0.9583333333</v>
      </c>
      <c r="D528" s="8">
        <f>IFERROR(__xludf.DUMMYFUNCTION("""COMPUTED_VALUE"""),0.0)</f>
        <v>0</v>
      </c>
      <c r="E528" s="8" t="str">
        <f>IFERROR(__xludf.DUMMYFUNCTION("""COMPUTED_VALUE"""),"Real")</f>
        <v>Real</v>
      </c>
      <c r="G528" s="8">
        <f t="shared" si="1"/>
        <v>11</v>
      </c>
      <c r="H528" s="14">
        <f t="shared" si="2"/>
        <v>22</v>
      </c>
      <c r="I528" s="15">
        <f t="shared" si="3"/>
        <v>23</v>
      </c>
    </row>
    <row r="529">
      <c r="A529" s="8" t="str">
        <f>IFERROR(__xludf.DUMMYFUNCTION("IF('(INGESTA)Datos_consumo_datadis'!A529&lt;&gt;"""",SPLIT('(INGESTA)Datos_consumo_datadis'!A:A,"",""),"""")"),"ES0031408323131005HX0F")</f>
        <v>ES0031408323131005HX0F</v>
      </c>
      <c r="B529" s="17">
        <f>IFERROR(__xludf.DUMMYFUNCTION("""COMPUTED_VALUE"""),44887.0)</f>
        <v>44887</v>
      </c>
      <c r="C529" s="16">
        <f>IFERROR(__xludf.DUMMYFUNCTION("""COMPUTED_VALUE"""),1.0)</f>
        <v>1</v>
      </c>
      <c r="D529" s="8">
        <f>IFERROR(__xludf.DUMMYFUNCTION("""COMPUTED_VALUE"""),0.0)</f>
        <v>0</v>
      </c>
      <c r="E529" s="8" t="str">
        <f>IFERROR(__xludf.DUMMYFUNCTION("""COMPUTED_VALUE"""),"Real")</f>
        <v>Real</v>
      </c>
      <c r="G529" s="8">
        <f t="shared" si="1"/>
        <v>11</v>
      </c>
      <c r="H529" s="14">
        <f t="shared" si="2"/>
        <v>22</v>
      </c>
      <c r="I529" s="15">
        <f t="shared" si="3"/>
        <v>0</v>
      </c>
    </row>
    <row r="530">
      <c r="A530" s="8" t="str">
        <f>IFERROR(__xludf.DUMMYFUNCTION("IF('(INGESTA)Datos_consumo_datadis'!A530&lt;&gt;"""",SPLIT('(INGESTA)Datos_consumo_datadis'!A:A,"",""),"""")"),"ES0031408323131005HX0F")</f>
        <v>ES0031408323131005HX0F</v>
      </c>
      <c r="B530" s="17">
        <f>IFERROR(__xludf.DUMMYFUNCTION("""COMPUTED_VALUE"""),44888.0)</f>
        <v>44888</v>
      </c>
      <c r="C530" s="13">
        <f>IFERROR(__xludf.DUMMYFUNCTION("""COMPUTED_VALUE"""),0.041666666666666664)</f>
        <v>0.04166666667</v>
      </c>
      <c r="D530" s="8">
        <f>IFERROR(__xludf.DUMMYFUNCTION("""COMPUTED_VALUE"""),0.0)</f>
        <v>0</v>
      </c>
      <c r="E530" s="8" t="str">
        <f>IFERROR(__xludf.DUMMYFUNCTION("""COMPUTED_VALUE"""),"Real")</f>
        <v>Real</v>
      </c>
      <c r="G530" s="8">
        <f t="shared" si="1"/>
        <v>11</v>
      </c>
      <c r="H530" s="14">
        <f t="shared" si="2"/>
        <v>23</v>
      </c>
      <c r="I530" s="15">
        <f t="shared" si="3"/>
        <v>1</v>
      </c>
    </row>
    <row r="531">
      <c r="A531" s="8" t="str">
        <f>IFERROR(__xludf.DUMMYFUNCTION("IF('(INGESTA)Datos_consumo_datadis'!A531&lt;&gt;"""",SPLIT('(INGESTA)Datos_consumo_datadis'!A:A,"",""),"""")"),"ES0031408323131005HX0F")</f>
        <v>ES0031408323131005HX0F</v>
      </c>
      <c r="B531" s="17">
        <f>IFERROR(__xludf.DUMMYFUNCTION("""COMPUTED_VALUE"""),44888.0)</f>
        <v>44888</v>
      </c>
      <c r="C531" s="13">
        <f>IFERROR(__xludf.DUMMYFUNCTION("""COMPUTED_VALUE"""),0.08333333333333333)</f>
        <v>0.08333333333</v>
      </c>
      <c r="D531" s="8">
        <f>IFERROR(__xludf.DUMMYFUNCTION("""COMPUTED_VALUE"""),0.0)</f>
        <v>0</v>
      </c>
      <c r="E531" s="8" t="str">
        <f>IFERROR(__xludf.DUMMYFUNCTION("""COMPUTED_VALUE"""),"Real")</f>
        <v>Real</v>
      </c>
      <c r="G531" s="8">
        <f t="shared" si="1"/>
        <v>11</v>
      </c>
      <c r="H531" s="14">
        <f t="shared" si="2"/>
        <v>23</v>
      </c>
      <c r="I531" s="15">
        <f t="shared" si="3"/>
        <v>2</v>
      </c>
    </row>
    <row r="532">
      <c r="A532" s="8" t="str">
        <f>IFERROR(__xludf.DUMMYFUNCTION("IF('(INGESTA)Datos_consumo_datadis'!A532&lt;&gt;"""",SPLIT('(INGESTA)Datos_consumo_datadis'!A:A,"",""),"""")"),"ES0031408323131005HX0F")</f>
        <v>ES0031408323131005HX0F</v>
      </c>
      <c r="B532" s="17">
        <f>IFERROR(__xludf.DUMMYFUNCTION("""COMPUTED_VALUE"""),44888.0)</f>
        <v>44888</v>
      </c>
      <c r="C532" s="13">
        <f>IFERROR(__xludf.DUMMYFUNCTION("""COMPUTED_VALUE"""),0.125)</f>
        <v>0.125</v>
      </c>
      <c r="D532" s="8">
        <f>IFERROR(__xludf.DUMMYFUNCTION("""COMPUTED_VALUE"""),0.0)</f>
        <v>0</v>
      </c>
      <c r="E532" s="8" t="str">
        <f>IFERROR(__xludf.DUMMYFUNCTION("""COMPUTED_VALUE"""),"Real")</f>
        <v>Real</v>
      </c>
      <c r="G532" s="8">
        <f t="shared" si="1"/>
        <v>11</v>
      </c>
      <c r="H532" s="14">
        <f t="shared" si="2"/>
        <v>23</v>
      </c>
      <c r="I532" s="15">
        <f t="shared" si="3"/>
        <v>3</v>
      </c>
    </row>
    <row r="533">
      <c r="A533" s="8" t="str">
        <f>IFERROR(__xludf.DUMMYFUNCTION("IF('(INGESTA)Datos_consumo_datadis'!A533&lt;&gt;"""",SPLIT('(INGESTA)Datos_consumo_datadis'!A:A,"",""),"""")"),"ES0031408323131005HX0F")</f>
        <v>ES0031408323131005HX0F</v>
      </c>
      <c r="B533" s="17">
        <f>IFERROR(__xludf.DUMMYFUNCTION("""COMPUTED_VALUE"""),44888.0)</f>
        <v>44888</v>
      </c>
      <c r="C533" s="13">
        <f>IFERROR(__xludf.DUMMYFUNCTION("""COMPUTED_VALUE"""),0.16666666666666666)</f>
        <v>0.1666666667</v>
      </c>
      <c r="D533" s="8">
        <f>IFERROR(__xludf.DUMMYFUNCTION("""COMPUTED_VALUE"""),0.0)</f>
        <v>0</v>
      </c>
      <c r="E533" s="8" t="str">
        <f>IFERROR(__xludf.DUMMYFUNCTION("""COMPUTED_VALUE"""),"Real")</f>
        <v>Real</v>
      </c>
      <c r="G533" s="8">
        <f t="shared" si="1"/>
        <v>11</v>
      </c>
      <c r="H533" s="14">
        <f t="shared" si="2"/>
        <v>23</v>
      </c>
      <c r="I533" s="15">
        <f t="shared" si="3"/>
        <v>4</v>
      </c>
    </row>
    <row r="534">
      <c r="A534" s="8" t="str">
        <f>IFERROR(__xludf.DUMMYFUNCTION("IF('(INGESTA)Datos_consumo_datadis'!A534&lt;&gt;"""",SPLIT('(INGESTA)Datos_consumo_datadis'!A:A,"",""),"""")"),"ES0031408323131005HX0F")</f>
        <v>ES0031408323131005HX0F</v>
      </c>
      <c r="B534" s="17">
        <f>IFERROR(__xludf.DUMMYFUNCTION("""COMPUTED_VALUE"""),44888.0)</f>
        <v>44888</v>
      </c>
      <c r="C534" s="13">
        <f>IFERROR(__xludf.DUMMYFUNCTION("""COMPUTED_VALUE"""),0.20833333333333334)</f>
        <v>0.2083333333</v>
      </c>
      <c r="D534" s="8">
        <f>IFERROR(__xludf.DUMMYFUNCTION("""COMPUTED_VALUE"""),0.0)</f>
        <v>0</v>
      </c>
      <c r="E534" s="8" t="str">
        <f>IFERROR(__xludf.DUMMYFUNCTION("""COMPUTED_VALUE"""),"Real")</f>
        <v>Real</v>
      </c>
      <c r="G534" s="8">
        <f t="shared" si="1"/>
        <v>11</v>
      </c>
      <c r="H534" s="14">
        <f t="shared" si="2"/>
        <v>23</v>
      </c>
      <c r="I534" s="15">
        <f t="shared" si="3"/>
        <v>5</v>
      </c>
    </row>
    <row r="535">
      <c r="A535" s="8" t="str">
        <f>IFERROR(__xludf.DUMMYFUNCTION("IF('(INGESTA)Datos_consumo_datadis'!A535&lt;&gt;"""",SPLIT('(INGESTA)Datos_consumo_datadis'!A:A,"",""),"""")"),"ES0031408323131005HX0F")</f>
        <v>ES0031408323131005HX0F</v>
      </c>
      <c r="B535" s="17">
        <f>IFERROR(__xludf.DUMMYFUNCTION("""COMPUTED_VALUE"""),44888.0)</f>
        <v>44888</v>
      </c>
      <c r="C535" s="13">
        <f>IFERROR(__xludf.DUMMYFUNCTION("""COMPUTED_VALUE"""),0.25)</f>
        <v>0.25</v>
      </c>
      <c r="D535" s="8">
        <f>IFERROR(__xludf.DUMMYFUNCTION("""COMPUTED_VALUE"""),0.0)</f>
        <v>0</v>
      </c>
      <c r="E535" s="8" t="str">
        <f>IFERROR(__xludf.DUMMYFUNCTION("""COMPUTED_VALUE"""),"Real")</f>
        <v>Real</v>
      </c>
      <c r="G535" s="8">
        <f t="shared" si="1"/>
        <v>11</v>
      </c>
      <c r="H535" s="14">
        <f t="shared" si="2"/>
        <v>23</v>
      </c>
      <c r="I535" s="15">
        <f t="shared" si="3"/>
        <v>6</v>
      </c>
    </row>
    <row r="536">
      <c r="A536" s="8" t="str">
        <f>IFERROR(__xludf.DUMMYFUNCTION("IF('(INGESTA)Datos_consumo_datadis'!A536&lt;&gt;"""",SPLIT('(INGESTA)Datos_consumo_datadis'!A:A,"",""),"""")"),"ES0031408323131005HX0F")</f>
        <v>ES0031408323131005HX0F</v>
      </c>
      <c r="B536" s="17">
        <f>IFERROR(__xludf.DUMMYFUNCTION("""COMPUTED_VALUE"""),44888.0)</f>
        <v>44888</v>
      </c>
      <c r="C536" s="13">
        <f>IFERROR(__xludf.DUMMYFUNCTION("""COMPUTED_VALUE"""),0.2916666666666667)</f>
        <v>0.2916666667</v>
      </c>
      <c r="D536" s="8">
        <f>IFERROR(__xludf.DUMMYFUNCTION("""COMPUTED_VALUE"""),0.0)</f>
        <v>0</v>
      </c>
      <c r="E536" s="8" t="str">
        <f>IFERROR(__xludf.DUMMYFUNCTION("""COMPUTED_VALUE"""),"Real")</f>
        <v>Real</v>
      </c>
      <c r="G536" s="8">
        <f t="shared" si="1"/>
        <v>11</v>
      </c>
      <c r="H536" s="14">
        <f t="shared" si="2"/>
        <v>23</v>
      </c>
      <c r="I536" s="15">
        <f t="shared" si="3"/>
        <v>7</v>
      </c>
    </row>
    <row r="537">
      <c r="A537" s="8" t="str">
        <f>IFERROR(__xludf.DUMMYFUNCTION("IF('(INGESTA)Datos_consumo_datadis'!A537&lt;&gt;"""",SPLIT('(INGESTA)Datos_consumo_datadis'!A:A,"",""),"""")"),"ES0031408323131005HX0F")</f>
        <v>ES0031408323131005HX0F</v>
      </c>
      <c r="B537" s="17">
        <f>IFERROR(__xludf.DUMMYFUNCTION("""COMPUTED_VALUE"""),44888.0)</f>
        <v>44888</v>
      </c>
      <c r="C537" s="13">
        <f>IFERROR(__xludf.DUMMYFUNCTION("""COMPUTED_VALUE"""),0.3333333333333333)</f>
        <v>0.3333333333</v>
      </c>
      <c r="D537" s="8">
        <f>IFERROR(__xludf.DUMMYFUNCTION("""COMPUTED_VALUE"""),0.0)</f>
        <v>0</v>
      </c>
      <c r="E537" s="8" t="str">
        <f>IFERROR(__xludf.DUMMYFUNCTION("""COMPUTED_VALUE"""),"Real")</f>
        <v>Real</v>
      </c>
      <c r="G537" s="8">
        <f t="shared" si="1"/>
        <v>11</v>
      </c>
      <c r="H537" s="14">
        <f t="shared" si="2"/>
        <v>23</v>
      </c>
      <c r="I537" s="15">
        <f t="shared" si="3"/>
        <v>8</v>
      </c>
    </row>
    <row r="538">
      <c r="A538" s="8" t="str">
        <f>IFERROR(__xludf.DUMMYFUNCTION("IF('(INGESTA)Datos_consumo_datadis'!A538&lt;&gt;"""",SPLIT('(INGESTA)Datos_consumo_datadis'!A:A,"",""),"""")"),"ES0031408323131005HX0F")</f>
        <v>ES0031408323131005HX0F</v>
      </c>
      <c r="B538" s="17">
        <f>IFERROR(__xludf.DUMMYFUNCTION("""COMPUTED_VALUE"""),44888.0)</f>
        <v>44888</v>
      </c>
      <c r="C538" s="13">
        <f>IFERROR(__xludf.DUMMYFUNCTION("""COMPUTED_VALUE"""),0.375)</f>
        <v>0.375</v>
      </c>
      <c r="D538" s="8">
        <f>IFERROR(__xludf.DUMMYFUNCTION("""COMPUTED_VALUE"""),0.0)</f>
        <v>0</v>
      </c>
      <c r="E538" s="8" t="str">
        <f>IFERROR(__xludf.DUMMYFUNCTION("""COMPUTED_VALUE"""),"Real")</f>
        <v>Real</v>
      </c>
      <c r="G538" s="8">
        <f t="shared" si="1"/>
        <v>11</v>
      </c>
      <c r="H538" s="14">
        <f t="shared" si="2"/>
        <v>23</v>
      </c>
      <c r="I538" s="15">
        <f t="shared" si="3"/>
        <v>9</v>
      </c>
    </row>
    <row r="539">
      <c r="A539" s="8" t="str">
        <f>IFERROR(__xludf.DUMMYFUNCTION("IF('(INGESTA)Datos_consumo_datadis'!A539&lt;&gt;"""",SPLIT('(INGESTA)Datos_consumo_datadis'!A:A,"",""),"""")"),"ES0031408323131005HX0F")</f>
        <v>ES0031408323131005HX0F</v>
      </c>
      <c r="B539" s="17">
        <f>IFERROR(__xludf.DUMMYFUNCTION("""COMPUTED_VALUE"""),44888.0)</f>
        <v>44888</v>
      </c>
      <c r="C539" s="13">
        <f>IFERROR(__xludf.DUMMYFUNCTION("""COMPUTED_VALUE"""),0.4166666666666667)</f>
        <v>0.4166666667</v>
      </c>
      <c r="D539" s="8">
        <f>IFERROR(__xludf.DUMMYFUNCTION("""COMPUTED_VALUE"""),0.0)</f>
        <v>0</v>
      </c>
      <c r="E539" s="8" t="str">
        <f>IFERROR(__xludf.DUMMYFUNCTION("""COMPUTED_VALUE"""),"Real")</f>
        <v>Real</v>
      </c>
      <c r="G539" s="8">
        <f t="shared" si="1"/>
        <v>11</v>
      </c>
      <c r="H539" s="14">
        <f t="shared" si="2"/>
        <v>23</v>
      </c>
      <c r="I539" s="15">
        <f t="shared" si="3"/>
        <v>10</v>
      </c>
    </row>
    <row r="540">
      <c r="A540" s="8" t="str">
        <f>IFERROR(__xludf.DUMMYFUNCTION("IF('(INGESTA)Datos_consumo_datadis'!A540&lt;&gt;"""",SPLIT('(INGESTA)Datos_consumo_datadis'!A:A,"",""),"""")"),"ES0031408323131005HX0F")</f>
        <v>ES0031408323131005HX0F</v>
      </c>
      <c r="B540" s="17">
        <f>IFERROR(__xludf.DUMMYFUNCTION("""COMPUTED_VALUE"""),44888.0)</f>
        <v>44888</v>
      </c>
      <c r="C540" s="13">
        <f>IFERROR(__xludf.DUMMYFUNCTION("""COMPUTED_VALUE"""),0.4583333333333333)</f>
        <v>0.4583333333</v>
      </c>
      <c r="D540" s="8">
        <f>IFERROR(__xludf.DUMMYFUNCTION("""COMPUTED_VALUE"""),0.0)</f>
        <v>0</v>
      </c>
      <c r="E540" s="8" t="str">
        <f>IFERROR(__xludf.DUMMYFUNCTION("""COMPUTED_VALUE"""),"Real")</f>
        <v>Real</v>
      </c>
      <c r="G540" s="8">
        <f t="shared" si="1"/>
        <v>11</v>
      </c>
      <c r="H540" s="14">
        <f t="shared" si="2"/>
        <v>23</v>
      </c>
      <c r="I540" s="15">
        <f t="shared" si="3"/>
        <v>11</v>
      </c>
    </row>
    <row r="541">
      <c r="A541" s="8" t="str">
        <f>IFERROR(__xludf.DUMMYFUNCTION("IF('(INGESTA)Datos_consumo_datadis'!A541&lt;&gt;"""",SPLIT('(INGESTA)Datos_consumo_datadis'!A:A,"",""),"""")"),"ES0031408323131005HX0F")</f>
        <v>ES0031408323131005HX0F</v>
      </c>
      <c r="B541" s="17">
        <f>IFERROR(__xludf.DUMMYFUNCTION("""COMPUTED_VALUE"""),44888.0)</f>
        <v>44888</v>
      </c>
      <c r="C541" s="13">
        <f>IFERROR(__xludf.DUMMYFUNCTION("""COMPUTED_VALUE"""),0.5)</f>
        <v>0.5</v>
      </c>
      <c r="D541" s="8">
        <f>IFERROR(__xludf.DUMMYFUNCTION("""COMPUTED_VALUE"""),2.102)</f>
        <v>2.102</v>
      </c>
      <c r="E541" s="8" t="str">
        <f>IFERROR(__xludf.DUMMYFUNCTION("""COMPUTED_VALUE"""),"Real")</f>
        <v>Real</v>
      </c>
      <c r="G541" s="8">
        <f t="shared" si="1"/>
        <v>11</v>
      </c>
      <c r="H541" s="14">
        <f t="shared" si="2"/>
        <v>23</v>
      </c>
      <c r="I541" s="15">
        <f t="shared" si="3"/>
        <v>12</v>
      </c>
    </row>
    <row r="542">
      <c r="A542" s="8" t="str">
        <f>IFERROR(__xludf.DUMMYFUNCTION("IF('(INGESTA)Datos_consumo_datadis'!A542&lt;&gt;"""",SPLIT('(INGESTA)Datos_consumo_datadis'!A:A,"",""),"""")"),"ES0031408323131005HX0F")</f>
        <v>ES0031408323131005HX0F</v>
      </c>
      <c r="B542" s="17">
        <f>IFERROR(__xludf.DUMMYFUNCTION("""COMPUTED_VALUE"""),44888.0)</f>
        <v>44888</v>
      </c>
      <c r="C542" s="13">
        <f>IFERROR(__xludf.DUMMYFUNCTION("""COMPUTED_VALUE"""),0.5416666666666666)</f>
        <v>0.5416666667</v>
      </c>
      <c r="D542" s="8">
        <f>IFERROR(__xludf.DUMMYFUNCTION("""COMPUTED_VALUE"""),2.581)</f>
        <v>2.581</v>
      </c>
      <c r="E542" s="8" t="str">
        <f>IFERROR(__xludf.DUMMYFUNCTION("""COMPUTED_VALUE"""),"Real")</f>
        <v>Real</v>
      </c>
      <c r="G542" s="8">
        <f t="shared" si="1"/>
        <v>11</v>
      </c>
      <c r="H542" s="14">
        <f t="shared" si="2"/>
        <v>23</v>
      </c>
      <c r="I542" s="15">
        <f t="shared" si="3"/>
        <v>13</v>
      </c>
    </row>
    <row r="543">
      <c r="A543" s="8" t="str">
        <f>IFERROR(__xludf.DUMMYFUNCTION("IF('(INGESTA)Datos_consumo_datadis'!A543&lt;&gt;"""",SPLIT('(INGESTA)Datos_consumo_datadis'!A:A,"",""),"""")"),"ES0031408323131005HX0F")</f>
        <v>ES0031408323131005HX0F</v>
      </c>
      <c r="B543" s="17">
        <f>IFERROR(__xludf.DUMMYFUNCTION("""COMPUTED_VALUE"""),44888.0)</f>
        <v>44888</v>
      </c>
      <c r="C543" s="13">
        <f>IFERROR(__xludf.DUMMYFUNCTION("""COMPUTED_VALUE"""),0.5833333333333334)</f>
        <v>0.5833333333</v>
      </c>
      <c r="D543" s="8">
        <f>IFERROR(__xludf.DUMMYFUNCTION("""COMPUTED_VALUE"""),1.796)</f>
        <v>1.796</v>
      </c>
      <c r="E543" s="8" t="str">
        <f>IFERROR(__xludf.DUMMYFUNCTION("""COMPUTED_VALUE"""),"Real")</f>
        <v>Real</v>
      </c>
      <c r="G543" s="8">
        <f t="shared" si="1"/>
        <v>11</v>
      </c>
      <c r="H543" s="14">
        <f t="shared" si="2"/>
        <v>23</v>
      </c>
      <c r="I543" s="15">
        <f t="shared" si="3"/>
        <v>14</v>
      </c>
    </row>
    <row r="544">
      <c r="A544" s="8" t="str">
        <f>IFERROR(__xludf.DUMMYFUNCTION("IF('(INGESTA)Datos_consumo_datadis'!A544&lt;&gt;"""",SPLIT('(INGESTA)Datos_consumo_datadis'!A:A,"",""),"""")"),"ES0031408323131005HX0F")</f>
        <v>ES0031408323131005HX0F</v>
      </c>
      <c r="B544" s="17">
        <f>IFERROR(__xludf.DUMMYFUNCTION("""COMPUTED_VALUE"""),44888.0)</f>
        <v>44888</v>
      </c>
      <c r="C544" s="13">
        <f>IFERROR(__xludf.DUMMYFUNCTION("""COMPUTED_VALUE"""),0.625)</f>
        <v>0.625</v>
      </c>
      <c r="D544" s="8">
        <f>IFERROR(__xludf.DUMMYFUNCTION("""COMPUTED_VALUE"""),0.136)</f>
        <v>0.136</v>
      </c>
      <c r="E544" s="8" t="str">
        <f>IFERROR(__xludf.DUMMYFUNCTION("""COMPUTED_VALUE"""),"Real")</f>
        <v>Real</v>
      </c>
      <c r="G544" s="8">
        <f t="shared" si="1"/>
        <v>11</v>
      </c>
      <c r="H544" s="14">
        <f t="shared" si="2"/>
        <v>23</v>
      </c>
      <c r="I544" s="15">
        <f t="shared" si="3"/>
        <v>15</v>
      </c>
    </row>
    <row r="545">
      <c r="A545" s="8" t="str">
        <f>IFERROR(__xludf.DUMMYFUNCTION("IF('(INGESTA)Datos_consumo_datadis'!A545&lt;&gt;"""",SPLIT('(INGESTA)Datos_consumo_datadis'!A:A,"",""),"""")"),"ES0031408323131005HX0F")</f>
        <v>ES0031408323131005HX0F</v>
      </c>
      <c r="B545" s="17">
        <f>IFERROR(__xludf.DUMMYFUNCTION("""COMPUTED_VALUE"""),44888.0)</f>
        <v>44888</v>
      </c>
      <c r="C545" s="13">
        <f>IFERROR(__xludf.DUMMYFUNCTION("""COMPUTED_VALUE"""),0.6666666666666666)</f>
        <v>0.6666666667</v>
      </c>
      <c r="D545" s="8">
        <f>IFERROR(__xludf.DUMMYFUNCTION("""COMPUTED_VALUE"""),0.045)</f>
        <v>0.045</v>
      </c>
      <c r="E545" s="8" t="str">
        <f>IFERROR(__xludf.DUMMYFUNCTION("""COMPUTED_VALUE"""),"Real")</f>
        <v>Real</v>
      </c>
      <c r="G545" s="8">
        <f t="shared" si="1"/>
        <v>11</v>
      </c>
      <c r="H545" s="14">
        <f t="shared" si="2"/>
        <v>23</v>
      </c>
      <c r="I545" s="15">
        <f t="shared" si="3"/>
        <v>16</v>
      </c>
    </row>
    <row r="546">
      <c r="A546" s="8" t="str">
        <f>IFERROR(__xludf.DUMMYFUNCTION("IF('(INGESTA)Datos_consumo_datadis'!A546&lt;&gt;"""",SPLIT('(INGESTA)Datos_consumo_datadis'!A:A,"",""),"""")"),"ES0031408323131005HX0F")</f>
        <v>ES0031408323131005HX0F</v>
      </c>
      <c r="B546" s="17">
        <f>IFERROR(__xludf.DUMMYFUNCTION("""COMPUTED_VALUE"""),44888.0)</f>
        <v>44888</v>
      </c>
      <c r="C546" s="13">
        <f>IFERROR(__xludf.DUMMYFUNCTION("""COMPUTED_VALUE"""),0.7083333333333334)</f>
        <v>0.7083333333</v>
      </c>
      <c r="D546" s="8">
        <f>IFERROR(__xludf.DUMMYFUNCTION("""COMPUTED_VALUE"""),0.099)</f>
        <v>0.099</v>
      </c>
      <c r="E546" s="8" t="str">
        <f>IFERROR(__xludf.DUMMYFUNCTION("""COMPUTED_VALUE"""),"Real")</f>
        <v>Real</v>
      </c>
      <c r="G546" s="8">
        <f t="shared" si="1"/>
        <v>11</v>
      </c>
      <c r="H546" s="14">
        <f t="shared" si="2"/>
        <v>23</v>
      </c>
      <c r="I546" s="15">
        <f t="shared" si="3"/>
        <v>17</v>
      </c>
    </row>
    <row r="547">
      <c r="A547" s="8" t="str">
        <f>IFERROR(__xludf.DUMMYFUNCTION("IF('(INGESTA)Datos_consumo_datadis'!A547&lt;&gt;"""",SPLIT('(INGESTA)Datos_consumo_datadis'!A:A,"",""),"""")"),"ES0031408323131005HX0F")</f>
        <v>ES0031408323131005HX0F</v>
      </c>
      <c r="B547" s="17">
        <f>IFERROR(__xludf.DUMMYFUNCTION("""COMPUTED_VALUE"""),44888.0)</f>
        <v>44888</v>
      </c>
      <c r="C547" s="13">
        <f>IFERROR(__xludf.DUMMYFUNCTION("""COMPUTED_VALUE"""),0.75)</f>
        <v>0.75</v>
      </c>
      <c r="D547" s="8">
        <f>IFERROR(__xludf.DUMMYFUNCTION("""COMPUTED_VALUE"""),0.131)</f>
        <v>0.131</v>
      </c>
      <c r="E547" s="8" t="str">
        <f>IFERROR(__xludf.DUMMYFUNCTION("""COMPUTED_VALUE"""),"Real")</f>
        <v>Real</v>
      </c>
      <c r="G547" s="8">
        <f t="shared" si="1"/>
        <v>11</v>
      </c>
      <c r="H547" s="14">
        <f t="shared" si="2"/>
        <v>23</v>
      </c>
      <c r="I547" s="15">
        <f t="shared" si="3"/>
        <v>18</v>
      </c>
    </row>
    <row r="548">
      <c r="A548" s="8" t="str">
        <f>IFERROR(__xludf.DUMMYFUNCTION("IF('(INGESTA)Datos_consumo_datadis'!A548&lt;&gt;"""",SPLIT('(INGESTA)Datos_consumo_datadis'!A:A,"",""),"""")"),"ES0031408323131005HX0F")</f>
        <v>ES0031408323131005HX0F</v>
      </c>
      <c r="B548" s="17">
        <f>IFERROR(__xludf.DUMMYFUNCTION("""COMPUTED_VALUE"""),44888.0)</f>
        <v>44888</v>
      </c>
      <c r="C548" s="13">
        <f>IFERROR(__xludf.DUMMYFUNCTION("""COMPUTED_VALUE"""),0.7916666666666666)</f>
        <v>0.7916666667</v>
      </c>
      <c r="D548" s="8">
        <f>IFERROR(__xludf.DUMMYFUNCTION("""COMPUTED_VALUE"""),0.471)</f>
        <v>0.471</v>
      </c>
      <c r="E548" s="8" t="str">
        <f>IFERROR(__xludf.DUMMYFUNCTION("""COMPUTED_VALUE"""),"Real")</f>
        <v>Real</v>
      </c>
      <c r="G548" s="8">
        <f t="shared" si="1"/>
        <v>11</v>
      </c>
      <c r="H548" s="14">
        <f t="shared" si="2"/>
        <v>23</v>
      </c>
      <c r="I548" s="15">
        <f t="shared" si="3"/>
        <v>19</v>
      </c>
    </row>
    <row r="549">
      <c r="A549" s="8" t="str">
        <f>IFERROR(__xludf.DUMMYFUNCTION("IF('(INGESTA)Datos_consumo_datadis'!A549&lt;&gt;"""",SPLIT('(INGESTA)Datos_consumo_datadis'!A:A,"",""),"""")"),"ES0031408323131005HX0F")</f>
        <v>ES0031408323131005HX0F</v>
      </c>
      <c r="B549" s="17">
        <f>IFERROR(__xludf.DUMMYFUNCTION("""COMPUTED_VALUE"""),44888.0)</f>
        <v>44888</v>
      </c>
      <c r="C549" s="13">
        <f>IFERROR(__xludf.DUMMYFUNCTION("""COMPUTED_VALUE"""),0.8333333333333334)</f>
        <v>0.8333333333</v>
      </c>
      <c r="D549" s="8">
        <f>IFERROR(__xludf.DUMMYFUNCTION("""COMPUTED_VALUE"""),0.275)</f>
        <v>0.275</v>
      </c>
      <c r="E549" s="8" t="str">
        <f>IFERROR(__xludf.DUMMYFUNCTION("""COMPUTED_VALUE"""),"Real")</f>
        <v>Real</v>
      </c>
      <c r="G549" s="8">
        <f t="shared" si="1"/>
        <v>11</v>
      </c>
      <c r="H549" s="14">
        <f t="shared" si="2"/>
        <v>23</v>
      </c>
      <c r="I549" s="15">
        <f t="shared" si="3"/>
        <v>20</v>
      </c>
    </row>
    <row r="550">
      <c r="A550" s="8" t="str">
        <f>IFERROR(__xludf.DUMMYFUNCTION("IF('(INGESTA)Datos_consumo_datadis'!A550&lt;&gt;"""",SPLIT('(INGESTA)Datos_consumo_datadis'!A:A,"",""),"""")"),"ES0031408323131005HX0F")</f>
        <v>ES0031408323131005HX0F</v>
      </c>
      <c r="B550" s="17">
        <f>IFERROR(__xludf.DUMMYFUNCTION("""COMPUTED_VALUE"""),44888.0)</f>
        <v>44888</v>
      </c>
      <c r="C550" s="13">
        <f>IFERROR(__xludf.DUMMYFUNCTION("""COMPUTED_VALUE"""),0.875)</f>
        <v>0.875</v>
      </c>
      <c r="D550" s="8">
        <f>IFERROR(__xludf.DUMMYFUNCTION("""COMPUTED_VALUE"""),0.076)</f>
        <v>0.076</v>
      </c>
      <c r="E550" s="8" t="str">
        <f>IFERROR(__xludf.DUMMYFUNCTION("""COMPUTED_VALUE"""),"Real")</f>
        <v>Real</v>
      </c>
      <c r="G550" s="8">
        <f t="shared" si="1"/>
        <v>11</v>
      </c>
      <c r="H550" s="14">
        <f t="shared" si="2"/>
        <v>23</v>
      </c>
      <c r="I550" s="15">
        <f t="shared" si="3"/>
        <v>21</v>
      </c>
    </row>
    <row r="551">
      <c r="A551" s="8" t="str">
        <f>IFERROR(__xludf.DUMMYFUNCTION("IF('(INGESTA)Datos_consumo_datadis'!A551&lt;&gt;"""",SPLIT('(INGESTA)Datos_consumo_datadis'!A:A,"",""),"""")"),"ES0031408323131005HX0F")</f>
        <v>ES0031408323131005HX0F</v>
      </c>
      <c r="B551" s="17">
        <f>IFERROR(__xludf.DUMMYFUNCTION("""COMPUTED_VALUE"""),44888.0)</f>
        <v>44888</v>
      </c>
      <c r="C551" s="13">
        <f>IFERROR(__xludf.DUMMYFUNCTION("""COMPUTED_VALUE"""),0.9166666666666666)</f>
        <v>0.9166666667</v>
      </c>
      <c r="D551" s="8">
        <f>IFERROR(__xludf.DUMMYFUNCTION("""COMPUTED_VALUE"""),0.037)</f>
        <v>0.037</v>
      </c>
      <c r="E551" s="8" t="str">
        <f>IFERROR(__xludf.DUMMYFUNCTION("""COMPUTED_VALUE"""),"Real")</f>
        <v>Real</v>
      </c>
      <c r="G551" s="8">
        <f t="shared" si="1"/>
        <v>11</v>
      </c>
      <c r="H551" s="14">
        <f t="shared" si="2"/>
        <v>23</v>
      </c>
      <c r="I551" s="15">
        <f t="shared" si="3"/>
        <v>22</v>
      </c>
    </row>
    <row r="552">
      <c r="A552" s="8" t="str">
        <f>IFERROR(__xludf.DUMMYFUNCTION("IF('(INGESTA)Datos_consumo_datadis'!A552&lt;&gt;"""",SPLIT('(INGESTA)Datos_consumo_datadis'!A:A,"",""),"""")"),"ES0031408323131005HX0F")</f>
        <v>ES0031408323131005HX0F</v>
      </c>
      <c r="B552" s="17">
        <f>IFERROR(__xludf.DUMMYFUNCTION("""COMPUTED_VALUE"""),44888.0)</f>
        <v>44888</v>
      </c>
      <c r="C552" s="13">
        <f>IFERROR(__xludf.DUMMYFUNCTION("""COMPUTED_VALUE"""),0.9583333333333334)</f>
        <v>0.9583333333</v>
      </c>
      <c r="D552" s="8">
        <f>IFERROR(__xludf.DUMMYFUNCTION("""COMPUTED_VALUE"""),0.067)</f>
        <v>0.067</v>
      </c>
      <c r="E552" s="8" t="str">
        <f>IFERROR(__xludf.DUMMYFUNCTION("""COMPUTED_VALUE"""),"Real")</f>
        <v>Real</v>
      </c>
      <c r="G552" s="8">
        <f t="shared" si="1"/>
        <v>11</v>
      </c>
      <c r="H552" s="14">
        <f t="shared" si="2"/>
        <v>23</v>
      </c>
      <c r="I552" s="15">
        <f t="shared" si="3"/>
        <v>23</v>
      </c>
    </row>
    <row r="553">
      <c r="A553" s="8" t="str">
        <f>IFERROR(__xludf.DUMMYFUNCTION("IF('(INGESTA)Datos_consumo_datadis'!A553&lt;&gt;"""",SPLIT('(INGESTA)Datos_consumo_datadis'!A:A,"",""),"""")"),"ES0031408323131005HX0F")</f>
        <v>ES0031408323131005HX0F</v>
      </c>
      <c r="B553" s="17">
        <f>IFERROR(__xludf.DUMMYFUNCTION("""COMPUTED_VALUE"""),44888.0)</f>
        <v>44888</v>
      </c>
      <c r="C553" s="16">
        <f>IFERROR(__xludf.DUMMYFUNCTION("""COMPUTED_VALUE"""),1.0)</f>
        <v>1</v>
      </c>
      <c r="D553" s="8">
        <f>IFERROR(__xludf.DUMMYFUNCTION("""COMPUTED_VALUE"""),0.041)</f>
        <v>0.041</v>
      </c>
      <c r="E553" s="8" t="str">
        <f>IFERROR(__xludf.DUMMYFUNCTION("""COMPUTED_VALUE"""),"Real")</f>
        <v>Real</v>
      </c>
      <c r="G553" s="8">
        <f t="shared" si="1"/>
        <v>11</v>
      </c>
      <c r="H553" s="14">
        <f t="shared" si="2"/>
        <v>23</v>
      </c>
      <c r="I553" s="15">
        <f t="shared" si="3"/>
        <v>0</v>
      </c>
    </row>
    <row r="554">
      <c r="A554" s="8" t="str">
        <f>IFERROR(__xludf.DUMMYFUNCTION("IF('(INGESTA)Datos_consumo_datadis'!A554&lt;&gt;"""",SPLIT('(INGESTA)Datos_consumo_datadis'!A:A,"",""),"""")"),"ES0031408323131005HX0F")</f>
        <v>ES0031408323131005HX0F</v>
      </c>
      <c r="B554" s="17">
        <f>IFERROR(__xludf.DUMMYFUNCTION("""COMPUTED_VALUE"""),44889.0)</f>
        <v>44889</v>
      </c>
      <c r="C554" s="13">
        <f>IFERROR(__xludf.DUMMYFUNCTION("""COMPUTED_VALUE"""),0.041666666666666664)</f>
        <v>0.04166666667</v>
      </c>
      <c r="D554" s="8">
        <f>IFERROR(__xludf.DUMMYFUNCTION("""COMPUTED_VALUE"""),0.382)</f>
        <v>0.382</v>
      </c>
      <c r="E554" s="8" t="str">
        <f>IFERROR(__xludf.DUMMYFUNCTION("""COMPUTED_VALUE"""),"Real")</f>
        <v>Real</v>
      </c>
      <c r="G554" s="8">
        <f t="shared" si="1"/>
        <v>11</v>
      </c>
      <c r="H554" s="14">
        <f t="shared" si="2"/>
        <v>24</v>
      </c>
      <c r="I554" s="15">
        <f t="shared" si="3"/>
        <v>1</v>
      </c>
    </row>
    <row r="555">
      <c r="A555" s="8" t="str">
        <f>IFERROR(__xludf.DUMMYFUNCTION("IF('(INGESTA)Datos_consumo_datadis'!A555&lt;&gt;"""",SPLIT('(INGESTA)Datos_consumo_datadis'!A:A,"",""),"""")"),"ES0031408323131005HX0F")</f>
        <v>ES0031408323131005HX0F</v>
      </c>
      <c r="B555" s="17">
        <f>IFERROR(__xludf.DUMMYFUNCTION("""COMPUTED_VALUE"""),44889.0)</f>
        <v>44889</v>
      </c>
      <c r="C555" s="13">
        <f>IFERROR(__xludf.DUMMYFUNCTION("""COMPUTED_VALUE"""),0.08333333333333333)</f>
        <v>0.08333333333</v>
      </c>
      <c r="D555" s="8">
        <f>IFERROR(__xludf.DUMMYFUNCTION("""COMPUTED_VALUE"""),0.069)</f>
        <v>0.069</v>
      </c>
      <c r="E555" s="8" t="str">
        <f>IFERROR(__xludf.DUMMYFUNCTION("""COMPUTED_VALUE"""),"Real")</f>
        <v>Real</v>
      </c>
      <c r="G555" s="8">
        <f t="shared" si="1"/>
        <v>11</v>
      </c>
      <c r="H555" s="14">
        <f t="shared" si="2"/>
        <v>24</v>
      </c>
      <c r="I555" s="15">
        <f t="shared" si="3"/>
        <v>2</v>
      </c>
    </row>
    <row r="556">
      <c r="A556" s="8" t="str">
        <f>IFERROR(__xludf.DUMMYFUNCTION("IF('(INGESTA)Datos_consumo_datadis'!A556&lt;&gt;"""",SPLIT('(INGESTA)Datos_consumo_datadis'!A:A,"",""),"""")"),"ES0031408323131005HX0F")</f>
        <v>ES0031408323131005HX0F</v>
      </c>
      <c r="B556" s="17">
        <f>IFERROR(__xludf.DUMMYFUNCTION("""COMPUTED_VALUE"""),44889.0)</f>
        <v>44889</v>
      </c>
      <c r="C556" s="13">
        <f>IFERROR(__xludf.DUMMYFUNCTION("""COMPUTED_VALUE"""),0.125)</f>
        <v>0.125</v>
      </c>
      <c r="D556" s="8">
        <f>IFERROR(__xludf.DUMMYFUNCTION("""COMPUTED_VALUE"""),0.051)</f>
        <v>0.051</v>
      </c>
      <c r="E556" s="8" t="str">
        <f>IFERROR(__xludf.DUMMYFUNCTION("""COMPUTED_VALUE"""),"Real")</f>
        <v>Real</v>
      </c>
      <c r="G556" s="8">
        <f t="shared" si="1"/>
        <v>11</v>
      </c>
      <c r="H556" s="14">
        <f t="shared" si="2"/>
        <v>24</v>
      </c>
      <c r="I556" s="15">
        <f t="shared" si="3"/>
        <v>3</v>
      </c>
    </row>
    <row r="557">
      <c r="A557" s="8" t="str">
        <f>IFERROR(__xludf.DUMMYFUNCTION("IF('(INGESTA)Datos_consumo_datadis'!A557&lt;&gt;"""",SPLIT('(INGESTA)Datos_consumo_datadis'!A:A,"",""),"""")"),"ES0031408323131005HX0F")</f>
        <v>ES0031408323131005HX0F</v>
      </c>
      <c r="B557" s="17">
        <f>IFERROR(__xludf.DUMMYFUNCTION("""COMPUTED_VALUE"""),44889.0)</f>
        <v>44889</v>
      </c>
      <c r="C557" s="13">
        <f>IFERROR(__xludf.DUMMYFUNCTION("""COMPUTED_VALUE"""),0.16666666666666666)</f>
        <v>0.1666666667</v>
      </c>
      <c r="D557" s="8">
        <f>IFERROR(__xludf.DUMMYFUNCTION("""COMPUTED_VALUE"""),0.095)</f>
        <v>0.095</v>
      </c>
      <c r="E557" s="8" t="str">
        <f>IFERROR(__xludf.DUMMYFUNCTION("""COMPUTED_VALUE"""),"Real")</f>
        <v>Real</v>
      </c>
      <c r="G557" s="8">
        <f t="shared" si="1"/>
        <v>11</v>
      </c>
      <c r="H557" s="14">
        <f t="shared" si="2"/>
        <v>24</v>
      </c>
      <c r="I557" s="15">
        <f t="shared" si="3"/>
        <v>4</v>
      </c>
    </row>
    <row r="558">
      <c r="A558" s="8" t="str">
        <f>IFERROR(__xludf.DUMMYFUNCTION("IF('(INGESTA)Datos_consumo_datadis'!A558&lt;&gt;"""",SPLIT('(INGESTA)Datos_consumo_datadis'!A:A,"",""),"""")"),"ES0031408323131005HX0F")</f>
        <v>ES0031408323131005HX0F</v>
      </c>
      <c r="B558" s="17">
        <f>IFERROR(__xludf.DUMMYFUNCTION("""COMPUTED_VALUE"""),44889.0)</f>
        <v>44889</v>
      </c>
      <c r="C558" s="13">
        <f>IFERROR(__xludf.DUMMYFUNCTION("""COMPUTED_VALUE"""),0.20833333333333334)</f>
        <v>0.2083333333</v>
      </c>
      <c r="D558" s="8">
        <f>IFERROR(__xludf.DUMMYFUNCTION("""COMPUTED_VALUE"""),0.045)</f>
        <v>0.045</v>
      </c>
      <c r="E558" s="8" t="str">
        <f>IFERROR(__xludf.DUMMYFUNCTION("""COMPUTED_VALUE"""),"Real")</f>
        <v>Real</v>
      </c>
      <c r="G558" s="8">
        <f t="shared" si="1"/>
        <v>11</v>
      </c>
      <c r="H558" s="14">
        <f t="shared" si="2"/>
        <v>24</v>
      </c>
      <c r="I558" s="15">
        <f t="shared" si="3"/>
        <v>5</v>
      </c>
    </row>
    <row r="559">
      <c r="A559" s="8" t="str">
        <f>IFERROR(__xludf.DUMMYFUNCTION("IF('(INGESTA)Datos_consumo_datadis'!A559&lt;&gt;"""",SPLIT('(INGESTA)Datos_consumo_datadis'!A:A,"",""),"""")"),"ES0031408323131005HX0F")</f>
        <v>ES0031408323131005HX0F</v>
      </c>
      <c r="B559" s="17">
        <f>IFERROR(__xludf.DUMMYFUNCTION("""COMPUTED_VALUE"""),44889.0)</f>
        <v>44889</v>
      </c>
      <c r="C559" s="13">
        <f>IFERROR(__xludf.DUMMYFUNCTION("""COMPUTED_VALUE"""),0.25)</f>
        <v>0.25</v>
      </c>
      <c r="D559" s="8">
        <f>IFERROR(__xludf.DUMMYFUNCTION("""COMPUTED_VALUE"""),0.306)</f>
        <v>0.306</v>
      </c>
      <c r="E559" s="8" t="str">
        <f>IFERROR(__xludf.DUMMYFUNCTION("""COMPUTED_VALUE"""),"Real")</f>
        <v>Real</v>
      </c>
      <c r="G559" s="8">
        <f t="shared" si="1"/>
        <v>11</v>
      </c>
      <c r="H559" s="14">
        <f t="shared" si="2"/>
        <v>24</v>
      </c>
      <c r="I559" s="15">
        <f t="shared" si="3"/>
        <v>6</v>
      </c>
    </row>
    <row r="560">
      <c r="A560" s="8" t="str">
        <f>IFERROR(__xludf.DUMMYFUNCTION("IF('(INGESTA)Datos_consumo_datadis'!A560&lt;&gt;"""",SPLIT('(INGESTA)Datos_consumo_datadis'!A:A,"",""),"""")"),"ES0031408323131005HX0F")</f>
        <v>ES0031408323131005HX0F</v>
      </c>
      <c r="B560" s="17">
        <f>IFERROR(__xludf.DUMMYFUNCTION("""COMPUTED_VALUE"""),44889.0)</f>
        <v>44889</v>
      </c>
      <c r="C560" s="13">
        <f>IFERROR(__xludf.DUMMYFUNCTION("""COMPUTED_VALUE"""),0.2916666666666667)</f>
        <v>0.2916666667</v>
      </c>
      <c r="D560" s="8">
        <f>IFERROR(__xludf.DUMMYFUNCTION("""COMPUTED_VALUE"""),0.176)</f>
        <v>0.176</v>
      </c>
      <c r="E560" s="8" t="str">
        <f>IFERROR(__xludf.DUMMYFUNCTION("""COMPUTED_VALUE"""),"Real")</f>
        <v>Real</v>
      </c>
      <c r="G560" s="8">
        <f t="shared" si="1"/>
        <v>11</v>
      </c>
      <c r="H560" s="14">
        <f t="shared" si="2"/>
        <v>24</v>
      </c>
      <c r="I560" s="15">
        <f t="shared" si="3"/>
        <v>7</v>
      </c>
    </row>
    <row r="561">
      <c r="A561" s="8" t="str">
        <f>IFERROR(__xludf.DUMMYFUNCTION("IF('(INGESTA)Datos_consumo_datadis'!A561&lt;&gt;"""",SPLIT('(INGESTA)Datos_consumo_datadis'!A:A,"",""),"""")"),"ES0031408323131005HX0F")</f>
        <v>ES0031408323131005HX0F</v>
      </c>
      <c r="B561" s="17">
        <f>IFERROR(__xludf.DUMMYFUNCTION("""COMPUTED_VALUE"""),44889.0)</f>
        <v>44889</v>
      </c>
      <c r="C561" s="13">
        <f>IFERROR(__xludf.DUMMYFUNCTION("""COMPUTED_VALUE"""),0.3333333333333333)</f>
        <v>0.3333333333</v>
      </c>
      <c r="D561" s="8">
        <f>IFERROR(__xludf.DUMMYFUNCTION("""COMPUTED_VALUE"""),0.049)</f>
        <v>0.049</v>
      </c>
      <c r="E561" s="8" t="str">
        <f>IFERROR(__xludf.DUMMYFUNCTION("""COMPUTED_VALUE"""),"Real")</f>
        <v>Real</v>
      </c>
      <c r="G561" s="8">
        <f t="shared" si="1"/>
        <v>11</v>
      </c>
      <c r="H561" s="14">
        <f t="shared" si="2"/>
        <v>24</v>
      </c>
      <c r="I561" s="15">
        <f t="shared" si="3"/>
        <v>8</v>
      </c>
    </row>
    <row r="562">
      <c r="A562" s="8" t="str">
        <f>IFERROR(__xludf.DUMMYFUNCTION("IF('(INGESTA)Datos_consumo_datadis'!A562&lt;&gt;"""",SPLIT('(INGESTA)Datos_consumo_datadis'!A:A,"",""),"""")"),"ES0031408323131005HX0F")</f>
        <v>ES0031408323131005HX0F</v>
      </c>
      <c r="B562" s="17">
        <f>IFERROR(__xludf.DUMMYFUNCTION("""COMPUTED_VALUE"""),44889.0)</f>
        <v>44889</v>
      </c>
      <c r="C562" s="13">
        <f>IFERROR(__xludf.DUMMYFUNCTION("""COMPUTED_VALUE"""),0.375)</f>
        <v>0.375</v>
      </c>
      <c r="D562" s="8">
        <f>IFERROR(__xludf.DUMMYFUNCTION("""COMPUTED_VALUE"""),0.056)</f>
        <v>0.056</v>
      </c>
      <c r="E562" s="8" t="str">
        <f>IFERROR(__xludf.DUMMYFUNCTION("""COMPUTED_VALUE"""),"Real")</f>
        <v>Real</v>
      </c>
      <c r="G562" s="8">
        <f t="shared" si="1"/>
        <v>11</v>
      </c>
      <c r="H562" s="14">
        <f t="shared" si="2"/>
        <v>24</v>
      </c>
      <c r="I562" s="15">
        <f t="shared" si="3"/>
        <v>9</v>
      </c>
    </row>
    <row r="563">
      <c r="A563" s="8" t="str">
        <f>IFERROR(__xludf.DUMMYFUNCTION("IF('(INGESTA)Datos_consumo_datadis'!A563&lt;&gt;"""",SPLIT('(INGESTA)Datos_consumo_datadis'!A:A,"",""),"""")"),"ES0031408323131005HX0F")</f>
        <v>ES0031408323131005HX0F</v>
      </c>
      <c r="B563" s="17">
        <f>IFERROR(__xludf.DUMMYFUNCTION("""COMPUTED_VALUE"""),44889.0)</f>
        <v>44889</v>
      </c>
      <c r="C563" s="13">
        <f>IFERROR(__xludf.DUMMYFUNCTION("""COMPUTED_VALUE"""),0.4166666666666667)</f>
        <v>0.4166666667</v>
      </c>
      <c r="D563" s="8">
        <f>IFERROR(__xludf.DUMMYFUNCTION("""COMPUTED_VALUE"""),0.021)</f>
        <v>0.021</v>
      </c>
      <c r="E563" s="8" t="str">
        <f>IFERROR(__xludf.DUMMYFUNCTION("""COMPUTED_VALUE"""),"Real")</f>
        <v>Real</v>
      </c>
      <c r="G563" s="8">
        <f t="shared" si="1"/>
        <v>11</v>
      </c>
      <c r="H563" s="14">
        <f t="shared" si="2"/>
        <v>24</v>
      </c>
      <c r="I563" s="15">
        <f t="shared" si="3"/>
        <v>10</v>
      </c>
    </row>
    <row r="564">
      <c r="A564" s="8" t="str">
        <f>IFERROR(__xludf.DUMMYFUNCTION("IF('(INGESTA)Datos_consumo_datadis'!A564&lt;&gt;"""",SPLIT('(INGESTA)Datos_consumo_datadis'!A:A,"",""),"""")"),"ES0031408323131005HX0F")</f>
        <v>ES0031408323131005HX0F</v>
      </c>
      <c r="B564" s="17">
        <f>IFERROR(__xludf.DUMMYFUNCTION("""COMPUTED_VALUE"""),44889.0)</f>
        <v>44889</v>
      </c>
      <c r="C564" s="13">
        <f>IFERROR(__xludf.DUMMYFUNCTION("""COMPUTED_VALUE"""),0.4583333333333333)</f>
        <v>0.4583333333</v>
      </c>
      <c r="D564" s="8">
        <f>IFERROR(__xludf.DUMMYFUNCTION("""COMPUTED_VALUE"""),0.068)</f>
        <v>0.068</v>
      </c>
      <c r="E564" s="8" t="str">
        <f>IFERROR(__xludf.DUMMYFUNCTION("""COMPUTED_VALUE"""),"Real")</f>
        <v>Real</v>
      </c>
      <c r="G564" s="8">
        <f t="shared" si="1"/>
        <v>11</v>
      </c>
      <c r="H564" s="14">
        <f t="shared" si="2"/>
        <v>24</v>
      </c>
      <c r="I564" s="15">
        <f t="shared" si="3"/>
        <v>11</v>
      </c>
    </row>
    <row r="565">
      <c r="A565" s="8" t="str">
        <f>IFERROR(__xludf.DUMMYFUNCTION("IF('(INGESTA)Datos_consumo_datadis'!A565&lt;&gt;"""",SPLIT('(INGESTA)Datos_consumo_datadis'!A:A,"",""),"""")"),"ES0031408323131005HX0F")</f>
        <v>ES0031408323131005HX0F</v>
      </c>
      <c r="B565" s="17">
        <f>IFERROR(__xludf.DUMMYFUNCTION("""COMPUTED_VALUE"""),44889.0)</f>
        <v>44889</v>
      </c>
      <c r="C565" s="13">
        <f>IFERROR(__xludf.DUMMYFUNCTION("""COMPUTED_VALUE"""),0.5)</f>
        <v>0.5</v>
      </c>
      <c r="D565" s="8">
        <f>IFERROR(__xludf.DUMMYFUNCTION("""COMPUTED_VALUE"""),0.352)</f>
        <v>0.352</v>
      </c>
      <c r="E565" s="8" t="str">
        <f>IFERROR(__xludf.DUMMYFUNCTION("""COMPUTED_VALUE"""),"Real")</f>
        <v>Real</v>
      </c>
      <c r="G565" s="8">
        <f t="shared" si="1"/>
        <v>11</v>
      </c>
      <c r="H565" s="14">
        <f t="shared" si="2"/>
        <v>24</v>
      </c>
      <c r="I565" s="15">
        <f t="shared" si="3"/>
        <v>12</v>
      </c>
    </row>
    <row r="566">
      <c r="A566" s="8" t="str">
        <f>IFERROR(__xludf.DUMMYFUNCTION("IF('(INGESTA)Datos_consumo_datadis'!A566&lt;&gt;"""",SPLIT('(INGESTA)Datos_consumo_datadis'!A:A,"",""),"""")"),"ES0031408323131005HX0F")</f>
        <v>ES0031408323131005HX0F</v>
      </c>
      <c r="B566" s="17">
        <f>IFERROR(__xludf.DUMMYFUNCTION("""COMPUTED_VALUE"""),44889.0)</f>
        <v>44889</v>
      </c>
      <c r="C566" s="13">
        <f>IFERROR(__xludf.DUMMYFUNCTION("""COMPUTED_VALUE"""),0.5416666666666666)</f>
        <v>0.5416666667</v>
      </c>
      <c r="D566" s="8">
        <f>IFERROR(__xludf.DUMMYFUNCTION("""COMPUTED_VALUE"""),0.08)</f>
        <v>0.08</v>
      </c>
      <c r="E566" s="8" t="str">
        <f>IFERROR(__xludf.DUMMYFUNCTION("""COMPUTED_VALUE"""),"Real")</f>
        <v>Real</v>
      </c>
      <c r="G566" s="8">
        <f t="shared" si="1"/>
        <v>11</v>
      </c>
      <c r="H566" s="14">
        <f t="shared" si="2"/>
        <v>24</v>
      </c>
      <c r="I566" s="15">
        <f t="shared" si="3"/>
        <v>13</v>
      </c>
    </row>
    <row r="567">
      <c r="A567" s="8" t="str">
        <f>IFERROR(__xludf.DUMMYFUNCTION("IF('(INGESTA)Datos_consumo_datadis'!A567&lt;&gt;"""",SPLIT('(INGESTA)Datos_consumo_datadis'!A:A,"",""),"""")"),"ES0031408323131005HX0F")</f>
        <v>ES0031408323131005HX0F</v>
      </c>
      <c r="B567" s="17">
        <f>IFERROR(__xludf.DUMMYFUNCTION("""COMPUTED_VALUE"""),44889.0)</f>
        <v>44889</v>
      </c>
      <c r="C567" s="13">
        <f>IFERROR(__xludf.DUMMYFUNCTION("""COMPUTED_VALUE"""),0.5833333333333334)</f>
        <v>0.5833333333</v>
      </c>
      <c r="D567" s="8">
        <f>IFERROR(__xludf.DUMMYFUNCTION("""COMPUTED_VALUE"""),0.086)</f>
        <v>0.086</v>
      </c>
      <c r="E567" s="8" t="str">
        <f>IFERROR(__xludf.DUMMYFUNCTION("""COMPUTED_VALUE"""),"Real")</f>
        <v>Real</v>
      </c>
      <c r="G567" s="8">
        <f t="shared" si="1"/>
        <v>11</v>
      </c>
      <c r="H567" s="14">
        <f t="shared" si="2"/>
        <v>24</v>
      </c>
      <c r="I567" s="15">
        <f t="shared" si="3"/>
        <v>14</v>
      </c>
    </row>
    <row r="568">
      <c r="A568" s="8" t="str">
        <f>IFERROR(__xludf.DUMMYFUNCTION("IF('(INGESTA)Datos_consumo_datadis'!A568&lt;&gt;"""",SPLIT('(INGESTA)Datos_consumo_datadis'!A:A,"",""),"""")"),"ES0031408323131005HX0F")</f>
        <v>ES0031408323131005HX0F</v>
      </c>
      <c r="B568" s="17">
        <f>IFERROR(__xludf.DUMMYFUNCTION("""COMPUTED_VALUE"""),44889.0)</f>
        <v>44889</v>
      </c>
      <c r="C568" s="13">
        <f>IFERROR(__xludf.DUMMYFUNCTION("""COMPUTED_VALUE"""),0.625)</f>
        <v>0.625</v>
      </c>
      <c r="D568" s="8">
        <f>IFERROR(__xludf.DUMMYFUNCTION("""COMPUTED_VALUE"""),0.037)</f>
        <v>0.037</v>
      </c>
      <c r="E568" s="8" t="str">
        <f>IFERROR(__xludf.DUMMYFUNCTION("""COMPUTED_VALUE"""),"Real")</f>
        <v>Real</v>
      </c>
      <c r="G568" s="8">
        <f t="shared" si="1"/>
        <v>11</v>
      </c>
      <c r="H568" s="14">
        <f t="shared" si="2"/>
        <v>24</v>
      </c>
      <c r="I568" s="15">
        <f t="shared" si="3"/>
        <v>15</v>
      </c>
    </row>
    <row r="569">
      <c r="A569" s="8" t="str">
        <f>IFERROR(__xludf.DUMMYFUNCTION("IF('(INGESTA)Datos_consumo_datadis'!A569&lt;&gt;"""",SPLIT('(INGESTA)Datos_consumo_datadis'!A:A,"",""),"""")"),"ES0031408323131005HX0F")</f>
        <v>ES0031408323131005HX0F</v>
      </c>
      <c r="B569" s="17">
        <f>IFERROR(__xludf.DUMMYFUNCTION("""COMPUTED_VALUE"""),44889.0)</f>
        <v>44889</v>
      </c>
      <c r="C569" s="13">
        <f>IFERROR(__xludf.DUMMYFUNCTION("""COMPUTED_VALUE"""),0.6666666666666666)</f>
        <v>0.6666666667</v>
      </c>
      <c r="D569" s="8">
        <f>IFERROR(__xludf.DUMMYFUNCTION("""COMPUTED_VALUE"""),0.069)</f>
        <v>0.069</v>
      </c>
      <c r="E569" s="8" t="str">
        <f>IFERROR(__xludf.DUMMYFUNCTION("""COMPUTED_VALUE"""),"Real")</f>
        <v>Real</v>
      </c>
      <c r="G569" s="8">
        <f t="shared" si="1"/>
        <v>11</v>
      </c>
      <c r="H569" s="14">
        <f t="shared" si="2"/>
        <v>24</v>
      </c>
      <c r="I569" s="15">
        <f t="shared" si="3"/>
        <v>16</v>
      </c>
    </row>
    <row r="570">
      <c r="A570" s="8" t="str">
        <f>IFERROR(__xludf.DUMMYFUNCTION("IF('(INGESTA)Datos_consumo_datadis'!A570&lt;&gt;"""",SPLIT('(INGESTA)Datos_consumo_datadis'!A:A,"",""),"""")"),"ES0031408323131005HX0F")</f>
        <v>ES0031408323131005HX0F</v>
      </c>
      <c r="B570" s="17">
        <f>IFERROR(__xludf.DUMMYFUNCTION("""COMPUTED_VALUE"""),44889.0)</f>
        <v>44889</v>
      </c>
      <c r="C570" s="13">
        <f>IFERROR(__xludf.DUMMYFUNCTION("""COMPUTED_VALUE"""),0.7083333333333334)</f>
        <v>0.7083333333</v>
      </c>
      <c r="D570" s="8">
        <f>IFERROR(__xludf.DUMMYFUNCTION("""COMPUTED_VALUE"""),0.037)</f>
        <v>0.037</v>
      </c>
      <c r="E570" s="8" t="str">
        <f>IFERROR(__xludf.DUMMYFUNCTION("""COMPUTED_VALUE"""),"Real")</f>
        <v>Real</v>
      </c>
      <c r="G570" s="8">
        <f t="shared" si="1"/>
        <v>11</v>
      </c>
      <c r="H570" s="14">
        <f t="shared" si="2"/>
        <v>24</v>
      </c>
      <c r="I570" s="15">
        <f t="shared" si="3"/>
        <v>17</v>
      </c>
    </row>
    <row r="571">
      <c r="A571" s="8" t="str">
        <f>IFERROR(__xludf.DUMMYFUNCTION("IF('(INGESTA)Datos_consumo_datadis'!A571&lt;&gt;"""",SPLIT('(INGESTA)Datos_consumo_datadis'!A:A,"",""),"""")"),"ES0031408323131005HX0F")</f>
        <v>ES0031408323131005HX0F</v>
      </c>
      <c r="B571" s="17">
        <f>IFERROR(__xludf.DUMMYFUNCTION("""COMPUTED_VALUE"""),44889.0)</f>
        <v>44889</v>
      </c>
      <c r="C571" s="13">
        <f>IFERROR(__xludf.DUMMYFUNCTION("""COMPUTED_VALUE"""),0.75)</f>
        <v>0.75</v>
      </c>
      <c r="D571" s="8">
        <f>IFERROR(__xludf.DUMMYFUNCTION("""COMPUTED_VALUE"""),0.36)</f>
        <v>0.36</v>
      </c>
      <c r="E571" s="8" t="str">
        <f>IFERROR(__xludf.DUMMYFUNCTION("""COMPUTED_VALUE"""),"Real")</f>
        <v>Real</v>
      </c>
      <c r="G571" s="8">
        <f t="shared" si="1"/>
        <v>11</v>
      </c>
      <c r="H571" s="14">
        <f t="shared" si="2"/>
        <v>24</v>
      </c>
      <c r="I571" s="15">
        <f t="shared" si="3"/>
        <v>18</v>
      </c>
    </row>
    <row r="572">
      <c r="A572" s="8" t="str">
        <f>IFERROR(__xludf.DUMMYFUNCTION("IF('(INGESTA)Datos_consumo_datadis'!A572&lt;&gt;"""",SPLIT('(INGESTA)Datos_consumo_datadis'!A:A,"",""),"""")"),"ES0031408323131005HX0F")</f>
        <v>ES0031408323131005HX0F</v>
      </c>
      <c r="B572" s="17">
        <f>IFERROR(__xludf.DUMMYFUNCTION("""COMPUTED_VALUE"""),44889.0)</f>
        <v>44889</v>
      </c>
      <c r="C572" s="13">
        <f>IFERROR(__xludf.DUMMYFUNCTION("""COMPUTED_VALUE"""),0.7916666666666666)</f>
        <v>0.7916666667</v>
      </c>
      <c r="D572" s="8">
        <f>IFERROR(__xludf.DUMMYFUNCTION("""COMPUTED_VALUE"""),0.06)</f>
        <v>0.06</v>
      </c>
      <c r="E572" s="8" t="str">
        <f>IFERROR(__xludf.DUMMYFUNCTION("""COMPUTED_VALUE"""),"Real")</f>
        <v>Real</v>
      </c>
      <c r="G572" s="8">
        <f t="shared" si="1"/>
        <v>11</v>
      </c>
      <c r="H572" s="14">
        <f t="shared" si="2"/>
        <v>24</v>
      </c>
      <c r="I572" s="15">
        <f t="shared" si="3"/>
        <v>19</v>
      </c>
    </row>
    <row r="573">
      <c r="A573" s="8" t="str">
        <f>IFERROR(__xludf.DUMMYFUNCTION("IF('(INGESTA)Datos_consumo_datadis'!A573&lt;&gt;"""",SPLIT('(INGESTA)Datos_consumo_datadis'!A:A,"",""),"""")"),"ES0031408323131005HX0F")</f>
        <v>ES0031408323131005HX0F</v>
      </c>
      <c r="B573" s="17">
        <f>IFERROR(__xludf.DUMMYFUNCTION("""COMPUTED_VALUE"""),44889.0)</f>
        <v>44889</v>
      </c>
      <c r="C573" s="13">
        <f>IFERROR(__xludf.DUMMYFUNCTION("""COMPUTED_VALUE"""),0.8333333333333334)</f>
        <v>0.8333333333</v>
      </c>
      <c r="D573" s="8">
        <f>IFERROR(__xludf.DUMMYFUNCTION("""COMPUTED_VALUE"""),0.019)</f>
        <v>0.019</v>
      </c>
      <c r="E573" s="8" t="str">
        <f>IFERROR(__xludf.DUMMYFUNCTION("""COMPUTED_VALUE"""),"Real")</f>
        <v>Real</v>
      </c>
      <c r="G573" s="8">
        <f t="shared" si="1"/>
        <v>11</v>
      </c>
      <c r="H573" s="14">
        <f t="shared" si="2"/>
        <v>24</v>
      </c>
      <c r="I573" s="15">
        <f t="shared" si="3"/>
        <v>20</v>
      </c>
    </row>
    <row r="574">
      <c r="A574" s="8" t="str">
        <f>IFERROR(__xludf.DUMMYFUNCTION("IF('(INGESTA)Datos_consumo_datadis'!A574&lt;&gt;"""",SPLIT('(INGESTA)Datos_consumo_datadis'!A:A,"",""),"""")"),"ES0031408323131005HX0F")</f>
        <v>ES0031408323131005HX0F</v>
      </c>
      <c r="B574" s="17">
        <f>IFERROR(__xludf.DUMMYFUNCTION("""COMPUTED_VALUE"""),44889.0)</f>
        <v>44889</v>
      </c>
      <c r="C574" s="13">
        <f>IFERROR(__xludf.DUMMYFUNCTION("""COMPUTED_VALUE"""),0.875)</f>
        <v>0.875</v>
      </c>
      <c r="D574" s="8">
        <f>IFERROR(__xludf.DUMMYFUNCTION("""COMPUTED_VALUE"""),0.064)</f>
        <v>0.064</v>
      </c>
      <c r="E574" s="8" t="str">
        <f>IFERROR(__xludf.DUMMYFUNCTION("""COMPUTED_VALUE"""),"Real")</f>
        <v>Real</v>
      </c>
      <c r="G574" s="8">
        <f t="shared" si="1"/>
        <v>11</v>
      </c>
      <c r="H574" s="14">
        <f t="shared" si="2"/>
        <v>24</v>
      </c>
      <c r="I574" s="15">
        <f t="shared" si="3"/>
        <v>21</v>
      </c>
    </row>
    <row r="575">
      <c r="A575" s="8" t="str">
        <f>IFERROR(__xludf.DUMMYFUNCTION("IF('(INGESTA)Datos_consumo_datadis'!A575&lt;&gt;"""",SPLIT('(INGESTA)Datos_consumo_datadis'!A:A,"",""),"""")"),"ES0031408323131005HX0F")</f>
        <v>ES0031408323131005HX0F</v>
      </c>
      <c r="B575" s="17">
        <f>IFERROR(__xludf.DUMMYFUNCTION("""COMPUTED_VALUE"""),44889.0)</f>
        <v>44889</v>
      </c>
      <c r="C575" s="13">
        <f>IFERROR(__xludf.DUMMYFUNCTION("""COMPUTED_VALUE"""),0.9166666666666666)</f>
        <v>0.9166666667</v>
      </c>
      <c r="D575" s="8">
        <f>IFERROR(__xludf.DUMMYFUNCTION("""COMPUTED_VALUE"""),0.034)</f>
        <v>0.034</v>
      </c>
      <c r="E575" s="8" t="str">
        <f>IFERROR(__xludf.DUMMYFUNCTION("""COMPUTED_VALUE"""),"Real")</f>
        <v>Real</v>
      </c>
      <c r="G575" s="8">
        <f t="shared" si="1"/>
        <v>11</v>
      </c>
      <c r="H575" s="14">
        <f t="shared" si="2"/>
        <v>24</v>
      </c>
      <c r="I575" s="15">
        <f t="shared" si="3"/>
        <v>22</v>
      </c>
    </row>
    <row r="576">
      <c r="A576" s="8" t="str">
        <f>IFERROR(__xludf.DUMMYFUNCTION("IF('(INGESTA)Datos_consumo_datadis'!A576&lt;&gt;"""",SPLIT('(INGESTA)Datos_consumo_datadis'!A:A,"",""),"""")"),"ES0031408323131005HX0F")</f>
        <v>ES0031408323131005HX0F</v>
      </c>
      <c r="B576" s="17">
        <f>IFERROR(__xludf.DUMMYFUNCTION("""COMPUTED_VALUE"""),44889.0)</f>
        <v>44889</v>
      </c>
      <c r="C576" s="13">
        <f>IFERROR(__xludf.DUMMYFUNCTION("""COMPUTED_VALUE"""),0.9583333333333334)</f>
        <v>0.9583333333</v>
      </c>
      <c r="D576" s="8">
        <f>IFERROR(__xludf.DUMMYFUNCTION("""COMPUTED_VALUE"""),0.009)</f>
        <v>0.009</v>
      </c>
      <c r="E576" s="8" t="str">
        <f>IFERROR(__xludf.DUMMYFUNCTION("""COMPUTED_VALUE"""),"Real")</f>
        <v>Real</v>
      </c>
      <c r="G576" s="8">
        <f t="shared" si="1"/>
        <v>11</v>
      </c>
      <c r="H576" s="14">
        <f t="shared" si="2"/>
        <v>24</v>
      </c>
      <c r="I576" s="15">
        <f t="shared" si="3"/>
        <v>23</v>
      </c>
    </row>
    <row r="577">
      <c r="A577" s="8" t="str">
        <f>IFERROR(__xludf.DUMMYFUNCTION("IF('(INGESTA)Datos_consumo_datadis'!A577&lt;&gt;"""",SPLIT('(INGESTA)Datos_consumo_datadis'!A:A,"",""),"""")"),"ES0031408323131005HX0F")</f>
        <v>ES0031408323131005HX0F</v>
      </c>
      <c r="B577" s="17">
        <f>IFERROR(__xludf.DUMMYFUNCTION("""COMPUTED_VALUE"""),44889.0)</f>
        <v>44889</v>
      </c>
      <c r="C577" s="16">
        <f>IFERROR(__xludf.DUMMYFUNCTION("""COMPUTED_VALUE"""),1.0)</f>
        <v>1</v>
      </c>
      <c r="D577" s="8">
        <f>IFERROR(__xludf.DUMMYFUNCTION("""COMPUTED_VALUE"""),0.313)</f>
        <v>0.313</v>
      </c>
      <c r="E577" s="8" t="str">
        <f>IFERROR(__xludf.DUMMYFUNCTION("""COMPUTED_VALUE"""),"Real")</f>
        <v>Real</v>
      </c>
      <c r="G577" s="8">
        <f t="shared" si="1"/>
        <v>11</v>
      </c>
      <c r="H577" s="14">
        <f t="shared" si="2"/>
        <v>24</v>
      </c>
      <c r="I577" s="15">
        <f t="shared" si="3"/>
        <v>0</v>
      </c>
    </row>
    <row r="578">
      <c r="A578" s="8" t="str">
        <f>IFERROR(__xludf.DUMMYFUNCTION("IF('(INGESTA)Datos_consumo_datadis'!A578&lt;&gt;"""",SPLIT('(INGESTA)Datos_consumo_datadis'!A:A,"",""),"""")"),"ES0031408323131005HX0F")</f>
        <v>ES0031408323131005HX0F</v>
      </c>
      <c r="B578" s="17">
        <f>IFERROR(__xludf.DUMMYFUNCTION("""COMPUTED_VALUE"""),44890.0)</f>
        <v>44890</v>
      </c>
      <c r="C578" s="13">
        <f>IFERROR(__xludf.DUMMYFUNCTION("""COMPUTED_VALUE"""),0.041666666666666664)</f>
        <v>0.04166666667</v>
      </c>
      <c r="D578" s="8">
        <f>IFERROR(__xludf.DUMMYFUNCTION("""COMPUTED_VALUE"""),0.137)</f>
        <v>0.137</v>
      </c>
      <c r="E578" s="8" t="str">
        <f>IFERROR(__xludf.DUMMYFUNCTION("""COMPUTED_VALUE"""),"Real")</f>
        <v>Real</v>
      </c>
      <c r="G578" s="8">
        <f t="shared" si="1"/>
        <v>11</v>
      </c>
      <c r="H578" s="14">
        <f t="shared" si="2"/>
        <v>25</v>
      </c>
      <c r="I578" s="15">
        <f t="shared" si="3"/>
        <v>1</v>
      </c>
    </row>
    <row r="579">
      <c r="A579" s="8" t="str">
        <f>IFERROR(__xludf.DUMMYFUNCTION("IF('(INGESTA)Datos_consumo_datadis'!A579&lt;&gt;"""",SPLIT('(INGESTA)Datos_consumo_datadis'!A:A,"",""),"""")"),"ES0031408323131005HX0F")</f>
        <v>ES0031408323131005HX0F</v>
      </c>
      <c r="B579" s="17">
        <f>IFERROR(__xludf.DUMMYFUNCTION("""COMPUTED_VALUE"""),44890.0)</f>
        <v>44890</v>
      </c>
      <c r="C579" s="13">
        <f>IFERROR(__xludf.DUMMYFUNCTION("""COMPUTED_VALUE"""),0.08333333333333333)</f>
        <v>0.08333333333</v>
      </c>
      <c r="D579" s="8">
        <f>IFERROR(__xludf.DUMMYFUNCTION("""COMPUTED_VALUE"""),0.043)</f>
        <v>0.043</v>
      </c>
      <c r="E579" s="8" t="str">
        <f>IFERROR(__xludf.DUMMYFUNCTION("""COMPUTED_VALUE"""),"Real")</f>
        <v>Real</v>
      </c>
      <c r="G579" s="8">
        <f t="shared" si="1"/>
        <v>11</v>
      </c>
      <c r="H579" s="14">
        <f t="shared" si="2"/>
        <v>25</v>
      </c>
      <c r="I579" s="15">
        <f t="shared" si="3"/>
        <v>2</v>
      </c>
    </row>
    <row r="580">
      <c r="A580" s="8" t="str">
        <f>IFERROR(__xludf.DUMMYFUNCTION("IF('(INGESTA)Datos_consumo_datadis'!A580&lt;&gt;"""",SPLIT('(INGESTA)Datos_consumo_datadis'!A:A,"",""),"""")"),"ES0031408323131005HX0F")</f>
        <v>ES0031408323131005HX0F</v>
      </c>
      <c r="B580" s="17">
        <f>IFERROR(__xludf.DUMMYFUNCTION("""COMPUTED_VALUE"""),44890.0)</f>
        <v>44890</v>
      </c>
      <c r="C580" s="13">
        <f>IFERROR(__xludf.DUMMYFUNCTION("""COMPUTED_VALUE"""),0.125)</f>
        <v>0.125</v>
      </c>
      <c r="D580" s="8">
        <f>IFERROR(__xludf.DUMMYFUNCTION("""COMPUTED_VALUE"""),0.036)</f>
        <v>0.036</v>
      </c>
      <c r="E580" s="8" t="str">
        <f>IFERROR(__xludf.DUMMYFUNCTION("""COMPUTED_VALUE"""),"Real")</f>
        <v>Real</v>
      </c>
      <c r="G580" s="8">
        <f t="shared" si="1"/>
        <v>11</v>
      </c>
      <c r="H580" s="14">
        <f t="shared" si="2"/>
        <v>25</v>
      </c>
      <c r="I580" s="15">
        <f t="shared" si="3"/>
        <v>3</v>
      </c>
    </row>
    <row r="581">
      <c r="A581" s="8" t="str">
        <f>IFERROR(__xludf.DUMMYFUNCTION("IF('(INGESTA)Datos_consumo_datadis'!A581&lt;&gt;"""",SPLIT('(INGESTA)Datos_consumo_datadis'!A:A,"",""),"""")"),"ES0031408323131005HX0F")</f>
        <v>ES0031408323131005HX0F</v>
      </c>
      <c r="B581" s="17">
        <f>IFERROR(__xludf.DUMMYFUNCTION("""COMPUTED_VALUE"""),44890.0)</f>
        <v>44890</v>
      </c>
      <c r="C581" s="13">
        <f>IFERROR(__xludf.DUMMYFUNCTION("""COMPUTED_VALUE"""),0.16666666666666666)</f>
        <v>0.1666666667</v>
      </c>
      <c r="D581" s="8">
        <f>IFERROR(__xludf.DUMMYFUNCTION("""COMPUTED_VALUE"""),0.086)</f>
        <v>0.086</v>
      </c>
      <c r="E581" s="8" t="str">
        <f>IFERROR(__xludf.DUMMYFUNCTION("""COMPUTED_VALUE"""),"Real")</f>
        <v>Real</v>
      </c>
      <c r="G581" s="8">
        <f t="shared" si="1"/>
        <v>11</v>
      </c>
      <c r="H581" s="14">
        <f t="shared" si="2"/>
        <v>25</v>
      </c>
      <c r="I581" s="15">
        <f t="shared" si="3"/>
        <v>4</v>
      </c>
    </row>
    <row r="582">
      <c r="A582" s="8" t="str">
        <f>IFERROR(__xludf.DUMMYFUNCTION("IF('(INGESTA)Datos_consumo_datadis'!A582&lt;&gt;"""",SPLIT('(INGESTA)Datos_consumo_datadis'!A:A,"",""),"""")"),"ES0031408323131005HX0F")</f>
        <v>ES0031408323131005HX0F</v>
      </c>
      <c r="B582" s="17">
        <f>IFERROR(__xludf.DUMMYFUNCTION("""COMPUTED_VALUE"""),44890.0)</f>
        <v>44890</v>
      </c>
      <c r="C582" s="13">
        <f>IFERROR(__xludf.DUMMYFUNCTION("""COMPUTED_VALUE"""),0.20833333333333334)</f>
        <v>0.2083333333</v>
      </c>
      <c r="D582" s="8">
        <f>IFERROR(__xludf.DUMMYFUNCTION("""COMPUTED_VALUE"""),0.067)</f>
        <v>0.067</v>
      </c>
      <c r="E582" s="8" t="str">
        <f>IFERROR(__xludf.DUMMYFUNCTION("""COMPUTED_VALUE"""),"Real")</f>
        <v>Real</v>
      </c>
      <c r="G582" s="8">
        <f t="shared" si="1"/>
        <v>11</v>
      </c>
      <c r="H582" s="14">
        <f t="shared" si="2"/>
        <v>25</v>
      </c>
      <c r="I582" s="15">
        <f t="shared" si="3"/>
        <v>5</v>
      </c>
    </row>
    <row r="583">
      <c r="A583" s="8" t="str">
        <f>IFERROR(__xludf.DUMMYFUNCTION("IF('(INGESTA)Datos_consumo_datadis'!A583&lt;&gt;"""",SPLIT('(INGESTA)Datos_consumo_datadis'!A:A,"",""),"""")"),"ES0031408323131005HX0F")</f>
        <v>ES0031408323131005HX0F</v>
      </c>
      <c r="B583" s="17">
        <f>IFERROR(__xludf.DUMMYFUNCTION("""COMPUTED_VALUE"""),44890.0)</f>
        <v>44890</v>
      </c>
      <c r="C583" s="13">
        <f>IFERROR(__xludf.DUMMYFUNCTION("""COMPUTED_VALUE"""),0.25)</f>
        <v>0.25</v>
      </c>
      <c r="D583" s="8">
        <f>IFERROR(__xludf.DUMMYFUNCTION("""COMPUTED_VALUE"""),0.403)</f>
        <v>0.403</v>
      </c>
      <c r="E583" s="8" t="str">
        <f>IFERROR(__xludf.DUMMYFUNCTION("""COMPUTED_VALUE"""),"Real")</f>
        <v>Real</v>
      </c>
      <c r="G583" s="8">
        <f t="shared" si="1"/>
        <v>11</v>
      </c>
      <c r="H583" s="14">
        <f t="shared" si="2"/>
        <v>25</v>
      </c>
      <c r="I583" s="15">
        <f t="shared" si="3"/>
        <v>6</v>
      </c>
    </row>
    <row r="584">
      <c r="A584" s="8" t="str">
        <f>IFERROR(__xludf.DUMMYFUNCTION("IF('(INGESTA)Datos_consumo_datadis'!A584&lt;&gt;"""",SPLIT('(INGESTA)Datos_consumo_datadis'!A:A,"",""),"""")"),"ES0031408323131005HX0F")</f>
        <v>ES0031408323131005HX0F</v>
      </c>
      <c r="B584" s="17">
        <f>IFERROR(__xludf.DUMMYFUNCTION("""COMPUTED_VALUE"""),44890.0)</f>
        <v>44890</v>
      </c>
      <c r="C584" s="13">
        <f>IFERROR(__xludf.DUMMYFUNCTION("""COMPUTED_VALUE"""),0.2916666666666667)</f>
        <v>0.2916666667</v>
      </c>
      <c r="D584" s="8">
        <f>IFERROR(__xludf.DUMMYFUNCTION("""COMPUTED_VALUE"""),0.011)</f>
        <v>0.011</v>
      </c>
      <c r="E584" s="8" t="str">
        <f>IFERROR(__xludf.DUMMYFUNCTION("""COMPUTED_VALUE"""),"Real")</f>
        <v>Real</v>
      </c>
      <c r="G584" s="8">
        <f t="shared" si="1"/>
        <v>11</v>
      </c>
      <c r="H584" s="14">
        <f t="shared" si="2"/>
        <v>25</v>
      </c>
      <c r="I584" s="15">
        <f t="shared" si="3"/>
        <v>7</v>
      </c>
    </row>
    <row r="585">
      <c r="A585" s="8" t="str">
        <f>IFERROR(__xludf.DUMMYFUNCTION("IF('(INGESTA)Datos_consumo_datadis'!A585&lt;&gt;"""",SPLIT('(INGESTA)Datos_consumo_datadis'!A:A,"",""),"""")"),"ES0031408323131005HX0F")</f>
        <v>ES0031408323131005HX0F</v>
      </c>
      <c r="B585" s="17">
        <f>IFERROR(__xludf.DUMMYFUNCTION("""COMPUTED_VALUE"""),44890.0)</f>
        <v>44890</v>
      </c>
      <c r="C585" s="13">
        <f>IFERROR(__xludf.DUMMYFUNCTION("""COMPUTED_VALUE"""),0.3333333333333333)</f>
        <v>0.3333333333</v>
      </c>
      <c r="D585" s="8">
        <f>IFERROR(__xludf.DUMMYFUNCTION("""COMPUTED_VALUE"""),0.046)</f>
        <v>0.046</v>
      </c>
      <c r="E585" s="8" t="str">
        <f>IFERROR(__xludf.DUMMYFUNCTION("""COMPUTED_VALUE"""),"Real")</f>
        <v>Real</v>
      </c>
      <c r="G585" s="8">
        <f t="shared" si="1"/>
        <v>11</v>
      </c>
      <c r="H585" s="14">
        <f t="shared" si="2"/>
        <v>25</v>
      </c>
      <c r="I585" s="15">
        <f t="shared" si="3"/>
        <v>8</v>
      </c>
    </row>
    <row r="586">
      <c r="A586" s="8" t="str">
        <f>IFERROR(__xludf.DUMMYFUNCTION("IF('(INGESTA)Datos_consumo_datadis'!A586&lt;&gt;"""",SPLIT('(INGESTA)Datos_consumo_datadis'!A:A,"",""),"""")"),"ES0031408323131005HX0F")</f>
        <v>ES0031408323131005HX0F</v>
      </c>
      <c r="B586" s="17">
        <f>IFERROR(__xludf.DUMMYFUNCTION("""COMPUTED_VALUE"""),44890.0)</f>
        <v>44890</v>
      </c>
      <c r="C586" s="13">
        <f>IFERROR(__xludf.DUMMYFUNCTION("""COMPUTED_VALUE"""),0.375)</f>
        <v>0.375</v>
      </c>
      <c r="D586" s="8">
        <f>IFERROR(__xludf.DUMMYFUNCTION("""COMPUTED_VALUE"""),0.058)</f>
        <v>0.058</v>
      </c>
      <c r="E586" s="8" t="str">
        <f>IFERROR(__xludf.DUMMYFUNCTION("""COMPUTED_VALUE"""),"Real")</f>
        <v>Real</v>
      </c>
      <c r="G586" s="8">
        <f t="shared" si="1"/>
        <v>11</v>
      </c>
      <c r="H586" s="14">
        <f t="shared" si="2"/>
        <v>25</v>
      </c>
      <c r="I586" s="15">
        <f t="shared" si="3"/>
        <v>9</v>
      </c>
    </row>
    <row r="587">
      <c r="A587" s="8" t="str">
        <f>IFERROR(__xludf.DUMMYFUNCTION("IF('(INGESTA)Datos_consumo_datadis'!A587&lt;&gt;"""",SPLIT('(INGESTA)Datos_consumo_datadis'!A:A,"",""),"""")"),"ES0031408323131005HX0F")</f>
        <v>ES0031408323131005HX0F</v>
      </c>
      <c r="B587" s="17">
        <f>IFERROR(__xludf.DUMMYFUNCTION("""COMPUTED_VALUE"""),44890.0)</f>
        <v>44890</v>
      </c>
      <c r="C587" s="13">
        <f>IFERROR(__xludf.DUMMYFUNCTION("""COMPUTED_VALUE"""),0.4166666666666667)</f>
        <v>0.4166666667</v>
      </c>
      <c r="D587" s="8">
        <f>IFERROR(__xludf.DUMMYFUNCTION("""COMPUTED_VALUE"""),0.054)</f>
        <v>0.054</v>
      </c>
      <c r="E587" s="8" t="str">
        <f>IFERROR(__xludf.DUMMYFUNCTION("""COMPUTED_VALUE"""),"Real")</f>
        <v>Real</v>
      </c>
      <c r="G587" s="8">
        <f t="shared" si="1"/>
        <v>11</v>
      </c>
      <c r="H587" s="14">
        <f t="shared" si="2"/>
        <v>25</v>
      </c>
      <c r="I587" s="15">
        <f t="shared" si="3"/>
        <v>10</v>
      </c>
    </row>
    <row r="588">
      <c r="A588" s="8" t="str">
        <f>IFERROR(__xludf.DUMMYFUNCTION("IF('(INGESTA)Datos_consumo_datadis'!A588&lt;&gt;"""",SPLIT('(INGESTA)Datos_consumo_datadis'!A:A,"",""),"""")"),"ES0031408323131005HX0F")</f>
        <v>ES0031408323131005HX0F</v>
      </c>
      <c r="B588" s="17">
        <f>IFERROR(__xludf.DUMMYFUNCTION("""COMPUTED_VALUE"""),44890.0)</f>
        <v>44890</v>
      </c>
      <c r="C588" s="13">
        <f>IFERROR(__xludf.DUMMYFUNCTION("""COMPUTED_VALUE"""),0.4583333333333333)</f>
        <v>0.4583333333</v>
      </c>
      <c r="D588" s="8">
        <f>IFERROR(__xludf.DUMMYFUNCTION("""COMPUTED_VALUE"""),0.011)</f>
        <v>0.011</v>
      </c>
      <c r="E588" s="8" t="str">
        <f>IFERROR(__xludf.DUMMYFUNCTION("""COMPUTED_VALUE"""),"Real")</f>
        <v>Real</v>
      </c>
      <c r="G588" s="8">
        <f t="shared" si="1"/>
        <v>11</v>
      </c>
      <c r="H588" s="14">
        <f t="shared" si="2"/>
        <v>25</v>
      </c>
      <c r="I588" s="15">
        <f t="shared" si="3"/>
        <v>11</v>
      </c>
    </row>
    <row r="589">
      <c r="A589" s="8" t="str">
        <f>IFERROR(__xludf.DUMMYFUNCTION("IF('(INGESTA)Datos_consumo_datadis'!A589&lt;&gt;"""",SPLIT('(INGESTA)Datos_consumo_datadis'!A:A,"",""),"""")"),"ES0031408323131005HX0F")</f>
        <v>ES0031408323131005HX0F</v>
      </c>
      <c r="B589" s="17">
        <f>IFERROR(__xludf.DUMMYFUNCTION("""COMPUTED_VALUE"""),44890.0)</f>
        <v>44890</v>
      </c>
      <c r="C589" s="13">
        <f>IFERROR(__xludf.DUMMYFUNCTION("""COMPUTED_VALUE"""),0.5)</f>
        <v>0.5</v>
      </c>
      <c r="D589" s="8">
        <f>IFERROR(__xludf.DUMMYFUNCTION("""COMPUTED_VALUE"""),0.315)</f>
        <v>0.315</v>
      </c>
      <c r="E589" s="8" t="str">
        <f>IFERROR(__xludf.DUMMYFUNCTION("""COMPUTED_VALUE"""),"Real")</f>
        <v>Real</v>
      </c>
      <c r="G589" s="8">
        <f t="shared" si="1"/>
        <v>11</v>
      </c>
      <c r="H589" s="14">
        <f t="shared" si="2"/>
        <v>25</v>
      </c>
      <c r="I589" s="15">
        <f t="shared" si="3"/>
        <v>12</v>
      </c>
    </row>
    <row r="590">
      <c r="A590" s="8" t="str">
        <f>IFERROR(__xludf.DUMMYFUNCTION("IF('(INGESTA)Datos_consumo_datadis'!A590&lt;&gt;"""",SPLIT('(INGESTA)Datos_consumo_datadis'!A:A,"",""),"""")"),"ES0031408323131005HX0F")</f>
        <v>ES0031408323131005HX0F</v>
      </c>
      <c r="B590" s="17">
        <f>IFERROR(__xludf.DUMMYFUNCTION("""COMPUTED_VALUE"""),44890.0)</f>
        <v>44890</v>
      </c>
      <c r="C590" s="13">
        <f>IFERROR(__xludf.DUMMYFUNCTION("""COMPUTED_VALUE"""),0.5416666666666666)</f>
        <v>0.5416666667</v>
      </c>
      <c r="D590" s="8">
        <f>IFERROR(__xludf.DUMMYFUNCTION("""COMPUTED_VALUE"""),0.078)</f>
        <v>0.078</v>
      </c>
      <c r="E590" s="8" t="str">
        <f>IFERROR(__xludf.DUMMYFUNCTION("""COMPUTED_VALUE"""),"Real")</f>
        <v>Real</v>
      </c>
      <c r="G590" s="8">
        <f t="shared" si="1"/>
        <v>11</v>
      </c>
      <c r="H590" s="14">
        <f t="shared" si="2"/>
        <v>25</v>
      </c>
      <c r="I590" s="15">
        <f t="shared" si="3"/>
        <v>13</v>
      </c>
    </row>
    <row r="591">
      <c r="A591" s="8" t="str">
        <f>IFERROR(__xludf.DUMMYFUNCTION("IF('(INGESTA)Datos_consumo_datadis'!A591&lt;&gt;"""",SPLIT('(INGESTA)Datos_consumo_datadis'!A:A,"",""),"""")"),"ES0031408323131005HX0F")</f>
        <v>ES0031408323131005HX0F</v>
      </c>
      <c r="B591" s="17">
        <f>IFERROR(__xludf.DUMMYFUNCTION("""COMPUTED_VALUE"""),44890.0)</f>
        <v>44890</v>
      </c>
      <c r="C591" s="13">
        <f>IFERROR(__xludf.DUMMYFUNCTION("""COMPUTED_VALUE"""),0.5833333333333334)</f>
        <v>0.5833333333</v>
      </c>
      <c r="D591" s="8">
        <f>IFERROR(__xludf.DUMMYFUNCTION("""COMPUTED_VALUE"""),0.036)</f>
        <v>0.036</v>
      </c>
      <c r="E591" s="8" t="str">
        <f>IFERROR(__xludf.DUMMYFUNCTION("""COMPUTED_VALUE"""),"Real")</f>
        <v>Real</v>
      </c>
      <c r="G591" s="8">
        <f t="shared" si="1"/>
        <v>11</v>
      </c>
      <c r="H591" s="14">
        <f t="shared" si="2"/>
        <v>25</v>
      </c>
      <c r="I591" s="15">
        <f t="shared" si="3"/>
        <v>14</v>
      </c>
    </row>
    <row r="592">
      <c r="A592" s="8" t="str">
        <f>IFERROR(__xludf.DUMMYFUNCTION("IF('(INGESTA)Datos_consumo_datadis'!A592&lt;&gt;"""",SPLIT('(INGESTA)Datos_consumo_datadis'!A:A,"",""),"""")"),"ES0031408323131005HX0F")</f>
        <v>ES0031408323131005HX0F</v>
      </c>
      <c r="B592" s="17">
        <f>IFERROR(__xludf.DUMMYFUNCTION("""COMPUTED_VALUE"""),44890.0)</f>
        <v>44890</v>
      </c>
      <c r="C592" s="13">
        <f>IFERROR(__xludf.DUMMYFUNCTION("""COMPUTED_VALUE"""),0.625)</f>
        <v>0.625</v>
      </c>
      <c r="D592" s="8">
        <f>IFERROR(__xludf.DUMMYFUNCTION("""COMPUTED_VALUE"""),0.031)</f>
        <v>0.031</v>
      </c>
      <c r="E592" s="8" t="str">
        <f>IFERROR(__xludf.DUMMYFUNCTION("""COMPUTED_VALUE"""),"Real")</f>
        <v>Real</v>
      </c>
      <c r="G592" s="8">
        <f t="shared" si="1"/>
        <v>11</v>
      </c>
      <c r="H592" s="14">
        <f t="shared" si="2"/>
        <v>25</v>
      </c>
      <c r="I592" s="15">
        <f t="shared" si="3"/>
        <v>15</v>
      </c>
    </row>
    <row r="593">
      <c r="A593" s="8" t="str">
        <f>IFERROR(__xludf.DUMMYFUNCTION("IF('(INGESTA)Datos_consumo_datadis'!A593&lt;&gt;"""",SPLIT('(INGESTA)Datos_consumo_datadis'!A:A,"",""),"""")"),"ES0031408323131005HX0F")</f>
        <v>ES0031408323131005HX0F</v>
      </c>
      <c r="B593" s="17">
        <f>IFERROR(__xludf.DUMMYFUNCTION("""COMPUTED_VALUE"""),44890.0)</f>
        <v>44890</v>
      </c>
      <c r="C593" s="13">
        <f>IFERROR(__xludf.DUMMYFUNCTION("""COMPUTED_VALUE"""),0.6666666666666666)</f>
        <v>0.6666666667</v>
      </c>
      <c r="D593" s="8">
        <f>IFERROR(__xludf.DUMMYFUNCTION("""COMPUTED_VALUE"""),0.009)</f>
        <v>0.009</v>
      </c>
      <c r="E593" s="8" t="str">
        <f>IFERROR(__xludf.DUMMYFUNCTION("""COMPUTED_VALUE"""),"Real")</f>
        <v>Real</v>
      </c>
      <c r="G593" s="8">
        <f t="shared" si="1"/>
        <v>11</v>
      </c>
      <c r="H593" s="14">
        <f t="shared" si="2"/>
        <v>25</v>
      </c>
      <c r="I593" s="15">
        <f t="shared" si="3"/>
        <v>16</v>
      </c>
    </row>
    <row r="594">
      <c r="A594" s="8" t="str">
        <f>IFERROR(__xludf.DUMMYFUNCTION("IF('(INGESTA)Datos_consumo_datadis'!A594&lt;&gt;"""",SPLIT('(INGESTA)Datos_consumo_datadis'!A:A,"",""),"""")"),"ES0031408323131005HX0F")</f>
        <v>ES0031408323131005HX0F</v>
      </c>
      <c r="B594" s="17">
        <f>IFERROR(__xludf.DUMMYFUNCTION("""COMPUTED_VALUE"""),44890.0)</f>
        <v>44890</v>
      </c>
      <c r="C594" s="13">
        <f>IFERROR(__xludf.DUMMYFUNCTION("""COMPUTED_VALUE"""),0.7083333333333334)</f>
        <v>0.7083333333</v>
      </c>
      <c r="D594" s="8">
        <f>IFERROR(__xludf.DUMMYFUNCTION("""COMPUTED_VALUE"""),0.084)</f>
        <v>0.084</v>
      </c>
      <c r="E594" s="8" t="str">
        <f>IFERROR(__xludf.DUMMYFUNCTION("""COMPUTED_VALUE"""),"Real")</f>
        <v>Real</v>
      </c>
      <c r="G594" s="8">
        <f t="shared" si="1"/>
        <v>11</v>
      </c>
      <c r="H594" s="14">
        <f t="shared" si="2"/>
        <v>25</v>
      </c>
      <c r="I594" s="15">
        <f t="shared" si="3"/>
        <v>17</v>
      </c>
    </row>
    <row r="595">
      <c r="A595" s="8" t="str">
        <f>IFERROR(__xludf.DUMMYFUNCTION("IF('(INGESTA)Datos_consumo_datadis'!A595&lt;&gt;"""",SPLIT('(INGESTA)Datos_consumo_datadis'!A:A,"",""),"""")"),"ES0031408323131005HX0F")</f>
        <v>ES0031408323131005HX0F</v>
      </c>
      <c r="B595" s="17">
        <f>IFERROR(__xludf.DUMMYFUNCTION("""COMPUTED_VALUE"""),44890.0)</f>
        <v>44890</v>
      </c>
      <c r="C595" s="13">
        <f>IFERROR(__xludf.DUMMYFUNCTION("""COMPUTED_VALUE"""),0.75)</f>
        <v>0.75</v>
      </c>
      <c r="D595" s="8">
        <f>IFERROR(__xludf.DUMMYFUNCTION("""COMPUTED_VALUE"""),0.342)</f>
        <v>0.342</v>
      </c>
      <c r="E595" s="8" t="str">
        <f>IFERROR(__xludf.DUMMYFUNCTION("""COMPUTED_VALUE"""),"Real")</f>
        <v>Real</v>
      </c>
      <c r="G595" s="8">
        <f t="shared" si="1"/>
        <v>11</v>
      </c>
      <c r="H595" s="14">
        <f t="shared" si="2"/>
        <v>25</v>
      </c>
      <c r="I595" s="15">
        <f t="shared" si="3"/>
        <v>18</v>
      </c>
    </row>
    <row r="596">
      <c r="A596" s="8" t="str">
        <f>IFERROR(__xludf.DUMMYFUNCTION("IF('(INGESTA)Datos_consumo_datadis'!A596&lt;&gt;"""",SPLIT('(INGESTA)Datos_consumo_datadis'!A:A,"",""),"""")"),"ES0031408323131005HX0F")</f>
        <v>ES0031408323131005HX0F</v>
      </c>
      <c r="B596" s="17">
        <f>IFERROR(__xludf.DUMMYFUNCTION("""COMPUTED_VALUE"""),44890.0)</f>
        <v>44890</v>
      </c>
      <c r="C596" s="13">
        <f>IFERROR(__xludf.DUMMYFUNCTION("""COMPUTED_VALUE"""),0.7916666666666666)</f>
        <v>0.7916666667</v>
      </c>
      <c r="D596" s="8">
        <f>IFERROR(__xludf.DUMMYFUNCTION("""COMPUTED_VALUE"""),0.034)</f>
        <v>0.034</v>
      </c>
      <c r="E596" s="8" t="str">
        <f>IFERROR(__xludf.DUMMYFUNCTION("""COMPUTED_VALUE"""),"Real")</f>
        <v>Real</v>
      </c>
      <c r="G596" s="8">
        <f t="shared" si="1"/>
        <v>11</v>
      </c>
      <c r="H596" s="14">
        <f t="shared" si="2"/>
        <v>25</v>
      </c>
      <c r="I596" s="15">
        <f t="shared" si="3"/>
        <v>19</v>
      </c>
    </row>
    <row r="597">
      <c r="A597" s="8" t="str">
        <f>IFERROR(__xludf.DUMMYFUNCTION("IF('(INGESTA)Datos_consumo_datadis'!A597&lt;&gt;"""",SPLIT('(INGESTA)Datos_consumo_datadis'!A:A,"",""),"""")"),"ES0031408323131005HX0F")</f>
        <v>ES0031408323131005HX0F</v>
      </c>
      <c r="B597" s="17">
        <f>IFERROR(__xludf.DUMMYFUNCTION("""COMPUTED_VALUE"""),44890.0)</f>
        <v>44890</v>
      </c>
      <c r="C597" s="13">
        <f>IFERROR(__xludf.DUMMYFUNCTION("""COMPUTED_VALUE"""),0.8333333333333334)</f>
        <v>0.8333333333</v>
      </c>
      <c r="D597" s="8">
        <f>IFERROR(__xludf.DUMMYFUNCTION("""COMPUTED_VALUE"""),0.009)</f>
        <v>0.009</v>
      </c>
      <c r="E597" s="8" t="str">
        <f>IFERROR(__xludf.DUMMYFUNCTION("""COMPUTED_VALUE"""),"Real")</f>
        <v>Real</v>
      </c>
      <c r="G597" s="8">
        <f t="shared" si="1"/>
        <v>11</v>
      </c>
      <c r="H597" s="14">
        <f t="shared" si="2"/>
        <v>25</v>
      </c>
      <c r="I597" s="15">
        <f t="shared" si="3"/>
        <v>20</v>
      </c>
    </row>
    <row r="598">
      <c r="A598" s="8" t="str">
        <f>IFERROR(__xludf.DUMMYFUNCTION("IF('(INGESTA)Datos_consumo_datadis'!A598&lt;&gt;"""",SPLIT('(INGESTA)Datos_consumo_datadis'!A:A,"",""),"""")"),"ES0031408323131005HX0F")</f>
        <v>ES0031408323131005HX0F</v>
      </c>
      <c r="B598" s="17">
        <f>IFERROR(__xludf.DUMMYFUNCTION("""COMPUTED_VALUE"""),44890.0)</f>
        <v>44890</v>
      </c>
      <c r="C598" s="13">
        <f>IFERROR(__xludf.DUMMYFUNCTION("""COMPUTED_VALUE"""),0.875)</f>
        <v>0.875</v>
      </c>
      <c r="D598" s="8">
        <f>IFERROR(__xludf.DUMMYFUNCTION("""COMPUTED_VALUE"""),0.074)</f>
        <v>0.074</v>
      </c>
      <c r="E598" s="8" t="str">
        <f>IFERROR(__xludf.DUMMYFUNCTION("""COMPUTED_VALUE"""),"Real")</f>
        <v>Real</v>
      </c>
      <c r="G598" s="8">
        <f t="shared" si="1"/>
        <v>11</v>
      </c>
      <c r="H598" s="14">
        <f t="shared" si="2"/>
        <v>25</v>
      </c>
      <c r="I598" s="15">
        <f t="shared" si="3"/>
        <v>21</v>
      </c>
    </row>
    <row r="599">
      <c r="A599" s="8" t="str">
        <f>IFERROR(__xludf.DUMMYFUNCTION("IF('(INGESTA)Datos_consumo_datadis'!A599&lt;&gt;"""",SPLIT('(INGESTA)Datos_consumo_datadis'!A:A,"",""),"""")"),"ES0031408323131005HX0F")</f>
        <v>ES0031408323131005HX0F</v>
      </c>
      <c r="B599" s="17">
        <f>IFERROR(__xludf.DUMMYFUNCTION("""COMPUTED_VALUE"""),44890.0)</f>
        <v>44890</v>
      </c>
      <c r="C599" s="13">
        <f>IFERROR(__xludf.DUMMYFUNCTION("""COMPUTED_VALUE"""),0.9166666666666666)</f>
        <v>0.9166666667</v>
      </c>
      <c r="D599" s="8">
        <f>IFERROR(__xludf.DUMMYFUNCTION("""COMPUTED_VALUE"""),0.044)</f>
        <v>0.044</v>
      </c>
      <c r="E599" s="8" t="str">
        <f>IFERROR(__xludf.DUMMYFUNCTION("""COMPUTED_VALUE"""),"Real")</f>
        <v>Real</v>
      </c>
      <c r="G599" s="8">
        <f t="shared" si="1"/>
        <v>11</v>
      </c>
      <c r="H599" s="14">
        <f t="shared" si="2"/>
        <v>25</v>
      </c>
      <c r="I599" s="15">
        <f t="shared" si="3"/>
        <v>22</v>
      </c>
    </row>
    <row r="600">
      <c r="A600" s="8" t="str">
        <f>IFERROR(__xludf.DUMMYFUNCTION("IF('(INGESTA)Datos_consumo_datadis'!A600&lt;&gt;"""",SPLIT('(INGESTA)Datos_consumo_datadis'!A:A,"",""),"""")"),"ES0031408323131005HX0F")</f>
        <v>ES0031408323131005HX0F</v>
      </c>
      <c r="B600" s="17">
        <f>IFERROR(__xludf.DUMMYFUNCTION("""COMPUTED_VALUE"""),44890.0)</f>
        <v>44890</v>
      </c>
      <c r="C600" s="13">
        <f>IFERROR(__xludf.DUMMYFUNCTION("""COMPUTED_VALUE"""),0.9583333333333334)</f>
        <v>0.9583333333</v>
      </c>
      <c r="D600" s="8">
        <f>IFERROR(__xludf.DUMMYFUNCTION("""COMPUTED_VALUE"""),0.034)</f>
        <v>0.034</v>
      </c>
      <c r="E600" s="8" t="str">
        <f>IFERROR(__xludf.DUMMYFUNCTION("""COMPUTED_VALUE"""),"Real")</f>
        <v>Real</v>
      </c>
      <c r="G600" s="8">
        <f t="shared" si="1"/>
        <v>11</v>
      </c>
      <c r="H600" s="14">
        <f t="shared" si="2"/>
        <v>25</v>
      </c>
      <c r="I600" s="15">
        <f t="shared" si="3"/>
        <v>23</v>
      </c>
    </row>
    <row r="601">
      <c r="A601" s="8" t="str">
        <f>IFERROR(__xludf.DUMMYFUNCTION("IF('(INGESTA)Datos_consumo_datadis'!A601&lt;&gt;"""",SPLIT('(INGESTA)Datos_consumo_datadis'!A:A,"",""),"""")"),"ES0031408323131005HX0F")</f>
        <v>ES0031408323131005HX0F</v>
      </c>
      <c r="B601" s="17">
        <f>IFERROR(__xludf.DUMMYFUNCTION("""COMPUTED_VALUE"""),44890.0)</f>
        <v>44890</v>
      </c>
      <c r="C601" s="16">
        <f>IFERROR(__xludf.DUMMYFUNCTION("""COMPUTED_VALUE"""),1.0)</f>
        <v>1</v>
      </c>
      <c r="D601" s="8">
        <f>IFERROR(__xludf.DUMMYFUNCTION("""COMPUTED_VALUE"""),0.302)</f>
        <v>0.302</v>
      </c>
      <c r="E601" s="8" t="str">
        <f>IFERROR(__xludf.DUMMYFUNCTION("""COMPUTED_VALUE"""),"Real")</f>
        <v>Real</v>
      </c>
      <c r="G601" s="8">
        <f t="shared" si="1"/>
        <v>11</v>
      </c>
      <c r="H601" s="14">
        <f t="shared" si="2"/>
        <v>25</v>
      </c>
      <c r="I601" s="15">
        <f t="shared" si="3"/>
        <v>0</v>
      </c>
    </row>
    <row r="602">
      <c r="A602" s="8" t="str">
        <f>IFERROR(__xludf.DUMMYFUNCTION("IF('(INGESTA)Datos_consumo_datadis'!A602&lt;&gt;"""",SPLIT('(INGESTA)Datos_consumo_datadis'!A:A,"",""),"""")"),"ES0031408323131005HX0F")</f>
        <v>ES0031408323131005HX0F</v>
      </c>
      <c r="B602" s="17">
        <f>IFERROR(__xludf.DUMMYFUNCTION("""COMPUTED_VALUE"""),44891.0)</f>
        <v>44891</v>
      </c>
      <c r="C602" s="13">
        <f>IFERROR(__xludf.DUMMYFUNCTION("""COMPUTED_VALUE"""),0.041666666666666664)</f>
        <v>0.04166666667</v>
      </c>
      <c r="D602" s="8">
        <f>IFERROR(__xludf.DUMMYFUNCTION("""COMPUTED_VALUE"""),0.061)</f>
        <v>0.061</v>
      </c>
      <c r="E602" s="8" t="str">
        <f>IFERROR(__xludf.DUMMYFUNCTION("""COMPUTED_VALUE"""),"Real")</f>
        <v>Real</v>
      </c>
      <c r="G602" s="8">
        <f t="shared" si="1"/>
        <v>11</v>
      </c>
      <c r="H602" s="14">
        <f t="shared" si="2"/>
        <v>26</v>
      </c>
      <c r="I602" s="15">
        <f t="shared" si="3"/>
        <v>1</v>
      </c>
    </row>
    <row r="603">
      <c r="A603" s="8" t="str">
        <f>IFERROR(__xludf.DUMMYFUNCTION("IF('(INGESTA)Datos_consumo_datadis'!A603&lt;&gt;"""",SPLIT('(INGESTA)Datos_consumo_datadis'!A:A,"",""),"""")"),"ES0031408323131005HX0F")</f>
        <v>ES0031408323131005HX0F</v>
      </c>
      <c r="B603" s="17">
        <f>IFERROR(__xludf.DUMMYFUNCTION("""COMPUTED_VALUE"""),44891.0)</f>
        <v>44891</v>
      </c>
      <c r="C603" s="13">
        <f>IFERROR(__xludf.DUMMYFUNCTION("""COMPUTED_VALUE"""),0.08333333333333333)</f>
        <v>0.08333333333</v>
      </c>
      <c r="D603" s="8">
        <f>IFERROR(__xludf.DUMMYFUNCTION("""COMPUTED_VALUE"""),0.068)</f>
        <v>0.068</v>
      </c>
      <c r="E603" s="8" t="str">
        <f>IFERROR(__xludf.DUMMYFUNCTION("""COMPUTED_VALUE"""),"Real")</f>
        <v>Real</v>
      </c>
      <c r="G603" s="8">
        <f t="shared" si="1"/>
        <v>11</v>
      </c>
      <c r="H603" s="14">
        <f t="shared" si="2"/>
        <v>26</v>
      </c>
      <c r="I603" s="15">
        <f t="shared" si="3"/>
        <v>2</v>
      </c>
    </row>
    <row r="604">
      <c r="A604" s="8" t="str">
        <f>IFERROR(__xludf.DUMMYFUNCTION("IF('(INGESTA)Datos_consumo_datadis'!A604&lt;&gt;"""",SPLIT('(INGESTA)Datos_consumo_datadis'!A:A,"",""),"""")"),"ES0031408323131005HX0F")</f>
        <v>ES0031408323131005HX0F</v>
      </c>
      <c r="B604" s="17">
        <f>IFERROR(__xludf.DUMMYFUNCTION("""COMPUTED_VALUE"""),44891.0)</f>
        <v>44891</v>
      </c>
      <c r="C604" s="13">
        <f>IFERROR(__xludf.DUMMYFUNCTION("""COMPUTED_VALUE"""),0.125)</f>
        <v>0.125</v>
      </c>
      <c r="D604" s="8">
        <f>IFERROR(__xludf.DUMMYFUNCTION("""COMPUTED_VALUE"""),0.077)</f>
        <v>0.077</v>
      </c>
      <c r="E604" s="8" t="str">
        <f>IFERROR(__xludf.DUMMYFUNCTION("""COMPUTED_VALUE"""),"Real")</f>
        <v>Real</v>
      </c>
      <c r="G604" s="8">
        <f t="shared" si="1"/>
        <v>11</v>
      </c>
      <c r="H604" s="14">
        <f t="shared" si="2"/>
        <v>26</v>
      </c>
      <c r="I604" s="15">
        <f t="shared" si="3"/>
        <v>3</v>
      </c>
    </row>
    <row r="605">
      <c r="A605" s="8" t="str">
        <f>IFERROR(__xludf.DUMMYFUNCTION("IF('(INGESTA)Datos_consumo_datadis'!A605&lt;&gt;"""",SPLIT('(INGESTA)Datos_consumo_datadis'!A:A,"",""),"""")"),"ES0031408323131005HX0F")</f>
        <v>ES0031408323131005HX0F</v>
      </c>
      <c r="B605" s="17">
        <f>IFERROR(__xludf.DUMMYFUNCTION("""COMPUTED_VALUE"""),44891.0)</f>
        <v>44891</v>
      </c>
      <c r="C605" s="13">
        <f>IFERROR(__xludf.DUMMYFUNCTION("""COMPUTED_VALUE"""),0.16666666666666666)</f>
        <v>0.1666666667</v>
      </c>
      <c r="D605" s="8">
        <f>IFERROR(__xludf.DUMMYFUNCTION("""COMPUTED_VALUE"""),0.024)</f>
        <v>0.024</v>
      </c>
      <c r="E605" s="8" t="str">
        <f>IFERROR(__xludf.DUMMYFUNCTION("""COMPUTED_VALUE"""),"Real")</f>
        <v>Real</v>
      </c>
      <c r="G605" s="8">
        <f t="shared" si="1"/>
        <v>11</v>
      </c>
      <c r="H605" s="14">
        <f t="shared" si="2"/>
        <v>26</v>
      </c>
      <c r="I605" s="15">
        <f t="shared" si="3"/>
        <v>4</v>
      </c>
    </row>
    <row r="606">
      <c r="A606" s="8" t="str">
        <f>IFERROR(__xludf.DUMMYFUNCTION("IF('(INGESTA)Datos_consumo_datadis'!A606&lt;&gt;"""",SPLIT('(INGESTA)Datos_consumo_datadis'!A:A,"",""),"""")"),"ES0031408323131005HX0F")</f>
        <v>ES0031408323131005HX0F</v>
      </c>
      <c r="B606" s="17">
        <f>IFERROR(__xludf.DUMMYFUNCTION("""COMPUTED_VALUE"""),44891.0)</f>
        <v>44891</v>
      </c>
      <c r="C606" s="13">
        <f>IFERROR(__xludf.DUMMYFUNCTION("""COMPUTED_VALUE"""),0.20833333333333334)</f>
        <v>0.2083333333</v>
      </c>
      <c r="D606" s="8">
        <f>IFERROR(__xludf.DUMMYFUNCTION("""COMPUTED_VALUE"""),0.029)</f>
        <v>0.029</v>
      </c>
      <c r="E606" s="8" t="str">
        <f>IFERROR(__xludf.DUMMYFUNCTION("""COMPUTED_VALUE"""),"Real")</f>
        <v>Real</v>
      </c>
      <c r="G606" s="8">
        <f t="shared" si="1"/>
        <v>11</v>
      </c>
      <c r="H606" s="14">
        <f t="shared" si="2"/>
        <v>26</v>
      </c>
      <c r="I606" s="15">
        <f t="shared" si="3"/>
        <v>5</v>
      </c>
    </row>
    <row r="607">
      <c r="A607" s="8" t="str">
        <f>IFERROR(__xludf.DUMMYFUNCTION("IF('(INGESTA)Datos_consumo_datadis'!A607&lt;&gt;"""",SPLIT('(INGESTA)Datos_consumo_datadis'!A:A,"",""),"""")"),"ES0031408323131005HX0F")</f>
        <v>ES0031408323131005HX0F</v>
      </c>
      <c r="B607" s="17">
        <f>IFERROR(__xludf.DUMMYFUNCTION("""COMPUTED_VALUE"""),44891.0)</f>
        <v>44891</v>
      </c>
      <c r="C607" s="13">
        <f>IFERROR(__xludf.DUMMYFUNCTION("""COMPUTED_VALUE"""),0.25)</f>
        <v>0.25</v>
      </c>
      <c r="D607" s="8">
        <f>IFERROR(__xludf.DUMMYFUNCTION("""COMPUTED_VALUE"""),0.439)</f>
        <v>0.439</v>
      </c>
      <c r="E607" s="8" t="str">
        <f>IFERROR(__xludf.DUMMYFUNCTION("""COMPUTED_VALUE"""),"Real")</f>
        <v>Real</v>
      </c>
      <c r="G607" s="8">
        <f t="shared" si="1"/>
        <v>11</v>
      </c>
      <c r="H607" s="14">
        <f t="shared" si="2"/>
        <v>26</v>
      </c>
      <c r="I607" s="15">
        <f t="shared" si="3"/>
        <v>6</v>
      </c>
    </row>
    <row r="608">
      <c r="A608" s="8" t="str">
        <f>IFERROR(__xludf.DUMMYFUNCTION("IF('(INGESTA)Datos_consumo_datadis'!A608&lt;&gt;"""",SPLIT('(INGESTA)Datos_consumo_datadis'!A:A,"",""),"""")"),"ES0031408323131005HX0F")</f>
        <v>ES0031408323131005HX0F</v>
      </c>
      <c r="B608" s="17">
        <f>IFERROR(__xludf.DUMMYFUNCTION("""COMPUTED_VALUE"""),44891.0)</f>
        <v>44891</v>
      </c>
      <c r="C608" s="13">
        <f>IFERROR(__xludf.DUMMYFUNCTION("""COMPUTED_VALUE"""),0.2916666666666667)</f>
        <v>0.2916666667</v>
      </c>
      <c r="D608" s="8">
        <f>IFERROR(__xludf.DUMMYFUNCTION("""COMPUTED_VALUE"""),0.052)</f>
        <v>0.052</v>
      </c>
      <c r="E608" s="8" t="str">
        <f>IFERROR(__xludf.DUMMYFUNCTION("""COMPUTED_VALUE"""),"Real")</f>
        <v>Real</v>
      </c>
      <c r="G608" s="8">
        <f t="shared" si="1"/>
        <v>11</v>
      </c>
      <c r="H608" s="14">
        <f t="shared" si="2"/>
        <v>26</v>
      </c>
      <c r="I608" s="15">
        <f t="shared" si="3"/>
        <v>7</v>
      </c>
    </row>
    <row r="609">
      <c r="A609" s="8" t="str">
        <f>IFERROR(__xludf.DUMMYFUNCTION("IF('(INGESTA)Datos_consumo_datadis'!A609&lt;&gt;"""",SPLIT('(INGESTA)Datos_consumo_datadis'!A:A,"",""),"""")"),"ES0031408323131005HX0F")</f>
        <v>ES0031408323131005HX0F</v>
      </c>
      <c r="B609" s="17">
        <f>IFERROR(__xludf.DUMMYFUNCTION("""COMPUTED_VALUE"""),44891.0)</f>
        <v>44891</v>
      </c>
      <c r="C609" s="13">
        <f>IFERROR(__xludf.DUMMYFUNCTION("""COMPUTED_VALUE"""),0.3333333333333333)</f>
        <v>0.3333333333</v>
      </c>
      <c r="D609" s="8">
        <f>IFERROR(__xludf.DUMMYFUNCTION("""COMPUTED_VALUE"""),0.025)</f>
        <v>0.025</v>
      </c>
      <c r="E609" s="8" t="str">
        <f>IFERROR(__xludf.DUMMYFUNCTION("""COMPUTED_VALUE"""),"Real")</f>
        <v>Real</v>
      </c>
      <c r="G609" s="8">
        <f t="shared" si="1"/>
        <v>11</v>
      </c>
      <c r="H609" s="14">
        <f t="shared" si="2"/>
        <v>26</v>
      </c>
      <c r="I609" s="15">
        <f t="shared" si="3"/>
        <v>8</v>
      </c>
    </row>
    <row r="610">
      <c r="A610" s="8" t="str">
        <f>IFERROR(__xludf.DUMMYFUNCTION("IF('(INGESTA)Datos_consumo_datadis'!A610&lt;&gt;"""",SPLIT('(INGESTA)Datos_consumo_datadis'!A:A,"",""),"""")"),"ES0031408323131005HX0F")</f>
        <v>ES0031408323131005HX0F</v>
      </c>
      <c r="B610" s="17">
        <f>IFERROR(__xludf.DUMMYFUNCTION("""COMPUTED_VALUE"""),44891.0)</f>
        <v>44891</v>
      </c>
      <c r="C610" s="13">
        <f>IFERROR(__xludf.DUMMYFUNCTION("""COMPUTED_VALUE"""),0.375)</f>
        <v>0.375</v>
      </c>
      <c r="D610" s="8">
        <f>IFERROR(__xludf.DUMMYFUNCTION("""COMPUTED_VALUE"""),0.011)</f>
        <v>0.011</v>
      </c>
      <c r="E610" s="8" t="str">
        <f>IFERROR(__xludf.DUMMYFUNCTION("""COMPUTED_VALUE"""),"Real")</f>
        <v>Real</v>
      </c>
      <c r="G610" s="8">
        <f t="shared" si="1"/>
        <v>11</v>
      </c>
      <c r="H610" s="14">
        <f t="shared" si="2"/>
        <v>26</v>
      </c>
      <c r="I610" s="15">
        <f t="shared" si="3"/>
        <v>9</v>
      </c>
    </row>
    <row r="611">
      <c r="A611" s="8" t="str">
        <f>IFERROR(__xludf.DUMMYFUNCTION("IF('(INGESTA)Datos_consumo_datadis'!A611&lt;&gt;"""",SPLIT('(INGESTA)Datos_consumo_datadis'!A:A,"",""),"""")"),"ES0031408323131005HX0F")</f>
        <v>ES0031408323131005HX0F</v>
      </c>
      <c r="B611" s="17">
        <f>IFERROR(__xludf.DUMMYFUNCTION("""COMPUTED_VALUE"""),44891.0)</f>
        <v>44891</v>
      </c>
      <c r="C611" s="13">
        <f>IFERROR(__xludf.DUMMYFUNCTION("""COMPUTED_VALUE"""),0.4166666666666667)</f>
        <v>0.4166666667</v>
      </c>
      <c r="D611" s="8">
        <f>IFERROR(__xludf.DUMMYFUNCTION("""COMPUTED_VALUE"""),0.1)</f>
        <v>0.1</v>
      </c>
      <c r="E611" s="8" t="str">
        <f>IFERROR(__xludf.DUMMYFUNCTION("""COMPUTED_VALUE"""),"Real")</f>
        <v>Real</v>
      </c>
      <c r="G611" s="8">
        <f t="shared" si="1"/>
        <v>11</v>
      </c>
      <c r="H611" s="14">
        <f t="shared" si="2"/>
        <v>26</v>
      </c>
      <c r="I611" s="15">
        <f t="shared" si="3"/>
        <v>10</v>
      </c>
    </row>
    <row r="612">
      <c r="A612" s="8" t="str">
        <f>IFERROR(__xludf.DUMMYFUNCTION("IF('(INGESTA)Datos_consumo_datadis'!A612&lt;&gt;"""",SPLIT('(INGESTA)Datos_consumo_datadis'!A:A,"",""),"""")"),"ES0031408323131005HX0F")</f>
        <v>ES0031408323131005HX0F</v>
      </c>
      <c r="B612" s="17">
        <f>IFERROR(__xludf.DUMMYFUNCTION("""COMPUTED_VALUE"""),44891.0)</f>
        <v>44891</v>
      </c>
      <c r="C612" s="13">
        <f>IFERROR(__xludf.DUMMYFUNCTION("""COMPUTED_VALUE"""),0.4583333333333333)</f>
        <v>0.4583333333</v>
      </c>
      <c r="D612" s="8">
        <f>IFERROR(__xludf.DUMMYFUNCTION("""COMPUTED_VALUE"""),0.41)</f>
        <v>0.41</v>
      </c>
      <c r="E612" s="8" t="str">
        <f>IFERROR(__xludf.DUMMYFUNCTION("""COMPUTED_VALUE"""),"Real")</f>
        <v>Real</v>
      </c>
      <c r="G612" s="8">
        <f t="shared" si="1"/>
        <v>11</v>
      </c>
      <c r="H612" s="14">
        <f t="shared" si="2"/>
        <v>26</v>
      </c>
      <c r="I612" s="15">
        <f t="shared" si="3"/>
        <v>11</v>
      </c>
    </row>
    <row r="613">
      <c r="A613" s="8" t="str">
        <f>IFERROR(__xludf.DUMMYFUNCTION("IF('(INGESTA)Datos_consumo_datadis'!A613&lt;&gt;"""",SPLIT('(INGESTA)Datos_consumo_datadis'!A:A,"",""),"""")"),"ES0031408323131005HX0F")</f>
        <v>ES0031408323131005HX0F</v>
      </c>
      <c r="B613" s="17">
        <f>IFERROR(__xludf.DUMMYFUNCTION("""COMPUTED_VALUE"""),44891.0)</f>
        <v>44891</v>
      </c>
      <c r="C613" s="13">
        <f>IFERROR(__xludf.DUMMYFUNCTION("""COMPUTED_VALUE"""),0.5)</f>
        <v>0.5</v>
      </c>
      <c r="D613" s="8">
        <f>IFERROR(__xludf.DUMMYFUNCTION("""COMPUTED_VALUE"""),0.04)</f>
        <v>0.04</v>
      </c>
      <c r="E613" s="8" t="str">
        <f>IFERROR(__xludf.DUMMYFUNCTION("""COMPUTED_VALUE"""),"Real")</f>
        <v>Real</v>
      </c>
      <c r="G613" s="8">
        <f t="shared" si="1"/>
        <v>11</v>
      </c>
      <c r="H613" s="14">
        <f t="shared" si="2"/>
        <v>26</v>
      </c>
      <c r="I613" s="15">
        <f t="shared" si="3"/>
        <v>12</v>
      </c>
    </row>
    <row r="614">
      <c r="A614" s="8" t="str">
        <f>IFERROR(__xludf.DUMMYFUNCTION("IF('(INGESTA)Datos_consumo_datadis'!A614&lt;&gt;"""",SPLIT('(INGESTA)Datos_consumo_datadis'!A:A,"",""),"""")"),"ES0031408323131005HX0F")</f>
        <v>ES0031408323131005HX0F</v>
      </c>
      <c r="B614" s="17">
        <f>IFERROR(__xludf.DUMMYFUNCTION("""COMPUTED_VALUE"""),44891.0)</f>
        <v>44891</v>
      </c>
      <c r="C614" s="13">
        <f>IFERROR(__xludf.DUMMYFUNCTION("""COMPUTED_VALUE"""),0.5416666666666666)</f>
        <v>0.5416666667</v>
      </c>
      <c r="D614" s="8">
        <f>IFERROR(__xludf.DUMMYFUNCTION("""COMPUTED_VALUE"""),0.011)</f>
        <v>0.011</v>
      </c>
      <c r="E614" s="8" t="str">
        <f>IFERROR(__xludf.DUMMYFUNCTION("""COMPUTED_VALUE"""),"Real")</f>
        <v>Real</v>
      </c>
      <c r="G614" s="8">
        <f t="shared" si="1"/>
        <v>11</v>
      </c>
      <c r="H614" s="14">
        <f t="shared" si="2"/>
        <v>26</v>
      </c>
      <c r="I614" s="15">
        <f t="shared" si="3"/>
        <v>13</v>
      </c>
    </row>
    <row r="615">
      <c r="A615" s="8" t="str">
        <f>IFERROR(__xludf.DUMMYFUNCTION("IF('(INGESTA)Datos_consumo_datadis'!A615&lt;&gt;"""",SPLIT('(INGESTA)Datos_consumo_datadis'!A:A,"",""),"""")"),"ES0031408323131005HX0F")</f>
        <v>ES0031408323131005HX0F</v>
      </c>
      <c r="B615" s="17">
        <f>IFERROR(__xludf.DUMMYFUNCTION("""COMPUTED_VALUE"""),44891.0)</f>
        <v>44891</v>
      </c>
      <c r="C615" s="13">
        <f>IFERROR(__xludf.DUMMYFUNCTION("""COMPUTED_VALUE"""),0.5833333333333334)</f>
        <v>0.5833333333</v>
      </c>
      <c r="D615" s="8">
        <f>IFERROR(__xludf.DUMMYFUNCTION("""COMPUTED_VALUE"""),0.083)</f>
        <v>0.083</v>
      </c>
      <c r="E615" s="8" t="str">
        <f>IFERROR(__xludf.DUMMYFUNCTION("""COMPUTED_VALUE"""),"Real")</f>
        <v>Real</v>
      </c>
      <c r="G615" s="8">
        <f t="shared" si="1"/>
        <v>11</v>
      </c>
      <c r="H615" s="14">
        <f t="shared" si="2"/>
        <v>26</v>
      </c>
      <c r="I615" s="15">
        <f t="shared" si="3"/>
        <v>14</v>
      </c>
    </row>
    <row r="616">
      <c r="A616" s="8" t="str">
        <f>IFERROR(__xludf.DUMMYFUNCTION("IF('(INGESTA)Datos_consumo_datadis'!A616&lt;&gt;"""",SPLIT('(INGESTA)Datos_consumo_datadis'!A:A,"",""),"""")"),"ES0031408323131005HX0F")</f>
        <v>ES0031408323131005HX0F</v>
      </c>
      <c r="B616" s="17">
        <f>IFERROR(__xludf.DUMMYFUNCTION("""COMPUTED_VALUE"""),44891.0)</f>
        <v>44891</v>
      </c>
      <c r="C616" s="13">
        <f>IFERROR(__xludf.DUMMYFUNCTION("""COMPUTED_VALUE"""),0.625)</f>
        <v>0.625</v>
      </c>
      <c r="D616" s="8">
        <f>IFERROR(__xludf.DUMMYFUNCTION("""COMPUTED_VALUE"""),0.054)</f>
        <v>0.054</v>
      </c>
      <c r="E616" s="8" t="str">
        <f>IFERROR(__xludf.DUMMYFUNCTION("""COMPUTED_VALUE"""),"Real")</f>
        <v>Real</v>
      </c>
      <c r="G616" s="8">
        <f t="shared" si="1"/>
        <v>11</v>
      </c>
      <c r="H616" s="14">
        <f t="shared" si="2"/>
        <v>26</v>
      </c>
      <c r="I616" s="15">
        <f t="shared" si="3"/>
        <v>15</v>
      </c>
    </row>
    <row r="617">
      <c r="A617" s="8" t="str">
        <f>IFERROR(__xludf.DUMMYFUNCTION("IF('(INGESTA)Datos_consumo_datadis'!A617&lt;&gt;"""",SPLIT('(INGESTA)Datos_consumo_datadis'!A:A,"",""),"""")"),"ES0031408323131005HX0F")</f>
        <v>ES0031408323131005HX0F</v>
      </c>
      <c r="B617" s="17">
        <f>IFERROR(__xludf.DUMMYFUNCTION("""COMPUTED_VALUE"""),44891.0)</f>
        <v>44891</v>
      </c>
      <c r="C617" s="13">
        <f>IFERROR(__xludf.DUMMYFUNCTION("""COMPUTED_VALUE"""),0.6666666666666666)</f>
        <v>0.6666666667</v>
      </c>
      <c r="D617" s="8">
        <f>IFERROR(__xludf.DUMMYFUNCTION("""COMPUTED_VALUE"""),0.04)</f>
        <v>0.04</v>
      </c>
      <c r="E617" s="8" t="str">
        <f>IFERROR(__xludf.DUMMYFUNCTION("""COMPUTED_VALUE"""),"Real")</f>
        <v>Real</v>
      </c>
      <c r="G617" s="8">
        <f t="shared" si="1"/>
        <v>11</v>
      </c>
      <c r="H617" s="14">
        <f t="shared" si="2"/>
        <v>26</v>
      </c>
      <c r="I617" s="15">
        <f t="shared" si="3"/>
        <v>16</v>
      </c>
    </row>
    <row r="618">
      <c r="A618" s="8" t="str">
        <f>IFERROR(__xludf.DUMMYFUNCTION("IF('(INGESTA)Datos_consumo_datadis'!A618&lt;&gt;"""",SPLIT('(INGESTA)Datos_consumo_datadis'!A:A,"",""),"""")"),"ES0031408323131005HX0F")</f>
        <v>ES0031408323131005HX0F</v>
      </c>
      <c r="B618" s="17">
        <f>IFERROR(__xludf.DUMMYFUNCTION("""COMPUTED_VALUE"""),44891.0)</f>
        <v>44891</v>
      </c>
      <c r="C618" s="13">
        <f>IFERROR(__xludf.DUMMYFUNCTION("""COMPUTED_VALUE"""),0.7083333333333334)</f>
        <v>0.7083333333</v>
      </c>
      <c r="D618" s="8">
        <f>IFERROR(__xludf.DUMMYFUNCTION("""COMPUTED_VALUE"""),0.463)</f>
        <v>0.463</v>
      </c>
      <c r="E618" s="8" t="str">
        <f>IFERROR(__xludf.DUMMYFUNCTION("""COMPUTED_VALUE"""),"Real")</f>
        <v>Real</v>
      </c>
      <c r="G618" s="8">
        <f t="shared" si="1"/>
        <v>11</v>
      </c>
      <c r="H618" s="14">
        <f t="shared" si="2"/>
        <v>26</v>
      </c>
      <c r="I618" s="15">
        <f t="shared" si="3"/>
        <v>17</v>
      </c>
    </row>
    <row r="619">
      <c r="A619" s="8" t="str">
        <f>IFERROR(__xludf.DUMMYFUNCTION("IF('(INGESTA)Datos_consumo_datadis'!A619&lt;&gt;"""",SPLIT('(INGESTA)Datos_consumo_datadis'!A:A,"",""),"""")"),"ES0031408323131005HX0F")</f>
        <v>ES0031408323131005HX0F</v>
      </c>
      <c r="B619" s="17">
        <f>IFERROR(__xludf.DUMMYFUNCTION("""COMPUTED_VALUE"""),44891.0)</f>
        <v>44891</v>
      </c>
      <c r="C619" s="13">
        <f>IFERROR(__xludf.DUMMYFUNCTION("""COMPUTED_VALUE"""),0.75)</f>
        <v>0.75</v>
      </c>
      <c r="D619" s="8">
        <f>IFERROR(__xludf.DUMMYFUNCTION("""COMPUTED_VALUE"""),0.054)</f>
        <v>0.054</v>
      </c>
      <c r="E619" s="8" t="str">
        <f>IFERROR(__xludf.DUMMYFUNCTION("""COMPUTED_VALUE"""),"Real")</f>
        <v>Real</v>
      </c>
      <c r="G619" s="8">
        <f t="shared" si="1"/>
        <v>11</v>
      </c>
      <c r="H619" s="14">
        <f t="shared" si="2"/>
        <v>26</v>
      </c>
      <c r="I619" s="15">
        <f t="shared" si="3"/>
        <v>18</v>
      </c>
    </row>
    <row r="620">
      <c r="A620" s="8" t="str">
        <f>IFERROR(__xludf.DUMMYFUNCTION("IF('(INGESTA)Datos_consumo_datadis'!A620&lt;&gt;"""",SPLIT('(INGESTA)Datos_consumo_datadis'!A:A,"",""),"""")"),"ES0031408323131005HX0F")</f>
        <v>ES0031408323131005HX0F</v>
      </c>
      <c r="B620" s="17">
        <f>IFERROR(__xludf.DUMMYFUNCTION("""COMPUTED_VALUE"""),44891.0)</f>
        <v>44891</v>
      </c>
      <c r="C620" s="13">
        <f>IFERROR(__xludf.DUMMYFUNCTION("""COMPUTED_VALUE"""),0.7916666666666666)</f>
        <v>0.7916666667</v>
      </c>
      <c r="D620" s="8">
        <f>IFERROR(__xludf.DUMMYFUNCTION("""COMPUTED_VALUE"""),0.088)</f>
        <v>0.088</v>
      </c>
      <c r="E620" s="8" t="str">
        <f>IFERROR(__xludf.DUMMYFUNCTION("""COMPUTED_VALUE"""),"Real")</f>
        <v>Real</v>
      </c>
      <c r="G620" s="8">
        <f t="shared" si="1"/>
        <v>11</v>
      </c>
      <c r="H620" s="14">
        <f t="shared" si="2"/>
        <v>26</v>
      </c>
      <c r="I620" s="15">
        <f t="shared" si="3"/>
        <v>19</v>
      </c>
    </row>
    <row r="621">
      <c r="A621" s="8" t="str">
        <f>IFERROR(__xludf.DUMMYFUNCTION("IF('(INGESTA)Datos_consumo_datadis'!A621&lt;&gt;"""",SPLIT('(INGESTA)Datos_consumo_datadis'!A:A,"",""),"""")"),"ES0031408323131005HX0F")</f>
        <v>ES0031408323131005HX0F</v>
      </c>
      <c r="B621" s="17">
        <f>IFERROR(__xludf.DUMMYFUNCTION("""COMPUTED_VALUE"""),44891.0)</f>
        <v>44891</v>
      </c>
      <c r="C621" s="13">
        <f>IFERROR(__xludf.DUMMYFUNCTION("""COMPUTED_VALUE"""),0.8333333333333334)</f>
        <v>0.8333333333</v>
      </c>
      <c r="D621" s="8">
        <f>IFERROR(__xludf.DUMMYFUNCTION("""COMPUTED_VALUE"""),0.062)</f>
        <v>0.062</v>
      </c>
      <c r="E621" s="8" t="str">
        <f>IFERROR(__xludf.DUMMYFUNCTION("""COMPUTED_VALUE"""),"Real")</f>
        <v>Real</v>
      </c>
      <c r="G621" s="8">
        <f t="shared" si="1"/>
        <v>11</v>
      </c>
      <c r="H621" s="14">
        <f t="shared" si="2"/>
        <v>26</v>
      </c>
      <c r="I621" s="15">
        <f t="shared" si="3"/>
        <v>20</v>
      </c>
    </row>
    <row r="622">
      <c r="A622" s="8" t="str">
        <f>IFERROR(__xludf.DUMMYFUNCTION("IF('(INGESTA)Datos_consumo_datadis'!A622&lt;&gt;"""",SPLIT('(INGESTA)Datos_consumo_datadis'!A:A,"",""),"""")"),"ES0031408323131005HX0F")</f>
        <v>ES0031408323131005HX0F</v>
      </c>
      <c r="B622" s="17">
        <f>IFERROR(__xludf.DUMMYFUNCTION("""COMPUTED_VALUE"""),44891.0)</f>
        <v>44891</v>
      </c>
      <c r="C622" s="13">
        <f>IFERROR(__xludf.DUMMYFUNCTION("""COMPUTED_VALUE"""),0.875)</f>
        <v>0.875</v>
      </c>
      <c r="D622" s="8">
        <f>IFERROR(__xludf.DUMMYFUNCTION("""COMPUTED_VALUE"""),0.017)</f>
        <v>0.017</v>
      </c>
      <c r="E622" s="8" t="str">
        <f>IFERROR(__xludf.DUMMYFUNCTION("""COMPUTED_VALUE"""),"Real")</f>
        <v>Real</v>
      </c>
      <c r="G622" s="8">
        <f t="shared" si="1"/>
        <v>11</v>
      </c>
      <c r="H622" s="14">
        <f t="shared" si="2"/>
        <v>26</v>
      </c>
      <c r="I622" s="15">
        <f t="shared" si="3"/>
        <v>21</v>
      </c>
    </row>
    <row r="623">
      <c r="A623" s="8" t="str">
        <f>IFERROR(__xludf.DUMMYFUNCTION("IF('(INGESTA)Datos_consumo_datadis'!A623&lt;&gt;"""",SPLIT('(INGESTA)Datos_consumo_datadis'!A:A,"",""),"""")"),"ES0031408323131005HX0F")</f>
        <v>ES0031408323131005HX0F</v>
      </c>
      <c r="B623" s="17">
        <f>IFERROR(__xludf.DUMMYFUNCTION("""COMPUTED_VALUE"""),44891.0)</f>
        <v>44891</v>
      </c>
      <c r="C623" s="13">
        <f>IFERROR(__xludf.DUMMYFUNCTION("""COMPUTED_VALUE"""),0.9166666666666666)</f>
        <v>0.9166666667</v>
      </c>
      <c r="D623" s="8">
        <f>IFERROR(__xludf.DUMMYFUNCTION("""COMPUTED_VALUE"""),0.011)</f>
        <v>0.011</v>
      </c>
      <c r="E623" s="8" t="str">
        <f>IFERROR(__xludf.DUMMYFUNCTION("""COMPUTED_VALUE"""),"Real")</f>
        <v>Real</v>
      </c>
      <c r="G623" s="8">
        <f t="shared" si="1"/>
        <v>11</v>
      </c>
      <c r="H623" s="14">
        <f t="shared" si="2"/>
        <v>26</v>
      </c>
      <c r="I623" s="15">
        <f t="shared" si="3"/>
        <v>22</v>
      </c>
    </row>
    <row r="624">
      <c r="A624" s="8" t="str">
        <f>IFERROR(__xludf.DUMMYFUNCTION("IF('(INGESTA)Datos_consumo_datadis'!A624&lt;&gt;"""",SPLIT('(INGESTA)Datos_consumo_datadis'!A:A,"",""),"""")"),"ES0031408323131005HX0F")</f>
        <v>ES0031408323131005HX0F</v>
      </c>
      <c r="B624" s="17">
        <f>IFERROR(__xludf.DUMMYFUNCTION("""COMPUTED_VALUE"""),44891.0)</f>
        <v>44891</v>
      </c>
      <c r="C624" s="13">
        <f>IFERROR(__xludf.DUMMYFUNCTION("""COMPUTED_VALUE"""),0.9583333333333334)</f>
        <v>0.9583333333</v>
      </c>
      <c r="D624" s="8">
        <f>IFERROR(__xludf.DUMMYFUNCTION("""COMPUTED_VALUE"""),0.1)</f>
        <v>0.1</v>
      </c>
      <c r="E624" s="8" t="str">
        <f>IFERROR(__xludf.DUMMYFUNCTION("""COMPUTED_VALUE"""),"Real")</f>
        <v>Real</v>
      </c>
      <c r="G624" s="8">
        <f t="shared" si="1"/>
        <v>11</v>
      </c>
      <c r="H624" s="14">
        <f t="shared" si="2"/>
        <v>26</v>
      </c>
      <c r="I624" s="15">
        <f t="shared" si="3"/>
        <v>23</v>
      </c>
    </row>
    <row r="625">
      <c r="A625" s="8" t="str">
        <f>IFERROR(__xludf.DUMMYFUNCTION("IF('(INGESTA)Datos_consumo_datadis'!A625&lt;&gt;"""",SPLIT('(INGESTA)Datos_consumo_datadis'!A:A,"",""),"""")"),"ES0031408323131005HX0F")</f>
        <v>ES0031408323131005HX0F</v>
      </c>
      <c r="B625" s="17">
        <f>IFERROR(__xludf.DUMMYFUNCTION("""COMPUTED_VALUE"""),44891.0)</f>
        <v>44891</v>
      </c>
      <c r="C625" s="16">
        <f>IFERROR(__xludf.DUMMYFUNCTION("""COMPUTED_VALUE"""),1.0)</f>
        <v>1</v>
      </c>
      <c r="D625" s="8">
        <f>IFERROR(__xludf.DUMMYFUNCTION("""COMPUTED_VALUE"""),0.383)</f>
        <v>0.383</v>
      </c>
      <c r="E625" s="8" t="str">
        <f>IFERROR(__xludf.DUMMYFUNCTION("""COMPUTED_VALUE"""),"Real")</f>
        <v>Real</v>
      </c>
      <c r="G625" s="8">
        <f t="shared" si="1"/>
        <v>11</v>
      </c>
      <c r="H625" s="14">
        <f t="shared" si="2"/>
        <v>26</v>
      </c>
      <c r="I625" s="15">
        <f t="shared" si="3"/>
        <v>0</v>
      </c>
    </row>
    <row r="626">
      <c r="A626" s="8" t="str">
        <f>IFERROR(__xludf.DUMMYFUNCTION("IF('(INGESTA)Datos_consumo_datadis'!A626&lt;&gt;"""",SPLIT('(INGESTA)Datos_consumo_datadis'!A:A,"",""),"""")"),"ES0031408323131005HX0F")</f>
        <v>ES0031408323131005HX0F</v>
      </c>
      <c r="B626" s="17">
        <f>IFERROR(__xludf.DUMMYFUNCTION("""COMPUTED_VALUE"""),44892.0)</f>
        <v>44892</v>
      </c>
      <c r="C626" s="13">
        <f>IFERROR(__xludf.DUMMYFUNCTION("""COMPUTED_VALUE"""),0.041666666666666664)</f>
        <v>0.04166666667</v>
      </c>
      <c r="D626" s="8">
        <f>IFERROR(__xludf.DUMMYFUNCTION("""COMPUTED_VALUE"""),0.04)</f>
        <v>0.04</v>
      </c>
      <c r="E626" s="8" t="str">
        <f>IFERROR(__xludf.DUMMYFUNCTION("""COMPUTED_VALUE"""),"Real")</f>
        <v>Real</v>
      </c>
      <c r="G626" s="8">
        <f t="shared" si="1"/>
        <v>11</v>
      </c>
      <c r="H626" s="14">
        <f t="shared" si="2"/>
        <v>27</v>
      </c>
      <c r="I626" s="15">
        <f t="shared" si="3"/>
        <v>1</v>
      </c>
    </row>
    <row r="627">
      <c r="A627" s="8" t="str">
        <f>IFERROR(__xludf.DUMMYFUNCTION("IF('(INGESTA)Datos_consumo_datadis'!A627&lt;&gt;"""",SPLIT('(INGESTA)Datos_consumo_datadis'!A:A,"",""),"""")"),"ES0031408323131005HX0F")</f>
        <v>ES0031408323131005HX0F</v>
      </c>
      <c r="B627" s="17">
        <f>IFERROR(__xludf.DUMMYFUNCTION("""COMPUTED_VALUE"""),44892.0)</f>
        <v>44892</v>
      </c>
      <c r="C627" s="13">
        <f>IFERROR(__xludf.DUMMYFUNCTION("""COMPUTED_VALUE"""),0.08333333333333333)</f>
        <v>0.08333333333</v>
      </c>
      <c r="D627" s="8">
        <f>IFERROR(__xludf.DUMMYFUNCTION("""COMPUTED_VALUE"""),0.011)</f>
        <v>0.011</v>
      </c>
      <c r="E627" s="8" t="str">
        <f>IFERROR(__xludf.DUMMYFUNCTION("""COMPUTED_VALUE"""),"Real")</f>
        <v>Real</v>
      </c>
      <c r="G627" s="8">
        <f t="shared" si="1"/>
        <v>11</v>
      </c>
      <c r="H627" s="14">
        <f t="shared" si="2"/>
        <v>27</v>
      </c>
      <c r="I627" s="15">
        <f t="shared" si="3"/>
        <v>2</v>
      </c>
    </row>
    <row r="628">
      <c r="A628" s="8" t="str">
        <f>IFERROR(__xludf.DUMMYFUNCTION("IF('(INGESTA)Datos_consumo_datadis'!A628&lt;&gt;"""",SPLIT('(INGESTA)Datos_consumo_datadis'!A:A,"",""),"""")"),"ES0031408323131005HX0F")</f>
        <v>ES0031408323131005HX0F</v>
      </c>
      <c r="B628" s="17">
        <f>IFERROR(__xludf.DUMMYFUNCTION("""COMPUTED_VALUE"""),44892.0)</f>
        <v>44892</v>
      </c>
      <c r="C628" s="13">
        <f>IFERROR(__xludf.DUMMYFUNCTION("""COMPUTED_VALUE"""),0.125)</f>
        <v>0.125</v>
      </c>
      <c r="D628" s="8">
        <f>IFERROR(__xludf.DUMMYFUNCTION("""COMPUTED_VALUE"""),0.114)</f>
        <v>0.114</v>
      </c>
      <c r="E628" s="8" t="str">
        <f>IFERROR(__xludf.DUMMYFUNCTION("""COMPUTED_VALUE"""),"Real")</f>
        <v>Real</v>
      </c>
      <c r="G628" s="8">
        <f t="shared" si="1"/>
        <v>11</v>
      </c>
      <c r="H628" s="14">
        <f t="shared" si="2"/>
        <v>27</v>
      </c>
      <c r="I628" s="15">
        <f t="shared" si="3"/>
        <v>3</v>
      </c>
    </row>
    <row r="629">
      <c r="A629" s="8" t="str">
        <f>IFERROR(__xludf.DUMMYFUNCTION("IF('(INGESTA)Datos_consumo_datadis'!A629&lt;&gt;"""",SPLIT('(INGESTA)Datos_consumo_datadis'!A:A,"",""),"""")"),"ES0031408323131005HX0F")</f>
        <v>ES0031408323131005HX0F</v>
      </c>
      <c r="B629" s="17">
        <f>IFERROR(__xludf.DUMMYFUNCTION("""COMPUTED_VALUE"""),44892.0)</f>
        <v>44892</v>
      </c>
      <c r="C629" s="13">
        <f>IFERROR(__xludf.DUMMYFUNCTION("""COMPUTED_VALUE"""),0.16666666666666666)</f>
        <v>0.1666666667</v>
      </c>
      <c r="D629" s="8">
        <f>IFERROR(__xludf.DUMMYFUNCTION("""COMPUTED_VALUE"""),0.062)</f>
        <v>0.062</v>
      </c>
      <c r="E629" s="8" t="str">
        <f>IFERROR(__xludf.DUMMYFUNCTION("""COMPUTED_VALUE"""),"Real")</f>
        <v>Real</v>
      </c>
      <c r="G629" s="8">
        <f t="shared" si="1"/>
        <v>11</v>
      </c>
      <c r="H629" s="14">
        <f t="shared" si="2"/>
        <v>27</v>
      </c>
      <c r="I629" s="15">
        <f t="shared" si="3"/>
        <v>4</v>
      </c>
    </row>
    <row r="630">
      <c r="A630" s="8" t="str">
        <f>IFERROR(__xludf.DUMMYFUNCTION("IF('(INGESTA)Datos_consumo_datadis'!A630&lt;&gt;"""",SPLIT('(INGESTA)Datos_consumo_datadis'!A:A,"",""),"""")"),"ES0031408323131005HX0F")</f>
        <v>ES0031408323131005HX0F</v>
      </c>
      <c r="B630" s="17">
        <f>IFERROR(__xludf.DUMMYFUNCTION("""COMPUTED_VALUE"""),44892.0)</f>
        <v>44892</v>
      </c>
      <c r="C630" s="13">
        <f>IFERROR(__xludf.DUMMYFUNCTION("""COMPUTED_VALUE"""),0.20833333333333334)</f>
        <v>0.2083333333</v>
      </c>
      <c r="D630" s="8">
        <f>IFERROR(__xludf.DUMMYFUNCTION("""COMPUTED_VALUE"""),0.039)</f>
        <v>0.039</v>
      </c>
      <c r="E630" s="8" t="str">
        <f>IFERROR(__xludf.DUMMYFUNCTION("""COMPUTED_VALUE"""),"Real")</f>
        <v>Real</v>
      </c>
      <c r="G630" s="8">
        <f t="shared" si="1"/>
        <v>11</v>
      </c>
      <c r="H630" s="14">
        <f t="shared" si="2"/>
        <v>27</v>
      </c>
      <c r="I630" s="15">
        <f t="shared" si="3"/>
        <v>5</v>
      </c>
    </row>
    <row r="631">
      <c r="A631" s="8" t="str">
        <f>IFERROR(__xludf.DUMMYFUNCTION("IF('(INGESTA)Datos_consumo_datadis'!A631&lt;&gt;"""",SPLIT('(INGESTA)Datos_consumo_datadis'!A:A,"",""),"""")"),"ES0031408323131005HX0F")</f>
        <v>ES0031408323131005HX0F</v>
      </c>
      <c r="B631" s="17">
        <f>IFERROR(__xludf.DUMMYFUNCTION("""COMPUTED_VALUE"""),44892.0)</f>
        <v>44892</v>
      </c>
      <c r="C631" s="13">
        <f>IFERROR(__xludf.DUMMYFUNCTION("""COMPUTED_VALUE"""),0.25)</f>
        <v>0.25</v>
      </c>
      <c r="D631" s="8">
        <f>IFERROR(__xludf.DUMMYFUNCTION("""COMPUTED_VALUE"""),0.345)</f>
        <v>0.345</v>
      </c>
      <c r="E631" s="8" t="str">
        <f>IFERROR(__xludf.DUMMYFUNCTION("""COMPUTED_VALUE"""),"Real")</f>
        <v>Real</v>
      </c>
      <c r="G631" s="8">
        <f t="shared" si="1"/>
        <v>11</v>
      </c>
      <c r="H631" s="14">
        <f t="shared" si="2"/>
        <v>27</v>
      </c>
      <c r="I631" s="15">
        <f t="shared" si="3"/>
        <v>6</v>
      </c>
    </row>
    <row r="632">
      <c r="A632" s="8" t="str">
        <f>IFERROR(__xludf.DUMMYFUNCTION("IF('(INGESTA)Datos_consumo_datadis'!A632&lt;&gt;"""",SPLIT('(INGESTA)Datos_consumo_datadis'!A:A,"",""),"""")"),"ES0031408323131005HX0F")</f>
        <v>ES0031408323131005HX0F</v>
      </c>
      <c r="B632" s="17">
        <f>IFERROR(__xludf.DUMMYFUNCTION("""COMPUTED_VALUE"""),44892.0)</f>
        <v>44892</v>
      </c>
      <c r="C632" s="13">
        <f>IFERROR(__xludf.DUMMYFUNCTION("""COMPUTED_VALUE"""),0.2916666666666667)</f>
        <v>0.2916666667</v>
      </c>
      <c r="D632" s="8">
        <f>IFERROR(__xludf.DUMMYFUNCTION("""COMPUTED_VALUE"""),0.052)</f>
        <v>0.052</v>
      </c>
      <c r="E632" s="8" t="str">
        <f>IFERROR(__xludf.DUMMYFUNCTION("""COMPUTED_VALUE"""),"Real")</f>
        <v>Real</v>
      </c>
      <c r="G632" s="8">
        <f t="shared" si="1"/>
        <v>11</v>
      </c>
      <c r="H632" s="14">
        <f t="shared" si="2"/>
        <v>27</v>
      </c>
      <c r="I632" s="15">
        <f t="shared" si="3"/>
        <v>7</v>
      </c>
    </row>
    <row r="633">
      <c r="A633" s="8" t="str">
        <f>IFERROR(__xludf.DUMMYFUNCTION("IF('(INGESTA)Datos_consumo_datadis'!A633&lt;&gt;"""",SPLIT('(INGESTA)Datos_consumo_datadis'!A:A,"",""),"""")"),"ES0031408323131005HX0F")</f>
        <v>ES0031408323131005HX0F</v>
      </c>
      <c r="B633" s="17">
        <f>IFERROR(__xludf.DUMMYFUNCTION("""COMPUTED_VALUE"""),44892.0)</f>
        <v>44892</v>
      </c>
      <c r="C633" s="13">
        <f>IFERROR(__xludf.DUMMYFUNCTION("""COMPUTED_VALUE"""),0.3333333333333333)</f>
        <v>0.3333333333</v>
      </c>
      <c r="D633" s="8">
        <f>IFERROR(__xludf.DUMMYFUNCTION("""COMPUTED_VALUE"""),0.07)</f>
        <v>0.07</v>
      </c>
      <c r="E633" s="8" t="str">
        <f>IFERROR(__xludf.DUMMYFUNCTION("""COMPUTED_VALUE"""),"Real")</f>
        <v>Real</v>
      </c>
      <c r="G633" s="8">
        <f t="shared" si="1"/>
        <v>11</v>
      </c>
      <c r="H633" s="14">
        <f t="shared" si="2"/>
        <v>27</v>
      </c>
      <c r="I633" s="15">
        <f t="shared" si="3"/>
        <v>8</v>
      </c>
    </row>
    <row r="634">
      <c r="A634" s="8" t="str">
        <f>IFERROR(__xludf.DUMMYFUNCTION("IF('(INGESTA)Datos_consumo_datadis'!A634&lt;&gt;"""",SPLIT('(INGESTA)Datos_consumo_datadis'!A:A,"",""),"""")"),"ES0031408323131005HX0F")</f>
        <v>ES0031408323131005HX0F</v>
      </c>
      <c r="B634" s="17">
        <f>IFERROR(__xludf.DUMMYFUNCTION("""COMPUTED_VALUE"""),44892.0)</f>
        <v>44892</v>
      </c>
      <c r="C634" s="13">
        <f>IFERROR(__xludf.DUMMYFUNCTION("""COMPUTED_VALUE"""),0.375)</f>
        <v>0.375</v>
      </c>
      <c r="D634" s="8">
        <f>IFERROR(__xludf.DUMMYFUNCTION("""COMPUTED_VALUE"""),0.052)</f>
        <v>0.052</v>
      </c>
      <c r="E634" s="8" t="str">
        <f>IFERROR(__xludf.DUMMYFUNCTION("""COMPUTED_VALUE"""),"Real")</f>
        <v>Real</v>
      </c>
      <c r="G634" s="8">
        <f t="shared" si="1"/>
        <v>11</v>
      </c>
      <c r="H634" s="14">
        <f t="shared" si="2"/>
        <v>27</v>
      </c>
      <c r="I634" s="15">
        <f t="shared" si="3"/>
        <v>9</v>
      </c>
    </row>
    <row r="635">
      <c r="A635" s="8" t="str">
        <f>IFERROR(__xludf.DUMMYFUNCTION("IF('(INGESTA)Datos_consumo_datadis'!A635&lt;&gt;"""",SPLIT('(INGESTA)Datos_consumo_datadis'!A:A,"",""),"""")"),"ES0031408323131005HX0F")</f>
        <v>ES0031408323131005HX0F</v>
      </c>
      <c r="B635" s="17">
        <f>IFERROR(__xludf.DUMMYFUNCTION("""COMPUTED_VALUE"""),44892.0)</f>
        <v>44892</v>
      </c>
      <c r="C635" s="13">
        <f>IFERROR(__xludf.DUMMYFUNCTION("""COMPUTED_VALUE"""),0.4166666666666667)</f>
        <v>0.4166666667</v>
      </c>
      <c r="D635" s="8">
        <f>IFERROR(__xludf.DUMMYFUNCTION("""COMPUTED_VALUE"""),0.012)</f>
        <v>0.012</v>
      </c>
      <c r="E635" s="8" t="str">
        <f>IFERROR(__xludf.DUMMYFUNCTION("""COMPUTED_VALUE"""),"Real")</f>
        <v>Real</v>
      </c>
      <c r="G635" s="8">
        <f t="shared" si="1"/>
        <v>11</v>
      </c>
      <c r="H635" s="14">
        <f t="shared" si="2"/>
        <v>27</v>
      </c>
      <c r="I635" s="15">
        <f t="shared" si="3"/>
        <v>10</v>
      </c>
    </row>
    <row r="636">
      <c r="A636" s="8" t="str">
        <f>IFERROR(__xludf.DUMMYFUNCTION("IF('(INGESTA)Datos_consumo_datadis'!A636&lt;&gt;"""",SPLIT('(INGESTA)Datos_consumo_datadis'!A:A,"",""),"""")"),"ES0031408323131005HX0F")</f>
        <v>ES0031408323131005HX0F</v>
      </c>
      <c r="B636" s="17">
        <f>IFERROR(__xludf.DUMMYFUNCTION("""COMPUTED_VALUE"""),44892.0)</f>
        <v>44892</v>
      </c>
      <c r="C636" s="13">
        <f>IFERROR(__xludf.DUMMYFUNCTION("""COMPUTED_VALUE"""),0.4583333333333333)</f>
        <v>0.4583333333</v>
      </c>
      <c r="D636" s="8">
        <f>IFERROR(__xludf.DUMMYFUNCTION("""COMPUTED_VALUE"""),0.376)</f>
        <v>0.376</v>
      </c>
      <c r="E636" s="8" t="str">
        <f>IFERROR(__xludf.DUMMYFUNCTION("""COMPUTED_VALUE"""),"Real")</f>
        <v>Real</v>
      </c>
      <c r="G636" s="8">
        <f t="shared" si="1"/>
        <v>11</v>
      </c>
      <c r="H636" s="14">
        <f t="shared" si="2"/>
        <v>27</v>
      </c>
      <c r="I636" s="15">
        <f t="shared" si="3"/>
        <v>11</v>
      </c>
    </row>
    <row r="637">
      <c r="A637" s="8" t="str">
        <f>IFERROR(__xludf.DUMMYFUNCTION("IF('(INGESTA)Datos_consumo_datadis'!A637&lt;&gt;"""",SPLIT('(INGESTA)Datos_consumo_datadis'!A:A,"",""),"""")"),"ES0031408323131005HX0F")</f>
        <v>ES0031408323131005HX0F</v>
      </c>
      <c r="B637" s="17">
        <f>IFERROR(__xludf.DUMMYFUNCTION("""COMPUTED_VALUE"""),44892.0)</f>
        <v>44892</v>
      </c>
      <c r="C637" s="13">
        <f>IFERROR(__xludf.DUMMYFUNCTION("""COMPUTED_VALUE"""),0.5)</f>
        <v>0.5</v>
      </c>
      <c r="D637" s="8">
        <f>IFERROR(__xludf.DUMMYFUNCTION("""COMPUTED_VALUE"""),0.096)</f>
        <v>0.096</v>
      </c>
      <c r="E637" s="8" t="str">
        <f>IFERROR(__xludf.DUMMYFUNCTION("""COMPUTED_VALUE"""),"Real")</f>
        <v>Real</v>
      </c>
      <c r="G637" s="8">
        <f t="shared" si="1"/>
        <v>11</v>
      </c>
      <c r="H637" s="14">
        <f t="shared" si="2"/>
        <v>27</v>
      </c>
      <c r="I637" s="15">
        <f t="shared" si="3"/>
        <v>12</v>
      </c>
    </row>
    <row r="638">
      <c r="A638" s="8" t="str">
        <f>IFERROR(__xludf.DUMMYFUNCTION("IF('(INGESTA)Datos_consumo_datadis'!A638&lt;&gt;"""",SPLIT('(INGESTA)Datos_consumo_datadis'!A:A,"",""),"""")"),"ES0031408323131005HX0F")</f>
        <v>ES0031408323131005HX0F</v>
      </c>
      <c r="B638" s="17">
        <f>IFERROR(__xludf.DUMMYFUNCTION("""COMPUTED_VALUE"""),44892.0)</f>
        <v>44892</v>
      </c>
      <c r="C638" s="13">
        <f>IFERROR(__xludf.DUMMYFUNCTION("""COMPUTED_VALUE"""),0.5416666666666666)</f>
        <v>0.5416666667</v>
      </c>
      <c r="D638" s="8">
        <f>IFERROR(__xludf.DUMMYFUNCTION("""COMPUTED_VALUE"""),0.04)</f>
        <v>0.04</v>
      </c>
      <c r="E638" s="8" t="str">
        <f>IFERROR(__xludf.DUMMYFUNCTION("""COMPUTED_VALUE"""),"Real")</f>
        <v>Real</v>
      </c>
      <c r="G638" s="8">
        <f t="shared" si="1"/>
        <v>11</v>
      </c>
      <c r="H638" s="14">
        <f t="shared" si="2"/>
        <v>27</v>
      </c>
      <c r="I638" s="15">
        <f t="shared" si="3"/>
        <v>13</v>
      </c>
    </row>
    <row r="639">
      <c r="A639" s="8" t="str">
        <f>IFERROR(__xludf.DUMMYFUNCTION("IF('(INGESTA)Datos_consumo_datadis'!A639&lt;&gt;"""",SPLIT('(INGESTA)Datos_consumo_datadis'!A:A,"",""),"""")"),"ES0031408323131005HX0F")</f>
        <v>ES0031408323131005HX0F</v>
      </c>
      <c r="B639" s="17">
        <f>IFERROR(__xludf.DUMMYFUNCTION("""COMPUTED_VALUE"""),44892.0)</f>
        <v>44892</v>
      </c>
      <c r="C639" s="13">
        <f>IFERROR(__xludf.DUMMYFUNCTION("""COMPUTED_VALUE"""),0.5833333333333334)</f>
        <v>0.5833333333</v>
      </c>
      <c r="D639" s="8">
        <f>IFERROR(__xludf.DUMMYFUNCTION("""COMPUTED_VALUE"""),0.039)</f>
        <v>0.039</v>
      </c>
      <c r="E639" s="8" t="str">
        <f>IFERROR(__xludf.DUMMYFUNCTION("""COMPUTED_VALUE"""),"Real")</f>
        <v>Real</v>
      </c>
      <c r="G639" s="8">
        <f t="shared" si="1"/>
        <v>11</v>
      </c>
      <c r="H639" s="14">
        <f t="shared" si="2"/>
        <v>27</v>
      </c>
      <c r="I639" s="15">
        <f t="shared" si="3"/>
        <v>14</v>
      </c>
    </row>
    <row r="640">
      <c r="A640" s="8" t="str">
        <f>IFERROR(__xludf.DUMMYFUNCTION("IF('(INGESTA)Datos_consumo_datadis'!A640&lt;&gt;"""",SPLIT('(INGESTA)Datos_consumo_datadis'!A:A,"",""),"""")"),"ES0031408323131005HX0F")</f>
        <v>ES0031408323131005HX0F</v>
      </c>
      <c r="B640" s="17">
        <f>IFERROR(__xludf.DUMMYFUNCTION("""COMPUTED_VALUE"""),44892.0)</f>
        <v>44892</v>
      </c>
      <c r="C640" s="13">
        <f>IFERROR(__xludf.DUMMYFUNCTION("""COMPUTED_VALUE"""),0.625)</f>
        <v>0.625</v>
      </c>
      <c r="D640" s="8">
        <f>IFERROR(__xludf.DUMMYFUNCTION("""COMPUTED_VALUE"""),0.012)</f>
        <v>0.012</v>
      </c>
      <c r="E640" s="8" t="str">
        <f>IFERROR(__xludf.DUMMYFUNCTION("""COMPUTED_VALUE"""),"Real")</f>
        <v>Real</v>
      </c>
      <c r="G640" s="8">
        <f t="shared" si="1"/>
        <v>11</v>
      </c>
      <c r="H640" s="14">
        <f t="shared" si="2"/>
        <v>27</v>
      </c>
      <c r="I640" s="15">
        <f t="shared" si="3"/>
        <v>15</v>
      </c>
    </row>
    <row r="641">
      <c r="A641" s="8" t="str">
        <f>IFERROR(__xludf.DUMMYFUNCTION("IF('(INGESTA)Datos_consumo_datadis'!A641&lt;&gt;"""",SPLIT('(INGESTA)Datos_consumo_datadis'!A:A,"",""),"""")"),"ES0031408323131005HX0F")</f>
        <v>ES0031408323131005HX0F</v>
      </c>
      <c r="B641" s="17">
        <f>IFERROR(__xludf.DUMMYFUNCTION("""COMPUTED_VALUE"""),44892.0)</f>
        <v>44892</v>
      </c>
      <c r="C641" s="13">
        <f>IFERROR(__xludf.DUMMYFUNCTION("""COMPUTED_VALUE"""),0.6666666666666666)</f>
        <v>0.6666666667</v>
      </c>
      <c r="D641" s="8">
        <f>IFERROR(__xludf.DUMMYFUNCTION("""COMPUTED_VALUE"""),0.083)</f>
        <v>0.083</v>
      </c>
      <c r="E641" s="8" t="str">
        <f>IFERROR(__xludf.DUMMYFUNCTION("""COMPUTED_VALUE"""),"Real")</f>
        <v>Real</v>
      </c>
      <c r="G641" s="8">
        <f t="shared" si="1"/>
        <v>11</v>
      </c>
      <c r="H641" s="14">
        <f t="shared" si="2"/>
        <v>27</v>
      </c>
      <c r="I641" s="15">
        <f t="shared" si="3"/>
        <v>16</v>
      </c>
    </row>
    <row r="642">
      <c r="A642" s="8" t="str">
        <f>IFERROR(__xludf.DUMMYFUNCTION("IF('(INGESTA)Datos_consumo_datadis'!A642&lt;&gt;"""",SPLIT('(INGESTA)Datos_consumo_datadis'!A:A,"",""),"""")"),"ES0031408323131005HX0F")</f>
        <v>ES0031408323131005HX0F</v>
      </c>
      <c r="B642" s="17">
        <f>IFERROR(__xludf.DUMMYFUNCTION("""COMPUTED_VALUE"""),44892.0)</f>
        <v>44892</v>
      </c>
      <c r="C642" s="13">
        <f>IFERROR(__xludf.DUMMYFUNCTION("""COMPUTED_VALUE"""),0.7083333333333334)</f>
        <v>0.7083333333</v>
      </c>
      <c r="D642" s="8">
        <f>IFERROR(__xludf.DUMMYFUNCTION("""COMPUTED_VALUE"""),0.401)</f>
        <v>0.401</v>
      </c>
      <c r="E642" s="8" t="str">
        <f>IFERROR(__xludf.DUMMYFUNCTION("""COMPUTED_VALUE"""),"Real")</f>
        <v>Real</v>
      </c>
      <c r="G642" s="8">
        <f t="shared" si="1"/>
        <v>11</v>
      </c>
      <c r="H642" s="14">
        <f t="shared" si="2"/>
        <v>27</v>
      </c>
      <c r="I642" s="15">
        <f t="shared" si="3"/>
        <v>17</v>
      </c>
    </row>
    <row r="643">
      <c r="A643" s="8" t="str">
        <f>IFERROR(__xludf.DUMMYFUNCTION("IF('(INGESTA)Datos_consumo_datadis'!A643&lt;&gt;"""",SPLIT('(INGESTA)Datos_consumo_datadis'!A:A,"",""),"""")"),"ES0031408323131005HX0F")</f>
        <v>ES0031408323131005HX0F</v>
      </c>
      <c r="B643" s="17">
        <f>IFERROR(__xludf.DUMMYFUNCTION("""COMPUTED_VALUE"""),44892.0)</f>
        <v>44892</v>
      </c>
      <c r="C643" s="13">
        <f>IFERROR(__xludf.DUMMYFUNCTION("""COMPUTED_VALUE"""),0.75)</f>
        <v>0.75</v>
      </c>
      <c r="D643" s="8">
        <f>IFERROR(__xludf.DUMMYFUNCTION("""COMPUTED_VALUE"""),0.039)</f>
        <v>0.039</v>
      </c>
      <c r="E643" s="8" t="str">
        <f>IFERROR(__xludf.DUMMYFUNCTION("""COMPUTED_VALUE"""),"Real")</f>
        <v>Real</v>
      </c>
      <c r="G643" s="8">
        <f t="shared" si="1"/>
        <v>11</v>
      </c>
      <c r="H643" s="14">
        <f t="shared" si="2"/>
        <v>27</v>
      </c>
      <c r="I643" s="15">
        <f t="shared" si="3"/>
        <v>18</v>
      </c>
    </row>
    <row r="644">
      <c r="A644" s="8" t="str">
        <f>IFERROR(__xludf.DUMMYFUNCTION("IF('(INGESTA)Datos_consumo_datadis'!A644&lt;&gt;"""",SPLIT('(INGESTA)Datos_consumo_datadis'!A:A,"",""),"""")"),"ES0031408323131005HX0F")</f>
        <v>ES0031408323131005HX0F</v>
      </c>
      <c r="B644" s="17">
        <f>IFERROR(__xludf.DUMMYFUNCTION("""COMPUTED_VALUE"""),44892.0)</f>
        <v>44892</v>
      </c>
      <c r="C644" s="13">
        <f>IFERROR(__xludf.DUMMYFUNCTION("""COMPUTED_VALUE"""),0.7916666666666666)</f>
        <v>0.7916666667</v>
      </c>
      <c r="D644" s="8">
        <f>IFERROR(__xludf.DUMMYFUNCTION("""COMPUTED_VALUE"""),0.012)</f>
        <v>0.012</v>
      </c>
      <c r="E644" s="8" t="str">
        <f>IFERROR(__xludf.DUMMYFUNCTION("""COMPUTED_VALUE"""),"Real")</f>
        <v>Real</v>
      </c>
      <c r="G644" s="8">
        <f t="shared" si="1"/>
        <v>11</v>
      </c>
      <c r="H644" s="14">
        <f t="shared" si="2"/>
        <v>27</v>
      </c>
      <c r="I644" s="15">
        <f t="shared" si="3"/>
        <v>19</v>
      </c>
    </row>
    <row r="645">
      <c r="A645" s="8" t="str">
        <f>IFERROR(__xludf.DUMMYFUNCTION("IF('(INGESTA)Datos_consumo_datadis'!A645&lt;&gt;"""",SPLIT('(INGESTA)Datos_consumo_datadis'!A:A,"",""),"""")"),"ES0031408323131005HX0F")</f>
        <v>ES0031408323131005HX0F</v>
      </c>
      <c r="B645" s="17">
        <f>IFERROR(__xludf.DUMMYFUNCTION("""COMPUTED_VALUE"""),44892.0)</f>
        <v>44892</v>
      </c>
      <c r="C645" s="13">
        <f>IFERROR(__xludf.DUMMYFUNCTION("""COMPUTED_VALUE"""),0.8333333333333334)</f>
        <v>0.8333333333</v>
      </c>
      <c r="D645" s="8">
        <f>IFERROR(__xludf.DUMMYFUNCTION("""COMPUTED_VALUE"""),0.039)</f>
        <v>0.039</v>
      </c>
      <c r="E645" s="8" t="str">
        <f>IFERROR(__xludf.DUMMYFUNCTION("""COMPUTED_VALUE"""),"Real")</f>
        <v>Real</v>
      </c>
      <c r="G645" s="8">
        <f t="shared" si="1"/>
        <v>11</v>
      </c>
      <c r="H645" s="14">
        <f t="shared" si="2"/>
        <v>27</v>
      </c>
      <c r="I645" s="15">
        <f t="shared" si="3"/>
        <v>20</v>
      </c>
    </row>
    <row r="646">
      <c r="A646" s="8" t="str">
        <f>IFERROR(__xludf.DUMMYFUNCTION("IF('(INGESTA)Datos_consumo_datadis'!A646&lt;&gt;"""",SPLIT('(INGESTA)Datos_consumo_datadis'!A:A,"",""),"""")"),"ES0031408323131005HX0F")</f>
        <v>ES0031408323131005HX0F</v>
      </c>
      <c r="B646" s="17">
        <f>IFERROR(__xludf.DUMMYFUNCTION("""COMPUTED_VALUE"""),44892.0)</f>
        <v>44892</v>
      </c>
      <c r="C646" s="13">
        <f>IFERROR(__xludf.DUMMYFUNCTION("""COMPUTED_VALUE"""),0.875)</f>
        <v>0.875</v>
      </c>
      <c r="D646" s="8">
        <f>IFERROR(__xludf.DUMMYFUNCTION("""COMPUTED_VALUE"""),0.074)</f>
        <v>0.074</v>
      </c>
      <c r="E646" s="8" t="str">
        <f>IFERROR(__xludf.DUMMYFUNCTION("""COMPUTED_VALUE"""),"Real")</f>
        <v>Real</v>
      </c>
      <c r="G646" s="8">
        <f t="shared" si="1"/>
        <v>11</v>
      </c>
      <c r="H646" s="14">
        <f t="shared" si="2"/>
        <v>27</v>
      </c>
      <c r="I646" s="15">
        <f t="shared" si="3"/>
        <v>21</v>
      </c>
    </row>
    <row r="647">
      <c r="A647" s="8" t="str">
        <f>IFERROR(__xludf.DUMMYFUNCTION("IF('(INGESTA)Datos_consumo_datadis'!A647&lt;&gt;"""",SPLIT('(INGESTA)Datos_consumo_datadis'!A:A,"",""),"""")"),"ES0031408323131005HX0F")</f>
        <v>ES0031408323131005HX0F</v>
      </c>
      <c r="B647" s="17">
        <f>IFERROR(__xludf.DUMMYFUNCTION("""COMPUTED_VALUE"""),44892.0)</f>
        <v>44892</v>
      </c>
      <c r="C647" s="13">
        <f>IFERROR(__xludf.DUMMYFUNCTION("""COMPUTED_VALUE"""),0.9166666666666666)</f>
        <v>0.9166666667</v>
      </c>
      <c r="D647" s="8">
        <f>IFERROR(__xludf.DUMMYFUNCTION("""COMPUTED_VALUE"""),0.203)</f>
        <v>0.203</v>
      </c>
      <c r="E647" s="8" t="str">
        <f>IFERROR(__xludf.DUMMYFUNCTION("""COMPUTED_VALUE"""),"Real")</f>
        <v>Real</v>
      </c>
      <c r="G647" s="8">
        <f t="shared" si="1"/>
        <v>11</v>
      </c>
      <c r="H647" s="14">
        <f t="shared" si="2"/>
        <v>27</v>
      </c>
      <c r="I647" s="15">
        <f t="shared" si="3"/>
        <v>22</v>
      </c>
    </row>
    <row r="648">
      <c r="A648" s="8" t="str">
        <f>IFERROR(__xludf.DUMMYFUNCTION("IF('(INGESTA)Datos_consumo_datadis'!A648&lt;&gt;"""",SPLIT('(INGESTA)Datos_consumo_datadis'!A:A,"",""),"""")"),"ES0031408323131005HX0F")</f>
        <v>ES0031408323131005HX0F</v>
      </c>
      <c r="B648" s="17">
        <f>IFERROR(__xludf.DUMMYFUNCTION("""COMPUTED_VALUE"""),44892.0)</f>
        <v>44892</v>
      </c>
      <c r="C648" s="13">
        <f>IFERROR(__xludf.DUMMYFUNCTION("""COMPUTED_VALUE"""),0.9583333333333334)</f>
        <v>0.9583333333</v>
      </c>
      <c r="D648" s="8">
        <f>IFERROR(__xludf.DUMMYFUNCTION("""COMPUTED_VALUE"""),0.23)</f>
        <v>0.23</v>
      </c>
      <c r="E648" s="8" t="str">
        <f>IFERROR(__xludf.DUMMYFUNCTION("""COMPUTED_VALUE"""),"Real")</f>
        <v>Real</v>
      </c>
      <c r="G648" s="8">
        <f t="shared" si="1"/>
        <v>11</v>
      </c>
      <c r="H648" s="14">
        <f t="shared" si="2"/>
        <v>27</v>
      </c>
      <c r="I648" s="15">
        <f t="shared" si="3"/>
        <v>23</v>
      </c>
    </row>
    <row r="649">
      <c r="A649" s="8" t="str">
        <f>IFERROR(__xludf.DUMMYFUNCTION("IF('(INGESTA)Datos_consumo_datadis'!A649&lt;&gt;"""",SPLIT('(INGESTA)Datos_consumo_datadis'!A:A,"",""),"""")"),"ES0031408323131005HX0F")</f>
        <v>ES0031408323131005HX0F</v>
      </c>
      <c r="B649" s="17">
        <f>IFERROR(__xludf.DUMMYFUNCTION("""COMPUTED_VALUE"""),44892.0)</f>
        <v>44892</v>
      </c>
      <c r="C649" s="16">
        <f>IFERROR(__xludf.DUMMYFUNCTION("""COMPUTED_VALUE"""),1.0)</f>
        <v>1</v>
      </c>
      <c r="D649" s="8">
        <f>IFERROR(__xludf.DUMMYFUNCTION("""COMPUTED_VALUE"""),0.011)</f>
        <v>0.011</v>
      </c>
      <c r="E649" s="8" t="str">
        <f>IFERROR(__xludf.DUMMYFUNCTION("""COMPUTED_VALUE"""),"Real")</f>
        <v>Real</v>
      </c>
      <c r="G649" s="8">
        <f t="shared" si="1"/>
        <v>11</v>
      </c>
      <c r="H649" s="14">
        <f t="shared" si="2"/>
        <v>27</v>
      </c>
      <c r="I649" s="15">
        <f t="shared" si="3"/>
        <v>0</v>
      </c>
    </row>
    <row r="650">
      <c r="A650" s="8" t="str">
        <f>IFERROR(__xludf.DUMMYFUNCTION("IF('(INGESTA)Datos_consumo_datadis'!A650&lt;&gt;"""",SPLIT('(INGESTA)Datos_consumo_datadis'!A:A,"",""),"""")"),"ES0031408323131005HX0F")</f>
        <v>ES0031408323131005HX0F</v>
      </c>
      <c r="B650" s="17">
        <f>IFERROR(__xludf.DUMMYFUNCTION("""COMPUTED_VALUE"""),44893.0)</f>
        <v>44893</v>
      </c>
      <c r="C650" s="13">
        <f>IFERROR(__xludf.DUMMYFUNCTION("""COMPUTED_VALUE"""),0.041666666666666664)</f>
        <v>0.04166666667</v>
      </c>
      <c r="D650" s="8">
        <f>IFERROR(__xludf.DUMMYFUNCTION("""COMPUTED_VALUE"""),0.099)</f>
        <v>0.099</v>
      </c>
      <c r="E650" s="8" t="str">
        <f>IFERROR(__xludf.DUMMYFUNCTION("""COMPUTED_VALUE"""),"Real")</f>
        <v>Real</v>
      </c>
      <c r="G650" s="8">
        <f t="shared" si="1"/>
        <v>11</v>
      </c>
      <c r="H650" s="14">
        <f t="shared" si="2"/>
        <v>28</v>
      </c>
      <c r="I650" s="15">
        <f t="shared" si="3"/>
        <v>1</v>
      </c>
    </row>
    <row r="651">
      <c r="A651" s="8" t="str">
        <f>IFERROR(__xludf.DUMMYFUNCTION("IF('(INGESTA)Datos_consumo_datadis'!A651&lt;&gt;"""",SPLIT('(INGESTA)Datos_consumo_datadis'!A:A,"",""),"""")"),"ES0031408323131005HX0F")</f>
        <v>ES0031408323131005HX0F</v>
      </c>
      <c r="B651" s="17">
        <f>IFERROR(__xludf.DUMMYFUNCTION("""COMPUTED_VALUE"""),44893.0)</f>
        <v>44893</v>
      </c>
      <c r="C651" s="13">
        <f>IFERROR(__xludf.DUMMYFUNCTION("""COMPUTED_VALUE"""),0.08333333333333333)</f>
        <v>0.08333333333</v>
      </c>
      <c r="D651" s="8">
        <f>IFERROR(__xludf.DUMMYFUNCTION("""COMPUTED_VALUE"""),0.039)</f>
        <v>0.039</v>
      </c>
      <c r="E651" s="8" t="str">
        <f>IFERROR(__xludf.DUMMYFUNCTION("""COMPUTED_VALUE"""),"Real")</f>
        <v>Real</v>
      </c>
      <c r="G651" s="8">
        <f t="shared" si="1"/>
        <v>11</v>
      </c>
      <c r="H651" s="14">
        <f t="shared" si="2"/>
        <v>28</v>
      </c>
      <c r="I651" s="15">
        <f t="shared" si="3"/>
        <v>2</v>
      </c>
    </row>
    <row r="652">
      <c r="A652" s="8" t="str">
        <f>IFERROR(__xludf.DUMMYFUNCTION("IF('(INGESTA)Datos_consumo_datadis'!A652&lt;&gt;"""",SPLIT('(INGESTA)Datos_consumo_datadis'!A:A,"",""),"""")"),"ES0031408323131005HX0F")</f>
        <v>ES0031408323131005HX0F</v>
      </c>
      <c r="B652" s="17">
        <f>IFERROR(__xludf.DUMMYFUNCTION("""COMPUTED_VALUE"""),44893.0)</f>
        <v>44893</v>
      </c>
      <c r="C652" s="13">
        <f>IFERROR(__xludf.DUMMYFUNCTION("""COMPUTED_VALUE"""),0.125)</f>
        <v>0.125</v>
      </c>
      <c r="D652" s="8">
        <f>IFERROR(__xludf.DUMMYFUNCTION("""COMPUTED_VALUE"""),0.065)</f>
        <v>0.065</v>
      </c>
      <c r="E652" s="8" t="str">
        <f>IFERROR(__xludf.DUMMYFUNCTION("""COMPUTED_VALUE"""),"Real")</f>
        <v>Real</v>
      </c>
      <c r="G652" s="8">
        <f t="shared" si="1"/>
        <v>11</v>
      </c>
      <c r="H652" s="14">
        <f t="shared" si="2"/>
        <v>28</v>
      </c>
      <c r="I652" s="15">
        <f t="shared" si="3"/>
        <v>3</v>
      </c>
    </row>
    <row r="653">
      <c r="A653" s="8" t="str">
        <f>IFERROR(__xludf.DUMMYFUNCTION("IF('(INGESTA)Datos_consumo_datadis'!A653&lt;&gt;"""",SPLIT('(INGESTA)Datos_consumo_datadis'!A:A,"",""),"""")"),"ES0031408323131005HX0F")</f>
        <v>ES0031408323131005HX0F</v>
      </c>
      <c r="B653" s="17">
        <f>IFERROR(__xludf.DUMMYFUNCTION("""COMPUTED_VALUE"""),44893.0)</f>
        <v>44893</v>
      </c>
      <c r="C653" s="13">
        <f>IFERROR(__xludf.DUMMYFUNCTION("""COMPUTED_VALUE"""),0.16666666666666666)</f>
        <v>0.1666666667</v>
      </c>
      <c r="D653" s="8">
        <f>IFERROR(__xludf.DUMMYFUNCTION("""COMPUTED_VALUE"""),0.382)</f>
        <v>0.382</v>
      </c>
      <c r="E653" s="8" t="str">
        <f>IFERROR(__xludf.DUMMYFUNCTION("""COMPUTED_VALUE"""),"Real")</f>
        <v>Real</v>
      </c>
      <c r="G653" s="8">
        <f t="shared" si="1"/>
        <v>11</v>
      </c>
      <c r="H653" s="14">
        <f t="shared" si="2"/>
        <v>28</v>
      </c>
      <c r="I653" s="15">
        <f t="shared" si="3"/>
        <v>4</v>
      </c>
    </row>
    <row r="654">
      <c r="A654" s="8" t="str">
        <f>IFERROR(__xludf.DUMMYFUNCTION("IF('(INGESTA)Datos_consumo_datadis'!A654&lt;&gt;"""",SPLIT('(INGESTA)Datos_consumo_datadis'!A:A,"",""),"""")"),"ES0031408323131005HX0F")</f>
        <v>ES0031408323131005HX0F</v>
      </c>
      <c r="B654" s="17">
        <f>IFERROR(__xludf.DUMMYFUNCTION("""COMPUTED_VALUE"""),44893.0)</f>
        <v>44893</v>
      </c>
      <c r="C654" s="13">
        <f>IFERROR(__xludf.DUMMYFUNCTION("""COMPUTED_VALUE"""),0.20833333333333334)</f>
        <v>0.2083333333</v>
      </c>
      <c r="D654" s="8">
        <f>IFERROR(__xludf.DUMMYFUNCTION("""COMPUTED_VALUE"""),0.073)</f>
        <v>0.073</v>
      </c>
      <c r="E654" s="8" t="str">
        <f>IFERROR(__xludf.DUMMYFUNCTION("""COMPUTED_VALUE"""),"Real")</f>
        <v>Real</v>
      </c>
      <c r="G654" s="8">
        <f t="shared" si="1"/>
        <v>11</v>
      </c>
      <c r="H654" s="14">
        <f t="shared" si="2"/>
        <v>28</v>
      </c>
      <c r="I654" s="15">
        <f t="shared" si="3"/>
        <v>5</v>
      </c>
    </row>
    <row r="655">
      <c r="A655" s="8" t="str">
        <f>IFERROR(__xludf.DUMMYFUNCTION("IF('(INGESTA)Datos_consumo_datadis'!A655&lt;&gt;"""",SPLIT('(INGESTA)Datos_consumo_datadis'!A:A,"",""),"""")"),"ES0031408323131005HX0F")</f>
        <v>ES0031408323131005HX0F</v>
      </c>
      <c r="B655" s="17">
        <f>IFERROR(__xludf.DUMMYFUNCTION("""COMPUTED_VALUE"""),44893.0)</f>
        <v>44893</v>
      </c>
      <c r="C655" s="13">
        <f>IFERROR(__xludf.DUMMYFUNCTION("""COMPUTED_VALUE"""),0.25)</f>
        <v>0.25</v>
      </c>
      <c r="D655" s="8">
        <f>IFERROR(__xludf.DUMMYFUNCTION("""COMPUTED_VALUE"""),0.065)</f>
        <v>0.065</v>
      </c>
      <c r="E655" s="8" t="str">
        <f>IFERROR(__xludf.DUMMYFUNCTION("""COMPUTED_VALUE"""),"Real")</f>
        <v>Real</v>
      </c>
      <c r="G655" s="8">
        <f t="shared" si="1"/>
        <v>11</v>
      </c>
      <c r="H655" s="14">
        <f t="shared" si="2"/>
        <v>28</v>
      </c>
      <c r="I655" s="15">
        <f t="shared" si="3"/>
        <v>6</v>
      </c>
    </row>
    <row r="656">
      <c r="A656" s="8" t="str">
        <f>IFERROR(__xludf.DUMMYFUNCTION("IF('(INGESTA)Datos_consumo_datadis'!A656&lt;&gt;"""",SPLIT('(INGESTA)Datos_consumo_datadis'!A:A,"",""),"""")"),"ES0031408323131005HX0F")</f>
        <v>ES0031408323131005HX0F</v>
      </c>
      <c r="B656" s="17">
        <f>IFERROR(__xludf.DUMMYFUNCTION("""COMPUTED_VALUE"""),44893.0)</f>
        <v>44893</v>
      </c>
      <c r="C656" s="13">
        <f>IFERROR(__xludf.DUMMYFUNCTION("""COMPUTED_VALUE"""),0.2916666666666667)</f>
        <v>0.2916666667</v>
      </c>
      <c r="D656" s="8">
        <f>IFERROR(__xludf.DUMMYFUNCTION("""COMPUTED_VALUE"""),0.039)</f>
        <v>0.039</v>
      </c>
      <c r="E656" s="8" t="str">
        <f>IFERROR(__xludf.DUMMYFUNCTION("""COMPUTED_VALUE"""),"Real")</f>
        <v>Real</v>
      </c>
      <c r="G656" s="8">
        <f t="shared" si="1"/>
        <v>11</v>
      </c>
      <c r="H656" s="14">
        <f t="shared" si="2"/>
        <v>28</v>
      </c>
      <c r="I656" s="15">
        <f t="shared" si="3"/>
        <v>7</v>
      </c>
    </row>
    <row r="657">
      <c r="A657" s="8" t="str">
        <f>IFERROR(__xludf.DUMMYFUNCTION("IF('(INGESTA)Datos_consumo_datadis'!A657&lt;&gt;"""",SPLIT('(INGESTA)Datos_consumo_datadis'!A:A,"",""),"""")"),"ES0031408323131005HX0F")</f>
        <v>ES0031408323131005HX0F</v>
      </c>
      <c r="B657" s="17">
        <f>IFERROR(__xludf.DUMMYFUNCTION("""COMPUTED_VALUE"""),44893.0)</f>
        <v>44893</v>
      </c>
      <c r="C657" s="13">
        <f>IFERROR(__xludf.DUMMYFUNCTION("""COMPUTED_VALUE"""),0.3333333333333333)</f>
        <v>0.3333333333</v>
      </c>
      <c r="D657" s="8">
        <f>IFERROR(__xludf.DUMMYFUNCTION("""COMPUTED_VALUE"""),0.011)</f>
        <v>0.011</v>
      </c>
      <c r="E657" s="8" t="str">
        <f>IFERROR(__xludf.DUMMYFUNCTION("""COMPUTED_VALUE"""),"Real")</f>
        <v>Real</v>
      </c>
      <c r="G657" s="8">
        <f t="shared" si="1"/>
        <v>11</v>
      </c>
      <c r="H657" s="14">
        <f t="shared" si="2"/>
        <v>28</v>
      </c>
      <c r="I657" s="15">
        <f t="shared" si="3"/>
        <v>8</v>
      </c>
    </row>
    <row r="658">
      <c r="A658" s="8" t="str">
        <f>IFERROR(__xludf.DUMMYFUNCTION("IF('(INGESTA)Datos_consumo_datadis'!A658&lt;&gt;"""",SPLIT('(INGESTA)Datos_consumo_datadis'!A:A,"",""),"""")"),"ES0031408323131005HX0F")</f>
        <v>ES0031408323131005HX0F</v>
      </c>
      <c r="B658" s="17">
        <f>IFERROR(__xludf.DUMMYFUNCTION("""COMPUTED_VALUE"""),44893.0)</f>
        <v>44893</v>
      </c>
      <c r="C658" s="13">
        <f>IFERROR(__xludf.DUMMYFUNCTION("""COMPUTED_VALUE"""),0.375)</f>
        <v>0.375</v>
      </c>
      <c r="D658" s="8">
        <f>IFERROR(__xludf.DUMMYFUNCTION("""COMPUTED_VALUE"""),0.019)</f>
        <v>0.019</v>
      </c>
      <c r="E658" s="8" t="str">
        <f>IFERROR(__xludf.DUMMYFUNCTION("""COMPUTED_VALUE"""),"Real")</f>
        <v>Real</v>
      </c>
      <c r="G658" s="8">
        <f t="shared" si="1"/>
        <v>11</v>
      </c>
      <c r="H658" s="14">
        <f t="shared" si="2"/>
        <v>28</v>
      </c>
      <c r="I658" s="15">
        <f t="shared" si="3"/>
        <v>9</v>
      </c>
    </row>
    <row r="659">
      <c r="A659" s="8" t="str">
        <f>IFERROR(__xludf.DUMMYFUNCTION("IF('(INGESTA)Datos_consumo_datadis'!A659&lt;&gt;"""",SPLIT('(INGESTA)Datos_consumo_datadis'!A:A,"",""),"""")"),"ES0031408323131005HX0F")</f>
        <v>ES0031408323131005HX0F</v>
      </c>
      <c r="B659" s="17">
        <f>IFERROR(__xludf.DUMMYFUNCTION("""COMPUTED_VALUE"""),44893.0)</f>
        <v>44893</v>
      </c>
      <c r="C659" s="13">
        <f>IFERROR(__xludf.DUMMYFUNCTION("""COMPUTED_VALUE"""),0.4166666666666667)</f>
        <v>0.4166666667</v>
      </c>
      <c r="D659" s="8">
        <f>IFERROR(__xludf.DUMMYFUNCTION("""COMPUTED_VALUE"""),0.366)</f>
        <v>0.366</v>
      </c>
      <c r="E659" s="8" t="str">
        <f>IFERROR(__xludf.DUMMYFUNCTION("""COMPUTED_VALUE"""),"Real")</f>
        <v>Real</v>
      </c>
      <c r="G659" s="8">
        <f t="shared" si="1"/>
        <v>11</v>
      </c>
      <c r="H659" s="14">
        <f t="shared" si="2"/>
        <v>28</v>
      </c>
      <c r="I659" s="15">
        <f t="shared" si="3"/>
        <v>10</v>
      </c>
    </row>
    <row r="660">
      <c r="A660" s="8" t="str">
        <f>IFERROR(__xludf.DUMMYFUNCTION("IF('(INGESTA)Datos_consumo_datadis'!A660&lt;&gt;"""",SPLIT('(INGESTA)Datos_consumo_datadis'!A:A,"",""),"""")"),"ES0031408323131005HX0F")</f>
        <v>ES0031408323131005HX0F</v>
      </c>
      <c r="B660" s="17">
        <f>IFERROR(__xludf.DUMMYFUNCTION("""COMPUTED_VALUE"""),44893.0)</f>
        <v>44893</v>
      </c>
      <c r="C660" s="13">
        <f>IFERROR(__xludf.DUMMYFUNCTION("""COMPUTED_VALUE"""),0.4583333333333333)</f>
        <v>0.4583333333</v>
      </c>
      <c r="D660" s="8">
        <f>IFERROR(__xludf.DUMMYFUNCTION("""COMPUTED_VALUE"""),0.043)</f>
        <v>0.043</v>
      </c>
      <c r="E660" s="8" t="str">
        <f>IFERROR(__xludf.DUMMYFUNCTION("""COMPUTED_VALUE"""),"Real")</f>
        <v>Real</v>
      </c>
      <c r="G660" s="8">
        <f t="shared" si="1"/>
        <v>11</v>
      </c>
      <c r="H660" s="14">
        <f t="shared" si="2"/>
        <v>28</v>
      </c>
      <c r="I660" s="15">
        <f t="shared" si="3"/>
        <v>11</v>
      </c>
    </row>
    <row r="661">
      <c r="A661" s="8" t="str">
        <f>IFERROR(__xludf.DUMMYFUNCTION("IF('(INGESTA)Datos_consumo_datadis'!A661&lt;&gt;"""",SPLIT('(INGESTA)Datos_consumo_datadis'!A:A,"",""),"""")"),"ES0031408323131005HX0F")</f>
        <v>ES0031408323131005HX0F</v>
      </c>
      <c r="B661" s="17">
        <f>IFERROR(__xludf.DUMMYFUNCTION("""COMPUTED_VALUE"""),44893.0)</f>
        <v>44893</v>
      </c>
      <c r="C661" s="13">
        <f>IFERROR(__xludf.DUMMYFUNCTION("""COMPUTED_VALUE"""),0.5)</f>
        <v>0.5</v>
      </c>
      <c r="D661" s="8">
        <f>IFERROR(__xludf.DUMMYFUNCTION("""COMPUTED_VALUE"""),0.023)</f>
        <v>0.023</v>
      </c>
      <c r="E661" s="8" t="str">
        <f>IFERROR(__xludf.DUMMYFUNCTION("""COMPUTED_VALUE"""),"Real")</f>
        <v>Real</v>
      </c>
      <c r="G661" s="8">
        <f t="shared" si="1"/>
        <v>11</v>
      </c>
      <c r="H661" s="14">
        <f t="shared" si="2"/>
        <v>28</v>
      </c>
      <c r="I661" s="15">
        <f t="shared" si="3"/>
        <v>12</v>
      </c>
    </row>
    <row r="662">
      <c r="A662" s="8" t="str">
        <f>IFERROR(__xludf.DUMMYFUNCTION("IF('(INGESTA)Datos_consumo_datadis'!A662&lt;&gt;"""",SPLIT('(INGESTA)Datos_consumo_datadis'!A:A,"",""),"""")"),"ES0031408323131005HX0F")</f>
        <v>ES0031408323131005HX0F</v>
      </c>
      <c r="B662" s="17">
        <f>IFERROR(__xludf.DUMMYFUNCTION("""COMPUTED_VALUE"""),44893.0)</f>
        <v>44893</v>
      </c>
      <c r="C662" s="13">
        <f>IFERROR(__xludf.DUMMYFUNCTION("""COMPUTED_VALUE"""),0.5416666666666666)</f>
        <v>0.5416666667</v>
      </c>
      <c r="D662" s="8">
        <f>IFERROR(__xludf.DUMMYFUNCTION("""COMPUTED_VALUE"""),0.009)</f>
        <v>0.009</v>
      </c>
      <c r="E662" s="8" t="str">
        <f>IFERROR(__xludf.DUMMYFUNCTION("""COMPUTED_VALUE"""),"Real")</f>
        <v>Real</v>
      </c>
      <c r="G662" s="8">
        <f t="shared" si="1"/>
        <v>11</v>
      </c>
      <c r="H662" s="14">
        <f t="shared" si="2"/>
        <v>28</v>
      </c>
      <c r="I662" s="15">
        <f t="shared" si="3"/>
        <v>13</v>
      </c>
    </row>
    <row r="663">
      <c r="A663" s="8" t="str">
        <f>IFERROR(__xludf.DUMMYFUNCTION("IF('(INGESTA)Datos_consumo_datadis'!A663&lt;&gt;"""",SPLIT('(INGESTA)Datos_consumo_datadis'!A:A,"",""),"""")"),"ES0031408323131005HX0F")</f>
        <v>ES0031408323131005HX0F</v>
      </c>
      <c r="B663" s="17">
        <f>IFERROR(__xludf.DUMMYFUNCTION("""COMPUTED_VALUE"""),44893.0)</f>
        <v>44893</v>
      </c>
      <c r="C663" s="13">
        <f>IFERROR(__xludf.DUMMYFUNCTION("""COMPUTED_VALUE"""),0.5833333333333334)</f>
        <v>0.5833333333</v>
      </c>
      <c r="D663" s="8">
        <f>IFERROR(__xludf.DUMMYFUNCTION("""COMPUTED_VALUE"""),0.081)</f>
        <v>0.081</v>
      </c>
      <c r="E663" s="8" t="str">
        <f>IFERROR(__xludf.DUMMYFUNCTION("""COMPUTED_VALUE"""),"Real")</f>
        <v>Real</v>
      </c>
      <c r="G663" s="8">
        <f t="shared" si="1"/>
        <v>11</v>
      </c>
      <c r="H663" s="14">
        <f t="shared" si="2"/>
        <v>28</v>
      </c>
      <c r="I663" s="15">
        <f t="shared" si="3"/>
        <v>14</v>
      </c>
    </row>
    <row r="664">
      <c r="A664" s="8" t="str">
        <f>IFERROR(__xludf.DUMMYFUNCTION("IF('(INGESTA)Datos_consumo_datadis'!A664&lt;&gt;"""",SPLIT('(INGESTA)Datos_consumo_datadis'!A:A,"",""),"""")"),"ES0031408323131005HX0F")</f>
        <v>ES0031408323131005HX0F</v>
      </c>
      <c r="B664" s="17">
        <f>IFERROR(__xludf.DUMMYFUNCTION("""COMPUTED_VALUE"""),44893.0)</f>
        <v>44893</v>
      </c>
      <c r="C664" s="13">
        <f>IFERROR(__xludf.DUMMYFUNCTION("""COMPUTED_VALUE"""),0.625)</f>
        <v>0.625</v>
      </c>
      <c r="D664" s="8">
        <f>IFERROR(__xludf.DUMMYFUNCTION("""COMPUTED_VALUE"""),0.333)</f>
        <v>0.333</v>
      </c>
      <c r="E664" s="8" t="str">
        <f>IFERROR(__xludf.DUMMYFUNCTION("""COMPUTED_VALUE"""),"Real")</f>
        <v>Real</v>
      </c>
      <c r="G664" s="8">
        <f t="shared" si="1"/>
        <v>11</v>
      </c>
      <c r="H664" s="14">
        <f t="shared" si="2"/>
        <v>28</v>
      </c>
      <c r="I664" s="15">
        <f t="shared" si="3"/>
        <v>15</v>
      </c>
    </row>
    <row r="665">
      <c r="A665" s="8" t="str">
        <f>IFERROR(__xludf.DUMMYFUNCTION("IF('(INGESTA)Datos_consumo_datadis'!A665&lt;&gt;"""",SPLIT('(INGESTA)Datos_consumo_datadis'!A:A,"",""),"""")"),"ES0031408323131005HX0F")</f>
        <v>ES0031408323131005HX0F</v>
      </c>
      <c r="B665" s="17">
        <f>IFERROR(__xludf.DUMMYFUNCTION("""COMPUTED_VALUE"""),44893.0)</f>
        <v>44893</v>
      </c>
      <c r="C665" s="13">
        <f>IFERROR(__xludf.DUMMYFUNCTION("""COMPUTED_VALUE"""),0.6666666666666666)</f>
        <v>0.6666666667</v>
      </c>
      <c r="D665" s="8">
        <f>IFERROR(__xludf.DUMMYFUNCTION("""COMPUTED_VALUE"""),0.033)</f>
        <v>0.033</v>
      </c>
      <c r="E665" s="8" t="str">
        <f>IFERROR(__xludf.DUMMYFUNCTION("""COMPUTED_VALUE"""),"Real")</f>
        <v>Real</v>
      </c>
      <c r="G665" s="8">
        <f t="shared" si="1"/>
        <v>11</v>
      </c>
      <c r="H665" s="14">
        <f t="shared" si="2"/>
        <v>28</v>
      </c>
      <c r="I665" s="15">
        <f t="shared" si="3"/>
        <v>16</v>
      </c>
    </row>
    <row r="666">
      <c r="A666" s="8" t="str">
        <f>IFERROR(__xludf.DUMMYFUNCTION("IF('(INGESTA)Datos_consumo_datadis'!A666&lt;&gt;"""",SPLIT('(INGESTA)Datos_consumo_datadis'!A:A,"",""),"""")"),"ES0031408323131005HX0F")</f>
        <v>ES0031408323131005HX0F</v>
      </c>
      <c r="B666" s="17">
        <f>IFERROR(__xludf.DUMMYFUNCTION("""COMPUTED_VALUE"""),44893.0)</f>
        <v>44893</v>
      </c>
      <c r="C666" s="13">
        <f>IFERROR(__xludf.DUMMYFUNCTION("""COMPUTED_VALUE"""),0.7083333333333334)</f>
        <v>0.7083333333</v>
      </c>
      <c r="D666" s="8">
        <f>IFERROR(__xludf.DUMMYFUNCTION("""COMPUTED_VALUE"""),0.009)</f>
        <v>0.009</v>
      </c>
      <c r="E666" s="8" t="str">
        <f>IFERROR(__xludf.DUMMYFUNCTION("""COMPUTED_VALUE"""),"Real")</f>
        <v>Real</v>
      </c>
      <c r="G666" s="8">
        <f t="shared" si="1"/>
        <v>11</v>
      </c>
      <c r="H666" s="14">
        <f t="shared" si="2"/>
        <v>28</v>
      </c>
      <c r="I666" s="15">
        <f t="shared" si="3"/>
        <v>17</v>
      </c>
    </row>
    <row r="667">
      <c r="A667" s="8" t="str">
        <f>IFERROR(__xludf.DUMMYFUNCTION("IF('(INGESTA)Datos_consumo_datadis'!A667&lt;&gt;"""",SPLIT('(INGESTA)Datos_consumo_datadis'!A:A,"",""),"""")"),"ES0031408323131005HX0F")</f>
        <v>ES0031408323131005HX0F</v>
      </c>
      <c r="B667" s="17">
        <f>IFERROR(__xludf.DUMMYFUNCTION("""COMPUTED_VALUE"""),44893.0)</f>
        <v>44893</v>
      </c>
      <c r="C667" s="13">
        <f>IFERROR(__xludf.DUMMYFUNCTION("""COMPUTED_VALUE"""),0.75)</f>
        <v>0.75</v>
      </c>
      <c r="D667" s="8">
        <f>IFERROR(__xludf.DUMMYFUNCTION("""COMPUTED_VALUE"""),0.044)</f>
        <v>0.044</v>
      </c>
      <c r="E667" s="8" t="str">
        <f>IFERROR(__xludf.DUMMYFUNCTION("""COMPUTED_VALUE"""),"Real")</f>
        <v>Real</v>
      </c>
      <c r="G667" s="8">
        <f t="shared" si="1"/>
        <v>11</v>
      </c>
      <c r="H667" s="14">
        <f t="shared" si="2"/>
        <v>28</v>
      </c>
      <c r="I667" s="15">
        <f t="shared" si="3"/>
        <v>18</v>
      </c>
    </row>
    <row r="668">
      <c r="A668" s="8" t="str">
        <f>IFERROR(__xludf.DUMMYFUNCTION("IF('(INGESTA)Datos_consumo_datadis'!A668&lt;&gt;"""",SPLIT('(INGESTA)Datos_consumo_datadis'!A:A,"",""),"""")"),"ES0031408323131005HX0F")</f>
        <v>ES0031408323131005HX0F</v>
      </c>
      <c r="B668" s="17">
        <f>IFERROR(__xludf.DUMMYFUNCTION("""COMPUTED_VALUE"""),44893.0)</f>
        <v>44893</v>
      </c>
      <c r="C668" s="13">
        <f>IFERROR(__xludf.DUMMYFUNCTION("""COMPUTED_VALUE"""),0.7916666666666666)</f>
        <v>0.7916666667</v>
      </c>
      <c r="D668" s="8">
        <f>IFERROR(__xludf.DUMMYFUNCTION("""COMPUTED_VALUE"""),0.059)</f>
        <v>0.059</v>
      </c>
      <c r="E668" s="8" t="str">
        <f>IFERROR(__xludf.DUMMYFUNCTION("""COMPUTED_VALUE"""),"Real")</f>
        <v>Real</v>
      </c>
      <c r="G668" s="8">
        <f t="shared" si="1"/>
        <v>11</v>
      </c>
      <c r="H668" s="14">
        <f t="shared" si="2"/>
        <v>28</v>
      </c>
      <c r="I668" s="15">
        <f t="shared" si="3"/>
        <v>19</v>
      </c>
    </row>
    <row r="669">
      <c r="A669" s="8" t="str">
        <f>IFERROR(__xludf.DUMMYFUNCTION("IF('(INGESTA)Datos_consumo_datadis'!A669&lt;&gt;"""",SPLIT('(INGESTA)Datos_consumo_datadis'!A:A,"",""),"""")"),"ES0031408323131005HX0F")</f>
        <v>ES0031408323131005HX0F</v>
      </c>
      <c r="B669" s="17">
        <f>IFERROR(__xludf.DUMMYFUNCTION("""COMPUTED_VALUE"""),44893.0)</f>
        <v>44893</v>
      </c>
      <c r="C669" s="13">
        <f>IFERROR(__xludf.DUMMYFUNCTION("""COMPUTED_VALUE"""),0.8333333333333334)</f>
        <v>0.8333333333</v>
      </c>
      <c r="D669" s="8">
        <f>IFERROR(__xludf.DUMMYFUNCTION("""COMPUTED_VALUE"""),0.044)</f>
        <v>0.044</v>
      </c>
      <c r="E669" s="8" t="str">
        <f>IFERROR(__xludf.DUMMYFUNCTION("""COMPUTED_VALUE"""),"Real")</f>
        <v>Real</v>
      </c>
      <c r="G669" s="8">
        <f t="shared" si="1"/>
        <v>11</v>
      </c>
      <c r="H669" s="14">
        <f t="shared" si="2"/>
        <v>28</v>
      </c>
      <c r="I669" s="15">
        <f t="shared" si="3"/>
        <v>20</v>
      </c>
    </row>
    <row r="670">
      <c r="A670" s="8" t="str">
        <f>IFERROR(__xludf.DUMMYFUNCTION("IF('(INGESTA)Datos_consumo_datadis'!A670&lt;&gt;"""",SPLIT('(INGESTA)Datos_consumo_datadis'!A:A,"",""),"""")"),"ES0031408323131005HX0F")</f>
        <v>ES0031408323131005HX0F</v>
      </c>
      <c r="B670" s="17">
        <f>IFERROR(__xludf.DUMMYFUNCTION("""COMPUTED_VALUE"""),44893.0)</f>
        <v>44893</v>
      </c>
      <c r="C670" s="13">
        <f>IFERROR(__xludf.DUMMYFUNCTION("""COMPUTED_VALUE"""),0.875)</f>
        <v>0.875</v>
      </c>
      <c r="D670" s="8">
        <f>IFERROR(__xludf.DUMMYFUNCTION("""COMPUTED_VALUE"""),0.309)</f>
        <v>0.309</v>
      </c>
      <c r="E670" s="8" t="str">
        <f>IFERROR(__xludf.DUMMYFUNCTION("""COMPUTED_VALUE"""),"Real")</f>
        <v>Real</v>
      </c>
      <c r="G670" s="8">
        <f t="shared" si="1"/>
        <v>11</v>
      </c>
      <c r="H670" s="14">
        <f t="shared" si="2"/>
        <v>28</v>
      </c>
      <c r="I670" s="15">
        <f t="shared" si="3"/>
        <v>21</v>
      </c>
    </row>
    <row r="671">
      <c r="A671" s="8" t="str">
        <f>IFERROR(__xludf.DUMMYFUNCTION("IF('(INGESTA)Datos_consumo_datadis'!A671&lt;&gt;"""",SPLIT('(INGESTA)Datos_consumo_datadis'!A:A,"",""),"""")"),"ES0031408323131005HX0F")</f>
        <v>ES0031408323131005HX0F</v>
      </c>
      <c r="B671" s="17">
        <f>IFERROR(__xludf.DUMMYFUNCTION("""COMPUTED_VALUE"""),44893.0)</f>
        <v>44893</v>
      </c>
      <c r="C671" s="13">
        <f>IFERROR(__xludf.DUMMYFUNCTION("""COMPUTED_VALUE"""),0.9166666666666666)</f>
        <v>0.9166666667</v>
      </c>
      <c r="D671" s="8">
        <f>IFERROR(__xludf.DUMMYFUNCTION("""COMPUTED_VALUE"""),0.009)</f>
        <v>0.009</v>
      </c>
      <c r="E671" s="8" t="str">
        <f>IFERROR(__xludf.DUMMYFUNCTION("""COMPUTED_VALUE"""),"Real")</f>
        <v>Real</v>
      </c>
      <c r="G671" s="8">
        <f t="shared" si="1"/>
        <v>11</v>
      </c>
      <c r="H671" s="14">
        <f t="shared" si="2"/>
        <v>28</v>
      </c>
      <c r="I671" s="15">
        <f t="shared" si="3"/>
        <v>22</v>
      </c>
    </row>
    <row r="672">
      <c r="A672" s="8" t="str">
        <f>IFERROR(__xludf.DUMMYFUNCTION("IF('(INGESTA)Datos_consumo_datadis'!A672&lt;&gt;"""",SPLIT('(INGESTA)Datos_consumo_datadis'!A:A,"",""),"""")"),"ES0031408323131005HX0F")</f>
        <v>ES0031408323131005HX0F</v>
      </c>
      <c r="B672" s="17">
        <f>IFERROR(__xludf.DUMMYFUNCTION("""COMPUTED_VALUE"""),44893.0)</f>
        <v>44893</v>
      </c>
      <c r="C672" s="13">
        <f>IFERROR(__xludf.DUMMYFUNCTION("""COMPUTED_VALUE"""),0.9583333333333334)</f>
        <v>0.9583333333</v>
      </c>
      <c r="D672" s="8">
        <f>IFERROR(__xludf.DUMMYFUNCTION("""COMPUTED_VALUE"""),0.083)</f>
        <v>0.083</v>
      </c>
      <c r="E672" s="8" t="str">
        <f>IFERROR(__xludf.DUMMYFUNCTION("""COMPUTED_VALUE"""),"Real")</f>
        <v>Real</v>
      </c>
      <c r="G672" s="8">
        <f t="shared" si="1"/>
        <v>11</v>
      </c>
      <c r="H672" s="14">
        <f t="shared" si="2"/>
        <v>28</v>
      </c>
      <c r="I672" s="15">
        <f t="shared" si="3"/>
        <v>23</v>
      </c>
    </row>
    <row r="673">
      <c r="A673" s="8" t="str">
        <f>IFERROR(__xludf.DUMMYFUNCTION("IF('(INGESTA)Datos_consumo_datadis'!A673&lt;&gt;"""",SPLIT('(INGESTA)Datos_consumo_datadis'!A:A,"",""),"""")"),"ES0031408323131005HX0F")</f>
        <v>ES0031408323131005HX0F</v>
      </c>
      <c r="B673" s="17">
        <f>IFERROR(__xludf.DUMMYFUNCTION("""COMPUTED_VALUE"""),44893.0)</f>
        <v>44893</v>
      </c>
      <c r="C673" s="16">
        <f>IFERROR(__xludf.DUMMYFUNCTION("""COMPUTED_VALUE"""),1.0)</f>
        <v>1</v>
      </c>
      <c r="D673" s="8">
        <f>IFERROR(__xludf.DUMMYFUNCTION("""COMPUTED_VALUE"""),0.057)</f>
        <v>0.057</v>
      </c>
      <c r="E673" s="8" t="str">
        <f>IFERROR(__xludf.DUMMYFUNCTION("""COMPUTED_VALUE"""),"Real")</f>
        <v>Real</v>
      </c>
      <c r="G673" s="8">
        <f t="shared" si="1"/>
        <v>11</v>
      </c>
      <c r="H673" s="14">
        <f t="shared" si="2"/>
        <v>28</v>
      </c>
      <c r="I673" s="15">
        <f t="shared" si="3"/>
        <v>0</v>
      </c>
    </row>
    <row r="674">
      <c r="A674" s="8" t="str">
        <f>IFERROR(__xludf.DUMMYFUNCTION("IF('(INGESTA)Datos_consumo_datadis'!A674&lt;&gt;"""",SPLIT('(INGESTA)Datos_consumo_datadis'!A:A,"",""),"""")"),"ES0031408323131005HX0F")</f>
        <v>ES0031408323131005HX0F</v>
      </c>
      <c r="B674" s="17">
        <f>IFERROR(__xludf.DUMMYFUNCTION("""COMPUTED_VALUE"""),44894.0)</f>
        <v>44894</v>
      </c>
      <c r="C674" s="13">
        <f>IFERROR(__xludf.DUMMYFUNCTION("""COMPUTED_VALUE"""),0.041666666666666664)</f>
        <v>0.04166666667</v>
      </c>
      <c r="D674" s="8">
        <f>IFERROR(__xludf.DUMMYFUNCTION("""COMPUTED_VALUE"""),0.058)</f>
        <v>0.058</v>
      </c>
      <c r="E674" s="8" t="str">
        <f>IFERROR(__xludf.DUMMYFUNCTION("""COMPUTED_VALUE"""),"Real")</f>
        <v>Real</v>
      </c>
      <c r="G674" s="8">
        <f t="shared" si="1"/>
        <v>11</v>
      </c>
      <c r="H674" s="14">
        <f t="shared" si="2"/>
        <v>29</v>
      </c>
      <c r="I674" s="15">
        <f t="shared" si="3"/>
        <v>1</v>
      </c>
    </row>
    <row r="675">
      <c r="A675" s="8" t="str">
        <f>IFERROR(__xludf.DUMMYFUNCTION("IF('(INGESTA)Datos_consumo_datadis'!A675&lt;&gt;"""",SPLIT('(INGESTA)Datos_consumo_datadis'!A:A,"",""),"""")"),"ES0031408323131005HX0F")</f>
        <v>ES0031408323131005HX0F</v>
      </c>
      <c r="B675" s="17">
        <f>IFERROR(__xludf.DUMMYFUNCTION("""COMPUTED_VALUE"""),44894.0)</f>
        <v>44894</v>
      </c>
      <c r="C675" s="13">
        <f>IFERROR(__xludf.DUMMYFUNCTION("""COMPUTED_VALUE"""),0.08333333333333333)</f>
        <v>0.08333333333</v>
      </c>
      <c r="D675" s="8">
        <f>IFERROR(__xludf.DUMMYFUNCTION("""COMPUTED_VALUE"""),0.301)</f>
        <v>0.301</v>
      </c>
      <c r="E675" s="8" t="str">
        <f>IFERROR(__xludf.DUMMYFUNCTION("""COMPUTED_VALUE"""),"Real")</f>
        <v>Real</v>
      </c>
      <c r="G675" s="8">
        <f t="shared" si="1"/>
        <v>11</v>
      </c>
      <c r="H675" s="14">
        <f t="shared" si="2"/>
        <v>29</v>
      </c>
      <c r="I675" s="15">
        <f t="shared" si="3"/>
        <v>2</v>
      </c>
    </row>
    <row r="676">
      <c r="A676" s="8" t="str">
        <f>IFERROR(__xludf.DUMMYFUNCTION("IF('(INGESTA)Datos_consumo_datadis'!A676&lt;&gt;"""",SPLIT('(INGESTA)Datos_consumo_datadis'!A:A,"",""),"""")"),"ES0031408323131005HX0F")</f>
        <v>ES0031408323131005HX0F</v>
      </c>
      <c r="B676" s="17">
        <f>IFERROR(__xludf.DUMMYFUNCTION("""COMPUTED_VALUE"""),44894.0)</f>
        <v>44894</v>
      </c>
      <c r="C676" s="13">
        <f>IFERROR(__xludf.DUMMYFUNCTION("""COMPUTED_VALUE"""),0.125)</f>
        <v>0.125</v>
      </c>
      <c r="D676" s="8">
        <f>IFERROR(__xludf.DUMMYFUNCTION("""COMPUTED_VALUE"""),0.106)</f>
        <v>0.106</v>
      </c>
      <c r="E676" s="8" t="str">
        <f>IFERROR(__xludf.DUMMYFUNCTION("""COMPUTED_VALUE"""),"Real")</f>
        <v>Real</v>
      </c>
      <c r="G676" s="8">
        <f t="shared" si="1"/>
        <v>11</v>
      </c>
      <c r="H676" s="14">
        <f t="shared" si="2"/>
        <v>29</v>
      </c>
      <c r="I676" s="15">
        <f t="shared" si="3"/>
        <v>3</v>
      </c>
    </row>
    <row r="677">
      <c r="A677" s="8" t="str">
        <f>IFERROR(__xludf.DUMMYFUNCTION("IF('(INGESTA)Datos_consumo_datadis'!A677&lt;&gt;"""",SPLIT('(INGESTA)Datos_consumo_datadis'!A:A,"",""),"""")"),"ES0031408323131005HX0F")</f>
        <v>ES0031408323131005HX0F</v>
      </c>
      <c r="B677" s="17">
        <f>IFERROR(__xludf.DUMMYFUNCTION("""COMPUTED_VALUE"""),44894.0)</f>
        <v>44894</v>
      </c>
      <c r="C677" s="13">
        <f>IFERROR(__xludf.DUMMYFUNCTION("""COMPUTED_VALUE"""),0.16666666666666666)</f>
        <v>0.1666666667</v>
      </c>
      <c r="D677" s="8">
        <f>IFERROR(__xludf.DUMMYFUNCTION("""COMPUTED_VALUE"""),0.111)</f>
        <v>0.111</v>
      </c>
      <c r="E677" s="8" t="str">
        <f>IFERROR(__xludf.DUMMYFUNCTION("""COMPUTED_VALUE"""),"Real")</f>
        <v>Real</v>
      </c>
      <c r="G677" s="8">
        <f t="shared" si="1"/>
        <v>11</v>
      </c>
      <c r="H677" s="14">
        <f t="shared" si="2"/>
        <v>29</v>
      </c>
      <c r="I677" s="15">
        <f t="shared" si="3"/>
        <v>4</v>
      </c>
    </row>
    <row r="678">
      <c r="A678" s="8" t="str">
        <f>IFERROR(__xludf.DUMMYFUNCTION("IF('(INGESTA)Datos_consumo_datadis'!A678&lt;&gt;"""",SPLIT('(INGESTA)Datos_consumo_datadis'!A:A,"",""),"""")"),"ES0031408323131005HX0F")</f>
        <v>ES0031408323131005HX0F</v>
      </c>
      <c r="B678" s="17">
        <f>IFERROR(__xludf.DUMMYFUNCTION("""COMPUTED_VALUE"""),44894.0)</f>
        <v>44894</v>
      </c>
      <c r="C678" s="13">
        <f>IFERROR(__xludf.DUMMYFUNCTION("""COMPUTED_VALUE"""),0.20833333333333334)</f>
        <v>0.2083333333</v>
      </c>
      <c r="D678" s="8">
        <f>IFERROR(__xludf.DUMMYFUNCTION("""COMPUTED_VALUE"""),0.039)</f>
        <v>0.039</v>
      </c>
      <c r="E678" s="8" t="str">
        <f>IFERROR(__xludf.DUMMYFUNCTION("""COMPUTED_VALUE"""),"Real")</f>
        <v>Real</v>
      </c>
      <c r="G678" s="8">
        <f t="shared" si="1"/>
        <v>11</v>
      </c>
      <c r="H678" s="14">
        <f t="shared" si="2"/>
        <v>29</v>
      </c>
      <c r="I678" s="15">
        <f t="shared" si="3"/>
        <v>5</v>
      </c>
    </row>
    <row r="679">
      <c r="A679" s="8" t="str">
        <f>IFERROR(__xludf.DUMMYFUNCTION("IF('(INGESTA)Datos_consumo_datadis'!A679&lt;&gt;"""",SPLIT('(INGESTA)Datos_consumo_datadis'!A:A,"",""),"""")"),"ES0031408323131005HX0F")</f>
        <v>ES0031408323131005HX0F</v>
      </c>
      <c r="B679" s="17">
        <f>IFERROR(__xludf.DUMMYFUNCTION("""COMPUTED_VALUE"""),44894.0)</f>
        <v>44894</v>
      </c>
      <c r="C679" s="13">
        <f>IFERROR(__xludf.DUMMYFUNCTION("""COMPUTED_VALUE"""),0.25)</f>
        <v>0.25</v>
      </c>
      <c r="D679" s="8">
        <f>IFERROR(__xludf.DUMMYFUNCTION("""COMPUTED_VALUE"""),0.04)</f>
        <v>0.04</v>
      </c>
      <c r="E679" s="8" t="str">
        <f>IFERROR(__xludf.DUMMYFUNCTION("""COMPUTED_VALUE"""),"Real")</f>
        <v>Real</v>
      </c>
      <c r="G679" s="8">
        <f t="shared" si="1"/>
        <v>11</v>
      </c>
      <c r="H679" s="14">
        <f t="shared" si="2"/>
        <v>29</v>
      </c>
      <c r="I679" s="15">
        <f t="shared" si="3"/>
        <v>6</v>
      </c>
    </row>
    <row r="680">
      <c r="A680" s="8" t="str">
        <f>IFERROR(__xludf.DUMMYFUNCTION("IF('(INGESTA)Datos_consumo_datadis'!A680&lt;&gt;"""",SPLIT('(INGESTA)Datos_consumo_datadis'!A:A,"",""),"""")"),"ES0031408323131005HX0F")</f>
        <v>ES0031408323131005HX0F</v>
      </c>
      <c r="B680" s="17">
        <f>IFERROR(__xludf.DUMMYFUNCTION("""COMPUTED_VALUE"""),44894.0)</f>
        <v>44894</v>
      </c>
      <c r="C680" s="13">
        <f>IFERROR(__xludf.DUMMYFUNCTION("""COMPUTED_VALUE"""),0.2916666666666667)</f>
        <v>0.2916666667</v>
      </c>
      <c r="D680" s="8">
        <f>IFERROR(__xludf.DUMMYFUNCTION("""COMPUTED_VALUE"""),0.011)</f>
        <v>0.011</v>
      </c>
      <c r="E680" s="8" t="str">
        <f>IFERROR(__xludf.DUMMYFUNCTION("""COMPUTED_VALUE"""),"Real")</f>
        <v>Real</v>
      </c>
      <c r="G680" s="8">
        <f t="shared" si="1"/>
        <v>11</v>
      </c>
      <c r="H680" s="14">
        <f t="shared" si="2"/>
        <v>29</v>
      </c>
      <c r="I680" s="15">
        <f t="shared" si="3"/>
        <v>7</v>
      </c>
    </row>
    <row r="681">
      <c r="A681" s="8" t="str">
        <f>IFERROR(__xludf.DUMMYFUNCTION("IF('(INGESTA)Datos_consumo_datadis'!A681&lt;&gt;"""",SPLIT('(INGESTA)Datos_consumo_datadis'!A:A,"",""),"""")"),"ES0031408323131005HX0F")</f>
        <v>ES0031408323131005HX0F</v>
      </c>
      <c r="B681" s="17">
        <f>IFERROR(__xludf.DUMMYFUNCTION("""COMPUTED_VALUE"""),44894.0)</f>
        <v>44894</v>
      </c>
      <c r="C681" s="13">
        <f>IFERROR(__xludf.DUMMYFUNCTION("""COMPUTED_VALUE"""),0.3333333333333333)</f>
        <v>0.3333333333</v>
      </c>
      <c r="D681" s="8">
        <f>IFERROR(__xludf.DUMMYFUNCTION("""COMPUTED_VALUE"""),0.439)</f>
        <v>0.439</v>
      </c>
      <c r="E681" s="8" t="str">
        <f>IFERROR(__xludf.DUMMYFUNCTION("""COMPUTED_VALUE"""),"Real")</f>
        <v>Real</v>
      </c>
      <c r="G681" s="8">
        <f t="shared" si="1"/>
        <v>11</v>
      </c>
      <c r="H681" s="14">
        <f t="shared" si="2"/>
        <v>29</v>
      </c>
      <c r="I681" s="15">
        <f t="shared" si="3"/>
        <v>8</v>
      </c>
    </row>
    <row r="682">
      <c r="A682" s="8" t="str">
        <f>IFERROR(__xludf.DUMMYFUNCTION("IF('(INGESTA)Datos_consumo_datadis'!A682&lt;&gt;"""",SPLIT('(INGESTA)Datos_consumo_datadis'!A:A,"",""),"""")"),"ES0031408323131005HX0F")</f>
        <v>ES0031408323131005HX0F</v>
      </c>
      <c r="B682" s="17">
        <f>IFERROR(__xludf.DUMMYFUNCTION("""COMPUTED_VALUE"""),44894.0)</f>
        <v>44894</v>
      </c>
      <c r="C682" s="13">
        <f>IFERROR(__xludf.DUMMYFUNCTION("""COMPUTED_VALUE"""),0.375)</f>
        <v>0.375</v>
      </c>
      <c r="D682" s="8">
        <f>IFERROR(__xludf.DUMMYFUNCTION("""COMPUTED_VALUE"""),0.05)</f>
        <v>0.05</v>
      </c>
      <c r="E682" s="8" t="str">
        <f>IFERROR(__xludf.DUMMYFUNCTION("""COMPUTED_VALUE"""),"Real")</f>
        <v>Real</v>
      </c>
      <c r="G682" s="8">
        <f t="shared" si="1"/>
        <v>11</v>
      </c>
      <c r="H682" s="14">
        <f t="shared" si="2"/>
        <v>29</v>
      </c>
      <c r="I682" s="15">
        <f t="shared" si="3"/>
        <v>9</v>
      </c>
    </row>
    <row r="683">
      <c r="A683" s="8" t="str">
        <f>IFERROR(__xludf.DUMMYFUNCTION("IF('(INGESTA)Datos_consumo_datadis'!A683&lt;&gt;"""",SPLIT('(INGESTA)Datos_consumo_datadis'!A:A,"",""),"""")"),"ES0031408323131005HX0F")</f>
        <v>ES0031408323131005HX0F</v>
      </c>
      <c r="B683" s="17">
        <f>IFERROR(__xludf.DUMMYFUNCTION("""COMPUTED_VALUE"""),44894.0)</f>
        <v>44894</v>
      </c>
      <c r="C683" s="13">
        <f>IFERROR(__xludf.DUMMYFUNCTION("""COMPUTED_VALUE"""),0.4166666666666667)</f>
        <v>0.4166666667</v>
      </c>
      <c r="D683" s="8">
        <f>IFERROR(__xludf.DUMMYFUNCTION("""COMPUTED_VALUE"""),0.033)</f>
        <v>0.033</v>
      </c>
      <c r="E683" s="8" t="str">
        <f>IFERROR(__xludf.DUMMYFUNCTION("""COMPUTED_VALUE"""),"Real")</f>
        <v>Real</v>
      </c>
      <c r="G683" s="8">
        <f t="shared" si="1"/>
        <v>11</v>
      </c>
      <c r="H683" s="14">
        <f t="shared" si="2"/>
        <v>29</v>
      </c>
      <c r="I683" s="15">
        <f t="shared" si="3"/>
        <v>10</v>
      </c>
    </row>
    <row r="684">
      <c r="A684" s="8" t="str">
        <f>IFERROR(__xludf.DUMMYFUNCTION("IF('(INGESTA)Datos_consumo_datadis'!A684&lt;&gt;"""",SPLIT('(INGESTA)Datos_consumo_datadis'!A:A,"",""),"""")"),"ES0031408323131005HX0F")</f>
        <v>ES0031408323131005HX0F</v>
      </c>
      <c r="B684" s="17">
        <f>IFERROR(__xludf.DUMMYFUNCTION("""COMPUTED_VALUE"""),44894.0)</f>
        <v>44894</v>
      </c>
      <c r="C684" s="13">
        <f>IFERROR(__xludf.DUMMYFUNCTION("""COMPUTED_VALUE"""),0.4583333333333333)</f>
        <v>0.4583333333</v>
      </c>
      <c r="D684" s="8">
        <f>IFERROR(__xludf.DUMMYFUNCTION("""COMPUTED_VALUE"""),0.009)</f>
        <v>0.009</v>
      </c>
      <c r="E684" s="8" t="str">
        <f>IFERROR(__xludf.DUMMYFUNCTION("""COMPUTED_VALUE"""),"Real")</f>
        <v>Real</v>
      </c>
      <c r="G684" s="8">
        <f t="shared" si="1"/>
        <v>11</v>
      </c>
      <c r="H684" s="14">
        <f t="shared" si="2"/>
        <v>29</v>
      </c>
      <c r="I684" s="15">
        <f t="shared" si="3"/>
        <v>11</v>
      </c>
    </row>
    <row r="685">
      <c r="A685" s="8" t="str">
        <f>IFERROR(__xludf.DUMMYFUNCTION("IF('(INGESTA)Datos_consumo_datadis'!A685&lt;&gt;"""",SPLIT('(INGESTA)Datos_consumo_datadis'!A:A,"",""),"""")"),"ES0031408323131005HX0F")</f>
        <v>ES0031408323131005HX0F</v>
      </c>
      <c r="B685" s="17">
        <f>IFERROR(__xludf.DUMMYFUNCTION("""COMPUTED_VALUE"""),44894.0)</f>
        <v>44894</v>
      </c>
      <c r="C685" s="13">
        <f>IFERROR(__xludf.DUMMYFUNCTION("""COMPUTED_VALUE"""),0.5)</f>
        <v>0.5</v>
      </c>
      <c r="D685" s="8">
        <f>IFERROR(__xludf.DUMMYFUNCTION("""COMPUTED_VALUE"""),0.021)</f>
        <v>0.021</v>
      </c>
      <c r="E685" s="8" t="str">
        <f>IFERROR(__xludf.DUMMYFUNCTION("""COMPUTED_VALUE"""),"Real")</f>
        <v>Real</v>
      </c>
      <c r="G685" s="8">
        <f t="shared" si="1"/>
        <v>11</v>
      </c>
      <c r="H685" s="14">
        <f t="shared" si="2"/>
        <v>29</v>
      </c>
      <c r="I685" s="15">
        <f t="shared" si="3"/>
        <v>12</v>
      </c>
    </row>
    <row r="686">
      <c r="A686" s="8" t="str">
        <f>IFERROR(__xludf.DUMMYFUNCTION("IF('(INGESTA)Datos_consumo_datadis'!A686&lt;&gt;"""",SPLIT('(INGESTA)Datos_consumo_datadis'!A:A,"",""),"""")"),"ES0031408323131005HX0F")</f>
        <v>ES0031408323131005HX0F</v>
      </c>
      <c r="B686" s="17">
        <f>IFERROR(__xludf.DUMMYFUNCTION("""COMPUTED_VALUE"""),44894.0)</f>
        <v>44894</v>
      </c>
      <c r="C686" s="13">
        <f>IFERROR(__xludf.DUMMYFUNCTION("""COMPUTED_VALUE"""),0.5416666666666666)</f>
        <v>0.5416666667</v>
      </c>
      <c r="D686" s="8">
        <f>IFERROR(__xludf.DUMMYFUNCTION("""COMPUTED_VALUE"""),0.069)</f>
        <v>0.069</v>
      </c>
      <c r="E686" s="8" t="str">
        <f>IFERROR(__xludf.DUMMYFUNCTION("""COMPUTED_VALUE"""),"Real")</f>
        <v>Real</v>
      </c>
      <c r="G686" s="8">
        <f t="shared" si="1"/>
        <v>11</v>
      </c>
      <c r="H686" s="14">
        <f t="shared" si="2"/>
        <v>29</v>
      </c>
      <c r="I686" s="15">
        <f t="shared" si="3"/>
        <v>13</v>
      </c>
    </row>
    <row r="687">
      <c r="A687" s="8" t="str">
        <f>IFERROR(__xludf.DUMMYFUNCTION("IF('(INGESTA)Datos_consumo_datadis'!A687&lt;&gt;"""",SPLIT('(INGESTA)Datos_consumo_datadis'!A:A,"",""),"""")"),"ES0031408323131005HX0F")</f>
        <v>ES0031408323131005HX0F</v>
      </c>
      <c r="B687" s="17">
        <f>IFERROR(__xludf.DUMMYFUNCTION("""COMPUTED_VALUE"""),44894.0)</f>
        <v>44894</v>
      </c>
      <c r="C687" s="13">
        <f>IFERROR(__xludf.DUMMYFUNCTION("""COMPUTED_VALUE"""),0.5833333333333334)</f>
        <v>0.5833333333</v>
      </c>
      <c r="D687" s="8">
        <f>IFERROR(__xludf.DUMMYFUNCTION("""COMPUTED_VALUE"""),0.34)</f>
        <v>0.34</v>
      </c>
      <c r="E687" s="8" t="str">
        <f>IFERROR(__xludf.DUMMYFUNCTION("""COMPUTED_VALUE"""),"Real")</f>
        <v>Real</v>
      </c>
      <c r="G687" s="8">
        <f t="shared" si="1"/>
        <v>11</v>
      </c>
      <c r="H687" s="14">
        <f t="shared" si="2"/>
        <v>29</v>
      </c>
      <c r="I687" s="15">
        <f t="shared" si="3"/>
        <v>14</v>
      </c>
    </row>
    <row r="688">
      <c r="A688" s="8" t="str">
        <f>IFERROR(__xludf.DUMMYFUNCTION("IF('(INGESTA)Datos_consumo_datadis'!A688&lt;&gt;"""",SPLIT('(INGESTA)Datos_consumo_datadis'!A:A,"",""),"""")"),"ES0031408323131005HX0F")</f>
        <v>ES0031408323131005HX0F</v>
      </c>
      <c r="B688" s="17">
        <f>IFERROR(__xludf.DUMMYFUNCTION("""COMPUTED_VALUE"""),44894.0)</f>
        <v>44894</v>
      </c>
      <c r="C688" s="13">
        <f>IFERROR(__xludf.DUMMYFUNCTION("""COMPUTED_VALUE"""),0.625)</f>
        <v>0.625</v>
      </c>
      <c r="D688" s="8">
        <f>IFERROR(__xludf.DUMMYFUNCTION("""COMPUTED_VALUE"""),0.022)</f>
        <v>0.022</v>
      </c>
      <c r="E688" s="8" t="str">
        <f>IFERROR(__xludf.DUMMYFUNCTION("""COMPUTED_VALUE"""),"Real")</f>
        <v>Real</v>
      </c>
      <c r="G688" s="8">
        <f t="shared" si="1"/>
        <v>11</v>
      </c>
      <c r="H688" s="14">
        <f t="shared" si="2"/>
        <v>29</v>
      </c>
      <c r="I688" s="15">
        <f t="shared" si="3"/>
        <v>15</v>
      </c>
    </row>
    <row r="689">
      <c r="A689" s="8" t="str">
        <f>IFERROR(__xludf.DUMMYFUNCTION("IF('(INGESTA)Datos_consumo_datadis'!A689&lt;&gt;"""",SPLIT('(INGESTA)Datos_consumo_datadis'!A:A,"",""),"""")"),"ES0031408323131005HX0F")</f>
        <v>ES0031408323131005HX0F</v>
      </c>
      <c r="B689" s="17">
        <f>IFERROR(__xludf.DUMMYFUNCTION("""COMPUTED_VALUE"""),44894.0)</f>
        <v>44894</v>
      </c>
      <c r="C689" s="13">
        <f>IFERROR(__xludf.DUMMYFUNCTION("""COMPUTED_VALUE"""),0.6666666666666666)</f>
        <v>0.6666666667</v>
      </c>
      <c r="D689" s="8">
        <f>IFERROR(__xludf.DUMMYFUNCTION("""COMPUTED_VALUE"""),0.01)</f>
        <v>0.01</v>
      </c>
      <c r="E689" s="8" t="str">
        <f>IFERROR(__xludf.DUMMYFUNCTION("""COMPUTED_VALUE"""),"Real")</f>
        <v>Real</v>
      </c>
      <c r="G689" s="8">
        <f t="shared" si="1"/>
        <v>11</v>
      </c>
      <c r="H689" s="14">
        <f t="shared" si="2"/>
        <v>29</v>
      </c>
      <c r="I689" s="15">
        <f t="shared" si="3"/>
        <v>16</v>
      </c>
    </row>
    <row r="690">
      <c r="A690" s="8" t="str">
        <f>IFERROR(__xludf.DUMMYFUNCTION("IF('(INGESTA)Datos_consumo_datadis'!A690&lt;&gt;"""",SPLIT('(INGESTA)Datos_consumo_datadis'!A:A,"",""),"""")"),"ES0031408323131005HX0F")</f>
        <v>ES0031408323131005HX0F</v>
      </c>
      <c r="B690" s="17">
        <f>IFERROR(__xludf.DUMMYFUNCTION("""COMPUTED_VALUE"""),44894.0)</f>
        <v>44894</v>
      </c>
      <c r="C690" s="13">
        <f>IFERROR(__xludf.DUMMYFUNCTION("""COMPUTED_VALUE"""),0.7083333333333334)</f>
        <v>0.7083333333</v>
      </c>
      <c r="D690" s="8">
        <f>IFERROR(__xludf.DUMMYFUNCTION("""COMPUTED_VALUE"""),0.078)</f>
        <v>0.078</v>
      </c>
      <c r="E690" s="8" t="str">
        <f>IFERROR(__xludf.DUMMYFUNCTION("""COMPUTED_VALUE"""),"Real")</f>
        <v>Real</v>
      </c>
      <c r="G690" s="8">
        <f t="shared" si="1"/>
        <v>11</v>
      </c>
      <c r="H690" s="14">
        <f t="shared" si="2"/>
        <v>29</v>
      </c>
      <c r="I690" s="15">
        <f t="shared" si="3"/>
        <v>17</v>
      </c>
    </row>
    <row r="691">
      <c r="A691" s="8" t="str">
        <f>IFERROR(__xludf.DUMMYFUNCTION("IF('(INGESTA)Datos_consumo_datadis'!A691&lt;&gt;"""",SPLIT('(INGESTA)Datos_consumo_datadis'!A:A,"",""),"""")"),"ES0031408323131005HX0F")</f>
        <v>ES0031408323131005HX0F</v>
      </c>
      <c r="B691" s="17">
        <f>IFERROR(__xludf.DUMMYFUNCTION("""COMPUTED_VALUE"""),44894.0)</f>
        <v>44894</v>
      </c>
      <c r="C691" s="13">
        <f>IFERROR(__xludf.DUMMYFUNCTION("""COMPUTED_VALUE"""),0.75)</f>
        <v>0.75</v>
      </c>
      <c r="D691" s="8">
        <f>IFERROR(__xludf.DUMMYFUNCTION("""COMPUTED_VALUE"""),0.035)</f>
        <v>0.035</v>
      </c>
      <c r="E691" s="8" t="str">
        <f>IFERROR(__xludf.DUMMYFUNCTION("""COMPUTED_VALUE"""),"Real")</f>
        <v>Real</v>
      </c>
      <c r="G691" s="8">
        <f t="shared" si="1"/>
        <v>11</v>
      </c>
      <c r="H691" s="14">
        <f t="shared" si="2"/>
        <v>29</v>
      </c>
      <c r="I691" s="15">
        <f t="shared" si="3"/>
        <v>18</v>
      </c>
    </row>
    <row r="692">
      <c r="A692" s="8" t="str">
        <f>IFERROR(__xludf.DUMMYFUNCTION("IF('(INGESTA)Datos_consumo_datadis'!A692&lt;&gt;"""",SPLIT('(INGESTA)Datos_consumo_datadis'!A:A,"",""),"""")"),"ES0031408323131005HX0F")</f>
        <v>ES0031408323131005HX0F</v>
      </c>
      <c r="B692" s="17">
        <f>IFERROR(__xludf.DUMMYFUNCTION("""COMPUTED_VALUE"""),44894.0)</f>
        <v>44894</v>
      </c>
      <c r="C692" s="13">
        <f>IFERROR(__xludf.DUMMYFUNCTION("""COMPUTED_VALUE"""),0.7916666666666666)</f>
        <v>0.7916666667</v>
      </c>
      <c r="D692" s="8">
        <f>IFERROR(__xludf.DUMMYFUNCTION("""COMPUTED_VALUE"""),0.332)</f>
        <v>0.332</v>
      </c>
      <c r="E692" s="8" t="str">
        <f>IFERROR(__xludf.DUMMYFUNCTION("""COMPUTED_VALUE"""),"Real")</f>
        <v>Real</v>
      </c>
      <c r="G692" s="8">
        <f t="shared" si="1"/>
        <v>11</v>
      </c>
      <c r="H692" s="14">
        <f t="shared" si="2"/>
        <v>29</v>
      </c>
      <c r="I692" s="15">
        <f t="shared" si="3"/>
        <v>19</v>
      </c>
    </row>
    <row r="693">
      <c r="A693" s="8" t="str">
        <f>IFERROR(__xludf.DUMMYFUNCTION("IF('(INGESTA)Datos_consumo_datadis'!A693&lt;&gt;"""",SPLIT('(INGESTA)Datos_consumo_datadis'!A:A,"",""),"""")"),"ES0031408323131005HX0F")</f>
        <v>ES0031408323131005HX0F</v>
      </c>
      <c r="B693" s="17">
        <f>IFERROR(__xludf.DUMMYFUNCTION("""COMPUTED_VALUE"""),44894.0)</f>
        <v>44894</v>
      </c>
      <c r="C693" s="13">
        <f>IFERROR(__xludf.DUMMYFUNCTION("""COMPUTED_VALUE"""),0.8333333333333334)</f>
        <v>0.8333333333</v>
      </c>
      <c r="D693" s="8">
        <f>IFERROR(__xludf.DUMMYFUNCTION("""COMPUTED_VALUE"""),0.009)</f>
        <v>0.009</v>
      </c>
      <c r="E693" s="8" t="str">
        <f>IFERROR(__xludf.DUMMYFUNCTION("""COMPUTED_VALUE"""),"Real")</f>
        <v>Real</v>
      </c>
      <c r="G693" s="8">
        <f t="shared" si="1"/>
        <v>11</v>
      </c>
      <c r="H693" s="14">
        <f t="shared" si="2"/>
        <v>29</v>
      </c>
      <c r="I693" s="15">
        <f t="shared" si="3"/>
        <v>20</v>
      </c>
    </row>
    <row r="694">
      <c r="A694" s="8" t="str">
        <f>IFERROR(__xludf.DUMMYFUNCTION("IF('(INGESTA)Datos_consumo_datadis'!A694&lt;&gt;"""",SPLIT('(INGESTA)Datos_consumo_datadis'!A:A,"",""),"""")"),"ES0031408323131005HX0F")</f>
        <v>ES0031408323131005HX0F</v>
      </c>
      <c r="B694" s="17">
        <f>IFERROR(__xludf.DUMMYFUNCTION("""COMPUTED_VALUE"""),44894.0)</f>
        <v>44894</v>
      </c>
      <c r="C694" s="13">
        <f>IFERROR(__xludf.DUMMYFUNCTION("""COMPUTED_VALUE"""),0.875)</f>
        <v>0.875</v>
      </c>
      <c r="D694" s="8">
        <f>IFERROR(__xludf.DUMMYFUNCTION("""COMPUTED_VALUE"""),0.039)</f>
        <v>0.039</v>
      </c>
      <c r="E694" s="8" t="str">
        <f>IFERROR(__xludf.DUMMYFUNCTION("""COMPUTED_VALUE"""),"Real")</f>
        <v>Real</v>
      </c>
      <c r="G694" s="8">
        <f t="shared" si="1"/>
        <v>11</v>
      </c>
      <c r="H694" s="14">
        <f t="shared" si="2"/>
        <v>29</v>
      </c>
      <c r="I694" s="15">
        <f t="shared" si="3"/>
        <v>21</v>
      </c>
    </row>
    <row r="695">
      <c r="A695" s="8" t="str">
        <f>IFERROR(__xludf.DUMMYFUNCTION("IF('(INGESTA)Datos_consumo_datadis'!A695&lt;&gt;"""",SPLIT('(INGESTA)Datos_consumo_datadis'!A:A,"",""),"""")"),"ES0031408323131005HX0F")</f>
        <v>ES0031408323131005HX0F</v>
      </c>
      <c r="B695" s="17">
        <f>IFERROR(__xludf.DUMMYFUNCTION("""COMPUTED_VALUE"""),44894.0)</f>
        <v>44894</v>
      </c>
      <c r="C695" s="13">
        <f>IFERROR(__xludf.DUMMYFUNCTION("""COMPUTED_VALUE"""),0.9166666666666666)</f>
        <v>0.9166666667</v>
      </c>
      <c r="D695" s="8">
        <f>IFERROR(__xludf.DUMMYFUNCTION("""COMPUTED_VALUE"""),0.059)</f>
        <v>0.059</v>
      </c>
      <c r="E695" s="8" t="str">
        <f>IFERROR(__xludf.DUMMYFUNCTION("""COMPUTED_VALUE"""),"Real")</f>
        <v>Real</v>
      </c>
      <c r="G695" s="8">
        <f t="shared" si="1"/>
        <v>11</v>
      </c>
      <c r="H695" s="14">
        <f t="shared" si="2"/>
        <v>29</v>
      </c>
      <c r="I695" s="15">
        <f t="shared" si="3"/>
        <v>22</v>
      </c>
    </row>
    <row r="696">
      <c r="A696" s="8" t="str">
        <f>IFERROR(__xludf.DUMMYFUNCTION("IF('(INGESTA)Datos_consumo_datadis'!A696&lt;&gt;"""",SPLIT('(INGESTA)Datos_consumo_datadis'!A:A,"",""),"""")"),"ES0031408323131005HX0F")</f>
        <v>ES0031408323131005HX0F</v>
      </c>
      <c r="B696" s="17">
        <f>IFERROR(__xludf.DUMMYFUNCTION("""COMPUTED_VALUE"""),44894.0)</f>
        <v>44894</v>
      </c>
      <c r="C696" s="13">
        <f>IFERROR(__xludf.DUMMYFUNCTION("""COMPUTED_VALUE"""),0.9583333333333334)</f>
        <v>0.9583333333</v>
      </c>
      <c r="D696" s="8">
        <f>IFERROR(__xludf.DUMMYFUNCTION("""COMPUTED_VALUE"""),0.048)</f>
        <v>0.048</v>
      </c>
      <c r="E696" s="8" t="str">
        <f>IFERROR(__xludf.DUMMYFUNCTION("""COMPUTED_VALUE"""),"Real")</f>
        <v>Real</v>
      </c>
      <c r="G696" s="8">
        <f t="shared" si="1"/>
        <v>11</v>
      </c>
      <c r="H696" s="14">
        <f t="shared" si="2"/>
        <v>29</v>
      </c>
      <c r="I696" s="15">
        <f t="shared" si="3"/>
        <v>23</v>
      </c>
    </row>
    <row r="697">
      <c r="A697" s="8" t="str">
        <f>IFERROR(__xludf.DUMMYFUNCTION("IF('(INGESTA)Datos_consumo_datadis'!A697&lt;&gt;"""",SPLIT('(INGESTA)Datos_consumo_datadis'!A:A,"",""),"""")"),"ES0031408323131005HX0F")</f>
        <v>ES0031408323131005HX0F</v>
      </c>
      <c r="B697" s="17">
        <f>IFERROR(__xludf.DUMMYFUNCTION("""COMPUTED_VALUE"""),44894.0)</f>
        <v>44894</v>
      </c>
      <c r="C697" s="16">
        <f>IFERROR(__xludf.DUMMYFUNCTION("""COMPUTED_VALUE"""),1.0)</f>
        <v>1</v>
      </c>
      <c r="D697" s="8">
        <f>IFERROR(__xludf.DUMMYFUNCTION("""COMPUTED_VALUE"""),0.01)</f>
        <v>0.01</v>
      </c>
      <c r="E697" s="8" t="str">
        <f>IFERROR(__xludf.DUMMYFUNCTION("""COMPUTED_VALUE"""),"Real")</f>
        <v>Real</v>
      </c>
      <c r="G697" s="8">
        <f t="shared" si="1"/>
        <v>11</v>
      </c>
      <c r="H697" s="14">
        <f t="shared" si="2"/>
        <v>29</v>
      </c>
      <c r="I697" s="15">
        <f t="shared" si="3"/>
        <v>0</v>
      </c>
    </row>
    <row r="698">
      <c r="A698" s="8" t="str">
        <f>IFERROR(__xludf.DUMMYFUNCTION("IF('(INGESTA)Datos_consumo_datadis'!A698&lt;&gt;"""",SPLIT('(INGESTA)Datos_consumo_datadis'!A:A,"",""),"""")"),"ES0031408323131005HX0F")</f>
        <v>ES0031408323131005HX0F</v>
      </c>
      <c r="B698" s="17">
        <f>IFERROR(__xludf.DUMMYFUNCTION("""COMPUTED_VALUE"""),44895.0)</f>
        <v>44895</v>
      </c>
      <c r="C698" s="13">
        <f>IFERROR(__xludf.DUMMYFUNCTION("""COMPUTED_VALUE"""),0.041666666666666664)</f>
        <v>0.04166666667</v>
      </c>
      <c r="D698" s="8">
        <f>IFERROR(__xludf.DUMMYFUNCTION("""COMPUTED_VALUE"""),0.379)</f>
        <v>0.379</v>
      </c>
      <c r="E698" s="8" t="str">
        <f>IFERROR(__xludf.DUMMYFUNCTION("""COMPUTED_VALUE"""),"Real")</f>
        <v>Real</v>
      </c>
      <c r="G698" s="8">
        <f t="shared" si="1"/>
        <v>11</v>
      </c>
      <c r="H698" s="14">
        <f t="shared" si="2"/>
        <v>30</v>
      </c>
      <c r="I698" s="15">
        <f t="shared" si="3"/>
        <v>1</v>
      </c>
    </row>
    <row r="699">
      <c r="A699" s="8" t="str">
        <f>IFERROR(__xludf.DUMMYFUNCTION("IF('(INGESTA)Datos_consumo_datadis'!A699&lt;&gt;"""",SPLIT('(INGESTA)Datos_consumo_datadis'!A:A,"",""),"""")"),"ES0031408323131005HX0F")</f>
        <v>ES0031408323131005HX0F</v>
      </c>
      <c r="B699" s="17">
        <f>IFERROR(__xludf.DUMMYFUNCTION("""COMPUTED_VALUE"""),44895.0)</f>
        <v>44895</v>
      </c>
      <c r="C699" s="13">
        <f>IFERROR(__xludf.DUMMYFUNCTION("""COMPUTED_VALUE"""),0.08333333333333333)</f>
        <v>0.08333333333</v>
      </c>
      <c r="D699" s="8">
        <f>IFERROR(__xludf.DUMMYFUNCTION("""COMPUTED_VALUE"""),0.096)</f>
        <v>0.096</v>
      </c>
      <c r="E699" s="8" t="str">
        <f>IFERROR(__xludf.DUMMYFUNCTION("""COMPUTED_VALUE"""),"Real")</f>
        <v>Real</v>
      </c>
      <c r="G699" s="8">
        <f t="shared" si="1"/>
        <v>11</v>
      </c>
      <c r="H699" s="14">
        <f t="shared" si="2"/>
        <v>30</v>
      </c>
      <c r="I699" s="15">
        <f t="shared" si="3"/>
        <v>2</v>
      </c>
    </row>
    <row r="700">
      <c r="A700" s="8" t="str">
        <f>IFERROR(__xludf.DUMMYFUNCTION("IF('(INGESTA)Datos_consumo_datadis'!A700&lt;&gt;"""",SPLIT('(INGESTA)Datos_consumo_datadis'!A:A,"",""),"""")"),"ES0031408323131005HX0F")</f>
        <v>ES0031408323131005HX0F</v>
      </c>
      <c r="B700" s="17">
        <f>IFERROR(__xludf.DUMMYFUNCTION("""COMPUTED_VALUE"""),44895.0)</f>
        <v>44895</v>
      </c>
      <c r="C700" s="13">
        <f>IFERROR(__xludf.DUMMYFUNCTION("""COMPUTED_VALUE"""),0.125)</f>
        <v>0.125</v>
      </c>
      <c r="D700" s="8">
        <f>IFERROR(__xludf.DUMMYFUNCTION("""COMPUTED_VALUE"""),0.064)</f>
        <v>0.064</v>
      </c>
      <c r="E700" s="8" t="str">
        <f>IFERROR(__xludf.DUMMYFUNCTION("""COMPUTED_VALUE"""),"Real")</f>
        <v>Real</v>
      </c>
      <c r="G700" s="8">
        <f t="shared" si="1"/>
        <v>11</v>
      </c>
      <c r="H700" s="14">
        <f t="shared" si="2"/>
        <v>30</v>
      </c>
      <c r="I700" s="15">
        <f t="shared" si="3"/>
        <v>3</v>
      </c>
    </row>
    <row r="701">
      <c r="A701" s="8" t="str">
        <f>IFERROR(__xludf.DUMMYFUNCTION("IF('(INGESTA)Datos_consumo_datadis'!A701&lt;&gt;"""",SPLIT('(INGESTA)Datos_consumo_datadis'!A:A,"",""),"""")"),"ES0031408323131005HX0F")</f>
        <v>ES0031408323131005HX0F</v>
      </c>
      <c r="B701" s="17">
        <f>IFERROR(__xludf.DUMMYFUNCTION("""COMPUTED_VALUE"""),44895.0)</f>
        <v>44895</v>
      </c>
      <c r="C701" s="13">
        <f>IFERROR(__xludf.DUMMYFUNCTION("""COMPUTED_VALUE"""),0.16666666666666666)</f>
        <v>0.1666666667</v>
      </c>
      <c r="D701" s="8">
        <f>IFERROR(__xludf.DUMMYFUNCTION("""COMPUTED_VALUE"""),0.052)</f>
        <v>0.052</v>
      </c>
      <c r="E701" s="8" t="str">
        <f>IFERROR(__xludf.DUMMYFUNCTION("""COMPUTED_VALUE"""),"Real")</f>
        <v>Real</v>
      </c>
      <c r="G701" s="8">
        <f t="shared" si="1"/>
        <v>11</v>
      </c>
      <c r="H701" s="14">
        <f t="shared" si="2"/>
        <v>30</v>
      </c>
      <c r="I701" s="15">
        <f t="shared" si="3"/>
        <v>4</v>
      </c>
    </row>
    <row r="702">
      <c r="A702" s="8" t="str">
        <f>IFERROR(__xludf.DUMMYFUNCTION("IF('(INGESTA)Datos_consumo_datadis'!A702&lt;&gt;"""",SPLIT('(INGESTA)Datos_consumo_datadis'!A:A,"",""),"""")"),"ES0031408323131005HX0F")</f>
        <v>ES0031408323131005HX0F</v>
      </c>
      <c r="B702" s="17">
        <f>IFERROR(__xludf.DUMMYFUNCTION("""COMPUTED_VALUE"""),44895.0)</f>
        <v>44895</v>
      </c>
      <c r="C702" s="13">
        <f>IFERROR(__xludf.DUMMYFUNCTION("""COMPUTED_VALUE"""),0.20833333333333334)</f>
        <v>0.2083333333</v>
      </c>
      <c r="D702" s="8">
        <f>IFERROR(__xludf.DUMMYFUNCTION("""COMPUTED_VALUE"""),0.011)</f>
        <v>0.011</v>
      </c>
      <c r="E702" s="8" t="str">
        <f>IFERROR(__xludf.DUMMYFUNCTION("""COMPUTED_VALUE"""),"Real")</f>
        <v>Real</v>
      </c>
      <c r="G702" s="8">
        <f t="shared" si="1"/>
        <v>11</v>
      </c>
      <c r="H702" s="14">
        <f t="shared" si="2"/>
        <v>30</v>
      </c>
      <c r="I702" s="15">
        <f t="shared" si="3"/>
        <v>5</v>
      </c>
    </row>
    <row r="703">
      <c r="A703" s="8" t="str">
        <f>IFERROR(__xludf.DUMMYFUNCTION("IF('(INGESTA)Datos_consumo_datadis'!A703&lt;&gt;"""",SPLIT('(INGESTA)Datos_consumo_datadis'!A:A,"",""),"""")"),"ES0031408323131005HX0F")</f>
        <v>ES0031408323131005HX0F</v>
      </c>
      <c r="B703" s="17">
        <f>IFERROR(__xludf.DUMMYFUNCTION("""COMPUTED_VALUE"""),44895.0)</f>
        <v>44895</v>
      </c>
      <c r="C703" s="13">
        <f>IFERROR(__xludf.DUMMYFUNCTION("""COMPUTED_VALUE"""),0.25)</f>
        <v>0.25</v>
      </c>
      <c r="D703" s="8">
        <f>IFERROR(__xludf.DUMMYFUNCTION("""COMPUTED_VALUE"""),0.165)</f>
        <v>0.165</v>
      </c>
      <c r="E703" s="8" t="str">
        <f>IFERROR(__xludf.DUMMYFUNCTION("""COMPUTED_VALUE"""),"Real")</f>
        <v>Real</v>
      </c>
      <c r="G703" s="8">
        <f t="shared" si="1"/>
        <v>11</v>
      </c>
      <c r="H703" s="14">
        <f t="shared" si="2"/>
        <v>30</v>
      </c>
      <c r="I703" s="15">
        <f t="shared" si="3"/>
        <v>6</v>
      </c>
    </row>
    <row r="704">
      <c r="A704" s="8" t="str">
        <f>IFERROR(__xludf.DUMMYFUNCTION("IF('(INGESTA)Datos_consumo_datadis'!A704&lt;&gt;"""",SPLIT('(INGESTA)Datos_consumo_datadis'!A:A,"",""),"""")"),"ES0031408323131005HX0F")</f>
        <v>ES0031408323131005HX0F</v>
      </c>
      <c r="B704" s="17">
        <f>IFERROR(__xludf.DUMMYFUNCTION("""COMPUTED_VALUE"""),44895.0)</f>
        <v>44895</v>
      </c>
      <c r="C704" s="13">
        <f>IFERROR(__xludf.DUMMYFUNCTION("""COMPUTED_VALUE"""),0.2916666666666667)</f>
        <v>0.2916666667</v>
      </c>
      <c r="D704" s="8">
        <f>IFERROR(__xludf.DUMMYFUNCTION("""COMPUTED_VALUE"""),0.332)</f>
        <v>0.332</v>
      </c>
      <c r="E704" s="8" t="str">
        <f>IFERROR(__xludf.DUMMYFUNCTION("""COMPUTED_VALUE"""),"Real")</f>
        <v>Real</v>
      </c>
      <c r="G704" s="8">
        <f t="shared" si="1"/>
        <v>11</v>
      </c>
      <c r="H704" s="14">
        <f t="shared" si="2"/>
        <v>30</v>
      </c>
      <c r="I704" s="15">
        <f t="shared" si="3"/>
        <v>7</v>
      </c>
    </row>
    <row r="705">
      <c r="A705" s="8" t="str">
        <f>IFERROR(__xludf.DUMMYFUNCTION("IF('(INGESTA)Datos_consumo_datadis'!A705&lt;&gt;"""",SPLIT('(INGESTA)Datos_consumo_datadis'!A:A,"",""),"""")"),"ES0031408323131005HX0F")</f>
        <v>ES0031408323131005HX0F</v>
      </c>
      <c r="B705" s="17">
        <f>IFERROR(__xludf.DUMMYFUNCTION("""COMPUTED_VALUE"""),44895.0)</f>
        <v>44895</v>
      </c>
      <c r="C705" s="13">
        <f>IFERROR(__xludf.DUMMYFUNCTION("""COMPUTED_VALUE"""),0.3333333333333333)</f>
        <v>0.3333333333</v>
      </c>
      <c r="D705" s="8">
        <f>IFERROR(__xludf.DUMMYFUNCTION("""COMPUTED_VALUE"""),0.042)</f>
        <v>0.042</v>
      </c>
      <c r="E705" s="8" t="str">
        <f>IFERROR(__xludf.DUMMYFUNCTION("""COMPUTED_VALUE"""),"Real")</f>
        <v>Real</v>
      </c>
      <c r="G705" s="8">
        <f t="shared" si="1"/>
        <v>11</v>
      </c>
      <c r="H705" s="14">
        <f t="shared" si="2"/>
        <v>30</v>
      </c>
      <c r="I705" s="15">
        <f t="shared" si="3"/>
        <v>8</v>
      </c>
    </row>
    <row r="706">
      <c r="A706" s="8" t="str">
        <f>IFERROR(__xludf.DUMMYFUNCTION("IF('(INGESTA)Datos_consumo_datadis'!A706&lt;&gt;"""",SPLIT('(INGESTA)Datos_consumo_datadis'!A:A,"",""),"""")"),"ES0031408323131005HX0F")</f>
        <v>ES0031408323131005HX0F</v>
      </c>
      <c r="B706" s="17">
        <f>IFERROR(__xludf.DUMMYFUNCTION("""COMPUTED_VALUE"""),44895.0)</f>
        <v>44895</v>
      </c>
      <c r="C706" s="13">
        <f>IFERROR(__xludf.DUMMYFUNCTION("""COMPUTED_VALUE"""),0.375)</f>
        <v>0.375</v>
      </c>
      <c r="D706" s="8">
        <f>IFERROR(__xludf.DUMMYFUNCTION("""COMPUTED_VALUE"""),0.01)</f>
        <v>0.01</v>
      </c>
      <c r="E706" s="8" t="str">
        <f>IFERROR(__xludf.DUMMYFUNCTION("""COMPUTED_VALUE"""),"Real")</f>
        <v>Real</v>
      </c>
      <c r="G706" s="8">
        <f t="shared" si="1"/>
        <v>11</v>
      </c>
      <c r="H706" s="14">
        <f t="shared" si="2"/>
        <v>30</v>
      </c>
      <c r="I706" s="15">
        <f t="shared" si="3"/>
        <v>9</v>
      </c>
    </row>
    <row r="707">
      <c r="A707" s="8" t="str">
        <f>IFERROR(__xludf.DUMMYFUNCTION("IF('(INGESTA)Datos_consumo_datadis'!A707&lt;&gt;"""",SPLIT('(INGESTA)Datos_consumo_datadis'!A:A,"",""),"""")"),"ES0031408323131005HX0F")</f>
        <v>ES0031408323131005HX0F</v>
      </c>
      <c r="B707" s="17">
        <f>IFERROR(__xludf.DUMMYFUNCTION("""COMPUTED_VALUE"""),44895.0)</f>
        <v>44895</v>
      </c>
      <c r="C707" s="13">
        <f>IFERROR(__xludf.DUMMYFUNCTION("""COMPUTED_VALUE"""),0.4166666666666667)</f>
        <v>0.4166666667</v>
      </c>
      <c r="D707" s="8">
        <f>IFERROR(__xludf.DUMMYFUNCTION("""COMPUTED_VALUE"""),0.009)</f>
        <v>0.009</v>
      </c>
      <c r="E707" s="8" t="str">
        <f>IFERROR(__xludf.DUMMYFUNCTION("""COMPUTED_VALUE"""),"Real")</f>
        <v>Real</v>
      </c>
      <c r="G707" s="8">
        <f t="shared" si="1"/>
        <v>11</v>
      </c>
      <c r="H707" s="14">
        <f t="shared" si="2"/>
        <v>30</v>
      </c>
      <c r="I707" s="15">
        <f t="shared" si="3"/>
        <v>10</v>
      </c>
    </row>
    <row r="708">
      <c r="A708" s="8" t="str">
        <f>IFERROR(__xludf.DUMMYFUNCTION("IF('(INGESTA)Datos_consumo_datadis'!A708&lt;&gt;"""",SPLIT('(INGESTA)Datos_consumo_datadis'!A:A,"",""),"""")"),"ES0031408323131005HX0F")</f>
        <v>ES0031408323131005HX0F</v>
      </c>
      <c r="B708" s="17">
        <f>IFERROR(__xludf.DUMMYFUNCTION("""COMPUTED_VALUE"""),44895.0)</f>
        <v>44895</v>
      </c>
      <c r="C708" s="13">
        <f>IFERROR(__xludf.DUMMYFUNCTION("""COMPUTED_VALUE"""),0.4583333333333333)</f>
        <v>0.4583333333</v>
      </c>
      <c r="D708" s="8">
        <f>IFERROR(__xludf.DUMMYFUNCTION("""COMPUTED_VALUE"""),0.081)</f>
        <v>0.081</v>
      </c>
      <c r="E708" s="8" t="str">
        <f>IFERROR(__xludf.DUMMYFUNCTION("""COMPUTED_VALUE"""),"Real")</f>
        <v>Real</v>
      </c>
      <c r="G708" s="8">
        <f t="shared" si="1"/>
        <v>11</v>
      </c>
      <c r="H708" s="14">
        <f t="shared" si="2"/>
        <v>30</v>
      </c>
      <c r="I708" s="15">
        <f t="shared" si="3"/>
        <v>11</v>
      </c>
    </row>
    <row r="709">
      <c r="A709" s="8" t="str">
        <f>IFERROR(__xludf.DUMMYFUNCTION("IF('(INGESTA)Datos_consumo_datadis'!A709&lt;&gt;"""",SPLIT('(INGESTA)Datos_consumo_datadis'!A:A,"",""),"""")"),"ES0031408323131005HX0F")</f>
        <v>ES0031408323131005HX0F</v>
      </c>
      <c r="B709" s="17">
        <f>IFERROR(__xludf.DUMMYFUNCTION("""COMPUTED_VALUE"""),44895.0)</f>
        <v>44895</v>
      </c>
      <c r="C709" s="13">
        <f>IFERROR(__xludf.DUMMYFUNCTION("""COMPUTED_VALUE"""),0.5)</f>
        <v>0.5</v>
      </c>
      <c r="D709" s="8">
        <f>IFERROR(__xludf.DUMMYFUNCTION("""COMPUTED_VALUE"""),0.334)</f>
        <v>0.334</v>
      </c>
      <c r="E709" s="8" t="str">
        <f>IFERROR(__xludf.DUMMYFUNCTION("""COMPUTED_VALUE"""),"Real")</f>
        <v>Real</v>
      </c>
      <c r="G709" s="8">
        <f t="shared" si="1"/>
        <v>11</v>
      </c>
      <c r="H709" s="14">
        <f t="shared" si="2"/>
        <v>30</v>
      </c>
      <c r="I709" s="15">
        <f t="shared" si="3"/>
        <v>12</v>
      </c>
    </row>
    <row r="710">
      <c r="A710" s="8" t="str">
        <f>IFERROR(__xludf.DUMMYFUNCTION("IF('(INGESTA)Datos_consumo_datadis'!A710&lt;&gt;"""",SPLIT('(INGESTA)Datos_consumo_datadis'!A:A,"",""),"""")"),"ES0031408323131005HX0F")</f>
        <v>ES0031408323131005HX0F</v>
      </c>
      <c r="B710" s="17">
        <f>IFERROR(__xludf.DUMMYFUNCTION("""COMPUTED_VALUE"""),44895.0)</f>
        <v>44895</v>
      </c>
      <c r="C710" s="13">
        <f>IFERROR(__xludf.DUMMYFUNCTION("""COMPUTED_VALUE"""),0.5416666666666666)</f>
        <v>0.5416666667</v>
      </c>
      <c r="D710" s="8">
        <f>IFERROR(__xludf.DUMMYFUNCTION("""COMPUTED_VALUE"""),0.033)</f>
        <v>0.033</v>
      </c>
      <c r="E710" s="8" t="str">
        <f>IFERROR(__xludf.DUMMYFUNCTION("""COMPUTED_VALUE"""),"Real")</f>
        <v>Real</v>
      </c>
      <c r="G710" s="8">
        <f t="shared" si="1"/>
        <v>11</v>
      </c>
      <c r="H710" s="14">
        <f t="shared" si="2"/>
        <v>30</v>
      </c>
      <c r="I710" s="15">
        <f t="shared" si="3"/>
        <v>13</v>
      </c>
    </row>
    <row r="711">
      <c r="A711" s="8" t="str">
        <f>IFERROR(__xludf.DUMMYFUNCTION("IF('(INGESTA)Datos_consumo_datadis'!A711&lt;&gt;"""",SPLIT('(INGESTA)Datos_consumo_datadis'!A:A,"",""),"""")"),"ES0031408323131005HX0F")</f>
        <v>ES0031408323131005HX0F</v>
      </c>
      <c r="B711" s="17">
        <f>IFERROR(__xludf.DUMMYFUNCTION("""COMPUTED_VALUE"""),44895.0)</f>
        <v>44895</v>
      </c>
      <c r="C711" s="13">
        <f>IFERROR(__xludf.DUMMYFUNCTION("""COMPUTED_VALUE"""),0.5833333333333334)</f>
        <v>0.5833333333</v>
      </c>
      <c r="D711" s="8">
        <f>IFERROR(__xludf.DUMMYFUNCTION("""COMPUTED_VALUE"""),0.009)</f>
        <v>0.009</v>
      </c>
      <c r="E711" s="8" t="str">
        <f>IFERROR(__xludf.DUMMYFUNCTION("""COMPUTED_VALUE"""),"Real")</f>
        <v>Real</v>
      </c>
      <c r="G711" s="8">
        <f t="shared" si="1"/>
        <v>11</v>
      </c>
      <c r="H711" s="14">
        <f t="shared" si="2"/>
        <v>30</v>
      </c>
      <c r="I711" s="15">
        <f t="shared" si="3"/>
        <v>14</v>
      </c>
    </row>
    <row r="712">
      <c r="A712" s="8" t="str">
        <f>IFERROR(__xludf.DUMMYFUNCTION("IF('(INGESTA)Datos_consumo_datadis'!A712&lt;&gt;"""",SPLIT('(INGESTA)Datos_consumo_datadis'!A:A,"",""),"""")"),"ES0031408323131005HX0F")</f>
        <v>ES0031408323131005HX0F</v>
      </c>
      <c r="B712" s="17">
        <f>IFERROR(__xludf.DUMMYFUNCTION("""COMPUTED_VALUE"""),44895.0)</f>
        <v>44895</v>
      </c>
      <c r="C712" s="13">
        <f>IFERROR(__xludf.DUMMYFUNCTION("""COMPUTED_VALUE"""),0.625)</f>
        <v>0.625</v>
      </c>
      <c r="D712" s="8">
        <f>IFERROR(__xludf.DUMMYFUNCTION("""COMPUTED_VALUE"""),0.056)</f>
        <v>0.056</v>
      </c>
      <c r="E712" s="8" t="str">
        <f>IFERROR(__xludf.DUMMYFUNCTION("""COMPUTED_VALUE"""),"Real")</f>
        <v>Real</v>
      </c>
      <c r="G712" s="8">
        <f t="shared" si="1"/>
        <v>11</v>
      </c>
      <c r="H712" s="14">
        <f t="shared" si="2"/>
        <v>30</v>
      </c>
      <c r="I712" s="15">
        <f t="shared" si="3"/>
        <v>15</v>
      </c>
    </row>
    <row r="713">
      <c r="A713" s="8" t="str">
        <f>IFERROR(__xludf.DUMMYFUNCTION("IF('(INGESTA)Datos_consumo_datadis'!A713&lt;&gt;"""",SPLIT('(INGESTA)Datos_consumo_datadis'!A:A,"",""),"""")"),"ES0031408323131005HX0F")</f>
        <v>ES0031408323131005HX0F</v>
      </c>
      <c r="B713" s="17">
        <f>IFERROR(__xludf.DUMMYFUNCTION("""COMPUTED_VALUE"""),44895.0)</f>
        <v>44895</v>
      </c>
      <c r="C713" s="13">
        <f>IFERROR(__xludf.DUMMYFUNCTION("""COMPUTED_VALUE"""),0.6666666666666666)</f>
        <v>0.6666666667</v>
      </c>
      <c r="D713" s="8">
        <f>IFERROR(__xludf.DUMMYFUNCTION("""COMPUTED_VALUE"""),0.057)</f>
        <v>0.057</v>
      </c>
      <c r="E713" s="8" t="str">
        <f>IFERROR(__xludf.DUMMYFUNCTION("""COMPUTED_VALUE"""),"Real")</f>
        <v>Real</v>
      </c>
      <c r="G713" s="8">
        <f t="shared" si="1"/>
        <v>11</v>
      </c>
      <c r="H713" s="14">
        <f t="shared" si="2"/>
        <v>30</v>
      </c>
      <c r="I713" s="15">
        <f t="shared" si="3"/>
        <v>16</v>
      </c>
    </row>
    <row r="714">
      <c r="A714" s="8" t="str">
        <f>IFERROR(__xludf.DUMMYFUNCTION("IF('(INGESTA)Datos_consumo_datadis'!A714&lt;&gt;"""",SPLIT('(INGESTA)Datos_consumo_datadis'!A:A,"",""),"""")"),"ES0031408323131005HX0F")</f>
        <v>ES0031408323131005HX0F</v>
      </c>
      <c r="B714" s="17">
        <f>IFERROR(__xludf.DUMMYFUNCTION("""COMPUTED_VALUE"""),44895.0)</f>
        <v>44895</v>
      </c>
      <c r="C714" s="13">
        <f>IFERROR(__xludf.DUMMYFUNCTION("""COMPUTED_VALUE"""),0.7083333333333334)</f>
        <v>0.7083333333</v>
      </c>
      <c r="D714" s="8">
        <f>IFERROR(__xludf.DUMMYFUNCTION("""COMPUTED_VALUE"""),0.033)</f>
        <v>0.033</v>
      </c>
      <c r="E714" s="8" t="str">
        <f>IFERROR(__xludf.DUMMYFUNCTION("""COMPUTED_VALUE"""),"Real")</f>
        <v>Real</v>
      </c>
      <c r="G714" s="8">
        <f t="shared" si="1"/>
        <v>11</v>
      </c>
      <c r="H714" s="14">
        <f t="shared" si="2"/>
        <v>30</v>
      </c>
      <c r="I714" s="15">
        <f t="shared" si="3"/>
        <v>17</v>
      </c>
    </row>
    <row r="715">
      <c r="A715" s="8" t="str">
        <f>IFERROR(__xludf.DUMMYFUNCTION("IF('(INGESTA)Datos_consumo_datadis'!A715&lt;&gt;"""",SPLIT('(INGESTA)Datos_consumo_datadis'!A:A,"",""),"""")"),"ES0031408323131005HX0F")</f>
        <v>ES0031408323131005HX0F</v>
      </c>
      <c r="B715" s="17">
        <f>IFERROR(__xludf.DUMMYFUNCTION("""COMPUTED_VALUE"""),44895.0)</f>
        <v>44895</v>
      </c>
      <c r="C715" s="13">
        <f>IFERROR(__xludf.DUMMYFUNCTION("""COMPUTED_VALUE"""),0.75)</f>
        <v>0.75</v>
      </c>
      <c r="D715" s="8">
        <f>IFERROR(__xludf.DUMMYFUNCTION("""COMPUTED_VALUE"""),0.315)</f>
        <v>0.315</v>
      </c>
      <c r="E715" s="8" t="str">
        <f>IFERROR(__xludf.DUMMYFUNCTION("""COMPUTED_VALUE"""),"Real")</f>
        <v>Real</v>
      </c>
      <c r="G715" s="8">
        <f t="shared" si="1"/>
        <v>11</v>
      </c>
      <c r="H715" s="14">
        <f t="shared" si="2"/>
        <v>30</v>
      </c>
      <c r="I715" s="15">
        <f t="shared" si="3"/>
        <v>18</v>
      </c>
    </row>
    <row r="716">
      <c r="A716" s="8" t="str">
        <f>IFERROR(__xludf.DUMMYFUNCTION("IF('(INGESTA)Datos_consumo_datadis'!A716&lt;&gt;"""",SPLIT('(INGESTA)Datos_consumo_datadis'!A:A,"",""),"""")"),"ES0031408323131005HX0F")</f>
        <v>ES0031408323131005HX0F</v>
      </c>
      <c r="B716" s="17">
        <f>IFERROR(__xludf.DUMMYFUNCTION("""COMPUTED_VALUE"""),44895.0)</f>
        <v>44895</v>
      </c>
      <c r="C716" s="13">
        <f>IFERROR(__xludf.DUMMYFUNCTION("""COMPUTED_VALUE"""),0.7916666666666666)</f>
        <v>0.7916666667</v>
      </c>
      <c r="D716" s="8">
        <f>IFERROR(__xludf.DUMMYFUNCTION("""COMPUTED_VALUE"""),0.009)</f>
        <v>0.009</v>
      </c>
      <c r="E716" s="8" t="str">
        <f>IFERROR(__xludf.DUMMYFUNCTION("""COMPUTED_VALUE"""),"Real")</f>
        <v>Real</v>
      </c>
      <c r="G716" s="8">
        <f t="shared" si="1"/>
        <v>11</v>
      </c>
      <c r="H716" s="14">
        <f t="shared" si="2"/>
        <v>30</v>
      </c>
      <c r="I716" s="15">
        <f t="shared" si="3"/>
        <v>19</v>
      </c>
    </row>
    <row r="717">
      <c r="A717" s="8" t="str">
        <f>IFERROR(__xludf.DUMMYFUNCTION("IF('(INGESTA)Datos_consumo_datadis'!A717&lt;&gt;"""",SPLIT('(INGESTA)Datos_consumo_datadis'!A:A,"",""),"""")"),"ES0031408323131005HX0F")</f>
        <v>ES0031408323131005HX0F</v>
      </c>
      <c r="B717" s="17">
        <f>IFERROR(__xludf.DUMMYFUNCTION("""COMPUTED_VALUE"""),44895.0)</f>
        <v>44895</v>
      </c>
      <c r="C717" s="13">
        <f>IFERROR(__xludf.DUMMYFUNCTION("""COMPUTED_VALUE"""),0.8333333333333334)</f>
        <v>0.8333333333</v>
      </c>
      <c r="D717" s="8">
        <f>IFERROR(__xludf.DUMMYFUNCTION("""COMPUTED_VALUE"""),0.081)</f>
        <v>0.081</v>
      </c>
      <c r="E717" s="8" t="str">
        <f>IFERROR(__xludf.DUMMYFUNCTION("""COMPUTED_VALUE"""),"Real")</f>
        <v>Real</v>
      </c>
      <c r="G717" s="8">
        <f t="shared" si="1"/>
        <v>11</v>
      </c>
      <c r="H717" s="14">
        <f t="shared" si="2"/>
        <v>30</v>
      </c>
      <c r="I717" s="15">
        <f t="shared" si="3"/>
        <v>20</v>
      </c>
    </row>
    <row r="718">
      <c r="A718" s="8" t="str">
        <f>IFERROR(__xludf.DUMMYFUNCTION("IF('(INGESTA)Datos_consumo_datadis'!A718&lt;&gt;"""",SPLIT('(INGESTA)Datos_consumo_datadis'!A:A,"",""),"""")"),"ES0031408323131005HX0F")</f>
        <v>ES0031408323131005HX0F</v>
      </c>
      <c r="B718" s="17">
        <f>IFERROR(__xludf.DUMMYFUNCTION("""COMPUTED_VALUE"""),44895.0)</f>
        <v>44895</v>
      </c>
      <c r="C718" s="13">
        <f>IFERROR(__xludf.DUMMYFUNCTION("""COMPUTED_VALUE"""),0.875)</f>
        <v>0.875</v>
      </c>
      <c r="D718" s="8">
        <f>IFERROR(__xludf.DUMMYFUNCTION("""COMPUTED_VALUE"""),0.032)</f>
        <v>0.032</v>
      </c>
      <c r="E718" s="8" t="str">
        <f>IFERROR(__xludf.DUMMYFUNCTION("""COMPUTED_VALUE"""),"Real")</f>
        <v>Real</v>
      </c>
      <c r="G718" s="8">
        <f t="shared" si="1"/>
        <v>11</v>
      </c>
      <c r="H718" s="14">
        <f t="shared" si="2"/>
        <v>30</v>
      </c>
      <c r="I718" s="15">
        <f t="shared" si="3"/>
        <v>21</v>
      </c>
    </row>
    <row r="719">
      <c r="A719" s="8" t="str">
        <f>IFERROR(__xludf.DUMMYFUNCTION("IF('(INGESTA)Datos_consumo_datadis'!A719&lt;&gt;"""",SPLIT('(INGESTA)Datos_consumo_datadis'!A:A,"",""),"""")"),"ES0031408323131005HX0F")</f>
        <v>ES0031408323131005HX0F</v>
      </c>
      <c r="B719" s="17">
        <f>IFERROR(__xludf.DUMMYFUNCTION("""COMPUTED_VALUE"""),44895.0)</f>
        <v>44895</v>
      </c>
      <c r="C719" s="13">
        <f>IFERROR(__xludf.DUMMYFUNCTION("""COMPUTED_VALUE"""),0.9166666666666666)</f>
        <v>0.9166666667</v>
      </c>
      <c r="D719" s="8">
        <f>IFERROR(__xludf.DUMMYFUNCTION("""COMPUTED_VALUE"""),0.033)</f>
        <v>0.033</v>
      </c>
      <c r="E719" s="8" t="str">
        <f>IFERROR(__xludf.DUMMYFUNCTION("""COMPUTED_VALUE"""),"Real")</f>
        <v>Real</v>
      </c>
      <c r="G719" s="8">
        <f t="shared" si="1"/>
        <v>11</v>
      </c>
      <c r="H719" s="14">
        <f t="shared" si="2"/>
        <v>30</v>
      </c>
      <c r="I719" s="15">
        <f t="shared" si="3"/>
        <v>22</v>
      </c>
    </row>
    <row r="720">
      <c r="A720" s="8" t="str">
        <f>IFERROR(__xludf.DUMMYFUNCTION("IF('(INGESTA)Datos_consumo_datadis'!A720&lt;&gt;"""",SPLIT('(INGESTA)Datos_consumo_datadis'!A:A,"",""),"""")"),"ES0031408323131005HX0F")</f>
        <v>ES0031408323131005HX0F</v>
      </c>
      <c r="B720" s="17">
        <f>IFERROR(__xludf.DUMMYFUNCTION("""COMPUTED_VALUE"""),44895.0)</f>
        <v>44895</v>
      </c>
      <c r="C720" s="13">
        <f>IFERROR(__xludf.DUMMYFUNCTION("""COMPUTED_VALUE"""),0.9583333333333334)</f>
        <v>0.9583333333</v>
      </c>
      <c r="D720" s="8">
        <f>IFERROR(__xludf.DUMMYFUNCTION("""COMPUTED_VALUE"""),0.323)</f>
        <v>0.323</v>
      </c>
      <c r="E720" s="8" t="str">
        <f>IFERROR(__xludf.DUMMYFUNCTION("""COMPUTED_VALUE"""),"Real")</f>
        <v>Real</v>
      </c>
      <c r="G720" s="8">
        <f t="shared" si="1"/>
        <v>11</v>
      </c>
      <c r="H720" s="14">
        <f t="shared" si="2"/>
        <v>30</v>
      </c>
      <c r="I720" s="15">
        <f t="shared" si="3"/>
        <v>23</v>
      </c>
    </row>
    <row r="721">
      <c r="A721" s="8" t="str">
        <f>IFERROR(__xludf.DUMMYFUNCTION("IF('(INGESTA)Datos_consumo_datadis'!A721&lt;&gt;"""",SPLIT('(INGESTA)Datos_consumo_datadis'!A:A,"",""),"""")"),"ES0031408323131005HX0F")</f>
        <v>ES0031408323131005HX0F</v>
      </c>
      <c r="B721" s="17">
        <f>IFERROR(__xludf.DUMMYFUNCTION("""COMPUTED_VALUE"""),44895.0)</f>
        <v>44895</v>
      </c>
      <c r="C721" s="16">
        <f>IFERROR(__xludf.DUMMYFUNCTION("""COMPUTED_VALUE"""),1.0)</f>
        <v>1</v>
      </c>
      <c r="D721" s="8">
        <f>IFERROR(__xludf.DUMMYFUNCTION("""COMPUTED_VALUE"""),0.062)</f>
        <v>0.062</v>
      </c>
      <c r="E721" s="8" t="str">
        <f>IFERROR(__xludf.DUMMYFUNCTION("""COMPUTED_VALUE"""),"Real")</f>
        <v>Real</v>
      </c>
      <c r="G721" s="8">
        <f t="shared" si="1"/>
        <v>11</v>
      </c>
      <c r="H721" s="14">
        <f t="shared" si="2"/>
        <v>30</v>
      </c>
      <c r="I721" s="15">
        <f t="shared" si="3"/>
        <v>0</v>
      </c>
    </row>
    <row r="722">
      <c r="A722" s="8" t="str">
        <f>IFERROR(__xludf.DUMMYFUNCTION("IF('(INGESTA)Datos_consumo_datadis'!A722&lt;&gt;"""",SPLIT('(INGESTA)Datos_consumo_datadis'!A:A,"",""),"""")"),"ES0031408323131005HX0F")</f>
        <v>ES0031408323131005HX0F</v>
      </c>
      <c r="B722" s="12">
        <f>IFERROR(__xludf.DUMMYFUNCTION("""COMPUTED_VALUE"""),44896.0)</f>
        <v>44896</v>
      </c>
      <c r="C722" s="13">
        <f>IFERROR(__xludf.DUMMYFUNCTION("""COMPUTED_VALUE"""),0.041666666666666664)</f>
        <v>0.04166666667</v>
      </c>
      <c r="D722" s="8">
        <f>IFERROR(__xludf.DUMMYFUNCTION("""COMPUTED_VALUE"""),0.061)</f>
        <v>0.061</v>
      </c>
      <c r="E722" s="8" t="str">
        <f>IFERROR(__xludf.DUMMYFUNCTION("""COMPUTED_VALUE"""),"Real")</f>
        <v>Real</v>
      </c>
      <c r="G722" s="8">
        <f t="shared" si="1"/>
        <v>12</v>
      </c>
      <c r="H722" s="14">
        <f t="shared" si="2"/>
        <v>1</v>
      </c>
      <c r="I722" s="15">
        <f t="shared" si="3"/>
        <v>1</v>
      </c>
    </row>
    <row r="723">
      <c r="A723" s="8" t="str">
        <f>IFERROR(__xludf.DUMMYFUNCTION("IF('(INGESTA)Datos_consumo_datadis'!A723&lt;&gt;"""",SPLIT('(INGESTA)Datos_consumo_datadis'!A:A,"",""),"""")"),"ES0031408323131005HX0F")</f>
        <v>ES0031408323131005HX0F</v>
      </c>
      <c r="B723" s="12">
        <f>IFERROR(__xludf.DUMMYFUNCTION("""COMPUTED_VALUE"""),44896.0)</f>
        <v>44896</v>
      </c>
      <c r="C723" s="13">
        <f>IFERROR(__xludf.DUMMYFUNCTION("""COMPUTED_VALUE"""),0.08333333333333333)</f>
        <v>0.08333333333</v>
      </c>
      <c r="D723" s="8">
        <f>IFERROR(__xludf.DUMMYFUNCTION("""COMPUTED_VALUE"""),0.04)</f>
        <v>0.04</v>
      </c>
      <c r="E723" s="8" t="str">
        <f>IFERROR(__xludf.DUMMYFUNCTION("""COMPUTED_VALUE"""),"Real")</f>
        <v>Real</v>
      </c>
      <c r="G723" s="8">
        <f t="shared" si="1"/>
        <v>12</v>
      </c>
      <c r="H723" s="14">
        <f t="shared" si="2"/>
        <v>1</v>
      </c>
      <c r="I723" s="15">
        <f t="shared" si="3"/>
        <v>2</v>
      </c>
    </row>
    <row r="724">
      <c r="A724" s="8" t="str">
        <f>IFERROR(__xludf.DUMMYFUNCTION("IF('(INGESTA)Datos_consumo_datadis'!A724&lt;&gt;"""",SPLIT('(INGESTA)Datos_consumo_datadis'!A:A,"",""),"""")"),"ES0031408323131005HX0F")</f>
        <v>ES0031408323131005HX0F</v>
      </c>
      <c r="B724" s="12">
        <f>IFERROR(__xludf.DUMMYFUNCTION("""COMPUTED_VALUE"""),44896.0)</f>
        <v>44896</v>
      </c>
      <c r="C724" s="13">
        <f>IFERROR(__xludf.DUMMYFUNCTION("""COMPUTED_VALUE"""),0.125)</f>
        <v>0.125</v>
      </c>
      <c r="D724" s="8">
        <f>IFERROR(__xludf.DUMMYFUNCTION("""COMPUTED_VALUE"""),0.036)</f>
        <v>0.036</v>
      </c>
      <c r="E724" s="8" t="str">
        <f>IFERROR(__xludf.DUMMYFUNCTION("""COMPUTED_VALUE"""),"Real")</f>
        <v>Real</v>
      </c>
      <c r="G724" s="8">
        <f t="shared" si="1"/>
        <v>12</v>
      </c>
      <c r="H724" s="14">
        <f t="shared" si="2"/>
        <v>1</v>
      </c>
      <c r="I724" s="15">
        <f t="shared" si="3"/>
        <v>3</v>
      </c>
    </row>
    <row r="725">
      <c r="A725" s="8" t="str">
        <f>IFERROR(__xludf.DUMMYFUNCTION("IF('(INGESTA)Datos_consumo_datadis'!A725&lt;&gt;"""",SPLIT('(INGESTA)Datos_consumo_datadis'!A:A,"",""),"""")"),"ES0031408323131005HX0F")</f>
        <v>ES0031408323131005HX0F</v>
      </c>
      <c r="B725" s="12">
        <f>IFERROR(__xludf.DUMMYFUNCTION("""COMPUTED_VALUE"""),44896.0)</f>
        <v>44896</v>
      </c>
      <c r="C725" s="13">
        <f>IFERROR(__xludf.DUMMYFUNCTION("""COMPUTED_VALUE"""),0.16666666666666666)</f>
        <v>0.1666666667</v>
      </c>
      <c r="D725" s="8">
        <f>IFERROR(__xludf.DUMMYFUNCTION("""COMPUTED_VALUE"""),0.026)</f>
        <v>0.026</v>
      </c>
      <c r="E725" s="8" t="str">
        <f>IFERROR(__xludf.DUMMYFUNCTION("""COMPUTED_VALUE"""),"Real")</f>
        <v>Real</v>
      </c>
      <c r="G725" s="8">
        <f t="shared" si="1"/>
        <v>12</v>
      </c>
      <c r="H725" s="14">
        <f t="shared" si="2"/>
        <v>1</v>
      </c>
      <c r="I725" s="15">
        <f t="shared" si="3"/>
        <v>4</v>
      </c>
    </row>
    <row r="726">
      <c r="A726" s="8" t="str">
        <f>IFERROR(__xludf.DUMMYFUNCTION("IF('(INGESTA)Datos_consumo_datadis'!A726&lt;&gt;"""",SPLIT('(INGESTA)Datos_consumo_datadis'!A:A,"",""),"""")"),"ES0031408323131005HX0F")</f>
        <v>ES0031408323131005HX0F</v>
      </c>
      <c r="B726" s="12">
        <f>IFERROR(__xludf.DUMMYFUNCTION("""COMPUTED_VALUE"""),44896.0)</f>
        <v>44896</v>
      </c>
      <c r="C726" s="13">
        <f>IFERROR(__xludf.DUMMYFUNCTION("""COMPUTED_VALUE"""),0.20833333333333334)</f>
        <v>0.2083333333</v>
      </c>
      <c r="D726" s="8">
        <f>IFERROR(__xludf.DUMMYFUNCTION("""COMPUTED_VALUE"""),0.491)</f>
        <v>0.491</v>
      </c>
      <c r="E726" s="8" t="str">
        <f>IFERROR(__xludf.DUMMYFUNCTION("""COMPUTED_VALUE"""),"Real")</f>
        <v>Real</v>
      </c>
      <c r="G726" s="8">
        <f t="shared" si="1"/>
        <v>12</v>
      </c>
      <c r="H726" s="14">
        <f t="shared" si="2"/>
        <v>1</v>
      </c>
      <c r="I726" s="15">
        <f t="shared" si="3"/>
        <v>5</v>
      </c>
    </row>
    <row r="727">
      <c r="A727" s="8" t="str">
        <f>IFERROR(__xludf.DUMMYFUNCTION("IF('(INGESTA)Datos_consumo_datadis'!A727&lt;&gt;"""",SPLIT('(INGESTA)Datos_consumo_datadis'!A:A,"",""),"""")"),"ES0031408323131005HX0F")</f>
        <v>ES0031408323131005HX0F</v>
      </c>
      <c r="B727" s="12">
        <f>IFERROR(__xludf.DUMMYFUNCTION("""COMPUTED_VALUE"""),44896.0)</f>
        <v>44896</v>
      </c>
      <c r="C727" s="13">
        <f>IFERROR(__xludf.DUMMYFUNCTION("""COMPUTED_VALUE"""),0.25)</f>
        <v>0.25</v>
      </c>
      <c r="D727" s="8">
        <f>IFERROR(__xludf.DUMMYFUNCTION("""COMPUTED_VALUE"""),0.038)</f>
        <v>0.038</v>
      </c>
      <c r="E727" s="8" t="str">
        <f>IFERROR(__xludf.DUMMYFUNCTION("""COMPUTED_VALUE"""),"Real")</f>
        <v>Real</v>
      </c>
      <c r="G727" s="8">
        <f t="shared" si="1"/>
        <v>12</v>
      </c>
      <c r="H727" s="14">
        <f t="shared" si="2"/>
        <v>1</v>
      </c>
      <c r="I727" s="15">
        <f t="shared" si="3"/>
        <v>6</v>
      </c>
    </row>
    <row r="728">
      <c r="A728" s="8" t="str">
        <f>IFERROR(__xludf.DUMMYFUNCTION("IF('(INGESTA)Datos_consumo_datadis'!A728&lt;&gt;"""",SPLIT('(INGESTA)Datos_consumo_datadis'!A:A,"",""),"""")"),"ES0031408323131005HX0F")</f>
        <v>ES0031408323131005HX0F</v>
      </c>
      <c r="B728" s="12">
        <f>IFERROR(__xludf.DUMMYFUNCTION("""COMPUTED_VALUE"""),44896.0)</f>
        <v>44896</v>
      </c>
      <c r="C728" s="13">
        <f>IFERROR(__xludf.DUMMYFUNCTION("""COMPUTED_VALUE"""),0.2916666666666667)</f>
        <v>0.2916666667</v>
      </c>
      <c r="D728" s="8">
        <f>IFERROR(__xludf.DUMMYFUNCTION("""COMPUTED_VALUE"""),0.038)</f>
        <v>0.038</v>
      </c>
      <c r="E728" s="8" t="str">
        <f>IFERROR(__xludf.DUMMYFUNCTION("""COMPUTED_VALUE"""),"Real")</f>
        <v>Real</v>
      </c>
      <c r="G728" s="8">
        <f t="shared" si="1"/>
        <v>12</v>
      </c>
      <c r="H728" s="14">
        <f t="shared" si="2"/>
        <v>1</v>
      </c>
      <c r="I728" s="15">
        <f t="shared" si="3"/>
        <v>7</v>
      </c>
    </row>
    <row r="729">
      <c r="A729" s="8" t="str">
        <f>IFERROR(__xludf.DUMMYFUNCTION("IF('(INGESTA)Datos_consumo_datadis'!A729&lt;&gt;"""",SPLIT('(INGESTA)Datos_consumo_datadis'!A:A,"",""),"""")"),"ES0031408323131005HX0F")</f>
        <v>ES0031408323131005HX0F</v>
      </c>
      <c r="B729" s="12">
        <f>IFERROR(__xludf.DUMMYFUNCTION("""COMPUTED_VALUE"""),44896.0)</f>
        <v>44896</v>
      </c>
      <c r="C729" s="13">
        <f>IFERROR(__xludf.DUMMYFUNCTION("""COMPUTED_VALUE"""),0.3333333333333333)</f>
        <v>0.3333333333</v>
      </c>
      <c r="D729" s="8">
        <f>IFERROR(__xludf.DUMMYFUNCTION("""COMPUTED_VALUE"""),0.012)</f>
        <v>0.012</v>
      </c>
      <c r="E729" s="8" t="str">
        <f>IFERROR(__xludf.DUMMYFUNCTION("""COMPUTED_VALUE"""),"Real")</f>
        <v>Real</v>
      </c>
      <c r="G729" s="8">
        <f t="shared" si="1"/>
        <v>12</v>
      </c>
      <c r="H729" s="14">
        <f t="shared" si="2"/>
        <v>1</v>
      </c>
      <c r="I729" s="15">
        <f t="shared" si="3"/>
        <v>8</v>
      </c>
    </row>
    <row r="730">
      <c r="A730" s="8" t="str">
        <f>IFERROR(__xludf.DUMMYFUNCTION("IF('(INGESTA)Datos_consumo_datadis'!A730&lt;&gt;"""",SPLIT('(INGESTA)Datos_consumo_datadis'!A:A,"",""),"""")"),"ES0031408323131005HX0F")</f>
        <v>ES0031408323131005HX0F</v>
      </c>
      <c r="B730" s="12">
        <f>IFERROR(__xludf.DUMMYFUNCTION("""COMPUTED_VALUE"""),44896.0)</f>
        <v>44896</v>
      </c>
      <c r="C730" s="13">
        <f>IFERROR(__xludf.DUMMYFUNCTION("""COMPUTED_VALUE"""),0.375)</f>
        <v>0.375</v>
      </c>
      <c r="D730" s="8">
        <f>IFERROR(__xludf.DUMMYFUNCTION("""COMPUTED_VALUE"""),0.05)</f>
        <v>0.05</v>
      </c>
      <c r="E730" s="8" t="str">
        <f>IFERROR(__xludf.DUMMYFUNCTION("""COMPUTED_VALUE"""),"Real")</f>
        <v>Real</v>
      </c>
      <c r="G730" s="8">
        <f t="shared" si="1"/>
        <v>12</v>
      </c>
      <c r="H730" s="14">
        <f t="shared" si="2"/>
        <v>1</v>
      </c>
      <c r="I730" s="15">
        <f t="shared" si="3"/>
        <v>9</v>
      </c>
    </row>
    <row r="731">
      <c r="A731" s="8" t="str">
        <f>IFERROR(__xludf.DUMMYFUNCTION("IF('(INGESTA)Datos_consumo_datadis'!A731&lt;&gt;"""",SPLIT('(INGESTA)Datos_consumo_datadis'!A:A,"",""),"""")"),"ES0031408323131005HX0F")</f>
        <v>ES0031408323131005HX0F</v>
      </c>
      <c r="B731" s="12">
        <f>IFERROR(__xludf.DUMMYFUNCTION("""COMPUTED_VALUE"""),44896.0)</f>
        <v>44896</v>
      </c>
      <c r="C731" s="13">
        <f>IFERROR(__xludf.DUMMYFUNCTION("""COMPUTED_VALUE"""),0.4166666666666667)</f>
        <v>0.4166666667</v>
      </c>
      <c r="D731" s="8">
        <f>IFERROR(__xludf.DUMMYFUNCTION("""COMPUTED_VALUE"""),0.06)</f>
        <v>0.06</v>
      </c>
      <c r="E731" s="8" t="str">
        <f>IFERROR(__xludf.DUMMYFUNCTION("""COMPUTED_VALUE"""),"Real")</f>
        <v>Real</v>
      </c>
      <c r="G731" s="8">
        <f t="shared" si="1"/>
        <v>12</v>
      </c>
      <c r="H731" s="14">
        <f t="shared" si="2"/>
        <v>1</v>
      </c>
      <c r="I731" s="15">
        <f t="shared" si="3"/>
        <v>10</v>
      </c>
    </row>
    <row r="732">
      <c r="A732" s="8" t="str">
        <f>IFERROR(__xludf.DUMMYFUNCTION("IF('(INGESTA)Datos_consumo_datadis'!A732&lt;&gt;"""",SPLIT('(INGESTA)Datos_consumo_datadis'!A:A,"",""),"""")"),"ES0031408323131005HX0F")</f>
        <v>ES0031408323131005HX0F</v>
      </c>
      <c r="B732" s="12">
        <f>IFERROR(__xludf.DUMMYFUNCTION("""COMPUTED_VALUE"""),44896.0)</f>
        <v>44896</v>
      </c>
      <c r="C732" s="13">
        <f>IFERROR(__xludf.DUMMYFUNCTION("""COMPUTED_VALUE"""),0.4583333333333333)</f>
        <v>0.4583333333</v>
      </c>
      <c r="D732" s="8">
        <f>IFERROR(__xludf.DUMMYFUNCTION("""COMPUTED_VALUE"""),0.324)</f>
        <v>0.324</v>
      </c>
      <c r="E732" s="8" t="str">
        <f>IFERROR(__xludf.DUMMYFUNCTION("""COMPUTED_VALUE"""),"Real")</f>
        <v>Real</v>
      </c>
      <c r="G732" s="8">
        <f t="shared" si="1"/>
        <v>12</v>
      </c>
      <c r="H732" s="14">
        <f t="shared" si="2"/>
        <v>1</v>
      </c>
      <c r="I732" s="15">
        <f t="shared" si="3"/>
        <v>11</v>
      </c>
    </row>
    <row r="733">
      <c r="A733" s="8" t="str">
        <f>IFERROR(__xludf.DUMMYFUNCTION("IF('(INGESTA)Datos_consumo_datadis'!A733&lt;&gt;"""",SPLIT('(INGESTA)Datos_consumo_datadis'!A:A,"",""),"""")"),"ES0031408323131005HX0F")</f>
        <v>ES0031408323131005HX0F</v>
      </c>
      <c r="B733" s="12">
        <f>IFERROR(__xludf.DUMMYFUNCTION("""COMPUTED_VALUE"""),44896.0)</f>
        <v>44896</v>
      </c>
      <c r="C733" s="13">
        <f>IFERROR(__xludf.DUMMYFUNCTION("""COMPUTED_VALUE"""),0.5)</f>
        <v>0.5</v>
      </c>
      <c r="D733" s="8">
        <f>IFERROR(__xludf.DUMMYFUNCTION("""COMPUTED_VALUE"""),0.009)</f>
        <v>0.009</v>
      </c>
      <c r="E733" s="8" t="str">
        <f>IFERROR(__xludf.DUMMYFUNCTION("""COMPUTED_VALUE"""),"Real")</f>
        <v>Real</v>
      </c>
      <c r="G733" s="8">
        <f t="shared" si="1"/>
        <v>12</v>
      </c>
      <c r="H733" s="14">
        <f t="shared" si="2"/>
        <v>1</v>
      </c>
      <c r="I733" s="15">
        <f t="shared" si="3"/>
        <v>12</v>
      </c>
    </row>
    <row r="734">
      <c r="A734" s="8" t="str">
        <f>IFERROR(__xludf.DUMMYFUNCTION("IF('(INGESTA)Datos_consumo_datadis'!A734&lt;&gt;"""",SPLIT('(INGESTA)Datos_consumo_datadis'!A:A,"",""),"""")"),"ES0031408323131005HX0F")</f>
        <v>ES0031408323131005HX0F</v>
      </c>
      <c r="B734" s="12">
        <f>IFERROR(__xludf.DUMMYFUNCTION("""COMPUTED_VALUE"""),44896.0)</f>
        <v>44896</v>
      </c>
      <c r="C734" s="13">
        <f>IFERROR(__xludf.DUMMYFUNCTION("""COMPUTED_VALUE"""),0.5416666666666666)</f>
        <v>0.5416666667</v>
      </c>
      <c r="D734" s="8">
        <f>IFERROR(__xludf.DUMMYFUNCTION("""COMPUTED_VALUE"""),0.009)</f>
        <v>0.009</v>
      </c>
      <c r="E734" s="8" t="str">
        <f>IFERROR(__xludf.DUMMYFUNCTION("""COMPUTED_VALUE"""),"Real")</f>
        <v>Real</v>
      </c>
      <c r="G734" s="8">
        <f t="shared" si="1"/>
        <v>12</v>
      </c>
      <c r="H734" s="14">
        <f t="shared" si="2"/>
        <v>1</v>
      </c>
      <c r="I734" s="15">
        <f t="shared" si="3"/>
        <v>13</v>
      </c>
    </row>
    <row r="735">
      <c r="A735" s="8" t="str">
        <f>IFERROR(__xludf.DUMMYFUNCTION("IF('(INGESTA)Datos_consumo_datadis'!A735&lt;&gt;"""",SPLIT('(INGESTA)Datos_consumo_datadis'!A:A,"",""),"""")"),"ES0031408323131005HX0F")</f>
        <v>ES0031408323131005HX0F</v>
      </c>
      <c r="B735" s="12">
        <f>IFERROR(__xludf.DUMMYFUNCTION("""COMPUTED_VALUE"""),44896.0)</f>
        <v>44896</v>
      </c>
      <c r="C735" s="13">
        <f>IFERROR(__xludf.DUMMYFUNCTION("""COMPUTED_VALUE"""),0.5833333333333334)</f>
        <v>0.5833333333</v>
      </c>
      <c r="D735" s="8">
        <f>IFERROR(__xludf.DUMMYFUNCTION("""COMPUTED_VALUE"""),0.08)</f>
        <v>0.08</v>
      </c>
      <c r="E735" s="8" t="str">
        <f>IFERROR(__xludf.DUMMYFUNCTION("""COMPUTED_VALUE"""),"Real")</f>
        <v>Real</v>
      </c>
      <c r="G735" s="8">
        <f t="shared" si="1"/>
        <v>12</v>
      </c>
      <c r="H735" s="14">
        <f t="shared" si="2"/>
        <v>1</v>
      </c>
      <c r="I735" s="15">
        <f t="shared" si="3"/>
        <v>14</v>
      </c>
    </row>
    <row r="736">
      <c r="A736" s="8" t="str">
        <f>IFERROR(__xludf.DUMMYFUNCTION("IF('(INGESTA)Datos_consumo_datadis'!A736&lt;&gt;"""",SPLIT('(INGESTA)Datos_consumo_datadis'!A:A,"",""),"""")"),"ES0031408323131005HX0F")</f>
        <v>ES0031408323131005HX0F</v>
      </c>
      <c r="B736" s="12">
        <f>IFERROR(__xludf.DUMMYFUNCTION("""COMPUTED_VALUE"""),44896.0)</f>
        <v>44896</v>
      </c>
      <c r="C736" s="13">
        <f>IFERROR(__xludf.DUMMYFUNCTION("""COMPUTED_VALUE"""),0.625)</f>
        <v>0.625</v>
      </c>
      <c r="D736" s="8">
        <f>IFERROR(__xludf.DUMMYFUNCTION("""COMPUTED_VALUE"""),0.032)</f>
        <v>0.032</v>
      </c>
      <c r="E736" s="8" t="str">
        <f>IFERROR(__xludf.DUMMYFUNCTION("""COMPUTED_VALUE"""),"Real")</f>
        <v>Real</v>
      </c>
      <c r="G736" s="8">
        <f t="shared" si="1"/>
        <v>12</v>
      </c>
      <c r="H736" s="14">
        <f t="shared" si="2"/>
        <v>1</v>
      </c>
      <c r="I736" s="15">
        <f t="shared" si="3"/>
        <v>15</v>
      </c>
    </row>
    <row r="737">
      <c r="A737" s="8" t="str">
        <f>IFERROR(__xludf.DUMMYFUNCTION("IF('(INGESTA)Datos_consumo_datadis'!A737&lt;&gt;"""",SPLIT('(INGESTA)Datos_consumo_datadis'!A:A,"",""),"""")"),"ES0031408323131005HX0F")</f>
        <v>ES0031408323131005HX0F</v>
      </c>
      <c r="B737" s="12">
        <f>IFERROR(__xludf.DUMMYFUNCTION("""COMPUTED_VALUE"""),44896.0)</f>
        <v>44896</v>
      </c>
      <c r="C737" s="13">
        <f>IFERROR(__xludf.DUMMYFUNCTION("""COMPUTED_VALUE"""),0.6666666666666666)</f>
        <v>0.6666666667</v>
      </c>
      <c r="D737" s="8">
        <f>IFERROR(__xludf.DUMMYFUNCTION("""COMPUTED_VALUE"""),0.326)</f>
        <v>0.326</v>
      </c>
      <c r="E737" s="8" t="str">
        <f>IFERROR(__xludf.DUMMYFUNCTION("""COMPUTED_VALUE"""),"Real")</f>
        <v>Real</v>
      </c>
      <c r="G737" s="8">
        <f t="shared" si="1"/>
        <v>12</v>
      </c>
      <c r="H737" s="14">
        <f t="shared" si="2"/>
        <v>1</v>
      </c>
      <c r="I737" s="15">
        <f t="shared" si="3"/>
        <v>16</v>
      </c>
    </row>
    <row r="738">
      <c r="A738" s="8" t="str">
        <f>IFERROR(__xludf.DUMMYFUNCTION("IF('(INGESTA)Datos_consumo_datadis'!A738&lt;&gt;"""",SPLIT('(INGESTA)Datos_consumo_datadis'!A:A,"",""),"""")"),"ES0031408323131005HX0F")</f>
        <v>ES0031408323131005HX0F</v>
      </c>
      <c r="B738" s="12">
        <f>IFERROR(__xludf.DUMMYFUNCTION("""COMPUTED_VALUE"""),44896.0)</f>
        <v>44896</v>
      </c>
      <c r="C738" s="13">
        <f>IFERROR(__xludf.DUMMYFUNCTION("""COMPUTED_VALUE"""),0.7083333333333334)</f>
        <v>0.7083333333</v>
      </c>
      <c r="D738" s="8">
        <f>IFERROR(__xludf.DUMMYFUNCTION("""COMPUTED_VALUE"""),0.009)</f>
        <v>0.009</v>
      </c>
      <c r="E738" s="8" t="str">
        <f>IFERROR(__xludf.DUMMYFUNCTION("""COMPUTED_VALUE"""),"Real")</f>
        <v>Real</v>
      </c>
      <c r="G738" s="8">
        <f t="shared" si="1"/>
        <v>12</v>
      </c>
      <c r="H738" s="14">
        <f t="shared" si="2"/>
        <v>1</v>
      </c>
      <c r="I738" s="15">
        <f t="shared" si="3"/>
        <v>17</v>
      </c>
    </row>
    <row r="739">
      <c r="A739" s="8" t="str">
        <f>IFERROR(__xludf.DUMMYFUNCTION("IF('(INGESTA)Datos_consumo_datadis'!A739&lt;&gt;"""",SPLIT('(INGESTA)Datos_consumo_datadis'!A:A,"",""),"""")"),"ES0031408323131005HX0F")</f>
        <v>ES0031408323131005HX0F</v>
      </c>
      <c r="B739" s="12">
        <f>IFERROR(__xludf.DUMMYFUNCTION("""COMPUTED_VALUE"""),44896.0)</f>
        <v>44896</v>
      </c>
      <c r="C739" s="13">
        <f>IFERROR(__xludf.DUMMYFUNCTION("""COMPUTED_VALUE"""),0.75)</f>
        <v>0.75</v>
      </c>
      <c r="D739" s="8">
        <f>IFERROR(__xludf.DUMMYFUNCTION("""COMPUTED_VALUE"""),0.052)</f>
        <v>0.052</v>
      </c>
      <c r="E739" s="8" t="str">
        <f>IFERROR(__xludf.DUMMYFUNCTION("""COMPUTED_VALUE"""),"Real")</f>
        <v>Real</v>
      </c>
      <c r="G739" s="8">
        <f t="shared" si="1"/>
        <v>12</v>
      </c>
      <c r="H739" s="14">
        <f t="shared" si="2"/>
        <v>1</v>
      </c>
      <c r="I739" s="15">
        <f t="shared" si="3"/>
        <v>18</v>
      </c>
    </row>
    <row r="740">
      <c r="A740" s="8" t="str">
        <f>IFERROR(__xludf.DUMMYFUNCTION("IF('(INGESTA)Datos_consumo_datadis'!A740&lt;&gt;"""",SPLIT('(INGESTA)Datos_consumo_datadis'!A:A,"",""),"""")"),"ES0031408323131005HX0F")</f>
        <v>ES0031408323131005HX0F</v>
      </c>
      <c r="B740" s="12">
        <f>IFERROR(__xludf.DUMMYFUNCTION("""COMPUTED_VALUE"""),44896.0)</f>
        <v>44896</v>
      </c>
      <c r="C740" s="13">
        <f>IFERROR(__xludf.DUMMYFUNCTION("""COMPUTED_VALUE"""),0.7916666666666666)</f>
        <v>0.7916666667</v>
      </c>
      <c r="D740" s="8">
        <f>IFERROR(__xludf.DUMMYFUNCTION("""COMPUTED_VALUE"""),0.064)</f>
        <v>0.064</v>
      </c>
      <c r="E740" s="8" t="str">
        <f>IFERROR(__xludf.DUMMYFUNCTION("""COMPUTED_VALUE"""),"Real")</f>
        <v>Real</v>
      </c>
      <c r="G740" s="8">
        <f t="shared" si="1"/>
        <v>12</v>
      </c>
      <c r="H740" s="14">
        <f t="shared" si="2"/>
        <v>1</v>
      </c>
      <c r="I740" s="15">
        <f t="shared" si="3"/>
        <v>19</v>
      </c>
    </row>
    <row r="741">
      <c r="A741" s="8" t="str">
        <f>IFERROR(__xludf.DUMMYFUNCTION("IF('(INGESTA)Datos_consumo_datadis'!A741&lt;&gt;"""",SPLIT('(INGESTA)Datos_consumo_datadis'!A:A,"",""),"""")"),"ES0031408323131005HX0F")</f>
        <v>ES0031408323131005HX0F</v>
      </c>
      <c r="B741" s="12">
        <f>IFERROR(__xludf.DUMMYFUNCTION("""COMPUTED_VALUE"""),44896.0)</f>
        <v>44896</v>
      </c>
      <c r="C741" s="13">
        <f>IFERROR(__xludf.DUMMYFUNCTION("""COMPUTED_VALUE"""),0.8333333333333334)</f>
        <v>0.8333333333</v>
      </c>
      <c r="D741" s="8">
        <f>IFERROR(__xludf.DUMMYFUNCTION("""COMPUTED_VALUE"""),0.178)</f>
        <v>0.178</v>
      </c>
      <c r="E741" s="8" t="str">
        <f>IFERROR(__xludf.DUMMYFUNCTION("""COMPUTED_VALUE"""),"Real")</f>
        <v>Real</v>
      </c>
      <c r="G741" s="8">
        <f t="shared" si="1"/>
        <v>12</v>
      </c>
      <c r="H741" s="14">
        <f t="shared" si="2"/>
        <v>1</v>
      </c>
      <c r="I741" s="15">
        <f t="shared" si="3"/>
        <v>20</v>
      </c>
    </row>
    <row r="742">
      <c r="A742" s="8" t="str">
        <f>IFERROR(__xludf.DUMMYFUNCTION("IF('(INGESTA)Datos_consumo_datadis'!A742&lt;&gt;"""",SPLIT('(INGESTA)Datos_consumo_datadis'!A:A,"",""),"""")"),"ES0031408323131005HX0F")</f>
        <v>ES0031408323131005HX0F</v>
      </c>
      <c r="B742" s="12">
        <f>IFERROR(__xludf.DUMMYFUNCTION("""COMPUTED_VALUE"""),44896.0)</f>
        <v>44896</v>
      </c>
      <c r="C742" s="13">
        <f>IFERROR(__xludf.DUMMYFUNCTION("""COMPUTED_VALUE"""),0.875)</f>
        <v>0.875</v>
      </c>
      <c r="D742" s="8">
        <f>IFERROR(__xludf.DUMMYFUNCTION("""COMPUTED_VALUE"""),0.622)</f>
        <v>0.622</v>
      </c>
      <c r="E742" s="8" t="str">
        <f>IFERROR(__xludf.DUMMYFUNCTION("""COMPUTED_VALUE"""),"Real")</f>
        <v>Real</v>
      </c>
      <c r="G742" s="8">
        <f t="shared" si="1"/>
        <v>12</v>
      </c>
      <c r="H742" s="14">
        <f t="shared" si="2"/>
        <v>1</v>
      </c>
      <c r="I742" s="15">
        <f t="shared" si="3"/>
        <v>21</v>
      </c>
    </row>
    <row r="743">
      <c r="A743" s="8" t="str">
        <f>IFERROR(__xludf.DUMMYFUNCTION("IF('(INGESTA)Datos_consumo_datadis'!A743&lt;&gt;"""",SPLIT('(INGESTA)Datos_consumo_datadis'!A:A,"",""),"""")"),"ES0031408323131005HX0F")</f>
        <v>ES0031408323131005HX0F</v>
      </c>
      <c r="B743" s="12">
        <f>IFERROR(__xludf.DUMMYFUNCTION("""COMPUTED_VALUE"""),44896.0)</f>
        <v>44896</v>
      </c>
      <c r="C743" s="13">
        <f>IFERROR(__xludf.DUMMYFUNCTION("""COMPUTED_VALUE"""),0.9166666666666666)</f>
        <v>0.9166666667</v>
      </c>
      <c r="D743" s="8">
        <f>IFERROR(__xludf.DUMMYFUNCTION("""COMPUTED_VALUE"""),0.009)</f>
        <v>0.009</v>
      </c>
      <c r="E743" s="8" t="str">
        <f>IFERROR(__xludf.DUMMYFUNCTION("""COMPUTED_VALUE"""),"Real")</f>
        <v>Real</v>
      </c>
      <c r="G743" s="8">
        <f t="shared" si="1"/>
        <v>12</v>
      </c>
      <c r="H743" s="14">
        <f t="shared" si="2"/>
        <v>1</v>
      </c>
      <c r="I743" s="15">
        <f t="shared" si="3"/>
        <v>22</v>
      </c>
    </row>
    <row r="744">
      <c r="A744" s="8" t="str">
        <f>IFERROR(__xludf.DUMMYFUNCTION("IF('(INGESTA)Datos_consumo_datadis'!A744&lt;&gt;"""",SPLIT('(INGESTA)Datos_consumo_datadis'!A:A,"",""),"""")"),"ES0031408323131005HX0F")</f>
        <v>ES0031408323131005HX0F</v>
      </c>
      <c r="B744" s="12">
        <f>IFERROR(__xludf.DUMMYFUNCTION("""COMPUTED_VALUE"""),44896.0)</f>
        <v>44896</v>
      </c>
      <c r="C744" s="13">
        <f>IFERROR(__xludf.DUMMYFUNCTION("""COMPUTED_VALUE"""),0.9583333333333334)</f>
        <v>0.9583333333</v>
      </c>
      <c r="D744" s="8">
        <f>IFERROR(__xludf.DUMMYFUNCTION("""COMPUTED_VALUE"""),0.079)</f>
        <v>0.079</v>
      </c>
      <c r="E744" s="8" t="str">
        <f>IFERROR(__xludf.DUMMYFUNCTION("""COMPUTED_VALUE"""),"Real")</f>
        <v>Real</v>
      </c>
      <c r="G744" s="8">
        <f t="shared" si="1"/>
        <v>12</v>
      </c>
      <c r="H744" s="14">
        <f t="shared" si="2"/>
        <v>1</v>
      </c>
      <c r="I744" s="15">
        <f t="shared" si="3"/>
        <v>23</v>
      </c>
    </row>
    <row r="745">
      <c r="A745" s="8" t="str">
        <f>IFERROR(__xludf.DUMMYFUNCTION("IF('(INGESTA)Datos_consumo_datadis'!A745&lt;&gt;"""",SPLIT('(INGESTA)Datos_consumo_datadis'!A:A,"",""),"""")"),"ES0031408323131005HX0F")</f>
        <v>ES0031408323131005HX0F</v>
      </c>
      <c r="B745" s="12">
        <f>IFERROR(__xludf.DUMMYFUNCTION("""COMPUTED_VALUE"""),44896.0)</f>
        <v>44896</v>
      </c>
      <c r="C745" s="16">
        <f>IFERROR(__xludf.DUMMYFUNCTION("""COMPUTED_VALUE"""),1.0)</f>
        <v>1</v>
      </c>
      <c r="D745" s="8">
        <f>IFERROR(__xludf.DUMMYFUNCTION("""COMPUTED_VALUE"""),0.033)</f>
        <v>0.033</v>
      </c>
      <c r="E745" s="8" t="str">
        <f>IFERROR(__xludf.DUMMYFUNCTION("""COMPUTED_VALUE"""),"Real")</f>
        <v>Real</v>
      </c>
      <c r="G745" s="8">
        <f t="shared" si="1"/>
        <v>12</v>
      </c>
      <c r="H745" s="14">
        <f t="shared" si="2"/>
        <v>1</v>
      </c>
      <c r="I745" s="15">
        <f t="shared" si="3"/>
        <v>0</v>
      </c>
    </row>
    <row r="746">
      <c r="A746" s="8" t="str">
        <f>IFERROR(__xludf.DUMMYFUNCTION("IF('(INGESTA)Datos_consumo_datadis'!A746&lt;&gt;"""",SPLIT('(INGESTA)Datos_consumo_datadis'!A:A,"",""),"""")"),"ES0031408323131005HX0F")</f>
        <v>ES0031408323131005HX0F</v>
      </c>
      <c r="B746" s="12">
        <f>IFERROR(__xludf.DUMMYFUNCTION("""COMPUTED_VALUE"""),44897.0)</f>
        <v>44897</v>
      </c>
      <c r="C746" s="13">
        <f>IFERROR(__xludf.DUMMYFUNCTION("""COMPUTED_VALUE"""),0.041666666666666664)</f>
        <v>0.04166666667</v>
      </c>
      <c r="D746" s="8">
        <f>IFERROR(__xludf.DUMMYFUNCTION("""COMPUTED_VALUE"""),0.388)</f>
        <v>0.388</v>
      </c>
      <c r="E746" s="8" t="str">
        <f>IFERROR(__xludf.DUMMYFUNCTION("""COMPUTED_VALUE"""),"Real")</f>
        <v>Real</v>
      </c>
      <c r="G746" s="8">
        <f t="shared" si="1"/>
        <v>12</v>
      </c>
      <c r="H746" s="14">
        <f t="shared" si="2"/>
        <v>2</v>
      </c>
      <c r="I746" s="15">
        <f t="shared" si="3"/>
        <v>1</v>
      </c>
    </row>
    <row r="747">
      <c r="A747" s="8" t="str">
        <f>IFERROR(__xludf.DUMMYFUNCTION("IF('(INGESTA)Datos_consumo_datadis'!A747&lt;&gt;"""",SPLIT('(INGESTA)Datos_consumo_datadis'!A:A,"",""),"""")"),"ES0031408323131005HX0F")</f>
        <v>ES0031408323131005HX0F</v>
      </c>
      <c r="B747" s="12">
        <f>IFERROR(__xludf.DUMMYFUNCTION("""COMPUTED_VALUE"""),44897.0)</f>
        <v>44897</v>
      </c>
      <c r="C747" s="13">
        <f>IFERROR(__xludf.DUMMYFUNCTION("""COMPUTED_VALUE"""),0.08333333333333333)</f>
        <v>0.08333333333</v>
      </c>
      <c r="D747" s="8">
        <f>IFERROR(__xludf.DUMMYFUNCTION("""COMPUTED_VALUE"""),0.011)</f>
        <v>0.011</v>
      </c>
      <c r="E747" s="8" t="str">
        <f>IFERROR(__xludf.DUMMYFUNCTION("""COMPUTED_VALUE"""),"Real")</f>
        <v>Real</v>
      </c>
      <c r="G747" s="8">
        <f t="shared" si="1"/>
        <v>12</v>
      </c>
      <c r="H747" s="14">
        <f t="shared" si="2"/>
        <v>2</v>
      </c>
      <c r="I747" s="15">
        <f t="shared" si="3"/>
        <v>2</v>
      </c>
    </row>
    <row r="748">
      <c r="A748" s="8" t="str">
        <f>IFERROR(__xludf.DUMMYFUNCTION("IF('(INGESTA)Datos_consumo_datadis'!A748&lt;&gt;"""",SPLIT('(INGESTA)Datos_consumo_datadis'!A:A,"",""),"""")"),"ES0031408323131005HX0F")</f>
        <v>ES0031408323131005HX0F</v>
      </c>
      <c r="B748" s="12">
        <f>IFERROR(__xludf.DUMMYFUNCTION("""COMPUTED_VALUE"""),44897.0)</f>
        <v>44897</v>
      </c>
      <c r="C748" s="13">
        <f>IFERROR(__xludf.DUMMYFUNCTION("""COMPUTED_VALUE"""),0.125)</f>
        <v>0.125</v>
      </c>
      <c r="D748" s="8">
        <f>IFERROR(__xludf.DUMMYFUNCTION("""COMPUTED_VALUE"""),0.08)</f>
        <v>0.08</v>
      </c>
      <c r="E748" s="8" t="str">
        <f>IFERROR(__xludf.DUMMYFUNCTION("""COMPUTED_VALUE"""),"Real")</f>
        <v>Real</v>
      </c>
      <c r="G748" s="8">
        <f t="shared" si="1"/>
        <v>12</v>
      </c>
      <c r="H748" s="14">
        <f t="shared" si="2"/>
        <v>2</v>
      </c>
      <c r="I748" s="15">
        <f t="shared" si="3"/>
        <v>3</v>
      </c>
    </row>
    <row r="749">
      <c r="A749" s="8" t="str">
        <f>IFERROR(__xludf.DUMMYFUNCTION("IF('(INGESTA)Datos_consumo_datadis'!A749&lt;&gt;"""",SPLIT('(INGESTA)Datos_consumo_datadis'!A:A,"",""),"""")"),"ES0031408323131005HX0F")</f>
        <v>ES0031408323131005HX0F</v>
      </c>
      <c r="B749" s="12">
        <f>IFERROR(__xludf.DUMMYFUNCTION("""COMPUTED_VALUE"""),44897.0)</f>
        <v>44897</v>
      </c>
      <c r="C749" s="13">
        <f>IFERROR(__xludf.DUMMYFUNCTION("""COMPUTED_VALUE"""),0.16666666666666666)</f>
        <v>0.1666666667</v>
      </c>
      <c r="D749" s="8">
        <f>IFERROR(__xludf.DUMMYFUNCTION("""COMPUTED_VALUE"""),0.083)</f>
        <v>0.083</v>
      </c>
      <c r="E749" s="8" t="str">
        <f>IFERROR(__xludf.DUMMYFUNCTION("""COMPUTED_VALUE"""),"Real")</f>
        <v>Real</v>
      </c>
      <c r="G749" s="8">
        <f t="shared" si="1"/>
        <v>12</v>
      </c>
      <c r="H749" s="14">
        <f t="shared" si="2"/>
        <v>2</v>
      </c>
      <c r="I749" s="15">
        <f t="shared" si="3"/>
        <v>4</v>
      </c>
    </row>
    <row r="750">
      <c r="A750" s="8" t="str">
        <f>IFERROR(__xludf.DUMMYFUNCTION("IF('(INGESTA)Datos_consumo_datadis'!A750&lt;&gt;"""",SPLIT('(INGESTA)Datos_consumo_datadis'!A:A,"",""),"""")"),"ES0031408323131005HX0F")</f>
        <v>ES0031408323131005HX0F</v>
      </c>
      <c r="B750" s="12">
        <f>IFERROR(__xludf.DUMMYFUNCTION("""COMPUTED_VALUE"""),44897.0)</f>
        <v>44897</v>
      </c>
      <c r="C750" s="13">
        <f>IFERROR(__xludf.DUMMYFUNCTION("""COMPUTED_VALUE"""),0.20833333333333334)</f>
        <v>0.2083333333</v>
      </c>
      <c r="D750" s="8">
        <f>IFERROR(__xludf.DUMMYFUNCTION("""COMPUTED_VALUE"""),0.048)</f>
        <v>0.048</v>
      </c>
      <c r="E750" s="8" t="str">
        <f>IFERROR(__xludf.DUMMYFUNCTION("""COMPUTED_VALUE"""),"Real")</f>
        <v>Real</v>
      </c>
      <c r="G750" s="8">
        <f t="shared" si="1"/>
        <v>12</v>
      </c>
      <c r="H750" s="14">
        <f t="shared" si="2"/>
        <v>2</v>
      </c>
      <c r="I750" s="15">
        <f t="shared" si="3"/>
        <v>5</v>
      </c>
    </row>
    <row r="751">
      <c r="A751" s="8" t="str">
        <f>IFERROR(__xludf.DUMMYFUNCTION("IF('(INGESTA)Datos_consumo_datadis'!A751&lt;&gt;"""",SPLIT('(INGESTA)Datos_consumo_datadis'!A:A,"",""),"""")"),"ES0031408323131005HX0F")</f>
        <v>ES0031408323131005HX0F</v>
      </c>
      <c r="B751" s="12">
        <f>IFERROR(__xludf.DUMMYFUNCTION("""COMPUTED_VALUE"""),44897.0)</f>
        <v>44897</v>
      </c>
      <c r="C751" s="13">
        <f>IFERROR(__xludf.DUMMYFUNCTION("""COMPUTED_VALUE"""),0.25)</f>
        <v>0.25</v>
      </c>
      <c r="D751" s="8">
        <f>IFERROR(__xludf.DUMMYFUNCTION("""COMPUTED_VALUE"""),0.011)</f>
        <v>0.011</v>
      </c>
      <c r="E751" s="8" t="str">
        <f>IFERROR(__xludf.DUMMYFUNCTION("""COMPUTED_VALUE"""),"Real")</f>
        <v>Real</v>
      </c>
      <c r="G751" s="8">
        <f t="shared" si="1"/>
        <v>12</v>
      </c>
      <c r="H751" s="14">
        <f t="shared" si="2"/>
        <v>2</v>
      </c>
      <c r="I751" s="15">
        <f t="shared" si="3"/>
        <v>6</v>
      </c>
    </row>
    <row r="752">
      <c r="A752" s="8" t="str">
        <f>IFERROR(__xludf.DUMMYFUNCTION("IF('(INGESTA)Datos_consumo_datadis'!A752&lt;&gt;"""",SPLIT('(INGESTA)Datos_consumo_datadis'!A:A,"",""),"""")"),"ES0031408323131005HX0F")</f>
        <v>ES0031408323131005HX0F</v>
      </c>
      <c r="B752" s="12">
        <f>IFERROR(__xludf.DUMMYFUNCTION("""COMPUTED_VALUE"""),44897.0)</f>
        <v>44897</v>
      </c>
      <c r="C752" s="13">
        <f>IFERROR(__xludf.DUMMYFUNCTION("""COMPUTED_VALUE"""),0.2916666666666667)</f>
        <v>0.2916666667</v>
      </c>
      <c r="D752" s="8">
        <f>IFERROR(__xludf.DUMMYFUNCTION("""COMPUTED_VALUE"""),0.363)</f>
        <v>0.363</v>
      </c>
      <c r="E752" s="8" t="str">
        <f>IFERROR(__xludf.DUMMYFUNCTION("""COMPUTED_VALUE"""),"Real")</f>
        <v>Real</v>
      </c>
      <c r="G752" s="8">
        <f t="shared" si="1"/>
        <v>12</v>
      </c>
      <c r="H752" s="14">
        <f t="shared" si="2"/>
        <v>2</v>
      </c>
      <c r="I752" s="15">
        <f t="shared" si="3"/>
        <v>7</v>
      </c>
    </row>
    <row r="753">
      <c r="A753" s="8" t="str">
        <f>IFERROR(__xludf.DUMMYFUNCTION("IF('(INGESTA)Datos_consumo_datadis'!A753&lt;&gt;"""",SPLIT('(INGESTA)Datos_consumo_datadis'!A:A,"",""),"""")"),"ES0031408323131005HX0F")</f>
        <v>ES0031408323131005HX0F</v>
      </c>
      <c r="B753" s="12">
        <f>IFERROR(__xludf.DUMMYFUNCTION("""COMPUTED_VALUE"""),44897.0)</f>
        <v>44897</v>
      </c>
      <c r="C753" s="13">
        <f>IFERROR(__xludf.DUMMYFUNCTION("""COMPUTED_VALUE"""),0.3333333333333333)</f>
        <v>0.3333333333</v>
      </c>
      <c r="D753" s="8">
        <f>IFERROR(__xludf.DUMMYFUNCTION("""COMPUTED_VALUE"""),0.094)</f>
        <v>0.094</v>
      </c>
      <c r="E753" s="8" t="str">
        <f>IFERROR(__xludf.DUMMYFUNCTION("""COMPUTED_VALUE"""),"Real")</f>
        <v>Real</v>
      </c>
      <c r="G753" s="8">
        <f t="shared" si="1"/>
        <v>12</v>
      </c>
      <c r="H753" s="14">
        <f t="shared" si="2"/>
        <v>2</v>
      </c>
      <c r="I753" s="15">
        <f t="shared" si="3"/>
        <v>8</v>
      </c>
    </row>
    <row r="754">
      <c r="A754" s="8" t="str">
        <f>IFERROR(__xludf.DUMMYFUNCTION("IF('(INGESTA)Datos_consumo_datadis'!A754&lt;&gt;"""",SPLIT('(INGESTA)Datos_consumo_datadis'!A:A,"",""),"""")"),"ES0031408323131005HX0F")</f>
        <v>ES0031408323131005HX0F</v>
      </c>
      <c r="B754" s="12">
        <f>IFERROR(__xludf.DUMMYFUNCTION("""COMPUTED_VALUE"""),44897.0)</f>
        <v>44897</v>
      </c>
      <c r="C754" s="13">
        <f>IFERROR(__xludf.DUMMYFUNCTION("""COMPUTED_VALUE"""),0.375)</f>
        <v>0.375</v>
      </c>
      <c r="D754" s="8">
        <f>IFERROR(__xludf.DUMMYFUNCTION("""COMPUTED_VALUE"""),0.033)</f>
        <v>0.033</v>
      </c>
      <c r="E754" s="8" t="str">
        <f>IFERROR(__xludf.DUMMYFUNCTION("""COMPUTED_VALUE"""),"Real")</f>
        <v>Real</v>
      </c>
      <c r="G754" s="8">
        <f t="shared" si="1"/>
        <v>12</v>
      </c>
      <c r="H754" s="14">
        <f t="shared" si="2"/>
        <v>2</v>
      </c>
      <c r="I754" s="15">
        <f t="shared" si="3"/>
        <v>9</v>
      </c>
    </row>
    <row r="755">
      <c r="A755" s="8" t="str">
        <f>IFERROR(__xludf.DUMMYFUNCTION("IF('(INGESTA)Datos_consumo_datadis'!A755&lt;&gt;"""",SPLIT('(INGESTA)Datos_consumo_datadis'!A:A,"",""),"""")"),"ES0031408323131005HX0F")</f>
        <v>ES0031408323131005HX0F</v>
      </c>
      <c r="B755" s="12">
        <f>IFERROR(__xludf.DUMMYFUNCTION("""COMPUTED_VALUE"""),44897.0)</f>
        <v>44897</v>
      </c>
      <c r="C755" s="13">
        <f>IFERROR(__xludf.DUMMYFUNCTION("""COMPUTED_VALUE"""),0.4166666666666667)</f>
        <v>0.4166666667</v>
      </c>
      <c r="D755" s="8">
        <f>IFERROR(__xludf.DUMMYFUNCTION("""COMPUTED_VALUE"""),0.033)</f>
        <v>0.033</v>
      </c>
      <c r="E755" s="8" t="str">
        <f>IFERROR(__xludf.DUMMYFUNCTION("""COMPUTED_VALUE"""),"Real")</f>
        <v>Real</v>
      </c>
      <c r="G755" s="8">
        <f t="shared" si="1"/>
        <v>12</v>
      </c>
      <c r="H755" s="14">
        <f t="shared" si="2"/>
        <v>2</v>
      </c>
      <c r="I755" s="15">
        <f t="shared" si="3"/>
        <v>10</v>
      </c>
    </row>
    <row r="756">
      <c r="A756" s="8" t="str">
        <f>IFERROR(__xludf.DUMMYFUNCTION("IF('(INGESTA)Datos_consumo_datadis'!A756&lt;&gt;"""",SPLIT('(INGESTA)Datos_consumo_datadis'!A:A,"",""),"""")"),"ES0031408323131005HX0F")</f>
        <v>ES0031408323131005HX0F</v>
      </c>
      <c r="B756" s="12">
        <f>IFERROR(__xludf.DUMMYFUNCTION("""COMPUTED_VALUE"""),44897.0)</f>
        <v>44897</v>
      </c>
      <c r="C756" s="13">
        <f>IFERROR(__xludf.DUMMYFUNCTION("""COMPUTED_VALUE"""),0.4583333333333333)</f>
        <v>0.4583333333</v>
      </c>
      <c r="D756" s="8">
        <f>IFERROR(__xludf.DUMMYFUNCTION("""COMPUTED_VALUE"""),0.009)</f>
        <v>0.009</v>
      </c>
      <c r="E756" s="8" t="str">
        <f>IFERROR(__xludf.DUMMYFUNCTION("""COMPUTED_VALUE"""),"Real")</f>
        <v>Real</v>
      </c>
      <c r="G756" s="8">
        <f t="shared" si="1"/>
        <v>12</v>
      </c>
      <c r="H756" s="14">
        <f t="shared" si="2"/>
        <v>2</v>
      </c>
      <c r="I756" s="15">
        <f t="shared" si="3"/>
        <v>11</v>
      </c>
    </row>
    <row r="757">
      <c r="A757" s="8" t="str">
        <f>IFERROR(__xludf.DUMMYFUNCTION("IF('(INGESTA)Datos_consumo_datadis'!A757&lt;&gt;"""",SPLIT('(INGESTA)Datos_consumo_datadis'!A:A,"",""),"""")"),"ES0031408323131005HX0F")</f>
        <v>ES0031408323131005HX0F</v>
      </c>
      <c r="B757" s="12">
        <f>IFERROR(__xludf.DUMMYFUNCTION("""COMPUTED_VALUE"""),44897.0)</f>
        <v>44897</v>
      </c>
      <c r="C757" s="13">
        <f>IFERROR(__xludf.DUMMYFUNCTION("""COMPUTED_VALUE"""),0.5)</f>
        <v>0.5</v>
      </c>
      <c r="D757" s="8">
        <f>IFERROR(__xludf.DUMMYFUNCTION("""COMPUTED_VALUE"""),0.328)</f>
        <v>0.328</v>
      </c>
      <c r="E757" s="8" t="str">
        <f>IFERROR(__xludf.DUMMYFUNCTION("""COMPUTED_VALUE"""),"Real")</f>
        <v>Real</v>
      </c>
      <c r="G757" s="8">
        <f t="shared" si="1"/>
        <v>12</v>
      </c>
      <c r="H757" s="14">
        <f t="shared" si="2"/>
        <v>2</v>
      </c>
      <c r="I757" s="15">
        <f t="shared" si="3"/>
        <v>12</v>
      </c>
    </row>
    <row r="758">
      <c r="A758" s="8" t="str">
        <f>IFERROR(__xludf.DUMMYFUNCTION("IF('(INGESTA)Datos_consumo_datadis'!A758&lt;&gt;"""",SPLIT('(INGESTA)Datos_consumo_datadis'!A:A,"",""),"""")"),"ES0031408323131005HX0F")</f>
        <v>ES0031408323131005HX0F</v>
      </c>
      <c r="B758" s="12">
        <f>IFERROR(__xludf.DUMMYFUNCTION("""COMPUTED_VALUE"""),44897.0)</f>
        <v>44897</v>
      </c>
      <c r="C758" s="13">
        <f>IFERROR(__xludf.DUMMYFUNCTION("""COMPUTED_VALUE"""),0.5416666666666666)</f>
        <v>0.5416666667</v>
      </c>
      <c r="D758" s="8">
        <f>IFERROR(__xludf.DUMMYFUNCTION("""COMPUTED_VALUE"""),0.059)</f>
        <v>0.059</v>
      </c>
      <c r="E758" s="8" t="str">
        <f>IFERROR(__xludf.DUMMYFUNCTION("""COMPUTED_VALUE"""),"Real")</f>
        <v>Real</v>
      </c>
      <c r="G758" s="8">
        <f t="shared" si="1"/>
        <v>12</v>
      </c>
      <c r="H758" s="14">
        <f t="shared" si="2"/>
        <v>2</v>
      </c>
      <c r="I758" s="15">
        <f t="shared" si="3"/>
        <v>13</v>
      </c>
    </row>
    <row r="759">
      <c r="A759" s="8" t="str">
        <f>IFERROR(__xludf.DUMMYFUNCTION("IF('(INGESTA)Datos_consumo_datadis'!A759&lt;&gt;"""",SPLIT('(INGESTA)Datos_consumo_datadis'!A:A,"",""),"""")"),"ES0031408323131005HX0F")</f>
        <v>ES0031408323131005HX0F</v>
      </c>
      <c r="B759" s="12">
        <f>IFERROR(__xludf.DUMMYFUNCTION("""COMPUTED_VALUE"""),44897.0)</f>
        <v>44897</v>
      </c>
      <c r="C759" s="13">
        <f>IFERROR(__xludf.DUMMYFUNCTION("""COMPUTED_VALUE"""),0.5833333333333334)</f>
        <v>0.5833333333</v>
      </c>
      <c r="D759" s="8">
        <f>IFERROR(__xludf.DUMMYFUNCTION("""COMPUTED_VALUE"""),0.046)</f>
        <v>0.046</v>
      </c>
      <c r="E759" s="8" t="str">
        <f>IFERROR(__xludf.DUMMYFUNCTION("""COMPUTED_VALUE"""),"Real")</f>
        <v>Real</v>
      </c>
      <c r="G759" s="8">
        <f t="shared" si="1"/>
        <v>12</v>
      </c>
      <c r="H759" s="14">
        <f t="shared" si="2"/>
        <v>2</v>
      </c>
      <c r="I759" s="15">
        <f t="shared" si="3"/>
        <v>14</v>
      </c>
    </row>
    <row r="760">
      <c r="A760" s="8" t="str">
        <f>IFERROR(__xludf.DUMMYFUNCTION("IF('(INGESTA)Datos_consumo_datadis'!A760&lt;&gt;"""",SPLIT('(INGESTA)Datos_consumo_datadis'!A:A,"",""),"""")"),"ES0031408323131005HX0F")</f>
        <v>ES0031408323131005HX0F</v>
      </c>
      <c r="B760" s="12">
        <f>IFERROR(__xludf.DUMMYFUNCTION("""COMPUTED_VALUE"""),44897.0)</f>
        <v>44897</v>
      </c>
      <c r="C760" s="13">
        <f>IFERROR(__xludf.DUMMYFUNCTION("""COMPUTED_VALUE"""),0.625)</f>
        <v>0.625</v>
      </c>
      <c r="D760" s="8">
        <f>IFERROR(__xludf.DUMMYFUNCTION("""COMPUTED_VALUE"""),0.017)</f>
        <v>0.017</v>
      </c>
      <c r="E760" s="8" t="str">
        <f>IFERROR(__xludf.DUMMYFUNCTION("""COMPUTED_VALUE"""),"Real")</f>
        <v>Real</v>
      </c>
      <c r="G760" s="8">
        <f t="shared" si="1"/>
        <v>12</v>
      </c>
      <c r="H760" s="14">
        <f t="shared" si="2"/>
        <v>2</v>
      </c>
      <c r="I760" s="15">
        <f t="shared" si="3"/>
        <v>15</v>
      </c>
    </row>
    <row r="761">
      <c r="A761" s="8" t="str">
        <f>IFERROR(__xludf.DUMMYFUNCTION("IF('(INGESTA)Datos_consumo_datadis'!A761&lt;&gt;"""",SPLIT('(INGESTA)Datos_consumo_datadis'!A:A,"",""),"""")"),"ES0031408323131005HX0F")</f>
        <v>ES0031408323131005HX0F</v>
      </c>
      <c r="B761" s="12">
        <f>IFERROR(__xludf.DUMMYFUNCTION("""COMPUTED_VALUE"""),44897.0)</f>
        <v>44897</v>
      </c>
      <c r="C761" s="13">
        <f>IFERROR(__xludf.DUMMYFUNCTION("""COMPUTED_VALUE"""),0.6666666666666666)</f>
        <v>0.6666666667</v>
      </c>
      <c r="D761" s="8">
        <f>IFERROR(__xludf.DUMMYFUNCTION("""COMPUTED_VALUE"""),0.009)</f>
        <v>0.009</v>
      </c>
      <c r="E761" s="8" t="str">
        <f>IFERROR(__xludf.DUMMYFUNCTION("""COMPUTED_VALUE"""),"Real")</f>
        <v>Real</v>
      </c>
      <c r="G761" s="8">
        <f t="shared" si="1"/>
        <v>12</v>
      </c>
      <c r="H761" s="14">
        <f t="shared" si="2"/>
        <v>2</v>
      </c>
      <c r="I761" s="15">
        <f t="shared" si="3"/>
        <v>16</v>
      </c>
    </row>
    <row r="762">
      <c r="A762" s="8" t="str">
        <f>IFERROR(__xludf.DUMMYFUNCTION("IF('(INGESTA)Datos_consumo_datadis'!A762&lt;&gt;"""",SPLIT('(INGESTA)Datos_consumo_datadis'!A:A,"",""),"""")"),"ES0031408323131005HX0F")</f>
        <v>ES0031408323131005HX0F</v>
      </c>
      <c r="B762" s="12">
        <f>IFERROR(__xludf.DUMMYFUNCTION("""COMPUTED_VALUE"""),44897.0)</f>
        <v>44897</v>
      </c>
      <c r="C762" s="13">
        <f>IFERROR(__xludf.DUMMYFUNCTION("""COMPUTED_VALUE"""),0.7083333333333334)</f>
        <v>0.7083333333</v>
      </c>
      <c r="D762" s="8">
        <f>IFERROR(__xludf.DUMMYFUNCTION("""COMPUTED_VALUE"""),0.071)</f>
        <v>0.071</v>
      </c>
      <c r="E762" s="8" t="str">
        <f>IFERROR(__xludf.DUMMYFUNCTION("""COMPUTED_VALUE"""),"Real")</f>
        <v>Real</v>
      </c>
      <c r="G762" s="8">
        <f t="shared" si="1"/>
        <v>12</v>
      </c>
      <c r="H762" s="14">
        <f t="shared" si="2"/>
        <v>2</v>
      </c>
      <c r="I762" s="15">
        <f t="shared" si="3"/>
        <v>17</v>
      </c>
    </row>
    <row r="763">
      <c r="A763" s="8" t="str">
        <f>IFERROR(__xludf.DUMMYFUNCTION("IF('(INGESTA)Datos_consumo_datadis'!A763&lt;&gt;"""",SPLIT('(INGESTA)Datos_consumo_datadis'!A:A,"",""),"""")"),"ES0031408323131005HX0F")</f>
        <v>ES0031408323131005HX0F</v>
      </c>
      <c r="B763" s="12">
        <f>IFERROR(__xludf.DUMMYFUNCTION("""COMPUTED_VALUE"""),44897.0)</f>
        <v>44897</v>
      </c>
      <c r="C763" s="13">
        <f>IFERROR(__xludf.DUMMYFUNCTION("""COMPUTED_VALUE"""),0.75)</f>
        <v>0.75</v>
      </c>
      <c r="D763" s="8">
        <f>IFERROR(__xludf.DUMMYFUNCTION("""COMPUTED_VALUE"""),0.332)</f>
        <v>0.332</v>
      </c>
      <c r="E763" s="8" t="str">
        <f>IFERROR(__xludf.DUMMYFUNCTION("""COMPUTED_VALUE"""),"Real")</f>
        <v>Real</v>
      </c>
      <c r="G763" s="8">
        <f t="shared" si="1"/>
        <v>12</v>
      </c>
      <c r="H763" s="14">
        <f t="shared" si="2"/>
        <v>2</v>
      </c>
      <c r="I763" s="15">
        <f t="shared" si="3"/>
        <v>18</v>
      </c>
    </row>
    <row r="764">
      <c r="A764" s="8" t="str">
        <f>IFERROR(__xludf.DUMMYFUNCTION("IF('(INGESTA)Datos_consumo_datadis'!A764&lt;&gt;"""",SPLIT('(INGESTA)Datos_consumo_datadis'!A:A,"",""),"""")"),"ES0031408323131005HX0F")</f>
        <v>ES0031408323131005HX0F</v>
      </c>
      <c r="B764" s="12">
        <f>IFERROR(__xludf.DUMMYFUNCTION("""COMPUTED_VALUE"""),44897.0)</f>
        <v>44897</v>
      </c>
      <c r="C764" s="13">
        <f>IFERROR(__xludf.DUMMYFUNCTION("""COMPUTED_VALUE"""),0.7916666666666666)</f>
        <v>0.7916666667</v>
      </c>
      <c r="D764" s="8">
        <f>IFERROR(__xludf.DUMMYFUNCTION("""COMPUTED_VALUE"""),0.033)</f>
        <v>0.033</v>
      </c>
      <c r="E764" s="8" t="str">
        <f>IFERROR(__xludf.DUMMYFUNCTION("""COMPUTED_VALUE"""),"Real")</f>
        <v>Real</v>
      </c>
      <c r="G764" s="8">
        <f t="shared" si="1"/>
        <v>12</v>
      </c>
      <c r="H764" s="14">
        <f t="shared" si="2"/>
        <v>2</v>
      </c>
      <c r="I764" s="15">
        <f t="shared" si="3"/>
        <v>19</v>
      </c>
    </row>
    <row r="765">
      <c r="A765" s="8" t="str">
        <f>IFERROR(__xludf.DUMMYFUNCTION("IF('(INGESTA)Datos_consumo_datadis'!A765&lt;&gt;"""",SPLIT('(INGESTA)Datos_consumo_datadis'!A:A,"",""),"""")"),"ES0031408323131005HX0F")</f>
        <v>ES0031408323131005HX0F</v>
      </c>
      <c r="B765" s="12">
        <f>IFERROR(__xludf.DUMMYFUNCTION("""COMPUTED_VALUE"""),44897.0)</f>
        <v>44897</v>
      </c>
      <c r="C765" s="13">
        <f>IFERROR(__xludf.DUMMYFUNCTION("""COMPUTED_VALUE"""),0.8333333333333334)</f>
        <v>0.8333333333</v>
      </c>
      <c r="D765" s="8">
        <f>IFERROR(__xludf.DUMMYFUNCTION("""COMPUTED_VALUE"""),0.01)</f>
        <v>0.01</v>
      </c>
      <c r="E765" s="8" t="str">
        <f>IFERROR(__xludf.DUMMYFUNCTION("""COMPUTED_VALUE"""),"Real")</f>
        <v>Real</v>
      </c>
      <c r="G765" s="8">
        <f t="shared" si="1"/>
        <v>12</v>
      </c>
      <c r="H765" s="14">
        <f t="shared" si="2"/>
        <v>2</v>
      </c>
      <c r="I765" s="15">
        <f t="shared" si="3"/>
        <v>20</v>
      </c>
    </row>
    <row r="766">
      <c r="A766" s="8" t="str">
        <f>IFERROR(__xludf.DUMMYFUNCTION("IF('(INGESTA)Datos_consumo_datadis'!A766&lt;&gt;"""",SPLIT('(INGESTA)Datos_consumo_datadis'!A:A,"",""),"""")"),"ES0031408323131005HX0F")</f>
        <v>ES0031408323131005HX0F</v>
      </c>
      <c r="B766" s="12">
        <f>IFERROR(__xludf.DUMMYFUNCTION("""COMPUTED_VALUE"""),44897.0)</f>
        <v>44897</v>
      </c>
      <c r="C766" s="13">
        <f>IFERROR(__xludf.DUMMYFUNCTION("""COMPUTED_VALUE"""),0.875)</f>
        <v>0.875</v>
      </c>
      <c r="D766" s="8">
        <f>IFERROR(__xludf.DUMMYFUNCTION("""COMPUTED_VALUE"""),0.01)</f>
        <v>0.01</v>
      </c>
      <c r="E766" s="8" t="str">
        <f>IFERROR(__xludf.DUMMYFUNCTION("""COMPUTED_VALUE"""),"Real")</f>
        <v>Real</v>
      </c>
      <c r="G766" s="8">
        <f t="shared" si="1"/>
        <v>12</v>
      </c>
      <c r="H766" s="14">
        <f t="shared" si="2"/>
        <v>2</v>
      </c>
      <c r="I766" s="15">
        <f t="shared" si="3"/>
        <v>21</v>
      </c>
    </row>
    <row r="767">
      <c r="A767" s="8" t="str">
        <f>IFERROR(__xludf.DUMMYFUNCTION("IF('(INGESTA)Datos_consumo_datadis'!A767&lt;&gt;"""",SPLIT('(INGESTA)Datos_consumo_datadis'!A:A,"",""),"""")"),"ES0031408323131005HX0F")</f>
        <v>ES0031408323131005HX0F</v>
      </c>
      <c r="B767" s="12">
        <f>IFERROR(__xludf.DUMMYFUNCTION("""COMPUTED_VALUE"""),44897.0)</f>
        <v>44897</v>
      </c>
      <c r="C767" s="13">
        <f>IFERROR(__xludf.DUMMYFUNCTION("""COMPUTED_VALUE"""),0.9166666666666666)</f>
        <v>0.9166666667</v>
      </c>
      <c r="D767" s="8">
        <f>IFERROR(__xludf.DUMMYFUNCTION("""COMPUTED_VALUE"""),0.077)</f>
        <v>0.077</v>
      </c>
      <c r="E767" s="8" t="str">
        <f>IFERROR(__xludf.DUMMYFUNCTION("""COMPUTED_VALUE"""),"Real")</f>
        <v>Real</v>
      </c>
      <c r="G767" s="8">
        <f t="shared" si="1"/>
        <v>12</v>
      </c>
      <c r="H767" s="14">
        <f t="shared" si="2"/>
        <v>2</v>
      </c>
      <c r="I767" s="15">
        <f t="shared" si="3"/>
        <v>22</v>
      </c>
    </row>
    <row r="768">
      <c r="A768" s="8" t="str">
        <f>IFERROR(__xludf.DUMMYFUNCTION("IF('(INGESTA)Datos_consumo_datadis'!A768&lt;&gt;"""",SPLIT('(INGESTA)Datos_consumo_datadis'!A:A,"",""),"""")"),"ES0031408323131005HX0F")</f>
        <v>ES0031408323131005HX0F</v>
      </c>
      <c r="B768" s="12">
        <f>IFERROR(__xludf.DUMMYFUNCTION("""COMPUTED_VALUE"""),44897.0)</f>
        <v>44897</v>
      </c>
      <c r="C768" s="13">
        <f>IFERROR(__xludf.DUMMYFUNCTION("""COMPUTED_VALUE"""),0.9583333333333334)</f>
        <v>0.9583333333</v>
      </c>
      <c r="D768" s="8">
        <f>IFERROR(__xludf.DUMMYFUNCTION("""COMPUTED_VALUE"""),0.334)</f>
        <v>0.334</v>
      </c>
      <c r="E768" s="8" t="str">
        <f>IFERROR(__xludf.DUMMYFUNCTION("""COMPUTED_VALUE"""),"Real")</f>
        <v>Real</v>
      </c>
      <c r="G768" s="8">
        <f t="shared" si="1"/>
        <v>12</v>
      </c>
      <c r="H768" s="14">
        <f t="shared" si="2"/>
        <v>2</v>
      </c>
      <c r="I768" s="15">
        <f t="shared" si="3"/>
        <v>23</v>
      </c>
    </row>
    <row r="769">
      <c r="A769" s="8" t="str">
        <f>IFERROR(__xludf.DUMMYFUNCTION("IF('(INGESTA)Datos_consumo_datadis'!A769&lt;&gt;"""",SPLIT('(INGESTA)Datos_consumo_datadis'!A:A,"",""),"""")"),"ES0031408323131005HX0F")</f>
        <v>ES0031408323131005HX0F</v>
      </c>
      <c r="B769" s="12">
        <f>IFERROR(__xludf.DUMMYFUNCTION("""COMPUTED_VALUE"""),44897.0)</f>
        <v>44897</v>
      </c>
      <c r="C769" s="16">
        <f>IFERROR(__xludf.DUMMYFUNCTION("""COMPUTED_VALUE"""),1.0)</f>
        <v>1</v>
      </c>
      <c r="D769" s="8">
        <f>IFERROR(__xludf.DUMMYFUNCTION("""COMPUTED_VALUE"""),0.032)</f>
        <v>0.032</v>
      </c>
      <c r="E769" s="8" t="str">
        <f>IFERROR(__xludf.DUMMYFUNCTION("""COMPUTED_VALUE"""),"Real")</f>
        <v>Real</v>
      </c>
      <c r="G769" s="8">
        <f t="shared" si="1"/>
        <v>12</v>
      </c>
      <c r="H769" s="14">
        <f t="shared" si="2"/>
        <v>2</v>
      </c>
      <c r="I769" s="15">
        <f t="shared" si="3"/>
        <v>0</v>
      </c>
    </row>
    <row r="770">
      <c r="A770" s="8" t="str">
        <f>IFERROR(__xludf.DUMMYFUNCTION("IF('(INGESTA)Datos_consumo_datadis'!A770&lt;&gt;"""",SPLIT('(INGESTA)Datos_consumo_datadis'!A:A,"",""),"""")"),"ES0031408323131005HX0F")</f>
        <v>ES0031408323131005HX0F</v>
      </c>
      <c r="B770" s="12">
        <f>IFERROR(__xludf.DUMMYFUNCTION("""COMPUTED_VALUE"""),44898.0)</f>
        <v>44898</v>
      </c>
      <c r="C770" s="13">
        <f>IFERROR(__xludf.DUMMYFUNCTION("""COMPUTED_VALUE"""),0.041666666666666664)</f>
        <v>0.04166666667</v>
      </c>
      <c r="D770" s="8">
        <f>IFERROR(__xludf.DUMMYFUNCTION("""COMPUTED_VALUE"""),0.012)</f>
        <v>0.012</v>
      </c>
      <c r="E770" s="8" t="str">
        <f>IFERROR(__xludf.DUMMYFUNCTION("""COMPUTED_VALUE"""),"Real")</f>
        <v>Real</v>
      </c>
      <c r="G770" s="8">
        <f t="shared" si="1"/>
        <v>12</v>
      </c>
      <c r="H770" s="14">
        <f t="shared" si="2"/>
        <v>3</v>
      </c>
      <c r="I770" s="15">
        <f t="shared" si="3"/>
        <v>1</v>
      </c>
    </row>
    <row r="771">
      <c r="A771" s="8" t="str">
        <f>IFERROR(__xludf.DUMMYFUNCTION("IF('(INGESTA)Datos_consumo_datadis'!A771&lt;&gt;"""",SPLIT('(INGESTA)Datos_consumo_datadis'!A:A,"",""),"""")"),"ES0031408323131005HX0F")</f>
        <v>ES0031408323131005HX0F</v>
      </c>
      <c r="B771" s="12">
        <f>IFERROR(__xludf.DUMMYFUNCTION("""COMPUTED_VALUE"""),44898.0)</f>
        <v>44898</v>
      </c>
      <c r="C771" s="13">
        <f>IFERROR(__xludf.DUMMYFUNCTION("""COMPUTED_VALUE"""),0.08333333333333333)</f>
        <v>0.08333333333</v>
      </c>
      <c r="D771" s="8">
        <f>IFERROR(__xludf.DUMMYFUNCTION("""COMPUTED_VALUE"""),0.059)</f>
        <v>0.059</v>
      </c>
      <c r="E771" s="8" t="str">
        <f>IFERROR(__xludf.DUMMYFUNCTION("""COMPUTED_VALUE"""),"Real")</f>
        <v>Real</v>
      </c>
      <c r="G771" s="8">
        <f t="shared" si="1"/>
        <v>12</v>
      </c>
      <c r="H771" s="14">
        <f t="shared" si="2"/>
        <v>3</v>
      </c>
      <c r="I771" s="15">
        <f t="shared" si="3"/>
        <v>2</v>
      </c>
    </row>
    <row r="772">
      <c r="A772" s="8" t="str">
        <f>IFERROR(__xludf.DUMMYFUNCTION("IF('(INGESTA)Datos_consumo_datadis'!A772&lt;&gt;"""",SPLIT('(INGESTA)Datos_consumo_datadis'!A:A,"",""),"""")"),"ES0031408323131005HX0F")</f>
        <v>ES0031408323131005HX0F</v>
      </c>
      <c r="B772" s="12">
        <f>IFERROR(__xludf.DUMMYFUNCTION("""COMPUTED_VALUE"""),44898.0)</f>
        <v>44898</v>
      </c>
      <c r="C772" s="13">
        <f>IFERROR(__xludf.DUMMYFUNCTION("""COMPUTED_VALUE"""),0.125)</f>
        <v>0.125</v>
      </c>
      <c r="D772" s="8">
        <f>IFERROR(__xludf.DUMMYFUNCTION("""COMPUTED_VALUE"""),0.094)</f>
        <v>0.094</v>
      </c>
      <c r="E772" s="8" t="str">
        <f>IFERROR(__xludf.DUMMYFUNCTION("""COMPUTED_VALUE"""),"Real")</f>
        <v>Real</v>
      </c>
      <c r="G772" s="8">
        <f t="shared" si="1"/>
        <v>12</v>
      </c>
      <c r="H772" s="14">
        <f t="shared" si="2"/>
        <v>3</v>
      </c>
      <c r="I772" s="15">
        <f t="shared" si="3"/>
        <v>3</v>
      </c>
    </row>
    <row r="773">
      <c r="A773" s="8" t="str">
        <f>IFERROR(__xludf.DUMMYFUNCTION("IF('(INGESTA)Datos_consumo_datadis'!A773&lt;&gt;"""",SPLIT('(INGESTA)Datos_consumo_datadis'!A:A,"",""),"""")"),"ES0031408323131005HX0F")</f>
        <v>ES0031408323131005HX0F</v>
      </c>
      <c r="B773" s="12">
        <f>IFERROR(__xludf.DUMMYFUNCTION("""COMPUTED_VALUE"""),44898.0)</f>
        <v>44898</v>
      </c>
      <c r="C773" s="13">
        <f>IFERROR(__xludf.DUMMYFUNCTION("""COMPUTED_VALUE"""),0.16666666666666666)</f>
        <v>0.1666666667</v>
      </c>
      <c r="D773" s="8">
        <f>IFERROR(__xludf.DUMMYFUNCTION("""COMPUTED_VALUE"""),0.055)</f>
        <v>0.055</v>
      </c>
      <c r="E773" s="8" t="str">
        <f>IFERROR(__xludf.DUMMYFUNCTION("""COMPUTED_VALUE"""),"Real")</f>
        <v>Real</v>
      </c>
      <c r="G773" s="8">
        <f t="shared" si="1"/>
        <v>12</v>
      </c>
      <c r="H773" s="14">
        <f t="shared" si="2"/>
        <v>3</v>
      </c>
      <c r="I773" s="15">
        <f t="shared" si="3"/>
        <v>4</v>
      </c>
    </row>
    <row r="774">
      <c r="A774" s="8" t="str">
        <f>IFERROR(__xludf.DUMMYFUNCTION("IF('(INGESTA)Datos_consumo_datadis'!A774&lt;&gt;"""",SPLIT('(INGESTA)Datos_consumo_datadis'!A:A,"",""),"""")"),"ES0031408323131005HX0F")</f>
        <v>ES0031408323131005HX0F</v>
      </c>
      <c r="B774" s="12">
        <f>IFERROR(__xludf.DUMMYFUNCTION("""COMPUTED_VALUE"""),44898.0)</f>
        <v>44898</v>
      </c>
      <c r="C774" s="13">
        <f>IFERROR(__xludf.DUMMYFUNCTION("""COMPUTED_VALUE"""),0.20833333333333334)</f>
        <v>0.2083333333</v>
      </c>
      <c r="D774" s="8">
        <f>IFERROR(__xludf.DUMMYFUNCTION("""COMPUTED_VALUE"""),0.382)</f>
        <v>0.382</v>
      </c>
      <c r="E774" s="8" t="str">
        <f>IFERROR(__xludf.DUMMYFUNCTION("""COMPUTED_VALUE"""),"Real")</f>
        <v>Real</v>
      </c>
      <c r="G774" s="8">
        <f t="shared" si="1"/>
        <v>12</v>
      </c>
      <c r="H774" s="14">
        <f t="shared" si="2"/>
        <v>3</v>
      </c>
      <c r="I774" s="15">
        <f t="shared" si="3"/>
        <v>5</v>
      </c>
    </row>
    <row r="775">
      <c r="A775" s="8" t="str">
        <f>IFERROR(__xludf.DUMMYFUNCTION("IF('(INGESTA)Datos_consumo_datadis'!A775&lt;&gt;"""",SPLIT('(INGESTA)Datos_consumo_datadis'!A:A,"",""),"""")"),"ES0031408323131005HX0F")</f>
        <v>ES0031408323131005HX0F</v>
      </c>
      <c r="B775" s="12">
        <f>IFERROR(__xludf.DUMMYFUNCTION("""COMPUTED_VALUE"""),44898.0)</f>
        <v>44898</v>
      </c>
      <c r="C775" s="13">
        <f>IFERROR(__xludf.DUMMYFUNCTION("""COMPUTED_VALUE"""),0.25)</f>
        <v>0.25</v>
      </c>
      <c r="D775" s="8">
        <f>IFERROR(__xludf.DUMMYFUNCTION("""COMPUTED_VALUE"""),0.011)</f>
        <v>0.011</v>
      </c>
      <c r="E775" s="8" t="str">
        <f>IFERROR(__xludf.DUMMYFUNCTION("""COMPUTED_VALUE"""),"Real")</f>
        <v>Real</v>
      </c>
      <c r="G775" s="8">
        <f t="shared" si="1"/>
        <v>12</v>
      </c>
      <c r="H775" s="14">
        <f t="shared" si="2"/>
        <v>3</v>
      </c>
      <c r="I775" s="15">
        <f t="shared" si="3"/>
        <v>6</v>
      </c>
    </row>
    <row r="776">
      <c r="A776" s="8" t="str">
        <f>IFERROR(__xludf.DUMMYFUNCTION("IF('(INGESTA)Datos_consumo_datadis'!A776&lt;&gt;"""",SPLIT('(INGESTA)Datos_consumo_datadis'!A:A,"",""),"""")"),"ES0031408323131005HX0F")</f>
        <v>ES0031408323131005HX0F</v>
      </c>
      <c r="B776" s="12">
        <f>IFERROR(__xludf.DUMMYFUNCTION("""COMPUTED_VALUE"""),44898.0)</f>
        <v>44898</v>
      </c>
      <c r="C776" s="13">
        <f>IFERROR(__xludf.DUMMYFUNCTION("""COMPUTED_VALUE"""),0.2916666666666667)</f>
        <v>0.2916666667</v>
      </c>
      <c r="D776" s="8">
        <f>IFERROR(__xludf.DUMMYFUNCTION("""COMPUTED_VALUE"""),0.09)</f>
        <v>0.09</v>
      </c>
      <c r="E776" s="8" t="str">
        <f>IFERROR(__xludf.DUMMYFUNCTION("""COMPUTED_VALUE"""),"Real")</f>
        <v>Real</v>
      </c>
      <c r="G776" s="8">
        <f t="shared" si="1"/>
        <v>12</v>
      </c>
      <c r="H776" s="14">
        <f t="shared" si="2"/>
        <v>3</v>
      </c>
      <c r="I776" s="15">
        <f t="shared" si="3"/>
        <v>7</v>
      </c>
    </row>
    <row r="777">
      <c r="A777" s="8" t="str">
        <f>IFERROR(__xludf.DUMMYFUNCTION("IF('(INGESTA)Datos_consumo_datadis'!A777&lt;&gt;"""",SPLIT('(INGESTA)Datos_consumo_datadis'!A:A,"",""),"""")"),"ES0031408323131005HX0F")</f>
        <v>ES0031408323131005HX0F</v>
      </c>
      <c r="B777" s="12">
        <f>IFERROR(__xludf.DUMMYFUNCTION("""COMPUTED_VALUE"""),44898.0)</f>
        <v>44898</v>
      </c>
      <c r="C777" s="13">
        <f>IFERROR(__xludf.DUMMYFUNCTION("""COMPUTED_VALUE"""),0.3333333333333333)</f>
        <v>0.3333333333</v>
      </c>
      <c r="D777" s="8">
        <f>IFERROR(__xludf.DUMMYFUNCTION("""COMPUTED_VALUE"""),0.039)</f>
        <v>0.039</v>
      </c>
      <c r="E777" s="8" t="str">
        <f>IFERROR(__xludf.DUMMYFUNCTION("""COMPUTED_VALUE"""),"Real")</f>
        <v>Real</v>
      </c>
      <c r="G777" s="8">
        <f t="shared" si="1"/>
        <v>12</v>
      </c>
      <c r="H777" s="14">
        <f t="shared" si="2"/>
        <v>3</v>
      </c>
      <c r="I777" s="15">
        <f t="shared" si="3"/>
        <v>8</v>
      </c>
    </row>
    <row r="778">
      <c r="A778" s="8" t="str">
        <f>IFERROR(__xludf.DUMMYFUNCTION("IF('(INGESTA)Datos_consumo_datadis'!A778&lt;&gt;"""",SPLIT('(INGESTA)Datos_consumo_datadis'!A:A,"",""),"""")"),"ES0031408323131005HX0F")</f>
        <v>ES0031408323131005HX0F</v>
      </c>
      <c r="B778" s="12">
        <f>IFERROR(__xludf.DUMMYFUNCTION("""COMPUTED_VALUE"""),44898.0)</f>
        <v>44898</v>
      </c>
      <c r="C778" s="13">
        <f>IFERROR(__xludf.DUMMYFUNCTION("""COMPUTED_VALUE"""),0.375)</f>
        <v>0.375</v>
      </c>
      <c r="D778" s="8">
        <f>IFERROR(__xludf.DUMMYFUNCTION("""COMPUTED_VALUE"""),0.039)</f>
        <v>0.039</v>
      </c>
      <c r="E778" s="8" t="str">
        <f>IFERROR(__xludf.DUMMYFUNCTION("""COMPUTED_VALUE"""),"Real")</f>
        <v>Real</v>
      </c>
      <c r="G778" s="8">
        <f t="shared" si="1"/>
        <v>12</v>
      </c>
      <c r="H778" s="14">
        <f t="shared" si="2"/>
        <v>3</v>
      </c>
      <c r="I778" s="15">
        <f t="shared" si="3"/>
        <v>9</v>
      </c>
    </row>
    <row r="779">
      <c r="A779" s="8" t="str">
        <f>IFERROR(__xludf.DUMMYFUNCTION("IF('(INGESTA)Datos_consumo_datadis'!A779&lt;&gt;"""",SPLIT('(INGESTA)Datos_consumo_datadis'!A:A,"",""),"""")"),"ES0031408323131005HX0F")</f>
        <v>ES0031408323131005HX0F</v>
      </c>
      <c r="B779" s="12">
        <f>IFERROR(__xludf.DUMMYFUNCTION("""COMPUTED_VALUE"""),44898.0)</f>
        <v>44898</v>
      </c>
      <c r="C779" s="13">
        <f>IFERROR(__xludf.DUMMYFUNCTION("""COMPUTED_VALUE"""),0.4166666666666667)</f>
        <v>0.4166666667</v>
      </c>
      <c r="D779" s="8">
        <f>IFERROR(__xludf.DUMMYFUNCTION("""COMPUTED_VALUE"""),0.484)</f>
        <v>0.484</v>
      </c>
      <c r="E779" s="8" t="str">
        <f>IFERROR(__xludf.DUMMYFUNCTION("""COMPUTED_VALUE"""),"Real")</f>
        <v>Real</v>
      </c>
      <c r="G779" s="8">
        <f t="shared" si="1"/>
        <v>12</v>
      </c>
      <c r="H779" s="14">
        <f t="shared" si="2"/>
        <v>3</v>
      </c>
      <c r="I779" s="15">
        <f t="shared" si="3"/>
        <v>10</v>
      </c>
    </row>
    <row r="780">
      <c r="A780" s="8" t="str">
        <f>IFERROR(__xludf.DUMMYFUNCTION("IF('(INGESTA)Datos_consumo_datadis'!A780&lt;&gt;"""",SPLIT('(INGESTA)Datos_consumo_datadis'!A:A,"",""),"""")"),"ES0031408323131005HX0F")</f>
        <v>ES0031408323131005HX0F</v>
      </c>
      <c r="B780" s="12">
        <f>IFERROR(__xludf.DUMMYFUNCTION("""COMPUTED_VALUE"""),44898.0)</f>
        <v>44898</v>
      </c>
      <c r="C780" s="13">
        <f>IFERROR(__xludf.DUMMYFUNCTION("""COMPUTED_VALUE"""),0.4583333333333333)</f>
        <v>0.4583333333</v>
      </c>
      <c r="D780" s="8">
        <f>IFERROR(__xludf.DUMMYFUNCTION("""COMPUTED_VALUE"""),0.621)</f>
        <v>0.621</v>
      </c>
      <c r="E780" s="8" t="str">
        <f>IFERROR(__xludf.DUMMYFUNCTION("""COMPUTED_VALUE"""),"Real")</f>
        <v>Real</v>
      </c>
      <c r="G780" s="8">
        <f t="shared" si="1"/>
        <v>12</v>
      </c>
      <c r="H780" s="14">
        <f t="shared" si="2"/>
        <v>3</v>
      </c>
      <c r="I780" s="15">
        <f t="shared" si="3"/>
        <v>11</v>
      </c>
    </row>
    <row r="781">
      <c r="A781" s="8" t="str">
        <f>IFERROR(__xludf.DUMMYFUNCTION("IF('(INGESTA)Datos_consumo_datadis'!A781&lt;&gt;"""",SPLIT('(INGESTA)Datos_consumo_datadis'!A:A,"",""),"""")"),"ES0031408323131005HX0F")</f>
        <v>ES0031408323131005HX0F</v>
      </c>
      <c r="B781" s="12">
        <f>IFERROR(__xludf.DUMMYFUNCTION("""COMPUTED_VALUE"""),44898.0)</f>
        <v>44898</v>
      </c>
      <c r="C781" s="13">
        <f>IFERROR(__xludf.DUMMYFUNCTION("""COMPUTED_VALUE"""),0.5)</f>
        <v>0.5</v>
      </c>
      <c r="D781" s="8">
        <f>IFERROR(__xludf.DUMMYFUNCTION("""COMPUTED_VALUE"""),0.076)</f>
        <v>0.076</v>
      </c>
      <c r="E781" s="8" t="str">
        <f>IFERROR(__xludf.DUMMYFUNCTION("""COMPUTED_VALUE"""),"Real")</f>
        <v>Real</v>
      </c>
      <c r="G781" s="8">
        <f t="shared" si="1"/>
        <v>12</v>
      </c>
      <c r="H781" s="14">
        <f t="shared" si="2"/>
        <v>3</v>
      </c>
      <c r="I781" s="15">
        <f t="shared" si="3"/>
        <v>12</v>
      </c>
    </row>
    <row r="782">
      <c r="A782" s="8" t="str">
        <f>IFERROR(__xludf.DUMMYFUNCTION("IF('(INGESTA)Datos_consumo_datadis'!A782&lt;&gt;"""",SPLIT('(INGESTA)Datos_consumo_datadis'!A:A,"",""),"""")"),"ES0031408323131005HX0F")</f>
        <v>ES0031408323131005HX0F</v>
      </c>
      <c r="B782" s="12">
        <f>IFERROR(__xludf.DUMMYFUNCTION("""COMPUTED_VALUE"""),44898.0)</f>
        <v>44898</v>
      </c>
      <c r="C782" s="13">
        <f>IFERROR(__xludf.DUMMYFUNCTION("""COMPUTED_VALUE"""),0.5416666666666666)</f>
        <v>0.5416666667</v>
      </c>
      <c r="D782" s="8">
        <f>IFERROR(__xludf.DUMMYFUNCTION("""COMPUTED_VALUE"""),0.058)</f>
        <v>0.058</v>
      </c>
      <c r="E782" s="8" t="str">
        <f>IFERROR(__xludf.DUMMYFUNCTION("""COMPUTED_VALUE"""),"Real")</f>
        <v>Real</v>
      </c>
      <c r="G782" s="8">
        <f t="shared" si="1"/>
        <v>12</v>
      </c>
      <c r="H782" s="14">
        <f t="shared" si="2"/>
        <v>3</v>
      </c>
      <c r="I782" s="15">
        <f t="shared" si="3"/>
        <v>13</v>
      </c>
    </row>
    <row r="783">
      <c r="A783" s="8" t="str">
        <f>IFERROR(__xludf.DUMMYFUNCTION("IF('(INGESTA)Datos_consumo_datadis'!A783&lt;&gt;"""",SPLIT('(INGESTA)Datos_consumo_datadis'!A:A,"",""),"""")"),"ES0031408323131005HX0F")</f>
        <v>ES0031408323131005HX0F</v>
      </c>
      <c r="B783" s="12">
        <f>IFERROR(__xludf.DUMMYFUNCTION("""COMPUTED_VALUE"""),44898.0)</f>
        <v>44898</v>
      </c>
      <c r="C783" s="13">
        <f>IFERROR(__xludf.DUMMYFUNCTION("""COMPUTED_VALUE"""),0.5833333333333334)</f>
        <v>0.5833333333</v>
      </c>
      <c r="D783" s="8">
        <f>IFERROR(__xludf.DUMMYFUNCTION("""COMPUTED_VALUE"""),0.014)</f>
        <v>0.014</v>
      </c>
      <c r="E783" s="8" t="str">
        <f>IFERROR(__xludf.DUMMYFUNCTION("""COMPUTED_VALUE"""),"Real")</f>
        <v>Real</v>
      </c>
      <c r="G783" s="8">
        <f t="shared" si="1"/>
        <v>12</v>
      </c>
      <c r="H783" s="14">
        <f t="shared" si="2"/>
        <v>3</v>
      </c>
      <c r="I783" s="15">
        <f t="shared" si="3"/>
        <v>14</v>
      </c>
    </row>
    <row r="784">
      <c r="A784" s="8" t="str">
        <f>IFERROR(__xludf.DUMMYFUNCTION("IF('(INGESTA)Datos_consumo_datadis'!A784&lt;&gt;"""",SPLIT('(INGESTA)Datos_consumo_datadis'!A:A,"",""),"""")"),"ES0031408323131005HX0F")</f>
        <v>ES0031408323131005HX0F</v>
      </c>
      <c r="B784" s="12">
        <f>IFERROR(__xludf.DUMMYFUNCTION("""COMPUTED_VALUE"""),44898.0)</f>
        <v>44898</v>
      </c>
      <c r="C784" s="13">
        <f>IFERROR(__xludf.DUMMYFUNCTION("""COMPUTED_VALUE"""),0.625)</f>
        <v>0.625</v>
      </c>
      <c r="D784" s="8">
        <f>IFERROR(__xludf.DUMMYFUNCTION("""COMPUTED_VALUE"""),0.011)</f>
        <v>0.011</v>
      </c>
      <c r="E784" s="8" t="str">
        <f>IFERROR(__xludf.DUMMYFUNCTION("""COMPUTED_VALUE"""),"Real")</f>
        <v>Real</v>
      </c>
      <c r="G784" s="8">
        <f t="shared" si="1"/>
        <v>12</v>
      </c>
      <c r="H784" s="14">
        <f t="shared" si="2"/>
        <v>3</v>
      </c>
      <c r="I784" s="15">
        <f t="shared" si="3"/>
        <v>15</v>
      </c>
    </row>
    <row r="785">
      <c r="A785" s="8" t="str">
        <f>IFERROR(__xludf.DUMMYFUNCTION("IF('(INGESTA)Datos_consumo_datadis'!A785&lt;&gt;"""",SPLIT('(INGESTA)Datos_consumo_datadis'!A:A,"",""),"""")"),"ES0031408323131005HX0F")</f>
        <v>ES0031408323131005HX0F</v>
      </c>
      <c r="B785" s="12">
        <f>IFERROR(__xludf.DUMMYFUNCTION("""COMPUTED_VALUE"""),44898.0)</f>
        <v>44898</v>
      </c>
      <c r="C785" s="13">
        <f>IFERROR(__xludf.DUMMYFUNCTION("""COMPUTED_VALUE"""),0.6666666666666666)</f>
        <v>0.6666666667</v>
      </c>
      <c r="D785" s="8">
        <f>IFERROR(__xludf.DUMMYFUNCTION("""COMPUTED_VALUE"""),0.45)</f>
        <v>0.45</v>
      </c>
      <c r="E785" s="8" t="str">
        <f>IFERROR(__xludf.DUMMYFUNCTION("""COMPUTED_VALUE"""),"Real")</f>
        <v>Real</v>
      </c>
      <c r="G785" s="8">
        <f t="shared" si="1"/>
        <v>12</v>
      </c>
      <c r="H785" s="14">
        <f t="shared" si="2"/>
        <v>3</v>
      </c>
      <c r="I785" s="15">
        <f t="shared" si="3"/>
        <v>16</v>
      </c>
    </row>
    <row r="786">
      <c r="A786" s="8" t="str">
        <f>IFERROR(__xludf.DUMMYFUNCTION("IF('(INGESTA)Datos_consumo_datadis'!A786&lt;&gt;"""",SPLIT('(INGESTA)Datos_consumo_datadis'!A:A,"",""),"""")"),"ES0031408323131005HX0F")</f>
        <v>ES0031408323131005HX0F</v>
      </c>
      <c r="B786" s="12">
        <f>IFERROR(__xludf.DUMMYFUNCTION("""COMPUTED_VALUE"""),44898.0)</f>
        <v>44898</v>
      </c>
      <c r="C786" s="13">
        <f>IFERROR(__xludf.DUMMYFUNCTION("""COMPUTED_VALUE"""),0.7083333333333334)</f>
        <v>0.7083333333</v>
      </c>
      <c r="D786" s="8">
        <f>IFERROR(__xludf.DUMMYFUNCTION("""COMPUTED_VALUE"""),0.039)</f>
        <v>0.039</v>
      </c>
      <c r="E786" s="8" t="str">
        <f>IFERROR(__xludf.DUMMYFUNCTION("""COMPUTED_VALUE"""),"Real")</f>
        <v>Real</v>
      </c>
      <c r="G786" s="8">
        <f t="shared" si="1"/>
        <v>12</v>
      </c>
      <c r="H786" s="14">
        <f t="shared" si="2"/>
        <v>3</v>
      </c>
      <c r="I786" s="15">
        <f t="shared" si="3"/>
        <v>17</v>
      </c>
    </row>
    <row r="787">
      <c r="A787" s="8" t="str">
        <f>IFERROR(__xludf.DUMMYFUNCTION("IF('(INGESTA)Datos_consumo_datadis'!A787&lt;&gt;"""",SPLIT('(INGESTA)Datos_consumo_datadis'!A:A,"",""),"""")"),"ES0031408323131005HX0F")</f>
        <v>ES0031408323131005HX0F</v>
      </c>
      <c r="B787" s="12">
        <f>IFERROR(__xludf.DUMMYFUNCTION("""COMPUTED_VALUE"""),44898.0)</f>
        <v>44898</v>
      </c>
      <c r="C787" s="13">
        <f>IFERROR(__xludf.DUMMYFUNCTION("""COMPUTED_VALUE"""),0.75)</f>
        <v>0.75</v>
      </c>
      <c r="D787" s="8">
        <f>IFERROR(__xludf.DUMMYFUNCTION("""COMPUTED_VALUE"""),0.055)</f>
        <v>0.055</v>
      </c>
      <c r="E787" s="8" t="str">
        <f>IFERROR(__xludf.DUMMYFUNCTION("""COMPUTED_VALUE"""),"Real")</f>
        <v>Real</v>
      </c>
      <c r="G787" s="8">
        <f t="shared" si="1"/>
        <v>12</v>
      </c>
      <c r="H787" s="14">
        <f t="shared" si="2"/>
        <v>3</v>
      </c>
      <c r="I787" s="15">
        <f t="shared" si="3"/>
        <v>18</v>
      </c>
    </row>
    <row r="788">
      <c r="A788" s="8" t="str">
        <f>IFERROR(__xludf.DUMMYFUNCTION("IF('(INGESTA)Datos_consumo_datadis'!A788&lt;&gt;"""",SPLIT('(INGESTA)Datos_consumo_datadis'!A:A,"",""),"""")"),"ES0031408323131005HX0F")</f>
        <v>ES0031408323131005HX0F</v>
      </c>
      <c r="B788" s="12">
        <f>IFERROR(__xludf.DUMMYFUNCTION("""COMPUTED_VALUE"""),44898.0)</f>
        <v>44898</v>
      </c>
      <c r="C788" s="13">
        <f>IFERROR(__xludf.DUMMYFUNCTION("""COMPUTED_VALUE"""),0.7916666666666666)</f>
        <v>0.7916666667</v>
      </c>
      <c r="D788" s="8">
        <f>IFERROR(__xludf.DUMMYFUNCTION("""COMPUTED_VALUE"""),0.365)</f>
        <v>0.365</v>
      </c>
      <c r="E788" s="8" t="str">
        <f>IFERROR(__xludf.DUMMYFUNCTION("""COMPUTED_VALUE"""),"Real")</f>
        <v>Real</v>
      </c>
      <c r="G788" s="8">
        <f t="shared" si="1"/>
        <v>12</v>
      </c>
      <c r="H788" s="14">
        <f t="shared" si="2"/>
        <v>3</v>
      </c>
      <c r="I788" s="15">
        <f t="shared" si="3"/>
        <v>19</v>
      </c>
    </row>
    <row r="789">
      <c r="A789" s="8" t="str">
        <f>IFERROR(__xludf.DUMMYFUNCTION("IF('(INGESTA)Datos_consumo_datadis'!A789&lt;&gt;"""",SPLIT('(INGESTA)Datos_consumo_datadis'!A:A,"",""),"""")"),"ES0031408323131005HX0F")</f>
        <v>ES0031408323131005HX0F</v>
      </c>
      <c r="B789" s="12">
        <f>IFERROR(__xludf.DUMMYFUNCTION("""COMPUTED_VALUE"""),44898.0)</f>
        <v>44898</v>
      </c>
      <c r="C789" s="13">
        <f>IFERROR(__xludf.DUMMYFUNCTION("""COMPUTED_VALUE"""),0.8333333333333334)</f>
        <v>0.8333333333</v>
      </c>
      <c r="D789" s="8">
        <f>IFERROR(__xludf.DUMMYFUNCTION("""COMPUTED_VALUE"""),0.618)</f>
        <v>0.618</v>
      </c>
      <c r="E789" s="8" t="str">
        <f>IFERROR(__xludf.DUMMYFUNCTION("""COMPUTED_VALUE"""),"Real")</f>
        <v>Real</v>
      </c>
      <c r="G789" s="8">
        <f t="shared" si="1"/>
        <v>12</v>
      </c>
      <c r="H789" s="14">
        <f t="shared" si="2"/>
        <v>3</v>
      </c>
      <c r="I789" s="15">
        <f t="shared" si="3"/>
        <v>20</v>
      </c>
    </row>
    <row r="790">
      <c r="A790" s="8" t="str">
        <f>IFERROR(__xludf.DUMMYFUNCTION("IF('(INGESTA)Datos_consumo_datadis'!A790&lt;&gt;"""",SPLIT('(INGESTA)Datos_consumo_datadis'!A:A,"",""),"""")"),"ES0031408323131005HX0F")</f>
        <v>ES0031408323131005HX0F</v>
      </c>
      <c r="B790" s="12">
        <f>IFERROR(__xludf.DUMMYFUNCTION("""COMPUTED_VALUE"""),44898.0)</f>
        <v>44898</v>
      </c>
      <c r="C790" s="13">
        <f>IFERROR(__xludf.DUMMYFUNCTION("""COMPUTED_VALUE"""),0.875)</f>
        <v>0.875</v>
      </c>
      <c r="D790" s="8">
        <f>IFERROR(__xludf.DUMMYFUNCTION("""COMPUTED_VALUE"""),0.061)</f>
        <v>0.061</v>
      </c>
      <c r="E790" s="8" t="str">
        <f>IFERROR(__xludf.DUMMYFUNCTION("""COMPUTED_VALUE"""),"Real")</f>
        <v>Real</v>
      </c>
      <c r="G790" s="8">
        <f t="shared" si="1"/>
        <v>12</v>
      </c>
      <c r="H790" s="14">
        <f t="shared" si="2"/>
        <v>3</v>
      </c>
      <c r="I790" s="15">
        <f t="shared" si="3"/>
        <v>21</v>
      </c>
    </row>
    <row r="791">
      <c r="A791" s="8" t="str">
        <f>IFERROR(__xludf.DUMMYFUNCTION("IF('(INGESTA)Datos_consumo_datadis'!A791&lt;&gt;"""",SPLIT('(INGESTA)Datos_consumo_datadis'!A:A,"",""),"""")"),"ES0031408323131005HX0F")</f>
        <v>ES0031408323131005HX0F</v>
      </c>
      <c r="B791" s="12">
        <f>IFERROR(__xludf.DUMMYFUNCTION("""COMPUTED_VALUE"""),44898.0)</f>
        <v>44898</v>
      </c>
      <c r="C791" s="13">
        <f>IFERROR(__xludf.DUMMYFUNCTION("""COMPUTED_VALUE"""),0.9166666666666666)</f>
        <v>0.9166666667</v>
      </c>
      <c r="D791" s="8">
        <f>IFERROR(__xludf.DUMMYFUNCTION("""COMPUTED_VALUE"""),0.046)</f>
        <v>0.046</v>
      </c>
      <c r="E791" s="8" t="str">
        <f>IFERROR(__xludf.DUMMYFUNCTION("""COMPUTED_VALUE"""),"Real")</f>
        <v>Real</v>
      </c>
      <c r="G791" s="8">
        <f t="shared" si="1"/>
        <v>12</v>
      </c>
      <c r="H791" s="14">
        <f t="shared" si="2"/>
        <v>3</v>
      </c>
      <c r="I791" s="15">
        <f t="shared" si="3"/>
        <v>22</v>
      </c>
    </row>
    <row r="792">
      <c r="A792" s="8" t="str">
        <f>IFERROR(__xludf.DUMMYFUNCTION("IF('(INGESTA)Datos_consumo_datadis'!A792&lt;&gt;"""",SPLIT('(INGESTA)Datos_consumo_datadis'!A:A,"",""),"""")"),"ES0031408323131005HX0F")</f>
        <v>ES0031408323131005HX0F</v>
      </c>
      <c r="B792" s="12">
        <f>IFERROR(__xludf.DUMMYFUNCTION("""COMPUTED_VALUE"""),44898.0)</f>
        <v>44898</v>
      </c>
      <c r="C792" s="13">
        <f>IFERROR(__xludf.DUMMYFUNCTION("""COMPUTED_VALUE"""),0.9583333333333334)</f>
        <v>0.9583333333</v>
      </c>
      <c r="D792" s="8">
        <f>IFERROR(__xludf.DUMMYFUNCTION("""COMPUTED_VALUE"""),0.07)</f>
        <v>0.07</v>
      </c>
      <c r="E792" s="8" t="str">
        <f>IFERROR(__xludf.DUMMYFUNCTION("""COMPUTED_VALUE"""),"Real")</f>
        <v>Real</v>
      </c>
      <c r="G792" s="8">
        <f t="shared" si="1"/>
        <v>12</v>
      </c>
      <c r="H792" s="14">
        <f t="shared" si="2"/>
        <v>3</v>
      </c>
      <c r="I792" s="15">
        <f t="shared" si="3"/>
        <v>23</v>
      </c>
    </row>
    <row r="793">
      <c r="A793" s="8" t="str">
        <f>IFERROR(__xludf.DUMMYFUNCTION("IF('(INGESTA)Datos_consumo_datadis'!A793&lt;&gt;"""",SPLIT('(INGESTA)Datos_consumo_datadis'!A:A,"",""),"""")"),"ES0031408323131005HX0F")</f>
        <v>ES0031408323131005HX0F</v>
      </c>
      <c r="B793" s="12">
        <f>IFERROR(__xludf.DUMMYFUNCTION("""COMPUTED_VALUE"""),44898.0)</f>
        <v>44898</v>
      </c>
      <c r="C793" s="16">
        <f>IFERROR(__xludf.DUMMYFUNCTION("""COMPUTED_VALUE"""),1.0)</f>
        <v>1</v>
      </c>
      <c r="D793" s="8">
        <f>IFERROR(__xludf.DUMMYFUNCTION("""COMPUTED_VALUE"""),0.383)</f>
        <v>0.383</v>
      </c>
      <c r="E793" s="8" t="str">
        <f>IFERROR(__xludf.DUMMYFUNCTION("""COMPUTED_VALUE"""),"Real")</f>
        <v>Real</v>
      </c>
      <c r="G793" s="8">
        <f t="shared" si="1"/>
        <v>12</v>
      </c>
      <c r="H793" s="14">
        <f t="shared" si="2"/>
        <v>3</v>
      </c>
      <c r="I793" s="15">
        <f t="shared" si="3"/>
        <v>0</v>
      </c>
    </row>
    <row r="794">
      <c r="A794" s="8" t="str">
        <f>IFERROR(__xludf.DUMMYFUNCTION("IF('(INGESTA)Datos_consumo_datadis'!A794&lt;&gt;"""",SPLIT('(INGESTA)Datos_consumo_datadis'!A:A,"",""),"""")"),"ES0031408323131005HX0F")</f>
        <v>ES0031408323131005HX0F</v>
      </c>
      <c r="B794" s="12">
        <f>IFERROR(__xludf.DUMMYFUNCTION("""COMPUTED_VALUE"""),44899.0)</f>
        <v>44899</v>
      </c>
      <c r="C794" s="13">
        <f>IFERROR(__xludf.DUMMYFUNCTION("""COMPUTED_VALUE"""),0.041666666666666664)</f>
        <v>0.04166666667</v>
      </c>
      <c r="D794" s="8">
        <f>IFERROR(__xludf.DUMMYFUNCTION("""COMPUTED_VALUE"""),0.057)</f>
        <v>0.057</v>
      </c>
      <c r="E794" s="8" t="str">
        <f>IFERROR(__xludf.DUMMYFUNCTION("""COMPUTED_VALUE"""),"Real")</f>
        <v>Real</v>
      </c>
      <c r="G794" s="8">
        <f t="shared" si="1"/>
        <v>12</v>
      </c>
      <c r="H794" s="14">
        <f t="shared" si="2"/>
        <v>4</v>
      </c>
      <c r="I794" s="15">
        <f t="shared" si="3"/>
        <v>1</v>
      </c>
    </row>
    <row r="795">
      <c r="A795" s="8" t="str">
        <f>IFERROR(__xludf.DUMMYFUNCTION("IF('(INGESTA)Datos_consumo_datadis'!A795&lt;&gt;"""",SPLIT('(INGESTA)Datos_consumo_datadis'!A:A,"",""),"""")"),"ES0031408323131005HX0F")</f>
        <v>ES0031408323131005HX0F</v>
      </c>
      <c r="B795" s="12">
        <f>IFERROR(__xludf.DUMMYFUNCTION("""COMPUTED_VALUE"""),44899.0)</f>
        <v>44899</v>
      </c>
      <c r="C795" s="13">
        <f>IFERROR(__xludf.DUMMYFUNCTION("""COMPUTED_VALUE"""),0.08333333333333333)</f>
        <v>0.08333333333</v>
      </c>
      <c r="D795" s="8">
        <f>IFERROR(__xludf.DUMMYFUNCTION("""COMPUTED_VALUE"""),0.036)</f>
        <v>0.036</v>
      </c>
      <c r="E795" s="8" t="str">
        <f>IFERROR(__xludf.DUMMYFUNCTION("""COMPUTED_VALUE"""),"Real")</f>
        <v>Real</v>
      </c>
      <c r="G795" s="8">
        <f t="shared" si="1"/>
        <v>12</v>
      </c>
      <c r="H795" s="14">
        <f t="shared" si="2"/>
        <v>4</v>
      </c>
      <c r="I795" s="15">
        <f t="shared" si="3"/>
        <v>2</v>
      </c>
    </row>
    <row r="796">
      <c r="A796" s="8" t="str">
        <f>IFERROR(__xludf.DUMMYFUNCTION("IF('(INGESTA)Datos_consumo_datadis'!A796&lt;&gt;"""",SPLIT('(INGESTA)Datos_consumo_datadis'!A:A,"",""),"""")"),"ES0031408323131005HX0F")</f>
        <v>ES0031408323131005HX0F</v>
      </c>
      <c r="B796" s="12">
        <f>IFERROR(__xludf.DUMMYFUNCTION("""COMPUTED_VALUE"""),44899.0)</f>
        <v>44899</v>
      </c>
      <c r="C796" s="13">
        <f>IFERROR(__xludf.DUMMYFUNCTION("""COMPUTED_VALUE"""),0.125)</f>
        <v>0.125</v>
      </c>
      <c r="D796" s="8">
        <f>IFERROR(__xludf.DUMMYFUNCTION("""COMPUTED_VALUE"""),0.099)</f>
        <v>0.099</v>
      </c>
      <c r="E796" s="8" t="str">
        <f>IFERROR(__xludf.DUMMYFUNCTION("""COMPUTED_VALUE"""),"Real")</f>
        <v>Real</v>
      </c>
      <c r="G796" s="8">
        <f t="shared" si="1"/>
        <v>12</v>
      </c>
      <c r="H796" s="14">
        <f t="shared" si="2"/>
        <v>4</v>
      </c>
      <c r="I796" s="15">
        <f t="shared" si="3"/>
        <v>3</v>
      </c>
    </row>
    <row r="797">
      <c r="A797" s="8" t="str">
        <f>IFERROR(__xludf.DUMMYFUNCTION("IF('(INGESTA)Datos_consumo_datadis'!A797&lt;&gt;"""",SPLIT('(INGESTA)Datos_consumo_datadis'!A:A,"",""),"""")"),"ES0031408323131005HX0F")</f>
        <v>ES0031408323131005HX0F</v>
      </c>
      <c r="B797" s="12">
        <f>IFERROR(__xludf.DUMMYFUNCTION("""COMPUTED_VALUE"""),44899.0)</f>
        <v>44899</v>
      </c>
      <c r="C797" s="13">
        <f>IFERROR(__xludf.DUMMYFUNCTION("""COMPUTED_VALUE"""),0.16666666666666666)</f>
        <v>0.1666666667</v>
      </c>
      <c r="D797" s="8">
        <f>IFERROR(__xludf.DUMMYFUNCTION("""COMPUTED_VALUE"""),0.057)</f>
        <v>0.057</v>
      </c>
      <c r="E797" s="8" t="str">
        <f>IFERROR(__xludf.DUMMYFUNCTION("""COMPUTED_VALUE"""),"Real")</f>
        <v>Real</v>
      </c>
      <c r="G797" s="8">
        <f t="shared" si="1"/>
        <v>12</v>
      </c>
      <c r="H797" s="14">
        <f t="shared" si="2"/>
        <v>4</v>
      </c>
      <c r="I797" s="15">
        <f t="shared" si="3"/>
        <v>4</v>
      </c>
    </row>
    <row r="798">
      <c r="A798" s="8" t="str">
        <f>IFERROR(__xludf.DUMMYFUNCTION("IF('(INGESTA)Datos_consumo_datadis'!A798&lt;&gt;"""",SPLIT('(INGESTA)Datos_consumo_datadis'!A:A,"",""),"""")"),"ES0031408323131005HX0F")</f>
        <v>ES0031408323131005HX0F</v>
      </c>
      <c r="B798" s="12">
        <f>IFERROR(__xludf.DUMMYFUNCTION("""COMPUTED_VALUE"""),44899.0)</f>
        <v>44899</v>
      </c>
      <c r="C798" s="13">
        <f>IFERROR(__xludf.DUMMYFUNCTION("""COMPUTED_VALUE"""),0.20833333333333334)</f>
        <v>0.2083333333</v>
      </c>
      <c r="D798" s="8">
        <f>IFERROR(__xludf.DUMMYFUNCTION("""COMPUTED_VALUE"""),0.395)</f>
        <v>0.395</v>
      </c>
      <c r="E798" s="8" t="str">
        <f>IFERROR(__xludf.DUMMYFUNCTION("""COMPUTED_VALUE"""),"Real")</f>
        <v>Real</v>
      </c>
      <c r="G798" s="8">
        <f t="shared" si="1"/>
        <v>12</v>
      </c>
      <c r="H798" s="14">
        <f t="shared" si="2"/>
        <v>4</v>
      </c>
      <c r="I798" s="15">
        <f t="shared" si="3"/>
        <v>5</v>
      </c>
    </row>
    <row r="799">
      <c r="A799" s="8" t="str">
        <f>IFERROR(__xludf.DUMMYFUNCTION("IF('(INGESTA)Datos_consumo_datadis'!A799&lt;&gt;"""",SPLIT('(INGESTA)Datos_consumo_datadis'!A:A,"",""),"""")"),"ES0031408323131005HX0F")</f>
        <v>ES0031408323131005HX0F</v>
      </c>
      <c r="B799" s="12">
        <f>IFERROR(__xludf.DUMMYFUNCTION("""COMPUTED_VALUE"""),44899.0)</f>
        <v>44899</v>
      </c>
      <c r="C799" s="13">
        <f>IFERROR(__xludf.DUMMYFUNCTION("""COMPUTED_VALUE"""),0.25)</f>
        <v>0.25</v>
      </c>
      <c r="D799" s="8">
        <f>IFERROR(__xludf.DUMMYFUNCTION("""COMPUTED_VALUE"""),0.065)</f>
        <v>0.065</v>
      </c>
      <c r="E799" s="8" t="str">
        <f>IFERROR(__xludf.DUMMYFUNCTION("""COMPUTED_VALUE"""),"Real")</f>
        <v>Real</v>
      </c>
      <c r="G799" s="8">
        <f t="shared" si="1"/>
        <v>12</v>
      </c>
      <c r="H799" s="14">
        <f t="shared" si="2"/>
        <v>4</v>
      </c>
      <c r="I799" s="15">
        <f t="shared" si="3"/>
        <v>6</v>
      </c>
    </row>
    <row r="800">
      <c r="A800" s="8" t="str">
        <f>IFERROR(__xludf.DUMMYFUNCTION("IF('(INGESTA)Datos_consumo_datadis'!A800&lt;&gt;"""",SPLIT('(INGESTA)Datos_consumo_datadis'!A:A,"",""),"""")"),"ES0031408323131005HX0F")</f>
        <v>ES0031408323131005HX0F</v>
      </c>
      <c r="B800" s="12">
        <f>IFERROR(__xludf.DUMMYFUNCTION("""COMPUTED_VALUE"""),44899.0)</f>
        <v>44899</v>
      </c>
      <c r="C800" s="13">
        <f>IFERROR(__xludf.DUMMYFUNCTION("""COMPUTED_VALUE"""),0.2916666666666667)</f>
        <v>0.2916666667</v>
      </c>
      <c r="D800" s="8">
        <f>IFERROR(__xludf.DUMMYFUNCTION("""COMPUTED_VALUE"""),0.024)</f>
        <v>0.024</v>
      </c>
      <c r="E800" s="8" t="str">
        <f>IFERROR(__xludf.DUMMYFUNCTION("""COMPUTED_VALUE"""),"Real")</f>
        <v>Real</v>
      </c>
      <c r="G800" s="8">
        <f t="shared" si="1"/>
        <v>12</v>
      </c>
      <c r="H800" s="14">
        <f t="shared" si="2"/>
        <v>4</v>
      </c>
      <c r="I800" s="15">
        <f t="shared" si="3"/>
        <v>7</v>
      </c>
    </row>
    <row r="801">
      <c r="A801" s="8" t="str">
        <f>IFERROR(__xludf.DUMMYFUNCTION("IF('(INGESTA)Datos_consumo_datadis'!A801&lt;&gt;"""",SPLIT('(INGESTA)Datos_consumo_datadis'!A:A,"",""),"""")"),"ES0031408323131005HX0F")</f>
        <v>ES0031408323131005HX0F</v>
      </c>
      <c r="B801" s="12">
        <f>IFERROR(__xludf.DUMMYFUNCTION("""COMPUTED_VALUE"""),44899.0)</f>
        <v>44899</v>
      </c>
      <c r="C801" s="13">
        <f>IFERROR(__xludf.DUMMYFUNCTION("""COMPUTED_VALUE"""),0.3333333333333333)</f>
        <v>0.3333333333</v>
      </c>
      <c r="D801" s="8">
        <f>IFERROR(__xludf.DUMMYFUNCTION("""COMPUTED_VALUE"""),0.07)</f>
        <v>0.07</v>
      </c>
      <c r="E801" s="8" t="str">
        <f>IFERROR(__xludf.DUMMYFUNCTION("""COMPUTED_VALUE"""),"Real")</f>
        <v>Real</v>
      </c>
      <c r="G801" s="8">
        <f t="shared" si="1"/>
        <v>12</v>
      </c>
      <c r="H801" s="14">
        <f t="shared" si="2"/>
        <v>4</v>
      </c>
      <c r="I801" s="15">
        <f t="shared" si="3"/>
        <v>8</v>
      </c>
    </row>
    <row r="802">
      <c r="A802" s="8" t="str">
        <f>IFERROR(__xludf.DUMMYFUNCTION("IF('(INGESTA)Datos_consumo_datadis'!A802&lt;&gt;"""",SPLIT('(INGESTA)Datos_consumo_datadis'!A:A,"",""),"""")"),"ES0031408323131005HX0F")</f>
        <v>ES0031408323131005HX0F</v>
      </c>
      <c r="B802" s="12">
        <f>IFERROR(__xludf.DUMMYFUNCTION("""COMPUTED_VALUE"""),44899.0)</f>
        <v>44899</v>
      </c>
      <c r="C802" s="13">
        <f>IFERROR(__xludf.DUMMYFUNCTION("""COMPUTED_VALUE"""),0.375)</f>
        <v>0.375</v>
      </c>
      <c r="D802" s="8">
        <f>IFERROR(__xludf.DUMMYFUNCTION("""COMPUTED_VALUE"""),0.043)</f>
        <v>0.043</v>
      </c>
      <c r="E802" s="8" t="str">
        <f>IFERROR(__xludf.DUMMYFUNCTION("""COMPUTED_VALUE"""),"Real")</f>
        <v>Real</v>
      </c>
      <c r="G802" s="8">
        <f t="shared" si="1"/>
        <v>12</v>
      </c>
      <c r="H802" s="14">
        <f t="shared" si="2"/>
        <v>4</v>
      </c>
      <c r="I802" s="15">
        <f t="shared" si="3"/>
        <v>9</v>
      </c>
    </row>
    <row r="803">
      <c r="A803" s="8" t="str">
        <f>IFERROR(__xludf.DUMMYFUNCTION("IF('(INGESTA)Datos_consumo_datadis'!A803&lt;&gt;"""",SPLIT('(INGESTA)Datos_consumo_datadis'!A:A,"",""),"""")"),"ES0031408323131005HX0F")</f>
        <v>ES0031408323131005HX0F</v>
      </c>
      <c r="B803" s="12">
        <f>IFERROR(__xludf.DUMMYFUNCTION("""COMPUTED_VALUE"""),44899.0)</f>
        <v>44899</v>
      </c>
      <c r="C803" s="13">
        <f>IFERROR(__xludf.DUMMYFUNCTION("""COMPUTED_VALUE"""),0.4166666666666667)</f>
        <v>0.4166666667</v>
      </c>
      <c r="D803" s="8">
        <f>IFERROR(__xludf.DUMMYFUNCTION("""COMPUTED_VALUE"""),0.051)</f>
        <v>0.051</v>
      </c>
      <c r="E803" s="8" t="str">
        <f>IFERROR(__xludf.DUMMYFUNCTION("""COMPUTED_VALUE"""),"Real")</f>
        <v>Real</v>
      </c>
      <c r="G803" s="8">
        <f t="shared" si="1"/>
        <v>12</v>
      </c>
      <c r="H803" s="14">
        <f t="shared" si="2"/>
        <v>4</v>
      </c>
      <c r="I803" s="15">
        <f t="shared" si="3"/>
        <v>10</v>
      </c>
    </row>
    <row r="804">
      <c r="A804" s="8" t="str">
        <f>IFERROR(__xludf.DUMMYFUNCTION("IF('(INGESTA)Datos_consumo_datadis'!A804&lt;&gt;"""",SPLIT('(INGESTA)Datos_consumo_datadis'!A:A,"",""),"""")"),"ES0031408323131005HX0F")</f>
        <v>ES0031408323131005HX0F</v>
      </c>
      <c r="B804" s="12">
        <f>IFERROR(__xludf.DUMMYFUNCTION("""COMPUTED_VALUE"""),44899.0)</f>
        <v>44899</v>
      </c>
      <c r="C804" s="13">
        <f>IFERROR(__xludf.DUMMYFUNCTION("""COMPUTED_VALUE"""),0.4583333333333333)</f>
        <v>0.4583333333</v>
      </c>
      <c r="D804" s="8">
        <f>IFERROR(__xludf.DUMMYFUNCTION("""COMPUTED_VALUE"""),0.419)</f>
        <v>0.419</v>
      </c>
      <c r="E804" s="8" t="str">
        <f>IFERROR(__xludf.DUMMYFUNCTION("""COMPUTED_VALUE"""),"Real")</f>
        <v>Real</v>
      </c>
      <c r="G804" s="8">
        <f t="shared" si="1"/>
        <v>12</v>
      </c>
      <c r="H804" s="14">
        <f t="shared" si="2"/>
        <v>4</v>
      </c>
      <c r="I804" s="15">
        <f t="shared" si="3"/>
        <v>11</v>
      </c>
    </row>
    <row r="805">
      <c r="A805" s="8" t="str">
        <f>IFERROR(__xludf.DUMMYFUNCTION("IF('(INGESTA)Datos_consumo_datadis'!A805&lt;&gt;"""",SPLIT('(INGESTA)Datos_consumo_datadis'!A:A,"",""),"""")"),"ES0031408323131005HX0F")</f>
        <v>ES0031408323131005HX0F</v>
      </c>
      <c r="B805" s="12">
        <f>IFERROR(__xludf.DUMMYFUNCTION("""COMPUTED_VALUE"""),44899.0)</f>
        <v>44899</v>
      </c>
      <c r="C805" s="13">
        <f>IFERROR(__xludf.DUMMYFUNCTION("""COMPUTED_VALUE"""),0.5)</f>
        <v>0.5</v>
      </c>
      <c r="D805" s="8">
        <f>IFERROR(__xludf.DUMMYFUNCTION("""COMPUTED_VALUE"""),0.017)</f>
        <v>0.017</v>
      </c>
      <c r="E805" s="8" t="str">
        <f>IFERROR(__xludf.DUMMYFUNCTION("""COMPUTED_VALUE"""),"Real")</f>
        <v>Real</v>
      </c>
      <c r="G805" s="8">
        <f t="shared" si="1"/>
        <v>12</v>
      </c>
      <c r="H805" s="14">
        <f t="shared" si="2"/>
        <v>4</v>
      </c>
      <c r="I805" s="15">
        <f t="shared" si="3"/>
        <v>12</v>
      </c>
    </row>
    <row r="806">
      <c r="A806" s="8" t="str">
        <f>IFERROR(__xludf.DUMMYFUNCTION("IF('(INGESTA)Datos_consumo_datadis'!A806&lt;&gt;"""",SPLIT('(INGESTA)Datos_consumo_datadis'!A:A,"",""),"""")"),"ES0031408323131005HX0F")</f>
        <v>ES0031408323131005HX0F</v>
      </c>
      <c r="B806" s="12">
        <f>IFERROR(__xludf.DUMMYFUNCTION("""COMPUTED_VALUE"""),44899.0)</f>
        <v>44899</v>
      </c>
      <c r="C806" s="13">
        <f>IFERROR(__xludf.DUMMYFUNCTION("""COMPUTED_VALUE"""),0.5416666666666666)</f>
        <v>0.5416666667</v>
      </c>
      <c r="D806" s="8">
        <f>IFERROR(__xludf.DUMMYFUNCTION("""COMPUTED_VALUE"""),0.073)</f>
        <v>0.073</v>
      </c>
      <c r="E806" s="8" t="str">
        <f>IFERROR(__xludf.DUMMYFUNCTION("""COMPUTED_VALUE"""),"Real")</f>
        <v>Real</v>
      </c>
      <c r="G806" s="8">
        <f t="shared" si="1"/>
        <v>12</v>
      </c>
      <c r="H806" s="14">
        <f t="shared" si="2"/>
        <v>4</v>
      </c>
      <c r="I806" s="15">
        <f t="shared" si="3"/>
        <v>13</v>
      </c>
    </row>
    <row r="807">
      <c r="A807" s="8" t="str">
        <f>IFERROR(__xludf.DUMMYFUNCTION("IF('(INGESTA)Datos_consumo_datadis'!A807&lt;&gt;"""",SPLIT('(INGESTA)Datos_consumo_datadis'!A:A,"",""),"""")"),"ES0031408323131005HX0F")</f>
        <v>ES0031408323131005HX0F</v>
      </c>
      <c r="B807" s="12">
        <f>IFERROR(__xludf.DUMMYFUNCTION("""COMPUTED_VALUE"""),44899.0)</f>
        <v>44899</v>
      </c>
      <c r="C807" s="13">
        <f>IFERROR(__xludf.DUMMYFUNCTION("""COMPUTED_VALUE"""),0.5833333333333334)</f>
        <v>0.5833333333</v>
      </c>
      <c r="D807" s="8">
        <f>IFERROR(__xludf.DUMMYFUNCTION("""COMPUTED_VALUE"""),0.162)</f>
        <v>0.162</v>
      </c>
      <c r="E807" s="8" t="str">
        <f>IFERROR(__xludf.DUMMYFUNCTION("""COMPUTED_VALUE"""),"Real")</f>
        <v>Real</v>
      </c>
      <c r="G807" s="8">
        <f t="shared" si="1"/>
        <v>12</v>
      </c>
      <c r="H807" s="14">
        <f t="shared" si="2"/>
        <v>4</v>
      </c>
      <c r="I807" s="15">
        <f t="shared" si="3"/>
        <v>14</v>
      </c>
    </row>
    <row r="808">
      <c r="A808" s="8" t="str">
        <f>IFERROR(__xludf.DUMMYFUNCTION("IF('(INGESTA)Datos_consumo_datadis'!A808&lt;&gt;"""",SPLIT('(INGESTA)Datos_consumo_datadis'!A:A,"",""),"""")"),"ES0031408323131005HX0F")</f>
        <v>ES0031408323131005HX0F</v>
      </c>
      <c r="B808" s="12">
        <f>IFERROR(__xludf.DUMMYFUNCTION("""COMPUTED_VALUE"""),44899.0)</f>
        <v>44899</v>
      </c>
      <c r="C808" s="13">
        <f>IFERROR(__xludf.DUMMYFUNCTION("""COMPUTED_VALUE"""),0.625)</f>
        <v>0.625</v>
      </c>
      <c r="D808" s="8">
        <f>IFERROR(__xludf.DUMMYFUNCTION("""COMPUTED_VALUE"""),0.143)</f>
        <v>0.143</v>
      </c>
      <c r="E808" s="8" t="str">
        <f>IFERROR(__xludf.DUMMYFUNCTION("""COMPUTED_VALUE"""),"Real")</f>
        <v>Real</v>
      </c>
      <c r="G808" s="8">
        <f t="shared" si="1"/>
        <v>12</v>
      </c>
      <c r="H808" s="14">
        <f t="shared" si="2"/>
        <v>4</v>
      </c>
      <c r="I808" s="15">
        <f t="shared" si="3"/>
        <v>15</v>
      </c>
    </row>
    <row r="809">
      <c r="A809" s="8" t="str">
        <f>IFERROR(__xludf.DUMMYFUNCTION("IF('(INGESTA)Datos_consumo_datadis'!A809&lt;&gt;"""",SPLIT('(INGESTA)Datos_consumo_datadis'!A:A,"",""),"""")"),"ES0031408323131005HX0F")</f>
        <v>ES0031408323131005HX0F</v>
      </c>
      <c r="B809" s="12">
        <f>IFERROR(__xludf.DUMMYFUNCTION("""COMPUTED_VALUE"""),44899.0)</f>
        <v>44899</v>
      </c>
      <c r="C809" s="13">
        <f>IFERROR(__xludf.DUMMYFUNCTION("""COMPUTED_VALUE"""),0.6666666666666666)</f>
        <v>0.6666666667</v>
      </c>
      <c r="D809" s="8">
        <f>IFERROR(__xludf.DUMMYFUNCTION("""COMPUTED_VALUE"""),1.761)</f>
        <v>1.761</v>
      </c>
      <c r="E809" s="8" t="str">
        <f>IFERROR(__xludf.DUMMYFUNCTION("""COMPUTED_VALUE"""),"Real")</f>
        <v>Real</v>
      </c>
      <c r="G809" s="8">
        <f t="shared" si="1"/>
        <v>12</v>
      </c>
      <c r="H809" s="14">
        <f t="shared" si="2"/>
        <v>4</v>
      </c>
      <c r="I809" s="15">
        <f t="shared" si="3"/>
        <v>16</v>
      </c>
    </row>
    <row r="810">
      <c r="A810" s="8" t="str">
        <f>IFERROR(__xludf.DUMMYFUNCTION("IF('(INGESTA)Datos_consumo_datadis'!A810&lt;&gt;"""",SPLIT('(INGESTA)Datos_consumo_datadis'!A:A,"",""),"""")"),"ES0031408323131005HX0F")</f>
        <v>ES0031408323131005HX0F</v>
      </c>
      <c r="B810" s="12">
        <f>IFERROR(__xludf.DUMMYFUNCTION("""COMPUTED_VALUE"""),44899.0)</f>
        <v>44899</v>
      </c>
      <c r="C810" s="13">
        <f>IFERROR(__xludf.DUMMYFUNCTION("""COMPUTED_VALUE"""),0.7083333333333334)</f>
        <v>0.7083333333</v>
      </c>
      <c r="D810" s="8">
        <f>IFERROR(__xludf.DUMMYFUNCTION("""COMPUTED_VALUE"""),1.527)</f>
        <v>1.527</v>
      </c>
      <c r="E810" s="8" t="str">
        <f>IFERROR(__xludf.DUMMYFUNCTION("""COMPUTED_VALUE"""),"Real")</f>
        <v>Real</v>
      </c>
      <c r="G810" s="8">
        <f t="shared" si="1"/>
        <v>12</v>
      </c>
      <c r="H810" s="14">
        <f t="shared" si="2"/>
        <v>4</v>
      </c>
      <c r="I810" s="15">
        <f t="shared" si="3"/>
        <v>17</v>
      </c>
    </row>
    <row r="811">
      <c r="A811" s="8" t="str">
        <f>IFERROR(__xludf.DUMMYFUNCTION("IF('(INGESTA)Datos_consumo_datadis'!A811&lt;&gt;"""",SPLIT('(INGESTA)Datos_consumo_datadis'!A:A,"",""),"""")"),"ES0031408323131005HX0F")</f>
        <v>ES0031408323131005HX0F</v>
      </c>
      <c r="B811" s="12">
        <f>IFERROR(__xludf.DUMMYFUNCTION("""COMPUTED_VALUE"""),44899.0)</f>
        <v>44899</v>
      </c>
      <c r="C811" s="13">
        <f>IFERROR(__xludf.DUMMYFUNCTION("""COMPUTED_VALUE"""),0.75)</f>
        <v>0.75</v>
      </c>
      <c r="D811" s="8">
        <f>IFERROR(__xludf.DUMMYFUNCTION("""COMPUTED_VALUE"""),2.873)</f>
        <v>2.873</v>
      </c>
      <c r="E811" s="8" t="str">
        <f>IFERROR(__xludf.DUMMYFUNCTION("""COMPUTED_VALUE"""),"Real")</f>
        <v>Real</v>
      </c>
      <c r="G811" s="8">
        <f t="shared" si="1"/>
        <v>12</v>
      </c>
      <c r="H811" s="14">
        <f t="shared" si="2"/>
        <v>4</v>
      </c>
      <c r="I811" s="15">
        <f t="shared" si="3"/>
        <v>18</v>
      </c>
    </row>
    <row r="812">
      <c r="A812" s="8" t="str">
        <f>IFERROR(__xludf.DUMMYFUNCTION("IF('(INGESTA)Datos_consumo_datadis'!A812&lt;&gt;"""",SPLIT('(INGESTA)Datos_consumo_datadis'!A:A,"",""),"""")"),"ES0031408323131005HX0F")</f>
        <v>ES0031408323131005HX0F</v>
      </c>
      <c r="B812" s="12">
        <f>IFERROR(__xludf.DUMMYFUNCTION("""COMPUTED_VALUE"""),44899.0)</f>
        <v>44899</v>
      </c>
      <c r="C812" s="13">
        <f>IFERROR(__xludf.DUMMYFUNCTION("""COMPUTED_VALUE"""),0.7916666666666666)</f>
        <v>0.7916666667</v>
      </c>
      <c r="D812" s="8">
        <f>IFERROR(__xludf.DUMMYFUNCTION("""COMPUTED_VALUE"""),2.689)</f>
        <v>2.689</v>
      </c>
      <c r="E812" s="8" t="str">
        <f>IFERROR(__xludf.DUMMYFUNCTION("""COMPUTED_VALUE"""),"Real")</f>
        <v>Real</v>
      </c>
      <c r="G812" s="8">
        <f t="shared" si="1"/>
        <v>12</v>
      </c>
      <c r="H812" s="14">
        <f t="shared" si="2"/>
        <v>4</v>
      </c>
      <c r="I812" s="15">
        <f t="shared" si="3"/>
        <v>19</v>
      </c>
    </row>
    <row r="813">
      <c r="A813" s="8" t="str">
        <f>IFERROR(__xludf.DUMMYFUNCTION("IF('(INGESTA)Datos_consumo_datadis'!A813&lt;&gt;"""",SPLIT('(INGESTA)Datos_consumo_datadis'!A:A,"",""),"""")"),"ES0031408323131005HX0F")</f>
        <v>ES0031408323131005HX0F</v>
      </c>
      <c r="B813" s="12">
        <f>IFERROR(__xludf.DUMMYFUNCTION("""COMPUTED_VALUE"""),44899.0)</f>
        <v>44899</v>
      </c>
      <c r="C813" s="13">
        <f>IFERROR(__xludf.DUMMYFUNCTION("""COMPUTED_VALUE"""),0.8333333333333334)</f>
        <v>0.8333333333</v>
      </c>
      <c r="D813" s="8">
        <f>IFERROR(__xludf.DUMMYFUNCTION("""COMPUTED_VALUE"""),0.099)</f>
        <v>0.099</v>
      </c>
      <c r="E813" s="8" t="str">
        <f>IFERROR(__xludf.DUMMYFUNCTION("""COMPUTED_VALUE"""),"Real")</f>
        <v>Real</v>
      </c>
      <c r="G813" s="8">
        <f t="shared" si="1"/>
        <v>12</v>
      </c>
      <c r="H813" s="14">
        <f t="shared" si="2"/>
        <v>4</v>
      </c>
      <c r="I813" s="15">
        <f t="shared" si="3"/>
        <v>20</v>
      </c>
    </row>
    <row r="814">
      <c r="A814" s="8" t="str">
        <f>IFERROR(__xludf.DUMMYFUNCTION("IF('(INGESTA)Datos_consumo_datadis'!A814&lt;&gt;"""",SPLIT('(INGESTA)Datos_consumo_datadis'!A:A,"",""),"""")"),"ES0031408323131005HX0F")</f>
        <v>ES0031408323131005HX0F</v>
      </c>
      <c r="B814" s="12">
        <f>IFERROR(__xludf.DUMMYFUNCTION("""COMPUTED_VALUE"""),44899.0)</f>
        <v>44899</v>
      </c>
      <c r="C814" s="13">
        <f>IFERROR(__xludf.DUMMYFUNCTION("""COMPUTED_VALUE"""),0.875)</f>
        <v>0.875</v>
      </c>
      <c r="D814" s="8">
        <f>IFERROR(__xludf.DUMMYFUNCTION("""COMPUTED_VALUE"""),1.687)</f>
        <v>1.687</v>
      </c>
      <c r="E814" s="8" t="str">
        <f>IFERROR(__xludf.DUMMYFUNCTION("""COMPUTED_VALUE"""),"Real")</f>
        <v>Real</v>
      </c>
      <c r="G814" s="8">
        <f t="shared" si="1"/>
        <v>12</v>
      </c>
      <c r="H814" s="14">
        <f t="shared" si="2"/>
        <v>4</v>
      </c>
      <c r="I814" s="15">
        <f t="shared" si="3"/>
        <v>21</v>
      </c>
    </row>
    <row r="815">
      <c r="A815" s="8" t="str">
        <f>IFERROR(__xludf.DUMMYFUNCTION("IF('(INGESTA)Datos_consumo_datadis'!A815&lt;&gt;"""",SPLIT('(INGESTA)Datos_consumo_datadis'!A:A,"",""),"""")"),"ES0031408323131005HX0F")</f>
        <v>ES0031408323131005HX0F</v>
      </c>
      <c r="B815" s="12">
        <f>IFERROR(__xludf.DUMMYFUNCTION("""COMPUTED_VALUE"""),44899.0)</f>
        <v>44899</v>
      </c>
      <c r="C815" s="13">
        <f>IFERROR(__xludf.DUMMYFUNCTION("""COMPUTED_VALUE"""),0.9166666666666666)</f>
        <v>0.9166666667</v>
      </c>
      <c r="D815" s="8">
        <f>IFERROR(__xludf.DUMMYFUNCTION("""COMPUTED_VALUE"""),2.092)</f>
        <v>2.092</v>
      </c>
      <c r="E815" s="8" t="str">
        <f>IFERROR(__xludf.DUMMYFUNCTION("""COMPUTED_VALUE"""),"Real")</f>
        <v>Real</v>
      </c>
      <c r="G815" s="8">
        <f t="shared" si="1"/>
        <v>12</v>
      </c>
      <c r="H815" s="14">
        <f t="shared" si="2"/>
        <v>4</v>
      </c>
      <c r="I815" s="15">
        <f t="shared" si="3"/>
        <v>22</v>
      </c>
    </row>
    <row r="816">
      <c r="A816" s="8" t="str">
        <f>IFERROR(__xludf.DUMMYFUNCTION("IF('(INGESTA)Datos_consumo_datadis'!A816&lt;&gt;"""",SPLIT('(INGESTA)Datos_consumo_datadis'!A:A,"",""),"""")"),"ES0031408323131005HX0F")</f>
        <v>ES0031408323131005HX0F</v>
      </c>
      <c r="B816" s="12">
        <f>IFERROR(__xludf.DUMMYFUNCTION("""COMPUTED_VALUE"""),44899.0)</f>
        <v>44899</v>
      </c>
      <c r="C816" s="13">
        <f>IFERROR(__xludf.DUMMYFUNCTION("""COMPUTED_VALUE"""),0.9583333333333334)</f>
        <v>0.9583333333</v>
      </c>
      <c r="D816" s="8">
        <f>IFERROR(__xludf.DUMMYFUNCTION("""COMPUTED_VALUE"""),2.924)</f>
        <v>2.924</v>
      </c>
      <c r="E816" s="8" t="str">
        <f>IFERROR(__xludf.DUMMYFUNCTION("""COMPUTED_VALUE"""),"Real")</f>
        <v>Real</v>
      </c>
      <c r="G816" s="8">
        <f t="shared" si="1"/>
        <v>12</v>
      </c>
      <c r="H816" s="14">
        <f t="shared" si="2"/>
        <v>4</v>
      </c>
      <c r="I816" s="15">
        <f t="shared" si="3"/>
        <v>23</v>
      </c>
    </row>
    <row r="817">
      <c r="A817" s="8" t="str">
        <f>IFERROR(__xludf.DUMMYFUNCTION("IF('(INGESTA)Datos_consumo_datadis'!A817&lt;&gt;"""",SPLIT('(INGESTA)Datos_consumo_datadis'!A:A,"",""),"""")"),"ES0031408323131005HX0F")</f>
        <v>ES0031408323131005HX0F</v>
      </c>
      <c r="B817" s="12">
        <f>IFERROR(__xludf.DUMMYFUNCTION("""COMPUTED_VALUE"""),44899.0)</f>
        <v>44899</v>
      </c>
      <c r="C817" s="16">
        <f>IFERROR(__xludf.DUMMYFUNCTION("""COMPUTED_VALUE"""),1.0)</f>
        <v>1</v>
      </c>
      <c r="D817" s="8">
        <f>IFERROR(__xludf.DUMMYFUNCTION("""COMPUTED_VALUE"""),0.994)</f>
        <v>0.994</v>
      </c>
      <c r="E817" s="8" t="str">
        <f>IFERROR(__xludf.DUMMYFUNCTION("""COMPUTED_VALUE"""),"Real")</f>
        <v>Real</v>
      </c>
      <c r="G817" s="8">
        <f t="shared" si="1"/>
        <v>12</v>
      </c>
      <c r="H817" s="14">
        <f t="shared" si="2"/>
        <v>4</v>
      </c>
      <c r="I817" s="15">
        <f t="shared" si="3"/>
        <v>0</v>
      </c>
    </row>
    <row r="818">
      <c r="A818" s="8" t="str">
        <f>IFERROR(__xludf.DUMMYFUNCTION("IF('(INGESTA)Datos_consumo_datadis'!A818&lt;&gt;"""",SPLIT('(INGESTA)Datos_consumo_datadis'!A:A,"",""),"""")"),"ES0031408323131005HX0F")</f>
        <v>ES0031408323131005HX0F</v>
      </c>
      <c r="B818" s="12">
        <f>IFERROR(__xludf.DUMMYFUNCTION("""COMPUTED_VALUE"""),44900.0)</f>
        <v>44900</v>
      </c>
      <c r="C818" s="13">
        <f>IFERROR(__xludf.DUMMYFUNCTION("""COMPUTED_VALUE"""),0.041666666666666664)</f>
        <v>0.04166666667</v>
      </c>
      <c r="D818" s="8">
        <f>IFERROR(__xludf.DUMMYFUNCTION("""COMPUTED_VALUE"""),0.253)</f>
        <v>0.253</v>
      </c>
      <c r="E818" s="8" t="str">
        <f>IFERROR(__xludf.DUMMYFUNCTION("""COMPUTED_VALUE"""),"Real")</f>
        <v>Real</v>
      </c>
      <c r="G818" s="8">
        <f t="shared" si="1"/>
        <v>12</v>
      </c>
      <c r="H818" s="14">
        <f t="shared" si="2"/>
        <v>5</v>
      </c>
      <c r="I818" s="15">
        <f t="shared" si="3"/>
        <v>1</v>
      </c>
    </row>
    <row r="819">
      <c r="A819" s="8" t="str">
        <f>IFERROR(__xludf.DUMMYFUNCTION("IF('(INGESTA)Datos_consumo_datadis'!A819&lt;&gt;"""",SPLIT('(INGESTA)Datos_consumo_datadis'!A:A,"",""),"""")"),"ES0031408323131005HX0F")</f>
        <v>ES0031408323131005HX0F</v>
      </c>
      <c r="B819" s="12">
        <f>IFERROR(__xludf.DUMMYFUNCTION("""COMPUTED_VALUE"""),44900.0)</f>
        <v>44900</v>
      </c>
      <c r="C819" s="13">
        <f>IFERROR(__xludf.DUMMYFUNCTION("""COMPUTED_VALUE"""),0.08333333333333333)</f>
        <v>0.08333333333</v>
      </c>
      <c r="D819" s="8">
        <f>IFERROR(__xludf.DUMMYFUNCTION("""COMPUTED_VALUE"""),0.316)</f>
        <v>0.316</v>
      </c>
      <c r="E819" s="8" t="str">
        <f>IFERROR(__xludf.DUMMYFUNCTION("""COMPUTED_VALUE"""),"Real")</f>
        <v>Real</v>
      </c>
      <c r="G819" s="8">
        <f t="shared" si="1"/>
        <v>12</v>
      </c>
      <c r="H819" s="14">
        <f t="shared" si="2"/>
        <v>5</v>
      </c>
      <c r="I819" s="15">
        <f t="shared" si="3"/>
        <v>2</v>
      </c>
    </row>
    <row r="820">
      <c r="A820" s="8" t="str">
        <f>IFERROR(__xludf.DUMMYFUNCTION("IF('(INGESTA)Datos_consumo_datadis'!A820&lt;&gt;"""",SPLIT('(INGESTA)Datos_consumo_datadis'!A:A,"",""),"""")"),"ES0031408323131005HX0F")</f>
        <v>ES0031408323131005HX0F</v>
      </c>
      <c r="B820" s="12">
        <f>IFERROR(__xludf.DUMMYFUNCTION("""COMPUTED_VALUE"""),44900.0)</f>
        <v>44900</v>
      </c>
      <c r="C820" s="13">
        <f>IFERROR(__xludf.DUMMYFUNCTION("""COMPUTED_VALUE"""),0.125)</f>
        <v>0.125</v>
      </c>
      <c r="D820" s="8">
        <f>IFERROR(__xludf.DUMMYFUNCTION("""COMPUTED_VALUE"""),0.319)</f>
        <v>0.319</v>
      </c>
      <c r="E820" s="8" t="str">
        <f>IFERROR(__xludf.DUMMYFUNCTION("""COMPUTED_VALUE"""),"Real")</f>
        <v>Real</v>
      </c>
      <c r="G820" s="8">
        <f t="shared" si="1"/>
        <v>12</v>
      </c>
      <c r="H820" s="14">
        <f t="shared" si="2"/>
        <v>5</v>
      </c>
      <c r="I820" s="15">
        <f t="shared" si="3"/>
        <v>3</v>
      </c>
    </row>
    <row r="821">
      <c r="A821" s="8" t="str">
        <f>IFERROR(__xludf.DUMMYFUNCTION("IF('(INGESTA)Datos_consumo_datadis'!A821&lt;&gt;"""",SPLIT('(INGESTA)Datos_consumo_datadis'!A:A,"",""),"""")"),"ES0031408323131005HX0F")</f>
        <v>ES0031408323131005HX0F</v>
      </c>
      <c r="B821" s="12">
        <f>IFERROR(__xludf.DUMMYFUNCTION("""COMPUTED_VALUE"""),44900.0)</f>
        <v>44900</v>
      </c>
      <c r="C821" s="13">
        <f>IFERROR(__xludf.DUMMYFUNCTION("""COMPUTED_VALUE"""),0.16666666666666666)</f>
        <v>0.1666666667</v>
      </c>
      <c r="D821" s="8">
        <f>IFERROR(__xludf.DUMMYFUNCTION("""COMPUTED_VALUE"""),0.549)</f>
        <v>0.549</v>
      </c>
      <c r="E821" s="8" t="str">
        <f>IFERROR(__xludf.DUMMYFUNCTION("""COMPUTED_VALUE"""),"Real")</f>
        <v>Real</v>
      </c>
      <c r="G821" s="8">
        <f t="shared" si="1"/>
        <v>12</v>
      </c>
      <c r="H821" s="14">
        <f t="shared" si="2"/>
        <v>5</v>
      </c>
      <c r="I821" s="15">
        <f t="shared" si="3"/>
        <v>4</v>
      </c>
    </row>
    <row r="822">
      <c r="A822" s="8" t="str">
        <f>IFERROR(__xludf.DUMMYFUNCTION("IF('(INGESTA)Datos_consumo_datadis'!A822&lt;&gt;"""",SPLIT('(INGESTA)Datos_consumo_datadis'!A:A,"",""),"""")"),"ES0031408323131005HX0F")</f>
        <v>ES0031408323131005HX0F</v>
      </c>
      <c r="B822" s="12">
        <f>IFERROR(__xludf.DUMMYFUNCTION("""COMPUTED_VALUE"""),44900.0)</f>
        <v>44900</v>
      </c>
      <c r="C822" s="13">
        <f>IFERROR(__xludf.DUMMYFUNCTION("""COMPUTED_VALUE"""),0.20833333333333334)</f>
        <v>0.2083333333</v>
      </c>
      <c r="D822" s="8">
        <f>IFERROR(__xludf.DUMMYFUNCTION("""COMPUTED_VALUE"""),0.435)</f>
        <v>0.435</v>
      </c>
      <c r="E822" s="8" t="str">
        <f>IFERROR(__xludf.DUMMYFUNCTION("""COMPUTED_VALUE"""),"Real")</f>
        <v>Real</v>
      </c>
      <c r="G822" s="8">
        <f t="shared" si="1"/>
        <v>12</v>
      </c>
      <c r="H822" s="14">
        <f t="shared" si="2"/>
        <v>5</v>
      </c>
      <c r="I822" s="15">
        <f t="shared" si="3"/>
        <v>5</v>
      </c>
    </row>
    <row r="823">
      <c r="A823" s="8" t="str">
        <f>IFERROR(__xludf.DUMMYFUNCTION("IF('(INGESTA)Datos_consumo_datadis'!A823&lt;&gt;"""",SPLIT('(INGESTA)Datos_consumo_datadis'!A:A,"",""),"""")"),"ES0031408323131005HX0F")</f>
        <v>ES0031408323131005HX0F</v>
      </c>
      <c r="B823" s="12">
        <f>IFERROR(__xludf.DUMMYFUNCTION("""COMPUTED_VALUE"""),44900.0)</f>
        <v>44900</v>
      </c>
      <c r="C823" s="13">
        <f>IFERROR(__xludf.DUMMYFUNCTION("""COMPUTED_VALUE"""),0.25)</f>
        <v>0.25</v>
      </c>
      <c r="D823" s="8">
        <f>IFERROR(__xludf.DUMMYFUNCTION("""COMPUTED_VALUE"""),0.377)</f>
        <v>0.377</v>
      </c>
      <c r="E823" s="8" t="str">
        <f>IFERROR(__xludf.DUMMYFUNCTION("""COMPUTED_VALUE"""),"Real")</f>
        <v>Real</v>
      </c>
      <c r="G823" s="8">
        <f t="shared" si="1"/>
        <v>12</v>
      </c>
      <c r="H823" s="14">
        <f t="shared" si="2"/>
        <v>5</v>
      </c>
      <c r="I823" s="15">
        <f t="shared" si="3"/>
        <v>6</v>
      </c>
    </row>
    <row r="824">
      <c r="A824" s="8" t="str">
        <f>IFERROR(__xludf.DUMMYFUNCTION("IF('(INGESTA)Datos_consumo_datadis'!A824&lt;&gt;"""",SPLIT('(INGESTA)Datos_consumo_datadis'!A:A,"",""),"""")"),"ES0031408323131005HX0F")</f>
        <v>ES0031408323131005HX0F</v>
      </c>
      <c r="B824" s="12">
        <f>IFERROR(__xludf.DUMMYFUNCTION("""COMPUTED_VALUE"""),44900.0)</f>
        <v>44900</v>
      </c>
      <c r="C824" s="13">
        <f>IFERROR(__xludf.DUMMYFUNCTION("""COMPUTED_VALUE"""),0.2916666666666667)</f>
        <v>0.2916666667</v>
      </c>
      <c r="D824" s="8">
        <f>IFERROR(__xludf.DUMMYFUNCTION("""COMPUTED_VALUE"""),0.37)</f>
        <v>0.37</v>
      </c>
      <c r="E824" s="8" t="str">
        <f>IFERROR(__xludf.DUMMYFUNCTION("""COMPUTED_VALUE"""),"Real")</f>
        <v>Real</v>
      </c>
      <c r="G824" s="8">
        <f t="shared" si="1"/>
        <v>12</v>
      </c>
      <c r="H824" s="14">
        <f t="shared" si="2"/>
        <v>5</v>
      </c>
      <c r="I824" s="15">
        <f t="shared" si="3"/>
        <v>7</v>
      </c>
    </row>
    <row r="825">
      <c r="A825" s="8" t="str">
        <f>IFERROR(__xludf.DUMMYFUNCTION("IF('(INGESTA)Datos_consumo_datadis'!A825&lt;&gt;"""",SPLIT('(INGESTA)Datos_consumo_datadis'!A:A,"",""),"""")"),"ES0031408323131005HX0F")</f>
        <v>ES0031408323131005HX0F</v>
      </c>
      <c r="B825" s="12">
        <f>IFERROR(__xludf.DUMMYFUNCTION("""COMPUTED_VALUE"""),44900.0)</f>
        <v>44900</v>
      </c>
      <c r="C825" s="13">
        <f>IFERROR(__xludf.DUMMYFUNCTION("""COMPUTED_VALUE"""),0.3333333333333333)</f>
        <v>0.3333333333</v>
      </c>
      <c r="D825" s="8">
        <f>IFERROR(__xludf.DUMMYFUNCTION("""COMPUTED_VALUE"""),0.476)</f>
        <v>0.476</v>
      </c>
      <c r="E825" s="8" t="str">
        <f>IFERROR(__xludf.DUMMYFUNCTION("""COMPUTED_VALUE"""),"Real")</f>
        <v>Real</v>
      </c>
      <c r="G825" s="8">
        <f t="shared" si="1"/>
        <v>12</v>
      </c>
      <c r="H825" s="14">
        <f t="shared" si="2"/>
        <v>5</v>
      </c>
      <c r="I825" s="15">
        <f t="shared" si="3"/>
        <v>8</v>
      </c>
    </row>
    <row r="826">
      <c r="A826" s="8" t="str">
        <f>IFERROR(__xludf.DUMMYFUNCTION("IF('(INGESTA)Datos_consumo_datadis'!A826&lt;&gt;"""",SPLIT('(INGESTA)Datos_consumo_datadis'!A:A,"",""),"""")"),"ES0031408323131005HX0F")</f>
        <v>ES0031408323131005HX0F</v>
      </c>
      <c r="B826" s="12">
        <f>IFERROR(__xludf.DUMMYFUNCTION("""COMPUTED_VALUE"""),44900.0)</f>
        <v>44900</v>
      </c>
      <c r="C826" s="13">
        <f>IFERROR(__xludf.DUMMYFUNCTION("""COMPUTED_VALUE"""),0.375)</f>
        <v>0.375</v>
      </c>
      <c r="D826" s="8">
        <f>IFERROR(__xludf.DUMMYFUNCTION("""COMPUTED_VALUE"""),0.625)</f>
        <v>0.625</v>
      </c>
      <c r="E826" s="8" t="str">
        <f>IFERROR(__xludf.DUMMYFUNCTION("""COMPUTED_VALUE"""),"Real")</f>
        <v>Real</v>
      </c>
      <c r="G826" s="8">
        <f t="shared" si="1"/>
        <v>12</v>
      </c>
      <c r="H826" s="14">
        <f t="shared" si="2"/>
        <v>5</v>
      </c>
      <c r="I826" s="15">
        <f t="shared" si="3"/>
        <v>9</v>
      </c>
    </row>
    <row r="827">
      <c r="A827" s="8" t="str">
        <f>IFERROR(__xludf.DUMMYFUNCTION("IF('(INGESTA)Datos_consumo_datadis'!A827&lt;&gt;"""",SPLIT('(INGESTA)Datos_consumo_datadis'!A:A,"",""),"""")"),"ES0031408323131005HX0F")</f>
        <v>ES0031408323131005HX0F</v>
      </c>
      <c r="B827" s="12">
        <f>IFERROR(__xludf.DUMMYFUNCTION("""COMPUTED_VALUE"""),44900.0)</f>
        <v>44900</v>
      </c>
      <c r="C827" s="13">
        <f>IFERROR(__xludf.DUMMYFUNCTION("""COMPUTED_VALUE"""),0.4166666666666667)</f>
        <v>0.4166666667</v>
      </c>
      <c r="D827" s="8">
        <f>IFERROR(__xludf.DUMMYFUNCTION("""COMPUTED_VALUE"""),0.06)</f>
        <v>0.06</v>
      </c>
      <c r="E827" s="8" t="str">
        <f>IFERROR(__xludf.DUMMYFUNCTION("""COMPUTED_VALUE"""),"Real")</f>
        <v>Real</v>
      </c>
      <c r="G827" s="8">
        <f t="shared" si="1"/>
        <v>12</v>
      </c>
      <c r="H827" s="14">
        <f t="shared" si="2"/>
        <v>5</v>
      </c>
      <c r="I827" s="15">
        <f t="shared" si="3"/>
        <v>10</v>
      </c>
    </row>
    <row r="828">
      <c r="A828" s="8" t="str">
        <f>IFERROR(__xludf.DUMMYFUNCTION("IF('(INGESTA)Datos_consumo_datadis'!A828&lt;&gt;"""",SPLIT('(INGESTA)Datos_consumo_datadis'!A:A,"",""),"""")"),"ES0031408323131005HX0F")</f>
        <v>ES0031408323131005HX0F</v>
      </c>
      <c r="B828" s="12">
        <f>IFERROR(__xludf.DUMMYFUNCTION("""COMPUTED_VALUE"""),44900.0)</f>
        <v>44900</v>
      </c>
      <c r="C828" s="13">
        <f>IFERROR(__xludf.DUMMYFUNCTION("""COMPUTED_VALUE"""),0.4583333333333333)</f>
        <v>0.4583333333</v>
      </c>
      <c r="D828" s="8">
        <f>IFERROR(__xludf.DUMMYFUNCTION("""COMPUTED_VALUE"""),1.062)</f>
        <v>1.062</v>
      </c>
      <c r="E828" s="8" t="str">
        <f>IFERROR(__xludf.DUMMYFUNCTION("""COMPUTED_VALUE"""),"Real")</f>
        <v>Real</v>
      </c>
      <c r="G828" s="8">
        <f t="shared" si="1"/>
        <v>12</v>
      </c>
      <c r="H828" s="14">
        <f t="shared" si="2"/>
        <v>5</v>
      </c>
      <c r="I828" s="15">
        <f t="shared" si="3"/>
        <v>11</v>
      </c>
    </row>
    <row r="829">
      <c r="A829" s="8" t="str">
        <f>IFERROR(__xludf.DUMMYFUNCTION("IF('(INGESTA)Datos_consumo_datadis'!A829&lt;&gt;"""",SPLIT('(INGESTA)Datos_consumo_datadis'!A:A,"",""),"""")"),"ES0031408323131005HX0F")</f>
        <v>ES0031408323131005HX0F</v>
      </c>
      <c r="B829" s="12">
        <f>IFERROR(__xludf.DUMMYFUNCTION("""COMPUTED_VALUE"""),44900.0)</f>
        <v>44900</v>
      </c>
      <c r="C829" s="13">
        <f>IFERROR(__xludf.DUMMYFUNCTION("""COMPUTED_VALUE"""),0.5)</f>
        <v>0.5</v>
      </c>
      <c r="D829" s="8">
        <f>IFERROR(__xludf.DUMMYFUNCTION("""COMPUTED_VALUE"""),0.392)</f>
        <v>0.392</v>
      </c>
      <c r="E829" s="8" t="str">
        <f>IFERROR(__xludf.DUMMYFUNCTION("""COMPUTED_VALUE"""),"Real")</f>
        <v>Real</v>
      </c>
      <c r="G829" s="8">
        <f t="shared" si="1"/>
        <v>12</v>
      </c>
      <c r="H829" s="14">
        <f t="shared" si="2"/>
        <v>5</v>
      </c>
      <c r="I829" s="15">
        <f t="shared" si="3"/>
        <v>12</v>
      </c>
    </row>
    <row r="830">
      <c r="A830" s="8" t="str">
        <f>IFERROR(__xludf.DUMMYFUNCTION("IF('(INGESTA)Datos_consumo_datadis'!A830&lt;&gt;"""",SPLIT('(INGESTA)Datos_consumo_datadis'!A:A,"",""),"""")"),"ES0031408323131005HX0F")</f>
        <v>ES0031408323131005HX0F</v>
      </c>
      <c r="B830" s="12">
        <f>IFERROR(__xludf.DUMMYFUNCTION("""COMPUTED_VALUE"""),44900.0)</f>
        <v>44900</v>
      </c>
      <c r="C830" s="13">
        <f>IFERROR(__xludf.DUMMYFUNCTION("""COMPUTED_VALUE"""),0.5416666666666666)</f>
        <v>0.5416666667</v>
      </c>
      <c r="D830" s="8">
        <f>IFERROR(__xludf.DUMMYFUNCTION("""COMPUTED_VALUE"""),0.417)</f>
        <v>0.417</v>
      </c>
      <c r="E830" s="8" t="str">
        <f>IFERROR(__xludf.DUMMYFUNCTION("""COMPUTED_VALUE"""),"Real")</f>
        <v>Real</v>
      </c>
      <c r="G830" s="8">
        <f t="shared" si="1"/>
        <v>12</v>
      </c>
      <c r="H830" s="14">
        <f t="shared" si="2"/>
        <v>5</v>
      </c>
      <c r="I830" s="15">
        <f t="shared" si="3"/>
        <v>13</v>
      </c>
    </row>
    <row r="831">
      <c r="A831" s="8" t="str">
        <f>IFERROR(__xludf.DUMMYFUNCTION("IF('(INGESTA)Datos_consumo_datadis'!A831&lt;&gt;"""",SPLIT('(INGESTA)Datos_consumo_datadis'!A:A,"",""),"""")"),"ES0031408323131005HX0F")</f>
        <v>ES0031408323131005HX0F</v>
      </c>
      <c r="B831" s="12">
        <f>IFERROR(__xludf.DUMMYFUNCTION("""COMPUTED_VALUE"""),44900.0)</f>
        <v>44900</v>
      </c>
      <c r="C831" s="13">
        <f>IFERROR(__xludf.DUMMYFUNCTION("""COMPUTED_VALUE"""),0.5833333333333334)</f>
        <v>0.5833333333</v>
      </c>
      <c r="D831" s="8">
        <f>IFERROR(__xludf.DUMMYFUNCTION("""COMPUTED_VALUE"""),0.506)</f>
        <v>0.506</v>
      </c>
      <c r="E831" s="8" t="str">
        <f>IFERROR(__xludf.DUMMYFUNCTION("""COMPUTED_VALUE"""),"Real")</f>
        <v>Real</v>
      </c>
      <c r="G831" s="8">
        <f t="shared" si="1"/>
        <v>12</v>
      </c>
      <c r="H831" s="14">
        <f t="shared" si="2"/>
        <v>5</v>
      </c>
      <c r="I831" s="15">
        <f t="shared" si="3"/>
        <v>14</v>
      </c>
    </row>
    <row r="832">
      <c r="A832" s="8" t="str">
        <f>IFERROR(__xludf.DUMMYFUNCTION("IF('(INGESTA)Datos_consumo_datadis'!A832&lt;&gt;"""",SPLIT('(INGESTA)Datos_consumo_datadis'!A:A,"",""),"""")"),"ES0031408323131005HX0F")</f>
        <v>ES0031408323131005HX0F</v>
      </c>
      <c r="B832" s="12">
        <f>IFERROR(__xludf.DUMMYFUNCTION("""COMPUTED_VALUE"""),44900.0)</f>
        <v>44900</v>
      </c>
      <c r="C832" s="13">
        <f>IFERROR(__xludf.DUMMYFUNCTION("""COMPUTED_VALUE"""),0.625)</f>
        <v>0.625</v>
      </c>
      <c r="D832" s="8">
        <f>IFERROR(__xludf.DUMMYFUNCTION("""COMPUTED_VALUE"""),0.953)</f>
        <v>0.953</v>
      </c>
      <c r="E832" s="8" t="str">
        <f>IFERROR(__xludf.DUMMYFUNCTION("""COMPUTED_VALUE"""),"Real")</f>
        <v>Real</v>
      </c>
      <c r="G832" s="8">
        <f t="shared" si="1"/>
        <v>12</v>
      </c>
      <c r="H832" s="14">
        <f t="shared" si="2"/>
        <v>5</v>
      </c>
      <c r="I832" s="15">
        <f t="shared" si="3"/>
        <v>15</v>
      </c>
    </row>
    <row r="833">
      <c r="A833" s="8" t="str">
        <f>IFERROR(__xludf.DUMMYFUNCTION("IF('(INGESTA)Datos_consumo_datadis'!A833&lt;&gt;"""",SPLIT('(INGESTA)Datos_consumo_datadis'!A:A,"",""),"""")"),"ES0031408323131005HX0F")</f>
        <v>ES0031408323131005HX0F</v>
      </c>
      <c r="B833" s="12">
        <f>IFERROR(__xludf.DUMMYFUNCTION("""COMPUTED_VALUE"""),44900.0)</f>
        <v>44900</v>
      </c>
      <c r="C833" s="13">
        <f>IFERROR(__xludf.DUMMYFUNCTION("""COMPUTED_VALUE"""),0.6666666666666666)</f>
        <v>0.6666666667</v>
      </c>
      <c r="D833" s="8">
        <f>IFERROR(__xludf.DUMMYFUNCTION("""COMPUTED_VALUE"""),0.445)</f>
        <v>0.445</v>
      </c>
      <c r="E833" s="8" t="str">
        <f>IFERROR(__xludf.DUMMYFUNCTION("""COMPUTED_VALUE"""),"Real")</f>
        <v>Real</v>
      </c>
      <c r="G833" s="8">
        <f t="shared" si="1"/>
        <v>12</v>
      </c>
      <c r="H833" s="14">
        <f t="shared" si="2"/>
        <v>5</v>
      </c>
      <c r="I833" s="15">
        <f t="shared" si="3"/>
        <v>16</v>
      </c>
    </row>
    <row r="834">
      <c r="A834" s="8" t="str">
        <f>IFERROR(__xludf.DUMMYFUNCTION("IF('(INGESTA)Datos_consumo_datadis'!A834&lt;&gt;"""",SPLIT('(INGESTA)Datos_consumo_datadis'!A:A,"",""),"""")"),"ES0031408323131005HX0F")</f>
        <v>ES0031408323131005HX0F</v>
      </c>
      <c r="B834" s="12">
        <f>IFERROR(__xludf.DUMMYFUNCTION("""COMPUTED_VALUE"""),44900.0)</f>
        <v>44900</v>
      </c>
      <c r="C834" s="13">
        <f>IFERROR(__xludf.DUMMYFUNCTION("""COMPUTED_VALUE"""),0.7083333333333334)</f>
        <v>0.7083333333</v>
      </c>
      <c r="D834" s="8">
        <f>IFERROR(__xludf.DUMMYFUNCTION("""COMPUTED_VALUE"""),0.052)</f>
        <v>0.052</v>
      </c>
      <c r="E834" s="8" t="str">
        <f>IFERROR(__xludf.DUMMYFUNCTION("""COMPUTED_VALUE"""),"Real")</f>
        <v>Real</v>
      </c>
      <c r="G834" s="8">
        <f t="shared" si="1"/>
        <v>12</v>
      </c>
      <c r="H834" s="14">
        <f t="shared" si="2"/>
        <v>5</v>
      </c>
      <c r="I834" s="15">
        <f t="shared" si="3"/>
        <v>17</v>
      </c>
    </row>
    <row r="835">
      <c r="A835" s="8" t="str">
        <f>IFERROR(__xludf.DUMMYFUNCTION("IF('(INGESTA)Datos_consumo_datadis'!A835&lt;&gt;"""",SPLIT('(INGESTA)Datos_consumo_datadis'!A:A,"",""),"""")"),"ES0031408323131005HX0F")</f>
        <v>ES0031408323131005HX0F</v>
      </c>
      <c r="B835" s="12">
        <f>IFERROR(__xludf.DUMMYFUNCTION("""COMPUTED_VALUE"""),44900.0)</f>
        <v>44900</v>
      </c>
      <c r="C835" s="13">
        <f>IFERROR(__xludf.DUMMYFUNCTION("""COMPUTED_VALUE"""),0.75)</f>
        <v>0.75</v>
      </c>
      <c r="D835" s="8">
        <f>IFERROR(__xludf.DUMMYFUNCTION("""COMPUTED_VALUE"""),0.032)</f>
        <v>0.032</v>
      </c>
      <c r="E835" s="8" t="str">
        <f>IFERROR(__xludf.DUMMYFUNCTION("""COMPUTED_VALUE"""),"Real")</f>
        <v>Real</v>
      </c>
      <c r="G835" s="8">
        <f t="shared" si="1"/>
        <v>12</v>
      </c>
      <c r="H835" s="14">
        <f t="shared" si="2"/>
        <v>5</v>
      </c>
      <c r="I835" s="15">
        <f t="shared" si="3"/>
        <v>18</v>
      </c>
    </row>
    <row r="836">
      <c r="A836" s="8" t="str">
        <f>IFERROR(__xludf.DUMMYFUNCTION("IF('(INGESTA)Datos_consumo_datadis'!A836&lt;&gt;"""",SPLIT('(INGESTA)Datos_consumo_datadis'!A:A,"",""),"""")"),"ES0031408323131005HX0F")</f>
        <v>ES0031408323131005HX0F</v>
      </c>
      <c r="B836" s="12">
        <f>IFERROR(__xludf.DUMMYFUNCTION("""COMPUTED_VALUE"""),44900.0)</f>
        <v>44900</v>
      </c>
      <c r="C836" s="13">
        <f>IFERROR(__xludf.DUMMYFUNCTION("""COMPUTED_VALUE"""),0.7916666666666666)</f>
        <v>0.7916666667</v>
      </c>
      <c r="D836" s="8">
        <f>IFERROR(__xludf.DUMMYFUNCTION("""COMPUTED_VALUE"""),0.057)</f>
        <v>0.057</v>
      </c>
      <c r="E836" s="8" t="str">
        <f>IFERROR(__xludf.DUMMYFUNCTION("""COMPUTED_VALUE"""),"Real")</f>
        <v>Real</v>
      </c>
      <c r="G836" s="8">
        <f t="shared" si="1"/>
        <v>12</v>
      </c>
      <c r="H836" s="14">
        <f t="shared" si="2"/>
        <v>5</v>
      </c>
      <c r="I836" s="15">
        <f t="shared" si="3"/>
        <v>19</v>
      </c>
    </row>
    <row r="837">
      <c r="A837" s="8" t="str">
        <f>IFERROR(__xludf.DUMMYFUNCTION("IF('(INGESTA)Datos_consumo_datadis'!A837&lt;&gt;"""",SPLIT('(INGESTA)Datos_consumo_datadis'!A:A,"",""),"""")"),"ES0031408323131005HX0F")</f>
        <v>ES0031408323131005HX0F</v>
      </c>
      <c r="B837" s="12">
        <f>IFERROR(__xludf.DUMMYFUNCTION("""COMPUTED_VALUE"""),44900.0)</f>
        <v>44900</v>
      </c>
      <c r="C837" s="13">
        <f>IFERROR(__xludf.DUMMYFUNCTION("""COMPUTED_VALUE"""),0.8333333333333334)</f>
        <v>0.8333333333</v>
      </c>
      <c r="D837" s="8">
        <f>IFERROR(__xludf.DUMMYFUNCTION("""COMPUTED_VALUE"""),0.338)</f>
        <v>0.338</v>
      </c>
      <c r="E837" s="8" t="str">
        <f>IFERROR(__xludf.DUMMYFUNCTION("""COMPUTED_VALUE"""),"Real")</f>
        <v>Real</v>
      </c>
      <c r="G837" s="8">
        <f t="shared" si="1"/>
        <v>12</v>
      </c>
      <c r="H837" s="14">
        <f t="shared" si="2"/>
        <v>5</v>
      </c>
      <c r="I837" s="15">
        <f t="shared" si="3"/>
        <v>20</v>
      </c>
    </row>
    <row r="838">
      <c r="A838" s="8" t="str">
        <f>IFERROR(__xludf.DUMMYFUNCTION("IF('(INGESTA)Datos_consumo_datadis'!A838&lt;&gt;"""",SPLIT('(INGESTA)Datos_consumo_datadis'!A:A,"",""),"""")"),"ES0031408323131005HX0F")</f>
        <v>ES0031408323131005HX0F</v>
      </c>
      <c r="B838" s="12">
        <f>IFERROR(__xludf.DUMMYFUNCTION("""COMPUTED_VALUE"""),44900.0)</f>
        <v>44900</v>
      </c>
      <c r="C838" s="13">
        <f>IFERROR(__xludf.DUMMYFUNCTION("""COMPUTED_VALUE"""),0.875)</f>
        <v>0.875</v>
      </c>
      <c r="D838" s="8">
        <f>IFERROR(__xludf.DUMMYFUNCTION("""COMPUTED_VALUE"""),1.648)</f>
        <v>1.648</v>
      </c>
      <c r="E838" s="8" t="str">
        <f>IFERROR(__xludf.DUMMYFUNCTION("""COMPUTED_VALUE"""),"Real")</f>
        <v>Real</v>
      </c>
      <c r="G838" s="8">
        <f t="shared" si="1"/>
        <v>12</v>
      </c>
      <c r="H838" s="14">
        <f t="shared" si="2"/>
        <v>5</v>
      </c>
      <c r="I838" s="15">
        <f t="shared" si="3"/>
        <v>21</v>
      </c>
    </row>
    <row r="839">
      <c r="A839" s="8" t="str">
        <f>IFERROR(__xludf.DUMMYFUNCTION("IF('(INGESTA)Datos_consumo_datadis'!A839&lt;&gt;"""",SPLIT('(INGESTA)Datos_consumo_datadis'!A:A,"",""),"""")"),"ES0031408323131005HX0F")</f>
        <v>ES0031408323131005HX0F</v>
      </c>
      <c r="B839" s="12">
        <f>IFERROR(__xludf.DUMMYFUNCTION("""COMPUTED_VALUE"""),44900.0)</f>
        <v>44900</v>
      </c>
      <c r="C839" s="13">
        <f>IFERROR(__xludf.DUMMYFUNCTION("""COMPUTED_VALUE"""),0.9166666666666666)</f>
        <v>0.9166666667</v>
      </c>
      <c r="D839" s="8">
        <f>IFERROR(__xludf.DUMMYFUNCTION("""COMPUTED_VALUE"""),3.055)</f>
        <v>3.055</v>
      </c>
      <c r="E839" s="8" t="str">
        <f>IFERROR(__xludf.DUMMYFUNCTION("""COMPUTED_VALUE"""),"Real")</f>
        <v>Real</v>
      </c>
      <c r="G839" s="8">
        <f t="shared" si="1"/>
        <v>12</v>
      </c>
      <c r="H839" s="14">
        <f t="shared" si="2"/>
        <v>5</v>
      </c>
      <c r="I839" s="15">
        <f t="shared" si="3"/>
        <v>22</v>
      </c>
    </row>
    <row r="840">
      <c r="A840" s="8" t="str">
        <f>IFERROR(__xludf.DUMMYFUNCTION("IF('(INGESTA)Datos_consumo_datadis'!A840&lt;&gt;"""",SPLIT('(INGESTA)Datos_consumo_datadis'!A:A,"",""),"""")"),"ES0031408323131005HX0F")</f>
        <v>ES0031408323131005HX0F</v>
      </c>
      <c r="B840" s="12">
        <f>IFERROR(__xludf.DUMMYFUNCTION("""COMPUTED_VALUE"""),44900.0)</f>
        <v>44900</v>
      </c>
      <c r="C840" s="13">
        <f>IFERROR(__xludf.DUMMYFUNCTION("""COMPUTED_VALUE"""),0.9583333333333334)</f>
        <v>0.9583333333</v>
      </c>
      <c r="D840" s="8">
        <f>IFERROR(__xludf.DUMMYFUNCTION("""COMPUTED_VALUE"""),3.128)</f>
        <v>3.128</v>
      </c>
      <c r="E840" s="8" t="str">
        <f>IFERROR(__xludf.DUMMYFUNCTION("""COMPUTED_VALUE"""),"Real")</f>
        <v>Real</v>
      </c>
      <c r="G840" s="8">
        <f t="shared" si="1"/>
        <v>12</v>
      </c>
      <c r="H840" s="14">
        <f t="shared" si="2"/>
        <v>5</v>
      </c>
      <c r="I840" s="15">
        <f t="shared" si="3"/>
        <v>23</v>
      </c>
    </row>
    <row r="841">
      <c r="A841" s="8" t="str">
        <f>IFERROR(__xludf.DUMMYFUNCTION("IF('(INGESTA)Datos_consumo_datadis'!A841&lt;&gt;"""",SPLIT('(INGESTA)Datos_consumo_datadis'!A:A,"",""),"""")"),"ES0031408323131005HX0F")</f>
        <v>ES0031408323131005HX0F</v>
      </c>
      <c r="B841" s="12">
        <f>IFERROR(__xludf.DUMMYFUNCTION("""COMPUTED_VALUE"""),44900.0)</f>
        <v>44900</v>
      </c>
      <c r="C841" s="16">
        <f>IFERROR(__xludf.DUMMYFUNCTION("""COMPUTED_VALUE"""),1.0)</f>
        <v>1</v>
      </c>
      <c r="D841" s="8">
        <f>IFERROR(__xludf.DUMMYFUNCTION("""COMPUTED_VALUE"""),2.049)</f>
        <v>2.049</v>
      </c>
      <c r="E841" s="8" t="str">
        <f>IFERROR(__xludf.DUMMYFUNCTION("""COMPUTED_VALUE"""),"Real")</f>
        <v>Real</v>
      </c>
      <c r="G841" s="8">
        <f t="shared" si="1"/>
        <v>12</v>
      </c>
      <c r="H841" s="14">
        <f t="shared" si="2"/>
        <v>5</v>
      </c>
      <c r="I841" s="15">
        <f t="shared" si="3"/>
        <v>0</v>
      </c>
    </row>
    <row r="842">
      <c r="A842" s="8" t="str">
        <f>IFERROR(__xludf.DUMMYFUNCTION("IF('(INGESTA)Datos_consumo_datadis'!A842&lt;&gt;"""",SPLIT('(INGESTA)Datos_consumo_datadis'!A:A,"",""),"""")"),"ES0031408323131005HX0F")</f>
        <v>ES0031408323131005HX0F</v>
      </c>
      <c r="B842" s="12">
        <f>IFERROR(__xludf.DUMMYFUNCTION("""COMPUTED_VALUE"""),44901.0)</f>
        <v>44901</v>
      </c>
      <c r="C842" s="13">
        <f>IFERROR(__xludf.DUMMYFUNCTION("""COMPUTED_VALUE"""),0.041666666666666664)</f>
        <v>0.04166666667</v>
      </c>
      <c r="D842" s="8">
        <f>IFERROR(__xludf.DUMMYFUNCTION("""COMPUTED_VALUE"""),1.676)</f>
        <v>1.676</v>
      </c>
      <c r="E842" s="8" t="str">
        <f>IFERROR(__xludf.DUMMYFUNCTION("""COMPUTED_VALUE"""),"Real")</f>
        <v>Real</v>
      </c>
      <c r="G842" s="8">
        <f t="shared" si="1"/>
        <v>12</v>
      </c>
      <c r="H842" s="14">
        <f t="shared" si="2"/>
        <v>6</v>
      </c>
      <c r="I842" s="15">
        <f t="shared" si="3"/>
        <v>1</v>
      </c>
    </row>
    <row r="843">
      <c r="A843" s="8" t="str">
        <f>IFERROR(__xludf.DUMMYFUNCTION("IF('(INGESTA)Datos_consumo_datadis'!A843&lt;&gt;"""",SPLIT('(INGESTA)Datos_consumo_datadis'!A:A,"",""),"""")"),"ES0031408323131005HX0F")</f>
        <v>ES0031408323131005HX0F</v>
      </c>
      <c r="B843" s="12">
        <f>IFERROR(__xludf.DUMMYFUNCTION("""COMPUTED_VALUE"""),44901.0)</f>
        <v>44901</v>
      </c>
      <c r="C843" s="13">
        <f>IFERROR(__xludf.DUMMYFUNCTION("""COMPUTED_VALUE"""),0.08333333333333333)</f>
        <v>0.08333333333</v>
      </c>
      <c r="D843" s="8">
        <f>IFERROR(__xludf.DUMMYFUNCTION("""COMPUTED_VALUE"""),1.523)</f>
        <v>1.523</v>
      </c>
      <c r="E843" s="8" t="str">
        <f>IFERROR(__xludf.DUMMYFUNCTION("""COMPUTED_VALUE"""),"Real")</f>
        <v>Real</v>
      </c>
      <c r="G843" s="8">
        <f t="shared" si="1"/>
        <v>12</v>
      </c>
      <c r="H843" s="14">
        <f t="shared" si="2"/>
        <v>6</v>
      </c>
      <c r="I843" s="15">
        <f t="shared" si="3"/>
        <v>2</v>
      </c>
    </row>
    <row r="844">
      <c r="A844" s="8" t="str">
        <f>IFERROR(__xludf.DUMMYFUNCTION("IF('(INGESTA)Datos_consumo_datadis'!A844&lt;&gt;"""",SPLIT('(INGESTA)Datos_consumo_datadis'!A:A,"",""),"""")"),"ES0031408323131005HX0F")</f>
        <v>ES0031408323131005HX0F</v>
      </c>
      <c r="B844" s="12">
        <f>IFERROR(__xludf.DUMMYFUNCTION("""COMPUTED_VALUE"""),44901.0)</f>
        <v>44901</v>
      </c>
      <c r="C844" s="13">
        <f>IFERROR(__xludf.DUMMYFUNCTION("""COMPUTED_VALUE"""),0.125)</f>
        <v>0.125</v>
      </c>
      <c r="D844" s="8">
        <f>IFERROR(__xludf.DUMMYFUNCTION("""COMPUTED_VALUE"""),1.442)</f>
        <v>1.442</v>
      </c>
      <c r="E844" s="8" t="str">
        <f>IFERROR(__xludf.DUMMYFUNCTION("""COMPUTED_VALUE"""),"Real")</f>
        <v>Real</v>
      </c>
      <c r="G844" s="8">
        <f t="shared" si="1"/>
        <v>12</v>
      </c>
      <c r="H844" s="14">
        <f t="shared" si="2"/>
        <v>6</v>
      </c>
      <c r="I844" s="15">
        <f t="shared" si="3"/>
        <v>3</v>
      </c>
    </row>
    <row r="845">
      <c r="A845" s="8" t="str">
        <f>IFERROR(__xludf.DUMMYFUNCTION("IF('(INGESTA)Datos_consumo_datadis'!A845&lt;&gt;"""",SPLIT('(INGESTA)Datos_consumo_datadis'!A:A,"",""),"""")"),"ES0031408323131005HX0F")</f>
        <v>ES0031408323131005HX0F</v>
      </c>
      <c r="B845" s="12">
        <f>IFERROR(__xludf.DUMMYFUNCTION("""COMPUTED_VALUE"""),44901.0)</f>
        <v>44901</v>
      </c>
      <c r="C845" s="13">
        <f>IFERROR(__xludf.DUMMYFUNCTION("""COMPUTED_VALUE"""),0.16666666666666666)</f>
        <v>0.1666666667</v>
      </c>
      <c r="D845" s="8">
        <f>IFERROR(__xludf.DUMMYFUNCTION("""COMPUTED_VALUE"""),1.898)</f>
        <v>1.898</v>
      </c>
      <c r="E845" s="8" t="str">
        <f>IFERROR(__xludf.DUMMYFUNCTION("""COMPUTED_VALUE"""),"Real")</f>
        <v>Real</v>
      </c>
      <c r="G845" s="8">
        <f t="shared" si="1"/>
        <v>12</v>
      </c>
      <c r="H845" s="14">
        <f t="shared" si="2"/>
        <v>6</v>
      </c>
      <c r="I845" s="15">
        <f t="shared" si="3"/>
        <v>4</v>
      </c>
    </row>
    <row r="846">
      <c r="A846" s="8" t="str">
        <f>IFERROR(__xludf.DUMMYFUNCTION("IF('(INGESTA)Datos_consumo_datadis'!A846&lt;&gt;"""",SPLIT('(INGESTA)Datos_consumo_datadis'!A:A,"",""),"""")"),"ES0031408323131005HX0F")</f>
        <v>ES0031408323131005HX0F</v>
      </c>
      <c r="B846" s="12">
        <f>IFERROR(__xludf.DUMMYFUNCTION("""COMPUTED_VALUE"""),44901.0)</f>
        <v>44901</v>
      </c>
      <c r="C846" s="13">
        <f>IFERROR(__xludf.DUMMYFUNCTION("""COMPUTED_VALUE"""),0.20833333333333334)</f>
        <v>0.2083333333</v>
      </c>
      <c r="D846" s="8">
        <f>IFERROR(__xludf.DUMMYFUNCTION("""COMPUTED_VALUE"""),1.501)</f>
        <v>1.501</v>
      </c>
      <c r="E846" s="8" t="str">
        <f>IFERROR(__xludf.DUMMYFUNCTION("""COMPUTED_VALUE"""),"Real")</f>
        <v>Real</v>
      </c>
      <c r="G846" s="8">
        <f t="shared" si="1"/>
        <v>12</v>
      </c>
      <c r="H846" s="14">
        <f t="shared" si="2"/>
        <v>6</v>
      </c>
      <c r="I846" s="15">
        <f t="shared" si="3"/>
        <v>5</v>
      </c>
    </row>
    <row r="847">
      <c r="A847" s="8" t="str">
        <f>IFERROR(__xludf.DUMMYFUNCTION("IF('(INGESTA)Datos_consumo_datadis'!A847&lt;&gt;"""",SPLIT('(INGESTA)Datos_consumo_datadis'!A:A,"",""),"""")"),"ES0031408323131005HX0F")</f>
        <v>ES0031408323131005HX0F</v>
      </c>
      <c r="B847" s="12">
        <f>IFERROR(__xludf.DUMMYFUNCTION("""COMPUTED_VALUE"""),44901.0)</f>
        <v>44901</v>
      </c>
      <c r="C847" s="13">
        <f>IFERROR(__xludf.DUMMYFUNCTION("""COMPUTED_VALUE"""),0.25)</f>
        <v>0.25</v>
      </c>
      <c r="D847" s="8">
        <f>IFERROR(__xludf.DUMMYFUNCTION("""COMPUTED_VALUE"""),1.471)</f>
        <v>1.471</v>
      </c>
      <c r="E847" s="8" t="str">
        <f>IFERROR(__xludf.DUMMYFUNCTION("""COMPUTED_VALUE"""),"Real")</f>
        <v>Real</v>
      </c>
      <c r="G847" s="8">
        <f t="shared" si="1"/>
        <v>12</v>
      </c>
      <c r="H847" s="14">
        <f t="shared" si="2"/>
        <v>6</v>
      </c>
      <c r="I847" s="15">
        <f t="shared" si="3"/>
        <v>6</v>
      </c>
    </row>
    <row r="848">
      <c r="A848" s="8" t="str">
        <f>IFERROR(__xludf.DUMMYFUNCTION("IF('(INGESTA)Datos_consumo_datadis'!A848&lt;&gt;"""",SPLIT('(INGESTA)Datos_consumo_datadis'!A:A,"",""),"""")"),"ES0031408323131005HX0F")</f>
        <v>ES0031408323131005HX0F</v>
      </c>
      <c r="B848" s="12">
        <f>IFERROR(__xludf.DUMMYFUNCTION("""COMPUTED_VALUE"""),44901.0)</f>
        <v>44901</v>
      </c>
      <c r="C848" s="13">
        <f>IFERROR(__xludf.DUMMYFUNCTION("""COMPUTED_VALUE"""),0.2916666666666667)</f>
        <v>0.2916666667</v>
      </c>
      <c r="D848" s="8">
        <f>IFERROR(__xludf.DUMMYFUNCTION("""COMPUTED_VALUE"""),2.0)</f>
        <v>2</v>
      </c>
      <c r="E848" s="8" t="str">
        <f>IFERROR(__xludf.DUMMYFUNCTION("""COMPUTED_VALUE"""),"Real")</f>
        <v>Real</v>
      </c>
      <c r="G848" s="8">
        <f t="shared" si="1"/>
        <v>12</v>
      </c>
      <c r="H848" s="14">
        <f t="shared" si="2"/>
        <v>6</v>
      </c>
      <c r="I848" s="15">
        <f t="shared" si="3"/>
        <v>7</v>
      </c>
    </row>
    <row r="849">
      <c r="A849" s="8" t="str">
        <f>IFERROR(__xludf.DUMMYFUNCTION("IF('(INGESTA)Datos_consumo_datadis'!A849&lt;&gt;"""",SPLIT('(INGESTA)Datos_consumo_datadis'!A:A,"",""),"""")"),"ES0031408323131005HX0F")</f>
        <v>ES0031408323131005HX0F</v>
      </c>
      <c r="B849" s="12">
        <f>IFERROR(__xludf.DUMMYFUNCTION("""COMPUTED_VALUE"""),44901.0)</f>
        <v>44901</v>
      </c>
      <c r="C849" s="13">
        <f>IFERROR(__xludf.DUMMYFUNCTION("""COMPUTED_VALUE"""),0.3333333333333333)</f>
        <v>0.3333333333</v>
      </c>
      <c r="D849" s="8">
        <f>IFERROR(__xludf.DUMMYFUNCTION("""COMPUTED_VALUE"""),1.949)</f>
        <v>1.949</v>
      </c>
      <c r="E849" s="8" t="str">
        <f>IFERROR(__xludf.DUMMYFUNCTION("""COMPUTED_VALUE"""),"Real")</f>
        <v>Real</v>
      </c>
      <c r="G849" s="8">
        <f t="shared" si="1"/>
        <v>12</v>
      </c>
      <c r="H849" s="14">
        <f t="shared" si="2"/>
        <v>6</v>
      </c>
      <c r="I849" s="15">
        <f t="shared" si="3"/>
        <v>8</v>
      </c>
    </row>
    <row r="850">
      <c r="A850" s="8" t="str">
        <f>IFERROR(__xludf.DUMMYFUNCTION("IF('(INGESTA)Datos_consumo_datadis'!A850&lt;&gt;"""",SPLIT('(INGESTA)Datos_consumo_datadis'!A:A,"",""),"""")"),"ES0031408323131005HX0F")</f>
        <v>ES0031408323131005HX0F</v>
      </c>
      <c r="B850" s="12">
        <f>IFERROR(__xludf.DUMMYFUNCTION("""COMPUTED_VALUE"""),44901.0)</f>
        <v>44901</v>
      </c>
      <c r="C850" s="13">
        <f>IFERROR(__xludf.DUMMYFUNCTION("""COMPUTED_VALUE"""),0.375)</f>
        <v>0.375</v>
      </c>
      <c r="D850" s="8">
        <f>IFERROR(__xludf.DUMMYFUNCTION("""COMPUTED_VALUE"""),1.949)</f>
        <v>1.949</v>
      </c>
      <c r="E850" s="8" t="str">
        <f>IFERROR(__xludf.DUMMYFUNCTION("""COMPUTED_VALUE"""),"Real")</f>
        <v>Real</v>
      </c>
      <c r="G850" s="8">
        <f t="shared" si="1"/>
        <v>12</v>
      </c>
      <c r="H850" s="14">
        <f t="shared" si="2"/>
        <v>6</v>
      </c>
      <c r="I850" s="15">
        <f t="shared" si="3"/>
        <v>9</v>
      </c>
    </row>
    <row r="851">
      <c r="A851" s="8" t="str">
        <f>IFERROR(__xludf.DUMMYFUNCTION("IF('(INGESTA)Datos_consumo_datadis'!A851&lt;&gt;"""",SPLIT('(INGESTA)Datos_consumo_datadis'!A:A,"",""),"""")"),"ES0031408323131005HX0F")</f>
        <v>ES0031408323131005HX0F</v>
      </c>
      <c r="B851" s="12">
        <f>IFERROR(__xludf.DUMMYFUNCTION("""COMPUTED_VALUE"""),44901.0)</f>
        <v>44901</v>
      </c>
      <c r="C851" s="13">
        <f>IFERROR(__xludf.DUMMYFUNCTION("""COMPUTED_VALUE"""),0.4166666666666667)</f>
        <v>0.4166666667</v>
      </c>
      <c r="D851" s="8">
        <f>IFERROR(__xludf.DUMMYFUNCTION("""COMPUTED_VALUE"""),2.324)</f>
        <v>2.324</v>
      </c>
      <c r="E851" s="8" t="str">
        <f>IFERROR(__xludf.DUMMYFUNCTION("""COMPUTED_VALUE"""),"Real")</f>
        <v>Real</v>
      </c>
      <c r="G851" s="8">
        <f t="shared" si="1"/>
        <v>12</v>
      </c>
      <c r="H851" s="14">
        <f t="shared" si="2"/>
        <v>6</v>
      </c>
      <c r="I851" s="15">
        <f t="shared" si="3"/>
        <v>10</v>
      </c>
    </row>
    <row r="852">
      <c r="A852" s="8" t="str">
        <f>IFERROR(__xludf.DUMMYFUNCTION("IF('(INGESTA)Datos_consumo_datadis'!A852&lt;&gt;"""",SPLIT('(INGESTA)Datos_consumo_datadis'!A:A,"",""),"""")"),"ES0031408323131005HX0F")</f>
        <v>ES0031408323131005HX0F</v>
      </c>
      <c r="B852" s="12">
        <f>IFERROR(__xludf.DUMMYFUNCTION("""COMPUTED_VALUE"""),44901.0)</f>
        <v>44901</v>
      </c>
      <c r="C852" s="13">
        <f>IFERROR(__xludf.DUMMYFUNCTION("""COMPUTED_VALUE"""),0.4583333333333333)</f>
        <v>0.4583333333</v>
      </c>
      <c r="D852" s="8">
        <f>IFERROR(__xludf.DUMMYFUNCTION("""COMPUTED_VALUE"""),0.904)</f>
        <v>0.904</v>
      </c>
      <c r="E852" s="8" t="str">
        <f>IFERROR(__xludf.DUMMYFUNCTION("""COMPUTED_VALUE"""),"Real")</f>
        <v>Real</v>
      </c>
      <c r="G852" s="8">
        <f t="shared" si="1"/>
        <v>12</v>
      </c>
      <c r="H852" s="14">
        <f t="shared" si="2"/>
        <v>6</v>
      </c>
      <c r="I852" s="15">
        <f t="shared" si="3"/>
        <v>11</v>
      </c>
    </row>
    <row r="853">
      <c r="A853" s="8" t="str">
        <f>IFERROR(__xludf.DUMMYFUNCTION("IF('(INGESTA)Datos_consumo_datadis'!A853&lt;&gt;"""",SPLIT('(INGESTA)Datos_consumo_datadis'!A:A,"",""),"""")"),"ES0031408323131005HX0F")</f>
        <v>ES0031408323131005HX0F</v>
      </c>
      <c r="B853" s="12">
        <f>IFERROR(__xludf.DUMMYFUNCTION("""COMPUTED_VALUE"""),44901.0)</f>
        <v>44901</v>
      </c>
      <c r="C853" s="13">
        <f>IFERROR(__xludf.DUMMYFUNCTION("""COMPUTED_VALUE"""),0.5)</f>
        <v>0.5</v>
      </c>
      <c r="D853" s="8">
        <f>IFERROR(__xludf.DUMMYFUNCTION("""COMPUTED_VALUE"""),0.056)</f>
        <v>0.056</v>
      </c>
      <c r="E853" s="8" t="str">
        <f>IFERROR(__xludf.DUMMYFUNCTION("""COMPUTED_VALUE"""),"Real")</f>
        <v>Real</v>
      </c>
      <c r="G853" s="8">
        <f t="shared" si="1"/>
        <v>12</v>
      </c>
      <c r="H853" s="14">
        <f t="shared" si="2"/>
        <v>6</v>
      </c>
      <c r="I853" s="15">
        <f t="shared" si="3"/>
        <v>12</v>
      </c>
    </row>
    <row r="854">
      <c r="A854" s="8" t="str">
        <f>IFERROR(__xludf.DUMMYFUNCTION("IF('(INGESTA)Datos_consumo_datadis'!A854&lt;&gt;"""",SPLIT('(INGESTA)Datos_consumo_datadis'!A:A,"",""),"""")"),"ES0031408323131005HX0F")</f>
        <v>ES0031408323131005HX0F</v>
      </c>
      <c r="B854" s="12">
        <f>IFERROR(__xludf.DUMMYFUNCTION("""COMPUTED_VALUE"""),44901.0)</f>
        <v>44901</v>
      </c>
      <c r="C854" s="13">
        <f>IFERROR(__xludf.DUMMYFUNCTION("""COMPUTED_VALUE"""),0.5416666666666666)</f>
        <v>0.5416666667</v>
      </c>
      <c r="D854" s="8">
        <f>IFERROR(__xludf.DUMMYFUNCTION("""COMPUTED_VALUE"""),0.341)</f>
        <v>0.341</v>
      </c>
      <c r="E854" s="8" t="str">
        <f>IFERROR(__xludf.DUMMYFUNCTION("""COMPUTED_VALUE"""),"Real")</f>
        <v>Real</v>
      </c>
      <c r="G854" s="8">
        <f t="shared" si="1"/>
        <v>12</v>
      </c>
      <c r="H854" s="14">
        <f t="shared" si="2"/>
        <v>6</v>
      </c>
      <c r="I854" s="15">
        <f t="shared" si="3"/>
        <v>13</v>
      </c>
    </row>
    <row r="855">
      <c r="A855" s="8" t="str">
        <f>IFERROR(__xludf.DUMMYFUNCTION("IF('(INGESTA)Datos_consumo_datadis'!A855&lt;&gt;"""",SPLIT('(INGESTA)Datos_consumo_datadis'!A:A,"",""),"""")"),"ES0031408323131005HX0F")</f>
        <v>ES0031408323131005HX0F</v>
      </c>
      <c r="B855" s="12">
        <f>IFERROR(__xludf.DUMMYFUNCTION("""COMPUTED_VALUE"""),44901.0)</f>
        <v>44901</v>
      </c>
      <c r="C855" s="13">
        <f>IFERROR(__xludf.DUMMYFUNCTION("""COMPUTED_VALUE"""),0.5833333333333334)</f>
        <v>0.5833333333</v>
      </c>
      <c r="D855" s="8">
        <f>IFERROR(__xludf.DUMMYFUNCTION("""COMPUTED_VALUE"""),0.106)</f>
        <v>0.106</v>
      </c>
      <c r="E855" s="8" t="str">
        <f>IFERROR(__xludf.DUMMYFUNCTION("""COMPUTED_VALUE"""),"Real")</f>
        <v>Real</v>
      </c>
      <c r="G855" s="8">
        <f t="shared" si="1"/>
        <v>12</v>
      </c>
      <c r="H855" s="14">
        <f t="shared" si="2"/>
        <v>6</v>
      </c>
      <c r="I855" s="15">
        <f t="shared" si="3"/>
        <v>14</v>
      </c>
    </row>
    <row r="856">
      <c r="A856" s="8" t="str">
        <f>IFERROR(__xludf.DUMMYFUNCTION("IF('(INGESTA)Datos_consumo_datadis'!A856&lt;&gt;"""",SPLIT('(INGESTA)Datos_consumo_datadis'!A:A,"",""),"""")"),"ES0031408323131005HX0F")</f>
        <v>ES0031408323131005HX0F</v>
      </c>
      <c r="B856" s="12">
        <f>IFERROR(__xludf.DUMMYFUNCTION("""COMPUTED_VALUE"""),44901.0)</f>
        <v>44901</v>
      </c>
      <c r="C856" s="13">
        <f>IFERROR(__xludf.DUMMYFUNCTION("""COMPUTED_VALUE"""),0.625)</f>
        <v>0.625</v>
      </c>
      <c r="D856" s="8">
        <f>IFERROR(__xludf.DUMMYFUNCTION("""COMPUTED_VALUE"""),1.404)</f>
        <v>1.404</v>
      </c>
      <c r="E856" s="8" t="str">
        <f>IFERROR(__xludf.DUMMYFUNCTION("""COMPUTED_VALUE"""),"Real")</f>
        <v>Real</v>
      </c>
      <c r="G856" s="8">
        <f t="shared" si="1"/>
        <v>12</v>
      </c>
      <c r="H856" s="14">
        <f t="shared" si="2"/>
        <v>6</v>
      </c>
      <c r="I856" s="15">
        <f t="shared" si="3"/>
        <v>15</v>
      </c>
    </row>
    <row r="857">
      <c r="A857" s="8" t="str">
        <f>IFERROR(__xludf.DUMMYFUNCTION("IF('(INGESTA)Datos_consumo_datadis'!A857&lt;&gt;"""",SPLIT('(INGESTA)Datos_consumo_datadis'!A:A,"",""),"""")"),"ES0031408323131005HX0F")</f>
        <v>ES0031408323131005HX0F</v>
      </c>
      <c r="B857" s="12">
        <f>IFERROR(__xludf.DUMMYFUNCTION("""COMPUTED_VALUE"""),44901.0)</f>
        <v>44901</v>
      </c>
      <c r="C857" s="13">
        <f>IFERROR(__xludf.DUMMYFUNCTION("""COMPUTED_VALUE"""),0.6666666666666666)</f>
        <v>0.6666666667</v>
      </c>
      <c r="D857" s="8">
        <f>IFERROR(__xludf.DUMMYFUNCTION("""COMPUTED_VALUE"""),1.848)</f>
        <v>1.848</v>
      </c>
      <c r="E857" s="8" t="str">
        <f>IFERROR(__xludf.DUMMYFUNCTION("""COMPUTED_VALUE"""),"Real")</f>
        <v>Real</v>
      </c>
      <c r="G857" s="8">
        <f t="shared" si="1"/>
        <v>12</v>
      </c>
      <c r="H857" s="14">
        <f t="shared" si="2"/>
        <v>6</v>
      </c>
      <c r="I857" s="15">
        <f t="shared" si="3"/>
        <v>16</v>
      </c>
    </row>
    <row r="858">
      <c r="A858" s="8" t="str">
        <f>IFERROR(__xludf.DUMMYFUNCTION("IF('(INGESTA)Datos_consumo_datadis'!A858&lt;&gt;"""",SPLIT('(INGESTA)Datos_consumo_datadis'!A:A,"",""),"""")"),"ES0031408323131005HX0F")</f>
        <v>ES0031408323131005HX0F</v>
      </c>
      <c r="B858" s="12">
        <f>IFERROR(__xludf.DUMMYFUNCTION("""COMPUTED_VALUE"""),44901.0)</f>
        <v>44901</v>
      </c>
      <c r="C858" s="13">
        <f>IFERROR(__xludf.DUMMYFUNCTION("""COMPUTED_VALUE"""),0.7083333333333334)</f>
        <v>0.7083333333</v>
      </c>
      <c r="D858" s="8">
        <f>IFERROR(__xludf.DUMMYFUNCTION("""COMPUTED_VALUE"""),2.16)</f>
        <v>2.16</v>
      </c>
      <c r="E858" s="8" t="str">
        <f>IFERROR(__xludf.DUMMYFUNCTION("""COMPUTED_VALUE"""),"Real")</f>
        <v>Real</v>
      </c>
      <c r="G858" s="8">
        <f t="shared" si="1"/>
        <v>12</v>
      </c>
      <c r="H858" s="14">
        <f t="shared" si="2"/>
        <v>6</v>
      </c>
      <c r="I858" s="15">
        <f t="shared" si="3"/>
        <v>17</v>
      </c>
    </row>
    <row r="859">
      <c r="A859" s="8" t="str">
        <f>IFERROR(__xludf.DUMMYFUNCTION("IF('(INGESTA)Datos_consumo_datadis'!A859&lt;&gt;"""",SPLIT('(INGESTA)Datos_consumo_datadis'!A:A,"",""),"""")"),"ES0031408323131005HX0F")</f>
        <v>ES0031408323131005HX0F</v>
      </c>
      <c r="B859" s="12">
        <f>IFERROR(__xludf.DUMMYFUNCTION("""COMPUTED_VALUE"""),44901.0)</f>
        <v>44901</v>
      </c>
      <c r="C859" s="13">
        <f>IFERROR(__xludf.DUMMYFUNCTION("""COMPUTED_VALUE"""),0.75)</f>
        <v>0.75</v>
      </c>
      <c r="D859" s="8">
        <f>IFERROR(__xludf.DUMMYFUNCTION("""COMPUTED_VALUE"""),1.486)</f>
        <v>1.486</v>
      </c>
      <c r="E859" s="8" t="str">
        <f>IFERROR(__xludf.DUMMYFUNCTION("""COMPUTED_VALUE"""),"Real")</f>
        <v>Real</v>
      </c>
      <c r="G859" s="8">
        <f t="shared" si="1"/>
        <v>12</v>
      </c>
      <c r="H859" s="14">
        <f t="shared" si="2"/>
        <v>6</v>
      </c>
      <c r="I859" s="15">
        <f t="shared" si="3"/>
        <v>18</v>
      </c>
    </row>
    <row r="860">
      <c r="A860" s="8" t="str">
        <f>IFERROR(__xludf.DUMMYFUNCTION("IF('(INGESTA)Datos_consumo_datadis'!A860&lt;&gt;"""",SPLIT('(INGESTA)Datos_consumo_datadis'!A:A,"",""),"""")"),"ES0031408323131005HX0F")</f>
        <v>ES0031408323131005HX0F</v>
      </c>
      <c r="B860" s="12">
        <f>IFERROR(__xludf.DUMMYFUNCTION("""COMPUTED_VALUE"""),44901.0)</f>
        <v>44901</v>
      </c>
      <c r="C860" s="13">
        <f>IFERROR(__xludf.DUMMYFUNCTION("""COMPUTED_VALUE"""),0.7916666666666666)</f>
        <v>0.7916666667</v>
      </c>
      <c r="D860" s="8">
        <f>IFERROR(__xludf.DUMMYFUNCTION("""COMPUTED_VALUE"""),1.337)</f>
        <v>1.337</v>
      </c>
      <c r="E860" s="8" t="str">
        <f>IFERROR(__xludf.DUMMYFUNCTION("""COMPUTED_VALUE"""),"Real")</f>
        <v>Real</v>
      </c>
      <c r="G860" s="8">
        <f t="shared" si="1"/>
        <v>12</v>
      </c>
      <c r="H860" s="14">
        <f t="shared" si="2"/>
        <v>6</v>
      </c>
      <c r="I860" s="15">
        <f t="shared" si="3"/>
        <v>19</v>
      </c>
    </row>
    <row r="861">
      <c r="A861" s="8" t="str">
        <f>IFERROR(__xludf.DUMMYFUNCTION("IF('(INGESTA)Datos_consumo_datadis'!A861&lt;&gt;"""",SPLIT('(INGESTA)Datos_consumo_datadis'!A:A,"",""),"""")"),"ES0031408323131005HX0F")</f>
        <v>ES0031408323131005HX0F</v>
      </c>
      <c r="B861" s="12">
        <f>IFERROR(__xludf.DUMMYFUNCTION("""COMPUTED_VALUE"""),44901.0)</f>
        <v>44901</v>
      </c>
      <c r="C861" s="13">
        <f>IFERROR(__xludf.DUMMYFUNCTION("""COMPUTED_VALUE"""),0.8333333333333334)</f>
        <v>0.8333333333</v>
      </c>
      <c r="D861" s="8">
        <f>IFERROR(__xludf.DUMMYFUNCTION("""COMPUTED_VALUE"""),0.068)</f>
        <v>0.068</v>
      </c>
      <c r="E861" s="8" t="str">
        <f>IFERROR(__xludf.DUMMYFUNCTION("""COMPUTED_VALUE"""),"Real")</f>
        <v>Real</v>
      </c>
      <c r="G861" s="8">
        <f t="shared" si="1"/>
        <v>12</v>
      </c>
      <c r="H861" s="14">
        <f t="shared" si="2"/>
        <v>6</v>
      </c>
      <c r="I861" s="15">
        <f t="shared" si="3"/>
        <v>20</v>
      </c>
    </row>
    <row r="862">
      <c r="A862" s="8" t="str">
        <f>IFERROR(__xludf.DUMMYFUNCTION("IF('(INGESTA)Datos_consumo_datadis'!A862&lt;&gt;"""",SPLIT('(INGESTA)Datos_consumo_datadis'!A:A,"",""),"""")"),"ES0031408323131005HX0F")</f>
        <v>ES0031408323131005HX0F</v>
      </c>
      <c r="B862" s="12">
        <f>IFERROR(__xludf.DUMMYFUNCTION("""COMPUTED_VALUE"""),44901.0)</f>
        <v>44901</v>
      </c>
      <c r="C862" s="13">
        <f>IFERROR(__xludf.DUMMYFUNCTION("""COMPUTED_VALUE"""),0.875)</f>
        <v>0.875</v>
      </c>
      <c r="D862" s="8">
        <f>IFERROR(__xludf.DUMMYFUNCTION("""COMPUTED_VALUE"""),0.596)</f>
        <v>0.596</v>
      </c>
      <c r="E862" s="8" t="str">
        <f>IFERROR(__xludf.DUMMYFUNCTION("""COMPUTED_VALUE"""),"Real")</f>
        <v>Real</v>
      </c>
      <c r="G862" s="8">
        <f t="shared" si="1"/>
        <v>12</v>
      </c>
      <c r="H862" s="14">
        <f t="shared" si="2"/>
        <v>6</v>
      </c>
      <c r="I862" s="15">
        <f t="shared" si="3"/>
        <v>21</v>
      </c>
    </row>
    <row r="863">
      <c r="A863" s="8" t="str">
        <f>IFERROR(__xludf.DUMMYFUNCTION("IF('(INGESTA)Datos_consumo_datadis'!A863&lt;&gt;"""",SPLIT('(INGESTA)Datos_consumo_datadis'!A:A,"",""),"""")"),"ES0031408323131005HX0F")</f>
        <v>ES0031408323131005HX0F</v>
      </c>
      <c r="B863" s="12">
        <f>IFERROR(__xludf.DUMMYFUNCTION("""COMPUTED_VALUE"""),44901.0)</f>
        <v>44901</v>
      </c>
      <c r="C863" s="13">
        <f>IFERROR(__xludf.DUMMYFUNCTION("""COMPUTED_VALUE"""),0.9166666666666666)</f>
        <v>0.9166666667</v>
      </c>
      <c r="D863" s="8">
        <f>IFERROR(__xludf.DUMMYFUNCTION("""COMPUTED_VALUE"""),3.604)</f>
        <v>3.604</v>
      </c>
      <c r="E863" s="8" t="str">
        <f>IFERROR(__xludf.DUMMYFUNCTION("""COMPUTED_VALUE"""),"Real")</f>
        <v>Real</v>
      </c>
      <c r="G863" s="8">
        <f t="shared" si="1"/>
        <v>12</v>
      </c>
      <c r="H863" s="14">
        <f t="shared" si="2"/>
        <v>6</v>
      </c>
      <c r="I863" s="15">
        <f t="shared" si="3"/>
        <v>22</v>
      </c>
    </row>
    <row r="864">
      <c r="A864" s="8" t="str">
        <f>IFERROR(__xludf.DUMMYFUNCTION("IF('(INGESTA)Datos_consumo_datadis'!A864&lt;&gt;"""",SPLIT('(INGESTA)Datos_consumo_datadis'!A:A,"",""),"""")"),"ES0031408323131005HX0F")</f>
        <v>ES0031408323131005HX0F</v>
      </c>
      <c r="B864" s="12">
        <f>IFERROR(__xludf.DUMMYFUNCTION("""COMPUTED_VALUE"""),44901.0)</f>
        <v>44901</v>
      </c>
      <c r="C864" s="13">
        <f>IFERROR(__xludf.DUMMYFUNCTION("""COMPUTED_VALUE"""),0.9583333333333334)</f>
        <v>0.9583333333</v>
      </c>
      <c r="D864" s="8">
        <f>IFERROR(__xludf.DUMMYFUNCTION("""COMPUTED_VALUE"""),2.847)</f>
        <v>2.847</v>
      </c>
      <c r="E864" s="8" t="str">
        <f>IFERROR(__xludf.DUMMYFUNCTION("""COMPUTED_VALUE"""),"Real")</f>
        <v>Real</v>
      </c>
      <c r="G864" s="8">
        <f t="shared" si="1"/>
        <v>12</v>
      </c>
      <c r="H864" s="14">
        <f t="shared" si="2"/>
        <v>6</v>
      </c>
      <c r="I864" s="15">
        <f t="shared" si="3"/>
        <v>23</v>
      </c>
    </row>
    <row r="865">
      <c r="A865" s="8" t="str">
        <f>IFERROR(__xludf.DUMMYFUNCTION("IF('(INGESTA)Datos_consumo_datadis'!A865&lt;&gt;"""",SPLIT('(INGESTA)Datos_consumo_datadis'!A:A,"",""),"""")"),"ES0031408323131005HX0F")</f>
        <v>ES0031408323131005HX0F</v>
      </c>
      <c r="B865" s="12">
        <f>IFERROR(__xludf.DUMMYFUNCTION("""COMPUTED_VALUE"""),44901.0)</f>
        <v>44901</v>
      </c>
      <c r="C865" s="16">
        <f>IFERROR(__xludf.DUMMYFUNCTION("""COMPUTED_VALUE"""),1.0)</f>
        <v>1</v>
      </c>
      <c r="D865" s="8">
        <f>IFERROR(__xludf.DUMMYFUNCTION("""COMPUTED_VALUE"""),1.576)</f>
        <v>1.576</v>
      </c>
      <c r="E865" s="8" t="str">
        <f>IFERROR(__xludf.DUMMYFUNCTION("""COMPUTED_VALUE"""),"Real")</f>
        <v>Real</v>
      </c>
      <c r="G865" s="8">
        <f t="shared" si="1"/>
        <v>12</v>
      </c>
      <c r="H865" s="14">
        <f t="shared" si="2"/>
        <v>6</v>
      </c>
      <c r="I865" s="15">
        <f t="shared" si="3"/>
        <v>0</v>
      </c>
    </row>
    <row r="866">
      <c r="A866" s="8" t="str">
        <f>IFERROR(__xludf.DUMMYFUNCTION("IF('(INGESTA)Datos_consumo_datadis'!A866&lt;&gt;"""",SPLIT('(INGESTA)Datos_consumo_datadis'!A:A,"",""),"""")"),"ES0031408323131005HX0F")</f>
        <v>ES0031408323131005HX0F</v>
      </c>
      <c r="B866" s="12">
        <f>IFERROR(__xludf.DUMMYFUNCTION("""COMPUTED_VALUE"""),44902.0)</f>
        <v>44902</v>
      </c>
      <c r="C866" s="13">
        <f>IFERROR(__xludf.DUMMYFUNCTION("""COMPUTED_VALUE"""),0.041666666666666664)</f>
        <v>0.04166666667</v>
      </c>
      <c r="D866" s="8">
        <f>IFERROR(__xludf.DUMMYFUNCTION("""COMPUTED_VALUE"""),0.222)</f>
        <v>0.222</v>
      </c>
      <c r="E866" s="8" t="str">
        <f>IFERROR(__xludf.DUMMYFUNCTION("""COMPUTED_VALUE"""),"Real")</f>
        <v>Real</v>
      </c>
      <c r="G866" s="8">
        <f t="shared" si="1"/>
        <v>12</v>
      </c>
      <c r="H866" s="14">
        <f t="shared" si="2"/>
        <v>7</v>
      </c>
      <c r="I866" s="15">
        <f t="shared" si="3"/>
        <v>1</v>
      </c>
    </row>
    <row r="867">
      <c r="A867" s="8" t="str">
        <f>IFERROR(__xludf.DUMMYFUNCTION("IF('(INGESTA)Datos_consumo_datadis'!A867&lt;&gt;"""",SPLIT('(INGESTA)Datos_consumo_datadis'!A:A,"",""),"""")"),"ES0031408323131005HX0F")</f>
        <v>ES0031408323131005HX0F</v>
      </c>
      <c r="B867" s="12">
        <f>IFERROR(__xludf.DUMMYFUNCTION("""COMPUTED_VALUE"""),44902.0)</f>
        <v>44902</v>
      </c>
      <c r="C867" s="13">
        <f>IFERROR(__xludf.DUMMYFUNCTION("""COMPUTED_VALUE"""),0.08333333333333333)</f>
        <v>0.08333333333</v>
      </c>
      <c r="D867" s="8">
        <f>IFERROR(__xludf.DUMMYFUNCTION("""COMPUTED_VALUE"""),0.389)</f>
        <v>0.389</v>
      </c>
      <c r="E867" s="8" t="str">
        <f>IFERROR(__xludf.DUMMYFUNCTION("""COMPUTED_VALUE"""),"Real")</f>
        <v>Real</v>
      </c>
      <c r="G867" s="8">
        <f t="shared" si="1"/>
        <v>12</v>
      </c>
      <c r="H867" s="14">
        <f t="shared" si="2"/>
        <v>7</v>
      </c>
      <c r="I867" s="15">
        <f t="shared" si="3"/>
        <v>2</v>
      </c>
    </row>
    <row r="868">
      <c r="A868" s="8" t="str">
        <f>IFERROR(__xludf.DUMMYFUNCTION("IF('(INGESTA)Datos_consumo_datadis'!A868&lt;&gt;"""",SPLIT('(INGESTA)Datos_consumo_datadis'!A:A,"",""),"""")"),"ES0031408323131005HX0F")</f>
        <v>ES0031408323131005HX0F</v>
      </c>
      <c r="B868" s="12">
        <f>IFERROR(__xludf.DUMMYFUNCTION("""COMPUTED_VALUE"""),44902.0)</f>
        <v>44902</v>
      </c>
      <c r="C868" s="13">
        <f>IFERROR(__xludf.DUMMYFUNCTION("""COMPUTED_VALUE"""),0.125)</f>
        <v>0.125</v>
      </c>
      <c r="D868" s="8">
        <f>IFERROR(__xludf.DUMMYFUNCTION("""COMPUTED_VALUE"""),0.142)</f>
        <v>0.142</v>
      </c>
      <c r="E868" s="8" t="str">
        <f>IFERROR(__xludf.DUMMYFUNCTION("""COMPUTED_VALUE"""),"Real")</f>
        <v>Real</v>
      </c>
      <c r="G868" s="8">
        <f t="shared" si="1"/>
        <v>12</v>
      </c>
      <c r="H868" s="14">
        <f t="shared" si="2"/>
        <v>7</v>
      </c>
      <c r="I868" s="15">
        <f t="shared" si="3"/>
        <v>3</v>
      </c>
    </row>
    <row r="869">
      <c r="A869" s="8" t="str">
        <f>IFERROR(__xludf.DUMMYFUNCTION("IF('(INGESTA)Datos_consumo_datadis'!A869&lt;&gt;"""",SPLIT('(INGESTA)Datos_consumo_datadis'!A:A,"",""),"""")"),"ES0031408323131005HX0F")</f>
        <v>ES0031408323131005HX0F</v>
      </c>
      <c r="B869" s="12">
        <f>IFERROR(__xludf.DUMMYFUNCTION("""COMPUTED_VALUE"""),44902.0)</f>
        <v>44902</v>
      </c>
      <c r="C869" s="13">
        <f>IFERROR(__xludf.DUMMYFUNCTION("""COMPUTED_VALUE"""),0.16666666666666666)</f>
        <v>0.1666666667</v>
      </c>
      <c r="D869" s="8">
        <f>IFERROR(__xludf.DUMMYFUNCTION("""COMPUTED_VALUE"""),0.121)</f>
        <v>0.121</v>
      </c>
      <c r="E869" s="8" t="str">
        <f>IFERROR(__xludf.DUMMYFUNCTION("""COMPUTED_VALUE"""),"Real")</f>
        <v>Real</v>
      </c>
      <c r="G869" s="8">
        <f t="shared" si="1"/>
        <v>12</v>
      </c>
      <c r="H869" s="14">
        <f t="shared" si="2"/>
        <v>7</v>
      </c>
      <c r="I869" s="15">
        <f t="shared" si="3"/>
        <v>4</v>
      </c>
    </row>
    <row r="870">
      <c r="A870" s="8" t="str">
        <f>IFERROR(__xludf.DUMMYFUNCTION("IF('(INGESTA)Datos_consumo_datadis'!A870&lt;&gt;"""",SPLIT('(INGESTA)Datos_consumo_datadis'!A:A,"",""),"""")"),"ES0031408323131005HX0F")</f>
        <v>ES0031408323131005HX0F</v>
      </c>
      <c r="B870" s="12">
        <f>IFERROR(__xludf.DUMMYFUNCTION("""COMPUTED_VALUE"""),44902.0)</f>
        <v>44902</v>
      </c>
      <c r="C870" s="13">
        <f>IFERROR(__xludf.DUMMYFUNCTION("""COMPUTED_VALUE"""),0.20833333333333334)</f>
        <v>0.2083333333</v>
      </c>
      <c r="D870" s="8">
        <f>IFERROR(__xludf.DUMMYFUNCTION("""COMPUTED_VALUE"""),0.054)</f>
        <v>0.054</v>
      </c>
      <c r="E870" s="8" t="str">
        <f>IFERROR(__xludf.DUMMYFUNCTION("""COMPUTED_VALUE"""),"Real")</f>
        <v>Real</v>
      </c>
      <c r="G870" s="8">
        <f t="shared" si="1"/>
        <v>12</v>
      </c>
      <c r="H870" s="14">
        <f t="shared" si="2"/>
        <v>7</v>
      </c>
      <c r="I870" s="15">
        <f t="shared" si="3"/>
        <v>5</v>
      </c>
    </row>
    <row r="871">
      <c r="A871" s="8" t="str">
        <f>IFERROR(__xludf.DUMMYFUNCTION("IF('(INGESTA)Datos_consumo_datadis'!A871&lt;&gt;"""",SPLIT('(INGESTA)Datos_consumo_datadis'!A:A,"",""),"""")"),"ES0031408323131005HX0F")</f>
        <v>ES0031408323131005HX0F</v>
      </c>
      <c r="B871" s="12">
        <f>IFERROR(__xludf.DUMMYFUNCTION("""COMPUTED_VALUE"""),44902.0)</f>
        <v>44902</v>
      </c>
      <c r="C871" s="13">
        <f>IFERROR(__xludf.DUMMYFUNCTION("""COMPUTED_VALUE"""),0.25)</f>
        <v>0.25</v>
      </c>
      <c r="D871" s="8">
        <f>IFERROR(__xludf.DUMMYFUNCTION("""COMPUTED_VALUE"""),0.144)</f>
        <v>0.144</v>
      </c>
      <c r="E871" s="8" t="str">
        <f>IFERROR(__xludf.DUMMYFUNCTION("""COMPUTED_VALUE"""),"Real")</f>
        <v>Real</v>
      </c>
      <c r="G871" s="8">
        <f t="shared" si="1"/>
        <v>12</v>
      </c>
      <c r="H871" s="14">
        <f t="shared" si="2"/>
        <v>7</v>
      </c>
      <c r="I871" s="15">
        <f t="shared" si="3"/>
        <v>6</v>
      </c>
    </row>
    <row r="872">
      <c r="A872" s="8" t="str">
        <f>IFERROR(__xludf.DUMMYFUNCTION("IF('(INGESTA)Datos_consumo_datadis'!A872&lt;&gt;"""",SPLIT('(INGESTA)Datos_consumo_datadis'!A:A,"",""),"""")"),"ES0031408323131005HX0F")</f>
        <v>ES0031408323131005HX0F</v>
      </c>
      <c r="B872" s="12">
        <f>IFERROR(__xludf.DUMMYFUNCTION("""COMPUTED_VALUE"""),44902.0)</f>
        <v>44902</v>
      </c>
      <c r="C872" s="13">
        <f>IFERROR(__xludf.DUMMYFUNCTION("""COMPUTED_VALUE"""),0.2916666666666667)</f>
        <v>0.2916666667</v>
      </c>
      <c r="D872" s="8">
        <f>IFERROR(__xludf.DUMMYFUNCTION("""COMPUTED_VALUE"""),0.409)</f>
        <v>0.409</v>
      </c>
      <c r="E872" s="8" t="str">
        <f>IFERROR(__xludf.DUMMYFUNCTION("""COMPUTED_VALUE"""),"Real")</f>
        <v>Real</v>
      </c>
      <c r="G872" s="8">
        <f t="shared" si="1"/>
        <v>12</v>
      </c>
      <c r="H872" s="14">
        <f t="shared" si="2"/>
        <v>7</v>
      </c>
      <c r="I872" s="15">
        <f t="shared" si="3"/>
        <v>7</v>
      </c>
    </row>
    <row r="873">
      <c r="A873" s="8" t="str">
        <f>IFERROR(__xludf.DUMMYFUNCTION("IF('(INGESTA)Datos_consumo_datadis'!A873&lt;&gt;"""",SPLIT('(INGESTA)Datos_consumo_datadis'!A:A,"",""),"""")"),"ES0031408323131005HX0F")</f>
        <v>ES0031408323131005HX0F</v>
      </c>
      <c r="B873" s="12">
        <f>IFERROR(__xludf.DUMMYFUNCTION("""COMPUTED_VALUE"""),44902.0)</f>
        <v>44902</v>
      </c>
      <c r="C873" s="13">
        <f>IFERROR(__xludf.DUMMYFUNCTION("""COMPUTED_VALUE"""),0.3333333333333333)</f>
        <v>0.3333333333</v>
      </c>
      <c r="D873" s="8">
        <f>IFERROR(__xludf.DUMMYFUNCTION("""COMPUTED_VALUE"""),1.094)</f>
        <v>1.094</v>
      </c>
      <c r="E873" s="8" t="str">
        <f>IFERROR(__xludf.DUMMYFUNCTION("""COMPUTED_VALUE"""),"Real")</f>
        <v>Real</v>
      </c>
      <c r="G873" s="8">
        <f t="shared" si="1"/>
        <v>12</v>
      </c>
      <c r="H873" s="14">
        <f t="shared" si="2"/>
        <v>7</v>
      </c>
      <c r="I873" s="15">
        <f t="shared" si="3"/>
        <v>8</v>
      </c>
    </row>
    <row r="874">
      <c r="A874" s="8" t="str">
        <f>IFERROR(__xludf.DUMMYFUNCTION("IF('(INGESTA)Datos_consumo_datadis'!A874&lt;&gt;"""",SPLIT('(INGESTA)Datos_consumo_datadis'!A:A,"",""),"""")"),"ES0031408323131005HX0F")</f>
        <v>ES0031408323131005HX0F</v>
      </c>
      <c r="B874" s="12">
        <f>IFERROR(__xludf.DUMMYFUNCTION("""COMPUTED_VALUE"""),44902.0)</f>
        <v>44902</v>
      </c>
      <c r="C874" s="13">
        <f>IFERROR(__xludf.DUMMYFUNCTION("""COMPUTED_VALUE"""),0.375)</f>
        <v>0.375</v>
      </c>
      <c r="D874" s="8">
        <f>IFERROR(__xludf.DUMMYFUNCTION("""COMPUTED_VALUE"""),0.305)</f>
        <v>0.305</v>
      </c>
      <c r="E874" s="8" t="str">
        <f>IFERROR(__xludf.DUMMYFUNCTION("""COMPUTED_VALUE"""),"Real")</f>
        <v>Real</v>
      </c>
      <c r="G874" s="8">
        <f t="shared" si="1"/>
        <v>12</v>
      </c>
      <c r="H874" s="14">
        <f t="shared" si="2"/>
        <v>7</v>
      </c>
      <c r="I874" s="15">
        <f t="shared" si="3"/>
        <v>9</v>
      </c>
    </row>
    <row r="875">
      <c r="A875" s="8" t="str">
        <f>IFERROR(__xludf.DUMMYFUNCTION("IF('(INGESTA)Datos_consumo_datadis'!A875&lt;&gt;"""",SPLIT('(INGESTA)Datos_consumo_datadis'!A:A,"",""),"""")"),"ES0031408323131005HX0F")</f>
        <v>ES0031408323131005HX0F</v>
      </c>
      <c r="B875" s="12">
        <f>IFERROR(__xludf.DUMMYFUNCTION("""COMPUTED_VALUE"""),44902.0)</f>
        <v>44902</v>
      </c>
      <c r="C875" s="13">
        <f>IFERROR(__xludf.DUMMYFUNCTION("""COMPUTED_VALUE"""),0.4166666666666667)</f>
        <v>0.4166666667</v>
      </c>
      <c r="D875" s="8">
        <f>IFERROR(__xludf.DUMMYFUNCTION("""COMPUTED_VALUE"""),0.228)</f>
        <v>0.228</v>
      </c>
      <c r="E875" s="8" t="str">
        <f>IFERROR(__xludf.DUMMYFUNCTION("""COMPUTED_VALUE"""),"Real")</f>
        <v>Real</v>
      </c>
      <c r="G875" s="8">
        <f t="shared" si="1"/>
        <v>12</v>
      </c>
      <c r="H875" s="14">
        <f t="shared" si="2"/>
        <v>7</v>
      </c>
      <c r="I875" s="15">
        <f t="shared" si="3"/>
        <v>10</v>
      </c>
    </row>
    <row r="876">
      <c r="A876" s="8" t="str">
        <f>IFERROR(__xludf.DUMMYFUNCTION("IF('(INGESTA)Datos_consumo_datadis'!A876&lt;&gt;"""",SPLIT('(INGESTA)Datos_consumo_datadis'!A:A,"",""),"""")"),"ES0031408323131005HX0F")</f>
        <v>ES0031408323131005HX0F</v>
      </c>
      <c r="B876" s="12">
        <f>IFERROR(__xludf.DUMMYFUNCTION("""COMPUTED_VALUE"""),44902.0)</f>
        <v>44902</v>
      </c>
      <c r="C876" s="13">
        <f>IFERROR(__xludf.DUMMYFUNCTION("""COMPUTED_VALUE"""),0.4583333333333333)</f>
        <v>0.4583333333</v>
      </c>
      <c r="D876" s="8">
        <f>IFERROR(__xludf.DUMMYFUNCTION("""COMPUTED_VALUE"""),0.2)</f>
        <v>0.2</v>
      </c>
      <c r="E876" s="8" t="str">
        <f>IFERROR(__xludf.DUMMYFUNCTION("""COMPUTED_VALUE"""),"Real")</f>
        <v>Real</v>
      </c>
      <c r="G876" s="8">
        <f t="shared" si="1"/>
        <v>12</v>
      </c>
      <c r="H876" s="14">
        <f t="shared" si="2"/>
        <v>7</v>
      </c>
      <c r="I876" s="15">
        <f t="shared" si="3"/>
        <v>11</v>
      </c>
    </row>
    <row r="877">
      <c r="A877" s="8" t="str">
        <f>IFERROR(__xludf.DUMMYFUNCTION("IF('(INGESTA)Datos_consumo_datadis'!A877&lt;&gt;"""",SPLIT('(INGESTA)Datos_consumo_datadis'!A:A,"",""),"""")"),"ES0031408323131005HX0F")</f>
        <v>ES0031408323131005HX0F</v>
      </c>
      <c r="B877" s="12">
        <f>IFERROR(__xludf.DUMMYFUNCTION("""COMPUTED_VALUE"""),44902.0)</f>
        <v>44902</v>
      </c>
      <c r="C877" s="13">
        <f>IFERROR(__xludf.DUMMYFUNCTION("""COMPUTED_VALUE"""),0.5)</f>
        <v>0.5</v>
      </c>
      <c r="D877" s="8">
        <f>IFERROR(__xludf.DUMMYFUNCTION("""COMPUTED_VALUE"""),0.052)</f>
        <v>0.052</v>
      </c>
      <c r="E877" s="8" t="str">
        <f>IFERROR(__xludf.DUMMYFUNCTION("""COMPUTED_VALUE"""),"Real")</f>
        <v>Real</v>
      </c>
      <c r="G877" s="8">
        <f t="shared" si="1"/>
        <v>12</v>
      </c>
      <c r="H877" s="14">
        <f t="shared" si="2"/>
        <v>7</v>
      </c>
      <c r="I877" s="15">
        <f t="shared" si="3"/>
        <v>12</v>
      </c>
    </row>
    <row r="878">
      <c r="A878" s="8" t="str">
        <f>IFERROR(__xludf.DUMMYFUNCTION("IF('(INGESTA)Datos_consumo_datadis'!A878&lt;&gt;"""",SPLIT('(INGESTA)Datos_consumo_datadis'!A:A,"",""),"""")"),"ES0031408323131005HX0F")</f>
        <v>ES0031408323131005HX0F</v>
      </c>
      <c r="B878" s="12">
        <f>IFERROR(__xludf.DUMMYFUNCTION("""COMPUTED_VALUE"""),44902.0)</f>
        <v>44902</v>
      </c>
      <c r="C878" s="13">
        <f>IFERROR(__xludf.DUMMYFUNCTION("""COMPUTED_VALUE"""),0.5416666666666666)</f>
        <v>0.5416666667</v>
      </c>
      <c r="D878" s="8">
        <f>IFERROR(__xludf.DUMMYFUNCTION("""COMPUTED_VALUE"""),0.36)</f>
        <v>0.36</v>
      </c>
      <c r="E878" s="8" t="str">
        <f>IFERROR(__xludf.DUMMYFUNCTION("""COMPUTED_VALUE"""),"Real")</f>
        <v>Real</v>
      </c>
      <c r="G878" s="8">
        <f t="shared" si="1"/>
        <v>12</v>
      </c>
      <c r="H878" s="14">
        <f t="shared" si="2"/>
        <v>7</v>
      </c>
      <c r="I878" s="15">
        <f t="shared" si="3"/>
        <v>13</v>
      </c>
    </row>
    <row r="879">
      <c r="A879" s="8" t="str">
        <f>IFERROR(__xludf.DUMMYFUNCTION("IF('(INGESTA)Datos_consumo_datadis'!A879&lt;&gt;"""",SPLIT('(INGESTA)Datos_consumo_datadis'!A:A,"",""),"""")"),"ES0031408323131005HX0F")</f>
        <v>ES0031408323131005HX0F</v>
      </c>
      <c r="B879" s="12">
        <f>IFERROR(__xludf.DUMMYFUNCTION("""COMPUTED_VALUE"""),44902.0)</f>
        <v>44902</v>
      </c>
      <c r="C879" s="13">
        <f>IFERROR(__xludf.DUMMYFUNCTION("""COMPUTED_VALUE"""),0.5833333333333334)</f>
        <v>0.5833333333</v>
      </c>
      <c r="D879" s="8">
        <f>IFERROR(__xludf.DUMMYFUNCTION("""COMPUTED_VALUE"""),0.05)</f>
        <v>0.05</v>
      </c>
      <c r="E879" s="8" t="str">
        <f>IFERROR(__xludf.DUMMYFUNCTION("""COMPUTED_VALUE"""),"Real")</f>
        <v>Real</v>
      </c>
      <c r="G879" s="8">
        <f t="shared" si="1"/>
        <v>12</v>
      </c>
      <c r="H879" s="14">
        <f t="shared" si="2"/>
        <v>7</v>
      </c>
      <c r="I879" s="15">
        <f t="shared" si="3"/>
        <v>14</v>
      </c>
    </row>
    <row r="880">
      <c r="A880" s="8" t="str">
        <f>IFERROR(__xludf.DUMMYFUNCTION("IF('(INGESTA)Datos_consumo_datadis'!A880&lt;&gt;"""",SPLIT('(INGESTA)Datos_consumo_datadis'!A:A,"",""),"""")"),"ES0031408323131005HX0F")</f>
        <v>ES0031408323131005HX0F</v>
      </c>
      <c r="B880" s="12">
        <f>IFERROR(__xludf.DUMMYFUNCTION("""COMPUTED_VALUE"""),44902.0)</f>
        <v>44902</v>
      </c>
      <c r="C880" s="13">
        <f>IFERROR(__xludf.DUMMYFUNCTION("""COMPUTED_VALUE"""),0.625)</f>
        <v>0.625</v>
      </c>
      <c r="D880" s="8">
        <f>IFERROR(__xludf.DUMMYFUNCTION("""COMPUTED_VALUE"""),0.015)</f>
        <v>0.015</v>
      </c>
      <c r="E880" s="8" t="str">
        <f>IFERROR(__xludf.DUMMYFUNCTION("""COMPUTED_VALUE"""),"Real")</f>
        <v>Real</v>
      </c>
      <c r="G880" s="8">
        <f t="shared" si="1"/>
        <v>12</v>
      </c>
      <c r="H880" s="14">
        <f t="shared" si="2"/>
        <v>7</v>
      </c>
      <c r="I880" s="15">
        <f t="shared" si="3"/>
        <v>15</v>
      </c>
    </row>
    <row r="881">
      <c r="A881" s="8" t="str">
        <f>IFERROR(__xludf.DUMMYFUNCTION("IF('(INGESTA)Datos_consumo_datadis'!A881&lt;&gt;"""",SPLIT('(INGESTA)Datos_consumo_datadis'!A:A,"",""),"""")"),"ES0031408323131005HX0F")</f>
        <v>ES0031408323131005HX0F</v>
      </c>
      <c r="B881" s="12">
        <f>IFERROR(__xludf.DUMMYFUNCTION("""COMPUTED_VALUE"""),44902.0)</f>
        <v>44902</v>
      </c>
      <c r="C881" s="13">
        <f>IFERROR(__xludf.DUMMYFUNCTION("""COMPUTED_VALUE"""),0.6666666666666666)</f>
        <v>0.6666666667</v>
      </c>
      <c r="D881" s="8">
        <f>IFERROR(__xludf.DUMMYFUNCTION("""COMPUTED_VALUE"""),0.068)</f>
        <v>0.068</v>
      </c>
      <c r="E881" s="8" t="str">
        <f>IFERROR(__xludf.DUMMYFUNCTION("""COMPUTED_VALUE"""),"Real")</f>
        <v>Real</v>
      </c>
      <c r="G881" s="8">
        <f t="shared" si="1"/>
        <v>12</v>
      </c>
      <c r="H881" s="14">
        <f t="shared" si="2"/>
        <v>7</v>
      </c>
      <c r="I881" s="15">
        <f t="shared" si="3"/>
        <v>16</v>
      </c>
    </row>
    <row r="882">
      <c r="A882" s="8" t="str">
        <f>IFERROR(__xludf.DUMMYFUNCTION("IF('(INGESTA)Datos_consumo_datadis'!A882&lt;&gt;"""",SPLIT('(INGESTA)Datos_consumo_datadis'!A:A,"",""),"""")"),"ES0031408323131005HX0F")</f>
        <v>ES0031408323131005HX0F</v>
      </c>
      <c r="B882" s="12">
        <f>IFERROR(__xludf.DUMMYFUNCTION("""COMPUTED_VALUE"""),44902.0)</f>
        <v>44902</v>
      </c>
      <c r="C882" s="13">
        <f>IFERROR(__xludf.DUMMYFUNCTION("""COMPUTED_VALUE"""),0.7083333333333334)</f>
        <v>0.7083333333</v>
      </c>
      <c r="D882" s="8">
        <f>IFERROR(__xludf.DUMMYFUNCTION("""COMPUTED_VALUE"""),0.04)</f>
        <v>0.04</v>
      </c>
      <c r="E882" s="8" t="str">
        <f>IFERROR(__xludf.DUMMYFUNCTION("""COMPUTED_VALUE"""),"Real")</f>
        <v>Real</v>
      </c>
      <c r="G882" s="8">
        <f t="shared" si="1"/>
        <v>12</v>
      </c>
      <c r="H882" s="14">
        <f t="shared" si="2"/>
        <v>7</v>
      </c>
      <c r="I882" s="15">
        <f t="shared" si="3"/>
        <v>17</v>
      </c>
    </row>
    <row r="883">
      <c r="A883" s="8" t="str">
        <f>IFERROR(__xludf.DUMMYFUNCTION("IF('(INGESTA)Datos_consumo_datadis'!A883&lt;&gt;"""",SPLIT('(INGESTA)Datos_consumo_datadis'!A:A,"",""),"""")"),"ES0031408323131005HX0F")</f>
        <v>ES0031408323131005HX0F</v>
      </c>
      <c r="B883" s="12">
        <f>IFERROR(__xludf.DUMMYFUNCTION("""COMPUTED_VALUE"""),44902.0)</f>
        <v>44902</v>
      </c>
      <c r="C883" s="13">
        <f>IFERROR(__xludf.DUMMYFUNCTION("""COMPUTED_VALUE"""),0.75)</f>
        <v>0.75</v>
      </c>
      <c r="D883" s="8">
        <f>IFERROR(__xludf.DUMMYFUNCTION("""COMPUTED_VALUE"""),0.052)</f>
        <v>0.052</v>
      </c>
      <c r="E883" s="8" t="str">
        <f>IFERROR(__xludf.DUMMYFUNCTION("""COMPUTED_VALUE"""),"Real")</f>
        <v>Real</v>
      </c>
      <c r="G883" s="8">
        <f t="shared" si="1"/>
        <v>12</v>
      </c>
      <c r="H883" s="14">
        <f t="shared" si="2"/>
        <v>7</v>
      </c>
      <c r="I883" s="15">
        <f t="shared" si="3"/>
        <v>18</v>
      </c>
    </row>
    <row r="884">
      <c r="A884" s="8" t="str">
        <f>IFERROR(__xludf.DUMMYFUNCTION("IF('(INGESTA)Datos_consumo_datadis'!A884&lt;&gt;"""",SPLIT('(INGESTA)Datos_consumo_datadis'!A:A,"",""),"""")"),"ES0031408323131005HX0F")</f>
        <v>ES0031408323131005HX0F</v>
      </c>
      <c r="B884" s="12">
        <f>IFERROR(__xludf.DUMMYFUNCTION("""COMPUTED_VALUE"""),44902.0)</f>
        <v>44902</v>
      </c>
      <c r="C884" s="13">
        <f>IFERROR(__xludf.DUMMYFUNCTION("""COMPUTED_VALUE"""),0.7916666666666666)</f>
        <v>0.7916666667</v>
      </c>
      <c r="D884" s="8">
        <f>IFERROR(__xludf.DUMMYFUNCTION("""COMPUTED_VALUE"""),0.355)</f>
        <v>0.355</v>
      </c>
      <c r="E884" s="8" t="str">
        <f>IFERROR(__xludf.DUMMYFUNCTION("""COMPUTED_VALUE"""),"Real")</f>
        <v>Real</v>
      </c>
      <c r="G884" s="8">
        <f t="shared" si="1"/>
        <v>12</v>
      </c>
      <c r="H884" s="14">
        <f t="shared" si="2"/>
        <v>7</v>
      </c>
      <c r="I884" s="15">
        <f t="shared" si="3"/>
        <v>19</v>
      </c>
    </row>
    <row r="885">
      <c r="A885" s="8" t="str">
        <f>IFERROR(__xludf.DUMMYFUNCTION("IF('(INGESTA)Datos_consumo_datadis'!A885&lt;&gt;"""",SPLIT('(INGESTA)Datos_consumo_datadis'!A:A,"",""),"""")"),"ES0031408323131005HX0F")</f>
        <v>ES0031408323131005HX0F</v>
      </c>
      <c r="B885" s="12">
        <f>IFERROR(__xludf.DUMMYFUNCTION("""COMPUTED_VALUE"""),44902.0)</f>
        <v>44902</v>
      </c>
      <c r="C885" s="13">
        <f>IFERROR(__xludf.DUMMYFUNCTION("""COMPUTED_VALUE"""),0.8333333333333334)</f>
        <v>0.8333333333</v>
      </c>
      <c r="D885" s="8">
        <f>IFERROR(__xludf.DUMMYFUNCTION("""COMPUTED_VALUE"""),0.055)</f>
        <v>0.055</v>
      </c>
      <c r="E885" s="8" t="str">
        <f>IFERROR(__xludf.DUMMYFUNCTION("""COMPUTED_VALUE"""),"Real")</f>
        <v>Real</v>
      </c>
      <c r="G885" s="8">
        <f t="shared" si="1"/>
        <v>12</v>
      </c>
      <c r="H885" s="14">
        <f t="shared" si="2"/>
        <v>7</v>
      </c>
      <c r="I885" s="15">
        <f t="shared" si="3"/>
        <v>20</v>
      </c>
    </row>
    <row r="886">
      <c r="A886" s="8" t="str">
        <f>IFERROR(__xludf.DUMMYFUNCTION("IF('(INGESTA)Datos_consumo_datadis'!A886&lt;&gt;"""",SPLIT('(INGESTA)Datos_consumo_datadis'!A:A,"",""),"""")"),"ES0031408323131005HX0F")</f>
        <v>ES0031408323131005HX0F</v>
      </c>
      <c r="B886" s="12">
        <f>IFERROR(__xludf.DUMMYFUNCTION("""COMPUTED_VALUE"""),44902.0)</f>
        <v>44902</v>
      </c>
      <c r="C886" s="13">
        <f>IFERROR(__xludf.DUMMYFUNCTION("""COMPUTED_VALUE"""),0.875)</f>
        <v>0.875</v>
      </c>
      <c r="D886" s="8">
        <f>IFERROR(__xludf.DUMMYFUNCTION("""COMPUTED_VALUE"""),0.102)</f>
        <v>0.102</v>
      </c>
      <c r="E886" s="8" t="str">
        <f>IFERROR(__xludf.DUMMYFUNCTION("""COMPUTED_VALUE"""),"Real")</f>
        <v>Real</v>
      </c>
      <c r="G886" s="8">
        <f t="shared" si="1"/>
        <v>12</v>
      </c>
      <c r="H886" s="14">
        <f t="shared" si="2"/>
        <v>7</v>
      </c>
      <c r="I886" s="15">
        <f t="shared" si="3"/>
        <v>21</v>
      </c>
    </row>
    <row r="887">
      <c r="A887" s="8" t="str">
        <f>IFERROR(__xludf.DUMMYFUNCTION("IF('(INGESTA)Datos_consumo_datadis'!A887&lt;&gt;"""",SPLIT('(INGESTA)Datos_consumo_datadis'!A:A,"",""),"""")"),"ES0031408323131005HX0F")</f>
        <v>ES0031408323131005HX0F</v>
      </c>
      <c r="B887" s="12">
        <f>IFERROR(__xludf.DUMMYFUNCTION("""COMPUTED_VALUE"""),44902.0)</f>
        <v>44902</v>
      </c>
      <c r="C887" s="13">
        <f>IFERROR(__xludf.DUMMYFUNCTION("""COMPUTED_VALUE"""),0.9166666666666666)</f>
        <v>0.9166666667</v>
      </c>
      <c r="D887" s="8">
        <f>IFERROR(__xludf.DUMMYFUNCTION("""COMPUTED_VALUE"""),0.039)</f>
        <v>0.039</v>
      </c>
      <c r="E887" s="8" t="str">
        <f>IFERROR(__xludf.DUMMYFUNCTION("""COMPUTED_VALUE"""),"Real")</f>
        <v>Real</v>
      </c>
      <c r="G887" s="8">
        <f t="shared" si="1"/>
        <v>12</v>
      </c>
      <c r="H887" s="14">
        <f t="shared" si="2"/>
        <v>7</v>
      </c>
      <c r="I887" s="15">
        <f t="shared" si="3"/>
        <v>22</v>
      </c>
    </row>
    <row r="888">
      <c r="A888" s="8" t="str">
        <f>IFERROR(__xludf.DUMMYFUNCTION("IF('(INGESTA)Datos_consumo_datadis'!A888&lt;&gt;"""",SPLIT('(INGESTA)Datos_consumo_datadis'!A:A,"",""),"""")"),"ES0031408323131005HX0F")</f>
        <v>ES0031408323131005HX0F</v>
      </c>
      <c r="B888" s="12">
        <f>IFERROR(__xludf.DUMMYFUNCTION("""COMPUTED_VALUE"""),44902.0)</f>
        <v>44902</v>
      </c>
      <c r="C888" s="13">
        <f>IFERROR(__xludf.DUMMYFUNCTION("""COMPUTED_VALUE"""),0.9583333333333334)</f>
        <v>0.9583333333</v>
      </c>
      <c r="D888" s="8">
        <f>IFERROR(__xludf.DUMMYFUNCTION("""COMPUTED_VALUE"""),0.039)</f>
        <v>0.039</v>
      </c>
      <c r="E888" s="8" t="str">
        <f>IFERROR(__xludf.DUMMYFUNCTION("""COMPUTED_VALUE"""),"Real")</f>
        <v>Real</v>
      </c>
      <c r="G888" s="8">
        <f t="shared" si="1"/>
        <v>12</v>
      </c>
      <c r="H888" s="14">
        <f t="shared" si="2"/>
        <v>7</v>
      </c>
      <c r="I888" s="15">
        <f t="shared" si="3"/>
        <v>23</v>
      </c>
    </row>
    <row r="889">
      <c r="A889" s="8" t="str">
        <f>IFERROR(__xludf.DUMMYFUNCTION("IF('(INGESTA)Datos_consumo_datadis'!A889&lt;&gt;"""",SPLIT('(INGESTA)Datos_consumo_datadis'!A:A,"",""),"""")"),"ES0031408323131005HX0F")</f>
        <v>ES0031408323131005HX0F</v>
      </c>
      <c r="B889" s="12">
        <f>IFERROR(__xludf.DUMMYFUNCTION("""COMPUTED_VALUE"""),44902.0)</f>
        <v>44902</v>
      </c>
      <c r="C889" s="16">
        <f>IFERROR(__xludf.DUMMYFUNCTION("""COMPUTED_VALUE"""),1.0)</f>
        <v>1</v>
      </c>
      <c r="D889" s="8">
        <f>IFERROR(__xludf.DUMMYFUNCTION("""COMPUTED_VALUE"""),0.464)</f>
        <v>0.464</v>
      </c>
      <c r="E889" s="8" t="str">
        <f>IFERROR(__xludf.DUMMYFUNCTION("""COMPUTED_VALUE"""),"Real")</f>
        <v>Real</v>
      </c>
      <c r="G889" s="8">
        <f t="shared" si="1"/>
        <v>12</v>
      </c>
      <c r="H889" s="14">
        <f t="shared" si="2"/>
        <v>7</v>
      </c>
      <c r="I889" s="15">
        <f t="shared" si="3"/>
        <v>0</v>
      </c>
    </row>
    <row r="890">
      <c r="A890" s="8" t="str">
        <f>IFERROR(__xludf.DUMMYFUNCTION("IF('(INGESTA)Datos_consumo_datadis'!A890&lt;&gt;"""",SPLIT('(INGESTA)Datos_consumo_datadis'!A:A,"",""),"""")"),"ES0031408323131005HX0F")</f>
        <v>ES0031408323131005HX0F</v>
      </c>
      <c r="B890" s="12">
        <f>IFERROR(__xludf.DUMMYFUNCTION("""COMPUTED_VALUE"""),44903.0)</f>
        <v>44903</v>
      </c>
      <c r="C890" s="13">
        <f>IFERROR(__xludf.DUMMYFUNCTION("""COMPUTED_VALUE"""),0.041666666666666664)</f>
        <v>0.04166666667</v>
      </c>
      <c r="D890" s="8">
        <f>IFERROR(__xludf.DUMMYFUNCTION("""COMPUTED_VALUE"""),2.739)</f>
        <v>2.739</v>
      </c>
      <c r="E890" s="8" t="str">
        <f>IFERROR(__xludf.DUMMYFUNCTION("""COMPUTED_VALUE"""),"Real")</f>
        <v>Real</v>
      </c>
      <c r="G890" s="8">
        <f t="shared" si="1"/>
        <v>12</v>
      </c>
      <c r="H890" s="14">
        <f t="shared" si="2"/>
        <v>8</v>
      </c>
      <c r="I890" s="15">
        <f t="shared" si="3"/>
        <v>1</v>
      </c>
    </row>
    <row r="891">
      <c r="A891" s="8" t="str">
        <f>IFERROR(__xludf.DUMMYFUNCTION("IF('(INGESTA)Datos_consumo_datadis'!A891&lt;&gt;"""",SPLIT('(INGESTA)Datos_consumo_datadis'!A:A,"",""),"""")"),"ES0031408323131005HX0F")</f>
        <v>ES0031408323131005HX0F</v>
      </c>
      <c r="B891" s="12">
        <f>IFERROR(__xludf.DUMMYFUNCTION("""COMPUTED_VALUE"""),44903.0)</f>
        <v>44903</v>
      </c>
      <c r="C891" s="13">
        <f>IFERROR(__xludf.DUMMYFUNCTION("""COMPUTED_VALUE"""),0.08333333333333333)</f>
        <v>0.08333333333</v>
      </c>
      <c r="D891" s="8">
        <f>IFERROR(__xludf.DUMMYFUNCTION("""COMPUTED_VALUE"""),1.05)</f>
        <v>1.05</v>
      </c>
      <c r="E891" s="8" t="str">
        <f>IFERROR(__xludf.DUMMYFUNCTION("""COMPUTED_VALUE"""),"Real")</f>
        <v>Real</v>
      </c>
      <c r="G891" s="8">
        <f t="shared" si="1"/>
        <v>12</v>
      </c>
      <c r="H891" s="14">
        <f t="shared" si="2"/>
        <v>8</v>
      </c>
      <c r="I891" s="15">
        <f t="shared" si="3"/>
        <v>2</v>
      </c>
    </row>
    <row r="892">
      <c r="A892" s="8" t="str">
        <f>IFERROR(__xludf.DUMMYFUNCTION("IF('(INGESTA)Datos_consumo_datadis'!A892&lt;&gt;"""",SPLIT('(INGESTA)Datos_consumo_datadis'!A:A,"",""),"""")"),"ES0031408323131005HX0F")</f>
        <v>ES0031408323131005HX0F</v>
      </c>
      <c r="B892" s="12">
        <f>IFERROR(__xludf.DUMMYFUNCTION("""COMPUTED_VALUE"""),44903.0)</f>
        <v>44903</v>
      </c>
      <c r="C892" s="13">
        <f>IFERROR(__xludf.DUMMYFUNCTION("""COMPUTED_VALUE"""),0.125)</f>
        <v>0.125</v>
      </c>
      <c r="D892" s="8">
        <f>IFERROR(__xludf.DUMMYFUNCTION("""COMPUTED_VALUE"""),0.986)</f>
        <v>0.986</v>
      </c>
      <c r="E892" s="8" t="str">
        <f>IFERROR(__xludf.DUMMYFUNCTION("""COMPUTED_VALUE"""),"Real")</f>
        <v>Real</v>
      </c>
      <c r="G892" s="8">
        <f t="shared" si="1"/>
        <v>12</v>
      </c>
      <c r="H892" s="14">
        <f t="shared" si="2"/>
        <v>8</v>
      </c>
      <c r="I892" s="15">
        <f t="shared" si="3"/>
        <v>3</v>
      </c>
    </row>
    <row r="893">
      <c r="A893" s="8" t="str">
        <f>IFERROR(__xludf.DUMMYFUNCTION("IF('(INGESTA)Datos_consumo_datadis'!A893&lt;&gt;"""",SPLIT('(INGESTA)Datos_consumo_datadis'!A:A,"",""),"""")"),"ES0031408323131005HX0F")</f>
        <v>ES0031408323131005HX0F</v>
      </c>
      <c r="B893" s="12">
        <f>IFERROR(__xludf.DUMMYFUNCTION("""COMPUTED_VALUE"""),44903.0)</f>
        <v>44903</v>
      </c>
      <c r="C893" s="13">
        <f>IFERROR(__xludf.DUMMYFUNCTION("""COMPUTED_VALUE"""),0.16666666666666666)</f>
        <v>0.1666666667</v>
      </c>
      <c r="D893" s="8">
        <f>IFERROR(__xludf.DUMMYFUNCTION("""COMPUTED_VALUE"""),1.369)</f>
        <v>1.369</v>
      </c>
      <c r="E893" s="8" t="str">
        <f>IFERROR(__xludf.DUMMYFUNCTION("""COMPUTED_VALUE"""),"Real")</f>
        <v>Real</v>
      </c>
      <c r="G893" s="8">
        <f t="shared" si="1"/>
        <v>12</v>
      </c>
      <c r="H893" s="14">
        <f t="shared" si="2"/>
        <v>8</v>
      </c>
      <c r="I893" s="15">
        <f t="shared" si="3"/>
        <v>4</v>
      </c>
    </row>
    <row r="894">
      <c r="A894" s="8" t="str">
        <f>IFERROR(__xludf.DUMMYFUNCTION("IF('(INGESTA)Datos_consumo_datadis'!A894&lt;&gt;"""",SPLIT('(INGESTA)Datos_consumo_datadis'!A:A,"",""),"""")"),"ES0031408323131005HX0F")</f>
        <v>ES0031408323131005HX0F</v>
      </c>
      <c r="B894" s="12">
        <f>IFERROR(__xludf.DUMMYFUNCTION("""COMPUTED_VALUE"""),44903.0)</f>
        <v>44903</v>
      </c>
      <c r="C894" s="13">
        <f>IFERROR(__xludf.DUMMYFUNCTION("""COMPUTED_VALUE"""),0.20833333333333334)</f>
        <v>0.2083333333</v>
      </c>
      <c r="D894" s="8">
        <f>IFERROR(__xludf.DUMMYFUNCTION("""COMPUTED_VALUE"""),0.969)</f>
        <v>0.969</v>
      </c>
      <c r="E894" s="8" t="str">
        <f>IFERROR(__xludf.DUMMYFUNCTION("""COMPUTED_VALUE"""),"Real")</f>
        <v>Real</v>
      </c>
      <c r="G894" s="8">
        <f t="shared" si="1"/>
        <v>12</v>
      </c>
      <c r="H894" s="14">
        <f t="shared" si="2"/>
        <v>8</v>
      </c>
      <c r="I894" s="15">
        <f t="shared" si="3"/>
        <v>5</v>
      </c>
    </row>
    <row r="895">
      <c r="A895" s="8" t="str">
        <f>IFERROR(__xludf.DUMMYFUNCTION("IF('(INGESTA)Datos_consumo_datadis'!A895&lt;&gt;"""",SPLIT('(INGESTA)Datos_consumo_datadis'!A:A,"",""),"""")"),"ES0031408323131005HX0F")</f>
        <v>ES0031408323131005HX0F</v>
      </c>
      <c r="B895" s="12">
        <f>IFERROR(__xludf.DUMMYFUNCTION("""COMPUTED_VALUE"""),44903.0)</f>
        <v>44903</v>
      </c>
      <c r="C895" s="13">
        <f>IFERROR(__xludf.DUMMYFUNCTION("""COMPUTED_VALUE"""),0.25)</f>
        <v>0.25</v>
      </c>
      <c r="D895" s="8">
        <f>IFERROR(__xludf.DUMMYFUNCTION("""COMPUTED_VALUE"""),0.978)</f>
        <v>0.978</v>
      </c>
      <c r="E895" s="8" t="str">
        <f>IFERROR(__xludf.DUMMYFUNCTION("""COMPUTED_VALUE"""),"Real")</f>
        <v>Real</v>
      </c>
      <c r="G895" s="8">
        <f t="shared" si="1"/>
        <v>12</v>
      </c>
      <c r="H895" s="14">
        <f t="shared" si="2"/>
        <v>8</v>
      </c>
      <c r="I895" s="15">
        <f t="shared" si="3"/>
        <v>6</v>
      </c>
    </row>
    <row r="896">
      <c r="A896" s="8" t="str">
        <f>IFERROR(__xludf.DUMMYFUNCTION("IF('(INGESTA)Datos_consumo_datadis'!A896&lt;&gt;"""",SPLIT('(INGESTA)Datos_consumo_datadis'!A:A,"",""),"""")"),"ES0031408323131005HX0F")</f>
        <v>ES0031408323131005HX0F</v>
      </c>
      <c r="B896" s="12">
        <f>IFERROR(__xludf.DUMMYFUNCTION("""COMPUTED_VALUE"""),44903.0)</f>
        <v>44903</v>
      </c>
      <c r="C896" s="13">
        <f>IFERROR(__xludf.DUMMYFUNCTION("""COMPUTED_VALUE"""),0.2916666666666667)</f>
        <v>0.2916666667</v>
      </c>
      <c r="D896" s="8">
        <f>IFERROR(__xludf.DUMMYFUNCTION("""COMPUTED_VALUE"""),0.994)</f>
        <v>0.994</v>
      </c>
      <c r="E896" s="8" t="str">
        <f>IFERROR(__xludf.DUMMYFUNCTION("""COMPUTED_VALUE"""),"Real")</f>
        <v>Real</v>
      </c>
      <c r="G896" s="8">
        <f t="shared" si="1"/>
        <v>12</v>
      </c>
      <c r="H896" s="14">
        <f t="shared" si="2"/>
        <v>8</v>
      </c>
      <c r="I896" s="15">
        <f t="shared" si="3"/>
        <v>7</v>
      </c>
    </row>
    <row r="897">
      <c r="A897" s="8" t="str">
        <f>IFERROR(__xludf.DUMMYFUNCTION("IF('(INGESTA)Datos_consumo_datadis'!A897&lt;&gt;"""",SPLIT('(INGESTA)Datos_consumo_datadis'!A:A,"",""),"""")"),"ES0031408323131005HX0F")</f>
        <v>ES0031408323131005HX0F</v>
      </c>
      <c r="B897" s="12">
        <f>IFERROR(__xludf.DUMMYFUNCTION("""COMPUTED_VALUE"""),44903.0)</f>
        <v>44903</v>
      </c>
      <c r="C897" s="13">
        <f>IFERROR(__xludf.DUMMYFUNCTION("""COMPUTED_VALUE"""),0.3333333333333333)</f>
        <v>0.3333333333</v>
      </c>
      <c r="D897" s="8">
        <f>IFERROR(__xludf.DUMMYFUNCTION("""COMPUTED_VALUE"""),0.93)</f>
        <v>0.93</v>
      </c>
      <c r="E897" s="8" t="str">
        <f>IFERROR(__xludf.DUMMYFUNCTION("""COMPUTED_VALUE"""),"Real")</f>
        <v>Real</v>
      </c>
      <c r="G897" s="8">
        <f t="shared" si="1"/>
        <v>12</v>
      </c>
      <c r="H897" s="14">
        <f t="shared" si="2"/>
        <v>8</v>
      </c>
      <c r="I897" s="15">
        <f t="shared" si="3"/>
        <v>8</v>
      </c>
    </row>
    <row r="898">
      <c r="A898" s="8" t="str">
        <f>IFERROR(__xludf.DUMMYFUNCTION("IF('(INGESTA)Datos_consumo_datadis'!A898&lt;&gt;"""",SPLIT('(INGESTA)Datos_consumo_datadis'!A:A,"",""),"""")"),"ES0031408323131005HX0F")</f>
        <v>ES0031408323131005HX0F</v>
      </c>
      <c r="B898" s="12">
        <f>IFERROR(__xludf.DUMMYFUNCTION("""COMPUTED_VALUE"""),44903.0)</f>
        <v>44903</v>
      </c>
      <c r="C898" s="13">
        <f>IFERROR(__xludf.DUMMYFUNCTION("""COMPUTED_VALUE"""),0.375)</f>
        <v>0.375</v>
      </c>
      <c r="D898" s="8">
        <f>IFERROR(__xludf.DUMMYFUNCTION("""COMPUTED_VALUE"""),0.995)</f>
        <v>0.995</v>
      </c>
      <c r="E898" s="8" t="str">
        <f>IFERROR(__xludf.DUMMYFUNCTION("""COMPUTED_VALUE"""),"Real")</f>
        <v>Real</v>
      </c>
      <c r="G898" s="8">
        <f t="shared" si="1"/>
        <v>12</v>
      </c>
      <c r="H898" s="14">
        <f t="shared" si="2"/>
        <v>8</v>
      </c>
      <c r="I898" s="15">
        <f t="shared" si="3"/>
        <v>9</v>
      </c>
    </row>
    <row r="899">
      <c r="A899" s="8" t="str">
        <f>IFERROR(__xludf.DUMMYFUNCTION("IF('(INGESTA)Datos_consumo_datadis'!A899&lt;&gt;"""",SPLIT('(INGESTA)Datos_consumo_datadis'!A:A,"",""),"""")"),"ES0031408323131005HX0F")</f>
        <v>ES0031408323131005HX0F</v>
      </c>
      <c r="B899" s="12">
        <f>IFERROR(__xludf.DUMMYFUNCTION("""COMPUTED_VALUE"""),44903.0)</f>
        <v>44903</v>
      </c>
      <c r="C899" s="13">
        <f>IFERROR(__xludf.DUMMYFUNCTION("""COMPUTED_VALUE"""),0.4166666666666667)</f>
        <v>0.4166666667</v>
      </c>
      <c r="D899" s="8">
        <f>IFERROR(__xludf.DUMMYFUNCTION("""COMPUTED_VALUE"""),1.09)</f>
        <v>1.09</v>
      </c>
      <c r="E899" s="8" t="str">
        <f>IFERROR(__xludf.DUMMYFUNCTION("""COMPUTED_VALUE"""),"Real")</f>
        <v>Real</v>
      </c>
      <c r="G899" s="8">
        <f t="shared" si="1"/>
        <v>12</v>
      </c>
      <c r="H899" s="14">
        <f t="shared" si="2"/>
        <v>8</v>
      </c>
      <c r="I899" s="15">
        <f t="shared" si="3"/>
        <v>10</v>
      </c>
    </row>
    <row r="900">
      <c r="A900" s="8" t="str">
        <f>IFERROR(__xludf.DUMMYFUNCTION("IF('(INGESTA)Datos_consumo_datadis'!A900&lt;&gt;"""",SPLIT('(INGESTA)Datos_consumo_datadis'!A:A,"",""),"""")"),"ES0031408323131005HX0F")</f>
        <v>ES0031408323131005HX0F</v>
      </c>
      <c r="B900" s="12">
        <f>IFERROR(__xludf.DUMMYFUNCTION("""COMPUTED_VALUE"""),44903.0)</f>
        <v>44903</v>
      </c>
      <c r="C900" s="13">
        <f>IFERROR(__xludf.DUMMYFUNCTION("""COMPUTED_VALUE"""),0.4583333333333333)</f>
        <v>0.4583333333</v>
      </c>
      <c r="D900" s="8">
        <f>IFERROR(__xludf.DUMMYFUNCTION("""COMPUTED_VALUE"""),1.728)</f>
        <v>1.728</v>
      </c>
      <c r="E900" s="8" t="str">
        <f>IFERROR(__xludf.DUMMYFUNCTION("""COMPUTED_VALUE"""),"Real")</f>
        <v>Real</v>
      </c>
      <c r="G900" s="8">
        <f t="shared" si="1"/>
        <v>12</v>
      </c>
      <c r="H900" s="14">
        <f t="shared" si="2"/>
        <v>8</v>
      </c>
      <c r="I900" s="15">
        <f t="shared" si="3"/>
        <v>11</v>
      </c>
    </row>
    <row r="901">
      <c r="A901" s="8" t="str">
        <f>IFERROR(__xludf.DUMMYFUNCTION("IF('(INGESTA)Datos_consumo_datadis'!A901&lt;&gt;"""",SPLIT('(INGESTA)Datos_consumo_datadis'!A:A,"",""),"""")"),"ES0031408323131005HX0F")</f>
        <v>ES0031408323131005HX0F</v>
      </c>
      <c r="B901" s="12">
        <f>IFERROR(__xludf.DUMMYFUNCTION("""COMPUTED_VALUE"""),44903.0)</f>
        <v>44903</v>
      </c>
      <c r="C901" s="13">
        <f>IFERROR(__xludf.DUMMYFUNCTION("""COMPUTED_VALUE"""),0.5)</f>
        <v>0.5</v>
      </c>
      <c r="D901" s="8">
        <f>IFERROR(__xludf.DUMMYFUNCTION("""COMPUTED_VALUE"""),1.762)</f>
        <v>1.762</v>
      </c>
      <c r="E901" s="8" t="str">
        <f>IFERROR(__xludf.DUMMYFUNCTION("""COMPUTED_VALUE"""),"Real")</f>
        <v>Real</v>
      </c>
      <c r="G901" s="8">
        <f t="shared" si="1"/>
        <v>12</v>
      </c>
      <c r="H901" s="14">
        <f t="shared" si="2"/>
        <v>8</v>
      </c>
      <c r="I901" s="15">
        <f t="shared" si="3"/>
        <v>12</v>
      </c>
    </row>
    <row r="902">
      <c r="A902" s="8" t="str">
        <f>IFERROR(__xludf.DUMMYFUNCTION("IF('(INGESTA)Datos_consumo_datadis'!A902&lt;&gt;"""",SPLIT('(INGESTA)Datos_consumo_datadis'!A:A,"",""),"""")"),"ES0031408323131005HX0F")</f>
        <v>ES0031408323131005HX0F</v>
      </c>
      <c r="B902" s="12">
        <f>IFERROR(__xludf.DUMMYFUNCTION("""COMPUTED_VALUE"""),44903.0)</f>
        <v>44903</v>
      </c>
      <c r="C902" s="13">
        <f>IFERROR(__xludf.DUMMYFUNCTION("""COMPUTED_VALUE"""),0.5416666666666666)</f>
        <v>0.5416666667</v>
      </c>
      <c r="D902" s="8">
        <f>IFERROR(__xludf.DUMMYFUNCTION("""COMPUTED_VALUE"""),1.03)</f>
        <v>1.03</v>
      </c>
      <c r="E902" s="8" t="str">
        <f>IFERROR(__xludf.DUMMYFUNCTION("""COMPUTED_VALUE"""),"Real")</f>
        <v>Real</v>
      </c>
      <c r="G902" s="8">
        <f t="shared" si="1"/>
        <v>12</v>
      </c>
      <c r="H902" s="14">
        <f t="shared" si="2"/>
        <v>8</v>
      </c>
      <c r="I902" s="15">
        <f t="shared" si="3"/>
        <v>13</v>
      </c>
    </row>
    <row r="903">
      <c r="A903" s="8" t="str">
        <f>IFERROR(__xludf.DUMMYFUNCTION("IF('(INGESTA)Datos_consumo_datadis'!A903&lt;&gt;"""",SPLIT('(INGESTA)Datos_consumo_datadis'!A:A,"",""),"""")"),"ES0031408323131005HX0F")</f>
        <v>ES0031408323131005HX0F</v>
      </c>
      <c r="B903" s="12">
        <f>IFERROR(__xludf.DUMMYFUNCTION("""COMPUTED_VALUE"""),44903.0)</f>
        <v>44903</v>
      </c>
      <c r="C903" s="13">
        <f>IFERROR(__xludf.DUMMYFUNCTION("""COMPUTED_VALUE"""),0.5833333333333334)</f>
        <v>0.5833333333</v>
      </c>
      <c r="D903" s="8">
        <f>IFERROR(__xludf.DUMMYFUNCTION("""COMPUTED_VALUE"""),1.394)</f>
        <v>1.394</v>
      </c>
      <c r="E903" s="8" t="str">
        <f>IFERROR(__xludf.DUMMYFUNCTION("""COMPUTED_VALUE"""),"Real")</f>
        <v>Real</v>
      </c>
      <c r="G903" s="8">
        <f t="shared" si="1"/>
        <v>12</v>
      </c>
      <c r="H903" s="14">
        <f t="shared" si="2"/>
        <v>8</v>
      </c>
      <c r="I903" s="15">
        <f t="shared" si="3"/>
        <v>14</v>
      </c>
    </row>
    <row r="904">
      <c r="A904" s="8" t="str">
        <f>IFERROR(__xludf.DUMMYFUNCTION("IF('(INGESTA)Datos_consumo_datadis'!A904&lt;&gt;"""",SPLIT('(INGESTA)Datos_consumo_datadis'!A:A,"",""),"""")"),"ES0031408323131005HX0F")</f>
        <v>ES0031408323131005HX0F</v>
      </c>
      <c r="B904" s="12">
        <f>IFERROR(__xludf.DUMMYFUNCTION("""COMPUTED_VALUE"""),44903.0)</f>
        <v>44903</v>
      </c>
      <c r="C904" s="13">
        <f>IFERROR(__xludf.DUMMYFUNCTION("""COMPUTED_VALUE"""),0.625)</f>
        <v>0.625</v>
      </c>
      <c r="D904" s="8">
        <f>IFERROR(__xludf.DUMMYFUNCTION("""COMPUTED_VALUE"""),2.235)</f>
        <v>2.235</v>
      </c>
      <c r="E904" s="8" t="str">
        <f>IFERROR(__xludf.DUMMYFUNCTION("""COMPUTED_VALUE"""),"Real")</f>
        <v>Real</v>
      </c>
      <c r="G904" s="8">
        <f t="shared" si="1"/>
        <v>12</v>
      </c>
      <c r="H904" s="14">
        <f t="shared" si="2"/>
        <v>8</v>
      </c>
      <c r="I904" s="15">
        <f t="shared" si="3"/>
        <v>15</v>
      </c>
    </row>
    <row r="905">
      <c r="A905" s="8" t="str">
        <f>IFERROR(__xludf.DUMMYFUNCTION("IF('(INGESTA)Datos_consumo_datadis'!A905&lt;&gt;"""",SPLIT('(INGESTA)Datos_consumo_datadis'!A:A,"",""),"""")"),"ES0031408323131005HX0F")</f>
        <v>ES0031408323131005HX0F</v>
      </c>
      <c r="B905" s="12">
        <f>IFERROR(__xludf.DUMMYFUNCTION("""COMPUTED_VALUE"""),44903.0)</f>
        <v>44903</v>
      </c>
      <c r="C905" s="13">
        <f>IFERROR(__xludf.DUMMYFUNCTION("""COMPUTED_VALUE"""),0.6666666666666666)</f>
        <v>0.6666666667</v>
      </c>
      <c r="D905" s="8">
        <f>IFERROR(__xludf.DUMMYFUNCTION("""COMPUTED_VALUE"""),1.343)</f>
        <v>1.343</v>
      </c>
      <c r="E905" s="8" t="str">
        <f>IFERROR(__xludf.DUMMYFUNCTION("""COMPUTED_VALUE"""),"Real")</f>
        <v>Real</v>
      </c>
      <c r="G905" s="8">
        <f t="shared" si="1"/>
        <v>12</v>
      </c>
      <c r="H905" s="14">
        <f t="shared" si="2"/>
        <v>8</v>
      </c>
      <c r="I905" s="15">
        <f t="shared" si="3"/>
        <v>16</v>
      </c>
    </row>
    <row r="906">
      <c r="A906" s="8" t="str">
        <f>IFERROR(__xludf.DUMMYFUNCTION("IF('(INGESTA)Datos_consumo_datadis'!A906&lt;&gt;"""",SPLIT('(INGESTA)Datos_consumo_datadis'!A:A,"",""),"""")"),"ES0031408323131005HX0F")</f>
        <v>ES0031408323131005HX0F</v>
      </c>
      <c r="B906" s="12">
        <f>IFERROR(__xludf.DUMMYFUNCTION("""COMPUTED_VALUE"""),44903.0)</f>
        <v>44903</v>
      </c>
      <c r="C906" s="13">
        <f>IFERROR(__xludf.DUMMYFUNCTION("""COMPUTED_VALUE"""),0.7083333333333334)</f>
        <v>0.7083333333</v>
      </c>
      <c r="D906" s="8">
        <f>IFERROR(__xludf.DUMMYFUNCTION("""COMPUTED_VALUE"""),1.591)</f>
        <v>1.591</v>
      </c>
      <c r="E906" s="8" t="str">
        <f>IFERROR(__xludf.DUMMYFUNCTION("""COMPUTED_VALUE"""),"Real")</f>
        <v>Real</v>
      </c>
      <c r="G906" s="8">
        <f t="shared" si="1"/>
        <v>12</v>
      </c>
      <c r="H906" s="14">
        <f t="shared" si="2"/>
        <v>8</v>
      </c>
      <c r="I906" s="15">
        <f t="shared" si="3"/>
        <v>17</v>
      </c>
    </row>
    <row r="907">
      <c r="A907" s="8" t="str">
        <f>IFERROR(__xludf.DUMMYFUNCTION("IF('(INGESTA)Datos_consumo_datadis'!A907&lt;&gt;"""",SPLIT('(INGESTA)Datos_consumo_datadis'!A:A,"",""),"""")"),"ES0031408323131005HX0F")</f>
        <v>ES0031408323131005HX0F</v>
      </c>
      <c r="B907" s="12">
        <f>IFERROR(__xludf.DUMMYFUNCTION("""COMPUTED_VALUE"""),44903.0)</f>
        <v>44903</v>
      </c>
      <c r="C907" s="13">
        <f>IFERROR(__xludf.DUMMYFUNCTION("""COMPUTED_VALUE"""),0.75)</f>
        <v>0.75</v>
      </c>
      <c r="D907" s="8">
        <f>IFERROR(__xludf.DUMMYFUNCTION("""COMPUTED_VALUE"""),0.043)</f>
        <v>0.043</v>
      </c>
      <c r="E907" s="8" t="str">
        <f>IFERROR(__xludf.DUMMYFUNCTION("""COMPUTED_VALUE"""),"Real")</f>
        <v>Real</v>
      </c>
      <c r="G907" s="8">
        <f t="shared" si="1"/>
        <v>12</v>
      </c>
      <c r="H907" s="14">
        <f t="shared" si="2"/>
        <v>8</v>
      </c>
      <c r="I907" s="15">
        <f t="shared" si="3"/>
        <v>18</v>
      </c>
    </row>
    <row r="908">
      <c r="A908" s="8" t="str">
        <f>IFERROR(__xludf.DUMMYFUNCTION("IF('(INGESTA)Datos_consumo_datadis'!A908&lt;&gt;"""",SPLIT('(INGESTA)Datos_consumo_datadis'!A:A,"",""),"""")"),"ES0031408323131005HX0F")</f>
        <v>ES0031408323131005HX0F</v>
      </c>
      <c r="B908" s="12">
        <f>IFERROR(__xludf.DUMMYFUNCTION("""COMPUTED_VALUE"""),44903.0)</f>
        <v>44903</v>
      </c>
      <c r="C908" s="13">
        <f>IFERROR(__xludf.DUMMYFUNCTION("""COMPUTED_VALUE"""),0.7916666666666666)</f>
        <v>0.7916666667</v>
      </c>
      <c r="D908" s="8">
        <f>IFERROR(__xludf.DUMMYFUNCTION("""COMPUTED_VALUE"""),0.074)</f>
        <v>0.074</v>
      </c>
      <c r="E908" s="8" t="str">
        <f>IFERROR(__xludf.DUMMYFUNCTION("""COMPUTED_VALUE"""),"Real")</f>
        <v>Real</v>
      </c>
      <c r="G908" s="8">
        <f t="shared" si="1"/>
        <v>12</v>
      </c>
      <c r="H908" s="14">
        <f t="shared" si="2"/>
        <v>8</v>
      </c>
      <c r="I908" s="15">
        <f t="shared" si="3"/>
        <v>19</v>
      </c>
    </row>
    <row r="909">
      <c r="A909" s="8" t="str">
        <f>IFERROR(__xludf.DUMMYFUNCTION("IF('(INGESTA)Datos_consumo_datadis'!A909&lt;&gt;"""",SPLIT('(INGESTA)Datos_consumo_datadis'!A:A,"",""),"""")"),"ES0031408323131005HX0F")</f>
        <v>ES0031408323131005HX0F</v>
      </c>
      <c r="B909" s="12">
        <f>IFERROR(__xludf.DUMMYFUNCTION("""COMPUTED_VALUE"""),44903.0)</f>
        <v>44903</v>
      </c>
      <c r="C909" s="13">
        <f>IFERROR(__xludf.DUMMYFUNCTION("""COMPUTED_VALUE"""),0.8333333333333334)</f>
        <v>0.8333333333</v>
      </c>
      <c r="D909" s="8">
        <f>IFERROR(__xludf.DUMMYFUNCTION("""COMPUTED_VALUE"""),0.042)</f>
        <v>0.042</v>
      </c>
      <c r="E909" s="8" t="str">
        <f>IFERROR(__xludf.DUMMYFUNCTION("""COMPUTED_VALUE"""),"Real")</f>
        <v>Real</v>
      </c>
      <c r="G909" s="8">
        <f t="shared" si="1"/>
        <v>12</v>
      </c>
      <c r="H909" s="14">
        <f t="shared" si="2"/>
        <v>8</v>
      </c>
      <c r="I909" s="15">
        <f t="shared" si="3"/>
        <v>20</v>
      </c>
    </row>
    <row r="910">
      <c r="A910" s="8" t="str">
        <f>IFERROR(__xludf.DUMMYFUNCTION("IF('(INGESTA)Datos_consumo_datadis'!A910&lt;&gt;"""",SPLIT('(INGESTA)Datos_consumo_datadis'!A:A,"",""),"""")"),"ES0031408323131005HX0F")</f>
        <v>ES0031408323131005HX0F</v>
      </c>
      <c r="B910" s="12">
        <f>IFERROR(__xludf.DUMMYFUNCTION("""COMPUTED_VALUE"""),44903.0)</f>
        <v>44903</v>
      </c>
      <c r="C910" s="13">
        <f>IFERROR(__xludf.DUMMYFUNCTION("""COMPUTED_VALUE"""),0.875)</f>
        <v>0.875</v>
      </c>
      <c r="D910" s="8">
        <f>IFERROR(__xludf.DUMMYFUNCTION("""COMPUTED_VALUE"""),0.144)</f>
        <v>0.144</v>
      </c>
      <c r="E910" s="8" t="str">
        <f>IFERROR(__xludf.DUMMYFUNCTION("""COMPUTED_VALUE"""),"Real")</f>
        <v>Real</v>
      </c>
      <c r="G910" s="8">
        <f t="shared" si="1"/>
        <v>12</v>
      </c>
      <c r="H910" s="14">
        <f t="shared" si="2"/>
        <v>8</v>
      </c>
      <c r="I910" s="15">
        <f t="shared" si="3"/>
        <v>21</v>
      </c>
    </row>
    <row r="911">
      <c r="A911" s="8" t="str">
        <f>IFERROR(__xludf.DUMMYFUNCTION("IF('(INGESTA)Datos_consumo_datadis'!A911&lt;&gt;"""",SPLIT('(INGESTA)Datos_consumo_datadis'!A:A,"",""),"""")"),"ES0031408323131005HX0F")</f>
        <v>ES0031408323131005HX0F</v>
      </c>
      <c r="B911" s="12">
        <f>IFERROR(__xludf.DUMMYFUNCTION("""COMPUTED_VALUE"""),44903.0)</f>
        <v>44903</v>
      </c>
      <c r="C911" s="13">
        <f>IFERROR(__xludf.DUMMYFUNCTION("""COMPUTED_VALUE"""),0.9166666666666666)</f>
        <v>0.9166666667</v>
      </c>
      <c r="D911" s="8">
        <f>IFERROR(__xludf.DUMMYFUNCTION("""COMPUTED_VALUE"""),1.842)</f>
        <v>1.842</v>
      </c>
      <c r="E911" s="8" t="str">
        <f>IFERROR(__xludf.DUMMYFUNCTION("""COMPUTED_VALUE"""),"Real")</f>
        <v>Real</v>
      </c>
      <c r="G911" s="8">
        <f t="shared" si="1"/>
        <v>12</v>
      </c>
      <c r="H911" s="14">
        <f t="shared" si="2"/>
        <v>8</v>
      </c>
      <c r="I911" s="15">
        <f t="shared" si="3"/>
        <v>22</v>
      </c>
    </row>
    <row r="912">
      <c r="A912" s="8" t="str">
        <f>IFERROR(__xludf.DUMMYFUNCTION("IF('(INGESTA)Datos_consumo_datadis'!A912&lt;&gt;"""",SPLIT('(INGESTA)Datos_consumo_datadis'!A:A,"",""),"""")"),"ES0031408323131005HX0F")</f>
        <v>ES0031408323131005HX0F</v>
      </c>
      <c r="B912" s="12">
        <f>IFERROR(__xludf.DUMMYFUNCTION("""COMPUTED_VALUE"""),44903.0)</f>
        <v>44903</v>
      </c>
      <c r="C912" s="13">
        <f>IFERROR(__xludf.DUMMYFUNCTION("""COMPUTED_VALUE"""),0.9583333333333334)</f>
        <v>0.9583333333</v>
      </c>
      <c r="D912" s="8">
        <f>IFERROR(__xludf.DUMMYFUNCTION("""COMPUTED_VALUE"""),1.218)</f>
        <v>1.218</v>
      </c>
      <c r="E912" s="8" t="str">
        <f>IFERROR(__xludf.DUMMYFUNCTION("""COMPUTED_VALUE"""),"Real")</f>
        <v>Real</v>
      </c>
      <c r="G912" s="8">
        <f t="shared" si="1"/>
        <v>12</v>
      </c>
      <c r="H912" s="14">
        <f t="shared" si="2"/>
        <v>8</v>
      </c>
      <c r="I912" s="15">
        <f t="shared" si="3"/>
        <v>23</v>
      </c>
    </row>
    <row r="913">
      <c r="A913" s="8" t="str">
        <f>IFERROR(__xludf.DUMMYFUNCTION("IF('(INGESTA)Datos_consumo_datadis'!A913&lt;&gt;"""",SPLIT('(INGESTA)Datos_consumo_datadis'!A:A,"",""),"""")"),"ES0031408323131005HX0F")</f>
        <v>ES0031408323131005HX0F</v>
      </c>
      <c r="B913" s="12">
        <f>IFERROR(__xludf.DUMMYFUNCTION("""COMPUTED_VALUE"""),44903.0)</f>
        <v>44903</v>
      </c>
      <c r="C913" s="16">
        <f>IFERROR(__xludf.DUMMYFUNCTION("""COMPUTED_VALUE"""),1.0)</f>
        <v>1</v>
      </c>
      <c r="D913" s="8">
        <f>IFERROR(__xludf.DUMMYFUNCTION("""COMPUTED_VALUE"""),1.653)</f>
        <v>1.653</v>
      </c>
      <c r="E913" s="8" t="str">
        <f>IFERROR(__xludf.DUMMYFUNCTION("""COMPUTED_VALUE"""),"Real")</f>
        <v>Real</v>
      </c>
      <c r="G913" s="8">
        <f t="shared" si="1"/>
        <v>12</v>
      </c>
      <c r="H913" s="14">
        <f t="shared" si="2"/>
        <v>8</v>
      </c>
      <c r="I913" s="15">
        <f t="shared" si="3"/>
        <v>0</v>
      </c>
    </row>
    <row r="914">
      <c r="A914" s="8" t="str">
        <f>IFERROR(__xludf.DUMMYFUNCTION("IF('(INGESTA)Datos_consumo_datadis'!A914&lt;&gt;"""",SPLIT('(INGESTA)Datos_consumo_datadis'!A:A,"",""),"""")"),"ES0031408323131005HX0F")</f>
        <v>ES0031408323131005HX0F</v>
      </c>
      <c r="B914" s="12">
        <f>IFERROR(__xludf.DUMMYFUNCTION("""COMPUTED_VALUE"""),44904.0)</f>
        <v>44904</v>
      </c>
      <c r="C914" s="13">
        <f>IFERROR(__xludf.DUMMYFUNCTION("""COMPUTED_VALUE"""),0.041666666666666664)</f>
        <v>0.04166666667</v>
      </c>
      <c r="D914" s="8">
        <f>IFERROR(__xludf.DUMMYFUNCTION("""COMPUTED_VALUE"""),0.966)</f>
        <v>0.966</v>
      </c>
      <c r="E914" s="8" t="str">
        <f>IFERROR(__xludf.DUMMYFUNCTION("""COMPUTED_VALUE"""),"Real")</f>
        <v>Real</v>
      </c>
      <c r="G914" s="8">
        <f t="shared" si="1"/>
        <v>12</v>
      </c>
      <c r="H914" s="14">
        <f t="shared" si="2"/>
        <v>9</v>
      </c>
      <c r="I914" s="15">
        <f t="shared" si="3"/>
        <v>1</v>
      </c>
    </row>
    <row r="915">
      <c r="A915" s="8" t="str">
        <f>IFERROR(__xludf.DUMMYFUNCTION("IF('(INGESTA)Datos_consumo_datadis'!A915&lt;&gt;"""",SPLIT('(INGESTA)Datos_consumo_datadis'!A:A,"",""),"""")"),"ES0031408323131005HX0F")</f>
        <v>ES0031408323131005HX0F</v>
      </c>
      <c r="B915" s="12">
        <f>IFERROR(__xludf.DUMMYFUNCTION("""COMPUTED_VALUE"""),44904.0)</f>
        <v>44904</v>
      </c>
      <c r="C915" s="13">
        <f>IFERROR(__xludf.DUMMYFUNCTION("""COMPUTED_VALUE"""),0.08333333333333333)</f>
        <v>0.08333333333</v>
      </c>
      <c r="D915" s="8">
        <f>IFERROR(__xludf.DUMMYFUNCTION("""COMPUTED_VALUE"""),0.969)</f>
        <v>0.969</v>
      </c>
      <c r="E915" s="8" t="str">
        <f>IFERROR(__xludf.DUMMYFUNCTION("""COMPUTED_VALUE"""),"Real")</f>
        <v>Real</v>
      </c>
      <c r="G915" s="8">
        <f t="shared" si="1"/>
        <v>12</v>
      </c>
      <c r="H915" s="14">
        <f t="shared" si="2"/>
        <v>9</v>
      </c>
      <c r="I915" s="15">
        <f t="shared" si="3"/>
        <v>2</v>
      </c>
    </row>
    <row r="916">
      <c r="A916" s="8" t="str">
        <f>IFERROR(__xludf.DUMMYFUNCTION("IF('(INGESTA)Datos_consumo_datadis'!A916&lt;&gt;"""",SPLIT('(INGESTA)Datos_consumo_datadis'!A:A,"",""),"""")"),"ES0031408323131005HX0F")</f>
        <v>ES0031408323131005HX0F</v>
      </c>
      <c r="B916" s="12">
        <f>IFERROR(__xludf.DUMMYFUNCTION("""COMPUTED_VALUE"""),44904.0)</f>
        <v>44904</v>
      </c>
      <c r="C916" s="13">
        <f>IFERROR(__xludf.DUMMYFUNCTION("""COMPUTED_VALUE"""),0.125)</f>
        <v>0.125</v>
      </c>
      <c r="D916" s="8">
        <f>IFERROR(__xludf.DUMMYFUNCTION("""COMPUTED_VALUE"""),1.018)</f>
        <v>1.018</v>
      </c>
      <c r="E916" s="8" t="str">
        <f>IFERROR(__xludf.DUMMYFUNCTION("""COMPUTED_VALUE"""),"Real")</f>
        <v>Real</v>
      </c>
      <c r="G916" s="8">
        <f t="shared" si="1"/>
        <v>12</v>
      </c>
      <c r="H916" s="14">
        <f t="shared" si="2"/>
        <v>9</v>
      </c>
      <c r="I916" s="15">
        <f t="shared" si="3"/>
        <v>3</v>
      </c>
    </row>
    <row r="917">
      <c r="A917" s="8" t="str">
        <f>IFERROR(__xludf.DUMMYFUNCTION("IF('(INGESTA)Datos_consumo_datadis'!A917&lt;&gt;"""",SPLIT('(INGESTA)Datos_consumo_datadis'!A:A,"",""),"""")"),"ES0031408323131005HX0F")</f>
        <v>ES0031408323131005HX0F</v>
      </c>
      <c r="B917" s="12">
        <f>IFERROR(__xludf.DUMMYFUNCTION("""COMPUTED_VALUE"""),44904.0)</f>
        <v>44904</v>
      </c>
      <c r="C917" s="13">
        <f>IFERROR(__xludf.DUMMYFUNCTION("""COMPUTED_VALUE"""),0.16666666666666666)</f>
        <v>0.1666666667</v>
      </c>
      <c r="D917" s="8">
        <f>IFERROR(__xludf.DUMMYFUNCTION("""COMPUTED_VALUE"""),0.944)</f>
        <v>0.944</v>
      </c>
      <c r="E917" s="8" t="str">
        <f>IFERROR(__xludf.DUMMYFUNCTION("""COMPUTED_VALUE"""),"Real")</f>
        <v>Real</v>
      </c>
      <c r="G917" s="8">
        <f t="shared" si="1"/>
        <v>12</v>
      </c>
      <c r="H917" s="14">
        <f t="shared" si="2"/>
        <v>9</v>
      </c>
      <c r="I917" s="15">
        <f t="shared" si="3"/>
        <v>4</v>
      </c>
    </row>
    <row r="918">
      <c r="A918" s="8" t="str">
        <f>IFERROR(__xludf.DUMMYFUNCTION("IF('(INGESTA)Datos_consumo_datadis'!A918&lt;&gt;"""",SPLIT('(INGESTA)Datos_consumo_datadis'!A:A,"",""),"""")"),"ES0031408323131005HX0F")</f>
        <v>ES0031408323131005HX0F</v>
      </c>
      <c r="B918" s="12">
        <f>IFERROR(__xludf.DUMMYFUNCTION("""COMPUTED_VALUE"""),44904.0)</f>
        <v>44904</v>
      </c>
      <c r="C918" s="13">
        <f>IFERROR(__xludf.DUMMYFUNCTION("""COMPUTED_VALUE"""),0.20833333333333334)</f>
        <v>0.2083333333</v>
      </c>
      <c r="D918" s="8">
        <f>IFERROR(__xludf.DUMMYFUNCTION("""COMPUTED_VALUE"""),1.322)</f>
        <v>1.322</v>
      </c>
      <c r="E918" s="8" t="str">
        <f>IFERROR(__xludf.DUMMYFUNCTION("""COMPUTED_VALUE"""),"Real")</f>
        <v>Real</v>
      </c>
      <c r="G918" s="8">
        <f t="shared" si="1"/>
        <v>12</v>
      </c>
      <c r="H918" s="14">
        <f t="shared" si="2"/>
        <v>9</v>
      </c>
      <c r="I918" s="15">
        <f t="shared" si="3"/>
        <v>5</v>
      </c>
    </row>
    <row r="919">
      <c r="A919" s="8" t="str">
        <f>IFERROR(__xludf.DUMMYFUNCTION("IF('(INGESTA)Datos_consumo_datadis'!A919&lt;&gt;"""",SPLIT('(INGESTA)Datos_consumo_datadis'!A:A,"",""),"""")"),"ES0031408323131005HX0F")</f>
        <v>ES0031408323131005HX0F</v>
      </c>
      <c r="B919" s="12">
        <f>IFERROR(__xludf.DUMMYFUNCTION("""COMPUTED_VALUE"""),44904.0)</f>
        <v>44904</v>
      </c>
      <c r="C919" s="13">
        <f>IFERROR(__xludf.DUMMYFUNCTION("""COMPUTED_VALUE"""),0.25)</f>
        <v>0.25</v>
      </c>
      <c r="D919" s="8">
        <f>IFERROR(__xludf.DUMMYFUNCTION("""COMPUTED_VALUE"""),0.951)</f>
        <v>0.951</v>
      </c>
      <c r="E919" s="8" t="str">
        <f>IFERROR(__xludf.DUMMYFUNCTION("""COMPUTED_VALUE"""),"Real")</f>
        <v>Real</v>
      </c>
      <c r="G919" s="8">
        <f t="shared" si="1"/>
        <v>12</v>
      </c>
      <c r="H919" s="14">
        <f t="shared" si="2"/>
        <v>9</v>
      </c>
      <c r="I919" s="15">
        <f t="shared" si="3"/>
        <v>6</v>
      </c>
    </row>
    <row r="920">
      <c r="A920" s="8" t="str">
        <f>IFERROR(__xludf.DUMMYFUNCTION("IF('(INGESTA)Datos_consumo_datadis'!A920&lt;&gt;"""",SPLIT('(INGESTA)Datos_consumo_datadis'!A:A,"",""),"""")"),"ES0031408323131005HX0F")</f>
        <v>ES0031408323131005HX0F</v>
      </c>
      <c r="B920" s="12">
        <f>IFERROR(__xludf.DUMMYFUNCTION("""COMPUTED_VALUE"""),44904.0)</f>
        <v>44904</v>
      </c>
      <c r="C920" s="13">
        <f>IFERROR(__xludf.DUMMYFUNCTION("""COMPUTED_VALUE"""),0.2916666666666667)</f>
        <v>0.2916666667</v>
      </c>
      <c r="D920" s="8">
        <f>IFERROR(__xludf.DUMMYFUNCTION("""COMPUTED_VALUE"""),0.863)</f>
        <v>0.863</v>
      </c>
      <c r="E920" s="8" t="str">
        <f>IFERROR(__xludf.DUMMYFUNCTION("""COMPUTED_VALUE"""),"Real")</f>
        <v>Real</v>
      </c>
      <c r="G920" s="8">
        <f t="shared" si="1"/>
        <v>12</v>
      </c>
      <c r="H920" s="14">
        <f t="shared" si="2"/>
        <v>9</v>
      </c>
      <c r="I920" s="15">
        <f t="shared" si="3"/>
        <v>7</v>
      </c>
    </row>
    <row r="921">
      <c r="A921" s="8" t="str">
        <f>IFERROR(__xludf.DUMMYFUNCTION("IF('(INGESTA)Datos_consumo_datadis'!A921&lt;&gt;"""",SPLIT('(INGESTA)Datos_consumo_datadis'!A:A,"",""),"""")"),"ES0031408323131005HX0F")</f>
        <v>ES0031408323131005HX0F</v>
      </c>
      <c r="B921" s="12">
        <f>IFERROR(__xludf.DUMMYFUNCTION("""COMPUTED_VALUE"""),44904.0)</f>
        <v>44904</v>
      </c>
      <c r="C921" s="13">
        <f>IFERROR(__xludf.DUMMYFUNCTION("""COMPUTED_VALUE"""),0.3333333333333333)</f>
        <v>0.3333333333</v>
      </c>
      <c r="D921" s="8">
        <f>IFERROR(__xludf.DUMMYFUNCTION("""COMPUTED_VALUE"""),0.061)</f>
        <v>0.061</v>
      </c>
      <c r="E921" s="8" t="str">
        <f>IFERROR(__xludf.DUMMYFUNCTION("""COMPUTED_VALUE"""),"Real")</f>
        <v>Real</v>
      </c>
      <c r="G921" s="8">
        <f t="shared" si="1"/>
        <v>12</v>
      </c>
      <c r="H921" s="14">
        <f t="shared" si="2"/>
        <v>9</v>
      </c>
      <c r="I921" s="15">
        <f t="shared" si="3"/>
        <v>8</v>
      </c>
    </row>
    <row r="922">
      <c r="A922" s="8" t="str">
        <f>IFERROR(__xludf.DUMMYFUNCTION("IF('(INGESTA)Datos_consumo_datadis'!A922&lt;&gt;"""",SPLIT('(INGESTA)Datos_consumo_datadis'!A:A,"",""),"""")"),"ES0031408323131005HX0F")</f>
        <v>ES0031408323131005HX0F</v>
      </c>
      <c r="B922" s="12">
        <f>IFERROR(__xludf.DUMMYFUNCTION("""COMPUTED_VALUE"""),44904.0)</f>
        <v>44904</v>
      </c>
      <c r="C922" s="13">
        <f>IFERROR(__xludf.DUMMYFUNCTION("""COMPUTED_VALUE"""),0.375)</f>
        <v>0.375</v>
      </c>
      <c r="D922" s="8">
        <f>IFERROR(__xludf.DUMMYFUNCTION("""COMPUTED_VALUE"""),0.064)</f>
        <v>0.064</v>
      </c>
      <c r="E922" s="8" t="str">
        <f>IFERROR(__xludf.DUMMYFUNCTION("""COMPUTED_VALUE"""),"Real")</f>
        <v>Real</v>
      </c>
      <c r="G922" s="8">
        <f t="shared" si="1"/>
        <v>12</v>
      </c>
      <c r="H922" s="14">
        <f t="shared" si="2"/>
        <v>9</v>
      </c>
      <c r="I922" s="15">
        <f t="shared" si="3"/>
        <v>9</v>
      </c>
    </row>
    <row r="923">
      <c r="A923" s="8" t="str">
        <f>IFERROR(__xludf.DUMMYFUNCTION("IF('(INGESTA)Datos_consumo_datadis'!A923&lt;&gt;"""",SPLIT('(INGESTA)Datos_consumo_datadis'!A:A,"",""),"""")"),"ES0031408323131005HX0F")</f>
        <v>ES0031408323131005HX0F</v>
      </c>
      <c r="B923" s="12">
        <f>IFERROR(__xludf.DUMMYFUNCTION("""COMPUTED_VALUE"""),44904.0)</f>
        <v>44904</v>
      </c>
      <c r="C923" s="13">
        <f>IFERROR(__xludf.DUMMYFUNCTION("""COMPUTED_VALUE"""),0.4166666666666667)</f>
        <v>0.4166666667</v>
      </c>
      <c r="D923" s="8">
        <f>IFERROR(__xludf.DUMMYFUNCTION("""COMPUTED_VALUE"""),0.321)</f>
        <v>0.321</v>
      </c>
      <c r="E923" s="8" t="str">
        <f>IFERROR(__xludf.DUMMYFUNCTION("""COMPUTED_VALUE"""),"Real")</f>
        <v>Real</v>
      </c>
      <c r="G923" s="8">
        <f t="shared" si="1"/>
        <v>12</v>
      </c>
      <c r="H923" s="14">
        <f t="shared" si="2"/>
        <v>9</v>
      </c>
      <c r="I923" s="15">
        <f t="shared" si="3"/>
        <v>10</v>
      </c>
    </row>
    <row r="924">
      <c r="A924" s="8" t="str">
        <f>IFERROR(__xludf.DUMMYFUNCTION("IF('(INGESTA)Datos_consumo_datadis'!A924&lt;&gt;"""",SPLIT('(INGESTA)Datos_consumo_datadis'!A:A,"",""),"""")"),"ES0031408323131005HX0F")</f>
        <v>ES0031408323131005HX0F</v>
      </c>
      <c r="B924" s="12">
        <f>IFERROR(__xludf.DUMMYFUNCTION("""COMPUTED_VALUE"""),44904.0)</f>
        <v>44904</v>
      </c>
      <c r="C924" s="13">
        <f>IFERROR(__xludf.DUMMYFUNCTION("""COMPUTED_VALUE"""),0.4583333333333333)</f>
        <v>0.4583333333</v>
      </c>
      <c r="D924" s="8">
        <f>IFERROR(__xludf.DUMMYFUNCTION("""COMPUTED_VALUE"""),0.035)</f>
        <v>0.035</v>
      </c>
      <c r="E924" s="8" t="str">
        <f>IFERROR(__xludf.DUMMYFUNCTION("""COMPUTED_VALUE"""),"Real")</f>
        <v>Real</v>
      </c>
      <c r="G924" s="8">
        <f t="shared" si="1"/>
        <v>12</v>
      </c>
      <c r="H924" s="14">
        <f t="shared" si="2"/>
        <v>9</v>
      </c>
      <c r="I924" s="15">
        <f t="shared" si="3"/>
        <v>11</v>
      </c>
    </row>
    <row r="925">
      <c r="A925" s="8" t="str">
        <f>IFERROR(__xludf.DUMMYFUNCTION("IF('(INGESTA)Datos_consumo_datadis'!A925&lt;&gt;"""",SPLIT('(INGESTA)Datos_consumo_datadis'!A:A,"",""),"""")"),"ES0031408323131005HX0F")</f>
        <v>ES0031408323131005HX0F</v>
      </c>
      <c r="B925" s="12">
        <f>IFERROR(__xludf.DUMMYFUNCTION("""COMPUTED_VALUE"""),44904.0)</f>
        <v>44904</v>
      </c>
      <c r="C925" s="13">
        <f>IFERROR(__xludf.DUMMYFUNCTION("""COMPUTED_VALUE"""),0.5)</f>
        <v>0.5</v>
      </c>
      <c r="D925" s="8">
        <f>IFERROR(__xludf.DUMMYFUNCTION("""COMPUTED_VALUE"""),0.069)</f>
        <v>0.069</v>
      </c>
      <c r="E925" s="8" t="str">
        <f>IFERROR(__xludf.DUMMYFUNCTION("""COMPUTED_VALUE"""),"Real")</f>
        <v>Real</v>
      </c>
      <c r="G925" s="8">
        <f t="shared" si="1"/>
        <v>12</v>
      </c>
      <c r="H925" s="14">
        <f t="shared" si="2"/>
        <v>9</v>
      </c>
      <c r="I925" s="15">
        <f t="shared" si="3"/>
        <v>12</v>
      </c>
    </row>
    <row r="926">
      <c r="A926" s="8" t="str">
        <f>IFERROR(__xludf.DUMMYFUNCTION("IF('(INGESTA)Datos_consumo_datadis'!A926&lt;&gt;"""",SPLIT('(INGESTA)Datos_consumo_datadis'!A:A,"",""),"""")"),"ES0031408323131005HX0F")</f>
        <v>ES0031408323131005HX0F</v>
      </c>
      <c r="B926" s="12">
        <f>IFERROR(__xludf.DUMMYFUNCTION("""COMPUTED_VALUE"""),44904.0)</f>
        <v>44904</v>
      </c>
      <c r="C926" s="13">
        <f>IFERROR(__xludf.DUMMYFUNCTION("""COMPUTED_VALUE"""),0.5416666666666666)</f>
        <v>0.5416666667</v>
      </c>
      <c r="D926" s="8">
        <f>IFERROR(__xludf.DUMMYFUNCTION("""COMPUTED_VALUE"""),0.016)</f>
        <v>0.016</v>
      </c>
      <c r="E926" s="8" t="str">
        <f>IFERROR(__xludf.DUMMYFUNCTION("""COMPUTED_VALUE"""),"Real")</f>
        <v>Real</v>
      </c>
      <c r="G926" s="8">
        <f t="shared" si="1"/>
        <v>12</v>
      </c>
      <c r="H926" s="14">
        <f t="shared" si="2"/>
        <v>9</v>
      </c>
      <c r="I926" s="15">
        <f t="shared" si="3"/>
        <v>13</v>
      </c>
    </row>
    <row r="927">
      <c r="A927" s="8" t="str">
        <f>IFERROR(__xludf.DUMMYFUNCTION("IF('(INGESTA)Datos_consumo_datadis'!A927&lt;&gt;"""",SPLIT('(INGESTA)Datos_consumo_datadis'!A:A,"",""),"""")"),"ES0031408323131005HX0F")</f>
        <v>ES0031408323131005HX0F</v>
      </c>
      <c r="B927" s="12">
        <f>IFERROR(__xludf.DUMMYFUNCTION("""COMPUTED_VALUE"""),44904.0)</f>
        <v>44904</v>
      </c>
      <c r="C927" s="13">
        <f>IFERROR(__xludf.DUMMYFUNCTION("""COMPUTED_VALUE"""),0.5833333333333334)</f>
        <v>0.5833333333</v>
      </c>
      <c r="D927" s="8">
        <f>IFERROR(__xludf.DUMMYFUNCTION("""COMPUTED_VALUE"""),0.067)</f>
        <v>0.067</v>
      </c>
      <c r="E927" s="8" t="str">
        <f>IFERROR(__xludf.DUMMYFUNCTION("""COMPUTED_VALUE"""),"Real")</f>
        <v>Real</v>
      </c>
      <c r="G927" s="8">
        <f t="shared" si="1"/>
        <v>12</v>
      </c>
      <c r="H927" s="14">
        <f t="shared" si="2"/>
        <v>9</v>
      </c>
      <c r="I927" s="15">
        <f t="shared" si="3"/>
        <v>14</v>
      </c>
    </row>
    <row r="928">
      <c r="A928" s="8" t="str">
        <f>IFERROR(__xludf.DUMMYFUNCTION("IF('(INGESTA)Datos_consumo_datadis'!A928&lt;&gt;"""",SPLIT('(INGESTA)Datos_consumo_datadis'!A:A,"",""),"""")"),"ES0031408323131005HX0F")</f>
        <v>ES0031408323131005HX0F</v>
      </c>
      <c r="B928" s="12">
        <f>IFERROR(__xludf.DUMMYFUNCTION("""COMPUTED_VALUE"""),44904.0)</f>
        <v>44904</v>
      </c>
      <c r="C928" s="13">
        <f>IFERROR(__xludf.DUMMYFUNCTION("""COMPUTED_VALUE"""),0.625)</f>
        <v>0.625</v>
      </c>
      <c r="D928" s="8">
        <f>IFERROR(__xludf.DUMMYFUNCTION("""COMPUTED_VALUE"""),0.035)</f>
        <v>0.035</v>
      </c>
      <c r="E928" s="8" t="str">
        <f>IFERROR(__xludf.DUMMYFUNCTION("""COMPUTED_VALUE"""),"Real")</f>
        <v>Real</v>
      </c>
      <c r="G928" s="8">
        <f t="shared" si="1"/>
        <v>12</v>
      </c>
      <c r="H928" s="14">
        <f t="shared" si="2"/>
        <v>9</v>
      </c>
      <c r="I928" s="15">
        <f t="shared" si="3"/>
        <v>15</v>
      </c>
    </row>
    <row r="929">
      <c r="A929" s="8" t="str">
        <f>IFERROR(__xludf.DUMMYFUNCTION("IF('(INGESTA)Datos_consumo_datadis'!A929&lt;&gt;"""",SPLIT('(INGESTA)Datos_consumo_datadis'!A:A,"",""),"""")"),"ES0031408323131005HX0F")</f>
        <v>ES0031408323131005HX0F</v>
      </c>
      <c r="B929" s="12">
        <f>IFERROR(__xludf.DUMMYFUNCTION("""COMPUTED_VALUE"""),44904.0)</f>
        <v>44904</v>
      </c>
      <c r="C929" s="13">
        <f>IFERROR(__xludf.DUMMYFUNCTION("""COMPUTED_VALUE"""),0.6666666666666666)</f>
        <v>0.6666666667</v>
      </c>
      <c r="D929" s="8">
        <f>IFERROR(__xludf.DUMMYFUNCTION("""COMPUTED_VALUE"""),0.346)</f>
        <v>0.346</v>
      </c>
      <c r="E929" s="8" t="str">
        <f>IFERROR(__xludf.DUMMYFUNCTION("""COMPUTED_VALUE"""),"Real")</f>
        <v>Real</v>
      </c>
      <c r="G929" s="8">
        <f t="shared" si="1"/>
        <v>12</v>
      </c>
      <c r="H929" s="14">
        <f t="shared" si="2"/>
        <v>9</v>
      </c>
      <c r="I929" s="15">
        <f t="shared" si="3"/>
        <v>16</v>
      </c>
    </row>
    <row r="930">
      <c r="A930" s="8" t="str">
        <f>IFERROR(__xludf.DUMMYFUNCTION("IF('(INGESTA)Datos_consumo_datadis'!A930&lt;&gt;"""",SPLIT('(INGESTA)Datos_consumo_datadis'!A:A,"",""),"""")"),"ES0031408323131005HX0F")</f>
        <v>ES0031408323131005HX0F</v>
      </c>
      <c r="B930" s="12">
        <f>IFERROR(__xludf.DUMMYFUNCTION("""COMPUTED_VALUE"""),44904.0)</f>
        <v>44904</v>
      </c>
      <c r="C930" s="13">
        <f>IFERROR(__xludf.DUMMYFUNCTION("""COMPUTED_VALUE"""),0.7083333333333334)</f>
        <v>0.7083333333</v>
      </c>
      <c r="D930" s="8">
        <f>IFERROR(__xludf.DUMMYFUNCTION("""COMPUTED_VALUE"""),0.039)</f>
        <v>0.039</v>
      </c>
      <c r="E930" s="8" t="str">
        <f>IFERROR(__xludf.DUMMYFUNCTION("""COMPUTED_VALUE"""),"Real")</f>
        <v>Real</v>
      </c>
      <c r="G930" s="8">
        <f t="shared" si="1"/>
        <v>12</v>
      </c>
      <c r="H930" s="14">
        <f t="shared" si="2"/>
        <v>9</v>
      </c>
      <c r="I930" s="15">
        <f t="shared" si="3"/>
        <v>17</v>
      </c>
    </row>
    <row r="931">
      <c r="A931" s="8" t="str">
        <f>IFERROR(__xludf.DUMMYFUNCTION("IF('(INGESTA)Datos_consumo_datadis'!A931&lt;&gt;"""",SPLIT('(INGESTA)Datos_consumo_datadis'!A:A,"",""),"""")"),"ES0031408323131005HX0F")</f>
        <v>ES0031408323131005HX0F</v>
      </c>
      <c r="B931" s="12">
        <f>IFERROR(__xludf.DUMMYFUNCTION("""COMPUTED_VALUE"""),44904.0)</f>
        <v>44904</v>
      </c>
      <c r="C931" s="13">
        <f>IFERROR(__xludf.DUMMYFUNCTION("""COMPUTED_VALUE"""),0.75)</f>
        <v>0.75</v>
      </c>
      <c r="D931" s="8">
        <f>IFERROR(__xludf.DUMMYFUNCTION("""COMPUTED_VALUE"""),0.548)</f>
        <v>0.548</v>
      </c>
      <c r="E931" s="8" t="str">
        <f>IFERROR(__xludf.DUMMYFUNCTION("""COMPUTED_VALUE"""),"Real")</f>
        <v>Real</v>
      </c>
      <c r="G931" s="8">
        <f t="shared" si="1"/>
        <v>12</v>
      </c>
      <c r="H931" s="14">
        <f t="shared" si="2"/>
        <v>9</v>
      </c>
      <c r="I931" s="15">
        <f t="shared" si="3"/>
        <v>18</v>
      </c>
    </row>
    <row r="932">
      <c r="A932" s="8" t="str">
        <f>IFERROR(__xludf.DUMMYFUNCTION("IF('(INGESTA)Datos_consumo_datadis'!A932&lt;&gt;"""",SPLIT('(INGESTA)Datos_consumo_datadis'!A:A,"",""),"""")"),"ES0031408323131005HX0F")</f>
        <v>ES0031408323131005HX0F</v>
      </c>
      <c r="B932" s="12">
        <f>IFERROR(__xludf.DUMMYFUNCTION("""COMPUTED_VALUE"""),44904.0)</f>
        <v>44904</v>
      </c>
      <c r="C932" s="13">
        <f>IFERROR(__xludf.DUMMYFUNCTION("""COMPUTED_VALUE"""),0.7916666666666666)</f>
        <v>0.7916666667</v>
      </c>
      <c r="D932" s="8">
        <f>IFERROR(__xludf.DUMMYFUNCTION("""COMPUTED_VALUE"""),0.991)</f>
        <v>0.991</v>
      </c>
      <c r="E932" s="8" t="str">
        <f>IFERROR(__xludf.DUMMYFUNCTION("""COMPUTED_VALUE"""),"Real")</f>
        <v>Real</v>
      </c>
      <c r="G932" s="8">
        <f t="shared" si="1"/>
        <v>12</v>
      </c>
      <c r="H932" s="14">
        <f t="shared" si="2"/>
        <v>9</v>
      </c>
      <c r="I932" s="15">
        <f t="shared" si="3"/>
        <v>19</v>
      </c>
    </row>
    <row r="933">
      <c r="A933" s="8" t="str">
        <f>IFERROR(__xludf.DUMMYFUNCTION("IF('(INGESTA)Datos_consumo_datadis'!A933&lt;&gt;"""",SPLIT('(INGESTA)Datos_consumo_datadis'!A:A,"",""),"""")"),"ES0031408323131005HX0F")</f>
        <v>ES0031408323131005HX0F</v>
      </c>
      <c r="B933" s="12">
        <f>IFERROR(__xludf.DUMMYFUNCTION("""COMPUTED_VALUE"""),44904.0)</f>
        <v>44904</v>
      </c>
      <c r="C933" s="13">
        <f>IFERROR(__xludf.DUMMYFUNCTION("""COMPUTED_VALUE"""),0.8333333333333334)</f>
        <v>0.8333333333</v>
      </c>
      <c r="D933" s="8">
        <f>IFERROR(__xludf.DUMMYFUNCTION("""COMPUTED_VALUE"""),2.408)</f>
        <v>2.408</v>
      </c>
      <c r="E933" s="8" t="str">
        <f>IFERROR(__xludf.DUMMYFUNCTION("""COMPUTED_VALUE"""),"Real")</f>
        <v>Real</v>
      </c>
      <c r="G933" s="8">
        <f t="shared" si="1"/>
        <v>12</v>
      </c>
      <c r="H933" s="14">
        <f t="shared" si="2"/>
        <v>9</v>
      </c>
      <c r="I933" s="15">
        <f t="shared" si="3"/>
        <v>20</v>
      </c>
    </row>
    <row r="934">
      <c r="A934" s="8" t="str">
        <f>IFERROR(__xludf.DUMMYFUNCTION("IF('(INGESTA)Datos_consumo_datadis'!A934&lt;&gt;"""",SPLIT('(INGESTA)Datos_consumo_datadis'!A:A,"",""),"""")"),"ES0031408323131005HX0F")</f>
        <v>ES0031408323131005HX0F</v>
      </c>
      <c r="B934" s="12">
        <f>IFERROR(__xludf.DUMMYFUNCTION("""COMPUTED_VALUE"""),44904.0)</f>
        <v>44904</v>
      </c>
      <c r="C934" s="13">
        <f>IFERROR(__xludf.DUMMYFUNCTION("""COMPUTED_VALUE"""),0.875)</f>
        <v>0.875</v>
      </c>
      <c r="D934" s="8">
        <f>IFERROR(__xludf.DUMMYFUNCTION("""COMPUTED_VALUE"""),2.293)</f>
        <v>2.293</v>
      </c>
      <c r="E934" s="8" t="str">
        <f>IFERROR(__xludf.DUMMYFUNCTION("""COMPUTED_VALUE"""),"Real")</f>
        <v>Real</v>
      </c>
      <c r="G934" s="8">
        <f t="shared" si="1"/>
        <v>12</v>
      </c>
      <c r="H934" s="14">
        <f t="shared" si="2"/>
        <v>9</v>
      </c>
      <c r="I934" s="15">
        <f t="shared" si="3"/>
        <v>21</v>
      </c>
    </row>
    <row r="935">
      <c r="A935" s="8" t="str">
        <f>IFERROR(__xludf.DUMMYFUNCTION("IF('(INGESTA)Datos_consumo_datadis'!A935&lt;&gt;"""",SPLIT('(INGESTA)Datos_consumo_datadis'!A:A,"",""),"""")"),"ES0031408323131005HX0F")</f>
        <v>ES0031408323131005HX0F</v>
      </c>
      <c r="B935" s="12">
        <f>IFERROR(__xludf.DUMMYFUNCTION("""COMPUTED_VALUE"""),44904.0)</f>
        <v>44904</v>
      </c>
      <c r="C935" s="13">
        <f>IFERROR(__xludf.DUMMYFUNCTION("""COMPUTED_VALUE"""),0.9166666666666666)</f>
        <v>0.9166666667</v>
      </c>
      <c r="D935" s="8">
        <f>IFERROR(__xludf.DUMMYFUNCTION("""COMPUTED_VALUE"""),1.243)</f>
        <v>1.243</v>
      </c>
      <c r="E935" s="8" t="str">
        <f>IFERROR(__xludf.DUMMYFUNCTION("""COMPUTED_VALUE"""),"Real")</f>
        <v>Real</v>
      </c>
      <c r="G935" s="8">
        <f t="shared" si="1"/>
        <v>12</v>
      </c>
      <c r="H935" s="14">
        <f t="shared" si="2"/>
        <v>9</v>
      </c>
      <c r="I935" s="15">
        <f t="shared" si="3"/>
        <v>22</v>
      </c>
    </row>
    <row r="936">
      <c r="A936" s="8" t="str">
        <f>IFERROR(__xludf.DUMMYFUNCTION("IF('(INGESTA)Datos_consumo_datadis'!A936&lt;&gt;"""",SPLIT('(INGESTA)Datos_consumo_datadis'!A:A,"",""),"""")"),"ES0031408323131005HX0F")</f>
        <v>ES0031408323131005HX0F</v>
      </c>
      <c r="B936" s="12">
        <f>IFERROR(__xludf.DUMMYFUNCTION("""COMPUTED_VALUE"""),44904.0)</f>
        <v>44904</v>
      </c>
      <c r="C936" s="13">
        <f>IFERROR(__xludf.DUMMYFUNCTION("""COMPUTED_VALUE"""),0.9583333333333334)</f>
        <v>0.9583333333</v>
      </c>
      <c r="D936" s="8">
        <f>IFERROR(__xludf.DUMMYFUNCTION("""COMPUTED_VALUE"""),0.069)</f>
        <v>0.069</v>
      </c>
      <c r="E936" s="8" t="str">
        <f>IFERROR(__xludf.DUMMYFUNCTION("""COMPUTED_VALUE"""),"Real")</f>
        <v>Real</v>
      </c>
      <c r="G936" s="8">
        <f t="shared" si="1"/>
        <v>12</v>
      </c>
      <c r="H936" s="14">
        <f t="shared" si="2"/>
        <v>9</v>
      </c>
      <c r="I936" s="15">
        <f t="shared" si="3"/>
        <v>23</v>
      </c>
    </row>
    <row r="937">
      <c r="A937" s="8" t="str">
        <f>IFERROR(__xludf.DUMMYFUNCTION("IF('(INGESTA)Datos_consumo_datadis'!A937&lt;&gt;"""",SPLIT('(INGESTA)Datos_consumo_datadis'!A:A,"",""),"""")"),"ES0031408323131005HX0F")</f>
        <v>ES0031408323131005HX0F</v>
      </c>
      <c r="B937" s="12">
        <f>IFERROR(__xludf.DUMMYFUNCTION("""COMPUTED_VALUE"""),44904.0)</f>
        <v>44904</v>
      </c>
      <c r="C937" s="16">
        <f>IFERROR(__xludf.DUMMYFUNCTION("""COMPUTED_VALUE"""),1.0)</f>
        <v>1</v>
      </c>
      <c r="D937" s="8">
        <f>IFERROR(__xludf.DUMMYFUNCTION("""COMPUTED_VALUE"""),0.05)</f>
        <v>0.05</v>
      </c>
      <c r="E937" s="8" t="str">
        <f>IFERROR(__xludf.DUMMYFUNCTION("""COMPUTED_VALUE"""),"Real")</f>
        <v>Real</v>
      </c>
      <c r="G937" s="8">
        <f t="shared" si="1"/>
        <v>12</v>
      </c>
      <c r="H937" s="14">
        <f t="shared" si="2"/>
        <v>9</v>
      </c>
      <c r="I937" s="15">
        <f t="shared" si="3"/>
        <v>0</v>
      </c>
    </row>
    <row r="938">
      <c r="A938" s="8" t="str">
        <f>IFERROR(__xludf.DUMMYFUNCTION("IF('(INGESTA)Datos_consumo_datadis'!A938&lt;&gt;"""",SPLIT('(INGESTA)Datos_consumo_datadis'!A:A,"",""),"""")"),"ES0031408323131005HX0F")</f>
        <v>ES0031408323131005HX0F</v>
      </c>
      <c r="B938" s="17">
        <f>IFERROR(__xludf.DUMMYFUNCTION("""COMPUTED_VALUE"""),44905.0)</f>
        <v>44905</v>
      </c>
      <c r="C938" s="13">
        <f>IFERROR(__xludf.DUMMYFUNCTION("""COMPUTED_VALUE"""),0.041666666666666664)</f>
        <v>0.04166666667</v>
      </c>
      <c r="D938" s="8">
        <f>IFERROR(__xludf.DUMMYFUNCTION("""COMPUTED_VALUE"""),0.044)</f>
        <v>0.044</v>
      </c>
      <c r="E938" s="8" t="str">
        <f>IFERROR(__xludf.DUMMYFUNCTION("""COMPUTED_VALUE"""),"Real")</f>
        <v>Real</v>
      </c>
      <c r="G938" s="8">
        <f t="shared" si="1"/>
        <v>12</v>
      </c>
      <c r="H938" s="14">
        <f t="shared" si="2"/>
        <v>10</v>
      </c>
      <c r="I938" s="15">
        <f t="shared" si="3"/>
        <v>1</v>
      </c>
    </row>
    <row r="939">
      <c r="A939" s="8" t="str">
        <f>IFERROR(__xludf.DUMMYFUNCTION("IF('(INGESTA)Datos_consumo_datadis'!A939&lt;&gt;"""",SPLIT('(INGESTA)Datos_consumo_datadis'!A:A,"",""),"""")"),"ES0031408323131005HX0F")</f>
        <v>ES0031408323131005HX0F</v>
      </c>
      <c r="B939" s="17">
        <f>IFERROR(__xludf.DUMMYFUNCTION("""COMPUTED_VALUE"""),44905.0)</f>
        <v>44905</v>
      </c>
      <c r="C939" s="13">
        <f>IFERROR(__xludf.DUMMYFUNCTION("""COMPUTED_VALUE"""),0.08333333333333333)</f>
        <v>0.08333333333</v>
      </c>
      <c r="D939" s="8">
        <f>IFERROR(__xludf.DUMMYFUNCTION("""COMPUTED_VALUE"""),1.119)</f>
        <v>1.119</v>
      </c>
      <c r="E939" s="8" t="str">
        <f>IFERROR(__xludf.DUMMYFUNCTION("""COMPUTED_VALUE"""),"Real")</f>
        <v>Real</v>
      </c>
      <c r="G939" s="8">
        <f t="shared" si="1"/>
        <v>12</v>
      </c>
      <c r="H939" s="14">
        <f t="shared" si="2"/>
        <v>10</v>
      </c>
      <c r="I939" s="15">
        <f t="shared" si="3"/>
        <v>2</v>
      </c>
    </row>
    <row r="940">
      <c r="A940" s="8" t="str">
        <f>IFERROR(__xludf.DUMMYFUNCTION("IF('(INGESTA)Datos_consumo_datadis'!A940&lt;&gt;"""",SPLIT('(INGESTA)Datos_consumo_datadis'!A:A,"",""),"""")"),"ES0031408323131005HX0F")</f>
        <v>ES0031408323131005HX0F</v>
      </c>
      <c r="B940" s="17">
        <f>IFERROR(__xludf.DUMMYFUNCTION("""COMPUTED_VALUE"""),44905.0)</f>
        <v>44905</v>
      </c>
      <c r="C940" s="13">
        <f>IFERROR(__xludf.DUMMYFUNCTION("""COMPUTED_VALUE"""),0.125)</f>
        <v>0.125</v>
      </c>
      <c r="D940" s="8">
        <f>IFERROR(__xludf.DUMMYFUNCTION("""COMPUTED_VALUE"""),0.146)</f>
        <v>0.146</v>
      </c>
      <c r="E940" s="8" t="str">
        <f>IFERROR(__xludf.DUMMYFUNCTION("""COMPUTED_VALUE"""),"Real")</f>
        <v>Real</v>
      </c>
      <c r="G940" s="8">
        <f t="shared" si="1"/>
        <v>12</v>
      </c>
      <c r="H940" s="14">
        <f t="shared" si="2"/>
        <v>10</v>
      </c>
      <c r="I940" s="15">
        <f t="shared" si="3"/>
        <v>3</v>
      </c>
    </row>
    <row r="941">
      <c r="A941" s="8" t="str">
        <f>IFERROR(__xludf.DUMMYFUNCTION("IF('(INGESTA)Datos_consumo_datadis'!A941&lt;&gt;"""",SPLIT('(INGESTA)Datos_consumo_datadis'!A:A,"",""),"""")"),"ES0031408323131005HX0F")</f>
        <v>ES0031408323131005HX0F</v>
      </c>
      <c r="B941" s="17">
        <f>IFERROR(__xludf.DUMMYFUNCTION("""COMPUTED_VALUE"""),44905.0)</f>
        <v>44905</v>
      </c>
      <c r="C941" s="13">
        <f>IFERROR(__xludf.DUMMYFUNCTION("""COMPUTED_VALUE"""),0.16666666666666666)</f>
        <v>0.1666666667</v>
      </c>
      <c r="D941" s="8">
        <f>IFERROR(__xludf.DUMMYFUNCTION("""COMPUTED_VALUE"""),1.479)</f>
        <v>1.479</v>
      </c>
      <c r="E941" s="8" t="str">
        <f>IFERROR(__xludf.DUMMYFUNCTION("""COMPUTED_VALUE"""),"Real")</f>
        <v>Real</v>
      </c>
      <c r="G941" s="8">
        <f t="shared" si="1"/>
        <v>12</v>
      </c>
      <c r="H941" s="14">
        <f t="shared" si="2"/>
        <v>10</v>
      </c>
      <c r="I941" s="15">
        <f t="shared" si="3"/>
        <v>4</v>
      </c>
    </row>
    <row r="942">
      <c r="A942" s="8" t="str">
        <f>IFERROR(__xludf.DUMMYFUNCTION("IF('(INGESTA)Datos_consumo_datadis'!A942&lt;&gt;"""",SPLIT('(INGESTA)Datos_consumo_datadis'!A:A,"",""),"""")"),"ES0031408323131005HX0F")</f>
        <v>ES0031408323131005HX0F</v>
      </c>
      <c r="B942" s="17">
        <f>IFERROR(__xludf.DUMMYFUNCTION("""COMPUTED_VALUE"""),44905.0)</f>
        <v>44905</v>
      </c>
      <c r="C942" s="13">
        <f>IFERROR(__xludf.DUMMYFUNCTION("""COMPUTED_VALUE"""),0.20833333333333334)</f>
        <v>0.2083333333</v>
      </c>
      <c r="D942" s="8">
        <f>IFERROR(__xludf.DUMMYFUNCTION("""COMPUTED_VALUE"""),1.058)</f>
        <v>1.058</v>
      </c>
      <c r="E942" s="8" t="str">
        <f>IFERROR(__xludf.DUMMYFUNCTION("""COMPUTED_VALUE"""),"Real")</f>
        <v>Real</v>
      </c>
      <c r="G942" s="8">
        <f t="shared" si="1"/>
        <v>12</v>
      </c>
      <c r="H942" s="14">
        <f t="shared" si="2"/>
        <v>10</v>
      </c>
      <c r="I942" s="15">
        <f t="shared" si="3"/>
        <v>5</v>
      </c>
    </row>
    <row r="943">
      <c r="A943" s="8" t="str">
        <f>IFERROR(__xludf.DUMMYFUNCTION("IF('(INGESTA)Datos_consumo_datadis'!A943&lt;&gt;"""",SPLIT('(INGESTA)Datos_consumo_datadis'!A:A,"",""),"""")"),"ES0031408323131005HX0F")</f>
        <v>ES0031408323131005HX0F</v>
      </c>
      <c r="B943" s="17">
        <f>IFERROR(__xludf.DUMMYFUNCTION("""COMPUTED_VALUE"""),44905.0)</f>
        <v>44905</v>
      </c>
      <c r="C943" s="13">
        <f>IFERROR(__xludf.DUMMYFUNCTION("""COMPUTED_VALUE"""),0.25)</f>
        <v>0.25</v>
      </c>
      <c r="D943" s="8">
        <f>IFERROR(__xludf.DUMMYFUNCTION("""COMPUTED_VALUE"""),1.064)</f>
        <v>1.064</v>
      </c>
      <c r="E943" s="8" t="str">
        <f>IFERROR(__xludf.DUMMYFUNCTION("""COMPUTED_VALUE"""),"Real")</f>
        <v>Real</v>
      </c>
      <c r="G943" s="8">
        <f t="shared" si="1"/>
        <v>12</v>
      </c>
      <c r="H943" s="14">
        <f t="shared" si="2"/>
        <v>10</v>
      </c>
      <c r="I943" s="15">
        <f t="shared" si="3"/>
        <v>6</v>
      </c>
    </row>
    <row r="944">
      <c r="A944" s="8" t="str">
        <f>IFERROR(__xludf.DUMMYFUNCTION("IF('(INGESTA)Datos_consumo_datadis'!A944&lt;&gt;"""",SPLIT('(INGESTA)Datos_consumo_datadis'!A:A,"",""),"""")"),"ES0031408323131005HX0F")</f>
        <v>ES0031408323131005HX0F</v>
      </c>
      <c r="B944" s="17">
        <f>IFERROR(__xludf.DUMMYFUNCTION("""COMPUTED_VALUE"""),44905.0)</f>
        <v>44905</v>
      </c>
      <c r="C944" s="13">
        <f>IFERROR(__xludf.DUMMYFUNCTION("""COMPUTED_VALUE"""),0.2916666666666667)</f>
        <v>0.2916666667</v>
      </c>
      <c r="D944" s="8">
        <f>IFERROR(__xludf.DUMMYFUNCTION("""COMPUTED_VALUE"""),1.083)</f>
        <v>1.083</v>
      </c>
      <c r="E944" s="8" t="str">
        <f>IFERROR(__xludf.DUMMYFUNCTION("""COMPUTED_VALUE"""),"Real")</f>
        <v>Real</v>
      </c>
      <c r="G944" s="8">
        <f t="shared" si="1"/>
        <v>12</v>
      </c>
      <c r="H944" s="14">
        <f t="shared" si="2"/>
        <v>10</v>
      </c>
      <c r="I944" s="15">
        <f t="shared" si="3"/>
        <v>7</v>
      </c>
    </row>
    <row r="945">
      <c r="A945" s="8" t="str">
        <f>IFERROR(__xludf.DUMMYFUNCTION("IF('(INGESTA)Datos_consumo_datadis'!A945&lt;&gt;"""",SPLIT('(INGESTA)Datos_consumo_datadis'!A:A,"",""),"""")"),"ES0031408323131005HX0F")</f>
        <v>ES0031408323131005HX0F</v>
      </c>
      <c r="B945" s="17">
        <f>IFERROR(__xludf.DUMMYFUNCTION("""COMPUTED_VALUE"""),44905.0)</f>
        <v>44905</v>
      </c>
      <c r="C945" s="13">
        <f>IFERROR(__xludf.DUMMYFUNCTION("""COMPUTED_VALUE"""),0.3333333333333333)</f>
        <v>0.3333333333</v>
      </c>
      <c r="D945" s="8">
        <f>IFERROR(__xludf.DUMMYFUNCTION("""COMPUTED_VALUE"""),1.041)</f>
        <v>1.041</v>
      </c>
      <c r="E945" s="8" t="str">
        <f>IFERROR(__xludf.DUMMYFUNCTION("""COMPUTED_VALUE"""),"Real")</f>
        <v>Real</v>
      </c>
      <c r="G945" s="8">
        <f t="shared" si="1"/>
        <v>12</v>
      </c>
      <c r="H945" s="14">
        <f t="shared" si="2"/>
        <v>10</v>
      </c>
      <c r="I945" s="15">
        <f t="shared" si="3"/>
        <v>8</v>
      </c>
    </row>
    <row r="946">
      <c r="A946" s="8" t="str">
        <f>IFERROR(__xludf.DUMMYFUNCTION("IF('(INGESTA)Datos_consumo_datadis'!A946&lt;&gt;"""",SPLIT('(INGESTA)Datos_consumo_datadis'!A:A,"",""),"""")"),"ES0031408323131005HX0F")</f>
        <v>ES0031408323131005HX0F</v>
      </c>
      <c r="B946" s="17">
        <f>IFERROR(__xludf.DUMMYFUNCTION("""COMPUTED_VALUE"""),44905.0)</f>
        <v>44905</v>
      </c>
      <c r="C946" s="13">
        <f>IFERROR(__xludf.DUMMYFUNCTION("""COMPUTED_VALUE"""),0.375)</f>
        <v>0.375</v>
      </c>
      <c r="D946" s="8">
        <f>IFERROR(__xludf.DUMMYFUNCTION("""COMPUTED_VALUE"""),1.08)</f>
        <v>1.08</v>
      </c>
      <c r="E946" s="8" t="str">
        <f>IFERROR(__xludf.DUMMYFUNCTION("""COMPUTED_VALUE"""),"Real")</f>
        <v>Real</v>
      </c>
      <c r="G946" s="8">
        <f t="shared" si="1"/>
        <v>12</v>
      </c>
      <c r="H946" s="14">
        <f t="shared" si="2"/>
        <v>10</v>
      </c>
      <c r="I946" s="15">
        <f t="shared" si="3"/>
        <v>9</v>
      </c>
    </row>
    <row r="947">
      <c r="A947" s="8" t="str">
        <f>IFERROR(__xludf.DUMMYFUNCTION("IF('(INGESTA)Datos_consumo_datadis'!A947&lt;&gt;"""",SPLIT('(INGESTA)Datos_consumo_datadis'!A:A,"",""),"""")"),"ES0031408323131005HX0F")</f>
        <v>ES0031408323131005HX0F</v>
      </c>
      <c r="B947" s="17">
        <f>IFERROR(__xludf.DUMMYFUNCTION("""COMPUTED_VALUE"""),44905.0)</f>
        <v>44905</v>
      </c>
      <c r="C947" s="13">
        <f>IFERROR(__xludf.DUMMYFUNCTION("""COMPUTED_VALUE"""),0.4166666666666667)</f>
        <v>0.4166666667</v>
      </c>
      <c r="D947" s="8">
        <f>IFERROR(__xludf.DUMMYFUNCTION("""COMPUTED_VALUE"""),1.442)</f>
        <v>1.442</v>
      </c>
      <c r="E947" s="8" t="str">
        <f>IFERROR(__xludf.DUMMYFUNCTION("""COMPUTED_VALUE"""),"Real")</f>
        <v>Real</v>
      </c>
      <c r="G947" s="8">
        <f t="shared" si="1"/>
        <v>12</v>
      </c>
      <c r="H947" s="14">
        <f t="shared" si="2"/>
        <v>10</v>
      </c>
      <c r="I947" s="15">
        <f t="shared" si="3"/>
        <v>10</v>
      </c>
    </row>
    <row r="948">
      <c r="A948" s="8" t="str">
        <f>IFERROR(__xludf.DUMMYFUNCTION("IF('(INGESTA)Datos_consumo_datadis'!A948&lt;&gt;"""",SPLIT('(INGESTA)Datos_consumo_datadis'!A:A,"",""),"""")"),"ES0031408323131005HX0F")</f>
        <v>ES0031408323131005HX0F</v>
      </c>
      <c r="B948" s="17">
        <f>IFERROR(__xludf.DUMMYFUNCTION("""COMPUTED_VALUE"""),44905.0)</f>
        <v>44905</v>
      </c>
      <c r="C948" s="13">
        <f>IFERROR(__xludf.DUMMYFUNCTION("""COMPUTED_VALUE"""),0.4583333333333333)</f>
        <v>0.4583333333</v>
      </c>
      <c r="D948" s="8">
        <f>IFERROR(__xludf.DUMMYFUNCTION("""COMPUTED_VALUE"""),0.168)</f>
        <v>0.168</v>
      </c>
      <c r="E948" s="8" t="str">
        <f>IFERROR(__xludf.DUMMYFUNCTION("""COMPUTED_VALUE"""),"Real")</f>
        <v>Real</v>
      </c>
      <c r="G948" s="8">
        <f t="shared" si="1"/>
        <v>12</v>
      </c>
      <c r="H948" s="14">
        <f t="shared" si="2"/>
        <v>10</v>
      </c>
      <c r="I948" s="15">
        <f t="shared" si="3"/>
        <v>11</v>
      </c>
    </row>
    <row r="949">
      <c r="A949" s="8" t="str">
        <f>IFERROR(__xludf.DUMMYFUNCTION("IF('(INGESTA)Datos_consumo_datadis'!A949&lt;&gt;"""",SPLIT('(INGESTA)Datos_consumo_datadis'!A:A,"",""),"""")"),"ES0031408323131005HX0F")</f>
        <v>ES0031408323131005HX0F</v>
      </c>
      <c r="B949" s="17">
        <f>IFERROR(__xludf.DUMMYFUNCTION("""COMPUTED_VALUE"""),44905.0)</f>
        <v>44905</v>
      </c>
      <c r="C949" s="13">
        <f>IFERROR(__xludf.DUMMYFUNCTION("""COMPUTED_VALUE"""),0.5)</f>
        <v>0.5</v>
      </c>
      <c r="D949" s="8">
        <f>IFERROR(__xludf.DUMMYFUNCTION("""COMPUTED_VALUE"""),0.071)</f>
        <v>0.071</v>
      </c>
      <c r="E949" s="8" t="str">
        <f>IFERROR(__xludf.DUMMYFUNCTION("""COMPUTED_VALUE"""),"Real")</f>
        <v>Real</v>
      </c>
      <c r="G949" s="8">
        <f t="shared" si="1"/>
        <v>12</v>
      </c>
      <c r="H949" s="14">
        <f t="shared" si="2"/>
        <v>10</v>
      </c>
      <c r="I949" s="15">
        <f t="shared" si="3"/>
        <v>12</v>
      </c>
    </row>
    <row r="950">
      <c r="A950" s="8" t="str">
        <f>IFERROR(__xludf.DUMMYFUNCTION("IF('(INGESTA)Datos_consumo_datadis'!A950&lt;&gt;"""",SPLIT('(INGESTA)Datos_consumo_datadis'!A:A,"",""),"""")"),"ES0031408323131005HX0F")</f>
        <v>ES0031408323131005HX0F</v>
      </c>
      <c r="B950" s="17">
        <f>IFERROR(__xludf.DUMMYFUNCTION("""COMPUTED_VALUE"""),44905.0)</f>
        <v>44905</v>
      </c>
      <c r="C950" s="13">
        <f>IFERROR(__xludf.DUMMYFUNCTION("""COMPUTED_VALUE"""),0.5416666666666666)</f>
        <v>0.5416666667</v>
      </c>
      <c r="D950" s="8">
        <f>IFERROR(__xludf.DUMMYFUNCTION("""COMPUTED_VALUE"""),0.043)</f>
        <v>0.043</v>
      </c>
      <c r="E950" s="8" t="str">
        <f>IFERROR(__xludf.DUMMYFUNCTION("""COMPUTED_VALUE"""),"Real")</f>
        <v>Real</v>
      </c>
      <c r="G950" s="8">
        <f t="shared" si="1"/>
        <v>12</v>
      </c>
      <c r="H950" s="14">
        <f t="shared" si="2"/>
        <v>10</v>
      </c>
      <c r="I950" s="15">
        <f t="shared" si="3"/>
        <v>13</v>
      </c>
    </row>
    <row r="951">
      <c r="A951" s="8" t="str">
        <f>IFERROR(__xludf.DUMMYFUNCTION("IF('(INGESTA)Datos_consumo_datadis'!A951&lt;&gt;"""",SPLIT('(INGESTA)Datos_consumo_datadis'!A:A,"",""),"""")"),"ES0031408323131005HX0F")</f>
        <v>ES0031408323131005HX0F</v>
      </c>
      <c r="B951" s="17">
        <f>IFERROR(__xludf.DUMMYFUNCTION("""COMPUTED_VALUE"""),44905.0)</f>
        <v>44905</v>
      </c>
      <c r="C951" s="13">
        <f>IFERROR(__xludf.DUMMYFUNCTION("""COMPUTED_VALUE"""),0.5833333333333334)</f>
        <v>0.5833333333</v>
      </c>
      <c r="D951" s="8">
        <f>IFERROR(__xludf.DUMMYFUNCTION("""COMPUTED_VALUE"""),1.173)</f>
        <v>1.173</v>
      </c>
      <c r="E951" s="8" t="str">
        <f>IFERROR(__xludf.DUMMYFUNCTION("""COMPUTED_VALUE"""),"Real")</f>
        <v>Real</v>
      </c>
      <c r="G951" s="8">
        <f t="shared" si="1"/>
        <v>12</v>
      </c>
      <c r="H951" s="14">
        <f t="shared" si="2"/>
        <v>10</v>
      </c>
      <c r="I951" s="15">
        <f t="shared" si="3"/>
        <v>14</v>
      </c>
    </row>
    <row r="952">
      <c r="A952" s="8" t="str">
        <f>IFERROR(__xludf.DUMMYFUNCTION("IF('(INGESTA)Datos_consumo_datadis'!A952&lt;&gt;"""",SPLIT('(INGESTA)Datos_consumo_datadis'!A:A,"",""),"""")"),"ES0031408323131005HX0F")</f>
        <v>ES0031408323131005HX0F</v>
      </c>
      <c r="B952" s="17">
        <f>IFERROR(__xludf.DUMMYFUNCTION("""COMPUTED_VALUE"""),44905.0)</f>
        <v>44905</v>
      </c>
      <c r="C952" s="13">
        <f>IFERROR(__xludf.DUMMYFUNCTION("""COMPUTED_VALUE"""),0.625)</f>
        <v>0.625</v>
      </c>
      <c r="D952" s="8">
        <f>IFERROR(__xludf.DUMMYFUNCTION("""COMPUTED_VALUE"""),1.236)</f>
        <v>1.236</v>
      </c>
      <c r="E952" s="8" t="str">
        <f>IFERROR(__xludf.DUMMYFUNCTION("""COMPUTED_VALUE"""),"Real")</f>
        <v>Real</v>
      </c>
      <c r="G952" s="8">
        <f t="shared" si="1"/>
        <v>12</v>
      </c>
      <c r="H952" s="14">
        <f t="shared" si="2"/>
        <v>10</v>
      </c>
      <c r="I952" s="15">
        <f t="shared" si="3"/>
        <v>15</v>
      </c>
    </row>
    <row r="953">
      <c r="A953" s="8" t="str">
        <f>IFERROR(__xludf.DUMMYFUNCTION("IF('(INGESTA)Datos_consumo_datadis'!A953&lt;&gt;"""",SPLIT('(INGESTA)Datos_consumo_datadis'!A:A,"",""),"""")"),"ES0031408323131005HX0F")</f>
        <v>ES0031408323131005HX0F</v>
      </c>
      <c r="B953" s="17">
        <f>IFERROR(__xludf.DUMMYFUNCTION("""COMPUTED_VALUE"""),44905.0)</f>
        <v>44905</v>
      </c>
      <c r="C953" s="13">
        <f>IFERROR(__xludf.DUMMYFUNCTION("""COMPUTED_VALUE"""),0.6666666666666666)</f>
        <v>0.6666666667</v>
      </c>
      <c r="D953" s="8">
        <f>IFERROR(__xludf.DUMMYFUNCTION("""COMPUTED_VALUE"""),0.082)</f>
        <v>0.082</v>
      </c>
      <c r="E953" s="8" t="str">
        <f>IFERROR(__xludf.DUMMYFUNCTION("""COMPUTED_VALUE"""),"Real")</f>
        <v>Real</v>
      </c>
      <c r="G953" s="8">
        <f t="shared" si="1"/>
        <v>12</v>
      </c>
      <c r="H953" s="14">
        <f t="shared" si="2"/>
        <v>10</v>
      </c>
      <c r="I953" s="15">
        <f t="shared" si="3"/>
        <v>16</v>
      </c>
    </row>
    <row r="954">
      <c r="A954" s="8" t="str">
        <f>IFERROR(__xludf.DUMMYFUNCTION("IF('(INGESTA)Datos_consumo_datadis'!A954&lt;&gt;"""",SPLIT('(INGESTA)Datos_consumo_datadis'!A:A,"",""),"""")"),"ES0031408323131005HX0F")</f>
        <v>ES0031408323131005HX0F</v>
      </c>
      <c r="B954" s="17">
        <f>IFERROR(__xludf.DUMMYFUNCTION("""COMPUTED_VALUE"""),44905.0)</f>
        <v>44905</v>
      </c>
      <c r="C954" s="13">
        <f>IFERROR(__xludf.DUMMYFUNCTION("""COMPUTED_VALUE"""),0.7083333333333334)</f>
        <v>0.7083333333</v>
      </c>
      <c r="D954" s="8">
        <f>IFERROR(__xludf.DUMMYFUNCTION("""COMPUTED_VALUE"""),0.049)</f>
        <v>0.049</v>
      </c>
      <c r="E954" s="8" t="str">
        <f>IFERROR(__xludf.DUMMYFUNCTION("""COMPUTED_VALUE"""),"Real")</f>
        <v>Real</v>
      </c>
      <c r="G954" s="8">
        <f t="shared" si="1"/>
        <v>12</v>
      </c>
      <c r="H954" s="14">
        <f t="shared" si="2"/>
        <v>10</v>
      </c>
      <c r="I954" s="15">
        <f t="shared" si="3"/>
        <v>17</v>
      </c>
    </row>
    <row r="955">
      <c r="A955" s="8" t="str">
        <f>IFERROR(__xludf.DUMMYFUNCTION("IF('(INGESTA)Datos_consumo_datadis'!A955&lt;&gt;"""",SPLIT('(INGESTA)Datos_consumo_datadis'!A:A,"",""),"""")"),"ES0031408323131005HX0F")</f>
        <v>ES0031408323131005HX0F</v>
      </c>
      <c r="B955" s="17">
        <f>IFERROR(__xludf.DUMMYFUNCTION("""COMPUTED_VALUE"""),44905.0)</f>
        <v>44905</v>
      </c>
      <c r="C955" s="13">
        <f>IFERROR(__xludf.DUMMYFUNCTION("""COMPUTED_VALUE"""),0.75)</f>
        <v>0.75</v>
      </c>
      <c r="D955" s="8">
        <f>IFERROR(__xludf.DUMMYFUNCTION("""COMPUTED_VALUE"""),0.049)</f>
        <v>0.049</v>
      </c>
      <c r="E955" s="8" t="str">
        <f>IFERROR(__xludf.DUMMYFUNCTION("""COMPUTED_VALUE"""),"Real")</f>
        <v>Real</v>
      </c>
      <c r="G955" s="8">
        <f t="shared" si="1"/>
        <v>12</v>
      </c>
      <c r="H955" s="14">
        <f t="shared" si="2"/>
        <v>10</v>
      </c>
      <c r="I955" s="15">
        <f t="shared" si="3"/>
        <v>18</v>
      </c>
    </row>
    <row r="956">
      <c r="A956" s="8" t="str">
        <f>IFERROR(__xludf.DUMMYFUNCTION("IF('(INGESTA)Datos_consumo_datadis'!A956&lt;&gt;"""",SPLIT('(INGESTA)Datos_consumo_datadis'!A:A,"",""),"""")"),"ES0031408323131005HX0F")</f>
        <v>ES0031408323131005HX0F</v>
      </c>
      <c r="B956" s="17">
        <f>IFERROR(__xludf.DUMMYFUNCTION("""COMPUTED_VALUE"""),44905.0)</f>
        <v>44905</v>
      </c>
      <c r="C956" s="13">
        <f>IFERROR(__xludf.DUMMYFUNCTION("""COMPUTED_VALUE"""),0.7916666666666666)</f>
        <v>0.7916666667</v>
      </c>
      <c r="D956" s="8">
        <f>IFERROR(__xludf.DUMMYFUNCTION("""COMPUTED_VALUE"""),0.409)</f>
        <v>0.409</v>
      </c>
      <c r="E956" s="8" t="str">
        <f>IFERROR(__xludf.DUMMYFUNCTION("""COMPUTED_VALUE"""),"Real")</f>
        <v>Real</v>
      </c>
      <c r="G956" s="8">
        <f t="shared" si="1"/>
        <v>12</v>
      </c>
      <c r="H956" s="14">
        <f t="shared" si="2"/>
        <v>10</v>
      </c>
      <c r="I956" s="15">
        <f t="shared" si="3"/>
        <v>19</v>
      </c>
    </row>
    <row r="957">
      <c r="A957" s="8" t="str">
        <f>IFERROR(__xludf.DUMMYFUNCTION("IF('(INGESTA)Datos_consumo_datadis'!A957&lt;&gt;"""",SPLIT('(INGESTA)Datos_consumo_datadis'!A:A,"",""),"""")"),"ES0031408323131005HX0F")</f>
        <v>ES0031408323131005HX0F</v>
      </c>
      <c r="B957" s="17">
        <f>IFERROR(__xludf.DUMMYFUNCTION("""COMPUTED_VALUE"""),44905.0)</f>
        <v>44905</v>
      </c>
      <c r="C957" s="13">
        <f>IFERROR(__xludf.DUMMYFUNCTION("""COMPUTED_VALUE"""),0.8333333333333334)</f>
        <v>0.8333333333</v>
      </c>
      <c r="D957" s="8">
        <f>IFERROR(__xludf.DUMMYFUNCTION("""COMPUTED_VALUE"""),0.017)</f>
        <v>0.017</v>
      </c>
      <c r="E957" s="8" t="str">
        <f>IFERROR(__xludf.DUMMYFUNCTION("""COMPUTED_VALUE"""),"Real")</f>
        <v>Real</v>
      </c>
      <c r="G957" s="8">
        <f t="shared" si="1"/>
        <v>12</v>
      </c>
      <c r="H957" s="14">
        <f t="shared" si="2"/>
        <v>10</v>
      </c>
      <c r="I957" s="15">
        <f t="shared" si="3"/>
        <v>20</v>
      </c>
    </row>
    <row r="958">
      <c r="A958" s="8" t="str">
        <f>IFERROR(__xludf.DUMMYFUNCTION("IF('(INGESTA)Datos_consumo_datadis'!A958&lt;&gt;"""",SPLIT('(INGESTA)Datos_consumo_datadis'!A:A,"",""),"""")"),"ES0031408323131005HX0F")</f>
        <v>ES0031408323131005HX0F</v>
      </c>
      <c r="B958" s="17">
        <f>IFERROR(__xludf.DUMMYFUNCTION("""COMPUTED_VALUE"""),44905.0)</f>
        <v>44905</v>
      </c>
      <c r="C958" s="13">
        <f>IFERROR(__xludf.DUMMYFUNCTION("""COMPUTED_VALUE"""),0.875)</f>
        <v>0.875</v>
      </c>
      <c r="D958" s="8">
        <f>IFERROR(__xludf.DUMMYFUNCTION("""COMPUTED_VALUE"""),0.083)</f>
        <v>0.083</v>
      </c>
      <c r="E958" s="8" t="str">
        <f>IFERROR(__xludf.DUMMYFUNCTION("""COMPUTED_VALUE"""),"Real")</f>
        <v>Real</v>
      </c>
      <c r="G958" s="8">
        <f t="shared" si="1"/>
        <v>12</v>
      </c>
      <c r="H958" s="14">
        <f t="shared" si="2"/>
        <v>10</v>
      </c>
      <c r="I958" s="15">
        <f t="shared" si="3"/>
        <v>21</v>
      </c>
    </row>
    <row r="959">
      <c r="A959" s="8" t="str">
        <f>IFERROR(__xludf.DUMMYFUNCTION("IF('(INGESTA)Datos_consumo_datadis'!A959&lt;&gt;"""",SPLIT('(INGESTA)Datos_consumo_datadis'!A:A,"",""),"""")"),"ES0031408323131005HX0F")</f>
        <v>ES0031408323131005HX0F</v>
      </c>
      <c r="B959" s="17">
        <f>IFERROR(__xludf.DUMMYFUNCTION("""COMPUTED_VALUE"""),44905.0)</f>
        <v>44905</v>
      </c>
      <c r="C959" s="13">
        <f>IFERROR(__xludf.DUMMYFUNCTION("""COMPUTED_VALUE"""),0.9166666666666666)</f>
        <v>0.9166666667</v>
      </c>
      <c r="D959" s="8">
        <f>IFERROR(__xludf.DUMMYFUNCTION("""COMPUTED_VALUE"""),0.044)</f>
        <v>0.044</v>
      </c>
      <c r="E959" s="8" t="str">
        <f>IFERROR(__xludf.DUMMYFUNCTION("""COMPUTED_VALUE"""),"Real")</f>
        <v>Real</v>
      </c>
      <c r="G959" s="8">
        <f t="shared" si="1"/>
        <v>12</v>
      </c>
      <c r="H959" s="14">
        <f t="shared" si="2"/>
        <v>10</v>
      </c>
      <c r="I959" s="15">
        <f t="shared" si="3"/>
        <v>22</v>
      </c>
    </row>
    <row r="960">
      <c r="A960" s="8" t="str">
        <f>IFERROR(__xludf.DUMMYFUNCTION("IF('(INGESTA)Datos_consumo_datadis'!A960&lt;&gt;"""",SPLIT('(INGESTA)Datos_consumo_datadis'!A:A,"",""),"""")"),"ES0031408323131005HX0F")</f>
        <v>ES0031408323131005HX0F</v>
      </c>
      <c r="B960" s="17">
        <f>IFERROR(__xludf.DUMMYFUNCTION("""COMPUTED_VALUE"""),44905.0)</f>
        <v>44905</v>
      </c>
      <c r="C960" s="13">
        <f>IFERROR(__xludf.DUMMYFUNCTION("""COMPUTED_VALUE"""),0.9583333333333334)</f>
        <v>0.9583333333</v>
      </c>
      <c r="D960" s="8">
        <f>IFERROR(__xludf.DUMMYFUNCTION("""COMPUTED_VALUE"""),0.017)</f>
        <v>0.017</v>
      </c>
      <c r="E960" s="8" t="str">
        <f>IFERROR(__xludf.DUMMYFUNCTION("""COMPUTED_VALUE"""),"Real")</f>
        <v>Real</v>
      </c>
      <c r="G960" s="8">
        <f t="shared" si="1"/>
        <v>12</v>
      </c>
      <c r="H960" s="14">
        <f t="shared" si="2"/>
        <v>10</v>
      </c>
      <c r="I960" s="15">
        <f t="shared" si="3"/>
        <v>23</v>
      </c>
    </row>
    <row r="961">
      <c r="A961" s="8" t="str">
        <f>IFERROR(__xludf.DUMMYFUNCTION("IF('(INGESTA)Datos_consumo_datadis'!A961&lt;&gt;"""",SPLIT('(INGESTA)Datos_consumo_datadis'!A:A,"",""),"""")"),"ES0031408323131005HX0F")</f>
        <v>ES0031408323131005HX0F</v>
      </c>
      <c r="B961" s="17">
        <f>IFERROR(__xludf.DUMMYFUNCTION("""COMPUTED_VALUE"""),44905.0)</f>
        <v>44905</v>
      </c>
      <c r="C961" s="16">
        <f>IFERROR(__xludf.DUMMYFUNCTION("""COMPUTED_VALUE"""),1.0)</f>
        <v>1</v>
      </c>
      <c r="D961" s="8">
        <f>IFERROR(__xludf.DUMMYFUNCTION("""COMPUTED_VALUE"""),0.087)</f>
        <v>0.087</v>
      </c>
      <c r="E961" s="8" t="str">
        <f>IFERROR(__xludf.DUMMYFUNCTION("""COMPUTED_VALUE"""),"Real")</f>
        <v>Real</v>
      </c>
      <c r="G961" s="8">
        <f t="shared" si="1"/>
        <v>12</v>
      </c>
      <c r="H961" s="14">
        <f t="shared" si="2"/>
        <v>10</v>
      </c>
      <c r="I961" s="15">
        <f t="shared" si="3"/>
        <v>0</v>
      </c>
    </row>
    <row r="962">
      <c r="A962" s="8" t="str">
        <f>IFERROR(__xludf.DUMMYFUNCTION("IF('(INGESTA)Datos_consumo_datadis'!A962&lt;&gt;"""",SPLIT('(INGESTA)Datos_consumo_datadis'!A:A,"",""),"""")"),"ES0031408323131005HX0F")</f>
        <v>ES0031408323131005HX0F</v>
      </c>
      <c r="B962" s="17">
        <f>IFERROR(__xludf.DUMMYFUNCTION("""COMPUTED_VALUE"""),44906.0)</f>
        <v>44906</v>
      </c>
      <c r="C962" s="13">
        <f>IFERROR(__xludf.DUMMYFUNCTION("""COMPUTED_VALUE"""),0.041666666666666664)</f>
        <v>0.04166666667</v>
      </c>
      <c r="D962" s="8">
        <f>IFERROR(__xludf.DUMMYFUNCTION("""COMPUTED_VALUE"""),0.123)</f>
        <v>0.123</v>
      </c>
      <c r="E962" s="8" t="str">
        <f>IFERROR(__xludf.DUMMYFUNCTION("""COMPUTED_VALUE"""),"Real")</f>
        <v>Real</v>
      </c>
      <c r="G962" s="8">
        <f t="shared" si="1"/>
        <v>12</v>
      </c>
      <c r="H962" s="14">
        <f t="shared" si="2"/>
        <v>11</v>
      </c>
      <c r="I962" s="15">
        <f t="shared" si="3"/>
        <v>1</v>
      </c>
    </row>
    <row r="963">
      <c r="A963" s="8" t="str">
        <f>IFERROR(__xludf.DUMMYFUNCTION("IF('(INGESTA)Datos_consumo_datadis'!A963&lt;&gt;"""",SPLIT('(INGESTA)Datos_consumo_datadis'!A:A,"",""),"""")"),"ES0031408323131005HX0F")</f>
        <v>ES0031408323131005HX0F</v>
      </c>
      <c r="B963" s="17">
        <f>IFERROR(__xludf.DUMMYFUNCTION("""COMPUTED_VALUE"""),44906.0)</f>
        <v>44906</v>
      </c>
      <c r="C963" s="13">
        <f>IFERROR(__xludf.DUMMYFUNCTION("""COMPUTED_VALUE"""),0.08333333333333333)</f>
        <v>0.08333333333</v>
      </c>
      <c r="D963" s="8">
        <f>IFERROR(__xludf.DUMMYFUNCTION("""COMPUTED_VALUE"""),0.211)</f>
        <v>0.211</v>
      </c>
      <c r="E963" s="8" t="str">
        <f>IFERROR(__xludf.DUMMYFUNCTION("""COMPUTED_VALUE"""),"Real")</f>
        <v>Real</v>
      </c>
      <c r="G963" s="8">
        <f t="shared" si="1"/>
        <v>12</v>
      </c>
      <c r="H963" s="14">
        <f t="shared" si="2"/>
        <v>11</v>
      </c>
      <c r="I963" s="15">
        <f t="shared" si="3"/>
        <v>2</v>
      </c>
    </row>
    <row r="964">
      <c r="A964" s="8" t="str">
        <f>IFERROR(__xludf.DUMMYFUNCTION("IF('(INGESTA)Datos_consumo_datadis'!A964&lt;&gt;"""",SPLIT('(INGESTA)Datos_consumo_datadis'!A:A,"",""),"""")"),"ES0031408323131005HX0F")</f>
        <v>ES0031408323131005HX0F</v>
      </c>
      <c r="B964" s="17">
        <f>IFERROR(__xludf.DUMMYFUNCTION("""COMPUTED_VALUE"""),44906.0)</f>
        <v>44906</v>
      </c>
      <c r="C964" s="13">
        <f>IFERROR(__xludf.DUMMYFUNCTION("""COMPUTED_VALUE"""),0.125)</f>
        <v>0.125</v>
      </c>
      <c r="D964" s="8">
        <f>IFERROR(__xludf.DUMMYFUNCTION("""COMPUTED_VALUE"""),0.078)</f>
        <v>0.078</v>
      </c>
      <c r="E964" s="8" t="str">
        <f>IFERROR(__xludf.DUMMYFUNCTION("""COMPUTED_VALUE"""),"Real")</f>
        <v>Real</v>
      </c>
      <c r="G964" s="8">
        <f t="shared" si="1"/>
        <v>12</v>
      </c>
      <c r="H964" s="14">
        <f t="shared" si="2"/>
        <v>11</v>
      </c>
      <c r="I964" s="15">
        <f t="shared" si="3"/>
        <v>3</v>
      </c>
    </row>
    <row r="965">
      <c r="A965" s="8" t="str">
        <f>IFERROR(__xludf.DUMMYFUNCTION("IF('(INGESTA)Datos_consumo_datadis'!A965&lt;&gt;"""",SPLIT('(INGESTA)Datos_consumo_datadis'!A:A,"",""),"""")"),"ES0031408323131005HX0F")</f>
        <v>ES0031408323131005HX0F</v>
      </c>
      <c r="B965" s="17">
        <f>IFERROR(__xludf.DUMMYFUNCTION("""COMPUTED_VALUE"""),44906.0)</f>
        <v>44906</v>
      </c>
      <c r="C965" s="13">
        <f>IFERROR(__xludf.DUMMYFUNCTION("""COMPUTED_VALUE"""),0.16666666666666666)</f>
        <v>0.1666666667</v>
      </c>
      <c r="D965" s="8">
        <f>IFERROR(__xludf.DUMMYFUNCTION("""COMPUTED_VALUE"""),0.021)</f>
        <v>0.021</v>
      </c>
      <c r="E965" s="8" t="str">
        <f>IFERROR(__xludf.DUMMYFUNCTION("""COMPUTED_VALUE"""),"Real")</f>
        <v>Real</v>
      </c>
      <c r="G965" s="8">
        <f t="shared" si="1"/>
        <v>12</v>
      </c>
      <c r="H965" s="14">
        <f t="shared" si="2"/>
        <v>11</v>
      </c>
      <c r="I965" s="15">
        <f t="shared" si="3"/>
        <v>4</v>
      </c>
    </row>
    <row r="966">
      <c r="A966" s="8" t="str">
        <f>IFERROR(__xludf.DUMMYFUNCTION("IF('(INGESTA)Datos_consumo_datadis'!A966&lt;&gt;"""",SPLIT('(INGESTA)Datos_consumo_datadis'!A:A,"",""),"""")"),"ES0031408323131005HX0F")</f>
        <v>ES0031408323131005HX0F</v>
      </c>
      <c r="B966" s="17">
        <f>IFERROR(__xludf.DUMMYFUNCTION("""COMPUTED_VALUE"""),44906.0)</f>
        <v>44906</v>
      </c>
      <c r="C966" s="13">
        <f>IFERROR(__xludf.DUMMYFUNCTION("""COMPUTED_VALUE"""),0.20833333333333334)</f>
        <v>0.2083333333</v>
      </c>
      <c r="D966" s="8">
        <f>IFERROR(__xludf.DUMMYFUNCTION("""COMPUTED_VALUE"""),0.061)</f>
        <v>0.061</v>
      </c>
      <c r="E966" s="8" t="str">
        <f>IFERROR(__xludf.DUMMYFUNCTION("""COMPUTED_VALUE"""),"Real")</f>
        <v>Real</v>
      </c>
      <c r="G966" s="8">
        <f t="shared" si="1"/>
        <v>12</v>
      </c>
      <c r="H966" s="14">
        <f t="shared" si="2"/>
        <v>11</v>
      </c>
      <c r="I966" s="15">
        <f t="shared" si="3"/>
        <v>5</v>
      </c>
    </row>
    <row r="967">
      <c r="A967" s="8" t="str">
        <f>IFERROR(__xludf.DUMMYFUNCTION("IF('(INGESTA)Datos_consumo_datadis'!A967&lt;&gt;"""",SPLIT('(INGESTA)Datos_consumo_datadis'!A:A,"",""),"""")"),"ES0031408323131005HX0F")</f>
        <v>ES0031408323131005HX0F</v>
      </c>
      <c r="B967" s="17">
        <f>IFERROR(__xludf.DUMMYFUNCTION("""COMPUTED_VALUE"""),44906.0)</f>
        <v>44906</v>
      </c>
      <c r="C967" s="13">
        <f>IFERROR(__xludf.DUMMYFUNCTION("""COMPUTED_VALUE"""),0.25)</f>
        <v>0.25</v>
      </c>
      <c r="D967" s="8">
        <f>IFERROR(__xludf.DUMMYFUNCTION("""COMPUTED_VALUE"""),0.8)</f>
        <v>0.8</v>
      </c>
      <c r="E967" s="8" t="str">
        <f>IFERROR(__xludf.DUMMYFUNCTION("""COMPUTED_VALUE"""),"Real")</f>
        <v>Real</v>
      </c>
      <c r="G967" s="8">
        <f t="shared" si="1"/>
        <v>12</v>
      </c>
      <c r="H967" s="14">
        <f t="shared" si="2"/>
        <v>11</v>
      </c>
      <c r="I967" s="15">
        <f t="shared" si="3"/>
        <v>6</v>
      </c>
    </row>
    <row r="968">
      <c r="A968" s="8" t="str">
        <f>IFERROR(__xludf.DUMMYFUNCTION("IF('(INGESTA)Datos_consumo_datadis'!A968&lt;&gt;"""",SPLIT('(INGESTA)Datos_consumo_datadis'!A:A,"",""),"""")"),"ES0031408323131005HX0F")</f>
        <v>ES0031408323131005HX0F</v>
      </c>
      <c r="B968" s="17">
        <f>IFERROR(__xludf.DUMMYFUNCTION("""COMPUTED_VALUE"""),44906.0)</f>
        <v>44906</v>
      </c>
      <c r="C968" s="13">
        <f>IFERROR(__xludf.DUMMYFUNCTION("""COMPUTED_VALUE"""),0.2916666666666667)</f>
        <v>0.2916666667</v>
      </c>
      <c r="D968" s="8">
        <f>IFERROR(__xludf.DUMMYFUNCTION("""COMPUTED_VALUE"""),0.941)</f>
        <v>0.941</v>
      </c>
      <c r="E968" s="8" t="str">
        <f>IFERROR(__xludf.DUMMYFUNCTION("""COMPUTED_VALUE"""),"Real")</f>
        <v>Real</v>
      </c>
      <c r="G968" s="8">
        <f t="shared" si="1"/>
        <v>12</v>
      </c>
      <c r="H968" s="14">
        <f t="shared" si="2"/>
        <v>11</v>
      </c>
      <c r="I968" s="15">
        <f t="shared" si="3"/>
        <v>7</v>
      </c>
    </row>
    <row r="969">
      <c r="A969" s="8" t="str">
        <f>IFERROR(__xludf.DUMMYFUNCTION("IF('(INGESTA)Datos_consumo_datadis'!A969&lt;&gt;"""",SPLIT('(INGESTA)Datos_consumo_datadis'!A:A,"",""),"""")"),"ES0031408323131005HX0F")</f>
        <v>ES0031408323131005HX0F</v>
      </c>
      <c r="B969" s="17">
        <f>IFERROR(__xludf.DUMMYFUNCTION("""COMPUTED_VALUE"""),44906.0)</f>
        <v>44906</v>
      </c>
      <c r="C969" s="13">
        <f>IFERROR(__xludf.DUMMYFUNCTION("""COMPUTED_VALUE"""),0.3333333333333333)</f>
        <v>0.3333333333</v>
      </c>
      <c r="D969" s="8">
        <f>IFERROR(__xludf.DUMMYFUNCTION("""COMPUTED_VALUE"""),0.986)</f>
        <v>0.986</v>
      </c>
      <c r="E969" s="8" t="str">
        <f>IFERROR(__xludf.DUMMYFUNCTION("""COMPUTED_VALUE"""),"Real")</f>
        <v>Real</v>
      </c>
      <c r="G969" s="8">
        <f t="shared" si="1"/>
        <v>12</v>
      </c>
      <c r="H969" s="14">
        <f t="shared" si="2"/>
        <v>11</v>
      </c>
      <c r="I969" s="15">
        <f t="shared" si="3"/>
        <v>8</v>
      </c>
    </row>
    <row r="970">
      <c r="A970" s="8" t="str">
        <f>IFERROR(__xludf.DUMMYFUNCTION("IF('(INGESTA)Datos_consumo_datadis'!A970&lt;&gt;"""",SPLIT('(INGESTA)Datos_consumo_datadis'!A:A,"",""),"""")"),"ES0031408323131005HX0F")</f>
        <v>ES0031408323131005HX0F</v>
      </c>
      <c r="B970" s="17">
        <f>IFERROR(__xludf.DUMMYFUNCTION("""COMPUTED_VALUE"""),44906.0)</f>
        <v>44906</v>
      </c>
      <c r="C970" s="13">
        <f>IFERROR(__xludf.DUMMYFUNCTION("""COMPUTED_VALUE"""),0.375)</f>
        <v>0.375</v>
      </c>
      <c r="D970" s="8">
        <f>IFERROR(__xludf.DUMMYFUNCTION("""COMPUTED_VALUE"""),0.788)</f>
        <v>0.788</v>
      </c>
      <c r="E970" s="8" t="str">
        <f>IFERROR(__xludf.DUMMYFUNCTION("""COMPUTED_VALUE"""),"Real")</f>
        <v>Real</v>
      </c>
      <c r="G970" s="8">
        <f t="shared" si="1"/>
        <v>12</v>
      </c>
      <c r="H970" s="14">
        <f t="shared" si="2"/>
        <v>11</v>
      </c>
      <c r="I970" s="15">
        <f t="shared" si="3"/>
        <v>9</v>
      </c>
    </row>
    <row r="971">
      <c r="A971" s="8" t="str">
        <f>IFERROR(__xludf.DUMMYFUNCTION("IF('(INGESTA)Datos_consumo_datadis'!A971&lt;&gt;"""",SPLIT('(INGESTA)Datos_consumo_datadis'!A:A,"",""),"""")"),"ES0031408323131005HX0F")</f>
        <v>ES0031408323131005HX0F</v>
      </c>
      <c r="B971" s="17">
        <f>IFERROR(__xludf.DUMMYFUNCTION("""COMPUTED_VALUE"""),44906.0)</f>
        <v>44906</v>
      </c>
      <c r="C971" s="13">
        <f>IFERROR(__xludf.DUMMYFUNCTION("""COMPUTED_VALUE"""),0.4166666666666667)</f>
        <v>0.4166666667</v>
      </c>
      <c r="D971" s="8">
        <f>IFERROR(__xludf.DUMMYFUNCTION("""COMPUTED_VALUE"""),0.785)</f>
        <v>0.785</v>
      </c>
      <c r="E971" s="8" t="str">
        <f>IFERROR(__xludf.DUMMYFUNCTION("""COMPUTED_VALUE"""),"Real")</f>
        <v>Real</v>
      </c>
      <c r="G971" s="8">
        <f t="shared" si="1"/>
        <v>12</v>
      </c>
      <c r="H971" s="14">
        <f t="shared" si="2"/>
        <v>11</v>
      </c>
      <c r="I971" s="15">
        <f t="shared" si="3"/>
        <v>10</v>
      </c>
    </row>
    <row r="972">
      <c r="A972" s="8" t="str">
        <f>IFERROR(__xludf.DUMMYFUNCTION("IF('(INGESTA)Datos_consumo_datadis'!A972&lt;&gt;"""",SPLIT('(INGESTA)Datos_consumo_datadis'!A:A,"",""),"""")"),"ES0031408323131005HX0F")</f>
        <v>ES0031408323131005HX0F</v>
      </c>
      <c r="B972" s="17">
        <f>IFERROR(__xludf.DUMMYFUNCTION("""COMPUTED_VALUE"""),44906.0)</f>
        <v>44906</v>
      </c>
      <c r="C972" s="13">
        <f>IFERROR(__xludf.DUMMYFUNCTION("""COMPUTED_VALUE"""),0.4583333333333333)</f>
        <v>0.4583333333</v>
      </c>
      <c r="D972" s="8">
        <f>IFERROR(__xludf.DUMMYFUNCTION("""COMPUTED_VALUE"""),0.74)</f>
        <v>0.74</v>
      </c>
      <c r="E972" s="8" t="str">
        <f>IFERROR(__xludf.DUMMYFUNCTION("""COMPUTED_VALUE"""),"Real")</f>
        <v>Real</v>
      </c>
      <c r="G972" s="8">
        <f t="shared" si="1"/>
        <v>12</v>
      </c>
      <c r="H972" s="14">
        <f t="shared" si="2"/>
        <v>11</v>
      </c>
      <c r="I972" s="15">
        <f t="shared" si="3"/>
        <v>11</v>
      </c>
    </row>
    <row r="973">
      <c r="A973" s="8" t="str">
        <f>IFERROR(__xludf.DUMMYFUNCTION("IF('(INGESTA)Datos_consumo_datadis'!A973&lt;&gt;"""",SPLIT('(INGESTA)Datos_consumo_datadis'!A:A,"",""),"""")"),"ES0031408323131005HX0F")</f>
        <v>ES0031408323131005HX0F</v>
      </c>
      <c r="B973" s="17">
        <f>IFERROR(__xludf.DUMMYFUNCTION("""COMPUTED_VALUE"""),44906.0)</f>
        <v>44906</v>
      </c>
      <c r="C973" s="13">
        <f>IFERROR(__xludf.DUMMYFUNCTION("""COMPUTED_VALUE"""),0.5)</f>
        <v>0.5</v>
      </c>
      <c r="D973" s="8">
        <f>IFERROR(__xludf.DUMMYFUNCTION("""COMPUTED_VALUE"""),0.799)</f>
        <v>0.799</v>
      </c>
      <c r="E973" s="8" t="str">
        <f>IFERROR(__xludf.DUMMYFUNCTION("""COMPUTED_VALUE"""),"Real")</f>
        <v>Real</v>
      </c>
      <c r="G973" s="8">
        <f t="shared" si="1"/>
        <v>12</v>
      </c>
      <c r="H973" s="14">
        <f t="shared" si="2"/>
        <v>11</v>
      </c>
      <c r="I973" s="15">
        <f t="shared" si="3"/>
        <v>12</v>
      </c>
    </row>
    <row r="974">
      <c r="A974" s="8" t="str">
        <f>IFERROR(__xludf.DUMMYFUNCTION("IF('(INGESTA)Datos_consumo_datadis'!A974&lt;&gt;"""",SPLIT('(INGESTA)Datos_consumo_datadis'!A:A,"",""),"""")"),"ES0031408323131005HX0F")</f>
        <v>ES0031408323131005HX0F</v>
      </c>
      <c r="B974" s="17">
        <f>IFERROR(__xludf.DUMMYFUNCTION("""COMPUTED_VALUE"""),44906.0)</f>
        <v>44906</v>
      </c>
      <c r="C974" s="13">
        <f>IFERROR(__xludf.DUMMYFUNCTION("""COMPUTED_VALUE"""),0.5416666666666666)</f>
        <v>0.5416666667</v>
      </c>
      <c r="D974" s="8">
        <f>IFERROR(__xludf.DUMMYFUNCTION("""COMPUTED_VALUE"""),0.767)</f>
        <v>0.767</v>
      </c>
      <c r="E974" s="8" t="str">
        <f>IFERROR(__xludf.DUMMYFUNCTION("""COMPUTED_VALUE"""),"Real")</f>
        <v>Real</v>
      </c>
      <c r="G974" s="8">
        <f t="shared" si="1"/>
        <v>12</v>
      </c>
      <c r="H974" s="14">
        <f t="shared" si="2"/>
        <v>11</v>
      </c>
      <c r="I974" s="15">
        <f t="shared" si="3"/>
        <v>13</v>
      </c>
    </row>
    <row r="975">
      <c r="A975" s="8" t="str">
        <f>IFERROR(__xludf.DUMMYFUNCTION("IF('(INGESTA)Datos_consumo_datadis'!A975&lt;&gt;"""",SPLIT('(INGESTA)Datos_consumo_datadis'!A:A,"",""),"""")"),"ES0031408323131005HX0F")</f>
        <v>ES0031408323131005HX0F</v>
      </c>
      <c r="B975" s="17">
        <f>IFERROR(__xludf.DUMMYFUNCTION("""COMPUTED_VALUE"""),44906.0)</f>
        <v>44906</v>
      </c>
      <c r="C975" s="13">
        <f>IFERROR(__xludf.DUMMYFUNCTION("""COMPUTED_VALUE"""),0.5833333333333334)</f>
        <v>0.5833333333</v>
      </c>
      <c r="D975" s="8">
        <f>IFERROR(__xludf.DUMMYFUNCTION("""COMPUTED_VALUE"""),1.011)</f>
        <v>1.011</v>
      </c>
      <c r="E975" s="8" t="str">
        <f>IFERROR(__xludf.DUMMYFUNCTION("""COMPUTED_VALUE"""),"Real")</f>
        <v>Real</v>
      </c>
      <c r="G975" s="8">
        <f t="shared" si="1"/>
        <v>12</v>
      </c>
      <c r="H975" s="14">
        <f t="shared" si="2"/>
        <v>11</v>
      </c>
      <c r="I975" s="15">
        <f t="shared" si="3"/>
        <v>14</v>
      </c>
    </row>
    <row r="976">
      <c r="A976" s="8" t="str">
        <f>IFERROR(__xludf.DUMMYFUNCTION("IF('(INGESTA)Datos_consumo_datadis'!A976&lt;&gt;"""",SPLIT('(INGESTA)Datos_consumo_datadis'!A:A,"",""),"""")"),"ES0031408323131005HX0F")</f>
        <v>ES0031408323131005HX0F</v>
      </c>
      <c r="B976" s="17">
        <f>IFERROR(__xludf.DUMMYFUNCTION("""COMPUTED_VALUE"""),44906.0)</f>
        <v>44906</v>
      </c>
      <c r="C976" s="13">
        <f>IFERROR(__xludf.DUMMYFUNCTION("""COMPUTED_VALUE"""),0.625)</f>
        <v>0.625</v>
      </c>
      <c r="D976" s="8">
        <f>IFERROR(__xludf.DUMMYFUNCTION("""COMPUTED_VALUE"""),1.29)</f>
        <v>1.29</v>
      </c>
      <c r="E976" s="8" t="str">
        <f>IFERROR(__xludf.DUMMYFUNCTION("""COMPUTED_VALUE"""),"Real")</f>
        <v>Real</v>
      </c>
      <c r="G976" s="8">
        <f t="shared" si="1"/>
        <v>12</v>
      </c>
      <c r="H976" s="14">
        <f t="shared" si="2"/>
        <v>11</v>
      </c>
      <c r="I976" s="15">
        <f t="shared" si="3"/>
        <v>15</v>
      </c>
    </row>
    <row r="977">
      <c r="A977" s="8" t="str">
        <f>IFERROR(__xludf.DUMMYFUNCTION("IF('(INGESTA)Datos_consumo_datadis'!A977&lt;&gt;"""",SPLIT('(INGESTA)Datos_consumo_datadis'!A:A,"",""),"""")"),"ES0031408323131005HX0F")</f>
        <v>ES0031408323131005HX0F</v>
      </c>
      <c r="B977" s="17">
        <f>IFERROR(__xludf.DUMMYFUNCTION("""COMPUTED_VALUE"""),44906.0)</f>
        <v>44906</v>
      </c>
      <c r="C977" s="13">
        <f>IFERROR(__xludf.DUMMYFUNCTION("""COMPUTED_VALUE"""),0.6666666666666666)</f>
        <v>0.6666666667</v>
      </c>
      <c r="D977" s="8">
        <f>IFERROR(__xludf.DUMMYFUNCTION("""COMPUTED_VALUE"""),0.992)</f>
        <v>0.992</v>
      </c>
      <c r="E977" s="8" t="str">
        <f>IFERROR(__xludf.DUMMYFUNCTION("""COMPUTED_VALUE"""),"Real")</f>
        <v>Real</v>
      </c>
      <c r="G977" s="8">
        <f t="shared" si="1"/>
        <v>12</v>
      </c>
      <c r="H977" s="14">
        <f t="shared" si="2"/>
        <v>11</v>
      </c>
      <c r="I977" s="15">
        <f t="shared" si="3"/>
        <v>16</v>
      </c>
    </row>
    <row r="978">
      <c r="A978" s="8" t="str">
        <f>IFERROR(__xludf.DUMMYFUNCTION("IF('(INGESTA)Datos_consumo_datadis'!A978&lt;&gt;"""",SPLIT('(INGESTA)Datos_consumo_datadis'!A:A,"",""),"""")"),"ES0031408323131005HX0F")</f>
        <v>ES0031408323131005HX0F</v>
      </c>
      <c r="B978" s="17">
        <f>IFERROR(__xludf.DUMMYFUNCTION("""COMPUTED_VALUE"""),44906.0)</f>
        <v>44906</v>
      </c>
      <c r="C978" s="13">
        <f>IFERROR(__xludf.DUMMYFUNCTION("""COMPUTED_VALUE"""),0.7083333333333334)</f>
        <v>0.7083333333</v>
      </c>
      <c r="D978" s="8">
        <f>IFERROR(__xludf.DUMMYFUNCTION("""COMPUTED_VALUE"""),0.826)</f>
        <v>0.826</v>
      </c>
      <c r="E978" s="8" t="str">
        <f>IFERROR(__xludf.DUMMYFUNCTION("""COMPUTED_VALUE"""),"Real")</f>
        <v>Real</v>
      </c>
      <c r="G978" s="8">
        <f t="shared" si="1"/>
        <v>12</v>
      </c>
      <c r="H978" s="14">
        <f t="shared" si="2"/>
        <v>11</v>
      </c>
      <c r="I978" s="15">
        <f t="shared" si="3"/>
        <v>17</v>
      </c>
    </row>
    <row r="979">
      <c r="A979" s="8" t="str">
        <f>IFERROR(__xludf.DUMMYFUNCTION("IF('(INGESTA)Datos_consumo_datadis'!A979&lt;&gt;"""",SPLIT('(INGESTA)Datos_consumo_datadis'!A:A,"",""),"""")"),"ES0031408323131005HX0F")</f>
        <v>ES0031408323131005HX0F</v>
      </c>
      <c r="B979" s="17">
        <f>IFERROR(__xludf.DUMMYFUNCTION("""COMPUTED_VALUE"""),44906.0)</f>
        <v>44906</v>
      </c>
      <c r="C979" s="13">
        <f>IFERROR(__xludf.DUMMYFUNCTION("""COMPUTED_VALUE"""),0.75)</f>
        <v>0.75</v>
      </c>
      <c r="D979" s="8">
        <f>IFERROR(__xludf.DUMMYFUNCTION("""COMPUTED_VALUE"""),0.859)</f>
        <v>0.859</v>
      </c>
      <c r="E979" s="8" t="str">
        <f>IFERROR(__xludf.DUMMYFUNCTION("""COMPUTED_VALUE"""),"Real")</f>
        <v>Real</v>
      </c>
      <c r="G979" s="8">
        <f t="shared" si="1"/>
        <v>12</v>
      </c>
      <c r="H979" s="14">
        <f t="shared" si="2"/>
        <v>11</v>
      </c>
      <c r="I979" s="15">
        <f t="shared" si="3"/>
        <v>18</v>
      </c>
    </row>
    <row r="980">
      <c r="A980" s="8" t="str">
        <f>IFERROR(__xludf.DUMMYFUNCTION("IF('(INGESTA)Datos_consumo_datadis'!A980&lt;&gt;"""",SPLIT('(INGESTA)Datos_consumo_datadis'!A:A,"",""),"""")"),"ES0031408323131005HX0F")</f>
        <v>ES0031408323131005HX0F</v>
      </c>
      <c r="B980" s="17">
        <f>IFERROR(__xludf.DUMMYFUNCTION("""COMPUTED_VALUE"""),44906.0)</f>
        <v>44906</v>
      </c>
      <c r="C980" s="13">
        <f>IFERROR(__xludf.DUMMYFUNCTION("""COMPUTED_VALUE"""),0.7916666666666666)</f>
        <v>0.7916666667</v>
      </c>
      <c r="D980" s="8">
        <f>IFERROR(__xludf.DUMMYFUNCTION("""COMPUTED_VALUE"""),0.341)</f>
        <v>0.341</v>
      </c>
      <c r="E980" s="8" t="str">
        <f>IFERROR(__xludf.DUMMYFUNCTION("""COMPUTED_VALUE"""),"Real")</f>
        <v>Real</v>
      </c>
      <c r="G980" s="8">
        <f t="shared" si="1"/>
        <v>12</v>
      </c>
      <c r="H980" s="14">
        <f t="shared" si="2"/>
        <v>11</v>
      </c>
      <c r="I980" s="15">
        <f t="shared" si="3"/>
        <v>19</v>
      </c>
    </row>
    <row r="981">
      <c r="A981" s="8" t="str">
        <f>IFERROR(__xludf.DUMMYFUNCTION("IF('(INGESTA)Datos_consumo_datadis'!A981&lt;&gt;"""",SPLIT('(INGESTA)Datos_consumo_datadis'!A:A,"",""),"""")"),"ES0031408323131005HX0F")</f>
        <v>ES0031408323131005HX0F</v>
      </c>
      <c r="B981" s="17">
        <f>IFERROR(__xludf.DUMMYFUNCTION("""COMPUTED_VALUE"""),44906.0)</f>
        <v>44906</v>
      </c>
      <c r="C981" s="13">
        <f>IFERROR(__xludf.DUMMYFUNCTION("""COMPUTED_VALUE"""),0.8333333333333334)</f>
        <v>0.8333333333</v>
      </c>
      <c r="D981" s="8">
        <f>IFERROR(__xludf.DUMMYFUNCTION("""COMPUTED_VALUE"""),1.284)</f>
        <v>1.284</v>
      </c>
      <c r="E981" s="8" t="str">
        <f>IFERROR(__xludf.DUMMYFUNCTION("""COMPUTED_VALUE"""),"Real")</f>
        <v>Real</v>
      </c>
      <c r="G981" s="8">
        <f t="shared" si="1"/>
        <v>12</v>
      </c>
      <c r="H981" s="14">
        <f t="shared" si="2"/>
        <v>11</v>
      </c>
      <c r="I981" s="15">
        <f t="shared" si="3"/>
        <v>20</v>
      </c>
    </row>
    <row r="982">
      <c r="A982" s="8" t="str">
        <f>IFERROR(__xludf.DUMMYFUNCTION("IF('(INGESTA)Datos_consumo_datadis'!A982&lt;&gt;"""",SPLIT('(INGESTA)Datos_consumo_datadis'!A:A,"",""),"""")"),"ES0031408323131005HX0F")</f>
        <v>ES0031408323131005HX0F</v>
      </c>
      <c r="B982" s="17">
        <f>IFERROR(__xludf.DUMMYFUNCTION("""COMPUTED_VALUE"""),44906.0)</f>
        <v>44906</v>
      </c>
      <c r="C982" s="13">
        <f>IFERROR(__xludf.DUMMYFUNCTION("""COMPUTED_VALUE"""),0.875)</f>
        <v>0.875</v>
      </c>
      <c r="D982" s="8">
        <f>IFERROR(__xludf.DUMMYFUNCTION("""COMPUTED_VALUE"""),2.256)</f>
        <v>2.256</v>
      </c>
      <c r="E982" s="8" t="str">
        <f>IFERROR(__xludf.DUMMYFUNCTION("""COMPUTED_VALUE"""),"Real")</f>
        <v>Real</v>
      </c>
      <c r="G982" s="8">
        <f t="shared" si="1"/>
        <v>12</v>
      </c>
      <c r="H982" s="14">
        <f t="shared" si="2"/>
        <v>11</v>
      </c>
      <c r="I982" s="15">
        <f t="shared" si="3"/>
        <v>21</v>
      </c>
    </row>
    <row r="983">
      <c r="A983" s="8" t="str">
        <f>IFERROR(__xludf.DUMMYFUNCTION("IF('(INGESTA)Datos_consumo_datadis'!A983&lt;&gt;"""",SPLIT('(INGESTA)Datos_consumo_datadis'!A:A,"",""),"""")"),"ES0031408323131005HX0F")</f>
        <v>ES0031408323131005HX0F</v>
      </c>
      <c r="B983" s="17">
        <f>IFERROR(__xludf.DUMMYFUNCTION("""COMPUTED_VALUE"""),44906.0)</f>
        <v>44906</v>
      </c>
      <c r="C983" s="13">
        <f>IFERROR(__xludf.DUMMYFUNCTION("""COMPUTED_VALUE"""),0.9166666666666666)</f>
        <v>0.9166666667</v>
      </c>
      <c r="D983" s="8">
        <f>IFERROR(__xludf.DUMMYFUNCTION("""COMPUTED_VALUE"""),0.711)</f>
        <v>0.711</v>
      </c>
      <c r="E983" s="8" t="str">
        <f>IFERROR(__xludf.DUMMYFUNCTION("""COMPUTED_VALUE"""),"Real")</f>
        <v>Real</v>
      </c>
      <c r="G983" s="8">
        <f t="shared" si="1"/>
        <v>12</v>
      </c>
      <c r="H983" s="14">
        <f t="shared" si="2"/>
        <v>11</v>
      </c>
      <c r="I983" s="15">
        <f t="shared" si="3"/>
        <v>22</v>
      </c>
    </row>
    <row r="984">
      <c r="A984" s="8" t="str">
        <f>IFERROR(__xludf.DUMMYFUNCTION("IF('(INGESTA)Datos_consumo_datadis'!A984&lt;&gt;"""",SPLIT('(INGESTA)Datos_consumo_datadis'!A:A,"",""),"""")"),"ES0031408323131005HX0F")</f>
        <v>ES0031408323131005HX0F</v>
      </c>
      <c r="B984" s="17">
        <f>IFERROR(__xludf.DUMMYFUNCTION("""COMPUTED_VALUE"""),44906.0)</f>
        <v>44906</v>
      </c>
      <c r="C984" s="13">
        <f>IFERROR(__xludf.DUMMYFUNCTION("""COMPUTED_VALUE"""),0.9583333333333334)</f>
        <v>0.9583333333</v>
      </c>
      <c r="D984" s="8">
        <f>IFERROR(__xludf.DUMMYFUNCTION("""COMPUTED_VALUE"""),1.105)</f>
        <v>1.105</v>
      </c>
      <c r="E984" s="8" t="str">
        <f>IFERROR(__xludf.DUMMYFUNCTION("""COMPUTED_VALUE"""),"Real")</f>
        <v>Real</v>
      </c>
      <c r="G984" s="8">
        <f t="shared" si="1"/>
        <v>12</v>
      </c>
      <c r="H984" s="14">
        <f t="shared" si="2"/>
        <v>11</v>
      </c>
      <c r="I984" s="15">
        <f t="shared" si="3"/>
        <v>23</v>
      </c>
    </row>
    <row r="985">
      <c r="A985" s="8" t="str">
        <f>IFERROR(__xludf.DUMMYFUNCTION("IF('(INGESTA)Datos_consumo_datadis'!A985&lt;&gt;"""",SPLIT('(INGESTA)Datos_consumo_datadis'!A:A,"",""),"""")"),"ES0031408323131005HX0F")</f>
        <v>ES0031408323131005HX0F</v>
      </c>
      <c r="B985" s="17">
        <f>IFERROR(__xludf.DUMMYFUNCTION("""COMPUTED_VALUE"""),44906.0)</f>
        <v>44906</v>
      </c>
      <c r="C985" s="16">
        <f>IFERROR(__xludf.DUMMYFUNCTION("""COMPUTED_VALUE"""),1.0)</f>
        <v>1</v>
      </c>
      <c r="D985" s="8">
        <f>IFERROR(__xludf.DUMMYFUNCTION("""COMPUTED_VALUE"""),0.89)</f>
        <v>0.89</v>
      </c>
      <c r="E985" s="8" t="str">
        <f>IFERROR(__xludf.DUMMYFUNCTION("""COMPUTED_VALUE"""),"Real")</f>
        <v>Real</v>
      </c>
      <c r="G985" s="8">
        <f t="shared" si="1"/>
        <v>12</v>
      </c>
      <c r="H985" s="14">
        <f t="shared" si="2"/>
        <v>11</v>
      </c>
      <c r="I985" s="15">
        <f t="shared" si="3"/>
        <v>0</v>
      </c>
    </row>
    <row r="986">
      <c r="A986" s="8" t="str">
        <f>IFERROR(__xludf.DUMMYFUNCTION("IF('(INGESTA)Datos_consumo_datadis'!A986&lt;&gt;"""",SPLIT('(INGESTA)Datos_consumo_datadis'!A:A,"",""),"""")"),"ES0031408323131005HX0F")</f>
        <v>ES0031408323131005HX0F</v>
      </c>
      <c r="B986" s="17">
        <f>IFERROR(__xludf.DUMMYFUNCTION("""COMPUTED_VALUE"""),44907.0)</f>
        <v>44907</v>
      </c>
      <c r="C986" s="13">
        <f>IFERROR(__xludf.DUMMYFUNCTION("""COMPUTED_VALUE"""),0.041666666666666664)</f>
        <v>0.04166666667</v>
      </c>
      <c r="D986" s="8">
        <f>IFERROR(__xludf.DUMMYFUNCTION("""COMPUTED_VALUE"""),0.854)</f>
        <v>0.854</v>
      </c>
      <c r="E986" s="8" t="str">
        <f>IFERROR(__xludf.DUMMYFUNCTION("""COMPUTED_VALUE"""),"Real")</f>
        <v>Real</v>
      </c>
      <c r="G986" s="8">
        <f t="shared" si="1"/>
        <v>12</v>
      </c>
      <c r="H986" s="14">
        <f t="shared" si="2"/>
        <v>12</v>
      </c>
      <c r="I986" s="15">
        <f t="shared" si="3"/>
        <v>1</v>
      </c>
    </row>
    <row r="987">
      <c r="A987" s="8" t="str">
        <f>IFERROR(__xludf.DUMMYFUNCTION("IF('(INGESTA)Datos_consumo_datadis'!A987&lt;&gt;"""",SPLIT('(INGESTA)Datos_consumo_datadis'!A:A,"",""),"""")"),"ES0031408323131005HX0F")</f>
        <v>ES0031408323131005HX0F</v>
      </c>
      <c r="B987" s="17">
        <f>IFERROR(__xludf.DUMMYFUNCTION("""COMPUTED_VALUE"""),44907.0)</f>
        <v>44907</v>
      </c>
      <c r="C987" s="13">
        <f>IFERROR(__xludf.DUMMYFUNCTION("""COMPUTED_VALUE"""),0.08333333333333333)</f>
        <v>0.08333333333</v>
      </c>
      <c r="D987" s="8">
        <f>IFERROR(__xludf.DUMMYFUNCTION("""COMPUTED_VALUE"""),0.867)</f>
        <v>0.867</v>
      </c>
      <c r="E987" s="8" t="str">
        <f>IFERROR(__xludf.DUMMYFUNCTION("""COMPUTED_VALUE"""),"Real")</f>
        <v>Real</v>
      </c>
      <c r="G987" s="8">
        <f t="shared" si="1"/>
        <v>12</v>
      </c>
      <c r="H987" s="14">
        <f t="shared" si="2"/>
        <v>12</v>
      </c>
      <c r="I987" s="15">
        <f t="shared" si="3"/>
        <v>2</v>
      </c>
    </row>
    <row r="988">
      <c r="A988" s="8" t="str">
        <f>IFERROR(__xludf.DUMMYFUNCTION("IF('(INGESTA)Datos_consumo_datadis'!A988&lt;&gt;"""",SPLIT('(INGESTA)Datos_consumo_datadis'!A:A,"",""),"""")"),"ES0031408323131005HX0F")</f>
        <v>ES0031408323131005HX0F</v>
      </c>
      <c r="B988" s="17">
        <f>IFERROR(__xludf.DUMMYFUNCTION("""COMPUTED_VALUE"""),44907.0)</f>
        <v>44907</v>
      </c>
      <c r="C988" s="13">
        <f>IFERROR(__xludf.DUMMYFUNCTION("""COMPUTED_VALUE"""),0.125)</f>
        <v>0.125</v>
      </c>
      <c r="D988" s="8">
        <f>IFERROR(__xludf.DUMMYFUNCTION("""COMPUTED_VALUE"""),1.148)</f>
        <v>1.148</v>
      </c>
      <c r="E988" s="8" t="str">
        <f>IFERROR(__xludf.DUMMYFUNCTION("""COMPUTED_VALUE"""),"Real")</f>
        <v>Real</v>
      </c>
      <c r="G988" s="8">
        <f t="shared" si="1"/>
        <v>12</v>
      </c>
      <c r="H988" s="14">
        <f t="shared" si="2"/>
        <v>12</v>
      </c>
      <c r="I988" s="15">
        <f t="shared" si="3"/>
        <v>3</v>
      </c>
    </row>
    <row r="989">
      <c r="A989" s="8" t="str">
        <f>IFERROR(__xludf.DUMMYFUNCTION("IF('(INGESTA)Datos_consumo_datadis'!A989&lt;&gt;"""",SPLIT('(INGESTA)Datos_consumo_datadis'!A:A,"",""),"""")"),"ES0031408323131005HX0F")</f>
        <v>ES0031408323131005HX0F</v>
      </c>
      <c r="B989" s="17">
        <f>IFERROR(__xludf.DUMMYFUNCTION("""COMPUTED_VALUE"""),44907.0)</f>
        <v>44907</v>
      </c>
      <c r="C989" s="13">
        <f>IFERROR(__xludf.DUMMYFUNCTION("""COMPUTED_VALUE"""),0.16666666666666666)</f>
        <v>0.1666666667</v>
      </c>
      <c r="D989" s="8">
        <f>IFERROR(__xludf.DUMMYFUNCTION("""COMPUTED_VALUE"""),0.835)</f>
        <v>0.835</v>
      </c>
      <c r="E989" s="8" t="str">
        <f>IFERROR(__xludf.DUMMYFUNCTION("""COMPUTED_VALUE"""),"Real")</f>
        <v>Real</v>
      </c>
      <c r="G989" s="8">
        <f t="shared" si="1"/>
        <v>12</v>
      </c>
      <c r="H989" s="14">
        <f t="shared" si="2"/>
        <v>12</v>
      </c>
      <c r="I989" s="15">
        <f t="shared" si="3"/>
        <v>4</v>
      </c>
    </row>
    <row r="990">
      <c r="A990" s="8" t="str">
        <f>IFERROR(__xludf.DUMMYFUNCTION("IF('(INGESTA)Datos_consumo_datadis'!A990&lt;&gt;"""",SPLIT('(INGESTA)Datos_consumo_datadis'!A:A,"",""),"""")"),"ES0031408323131005HX0F")</f>
        <v>ES0031408323131005HX0F</v>
      </c>
      <c r="B990" s="17">
        <f>IFERROR(__xludf.DUMMYFUNCTION("""COMPUTED_VALUE"""),44907.0)</f>
        <v>44907</v>
      </c>
      <c r="C990" s="13">
        <f>IFERROR(__xludf.DUMMYFUNCTION("""COMPUTED_VALUE"""),0.20833333333333334)</f>
        <v>0.2083333333</v>
      </c>
      <c r="D990" s="8">
        <f>IFERROR(__xludf.DUMMYFUNCTION("""COMPUTED_VALUE"""),0.872)</f>
        <v>0.872</v>
      </c>
      <c r="E990" s="8" t="str">
        <f>IFERROR(__xludf.DUMMYFUNCTION("""COMPUTED_VALUE"""),"Real")</f>
        <v>Real</v>
      </c>
      <c r="G990" s="8">
        <f t="shared" si="1"/>
        <v>12</v>
      </c>
      <c r="H990" s="14">
        <f t="shared" si="2"/>
        <v>12</v>
      </c>
      <c r="I990" s="15">
        <f t="shared" si="3"/>
        <v>5</v>
      </c>
    </row>
    <row r="991">
      <c r="A991" s="8" t="str">
        <f>IFERROR(__xludf.DUMMYFUNCTION("IF('(INGESTA)Datos_consumo_datadis'!A991&lt;&gt;"""",SPLIT('(INGESTA)Datos_consumo_datadis'!A:A,"",""),"""")"),"ES0031408323131005HX0F")</f>
        <v>ES0031408323131005HX0F</v>
      </c>
      <c r="B991" s="17">
        <f>IFERROR(__xludf.DUMMYFUNCTION("""COMPUTED_VALUE"""),44907.0)</f>
        <v>44907</v>
      </c>
      <c r="C991" s="13">
        <f>IFERROR(__xludf.DUMMYFUNCTION("""COMPUTED_VALUE"""),0.25)</f>
        <v>0.25</v>
      </c>
      <c r="D991" s="8">
        <f>IFERROR(__xludf.DUMMYFUNCTION("""COMPUTED_VALUE"""),0.844)</f>
        <v>0.844</v>
      </c>
      <c r="E991" s="8" t="str">
        <f>IFERROR(__xludf.DUMMYFUNCTION("""COMPUTED_VALUE"""),"Real")</f>
        <v>Real</v>
      </c>
      <c r="G991" s="8">
        <f t="shared" si="1"/>
        <v>12</v>
      </c>
      <c r="H991" s="14">
        <f t="shared" si="2"/>
        <v>12</v>
      </c>
      <c r="I991" s="15">
        <f t="shared" si="3"/>
        <v>6</v>
      </c>
    </row>
    <row r="992">
      <c r="A992" s="8" t="str">
        <f>IFERROR(__xludf.DUMMYFUNCTION("IF('(INGESTA)Datos_consumo_datadis'!A992&lt;&gt;"""",SPLIT('(INGESTA)Datos_consumo_datadis'!A:A,"",""),"""")"),"ES0031408323131005HX0F")</f>
        <v>ES0031408323131005HX0F</v>
      </c>
      <c r="B992" s="17">
        <f>IFERROR(__xludf.DUMMYFUNCTION("""COMPUTED_VALUE"""),44907.0)</f>
        <v>44907</v>
      </c>
      <c r="C992" s="13">
        <f>IFERROR(__xludf.DUMMYFUNCTION("""COMPUTED_VALUE"""),0.2916666666666667)</f>
        <v>0.2916666667</v>
      </c>
      <c r="D992" s="8">
        <f>IFERROR(__xludf.DUMMYFUNCTION("""COMPUTED_VALUE"""),0.871)</f>
        <v>0.871</v>
      </c>
      <c r="E992" s="8" t="str">
        <f>IFERROR(__xludf.DUMMYFUNCTION("""COMPUTED_VALUE"""),"Real")</f>
        <v>Real</v>
      </c>
      <c r="G992" s="8">
        <f t="shared" si="1"/>
        <v>12</v>
      </c>
      <c r="H992" s="14">
        <f t="shared" si="2"/>
        <v>12</v>
      </c>
      <c r="I992" s="15">
        <f t="shared" si="3"/>
        <v>7</v>
      </c>
    </row>
    <row r="993">
      <c r="A993" s="8" t="str">
        <f>IFERROR(__xludf.DUMMYFUNCTION("IF('(INGESTA)Datos_consumo_datadis'!A993&lt;&gt;"""",SPLIT('(INGESTA)Datos_consumo_datadis'!A:A,"",""),"""")"),"ES0031408323131005HX0F")</f>
        <v>ES0031408323131005HX0F</v>
      </c>
      <c r="B993" s="17">
        <f>IFERROR(__xludf.DUMMYFUNCTION("""COMPUTED_VALUE"""),44907.0)</f>
        <v>44907</v>
      </c>
      <c r="C993" s="13">
        <f>IFERROR(__xludf.DUMMYFUNCTION("""COMPUTED_VALUE"""),0.3333333333333333)</f>
        <v>0.3333333333</v>
      </c>
      <c r="D993" s="8">
        <f>IFERROR(__xludf.DUMMYFUNCTION("""COMPUTED_VALUE"""),0.695)</f>
        <v>0.695</v>
      </c>
      <c r="E993" s="8" t="str">
        <f>IFERROR(__xludf.DUMMYFUNCTION("""COMPUTED_VALUE"""),"Real")</f>
        <v>Real</v>
      </c>
      <c r="G993" s="8">
        <f t="shared" si="1"/>
        <v>12</v>
      </c>
      <c r="H993" s="14">
        <f t="shared" si="2"/>
        <v>12</v>
      </c>
      <c r="I993" s="15">
        <f t="shared" si="3"/>
        <v>8</v>
      </c>
    </row>
    <row r="994">
      <c r="A994" s="8" t="str">
        <f>IFERROR(__xludf.DUMMYFUNCTION("IF('(INGESTA)Datos_consumo_datadis'!A994&lt;&gt;"""",SPLIT('(INGESTA)Datos_consumo_datadis'!A:A,"",""),"""")"),"ES0031408323131005HX0F")</f>
        <v>ES0031408323131005HX0F</v>
      </c>
      <c r="B994" s="17">
        <f>IFERROR(__xludf.DUMMYFUNCTION("""COMPUTED_VALUE"""),44907.0)</f>
        <v>44907</v>
      </c>
      <c r="C994" s="13">
        <f>IFERROR(__xludf.DUMMYFUNCTION("""COMPUTED_VALUE"""),0.375)</f>
        <v>0.375</v>
      </c>
      <c r="D994" s="8">
        <f>IFERROR(__xludf.DUMMYFUNCTION("""COMPUTED_VALUE"""),0.286)</f>
        <v>0.286</v>
      </c>
      <c r="E994" s="8" t="str">
        <f>IFERROR(__xludf.DUMMYFUNCTION("""COMPUTED_VALUE"""),"Real")</f>
        <v>Real</v>
      </c>
      <c r="G994" s="8">
        <f t="shared" si="1"/>
        <v>12</v>
      </c>
      <c r="H994" s="14">
        <f t="shared" si="2"/>
        <v>12</v>
      </c>
      <c r="I994" s="15">
        <f t="shared" si="3"/>
        <v>9</v>
      </c>
    </row>
    <row r="995">
      <c r="A995" s="8" t="str">
        <f>IFERROR(__xludf.DUMMYFUNCTION("IF('(INGESTA)Datos_consumo_datadis'!A995&lt;&gt;"""",SPLIT('(INGESTA)Datos_consumo_datadis'!A:A,"",""),"""")"),"ES0031408323131005HX0F")</f>
        <v>ES0031408323131005HX0F</v>
      </c>
      <c r="B995" s="17">
        <f>IFERROR(__xludf.DUMMYFUNCTION("""COMPUTED_VALUE"""),44907.0)</f>
        <v>44907</v>
      </c>
      <c r="C995" s="13">
        <f>IFERROR(__xludf.DUMMYFUNCTION("""COMPUTED_VALUE"""),0.4166666666666667)</f>
        <v>0.4166666667</v>
      </c>
      <c r="D995" s="8">
        <f>IFERROR(__xludf.DUMMYFUNCTION("""COMPUTED_VALUE"""),0.078)</f>
        <v>0.078</v>
      </c>
      <c r="E995" s="8" t="str">
        <f>IFERROR(__xludf.DUMMYFUNCTION("""COMPUTED_VALUE"""),"Real")</f>
        <v>Real</v>
      </c>
      <c r="G995" s="8">
        <f t="shared" si="1"/>
        <v>12</v>
      </c>
      <c r="H995" s="14">
        <f t="shared" si="2"/>
        <v>12</v>
      </c>
      <c r="I995" s="15">
        <f t="shared" si="3"/>
        <v>10</v>
      </c>
    </row>
    <row r="996">
      <c r="A996" s="8" t="str">
        <f>IFERROR(__xludf.DUMMYFUNCTION("IF('(INGESTA)Datos_consumo_datadis'!A996&lt;&gt;"""",SPLIT('(INGESTA)Datos_consumo_datadis'!A:A,"",""),"""")"),"ES0031408323131005HX0F")</f>
        <v>ES0031408323131005HX0F</v>
      </c>
      <c r="B996" s="17">
        <f>IFERROR(__xludf.DUMMYFUNCTION("""COMPUTED_VALUE"""),44907.0)</f>
        <v>44907</v>
      </c>
      <c r="C996" s="13">
        <f>IFERROR(__xludf.DUMMYFUNCTION("""COMPUTED_VALUE"""),0.4583333333333333)</f>
        <v>0.4583333333</v>
      </c>
      <c r="D996" s="8">
        <f>IFERROR(__xludf.DUMMYFUNCTION("""COMPUTED_VALUE"""),0.069)</f>
        <v>0.069</v>
      </c>
      <c r="E996" s="8" t="str">
        <f>IFERROR(__xludf.DUMMYFUNCTION("""COMPUTED_VALUE"""),"Real")</f>
        <v>Real</v>
      </c>
      <c r="G996" s="8">
        <f t="shared" si="1"/>
        <v>12</v>
      </c>
      <c r="H996" s="14">
        <f t="shared" si="2"/>
        <v>12</v>
      </c>
      <c r="I996" s="15">
        <f t="shared" si="3"/>
        <v>11</v>
      </c>
    </row>
    <row r="997">
      <c r="A997" s="8" t="str">
        <f>IFERROR(__xludf.DUMMYFUNCTION("IF('(INGESTA)Datos_consumo_datadis'!A997&lt;&gt;"""",SPLIT('(INGESTA)Datos_consumo_datadis'!A:A,"",""),"""")"),"ES0031408323131005HX0F")</f>
        <v>ES0031408323131005HX0F</v>
      </c>
      <c r="B997" s="17">
        <f>IFERROR(__xludf.DUMMYFUNCTION("""COMPUTED_VALUE"""),44907.0)</f>
        <v>44907</v>
      </c>
      <c r="C997" s="13">
        <f>IFERROR(__xludf.DUMMYFUNCTION("""COMPUTED_VALUE"""),0.5)</f>
        <v>0.5</v>
      </c>
      <c r="D997" s="8">
        <f>IFERROR(__xludf.DUMMYFUNCTION("""COMPUTED_VALUE"""),0.073)</f>
        <v>0.073</v>
      </c>
      <c r="E997" s="8" t="str">
        <f>IFERROR(__xludf.DUMMYFUNCTION("""COMPUTED_VALUE"""),"Real")</f>
        <v>Real</v>
      </c>
      <c r="G997" s="8">
        <f t="shared" si="1"/>
        <v>12</v>
      </c>
      <c r="H997" s="14">
        <f t="shared" si="2"/>
        <v>12</v>
      </c>
      <c r="I997" s="15">
        <f t="shared" si="3"/>
        <v>12</v>
      </c>
    </row>
    <row r="998">
      <c r="A998" s="8" t="str">
        <f>IFERROR(__xludf.DUMMYFUNCTION("IF('(INGESTA)Datos_consumo_datadis'!A998&lt;&gt;"""",SPLIT('(INGESTA)Datos_consumo_datadis'!A:A,"",""),"""")"),"ES0031408323131005HX0F")</f>
        <v>ES0031408323131005HX0F</v>
      </c>
      <c r="B998" s="17">
        <f>IFERROR(__xludf.DUMMYFUNCTION("""COMPUTED_VALUE"""),44907.0)</f>
        <v>44907</v>
      </c>
      <c r="C998" s="13">
        <f>IFERROR(__xludf.DUMMYFUNCTION("""COMPUTED_VALUE"""),0.5416666666666666)</f>
        <v>0.5416666667</v>
      </c>
      <c r="D998" s="8">
        <f>IFERROR(__xludf.DUMMYFUNCTION("""COMPUTED_VALUE"""),0.064)</f>
        <v>0.064</v>
      </c>
      <c r="E998" s="8" t="str">
        <f>IFERROR(__xludf.DUMMYFUNCTION("""COMPUTED_VALUE"""),"Real")</f>
        <v>Real</v>
      </c>
      <c r="G998" s="8">
        <f t="shared" si="1"/>
        <v>12</v>
      </c>
      <c r="H998" s="14">
        <f t="shared" si="2"/>
        <v>12</v>
      </c>
      <c r="I998" s="15">
        <f t="shared" si="3"/>
        <v>13</v>
      </c>
    </row>
    <row r="999">
      <c r="A999" s="8" t="str">
        <f>IFERROR(__xludf.DUMMYFUNCTION("IF('(INGESTA)Datos_consumo_datadis'!A999&lt;&gt;"""",SPLIT('(INGESTA)Datos_consumo_datadis'!A:A,"",""),"""")"),"ES0031408323131005HX0F")</f>
        <v>ES0031408323131005HX0F</v>
      </c>
      <c r="B999" s="17">
        <f>IFERROR(__xludf.DUMMYFUNCTION("""COMPUTED_VALUE"""),44907.0)</f>
        <v>44907</v>
      </c>
      <c r="C999" s="13">
        <f>IFERROR(__xludf.DUMMYFUNCTION("""COMPUTED_VALUE"""),0.5833333333333334)</f>
        <v>0.5833333333</v>
      </c>
      <c r="D999" s="8">
        <f>IFERROR(__xludf.DUMMYFUNCTION("""COMPUTED_VALUE"""),0.015)</f>
        <v>0.015</v>
      </c>
      <c r="E999" s="8" t="str">
        <f>IFERROR(__xludf.DUMMYFUNCTION("""COMPUTED_VALUE"""),"Real")</f>
        <v>Real</v>
      </c>
      <c r="G999" s="8">
        <f t="shared" si="1"/>
        <v>12</v>
      </c>
      <c r="H999" s="14">
        <f t="shared" si="2"/>
        <v>12</v>
      </c>
      <c r="I999" s="15">
        <f t="shared" si="3"/>
        <v>14</v>
      </c>
    </row>
    <row r="1000">
      <c r="A1000" s="8" t="str">
        <f>IFERROR(__xludf.DUMMYFUNCTION("IF('(INGESTA)Datos_consumo_datadis'!A1000&lt;&gt;"""",SPLIT('(INGESTA)Datos_consumo_datadis'!A:A,"",""),"""")"),"ES0031408323131005HX0F")</f>
        <v>ES0031408323131005HX0F</v>
      </c>
      <c r="B1000" s="17">
        <f>IFERROR(__xludf.DUMMYFUNCTION("""COMPUTED_VALUE"""),44907.0)</f>
        <v>44907</v>
      </c>
      <c r="C1000" s="13">
        <f>IFERROR(__xludf.DUMMYFUNCTION("""COMPUTED_VALUE"""),0.625)</f>
        <v>0.625</v>
      </c>
      <c r="D1000" s="8">
        <f>IFERROR(__xludf.DUMMYFUNCTION("""COMPUTED_VALUE"""),0.336)</f>
        <v>0.336</v>
      </c>
      <c r="E1000" s="8" t="str">
        <f>IFERROR(__xludf.DUMMYFUNCTION("""COMPUTED_VALUE"""),"Real")</f>
        <v>Real</v>
      </c>
      <c r="G1000" s="8">
        <f t="shared" si="1"/>
        <v>12</v>
      </c>
      <c r="H1000" s="14">
        <f t="shared" si="2"/>
        <v>12</v>
      </c>
      <c r="I1000" s="15">
        <f t="shared" si="3"/>
        <v>15</v>
      </c>
    </row>
    <row r="1001">
      <c r="A1001" s="8" t="str">
        <f>IFERROR(__xludf.DUMMYFUNCTION("IF('(INGESTA)Datos_consumo_datadis'!A1001&lt;&gt;"""",SPLIT('(INGESTA)Datos_consumo_datadis'!A:A,"",""),"""")"),"ES0031408323131005HX0F")</f>
        <v>ES0031408323131005HX0F</v>
      </c>
      <c r="B1001" s="17">
        <f>IFERROR(__xludf.DUMMYFUNCTION("""COMPUTED_VALUE"""),44907.0)</f>
        <v>44907</v>
      </c>
      <c r="C1001" s="13">
        <f>IFERROR(__xludf.DUMMYFUNCTION("""COMPUTED_VALUE"""),0.6666666666666666)</f>
        <v>0.6666666667</v>
      </c>
      <c r="D1001" s="8">
        <f>IFERROR(__xludf.DUMMYFUNCTION("""COMPUTED_VALUE"""),0.037)</f>
        <v>0.037</v>
      </c>
      <c r="E1001" s="8" t="str">
        <f>IFERROR(__xludf.DUMMYFUNCTION("""COMPUTED_VALUE"""),"Real")</f>
        <v>Real</v>
      </c>
      <c r="G1001" s="8">
        <f t="shared" si="1"/>
        <v>12</v>
      </c>
      <c r="H1001" s="14">
        <f t="shared" si="2"/>
        <v>12</v>
      </c>
      <c r="I1001" s="15">
        <f t="shared" si="3"/>
        <v>16</v>
      </c>
    </row>
    <row r="1002">
      <c r="A1002" s="8" t="str">
        <f>IFERROR(__xludf.DUMMYFUNCTION("IF('(INGESTA)Datos_consumo_datadis'!A1002&lt;&gt;"""",SPLIT('(INGESTA)Datos_consumo_datadis'!A:A,"",""),"""")"),"ES0031408323131005HX0F")</f>
        <v>ES0031408323131005HX0F</v>
      </c>
      <c r="B1002" s="17">
        <f>IFERROR(__xludf.DUMMYFUNCTION("""COMPUTED_VALUE"""),44907.0)</f>
        <v>44907</v>
      </c>
      <c r="C1002" s="13">
        <f>IFERROR(__xludf.DUMMYFUNCTION("""COMPUTED_VALUE"""),0.7083333333333334)</f>
        <v>0.7083333333</v>
      </c>
      <c r="D1002" s="8">
        <f>IFERROR(__xludf.DUMMYFUNCTION("""COMPUTED_VALUE"""),0.035)</f>
        <v>0.035</v>
      </c>
      <c r="E1002" s="8" t="str">
        <f>IFERROR(__xludf.DUMMYFUNCTION("""COMPUTED_VALUE"""),"Real")</f>
        <v>Real</v>
      </c>
      <c r="G1002" s="8">
        <f t="shared" si="1"/>
        <v>12</v>
      </c>
      <c r="H1002" s="14">
        <f t="shared" si="2"/>
        <v>12</v>
      </c>
      <c r="I1002" s="15">
        <f t="shared" si="3"/>
        <v>17</v>
      </c>
    </row>
    <row r="1003">
      <c r="A1003" s="8" t="str">
        <f>IFERROR(__xludf.DUMMYFUNCTION("IF('(INGESTA)Datos_consumo_datadis'!A1003&lt;&gt;"""",SPLIT('(INGESTA)Datos_consumo_datadis'!A:A,"",""),"""")"),"ES0031408323131005HX0F")</f>
        <v>ES0031408323131005HX0F</v>
      </c>
      <c r="B1003" s="17">
        <f>IFERROR(__xludf.DUMMYFUNCTION("""COMPUTED_VALUE"""),44907.0)</f>
        <v>44907</v>
      </c>
      <c r="C1003" s="13">
        <f>IFERROR(__xludf.DUMMYFUNCTION("""COMPUTED_VALUE"""),0.75)</f>
        <v>0.75</v>
      </c>
      <c r="D1003" s="8">
        <f>IFERROR(__xludf.DUMMYFUNCTION("""COMPUTED_VALUE"""),0.068)</f>
        <v>0.068</v>
      </c>
      <c r="E1003" s="8" t="str">
        <f>IFERROR(__xludf.DUMMYFUNCTION("""COMPUTED_VALUE"""),"Real")</f>
        <v>Real</v>
      </c>
      <c r="G1003" s="8">
        <f t="shared" si="1"/>
        <v>12</v>
      </c>
      <c r="H1003" s="14">
        <f t="shared" si="2"/>
        <v>12</v>
      </c>
      <c r="I1003" s="15">
        <f t="shared" si="3"/>
        <v>18</v>
      </c>
    </row>
    <row r="1004">
      <c r="A1004" s="8" t="str">
        <f>IFERROR(__xludf.DUMMYFUNCTION("IF('(INGESTA)Datos_consumo_datadis'!A1004&lt;&gt;"""",SPLIT('(INGESTA)Datos_consumo_datadis'!A:A,"",""),"""")"),"ES0031408323131005HX0F")</f>
        <v>ES0031408323131005HX0F</v>
      </c>
      <c r="B1004" s="17">
        <f>IFERROR(__xludf.DUMMYFUNCTION("""COMPUTED_VALUE"""),44907.0)</f>
        <v>44907</v>
      </c>
      <c r="C1004" s="13">
        <f>IFERROR(__xludf.DUMMYFUNCTION("""COMPUTED_VALUE"""),0.7916666666666666)</f>
        <v>0.7916666667</v>
      </c>
      <c r="D1004" s="8">
        <f>IFERROR(__xludf.DUMMYFUNCTION("""COMPUTED_VALUE"""),0.015)</f>
        <v>0.015</v>
      </c>
      <c r="E1004" s="8" t="str">
        <f>IFERROR(__xludf.DUMMYFUNCTION("""COMPUTED_VALUE"""),"Real")</f>
        <v>Real</v>
      </c>
      <c r="G1004" s="8">
        <f t="shared" si="1"/>
        <v>12</v>
      </c>
      <c r="H1004" s="14">
        <f t="shared" si="2"/>
        <v>12</v>
      </c>
      <c r="I1004" s="15">
        <f t="shared" si="3"/>
        <v>19</v>
      </c>
    </row>
    <row r="1005">
      <c r="A1005" s="8" t="str">
        <f>IFERROR(__xludf.DUMMYFUNCTION("IF('(INGESTA)Datos_consumo_datadis'!A1005&lt;&gt;"""",SPLIT('(INGESTA)Datos_consumo_datadis'!A:A,"",""),"""")"),"ES0031408323131005HX0F")</f>
        <v>ES0031408323131005HX0F</v>
      </c>
      <c r="B1005" s="17">
        <f>IFERROR(__xludf.DUMMYFUNCTION("""COMPUTED_VALUE"""),44907.0)</f>
        <v>44907</v>
      </c>
      <c r="C1005" s="13">
        <f>IFERROR(__xludf.DUMMYFUNCTION("""COMPUTED_VALUE"""),0.8333333333333334)</f>
        <v>0.8333333333</v>
      </c>
      <c r="D1005" s="8">
        <f>IFERROR(__xludf.DUMMYFUNCTION("""COMPUTED_VALUE"""),0.084)</f>
        <v>0.084</v>
      </c>
      <c r="E1005" s="8" t="str">
        <f>IFERROR(__xludf.DUMMYFUNCTION("""COMPUTED_VALUE"""),"Real")</f>
        <v>Real</v>
      </c>
      <c r="G1005" s="8">
        <f t="shared" si="1"/>
        <v>12</v>
      </c>
      <c r="H1005" s="14">
        <f t="shared" si="2"/>
        <v>12</v>
      </c>
      <c r="I1005" s="15">
        <f t="shared" si="3"/>
        <v>20</v>
      </c>
    </row>
    <row r="1006">
      <c r="A1006" s="8" t="str">
        <f>IFERROR(__xludf.DUMMYFUNCTION("IF('(INGESTA)Datos_consumo_datadis'!A1006&lt;&gt;"""",SPLIT('(INGESTA)Datos_consumo_datadis'!A:A,"",""),"""")"),"ES0031408323131005HX0F")</f>
        <v>ES0031408323131005HX0F</v>
      </c>
      <c r="B1006" s="17">
        <f>IFERROR(__xludf.DUMMYFUNCTION("""COMPUTED_VALUE"""),44907.0)</f>
        <v>44907</v>
      </c>
      <c r="C1006" s="13">
        <f>IFERROR(__xludf.DUMMYFUNCTION("""COMPUTED_VALUE"""),0.875)</f>
        <v>0.875</v>
      </c>
      <c r="D1006" s="8">
        <f>IFERROR(__xludf.DUMMYFUNCTION("""COMPUTED_VALUE"""),0.555)</f>
        <v>0.555</v>
      </c>
      <c r="E1006" s="8" t="str">
        <f>IFERROR(__xludf.DUMMYFUNCTION("""COMPUTED_VALUE"""),"Real")</f>
        <v>Real</v>
      </c>
      <c r="G1006" s="8">
        <f t="shared" si="1"/>
        <v>12</v>
      </c>
      <c r="H1006" s="14">
        <f t="shared" si="2"/>
        <v>12</v>
      </c>
      <c r="I1006" s="15">
        <f t="shared" si="3"/>
        <v>21</v>
      </c>
    </row>
    <row r="1007">
      <c r="A1007" s="8" t="str">
        <f>IFERROR(__xludf.DUMMYFUNCTION("IF('(INGESTA)Datos_consumo_datadis'!A1007&lt;&gt;"""",SPLIT('(INGESTA)Datos_consumo_datadis'!A:A,"",""),"""")"),"ES0031408323131005HX0F")</f>
        <v>ES0031408323131005HX0F</v>
      </c>
      <c r="B1007" s="17">
        <f>IFERROR(__xludf.DUMMYFUNCTION("""COMPUTED_VALUE"""),44907.0)</f>
        <v>44907</v>
      </c>
      <c r="C1007" s="13">
        <f>IFERROR(__xludf.DUMMYFUNCTION("""COMPUTED_VALUE"""),0.9166666666666666)</f>
        <v>0.9166666667</v>
      </c>
      <c r="D1007" s="8">
        <f>IFERROR(__xludf.DUMMYFUNCTION("""COMPUTED_VALUE"""),3.053)</f>
        <v>3.053</v>
      </c>
      <c r="E1007" s="8" t="str">
        <f>IFERROR(__xludf.DUMMYFUNCTION("""COMPUTED_VALUE"""),"Real")</f>
        <v>Real</v>
      </c>
      <c r="G1007" s="8">
        <f t="shared" si="1"/>
        <v>12</v>
      </c>
      <c r="H1007" s="14">
        <f t="shared" si="2"/>
        <v>12</v>
      </c>
      <c r="I1007" s="15">
        <f t="shared" si="3"/>
        <v>22</v>
      </c>
    </row>
    <row r="1008">
      <c r="A1008" s="8" t="str">
        <f>IFERROR(__xludf.DUMMYFUNCTION("IF('(INGESTA)Datos_consumo_datadis'!A1008&lt;&gt;"""",SPLIT('(INGESTA)Datos_consumo_datadis'!A:A,"",""),"""")"),"ES0031408323131005HX0F")</f>
        <v>ES0031408323131005HX0F</v>
      </c>
      <c r="B1008" s="17">
        <f>IFERROR(__xludf.DUMMYFUNCTION("""COMPUTED_VALUE"""),44907.0)</f>
        <v>44907</v>
      </c>
      <c r="C1008" s="13">
        <f>IFERROR(__xludf.DUMMYFUNCTION("""COMPUTED_VALUE"""),0.9583333333333334)</f>
        <v>0.9583333333</v>
      </c>
      <c r="D1008" s="8">
        <f>IFERROR(__xludf.DUMMYFUNCTION("""COMPUTED_VALUE"""),2.442)</f>
        <v>2.442</v>
      </c>
      <c r="E1008" s="8" t="str">
        <f>IFERROR(__xludf.DUMMYFUNCTION("""COMPUTED_VALUE"""),"Real")</f>
        <v>Real</v>
      </c>
      <c r="G1008" s="8">
        <f t="shared" si="1"/>
        <v>12</v>
      </c>
      <c r="H1008" s="14">
        <f t="shared" si="2"/>
        <v>12</v>
      </c>
      <c r="I1008" s="15">
        <f t="shared" si="3"/>
        <v>23</v>
      </c>
    </row>
    <row r="1009">
      <c r="A1009" s="8" t="str">
        <f>IFERROR(__xludf.DUMMYFUNCTION("IF('(INGESTA)Datos_consumo_datadis'!A1009&lt;&gt;"""",SPLIT('(INGESTA)Datos_consumo_datadis'!A:A,"",""),"""")"),"ES0031408323131005HX0F")</f>
        <v>ES0031408323131005HX0F</v>
      </c>
      <c r="B1009" s="17">
        <f>IFERROR(__xludf.DUMMYFUNCTION("""COMPUTED_VALUE"""),44907.0)</f>
        <v>44907</v>
      </c>
      <c r="C1009" s="16">
        <f>IFERROR(__xludf.DUMMYFUNCTION("""COMPUTED_VALUE"""),1.0)</f>
        <v>1</v>
      </c>
      <c r="D1009" s="8">
        <f>IFERROR(__xludf.DUMMYFUNCTION("""COMPUTED_VALUE"""),1.662)</f>
        <v>1.662</v>
      </c>
      <c r="E1009" s="8" t="str">
        <f>IFERROR(__xludf.DUMMYFUNCTION("""COMPUTED_VALUE"""),"Real")</f>
        <v>Real</v>
      </c>
      <c r="G1009" s="8">
        <f t="shared" si="1"/>
        <v>12</v>
      </c>
      <c r="H1009" s="14">
        <f t="shared" si="2"/>
        <v>12</v>
      </c>
      <c r="I1009" s="15">
        <f t="shared" si="3"/>
        <v>0</v>
      </c>
    </row>
    <row r="1010">
      <c r="A1010" s="8" t="str">
        <f>IFERROR(__xludf.DUMMYFUNCTION("IF('(INGESTA)Datos_consumo_datadis'!A1010&lt;&gt;"""",SPLIT('(INGESTA)Datos_consumo_datadis'!A:A,"",""),"""")"),"ES0031408323131005HX0F")</f>
        <v>ES0031408323131005HX0F</v>
      </c>
      <c r="B1010" s="17">
        <f>IFERROR(__xludf.DUMMYFUNCTION("""COMPUTED_VALUE"""),44908.0)</f>
        <v>44908</v>
      </c>
      <c r="C1010" s="13">
        <f>IFERROR(__xludf.DUMMYFUNCTION("""COMPUTED_VALUE"""),0.041666666666666664)</f>
        <v>0.04166666667</v>
      </c>
      <c r="D1010" s="8">
        <f>IFERROR(__xludf.DUMMYFUNCTION("""COMPUTED_VALUE"""),1.089)</f>
        <v>1.089</v>
      </c>
      <c r="E1010" s="8" t="str">
        <f>IFERROR(__xludf.DUMMYFUNCTION("""COMPUTED_VALUE"""),"Real")</f>
        <v>Real</v>
      </c>
      <c r="G1010" s="8">
        <f t="shared" si="1"/>
        <v>12</v>
      </c>
      <c r="H1010" s="14">
        <f t="shared" si="2"/>
        <v>13</v>
      </c>
      <c r="I1010" s="15">
        <f t="shared" si="3"/>
        <v>1</v>
      </c>
    </row>
    <row r="1011">
      <c r="A1011" s="8" t="str">
        <f>IFERROR(__xludf.DUMMYFUNCTION("IF('(INGESTA)Datos_consumo_datadis'!A1011&lt;&gt;"""",SPLIT('(INGESTA)Datos_consumo_datadis'!A:A,"",""),"""")"),"ES0031408323131005HX0F")</f>
        <v>ES0031408323131005HX0F</v>
      </c>
      <c r="B1011" s="17">
        <f>IFERROR(__xludf.DUMMYFUNCTION("""COMPUTED_VALUE"""),44908.0)</f>
        <v>44908</v>
      </c>
      <c r="C1011" s="13">
        <f>IFERROR(__xludf.DUMMYFUNCTION("""COMPUTED_VALUE"""),0.08333333333333333)</f>
        <v>0.08333333333</v>
      </c>
      <c r="D1011" s="8">
        <f>IFERROR(__xludf.DUMMYFUNCTION("""COMPUTED_VALUE"""),0.979)</f>
        <v>0.979</v>
      </c>
      <c r="E1011" s="8" t="str">
        <f>IFERROR(__xludf.DUMMYFUNCTION("""COMPUTED_VALUE"""),"Real")</f>
        <v>Real</v>
      </c>
      <c r="G1011" s="8">
        <f t="shared" si="1"/>
        <v>12</v>
      </c>
      <c r="H1011" s="14">
        <f t="shared" si="2"/>
        <v>13</v>
      </c>
      <c r="I1011" s="15">
        <f t="shared" si="3"/>
        <v>2</v>
      </c>
    </row>
    <row r="1012">
      <c r="A1012" s="8" t="str">
        <f>IFERROR(__xludf.DUMMYFUNCTION("IF('(INGESTA)Datos_consumo_datadis'!A1012&lt;&gt;"""",SPLIT('(INGESTA)Datos_consumo_datadis'!A:A,"",""),"""")"),"ES0031408323131005HX0F")</f>
        <v>ES0031408323131005HX0F</v>
      </c>
      <c r="B1012" s="17">
        <f>IFERROR(__xludf.DUMMYFUNCTION("""COMPUTED_VALUE"""),44908.0)</f>
        <v>44908</v>
      </c>
      <c r="C1012" s="13">
        <f>IFERROR(__xludf.DUMMYFUNCTION("""COMPUTED_VALUE"""),0.125)</f>
        <v>0.125</v>
      </c>
      <c r="D1012" s="8">
        <f>IFERROR(__xludf.DUMMYFUNCTION("""COMPUTED_VALUE"""),1.027)</f>
        <v>1.027</v>
      </c>
      <c r="E1012" s="8" t="str">
        <f>IFERROR(__xludf.DUMMYFUNCTION("""COMPUTED_VALUE"""),"Real")</f>
        <v>Real</v>
      </c>
      <c r="G1012" s="8">
        <f t="shared" si="1"/>
        <v>12</v>
      </c>
      <c r="H1012" s="14">
        <f t="shared" si="2"/>
        <v>13</v>
      </c>
      <c r="I1012" s="15">
        <f t="shared" si="3"/>
        <v>3</v>
      </c>
    </row>
    <row r="1013">
      <c r="A1013" s="8" t="str">
        <f>IFERROR(__xludf.DUMMYFUNCTION("IF('(INGESTA)Datos_consumo_datadis'!A1013&lt;&gt;"""",SPLIT('(INGESTA)Datos_consumo_datadis'!A:A,"",""),"""")"),"ES0031408323131005HX0F")</f>
        <v>ES0031408323131005HX0F</v>
      </c>
      <c r="B1013" s="17">
        <f>IFERROR(__xludf.DUMMYFUNCTION("""COMPUTED_VALUE"""),44908.0)</f>
        <v>44908</v>
      </c>
      <c r="C1013" s="13">
        <f>IFERROR(__xludf.DUMMYFUNCTION("""COMPUTED_VALUE"""),0.16666666666666666)</f>
        <v>0.1666666667</v>
      </c>
      <c r="D1013" s="8">
        <f>IFERROR(__xludf.DUMMYFUNCTION("""COMPUTED_VALUE"""),1.183)</f>
        <v>1.183</v>
      </c>
      <c r="E1013" s="8" t="str">
        <f>IFERROR(__xludf.DUMMYFUNCTION("""COMPUTED_VALUE"""),"Real")</f>
        <v>Real</v>
      </c>
      <c r="G1013" s="8">
        <f t="shared" si="1"/>
        <v>12</v>
      </c>
      <c r="H1013" s="14">
        <f t="shared" si="2"/>
        <v>13</v>
      </c>
      <c r="I1013" s="15">
        <f t="shared" si="3"/>
        <v>4</v>
      </c>
    </row>
    <row r="1014">
      <c r="A1014" s="8" t="str">
        <f>IFERROR(__xludf.DUMMYFUNCTION("IF('(INGESTA)Datos_consumo_datadis'!A1014&lt;&gt;"""",SPLIT('(INGESTA)Datos_consumo_datadis'!A:A,"",""),"""")"),"ES0031408323131005HX0F")</f>
        <v>ES0031408323131005HX0F</v>
      </c>
      <c r="B1014" s="17">
        <f>IFERROR(__xludf.DUMMYFUNCTION("""COMPUTED_VALUE"""),44908.0)</f>
        <v>44908</v>
      </c>
      <c r="C1014" s="13">
        <f>IFERROR(__xludf.DUMMYFUNCTION("""COMPUTED_VALUE"""),0.20833333333333334)</f>
        <v>0.2083333333</v>
      </c>
      <c r="D1014" s="8">
        <f>IFERROR(__xludf.DUMMYFUNCTION("""COMPUTED_VALUE"""),0.753)</f>
        <v>0.753</v>
      </c>
      <c r="E1014" s="8" t="str">
        <f>IFERROR(__xludf.DUMMYFUNCTION("""COMPUTED_VALUE"""),"Real")</f>
        <v>Real</v>
      </c>
      <c r="G1014" s="8">
        <f t="shared" si="1"/>
        <v>12</v>
      </c>
      <c r="H1014" s="14">
        <f t="shared" si="2"/>
        <v>13</v>
      </c>
      <c r="I1014" s="15">
        <f t="shared" si="3"/>
        <v>5</v>
      </c>
    </row>
    <row r="1015">
      <c r="A1015" s="8" t="str">
        <f>IFERROR(__xludf.DUMMYFUNCTION("IF('(INGESTA)Datos_consumo_datadis'!A1015&lt;&gt;"""",SPLIT('(INGESTA)Datos_consumo_datadis'!A:A,"",""),"""")"),"ES0031408323131005HX0F")</f>
        <v>ES0031408323131005HX0F</v>
      </c>
      <c r="B1015" s="17">
        <f>IFERROR(__xludf.DUMMYFUNCTION("""COMPUTED_VALUE"""),44908.0)</f>
        <v>44908</v>
      </c>
      <c r="C1015" s="13">
        <f>IFERROR(__xludf.DUMMYFUNCTION("""COMPUTED_VALUE"""),0.25)</f>
        <v>0.25</v>
      </c>
      <c r="D1015" s="8">
        <f>IFERROR(__xludf.DUMMYFUNCTION("""COMPUTED_VALUE"""),0.797)</f>
        <v>0.797</v>
      </c>
      <c r="E1015" s="8" t="str">
        <f>IFERROR(__xludf.DUMMYFUNCTION("""COMPUTED_VALUE"""),"Real")</f>
        <v>Real</v>
      </c>
      <c r="G1015" s="8">
        <f t="shared" si="1"/>
        <v>12</v>
      </c>
      <c r="H1015" s="14">
        <f t="shared" si="2"/>
        <v>13</v>
      </c>
      <c r="I1015" s="15">
        <f t="shared" si="3"/>
        <v>6</v>
      </c>
    </row>
    <row r="1016">
      <c r="A1016" s="8" t="str">
        <f>IFERROR(__xludf.DUMMYFUNCTION("IF('(INGESTA)Datos_consumo_datadis'!A1016&lt;&gt;"""",SPLIT('(INGESTA)Datos_consumo_datadis'!A:A,"",""),"""")"),"ES0031408323131005HX0F")</f>
        <v>ES0031408323131005HX0F</v>
      </c>
      <c r="B1016" s="17">
        <f>IFERROR(__xludf.DUMMYFUNCTION("""COMPUTED_VALUE"""),44908.0)</f>
        <v>44908</v>
      </c>
      <c r="C1016" s="13">
        <f>IFERROR(__xludf.DUMMYFUNCTION("""COMPUTED_VALUE"""),0.2916666666666667)</f>
        <v>0.2916666667</v>
      </c>
      <c r="D1016" s="8">
        <f>IFERROR(__xludf.DUMMYFUNCTION("""COMPUTED_VALUE"""),0.765)</f>
        <v>0.765</v>
      </c>
      <c r="E1016" s="8" t="str">
        <f>IFERROR(__xludf.DUMMYFUNCTION("""COMPUTED_VALUE"""),"Real")</f>
        <v>Real</v>
      </c>
      <c r="G1016" s="8">
        <f t="shared" si="1"/>
        <v>12</v>
      </c>
      <c r="H1016" s="14">
        <f t="shared" si="2"/>
        <v>13</v>
      </c>
      <c r="I1016" s="15">
        <f t="shared" si="3"/>
        <v>7</v>
      </c>
    </row>
    <row r="1017">
      <c r="A1017" s="8" t="str">
        <f>IFERROR(__xludf.DUMMYFUNCTION("IF('(INGESTA)Datos_consumo_datadis'!A1017&lt;&gt;"""",SPLIT('(INGESTA)Datos_consumo_datadis'!A:A,"",""),"""")"),"ES0031408323131005HX0F")</f>
        <v>ES0031408323131005HX0F</v>
      </c>
      <c r="B1017" s="17">
        <f>IFERROR(__xludf.DUMMYFUNCTION("""COMPUTED_VALUE"""),44908.0)</f>
        <v>44908</v>
      </c>
      <c r="C1017" s="13">
        <f>IFERROR(__xludf.DUMMYFUNCTION("""COMPUTED_VALUE"""),0.3333333333333333)</f>
        <v>0.3333333333</v>
      </c>
      <c r="D1017" s="8">
        <f>IFERROR(__xludf.DUMMYFUNCTION("""COMPUTED_VALUE"""),0.95)</f>
        <v>0.95</v>
      </c>
      <c r="E1017" s="8" t="str">
        <f>IFERROR(__xludf.DUMMYFUNCTION("""COMPUTED_VALUE"""),"Real")</f>
        <v>Real</v>
      </c>
      <c r="G1017" s="8">
        <f t="shared" si="1"/>
        <v>12</v>
      </c>
      <c r="H1017" s="14">
        <f t="shared" si="2"/>
        <v>13</v>
      </c>
      <c r="I1017" s="15">
        <f t="shared" si="3"/>
        <v>8</v>
      </c>
    </row>
    <row r="1018">
      <c r="A1018" s="8" t="str">
        <f>IFERROR(__xludf.DUMMYFUNCTION("IF('(INGESTA)Datos_consumo_datadis'!A1018&lt;&gt;"""",SPLIT('(INGESTA)Datos_consumo_datadis'!A:A,"",""),"""")"),"ES0031408323131005HX0F")</f>
        <v>ES0031408323131005HX0F</v>
      </c>
      <c r="B1018" s="17">
        <f>IFERROR(__xludf.DUMMYFUNCTION("""COMPUTED_VALUE"""),44908.0)</f>
        <v>44908</v>
      </c>
      <c r="C1018" s="13">
        <f>IFERROR(__xludf.DUMMYFUNCTION("""COMPUTED_VALUE"""),0.375)</f>
        <v>0.375</v>
      </c>
      <c r="D1018" s="8">
        <f>IFERROR(__xludf.DUMMYFUNCTION("""COMPUTED_VALUE"""),0.308)</f>
        <v>0.308</v>
      </c>
      <c r="E1018" s="8" t="str">
        <f>IFERROR(__xludf.DUMMYFUNCTION("""COMPUTED_VALUE"""),"Real")</f>
        <v>Real</v>
      </c>
      <c r="G1018" s="8">
        <f t="shared" si="1"/>
        <v>12</v>
      </c>
      <c r="H1018" s="14">
        <f t="shared" si="2"/>
        <v>13</v>
      </c>
      <c r="I1018" s="15">
        <f t="shared" si="3"/>
        <v>9</v>
      </c>
    </row>
    <row r="1019">
      <c r="A1019" s="8" t="str">
        <f>IFERROR(__xludf.DUMMYFUNCTION("IF('(INGESTA)Datos_consumo_datadis'!A1019&lt;&gt;"""",SPLIT('(INGESTA)Datos_consumo_datadis'!A:A,"",""),"""")"),"ES0031408323131005HX0F")</f>
        <v>ES0031408323131005HX0F</v>
      </c>
      <c r="B1019" s="17">
        <f>IFERROR(__xludf.DUMMYFUNCTION("""COMPUTED_VALUE"""),44908.0)</f>
        <v>44908</v>
      </c>
      <c r="C1019" s="13">
        <f>IFERROR(__xludf.DUMMYFUNCTION("""COMPUTED_VALUE"""),0.4166666666666667)</f>
        <v>0.4166666667</v>
      </c>
      <c r="D1019" s="8">
        <f>IFERROR(__xludf.DUMMYFUNCTION("""COMPUTED_VALUE"""),0.288)</f>
        <v>0.288</v>
      </c>
      <c r="E1019" s="8" t="str">
        <f>IFERROR(__xludf.DUMMYFUNCTION("""COMPUTED_VALUE"""),"Real")</f>
        <v>Real</v>
      </c>
      <c r="G1019" s="8">
        <f t="shared" si="1"/>
        <v>12</v>
      </c>
      <c r="H1019" s="14">
        <f t="shared" si="2"/>
        <v>13</v>
      </c>
      <c r="I1019" s="15">
        <f t="shared" si="3"/>
        <v>10</v>
      </c>
    </row>
    <row r="1020">
      <c r="A1020" s="8" t="str">
        <f>IFERROR(__xludf.DUMMYFUNCTION("IF('(INGESTA)Datos_consumo_datadis'!A1020&lt;&gt;"""",SPLIT('(INGESTA)Datos_consumo_datadis'!A:A,"",""),"""")"),"ES0031408323131005HX0F")</f>
        <v>ES0031408323131005HX0F</v>
      </c>
      <c r="B1020" s="17">
        <f>IFERROR(__xludf.DUMMYFUNCTION("""COMPUTED_VALUE"""),44908.0)</f>
        <v>44908</v>
      </c>
      <c r="C1020" s="13">
        <f>IFERROR(__xludf.DUMMYFUNCTION("""COMPUTED_VALUE"""),0.4583333333333333)</f>
        <v>0.4583333333</v>
      </c>
      <c r="D1020" s="8">
        <f>IFERROR(__xludf.DUMMYFUNCTION("""COMPUTED_VALUE"""),0.534)</f>
        <v>0.534</v>
      </c>
      <c r="E1020" s="8" t="str">
        <f>IFERROR(__xludf.DUMMYFUNCTION("""COMPUTED_VALUE"""),"Real")</f>
        <v>Real</v>
      </c>
      <c r="G1020" s="8">
        <f t="shared" si="1"/>
        <v>12</v>
      </c>
      <c r="H1020" s="14">
        <f t="shared" si="2"/>
        <v>13</v>
      </c>
      <c r="I1020" s="15">
        <f t="shared" si="3"/>
        <v>11</v>
      </c>
    </row>
    <row r="1021">
      <c r="A1021" s="8" t="str">
        <f>IFERROR(__xludf.DUMMYFUNCTION("IF('(INGESTA)Datos_consumo_datadis'!A1021&lt;&gt;"""",SPLIT('(INGESTA)Datos_consumo_datadis'!A:A,"",""),"""")"),"ES0031408323131005HX0F")</f>
        <v>ES0031408323131005HX0F</v>
      </c>
      <c r="B1021" s="17">
        <f>IFERROR(__xludf.DUMMYFUNCTION("""COMPUTED_VALUE"""),44908.0)</f>
        <v>44908</v>
      </c>
      <c r="C1021" s="13">
        <f>IFERROR(__xludf.DUMMYFUNCTION("""COMPUTED_VALUE"""),0.5)</f>
        <v>0.5</v>
      </c>
      <c r="D1021" s="8">
        <f>IFERROR(__xludf.DUMMYFUNCTION("""COMPUTED_VALUE"""),1.851)</f>
        <v>1.851</v>
      </c>
      <c r="E1021" s="8" t="str">
        <f>IFERROR(__xludf.DUMMYFUNCTION("""COMPUTED_VALUE"""),"Real")</f>
        <v>Real</v>
      </c>
      <c r="G1021" s="8">
        <f t="shared" si="1"/>
        <v>12</v>
      </c>
      <c r="H1021" s="14">
        <f t="shared" si="2"/>
        <v>13</v>
      </c>
      <c r="I1021" s="15">
        <f t="shared" si="3"/>
        <v>12</v>
      </c>
    </row>
    <row r="1022">
      <c r="A1022" s="8" t="str">
        <f>IFERROR(__xludf.DUMMYFUNCTION("IF('(INGESTA)Datos_consumo_datadis'!A1022&lt;&gt;"""",SPLIT('(INGESTA)Datos_consumo_datadis'!A:A,"",""),"""")"),"ES0031408323131005HX0F")</f>
        <v>ES0031408323131005HX0F</v>
      </c>
      <c r="B1022" s="17">
        <f>IFERROR(__xludf.DUMMYFUNCTION("""COMPUTED_VALUE"""),44908.0)</f>
        <v>44908</v>
      </c>
      <c r="C1022" s="13">
        <f>IFERROR(__xludf.DUMMYFUNCTION("""COMPUTED_VALUE"""),0.5416666666666666)</f>
        <v>0.5416666667</v>
      </c>
      <c r="D1022" s="8">
        <f>IFERROR(__xludf.DUMMYFUNCTION("""COMPUTED_VALUE"""),0.861)</f>
        <v>0.861</v>
      </c>
      <c r="E1022" s="8" t="str">
        <f>IFERROR(__xludf.DUMMYFUNCTION("""COMPUTED_VALUE"""),"Real")</f>
        <v>Real</v>
      </c>
      <c r="G1022" s="8">
        <f t="shared" si="1"/>
        <v>12</v>
      </c>
      <c r="H1022" s="14">
        <f t="shared" si="2"/>
        <v>13</v>
      </c>
      <c r="I1022" s="15">
        <f t="shared" si="3"/>
        <v>13</v>
      </c>
    </row>
    <row r="1023">
      <c r="A1023" s="8" t="str">
        <f>IFERROR(__xludf.DUMMYFUNCTION("IF('(INGESTA)Datos_consumo_datadis'!A1023&lt;&gt;"""",SPLIT('(INGESTA)Datos_consumo_datadis'!A:A,"",""),"""")"),"ES0031408323131005HX0F")</f>
        <v>ES0031408323131005HX0F</v>
      </c>
      <c r="B1023" s="17">
        <f>IFERROR(__xludf.DUMMYFUNCTION("""COMPUTED_VALUE"""),44908.0)</f>
        <v>44908</v>
      </c>
      <c r="C1023" s="13">
        <f>IFERROR(__xludf.DUMMYFUNCTION("""COMPUTED_VALUE"""),0.5833333333333334)</f>
        <v>0.5833333333</v>
      </c>
      <c r="D1023" s="8">
        <f>IFERROR(__xludf.DUMMYFUNCTION("""COMPUTED_VALUE"""),0.073)</f>
        <v>0.073</v>
      </c>
      <c r="E1023" s="8" t="str">
        <f>IFERROR(__xludf.DUMMYFUNCTION("""COMPUTED_VALUE"""),"Real")</f>
        <v>Real</v>
      </c>
      <c r="G1023" s="8">
        <f t="shared" si="1"/>
        <v>12</v>
      </c>
      <c r="H1023" s="14">
        <f t="shared" si="2"/>
        <v>13</v>
      </c>
      <c r="I1023" s="15">
        <f t="shared" si="3"/>
        <v>14</v>
      </c>
    </row>
    <row r="1024">
      <c r="A1024" s="8" t="str">
        <f>IFERROR(__xludf.DUMMYFUNCTION("IF('(INGESTA)Datos_consumo_datadis'!A1024&lt;&gt;"""",SPLIT('(INGESTA)Datos_consumo_datadis'!A:A,"",""),"""")"),"ES0031408323131005HX0F")</f>
        <v>ES0031408323131005HX0F</v>
      </c>
      <c r="B1024" s="17">
        <f>IFERROR(__xludf.DUMMYFUNCTION("""COMPUTED_VALUE"""),44908.0)</f>
        <v>44908</v>
      </c>
      <c r="C1024" s="13">
        <f>IFERROR(__xludf.DUMMYFUNCTION("""COMPUTED_VALUE"""),0.625)</f>
        <v>0.625</v>
      </c>
      <c r="D1024" s="8">
        <f>IFERROR(__xludf.DUMMYFUNCTION("""COMPUTED_VALUE"""),0.085)</f>
        <v>0.085</v>
      </c>
      <c r="E1024" s="8" t="str">
        <f>IFERROR(__xludf.DUMMYFUNCTION("""COMPUTED_VALUE"""),"Real")</f>
        <v>Real</v>
      </c>
      <c r="G1024" s="8">
        <f t="shared" si="1"/>
        <v>12</v>
      </c>
      <c r="H1024" s="14">
        <f t="shared" si="2"/>
        <v>13</v>
      </c>
      <c r="I1024" s="15">
        <f t="shared" si="3"/>
        <v>15</v>
      </c>
    </row>
    <row r="1025">
      <c r="A1025" s="8" t="str">
        <f>IFERROR(__xludf.DUMMYFUNCTION("IF('(INGESTA)Datos_consumo_datadis'!A1025&lt;&gt;"""",SPLIT('(INGESTA)Datos_consumo_datadis'!A:A,"",""),"""")"),"ES0031408323131005HX0F")</f>
        <v>ES0031408323131005HX0F</v>
      </c>
      <c r="B1025" s="17">
        <f>IFERROR(__xludf.DUMMYFUNCTION("""COMPUTED_VALUE"""),44908.0)</f>
        <v>44908</v>
      </c>
      <c r="C1025" s="13">
        <f>IFERROR(__xludf.DUMMYFUNCTION("""COMPUTED_VALUE"""),0.6666666666666666)</f>
        <v>0.6666666667</v>
      </c>
      <c r="D1025" s="8">
        <f>IFERROR(__xludf.DUMMYFUNCTION("""COMPUTED_VALUE"""),0.051)</f>
        <v>0.051</v>
      </c>
      <c r="E1025" s="8" t="str">
        <f>IFERROR(__xludf.DUMMYFUNCTION("""COMPUTED_VALUE"""),"Real")</f>
        <v>Real</v>
      </c>
      <c r="G1025" s="8">
        <f t="shared" si="1"/>
        <v>12</v>
      </c>
      <c r="H1025" s="14">
        <f t="shared" si="2"/>
        <v>13</v>
      </c>
      <c r="I1025" s="15">
        <f t="shared" si="3"/>
        <v>16</v>
      </c>
    </row>
    <row r="1026">
      <c r="A1026" s="8" t="str">
        <f>IFERROR(__xludf.DUMMYFUNCTION("IF('(INGESTA)Datos_consumo_datadis'!A1026&lt;&gt;"""",SPLIT('(INGESTA)Datos_consumo_datadis'!A:A,"",""),"""")"),"ES0031408323131005HX0F")</f>
        <v>ES0031408323131005HX0F</v>
      </c>
      <c r="B1026" s="17">
        <f>IFERROR(__xludf.DUMMYFUNCTION("""COMPUTED_VALUE"""),44908.0)</f>
        <v>44908</v>
      </c>
      <c r="C1026" s="13">
        <f>IFERROR(__xludf.DUMMYFUNCTION("""COMPUTED_VALUE"""),0.7083333333333334)</f>
        <v>0.7083333333</v>
      </c>
      <c r="D1026" s="8">
        <f>IFERROR(__xludf.DUMMYFUNCTION("""COMPUTED_VALUE"""),0.083)</f>
        <v>0.083</v>
      </c>
      <c r="E1026" s="8" t="str">
        <f>IFERROR(__xludf.DUMMYFUNCTION("""COMPUTED_VALUE"""),"Real")</f>
        <v>Real</v>
      </c>
      <c r="G1026" s="8">
        <f t="shared" si="1"/>
        <v>12</v>
      </c>
      <c r="H1026" s="14">
        <f t="shared" si="2"/>
        <v>13</v>
      </c>
      <c r="I1026" s="15">
        <f t="shared" si="3"/>
        <v>17</v>
      </c>
    </row>
    <row r="1027">
      <c r="A1027" s="8" t="str">
        <f>IFERROR(__xludf.DUMMYFUNCTION("IF('(INGESTA)Datos_consumo_datadis'!A1027&lt;&gt;"""",SPLIT('(INGESTA)Datos_consumo_datadis'!A:A,"",""),"""")"),"ES0031408323131005HX0F")</f>
        <v>ES0031408323131005HX0F</v>
      </c>
      <c r="B1027" s="17">
        <f>IFERROR(__xludf.DUMMYFUNCTION("""COMPUTED_VALUE"""),44908.0)</f>
        <v>44908</v>
      </c>
      <c r="C1027" s="13">
        <f>IFERROR(__xludf.DUMMYFUNCTION("""COMPUTED_VALUE"""),0.75)</f>
        <v>0.75</v>
      </c>
      <c r="D1027" s="8">
        <f>IFERROR(__xludf.DUMMYFUNCTION("""COMPUTED_VALUE"""),0.03)</f>
        <v>0.03</v>
      </c>
      <c r="E1027" s="8" t="str">
        <f>IFERROR(__xludf.DUMMYFUNCTION("""COMPUTED_VALUE"""),"Real")</f>
        <v>Real</v>
      </c>
      <c r="G1027" s="8">
        <f t="shared" si="1"/>
        <v>12</v>
      </c>
      <c r="H1027" s="14">
        <f t="shared" si="2"/>
        <v>13</v>
      </c>
      <c r="I1027" s="15">
        <f t="shared" si="3"/>
        <v>18</v>
      </c>
    </row>
    <row r="1028">
      <c r="A1028" s="8" t="str">
        <f>IFERROR(__xludf.DUMMYFUNCTION("IF('(INGESTA)Datos_consumo_datadis'!A1028&lt;&gt;"""",SPLIT('(INGESTA)Datos_consumo_datadis'!A:A,"",""),"""")"),"ES0031408323131005HX0F")</f>
        <v>ES0031408323131005HX0F</v>
      </c>
      <c r="B1028" s="17">
        <f>IFERROR(__xludf.DUMMYFUNCTION("""COMPUTED_VALUE"""),44908.0)</f>
        <v>44908</v>
      </c>
      <c r="C1028" s="13">
        <f>IFERROR(__xludf.DUMMYFUNCTION("""COMPUTED_VALUE"""),0.7916666666666666)</f>
        <v>0.7916666667</v>
      </c>
      <c r="D1028" s="8">
        <f>IFERROR(__xludf.DUMMYFUNCTION("""COMPUTED_VALUE"""),0.045)</f>
        <v>0.045</v>
      </c>
      <c r="E1028" s="8" t="str">
        <f>IFERROR(__xludf.DUMMYFUNCTION("""COMPUTED_VALUE"""),"Real")</f>
        <v>Real</v>
      </c>
      <c r="G1028" s="8">
        <f t="shared" si="1"/>
        <v>12</v>
      </c>
      <c r="H1028" s="14">
        <f t="shared" si="2"/>
        <v>13</v>
      </c>
      <c r="I1028" s="15">
        <f t="shared" si="3"/>
        <v>19</v>
      </c>
    </row>
    <row r="1029">
      <c r="A1029" s="8" t="str">
        <f>IFERROR(__xludf.DUMMYFUNCTION("IF('(INGESTA)Datos_consumo_datadis'!A1029&lt;&gt;"""",SPLIT('(INGESTA)Datos_consumo_datadis'!A:A,"",""),"""")"),"ES0031408323131005HX0F")</f>
        <v>ES0031408323131005HX0F</v>
      </c>
      <c r="B1029" s="17">
        <f>IFERROR(__xludf.DUMMYFUNCTION("""COMPUTED_VALUE"""),44908.0)</f>
        <v>44908</v>
      </c>
      <c r="C1029" s="13">
        <f>IFERROR(__xludf.DUMMYFUNCTION("""COMPUTED_VALUE"""),0.8333333333333334)</f>
        <v>0.8333333333</v>
      </c>
      <c r="D1029" s="8">
        <f>IFERROR(__xludf.DUMMYFUNCTION("""COMPUTED_VALUE"""),1.337)</f>
        <v>1.337</v>
      </c>
      <c r="E1029" s="8" t="str">
        <f>IFERROR(__xludf.DUMMYFUNCTION("""COMPUTED_VALUE"""),"Real")</f>
        <v>Real</v>
      </c>
      <c r="G1029" s="8">
        <f t="shared" si="1"/>
        <v>12</v>
      </c>
      <c r="H1029" s="14">
        <f t="shared" si="2"/>
        <v>13</v>
      </c>
      <c r="I1029" s="15">
        <f t="shared" si="3"/>
        <v>20</v>
      </c>
    </row>
    <row r="1030">
      <c r="A1030" s="8" t="str">
        <f>IFERROR(__xludf.DUMMYFUNCTION("IF('(INGESTA)Datos_consumo_datadis'!A1030&lt;&gt;"""",SPLIT('(INGESTA)Datos_consumo_datadis'!A:A,"",""),"""")"),"ES0031408323131005HX0F")</f>
        <v>ES0031408323131005HX0F</v>
      </c>
      <c r="B1030" s="17">
        <f>IFERROR(__xludf.DUMMYFUNCTION("""COMPUTED_VALUE"""),44908.0)</f>
        <v>44908</v>
      </c>
      <c r="C1030" s="13">
        <f>IFERROR(__xludf.DUMMYFUNCTION("""COMPUTED_VALUE"""),0.875)</f>
        <v>0.875</v>
      </c>
      <c r="D1030" s="8">
        <f>IFERROR(__xludf.DUMMYFUNCTION("""COMPUTED_VALUE"""),1.515)</f>
        <v>1.515</v>
      </c>
      <c r="E1030" s="8" t="str">
        <f>IFERROR(__xludf.DUMMYFUNCTION("""COMPUTED_VALUE"""),"Real")</f>
        <v>Real</v>
      </c>
      <c r="G1030" s="8">
        <f t="shared" si="1"/>
        <v>12</v>
      </c>
      <c r="H1030" s="14">
        <f t="shared" si="2"/>
        <v>13</v>
      </c>
      <c r="I1030" s="15">
        <f t="shared" si="3"/>
        <v>21</v>
      </c>
    </row>
    <row r="1031">
      <c r="A1031" s="8" t="str">
        <f>IFERROR(__xludf.DUMMYFUNCTION("IF('(INGESTA)Datos_consumo_datadis'!A1031&lt;&gt;"""",SPLIT('(INGESTA)Datos_consumo_datadis'!A:A,"",""),"""")"),"ES0031408323131005HX0F")</f>
        <v>ES0031408323131005HX0F</v>
      </c>
      <c r="B1031" s="17">
        <f>IFERROR(__xludf.DUMMYFUNCTION("""COMPUTED_VALUE"""),44908.0)</f>
        <v>44908</v>
      </c>
      <c r="C1031" s="13">
        <f>IFERROR(__xludf.DUMMYFUNCTION("""COMPUTED_VALUE"""),0.9166666666666666)</f>
        <v>0.9166666667</v>
      </c>
      <c r="D1031" s="8">
        <f>IFERROR(__xludf.DUMMYFUNCTION("""COMPUTED_VALUE"""),2.003)</f>
        <v>2.003</v>
      </c>
      <c r="E1031" s="8" t="str">
        <f>IFERROR(__xludf.DUMMYFUNCTION("""COMPUTED_VALUE"""),"Real")</f>
        <v>Real</v>
      </c>
      <c r="G1031" s="8">
        <f t="shared" si="1"/>
        <v>12</v>
      </c>
      <c r="H1031" s="14">
        <f t="shared" si="2"/>
        <v>13</v>
      </c>
      <c r="I1031" s="15">
        <f t="shared" si="3"/>
        <v>22</v>
      </c>
    </row>
    <row r="1032">
      <c r="A1032" s="8" t="str">
        <f>IFERROR(__xludf.DUMMYFUNCTION("IF('(INGESTA)Datos_consumo_datadis'!A1032&lt;&gt;"""",SPLIT('(INGESTA)Datos_consumo_datadis'!A:A,"",""),"""")"),"ES0031408323131005HX0F")</f>
        <v>ES0031408323131005HX0F</v>
      </c>
      <c r="B1032" s="17">
        <f>IFERROR(__xludf.DUMMYFUNCTION("""COMPUTED_VALUE"""),44908.0)</f>
        <v>44908</v>
      </c>
      <c r="C1032" s="13">
        <f>IFERROR(__xludf.DUMMYFUNCTION("""COMPUTED_VALUE"""),0.9583333333333334)</f>
        <v>0.9583333333</v>
      </c>
      <c r="D1032" s="8">
        <f>IFERROR(__xludf.DUMMYFUNCTION("""COMPUTED_VALUE"""),1.666)</f>
        <v>1.666</v>
      </c>
      <c r="E1032" s="8" t="str">
        <f>IFERROR(__xludf.DUMMYFUNCTION("""COMPUTED_VALUE"""),"Real")</f>
        <v>Real</v>
      </c>
      <c r="G1032" s="8">
        <f t="shared" si="1"/>
        <v>12</v>
      </c>
      <c r="H1032" s="14">
        <f t="shared" si="2"/>
        <v>13</v>
      </c>
      <c r="I1032" s="15">
        <f t="shared" si="3"/>
        <v>23</v>
      </c>
    </row>
    <row r="1033">
      <c r="A1033" s="8" t="str">
        <f>IFERROR(__xludf.DUMMYFUNCTION("IF('(INGESTA)Datos_consumo_datadis'!A1033&lt;&gt;"""",SPLIT('(INGESTA)Datos_consumo_datadis'!A:A,"",""),"""")"),"ES0031408323131005HX0F")</f>
        <v>ES0031408323131005HX0F</v>
      </c>
      <c r="B1033" s="17">
        <f>IFERROR(__xludf.DUMMYFUNCTION("""COMPUTED_VALUE"""),44908.0)</f>
        <v>44908</v>
      </c>
      <c r="C1033" s="16">
        <f>IFERROR(__xludf.DUMMYFUNCTION("""COMPUTED_VALUE"""),1.0)</f>
        <v>1</v>
      </c>
      <c r="D1033" s="8">
        <f>IFERROR(__xludf.DUMMYFUNCTION("""COMPUTED_VALUE"""),1.071)</f>
        <v>1.071</v>
      </c>
      <c r="E1033" s="8" t="str">
        <f>IFERROR(__xludf.DUMMYFUNCTION("""COMPUTED_VALUE"""),"Real")</f>
        <v>Real</v>
      </c>
      <c r="G1033" s="8">
        <f t="shared" si="1"/>
        <v>12</v>
      </c>
      <c r="H1033" s="14">
        <f t="shared" si="2"/>
        <v>13</v>
      </c>
      <c r="I1033" s="15">
        <f t="shared" si="3"/>
        <v>0</v>
      </c>
    </row>
    <row r="1034">
      <c r="A1034" s="8" t="str">
        <f>IFERROR(__xludf.DUMMYFUNCTION("IF('(INGESTA)Datos_consumo_datadis'!A1034&lt;&gt;"""",SPLIT('(INGESTA)Datos_consumo_datadis'!A:A,"",""),"""")"),"ES0031408323131005HX0F")</f>
        <v>ES0031408323131005HX0F</v>
      </c>
      <c r="B1034" s="17">
        <f>IFERROR(__xludf.DUMMYFUNCTION("""COMPUTED_VALUE"""),44909.0)</f>
        <v>44909</v>
      </c>
      <c r="C1034" s="13">
        <f>IFERROR(__xludf.DUMMYFUNCTION("""COMPUTED_VALUE"""),0.041666666666666664)</f>
        <v>0.04166666667</v>
      </c>
      <c r="D1034" s="8">
        <f>IFERROR(__xludf.DUMMYFUNCTION("""COMPUTED_VALUE"""),1.282)</f>
        <v>1.282</v>
      </c>
      <c r="E1034" s="8" t="str">
        <f>IFERROR(__xludf.DUMMYFUNCTION("""COMPUTED_VALUE"""),"Real")</f>
        <v>Real</v>
      </c>
      <c r="G1034" s="8">
        <f t="shared" si="1"/>
        <v>12</v>
      </c>
      <c r="H1034" s="14">
        <f t="shared" si="2"/>
        <v>14</v>
      </c>
      <c r="I1034" s="15">
        <f t="shared" si="3"/>
        <v>1</v>
      </c>
    </row>
    <row r="1035">
      <c r="A1035" s="8" t="str">
        <f>IFERROR(__xludf.DUMMYFUNCTION("IF('(INGESTA)Datos_consumo_datadis'!A1035&lt;&gt;"""",SPLIT('(INGESTA)Datos_consumo_datadis'!A:A,"",""),"""")"),"ES0031408323131005HX0F")</f>
        <v>ES0031408323131005HX0F</v>
      </c>
      <c r="B1035" s="17">
        <f>IFERROR(__xludf.DUMMYFUNCTION("""COMPUTED_VALUE"""),44909.0)</f>
        <v>44909</v>
      </c>
      <c r="C1035" s="13">
        <f>IFERROR(__xludf.DUMMYFUNCTION("""COMPUTED_VALUE"""),0.08333333333333333)</f>
        <v>0.08333333333</v>
      </c>
      <c r="D1035" s="8">
        <f>IFERROR(__xludf.DUMMYFUNCTION("""COMPUTED_VALUE"""),1.015)</f>
        <v>1.015</v>
      </c>
      <c r="E1035" s="8" t="str">
        <f>IFERROR(__xludf.DUMMYFUNCTION("""COMPUTED_VALUE"""),"Real")</f>
        <v>Real</v>
      </c>
      <c r="G1035" s="8">
        <f t="shared" si="1"/>
        <v>12</v>
      </c>
      <c r="H1035" s="14">
        <f t="shared" si="2"/>
        <v>14</v>
      </c>
      <c r="I1035" s="15">
        <f t="shared" si="3"/>
        <v>2</v>
      </c>
    </row>
    <row r="1036">
      <c r="A1036" s="8" t="str">
        <f>IFERROR(__xludf.DUMMYFUNCTION("IF('(INGESTA)Datos_consumo_datadis'!A1036&lt;&gt;"""",SPLIT('(INGESTA)Datos_consumo_datadis'!A:A,"",""),"""")"),"ES0031408323131005HX0F")</f>
        <v>ES0031408323131005HX0F</v>
      </c>
      <c r="B1036" s="17">
        <f>IFERROR(__xludf.DUMMYFUNCTION("""COMPUTED_VALUE"""),44909.0)</f>
        <v>44909</v>
      </c>
      <c r="C1036" s="13">
        <f>IFERROR(__xludf.DUMMYFUNCTION("""COMPUTED_VALUE"""),0.125)</f>
        <v>0.125</v>
      </c>
      <c r="D1036" s="8">
        <f>IFERROR(__xludf.DUMMYFUNCTION("""COMPUTED_VALUE"""),0.979)</f>
        <v>0.979</v>
      </c>
      <c r="E1036" s="8" t="str">
        <f>IFERROR(__xludf.DUMMYFUNCTION("""COMPUTED_VALUE"""),"Real")</f>
        <v>Real</v>
      </c>
      <c r="G1036" s="8">
        <f t="shared" si="1"/>
        <v>12</v>
      </c>
      <c r="H1036" s="14">
        <f t="shared" si="2"/>
        <v>14</v>
      </c>
      <c r="I1036" s="15">
        <f t="shared" si="3"/>
        <v>3</v>
      </c>
    </row>
    <row r="1037">
      <c r="A1037" s="8" t="str">
        <f>IFERROR(__xludf.DUMMYFUNCTION("IF('(INGESTA)Datos_consumo_datadis'!A1037&lt;&gt;"""",SPLIT('(INGESTA)Datos_consumo_datadis'!A:A,"",""),"""")"),"ES0031408323131005HX0F")</f>
        <v>ES0031408323131005HX0F</v>
      </c>
      <c r="B1037" s="17">
        <f>IFERROR(__xludf.DUMMYFUNCTION("""COMPUTED_VALUE"""),44909.0)</f>
        <v>44909</v>
      </c>
      <c r="C1037" s="13">
        <f>IFERROR(__xludf.DUMMYFUNCTION("""COMPUTED_VALUE"""),0.16666666666666666)</f>
        <v>0.1666666667</v>
      </c>
      <c r="D1037" s="8">
        <f>IFERROR(__xludf.DUMMYFUNCTION("""COMPUTED_VALUE"""),0.994)</f>
        <v>0.994</v>
      </c>
      <c r="E1037" s="8" t="str">
        <f>IFERROR(__xludf.DUMMYFUNCTION("""COMPUTED_VALUE"""),"Real")</f>
        <v>Real</v>
      </c>
      <c r="G1037" s="8">
        <f t="shared" si="1"/>
        <v>12</v>
      </c>
      <c r="H1037" s="14">
        <f t="shared" si="2"/>
        <v>14</v>
      </c>
      <c r="I1037" s="15">
        <f t="shared" si="3"/>
        <v>4</v>
      </c>
    </row>
    <row r="1038">
      <c r="A1038" s="8" t="str">
        <f>IFERROR(__xludf.DUMMYFUNCTION("IF('(INGESTA)Datos_consumo_datadis'!A1038&lt;&gt;"""",SPLIT('(INGESTA)Datos_consumo_datadis'!A:A,"",""),"""")"),"ES0031408323131005HX0F")</f>
        <v>ES0031408323131005HX0F</v>
      </c>
      <c r="B1038" s="17">
        <f>IFERROR(__xludf.DUMMYFUNCTION("""COMPUTED_VALUE"""),44909.0)</f>
        <v>44909</v>
      </c>
      <c r="C1038" s="13">
        <f>IFERROR(__xludf.DUMMYFUNCTION("""COMPUTED_VALUE"""),0.20833333333333334)</f>
        <v>0.2083333333</v>
      </c>
      <c r="D1038" s="8">
        <f>IFERROR(__xludf.DUMMYFUNCTION("""COMPUTED_VALUE"""),0.989)</f>
        <v>0.989</v>
      </c>
      <c r="E1038" s="8" t="str">
        <f>IFERROR(__xludf.DUMMYFUNCTION("""COMPUTED_VALUE"""),"Real")</f>
        <v>Real</v>
      </c>
      <c r="G1038" s="8">
        <f t="shared" si="1"/>
        <v>12</v>
      </c>
      <c r="H1038" s="14">
        <f t="shared" si="2"/>
        <v>14</v>
      </c>
      <c r="I1038" s="15">
        <f t="shared" si="3"/>
        <v>5</v>
      </c>
    </row>
    <row r="1039">
      <c r="A1039" s="8" t="str">
        <f>IFERROR(__xludf.DUMMYFUNCTION("IF('(INGESTA)Datos_consumo_datadis'!A1039&lt;&gt;"""",SPLIT('(INGESTA)Datos_consumo_datadis'!A:A,"",""),"""")"),"ES0031408323131005HX0F")</f>
        <v>ES0031408323131005HX0F</v>
      </c>
      <c r="B1039" s="17">
        <f>IFERROR(__xludf.DUMMYFUNCTION("""COMPUTED_VALUE"""),44909.0)</f>
        <v>44909</v>
      </c>
      <c r="C1039" s="13">
        <f>IFERROR(__xludf.DUMMYFUNCTION("""COMPUTED_VALUE"""),0.25)</f>
        <v>0.25</v>
      </c>
      <c r="D1039" s="8">
        <f>IFERROR(__xludf.DUMMYFUNCTION("""COMPUTED_VALUE"""),0.986)</f>
        <v>0.986</v>
      </c>
      <c r="E1039" s="8" t="str">
        <f>IFERROR(__xludf.DUMMYFUNCTION("""COMPUTED_VALUE"""),"Real")</f>
        <v>Real</v>
      </c>
      <c r="G1039" s="8">
        <f t="shared" si="1"/>
        <v>12</v>
      </c>
      <c r="H1039" s="14">
        <f t="shared" si="2"/>
        <v>14</v>
      </c>
      <c r="I1039" s="15">
        <f t="shared" si="3"/>
        <v>6</v>
      </c>
    </row>
    <row r="1040">
      <c r="A1040" s="8" t="str">
        <f>IFERROR(__xludf.DUMMYFUNCTION("IF('(INGESTA)Datos_consumo_datadis'!A1040&lt;&gt;"""",SPLIT('(INGESTA)Datos_consumo_datadis'!A:A,"",""),"""")"),"ES0031408323131005HX0F")</f>
        <v>ES0031408323131005HX0F</v>
      </c>
      <c r="B1040" s="17">
        <f>IFERROR(__xludf.DUMMYFUNCTION("""COMPUTED_VALUE"""),44909.0)</f>
        <v>44909</v>
      </c>
      <c r="C1040" s="13">
        <f>IFERROR(__xludf.DUMMYFUNCTION("""COMPUTED_VALUE"""),0.2916666666666667)</f>
        <v>0.2916666667</v>
      </c>
      <c r="D1040" s="8">
        <f>IFERROR(__xludf.DUMMYFUNCTION("""COMPUTED_VALUE"""),1.044)</f>
        <v>1.044</v>
      </c>
      <c r="E1040" s="8" t="str">
        <f>IFERROR(__xludf.DUMMYFUNCTION("""COMPUTED_VALUE"""),"Real")</f>
        <v>Real</v>
      </c>
      <c r="G1040" s="8">
        <f t="shared" si="1"/>
        <v>12</v>
      </c>
      <c r="H1040" s="14">
        <f t="shared" si="2"/>
        <v>14</v>
      </c>
      <c r="I1040" s="15">
        <f t="shared" si="3"/>
        <v>7</v>
      </c>
    </row>
    <row r="1041">
      <c r="A1041" s="8" t="str">
        <f>IFERROR(__xludf.DUMMYFUNCTION("IF('(INGESTA)Datos_consumo_datadis'!A1041&lt;&gt;"""",SPLIT('(INGESTA)Datos_consumo_datadis'!A:A,"",""),"""")"),"ES0031408323131005HX0F")</f>
        <v>ES0031408323131005HX0F</v>
      </c>
      <c r="B1041" s="17">
        <f>IFERROR(__xludf.DUMMYFUNCTION("""COMPUTED_VALUE"""),44909.0)</f>
        <v>44909</v>
      </c>
      <c r="C1041" s="13">
        <f>IFERROR(__xludf.DUMMYFUNCTION("""COMPUTED_VALUE"""),0.3333333333333333)</f>
        <v>0.3333333333</v>
      </c>
      <c r="D1041" s="8">
        <f>IFERROR(__xludf.DUMMYFUNCTION("""COMPUTED_VALUE"""),0.71)</f>
        <v>0.71</v>
      </c>
      <c r="E1041" s="8" t="str">
        <f>IFERROR(__xludf.DUMMYFUNCTION("""COMPUTED_VALUE"""),"Real")</f>
        <v>Real</v>
      </c>
      <c r="G1041" s="8">
        <f t="shared" si="1"/>
        <v>12</v>
      </c>
      <c r="H1041" s="14">
        <f t="shared" si="2"/>
        <v>14</v>
      </c>
      <c r="I1041" s="15">
        <f t="shared" si="3"/>
        <v>8</v>
      </c>
    </row>
    <row r="1042">
      <c r="A1042" s="8" t="str">
        <f>IFERROR(__xludf.DUMMYFUNCTION("IF('(INGESTA)Datos_consumo_datadis'!A1042&lt;&gt;"""",SPLIT('(INGESTA)Datos_consumo_datadis'!A:A,"",""),"""")"),"ES0031408323131005HX0F")</f>
        <v>ES0031408323131005HX0F</v>
      </c>
      <c r="B1042" s="17">
        <f>IFERROR(__xludf.DUMMYFUNCTION("""COMPUTED_VALUE"""),44909.0)</f>
        <v>44909</v>
      </c>
      <c r="C1042" s="13">
        <f>IFERROR(__xludf.DUMMYFUNCTION("""COMPUTED_VALUE"""),0.375)</f>
        <v>0.375</v>
      </c>
      <c r="D1042" s="8">
        <f>IFERROR(__xludf.DUMMYFUNCTION("""COMPUTED_VALUE"""),0.078)</f>
        <v>0.078</v>
      </c>
      <c r="E1042" s="8" t="str">
        <f>IFERROR(__xludf.DUMMYFUNCTION("""COMPUTED_VALUE"""),"Real")</f>
        <v>Real</v>
      </c>
      <c r="G1042" s="8">
        <f t="shared" si="1"/>
        <v>12</v>
      </c>
      <c r="H1042" s="14">
        <f t="shared" si="2"/>
        <v>14</v>
      </c>
      <c r="I1042" s="15">
        <f t="shared" si="3"/>
        <v>9</v>
      </c>
    </row>
    <row r="1043">
      <c r="A1043" s="8" t="str">
        <f>IFERROR(__xludf.DUMMYFUNCTION("IF('(INGESTA)Datos_consumo_datadis'!A1043&lt;&gt;"""",SPLIT('(INGESTA)Datos_consumo_datadis'!A:A,"",""),"""")"),"ES0031408323131005HX0F")</f>
        <v>ES0031408323131005HX0F</v>
      </c>
      <c r="B1043" s="17">
        <f>IFERROR(__xludf.DUMMYFUNCTION("""COMPUTED_VALUE"""),44909.0)</f>
        <v>44909</v>
      </c>
      <c r="C1043" s="13">
        <f>IFERROR(__xludf.DUMMYFUNCTION("""COMPUTED_VALUE"""),0.4166666666666667)</f>
        <v>0.4166666667</v>
      </c>
      <c r="D1043" s="8">
        <f>IFERROR(__xludf.DUMMYFUNCTION("""COMPUTED_VALUE"""),0.015)</f>
        <v>0.015</v>
      </c>
      <c r="E1043" s="8" t="str">
        <f>IFERROR(__xludf.DUMMYFUNCTION("""COMPUTED_VALUE"""),"Real")</f>
        <v>Real</v>
      </c>
      <c r="G1043" s="8">
        <f t="shared" si="1"/>
        <v>12</v>
      </c>
      <c r="H1043" s="14">
        <f t="shared" si="2"/>
        <v>14</v>
      </c>
      <c r="I1043" s="15">
        <f t="shared" si="3"/>
        <v>10</v>
      </c>
    </row>
    <row r="1044">
      <c r="A1044" s="8" t="str">
        <f>IFERROR(__xludf.DUMMYFUNCTION("IF('(INGESTA)Datos_consumo_datadis'!A1044&lt;&gt;"""",SPLIT('(INGESTA)Datos_consumo_datadis'!A:A,"",""),"""")"),"ES0031408323131005HX0F")</f>
        <v>ES0031408323131005HX0F</v>
      </c>
      <c r="B1044" s="17">
        <f>IFERROR(__xludf.DUMMYFUNCTION("""COMPUTED_VALUE"""),44909.0)</f>
        <v>44909</v>
      </c>
      <c r="C1044" s="13">
        <f>IFERROR(__xludf.DUMMYFUNCTION("""COMPUTED_VALUE"""),0.4583333333333333)</f>
        <v>0.4583333333</v>
      </c>
      <c r="D1044" s="8">
        <f>IFERROR(__xludf.DUMMYFUNCTION("""COMPUTED_VALUE"""),0.066)</f>
        <v>0.066</v>
      </c>
      <c r="E1044" s="8" t="str">
        <f>IFERROR(__xludf.DUMMYFUNCTION("""COMPUTED_VALUE"""),"Real")</f>
        <v>Real</v>
      </c>
      <c r="G1044" s="8">
        <f t="shared" si="1"/>
        <v>12</v>
      </c>
      <c r="H1044" s="14">
        <f t="shared" si="2"/>
        <v>14</v>
      </c>
      <c r="I1044" s="15">
        <f t="shared" si="3"/>
        <v>11</v>
      </c>
    </row>
    <row r="1045">
      <c r="A1045" s="8" t="str">
        <f>IFERROR(__xludf.DUMMYFUNCTION("IF('(INGESTA)Datos_consumo_datadis'!A1045&lt;&gt;"""",SPLIT('(INGESTA)Datos_consumo_datadis'!A:A,"",""),"""")"),"ES0031408323131005HX0F")</f>
        <v>ES0031408323131005HX0F</v>
      </c>
      <c r="B1045" s="17">
        <f>IFERROR(__xludf.DUMMYFUNCTION("""COMPUTED_VALUE"""),44909.0)</f>
        <v>44909</v>
      </c>
      <c r="C1045" s="13">
        <f>IFERROR(__xludf.DUMMYFUNCTION("""COMPUTED_VALUE"""),0.5)</f>
        <v>0.5</v>
      </c>
      <c r="D1045" s="8">
        <f>IFERROR(__xludf.DUMMYFUNCTION("""COMPUTED_VALUE"""),0.04)</f>
        <v>0.04</v>
      </c>
      <c r="E1045" s="8" t="str">
        <f>IFERROR(__xludf.DUMMYFUNCTION("""COMPUTED_VALUE"""),"Real")</f>
        <v>Real</v>
      </c>
      <c r="G1045" s="8">
        <f t="shared" si="1"/>
        <v>12</v>
      </c>
      <c r="H1045" s="14">
        <f t="shared" si="2"/>
        <v>14</v>
      </c>
      <c r="I1045" s="15">
        <f t="shared" si="3"/>
        <v>12</v>
      </c>
    </row>
    <row r="1046">
      <c r="A1046" s="8" t="str">
        <f>IFERROR(__xludf.DUMMYFUNCTION("IF('(INGESTA)Datos_consumo_datadis'!A1046&lt;&gt;"""",SPLIT('(INGESTA)Datos_consumo_datadis'!A:A,"",""),"""")"),"ES0031408323131005HX0F")</f>
        <v>ES0031408323131005HX0F</v>
      </c>
      <c r="B1046" s="17">
        <f>IFERROR(__xludf.DUMMYFUNCTION("""COMPUTED_VALUE"""),44909.0)</f>
        <v>44909</v>
      </c>
      <c r="C1046" s="13">
        <f>IFERROR(__xludf.DUMMYFUNCTION("""COMPUTED_VALUE"""),0.5416666666666666)</f>
        <v>0.5416666667</v>
      </c>
      <c r="D1046" s="8">
        <f>IFERROR(__xludf.DUMMYFUNCTION("""COMPUTED_VALUE"""),0.312)</f>
        <v>0.312</v>
      </c>
      <c r="E1046" s="8" t="str">
        <f>IFERROR(__xludf.DUMMYFUNCTION("""COMPUTED_VALUE"""),"Real")</f>
        <v>Real</v>
      </c>
      <c r="G1046" s="8">
        <f t="shared" si="1"/>
        <v>12</v>
      </c>
      <c r="H1046" s="14">
        <f t="shared" si="2"/>
        <v>14</v>
      </c>
      <c r="I1046" s="15">
        <f t="shared" si="3"/>
        <v>13</v>
      </c>
    </row>
    <row r="1047">
      <c r="A1047" s="8" t="str">
        <f>IFERROR(__xludf.DUMMYFUNCTION("IF('(INGESTA)Datos_consumo_datadis'!A1047&lt;&gt;"""",SPLIT('(INGESTA)Datos_consumo_datadis'!A:A,"",""),"""")"),"ES0031408323131005HX0F")</f>
        <v>ES0031408323131005HX0F</v>
      </c>
      <c r="B1047" s="17">
        <f>IFERROR(__xludf.DUMMYFUNCTION("""COMPUTED_VALUE"""),44909.0)</f>
        <v>44909</v>
      </c>
      <c r="C1047" s="13">
        <f>IFERROR(__xludf.DUMMYFUNCTION("""COMPUTED_VALUE"""),0.5833333333333334)</f>
        <v>0.5833333333</v>
      </c>
      <c r="D1047" s="8">
        <f>IFERROR(__xludf.DUMMYFUNCTION("""COMPUTED_VALUE"""),0.045)</f>
        <v>0.045</v>
      </c>
      <c r="E1047" s="8" t="str">
        <f>IFERROR(__xludf.DUMMYFUNCTION("""COMPUTED_VALUE"""),"Real")</f>
        <v>Real</v>
      </c>
      <c r="G1047" s="8">
        <f t="shared" si="1"/>
        <v>12</v>
      </c>
      <c r="H1047" s="14">
        <f t="shared" si="2"/>
        <v>14</v>
      </c>
      <c r="I1047" s="15">
        <f t="shared" si="3"/>
        <v>14</v>
      </c>
    </row>
    <row r="1048">
      <c r="A1048" s="8" t="str">
        <f>IFERROR(__xludf.DUMMYFUNCTION("IF('(INGESTA)Datos_consumo_datadis'!A1048&lt;&gt;"""",SPLIT('(INGESTA)Datos_consumo_datadis'!A:A,"",""),"""")"),"ES0031408323131005HX0F")</f>
        <v>ES0031408323131005HX0F</v>
      </c>
      <c r="B1048" s="17">
        <f>IFERROR(__xludf.DUMMYFUNCTION("""COMPUTED_VALUE"""),44909.0)</f>
        <v>44909</v>
      </c>
      <c r="C1048" s="13">
        <f>IFERROR(__xludf.DUMMYFUNCTION("""COMPUTED_VALUE"""),0.625)</f>
        <v>0.625</v>
      </c>
      <c r="D1048" s="8">
        <f>IFERROR(__xludf.DUMMYFUNCTION("""COMPUTED_VALUE"""),0.021)</f>
        <v>0.021</v>
      </c>
      <c r="E1048" s="8" t="str">
        <f>IFERROR(__xludf.DUMMYFUNCTION("""COMPUTED_VALUE"""),"Real")</f>
        <v>Real</v>
      </c>
      <c r="G1048" s="8">
        <f t="shared" si="1"/>
        <v>12</v>
      </c>
      <c r="H1048" s="14">
        <f t="shared" si="2"/>
        <v>14</v>
      </c>
      <c r="I1048" s="15">
        <f t="shared" si="3"/>
        <v>15</v>
      </c>
    </row>
    <row r="1049">
      <c r="A1049" s="8" t="str">
        <f>IFERROR(__xludf.DUMMYFUNCTION("IF('(INGESTA)Datos_consumo_datadis'!A1049&lt;&gt;"""",SPLIT('(INGESTA)Datos_consumo_datadis'!A:A,"",""),"""")"),"ES0031408323131005HX0F")</f>
        <v>ES0031408323131005HX0F</v>
      </c>
      <c r="B1049" s="17">
        <f>IFERROR(__xludf.DUMMYFUNCTION("""COMPUTED_VALUE"""),44909.0)</f>
        <v>44909</v>
      </c>
      <c r="C1049" s="13">
        <f>IFERROR(__xludf.DUMMYFUNCTION("""COMPUTED_VALUE"""),0.6666666666666666)</f>
        <v>0.6666666667</v>
      </c>
      <c r="D1049" s="8">
        <f>IFERROR(__xludf.DUMMYFUNCTION("""COMPUTED_VALUE"""),0.081)</f>
        <v>0.081</v>
      </c>
      <c r="E1049" s="8" t="str">
        <f>IFERROR(__xludf.DUMMYFUNCTION("""COMPUTED_VALUE"""),"Real")</f>
        <v>Real</v>
      </c>
      <c r="G1049" s="8">
        <f t="shared" si="1"/>
        <v>12</v>
      </c>
      <c r="H1049" s="14">
        <f t="shared" si="2"/>
        <v>14</v>
      </c>
      <c r="I1049" s="15">
        <f t="shared" si="3"/>
        <v>16</v>
      </c>
    </row>
    <row r="1050">
      <c r="A1050" s="8" t="str">
        <f>IFERROR(__xludf.DUMMYFUNCTION("IF('(INGESTA)Datos_consumo_datadis'!A1050&lt;&gt;"""",SPLIT('(INGESTA)Datos_consumo_datadis'!A:A,"",""),"""")"),"ES0031408323131005HX0F")</f>
        <v>ES0031408323131005HX0F</v>
      </c>
      <c r="B1050" s="17">
        <f>IFERROR(__xludf.DUMMYFUNCTION("""COMPUTED_VALUE"""),44909.0)</f>
        <v>44909</v>
      </c>
      <c r="C1050" s="13">
        <f>IFERROR(__xludf.DUMMYFUNCTION("""COMPUTED_VALUE"""),0.7083333333333334)</f>
        <v>0.7083333333</v>
      </c>
      <c r="D1050" s="8">
        <f>IFERROR(__xludf.DUMMYFUNCTION("""COMPUTED_VALUE"""),0.021)</f>
        <v>0.021</v>
      </c>
      <c r="E1050" s="8" t="str">
        <f>IFERROR(__xludf.DUMMYFUNCTION("""COMPUTED_VALUE"""),"Real")</f>
        <v>Real</v>
      </c>
      <c r="G1050" s="8">
        <f t="shared" si="1"/>
        <v>12</v>
      </c>
      <c r="H1050" s="14">
        <f t="shared" si="2"/>
        <v>14</v>
      </c>
      <c r="I1050" s="15">
        <f t="shared" si="3"/>
        <v>17</v>
      </c>
    </row>
    <row r="1051">
      <c r="A1051" s="8" t="str">
        <f>IFERROR(__xludf.DUMMYFUNCTION("IF('(INGESTA)Datos_consumo_datadis'!A1051&lt;&gt;"""",SPLIT('(INGESTA)Datos_consumo_datadis'!A:A,"",""),"""")"),"ES0031408323131005HX0F")</f>
        <v>ES0031408323131005HX0F</v>
      </c>
      <c r="B1051" s="17">
        <f>IFERROR(__xludf.DUMMYFUNCTION("""COMPUTED_VALUE"""),44909.0)</f>
        <v>44909</v>
      </c>
      <c r="C1051" s="13">
        <f>IFERROR(__xludf.DUMMYFUNCTION("""COMPUTED_VALUE"""),0.75)</f>
        <v>0.75</v>
      </c>
      <c r="D1051" s="8">
        <f>IFERROR(__xludf.DUMMYFUNCTION("""COMPUTED_VALUE"""),0.07)</f>
        <v>0.07</v>
      </c>
      <c r="E1051" s="8" t="str">
        <f>IFERROR(__xludf.DUMMYFUNCTION("""COMPUTED_VALUE"""),"Real")</f>
        <v>Real</v>
      </c>
      <c r="G1051" s="8">
        <f t="shared" si="1"/>
        <v>12</v>
      </c>
      <c r="H1051" s="14">
        <f t="shared" si="2"/>
        <v>14</v>
      </c>
      <c r="I1051" s="15">
        <f t="shared" si="3"/>
        <v>18</v>
      </c>
    </row>
    <row r="1052">
      <c r="A1052" s="8" t="str">
        <f>IFERROR(__xludf.DUMMYFUNCTION("IF('(INGESTA)Datos_consumo_datadis'!A1052&lt;&gt;"""",SPLIT('(INGESTA)Datos_consumo_datadis'!A:A,"",""),"""")"),"ES0031408323131005HX0F")</f>
        <v>ES0031408323131005HX0F</v>
      </c>
      <c r="B1052" s="17">
        <f>IFERROR(__xludf.DUMMYFUNCTION("""COMPUTED_VALUE"""),44909.0)</f>
        <v>44909</v>
      </c>
      <c r="C1052" s="13">
        <f>IFERROR(__xludf.DUMMYFUNCTION("""COMPUTED_VALUE"""),0.7916666666666666)</f>
        <v>0.7916666667</v>
      </c>
      <c r="D1052" s="8">
        <f>IFERROR(__xludf.DUMMYFUNCTION("""COMPUTED_VALUE"""),0.38)</f>
        <v>0.38</v>
      </c>
      <c r="E1052" s="8" t="str">
        <f>IFERROR(__xludf.DUMMYFUNCTION("""COMPUTED_VALUE"""),"Real")</f>
        <v>Real</v>
      </c>
      <c r="G1052" s="8">
        <f t="shared" si="1"/>
        <v>12</v>
      </c>
      <c r="H1052" s="14">
        <f t="shared" si="2"/>
        <v>14</v>
      </c>
      <c r="I1052" s="15">
        <f t="shared" si="3"/>
        <v>19</v>
      </c>
    </row>
    <row r="1053">
      <c r="A1053" s="8" t="str">
        <f>IFERROR(__xludf.DUMMYFUNCTION("IF('(INGESTA)Datos_consumo_datadis'!A1053&lt;&gt;"""",SPLIT('(INGESTA)Datos_consumo_datadis'!A:A,"",""),"""")"),"ES0031408323131005HX0F")</f>
        <v>ES0031408323131005HX0F</v>
      </c>
      <c r="B1053" s="17">
        <f>IFERROR(__xludf.DUMMYFUNCTION("""COMPUTED_VALUE"""),44909.0)</f>
        <v>44909</v>
      </c>
      <c r="C1053" s="13">
        <f>IFERROR(__xludf.DUMMYFUNCTION("""COMPUTED_VALUE"""),0.8333333333333334)</f>
        <v>0.8333333333</v>
      </c>
      <c r="D1053" s="8">
        <f>IFERROR(__xludf.DUMMYFUNCTION("""COMPUTED_VALUE"""),0.064)</f>
        <v>0.064</v>
      </c>
      <c r="E1053" s="8" t="str">
        <f>IFERROR(__xludf.DUMMYFUNCTION("""COMPUTED_VALUE"""),"Real")</f>
        <v>Real</v>
      </c>
      <c r="G1053" s="8">
        <f t="shared" si="1"/>
        <v>12</v>
      </c>
      <c r="H1053" s="14">
        <f t="shared" si="2"/>
        <v>14</v>
      </c>
      <c r="I1053" s="15">
        <f t="shared" si="3"/>
        <v>20</v>
      </c>
    </row>
    <row r="1054">
      <c r="A1054" s="8" t="str">
        <f>IFERROR(__xludf.DUMMYFUNCTION("IF('(INGESTA)Datos_consumo_datadis'!A1054&lt;&gt;"""",SPLIT('(INGESTA)Datos_consumo_datadis'!A:A,"",""),"""")"),"ES0031408323131005HX0F")</f>
        <v>ES0031408323131005HX0F</v>
      </c>
      <c r="B1054" s="17">
        <f>IFERROR(__xludf.DUMMYFUNCTION("""COMPUTED_VALUE"""),44909.0)</f>
        <v>44909</v>
      </c>
      <c r="C1054" s="13">
        <f>IFERROR(__xludf.DUMMYFUNCTION("""COMPUTED_VALUE"""),0.875)</f>
        <v>0.875</v>
      </c>
      <c r="D1054" s="8">
        <f>IFERROR(__xludf.DUMMYFUNCTION("""COMPUTED_VALUE"""),0.07)</f>
        <v>0.07</v>
      </c>
      <c r="E1054" s="8" t="str">
        <f>IFERROR(__xludf.DUMMYFUNCTION("""COMPUTED_VALUE"""),"Real")</f>
        <v>Real</v>
      </c>
      <c r="G1054" s="8">
        <f t="shared" si="1"/>
        <v>12</v>
      </c>
      <c r="H1054" s="14">
        <f t="shared" si="2"/>
        <v>14</v>
      </c>
      <c r="I1054" s="15">
        <f t="shared" si="3"/>
        <v>21</v>
      </c>
    </row>
    <row r="1055">
      <c r="A1055" s="8" t="str">
        <f>IFERROR(__xludf.DUMMYFUNCTION("IF('(INGESTA)Datos_consumo_datadis'!A1055&lt;&gt;"""",SPLIT('(INGESTA)Datos_consumo_datadis'!A:A,"",""),"""")"),"ES0031408323131005HX0F")</f>
        <v>ES0031408323131005HX0F</v>
      </c>
      <c r="B1055" s="17">
        <f>IFERROR(__xludf.DUMMYFUNCTION("""COMPUTED_VALUE"""),44909.0)</f>
        <v>44909</v>
      </c>
      <c r="C1055" s="13">
        <f>IFERROR(__xludf.DUMMYFUNCTION("""COMPUTED_VALUE"""),0.9166666666666666)</f>
        <v>0.9166666667</v>
      </c>
      <c r="D1055" s="8">
        <f>IFERROR(__xludf.DUMMYFUNCTION("""COMPUTED_VALUE"""),1.261)</f>
        <v>1.261</v>
      </c>
      <c r="E1055" s="8" t="str">
        <f>IFERROR(__xludf.DUMMYFUNCTION("""COMPUTED_VALUE"""),"Real")</f>
        <v>Real</v>
      </c>
      <c r="G1055" s="8">
        <f t="shared" si="1"/>
        <v>12</v>
      </c>
      <c r="H1055" s="14">
        <f t="shared" si="2"/>
        <v>14</v>
      </c>
      <c r="I1055" s="15">
        <f t="shared" si="3"/>
        <v>22</v>
      </c>
    </row>
    <row r="1056">
      <c r="A1056" s="8" t="str">
        <f>IFERROR(__xludf.DUMMYFUNCTION("IF('(INGESTA)Datos_consumo_datadis'!A1056&lt;&gt;"""",SPLIT('(INGESTA)Datos_consumo_datadis'!A:A,"",""),"""")"),"ES0031408323131005HX0F")</f>
        <v>ES0031408323131005HX0F</v>
      </c>
      <c r="B1056" s="17">
        <f>IFERROR(__xludf.DUMMYFUNCTION("""COMPUTED_VALUE"""),44909.0)</f>
        <v>44909</v>
      </c>
      <c r="C1056" s="13">
        <f>IFERROR(__xludf.DUMMYFUNCTION("""COMPUTED_VALUE"""),0.9583333333333334)</f>
        <v>0.9583333333</v>
      </c>
      <c r="D1056" s="8">
        <f>IFERROR(__xludf.DUMMYFUNCTION("""COMPUTED_VALUE"""),1.785)</f>
        <v>1.785</v>
      </c>
      <c r="E1056" s="8" t="str">
        <f>IFERROR(__xludf.DUMMYFUNCTION("""COMPUTED_VALUE"""),"Real")</f>
        <v>Real</v>
      </c>
      <c r="G1056" s="8">
        <f t="shared" si="1"/>
        <v>12</v>
      </c>
      <c r="H1056" s="14">
        <f t="shared" si="2"/>
        <v>14</v>
      </c>
      <c r="I1056" s="15">
        <f t="shared" si="3"/>
        <v>23</v>
      </c>
    </row>
    <row r="1057">
      <c r="A1057" s="8" t="str">
        <f>IFERROR(__xludf.DUMMYFUNCTION("IF('(INGESTA)Datos_consumo_datadis'!A1057&lt;&gt;"""",SPLIT('(INGESTA)Datos_consumo_datadis'!A:A,"",""),"""")"),"ES0031408323131005HX0F")</f>
        <v>ES0031408323131005HX0F</v>
      </c>
      <c r="B1057" s="17">
        <f>IFERROR(__xludf.DUMMYFUNCTION("""COMPUTED_VALUE"""),44909.0)</f>
        <v>44909</v>
      </c>
      <c r="C1057" s="16">
        <f>IFERROR(__xludf.DUMMYFUNCTION("""COMPUTED_VALUE"""),1.0)</f>
        <v>1</v>
      </c>
      <c r="D1057" s="8">
        <f>IFERROR(__xludf.DUMMYFUNCTION("""COMPUTED_VALUE"""),0.874)</f>
        <v>0.874</v>
      </c>
      <c r="E1057" s="8" t="str">
        <f>IFERROR(__xludf.DUMMYFUNCTION("""COMPUTED_VALUE"""),"Real")</f>
        <v>Real</v>
      </c>
      <c r="G1057" s="8">
        <f t="shared" si="1"/>
        <v>12</v>
      </c>
      <c r="H1057" s="14">
        <f t="shared" si="2"/>
        <v>14</v>
      </c>
      <c r="I1057" s="15">
        <f t="shared" si="3"/>
        <v>0</v>
      </c>
    </row>
    <row r="1058">
      <c r="A1058" s="8" t="str">
        <f>IFERROR(__xludf.DUMMYFUNCTION("IF('(INGESTA)Datos_consumo_datadis'!A1058&lt;&gt;"""",SPLIT('(INGESTA)Datos_consumo_datadis'!A:A,"",""),"""")"),"ES0031408323131005HX0F")</f>
        <v>ES0031408323131005HX0F</v>
      </c>
      <c r="B1058" s="17">
        <f>IFERROR(__xludf.DUMMYFUNCTION("""COMPUTED_VALUE"""),44910.0)</f>
        <v>44910</v>
      </c>
      <c r="C1058" s="13">
        <f>IFERROR(__xludf.DUMMYFUNCTION("""COMPUTED_VALUE"""),0.041666666666666664)</f>
        <v>0.04166666667</v>
      </c>
      <c r="D1058" s="8">
        <f>IFERROR(__xludf.DUMMYFUNCTION("""COMPUTED_VALUE"""),0.796)</f>
        <v>0.796</v>
      </c>
      <c r="E1058" s="8" t="str">
        <f>IFERROR(__xludf.DUMMYFUNCTION("""COMPUTED_VALUE"""),"Real")</f>
        <v>Real</v>
      </c>
      <c r="G1058" s="8">
        <f t="shared" si="1"/>
        <v>12</v>
      </c>
      <c r="H1058" s="14">
        <f t="shared" si="2"/>
        <v>15</v>
      </c>
      <c r="I1058" s="15">
        <f t="shared" si="3"/>
        <v>1</v>
      </c>
    </row>
    <row r="1059">
      <c r="A1059" s="8" t="str">
        <f>IFERROR(__xludf.DUMMYFUNCTION("IF('(INGESTA)Datos_consumo_datadis'!A1059&lt;&gt;"""",SPLIT('(INGESTA)Datos_consumo_datadis'!A:A,"",""),"""")"),"ES0031408323131005HX0F")</f>
        <v>ES0031408323131005HX0F</v>
      </c>
      <c r="B1059" s="17">
        <f>IFERROR(__xludf.DUMMYFUNCTION("""COMPUTED_VALUE"""),44910.0)</f>
        <v>44910</v>
      </c>
      <c r="C1059" s="13">
        <f>IFERROR(__xludf.DUMMYFUNCTION("""COMPUTED_VALUE"""),0.08333333333333333)</f>
        <v>0.08333333333</v>
      </c>
      <c r="D1059" s="8">
        <f>IFERROR(__xludf.DUMMYFUNCTION("""COMPUTED_VALUE"""),0.759)</f>
        <v>0.759</v>
      </c>
      <c r="E1059" s="8" t="str">
        <f>IFERROR(__xludf.DUMMYFUNCTION("""COMPUTED_VALUE"""),"Real")</f>
        <v>Real</v>
      </c>
      <c r="G1059" s="8">
        <f t="shared" si="1"/>
        <v>12</v>
      </c>
      <c r="H1059" s="14">
        <f t="shared" si="2"/>
        <v>15</v>
      </c>
      <c r="I1059" s="15">
        <f t="shared" si="3"/>
        <v>2</v>
      </c>
    </row>
    <row r="1060">
      <c r="A1060" s="8" t="str">
        <f>IFERROR(__xludf.DUMMYFUNCTION("IF('(INGESTA)Datos_consumo_datadis'!A1060&lt;&gt;"""",SPLIT('(INGESTA)Datos_consumo_datadis'!A:A,"",""),"""")"),"ES0031408323131005HX0F")</f>
        <v>ES0031408323131005HX0F</v>
      </c>
      <c r="B1060" s="17">
        <f>IFERROR(__xludf.DUMMYFUNCTION("""COMPUTED_VALUE"""),44910.0)</f>
        <v>44910</v>
      </c>
      <c r="C1060" s="13">
        <f>IFERROR(__xludf.DUMMYFUNCTION("""COMPUTED_VALUE"""),0.125)</f>
        <v>0.125</v>
      </c>
      <c r="D1060" s="8">
        <f>IFERROR(__xludf.DUMMYFUNCTION("""COMPUTED_VALUE"""),0.787)</f>
        <v>0.787</v>
      </c>
      <c r="E1060" s="8" t="str">
        <f>IFERROR(__xludf.DUMMYFUNCTION("""COMPUTED_VALUE"""),"Real")</f>
        <v>Real</v>
      </c>
      <c r="G1060" s="8">
        <f t="shared" si="1"/>
        <v>12</v>
      </c>
      <c r="H1060" s="14">
        <f t="shared" si="2"/>
        <v>15</v>
      </c>
      <c r="I1060" s="15">
        <f t="shared" si="3"/>
        <v>3</v>
      </c>
    </row>
    <row r="1061">
      <c r="A1061" s="8" t="str">
        <f>IFERROR(__xludf.DUMMYFUNCTION("IF('(INGESTA)Datos_consumo_datadis'!A1061&lt;&gt;"""",SPLIT('(INGESTA)Datos_consumo_datadis'!A:A,"",""),"""")"),"ES0031408323131005HX0F")</f>
        <v>ES0031408323131005HX0F</v>
      </c>
      <c r="B1061" s="17">
        <f>IFERROR(__xludf.DUMMYFUNCTION("""COMPUTED_VALUE"""),44910.0)</f>
        <v>44910</v>
      </c>
      <c r="C1061" s="13">
        <f>IFERROR(__xludf.DUMMYFUNCTION("""COMPUTED_VALUE"""),0.16666666666666666)</f>
        <v>0.1666666667</v>
      </c>
      <c r="D1061" s="8">
        <f>IFERROR(__xludf.DUMMYFUNCTION("""COMPUTED_VALUE"""),1.052)</f>
        <v>1.052</v>
      </c>
      <c r="E1061" s="8" t="str">
        <f>IFERROR(__xludf.DUMMYFUNCTION("""COMPUTED_VALUE"""),"Real")</f>
        <v>Real</v>
      </c>
      <c r="G1061" s="8">
        <f t="shared" si="1"/>
        <v>12</v>
      </c>
      <c r="H1061" s="14">
        <f t="shared" si="2"/>
        <v>15</v>
      </c>
      <c r="I1061" s="15">
        <f t="shared" si="3"/>
        <v>4</v>
      </c>
    </row>
    <row r="1062">
      <c r="A1062" s="8" t="str">
        <f>IFERROR(__xludf.DUMMYFUNCTION("IF('(INGESTA)Datos_consumo_datadis'!A1062&lt;&gt;"""",SPLIT('(INGESTA)Datos_consumo_datadis'!A:A,"",""),"""")"),"ES0031408323131005HX0F")</f>
        <v>ES0031408323131005HX0F</v>
      </c>
      <c r="B1062" s="17">
        <f>IFERROR(__xludf.DUMMYFUNCTION("""COMPUTED_VALUE"""),44910.0)</f>
        <v>44910</v>
      </c>
      <c r="C1062" s="13">
        <f>IFERROR(__xludf.DUMMYFUNCTION("""COMPUTED_VALUE"""),0.20833333333333334)</f>
        <v>0.2083333333</v>
      </c>
      <c r="D1062" s="8">
        <f>IFERROR(__xludf.DUMMYFUNCTION("""COMPUTED_VALUE"""),0.738)</f>
        <v>0.738</v>
      </c>
      <c r="E1062" s="8" t="str">
        <f>IFERROR(__xludf.DUMMYFUNCTION("""COMPUTED_VALUE"""),"Real")</f>
        <v>Real</v>
      </c>
      <c r="G1062" s="8">
        <f t="shared" si="1"/>
        <v>12</v>
      </c>
      <c r="H1062" s="14">
        <f t="shared" si="2"/>
        <v>15</v>
      </c>
      <c r="I1062" s="15">
        <f t="shared" si="3"/>
        <v>5</v>
      </c>
    </row>
    <row r="1063">
      <c r="A1063" s="8" t="str">
        <f>IFERROR(__xludf.DUMMYFUNCTION("IF('(INGESTA)Datos_consumo_datadis'!A1063&lt;&gt;"""",SPLIT('(INGESTA)Datos_consumo_datadis'!A:A,"",""),"""")"),"ES0031408323131005HX0F")</f>
        <v>ES0031408323131005HX0F</v>
      </c>
      <c r="B1063" s="17">
        <f>IFERROR(__xludf.DUMMYFUNCTION("""COMPUTED_VALUE"""),44910.0)</f>
        <v>44910</v>
      </c>
      <c r="C1063" s="13">
        <f>IFERROR(__xludf.DUMMYFUNCTION("""COMPUTED_VALUE"""),0.25)</f>
        <v>0.25</v>
      </c>
      <c r="D1063" s="8">
        <f>IFERROR(__xludf.DUMMYFUNCTION("""COMPUTED_VALUE"""),0.783)</f>
        <v>0.783</v>
      </c>
      <c r="E1063" s="8" t="str">
        <f>IFERROR(__xludf.DUMMYFUNCTION("""COMPUTED_VALUE"""),"Real")</f>
        <v>Real</v>
      </c>
      <c r="G1063" s="8">
        <f t="shared" si="1"/>
        <v>12</v>
      </c>
      <c r="H1063" s="14">
        <f t="shared" si="2"/>
        <v>15</v>
      </c>
      <c r="I1063" s="15">
        <f t="shared" si="3"/>
        <v>6</v>
      </c>
    </row>
    <row r="1064">
      <c r="A1064" s="8" t="str">
        <f>IFERROR(__xludf.DUMMYFUNCTION("IF('(INGESTA)Datos_consumo_datadis'!A1064&lt;&gt;"""",SPLIT('(INGESTA)Datos_consumo_datadis'!A:A,"",""),"""")"),"ES0031408323131005HX0F")</f>
        <v>ES0031408323131005HX0F</v>
      </c>
      <c r="B1064" s="17">
        <f>IFERROR(__xludf.DUMMYFUNCTION("""COMPUTED_VALUE"""),44910.0)</f>
        <v>44910</v>
      </c>
      <c r="C1064" s="13">
        <f>IFERROR(__xludf.DUMMYFUNCTION("""COMPUTED_VALUE"""),0.2916666666666667)</f>
        <v>0.2916666667</v>
      </c>
      <c r="D1064" s="8">
        <f>IFERROR(__xludf.DUMMYFUNCTION("""COMPUTED_VALUE"""),0.777)</f>
        <v>0.777</v>
      </c>
      <c r="E1064" s="8" t="str">
        <f>IFERROR(__xludf.DUMMYFUNCTION("""COMPUTED_VALUE"""),"Real")</f>
        <v>Real</v>
      </c>
      <c r="G1064" s="8">
        <f t="shared" si="1"/>
        <v>12</v>
      </c>
      <c r="H1064" s="14">
        <f t="shared" si="2"/>
        <v>15</v>
      </c>
      <c r="I1064" s="15">
        <f t="shared" si="3"/>
        <v>7</v>
      </c>
    </row>
    <row r="1065">
      <c r="A1065" s="8" t="str">
        <f>IFERROR(__xludf.DUMMYFUNCTION("IF('(INGESTA)Datos_consumo_datadis'!A1065&lt;&gt;"""",SPLIT('(INGESTA)Datos_consumo_datadis'!A:A,"",""),"""")"),"ES0031408323131005HX0F")</f>
        <v>ES0031408323131005HX0F</v>
      </c>
      <c r="B1065" s="17">
        <f>IFERROR(__xludf.DUMMYFUNCTION("""COMPUTED_VALUE"""),44910.0)</f>
        <v>44910</v>
      </c>
      <c r="C1065" s="13">
        <f>IFERROR(__xludf.DUMMYFUNCTION("""COMPUTED_VALUE"""),0.3333333333333333)</f>
        <v>0.3333333333</v>
      </c>
      <c r="D1065" s="8">
        <f>IFERROR(__xludf.DUMMYFUNCTION("""COMPUTED_VALUE"""),0.717)</f>
        <v>0.717</v>
      </c>
      <c r="E1065" s="8" t="str">
        <f>IFERROR(__xludf.DUMMYFUNCTION("""COMPUTED_VALUE"""),"Real")</f>
        <v>Real</v>
      </c>
      <c r="G1065" s="8">
        <f t="shared" si="1"/>
        <v>12</v>
      </c>
      <c r="H1065" s="14">
        <f t="shared" si="2"/>
        <v>15</v>
      </c>
      <c r="I1065" s="15">
        <f t="shared" si="3"/>
        <v>8</v>
      </c>
    </row>
    <row r="1066">
      <c r="A1066" s="8" t="str">
        <f>IFERROR(__xludf.DUMMYFUNCTION("IF('(INGESTA)Datos_consumo_datadis'!A1066&lt;&gt;"""",SPLIT('(INGESTA)Datos_consumo_datadis'!A:A,"",""),"""")"),"ES0031408323131005HX0F")</f>
        <v>ES0031408323131005HX0F</v>
      </c>
      <c r="B1066" s="17">
        <f>IFERROR(__xludf.DUMMYFUNCTION("""COMPUTED_VALUE"""),44910.0)</f>
        <v>44910</v>
      </c>
      <c r="C1066" s="13">
        <f>IFERROR(__xludf.DUMMYFUNCTION("""COMPUTED_VALUE"""),0.375)</f>
        <v>0.375</v>
      </c>
      <c r="D1066" s="8">
        <f>IFERROR(__xludf.DUMMYFUNCTION("""COMPUTED_VALUE"""),0.58)</f>
        <v>0.58</v>
      </c>
      <c r="E1066" s="8" t="str">
        <f>IFERROR(__xludf.DUMMYFUNCTION("""COMPUTED_VALUE"""),"Real")</f>
        <v>Real</v>
      </c>
      <c r="G1066" s="8">
        <f t="shared" si="1"/>
        <v>12</v>
      </c>
      <c r="H1066" s="14">
        <f t="shared" si="2"/>
        <v>15</v>
      </c>
      <c r="I1066" s="15">
        <f t="shared" si="3"/>
        <v>9</v>
      </c>
    </row>
    <row r="1067">
      <c r="A1067" s="8" t="str">
        <f>IFERROR(__xludf.DUMMYFUNCTION("IF('(INGESTA)Datos_consumo_datadis'!A1067&lt;&gt;"""",SPLIT('(INGESTA)Datos_consumo_datadis'!A:A,"",""),"""")"),"ES0031408323131005HX0F")</f>
        <v>ES0031408323131005HX0F</v>
      </c>
      <c r="B1067" s="17">
        <f>IFERROR(__xludf.DUMMYFUNCTION("""COMPUTED_VALUE"""),44910.0)</f>
        <v>44910</v>
      </c>
      <c r="C1067" s="13">
        <f>IFERROR(__xludf.DUMMYFUNCTION("""COMPUTED_VALUE"""),0.4166666666666667)</f>
        <v>0.4166666667</v>
      </c>
      <c r="D1067" s="8">
        <f>IFERROR(__xludf.DUMMYFUNCTION("""COMPUTED_VALUE"""),0.043)</f>
        <v>0.043</v>
      </c>
      <c r="E1067" s="8" t="str">
        <f>IFERROR(__xludf.DUMMYFUNCTION("""COMPUTED_VALUE"""),"Real")</f>
        <v>Real</v>
      </c>
      <c r="G1067" s="8">
        <f t="shared" si="1"/>
        <v>12</v>
      </c>
      <c r="H1067" s="14">
        <f t="shared" si="2"/>
        <v>15</v>
      </c>
      <c r="I1067" s="15">
        <f t="shared" si="3"/>
        <v>10</v>
      </c>
    </row>
    <row r="1068">
      <c r="A1068" s="8" t="str">
        <f>IFERROR(__xludf.DUMMYFUNCTION("IF('(INGESTA)Datos_consumo_datadis'!A1068&lt;&gt;"""",SPLIT('(INGESTA)Datos_consumo_datadis'!A:A,"",""),"""")"),"ES0031408323131005HX0F")</f>
        <v>ES0031408323131005HX0F</v>
      </c>
      <c r="B1068" s="17">
        <f>IFERROR(__xludf.DUMMYFUNCTION("""COMPUTED_VALUE"""),44910.0)</f>
        <v>44910</v>
      </c>
      <c r="C1068" s="13">
        <f>IFERROR(__xludf.DUMMYFUNCTION("""COMPUTED_VALUE"""),0.4583333333333333)</f>
        <v>0.4583333333</v>
      </c>
      <c r="D1068" s="8">
        <f>IFERROR(__xludf.DUMMYFUNCTION("""COMPUTED_VALUE"""),0.041)</f>
        <v>0.041</v>
      </c>
      <c r="E1068" s="8" t="str">
        <f>IFERROR(__xludf.DUMMYFUNCTION("""COMPUTED_VALUE"""),"Real")</f>
        <v>Real</v>
      </c>
      <c r="G1068" s="8">
        <f t="shared" si="1"/>
        <v>12</v>
      </c>
      <c r="H1068" s="14">
        <f t="shared" si="2"/>
        <v>15</v>
      </c>
      <c r="I1068" s="15">
        <f t="shared" si="3"/>
        <v>11</v>
      </c>
    </row>
    <row r="1069">
      <c r="A1069" s="8" t="str">
        <f>IFERROR(__xludf.DUMMYFUNCTION("IF('(INGESTA)Datos_consumo_datadis'!A1069&lt;&gt;"""",SPLIT('(INGESTA)Datos_consumo_datadis'!A:A,"",""),"""")"),"ES0031408323131005HX0F")</f>
        <v>ES0031408323131005HX0F</v>
      </c>
      <c r="B1069" s="17">
        <f>IFERROR(__xludf.DUMMYFUNCTION("""COMPUTED_VALUE"""),44910.0)</f>
        <v>44910</v>
      </c>
      <c r="C1069" s="13">
        <f>IFERROR(__xludf.DUMMYFUNCTION("""COMPUTED_VALUE"""),0.5)</f>
        <v>0.5</v>
      </c>
      <c r="D1069" s="8">
        <f>IFERROR(__xludf.DUMMYFUNCTION("""COMPUTED_VALUE"""),0.07)</f>
        <v>0.07</v>
      </c>
      <c r="E1069" s="8" t="str">
        <f>IFERROR(__xludf.DUMMYFUNCTION("""COMPUTED_VALUE"""),"Real")</f>
        <v>Real</v>
      </c>
      <c r="G1069" s="8">
        <f t="shared" si="1"/>
        <v>12</v>
      </c>
      <c r="H1069" s="14">
        <f t="shared" si="2"/>
        <v>15</v>
      </c>
      <c r="I1069" s="15">
        <f t="shared" si="3"/>
        <v>12</v>
      </c>
    </row>
    <row r="1070">
      <c r="A1070" s="8" t="str">
        <f>IFERROR(__xludf.DUMMYFUNCTION("IF('(INGESTA)Datos_consumo_datadis'!A1070&lt;&gt;"""",SPLIT('(INGESTA)Datos_consumo_datadis'!A:A,"",""),"""")"),"ES0031408323131005HX0F")</f>
        <v>ES0031408323131005HX0F</v>
      </c>
      <c r="B1070" s="17">
        <f>IFERROR(__xludf.DUMMYFUNCTION("""COMPUTED_VALUE"""),44910.0)</f>
        <v>44910</v>
      </c>
      <c r="C1070" s="13">
        <f>IFERROR(__xludf.DUMMYFUNCTION("""COMPUTED_VALUE"""),0.5416666666666666)</f>
        <v>0.5416666667</v>
      </c>
      <c r="D1070" s="8">
        <f>IFERROR(__xludf.DUMMYFUNCTION("""COMPUTED_VALUE"""),0.014)</f>
        <v>0.014</v>
      </c>
      <c r="E1070" s="8" t="str">
        <f>IFERROR(__xludf.DUMMYFUNCTION("""COMPUTED_VALUE"""),"Real")</f>
        <v>Real</v>
      </c>
      <c r="G1070" s="8">
        <f t="shared" si="1"/>
        <v>12</v>
      </c>
      <c r="H1070" s="14">
        <f t="shared" si="2"/>
        <v>15</v>
      </c>
      <c r="I1070" s="15">
        <f t="shared" si="3"/>
        <v>13</v>
      </c>
    </row>
    <row r="1071">
      <c r="A1071" s="8" t="str">
        <f>IFERROR(__xludf.DUMMYFUNCTION("IF('(INGESTA)Datos_consumo_datadis'!A1071&lt;&gt;"""",SPLIT('(INGESTA)Datos_consumo_datadis'!A:A,"",""),"""")"),"ES0031408323131005HX0F")</f>
        <v>ES0031408323131005HX0F</v>
      </c>
      <c r="B1071" s="17">
        <f>IFERROR(__xludf.DUMMYFUNCTION("""COMPUTED_VALUE"""),44910.0)</f>
        <v>44910</v>
      </c>
      <c r="C1071" s="13">
        <f>IFERROR(__xludf.DUMMYFUNCTION("""COMPUTED_VALUE"""),0.5833333333333334)</f>
        <v>0.5833333333</v>
      </c>
      <c r="D1071" s="8">
        <f>IFERROR(__xludf.DUMMYFUNCTION("""COMPUTED_VALUE"""),0.346)</f>
        <v>0.346</v>
      </c>
      <c r="E1071" s="8" t="str">
        <f>IFERROR(__xludf.DUMMYFUNCTION("""COMPUTED_VALUE"""),"Real")</f>
        <v>Real</v>
      </c>
      <c r="G1071" s="8">
        <f t="shared" si="1"/>
        <v>12</v>
      </c>
      <c r="H1071" s="14">
        <f t="shared" si="2"/>
        <v>15</v>
      </c>
      <c r="I1071" s="15">
        <f t="shared" si="3"/>
        <v>14</v>
      </c>
    </row>
    <row r="1072">
      <c r="A1072" s="8" t="str">
        <f>IFERROR(__xludf.DUMMYFUNCTION("IF('(INGESTA)Datos_consumo_datadis'!A1072&lt;&gt;"""",SPLIT('(INGESTA)Datos_consumo_datadis'!A:A,"",""),"""")"),"ES0031408323131005HX0F")</f>
        <v>ES0031408323131005HX0F</v>
      </c>
      <c r="B1072" s="17">
        <f>IFERROR(__xludf.DUMMYFUNCTION("""COMPUTED_VALUE"""),44910.0)</f>
        <v>44910</v>
      </c>
      <c r="C1072" s="13">
        <f>IFERROR(__xludf.DUMMYFUNCTION("""COMPUTED_VALUE"""),0.625)</f>
        <v>0.625</v>
      </c>
      <c r="D1072" s="8">
        <f>IFERROR(__xludf.DUMMYFUNCTION("""COMPUTED_VALUE"""),0.039)</f>
        <v>0.039</v>
      </c>
      <c r="E1072" s="8" t="str">
        <f>IFERROR(__xludf.DUMMYFUNCTION("""COMPUTED_VALUE"""),"Real")</f>
        <v>Real</v>
      </c>
      <c r="G1072" s="8">
        <f t="shared" si="1"/>
        <v>12</v>
      </c>
      <c r="H1072" s="14">
        <f t="shared" si="2"/>
        <v>15</v>
      </c>
      <c r="I1072" s="15">
        <f t="shared" si="3"/>
        <v>15</v>
      </c>
    </row>
    <row r="1073">
      <c r="A1073" s="8" t="str">
        <f>IFERROR(__xludf.DUMMYFUNCTION("IF('(INGESTA)Datos_consumo_datadis'!A1073&lt;&gt;"""",SPLIT('(INGESTA)Datos_consumo_datadis'!A:A,"",""),"""")"),"ES0031408323131005HX0F")</f>
        <v>ES0031408323131005HX0F</v>
      </c>
      <c r="B1073" s="17">
        <f>IFERROR(__xludf.DUMMYFUNCTION("""COMPUTED_VALUE"""),44910.0)</f>
        <v>44910</v>
      </c>
      <c r="C1073" s="13">
        <f>IFERROR(__xludf.DUMMYFUNCTION("""COMPUTED_VALUE"""),0.6666666666666666)</f>
        <v>0.6666666667</v>
      </c>
      <c r="D1073" s="8">
        <f>IFERROR(__xludf.DUMMYFUNCTION("""COMPUTED_VALUE"""),0.029)</f>
        <v>0.029</v>
      </c>
      <c r="E1073" s="8" t="str">
        <f>IFERROR(__xludf.DUMMYFUNCTION("""COMPUTED_VALUE"""),"Real")</f>
        <v>Real</v>
      </c>
      <c r="G1073" s="8">
        <f t="shared" si="1"/>
        <v>12</v>
      </c>
      <c r="H1073" s="14">
        <f t="shared" si="2"/>
        <v>15</v>
      </c>
      <c r="I1073" s="15">
        <f t="shared" si="3"/>
        <v>16</v>
      </c>
    </row>
    <row r="1074">
      <c r="A1074" s="8" t="str">
        <f>IFERROR(__xludf.DUMMYFUNCTION("IF('(INGESTA)Datos_consumo_datadis'!A1074&lt;&gt;"""",SPLIT('(INGESTA)Datos_consumo_datadis'!A:A,"",""),"""")"),"ES0031408323131005HX0F")</f>
        <v>ES0031408323131005HX0F</v>
      </c>
      <c r="B1074" s="17">
        <f>IFERROR(__xludf.DUMMYFUNCTION("""COMPUTED_VALUE"""),44910.0)</f>
        <v>44910</v>
      </c>
      <c r="C1074" s="13">
        <f>IFERROR(__xludf.DUMMYFUNCTION("""COMPUTED_VALUE"""),0.7083333333333334)</f>
        <v>0.7083333333</v>
      </c>
      <c r="D1074" s="8">
        <f>IFERROR(__xludf.DUMMYFUNCTION("""COMPUTED_VALUE"""),0.078)</f>
        <v>0.078</v>
      </c>
      <c r="E1074" s="8" t="str">
        <f>IFERROR(__xludf.DUMMYFUNCTION("""COMPUTED_VALUE"""),"Real")</f>
        <v>Real</v>
      </c>
      <c r="G1074" s="8">
        <f t="shared" si="1"/>
        <v>12</v>
      </c>
      <c r="H1074" s="14">
        <f t="shared" si="2"/>
        <v>15</v>
      </c>
      <c r="I1074" s="15">
        <f t="shared" si="3"/>
        <v>17</v>
      </c>
    </row>
    <row r="1075">
      <c r="A1075" s="8" t="str">
        <f>IFERROR(__xludf.DUMMYFUNCTION("IF('(INGESTA)Datos_consumo_datadis'!A1075&lt;&gt;"""",SPLIT('(INGESTA)Datos_consumo_datadis'!A:A,"",""),"""")"),"ES0031408323131005HX0F")</f>
        <v>ES0031408323131005HX0F</v>
      </c>
      <c r="B1075" s="17">
        <f>IFERROR(__xludf.DUMMYFUNCTION("""COMPUTED_VALUE"""),44910.0)</f>
        <v>44910</v>
      </c>
      <c r="C1075" s="13">
        <f>IFERROR(__xludf.DUMMYFUNCTION("""COMPUTED_VALUE"""),0.75)</f>
        <v>0.75</v>
      </c>
      <c r="D1075" s="8">
        <f>IFERROR(__xludf.DUMMYFUNCTION("""COMPUTED_VALUE"""),0.019)</f>
        <v>0.019</v>
      </c>
      <c r="E1075" s="8" t="str">
        <f>IFERROR(__xludf.DUMMYFUNCTION("""COMPUTED_VALUE"""),"Real")</f>
        <v>Real</v>
      </c>
      <c r="G1075" s="8">
        <f t="shared" si="1"/>
        <v>12</v>
      </c>
      <c r="H1075" s="14">
        <f t="shared" si="2"/>
        <v>15</v>
      </c>
      <c r="I1075" s="15">
        <f t="shared" si="3"/>
        <v>18</v>
      </c>
    </row>
    <row r="1076">
      <c r="A1076" s="8" t="str">
        <f>IFERROR(__xludf.DUMMYFUNCTION("IF('(INGESTA)Datos_consumo_datadis'!A1076&lt;&gt;"""",SPLIT('(INGESTA)Datos_consumo_datadis'!A:A,"",""),"""")"),"ES0031408323131005HX0F")</f>
        <v>ES0031408323131005HX0F</v>
      </c>
      <c r="B1076" s="17">
        <f>IFERROR(__xludf.DUMMYFUNCTION("""COMPUTED_VALUE"""),44910.0)</f>
        <v>44910</v>
      </c>
      <c r="C1076" s="13">
        <f>IFERROR(__xludf.DUMMYFUNCTION("""COMPUTED_VALUE"""),0.7916666666666666)</f>
        <v>0.7916666667</v>
      </c>
      <c r="D1076" s="8">
        <f>IFERROR(__xludf.DUMMYFUNCTION("""COMPUTED_VALUE"""),0.065)</f>
        <v>0.065</v>
      </c>
      <c r="E1076" s="8" t="str">
        <f>IFERROR(__xludf.DUMMYFUNCTION("""COMPUTED_VALUE"""),"Real")</f>
        <v>Real</v>
      </c>
      <c r="G1076" s="8">
        <f t="shared" si="1"/>
        <v>12</v>
      </c>
      <c r="H1076" s="14">
        <f t="shared" si="2"/>
        <v>15</v>
      </c>
      <c r="I1076" s="15">
        <f t="shared" si="3"/>
        <v>19</v>
      </c>
    </row>
    <row r="1077">
      <c r="A1077" s="8" t="str">
        <f>IFERROR(__xludf.DUMMYFUNCTION("IF('(INGESTA)Datos_consumo_datadis'!A1077&lt;&gt;"""",SPLIT('(INGESTA)Datos_consumo_datadis'!A:A,"",""),"""")"),"ES0031408323131005HX0F")</f>
        <v>ES0031408323131005HX0F</v>
      </c>
      <c r="B1077" s="17">
        <f>IFERROR(__xludf.DUMMYFUNCTION("""COMPUTED_VALUE"""),44910.0)</f>
        <v>44910</v>
      </c>
      <c r="C1077" s="13">
        <f>IFERROR(__xludf.DUMMYFUNCTION("""COMPUTED_VALUE"""),0.8333333333333334)</f>
        <v>0.8333333333</v>
      </c>
      <c r="D1077" s="8">
        <f>IFERROR(__xludf.DUMMYFUNCTION("""COMPUTED_VALUE"""),0.427)</f>
        <v>0.427</v>
      </c>
      <c r="E1077" s="8" t="str">
        <f>IFERROR(__xludf.DUMMYFUNCTION("""COMPUTED_VALUE"""),"Real")</f>
        <v>Real</v>
      </c>
      <c r="G1077" s="8">
        <f t="shared" si="1"/>
        <v>12</v>
      </c>
      <c r="H1077" s="14">
        <f t="shared" si="2"/>
        <v>15</v>
      </c>
      <c r="I1077" s="15">
        <f t="shared" si="3"/>
        <v>20</v>
      </c>
    </row>
    <row r="1078">
      <c r="A1078" s="8" t="str">
        <f>IFERROR(__xludf.DUMMYFUNCTION("IF('(INGESTA)Datos_consumo_datadis'!A1078&lt;&gt;"""",SPLIT('(INGESTA)Datos_consumo_datadis'!A:A,"",""),"""")"),"ES0031408323131005HX0F")</f>
        <v>ES0031408323131005HX0F</v>
      </c>
      <c r="B1078" s="17">
        <f>IFERROR(__xludf.DUMMYFUNCTION("""COMPUTED_VALUE"""),44910.0)</f>
        <v>44910</v>
      </c>
      <c r="C1078" s="13">
        <f>IFERROR(__xludf.DUMMYFUNCTION("""COMPUTED_VALUE"""),0.875)</f>
        <v>0.875</v>
      </c>
      <c r="D1078" s="8">
        <f>IFERROR(__xludf.DUMMYFUNCTION("""COMPUTED_VALUE"""),3.288)</f>
        <v>3.288</v>
      </c>
      <c r="E1078" s="8" t="str">
        <f>IFERROR(__xludf.DUMMYFUNCTION("""COMPUTED_VALUE"""),"Real")</f>
        <v>Real</v>
      </c>
      <c r="G1078" s="8">
        <f t="shared" si="1"/>
        <v>12</v>
      </c>
      <c r="H1078" s="14">
        <f t="shared" si="2"/>
        <v>15</v>
      </c>
      <c r="I1078" s="15">
        <f t="shared" si="3"/>
        <v>21</v>
      </c>
    </row>
    <row r="1079">
      <c r="A1079" s="8" t="str">
        <f>IFERROR(__xludf.DUMMYFUNCTION("IF('(INGESTA)Datos_consumo_datadis'!A1079&lt;&gt;"""",SPLIT('(INGESTA)Datos_consumo_datadis'!A:A,"",""),"""")"),"ES0031408323131005HX0F")</f>
        <v>ES0031408323131005HX0F</v>
      </c>
      <c r="B1079" s="17">
        <f>IFERROR(__xludf.DUMMYFUNCTION("""COMPUTED_VALUE"""),44910.0)</f>
        <v>44910</v>
      </c>
      <c r="C1079" s="13">
        <f>IFERROR(__xludf.DUMMYFUNCTION("""COMPUTED_VALUE"""),0.9166666666666666)</f>
        <v>0.9166666667</v>
      </c>
      <c r="D1079" s="8">
        <f>IFERROR(__xludf.DUMMYFUNCTION("""COMPUTED_VALUE"""),2.988)</f>
        <v>2.988</v>
      </c>
      <c r="E1079" s="8" t="str">
        <f>IFERROR(__xludf.DUMMYFUNCTION("""COMPUTED_VALUE"""),"Real")</f>
        <v>Real</v>
      </c>
      <c r="G1079" s="8">
        <f t="shared" si="1"/>
        <v>12</v>
      </c>
      <c r="H1079" s="14">
        <f t="shared" si="2"/>
        <v>15</v>
      </c>
      <c r="I1079" s="15">
        <f t="shared" si="3"/>
        <v>22</v>
      </c>
    </row>
    <row r="1080">
      <c r="A1080" s="8" t="str">
        <f>IFERROR(__xludf.DUMMYFUNCTION("IF('(INGESTA)Datos_consumo_datadis'!A1080&lt;&gt;"""",SPLIT('(INGESTA)Datos_consumo_datadis'!A:A,"",""),"""")"),"ES0031408323131005HX0F")</f>
        <v>ES0031408323131005HX0F</v>
      </c>
      <c r="B1080" s="17">
        <f>IFERROR(__xludf.DUMMYFUNCTION("""COMPUTED_VALUE"""),44910.0)</f>
        <v>44910</v>
      </c>
      <c r="C1080" s="13">
        <f>IFERROR(__xludf.DUMMYFUNCTION("""COMPUTED_VALUE"""),0.9583333333333334)</f>
        <v>0.9583333333</v>
      </c>
      <c r="D1080" s="8">
        <f>IFERROR(__xludf.DUMMYFUNCTION("""COMPUTED_VALUE"""),1.477)</f>
        <v>1.477</v>
      </c>
      <c r="E1080" s="8" t="str">
        <f>IFERROR(__xludf.DUMMYFUNCTION("""COMPUTED_VALUE"""),"Real")</f>
        <v>Real</v>
      </c>
      <c r="G1080" s="8">
        <f t="shared" si="1"/>
        <v>12</v>
      </c>
      <c r="H1080" s="14">
        <f t="shared" si="2"/>
        <v>15</v>
      </c>
      <c r="I1080" s="15">
        <f t="shared" si="3"/>
        <v>23</v>
      </c>
    </row>
    <row r="1081">
      <c r="A1081" s="8" t="str">
        <f>IFERROR(__xludf.DUMMYFUNCTION("IF('(INGESTA)Datos_consumo_datadis'!A1081&lt;&gt;"""",SPLIT('(INGESTA)Datos_consumo_datadis'!A:A,"",""),"""")"),"ES0031408323131005HX0F")</f>
        <v>ES0031408323131005HX0F</v>
      </c>
      <c r="B1081" s="17">
        <f>IFERROR(__xludf.DUMMYFUNCTION("""COMPUTED_VALUE"""),44910.0)</f>
        <v>44910</v>
      </c>
      <c r="C1081" s="16">
        <f>IFERROR(__xludf.DUMMYFUNCTION("""COMPUTED_VALUE"""),1.0)</f>
        <v>1</v>
      </c>
      <c r="D1081" s="8">
        <f>IFERROR(__xludf.DUMMYFUNCTION("""COMPUTED_VALUE"""),0.871)</f>
        <v>0.871</v>
      </c>
      <c r="E1081" s="8" t="str">
        <f>IFERROR(__xludf.DUMMYFUNCTION("""COMPUTED_VALUE"""),"Real")</f>
        <v>Real</v>
      </c>
      <c r="G1081" s="8">
        <f t="shared" si="1"/>
        <v>12</v>
      </c>
      <c r="H1081" s="14">
        <f t="shared" si="2"/>
        <v>15</v>
      </c>
      <c r="I1081" s="15">
        <f t="shared" si="3"/>
        <v>0</v>
      </c>
    </row>
    <row r="1082">
      <c r="A1082" s="8" t="str">
        <f>IFERROR(__xludf.DUMMYFUNCTION("IF('(INGESTA)Datos_consumo_datadis'!A1082&lt;&gt;"""",SPLIT('(INGESTA)Datos_consumo_datadis'!A:A,"",""),"""")"),"ES0031408323131005HX0F")</f>
        <v>ES0031408323131005HX0F</v>
      </c>
      <c r="B1082" s="17">
        <f>IFERROR(__xludf.DUMMYFUNCTION("""COMPUTED_VALUE"""),44911.0)</f>
        <v>44911</v>
      </c>
      <c r="C1082" s="13">
        <f>IFERROR(__xludf.DUMMYFUNCTION("""COMPUTED_VALUE"""),0.041666666666666664)</f>
        <v>0.04166666667</v>
      </c>
      <c r="D1082" s="8">
        <f>IFERROR(__xludf.DUMMYFUNCTION("""COMPUTED_VALUE"""),0.772)</f>
        <v>0.772</v>
      </c>
      <c r="E1082" s="8" t="str">
        <f>IFERROR(__xludf.DUMMYFUNCTION("""COMPUTED_VALUE"""),"Real")</f>
        <v>Real</v>
      </c>
      <c r="G1082" s="8">
        <f t="shared" si="1"/>
        <v>12</v>
      </c>
      <c r="H1082" s="14">
        <f t="shared" si="2"/>
        <v>16</v>
      </c>
      <c r="I1082" s="15">
        <f t="shared" si="3"/>
        <v>1</v>
      </c>
    </row>
    <row r="1083">
      <c r="A1083" s="8" t="str">
        <f>IFERROR(__xludf.DUMMYFUNCTION("IF('(INGESTA)Datos_consumo_datadis'!A1083&lt;&gt;"""",SPLIT('(INGESTA)Datos_consumo_datadis'!A:A,"",""),"""")"),"ES0031408323131005HX0F")</f>
        <v>ES0031408323131005HX0F</v>
      </c>
      <c r="B1083" s="17">
        <f>IFERROR(__xludf.DUMMYFUNCTION("""COMPUTED_VALUE"""),44911.0)</f>
        <v>44911</v>
      </c>
      <c r="C1083" s="13">
        <f>IFERROR(__xludf.DUMMYFUNCTION("""COMPUTED_VALUE"""),0.08333333333333333)</f>
        <v>0.08333333333</v>
      </c>
      <c r="D1083" s="8">
        <f>IFERROR(__xludf.DUMMYFUNCTION("""COMPUTED_VALUE"""),0.794)</f>
        <v>0.794</v>
      </c>
      <c r="E1083" s="8" t="str">
        <f>IFERROR(__xludf.DUMMYFUNCTION("""COMPUTED_VALUE"""),"Real")</f>
        <v>Real</v>
      </c>
      <c r="G1083" s="8">
        <f t="shared" si="1"/>
        <v>12</v>
      </c>
      <c r="H1083" s="14">
        <f t="shared" si="2"/>
        <v>16</v>
      </c>
      <c r="I1083" s="15">
        <f t="shared" si="3"/>
        <v>2</v>
      </c>
    </row>
    <row r="1084">
      <c r="A1084" s="8" t="str">
        <f>IFERROR(__xludf.DUMMYFUNCTION("IF('(INGESTA)Datos_consumo_datadis'!A1084&lt;&gt;"""",SPLIT('(INGESTA)Datos_consumo_datadis'!A:A,"",""),"""")"),"ES0031408323131005HX0F")</f>
        <v>ES0031408323131005HX0F</v>
      </c>
      <c r="B1084" s="17">
        <f>IFERROR(__xludf.DUMMYFUNCTION("""COMPUTED_VALUE"""),44911.0)</f>
        <v>44911</v>
      </c>
      <c r="C1084" s="13">
        <f>IFERROR(__xludf.DUMMYFUNCTION("""COMPUTED_VALUE"""),0.125)</f>
        <v>0.125</v>
      </c>
      <c r="D1084" s="8">
        <f>IFERROR(__xludf.DUMMYFUNCTION("""COMPUTED_VALUE"""),0.793)</f>
        <v>0.793</v>
      </c>
      <c r="E1084" s="8" t="str">
        <f>IFERROR(__xludf.DUMMYFUNCTION("""COMPUTED_VALUE"""),"Real")</f>
        <v>Real</v>
      </c>
      <c r="G1084" s="8">
        <f t="shared" si="1"/>
        <v>12</v>
      </c>
      <c r="H1084" s="14">
        <f t="shared" si="2"/>
        <v>16</v>
      </c>
      <c r="I1084" s="15">
        <f t="shared" si="3"/>
        <v>3</v>
      </c>
    </row>
    <row r="1085">
      <c r="A1085" s="8" t="str">
        <f>IFERROR(__xludf.DUMMYFUNCTION("IF('(INGESTA)Datos_consumo_datadis'!A1085&lt;&gt;"""",SPLIT('(INGESTA)Datos_consumo_datadis'!A:A,"",""),"""")"),"ES0031408323131005HX0F")</f>
        <v>ES0031408323131005HX0F</v>
      </c>
      <c r="B1085" s="17">
        <f>IFERROR(__xludf.DUMMYFUNCTION("""COMPUTED_VALUE"""),44911.0)</f>
        <v>44911</v>
      </c>
      <c r="C1085" s="13">
        <f>IFERROR(__xludf.DUMMYFUNCTION("""COMPUTED_VALUE"""),0.16666666666666666)</f>
        <v>0.1666666667</v>
      </c>
      <c r="D1085" s="8">
        <f>IFERROR(__xludf.DUMMYFUNCTION("""COMPUTED_VALUE"""),1.003)</f>
        <v>1.003</v>
      </c>
      <c r="E1085" s="8" t="str">
        <f>IFERROR(__xludf.DUMMYFUNCTION("""COMPUTED_VALUE"""),"Real")</f>
        <v>Real</v>
      </c>
      <c r="G1085" s="8">
        <f t="shared" si="1"/>
        <v>12</v>
      </c>
      <c r="H1085" s="14">
        <f t="shared" si="2"/>
        <v>16</v>
      </c>
      <c r="I1085" s="15">
        <f t="shared" si="3"/>
        <v>4</v>
      </c>
    </row>
    <row r="1086">
      <c r="A1086" s="8" t="str">
        <f>IFERROR(__xludf.DUMMYFUNCTION("IF('(INGESTA)Datos_consumo_datadis'!A1086&lt;&gt;"""",SPLIT('(INGESTA)Datos_consumo_datadis'!A:A,"",""),"""")"),"ES0031408323131005HX0F")</f>
        <v>ES0031408323131005HX0F</v>
      </c>
      <c r="B1086" s="17">
        <f>IFERROR(__xludf.DUMMYFUNCTION("""COMPUTED_VALUE"""),44911.0)</f>
        <v>44911</v>
      </c>
      <c r="C1086" s="13">
        <f>IFERROR(__xludf.DUMMYFUNCTION("""COMPUTED_VALUE"""),0.20833333333333334)</f>
        <v>0.2083333333</v>
      </c>
      <c r="D1086" s="8">
        <f>IFERROR(__xludf.DUMMYFUNCTION("""COMPUTED_VALUE"""),0.799)</f>
        <v>0.799</v>
      </c>
      <c r="E1086" s="8" t="str">
        <f>IFERROR(__xludf.DUMMYFUNCTION("""COMPUTED_VALUE"""),"Real")</f>
        <v>Real</v>
      </c>
      <c r="G1086" s="8">
        <f t="shared" si="1"/>
        <v>12</v>
      </c>
      <c r="H1086" s="14">
        <f t="shared" si="2"/>
        <v>16</v>
      </c>
      <c r="I1086" s="15">
        <f t="shared" si="3"/>
        <v>5</v>
      </c>
    </row>
    <row r="1087">
      <c r="A1087" s="8" t="str">
        <f>IFERROR(__xludf.DUMMYFUNCTION("IF('(INGESTA)Datos_consumo_datadis'!A1087&lt;&gt;"""",SPLIT('(INGESTA)Datos_consumo_datadis'!A:A,"",""),"""")"),"ES0031408323131005HX0F")</f>
        <v>ES0031408323131005HX0F</v>
      </c>
      <c r="B1087" s="17">
        <f>IFERROR(__xludf.DUMMYFUNCTION("""COMPUTED_VALUE"""),44911.0)</f>
        <v>44911</v>
      </c>
      <c r="C1087" s="13">
        <f>IFERROR(__xludf.DUMMYFUNCTION("""COMPUTED_VALUE"""),0.25)</f>
        <v>0.25</v>
      </c>
      <c r="D1087" s="8">
        <f>IFERROR(__xludf.DUMMYFUNCTION("""COMPUTED_VALUE"""),0.75)</f>
        <v>0.75</v>
      </c>
      <c r="E1087" s="8" t="str">
        <f>IFERROR(__xludf.DUMMYFUNCTION("""COMPUTED_VALUE"""),"Real")</f>
        <v>Real</v>
      </c>
      <c r="G1087" s="8">
        <f t="shared" si="1"/>
        <v>12</v>
      </c>
      <c r="H1087" s="14">
        <f t="shared" si="2"/>
        <v>16</v>
      </c>
      <c r="I1087" s="15">
        <f t="shared" si="3"/>
        <v>6</v>
      </c>
    </row>
    <row r="1088">
      <c r="A1088" s="8" t="str">
        <f>IFERROR(__xludf.DUMMYFUNCTION("IF('(INGESTA)Datos_consumo_datadis'!A1088&lt;&gt;"""",SPLIT('(INGESTA)Datos_consumo_datadis'!A:A,"",""),"""")"),"ES0031408323131005HX0F")</f>
        <v>ES0031408323131005HX0F</v>
      </c>
      <c r="B1088" s="17">
        <f>IFERROR(__xludf.DUMMYFUNCTION("""COMPUTED_VALUE"""),44911.0)</f>
        <v>44911</v>
      </c>
      <c r="C1088" s="13">
        <f>IFERROR(__xludf.DUMMYFUNCTION("""COMPUTED_VALUE"""),0.2916666666666667)</f>
        <v>0.2916666667</v>
      </c>
      <c r="D1088" s="8">
        <f>IFERROR(__xludf.DUMMYFUNCTION("""COMPUTED_VALUE"""),0.973)</f>
        <v>0.973</v>
      </c>
      <c r="E1088" s="8" t="str">
        <f>IFERROR(__xludf.DUMMYFUNCTION("""COMPUTED_VALUE"""),"Real")</f>
        <v>Real</v>
      </c>
      <c r="G1088" s="8">
        <f t="shared" si="1"/>
        <v>12</v>
      </c>
      <c r="H1088" s="14">
        <f t="shared" si="2"/>
        <v>16</v>
      </c>
      <c r="I1088" s="15">
        <f t="shared" si="3"/>
        <v>7</v>
      </c>
    </row>
    <row r="1089">
      <c r="A1089" s="8" t="str">
        <f>IFERROR(__xludf.DUMMYFUNCTION("IF('(INGESTA)Datos_consumo_datadis'!A1089&lt;&gt;"""",SPLIT('(INGESTA)Datos_consumo_datadis'!A:A,"",""),"""")"),"ES0031408323131005HX0F")</f>
        <v>ES0031408323131005HX0F</v>
      </c>
      <c r="B1089" s="17">
        <f>IFERROR(__xludf.DUMMYFUNCTION("""COMPUTED_VALUE"""),44911.0)</f>
        <v>44911</v>
      </c>
      <c r="C1089" s="13">
        <f>IFERROR(__xludf.DUMMYFUNCTION("""COMPUTED_VALUE"""),0.3333333333333333)</f>
        <v>0.3333333333</v>
      </c>
      <c r="D1089" s="8">
        <f>IFERROR(__xludf.DUMMYFUNCTION("""COMPUTED_VALUE"""),0.791)</f>
        <v>0.791</v>
      </c>
      <c r="E1089" s="8" t="str">
        <f>IFERROR(__xludf.DUMMYFUNCTION("""COMPUTED_VALUE"""),"Real")</f>
        <v>Real</v>
      </c>
      <c r="G1089" s="8">
        <f t="shared" si="1"/>
        <v>12</v>
      </c>
      <c r="H1089" s="14">
        <f t="shared" si="2"/>
        <v>16</v>
      </c>
      <c r="I1089" s="15">
        <f t="shared" si="3"/>
        <v>8</v>
      </c>
    </row>
    <row r="1090">
      <c r="A1090" s="8" t="str">
        <f>IFERROR(__xludf.DUMMYFUNCTION("IF('(INGESTA)Datos_consumo_datadis'!A1090&lt;&gt;"""",SPLIT('(INGESTA)Datos_consumo_datadis'!A:A,"",""),"""")"),"ES0031408323131005HX0F")</f>
        <v>ES0031408323131005HX0F</v>
      </c>
      <c r="B1090" s="17">
        <f>IFERROR(__xludf.DUMMYFUNCTION("""COMPUTED_VALUE"""),44911.0)</f>
        <v>44911</v>
      </c>
      <c r="C1090" s="13">
        <f>IFERROR(__xludf.DUMMYFUNCTION("""COMPUTED_VALUE"""),0.375)</f>
        <v>0.375</v>
      </c>
      <c r="D1090" s="8">
        <f>IFERROR(__xludf.DUMMYFUNCTION("""COMPUTED_VALUE"""),0.045)</f>
        <v>0.045</v>
      </c>
      <c r="E1090" s="8" t="str">
        <f>IFERROR(__xludf.DUMMYFUNCTION("""COMPUTED_VALUE"""),"Real")</f>
        <v>Real</v>
      </c>
      <c r="G1090" s="8">
        <f t="shared" si="1"/>
        <v>12</v>
      </c>
      <c r="H1090" s="14">
        <f t="shared" si="2"/>
        <v>16</v>
      </c>
      <c r="I1090" s="15">
        <f t="shared" si="3"/>
        <v>9</v>
      </c>
    </row>
    <row r="1091">
      <c r="A1091" s="8" t="str">
        <f>IFERROR(__xludf.DUMMYFUNCTION("IF('(INGESTA)Datos_consumo_datadis'!A1091&lt;&gt;"""",SPLIT('(INGESTA)Datos_consumo_datadis'!A:A,"",""),"""")"),"ES0031408323131005HX0F")</f>
        <v>ES0031408323131005HX0F</v>
      </c>
      <c r="B1091" s="17">
        <f>IFERROR(__xludf.DUMMYFUNCTION("""COMPUTED_VALUE"""),44911.0)</f>
        <v>44911</v>
      </c>
      <c r="C1091" s="13">
        <f>IFERROR(__xludf.DUMMYFUNCTION("""COMPUTED_VALUE"""),0.4166666666666667)</f>
        <v>0.4166666667</v>
      </c>
      <c r="D1091" s="8">
        <f>IFERROR(__xludf.DUMMYFUNCTION("""COMPUTED_VALUE"""),0.067)</f>
        <v>0.067</v>
      </c>
      <c r="E1091" s="8" t="str">
        <f>IFERROR(__xludf.DUMMYFUNCTION("""COMPUTED_VALUE"""),"Real")</f>
        <v>Real</v>
      </c>
      <c r="G1091" s="8">
        <f t="shared" si="1"/>
        <v>12</v>
      </c>
      <c r="H1091" s="14">
        <f t="shared" si="2"/>
        <v>16</v>
      </c>
      <c r="I1091" s="15">
        <f t="shared" si="3"/>
        <v>10</v>
      </c>
    </row>
    <row r="1092">
      <c r="A1092" s="8" t="str">
        <f>IFERROR(__xludf.DUMMYFUNCTION("IF('(INGESTA)Datos_consumo_datadis'!A1092&lt;&gt;"""",SPLIT('(INGESTA)Datos_consumo_datadis'!A:A,"",""),"""")"),"ES0031408323131005HX0F")</f>
        <v>ES0031408323131005HX0F</v>
      </c>
      <c r="B1092" s="17">
        <f>IFERROR(__xludf.DUMMYFUNCTION("""COMPUTED_VALUE"""),44911.0)</f>
        <v>44911</v>
      </c>
      <c r="C1092" s="13">
        <f>IFERROR(__xludf.DUMMYFUNCTION("""COMPUTED_VALUE"""),0.4583333333333333)</f>
        <v>0.4583333333</v>
      </c>
      <c r="D1092" s="8">
        <f>IFERROR(__xludf.DUMMYFUNCTION("""COMPUTED_VALUE"""),0.015)</f>
        <v>0.015</v>
      </c>
      <c r="E1092" s="8" t="str">
        <f>IFERROR(__xludf.DUMMYFUNCTION("""COMPUTED_VALUE"""),"Real")</f>
        <v>Real</v>
      </c>
      <c r="G1092" s="8">
        <f t="shared" si="1"/>
        <v>12</v>
      </c>
      <c r="H1092" s="14">
        <f t="shared" si="2"/>
        <v>16</v>
      </c>
      <c r="I1092" s="15">
        <f t="shared" si="3"/>
        <v>11</v>
      </c>
    </row>
    <row r="1093">
      <c r="A1093" s="8" t="str">
        <f>IFERROR(__xludf.DUMMYFUNCTION("IF('(INGESTA)Datos_consumo_datadis'!A1093&lt;&gt;"""",SPLIT('(INGESTA)Datos_consumo_datadis'!A:A,"",""),"""")"),"ES0031408323131005HX0F")</f>
        <v>ES0031408323131005HX0F</v>
      </c>
      <c r="B1093" s="17">
        <f>IFERROR(__xludf.DUMMYFUNCTION("""COMPUTED_VALUE"""),44911.0)</f>
        <v>44911</v>
      </c>
      <c r="C1093" s="13">
        <f>IFERROR(__xludf.DUMMYFUNCTION("""COMPUTED_VALUE"""),0.5)</f>
        <v>0.5</v>
      </c>
      <c r="D1093" s="8">
        <f>IFERROR(__xludf.DUMMYFUNCTION("""COMPUTED_VALUE"""),0.079)</f>
        <v>0.079</v>
      </c>
      <c r="E1093" s="8" t="str">
        <f>IFERROR(__xludf.DUMMYFUNCTION("""COMPUTED_VALUE"""),"Real")</f>
        <v>Real</v>
      </c>
      <c r="G1093" s="8">
        <f t="shared" si="1"/>
        <v>12</v>
      </c>
      <c r="H1093" s="14">
        <f t="shared" si="2"/>
        <v>16</v>
      </c>
      <c r="I1093" s="15">
        <f t="shared" si="3"/>
        <v>12</v>
      </c>
    </row>
    <row r="1094">
      <c r="A1094" s="8" t="str">
        <f>IFERROR(__xludf.DUMMYFUNCTION("IF('(INGESTA)Datos_consumo_datadis'!A1094&lt;&gt;"""",SPLIT('(INGESTA)Datos_consumo_datadis'!A:A,"",""),"""")"),"ES0031408323131005HX0F")</f>
        <v>ES0031408323131005HX0F</v>
      </c>
      <c r="B1094" s="17">
        <f>IFERROR(__xludf.DUMMYFUNCTION("""COMPUTED_VALUE"""),44911.0)</f>
        <v>44911</v>
      </c>
      <c r="C1094" s="13">
        <f>IFERROR(__xludf.DUMMYFUNCTION("""COMPUTED_VALUE"""),0.5416666666666666)</f>
        <v>0.5416666667</v>
      </c>
      <c r="D1094" s="8">
        <f>IFERROR(__xludf.DUMMYFUNCTION("""COMPUTED_VALUE"""),0.029)</f>
        <v>0.029</v>
      </c>
      <c r="E1094" s="8" t="str">
        <f>IFERROR(__xludf.DUMMYFUNCTION("""COMPUTED_VALUE"""),"Real")</f>
        <v>Real</v>
      </c>
      <c r="G1094" s="8">
        <f t="shared" si="1"/>
        <v>12</v>
      </c>
      <c r="H1094" s="14">
        <f t="shared" si="2"/>
        <v>16</v>
      </c>
      <c r="I1094" s="15">
        <f t="shared" si="3"/>
        <v>13</v>
      </c>
    </row>
    <row r="1095">
      <c r="A1095" s="8" t="str">
        <f>IFERROR(__xludf.DUMMYFUNCTION("IF('(INGESTA)Datos_consumo_datadis'!A1095&lt;&gt;"""",SPLIT('(INGESTA)Datos_consumo_datadis'!A:A,"",""),"""")"),"ES0031408323131005HX0F")</f>
        <v>ES0031408323131005HX0F</v>
      </c>
      <c r="B1095" s="17">
        <f>IFERROR(__xludf.DUMMYFUNCTION("""COMPUTED_VALUE"""),44911.0)</f>
        <v>44911</v>
      </c>
      <c r="C1095" s="13">
        <f>IFERROR(__xludf.DUMMYFUNCTION("""COMPUTED_VALUE"""),0.5833333333333334)</f>
        <v>0.5833333333</v>
      </c>
      <c r="D1095" s="8">
        <f>IFERROR(__xludf.DUMMYFUNCTION("""COMPUTED_VALUE"""),0.349)</f>
        <v>0.349</v>
      </c>
      <c r="E1095" s="8" t="str">
        <f>IFERROR(__xludf.DUMMYFUNCTION("""COMPUTED_VALUE"""),"Real")</f>
        <v>Real</v>
      </c>
      <c r="G1095" s="8">
        <f t="shared" si="1"/>
        <v>12</v>
      </c>
      <c r="H1095" s="14">
        <f t="shared" si="2"/>
        <v>16</v>
      </c>
      <c r="I1095" s="15">
        <f t="shared" si="3"/>
        <v>14</v>
      </c>
    </row>
    <row r="1096">
      <c r="A1096" s="8" t="str">
        <f>IFERROR(__xludf.DUMMYFUNCTION("IF('(INGESTA)Datos_consumo_datadis'!A1096&lt;&gt;"""",SPLIT('(INGESTA)Datos_consumo_datadis'!A:A,"",""),"""")"),"ES0031408323131005HX0F")</f>
        <v>ES0031408323131005HX0F</v>
      </c>
      <c r="B1096" s="17">
        <f>IFERROR(__xludf.DUMMYFUNCTION("""COMPUTED_VALUE"""),44911.0)</f>
        <v>44911</v>
      </c>
      <c r="C1096" s="13">
        <f>IFERROR(__xludf.DUMMYFUNCTION("""COMPUTED_VALUE"""),0.625)</f>
        <v>0.625</v>
      </c>
      <c r="D1096" s="8">
        <f>IFERROR(__xludf.DUMMYFUNCTION("""COMPUTED_VALUE"""),0.043)</f>
        <v>0.043</v>
      </c>
      <c r="E1096" s="8" t="str">
        <f>IFERROR(__xludf.DUMMYFUNCTION("""COMPUTED_VALUE"""),"Real")</f>
        <v>Real</v>
      </c>
      <c r="G1096" s="8">
        <f t="shared" si="1"/>
        <v>12</v>
      </c>
      <c r="H1096" s="14">
        <f t="shared" si="2"/>
        <v>16</v>
      </c>
      <c r="I1096" s="15">
        <f t="shared" si="3"/>
        <v>15</v>
      </c>
    </row>
    <row r="1097">
      <c r="A1097" s="8" t="str">
        <f>IFERROR(__xludf.DUMMYFUNCTION("IF('(INGESTA)Datos_consumo_datadis'!A1097&lt;&gt;"""",SPLIT('(INGESTA)Datos_consumo_datadis'!A:A,"",""),"""")"),"ES0031408323131005HX0F")</f>
        <v>ES0031408323131005HX0F</v>
      </c>
      <c r="B1097" s="17">
        <f>IFERROR(__xludf.DUMMYFUNCTION("""COMPUTED_VALUE"""),44911.0)</f>
        <v>44911</v>
      </c>
      <c r="C1097" s="13">
        <f>IFERROR(__xludf.DUMMYFUNCTION("""COMPUTED_VALUE"""),0.6666666666666666)</f>
        <v>0.6666666667</v>
      </c>
      <c r="D1097" s="8">
        <f>IFERROR(__xludf.DUMMYFUNCTION("""COMPUTED_VALUE"""),0.037)</f>
        <v>0.037</v>
      </c>
      <c r="E1097" s="8" t="str">
        <f>IFERROR(__xludf.DUMMYFUNCTION("""COMPUTED_VALUE"""),"Real")</f>
        <v>Real</v>
      </c>
      <c r="G1097" s="8">
        <f t="shared" si="1"/>
        <v>12</v>
      </c>
      <c r="H1097" s="14">
        <f t="shared" si="2"/>
        <v>16</v>
      </c>
      <c r="I1097" s="15">
        <f t="shared" si="3"/>
        <v>16</v>
      </c>
    </row>
    <row r="1098">
      <c r="A1098" s="8" t="str">
        <f>IFERROR(__xludf.DUMMYFUNCTION("IF('(INGESTA)Datos_consumo_datadis'!A1098&lt;&gt;"""",SPLIT('(INGESTA)Datos_consumo_datadis'!A:A,"",""),"""")"),"ES0031408323131005HX0F")</f>
        <v>ES0031408323131005HX0F</v>
      </c>
      <c r="B1098" s="17">
        <f>IFERROR(__xludf.DUMMYFUNCTION("""COMPUTED_VALUE"""),44911.0)</f>
        <v>44911</v>
      </c>
      <c r="C1098" s="13">
        <f>IFERROR(__xludf.DUMMYFUNCTION("""COMPUTED_VALUE"""),0.7083333333333334)</f>
        <v>0.7083333333</v>
      </c>
      <c r="D1098" s="8">
        <f>IFERROR(__xludf.DUMMYFUNCTION("""COMPUTED_VALUE"""),0.075)</f>
        <v>0.075</v>
      </c>
      <c r="E1098" s="8" t="str">
        <f>IFERROR(__xludf.DUMMYFUNCTION("""COMPUTED_VALUE"""),"Real")</f>
        <v>Real</v>
      </c>
      <c r="G1098" s="8">
        <f t="shared" si="1"/>
        <v>12</v>
      </c>
      <c r="H1098" s="14">
        <f t="shared" si="2"/>
        <v>16</v>
      </c>
      <c r="I1098" s="15">
        <f t="shared" si="3"/>
        <v>17</v>
      </c>
    </row>
    <row r="1099">
      <c r="A1099" s="8" t="str">
        <f>IFERROR(__xludf.DUMMYFUNCTION("IF('(INGESTA)Datos_consumo_datadis'!A1099&lt;&gt;"""",SPLIT('(INGESTA)Datos_consumo_datadis'!A:A,"",""),"""")"),"ES0031408323131005HX0F")</f>
        <v>ES0031408323131005HX0F</v>
      </c>
      <c r="B1099" s="17">
        <f>IFERROR(__xludf.DUMMYFUNCTION("""COMPUTED_VALUE"""),44911.0)</f>
        <v>44911</v>
      </c>
      <c r="C1099" s="13">
        <f>IFERROR(__xludf.DUMMYFUNCTION("""COMPUTED_VALUE"""),0.75)</f>
        <v>0.75</v>
      </c>
      <c r="D1099" s="8">
        <f>IFERROR(__xludf.DUMMYFUNCTION("""COMPUTED_VALUE"""),0.015)</f>
        <v>0.015</v>
      </c>
      <c r="E1099" s="8" t="str">
        <f>IFERROR(__xludf.DUMMYFUNCTION("""COMPUTED_VALUE"""),"Real")</f>
        <v>Real</v>
      </c>
      <c r="G1099" s="8">
        <f t="shared" si="1"/>
        <v>12</v>
      </c>
      <c r="H1099" s="14">
        <f t="shared" si="2"/>
        <v>16</v>
      </c>
      <c r="I1099" s="15">
        <f t="shared" si="3"/>
        <v>18</v>
      </c>
    </row>
    <row r="1100">
      <c r="A1100" s="8" t="str">
        <f>IFERROR(__xludf.DUMMYFUNCTION("IF('(INGESTA)Datos_consumo_datadis'!A1100&lt;&gt;"""",SPLIT('(INGESTA)Datos_consumo_datadis'!A:A,"",""),"""")"),"ES0031408323131005HX0F")</f>
        <v>ES0031408323131005HX0F</v>
      </c>
      <c r="B1100" s="17">
        <f>IFERROR(__xludf.DUMMYFUNCTION("""COMPUTED_VALUE"""),44911.0)</f>
        <v>44911</v>
      </c>
      <c r="C1100" s="13">
        <f>IFERROR(__xludf.DUMMYFUNCTION("""COMPUTED_VALUE"""),0.7916666666666666)</f>
        <v>0.7916666667</v>
      </c>
      <c r="D1100" s="8">
        <f>IFERROR(__xludf.DUMMYFUNCTION("""COMPUTED_VALUE"""),0.12)</f>
        <v>0.12</v>
      </c>
      <c r="E1100" s="8" t="str">
        <f>IFERROR(__xludf.DUMMYFUNCTION("""COMPUTED_VALUE"""),"Real")</f>
        <v>Real</v>
      </c>
      <c r="G1100" s="8">
        <f t="shared" si="1"/>
        <v>12</v>
      </c>
      <c r="H1100" s="14">
        <f t="shared" si="2"/>
        <v>16</v>
      </c>
      <c r="I1100" s="15">
        <f t="shared" si="3"/>
        <v>19</v>
      </c>
    </row>
    <row r="1101">
      <c r="A1101" s="8" t="str">
        <f>IFERROR(__xludf.DUMMYFUNCTION("IF('(INGESTA)Datos_consumo_datadis'!A1101&lt;&gt;"""",SPLIT('(INGESTA)Datos_consumo_datadis'!A:A,"",""),"""")"),"ES0031408323131005HX0F")</f>
        <v>ES0031408323131005HX0F</v>
      </c>
      <c r="B1101" s="17">
        <f>IFERROR(__xludf.DUMMYFUNCTION("""COMPUTED_VALUE"""),44911.0)</f>
        <v>44911</v>
      </c>
      <c r="C1101" s="13">
        <f>IFERROR(__xludf.DUMMYFUNCTION("""COMPUTED_VALUE"""),0.8333333333333334)</f>
        <v>0.8333333333</v>
      </c>
      <c r="D1101" s="8">
        <f>IFERROR(__xludf.DUMMYFUNCTION("""COMPUTED_VALUE"""),0.452)</f>
        <v>0.452</v>
      </c>
      <c r="E1101" s="8" t="str">
        <f>IFERROR(__xludf.DUMMYFUNCTION("""COMPUTED_VALUE"""),"Real")</f>
        <v>Real</v>
      </c>
      <c r="G1101" s="8">
        <f t="shared" si="1"/>
        <v>12</v>
      </c>
      <c r="H1101" s="14">
        <f t="shared" si="2"/>
        <v>16</v>
      </c>
      <c r="I1101" s="15">
        <f t="shared" si="3"/>
        <v>20</v>
      </c>
    </row>
    <row r="1102">
      <c r="A1102" s="8" t="str">
        <f>IFERROR(__xludf.DUMMYFUNCTION("IF('(INGESTA)Datos_consumo_datadis'!A1102&lt;&gt;"""",SPLIT('(INGESTA)Datos_consumo_datadis'!A:A,"",""),"""")"),"ES0031408323131005HX0F")</f>
        <v>ES0031408323131005HX0F</v>
      </c>
      <c r="B1102" s="17">
        <f>IFERROR(__xludf.DUMMYFUNCTION("""COMPUTED_VALUE"""),44911.0)</f>
        <v>44911</v>
      </c>
      <c r="C1102" s="13">
        <f>IFERROR(__xludf.DUMMYFUNCTION("""COMPUTED_VALUE"""),0.875)</f>
        <v>0.875</v>
      </c>
      <c r="D1102" s="8">
        <f>IFERROR(__xludf.DUMMYFUNCTION("""COMPUTED_VALUE"""),0.105)</f>
        <v>0.105</v>
      </c>
      <c r="E1102" s="8" t="str">
        <f>IFERROR(__xludf.DUMMYFUNCTION("""COMPUTED_VALUE"""),"Real")</f>
        <v>Real</v>
      </c>
      <c r="G1102" s="8">
        <f t="shared" si="1"/>
        <v>12</v>
      </c>
      <c r="H1102" s="14">
        <f t="shared" si="2"/>
        <v>16</v>
      </c>
      <c r="I1102" s="15">
        <f t="shared" si="3"/>
        <v>21</v>
      </c>
    </row>
    <row r="1103">
      <c r="A1103" s="8" t="str">
        <f>IFERROR(__xludf.DUMMYFUNCTION("IF('(INGESTA)Datos_consumo_datadis'!A1103&lt;&gt;"""",SPLIT('(INGESTA)Datos_consumo_datadis'!A:A,"",""),"""")"),"ES0031408323131005HX0F")</f>
        <v>ES0031408323131005HX0F</v>
      </c>
      <c r="B1103" s="17">
        <f>IFERROR(__xludf.DUMMYFUNCTION("""COMPUTED_VALUE"""),44911.0)</f>
        <v>44911</v>
      </c>
      <c r="C1103" s="13">
        <f>IFERROR(__xludf.DUMMYFUNCTION("""COMPUTED_VALUE"""),0.9166666666666666)</f>
        <v>0.9166666667</v>
      </c>
      <c r="D1103" s="8">
        <f>IFERROR(__xludf.DUMMYFUNCTION("""COMPUTED_VALUE"""),1.746)</f>
        <v>1.746</v>
      </c>
      <c r="E1103" s="8" t="str">
        <f>IFERROR(__xludf.DUMMYFUNCTION("""COMPUTED_VALUE"""),"Real")</f>
        <v>Real</v>
      </c>
      <c r="G1103" s="8">
        <f t="shared" si="1"/>
        <v>12</v>
      </c>
      <c r="H1103" s="14">
        <f t="shared" si="2"/>
        <v>16</v>
      </c>
      <c r="I1103" s="15">
        <f t="shared" si="3"/>
        <v>22</v>
      </c>
    </row>
    <row r="1104">
      <c r="A1104" s="8" t="str">
        <f>IFERROR(__xludf.DUMMYFUNCTION("IF('(INGESTA)Datos_consumo_datadis'!A1104&lt;&gt;"""",SPLIT('(INGESTA)Datos_consumo_datadis'!A:A,"",""),"""")"),"ES0031408323131005HX0F")</f>
        <v>ES0031408323131005HX0F</v>
      </c>
      <c r="B1104" s="17">
        <f>IFERROR(__xludf.DUMMYFUNCTION("""COMPUTED_VALUE"""),44911.0)</f>
        <v>44911</v>
      </c>
      <c r="C1104" s="13">
        <f>IFERROR(__xludf.DUMMYFUNCTION("""COMPUTED_VALUE"""),0.9583333333333334)</f>
        <v>0.9583333333</v>
      </c>
      <c r="D1104" s="8">
        <f>IFERROR(__xludf.DUMMYFUNCTION("""COMPUTED_VALUE"""),1.858)</f>
        <v>1.858</v>
      </c>
      <c r="E1104" s="8" t="str">
        <f>IFERROR(__xludf.DUMMYFUNCTION("""COMPUTED_VALUE"""),"Real")</f>
        <v>Real</v>
      </c>
      <c r="G1104" s="8">
        <f t="shared" si="1"/>
        <v>12</v>
      </c>
      <c r="H1104" s="14">
        <f t="shared" si="2"/>
        <v>16</v>
      </c>
      <c r="I1104" s="15">
        <f t="shared" si="3"/>
        <v>23</v>
      </c>
    </row>
    <row r="1105">
      <c r="A1105" s="8" t="str">
        <f>IFERROR(__xludf.DUMMYFUNCTION("IF('(INGESTA)Datos_consumo_datadis'!A1105&lt;&gt;"""",SPLIT('(INGESTA)Datos_consumo_datadis'!A:A,"",""),"""")"),"ES0031408323131005HX0F")</f>
        <v>ES0031408323131005HX0F</v>
      </c>
      <c r="B1105" s="17">
        <f>IFERROR(__xludf.DUMMYFUNCTION("""COMPUTED_VALUE"""),44911.0)</f>
        <v>44911</v>
      </c>
      <c r="C1105" s="16">
        <f>IFERROR(__xludf.DUMMYFUNCTION("""COMPUTED_VALUE"""),1.0)</f>
        <v>1</v>
      </c>
      <c r="D1105" s="8">
        <f>IFERROR(__xludf.DUMMYFUNCTION("""COMPUTED_VALUE"""),1.374)</f>
        <v>1.374</v>
      </c>
      <c r="E1105" s="8" t="str">
        <f>IFERROR(__xludf.DUMMYFUNCTION("""COMPUTED_VALUE"""),"Real")</f>
        <v>Real</v>
      </c>
      <c r="G1105" s="8">
        <f t="shared" si="1"/>
        <v>12</v>
      </c>
      <c r="H1105" s="14">
        <f t="shared" si="2"/>
        <v>16</v>
      </c>
      <c r="I1105" s="15">
        <f t="shared" si="3"/>
        <v>0</v>
      </c>
    </row>
    <row r="1106">
      <c r="A1106" s="8" t="str">
        <f>IFERROR(__xludf.DUMMYFUNCTION("IF('(INGESTA)Datos_consumo_datadis'!A1106&lt;&gt;"""",SPLIT('(INGESTA)Datos_consumo_datadis'!A:A,"",""),"""")"),"ES0031408323131005HX0F")</f>
        <v>ES0031408323131005HX0F</v>
      </c>
      <c r="B1106" s="17">
        <f>IFERROR(__xludf.DUMMYFUNCTION("""COMPUTED_VALUE"""),44912.0)</f>
        <v>44912</v>
      </c>
      <c r="C1106" s="13">
        <f>IFERROR(__xludf.DUMMYFUNCTION("""COMPUTED_VALUE"""),0.041666666666666664)</f>
        <v>0.04166666667</v>
      </c>
      <c r="D1106" s="8">
        <f>IFERROR(__xludf.DUMMYFUNCTION("""COMPUTED_VALUE"""),1.203)</f>
        <v>1.203</v>
      </c>
      <c r="E1106" s="8" t="str">
        <f>IFERROR(__xludf.DUMMYFUNCTION("""COMPUTED_VALUE"""),"Real")</f>
        <v>Real</v>
      </c>
      <c r="G1106" s="8">
        <f t="shared" si="1"/>
        <v>12</v>
      </c>
      <c r="H1106" s="14">
        <f t="shared" si="2"/>
        <v>17</v>
      </c>
      <c r="I1106" s="15">
        <f t="shared" si="3"/>
        <v>1</v>
      </c>
    </row>
    <row r="1107">
      <c r="A1107" s="8" t="str">
        <f>IFERROR(__xludf.DUMMYFUNCTION("IF('(INGESTA)Datos_consumo_datadis'!A1107&lt;&gt;"""",SPLIT('(INGESTA)Datos_consumo_datadis'!A:A,"",""),"""")"),"ES0031408323131005HX0F")</f>
        <v>ES0031408323131005HX0F</v>
      </c>
      <c r="B1107" s="17">
        <f>IFERROR(__xludf.DUMMYFUNCTION("""COMPUTED_VALUE"""),44912.0)</f>
        <v>44912</v>
      </c>
      <c r="C1107" s="13">
        <f>IFERROR(__xludf.DUMMYFUNCTION("""COMPUTED_VALUE"""),0.08333333333333333)</f>
        <v>0.08333333333</v>
      </c>
      <c r="D1107" s="8">
        <f>IFERROR(__xludf.DUMMYFUNCTION("""COMPUTED_VALUE"""),1.148)</f>
        <v>1.148</v>
      </c>
      <c r="E1107" s="8" t="str">
        <f>IFERROR(__xludf.DUMMYFUNCTION("""COMPUTED_VALUE"""),"Real")</f>
        <v>Real</v>
      </c>
      <c r="G1107" s="8">
        <f t="shared" si="1"/>
        <v>12</v>
      </c>
      <c r="H1107" s="14">
        <f t="shared" si="2"/>
        <v>17</v>
      </c>
      <c r="I1107" s="15">
        <f t="shared" si="3"/>
        <v>2</v>
      </c>
    </row>
    <row r="1108">
      <c r="A1108" s="8" t="str">
        <f>IFERROR(__xludf.DUMMYFUNCTION("IF('(INGESTA)Datos_consumo_datadis'!A1108&lt;&gt;"""",SPLIT('(INGESTA)Datos_consumo_datadis'!A:A,"",""),"""")"),"ES0031408323131005HX0F")</f>
        <v>ES0031408323131005HX0F</v>
      </c>
      <c r="B1108" s="17">
        <f>IFERROR(__xludf.DUMMYFUNCTION("""COMPUTED_VALUE"""),44912.0)</f>
        <v>44912</v>
      </c>
      <c r="C1108" s="13">
        <f>IFERROR(__xludf.DUMMYFUNCTION("""COMPUTED_VALUE"""),0.125)</f>
        <v>0.125</v>
      </c>
      <c r="D1108" s="8">
        <f>IFERROR(__xludf.DUMMYFUNCTION("""COMPUTED_VALUE"""),1.494)</f>
        <v>1.494</v>
      </c>
      <c r="E1108" s="8" t="str">
        <f>IFERROR(__xludf.DUMMYFUNCTION("""COMPUTED_VALUE"""),"Real")</f>
        <v>Real</v>
      </c>
      <c r="G1108" s="8">
        <f t="shared" si="1"/>
        <v>12</v>
      </c>
      <c r="H1108" s="14">
        <f t="shared" si="2"/>
        <v>17</v>
      </c>
      <c r="I1108" s="15">
        <f t="shared" si="3"/>
        <v>3</v>
      </c>
    </row>
    <row r="1109">
      <c r="A1109" s="8" t="str">
        <f>IFERROR(__xludf.DUMMYFUNCTION("IF('(INGESTA)Datos_consumo_datadis'!A1109&lt;&gt;"""",SPLIT('(INGESTA)Datos_consumo_datadis'!A:A,"",""),"""")"),"ES0031408323131005HX0F")</f>
        <v>ES0031408323131005HX0F</v>
      </c>
      <c r="B1109" s="17">
        <f>IFERROR(__xludf.DUMMYFUNCTION("""COMPUTED_VALUE"""),44912.0)</f>
        <v>44912</v>
      </c>
      <c r="C1109" s="13">
        <f>IFERROR(__xludf.DUMMYFUNCTION("""COMPUTED_VALUE"""),0.16666666666666666)</f>
        <v>0.1666666667</v>
      </c>
      <c r="D1109" s="8">
        <f>IFERROR(__xludf.DUMMYFUNCTION("""COMPUTED_VALUE"""),1.211)</f>
        <v>1.211</v>
      </c>
      <c r="E1109" s="8" t="str">
        <f>IFERROR(__xludf.DUMMYFUNCTION("""COMPUTED_VALUE"""),"Real")</f>
        <v>Real</v>
      </c>
      <c r="G1109" s="8">
        <f t="shared" si="1"/>
        <v>12</v>
      </c>
      <c r="H1109" s="14">
        <f t="shared" si="2"/>
        <v>17</v>
      </c>
      <c r="I1109" s="15">
        <f t="shared" si="3"/>
        <v>4</v>
      </c>
    </row>
    <row r="1110">
      <c r="A1110" s="8" t="str">
        <f>IFERROR(__xludf.DUMMYFUNCTION("IF('(INGESTA)Datos_consumo_datadis'!A1110&lt;&gt;"""",SPLIT('(INGESTA)Datos_consumo_datadis'!A:A,"",""),"""")"),"ES0031408323131005HX0F")</f>
        <v>ES0031408323131005HX0F</v>
      </c>
      <c r="B1110" s="17">
        <f>IFERROR(__xludf.DUMMYFUNCTION("""COMPUTED_VALUE"""),44912.0)</f>
        <v>44912</v>
      </c>
      <c r="C1110" s="13">
        <f>IFERROR(__xludf.DUMMYFUNCTION("""COMPUTED_VALUE"""),0.20833333333333334)</f>
        <v>0.2083333333</v>
      </c>
      <c r="D1110" s="8">
        <f>IFERROR(__xludf.DUMMYFUNCTION("""COMPUTED_VALUE"""),1.197)</f>
        <v>1.197</v>
      </c>
      <c r="E1110" s="8" t="str">
        <f>IFERROR(__xludf.DUMMYFUNCTION("""COMPUTED_VALUE"""),"Real")</f>
        <v>Real</v>
      </c>
      <c r="G1110" s="8">
        <f t="shared" si="1"/>
        <v>12</v>
      </c>
      <c r="H1110" s="14">
        <f t="shared" si="2"/>
        <v>17</v>
      </c>
      <c r="I1110" s="15">
        <f t="shared" si="3"/>
        <v>5</v>
      </c>
    </row>
    <row r="1111">
      <c r="A1111" s="8" t="str">
        <f>IFERROR(__xludf.DUMMYFUNCTION("IF('(INGESTA)Datos_consumo_datadis'!A1111&lt;&gt;"""",SPLIT('(INGESTA)Datos_consumo_datadis'!A:A,"",""),"""")"),"ES0031408323131005HX0F")</f>
        <v>ES0031408323131005HX0F</v>
      </c>
      <c r="B1111" s="17">
        <f>IFERROR(__xludf.DUMMYFUNCTION("""COMPUTED_VALUE"""),44912.0)</f>
        <v>44912</v>
      </c>
      <c r="C1111" s="13">
        <f>IFERROR(__xludf.DUMMYFUNCTION("""COMPUTED_VALUE"""),0.25)</f>
        <v>0.25</v>
      </c>
      <c r="D1111" s="8">
        <f>IFERROR(__xludf.DUMMYFUNCTION("""COMPUTED_VALUE"""),1.138)</f>
        <v>1.138</v>
      </c>
      <c r="E1111" s="8" t="str">
        <f>IFERROR(__xludf.DUMMYFUNCTION("""COMPUTED_VALUE"""),"Real")</f>
        <v>Real</v>
      </c>
      <c r="G1111" s="8">
        <f t="shared" si="1"/>
        <v>12</v>
      </c>
      <c r="H1111" s="14">
        <f t="shared" si="2"/>
        <v>17</v>
      </c>
      <c r="I1111" s="15">
        <f t="shared" si="3"/>
        <v>6</v>
      </c>
    </row>
    <row r="1112">
      <c r="A1112" s="8" t="str">
        <f>IFERROR(__xludf.DUMMYFUNCTION("IF('(INGESTA)Datos_consumo_datadis'!A1112&lt;&gt;"""",SPLIT('(INGESTA)Datos_consumo_datadis'!A:A,"",""),"""")"),"ES0031408323131005HX0F")</f>
        <v>ES0031408323131005HX0F</v>
      </c>
      <c r="B1112" s="17">
        <f>IFERROR(__xludf.DUMMYFUNCTION("""COMPUTED_VALUE"""),44912.0)</f>
        <v>44912</v>
      </c>
      <c r="C1112" s="13">
        <f>IFERROR(__xludf.DUMMYFUNCTION("""COMPUTED_VALUE"""),0.2916666666666667)</f>
        <v>0.2916666667</v>
      </c>
      <c r="D1112" s="8">
        <f>IFERROR(__xludf.DUMMYFUNCTION("""COMPUTED_VALUE"""),0.069)</f>
        <v>0.069</v>
      </c>
      <c r="E1112" s="8" t="str">
        <f>IFERROR(__xludf.DUMMYFUNCTION("""COMPUTED_VALUE"""),"Real")</f>
        <v>Real</v>
      </c>
      <c r="G1112" s="8">
        <f t="shared" si="1"/>
        <v>12</v>
      </c>
      <c r="H1112" s="14">
        <f t="shared" si="2"/>
        <v>17</v>
      </c>
      <c r="I1112" s="15">
        <f t="shared" si="3"/>
        <v>7</v>
      </c>
    </row>
    <row r="1113">
      <c r="A1113" s="8" t="str">
        <f>IFERROR(__xludf.DUMMYFUNCTION("IF('(INGESTA)Datos_consumo_datadis'!A1113&lt;&gt;"""",SPLIT('(INGESTA)Datos_consumo_datadis'!A:A,"",""),"""")"),"ES0031408323131005HX0F")</f>
        <v>ES0031408323131005HX0F</v>
      </c>
      <c r="B1113" s="17">
        <f>IFERROR(__xludf.DUMMYFUNCTION("""COMPUTED_VALUE"""),44912.0)</f>
        <v>44912</v>
      </c>
      <c r="C1113" s="13">
        <f>IFERROR(__xludf.DUMMYFUNCTION("""COMPUTED_VALUE"""),0.3333333333333333)</f>
        <v>0.3333333333</v>
      </c>
      <c r="D1113" s="8">
        <f>IFERROR(__xludf.DUMMYFUNCTION("""COMPUTED_VALUE"""),0.295)</f>
        <v>0.295</v>
      </c>
      <c r="E1113" s="8" t="str">
        <f>IFERROR(__xludf.DUMMYFUNCTION("""COMPUTED_VALUE"""),"Real")</f>
        <v>Real</v>
      </c>
      <c r="G1113" s="8">
        <f t="shared" si="1"/>
        <v>12</v>
      </c>
      <c r="H1113" s="14">
        <f t="shared" si="2"/>
        <v>17</v>
      </c>
      <c r="I1113" s="15">
        <f t="shared" si="3"/>
        <v>8</v>
      </c>
    </row>
    <row r="1114">
      <c r="A1114" s="8" t="str">
        <f>IFERROR(__xludf.DUMMYFUNCTION("IF('(INGESTA)Datos_consumo_datadis'!A1114&lt;&gt;"""",SPLIT('(INGESTA)Datos_consumo_datadis'!A:A,"",""),"""")"),"ES0031408323131005HX0F")</f>
        <v>ES0031408323131005HX0F</v>
      </c>
      <c r="B1114" s="17">
        <f>IFERROR(__xludf.DUMMYFUNCTION("""COMPUTED_VALUE"""),44912.0)</f>
        <v>44912</v>
      </c>
      <c r="C1114" s="13">
        <f>IFERROR(__xludf.DUMMYFUNCTION("""COMPUTED_VALUE"""),0.375)</f>
        <v>0.375</v>
      </c>
      <c r="D1114" s="8">
        <f>IFERROR(__xludf.DUMMYFUNCTION("""COMPUTED_VALUE"""),0.072)</f>
        <v>0.072</v>
      </c>
      <c r="E1114" s="8" t="str">
        <f>IFERROR(__xludf.DUMMYFUNCTION("""COMPUTED_VALUE"""),"Real")</f>
        <v>Real</v>
      </c>
      <c r="G1114" s="8">
        <f t="shared" si="1"/>
        <v>12</v>
      </c>
      <c r="H1114" s="14">
        <f t="shared" si="2"/>
        <v>17</v>
      </c>
      <c r="I1114" s="15">
        <f t="shared" si="3"/>
        <v>9</v>
      </c>
    </row>
    <row r="1115">
      <c r="A1115" s="8" t="str">
        <f>IFERROR(__xludf.DUMMYFUNCTION("IF('(INGESTA)Datos_consumo_datadis'!A1115&lt;&gt;"""",SPLIT('(INGESTA)Datos_consumo_datadis'!A:A,"",""),"""")"),"ES0031408323131005HX0F")</f>
        <v>ES0031408323131005HX0F</v>
      </c>
      <c r="B1115" s="17">
        <f>IFERROR(__xludf.DUMMYFUNCTION("""COMPUTED_VALUE"""),44912.0)</f>
        <v>44912</v>
      </c>
      <c r="C1115" s="13">
        <f>IFERROR(__xludf.DUMMYFUNCTION("""COMPUTED_VALUE"""),0.4166666666666667)</f>
        <v>0.4166666667</v>
      </c>
      <c r="D1115" s="8">
        <f>IFERROR(__xludf.DUMMYFUNCTION("""COMPUTED_VALUE"""),0.017)</f>
        <v>0.017</v>
      </c>
      <c r="E1115" s="8" t="str">
        <f>IFERROR(__xludf.DUMMYFUNCTION("""COMPUTED_VALUE"""),"Real")</f>
        <v>Real</v>
      </c>
      <c r="G1115" s="8">
        <f t="shared" si="1"/>
        <v>12</v>
      </c>
      <c r="H1115" s="14">
        <f t="shared" si="2"/>
        <v>17</v>
      </c>
      <c r="I1115" s="15">
        <f t="shared" si="3"/>
        <v>10</v>
      </c>
    </row>
    <row r="1116">
      <c r="A1116" s="8" t="str">
        <f>IFERROR(__xludf.DUMMYFUNCTION("IF('(INGESTA)Datos_consumo_datadis'!A1116&lt;&gt;"""",SPLIT('(INGESTA)Datos_consumo_datadis'!A:A,"",""),"""")"),"ES0031408323131005HX0F")</f>
        <v>ES0031408323131005HX0F</v>
      </c>
      <c r="B1116" s="17">
        <f>IFERROR(__xludf.DUMMYFUNCTION("""COMPUTED_VALUE"""),44912.0)</f>
        <v>44912</v>
      </c>
      <c r="C1116" s="13">
        <f>IFERROR(__xludf.DUMMYFUNCTION("""COMPUTED_VALUE"""),0.4583333333333333)</f>
        <v>0.4583333333</v>
      </c>
      <c r="D1116" s="8">
        <f>IFERROR(__xludf.DUMMYFUNCTION("""COMPUTED_VALUE"""),0.142)</f>
        <v>0.142</v>
      </c>
      <c r="E1116" s="8" t="str">
        <f>IFERROR(__xludf.DUMMYFUNCTION("""COMPUTED_VALUE"""),"Real")</f>
        <v>Real</v>
      </c>
      <c r="G1116" s="8">
        <f t="shared" si="1"/>
        <v>12</v>
      </c>
      <c r="H1116" s="14">
        <f t="shared" si="2"/>
        <v>17</v>
      </c>
      <c r="I1116" s="15">
        <f t="shared" si="3"/>
        <v>11</v>
      </c>
    </row>
    <row r="1117">
      <c r="A1117" s="8" t="str">
        <f>IFERROR(__xludf.DUMMYFUNCTION("IF('(INGESTA)Datos_consumo_datadis'!A1117&lt;&gt;"""",SPLIT('(INGESTA)Datos_consumo_datadis'!A:A,"",""),"""")"),"ES0031408323131005HX0F")</f>
        <v>ES0031408323131005HX0F</v>
      </c>
      <c r="B1117" s="17">
        <f>IFERROR(__xludf.DUMMYFUNCTION("""COMPUTED_VALUE"""),44912.0)</f>
        <v>44912</v>
      </c>
      <c r="C1117" s="13">
        <f>IFERROR(__xludf.DUMMYFUNCTION("""COMPUTED_VALUE"""),0.5)</f>
        <v>0.5</v>
      </c>
      <c r="D1117" s="8">
        <f>IFERROR(__xludf.DUMMYFUNCTION("""COMPUTED_VALUE"""),0.07)</f>
        <v>0.07</v>
      </c>
      <c r="E1117" s="8" t="str">
        <f>IFERROR(__xludf.DUMMYFUNCTION("""COMPUTED_VALUE"""),"Real")</f>
        <v>Real</v>
      </c>
      <c r="G1117" s="8">
        <f t="shared" si="1"/>
        <v>12</v>
      </c>
      <c r="H1117" s="14">
        <f t="shared" si="2"/>
        <v>17</v>
      </c>
      <c r="I1117" s="15">
        <f t="shared" si="3"/>
        <v>12</v>
      </c>
    </row>
    <row r="1118">
      <c r="A1118" s="8" t="str">
        <f>IFERROR(__xludf.DUMMYFUNCTION("IF('(INGESTA)Datos_consumo_datadis'!A1118&lt;&gt;"""",SPLIT('(INGESTA)Datos_consumo_datadis'!A:A,"",""),"""")"),"ES0031408323131005HX0F")</f>
        <v>ES0031408323131005HX0F</v>
      </c>
      <c r="B1118" s="17">
        <f>IFERROR(__xludf.DUMMYFUNCTION("""COMPUTED_VALUE"""),44912.0)</f>
        <v>44912</v>
      </c>
      <c r="C1118" s="13">
        <f>IFERROR(__xludf.DUMMYFUNCTION("""COMPUTED_VALUE"""),0.5416666666666666)</f>
        <v>0.5416666667</v>
      </c>
      <c r="D1118" s="8">
        <f>IFERROR(__xludf.DUMMYFUNCTION("""COMPUTED_VALUE"""),0.286)</f>
        <v>0.286</v>
      </c>
      <c r="E1118" s="8" t="str">
        <f>IFERROR(__xludf.DUMMYFUNCTION("""COMPUTED_VALUE"""),"Real")</f>
        <v>Real</v>
      </c>
      <c r="G1118" s="8">
        <f t="shared" si="1"/>
        <v>12</v>
      </c>
      <c r="H1118" s="14">
        <f t="shared" si="2"/>
        <v>17</v>
      </c>
      <c r="I1118" s="15">
        <f t="shared" si="3"/>
        <v>13</v>
      </c>
    </row>
    <row r="1119">
      <c r="A1119" s="8" t="str">
        <f>IFERROR(__xludf.DUMMYFUNCTION("IF('(INGESTA)Datos_consumo_datadis'!A1119&lt;&gt;"""",SPLIT('(INGESTA)Datos_consumo_datadis'!A:A,"",""),"""")"),"ES0031408323131005HX0F")</f>
        <v>ES0031408323131005HX0F</v>
      </c>
      <c r="B1119" s="17">
        <f>IFERROR(__xludf.DUMMYFUNCTION("""COMPUTED_VALUE"""),44912.0)</f>
        <v>44912</v>
      </c>
      <c r="C1119" s="13">
        <f>IFERROR(__xludf.DUMMYFUNCTION("""COMPUTED_VALUE"""),0.5833333333333334)</f>
        <v>0.5833333333</v>
      </c>
      <c r="D1119" s="8">
        <f>IFERROR(__xludf.DUMMYFUNCTION("""COMPUTED_VALUE"""),0.121)</f>
        <v>0.121</v>
      </c>
      <c r="E1119" s="8" t="str">
        <f>IFERROR(__xludf.DUMMYFUNCTION("""COMPUTED_VALUE"""),"Real")</f>
        <v>Real</v>
      </c>
      <c r="G1119" s="8">
        <f t="shared" si="1"/>
        <v>12</v>
      </c>
      <c r="H1119" s="14">
        <f t="shared" si="2"/>
        <v>17</v>
      </c>
      <c r="I1119" s="15">
        <f t="shared" si="3"/>
        <v>14</v>
      </c>
    </row>
    <row r="1120">
      <c r="A1120" s="8" t="str">
        <f>IFERROR(__xludf.DUMMYFUNCTION("IF('(INGESTA)Datos_consumo_datadis'!A1120&lt;&gt;"""",SPLIT('(INGESTA)Datos_consumo_datadis'!A:A,"",""),"""")"),"ES0031408323131005HX0F")</f>
        <v>ES0031408323131005HX0F</v>
      </c>
      <c r="B1120" s="17">
        <f>IFERROR(__xludf.DUMMYFUNCTION("""COMPUTED_VALUE"""),44912.0)</f>
        <v>44912</v>
      </c>
      <c r="C1120" s="13">
        <f>IFERROR(__xludf.DUMMYFUNCTION("""COMPUTED_VALUE"""),0.625)</f>
        <v>0.625</v>
      </c>
      <c r="D1120" s="8">
        <f>IFERROR(__xludf.DUMMYFUNCTION("""COMPUTED_VALUE"""),0.316)</f>
        <v>0.316</v>
      </c>
      <c r="E1120" s="8" t="str">
        <f>IFERROR(__xludf.DUMMYFUNCTION("""COMPUTED_VALUE"""),"Real")</f>
        <v>Real</v>
      </c>
      <c r="G1120" s="8">
        <f t="shared" si="1"/>
        <v>12</v>
      </c>
      <c r="H1120" s="14">
        <f t="shared" si="2"/>
        <v>17</v>
      </c>
      <c r="I1120" s="15">
        <f t="shared" si="3"/>
        <v>15</v>
      </c>
    </row>
    <row r="1121">
      <c r="A1121" s="8" t="str">
        <f>IFERROR(__xludf.DUMMYFUNCTION("IF('(INGESTA)Datos_consumo_datadis'!A1121&lt;&gt;"""",SPLIT('(INGESTA)Datos_consumo_datadis'!A:A,"",""),"""")"),"ES0031408323131005HX0F")</f>
        <v>ES0031408323131005HX0F</v>
      </c>
      <c r="B1121" s="17">
        <f>IFERROR(__xludf.DUMMYFUNCTION("""COMPUTED_VALUE"""),44912.0)</f>
        <v>44912</v>
      </c>
      <c r="C1121" s="13">
        <f>IFERROR(__xludf.DUMMYFUNCTION("""COMPUTED_VALUE"""),0.6666666666666666)</f>
        <v>0.6666666667</v>
      </c>
      <c r="D1121" s="8">
        <f>IFERROR(__xludf.DUMMYFUNCTION("""COMPUTED_VALUE"""),0.801)</f>
        <v>0.801</v>
      </c>
      <c r="E1121" s="8" t="str">
        <f>IFERROR(__xludf.DUMMYFUNCTION("""COMPUTED_VALUE"""),"Real")</f>
        <v>Real</v>
      </c>
      <c r="G1121" s="8">
        <f t="shared" si="1"/>
        <v>12</v>
      </c>
      <c r="H1121" s="14">
        <f t="shared" si="2"/>
        <v>17</v>
      </c>
      <c r="I1121" s="15">
        <f t="shared" si="3"/>
        <v>16</v>
      </c>
    </row>
    <row r="1122">
      <c r="A1122" s="8" t="str">
        <f>IFERROR(__xludf.DUMMYFUNCTION("IF('(INGESTA)Datos_consumo_datadis'!A1122&lt;&gt;"""",SPLIT('(INGESTA)Datos_consumo_datadis'!A:A,"",""),"""")"),"ES0031408323131005HX0F")</f>
        <v>ES0031408323131005HX0F</v>
      </c>
      <c r="B1122" s="17">
        <f>IFERROR(__xludf.DUMMYFUNCTION("""COMPUTED_VALUE"""),44912.0)</f>
        <v>44912</v>
      </c>
      <c r="C1122" s="13">
        <f>IFERROR(__xludf.DUMMYFUNCTION("""COMPUTED_VALUE"""),0.7083333333333334)</f>
        <v>0.7083333333</v>
      </c>
      <c r="D1122" s="8">
        <f>IFERROR(__xludf.DUMMYFUNCTION("""COMPUTED_VALUE"""),1.075)</f>
        <v>1.075</v>
      </c>
      <c r="E1122" s="8" t="str">
        <f>IFERROR(__xludf.DUMMYFUNCTION("""COMPUTED_VALUE"""),"Real")</f>
        <v>Real</v>
      </c>
      <c r="G1122" s="8">
        <f t="shared" si="1"/>
        <v>12</v>
      </c>
      <c r="H1122" s="14">
        <f t="shared" si="2"/>
        <v>17</v>
      </c>
      <c r="I1122" s="15">
        <f t="shared" si="3"/>
        <v>17</v>
      </c>
    </row>
    <row r="1123">
      <c r="A1123" s="8" t="str">
        <f>IFERROR(__xludf.DUMMYFUNCTION("IF('(INGESTA)Datos_consumo_datadis'!A1123&lt;&gt;"""",SPLIT('(INGESTA)Datos_consumo_datadis'!A:A,"",""),"""")"),"ES0031408323131005HX0F")</f>
        <v>ES0031408323131005HX0F</v>
      </c>
      <c r="B1123" s="17">
        <f>IFERROR(__xludf.DUMMYFUNCTION("""COMPUTED_VALUE"""),44912.0)</f>
        <v>44912</v>
      </c>
      <c r="C1123" s="13">
        <f>IFERROR(__xludf.DUMMYFUNCTION("""COMPUTED_VALUE"""),0.75)</f>
        <v>0.75</v>
      </c>
      <c r="D1123" s="8">
        <f>IFERROR(__xludf.DUMMYFUNCTION("""COMPUTED_VALUE"""),0.892)</f>
        <v>0.892</v>
      </c>
      <c r="E1123" s="8" t="str">
        <f>IFERROR(__xludf.DUMMYFUNCTION("""COMPUTED_VALUE"""),"Real")</f>
        <v>Real</v>
      </c>
      <c r="G1123" s="8">
        <f t="shared" si="1"/>
        <v>12</v>
      </c>
      <c r="H1123" s="14">
        <f t="shared" si="2"/>
        <v>17</v>
      </c>
      <c r="I1123" s="15">
        <f t="shared" si="3"/>
        <v>18</v>
      </c>
    </row>
    <row r="1124">
      <c r="A1124" s="8" t="str">
        <f>IFERROR(__xludf.DUMMYFUNCTION("IF('(INGESTA)Datos_consumo_datadis'!A1124&lt;&gt;"""",SPLIT('(INGESTA)Datos_consumo_datadis'!A:A,"",""),"""")"),"ES0031408323131005HX0F")</f>
        <v>ES0031408323131005HX0F</v>
      </c>
      <c r="B1124" s="17">
        <f>IFERROR(__xludf.DUMMYFUNCTION("""COMPUTED_VALUE"""),44912.0)</f>
        <v>44912</v>
      </c>
      <c r="C1124" s="13">
        <f>IFERROR(__xludf.DUMMYFUNCTION("""COMPUTED_VALUE"""),0.7916666666666666)</f>
        <v>0.7916666667</v>
      </c>
      <c r="D1124" s="8">
        <f>IFERROR(__xludf.DUMMYFUNCTION("""COMPUTED_VALUE"""),0.118)</f>
        <v>0.118</v>
      </c>
      <c r="E1124" s="8" t="str">
        <f>IFERROR(__xludf.DUMMYFUNCTION("""COMPUTED_VALUE"""),"Real")</f>
        <v>Real</v>
      </c>
      <c r="G1124" s="8">
        <f t="shared" si="1"/>
        <v>12</v>
      </c>
      <c r="H1124" s="14">
        <f t="shared" si="2"/>
        <v>17</v>
      </c>
      <c r="I1124" s="15">
        <f t="shared" si="3"/>
        <v>19</v>
      </c>
    </row>
    <row r="1125">
      <c r="A1125" s="8" t="str">
        <f>IFERROR(__xludf.DUMMYFUNCTION("IF('(INGESTA)Datos_consumo_datadis'!A1125&lt;&gt;"""",SPLIT('(INGESTA)Datos_consumo_datadis'!A:A,"",""),"""")"),"ES0031408323131005HX0F")</f>
        <v>ES0031408323131005HX0F</v>
      </c>
      <c r="B1125" s="17">
        <f>IFERROR(__xludf.DUMMYFUNCTION("""COMPUTED_VALUE"""),44912.0)</f>
        <v>44912</v>
      </c>
      <c r="C1125" s="13">
        <f>IFERROR(__xludf.DUMMYFUNCTION("""COMPUTED_VALUE"""),0.8333333333333334)</f>
        <v>0.8333333333</v>
      </c>
      <c r="D1125" s="8">
        <f>IFERROR(__xludf.DUMMYFUNCTION("""COMPUTED_VALUE"""),0.414)</f>
        <v>0.414</v>
      </c>
      <c r="E1125" s="8" t="str">
        <f>IFERROR(__xludf.DUMMYFUNCTION("""COMPUTED_VALUE"""),"Real")</f>
        <v>Real</v>
      </c>
      <c r="G1125" s="8">
        <f t="shared" si="1"/>
        <v>12</v>
      </c>
      <c r="H1125" s="14">
        <f t="shared" si="2"/>
        <v>17</v>
      </c>
      <c r="I1125" s="15">
        <f t="shared" si="3"/>
        <v>20</v>
      </c>
    </row>
    <row r="1126">
      <c r="A1126" s="8" t="str">
        <f>IFERROR(__xludf.DUMMYFUNCTION("IF('(INGESTA)Datos_consumo_datadis'!A1126&lt;&gt;"""",SPLIT('(INGESTA)Datos_consumo_datadis'!A:A,"",""),"""")"),"ES0031408323131005HX0F")</f>
        <v>ES0031408323131005HX0F</v>
      </c>
      <c r="B1126" s="17">
        <f>IFERROR(__xludf.DUMMYFUNCTION("""COMPUTED_VALUE"""),44912.0)</f>
        <v>44912</v>
      </c>
      <c r="C1126" s="13">
        <f>IFERROR(__xludf.DUMMYFUNCTION("""COMPUTED_VALUE"""),0.875)</f>
        <v>0.875</v>
      </c>
      <c r="D1126" s="8">
        <f>IFERROR(__xludf.DUMMYFUNCTION("""COMPUTED_VALUE"""),3.059)</f>
        <v>3.059</v>
      </c>
      <c r="E1126" s="8" t="str">
        <f>IFERROR(__xludf.DUMMYFUNCTION("""COMPUTED_VALUE"""),"Real")</f>
        <v>Real</v>
      </c>
      <c r="G1126" s="8">
        <f t="shared" si="1"/>
        <v>12</v>
      </c>
      <c r="H1126" s="14">
        <f t="shared" si="2"/>
        <v>17</v>
      </c>
      <c r="I1126" s="15">
        <f t="shared" si="3"/>
        <v>21</v>
      </c>
    </row>
    <row r="1127">
      <c r="A1127" s="8" t="str">
        <f>IFERROR(__xludf.DUMMYFUNCTION("IF('(INGESTA)Datos_consumo_datadis'!A1127&lt;&gt;"""",SPLIT('(INGESTA)Datos_consumo_datadis'!A:A,"",""),"""")"),"ES0031408323131005HX0F")</f>
        <v>ES0031408323131005HX0F</v>
      </c>
      <c r="B1127" s="17">
        <f>IFERROR(__xludf.DUMMYFUNCTION("""COMPUTED_VALUE"""),44912.0)</f>
        <v>44912</v>
      </c>
      <c r="C1127" s="13">
        <f>IFERROR(__xludf.DUMMYFUNCTION("""COMPUTED_VALUE"""),0.9166666666666666)</f>
        <v>0.9166666667</v>
      </c>
      <c r="D1127" s="8">
        <f>IFERROR(__xludf.DUMMYFUNCTION("""COMPUTED_VALUE"""),1.546)</f>
        <v>1.546</v>
      </c>
      <c r="E1127" s="8" t="str">
        <f>IFERROR(__xludf.DUMMYFUNCTION("""COMPUTED_VALUE"""),"Real")</f>
        <v>Real</v>
      </c>
      <c r="G1127" s="8">
        <f t="shared" si="1"/>
        <v>12</v>
      </c>
      <c r="H1127" s="14">
        <f t="shared" si="2"/>
        <v>17</v>
      </c>
      <c r="I1127" s="15">
        <f t="shared" si="3"/>
        <v>22</v>
      </c>
    </row>
    <row r="1128">
      <c r="A1128" s="8" t="str">
        <f>IFERROR(__xludf.DUMMYFUNCTION("IF('(INGESTA)Datos_consumo_datadis'!A1128&lt;&gt;"""",SPLIT('(INGESTA)Datos_consumo_datadis'!A:A,"",""),"""")"),"ES0031408323131005HX0F")</f>
        <v>ES0031408323131005HX0F</v>
      </c>
      <c r="B1128" s="17">
        <f>IFERROR(__xludf.DUMMYFUNCTION("""COMPUTED_VALUE"""),44912.0)</f>
        <v>44912</v>
      </c>
      <c r="C1128" s="13">
        <f>IFERROR(__xludf.DUMMYFUNCTION("""COMPUTED_VALUE"""),0.9583333333333334)</f>
        <v>0.9583333333</v>
      </c>
      <c r="D1128" s="8">
        <f>IFERROR(__xludf.DUMMYFUNCTION("""COMPUTED_VALUE"""),1.398)</f>
        <v>1.398</v>
      </c>
      <c r="E1128" s="8" t="str">
        <f>IFERROR(__xludf.DUMMYFUNCTION("""COMPUTED_VALUE"""),"Real")</f>
        <v>Real</v>
      </c>
      <c r="G1128" s="8">
        <f t="shared" si="1"/>
        <v>12</v>
      </c>
      <c r="H1128" s="14">
        <f t="shared" si="2"/>
        <v>17</v>
      </c>
      <c r="I1128" s="15">
        <f t="shared" si="3"/>
        <v>23</v>
      </c>
    </row>
    <row r="1129">
      <c r="A1129" s="8" t="str">
        <f>IFERROR(__xludf.DUMMYFUNCTION("IF('(INGESTA)Datos_consumo_datadis'!A1129&lt;&gt;"""",SPLIT('(INGESTA)Datos_consumo_datadis'!A:A,"",""),"""")"),"ES0031408323131005HX0F")</f>
        <v>ES0031408323131005HX0F</v>
      </c>
      <c r="B1129" s="17">
        <f>IFERROR(__xludf.DUMMYFUNCTION("""COMPUTED_VALUE"""),44912.0)</f>
        <v>44912</v>
      </c>
      <c r="C1129" s="16">
        <f>IFERROR(__xludf.DUMMYFUNCTION("""COMPUTED_VALUE"""),1.0)</f>
        <v>1</v>
      </c>
      <c r="D1129" s="8">
        <f>IFERROR(__xludf.DUMMYFUNCTION("""COMPUTED_VALUE"""),1.16)</f>
        <v>1.16</v>
      </c>
      <c r="E1129" s="8" t="str">
        <f>IFERROR(__xludf.DUMMYFUNCTION("""COMPUTED_VALUE"""),"Real")</f>
        <v>Real</v>
      </c>
      <c r="G1129" s="8">
        <f t="shared" si="1"/>
        <v>12</v>
      </c>
      <c r="H1129" s="14">
        <f t="shared" si="2"/>
        <v>17</v>
      </c>
      <c r="I1129" s="15">
        <f t="shared" si="3"/>
        <v>0</v>
      </c>
    </row>
    <row r="1130">
      <c r="A1130" s="8" t="str">
        <f>IFERROR(__xludf.DUMMYFUNCTION("IF('(INGESTA)Datos_consumo_datadis'!A1130&lt;&gt;"""",SPLIT('(INGESTA)Datos_consumo_datadis'!A:A,"",""),"""")"),"ES0031408323131005HX0F")</f>
        <v>ES0031408323131005HX0F</v>
      </c>
      <c r="B1130" s="17">
        <f>IFERROR(__xludf.DUMMYFUNCTION("""COMPUTED_VALUE"""),44913.0)</f>
        <v>44913</v>
      </c>
      <c r="C1130" s="13">
        <f>IFERROR(__xludf.DUMMYFUNCTION("""COMPUTED_VALUE"""),0.041666666666666664)</f>
        <v>0.04166666667</v>
      </c>
      <c r="D1130" s="8">
        <f>IFERROR(__xludf.DUMMYFUNCTION("""COMPUTED_VALUE"""),0.975)</f>
        <v>0.975</v>
      </c>
      <c r="E1130" s="8" t="str">
        <f>IFERROR(__xludf.DUMMYFUNCTION("""COMPUTED_VALUE"""),"Real")</f>
        <v>Real</v>
      </c>
      <c r="G1130" s="8">
        <f t="shared" si="1"/>
        <v>12</v>
      </c>
      <c r="H1130" s="14">
        <f t="shared" si="2"/>
        <v>18</v>
      </c>
      <c r="I1130" s="15">
        <f t="shared" si="3"/>
        <v>1</v>
      </c>
    </row>
    <row r="1131">
      <c r="A1131" s="8" t="str">
        <f>IFERROR(__xludf.DUMMYFUNCTION("IF('(INGESTA)Datos_consumo_datadis'!A1131&lt;&gt;"""",SPLIT('(INGESTA)Datos_consumo_datadis'!A:A,"",""),"""")"),"ES0031408323131005HX0F")</f>
        <v>ES0031408323131005HX0F</v>
      </c>
      <c r="B1131" s="17">
        <f>IFERROR(__xludf.DUMMYFUNCTION("""COMPUTED_VALUE"""),44913.0)</f>
        <v>44913</v>
      </c>
      <c r="C1131" s="13">
        <f>IFERROR(__xludf.DUMMYFUNCTION("""COMPUTED_VALUE"""),0.08333333333333333)</f>
        <v>0.08333333333</v>
      </c>
      <c r="D1131" s="8">
        <f>IFERROR(__xludf.DUMMYFUNCTION("""COMPUTED_VALUE"""),1.215)</f>
        <v>1.215</v>
      </c>
      <c r="E1131" s="8" t="str">
        <f>IFERROR(__xludf.DUMMYFUNCTION("""COMPUTED_VALUE"""),"Real")</f>
        <v>Real</v>
      </c>
      <c r="G1131" s="8">
        <f t="shared" si="1"/>
        <v>12</v>
      </c>
      <c r="H1131" s="14">
        <f t="shared" si="2"/>
        <v>18</v>
      </c>
      <c r="I1131" s="15">
        <f t="shared" si="3"/>
        <v>2</v>
      </c>
    </row>
    <row r="1132">
      <c r="A1132" s="8" t="str">
        <f>IFERROR(__xludf.DUMMYFUNCTION("IF('(INGESTA)Datos_consumo_datadis'!A1132&lt;&gt;"""",SPLIT('(INGESTA)Datos_consumo_datadis'!A:A,"",""),"""")"),"ES0031408323131005HX0F")</f>
        <v>ES0031408323131005HX0F</v>
      </c>
      <c r="B1132" s="17">
        <f>IFERROR(__xludf.DUMMYFUNCTION("""COMPUTED_VALUE"""),44913.0)</f>
        <v>44913</v>
      </c>
      <c r="C1132" s="13">
        <f>IFERROR(__xludf.DUMMYFUNCTION("""COMPUTED_VALUE"""),0.125)</f>
        <v>0.125</v>
      </c>
      <c r="D1132" s="8">
        <f>IFERROR(__xludf.DUMMYFUNCTION("""COMPUTED_VALUE"""),1.061)</f>
        <v>1.061</v>
      </c>
      <c r="E1132" s="8" t="str">
        <f>IFERROR(__xludf.DUMMYFUNCTION("""COMPUTED_VALUE"""),"Real")</f>
        <v>Real</v>
      </c>
      <c r="G1132" s="8">
        <f t="shared" si="1"/>
        <v>12</v>
      </c>
      <c r="H1132" s="14">
        <f t="shared" si="2"/>
        <v>18</v>
      </c>
      <c r="I1132" s="15">
        <f t="shared" si="3"/>
        <v>3</v>
      </c>
    </row>
    <row r="1133">
      <c r="A1133" s="8" t="str">
        <f>IFERROR(__xludf.DUMMYFUNCTION("IF('(INGESTA)Datos_consumo_datadis'!A1133&lt;&gt;"""",SPLIT('(INGESTA)Datos_consumo_datadis'!A:A,"",""),"""")"),"ES0031408323131005HX0F")</f>
        <v>ES0031408323131005HX0F</v>
      </c>
      <c r="B1133" s="17">
        <f>IFERROR(__xludf.DUMMYFUNCTION("""COMPUTED_VALUE"""),44913.0)</f>
        <v>44913</v>
      </c>
      <c r="C1133" s="13">
        <f>IFERROR(__xludf.DUMMYFUNCTION("""COMPUTED_VALUE"""),0.16666666666666666)</f>
        <v>0.1666666667</v>
      </c>
      <c r="D1133" s="8">
        <f>IFERROR(__xludf.DUMMYFUNCTION("""COMPUTED_VALUE"""),0.996)</f>
        <v>0.996</v>
      </c>
      <c r="E1133" s="8" t="str">
        <f>IFERROR(__xludf.DUMMYFUNCTION("""COMPUTED_VALUE"""),"Real")</f>
        <v>Real</v>
      </c>
      <c r="G1133" s="8">
        <f t="shared" si="1"/>
        <v>12</v>
      </c>
      <c r="H1133" s="14">
        <f t="shared" si="2"/>
        <v>18</v>
      </c>
      <c r="I1133" s="15">
        <f t="shared" si="3"/>
        <v>4</v>
      </c>
    </row>
    <row r="1134">
      <c r="A1134" s="8" t="str">
        <f>IFERROR(__xludf.DUMMYFUNCTION("IF('(INGESTA)Datos_consumo_datadis'!A1134&lt;&gt;"""",SPLIT('(INGESTA)Datos_consumo_datadis'!A:A,"",""),"""")"),"ES0031408323131005HX0F")</f>
        <v>ES0031408323131005HX0F</v>
      </c>
      <c r="B1134" s="17">
        <f>IFERROR(__xludf.DUMMYFUNCTION("""COMPUTED_VALUE"""),44913.0)</f>
        <v>44913</v>
      </c>
      <c r="C1134" s="13">
        <f>IFERROR(__xludf.DUMMYFUNCTION("""COMPUTED_VALUE"""),0.20833333333333334)</f>
        <v>0.2083333333</v>
      </c>
      <c r="D1134" s="8">
        <f>IFERROR(__xludf.DUMMYFUNCTION("""COMPUTED_VALUE"""),0.963)</f>
        <v>0.963</v>
      </c>
      <c r="E1134" s="8" t="str">
        <f>IFERROR(__xludf.DUMMYFUNCTION("""COMPUTED_VALUE"""),"Real")</f>
        <v>Real</v>
      </c>
      <c r="G1134" s="8">
        <f t="shared" si="1"/>
        <v>12</v>
      </c>
      <c r="H1134" s="14">
        <f t="shared" si="2"/>
        <v>18</v>
      </c>
      <c r="I1134" s="15">
        <f t="shared" si="3"/>
        <v>5</v>
      </c>
    </row>
    <row r="1135">
      <c r="A1135" s="8" t="str">
        <f>IFERROR(__xludf.DUMMYFUNCTION("IF('(INGESTA)Datos_consumo_datadis'!A1135&lt;&gt;"""",SPLIT('(INGESTA)Datos_consumo_datadis'!A:A,"",""),"""")"),"ES0031408323131005HX0F")</f>
        <v>ES0031408323131005HX0F</v>
      </c>
      <c r="B1135" s="17">
        <f>IFERROR(__xludf.DUMMYFUNCTION("""COMPUTED_VALUE"""),44913.0)</f>
        <v>44913</v>
      </c>
      <c r="C1135" s="13">
        <f>IFERROR(__xludf.DUMMYFUNCTION("""COMPUTED_VALUE"""),0.25)</f>
        <v>0.25</v>
      </c>
      <c r="D1135" s="8">
        <f>IFERROR(__xludf.DUMMYFUNCTION("""COMPUTED_VALUE"""),0.942)</f>
        <v>0.942</v>
      </c>
      <c r="E1135" s="8" t="str">
        <f>IFERROR(__xludf.DUMMYFUNCTION("""COMPUTED_VALUE"""),"Real")</f>
        <v>Real</v>
      </c>
      <c r="G1135" s="8">
        <f t="shared" si="1"/>
        <v>12</v>
      </c>
      <c r="H1135" s="14">
        <f t="shared" si="2"/>
        <v>18</v>
      </c>
      <c r="I1135" s="15">
        <f t="shared" si="3"/>
        <v>6</v>
      </c>
    </row>
    <row r="1136">
      <c r="A1136" s="8" t="str">
        <f>IFERROR(__xludf.DUMMYFUNCTION("IF('(INGESTA)Datos_consumo_datadis'!A1136&lt;&gt;"""",SPLIT('(INGESTA)Datos_consumo_datadis'!A:A,"",""),"""")"),"ES0031408323131005HX0F")</f>
        <v>ES0031408323131005HX0F</v>
      </c>
      <c r="B1136" s="17">
        <f>IFERROR(__xludf.DUMMYFUNCTION("""COMPUTED_VALUE"""),44913.0)</f>
        <v>44913</v>
      </c>
      <c r="C1136" s="13">
        <f>IFERROR(__xludf.DUMMYFUNCTION("""COMPUTED_VALUE"""),0.2916666666666667)</f>
        <v>0.2916666667</v>
      </c>
      <c r="D1136" s="8">
        <f>IFERROR(__xludf.DUMMYFUNCTION("""COMPUTED_VALUE"""),1.015)</f>
        <v>1.015</v>
      </c>
      <c r="E1136" s="8" t="str">
        <f>IFERROR(__xludf.DUMMYFUNCTION("""COMPUTED_VALUE"""),"Real")</f>
        <v>Real</v>
      </c>
      <c r="G1136" s="8">
        <f t="shared" si="1"/>
        <v>12</v>
      </c>
      <c r="H1136" s="14">
        <f t="shared" si="2"/>
        <v>18</v>
      </c>
      <c r="I1136" s="15">
        <f t="shared" si="3"/>
        <v>7</v>
      </c>
    </row>
    <row r="1137">
      <c r="A1137" s="8" t="str">
        <f>IFERROR(__xludf.DUMMYFUNCTION("IF('(INGESTA)Datos_consumo_datadis'!A1137&lt;&gt;"""",SPLIT('(INGESTA)Datos_consumo_datadis'!A:A,"",""),"""")"),"ES0031408323131005HX0F")</f>
        <v>ES0031408323131005HX0F</v>
      </c>
      <c r="B1137" s="17">
        <f>IFERROR(__xludf.DUMMYFUNCTION("""COMPUTED_VALUE"""),44913.0)</f>
        <v>44913</v>
      </c>
      <c r="C1137" s="13">
        <f>IFERROR(__xludf.DUMMYFUNCTION("""COMPUTED_VALUE"""),0.3333333333333333)</f>
        <v>0.3333333333</v>
      </c>
      <c r="D1137" s="8">
        <f>IFERROR(__xludf.DUMMYFUNCTION("""COMPUTED_VALUE"""),1.201)</f>
        <v>1.201</v>
      </c>
      <c r="E1137" s="8" t="str">
        <f>IFERROR(__xludf.DUMMYFUNCTION("""COMPUTED_VALUE"""),"Real")</f>
        <v>Real</v>
      </c>
      <c r="G1137" s="8">
        <f t="shared" si="1"/>
        <v>12</v>
      </c>
      <c r="H1137" s="14">
        <f t="shared" si="2"/>
        <v>18</v>
      </c>
      <c r="I1137" s="15">
        <f t="shared" si="3"/>
        <v>8</v>
      </c>
    </row>
    <row r="1138">
      <c r="A1138" s="8" t="str">
        <f>IFERROR(__xludf.DUMMYFUNCTION("IF('(INGESTA)Datos_consumo_datadis'!A1138&lt;&gt;"""",SPLIT('(INGESTA)Datos_consumo_datadis'!A:A,"",""),"""")"),"ES0031408323131005HX0F")</f>
        <v>ES0031408323131005HX0F</v>
      </c>
      <c r="B1138" s="17">
        <f>IFERROR(__xludf.DUMMYFUNCTION("""COMPUTED_VALUE"""),44913.0)</f>
        <v>44913</v>
      </c>
      <c r="C1138" s="13">
        <f>IFERROR(__xludf.DUMMYFUNCTION("""COMPUTED_VALUE"""),0.375)</f>
        <v>0.375</v>
      </c>
      <c r="D1138" s="8">
        <f>IFERROR(__xludf.DUMMYFUNCTION("""COMPUTED_VALUE"""),0.997)</f>
        <v>0.997</v>
      </c>
      <c r="E1138" s="8" t="str">
        <f>IFERROR(__xludf.DUMMYFUNCTION("""COMPUTED_VALUE"""),"Real")</f>
        <v>Real</v>
      </c>
      <c r="G1138" s="8">
        <f t="shared" si="1"/>
        <v>12</v>
      </c>
      <c r="H1138" s="14">
        <f t="shared" si="2"/>
        <v>18</v>
      </c>
      <c r="I1138" s="15">
        <f t="shared" si="3"/>
        <v>9</v>
      </c>
    </row>
    <row r="1139">
      <c r="A1139" s="8" t="str">
        <f>IFERROR(__xludf.DUMMYFUNCTION("IF('(INGESTA)Datos_consumo_datadis'!A1139&lt;&gt;"""",SPLIT('(INGESTA)Datos_consumo_datadis'!A:A,"",""),"""")"),"ES0031408323131005HX0F")</f>
        <v>ES0031408323131005HX0F</v>
      </c>
      <c r="B1139" s="17">
        <f>IFERROR(__xludf.DUMMYFUNCTION("""COMPUTED_VALUE"""),44913.0)</f>
        <v>44913</v>
      </c>
      <c r="C1139" s="13">
        <f>IFERROR(__xludf.DUMMYFUNCTION("""COMPUTED_VALUE"""),0.4166666666666667)</f>
        <v>0.4166666667</v>
      </c>
      <c r="D1139" s="8">
        <f>IFERROR(__xludf.DUMMYFUNCTION("""COMPUTED_VALUE"""),0.663)</f>
        <v>0.663</v>
      </c>
      <c r="E1139" s="8" t="str">
        <f>IFERROR(__xludf.DUMMYFUNCTION("""COMPUTED_VALUE"""),"Real")</f>
        <v>Real</v>
      </c>
      <c r="G1139" s="8">
        <f t="shared" si="1"/>
        <v>12</v>
      </c>
      <c r="H1139" s="14">
        <f t="shared" si="2"/>
        <v>18</v>
      </c>
      <c r="I1139" s="15">
        <f t="shared" si="3"/>
        <v>10</v>
      </c>
    </row>
    <row r="1140">
      <c r="A1140" s="8" t="str">
        <f>IFERROR(__xludf.DUMMYFUNCTION("IF('(INGESTA)Datos_consumo_datadis'!A1140&lt;&gt;"""",SPLIT('(INGESTA)Datos_consumo_datadis'!A:A,"",""),"""")"),"ES0031408323131005HX0F")</f>
        <v>ES0031408323131005HX0F</v>
      </c>
      <c r="B1140" s="17">
        <f>IFERROR(__xludf.DUMMYFUNCTION("""COMPUTED_VALUE"""),44913.0)</f>
        <v>44913</v>
      </c>
      <c r="C1140" s="13">
        <f>IFERROR(__xludf.DUMMYFUNCTION("""COMPUTED_VALUE"""),0.4583333333333333)</f>
        <v>0.4583333333</v>
      </c>
      <c r="D1140" s="8">
        <f>IFERROR(__xludf.DUMMYFUNCTION("""COMPUTED_VALUE"""),1.638)</f>
        <v>1.638</v>
      </c>
      <c r="E1140" s="8" t="str">
        <f>IFERROR(__xludf.DUMMYFUNCTION("""COMPUTED_VALUE"""),"Real")</f>
        <v>Real</v>
      </c>
      <c r="G1140" s="8">
        <f t="shared" si="1"/>
        <v>12</v>
      </c>
      <c r="H1140" s="14">
        <f t="shared" si="2"/>
        <v>18</v>
      </c>
      <c r="I1140" s="15">
        <f t="shared" si="3"/>
        <v>11</v>
      </c>
    </row>
    <row r="1141">
      <c r="A1141" s="8" t="str">
        <f>IFERROR(__xludf.DUMMYFUNCTION("IF('(INGESTA)Datos_consumo_datadis'!A1141&lt;&gt;"""",SPLIT('(INGESTA)Datos_consumo_datadis'!A:A,"",""),"""")"),"ES0031408323131005HX0F")</f>
        <v>ES0031408323131005HX0F</v>
      </c>
      <c r="B1141" s="17">
        <f>IFERROR(__xludf.DUMMYFUNCTION("""COMPUTED_VALUE"""),44913.0)</f>
        <v>44913</v>
      </c>
      <c r="C1141" s="13">
        <f>IFERROR(__xludf.DUMMYFUNCTION("""COMPUTED_VALUE"""),0.5)</f>
        <v>0.5</v>
      </c>
      <c r="D1141" s="8">
        <f>IFERROR(__xludf.DUMMYFUNCTION("""COMPUTED_VALUE"""),0.014)</f>
        <v>0.014</v>
      </c>
      <c r="E1141" s="8" t="str">
        <f>IFERROR(__xludf.DUMMYFUNCTION("""COMPUTED_VALUE"""),"Real")</f>
        <v>Real</v>
      </c>
      <c r="G1141" s="8">
        <f t="shared" si="1"/>
        <v>12</v>
      </c>
      <c r="H1141" s="14">
        <f t="shared" si="2"/>
        <v>18</v>
      </c>
      <c r="I1141" s="15">
        <f t="shared" si="3"/>
        <v>12</v>
      </c>
    </row>
    <row r="1142">
      <c r="A1142" s="8" t="str">
        <f>IFERROR(__xludf.DUMMYFUNCTION("IF('(INGESTA)Datos_consumo_datadis'!A1142&lt;&gt;"""",SPLIT('(INGESTA)Datos_consumo_datadis'!A:A,"",""),"""")"),"ES0031408323131005HX0F")</f>
        <v>ES0031408323131005HX0F</v>
      </c>
      <c r="B1142" s="17">
        <f>IFERROR(__xludf.DUMMYFUNCTION("""COMPUTED_VALUE"""),44913.0)</f>
        <v>44913</v>
      </c>
      <c r="C1142" s="13">
        <f>IFERROR(__xludf.DUMMYFUNCTION("""COMPUTED_VALUE"""),0.5416666666666666)</f>
        <v>0.5416666667</v>
      </c>
      <c r="D1142" s="8">
        <f>IFERROR(__xludf.DUMMYFUNCTION("""COMPUTED_VALUE"""),0.076)</f>
        <v>0.076</v>
      </c>
      <c r="E1142" s="8" t="str">
        <f>IFERROR(__xludf.DUMMYFUNCTION("""COMPUTED_VALUE"""),"Real")</f>
        <v>Real</v>
      </c>
      <c r="G1142" s="8">
        <f t="shared" si="1"/>
        <v>12</v>
      </c>
      <c r="H1142" s="14">
        <f t="shared" si="2"/>
        <v>18</v>
      </c>
      <c r="I1142" s="15">
        <f t="shared" si="3"/>
        <v>13</v>
      </c>
    </row>
    <row r="1143">
      <c r="A1143" s="8" t="str">
        <f>IFERROR(__xludf.DUMMYFUNCTION("IF('(INGESTA)Datos_consumo_datadis'!A1143&lt;&gt;"""",SPLIT('(INGESTA)Datos_consumo_datadis'!A:A,"",""),"""")"),"ES0031408323131005HX0F")</f>
        <v>ES0031408323131005HX0F</v>
      </c>
      <c r="B1143" s="17">
        <f>IFERROR(__xludf.DUMMYFUNCTION("""COMPUTED_VALUE"""),44913.0)</f>
        <v>44913</v>
      </c>
      <c r="C1143" s="13">
        <f>IFERROR(__xludf.DUMMYFUNCTION("""COMPUTED_VALUE"""),0.5833333333333334)</f>
        <v>0.5833333333</v>
      </c>
      <c r="D1143" s="8">
        <f>IFERROR(__xludf.DUMMYFUNCTION("""COMPUTED_VALUE"""),0.04)</f>
        <v>0.04</v>
      </c>
      <c r="E1143" s="8" t="str">
        <f>IFERROR(__xludf.DUMMYFUNCTION("""COMPUTED_VALUE"""),"Real")</f>
        <v>Real</v>
      </c>
      <c r="G1143" s="8">
        <f t="shared" si="1"/>
        <v>12</v>
      </c>
      <c r="H1143" s="14">
        <f t="shared" si="2"/>
        <v>18</v>
      </c>
      <c r="I1143" s="15">
        <f t="shared" si="3"/>
        <v>14</v>
      </c>
    </row>
    <row r="1144">
      <c r="A1144" s="8" t="str">
        <f>IFERROR(__xludf.DUMMYFUNCTION("IF('(INGESTA)Datos_consumo_datadis'!A1144&lt;&gt;"""",SPLIT('(INGESTA)Datos_consumo_datadis'!A:A,"",""),"""")"),"ES0031408323131005HX0F")</f>
        <v>ES0031408323131005HX0F</v>
      </c>
      <c r="B1144" s="17">
        <f>IFERROR(__xludf.DUMMYFUNCTION("""COMPUTED_VALUE"""),44913.0)</f>
        <v>44913</v>
      </c>
      <c r="C1144" s="13">
        <f>IFERROR(__xludf.DUMMYFUNCTION("""COMPUTED_VALUE"""),0.625)</f>
        <v>0.625</v>
      </c>
      <c r="D1144" s="8">
        <f>IFERROR(__xludf.DUMMYFUNCTION("""COMPUTED_VALUE"""),0.753)</f>
        <v>0.753</v>
      </c>
      <c r="E1144" s="8" t="str">
        <f>IFERROR(__xludf.DUMMYFUNCTION("""COMPUTED_VALUE"""),"Real")</f>
        <v>Real</v>
      </c>
      <c r="G1144" s="8">
        <f t="shared" si="1"/>
        <v>12</v>
      </c>
      <c r="H1144" s="14">
        <f t="shared" si="2"/>
        <v>18</v>
      </c>
      <c r="I1144" s="15">
        <f t="shared" si="3"/>
        <v>15</v>
      </c>
    </row>
    <row r="1145">
      <c r="A1145" s="8" t="str">
        <f>IFERROR(__xludf.DUMMYFUNCTION("IF('(INGESTA)Datos_consumo_datadis'!A1145&lt;&gt;"""",SPLIT('(INGESTA)Datos_consumo_datadis'!A:A,"",""),"""")"),"ES0031408323131005HX0F")</f>
        <v>ES0031408323131005HX0F</v>
      </c>
      <c r="B1145" s="17">
        <f>IFERROR(__xludf.DUMMYFUNCTION("""COMPUTED_VALUE"""),44913.0)</f>
        <v>44913</v>
      </c>
      <c r="C1145" s="13">
        <f>IFERROR(__xludf.DUMMYFUNCTION("""COMPUTED_VALUE"""),0.6666666666666666)</f>
        <v>0.6666666667</v>
      </c>
      <c r="D1145" s="8">
        <f>IFERROR(__xludf.DUMMYFUNCTION("""COMPUTED_VALUE"""),1.583)</f>
        <v>1.583</v>
      </c>
      <c r="E1145" s="8" t="str">
        <f>IFERROR(__xludf.DUMMYFUNCTION("""COMPUTED_VALUE"""),"Real")</f>
        <v>Real</v>
      </c>
      <c r="G1145" s="8">
        <f t="shared" si="1"/>
        <v>12</v>
      </c>
      <c r="H1145" s="14">
        <f t="shared" si="2"/>
        <v>18</v>
      </c>
      <c r="I1145" s="15">
        <f t="shared" si="3"/>
        <v>16</v>
      </c>
    </row>
    <row r="1146">
      <c r="A1146" s="8" t="str">
        <f>IFERROR(__xludf.DUMMYFUNCTION("IF('(INGESTA)Datos_consumo_datadis'!A1146&lt;&gt;"""",SPLIT('(INGESTA)Datos_consumo_datadis'!A:A,"",""),"""")"),"ES0031408323131005HX0F")</f>
        <v>ES0031408323131005HX0F</v>
      </c>
      <c r="B1146" s="17">
        <f>IFERROR(__xludf.DUMMYFUNCTION("""COMPUTED_VALUE"""),44913.0)</f>
        <v>44913</v>
      </c>
      <c r="C1146" s="13">
        <f>IFERROR(__xludf.DUMMYFUNCTION("""COMPUTED_VALUE"""),0.7083333333333334)</f>
        <v>0.7083333333</v>
      </c>
      <c r="D1146" s="8">
        <f>IFERROR(__xludf.DUMMYFUNCTION("""COMPUTED_VALUE"""),1.428)</f>
        <v>1.428</v>
      </c>
      <c r="E1146" s="8" t="str">
        <f>IFERROR(__xludf.DUMMYFUNCTION("""COMPUTED_VALUE"""),"Real")</f>
        <v>Real</v>
      </c>
      <c r="G1146" s="8">
        <f t="shared" si="1"/>
        <v>12</v>
      </c>
      <c r="H1146" s="14">
        <f t="shared" si="2"/>
        <v>18</v>
      </c>
      <c r="I1146" s="15">
        <f t="shared" si="3"/>
        <v>17</v>
      </c>
    </row>
    <row r="1147">
      <c r="A1147" s="8" t="str">
        <f>IFERROR(__xludf.DUMMYFUNCTION("IF('(INGESTA)Datos_consumo_datadis'!A1147&lt;&gt;"""",SPLIT('(INGESTA)Datos_consumo_datadis'!A:A,"",""),"""")"),"ES0031408323131005HX0F")</f>
        <v>ES0031408323131005HX0F</v>
      </c>
      <c r="B1147" s="17">
        <f>IFERROR(__xludf.DUMMYFUNCTION("""COMPUTED_VALUE"""),44913.0)</f>
        <v>44913</v>
      </c>
      <c r="C1147" s="13">
        <f>IFERROR(__xludf.DUMMYFUNCTION("""COMPUTED_VALUE"""),0.75)</f>
        <v>0.75</v>
      </c>
      <c r="D1147" s="8">
        <f>IFERROR(__xludf.DUMMYFUNCTION("""COMPUTED_VALUE"""),0.759)</f>
        <v>0.759</v>
      </c>
      <c r="E1147" s="8" t="str">
        <f>IFERROR(__xludf.DUMMYFUNCTION("""COMPUTED_VALUE"""),"Real")</f>
        <v>Real</v>
      </c>
      <c r="G1147" s="8">
        <f t="shared" si="1"/>
        <v>12</v>
      </c>
      <c r="H1147" s="14">
        <f t="shared" si="2"/>
        <v>18</v>
      </c>
      <c r="I1147" s="15">
        <f t="shared" si="3"/>
        <v>18</v>
      </c>
    </row>
    <row r="1148">
      <c r="A1148" s="8" t="str">
        <f>IFERROR(__xludf.DUMMYFUNCTION("IF('(INGESTA)Datos_consumo_datadis'!A1148&lt;&gt;"""",SPLIT('(INGESTA)Datos_consumo_datadis'!A:A,"",""),"""")"),"ES0031408323131005HX0F")</f>
        <v>ES0031408323131005HX0F</v>
      </c>
      <c r="B1148" s="17">
        <f>IFERROR(__xludf.DUMMYFUNCTION("""COMPUTED_VALUE"""),44913.0)</f>
        <v>44913</v>
      </c>
      <c r="C1148" s="13">
        <f>IFERROR(__xludf.DUMMYFUNCTION("""COMPUTED_VALUE"""),0.7916666666666666)</f>
        <v>0.7916666667</v>
      </c>
      <c r="D1148" s="8">
        <f>IFERROR(__xludf.DUMMYFUNCTION("""COMPUTED_VALUE"""),0.076)</f>
        <v>0.076</v>
      </c>
      <c r="E1148" s="8" t="str">
        <f>IFERROR(__xludf.DUMMYFUNCTION("""COMPUTED_VALUE"""),"Real")</f>
        <v>Real</v>
      </c>
      <c r="G1148" s="8">
        <f t="shared" si="1"/>
        <v>12</v>
      </c>
      <c r="H1148" s="14">
        <f t="shared" si="2"/>
        <v>18</v>
      </c>
      <c r="I1148" s="15">
        <f t="shared" si="3"/>
        <v>19</v>
      </c>
    </row>
    <row r="1149">
      <c r="A1149" s="8" t="str">
        <f>IFERROR(__xludf.DUMMYFUNCTION("IF('(INGESTA)Datos_consumo_datadis'!A1149&lt;&gt;"""",SPLIT('(INGESTA)Datos_consumo_datadis'!A:A,"",""),"""")"),"ES0031408323131005HX0F")</f>
        <v>ES0031408323131005HX0F</v>
      </c>
      <c r="B1149" s="17">
        <f>IFERROR(__xludf.DUMMYFUNCTION("""COMPUTED_VALUE"""),44913.0)</f>
        <v>44913</v>
      </c>
      <c r="C1149" s="13">
        <f>IFERROR(__xludf.DUMMYFUNCTION("""COMPUTED_VALUE"""),0.8333333333333334)</f>
        <v>0.8333333333</v>
      </c>
      <c r="D1149" s="8">
        <f>IFERROR(__xludf.DUMMYFUNCTION("""COMPUTED_VALUE"""),0.051)</f>
        <v>0.051</v>
      </c>
      <c r="E1149" s="8" t="str">
        <f>IFERROR(__xludf.DUMMYFUNCTION("""COMPUTED_VALUE"""),"Real")</f>
        <v>Real</v>
      </c>
      <c r="G1149" s="8">
        <f t="shared" si="1"/>
        <v>12</v>
      </c>
      <c r="H1149" s="14">
        <f t="shared" si="2"/>
        <v>18</v>
      </c>
      <c r="I1149" s="15">
        <f t="shared" si="3"/>
        <v>20</v>
      </c>
    </row>
    <row r="1150">
      <c r="A1150" s="8" t="str">
        <f>IFERROR(__xludf.DUMMYFUNCTION("IF('(INGESTA)Datos_consumo_datadis'!A1150&lt;&gt;"""",SPLIT('(INGESTA)Datos_consumo_datadis'!A:A,"",""),"""")"),"ES0031408323131005HX0F")</f>
        <v>ES0031408323131005HX0F</v>
      </c>
      <c r="B1150" s="17">
        <f>IFERROR(__xludf.DUMMYFUNCTION("""COMPUTED_VALUE"""),44913.0)</f>
        <v>44913</v>
      </c>
      <c r="C1150" s="13">
        <f>IFERROR(__xludf.DUMMYFUNCTION("""COMPUTED_VALUE"""),0.875)</f>
        <v>0.875</v>
      </c>
      <c r="D1150" s="8">
        <f>IFERROR(__xludf.DUMMYFUNCTION("""COMPUTED_VALUE"""),0.014)</f>
        <v>0.014</v>
      </c>
      <c r="E1150" s="8" t="str">
        <f>IFERROR(__xludf.DUMMYFUNCTION("""COMPUTED_VALUE"""),"Real")</f>
        <v>Real</v>
      </c>
      <c r="G1150" s="8">
        <f t="shared" si="1"/>
        <v>12</v>
      </c>
      <c r="H1150" s="14">
        <f t="shared" si="2"/>
        <v>18</v>
      </c>
      <c r="I1150" s="15">
        <f t="shared" si="3"/>
        <v>21</v>
      </c>
    </row>
    <row r="1151">
      <c r="A1151" s="8" t="str">
        <f>IFERROR(__xludf.DUMMYFUNCTION("IF('(INGESTA)Datos_consumo_datadis'!A1151&lt;&gt;"""",SPLIT('(INGESTA)Datos_consumo_datadis'!A:A,"",""),"""")"),"ES0031408323131005HX0F")</f>
        <v>ES0031408323131005HX0F</v>
      </c>
      <c r="B1151" s="17">
        <f>IFERROR(__xludf.DUMMYFUNCTION("""COMPUTED_VALUE"""),44913.0)</f>
        <v>44913</v>
      </c>
      <c r="C1151" s="13">
        <f>IFERROR(__xludf.DUMMYFUNCTION("""COMPUTED_VALUE"""),0.9166666666666666)</f>
        <v>0.9166666667</v>
      </c>
      <c r="D1151" s="8">
        <f>IFERROR(__xludf.DUMMYFUNCTION("""COMPUTED_VALUE"""),0.081)</f>
        <v>0.081</v>
      </c>
      <c r="E1151" s="8" t="str">
        <f>IFERROR(__xludf.DUMMYFUNCTION("""COMPUTED_VALUE"""),"Real")</f>
        <v>Real</v>
      </c>
      <c r="G1151" s="8">
        <f t="shared" si="1"/>
        <v>12</v>
      </c>
      <c r="H1151" s="14">
        <f t="shared" si="2"/>
        <v>18</v>
      </c>
      <c r="I1151" s="15">
        <f t="shared" si="3"/>
        <v>22</v>
      </c>
    </row>
    <row r="1152">
      <c r="A1152" s="8" t="str">
        <f>IFERROR(__xludf.DUMMYFUNCTION("IF('(INGESTA)Datos_consumo_datadis'!A1152&lt;&gt;"""",SPLIT('(INGESTA)Datos_consumo_datadis'!A:A,"",""),"""")"),"ES0031408323131005HX0F")</f>
        <v>ES0031408323131005HX0F</v>
      </c>
      <c r="B1152" s="17">
        <f>IFERROR(__xludf.DUMMYFUNCTION("""COMPUTED_VALUE"""),44913.0)</f>
        <v>44913</v>
      </c>
      <c r="C1152" s="13">
        <f>IFERROR(__xludf.DUMMYFUNCTION("""COMPUTED_VALUE"""),0.9583333333333334)</f>
        <v>0.9583333333</v>
      </c>
      <c r="D1152" s="8">
        <f>IFERROR(__xludf.DUMMYFUNCTION("""COMPUTED_VALUE"""),0.959)</f>
        <v>0.959</v>
      </c>
      <c r="E1152" s="8" t="str">
        <f>IFERROR(__xludf.DUMMYFUNCTION("""COMPUTED_VALUE"""),"Real")</f>
        <v>Real</v>
      </c>
      <c r="G1152" s="8">
        <f t="shared" si="1"/>
        <v>12</v>
      </c>
      <c r="H1152" s="14">
        <f t="shared" si="2"/>
        <v>18</v>
      </c>
      <c r="I1152" s="15">
        <f t="shared" si="3"/>
        <v>23</v>
      </c>
    </row>
    <row r="1153">
      <c r="A1153" s="8" t="str">
        <f>IFERROR(__xludf.DUMMYFUNCTION("IF('(INGESTA)Datos_consumo_datadis'!A1153&lt;&gt;"""",SPLIT('(INGESTA)Datos_consumo_datadis'!A:A,"",""),"""")"),"ES0031408323131005HX0F")</f>
        <v>ES0031408323131005HX0F</v>
      </c>
      <c r="B1153" s="17">
        <f>IFERROR(__xludf.DUMMYFUNCTION("""COMPUTED_VALUE"""),44913.0)</f>
        <v>44913</v>
      </c>
      <c r="C1153" s="16">
        <f>IFERROR(__xludf.DUMMYFUNCTION("""COMPUTED_VALUE"""),1.0)</f>
        <v>1</v>
      </c>
      <c r="D1153" s="8">
        <f>IFERROR(__xludf.DUMMYFUNCTION("""COMPUTED_VALUE"""),1.138)</f>
        <v>1.138</v>
      </c>
      <c r="E1153" s="8" t="str">
        <f>IFERROR(__xludf.DUMMYFUNCTION("""COMPUTED_VALUE"""),"Real")</f>
        <v>Real</v>
      </c>
      <c r="G1153" s="8">
        <f t="shared" si="1"/>
        <v>12</v>
      </c>
      <c r="H1153" s="14">
        <f t="shared" si="2"/>
        <v>18</v>
      </c>
      <c r="I1153" s="15">
        <f t="shared" si="3"/>
        <v>0</v>
      </c>
    </row>
    <row r="1154">
      <c r="A1154" s="8" t="str">
        <f>IFERROR(__xludf.DUMMYFUNCTION("IF('(INGESTA)Datos_consumo_datadis'!A1154&lt;&gt;"""",SPLIT('(INGESTA)Datos_consumo_datadis'!A:A,"",""),"""")"),"ES0031408323131005HX0F")</f>
        <v>ES0031408323131005HX0F</v>
      </c>
      <c r="B1154" s="17">
        <f>IFERROR(__xludf.DUMMYFUNCTION("""COMPUTED_VALUE"""),44914.0)</f>
        <v>44914</v>
      </c>
      <c r="C1154" s="13">
        <f>IFERROR(__xludf.DUMMYFUNCTION("""COMPUTED_VALUE"""),0.041666666666666664)</f>
        <v>0.04166666667</v>
      </c>
      <c r="D1154" s="8">
        <f>IFERROR(__xludf.DUMMYFUNCTION("""COMPUTED_VALUE"""),1.122)</f>
        <v>1.122</v>
      </c>
      <c r="E1154" s="8" t="str">
        <f>IFERROR(__xludf.DUMMYFUNCTION("""COMPUTED_VALUE"""),"Real")</f>
        <v>Real</v>
      </c>
      <c r="G1154" s="8">
        <f t="shared" si="1"/>
        <v>12</v>
      </c>
      <c r="H1154" s="14">
        <f t="shared" si="2"/>
        <v>19</v>
      </c>
      <c r="I1154" s="15">
        <f t="shared" si="3"/>
        <v>1</v>
      </c>
    </row>
    <row r="1155">
      <c r="A1155" s="8" t="str">
        <f>IFERROR(__xludf.DUMMYFUNCTION("IF('(INGESTA)Datos_consumo_datadis'!A1155&lt;&gt;"""",SPLIT('(INGESTA)Datos_consumo_datadis'!A:A,"",""),"""")"),"ES0031408323131005HX0F")</f>
        <v>ES0031408323131005HX0F</v>
      </c>
      <c r="B1155" s="17">
        <f>IFERROR(__xludf.DUMMYFUNCTION("""COMPUTED_VALUE"""),44914.0)</f>
        <v>44914</v>
      </c>
      <c r="C1155" s="13">
        <f>IFERROR(__xludf.DUMMYFUNCTION("""COMPUTED_VALUE"""),0.08333333333333333)</f>
        <v>0.08333333333</v>
      </c>
      <c r="D1155" s="8">
        <f>IFERROR(__xludf.DUMMYFUNCTION("""COMPUTED_VALUE"""),1.361)</f>
        <v>1.361</v>
      </c>
      <c r="E1155" s="8" t="str">
        <f>IFERROR(__xludf.DUMMYFUNCTION("""COMPUTED_VALUE"""),"Real")</f>
        <v>Real</v>
      </c>
      <c r="G1155" s="8">
        <f t="shared" si="1"/>
        <v>12</v>
      </c>
      <c r="H1155" s="14">
        <f t="shared" si="2"/>
        <v>19</v>
      </c>
      <c r="I1155" s="15">
        <f t="shared" si="3"/>
        <v>2</v>
      </c>
    </row>
    <row r="1156">
      <c r="A1156" s="8" t="str">
        <f>IFERROR(__xludf.DUMMYFUNCTION("IF('(INGESTA)Datos_consumo_datadis'!A1156&lt;&gt;"""",SPLIT('(INGESTA)Datos_consumo_datadis'!A:A,"",""),"""")"),"ES0031408323131005HX0F")</f>
        <v>ES0031408323131005HX0F</v>
      </c>
      <c r="B1156" s="17">
        <f>IFERROR(__xludf.DUMMYFUNCTION("""COMPUTED_VALUE"""),44914.0)</f>
        <v>44914</v>
      </c>
      <c r="C1156" s="13">
        <f>IFERROR(__xludf.DUMMYFUNCTION("""COMPUTED_VALUE"""),0.125)</f>
        <v>0.125</v>
      </c>
      <c r="D1156" s="8">
        <f>IFERROR(__xludf.DUMMYFUNCTION("""COMPUTED_VALUE"""),1.105)</f>
        <v>1.105</v>
      </c>
      <c r="E1156" s="8" t="str">
        <f>IFERROR(__xludf.DUMMYFUNCTION("""COMPUTED_VALUE"""),"Real")</f>
        <v>Real</v>
      </c>
      <c r="G1156" s="8">
        <f t="shared" si="1"/>
        <v>12</v>
      </c>
      <c r="H1156" s="14">
        <f t="shared" si="2"/>
        <v>19</v>
      </c>
      <c r="I1156" s="15">
        <f t="shared" si="3"/>
        <v>3</v>
      </c>
    </row>
    <row r="1157">
      <c r="A1157" s="8" t="str">
        <f>IFERROR(__xludf.DUMMYFUNCTION("IF('(INGESTA)Datos_consumo_datadis'!A1157&lt;&gt;"""",SPLIT('(INGESTA)Datos_consumo_datadis'!A:A,"",""),"""")"),"ES0031408323131005HX0F")</f>
        <v>ES0031408323131005HX0F</v>
      </c>
      <c r="B1157" s="17">
        <f>IFERROR(__xludf.DUMMYFUNCTION("""COMPUTED_VALUE"""),44914.0)</f>
        <v>44914</v>
      </c>
      <c r="C1157" s="13">
        <f>IFERROR(__xludf.DUMMYFUNCTION("""COMPUTED_VALUE"""),0.16666666666666666)</f>
        <v>0.1666666667</v>
      </c>
      <c r="D1157" s="8">
        <f>IFERROR(__xludf.DUMMYFUNCTION("""COMPUTED_VALUE"""),1.101)</f>
        <v>1.101</v>
      </c>
      <c r="E1157" s="8" t="str">
        <f>IFERROR(__xludf.DUMMYFUNCTION("""COMPUTED_VALUE"""),"Real")</f>
        <v>Real</v>
      </c>
      <c r="G1157" s="8">
        <f t="shared" si="1"/>
        <v>12</v>
      </c>
      <c r="H1157" s="14">
        <f t="shared" si="2"/>
        <v>19</v>
      </c>
      <c r="I1157" s="15">
        <f t="shared" si="3"/>
        <v>4</v>
      </c>
    </row>
    <row r="1158">
      <c r="A1158" s="8" t="str">
        <f>IFERROR(__xludf.DUMMYFUNCTION("IF('(INGESTA)Datos_consumo_datadis'!A1158&lt;&gt;"""",SPLIT('(INGESTA)Datos_consumo_datadis'!A:A,"",""),"""")"),"ES0031408323131005HX0F")</f>
        <v>ES0031408323131005HX0F</v>
      </c>
      <c r="B1158" s="17">
        <f>IFERROR(__xludf.DUMMYFUNCTION("""COMPUTED_VALUE"""),44914.0)</f>
        <v>44914</v>
      </c>
      <c r="C1158" s="13">
        <f>IFERROR(__xludf.DUMMYFUNCTION("""COMPUTED_VALUE"""),0.20833333333333334)</f>
        <v>0.2083333333</v>
      </c>
      <c r="D1158" s="8">
        <f>IFERROR(__xludf.DUMMYFUNCTION("""COMPUTED_VALUE"""),1.081)</f>
        <v>1.081</v>
      </c>
      <c r="E1158" s="8" t="str">
        <f>IFERROR(__xludf.DUMMYFUNCTION("""COMPUTED_VALUE"""),"Real")</f>
        <v>Real</v>
      </c>
      <c r="G1158" s="8">
        <f t="shared" si="1"/>
        <v>12</v>
      </c>
      <c r="H1158" s="14">
        <f t="shared" si="2"/>
        <v>19</v>
      </c>
      <c r="I1158" s="15">
        <f t="shared" si="3"/>
        <v>5</v>
      </c>
    </row>
    <row r="1159">
      <c r="A1159" s="8" t="str">
        <f>IFERROR(__xludf.DUMMYFUNCTION("IF('(INGESTA)Datos_consumo_datadis'!A1159&lt;&gt;"""",SPLIT('(INGESTA)Datos_consumo_datadis'!A:A,"",""),"""")"),"ES0031408323131005HX0F")</f>
        <v>ES0031408323131005HX0F</v>
      </c>
      <c r="B1159" s="17">
        <f>IFERROR(__xludf.DUMMYFUNCTION("""COMPUTED_VALUE"""),44914.0)</f>
        <v>44914</v>
      </c>
      <c r="C1159" s="13">
        <f>IFERROR(__xludf.DUMMYFUNCTION("""COMPUTED_VALUE"""),0.25)</f>
        <v>0.25</v>
      </c>
      <c r="D1159" s="8">
        <f>IFERROR(__xludf.DUMMYFUNCTION("""COMPUTED_VALUE"""),1.092)</f>
        <v>1.092</v>
      </c>
      <c r="E1159" s="8" t="str">
        <f>IFERROR(__xludf.DUMMYFUNCTION("""COMPUTED_VALUE"""),"Real")</f>
        <v>Real</v>
      </c>
      <c r="G1159" s="8">
        <f t="shared" si="1"/>
        <v>12</v>
      </c>
      <c r="H1159" s="14">
        <f t="shared" si="2"/>
        <v>19</v>
      </c>
      <c r="I1159" s="15">
        <f t="shared" si="3"/>
        <v>6</v>
      </c>
    </row>
    <row r="1160">
      <c r="A1160" s="8" t="str">
        <f>IFERROR(__xludf.DUMMYFUNCTION("IF('(INGESTA)Datos_consumo_datadis'!A1160&lt;&gt;"""",SPLIT('(INGESTA)Datos_consumo_datadis'!A:A,"",""),"""")"),"ES0031408323131005HX0F")</f>
        <v>ES0031408323131005HX0F</v>
      </c>
      <c r="B1160" s="17">
        <f>IFERROR(__xludf.DUMMYFUNCTION("""COMPUTED_VALUE"""),44914.0)</f>
        <v>44914</v>
      </c>
      <c r="C1160" s="13">
        <f>IFERROR(__xludf.DUMMYFUNCTION("""COMPUTED_VALUE"""),0.2916666666666667)</f>
        <v>0.2916666667</v>
      </c>
      <c r="D1160" s="8">
        <f>IFERROR(__xludf.DUMMYFUNCTION("""COMPUTED_VALUE"""),1.134)</f>
        <v>1.134</v>
      </c>
      <c r="E1160" s="8" t="str">
        <f>IFERROR(__xludf.DUMMYFUNCTION("""COMPUTED_VALUE"""),"Real")</f>
        <v>Real</v>
      </c>
      <c r="G1160" s="8">
        <f t="shared" si="1"/>
        <v>12</v>
      </c>
      <c r="H1160" s="14">
        <f t="shared" si="2"/>
        <v>19</v>
      </c>
      <c r="I1160" s="15">
        <f t="shared" si="3"/>
        <v>7</v>
      </c>
    </row>
    <row r="1161">
      <c r="A1161" s="8" t="str">
        <f>IFERROR(__xludf.DUMMYFUNCTION("IF('(INGESTA)Datos_consumo_datadis'!A1161&lt;&gt;"""",SPLIT('(INGESTA)Datos_consumo_datadis'!A:A,"",""),"""")"),"ES0031408323131005HX0F")</f>
        <v>ES0031408323131005HX0F</v>
      </c>
      <c r="B1161" s="17">
        <f>IFERROR(__xludf.DUMMYFUNCTION("""COMPUTED_VALUE"""),44914.0)</f>
        <v>44914</v>
      </c>
      <c r="C1161" s="13">
        <f>IFERROR(__xludf.DUMMYFUNCTION("""COMPUTED_VALUE"""),0.3333333333333333)</f>
        <v>0.3333333333</v>
      </c>
      <c r="D1161" s="8">
        <f>IFERROR(__xludf.DUMMYFUNCTION("""COMPUTED_VALUE"""),0.991)</f>
        <v>0.991</v>
      </c>
      <c r="E1161" s="8" t="str">
        <f>IFERROR(__xludf.DUMMYFUNCTION("""COMPUTED_VALUE"""),"Real")</f>
        <v>Real</v>
      </c>
      <c r="G1161" s="8">
        <f t="shared" si="1"/>
        <v>12</v>
      </c>
      <c r="H1161" s="14">
        <f t="shared" si="2"/>
        <v>19</v>
      </c>
      <c r="I1161" s="15">
        <f t="shared" si="3"/>
        <v>8</v>
      </c>
    </row>
    <row r="1162">
      <c r="A1162" s="8" t="str">
        <f>IFERROR(__xludf.DUMMYFUNCTION("IF('(INGESTA)Datos_consumo_datadis'!A1162&lt;&gt;"""",SPLIT('(INGESTA)Datos_consumo_datadis'!A:A,"",""),"""")"),"ES0031408323131005HX0F")</f>
        <v>ES0031408323131005HX0F</v>
      </c>
      <c r="B1162" s="17">
        <f>IFERROR(__xludf.DUMMYFUNCTION("""COMPUTED_VALUE"""),44914.0)</f>
        <v>44914</v>
      </c>
      <c r="C1162" s="13">
        <f>IFERROR(__xludf.DUMMYFUNCTION("""COMPUTED_VALUE"""),0.375)</f>
        <v>0.375</v>
      </c>
      <c r="D1162" s="8">
        <f>IFERROR(__xludf.DUMMYFUNCTION("""COMPUTED_VALUE"""),0.438)</f>
        <v>0.438</v>
      </c>
      <c r="E1162" s="8" t="str">
        <f>IFERROR(__xludf.DUMMYFUNCTION("""COMPUTED_VALUE"""),"Real")</f>
        <v>Real</v>
      </c>
      <c r="G1162" s="8">
        <f t="shared" si="1"/>
        <v>12</v>
      </c>
      <c r="H1162" s="14">
        <f t="shared" si="2"/>
        <v>19</v>
      </c>
      <c r="I1162" s="15">
        <f t="shared" si="3"/>
        <v>9</v>
      </c>
    </row>
    <row r="1163">
      <c r="A1163" s="8" t="str">
        <f>IFERROR(__xludf.DUMMYFUNCTION("IF('(INGESTA)Datos_consumo_datadis'!A1163&lt;&gt;"""",SPLIT('(INGESTA)Datos_consumo_datadis'!A:A,"",""),"""")"),"ES0031408323131005HX0F")</f>
        <v>ES0031408323131005HX0F</v>
      </c>
      <c r="B1163" s="17">
        <f>IFERROR(__xludf.DUMMYFUNCTION("""COMPUTED_VALUE"""),44914.0)</f>
        <v>44914</v>
      </c>
      <c r="C1163" s="13">
        <f>IFERROR(__xludf.DUMMYFUNCTION("""COMPUTED_VALUE"""),0.4166666666666667)</f>
        <v>0.4166666667</v>
      </c>
      <c r="D1163" s="8">
        <f>IFERROR(__xludf.DUMMYFUNCTION("""COMPUTED_VALUE"""),0.415)</f>
        <v>0.415</v>
      </c>
      <c r="E1163" s="8" t="str">
        <f>IFERROR(__xludf.DUMMYFUNCTION("""COMPUTED_VALUE"""),"Real")</f>
        <v>Real</v>
      </c>
      <c r="G1163" s="8">
        <f t="shared" si="1"/>
        <v>12</v>
      </c>
      <c r="H1163" s="14">
        <f t="shared" si="2"/>
        <v>19</v>
      </c>
      <c r="I1163" s="15">
        <f t="shared" si="3"/>
        <v>10</v>
      </c>
    </row>
    <row r="1164">
      <c r="A1164" s="8" t="str">
        <f>IFERROR(__xludf.DUMMYFUNCTION("IF('(INGESTA)Datos_consumo_datadis'!A1164&lt;&gt;"""",SPLIT('(INGESTA)Datos_consumo_datadis'!A:A,"",""),"""")"),"ES0031408323131005HX0F")</f>
        <v>ES0031408323131005HX0F</v>
      </c>
      <c r="B1164" s="17">
        <f>IFERROR(__xludf.DUMMYFUNCTION("""COMPUTED_VALUE"""),44914.0)</f>
        <v>44914</v>
      </c>
      <c r="C1164" s="13">
        <f>IFERROR(__xludf.DUMMYFUNCTION("""COMPUTED_VALUE"""),0.4583333333333333)</f>
        <v>0.4583333333</v>
      </c>
      <c r="D1164" s="8">
        <f>IFERROR(__xludf.DUMMYFUNCTION("""COMPUTED_VALUE"""),0.555)</f>
        <v>0.555</v>
      </c>
      <c r="E1164" s="8" t="str">
        <f>IFERROR(__xludf.DUMMYFUNCTION("""COMPUTED_VALUE"""),"Real")</f>
        <v>Real</v>
      </c>
      <c r="G1164" s="8">
        <f t="shared" si="1"/>
        <v>12</v>
      </c>
      <c r="H1164" s="14">
        <f t="shared" si="2"/>
        <v>19</v>
      </c>
      <c r="I1164" s="15">
        <f t="shared" si="3"/>
        <v>11</v>
      </c>
    </row>
    <row r="1165">
      <c r="A1165" s="8" t="str">
        <f>IFERROR(__xludf.DUMMYFUNCTION("IF('(INGESTA)Datos_consumo_datadis'!A1165&lt;&gt;"""",SPLIT('(INGESTA)Datos_consumo_datadis'!A:A,"",""),"""")"),"ES0031408323131005HX0F")</f>
        <v>ES0031408323131005HX0F</v>
      </c>
      <c r="B1165" s="17">
        <f>IFERROR(__xludf.DUMMYFUNCTION("""COMPUTED_VALUE"""),44914.0)</f>
        <v>44914</v>
      </c>
      <c r="C1165" s="13">
        <f>IFERROR(__xludf.DUMMYFUNCTION("""COMPUTED_VALUE"""),0.5)</f>
        <v>0.5</v>
      </c>
      <c r="D1165" s="8">
        <f>IFERROR(__xludf.DUMMYFUNCTION("""COMPUTED_VALUE"""),1.388)</f>
        <v>1.388</v>
      </c>
      <c r="E1165" s="8" t="str">
        <f>IFERROR(__xludf.DUMMYFUNCTION("""COMPUTED_VALUE"""),"Real")</f>
        <v>Real</v>
      </c>
      <c r="G1165" s="8">
        <f t="shared" si="1"/>
        <v>12</v>
      </c>
      <c r="H1165" s="14">
        <f t="shared" si="2"/>
        <v>19</v>
      </c>
      <c r="I1165" s="15">
        <f t="shared" si="3"/>
        <v>12</v>
      </c>
    </row>
    <row r="1166">
      <c r="A1166" s="8" t="str">
        <f>IFERROR(__xludf.DUMMYFUNCTION("IF('(INGESTA)Datos_consumo_datadis'!A1166&lt;&gt;"""",SPLIT('(INGESTA)Datos_consumo_datadis'!A:A,"",""),"""")"),"ES0031408323131005HX0F")</f>
        <v>ES0031408323131005HX0F</v>
      </c>
      <c r="B1166" s="17">
        <f>IFERROR(__xludf.DUMMYFUNCTION("""COMPUTED_VALUE"""),44914.0)</f>
        <v>44914</v>
      </c>
      <c r="C1166" s="13">
        <f>IFERROR(__xludf.DUMMYFUNCTION("""COMPUTED_VALUE"""),0.5416666666666666)</f>
        <v>0.5416666667</v>
      </c>
      <c r="D1166" s="8">
        <f>IFERROR(__xludf.DUMMYFUNCTION("""COMPUTED_VALUE"""),0.865)</f>
        <v>0.865</v>
      </c>
      <c r="E1166" s="8" t="str">
        <f>IFERROR(__xludf.DUMMYFUNCTION("""COMPUTED_VALUE"""),"Real")</f>
        <v>Real</v>
      </c>
      <c r="G1166" s="8">
        <f t="shared" si="1"/>
        <v>12</v>
      </c>
      <c r="H1166" s="14">
        <f t="shared" si="2"/>
        <v>19</v>
      </c>
      <c r="I1166" s="15">
        <f t="shared" si="3"/>
        <v>13</v>
      </c>
    </row>
    <row r="1167">
      <c r="A1167" s="8" t="str">
        <f>IFERROR(__xludf.DUMMYFUNCTION("IF('(INGESTA)Datos_consumo_datadis'!A1167&lt;&gt;"""",SPLIT('(INGESTA)Datos_consumo_datadis'!A:A,"",""),"""")"),"ES0031408323131005HX0F")</f>
        <v>ES0031408323131005HX0F</v>
      </c>
      <c r="B1167" s="17">
        <f>IFERROR(__xludf.DUMMYFUNCTION("""COMPUTED_VALUE"""),44914.0)</f>
        <v>44914</v>
      </c>
      <c r="C1167" s="13">
        <f>IFERROR(__xludf.DUMMYFUNCTION("""COMPUTED_VALUE"""),0.5833333333333334)</f>
        <v>0.5833333333</v>
      </c>
      <c r="D1167" s="8">
        <f>IFERROR(__xludf.DUMMYFUNCTION("""COMPUTED_VALUE"""),0.942)</f>
        <v>0.942</v>
      </c>
      <c r="E1167" s="8" t="str">
        <f>IFERROR(__xludf.DUMMYFUNCTION("""COMPUTED_VALUE"""),"Real")</f>
        <v>Real</v>
      </c>
      <c r="G1167" s="8">
        <f t="shared" si="1"/>
        <v>12</v>
      </c>
      <c r="H1167" s="14">
        <f t="shared" si="2"/>
        <v>19</v>
      </c>
      <c r="I1167" s="15">
        <f t="shared" si="3"/>
        <v>14</v>
      </c>
    </row>
    <row r="1168">
      <c r="A1168" s="8" t="str">
        <f>IFERROR(__xludf.DUMMYFUNCTION("IF('(INGESTA)Datos_consumo_datadis'!A1168&lt;&gt;"""",SPLIT('(INGESTA)Datos_consumo_datadis'!A:A,"",""),"""")"),"ES0031408323131005HX0F")</f>
        <v>ES0031408323131005HX0F</v>
      </c>
      <c r="B1168" s="17">
        <f>IFERROR(__xludf.DUMMYFUNCTION("""COMPUTED_VALUE"""),44914.0)</f>
        <v>44914</v>
      </c>
      <c r="C1168" s="13">
        <f>IFERROR(__xludf.DUMMYFUNCTION("""COMPUTED_VALUE"""),0.625)</f>
        <v>0.625</v>
      </c>
      <c r="D1168" s="8">
        <f>IFERROR(__xludf.DUMMYFUNCTION("""COMPUTED_VALUE"""),0.028)</f>
        <v>0.028</v>
      </c>
      <c r="E1168" s="8" t="str">
        <f>IFERROR(__xludf.DUMMYFUNCTION("""COMPUTED_VALUE"""),"Real")</f>
        <v>Real</v>
      </c>
      <c r="G1168" s="8">
        <f t="shared" si="1"/>
        <v>12</v>
      </c>
      <c r="H1168" s="14">
        <f t="shared" si="2"/>
        <v>19</v>
      </c>
      <c r="I1168" s="15">
        <f t="shared" si="3"/>
        <v>15</v>
      </c>
    </row>
    <row r="1169">
      <c r="A1169" s="8" t="str">
        <f>IFERROR(__xludf.DUMMYFUNCTION("IF('(INGESTA)Datos_consumo_datadis'!A1169&lt;&gt;"""",SPLIT('(INGESTA)Datos_consumo_datadis'!A:A,"",""),"""")"),"ES0031408323131005HX0F")</f>
        <v>ES0031408323131005HX0F</v>
      </c>
      <c r="B1169" s="17">
        <f>IFERROR(__xludf.DUMMYFUNCTION("""COMPUTED_VALUE"""),44914.0)</f>
        <v>44914</v>
      </c>
      <c r="C1169" s="13">
        <f>IFERROR(__xludf.DUMMYFUNCTION("""COMPUTED_VALUE"""),0.6666666666666666)</f>
        <v>0.6666666667</v>
      </c>
      <c r="D1169" s="8">
        <f>IFERROR(__xludf.DUMMYFUNCTION("""COMPUTED_VALUE"""),0.081)</f>
        <v>0.081</v>
      </c>
      <c r="E1169" s="8" t="str">
        <f>IFERROR(__xludf.DUMMYFUNCTION("""COMPUTED_VALUE"""),"Real")</f>
        <v>Real</v>
      </c>
      <c r="G1169" s="8">
        <f t="shared" si="1"/>
        <v>12</v>
      </c>
      <c r="H1169" s="14">
        <f t="shared" si="2"/>
        <v>19</v>
      </c>
      <c r="I1169" s="15">
        <f t="shared" si="3"/>
        <v>16</v>
      </c>
    </row>
    <row r="1170">
      <c r="A1170" s="8" t="str">
        <f>IFERROR(__xludf.DUMMYFUNCTION("IF('(INGESTA)Datos_consumo_datadis'!A1170&lt;&gt;"""",SPLIT('(INGESTA)Datos_consumo_datadis'!A:A,"",""),"""")"),"ES0031408323131005HX0F")</f>
        <v>ES0031408323131005HX0F</v>
      </c>
      <c r="B1170" s="17">
        <f>IFERROR(__xludf.DUMMYFUNCTION("""COMPUTED_VALUE"""),44914.0)</f>
        <v>44914</v>
      </c>
      <c r="C1170" s="13">
        <f>IFERROR(__xludf.DUMMYFUNCTION("""COMPUTED_VALUE"""),0.7083333333333334)</f>
        <v>0.7083333333</v>
      </c>
      <c r="D1170" s="8">
        <f>IFERROR(__xludf.DUMMYFUNCTION("""COMPUTED_VALUE"""),0.06)</f>
        <v>0.06</v>
      </c>
      <c r="E1170" s="8" t="str">
        <f>IFERROR(__xludf.DUMMYFUNCTION("""COMPUTED_VALUE"""),"Real")</f>
        <v>Real</v>
      </c>
      <c r="G1170" s="8">
        <f t="shared" si="1"/>
        <v>12</v>
      </c>
      <c r="H1170" s="14">
        <f t="shared" si="2"/>
        <v>19</v>
      </c>
      <c r="I1170" s="15">
        <f t="shared" si="3"/>
        <v>17</v>
      </c>
    </row>
    <row r="1171">
      <c r="A1171" s="8" t="str">
        <f>IFERROR(__xludf.DUMMYFUNCTION("IF('(INGESTA)Datos_consumo_datadis'!A1171&lt;&gt;"""",SPLIT('(INGESTA)Datos_consumo_datadis'!A:A,"",""),"""")"),"ES0031408323131005HX0F")</f>
        <v>ES0031408323131005HX0F</v>
      </c>
      <c r="B1171" s="17">
        <f>IFERROR(__xludf.DUMMYFUNCTION("""COMPUTED_VALUE"""),44914.0)</f>
        <v>44914</v>
      </c>
      <c r="C1171" s="13">
        <f>IFERROR(__xludf.DUMMYFUNCTION("""COMPUTED_VALUE"""),0.75)</f>
        <v>0.75</v>
      </c>
      <c r="D1171" s="8">
        <f>IFERROR(__xludf.DUMMYFUNCTION("""COMPUTED_VALUE"""),0.289)</f>
        <v>0.289</v>
      </c>
      <c r="E1171" s="8" t="str">
        <f>IFERROR(__xludf.DUMMYFUNCTION("""COMPUTED_VALUE"""),"Real")</f>
        <v>Real</v>
      </c>
      <c r="G1171" s="8">
        <f t="shared" si="1"/>
        <v>12</v>
      </c>
      <c r="H1171" s="14">
        <f t="shared" si="2"/>
        <v>19</v>
      </c>
      <c r="I1171" s="15">
        <f t="shared" si="3"/>
        <v>18</v>
      </c>
    </row>
    <row r="1172">
      <c r="A1172" s="8" t="str">
        <f>IFERROR(__xludf.DUMMYFUNCTION("IF('(INGESTA)Datos_consumo_datadis'!A1172&lt;&gt;"""",SPLIT('(INGESTA)Datos_consumo_datadis'!A:A,"",""),"""")"),"ES0031408323131005HX0F")</f>
        <v>ES0031408323131005HX0F</v>
      </c>
      <c r="B1172" s="17">
        <f>IFERROR(__xludf.DUMMYFUNCTION("""COMPUTED_VALUE"""),44914.0)</f>
        <v>44914</v>
      </c>
      <c r="C1172" s="13">
        <f>IFERROR(__xludf.DUMMYFUNCTION("""COMPUTED_VALUE"""),0.7916666666666666)</f>
        <v>0.7916666667</v>
      </c>
      <c r="D1172" s="8">
        <f>IFERROR(__xludf.DUMMYFUNCTION("""COMPUTED_VALUE"""),0.093)</f>
        <v>0.093</v>
      </c>
      <c r="E1172" s="8" t="str">
        <f>IFERROR(__xludf.DUMMYFUNCTION("""COMPUTED_VALUE"""),"Real")</f>
        <v>Real</v>
      </c>
      <c r="G1172" s="8">
        <f t="shared" si="1"/>
        <v>12</v>
      </c>
      <c r="H1172" s="14">
        <f t="shared" si="2"/>
        <v>19</v>
      </c>
      <c r="I1172" s="15">
        <f t="shared" si="3"/>
        <v>19</v>
      </c>
    </row>
    <row r="1173">
      <c r="A1173" s="8" t="str">
        <f>IFERROR(__xludf.DUMMYFUNCTION("IF('(INGESTA)Datos_consumo_datadis'!A1173&lt;&gt;"""",SPLIT('(INGESTA)Datos_consumo_datadis'!A:A,"",""),"""")"),"ES0031408323131005HX0F")</f>
        <v>ES0031408323131005HX0F</v>
      </c>
      <c r="B1173" s="17">
        <f>IFERROR(__xludf.DUMMYFUNCTION("""COMPUTED_VALUE"""),44914.0)</f>
        <v>44914</v>
      </c>
      <c r="C1173" s="13">
        <f>IFERROR(__xludf.DUMMYFUNCTION("""COMPUTED_VALUE"""),0.8333333333333334)</f>
        <v>0.8333333333</v>
      </c>
      <c r="D1173" s="8">
        <f>IFERROR(__xludf.DUMMYFUNCTION("""COMPUTED_VALUE"""),0.05)</f>
        <v>0.05</v>
      </c>
      <c r="E1173" s="8" t="str">
        <f>IFERROR(__xludf.DUMMYFUNCTION("""COMPUTED_VALUE"""),"Real")</f>
        <v>Real</v>
      </c>
      <c r="G1173" s="8">
        <f t="shared" si="1"/>
        <v>12</v>
      </c>
      <c r="H1173" s="14">
        <f t="shared" si="2"/>
        <v>19</v>
      </c>
      <c r="I1173" s="15">
        <f t="shared" si="3"/>
        <v>20</v>
      </c>
    </row>
    <row r="1174">
      <c r="A1174" s="8" t="str">
        <f>IFERROR(__xludf.DUMMYFUNCTION("IF('(INGESTA)Datos_consumo_datadis'!A1174&lt;&gt;"""",SPLIT('(INGESTA)Datos_consumo_datadis'!A:A,"",""),"""")"),"ES0031408323131005HX0F")</f>
        <v>ES0031408323131005HX0F</v>
      </c>
      <c r="B1174" s="17">
        <f>IFERROR(__xludf.DUMMYFUNCTION("""COMPUTED_VALUE"""),44914.0)</f>
        <v>44914</v>
      </c>
      <c r="C1174" s="13">
        <f>IFERROR(__xludf.DUMMYFUNCTION("""COMPUTED_VALUE"""),0.875)</f>
        <v>0.875</v>
      </c>
      <c r="D1174" s="8">
        <f>IFERROR(__xludf.DUMMYFUNCTION("""COMPUTED_VALUE"""),0.015)</f>
        <v>0.015</v>
      </c>
      <c r="E1174" s="8" t="str">
        <f>IFERROR(__xludf.DUMMYFUNCTION("""COMPUTED_VALUE"""),"Real")</f>
        <v>Real</v>
      </c>
      <c r="G1174" s="8">
        <f t="shared" si="1"/>
        <v>12</v>
      </c>
      <c r="H1174" s="14">
        <f t="shared" si="2"/>
        <v>19</v>
      </c>
      <c r="I1174" s="15">
        <f t="shared" si="3"/>
        <v>21</v>
      </c>
    </row>
    <row r="1175">
      <c r="A1175" s="8" t="str">
        <f>IFERROR(__xludf.DUMMYFUNCTION("IF('(INGESTA)Datos_consumo_datadis'!A1175&lt;&gt;"""",SPLIT('(INGESTA)Datos_consumo_datadis'!A:A,"",""),"""")"),"ES0031408323131005HX0F")</f>
        <v>ES0031408323131005HX0F</v>
      </c>
      <c r="B1175" s="17">
        <f>IFERROR(__xludf.DUMMYFUNCTION("""COMPUTED_VALUE"""),44914.0)</f>
        <v>44914</v>
      </c>
      <c r="C1175" s="13">
        <f>IFERROR(__xludf.DUMMYFUNCTION("""COMPUTED_VALUE"""),0.9166666666666666)</f>
        <v>0.9166666667</v>
      </c>
      <c r="D1175" s="8">
        <f>IFERROR(__xludf.DUMMYFUNCTION("""COMPUTED_VALUE"""),0.172)</f>
        <v>0.172</v>
      </c>
      <c r="E1175" s="8" t="str">
        <f>IFERROR(__xludf.DUMMYFUNCTION("""COMPUTED_VALUE"""),"Real")</f>
        <v>Real</v>
      </c>
      <c r="G1175" s="8">
        <f t="shared" si="1"/>
        <v>12</v>
      </c>
      <c r="H1175" s="14">
        <f t="shared" si="2"/>
        <v>19</v>
      </c>
      <c r="I1175" s="15">
        <f t="shared" si="3"/>
        <v>22</v>
      </c>
    </row>
    <row r="1176">
      <c r="A1176" s="8" t="str">
        <f>IFERROR(__xludf.DUMMYFUNCTION("IF('(INGESTA)Datos_consumo_datadis'!A1176&lt;&gt;"""",SPLIT('(INGESTA)Datos_consumo_datadis'!A:A,"",""),"""")"),"ES0031408323131005HX0F")</f>
        <v>ES0031408323131005HX0F</v>
      </c>
      <c r="B1176" s="17">
        <f>IFERROR(__xludf.DUMMYFUNCTION("""COMPUTED_VALUE"""),44914.0)</f>
        <v>44914</v>
      </c>
      <c r="C1176" s="13">
        <f>IFERROR(__xludf.DUMMYFUNCTION("""COMPUTED_VALUE"""),0.9583333333333334)</f>
        <v>0.9583333333</v>
      </c>
      <c r="D1176" s="8">
        <f>IFERROR(__xludf.DUMMYFUNCTION("""COMPUTED_VALUE"""),0.663)</f>
        <v>0.663</v>
      </c>
      <c r="E1176" s="8" t="str">
        <f>IFERROR(__xludf.DUMMYFUNCTION("""COMPUTED_VALUE"""),"Real")</f>
        <v>Real</v>
      </c>
      <c r="G1176" s="8">
        <f t="shared" si="1"/>
        <v>12</v>
      </c>
      <c r="H1176" s="14">
        <f t="shared" si="2"/>
        <v>19</v>
      </c>
      <c r="I1176" s="15">
        <f t="shared" si="3"/>
        <v>23</v>
      </c>
    </row>
    <row r="1177">
      <c r="A1177" s="8" t="str">
        <f>IFERROR(__xludf.DUMMYFUNCTION("IF('(INGESTA)Datos_consumo_datadis'!A1177&lt;&gt;"""",SPLIT('(INGESTA)Datos_consumo_datadis'!A:A,"",""),"""")"),"ES0031408323131005HX0F")</f>
        <v>ES0031408323131005HX0F</v>
      </c>
      <c r="B1177" s="17">
        <f>IFERROR(__xludf.DUMMYFUNCTION("""COMPUTED_VALUE"""),44914.0)</f>
        <v>44914</v>
      </c>
      <c r="C1177" s="16">
        <f>IFERROR(__xludf.DUMMYFUNCTION("""COMPUTED_VALUE"""),1.0)</f>
        <v>1</v>
      </c>
      <c r="D1177" s="8">
        <f>IFERROR(__xludf.DUMMYFUNCTION("""COMPUTED_VALUE"""),1.02)</f>
        <v>1.02</v>
      </c>
      <c r="E1177" s="8" t="str">
        <f>IFERROR(__xludf.DUMMYFUNCTION("""COMPUTED_VALUE"""),"Real")</f>
        <v>Real</v>
      </c>
      <c r="G1177" s="8">
        <f t="shared" si="1"/>
        <v>12</v>
      </c>
      <c r="H1177" s="14">
        <f t="shared" si="2"/>
        <v>19</v>
      </c>
      <c r="I1177" s="15">
        <f t="shared" si="3"/>
        <v>0</v>
      </c>
    </row>
    <row r="1178">
      <c r="A1178" s="8" t="str">
        <f>IFERROR(__xludf.DUMMYFUNCTION("IF('(INGESTA)Datos_consumo_datadis'!A1178&lt;&gt;"""",SPLIT('(INGESTA)Datos_consumo_datadis'!A:A,"",""),"""")"),"ES0031408323131005HX0F")</f>
        <v>ES0031408323131005HX0F</v>
      </c>
      <c r="B1178" s="17">
        <f>IFERROR(__xludf.DUMMYFUNCTION("""COMPUTED_VALUE"""),44915.0)</f>
        <v>44915</v>
      </c>
      <c r="C1178" s="13">
        <f>IFERROR(__xludf.DUMMYFUNCTION("""COMPUTED_VALUE"""),0.041666666666666664)</f>
        <v>0.04166666667</v>
      </c>
      <c r="D1178" s="8">
        <f>IFERROR(__xludf.DUMMYFUNCTION("""COMPUTED_VALUE"""),0.816)</f>
        <v>0.816</v>
      </c>
      <c r="E1178" s="8" t="str">
        <f>IFERROR(__xludf.DUMMYFUNCTION("""COMPUTED_VALUE"""),"Real")</f>
        <v>Real</v>
      </c>
      <c r="G1178" s="8">
        <f t="shared" si="1"/>
        <v>12</v>
      </c>
      <c r="H1178" s="14">
        <f t="shared" si="2"/>
        <v>20</v>
      </c>
      <c r="I1178" s="15">
        <f t="shared" si="3"/>
        <v>1</v>
      </c>
    </row>
    <row r="1179">
      <c r="A1179" s="8" t="str">
        <f>IFERROR(__xludf.DUMMYFUNCTION("IF('(INGESTA)Datos_consumo_datadis'!A1179&lt;&gt;"""",SPLIT('(INGESTA)Datos_consumo_datadis'!A:A,"",""),"""")"),"ES0031408323131005HX0F")</f>
        <v>ES0031408323131005HX0F</v>
      </c>
      <c r="B1179" s="17">
        <f>IFERROR(__xludf.DUMMYFUNCTION("""COMPUTED_VALUE"""),44915.0)</f>
        <v>44915</v>
      </c>
      <c r="C1179" s="13">
        <f>IFERROR(__xludf.DUMMYFUNCTION("""COMPUTED_VALUE"""),0.08333333333333333)</f>
        <v>0.08333333333</v>
      </c>
      <c r="D1179" s="8">
        <f>IFERROR(__xludf.DUMMYFUNCTION("""COMPUTED_VALUE"""),0.745)</f>
        <v>0.745</v>
      </c>
      <c r="E1179" s="8" t="str">
        <f>IFERROR(__xludf.DUMMYFUNCTION("""COMPUTED_VALUE"""),"Real")</f>
        <v>Real</v>
      </c>
      <c r="G1179" s="8">
        <f t="shared" si="1"/>
        <v>12</v>
      </c>
      <c r="H1179" s="14">
        <f t="shared" si="2"/>
        <v>20</v>
      </c>
      <c r="I1179" s="15">
        <f t="shared" si="3"/>
        <v>2</v>
      </c>
    </row>
    <row r="1180">
      <c r="A1180" s="8" t="str">
        <f>IFERROR(__xludf.DUMMYFUNCTION("IF('(INGESTA)Datos_consumo_datadis'!A1180&lt;&gt;"""",SPLIT('(INGESTA)Datos_consumo_datadis'!A:A,"",""),"""")"),"ES0031408323131005HX0F")</f>
        <v>ES0031408323131005HX0F</v>
      </c>
      <c r="B1180" s="17">
        <f>IFERROR(__xludf.DUMMYFUNCTION("""COMPUTED_VALUE"""),44915.0)</f>
        <v>44915</v>
      </c>
      <c r="C1180" s="13">
        <f>IFERROR(__xludf.DUMMYFUNCTION("""COMPUTED_VALUE"""),0.125)</f>
        <v>0.125</v>
      </c>
      <c r="D1180" s="8">
        <f>IFERROR(__xludf.DUMMYFUNCTION("""COMPUTED_VALUE"""),1.087)</f>
        <v>1.087</v>
      </c>
      <c r="E1180" s="8" t="str">
        <f>IFERROR(__xludf.DUMMYFUNCTION("""COMPUTED_VALUE"""),"Real")</f>
        <v>Real</v>
      </c>
      <c r="G1180" s="8">
        <f t="shared" si="1"/>
        <v>12</v>
      </c>
      <c r="H1180" s="14">
        <f t="shared" si="2"/>
        <v>20</v>
      </c>
      <c r="I1180" s="15">
        <f t="shared" si="3"/>
        <v>3</v>
      </c>
    </row>
    <row r="1181">
      <c r="A1181" s="8" t="str">
        <f>IFERROR(__xludf.DUMMYFUNCTION("IF('(INGESTA)Datos_consumo_datadis'!A1181&lt;&gt;"""",SPLIT('(INGESTA)Datos_consumo_datadis'!A:A,"",""),"""")"),"ES0031408323131005HX0F")</f>
        <v>ES0031408323131005HX0F</v>
      </c>
      <c r="B1181" s="17">
        <f>IFERROR(__xludf.DUMMYFUNCTION("""COMPUTED_VALUE"""),44915.0)</f>
        <v>44915</v>
      </c>
      <c r="C1181" s="13">
        <f>IFERROR(__xludf.DUMMYFUNCTION("""COMPUTED_VALUE"""),0.16666666666666666)</f>
        <v>0.1666666667</v>
      </c>
      <c r="D1181" s="8">
        <f>IFERROR(__xludf.DUMMYFUNCTION("""COMPUTED_VALUE"""),0.773)</f>
        <v>0.773</v>
      </c>
      <c r="E1181" s="8" t="str">
        <f>IFERROR(__xludf.DUMMYFUNCTION("""COMPUTED_VALUE"""),"Real")</f>
        <v>Real</v>
      </c>
      <c r="G1181" s="8">
        <f t="shared" si="1"/>
        <v>12</v>
      </c>
      <c r="H1181" s="14">
        <f t="shared" si="2"/>
        <v>20</v>
      </c>
      <c r="I1181" s="15">
        <f t="shared" si="3"/>
        <v>4</v>
      </c>
    </row>
    <row r="1182">
      <c r="A1182" s="8" t="str">
        <f>IFERROR(__xludf.DUMMYFUNCTION("IF('(INGESTA)Datos_consumo_datadis'!A1182&lt;&gt;"""",SPLIT('(INGESTA)Datos_consumo_datadis'!A:A,"",""),"""")"),"ES0031408323131005HX0F")</f>
        <v>ES0031408323131005HX0F</v>
      </c>
      <c r="B1182" s="17">
        <f>IFERROR(__xludf.DUMMYFUNCTION("""COMPUTED_VALUE"""),44915.0)</f>
        <v>44915</v>
      </c>
      <c r="C1182" s="13">
        <f>IFERROR(__xludf.DUMMYFUNCTION("""COMPUTED_VALUE"""),0.20833333333333334)</f>
        <v>0.2083333333</v>
      </c>
      <c r="D1182" s="8">
        <f>IFERROR(__xludf.DUMMYFUNCTION("""COMPUTED_VALUE"""),0.751)</f>
        <v>0.751</v>
      </c>
      <c r="E1182" s="8" t="str">
        <f>IFERROR(__xludf.DUMMYFUNCTION("""COMPUTED_VALUE"""),"Real")</f>
        <v>Real</v>
      </c>
      <c r="G1182" s="8">
        <f t="shared" si="1"/>
        <v>12</v>
      </c>
      <c r="H1182" s="14">
        <f t="shared" si="2"/>
        <v>20</v>
      </c>
      <c r="I1182" s="15">
        <f t="shared" si="3"/>
        <v>5</v>
      </c>
    </row>
    <row r="1183">
      <c r="A1183" s="8" t="str">
        <f>IFERROR(__xludf.DUMMYFUNCTION("IF('(INGESTA)Datos_consumo_datadis'!A1183&lt;&gt;"""",SPLIT('(INGESTA)Datos_consumo_datadis'!A:A,"",""),"""")"),"ES0031408323131005HX0F")</f>
        <v>ES0031408323131005HX0F</v>
      </c>
      <c r="B1183" s="17">
        <f>IFERROR(__xludf.DUMMYFUNCTION("""COMPUTED_VALUE"""),44915.0)</f>
        <v>44915</v>
      </c>
      <c r="C1183" s="13">
        <f>IFERROR(__xludf.DUMMYFUNCTION("""COMPUTED_VALUE"""),0.25)</f>
        <v>0.25</v>
      </c>
      <c r="D1183" s="8">
        <f>IFERROR(__xludf.DUMMYFUNCTION("""COMPUTED_VALUE"""),0.814)</f>
        <v>0.814</v>
      </c>
      <c r="E1183" s="8" t="str">
        <f>IFERROR(__xludf.DUMMYFUNCTION("""COMPUTED_VALUE"""),"Real")</f>
        <v>Real</v>
      </c>
      <c r="G1183" s="8">
        <f t="shared" si="1"/>
        <v>12</v>
      </c>
      <c r="H1183" s="14">
        <f t="shared" si="2"/>
        <v>20</v>
      </c>
      <c r="I1183" s="15">
        <f t="shared" si="3"/>
        <v>6</v>
      </c>
    </row>
    <row r="1184">
      <c r="A1184" s="8" t="str">
        <f>IFERROR(__xludf.DUMMYFUNCTION("IF('(INGESTA)Datos_consumo_datadis'!A1184&lt;&gt;"""",SPLIT('(INGESTA)Datos_consumo_datadis'!A:A,"",""),"""")"),"ES0031408323131005HX0F")</f>
        <v>ES0031408323131005HX0F</v>
      </c>
      <c r="B1184" s="17">
        <f>IFERROR(__xludf.DUMMYFUNCTION("""COMPUTED_VALUE"""),44915.0)</f>
        <v>44915</v>
      </c>
      <c r="C1184" s="13">
        <f>IFERROR(__xludf.DUMMYFUNCTION("""COMPUTED_VALUE"""),0.2916666666666667)</f>
        <v>0.2916666667</v>
      </c>
      <c r="D1184" s="8">
        <f>IFERROR(__xludf.DUMMYFUNCTION("""COMPUTED_VALUE"""),0.75)</f>
        <v>0.75</v>
      </c>
      <c r="E1184" s="8" t="str">
        <f>IFERROR(__xludf.DUMMYFUNCTION("""COMPUTED_VALUE"""),"Real")</f>
        <v>Real</v>
      </c>
      <c r="G1184" s="8">
        <f t="shared" si="1"/>
        <v>12</v>
      </c>
      <c r="H1184" s="14">
        <f t="shared" si="2"/>
        <v>20</v>
      </c>
      <c r="I1184" s="15">
        <f t="shared" si="3"/>
        <v>7</v>
      </c>
    </row>
    <row r="1185">
      <c r="A1185" s="8" t="str">
        <f>IFERROR(__xludf.DUMMYFUNCTION("IF('(INGESTA)Datos_consumo_datadis'!A1185&lt;&gt;"""",SPLIT('(INGESTA)Datos_consumo_datadis'!A:A,"",""),"""")"),"ES0031408323131005HX0F")</f>
        <v>ES0031408323131005HX0F</v>
      </c>
      <c r="B1185" s="17">
        <f>IFERROR(__xludf.DUMMYFUNCTION("""COMPUTED_VALUE"""),44915.0)</f>
        <v>44915</v>
      </c>
      <c r="C1185" s="13">
        <f>IFERROR(__xludf.DUMMYFUNCTION("""COMPUTED_VALUE"""),0.3333333333333333)</f>
        <v>0.3333333333</v>
      </c>
      <c r="D1185" s="8">
        <f>IFERROR(__xludf.DUMMYFUNCTION("""COMPUTED_VALUE"""),0.783)</f>
        <v>0.783</v>
      </c>
      <c r="E1185" s="8" t="str">
        <f>IFERROR(__xludf.DUMMYFUNCTION("""COMPUTED_VALUE"""),"Real")</f>
        <v>Real</v>
      </c>
      <c r="G1185" s="8">
        <f t="shared" si="1"/>
        <v>12</v>
      </c>
      <c r="H1185" s="14">
        <f t="shared" si="2"/>
        <v>20</v>
      </c>
      <c r="I1185" s="15">
        <f t="shared" si="3"/>
        <v>8</v>
      </c>
    </row>
    <row r="1186">
      <c r="A1186" s="8" t="str">
        <f>IFERROR(__xludf.DUMMYFUNCTION("IF('(INGESTA)Datos_consumo_datadis'!A1186&lt;&gt;"""",SPLIT('(INGESTA)Datos_consumo_datadis'!A:A,"",""),"""")"),"ES0031408323131005HX0F")</f>
        <v>ES0031408323131005HX0F</v>
      </c>
      <c r="B1186" s="17">
        <f>IFERROR(__xludf.DUMMYFUNCTION("""COMPUTED_VALUE"""),44915.0)</f>
        <v>44915</v>
      </c>
      <c r="C1186" s="13">
        <f>IFERROR(__xludf.DUMMYFUNCTION("""COMPUTED_VALUE"""),0.375)</f>
        <v>0.375</v>
      </c>
      <c r="D1186" s="8">
        <f>IFERROR(__xludf.DUMMYFUNCTION("""COMPUTED_VALUE"""),0.875)</f>
        <v>0.875</v>
      </c>
      <c r="E1186" s="8" t="str">
        <f>IFERROR(__xludf.DUMMYFUNCTION("""COMPUTED_VALUE"""),"Real")</f>
        <v>Real</v>
      </c>
      <c r="G1186" s="8">
        <f t="shared" si="1"/>
        <v>12</v>
      </c>
      <c r="H1186" s="14">
        <f t="shared" si="2"/>
        <v>20</v>
      </c>
      <c r="I1186" s="15">
        <f t="shared" si="3"/>
        <v>9</v>
      </c>
    </row>
    <row r="1187">
      <c r="A1187" s="8" t="str">
        <f>IFERROR(__xludf.DUMMYFUNCTION("IF('(INGESTA)Datos_consumo_datadis'!A1187&lt;&gt;"""",SPLIT('(INGESTA)Datos_consumo_datadis'!A:A,"",""),"""")"),"ES0031408323131005HX0F")</f>
        <v>ES0031408323131005HX0F</v>
      </c>
      <c r="B1187" s="17">
        <f>IFERROR(__xludf.DUMMYFUNCTION("""COMPUTED_VALUE"""),44915.0)</f>
        <v>44915</v>
      </c>
      <c r="C1187" s="13">
        <f>IFERROR(__xludf.DUMMYFUNCTION("""COMPUTED_VALUE"""),0.4166666666666667)</f>
        <v>0.4166666667</v>
      </c>
      <c r="D1187" s="8">
        <f>IFERROR(__xludf.DUMMYFUNCTION("""COMPUTED_VALUE"""),1.05)</f>
        <v>1.05</v>
      </c>
      <c r="E1187" s="8" t="str">
        <f>IFERROR(__xludf.DUMMYFUNCTION("""COMPUTED_VALUE"""),"Real")</f>
        <v>Real</v>
      </c>
      <c r="G1187" s="8">
        <f t="shared" si="1"/>
        <v>12</v>
      </c>
      <c r="H1187" s="14">
        <f t="shared" si="2"/>
        <v>20</v>
      </c>
      <c r="I1187" s="15">
        <f t="shared" si="3"/>
        <v>10</v>
      </c>
    </row>
    <row r="1188">
      <c r="A1188" s="8" t="str">
        <f>IFERROR(__xludf.DUMMYFUNCTION("IF('(INGESTA)Datos_consumo_datadis'!A1188&lt;&gt;"""",SPLIT('(INGESTA)Datos_consumo_datadis'!A:A,"",""),"""")"),"ES0031408323131005HX0F")</f>
        <v>ES0031408323131005HX0F</v>
      </c>
      <c r="B1188" s="17">
        <f>IFERROR(__xludf.DUMMYFUNCTION("""COMPUTED_VALUE"""),44915.0)</f>
        <v>44915</v>
      </c>
      <c r="C1188" s="13">
        <f>IFERROR(__xludf.DUMMYFUNCTION("""COMPUTED_VALUE"""),0.4583333333333333)</f>
        <v>0.4583333333</v>
      </c>
      <c r="D1188" s="8">
        <f>IFERROR(__xludf.DUMMYFUNCTION("""COMPUTED_VALUE"""),0.234)</f>
        <v>0.234</v>
      </c>
      <c r="E1188" s="8" t="str">
        <f>IFERROR(__xludf.DUMMYFUNCTION("""COMPUTED_VALUE"""),"Real")</f>
        <v>Real</v>
      </c>
      <c r="G1188" s="8">
        <f t="shared" si="1"/>
        <v>12</v>
      </c>
      <c r="H1188" s="14">
        <f t="shared" si="2"/>
        <v>20</v>
      </c>
      <c r="I1188" s="15">
        <f t="shared" si="3"/>
        <v>11</v>
      </c>
    </row>
    <row r="1189">
      <c r="A1189" s="8" t="str">
        <f>IFERROR(__xludf.DUMMYFUNCTION("IF('(INGESTA)Datos_consumo_datadis'!A1189&lt;&gt;"""",SPLIT('(INGESTA)Datos_consumo_datadis'!A:A,"",""),"""")"),"ES0031408323131005HX0F")</f>
        <v>ES0031408323131005HX0F</v>
      </c>
      <c r="B1189" s="17">
        <f>IFERROR(__xludf.DUMMYFUNCTION("""COMPUTED_VALUE"""),44915.0)</f>
        <v>44915</v>
      </c>
      <c r="C1189" s="13">
        <f>IFERROR(__xludf.DUMMYFUNCTION("""COMPUTED_VALUE"""),0.5)</f>
        <v>0.5</v>
      </c>
      <c r="D1189" s="8">
        <f>IFERROR(__xludf.DUMMYFUNCTION("""COMPUTED_VALUE"""),0.068)</f>
        <v>0.068</v>
      </c>
      <c r="E1189" s="8" t="str">
        <f>IFERROR(__xludf.DUMMYFUNCTION("""COMPUTED_VALUE"""),"Real")</f>
        <v>Real</v>
      </c>
      <c r="G1189" s="8">
        <f t="shared" si="1"/>
        <v>12</v>
      </c>
      <c r="H1189" s="14">
        <f t="shared" si="2"/>
        <v>20</v>
      </c>
      <c r="I1189" s="15">
        <f t="shared" si="3"/>
        <v>12</v>
      </c>
    </row>
    <row r="1190">
      <c r="A1190" s="8" t="str">
        <f>IFERROR(__xludf.DUMMYFUNCTION("IF('(INGESTA)Datos_consumo_datadis'!A1190&lt;&gt;"""",SPLIT('(INGESTA)Datos_consumo_datadis'!A:A,"",""),"""")"),"ES0031408323131005HX0F")</f>
        <v>ES0031408323131005HX0F</v>
      </c>
      <c r="B1190" s="17">
        <f>IFERROR(__xludf.DUMMYFUNCTION("""COMPUTED_VALUE"""),44915.0)</f>
        <v>44915</v>
      </c>
      <c r="C1190" s="13">
        <f>IFERROR(__xludf.DUMMYFUNCTION("""COMPUTED_VALUE"""),0.5416666666666666)</f>
        <v>0.5416666667</v>
      </c>
      <c r="D1190" s="8">
        <f>IFERROR(__xludf.DUMMYFUNCTION("""COMPUTED_VALUE"""),0.334)</f>
        <v>0.334</v>
      </c>
      <c r="E1190" s="8" t="str">
        <f>IFERROR(__xludf.DUMMYFUNCTION("""COMPUTED_VALUE"""),"Real")</f>
        <v>Real</v>
      </c>
      <c r="G1190" s="8">
        <f t="shared" si="1"/>
        <v>12</v>
      </c>
      <c r="H1190" s="14">
        <f t="shared" si="2"/>
        <v>20</v>
      </c>
      <c r="I1190" s="15">
        <f t="shared" si="3"/>
        <v>13</v>
      </c>
    </row>
    <row r="1191">
      <c r="A1191" s="8" t="str">
        <f>IFERROR(__xludf.DUMMYFUNCTION("IF('(INGESTA)Datos_consumo_datadis'!A1191&lt;&gt;"""",SPLIT('(INGESTA)Datos_consumo_datadis'!A:A,"",""),"""")"),"ES0031408323131005HX0F")</f>
        <v>ES0031408323131005HX0F</v>
      </c>
      <c r="B1191" s="17">
        <f>IFERROR(__xludf.DUMMYFUNCTION("""COMPUTED_VALUE"""),44915.0)</f>
        <v>44915</v>
      </c>
      <c r="C1191" s="13">
        <f>IFERROR(__xludf.DUMMYFUNCTION("""COMPUTED_VALUE"""),0.5833333333333334)</f>
        <v>0.5833333333</v>
      </c>
      <c r="D1191" s="8">
        <f>IFERROR(__xludf.DUMMYFUNCTION("""COMPUTED_VALUE"""),0.965)</f>
        <v>0.965</v>
      </c>
      <c r="E1191" s="8" t="str">
        <f>IFERROR(__xludf.DUMMYFUNCTION("""COMPUTED_VALUE"""),"Real")</f>
        <v>Real</v>
      </c>
      <c r="G1191" s="8">
        <f t="shared" si="1"/>
        <v>12</v>
      </c>
      <c r="H1191" s="14">
        <f t="shared" si="2"/>
        <v>20</v>
      </c>
      <c r="I1191" s="15">
        <f t="shared" si="3"/>
        <v>14</v>
      </c>
    </row>
    <row r="1192">
      <c r="A1192" s="8" t="str">
        <f>IFERROR(__xludf.DUMMYFUNCTION("IF('(INGESTA)Datos_consumo_datadis'!A1192&lt;&gt;"""",SPLIT('(INGESTA)Datos_consumo_datadis'!A:A,"",""),"""")"),"ES0031408323131005HX0F")</f>
        <v>ES0031408323131005HX0F</v>
      </c>
      <c r="B1192" s="17">
        <f>IFERROR(__xludf.DUMMYFUNCTION("""COMPUTED_VALUE"""),44915.0)</f>
        <v>44915</v>
      </c>
      <c r="C1192" s="13">
        <f>IFERROR(__xludf.DUMMYFUNCTION("""COMPUTED_VALUE"""),0.625)</f>
        <v>0.625</v>
      </c>
      <c r="D1192" s="8">
        <f>IFERROR(__xludf.DUMMYFUNCTION("""COMPUTED_VALUE"""),0.36)</f>
        <v>0.36</v>
      </c>
      <c r="E1192" s="8" t="str">
        <f>IFERROR(__xludf.DUMMYFUNCTION("""COMPUTED_VALUE"""),"Real")</f>
        <v>Real</v>
      </c>
      <c r="G1192" s="8">
        <f t="shared" si="1"/>
        <v>12</v>
      </c>
      <c r="H1192" s="14">
        <f t="shared" si="2"/>
        <v>20</v>
      </c>
      <c r="I1192" s="15">
        <f t="shared" si="3"/>
        <v>15</v>
      </c>
    </row>
    <row r="1193">
      <c r="A1193" s="8" t="str">
        <f>IFERROR(__xludf.DUMMYFUNCTION("IF('(INGESTA)Datos_consumo_datadis'!A1193&lt;&gt;"""",SPLIT('(INGESTA)Datos_consumo_datadis'!A:A,"",""),"""")"),"ES0031408323131005HX0F")</f>
        <v>ES0031408323131005HX0F</v>
      </c>
      <c r="B1193" s="17">
        <f>IFERROR(__xludf.DUMMYFUNCTION("""COMPUTED_VALUE"""),44915.0)</f>
        <v>44915</v>
      </c>
      <c r="C1193" s="13">
        <f>IFERROR(__xludf.DUMMYFUNCTION("""COMPUTED_VALUE"""),0.6666666666666666)</f>
        <v>0.6666666667</v>
      </c>
      <c r="D1193" s="8">
        <f>IFERROR(__xludf.DUMMYFUNCTION("""COMPUTED_VALUE"""),0.026)</f>
        <v>0.026</v>
      </c>
      <c r="E1193" s="8" t="str">
        <f>IFERROR(__xludf.DUMMYFUNCTION("""COMPUTED_VALUE"""),"Real")</f>
        <v>Real</v>
      </c>
      <c r="G1193" s="8">
        <f t="shared" si="1"/>
        <v>12</v>
      </c>
      <c r="H1193" s="14">
        <f t="shared" si="2"/>
        <v>20</v>
      </c>
      <c r="I1193" s="15">
        <f t="shared" si="3"/>
        <v>16</v>
      </c>
    </row>
    <row r="1194">
      <c r="A1194" s="8" t="str">
        <f>IFERROR(__xludf.DUMMYFUNCTION("IF('(INGESTA)Datos_consumo_datadis'!A1194&lt;&gt;"""",SPLIT('(INGESTA)Datos_consumo_datadis'!A:A,"",""),"""")"),"ES0031408323131005HX0F")</f>
        <v>ES0031408323131005HX0F</v>
      </c>
      <c r="B1194" s="17">
        <f>IFERROR(__xludf.DUMMYFUNCTION("""COMPUTED_VALUE"""),44915.0)</f>
        <v>44915</v>
      </c>
      <c r="C1194" s="13">
        <f>IFERROR(__xludf.DUMMYFUNCTION("""COMPUTED_VALUE"""),0.7083333333333334)</f>
        <v>0.7083333333</v>
      </c>
      <c r="D1194" s="8">
        <f>IFERROR(__xludf.DUMMYFUNCTION("""COMPUTED_VALUE"""),0.089)</f>
        <v>0.089</v>
      </c>
      <c r="E1194" s="8" t="str">
        <f>IFERROR(__xludf.DUMMYFUNCTION("""COMPUTED_VALUE"""),"Real")</f>
        <v>Real</v>
      </c>
      <c r="G1194" s="8">
        <f t="shared" si="1"/>
        <v>12</v>
      </c>
      <c r="H1194" s="14">
        <f t="shared" si="2"/>
        <v>20</v>
      </c>
      <c r="I1194" s="15">
        <f t="shared" si="3"/>
        <v>17</v>
      </c>
    </row>
    <row r="1195">
      <c r="A1195" s="8" t="str">
        <f>IFERROR(__xludf.DUMMYFUNCTION("IF('(INGESTA)Datos_consumo_datadis'!A1195&lt;&gt;"""",SPLIT('(INGESTA)Datos_consumo_datadis'!A:A,"",""),"""")"),"ES0031408323131005HX0F")</f>
        <v>ES0031408323131005HX0F</v>
      </c>
      <c r="B1195" s="17">
        <f>IFERROR(__xludf.DUMMYFUNCTION("""COMPUTED_VALUE"""),44915.0)</f>
        <v>44915</v>
      </c>
      <c r="C1195" s="13">
        <f>IFERROR(__xludf.DUMMYFUNCTION("""COMPUTED_VALUE"""),0.75)</f>
        <v>0.75</v>
      </c>
      <c r="D1195" s="8">
        <f>IFERROR(__xludf.DUMMYFUNCTION("""COMPUTED_VALUE"""),0.023)</f>
        <v>0.023</v>
      </c>
      <c r="E1195" s="8" t="str">
        <f>IFERROR(__xludf.DUMMYFUNCTION("""COMPUTED_VALUE"""),"Real")</f>
        <v>Real</v>
      </c>
      <c r="G1195" s="8">
        <f t="shared" si="1"/>
        <v>12</v>
      </c>
      <c r="H1195" s="14">
        <f t="shared" si="2"/>
        <v>20</v>
      </c>
      <c r="I1195" s="15">
        <f t="shared" si="3"/>
        <v>18</v>
      </c>
    </row>
    <row r="1196">
      <c r="A1196" s="8" t="str">
        <f>IFERROR(__xludf.DUMMYFUNCTION("IF('(INGESTA)Datos_consumo_datadis'!A1196&lt;&gt;"""",SPLIT('(INGESTA)Datos_consumo_datadis'!A:A,"",""),"""")"),"ES0031408323131005HX0F")</f>
        <v>ES0031408323131005HX0F</v>
      </c>
      <c r="B1196" s="17">
        <f>IFERROR(__xludf.DUMMYFUNCTION("""COMPUTED_VALUE"""),44915.0)</f>
        <v>44915</v>
      </c>
      <c r="C1196" s="13">
        <f>IFERROR(__xludf.DUMMYFUNCTION("""COMPUTED_VALUE"""),0.7916666666666666)</f>
        <v>0.7916666667</v>
      </c>
      <c r="D1196" s="8">
        <f>IFERROR(__xludf.DUMMYFUNCTION("""COMPUTED_VALUE"""),0.066)</f>
        <v>0.066</v>
      </c>
      <c r="E1196" s="8" t="str">
        <f>IFERROR(__xludf.DUMMYFUNCTION("""COMPUTED_VALUE"""),"Real")</f>
        <v>Real</v>
      </c>
      <c r="G1196" s="8">
        <f t="shared" si="1"/>
        <v>12</v>
      </c>
      <c r="H1196" s="14">
        <f t="shared" si="2"/>
        <v>20</v>
      </c>
      <c r="I1196" s="15">
        <f t="shared" si="3"/>
        <v>19</v>
      </c>
    </row>
    <row r="1197">
      <c r="A1197" s="8" t="str">
        <f>IFERROR(__xludf.DUMMYFUNCTION("IF('(INGESTA)Datos_consumo_datadis'!A1197&lt;&gt;"""",SPLIT('(INGESTA)Datos_consumo_datadis'!A:A,"",""),"""")"),"ES0031408323131005HX0F")</f>
        <v>ES0031408323131005HX0F</v>
      </c>
      <c r="B1197" s="17">
        <f>IFERROR(__xludf.DUMMYFUNCTION("""COMPUTED_VALUE"""),44915.0)</f>
        <v>44915</v>
      </c>
      <c r="C1197" s="13">
        <f>IFERROR(__xludf.DUMMYFUNCTION("""COMPUTED_VALUE"""),0.8333333333333334)</f>
        <v>0.8333333333</v>
      </c>
      <c r="D1197" s="8">
        <f>IFERROR(__xludf.DUMMYFUNCTION("""COMPUTED_VALUE"""),0.052)</f>
        <v>0.052</v>
      </c>
      <c r="E1197" s="8" t="str">
        <f>IFERROR(__xludf.DUMMYFUNCTION("""COMPUTED_VALUE"""),"Real")</f>
        <v>Real</v>
      </c>
      <c r="G1197" s="8">
        <f t="shared" si="1"/>
        <v>12</v>
      </c>
      <c r="H1197" s="14">
        <f t="shared" si="2"/>
        <v>20</v>
      </c>
      <c r="I1197" s="15">
        <f t="shared" si="3"/>
        <v>20</v>
      </c>
    </row>
    <row r="1198">
      <c r="A1198" s="8" t="str">
        <f>IFERROR(__xludf.DUMMYFUNCTION("IF('(INGESTA)Datos_consumo_datadis'!A1198&lt;&gt;"""",SPLIT('(INGESTA)Datos_consumo_datadis'!A:A,"",""),"""")"),"ES0031408323131005HX0F")</f>
        <v>ES0031408323131005HX0F</v>
      </c>
      <c r="B1198" s="17">
        <f>IFERROR(__xludf.DUMMYFUNCTION("""COMPUTED_VALUE"""),44915.0)</f>
        <v>44915</v>
      </c>
      <c r="C1198" s="13">
        <f>IFERROR(__xludf.DUMMYFUNCTION("""COMPUTED_VALUE"""),0.875)</f>
        <v>0.875</v>
      </c>
      <c r="D1198" s="8">
        <f>IFERROR(__xludf.DUMMYFUNCTION("""COMPUTED_VALUE"""),0.295)</f>
        <v>0.295</v>
      </c>
      <c r="E1198" s="8" t="str">
        <f>IFERROR(__xludf.DUMMYFUNCTION("""COMPUTED_VALUE"""),"Real")</f>
        <v>Real</v>
      </c>
      <c r="G1198" s="8">
        <f t="shared" si="1"/>
        <v>12</v>
      </c>
      <c r="H1198" s="14">
        <f t="shared" si="2"/>
        <v>20</v>
      </c>
      <c r="I1198" s="15">
        <f t="shared" si="3"/>
        <v>21</v>
      </c>
    </row>
    <row r="1199">
      <c r="A1199" s="8" t="str">
        <f>IFERROR(__xludf.DUMMYFUNCTION("IF('(INGESTA)Datos_consumo_datadis'!A1199&lt;&gt;"""",SPLIT('(INGESTA)Datos_consumo_datadis'!A:A,"",""),"""")"),"ES0031408323131005HX0F")</f>
        <v>ES0031408323131005HX0F</v>
      </c>
      <c r="B1199" s="17">
        <f>IFERROR(__xludf.DUMMYFUNCTION("""COMPUTED_VALUE"""),44915.0)</f>
        <v>44915</v>
      </c>
      <c r="C1199" s="13">
        <f>IFERROR(__xludf.DUMMYFUNCTION("""COMPUTED_VALUE"""),0.9166666666666666)</f>
        <v>0.9166666667</v>
      </c>
      <c r="D1199" s="8">
        <f>IFERROR(__xludf.DUMMYFUNCTION("""COMPUTED_VALUE"""),0.107)</f>
        <v>0.107</v>
      </c>
      <c r="E1199" s="8" t="str">
        <f>IFERROR(__xludf.DUMMYFUNCTION("""COMPUTED_VALUE"""),"Real")</f>
        <v>Real</v>
      </c>
      <c r="G1199" s="8">
        <f t="shared" si="1"/>
        <v>12</v>
      </c>
      <c r="H1199" s="14">
        <f t="shared" si="2"/>
        <v>20</v>
      </c>
      <c r="I1199" s="15">
        <f t="shared" si="3"/>
        <v>22</v>
      </c>
    </row>
    <row r="1200">
      <c r="A1200" s="8" t="str">
        <f>IFERROR(__xludf.DUMMYFUNCTION("IF('(INGESTA)Datos_consumo_datadis'!A1200&lt;&gt;"""",SPLIT('(INGESTA)Datos_consumo_datadis'!A:A,"",""),"""")"),"ES0031408323131005HX0F")</f>
        <v>ES0031408323131005HX0F</v>
      </c>
      <c r="B1200" s="17">
        <f>IFERROR(__xludf.DUMMYFUNCTION("""COMPUTED_VALUE"""),44915.0)</f>
        <v>44915</v>
      </c>
      <c r="C1200" s="13">
        <f>IFERROR(__xludf.DUMMYFUNCTION("""COMPUTED_VALUE"""),0.9583333333333334)</f>
        <v>0.9583333333</v>
      </c>
      <c r="D1200" s="8">
        <f>IFERROR(__xludf.DUMMYFUNCTION("""COMPUTED_VALUE"""),0.927)</f>
        <v>0.927</v>
      </c>
      <c r="E1200" s="8" t="str">
        <f>IFERROR(__xludf.DUMMYFUNCTION("""COMPUTED_VALUE"""),"Real")</f>
        <v>Real</v>
      </c>
      <c r="G1200" s="8">
        <f t="shared" si="1"/>
        <v>12</v>
      </c>
      <c r="H1200" s="14">
        <f t="shared" si="2"/>
        <v>20</v>
      </c>
      <c r="I1200" s="15">
        <f t="shared" si="3"/>
        <v>23</v>
      </c>
    </row>
    <row r="1201">
      <c r="A1201" s="8" t="str">
        <f>IFERROR(__xludf.DUMMYFUNCTION("IF('(INGESTA)Datos_consumo_datadis'!A1201&lt;&gt;"""",SPLIT('(INGESTA)Datos_consumo_datadis'!A:A,"",""),"""")"),"ES0031408323131005HX0F")</f>
        <v>ES0031408323131005HX0F</v>
      </c>
      <c r="B1201" s="17">
        <f>IFERROR(__xludf.DUMMYFUNCTION("""COMPUTED_VALUE"""),44915.0)</f>
        <v>44915</v>
      </c>
      <c r="C1201" s="16">
        <f>IFERROR(__xludf.DUMMYFUNCTION("""COMPUTED_VALUE"""),1.0)</f>
        <v>1</v>
      </c>
      <c r="D1201" s="8">
        <f>IFERROR(__xludf.DUMMYFUNCTION("""COMPUTED_VALUE"""),1.326)</f>
        <v>1.326</v>
      </c>
      <c r="E1201" s="8" t="str">
        <f>IFERROR(__xludf.DUMMYFUNCTION("""COMPUTED_VALUE"""),"Real")</f>
        <v>Real</v>
      </c>
      <c r="G1201" s="8">
        <f t="shared" si="1"/>
        <v>12</v>
      </c>
      <c r="H1201" s="14">
        <f t="shared" si="2"/>
        <v>20</v>
      </c>
      <c r="I1201" s="15">
        <f t="shared" si="3"/>
        <v>0</v>
      </c>
    </row>
    <row r="1202">
      <c r="A1202" s="8" t="str">
        <f>IFERROR(__xludf.DUMMYFUNCTION("IF('(INGESTA)Datos_consumo_datadis'!A1202&lt;&gt;"""",SPLIT('(INGESTA)Datos_consumo_datadis'!A:A,"",""),"""")"),"ES0031408323131005HX0F")</f>
        <v>ES0031408323131005HX0F</v>
      </c>
      <c r="B1202" s="17">
        <f>IFERROR(__xludf.DUMMYFUNCTION("""COMPUTED_VALUE"""),44916.0)</f>
        <v>44916</v>
      </c>
      <c r="C1202" s="13">
        <f>IFERROR(__xludf.DUMMYFUNCTION("""COMPUTED_VALUE"""),0.041666666666666664)</f>
        <v>0.04166666667</v>
      </c>
      <c r="D1202" s="8">
        <f>IFERROR(__xludf.DUMMYFUNCTION("""COMPUTED_VALUE"""),1.444)</f>
        <v>1.444</v>
      </c>
      <c r="E1202" s="8" t="str">
        <f>IFERROR(__xludf.DUMMYFUNCTION("""COMPUTED_VALUE"""),"Real")</f>
        <v>Real</v>
      </c>
      <c r="G1202" s="8">
        <f t="shared" si="1"/>
        <v>12</v>
      </c>
      <c r="H1202" s="14">
        <f t="shared" si="2"/>
        <v>21</v>
      </c>
      <c r="I1202" s="15">
        <f t="shared" si="3"/>
        <v>1</v>
      </c>
    </row>
    <row r="1203">
      <c r="A1203" s="8" t="str">
        <f>IFERROR(__xludf.DUMMYFUNCTION("IF('(INGESTA)Datos_consumo_datadis'!A1203&lt;&gt;"""",SPLIT('(INGESTA)Datos_consumo_datadis'!A:A,"",""),"""")"),"ES0031408323131005HX0F")</f>
        <v>ES0031408323131005HX0F</v>
      </c>
      <c r="B1203" s="17">
        <f>IFERROR(__xludf.DUMMYFUNCTION("""COMPUTED_VALUE"""),44916.0)</f>
        <v>44916</v>
      </c>
      <c r="C1203" s="13">
        <f>IFERROR(__xludf.DUMMYFUNCTION("""COMPUTED_VALUE"""),0.08333333333333333)</f>
        <v>0.08333333333</v>
      </c>
      <c r="D1203" s="8">
        <f>IFERROR(__xludf.DUMMYFUNCTION("""COMPUTED_VALUE"""),1.117)</f>
        <v>1.117</v>
      </c>
      <c r="E1203" s="8" t="str">
        <f>IFERROR(__xludf.DUMMYFUNCTION("""COMPUTED_VALUE"""),"Real")</f>
        <v>Real</v>
      </c>
      <c r="G1203" s="8">
        <f t="shared" si="1"/>
        <v>12</v>
      </c>
      <c r="H1203" s="14">
        <f t="shared" si="2"/>
        <v>21</v>
      </c>
      <c r="I1203" s="15">
        <f t="shared" si="3"/>
        <v>2</v>
      </c>
    </row>
    <row r="1204">
      <c r="A1204" s="8" t="str">
        <f>IFERROR(__xludf.DUMMYFUNCTION("IF('(INGESTA)Datos_consumo_datadis'!A1204&lt;&gt;"""",SPLIT('(INGESTA)Datos_consumo_datadis'!A:A,"",""),"""")"),"ES0031408323131005HX0F")</f>
        <v>ES0031408323131005HX0F</v>
      </c>
      <c r="B1204" s="17">
        <f>IFERROR(__xludf.DUMMYFUNCTION("""COMPUTED_VALUE"""),44916.0)</f>
        <v>44916</v>
      </c>
      <c r="C1204" s="13">
        <f>IFERROR(__xludf.DUMMYFUNCTION("""COMPUTED_VALUE"""),0.125)</f>
        <v>0.125</v>
      </c>
      <c r="D1204" s="8">
        <f>IFERROR(__xludf.DUMMYFUNCTION("""COMPUTED_VALUE"""),1.19)</f>
        <v>1.19</v>
      </c>
      <c r="E1204" s="8" t="str">
        <f>IFERROR(__xludf.DUMMYFUNCTION("""COMPUTED_VALUE"""),"Real")</f>
        <v>Real</v>
      </c>
      <c r="G1204" s="8">
        <f t="shared" si="1"/>
        <v>12</v>
      </c>
      <c r="H1204" s="14">
        <f t="shared" si="2"/>
        <v>21</v>
      </c>
      <c r="I1204" s="15">
        <f t="shared" si="3"/>
        <v>3</v>
      </c>
    </row>
    <row r="1205">
      <c r="A1205" s="8" t="str">
        <f>IFERROR(__xludf.DUMMYFUNCTION("IF('(INGESTA)Datos_consumo_datadis'!A1205&lt;&gt;"""",SPLIT('(INGESTA)Datos_consumo_datadis'!A:A,"",""),"""")"),"ES0031408323131005HX0F")</f>
        <v>ES0031408323131005HX0F</v>
      </c>
      <c r="B1205" s="17">
        <f>IFERROR(__xludf.DUMMYFUNCTION("""COMPUTED_VALUE"""),44916.0)</f>
        <v>44916</v>
      </c>
      <c r="C1205" s="13">
        <f>IFERROR(__xludf.DUMMYFUNCTION("""COMPUTED_VALUE"""),0.16666666666666666)</f>
        <v>0.1666666667</v>
      </c>
      <c r="D1205" s="8">
        <f>IFERROR(__xludf.DUMMYFUNCTION("""COMPUTED_VALUE"""),1.119)</f>
        <v>1.119</v>
      </c>
      <c r="E1205" s="8" t="str">
        <f>IFERROR(__xludf.DUMMYFUNCTION("""COMPUTED_VALUE"""),"Real")</f>
        <v>Real</v>
      </c>
      <c r="G1205" s="8">
        <f t="shared" si="1"/>
        <v>12</v>
      </c>
      <c r="H1205" s="14">
        <f t="shared" si="2"/>
        <v>21</v>
      </c>
      <c r="I1205" s="15">
        <f t="shared" si="3"/>
        <v>4</v>
      </c>
    </row>
    <row r="1206">
      <c r="A1206" s="8" t="str">
        <f>IFERROR(__xludf.DUMMYFUNCTION("IF('(INGESTA)Datos_consumo_datadis'!A1206&lt;&gt;"""",SPLIT('(INGESTA)Datos_consumo_datadis'!A:A,"",""),"""")"),"ES0031408323131005HX0F")</f>
        <v>ES0031408323131005HX0F</v>
      </c>
      <c r="B1206" s="17">
        <f>IFERROR(__xludf.DUMMYFUNCTION("""COMPUTED_VALUE"""),44916.0)</f>
        <v>44916</v>
      </c>
      <c r="C1206" s="13">
        <f>IFERROR(__xludf.DUMMYFUNCTION("""COMPUTED_VALUE"""),0.20833333333333334)</f>
        <v>0.2083333333</v>
      </c>
      <c r="D1206" s="8">
        <f>IFERROR(__xludf.DUMMYFUNCTION("""COMPUTED_VALUE"""),0.984)</f>
        <v>0.984</v>
      </c>
      <c r="E1206" s="8" t="str">
        <f>IFERROR(__xludf.DUMMYFUNCTION("""COMPUTED_VALUE"""),"Real")</f>
        <v>Real</v>
      </c>
      <c r="G1206" s="8">
        <f t="shared" si="1"/>
        <v>12</v>
      </c>
      <c r="H1206" s="14">
        <f t="shared" si="2"/>
        <v>21</v>
      </c>
      <c r="I1206" s="15">
        <f t="shared" si="3"/>
        <v>5</v>
      </c>
    </row>
    <row r="1207">
      <c r="A1207" s="8" t="str">
        <f>IFERROR(__xludf.DUMMYFUNCTION("IF('(INGESTA)Datos_consumo_datadis'!A1207&lt;&gt;"""",SPLIT('(INGESTA)Datos_consumo_datadis'!A:A,"",""),"""")"),"ES0031408323131005HX0F")</f>
        <v>ES0031408323131005HX0F</v>
      </c>
      <c r="B1207" s="17">
        <f>IFERROR(__xludf.DUMMYFUNCTION("""COMPUTED_VALUE"""),44916.0)</f>
        <v>44916</v>
      </c>
      <c r="C1207" s="13">
        <f>IFERROR(__xludf.DUMMYFUNCTION("""COMPUTED_VALUE"""),0.25)</f>
        <v>0.25</v>
      </c>
      <c r="D1207" s="8">
        <f>IFERROR(__xludf.DUMMYFUNCTION("""COMPUTED_VALUE"""),0.918)</f>
        <v>0.918</v>
      </c>
      <c r="E1207" s="8" t="str">
        <f>IFERROR(__xludf.DUMMYFUNCTION("""COMPUTED_VALUE"""),"Real")</f>
        <v>Real</v>
      </c>
      <c r="G1207" s="8">
        <f t="shared" si="1"/>
        <v>12</v>
      </c>
      <c r="H1207" s="14">
        <f t="shared" si="2"/>
        <v>21</v>
      </c>
      <c r="I1207" s="15">
        <f t="shared" si="3"/>
        <v>6</v>
      </c>
    </row>
    <row r="1208">
      <c r="A1208" s="8" t="str">
        <f>IFERROR(__xludf.DUMMYFUNCTION("IF('(INGESTA)Datos_consumo_datadis'!A1208&lt;&gt;"""",SPLIT('(INGESTA)Datos_consumo_datadis'!A:A,"",""),"""")"),"ES0031408323131005HX0F")</f>
        <v>ES0031408323131005HX0F</v>
      </c>
      <c r="B1208" s="17">
        <f>IFERROR(__xludf.DUMMYFUNCTION("""COMPUTED_VALUE"""),44916.0)</f>
        <v>44916</v>
      </c>
      <c r="C1208" s="13">
        <f>IFERROR(__xludf.DUMMYFUNCTION("""COMPUTED_VALUE"""),0.2916666666666667)</f>
        <v>0.2916666667</v>
      </c>
      <c r="D1208" s="8">
        <f>IFERROR(__xludf.DUMMYFUNCTION("""COMPUTED_VALUE"""),0.846)</f>
        <v>0.846</v>
      </c>
      <c r="E1208" s="8" t="str">
        <f>IFERROR(__xludf.DUMMYFUNCTION("""COMPUTED_VALUE"""),"Real")</f>
        <v>Real</v>
      </c>
      <c r="G1208" s="8">
        <f t="shared" si="1"/>
        <v>12</v>
      </c>
      <c r="H1208" s="14">
        <f t="shared" si="2"/>
        <v>21</v>
      </c>
      <c r="I1208" s="15">
        <f t="shared" si="3"/>
        <v>7</v>
      </c>
    </row>
    <row r="1209">
      <c r="A1209" s="8" t="str">
        <f>IFERROR(__xludf.DUMMYFUNCTION("IF('(INGESTA)Datos_consumo_datadis'!A1209&lt;&gt;"""",SPLIT('(INGESTA)Datos_consumo_datadis'!A:A,"",""),"""")"),"ES0031408323131005HX0F")</f>
        <v>ES0031408323131005HX0F</v>
      </c>
      <c r="B1209" s="17">
        <f>IFERROR(__xludf.DUMMYFUNCTION("""COMPUTED_VALUE"""),44916.0)</f>
        <v>44916</v>
      </c>
      <c r="C1209" s="13">
        <f>IFERROR(__xludf.DUMMYFUNCTION("""COMPUTED_VALUE"""),0.3333333333333333)</f>
        <v>0.3333333333</v>
      </c>
      <c r="D1209" s="8">
        <f>IFERROR(__xludf.DUMMYFUNCTION("""COMPUTED_VALUE"""),1.009)</f>
        <v>1.009</v>
      </c>
      <c r="E1209" s="8" t="str">
        <f>IFERROR(__xludf.DUMMYFUNCTION("""COMPUTED_VALUE"""),"Real")</f>
        <v>Real</v>
      </c>
      <c r="G1209" s="8">
        <f t="shared" si="1"/>
        <v>12</v>
      </c>
      <c r="H1209" s="14">
        <f t="shared" si="2"/>
        <v>21</v>
      </c>
      <c r="I1209" s="15">
        <f t="shared" si="3"/>
        <v>8</v>
      </c>
    </row>
    <row r="1210">
      <c r="A1210" s="8" t="str">
        <f>IFERROR(__xludf.DUMMYFUNCTION("IF('(INGESTA)Datos_consumo_datadis'!A1210&lt;&gt;"""",SPLIT('(INGESTA)Datos_consumo_datadis'!A:A,"",""),"""")"),"ES0031408323131005HX0F")</f>
        <v>ES0031408323131005HX0F</v>
      </c>
      <c r="B1210" s="17">
        <f>IFERROR(__xludf.DUMMYFUNCTION("""COMPUTED_VALUE"""),44916.0)</f>
        <v>44916</v>
      </c>
      <c r="C1210" s="13">
        <f>IFERROR(__xludf.DUMMYFUNCTION("""COMPUTED_VALUE"""),0.375)</f>
        <v>0.375</v>
      </c>
      <c r="D1210" s="8">
        <f>IFERROR(__xludf.DUMMYFUNCTION("""COMPUTED_VALUE"""),0.032)</f>
        <v>0.032</v>
      </c>
      <c r="E1210" s="8" t="str">
        <f>IFERROR(__xludf.DUMMYFUNCTION("""COMPUTED_VALUE"""),"Real")</f>
        <v>Real</v>
      </c>
      <c r="G1210" s="8">
        <f t="shared" si="1"/>
        <v>12</v>
      </c>
      <c r="H1210" s="14">
        <f t="shared" si="2"/>
        <v>21</v>
      </c>
      <c r="I1210" s="15">
        <f t="shared" si="3"/>
        <v>9</v>
      </c>
    </row>
    <row r="1211">
      <c r="A1211" s="8" t="str">
        <f>IFERROR(__xludf.DUMMYFUNCTION("IF('(INGESTA)Datos_consumo_datadis'!A1211&lt;&gt;"""",SPLIT('(INGESTA)Datos_consumo_datadis'!A:A,"",""),"""")"),"ES0031408323131005HX0F")</f>
        <v>ES0031408323131005HX0F</v>
      </c>
      <c r="B1211" s="17">
        <f>IFERROR(__xludf.DUMMYFUNCTION("""COMPUTED_VALUE"""),44916.0)</f>
        <v>44916</v>
      </c>
      <c r="C1211" s="13">
        <f>IFERROR(__xludf.DUMMYFUNCTION("""COMPUTED_VALUE"""),0.4166666666666667)</f>
        <v>0.4166666667</v>
      </c>
      <c r="D1211" s="8">
        <f>IFERROR(__xludf.DUMMYFUNCTION("""COMPUTED_VALUE"""),0.069)</f>
        <v>0.069</v>
      </c>
      <c r="E1211" s="8" t="str">
        <f>IFERROR(__xludf.DUMMYFUNCTION("""COMPUTED_VALUE"""),"Real")</f>
        <v>Real</v>
      </c>
      <c r="G1211" s="8">
        <f t="shared" si="1"/>
        <v>12</v>
      </c>
      <c r="H1211" s="14">
        <f t="shared" si="2"/>
        <v>21</v>
      </c>
      <c r="I1211" s="15">
        <f t="shared" si="3"/>
        <v>10</v>
      </c>
    </row>
    <row r="1212">
      <c r="A1212" s="8" t="str">
        <f>IFERROR(__xludf.DUMMYFUNCTION("IF('(INGESTA)Datos_consumo_datadis'!A1212&lt;&gt;"""",SPLIT('(INGESTA)Datos_consumo_datadis'!A:A,"",""),"""")"),"ES0031408323131005HX0F")</f>
        <v>ES0031408323131005HX0F</v>
      </c>
      <c r="B1212" s="17">
        <f>IFERROR(__xludf.DUMMYFUNCTION("""COMPUTED_VALUE"""),44916.0)</f>
        <v>44916</v>
      </c>
      <c r="C1212" s="13">
        <f>IFERROR(__xludf.DUMMYFUNCTION("""COMPUTED_VALUE"""),0.4583333333333333)</f>
        <v>0.4583333333</v>
      </c>
      <c r="D1212" s="8">
        <f>IFERROR(__xludf.DUMMYFUNCTION("""COMPUTED_VALUE"""),0.047)</f>
        <v>0.047</v>
      </c>
      <c r="E1212" s="8" t="str">
        <f>IFERROR(__xludf.DUMMYFUNCTION("""COMPUTED_VALUE"""),"Real")</f>
        <v>Real</v>
      </c>
      <c r="G1212" s="8">
        <f t="shared" si="1"/>
        <v>12</v>
      </c>
      <c r="H1212" s="14">
        <f t="shared" si="2"/>
        <v>21</v>
      </c>
      <c r="I1212" s="15">
        <f t="shared" si="3"/>
        <v>11</v>
      </c>
    </row>
    <row r="1213">
      <c r="A1213" s="8" t="str">
        <f>IFERROR(__xludf.DUMMYFUNCTION("IF('(INGESTA)Datos_consumo_datadis'!A1213&lt;&gt;"""",SPLIT('(INGESTA)Datos_consumo_datadis'!A:A,"",""),"""")"),"ES0031408323131005HX0F")</f>
        <v>ES0031408323131005HX0F</v>
      </c>
      <c r="B1213" s="17">
        <f>IFERROR(__xludf.DUMMYFUNCTION("""COMPUTED_VALUE"""),44916.0)</f>
        <v>44916</v>
      </c>
      <c r="C1213" s="13">
        <f>IFERROR(__xludf.DUMMYFUNCTION("""COMPUTED_VALUE"""),0.5)</f>
        <v>0.5</v>
      </c>
      <c r="D1213" s="8">
        <f>IFERROR(__xludf.DUMMYFUNCTION("""COMPUTED_VALUE"""),0.015)</f>
        <v>0.015</v>
      </c>
      <c r="E1213" s="8" t="str">
        <f>IFERROR(__xludf.DUMMYFUNCTION("""COMPUTED_VALUE"""),"Real")</f>
        <v>Real</v>
      </c>
      <c r="G1213" s="8">
        <f t="shared" si="1"/>
        <v>12</v>
      </c>
      <c r="H1213" s="14">
        <f t="shared" si="2"/>
        <v>21</v>
      </c>
      <c r="I1213" s="15">
        <f t="shared" si="3"/>
        <v>12</v>
      </c>
    </row>
    <row r="1214">
      <c r="A1214" s="8" t="str">
        <f>IFERROR(__xludf.DUMMYFUNCTION("IF('(INGESTA)Datos_consumo_datadis'!A1214&lt;&gt;"""",SPLIT('(INGESTA)Datos_consumo_datadis'!A:A,"",""),"""")"),"ES0031408323131005HX0F")</f>
        <v>ES0031408323131005HX0F</v>
      </c>
      <c r="B1214" s="17">
        <f>IFERROR(__xludf.DUMMYFUNCTION("""COMPUTED_VALUE"""),44916.0)</f>
        <v>44916</v>
      </c>
      <c r="C1214" s="13">
        <f>IFERROR(__xludf.DUMMYFUNCTION("""COMPUTED_VALUE"""),0.5416666666666666)</f>
        <v>0.5416666667</v>
      </c>
      <c r="D1214" s="8">
        <f>IFERROR(__xludf.DUMMYFUNCTION("""COMPUTED_VALUE"""),0.339)</f>
        <v>0.339</v>
      </c>
      <c r="E1214" s="8" t="str">
        <f>IFERROR(__xludf.DUMMYFUNCTION("""COMPUTED_VALUE"""),"Real")</f>
        <v>Real</v>
      </c>
      <c r="G1214" s="8">
        <f t="shared" si="1"/>
        <v>12</v>
      </c>
      <c r="H1214" s="14">
        <f t="shared" si="2"/>
        <v>21</v>
      </c>
      <c r="I1214" s="15">
        <f t="shared" si="3"/>
        <v>13</v>
      </c>
    </row>
    <row r="1215">
      <c r="A1215" s="8" t="str">
        <f>IFERROR(__xludf.DUMMYFUNCTION("IF('(INGESTA)Datos_consumo_datadis'!A1215&lt;&gt;"""",SPLIT('(INGESTA)Datos_consumo_datadis'!A:A,"",""),"""")"),"ES0031408323131005HX0F")</f>
        <v>ES0031408323131005HX0F</v>
      </c>
      <c r="B1215" s="17">
        <f>IFERROR(__xludf.DUMMYFUNCTION("""COMPUTED_VALUE"""),44916.0)</f>
        <v>44916</v>
      </c>
      <c r="C1215" s="13">
        <f>IFERROR(__xludf.DUMMYFUNCTION("""COMPUTED_VALUE"""),0.5833333333333334)</f>
        <v>0.5833333333</v>
      </c>
      <c r="D1215" s="8">
        <f>IFERROR(__xludf.DUMMYFUNCTION("""COMPUTED_VALUE"""),0.085)</f>
        <v>0.085</v>
      </c>
      <c r="E1215" s="8" t="str">
        <f>IFERROR(__xludf.DUMMYFUNCTION("""COMPUTED_VALUE"""),"Real")</f>
        <v>Real</v>
      </c>
      <c r="G1215" s="8">
        <f t="shared" si="1"/>
        <v>12</v>
      </c>
      <c r="H1215" s="14">
        <f t="shared" si="2"/>
        <v>21</v>
      </c>
      <c r="I1215" s="15">
        <f t="shared" si="3"/>
        <v>14</v>
      </c>
    </row>
    <row r="1216">
      <c r="A1216" s="8" t="str">
        <f>IFERROR(__xludf.DUMMYFUNCTION("IF('(INGESTA)Datos_consumo_datadis'!A1216&lt;&gt;"""",SPLIT('(INGESTA)Datos_consumo_datadis'!A:A,"",""),"""")"),"ES0031408323131005HX0F")</f>
        <v>ES0031408323131005HX0F</v>
      </c>
      <c r="B1216" s="17">
        <f>IFERROR(__xludf.DUMMYFUNCTION("""COMPUTED_VALUE"""),44916.0)</f>
        <v>44916</v>
      </c>
      <c r="C1216" s="13">
        <f>IFERROR(__xludf.DUMMYFUNCTION("""COMPUTED_VALUE"""),0.625)</f>
        <v>0.625</v>
      </c>
      <c r="D1216" s="8">
        <f>IFERROR(__xludf.DUMMYFUNCTION("""COMPUTED_VALUE"""),1.28)</f>
        <v>1.28</v>
      </c>
      <c r="E1216" s="8" t="str">
        <f>IFERROR(__xludf.DUMMYFUNCTION("""COMPUTED_VALUE"""),"Real")</f>
        <v>Real</v>
      </c>
      <c r="G1216" s="8">
        <f t="shared" si="1"/>
        <v>12</v>
      </c>
      <c r="H1216" s="14">
        <f t="shared" si="2"/>
        <v>21</v>
      </c>
      <c r="I1216" s="15">
        <f t="shared" si="3"/>
        <v>15</v>
      </c>
    </row>
    <row r="1217">
      <c r="A1217" s="8" t="str">
        <f>IFERROR(__xludf.DUMMYFUNCTION("IF('(INGESTA)Datos_consumo_datadis'!A1217&lt;&gt;"""",SPLIT('(INGESTA)Datos_consumo_datadis'!A:A,"",""),"""")"),"ES0031408323131005HX0F")</f>
        <v>ES0031408323131005HX0F</v>
      </c>
      <c r="B1217" s="17">
        <f>IFERROR(__xludf.DUMMYFUNCTION("""COMPUTED_VALUE"""),44916.0)</f>
        <v>44916</v>
      </c>
      <c r="C1217" s="13">
        <f>IFERROR(__xludf.DUMMYFUNCTION("""COMPUTED_VALUE"""),0.6666666666666666)</f>
        <v>0.6666666667</v>
      </c>
      <c r="D1217" s="8">
        <f>IFERROR(__xludf.DUMMYFUNCTION("""COMPUTED_VALUE"""),0.34)</f>
        <v>0.34</v>
      </c>
      <c r="E1217" s="8" t="str">
        <f>IFERROR(__xludf.DUMMYFUNCTION("""COMPUTED_VALUE"""),"Real")</f>
        <v>Real</v>
      </c>
      <c r="G1217" s="8">
        <f t="shared" si="1"/>
        <v>12</v>
      </c>
      <c r="H1217" s="14">
        <f t="shared" si="2"/>
        <v>21</v>
      </c>
      <c r="I1217" s="15">
        <f t="shared" si="3"/>
        <v>16</v>
      </c>
    </row>
    <row r="1218">
      <c r="A1218" s="8" t="str">
        <f>IFERROR(__xludf.DUMMYFUNCTION("IF('(INGESTA)Datos_consumo_datadis'!A1218&lt;&gt;"""",SPLIT('(INGESTA)Datos_consumo_datadis'!A:A,"",""),"""")"),"ES0031408323131005HX0F")</f>
        <v>ES0031408323131005HX0F</v>
      </c>
      <c r="B1218" s="17">
        <f>IFERROR(__xludf.DUMMYFUNCTION("""COMPUTED_VALUE"""),44916.0)</f>
        <v>44916</v>
      </c>
      <c r="C1218" s="13">
        <f>IFERROR(__xludf.DUMMYFUNCTION("""COMPUTED_VALUE"""),0.7083333333333334)</f>
        <v>0.7083333333</v>
      </c>
      <c r="D1218" s="8">
        <f>IFERROR(__xludf.DUMMYFUNCTION("""COMPUTED_VALUE"""),1.168)</f>
        <v>1.168</v>
      </c>
      <c r="E1218" s="8" t="str">
        <f>IFERROR(__xludf.DUMMYFUNCTION("""COMPUTED_VALUE"""),"Real")</f>
        <v>Real</v>
      </c>
      <c r="G1218" s="8">
        <f t="shared" si="1"/>
        <v>12</v>
      </c>
      <c r="H1218" s="14">
        <f t="shared" si="2"/>
        <v>21</v>
      </c>
      <c r="I1218" s="15">
        <f t="shared" si="3"/>
        <v>17</v>
      </c>
    </row>
    <row r="1219">
      <c r="A1219" s="8" t="str">
        <f>IFERROR(__xludf.DUMMYFUNCTION("IF('(INGESTA)Datos_consumo_datadis'!A1219&lt;&gt;"""",SPLIT('(INGESTA)Datos_consumo_datadis'!A:A,"",""),"""")"),"ES0031408323131005HX0F")</f>
        <v>ES0031408323131005HX0F</v>
      </c>
      <c r="B1219" s="17">
        <f>IFERROR(__xludf.DUMMYFUNCTION("""COMPUTED_VALUE"""),44916.0)</f>
        <v>44916</v>
      </c>
      <c r="C1219" s="13">
        <f>IFERROR(__xludf.DUMMYFUNCTION("""COMPUTED_VALUE"""),0.75)</f>
        <v>0.75</v>
      </c>
      <c r="D1219" s="8">
        <f>IFERROR(__xludf.DUMMYFUNCTION("""COMPUTED_VALUE"""),0.078)</f>
        <v>0.078</v>
      </c>
      <c r="E1219" s="8" t="str">
        <f>IFERROR(__xludf.DUMMYFUNCTION("""COMPUTED_VALUE"""),"Real")</f>
        <v>Real</v>
      </c>
      <c r="G1219" s="8">
        <f t="shared" si="1"/>
        <v>12</v>
      </c>
      <c r="H1219" s="14">
        <f t="shared" si="2"/>
        <v>21</v>
      </c>
      <c r="I1219" s="15">
        <f t="shared" si="3"/>
        <v>18</v>
      </c>
    </row>
    <row r="1220">
      <c r="A1220" s="8" t="str">
        <f>IFERROR(__xludf.DUMMYFUNCTION("IF('(INGESTA)Datos_consumo_datadis'!A1220&lt;&gt;"""",SPLIT('(INGESTA)Datos_consumo_datadis'!A:A,"",""),"""")"),"ES0031408323131005HX0F")</f>
        <v>ES0031408323131005HX0F</v>
      </c>
      <c r="B1220" s="17">
        <f>IFERROR(__xludf.DUMMYFUNCTION("""COMPUTED_VALUE"""),44916.0)</f>
        <v>44916</v>
      </c>
      <c r="C1220" s="13">
        <f>IFERROR(__xludf.DUMMYFUNCTION("""COMPUTED_VALUE"""),0.7916666666666666)</f>
        <v>0.7916666667</v>
      </c>
      <c r="D1220" s="8">
        <f>IFERROR(__xludf.DUMMYFUNCTION("""COMPUTED_VALUE"""),0.06)</f>
        <v>0.06</v>
      </c>
      <c r="E1220" s="8" t="str">
        <f>IFERROR(__xludf.DUMMYFUNCTION("""COMPUTED_VALUE"""),"Real")</f>
        <v>Real</v>
      </c>
      <c r="G1220" s="8">
        <f t="shared" si="1"/>
        <v>12</v>
      </c>
      <c r="H1220" s="14">
        <f t="shared" si="2"/>
        <v>21</v>
      </c>
      <c r="I1220" s="15">
        <f t="shared" si="3"/>
        <v>19</v>
      </c>
    </row>
    <row r="1221">
      <c r="A1221" s="8" t="str">
        <f>IFERROR(__xludf.DUMMYFUNCTION("IF('(INGESTA)Datos_consumo_datadis'!A1221&lt;&gt;"""",SPLIT('(INGESTA)Datos_consumo_datadis'!A:A,"",""),"""")"),"ES0031408323131005HX0F")</f>
        <v>ES0031408323131005HX0F</v>
      </c>
      <c r="B1221" s="17">
        <f>IFERROR(__xludf.DUMMYFUNCTION("""COMPUTED_VALUE"""),44916.0)</f>
        <v>44916</v>
      </c>
      <c r="C1221" s="13">
        <f>IFERROR(__xludf.DUMMYFUNCTION("""COMPUTED_VALUE"""),0.8333333333333334)</f>
        <v>0.8333333333</v>
      </c>
      <c r="D1221" s="8">
        <f>IFERROR(__xludf.DUMMYFUNCTION("""COMPUTED_VALUE"""),0.279)</f>
        <v>0.279</v>
      </c>
      <c r="E1221" s="8" t="str">
        <f>IFERROR(__xludf.DUMMYFUNCTION("""COMPUTED_VALUE"""),"Real")</f>
        <v>Real</v>
      </c>
      <c r="G1221" s="8">
        <f t="shared" si="1"/>
        <v>12</v>
      </c>
      <c r="H1221" s="14">
        <f t="shared" si="2"/>
        <v>21</v>
      </c>
      <c r="I1221" s="15">
        <f t="shared" si="3"/>
        <v>20</v>
      </c>
    </row>
    <row r="1222">
      <c r="A1222" s="8" t="str">
        <f>IFERROR(__xludf.DUMMYFUNCTION("IF('(INGESTA)Datos_consumo_datadis'!A1222&lt;&gt;"""",SPLIT('(INGESTA)Datos_consumo_datadis'!A:A,"",""),"""")"),"ES0031408323131005HX0F")</f>
        <v>ES0031408323131005HX0F</v>
      </c>
      <c r="B1222" s="17">
        <f>IFERROR(__xludf.DUMMYFUNCTION("""COMPUTED_VALUE"""),44916.0)</f>
        <v>44916</v>
      </c>
      <c r="C1222" s="13">
        <f>IFERROR(__xludf.DUMMYFUNCTION("""COMPUTED_VALUE"""),0.875)</f>
        <v>0.875</v>
      </c>
      <c r="D1222" s="8">
        <f>IFERROR(__xludf.DUMMYFUNCTION("""COMPUTED_VALUE"""),0.104)</f>
        <v>0.104</v>
      </c>
      <c r="E1222" s="8" t="str">
        <f>IFERROR(__xludf.DUMMYFUNCTION("""COMPUTED_VALUE"""),"Real")</f>
        <v>Real</v>
      </c>
      <c r="G1222" s="8">
        <f t="shared" si="1"/>
        <v>12</v>
      </c>
      <c r="H1222" s="14">
        <f t="shared" si="2"/>
        <v>21</v>
      </c>
      <c r="I1222" s="15">
        <f t="shared" si="3"/>
        <v>21</v>
      </c>
    </row>
    <row r="1223">
      <c r="A1223" s="8" t="str">
        <f>IFERROR(__xludf.DUMMYFUNCTION("IF('(INGESTA)Datos_consumo_datadis'!A1223&lt;&gt;"""",SPLIT('(INGESTA)Datos_consumo_datadis'!A:A,"",""),"""")"),"ES0031408323131005HX0F")</f>
        <v>ES0031408323131005HX0F</v>
      </c>
      <c r="B1223" s="17">
        <f>IFERROR(__xludf.DUMMYFUNCTION("""COMPUTED_VALUE"""),44916.0)</f>
        <v>44916</v>
      </c>
      <c r="C1223" s="13">
        <f>IFERROR(__xludf.DUMMYFUNCTION("""COMPUTED_VALUE"""),0.9166666666666666)</f>
        <v>0.9166666667</v>
      </c>
      <c r="D1223" s="8">
        <f>IFERROR(__xludf.DUMMYFUNCTION("""COMPUTED_VALUE"""),1.194)</f>
        <v>1.194</v>
      </c>
      <c r="E1223" s="8" t="str">
        <f>IFERROR(__xludf.DUMMYFUNCTION("""COMPUTED_VALUE"""),"Real")</f>
        <v>Real</v>
      </c>
      <c r="G1223" s="8">
        <f t="shared" si="1"/>
        <v>12</v>
      </c>
      <c r="H1223" s="14">
        <f t="shared" si="2"/>
        <v>21</v>
      </c>
      <c r="I1223" s="15">
        <f t="shared" si="3"/>
        <v>22</v>
      </c>
    </row>
    <row r="1224">
      <c r="A1224" s="8" t="str">
        <f>IFERROR(__xludf.DUMMYFUNCTION("IF('(INGESTA)Datos_consumo_datadis'!A1224&lt;&gt;"""",SPLIT('(INGESTA)Datos_consumo_datadis'!A:A,"",""),"""")"),"ES0031408323131005HX0F")</f>
        <v>ES0031408323131005HX0F</v>
      </c>
      <c r="B1224" s="17">
        <f>IFERROR(__xludf.DUMMYFUNCTION("""COMPUTED_VALUE"""),44916.0)</f>
        <v>44916</v>
      </c>
      <c r="C1224" s="13">
        <f>IFERROR(__xludf.DUMMYFUNCTION("""COMPUTED_VALUE"""),0.9583333333333334)</f>
        <v>0.9583333333</v>
      </c>
      <c r="D1224" s="8">
        <f>IFERROR(__xludf.DUMMYFUNCTION("""COMPUTED_VALUE"""),1.767)</f>
        <v>1.767</v>
      </c>
      <c r="E1224" s="8" t="str">
        <f>IFERROR(__xludf.DUMMYFUNCTION("""COMPUTED_VALUE"""),"Real")</f>
        <v>Real</v>
      </c>
      <c r="G1224" s="8">
        <f t="shared" si="1"/>
        <v>12</v>
      </c>
      <c r="H1224" s="14">
        <f t="shared" si="2"/>
        <v>21</v>
      </c>
      <c r="I1224" s="15">
        <f t="shared" si="3"/>
        <v>23</v>
      </c>
    </row>
    <row r="1225">
      <c r="A1225" s="8" t="str">
        <f>IFERROR(__xludf.DUMMYFUNCTION("IF('(INGESTA)Datos_consumo_datadis'!A1225&lt;&gt;"""",SPLIT('(INGESTA)Datos_consumo_datadis'!A:A,"",""),"""")"),"ES0031408323131005HX0F")</f>
        <v>ES0031408323131005HX0F</v>
      </c>
      <c r="B1225" s="17">
        <f>IFERROR(__xludf.DUMMYFUNCTION("""COMPUTED_VALUE"""),44916.0)</f>
        <v>44916</v>
      </c>
      <c r="C1225" s="16">
        <f>IFERROR(__xludf.DUMMYFUNCTION("""COMPUTED_VALUE"""),1.0)</f>
        <v>1</v>
      </c>
      <c r="D1225" s="8">
        <f>IFERROR(__xludf.DUMMYFUNCTION("""COMPUTED_VALUE"""),0.898)</f>
        <v>0.898</v>
      </c>
      <c r="E1225" s="8" t="str">
        <f>IFERROR(__xludf.DUMMYFUNCTION("""COMPUTED_VALUE"""),"Real")</f>
        <v>Real</v>
      </c>
      <c r="G1225" s="8">
        <f t="shared" si="1"/>
        <v>12</v>
      </c>
      <c r="H1225" s="14">
        <f t="shared" si="2"/>
        <v>21</v>
      </c>
      <c r="I1225" s="15">
        <f t="shared" si="3"/>
        <v>0</v>
      </c>
    </row>
    <row r="1226">
      <c r="A1226" s="8" t="str">
        <f>IFERROR(__xludf.DUMMYFUNCTION("IF('(INGESTA)Datos_consumo_datadis'!A1226&lt;&gt;"""",SPLIT('(INGESTA)Datos_consumo_datadis'!A:A,"",""),"""")"),"ES0031408323131005HX0F")</f>
        <v>ES0031408323131005HX0F</v>
      </c>
      <c r="B1226" s="17">
        <f>IFERROR(__xludf.DUMMYFUNCTION("""COMPUTED_VALUE"""),44917.0)</f>
        <v>44917</v>
      </c>
      <c r="C1226" s="13">
        <f>IFERROR(__xludf.DUMMYFUNCTION("""COMPUTED_VALUE"""),0.041666666666666664)</f>
        <v>0.04166666667</v>
      </c>
      <c r="D1226" s="8">
        <f>IFERROR(__xludf.DUMMYFUNCTION("""COMPUTED_VALUE"""),0.781)</f>
        <v>0.781</v>
      </c>
      <c r="E1226" s="8" t="str">
        <f>IFERROR(__xludf.DUMMYFUNCTION("""COMPUTED_VALUE"""),"Real")</f>
        <v>Real</v>
      </c>
      <c r="G1226" s="8">
        <f t="shared" si="1"/>
        <v>12</v>
      </c>
      <c r="H1226" s="14">
        <f t="shared" si="2"/>
        <v>22</v>
      </c>
      <c r="I1226" s="15">
        <f t="shared" si="3"/>
        <v>1</v>
      </c>
    </row>
    <row r="1227">
      <c r="A1227" s="8" t="str">
        <f>IFERROR(__xludf.DUMMYFUNCTION("IF('(INGESTA)Datos_consumo_datadis'!A1227&lt;&gt;"""",SPLIT('(INGESTA)Datos_consumo_datadis'!A:A,"",""),"""")"),"ES0031408323131005HX0F")</f>
        <v>ES0031408323131005HX0F</v>
      </c>
      <c r="B1227" s="17">
        <f>IFERROR(__xludf.DUMMYFUNCTION("""COMPUTED_VALUE"""),44917.0)</f>
        <v>44917</v>
      </c>
      <c r="C1227" s="13">
        <f>IFERROR(__xludf.DUMMYFUNCTION("""COMPUTED_VALUE"""),0.08333333333333333)</f>
        <v>0.08333333333</v>
      </c>
      <c r="D1227" s="8">
        <f>IFERROR(__xludf.DUMMYFUNCTION("""COMPUTED_VALUE"""),0.744)</f>
        <v>0.744</v>
      </c>
      <c r="E1227" s="8" t="str">
        <f>IFERROR(__xludf.DUMMYFUNCTION("""COMPUTED_VALUE"""),"Real")</f>
        <v>Real</v>
      </c>
      <c r="G1227" s="8">
        <f t="shared" si="1"/>
        <v>12</v>
      </c>
      <c r="H1227" s="14">
        <f t="shared" si="2"/>
        <v>22</v>
      </c>
      <c r="I1227" s="15">
        <f t="shared" si="3"/>
        <v>2</v>
      </c>
    </row>
    <row r="1228">
      <c r="A1228" s="8" t="str">
        <f>IFERROR(__xludf.DUMMYFUNCTION("IF('(INGESTA)Datos_consumo_datadis'!A1228&lt;&gt;"""",SPLIT('(INGESTA)Datos_consumo_datadis'!A:A,"",""),"""")"),"ES0031408323131005HX0F")</f>
        <v>ES0031408323131005HX0F</v>
      </c>
      <c r="B1228" s="17">
        <f>IFERROR(__xludf.DUMMYFUNCTION("""COMPUTED_VALUE"""),44917.0)</f>
        <v>44917</v>
      </c>
      <c r="C1228" s="13">
        <f>IFERROR(__xludf.DUMMYFUNCTION("""COMPUTED_VALUE"""),0.125)</f>
        <v>0.125</v>
      </c>
      <c r="D1228" s="8">
        <f>IFERROR(__xludf.DUMMYFUNCTION("""COMPUTED_VALUE"""),0.819)</f>
        <v>0.819</v>
      </c>
      <c r="E1228" s="8" t="str">
        <f>IFERROR(__xludf.DUMMYFUNCTION("""COMPUTED_VALUE"""),"Real")</f>
        <v>Real</v>
      </c>
      <c r="G1228" s="8">
        <f t="shared" si="1"/>
        <v>12</v>
      </c>
      <c r="H1228" s="14">
        <f t="shared" si="2"/>
        <v>22</v>
      </c>
      <c r="I1228" s="15">
        <f t="shared" si="3"/>
        <v>3</v>
      </c>
    </row>
    <row r="1229">
      <c r="A1229" s="8" t="str">
        <f>IFERROR(__xludf.DUMMYFUNCTION("IF('(INGESTA)Datos_consumo_datadis'!A1229&lt;&gt;"""",SPLIT('(INGESTA)Datos_consumo_datadis'!A:A,"",""),"""")"),"ES0031408323131005HX0F")</f>
        <v>ES0031408323131005HX0F</v>
      </c>
      <c r="B1229" s="17">
        <f>IFERROR(__xludf.DUMMYFUNCTION("""COMPUTED_VALUE"""),44917.0)</f>
        <v>44917</v>
      </c>
      <c r="C1229" s="13">
        <f>IFERROR(__xludf.DUMMYFUNCTION("""COMPUTED_VALUE"""),0.16666666666666666)</f>
        <v>0.1666666667</v>
      </c>
      <c r="D1229" s="8">
        <f>IFERROR(__xludf.DUMMYFUNCTION("""COMPUTED_VALUE"""),1.023)</f>
        <v>1.023</v>
      </c>
      <c r="E1229" s="8" t="str">
        <f>IFERROR(__xludf.DUMMYFUNCTION("""COMPUTED_VALUE"""),"Real")</f>
        <v>Real</v>
      </c>
      <c r="G1229" s="8">
        <f t="shared" si="1"/>
        <v>12</v>
      </c>
      <c r="H1229" s="14">
        <f t="shared" si="2"/>
        <v>22</v>
      </c>
      <c r="I1229" s="15">
        <f t="shared" si="3"/>
        <v>4</v>
      </c>
    </row>
    <row r="1230">
      <c r="A1230" s="8" t="str">
        <f>IFERROR(__xludf.DUMMYFUNCTION("IF('(INGESTA)Datos_consumo_datadis'!A1230&lt;&gt;"""",SPLIT('(INGESTA)Datos_consumo_datadis'!A:A,"",""),"""")"),"ES0031408323131005HX0F")</f>
        <v>ES0031408323131005HX0F</v>
      </c>
      <c r="B1230" s="17">
        <f>IFERROR(__xludf.DUMMYFUNCTION("""COMPUTED_VALUE"""),44917.0)</f>
        <v>44917</v>
      </c>
      <c r="C1230" s="13">
        <f>IFERROR(__xludf.DUMMYFUNCTION("""COMPUTED_VALUE"""),0.20833333333333334)</f>
        <v>0.2083333333</v>
      </c>
      <c r="D1230" s="8">
        <f>IFERROR(__xludf.DUMMYFUNCTION("""COMPUTED_VALUE"""),0.74)</f>
        <v>0.74</v>
      </c>
      <c r="E1230" s="8" t="str">
        <f>IFERROR(__xludf.DUMMYFUNCTION("""COMPUTED_VALUE"""),"Real")</f>
        <v>Real</v>
      </c>
      <c r="G1230" s="8">
        <f t="shared" si="1"/>
        <v>12</v>
      </c>
      <c r="H1230" s="14">
        <f t="shared" si="2"/>
        <v>22</v>
      </c>
      <c r="I1230" s="15">
        <f t="shared" si="3"/>
        <v>5</v>
      </c>
    </row>
    <row r="1231">
      <c r="A1231" s="8" t="str">
        <f>IFERROR(__xludf.DUMMYFUNCTION("IF('(INGESTA)Datos_consumo_datadis'!A1231&lt;&gt;"""",SPLIT('(INGESTA)Datos_consumo_datadis'!A:A,"",""),"""")"),"ES0031408323131005HX0F")</f>
        <v>ES0031408323131005HX0F</v>
      </c>
      <c r="B1231" s="17">
        <f>IFERROR(__xludf.DUMMYFUNCTION("""COMPUTED_VALUE"""),44917.0)</f>
        <v>44917</v>
      </c>
      <c r="C1231" s="13">
        <f>IFERROR(__xludf.DUMMYFUNCTION("""COMPUTED_VALUE"""),0.25)</f>
        <v>0.25</v>
      </c>
      <c r="D1231" s="8">
        <f>IFERROR(__xludf.DUMMYFUNCTION("""COMPUTED_VALUE"""),0.792)</f>
        <v>0.792</v>
      </c>
      <c r="E1231" s="8" t="str">
        <f>IFERROR(__xludf.DUMMYFUNCTION("""COMPUTED_VALUE"""),"Real")</f>
        <v>Real</v>
      </c>
      <c r="G1231" s="8">
        <f t="shared" si="1"/>
        <v>12</v>
      </c>
      <c r="H1231" s="14">
        <f t="shared" si="2"/>
        <v>22</v>
      </c>
      <c r="I1231" s="15">
        <f t="shared" si="3"/>
        <v>6</v>
      </c>
    </row>
    <row r="1232">
      <c r="A1232" s="8" t="str">
        <f>IFERROR(__xludf.DUMMYFUNCTION("IF('(INGESTA)Datos_consumo_datadis'!A1232&lt;&gt;"""",SPLIT('(INGESTA)Datos_consumo_datadis'!A:A,"",""),"""")"),"ES0031408323131005HX0F")</f>
        <v>ES0031408323131005HX0F</v>
      </c>
      <c r="B1232" s="17">
        <f>IFERROR(__xludf.DUMMYFUNCTION("""COMPUTED_VALUE"""),44917.0)</f>
        <v>44917</v>
      </c>
      <c r="C1232" s="13">
        <f>IFERROR(__xludf.DUMMYFUNCTION("""COMPUTED_VALUE"""),0.2916666666666667)</f>
        <v>0.2916666667</v>
      </c>
      <c r="D1232" s="8">
        <f>IFERROR(__xludf.DUMMYFUNCTION("""COMPUTED_VALUE"""),0.76)</f>
        <v>0.76</v>
      </c>
      <c r="E1232" s="8" t="str">
        <f>IFERROR(__xludf.DUMMYFUNCTION("""COMPUTED_VALUE"""),"Real")</f>
        <v>Real</v>
      </c>
      <c r="G1232" s="8">
        <f t="shared" si="1"/>
        <v>12</v>
      </c>
      <c r="H1232" s="14">
        <f t="shared" si="2"/>
        <v>22</v>
      </c>
      <c r="I1232" s="15">
        <f t="shared" si="3"/>
        <v>7</v>
      </c>
    </row>
    <row r="1233">
      <c r="A1233" s="8" t="str">
        <f>IFERROR(__xludf.DUMMYFUNCTION("IF('(INGESTA)Datos_consumo_datadis'!A1233&lt;&gt;"""",SPLIT('(INGESTA)Datos_consumo_datadis'!A:A,"",""),"""")"),"ES0031408323131005HX0F")</f>
        <v>ES0031408323131005HX0F</v>
      </c>
      <c r="B1233" s="17">
        <f>IFERROR(__xludf.DUMMYFUNCTION("""COMPUTED_VALUE"""),44917.0)</f>
        <v>44917</v>
      </c>
      <c r="C1233" s="13">
        <f>IFERROR(__xludf.DUMMYFUNCTION("""COMPUTED_VALUE"""),0.3333333333333333)</f>
        <v>0.3333333333</v>
      </c>
      <c r="D1233" s="8">
        <f>IFERROR(__xludf.DUMMYFUNCTION("""COMPUTED_VALUE"""),0.766)</f>
        <v>0.766</v>
      </c>
      <c r="E1233" s="8" t="str">
        <f>IFERROR(__xludf.DUMMYFUNCTION("""COMPUTED_VALUE"""),"Real")</f>
        <v>Real</v>
      </c>
      <c r="G1233" s="8">
        <f t="shared" si="1"/>
        <v>12</v>
      </c>
      <c r="H1233" s="14">
        <f t="shared" si="2"/>
        <v>22</v>
      </c>
      <c r="I1233" s="15">
        <f t="shared" si="3"/>
        <v>8</v>
      </c>
    </row>
    <row r="1234">
      <c r="A1234" s="8" t="str">
        <f>IFERROR(__xludf.DUMMYFUNCTION("IF('(INGESTA)Datos_consumo_datadis'!A1234&lt;&gt;"""",SPLIT('(INGESTA)Datos_consumo_datadis'!A:A,"",""),"""")"),"ES0031408323131005HX0F")</f>
        <v>ES0031408323131005HX0F</v>
      </c>
      <c r="B1234" s="17">
        <f>IFERROR(__xludf.DUMMYFUNCTION("""COMPUTED_VALUE"""),44917.0)</f>
        <v>44917</v>
      </c>
      <c r="C1234" s="13">
        <f>IFERROR(__xludf.DUMMYFUNCTION("""COMPUTED_VALUE"""),0.375)</f>
        <v>0.375</v>
      </c>
      <c r="D1234" s="8">
        <f>IFERROR(__xludf.DUMMYFUNCTION("""COMPUTED_VALUE"""),0.837)</f>
        <v>0.837</v>
      </c>
      <c r="E1234" s="8" t="str">
        <f>IFERROR(__xludf.DUMMYFUNCTION("""COMPUTED_VALUE"""),"Real")</f>
        <v>Real</v>
      </c>
      <c r="G1234" s="8">
        <f t="shared" si="1"/>
        <v>12</v>
      </c>
      <c r="H1234" s="14">
        <f t="shared" si="2"/>
        <v>22</v>
      </c>
      <c r="I1234" s="15">
        <f t="shared" si="3"/>
        <v>9</v>
      </c>
    </row>
    <row r="1235">
      <c r="A1235" s="8" t="str">
        <f>IFERROR(__xludf.DUMMYFUNCTION("IF('(INGESTA)Datos_consumo_datadis'!A1235&lt;&gt;"""",SPLIT('(INGESTA)Datos_consumo_datadis'!A:A,"",""),"""")"),"ES0031408323131005HX0F")</f>
        <v>ES0031408323131005HX0F</v>
      </c>
      <c r="B1235" s="17">
        <f>IFERROR(__xludf.DUMMYFUNCTION("""COMPUTED_VALUE"""),44917.0)</f>
        <v>44917</v>
      </c>
      <c r="C1235" s="13">
        <f>IFERROR(__xludf.DUMMYFUNCTION("""COMPUTED_VALUE"""),0.4166666666666667)</f>
        <v>0.4166666667</v>
      </c>
      <c r="D1235" s="8">
        <f>IFERROR(__xludf.DUMMYFUNCTION("""COMPUTED_VALUE"""),1.38)</f>
        <v>1.38</v>
      </c>
      <c r="E1235" s="8" t="str">
        <f>IFERROR(__xludf.DUMMYFUNCTION("""COMPUTED_VALUE"""),"Real")</f>
        <v>Real</v>
      </c>
      <c r="G1235" s="8">
        <f t="shared" si="1"/>
        <v>12</v>
      </c>
      <c r="H1235" s="14">
        <f t="shared" si="2"/>
        <v>22</v>
      </c>
      <c r="I1235" s="15">
        <f t="shared" si="3"/>
        <v>10</v>
      </c>
    </row>
    <row r="1236">
      <c r="A1236" s="8" t="str">
        <f>IFERROR(__xludf.DUMMYFUNCTION("IF('(INGESTA)Datos_consumo_datadis'!A1236&lt;&gt;"""",SPLIT('(INGESTA)Datos_consumo_datadis'!A:A,"",""),"""")"),"ES0031408323131005HX0F")</f>
        <v>ES0031408323131005HX0F</v>
      </c>
      <c r="B1236" s="17">
        <f>IFERROR(__xludf.DUMMYFUNCTION("""COMPUTED_VALUE"""),44917.0)</f>
        <v>44917</v>
      </c>
      <c r="C1236" s="13">
        <f>IFERROR(__xludf.DUMMYFUNCTION("""COMPUTED_VALUE"""),0.4583333333333333)</f>
        <v>0.4583333333</v>
      </c>
      <c r="D1236" s="8">
        <f>IFERROR(__xludf.DUMMYFUNCTION("""COMPUTED_VALUE"""),0.432)</f>
        <v>0.432</v>
      </c>
      <c r="E1236" s="8" t="str">
        <f>IFERROR(__xludf.DUMMYFUNCTION("""COMPUTED_VALUE"""),"Real")</f>
        <v>Real</v>
      </c>
      <c r="G1236" s="8">
        <f t="shared" si="1"/>
        <v>12</v>
      </c>
      <c r="H1236" s="14">
        <f t="shared" si="2"/>
        <v>22</v>
      </c>
      <c r="I1236" s="15">
        <f t="shared" si="3"/>
        <v>11</v>
      </c>
    </row>
    <row r="1237">
      <c r="A1237" s="8" t="str">
        <f>IFERROR(__xludf.DUMMYFUNCTION("IF('(INGESTA)Datos_consumo_datadis'!A1237&lt;&gt;"""",SPLIT('(INGESTA)Datos_consumo_datadis'!A:A,"",""),"""")"),"ES0031408323131005HX0F")</f>
        <v>ES0031408323131005HX0F</v>
      </c>
      <c r="B1237" s="17">
        <f>IFERROR(__xludf.DUMMYFUNCTION("""COMPUTED_VALUE"""),44917.0)</f>
        <v>44917</v>
      </c>
      <c r="C1237" s="13">
        <f>IFERROR(__xludf.DUMMYFUNCTION("""COMPUTED_VALUE"""),0.5)</f>
        <v>0.5</v>
      </c>
      <c r="D1237" s="8">
        <f>IFERROR(__xludf.DUMMYFUNCTION("""COMPUTED_VALUE"""),0.96)</f>
        <v>0.96</v>
      </c>
      <c r="E1237" s="8" t="str">
        <f>IFERROR(__xludf.DUMMYFUNCTION("""COMPUTED_VALUE"""),"Real")</f>
        <v>Real</v>
      </c>
      <c r="G1237" s="8">
        <f t="shared" si="1"/>
        <v>12</v>
      </c>
      <c r="H1237" s="14">
        <f t="shared" si="2"/>
        <v>22</v>
      </c>
      <c r="I1237" s="15">
        <f t="shared" si="3"/>
        <v>12</v>
      </c>
    </row>
    <row r="1238">
      <c r="A1238" s="8" t="str">
        <f>IFERROR(__xludf.DUMMYFUNCTION("IF('(INGESTA)Datos_consumo_datadis'!A1238&lt;&gt;"""",SPLIT('(INGESTA)Datos_consumo_datadis'!A:A,"",""),"""")"),"ES0031408323131005HX0F")</f>
        <v>ES0031408323131005HX0F</v>
      </c>
      <c r="B1238" s="17">
        <f>IFERROR(__xludf.DUMMYFUNCTION("""COMPUTED_VALUE"""),44917.0)</f>
        <v>44917</v>
      </c>
      <c r="C1238" s="13">
        <f>IFERROR(__xludf.DUMMYFUNCTION("""COMPUTED_VALUE"""),0.5416666666666666)</f>
        <v>0.5416666667</v>
      </c>
      <c r="D1238" s="8">
        <f>IFERROR(__xludf.DUMMYFUNCTION("""COMPUTED_VALUE"""),2.037)</f>
        <v>2.037</v>
      </c>
      <c r="E1238" s="8" t="str">
        <f>IFERROR(__xludf.DUMMYFUNCTION("""COMPUTED_VALUE"""),"Real")</f>
        <v>Real</v>
      </c>
      <c r="G1238" s="8">
        <f t="shared" si="1"/>
        <v>12</v>
      </c>
      <c r="H1238" s="14">
        <f t="shared" si="2"/>
        <v>22</v>
      </c>
      <c r="I1238" s="15">
        <f t="shared" si="3"/>
        <v>13</v>
      </c>
    </row>
    <row r="1239">
      <c r="A1239" s="8" t="str">
        <f>IFERROR(__xludf.DUMMYFUNCTION("IF('(INGESTA)Datos_consumo_datadis'!A1239&lt;&gt;"""",SPLIT('(INGESTA)Datos_consumo_datadis'!A:A,"",""),"""")"),"ES0031408323131005HX0F")</f>
        <v>ES0031408323131005HX0F</v>
      </c>
      <c r="B1239" s="17">
        <f>IFERROR(__xludf.DUMMYFUNCTION("""COMPUTED_VALUE"""),44917.0)</f>
        <v>44917</v>
      </c>
      <c r="C1239" s="13">
        <f>IFERROR(__xludf.DUMMYFUNCTION("""COMPUTED_VALUE"""),0.5833333333333334)</f>
        <v>0.5833333333</v>
      </c>
      <c r="D1239" s="8">
        <f>IFERROR(__xludf.DUMMYFUNCTION("""COMPUTED_VALUE"""),0.047)</f>
        <v>0.047</v>
      </c>
      <c r="E1239" s="8" t="str">
        <f>IFERROR(__xludf.DUMMYFUNCTION("""COMPUTED_VALUE"""),"Real")</f>
        <v>Real</v>
      </c>
      <c r="G1239" s="8">
        <f t="shared" si="1"/>
        <v>12</v>
      </c>
      <c r="H1239" s="14">
        <f t="shared" si="2"/>
        <v>22</v>
      </c>
      <c r="I1239" s="15">
        <f t="shared" si="3"/>
        <v>14</v>
      </c>
    </row>
    <row r="1240">
      <c r="A1240" s="8" t="str">
        <f>IFERROR(__xludf.DUMMYFUNCTION("IF('(INGESTA)Datos_consumo_datadis'!A1240&lt;&gt;"""",SPLIT('(INGESTA)Datos_consumo_datadis'!A:A,"",""),"""")"),"ES0031408323131005HX0F")</f>
        <v>ES0031408323131005HX0F</v>
      </c>
      <c r="B1240" s="17">
        <f>IFERROR(__xludf.DUMMYFUNCTION("""COMPUTED_VALUE"""),44917.0)</f>
        <v>44917</v>
      </c>
      <c r="C1240" s="13">
        <f>IFERROR(__xludf.DUMMYFUNCTION("""COMPUTED_VALUE"""),0.625)</f>
        <v>0.625</v>
      </c>
      <c r="D1240" s="8">
        <f>IFERROR(__xludf.DUMMYFUNCTION("""COMPUTED_VALUE"""),0.017)</f>
        <v>0.017</v>
      </c>
      <c r="E1240" s="8" t="str">
        <f>IFERROR(__xludf.DUMMYFUNCTION("""COMPUTED_VALUE"""),"Real")</f>
        <v>Real</v>
      </c>
      <c r="G1240" s="8">
        <f t="shared" si="1"/>
        <v>12</v>
      </c>
      <c r="H1240" s="14">
        <f t="shared" si="2"/>
        <v>22</v>
      </c>
      <c r="I1240" s="15">
        <f t="shared" si="3"/>
        <v>15</v>
      </c>
    </row>
    <row r="1241">
      <c r="A1241" s="8" t="str">
        <f>IFERROR(__xludf.DUMMYFUNCTION("IF('(INGESTA)Datos_consumo_datadis'!A1241&lt;&gt;"""",SPLIT('(INGESTA)Datos_consumo_datadis'!A:A,"",""),"""")"),"ES0031408323131005HX0F")</f>
        <v>ES0031408323131005HX0F</v>
      </c>
      <c r="B1241" s="17">
        <f>IFERROR(__xludf.DUMMYFUNCTION("""COMPUTED_VALUE"""),44917.0)</f>
        <v>44917</v>
      </c>
      <c r="C1241" s="13">
        <f>IFERROR(__xludf.DUMMYFUNCTION("""COMPUTED_VALUE"""),0.6666666666666666)</f>
        <v>0.6666666667</v>
      </c>
      <c r="D1241" s="8">
        <f>IFERROR(__xludf.DUMMYFUNCTION("""COMPUTED_VALUE"""),0.076)</f>
        <v>0.076</v>
      </c>
      <c r="E1241" s="8" t="str">
        <f>IFERROR(__xludf.DUMMYFUNCTION("""COMPUTED_VALUE"""),"Real")</f>
        <v>Real</v>
      </c>
      <c r="G1241" s="8">
        <f t="shared" si="1"/>
        <v>12</v>
      </c>
      <c r="H1241" s="14">
        <f t="shared" si="2"/>
        <v>22</v>
      </c>
      <c r="I1241" s="15">
        <f t="shared" si="3"/>
        <v>16</v>
      </c>
    </row>
    <row r="1242">
      <c r="A1242" s="8" t="str">
        <f>IFERROR(__xludf.DUMMYFUNCTION("IF('(INGESTA)Datos_consumo_datadis'!A1242&lt;&gt;"""",SPLIT('(INGESTA)Datos_consumo_datadis'!A:A,"",""),"""")"),"ES0031408323131005HX0F")</f>
        <v>ES0031408323131005HX0F</v>
      </c>
      <c r="B1242" s="17">
        <f>IFERROR(__xludf.DUMMYFUNCTION("""COMPUTED_VALUE"""),44917.0)</f>
        <v>44917</v>
      </c>
      <c r="C1242" s="13">
        <f>IFERROR(__xludf.DUMMYFUNCTION("""COMPUTED_VALUE"""),0.7083333333333334)</f>
        <v>0.7083333333</v>
      </c>
      <c r="D1242" s="8">
        <f>IFERROR(__xludf.DUMMYFUNCTION("""COMPUTED_VALUE"""),0.117)</f>
        <v>0.117</v>
      </c>
      <c r="E1242" s="8" t="str">
        <f>IFERROR(__xludf.DUMMYFUNCTION("""COMPUTED_VALUE"""),"Real")</f>
        <v>Real</v>
      </c>
      <c r="G1242" s="8">
        <f t="shared" si="1"/>
        <v>12</v>
      </c>
      <c r="H1242" s="14">
        <f t="shared" si="2"/>
        <v>22</v>
      </c>
      <c r="I1242" s="15">
        <f t="shared" si="3"/>
        <v>17</v>
      </c>
    </row>
    <row r="1243">
      <c r="A1243" s="8" t="str">
        <f>IFERROR(__xludf.DUMMYFUNCTION("IF('(INGESTA)Datos_consumo_datadis'!A1243&lt;&gt;"""",SPLIT('(INGESTA)Datos_consumo_datadis'!A:A,"",""),"""")"),"ES0031408323131005HX0F")</f>
        <v>ES0031408323131005HX0F</v>
      </c>
      <c r="B1243" s="17">
        <f>IFERROR(__xludf.DUMMYFUNCTION("""COMPUTED_VALUE"""),44917.0)</f>
        <v>44917</v>
      </c>
      <c r="C1243" s="13">
        <f>IFERROR(__xludf.DUMMYFUNCTION("""COMPUTED_VALUE"""),0.75)</f>
        <v>0.75</v>
      </c>
      <c r="D1243" s="8">
        <f>IFERROR(__xludf.DUMMYFUNCTION("""COMPUTED_VALUE"""),0.292)</f>
        <v>0.292</v>
      </c>
      <c r="E1243" s="8" t="str">
        <f>IFERROR(__xludf.DUMMYFUNCTION("""COMPUTED_VALUE"""),"Real")</f>
        <v>Real</v>
      </c>
      <c r="G1243" s="8">
        <f t="shared" si="1"/>
        <v>12</v>
      </c>
      <c r="H1243" s="14">
        <f t="shared" si="2"/>
        <v>22</v>
      </c>
      <c r="I1243" s="15">
        <f t="shared" si="3"/>
        <v>18</v>
      </c>
    </row>
    <row r="1244">
      <c r="A1244" s="8" t="str">
        <f>IFERROR(__xludf.DUMMYFUNCTION("IF('(INGESTA)Datos_consumo_datadis'!A1244&lt;&gt;"""",SPLIT('(INGESTA)Datos_consumo_datadis'!A:A,"",""),"""")"),"ES0031408323131005HX0F")</f>
        <v>ES0031408323131005HX0F</v>
      </c>
      <c r="B1244" s="17">
        <f>IFERROR(__xludf.DUMMYFUNCTION("""COMPUTED_VALUE"""),44917.0)</f>
        <v>44917</v>
      </c>
      <c r="C1244" s="13">
        <f>IFERROR(__xludf.DUMMYFUNCTION("""COMPUTED_VALUE"""),0.7916666666666666)</f>
        <v>0.7916666667</v>
      </c>
      <c r="D1244" s="8">
        <f>IFERROR(__xludf.DUMMYFUNCTION("""COMPUTED_VALUE"""),0.091)</f>
        <v>0.091</v>
      </c>
      <c r="E1244" s="8" t="str">
        <f>IFERROR(__xludf.DUMMYFUNCTION("""COMPUTED_VALUE"""),"Real")</f>
        <v>Real</v>
      </c>
      <c r="G1244" s="8">
        <f t="shared" si="1"/>
        <v>12</v>
      </c>
      <c r="H1244" s="14">
        <f t="shared" si="2"/>
        <v>22</v>
      </c>
      <c r="I1244" s="15">
        <f t="shared" si="3"/>
        <v>19</v>
      </c>
    </row>
    <row r="1245">
      <c r="A1245" s="8" t="str">
        <f>IFERROR(__xludf.DUMMYFUNCTION("IF('(INGESTA)Datos_consumo_datadis'!A1245&lt;&gt;"""",SPLIT('(INGESTA)Datos_consumo_datadis'!A:A,"",""),"""")"),"ES0031408323131005HX0F")</f>
        <v>ES0031408323131005HX0F</v>
      </c>
      <c r="B1245" s="17">
        <f>IFERROR(__xludf.DUMMYFUNCTION("""COMPUTED_VALUE"""),44917.0)</f>
        <v>44917</v>
      </c>
      <c r="C1245" s="13">
        <f>IFERROR(__xludf.DUMMYFUNCTION("""COMPUTED_VALUE"""),0.8333333333333334)</f>
        <v>0.8333333333</v>
      </c>
      <c r="D1245" s="8">
        <f>IFERROR(__xludf.DUMMYFUNCTION("""COMPUTED_VALUE"""),0.048)</f>
        <v>0.048</v>
      </c>
      <c r="E1245" s="8" t="str">
        <f>IFERROR(__xludf.DUMMYFUNCTION("""COMPUTED_VALUE"""),"Real")</f>
        <v>Real</v>
      </c>
      <c r="G1245" s="8">
        <f t="shared" si="1"/>
        <v>12</v>
      </c>
      <c r="H1245" s="14">
        <f t="shared" si="2"/>
        <v>22</v>
      </c>
      <c r="I1245" s="15">
        <f t="shared" si="3"/>
        <v>20</v>
      </c>
    </row>
    <row r="1246">
      <c r="A1246" s="8" t="str">
        <f>IFERROR(__xludf.DUMMYFUNCTION("IF('(INGESTA)Datos_consumo_datadis'!A1246&lt;&gt;"""",SPLIT('(INGESTA)Datos_consumo_datadis'!A:A,"",""),"""")"),"ES0031408323131005HX0F")</f>
        <v>ES0031408323131005HX0F</v>
      </c>
      <c r="B1246" s="17">
        <f>IFERROR(__xludf.DUMMYFUNCTION("""COMPUTED_VALUE"""),44917.0)</f>
        <v>44917</v>
      </c>
      <c r="C1246" s="13">
        <f>IFERROR(__xludf.DUMMYFUNCTION("""COMPUTED_VALUE"""),0.875)</f>
        <v>0.875</v>
      </c>
      <c r="D1246" s="8">
        <f>IFERROR(__xludf.DUMMYFUNCTION("""COMPUTED_VALUE"""),0.045)</f>
        <v>0.045</v>
      </c>
      <c r="E1246" s="8" t="str">
        <f>IFERROR(__xludf.DUMMYFUNCTION("""COMPUTED_VALUE"""),"Real")</f>
        <v>Real</v>
      </c>
      <c r="G1246" s="8">
        <f t="shared" si="1"/>
        <v>12</v>
      </c>
      <c r="H1246" s="14">
        <f t="shared" si="2"/>
        <v>22</v>
      </c>
      <c r="I1246" s="15">
        <f t="shared" si="3"/>
        <v>21</v>
      </c>
    </row>
    <row r="1247">
      <c r="A1247" s="8" t="str">
        <f>IFERROR(__xludf.DUMMYFUNCTION("IF('(INGESTA)Datos_consumo_datadis'!A1247&lt;&gt;"""",SPLIT('(INGESTA)Datos_consumo_datadis'!A:A,"",""),"""")"),"ES0031408323131005HX0F")</f>
        <v>ES0031408323131005HX0F</v>
      </c>
      <c r="B1247" s="17">
        <f>IFERROR(__xludf.DUMMYFUNCTION("""COMPUTED_VALUE"""),44917.0)</f>
        <v>44917</v>
      </c>
      <c r="C1247" s="13">
        <f>IFERROR(__xludf.DUMMYFUNCTION("""COMPUTED_VALUE"""),0.9166666666666666)</f>
        <v>0.9166666667</v>
      </c>
      <c r="D1247" s="8">
        <f>IFERROR(__xludf.DUMMYFUNCTION("""COMPUTED_VALUE"""),0.078)</f>
        <v>0.078</v>
      </c>
      <c r="E1247" s="8" t="str">
        <f>IFERROR(__xludf.DUMMYFUNCTION("""COMPUTED_VALUE"""),"Real")</f>
        <v>Real</v>
      </c>
      <c r="G1247" s="8">
        <f t="shared" si="1"/>
        <v>12</v>
      </c>
      <c r="H1247" s="14">
        <f t="shared" si="2"/>
        <v>22</v>
      </c>
      <c r="I1247" s="15">
        <f t="shared" si="3"/>
        <v>22</v>
      </c>
    </row>
    <row r="1248">
      <c r="A1248" s="8" t="str">
        <f>IFERROR(__xludf.DUMMYFUNCTION("IF('(INGESTA)Datos_consumo_datadis'!A1248&lt;&gt;"""",SPLIT('(INGESTA)Datos_consumo_datadis'!A:A,"",""),"""")"),"ES0031408323131005HX0F")</f>
        <v>ES0031408323131005HX0F</v>
      </c>
      <c r="B1248" s="17">
        <f>IFERROR(__xludf.DUMMYFUNCTION("""COMPUTED_VALUE"""),44917.0)</f>
        <v>44917</v>
      </c>
      <c r="C1248" s="13">
        <f>IFERROR(__xludf.DUMMYFUNCTION("""COMPUTED_VALUE"""),0.9583333333333334)</f>
        <v>0.9583333333</v>
      </c>
      <c r="D1248" s="8">
        <f>IFERROR(__xludf.DUMMYFUNCTION("""COMPUTED_VALUE"""),0.1)</f>
        <v>0.1</v>
      </c>
      <c r="E1248" s="8" t="str">
        <f>IFERROR(__xludf.DUMMYFUNCTION("""COMPUTED_VALUE"""),"Real")</f>
        <v>Real</v>
      </c>
      <c r="G1248" s="8">
        <f t="shared" si="1"/>
        <v>12</v>
      </c>
      <c r="H1248" s="14">
        <f t="shared" si="2"/>
        <v>22</v>
      </c>
      <c r="I1248" s="15">
        <f t="shared" si="3"/>
        <v>23</v>
      </c>
    </row>
    <row r="1249">
      <c r="A1249" s="8" t="str">
        <f>IFERROR(__xludf.DUMMYFUNCTION("IF('(INGESTA)Datos_consumo_datadis'!A1249&lt;&gt;"""",SPLIT('(INGESTA)Datos_consumo_datadis'!A:A,"",""),"""")"),"ES0031408323131005HX0F")</f>
        <v>ES0031408323131005HX0F</v>
      </c>
      <c r="B1249" s="17">
        <f>IFERROR(__xludf.DUMMYFUNCTION("""COMPUTED_VALUE"""),44917.0)</f>
        <v>44917</v>
      </c>
      <c r="C1249" s="16">
        <f>IFERROR(__xludf.DUMMYFUNCTION("""COMPUTED_VALUE"""),1.0)</f>
        <v>1</v>
      </c>
      <c r="D1249" s="8">
        <f>IFERROR(__xludf.DUMMYFUNCTION("""COMPUTED_VALUE"""),1.367)</f>
        <v>1.367</v>
      </c>
      <c r="E1249" s="8" t="str">
        <f>IFERROR(__xludf.DUMMYFUNCTION("""COMPUTED_VALUE"""),"Real")</f>
        <v>Real</v>
      </c>
      <c r="G1249" s="8">
        <f t="shared" si="1"/>
        <v>12</v>
      </c>
      <c r="H1249" s="14">
        <f t="shared" si="2"/>
        <v>22</v>
      </c>
      <c r="I1249" s="15">
        <f t="shared" si="3"/>
        <v>0</v>
      </c>
    </row>
    <row r="1250">
      <c r="A1250" s="8" t="str">
        <f>IFERROR(__xludf.DUMMYFUNCTION("IF('(INGESTA)Datos_consumo_datadis'!A1250&lt;&gt;"""",SPLIT('(INGESTA)Datos_consumo_datadis'!A:A,"",""),"""")"),"ES0031408323131005HX0F")</f>
        <v>ES0031408323131005HX0F</v>
      </c>
      <c r="B1250" s="17">
        <f>IFERROR(__xludf.DUMMYFUNCTION("""COMPUTED_VALUE"""),44918.0)</f>
        <v>44918</v>
      </c>
      <c r="C1250" s="13">
        <f>IFERROR(__xludf.DUMMYFUNCTION("""COMPUTED_VALUE"""),0.041666666666666664)</f>
        <v>0.04166666667</v>
      </c>
      <c r="D1250" s="8">
        <f>IFERROR(__xludf.DUMMYFUNCTION("""COMPUTED_VALUE"""),2.089)</f>
        <v>2.089</v>
      </c>
      <c r="E1250" s="8" t="str">
        <f>IFERROR(__xludf.DUMMYFUNCTION("""COMPUTED_VALUE"""),"Real")</f>
        <v>Real</v>
      </c>
      <c r="G1250" s="8">
        <f t="shared" si="1"/>
        <v>12</v>
      </c>
      <c r="H1250" s="14">
        <f t="shared" si="2"/>
        <v>23</v>
      </c>
      <c r="I1250" s="15">
        <f t="shared" si="3"/>
        <v>1</v>
      </c>
    </row>
    <row r="1251">
      <c r="A1251" s="8" t="str">
        <f>IFERROR(__xludf.DUMMYFUNCTION("IF('(INGESTA)Datos_consumo_datadis'!A1251&lt;&gt;"""",SPLIT('(INGESTA)Datos_consumo_datadis'!A:A,"",""),"""")"),"ES0031408323131005HX0F")</f>
        <v>ES0031408323131005HX0F</v>
      </c>
      <c r="B1251" s="17">
        <f>IFERROR(__xludf.DUMMYFUNCTION("""COMPUTED_VALUE"""),44918.0)</f>
        <v>44918</v>
      </c>
      <c r="C1251" s="13">
        <f>IFERROR(__xludf.DUMMYFUNCTION("""COMPUTED_VALUE"""),0.08333333333333333)</f>
        <v>0.08333333333</v>
      </c>
      <c r="D1251" s="8">
        <f>IFERROR(__xludf.DUMMYFUNCTION("""COMPUTED_VALUE"""),0.758)</f>
        <v>0.758</v>
      </c>
      <c r="E1251" s="8" t="str">
        <f>IFERROR(__xludf.DUMMYFUNCTION("""COMPUTED_VALUE"""),"Real")</f>
        <v>Real</v>
      </c>
      <c r="G1251" s="8">
        <f t="shared" si="1"/>
        <v>12</v>
      </c>
      <c r="H1251" s="14">
        <f t="shared" si="2"/>
        <v>23</v>
      </c>
      <c r="I1251" s="15">
        <f t="shared" si="3"/>
        <v>2</v>
      </c>
    </row>
    <row r="1252">
      <c r="A1252" s="8" t="str">
        <f>IFERROR(__xludf.DUMMYFUNCTION("IF('(INGESTA)Datos_consumo_datadis'!A1252&lt;&gt;"""",SPLIT('(INGESTA)Datos_consumo_datadis'!A:A,"",""),"""")"),"ES0031408323131005HX0F")</f>
        <v>ES0031408323131005HX0F</v>
      </c>
      <c r="B1252" s="17">
        <f>IFERROR(__xludf.DUMMYFUNCTION("""COMPUTED_VALUE"""),44918.0)</f>
        <v>44918</v>
      </c>
      <c r="C1252" s="13">
        <f>IFERROR(__xludf.DUMMYFUNCTION("""COMPUTED_VALUE"""),0.125)</f>
        <v>0.125</v>
      </c>
      <c r="D1252" s="8">
        <f>IFERROR(__xludf.DUMMYFUNCTION("""COMPUTED_VALUE"""),0.823)</f>
        <v>0.823</v>
      </c>
      <c r="E1252" s="8" t="str">
        <f>IFERROR(__xludf.DUMMYFUNCTION("""COMPUTED_VALUE"""),"Real")</f>
        <v>Real</v>
      </c>
      <c r="G1252" s="8">
        <f t="shared" si="1"/>
        <v>12</v>
      </c>
      <c r="H1252" s="14">
        <f t="shared" si="2"/>
        <v>23</v>
      </c>
      <c r="I1252" s="15">
        <f t="shared" si="3"/>
        <v>3</v>
      </c>
    </row>
    <row r="1253">
      <c r="A1253" s="8" t="str">
        <f>IFERROR(__xludf.DUMMYFUNCTION("IF('(INGESTA)Datos_consumo_datadis'!A1253&lt;&gt;"""",SPLIT('(INGESTA)Datos_consumo_datadis'!A:A,"",""),"""")"),"ES0031408323131005HX0F")</f>
        <v>ES0031408323131005HX0F</v>
      </c>
      <c r="B1253" s="17">
        <f>IFERROR(__xludf.DUMMYFUNCTION("""COMPUTED_VALUE"""),44918.0)</f>
        <v>44918</v>
      </c>
      <c r="C1253" s="13">
        <f>IFERROR(__xludf.DUMMYFUNCTION("""COMPUTED_VALUE"""),0.16666666666666666)</f>
        <v>0.1666666667</v>
      </c>
      <c r="D1253" s="8">
        <f>IFERROR(__xludf.DUMMYFUNCTION("""COMPUTED_VALUE"""),0.77)</f>
        <v>0.77</v>
      </c>
      <c r="E1253" s="8" t="str">
        <f>IFERROR(__xludf.DUMMYFUNCTION("""COMPUTED_VALUE"""),"Real")</f>
        <v>Real</v>
      </c>
      <c r="G1253" s="8">
        <f t="shared" si="1"/>
        <v>12</v>
      </c>
      <c r="H1253" s="14">
        <f t="shared" si="2"/>
        <v>23</v>
      </c>
      <c r="I1253" s="15">
        <f t="shared" si="3"/>
        <v>4</v>
      </c>
    </row>
    <row r="1254">
      <c r="A1254" s="8" t="str">
        <f>IFERROR(__xludf.DUMMYFUNCTION("IF('(INGESTA)Datos_consumo_datadis'!A1254&lt;&gt;"""",SPLIT('(INGESTA)Datos_consumo_datadis'!A:A,"",""),"""")"),"ES0031408323131005HX0F")</f>
        <v>ES0031408323131005HX0F</v>
      </c>
      <c r="B1254" s="17">
        <f>IFERROR(__xludf.DUMMYFUNCTION("""COMPUTED_VALUE"""),44918.0)</f>
        <v>44918</v>
      </c>
      <c r="C1254" s="13">
        <f>IFERROR(__xludf.DUMMYFUNCTION("""COMPUTED_VALUE"""),0.20833333333333334)</f>
        <v>0.2083333333</v>
      </c>
      <c r="D1254" s="8">
        <f>IFERROR(__xludf.DUMMYFUNCTION("""COMPUTED_VALUE"""),0.78)</f>
        <v>0.78</v>
      </c>
      <c r="E1254" s="8" t="str">
        <f>IFERROR(__xludf.DUMMYFUNCTION("""COMPUTED_VALUE"""),"Real")</f>
        <v>Real</v>
      </c>
      <c r="G1254" s="8">
        <f t="shared" si="1"/>
        <v>12</v>
      </c>
      <c r="H1254" s="14">
        <f t="shared" si="2"/>
        <v>23</v>
      </c>
      <c r="I1254" s="15">
        <f t="shared" si="3"/>
        <v>5</v>
      </c>
    </row>
    <row r="1255">
      <c r="A1255" s="8" t="str">
        <f>IFERROR(__xludf.DUMMYFUNCTION("IF('(INGESTA)Datos_consumo_datadis'!A1255&lt;&gt;"""",SPLIT('(INGESTA)Datos_consumo_datadis'!A:A,"",""),"""")"),"ES0031408323131005HX0F")</f>
        <v>ES0031408323131005HX0F</v>
      </c>
      <c r="B1255" s="17">
        <f>IFERROR(__xludf.DUMMYFUNCTION("""COMPUTED_VALUE"""),44918.0)</f>
        <v>44918</v>
      </c>
      <c r="C1255" s="13">
        <f>IFERROR(__xludf.DUMMYFUNCTION("""COMPUTED_VALUE"""),0.25)</f>
        <v>0.25</v>
      </c>
      <c r="D1255" s="8">
        <f>IFERROR(__xludf.DUMMYFUNCTION("""COMPUTED_VALUE"""),0.78)</f>
        <v>0.78</v>
      </c>
      <c r="E1255" s="8" t="str">
        <f>IFERROR(__xludf.DUMMYFUNCTION("""COMPUTED_VALUE"""),"Real")</f>
        <v>Real</v>
      </c>
      <c r="G1255" s="8">
        <f t="shared" si="1"/>
        <v>12</v>
      </c>
      <c r="H1255" s="14">
        <f t="shared" si="2"/>
        <v>23</v>
      </c>
      <c r="I1255" s="15">
        <f t="shared" si="3"/>
        <v>6</v>
      </c>
    </row>
    <row r="1256">
      <c r="A1256" s="8" t="str">
        <f>IFERROR(__xludf.DUMMYFUNCTION("IF('(INGESTA)Datos_consumo_datadis'!A1256&lt;&gt;"""",SPLIT('(INGESTA)Datos_consumo_datadis'!A:A,"",""),"""")"),"ES0031408323131005HX0F")</f>
        <v>ES0031408323131005HX0F</v>
      </c>
      <c r="B1256" s="17">
        <f>IFERROR(__xludf.DUMMYFUNCTION("""COMPUTED_VALUE"""),44918.0)</f>
        <v>44918</v>
      </c>
      <c r="C1256" s="13">
        <f>IFERROR(__xludf.DUMMYFUNCTION("""COMPUTED_VALUE"""),0.2916666666666667)</f>
        <v>0.2916666667</v>
      </c>
      <c r="D1256" s="8">
        <f>IFERROR(__xludf.DUMMYFUNCTION("""COMPUTED_VALUE"""),0.999)</f>
        <v>0.999</v>
      </c>
      <c r="E1256" s="8" t="str">
        <f>IFERROR(__xludf.DUMMYFUNCTION("""COMPUTED_VALUE"""),"Real")</f>
        <v>Real</v>
      </c>
      <c r="G1256" s="8">
        <f t="shared" si="1"/>
        <v>12</v>
      </c>
      <c r="H1256" s="14">
        <f t="shared" si="2"/>
        <v>23</v>
      </c>
      <c r="I1256" s="15">
        <f t="shared" si="3"/>
        <v>7</v>
      </c>
    </row>
    <row r="1257">
      <c r="A1257" s="8" t="str">
        <f>IFERROR(__xludf.DUMMYFUNCTION("IF('(INGESTA)Datos_consumo_datadis'!A1257&lt;&gt;"""",SPLIT('(INGESTA)Datos_consumo_datadis'!A:A,"",""),"""")"),"ES0031408323131005HX0F")</f>
        <v>ES0031408323131005HX0F</v>
      </c>
      <c r="B1257" s="17">
        <f>IFERROR(__xludf.DUMMYFUNCTION("""COMPUTED_VALUE"""),44918.0)</f>
        <v>44918</v>
      </c>
      <c r="C1257" s="13">
        <f>IFERROR(__xludf.DUMMYFUNCTION("""COMPUTED_VALUE"""),0.3333333333333333)</f>
        <v>0.3333333333</v>
      </c>
      <c r="D1257" s="8">
        <f>IFERROR(__xludf.DUMMYFUNCTION("""COMPUTED_VALUE"""),0.796)</f>
        <v>0.796</v>
      </c>
      <c r="E1257" s="8" t="str">
        <f>IFERROR(__xludf.DUMMYFUNCTION("""COMPUTED_VALUE"""),"Real")</f>
        <v>Real</v>
      </c>
      <c r="G1257" s="8">
        <f t="shared" si="1"/>
        <v>12</v>
      </c>
      <c r="H1257" s="14">
        <f t="shared" si="2"/>
        <v>23</v>
      </c>
      <c r="I1257" s="15">
        <f t="shared" si="3"/>
        <v>8</v>
      </c>
    </row>
    <row r="1258">
      <c r="A1258" s="8" t="str">
        <f>IFERROR(__xludf.DUMMYFUNCTION("IF('(INGESTA)Datos_consumo_datadis'!A1258&lt;&gt;"""",SPLIT('(INGESTA)Datos_consumo_datadis'!A:A,"",""),"""")"),"ES0031408323131005HX0F")</f>
        <v>ES0031408323131005HX0F</v>
      </c>
      <c r="B1258" s="17">
        <f>IFERROR(__xludf.DUMMYFUNCTION("""COMPUTED_VALUE"""),44918.0)</f>
        <v>44918</v>
      </c>
      <c r="C1258" s="13">
        <f>IFERROR(__xludf.DUMMYFUNCTION("""COMPUTED_VALUE"""),0.375)</f>
        <v>0.375</v>
      </c>
      <c r="D1258" s="8">
        <f>IFERROR(__xludf.DUMMYFUNCTION("""COMPUTED_VALUE"""),0.686)</f>
        <v>0.686</v>
      </c>
      <c r="E1258" s="8" t="str">
        <f>IFERROR(__xludf.DUMMYFUNCTION("""COMPUTED_VALUE"""),"Real")</f>
        <v>Real</v>
      </c>
      <c r="G1258" s="8">
        <f t="shared" si="1"/>
        <v>12</v>
      </c>
      <c r="H1258" s="14">
        <f t="shared" si="2"/>
        <v>23</v>
      </c>
      <c r="I1258" s="15">
        <f t="shared" si="3"/>
        <v>9</v>
      </c>
    </row>
    <row r="1259">
      <c r="A1259" s="8" t="str">
        <f>IFERROR(__xludf.DUMMYFUNCTION("IF('(INGESTA)Datos_consumo_datadis'!A1259&lt;&gt;"""",SPLIT('(INGESTA)Datos_consumo_datadis'!A:A,"",""),"""")"),"ES0031408323131005HX0F")</f>
        <v>ES0031408323131005HX0F</v>
      </c>
      <c r="B1259" s="17">
        <f>IFERROR(__xludf.DUMMYFUNCTION("""COMPUTED_VALUE"""),44918.0)</f>
        <v>44918</v>
      </c>
      <c r="C1259" s="13">
        <f>IFERROR(__xludf.DUMMYFUNCTION("""COMPUTED_VALUE"""),0.4166666666666667)</f>
        <v>0.4166666667</v>
      </c>
      <c r="D1259" s="8">
        <f>IFERROR(__xludf.DUMMYFUNCTION("""COMPUTED_VALUE"""),0.093)</f>
        <v>0.093</v>
      </c>
      <c r="E1259" s="8" t="str">
        <f>IFERROR(__xludf.DUMMYFUNCTION("""COMPUTED_VALUE"""),"Real")</f>
        <v>Real</v>
      </c>
      <c r="G1259" s="8">
        <f t="shared" si="1"/>
        <v>12</v>
      </c>
      <c r="H1259" s="14">
        <f t="shared" si="2"/>
        <v>23</v>
      </c>
      <c r="I1259" s="15">
        <f t="shared" si="3"/>
        <v>10</v>
      </c>
    </row>
    <row r="1260">
      <c r="A1260" s="8" t="str">
        <f>IFERROR(__xludf.DUMMYFUNCTION("IF('(INGESTA)Datos_consumo_datadis'!A1260&lt;&gt;"""",SPLIT('(INGESTA)Datos_consumo_datadis'!A:A,"",""),"""")"),"ES0031408323131005HX0F")</f>
        <v>ES0031408323131005HX0F</v>
      </c>
      <c r="B1260" s="17">
        <f>IFERROR(__xludf.DUMMYFUNCTION("""COMPUTED_VALUE"""),44918.0)</f>
        <v>44918</v>
      </c>
      <c r="C1260" s="13">
        <f>IFERROR(__xludf.DUMMYFUNCTION("""COMPUTED_VALUE"""),0.4583333333333333)</f>
        <v>0.4583333333</v>
      </c>
      <c r="D1260" s="8">
        <f>IFERROR(__xludf.DUMMYFUNCTION("""COMPUTED_VALUE"""),0.069)</f>
        <v>0.069</v>
      </c>
      <c r="E1260" s="8" t="str">
        <f>IFERROR(__xludf.DUMMYFUNCTION("""COMPUTED_VALUE"""),"Real")</f>
        <v>Real</v>
      </c>
      <c r="G1260" s="8">
        <f t="shared" si="1"/>
        <v>12</v>
      </c>
      <c r="H1260" s="14">
        <f t="shared" si="2"/>
        <v>23</v>
      </c>
      <c r="I1260" s="15">
        <f t="shared" si="3"/>
        <v>11</v>
      </c>
    </row>
    <row r="1261">
      <c r="A1261" s="8" t="str">
        <f>IFERROR(__xludf.DUMMYFUNCTION("IF('(INGESTA)Datos_consumo_datadis'!A1261&lt;&gt;"""",SPLIT('(INGESTA)Datos_consumo_datadis'!A:A,"",""),"""")"),"ES0031408323131005HX0F")</f>
        <v>ES0031408323131005HX0F</v>
      </c>
      <c r="B1261" s="17">
        <f>IFERROR(__xludf.DUMMYFUNCTION("""COMPUTED_VALUE"""),44918.0)</f>
        <v>44918</v>
      </c>
      <c r="C1261" s="13">
        <f>IFERROR(__xludf.DUMMYFUNCTION("""COMPUTED_VALUE"""),0.5)</f>
        <v>0.5</v>
      </c>
      <c r="D1261" s="8">
        <f>IFERROR(__xludf.DUMMYFUNCTION("""COMPUTED_VALUE"""),0.321)</f>
        <v>0.321</v>
      </c>
      <c r="E1261" s="8" t="str">
        <f>IFERROR(__xludf.DUMMYFUNCTION("""COMPUTED_VALUE"""),"Real")</f>
        <v>Real</v>
      </c>
      <c r="G1261" s="8">
        <f t="shared" si="1"/>
        <v>12</v>
      </c>
      <c r="H1261" s="14">
        <f t="shared" si="2"/>
        <v>23</v>
      </c>
      <c r="I1261" s="15">
        <f t="shared" si="3"/>
        <v>12</v>
      </c>
    </row>
    <row r="1262">
      <c r="A1262" s="8" t="str">
        <f>IFERROR(__xludf.DUMMYFUNCTION("IF('(INGESTA)Datos_consumo_datadis'!A1262&lt;&gt;"""",SPLIT('(INGESTA)Datos_consumo_datadis'!A:A,"",""),"""")"),"ES0031408323131005HX0F")</f>
        <v>ES0031408323131005HX0F</v>
      </c>
      <c r="B1262" s="17">
        <f>IFERROR(__xludf.DUMMYFUNCTION("""COMPUTED_VALUE"""),44918.0)</f>
        <v>44918</v>
      </c>
      <c r="C1262" s="13">
        <f>IFERROR(__xludf.DUMMYFUNCTION("""COMPUTED_VALUE"""),0.5416666666666666)</f>
        <v>0.5416666667</v>
      </c>
      <c r="D1262" s="8">
        <f>IFERROR(__xludf.DUMMYFUNCTION("""COMPUTED_VALUE"""),0.663)</f>
        <v>0.663</v>
      </c>
      <c r="E1262" s="8" t="str">
        <f>IFERROR(__xludf.DUMMYFUNCTION("""COMPUTED_VALUE"""),"Real")</f>
        <v>Real</v>
      </c>
      <c r="G1262" s="8">
        <f t="shared" si="1"/>
        <v>12</v>
      </c>
      <c r="H1262" s="14">
        <f t="shared" si="2"/>
        <v>23</v>
      </c>
      <c r="I1262" s="15">
        <f t="shared" si="3"/>
        <v>13</v>
      </c>
    </row>
    <row r="1263">
      <c r="A1263" s="8" t="str">
        <f>IFERROR(__xludf.DUMMYFUNCTION("IF('(INGESTA)Datos_consumo_datadis'!A1263&lt;&gt;"""",SPLIT('(INGESTA)Datos_consumo_datadis'!A:A,"",""),"""")"),"ES0031408323131005HX0F")</f>
        <v>ES0031408323131005HX0F</v>
      </c>
      <c r="B1263" s="17">
        <f>IFERROR(__xludf.DUMMYFUNCTION("""COMPUTED_VALUE"""),44918.0)</f>
        <v>44918</v>
      </c>
      <c r="C1263" s="13">
        <f>IFERROR(__xludf.DUMMYFUNCTION("""COMPUTED_VALUE"""),0.5833333333333334)</f>
        <v>0.5833333333</v>
      </c>
      <c r="D1263" s="8">
        <f>IFERROR(__xludf.DUMMYFUNCTION("""COMPUTED_VALUE"""),0.045)</f>
        <v>0.045</v>
      </c>
      <c r="E1263" s="8" t="str">
        <f>IFERROR(__xludf.DUMMYFUNCTION("""COMPUTED_VALUE"""),"Real")</f>
        <v>Real</v>
      </c>
      <c r="G1263" s="8">
        <f t="shared" si="1"/>
        <v>12</v>
      </c>
      <c r="H1263" s="14">
        <f t="shared" si="2"/>
        <v>23</v>
      </c>
      <c r="I1263" s="15">
        <f t="shared" si="3"/>
        <v>14</v>
      </c>
    </row>
    <row r="1264">
      <c r="A1264" s="8" t="str">
        <f>IFERROR(__xludf.DUMMYFUNCTION("IF('(INGESTA)Datos_consumo_datadis'!A1264&lt;&gt;"""",SPLIT('(INGESTA)Datos_consumo_datadis'!A:A,"",""),"""")"),"ES0031408323131005HX0F")</f>
        <v>ES0031408323131005HX0F</v>
      </c>
      <c r="B1264" s="17">
        <f>IFERROR(__xludf.DUMMYFUNCTION("""COMPUTED_VALUE"""),44918.0)</f>
        <v>44918</v>
      </c>
      <c r="C1264" s="13">
        <f>IFERROR(__xludf.DUMMYFUNCTION("""COMPUTED_VALUE"""),0.625)</f>
        <v>0.625</v>
      </c>
      <c r="D1264" s="8">
        <f>IFERROR(__xludf.DUMMYFUNCTION("""COMPUTED_VALUE"""),0.033)</f>
        <v>0.033</v>
      </c>
      <c r="E1264" s="8" t="str">
        <f>IFERROR(__xludf.DUMMYFUNCTION("""COMPUTED_VALUE"""),"Real")</f>
        <v>Real</v>
      </c>
      <c r="G1264" s="8">
        <f t="shared" si="1"/>
        <v>12</v>
      </c>
      <c r="H1264" s="14">
        <f t="shared" si="2"/>
        <v>23</v>
      </c>
      <c r="I1264" s="15">
        <f t="shared" si="3"/>
        <v>15</v>
      </c>
    </row>
    <row r="1265">
      <c r="A1265" s="8" t="str">
        <f>IFERROR(__xludf.DUMMYFUNCTION("IF('(INGESTA)Datos_consumo_datadis'!A1265&lt;&gt;"""",SPLIT('(INGESTA)Datos_consumo_datadis'!A:A,"",""),"""")"),"ES0031408323131005HX0F")</f>
        <v>ES0031408323131005HX0F</v>
      </c>
      <c r="B1265" s="17">
        <f>IFERROR(__xludf.DUMMYFUNCTION("""COMPUTED_VALUE"""),44918.0)</f>
        <v>44918</v>
      </c>
      <c r="C1265" s="13">
        <f>IFERROR(__xludf.DUMMYFUNCTION("""COMPUTED_VALUE"""),0.6666666666666666)</f>
        <v>0.6666666667</v>
      </c>
      <c r="D1265" s="8">
        <f>IFERROR(__xludf.DUMMYFUNCTION("""COMPUTED_VALUE"""),0.075)</f>
        <v>0.075</v>
      </c>
      <c r="E1265" s="8" t="str">
        <f>IFERROR(__xludf.DUMMYFUNCTION("""COMPUTED_VALUE"""),"Real")</f>
        <v>Real</v>
      </c>
      <c r="G1265" s="8">
        <f t="shared" si="1"/>
        <v>12</v>
      </c>
      <c r="H1265" s="14">
        <f t="shared" si="2"/>
        <v>23</v>
      </c>
      <c r="I1265" s="15">
        <f t="shared" si="3"/>
        <v>16</v>
      </c>
    </row>
    <row r="1266">
      <c r="A1266" s="8" t="str">
        <f>IFERROR(__xludf.DUMMYFUNCTION("IF('(INGESTA)Datos_consumo_datadis'!A1266&lt;&gt;"""",SPLIT('(INGESTA)Datos_consumo_datadis'!A:A,"",""),"""")"),"ES0031408323131005HX0F")</f>
        <v>ES0031408323131005HX0F</v>
      </c>
      <c r="B1266" s="17">
        <f>IFERROR(__xludf.DUMMYFUNCTION("""COMPUTED_VALUE"""),44918.0)</f>
        <v>44918</v>
      </c>
      <c r="C1266" s="13">
        <f>IFERROR(__xludf.DUMMYFUNCTION("""COMPUTED_VALUE"""),0.7083333333333334)</f>
        <v>0.7083333333</v>
      </c>
      <c r="D1266" s="8">
        <f>IFERROR(__xludf.DUMMYFUNCTION("""COMPUTED_VALUE"""),0.267)</f>
        <v>0.267</v>
      </c>
      <c r="E1266" s="8" t="str">
        <f>IFERROR(__xludf.DUMMYFUNCTION("""COMPUTED_VALUE"""),"Real")</f>
        <v>Real</v>
      </c>
      <c r="G1266" s="8">
        <f t="shared" si="1"/>
        <v>12</v>
      </c>
      <c r="H1266" s="14">
        <f t="shared" si="2"/>
        <v>23</v>
      </c>
      <c r="I1266" s="15">
        <f t="shared" si="3"/>
        <v>17</v>
      </c>
    </row>
    <row r="1267">
      <c r="A1267" s="8" t="str">
        <f>IFERROR(__xludf.DUMMYFUNCTION("IF('(INGESTA)Datos_consumo_datadis'!A1267&lt;&gt;"""",SPLIT('(INGESTA)Datos_consumo_datadis'!A:A,"",""),"""")"),"ES0031408323131005HX0F")</f>
        <v>ES0031408323131005HX0F</v>
      </c>
      <c r="B1267" s="17">
        <f>IFERROR(__xludf.DUMMYFUNCTION("""COMPUTED_VALUE"""),44918.0)</f>
        <v>44918</v>
      </c>
      <c r="C1267" s="13">
        <f>IFERROR(__xludf.DUMMYFUNCTION("""COMPUTED_VALUE"""),0.75)</f>
        <v>0.75</v>
      </c>
      <c r="D1267" s="8">
        <f>IFERROR(__xludf.DUMMYFUNCTION("""COMPUTED_VALUE"""),0.096)</f>
        <v>0.096</v>
      </c>
      <c r="E1267" s="8" t="str">
        <f>IFERROR(__xludf.DUMMYFUNCTION("""COMPUTED_VALUE"""),"Real")</f>
        <v>Real</v>
      </c>
      <c r="G1267" s="8">
        <f t="shared" si="1"/>
        <v>12</v>
      </c>
      <c r="H1267" s="14">
        <f t="shared" si="2"/>
        <v>23</v>
      </c>
      <c r="I1267" s="15">
        <f t="shared" si="3"/>
        <v>18</v>
      </c>
    </row>
    <row r="1268">
      <c r="A1268" s="8" t="str">
        <f>IFERROR(__xludf.DUMMYFUNCTION("IF('(INGESTA)Datos_consumo_datadis'!A1268&lt;&gt;"""",SPLIT('(INGESTA)Datos_consumo_datadis'!A:A,"",""),"""")"),"ES0031408323131005HX0F")</f>
        <v>ES0031408323131005HX0F</v>
      </c>
      <c r="B1268" s="17">
        <f>IFERROR(__xludf.DUMMYFUNCTION("""COMPUTED_VALUE"""),44918.0)</f>
        <v>44918</v>
      </c>
      <c r="C1268" s="13">
        <f>IFERROR(__xludf.DUMMYFUNCTION("""COMPUTED_VALUE"""),0.7916666666666666)</f>
        <v>0.7916666667</v>
      </c>
      <c r="D1268" s="8">
        <f>IFERROR(__xludf.DUMMYFUNCTION("""COMPUTED_VALUE"""),0.057)</f>
        <v>0.057</v>
      </c>
      <c r="E1268" s="8" t="str">
        <f>IFERROR(__xludf.DUMMYFUNCTION("""COMPUTED_VALUE"""),"Real")</f>
        <v>Real</v>
      </c>
      <c r="G1268" s="8">
        <f t="shared" si="1"/>
        <v>12</v>
      </c>
      <c r="H1268" s="14">
        <f t="shared" si="2"/>
        <v>23</v>
      </c>
      <c r="I1268" s="15">
        <f t="shared" si="3"/>
        <v>19</v>
      </c>
    </row>
    <row r="1269">
      <c r="A1269" s="8" t="str">
        <f>IFERROR(__xludf.DUMMYFUNCTION("IF('(INGESTA)Datos_consumo_datadis'!A1269&lt;&gt;"""",SPLIT('(INGESTA)Datos_consumo_datadis'!A:A,"",""),"""")"),"ES0031408323131005HX0F")</f>
        <v>ES0031408323131005HX0F</v>
      </c>
      <c r="B1269" s="17">
        <f>IFERROR(__xludf.DUMMYFUNCTION("""COMPUTED_VALUE"""),44918.0)</f>
        <v>44918</v>
      </c>
      <c r="C1269" s="13">
        <f>IFERROR(__xludf.DUMMYFUNCTION("""COMPUTED_VALUE"""),0.8333333333333334)</f>
        <v>0.8333333333</v>
      </c>
      <c r="D1269" s="8">
        <f>IFERROR(__xludf.DUMMYFUNCTION("""COMPUTED_VALUE"""),0.015)</f>
        <v>0.015</v>
      </c>
      <c r="E1269" s="8" t="str">
        <f>IFERROR(__xludf.DUMMYFUNCTION("""COMPUTED_VALUE"""),"Real")</f>
        <v>Real</v>
      </c>
      <c r="G1269" s="8">
        <f t="shared" si="1"/>
        <v>12</v>
      </c>
      <c r="H1269" s="14">
        <f t="shared" si="2"/>
        <v>23</v>
      </c>
      <c r="I1269" s="15">
        <f t="shared" si="3"/>
        <v>20</v>
      </c>
    </row>
    <row r="1270">
      <c r="A1270" s="8" t="str">
        <f>IFERROR(__xludf.DUMMYFUNCTION("IF('(INGESTA)Datos_consumo_datadis'!A1270&lt;&gt;"""",SPLIT('(INGESTA)Datos_consumo_datadis'!A:A,"",""),"""")"),"ES0031408323131005HX0F")</f>
        <v>ES0031408323131005HX0F</v>
      </c>
      <c r="B1270" s="17">
        <f>IFERROR(__xludf.DUMMYFUNCTION("""COMPUTED_VALUE"""),44918.0)</f>
        <v>44918</v>
      </c>
      <c r="C1270" s="13">
        <f>IFERROR(__xludf.DUMMYFUNCTION("""COMPUTED_VALUE"""),0.875)</f>
        <v>0.875</v>
      </c>
      <c r="D1270" s="8">
        <f>IFERROR(__xludf.DUMMYFUNCTION("""COMPUTED_VALUE"""),0.079)</f>
        <v>0.079</v>
      </c>
      <c r="E1270" s="8" t="str">
        <f>IFERROR(__xludf.DUMMYFUNCTION("""COMPUTED_VALUE"""),"Real")</f>
        <v>Real</v>
      </c>
      <c r="G1270" s="8">
        <f t="shared" si="1"/>
        <v>12</v>
      </c>
      <c r="H1270" s="14">
        <f t="shared" si="2"/>
        <v>23</v>
      </c>
      <c r="I1270" s="15">
        <f t="shared" si="3"/>
        <v>21</v>
      </c>
    </row>
    <row r="1271">
      <c r="A1271" s="8" t="str">
        <f>IFERROR(__xludf.DUMMYFUNCTION("IF('(INGESTA)Datos_consumo_datadis'!A1271&lt;&gt;"""",SPLIT('(INGESTA)Datos_consumo_datadis'!A:A,"",""),"""")"),"ES0031408323131005HX0F")</f>
        <v>ES0031408323131005HX0F</v>
      </c>
      <c r="B1271" s="17">
        <f>IFERROR(__xludf.DUMMYFUNCTION("""COMPUTED_VALUE"""),44918.0)</f>
        <v>44918</v>
      </c>
      <c r="C1271" s="13">
        <f>IFERROR(__xludf.DUMMYFUNCTION("""COMPUTED_VALUE"""),0.9166666666666666)</f>
        <v>0.9166666667</v>
      </c>
      <c r="D1271" s="8">
        <f>IFERROR(__xludf.DUMMYFUNCTION("""COMPUTED_VALUE"""),0.112)</f>
        <v>0.112</v>
      </c>
      <c r="E1271" s="8" t="str">
        <f>IFERROR(__xludf.DUMMYFUNCTION("""COMPUTED_VALUE"""),"Real")</f>
        <v>Real</v>
      </c>
      <c r="G1271" s="8">
        <f t="shared" si="1"/>
        <v>12</v>
      </c>
      <c r="H1271" s="14">
        <f t="shared" si="2"/>
        <v>23</v>
      </c>
      <c r="I1271" s="15">
        <f t="shared" si="3"/>
        <v>22</v>
      </c>
    </row>
    <row r="1272">
      <c r="A1272" s="8" t="str">
        <f>IFERROR(__xludf.DUMMYFUNCTION("IF('(INGESTA)Datos_consumo_datadis'!A1272&lt;&gt;"""",SPLIT('(INGESTA)Datos_consumo_datadis'!A:A,"",""),"""")"),"ES0031408323131005HX0F")</f>
        <v>ES0031408323131005HX0F</v>
      </c>
      <c r="B1272" s="17">
        <f>IFERROR(__xludf.DUMMYFUNCTION("""COMPUTED_VALUE"""),44918.0)</f>
        <v>44918</v>
      </c>
      <c r="C1272" s="13">
        <f>IFERROR(__xludf.DUMMYFUNCTION("""COMPUTED_VALUE"""),0.9583333333333334)</f>
        <v>0.9583333333</v>
      </c>
      <c r="D1272" s="8">
        <f>IFERROR(__xludf.DUMMYFUNCTION("""COMPUTED_VALUE"""),0.076)</f>
        <v>0.076</v>
      </c>
      <c r="E1272" s="8" t="str">
        <f>IFERROR(__xludf.DUMMYFUNCTION("""COMPUTED_VALUE"""),"Real")</f>
        <v>Real</v>
      </c>
      <c r="G1272" s="8">
        <f t="shared" si="1"/>
        <v>12</v>
      </c>
      <c r="H1272" s="14">
        <f t="shared" si="2"/>
        <v>23</v>
      </c>
      <c r="I1272" s="15">
        <f t="shared" si="3"/>
        <v>23</v>
      </c>
    </row>
    <row r="1273">
      <c r="A1273" s="8" t="str">
        <f>IFERROR(__xludf.DUMMYFUNCTION("IF('(INGESTA)Datos_consumo_datadis'!A1273&lt;&gt;"""",SPLIT('(INGESTA)Datos_consumo_datadis'!A:A,"",""),"""")"),"ES0031408323131005HX0F")</f>
        <v>ES0031408323131005HX0F</v>
      </c>
      <c r="B1273" s="17">
        <f>IFERROR(__xludf.DUMMYFUNCTION("""COMPUTED_VALUE"""),44918.0)</f>
        <v>44918</v>
      </c>
      <c r="C1273" s="16">
        <f>IFERROR(__xludf.DUMMYFUNCTION("""COMPUTED_VALUE"""),1.0)</f>
        <v>1</v>
      </c>
      <c r="D1273" s="8">
        <f>IFERROR(__xludf.DUMMYFUNCTION("""COMPUTED_VALUE"""),0.537)</f>
        <v>0.537</v>
      </c>
      <c r="E1273" s="8" t="str">
        <f>IFERROR(__xludf.DUMMYFUNCTION("""COMPUTED_VALUE"""),"Real")</f>
        <v>Real</v>
      </c>
      <c r="G1273" s="8">
        <f t="shared" si="1"/>
        <v>12</v>
      </c>
      <c r="H1273" s="14">
        <f t="shared" si="2"/>
        <v>23</v>
      </c>
      <c r="I1273" s="15">
        <f t="shared" si="3"/>
        <v>0</v>
      </c>
    </row>
    <row r="1274">
      <c r="A1274" s="8" t="str">
        <f>IFERROR(__xludf.DUMMYFUNCTION("IF('(INGESTA)Datos_consumo_datadis'!A1274&lt;&gt;"""",SPLIT('(INGESTA)Datos_consumo_datadis'!A:A,"",""),"""")"),"ES0031408323131005HX0F")</f>
        <v>ES0031408323131005HX0F</v>
      </c>
      <c r="B1274" s="17">
        <f>IFERROR(__xludf.DUMMYFUNCTION("""COMPUTED_VALUE"""),44919.0)</f>
        <v>44919</v>
      </c>
      <c r="C1274" s="13">
        <f>IFERROR(__xludf.DUMMYFUNCTION("""COMPUTED_VALUE"""),0.041666666666666664)</f>
        <v>0.04166666667</v>
      </c>
      <c r="D1274" s="8">
        <f>IFERROR(__xludf.DUMMYFUNCTION("""COMPUTED_VALUE"""),0.312)</f>
        <v>0.312</v>
      </c>
      <c r="E1274" s="8" t="str">
        <f>IFERROR(__xludf.DUMMYFUNCTION("""COMPUTED_VALUE"""),"Real")</f>
        <v>Real</v>
      </c>
      <c r="G1274" s="8">
        <f t="shared" si="1"/>
        <v>12</v>
      </c>
      <c r="H1274" s="14">
        <f t="shared" si="2"/>
        <v>24</v>
      </c>
      <c r="I1274" s="15">
        <f t="shared" si="3"/>
        <v>1</v>
      </c>
    </row>
    <row r="1275">
      <c r="A1275" s="8" t="str">
        <f>IFERROR(__xludf.DUMMYFUNCTION("IF('(INGESTA)Datos_consumo_datadis'!A1275&lt;&gt;"""",SPLIT('(INGESTA)Datos_consumo_datadis'!A:A,"",""),"""")"),"ES0031408323131005HX0F")</f>
        <v>ES0031408323131005HX0F</v>
      </c>
      <c r="B1275" s="17">
        <f>IFERROR(__xludf.DUMMYFUNCTION("""COMPUTED_VALUE"""),44919.0)</f>
        <v>44919</v>
      </c>
      <c r="C1275" s="13">
        <f>IFERROR(__xludf.DUMMYFUNCTION("""COMPUTED_VALUE"""),0.08333333333333333)</f>
        <v>0.08333333333</v>
      </c>
      <c r="D1275" s="8">
        <f>IFERROR(__xludf.DUMMYFUNCTION("""COMPUTED_VALUE"""),0.371)</f>
        <v>0.371</v>
      </c>
      <c r="E1275" s="8" t="str">
        <f>IFERROR(__xludf.DUMMYFUNCTION("""COMPUTED_VALUE"""),"Real")</f>
        <v>Real</v>
      </c>
      <c r="G1275" s="8">
        <f t="shared" si="1"/>
        <v>12</v>
      </c>
      <c r="H1275" s="14">
        <f t="shared" si="2"/>
        <v>24</v>
      </c>
      <c r="I1275" s="15">
        <f t="shared" si="3"/>
        <v>2</v>
      </c>
    </row>
    <row r="1276">
      <c r="A1276" s="8" t="str">
        <f>IFERROR(__xludf.DUMMYFUNCTION("IF('(INGESTA)Datos_consumo_datadis'!A1276&lt;&gt;"""",SPLIT('(INGESTA)Datos_consumo_datadis'!A:A,"",""),"""")"),"ES0031408323131005HX0F")</f>
        <v>ES0031408323131005HX0F</v>
      </c>
      <c r="B1276" s="17">
        <f>IFERROR(__xludf.DUMMYFUNCTION("""COMPUTED_VALUE"""),44919.0)</f>
        <v>44919</v>
      </c>
      <c r="C1276" s="13">
        <f>IFERROR(__xludf.DUMMYFUNCTION("""COMPUTED_VALUE"""),0.125)</f>
        <v>0.125</v>
      </c>
      <c r="D1276" s="8">
        <f>IFERROR(__xludf.DUMMYFUNCTION("""COMPUTED_VALUE"""),0.041)</f>
        <v>0.041</v>
      </c>
      <c r="E1276" s="8" t="str">
        <f>IFERROR(__xludf.DUMMYFUNCTION("""COMPUTED_VALUE"""),"Real")</f>
        <v>Real</v>
      </c>
      <c r="G1276" s="8">
        <f t="shared" si="1"/>
        <v>12</v>
      </c>
      <c r="H1276" s="14">
        <f t="shared" si="2"/>
        <v>24</v>
      </c>
      <c r="I1276" s="15">
        <f t="shared" si="3"/>
        <v>3</v>
      </c>
    </row>
    <row r="1277">
      <c r="A1277" s="8" t="str">
        <f>IFERROR(__xludf.DUMMYFUNCTION("IF('(INGESTA)Datos_consumo_datadis'!A1277&lt;&gt;"""",SPLIT('(INGESTA)Datos_consumo_datadis'!A:A,"",""),"""")"),"ES0031408323131005HX0F")</f>
        <v>ES0031408323131005HX0F</v>
      </c>
      <c r="B1277" s="17">
        <f>IFERROR(__xludf.DUMMYFUNCTION("""COMPUTED_VALUE"""),44919.0)</f>
        <v>44919</v>
      </c>
      <c r="C1277" s="13">
        <f>IFERROR(__xludf.DUMMYFUNCTION("""COMPUTED_VALUE"""),0.16666666666666666)</f>
        <v>0.1666666667</v>
      </c>
      <c r="D1277" s="8">
        <f>IFERROR(__xludf.DUMMYFUNCTION("""COMPUTED_VALUE"""),0.062)</f>
        <v>0.062</v>
      </c>
      <c r="E1277" s="8" t="str">
        <f>IFERROR(__xludf.DUMMYFUNCTION("""COMPUTED_VALUE"""),"Real")</f>
        <v>Real</v>
      </c>
      <c r="G1277" s="8">
        <f t="shared" si="1"/>
        <v>12</v>
      </c>
      <c r="H1277" s="14">
        <f t="shared" si="2"/>
        <v>24</v>
      </c>
      <c r="I1277" s="15">
        <f t="shared" si="3"/>
        <v>4</v>
      </c>
    </row>
    <row r="1278">
      <c r="A1278" s="8" t="str">
        <f>IFERROR(__xludf.DUMMYFUNCTION("IF('(INGESTA)Datos_consumo_datadis'!A1278&lt;&gt;"""",SPLIT('(INGESTA)Datos_consumo_datadis'!A:A,"",""),"""")"),"ES0031408323131005HX0F")</f>
        <v>ES0031408323131005HX0F</v>
      </c>
      <c r="B1278" s="17">
        <f>IFERROR(__xludf.DUMMYFUNCTION("""COMPUTED_VALUE"""),44919.0)</f>
        <v>44919</v>
      </c>
      <c r="C1278" s="13">
        <f>IFERROR(__xludf.DUMMYFUNCTION("""COMPUTED_VALUE"""),0.20833333333333334)</f>
        <v>0.2083333333</v>
      </c>
      <c r="D1278" s="8">
        <f>IFERROR(__xludf.DUMMYFUNCTION("""COMPUTED_VALUE"""),0.046)</f>
        <v>0.046</v>
      </c>
      <c r="E1278" s="8" t="str">
        <f>IFERROR(__xludf.DUMMYFUNCTION("""COMPUTED_VALUE"""),"Real")</f>
        <v>Real</v>
      </c>
      <c r="G1278" s="8">
        <f t="shared" si="1"/>
        <v>12</v>
      </c>
      <c r="H1278" s="14">
        <f t="shared" si="2"/>
        <v>24</v>
      </c>
      <c r="I1278" s="15">
        <f t="shared" si="3"/>
        <v>5</v>
      </c>
    </row>
    <row r="1279">
      <c r="A1279" s="8" t="str">
        <f>IFERROR(__xludf.DUMMYFUNCTION("IF('(INGESTA)Datos_consumo_datadis'!A1279&lt;&gt;"""",SPLIT('(INGESTA)Datos_consumo_datadis'!A:A,"",""),"""")"),"ES0031408323131005HX0F")</f>
        <v>ES0031408323131005HX0F</v>
      </c>
      <c r="B1279" s="17">
        <f>IFERROR(__xludf.DUMMYFUNCTION("""COMPUTED_VALUE"""),44919.0)</f>
        <v>44919</v>
      </c>
      <c r="C1279" s="13">
        <f>IFERROR(__xludf.DUMMYFUNCTION("""COMPUTED_VALUE"""),0.25)</f>
        <v>0.25</v>
      </c>
      <c r="D1279" s="8">
        <f>IFERROR(__xludf.DUMMYFUNCTION("""COMPUTED_VALUE"""),0.324)</f>
        <v>0.324</v>
      </c>
      <c r="E1279" s="8" t="str">
        <f>IFERROR(__xludf.DUMMYFUNCTION("""COMPUTED_VALUE"""),"Real")</f>
        <v>Real</v>
      </c>
      <c r="G1279" s="8">
        <f t="shared" si="1"/>
        <v>12</v>
      </c>
      <c r="H1279" s="14">
        <f t="shared" si="2"/>
        <v>24</v>
      </c>
      <c r="I1279" s="15">
        <f t="shared" si="3"/>
        <v>6</v>
      </c>
    </row>
    <row r="1280">
      <c r="A1280" s="8" t="str">
        <f>IFERROR(__xludf.DUMMYFUNCTION("IF('(INGESTA)Datos_consumo_datadis'!A1280&lt;&gt;"""",SPLIT('(INGESTA)Datos_consumo_datadis'!A:A,"",""),"""")"),"ES0031408323131005HX0F")</f>
        <v>ES0031408323131005HX0F</v>
      </c>
      <c r="B1280" s="17">
        <f>IFERROR(__xludf.DUMMYFUNCTION("""COMPUTED_VALUE"""),44919.0)</f>
        <v>44919</v>
      </c>
      <c r="C1280" s="13">
        <f>IFERROR(__xludf.DUMMYFUNCTION("""COMPUTED_VALUE"""),0.2916666666666667)</f>
        <v>0.2916666667</v>
      </c>
      <c r="D1280" s="8">
        <f>IFERROR(__xludf.DUMMYFUNCTION("""COMPUTED_VALUE"""),0.058)</f>
        <v>0.058</v>
      </c>
      <c r="E1280" s="8" t="str">
        <f>IFERROR(__xludf.DUMMYFUNCTION("""COMPUTED_VALUE"""),"Real")</f>
        <v>Real</v>
      </c>
      <c r="G1280" s="8">
        <f t="shared" si="1"/>
        <v>12</v>
      </c>
      <c r="H1280" s="14">
        <f t="shared" si="2"/>
        <v>24</v>
      </c>
      <c r="I1280" s="15">
        <f t="shared" si="3"/>
        <v>7</v>
      </c>
    </row>
    <row r="1281">
      <c r="A1281" s="8" t="str">
        <f>IFERROR(__xludf.DUMMYFUNCTION("IF('(INGESTA)Datos_consumo_datadis'!A1281&lt;&gt;"""",SPLIT('(INGESTA)Datos_consumo_datadis'!A:A,"",""),"""")"),"ES0031408323131005HX0F")</f>
        <v>ES0031408323131005HX0F</v>
      </c>
      <c r="B1281" s="17">
        <f>IFERROR(__xludf.DUMMYFUNCTION("""COMPUTED_VALUE"""),44919.0)</f>
        <v>44919</v>
      </c>
      <c r="C1281" s="13">
        <f>IFERROR(__xludf.DUMMYFUNCTION("""COMPUTED_VALUE"""),0.3333333333333333)</f>
        <v>0.3333333333</v>
      </c>
      <c r="D1281" s="8">
        <f>IFERROR(__xludf.DUMMYFUNCTION("""COMPUTED_VALUE"""),0.015)</f>
        <v>0.015</v>
      </c>
      <c r="E1281" s="8" t="str">
        <f>IFERROR(__xludf.DUMMYFUNCTION("""COMPUTED_VALUE"""),"Real")</f>
        <v>Real</v>
      </c>
      <c r="G1281" s="8">
        <f t="shared" si="1"/>
        <v>12</v>
      </c>
      <c r="H1281" s="14">
        <f t="shared" si="2"/>
        <v>24</v>
      </c>
      <c r="I1281" s="15">
        <f t="shared" si="3"/>
        <v>8</v>
      </c>
    </row>
    <row r="1282">
      <c r="A1282" s="8" t="str">
        <f>IFERROR(__xludf.DUMMYFUNCTION("IF('(INGESTA)Datos_consumo_datadis'!A1282&lt;&gt;"""",SPLIT('(INGESTA)Datos_consumo_datadis'!A:A,"",""),"""")"),"ES0031408323131005HX0F")</f>
        <v>ES0031408323131005HX0F</v>
      </c>
      <c r="B1282" s="17">
        <f>IFERROR(__xludf.DUMMYFUNCTION("""COMPUTED_VALUE"""),44919.0)</f>
        <v>44919</v>
      </c>
      <c r="C1282" s="13">
        <f>IFERROR(__xludf.DUMMYFUNCTION("""COMPUTED_VALUE"""),0.375)</f>
        <v>0.375</v>
      </c>
      <c r="D1282" s="8">
        <f>IFERROR(__xludf.DUMMYFUNCTION("""COMPUTED_VALUE"""),0.075)</f>
        <v>0.075</v>
      </c>
      <c r="E1282" s="8" t="str">
        <f>IFERROR(__xludf.DUMMYFUNCTION("""COMPUTED_VALUE"""),"Real")</f>
        <v>Real</v>
      </c>
      <c r="G1282" s="8">
        <f t="shared" si="1"/>
        <v>12</v>
      </c>
      <c r="H1282" s="14">
        <f t="shared" si="2"/>
        <v>24</v>
      </c>
      <c r="I1282" s="15">
        <f t="shared" si="3"/>
        <v>9</v>
      </c>
    </row>
    <row r="1283">
      <c r="A1283" s="8" t="str">
        <f>IFERROR(__xludf.DUMMYFUNCTION("IF('(INGESTA)Datos_consumo_datadis'!A1283&lt;&gt;"""",SPLIT('(INGESTA)Datos_consumo_datadis'!A:A,"",""),"""")"),"ES0031408323131005HX0F")</f>
        <v>ES0031408323131005HX0F</v>
      </c>
      <c r="B1283" s="17">
        <f>IFERROR(__xludf.DUMMYFUNCTION("""COMPUTED_VALUE"""),44919.0)</f>
        <v>44919</v>
      </c>
      <c r="C1283" s="13">
        <f>IFERROR(__xludf.DUMMYFUNCTION("""COMPUTED_VALUE"""),0.4166666666666667)</f>
        <v>0.4166666667</v>
      </c>
      <c r="D1283" s="8">
        <f>IFERROR(__xludf.DUMMYFUNCTION("""COMPUTED_VALUE"""),0.15)</f>
        <v>0.15</v>
      </c>
      <c r="E1283" s="8" t="str">
        <f>IFERROR(__xludf.DUMMYFUNCTION("""COMPUTED_VALUE"""),"Real")</f>
        <v>Real</v>
      </c>
      <c r="G1283" s="8">
        <f t="shared" si="1"/>
        <v>12</v>
      </c>
      <c r="H1283" s="14">
        <f t="shared" si="2"/>
        <v>24</v>
      </c>
      <c r="I1283" s="15">
        <f t="shared" si="3"/>
        <v>10</v>
      </c>
    </row>
    <row r="1284">
      <c r="A1284" s="8" t="str">
        <f>IFERROR(__xludf.DUMMYFUNCTION("IF('(INGESTA)Datos_consumo_datadis'!A1284&lt;&gt;"""",SPLIT('(INGESTA)Datos_consumo_datadis'!A:A,"",""),"""")"),"ES0031408323131005HX0F")</f>
        <v>ES0031408323131005HX0F</v>
      </c>
      <c r="B1284" s="17">
        <f>IFERROR(__xludf.DUMMYFUNCTION("""COMPUTED_VALUE"""),44919.0)</f>
        <v>44919</v>
      </c>
      <c r="C1284" s="13">
        <f>IFERROR(__xludf.DUMMYFUNCTION("""COMPUTED_VALUE"""),0.4583333333333333)</f>
        <v>0.4583333333</v>
      </c>
      <c r="D1284" s="8">
        <f>IFERROR(__xludf.DUMMYFUNCTION("""COMPUTED_VALUE"""),1.754)</f>
        <v>1.754</v>
      </c>
      <c r="E1284" s="8" t="str">
        <f>IFERROR(__xludf.DUMMYFUNCTION("""COMPUTED_VALUE"""),"Real")</f>
        <v>Real</v>
      </c>
      <c r="G1284" s="8">
        <f t="shared" si="1"/>
        <v>12</v>
      </c>
      <c r="H1284" s="14">
        <f t="shared" si="2"/>
        <v>24</v>
      </c>
      <c r="I1284" s="15">
        <f t="shared" si="3"/>
        <v>11</v>
      </c>
    </row>
    <row r="1285">
      <c r="A1285" s="8" t="str">
        <f>IFERROR(__xludf.DUMMYFUNCTION("IF('(INGESTA)Datos_consumo_datadis'!A1285&lt;&gt;"""",SPLIT('(INGESTA)Datos_consumo_datadis'!A:A,"",""),"""")"),"ES0031408323131005HX0F")</f>
        <v>ES0031408323131005HX0F</v>
      </c>
      <c r="B1285" s="17">
        <f>IFERROR(__xludf.DUMMYFUNCTION("""COMPUTED_VALUE"""),44919.0)</f>
        <v>44919</v>
      </c>
      <c r="C1285" s="13">
        <f>IFERROR(__xludf.DUMMYFUNCTION("""COMPUTED_VALUE"""),0.5)</f>
        <v>0.5</v>
      </c>
      <c r="D1285" s="8">
        <f>IFERROR(__xludf.DUMMYFUNCTION("""COMPUTED_VALUE"""),0.073)</f>
        <v>0.073</v>
      </c>
      <c r="E1285" s="8" t="str">
        <f>IFERROR(__xludf.DUMMYFUNCTION("""COMPUTED_VALUE"""),"Real")</f>
        <v>Real</v>
      </c>
      <c r="G1285" s="8">
        <f t="shared" si="1"/>
        <v>12</v>
      </c>
      <c r="H1285" s="14">
        <f t="shared" si="2"/>
        <v>24</v>
      </c>
      <c r="I1285" s="15">
        <f t="shared" si="3"/>
        <v>12</v>
      </c>
    </row>
    <row r="1286">
      <c r="A1286" s="8" t="str">
        <f>IFERROR(__xludf.DUMMYFUNCTION("IF('(INGESTA)Datos_consumo_datadis'!A1286&lt;&gt;"""",SPLIT('(INGESTA)Datos_consumo_datadis'!A:A,"",""),"""")"),"ES0031408323131005HX0F")</f>
        <v>ES0031408323131005HX0F</v>
      </c>
      <c r="B1286" s="17">
        <f>IFERROR(__xludf.DUMMYFUNCTION("""COMPUTED_VALUE"""),44919.0)</f>
        <v>44919</v>
      </c>
      <c r="C1286" s="13">
        <f>IFERROR(__xludf.DUMMYFUNCTION("""COMPUTED_VALUE"""),0.5416666666666666)</f>
        <v>0.5416666667</v>
      </c>
      <c r="D1286" s="8">
        <f>IFERROR(__xludf.DUMMYFUNCTION("""COMPUTED_VALUE"""),0.025)</f>
        <v>0.025</v>
      </c>
      <c r="E1286" s="8" t="str">
        <f>IFERROR(__xludf.DUMMYFUNCTION("""COMPUTED_VALUE"""),"Real")</f>
        <v>Real</v>
      </c>
      <c r="G1286" s="8">
        <f t="shared" si="1"/>
        <v>12</v>
      </c>
      <c r="H1286" s="14">
        <f t="shared" si="2"/>
        <v>24</v>
      </c>
      <c r="I1286" s="15">
        <f t="shared" si="3"/>
        <v>13</v>
      </c>
    </row>
    <row r="1287">
      <c r="A1287" s="8" t="str">
        <f>IFERROR(__xludf.DUMMYFUNCTION("IF('(INGESTA)Datos_consumo_datadis'!A1287&lt;&gt;"""",SPLIT('(INGESTA)Datos_consumo_datadis'!A:A,"",""),"""")"),"ES0031408323131005HX0F")</f>
        <v>ES0031408323131005HX0F</v>
      </c>
      <c r="B1287" s="17">
        <f>IFERROR(__xludf.DUMMYFUNCTION("""COMPUTED_VALUE"""),44919.0)</f>
        <v>44919</v>
      </c>
      <c r="C1287" s="13">
        <f>IFERROR(__xludf.DUMMYFUNCTION("""COMPUTED_VALUE"""),0.5833333333333334)</f>
        <v>0.5833333333</v>
      </c>
      <c r="D1287" s="8">
        <f>IFERROR(__xludf.DUMMYFUNCTION("""COMPUTED_VALUE"""),0.073)</f>
        <v>0.073</v>
      </c>
      <c r="E1287" s="8" t="str">
        <f>IFERROR(__xludf.DUMMYFUNCTION("""COMPUTED_VALUE"""),"Real")</f>
        <v>Real</v>
      </c>
      <c r="G1287" s="8">
        <f t="shared" si="1"/>
        <v>12</v>
      </c>
      <c r="H1287" s="14">
        <f t="shared" si="2"/>
        <v>24</v>
      </c>
      <c r="I1287" s="15">
        <f t="shared" si="3"/>
        <v>14</v>
      </c>
    </row>
    <row r="1288">
      <c r="A1288" s="8" t="str">
        <f>IFERROR(__xludf.DUMMYFUNCTION("IF('(INGESTA)Datos_consumo_datadis'!A1288&lt;&gt;"""",SPLIT('(INGESTA)Datos_consumo_datadis'!A:A,"",""),"""")"),"ES0031408323131005HX0F")</f>
        <v>ES0031408323131005HX0F</v>
      </c>
      <c r="B1288" s="17">
        <f>IFERROR(__xludf.DUMMYFUNCTION("""COMPUTED_VALUE"""),44919.0)</f>
        <v>44919</v>
      </c>
      <c r="C1288" s="13">
        <f>IFERROR(__xludf.DUMMYFUNCTION("""COMPUTED_VALUE"""),0.625)</f>
        <v>0.625</v>
      </c>
      <c r="D1288" s="8">
        <f>IFERROR(__xludf.DUMMYFUNCTION("""COMPUTED_VALUE"""),0.043)</f>
        <v>0.043</v>
      </c>
      <c r="E1288" s="8" t="str">
        <f>IFERROR(__xludf.DUMMYFUNCTION("""COMPUTED_VALUE"""),"Real")</f>
        <v>Real</v>
      </c>
      <c r="G1288" s="8">
        <f t="shared" si="1"/>
        <v>12</v>
      </c>
      <c r="H1288" s="14">
        <f t="shared" si="2"/>
        <v>24</v>
      </c>
      <c r="I1288" s="15">
        <f t="shared" si="3"/>
        <v>15</v>
      </c>
    </row>
    <row r="1289">
      <c r="A1289" s="8" t="str">
        <f>IFERROR(__xludf.DUMMYFUNCTION("IF('(INGESTA)Datos_consumo_datadis'!A1289&lt;&gt;"""",SPLIT('(INGESTA)Datos_consumo_datadis'!A:A,"",""),"""")"),"ES0031408323131005HX0F")</f>
        <v>ES0031408323131005HX0F</v>
      </c>
      <c r="B1289" s="17">
        <f>IFERROR(__xludf.DUMMYFUNCTION("""COMPUTED_VALUE"""),44919.0)</f>
        <v>44919</v>
      </c>
      <c r="C1289" s="13">
        <f>IFERROR(__xludf.DUMMYFUNCTION("""COMPUTED_VALUE"""),0.6666666666666666)</f>
        <v>0.6666666667</v>
      </c>
      <c r="D1289" s="8">
        <f>IFERROR(__xludf.DUMMYFUNCTION("""COMPUTED_VALUE"""),0.026)</f>
        <v>0.026</v>
      </c>
      <c r="E1289" s="8" t="str">
        <f>IFERROR(__xludf.DUMMYFUNCTION("""COMPUTED_VALUE"""),"Real")</f>
        <v>Real</v>
      </c>
      <c r="G1289" s="8">
        <f t="shared" si="1"/>
        <v>12</v>
      </c>
      <c r="H1289" s="14">
        <f t="shared" si="2"/>
        <v>24</v>
      </c>
      <c r="I1289" s="15">
        <f t="shared" si="3"/>
        <v>16</v>
      </c>
    </row>
    <row r="1290">
      <c r="A1290" s="8" t="str">
        <f>IFERROR(__xludf.DUMMYFUNCTION("IF('(INGESTA)Datos_consumo_datadis'!A1290&lt;&gt;"""",SPLIT('(INGESTA)Datos_consumo_datadis'!A:A,"",""),"""")"),"ES0031408323131005HX0F")</f>
        <v>ES0031408323131005HX0F</v>
      </c>
      <c r="B1290" s="17">
        <f>IFERROR(__xludf.DUMMYFUNCTION("""COMPUTED_VALUE"""),44919.0)</f>
        <v>44919</v>
      </c>
      <c r="C1290" s="13">
        <f>IFERROR(__xludf.DUMMYFUNCTION("""COMPUTED_VALUE"""),0.7083333333333334)</f>
        <v>0.7083333333</v>
      </c>
      <c r="D1290" s="8">
        <f>IFERROR(__xludf.DUMMYFUNCTION("""COMPUTED_VALUE"""),0.326)</f>
        <v>0.326</v>
      </c>
      <c r="E1290" s="8" t="str">
        <f>IFERROR(__xludf.DUMMYFUNCTION("""COMPUTED_VALUE"""),"Real")</f>
        <v>Real</v>
      </c>
      <c r="G1290" s="8">
        <f t="shared" si="1"/>
        <v>12</v>
      </c>
      <c r="H1290" s="14">
        <f t="shared" si="2"/>
        <v>24</v>
      </c>
      <c r="I1290" s="15">
        <f t="shared" si="3"/>
        <v>17</v>
      </c>
    </row>
    <row r="1291">
      <c r="A1291" s="8" t="str">
        <f>IFERROR(__xludf.DUMMYFUNCTION("IF('(INGESTA)Datos_consumo_datadis'!A1291&lt;&gt;"""",SPLIT('(INGESTA)Datos_consumo_datadis'!A:A,"",""),"""")"),"ES0031408323131005HX0F")</f>
        <v>ES0031408323131005HX0F</v>
      </c>
      <c r="B1291" s="17">
        <f>IFERROR(__xludf.DUMMYFUNCTION("""COMPUTED_VALUE"""),44919.0)</f>
        <v>44919</v>
      </c>
      <c r="C1291" s="13">
        <f>IFERROR(__xludf.DUMMYFUNCTION("""COMPUTED_VALUE"""),0.75)</f>
        <v>0.75</v>
      </c>
      <c r="D1291" s="8">
        <f>IFERROR(__xludf.DUMMYFUNCTION("""COMPUTED_VALUE"""),0.031)</f>
        <v>0.031</v>
      </c>
      <c r="E1291" s="8" t="str">
        <f>IFERROR(__xludf.DUMMYFUNCTION("""COMPUTED_VALUE"""),"Real")</f>
        <v>Real</v>
      </c>
      <c r="G1291" s="8">
        <f t="shared" si="1"/>
        <v>12</v>
      </c>
      <c r="H1291" s="14">
        <f t="shared" si="2"/>
        <v>24</v>
      </c>
      <c r="I1291" s="15">
        <f t="shared" si="3"/>
        <v>18</v>
      </c>
    </row>
    <row r="1292">
      <c r="A1292" s="8" t="str">
        <f>IFERROR(__xludf.DUMMYFUNCTION("IF('(INGESTA)Datos_consumo_datadis'!A1292&lt;&gt;"""",SPLIT('(INGESTA)Datos_consumo_datadis'!A:A,"",""),"""")"),"ES0031408323131005HX0F")</f>
        <v>ES0031408323131005HX0F</v>
      </c>
      <c r="B1292" s="17">
        <f>IFERROR(__xludf.DUMMYFUNCTION("""COMPUTED_VALUE"""),44919.0)</f>
        <v>44919</v>
      </c>
      <c r="C1292" s="13">
        <f>IFERROR(__xludf.DUMMYFUNCTION("""COMPUTED_VALUE"""),0.7916666666666666)</f>
        <v>0.7916666667</v>
      </c>
      <c r="D1292" s="8">
        <f>IFERROR(__xludf.DUMMYFUNCTION("""COMPUTED_VALUE"""),0.062)</f>
        <v>0.062</v>
      </c>
      <c r="E1292" s="8" t="str">
        <f>IFERROR(__xludf.DUMMYFUNCTION("""COMPUTED_VALUE"""),"Real")</f>
        <v>Real</v>
      </c>
      <c r="G1292" s="8">
        <f t="shared" si="1"/>
        <v>12</v>
      </c>
      <c r="H1292" s="14">
        <f t="shared" si="2"/>
        <v>24</v>
      </c>
      <c r="I1292" s="15">
        <f t="shared" si="3"/>
        <v>19</v>
      </c>
    </row>
    <row r="1293">
      <c r="A1293" s="8" t="str">
        <f>IFERROR(__xludf.DUMMYFUNCTION("IF('(INGESTA)Datos_consumo_datadis'!A1293&lt;&gt;"""",SPLIT('(INGESTA)Datos_consumo_datadis'!A:A,"",""),"""")"),"ES0031408323131005HX0F")</f>
        <v>ES0031408323131005HX0F</v>
      </c>
      <c r="B1293" s="17">
        <f>IFERROR(__xludf.DUMMYFUNCTION("""COMPUTED_VALUE"""),44919.0)</f>
        <v>44919</v>
      </c>
      <c r="C1293" s="13">
        <f>IFERROR(__xludf.DUMMYFUNCTION("""COMPUTED_VALUE"""),0.8333333333333334)</f>
        <v>0.8333333333</v>
      </c>
      <c r="D1293" s="8">
        <f>IFERROR(__xludf.DUMMYFUNCTION("""COMPUTED_VALUE"""),0.053)</f>
        <v>0.053</v>
      </c>
      <c r="E1293" s="8" t="str">
        <f>IFERROR(__xludf.DUMMYFUNCTION("""COMPUTED_VALUE"""),"Real")</f>
        <v>Real</v>
      </c>
      <c r="G1293" s="8">
        <f t="shared" si="1"/>
        <v>12</v>
      </c>
      <c r="H1293" s="14">
        <f t="shared" si="2"/>
        <v>24</v>
      </c>
      <c r="I1293" s="15">
        <f t="shared" si="3"/>
        <v>20</v>
      </c>
    </row>
    <row r="1294">
      <c r="A1294" s="8" t="str">
        <f>IFERROR(__xludf.DUMMYFUNCTION("IF('(INGESTA)Datos_consumo_datadis'!A1294&lt;&gt;"""",SPLIT('(INGESTA)Datos_consumo_datadis'!A:A,"",""),"""")"),"ES0031408323131005HX0F")</f>
        <v>ES0031408323131005HX0F</v>
      </c>
      <c r="B1294" s="17">
        <f>IFERROR(__xludf.DUMMYFUNCTION("""COMPUTED_VALUE"""),44919.0)</f>
        <v>44919</v>
      </c>
      <c r="C1294" s="13">
        <f>IFERROR(__xludf.DUMMYFUNCTION("""COMPUTED_VALUE"""),0.875)</f>
        <v>0.875</v>
      </c>
      <c r="D1294" s="8">
        <f>IFERROR(__xludf.DUMMYFUNCTION("""COMPUTED_VALUE"""),0.015)</f>
        <v>0.015</v>
      </c>
      <c r="E1294" s="8" t="str">
        <f>IFERROR(__xludf.DUMMYFUNCTION("""COMPUTED_VALUE"""),"Real")</f>
        <v>Real</v>
      </c>
      <c r="G1294" s="8">
        <f t="shared" si="1"/>
        <v>12</v>
      </c>
      <c r="H1294" s="14">
        <f t="shared" si="2"/>
        <v>24</v>
      </c>
      <c r="I1294" s="15">
        <f t="shared" si="3"/>
        <v>21</v>
      </c>
    </row>
    <row r="1295">
      <c r="A1295" s="8" t="str">
        <f>IFERROR(__xludf.DUMMYFUNCTION("IF('(INGESTA)Datos_consumo_datadis'!A1295&lt;&gt;"""",SPLIT('(INGESTA)Datos_consumo_datadis'!A:A,"",""),"""")"),"ES0031408323131005HX0F")</f>
        <v>ES0031408323131005HX0F</v>
      </c>
      <c r="B1295" s="17">
        <f>IFERROR(__xludf.DUMMYFUNCTION("""COMPUTED_VALUE"""),44919.0)</f>
        <v>44919</v>
      </c>
      <c r="C1295" s="13">
        <f>IFERROR(__xludf.DUMMYFUNCTION("""COMPUTED_VALUE"""),0.9166666666666666)</f>
        <v>0.9166666667</v>
      </c>
      <c r="D1295" s="8">
        <f>IFERROR(__xludf.DUMMYFUNCTION("""COMPUTED_VALUE"""),0.073)</f>
        <v>0.073</v>
      </c>
      <c r="E1295" s="8" t="str">
        <f>IFERROR(__xludf.DUMMYFUNCTION("""COMPUTED_VALUE"""),"Real")</f>
        <v>Real</v>
      </c>
      <c r="G1295" s="8">
        <f t="shared" si="1"/>
        <v>12</v>
      </c>
      <c r="H1295" s="14">
        <f t="shared" si="2"/>
        <v>24</v>
      </c>
      <c r="I1295" s="15">
        <f t="shared" si="3"/>
        <v>22</v>
      </c>
    </row>
    <row r="1296">
      <c r="A1296" s="8" t="str">
        <f>IFERROR(__xludf.DUMMYFUNCTION("IF('(INGESTA)Datos_consumo_datadis'!A1296&lt;&gt;"""",SPLIT('(INGESTA)Datos_consumo_datadis'!A:A,"",""),"""")"),"ES0031408323131005HX0F")</f>
        <v>ES0031408323131005HX0F</v>
      </c>
      <c r="B1296" s="17">
        <f>IFERROR(__xludf.DUMMYFUNCTION("""COMPUTED_VALUE"""),44919.0)</f>
        <v>44919</v>
      </c>
      <c r="C1296" s="13">
        <f>IFERROR(__xludf.DUMMYFUNCTION("""COMPUTED_VALUE"""),0.9583333333333334)</f>
        <v>0.9583333333</v>
      </c>
      <c r="D1296" s="8">
        <f>IFERROR(__xludf.DUMMYFUNCTION("""COMPUTED_VALUE"""),0.191)</f>
        <v>0.191</v>
      </c>
      <c r="E1296" s="8" t="str">
        <f>IFERROR(__xludf.DUMMYFUNCTION("""COMPUTED_VALUE"""),"Real")</f>
        <v>Real</v>
      </c>
      <c r="G1296" s="8">
        <f t="shared" si="1"/>
        <v>12</v>
      </c>
      <c r="H1296" s="14">
        <f t="shared" si="2"/>
        <v>24</v>
      </c>
      <c r="I1296" s="15">
        <f t="shared" si="3"/>
        <v>23</v>
      </c>
    </row>
    <row r="1297">
      <c r="A1297" s="8" t="str">
        <f>IFERROR(__xludf.DUMMYFUNCTION("IF('(INGESTA)Datos_consumo_datadis'!A1297&lt;&gt;"""",SPLIT('(INGESTA)Datos_consumo_datadis'!A:A,"",""),"""")"),"ES0031408323131005HX0F")</f>
        <v>ES0031408323131005HX0F</v>
      </c>
      <c r="B1297" s="17">
        <f>IFERROR(__xludf.DUMMYFUNCTION("""COMPUTED_VALUE"""),44919.0)</f>
        <v>44919</v>
      </c>
      <c r="C1297" s="16">
        <f>IFERROR(__xludf.DUMMYFUNCTION("""COMPUTED_VALUE"""),1.0)</f>
        <v>1</v>
      </c>
      <c r="D1297" s="8">
        <f>IFERROR(__xludf.DUMMYFUNCTION("""COMPUTED_VALUE"""),0.187)</f>
        <v>0.187</v>
      </c>
      <c r="E1297" s="8" t="str">
        <f>IFERROR(__xludf.DUMMYFUNCTION("""COMPUTED_VALUE"""),"Real")</f>
        <v>Real</v>
      </c>
      <c r="G1297" s="8">
        <f t="shared" si="1"/>
        <v>12</v>
      </c>
      <c r="H1297" s="14">
        <f t="shared" si="2"/>
        <v>24</v>
      </c>
      <c r="I1297" s="15">
        <f t="shared" si="3"/>
        <v>0</v>
      </c>
    </row>
    <row r="1298">
      <c r="A1298" s="8" t="str">
        <f>IFERROR(__xludf.DUMMYFUNCTION("IF('(INGESTA)Datos_consumo_datadis'!A1298&lt;&gt;"""",SPLIT('(INGESTA)Datos_consumo_datadis'!A:A,"",""),"""")"),"ES0031408323131005HX0F")</f>
        <v>ES0031408323131005HX0F</v>
      </c>
      <c r="B1298" s="17">
        <f>IFERROR(__xludf.DUMMYFUNCTION("""COMPUTED_VALUE"""),44920.0)</f>
        <v>44920</v>
      </c>
      <c r="C1298" s="13">
        <f>IFERROR(__xludf.DUMMYFUNCTION("""COMPUTED_VALUE"""),0.041666666666666664)</f>
        <v>0.04166666667</v>
      </c>
      <c r="D1298" s="8">
        <f>IFERROR(__xludf.DUMMYFUNCTION("""COMPUTED_VALUE"""),0.161)</f>
        <v>0.161</v>
      </c>
      <c r="E1298" s="8" t="str">
        <f>IFERROR(__xludf.DUMMYFUNCTION("""COMPUTED_VALUE"""),"Real")</f>
        <v>Real</v>
      </c>
      <c r="G1298" s="8">
        <f t="shared" si="1"/>
        <v>12</v>
      </c>
      <c r="H1298" s="14">
        <f t="shared" si="2"/>
        <v>25</v>
      </c>
      <c r="I1298" s="15">
        <f t="shared" si="3"/>
        <v>1</v>
      </c>
    </row>
    <row r="1299">
      <c r="A1299" s="8" t="str">
        <f>IFERROR(__xludf.DUMMYFUNCTION("IF('(INGESTA)Datos_consumo_datadis'!A1299&lt;&gt;"""",SPLIT('(INGESTA)Datos_consumo_datadis'!A:A,"",""),"""")"),"ES0031408323131005HX0F")</f>
        <v>ES0031408323131005HX0F</v>
      </c>
      <c r="B1299" s="17">
        <f>IFERROR(__xludf.DUMMYFUNCTION("""COMPUTED_VALUE"""),44920.0)</f>
        <v>44920</v>
      </c>
      <c r="C1299" s="13">
        <f>IFERROR(__xludf.DUMMYFUNCTION("""COMPUTED_VALUE"""),0.08333333333333333)</f>
        <v>0.08333333333</v>
      </c>
      <c r="D1299" s="8">
        <f>IFERROR(__xludf.DUMMYFUNCTION("""COMPUTED_VALUE"""),1.74)</f>
        <v>1.74</v>
      </c>
      <c r="E1299" s="8" t="str">
        <f>IFERROR(__xludf.DUMMYFUNCTION("""COMPUTED_VALUE"""),"Real")</f>
        <v>Real</v>
      </c>
      <c r="G1299" s="8">
        <f t="shared" si="1"/>
        <v>12</v>
      </c>
      <c r="H1299" s="14">
        <f t="shared" si="2"/>
        <v>25</v>
      </c>
      <c r="I1299" s="15">
        <f t="shared" si="3"/>
        <v>2</v>
      </c>
    </row>
    <row r="1300">
      <c r="A1300" s="8" t="str">
        <f>IFERROR(__xludf.DUMMYFUNCTION("IF('(INGESTA)Datos_consumo_datadis'!A1300&lt;&gt;"""",SPLIT('(INGESTA)Datos_consumo_datadis'!A:A,"",""),"""")"),"ES0031408323131005HX0F")</f>
        <v>ES0031408323131005HX0F</v>
      </c>
      <c r="B1300" s="17">
        <f>IFERROR(__xludf.DUMMYFUNCTION("""COMPUTED_VALUE"""),44920.0)</f>
        <v>44920</v>
      </c>
      <c r="C1300" s="13">
        <f>IFERROR(__xludf.DUMMYFUNCTION("""COMPUTED_VALUE"""),0.125)</f>
        <v>0.125</v>
      </c>
      <c r="D1300" s="8">
        <f>IFERROR(__xludf.DUMMYFUNCTION("""COMPUTED_VALUE"""),0.299)</f>
        <v>0.299</v>
      </c>
      <c r="E1300" s="8" t="str">
        <f>IFERROR(__xludf.DUMMYFUNCTION("""COMPUTED_VALUE"""),"Real")</f>
        <v>Real</v>
      </c>
      <c r="G1300" s="8">
        <f t="shared" si="1"/>
        <v>12</v>
      </c>
      <c r="H1300" s="14">
        <f t="shared" si="2"/>
        <v>25</v>
      </c>
      <c r="I1300" s="15">
        <f t="shared" si="3"/>
        <v>3</v>
      </c>
    </row>
    <row r="1301">
      <c r="A1301" s="8" t="str">
        <f>IFERROR(__xludf.DUMMYFUNCTION("IF('(INGESTA)Datos_consumo_datadis'!A1301&lt;&gt;"""",SPLIT('(INGESTA)Datos_consumo_datadis'!A:A,"",""),"""")"),"ES0031408323131005HX0F")</f>
        <v>ES0031408323131005HX0F</v>
      </c>
      <c r="B1301" s="17">
        <f>IFERROR(__xludf.DUMMYFUNCTION("""COMPUTED_VALUE"""),44920.0)</f>
        <v>44920</v>
      </c>
      <c r="C1301" s="13">
        <f>IFERROR(__xludf.DUMMYFUNCTION("""COMPUTED_VALUE"""),0.16666666666666666)</f>
        <v>0.1666666667</v>
      </c>
      <c r="D1301" s="8">
        <f>IFERROR(__xludf.DUMMYFUNCTION("""COMPUTED_VALUE"""),0.058)</f>
        <v>0.058</v>
      </c>
      <c r="E1301" s="8" t="str">
        <f>IFERROR(__xludf.DUMMYFUNCTION("""COMPUTED_VALUE"""),"Real")</f>
        <v>Real</v>
      </c>
      <c r="G1301" s="8">
        <f t="shared" si="1"/>
        <v>12</v>
      </c>
      <c r="H1301" s="14">
        <f t="shared" si="2"/>
        <v>25</v>
      </c>
      <c r="I1301" s="15">
        <f t="shared" si="3"/>
        <v>4</v>
      </c>
    </row>
    <row r="1302">
      <c r="A1302" s="8" t="str">
        <f>IFERROR(__xludf.DUMMYFUNCTION("IF('(INGESTA)Datos_consumo_datadis'!A1302&lt;&gt;"""",SPLIT('(INGESTA)Datos_consumo_datadis'!A:A,"",""),"""")"),"ES0031408323131005HX0F")</f>
        <v>ES0031408323131005HX0F</v>
      </c>
      <c r="B1302" s="17">
        <f>IFERROR(__xludf.DUMMYFUNCTION("""COMPUTED_VALUE"""),44920.0)</f>
        <v>44920</v>
      </c>
      <c r="C1302" s="13">
        <f>IFERROR(__xludf.DUMMYFUNCTION("""COMPUTED_VALUE"""),0.20833333333333334)</f>
        <v>0.2083333333</v>
      </c>
      <c r="D1302" s="8">
        <f>IFERROR(__xludf.DUMMYFUNCTION("""COMPUTED_VALUE"""),0.053)</f>
        <v>0.053</v>
      </c>
      <c r="E1302" s="8" t="str">
        <f>IFERROR(__xludf.DUMMYFUNCTION("""COMPUTED_VALUE"""),"Real")</f>
        <v>Real</v>
      </c>
      <c r="G1302" s="8">
        <f t="shared" si="1"/>
        <v>12</v>
      </c>
      <c r="H1302" s="14">
        <f t="shared" si="2"/>
        <v>25</v>
      </c>
      <c r="I1302" s="15">
        <f t="shared" si="3"/>
        <v>5</v>
      </c>
    </row>
    <row r="1303">
      <c r="A1303" s="8" t="str">
        <f>IFERROR(__xludf.DUMMYFUNCTION("IF('(INGESTA)Datos_consumo_datadis'!A1303&lt;&gt;"""",SPLIT('(INGESTA)Datos_consumo_datadis'!A:A,"",""),"""")"),"ES0031408323131005HX0F")</f>
        <v>ES0031408323131005HX0F</v>
      </c>
      <c r="B1303" s="17">
        <f>IFERROR(__xludf.DUMMYFUNCTION("""COMPUTED_VALUE"""),44920.0)</f>
        <v>44920</v>
      </c>
      <c r="C1303" s="13">
        <f>IFERROR(__xludf.DUMMYFUNCTION("""COMPUTED_VALUE"""),0.25)</f>
        <v>0.25</v>
      </c>
      <c r="D1303" s="8">
        <f>IFERROR(__xludf.DUMMYFUNCTION("""COMPUTED_VALUE"""),0.073)</f>
        <v>0.073</v>
      </c>
      <c r="E1303" s="8" t="str">
        <f>IFERROR(__xludf.DUMMYFUNCTION("""COMPUTED_VALUE"""),"Real")</f>
        <v>Real</v>
      </c>
      <c r="G1303" s="8">
        <f t="shared" si="1"/>
        <v>12</v>
      </c>
      <c r="H1303" s="14">
        <f t="shared" si="2"/>
        <v>25</v>
      </c>
      <c r="I1303" s="15">
        <f t="shared" si="3"/>
        <v>6</v>
      </c>
    </row>
    <row r="1304">
      <c r="A1304" s="8" t="str">
        <f>IFERROR(__xludf.DUMMYFUNCTION("IF('(INGESTA)Datos_consumo_datadis'!A1304&lt;&gt;"""",SPLIT('(INGESTA)Datos_consumo_datadis'!A:A,"",""),"""")"),"ES0031408323131005HX0F")</f>
        <v>ES0031408323131005HX0F</v>
      </c>
      <c r="B1304" s="17">
        <f>IFERROR(__xludf.DUMMYFUNCTION("""COMPUTED_VALUE"""),44920.0)</f>
        <v>44920</v>
      </c>
      <c r="C1304" s="13">
        <f>IFERROR(__xludf.DUMMYFUNCTION("""COMPUTED_VALUE"""),0.2916666666666667)</f>
        <v>0.2916666667</v>
      </c>
      <c r="D1304" s="8">
        <f>IFERROR(__xludf.DUMMYFUNCTION("""COMPUTED_VALUE"""),0.017)</f>
        <v>0.017</v>
      </c>
      <c r="E1304" s="8" t="str">
        <f>IFERROR(__xludf.DUMMYFUNCTION("""COMPUTED_VALUE"""),"Real")</f>
        <v>Real</v>
      </c>
      <c r="G1304" s="8">
        <f t="shared" si="1"/>
        <v>12</v>
      </c>
      <c r="H1304" s="14">
        <f t="shared" si="2"/>
        <v>25</v>
      </c>
      <c r="I1304" s="15">
        <f t="shared" si="3"/>
        <v>7</v>
      </c>
    </row>
    <row r="1305">
      <c r="A1305" s="8" t="str">
        <f>IFERROR(__xludf.DUMMYFUNCTION("IF('(INGESTA)Datos_consumo_datadis'!A1305&lt;&gt;"""",SPLIT('(INGESTA)Datos_consumo_datadis'!A:A,"",""),"""")"),"ES0031408323131005HX0F")</f>
        <v>ES0031408323131005HX0F</v>
      </c>
      <c r="B1305" s="17">
        <f>IFERROR(__xludf.DUMMYFUNCTION("""COMPUTED_VALUE"""),44920.0)</f>
        <v>44920</v>
      </c>
      <c r="C1305" s="13">
        <f>IFERROR(__xludf.DUMMYFUNCTION("""COMPUTED_VALUE"""),0.3333333333333333)</f>
        <v>0.3333333333</v>
      </c>
      <c r="D1305" s="8">
        <f>IFERROR(__xludf.DUMMYFUNCTION("""COMPUTED_VALUE"""),0.354)</f>
        <v>0.354</v>
      </c>
      <c r="E1305" s="8" t="str">
        <f>IFERROR(__xludf.DUMMYFUNCTION("""COMPUTED_VALUE"""),"Real")</f>
        <v>Real</v>
      </c>
      <c r="G1305" s="8">
        <f t="shared" si="1"/>
        <v>12</v>
      </c>
      <c r="H1305" s="14">
        <f t="shared" si="2"/>
        <v>25</v>
      </c>
      <c r="I1305" s="15">
        <f t="shared" si="3"/>
        <v>8</v>
      </c>
    </row>
    <row r="1306">
      <c r="A1306" s="8" t="str">
        <f>IFERROR(__xludf.DUMMYFUNCTION("IF('(INGESTA)Datos_consumo_datadis'!A1306&lt;&gt;"""",SPLIT('(INGESTA)Datos_consumo_datadis'!A:A,"",""),"""")"),"ES0031408323131005HX0F")</f>
        <v>ES0031408323131005HX0F</v>
      </c>
      <c r="B1306" s="17">
        <f>IFERROR(__xludf.DUMMYFUNCTION("""COMPUTED_VALUE"""),44920.0)</f>
        <v>44920</v>
      </c>
      <c r="C1306" s="13">
        <f>IFERROR(__xludf.DUMMYFUNCTION("""COMPUTED_VALUE"""),0.375)</f>
        <v>0.375</v>
      </c>
      <c r="D1306" s="8">
        <f>IFERROR(__xludf.DUMMYFUNCTION("""COMPUTED_VALUE"""),0.062)</f>
        <v>0.062</v>
      </c>
      <c r="E1306" s="8" t="str">
        <f>IFERROR(__xludf.DUMMYFUNCTION("""COMPUTED_VALUE"""),"Real")</f>
        <v>Real</v>
      </c>
      <c r="G1306" s="8">
        <f t="shared" si="1"/>
        <v>12</v>
      </c>
      <c r="H1306" s="14">
        <f t="shared" si="2"/>
        <v>25</v>
      </c>
      <c r="I1306" s="15">
        <f t="shared" si="3"/>
        <v>9</v>
      </c>
    </row>
    <row r="1307">
      <c r="A1307" s="8" t="str">
        <f>IFERROR(__xludf.DUMMYFUNCTION("IF('(INGESTA)Datos_consumo_datadis'!A1307&lt;&gt;"""",SPLIT('(INGESTA)Datos_consumo_datadis'!A:A,"",""),"""")"),"ES0031408323131005HX0F")</f>
        <v>ES0031408323131005HX0F</v>
      </c>
      <c r="B1307" s="17">
        <f>IFERROR(__xludf.DUMMYFUNCTION("""COMPUTED_VALUE"""),44920.0)</f>
        <v>44920</v>
      </c>
      <c r="C1307" s="13">
        <f>IFERROR(__xludf.DUMMYFUNCTION("""COMPUTED_VALUE"""),0.4166666666666667)</f>
        <v>0.4166666667</v>
      </c>
      <c r="D1307" s="8">
        <f>IFERROR(__xludf.DUMMYFUNCTION("""COMPUTED_VALUE"""),0.043)</f>
        <v>0.043</v>
      </c>
      <c r="E1307" s="8" t="str">
        <f>IFERROR(__xludf.DUMMYFUNCTION("""COMPUTED_VALUE"""),"Real")</f>
        <v>Real</v>
      </c>
      <c r="G1307" s="8">
        <f t="shared" si="1"/>
        <v>12</v>
      </c>
      <c r="H1307" s="14">
        <f t="shared" si="2"/>
        <v>25</v>
      </c>
      <c r="I1307" s="15">
        <f t="shared" si="3"/>
        <v>10</v>
      </c>
    </row>
    <row r="1308">
      <c r="A1308" s="8" t="str">
        <f>IFERROR(__xludf.DUMMYFUNCTION("IF('(INGESTA)Datos_consumo_datadis'!A1308&lt;&gt;"""",SPLIT('(INGESTA)Datos_consumo_datadis'!A:A,"",""),"""")"),"ES0031408323131005HX0F")</f>
        <v>ES0031408323131005HX0F</v>
      </c>
      <c r="B1308" s="17">
        <f>IFERROR(__xludf.DUMMYFUNCTION("""COMPUTED_VALUE"""),44920.0)</f>
        <v>44920</v>
      </c>
      <c r="C1308" s="13">
        <f>IFERROR(__xludf.DUMMYFUNCTION("""COMPUTED_VALUE"""),0.4583333333333333)</f>
        <v>0.4583333333</v>
      </c>
      <c r="D1308" s="8">
        <f>IFERROR(__xludf.DUMMYFUNCTION("""COMPUTED_VALUE"""),0.25)</f>
        <v>0.25</v>
      </c>
      <c r="E1308" s="8" t="str">
        <f>IFERROR(__xludf.DUMMYFUNCTION("""COMPUTED_VALUE"""),"Real")</f>
        <v>Real</v>
      </c>
      <c r="G1308" s="8">
        <f t="shared" si="1"/>
        <v>12</v>
      </c>
      <c r="H1308" s="14">
        <f t="shared" si="2"/>
        <v>25</v>
      </c>
      <c r="I1308" s="15">
        <f t="shared" si="3"/>
        <v>11</v>
      </c>
    </row>
    <row r="1309">
      <c r="A1309" s="8" t="str">
        <f>IFERROR(__xludf.DUMMYFUNCTION("IF('(INGESTA)Datos_consumo_datadis'!A1309&lt;&gt;"""",SPLIT('(INGESTA)Datos_consumo_datadis'!A:A,"",""),"""")"),"ES0031408323131005HX0F")</f>
        <v>ES0031408323131005HX0F</v>
      </c>
      <c r="B1309" s="17">
        <f>IFERROR(__xludf.DUMMYFUNCTION("""COMPUTED_VALUE"""),44920.0)</f>
        <v>44920</v>
      </c>
      <c r="C1309" s="13">
        <f>IFERROR(__xludf.DUMMYFUNCTION("""COMPUTED_VALUE"""),0.5)</f>
        <v>0.5</v>
      </c>
      <c r="D1309" s="8">
        <f>IFERROR(__xludf.DUMMYFUNCTION("""COMPUTED_VALUE"""),0.567)</f>
        <v>0.567</v>
      </c>
      <c r="E1309" s="8" t="str">
        <f>IFERROR(__xludf.DUMMYFUNCTION("""COMPUTED_VALUE"""),"Real")</f>
        <v>Real</v>
      </c>
      <c r="G1309" s="8">
        <f t="shared" si="1"/>
        <v>12</v>
      </c>
      <c r="H1309" s="14">
        <f t="shared" si="2"/>
        <v>25</v>
      </c>
      <c r="I1309" s="15">
        <f t="shared" si="3"/>
        <v>12</v>
      </c>
    </row>
    <row r="1310">
      <c r="A1310" s="8" t="str">
        <f>IFERROR(__xludf.DUMMYFUNCTION("IF('(INGESTA)Datos_consumo_datadis'!A1310&lt;&gt;"""",SPLIT('(INGESTA)Datos_consumo_datadis'!A:A,"",""),"""")"),"ES0031408323131005HX0F")</f>
        <v>ES0031408323131005HX0F</v>
      </c>
      <c r="B1310" s="17">
        <f>IFERROR(__xludf.DUMMYFUNCTION("""COMPUTED_VALUE"""),44920.0)</f>
        <v>44920</v>
      </c>
      <c r="C1310" s="13">
        <f>IFERROR(__xludf.DUMMYFUNCTION("""COMPUTED_VALUE"""),0.5416666666666666)</f>
        <v>0.5416666667</v>
      </c>
      <c r="D1310" s="8">
        <f>IFERROR(__xludf.DUMMYFUNCTION("""COMPUTED_VALUE"""),0.657)</f>
        <v>0.657</v>
      </c>
      <c r="E1310" s="8" t="str">
        <f>IFERROR(__xludf.DUMMYFUNCTION("""COMPUTED_VALUE"""),"Real")</f>
        <v>Real</v>
      </c>
      <c r="G1310" s="8">
        <f t="shared" si="1"/>
        <v>12</v>
      </c>
      <c r="H1310" s="14">
        <f t="shared" si="2"/>
        <v>25</v>
      </c>
      <c r="I1310" s="15">
        <f t="shared" si="3"/>
        <v>13</v>
      </c>
    </row>
    <row r="1311">
      <c r="A1311" s="8" t="str">
        <f>IFERROR(__xludf.DUMMYFUNCTION("IF('(INGESTA)Datos_consumo_datadis'!A1311&lt;&gt;"""",SPLIT('(INGESTA)Datos_consumo_datadis'!A:A,"",""),"""")"),"ES0031408323131005HX0F")</f>
        <v>ES0031408323131005HX0F</v>
      </c>
      <c r="B1311" s="17">
        <f>IFERROR(__xludf.DUMMYFUNCTION("""COMPUTED_VALUE"""),44920.0)</f>
        <v>44920</v>
      </c>
      <c r="C1311" s="13">
        <f>IFERROR(__xludf.DUMMYFUNCTION("""COMPUTED_VALUE"""),0.5833333333333334)</f>
        <v>0.5833333333</v>
      </c>
      <c r="D1311" s="8">
        <f>IFERROR(__xludf.DUMMYFUNCTION("""COMPUTED_VALUE"""),0.957)</f>
        <v>0.957</v>
      </c>
      <c r="E1311" s="8" t="str">
        <f>IFERROR(__xludf.DUMMYFUNCTION("""COMPUTED_VALUE"""),"Real")</f>
        <v>Real</v>
      </c>
      <c r="G1311" s="8">
        <f t="shared" si="1"/>
        <v>12</v>
      </c>
      <c r="H1311" s="14">
        <f t="shared" si="2"/>
        <v>25</v>
      </c>
      <c r="I1311" s="15">
        <f t="shared" si="3"/>
        <v>14</v>
      </c>
    </row>
    <row r="1312">
      <c r="A1312" s="8" t="str">
        <f>IFERROR(__xludf.DUMMYFUNCTION("IF('(INGESTA)Datos_consumo_datadis'!A1312&lt;&gt;"""",SPLIT('(INGESTA)Datos_consumo_datadis'!A:A,"",""),"""")"),"ES0031408323131005HX0F")</f>
        <v>ES0031408323131005HX0F</v>
      </c>
      <c r="B1312" s="17">
        <f>IFERROR(__xludf.DUMMYFUNCTION("""COMPUTED_VALUE"""),44920.0)</f>
        <v>44920</v>
      </c>
      <c r="C1312" s="13">
        <f>IFERROR(__xludf.DUMMYFUNCTION("""COMPUTED_VALUE"""),0.625)</f>
        <v>0.625</v>
      </c>
      <c r="D1312" s="8">
        <f>IFERROR(__xludf.DUMMYFUNCTION("""COMPUTED_VALUE"""),0.042)</f>
        <v>0.042</v>
      </c>
      <c r="E1312" s="8" t="str">
        <f>IFERROR(__xludf.DUMMYFUNCTION("""COMPUTED_VALUE"""),"Real")</f>
        <v>Real</v>
      </c>
      <c r="G1312" s="8">
        <f t="shared" si="1"/>
        <v>12</v>
      </c>
      <c r="H1312" s="14">
        <f t="shared" si="2"/>
        <v>25</v>
      </c>
      <c r="I1312" s="15">
        <f t="shared" si="3"/>
        <v>15</v>
      </c>
    </row>
    <row r="1313">
      <c r="A1313" s="8" t="str">
        <f>IFERROR(__xludf.DUMMYFUNCTION("IF('(INGESTA)Datos_consumo_datadis'!A1313&lt;&gt;"""",SPLIT('(INGESTA)Datos_consumo_datadis'!A:A,"",""),"""")"),"ES0031408323131005HX0F")</f>
        <v>ES0031408323131005HX0F</v>
      </c>
      <c r="B1313" s="17">
        <f>IFERROR(__xludf.DUMMYFUNCTION("""COMPUTED_VALUE"""),44920.0)</f>
        <v>44920</v>
      </c>
      <c r="C1313" s="13">
        <f>IFERROR(__xludf.DUMMYFUNCTION("""COMPUTED_VALUE"""),0.6666666666666666)</f>
        <v>0.6666666667</v>
      </c>
      <c r="D1313" s="8">
        <f>IFERROR(__xludf.DUMMYFUNCTION("""COMPUTED_VALUE"""),0.075)</f>
        <v>0.075</v>
      </c>
      <c r="E1313" s="8" t="str">
        <f>IFERROR(__xludf.DUMMYFUNCTION("""COMPUTED_VALUE"""),"Real")</f>
        <v>Real</v>
      </c>
      <c r="G1313" s="8">
        <f t="shared" si="1"/>
        <v>12</v>
      </c>
      <c r="H1313" s="14">
        <f t="shared" si="2"/>
        <v>25</v>
      </c>
      <c r="I1313" s="15">
        <f t="shared" si="3"/>
        <v>16</v>
      </c>
    </row>
    <row r="1314">
      <c r="A1314" s="8" t="str">
        <f>IFERROR(__xludf.DUMMYFUNCTION("IF('(INGESTA)Datos_consumo_datadis'!A1314&lt;&gt;"""",SPLIT('(INGESTA)Datos_consumo_datadis'!A:A,"",""),"""")"),"ES0031408323131005HX0F")</f>
        <v>ES0031408323131005HX0F</v>
      </c>
      <c r="B1314" s="17">
        <f>IFERROR(__xludf.DUMMYFUNCTION("""COMPUTED_VALUE"""),44920.0)</f>
        <v>44920</v>
      </c>
      <c r="C1314" s="13">
        <f>IFERROR(__xludf.DUMMYFUNCTION("""COMPUTED_VALUE"""),0.7083333333333334)</f>
        <v>0.7083333333</v>
      </c>
      <c r="D1314" s="8">
        <f>IFERROR(__xludf.DUMMYFUNCTION("""COMPUTED_VALUE"""),0.03)</f>
        <v>0.03</v>
      </c>
      <c r="E1314" s="8" t="str">
        <f>IFERROR(__xludf.DUMMYFUNCTION("""COMPUTED_VALUE"""),"Real")</f>
        <v>Real</v>
      </c>
      <c r="G1314" s="8">
        <f t="shared" si="1"/>
        <v>12</v>
      </c>
      <c r="H1314" s="14">
        <f t="shared" si="2"/>
        <v>25</v>
      </c>
      <c r="I1314" s="15">
        <f t="shared" si="3"/>
        <v>17</v>
      </c>
    </row>
    <row r="1315">
      <c r="A1315" s="8" t="str">
        <f>IFERROR(__xludf.DUMMYFUNCTION("IF('(INGESTA)Datos_consumo_datadis'!A1315&lt;&gt;"""",SPLIT('(INGESTA)Datos_consumo_datadis'!A:A,"",""),"""")"),"ES0031408323131005HX0F")</f>
        <v>ES0031408323131005HX0F</v>
      </c>
      <c r="B1315" s="17">
        <f>IFERROR(__xludf.DUMMYFUNCTION("""COMPUTED_VALUE"""),44920.0)</f>
        <v>44920</v>
      </c>
      <c r="C1315" s="13">
        <f>IFERROR(__xludf.DUMMYFUNCTION("""COMPUTED_VALUE"""),0.75)</f>
        <v>0.75</v>
      </c>
      <c r="D1315" s="8">
        <f>IFERROR(__xludf.DUMMYFUNCTION("""COMPUTED_VALUE"""),0.327)</f>
        <v>0.327</v>
      </c>
      <c r="E1315" s="8" t="str">
        <f>IFERROR(__xludf.DUMMYFUNCTION("""COMPUTED_VALUE"""),"Real")</f>
        <v>Real</v>
      </c>
      <c r="G1315" s="8">
        <f t="shared" si="1"/>
        <v>12</v>
      </c>
      <c r="H1315" s="14">
        <f t="shared" si="2"/>
        <v>25</v>
      </c>
      <c r="I1315" s="15">
        <f t="shared" si="3"/>
        <v>18</v>
      </c>
    </row>
    <row r="1316">
      <c r="A1316" s="8" t="str">
        <f>IFERROR(__xludf.DUMMYFUNCTION("IF('(INGESTA)Datos_consumo_datadis'!A1316&lt;&gt;"""",SPLIT('(INGESTA)Datos_consumo_datadis'!A:A,"",""),"""")"),"ES0031408323131005HX0F")</f>
        <v>ES0031408323131005HX0F</v>
      </c>
      <c r="B1316" s="17">
        <f>IFERROR(__xludf.DUMMYFUNCTION("""COMPUTED_VALUE"""),44920.0)</f>
        <v>44920</v>
      </c>
      <c r="C1316" s="13">
        <f>IFERROR(__xludf.DUMMYFUNCTION("""COMPUTED_VALUE"""),0.7916666666666666)</f>
        <v>0.7916666667</v>
      </c>
      <c r="D1316" s="8">
        <f>IFERROR(__xludf.DUMMYFUNCTION("""COMPUTED_VALUE"""),0.05)</f>
        <v>0.05</v>
      </c>
      <c r="E1316" s="8" t="str">
        <f>IFERROR(__xludf.DUMMYFUNCTION("""COMPUTED_VALUE"""),"Real")</f>
        <v>Real</v>
      </c>
      <c r="G1316" s="8">
        <f t="shared" si="1"/>
        <v>12</v>
      </c>
      <c r="H1316" s="14">
        <f t="shared" si="2"/>
        <v>25</v>
      </c>
      <c r="I1316" s="15">
        <f t="shared" si="3"/>
        <v>19</v>
      </c>
    </row>
    <row r="1317">
      <c r="A1317" s="8" t="str">
        <f>IFERROR(__xludf.DUMMYFUNCTION("IF('(INGESTA)Datos_consumo_datadis'!A1317&lt;&gt;"""",SPLIT('(INGESTA)Datos_consumo_datadis'!A:A,"",""),"""")"),"ES0031408323131005HX0F")</f>
        <v>ES0031408323131005HX0F</v>
      </c>
      <c r="B1317" s="17">
        <f>IFERROR(__xludf.DUMMYFUNCTION("""COMPUTED_VALUE"""),44920.0)</f>
        <v>44920</v>
      </c>
      <c r="C1317" s="13">
        <f>IFERROR(__xludf.DUMMYFUNCTION("""COMPUTED_VALUE"""),0.8333333333333334)</f>
        <v>0.8333333333</v>
      </c>
      <c r="D1317" s="8">
        <f>IFERROR(__xludf.DUMMYFUNCTION("""COMPUTED_VALUE"""),0.279)</f>
        <v>0.279</v>
      </c>
      <c r="E1317" s="8" t="str">
        <f>IFERROR(__xludf.DUMMYFUNCTION("""COMPUTED_VALUE"""),"Real")</f>
        <v>Real</v>
      </c>
      <c r="G1317" s="8">
        <f t="shared" si="1"/>
        <v>12</v>
      </c>
      <c r="H1317" s="14">
        <f t="shared" si="2"/>
        <v>25</v>
      </c>
      <c r="I1317" s="15">
        <f t="shared" si="3"/>
        <v>20</v>
      </c>
    </row>
    <row r="1318">
      <c r="A1318" s="8" t="str">
        <f>IFERROR(__xludf.DUMMYFUNCTION("IF('(INGESTA)Datos_consumo_datadis'!A1318&lt;&gt;"""",SPLIT('(INGESTA)Datos_consumo_datadis'!A:A,"",""),"""")"),"ES0031408323131005HX0F")</f>
        <v>ES0031408323131005HX0F</v>
      </c>
      <c r="B1318" s="17">
        <f>IFERROR(__xludf.DUMMYFUNCTION("""COMPUTED_VALUE"""),44920.0)</f>
        <v>44920</v>
      </c>
      <c r="C1318" s="13">
        <f>IFERROR(__xludf.DUMMYFUNCTION("""COMPUTED_VALUE"""),0.875)</f>
        <v>0.875</v>
      </c>
      <c r="D1318" s="8">
        <f>IFERROR(__xludf.DUMMYFUNCTION("""COMPUTED_VALUE"""),0.754)</f>
        <v>0.754</v>
      </c>
      <c r="E1318" s="8" t="str">
        <f>IFERROR(__xludf.DUMMYFUNCTION("""COMPUTED_VALUE"""),"Real")</f>
        <v>Real</v>
      </c>
      <c r="G1318" s="8">
        <f t="shared" si="1"/>
        <v>12</v>
      </c>
      <c r="H1318" s="14">
        <f t="shared" si="2"/>
        <v>25</v>
      </c>
      <c r="I1318" s="15">
        <f t="shared" si="3"/>
        <v>21</v>
      </c>
    </row>
    <row r="1319">
      <c r="A1319" s="8" t="str">
        <f>IFERROR(__xludf.DUMMYFUNCTION("IF('(INGESTA)Datos_consumo_datadis'!A1319&lt;&gt;"""",SPLIT('(INGESTA)Datos_consumo_datadis'!A:A,"",""),"""")"),"ES0031408323131005HX0F")</f>
        <v>ES0031408323131005HX0F</v>
      </c>
      <c r="B1319" s="17">
        <f>IFERROR(__xludf.DUMMYFUNCTION("""COMPUTED_VALUE"""),44920.0)</f>
        <v>44920</v>
      </c>
      <c r="C1319" s="13">
        <f>IFERROR(__xludf.DUMMYFUNCTION("""COMPUTED_VALUE"""),0.9166666666666666)</f>
        <v>0.9166666667</v>
      </c>
      <c r="D1319" s="8">
        <f>IFERROR(__xludf.DUMMYFUNCTION("""COMPUTED_VALUE"""),1.297)</f>
        <v>1.297</v>
      </c>
      <c r="E1319" s="8" t="str">
        <f>IFERROR(__xludf.DUMMYFUNCTION("""COMPUTED_VALUE"""),"Real")</f>
        <v>Real</v>
      </c>
      <c r="G1319" s="8">
        <f t="shared" si="1"/>
        <v>12</v>
      </c>
      <c r="H1319" s="14">
        <f t="shared" si="2"/>
        <v>25</v>
      </c>
      <c r="I1319" s="15">
        <f t="shared" si="3"/>
        <v>22</v>
      </c>
    </row>
    <row r="1320">
      <c r="A1320" s="8" t="str">
        <f>IFERROR(__xludf.DUMMYFUNCTION("IF('(INGESTA)Datos_consumo_datadis'!A1320&lt;&gt;"""",SPLIT('(INGESTA)Datos_consumo_datadis'!A:A,"",""),"""")"),"ES0031408323131005HX0F")</f>
        <v>ES0031408323131005HX0F</v>
      </c>
      <c r="B1320" s="17">
        <f>IFERROR(__xludf.DUMMYFUNCTION("""COMPUTED_VALUE"""),44920.0)</f>
        <v>44920</v>
      </c>
      <c r="C1320" s="13">
        <f>IFERROR(__xludf.DUMMYFUNCTION("""COMPUTED_VALUE"""),0.9583333333333334)</f>
        <v>0.9583333333</v>
      </c>
      <c r="D1320" s="8">
        <f>IFERROR(__xludf.DUMMYFUNCTION("""COMPUTED_VALUE"""),1.659)</f>
        <v>1.659</v>
      </c>
      <c r="E1320" s="8" t="str">
        <f>IFERROR(__xludf.DUMMYFUNCTION("""COMPUTED_VALUE"""),"Real")</f>
        <v>Real</v>
      </c>
      <c r="G1320" s="8">
        <f t="shared" si="1"/>
        <v>12</v>
      </c>
      <c r="H1320" s="14">
        <f t="shared" si="2"/>
        <v>25</v>
      </c>
      <c r="I1320" s="15">
        <f t="shared" si="3"/>
        <v>23</v>
      </c>
    </row>
    <row r="1321">
      <c r="A1321" s="8" t="str">
        <f>IFERROR(__xludf.DUMMYFUNCTION("IF('(INGESTA)Datos_consumo_datadis'!A1321&lt;&gt;"""",SPLIT('(INGESTA)Datos_consumo_datadis'!A:A,"",""),"""")"),"ES0031408323131005HX0F")</f>
        <v>ES0031408323131005HX0F</v>
      </c>
      <c r="B1321" s="17">
        <f>IFERROR(__xludf.DUMMYFUNCTION("""COMPUTED_VALUE"""),44920.0)</f>
        <v>44920</v>
      </c>
      <c r="C1321" s="16">
        <f>IFERROR(__xludf.DUMMYFUNCTION("""COMPUTED_VALUE"""),1.0)</f>
        <v>1</v>
      </c>
      <c r="D1321" s="8">
        <f>IFERROR(__xludf.DUMMYFUNCTION("""COMPUTED_VALUE"""),0.895)</f>
        <v>0.895</v>
      </c>
      <c r="E1321" s="8" t="str">
        <f>IFERROR(__xludf.DUMMYFUNCTION("""COMPUTED_VALUE"""),"Real")</f>
        <v>Real</v>
      </c>
      <c r="G1321" s="8">
        <f t="shared" si="1"/>
        <v>12</v>
      </c>
      <c r="H1321" s="14">
        <f t="shared" si="2"/>
        <v>25</v>
      </c>
      <c r="I1321" s="15">
        <f t="shared" si="3"/>
        <v>0</v>
      </c>
    </row>
    <row r="1322">
      <c r="A1322" s="8" t="str">
        <f>IFERROR(__xludf.DUMMYFUNCTION("IF('(INGESTA)Datos_consumo_datadis'!A1322&lt;&gt;"""",SPLIT('(INGESTA)Datos_consumo_datadis'!A:A,"",""),"""")"),"ES0031408323131005HX0F")</f>
        <v>ES0031408323131005HX0F</v>
      </c>
      <c r="B1322" s="17">
        <f>IFERROR(__xludf.DUMMYFUNCTION("""COMPUTED_VALUE"""),44921.0)</f>
        <v>44921</v>
      </c>
      <c r="C1322" s="13">
        <f>IFERROR(__xludf.DUMMYFUNCTION("""COMPUTED_VALUE"""),0.041666666666666664)</f>
        <v>0.04166666667</v>
      </c>
      <c r="D1322" s="8">
        <f>IFERROR(__xludf.DUMMYFUNCTION("""COMPUTED_VALUE"""),0.947)</f>
        <v>0.947</v>
      </c>
      <c r="E1322" s="8" t="str">
        <f>IFERROR(__xludf.DUMMYFUNCTION("""COMPUTED_VALUE"""),"Real")</f>
        <v>Real</v>
      </c>
      <c r="G1322" s="8">
        <f t="shared" si="1"/>
        <v>12</v>
      </c>
      <c r="H1322" s="14">
        <f t="shared" si="2"/>
        <v>26</v>
      </c>
      <c r="I1322" s="15">
        <f t="shared" si="3"/>
        <v>1</v>
      </c>
    </row>
    <row r="1323">
      <c r="A1323" s="8" t="str">
        <f>IFERROR(__xludf.DUMMYFUNCTION("IF('(INGESTA)Datos_consumo_datadis'!A1323&lt;&gt;"""",SPLIT('(INGESTA)Datos_consumo_datadis'!A:A,"",""),"""")"),"ES0031408323131005HX0F")</f>
        <v>ES0031408323131005HX0F</v>
      </c>
      <c r="B1323" s="17">
        <f>IFERROR(__xludf.DUMMYFUNCTION("""COMPUTED_VALUE"""),44921.0)</f>
        <v>44921</v>
      </c>
      <c r="C1323" s="13">
        <f>IFERROR(__xludf.DUMMYFUNCTION("""COMPUTED_VALUE"""),0.08333333333333333)</f>
        <v>0.08333333333</v>
      </c>
      <c r="D1323" s="8">
        <f>IFERROR(__xludf.DUMMYFUNCTION("""COMPUTED_VALUE"""),0.388)</f>
        <v>0.388</v>
      </c>
      <c r="E1323" s="8" t="str">
        <f>IFERROR(__xludf.DUMMYFUNCTION("""COMPUTED_VALUE"""),"Real")</f>
        <v>Real</v>
      </c>
      <c r="G1323" s="8">
        <f t="shared" si="1"/>
        <v>12</v>
      </c>
      <c r="H1323" s="14">
        <f t="shared" si="2"/>
        <v>26</v>
      </c>
      <c r="I1323" s="15">
        <f t="shared" si="3"/>
        <v>2</v>
      </c>
    </row>
    <row r="1324">
      <c r="A1324" s="8" t="str">
        <f>IFERROR(__xludf.DUMMYFUNCTION("IF('(INGESTA)Datos_consumo_datadis'!A1324&lt;&gt;"""",SPLIT('(INGESTA)Datos_consumo_datadis'!A:A,"",""),"""")"),"ES0031408323131005HX0F")</f>
        <v>ES0031408323131005HX0F</v>
      </c>
      <c r="B1324" s="17">
        <f>IFERROR(__xludf.DUMMYFUNCTION("""COMPUTED_VALUE"""),44921.0)</f>
        <v>44921</v>
      </c>
      <c r="C1324" s="13">
        <f>IFERROR(__xludf.DUMMYFUNCTION("""COMPUTED_VALUE"""),0.125)</f>
        <v>0.125</v>
      </c>
      <c r="D1324" s="8">
        <f>IFERROR(__xludf.DUMMYFUNCTION("""COMPUTED_VALUE"""),0.329)</f>
        <v>0.329</v>
      </c>
      <c r="E1324" s="8" t="str">
        <f>IFERROR(__xludf.DUMMYFUNCTION("""COMPUTED_VALUE"""),"Real")</f>
        <v>Real</v>
      </c>
      <c r="G1324" s="8">
        <f t="shared" si="1"/>
        <v>12</v>
      </c>
      <c r="H1324" s="14">
        <f t="shared" si="2"/>
        <v>26</v>
      </c>
      <c r="I1324" s="15">
        <f t="shared" si="3"/>
        <v>3</v>
      </c>
    </row>
    <row r="1325">
      <c r="A1325" s="8" t="str">
        <f>IFERROR(__xludf.DUMMYFUNCTION("IF('(INGESTA)Datos_consumo_datadis'!A1325&lt;&gt;"""",SPLIT('(INGESTA)Datos_consumo_datadis'!A:A,"",""),"""")"),"ES0031408323131005HX0F")</f>
        <v>ES0031408323131005HX0F</v>
      </c>
      <c r="B1325" s="17">
        <f>IFERROR(__xludf.DUMMYFUNCTION("""COMPUTED_VALUE"""),44921.0)</f>
        <v>44921</v>
      </c>
      <c r="C1325" s="13">
        <f>IFERROR(__xludf.DUMMYFUNCTION("""COMPUTED_VALUE"""),0.16666666666666666)</f>
        <v>0.1666666667</v>
      </c>
      <c r="D1325" s="8">
        <f>IFERROR(__xludf.DUMMYFUNCTION("""COMPUTED_VALUE"""),0.084)</f>
        <v>0.084</v>
      </c>
      <c r="E1325" s="8" t="str">
        <f>IFERROR(__xludf.DUMMYFUNCTION("""COMPUTED_VALUE"""),"Real")</f>
        <v>Real</v>
      </c>
      <c r="G1325" s="8">
        <f t="shared" si="1"/>
        <v>12</v>
      </c>
      <c r="H1325" s="14">
        <f t="shared" si="2"/>
        <v>26</v>
      </c>
      <c r="I1325" s="15">
        <f t="shared" si="3"/>
        <v>4</v>
      </c>
    </row>
    <row r="1326">
      <c r="A1326" s="8" t="str">
        <f>IFERROR(__xludf.DUMMYFUNCTION("IF('(INGESTA)Datos_consumo_datadis'!A1326&lt;&gt;"""",SPLIT('(INGESTA)Datos_consumo_datadis'!A:A,"",""),"""")"),"ES0031408323131005HX0F")</f>
        <v>ES0031408323131005HX0F</v>
      </c>
      <c r="B1326" s="17">
        <f>IFERROR(__xludf.DUMMYFUNCTION("""COMPUTED_VALUE"""),44921.0)</f>
        <v>44921</v>
      </c>
      <c r="C1326" s="13">
        <f>IFERROR(__xludf.DUMMYFUNCTION("""COMPUTED_VALUE"""),0.20833333333333334)</f>
        <v>0.2083333333</v>
      </c>
      <c r="D1326" s="8">
        <f>IFERROR(__xludf.DUMMYFUNCTION("""COMPUTED_VALUE"""),0.083)</f>
        <v>0.083</v>
      </c>
      <c r="E1326" s="8" t="str">
        <f>IFERROR(__xludf.DUMMYFUNCTION("""COMPUTED_VALUE"""),"Real")</f>
        <v>Real</v>
      </c>
      <c r="G1326" s="8">
        <f t="shared" si="1"/>
        <v>12</v>
      </c>
      <c r="H1326" s="14">
        <f t="shared" si="2"/>
        <v>26</v>
      </c>
      <c r="I1326" s="15">
        <f t="shared" si="3"/>
        <v>5</v>
      </c>
    </row>
    <row r="1327">
      <c r="A1327" s="8" t="str">
        <f>IFERROR(__xludf.DUMMYFUNCTION("IF('(INGESTA)Datos_consumo_datadis'!A1327&lt;&gt;"""",SPLIT('(INGESTA)Datos_consumo_datadis'!A:A,"",""),"""")"),"ES0031408323131005HX0F")</f>
        <v>ES0031408323131005HX0F</v>
      </c>
      <c r="B1327" s="17">
        <f>IFERROR(__xludf.DUMMYFUNCTION("""COMPUTED_VALUE"""),44921.0)</f>
        <v>44921</v>
      </c>
      <c r="C1327" s="13">
        <f>IFERROR(__xludf.DUMMYFUNCTION("""COMPUTED_VALUE"""),0.25)</f>
        <v>0.25</v>
      </c>
      <c r="D1327" s="8">
        <f>IFERROR(__xludf.DUMMYFUNCTION("""COMPUTED_VALUE"""),0.089)</f>
        <v>0.089</v>
      </c>
      <c r="E1327" s="8" t="str">
        <f>IFERROR(__xludf.DUMMYFUNCTION("""COMPUTED_VALUE"""),"Real")</f>
        <v>Real</v>
      </c>
      <c r="G1327" s="8">
        <f t="shared" si="1"/>
        <v>12</v>
      </c>
      <c r="H1327" s="14">
        <f t="shared" si="2"/>
        <v>26</v>
      </c>
      <c r="I1327" s="15">
        <f t="shared" si="3"/>
        <v>6</v>
      </c>
    </row>
    <row r="1328">
      <c r="A1328" s="8" t="str">
        <f>IFERROR(__xludf.DUMMYFUNCTION("IF('(INGESTA)Datos_consumo_datadis'!A1328&lt;&gt;"""",SPLIT('(INGESTA)Datos_consumo_datadis'!A:A,"",""),"""")"),"ES0031408323131005HX0F")</f>
        <v>ES0031408323131005HX0F</v>
      </c>
      <c r="B1328" s="17">
        <f>IFERROR(__xludf.DUMMYFUNCTION("""COMPUTED_VALUE"""),44921.0)</f>
        <v>44921</v>
      </c>
      <c r="C1328" s="13">
        <f>IFERROR(__xludf.DUMMYFUNCTION("""COMPUTED_VALUE"""),0.2916666666666667)</f>
        <v>0.2916666667</v>
      </c>
      <c r="D1328" s="8">
        <f>IFERROR(__xludf.DUMMYFUNCTION("""COMPUTED_VALUE"""),0.094)</f>
        <v>0.094</v>
      </c>
      <c r="E1328" s="8" t="str">
        <f>IFERROR(__xludf.DUMMYFUNCTION("""COMPUTED_VALUE"""),"Real")</f>
        <v>Real</v>
      </c>
      <c r="G1328" s="8">
        <f t="shared" si="1"/>
        <v>12</v>
      </c>
      <c r="H1328" s="14">
        <f t="shared" si="2"/>
        <v>26</v>
      </c>
      <c r="I1328" s="15">
        <f t="shared" si="3"/>
        <v>7</v>
      </c>
    </row>
    <row r="1329">
      <c r="A1329" s="8" t="str">
        <f>IFERROR(__xludf.DUMMYFUNCTION("IF('(INGESTA)Datos_consumo_datadis'!A1329&lt;&gt;"""",SPLIT('(INGESTA)Datos_consumo_datadis'!A:A,"",""),"""")"),"ES0031408323131005HX0F")</f>
        <v>ES0031408323131005HX0F</v>
      </c>
      <c r="B1329" s="17">
        <f>IFERROR(__xludf.DUMMYFUNCTION("""COMPUTED_VALUE"""),44921.0)</f>
        <v>44921</v>
      </c>
      <c r="C1329" s="13">
        <f>IFERROR(__xludf.DUMMYFUNCTION("""COMPUTED_VALUE"""),0.3333333333333333)</f>
        <v>0.3333333333</v>
      </c>
      <c r="D1329" s="8">
        <f>IFERROR(__xludf.DUMMYFUNCTION("""COMPUTED_VALUE"""),0.123)</f>
        <v>0.123</v>
      </c>
      <c r="E1329" s="8" t="str">
        <f>IFERROR(__xludf.DUMMYFUNCTION("""COMPUTED_VALUE"""),"Real")</f>
        <v>Real</v>
      </c>
      <c r="G1329" s="8">
        <f t="shared" si="1"/>
        <v>12</v>
      </c>
      <c r="H1329" s="14">
        <f t="shared" si="2"/>
        <v>26</v>
      </c>
      <c r="I1329" s="15">
        <f t="shared" si="3"/>
        <v>8</v>
      </c>
    </row>
    <row r="1330">
      <c r="A1330" s="8" t="str">
        <f>IFERROR(__xludf.DUMMYFUNCTION("IF('(INGESTA)Datos_consumo_datadis'!A1330&lt;&gt;"""",SPLIT('(INGESTA)Datos_consumo_datadis'!A:A,"",""),"""")"),"ES0031408323131005HX0F")</f>
        <v>ES0031408323131005HX0F</v>
      </c>
      <c r="B1330" s="17">
        <f>IFERROR(__xludf.DUMMYFUNCTION("""COMPUTED_VALUE"""),44921.0)</f>
        <v>44921</v>
      </c>
      <c r="C1330" s="13">
        <f>IFERROR(__xludf.DUMMYFUNCTION("""COMPUTED_VALUE"""),0.375)</f>
        <v>0.375</v>
      </c>
      <c r="D1330" s="8">
        <f>IFERROR(__xludf.DUMMYFUNCTION("""COMPUTED_VALUE"""),0.603)</f>
        <v>0.603</v>
      </c>
      <c r="E1330" s="8" t="str">
        <f>IFERROR(__xludf.DUMMYFUNCTION("""COMPUTED_VALUE"""),"Real")</f>
        <v>Real</v>
      </c>
      <c r="G1330" s="8">
        <f t="shared" si="1"/>
        <v>12</v>
      </c>
      <c r="H1330" s="14">
        <f t="shared" si="2"/>
        <v>26</v>
      </c>
      <c r="I1330" s="15">
        <f t="shared" si="3"/>
        <v>9</v>
      </c>
    </row>
    <row r="1331">
      <c r="A1331" s="8" t="str">
        <f>IFERROR(__xludf.DUMMYFUNCTION("IF('(INGESTA)Datos_consumo_datadis'!A1331&lt;&gt;"""",SPLIT('(INGESTA)Datos_consumo_datadis'!A:A,"",""),"""")"),"ES0031408323131005HX0F")</f>
        <v>ES0031408323131005HX0F</v>
      </c>
      <c r="B1331" s="17">
        <f>IFERROR(__xludf.DUMMYFUNCTION("""COMPUTED_VALUE"""),44921.0)</f>
        <v>44921</v>
      </c>
      <c r="C1331" s="13">
        <f>IFERROR(__xludf.DUMMYFUNCTION("""COMPUTED_VALUE"""),0.4166666666666667)</f>
        <v>0.4166666667</v>
      </c>
      <c r="D1331" s="8">
        <f>IFERROR(__xludf.DUMMYFUNCTION("""COMPUTED_VALUE"""),0.045)</f>
        <v>0.045</v>
      </c>
      <c r="E1331" s="8" t="str">
        <f>IFERROR(__xludf.DUMMYFUNCTION("""COMPUTED_VALUE"""),"Real")</f>
        <v>Real</v>
      </c>
      <c r="G1331" s="8">
        <f t="shared" si="1"/>
        <v>12</v>
      </c>
      <c r="H1331" s="14">
        <f t="shared" si="2"/>
        <v>26</v>
      </c>
      <c r="I1331" s="15">
        <f t="shared" si="3"/>
        <v>10</v>
      </c>
    </row>
    <row r="1332">
      <c r="A1332" s="8" t="str">
        <f>IFERROR(__xludf.DUMMYFUNCTION("IF('(INGESTA)Datos_consumo_datadis'!A1332&lt;&gt;"""",SPLIT('(INGESTA)Datos_consumo_datadis'!A:A,"",""),"""")"),"ES0031408323131005HX0F")</f>
        <v>ES0031408323131005HX0F</v>
      </c>
      <c r="B1332" s="17">
        <f>IFERROR(__xludf.DUMMYFUNCTION("""COMPUTED_VALUE"""),44921.0)</f>
        <v>44921</v>
      </c>
      <c r="C1332" s="13">
        <f>IFERROR(__xludf.DUMMYFUNCTION("""COMPUTED_VALUE"""),0.4583333333333333)</f>
        <v>0.4583333333</v>
      </c>
      <c r="D1332" s="8">
        <f>IFERROR(__xludf.DUMMYFUNCTION("""COMPUTED_VALUE"""),0.041)</f>
        <v>0.041</v>
      </c>
      <c r="E1332" s="8" t="str">
        <f>IFERROR(__xludf.DUMMYFUNCTION("""COMPUTED_VALUE"""),"Real")</f>
        <v>Real</v>
      </c>
      <c r="G1332" s="8">
        <f t="shared" si="1"/>
        <v>12</v>
      </c>
      <c r="H1332" s="14">
        <f t="shared" si="2"/>
        <v>26</v>
      </c>
      <c r="I1332" s="15">
        <f t="shared" si="3"/>
        <v>11</v>
      </c>
    </row>
    <row r="1333">
      <c r="A1333" s="8" t="str">
        <f>IFERROR(__xludf.DUMMYFUNCTION("IF('(INGESTA)Datos_consumo_datadis'!A1333&lt;&gt;"""",SPLIT('(INGESTA)Datos_consumo_datadis'!A:A,"",""),"""")"),"ES0031408323131005HX0F")</f>
        <v>ES0031408323131005HX0F</v>
      </c>
      <c r="B1333" s="17">
        <f>IFERROR(__xludf.DUMMYFUNCTION("""COMPUTED_VALUE"""),44921.0)</f>
        <v>44921</v>
      </c>
      <c r="C1333" s="13">
        <f>IFERROR(__xludf.DUMMYFUNCTION("""COMPUTED_VALUE"""),0.5)</f>
        <v>0.5</v>
      </c>
      <c r="D1333" s="8">
        <f>IFERROR(__xludf.DUMMYFUNCTION("""COMPUTED_VALUE"""),0.151)</f>
        <v>0.151</v>
      </c>
      <c r="E1333" s="8" t="str">
        <f>IFERROR(__xludf.DUMMYFUNCTION("""COMPUTED_VALUE"""),"Real")</f>
        <v>Real</v>
      </c>
      <c r="G1333" s="8">
        <f t="shared" si="1"/>
        <v>12</v>
      </c>
      <c r="H1333" s="14">
        <f t="shared" si="2"/>
        <v>26</v>
      </c>
      <c r="I1333" s="15">
        <f t="shared" si="3"/>
        <v>12</v>
      </c>
    </row>
    <row r="1334">
      <c r="A1334" s="8" t="str">
        <f>IFERROR(__xludf.DUMMYFUNCTION("IF('(INGESTA)Datos_consumo_datadis'!A1334&lt;&gt;"""",SPLIT('(INGESTA)Datos_consumo_datadis'!A:A,"",""),"""")"),"ES0031408323131005HX0F")</f>
        <v>ES0031408323131005HX0F</v>
      </c>
      <c r="B1334" s="17">
        <f>IFERROR(__xludf.DUMMYFUNCTION("""COMPUTED_VALUE"""),44921.0)</f>
        <v>44921</v>
      </c>
      <c r="C1334" s="13">
        <f>IFERROR(__xludf.DUMMYFUNCTION("""COMPUTED_VALUE"""),0.5416666666666666)</f>
        <v>0.5416666667</v>
      </c>
      <c r="D1334" s="8">
        <f>IFERROR(__xludf.DUMMYFUNCTION("""COMPUTED_VALUE"""),1.738)</f>
        <v>1.738</v>
      </c>
      <c r="E1334" s="8" t="str">
        <f>IFERROR(__xludf.DUMMYFUNCTION("""COMPUTED_VALUE"""),"Real")</f>
        <v>Real</v>
      </c>
      <c r="G1334" s="8">
        <f t="shared" si="1"/>
        <v>12</v>
      </c>
      <c r="H1334" s="14">
        <f t="shared" si="2"/>
        <v>26</v>
      </c>
      <c r="I1334" s="15">
        <f t="shared" si="3"/>
        <v>13</v>
      </c>
    </row>
    <row r="1335">
      <c r="A1335" s="8" t="str">
        <f>IFERROR(__xludf.DUMMYFUNCTION("IF('(INGESTA)Datos_consumo_datadis'!A1335&lt;&gt;"""",SPLIT('(INGESTA)Datos_consumo_datadis'!A:A,"",""),"""")"),"ES0031408323131005HX0F")</f>
        <v>ES0031408323131005HX0F</v>
      </c>
      <c r="B1335" s="17">
        <f>IFERROR(__xludf.DUMMYFUNCTION("""COMPUTED_VALUE"""),44921.0)</f>
        <v>44921</v>
      </c>
      <c r="C1335" s="13">
        <f>IFERROR(__xludf.DUMMYFUNCTION("""COMPUTED_VALUE"""),0.5833333333333334)</f>
        <v>0.5833333333</v>
      </c>
      <c r="D1335" s="8">
        <f>IFERROR(__xludf.DUMMYFUNCTION("""COMPUTED_VALUE"""),0.536)</f>
        <v>0.536</v>
      </c>
      <c r="E1335" s="8" t="str">
        <f>IFERROR(__xludf.DUMMYFUNCTION("""COMPUTED_VALUE"""),"Real")</f>
        <v>Real</v>
      </c>
      <c r="G1335" s="8">
        <f t="shared" si="1"/>
        <v>12</v>
      </c>
      <c r="H1335" s="14">
        <f t="shared" si="2"/>
        <v>26</v>
      </c>
      <c r="I1335" s="15">
        <f t="shared" si="3"/>
        <v>14</v>
      </c>
    </row>
    <row r="1336">
      <c r="A1336" s="8" t="str">
        <f>IFERROR(__xludf.DUMMYFUNCTION("IF('(INGESTA)Datos_consumo_datadis'!A1336&lt;&gt;"""",SPLIT('(INGESTA)Datos_consumo_datadis'!A:A,"",""),"""")"),"ES0031408323131005HX0F")</f>
        <v>ES0031408323131005HX0F</v>
      </c>
      <c r="B1336" s="17">
        <f>IFERROR(__xludf.DUMMYFUNCTION("""COMPUTED_VALUE"""),44921.0)</f>
        <v>44921</v>
      </c>
      <c r="C1336" s="13">
        <f>IFERROR(__xludf.DUMMYFUNCTION("""COMPUTED_VALUE"""),0.625)</f>
        <v>0.625</v>
      </c>
      <c r="D1336" s="8">
        <f>IFERROR(__xludf.DUMMYFUNCTION("""COMPUTED_VALUE"""),0.045)</f>
        <v>0.045</v>
      </c>
      <c r="E1336" s="8" t="str">
        <f>IFERROR(__xludf.DUMMYFUNCTION("""COMPUTED_VALUE"""),"Real")</f>
        <v>Real</v>
      </c>
      <c r="G1336" s="8">
        <f t="shared" si="1"/>
        <v>12</v>
      </c>
      <c r="H1336" s="14">
        <f t="shared" si="2"/>
        <v>26</v>
      </c>
      <c r="I1336" s="15">
        <f t="shared" si="3"/>
        <v>15</v>
      </c>
    </row>
    <row r="1337">
      <c r="A1337" s="8" t="str">
        <f>IFERROR(__xludf.DUMMYFUNCTION("IF('(INGESTA)Datos_consumo_datadis'!A1337&lt;&gt;"""",SPLIT('(INGESTA)Datos_consumo_datadis'!A:A,"",""),"""")"),"ES0031408323131005HX0F")</f>
        <v>ES0031408323131005HX0F</v>
      </c>
      <c r="B1337" s="17">
        <f>IFERROR(__xludf.DUMMYFUNCTION("""COMPUTED_VALUE"""),44921.0)</f>
        <v>44921</v>
      </c>
      <c r="C1337" s="13">
        <f>IFERROR(__xludf.DUMMYFUNCTION("""COMPUTED_VALUE"""),0.6666666666666666)</f>
        <v>0.6666666667</v>
      </c>
      <c r="D1337" s="8">
        <f>IFERROR(__xludf.DUMMYFUNCTION("""COMPUTED_VALUE"""),0.038)</f>
        <v>0.038</v>
      </c>
      <c r="E1337" s="8" t="str">
        <f>IFERROR(__xludf.DUMMYFUNCTION("""COMPUTED_VALUE"""),"Real")</f>
        <v>Real</v>
      </c>
      <c r="G1337" s="8">
        <f t="shared" si="1"/>
        <v>12</v>
      </c>
      <c r="H1337" s="14">
        <f t="shared" si="2"/>
        <v>26</v>
      </c>
      <c r="I1337" s="15">
        <f t="shared" si="3"/>
        <v>16</v>
      </c>
    </row>
    <row r="1338">
      <c r="A1338" s="8" t="str">
        <f>IFERROR(__xludf.DUMMYFUNCTION("IF('(INGESTA)Datos_consumo_datadis'!A1338&lt;&gt;"""",SPLIT('(INGESTA)Datos_consumo_datadis'!A:A,"",""),"""")"),"ES0031408323131005HX0F")</f>
        <v>ES0031408323131005HX0F</v>
      </c>
      <c r="B1338" s="17">
        <f>IFERROR(__xludf.DUMMYFUNCTION("""COMPUTED_VALUE"""),44921.0)</f>
        <v>44921</v>
      </c>
      <c r="C1338" s="13">
        <f>IFERROR(__xludf.DUMMYFUNCTION("""COMPUTED_VALUE"""),0.7083333333333334)</f>
        <v>0.7083333333</v>
      </c>
      <c r="D1338" s="8">
        <f>IFERROR(__xludf.DUMMYFUNCTION("""COMPUTED_VALUE"""),0.078)</f>
        <v>0.078</v>
      </c>
      <c r="E1338" s="8" t="str">
        <f>IFERROR(__xludf.DUMMYFUNCTION("""COMPUTED_VALUE"""),"Real")</f>
        <v>Real</v>
      </c>
      <c r="G1338" s="8">
        <f t="shared" si="1"/>
        <v>12</v>
      </c>
      <c r="H1338" s="14">
        <f t="shared" si="2"/>
        <v>26</v>
      </c>
      <c r="I1338" s="15">
        <f t="shared" si="3"/>
        <v>17</v>
      </c>
    </row>
    <row r="1339">
      <c r="A1339" s="8" t="str">
        <f>IFERROR(__xludf.DUMMYFUNCTION("IF('(INGESTA)Datos_consumo_datadis'!A1339&lt;&gt;"""",SPLIT('(INGESTA)Datos_consumo_datadis'!A:A,"",""),"""")"),"ES0031408323131005HX0F")</f>
        <v>ES0031408323131005HX0F</v>
      </c>
      <c r="B1339" s="17">
        <f>IFERROR(__xludf.DUMMYFUNCTION("""COMPUTED_VALUE"""),44921.0)</f>
        <v>44921</v>
      </c>
      <c r="C1339" s="13">
        <f>IFERROR(__xludf.DUMMYFUNCTION("""COMPUTED_VALUE"""),0.75)</f>
        <v>0.75</v>
      </c>
      <c r="D1339" s="8">
        <f>IFERROR(__xludf.DUMMYFUNCTION("""COMPUTED_VALUE"""),0.018)</f>
        <v>0.018</v>
      </c>
      <c r="E1339" s="8" t="str">
        <f>IFERROR(__xludf.DUMMYFUNCTION("""COMPUTED_VALUE"""),"Real")</f>
        <v>Real</v>
      </c>
      <c r="G1339" s="8">
        <f t="shared" si="1"/>
        <v>12</v>
      </c>
      <c r="H1339" s="14">
        <f t="shared" si="2"/>
        <v>26</v>
      </c>
      <c r="I1339" s="15">
        <f t="shared" si="3"/>
        <v>18</v>
      </c>
    </row>
    <row r="1340">
      <c r="A1340" s="8" t="str">
        <f>IFERROR(__xludf.DUMMYFUNCTION("IF('(INGESTA)Datos_consumo_datadis'!A1340&lt;&gt;"""",SPLIT('(INGESTA)Datos_consumo_datadis'!A:A,"",""),"""")"),"ES0031408323131005HX0F")</f>
        <v>ES0031408323131005HX0F</v>
      </c>
      <c r="B1340" s="17">
        <f>IFERROR(__xludf.DUMMYFUNCTION("""COMPUTED_VALUE"""),44921.0)</f>
        <v>44921</v>
      </c>
      <c r="C1340" s="13">
        <f>IFERROR(__xludf.DUMMYFUNCTION("""COMPUTED_VALUE"""),0.7916666666666666)</f>
        <v>0.7916666667</v>
      </c>
      <c r="D1340" s="8">
        <f>IFERROR(__xludf.DUMMYFUNCTION("""COMPUTED_VALUE"""),0.37)</f>
        <v>0.37</v>
      </c>
      <c r="E1340" s="8" t="str">
        <f>IFERROR(__xludf.DUMMYFUNCTION("""COMPUTED_VALUE"""),"Real")</f>
        <v>Real</v>
      </c>
      <c r="G1340" s="8">
        <f t="shared" si="1"/>
        <v>12</v>
      </c>
      <c r="H1340" s="14">
        <f t="shared" si="2"/>
        <v>26</v>
      </c>
      <c r="I1340" s="15">
        <f t="shared" si="3"/>
        <v>19</v>
      </c>
    </row>
    <row r="1341">
      <c r="A1341" s="8" t="str">
        <f>IFERROR(__xludf.DUMMYFUNCTION("IF('(INGESTA)Datos_consumo_datadis'!A1341&lt;&gt;"""",SPLIT('(INGESTA)Datos_consumo_datadis'!A:A,"",""),"""")"),"ES0031408323131005HX0F")</f>
        <v>ES0031408323131005HX0F</v>
      </c>
      <c r="B1341" s="17">
        <f>IFERROR(__xludf.DUMMYFUNCTION("""COMPUTED_VALUE"""),44921.0)</f>
        <v>44921</v>
      </c>
      <c r="C1341" s="13">
        <f>IFERROR(__xludf.DUMMYFUNCTION("""COMPUTED_VALUE"""),0.8333333333333334)</f>
        <v>0.8333333333</v>
      </c>
      <c r="D1341" s="8">
        <f>IFERROR(__xludf.DUMMYFUNCTION("""COMPUTED_VALUE"""),0.416)</f>
        <v>0.416</v>
      </c>
      <c r="E1341" s="8" t="str">
        <f>IFERROR(__xludf.DUMMYFUNCTION("""COMPUTED_VALUE"""),"Real")</f>
        <v>Real</v>
      </c>
      <c r="G1341" s="8">
        <f t="shared" si="1"/>
        <v>12</v>
      </c>
      <c r="H1341" s="14">
        <f t="shared" si="2"/>
        <v>26</v>
      </c>
      <c r="I1341" s="15">
        <f t="shared" si="3"/>
        <v>20</v>
      </c>
    </row>
    <row r="1342">
      <c r="A1342" s="8" t="str">
        <f>IFERROR(__xludf.DUMMYFUNCTION("IF('(INGESTA)Datos_consumo_datadis'!A1342&lt;&gt;"""",SPLIT('(INGESTA)Datos_consumo_datadis'!A:A,"",""),"""")"),"ES0031408323131005HX0F")</f>
        <v>ES0031408323131005HX0F</v>
      </c>
      <c r="B1342" s="17">
        <f>IFERROR(__xludf.DUMMYFUNCTION("""COMPUTED_VALUE"""),44921.0)</f>
        <v>44921</v>
      </c>
      <c r="C1342" s="13">
        <f>IFERROR(__xludf.DUMMYFUNCTION("""COMPUTED_VALUE"""),0.875)</f>
        <v>0.875</v>
      </c>
      <c r="D1342" s="8">
        <f>IFERROR(__xludf.DUMMYFUNCTION("""COMPUTED_VALUE"""),1.184)</f>
        <v>1.184</v>
      </c>
      <c r="E1342" s="8" t="str">
        <f>IFERROR(__xludf.DUMMYFUNCTION("""COMPUTED_VALUE"""),"Real")</f>
        <v>Real</v>
      </c>
      <c r="G1342" s="8">
        <f t="shared" si="1"/>
        <v>12</v>
      </c>
      <c r="H1342" s="14">
        <f t="shared" si="2"/>
        <v>26</v>
      </c>
      <c r="I1342" s="15">
        <f t="shared" si="3"/>
        <v>21</v>
      </c>
    </row>
    <row r="1343">
      <c r="A1343" s="8" t="str">
        <f>IFERROR(__xludf.DUMMYFUNCTION("IF('(INGESTA)Datos_consumo_datadis'!A1343&lt;&gt;"""",SPLIT('(INGESTA)Datos_consumo_datadis'!A:A,"",""),"""")"),"ES0031408323131005HX0F")</f>
        <v>ES0031408323131005HX0F</v>
      </c>
      <c r="B1343" s="17">
        <f>IFERROR(__xludf.DUMMYFUNCTION("""COMPUTED_VALUE"""),44921.0)</f>
        <v>44921</v>
      </c>
      <c r="C1343" s="13">
        <f>IFERROR(__xludf.DUMMYFUNCTION("""COMPUTED_VALUE"""),0.9166666666666666)</f>
        <v>0.9166666667</v>
      </c>
      <c r="D1343" s="8">
        <f>IFERROR(__xludf.DUMMYFUNCTION("""COMPUTED_VALUE"""),2.143)</f>
        <v>2.143</v>
      </c>
      <c r="E1343" s="8" t="str">
        <f>IFERROR(__xludf.DUMMYFUNCTION("""COMPUTED_VALUE"""),"Real")</f>
        <v>Real</v>
      </c>
      <c r="G1343" s="8">
        <f t="shared" si="1"/>
        <v>12</v>
      </c>
      <c r="H1343" s="14">
        <f t="shared" si="2"/>
        <v>26</v>
      </c>
      <c r="I1343" s="15">
        <f t="shared" si="3"/>
        <v>22</v>
      </c>
    </row>
    <row r="1344">
      <c r="A1344" s="8" t="str">
        <f>IFERROR(__xludf.DUMMYFUNCTION("IF('(INGESTA)Datos_consumo_datadis'!A1344&lt;&gt;"""",SPLIT('(INGESTA)Datos_consumo_datadis'!A:A,"",""),"""")"),"ES0031408323131005HX0F")</f>
        <v>ES0031408323131005HX0F</v>
      </c>
      <c r="B1344" s="17">
        <f>IFERROR(__xludf.DUMMYFUNCTION("""COMPUTED_VALUE"""),44921.0)</f>
        <v>44921</v>
      </c>
      <c r="C1344" s="13">
        <f>IFERROR(__xludf.DUMMYFUNCTION("""COMPUTED_VALUE"""),0.9583333333333334)</f>
        <v>0.9583333333</v>
      </c>
      <c r="D1344" s="8">
        <f>IFERROR(__xludf.DUMMYFUNCTION("""COMPUTED_VALUE"""),0.66)</f>
        <v>0.66</v>
      </c>
      <c r="E1344" s="8" t="str">
        <f>IFERROR(__xludf.DUMMYFUNCTION("""COMPUTED_VALUE"""),"Real")</f>
        <v>Real</v>
      </c>
      <c r="G1344" s="8">
        <f t="shared" si="1"/>
        <v>12</v>
      </c>
      <c r="H1344" s="14">
        <f t="shared" si="2"/>
        <v>26</v>
      </c>
      <c r="I1344" s="15">
        <f t="shared" si="3"/>
        <v>23</v>
      </c>
    </row>
    <row r="1345">
      <c r="A1345" s="8" t="str">
        <f>IFERROR(__xludf.DUMMYFUNCTION("IF('(INGESTA)Datos_consumo_datadis'!A1345&lt;&gt;"""",SPLIT('(INGESTA)Datos_consumo_datadis'!A:A,"",""),"""")"),"ES0031408323131005HX0F")</f>
        <v>ES0031408323131005HX0F</v>
      </c>
      <c r="B1345" s="17">
        <f>IFERROR(__xludf.DUMMYFUNCTION("""COMPUTED_VALUE"""),44921.0)</f>
        <v>44921</v>
      </c>
      <c r="C1345" s="16">
        <f>IFERROR(__xludf.DUMMYFUNCTION("""COMPUTED_VALUE"""),1.0)</f>
        <v>1</v>
      </c>
      <c r="D1345" s="8">
        <f>IFERROR(__xludf.DUMMYFUNCTION("""COMPUTED_VALUE"""),1.938)</f>
        <v>1.938</v>
      </c>
      <c r="E1345" s="8" t="str">
        <f>IFERROR(__xludf.DUMMYFUNCTION("""COMPUTED_VALUE"""),"Real")</f>
        <v>Real</v>
      </c>
      <c r="G1345" s="8">
        <f t="shared" si="1"/>
        <v>12</v>
      </c>
      <c r="H1345" s="14">
        <f t="shared" si="2"/>
        <v>26</v>
      </c>
      <c r="I1345" s="15">
        <f t="shared" si="3"/>
        <v>0</v>
      </c>
    </row>
    <row r="1346">
      <c r="A1346" s="8" t="str">
        <f>IFERROR(__xludf.DUMMYFUNCTION("IF('(INGESTA)Datos_consumo_datadis'!A1346&lt;&gt;"""",SPLIT('(INGESTA)Datos_consumo_datadis'!A:A,"",""),"""")"),"ES0031408323131005HX0F")</f>
        <v>ES0031408323131005HX0F</v>
      </c>
      <c r="B1346" s="17">
        <f>IFERROR(__xludf.DUMMYFUNCTION("""COMPUTED_VALUE"""),44922.0)</f>
        <v>44922</v>
      </c>
      <c r="C1346" s="13">
        <f>IFERROR(__xludf.DUMMYFUNCTION("""COMPUTED_VALUE"""),0.041666666666666664)</f>
        <v>0.04166666667</v>
      </c>
      <c r="D1346" s="8">
        <f>IFERROR(__xludf.DUMMYFUNCTION("""COMPUTED_VALUE"""),0.944)</f>
        <v>0.944</v>
      </c>
      <c r="E1346" s="8" t="str">
        <f>IFERROR(__xludf.DUMMYFUNCTION("""COMPUTED_VALUE"""),"Real")</f>
        <v>Real</v>
      </c>
      <c r="G1346" s="8">
        <f t="shared" si="1"/>
        <v>12</v>
      </c>
      <c r="H1346" s="14">
        <f t="shared" si="2"/>
        <v>27</v>
      </c>
      <c r="I1346" s="15">
        <f t="shared" si="3"/>
        <v>1</v>
      </c>
    </row>
    <row r="1347">
      <c r="A1347" s="8" t="str">
        <f>IFERROR(__xludf.DUMMYFUNCTION("IF('(INGESTA)Datos_consumo_datadis'!A1347&lt;&gt;"""",SPLIT('(INGESTA)Datos_consumo_datadis'!A:A,"",""),"""")"),"ES0031408323131005HX0F")</f>
        <v>ES0031408323131005HX0F</v>
      </c>
      <c r="B1347" s="17">
        <f>IFERROR(__xludf.DUMMYFUNCTION("""COMPUTED_VALUE"""),44922.0)</f>
        <v>44922</v>
      </c>
      <c r="C1347" s="13">
        <f>IFERROR(__xludf.DUMMYFUNCTION("""COMPUTED_VALUE"""),0.08333333333333333)</f>
        <v>0.08333333333</v>
      </c>
      <c r="D1347" s="8">
        <f>IFERROR(__xludf.DUMMYFUNCTION("""COMPUTED_VALUE"""),0.994)</f>
        <v>0.994</v>
      </c>
      <c r="E1347" s="8" t="str">
        <f>IFERROR(__xludf.DUMMYFUNCTION("""COMPUTED_VALUE"""),"Real")</f>
        <v>Real</v>
      </c>
      <c r="G1347" s="8">
        <f t="shared" si="1"/>
        <v>12</v>
      </c>
      <c r="H1347" s="14">
        <f t="shared" si="2"/>
        <v>27</v>
      </c>
      <c r="I1347" s="15">
        <f t="shared" si="3"/>
        <v>2</v>
      </c>
    </row>
    <row r="1348">
      <c r="A1348" s="8" t="str">
        <f>IFERROR(__xludf.DUMMYFUNCTION("IF('(INGESTA)Datos_consumo_datadis'!A1348&lt;&gt;"""",SPLIT('(INGESTA)Datos_consumo_datadis'!A:A,"",""),"""")"),"ES0031408323131005HX0F")</f>
        <v>ES0031408323131005HX0F</v>
      </c>
      <c r="B1348" s="17">
        <f>IFERROR(__xludf.DUMMYFUNCTION("""COMPUTED_VALUE"""),44922.0)</f>
        <v>44922</v>
      </c>
      <c r="C1348" s="13">
        <f>IFERROR(__xludf.DUMMYFUNCTION("""COMPUTED_VALUE"""),0.125)</f>
        <v>0.125</v>
      </c>
      <c r="D1348" s="8">
        <f>IFERROR(__xludf.DUMMYFUNCTION("""COMPUTED_VALUE"""),1.534)</f>
        <v>1.534</v>
      </c>
      <c r="E1348" s="8" t="str">
        <f>IFERROR(__xludf.DUMMYFUNCTION("""COMPUTED_VALUE"""),"Real")</f>
        <v>Real</v>
      </c>
      <c r="G1348" s="8">
        <f t="shared" si="1"/>
        <v>12</v>
      </c>
      <c r="H1348" s="14">
        <f t="shared" si="2"/>
        <v>27</v>
      </c>
      <c r="I1348" s="15">
        <f t="shared" si="3"/>
        <v>3</v>
      </c>
    </row>
    <row r="1349">
      <c r="A1349" s="8" t="str">
        <f>IFERROR(__xludf.DUMMYFUNCTION("IF('(INGESTA)Datos_consumo_datadis'!A1349&lt;&gt;"""",SPLIT('(INGESTA)Datos_consumo_datadis'!A:A,"",""),"""")"),"ES0031408323131005HX0F")</f>
        <v>ES0031408323131005HX0F</v>
      </c>
      <c r="B1349" s="17">
        <f>IFERROR(__xludf.DUMMYFUNCTION("""COMPUTED_VALUE"""),44922.0)</f>
        <v>44922</v>
      </c>
      <c r="C1349" s="13">
        <f>IFERROR(__xludf.DUMMYFUNCTION("""COMPUTED_VALUE"""),0.16666666666666666)</f>
        <v>0.1666666667</v>
      </c>
      <c r="D1349" s="8">
        <f>IFERROR(__xludf.DUMMYFUNCTION("""COMPUTED_VALUE"""),1.192)</f>
        <v>1.192</v>
      </c>
      <c r="E1349" s="8" t="str">
        <f>IFERROR(__xludf.DUMMYFUNCTION("""COMPUTED_VALUE"""),"Real")</f>
        <v>Real</v>
      </c>
      <c r="G1349" s="8">
        <f t="shared" si="1"/>
        <v>12</v>
      </c>
      <c r="H1349" s="14">
        <f t="shared" si="2"/>
        <v>27</v>
      </c>
      <c r="I1349" s="15">
        <f t="shared" si="3"/>
        <v>4</v>
      </c>
    </row>
    <row r="1350">
      <c r="A1350" s="8" t="str">
        <f>IFERROR(__xludf.DUMMYFUNCTION("IF('(INGESTA)Datos_consumo_datadis'!A1350&lt;&gt;"""",SPLIT('(INGESTA)Datos_consumo_datadis'!A:A,"",""),"""")"),"ES0031408323131005HX0F")</f>
        <v>ES0031408323131005HX0F</v>
      </c>
      <c r="B1350" s="17">
        <f>IFERROR(__xludf.DUMMYFUNCTION("""COMPUTED_VALUE"""),44922.0)</f>
        <v>44922</v>
      </c>
      <c r="C1350" s="13">
        <f>IFERROR(__xludf.DUMMYFUNCTION("""COMPUTED_VALUE"""),0.20833333333333334)</f>
        <v>0.2083333333</v>
      </c>
      <c r="D1350" s="8">
        <f>IFERROR(__xludf.DUMMYFUNCTION("""COMPUTED_VALUE"""),1.209)</f>
        <v>1.209</v>
      </c>
      <c r="E1350" s="8" t="str">
        <f>IFERROR(__xludf.DUMMYFUNCTION("""COMPUTED_VALUE"""),"Real")</f>
        <v>Real</v>
      </c>
      <c r="G1350" s="8">
        <f t="shared" si="1"/>
        <v>12</v>
      </c>
      <c r="H1350" s="14">
        <f t="shared" si="2"/>
        <v>27</v>
      </c>
      <c r="I1350" s="15">
        <f t="shared" si="3"/>
        <v>5</v>
      </c>
    </row>
    <row r="1351">
      <c r="A1351" s="8" t="str">
        <f>IFERROR(__xludf.DUMMYFUNCTION("IF('(INGESTA)Datos_consumo_datadis'!A1351&lt;&gt;"""",SPLIT('(INGESTA)Datos_consumo_datadis'!A:A,"",""),"""")"),"ES0031408323131005HX0F")</f>
        <v>ES0031408323131005HX0F</v>
      </c>
      <c r="B1351" s="17">
        <f>IFERROR(__xludf.DUMMYFUNCTION("""COMPUTED_VALUE"""),44922.0)</f>
        <v>44922</v>
      </c>
      <c r="C1351" s="13">
        <f>IFERROR(__xludf.DUMMYFUNCTION("""COMPUTED_VALUE"""),0.25)</f>
        <v>0.25</v>
      </c>
      <c r="D1351" s="8">
        <f>IFERROR(__xludf.DUMMYFUNCTION("""COMPUTED_VALUE"""),1.217)</f>
        <v>1.217</v>
      </c>
      <c r="E1351" s="8" t="str">
        <f>IFERROR(__xludf.DUMMYFUNCTION("""COMPUTED_VALUE"""),"Real")</f>
        <v>Real</v>
      </c>
      <c r="G1351" s="8">
        <f t="shared" si="1"/>
        <v>12</v>
      </c>
      <c r="H1351" s="14">
        <f t="shared" si="2"/>
        <v>27</v>
      </c>
      <c r="I1351" s="15">
        <f t="shared" si="3"/>
        <v>6</v>
      </c>
    </row>
    <row r="1352">
      <c r="A1352" s="8" t="str">
        <f>IFERROR(__xludf.DUMMYFUNCTION("IF('(INGESTA)Datos_consumo_datadis'!A1352&lt;&gt;"""",SPLIT('(INGESTA)Datos_consumo_datadis'!A:A,"",""),"""")"),"ES0031408323131005HX0F")</f>
        <v>ES0031408323131005HX0F</v>
      </c>
      <c r="B1352" s="17">
        <f>IFERROR(__xludf.DUMMYFUNCTION("""COMPUTED_VALUE"""),44922.0)</f>
        <v>44922</v>
      </c>
      <c r="C1352" s="13">
        <f>IFERROR(__xludf.DUMMYFUNCTION("""COMPUTED_VALUE"""),0.2916666666666667)</f>
        <v>0.2916666667</v>
      </c>
      <c r="D1352" s="8">
        <f>IFERROR(__xludf.DUMMYFUNCTION("""COMPUTED_VALUE"""),1.182)</f>
        <v>1.182</v>
      </c>
      <c r="E1352" s="8" t="str">
        <f>IFERROR(__xludf.DUMMYFUNCTION("""COMPUTED_VALUE"""),"Real")</f>
        <v>Real</v>
      </c>
      <c r="G1352" s="8">
        <f t="shared" si="1"/>
        <v>12</v>
      </c>
      <c r="H1352" s="14">
        <f t="shared" si="2"/>
        <v>27</v>
      </c>
      <c r="I1352" s="15">
        <f t="shared" si="3"/>
        <v>7</v>
      </c>
    </row>
    <row r="1353">
      <c r="A1353" s="8" t="str">
        <f>IFERROR(__xludf.DUMMYFUNCTION("IF('(INGESTA)Datos_consumo_datadis'!A1353&lt;&gt;"""",SPLIT('(INGESTA)Datos_consumo_datadis'!A:A,"",""),"""")"),"ES0031408323131005HX0F")</f>
        <v>ES0031408323131005HX0F</v>
      </c>
      <c r="B1353" s="17">
        <f>IFERROR(__xludf.DUMMYFUNCTION("""COMPUTED_VALUE"""),44922.0)</f>
        <v>44922</v>
      </c>
      <c r="C1353" s="13">
        <f>IFERROR(__xludf.DUMMYFUNCTION("""COMPUTED_VALUE"""),0.3333333333333333)</f>
        <v>0.3333333333</v>
      </c>
      <c r="D1353" s="8">
        <f>IFERROR(__xludf.DUMMYFUNCTION("""COMPUTED_VALUE"""),1.235)</f>
        <v>1.235</v>
      </c>
      <c r="E1353" s="8" t="str">
        <f>IFERROR(__xludf.DUMMYFUNCTION("""COMPUTED_VALUE"""),"Real")</f>
        <v>Real</v>
      </c>
      <c r="G1353" s="8">
        <f t="shared" si="1"/>
        <v>12</v>
      </c>
      <c r="H1353" s="14">
        <f t="shared" si="2"/>
        <v>27</v>
      </c>
      <c r="I1353" s="15">
        <f t="shared" si="3"/>
        <v>8</v>
      </c>
    </row>
    <row r="1354">
      <c r="A1354" s="8" t="str">
        <f>IFERROR(__xludf.DUMMYFUNCTION("IF('(INGESTA)Datos_consumo_datadis'!A1354&lt;&gt;"""",SPLIT('(INGESTA)Datos_consumo_datadis'!A:A,"",""),"""")"),"ES0031408323131005HX0F")</f>
        <v>ES0031408323131005HX0F</v>
      </c>
      <c r="B1354" s="17">
        <f>IFERROR(__xludf.DUMMYFUNCTION("""COMPUTED_VALUE"""),44922.0)</f>
        <v>44922</v>
      </c>
      <c r="C1354" s="13">
        <f>IFERROR(__xludf.DUMMYFUNCTION("""COMPUTED_VALUE"""),0.375)</f>
        <v>0.375</v>
      </c>
      <c r="D1354" s="8">
        <f>IFERROR(__xludf.DUMMYFUNCTION("""COMPUTED_VALUE"""),0.584)</f>
        <v>0.584</v>
      </c>
      <c r="E1354" s="8" t="str">
        <f>IFERROR(__xludf.DUMMYFUNCTION("""COMPUTED_VALUE"""),"Real")</f>
        <v>Real</v>
      </c>
      <c r="G1354" s="8">
        <f t="shared" si="1"/>
        <v>12</v>
      </c>
      <c r="H1354" s="14">
        <f t="shared" si="2"/>
        <v>27</v>
      </c>
      <c r="I1354" s="15">
        <f t="shared" si="3"/>
        <v>9</v>
      </c>
    </row>
    <row r="1355">
      <c r="A1355" s="8" t="str">
        <f>IFERROR(__xludf.DUMMYFUNCTION("IF('(INGESTA)Datos_consumo_datadis'!A1355&lt;&gt;"""",SPLIT('(INGESTA)Datos_consumo_datadis'!A:A,"",""),"""")"),"ES0031408323131005HX0F")</f>
        <v>ES0031408323131005HX0F</v>
      </c>
      <c r="B1355" s="17">
        <f>IFERROR(__xludf.DUMMYFUNCTION("""COMPUTED_VALUE"""),44922.0)</f>
        <v>44922</v>
      </c>
      <c r="C1355" s="13">
        <f>IFERROR(__xludf.DUMMYFUNCTION("""COMPUTED_VALUE"""),0.4166666666666667)</f>
        <v>0.4166666667</v>
      </c>
      <c r="D1355" s="8">
        <f>IFERROR(__xludf.DUMMYFUNCTION("""COMPUTED_VALUE"""),0.378)</f>
        <v>0.378</v>
      </c>
      <c r="E1355" s="8" t="str">
        <f>IFERROR(__xludf.DUMMYFUNCTION("""COMPUTED_VALUE"""),"Real")</f>
        <v>Real</v>
      </c>
      <c r="G1355" s="8">
        <f t="shared" si="1"/>
        <v>12</v>
      </c>
      <c r="H1355" s="14">
        <f t="shared" si="2"/>
        <v>27</v>
      </c>
      <c r="I1355" s="15">
        <f t="shared" si="3"/>
        <v>10</v>
      </c>
    </row>
    <row r="1356">
      <c r="A1356" s="8" t="str">
        <f>IFERROR(__xludf.DUMMYFUNCTION("IF('(INGESTA)Datos_consumo_datadis'!A1356&lt;&gt;"""",SPLIT('(INGESTA)Datos_consumo_datadis'!A:A,"",""),"""")"),"ES0031408323131005HX0F")</f>
        <v>ES0031408323131005HX0F</v>
      </c>
      <c r="B1356" s="17">
        <f>IFERROR(__xludf.DUMMYFUNCTION("""COMPUTED_VALUE"""),44922.0)</f>
        <v>44922</v>
      </c>
      <c r="C1356" s="13">
        <f>IFERROR(__xludf.DUMMYFUNCTION("""COMPUTED_VALUE"""),0.4583333333333333)</f>
        <v>0.4583333333</v>
      </c>
      <c r="D1356" s="8">
        <f>IFERROR(__xludf.DUMMYFUNCTION("""COMPUTED_VALUE"""),0.047)</f>
        <v>0.047</v>
      </c>
      <c r="E1356" s="8" t="str">
        <f>IFERROR(__xludf.DUMMYFUNCTION("""COMPUTED_VALUE"""),"Real")</f>
        <v>Real</v>
      </c>
      <c r="G1356" s="8">
        <f t="shared" si="1"/>
        <v>12</v>
      </c>
      <c r="H1356" s="14">
        <f t="shared" si="2"/>
        <v>27</v>
      </c>
      <c r="I1356" s="15">
        <f t="shared" si="3"/>
        <v>11</v>
      </c>
    </row>
    <row r="1357">
      <c r="A1357" s="8" t="str">
        <f>IFERROR(__xludf.DUMMYFUNCTION("IF('(INGESTA)Datos_consumo_datadis'!A1357&lt;&gt;"""",SPLIT('(INGESTA)Datos_consumo_datadis'!A:A,"",""),"""")"),"ES0031408323131005HX0F")</f>
        <v>ES0031408323131005HX0F</v>
      </c>
      <c r="B1357" s="17">
        <f>IFERROR(__xludf.DUMMYFUNCTION("""COMPUTED_VALUE"""),44922.0)</f>
        <v>44922</v>
      </c>
      <c r="C1357" s="13">
        <f>IFERROR(__xludf.DUMMYFUNCTION("""COMPUTED_VALUE"""),0.5)</f>
        <v>0.5</v>
      </c>
      <c r="D1357" s="8">
        <f>IFERROR(__xludf.DUMMYFUNCTION("""COMPUTED_VALUE"""),0.032)</f>
        <v>0.032</v>
      </c>
      <c r="E1357" s="8" t="str">
        <f>IFERROR(__xludf.DUMMYFUNCTION("""COMPUTED_VALUE"""),"Real")</f>
        <v>Real</v>
      </c>
      <c r="G1357" s="8">
        <f t="shared" si="1"/>
        <v>12</v>
      </c>
      <c r="H1357" s="14">
        <f t="shared" si="2"/>
        <v>27</v>
      </c>
      <c r="I1357" s="15">
        <f t="shared" si="3"/>
        <v>12</v>
      </c>
    </row>
    <row r="1358">
      <c r="A1358" s="8" t="str">
        <f>IFERROR(__xludf.DUMMYFUNCTION("IF('(INGESTA)Datos_consumo_datadis'!A1358&lt;&gt;"""",SPLIT('(INGESTA)Datos_consumo_datadis'!A:A,"",""),"""")"),"ES0031408323131005HX0F")</f>
        <v>ES0031408323131005HX0F</v>
      </c>
      <c r="B1358" s="17">
        <f>IFERROR(__xludf.DUMMYFUNCTION("""COMPUTED_VALUE"""),44922.0)</f>
        <v>44922</v>
      </c>
      <c r="C1358" s="13">
        <f>IFERROR(__xludf.DUMMYFUNCTION("""COMPUTED_VALUE"""),0.5416666666666666)</f>
        <v>0.5416666667</v>
      </c>
      <c r="D1358" s="8">
        <f>IFERROR(__xludf.DUMMYFUNCTION("""COMPUTED_VALUE"""),0.083)</f>
        <v>0.083</v>
      </c>
      <c r="E1358" s="8" t="str">
        <f>IFERROR(__xludf.DUMMYFUNCTION("""COMPUTED_VALUE"""),"Real")</f>
        <v>Real</v>
      </c>
      <c r="G1358" s="8">
        <f t="shared" si="1"/>
        <v>12</v>
      </c>
      <c r="H1358" s="14">
        <f t="shared" si="2"/>
        <v>27</v>
      </c>
      <c r="I1358" s="15">
        <f t="shared" si="3"/>
        <v>13</v>
      </c>
    </row>
    <row r="1359">
      <c r="A1359" s="8" t="str">
        <f>IFERROR(__xludf.DUMMYFUNCTION("IF('(INGESTA)Datos_consumo_datadis'!A1359&lt;&gt;"""",SPLIT('(INGESTA)Datos_consumo_datadis'!A:A,"",""),"""")"),"ES0031408323131005HX0F")</f>
        <v>ES0031408323131005HX0F</v>
      </c>
      <c r="B1359" s="17">
        <f>IFERROR(__xludf.DUMMYFUNCTION("""COMPUTED_VALUE"""),44922.0)</f>
        <v>44922</v>
      </c>
      <c r="C1359" s="13">
        <f>IFERROR(__xludf.DUMMYFUNCTION("""COMPUTED_VALUE"""),0.5833333333333334)</f>
        <v>0.5833333333</v>
      </c>
      <c r="D1359" s="8">
        <f>IFERROR(__xludf.DUMMYFUNCTION("""COMPUTED_VALUE"""),0.018)</f>
        <v>0.018</v>
      </c>
      <c r="E1359" s="8" t="str">
        <f>IFERROR(__xludf.DUMMYFUNCTION("""COMPUTED_VALUE"""),"Real")</f>
        <v>Real</v>
      </c>
      <c r="G1359" s="8">
        <f t="shared" si="1"/>
        <v>12</v>
      </c>
      <c r="H1359" s="14">
        <f t="shared" si="2"/>
        <v>27</v>
      </c>
      <c r="I1359" s="15">
        <f t="shared" si="3"/>
        <v>14</v>
      </c>
    </row>
    <row r="1360">
      <c r="A1360" s="8" t="str">
        <f>IFERROR(__xludf.DUMMYFUNCTION("IF('(INGESTA)Datos_consumo_datadis'!A1360&lt;&gt;"""",SPLIT('(INGESTA)Datos_consumo_datadis'!A:A,"",""),"""")"),"ES0031408323131005HX0F")</f>
        <v>ES0031408323131005HX0F</v>
      </c>
      <c r="B1360" s="17">
        <f>IFERROR(__xludf.DUMMYFUNCTION("""COMPUTED_VALUE"""),44922.0)</f>
        <v>44922</v>
      </c>
      <c r="C1360" s="13">
        <f>IFERROR(__xludf.DUMMYFUNCTION("""COMPUTED_VALUE"""),0.625)</f>
        <v>0.625</v>
      </c>
      <c r="D1360" s="8">
        <f>IFERROR(__xludf.DUMMYFUNCTION("""COMPUTED_VALUE"""),0.074)</f>
        <v>0.074</v>
      </c>
      <c r="E1360" s="8" t="str">
        <f>IFERROR(__xludf.DUMMYFUNCTION("""COMPUTED_VALUE"""),"Real")</f>
        <v>Real</v>
      </c>
      <c r="G1360" s="8">
        <f t="shared" si="1"/>
        <v>12</v>
      </c>
      <c r="H1360" s="14">
        <f t="shared" si="2"/>
        <v>27</v>
      </c>
      <c r="I1360" s="15">
        <f t="shared" si="3"/>
        <v>15</v>
      </c>
    </row>
    <row r="1361">
      <c r="A1361" s="8" t="str">
        <f>IFERROR(__xludf.DUMMYFUNCTION("IF('(INGESTA)Datos_consumo_datadis'!A1361&lt;&gt;"""",SPLIT('(INGESTA)Datos_consumo_datadis'!A:A,"",""),"""")"),"ES0031408323131005HX0F")</f>
        <v>ES0031408323131005HX0F</v>
      </c>
      <c r="B1361" s="17">
        <f>IFERROR(__xludf.DUMMYFUNCTION("""COMPUTED_VALUE"""),44922.0)</f>
        <v>44922</v>
      </c>
      <c r="C1361" s="13">
        <f>IFERROR(__xludf.DUMMYFUNCTION("""COMPUTED_VALUE"""),0.6666666666666666)</f>
        <v>0.6666666667</v>
      </c>
      <c r="D1361" s="8">
        <f>IFERROR(__xludf.DUMMYFUNCTION("""COMPUTED_VALUE"""),0.043)</f>
        <v>0.043</v>
      </c>
      <c r="E1361" s="8" t="str">
        <f>IFERROR(__xludf.DUMMYFUNCTION("""COMPUTED_VALUE"""),"Real")</f>
        <v>Real</v>
      </c>
      <c r="G1361" s="8">
        <f t="shared" si="1"/>
        <v>12</v>
      </c>
      <c r="H1361" s="14">
        <f t="shared" si="2"/>
        <v>27</v>
      </c>
      <c r="I1361" s="15">
        <f t="shared" si="3"/>
        <v>16</v>
      </c>
    </row>
    <row r="1362">
      <c r="A1362" s="8" t="str">
        <f>IFERROR(__xludf.DUMMYFUNCTION("IF('(INGESTA)Datos_consumo_datadis'!A1362&lt;&gt;"""",SPLIT('(INGESTA)Datos_consumo_datadis'!A:A,"",""),"""")"),"ES0031408323131005HX0F")</f>
        <v>ES0031408323131005HX0F</v>
      </c>
      <c r="B1362" s="17">
        <f>IFERROR(__xludf.DUMMYFUNCTION("""COMPUTED_VALUE"""),44922.0)</f>
        <v>44922</v>
      </c>
      <c r="C1362" s="13">
        <f>IFERROR(__xludf.DUMMYFUNCTION("""COMPUTED_VALUE"""),0.7083333333333334)</f>
        <v>0.7083333333</v>
      </c>
      <c r="D1362" s="8">
        <f>IFERROR(__xludf.DUMMYFUNCTION("""COMPUTED_VALUE"""),0.334)</f>
        <v>0.334</v>
      </c>
      <c r="E1362" s="8" t="str">
        <f>IFERROR(__xludf.DUMMYFUNCTION("""COMPUTED_VALUE"""),"Real")</f>
        <v>Real</v>
      </c>
      <c r="G1362" s="8">
        <f t="shared" si="1"/>
        <v>12</v>
      </c>
      <c r="H1362" s="14">
        <f t="shared" si="2"/>
        <v>27</v>
      </c>
      <c r="I1362" s="15">
        <f t="shared" si="3"/>
        <v>17</v>
      </c>
    </row>
    <row r="1363">
      <c r="A1363" s="8" t="str">
        <f>IFERROR(__xludf.DUMMYFUNCTION("IF('(INGESTA)Datos_consumo_datadis'!A1363&lt;&gt;"""",SPLIT('(INGESTA)Datos_consumo_datadis'!A:A,"",""),"""")"),"ES0031408323131005HX0F")</f>
        <v>ES0031408323131005HX0F</v>
      </c>
      <c r="B1363" s="17">
        <f>IFERROR(__xludf.DUMMYFUNCTION("""COMPUTED_VALUE"""),44922.0)</f>
        <v>44922</v>
      </c>
      <c r="C1363" s="13">
        <f>IFERROR(__xludf.DUMMYFUNCTION("""COMPUTED_VALUE"""),0.75)</f>
        <v>0.75</v>
      </c>
      <c r="D1363" s="8">
        <f>IFERROR(__xludf.DUMMYFUNCTION("""COMPUTED_VALUE"""),0.082)</f>
        <v>0.082</v>
      </c>
      <c r="E1363" s="8" t="str">
        <f>IFERROR(__xludf.DUMMYFUNCTION("""COMPUTED_VALUE"""),"Real")</f>
        <v>Real</v>
      </c>
      <c r="G1363" s="8">
        <f t="shared" si="1"/>
        <v>12</v>
      </c>
      <c r="H1363" s="14">
        <f t="shared" si="2"/>
        <v>27</v>
      </c>
      <c r="I1363" s="15">
        <f t="shared" si="3"/>
        <v>18</v>
      </c>
    </row>
    <row r="1364">
      <c r="A1364" s="8" t="str">
        <f>IFERROR(__xludf.DUMMYFUNCTION("IF('(INGESTA)Datos_consumo_datadis'!A1364&lt;&gt;"""",SPLIT('(INGESTA)Datos_consumo_datadis'!A:A,"",""),"""")"),"ES0031408323131005HX0F")</f>
        <v>ES0031408323131005HX0F</v>
      </c>
      <c r="B1364" s="17">
        <f>IFERROR(__xludf.DUMMYFUNCTION("""COMPUTED_VALUE"""),44922.0)</f>
        <v>44922</v>
      </c>
      <c r="C1364" s="13">
        <f>IFERROR(__xludf.DUMMYFUNCTION("""COMPUTED_VALUE"""),0.7916666666666666)</f>
        <v>0.7916666667</v>
      </c>
      <c r="D1364" s="8">
        <f>IFERROR(__xludf.DUMMYFUNCTION("""COMPUTED_VALUE"""),0.871)</f>
        <v>0.871</v>
      </c>
      <c r="E1364" s="8" t="str">
        <f>IFERROR(__xludf.DUMMYFUNCTION("""COMPUTED_VALUE"""),"Real")</f>
        <v>Real</v>
      </c>
      <c r="G1364" s="8">
        <f t="shared" si="1"/>
        <v>12</v>
      </c>
      <c r="H1364" s="14">
        <f t="shared" si="2"/>
        <v>27</v>
      </c>
      <c r="I1364" s="15">
        <f t="shared" si="3"/>
        <v>19</v>
      </c>
    </row>
    <row r="1365">
      <c r="A1365" s="8" t="str">
        <f>IFERROR(__xludf.DUMMYFUNCTION("IF('(INGESTA)Datos_consumo_datadis'!A1365&lt;&gt;"""",SPLIT('(INGESTA)Datos_consumo_datadis'!A:A,"",""),"""")"),"ES0031408323131005HX0F")</f>
        <v>ES0031408323131005HX0F</v>
      </c>
      <c r="B1365" s="17">
        <f>IFERROR(__xludf.DUMMYFUNCTION("""COMPUTED_VALUE"""),44922.0)</f>
        <v>44922</v>
      </c>
      <c r="C1365" s="13">
        <f>IFERROR(__xludf.DUMMYFUNCTION("""COMPUTED_VALUE"""),0.8333333333333334)</f>
        <v>0.8333333333</v>
      </c>
      <c r="D1365" s="8">
        <f>IFERROR(__xludf.DUMMYFUNCTION("""COMPUTED_VALUE"""),1.295)</f>
        <v>1.295</v>
      </c>
      <c r="E1365" s="8" t="str">
        <f>IFERROR(__xludf.DUMMYFUNCTION("""COMPUTED_VALUE"""),"Real")</f>
        <v>Real</v>
      </c>
      <c r="G1365" s="8">
        <f t="shared" si="1"/>
        <v>12</v>
      </c>
      <c r="H1365" s="14">
        <f t="shared" si="2"/>
        <v>27</v>
      </c>
      <c r="I1365" s="15">
        <f t="shared" si="3"/>
        <v>20</v>
      </c>
    </row>
    <row r="1366">
      <c r="A1366" s="8" t="str">
        <f>IFERROR(__xludf.DUMMYFUNCTION("IF('(INGESTA)Datos_consumo_datadis'!A1366&lt;&gt;"""",SPLIT('(INGESTA)Datos_consumo_datadis'!A:A,"",""),"""")"),"ES0031408323131005HX0F")</f>
        <v>ES0031408323131005HX0F</v>
      </c>
      <c r="B1366" s="17">
        <f>IFERROR(__xludf.DUMMYFUNCTION("""COMPUTED_VALUE"""),44922.0)</f>
        <v>44922</v>
      </c>
      <c r="C1366" s="13">
        <f>IFERROR(__xludf.DUMMYFUNCTION("""COMPUTED_VALUE"""),0.875)</f>
        <v>0.875</v>
      </c>
      <c r="D1366" s="8">
        <f>IFERROR(__xludf.DUMMYFUNCTION("""COMPUTED_VALUE"""),1.066)</f>
        <v>1.066</v>
      </c>
      <c r="E1366" s="8" t="str">
        <f>IFERROR(__xludf.DUMMYFUNCTION("""COMPUTED_VALUE"""),"Real")</f>
        <v>Real</v>
      </c>
      <c r="G1366" s="8">
        <f t="shared" si="1"/>
        <v>12</v>
      </c>
      <c r="H1366" s="14">
        <f t="shared" si="2"/>
        <v>27</v>
      </c>
      <c r="I1366" s="15">
        <f t="shared" si="3"/>
        <v>21</v>
      </c>
    </row>
    <row r="1367">
      <c r="A1367" s="8" t="str">
        <f>IFERROR(__xludf.DUMMYFUNCTION("IF('(INGESTA)Datos_consumo_datadis'!A1367&lt;&gt;"""",SPLIT('(INGESTA)Datos_consumo_datadis'!A:A,"",""),"""")"),"ES0031408323131005HX0F")</f>
        <v>ES0031408323131005HX0F</v>
      </c>
      <c r="B1367" s="17">
        <f>IFERROR(__xludf.DUMMYFUNCTION("""COMPUTED_VALUE"""),44922.0)</f>
        <v>44922</v>
      </c>
      <c r="C1367" s="13">
        <f>IFERROR(__xludf.DUMMYFUNCTION("""COMPUTED_VALUE"""),0.9166666666666666)</f>
        <v>0.9166666667</v>
      </c>
      <c r="D1367" s="8">
        <f>IFERROR(__xludf.DUMMYFUNCTION("""COMPUTED_VALUE"""),1.583)</f>
        <v>1.583</v>
      </c>
      <c r="E1367" s="8" t="str">
        <f>IFERROR(__xludf.DUMMYFUNCTION("""COMPUTED_VALUE"""),"Real")</f>
        <v>Real</v>
      </c>
      <c r="G1367" s="8">
        <f t="shared" si="1"/>
        <v>12</v>
      </c>
      <c r="H1367" s="14">
        <f t="shared" si="2"/>
        <v>27</v>
      </c>
      <c r="I1367" s="15">
        <f t="shared" si="3"/>
        <v>22</v>
      </c>
    </row>
    <row r="1368">
      <c r="A1368" s="8" t="str">
        <f>IFERROR(__xludf.DUMMYFUNCTION("IF('(INGESTA)Datos_consumo_datadis'!A1368&lt;&gt;"""",SPLIT('(INGESTA)Datos_consumo_datadis'!A:A,"",""),"""")"),"ES0031408323131005HX0F")</f>
        <v>ES0031408323131005HX0F</v>
      </c>
      <c r="B1368" s="17">
        <f>IFERROR(__xludf.DUMMYFUNCTION("""COMPUTED_VALUE"""),44922.0)</f>
        <v>44922</v>
      </c>
      <c r="C1368" s="13">
        <f>IFERROR(__xludf.DUMMYFUNCTION("""COMPUTED_VALUE"""),0.9583333333333334)</f>
        <v>0.9583333333</v>
      </c>
      <c r="D1368" s="8">
        <f>IFERROR(__xludf.DUMMYFUNCTION("""COMPUTED_VALUE"""),1.627)</f>
        <v>1.627</v>
      </c>
      <c r="E1368" s="8" t="str">
        <f>IFERROR(__xludf.DUMMYFUNCTION("""COMPUTED_VALUE"""),"Real")</f>
        <v>Real</v>
      </c>
      <c r="G1368" s="8">
        <f t="shared" si="1"/>
        <v>12</v>
      </c>
      <c r="H1368" s="14">
        <f t="shared" si="2"/>
        <v>27</v>
      </c>
      <c r="I1368" s="15">
        <f t="shared" si="3"/>
        <v>23</v>
      </c>
    </row>
    <row r="1369">
      <c r="A1369" s="8" t="str">
        <f>IFERROR(__xludf.DUMMYFUNCTION("IF('(INGESTA)Datos_consumo_datadis'!A1369&lt;&gt;"""",SPLIT('(INGESTA)Datos_consumo_datadis'!A:A,"",""),"""")"),"ES0031408323131005HX0F")</f>
        <v>ES0031408323131005HX0F</v>
      </c>
      <c r="B1369" s="17">
        <f>IFERROR(__xludf.DUMMYFUNCTION("""COMPUTED_VALUE"""),44922.0)</f>
        <v>44922</v>
      </c>
      <c r="C1369" s="16">
        <f>IFERROR(__xludf.DUMMYFUNCTION("""COMPUTED_VALUE"""),1.0)</f>
        <v>1</v>
      </c>
      <c r="D1369" s="8">
        <f>IFERROR(__xludf.DUMMYFUNCTION("""COMPUTED_VALUE"""),0.848)</f>
        <v>0.848</v>
      </c>
      <c r="E1369" s="8" t="str">
        <f>IFERROR(__xludf.DUMMYFUNCTION("""COMPUTED_VALUE"""),"Real")</f>
        <v>Real</v>
      </c>
      <c r="G1369" s="8">
        <f t="shared" si="1"/>
        <v>12</v>
      </c>
      <c r="H1369" s="14">
        <f t="shared" si="2"/>
        <v>27</v>
      </c>
      <c r="I1369" s="15">
        <f t="shared" si="3"/>
        <v>0</v>
      </c>
    </row>
    <row r="1370">
      <c r="A1370" s="8" t="str">
        <f>IFERROR(__xludf.DUMMYFUNCTION("IF('(INGESTA)Datos_consumo_datadis'!A1370&lt;&gt;"""",SPLIT('(INGESTA)Datos_consumo_datadis'!A:A,"",""),"""")"),"ES0031408323131005HX0F")</f>
        <v>ES0031408323131005HX0F</v>
      </c>
      <c r="B1370" s="17">
        <f>IFERROR(__xludf.DUMMYFUNCTION("""COMPUTED_VALUE"""),44923.0)</f>
        <v>44923</v>
      </c>
      <c r="C1370" s="13">
        <f>IFERROR(__xludf.DUMMYFUNCTION("""COMPUTED_VALUE"""),0.041666666666666664)</f>
        <v>0.04166666667</v>
      </c>
      <c r="D1370" s="8">
        <f>IFERROR(__xludf.DUMMYFUNCTION("""COMPUTED_VALUE"""),0.772)</f>
        <v>0.772</v>
      </c>
      <c r="E1370" s="8" t="str">
        <f>IFERROR(__xludf.DUMMYFUNCTION("""COMPUTED_VALUE"""),"Real")</f>
        <v>Real</v>
      </c>
      <c r="G1370" s="8">
        <f t="shared" si="1"/>
        <v>12</v>
      </c>
      <c r="H1370" s="14">
        <f t="shared" si="2"/>
        <v>28</v>
      </c>
      <c r="I1370" s="15">
        <f t="shared" si="3"/>
        <v>1</v>
      </c>
    </row>
    <row r="1371">
      <c r="A1371" s="8" t="str">
        <f>IFERROR(__xludf.DUMMYFUNCTION("IF('(INGESTA)Datos_consumo_datadis'!A1371&lt;&gt;"""",SPLIT('(INGESTA)Datos_consumo_datadis'!A:A,"",""),"""")"),"ES0031408323131005HX0F")</f>
        <v>ES0031408323131005HX0F</v>
      </c>
      <c r="B1371" s="17">
        <f>IFERROR(__xludf.DUMMYFUNCTION("""COMPUTED_VALUE"""),44923.0)</f>
        <v>44923</v>
      </c>
      <c r="C1371" s="13">
        <f>IFERROR(__xludf.DUMMYFUNCTION("""COMPUTED_VALUE"""),0.08333333333333333)</f>
        <v>0.08333333333</v>
      </c>
      <c r="D1371" s="8">
        <f>IFERROR(__xludf.DUMMYFUNCTION("""COMPUTED_VALUE"""),0.787)</f>
        <v>0.787</v>
      </c>
      <c r="E1371" s="8" t="str">
        <f>IFERROR(__xludf.DUMMYFUNCTION("""COMPUTED_VALUE"""),"Real")</f>
        <v>Real</v>
      </c>
      <c r="G1371" s="8">
        <f t="shared" si="1"/>
        <v>12</v>
      </c>
      <c r="H1371" s="14">
        <f t="shared" si="2"/>
        <v>28</v>
      </c>
      <c r="I1371" s="15">
        <f t="shared" si="3"/>
        <v>2</v>
      </c>
    </row>
    <row r="1372">
      <c r="A1372" s="8" t="str">
        <f>IFERROR(__xludf.DUMMYFUNCTION("IF('(INGESTA)Datos_consumo_datadis'!A1372&lt;&gt;"""",SPLIT('(INGESTA)Datos_consumo_datadis'!A:A,"",""),"""")"),"ES0031408323131005HX0F")</f>
        <v>ES0031408323131005HX0F</v>
      </c>
      <c r="B1372" s="17">
        <f>IFERROR(__xludf.DUMMYFUNCTION("""COMPUTED_VALUE"""),44923.0)</f>
        <v>44923</v>
      </c>
      <c r="C1372" s="13">
        <f>IFERROR(__xludf.DUMMYFUNCTION("""COMPUTED_VALUE"""),0.125)</f>
        <v>0.125</v>
      </c>
      <c r="D1372" s="8">
        <f>IFERROR(__xludf.DUMMYFUNCTION("""COMPUTED_VALUE"""),0.76)</f>
        <v>0.76</v>
      </c>
      <c r="E1372" s="8" t="str">
        <f>IFERROR(__xludf.DUMMYFUNCTION("""COMPUTED_VALUE"""),"Real")</f>
        <v>Real</v>
      </c>
      <c r="G1372" s="8">
        <f t="shared" si="1"/>
        <v>12</v>
      </c>
      <c r="H1372" s="14">
        <f t="shared" si="2"/>
        <v>28</v>
      </c>
      <c r="I1372" s="15">
        <f t="shared" si="3"/>
        <v>3</v>
      </c>
    </row>
    <row r="1373">
      <c r="A1373" s="8" t="str">
        <f>IFERROR(__xludf.DUMMYFUNCTION("IF('(INGESTA)Datos_consumo_datadis'!A1373&lt;&gt;"""",SPLIT('(INGESTA)Datos_consumo_datadis'!A:A,"",""),"""")"),"ES0031408323131005HX0F")</f>
        <v>ES0031408323131005HX0F</v>
      </c>
      <c r="B1373" s="17">
        <f>IFERROR(__xludf.DUMMYFUNCTION("""COMPUTED_VALUE"""),44923.0)</f>
        <v>44923</v>
      </c>
      <c r="C1373" s="13">
        <f>IFERROR(__xludf.DUMMYFUNCTION("""COMPUTED_VALUE"""),0.16666666666666666)</f>
        <v>0.1666666667</v>
      </c>
      <c r="D1373" s="8">
        <f>IFERROR(__xludf.DUMMYFUNCTION("""COMPUTED_VALUE"""),1.076)</f>
        <v>1.076</v>
      </c>
      <c r="E1373" s="8" t="str">
        <f>IFERROR(__xludf.DUMMYFUNCTION("""COMPUTED_VALUE"""),"Real")</f>
        <v>Real</v>
      </c>
      <c r="G1373" s="8">
        <f t="shared" si="1"/>
        <v>12</v>
      </c>
      <c r="H1373" s="14">
        <f t="shared" si="2"/>
        <v>28</v>
      </c>
      <c r="I1373" s="15">
        <f t="shared" si="3"/>
        <v>4</v>
      </c>
    </row>
    <row r="1374">
      <c r="A1374" s="8" t="str">
        <f>IFERROR(__xludf.DUMMYFUNCTION("IF('(INGESTA)Datos_consumo_datadis'!A1374&lt;&gt;"""",SPLIT('(INGESTA)Datos_consumo_datadis'!A:A,"",""),"""")"),"ES0031408323131005HX0F")</f>
        <v>ES0031408323131005HX0F</v>
      </c>
      <c r="B1374" s="17">
        <f>IFERROR(__xludf.DUMMYFUNCTION("""COMPUTED_VALUE"""),44923.0)</f>
        <v>44923</v>
      </c>
      <c r="C1374" s="13">
        <f>IFERROR(__xludf.DUMMYFUNCTION("""COMPUTED_VALUE"""),0.20833333333333334)</f>
        <v>0.2083333333</v>
      </c>
      <c r="D1374" s="8">
        <f>IFERROR(__xludf.DUMMYFUNCTION("""COMPUTED_VALUE"""),0.761)</f>
        <v>0.761</v>
      </c>
      <c r="E1374" s="8" t="str">
        <f>IFERROR(__xludf.DUMMYFUNCTION("""COMPUTED_VALUE"""),"Real")</f>
        <v>Real</v>
      </c>
      <c r="G1374" s="8">
        <f t="shared" si="1"/>
        <v>12</v>
      </c>
      <c r="H1374" s="14">
        <f t="shared" si="2"/>
        <v>28</v>
      </c>
      <c r="I1374" s="15">
        <f t="shared" si="3"/>
        <v>5</v>
      </c>
    </row>
    <row r="1375">
      <c r="A1375" s="8" t="str">
        <f>IFERROR(__xludf.DUMMYFUNCTION("IF('(INGESTA)Datos_consumo_datadis'!A1375&lt;&gt;"""",SPLIT('(INGESTA)Datos_consumo_datadis'!A:A,"",""),"""")"),"ES0031408323131005HX0F")</f>
        <v>ES0031408323131005HX0F</v>
      </c>
      <c r="B1375" s="17">
        <f>IFERROR(__xludf.DUMMYFUNCTION("""COMPUTED_VALUE"""),44923.0)</f>
        <v>44923</v>
      </c>
      <c r="C1375" s="13">
        <f>IFERROR(__xludf.DUMMYFUNCTION("""COMPUTED_VALUE"""),0.25)</f>
        <v>0.25</v>
      </c>
      <c r="D1375" s="8">
        <f>IFERROR(__xludf.DUMMYFUNCTION("""COMPUTED_VALUE"""),0.757)</f>
        <v>0.757</v>
      </c>
      <c r="E1375" s="8" t="str">
        <f>IFERROR(__xludf.DUMMYFUNCTION("""COMPUTED_VALUE"""),"Real")</f>
        <v>Real</v>
      </c>
      <c r="G1375" s="8">
        <f t="shared" si="1"/>
        <v>12</v>
      </c>
      <c r="H1375" s="14">
        <f t="shared" si="2"/>
        <v>28</v>
      </c>
      <c r="I1375" s="15">
        <f t="shared" si="3"/>
        <v>6</v>
      </c>
    </row>
    <row r="1376">
      <c r="A1376" s="8" t="str">
        <f>IFERROR(__xludf.DUMMYFUNCTION("IF('(INGESTA)Datos_consumo_datadis'!A1376&lt;&gt;"""",SPLIT('(INGESTA)Datos_consumo_datadis'!A:A,"",""),"""")"),"ES0031408323131005HX0F")</f>
        <v>ES0031408323131005HX0F</v>
      </c>
      <c r="B1376" s="17">
        <f>IFERROR(__xludf.DUMMYFUNCTION("""COMPUTED_VALUE"""),44923.0)</f>
        <v>44923</v>
      </c>
      <c r="C1376" s="13">
        <f>IFERROR(__xludf.DUMMYFUNCTION("""COMPUTED_VALUE"""),0.2916666666666667)</f>
        <v>0.2916666667</v>
      </c>
      <c r="D1376" s="8">
        <f>IFERROR(__xludf.DUMMYFUNCTION("""COMPUTED_VALUE"""),0.794)</f>
        <v>0.794</v>
      </c>
      <c r="E1376" s="8" t="str">
        <f>IFERROR(__xludf.DUMMYFUNCTION("""COMPUTED_VALUE"""),"Real")</f>
        <v>Real</v>
      </c>
      <c r="G1376" s="8">
        <f t="shared" si="1"/>
        <v>12</v>
      </c>
      <c r="H1376" s="14">
        <f t="shared" si="2"/>
        <v>28</v>
      </c>
      <c r="I1376" s="15">
        <f t="shared" si="3"/>
        <v>7</v>
      </c>
    </row>
    <row r="1377">
      <c r="A1377" s="8" t="str">
        <f>IFERROR(__xludf.DUMMYFUNCTION("IF('(INGESTA)Datos_consumo_datadis'!A1377&lt;&gt;"""",SPLIT('(INGESTA)Datos_consumo_datadis'!A:A,"",""),"""")"),"ES0031408323131005HX0F")</f>
        <v>ES0031408323131005HX0F</v>
      </c>
      <c r="B1377" s="17">
        <f>IFERROR(__xludf.DUMMYFUNCTION("""COMPUTED_VALUE"""),44923.0)</f>
        <v>44923</v>
      </c>
      <c r="C1377" s="13">
        <f>IFERROR(__xludf.DUMMYFUNCTION("""COMPUTED_VALUE"""),0.3333333333333333)</f>
        <v>0.3333333333</v>
      </c>
      <c r="D1377" s="8">
        <f>IFERROR(__xludf.DUMMYFUNCTION("""COMPUTED_VALUE"""),0.747)</f>
        <v>0.747</v>
      </c>
      <c r="E1377" s="8" t="str">
        <f>IFERROR(__xludf.DUMMYFUNCTION("""COMPUTED_VALUE"""),"Real")</f>
        <v>Real</v>
      </c>
      <c r="G1377" s="8">
        <f t="shared" si="1"/>
        <v>12</v>
      </c>
      <c r="H1377" s="14">
        <f t="shared" si="2"/>
        <v>28</v>
      </c>
      <c r="I1377" s="15">
        <f t="shared" si="3"/>
        <v>8</v>
      </c>
    </row>
    <row r="1378">
      <c r="A1378" s="8" t="str">
        <f>IFERROR(__xludf.DUMMYFUNCTION("IF('(INGESTA)Datos_consumo_datadis'!A1378&lt;&gt;"""",SPLIT('(INGESTA)Datos_consumo_datadis'!A:A,"",""),"""")"),"ES0031408323131005HX0F")</f>
        <v>ES0031408323131005HX0F</v>
      </c>
      <c r="B1378" s="17">
        <f>IFERROR(__xludf.DUMMYFUNCTION("""COMPUTED_VALUE"""),44923.0)</f>
        <v>44923</v>
      </c>
      <c r="C1378" s="13">
        <f>IFERROR(__xludf.DUMMYFUNCTION("""COMPUTED_VALUE"""),0.375)</f>
        <v>0.375</v>
      </c>
      <c r="D1378" s="8">
        <f>IFERROR(__xludf.DUMMYFUNCTION("""COMPUTED_VALUE"""),0.844)</f>
        <v>0.844</v>
      </c>
      <c r="E1378" s="8" t="str">
        <f>IFERROR(__xludf.DUMMYFUNCTION("""COMPUTED_VALUE"""),"Real")</f>
        <v>Real</v>
      </c>
      <c r="G1378" s="8">
        <f t="shared" si="1"/>
        <v>12</v>
      </c>
      <c r="H1378" s="14">
        <f t="shared" si="2"/>
        <v>28</v>
      </c>
      <c r="I1378" s="15">
        <f t="shared" si="3"/>
        <v>9</v>
      </c>
    </row>
    <row r="1379">
      <c r="A1379" s="8" t="str">
        <f>IFERROR(__xludf.DUMMYFUNCTION("IF('(INGESTA)Datos_consumo_datadis'!A1379&lt;&gt;"""",SPLIT('(INGESTA)Datos_consumo_datadis'!A:A,"",""),"""")"),"ES0031408323131005HX0F")</f>
        <v>ES0031408323131005HX0F</v>
      </c>
      <c r="B1379" s="17">
        <f>IFERROR(__xludf.DUMMYFUNCTION("""COMPUTED_VALUE"""),44923.0)</f>
        <v>44923</v>
      </c>
      <c r="C1379" s="13">
        <f>IFERROR(__xludf.DUMMYFUNCTION("""COMPUTED_VALUE"""),0.4166666666666667)</f>
        <v>0.4166666667</v>
      </c>
      <c r="D1379" s="8">
        <f>IFERROR(__xludf.DUMMYFUNCTION("""COMPUTED_VALUE"""),0.809)</f>
        <v>0.809</v>
      </c>
      <c r="E1379" s="8" t="str">
        <f>IFERROR(__xludf.DUMMYFUNCTION("""COMPUTED_VALUE"""),"Real")</f>
        <v>Real</v>
      </c>
      <c r="G1379" s="8">
        <f t="shared" si="1"/>
        <v>12</v>
      </c>
      <c r="H1379" s="14">
        <f t="shared" si="2"/>
        <v>28</v>
      </c>
      <c r="I1379" s="15">
        <f t="shared" si="3"/>
        <v>10</v>
      </c>
    </row>
    <row r="1380">
      <c r="A1380" s="8" t="str">
        <f>IFERROR(__xludf.DUMMYFUNCTION("IF('(INGESTA)Datos_consumo_datadis'!A1380&lt;&gt;"""",SPLIT('(INGESTA)Datos_consumo_datadis'!A:A,"",""),"""")"),"ES0031408323131005HX0F")</f>
        <v>ES0031408323131005HX0F</v>
      </c>
      <c r="B1380" s="17">
        <f>IFERROR(__xludf.DUMMYFUNCTION("""COMPUTED_VALUE"""),44923.0)</f>
        <v>44923</v>
      </c>
      <c r="C1380" s="13">
        <f>IFERROR(__xludf.DUMMYFUNCTION("""COMPUTED_VALUE"""),0.4583333333333333)</f>
        <v>0.4583333333</v>
      </c>
      <c r="D1380" s="8">
        <f>IFERROR(__xludf.DUMMYFUNCTION("""COMPUTED_VALUE"""),0.876)</f>
        <v>0.876</v>
      </c>
      <c r="E1380" s="8" t="str">
        <f>IFERROR(__xludf.DUMMYFUNCTION("""COMPUTED_VALUE"""),"Real")</f>
        <v>Real</v>
      </c>
      <c r="G1380" s="8">
        <f t="shared" si="1"/>
        <v>12</v>
      </c>
      <c r="H1380" s="14">
        <f t="shared" si="2"/>
        <v>28</v>
      </c>
      <c r="I1380" s="15">
        <f t="shared" si="3"/>
        <v>11</v>
      </c>
    </row>
    <row r="1381">
      <c r="A1381" s="8" t="str">
        <f>IFERROR(__xludf.DUMMYFUNCTION("IF('(INGESTA)Datos_consumo_datadis'!A1381&lt;&gt;"""",SPLIT('(INGESTA)Datos_consumo_datadis'!A:A,"",""),"""")"),"ES0031408323131005HX0F")</f>
        <v>ES0031408323131005HX0F</v>
      </c>
      <c r="B1381" s="17">
        <f>IFERROR(__xludf.DUMMYFUNCTION("""COMPUTED_VALUE"""),44923.0)</f>
        <v>44923</v>
      </c>
      <c r="C1381" s="13">
        <f>IFERROR(__xludf.DUMMYFUNCTION("""COMPUTED_VALUE"""),0.5)</f>
        <v>0.5</v>
      </c>
      <c r="D1381" s="8">
        <f>IFERROR(__xludf.DUMMYFUNCTION("""COMPUTED_VALUE"""),0.887)</f>
        <v>0.887</v>
      </c>
      <c r="E1381" s="8" t="str">
        <f>IFERROR(__xludf.DUMMYFUNCTION("""COMPUTED_VALUE"""),"Real")</f>
        <v>Real</v>
      </c>
      <c r="G1381" s="8">
        <f t="shared" si="1"/>
        <v>12</v>
      </c>
      <c r="H1381" s="14">
        <f t="shared" si="2"/>
        <v>28</v>
      </c>
      <c r="I1381" s="15">
        <f t="shared" si="3"/>
        <v>12</v>
      </c>
    </row>
    <row r="1382">
      <c r="A1382" s="8" t="str">
        <f>IFERROR(__xludf.DUMMYFUNCTION("IF('(INGESTA)Datos_consumo_datadis'!A1382&lt;&gt;"""",SPLIT('(INGESTA)Datos_consumo_datadis'!A:A,"",""),"""")"),"ES0031408323131005HX0F")</f>
        <v>ES0031408323131005HX0F</v>
      </c>
      <c r="B1382" s="17">
        <f>IFERROR(__xludf.DUMMYFUNCTION("""COMPUTED_VALUE"""),44923.0)</f>
        <v>44923</v>
      </c>
      <c r="C1382" s="13">
        <f>IFERROR(__xludf.DUMMYFUNCTION("""COMPUTED_VALUE"""),0.5416666666666666)</f>
        <v>0.5416666667</v>
      </c>
      <c r="D1382" s="8">
        <f>IFERROR(__xludf.DUMMYFUNCTION("""COMPUTED_VALUE"""),0.099)</f>
        <v>0.099</v>
      </c>
      <c r="E1382" s="8" t="str">
        <f>IFERROR(__xludf.DUMMYFUNCTION("""COMPUTED_VALUE"""),"Real")</f>
        <v>Real</v>
      </c>
      <c r="G1382" s="8">
        <f t="shared" si="1"/>
        <v>12</v>
      </c>
      <c r="H1382" s="14">
        <f t="shared" si="2"/>
        <v>28</v>
      </c>
      <c r="I1382" s="15">
        <f t="shared" si="3"/>
        <v>13</v>
      </c>
    </row>
    <row r="1383">
      <c r="A1383" s="8" t="str">
        <f>IFERROR(__xludf.DUMMYFUNCTION("IF('(INGESTA)Datos_consumo_datadis'!A1383&lt;&gt;"""",SPLIT('(INGESTA)Datos_consumo_datadis'!A:A,"",""),"""")"),"ES0031408323131005HX0F")</f>
        <v>ES0031408323131005HX0F</v>
      </c>
      <c r="B1383" s="17">
        <f>IFERROR(__xludf.DUMMYFUNCTION("""COMPUTED_VALUE"""),44923.0)</f>
        <v>44923</v>
      </c>
      <c r="C1383" s="13">
        <f>IFERROR(__xludf.DUMMYFUNCTION("""COMPUTED_VALUE"""),0.5833333333333334)</f>
        <v>0.5833333333</v>
      </c>
      <c r="D1383" s="8">
        <f>IFERROR(__xludf.DUMMYFUNCTION("""COMPUTED_VALUE"""),0.448)</f>
        <v>0.448</v>
      </c>
      <c r="E1383" s="8" t="str">
        <f>IFERROR(__xludf.DUMMYFUNCTION("""COMPUTED_VALUE"""),"Real")</f>
        <v>Real</v>
      </c>
      <c r="G1383" s="8">
        <f t="shared" si="1"/>
        <v>12</v>
      </c>
      <c r="H1383" s="14">
        <f t="shared" si="2"/>
        <v>28</v>
      </c>
      <c r="I1383" s="15">
        <f t="shared" si="3"/>
        <v>14</v>
      </c>
    </row>
    <row r="1384">
      <c r="A1384" s="8" t="str">
        <f>IFERROR(__xludf.DUMMYFUNCTION("IF('(INGESTA)Datos_consumo_datadis'!A1384&lt;&gt;"""",SPLIT('(INGESTA)Datos_consumo_datadis'!A:A,"",""),"""")"),"ES0031408323131005HX0F")</f>
        <v>ES0031408323131005HX0F</v>
      </c>
      <c r="B1384" s="17">
        <f>IFERROR(__xludf.DUMMYFUNCTION("""COMPUTED_VALUE"""),44923.0)</f>
        <v>44923</v>
      </c>
      <c r="C1384" s="13">
        <f>IFERROR(__xludf.DUMMYFUNCTION("""COMPUTED_VALUE"""),0.625)</f>
        <v>0.625</v>
      </c>
      <c r="D1384" s="8">
        <f>IFERROR(__xludf.DUMMYFUNCTION("""COMPUTED_VALUE"""),0.685)</f>
        <v>0.685</v>
      </c>
      <c r="E1384" s="8" t="str">
        <f>IFERROR(__xludf.DUMMYFUNCTION("""COMPUTED_VALUE"""),"Real")</f>
        <v>Real</v>
      </c>
      <c r="G1384" s="8">
        <f t="shared" si="1"/>
        <v>12</v>
      </c>
      <c r="H1384" s="14">
        <f t="shared" si="2"/>
        <v>28</v>
      </c>
      <c r="I1384" s="15">
        <f t="shared" si="3"/>
        <v>15</v>
      </c>
    </row>
    <row r="1385">
      <c r="A1385" s="8" t="str">
        <f>IFERROR(__xludf.DUMMYFUNCTION("IF('(INGESTA)Datos_consumo_datadis'!A1385&lt;&gt;"""",SPLIT('(INGESTA)Datos_consumo_datadis'!A:A,"",""),"""")"),"ES0031408323131005HX0F")</f>
        <v>ES0031408323131005HX0F</v>
      </c>
      <c r="B1385" s="17">
        <f>IFERROR(__xludf.DUMMYFUNCTION("""COMPUTED_VALUE"""),44923.0)</f>
        <v>44923</v>
      </c>
      <c r="C1385" s="13">
        <f>IFERROR(__xludf.DUMMYFUNCTION("""COMPUTED_VALUE"""),0.6666666666666666)</f>
        <v>0.6666666667</v>
      </c>
      <c r="D1385" s="8">
        <f>IFERROR(__xludf.DUMMYFUNCTION("""COMPUTED_VALUE"""),1.132)</f>
        <v>1.132</v>
      </c>
      <c r="E1385" s="8" t="str">
        <f>IFERROR(__xludf.DUMMYFUNCTION("""COMPUTED_VALUE"""),"Real")</f>
        <v>Real</v>
      </c>
      <c r="G1385" s="8">
        <f t="shared" si="1"/>
        <v>12</v>
      </c>
      <c r="H1385" s="14">
        <f t="shared" si="2"/>
        <v>28</v>
      </c>
      <c r="I1385" s="15">
        <f t="shared" si="3"/>
        <v>16</v>
      </c>
    </row>
    <row r="1386">
      <c r="A1386" s="8" t="str">
        <f>IFERROR(__xludf.DUMMYFUNCTION("IF('(INGESTA)Datos_consumo_datadis'!A1386&lt;&gt;"""",SPLIT('(INGESTA)Datos_consumo_datadis'!A:A,"",""),"""")"),"ES0031408323131005HX0F")</f>
        <v>ES0031408323131005HX0F</v>
      </c>
      <c r="B1386" s="17">
        <f>IFERROR(__xludf.DUMMYFUNCTION("""COMPUTED_VALUE"""),44923.0)</f>
        <v>44923</v>
      </c>
      <c r="C1386" s="13">
        <f>IFERROR(__xludf.DUMMYFUNCTION("""COMPUTED_VALUE"""),0.7083333333333334)</f>
        <v>0.7083333333</v>
      </c>
      <c r="D1386" s="8">
        <f>IFERROR(__xludf.DUMMYFUNCTION("""COMPUTED_VALUE"""),0.549)</f>
        <v>0.549</v>
      </c>
      <c r="E1386" s="8" t="str">
        <f>IFERROR(__xludf.DUMMYFUNCTION("""COMPUTED_VALUE"""),"Real")</f>
        <v>Real</v>
      </c>
      <c r="G1386" s="8">
        <f t="shared" si="1"/>
        <v>12</v>
      </c>
      <c r="H1386" s="14">
        <f t="shared" si="2"/>
        <v>28</v>
      </c>
      <c r="I1386" s="15">
        <f t="shared" si="3"/>
        <v>17</v>
      </c>
    </row>
    <row r="1387">
      <c r="A1387" s="8" t="str">
        <f>IFERROR(__xludf.DUMMYFUNCTION("IF('(INGESTA)Datos_consumo_datadis'!A1387&lt;&gt;"""",SPLIT('(INGESTA)Datos_consumo_datadis'!A:A,"",""),"""")"),"ES0031408323131005HX0F")</f>
        <v>ES0031408323131005HX0F</v>
      </c>
      <c r="B1387" s="17">
        <f>IFERROR(__xludf.DUMMYFUNCTION("""COMPUTED_VALUE"""),44923.0)</f>
        <v>44923</v>
      </c>
      <c r="C1387" s="13">
        <f>IFERROR(__xludf.DUMMYFUNCTION("""COMPUTED_VALUE"""),0.75)</f>
        <v>0.75</v>
      </c>
      <c r="D1387" s="8">
        <f>IFERROR(__xludf.DUMMYFUNCTION("""COMPUTED_VALUE"""),1.692)</f>
        <v>1.692</v>
      </c>
      <c r="E1387" s="8" t="str">
        <f>IFERROR(__xludf.DUMMYFUNCTION("""COMPUTED_VALUE"""),"Real")</f>
        <v>Real</v>
      </c>
      <c r="G1387" s="8">
        <f t="shared" si="1"/>
        <v>12</v>
      </c>
      <c r="H1387" s="14">
        <f t="shared" si="2"/>
        <v>28</v>
      </c>
      <c r="I1387" s="15">
        <f t="shared" si="3"/>
        <v>18</v>
      </c>
    </row>
    <row r="1388">
      <c r="A1388" s="8" t="str">
        <f>IFERROR(__xludf.DUMMYFUNCTION("IF('(INGESTA)Datos_consumo_datadis'!A1388&lt;&gt;"""",SPLIT('(INGESTA)Datos_consumo_datadis'!A:A,"",""),"""")"),"ES0031408323131005HX0F")</f>
        <v>ES0031408323131005HX0F</v>
      </c>
      <c r="B1388" s="17">
        <f>IFERROR(__xludf.DUMMYFUNCTION("""COMPUTED_VALUE"""),44923.0)</f>
        <v>44923</v>
      </c>
      <c r="C1388" s="13">
        <f>IFERROR(__xludf.DUMMYFUNCTION("""COMPUTED_VALUE"""),0.7916666666666666)</f>
        <v>0.7916666667</v>
      </c>
      <c r="D1388" s="8">
        <f>IFERROR(__xludf.DUMMYFUNCTION("""COMPUTED_VALUE"""),0.13)</f>
        <v>0.13</v>
      </c>
      <c r="E1388" s="8" t="str">
        <f>IFERROR(__xludf.DUMMYFUNCTION("""COMPUTED_VALUE"""),"Real")</f>
        <v>Real</v>
      </c>
      <c r="G1388" s="8">
        <f t="shared" si="1"/>
        <v>12</v>
      </c>
      <c r="H1388" s="14">
        <f t="shared" si="2"/>
        <v>28</v>
      </c>
      <c r="I1388" s="15">
        <f t="shared" si="3"/>
        <v>19</v>
      </c>
    </row>
    <row r="1389">
      <c r="A1389" s="8" t="str">
        <f>IFERROR(__xludf.DUMMYFUNCTION("IF('(INGESTA)Datos_consumo_datadis'!A1389&lt;&gt;"""",SPLIT('(INGESTA)Datos_consumo_datadis'!A:A,"",""),"""")"),"ES0031408323131005HX0F")</f>
        <v>ES0031408323131005HX0F</v>
      </c>
      <c r="B1389" s="17">
        <f>IFERROR(__xludf.DUMMYFUNCTION("""COMPUTED_VALUE"""),44923.0)</f>
        <v>44923</v>
      </c>
      <c r="C1389" s="13">
        <f>IFERROR(__xludf.DUMMYFUNCTION("""COMPUTED_VALUE"""),0.8333333333333334)</f>
        <v>0.8333333333</v>
      </c>
      <c r="D1389" s="8">
        <f>IFERROR(__xludf.DUMMYFUNCTION("""COMPUTED_VALUE"""),0.847)</f>
        <v>0.847</v>
      </c>
      <c r="E1389" s="8" t="str">
        <f>IFERROR(__xludf.DUMMYFUNCTION("""COMPUTED_VALUE"""),"Real")</f>
        <v>Real</v>
      </c>
      <c r="G1389" s="8">
        <f t="shared" si="1"/>
        <v>12</v>
      </c>
      <c r="H1389" s="14">
        <f t="shared" si="2"/>
        <v>28</v>
      </c>
      <c r="I1389" s="15">
        <f t="shared" si="3"/>
        <v>20</v>
      </c>
    </row>
    <row r="1390">
      <c r="A1390" s="8" t="str">
        <f>IFERROR(__xludf.DUMMYFUNCTION("IF('(INGESTA)Datos_consumo_datadis'!A1390&lt;&gt;"""",SPLIT('(INGESTA)Datos_consumo_datadis'!A:A,"",""),"""")"),"ES0031408323131005HX0F")</f>
        <v>ES0031408323131005HX0F</v>
      </c>
      <c r="B1390" s="17">
        <f>IFERROR(__xludf.DUMMYFUNCTION("""COMPUTED_VALUE"""),44923.0)</f>
        <v>44923</v>
      </c>
      <c r="C1390" s="13">
        <f>IFERROR(__xludf.DUMMYFUNCTION("""COMPUTED_VALUE"""),0.875)</f>
        <v>0.875</v>
      </c>
      <c r="D1390" s="8">
        <f>IFERROR(__xludf.DUMMYFUNCTION("""COMPUTED_VALUE"""),2.919)</f>
        <v>2.919</v>
      </c>
      <c r="E1390" s="8" t="str">
        <f>IFERROR(__xludf.DUMMYFUNCTION("""COMPUTED_VALUE"""),"Real")</f>
        <v>Real</v>
      </c>
      <c r="G1390" s="8">
        <f t="shared" si="1"/>
        <v>12</v>
      </c>
      <c r="H1390" s="14">
        <f t="shared" si="2"/>
        <v>28</v>
      </c>
      <c r="I1390" s="15">
        <f t="shared" si="3"/>
        <v>21</v>
      </c>
    </row>
    <row r="1391">
      <c r="A1391" s="8" t="str">
        <f>IFERROR(__xludf.DUMMYFUNCTION("IF('(INGESTA)Datos_consumo_datadis'!A1391&lt;&gt;"""",SPLIT('(INGESTA)Datos_consumo_datadis'!A:A,"",""),"""")"),"ES0031408323131005HX0F")</f>
        <v>ES0031408323131005HX0F</v>
      </c>
      <c r="B1391" s="17">
        <f>IFERROR(__xludf.DUMMYFUNCTION("""COMPUTED_VALUE"""),44923.0)</f>
        <v>44923</v>
      </c>
      <c r="C1391" s="13">
        <f>IFERROR(__xludf.DUMMYFUNCTION("""COMPUTED_VALUE"""),0.9166666666666666)</f>
        <v>0.9166666667</v>
      </c>
      <c r="D1391" s="8">
        <f>IFERROR(__xludf.DUMMYFUNCTION("""COMPUTED_VALUE"""),1.69)</f>
        <v>1.69</v>
      </c>
      <c r="E1391" s="8" t="str">
        <f>IFERROR(__xludf.DUMMYFUNCTION("""COMPUTED_VALUE"""),"Real")</f>
        <v>Real</v>
      </c>
      <c r="G1391" s="8">
        <f t="shared" si="1"/>
        <v>12</v>
      </c>
      <c r="H1391" s="14">
        <f t="shared" si="2"/>
        <v>28</v>
      </c>
      <c r="I1391" s="15">
        <f t="shared" si="3"/>
        <v>22</v>
      </c>
    </row>
    <row r="1392">
      <c r="A1392" s="8" t="str">
        <f>IFERROR(__xludf.DUMMYFUNCTION("IF('(INGESTA)Datos_consumo_datadis'!A1392&lt;&gt;"""",SPLIT('(INGESTA)Datos_consumo_datadis'!A:A,"",""),"""")"),"ES0031408323131005HX0F")</f>
        <v>ES0031408323131005HX0F</v>
      </c>
      <c r="B1392" s="17">
        <f>IFERROR(__xludf.DUMMYFUNCTION("""COMPUTED_VALUE"""),44923.0)</f>
        <v>44923</v>
      </c>
      <c r="C1392" s="13">
        <f>IFERROR(__xludf.DUMMYFUNCTION("""COMPUTED_VALUE"""),0.9583333333333334)</f>
        <v>0.9583333333</v>
      </c>
      <c r="D1392" s="8">
        <f>IFERROR(__xludf.DUMMYFUNCTION("""COMPUTED_VALUE"""),1.163)</f>
        <v>1.163</v>
      </c>
      <c r="E1392" s="8" t="str">
        <f>IFERROR(__xludf.DUMMYFUNCTION("""COMPUTED_VALUE"""),"Real")</f>
        <v>Real</v>
      </c>
      <c r="G1392" s="8">
        <f t="shared" si="1"/>
        <v>12</v>
      </c>
      <c r="H1392" s="14">
        <f t="shared" si="2"/>
        <v>28</v>
      </c>
      <c r="I1392" s="15">
        <f t="shared" si="3"/>
        <v>23</v>
      </c>
    </row>
    <row r="1393">
      <c r="A1393" s="8" t="str">
        <f>IFERROR(__xludf.DUMMYFUNCTION("IF('(INGESTA)Datos_consumo_datadis'!A1393&lt;&gt;"""",SPLIT('(INGESTA)Datos_consumo_datadis'!A:A,"",""),"""")"),"ES0031408323131005HX0F")</f>
        <v>ES0031408323131005HX0F</v>
      </c>
      <c r="B1393" s="17">
        <f>IFERROR(__xludf.DUMMYFUNCTION("""COMPUTED_VALUE"""),44923.0)</f>
        <v>44923</v>
      </c>
      <c r="C1393" s="16">
        <f>IFERROR(__xludf.DUMMYFUNCTION("""COMPUTED_VALUE"""),1.0)</f>
        <v>1</v>
      </c>
      <c r="D1393" s="8">
        <f>IFERROR(__xludf.DUMMYFUNCTION("""COMPUTED_VALUE"""),0.86)</f>
        <v>0.86</v>
      </c>
      <c r="E1393" s="8" t="str">
        <f>IFERROR(__xludf.DUMMYFUNCTION("""COMPUTED_VALUE"""),"Real")</f>
        <v>Real</v>
      </c>
      <c r="G1393" s="8">
        <f t="shared" si="1"/>
        <v>12</v>
      </c>
      <c r="H1393" s="14">
        <f t="shared" si="2"/>
        <v>28</v>
      </c>
      <c r="I1393" s="15">
        <f t="shared" si="3"/>
        <v>0</v>
      </c>
    </row>
    <row r="1394">
      <c r="A1394" s="8" t="str">
        <f>IFERROR(__xludf.DUMMYFUNCTION("IF('(INGESTA)Datos_consumo_datadis'!A1394&lt;&gt;"""",SPLIT('(INGESTA)Datos_consumo_datadis'!A:A,"",""),"""")"),"ES0031408323131005HX0F")</f>
        <v>ES0031408323131005HX0F</v>
      </c>
      <c r="B1394" s="17">
        <f>IFERROR(__xludf.DUMMYFUNCTION("""COMPUTED_VALUE"""),44924.0)</f>
        <v>44924</v>
      </c>
      <c r="C1394" s="13">
        <f>IFERROR(__xludf.DUMMYFUNCTION("""COMPUTED_VALUE"""),0.041666666666666664)</f>
        <v>0.04166666667</v>
      </c>
      <c r="D1394" s="8">
        <f>IFERROR(__xludf.DUMMYFUNCTION("""COMPUTED_VALUE"""),0.395)</f>
        <v>0.395</v>
      </c>
      <c r="E1394" s="8" t="str">
        <f>IFERROR(__xludf.DUMMYFUNCTION("""COMPUTED_VALUE"""),"Real")</f>
        <v>Real</v>
      </c>
      <c r="G1394" s="8">
        <f t="shared" si="1"/>
        <v>12</v>
      </c>
      <c r="H1394" s="14">
        <f t="shared" si="2"/>
        <v>29</v>
      </c>
      <c r="I1394" s="15">
        <f t="shared" si="3"/>
        <v>1</v>
      </c>
    </row>
    <row r="1395">
      <c r="A1395" s="8" t="str">
        <f>IFERROR(__xludf.DUMMYFUNCTION("IF('(INGESTA)Datos_consumo_datadis'!A1395&lt;&gt;"""",SPLIT('(INGESTA)Datos_consumo_datadis'!A:A,"",""),"""")"),"ES0031408323131005HX0F")</f>
        <v>ES0031408323131005HX0F</v>
      </c>
      <c r="B1395" s="17">
        <f>IFERROR(__xludf.DUMMYFUNCTION("""COMPUTED_VALUE"""),44924.0)</f>
        <v>44924</v>
      </c>
      <c r="C1395" s="13">
        <f>IFERROR(__xludf.DUMMYFUNCTION("""COMPUTED_VALUE"""),0.08333333333333333)</f>
        <v>0.08333333333</v>
      </c>
      <c r="D1395" s="8">
        <f>IFERROR(__xludf.DUMMYFUNCTION("""COMPUTED_VALUE"""),0.035)</f>
        <v>0.035</v>
      </c>
      <c r="E1395" s="8" t="str">
        <f>IFERROR(__xludf.DUMMYFUNCTION("""COMPUTED_VALUE"""),"Real")</f>
        <v>Real</v>
      </c>
      <c r="G1395" s="8">
        <f t="shared" si="1"/>
        <v>12</v>
      </c>
      <c r="H1395" s="14">
        <f t="shared" si="2"/>
        <v>29</v>
      </c>
      <c r="I1395" s="15">
        <f t="shared" si="3"/>
        <v>2</v>
      </c>
    </row>
    <row r="1396">
      <c r="A1396" s="8" t="str">
        <f>IFERROR(__xludf.DUMMYFUNCTION("IF('(INGESTA)Datos_consumo_datadis'!A1396&lt;&gt;"""",SPLIT('(INGESTA)Datos_consumo_datadis'!A:A,"",""),"""")"),"ES0031408323131005HX0F")</f>
        <v>ES0031408323131005HX0F</v>
      </c>
      <c r="B1396" s="17">
        <f>IFERROR(__xludf.DUMMYFUNCTION("""COMPUTED_VALUE"""),44924.0)</f>
        <v>44924</v>
      </c>
      <c r="C1396" s="13">
        <f>IFERROR(__xludf.DUMMYFUNCTION("""COMPUTED_VALUE"""),0.125)</f>
        <v>0.125</v>
      </c>
      <c r="D1396" s="8">
        <f>IFERROR(__xludf.DUMMYFUNCTION("""COMPUTED_VALUE"""),0.076)</f>
        <v>0.076</v>
      </c>
      <c r="E1396" s="8" t="str">
        <f>IFERROR(__xludf.DUMMYFUNCTION("""COMPUTED_VALUE"""),"Real")</f>
        <v>Real</v>
      </c>
      <c r="G1396" s="8">
        <f t="shared" si="1"/>
        <v>12</v>
      </c>
      <c r="H1396" s="14">
        <f t="shared" si="2"/>
        <v>29</v>
      </c>
      <c r="I1396" s="15">
        <f t="shared" si="3"/>
        <v>3</v>
      </c>
    </row>
    <row r="1397">
      <c r="A1397" s="8" t="str">
        <f>IFERROR(__xludf.DUMMYFUNCTION("IF('(INGESTA)Datos_consumo_datadis'!A1397&lt;&gt;"""",SPLIT('(INGESTA)Datos_consumo_datadis'!A:A,"",""),"""")"),"ES0031408323131005HX0F")</f>
        <v>ES0031408323131005HX0F</v>
      </c>
      <c r="B1397" s="17">
        <f>IFERROR(__xludf.DUMMYFUNCTION("""COMPUTED_VALUE"""),44924.0)</f>
        <v>44924</v>
      </c>
      <c r="C1397" s="13">
        <f>IFERROR(__xludf.DUMMYFUNCTION("""COMPUTED_VALUE"""),0.16666666666666666)</f>
        <v>0.1666666667</v>
      </c>
      <c r="D1397" s="8">
        <f>IFERROR(__xludf.DUMMYFUNCTION("""COMPUTED_VALUE"""),0.315)</f>
        <v>0.315</v>
      </c>
      <c r="E1397" s="8" t="str">
        <f>IFERROR(__xludf.DUMMYFUNCTION("""COMPUTED_VALUE"""),"Real")</f>
        <v>Real</v>
      </c>
      <c r="G1397" s="8">
        <f t="shared" si="1"/>
        <v>12</v>
      </c>
      <c r="H1397" s="14">
        <f t="shared" si="2"/>
        <v>29</v>
      </c>
      <c r="I1397" s="15">
        <f t="shared" si="3"/>
        <v>4</v>
      </c>
    </row>
    <row r="1398">
      <c r="A1398" s="8" t="str">
        <f>IFERROR(__xludf.DUMMYFUNCTION("IF('(INGESTA)Datos_consumo_datadis'!A1398&lt;&gt;"""",SPLIT('(INGESTA)Datos_consumo_datadis'!A:A,"",""),"""")"),"ES0031408323131005HX0F")</f>
        <v>ES0031408323131005HX0F</v>
      </c>
      <c r="B1398" s="17">
        <f>IFERROR(__xludf.DUMMYFUNCTION("""COMPUTED_VALUE"""),44924.0)</f>
        <v>44924</v>
      </c>
      <c r="C1398" s="13">
        <f>IFERROR(__xludf.DUMMYFUNCTION("""COMPUTED_VALUE"""),0.20833333333333334)</f>
        <v>0.2083333333</v>
      </c>
      <c r="D1398" s="8">
        <f>IFERROR(__xludf.DUMMYFUNCTION("""COMPUTED_VALUE"""),0.027)</f>
        <v>0.027</v>
      </c>
      <c r="E1398" s="8" t="str">
        <f>IFERROR(__xludf.DUMMYFUNCTION("""COMPUTED_VALUE"""),"Real")</f>
        <v>Real</v>
      </c>
      <c r="G1398" s="8">
        <f t="shared" si="1"/>
        <v>12</v>
      </c>
      <c r="H1398" s="14">
        <f t="shared" si="2"/>
        <v>29</v>
      </c>
      <c r="I1398" s="15">
        <f t="shared" si="3"/>
        <v>5</v>
      </c>
    </row>
    <row r="1399">
      <c r="A1399" s="8" t="str">
        <f>IFERROR(__xludf.DUMMYFUNCTION("IF('(INGESTA)Datos_consumo_datadis'!A1399&lt;&gt;"""",SPLIT('(INGESTA)Datos_consumo_datadis'!A:A,"",""),"""")"),"ES0031408323131005HX0F")</f>
        <v>ES0031408323131005HX0F</v>
      </c>
      <c r="B1399" s="17">
        <f>IFERROR(__xludf.DUMMYFUNCTION("""COMPUTED_VALUE"""),44924.0)</f>
        <v>44924</v>
      </c>
      <c r="C1399" s="13">
        <f>IFERROR(__xludf.DUMMYFUNCTION("""COMPUTED_VALUE"""),0.25)</f>
        <v>0.25</v>
      </c>
      <c r="D1399" s="8">
        <f>IFERROR(__xludf.DUMMYFUNCTION("""COMPUTED_VALUE"""),0.049)</f>
        <v>0.049</v>
      </c>
      <c r="E1399" s="8" t="str">
        <f>IFERROR(__xludf.DUMMYFUNCTION("""COMPUTED_VALUE"""),"Real")</f>
        <v>Real</v>
      </c>
      <c r="G1399" s="8">
        <f t="shared" si="1"/>
        <v>12</v>
      </c>
      <c r="H1399" s="14">
        <f t="shared" si="2"/>
        <v>29</v>
      </c>
      <c r="I1399" s="15">
        <f t="shared" si="3"/>
        <v>6</v>
      </c>
    </row>
    <row r="1400">
      <c r="A1400" s="8" t="str">
        <f>IFERROR(__xludf.DUMMYFUNCTION("IF('(INGESTA)Datos_consumo_datadis'!A1400&lt;&gt;"""",SPLIT('(INGESTA)Datos_consumo_datadis'!A:A,"",""),"""")"),"ES0031408323131005HX0F")</f>
        <v>ES0031408323131005HX0F</v>
      </c>
      <c r="B1400" s="17">
        <f>IFERROR(__xludf.DUMMYFUNCTION("""COMPUTED_VALUE"""),44924.0)</f>
        <v>44924</v>
      </c>
      <c r="C1400" s="13">
        <f>IFERROR(__xludf.DUMMYFUNCTION("""COMPUTED_VALUE"""),0.2916666666666667)</f>
        <v>0.2916666667</v>
      </c>
      <c r="D1400" s="8">
        <f>IFERROR(__xludf.DUMMYFUNCTION("""COMPUTED_VALUE"""),0.066)</f>
        <v>0.066</v>
      </c>
      <c r="E1400" s="8" t="str">
        <f>IFERROR(__xludf.DUMMYFUNCTION("""COMPUTED_VALUE"""),"Real")</f>
        <v>Real</v>
      </c>
      <c r="G1400" s="8">
        <f t="shared" si="1"/>
        <v>12</v>
      </c>
      <c r="H1400" s="14">
        <f t="shared" si="2"/>
        <v>29</v>
      </c>
      <c r="I1400" s="15">
        <f t="shared" si="3"/>
        <v>7</v>
      </c>
    </row>
    <row r="1401">
      <c r="A1401" s="8" t="str">
        <f>IFERROR(__xludf.DUMMYFUNCTION("IF('(INGESTA)Datos_consumo_datadis'!A1401&lt;&gt;"""",SPLIT('(INGESTA)Datos_consumo_datadis'!A:A,"",""),"""")"),"ES0031408323131005HX0F")</f>
        <v>ES0031408323131005HX0F</v>
      </c>
      <c r="B1401" s="17">
        <f>IFERROR(__xludf.DUMMYFUNCTION("""COMPUTED_VALUE"""),44924.0)</f>
        <v>44924</v>
      </c>
      <c r="C1401" s="13">
        <f>IFERROR(__xludf.DUMMYFUNCTION("""COMPUTED_VALUE"""),0.3333333333333333)</f>
        <v>0.3333333333</v>
      </c>
      <c r="D1401" s="8">
        <f>IFERROR(__xludf.DUMMYFUNCTION("""COMPUTED_VALUE"""),0.023)</f>
        <v>0.023</v>
      </c>
      <c r="E1401" s="8" t="str">
        <f>IFERROR(__xludf.DUMMYFUNCTION("""COMPUTED_VALUE"""),"Real")</f>
        <v>Real</v>
      </c>
      <c r="G1401" s="8">
        <f t="shared" si="1"/>
        <v>12</v>
      </c>
      <c r="H1401" s="14">
        <f t="shared" si="2"/>
        <v>29</v>
      </c>
      <c r="I1401" s="15">
        <f t="shared" si="3"/>
        <v>8</v>
      </c>
    </row>
    <row r="1402">
      <c r="A1402" s="8" t="str">
        <f>IFERROR(__xludf.DUMMYFUNCTION("IF('(INGESTA)Datos_consumo_datadis'!A1402&lt;&gt;"""",SPLIT('(INGESTA)Datos_consumo_datadis'!A:A,"",""),"""")"),"ES0031408323131005HX0F")</f>
        <v>ES0031408323131005HX0F</v>
      </c>
      <c r="B1402" s="17">
        <f>IFERROR(__xludf.DUMMYFUNCTION("""COMPUTED_VALUE"""),44924.0)</f>
        <v>44924</v>
      </c>
      <c r="C1402" s="13">
        <f>IFERROR(__xludf.DUMMYFUNCTION("""COMPUTED_VALUE"""),0.375)</f>
        <v>0.375</v>
      </c>
      <c r="D1402" s="8">
        <f>IFERROR(__xludf.DUMMYFUNCTION("""COMPUTED_VALUE"""),0.049)</f>
        <v>0.049</v>
      </c>
      <c r="E1402" s="8" t="str">
        <f>IFERROR(__xludf.DUMMYFUNCTION("""COMPUTED_VALUE"""),"Real")</f>
        <v>Real</v>
      </c>
      <c r="G1402" s="8">
        <f t="shared" si="1"/>
        <v>12</v>
      </c>
      <c r="H1402" s="14">
        <f t="shared" si="2"/>
        <v>29</v>
      </c>
      <c r="I1402" s="15">
        <f t="shared" si="3"/>
        <v>9</v>
      </c>
    </row>
    <row r="1403">
      <c r="A1403" s="8" t="str">
        <f>IFERROR(__xludf.DUMMYFUNCTION("IF('(INGESTA)Datos_consumo_datadis'!A1403&lt;&gt;"""",SPLIT('(INGESTA)Datos_consumo_datadis'!A:A,"",""),"""")"),"ES0031408323131005HX0F")</f>
        <v>ES0031408323131005HX0F</v>
      </c>
      <c r="B1403" s="17">
        <f>IFERROR(__xludf.DUMMYFUNCTION("""COMPUTED_VALUE"""),44924.0)</f>
        <v>44924</v>
      </c>
      <c r="C1403" s="13">
        <f>IFERROR(__xludf.DUMMYFUNCTION("""COMPUTED_VALUE"""),0.4166666666666667)</f>
        <v>0.4166666667</v>
      </c>
      <c r="D1403" s="8">
        <f>IFERROR(__xludf.DUMMYFUNCTION("""COMPUTED_VALUE"""),0.073)</f>
        <v>0.073</v>
      </c>
      <c r="E1403" s="8" t="str">
        <f>IFERROR(__xludf.DUMMYFUNCTION("""COMPUTED_VALUE"""),"Real")</f>
        <v>Real</v>
      </c>
      <c r="G1403" s="8">
        <f t="shared" si="1"/>
        <v>12</v>
      </c>
      <c r="H1403" s="14">
        <f t="shared" si="2"/>
        <v>29</v>
      </c>
      <c r="I1403" s="15">
        <f t="shared" si="3"/>
        <v>10</v>
      </c>
    </row>
    <row r="1404">
      <c r="A1404" s="8" t="str">
        <f>IFERROR(__xludf.DUMMYFUNCTION("IF('(INGESTA)Datos_consumo_datadis'!A1404&lt;&gt;"""",SPLIT('(INGESTA)Datos_consumo_datadis'!A:A,"",""),"""")"),"ES0031408323131005HX0F")</f>
        <v>ES0031408323131005HX0F</v>
      </c>
      <c r="B1404" s="17">
        <f>IFERROR(__xludf.DUMMYFUNCTION("""COMPUTED_VALUE"""),44924.0)</f>
        <v>44924</v>
      </c>
      <c r="C1404" s="13">
        <f>IFERROR(__xludf.DUMMYFUNCTION("""COMPUTED_VALUE"""),0.4583333333333333)</f>
        <v>0.4583333333</v>
      </c>
      <c r="D1404" s="8">
        <f>IFERROR(__xludf.DUMMYFUNCTION("""COMPUTED_VALUE"""),0.317)</f>
        <v>0.317</v>
      </c>
      <c r="E1404" s="8" t="str">
        <f>IFERROR(__xludf.DUMMYFUNCTION("""COMPUTED_VALUE"""),"Real")</f>
        <v>Real</v>
      </c>
      <c r="G1404" s="8">
        <f t="shared" si="1"/>
        <v>12</v>
      </c>
      <c r="H1404" s="14">
        <f t="shared" si="2"/>
        <v>29</v>
      </c>
      <c r="I1404" s="15">
        <f t="shared" si="3"/>
        <v>11</v>
      </c>
    </row>
    <row r="1405">
      <c r="A1405" s="8" t="str">
        <f>IFERROR(__xludf.DUMMYFUNCTION("IF('(INGESTA)Datos_consumo_datadis'!A1405&lt;&gt;"""",SPLIT('(INGESTA)Datos_consumo_datadis'!A:A,"",""),"""")"),"ES0031408323131005HX0F")</f>
        <v>ES0031408323131005HX0F</v>
      </c>
      <c r="B1405" s="17">
        <f>IFERROR(__xludf.DUMMYFUNCTION("""COMPUTED_VALUE"""),44924.0)</f>
        <v>44924</v>
      </c>
      <c r="C1405" s="13">
        <f>IFERROR(__xludf.DUMMYFUNCTION("""COMPUTED_VALUE"""),0.5)</f>
        <v>0.5</v>
      </c>
      <c r="D1405" s="8">
        <f>IFERROR(__xludf.DUMMYFUNCTION("""COMPUTED_VALUE"""),0.569)</f>
        <v>0.569</v>
      </c>
      <c r="E1405" s="8" t="str">
        <f>IFERROR(__xludf.DUMMYFUNCTION("""COMPUTED_VALUE"""),"Real")</f>
        <v>Real</v>
      </c>
      <c r="G1405" s="8">
        <f t="shared" si="1"/>
        <v>12</v>
      </c>
      <c r="H1405" s="14">
        <f t="shared" si="2"/>
        <v>29</v>
      </c>
      <c r="I1405" s="15">
        <f t="shared" si="3"/>
        <v>12</v>
      </c>
    </row>
    <row r="1406">
      <c r="A1406" s="8" t="str">
        <f>IFERROR(__xludf.DUMMYFUNCTION("IF('(INGESTA)Datos_consumo_datadis'!A1406&lt;&gt;"""",SPLIT('(INGESTA)Datos_consumo_datadis'!A:A,"",""),"""")"),"ES0031408323131005HX0F")</f>
        <v>ES0031408323131005HX0F</v>
      </c>
      <c r="B1406" s="17">
        <f>IFERROR(__xludf.DUMMYFUNCTION("""COMPUTED_VALUE"""),44924.0)</f>
        <v>44924</v>
      </c>
      <c r="C1406" s="13">
        <f>IFERROR(__xludf.DUMMYFUNCTION("""COMPUTED_VALUE"""),0.5416666666666666)</f>
        <v>0.5416666667</v>
      </c>
      <c r="D1406" s="8">
        <f>IFERROR(__xludf.DUMMYFUNCTION("""COMPUTED_VALUE"""),0.436)</f>
        <v>0.436</v>
      </c>
      <c r="E1406" s="8" t="str">
        <f>IFERROR(__xludf.DUMMYFUNCTION("""COMPUTED_VALUE"""),"Real")</f>
        <v>Real</v>
      </c>
      <c r="G1406" s="8">
        <f t="shared" si="1"/>
        <v>12</v>
      </c>
      <c r="H1406" s="14">
        <f t="shared" si="2"/>
        <v>29</v>
      </c>
      <c r="I1406" s="15">
        <f t="shared" si="3"/>
        <v>13</v>
      </c>
    </row>
    <row r="1407">
      <c r="A1407" s="8" t="str">
        <f>IFERROR(__xludf.DUMMYFUNCTION("IF('(INGESTA)Datos_consumo_datadis'!A1407&lt;&gt;"""",SPLIT('(INGESTA)Datos_consumo_datadis'!A:A,"",""),"""")"),"ES0031408323131005HX0F")</f>
        <v>ES0031408323131005HX0F</v>
      </c>
      <c r="B1407" s="17">
        <f>IFERROR(__xludf.DUMMYFUNCTION("""COMPUTED_VALUE"""),44924.0)</f>
        <v>44924</v>
      </c>
      <c r="C1407" s="13">
        <f>IFERROR(__xludf.DUMMYFUNCTION("""COMPUTED_VALUE"""),0.5833333333333334)</f>
        <v>0.5833333333</v>
      </c>
      <c r="D1407" s="8">
        <f>IFERROR(__xludf.DUMMYFUNCTION("""COMPUTED_VALUE"""),0.194)</f>
        <v>0.194</v>
      </c>
      <c r="E1407" s="8" t="str">
        <f>IFERROR(__xludf.DUMMYFUNCTION("""COMPUTED_VALUE"""),"Real")</f>
        <v>Real</v>
      </c>
      <c r="G1407" s="8">
        <f t="shared" si="1"/>
        <v>12</v>
      </c>
      <c r="H1407" s="14">
        <f t="shared" si="2"/>
        <v>29</v>
      </c>
      <c r="I1407" s="15">
        <f t="shared" si="3"/>
        <v>14</v>
      </c>
    </row>
    <row r="1408">
      <c r="A1408" s="8" t="str">
        <f>IFERROR(__xludf.DUMMYFUNCTION("IF('(INGESTA)Datos_consumo_datadis'!A1408&lt;&gt;"""",SPLIT('(INGESTA)Datos_consumo_datadis'!A:A,"",""),"""")"),"ES0031408323131005HX0F")</f>
        <v>ES0031408323131005HX0F</v>
      </c>
      <c r="B1408" s="17">
        <f>IFERROR(__xludf.DUMMYFUNCTION("""COMPUTED_VALUE"""),44924.0)</f>
        <v>44924</v>
      </c>
      <c r="C1408" s="13">
        <f>IFERROR(__xludf.DUMMYFUNCTION("""COMPUTED_VALUE"""),0.625)</f>
        <v>0.625</v>
      </c>
      <c r="D1408" s="8">
        <f>IFERROR(__xludf.DUMMYFUNCTION("""COMPUTED_VALUE"""),1.917)</f>
        <v>1.917</v>
      </c>
      <c r="E1408" s="8" t="str">
        <f>IFERROR(__xludf.DUMMYFUNCTION("""COMPUTED_VALUE"""),"Real")</f>
        <v>Real</v>
      </c>
      <c r="G1408" s="8">
        <f t="shared" si="1"/>
        <v>12</v>
      </c>
      <c r="H1408" s="14">
        <f t="shared" si="2"/>
        <v>29</v>
      </c>
      <c r="I1408" s="15">
        <f t="shared" si="3"/>
        <v>15</v>
      </c>
    </row>
    <row r="1409">
      <c r="A1409" s="8" t="str">
        <f>IFERROR(__xludf.DUMMYFUNCTION("IF('(INGESTA)Datos_consumo_datadis'!A1409&lt;&gt;"""",SPLIT('(INGESTA)Datos_consumo_datadis'!A:A,"",""),"""")"),"ES0031408323131005HX0F")</f>
        <v>ES0031408323131005HX0F</v>
      </c>
      <c r="B1409" s="17">
        <f>IFERROR(__xludf.DUMMYFUNCTION("""COMPUTED_VALUE"""),44924.0)</f>
        <v>44924</v>
      </c>
      <c r="C1409" s="13">
        <f>IFERROR(__xludf.DUMMYFUNCTION("""COMPUTED_VALUE"""),0.6666666666666666)</f>
        <v>0.6666666667</v>
      </c>
      <c r="D1409" s="8">
        <f>IFERROR(__xludf.DUMMYFUNCTION("""COMPUTED_VALUE"""),1.04)</f>
        <v>1.04</v>
      </c>
      <c r="E1409" s="8" t="str">
        <f>IFERROR(__xludf.DUMMYFUNCTION("""COMPUTED_VALUE"""),"Real")</f>
        <v>Real</v>
      </c>
      <c r="G1409" s="8">
        <f t="shared" si="1"/>
        <v>12</v>
      </c>
      <c r="H1409" s="14">
        <f t="shared" si="2"/>
        <v>29</v>
      </c>
      <c r="I1409" s="15">
        <f t="shared" si="3"/>
        <v>16</v>
      </c>
    </row>
    <row r="1410">
      <c r="A1410" s="8" t="str">
        <f>IFERROR(__xludf.DUMMYFUNCTION("IF('(INGESTA)Datos_consumo_datadis'!A1410&lt;&gt;"""",SPLIT('(INGESTA)Datos_consumo_datadis'!A:A,"",""),"""")"),"ES0031408323131005HX0F")</f>
        <v>ES0031408323131005HX0F</v>
      </c>
      <c r="B1410" s="17">
        <f>IFERROR(__xludf.DUMMYFUNCTION("""COMPUTED_VALUE"""),44924.0)</f>
        <v>44924</v>
      </c>
      <c r="C1410" s="13">
        <f>IFERROR(__xludf.DUMMYFUNCTION("""COMPUTED_VALUE"""),0.7083333333333334)</f>
        <v>0.7083333333</v>
      </c>
      <c r="D1410" s="8">
        <f>IFERROR(__xludf.DUMMYFUNCTION("""COMPUTED_VALUE"""),1.189)</f>
        <v>1.189</v>
      </c>
      <c r="E1410" s="8" t="str">
        <f>IFERROR(__xludf.DUMMYFUNCTION("""COMPUTED_VALUE"""),"Real")</f>
        <v>Real</v>
      </c>
      <c r="G1410" s="8">
        <f t="shared" si="1"/>
        <v>12</v>
      </c>
      <c r="H1410" s="14">
        <f t="shared" si="2"/>
        <v>29</v>
      </c>
      <c r="I1410" s="15">
        <f t="shared" si="3"/>
        <v>17</v>
      </c>
    </row>
    <row r="1411">
      <c r="A1411" s="8" t="str">
        <f>IFERROR(__xludf.DUMMYFUNCTION("IF('(INGESTA)Datos_consumo_datadis'!A1411&lt;&gt;"""",SPLIT('(INGESTA)Datos_consumo_datadis'!A:A,"",""),"""")"),"ES0031408323131005HX0F")</f>
        <v>ES0031408323131005HX0F</v>
      </c>
      <c r="B1411" s="17">
        <f>IFERROR(__xludf.DUMMYFUNCTION("""COMPUTED_VALUE"""),44924.0)</f>
        <v>44924</v>
      </c>
      <c r="C1411" s="13">
        <f>IFERROR(__xludf.DUMMYFUNCTION("""COMPUTED_VALUE"""),0.75)</f>
        <v>0.75</v>
      </c>
      <c r="D1411" s="8">
        <f>IFERROR(__xludf.DUMMYFUNCTION("""COMPUTED_VALUE"""),0.892)</f>
        <v>0.892</v>
      </c>
      <c r="E1411" s="8" t="str">
        <f>IFERROR(__xludf.DUMMYFUNCTION("""COMPUTED_VALUE"""),"Real")</f>
        <v>Real</v>
      </c>
      <c r="G1411" s="8">
        <f t="shared" si="1"/>
        <v>12</v>
      </c>
      <c r="H1411" s="14">
        <f t="shared" si="2"/>
        <v>29</v>
      </c>
      <c r="I1411" s="15">
        <f t="shared" si="3"/>
        <v>18</v>
      </c>
    </row>
    <row r="1412">
      <c r="A1412" s="8" t="str">
        <f>IFERROR(__xludf.DUMMYFUNCTION("IF('(INGESTA)Datos_consumo_datadis'!A1412&lt;&gt;"""",SPLIT('(INGESTA)Datos_consumo_datadis'!A:A,"",""),"""")"),"ES0031408323131005HX0F")</f>
        <v>ES0031408323131005HX0F</v>
      </c>
      <c r="B1412" s="17">
        <f>IFERROR(__xludf.DUMMYFUNCTION("""COMPUTED_VALUE"""),44924.0)</f>
        <v>44924</v>
      </c>
      <c r="C1412" s="13">
        <f>IFERROR(__xludf.DUMMYFUNCTION("""COMPUTED_VALUE"""),0.7916666666666666)</f>
        <v>0.7916666667</v>
      </c>
      <c r="D1412" s="8">
        <f>IFERROR(__xludf.DUMMYFUNCTION("""COMPUTED_VALUE"""),1.223)</f>
        <v>1.223</v>
      </c>
      <c r="E1412" s="8" t="str">
        <f>IFERROR(__xludf.DUMMYFUNCTION("""COMPUTED_VALUE"""),"Real")</f>
        <v>Real</v>
      </c>
      <c r="G1412" s="8">
        <f t="shared" si="1"/>
        <v>12</v>
      </c>
      <c r="H1412" s="14">
        <f t="shared" si="2"/>
        <v>29</v>
      </c>
      <c r="I1412" s="15">
        <f t="shared" si="3"/>
        <v>19</v>
      </c>
    </row>
    <row r="1413">
      <c r="A1413" s="8" t="str">
        <f>IFERROR(__xludf.DUMMYFUNCTION("IF('(INGESTA)Datos_consumo_datadis'!A1413&lt;&gt;"""",SPLIT('(INGESTA)Datos_consumo_datadis'!A:A,"",""),"""")"),"ES0031408323131005HX0F")</f>
        <v>ES0031408323131005HX0F</v>
      </c>
      <c r="B1413" s="17">
        <f>IFERROR(__xludf.DUMMYFUNCTION("""COMPUTED_VALUE"""),44924.0)</f>
        <v>44924</v>
      </c>
      <c r="C1413" s="13">
        <f>IFERROR(__xludf.DUMMYFUNCTION("""COMPUTED_VALUE"""),0.8333333333333334)</f>
        <v>0.8333333333</v>
      </c>
      <c r="D1413" s="8">
        <f>IFERROR(__xludf.DUMMYFUNCTION("""COMPUTED_VALUE"""),1.109)</f>
        <v>1.109</v>
      </c>
      <c r="E1413" s="8" t="str">
        <f>IFERROR(__xludf.DUMMYFUNCTION("""COMPUTED_VALUE"""),"Real")</f>
        <v>Real</v>
      </c>
      <c r="G1413" s="8">
        <f t="shared" si="1"/>
        <v>12</v>
      </c>
      <c r="H1413" s="14">
        <f t="shared" si="2"/>
        <v>29</v>
      </c>
      <c r="I1413" s="15">
        <f t="shared" si="3"/>
        <v>20</v>
      </c>
    </row>
    <row r="1414">
      <c r="A1414" s="8" t="str">
        <f>IFERROR(__xludf.DUMMYFUNCTION("IF('(INGESTA)Datos_consumo_datadis'!A1414&lt;&gt;"""",SPLIT('(INGESTA)Datos_consumo_datadis'!A:A,"",""),"""")"),"ES0031408323131005HX0F")</f>
        <v>ES0031408323131005HX0F</v>
      </c>
      <c r="B1414" s="17">
        <f>IFERROR(__xludf.DUMMYFUNCTION("""COMPUTED_VALUE"""),44924.0)</f>
        <v>44924</v>
      </c>
      <c r="C1414" s="13">
        <f>IFERROR(__xludf.DUMMYFUNCTION("""COMPUTED_VALUE"""),0.875)</f>
        <v>0.875</v>
      </c>
      <c r="D1414" s="8">
        <f>IFERROR(__xludf.DUMMYFUNCTION("""COMPUTED_VALUE"""),0.015)</f>
        <v>0.015</v>
      </c>
      <c r="E1414" s="8" t="str">
        <f>IFERROR(__xludf.DUMMYFUNCTION("""COMPUTED_VALUE"""),"Real")</f>
        <v>Real</v>
      </c>
      <c r="G1414" s="8">
        <f t="shared" si="1"/>
        <v>12</v>
      </c>
      <c r="H1414" s="14">
        <f t="shared" si="2"/>
        <v>29</v>
      </c>
      <c r="I1414" s="15">
        <f t="shared" si="3"/>
        <v>21</v>
      </c>
    </row>
    <row r="1415">
      <c r="A1415" s="8" t="str">
        <f>IFERROR(__xludf.DUMMYFUNCTION("IF('(INGESTA)Datos_consumo_datadis'!A1415&lt;&gt;"""",SPLIT('(INGESTA)Datos_consumo_datadis'!A:A,"",""),"""")"),"ES0031408323131005HX0F")</f>
        <v>ES0031408323131005HX0F</v>
      </c>
      <c r="B1415" s="17">
        <f>IFERROR(__xludf.DUMMYFUNCTION("""COMPUTED_VALUE"""),44924.0)</f>
        <v>44924</v>
      </c>
      <c r="C1415" s="13">
        <f>IFERROR(__xludf.DUMMYFUNCTION("""COMPUTED_VALUE"""),0.9166666666666666)</f>
        <v>0.9166666667</v>
      </c>
      <c r="D1415" s="8">
        <f>IFERROR(__xludf.DUMMYFUNCTION("""COMPUTED_VALUE"""),0.253)</f>
        <v>0.253</v>
      </c>
      <c r="E1415" s="8" t="str">
        <f>IFERROR(__xludf.DUMMYFUNCTION("""COMPUTED_VALUE"""),"Real")</f>
        <v>Real</v>
      </c>
      <c r="G1415" s="8">
        <f t="shared" si="1"/>
        <v>12</v>
      </c>
      <c r="H1415" s="14">
        <f t="shared" si="2"/>
        <v>29</v>
      </c>
      <c r="I1415" s="15">
        <f t="shared" si="3"/>
        <v>22</v>
      </c>
    </row>
    <row r="1416">
      <c r="A1416" s="8" t="str">
        <f>IFERROR(__xludf.DUMMYFUNCTION("IF('(INGESTA)Datos_consumo_datadis'!A1416&lt;&gt;"""",SPLIT('(INGESTA)Datos_consumo_datadis'!A:A,"",""),"""")"),"ES0031408323131005HX0F")</f>
        <v>ES0031408323131005HX0F</v>
      </c>
      <c r="B1416" s="17">
        <f>IFERROR(__xludf.DUMMYFUNCTION("""COMPUTED_VALUE"""),44924.0)</f>
        <v>44924</v>
      </c>
      <c r="C1416" s="13">
        <f>IFERROR(__xludf.DUMMYFUNCTION("""COMPUTED_VALUE"""),0.9583333333333334)</f>
        <v>0.9583333333</v>
      </c>
      <c r="D1416" s="8">
        <f>IFERROR(__xludf.DUMMYFUNCTION("""COMPUTED_VALUE"""),1.83)</f>
        <v>1.83</v>
      </c>
      <c r="E1416" s="8" t="str">
        <f>IFERROR(__xludf.DUMMYFUNCTION("""COMPUTED_VALUE"""),"Real")</f>
        <v>Real</v>
      </c>
      <c r="G1416" s="8">
        <f t="shared" si="1"/>
        <v>12</v>
      </c>
      <c r="H1416" s="14">
        <f t="shared" si="2"/>
        <v>29</v>
      </c>
      <c r="I1416" s="15">
        <f t="shared" si="3"/>
        <v>23</v>
      </c>
    </row>
    <row r="1417">
      <c r="A1417" s="8" t="str">
        <f>IFERROR(__xludf.DUMMYFUNCTION("IF('(INGESTA)Datos_consumo_datadis'!A1417&lt;&gt;"""",SPLIT('(INGESTA)Datos_consumo_datadis'!A:A,"",""),"""")"),"ES0031408323131005HX0F")</f>
        <v>ES0031408323131005HX0F</v>
      </c>
      <c r="B1417" s="17">
        <f>IFERROR(__xludf.DUMMYFUNCTION("""COMPUTED_VALUE"""),44924.0)</f>
        <v>44924</v>
      </c>
      <c r="C1417" s="16">
        <f>IFERROR(__xludf.DUMMYFUNCTION("""COMPUTED_VALUE"""),1.0)</f>
        <v>1</v>
      </c>
      <c r="D1417" s="8">
        <f>IFERROR(__xludf.DUMMYFUNCTION("""COMPUTED_VALUE"""),0.555)</f>
        <v>0.555</v>
      </c>
      <c r="E1417" s="8" t="str">
        <f>IFERROR(__xludf.DUMMYFUNCTION("""COMPUTED_VALUE"""),"Real")</f>
        <v>Real</v>
      </c>
      <c r="G1417" s="8">
        <f t="shared" si="1"/>
        <v>12</v>
      </c>
      <c r="H1417" s="14">
        <f t="shared" si="2"/>
        <v>29</v>
      </c>
      <c r="I1417" s="15">
        <f t="shared" si="3"/>
        <v>0</v>
      </c>
    </row>
    <row r="1418">
      <c r="A1418" s="8" t="str">
        <f>IFERROR(__xludf.DUMMYFUNCTION("IF('(INGESTA)Datos_consumo_datadis'!A1418&lt;&gt;"""",SPLIT('(INGESTA)Datos_consumo_datadis'!A:A,"",""),"""")"),"ES0031408323131005HX0F")</f>
        <v>ES0031408323131005HX0F</v>
      </c>
      <c r="B1418" s="17">
        <f>IFERROR(__xludf.DUMMYFUNCTION("""COMPUTED_VALUE"""),44925.0)</f>
        <v>44925</v>
      </c>
      <c r="C1418" s="13">
        <f>IFERROR(__xludf.DUMMYFUNCTION("""COMPUTED_VALUE"""),0.041666666666666664)</f>
        <v>0.04166666667</v>
      </c>
      <c r="D1418" s="8">
        <f>IFERROR(__xludf.DUMMYFUNCTION("""COMPUTED_VALUE"""),0.332)</f>
        <v>0.332</v>
      </c>
      <c r="E1418" s="8" t="str">
        <f>IFERROR(__xludf.DUMMYFUNCTION("""COMPUTED_VALUE"""),"Real")</f>
        <v>Real</v>
      </c>
      <c r="G1418" s="8">
        <f t="shared" si="1"/>
        <v>12</v>
      </c>
      <c r="H1418" s="14">
        <f t="shared" si="2"/>
        <v>30</v>
      </c>
      <c r="I1418" s="15">
        <f t="shared" si="3"/>
        <v>1</v>
      </c>
    </row>
    <row r="1419">
      <c r="A1419" s="8" t="str">
        <f>IFERROR(__xludf.DUMMYFUNCTION("IF('(INGESTA)Datos_consumo_datadis'!A1419&lt;&gt;"""",SPLIT('(INGESTA)Datos_consumo_datadis'!A:A,"",""),"""")"),"ES0031408323131005HX0F")</f>
        <v>ES0031408323131005HX0F</v>
      </c>
      <c r="B1419" s="17">
        <f>IFERROR(__xludf.DUMMYFUNCTION("""COMPUTED_VALUE"""),44925.0)</f>
        <v>44925</v>
      </c>
      <c r="C1419" s="13">
        <f>IFERROR(__xludf.DUMMYFUNCTION("""COMPUTED_VALUE"""),0.08333333333333333)</f>
        <v>0.08333333333</v>
      </c>
      <c r="D1419" s="8">
        <f>IFERROR(__xludf.DUMMYFUNCTION("""COMPUTED_VALUE"""),0.309)</f>
        <v>0.309</v>
      </c>
      <c r="E1419" s="8" t="str">
        <f>IFERROR(__xludf.DUMMYFUNCTION("""COMPUTED_VALUE"""),"Real")</f>
        <v>Real</v>
      </c>
      <c r="G1419" s="8">
        <f t="shared" si="1"/>
        <v>12</v>
      </c>
      <c r="H1419" s="14">
        <f t="shared" si="2"/>
        <v>30</v>
      </c>
      <c r="I1419" s="15">
        <f t="shared" si="3"/>
        <v>2</v>
      </c>
    </row>
    <row r="1420">
      <c r="A1420" s="8" t="str">
        <f>IFERROR(__xludf.DUMMYFUNCTION("IF('(INGESTA)Datos_consumo_datadis'!A1420&lt;&gt;"""",SPLIT('(INGESTA)Datos_consumo_datadis'!A:A,"",""),"""")"),"ES0031408323131005HX0F")</f>
        <v>ES0031408323131005HX0F</v>
      </c>
      <c r="B1420" s="17">
        <f>IFERROR(__xludf.DUMMYFUNCTION("""COMPUTED_VALUE"""),44925.0)</f>
        <v>44925</v>
      </c>
      <c r="C1420" s="13">
        <f>IFERROR(__xludf.DUMMYFUNCTION("""COMPUTED_VALUE"""),0.125)</f>
        <v>0.125</v>
      </c>
      <c r="D1420" s="8">
        <f>IFERROR(__xludf.DUMMYFUNCTION("""COMPUTED_VALUE"""),0.298)</f>
        <v>0.298</v>
      </c>
      <c r="E1420" s="8" t="str">
        <f>IFERROR(__xludf.DUMMYFUNCTION("""COMPUTED_VALUE"""),"Real")</f>
        <v>Real</v>
      </c>
      <c r="G1420" s="8">
        <f t="shared" si="1"/>
        <v>12</v>
      </c>
      <c r="H1420" s="14">
        <f t="shared" si="2"/>
        <v>30</v>
      </c>
      <c r="I1420" s="15">
        <f t="shared" si="3"/>
        <v>3</v>
      </c>
    </row>
    <row r="1421">
      <c r="A1421" s="8" t="str">
        <f>IFERROR(__xludf.DUMMYFUNCTION("IF('(INGESTA)Datos_consumo_datadis'!A1421&lt;&gt;"""",SPLIT('(INGESTA)Datos_consumo_datadis'!A:A,"",""),"""")"),"ES0031408323131005HX0F")</f>
        <v>ES0031408323131005HX0F</v>
      </c>
      <c r="B1421" s="17">
        <f>IFERROR(__xludf.DUMMYFUNCTION("""COMPUTED_VALUE"""),44925.0)</f>
        <v>44925</v>
      </c>
      <c r="C1421" s="13">
        <f>IFERROR(__xludf.DUMMYFUNCTION("""COMPUTED_VALUE"""),0.16666666666666666)</f>
        <v>0.1666666667</v>
      </c>
      <c r="D1421" s="8">
        <f>IFERROR(__xludf.DUMMYFUNCTION("""COMPUTED_VALUE"""),0.322)</f>
        <v>0.322</v>
      </c>
      <c r="E1421" s="8" t="str">
        <f>IFERROR(__xludf.DUMMYFUNCTION("""COMPUTED_VALUE"""),"Real")</f>
        <v>Real</v>
      </c>
      <c r="G1421" s="8">
        <f t="shared" si="1"/>
        <v>12</v>
      </c>
      <c r="H1421" s="14">
        <f t="shared" si="2"/>
        <v>30</v>
      </c>
      <c r="I1421" s="15">
        <f t="shared" si="3"/>
        <v>4</v>
      </c>
    </row>
    <row r="1422">
      <c r="A1422" s="8" t="str">
        <f>IFERROR(__xludf.DUMMYFUNCTION("IF('(INGESTA)Datos_consumo_datadis'!A1422&lt;&gt;"""",SPLIT('(INGESTA)Datos_consumo_datadis'!A:A,"",""),"""")"),"ES0031408323131005HX0F")</f>
        <v>ES0031408323131005HX0F</v>
      </c>
      <c r="B1422" s="17">
        <f>IFERROR(__xludf.DUMMYFUNCTION("""COMPUTED_VALUE"""),44925.0)</f>
        <v>44925</v>
      </c>
      <c r="C1422" s="13">
        <f>IFERROR(__xludf.DUMMYFUNCTION("""COMPUTED_VALUE"""),0.20833333333333334)</f>
        <v>0.2083333333</v>
      </c>
      <c r="D1422" s="8">
        <f>IFERROR(__xludf.DUMMYFUNCTION("""COMPUTED_VALUE"""),0.313)</f>
        <v>0.313</v>
      </c>
      <c r="E1422" s="8" t="str">
        <f>IFERROR(__xludf.DUMMYFUNCTION("""COMPUTED_VALUE"""),"Real")</f>
        <v>Real</v>
      </c>
      <c r="G1422" s="8">
        <f t="shared" si="1"/>
        <v>12</v>
      </c>
      <c r="H1422" s="14">
        <f t="shared" si="2"/>
        <v>30</v>
      </c>
      <c r="I1422" s="15">
        <f t="shared" si="3"/>
        <v>5</v>
      </c>
    </row>
    <row r="1423">
      <c r="A1423" s="8" t="str">
        <f>IFERROR(__xludf.DUMMYFUNCTION("IF('(INGESTA)Datos_consumo_datadis'!A1423&lt;&gt;"""",SPLIT('(INGESTA)Datos_consumo_datadis'!A:A,"",""),"""")"),"ES0031408323131005HX0F")</f>
        <v>ES0031408323131005HX0F</v>
      </c>
      <c r="B1423" s="17">
        <f>IFERROR(__xludf.DUMMYFUNCTION("""COMPUTED_VALUE"""),44925.0)</f>
        <v>44925</v>
      </c>
      <c r="C1423" s="13">
        <f>IFERROR(__xludf.DUMMYFUNCTION("""COMPUTED_VALUE"""),0.25)</f>
        <v>0.25</v>
      </c>
      <c r="D1423" s="8">
        <f>IFERROR(__xludf.DUMMYFUNCTION("""COMPUTED_VALUE"""),0.272)</f>
        <v>0.272</v>
      </c>
      <c r="E1423" s="8" t="str">
        <f>IFERROR(__xludf.DUMMYFUNCTION("""COMPUTED_VALUE"""),"Real")</f>
        <v>Real</v>
      </c>
      <c r="G1423" s="8">
        <f t="shared" si="1"/>
        <v>12</v>
      </c>
      <c r="H1423" s="14">
        <f t="shared" si="2"/>
        <v>30</v>
      </c>
      <c r="I1423" s="15">
        <f t="shared" si="3"/>
        <v>6</v>
      </c>
    </row>
    <row r="1424">
      <c r="A1424" s="8" t="str">
        <f>IFERROR(__xludf.DUMMYFUNCTION("IF('(INGESTA)Datos_consumo_datadis'!A1424&lt;&gt;"""",SPLIT('(INGESTA)Datos_consumo_datadis'!A:A,"",""),"""")"),"ES0031408323131005HX0F")</f>
        <v>ES0031408323131005HX0F</v>
      </c>
      <c r="B1424" s="17">
        <f>IFERROR(__xludf.DUMMYFUNCTION("""COMPUTED_VALUE"""),44925.0)</f>
        <v>44925</v>
      </c>
      <c r="C1424" s="13">
        <f>IFERROR(__xludf.DUMMYFUNCTION("""COMPUTED_VALUE"""),0.2916666666666667)</f>
        <v>0.2916666667</v>
      </c>
      <c r="D1424" s="8">
        <f>IFERROR(__xludf.DUMMYFUNCTION("""COMPUTED_VALUE"""),0.585)</f>
        <v>0.585</v>
      </c>
      <c r="E1424" s="8" t="str">
        <f>IFERROR(__xludf.DUMMYFUNCTION("""COMPUTED_VALUE"""),"Real")</f>
        <v>Real</v>
      </c>
      <c r="G1424" s="8">
        <f t="shared" si="1"/>
        <v>12</v>
      </c>
      <c r="H1424" s="14">
        <f t="shared" si="2"/>
        <v>30</v>
      </c>
      <c r="I1424" s="15">
        <f t="shared" si="3"/>
        <v>7</v>
      </c>
    </row>
    <row r="1425">
      <c r="A1425" s="8" t="str">
        <f>IFERROR(__xludf.DUMMYFUNCTION("IF('(INGESTA)Datos_consumo_datadis'!A1425&lt;&gt;"""",SPLIT('(INGESTA)Datos_consumo_datadis'!A:A,"",""),"""")"),"ES0031408323131005HX0F")</f>
        <v>ES0031408323131005HX0F</v>
      </c>
      <c r="B1425" s="17">
        <f>IFERROR(__xludf.DUMMYFUNCTION("""COMPUTED_VALUE"""),44925.0)</f>
        <v>44925</v>
      </c>
      <c r="C1425" s="13">
        <f>IFERROR(__xludf.DUMMYFUNCTION("""COMPUTED_VALUE"""),0.3333333333333333)</f>
        <v>0.3333333333</v>
      </c>
      <c r="D1425" s="8">
        <f>IFERROR(__xludf.DUMMYFUNCTION("""COMPUTED_VALUE"""),0.548)</f>
        <v>0.548</v>
      </c>
      <c r="E1425" s="8" t="str">
        <f>IFERROR(__xludf.DUMMYFUNCTION("""COMPUTED_VALUE"""),"Real")</f>
        <v>Real</v>
      </c>
      <c r="G1425" s="8">
        <f t="shared" si="1"/>
        <v>12</v>
      </c>
      <c r="H1425" s="14">
        <f t="shared" si="2"/>
        <v>30</v>
      </c>
      <c r="I1425" s="15">
        <f t="shared" si="3"/>
        <v>8</v>
      </c>
    </row>
    <row r="1426">
      <c r="A1426" s="8" t="str">
        <f>IFERROR(__xludf.DUMMYFUNCTION("IF('(INGESTA)Datos_consumo_datadis'!A1426&lt;&gt;"""",SPLIT('(INGESTA)Datos_consumo_datadis'!A:A,"",""),"""")"),"ES0031408323131005HX0F")</f>
        <v>ES0031408323131005HX0F</v>
      </c>
      <c r="B1426" s="17">
        <f>IFERROR(__xludf.DUMMYFUNCTION("""COMPUTED_VALUE"""),44925.0)</f>
        <v>44925</v>
      </c>
      <c r="C1426" s="13">
        <f>IFERROR(__xludf.DUMMYFUNCTION("""COMPUTED_VALUE"""),0.375)</f>
        <v>0.375</v>
      </c>
      <c r="D1426" s="8">
        <f>IFERROR(__xludf.DUMMYFUNCTION("""COMPUTED_VALUE"""),1.072)</f>
        <v>1.072</v>
      </c>
      <c r="E1426" s="8" t="str">
        <f>IFERROR(__xludf.DUMMYFUNCTION("""COMPUTED_VALUE"""),"Real")</f>
        <v>Real</v>
      </c>
      <c r="G1426" s="8">
        <f t="shared" si="1"/>
        <v>12</v>
      </c>
      <c r="H1426" s="14">
        <f t="shared" si="2"/>
        <v>30</v>
      </c>
      <c r="I1426" s="15">
        <f t="shared" si="3"/>
        <v>9</v>
      </c>
    </row>
    <row r="1427">
      <c r="A1427" s="8" t="str">
        <f>IFERROR(__xludf.DUMMYFUNCTION("IF('(INGESTA)Datos_consumo_datadis'!A1427&lt;&gt;"""",SPLIT('(INGESTA)Datos_consumo_datadis'!A:A,"",""),"""")"),"ES0031408323131005HX0F")</f>
        <v>ES0031408323131005HX0F</v>
      </c>
      <c r="B1427" s="17">
        <f>IFERROR(__xludf.DUMMYFUNCTION("""COMPUTED_VALUE"""),44925.0)</f>
        <v>44925</v>
      </c>
      <c r="C1427" s="13">
        <f>IFERROR(__xludf.DUMMYFUNCTION("""COMPUTED_VALUE"""),0.4166666666666667)</f>
        <v>0.4166666667</v>
      </c>
      <c r="D1427" s="8">
        <f>IFERROR(__xludf.DUMMYFUNCTION("""COMPUTED_VALUE"""),0.08)</f>
        <v>0.08</v>
      </c>
      <c r="E1427" s="8" t="str">
        <f>IFERROR(__xludf.DUMMYFUNCTION("""COMPUTED_VALUE"""),"Real")</f>
        <v>Real</v>
      </c>
      <c r="G1427" s="8">
        <f t="shared" si="1"/>
        <v>12</v>
      </c>
      <c r="H1427" s="14">
        <f t="shared" si="2"/>
        <v>30</v>
      </c>
      <c r="I1427" s="15">
        <f t="shared" si="3"/>
        <v>10</v>
      </c>
    </row>
    <row r="1428">
      <c r="A1428" s="8" t="str">
        <f>IFERROR(__xludf.DUMMYFUNCTION("IF('(INGESTA)Datos_consumo_datadis'!A1428&lt;&gt;"""",SPLIT('(INGESTA)Datos_consumo_datadis'!A:A,"",""),"""")"),"ES0031408323131005HX0F")</f>
        <v>ES0031408323131005HX0F</v>
      </c>
      <c r="B1428" s="17">
        <f>IFERROR(__xludf.DUMMYFUNCTION("""COMPUTED_VALUE"""),44925.0)</f>
        <v>44925</v>
      </c>
      <c r="C1428" s="13">
        <f>IFERROR(__xludf.DUMMYFUNCTION("""COMPUTED_VALUE"""),0.4583333333333333)</f>
        <v>0.4583333333</v>
      </c>
      <c r="D1428" s="8">
        <f>IFERROR(__xludf.DUMMYFUNCTION("""COMPUTED_VALUE"""),0.042)</f>
        <v>0.042</v>
      </c>
      <c r="E1428" s="8" t="str">
        <f>IFERROR(__xludf.DUMMYFUNCTION("""COMPUTED_VALUE"""),"Real")</f>
        <v>Real</v>
      </c>
      <c r="G1428" s="8">
        <f t="shared" si="1"/>
        <v>12</v>
      </c>
      <c r="H1428" s="14">
        <f t="shared" si="2"/>
        <v>30</v>
      </c>
      <c r="I1428" s="15">
        <f t="shared" si="3"/>
        <v>11</v>
      </c>
    </row>
    <row r="1429">
      <c r="A1429" s="8" t="str">
        <f>IFERROR(__xludf.DUMMYFUNCTION("IF('(INGESTA)Datos_consumo_datadis'!A1429&lt;&gt;"""",SPLIT('(INGESTA)Datos_consumo_datadis'!A:A,"",""),"""")"),"ES0031408323131005HX0F")</f>
        <v>ES0031408323131005HX0F</v>
      </c>
      <c r="B1429" s="17">
        <f>IFERROR(__xludf.DUMMYFUNCTION("""COMPUTED_VALUE"""),44925.0)</f>
        <v>44925</v>
      </c>
      <c r="C1429" s="13">
        <f>IFERROR(__xludf.DUMMYFUNCTION("""COMPUTED_VALUE"""),0.5)</f>
        <v>0.5</v>
      </c>
      <c r="D1429" s="8">
        <f>IFERROR(__xludf.DUMMYFUNCTION("""COMPUTED_VALUE"""),0.018)</f>
        <v>0.018</v>
      </c>
      <c r="E1429" s="8" t="str">
        <f>IFERROR(__xludf.DUMMYFUNCTION("""COMPUTED_VALUE"""),"Real")</f>
        <v>Real</v>
      </c>
      <c r="G1429" s="8">
        <f t="shared" si="1"/>
        <v>12</v>
      </c>
      <c r="H1429" s="14">
        <f t="shared" si="2"/>
        <v>30</v>
      </c>
      <c r="I1429" s="15">
        <f t="shared" si="3"/>
        <v>12</v>
      </c>
    </row>
    <row r="1430">
      <c r="A1430" s="8" t="str">
        <f>IFERROR(__xludf.DUMMYFUNCTION("IF('(INGESTA)Datos_consumo_datadis'!A1430&lt;&gt;"""",SPLIT('(INGESTA)Datos_consumo_datadis'!A:A,"",""),"""")"),"ES0031408323131005HX0F")</f>
        <v>ES0031408323131005HX0F</v>
      </c>
      <c r="B1430" s="17">
        <f>IFERROR(__xludf.DUMMYFUNCTION("""COMPUTED_VALUE"""),44925.0)</f>
        <v>44925</v>
      </c>
      <c r="C1430" s="13">
        <f>IFERROR(__xludf.DUMMYFUNCTION("""COMPUTED_VALUE"""),0.5416666666666666)</f>
        <v>0.5416666667</v>
      </c>
      <c r="D1430" s="8">
        <f>IFERROR(__xludf.DUMMYFUNCTION("""COMPUTED_VALUE"""),0.397)</f>
        <v>0.397</v>
      </c>
      <c r="E1430" s="8" t="str">
        <f>IFERROR(__xludf.DUMMYFUNCTION("""COMPUTED_VALUE"""),"Real")</f>
        <v>Real</v>
      </c>
      <c r="G1430" s="8">
        <f t="shared" si="1"/>
        <v>12</v>
      </c>
      <c r="H1430" s="14">
        <f t="shared" si="2"/>
        <v>30</v>
      </c>
      <c r="I1430" s="15">
        <f t="shared" si="3"/>
        <v>13</v>
      </c>
    </row>
    <row r="1431">
      <c r="A1431" s="8" t="str">
        <f>IFERROR(__xludf.DUMMYFUNCTION("IF('(INGESTA)Datos_consumo_datadis'!A1431&lt;&gt;"""",SPLIT('(INGESTA)Datos_consumo_datadis'!A:A,"",""),"""")"),"ES0031408323131005HX0F")</f>
        <v>ES0031408323131005HX0F</v>
      </c>
      <c r="B1431" s="17">
        <f>IFERROR(__xludf.DUMMYFUNCTION("""COMPUTED_VALUE"""),44925.0)</f>
        <v>44925</v>
      </c>
      <c r="C1431" s="13">
        <f>IFERROR(__xludf.DUMMYFUNCTION("""COMPUTED_VALUE"""),0.5833333333333334)</f>
        <v>0.5833333333</v>
      </c>
      <c r="D1431" s="8">
        <f>IFERROR(__xludf.DUMMYFUNCTION("""COMPUTED_VALUE"""),0.043)</f>
        <v>0.043</v>
      </c>
      <c r="E1431" s="8" t="str">
        <f>IFERROR(__xludf.DUMMYFUNCTION("""COMPUTED_VALUE"""),"Real")</f>
        <v>Real</v>
      </c>
      <c r="G1431" s="8">
        <f t="shared" si="1"/>
        <v>12</v>
      </c>
      <c r="H1431" s="14">
        <f t="shared" si="2"/>
        <v>30</v>
      </c>
      <c r="I1431" s="15">
        <f t="shared" si="3"/>
        <v>14</v>
      </c>
    </row>
    <row r="1432">
      <c r="A1432" s="8" t="str">
        <f>IFERROR(__xludf.DUMMYFUNCTION("IF('(INGESTA)Datos_consumo_datadis'!A1432&lt;&gt;"""",SPLIT('(INGESTA)Datos_consumo_datadis'!A:A,"",""),"""")"),"ES0031408323131005HX0F")</f>
        <v>ES0031408323131005HX0F</v>
      </c>
      <c r="B1432" s="17">
        <f>IFERROR(__xludf.DUMMYFUNCTION("""COMPUTED_VALUE"""),44925.0)</f>
        <v>44925</v>
      </c>
      <c r="C1432" s="13">
        <f>IFERROR(__xludf.DUMMYFUNCTION("""COMPUTED_VALUE"""),0.625)</f>
        <v>0.625</v>
      </c>
      <c r="D1432" s="8">
        <f>IFERROR(__xludf.DUMMYFUNCTION("""COMPUTED_VALUE"""),0.023)</f>
        <v>0.023</v>
      </c>
      <c r="E1432" s="8" t="str">
        <f>IFERROR(__xludf.DUMMYFUNCTION("""COMPUTED_VALUE"""),"Real")</f>
        <v>Real</v>
      </c>
      <c r="G1432" s="8">
        <f t="shared" si="1"/>
        <v>12</v>
      </c>
      <c r="H1432" s="14">
        <f t="shared" si="2"/>
        <v>30</v>
      </c>
      <c r="I1432" s="15">
        <f t="shared" si="3"/>
        <v>15</v>
      </c>
    </row>
    <row r="1433">
      <c r="A1433" s="8" t="str">
        <f>IFERROR(__xludf.DUMMYFUNCTION("IF('(INGESTA)Datos_consumo_datadis'!A1433&lt;&gt;"""",SPLIT('(INGESTA)Datos_consumo_datadis'!A:A,"",""),"""")"),"ES0031408323131005HX0F")</f>
        <v>ES0031408323131005HX0F</v>
      </c>
      <c r="B1433" s="17">
        <f>IFERROR(__xludf.DUMMYFUNCTION("""COMPUTED_VALUE"""),44925.0)</f>
        <v>44925</v>
      </c>
      <c r="C1433" s="13">
        <f>IFERROR(__xludf.DUMMYFUNCTION("""COMPUTED_VALUE"""),0.6666666666666666)</f>
        <v>0.6666666667</v>
      </c>
      <c r="D1433" s="8">
        <f>IFERROR(__xludf.DUMMYFUNCTION("""COMPUTED_VALUE"""),0.074)</f>
        <v>0.074</v>
      </c>
      <c r="E1433" s="8" t="str">
        <f>IFERROR(__xludf.DUMMYFUNCTION("""COMPUTED_VALUE"""),"Real")</f>
        <v>Real</v>
      </c>
      <c r="G1433" s="8">
        <f t="shared" si="1"/>
        <v>12</v>
      </c>
      <c r="H1433" s="14">
        <f t="shared" si="2"/>
        <v>30</v>
      </c>
      <c r="I1433" s="15">
        <f t="shared" si="3"/>
        <v>16</v>
      </c>
    </row>
    <row r="1434">
      <c r="A1434" s="8" t="str">
        <f>IFERROR(__xludf.DUMMYFUNCTION("IF('(INGESTA)Datos_consumo_datadis'!A1434&lt;&gt;"""",SPLIT('(INGESTA)Datos_consumo_datadis'!A:A,"",""),"""")"),"ES0031408323131005HX0F")</f>
        <v>ES0031408323131005HX0F</v>
      </c>
      <c r="B1434" s="17">
        <f>IFERROR(__xludf.DUMMYFUNCTION("""COMPUTED_VALUE"""),44925.0)</f>
        <v>44925</v>
      </c>
      <c r="C1434" s="13">
        <f>IFERROR(__xludf.DUMMYFUNCTION("""COMPUTED_VALUE"""),0.7083333333333334)</f>
        <v>0.7083333333</v>
      </c>
      <c r="D1434" s="8">
        <f>IFERROR(__xludf.DUMMYFUNCTION("""COMPUTED_VALUE"""),0.042)</f>
        <v>0.042</v>
      </c>
      <c r="E1434" s="8" t="str">
        <f>IFERROR(__xludf.DUMMYFUNCTION("""COMPUTED_VALUE"""),"Real")</f>
        <v>Real</v>
      </c>
      <c r="G1434" s="8">
        <f t="shared" si="1"/>
        <v>12</v>
      </c>
      <c r="H1434" s="14">
        <f t="shared" si="2"/>
        <v>30</v>
      </c>
      <c r="I1434" s="15">
        <f t="shared" si="3"/>
        <v>17</v>
      </c>
    </row>
    <row r="1435">
      <c r="A1435" s="8" t="str">
        <f>IFERROR(__xludf.DUMMYFUNCTION("IF('(INGESTA)Datos_consumo_datadis'!A1435&lt;&gt;"""",SPLIT('(INGESTA)Datos_consumo_datadis'!A:A,"",""),"""")"),"ES0031408323131005HX0F")</f>
        <v>ES0031408323131005HX0F</v>
      </c>
      <c r="B1435" s="17">
        <f>IFERROR(__xludf.DUMMYFUNCTION("""COMPUTED_VALUE"""),44925.0)</f>
        <v>44925</v>
      </c>
      <c r="C1435" s="13">
        <f>IFERROR(__xludf.DUMMYFUNCTION("""COMPUTED_VALUE"""),0.75)</f>
        <v>0.75</v>
      </c>
      <c r="D1435" s="8">
        <f>IFERROR(__xludf.DUMMYFUNCTION("""COMPUTED_VALUE"""),0.024)</f>
        <v>0.024</v>
      </c>
      <c r="E1435" s="8" t="str">
        <f>IFERROR(__xludf.DUMMYFUNCTION("""COMPUTED_VALUE"""),"Real")</f>
        <v>Real</v>
      </c>
      <c r="G1435" s="8">
        <f t="shared" si="1"/>
        <v>12</v>
      </c>
      <c r="H1435" s="14">
        <f t="shared" si="2"/>
        <v>30</v>
      </c>
      <c r="I1435" s="15">
        <f t="shared" si="3"/>
        <v>18</v>
      </c>
    </row>
    <row r="1436">
      <c r="A1436" s="8" t="str">
        <f>IFERROR(__xludf.DUMMYFUNCTION("IF('(INGESTA)Datos_consumo_datadis'!A1436&lt;&gt;"""",SPLIT('(INGESTA)Datos_consumo_datadis'!A:A,"",""),"""")"),"ES0031408323131005HX0F")</f>
        <v>ES0031408323131005HX0F</v>
      </c>
      <c r="B1436" s="17">
        <f>IFERROR(__xludf.DUMMYFUNCTION("""COMPUTED_VALUE"""),44925.0)</f>
        <v>44925</v>
      </c>
      <c r="C1436" s="13">
        <f>IFERROR(__xludf.DUMMYFUNCTION("""COMPUTED_VALUE"""),0.7916666666666666)</f>
        <v>0.7916666667</v>
      </c>
      <c r="D1436" s="8">
        <f>IFERROR(__xludf.DUMMYFUNCTION("""COMPUTED_VALUE"""),0.198)</f>
        <v>0.198</v>
      </c>
      <c r="E1436" s="8" t="str">
        <f>IFERROR(__xludf.DUMMYFUNCTION("""COMPUTED_VALUE"""),"Real")</f>
        <v>Real</v>
      </c>
      <c r="G1436" s="8">
        <f t="shared" si="1"/>
        <v>12</v>
      </c>
      <c r="H1436" s="14">
        <f t="shared" si="2"/>
        <v>30</v>
      </c>
      <c r="I1436" s="15">
        <f t="shared" si="3"/>
        <v>19</v>
      </c>
    </row>
    <row r="1437">
      <c r="A1437" s="8" t="str">
        <f>IFERROR(__xludf.DUMMYFUNCTION("IF('(INGESTA)Datos_consumo_datadis'!A1437&lt;&gt;"""",SPLIT('(INGESTA)Datos_consumo_datadis'!A:A,"",""),"""")"),"ES0031408323131005HX0F")</f>
        <v>ES0031408323131005HX0F</v>
      </c>
      <c r="B1437" s="17">
        <f>IFERROR(__xludf.DUMMYFUNCTION("""COMPUTED_VALUE"""),44925.0)</f>
        <v>44925</v>
      </c>
      <c r="C1437" s="13">
        <f>IFERROR(__xludf.DUMMYFUNCTION("""COMPUTED_VALUE"""),0.8333333333333334)</f>
        <v>0.8333333333</v>
      </c>
      <c r="D1437" s="8">
        <f>IFERROR(__xludf.DUMMYFUNCTION("""COMPUTED_VALUE"""),1.734)</f>
        <v>1.734</v>
      </c>
      <c r="E1437" s="8" t="str">
        <f>IFERROR(__xludf.DUMMYFUNCTION("""COMPUTED_VALUE"""),"Real")</f>
        <v>Real</v>
      </c>
      <c r="G1437" s="8">
        <f t="shared" si="1"/>
        <v>12</v>
      </c>
      <c r="H1437" s="14">
        <f t="shared" si="2"/>
        <v>30</v>
      </c>
      <c r="I1437" s="15">
        <f t="shared" si="3"/>
        <v>20</v>
      </c>
    </row>
    <row r="1438">
      <c r="A1438" s="8" t="str">
        <f>IFERROR(__xludf.DUMMYFUNCTION("IF('(INGESTA)Datos_consumo_datadis'!A1438&lt;&gt;"""",SPLIT('(INGESTA)Datos_consumo_datadis'!A:A,"",""),"""")"),"ES0031408323131005HX0F")</f>
        <v>ES0031408323131005HX0F</v>
      </c>
      <c r="B1438" s="17">
        <f>IFERROR(__xludf.DUMMYFUNCTION("""COMPUTED_VALUE"""),44925.0)</f>
        <v>44925</v>
      </c>
      <c r="C1438" s="13">
        <f>IFERROR(__xludf.DUMMYFUNCTION("""COMPUTED_VALUE"""),0.875)</f>
        <v>0.875</v>
      </c>
      <c r="D1438" s="8">
        <f>IFERROR(__xludf.DUMMYFUNCTION("""COMPUTED_VALUE"""),0.845)</f>
        <v>0.845</v>
      </c>
      <c r="E1438" s="8" t="str">
        <f>IFERROR(__xludf.DUMMYFUNCTION("""COMPUTED_VALUE"""),"Real")</f>
        <v>Real</v>
      </c>
      <c r="G1438" s="8">
        <f t="shared" si="1"/>
        <v>12</v>
      </c>
      <c r="H1438" s="14">
        <f t="shared" si="2"/>
        <v>30</v>
      </c>
      <c r="I1438" s="15">
        <f t="shared" si="3"/>
        <v>21</v>
      </c>
    </row>
    <row r="1439">
      <c r="A1439" s="8" t="str">
        <f>IFERROR(__xludf.DUMMYFUNCTION("IF('(INGESTA)Datos_consumo_datadis'!A1439&lt;&gt;"""",SPLIT('(INGESTA)Datos_consumo_datadis'!A:A,"",""),"""")"),"ES0031408323131005HX0F")</f>
        <v>ES0031408323131005HX0F</v>
      </c>
      <c r="B1439" s="17">
        <f>IFERROR(__xludf.DUMMYFUNCTION("""COMPUTED_VALUE"""),44925.0)</f>
        <v>44925</v>
      </c>
      <c r="C1439" s="13">
        <f>IFERROR(__xludf.DUMMYFUNCTION("""COMPUTED_VALUE"""),0.9166666666666666)</f>
        <v>0.9166666667</v>
      </c>
      <c r="D1439" s="8">
        <f>IFERROR(__xludf.DUMMYFUNCTION("""COMPUTED_VALUE"""),2.01)</f>
        <v>2.01</v>
      </c>
      <c r="E1439" s="8" t="str">
        <f>IFERROR(__xludf.DUMMYFUNCTION("""COMPUTED_VALUE"""),"Real")</f>
        <v>Real</v>
      </c>
      <c r="G1439" s="8">
        <f t="shared" si="1"/>
        <v>12</v>
      </c>
      <c r="H1439" s="14">
        <f t="shared" si="2"/>
        <v>30</v>
      </c>
      <c r="I1439" s="15">
        <f t="shared" si="3"/>
        <v>22</v>
      </c>
    </row>
    <row r="1440">
      <c r="A1440" s="8" t="str">
        <f>IFERROR(__xludf.DUMMYFUNCTION("IF('(INGESTA)Datos_consumo_datadis'!A1440&lt;&gt;"""",SPLIT('(INGESTA)Datos_consumo_datadis'!A:A,"",""),"""")"),"ES0031408323131005HX0F")</f>
        <v>ES0031408323131005HX0F</v>
      </c>
      <c r="B1440" s="17">
        <f>IFERROR(__xludf.DUMMYFUNCTION("""COMPUTED_VALUE"""),44925.0)</f>
        <v>44925</v>
      </c>
      <c r="C1440" s="13">
        <f>IFERROR(__xludf.DUMMYFUNCTION("""COMPUTED_VALUE"""),0.9583333333333334)</f>
        <v>0.9583333333</v>
      </c>
      <c r="D1440" s="8">
        <f>IFERROR(__xludf.DUMMYFUNCTION("""COMPUTED_VALUE"""),2.576)</f>
        <v>2.576</v>
      </c>
      <c r="E1440" s="8" t="str">
        <f>IFERROR(__xludf.DUMMYFUNCTION("""COMPUTED_VALUE"""),"Real")</f>
        <v>Real</v>
      </c>
      <c r="G1440" s="8">
        <f t="shared" si="1"/>
        <v>12</v>
      </c>
      <c r="H1440" s="14">
        <f t="shared" si="2"/>
        <v>30</v>
      </c>
      <c r="I1440" s="15">
        <f t="shared" si="3"/>
        <v>23</v>
      </c>
    </row>
    <row r="1441">
      <c r="A1441" s="8" t="str">
        <f>IFERROR(__xludf.DUMMYFUNCTION("IF('(INGESTA)Datos_consumo_datadis'!A1441&lt;&gt;"""",SPLIT('(INGESTA)Datos_consumo_datadis'!A:A,"",""),"""")"),"ES0031408323131005HX0F")</f>
        <v>ES0031408323131005HX0F</v>
      </c>
      <c r="B1441" s="17">
        <f>IFERROR(__xludf.DUMMYFUNCTION("""COMPUTED_VALUE"""),44925.0)</f>
        <v>44925</v>
      </c>
      <c r="C1441" s="16">
        <f>IFERROR(__xludf.DUMMYFUNCTION("""COMPUTED_VALUE"""),1.0)</f>
        <v>1</v>
      </c>
      <c r="D1441" s="8">
        <f>IFERROR(__xludf.DUMMYFUNCTION("""COMPUTED_VALUE"""),1.303)</f>
        <v>1.303</v>
      </c>
      <c r="E1441" s="8" t="str">
        <f>IFERROR(__xludf.DUMMYFUNCTION("""COMPUTED_VALUE"""),"Real")</f>
        <v>Real</v>
      </c>
      <c r="G1441" s="8">
        <f t="shared" si="1"/>
        <v>12</v>
      </c>
      <c r="H1441" s="14">
        <f t="shared" si="2"/>
        <v>30</v>
      </c>
      <c r="I1441" s="15">
        <f t="shared" si="3"/>
        <v>0</v>
      </c>
    </row>
    <row r="1442">
      <c r="A1442" s="8" t="str">
        <f>IFERROR(__xludf.DUMMYFUNCTION("IF('(INGESTA)Datos_consumo_datadis'!A1442&lt;&gt;"""",SPLIT('(INGESTA)Datos_consumo_datadis'!A:A,"",""),"""")"),"ES0031408323131005HX0F")</f>
        <v>ES0031408323131005HX0F</v>
      </c>
      <c r="B1442" s="17">
        <f>IFERROR(__xludf.DUMMYFUNCTION("""COMPUTED_VALUE"""),44926.0)</f>
        <v>44926</v>
      </c>
      <c r="C1442" s="13">
        <f>IFERROR(__xludf.DUMMYFUNCTION("""COMPUTED_VALUE"""),0.041666666666666664)</f>
        <v>0.04166666667</v>
      </c>
      <c r="D1442" s="8">
        <f>IFERROR(__xludf.DUMMYFUNCTION("""COMPUTED_VALUE"""),0.944)</f>
        <v>0.944</v>
      </c>
      <c r="E1442" s="8" t="str">
        <f>IFERROR(__xludf.DUMMYFUNCTION("""COMPUTED_VALUE"""),"Real")</f>
        <v>Real</v>
      </c>
      <c r="G1442" s="8">
        <f t="shared" si="1"/>
        <v>12</v>
      </c>
      <c r="H1442" s="14">
        <f t="shared" si="2"/>
        <v>31</v>
      </c>
      <c r="I1442" s="15">
        <f t="shared" si="3"/>
        <v>1</v>
      </c>
    </row>
    <row r="1443">
      <c r="A1443" s="8" t="str">
        <f>IFERROR(__xludf.DUMMYFUNCTION("IF('(INGESTA)Datos_consumo_datadis'!A1443&lt;&gt;"""",SPLIT('(INGESTA)Datos_consumo_datadis'!A:A,"",""),"""")"),"ES0031408323131005HX0F")</f>
        <v>ES0031408323131005HX0F</v>
      </c>
      <c r="B1443" s="17">
        <f>IFERROR(__xludf.DUMMYFUNCTION("""COMPUTED_VALUE"""),44926.0)</f>
        <v>44926</v>
      </c>
      <c r="C1443" s="13">
        <f>IFERROR(__xludf.DUMMYFUNCTION("""COMPUTED_VALUE"""),0.08333333333333333)</f>
        <v>0.08333333333</v>
      </c>
      <c r="D1443" s="8">
        <f>IFERROR(__xludf.DUMMYFUNCTION("""COMPUTED_VALUE"""),0.59)</f>
        <v>0.59</v>
      </c>
      <c r="E1443" s="8" t="str">
        <f>IFERROR(__xludf.DUMMYFUNCTION("""COMPUTED_VALUE"""),"Real")</f>
        <v>Real</v>
      </c>
      <c r="G1443" s="8">
        <f t="shared" si="1"/>
        <v>12</v>
      </c>
      <c r="H1443" s="14">
        <f t="shared" si="2"/>
        <v>31</v>
      </c>
      <c r="I1443" s="15">
        <f t="shared" si="3"/>
        <v>2</v>
      </c>
    </row>
    <row r="1444">
      <c r="A1444" s="8" t="str">
        <f>IFERROR(__xludf.DUMMYFUNCTION("IF('(INGESTA)Datos_consumo_datadis'!A1444&lt;&gt;"""",SPLIT('(INGESTA)Datos_consumo_datadis'!A:A,"",""),"""")"),"ES0031408323131005HX0F")</f>
        <v>ES0031408323131005HX0F</v>
      </c>
      <c r="B1444" s="17">
        <f>IFERROR(__xludf.DUMMYFUNCTION("""COMPUTED_VALUE"""),44926.0)</f>
        <v>44926</v>
      </c>
      <c r="C1444" s="13">
        <f>IFERROR(__xludf.DUMMYFUNCTION("""COMPUTED_VALUE"""),0.125)</f>
        <v>0.125</v>
      </c>
      <c r="D1444" s="8">
        <f>IFERROR(__xludf.DUMMYFUNCTION("""COMPUTED_VALUE"""),0.559)</f>
        <v>0.559</v>
      </c>
      <c r="E1444" s="8" t="str">
        <f>IFERROR(__xludf.DUMMYFUNCTION("""COMPUTED_VALUE"""),"Real")</f>
        <v>Real</v>
      </c>
      <c r="G1444" s="8">
        <f t="shared" si="1"/>
        <v>12</v>
      </c>
      <c r="H1444" s="14">
        <f t="shared" si="2"/>
        <v>31</v>
      </c>
      <c r="I1444" s="15">
        <f t="shared" si="3"/>
        <v>3</v>
      </c>
    </row>
    <row r="1445">
      <c r="A1445" s="8" t="str">
        <f>IFERROR(__xludf.DUMMYFUNCTION("IF('(INGESTA)Datos_consumo_datadis'!A1445&lt;&gt;"""",SPLIT('(INGESTA)Datos_consumo_datadis'!A:A,"",""),"""")"),"ES0031408323131005HX0F")</f>
        <v>ES0031408323131005HX0F</v>
      </c>
      <c r="B1445" s="17">
        <f>IFERROR(__xludf.DUMMYFUNCTION("""COMPUTED_VALUE"""),44926.0)</f>
        <v>44926</v>
      </c>
      <c r="C1445" s="13">
        <f>IFERROR(__xludf.DUMMYFUNCTION("""COMPUTED_VALUE"""),0.16666666666666666)</f>
        <v>0.1666666667</v>
      </c>
      <c r="D1445" s="8">
        <f>IFERROR(__xludf.DUMMYFUNCTION("""COMPUTED_VALUE"""),0.828)</f>
        <v>0.828</v>
      </c>
      <c r="E1445" s="8" t="str">
        <f>IFERROR(__xludf.DUMMYFUNCTION("""COMPUTED_VALUE"""),"Real")</f>
        <v>Real</v>
      </c>
      <c r="G1445" s="8">
        <f t="shared" si="1"/>
        <v>12</v>
      </c>
      <c r="H1445" s="14">
        <f t="shared" si="2"/>
        <v>31</v>
      </c>
      <c r="I1445" s="15">
        <f t="shared" si="3"/>
        <v>4</v>
      </c>
    </row>
    <row r="1446">
      <c r="A1446" s="8" t="str">
        <f>IFERROR(__xludf.DUMMYFUNCTION("IF('(INGESTA)Datos_consumo_datadis'!A1446&lt;&gt;"""",SPLIT('(INGESTA)Datos_consumo_datadis'!A:A,"",""),"""")"),"ES0031408323131005HX0F")</f>
        <v>ES0031408323131005HX0F</v>
      </c>
      <c r="B1446" s="17">
        <f>IFERROR(__xludf.DUMMYFUNCTION("""COMPUTED_VALUE"""),44926.0)</f>
        <v>44926</v>
      </c>
      <c r="C1446" s="13">
        <f>IFERROR(__xludf.DUMMYFUNCTION("""COMPUTED_VALUE"""),0.20833333333333334)</f>
        <v>0.2083333333</v>
      </c>
      <c r="D1446" s="8">
        <f>IFERROR(__xludf.DUMMYFUNCTION("""COMPUTED_VALUE"""),0.562)</f>
        <v>0.562</v>
      </c>
      <c r="E1446" s="8" t="str">
        <f>IFERROR(__xludf.DUMMYFUNCTION("""COMPUTED_VALUE"""),"Real")</f>
        <v>Real</v>
      </c>
      <c r="G1446" s="8">
        <f t="shared" si="1"/>
        <v>12</v>
      </c>
      <c r="H1446" s="14">
        <f t="shared" si="2"/>
        <v>31</v>
      </c>
      <c r="I1446" s="15">
        <f t="shared" si="3"/>
        <v>5</v>
      </c>
    </row>
    <row r="1447">
      <c r="A1447" s="8" t="str">
        <f>IFERROR(__xludf.DUMMYFUNCTION("IF('(INGESTA)Datos_consumo_datadis'!A1447&lt;&gt;"""",SPLIT('(INGESTA)Datos_consumo_datadis'!A:A,"",""),"""")"),"ES0031408323131005HX0F")</f>
        <v>ES0031408323131005HX0F</v>
      </c>
      <c r="B1447" s="17">
        <f>IFERROR(__xludf.DUMMYFUNCTION("""COMPUTED_VALUE"""),44926.0)</f>
        <v>44926</v>
      </c>
      <c r="C1447" s="13">
        <f>IFERROR(__xludf.DUMMYFUNCTION("""COMPUTED_VALUE"""),0.25)</f>
        <v>0.25</v>
      </c>
      <c r="D1447" s="8">
        <f>IFERROR(__xludf.DUMMYFUNCTION("""COMPUTED_VALUE"""),0.54)</f>
        <v>0.54</v>
      </c>
      <c r="E1447" s="8" t="str">
        <f>IFERROR(__xludf.DUMMYFUNCTION("""COMPUTED_VALUE"""),"Real")</f>
        <v>Real</v>
      </c>
      <c r="G1447" s="8">
        <f t="shared" si="1"/>
        <v>12</v>
      </c>
      <c r="H1447" s="14">
        <f t="shared" si="2"/>
        <v>31</v>
      </c>
      <c r="I1447" s="15">
        <f t="shared" si="3"/>
        <v>6</v>
      </c>
    </row>
    <row r="1448">
      <c r="A1448" s="8" t="str">
        <f>IFERROR(__xludf.DUMMYFUNCTION("IF('(INGESTA)Datos_consumo_datadis'!A1448&lt;&gt;"""",SPLIT('(INGESTA)Datos_consumo_datadis'!A:A,"",""),"""")"),"ES0031408323131005HX0F")</f>
        <v>ES0031408323131005HX0F</v>
      </c>
      <c r="B1448" s="17">
        <f>IFERROR(__xludf.DUMMYFUNCTION("""COMPUTED_VALUE"""),44926.0)</f>
        <v>44926</v>
      </c>
      <c r="C1448" s="13">
        <f>IFERROR(__xludf.DUMMYFUNCTION("""COMPUTED_VALUE"""),0.2916666666666667)</f>
        <v>0.2916666667</v>
      </c>
      <c r="D1448" s="8">
        <f>IFERROR(__xludf.DUMMYFUNCTION("""COMPUTED_VALUE"""),0.836)</f>
        <v>0.836</v>
      </c>
      <c r="E1448" s="8" t="str">
        <f>IFERROR(__xludf.DUMMYFUNCTION("""COMPUTED_VALUE"""),"Real")</f>
        <v>Real</v>
      </c>
      <c r="G1448" s="8">
        <f t="shared" si="1"/>
        <v>12</v>
      </c>
      <c r="H1448" s="14">
        <f t="shared" si="2"/>
        <v>31</v>
      </c>
      <c r="I1448" s="15">
        <f t="shared" si="3"/>
        <v>7</v>
      </c>
    </row>
    <row r="1449">
      <c r="A1449" s="8" t="str">
        <f>IFERROR(__xludf.DUMMYFUNCTION("IF('(INGESTA)Datos_consumo_datadis'!A1449&lt;&gt;"""",SPLIT('(INGESTA)Datos_consumo_datadis'!A:A,"",""),"""")"),"ES0031408323131005HX0F")</f>
        <v>ES0031408323131005HX0F</v>
      </c>
      <c r="B1449" s="17">
        <f>IFERROR(__xludf.DUMMYFUNCTION("""COMPUTED_VALUE"""),44926.0)</f>
        <v>44926</v>
      </c>
      <c r="C1449" s="13">
        <f>IFERROR(__xludf.DUMMYFUNCTION("""COMPUTED_VALUE"""),0.3333333333333333)</f>
        <v>0.3333333333</v>
      </c>
      <c r="D1449" s="8">
        <f>IFERROR(__xludf.DUMMYFUNCTION("""COMPUTED_VALUE"""),1.534)</f>
        <v>1.534</v>
      </c>
      <c r="E1449" s="8" t="str">
        <f>IFERROR(__xludf.DUMMYFUNCTION("""COMPUTED_VALUE"""),"Real")</f>
        <v>Real</v>
      </c>
      <c r="G1449" s="8">
        <f t="shared" si="1"/>
        <v>12</v>
      </c>
      <c r="H1449" s="14">
        <f t="shared" si="2"/>
        <v>31</v>
      </c>
      <c r="I1449" s="15">
        <f t="shared" si="3"/>
        <v>8</v>
      </c>
    </row>
    <row r="1450">
      <c r="A1450" s="8" t="str">
        <f>IFERROR(__xludf.DUMMYFUNCTION("IF('(INGESTA)Datos_consumo_datadis'!A1450&lt;&gt;"""",SPLIT('(INGESTA)Datos_consumo_datadis'!A:A,"",""),"""")"),"ES0031408323131005HX0F")</f>
        <v>ES0031408323131005HX0F</v>
      </c>
      <c r="B1450" s="17">
        <f>IFERROR(__xludf.DUMMYFUNCTION("""COMPUTED_VALUE"""),44926.0)</f>
        <v>44926</v>
      </c>
      <c r="C1450" s="13">
        <f>IFERROR(__xludf.DUMMYFUNCTION("""COMPUTED_VALUE"""),0.375)</f>
        <v>0.375</v>
      </c>
      <c r="D1450" s="8">
        <f>IFERROR(__xludf.DUMMYFUNCTION("""COMPUTED_VALUE"""),1.258)</f>
        <v>1.258</v>
      </c>
      <c r="E1450" s="8" t="str">
        <f>IFERROR(__xludf.DUMMYFUNCTION("""COMPUTED_VALUE"""),"Real")</f>
        <v>Real</v>
      </c>
      <c r="G1450" s="8">
        <f t="shared" si="1"/>
        <v>12</v>
      </c>
      <c r="H1450" s="14">
        <f t="shared" si="2"/>
        <v>31</v>
      </c>
      <c r="I1450" s="15">
        <f t="shared" si="3"/>
        <v>9</v>
      </c>
    </row>
    <row r="1451">
      <c r="A1451" s="8" t="str">
        <f>IFERROR(__xludf.DUMMYFUNCTION("IF('(INGESTA)Datos_consumo_datadis'!A1451&lt;&gt;"""",SPLIT('(INGESTA)Datos_consumo_datadis'!A:A,"",""),"""")"),"ES0031408323131005HX0F")</f>
        <v>ES0031408323131005HX0F</v>
      </c>
      <c r="B1451" s="17">
        <f>IFERROR(__xludf.DUMMYFUNCTION("""COMPUTED_VALUE"""),44926.0)</f>
        <v>44926</v>
      </c>
      <c r="C1451" s="13">
        <f>IFERROR(__xludf.DUMMYFUNCTION("""COMPUTED_VALUE"""),0.4166666666666667)</f>
        <v>0.4166666667</v>
      </c>
      <c r="D1451" s="8">
        <f>IFERROR(__xludf.DUMMYFUNCTION("""COMPUTED_VALUE"""),1.287)</f>
        <v>1.287</v>
      </c>
      <c r="E1451" s="8" t="str">
        <f>IFERROR(__xludf.DUMMYFUNCTION("""COMPUTED_VALUE"""),"Real")</f>
        <v>Real</v>
      </c>
      <c r="G1451" s="8">
        <f t="shared" si="1"/>
        <v>12</v>
      </c>
      <c r="H1451" s="14">
        <f t="shared" si="2"/>
        <v>31</v>
      </c>
      <c r="I1451" s="15">
        <f t="shared" si="3"/>
        <v>10</v>
      </c>
    </row>
    <row r="1452">
      <c r="A1452" s="8" t="str">
        <f>IFERROR(__xludf.DUMMYFUNCTION("IF('(INGESTA)Datos_consumo_datadis'!A1452&lt;&gt;"""",SPLIT('(INGESTA)Datos_consumo_datadis'!A:A,"",""),"""")"),"ES0031408323131005HX0F")</f>
        <v>ES0031408323131005HX0F</v>
      </c>
      <c r="B1452" s="17">
        <f>IFERROR(__xludf.DUMMYFUNCTION("""COMPUTED_VALUE"""),44926.0)</f>
        <v>44926</v>
      </c>
      <c r="C1452" s="13">
        <f>IFERROR(__xludf.DUMMYFUNCTION("""COMPUTED_VALUE"""),0.4583333333333333)</f>
        <v>0.4583333333</v>
      </c>
      <c r="D1452" s="8">
        <f>IFERROR(__xludf.DUMMYFUNCTION("""COMPUTED_VALUE"""),1.249)</f>
        <v>1.249</v>
      </c>
      <c r="E1452" s="8" t="str">
        <f>IFERROR(__xludf.DUMMYFUNCTION("""COMPUTED_VALUE"""),"Real")</f>
        <v>Real</v>
      </c>
      <c r="G1452" s="8">
        <f t="shared" si="1"/>
        <v>12</v>
      </c>
      <c r="H1452" s="14">
        <f t="shared" si="2"/>
        <v>31</v>
      </c>
      <c r="I1452" s="15">
        <f t="shared" si="3"/>
        <v>11</v>
      </c>
    </row>
    <row r="1453">
      <c r="A1453" s="8" t="str">
        <f>IFERROR(__xludf.DUMMYFUNCTION("IF('(INGESTA)Datos_consumo_datadis'!A1453&lt;&gt;"""",SPLIT('(INGESTA)Datos_consumo_datadis'!A:A,"",""),"""")"),"ES0031408323131005HX0F")</f>
        <v>ES0031408323131005HX0F</v>
      </c>
      <c r="B1453" s="17">
        <f>IFERROR(__xludf.DUMMYFUNCTION("""COMPUTED_VALUE"""),44926.0)</f>
        <v>44926</v>
      </c>
      <c r="C1453" s="13">
        <f>IFERROR(__xludf.DUMMYFUNCTION("""COMPUTED_VALUE"""),0.5)</f>
        <v>0.5</v>
      </c>
      <c r="D1453" s="8">
        <f>IFERROR(__xludf.DUMMYFUNCTION("""COMPUTED_VALUE"""),1.206)</f>
        <v>1.206</v>
      </c>
      <c r="E1453" s="8" t="str">
        <f>IFERROR(__xludf.DUMMYFUNCTION("""COMPUTED_VALUE"""),"Real")</f>
        <v>Real</v>
      </c>
      <c r="G1453" s="8">
        <f t="shared" si="1"/>
        <v>12</v>
      </c>
      <c r="H1453" s="14">
        <f t="shared" si="2"/>
        <v>31</v>
      </c>
      <c r="I1453" s="15">
        <f t="shared" si="3"/>
        <v>12</v>
      </c>
    </row>
    <row r="1454">
      <c r="A1454" s="8" t="str">
        <f>IFERROR(__xludf.DUMMYFUNCTION("IF('(INGESTA)Datos_consumo_datadis'!A1454&lt;&gt;"""",SPLIT('(INGESTA)Datos_consumo_datadis'!A:A,"",""),"""")"),"ES0031408323131005HX0F")</f>
        <v>ES0031408323131005HX0F</v>
      </c>
      <c r="B1454" s="17">
        <f>IFERROR(__xludf.DUMMYFUNCTION("""COMPUTED_VALUE"""),44926.0)</f>
        <v>44926</v>
      </c>
      <c r="C1454" s="13">
        <f>IFERROR(__xludf.DUMMYFUNCTION("""COMPUTED_VALUE"""),0.5416666666666666)</f>
        <v>0.5416666667</v>
      </c>
      <c r="D1454" s="8">
        <f>IFERROR(__xludf.DUMMYFUNCTION("""COMPUTED_VALUE"""),0.516)</f>
        <v>0.516</v>
      </c>
      <c r="E1454" s="8" t="str">
        <f>IFERROR(__xludf.DUMMYFUNCTION("""COMPUTED_VALUE"""),"Real")</f>
        <v>Real</v>
      </c>
      <c r="G1454" s="8">
        <f t="shared" si="1"/>
        <v>12</v>
      </c>
      <c r="H1454" s="14">
        <f t="shared" si="2"/>
        <v>31</v>
      </c>
      <c r="I1454" s="15">
        <f t="shared" si="3"/>
        <v>13</v>
      </c>
    </row>
    <row r="1455">
      <c r="A1455" s="8" t="str">
        <f>IFERROR(__xludf.DUMMYFUNCTION("IF('(INGESTA)Datos_consumo_datadis'!A1455&lt;&gt;"""",SPLIT('(INGESTA)Datos_consumo_datadis'!A:A,"",""),"""")"),"ES0031408323131005HX0F")</f>
        <v>ES0031408323131005HX0F</v>
      </c>
      <c r="B1455" s="17">
        <f>IFERROR(__xludf.DUMMYFUNCTION("""COMPUTED_VALUE"""),44926.0)</f>
        <v>44926</v>
      </c>
      <c r="C1455" s="13">
        <f>IFERROR(__xludf.DUMMYFUNCTION("""COMPUTED_VALUE"""),0.5833333333333334)</f>
        <v>0.5833333333</v>
      </c>
      <c r="D1455" s="8">
        <f>IFERROR(__xludf.DUMMYFUNCTION("""COMPUTED_VALUE"""),0.043)</f>
        <v>0.043</v>
      </c>
      <c r="E1455" s="8" t="str">
        <f>IFERROR(__xludf.DUMMYFUNCTION("""COMPUTED_VALUE"""),"Real")</f>
        <v>Real</v>
      </c>
      <c r="G1455" s="8">
        <f t="shared" si="1"/>
        <v>12</v>
      </c>
      <c r="H1455" s="14">
        <f t="shared" si="2"/>
        <v>31</v>
      </c>
      <c r="I1455" s="15">
        <f t="shared" si="3"/>
        <v>14</v>
      </c>
    </row>
    <row r="1456">
      <c r="A1456" s="8" t="str">
        <f>IFERROR(__xludf.DUMMYFUNCTION("IF('(INGESTA)Datos_consumo_datadis'!A1456&lt;&gt;"""",SPLIT('(INGESTA)Datos_consumo_datadis'!A:A,"",""),"""")"),"ES0031408323131005HX0F")</f>
        <v>ES0031408323131005HX0F</v>
      </c>
      <c r="B1456" s="17">
        <f>IFERROR(__xludf.DUMMYFUNCTION("""COMPUTED_VALUE"""),44926.0)</f>
        <v>44926</v>
      </c>
      <c r="C1456" s="13">
        <f>IFERROR(__xludf.DUMMYFUNCTION("""COMPUTED_VALUE"""),0.625)</f>
        <v>0.625</v>
      </c>
      <c r="D1456" s="8">
        <f>IFERROR(__xludf.DUMMYFUNCTION("""COMPUTED_VALUE"""),0.057)</f>
        <v>0.057</v>
      </c>
      <c r="E1456" s="8" t="str">
        <f>IFERROR(__xludf.DUMMYFUNCTION("""COMPUTED_VALUE"""),"Real")</f>
        <v>Real</v>
      </c>
      <c r="G1456" s="8">
        <f t="shared" si="1"/>
        <v>12</v>
      </c>
      <c r="H1456" s="14">
        <f t="shared" si="2"/>
        <v>31</v>
      </c>
      <c r="I1456" s="15">
        <f t="shared" si="3"/>
        <v>15</v>
      </c>
    </row>
    <row r="1457">
      <c r="A1457" s="8" t="str">
        <f>IFERROR(__xludf.DUMMYFUNCTION("IF('(INGESTA)Datos_consumo_datadis'!A1457&lt;&gt;"""",SPLIT('(INGESTA)Datos_consumo_datadis'!A:A,"",""),"""")"),"ES0031408323131005HX0F")</f>
        <v>ES0031408323131005HX0F</v>
      </c>
      <c r="B1457" s="17">
        <f>IFERROR(__xludf.DUMMYFUNCTION("""COMPUTED_VALUE"""),44926.0)</f>
        <v>44926</v>
      </c>
      <c r="C1457" s="13">
        <f>IFERROR(__xludf.DUMMYFUNCTION("""COMPUTED_VALUE"""),0.6666666666666666)</f>
        <v>0.6666666667</v>
      </c>
      <c r="D1457" s="8">
        <f>IFERROR(__xludf.DUMMYFUNCTION("""COMPUTED_VALUE"""),0.056)</f>
        <v>0.056</v>
      </c>
      <c r="E1457" s="8" t="str">
        <f>IFERROR(__xludf.DUMMYFUNCTION("""COMPUTED_VALUE"""),"Real")</f>
        <v>Real</v>
      </c>
      <c r="G1457" s="8">
        <f t="shared" si="1"/>
        <v>12</v>
      </c>
      <c r="H1457" s="14">
        <f t="shared" si="2"/>
        <v>31</v>
      </c>
      <c r="I1457" s="15">
        <f t="shared" si="3"/>
        <v>16</v>
      </c>
    </row>
    <row r="1458">
      <c r="A1458" s="8" t="str">
        <f>IFERROR(__xludf.DUMMYFUNCTION("IF('(INGESTA)Datos_consumo_datadis'!A1458&lt;&gt;"""",SPLIT('(INGESTA)Datos_consumo_datadis'!A:A,"",""),"""")"),"ES0031408323131005HX0F")</f>
        <v>ES0031408323131005HX0F</v>
      </c>
      <c r="B1458" s="17">
        <f>IFERROR(__xludf.DUMMYFUNCTION("""COMPUTED_VALUE"""),44926.0)</f>
        <v>44926</v>
      </c>
      <c r="C1458" s="13">
        <f>IFERROR(__xludf.DUMMYFUNCTION("""COMPUTED_VALUE"""),0.7083333333333334)</f>
        <v>0.7083333333</v>
      </c>
      <c r="D1458" s="8">
        <f>IFERROR(__xludf.DUMMYFUNCTION("""COMPUTED_VALUE"""),0.014)</f>
        <v>0.014</v>
      </c>
      <c r="E1458" s="8" t="str">
        <f>IFERROR(__xludf.DUMMYFUNCTION("""COMPUTED_VALUE"""),"Real")</f>
        <v>Real</v>
      </c>
      <c r="G1458" s="8">
        <f t="shared" si="1"/>
        <v>12</v>
      </c>
      <c r="H1458" s="14">
        <f t="shared" si="2"/>
        <v>31</v>
      </c>
      <c r="I1458" s="15">
        <f t="shared" si="3"/>
        <v>17</v>
      </c>
    </row>
    <row r="1459">
      <c r="A1459" s="8" t="str">
        <f>IFERROR(__xludf.DUMMYFUNCTION("IF('(INGESTA)Datos_consumo_datadis'!A1459&lt;&gt;"""",SPLIT('(INGESTA)Datos_consumo_datadis'!A:A,"",""),"""")"),"ES0031408323131005HX0F")</f>
        <v>ES0031408323131005HX0F</v>
      </c>
      <c r="B1459" s="17">
        <f>IFERROR(__xludf.DUMMYFUNCTION("""COMPUTED_VALUE"""),44926.0)</f>
        <v>44926</v>
      </c>
      <c r="C1459" s="13">
        <f>IFERROR(__xludf.DUMMYFUNCTION("""COMPUTED_VALUE"""),0.75)</f>
        <v>0.75</v>
      </c>
      <c r="D1459" s="8">
        <f>IFERROR(__xludf.DUMMYFUNCTION("""COMPUTED_VALUE"""),0.945)</f>
        <v>0.945</v>
      </c>
      <c r="E1459" s="8" t="str">
        <f>IFERROR(__xludf.DUMMYFUNCTION("""COMPUTED_VALUE"""),"Real")</f>
        <v>Real</v>
      </c>
      <c r="G1459" s="8">
        <f t="shared" si="1"/>
        <v>12</v>
      </c>
      <c r="H1459" s="14">
        <f t="shared" si="2"/>
        <v>31</v>
      </c>
      <c r="I1459" s="15">
        <f t="shared" si="3"/>
        <v>18</v>
      </c>
    </row>
    <row r="1460">
      <c r="A1460" s="8" t="str">
        <f>IFERROR(__xludf.DUMMYFUNCTION("IF('(INGESTA)Datos_consumo_datadis'!A1460&lt;&gt;"""",SPLIT('(INGESTA)Datos_consumo_datadis'!A:A,"",""),"""")"),"ES0031408323131005HX0F")</f>
        <v>ES0031408323131005HX0F</v>
      </c>
      <c r="B1460" s="17">
        <f>IFERROR(__xludf.DUMMYFUNCTION("""COMPUTED_VALUE"""),44926.0)</f>
        <v>44926</v>
      </c>
      <c r="C1460" s="13">
        <f>IFERROR(__xludf.DUMMYFUNCTION("""COMPUTED_VALUE"""),0.7916666666666666)</f>
        <v>0.7916666667</v>
      </c>
      <c r="D1460" s="8">
        <f>IFERROR(__xludf.DUMMYFUNCTION("""COMPUTED_VALUE"""),1.174)</f>
        <v>1.174</v>
      </c>
      <c r="E1460" s="8" t="str">
        <f>IFERROR(__xludf.DUMMYFUNCTION("""COMPUTED_VALUE"""),"Real")</f>
        <v>Real</v>
      </c>
      <c r="G1460" s="8">
        <f t="shared" si="1"/>
        <v>12</v>
      </c>
      <c r="H1460" s="14">
        <f t="shared" si="2"/>
        <v>31</v>
      </c>
      <c r="I1460" s="15">
        <f t="shared" si="3"/>
        <v>19</v>
      </c>
    </row>
    <row r="1461">
      <c r="A1461" s="8" t="str">
        <f>IFERROR(__xludf.DUMMYFUNCTION("IF('(INGESTA)Datos_consumo_datadis'!A1461&lt;&gt;"""",SPLIT('(INGESTA)Datos_consumo_datadis'!A:A,"",""),"""")"),"ES0031408323131005HX0F")</f>
        <v>ES0031408323131005HX0F</v>
      </c>
      <c r="B1461" s="17">
        <f>IFERROR(__xludf.DUMMYFUNCTION("""COMPUTED_VALUE"""),44926.0)</f>
        <v>44926</v>
      </c>
      <c r="C1461" s="13">
        <f>IFERROR(__xludf.DUMMYFUNCTION("""COMPUTED_VALUE"""),0.8333333333333334)</f>
        <v>0.8333333333</v>
      </c>
      <c r="D1461" s="8">
        <f>IFERROR(__xludf.DUMMYFUNCTION("""COMPUTED_VALUE"""),2.113)</f>
        <v>2.113</v>
      </c>
      <c r="E1461" s="8" t="str">
        <f>IFERROR(__xludf.DUMMYFUNCTION("""COMPUTED_VALUE"""),"Real")</f>
        <v>Real</v>
      </c>
      <c r="G1461" s="8">
        <f t="shared" si="1"/>
        <v>12</v>
      </c>
      <c r="H1461" s="14">
        <f t="shared" si="2"/>
        <v>31</v>
      </c>
      <c r="I1461" s="15">
        <f t="shared" si="3"/>
        <v>20</v>
      </c>
    </row>
    <row r="1462">
      <c r="A1462" s="8" t="str">
        <f>IFERROR(__xludf.DUMMYFUNCTION("IF('(INGESTA)Datos_consumo_datadis'!A1462&lt;&gt;"""",SPLIT('(INGESTA)Datos_consumo_datadis'!A:A,"",""),"""")"),"ES0031408323131005HX0F")</f>
        <v>ES0031408323131005HX0F</v>
      </c>
      <c r="B1462" s="17">
        <f>IFERROR(__xludf.DUMMYFUNCTION("""COMPUTED_VALUE"""),44926.0)</f>
        <v>44926</v>
      </c>
      <c r="C1462" s="13">
        <f>IFERROR(__xludf.DUMMYFUNCTION("""COMPUTED_VALUE"""),0.875)</f>
        <v>0.875</v>
      </c>
      <c r="D1462" s="8">
        <f>IFERROR(__xludf.DUMMYFUNCTION("""COMPUTED_VALUE"""),1.893)</f>
        <v>1.893</v>
      </c>
      <c r="E1462" s="8" t="str">
        <f>IFERROR(__xludf.DUMMYFUNCTION("""COMPUTED_VALUE"""),"Real")</f>
        <v>Real</v>
      </c>
      <c r="G1462" s="8">
        <f t="shared" si="1"/>
        <v>12</v>
      </c>
      <c r="H1462" s="14">
        <f t="shared" si="2"/>
        <v>31</v>
      </c>
      <c r="I1462" s="15">
        <f t="shared" si="3"/>
        <v>21</v>
      </c>
    </row>
    <row r="1463">
      <c r="A1463" s="8" t="str">
        <f>IFERROR(__xludf.DUMMYFUNCTION("IF('(INGESTA)Datos_consumo_datadis'!A1463&lt;&gt;"""",SPLIT('(INGESTA)Datos_consumo_datadis'!A:A,"",""),"""")"),"ES0031408323131005HX0F")</f>
        <v>ES0031408323131005HX0F</v>
      </c>
      <c r="B1463" s="17">
        <f>IFERROR(__xludf.DUMMYFUNCTION("""COMPUTED_VALUE"""),44926.0)</f>
        <v>44926</v>
      </c>
      <c r="C1463" s="13">
        <f>IFERROR(__xludf.DUMMYFUNCTION("""COMPUTED_VALUE"""),0.9166666666666666)</f>
        <v>0.9166666667</v>
      </c>
      <c r="D1463" s="8">
        <f>IFERROR(__xludf.DUMMYFUNCTION("""COMPUTED_VALUE"""),0.137)</f>
        <v>0.137</v>
      </c>
      <c r="E1463" s="8" t="str">
        <f>IFERROR(__xludf.DUMMYFUNCTION("""COMPUTED_VALUE"""),"Real")</f>
        <v>Real</v>
      </c>
      <c r="G1463" s="8">
        <f t="shared" si="1"/>
        <v>12</v>
      </c>
      <c r="H1463" s="14">
        <f t="shared" si="2"/>
        <v>31</v>
      </c>
      <c r="I1463" s="15">
        <f t="shared" si="3"/>
        <v>22</v>
      </c>
    </row>
    <row r="1464">
      <c r="A1464" s="8" t="str">
        <f>IFERROR(__xludf.DUMMYFUNCTION("IF('(INGESTA)Datos_consumo_datadis'!A1464&lt;&gt;"""",SPLIT('(INGESTA)Datos_consumo_datadis'!A:A,"",""),"""")"),"ES0031408323131005HX0F")</f>
        <v>ES0031408323131005HX0F</v>
      </c>
      <c r="B1464" s="17">
        <f>IFERROR(__xludf.DUMMYFUNCTION("""COMPUTED_VALUE"""),44926.0)</f>
        <v>44926</v>
      </c>
      <c r="C1464" s="13">
        <f>IFERROR(__xludf.DUMMYFUNCTION("""COMPUTED_VALUE"""),0.9583333333333334)</f>
        <v>0.9583333333</v>
      </c>
      <c r="D1464" s="8">
        <f>IFERROR(__xludf.DUMMYFUNCTION("""COMPUTED_VALUE"""),0.081)</f>
        <v>0.081</v>
      </c>
      <c r="E1464" s="8" t="str">
        <f>IFERROR(__xludf.DUMMYFUNCTION("""COMPUTED_VALUE"""),"Real")</f>
        <v>Real</v>
      </c>
      <c r="G1464" s="8">
        <f t="shared" si="1"/>
        <v>12</v>
      </c>
      <c r="H1464" s="14">
        <f t="shared" si="2"/>
        <v>31</v>
      </c>
      <c r="I1464" s="15">
        <f t="shared" si="3"/>
        <v>23</v>
      </c>
    </row>
    <row r="1465">
      <c r="A1465" s="8" t="str">
        <f>IFERROR(__xludf.DUMMYFUNCTION("IF('(INGESTA)Datos_consumo_datadis'!A1465&lt;&gt;"""",SPLIT('(INGESTA)Datos_consumo_datadis'!A:A,"",""),"""")"),"ES0031408323131005HX0F")</f>
        <v>ES0031408323131005HX0F</v>
      </c>
      <c r="B1465" s="17">
        <f>IFERROR(__xludf.DUMMYFUNCTION("""COMPUTED_VALUE"""),44926.0)</f>
        <v>44926</v>
      </c>
      <c r="C1465" s="16">
        <f>IFERROR(__xludf.DUMMYFUNCTION("""COMPUTED_VALUE"""),1.0)</f>
        <v>1</v>
      </c>
      <c r="D1465" s="8">
        <f>IFERROR(__xludf.DUMMYFUNCTION("""COMPUTED_VALUE"""),0.105)</f>
        <v>0.105</v>
      </c>
      <c r="E1465" s="8" t="str">
        <f>IFERROR(__xludf.DUMMYFUNCTION("""COMPUTED_VALUE"""),"Real")</f>
        <v>Real</v>
      </c>
      <c r="G1465" s="8">
        <f t="shared" si="1"/>
        <v>12</v>
      </c>
      <c r="H1465" s="14">
        <f t="shared" si="2"/>
        <v>31</v>
      </c>
      <c r="I1465" s="15">
        <f t="shared" si="3"/>
        <v>0</v>
      </c>
    </row>
    <row r="1466">
      <c r="A1466" s="8" t="str">
        <f>IFERROR(__xludf.DUMMYFUNCTION("IF('(INGESTA)Datos_consumo_datadis'!A1466&lt;&gt;"""",SPLIT('(INGESTA)Datos_consumo_datadis'!A:A,"",""),"""")"),"ES0031408323131005HX0F")</f>
        <v>ES0031408323131005HX0F</v>
      </c>
      <c r="B1466" s="12">
        <f>IFERROR(__xludf.DUMMYFUNCTION("""COMPUTED_VALUE"""),44927.0)</f>
        <v>44927</v>
      </c>
      <c r="C1466" s="13">
        <f>IFERROR(__xludf.DUMMYFUNCTION("""COMPUTED_VALUE"""),0.041666666666666664)</f>
        <v>0.04166666667</v>
      </c>
      <c r="D1466" s="8">
        <f>IFERROR(__xludf.DUMMYFUNCTION("""COMPUTED_VALUE"""),0.045)</f>
        <v>0.045</v>
      </c>
      <c r="E1466" s="8" t="str">
        <f>IFERROR(__xludf.DUMMYFUNCTION("""COMPUTED_VALUE"""),"Real")</f>
        <v>Real</v>
      </c>
      <c r="G1466" s="8">
        <f t="shared" si="1"/>
        <v>1</v>
      </c>
      <c r="H1466" s="14">
        <f t="shared" si="2"/>
        <v>1</v>
      </c>
      <c r="I1466" s="15">
        <f t="shared" si="3"/>
        <v>1</v>
      </c>
    </row>
    <row r="1467">
      <c r="A1467" s="8" t="str">
        <f>IFERROR(__xludf.DUMMYFUNCTION("IF('(INGESTA)Datos_consumo_datadis'!A1467&lt;&gt;"""",SPLIT('(INGESTA)Datos_consumo_datadis'!A:A,"",""),"""")"),"ES0031408323131005HX0F")</f>
        <v>ES0031408323131005HX0F</v>
      </c>
      <c r="B1467" s="12">
        <f>IFERROR(__xludf.DUMMYFUNCTION("""COMPUTED_VALUE"""),44927.0)</f>
        <v>44927</v>
      </c>
      <c r="C1467" s="13">
        <f>IFERROR(__xludf.DUMMYFUNCTION("""COMPUTED_VALUE"""),0.08333333333333333)</f>
        <v>0.08333333333</v>
      </c>
      <c r="D1467" s="8">
        <f>IFERROR(__xludf.DUMMYFUNCTION("""COMPUTED_VALUE"""),0.932)</f>
        <v>0.932</v>
      </c>
      <c r="E1467" s="8" t="str">
        <f>IFERROR(__xludf.DUMMYFUNCTION("""COMPUTED_VALUE"""),"Real")</f>
        <v>Real</v>
      </c>
      <c r="G1467" s="8">
        <f t="shared" si="1"/>
        <v>1</v>
      </c>
      <c r="H1467" s="14">
        <f t="shared" si="2"/>
        <v>1</v>
      </c>
      <c r="I1467" s="15">
        <f t="shared" si="3"/>
        <v>2</v>
      </c>
    </row>
    <row r="1468">
      <c r="A1468" s="8" t="str">
        <f>IFERROR(__xludf.DUMMYFUNCTION("IF('(INGESTA)Datos_consumo_datadis'!A1468&lt;&gt;"""",SPLIT('(INGESTA)Datos_consumo_datadis'!A:A,"",""),"""")"),"ES0031408323131005HX0F")</f>
        <v>ES0031408323131005HX0F</v>
      </c>
      <c r="B1468" s="12">
        <f>IFERROR(__xludf.DUMMYFUNCTION("""COMPUTED_VALUE"""),44927.0)</f>
        <v>44927</v>
      </c>
      <c r="C1468" s="13">
        <f>IFERROR(__xludf.DUMMYFUNCTION("""COMPUTED_VALUE"""),0.125)</f>
        <v>0.125</v>
      </c>
      <c r="D1468" s="8">
        <f>IFERROR(__xludf.DUMMYFUNCTION("""COMPUTED_VALUE"""),1.079)</f>
        <v>1.079</v>
      </c>
      <c r="E1468" s="8" t="str">
        <f>IFERROR(__xludf.DUMMYFUNCTION("""COMPUTED_VALUE"""),"Real")</f>
        <v>Real</v>
      </c>
      <c r="G1468" s="8">
        <f t="shared" si="1"/>
        <v>1</v>
      </c>
      <c r="H1468" s="14">
        <f t="shared" si="2"/>
        <v>1</v>
      </c>
      <c r="I1468" s="15">
        <f t="shared" si="3"/>
        <v>3</v>
      </c>
    </row>
    <row r="1469">
      <c r="A1469" s="8" t="str">
        <f>IFERROR(__xludf.DUMMYFUNCTION("IF('(INGESTA)Datos_consumo_datadis'!A1469&lt;&gt;"""",SPLIT('(INGESTA)Datos_consumo_datadis'!A:A,"",""),"""")"),"ES0031408323131005HX0F")</f>
        <v>ES0031408323131005HX0F</v>
      </c>
      <c r="B1469" s="12">
        <f>IFERROR(__xludf.DUMMYFUNCTION("""COMPUTED_VALUE"""),44927.0)</f>
        <v>44927</v>
      </c>
      <c r="C1469" s="13">
        <f>IFERROR(__xludf.DUMMYFUNCTION("""COMPUTED_VALUE"""),0.16666666666666666)</f>
        <v>0.1666666667</v>
      </c>
      <c r="D1469" s="8">
        <f>IFERROR(__xludf.DUMMYFUNCTION("""COMPUTED_VALUE"""),1.089)</f>
        <v>1.089</v>
      </c>
      <c r="E1469" s="8" t="str">
        <f>IFERROR(__xludf.DUMMYFUNCTION("""COMPUTED_VALUE"""),"Real")</f>
        <v>Real</v>
      </c>
      <c r="G1469" s="8">
        <f t="shared" si="1"/>
        <v>1</v>
      </c>
      <c r="H1469" s="14">
        <f t="shared" si="2"/>
        <v>1</v>
      </c>
      <c r="I1469" s="15">
        <f t="shared" si="3"/>
        <v>4</v>
      </c>
    </row>
    <row r="1470">
      <c r="A1470" s="8" t="str">
        <f>IFERROR(__xludf.DUMMYFUNCTION("IF('(INGESTA)Datos_consumo_datadis'!A1470&lt;&gt;"""",SPLIT('(INGESTA)Datos_consumo_datadis'!A:A,"",""),"""")"),"ES0031408323131005HX0F")</f>
        <v>ES0031408323131005HX0F</v>
      </c>
      <c r="B1470" s="12">
        <f>IFERROR(__xludf.DUMMYFUNCTION("""COMPUTED_VALUE"""),44927.0)</f>
        <v>44927</v>
      </c>
      <c r="C1470" s="13">
        <f>IFERROR(__xludf.DUMMYFUNCTION("""COMPUTED_VALUE"""),0.20833333333333334)</f>
        <v>0.2083333333</v>
      </c>
      <c r="D1470" s="8">
        <f>IFERROR(__xludf.DUMMYFUNCTION("""COMPUTED_VALUE"""),0.912)</f>
        <v>0.912</v>
      </c>
      <c r="E1470" s="8" t="str">
        <f>IFERROR(__xludf.DUMMYFUNCTION("""COMPUTED_VALUE"""),"Real")</f>
        <v>Real</v>
      </c>
      <c r="G1470" s="8">
        <f t="shared" si="1"/>
        <v>1</v>
      </c>
      <c r="H1470" s="14">
        <f t="shared" si="2"/>
        <v>1</v>
      </c>
      <c r="I1470" s="15">
        <f t="shared" si="3"/>
        <v>5</v>
      </c>
    </row>
    <row r="1471">
      <c r="A1471" s="8" t="str">
        <f>IFERROR(__xludf.DUMMYFUNCTION("IF('(INGESTA)Datos_consumo_datadis'!A1471&lt;&gt;"""",SPLIT('(INGESTA)Datos_consumo_datadis'!A:A,"",""),"""")"),"ES0031408323131005HX0F")</f>
        <v>ES0031408323131005HX0F</v>
      </c>
      <c r="B1471" s="12">
        <f>IFERROR(__xludf.DUMMYFUNCTION("""COMPUTED_VALUE"""),44927.0)</f>
        <v>44927</v>
      </c>
      <c r="C1471" s="13">
        <f>IFERROR(__xludf.DUMMYFUNCTION("""COMPUTED_VALUE"""),0.25)</f>
        <v>0.25</v>
      </c>
      <c r="D1471" s="8">
        <f>IFERROR(__xludf.DUMMYFUNCTION("""COMPUTED_VALUE"""),0.923)</f>
        <v>0.923</v>
      </c>
      <c r="E1471" s="8" t="str">
        <f>IFERROR(__xludf.DUMMYFUNCTION("""COMPUTED_VALUE"""),"Real")</f>
        <v>Real</v>
      </c>
      <c r="G1471" s="8">
        <f t="shared" si="1"/>
        <v>1</v>
      </c>
      <c r="H1471" s="14">
        <f t="shared" si="2"/>
        <v>1</v>
      </c>
      <c r="I1471" s="15">
        <f t="shared" si="3"/>
        <v>6</v>
      </c>
    </row>
    <row r="1472">
      <c r="A1472" s="8" t="str">
        <f>IFERROR(__xludf.DUMMYFUNCTION("IF('(INGESTA)Datos_consumo_datadis'!A1472&lt;&gt;"""",SPLIT('(INGESTA)Datos_consumo_datadis'!A:A,"",""),"""")"),"ES0031408323131005HX0F")</f>
        <v>ES0031408323131005HX0F</v>
      </c>
      <c r="B1472" s="12">
        <f>IFERROR(__xludf.DUMMYFUNCTION("""COMPUTED_VALUE"""),44927.0)</f>
        <v>44927</v>
      </c>
      <c r="C1472" s="13">
        <f>IFERROR(__xludf.DUMMYFUNCTION("""COMPUTED_VALUE"""),0.2916666666666667)</f>
        <v>0.2916666667</v>
      </c>
      <c r="D1472" s="8">
        <f>IFERROR(__xludf.DUMMYFUNCTION("""COMPUTED_VALUE"""),0.88)</f>
        <v>0.88</v>
      </c>
      <c r="E1472" s="8" t="str">
        <f>IFERROR(__xludf.DUMMYFUNCTION("""COMPUTED_VALUE"""),"Real")</f>
        <v>Real</v>
      </c>
      <c r="G1472" s="8">
        <f t="shared" si="1"/>
        <v>1</v>
      </c>
      <c r="H1472" s="14">
        <f t="shared" si="2"/>
        <v>1</v>
      </c>
      <c r="I1472" s="15">
        <f t="shared" si="3"/>
        <v>7</v>
      </c>
    </row>
    <row r="1473">
      <c r="A1473" s="8" t="str">
        <f>IFERROR(__xludf.DUMMYFUNCTION("IF('(INGESTA)Datos_consumo_datadis'!A1473&lt;&gt;"""",SPLIT('(INGESTA)Datos_consumo_datadis'!A:A,"",""),"""")"),"ES0031408323131005HX0F")</f>
        <v>ES0031408323131005HX0F</v>
      </c>
      <c r="B1473" s="12">
        <f>IFERROR(__xludf.DUMMYFUNCTION("""COMPUTED_VALUE"""),44927.0)</f>
        <v>44927</v>
      </c>
      <c r="C1473" s="13">
        <f>IFERROR(__xludf.DUMMYFUNCTION("""COMPUTED_VALUE"""),0.3333333333333333)</f>
        <v>0.3333333333</v>
      </c>
      <c r="D1473" s="8">
        <f>IFERROR(__xludf.DUMMYFUNCTION("""COMPUTED_VALUE"""),1.07)</f>
        <v>1.07</v>
      </c>
      <c r="E1473" s="8" t="str">
        <f>IFERROR(__xludf.DUMMYFUNCTION("""COMPUTED_VALUE"""),"Real")</f>
        <v>Real</v>
      </c>
      <c r="G1473" s="8">
        <f t="shared" si="1"/>
        <v>1</v>
      </c>
      <c r="H1473" s="14">
        <f t="shared" si="2"/>
        <v>1</v>
      </c>
      <c r="I1473" s="15">
        <f t="shared" si="3"/>
        <v>8</v>
      </c>
    </row>
    <row r="1474">
      <c r="A1474" s="8" t="str">
        <f>IFERROR(__xludf.DUMMYFUNCTION("IF('(INGESTA)Datos_consumo_datadis'!A1474&lt;&gt;"""",SPLIT('(INGESTA)Datos_consumo_datadis'!A:A,"",""),"""")"),"ES0031408323131005HX0F")</f>
        <v>ES0031408323131005HX0F</v>
      </c>
      <c r="B1474" s="12">
        <f>IFERROR(__xludf.DUMMYFUNCTION("""COMPUTED_VALUE"""),44927.0)</f>
        <v>44927</v>
      </c>
      <c r="C1474" s="13">
        <f>IFERROR(__xludf.DUMMYFUNCTION("""COMPUTED_VALUE"""),0.375)</f>
        <v>0.375</v>
      </c>
      <c r="D1474" s="8">
        <f>IFERROR(__xludf.DUMMYFUNCTION("""COMPUTED_VALUE"""),1.243)</f>
        <v>1.243</v>
      </c>
      <c r="E1474" s="8" t="str">
        <f>IFERROR(__xludf.DUMMYFUNCTION("""COMPUTED_VALUE"""),"Real")</f>
        <v>Real</v>
      </c>
      <c r="G1474" s="8">
        <f t="shared" si="1"/>
        <v>1</v>
      </c>
      <c r="H1474" s="14">
        <f t="shared" si="2"/>
        <v>1</v>
      </c>
      <c r="I1474" s="15">
        <f t="shared" si="3"/>
        <v>9</v>
      </c>
    </row>
    <row r="1475">
      <c r="A1475" s="8" t="str">
        <f>IFERROR(__xludf.DUMMYFUNCTION("IF('(INGESTA)Datos_consumo_datadis'!A1475&lt;&gt;"""",SPLIT('(INGESTA)Datos_consumo_datadis'!A:A,"",""),"""")"),"ES0031408323131005HX0F")</f>
        <v>ES0031408323131005HX0F</v>
      </c>
      <c r="B1475" s="12">
        <f>IFERROR(__xludf.DUMMYFUNCTION("""COMPUTED_VALUE"""),44927.0)</f>
        <v>44927</v>
      </c>
      <c r="C1475" s="13">
        <f>IFERROR(__xludf.DUMMYFUNCTION("""COMPUTED_VALUE"""),0.4166666666666667)</f>
        <v>0.4166666667</v>
      </c>
      <c r="D1475" s="8">
        <f>IFERROR(__xludf.DUMMYFUNCTION("""COMPUTED_VALUE"""),1.387)</f>
        <v>1.387</v>
      </c>
      <c r="E1475" s="8" t="str">
        <f>IFERROR(__xludf.DUMMYFUNCTION("""COMPUTED_VALUE"""),"Real")</f>
        <v>Real</v>
      </c>
      <c r="G1475" s="8">
        <f t="shared" si="1"/>
        <v>1</v>
      </c>
      <c r="H1475" s="14">
        <f t="shared" si="2"/>
        <v>1</v>
      </c>
      <c r="I1475" s="15">
        <f t="shared" si="3"/>
        <v>10</v>
      </c>
    </row>
    <row r="1476">
      <c r="A1476" s="8" t="str">
        <f>IFERROR(__xludf.DUMMYFUNCTION("IF('(INGESTA)Datos_consumo_datadis'!A1476&lt;&gt;"""",SPLIT('(INGESTA)Datos_consumo_datadis'!A:A,"",""),"""")"),"ES0031408323131005HX0F")</f>
        <v>ES0031408323131005HX0F</v>
      </c>
      <c r="B1476" s="12">
        <f>IFERROR(__xludf.DUMMYFUNCTION("""COMPUTED_VALUE"""),44927.0)</f>
        <v>44927</v>
      </c>
      <c r="C1476" s="13">
        <f>IFERROR(__xludf.DUMMYFUNCTION("""COMPUTED_VALUE"""),0.4583333333333333)</f>
        <v>0.4583333333</v>
      </c>
      <c r="D1476" s="8">
        <f>IFERROR(__xludf.DUMMYFUNCTION("""COMPUTED_VALUE"""),1.34)</f>
        <v>1.34</v>
      </c>
      <c r="E1476" s="8" t="str">
        <f>IFERROR(__xludf.DUMMYFUNCTION("""COMPUTED_VALUE"""),"Real")</f>
        <v>Real</v>
      </c>
      <c r="G1476" s="8">
        <f t="shared" si="1"/>
        <v>1</v>
      </c>
      <c r="H1476" s="14">
        <f t="shared" si="2"/>
        <v>1</v>
      </c>
      <c r="I1476" s="15">
        <f t="shared" si="3"/>
        <v>11</v>
      </c>
    </row>
    <row r="1477">
      <c r="A1477" s="8" t="str">
        <f>IFERROR(__xludf.DUMMYFUNCTION("IF('(INGESTA)Datos_consumo_datadis'!A1477&lt;&gt;"""",SPLIT('(INGESTA)Datos_consumo_datadis'!A:A,"",""),"""")"),"ES0031408323131005HX0F")</f>
        <v>ES0031408323131005HX0F</v>
      </c>
      <c r="B1477" s="12">
        <f>IFERROR(__xludf.DUMMYFUNCTION("""COMPUTED_VALUE"""),44927.0)</f>
        <v>44927</v>
      </c>
      <c r="C1477" s="13">
        <f>IFERROR(__xludf.DUMMYFUNCTION("""COMPUTED_VALUE"""),0.5)</f>
        <v>0.5</v>
      </c>
      <c r="D1477" s="8">
        <f>IFERROR(__xludf.DUMMYFUNCTION("""COMPUTED_VALUE"""),1.456)</f>
        <v>1.456</v>
      </c>
      <c r="E1477" s="8" t="str">
        <f>IFERROR(__xludf.DUMMYFUNCTION("""COMPUTED_VALUE"""),"Real")</f>
        <v>Real</v>
      </c>
      <c r="G1477" s="8">
        <f t="shared" si="1"/>
        <v>1</v>
      </c>
      <c r="H1477" s="14">
        <f t="shared" si="2"/>
        <v>1</v>
      </c>
      <c r="I1477" s="15">
        <f t="shared" si="3"/>
        <v>12</v>
      </c>
    </row>
    <row r="1478">
      <c r="A1478" s="8" t="str">
        <f>IFERROR(__xludf.DUMMYFUNCTION("IF('(INGESTA)Datos_consumo_datadis'!A1478&lt;&gt;"""",SPLIT('(INGESTA)Datos_consumo_datadis'!A:A,"",""),"""")"),"ES0031408323131005HX0F")</f>
        <v>ES0031408323131005HX0F</v>
      </c>
      <c r="B1478" s="12">
        <f>IFERROR(__xludf.DUMMYFUNCTION("""COMPUTED_VALUE"""),44927.0)</f>
        <v>44927</v>
      </c>
      <c r="C1478" s="13">
        <f>IFERROR(__xludf.DUMMYFUNCTION("""COMPUTED_VALUE"""),0.5416666666666666)</f>
        <v>0.5416666667</v>
      </c>
      <c r="D1478" s="8">
        <f>IFERROR(__xludf.DUMMYFUNCTION("""COMPUTED_VALUE"""),0.777)</f>
        <v>0.777</v>
      </c>
      <c r="E1478" s="8" t="str">
        <f>IFERROR(__xludf.DUMMYFUNCTION("""COMPUTED_VALUE"""),"Real")</f>
        <v>Real</v>
      </c>
      <c r="G1478" s="8">
        <f t="shared" si="1"/>
        <v>1</v>
      </c>
      <c r="H1478" s="14">
        <f t="shared" si="2"/>
        <v>1</v>
      </c>
      <c r="I1478" s="15">
        <f t="shared" si="3"/>
        <v>13</v>
      </c>
    </row>
    <row r="1479">
      <c r="A1479" s="8" t="str">
        <f>IFERROR(__xludf.DUMMYFUNCTION("IF('(INGESTA)Datos_consumo_datadis'!A1479&lt;&gt;"""",SPLIT('(INGESTA)Datos_consumo_datadis'!A:A,"",""),"""")"),"ES0031408323131005HX0F")</f>
        <v>ES0031408323131005HX0F</v>
      </c>
      <c r="B1479" s="12">
        <f>IFERROR(__xludf.DUMMYFUNCTION("""COMPUTED_VALUE"""),44927.0)</f>
        <v>44927</v>
      </c>
      <c r="C1479" s="13">
        <f>IFERROR(__xludf.DUMMYFUNCTION("""COMPUTED_VALUE"""),0.5833333333333334)</f>
        <v>0.5833333333</v>
      </c>
      <c r="D1479" s="8">
        <f>IFERROR(__xludf.DUMMYFUNCTION("""COMPUTED_VALUE"""),0.069)</f>
        <v>0.069</v>
      </c>
      <c r="E1479" s="8" t="str">
        <f>IFERROR(__xludf.DUMMYFUNCTION("""COMPUTED_VALUE"""),"Real")</f>
        <v>Real</v>
      </c>
      <c r="G1479" s="8">
        <f t="shared" si="1"/>
        <v>1</v>
      </c>
      <c r="H1479" s="14">
        <f t="shared" si="2"/>
        <v>1</v>
      </c>
      <c r="I1479" s="15">
        <f t="shared" si="3"/>
        <v>14</v>
      </c>
    </row>
    <row r="1480">
      <c r="A1480" s="8" t="str">
        <f>IFERROR(__xludf.DUMMYFUNCTION("IF('(INGESTA)Datos_consumo_datadis'!A1480&lt;&gt;"""",SPLIT('(INGESTA)Datos_consumo_datadis'!A:A,"",""),"""")"),"ES0031408323131005HX0F")</f>
        <v>ES0031408323131005HX0F</v>
      </c>
      <c r="B1480" s="12">
        <f>IFERROR(__xludf.DUMMYFUNCTION("""COMPUTED_VALUE"""),44927.0)</f>
        <v>44927</v>
      </c>
      <c r="C1480" s="13">
        <f>IFERROR(__xludf.DUMMYFUNCTION("""COMPUTED_VALUE"""),0.625)</f>
        <v>0.625</v>
      </c>
      <c r="D1480" s="8">
        <f>IFERROR(__xludf.DUMMYFUNCTION("""COMPUTED_VALUE"""),1.306)</f>
        <v>1.306</v>
      </c>
      <c r="E1480" s="8" t="str">
        <f>IFERROR(__xludf.DUMMYFUNCTION("""COMPUTED_VALUE"""),"Real")</f>
        <v>Real</v>
      </c>
      <c r="G1480" s="8">
        <f t="shared" si="1"/>
        <v>1</v>
      </c>
      <c r="H1480" s="14">
        <f t="shared" si="2"/>
        <v>1</v>
      </c>
      <c r="I1480" s="15">
        <f t="shared" si="3"/>
        <v>15</v>
      </c>
    </row>
    <row r="1481">
      <c r="A1481" s="8" t="str">
        <f>IFERROR(__xludf.DUMMYFUNCTION("IF('(INGESTA)Datos_consumo_datadis'!A1481&lt;&gt;"""",SPLIT('(INGESTA)Datos_consumo_datadis'!A:A,"",""),"""")"),"ES0031408323131005HX0F")</f>
        <v>ES0031408323131005HX0F</v>
      </c>
      <c r="B1481" s="12">
        <f>IFERROR(__xludf.DUMMYFUNCTION("""COMPUTED_VALUE"""),44927.0)</f>
        <v>44927</v>
      </c>
      <c r="C1481" s="13">
        <f>IFERROR(__xludf.DUMMYFUNCTION("""COMPUTED_VALUE"""),0.6666666666666666)</f>
        <v>0.6666666667</v>
      </c>
      <c r="D1481" s="8">
        <f>IFERROR(__xludf.DUMMYFUNCTION("""COMPUTED_VALUE"""),0.48)</f>
        <v>0.48</v>
      </c>
      <c r="E1481" s="8" t="str">
        <f>IFERROR(__xludf.DUMMYFUNCTION("""COMPUTED_VALUE"""),"Real")</f>
        <v>Real</v>
      </c>
      <c r="G1481" s="8">
        <f t="shared" si="1"/>
        <v>1</v>
      </c>
      <c r="H1481" s="14">
        <f t="shared" si="2"/>
        <v>1</v>
      </c>
      <c r="I1481" s="15">
        <f t="shared" si="3"/>
        <v>16</v>
      </c>
    </row>
    <row r="1482">
      <c r="A1482" s="8" t="str">
        <f>IFERROR(__xludf.DUMMYFUNCTION("IF('(INGESTA)Datos_consumo_datadis'!A1482&lt;&gt;"""",SPLIT('(INGESTA)Datos_consumo_datadis'!A:A,"",""),"""")"),"ES0031408323131005HX0F")</f>
        <v>ES0031408323131005HX0F</v>
      </c>
      <c r="B1482" s="12">
        <f>IFERROR(__xludf.DUMMYFUNCTION("""COMPUTED_VALUE"""),44927.0)</f>
        <v>44927</v>
      </c>
      <c r="C1482" s="13">
        <f>IFERROR(__xludf.DUMMYFUNCTION("""COMPUTED_VALUE"""),0.7083333333333334)</f>
        <v>0.7083333333</v>
      </c>
      <c r="D1482" s="8">
        <f>IFERROR(__xludf.DUMMYFUNCTION("""COMPUTED_VALUE"""),0.072)</f>
        <v>0.072</v>
      </c>
      <c r="E1482" s="8" t="str">
        <f>IFERROR(__xludf.DUMMYFUNCTION("""COMPUTED_VALUE"""),"Real")</f>
        <v>Real</v>
      </c>
      <c r="G1482" s="8">
        <f t="shared" si="1"/>
        <v>1</v>
      </c>
      <c r="H1482" s="14">
        <f t="shared" si="2"/>
        <v>1</v>
      </c>
      <c r="I1482" s="15">
        <f t="shared" si="3"/>
        <v>17</v>
      </c>
    </row>
    <row r="1483">
      <c r="A1483" s="8" t="str">
        <f>IFERROR(__xludf.DUMMYFUNCTION("IF('(INGESTA)Datos_consumo_datadis'!A1483&lt;&gt;"""",SPLIT('(INGESTA)Datos_consumo_datadis'!A:A,"",""),"""")"),"ES0031408323131005HX0F")</f>
        <v>ES0031408323131005HX0F</v>
      </c>
      <c r="B1483" s="12">
        <f>IFERROR(__xludf.DUMMYFUNCTION("""COMPUTED_VALUE"""),44927.0)</f>
        <v>44927</v>
      </c>
      <c r="C1483" s="13">
        <f>IFERROR(__xludf.DUMMYFUNCTION("""COMPUTED_VALUE"""),0.75)</f>
        <v>0.75</v>
      </c>
      <c r="D1483" s="8">
        <f>IFERROR(__xludf.DUMMYFUNCTION("""COMPUTED_VALUE"""),0.025)</f>
        <v>0.025</v>
      </c>
      <c r="E1483" s="8" t="str">
        <f>IFERROR(__xludf.DUMMYFUNCTION("""COMPUTED_VALUE"""),"Real")</f>
        <v>Real</v>
      </c>
      <c r="G1483" s="8">
        <f t="shared" si="1"/>
        <v>1</v>
      </c>
      <c r="H1483" s="14">
        <f t="shared" si="2"/>
        <v>1</v>
      </c>
      <c r="I1483" s="15">
        <f t="shared" si="3"/>
        <v>18</v>
      </c>
    </row>
    <row r="1484">
      <c r="A1484" s="8" t="str">
        <f>IFERROR(__xludf.DUMMYFUNCTION("IF('(INGESTA)Datos_consumo_datadis'!A1484&lt;&gt;"""",SPLIT('(INGESTA)Datos_consumo_datadis'!A:A,"",""),"""")"),"ES0031408323131005HX0F")</f>
        <v>ES0031408323131005HX0F</v>
      </c>
      <c r="B1484" s="12">
        <f>IFERROR(__xludf.DUMMYFUNCTION("""COMPUTED_VALUE"""),44927.0)</f>
        <v>44927</v>
      </c>
      <c r="C1484" s="13">
        <f>IFERROR(__xludf.DUMMYFUNCTION("""COMPUTED_VALUE"""),0.7916666666666666)</f>
        <v>0.7916666667</v>
      </c>
      <c r="D1484" s="8">
        <f>IFERROR(__xludf.DUMMYFUNCTION("""COMPUTED_VALUE"""),0.299)</f>
        <v>0.299</v>
      </c>
      <c r="E1484" s="8" t="str">
        <f>IFERROR(__xludf.DUMMYFUNCTION("""COMPUTED_VALUE"""),"Real")</f>
        <v>Real</v>
      </c>
      <c r="G1484" s="8">
        <f t="shared" si="1"/>
        <v>1</v>
      </c>
      <c r="H1484" s="14">
        <f t="shared" si="2"/>
        <v>1</v>
      </c>
      <c r="I1484" s="15">
        <f t="shared" si="3"/>
        <v>19</v>
      </c>
    </row>
    <row r="1485">
      <c r="A1485" s="8" t="str">
        <f>IFERROR(__xludf.DUMMYFUNCTION("IF('(INGESTA)Datos_consumo_datadis'!A1485&lt;&gt;"""",SPLIT('(INGESTA)Datos_consumo_datadis'!A:A,"",""),"""")"),"ES0031408323131005HX0F")</f>
        <v>ES0031408323131005HX0F</v>
      </c>
      <c r="B1485" s="12">
        <f>IFERROR(__xludf.DUMMYFUNCTION("""COMPUTED_VALUE"""),44927.0)</f>
        <v>44927</v>
      </c>
      <c r="C1485" s="13">
        <f>IFERROR(__xludf.DUMMYFUNCTION("""COMPUTED_VALUE"""),0.8333333333333334)</f>
        <v>0.8333333333</v>
      </c>
      <c r="D1485" s="8">
        <f>IFERROR(__xludf.DUMMYFUNCTION("""COMPUTED_VALUE"""),2.141)</f>
        <v>2.141</v>
      </c>
      <c r="E1485" s="8" t="str">
        <f>IFERROR(__xludf.DUMMYFUNCTION("""COMPUTED_VALUE"""),"Real")</f>
        <v>Real</v>
      </c>
      <c r="G1485" s="8">
        <f t="shared" si="1"/>
        <v>1</v>
      </c>
      <c r="H1485" s="14">
        <f t="shared" si="2"/>
        <v>1</v>
      </c>
      <c r="I1485" s="15">
        <f t="shared" si="3"/>
        <v>20</v>
      </c>
    </row>
    <row r="1486">
      <c r="A1486" s="8" t="str">
        <f>IFERROR(__xludf.DUMMYFUNCTION("IF('(INGESTA)Datos_consumo_datadis'!A1486&lt;&gt;"""",SPLIT('(INGESTA)Datos_consumo_datadis'!A:A,"",""),"""")"),"ES0031408323131005HX0F")</f>
        <v>ES0031408323131005HX0F</v>
      </c>
      <c r="B1486" s="12">
        <f>IFERROR(__xludf.DUMMYFUNCTION("""COMPUTED_VALUE"""),44927.0)</f>
        <v>44927</v>
      </c>
      <c r="C1486" s="13">
        <f>IFERROR(__xludf.DUMMYFUNCTION("""COMPUTED_VALUE"""),0.875)</f>
        <v>0.875</v>
      </c>
      <c r="D1486" s="8">
        <f>IFERROR(__xludf.DUMMYFUNCTION("""COMPUTED_VALUE"""),0.825)</f>
        <v>0.825</v>
      </c>
      <c r="E1486" s="8" t="str">
        <f>IFERROR(__xludf.DUMMYFUNCTION("""COMPUTED_VALUE"""),"Real")</f>
        <v>Real</v>
      </c>
      <c r="G1486" s="8">
        <f t="shared" si="1"/>
        <v>1</v>
      </c>
      <c r="H1486" s="14">
        <f t="shared" si="2"/>
        <v>1</v>
      </c>
      <c r="I1486" s="15">
        <f t="shared" si="3"/>
        <v>21</v>
      </c>
    </row>
    <row r="1487">
      <c r="A1487" s="8" t="str">
        <f>IFERROR(__xludf.DUMMYFUNCTION("IF('(INGESTA)Datos_consumo_datadis'!A1487&lt;&gt;"""",SPLIT('(INGESTA)Datos_consumo_datadis'!A:A,"",""),"""")"),"ES0031408323131005HX0F")</f>
        <v>ES0031408323131005HX0F</v>
      </c>
      <c r="B1487" s="12">
        <f>IFERROR(__xludf.DUMMYFUNCTION("""COMPUTED_VALUE"""),44927.0)</f>
        <v>44927</v>
      </c>
      <c r="C1487" s="13">
        <f>IFERROR(__xludf.DUMMYFUNCTION("""COMPUTED_VALUE"""),0.9166666666666666)</f>
        <v>0.9166666667</v>
      </c>
      <c r="D1487" s="8">
        <f>IFERROR(__xludf.DUMMYFUNCTION("""COMPUTED_VALUE"""),1.563)</f>
        <v>1.563</v>
      </c>
      <c r="E1487" s="8" t="str">
        <f>IFERROR(__xludf.DUMMYFUNCTION("""COMPUTED_VALUE"""),"Real")</f>
        <v>Real</v>
      </c>
      <c r="G1487" s="8">
        <f t="shared" si="1"/>
        <v>1</v>
      </c>
      <c r="H1487" s="14">
        <f t="shared" si="2"/>
        <v>1</v>
      </c>
      <c r="I1487" s="15">
        <f t="shared" si="3"/>
        <v>22</v>
      </c>
    </row>
    <row r="1488">
      <c r="A1488" s="8" t="str">
        <f>IFERROR(__xludf.DUMMYFUNCTION("IF('(INGESTA)Datos_consumo_datadis'!A1488&lt;&gt;"""",SPLIT('(INGESTA)Datos_consumo_datadis'!A:A,"",""),"""")"),"ES0031408323131005HX0F")</f>
        <v>ES0031408323131005HX0F</v>
      </c>
      <c r="B1488" s="12">
        <f>IFERROR(__xludf.DUMMYFUNCTION("""COMPUTED_VALUE"""),44927.0)</f>
        <v>44927</v>
      </c>
      <c r="C1488" s="13">
        <f>IFERROR(__xludf.DUMMYFUNCTION("""COMPUTED_VALUE"""),0.9583333333333334)</f>
        <v>0.9583333333</v>
      </c>
      <c r="D1488" s="8">
        <f>IFERROR(__xludf.DUMMYFUNCTION("""COMPUTED_VALUE"""),0.939)</f>
        <v>0.939</v>
      </c>
      <c r="E1488" s="8" t="str">
        <f>IFERROR(__xludf.DUMMYFUNCTION("""COMPUTED_VALUE"""),"Real")</f>
        <v>Real</v>
      </c>
      <c r="G1488" s="8">
        <f t="shared" si="1"/>
        <v>1</v>
      </c>
      <c r="H1488" s="14">
        <f t="shared" si="2"/>
        <v>1</v>
      </c>
      <c r="I1488" s="15">
        <f t="shared" si="3"/>
        <v>23</v>
      </c>
    </row>
    <row r="1489">
      <c r="A1489" s="8" t="str">
        <f>IFERROR(__xludf.DUMMYFUNCTION("IF('(INGESTA)Datos_consumo_datadis'!A1489&lt;&gt;"""",SPLIT('(INGESTA)Datos_consumo_datadis'!A:A,"",""),"""")"),"ES0031408323131005HX0F")</f>
        <v>ES0031408323131005HX0F</v>
      </c>
      <c r="B1489" s="12">
        <f>IFERROR(__xludf.DUMMYFUNCTION("""COMPUTED_VALUE"""),44927.0)</f>
        <v>44927</v>
      </c>
      <c r="C1489" s="16">
        <f>IFERROR(__xludf.DUMMYFUNCTION("""COMPUTED_VALUE"""),1.0)</f>
        <v>1</v>
      </c>
      <c r="D1489" s="8">
        <f>IFERROR(__xludf.DUMMYFUNCTION("""COMPUTED_VALUE"""),1.617)</f>
        <v>1.617</v>
      </c>
      <c r="E1489" s="8" t="str">
        <f>IFERROR(__xludf.DUMMYFUNCTION("""COMPUTED_VALUE"""),"Real")</f>
        <v>Real</v>
      </c>
      <c r="G1489" s="8">
        <f t="shared" si="1"/>
        <v>1</v>
      </c>
      <c r="H1489" s="14">
        <f t="shared" si="2"/>
        <v>1</v>
      </c>
      <c r="I1489" s="15">
        <f t="shared" si="3"/>
        <v>0</v>
      </c>
    </row>
    <row r="1490">
      <c r="A1490" s="8" t="str">
        <f>IFERROR(__xludf.DUMMYFUNCTION("IF('(INGESTA)Datos_consumo_datadis'!A1490&lt;&gt;"""",SPLIT('(INGESTA)Datos_consumo_datadis'!A:A,"",""),"""")"),"ES0031408323131005HX0F")</f>
        <v>ES0031408323131005HX0F</v>
      </c>
      <c r="B1490" s="12">
        <f>IFERROR(__xludf.DUMMYFUNCTION("""COMPUTED_VALUE"""),44928.0)</f>
        <v>44928</v>
      </c>
      <c r="C1490" s="13">
        <f>IFERROR(__xludf.DUMMYFUNCTION("""COMPUTED_VALUE"""),0.041666666666666664)</f>
        <v>0.04166666667</v>
      </c>
      <c r="D1490" s="8">
        <f>IFERROR(__xludf.DUMMYFUNCTION("""COMPUTED_VALUE"""),1.785)</f>
        <v>1.785</v>
      </c>
      <c r="E1490" s="8" t="str">
        <f>IFERROR(__xludf.DUMMYFUNCTION("""COMPUTED_VALUE"""),"Real")</f>
        <v>Real</v>
      </c>
      <c r="G1490" s="8">
        <f t="shared" si="1"/>
        <v>1</v>
      </c>
      <c r="H1490" s="14">
        <f t="shared" si="2"/>
        <v>2</v>
      </c>
      <c r="I1490" s="15">
        <f t="shared" si="3"/>
        <v>1</v>
      </c>
    </row>
    <row r="1491">
      <c r="A1491" s="8" t="str">
        <f>IFERROR(__xludf.DUMMYFUNCTION("IF('(INGESTA)Datos_consumo_datadis'!A1491&lt;&gt;"""",SPLIT('(INGESTA)Datos_consumo_datadis'!A:A,"",""),"""")"),"ES0031408323131005HX0F")</f>
        <v>ES0031408323131005HX0F</v>
      </c>
      <c r="B1491" s="12">
        <f>IFERROR(__xludf.DUMMYFUNCTION("""COMPUTED_VALUE"""),44928.0)</f>
        <v>44928</v>
      </c>
      <c r="C1491" s="13">
        <f>IFERROR(__xludf.DUMMYFUNCTION("""COMPUTED_VALUE"""),0.08333333333333333)</f>
        <v>0.08333333333</v>
      </c>
      <c r="D1491" s="8">
        <f>IFERROR(__xludf.DUMMYFUNCTION("""COMPUTED_VALUE"""),1.189)</f>
        <v>1.189</v>
      </c>
      <c r="E1491" s="8" t="str">
        <f>IFERROR(__xludf.DUMMYFUNCTION("""COMPUTED_VALUE"""),"Real")</f>
        <v>Real</v>
      </c>
      <c r="G1491" s="8">
        <f t="shared" si="1"/>
        <v>1</v>
      </c>
      <c r="H1491" s="14">
        <f t="shared" si="2"/>
        <v>2</v>
      </c>
      <c r="I1491" s="15">
        <f t="shared" si="3"/>
        <v>2</v>
      </c>
    </row>
    <row r="1492">
      <c r="A1492" s="8" t="str">
        <f>IFERROR(__xludf.DUMMYFUNCTION("IF('(INGESTA)Datos_consumo_datadis'!A1492&lt;&gt;"""",SPLIT('(INGESTA)Datos_consumo_datadis'!A:A,"",""),"""")"),"ES0031408323131005HX0F")</f>
        <v>ES0031408323131005HX0F</v>
      </c>
      <c r="B1492" s="12">
        <f>IFERROR(__xludf.DUMMYFUNCTION("""COMPUTED_VALUE"""),44928.0)</f>
        <v>44928</v>
      </c>
      <c r="C1492" s="13">
        <f>IFERROR(__xludf.DUMMYFUNCTION("""COMPUTED_VALUE"""),0.125)</f>
        <v>0.125</v>
      </c>
      <c r="D1492" s="8">
        <f>IFERROR(__xludf.DUMMYFUNCTION("""COMPUTED_VALUE"""),1.306)</f>
        <v>1.306</v>
      </c>
      <c r="E1492" s="8" t="str">
        <f>IFERROR(__xludf.DUMMYFUNCTION("""COMPUTED_VALUE"""),"Real")</f>
        <v>Real</v>
      </c>
      <c r="G1492" s="8">
        <f t="shared" si="1"/>
        <v>1</v>
      </c>
      <c r="H1492" s="14">
        <f t="shared" si="2"/>
        <v>2</v>
      </c>
      <c r="I1492" s="15">
        <f t="shared" si="3"/>
        <v>3</v>
      </c>
    </row>
    <row r="1493">
      <c r="A1493" s="8" t="str">
        <f>IFERROR(__xludf.DUMMYFUNCTION("IF('(INGESTA)Datos_consumo_datadis'!A1493&lt;&gt;"""",SPLIT('(INGESTA)Datos_consumo_datadis'!A:A,"",""),"""")"),"ES0031408323131005HX0F")</f>
        <v>ES0031408323131005HX0F</v>
      </c>
      <c r="B1493" s="12">
        <f>IFERROR(__xludf.DUMMYFUNCTION("""COMPUTED_VALUE"""),44928.0)</f>
        <v>44928</v>
      </c>
      <c r="C1493" s="13">
        <f>IFERROR(__xludf.DUMMYFUNCTION("""COMPUTED_VALUE"""),0.16666666666666666)</f>
        <v>0.1666666667</v>
      </c>
      <c r="D1493" s="8">
        <f>IFERROR(__xludf.DUMMYFUNCTION("""COMPUTED_VALUE"""),1.249)</f>
        <v>1.249</v>
      </c>
      <c r="E1493" s="8" t="str">
        <f>IFERROR(__xludf.DUMMYFUNCTION("""COMPUTED_VALUE"""),"Real")</f>
        <v>Real</v>
      </c>
      <c r="G1493" s="8">
        <f t="shared" si="1"/>
        <v>1</v>
      </c>
      <c r="H1493" s="14">
        <f t="shared" si="2"/>
        <v>2</v>
      </c>
      <c r="I1493" s="15">
        <f t="shared" si="3"/>
        <v>4</v>
      </c>
    </row>
    <row r="1494">
      <c r="A1494" s="8" t="str">
        <f>IFERROR(__xludf.DUMMYFUNCTION("IF('(INGESTA)Datos_consumo_datadis'!A1494&lt;&gt;"""",SPLIT('(INGESTA)Datos_consumo_datadis'!A:A,"",""),"""")"),"ES0031408323131005HX0F")</f>
        <v>ES0031408323131005HX0F</v>
      </c>
      <c r="B1494" s="12">
        <f>IFERROR(__xludf.DUMMYFUNCTION("""COMPUTED_VALUE"""),44928.0)</f>
        <v>44928</v>
      </c>
      <c r="C1494" s="13">
        <f>IFERROR(__xludf.DUMMYFUNCTION("""COMPUTED_VALUE"""),0.20833333333333334)</f>
        <v>0.2083333333</v>
      </c>
      <c r="D1494" s="8">
        <f>IFERROR(__xludf.DUMMYFUNCTION("""COMPUTED_VALUE"""),1.251)</f>
        <v>1.251</v>
      </c>
      <c r="E1494" s="8" t="str">
        <f>IFERROR(__xludf.DUMMYFUNCTION("""COMPUTED_VALUE"""),"Real")</f>
        <v>Real</v>
      </c>
      <c r="G1494" s="8">
        <f t="shared" si="1"/>
        <v>1</v>
      </c>
      <c r="H1494" s="14">
        <f t="shared" si="2"/>
        <v>2</v>
      </c>
      <c r="I1494" s="15">
        <f t="shared" si="3"/>
        <v>5</v>
      </c>
    </row>
    <row r="1495">
      <c r="A1495" s="8" t="str">
        <f>IFERROR(__xludf.DUMMYFUNCTION("IF('(INGESTA)Datos_consumo_datadis'!A1495&lt;&gt;"""",SPLIT('(INGESTA)Datos_consumo_datadis'!A:A,"",""),"""")"),"ES0031408323131005HX0F")</f>
        <v>ES0031408323131005HX0F</v>
      </c>
      <c r="B1495" s="12">
        <f>IFERROR(__xludf.DUMMYFUNCTION("""COMPUTED_VALUE"""),44928.0)</f>
        <v>44928</v>
      </c>
      <c r="C1495" s="13">
        <f>IFERROR(__xludf.DUMMYFUNCTION("""COMPUTED_VALUE"""),0.25)</f>
        <v>0.25</v>
      </c>
      <c r="D1495" s="8">
        <f>IFERROR(__xludf.DUMMYFUNCTION("""COMPUTED_VALUE"""),1.147)</f>
        <v>1.147</v>
      </c>
      <c r="E1495" s="8" t="str">
        <f>IFERROR(__xludf.DUMMYFUNCTION("""COMPUTED_VALUE"""),"Real")</f>
        <v>Real</v>
      </c>
      <c r="G1495" s="8">
        <f t="shared" si="1"/>
        <v>1</v>
      </c>
      <c r="H1495" s="14">
        <f t="shared" si="2"/>
        <v>2</v>
      </c>
      <c r="I1495" s="15">
        <f t="shared" si="3"/>
        <v>6</v>
      </c>
    </row>
    <row r="1496">
      <c r="A1496" s="8" t="str">
        <f>IFERROR(__xludf.DUMMYFUNCTION("IF('(INGESTA)Datos_consumo_datadis'!A1496&lt;&gt;"""",SPLIT('(INGESTA)Datos_consumo_datadis'!A:A,"",""),"""")"),"ES0031408323131005HX0F")</f>
        <v>ES0031408323131005HX0F</v>
      </c>
      <c r="B1496" s="12">
        <f>IFERROR(__xludf.DUMMYFUNCTION("""COMPUTED_VALUE"""),44928.0)</f>
        <v>44928</v>
      </c>
      <c r="C1496" s="13">
        <f>IFERROR(__xludf.DUMMYFUNCTION("""COMPUTED_VALUE"""),0.2916666666666667)</f>
        <v>0.2916666667</v>
      </c>
      <c r="D1496" s="8">
        <f>IFERROR(__xludf.DUMMYFUNCTION("""COMPUTED_VALUE"""),1.245)</f>
        <v>1.245</v>
      </c>
      <c r="E1496" s="8" t="str">
        <f>IFERROR(__xludf.DUMMYFUNCTION("""COMPUTED_VALUE"""),"Real")</f>
        <v>Real</v>
      </c>
      <c r="G1496" s="8">
        <f t="shared" si="1"/>
        <v>1</v>
      </c>
      <c r="H1496" s="14">
        <f t="shared" si="2"/>
        <v>2</v>
      </c>
      <c r="I1496" s="15">
        <f t="shared" si="3"/>
        <v>7</v>
      </c>
    </row>
    <row r="1497">
      <c r="A1497" s="8" t="str">
        <f>IFERROR(__xludf.DUMMYFUNCTION("IF('(INGESTA)Datos_consumo_datadis'!A1497&lt;&gt;"""",SPLIT('(INGESTA)Datos_consumo_datadis'!A:A,"",""),"""")"),"ES0031408323131005HX0F")</f>
        <v>ES0031408323131005HX0F</v>
      </c>
      <c r="B1497" s="12">
        <f>IFERROR(__xludf.DUMMYFUNCTION("""COMPUTED_VALUE"""),44928.0)</f>
        <v>44928</v>
      </c>
      <c r="C1497" s="13">
        <f>IFERROR(__xludf.DUMMYFUNCTION("""COMPUTED_VALUE"""),0.3333333333333333)</f>
        <v>0.3333333333</v>
      </c>
      <c r="D1497" s="8">
        <f>IFERROR(__xludf.DUMMYFUNCTION("""COMPUTED_VALUE"""),1.305)</f>
        <v>1.305</v>
      </c>
      <c r="E1497" s="8" t="str">
        <f>IFERROR(__xludf.DUMMYFUNCTION("""COMPUTED_VALUE"""),"Real")</f>
        <v>Real</v>
      </c>
      <c r="G1497" s="8">
        <f t="shared" si="1"/>
        <v>1</v>
      </c>
      <c r="H1497" s="14">
        <f t="shared" si="2"/>
        <v>2</v>
      </c>
      <c r="I1497" s="15">
        <f t="shared" si="3"/>
        <v>8</v>
      </c>
    </row>
    <row r="1498">
      <c r="A1498" s="8" t="str">
        <f>IFERROR(__xludf.DUMMYFUNCTION("IF('(INGESTA)Datos_consumo_datadis'!A1498&lt;&gt;"""",SPLIT('(INGESTA)Datos_consumo_datadis'!A:A,"",""),"""")"),"ES0031408323131005HX0F")</f>
        <v>ES0031408323131005HX0F</v>
      </c>
      <c r="B1498" s="12">
        <f>IFERROR(__xludf.DUMMYFUNCTION("""COMPUTED_VALUE"""),44928.0)</f>
        <v>44928</v>
      </c>
      <c r="C1498" s="13">
        <f>IFERROR(__xludf.DUMMYFUNCTION("""COMPUTED_VALUE"""),0.375)</f>
        <v>0.375</v>
      </c>
      <c r="D1498" s="8">
        <f>IFERROR(__xludf.DUMMYFUNCTION("""COMPUTED_VALUE"""),1.478)</f>
        <v>1.478</v>
      </c>
      <c r="E1498" s="8" t="str">
        <f>IFERROR(__xludf.DUMMYFUNCTION("""COMPUTED_VALUE"""),"Real")</f>
        <v>Real</v>
      </c>
      <c r="G1498" s="8">
        <f t="shared" si="1"/>
        <v>1</v>
      </c>
      <c r="H1498" s="14">
        <f t="shared" si="2"/>
        <v>2</v>
      </c>
      <c r="I1498" s="15">
        <f t="shared" si="3"/>
        <v>9</v>
      </c>
    </row>
    <row r="1499">
      <c r="A1499" s="8" t="str">
        <f>IFERROR(__xludf.DUMMYFUNCTION("IF('(INGESTA)Datos_consumo_datadis'!A1499&lt;&gt;"""",SPLIT('(INGESTA)Datos_consumo_datadis'!A:A,"",""),"""")"),"ES0031408323131005HX0F")</f>
        <v>ES0031408323131005HX0F</v>
      </c>
      <c r="B1499" s="12">
        <f>IFERROR(__xludf.DUMMYFUNCTION("""COMPUTED_VALUE"""),44928.0)</f>
        <v>44928</v>
      </c>
      <c r="C1499" s="13">
        <f>IFERROR(__xludf.DUMMYFUNCTION("""COMPUTED_VALUE"""),0.4166666666666667)</f>
        <v>0.4166666667</v>
      </c>
      <c r="D1499" s="8">
        <f>IFERROR(__xludf.DUMMYFUNCTION("""COMPUTED_VALUE"""),1.317)</f>
        <v>1.317</v>
      </c>
      <c r="E1499" s="8" t="str">
        <f>IFERROR(__xludf.DUMMYFUNCTION("""COMPUTED_VALUE"""),"Real")</f>
        <v>Real</v>
      </c>
      <c r="G1499" s="8">
        <f t="shared" si="1"/>
        <v>1</v>
      </c>
      <c r="H1499" s="14">
        <f t="shared" si="2"/>
        <v>2</v>
      </c>
      <c r="I1499" s="15">
        <f t="shared" si="3"/>
        <v>10</v>
      </c>
    </row>
    <row r="1500">
      <c r="A1500" s="8" t="str">
        <f>IFERROR(__xludf.DUMMYFUNCTION("IF('(INGESTA)Datos_consumo_datadis'!A1500&lt;&gt;"""",SPLIT('(INGESTA)Datos_consumo_datadis'!A:A,"",""),"""")"),"ES0031408323131005HX0F")</f>
        <v>ES0031408323131005HX0F</v>
      </c>
      <c r="B1500" s="12">
        <f>IFERROR(__xludf.DUMMYFUNCTION("""COMPUTED_VALUE"""),44928.0)</f>
        <v>44928</v>
      </c>
      <c r="C1500" s="13">
        <f>IFERROR(__xludf.DUMMYFUNCTION("""COMPUTED_VALUE"""),0.4583333333333333)</f>
        <v>0.4583333333</v>
      </c>
      <c r="D1500" s="8">
        <f>IFERROR(__xludf.DUMMYFUNCTION("""COMPUTED_VALUE"""),1.212)</f>
        <v>1.212</v>
      </c>
      <c r="E1500" s="8" t="str">
        <f>IFERROR(__xludf.DUMMYFUNCTION("""COMPUTED_VALUE"""),"Real")</f>
        <v>Real</v>
      </c>
      <c r="G1500" s="8">
        <f t="shared" si="1"/>
        <v>1</v>
      </c>
      <c r="H1500" s="14">
        <f t="shared" si="2"/>
        <v>2</v>
      </c>
      <c r="I1500" s="15">
        <f t="shared" si="3"/>
        <v>11</v>
      </c>
    </row>
    <row r="1501">
      <c r="A1501" s="8" t="str">
        <f>IFERROR(__xludf.DUMMYFUNCTION("IF('(INGESTA)Datos_consumo_datadis'!A1501&lt;&gt;"""",SPLIT('(INGESTA)Datos_consumo_datadis'!A:A,"",""),"""")"),"ES0031408323131005HX0F")</f>
        <v>ES0031408323131005HX0F</v>
      </c>
      <c r="B1501" s="12">
        <f>IFERROR(__xludf.DUMMYFUNCTION("""COMPUTED_VALUE"""),44928.0)</f>
        <v>44928</v>
      </c>
      <c r="C1501" s="13">
        <f>IFERROR(__xludf.DUMMYFUNCTION("""COMPUTED_VALUE"""),0.5)</f>
        <v>0.5</v>
      </c>
      <c r="D1501" s="8">
        <f>IFERROR(__xludf.DUMMYFUNCTION("""COMPUTED_VALUE"""),0.525)</f>
        <v>0.525</v>
      </c>
      <c r="E1501" s="8" t="str">
        <f>IFERROR(__xludf.DUMMYFUNCTION("""COMPUTED_VALUE"""),"Real")</f>
        <v>Real</v>
      </c>
      <c r="G1501" s="8">
        <f t="shared" si="1"/>
        <v>1</v>
      </c>
      <c r="H1501" s="14">
        <f t="shared" si="2"/>
        <v>2</v>
      </c>
      <c r="I1501" s="15">
        <f t="shared" si="3"/>
        <v>12</v>
      </c>
    </row>
    <row r="1502">
      <c r="A1502" s="8" t="str">
        <f>IFERROR(__xludf.DUMMYFUNCTION("IF('(INGESTA)Datos_consumo_datadis'!A1502&lt;&gt;"""",SPLIT('(INGESTA)Datos_consumo_datadis'!A:A,"",""),"""")"),"ES0031408323131005HX0F")</f>
        <v>ES0031408323131005HX0F</v>
      </c>
      <c r="B1502" s="12">
        <f>IFERROR(__xludf.DUMMYFUNCTION("""COMPUTED_VALUE"""),44928.0)</f>
        <v>44928</v>
      </c>
      <c r="C1502" s="13">
        <f>IFERROR(__xludf.DUMMYFUNCTION("""COMPUTED_VALUE"""),0.5416666666666666)</f>
        <v>0.5416666667</v>
      </c>
      <c r="D1502" s="8">
        <f>IFERROR(__xludf.DUMMYFUNCTION("""COMPUTED_VALUE"""),1.281)</f>
        <v>1.281</v>
      </c>
      <c r="E1502" s="8" t="str">
        <f>IFERROR(__xludf.DUMMYFUNCTION("""COMPUTED_VALUE"""),"Real")</f>
        <v>Real</v>
      </c>
      <c r="G1502" s="8">
        <f t="shared" si="1"/>
        <v>1</v>
      </c>
      <c r="H1502" s="14">
        <f t="shared" si="2"/>
        <v>2</v>
      </c>
      <c r="I1502" s="15">
        <f t="shared" si="3"/>
        <v>13</v>
      </c>
    </row>
    <row r="1503">
      <c r="A1503" s="8" t="str">
        <f>IFERROR(__xludf.DUMMYFUNCTION("IF('(INGESTA)Datos_consumo_datadis'!A1503&lt;&gt;"""",SPLIT('(INGESTA)Datos_consumo_datadis'!A:A,"",""),"""")"),"ES0031408323131005HX0F")</f>
        <v>ES0031408323131005HX0F</v>
      </c>
      <c r="B1503" s="12">
        <f>IFERROR(__xludf.DUMMYFUNCTION("""COMPUTED_VALUE"""),44928.0)</f>
        <v>44928</v>
      </c>
      <c r="C1503" s="13">
        <f>IFERROR(__xludf.DUMMYFUNCTION("""COMPUTED_VALUE"""),0.5833333333333334)</f>
        <v>0.5833333333</v>
      </c>
      <c r="D1503" s="8">
        <f>IFERROR(__xludf.DUMMYFUNCTION("""COMPUTED_VALUE"""),0.243)</f>
        <v>0.243</v>
      </c>
      <c r="E1503" s="8" t="str">
        <f>IFERROR(__xludf.DUMMYFUNCTION("""COMPUTED_VALUE"""),"Real")</f>
        <v>Real</v>
      </c>
      <c r="G1503" s="8">
        <f t="shared" si="1"/>
        <v>1</v>
      </c>
      <c r="H1503" s="14">
        <f t="shared" si="2"/>
        <v>2</v>
      </c>
      <c r="I1503" s="15">
        <f t="shared" si="3"/>
        <v>14</v>
      </c>
    </row>
    <row r="1504">
      <c r="A1504" s="8" t="str">
        <f>IFERROR(__xludf.DUMMYFUNCTION("IF('(INGESTA)Datos_consumo_datadis'!A1504&lt;&gt;"""",SPLIT('(INGESTA)Datos_consumo_datadis'!A:A,"",""),"""")"),"ES0031408323131005HX0F")</f>
        <v>ES0031408323131005HX0F</v>
      </c>
      <c r="B1504" s="12">
        <f>IFERROR(__xludf.DUMMYFUNCTION("""COMPUTED_VALUE"""),44928.0)</f>
        <v>44928</v>
      </c>
      <c r="C1504" s="13">
        <f>IFERROR(__xludf.DUMMYFUNCTION("""COMPUTED_VALUE"""),0.625)</f>
        <v>0.625</v>
      </c>
      <c r="D1504" s="8">
        <f>IFERROR(__xludf.DUMMYFUNCTION("""COMPUTED_VALUE"""),0.091)</f>
        <v>0.091</v>
      </c>
      <c r="E1504" s="8" t="str">
        <f>IFERROR(__xludf.DUMMYFUNCTION("""COMPUTED_VALUE"""),"Real")</f>
        <v>Real</v>
      </c>
      <c r="G1504" s="8">
        <f t="shared" si="1"/>
        <v>1</v>
      </c>
      <c r="H1504" s="14">
        <f t="shared" si="2"/>
        <v>2</v>
      </c>
      <c r="I1504" s="15">
        <f t="shared" si="3"/>
        <v>15</v>
      </c>
    </row>
    <row r="1505">
      <c r="A1505" s="8" t="str">
        <f>IFERROR(__xludf.DUMMYFUNCTION("IF('(INGESTA)Datos_consumo_datadis'!A1505&lt;&gt;"""",SPLIT('(INGESTA)Datos_consumo_datadis'!A:A,"",""),"""")"),"ES0031408323131005HX0F")</f>
        <v>ES0031408323131005HX0F</v>
      </c>
      <c r="B1505" s="12">
        <f>IFERROR(__xludf.DUMMYFUNCTION("""COMPUTED_VALUE"""),44928.0)</f>
        <v>44928</v>
      </c>
      <c r="C1505" s="13">
        <f>IFERROR(__xludf.DUMMYFUNCTION("""COMPUTED_VALUE"""),0.6666666666666666)</f>
        <v>0.6666666667</v>
      </c>
      <c r="D1505" s="8">
        <f>IFERROR(__xludf.DUMMYFUNCTION("""COMPUTED_VALUE"""),0.058)</f>
        <v>0.058</v>
      </c>
      <c r="E1505" s="8" t="str">
        <f>IFERROR(__xludf.DUMMYFUNCTION("""COMPUTED_VALUE"""),"Real")</f>
        <v>Real</v>
      </c>
      <c r="G1505" s="8">
        <f t="shared" si="1"/>
        <v>1</v>
      </c>
      <c r="H1505" s="14">
        <f t="shared" si="2"/>
        <v>2</v>
      </c>
      <c r="I1505" s="15">
        <f t="shared" si="3"/>
        <v>16</v>
      </c>
    </row>
    <row r="1506">
      <c r="A1506" s="8" t="str">
        <f>IFERROR(__xludf.DUMMYFUNCTION("IF('(INGESTA)Datos_consumo_datadis'!A1506&lt;&gt;"""",SPLIT('(INGESTA)Datos_consumo_datadis'!A:A,"",""),"""")"),"ES0031408323131005HX0F")</f>
        <v>ES0031408323131005HX0F</v>
      </c>
      <c r="B1506" s="12">
        <f>IFERROR(__xludf.DUMMYFUNCTION("""COMPUTED_VALUE"""),44928.0)</f>
        <v>44928</v>
      </c>
      <c r="C1506" s="13">
        <f>IFERROR(__xludf.DUMMYFUNCTION("""COMPUTED_VALUE"""),0.7083333333333334)</f>
        <v>0.7083333333</v>
      </c>
      <c r="D1506" s="8">
        <f>IFERROR(__xludf.DUMMYFUNCTION("""COMPUTED_VALUE"""),0.017)</f>
        <v>0.017</v>
      </c>
      <c r="E1506" s="8" t="str">
        <f>IFERROR(__xludf.DUMMYFUNCTION("""COMPUTED_VALUE"""),"Real")</f>
        <v>Real</v>
      </c>
      <c r="G1506" s="8">
        <f t="shared" si="1"/>
        <v>1</v>
      </c>
      <c r="H1506" s="14">
        <f t="shared" si="2"/>
        <v>2</v>
      </c>
      <c r="I1506" s="15">
        <f t="shared" si="3"/>
        <v>17</v>
      </c>
    </row>
    <row r="1507">
      <c r="A1507" s="8" t="str">
        <f>IFERROR(__xludf.DUMMYFUNCTION("IF('(INGESTA)Datos_consumo_datadis'!A1507&lt;&gt;"""",SPLIT('(INGESTA)Datos_consumo_datadis'!A:A,"",""),"""")"),"ES0031408323131005HX0F")</f>
        <v>ES0031408323131005HX0F</v>
      </c>
      <c r="B1507" s="12">
        <f>IFERROR(__xludf.DUMMYFUNCTION("""COMPUTED_VALUE"""),44928.0)</f>
        <v>44928</v>
      </c>
      <c r="C1507" s="13">
        <f>IFERROR(__xludf.DUMMYFUNCTION("""COMPUTED_VALUE"""),0.75)</f>
        <v>0.75</v>
      </c>
      <c r="D1507" s="8">
        <f>IFERROR(__xludf.DUMMYFUNCTION("""COMPUTED_VALUE"""),0.084)</f>
        <v>0.084</v>
      </c>
      <c r="E1507" s="8" t="str">
        <f>IFERROR(__xludf.DUMMYFUNCTION("""COMPUTED_VALUE"""),"Real")</f>
        <v>Real</v>
      </c>
      <c r="G1507" s="8">
        <f t="shared" si="1"/>
        <v>1</v>
      </c>
      <c r="H1507" s="14">
        <f t="shared" si="2"/>
        <v>2</v>
      </c>
      <c r="I1507" s="15">
        <f t="shared" si="3"/>
        <v>18</v>
      </c>
    </row>
    <row r="1508">
      <c r="A1508" s="8" t="str">
        <f>IFERROR(__xludf.DUMMYFUNCTION("IF('(INGESTA)Datos_consumo_datadis'!A1508&lt;&gt;"""",SPLIT('(INGESTA)Datos_consumo_datadis'!A:A,"",""),"""")"),"ES0031408323131005HX0F")</f>
        <v>ES0031408323131005HX0F</v>
      </c>
      <c r="B1508" s="12">
        <f>IFERROR(__xludf.DUMMYFUNCTION("""COMPUTED_VALUE"""),44928.0)</f>
        <v>44928</v>
      </c>
      <c r="C1508" s="13">
        <f>IFERROR(__xludf.DUMMYFUNCTION("""COMPUTED_VALUE"""),0.7916666666666666)</f>
        <v>0.7916666667</v>
      </c>
      <c r="D1508" s="8">
        <f>IFERROR(__xludf.DUMMYFUNCTION("""COMPUTED_VALUE"""),0.341)</f>
        <v>0.341</v>
      </c>
      <c r="E1508" s="8" t="str">
        <f>IFERROR(__xludf.DUMMYFUNCTION("""COMPUTED_VALUE"""),"Real")</f>
        <v>Real</v>
      </c>
      <c r="G1508" s="8">
        <f t="shared" si="1"/>
        <v>1</v>
      </c>
      <c r="H1508" s="14">
        <f t="shared" si="2"/>
        <v>2</v>
      </c>
      <c r="I1508" s="15">
        <f t="shared" si="3"/>
        <v>19</v>
      </c>
    </row>
    <row r="1509">
      <c r="A1509" s="8" t="str">
        <f>IFERROR(__xludf.DUMMYFUNCTION("IF('(INGESTA)Datos_consumo_datadis'!A1509&lt;&gt;"""",SPLIT('(INGESTA)Datos_consumo_datadis'!A:A,"",""),"""")"),"ES0031408323131005HX0F")</f>
        <v>ES0031408323131005HX0F</v>
      </c>
      <c r="B1509" s="12">
        <f>IFERROR(__xludf.DUMMYFUNCTION("""COMPUTED_VALUE"""),44928.0)</f>
        <v>44928</v>
      </c>
      <c r="C1509" s="13">
        <f>IFERROR(__xludf.DUMMYFUNCTION("""COMPUTED_VALUE"""),0.8333333333333334)</f>
        <v>0.8333333333</v>
      </c>
      <c r="D1509" s="8">
        <f>IFERROR(__xludf.DUMMYFUNCTION("""COMPUTED_VALUE"""),0.016)</f>
        <v>0.016</v>
      </c>
      <c r="E1509" s="8" t="str">
        <f>IFERROR(__xludf.DUMMYFUNCTION("""COMPUTED_VALUE"""),"Real")</f>
        <v>Real</v>
      </c>
      <c r="G1509" s="8">
        <f t="shared" si="1"/>
        <v>1</v>
      </c>
      <c r="H1509" s="14">
        <f t="shared" si="2"/>
        <v>2</v>
      </c>
      <c r="I1509" s="15">
        <f t="shared" si="3"/>
        <v>20</v>
      </c>
    </row>
    <row r="1510">
      <c r="A1510" s="8" t="str">
        <f>IFERROR(__xludf.DUMMYFUNCTION("IF('(INGESTA)Datos_consumo_datadis'!A1510&lt;&gt;"""",SPLIT('(INGESTA)Datos_consumo_datadis'!A:A,"",""),"""")"),"ES0031408323131005HX0F")</f>
        <v>ES0031408323131005HX0F</v>
      </c>
      <c r="B1510" s="12">
        <f>IFERROR(__xludf.DUMMYFUNCTION("""COMPUTED_VALUE"""),44928.0)</f>
        <v>44928</v>
      </c>
      <c r="C1510" s="13">
        <f>IFERROR(__xludf.DUMMYFUNCTION("""COMPUTED_VALUE"""),0.875)</f>
        <v>0.875</v>
      </c>
      <c r="D1510" s="8">
        <f>IFERROR(__xludf.DUMMYFUNCTION("""COMPUTED_VALUE"""),0.082)</f>
        <v>0.082</v>
      </c>
      <c r="E1510" s="8" t="str">
        <f>IFERROR(__xludf.DUMMYFUNCTION("""COMPUTED_VALUE"""),"Real")</f>
        <v>Real</v>
      </c>
      <c r="G1510" s="8">
        <f t="shared" si="1"/>
        <v>1</v>
      </c>
      <c r="H1510" s="14">
        <f t="shared" si="2"/>
        <v>2</v>
      </c>
      <c r="I1510" s="15">
        <f t="shared" si="3"/>
        <v>21</v>
      </c>
    </row>
    <row r="1511">
      <c r="A1511" s="8" t="str">
        <f>IFERROR(__xludf.DUMMYFUNCTION("IF('(INGESTA)Datos_consumo_datadis'!A1511&lt;&gt;"""",SPLIT('(INGESTA)Datos_consumo_datadis'!A:A,"",""),"""")"),"ES0031408323131005HX0F")</f>
        <v>ES0031408323131005HX0F</v>
      </c>
      <c r="B1511" s="12">
        <f>IFERROR(__xludf.DUMMYFUNCTION("""COMPUTED_VALUE"""),44928.0)</f>
        <v>44928</v>
      </c>
      <c r="C1511" s="13">
        <f>IFERROR(__xludf.DUMMYFUNCTION("""COMPUTED_VALUE"""),0.9166666666666666)</f>
        <v>0.9166666667</v>
      </c>
      <c r="D1511" s="8">
        <f>IFERROR(__xludf.DUMMYFUNCTION("""COMPUTED_VALUE"""),0.044)</f>
        <v>0.044</v>
      </c>
      <c r="E1511" s="8" t="str">
        <f>IFERROR(__xludf.DUMMYFUNCTION("""COMPUTED_VALUE"""),"Real")</f>
        <v>Real</v>
      </c>
      <c r="G1511" s="8">
        <f t="shared" si="1"/>
        <v>1</v>
      </c>
      <c r="H1511" s="14">
        <f t="shared" si="2"/>
        <v>2</v>
      </c>
      <c r="I1511" s="15">
        <f t="shared" si="3"/>
        <v>22</v>
      </c>
    </row>
    <row r="1512">
      <c r="A1512" s="8" t="str">
        <f>IFERROR(__xludf.DUMMYFUNCTION("IF('(INGESTA)Datos_consumo_datadis'!A1512&lt;&gt;"""",SPLIT('(INGESTA)Datos_consumo_datadis'!A:A,"",""),"""")"),"ES0031408323131005HX0F")</f>
        <v>ES0031408323131005HX0F</v>
      </c>
      <c r="B1512" s="12">
        <f>IFERROR(__xludf.DUMMYFUNCTION("""COMPUTED_VALUE"""),44928.0)</f>
        <v>44928</v>
      </c>
      <c r="C1512" s="13">
        <f>IFERROR(__xludf.DUMMYFUNCTION("""COMPUTED_VALUE"""),0.9583333333333334)</f>
        <v>0.9583333333</v>
      </c>
      <c r="D1512" s="8">
        <f>IFERROR(__xludf.DUMMYFUNCTION("""COMPUTED_VALUE"""),1.161)</f>
        <v>1.161</v>
      </c>
      <c r="E1512" s="8" t="str">
        <f>IFERROR(__xludf.DUMMYFUNCTION("""COMPUTED_VALUE"""),"Real")</f>
        <v>Real</v>
      </c>
      <c r="G1512" s="8">
        <f t="shared" si="1"/>
        <v>1</v>
      </c>
      <c r="H1512" s="14">
        <f t="shared" si="2"/>
        <v>2</v>
      </c>
      <c r="I1512" s="15">
        <f t="shared" si="3"/>
        <v>23</v>
      </c>
    </row>
    <row r="1513">
      <c r="A1513" s="8" t="str">
        <f>IFERROR(__xludf.DUMMYFUNCTION("IF('(INGESTA)Datos_consumo_datadis'!A1513&lt;&gt;"""",SPLIT('(INGESTA)Datos_consumo_datadis'!A:A,"",""),"""")"),"ES0031408323131005HX0F")</f>
        <v>ES0031408323131005HX0F</v>
      </c>
      <c r="B1513" s="12">
        <f>IFERROR(__xludf.DUMMYFUNCTION("""COMPUTED_VALUE"""),44928.0)</f>
        <v>44928</v>
      </c>
      <c r="C1513" s="16">
        <f>IFERROR(__xludf.DUMMYFUNCTION("""COMPUTED_VALUE"""),1.0)</f>
        <v>1</v>
      </c>
      <c r="D1513" s="8">
        <f>IFERROR(__xludf.DUMMYFUNCTION("""COMPUTED_VALUE"""),0.961)</f>
        <v>0.961</v>
      </c>
      <c r="E1513" s="8" t="str">
        <f>IFERROR(__xludf.DUMMYFUNCTION("""COMPUTED_VALUE"""),"Real")</f>
        <v>Real</v>
      </c>
      <c r="G1513" s="8">
        <f t="shared" si="1"/>
        <v>1</v>
      </c>
      <c r="H1513" s="14">
        <f t="shared" si="2"/>
        <v>2</v>
      </c>
      <c r="I1513" s="15">
        <f t="shared" si="3"/>
        <v>0</v>
      </c>
    </row>
    <row r="1514">
      <c r="A1514" s="8" t="str">
        <f>IFERROR(__xludf.DUMMYFUNCTION("IF('(INGESTA)Datos_consumo_datadis'!A1514&lt;&gt;"""",SPLIT('(INGESTA)Datos_consumo_datadis'!A:A,"",""),"""")"),"ES0031408323131005HX0F")</f>
        <v>ES0031408323131005HX0F</v>
      </c>
      <c r="B1514" s="12">
        <f>IFERROR(__xludf.DUMMYFUNCTION("""COMPUTED_VALUE"""),44929.0)</f>
        <v>44929</v>
      </c>
      <c r="C1514" s="13">
        <f>IFERROR(__xludf.DUMMYFUNCTION("""COMPUTED_VALUE"""),0.041666666666666664)</f>
        <v>0.04166666667</v>
      </c>
      <c r="D1514" s="8">
        <f>IFERROR(__xludf.DUMMYFUNCTION("""COMPUTED_VALUE"""),0.833)</f>
        <v>0.833</v>
      </c>
      <c r="E1514" s="8" t="str">
        <f>IFERROR(__xludf.DUMMYFUNCTION("""COMPUTED_VALUE"""),"Real")</f>
        <v>Real</v>
      </c>
      <c r="G1514" s="8">
        <f t="shared" si="1"/>
        <v>1</v>
      </c>
      <c r="H1514" s="14">
        <f t="shared" si="2"/>
        <v>3</v>
      </c>
      <c r="I1514" s="15">
        <f t="shared" si="3"/>
        <v>1</v>
      </c>
    </row>
    <row r="1515">
      <c r="A1515" s="8" t="str">
        <f>IFERROR(__xludf.DUMMYFUNCTION("IF('(INGESTA)Datos_consumo_datadis'!A1515&lt;&gt;"""",SPLIT('(INGESTA)Datos_consumo_datadis'!A:A,"",""),"""")"),"ES0031408323131005HX0F")</f>
        <v>ES0031408323131005HX0F</v>
      </c>
      <c r="B1515" s="12">
        <f>IFERROR(__xludf.DUMMYFUNCTION("""COMPUTED_VALUE"""),44929.0)</f>
        <v>44929</v>
      </c>
      <c r="C1515" s="13">
        <f>IFERROR(__xludf.DUMMYFUNCTION("""COMPUTED_VALUE"""),0.08333333333333333)</f>
        <v>0.08333333333</v>
      </c>
      <c r="D1515" s="8">
        <f>IFERROR(__xludf.DUMMYFUNCTION("""COMPUTED_VALUE"""),1.03)</f>
        <v>1.03</v>
      </c>
      <c r="E1515" s="8" t="str">
        <f>IFERROR(__xludf.DUMMYFUNCTION("""COMPUTED_VALUE"""),"Real")</f>
        <v>Real</v>
      </c>
      <c r="G1515" s="8">
        <f t="shared" si="1"/>
        <v>1</v>
      </c>
      <c r="H1515" s="14">
        <f t="shared" si="2"/>
        <v>3</v>
      </c>
      <c r="I1515" s="15">
        <f t="shared" si="3"/>
        <v>2</v>
      </c>
    </row>
    <row r="1516">
      <c r="A1516" s="8" t="str">
        <f>IFERROR(__xludf.DUMMYFUNCTION("IF('(INGESTA)Datos_consumo_datadis'!A1516&lt;&gt;"""",SPLIT('(INGESTA)Datos_consumo_datadis'!A:A,"",""),"""")"),"ES0031408323131005HX0F")</f>
        <v>ES0031408323131005HX0F</v>
      </c>
      <c r="B1516" s="12">
        <f>IFERROR(__xludf.DUMMYFUNCTION("""COMPUTED_VALUE"""),44929.0)</f>
        <v>44929</v>
      </c>
      <c r="C1516" s="13">
        <f>IFERROR(__xludf.DUMMYFUNCTION("""COMPUTED_VALUE"""),0.125)</f>
        <v>0.125</v>
      </c>
      <c r="D1516" s="8">
        <f>IFERROR(__xludf.DUMMYFUNCTION("""COMPUTED_VALUE"""),0.79)</f>
        <v>0.79</v>
      </c>
      <c r="E1516" s="8" t="str">
        <f>IFERROR(__xludf.DUMMYFUNCTION("""COMPUTED_VALUE"""),"Real")</f>
        <v>Real</v>
      </c>
      <c r="G1516" s="8">
        <f t="shared" si="1"/>
        <v>1</v>
      </c>
      <c r="H1516" s="14">
        <f t="shared" si="2"/>
        <v>3</v>
      </c>
      <c r="I1516" s="15">
        <f t="shared" si="3"/>
        <v>3</v>
      </c>
    </row>
    <row r="1517">
      <c r="A1517" s="8" t="str">
        <f>IFERROR(__xludf.DUMMYFUNCTION("IF('(INGESTA)Datos_consumo_datadis'!A1517&lt;&gt;"""",SPLIT('(INGESTA)Datos_consumo_datadis'!A:A,"",""),"""")"),"ES0031408323131005HX0F")</f>
        <v>ES0031408323131005HX0F</v>
      </c>
      <c r="B1517" s="12">
        <f>IFERROR(__xludf.DUMMYFUNCTION("""COMPUTED_VALUE"""),44929.0)</f>
        <v>44929</v>
      </c>
      <c r="C1517" s="13">
        <f>IFERROR(__xludf.DUMMYFUNCTION("""COMPUTED_VALUE"""),0.16666666666666666)</f>
        <v>0.1666666667</v>
      </c>
      <c r="D1517" s="8">
        <f>IFERROR(__xludf.DUMMYFUNCTION("""COMPUTED_VALUE"""),0.743)</f>
        <v>0.743</v>
      </c>
      <c r="E1517" s="8" t="str">
        <f>IFERROR(__xludf.DUMMYFUNCTION("""COMPUTED_VALUE"""),"Real")</f>
        <v>Real</v>
      </c>
      <c r="G1517" s="8">
        <f t="shared" si="1"/>
        <v>1</v>
      </c>
      <c r="H1517" s="14">
        <f t="shared" si="2"/>
        <v>3</v>
      </c>
      <c r="I1517" s="15">
        <f t="shared" si="3"/>
        <v>4</v>
      </c>
    </row>
    <row r="1518">
      <c r="A1518" s="8" t="str">
        <f>IFERROR(__xludf.DUMMYFUNCTION("IF('(INGESTA)Datos_consumo_datadis'!A1518&lt;&gt;"""",SPLIT('(INGESTA)Datos_consumo_datadis'!A:A,"",""),"""")"),"ES0031408323131005HX0F")</f>
        <v>ES0031408323131005HX0F</v>
      </c>
      <c r="B1518" s="12">
        <f>IFERROR(__xludf.DUMMYFUNCTION("""COMPUTED_VALUE"""),44929.0)</f>
        <v>44929</v>
      </c>
      <c r="C1518" s="13">
        <f>IFERROR(__xludf.DUMMYFUNCTION("""COMPUTED_VALUE"""),0.20833333333333334)</f>
        <v>0.2083333333</v>
      </c>
      <c r="D1518" s="8">
        <f>IFERROR(__xludf.DUMMYFUNCTION("""COMPUTED_VALUE"""),0.817)</f>
        <v>0.817</v>
      </c>
      <c r="E1518" s="8" t="str">
        <f>IFERROR(__xludf.DUMMYFUNCTION("""COMPUTED_VALUE"""),"Real")</f>
        <v>Real</v>
      </c>
      <c r="G1518" s="8">
        <f t="shared" si="1"/>
        <v>1</v>
      </c>
      <c r="H1518" s="14">
        <f t="shared" si="2"/>
        <v>3</v>
      </c>
      <c r="I1518" s="15">
        <f t="shared" si="3"/>
        <v>5</v>
      </c>
    </row>
    <row r="1519">
      <c r="A1519" s="8" t="str">
        <f>IFERROR(__xludf.DUMMYFUNCTION("IF('(INGESTA)Datos_consumo_datadis'!A1519&lt;&gt;"""",SPLIT('(INGESTA)Datos_consumo_datadis'!A:A,"",""),"""")"),"ES0031408323131005HX0F")</f>
        <v>ES0031408323131005HX0F</v>
      </c>
      <c r="B1519" s="12">
        <f>IFERROR(__xludf.DUMMYFUNCTION("""COMPUTED_VALUE"""),44929.0)</f>
        <v>44929</v>
      </c>
      <c r="C1519" s="13">
        <f>IFERROR(__xludf.DUMMYFUNCTION("""COMPUTED_VALUE"""),0.25)</f>
        <v>0.25</v>
      </c>
      <c r="D1519" s="8">
        <f>IFERROR(__xludf.DUMMYFUNCTION("""COMPUTED_VALUE"""),0.772)</f>
        <v>0.772</v>
      </c>
      <c r="E1519" s="8" t="str">
        <f>IFERROR(__xludf.DUMMYFUNCTION("""COMPUTED_VALUE"""),"Real")</f>
        <v>Real</v>
      </c>
      <c r="G1519" s="8">
        <f t="shared" si="1"/>
        <v>1</v>
      </c>
      <c r="H1519" s="14">
        <f t="shared" si="2"/>
        <v>3</v>
      </c>
      <c r="I1519" s="15">
        <f t="shared" si="3"/>
        <v>6</v>
      </c>
    </row>
    <row r="1520">
      <c r="A1520" s="8" t="str">
        <f>IFERROR(__xludf.DUMMYFUNCTION("IF('(INGESTA)Datos_consumo_datadis'!A1520&lt;&gt;"""",SPLIT('(INGESTA)Datos_consumo_datadis'!A:A,"",""),"""")"),"ES0031408323131005HX0F")</f>
        <v>ES0031408323131005HX0F</v>
      </c>
      <c r="B1520" s="12">
        <f>IFERROR(__xludf.DUMMYFUNCTION("""COMPUTED_VALUE"""),44929.0)</f>
        <v>44929</v>
      </c>
      <c r="C1520" s="13">
        <f>IFERROR(__xludf.DUMMYFUNCTION("""COMPUTED_VALUE"""),0.2916666666666667)</f>
        <v>0.2916666667</v>
      </c>
      <c r="D1520" s="8">
        <f>IFERROR(__xludf.DUMMYFUNCTION("""COMPUTED_VALUE"""),0.78)</f>
        <v>0.78</v>
      </c>
      <c r="E1520" s="8" t="str">
        <f>IFERROR(__xludf.DUMMYFUNCTION("""COMPUTED_VALUE"""),"Real")</f>
        <v>Real</v>
      </c>
      <c r="G1520" s="8">
        <f t="shared" si="1"/>
        <v>1</v>
      </c>
      <c r="H1520" s="14">
        <f t="shared" si="2"/>
        <v>3</v>
      </c>
      <c r="I1520" s="15">
        <f t="shared" si="3"/>
        <v>7</v>
      </c>
    </row>
    <row r="1521">
      <c r="A1521" s="8" t="str">
        <f>IFERROR(__xludf.DUMMYFUNCTION("IF('(INGESTA)Datos_consumo_datadis'!A1521&lt;&gt;"""",SPLIT('(INGESTA)Datos_consumo_datadis'!A:A,"",""),"""")"),"ES0031408323131005HX0F")</f>
        <v>ES0031408323131005HX0F</v>
      </c>
      <c r="B1521" s="12">
        <f>IFERROR(__xludf.DUMMYFUNCTION("""COMPUTED_VALUE"""),44929.0)</f>
        <v>44929</v>
      </c>
      <c r="C1521" s="13">
        <f>IFERROR(__xludf.DUMMYFUNCTION("""COMPUTED_VALUE"""),0.3333333333333333)</f>
        <v>0.3333333333</v>
      </c>
      <c r="D1521" s="8">
        <f>IFERROR(__xludf.DUMMYFUNCTION("""COMPUTED_VALUE"""),0.809)</f>
        <v>0.809</v>
      </c>
      <c r="E1521" s="8" t="str">
        <f>IFERROR(__xludf.DUMMYFUNCTION("""COMPUTED_VALUE"""),"Real")</f>
        <v>Real</v>
      </c>
      <c r="G1521" s="8">
        <f t="shared" si="1"/>
        <v>1</v>
      </c>
      <c r="H1521" s="14">
        <f t="shared" si="2"/>
        <v>3</v>
      </c>
      <c r="I1521" s="15">
        <f t="shared" si="3"/>
        <v>8</v>
      </c>
    </row>
    <row r="1522">
      <c r="A1522" s="8" t="str">
        <f>IFERROR(__xludf.DUMMYFUNCTION("IF('(INGESTA)Datos_consumo_datadis'!A1522&lt;&gt;"""",SPLIT('(INGESTA)Datos_consumo_datadis'!A:A,"",""),"""")"),"ES0031408323131005HX0F")</f>
        <v>ES0031408323131005HX0F</v>
      </c>
      <c r="B1522" s="12">
        <f>IFERROR(__xludf.DUMMYFUNCTION("""COMPUTED_VALUE"""),44929.0)</f>
        <v>44929</v>
      </c>
      <c r="C1522" s="13">
        <f>IFERROR(__xludf.DUMMYFUNCTION("""COMPUTED_VALUE"""),0.375)</f>
        <v>0.375</v>
      </c>
      <c r="D1522" s="8">
        <f>IFERROR(__xludf.DUMMYFUNCTION("""COMPUTED_VALUE"""),1.154)</f>
        <v>1.154</v>
      </c>
      <c r="E1522" s="8" t="str">
        <f>IFERROR(__xludf.DUMMYFUNCTION("""COMPUTED_VALUE"""),"Real")</f>
        <v>Real</v>
      </c>
      <c r="G1522" s="8">
        <f t="shared" si="1"/>
        <v>1</v>
      </c>
      <c r="H1522" s="14">
        <f t="shared" si="2"/>
        <v>3</v>
      </c>
      <c r="I1522" s="15">
        <f t="shared" si="3"/>
        <v>9</v>
      </c>
    </row>
    <row r="1523">
      <c r="A1523" s="8" t="str">
        <f>IFERROR(__xludf.DUMMYFUNCTION("IF('(INGESTA)Datos_consumo_datadis'!A1523&lt;&gt;"""",SPLIT('(INGESTA)Datos_consumo_datadis'!A:A,"",""),"""")"),"ES0031408323131005HX0F")</f>
        <v>ES0031408323131005HX0F</v>
      </c>
      <c r="B1523" s="12">
        <f>IFERROR(__xludf.DUMMYFUNCTION("""COMPUTED_VALUE"""),44929.0)</f>
        <v>44929</v>
      </c>
      <c r="C1523" s="13">
        <f>IFERROR(__xludf.DUMMYFUNCTION("""COMPUTED_VALUE"""),0.4166666666666667)</f>
        <v>0.4166666667</v>
      </c>
      <c r="D1523" s="8">
        <f>IFERROR(__xludf.DUMMYFUNCTION("""COMPUTED_VALUE"""),0.809)</f>
        <v>0.809</v>
      </c>
      <c r="E1523" s="8" t="str">
        <f>IFERROR(__xludf.DUMMYFUNCTION("""COMPUTED_VALUE"""),"Real")</f>
        <v>Real</v>
      </c>
      <c r="G1523" s="8">
        <f t="shared" si="1"/>
        <v>1</v>
      </c>
      <c r="H1523" s="14">
        <f t="shared" si="2"/>
        <v>3</v>
      </c>
      <c r="I1523" s="15">
        <f t="shared" si="3"/>
        <v>10</v>
      </c>
    </row>
    <row r="1524">
      <c r="A1524" s="8" t="str">
        <f>IFERROR(__xludf.DUMMYFUNCTION("IF('(INGESTA)Datos_consumo_datadis'!A1524&lt;&gt;"""",SPLIT('(INGESTA)Datos_consumo_datadis'!A:A,"",""),"""")"),"ES0031408323131005HX0F")</f>
        <v>ES0031408323131005HX0F</v>
      </c>
      <c r="B1524" s="12">
        <f>IFERROR(__xludf.DUMMYFUNCTION("""COMPUTED_VALUE"""),44929.0)</f>
        <v>44929</v>
      </c>
      <c r="C1524" s="13">
        <f>IFERROR(__xludf.DUMMYFUNCTION("""COMPUTED_VALUE"""),0.4583333333333333)</f>
        <v>0.4583333333</v>
      </c>
      <c r="D1524" s="8">
        <f>IFERROR(__xludf.DUMMYFUNCTION("""COMPUTED_VALUE"""),0.231)</f>
        <v>0.231</v>
      </c>
      <c r="E1524" s="8" t="str">
        <f>IFERROR(__xludf.DUMMYFUNCTION("""COMPUTED_VALUE"""),"Real")</f>
        <v>Real</v>
      </c>
      <c r="G1524" s="8">
        <f t="shared" si="1"/>
        <v>1</v>
      </c>
      <c r="H1524" s="14">
        <f t="shared" si="2"/>
        <v>3</v>
      </c>
      <c r="I1524" s="15">
        <f t="shared" si="3"/>
        <v>11</v>
      </c>
    </row>
    <row r="1525">
      <c r="A1525" s="8" t="str">
        <f>IFERROR(__xludf.DUMMYFUNCTION("IF('(INGESTA)Datos_consumo_datadis'!A1525&lt;&gt;"""",SPLIT('(INGESTA)Datos_consumo_datadis'!A:A,"",""),"""")"),"ES0031408323131005HX0F")</f>
        <v>ES0031408323131005HX0F</v>
      </c>
      <c r="B1525" s="12">
        <f>IFERROR(__xludf.DUMMYFUNCTION("""COMPUTED_VALUE"""),44929.0)</f>
        <v>44929</v>
      </c>
      <c r="C1525" s="13">
        <f>IFERROR(__xludf.DUMMYFUNCTION("""COMPUTED_VALUE"""),0.5)</f>
        <v>0.5</v>
      </c>
      <c r="D1525" s="8">
        <f>IFERROR(__xludf.DUMMYFUNCTION("""COMPUTED_VALUE"""),0.084)</f>
        <v>0.084</v>
      </c>
      <c r="E1525" s="8" t="str">
        <f>IFERROR(__xludf.DUMMYFUNCTION("""COMPUTED_VALUE"""),"Real")</f>
        <v>Real</v>
      </c>
      <c r="G1525" s="8">
        <f t="shared" si="1"/>
        <v>1</v>
      </c>
      <c r="H1525" s="14">
        <f t="shared" si="2"/>
        <v>3</v>
      </c>
      <c r="I1525" s="15">
        <f t="shared" si="3"/>
        <v>12</v>
      </c>
    </row>
    <row r="1526">
      <c r="A1526" s="8" t="str">
        <f>IFERROR(__xludf.DUMMYFUNCTION("IF('(INGESTA)Datos_consumo_datadis'!A1526&lt;&gt;"""",SPLIT('(INGESTA)Datos_consumo_datadis'!A:A,"",""),"""")"),"ES0031408323131005HX0F")</f>
        <v>ES0031408323131005HX0F</v>
      </c>
      <c r="B1526" s="12">
        <f>IFERROR(__xludf.DUMMYFUNCTION("""COMPUTED_VALUE"""),44929.0)</f>
        <v>44929</v>
      </c>
      <c r="C1526" s="13">
        <f>IFERROR(__xludf.DUMMYFUNCTION("""COMPUTED_VALUE"""),0.5416666666666666)</f>
        <v>0.5416666667</v>
      </c>
      <c r="D1526" s="8">
        <f>IFERROR(__xludf.DUMMYFUNCTION("""COMPUTED_VALUE"""),0.379)</f>
        <v>0.379</v>
      </c>
      <c r="E1526" s="8" t="str">
        <f>IFERROR(__xludf.DUMMYFUNCTION("""COMPUTED_VALUE"""),"Real")</f>
        <v>Real</v>
      </c>
      <c r="G1526" s="8">
        <f t="shared" si="1"/>
        <v>1</v>
      </c>
      <c r="H1526" s="14">
        <f t="shared" si="2"/>
        <v>3</v>
      </c>
      <c r="I1526" s="15">
        <f t="shared" si="3"/>
        <v>13</v>
      </c>
    </row>
    <row r="1527">
      <c r="A1527" s="8" t="str">
        <f>IFERROR(__xludf.DUMMYFUNCTION("IF('(INGESTA)Datos_consumo_datadis'!A1527&lt;&gt;"""",SPLIT('(INGESTA)Datos_consumo_datadis'!A:A,"",""),"""")"),"ES0031408323131005HX0F")</f>
        <v>ES0031408323131005HX0F</v>
      </c>
      <c r="B1527" s="12">
        <f>IFERROR(__xludf.DUMMYFUNCTION("""COMPUTED_VALUE"""),44929.0)</f>
        <v>44929</v>
      </c>
      <c r="C1527" s="13">
        <f>IFERROR(__xludf.DUMMYFUNCTION("""COMPUTED_VALUE"""),0.5833333333333334)</f>
        <v>0.5833333333</v>
      </c>
      <c r="D1527" s="8">
        <f>IFERROR(__xludf.DUMMYFUNCTION("""COMPUTED_VALUE"""),0.408)</f>
        <v>0.408</v>
      </c>
      <c r="E1527" s="8" t="str">
        <f>IFERROR(__xludf.DUMMYFUNCTION("""COMPUTED_VALUE"""),"Real")</f>
        <v>Real</v>
      </c>
      <c r="G1527" s="8">
        <f t="shared" si="1"/>
        <v>1</v>
      </c>
      <c r="H1527" s="14">
        <f t="shared" si="2"/>
        <v>3</v>
      </c>
      <c r="I1527" s="15">
        <f t="shared" si="3"/>
        <v>14</v>
      </c>
    </row>
    <row r="1528">
      <c r="A1528" s="8" t="str">
        <f>IFERROR(__xludf.DUMMYFUNCTION("IF('(INGESTA)Datos_consumo_datadis'!A1528&lt;&gt;"""",SPLIT('(INGESTA)Datos_consumo_datadis'!A:A,"",""),"""")"),"ES0031408323131005HX0F")</f>
        <v>ES0031408323131005HX0F</v>
      </c>
      <c r="B1528" s="12">
        <f>IFERROR(__xludf.DUMMYFUNCTION("""COMPUTED_VALUE"""),44929.0)</f>
        <v>44929</v>
      </c>
      <c r="C1528" s="13">
        <f>IFERROR(__xludf.DUMMYFUNCTION("""COMPUTED_VALUE"""),0.625)</f>
        <v>0.625</v>
      </c>
      <c r="D1528" s="8">
        <f>IFERROR(__xludf.DUMMYFUNCTION("""COMPUTED_VALUE"""),1.577)</f>
        <v>1.577</v>
      </c>
      <c r="E1528" s="8" t="str">
        <f>IFERROR(__xludf.DUMMYFUNCTION("""COMPUTED_VALUE"""),"Real")</f>
        <v>Real</v>
      </c>
      <c r="G1528" s="8">
        <f t="shared" si="1"/>
        <v>1</v>
      </c>
      <c r="H1528" s="14">
        <f t="shared" si="2"/>
        <v>3</v>
      </c>
      <c r="I1528" s="15">
        <f t="shared" si="3"/>
        <v>15</v>
      </c>
    </row>
    <row r="1529">
      <c r="A1529" s="8" t="str">
        <f>IFERROR(__xludf.DUMMYFUNCTION("IF('(INGESTA)Datos_consumo_datadis'!A1529&lt;&gt;"""",SPLIT('(INGESTA)Datos_consumo_datadis'!A:A,"",""),"""")"),"ES0031408323131005HX0F")</f>
        <v>ES0031408323131005HX0F</v>
      </c>
      <c r="B1529" s="12">
        <f>IFERROR(__xludf.DUMMYFUNCTION("""COMPUTED_VALUE"""),44929.0)</f>
        <v>44929</v>
      </c>
      <c r="C1529" s="13">
        <f>IFERROR(__xludf.DUMMYFUNCTION("""COMPUTED_VALUE"""),0.6666666666666666)</f>
        <v>0.6666666667</v>
      </c>
      <c r="D1529" s="8">
        <f>IFERROR(__xludf.DUMMYFUNCTION("""COMPUTED_VALUE"""),0.828)</f>
        <v>0.828</v>
      </c>
      <c r="E1529" s="8" t="str">
        <f>IFERROR(__xludf.DUMMYFUNCTION("""COMPUTED_VALUE"""),"Real")</f>
        <v>Real</v>
      </c>
      <c r="G1529" s="8">
        <f t="shared" si="1"/>
        <v>1</v>
      </c>
      <c r="H1529" s="14">
        <f t="shared" si="2"/>
        <v>3</v>
      </c>
      <c r="I1529" s="15">
        <f t="shared" si="3"/>
        <v>16</v>
      </c>
    </row>
    <row r="1530">
      <c r="A1530" s="8" t="str">
        <f>IFERROR(__xludf.DUMMYFUNCTION("IF('(INGESTA)Datos_consumo_datadis'!A1530&lt;&gt;"""",SPLIT('(INGESTA)Datos_consumo_datadis'!A:A,"",""),"""")"),"ES0031408323131005HX0F")</f>
        <v>ES0031408323131005HX0F</v>
      </c>
      <c r="B1530" s="12">
        <f>IFERROR(__xludf.DUMMYFUNCTION("""COMPUTED_VALUE"""),44929.0)</f>
        <v>44929</v>
      </c>
      <c r="C1530" s="13">
        <f>IFERROR(__xludf.DUMMYFUNCTION("""COMPUTED_VALUE"""),0.7083333333333334)</f>
        <v>0.7083333333</v>
      </c>
      <c r="D1530" s="8">
        <f>IFERROR(__xludf.DUMMYFUNCTION("""COMPUTED_VALUE"""),0.022)</f>
        <v>0.022</v>
      </c>
      <c r="E1530" s="8" t="str">
        <f>IFERROR(__xludf.DUMMYFUNCTION("""COMPUTED_VALUE"""),"Real")</f>
        <v>Real</v>
      </c>
      <c r="G1530" s="8">
        <f t="shared" si="1"/>
        <v>1</v>
      </c>
      <c r="H1530" s="14">
        <f t="shared" si="2"/>
        <v>3</v>
      </c>
      <c r="I1530" s="15">
        <f t="shared" si="3"/>
        <v>17</v>
      </c>
    </row>
    <row r="1531">
      <c r="A1531" s="8" t="str">
        <f>IFERROR(__xludf.DUMMYFUNCTION("IF('(INGESTA)Datos_consumo_datadis'!A1531&lt;&gt;"""",SPLIT('(INGESTA)Datos_consumo_datadis'!A:A,"",""),"""")"),"ES0031408323131005HX0F")</f>
        <v>ES0031408323131005HX0F</v>
      </c>
      <c r="B1531" s="12">
        <f>IFERROR(__xludf.DUMMYFUNCTION("""COMPUTED_VALUE"""),44929.0)</f>
        <v>44929</v>
      </c>
      <c r="C1531" s="13">
        <f>IFERROR(__xludf.DUMMYFUNCTION("""COMPUTED_VALUE"""),0.75)</f>
        <v>0.75</v>
      </c>
      <c r="D1531" s="8">
        <f>IFERROR(__xludf.DUMMYFUNCTION("""COMPUTED_VALUE"""),0.094)</f>
        <v>0.094</v>
      </c>
      <c r="E1531" s="8" t="str">
        <f>IFERROR(__xludf.DUMMYFUNCTION("""COMPUTED_VALUE"""),"Real")</f>
        <v>Real</v>
      </c>
      <c r="G1531" s="8">
        <f t="shared" si="1"/>
        <v>1</v>
      </c>
      <c r="H1531" s="14">
        <f t="shared" si="2"/>
        <v>3</v>
      </c>
      <c r="I1531" s="15">
        <f t="shared" si="3"/>
        <v>18</v>
      </c>
    </row>
    <row r="1532">
      <c r="A1532" s="8" t="str">
        <f>IFERROR(__xludf.DUMMYFUNCTION("IF('(INGESTA)Datos_consumo_datadis'!A1532&lt;&gt;"""",SPLIT('(INGESTA)Datos_consumo_datadis'!A:A,"",""),"""")"),"ES0031408323131005HX0F")</f>
        <v>ES0031408323131005HX0F</v>
      </c>
      <c r="B1532" s="12">
        <f>IFERROR(__xludf.DUMMYFUNCTION("""COMPUTED_VALUE"""),44929.0)</f>
        <v>44929</v>
      </c>
      <c r="C1532" s="13">
        <f>IFERROR(__xludf.DUMMYFUNCTION("""COMPUTED_VALUE"""),0.7916666666666666)</f>
        <v>0.7916666667</v>
      </c>
      <c r="D1532" s="8">
        <f>IFERROR(__xludf.DUMMYFUNCTION("""COMPUTED_VALUE"""),0.05)</f>
        <v>0.05</v>
      </c>
      <c r="E1532" s="8" t="str">
        <f>IFERROR(__xludf.DUMMYFUNCTION("""COMPUTED_VALUE"""),"Real")</f>
        <v>Real</v>
      </c>
      <c r="G1532" s="8">
        <f t="shared" si="1"/>
        <v>1</v>
      </c>
      <c r="H1532" s="14">
        <f t="shared" si="2"/>
        <v>3</v>
      </c>
      <c r="I1532" s="15">
        <f t="shared" si="3"/>
        <v>19</v>
      </c>
    </row>
    <row r="1533">
      <c r="A1533" s="8" t="str">
        <f>IFERROR(__xludf.DUMMYFUNCTION("IF('(INGESTA)Datos_consumo_datadis'!A1533&lt;&gt;"""",SPLIT('(INGESTA)Datos_consumo_datadis'!A:A,"",""),"""")"),"ES0031408323131005HX0F")</f>
        <v>ES0031408323131005HX0F</v>
      </c>
      <c r="B1533" s="12">
        <f>IFERROR(__xludf.DUMMYFUNCTION("""COMPUTED_VALUE"""),44929.0)</f>
        <v>44929</v>
      </c>
      <c r="C1533" s="13">
        <f>IFERROR(__xludf.DUMMYFUNCTION("""COMPUTED_VALUE"""),0.8333333333333334)</f>
        <v>0.8333333333</v>
      </c>
      <c r="D1533" s="8">
        <f>IFERROR(__xludf.DUMMYFUNCTION("""COMPUTED_VALUE"""),0.016)</f>
        <v>0.016</v>
      </c>
      <c r="E1533" s="8" t="str">
        <f>IFERROR(__xludf.DUMMYFUNCTION("""COMPUTED_VALUE"""),"Real")</f>
        <v>Real</v>
      </c>
      <c r="G1533" s="8">
        <f t="shared" si="1"/>
        <v>1</v>
      </c>
      <c r="H1533" s="14">
        <f t="shared" si="2"/>
        <v>3</v>
      </c>
      <c r="I1533" s="15">
        <f t="shared" si="3"/>
        <v>20</v>
      </c>
    </row>
    <row r="1534">
      <c r="A1534" s="8" t="str">
        <f>IFERROR(__xludf.DUMMYFUNCTION("IF('(INGESTA)Datos_consumo_datadis'!A1534&lt;&gt;"""",SPLIT('(INGESTA)Datos_consumo_datadis'!A:A,"",""),"""")"),"ES0031408323131005HX0F")</f>
        <v>ES0031408323131005HX0F</v>
      </c>
      <c r="B1534" s="12">
        <f>IFERROR(__xludf.DUMMYFUNCTION("""COMPUTED_VALUE"""),44929.0)</f>
        <v>44929</v>
      </c>
      <c r="C1534" s="13">
        <f>IFERROR(__xludf.DUMMYFUNCTION("""COMPUTED_VALUE"""),0.875)</f>
        <v>0.875</v>
      </c>
      <c r="D1534" s="8">
        <f>IFERROR(__xludf.DUMMYFUNCTION("""COMPUTED_VALUE"""),0.358)</f>
        <v>0.358</v>
      </c>
      <c r="E1534" s="8" t="str">
        <f>IFERROR(__xludf.DUMMYFUNCTION("""COMPUTED_VALUE"""),"Real")</f>
        <v>Real</v>
      </c>
      <c r="G1534" s="8">
        <f t="shared" si="1"/>
        <v>1</v>
      </c>
      <c r="H1534" s="14">
        <f t="shared" si="2"/>
        <v>3</v>
      </c>
      <c r="I1534" s="15">
        <f t="shared" si="3"/>
        <v>21</v>
      </c>
    </row>
    <row r="1535">
      <c r="A1535" s="8" t="str">
        <f>IFERROR(__xludf.DUMMYFUNCTION("IF('(INGESTA)Datos_consumo_datadis'!A1535&lt;&gt;"""",SPLIT('(INGESTA)Datos_consumo_datadis'!A:A,"",""),"""")"),"ES0031408323131005HX0F")</f>
        <v>ES0031408323131005HX0F</v>
      </c>
      <c r="B1535" s="12">
        <f>IFERROR(__xludf.DUMMYFUNCTION("""COMPUTED_VALUE"""),44929.0)</f>
        <v>44929</v>
      </c>
      <c r="C1535" s="13">
        <f>IFERROR(__xludf.DUMMYFUNCTION("""COMPUTED_VALUE"""),0.9166666666666666)</f>
        <v>0.9166666667</v>
      </c>
      <c r="D1535" s="8">
        <f>IFERROR(__xludf.DUMMYFUNCTION("""COMPUTED_VALUE"""),0.057)</f>
        <v>0.057</v>
      </c>
      <c r="E1535" s="8" t="str">
        <f>IFERROR(__xludf.DUMMYFUNCTION("""COMPUTED_VALUE"""),"Real")</f>
        <v>Real</v>
      </c>
      <c r="G1535" s="8">
        <f t="shared" si="1"/>
        <v>1</v>
      </c>
      <c r="H1535" s="14">
        <f t="shared" si="2"/>
        <v>3</v>
      </c>
      <c r="I1535" s="15">
        <f t="shared" si="3"/>
        <v>22</v>
      </c>
    </row>
    <row r="1536">
      <c r="A1536" s="8" t="str">
        <f>IFERROR(__xludf.DUMMYFUNCTION("IF('(INGESTA)Datos_consumo_datadis'!A1536&lt;&gt;"""",SPLIT('(INGESTA)Datos_consumo_datadis'!A:A,"",""),"""")"),"ES0031408323131005HX0F")</f>
        <v>ES0031408323131005HX0F</v>
      </c>
      <c r="B1536" s="12">
        <f>IFERROR(__xludf.DUMMYFUNCTION("""COMPUTED_VALUE"""),44929.0)</f>
        <v>44929</v>
      </c>
      <c r="C1536" s="13">
        <f>IFERROR(__xludf.DUMMYFUNCTION("""COMPUTED_VALUE"""),0.9583333333333334)</f>
        <v>0.9583333333</v>
      </c>
      <c r="D1536" s="8">
        <f>IFERROR(__xludf.DUMMYFUNCTION("""COMPUTED_VALUE"""),1.329)</f>
        <v>1.329</v>
      </c>
      <c r="E1536" s="8" t="str">
        <f>IFERROR(__xludf.DUMMYFUNCTION("""COMPUTED_VALUE"""),"Real")</f>
        <v>Real</v>
      </c>
      <c r="G1536" s="8">
        <f t="shared" si="1"/>
        <v>1</v>
      </c>
      <c r="H1536" s="14">
        <f t="shared" si="2"/>
        <v>3</v>
      </c>
      <c r="I1536" s="15">
        <f t="shared" si="3"/>
        <v>23</v>
      </c>
    </row>
    <row r="1537">
      <c r="A1537" s="8" t="str">
        <f>IFERROR(__xludf.DUMMYFUNCTION("IF('(INGESTA)Datos_consumo_datadis'!A1537&lt;&gt;"""",SPLIT('(INGESTA)Datos_consumo_datadis'!A:A,"",""),"""")"),"ES0031408323131005HX0F")</f>
        <v>ES0031408323131005HX0F</v>
      </c>
      <c r="B1537" s="12">
        <f>IFERROR(__xludf.DUMMYFUNCTION("""COMPUTED_VALUE"""),44929.0)</f>
        <v>44929</v>
      </c>
      <c r="C1537" s="16">
        <f>IFERROR(__xludf.DUMMYFUNCTION("""COMPUTED_VALUE"""),1.0)</f>
        <v>1</v>
      </c>
      <c r="D1537" s="8">
        <f>IFERROR(__xludf.DUMMYFUNCTION("""COMPUTED_VALUE"""),0.984)</f>
        <v>0.984</v>
      </c>
      <c r="E1537" s="8" t="str">
        <f>IFERROR(__xludf.DUMMYFUNCTION("""COMPUTED_VALUE"""),"Real")</f>
        <v>Real</v>
      </c>
      <c r="G1537" s="8">
        <f t="shared" si="1"/>
        <v>1</v>
      </c>
      <c r="H1537" s="14">
        <f t="shared" si="2"/>
        <v>3</v>
      </c>
      <c r="I1537" s="15">
        <f t="shared" si="3"/>
        <v>0</v>
      </c>
    </row>
    <row r="1538">
      <c r="A1538" s="8" t="str">
        <f>IFERROR(__xludf.DUMMYFUNCTION("IF('(INGESTA)Datos_consumo_datadis'!A1538&lt;&gt;"""",SPLIT('(INGESTA)Datos_consumo_datadis'!A:A,"",""),"""")"),"ES0031408323131005HX0F")</f>
        <v>ES0031408323131005HX0F</v>
      </c>
      <c r="B1538" s="12">
        <f>IFERROR(__xludf.DUMMYFUNCTION("""COMPUTED_VALUE"""),44930.0)</f>
        <v>44930</v>
      </c>
      <c r="C1538" s="13">
        <f>IFERROR(__xludf.DUMMYFUNCTION("""COMPUTED_VALUE"""),0.041666666666666664)</f>
        <v>0.04166666667</v>
      </c>
      <c r="D1538" s="8">
        <f>IFERROR(__xludf.DUMMYFUNCTION("""COMPUTED_VALUE"""),0.782)</f>
        <v>0.782</v>
      </c>
      <c r="E1538" s="8" t="str">
        <f>IFERROR(__xludf.DUMMYFUNCTION("""COMPUTED_VALUE"""),"Real")</f>
        <v>Real</v>
      </c>
      <c r="G1538" s="8">
        <f t="shared" si="1"/>
        <v>1</v>
      </c>
      <c r="H1538" s="14">
        <f t="shared" si="2"/>
        <v>4</v>
      </c>
      <c r="I1538" s="15">
        <f t="shared" si="3"/>
        <v>1</v>
      </c>
    </row>
    <row r="1539">
      <c r="A1539" s="8" t="str">
        <f>IFERROR(__xludf.DUMMYFUNCTION("IF('(INGESTA)Datos_consumo_datadis'!A1539&lt;&gt;"""",SPLIT('(INGESTA)Datos_consumo_datadis'!A:A,"",""),"""")"),"ES0031408323131005HX0F")</f>
        <v>ES0031408323131005HX0F</v>
      </c>
      <c r="B1539" s="12">
        <f>IFERROR(__xludf.DUMMYFUNCTION("""COMPUTED_VALUE"""),44930.0)</f>
        <v>44930</v>
      </c>
      <c r="C1539" s="13">
        <f>IFERROR(__xludf.DUMMYFUNCTION("""COMPUTED_VALUE"""),0.08333333333333333)</f>
        <v>0.08333333333</v>
      </c>
      <c r="D1539" s="8">
        <f>IFERROR(__xludf.DUMMYFUNCTION("""COMPUTED_VALUE"""),0.755)</f>
        <v>0.755</v>
      </c>
      <c r="E1539" s="8" t="str">
        <f>IFERROR(__xludf.DUMMYFUNCTION("""COMPUTED_VALUE"""),"Real")</f>
        <v>Real</v>
      </c>
      <c r="G1539" s="8">
        <f t="shared" si="1"/>
        <v>1</v>
      </c>
      <c r="H1539" s="14">
        <f t="shared" si="2"/>
        <v>4</v>
      </c>
      <c r="I1539" s="15">
        <f t="shared" si="3"/>
        <v>2</v>
      </c>
    </row>
    <row r="1540">
      <c r="A1540" s="8" t="str">
        <f>IFERROR(__xludf.DUMMYFUNCTION("IF('(INGESTA)Datos_consumo_datadis'!A1540&lt;&gt;"""",SPLIT('(INGESTA)Datos_consumo_datadis'!A:A,"",""),"""")"),"ES0031408323131005HX0F")</f>
        <v>ES0031408323131005HX0F</v>
      </c>
      <c r="B1540" s="12">
        <f>IFERROR(__xludf.DUMMYFUNCTION("""COMPUTED_VALUE"""),44930.0)</f>
        <v>44930</v>
      </c>
      <c r="C1540" s="13">
        <f>IFERROR(__xludf.DUMMYFUNCTION("""COMPUTED_VALUE"""),0.125)</f>
        <v>0.125</v>
      </c>
      <c r="D1540" s="8">
        <f>IFERROR(__xludf.DUMMYFUNCTION("""COMPUTED_VALUE"""),0.786)</f>
        <v>0.786</v>
      </c>
      <c r="E1540" s="8" t="str">
        <f>IFERROR(__xludf.DUMMYFUNCTION("""COMPUTED_VALUE"""),"Real")</f>
        <v>Real</v>
      </c>
      <c r="G1540" s="8">
        <f t="shared" si="1"/>
        <v>1</v>
      </c>
      <c r="H1540" s="14">
        <f t="shared" si="2"/>
        <v>4</v>
      </c>
      <c r="I1540" s="15">
        <f t="shared" si="3"/>
        <v>3</v>
      </c>
    </row>
    <row r="1541">
      <c r="A1541" s="8" t="str">
        <f>IFERROR(__xludf.DUMMYFUNCTION("IF('(INGESTA)Datos_consumo_datadis'!A1541&lt;&gt;"""",SPLIT('(INGESTA)Datos_consumo_datadis'!A:A,"",""),"""")"),"ES0031408323131005HX0F")</f>
        <v>ES0031408323131005HX0F</v>
      </c>
      <c r="B1541" s="12">
        <f>IFERROR(__xludf.DUMMYFUNCTION("""COMPUTED_VALUE"""),44930.0)</f>
        <v>44930</v>
      </c>
      <c r="C1541" s="13">
        <f>IFERROR(__xludf.DUMMYFUNCTION("""COMPUTED_VALUE"""),0.16666666666666666)</f>
        <v>0.1666666667</v>
      </c>
      <c r="D1541" s="8">
        <f>IFERROR(__xludf.DUMMYFUNCTION("""COMPUTED_VALUE"""),1.071)</f>
        <v>1.071</v>
      </c>
      <c r="E1541" s="8" t="str">
        <f>IFERROR(__xludf.DUMMYFUNCTION("""COMPUTED_VALUE"""),"Real")</f>
        <v>Real</v>
      </c>
      <c r="G1541" s="8">
        <f t="shared" si="1"/>
        <v>1</v>
      </c>
      <c r="H1541" s="14">
        <f t="shared" si="2"/>
        <v>4</v>
      </c>
      <c r="I1541" s="15">
        <f t="shared" si="3"/>
        <v>4</v>
      </c>
    </row>
    <row r="1542">
      <c r="A1542" s="8" t="str">
        <f>IFERROR(__xludf.DUMMYFUNCTION("IF('(INGESTA)Datos_consumo_datadis'!A1542&lt;&gt;"""",SPLIT('(INGESTA)Datos_consumo_datadis'!A:A,"",""),"""")"),"ES0031408323131005HX0F")</f>
        <v>ES0031408323131005HX0F</v>
      </c>
      <c r="B1542" s="12">
        <f>IFERROR(__xludf.DUMMYFUNCTION("""COMPUTED_VALUE"""),44930.0)</f>
        <v>44930</v>
      </c>
      <c r="C1542" s="13">
        <f>IFERROR(__xludf.DUMMYFUNCTION("""COMPUTED_VALUE"""),0.20833333333333334)</f>
        <v>0.2083333333</v>
      </c>
      <c r="D1542" s="8">
        <f>IFERROR(__xludf.DUMMYFUNCTION("""COMPUTED_VALUE"""),0.759)</f>
        <v>0.759</v>
      </c>
      <c r="E1542" s="8" t="str">
        <f>IFERROR(__xludf.DUMMYFUNCTION("""COMPUTED_VALUE"""),"Real")</f>
        <v>Real</v>
      </c>
      <c r="G1542" s="8">
        <f t="shared" si="1"/>
        <v>1</v>
      </c>
      <c r="H1542" s="14">
        <f t="shared" si="2"/>
        <v>4</v>
      </c>
      <c r="I1542" s="15">
        <f t="shared" si="3"/>
        <v>5</v>
      </c>
    </row>
    <row r="1543">
      <c r="A1543" s="8" t="str">
        <f>IFERROR(__xludf.DUMMYFUNCTION("IF('(INGESTA)Datos_consumo_datadis'!A1543&lt;&gt;"""",SPLIT('(INGESTA)Datos_consumo_datadis'!A:A,"",""),"""")"),"ES0031408323131005HX0F")</f>
        <v>ES0031408323131005HX0F</v>
      </c>
      <c r="B1543" s="12">
        <f>IFERROR(__xludf.DUMMYFUNCTION("""COMPUTED_VALUE"""),44930.0)</f>
        <v>44930</v>
      </c>
      <c r="C1543" s="13">
        <f>IFERROR(__xludf.DUMMYFUNCTION("""COMPUTED_VALUE"""),0.25)</f>
        <v>0.25</v>
      </c>
      <c r="D1543" s="8">
        <f>IFERROR(__xludf.DUMMYFUNCTION("""COMPUTED_VALUE"""),0.754)</f>
        <v>0.754</v>
      </c>
      <c r="E1543" s="8" t="str">
        <f>IFERROR(__xludf.DUMMYFUNCTION("""COMPUTED_VALUE"""),"Real")</f>
        <v>Real</v>
      </c>
      <c r="G1543" s="8">
        <f t="shared" si="1"/>
        <v>1</v>
      </c>
      <c r="H1543" s="14">
        <f t="shared" si="2"/>
        <v>4</v>
      </c>
      <c r="I1543" s="15">
        <f t="shared" si="3"/>
        <v>6</v>
      </c>
    </row>
    <row r="1544">
      <c r="A1544" s="8" t="str">
        <f>IFERROR(__xludf.DUMMYFUNCTION("IF('(INGESTA)Datos_consumo_datadis'!A1544&lt;&gt;"""",SPLIT('(INGESTA)Datos_consumo_datadis'!A:A,"",""),"""")"),"ES0031408323131005HX0F")</f>
        <v>ES0031408323131005HX0F</v>
      </c>
      <c r="B1544" s="12">
        <f>IFERROR(__xludf.DUMMYFUNCTION("""COMPUTED_VALUE"""),44930.0)</f>
        <v>44930</v>
      </c>
      <c r="C1544" s="13">
        <f>IFERROR(__xludf.DUMMYFUNCTION("""COMPUTED_VALUE"""),0.2916666666666667)</f>
        <v>0.2916666667</v>
      </c>
      <c r="D1544" s="8">
        <f>IFERROR(__xludf.DUMMYFUNCTION("""COMPUTED_VALUE"""),0.793)</f>
        <v>0.793</v>
      </c>
      <c r="E1544" s="8" t="str">
        <f>IFERROR(__xludf.DUMMYFUNCTION("""COMPUTED_VALUE"""),"Real")</f>
        <v>Real</v>
      </c>
      <c r="G1544" s="8">
        <f t="shared" si="1"/>
        <v>1</v>
      </c>
      <c r="H1544" s="14">
        <f t="shared" si="2"/>
        <v>4</v>
      </c>
      <c r="I1544" s="15">
        <f t="shared" si="3"/>
        <v>7</v>
      </c>
    </row>
    <row r="1545">
      <c r="A1545" s="8" t="str">
        <f>IFERROR(__xludf.DUMMYFUNCTION("IF('(INGESTA)Datos_consumo_datadis'!A1545&lt;&gt;"""",SPLIT('(INGESTA)Datos_consumo_datadis'!A:A,"",""),"""")"),"ES0031408323131005HX0F")</f>
        <v>ES0031408323131005HX0F</v>
      </c>
      <c r="B1545" s="12">
        <f>IFERROR(__xludf.DUMMYFUNCTION("""COMPUTED_VALUE"""),44930.0)</f>
        <v>44930</v>
      </c>
      <c r="C1545" s="13">
        <f>IFERROR(__xludf.DUMMYFUNCTION("""COMPUTED_VALUE"""),0.3333333333333333)</f>
        <v>0.3333333333</v>
      </c>
      <c r="D1545" s="8">
        <f>IFERROR(__xludf.DUMMYFUNCTION("""COMPUTED_VALUE"""),0.765)</f>
        <v>0.765</v>
      </c>
      <c r="E1545" s="8" t="str">
        <f>IFERROR(__xludf.DUMMYFUNCTION("""COMPUTED_VALUE"""),"Real")</f>
        <v>Real</v>
      </c>
      <c r="G1545" s="8">
        <f t="shared" si="1"/>
        <v>1</v>
      </c>
      <c r="H1545" s="14">
        <f t="shared" si="2"/>
        <v>4</v>
      </c>
      <c r="I1545" s="15">
        <f t="shared" si="3"/>
        <v>8</v>
      </c>
    </row>
    <row r="1546">
      <c r="A1546" s="8" t="str">
        <f>IFERROR(__xludf.DUMMYFUNCTION("IF('(INGESTA)Datos_consumo_datadis'!A1546&lt;&gt;"""",SPLIT('(INGESTA)Datos_consumo_datadis'!A:A,"",""),"""")"),"ES0031408323131005HX0F")</f>
        <v>ES0031408323131005HX0F</v>
      </c>
      <c r="B1546" s="12">
        <f>IFERROR(__xludf.DUMMYFUNCTION("""COMPUTED_VALUE"""),44930.0)</f>
        <v>44930</v>
      </c>
      <c r="C1546" s="13">
        <f>IFERROR(__xludf.DUMMYFUNCTION("""COMPUTED_VALUE"""),0.375)</f>
        <v>0.375</v>
      </c>
      <c r="D1546" s="8">
        <f>IFERROR(__xludf.DUMMYFUNCTION("""COMPUTED_VALUE"""),0.784)</f>
        <v>0.784</v>
      </c>
      <c r="E1546" s="8" t="str">
        <f>IFERROR(__xludf.DUMMYFUNCTION("""COMPUTED_VALUE"""),"Real")</f>
        <v>Real</v>
      </c>
      <c r="G1546" s="8">
        <f t="shared" si="1"/>
        <v>1</v>
      </c>
      <c r="H1546" s="14">
        <f t="shared" si="2"/>
        <v>4</v>
      </c>
      <c r="I1546" s="15">
        <f t="shared" si="3"/>
        <v>9</v>
      </c>
    </row>
    <row r="1547">
      <c r="A1547" s="8" t="str">
        <f>IFERROR(__xludf.DUMMYFUNCTION("IF('(INGESTA)Datos_consumo_datadis'!A1547&lt;&gt;"""",SPLIT('(INGESTA)Datos_consumo_datadis'!A:A,"",""),"""")"),"ES0031408323131005HX0F")</f>
        <v>ES0031408323131005HX0F</v>
      </c>
      <c r="B1547" s="12">
        <f>IFERROR(__xludf.DUMMYFUNCTION("""COMPUTED_VALUE"""),44930.0)</f>
        <v>44930</v>
      </c>
      <c r="C1547" s="13">
        <f>IFERROR(__xludf.DUMMYFUNCTION("""COMPUTED_VALUE"""),0.4166666666666667)</f>
        <v>0.4166666667</v>
      </c>
      <c r="D1547" s="8">
        <f>IFERROR(__xludf.DUMMYFUNCTION("""COMPUTED_VALUE"""),0.475)</f>
        <v>0.475</v>
      </c>
      <c r="E1547" s="8" t="str">
        <f>IFERROR(__xludf.DUMMYFUNCTION("""COMPUTED_VALUE"""),"Real")</f>
        <v>Real</v>
      </c>
      <c r="G1547" s="8">
        <f t="shared" si="1"/>
        <v>1</v>
      </c>
      <c r="H1547" s="14">
        <f t="shared" si="2"/>
        <v>4</v>
      </c>
      <c r="I1547" s="15">
        <f t="shared" si="3"/>
        <v>10</v>
      </c>
    </row>
    <row r="1548">
      <c r="A1548" s="8" t="str">
        <f>IFERROR(__xludf.DUMMYFUNCTION("IF('(INGESTA)Datos_consumo_datadis'!A1548&lt;&gt;"""",SPLIT('(INGESTA)Datos_consumo_datadis'!A:A,"",""),"""")"),"ES0031408323131005HX0F")</f>
        <v>ES0031408323131005HX0F</v>
      </c>
      <c r="B1548" s="12">
        <f>IFERROR(__xludf.DUMMYFUNCTION("""COMPUTED_VALUE"""),44930.0)</f>
        <v>44930</v>
      </c>
      <c r="C1548" s="13">
        <f>IFERROR(__xludf.DUMMYFUNCTION("""COMPUTED_VALUE"""),0.4583333333333333)</f>
        <v>0.4583333333</v>
      </c>
      <c r="D1548" s="8">
        <f>IFERROR(__xludf.DUMMYFUNCTION("""COMPUTED_VALUE"""),0.815)</f>
        <v>0.815</v>
      </c>
      <c r="E1548" s="8" t="str">
        <f>IFERROR(__xludf.DUMMYFUNCTION("""COMPUTED_VALUE"""),"Real")</f>
        <v>Real</v>
      </c>
      <c r="G1548" s="8">
        <f t="shared" si="1"/>
        <v>1</v>
      </c>
      <c r="H1548" s="14">
        <f t="shared" si="2"/>
        <v>4</v>
      </c>
      <c r="I1548" s="15">
        <f t="shared" si="3"/>
        <v>11</v>
      </c>
    </row>
    <row r="1549">
      <c r="A1549" s="8" t="str">
        <f>IFERROR(__xludf.DUMMYFUNCTION("IF('(INGESTA)Datos_consumo_datadis'!A1549&lt;&gt;"""",SPLIT('(INGESTA)Datos_consumo_datadis'!A:A,"",""),"""")"),"ES0031408323131005HX0F")</f>
        <v>ES0031408323131005HX0F</v>
      </c>
      <c r="B1549" s="12">
        <f>IFERROR(__xludf.DUMMYFUNCTION("""COMPUTED_VALUE"""),44930.0)</f>
        <v>44930</v>
      </c>
      <c r="C1549" s="13">
        <f>IFERROR(__xludf.DUMMYFUNCTION("""COMPUTED_VALUE"""),0.5)</f>
        <v>0.5</v>
      </c>
      <c r="D1549" s="8">
        <f>IFERROR(__xludf.DUMMYFUNCTION("""COMPUTED_VALUE"""),0.062)</f>
        <v>0.062</v>
      </c>
      <c r="E1549" s="8" t="str">
        <f>IFERROR(__xludf.DUMMYFUNCTION("""COMPUTED_VALUE"""),"Real")</f>
        <v>Real</v>
      </c>
      <c r="G1549" s="8">
        <f t="shared" si="1"/>
        <v>1</v>
      </c>
      <c r="H1549" s="14">
        <f t="shared" si="2"/>
        <v>4</v>
      </c>
      <c r="I1549" s="15">
        <f t="shared" si="3"/>
        <v>12</v>
      </c>
    </row>
    <row r="1550">
      <c r="A1550" s="8" t="str">
        <f>IFERROR(__xludf.DUMMYFUNCTION("IF('(INGESTA)Datos_consumo_datadis'!A1550&lt;&gt;"""",SPLIT('(INGESTA)Datos_consumo_datadis'!A:A,"",""),"""")"),"ES0031408323131005HX0F")</f>
        <v>ES0031408323131005HX0F</v>
      </c>
      <c r="B1550" s="12">
        <f>IFERROR(__xludf.DUMMYFUNCTION("""COMPUTED_VALUE"""),44930.0)</f>
        <v>44930</v>
      </c>
      <c r="C1550" s="13">
        <f>IFERROR(__xludf.DUMMYFUNCTION("""COMPUTED_VALUE"""),0.5416666666666666)</f>
        <v>0.5416666667</v>
      </c>
      <c r="D1550" s="8">
        <f>IFERROR(__xludf.DUMMYFUNCTION("""COMPUTED_VALUE"""),0.026)</f>
        <v>0.026</v>
      </c>
      <c r="E1550" s="8" t="str">
        <f>IFERROR(__xludf.DUMMYFUNCTION("""COMPUTED_VALUE"""),"Real")</f>
        <v>Real</v>
      </c>
      <c r="G1550" s="8">
        <f t="shared" si="1"/>
        <v>1</v>
      </c>
      <c r="H1550" s="14">
        <f t="shared" si="2"/>
        <v>4</v>
      </c>
      <c r="I1550" s="15">
        <f t="shared" si="3"/>
        <v>13</v>
      </c>
    </row>
    <row r="1551">
      <c r="A1551" s="8" t="str">
        <f>IFERROR(__xludf.DUMMYFUNCTION("IF('(INGESTA)Datos_consumo_datadis'!A1551&lt;&gt;"""",SPLIT('(INGESTA)Datos_consumo_datadis'!A:A,"",""),"""")"),"ES0031408323131005HX0F")</f>
        <v>ES0031408323131005HX0F</v>
      </c>
      <c r="B1551" s="12">
        <f>IFERROR(__xludf.DUMMYFUNCTION("""COMPUTED_VALUE"""),44930.0)</f>
        <v>44930</v>
      </c>
      <c r="C1551" s="13">
        <f>IFERROR(__xludf.DUMMYFUNCTION("""COMPUTED_VALUE"""),0.5833333333333334)</f>
        <v>0.5833333333</v>
      </c>
      <c r="D1551" s="8">
        <f>IFERROR(__xludf.DUMMYFUNCTION("""COMPUTED_VALUE"""),0.378)</f>
        <v>0.378</v>
      </c>
      <c r="E1551" s="8" t="str">
        <f>IFERROR(__xludf.DUMMYFUNCTION("""COMPUTED_VALUE"""),"Real")</f>
        <v>Real</v>
      </c>
      <c r="G1551" s="8">
        <f t="shared" si="1"/>
        <v>1</v>
      </c>
      <c r="H1551" s="14">
        <f t="shared" si="2"/>
        <v>4</v>
      </c>
      <c r="I1551" s="15">
        <f t="shared" si="3"/>
        <v>14</v>
      </c>
    </row>
    <row r="1552">
      <c r="A1552" s="8" t="str">
        <f>IFERROR(__xludf.DUMMYFUNCTION("IF('(INGESTA)Datos_consumo_datadis'!A1552&lt;&gt;"""",SPLIT('(INGESTA)Datos_consumo_datadis'!A:A,"",""),"""")"),"ES0031408323131005HX0F")</f>
        <v>ES0031408323131005HX0F</v>
      </c>
      <c r="B1552" s="12">
        <f>IFERROR(__xludf.DUMMYFUNCTION("""COMPUTED_VALUE"""),44930.0)</f>
        <v>44930</v>
      </c>
      <c r="C1552" s="13">
        <f>IFERROR(__xludf.DUMMYFUNCTION("""COMPUTED_VALUE"""),0.625)</f>
        <v>0.625</v>
      </c>
      <c r="D1552" s="8">
        <f>IFERROR(__xludf.DUMMYFUNCTION("""COMPUTED_VALUE"""),0.058)</f>
        <v>0.058</v>
      </c>
      <c r="E1552" s="8" t="str">
        <f>IFERROR(__xludf.DUMMYFUNCTION("""COMPUTED_VALUE"""),"Real")</f>
        <v>Real</v>
      </c>
      <c r="G1552" s="8">
        <f t="shared" si="1"/>
        <v>1</v>
      </c>
      <c r="H1552" s="14">
        <f t="shared" si="2"/>
        <v>4</v>
      </c>
      <c r="I1552" s="15">
        <f t="shared" si="3"/>
        <v>15</v>
      </c>
    </row>
    <row r="1553">
      <c r="A1553" s="8" t="str">
        <f>IFERROR(__xludf.DUMMYFUNCTION("IF('(INGESTA)Datos_consumo_datadis'!A1553&lt;&gt;"""",SPLIT('(INGESTA)Datos_consumo_datadis'!A:A,"",""),"""")"),"ES0031408323131005HX0F")</f>
        <v>ES0031408323131005HX0F</v>
      </c>
      <c r="B1553" s="12">
        <f>IFERROR(__xludf.DUMMYFUNCTION("""COMPUTED_VALUE"""),44930.0)</f>
        <v>44930</v>
      </c>
      <c r="C1553" s="13">
        <f>IFERROR(__xludf.DUMMYFUNCTION("""COMPUTED_VALUE"""),0.6666666666666666)</f>
        <v>0.6666666667</v>
      </c>
      <c r="D1553" s="8">
        <f>IFERROR(__xludf.DUMMYFUNCTION("""COMPUTED_VALUE"""),0.015)</f>
        <v>0.015</v>
      </c>
      <c r="E1553" s="8" t="str">
        <f>IFERROR(__xludf.DUMMYFUNCTION("""COMPUTED_VALUE"""),"Real")</f>
        <v>Real</v>
      </c>
      <c r="G1553" s="8">
        <f t="shared" si="1"/>
        <v>1</v>
      </c>
      <c r="H1553" s="14">
        <f t="shared" si="2"/>
        <v>4</v>
      </c>
      <c r="I1553" s="15">
        <f t="shared" si="3"/>
        <v>16</v>
      </c>
    </row>
    <row r="1554">
      <c r="A1554" s="8" t="str">
        <f>IFERROR(__xludf.DUMMYFUNCTION("IF('(INGESTA)Datos_consumo_datadis'!A1554&lt;&gt;"""",SPLIT('(INGESTA)Datos_consumo_datadis'!A:A,"",""),"""")"),"ES0031408323131005HX0F")</f>
        <v>ES0031408323131005HX0F</v>
      </c>
      <c r="B1554" s="12">
        <f>IFERROR(__xludf.DUMMYFUNCTION("""COMPUTED_VALUE"""),44930.0)</f>
        <v>44930</v>
      </c>
      <c r="C1554" s="13">
        <f>IFERROR(__xludf.DUMMYFUNCTION("""COMPUTED_VALUE"""),0.7083333333333334)</f>
        <v>0.7083333333</v>
      </c>
      <c r="D1554" s="8">
        <f>IFERROR(__xludf.DUMMYFUNCTION("""COMPUTED_VALUE"""),0.071)</f>
        <v>0.071</v>
      </c>
      <c r="E1554" s="8" t="str">
        <f>IFERROR(__xludf.DUMMYFUNCTION("""COMPUTED_VALUE"""),"Real")</f>
        <v>Real</v>
      </c>
      <c r="G1554" s="8">
        <f t="shared" si="1"/>
        <v>1</v>
      </c>
      <c r="H1554" s="14">
        <f t="shared" si="2"/>
        <v>4</v>
      </c>
      <c r="I1554" s="15">
        <f t="shared" si="3"/>
        <v>17</v>
      </c>
    </row>
    <row r="1555">
      <c r="A1555" s="8" t="str">
        <f>IFERROR(__xludf.DUMMYFUNCTION("IF('(INGESTA)Datos_consumo_datadis'!A1555&lt;&gt;"""",SPLIT('(INGESTA)Datos_consumo_datadis'!A:A,"",""),"""")"),"ES0031408323131005HX0F")</f>
        <v>ES0031408323131005HX0F</v>
      </c>
      <c r="B1555" s="12">
        <f>IFERROR(__xludf.DUMMYFUNCTION("""COMPUTED_VALUE"""),44930.0)</f>
        <v>44930</v>
      </c>
      <c r="C1555" s="13">
        <f>IFERROR(__xludf.DUMMYFUNCTION("""COMPUTED_VALUE"""),0.75)</f>
        <v>0.75</v>
      </c>
      <c r="D1555" s="8">
        <f>IFERROR(__xludf.DUMMYFUNCTION("""COMPUTED_VALUE"""),0.055)</f>
        <v>0.055</v>
      </c>
      <c r="E1555" s="8" t="str">
        <f>IFERROR(__xludf.DUMMYFUNCTION("""COMPUTED_VALUE"""),"Real")</f>
        <v>Real</v>
      </c>
      <c r="G1555" s="8">
        <f t="shared" si="1"/>
        <v>1</v>
      </c>
      <c r="H1555" s="14">
        <f t="shared" si="2"/>
        <v>4</v>
      </c>
      <c r="I1555" s="15">
        <f t="shared" si="3"/>
        <v>18</v>
      </c>
    </row>
    <row r="1556">
      <c r="A1556" s="8" t="str">
        <f>IFERROR(__xludf.DUMMYFUNCTION("IF('(INGESTA)Datos_consumo_datadis'!A1556&lt;&gt;"""",SPLIT('(INGESTA)Datos_consumo_datadis'!A:A,"",""),"""")"),"ES0031408323131005HX0F")</f>
        <v>ES0031408323131005HX0F</v>
      </c>
      <c r="B1556" s="12">
        <f>IFERROR(__xludf.DUMMYFUNCTION("""COMPUTED_VALUE"""),44930.0)</f>
        <v>44930</v>
      </c>
      <c r="C1556" s="13">
        <f>IFERROR(__xludf.DUMMYFUNCTION("""COMPUTED_VALUE"""),0.7916666666666666)</f>
        <v>0.7916666667</v>
      </c>
      <c r="D1556" s="8">
        <f>IFERROR(__xludf.DUMMYFUNCTION("""COMPUTED_VALUE"""),0.015)</f>
        <v>0.015</v>
      </c>
      <c r="E1556" s="8" t="str">
        <f>IFERROR(__xludf.DUMMYFUNCTION("""COMPUTED_VALUE"""),"Real")</f>
        <v>Real</v>
      </c>
      <c r="G1556" s="8">
        <f t="shared" si="1"/>
        <v>1</v>
      </c>
      <c r="H1556" s="14">
        <f t="shared" si="2"/>
        <v>4</v>
      </c>
      <c r="I1556" s="15">
        <f t="shared" si="3"/>
        <v>19</v>
      </c>
    </row>
    <row r="1557">
      <c r="A1557" s="8" t="str">
        <f>IFERROR(__xludf.DUMMYFUNCTION("IF('(INGESTA)Datos_consumo_datadis'!A1557&lt;&gt;"""",SPLIT('(INGESTA)Datos_consumo_datadis'!A:A,"",""),"""")"),"ES0031408323131005HX0F")</f>
        <v>ES0031408323131005HX0F</v>
      </c>
      <c r="B1557" s="12">
        <f>IFERROR(__xludf.DUMMYFUNCTION("""COMPUTED_VALUE"""),44930.0)</f>
        <v>44930</v>
      </c>
      <c r="C1557" s="13">
        <f>IFERROR(__xludf.DUMMYFUNCTION("""COMPUTED_VALUE"""),0.8333333333333334)</f>
        <v>0.8333333333</v>
      </c>
      <c r="D1557" s="8">
        <f>IFERROR(__xludf.DUMMYFUNCTION("""COMPUTED_VALUE"""),0.358)</f>
        <v>0.358</v>
      </c>
      <c r="E1557" s="8" t="str">
        <f>IFERROR(__xludf.DUMMYFUNCTION("""COMPUTED_VALUE"""),"Real")</f>
        <v>Real</v>
      </c>
      <c r="G1557" s="8">
        <f t="shared" si="1"/>
        <v>1</v>
      </c>
      <c r="H1557" s="14">
        <f t="shared" si="2"/>
        <v>4</v>
      </c>
      <c r="I1557" s="15">
        <f t="shared" si="3"/>
        <v>20</v>
      </c>
    </row>
    <row r="1558">
      <c r="A1558" s="8" t="str">
        <f>IFERROR(__xludf.DUMMYFUNCTION("IF('(INGESTA)Datos_consumo_datadis'!A1558&lt;&gt;"""",SPLIT('(INGESTA)Datos_consumo_datadis'!A:A,"",""),"""")"),"ES0031408323131005HX0F")</f>
        <v>ES0031408323131005HX0F</v>
      </c>
      <c r="B1558" s="12">
        <f>IFERROR(__xludf.DUMMYFUNCTION("""COMPUTED_VALUE"""),44930.0)</f>
        <v>44930</v>
      </c>
      <c r="C1558" s="13">
        <f>IFERROR(__xludf.DUMMYFUNCTION("""COMPUTED_VALUE"""),0.875)</f>
        <v>0.875</v>
      </c>
      <c r="D1558" s="8">
        <f>IFERROR(__xludf.DUMMYFUNCTION("""COMPUTED_VALUE"""),0.058)</f>
        <v>0.058</v>
      </c>
      <c r="E1558" s="8" t="str">
        <f>IFERROR(__xludf.DUMMYFUNCTION("""COMPUTED_VALUE"""),"Real")</f>
        <v>Real</v>
      </c>
      <c r="G1558" s="8">
        <f t="shared" si="1"/>
        <v>1</v>
      </c>
      <c r="H1558" s="14">
        <f t="shared" si="2"/>
        <v>4</v>
      </c>
      <c r="I1558" s="15">
        <f t="shared" si="3"/>
        <v>21</v>
      </c>
    </row>
    <row r="1559">
      <c r="A1559" s="8" t="str">
        <f>IFERROR(__xludf.DUMMYFUNCTION("IF('(INGESTA)Datos_consumo_datadis'!A1559&lt;&gt;"""",SPLIT('(INGESTA)Datos_consumo_datadis'!A:A,"",""),"""")"),"ES0031408323131005HX0F")</f>
        <v>ES0031408323131005HX0F</v>
      </c>
      <c r="B1559" s="12">
        <f>IFERROR(__xludf.DUMMYFUNCTION("""COMPUTED_VALUE"""),44930.0)</f>
        <v>44930</v>
      </c>
      <c r="C1559" s="13">
        <f>IFERROR(__xludf.DUMMYFUNCTION("""COMPUTED_VALUE"""),0.9166666666666666)</f>
        <v>0.9166666667</v>
      </c>
      <c r="D1559" s="8">
        <f>IFERROR(__xludf.DUMMYFUNCTION("""COMPUTED_VALUE"""),0.015)</f>
        <v>0.015</v>
      </c>
      <c r="E1559" s="8" t="str">
        <f>IFERROR(__xludf.DUMMYFUNCTION("""COMPUTED_VALUE"""),"Real")</f>
        <v>Real</v>
      </c>
      <c r="G1559" s="8">
        <f t="shared" si="1"/>
        <v>1</v>
      </c>
      <c r="H1559" s="14">
        <f t="shared" si="2"/>
        <v>4</v>
      </c>
      <c r="I1559" s="15">
        <f t="shared" si="3"/>
        <v>22</v>
      </c>
    </row>
    <row r="1560">
      <c r="A1560" s="8" t="str">
        <f>IFERROR(__xludf.DUMMYFUNCTION("IF('(INGESTA)Datos_consumo_datadis'!A1560&lt;&gt;"""",SPLIT('(INGESTA)Datos_consumo_datadis'!A:A,"",""),"""")"),"ES0031408323131005HX0F")</f>
        <v>ES0031408323131005HX0F</v>
      </c>
      <c r="B1560" s="12">
        <f>IFERROR(__xludf.DUMMYFUNCTION("""COMPUTED_VALUE"""),44930.0)</f>
        <v>44930</v>
      </c>
      <c r="C1560" s="13">
        <f>IFERROR(__xludf.DUMMYFUNCTION("""COMPUTED_VALUE"""),0.9583333333333334)</f>
        <v>0.9583333333</v>
      </c>
      <c r="D1560" s="8">
        <f>IFERROR(__xludf.DUMMYFUNCTION("""COMPUTED_VALUE"""),0.623)</f>
        <v>0.623</v>
      </c>
      <c r="E1560" s="8" t="str">
        <f>IFERROR(__xludf.DUMMYFUNCTION("""COMPUTED_VALUE"""),"Real")</f>
        <v>Real</v>
      </c>
      <c r="G1560" s="8">
        <f t="shared" si="1"/>
        <v>1</v>
      </c>
      <c r="H1560" s="14">
        <f t="shared" si="2"/>
        <v>4</v>
      </c>
      <c r="I1560" s="15">
        <f t="shared" si="3"/>
        <v>23</v>
      </c>
    </row>
    <row r="1561">
      <c r="A1561" s="8" t="str">
        <f>IFERROR(__xludf.DUMMYFUNCTION("IF('(INGESTA)Datos_consumo_datadis'!A1561&lt;&gt;"""",SPLIT('(INGESTA)Datos_consumo_datadis'!A:A,"",""),"""")"),"ES0031408323131005HX0F")</f>
        <v>ES0031408323131005HX0F</v>
      </c>
      <c r="B1561" s="12">
        <f>IFERROR(__xludf.DUMMYFUNCTION("""COMPUTED_VALUE"""),44930.0)</f>
        <v>44930</v>
      </c>
      <c r="C1561" s="16">
        <f>IFERROR(__xludf.DUMMYFUNCTION("""COMPUTED_VALUE"""),1.0)</f>
        <v>1</v>
      </c>
      <c r="D1561" s="8">
        <f>IFERROR(__xludf.DUMMYFUNCTION("""COMPUTED_VALUE"""),1.83)</f>
        <v>1.83</v>
      </c>
      <c r="E1561" s="8" t="str">
        <f>IFERROR(__xludf.DUMMYFUNCTION("""COMPUTED_VALUE"""),"Real")</f>
        <v>Real</v>
      </c>
      <c r="G1561" s="8">
        <f t="shared" si="1"/>
        <v>1</v>
      </c>
      <c r="H1561" s="14">
        <f t="shared" si="2"/>
        <v>4</v>
      </c>
      <c r="I1561" s="15">
        <f t="shared" si="3"/>
        <v>0</v>
      </c>
    </row>
    <row r="1562">
      <c r="A1562" s="8" t="str">
        <f>IFERROR(__xludf.DUMMYFUNCTION("IF('(INGESTA)Datos_consumo_datadis'!A1562&lt;&gt;"""",SPLIT('(INGESTA)Datos_consumo_datadis'!A:A,"",""),"""")"),"ES0031408323131005HX0F")</f>
        <v>ES0031408323131005HX0F</v>
      </c>
      <c r="B1562" s="12">
        <f>IFERROR(__xludf.DUMMYFUNCTION("""COMPUTED_VALUE"""),44931.0)</f>
        <v>44931</v>
      </c>
      <c r="C1562" s="13">
        <f>IFERROR(__xludf.DUMMYFUNCTION("""COMPUTED_VALUE"""),0.041666666666666664)</f>
        <v>0.04166666667</v>
      </c>
      <c r="D1562" s="8">
        <f>IFERROR(__xludf.DUMMYFUNCTION("""COMPUTED_VALUE"""),1.271)</f>
        <v>1.271</v>
      </c>
      <c r="E1562" s="8" t="str">
        <f>IFERROR(__xludf.DUMMYFUNCTION("""COMPUTED_VALUE"""),"Real")</f>
        <v>Real</v>
      </c>
      <c r="G1562" s="8">
        <f t="shared" si="1"/>
        <v>1</v>
      </c>
      <c r="H1562" s="14">
        <f t="shared" si="2"/>
        <v>5</v>
      </c>
      <c r="I1562" s="15">
        <f t="shared" si="3"/>
        <v>1</v>
      </c>
    </row>
    <row r="1563">
      <c r="A1563" s="8" t="str">
        <f>IFERROR(__xludf.DUMMYFUNCTION("IF('(INGESTA)Datos_consumo_datadis'!A1563&lt;&gt;"""",SPLIT('(INGESTA)Datos_consumo_datadis'!A:A,"",""),"""")"),"ES0031408323131005HX0F")</f>
        <v>ES0031408323131005HX0F</v>
      </c>
      <c r="B1563" s="12">
        <f>IFERROR(__xludf.DUMMYFUNCTION("""COMPUTED_VALUE"""),44931.0)</f>
        <v>44931</v>
      </c>
      <c r="C1563" s="13">
        <f>IFERROR(__xludf.DUMMYFUNCTION("""COMPUTED_VALUE"""),0.08333333333333333)</f>
        <v>0.08333333333</v>
      </c>
      <c r="D1563" s="8">
        <f>IFERROR(__xludf.DUMMYFUNCTION("""COMPUTED_VALUE"""),1.384)</f>
        <v>1.384</v>
      </c>
      <c r="E1563" s="8" t="str">
        <f>IFERROR(__xludf.DUMMYFUNCTION("""COMPUTED_VALUE"""),"Real")</f>
        <v>Real</v>
      </c>
      <c r="G1563" s="8">
        <f t="shared" si="1"/>
        <v>1</v>
      </c>
      <c r="H1563" s="14">
        <f t="shared" si="2"/>
        <v>5</v>
      </c>
      <c r="I1563" s="15">
        <f t="shared" si="3"/>
        <v>2</v>
      </c>
    </row>
    <row r="1564">
      <c r="A1564" s="8" t="str">
        <f>IFERROR(__xludf.DUMMYFUNCTION("IF('(INGESTA)Datos_consumo_datadis'!A1564&lt;&gt;"""",SPLIT('(INGESTA)Datos_consumo_datadis'!A:A,"",""),"""")"),"ES0031408323131005HX0F")</f>
        <v>ES0031408323131005HX0F</v>
      </c>
      <c r="B1564" s="12">
        <f>IFERROR(__xludf.DUMMYFUNCTION("""COMPUTED_VALUE"""),44931.0)</f>
        <v>44931</v>
      </c>
      <c r="C1564" s="13">
        <f>IFERROR(__xludf.DUMMYFUNCTION("""COMPUTED_VALUE"""),0.125)</f>
        <v>0.125</v>
      </c>
      <c r="D1564" s="8">
        <f>IFERROR(__xludf.DUMMYFUNCTION("""COMPUTED_VALUE"""),1.384)</f>
        <v>1.384</v>
      </c>
      <c r="E1564" s="8" t="str">
        <f>IFERROR(__xludf.DUMMYFUNCTION("""COMPUTED_VALUE"""),"Real")</f>
        <v>Real</v>
      </c>
      <c r="G1564" s="8">
        <f t="shared" si="1"/>
        <v>1</v>
      </c>
      <c r="H1564" s="14">
        <f t="shared" si="2"/>
        <v>5</v>
      </c>
      <c r="I1564" s="15">
        <f t="shared" si="3"/>
        <v>3</v>
      </c>
    </row>
    <row r="1565">
      <c r="A1565" s="8" t="str">
        <f>IFERROR(__xludf.DUMMYFUNCTION("IF('(INGESTA)Datos_consumo_datadis'!A1565&lt;&gt;"""",SPLIT('(INGESTA)Datos_consumo_datadis'!A:A,"",""),"""")"),"ES0031408323131005HX0F")</f>
        <v>ES0031408323131005HX0F</v>
      </c>
      <c r="B1565" s="12">
        <f>IFERROR(__xludf.DUMMYFUNCTION("""COMPUTED_VALUE"""),44931.0)</f>
        <v>44931</v>
      </c>
      <c r="C1565" s="13">
        <f>IFERROR(__xludf.DUMMYFUNCTION("""COMPUTED_VALUE"""),0.16666666666666666)</f>
        <v>0.1666666667</v>
      </c>
      <c r="D1565" s="8">
        <f>IFERROR(__xludf.DUMMYFUNCTION("""COMPUTED_VALUE"""),1.223)</f>
        <v>1.223</v>
      </c>
      <c r="E1565" s="8" t="str">
        <f>IFERROR(__xludf.DUMMYFUNCTION("""COMPUTED_VALUE"""),"Real")</f>
        <v>Real</v>
      </c>
      <c r="G1565" s="8">
        <f t="shared" si="1"/>
        <v>1</v>
      </c>
      <c r="H1565" s="14">
        <f t="shared" si="2"/>
        <v>5</v>
      </c>
      <c r="I1565" s="15">
        <f t="shared" si="3"/>
        <v>4</v>
      </c>
    </row>
    <row r="1566">
      <c r="A1566" s="8" t="str">
        <f>IFERROR(__xludf.DUMMYFUNCTION("IF('(INGESTA)Datos_consumo_datadis'!A1566&lt;&gt;"""",SPLIT('(INGESTA)Datos_consumo_datadis'!A:A,"",""),"""")"),"ES0031408323131005HX0F")</f>
        <v>ES0031408323131005HX0F</v>
      </c>
      <c r="B1566" s="12">
        <f>IFERROR(__xludf.DUMMYFUNCTION("""COMPUTED_VALUE"""),44931.0)</f>
        <v>44931</v>
      </c>
      <c r="C1566" s="13">
        <f>IFERROR(__xludf.DUMMYFUNCTION("""COMPUTED_VALUE"""),0.20833333333333334)</f>
        <v>0.2083333333</v>
      </c>
      <c r="D1566" s="8">
        <f>IFERROR(__xludf.DUMMYFUNCTION("""COMPUTED_VALUE"""),1.197)</f>
        <v>1.197</v>
      </c>
      <c r="E1566" s="8" t="str">
        <f>IFERROR(__xludf.DUMMYFUNCTION("""COMPUTED_VALUE"""),"Real")</f>
        <v>Real</v>
      </c>
      <c r="G1566" s="8">
        <f t="shared" si="1"/>
        <v>1</v>
      </c>
      <c r="H1566" s="14">
        <f t="shared" si="2"/>
        <v>5</v>
      </c>
      <c r="I1566" s="15">
        <f t="shared" si="3"/>
        <v>5</v>
      </c>
    </row>
    <row r="1567">
      <c r="A1567" s="8" t="str">
        <f>IFERROR(__xludf.DUMMYFUNCTION("IF('(INGESTA)Datos_consumo_datadis'!A1567&lt;&gt;"""",SPLIT('(INGESTA)Datos_consumo_datadis'!A:A,"",""),"""")"),"ES0031408323131005HX0F")</f>
        <v>ES0031408323131005HX0F</v>
      </c>
      <c r="B1567" s="12">
        <f>IFERROR(__xludf.DUMMYFUNCTION("""COMPUTED_VALUE"""),44931.0)</f>
        <v>44931</v>
      </c>
      <c r="C1567" s="13">
        <f>IFERROR(__xludf.DUMMYFUNCTION("""COMPUTED_VALUE"""),0.25)</f>
        <v>0.25</v>
      </c>
      <c r="D1567" s="8">
        <f>IFERROR(__xludf.DUMMYFUNCTION("""COMPUTED_VALUE"""),1.267)</f>
        <v>1.267</v>
      </c>
      <c r="E1567" s="8" t="str">
        <f>IFERROR(__xludf.DUMMYFUNCTION("""COMPUTED_VALUE"""),"Real")</f>
        <v>Real</v>
      </c>
      <c r="G1567" s="8">
        <f t="shared" si="1"/>
        <v>1</v>
      </c>
      <c r="H1567" s="14">
        <f t="shared" si="2"/>
        <v>5</v>
      </c>
      <c r="I1567" s="15">
        <f t="shared" si="3"/>
        <v>6</v>
      </c>
    </row>
    <row r="1568">
      <c r="A1568" s="8" t="str">
        <f>IFERROR(__xludf.DUMMYFUNCTION("IF('(INGESTA)Datos_consumo_datadis'!A1568&lt;&gt;"""",SPLIT('(INGESTA)Datos_consumo_datadis'!A:A,"",""),"""")"),"ES0031408323131005HX0F")</f>
        <v>ES0031408323131005HX0F</v>
      </c>
      <c r="B1568" s="12">
        <f>IFERROR(__xludf.DUMMYFUNCTION("""COMPUTED_VALUE"""),44931.0)</f>
        <v>44931</v>
      </c>
      <c r="C1568" s="13">
        <f>IFERROR(__xludf.DUMMYFUNCTION("""COMPUTED_VALUE"""),0.2916666666666667)</f>
        <v>0.2916666667</v>
      </c>
      <c r="D1568" s="8">
        <f>IFERROR(__xludf.DUMMYFUNCTION("""COMPUTED_VALUE"""),1.204)</f>
        <v>1.204</v>
      </c>
      <c r="E1568" s="8" t="str">
        <f>IFERROR(__xludf.DUMMYFUNCTION("""COMPUTED_VALUE"""),"Real")</f>
        <v>Real</v>
      </c>
      <c r="G1568" s="8">
        <f t="shared" si="1"/>
        <v>1</v>
      </c>
      <c r="H1568" s="14">
        <f t="shared" si="2"/>
        <v>5</v>
      </c>
      <c r="I1568" s="15">
        <f t="shared" si="3"/>
        <v>7</v>
      </c>
    </row>
    <row r="1569">
      <c r="A1569" s="8" t="str">
        <f>IFERROR(__xludf.DUMMYFUNCTION("IF('(INGESTA)Datos_consumo_datadis'!A1569&lt;&gt;"""",SPLIT('(INGESTA)Datos_consumo_datadis'!A:A,"",""),"""")"),"ES0031408323131005HX0F")</f>
        <v>ES0031408323131005HX0F</v>
      </c>
      <c r="B1569" s="12">
        <f>IFERROR(__xludf.DUMMYFUNCTION("""COMPUTED_VALUE"""),44931.0)</f>
        <v>44931</v>
      </c>
      <c r="C1569" s="13">
        <f>IFERROR(__xludf.DUMMYFUNCTION("""COMPUTED_VALUE"""),0.3333333333333333)</f>
        <v>0.3333333333</v>
      </c>
      <c r="D1569" s="8">
        <f>IFERROR(__xludf.DUMMYFUNCTION("""COMPUTED_VALUE"""),0.469)</f>
        <v>0.469</v>
      </c>
      <c r="E1569" s="8" t="str">
        <f>IFERROR(__xludf.DUMMYFUNCTION("""COMPUTED_VALUE"""),"Real")</f>
        <v>Real</v>
      </c>
      <c r="G1569" s="8">
        <f t="shared" si="1"/>
        <v>1</v>
      </c>
      <c r="H1569" s="14">
        <f t="shared" si="2"/>
        <v>5</v>
      </c>
      <c r="I1569" s="15">
        <f t="shared" si="3"/>
        <v>8</v>
      </c>
    </row>
    <row r="1570">
      <c r="A1570" s="8" t="str">
        <f>IFERROR(__xludf.DUMMYFUNCTION("IF('(INGESTA)Datos_consumo_datadis'!A1570&lt;&gt;"""",SPLIT('(INGESTA)Datos_consumo_datadis'!A:A,"",""),"""")"),"ES0031408323131005HX0F")</f>
        <v>ES0031408323131005HX0F</v>
      </c>
      <c r="B1570" s="12">
        <f>IFERROR(__xludf.DUMMYFUNCTION("""COMPUTED_VALUE"""),44931.0)</f>
        <v>44931</v>
      </c>
      <c r="C1570" s="13">
        <f>IFERROR(__xludf.DUMMYFUNCTION("""COMPUTED_VALUE"""),0.375)</f>
        <v>0.375</v>
      </c>
      <c r="D1570" s="8">
        <f>IFERROR(__xludf.DUMMYFUNCTION("""COMPUTED_VALUE"""),0.894)</f>
        <v>0.894</v>
      </c>
      <c r="E1570" s="8" t="str">
        <f>IFERROR(__xludf.DUMMYFUNCTION("""COMPUTED_VALUE"""),"Real")</f>
        <v>Real</v>
      </c>
      <c r="G1570" s="8">
        <f t="shared" si="1"/>
        <v>1</v>
      </c>
      <c r="H1570" s="14">
        <f t="shared" si="2"/>
        <v>5</v>
      </c>
      <c r="I1570" s="15">
        <f t="shared" si="3"/>
        <v>9</v>
      </c>
    </row>
    <row r="1571">
      <c r="A1571" s="8" t="str">
        <f>IFERROR(__xludf.DUMMYFUNCTION("IF('(INGESTA)Datos_consumo_datadis'!A1571&lt;&gt;"""",SPLIT('(INGESTA)Datos_consumo_datadis'!A:A,"",""),"""")"),"ES0031408323131005HX0F")</f>
        <v>ES0031408323131005HX0F</v>
      </c>
      <c r="B1571" s="12">
        <f>IFERROR(__xludf.DUMMYFUNCTION("""COMPUTED_VALUE"""),44931.0)</f>
        <v>44931</v>
      </c>
      <c r="C1571" s="13">
        <f>IFERROR(__xludf.DUMMYFUNCTION("""COMPUTED_VALUE"""),0.4166666666666667)</f>
        <v>0.4166666667</v>
      </c>
      <c r="D1571" s="8">
        <f>IFERROR(__xludf.DUMMYFUNCTION("""COMPUTED_VALUE"""),0.53)</f>
        <v>0.53</v>
      </c>
      <c r="E1571" s="8" t="str">
        <f>IFERROR(__xludf.DUMMYFUNCTION("""COMPUTED_VALUE"""),"Real")</f>
        <v>Real</v>
      </c>
      <c r="G1571" s="8">
        <f t="shared" si="1"/>
        <v>1</v>
      </c>
      <c r="H1571" s="14">
        <f t="shared" si="2"/>
        <v>5</v>
      </c>
      <c r="I1571" s="15">
        <f t="shared" si="3"/>
        <v>10</v>
      </c>
    </row>
    <row r="1572">
      <c r="A1572" s="8" t="str">
        <f>IFERROR(__xludf.DUMMYFUNCTION("IF('(INGESTA)Datos_consumo_datadis'!A1572&lt;&gt;"""",SPLIT('(INGESTA)Datos_consumo_datadis'!A:A,"",""),"""")"),"ES0031408323131005HX0F")</f>
        <v>ES0031408323131005HX0F</v>
      </c>
      <c r="B1572" s="12">
        <f>IFERROR(__xludf.DUMMYFUNCTION("""COMPUTED_VALUE"""),44931.0)</f>
        <v>44931</v>
      </c>
      <c r="C1572" s="13">
        <f>IFERROR(__xludf.DUMMYFUNCTION("""COMPUTED_VALUE"""),0.4583333333333333)</f>
        <v>0.4583333333</v>
      </c>
      <c r="D1572" s="8">
        <f>IFERROR(__xludf.DUMMYFUNCTION("""COMPUTED_VALUE"""),0.54)</f>
        <v>0.54</v>
      </c>
      <c r="E1572" s="8" t="str">
        <f>IFERROR(__xludf.DUMMYFUNCTION("""COMPUTED_VALUE"""),"Real")</f>
        <v>Real</v>
      </c>
      <c r="G1572" s="8">
        <f t="shared" si="1"/>
        <v>1</v>
      </c>
      <c r="H1572" s="14">
        <f t="shared" si="2"/>
        <v>5</v>
      </c>
      <c r="I1572" s="15">
        <f t="shared" si="3"/>
        <v>11</v>
      </c>
    </row>
    <row r="1573">
      <c r="A1573" s="8" t="str">
        <f>IFERROR(__xludf.DUMMYFUNCTION("IF('(INGESTA)Datos_consumo_datadis'!A1573&lt;&gt;"""",SPLIT('(INGESTA)Datos_consumo_datadis'!A:A,"",""),"""")"),"ES0031408323131005HX0F")</f>
        <v>ES0031408323131005HX0F</v>
      </c>
      <c r="B1573" s="12">
        <f>IFERROR(__xludf.DUMMYFUNCTION("""COMPUTED_VALUE"""),44931.0)</f>
        <v>44931</v>
      </c>
      <c r="C1573" s="13">
        <f>IFERROR(__xludf.DUMMYFUNCTION("""COMPUTED_VALUE"""),0.5)</f>
        <v>0.5</v>
      </c>
      <c r="D1573" s="8">
        <f>IFERROR(__xludf.DUMMYFUNCTION("""COMPUTED_VALUE"""),1.152)</f>
        <v>1.152</v>
      </c>
      <c r="E1573" s="8" t="str">
        <f>IFERROR(__xludf.DUMMYFUNCTION("""COMPUTED_VALUE"""),"Real")</f>
        <v>Real</v>
      </c>
      <c r="G1573" s="8">
        <f t="shared" si="1"/>
        <v>1</v>
      </c>
      <c r="H1573" s="14">
        <f t="shared" si="2"/>
        <v>5</v>
      </c>
      <c r="I1573" s="15">
        <f t="shared" si="3"/>
        <v>12</v>
      </c>
    </row>
    <row r="1574">
      <c r="A1574" s="8" t="str">
        <f>IFERROR(__xludf.DUMMYFUNCTION("IF('(INGESTA)Datos_consumo_datadis'!A1574&lt;&gt;"""",SPLIT('(INGESTA)Datos_consumo_datadis'!A:A,"",""),"""")"),"ES0031408323131005HX0F")</f>
        <v>ES0031408323131005HX0F</v>
      </c>
      <c r="B1574" s="12">
        <f>IFERROR(__xludf.DUMMYFUNCTION("""COMPUTED_VALUE"""),44931.0)</f>
        <v>44931</v>
      </c>
      <c r="C1574" s="13">
        <f>IFERROR(__xludf.DUMMYFUNCTION("""COMPUTED_VALUE"""),0.5416666666666666)</f>
        <v>0.5416666667</v>
      </c>
      <c r="D1574" s="8">
        <f>IFERROR(__xludf.DUMMYFUNCTION("""COMPUTED_VALUE"""),1.114)</f>
        <v>1.114</v>
      </c>
      <c r="E1574" s="8" t="str">
        <f>IFERROR(__xludf.DUMMYFUNCTION("""COMPUTED_VALUE"""),"Real")</f>
        <v>Real</v>
      </c>
      <c r="G1574" s="8">
        <f t="shared" si="1"/>
        <v>1</v>
      </c>
      <c r="H1574" s="14">
        <f t="shared" si="2"/>
        <v>5</v>
      </c>
      <c r="I1574" s="15">
        <f t="shared" si="3"/>
        <v>13</v>
      </c>
    </row>
    <row r="1575">
      <c r="A1575" s="8" t="str">
        <f>IFERROR(__xludf.DUMMYFUNCTION("IF('(INGESTA)Datos_consumo_datadis'!A1575&lt;&gt;"""",SPLIT('(INGESTA)Datos_consumo_datadis'!A:A,"",""),"""")"),"ES0031408323131005HX0F")</f>
        <v>ES0031408323131005HX0F</v>
      </c>
      <c r="B1575" s="12">
        <f>IFERROR(__xludf.DUMMYFUNCTION("""COMPUTED_VALUE"""),44931.0)</f>
        <v>44931</v>
      </c>
      <c r="C1575" s="13">
        <f>IFERROR(__xludf.DUMMYFUNCTION("""COMPUTED_VALUE"""),0.5833333333333334)</f>
        <v>0.5833333333</v>
      </c>
      <c r="D1575" s="8">
        <f>IFERROR(__xludf.DUMMYFUNCTION("""COMPUTED_VALUE"""),0.077)</f>
        <v>0.077</v>
      </c>
      <c r="E1575" s="8" t="str">
        <f>IFERROR(__xludf.DUMMYFUNCTION("""COMPUTED_VALUE"""),"Real")</f>
        <v>Real</v>
      </c>
      <c r="G1575" s="8">
        <f t="shared" si="1"/>
        <v>1</v>
      </c>
      <c r="H1575" s="14">
        <f t="shared" si="2"/>
        <v>5</v>
      </c>
      <c r="I1575" s="15">
        <f t="shared" si="3"/>
        <v>14</v>
      </c>
    </row>
    <row r="1576">
      <c r="A1576" s="8" t="str">
        <f>IFERROR(__xludf.DUMMYFUNCTION("IF('(INGESTA)Datos_consumo_datadis'!A1576&lt;&gt;"""",SPLIT('(INGESTA)Datos_consumo_datadis'!A:A,"",""),"""")"),"ES0031408323131005HX0F")</f>
        <v>ES0031408323131005HX0F</v>
      </c>
      <c r="B1576" s="12">
        <f>IFERROR(__xludf.DUMMYFUNCTION("""COMPUTED_VALUE"""),44931.0)</f>
        <v>44931</v>
      </c>
      <c r="C1576" s="13">
        <f>IFERROR(__xludf.DUMMYFUNCTION("""COMPUTED_VALUE"""),0.625)</f>
        <v>0.625</v>
      </c>
      <c r="D1576" s="8">
        <f>IFERROR(__xludf.DUMMYFUNCTION("""COMPUTED_VALUE"""),0.414)</f>
        <v>0.414</v>
      </c>
      <c r="E1576" s="8" t="str">
        <f>IFERROR(__xludf.DUMMYFUNCTION("""COMPUTED_VALUE"""),"Real")</f>
        <v>Real</v>
      </c>
      <c r="G1576" s="8">
        <f t="shared" si="1"/>
        <v>1</v>
      </c>
      <c r="H1576" s="14">
        <f t="shared" si="2"/>
        <v>5</v>
      </c>
      <c r="I1576" s="15">
        <f t="shared" si="3"/>
        <v>15</v>
      </c>
    </row>
    <row r="1577">
      <c r="A1577" s="8" t="str">
        <f>IFERROR(__xludf.DUMMYFUNCTION("IF('(INGESTA)Datos_consumo_datadis'!A1577&lt;&gt;"""",SPLIT('(INGESTA)Datos_consumo_datadis'!A:A,"",""),"""")"),"ES0031408323131005HX0F")</f>
        <v>ES0031408323131005HX0F</v>
      </c>
      <c r="B1577" s="12">
        <f>IFERROR(__xludf.DUMMYFUNCTION("""COMPUTED_VALUE"""),44931.0)</f>
        <v>44931</v>
      </c>
      <c r="C1577" s="13">
        <f>IFERROR(__xludf.DUMMYFUNCTION("""COMPUTED_VALUE"""),0.6666666666666666)</f>
        <v>0.6666666667</v>
      </c>
      <c r="D1577" s="8">
        <f>IFERROR(__xludf.DUMMYFUNCTION("""COMPUTED_VALUE"""),0.242)</f>
        <v>0.242</v>
      </c>
      <c r="E1577" s="8" t="str">
        <f>IFERROR(__xludf.DUMMYFUNCTION("""COMPUTED_VALUE"""),"Real")</f>
        <v>Real</v>
      </c>
      <c r="G1577" s="8">
        <f t="shared" si="1"/>
        <v>1</v>
      </c>
      <c r="H1577" s="14">
        <f t="shared" si="2"/>
        <v>5</v>
      </c>
      <c r="I1577" s="15">
        <f t="shared" si="3"/>
        <v>16</v>
      </c>
    </row>
    <row r="1578">
      <c r="A1578" s="8" t="str">
        <f>IFERROR(__xludf.DUMMYFUNCTION("IF('(INGESTA)Datos_consumo_datadis'!A1578&lt;&gt;"""",SPLIT('(INGESTA)Datos_consumo_datadis'!A:A,"",""),"""")"),"ES0031408323131005HX0F")</f>
        <v>ES0031408323131005HX0F</v>
      </c>
      <c r="B1578" s="12">
        <f>IFERROR(__xludf.DUMMYFUNCTION("""COMPUTED_VALUE"""),44931.0)</f>
        <v>44931</v>
      </c>
      <c r="C1578" s="13">
        <f>IFERROR(__xludf.DUMMYFUNCTION("""COMPUTED_VALUE"""),0.7083333333333334)</f>
        <v>0.7083333333</v>
      </c>
      <c r="D1578" s="8">
        <f>IFERROR(__xludf.DUMMYFUNCTION("""COMPUTED_VALUE"""),0.19)</f>
        <v>0.19</v>
      </c>
      <c r="E1578" s="8" t="str">
        <f>IFERROR(__xludf.DUMMYFUNCTION("""COMPUTED_VALUE"""),"Real")</f>
        <v>Real</v>
      </c>
      <c r="G1578" s="8">
        <f t="shared" si="1"/>
        <v>1</v>
      </c>
      <c r="H1578" s="14">
        <f t="shared" si="2"/>
        <v>5</v>
      </c>
      <c r="I1578" s="15">
        <f t="shared" si="3"/>
        <v>17</v>
      </c>
    </row>
    <row r="1579">
      <c r="A1579" s="8" t="str">
        <f>IFERROR(__xludf.DUMMYFUNCTION("IF('(INGESTA)Datos_consumo_datadis'!A1579&lt;&gt;"""",SPLIT('(INGESTA)Datos_consumo_datadis'!A:A,"",""),"""")"),"ES0031408323131005HX0F")</f>
        <v>ES0031408323131005HX0F</v>
      </c>
      <c r="B1579" s="12">
        <f>IFERROR(__xludf.DUMMYFUNCTION("""COMPUTED_VALUE"""),44931.0)</f>
        <v>44931</v>
      </c>
      <c r="C1579" s="13">
        <f>IFERROR(__xludf.DUMMYFUNCTION("""COMPUTED_VALUE"""),0.75)</f>
        <v>0.75</v>
      </c>
      <c r="D1579" s="8">
        <f>IFERROR(__xludf.DUMMYFUNCTION("""COMPUTED_VALUE"""),1.529)</f>
        <v>1.529</v>
      </c>
      <c r="E1579" s="8" t="str">
        <f>IFERROR(__xludf.DUMMYFUNCTION("""COMPUTED_VALUE"""),"Real")</f>
        <v>Real</v>
      </c>
      <c r="G1579" s="8">
        <f t="shared" si="1"/>
        <v>1</v>
      </c>
      <c r="H1579" s="14">
        <f t="shared" si="2"/>
        <v>5</v>
      </c>
      <c r="I1579" s="15">
        <f t="shared" si="3"/>
        <v>18</v>
      </c>
    </row>
    <row r="1580">
      <c r="A1580" s="8" t="str">
        <f>IFERROR(__xludf.DUMMYFUNCTION("IF('(INGESTA)Datos_consumo_datadis'!A1580&lt;&gt;"""",SPLIT('(INGESTA)Datos_consumo_datadis'!A:A,"",""),"""")"),"ES0031408323131005HX0F")</f>
        <v>ES0031408323131005HX0F</v>
      </c>
      <c r="B1580" s="12">
        <f>IFERROR(__xludf.DUMMYFUNCTION("""COMPUTED_VALUE"""),44931.0)</f>
        <v>44931</v>
      </c>
      <c r="C1580" s="13">
        <f>IFERROR(__xludf.DUMMYFUNCTION("""COMPUTED_VALUE"""),0.7916666666666666)</f>
        <v>0.7916666667</v>
      </c>
      <c r="D1580" s="8">
        <f>IFERROR(__xludf.DUMMYFUNCTION("""COMPUTED_VALUE"""),0.065)</f>
        <v>0.065</v>
      </c>
      <c r="E1580" s="8" t="str">
        <f>IFERROR(__xludf.DUMMYFUNCTION("""COMPUTED_VALUE"""),"Real")</f>
        <v>Real</v>
      </c>
      <c r="G1580" s="8">
        <f t="shared" si="1"/>
        <v>1</v>
      </c>
      <c r="H1580" s="14">
        <f t="shared" si="2"/>
        <v>5</v>
      </c>
      <c r="I1580" s="15">
        <f t="shared" si="3"/>
        <v>19</v>
      </c>
    </row>
    <row r="1581">
      <c r="A1581" s="8" t="str">
        <f>IFERROR(__xludf.DUMMYFUNCTION("IF('(INGESTA)Datos_consumo_datadis'!A1581&lt;&gt;"""",SPLIT('(INGESTA)Datos_consumo_datadis'!A:A,"",""),"""")"),"ES0031408323131005HX0F")</f>
        <v>ES0031408323131005HX0F</v>
      </c>
      <c r="B1581" s="12">
        <f>IFERROR(__xludf.DUMMYFUNCTION("""COMPUTED_VALUE"""),44931.0)</f>
        <v>44931</v>
      </c>
      <c r="C1581" s="13">
        <f>IFERROR(__xludf.DUMMYFUNCTION("""COMPUTED_VALUE"""),0.8333333333333334)</f>
        <v>0.8333333333</v>
      </c>
      <c r="D1581" s="8">
        <f>IFERROR(__xludf.DUMMYFUNCTION("""COMPUTED_VALUE"""),0.069)</f>
        <v>0.069</v>
      </c>
      <c r="E1581" s="8" t="str">
        <f>IFERROR(__xludf.DUMMYFUNCTION("""COMPUTED_VALUE"""),"Real")</f>
        <v>Real</v>
      </c>
      <c r="G1581" s="8">
        <f t="shared" si="1"/>
        <v>1</v>
      </c>
      <c r="H1581" s="14">
        <f t="shared" si="2"/>
        <v>5</v>
      </c>
      <c r="I1581" s="15">
        <f t="shared" si="3"/>
        <v>20</v>
      </c>
    </row>
    <row r="1582">
      <c r="A1582" s="8" t="str">
        <f>IFERROR(__xludf.DUMMYFUNCTION("IF('(INGESTA)Datos_consumo_datadis'!A1582&lt;&gt;"""",SPLIT('(INGESTA)Datos_consumo_datadis'!A:A,"",""),"""")"),"ES0031408323131005HX0F")</f>
        <v>ES0031408323131005HX0F</v>
      </c>
      <c r="B1582" s="12">
        <f>IFERROR(__xludf.DUMMYFUNCTION("""COMPUTED_VALUE"""),44931.0)</f>
        <v>44931</v>
      </c>
      <c r="C1582" s="13">
        <f>IFERROR(__xludf.DUMMYFUNCTION("""COMPUTED_VALUE"""),0.875)</f>
        <v>0.875</v>
      </c>
      <c r="D1582" s="8">
        <f>IFERROR(__xludf.DUMMYFUNCTION("""COMPUTED_VALUE"""),0.045)</f>
        <v>0.045</v>
      </c>
      <c r="E1582" s="8" t="str">
        <f>IFERROR(__xludf.DUMMYFUNCTION("""COMPUTED_VALUE"""),"Real")</f>
        <v>Real</v>
      </c>
      <c r="G1582" s="8">
        <f t="shared" si="1"/>
        <v>1</v>
      </c>
      <c r="H1582" s="14">
        <f t="shared" si="2"/>
        <v>5</v>
      </c>
      <c r="I1582" s="15">
        <f t="shared" si="3"/>
        <v>21</v>
      </c>
    </row>
    <row r="1583">
      <c r="A1583" s="8" t="str">
        <f>IFERROR(__xludf.DUMMYFUNCTION("IF('(INGESTA)Datos_consumo_datadis'!A1583&lt;&gt;"""",SPLIT('(INGESTA)Datos_consumo_datadis'!A:A,"",""),"""")"),"ES0031408323131005HX0F")</f>
        <v>ES0031408323131005HX0F</v>
      </c>
      <c r="B1583" s="12">
        <f>IFERROR(__xludf.DUMMYFUNCTION("""COMPUTED_VALUE"""),44931.0)</f>
        <v>44931</v>
      </c>
      <c r="C1583" s="13">
        <f>IFERROR(__xludf.DUMMYFUNCTION("""COMPUTED_VALUE"""),0.9166666666666666)</f>
        <v>0.9166666667</v>
      </c>
      <c r="D1583" s="8">
        <f>IFERROR(__xludf.DUMMYFUNCTION("""COMPUTED_VALUE"""),0.031)</f>
        <v>0.031</v>
      </c>
      <c r="E1583" s="8" t="str">
        <f>IFERROR(__xludf.DUMMYFUNCTION("""COMPUTED_VALUE"""),"Real")</f>
        <v>Real</v>
      </c>
      <c r="G1583" s="8">
        <f t="shared" si="1"/>
        <v>1</v>
      </c>
      <c r="H1583" s="14">
        <f t="shared" si="2"/>
        <v>5</v>
      </c>
      <c r="I1583" s="15">
        <f t="shared" si="3"/>
        <v>22</v>
      </c>
    </row>
    <row r="1584">
      <c r="A1584" s="8" t="str">
        <f>IFERROR(__xludf.DUMMYFUNCTION("IF('(INGESTA)Datos_consumo_datadis'!A1584&lt;&gt;"""",SPLIT('(INGESTA)Datos_consumo_datadis'!A:A,"",""),"""")"),"ES0031408323131005HX0F")</f>
        <v>ES0031408323131005HX0F</v>
      </c>
      <c r="B1584" s="12">
        <f>IFERROR(__xludf.DUMMYFUNCTION("""COMPUTED_VALUE"""),44931.0)</f>
        <v>44931</v>
      </c>
      <c r="C1584" s="13">
        <f>IFERROR(__xludf.DUMMYFUNCTION("""COMPUTED_VALUE"""),0.9583333333333334)</f>
        <v>0.9583333333</v>
      </c>
      <c r="D1584" s="8">
        <f>IFERROR(__xludf.DUMMYFUNCTION("""COMPUTED_VALUE"""),0.355)</f>
        <v>0.355</v>
      </c>
      <c r="E1584" s="8" t="str">
        <f>IFERROR(__xludf.DUMMYFUNCTION("""COMPUTED_VALUE"""),"Real")</f>
        <v>Real</v>
      </c>
      <c r="G1584" s="8">
        <f t="shared" si="1"/>
        <v>1</v>
      </c>
      <c r="H1584" s="14">
        <f t="shared" si="2"/>
        <v>5</v>
      </c>
      <c r="I1584" s="15">
        <f t="shared" si="3"/>
        <v>23</v>
      </c>
    </row>
    <row r="1585">
      <c r="A1585" s="8" t="str">
        <f>IFERROR(__xludf.DUMMYFUNCTION("IF('(INGESTA)Datos_consumo_datadis'!A1585&lt;&gt;"""",SPLIT('(INGESTA)Datos_consumo_datadis'!A:A,"",""),"""")"),"ES0031408323131005HX0F")</f>
        <v>ES0031408323131005HX0F</v>
      </c>
      <c r="B1585" s="12">
        <f>IFERROR(__xludf.DUMMYFUNCTION("""COMPUTED_VALUE"""),44931.0)</f>
        <v>44931</v>
      </c>
      <c r="C1585" s="16">
        <f>IFERROR(__xludf.DUMMYFUNCTION("""COMPUTED_VALUE"""),1.0)</f>
        <v>1</v>
      </c>
      <c r="D1585" s="8">
        <f>IFERROR(__xludf.DUMMYFUNCTION("""COMPUTED_VALUE"""),0.049)</f>
        <v>0.049</v>
      </c>
      <c r="E1585" s="8" t="str">
        <f>IFERROR(__xludf.DUMMYFUNCTION("""COMPUTED_VALUE"""),"Real")</f>
        <v>Real</v>
      </c>
      <c r="G1585" s="8">
        <f t="shared" si="1"/>
        <v>1</v>
      </c>
      <c r="H1585" s="14">
        <f t="shared" si="2"/>
        <v>5</v>
      </c>
      <c r="I1585" s="15">
        <f t="shared" si="3"/>
        <v>0</v>
      </c>
    </row>
    <row r="1586">
      <c r="A1586" s="8" t="str">
        <f>IFERROR(__xludf.DUMMYFUNCTION("IF('(INGESTA)Datos_consumo_datadis'!A1586&lt;&gt;"""",SPLIT('(INGESTA)Datos_consumo_datadis'!A:A,"",""),"""")"),"ES0031408323131005HX0F")</f>
        <v>ES0031408323131005HX0F</v>
      </c>
      <c r="B1586" s="12">
        <f>IFERROR(__xludf.DUMMYFUNCTION("""COMPUTED_VALUE"""),44932.0)</f>
        <v>44932</v>
      </c>
      <c r="C1586" s="13">
        <f>IFERROR(__xludf.DUMMYFUNCTION("""COMPUTED_VALUE"""),0.041666666666666664)</f>
        <v>0.04166666667</v>
      </c>
      <c r="D1586" s="8">
        <f>IFERROR(__xludf.DUMMYFUNCTION("""COMPUTED_VALUE"""),0.831)</f>
        <v>0.831</v>
      </c>
      <c r="E1586" s="8" t="str">
        <f>IFERROR(__xludf.DUMMYFUNCTION("""COMPUTED_VALUE"""),"Real")</f>
        <v>Real</v>
      </c>
      <c r="G1586" s="8">
        <f t="shared" si="1"/>
        <v>1</v>
      </c>
      <c r="H1586" s="14">
        <f t="shared" si="2"/>
        <v>6</v>
      </c>
      <c r="I1586" s="15">
        <f t="shared" si="3"/>
        <v>1</v>
      </c>
    </row>
    <row r="1587">
      <c r="A1587" s="8" t="str">
        <f>IFERROR(__xludf.DUMMYFUNCTION("IF('(INGESTA)Datos_consumo_datadis'!A1587&lt;&gt;"""",SPLIT('(INGESTA)Datos_consumo_datadis'!A:A,"",""),"""")"),"ES0031408323131005HX0F")</f>
        <v>ES0031408323131005HX0F</v>
      </c>
      <c r="B1587" s="12">
        <f>IFERROR(__xludf.DUMMYFUNCTION("""COMPUTED_VALUE"""),44932.0)</f>
        <v>44932</v>
      </c>
      <c r="C1587" s="13">
        <f>IFERROR(__xludf.DUMMYFUNCTION("""COMPUTED_VALUE"""),0.08333333333333333)</f>
        <v>0.08333333333</v>
      </c>
      <c r="D1587" s="8">
        <f>IFERROR(__xludf.DUMMYFUNCTION("""COMPUTED_VALUE"""),1.223)</f>
        <v>1.223</v>
      </c>
      <c r="E1587" s="8" t="str">
        <f>IFERROR(__xludf.DUMMYFUNCTION("""COMPUTED_VALUE"""),"Real")</f>
        <v>Real</v>
      </c>
      <c r="G1587" s="8">
        <f t="shared" si="1"/>
        <v>1</v>
      </c>
      <c r="H1587" s="14">
        <f t="shared" si="2"/>
        <v>6</v>
      </c>
      <c r="I1587" s="15">
        <f t="shared" si="3"/>
        <v>2</v>
      </c>
    </row>
    <row r="1588">
      <c r="A1588" s="8" t="str">
        <f>IFERROR(__xludf.DUMMYFUNCTION("IF('(INGESTA)Datos_consumo_datadis'!A1588&lt;&gt;"""",SPLIT('(INGESTA)Datos_consumo_datadis'!A:A,"",""),"""")"),"ES0031408323131005HX0F")</f>
        <v>ES0031408323131005HX0F</v>
      </c>
      <c r="B1588" s="12">
        <f>IFERROR(__xludf.DUMMYFUNCTION("""COMPUTED_VALUE"""),44932.0)</f>
        <v>44932</v>
      </c>
      <c r="C1588" s="13">
        <f>IFERROR(__xludf.DUMMYFUNCTION("""COMPUTED_VALUE"""),0.125)</f>
        <v>0.125</v>
      </c>
      <c r="D1588" s="8">
        <f>IFERROR(__xludf.DUMMYFUNCTION("""COMPUTED_VALUE"""),1.211)</f>
        <v>1.211</v>
      </c>
      <c r="E1588" s="8" t="str">
        <f>IFERROR(__xludf.DUMMYFUNCTION("""COMPUTED_VALUE"""),"Real")</f>
        <v>Real</v>
      </c>
      <c r="G1588" s="8">
        <f t="shared" si="1"/>
        <v>1</v>
      </c>
      <c r="H1588" s="14">
        <f t="shared" si="2"/>
        <v>6</v>
      </c>
      <c r="I1588" s="15">
        <f t="shared" si="3"/>
        <v>3</v>
      </c>
    </row>
    <row r="1589">
      <c r="A1589" s="8" t="str">
        <f>IFERROR(__xludf.DUMMYFUNCTION("IF('(INGESTA)Datos_consumo_datadis'!A1589&lt;&gt;"""",SPLIT('(INGESTA)Datos_consumo_datadis'!A:A,"",""),"""")"),"ES0031408323131005HX0F")</f>
        <v>ES0031408323131005HX0F</v>
      </c>
      <c r="B1589" s="12">
        <f>IFERROR(__xludf.DUMMYFUNCTION("""COMPUTED_VALUE"""),44932.0)</f>
        <v>44932</v>
      </c>
      <c r="C1589" s="13">
        <f>IFERROR(__xludf.DUMMYFUNCTION("""COMPUTED_VALUE"""),0.16666666666666666)</f>
        <v>0.1666666667</v>
      </c>
      <c r="D1589" s="8">
        <f>IFERROR(__xludf.DUMMYFUNCTION("""COMPUTED_VALUE"""),1.311)</f>
        <v>1.311</v>
      </c>
      <c r="E1589" s="8" t="str">
        <f>IFERROR(__xludf.DUMMYFUNCTION("""COMPUTED_VALUE"""),"Real")</f>
        <v>Real</v>
      </c>
      <c r="G1589" s="8">
        <f t="shared" si="1"/>
        <v>1</v>
      </c>
      <c r="H1589" s="14">
        <f t="shared" si="2"/>
        <v>6</v>
      </c>
      <c r="I1589" s="15">
        <f t="shared" si="3"/>
        <v>4</v>
      </c>
    </row>
    <row r="1590">
      <c r="A1590" s="8" t="str">
        <f>IFERROR(__xludf.DUMMYFUNCTION("IF('(INGESTA)Datos_consumo_datadis'!A1590&lt;&gt;"""",SPLIT('(INGESTA)Datos_consumo_datadis'!A:A,"",""),"""")"),"ES0031408323131005HX0F")</f>
        <v>ES0031408323131005HX0F</v>
      </c>
      <c r="B1590" s="12">
        <f>IFERROR(__xludf.DUMMYFUNCTION("""COMPUTED_VALUE"""),44932.0)</f>
        <v>44932</v>
      </c>
      <c r="C1590" s="13">
        <f>IFERROR(__xludf.DUMMYFUNCTION("""COMPUTED_VALUE"""),0.20833333333333334)</f>
        <v>0.2083333333</v>
      </c>
      <c r="D1590" s="8">
        <f>IFERROR(__xludf.DUMMYFUNCTION("""COMPUTED_VALUE"""),1.635)</f>
        <v>1.635</v>
      </c>
      <c r="E1590" s="8" t="str">
        <f>IFERROR(__xludf.DUMMYFUNCTION("""COMPUTED_VALUE"""),"Real")</f>
        <v>Real</v>
      </c>
      <c r="G1590" s="8">
        <f t="shared" si="1"/>
        <v>1</v>
      </c>
      <c r="H1590" s="14">
        <f t="shared" si="2"/>
        <v>6</v>
      </c>
      <c r="I1590" s="15">
        <f t="shared" si="3"/>
        <v>5</v>
      </c>
    </row>
    <row r="1591">
      <c r="A1591" s="8" t="str">
        <f>IFERROR(__xludf.DUMMYFUNCTION("IF('(INGESTA)Datos_consumo_datadis'!A1591&lt;&gt;"""",SPLIT('(INGESTA)Datos_consumo_datadis'!A:A,"",""),"""")"),"ES0031408323131005HX0F")</f>
        <v>ES0031408323131005HX0F</v>
      </c>
      <c r="B1591" s="12">
        <f>IFERROR(__xludf.DUMMYFUNCTION("""COMPUTED_VALUE"""),44932.0)</f>
        <v>44932</v>
      </c>
      <c r="C1591" s="13">
        <f>IFERROR(__xludf.DUMMYFUNCTION("""COMPUTED_VALUE"""),0.25)</f>
        <v>0.25</v>
      </c>
      <c r="D1591" s="8">
        <f>IFERROR(__xludf.DUMMYFUNCTION("""COMPUTED_VALUE"""),1.319)</f>
        <v>1.319</v>
      </c>
      <c r="E1591" s="8" t="str">
        <f>IFERROR(__xludf.DUMMYFUNCTION("""COMPUTED_VALUE"""),"Real")</f>
        <v>Real</v>
      </c>
      <c r="G1591" s="8">
        <f t="shared" si="1"/>
        <v>1</v>
      </c>
      <c r="H1591" s="14">
        <f t="shared" si="2"/>
        <v>6</v>
      </c>
      <c r="I1591" s="15">
        <f t="shared" si="3"/>
        <v>6</v>
      </c>
    </row>
    <row r="1592">
      <c r="A1592" s="8" t="str">
        <f>IFERROR(__xludf.DUMMYFUNCTION("IF('(INGESTA)Datos_consumo_datadis'!A1592&lt;&gt;"""",SPLIT('(INGESTA)Datos_consumo_datadis'!A:A,"",""),"""")"),"ES0031408323131005HX0F")</f>
        <v>ES0031408323131005HX0F</v>
      </c>
      <c r="B1592" s="12">
        <f>IFERROR(__xludf.DUMMYFUNCTION("""COMPUTED_VALUE"""),44932.0)</f>
        <v>44932</v>
      </c>
      <c r="C1592" s="13">
        <f>IFERROR(__xludf.DUMMYFUNCTION("""COMPUTED_VALUE"""),0.2916666666666667)</f>
        <v>0.2916666667</v>
      </c>
      <c r="D1592" s="8">
        <f>IFERROR(__xludf.DUMMYFUNCTION("""COMPUTED_VALUE"""),1.311)</f>
        <v>1.311</v>
      </c>
      <c r="E1592" s="8" t="str">
        <f>IFERROR(__xludf.DUMMYFUNCTION("""COMPUTED_VALUE"""),"Real")</f>
        <v>Real</v>
      </c>
      <c r="G1592" s="8">
        <f t="shared" si="1"/>
        <v>1</v>
      </c>
      <c r="H1592" s="14">
        <f t="shared" si="2"/>
        <v>6</v>
      </c>
      <c r="I1592" s="15">
        <f t="shared" si="3"/>
        <v>7</v>
      </c>
    </row>
    <row r="1593">
      <c r="A1593" s="8" t="str">
        <f>IFERROR(__xludf.DUMMYFUNCTION("IF('(INGESTA)Datos_consumo_datadis'!A1593&lt;&gt;"""",SPLIT('(INGESTA)Datos_consumo_datadis'!A:A,"",""),"""")"),"ES0031408323131005HX0F")</f>
        <v>ES0031408323131005HX0F</v>
      </c>
      <c r="B1593" s="12">
        <f>IFERROR(__xludf.DUMMYFUNCTION("""COMPUTED_VALUE"""),44932.0)</f>
        <v>44932</v>
      </c>
      <c r="C1593" s="13">
        <f>IFERROR(__xludf.DUMMYFUNCTION("""COMPUTED_VALUE"""),0.3333333333333333)</f>
        <v>0.3333333333</v>
      </c>
      <c r="D1593" s="8">
        <f>IFERROR(__xludf.DUMMYFUNCTION("""COMPUTED_VALUE"""),1.361)</f>
        <v>1.361</v>
      </c>
      <c r="E1593" s="8" t="str">
        <f>IFERROR(__xludf.DUMMYFUNCTION("""COMPUTED_VALUE"""),"Real")</f>
        <v>Real</v>
      </c>
      <c r="G1593" s="8">
        <f t="shared" si="1"/>
        <v>1</v>
      </c>
      <c r="H1593" s="14">
        <f t="shared" si="2"/>
        <v>6</v>
      </c>
      <c r="I1593" s="15">
        <f t="shared" si="3"/>
        <v>8</v>
      </c>
    </row>
    <row r="1594">
      <c r="A1594" s="8" t="str">
        <f>IFERROR(__xludf.DUMMYFUNCTION("IF('(INGESTA)Datos_consumo_datadis'!A1594&lt;&gt;"""",SPLIT('(INGESTA)Datos_consumo_datadis'!A:A,"",""),"""")"),"ES0031408323131005HX0F")</f>
        <v>ES0031408323131005HX0F</v>
      </c>
      <c r="B1594" s="12">
        <f>IFERROR(__xludf.DUMMYFUNCTION("""COMPUTED_VALUE"""),44932.0)</f>
        <v>44932</v>
      </c>
      <c r="C1594" s="13">
        <f>IFERROR(__xludf.DUMMYFUNCTION("""COMPUTED_VALUE"""),0.375)</f>
        <v>0.375</v>
      </c>
      <c r="D1594" s="8">
        <f>IFERROR(__xludf.DUMMYFUNCTION("""COMPUTED_VALUE"""),1.353)</f>
        <v>1.353</v>
      </c>
      <c r="E1594" s="8" t="str">
        <f>IFERROR(__xludf.DUMMYFUNCTION("""COMPUTED_VALUE"""),"Real")</f>
        <v>Real</v>
      </c>
      <c r="G1594" s="8">
        <f t="shared" si="1"/>
        <v>1</v>
      </c>
      <c r="H1594" s="14">
        <f t="shared" si="2"/>
        <v>6</v>
      </c>
      <c r="I1594" s="15">
        <f t="shared" si="3"/>
        <v>9</v>
      </c>
    </row>
    <row r="1595">
      <c r="A1595" s="8" t="str">
        <f>IFERROR(__xludf.DUMMYFUNCTION("IF('(INGESTA)Datos_consumo_datadis'!A1595&lt;&gt;"""",SPLIT('(INGESTA)Datos_consumo_datadis'!A:A,"",""),"""")"),"ES0031408323131005HX0F")</f>
        <v>ES0031408323131005HX0F</v>
      </c>
      <c r="B1595" s="12">
        <f>IFERROR(__xludf.DUMMYFUNCTION("""COMPUTED_VALUE"""),44932.0)</f>
        <v>44932</v>
      </c>
      <c r="C1595" s="13">
        <f>IFERROR(__xludf.DUMMYFUNCTION("""COMPUTED_VALUE"""),0.4166666666666667)</f>
        <v>0.4166666667</v>
      </c>
      <c r="D1595" s="8">
        <f>IFERROR(__xludf.DUMMYFUNCTION("""COMPUTED_VALUE"""),1.293)</f>
        <v>1.293</v>
      </c>
      <c r="E1595" s="8" t="str">
        <f>IFERROR(__xludf.DUMMYFUNCTION("""COMPUTED_VALUE"""),"Real")</f>
        <v>Real</v>
      </c>
      <c r="G1595" s="8">
        <f t="shared" si="1"/>
        <v>1</v>
      </c>
      <c r="H1595" s="14">
        <f t="shared" si="2"/>
        <v>6</v>
      </c>
      <c r="I1595" s="15">
        <f t="shared" si="3"/>
        <v>10</v>
      </c>
    </row>
    <row r="1596">
      <c r="A1596" s="8" t="str">
        <f>IFERROR(__xludf.DUMMYFUNCTION("IF('(INGESTA)Datos_consumo_datadis'!A1596&lt;&gt;"""",SPLIT('(INGESTA)Datos_consumo_datadis'!A:A,"",""),"""")"),"ES0031408323131005HX0F")</f>
        <v>ES0031408323131005HX0F</v>
      </c>
      <c r="B1596" s="12">
        <f>IFERROR(__xludf.DUMMYFUNCTION("""COMPUTED_VALUE"""),44932.0)</f>
        <v>44932</v>
      </c>
      <c r="C1596" s="13">
        <f>IFERROR(__xludf.DUMMYFUNCTION("""COMPUTED_VALUE"""),0.4583333333333333)</f>
        <v>0.4583333333</v>
      </c>
      <c r="D1596" s="8">
        <f>IFERROR(__xludf.DUMMYFUNCTION("""COMPUTED_VALUE"""),1.489)</f>
        <v>1.489</v>
      </c>
      <c r="E1596" s="8" t="str">
        <f>IFERROR(__xludf.DUMMYFUNCTION("""COMPUTED_VALUE"""),"Real")</f>
        <v>Real</v>
      </c>
      <c r="G1596" s="8">
        <f t="shared" si="1"/>
        <v>1</v>
      </c>
      <c r="H1596" s="14">
        <f t="shared" si="2"/>
        <v>6</v>
      </c>
      <c r="I1596" s="15">
        <f t="shared" si="3"/>
        <v>11</v>
      </c>
    </row>
    <row r="1597">
      <c r="A1597" s="8" t="str">
        <f>IFERROR(__xludf.DUMMYFUNCTION("IF('(INGESTA)Datos_consumo_datadis'!A1597&lt;&gt;"""",SPLIT('(INGESTA)Datos_consumo_datadis'!A:A,"",""),"""")"),"ES0031408323131005HX0F")</f>
        <v>ES0031408323131005HX0F</v>
      </c>
      <c r="B1597" s="12">
        <f>IFERROR(__xludf.DUMMYFUNCTION("""COMPUTED_VALUE"""),44932.0)</f>
        <v>44932</v>
      </c>
      <c r="C1597" s="13">
        <f>IFERROR(__xludf.DUMMYFUNCTION("""COMPUTED_VALUE"""),0.5)</f>
        <v>0.5</v>
      </c>
      <c r="D1597" s="8">
        <f>IFERROR(__xludf.DUMMYFUNCTION("""COMPUTED_VALUE"""),0.755)</f>
        <v>0.755</v>
      </c>
      <c r="E1597" s="8" t="str">
        <f>IFERROR(__xludf.DUMMYFUNCTION("""COMPUTED_VALUE"""),"Real")</f>
        <v>Real</v>
      </c>
      <c r="G1597" s="8">
        <f t="shared" si="1"/>
        <v>1</v>
      </c>
      <c r="H1597" s="14">
        <f t="shared" si="2"/>
        <v>6</v>
      </c>
      <c r="I1597" s="15">
        <f t="shared" si="3"/>
        <v>12</v>
      </c>
    </row>
    <row r="1598">
      <c r="A1598" s="8" t="str">
        <f>IFERROR(__xludf.DUMMYFUNCTION("IF('(INGESTA)Datos_consumo_datadis'!A1598&lt;&gt;"""",SPLIT('(INGESTA)Datos_consumo_datadis'!A:A,"",""),"""")"),"ES0031408323131005HX0F")</f>
        <v>ES0031408323131005HX0F</v>
      </c>
      <c r="B1598" s="12">
        <f>IFERROR(__xludf.DUMMYFUNCTION("""COMPUTED_VALUE"""),44932.0)</f>
        <v>44932</v>
      </c>
      <c r="C1598" s="13">
        <f>IFERROR(__xludf.DUMMYFUNCTION("""COMPUTED_VALUE"""),0.5416666666666666)</f>
        <v>0.5416666667</v>
      </c>
      <c r="D1598" s="8">
        <f>IFERROR(__xludf.DUMMYFUNCTION("""COMPUTED_VALUE"""),2.025)</f>
        <v>2.025</v>
      </c>
      <c r="E1598" s="8" t="str">
        <f>IFERROR(__xludf.DUMMYFUNCTION("""COMPUTED_VALUE"""),"Real")</f>
        <v>Real</v>
      </c>
      <c r="G1598" s="8">
        <f t="shared" si="1"/>
        <v>1</v>
      </c>
      <c r="H1598" s="14">
        <f t="shared" si="2"/>
        <v>6</v>
      </c>
      <c r="I1598" s="15">
        <f t="shared" si="3"/>
        <v>13</v>
      </c>
    </row>
    <row r="1599">
      <c r="A1599" s="8" t="str">
        <f>IFERROR(__xludf.DUMMYFUNCTION("IF('(INGESTA)Datos_consumo_datadis'!A1599&lt;&gt;"""",SPLIT('(INGESTA)Datos_consumo_datadis'!A:A,"",""),"""")"),"ES0031408323131005HX0F")</f>
        <v>ES0031408323131005HX0F</v>
      </c>
      <c r="B1599" s="12">
        <f>IFERROR(__xludf.DUMMYFUNCTION("""COMPUTED_VALUE"""),44932.0)</f>
        <v>44932</v>
      </c>
      <c r="C1599" s="13">
        <f>IFERROR(__xludf.DUMMYFUNCTION("""COMPUTED_VALUE"""),0.5833333333333334)</f>
        <v>0.5833333333</v>
      </c>
      <c r="D1599" s="8">
        <f>IFERROR(__xludf.DUMMYFUNCTION("""COMPUTED_VALUE"""),1.682)</f>
        <v>1.682</v>
      </c>
      <c r="E1599" s="8" t="str">
        <f>IFERROR(__xludf.DUMMYFUNCTION("""COMPUTED_VALUE"""),"Real")</f>
        <v>Real</v>
      </c>
      <c r="G1599" s="8">
        <f t="shared" si="1"/>
        <v>1</v>
      </c>
      <c r="H1599" s="14">
        <f t="shared" si="2"/>
        <v>6</v>
      </c>
      <c r="I1599" s="15">
        <f t="shared" si="3"/>
        <v>14</v>
      </c>
    </row>
    <row r="1600">
      <c r="A1600" s="8" t="str">
        <f>IFERROR(__xludf.DUMMYFUNCTION("IF('(INGESTA)Datos_consumo_datadis'!A1600&lt;&gt;"""",SPLIT('(INGESTA)Datos_consumo_datadis'!A:A,"",""),"""")"),"ES0031408323131005HX0F")</f>
        <v>ES0031408323131005HX0F</v>
      </c>
      <c r="B1600" s="12">
        <f>IFERROR(__xludf.DUMMYFUNCTION("""COMPUTED_VALUE"""),44932.0)</f>
        <v>44932</v>
      </c>
      <c r="C1600" s="13">
        <f>IFERROR(__xludf.DUMMYFUNCTION("""COMPUTED_VALUE"""),0.625)</f>
        <v>0.625</v>
      </c>
      <c r="D1600" s="8">
        <f>IFERROR(__xludf.DUMMYFUNCTION("""COMPUTED_VALUE"""),0.196)</f>
        <v>0.196</v>
      </c>
      <c r="E1600" s="8" t="str">
        <f>IFERROR(__xludf.DUMMYFUNCTION("""COMPUTED_VALUE"""),"Real")</f>
        <v>Real</v>
      </c>
      <c r="G1600" s="8">
        <f t="shared" si="1"/>
        <v>1</v>
      </c>
      <c r="H1600" s="14">
        <f t="shared" si="2"/>
        <v>6</v>
      </c>
      <c r="I1600" s="15">
        <f t="shared" si="3"/>
        <v>15</v>
      </c>
    </row>
    <row r="1601">
      <c r="A1601" s="8" t="str">
        <f>IFERROR(__xludf.DUMMYFUNCTION("IF('(INGESTA)Datos_consumo_datadis'!A1601&lt;&gt;"""",SPLIT('(INGESTA)Datos_consumo_datadis'!A:A,"",""),"""")"),"ES0031408323131005HX0F")</f>
        <v>ES0031408323131005HX0F</v>
      </c>
      <c r="B1601" s="12">
        <f>IFERROR(__xludf.DUMMYFUNCTION("""COMPUTED_VALUE"""),44932.0)</f>
        <v>44932</v>
      </c>
      <c r="C1601" s="13">
        <f>IFERROR(__xludf.DUMMYFUNCTION("""COMPUTED_VALUE"""),0.6666666666666666)</f>
        <v>0.6666666667</v>
      </c>
      <c r="D1601" s="8">
        <f>IFERROR(__xludf.DUMMYFUNCTION("""COMPUTED_VALUE"""),0.039)</f>
        <v>0.039</v>
      </c>
      <c r="E1601" s="8" t="str">
        <f>IFERROR(__xludf.DUMMYFUNCTION("""COMPUTED_VALUE"""),"Real")</f>
        <v>Real</v>
      </c>
      <c r="G1601" s="8">
        <f t="shared" si="1"/>
        <v>1</v>
      </c>
      <c r="H1601" s="14">
        <f t="shared" si="2"/>
        <v>6</v>
      </c>
      <c r="I1601" s="15">
        <f t="shared" si="3"/>
        <v>16</v>
      </c>
    </row>
    <row r="1602">
      <c r="A1602" s="8" t="str">
        <f>IFERROR(__xludf.DUMMYFUNCTION("IF('(INGESTA)Datos_consumo_datadis'!A1602&lt;&gt;"""",SPLIT('(INGESTA)Datos_consumo_datadis'!A:A,"",""),"""")"),"ES0031408323131005HX0F")</f>
        <v>ES0031408323131005HX0F</v>
      </c>
      <c r="B1602" s="12">
        <f>IFERROR(__xludf.DUMMYFUNCTION("""COMPUTED_VALUE"""),44932.0)</f>
        <v>44932</v>
      </c>
      <c r="C1602" s="13">
        <f>IFERROR(__xludf.DUMMYFUNCTION("""COMPUTED_VALUE"""),0.7083333333333334)</f>
        <v>0.7083333333</v>
      </c>
      <c r="D1602" s="8">
        <f>IFERROR(__xludf.DUMMYFUNCTION("""COMPUTED_VALUE"""),0.029)</f>
        <v>0.029</v>
      </c>
      <c r="E1602" s="8" t="str">
        <f>IFERROR(__xludf.DUMMYFUNCTION("""COMPUTED_VALUE"""),"Real")</f>
        <v>Real</v>
      </c>
      <c r="G1602" s="8">
        <f t="shared" si="1"/>
        <v>1</v>
      </c>
      <c r="H1602" s="14">
        <f t="shared" si="2"/>
        <v>6</v>
      </c>
      <c r="I1602" s="15">
        <f t="shared" si="3"/>
        <v>17</v>
      </c>
    </row>
    <row r="1603">
      <c r="A1603" s="8" t="str">
        <f>IFERROR(__xludf.DUMMYFUNCTION("IF('(INGESTA)Datos_consumo_datadis'!A1603&lt;&gt;"""",SPLIT('(INGESTA)Datos_consumo_datadis'!A:A,"",""),"""")"),"ES0031408323131005HX0F")</f>
        <v>ES0031408323131005HX0F</v>
      </c>
      <c r="B1603" s="12">
        <f>IFERROR(__xludf.DUMMYFUNCTION("""COMPUTED_VALUE"""),44932.0)</f>
        <v>44932</v>
      </c>
      <c r="C1603" s="13">
        <f>IFERROR(__xludf.DUMMYFUNCTION("""COMPUTED_VALUE"""),0.75)</f>
        <v>0.75</v>
      </c>
      <c r="D1603" s="8">
        <f>IFERROR(__xludf.DUMMYFUNCTION("""COMPUTED_VALUE"""),0.114)</f>
        <v>0.114</v>
      </c>
      <c r="E1603" s="8" t="str">
        <f>IFERROR(__xludf.DUMMYFUNCTION("""COMPUTED_VALUE"""),"Real")</f>
        <v>Real</v>
      </c>
      <c r="G1603" s="8">
        <f t="shared" si="1"/>
        <v>1</v>
      </c>
      <c r="H1603" s="14">
        <f t="shared" si="2"/>
        <v>6</v>
      </c>
      <c r="I1603" s="15">
        <f t="shared" si="3"/>
        <v>18</v>
      </c>
    </row>
    <row r="1604">
      <c r="A1604" s="8" t="str">
        <f>IFERROR(__xludf.DUMMYFUNCTION("IF('(INGESTA)Datos_consumo_datadis'!A1604&lt;&gt;"""",SPLIT('(INGESTA)Datos_consumo_datadis'!A:A,"",""),"""")"),"ES0031408323131005HX0F")</f>
        <v>ES0031408323131005HX0F</v>
      </c>
      <c r="B1604" s="12">
        <f>IFERROR(__xludf.DUMMYFUNCTION("""COMPUTED_VALUE"""),44932.0)</f>
        <v>44932</v>
      </c>
      <c r="C1604" s="13">
        <f>IFERROR(__xludf.DUMMYFUNCTION("""COMPUTED_VALUE"""),0.7916666666666666)</f>
        <v>0.7916666667</v>
      </c>
      <c r="D1604" s="8">
        <f>IFERROR(__xludf.DUMMYFUNCTION("""COMPUTED_VALUE"""),0.554)</f>
        <v>0.554</v>
      </c>
      <c r="E1604" s="8" t="str">
        <f>IFERROR(__xludf.DUMMYFUNCTION("""COMPUTED_VALUE"""),"Real")</f>
        <v>Real</v>
      </c>
      <c r="G1604" s="8">
        <f t="shared" si="1"/>
        <v>1</v>
      </c>
      <c r="H1604" s="14">
        <f t="shared" si="2"/>
        <v>6</v>
      </c>
      <c r="I1604" s="15">
        <f t="shared" si="3"/>
        <v>19</v>
      </c>
    </row>
    <row r="1605">
      <c r="A1605" s="8" t="str">
        <f>IFERROR(__xludf.DUMMYFUNCTION("IF('(INGESTA)Datos_consumo_datadis'!A1605&lt;&gt;"""",SPLIT('(INGESTA)Datos_consumo_datadis'!A:A,"",""),"""")"),"ES0031408323131005HX0F")</f>
        <v>ES0031408323131005HX0F</v>
      </c>
      <c r="B1605" s="12">
        <f>IFERROR(__xludf.DUMMYFUNCTION("""COMPUTED_VALUE"""),44932.0)</f>
        <v>44932</v>
      </c>
      <c r="C1605" s="13">
        <f>IFERROR(__xludf.DUMMYFUNCTION("""COMPUTED_VALUE"""),0.8333333333333334)</f>
        <v>0.8333333333</v>
      </c>
      <c r="D1605" s="8">
        <f>IFERROR(__xludf.DUMMYFUNCTION("""COMPUTED_VALUE"""),1.279)</f>
        <v>1.279</v>
      </c>
      <c r="E1605" s="8" t="str">
        <f>IFERROR(__xludf.DUMMYFUNCTION("""COMPUTED_VALUE"""),"Real")</f>
        <v>Real</v>
      </c>
      <c r="G1605" s="8">
        <f t="shared" si="1"/>
        <v>1</v>
      </c>
      <c r="H1605" s="14">
        <f t="shared" si="2"/>
        <v>6</v>
      </c>
      <c r="I1605" s="15">
        <f t="shared" si="3"/>
        <v>20</v>
      </c>
    </row>
    <row r="1606">
      <c r="A1606" s="8" t="str">
        <f>IFERROR(__xludf.DUMMYFUNCTION("IF('(INGESTA)Datos_consumo_datadis'!A1606&lt;&gt;"""",SPLIT('(INGESTA)Datos_consumo_datadis'!A:A,"",""),"""")"),"ES0031408323131005HX0F")</f>
        <v>ES0031408323131005HX0F</v>
      </c>
      <c r="B1606" s="12">
        <f>IFERROR(__xludf.DUMMYFUNCTION("""COMPUTED_VALUE"""),44932.0)</f>
        <v>44932</v>
      </c>
      <c r="C1606" s="13">
        <f>IFERROR(__xludf.DUMMYFUNCTION("""COMPUTED_VALUE"""),0.875)</f>
        <v>0.875</v>
      </c>
      <c r="D1606" s="8">
        <f>IFERROR(__xludf.DUMMYFUNCTION("""COMPUTED_VALUE"""),0.845)</f>
        <v>0.845</v>
      </c>
      <c r="E1606" s="8" t="str">
        <f>IFERROR(__xludf.DUMMYFUNCTION("""COMPUTED_VALUE"""),"Real")</f>
        <v>Real</v>
      </c>
      <c r="G1606" s="8">
        <f t="shared" si="1"/>
        <v>1</v>
      </c>
      <c r="H1606" s="14">
        <f t="shared" si="2"/>
        <v>6</v>
      </c>
      <c r="I1606" s="15">
        <f t="shared" si="3"/>
        <v>21</v>
      </c>
    </row>
    <row r="1607">
      <c r="A1607" s="8" t="str">
        <f>IFERROR(__xludf.DUMMYFUNCTION("IF('(INGESTA)Datos_consumo_datadis'!A1607&lt;&gt;"""",SPLIT('(INGESTA)Datos_consumo_datadis'!A:A,"",""),"""")"),"ES0031408323131005HX0F")</f>
        <v>ES0031408323131005HX0F</v>
      </c>
      <c r="B1607" s="12">
        <f>IFERROR(__xludf.DUMMYFUNCTION("""COMPUTED_VALUE"""),44932.0)</f>
        <v>44932</v>
      </c>
      <c r="C1607" s="13">
        <f>IFERROR(__xludf.DUMMYFUNCTION("""COMPUTED_VALUE"""),0.9166666666666666)</f>
        <v>0.9166666667</v>
      </c>
      <c r="D1607" s="8">
        <f>IFERROR(__xludf.DUMMYFUNCTION("""COMPUTED_VALUE"""),1.638)</f>
        <v>1.638</v>
      </c>
      <c r="E1607" s="8" t="str">
        <f>IFERROR(__xludf.DUMMYFUNCTION("""COMPUTED_VALUE"""),"Real")</f>
        <v>Real</v>
      </c>
      <c r="G1607" s="8">
        <f t="shared" si="1"/>
        <v>1</v>
      </c>
      <c r="H1607" s="14">
        <f t="shared" si="2"/>
        <v>6</v>
      </c>
      <c r="I1607" s="15">
        <f t="shared" si="3"/>
        <v>22</v>
      </c>
    </row>
    <row r="1608">
      <c r="A1608" s="8" t="str">
        <f>IFERROR(__xludf.DUMMYFUNCTION("IF('(INGESTA)Datos_consumo_datadis'!A1608&lt;&gt;"""",SPLIT('(INGESTA)Datos_consumo_datadis'!A:A,"",""),"""")"),"ES0031408323131005HX0F")</f>
        <v>ES0031408323131005HX0F</v>
      </c>
      <c r="B1608" s="12">
        <f>IFERROR(__xludf.DUMMYFUNCTION("""COMPUTED_VALUE"""),44932.0)</f>
        <v>44932</v>
      </c>
      <c r="C1608" s="13">
        <f>IFERROR(__xludf.DUMMYFUNCTION("""COMPUTED_VALUE"""),0.9583333333333334)</f>
        <v>0.9583333333</v>
      </c>
      <c r="D1608" s="8">
        <f>IFERROR(__xludf.DUMMYFUNCTION("""COMPUTED_VALUE"""),1.333)</f>
        <v>1.333</v>
      </c>
      <c r="E1608" s="8" t="str">
        <f>IFERROR(__xludf.DUMMYFUNCTION("""COMPUTED_VALUE"""),"Real")</f>
        <v>Real</v>
      </c>
      <c r="G1608" s="8">
        <f t="shared" si="1"/>
        <v>1</v>
      </c>
      <c r="H1608" s="14">
        <f t="shared" si="2"/>
        <v>6</v>
      </c>
      <c r="I1608" s="15">
        <f t="shared" si="3"/>
        <v>23</v>
      </c>
    </row>
    <row r="1609">
      <c r="A1609" s="8" t="str">
        <f>IFERROR(__xludf.DUMMYFUNCTION("IF('(INGESTA)Datos_consumo_datadis'!A1609&lt;&gt;"""",SPLIT('(INGESTA)Datos_consumo_datadis'!A:A,"",""),"""")"),"ES0031408323131005HX0F")</f>
        <v>ES0031408323131005HX0F</v>
      </c>
      <c r="B1609" s="12">
        <f>IFERROR(__xludf.DUMMYFUNCTION("""COMPUTED_VALUE"""),44932.0)</f>
        <v>44932</v>
      </c>
      <c r="C1609" s="16">
        <f>IFERROR(__xludf.DUMMYFUNCTION("""COMPUTED_VALUE"""),1.0)</f>
        <v>1</v>
      </c>
      <c r="D1609" s="8">
        <f>IFERROR(__xludf.DUMMYFUNCTION("""COMPUTED_VALUE"""),1.556)</f>
        <v>1.556</v>
      </c>
      <c r="E1609" s="8" t="str">
        <f>IFERROR(__xludf.DUMMYFUNCTION("""COMPUTED_VALUE"""),"Real")</f>
        <v>Real</v>
      </c>
      <c r="G1609" s="8">
        <f t="shared" si="1"/>
        <v>1</v>
      </c>
      <c r="H1609" s="14">
        <f t="shared" si="2"/>
        <v>6</v>
      </c>
      <c r="I1609" s="15">
        <f t="shared" si="3"/>
        <v>0</v>
      </c>
    </row>
    <row r="1610">
      <c r="A1610" s="8" t="str">
        <f>IFERROR(__xludf.DUMMYFUNCTION("IF('(INGESTA)Datos_consumo_datadis'!A1610&lt;&gt;"""",SPLIT('(INGESTA)Datos_consumo_datadis'!A:A,"",""),"""")"),"ES0031408323131005HX0F")</f>
        <v>ES0031408323131005HX0F</v>
      </c>
      <c r="B1610" s="12">
        <f>IFERROR(__xludf.DUMMYFUNCTION("""COMPUTED_VALUE"""),44933.0)</f>
        <v>44933</v>
      </c>
      <c r="C1610" s="13">
        <f>IFERROR(__xludf.DUMMYFUNCTION("""COMPUTED_VALUE"""),0.041666666666666664)</f>
        <v>0.04166666667</v>
      </c>
      <c r="D1610" s="8">
        <f>IFERROR(__xludf.DUMMYFUNCTION("""COMPUTED_VALUE"""),0.629)</f>
        <v>0.629</v>
      </c>
      <c r="E1610" s="8" t="str">
        <f>IFERROR(__xludf.DUMMYFUNCTION("""COMPUTED_VALUE"""),"Real")</f>
        <v>Real</v>
      </c>
      <c r="G1610" s="8">
        <f t="shared" si="1"/>
        <v>1</v>
      </c>
      <c r="H1610" s="14">
        <f t="shared" si="2"/>
        <v>7</v>
      </c>
      <c r="I1610" s="15">
        <f t="shared" si="3"/>
        <v>1</v>
      </c>
    </row>
    <row r="1611">
      <c r="A1611" s="8" t="str">
        <f>IFERROR(__xludf.DUMMYFUNCTION("IF('(INGESTA)Datos_consumo_datadis'!A1611&lt;&gt;"""",SPLIT('(INGESTA)Datos_consumo_datadis'!A:A,"",""),"""")"),"ES0031408323131005HX0F")</f>
        <v>ES0031408323131005HX0F</v>
      </c>
      <c r="B1611" s="12">
        <f>IFERROR(__xludf.DUMMYFUNCTION("""COMPUTED_VALUE"""),44933.0)</f>
        <v>44933</v>
      </c>
      <c r="C1611" s="13">
        <f>IFERROR(__xludf.DUMMYFUNCTION("""COMPUTED_VALUE"""),0.08333333333333333)</f>
        <v>0.08333333333</v>
      </c>
      <c r="D1611" s="8">
        <f>IFERROR(__xludf.DUMMYFUNCTION("""COMPUTED_VALUE"""),0.624)</f>
        <v>0.624</v>
      </c>
      <c r="E1611" s="8" t="str">
        <f>IFERROR(__xludf.DUMMYFUNCTION("""COMPUTED_VALUE"""),"Real")</f>
        <v>Real</v>
      </c>
      <c r="G1611" s="8">
        <f t="shared" si="1"/>
        <v>1</v>
      </c>
      <c r="H1611" s="14">
        <f t="shared" si="2"/>
        <v>7</v>
      </c>
      <c r="I1611" s="15">
        <f t="shared" si="3"/>
        <v>2</v>
      </c>
    </row>
    <row r="1612">
      <c r="A1612" s="8" t="str">
        <f>IFERROR(__xludf.DUMMYFUNCTION("IF('(INGESTA)Datos_consumo_datadis'!A1612&lt;&gt;"""",SPLIT('(INGESTA)Datos_consumo_datadis'!A:A,"",""),"""")"),"ES0031408323131005HX0F")</f>
        <v>ES0031408323131005HX0F</v>
      </c>
      <c r="B1612" s="12">
        <f>IFERROR(__xludf.DUMMYFUNCTION("""COMPUTED_VALUE"""),44933.0)</f>
        <v>44933</v>
      </c>
      <c r="C1612" s="13">
        <f>IFERROR(__xludf.DUMMYFUNCTION("""COMPUTED_VALUE"""),0.125)</f>
        <v>0.125</v>
      </c>
      <c r="D1612" s="8">
        <f>IFERROR(__xludf.DUMMYFUNCTION("""COMPUTED_VALUE"""),0.901)</f>
        <v>0.901</v>
      </c>
      <c r="E1612" s="8" t="str">
        <f>IFERROR(__xludf.DUMMYFUNCTION("""COMPUTED_VALUE"""),"Real")</f>
        <v>Real</v>
      </c>
      <c r="G1612" s="8">
        <f t="shared" si="1"/>
        <v>1</v>
      </c>
      <c r="H1612" s="14">
        <f t="shared" si="2"/>
        <v>7</v>
      </c>
      <c r="I1612" s="15">
        <f t="shared" si="3"/>
        <v>3</v>
      </c>
    </row>
    <row r="1613">
      <c r="A1613" s="8" t="str">
        <f>IFERROR(__xludf.DUMMYFUNCTION("IF('(INGESTA)Datos_consumo_datadis'!A1613&lt;&gt;"""",SPLIT('(INGESTA)Datos_consumo_datadis'!A:A,"",""),"""")"),"ES0031408323131005HX0F")</f>
        <v>ES0031408323131005HX0F</v>
      </c>
      <c r="B1613" s="12">
        <f>IFERROR(__xludf.DUMMYFUNCTION("""COMPUTED_VALUE"""),44933.0)</f>
        <v>44933</v>
      </c>
      <c r="C1613" s="13">
        <f>IFERROR(__xludf.DUMMYFUNCTION("""COMPUTED_VALUE"""),0.16666666666666666)</f>
        <v>0.1666666667</v>
      </c>
      <c r="D1613" s="8">
        <f>IFERROR(__xludf.DUMMYFUNCTION("""COMPUTED_VALUE"""),0.646)</f>
        <v>0.646</v>
      </c>
      <c r="E1613" s="8" t="str">
        <f>IFERROR(__xludf.DUMMYFUNCTION("""COMPUTED_VALUE"""),"Real")</f>
        <v>Real</v>
      </c>
      <c r="G1613" s="8">
        <f t="shared" si="1"/>
        <v>1</v>
      </c>
      <c r="H1613" s="14">
        <f t="shared" si="2"/>
        <v>7</v>
      </c>
      <c r="I1613" s="15">
        <f t="shared" si="3"/>
        <v>4</v>
      </c>
    </row>
    <row r="1614">
      <c r="A1614" s="8" t="str">
        <f>IFERROR(__xludf.DUMMYFUNCTION("IF('(INGESTA)Datos_consumo_datadis'!A1614&lt;&gt;"""",SPLIT('(INGESTA)Datos_consumo_datadis'!A:A,"",""),"""")"),"ES0031408323131005HX0F")</f>
        <v>ES0031408323131005HX0F</v>
      </c>
      <c r="B1614" s="12">
        <f>IFERROR(__xludf.DUMMYFUNCTION("""COMPUTED_VALUE"""),44933.0)</f>
        <v>44933</v>
      </c>
      <c r="C1614" s="13">
        <f>IFERROR(__xludf.DUMMYFUNCTION("""COMPUTED_VALUE"""),0.20833333333333334)</f>
        <v>0.2083333333</v>
      </c>
      <c r="D1614" s="8">
        <f>IFERROR(__xludf.DUMMYFUNCTION("""COMPUTED_VALUE"""),0.616)</f>
        <v>0.616</v>
      </c>
      <c r="E1614" s="8" t="str">
        <f>IFERROR(__xludf.DUMMYFUNCTION("""COMPUTED_VALUE"""),"Real")</f>
        <v>Real</v>
      </c>
      <c r="G1614" s="8">
        <f t="shared" si="1"/>
        <v>1</v>
      </c>
      <c r="H1614" s="14">
        <f t="shared" si="2"/>
        <v>7</v>
      </c>
      <c r="I1614" s="15">
        <f t="shared" si="3"/>
        <v>5</v>
      </c>
    </row>
    <row r="1615">
      <c r="A1615" s="8" t="str">
        <f>IFERROR(__xludf.DUMMYFUNCTION("IF('(INGESTA)Datos_consumo_datadis'!A1615&lt;&gt;"""",SPLIT('(INGESTA)Datos_consumo_datadis'!A:A,"",""),"""")"),"ES0031408323131005HX0F")</f>
        <v>ES0031408323131005HX0F</v>
      </c>
      <c r="B1615" s="12">
        <f>IFERROR(__xludf.DUMMYFUNCTION("""COMPUTED_VALUE"""),44933.0)</f>
        <v>44933</v>
      </c>
      <c r="C1615" s="13">
        <f>IFERROR(__xludf.DUMMYFUNCTION("""COMPUTED_VALUE"""),0.25)</f>
        <v>0.25</v>
      </c>
      <c r="D1615" s="8">
        <f>IFERROR(__xludf.DUMMYFUNCTION("""COMPUTED_VALUE"""),0.605)</f>
        <v>0.605</v>
      </c>
      <c r="E1615" s="8" t="str">
        <f>IFERROR(__xludf.DUMMYFUNCTION("""COMPUTED_VALUE"""),"Real")</f>
        <v>Real</v>
      </c>
      <c r="G1615" s="8">
        <f t="shared" si="1"/>
        <v>1</v>
      </c>
      <c r="H1615" s="14">
        <f t="shared" si="2"/>
        <v>7</v>
      </c>
      <c r="I1615" s="15">
        <f t="shared" si="3"/>
        <v>6</v>
      </c>
    </row>
    <row r="1616">
      <c r="A1616" s="8" t="str">
        <f>IFERROR(__xludf.DUMMYFUNCTION("IF('(INGESTA)Datos_consumo_datadis'!A1616&lt;&gt;"""",SPLIT('(INGESTA)Datos_consumo_datadis'!A:A,"",""),"""")"),"ES0031408323131005HX0F")</f>
        <v>ES0031408323131005HX0F</v>
      </c>
      <c r="B1616" s="12">
        <f>IFERROR(__xludf.DUMMYFUNCTION("""COMPUTED_VALUE"""),44933.0)</f>
        <v>44933</v>
      </c>
      <c r="C1616" s="13">
        <f>IFERROR(__xludf.DUMMYFUNCTION("""COMPUTED_VALUE"""),0.2916666666666667)</f>
        <v>0.2916666667</v>
      </c>
      <c r="D1616" s="8">
        <f>IFERROR(__xludf.DUMMYFUNCTION("""COMPUTED_VALUE"""),0.599)</f>
        <v>0.599</v>
      </c>
      <c r="E1616" s="8" t="str">
        <f>IFERROR(__xludf.DUMMYFUNCTION("""COMPUTED_VALUE"""),"Real")</f>
        <v>Real</v>
      </c>
      <c r="G1616" s="8">
        <f t="shared" si="1"/>
        <v>1</v>
      </c>
      <c r="H1616" s="14">
        <f t="shared" si="2"/>
        <v>7</v>
      </c>
      <c r="I1616" s="15">
        <f t="shared" si="3"/>
        <v>7</v>
      </c>
    </row>
    <row r="1617">
      <c r="A1617" s="8" t="str">
        <f>IFERROR(__xludf.DUMMYFUNCTION("IF('(INGESTA)Datos_consumo_datadis'!A1617&lt;&gt;"""",SPLIT('(INGESTA)Datos_consumo_datadis'!A:A,"",""),"""")"),"ES0031408323131005HX0F")</f>
        <v>ES0031408323131005HX0F</v>
      </c>
      <c r="B1617" s="12">
        <f>IFERROR(__xludf.DUMMYFUNCTION("""COMPUTED_VALUE"""),44933.0)</f>
        <v>44933</v>
      </c>
      <c r="C1617" s="13">
        <f>IFERROR(__xludf.DUMMYFUNCTION("""COMPUTED_VALUE"""),0.3333333333333333)</f>
        <v>0.3333333333</v>
      </c>
      <c r="D1617" s="8">
        <f>IFERROR(__xludf.DUMMYFUNCTION("""COMPUTED_VALUE"""),0.634)</f>
        <v>0.634</v>
      </c>
      <c r="E1617" s="8" t="str">
        <f>IFERROR(__xludf.DUMMYFUNCTION("""COMPUTED_VALUE"""),"Real")</f>
        <v>Real</v>
      </c>
      <c r="G1617" s="8">
        <f t="shared" si="1"/>
        <v>1</v>
      </c>
      <c r="H1617" s="14">
        <f t="shared" si="2"/>
        <v>7</v>
      </c>
      <c r="I1617" s="15">
        <f t="shared" si="3"/>
        <v>8</v>
      </c>
    </row>
    <row r="1618">
      <c r="A1618" s="8" t="str">
        <f>IFERROR(__xludf.DUMMYFUNCTION("IF('(INGESTA)Datos_consumo_datadis'!A1618&lt;&gt;"""",SPLIT('(INGESTA)Datos_consumo_datadis'!A:A,"",""),"""")"),"ES0031408323131005HX0F")</f>
        <v>ES0031408323131005HX0F</v>
      </c>
      <c r="B1618" s="12">
        <f>IFERROR(__xludf.DUMMYFUNCTION("""COMPUTED_VALUE"""),44933.0)</f>
        <v>44933</v>
      </c>
      <c r="C1618" s="13">
        <f>IFERROR(__xludf.DUMMYFUNCTION("""COMPUTED_VALUE"""),0.375)</f>
        <v>0.375</v>
      </c>
      <c r="D1618" s="8">
        <f>IFERROR(__xludf.DUMMYFUNCTION("""COMPUTED_VALUE"""),0.868)</f>
        <v>0.868</v>
      </c>
      <c r="E1618" s="8" t="str">
        <f>IFERROR(__xludf.DUMMYFUNCTION("""COMPUTED_VALUE"""),"Real")</f>
        <v>Real</v>
      </c>
      <c r="G1618" s="8">
        <f t="shared" si="1"/>
        <v>1</v>
      </c>
      <c r="H1618" s="14">
        <f t="shared" si="2"/>
        <v>7</v>
      </c>
      <c r="I1618" s="15">
        <f t="shared" si="3"/>
        <v>9</v>
      </c>
    </row>
    <row r="1619">
      <c r="A1619" s="8" t="str">
        <f>IFERROR(__xludf.DUMMYFUNCTION("IF('(INGESTA)Datos_consumo_datadis'!A1619&lt;&gt;"""",SPLIT('(INGESTA)Datos_consumo_datadis'!A:A,"",""),"""")"),"ES0031408323131005HX0F")</f>
        <v>ES0031408323131005HX0F</v>
      </c>
      <c r="B1619" s="12">
        <f>IFERROR(__xludf.DUMMYFUNCTION("""COMPUTED_VALUE"""),44933.0)</f>
        <v>44933</v>
      </c>
      <c r="C1619" s="13">
        <f>IFERROR(__xludf.DUMMYFUNCTION("""COMPUTED_VALUE"""),0.4166666666666667)</f>
        <v>0.4166666667</v>
      </c>
      <c r="D1619" s="8">
        <f>IFERROR(__xludf.DUMMYFUNCTION("""COMPUTED_VALUE"""),0.626)</f>
        <v>0.626</v>
      </c>
      <c r="E1619" s="8" t="str">
        <f>IFERROR(__xludf.DUMMYFUNCTION("""COMPUTED_VALUE"""),"Real")</f>
        <v>Real</v>
      </c>
      <c r="G1619" s="8">
        <f t="shared" si="1"/>
        <v>1</v>
      </c>
      <c r="H1619" s="14">
        <f t="shared" si="2"/>
        <v>7</v>
      </c>
      <c r="I1619" s="15">
        <f t="shared" si="3"/>
        <v>10</v>
      </c>
    </row>
    <row r="1620">
      <c r="A1620" s="8" t="str">
        <f>IFERROR(__xludf.DUMMYFUNCTION("IF('(INGESTA)Datos_consumo_datadis'!A1620&lt;&gt;"""",SPLIT('(INGESTA)Datos_consumo_datadis'!A:A,"",""),"""")"),"ES0031408323131005HX0F")</f>
        <v>ES0031408323131005HX0F</v>
      </c>
      <c r="B1620" s="12">
        <f>IFERROR(__xludf.DUMMYFUNCTION("""COMPUTED_VALUE"""),44933.0)</f>
        <v>44933</v>
      </c>
      <c r="C1620" s="13">
        <f>IFERROR(__xludf.DUMMYFUNCTION("""COMPUTED_VALUE"""),0.4583333333333333)</f>
        <v>0.4583333333</v>
      </c>
      <c r="D1620" s="8">
        <f>IFERROR(__xludf.DUMMYFUNCTION("""COMPUTED_VALUE"""),0.828)</f>
        <v>0.828</v>
      </c>
      <c r="E1620" s="8" t="str">
        <f>IFERROR(__xludf.DUMMYFUNCTION("""COMPUTED_VALUE"""),"Real")</f>
        <v>Real</v>
      </c>
      <c r="G1620" s="8">
        <f t="shared" si="1"/>
        <v>1</v>
      </c>
      <c r="H1620" s="14">
        <f t="shared" si="2"/>
        <v>7</v>
      </c>
      <c r="I1620" s="15">
        <f t="shared" si="3"/>
        <v>11</v>
      </c>
    </row>
    <row r="1621">
      <c r="A1621" s="8" t="str">
        <f>IFERROR(__xludf.DUMMYFUNCTION("IF('(INGESTA)Datos_consumo_datadis'!A1621&lt;&gt;"""",SPLIT('(INGESTA)Datos_consumo_datadis'!A:A,"",""),"""")"),"ES0031408323131005HX0F")</f>
        <v>ES0031408323131005HX0F</v>
      </c>
      <c r="B1621" s="12">
        <f>IFERROR(__xludf.DUMMYFUNCTION("""COMPUTED_VALUE"""),44933.0)</f>
        <v>44933</v>
      </c>
      <c r="C1621" s="13">
        <f>IFERROR(__xludf.DUMMYFUNCTION("""COMPUTED_VALUE"""),0.5)</f>
        <v>0.5</v>
      </c>
      <c r="D1621" s="8">
        <f>IFERROR(__xludf.DUMMYFUNCTION("""COMPUTED_VALUE"""),0.793)</f>
        <v>0.793</v>
      </c>
      <c r="E1621" s="8" t="str">
        <f>IFERROR(__xludf.DUMMYFUNCTION("""COMPUTED_VALUE"""),"Real")</f>
        <v>Real</v>
      </c>
      <c r="G1621" s="8">
        <f t="shared" si="1"/>
        <v>1</v>
      </c>
      <c r="H1621" s="14">
        <f t="shared" si="2"/>
        <v>7</v>
      </c>
      <c r="I1621" s="15">
        <f t="shared" si="3"/>
        <v>12</v>
      </c>
    </row>
    <row r="1622">
      <c r="A1622" s="8" t="str">
        <f>IFERROR(__xludf.DUMMYFUNCTION("IF('(INGESTA)Datos_consumo_datadis'!A1622&lt;&gt;"""",SPLIT('(INGESTA)Datos_consumo_datadis'!A:A,"",""),"""")"),"ES0031408323131005HX0F")</f>
        <v>ES0031408323131005HX0F</v>
      </c>
      <c r="B1622" s="12">
        <f>IFERROR(__xludf.DUMMYFUNCTION("""COMPUTED_VALUE"""),44933.0)</f>
        <v>44933</v>
      </c>
      <c r="C1622" s="13">
        <f>IFERROR(__xludf.DUMMYFUNCTION("""COMPUTED_VALUE"""),0.5416666666666666)</f>
        <v>0.5416666667</v>
      </c>
      <c r="D1622" s="8">
        <f>IFERROR(__xludf.DUMMYFUNCTION("""COMPUTED_VALUE"""),0.866)</f>
        <v>0.866</v>
      </c>
      <c r="E1622" s="8" t="str">
        <f>IFERROR(__xludf.DUMMYFUNCTION("""COMPUTED_VALUE"""),"Real")</f>
        <v>Real</v>
      </c>
      <c r="G1622" s="8">
        <f t="shared" si="1"/>
        <v>1</v>
      </c>
      <c r="H1622" s="14">
        <f t="shared" si="2"/>
        <v>7</v>
      </c>
      <c r="I1622" s="15">
        <f t="shared" si="3"/>
        <v>13</v>
      </c>
    </row>
    <row r="1623">
      <c r="A1623" s="8" t="str">
        <f>IFERROR(__xludf.DUMMYFUNCTION("IF('(INGESTA)Datos_consumo_datadis'!A1623&lt;&gt;"""",SPLIT('(INGESTA)Datos_consumo_datadis'!A:A,"",""),"""")"),"ES0031408323131005HX0F")</f>
        <v>ES0031408323131005HX0F</v>
      </c>
      <c r="B1623" s="12">
        <f>IFERROR(__xludf.DUMMYFUNCTION("""COMPUTED_VALUE"""),44933.0)</f>
        <v>44933</v>
      </c>
      <c r="C1623" s="13">
        <f>IFERROR(__xludf.DUMMYFUNCTION("""COMPUTED_VALUE"""),0.5833333333333334)</f>
        <v>0.5833333333</v>
      </c>
      <c r="D1623" s="8">
        <f>IFERROR(__xludf.DUMMYFUNCTION("""COMPUTED_VALUE"""),2.369)</f>
        <v>2.369</v>
      </c>
      <c r="E1623" s="8" t="str">
        <f>IFERROR(__xludf.DUMMYFUNCTION("""COMPUTED_VALUE"""),"Real")</f>
        <v>Real</v>
      </c>
      <c r="G1623" s="8">
        <f t="shared" si="1"/>
        <v>1</v>
      </c>
      <c r="H1623" s="14">
        <f t="shared" si="2"/>
        <v>7</v>
      </c>
      <c r="I1623" s="15">
        <f t="shared" si="3"/>
        <v>14</v>
      </c>
    </row>
    <row r="1624">
      <c r="A1624" s="8" t="str">
        <f>IFERROR(__xludf.DUMMYFUNCTION("IF('(INGESTA)Datos_consumo_datadis'!A1624&lt;&gt;"""",SPLIT('(INGESTA)Datos_consumo_datadis'!A:A,"",""),"""")"),"ES0031408323131005HX0F")</f>
        <v>ES0031408323131005HX0F</v>
      </c>
      <c r="B1624" s="12">
        <f>IFERROR(__xludf.DUMMYFUNCTION("""COMPUTED_VALUE"""),44933.0)</f>
        <v>44933</v>
      </c>
      <c r="C1624" s="13">
        <f>IFERROR(__xludf.DUMMYFUNCTION("""COMPUTED_VALUE"""),0.625)</f>
        <v>0.625</v>
      </c>
      <c r="D1624" s="8">
        <f>IFERROR(__xludf.DUMMYFUNCTION("""COMPUTED_VALUE"""),0.359)</f>
        <v>0.359</v>
      </c>
      <c r="E1624" s="8" t="str">
        <f>IFERROR(__xludf.DUMMYFUNCTION("""COMPUTED_VALUE"""),"Real")</f>
        <v>Real</v>
      </c>
      <c r="G1624" s="8">
        <f t="shared" si="1"/>
        <v>1</v>
      </c>
      <c r="H1624" s="14">
        <f t="shared" si="2"/>
        <v>7</v>
      </c>
      <c r="I1624" s="15">
        <f t="shared" si="3"/>
        <v>15</v>
      </c>
    </row>
    <row r="1625">
      <c r="A1625" s="8" t="str">
        <f>IFERROR(__xludf.DUMMYFUNCTION("IF('(INGESTA)Datos_consumo_datadis'!A1625&lt;&gt;"""",SPLIT('(INGESTA)Datos_consumo_datadis'!A:A,"",""),"""")"),"ES0031408323131005HX0F")</f>
        <v>ES0031408323131005HX0F</v>
      </c>
      <c r="B1625" s="12">
        <f>IFERROR(__xludf.DUMMYFUNCTION("""COMPUTED_VALUE"""),44933.0)</f>
        <v>44933</v>
      </c>
      <c r="C1625" s="13">
        <f>IFERROR(__xludf.DUMMYFUNCTION("""COMPUTED_VALUE"""),0.6666666666666666)</f>
        <v>0.6666666667</v>
      </c>
      <c r="D1625" s="8">
        <f>IFERROR(__xludf.DUMMYFUNCTION("""COMPUTED_VALUE"""),0.096)</f>
        <v>0.096</v>
      </c>
      <c r="E1625" s="8" t="str">
        <f>IFERROR(__xludf.DUMMYFUNCTION("""COMPUTED_VALUE"""),"Real")</f>
        <v>Real</v>
      </c>
      <c r="G1625" s="8">
        <f t="shared" si="1"/>
        <v>1</v>
      </c>
      <c r="H1625" s="14">
        <f t="shared" si="2"/>
        <v>7</v>
      </c>
      <c r="I1625" s="15">
        <f t="shared" si="3"/>
        <v>16</v>
      </c>
    </row>
    <row r="1626">
      <c r="A1626" s="8" t="str">
        <f>IFERROR(__xludf.DUMMYFUNCTION("IF('(INGESTA)Datos_consumo_datadis'!A1626&lt;&gt;"""",SPLIT('(INGESTA)Datos_consumo_datadis'!A:A,"",""),"""")"),"ES0031408323131005HX0F")</f>
        <v>ES0031408323131005HX0F</v>
      </c>
      <c r="B1626" s="12">
        <f>IFERROR(__xludf.DUMMYFUNCTION("""COMPUTED_VALUE"""),44933.0)</f>
        <v>44933</v>
      </c>
      <c r="C1626" s="13">
        <f>IFERROR(__xludf.DUMMYFUNCTION("""COMPUTED_VALUE"""),0.7083333333333334)</f>
        <v>0.7083333333</v>
      </c>
      <c r="D1626" s="8">
        <f>IFERROR(__xludf.DUMMYFUNCTION("""COMPUTED_VALUE"""),0.028)</f>
        <v>0.028</v>
      </c>
      <c r="E1626" s="8" t="str">
        <f>IFERROR(__xludf.DUMMYFUNCTION("""COMPUTED_VALUE"""),"Real")</f>
        <v>Real</v>
      </c>
      <c r="G1626" s="8">
        <f t="shared" si="1"/>
        <v>1</v>
      </c>
      <c r="H1626" s="14">
        <f t="shared" si="2"/>
        <v>7</v>
      </c>
      <c r="I1626" s="15">
        <f t="shared" si="3"/>
        <v>17</v>
      </c>
    </row>
    <row r="1627">
      <c r="A1627" s="8" t="str">
        <f>IFERROR(__xludf.DUMMYFUNCTION("IF('(INGESTA)Datos_consumo_datadis'!A1627&lt;&gt;"""",SPLIT('(INGESTA)Datos_consumo_datadis'!A:A,"",""),"""")"),"ES0031408323131005HX0F")</f>
        <v>ES0031408323131005HX0F</v>
      </c>
      <c r="B1627" s="12">
        <f>IFERROR(__xludf.DUMMYFUNCTION("""COMPUTED_VALUE"""),44933.0)</f>
        <v>44933</v>
      </c>
      <c r="C1627" s="13">
        <f>IFERROR(__xludf.DUMMYFUNCTION("""COMPUTED_VALUE"""),0.75)</f>
        <v>0.75</v>
      </c>
      <c r="D1627" s="8">
        <f>IFERROR(__xludf.DUMMYFUNCTION("""COMPUTED_VALUE"""),0.015)</f>
        <v>0.015</v>
      </c>
      <c r="E1627" s="8" t="str">
        <f>IFERROR(__xludf.DUMMYFUNCTION("""COMPUTED_VALUE"""),"Real")</f>
        <v>Real</v>
      </c>
      <c r="G1627" s="8">
        <f t="shared" si="1"/>
        <v>1</v>
      </c>
      <c r="H1627" s="14">
        <f t="shared" si="2"/>
        <v>7</v>
      </c>
      <c r="I1627" s="15">
        <f t="shared" si="3"/>
        <v>18</v>
      </c>
    </row>
    <row r="1628">
      <c r="A1628" s="8" t="str">
        <f>IFERROR(__xludf.DUMMYFUNCTION("IF('(INGESTA)Datos_consumo_datadis'!A1628&lt;&gt;"""",SPLIT('(INGESTA)Datos_consumo_datadis'!A:A,"",""),"""")"),"ES0031408323131005HX0F")</f>
        <v>ES0031408323131005HX0F</v>
      </c>
      <c r="B1628" s="12">
        <f>IFERROR(__xludf.DUMMYFUNCTION("""COMPUTED_VALUE"""),44933.0)</f>
        <v>44933</v>
      </c>
      <c r="C1628" s="13">
        <f>IFERROR(__xludf.DUMMYFUNCTION("""COMPUTED_VALUE"""),0.7916666666666666)</f>
        <v>0.7916666667</v>
      </c>
      <c r="D1628" s="8">
        <f>IFERROR(__xludf.DUMMYFUNCTION("""COMPUTED_VALUE"""),0.075)</f>
        <v>0.075</v>
      </c>
      <c r="E1628" s="8" t="str">
        <f>IFERROR(__xludf.DUMMYFUNCTION("""COMPUTED_VALUE"""),"Real")</f>
        <v>Real</v>
      </c>
      <c r="G1628" s="8">
        <f t="shared" si="1"/>
        <v>1</v>
      </c>
      <c r="H1628" s="14">
        <f t="shared" si="2"/>
        <v>7</v>
      </c>
      <c r="I1628" s="15">
        <f t="shared" si="3"/>
        <v>19</v>
      </c>
    </row>
    <row r="1629">
      <c r="A1629" s="8" t="str">
        <f>IFERROR(__xludf.DUMMYFUNCTION("IF('(INGESTA)Datos_consumo_datadis'!A1629&lt;&gt;"""",SPLIT('(INGESTA)Datos_consumo_datadis'!A:A,"",""),"""")"),"ES0031408323131005HX0F")</f>
        <v>ES0031408323131005HX0F</v>
      </c>
      <c r="B1629" s="12">
        <f>IFERROR(__xludf.DUMMYFUNCTION("""COMPUTED_VALUE"""),44933.0)</f>
        <v>44933</v>
      </c>
      <c r="C1629" s="13">
        <f>IFERROR(__xludf.DUMMYFUNCTION("""COMPUTED_VALUE"""),0.8333333333333334)</f>
        <v>0.8333333333</v>
      </c>
      <c r="D1629" s="8">
        <f>IFERROR(__xludf.DUMMYFUNCTION("""COMPUTED_VALUE"""),0.364)</f>
        <v>0.364</v>
      </c>
      <c r="E1629" s="8" t="str">
        <f>IFERROR(__xludf.DUMMYFUNCTION("""COMPUTED_VALUE"""),"Real")</f>
        <v>Real</v>
      </c>
      <c r="G1629" s="8">
        <f t="shared" si="1"/>
        <v>1</v>
      </c>
      <c r="H1629" s="14">
        <f t="shared" si="2"/>
        <v>7</v>
      </c>
      <c r="I1629" s="15">
        <f t="shared" si="3"/>
        <v>20</v>
      </c>
    </row>
    <row r="1630">
      <c r="A1630" s="8" t="str">
        <f>IFERROR(__xludf.DUMMYFUNCTION("IF('(INGESTA)Datos_consumo_datadis'!A1630&lt;&gt;"""",SPLIT('(INGESTA)Datos_consumo_datadis'!A:A,"",""),"""")"),"ES0031408323131005HX0F")</f>
        <v>ES0031408323131005HX0F</v>
      </c>
      <c r="B1630" s="12">
        <f>IFERROR(__xludf.DUMMYFUNCTION("""COMPUTED_VALUE"""),44933.0)</f>
        <v>44933</v>
      </c>
      <c r="C1630" s="13">
        <f>IFERROR(__xludf.DUMMYFUNCTION("""COMPUTED_VALUE"""),0.875)</f>
        <v>0.875</v>
      </c>
      <c r="D1630" s="8">
        <f>IFERROR(__xludf.DUMMYFUNCTION("""COMPUTED_VALUE"""),0.05)</f>
        <v>0.05</v>
      </c>
      <c r="E1630" s="8" t="str">
        <f>IFERROR(__xludf.DUMMYFUNCTION("""COMPUTED_VALUE"""),"Real")</f>
        <v>Real</v>
      </c>
      <c r="G1630" s="8">
        <f t="shared" si="1"/>
        <v>1</v>
      </c>
      <c r="H1630" s="14">
        <f t="shared" si="2"/>
        <v>7</v>
      </c>
      <c r="I1630" s="15">
        <f t="shared" si="3"/>
        <v>21</v>
      </c>
    </row>
    <row r="1631">
      <c r="A1631" s="8" t="str">
        <f>IFERROR(__xludf.DUMMYFUNCTION("IF('(INGESTA)Datos_consumo_datadis'!A1631&lt;&gt;"""",SPLIT('(INGESTA)Datos_consumo_datadis'!A:A,"",""),"""")"),"ES0031408323131005HX0F")</f>
        <v>ES0031408323131005HX0F</v>
      </c>
      <c r="B1631" s="12">
        <f>IFERROR(__xludf.DUMMYFUNCTION("""COMPUTED_VALUE"""),44933.0)</f>
        <v>44933</v>
      </c>
      <c r="C1631" s="13">
        <f>IFERROR(__xludf.DUMMYFUNCTION("""COMPUTED_VALUE"""),0.9166666666666666)</f>
        <v>0.9166666667</v>
      </c>
      <c r="D1631" s="8">
        <f>IFERROR(__xludf.DUMMYFUNCTION("""COMPUTED_VALUE"""),0.015)</f>
        <v>0.015</v>
      </c>
      <c r="E1631" s="8" t="str">
        <f>IFERROR(__xludf.DUMMYFUNCTION("""COMPUTED_VALUE"""),"Real")</f>
        <v>Real</v>
      </c>
      <c r="G1631" s="8">
        <f t="shared" si="1"/>
        <v>1</v>
      </c>
      <c r="H1631" s="14">
        <f t="shared" si="2"/>
        <v>7</v>
      </c>
      <c r="I1631" s="15">
        <f t="shared" si="3"/>
        <v>22</v>
      </c>
    </row>
    <row r="1632">
      <c r="A1632" s="8" t="str">
        <f>IFERROR(__xludf.DUMMYFUNCTION("IF('(INGESTA)Datos_consumo_datadis'!A1632&lt;&gt;"""",SPLIT('(INGESTA)Datos_consumo_datadis'!A:A,"",""),"""")"),"ES0031408323131005HX0F")</f>
        <v>ES0031408323131005HX0F</v>
      </c>
      <c r="B1632" s="12">
        <f>IFERROR(__xludf.DUMMYFUNCTION("""COMPUTED_VALUE"""),44933.0)</f>
        <v>44933</v>
      </c>
      <c r="C1632" s="13">
        <f>IFERROR(__xludf.DUMMYFUNCTION("""COMPUTED_VALUE"""),0.9583333333333334)</f>
        <v>0.9583333333</v>
      </c>
      <c r="D1632" s="8">
        <f>IFERROR(__xludf.DUMMYFUNCTION("""COMPUTED_VALUE"""),0.014)</f>
        <v>0.014</v>
      </c>
      <c r="E1632" s="8" t="str">
        <f>IFERROR(__xludf.DUMMYFUNCTION("""COMPUTED_VALUE"""),"Real")</f>
        <v>Real</v>
      </c>
      <c r="G1632" s="8">
        <f t="shared" si="1"/>
        <v>1</v>
      </c>
      <c r="H1632" s="14">
        <f t="shared" si="2"/>
        <v>7</v>
      </c>
      <c r="I1632" s="15">
        <f t="shared" si="3"/>
        <v>23</v>
      </c>
    </row>
    <row r="1633">
      <c r="A1633" s="8" t="str">
        <f>IFERROR(__xludf.DUMMYFUNCTION("IF('(INGESTA)Datos_consumo_datadis'!A1633&lt;&gt;"""",SPLIT('(INGESTA)Datos_consumo_datadis'!A:A,"",""),"""")"),"ES0031408323131005HX0F")</f>
        <v>ES0031408323131005HX0F</v>
      </c>
      <c r="B1633" s="12">
        <f>IFERROR(__xludf.DUMMYFUNCTION("""COMPUTED_VALUE"""),44933.0)</f>
        <v>44933</v>
      </c>
      <c r="C1633" s="16">
        <f>IFERROR(__xludf.DUMMYFUNCTION("""COMPUTED_VALUE"""),1.0)</f>
        <v>1</v>
      </c>
      <c r="D1633" s="8">
        <f>IFERROR(__xludf.DUMMYFUNCTION("""COMPUTED_VALUE"""),0.085)</f>
        <v>0.085</v>
      </c>
      <c r="E1633" s="8" t="str">
        <f>IFERROR(__xludf.DUMMYFUNCTION("""COMPUTED_VALUE"""),"Real")</f>
        <v>Real</v>
      </c>
      <c r="G1633" s="8">
        <f t="shared" si="1"/>
        <v>1</v>
      </c>
      <c r="H1633" s="14">
        <f t="shared" si="2"/>
        <v>7</v>
      </c>
      <c r="I1633" s="15">
        <f t="shared" si="3"/>
        <v>0</v>
      </c>
    </row>
    <row r="1634">
      <c r="A1634" s="8" t="str">
        <f>IFERROR(__xludf.DUMMYFUNCTION("IF('(INGESTA)Datos_consumo_datadis'!A1634&lt;&gt;"""",SPLIT('(INGESTA)Datos_consumo_datadis'!A:A,"",""),"""")"),"ES0031408323131005HX0F")</f>
        <v>ES0031408323131005HX0F</v>
      </c>
      <c r="B1634" s="12">
        <f>IFERROR(__xludf.DUMMYFUNCTION("""COMPUTED_VALUE"""),44934.0)</f>
        <v>44934</v>
      </c>
      <c r="C1634" s="13">
        <f>IFERROR(__xludf.DUMMYFUNCTION("""COMPUTED_VALUE"""),0.041666666666666664)</f>
        <v>0.04166666667</v>
      </c>
      <c r="D1634" s="8">
        <f>IFERROR(__xludf.DUMMYFUNCTION("""COMPUTED_VALUE"""),0.039)</f>
        <v>0.039</v>
      </c>
      <c r="E1634" s="8" t="str">
        <f>IFERROR(__xludf.DUMMYFUNCTION("""COMPUTED_VALUE"""),"Real")</f>
        <v>Real</v>
      </c>
      <c r="G1634" s="8">
        <f t="shared" si="1"/>
        <v>1</v>
      </c>
      <c r="H1634" s="14">
        <f t="shared" si="2"/>
        <v>8</v>
      </c>
      <c r="I1634" s="15">
        <f t="shared" si="3"/>
        <v>1</v>
      </c>
    </row>
    <row r="1635">
      <c r="A1635" s="8" t="str">
        <f>IFERROR(__xludf.DUMMYFUNCTION("IF('(INGESTA)Datos_consumo_datadis'!A1635&lt;&gt;"""",SPLIT('(INGESTA)Datos_consumo_datadis'!A:A,"",""),"""")"),"ES0031408323131005HX0F")</f>
        <v>ES0031408323131005HX0F</v>
      </c>
      <c r="B1635" s="12">
        <f>IFERROR(__xludf.DUMMYFUNCTION("""COMPUTED_VALUE"""),44934.0)</f>
        <v>44934</v>
      </c>
      <c r="C1635" s="13">
        <f>IFERROR(__xludf.DUMMYFUNCTION("""COMPUTED_VALUE"""),0.08333333333333333)</f>
        <v>0.08333333333</v>
      </c>
      <c r="D1635" s="8">
        <f>IFERROR(__xludf.DUMMYFUNCTION("""COMPUTED_VALUE"""),0.578)</f>
        <v>0.578</v>
      </c>
      <c r="E1635" s="8" t="str">
        <f>IFERROR(__xludf.DUMMYFUNCTION("""COMPUTED_VALUE"""),"Real")</f>
        <v>Real</v>
      </c>
      <c r="G1635" s="8">
        <f t="shared" si="1"/>
        <v>1</v>
      </c>
      <c r="H1635" s="14">
        <f t="shared" si="2"/>
        <v>8</v>
      </c>
      <c r="I1635" s="15">
        <f t="shared" si="3"/>
        <v>2</v>
      </c>
    </row>
    <row r="1636">
      <c r="A1636" s="8" t="str">
        <f>IFERROR(__xludf.DUMMYFUNCTION("IF('(INGESTA)Datos_consumo_datadis'!A1636&lt;&gt;"""",SPLIT('(INGESTA)Datos_consumo_datadis'!A:A,"",""),"""")"),"ES0031408323131005HX0F")</f>
        <v>ES0031408323131005HX0F</v>
      </c>
      <c r="B1636" s="12">
        <f>IFERROR(__xludf.DUMMYFUNCTION("""COMPUTED_VALUE"""),44934.0)</f>
        <v>44934</v>
      </c>
      <c r="C1636" s="13">
        <f>IFERROR(__xludf.DUMMYFUNCTION("""COMPUTED_VALUE"""),0.125)</f>
        <v>0.125</v>
      </c>
      <c r="D1636" s="8">
        <f>IFERROR(__xludf.DUMMYFUNCTION("""COMPUTED_VALUE"""),0.872)</f>
        <v>0.872</v>
      </c>
      <c r="E1636" s="8" t="str">
        <f>IFERROR(__xludf.DUMMYFUNCTION("""COMPUTED_VALUE"""),"Real")</f>
        <v>Real</v>
      </c>
      <c r="G1636" s="8">
        <f t="shared" si="1"/>
        <v>1</v>
      </c>
      <c r="H1636" s="14">
        <f t="shared" si="2"/>
        <v>8</v>
      </c>
      <c r="I1636" s="15">
        <f t="shared" si="3"/>
        <v>3</v>
      </c>
    </row>
    <row r="1637">
      <c r="A1637" s="8" t="str">
        <f>IFERROR(__xludf.DUMMYFUNCTION("IF('(INGESTA)Datos_consumo_datadis'!A1637&lt;&gt;"""",SPLIT('(INGESTA)Datos_consumo_datadis'!A:A,"",""),"""")"),"ES0031408323131005HX0F")</f>
        <v>ES0031408323131005HX0F</v>
      </c>
      <c r="B1637" s="12">
        <f>IFERROR(__xludf.DUMMYFUNCTION("""COMPUTED_VALUE"""),44934.0)</f>
        <v>44934</v>
      </c>
      <c r="C1637" s="13">
        <f>IFERROR(__xludf.DUMMYFUNCTION("""COMPUTED_VALUE"""),0.16666666666666666)</f>
        <v>0.1666666667</v>
      </c>
      <c r="D1637" s="8">
        <f>IFERROR(__xludf.DUMMYFUNCTION("""COMPUTED_VALUE"""),0.78)</f>
        <v>0.78</v>
      </c>
      <c r="E1637" s="8" t="str">
        <f>IFERROR(__xludf.DUMMYFUNCTION("""COMPUTED_VALUE"""),"Real")</f>
        <v>Real</v>
      </c>
      <c r="G1637" s="8">
        <f t="shared" si="1"/>
        <v>1</v>
      </c>
      <c r="H1637" s="14">
        <f t="shared" si="2"/>
        <v>8</v>
      </c>
      <c r="I1637" s="15">
        <f t="shared" si="3"/>
        <v>4</v>
      </c>
    </row>
    <row r="1638">
      <c r="A1638" s="8" t="str">
        <f>IFERROR(__xludf.DUMMYFUNCTION("IF('(INGESTA)Datos_consumo_datadis'!A1638&lt;&gt;"""",SPLIT('(INGESTA)Datos_consumo_datadis'!A:A,"",""),"""")"),"ES0031408323131005HX0F")</f>
        <v>ES0031408323131005HX0F</v>
      </c>
      <c r="B1638" s="12">
        <f>IFERROR(__xludf.DUMMYFUNCTION("""COMPUTED_VALUE"""),44934.0)</f>
        <v>44934</v>
      </c>
      <c r="C1638" s="13">
        <f>IFERROR(__xludf.DUMMYFUNCTION("""COMPUTED_VALUE"""),0.20833333333333334)</f>
        <v>0.2083333333</v>
      </c>
      <c r="D1638" s="8">
        <f>IFERROR(__xludf.DUMMYFUNCTION("""COMPUTED_VALUE"""),0.763)</f>
        <v>0.763</v>
      </c>
      <c r="E1638" s="8" t="str">
        <f>IFERROR(__xludf.DUMMYFUNCTION("""COMPUTED_VALUE"""),"Real")</f>
        <v>Real</v>
      </c>
      <c r="G1638" s="8">
        <f t="shared" si="1"/>
        <v>1</v>
      </c>
      <c r="H1638" s="14">
        <f t="shared" si="2"/>
        <v>8</v>
      </c>
      <c r="I1638" s="15">
        <f t="shared" si="3"/>
        <v>5</v>
      </c>
    </row>
    <row r="1639">
      <c r="A1639" s="8" t="str">
        <f>IFERROR(__xludf.DUMMYFUNCTION("IF('(INGESTA)Datos_consumo_datadis'!A1639&lt;&gt;"""",SPLIT('(INGESTA)Datos_consumo_datadis'!A:A,"",""),"""")"),"ES0031408323131005HX0F")</f>
        <v>ES0031408323131005HX0F</v>
      </c>
      <c r="B1639" s="12">
        <f>IFERROR(__xludf.DUMMYFUNCTION("""COMPUTED_VALUE"""),44934.0)</f>
        <v>44934</v>
      </c>
      <c r="C1639" s="13">
        <f>IFERROR(__xludf.DUMMYFUNCTION("""COMPUTED_VALUE"""),0.25)</f>
        <v>0.25</v>
      </c>
      <c r="D1639" s="8">
        <f>IFERROR(__xludf.DUMMYFUNCTION("""COMPUTED_VALUE"""),0.765)</f>
        <v>0.765</v>
      </c>
      <c r="E1639" s="8" t="str">
        <f>IFERROR(__xludf.DUMMYFUNCTION("""COMPUTED_VALUE"""),"Real")</f>
        <v>Real</v>
      </c>
      <c r="G1639" s="8">
        <f t="shared" si="1"/>
        <v>1</v>
      </c>
      <c r="H1639" s="14">
        <f t="shared" si="2"/>
        <v>8</v>
      </c>
      <c r="I1639" s="15">
        <f t="shared" si="3"/>
        <v>6</v>
      </c>
    </row>
    <row r="1640">
      <c r="A1640" s="8" t="str">
        <f>IFERROR(__xludf.DUMMYFUNCTION("IF('(INGESTA)Datos_consumo_datadis'!A1640&lt;&gt;"""",SPLIT('(INGESTA)Datos_consumo_datadis'!A:A,"",""),"""")"),"ES0031408323131005HX0F")</f>
        <v>ES0031408323131005HX0F</v>
      </c>
      <c r="B1640" s="12">
        <f>IFERROR(__xludf.DUMMYFUNCTION("""COMPUTED_VALUE"""),44934.0)</f>
        <v>44934</v>
      </c>
      <c r="C1640" s="13">
        <f>IFERROR(__xludf.DUMMYFUNCTION("""COMPUTED_VALUE"""),0.2916666666666667)</f>
        <v>0.2916666667</v>
      </c>
      <c r="D1640" s="8">
        <f>IFERROR(__xludf.DUMMYFUNCTION("""COMPUTED_VALUE"""),0.816)</f>
        <v>0.816</v>
      </c>
      <c r="E1640" s="8" t="str">
        <f>IFERROR(__xludf.DUMMYFUNCTION("""COMPUTED_VALUE"""),"Real")</f>
        <v>Real</v>
      </c>
      <c r="G1640" s="8">
        <f t="shared" si="1"/>
        <v>1</v>
      </c>
      <c r="H1640" s="14">
        <f t="shared" si="2"/>
        <v>8</v>
      </c>
      <c r="I1640" s="15">
        <f t="shared" si="3"/>
        <v>7</v>
      </c>
    </row>
    <row r="1641">
      <c r="A1641" s="8" t="str">
        <f>IFERROR(__xludf.DUMMYFUNCTION("IF('(INGESTA)Datos_consumo_datadis'!A1641&lt;&gt;"""",SPLIT('(INGESTA)Datos_consumo_datadis'!A:A,"",""),"""")"),"ES0031408323131005HX0F")</f>
        <v>ES0031408323131005HX0F</v>
      </c>
      <c r="B1641" s="12">
        <f>IFERROR(__xludf.DUMMYFUNCTION("""COMPUTED_VALUE"""),44934.0)</f>
        <v>44934</v>
      </c>
      <c r="C1641" s="13">
        <f>IFERROR(__xludf.DUMMYFUNCTION("""COMPUTED_VALUE"""),0.3333333333333333)</f>
        <v>0.3333333333</v>
      </c>
      <c r="D1641" s="8">
        <f>IFERROR(__xludf.DUMMYFUNCTION("""COMPUTED_VALUE"""),1.041)</f>
        <v>1.041</v>
      </c>
      <c r="E1641" s="8" t="str">
        <f>IFERROR(__xludf.DUMMYFUNCTION("""COMPUTED_VALUE"""),"Real")</f>
        <v>Real</v>
      </c>
      <c r="G1641" s="8">
        <f t="shared" si="1"/>
        <v>1</v>
      </c>
      <c r="H1641" s="14">
        <f t="shared" si="2"/>
        <v>8</v>
      </c>
      <c r="I1641" s="15">
        <f t="shared" si="3"/>
        <v>8</v>
      </c>
    </row>
    <row r="1642">
      <c r="A1642" s="8" t="str">
        <f>IFERROR(__xludf.DUMMYFUNCTION("IF('(INGESTA)Datos_consumo_datadis'!A1642&lt;&gt;"""",SPLIT('(INGESTA)Datos_consumo_datadis'!A:A,"",""),"""")"),"ES0031408323131005HX0F")</f>
        <v>ES0031408323131005HX0F</v>
      </c>
      <c r="B1642" s="12">
        <f>IFERROR(__xludf.DUMMYFUNCTION("""COMPUTED_VALUE"""),44934.0)</f>
        <v>44934</v>
      </c>
      <c r="C1642" s="13">
        <f>IFERROR(__xludf.DUMMYFUNCTION("""COMPUTED_VALUE"""),0.375)</f>
        <v>0.375</v>
      </c>
      <c r="D1642" s="8">
        <f>IFERROR(__xludf.DUMMYFUNCTION("""COMPUTED_VALUE"""),0.738)</f>
        <v>0.738</v>
      </c>
      <c r="E1642" s="8" t="str">
        <f>IFERROR(__xludf.DUMMYFUNCTION("""COMPUTED_VALUE"""),"Real")</f>
        <v>Real</v>
      </c>
      <c r="G1642" s="8">
        <f t="shared" si="1"/>
        <v>1</v>
      </c>
      <c r="H1642" s="14">
        <f t="shared" si="2"/>
        <v>8</v>
      </c>
      <c r="I1642" s="15">
        <f t="shared" si="3"/>
        <v>9</v>
      </c>
    </row>
    <row r="1643">
      <c r="A1643" s="8" t="str">
        <f>IFERROR(__xludf.DUMMYFUNCTION("IF('(INGESTA)Datos_consumo_datadis'!A1643&lt;&gt;"""",SPLIT('(INGESTA)Datos_consumo_datadis'!A:A,"",""),"""")"),"ES0031408323131005HX0F")</f>
        <v>ES0031408323131005HX0F</v>
      </c>
      <c r="B1643" s="12">
        <f>IFERROR(__xludf.DUMMYFUNCTION("""COMPUTED_VALUE"""),44934.0)</f>
        <v>44934</v>
      </c>
      <c r="C1643" s="13">
        <f>IFERROR(__xludf.DUMMYFUNCTION("""COMPUTED_VALUE"""),0.4166666666666667)</f>
        <v>0.4166666667</v>
      </c>
      <c r="D1643" s="8">
        <f>IFERROR(__xludf.DUMMYFUNCTION("""COMPUTED_VALUE"""),0.628)</f>
        <v>0.628</v>
      </c>
      <c r="E1643" s="8" t="str">
        <f>IFERROR(__xludf.DUMMYFUNCTION("""COMPUTED_VALUE"""),"Real")</f>
        <v>Real</v>
      </c>
      <c r="G1643" s="8">
        <f t="shared" si="1"/>
        <v>1</v>
      </c>
      <c r="H1643" s="14">
        <f t="shared" si="2"/>
        <v>8</v>
      </c>
      <c r="I1643" s="15">
        <f t="shared" si="3"/>
        <v>10</v>
      </c>
    </row>
    <row r="1644">
      <c r="A1644" s="8" t="str">
        <f>IFERROR(__xludf.DUMMYFUNCTION("IF('(INGESTA)Datos_consumo_datadis'!A1644&lt;&gt;"""",SPLIT('(INGESTA)Datos_consumo_datadis'!A:A,"",""),"""")"),"ES0031408323131005HX0F")</f>
        <v>ES0031408323131005HX0F</v>
      </c>
      <c r="B1644" s="12">
        <f>IFERROR(__xludf.DUMMYFUNCTION("""COMPUTED_VALUE"""),44934.0)</f>
        <v>44934</v>
      </c>
      <c r="C1644" s="13">
        <f>IFERROR(__xludf.DUMMYFUNCTION("""COMPUTED_VALUE"""),0.4583333333333333)</f>
        <v>0.4583333333</v>
      </c>
      <c r="D1644" s="8">
        <f>IFERROR(__xludf.DUMMYFUNCTION("""COMPUTED_VALUE"""),1.436)</f>
        <v>1.436</v>
      </c>
      <c r="E1644" s="8" t="str">
        <f>IFERROR(__xludf.DUMMYFUNCTION("""COMPUTED_VALUE"""),"Real")</f>
        <v>Real</v>
      </c>
      <c r="G1644" s="8">
        <f t="shared" si="1"/>
        <v>1</v>
      </c>
      <c r="H1644" s="14">
        <f t="shared" si="2"/>
        <v>8</v>
      </c>
      <c r="I1644" s="15">
        <f t="shared" si="3"/>
        <v>11</v>
      </c>
    </row>
    <row r="1645">
      <c r="A1645" s="8" t="str">
        <f>IFERROR(__xludf.DUMMYFUNCTION("IF('(INGESTA)Datos_consumo_datadis'!A1645&lt;&gt;"""",SPLIT('(INGESTA)Datos_consumo_datadis'!A:A,"",""),"""")"),"ES0031408323131005HX0F")</f>
        <v>ES0031408323131005HX0F</v>
      </c>
      <c r="B1645" s="12">
        <f>IFERROR(__xludf.DUMMYFUNCTION("""COMPUTED_VALUE"""),44934.0)</f>
        <v>44934</v>
      </c>
      <c r="C1645" s="13">
        <f>IFERROR(__xludf.DUMMYFUNCTION("""COMPUTED_VALUE"""),0.5)</f>
        <v>0.5</v>
      </c>
      <c r="D1645" s="8">
        <f>IFERROR(__xludf.DUMMYFUNCTION("""COMPUTED_VALUE"""),0.393)</f>
        <v>0.393</v>
      </c>
      <c r="E1645" s="8" t="str">
        <f>IFERROR(__xludf.DUMMYFUNCTION("""COMPUTED_VALUE"""),"Real")</f>
        <v>Real</v>
      </c>
      <c r="G1645" s="8">
        <f t="shared" si="1"/>
        <v>1</v>
      </c>
      <c r="H1645" s="14">
        <f t="shared" si="2"/>
        <v>8</v>
      </c>
      <c r="I1645" s="15">
        <f t="shared" si="3"/>
        <v>12</v>
      </c>
    </row>
    <row r="1646">
      <c r="A1646" s="8" t="str">
        <f>IFERROR(__xludf.DUMMYFUNCTION("IF('(INGESTA)Datos_consumo_datadis'!A1646&lt;&gt;"""",SPLIT('(INGESTA)Datos_consumo_datadis'!A:A,"",""),"""")"),"ES0031408323131005HX0F")</f>
        <v>ES0031408323131005HX0F</v>
      </c>
      <c r="B1646" s="12">
        <f>IFERROR(__xludf.DUMMYFUNCTION("""COMPUTED_VALUE"""),44934.0)</f>
        <v>44934</v>
      </c>
      <c r="C1646" s="13">
        <f>IFERROR(__xludf.DUMMYFUNCTION("""COMPUTED_VALUE"""),0.5416666666666666)</f>
        <v>0.5416666667</v>
      </c>
      <c r="D1646" s="8">
        <f>IFERROR(__xludf.DUMMYFUNCTION("""COMPUTED_VALUE"""),0.016)</f>
        <v>0.016</v>
      </c>
      <c r="E1646" s="8" t="str">
        <f>IFERROR(__xludf.DUMMYFUNCTION("""COMPUTED_VALUE"""),"Real")</f>
        <v>Real</v>
      </c>
      <c r="G1646" s="8">
        <f t="shared" si="1"/>
        <v>1</v>
      </c>
      <c r="H1646" s="14">
        <f t="shared" si="2"/>
        <v>8</v>
      </c>
      <c r="I1646" s="15">
        <f t="shared" si="3"/>
        <v>13</v>
      </c>
    </row>
    <row r="1647">
      <c r="A1647" s="8" t="str">
        <f>IFERROR(__xludf.DUMMYFUNCTION("IF('(INGESTA)Datos_consumo_datadis'!A1647&lt;&gt;"""",SPLIT('(INGESTA)Datos_consumo_datadis'!A:A,"",""),"""")"),"ES0031408323131005HX0F")</f>
        <v>ES0031408323131005HX0F</v>
      </c>
      <c r="B1647" s="12">
        <f>IFERROR(__xludf.DUMMYFUNCTION("""COMPUTED_VALUE"""),44934.0)</f>
        <v>44934</v>
      </c>
      <c r="C1647" s="13">
        <f>IFERROR(__xludf.DUMMYFUNCTION("""COMPUTED_VALUE"""),0.5833333333333334)</f>
        <v>0.5833333333</v>
      </c>
      <c r="D1647" s="8">
        <f>IFERROR(__xludf.DUMMYFUNCTION("""COMPUTED_VALUE"""),0.621)</f>
        <v>0.621</v>
      </c>
      <c r="E1647" s="8" t="str">
        <f>IFERROR(__xludf.DUMMYFUNCTION("""COMPUTED_VALUE"""),"Real")</f>
        <v>Real</v>
      </c>
      <c r="G1647" s="8">
        <f t="shared" si="1"/>
        <v>1</v>
      </c>
      <c r="H1647" s="14">
        <f t="shared" si="2"/>
        <v>8</v>
      </c>
      <c r="I1647" s="15">
        <f t="shared" si="3"/>
        <v>14</v>
      </c>
    </row>
    <row r="1648">
      <c r="A1648" s="8" t="str">
        <f>IFERROR(__xludf.DUMMYFUNCTION("IF('(INGESTA)Datos_consumo_datadis'!A1648&lt;&gt;"""",SPLIT('(INGESTA)Datos_consumo_datadis'!A:A,"",""),"""")"),"ES0031408323131005HX0F")</f>
        <v>ES0031408323131005HX0F</v>
      </c>
      <c r="B1648" s="12">
        <f>IFERROR(__xludf.DUMMYFUNCTION("""COMPUTED_VALUE"""),44934.0)</f>
        <v>44934</v>
      </c>
      <c r="C1648" s="13">
        <f>IFERROR(__xludf.DUMMYFUNCTION("""COMPUTED_VALUE"""),0.625)</f>
        <v>0.625</v>
      </c>
      <c r="D1648" s="8">
        <f>IFERROR(__xludf.DUMMYFUNCTION("""COMPUTED_VALUE"""),1.509)</f>
        <v>1.509</v>
      </c>
      <c r="E1648" s="8" t="str">
        <f>IFERROR(__xludf.DUMMYFUNCTION("""COMPUTED_VALUE"""),"Real")</f>
        <v>Real</v>
      </c>
      <c r="G1648" s="8">
        <f t="shared" si="1"/>
        <v>1</v>
      </c>
      <c r="H1648" s="14">
        <f t="shared" si="2"/>
        <v>8</v>
      </c>
      <c r="I1648" s="15">
        <f t="shared" si="3"/>
        <v>15</v>
      </c>
    </row>
    <row r="1649">
      <c r="A1649" s="8" t="str">
        <f>IFERROR(__xludf.DUMMYFUNCTION("IF('(INGESTA)Datos_consumo_datadis'!A1649&lt;&gt;"""",SPLIT('(INGESTA)Datos_consumo_datadis'!A:A,"",""),"""")"),"ES0031408323131005HX0F")</f>
        <v>ES0031408323131005HX0F</v>
      </c>
      <c r="B1649" s="12">
        <f>IFERROR(__xludf.DUMMYFUNCTION("""COMPUTED_VALUE"""),44934.0)</f>
        <v>44934</v>
      </c>
      <c r="C1649" s="13">
        <f>IFERROR(__xludf.DUMMYFUNCTION("""COMPUTED_VALUE"""),0.6666666666666666)</f>
        <v>0.6666666667</v>
      </c>
      <c r="D1649" s="8">
        <f>IFERROR(__xludf.DUMMYFUNCTION("""COMPUTED_VALUE"""),0.73)</f>
        <v>0.73</v>
      </c>
      <c r="E1649" s="8" t="str">
        <f>IFERROR(__xludf.DUMMYFUNCTION("""COMPUTED_VALUE"""),"Real")</f>
        <v>Real</v>
      </c>
      <c r="G1649" s="8">
        <f t="shared" si="1"/>
        <v>1</v>
      </c>
      <c r="H1649" s="14">
        <f t="shared" si="2"/>
        <v>8</v>
      </c>
      <c r="I1649" s="15">
        <f t="shared" si="3"/>
        <v>16</v>
      </c>
    </row>
    <row r="1650">
      <c r="A1650" s="8" t="str">
        <f>IFERROR(__xludf.DUMMYFUNCTION("IF('(INGESTA)Datos_consumo_datadis'!A1650&lt;&gt;"""",SPLIT('(INGESTA)Datos_consumo_datadis'!A:A,"",""),"""")"),"ES0031408323131005HX0F")</f>
        <v>ES0031408323131005HX0F</v>
      </c>
      <c r="B1650" s="12">
        <f>IFERROR(__xludf.DUMMYFUNCTION("""COMPUTED_VALUE"""),44934.0)</f>
        <v>44934</v>
      </c>
      <c r="C1650" s="13">
        <f>IFERROR(__xludf.DUMMYFUNCTION("""COMPUTED_VALUE"""),0.7083333333333334)</f>
        <v>0.7083333333</v>
      </c>
      <c r="D1650" s="8">
        <f>IFERROR(__xludf.DUMMYFUNCTION("""COMPUTED_VALUE"""),0.842)</f>
        <v>0.842</v>
      </c>
      <c r="E1650" s="8" t="str">
        <f>IFERROR(__xludf.DUMMYFUNCTION("""COMPUTED_VALUE"""),"Real")</f>
        <v>Real</v>
      </c>
      <c r="G1650" s="8">
        <f t="shared" si="1"/>
        <v>1</v>
      </c>
      <c r="H1650" s="14">
        <f t="shared" si="2"/>
        <v>8</v>
      </c>
      <c r="I1650" s="15">
        <f t="shared" si="3"/>
        <v>17</v>
      </c>
    </row>
    <row r="1651">
      <c r="A1651" s="8" t="str">
        <f>IFERROR(__xludf.DUMMYFUNCTION("IF('(INGESTA)Datos_consumo_datadis'!A1651&lt;&gt;"""",SPLIT('(INGESTA)Datos_consumo_datadis'!A:A,"",""),"""")"),"ES0031408323131005HX0F")</f>
        <v>ES0031408323131005HX0F</v>
      </c>
      <c r="B1651" s="12">
        <f>IFERROR(__xludf.DUMMYFUNCTION("""COMPUTED_VALUE"""),44934.0)</f>
        <v>44934</v>
      </c>
      <c r="C1651" s="13">
        <f>IFERROR(__xludf.DUMMYFUNCTION("""COMPUTED_VALUE"""),0.75)</f>
        <v>0.75</v>
      </c>
      <c r="D1651" s="8">
        <f>IFERROR(__xludf.DUMMYFUNCTION("""COMPUTED_VALUE"""),0.824)</f>
        <v>0.824</v>
      </c>
      <c r="E1651" s="8" t="str">
        <f>IFERROR(__xludf.DUMMYFUNCTION("""COMPUTED_VALUE"""),"Real")</f>
        <v>Real</v>
      </c>
      <c r="G1651" s="8">
        <f t="shared" si="1"/>
        <v>1</v>
      </c>
      <c r="H1651" s="14">
        <f t="shared" si="2"/>
        <v>8</v>
      </c>
      <c r="I1651" s="15">
        <f t="shared" si="3"/>
        <v>18</v>
      </c>
    </row>
    <row r="1652">
      <c r="A1652" s="8" t="str">
        <f>IFERROR(__xludf.DUMMYFUNCTION("IF('(INGESTA)Datos_consumo_datadis'!A1652&lt;&gt;"""",SPLIT('(INGESTA)Datos_consumo_datadis'!A:A,"",""),"""")"),"ES0031408323131005HX0F")</f>
        <v>ES0031408323131005HX0F</v>
      </c>
      <c r="B1652" s="12">
        <f>IFERROR(__xludf.DUMMYFUNCTION("""COMPUTED_VALUE"""),44934.0)</f>
        <v>44934</v>
      </c>
      <c r="C1652" s="13">
        <f>IFERROR(__xludf.DUMMYFUNCTION("""COMPUTED_VALUE"""),0.7916666666666666)</f>
        <v>0.7916666667</v>
      </c>
      <c r="D1652" s="8">
        <f>IFERROR(__xludf.DUMMYFUNCTION("""COMPUTED_VALUE"""),0.015)</f>
        <v>0.015</v>
      </c>
      <c r="E1652" s="8" t="str">
        <f>IFERROR(__xludf.DUMMYFUNCTION("""COMPUTED_VALUE"""),"Real")</f>
        <v>Real</v>
      </c>
      <c r="G1652" s="8">
        <f t="shared" si="1"/>
        <v>1</v>
      </c>
      <c r="H1652" s="14">
        <f t="shared" si="2"/>
        <v>8</v>
      </c>
      <c r="I1652" s="15">
        <f t="shared" si="3"/>
        <v>19</v>
      </c>
    </row>
    <row r="1653">
      <c r="A1653" s="8" t="str">
        <f>IFERROR(__xludf.DUMMYFUNCTION("IF('(INGESTA)Datos_consumo_datadis'!A1653&lt;&gt;"""",SPLIT('(INGESTA)Datos_consumo_datadis'!A:A,"",""),"""")"),"ES0031408323131005HX0F")</f>
        <v>ES0031408323131005HX0F</v>
      </c>
      <c r="B1653" s="12">
        <f>IFERROR(__xludf.DUMMYFUNCTION("""COMPUTED_VALUE"""),44934.0)</f>
        <v>44934</v>
      </c>
      <c r="C1653" s="13">
        <f>IFERROR(__xludf.DUMMYFUNCTION("""COMPUTED_VALUE"""),0.8333333333333334)</f>
        <v>0.8333333333</v>
      </c>
      <c r="D1653" s="8">
        <f>IFERROR(__xludf.DUMMYFUNCTION("""COMPUTED_VALUE"""),0.441)</f>
        <v>0.441</v>
      </c>
      <c r="E1653" s="8" t="str">
        <f>IFERROR(__xludf.DUMMYFUNCTION("""COMPUTED_VALUE"""),"Real")</f>
        <v>Real</v>
      </c>
      <c r="G1653" s="8">
        <f t="shared" si="1"/>
        <v>1</v>
      </c>
      <c r="H1653" s="14">
        <f t="shared" si="2"/>
        <v>8</v>
      </c>
      <c r="I1653" s="15">
        <f t="shared" si="3"/>
        <v>20</v>
      </c>
    </row>
    <row r="1654">
      <c r="A1654" s="8" t="str">
        <f>IFERROR(__xludf.DUMMYFUNCTION("IF('(INGESTA)Datos_consumo_datadis'!A1654&lt;&gt;"""",SPLIT('(INGESTA)Datos_consumo_datadis'!A:A,"",""),"""")"),"ES0031408323131005HX0F")</f>
        <v>ES0031408323131005HX0F</v>
      </c>
      <c r="B1654" s="12">
        <f>IFERROR(__xludf.DUMMYFUNCTION("""COMPUTED_VALUE"""),44934.0)</f>
        <v>44934</v>
      </c>
      <c r="C1654" s="13">
        <f>IFERROR(__xludf.DUMMYFUNCTION("""COMPUTED_VALUE"""),0.875)</f>
        <v>0.875</v>
      </c>
      <c r="D1654" s="8">
        <f>IFERROR(__xludf.DUMMYFUNCTION("""COMPUTED_VALUE"""),1.751)</f>
        <v>1.751</v>
      </c>
      <c r="E1654" s="8" t="str">
        <f>IFERROR(__xludf.DUMMYFUNCTION("""COMPUTED_VALUE"""),"Real")</f>
        <v>Real</v>
      </c>
      <c r="G1654" s="8">
        <f t="shared" si="1"/>
        <v>1</v>
      </c>
      <c r="H1654" s="14">
        <f t="shared" si="2"/>
        <v>8</v>
      </c>
      <c r="I1654" s="15">
        <f t="shared" si="3"/>
        <v>21</v>
      </c>
    </row>
    <row r="1655">
      <c r="A1655" s="8" t="str">
        <f>IFERROR(__xludf.DUMMYFUNCTION("IF('(INGESTA)Datos_consumo_datadis'!A1655&lt;&gt;"""",SPLIT('(INGESTA)Datos_consumo_datadis'!A:A,"",""),"""")"),"ES0031408323131005HX0F")</f>
        <v>ES0031408323131005HX0F</v>
      </c>
      <c r="B1655" s="12">
        <f>IFERROR(__xludf.DUMMYFUNCTION("""COMPUTED_VALUE"""),44934.0)</f>
        <v>44934</v>
      </c>
      <c r="C1655" s="13">
        <f>IFERROR(__xludf.DUMMYFUNCTION("""COMPUTED_VALUE"""),0.9166666666666666)</f>
        <v>0.9166666667</v>
      </c>
      <c r="D1655" s="8">
        <f>IFERROR(__xludf.DUMMYFUNCTION("""COMPUTED_VALUE"""),2.418)</f>
        <v>2.418</v>
      </c>
      <c r="E1655" s="8" t="str">
        <f>IFERROR(__xludf.DUMMYFUNCTION("""COMPUTED_VALUE"""),"Real")</f>
        <v>Real</v>
      </c>
      <c r="G1655" s="8">
        <f t="shared" si="1"/>
        <v>1</v>
      </c>
      <c r="H1655" s="14">
        <f t="shared" si="2"/>
        <v>8</v>
      </c>
      <c r="I1655" s="15">
        <f t="shared" si="3"/>
        <v>22</v>
      </c>
    </row>
    <row r="1656">
      <c r="A1656" s="8" t="str">
        <f>IFERROR(__xludf.DUMMYFUNCTION("IF('(INGESTA)Datos_consumo_datadis'!A1656&lt;&gt;"""",SPLIT('(INGESTA)Datos_consumo_datadis'!A:A,"",""),"""")"),"ES0031408323131005HX0F")</f>
        <v>ES0031408323131005HX0F</v>
      </c>
      <c r="B1656" s="12">
        <f>IFERROR(__xludf.DUMMYFUNCTION("""COMPUTED_VALUE"""),44934.0)</f>
        <v>44934</v>
      </c>
      <c r="C1656" s="13">
        <f>IFERROR(__xludf.DUMMYFUNCTION("""COMPUTED_VALUE"""),0.9583333333333334)</f>
        <v>0.9583333333</v>
      </c>
      <c r="D1656" s="8">
        <f>IFERROR(__xludf.DUMMYFUNCTION("""COMPUTED_VALUE"""),1.373)</f>
        <v>1.373</v>
      </c>
      <c r="E1656" s="8" t="str">
        <f>IFERROR(__xludf.DUMMYFUNCTION("""COMPUTED_VALUE"""),"Real")</f>
        <v>Real</v>
      </c>
      <c r="G1656" s="8">
        <f t="shared" si="1"/>
        <v>1</v>
      </c>
      <c r="H1656" s="14">
        <f t="shared" si="2"/>
        <v>8</v>
      </c>
      <c r="I1656" s="15">
        <f t="shared" si="3"/>
        <v>23</v>
      </c>
    </row>
    <row r="1657">
      <c r="A1657" s="8" t="str">
        <f>IFERROR(__xludf.DUMMYFUNCTION("IF('(INGESTA)Datos_consumo_datadis'!A1657&lt;&gt;"""",SPLIT('(INGESTA)Datos_consumo_datadis'!A:A,"",""),"""")"),"ES0031408323131005HX0F")</f>
        <v>ES0031408323131005HX0F</v>
      </c>
      <c r="B1657" s="12">
        <f>IFERROR(__xludf.DUMMYFUNCTION("""COMPUTED_VALUE"""),44934.0)</f>
        <v>44934</v>
      </c>
      <c r="C1657" s="16">
        <f>IFERROR(__xludf.DUMMYFUNCTION("""COMPUTED_VALUE"""),1.0)</f>
        <v>1</v>
      </c>
      <c r="D1657" s="8">
        <f>IFERROR(__xludf.DUMMYFUNCTION("""COMPUTED_VALUE"""),1.331)</f>
        <v>1.331</v>
      </c>
      <c r="E1657" s="8" t="str">
        <f>IFERROR(__xludf.DUMMYFUNCTION("""COMPUTED_VALUE"""),"Real")</f>
        <v>Real</v>
      </c>
      <c r="G1657" s="8">
        <f t="shared" si="1"/>
        <v>1</v>
      </c>
      <c r="H1657" s="14">
        <f t="shared" si="2"/>
        <v>8</v>
      </c>
      <c r="I1657" s="15">
        <f t="shared" si="3"/>
        <v>0</v>
      </c>
    </row>
    <row r="1658">
      <c r="A1658" s="8" t="str">
        <f>IFERROR(__xludf.DUMMYFUNCTION("IF('(INGESTA)Datos_consumo_datadis'!A1658&lt;&gt;"""",SPLIT('(INGESTA)Datos_consumo_datadis'!A:A,"",""),"""")"),"ES0031408323131005HX0F")</f>
        <v>ES0031408323131005HX0F</v>
      </c>
      <c r="B1658" s="12">
        <f>IFERROR(__xludf.DUMMYFUNCTION("""COMPUTED_VALUE"""),44935.0)</f>
        <v>44935</v>
      </c>
      <c r="C1658" s="13">
        <f>IFERROR(__xludf.DUMMYFUNCTION("""COMPUTED_VALUE"""),0.041666666666666664)</f>
        <v>0.04166666667</v>
      </c>
      <c r="D1658" s="8">
        <f>IFERROR(__xludf.DUMMYFUNCTION("""COMPUTED_VALUE"""),1.314)</f>
        <v>1.314</v>
      </c>
      <c r="E1658" s="8" t="str">
        <f>IFERROR(__xludf.DUMMYFUNCTION("""COMPUTED_VALUE"""),"Real")</f>
        <v>Real</v>
      </c>
      <c r="G1658" s="8">
        <f t="shared" si="1"/>
        <v>1</v>
      </c>
      <c r="H1658" s="14">
        <f t="shared" si="2"/>
        <v>9</v>
      </c>
      <c r="I1658" s="15">
        <f t="shared" si="3"/>
        <v>1</v>
      </c>
    </row>
    <row r="1659">
      <c r="A1659" s="8" t="str">
        <f>IFERROR(__xludf.DUMMYFUNCTION("IF('(INGESTA)Datos_consumo_datadis'!A1659&lt;&gt;"""",SPLIT('(INGESTA)Datos_consumo_datadis'!A:A,"",""),"""")"),"ES0031408323131005HX0F")</f>
        <v>ES0031408323131005HX0F</v>
      </c>
      <c r="B1659" s="12">
        <f>IFERROR(__xludf.DUMMYFUNCTION("""COMPUTED_VALUE"""),44935.0)</f>
        <v>44935</v>
      </c>
      <c r="C1659" s="13">
        <f>IFERROR(__xludf.DUMMYFUNCTION("""COMPUTED_VALUE"""),0.08333333333333333)</f>
        <v>0.08333333333</v>
      </c>
      <c r="D1659" s="8">
        <f>IFERROR(__xludf.DUMMYFUNCTION("""COMPUTED_VALUE"""),1.554)</f>
        <v>1.554</v>
      </c>
      <c r="E1659" s="8" t="str">
        <f>IFERROR(__xludf.DUMMYFUNCTION("""COMPUTED_VALUE"""),"Real")</f>
        <v>Real</v>
      </c>
      <c r="G1659" s="8">
        <f t="shared" si="1"/>
        <v>1</v>
      </c>
      <c r="H1659" s="14">
        <f t="shared" si="2"/>
        <v>9</v>
      </c>
      <c r="I1659" s="15">
        <f t="shared" si="3"/>
        <v>2</v>
      </c>
    </row>
    <row r="1660">
      <c r="A1660" s="8" t="str">
        <f>IFERROR(__xludf.DUMMYFUNCTION("IF('(INGESTA)Datos_consumo_datadis'!A1660&lt;&gt;"""",SPLIT('(INGESTA)Datos_consumo_datadis'!A:A,"",""),"""")"),"ES0031408323131005HX0F")</f>
        <v>ES0031408323131005HX0F</v>
      </c>
      <c r="B1660" s="12">
        <f>IFERROR(__xludf.DUMMYFUNCTION("""COMPUTED_VALUE"""),44935.0)</f>
        <v>44935</v>
      </c>
      <c r="C1660" s="13">
        <f>IFERROR(__xludf.DUMMYFUNCTION("""COMPUTED_VALUE"""),0.125)</f>
        <v>0.125</v>
      </c>
      <c r="D1660" s="8">
        <f>IFERROR(__xludf.DUMMYFUNCTION("""COMPUTED_VALUE"""),1.262)</f>
        <v>1.262</v>
      </c>
      <c r="E1660" s="8" t="str">
        <f>IFERROR(__xludf.DUMMYFUNCTION("""COMPUTED_VALUE"""),"Real")</f>
        <v>Real</v>
      </c>
      <c r="G1660" s="8">
        <f t="shared" si="1"/>
        <v>1</v>
      </c>
      <c r="H1660" s="14">
        <f t="shared" si="2"/>
        <v>9</v>
      </c>
      <c r="I1660" s="15">
        <f t="shared" si="3"/>
        <v>3</v>
      </c>
    </row>
    <row r="1661">
      <c r="A1661" s="8" t="str">
        <f>IFERROR(__xludf.DUMMYFUNCTION("IF('(INGESTA)Datos_consumo_datadis'!A1661&lt;&gt;"""",SPLIT('(INGESTA)Datos_consumo_datadis'!A:A,"",""),"""")"),"ES0031408323131005HX0F")</f>
        <v>ES0031408323131005HX0F</v>
      </c>
      <c r="B1661" s="12">
        <f>IFERROR(__xludf.DUMMYFUNCTION("""COMPUTED_VALUE"""),44935.0)</f>
        <v>44935</v>
      </c>
      <c r="C1661" s="13">
        <f>IFERROR(__xludf.DUMMYFUNCTION("""COMPUTED_VALUE"""),0.16666666666666666)</f>
        <v>0.1666666667</v>
      </c>
      <c r="D1661" s="8">
        <f>IFERROR(__xludf.DUMMYFUNCTION("""COMPUTED_VALUE"""),1.347)</f>
        <v>1.347</v>
      </c>
      <c r="E1661" s="8" t="str">
        <f>IFERROR(__xludf.DUMMYFUNCTION("""COMPUTED_VALUE"""),"Real")</f>
        <v>Real</v>
      </c>
      <c r="G1661" s="8">
        <f t="shared" si="1"/>
        <v>1</v>
      </c>
      <c r="H1661" s="14">
        <f t="shared" si="2"/>
        <v>9</v>
      </c>
      <c r="I1661" s="15">
        <f t="shared" si="3"/>
        <v>4</v>
      </c>
    </row>
    <row r="1662">
      <c r="A1662" s="8" t="str">
        <f>IFERROR(__xludf.DUMMYFUNCTION("IF('(INGESTA)Datos_consumo_datadis'!A1662&lt;&gt;"""",SPLIT('(INGESTA)Datos_consumo_datadis'!A:A,"",""),"""")"),"ES0031408323131005HX0F")</f>
        <v>ES0031408323131005HX0F</v>
      </c>
      <c r="B1662" s="12">
        <f>IFERROR(__xludf.DUMMYFUNCTION("""COMPUTED_VALUE"""),44935.0)</f>
        <v>44935</v>
      </c>
      <c r="C1662" s="13">
        <f>IFERROR(__xludf.DUMMYFUNCTION("""COMPUTED_VALUE"""),0.20833333333333334)</f>
        <v>0.2083333333</v>
      </c>
      <c r="D1662" s="8">
        <f>IFERROR(__xludf.DUMMYFUNCTION("""COMPUTED_VALUE"""),1.297)</f>
        <v>1.297</v>
      </c>
      <c r="E1662" s="8" t="str">
        <f>IFERROR(__xludf.DUMMYFUNCTION("""COMPUTED_VALUE"""),"Real")</f>
        <v>Real</v>
      </c>
      <c r="G1662" s="8">
        <f t="shared" si="1"/>
        <v>1</v>
      </c>
      <c r="H1662" s="14">
        <f t="shared" si="2"/>
        <v>9</v>
      </c>
      <c r="I1662" s="15">
        <f t="shared" si="3"/>
        <v>5</v>
      </c>
    </row>
    <row r="1663">
      <c r="A1663" s="8" t="str">
        <f>IFERROR(__xludf.DUMMYFUNCTION("IF('(INGESTA)Datos_consumo_datadis'!A1663&lt;&gt;"""",SPLIT('(INGESTA)Datos_consumo_datadis'!A:A,"",""),"""")"),"ES0031408323131005HX0F")</f>
        <v>ES0031408323131005HX0F</v>
      </c>
      <c r="B1663" s="12">
        <f>IFERROR(__xludf.DUMMYFUNCTION("""COMPUTED_VALUE"""),44935.0)</f>
        <v>44935</v>
      </c>
      <c r="C1663" s="13">
        <f>IFERROR(__xludf.DUMMYFUNCTION("""COMPUTED_VALUE"""),0.25)</f>
        <v>0.25</v>
      </c>
      <c r="D1663" s="8">
        <f>IFERROR(__xludf.DUMMYFUNCTION("""COMPUTED_VALUE"""),1.241)</f>
        <v>1.241</v>
      </c>
      <c r="E1663" s="8" t="str">
        <f>IFERROR(__xludf.DUMMYFUNCTION("""COMPUTED_VALUE"""),"Real")</f>
        <v>Real</v>
      </c>
      <c r="G1663" s="8">
        <f t="shared" si="1"/>
        <v>1</v>
      </c>
      <c r="H1663" s="14">
        <f t="shared" si="2"/>
        <v>9</v>
      </c>
      <c r="I1663" s="15">
        <f t="shared" si="3"/>
        <v>6</v>
      </c>
    </row>
    <row r="1664">
      <c r="A1664" s="8" t="str">
        <f>IFERROR(__xludf.DUMMYFUNCTION("IF('(INGESTA)Datos_consumo_datadis'!A1664&lt;&gt;"""",SPLIT('(INGESTA)Datos_consumo_datadis'!A:A,"",""),"""")"),"ES0031408323131005HX0F")</f>
        <v>ES0031408323131005HX0F</v>
      </c>
      <c r="B1664" s="12">
        <f>IFERROR(__xludf.DUMMYFUNCTION("""COMPUTED_VALUE"""),44935.0)</f>
        <v>44935</v>
      </c>
      <c r="C1664" s="13">
        <f>IFERROR(__xludf.DUMMYFUNCTION("""COMPUTED_VALUE"""),0.2916666666666667)</f>
        <v>0.2916666667</v>
      </c>
      <c r="D1664" s="8">
        <f>IFERROR(__xludf.DUMMYFUNCTION("""COMPUTED_VALUE"""),1.34)</f>
        <v>1.34</v>
      </c>
      <c r="E1664" s="8" t="str">
        <f>IFERROR(__xludf.DUMMYFUNCTION("""COMPUTED_VALUE"""),"Real")</f>
        <v>Real</v>
      </c>
      <c r="G1664" s="8">
        <f t="shared" si="1"/>
        <v>1</v>
      </c>
      <c r="H1664" s="14">
        <f t="shared" si="2"/>
        <v>9</v>
      </c>
      <c r="I1664" s="15">
        <f t="shared" si="3"/>
        <v>7</v>
      </c>
    </row>
    <row r="1665">
      <c r="A1665" s="8" t="str">
        <f>IFERROR(__xludf.DUMMYFUNCTION("IF('(INGESTA)Datos_consumo_datadis'!A1665&lt;&gt;"""",SPLIT('(INGESTA)Datos_consumo_datadis'!A:A,"",""),"""")"),"ES0031408323131005HX0F")</f>
        <v>ES0031408323131005HX0F</v>
      </c>
      <c r="B1665" s="12">
        <f>IFERROR(__xludf.DUMMYFUNCTION("""COMPUTED_VALUE"""),44935.0)</f>
        <v>44935</v>
      </c>
      <c r="C1665" s="13">
        <f>IFERROR(__xludf.DUMMYFUNCTION("""COMPUTED_VALUE"""),0.3333333333333333)</f>
        <v>0.3333333333</v>
      </c>
      <c r="D1665" s="8">
        <f>IFERROR(__xludf.DUMMYFUNCTION("""COMPUTED_VALUE"""),0.826)</f>
        <v>0.826</v>
      </c>
      <c r="E1665" s="8" t="str">
        <f>IFERROR(__xludf.DUMMYFUNCTION("""COMPUTED_VALUE"""),"Real")</f>
        <v>Real</v>
      </c>
      <c r="G1665" s="8">
        <f t="shared" si="1"/>
        <v>1</v>
      </c>
      <c r="H1665" s="14">
        <f t="shared" si="2"/>
        <v>9</v>
      </c>
      <c r="I1665" s="15">
        <f t="shared" si="3"/>
        <v>8</v>
      </c>
    </row>
    <row r="1666">
      <c r="A1666" s="8" t="str">
        <f>IFERROR(__xludf.DUMMYFUNCTION("IF('(INGESTA)Datos_consumo_datadis'!A1666&lt;&gt;"""",SPLIT('(INGESTA)Datos_consumo_datadis'!A:A,"",""),"""")"),"ES0031408323131005HX0F")</f>
        <v>ES0031408323131005HX0F</v>
      </c>
      <c r="B1666" s="12">
        <f>IFERROR(__xludf.DUMMYFUNCTION("""COMPUTED_VALUE"""),44935.0)</f>
        <v>44935</v>
      </c>
      <c r="C1666" s="13">
        <f>IFERROR(__xludf.DUMMYFUNCTION("""COMPUTED_VALUE"""),0.375)</f>
        <v>0.375</v>
      </c>
      <c r="D1666" s="8">
        <f>IFERROR(__xludf.DUMMYFUNCTION("""COMPUTED_VALUE"""),0.057)</f>
        <v>0.057</v>
      </c>
      <c r="E1666" s="8" t="str">
        <f>IFERROR(__xludf.DUMMYFUNCTION("""COMPUTED_VALUE"""),"Real")</f>
        <v>Real</v>
      </c>
      <c r="G1666" s="8">
        <f t="shared" si="1"/>
        <v>1</v>
      </c>
      <c r="H1666" s="14">
        <f t="shared" si="2"/>
        <v>9</v>
      </c>
      <c r="I1666" s="15">
        <f t="shared" si="3"/>
        <v>9</v>
      </c>
    </row>
    <row r="1667">
      <c r="A1667" s="8" t="str">
        <f>IFERROR(__xludf.DUMMYFUNCTION("IF('(INGESTA)Datos_consumo_datadis'!A1667&lt;&gt;"""",SPLIT('(INGESTA)Datos_consumo_datadis'!A:A,"",""),"""")"),"ES0031408323131005HX0F")</f>
        <v>ES0031408323131005HX0F</v>
      </c>
      <c r="B1667" s="12">
        <f>IFERROR(__xludf.DUMMYFUNCTION("""COMPUTED_VALUE"""),44935.0)</f>
        <v>44935</v>
      </c>
      <c r="C1667" s="13">
        <f>IFERROR(__xludf.DUMMYFUNCTION("""COMPUTED_VALUE"""),0.4166666666666667)</f>
        <v>0.4166666667</v>
      </c>
      <c r="D1667" s="8">
        <f>IFERROR(__xludf.DUMMYFUNCTION("""COMPUTED_VALUE"""),0.035)</f>
        <v>0.035</v>
      </c>
      <c r="E1667" s="8" t="str">
        <f>IFERROR(__xludf.DUMMYFUNCTION("""COMPUTED_VALUE"""),"Real")</f>
        <v>Real</v>
      </c>
      <c r="G1667" s="8">
        <f t="shared" si="1"/>
        <v>1</v>
      </c>
      <c r="H1667" s="14">
        <f t="shared" si="2"/>
        <v>9</v>
      </c>
      <c r="I1667" s="15">
        <f t="shared" si="3"/>
        <v>10</v>
      </c>
    </row>
    <row r="1668">
      <c r="A1668" s="8" t="str">
        <f>IFERROR(__xludf.DUMMYFUNCTION("IF('(INGESTA)Datos_consumo_datadis'!A1668&lt;&gt;"""",SPLIT('(INGESTA)Datos_consumo_datadis'!A:A,"",""),"""")"),"ES0031408323131005HX0F")</f>
        <v>ES0031408323131005HX0F</v>
      </c>
      <c r="B1668" s="12">
        <f>IFERROR(__xludf.DUMMYFUNCTION("""COMPUTED_VALUE"""),44935.0)</f>
        <v>44935</v>
      </c>
      <c r="C1668" s="13">
        <f>IFERROR(__xludf.DUMMYFUNCTION("""COMPUTED_VALUE"""),0.4583333333333333)</f>
        <v>0.4583333333</v>
      </c>
      <c r="D1668" s="8">
        <f>IFERROR(__xludf.DUMMYFUNCTION("""COMPUTED_VALUE"""),0.076)</f>
        <v>0.076</v>
      </c>
      <c r="E1668" s="8" t="str">
        <f>IFERROR(__xludf.DUMMYFUNCTION("""COMPUTED_VALUE"""),"Real")</f>
        <v>Real</v>
      </c>
      <c r="G1668" s="8">
        <f t="shared" si="1"/>
        <v>1</v>
      </c>
      <c r="H1668" s="14">
        <f t="shared" si="2"/>
        <v>9</v>
      </c>
      <c r="I1668" s="15">
        <f t="shared" si="3"/>
        <v>11</v>
      </c>
    </row>
    <row r="1669">
      <c r="A1669" s="8" t="str">
        <f>IFERROR(__xludf.DUMMYFUNCTION("IF('(INGESTA)Datos_consumo_datadis'!A1669&lt;&gt;"""",SPLIT('(INGESTA)Datos_consumo_datadis'!A:A,"",""),"""")"),"ES0031408323131005HX0F")</f>
        <v>ES0031408323131005HX0F</v>
      </c>
      <c r="B1669" s="12">
        <f>IFERROR(__xludf.DUMMYFUNCTION("""COMPUTED_VALUE"""),44935.0)</f>
        <v>44935</v>
      </c>
      <c r="C1669" s="13">
        <f>IFERROR(__xludf.DUMMYFUNCTION("""COMPUTED_VALUE"""),0.5)</f>
        <v>0.5</v>
      </c>
      <c r="D1669" s="8">
        <f>IFERROR(__xludf.DUMMYFUNCTION("""COMPUTED_VALUE"""),0.041)</f>
        <v>0.041</v>
      </c>
      <c r="E1669" s="8" t="str">
        <f>IFERROR(__xludf.DUMMYFUNCTION("""COMPUTED_VALUE"""),"Real")</f>
        <v>Real</v>
      </c>
      <c r="G1669" s="8">
        <f t="shared" si="1"/>
        <v>1</v>
      </c>
      <c r="H1669" s="14">
        <f t="shared" si="2"/>
        <v>9</v>
      </c>
      <c r="I1669" s="15">
        <f t="shared" si="3"/>
        <v>12</v>
      </c>
    </row>
    <row r="1670">
      <c r="A1670" s="8" t="str">
        <f>IFERROR(__xludf.DUMMYFUNCTION("IF('(INGESTA)Datos_consumo_datadis'!A1670&lt;&gt;"""",SPLIT('(INGESTA)Datos_consumo_datadis'!A:A,"",""),"""")"),"ES0031408323131005HX0F")</f>
        <v>ES0031408323131005HX0F</v>
      </c>
      <c r="B1670" s="12">
        <f>IFERROR(__xludf.DUMMYFUNCTION("""COMPUTED_VALUE"""),44935.0)</f>
        <v>44935</v>
      </c>
      <c r="C1670" s="13">
        <f>IFERROR(__xludf.DUMMYFUNCTION("""COMPUTED_VALUE"""),0.5416666666666666)</f>
        <v>0.5416666667</v>
      </c>
      <c r="D1670" s="8">
        <f>IFERROR(__xludf.DUMMYFUNCTION("""COMPUTED_VALUE"""),0.017)</f>
        <v>0.017</v>
      </c>
      <c r="E1670" s="8" t="str">
        <f>IFERROR(__xludf.DUMMYFUNCTION("""COMPUTED_VALUE"""),"Real")</f>
        <v>Real</v>
      </c>
      <c r="G1670" s="8">
        <f t="shared" si="1"/>
        <v>1</v>
      </c>
      <c r="H1670" s="14">
        <f t="shared" si="2"/>
        <v>9</v>
      </c>
      <c r="I1670" s="15">
        <f t="shared" si="3"/>
        <v>13</v>
      </c>
    </row>
    <row r="1671">
      <c r="A1671" s="8" t="str">
        <f>IFERROR(__xludf.DUMMYFUNCTION("IF('(INGESTA)Datos_consumo_datadis'!A1671&lt;&gt;"""",SPLIT('(INGESTA)Datos_consumo_datadis'!A:A,"",""),"""")"),"ES0031408323131005HX0F")</f>
        <v>ES0031408323131005HX0F</v>
      </c>
      <c r="B1671" s="12">
        <f>IFERROR(__xludf.DUMMYFUNCTION("""COMPUTED_VALUE"""),44935.0)</f>
        <v>44935</v>
      </c>
      <c r="C1671" s="13">
        <f>IFERROR(__xludf.DUMMYFUNCTION("""COMPUTED_VALUE"""),0.5833333333333334)</f>
        <v>0.5833333333</v>
      </c>
      <c r="D1671" s="8">
        <f>IFERROR(__xludf.DUMMYFUNCTION("""COMPUTED_VALUE"""),0.405)</f>
        <v>0.405</v>
      </c>
      <c r="E1671" s="8" t="str">
        <f>IFERROR(__xludf.DUMMYFUNCTION("""COMPUTED_VALUE"""),"Real")</f>
        <v>Real</v>
      </c>
      <c r="G1671" s="8">
        <f t="shared" si="1"/>
        <v>1</v>
      </c>
      <c r="H1671" s="14">
        <f t="shared" si="2"/>
        <v>9</v>
      </c>
      <c r="I1671" s="15">
        <f t="shared" si="3"/>
        <v>14</v>
      </c>
    </row>
    <row r="1672">
      <c r="A1672" s="8" t="str">
        <f>IFERROR(__xludf.DUMMYFUNCTION("IF('(INGESTA)Datos_consumo_datadis'!A1672&lt;&gt;"""",SPLIT('(INGESTA)Datos_consumo_datadis'!A:A,"",""),"""")"),"ES0031408323131005HX0F")</f>
        <v>ES0031408323131005HX0F</v>
      </c>
      <c r="B1672" s="12">
        <f>IFERROR(__xludf.DUMMYFUNCTION("""COMPUTED_VALUE"""),44935.0)</f>
        <v>44935</v>
      </c>
      <c r="C1672" s="13">
        <f>IFERROR(__xludf.DUMMYFUNCTION("""COMPUTED_VALUE"""),0.625)</f>
        <v>0.625</v>
      </c>
      <c r="D1672" s="8">
        <f>IFERROR(__xludf.DUMMYFUNCTION("""COMPUTED_VALUE"""),0.041)</f>
        <v>0.041</v>
      </c>
      <c r="E1672" s="8" t="str">
        <f>IFERROR(__xludf.DUMMYFUNCTION("""COMPUTED_VALUE"""),"Real")</f>
        <v>Real</v>
      </c>
      <c r="G1672" s="8">
        <f t="shared" si="1"/>
        <v>1</v>
      </c>
      <c r="H1672" s="14">
        <f t="shared" si="2"/>
        <v>9</v>
      </c>
      <c r="I1672" s="15">
        <f t="shared" si="3"/>
        <v>15</v>
      </c>
    </row>
    <row r="1673">
      <c r="A1673" s="8" t="str">
        <f>IFERROR(__xludf.DUMMYFUNCTION("IF('(INGESTA)Datos_consumo_datadis'!A1673&lt;&gt;"""",SPLIT('(INGESTA)Datos_consumo_datadis'!A:A,"",""),"""")"),"ES0031408323131005HX0F")</f>
        <v>ES0031408323131005HX0F</v>
      </c>
      <c r="B1673" s="12">
        <f>IFERROR(__xludf.DUMMYFUNCTION("""COMPUTED_VALUE"""),44935.0)</f>
        <v>44935</v>
      </c>
      <c r="C1673" s="13">
        <f>IFERROR(__xludf.DUMMYFUNCTION("""COMPUTED_VALUE"""),0.6666666666666666)</f>
        <v>0.6666666667</v>
      </c>
      <c r="D1673" s="8">
        <f>IFERROR(__xludf.DUMMYFUNCTION("""COMPUTED_VALUE"""),0.016)</f>
        <v>0.016</v>
      </c>
      <c r="E1673" s="8" t="str">
        <f>IFERROR(__xludf.DUMMYFUNCTION("""COMPUTED_VALUE"""),"Real")</f>
        <v>Real</v>
      </c>
      <c r="G1673" s="8">
        <f t="shared" si="1"/>
        <v>1</v>
      </c>
      <c r="H1673" s="14">
        <f t="shared" si="2"/>
        <v>9</v>
      </c>
      <c r="I1673" s="15">
        <f t="shared" si="3"/>
        <v>16</v>
      </c>
    </row>
    <row r="1674">
      <c r="A1674" s="8" t="str">
        <f>IFERROR(__xludf.DUMMYFUNCTION("IF('(INGESTA)Datos_consumo_datadis'!A1674&lt;&gt;"""",SPLIT('(INGESTA)Datos_consumo_datadis'!A:A,"",""),"""")"),"ES0031408323131005HX0F")</f>
        <v>ES0031408323131005HX0F</v>
      </c>
      <c r="B1674" s="12">
        <f>IFERROR(__xludf.DUMMYFUNCTION("""COMPUTED_VALUE"""),44935.0)</f>
        <v>44935</v>
      </c>
      <c r="C1674" s="13">
        <f>IFERROR(__xludf.DUMMYFUNCTION("""COMPUTED_VALUE"""),0.7083333333333334)</f>
        <v>0.7083333333</v>
      </c>
      <c r="D1674" s="8">
        <f>IFERROR(__xludf.DUMMYFUNCTION("""COMPUTED_VALUE"""),0.087)</f>
        <v>0.087</v>
      </c>
      <c r="E1674" s="8" t="str">
        <f>IFERROR(__xludf.DUMMYFUNCTION("""COMPUTED_VALUE"""),"Real")</f>
        <v>Real</v>
      </c>
      <c r="G1674" s="8">
        <f t="shared" si="1"/>
        <v>1</v>
      </c>
      <c r="H1674" s="14">
        <f t="shared" si="2"/>
        <v>9</v>
      </c>
      <c r="I1674" s="15">
        <f t="shared" si="3"/>
        <v>17</v>
      </c>
    </row>
    <row r="1675">
      <c r="A1675" s="8" t="str">
        <f>IFERROR(__xludf.DUMMYFUNCTION("IF('(INGESTA)Datos_consumo_datadis'!A1675&lt;&gt;"""",SPLIT('(INGESTA)Datos_consumo_datadis'!A:A,"",""),"""")"),"ES0031408323131005HX0F")</f>
        <v>ES0031408323131005HX0F</v>
      </c>
      <c r="B1675" s="12">
        <f>IFERROR(__xludf.DUMMYFUNCTION("""COMPUTED_VALUE"""),44935.0)</f>
        <v>44935</v>
      </c>
      <c r="C1675" s="13">
        <f>IFERROR(__xludf.DUMMYFUNCTION("""COMPUTED_VALUE"""),0.75)</f>
        <v>0.75</v>
      </c>
      <c r="D1675" s="8">
        <f>IFERROR(__xludf.DUMMYFUNCTION("""COMPUTED_VALUE"""),0.048)</f>
        <v>0.048</v>
      </c>
      <c r="E1675" s="8" t="str">
        <f>IFERROR(__xludf.DUMMYFUNCTION("""COMPUTED_VALUE"""),"Real")</f>
        <v>Real</v>
      </c>
      <c r="G1675" s="8">
        <f t="shared" si="1"/>
        <v>1</v>
      </c>
      <c r="H1675" s="14">
        <f t="shared" si="2"/>
        <v>9</v>
      </c>
      <c r="I1675" s="15">
        <f t="shared" si="3"/>
        <v>18</v>
      </c>
    </row>
    <row r="1676">
      <c r="A1676" s="8" t="str">
        <f>IFERROR(__xludf.DUMMYFUNCTION("IF('(INGESTA)Datos_consumo_datadis'!A1676&lt;&gt;"""",SPLIT('(INGESTA)Datos_consumo_datadis'!A:A,"",""),"""")"),"ES0031408323131005HX0F")</f>
        <v>ES0031408323131005HX0F</v>
      </c>
      <c r="B1676" s="12">
        <f>IFERROR(__xludf.DUMMYFUNCTION("""COMPUTED_VALUE"""),44935.0)</f>
        <v>44935</v>
      </c>
      <c r="C1676" s="13">
        <f>IFERROR(__xludf.DUMMYFUNCTION("""COMPUTED_VALUE"""),0.7916666666666666)</f>
        <v>0.7916666667</v>
      </c>
      <c r="D1676" s="8">
        <f>IFERROR(__xludf.DUMMYFUNCTION("""COMPUTED_VALUE"""),0.016)</f>
        <v>0.016</v>
      </c>
      <c r="E1676" s="8" t="str">
        <f>IFERROR(__xludf.DUMMYFUNCTION("""COMPUTED_VALUE"""),"Real")</f>
        <v>Real</v>
      </c>
      <c r="G1676" s="8">
        <f t="shared" si="1"/>
        <v>1</v>
      </c>
      <c r="H1676" s="14">
        <f t="shared" si="2"/>
        <v>9</v>
      </c>
      <c r="I1676" s="15">
        <f t="shared" si="3"/>
        <v>19</v>
      </c>
    </row>
    <row r="1677">
      <c r="A1677" s="8" t="str">
        <f>IFERROR(__xludf.DUMMYFUNCTION("IF('(INGESTA)Datos_consumo_datadis'!A1677&lt;&gt;"""",SPLIT('(INGESTA)Datos_consumo_datadis'!A:A,"",""),"""")"),"ES0031408323131005HX0F")</f>
        <v>ES0031408323131005HX0F</v>
      </c>
      <c r="B1677" s="12">
        <f>IFERROR(__xludf.DUMMYFUNCTION("""COMPUTED_VALUE"""),44935.0)</f>
        <v>44935</v>
      </c>
      <c r="C1677" s="13">
        <f>IFERROR(__xludf.DUMMYFUNCTION("""COMPUTED_VALUE"""),0.8333333333333334)</f>
        <v>0.8333333333</v>
      </c>
      <c r="D1677" s="8">
        <f>IFERROR(__xludf.DUMMYFUNCTION("""COMPUTED_VALUE"""),0.059)</f>
        <v>0.059</v>
      </c>
      <c r="E1677" s="8" t="str">
        <f>IFERROR(__xludf.DUMMYFUNCTION("""COMPUTED_VALUE"""),"Real")</f>
        <v>Real</v>
      </c>
      <c r="G1677" s="8">
        <f t="shared" si="1"/>
        <v>1</v>
      </c>
      <c r="H1677" s="14">
        <f t="shared" si="2"/>
        <v>9</v>
      </c>
      <c r="I1677" s="15">
        <f t="shared" si="3"/>
        <v>20</v>
      </c>
    </row>
    <row r="1678">
      <c r="A1678" s="8" t="str">
        <f>IFERROR(__xludf.DUMMYFUNCTION("IF('(INGESTA)Datos_consumo_datadis'!A1678&lt;&gt;"""",SPLIT('(INGESTA)Datos_consumo_datadis'!A:A,"",""),"""")"),"ES0031408323131005HX0F")</f>
        <v>ES0031408323131005HX0F</v>
      </c>
      <c r="B1678" s="12">
        <f>IFERROR(__xludf.DUMMYFUNCTION("""COMPUTED_VALUE"""),44935.0)</f>
        <v>44935</v>
      </c>
      <c r="C1678" s="13">
        <f>IFERROR(__xludf.DUMMYFUNCTION("""COMPUTED_VALUE"""),0.875)</f>
        <v>0.875</v>
      </c>
      <c r="D1678" s="8">
        <f>IFERROR(__xludf.DUMMYFUNCTION("""COMPUTED_VALUE"""),0.378)</f>
        <v>0.378</v>
      </c>
      <c r="E1678" s="8" t="str">
        <f>IFERROR(__xludf.DUMMYFUNCTION("""COMPUTED_VALUE"""),"Real")</f>
        <v>Real</v>
      </c>
      <c r="G1678" s="8">
        <f t="shared" si="1"/>
        <v>1</v>
      </c>
      <c r="H1678" s="14">
        <f t="shared" si="2"/>
        <v>9</v>
      </c>
      <c r="I1678" s="15">
        <f t="shared" si="3"/>
        <v>21</v>
      </c>
    </row>
    <row r="1679">
      <c r="A1679" s="8" t="str">
        <f>IFERROR(__xludf.DUMMYFUNCTION("IF('(INGESTA)Datos_consumo_datadis'!A1679&lt;&gt;"""",SPLIT('(INGESTA)Datos_consumo_datadis'!A:A,"",""),"""")"),"ES0031408323131005HX0F")</f>
        <v>ES0031408323131005HX0F</v>
      </c>
      <c r="B1679" s="12">
        <f>IFERROR(__xludf.DUMMYFUNCTION("""COMPUTED_VALUE"""),44935.0)</f>
        <v>44935</v>
      </c>
      <c r="C1679" s="13">
        <f>IFERROR(__xludf.DUMMYFUNCTION("""COMPUTED_VALUE"""),0.9166666666666666)</f>
        <v>0.9166666667</v>
      </c>
      <c r="D1679" s="8">
        <f>IFERROR(__xludf.DUMMYFUNCTION("""COMPUTED_VALUE"""),0.118)</f>
        <v>0.118</v>
      </c>
      <c r="E1679" s="8" t="str">
        <f>IFERROR(__xludf.DUMMYFUNCTION("""COMPUTED_VALUE"""),"Real")</f>
        <v>Real</v>
      </c>
      <c r="G1679" s="8">
        <f t="shared" si="1"/>
        <v>1</v>
      </c>
      <c r="H1679" s="14">
        <f t="shared" si="2"/>
        <v>9</v>
      </c>
      <c r="I1679" s="15">
        <f t="shared" si="3"/>
        <v>22</v>
      </c>
    </row>
    <row r="1680">
      <c r="A1680" s="8" t="str">
        <f>IFERROR(__xludf.DUMMYFUNCTION("IF('(INGESTA)Datos_consumo_datadis'!A1680&lt;&gt;"""",SPLIT('(INGESTA)Datos_consumo_datadis'!A:A,"",""),"""")"),"ES0031408323131005HX0F")</f>
        <v>ES0031408323131005HX0F</v>
      </c>
      <c r="B1680" s="12">
        <f>IFERROR(__xludf.DUMMYFUNCTION("""COMPUTED_VALUE"""),44935.0)</f>
        <v>44935</v>
      </c>
      <c r="C1680" s="13">
        <f>IFERROR(__xludf.DUMMYFUNCTION("""COMPUTED_VALUE"""),0.9583333333333334)</f>
        <v>0.9583333333</v>
      </c>
      <c r="D1680" s="8">
        <f>IFERROR(__xludf.DUMMYFUNCTION("""COMPUTED_VALUE"""),2.336)</f>
        <v>2.336</v>
      </c>
      <c r="E1680" s="8" t="str">
        <f>IFERROR(__xludf.DUMMYFUNCTION("""COMPUTED_VALUE"""),"Real")</f>
        <v>Real</v>
      </c>
      <c r="G1680" s="8">
        <f t="shared" si="1"/>
        <v>1</v>
      </c>
      <c r="H1680" s="14">
        <f t="shared" si="2"/>
        <v>9</v>
      </c>
      <c r="I1680" s="15">
        <f t="shared" si="3"/>
        <v>23</v>
      </c>
    </row>
    <row r="1681">
      <c r="A1681" s="8" t="str">
        <f>IFERROR(__xludf.DUMMYFUNCTION("IF('(INGESTA)Datos_consumo_datadis'!A1681&lt;&gt;"""",SPLIT('(INGESTA)Datos_consumo_datadis'!A:A,"",""),"""")"),"ES0031408323131005HX0F")</f>
        <v>ES0031408323131005HX0F</v>
      </c>
      <c r="B1681" s="12">
        <f>IFERROR(__xludf.DUMMYFUNCTION("""COMPUTED_VALUE"""),44935.0)</f>
        <v>44935</v>
      </c>
      <c r="C1681" s="16">
        <f>IFERROR(__xludf.DUMMYFUNCTION("""COMPUTED_VALUE"""),1.0)</f>
        <v>1</v>
      </c>
      <c r="D1681" s="8">
        <f>IFERROR(__xludf.DUMMYFUNCTION("""COMPUTED_VALUE"""),2.404)</f>
        <v>2.404</v>
      </c>
      <c r="E1681" s="8" t="str">
        <f>IFERROR(__xludf.DUMMYFUNCTION("""COMPUTED_VALUE"""),"Real")</f>
        <v>Real</v>
      </c>
      <c r="G1681" s="8">
        <f t="shared" si="1"/>
        <v>1</v>
      </c>
      <c r="H1681" s="14">
        <f t="shared" si="2"/>
        <v>9</v>
      </c>
      <c r="I1681" s="15">
        <f t="shared" si="3"/>
        <v>0</v>
      </c>
    </row>
    <row r="1682">
      <c r="A1682" s="8" t="str">
        <f>IFERROR(__xludf.DUMMYFUNCTION("IF('(INGESTA)Datos_consumo_datadis'!A1682&lt;&gt;"""",SPLIT('(INGESTA)Datos_consumo_datadis'!A:A,"",""),"""")"),"ES0031408323131005HX0F")</f>
        <v>ES0031408323131005HX0F</v>
      </c>
      <c r="B1682" s="12">
        <f>IFERROR(__xludf.DUMMYFUNCTION("""COMPUTED_VALUE"""),44936.0)</f>
        <v>44936</v>
      </c>
      <c r="C1682" s="13">
        <f>IFERROR(__xludf.DUMMYFUNCTION("""COMPUTED_VALUE"""),0.041666666666666664)</f>
        <v>0.04166666667</v>
      </c>
      <c r="D1682" s="8">
        <f>IFERROR(__xludf.DUMMYFUNCTION("""COMPUTED_VALUE"""),0.985)</f>
        <v>0.985</v>
      </c>
      <c r="E1682" s="8" t="str">
        <f>IFERROR(__xludf.DUMMYFUNCTION("""COMPUTED_VALUE"""),"Real")</f>
        <v>Real</v>
      </c>
      <c r="G1682" s="8">
        <f t="shared" si="1"/>
        <v>1</v>
      </c>
      <c r="H1682" s="14">
        <f t="shared" si="2"/>
        <v>10</v>
      </c>
      <c r="I1682" s="15">
        <f t="shared" si="3"/>
        <v>1</v>
      </c>
    </row>
    <row r="1683">
      <c r="A1683" s="8" t="str">
        <f>IFERROR(__xludf.DUMMYFUNCTION("IF('(INGESTA)Datos_consumo_datadis'!A1683&lt;&gt;"""",SPLIT('(INGESTA)Datos_consumo_datadis'!A:A,"",""),"""")"),"ES0031408323131005HX0F")</f>
        <v>ES0031408323131005HX0F</v>
      </c>
      <c r="B1683" s="12">
        <f>IFERROR(__xludf.DUMMYFUNCTION("""COMPUTED_VALUE"""),44936.0)</f>
        <v>44936</v>
      </c>
      <c r="C1683" s="13">
        <f>IFERROR(__xludf.DUMMYFUNCTION("""COMPUTED_VALUE"""),0.08333333333333333)</f>
        <v>0.08333333333</v>
      </c>
      <c r="D1683" s="8">
        <f>IFERROR(__xludf.DUMMYFUNCTION("""COMPUTED_VALUE"""),0.98)</f>
        <v>0.98</v>
      </c>
      <c r="E1683" s="8" t="str">
        <f>IFERROR(__xludf.DUMMYFUNCTION("""COMPUTED_VALUE"""),"Real")</f>
        <v>Real</v>
      </c>
      <c r="G1683" s="8">
        <f t="shared" si="1"/>
        <v>1</v>
      </c>
      <c r="H1683" s="14">
        <f t="shared" si="2"/>
        <v>10</v>
      </c>
      <c r="I1683" s="15">
        <f t="shared" si="3"/>
        <v>2</v>
      </c>
    </row>
    <row r="1684">
      <c r="A1684" s="8" t="str">
        <f>IFERROR(__xludf.DUMMYFUNCTION("IF('(INGESTA)Datos_consumo_datadis'!A1684&lt;&gt;"""",SPLIT('(INGESTA)Datos_consumo_datadis'!A:A,"",""),"""")"),"ES0031408323131005HX0F")</f>
        <v>ES0031408323131005HX0F</v>
      </c>
      <c r="B1684" s="12">
        <f>IFERROR(__xludf.DUMMYFUNCTION("""COMPUTED_VALUE"""),44936.0)</f>
        <v>44936</v>
      </c>
      <c r="C1684" s="13">
        <f>IFERROR(__xludf.DUMMYFUNCTION("""COMPUTED_VALUE"""),0.125)</f>
        <v>0.125</v>
      </c>
      <c r="D1684" s="8">
        <f>IFERROR(__xludf.DUMMYFUNCTION("""COMPUTED_VALUE"""),1.054)</f>
        <v>1.054</v>
      </c>
      <c r="E1684" s="8" t="str">
        <f>IFERROR(__xludf.DUMMYFUNCTION("""COMPUTED_VALUE"""),"Real")</f>
        <v>Real</v>
      </c>
      <c r="G1684" s="8">
        <f t="shared" si="1"/>
        <v>1</v>
      </c>
      <c r="H1684" s="14">
        <f t="shared" si="2"/>
        <v>10</v>
      </c>
      <c r="I1684" s="15">
        <f t="shared" si="3"/>
        <v>3</v>
      </c>
    </row>
    <row r="1685">
      <c r="A1685" s="8" t="str">
        <f>IFERROR(__xludf.DUMMYFUNCTION("IF('(INGESTA)Datos_consumo_datadis'!A1685&lt;&gt;"""",SPLIT('(INGESTA)Datos_consumo_datadis'!A:A,"",""),"""")"),"ES0031408323131005HX0F")</f>
        <v>ES0031408323131005HX0F</v>
      </c>
      <c r="B1685" s="12">
        <f>IFERROR(__xludf.DUMMYFUNCTION("""COMPUTED_VALUE"""),44936.0)</f>
        <v>44936</v>
      </c>
      <c r="C1685" s="13">
        <f>IFERROR(__xludf.DUMMYFUNCTION("""COMPUTED_VALUE"""),0.16666666666666666)</f>
        <v>0.1666666667</v>
      </c>
      <c r="D1685" s="8">
        <f>IFERROR(__xludf.DUMMYFUNCTION("""COMPUTED_VALUE"""),1.016)</f>
        <v>1.016</v>
      </c>
      <c r="E1685" s="8" t="str">
        <f>IFERROR(__xludf.DUMMYFUNCTION("""COMPUTED_VALUE"""),"Real")</f>
        <v>Real</v>
      </c>
      <c r="G1685" s="8">
        <f t="shared" si="1"/>
        <v>1</v>
      </c>
      <c r="H1685" s="14">
        <f t="shared" si="2"/>
        <v>10</v>
      </c>
      <c r="I1685" s="15">
        <f t="shared" si="3"/>
        <v>4</v>
      </c>
    </row>
    <row r="1686">
      <c r="A1686" s="8" t="str">
        <f>IFERROR(__xludf.DUMMYFUNCTION("IF('(INGESTA)Datos_consumo_datadis'!A1686&lt;&gt;"""",SPLIT('(INGESTA)Datos_consumo_datadis'!A:A,"",""),"""")"),"ES0031408323131005HX0F")</f>
        <v>ES0031408323131005HX0F</v>
      </c>
      <c r="B1686" s="12">
        <f>IFERROR(__xludf.DUMMYFUNCTION("""COMPUTED_VALUE"""),44936.0)</f>
        <v>44936</v>
      </c>
      <c r="C1686" s="13">
        <f>IFERROR(__xludf.DUMMYFUNCTION("""COMPUTED_VALUE"""),0.20833333333333334)</f>
        <v>0.2083333333</v>
      </c>
      <c r="D1686" s="8">
        <f>IFERROR(__xludf.DUMMYFUNCTION("""COMPUTED_VALUE"""),1.492)</f>
        <v>1.492</v>
      </c>
      <c r="E1686" s="8" t="str">
        <f>IFERROR(__xludf.DUMMYFUNCTION("""COMPUTED_VALUE"""),"Real")</f>
        <v>Real</v>
      </c>
      <c r="G1686" s="8">
        <f t="shared" si="1"/>
        <v>1</v>
      </c>
      <c r="H1686" s="14">
        <f t="shared" si="2"/>
        <v>10</v>
      </c>
      <c r="I1686" s="15">
        <f t="shared" si="3"/>
        <v>5</v>
      </c>
    </row>
    <row r="1687">
      <c r="A1687" s="8" t="str">
        <f>IFERROR(__xludf.DUMMYFUNCTION("IF('(INGESTA)Datos_consumo_datadis'!A1687&lt;&gt;"""",SPLIT('(INGESTA)Datos_consumo_datadis'!A:A,"",""),"""")"),"ES0031408323131005HX0F")</f>
        <v>ES0031408323131005HX0F</v>
      </c>
      <c r="B1687" s="12">
        <f>IFERROR(__xludf.DUMMYFUNCTION("""COMPUTED_VALUE"""),44936.0)</f>
        <v>44936</v>
      </c>
      <c r="C1687" s="13">
        <f>IFERROR(__xludf.DUMMYFUNCTION("""COMPUTED_VALUE"""),0.25)</f>
        <v>0.25</v>
      </c>
      <c r="D1687" s="8">
        <f>IFERROR(__xludf.DUMMYFUNCTION("""COMPUTED_VALUE"""),0.933)</f>
        <v>0.933</v>
      </c>
      <c r="E1687" s="8" t="str">
        <f>IFERROR(__xludf.DUMMYFUNCTION("""COMPUTED_VALUE"""),"Real")</f>
        <v>Real</v>
      </c>
      <c r="G1687" s="8">
        <f t="shared" si="1"/>
        <v>1</v>
      </c>
      <c r="H1687" s="14">
        <f t="shared" si="2"/>
        <v>10</v>
      </c>
      <c r="I1687" s="15">
        <f t="shared" si="3"/>
        <v>6</v>
      </c>
    </row>
    <row r="1688">
      <c r="A1688" s="8" t="str">
        <f>IFERROR(__xludf.DUMMYFUNCTION("IF('(INGESTA)Datos_consumo_datadis'!A1688&lt;&gt;"""",SPLIT('(INGESTA)Datos_consumo_datadis'!A:A,"",""),"""")"),"ES0031408323131005HX0F")</f>
        <v>ES0031408323131005HX0F</v>
      </c>
      <c r="B1688" s="12">
        <f>IFERROR(__xludf.DUMMYFUNCTION("""COMPUTED_VALUE"""),44936.0)</f>
        <v>44936</v>
      </c>
      <c r="C1688" s="13">
        <f>IFERROR(__xludf.DUMMYFUNCTION("""COMPUTED_VALUE"""),0.2916666666666667)</f>
        <v>0.2916666667</v>
      </c>
      <c r="D1688" s="8">
        <f>IFERROR(__xludf.DUMMYFUNCTION("""COMPUTED_VALUE"""),0.995)</f>
        <v>0.995</v>
      </c>
      <c r="E1688" s="8" t="str">
        <f>IFERROR(__xludf.DUMMYFUNCTION("""COMPUTED_VALUE"""),"Real")</f>
        <v>Real</v>
      </c>
      <c r="G1688" s="8">
        <f t="shared" si="1"/>
        <v>1</v>
      </c>
      <c r="H1688" s="14">
        <f t="shared" si="2"/>
        <v>10</v>
      </c>
      <c r="I1688" s="15">
        <f t="shared" si="3"/>
        <v>7</v>
      </c>
    </row>
    <row r="1689">
      <c r="A1689" s="8" t="str">
        <f>IFERROR(__xludf.DUMMYFUNCTION("IF('(INGESTA)Datos_consumo_datadis'!A1689&lt;&gt;"""",SPLIT('(INGESTA)Datos_consumo_datadis'!A:A,"",""),"""")"),"ES0031408323131005HX0F")</f>
        <v>ES0031408323131005HX0F</v>
      </c>
      <c r="B1689" s="12">
        <f>IFERROR(__xludf.DUMMYFUNCTION("""COMPUTED_VALUE"""),44936.0)</f>
        <v>44936</v>
      </c>
      <c r="C1689" s="13">
        <f>IFERROR(__xludf.DUMMYFUNCTION("""COMPUTED_VALUE"""),0.3333333333333333)</f>
        <v>0.3333333333</v>
      </c>
      <c r="D1689" s="8">
        <f>IFERROR(__xludf.DUMMYFUNCTION("""COMPUTED_VALUE"""),0.892)</f>
        <v>0.892</v>
      </c>
      <c r="E1689" s="8" t="str">
        <f>IFERROR(__xludf.DUMMYFUNCTION("""COMPUTED_VALUE"""),"Real")</f>
        <v>Real</v>
      </c>
      <c r="G1689" s="8">
        <f t="shared" si="1"/>
        <v>1</v>
      </c>
      <c r="H1689" s="14">
        <f t="shared" si="2"/>
        <v>10</v>
      </c>
      <c r="I1689" s="15">
        <f t="shared" si="3"/>
        <v>8</v>
      </c>
    </row>
    <row r="1690">
      <c r="A1690" s="8" t="str">
        <f>IFERROR(__xludf.DUMMYFUNCTION("IF('(INGESTA)Datos_consumo_datadis'!A1690&lt;&gt;"""",SPLIT('(INGESTA)Datos_consumo_datadis'!A:A,"",""),"""")"),"ES0031408323131005HX0F")</f>
        <v>ES0031408323131005HX0F</v>
      </c>
      <c r="B1690" s="12">
        <f>IFERROR(__xludf.DUMMYFUNCTION("""COMPUTED_VALUE"""),44936.0)</f>
        <v>44936</v>
      </c>
      <c r="C1690" s="13">
        <f>IFERROR(__xludf.DUMMYFUNCTION("""COMPUTED_VALUE"""),0.375)</f>
        <v>0.375</v>
      </c>
      <c r="D1690" s="8">
        <f>IFERROR(__xludf.DUMMYFUNCTION("""COMPUTED_VALUE"""),0.016)</f>
        <v>0.016</v>
      </c>
      <c r="E1690" s="8" t="str">
        <f>IFERROR(__xludf.DUMMYFUNCTION("""COMPUTED_VALUE"""),"Real")</f>
        <v>Real</v>
      </c>
      <c r="G1690" s="8">
        <f t="shared" si="1"/>
        <v>1</v>
      </c>
      <c r="H1690" s="14">
        <f t="shared" si="2"/>
        <v>10</v>
      </c>
      <c r="I1690" s="15">
        <f t="shared" si="3"/>
        <v>9</v>
      </c>
    </row>
    <row r="1691">
      <c r="A1691" s="8" t="str">
        <f>IFERROR(__xludf.DUMMYFUNCTION("IF('(INGESTA)Datos_consumo_datadis'!A1691&lt;&gt;"""",SPLIT('(INGESTA)Datos_consumo_datadis'!A:A,"",""),"""")"),"ES0031408323131005HX0F")</f>
        <v>ES0031408323131005HX0F</v>
      </c>
      <c r="B1691" s="12">
        <f>IFERROR(__xludf.DUMMYFUNCTION("""COMPUTED_VALUE"""),44936.0)</f>
        <v>44936</v>
      </c>
      <c r="C1691" s="13">
        <f>IFERROR(__xludf.DUMMYFUNCTION("""COMPUTED_VALUE"""),0.4166666666666667)</f>
        <v>0.4166666667</v>
      </c>
      <c r="D1691" s="8">
        <f>IFERROR(__xludf.DUMMYFUNCTION("""COMPUTED_VALUE"""),0.092)</f>
        <v>0.092</v>
      </c>
      <c r="E1691" s="8" t="str">
        <f>IFERROR(__xludf.DUMMYFUNCTION("""COMPUTED_VALUE"""),"Real")</f>
        <v>Real</v>
      </c>
      <c r="G1691" s="8">
        <f t="shared" si="1"/>
        <v>1</v>
      </c>
      <c r="H1691" s="14">
        <f t="shared" si="2"/>
        <v>10</v>
      </c>
      <c r="I1691" s="15">
        <f t="shared" si="3"/>
        <v>10</v>
      </c>
    </row>
    <row r="1692">
      <c r="A1692" s="8" t="str">
        <f>IFERROR(__xludf.DUMMYFUNCTION("IF('(INGESTA)Datos_consumo_datadis'!A1692&lt;&gt;"""",SPLIT('(INGESTA)Datos_consumo_datadis'!A:A,"",""),"""")"),"ES0031408323131005HX0F")</f>
        <v>ES0031408323131005HX0F</v>
      </c>
      <c r="B1692" s="12">
        <f>IFERROR(__xludf.DUMMYFUNCTION("""COMPUTED_VALUE"""),44936.0)</f>
        <v>44936</v>
      </c>
      <c r="C1692" s="13">
        <f>IFERROR(__xludf.DUMMYFUNCTION("""COMPUTED_VALUE"""),0.4583333333333333)</f>
        <v>0.4583333333</v>
      </c>
      <c r="D1692" s="8">
        <f>IFERROR(__xludf.DUMMYFUNCTION("""COMPUTED_VALUE"""),0.042)</f>
        <v>0.042</v>
      </c>
      <c r="E1692" s="8" t="str">
        <f>IFERROR(__xludf.DUMMYFUNCTION("""COMPUTED_VALUE"""),"Real")</f>
        <v>Real</v>
      </c>
      <c r="G1692" s="8">
        <f t="shared" si="1"/>
        <v>1</v>
      </c>
      <c r="H1692" s="14">
        <f t="shared" si="2"/>
        <v>10</v>
      </c>
      <c r="I1692" s="15">
        <f t="shared" si="3"/>
        <v>11</v>
      </c>
    </row>
    <row r="1693">
      <c r="A1693" s="8" t="str">
        <f>IFERROR(__xludf.DUMMYFUNCTION("IF('(INGESTA)Datos_consumo_datadis'!A1693&lt;&gt;"""",SPLIT('(INGESTA)Datos_consumo_datadis'!A:A,"",""),"""")"),"ES0031408323131005HX0F")</f>
        <v>ES0031408323131005HX0F</v>
      </c>
      <c r="B1693" s="12">
        <f>IFERROR(__xludf.DUMMYFUNCTION("""COMPUTED_VALUE"""),44936.0)</f>
        <v>44936</v>
      </c>
      <c r="C1693" s="13">
        <f>IFERROR(__xludf.DUMMYFUNCTION("""COMPUTED_VALUE"""),0.5)</f>
        <v>0.5</v>
      </c>
      <c r="D1693" s="8">
        <f>IFERROR(__xludf.DUMMYFUNCTION("""COMPUTED_VALUE"""),0.299)</f>
        <v>0.299</v>
      </c>
      <c r="E1693" s="8" t="str">
        <f>IFERROR(__xludf.DUMMYFUNCTION("""COMPUTED_VALUE"""),"Real")</f>
        <v>Real</v>
      </c>
      <c r="G1693" s="8">
        <f t="shared" si="1"/>
        <v>1</v>
      </c>
      <c r="H1693" s="14">
        <f t="shared" si="2"/>
        <v>10</v>
      </c>
      <c r="I1693" s="15">
        <f t="shared" si="3"/>
        <v>12</v>
      </c>
    </row>
    <row r="1694">
      <c r="A1694" s="8" t="str">
        <f>IFERROR(__xludf.DUMMYFUNCTION("IF('(INGESTA)Datos_consumo_datadis'!A1694&lt;&gt;"""",SPLIT('(INGESTA)Datos_consumo_datadis'!A:A,"",""),"""")"),"ES0031408323131005HX0F")</f>
        <v>ES0031408323131005HX0F</v>
      </c>
      <c r="B1694" s="12">
        <f>IFERROR(__xludf.DUMMYFUNCTION("""COMPUTED_VALUE"""),44936.0)</f>
        <v>44936</v>
      </c>
      <c r="C1694" s="13">
        <f>IFERROR(__xludf.DUMMYFUNCTION("""COMPUTED_VALUE"""),0.5416666666666666)</f>
        <v>0.5416666667</v>
      </c>
      <c r="D1694" s="8">
        <f>IFERROR(__xludf.DUMMYFUNCTION("""COMPUTED_VALUE"""),0.085)</f>
        <v>0.085</v>
      </c>
      <c r="E1694" s="8" t="str">
        <f>IFERROR(__xludf.DUMMYFUNCTION("""COMPUTED_VALUE"""),"Real")</f>
        <v>Real</v>
      </c>
      <c r="G1694" s="8">
        <f t="shared" si="1"/>
        <v>1</v>
      </c>
      <c r="H1694" s="14">
        <f t="shared" si="2"/>
        <v>10</v>
      </c>
      <c r="I1694" s="15">
        <f t="shared" si="3"/>
        <v>13</v>
      </c>
    </row>
    <row r="1695">
      <c r="A1695" s="8" t="str">
        <f>IFERROR(__xludf.DUMMYFUNCTION("IF('(INGESTA)Datos_consumo_datadis'!A1695&lt;&gt;"""",SPLIT('(INGESTA)Datos_consumo_datadis'!A:A,"",""),"""")"),"ES0031408323131005HX0F")</f>
        <v>ES0031408323131005HX0F</v>
      </c>
      <c r="B1695" s="12">
        <f>IFERROR(__xludf.DUMMYFUNCTION("""COMPUTED_VALUE"""),44936.0)</f>
        <v>44936</v>
      </c>
      <c r="C1695" s="13">
        <f>IFERROR(__xludf.DUMMYFUNCTION("""COMPUTED_VALUE"""),0.5833333333333334)</f>
        <v>0.5833333333</v>
      </c>
      <c r="D1695" s="8">
        <f>IFERROR(__xludf.DUMMYFUNCTION("""COMPUTED_VALUE"""),0.041)</f>
        <v>0.041</v>
      </c>
      <c r="E1695" s="8" t="str">
        <f>IFERROR(__xludf.DUMMYFUNCTION("""COMPUTED_VALUE"""),"Real")</f>
        <v>Real</v>
      </c>
      <c r="G1695" s="8">
        <f t="shared" si="1"/>
        <v>1</v>
      </c>
      <c r="H1695" s="14">
        <f t="shared" si="2"/>
        <v>10</v>
      </c>
      <c r="I1695" s="15">
        <f t="shared" si="3"/>
        <v>14</v>
      </c>
    </row>
    <row r="1696">
      <c r="A1696" s="8" t="str">
        <f>IFERROR(__xludf.DUMMYFUNCTION("IF('(INGESTA)Datos_consumo_datadis'!A1696&lt;&gt;"""",SPLIT('(INGESTA)Datos_consumo_datadis'!A:A,"",""),"""")"),"ES0031408323131005HX0F")</f>
        <v>ES0031408323131005HX0F</v>
      </c>
      <c r="B1696" s="12">
        <f>IFERROR(__xludf.DUMMYFUNCTION("""COMPUTED_VALUE"""),44936.0)</f>
        <v>44936</v>
      </c>
      <c r="C1696" s="13">
        <f>IFERROR(__xludf.DUMMYFUNCTION("""COMPUTED_VALUE"""),0.625)</f>
        <v>0.625</v>
      </c>
      <c r="D1696" s="8">
        <f>IFERROR(__xludf.DUMMYFUNCTION("""COMPUTED_VALUE"""),0.015)</f>
        <v>0.015</v>
      </c>
      <c r="E1696" s="8" t="str">
        <f>IFERROR(__xludf.DUMMYFUNCTION("""COMPUTED_VALUE"""),"Real")</f>
        <v>Real</v>
      </c>
      <c r="G1696" s="8">
        <f t="shared" si="1"/>
        <v>1</v>
      </c>
      <c r="H1696" s="14">
        <f t="shared" si="2"/>
        <v>10</v>
      </c>
      <c r="I1696" s="15">
        <f t="shared" si="3"/>
        <v>15</v>
      </c>
    </row>
    <row r="1697">
      <c r="A1697" s="8" t="str">
        <f>IFERROR(__xludf.DUMMYFUNCTION("IF('(INGESTA)Datos_consumo_datadis'!A1697&lt;&gt;"""",SPLIT('(INGESTA)Datos_consumo_datadis'!A:A,"",""),"""")"),"ES0031408323131005HX0F")</f>
        <v>ES0031408323131005HX0F</v>
      </c>
      <c r="B1697" s="12">
        <f>IFERROR(__xludf.DUMMYFUNCTION("""COMPUTED_VALUE"""),44936.0)</f>
        <v>44936</v>
      </c>
      <c r="C1697" s="13">
        <f>IFERROR(__xludf.DUMMYFUNCTION("""COMPUTED_VALUE"""),0.6666666666666666)</f>
        <v>0.6666666667</v>
      </c>
      <c r="D1697" s="8">
        <f>IFERROR(__xludf.DUMMYFUNCTION("""COMPUTED_VALUE"""),0.079)</f>
        <v>0.079</v>
      </c>
      <c r="E1697" s="8" t="str">
        <f>IFERROR(__xludf.DUMMYFUNCTION("""COMPUTED_VALUE"""),"Real")</f>
        <v>Real</v>
      </c>
      <c r="G1697" s="8">
        <f t="shared" si="1"/>
        <v>1</v>
      </c>
      <c r="H1697" s="14">
        <f t="shared" si="2"/>
        <v>10</v>
      </c>
      <c r="I1697" s="15">
        <f t="shared" si="3"/>
        <v>16</v>
      </c>
    </row>
    <row r="1698">
      <c r="A1698" s="8" t="str">
        <f>IFERROR(__xludf.DUMMYFUNCTION("IF('(INGESTA)Datos_consumo_datadis'!A1698&lt;&gt;"""",SPLIT('(INGESTA)Datos_consumo_datadis'!A:A,"",""),"""")"),"ES0031408323131005HX0F")</f>
        <v>ES0031408323131005HX0F</v>
      </c>
      <c r="B1698" s="12">
        <f>IFERROR(__xludf.DUMMYFUNCTION("""COMPUTED_VALUE"""),44936.0)</f>
        <v>44936</v>
      </c>
      <c r="C1698" s="13">
        <f>IFERROR(__xludf.DUMMYFUNCTION("""COMPUTED_VALUE"""),0.7083333333333334)</f>
        <v>0.7083333333</v>
      </c>
      <c r="D1698" s="8">
        <f>IFERROR(__xludf.DUMMYFUNCTION("""COMPUTED_VALUE"""),0.051)</f>
        <v>0.051</v>
      </c>
      <c r="E1698" s="8" t="str">
        <f>IFERROR(__xludf.DUMMYFUNCTION("""COMPUTED_VALUE"""),"Real")</f>
        <v>Real</v>
      </c>
      <c r="G1698" s="8">
        <f t="shared" si="1"/>
        <v>1</v>
      </c>
      <c r="H1698" s="14">
        <f t="shared" si="2"/>
        <v>10</v>
      </c>
      <c r="I1698" s="15">
        <f t="shared" si="3"/>
        <v>17</v>
      </c>
    </row>
    <row r="1699">
      <c r="A1699" s="8" t="str">
        <f>IFERROR(__xludf.DUMMYFUNCTION("IF('(INGESTA)Datos_consumo_datadis'!A1699&lt;&gt;"""",SPLIT('(INGESTA)Datos_consumo_datadis'!A:A,"",""),"""")"),"ES0031408323131005HX0F")</f>
        <v>ES0031408323131005HX0F</v>
      </c>
      <c r="B1699" s="12">
        <f>IFERROR(__xludf.DUMMYFUNCTION("""COMPUTED_VALUE"""),44936.0)</f>
        <v>44936</v>
      </c>
      <c r="C1699" s="13">
        <f>IFERROR(__xludf.DUMMYFUNCTION("""COMPUTED_VALUE"""),0.75)</f>
        <v>0.75</v>
      </c>
      <c r="D1699" s="8">
        <f>IFERROR(__xludf.DUMMYFUNCTION("""COMPUTED_VALUE"""),0.325)</f>
        <v>0.325</v>
      </c>
      <c r="E1699" s="8" t="str">
        <f>IFERROR(__xludf.DUMMYFUNCTION("""COMPUTED_VALUE"""),"Real")</f>
        <v>Real</v>
      </c>
      <c r="G1699" s="8">
        <f t="shared" si="1"/>
        <v>1</v>
      </c>
      <c r="H1699" s="14">
        <f t="shared" si="2"/>
        <v>10</v>
      </c>
      <c r="I1699" s="15">
        <f t="shared" si="3"/>
        <v>18</v>
      </c>
    </row>
    <row r="1700">
      <c r="A1700" s="8" t="str">
        <f>IFERROR(__xludf.DUMMYFUNCTION("IF('(INGESTA)Datos_consumo_datadis'!A1700&lt;&gt;"""",SPLIT('(INGESTA)Datos_consumo_datadis'!A:A,"",""),"""")"),"ES0031408323131005HX0F")</f>
        <v>ES0031408323131005HX0F</v>
      </c>
      <c r="B1700" s="12">
        <f>IFERROR(__xludf.DUMMYFUNCTION("""COMPUTED_VALUE"""),44936.0)</f>
        <v>44936</v>
      </c>
      <c r="C1700" s="13">
        <f>IFERROR(__xludf.DUMMYFUNCTION("""COMPUTED_VALUE"""),0.7916666666666666)</f>
        <v>0.7916666667</v>
      </c>
      <c r="D1700" s="8">
        <f>IFERROR(__xludf.DUMMYFUNCTION("""COMPUTED_VALUE"""),0.165)</f>
        <v>0.165</v>
      </c>
      <c r="E1700" s="8" t="str">
        <f>IFERROR(__xludf.DUMMYFUNCTION("""COMPUTED_VALUE"""),"Real")</f>
        <v>Real</v>
      </c>
      <c r="G1700" s="8">
        <f t="shared" si="1"/>
        <v>1</v>
      </c>
      <c r="H1700" s="14">
        <f t="shared" si="2"/>
        <v>10</v>
      </c>
      <c r="I1700" s="15">
        <f t="shared" si="3"/>
        <v>19</v>
      </c>
    </row>
    <row r="1701">
      <c r="A1701" s="8" t="str">
        <f>IFERROR(__xludf.DUMMYFUNCTION("IF('(INGESTA)Datos_consumo_datadis'!A1701&lt;&gt;"""",SPLIT('(INGESTA)Datos_consumo_datadis'!A:A,"",""),"""")"),"ES0031408323131005HX0F")</f>
        <v>ES0031408323131005HX0F</v>
      </c>
      <c r="B1701" s="12">
        <f>IFERROR(__xludf.DUMMYFUNCTION("""COMPUTED_VALUE"""),44936.0)</f>
        <v>44936</v>
      </c>
      <c r="C1701" s="13">
        <f>IFERROR(__xludf.DUMMYFUNCTION("""COMPUTED_VALUE"""),0.8333333333333334)</f>
        <v>0.8333333333</v>
      </c>
      <c r="D1701" s="8">
        <f>IFERROR(__xludf.DUMMYFUNCTION("""COMPUTED_VALUE"""),0.534)</f>
        <v>0.534</v>
      </c>
      <c r="E1701" s="8" t="str">
        <f>IFERROR(__xludf.DUMMYFUNCTION("""COMPUTED_VALUE"""),"Real")</f>
        <v>Real</v>
      </c>
      <c r="G1701" s="8">
        <f t="shared" si="1"/>
        <v>1</v>
      </c>
      <c r="H1701" s="14">
        <f t="shared" si="2"/>
        <v>10</v>
      </c>
      <c r="I1701" s="15">
        <f t="shared" si="3"/>
        <v>20</v>
      </c>
    </row>
    <row r="1702">
      <c r="A1702" s="8" t="str">
        <f>IFERROR(__xludf.DUMMYFUNCTION("IF('(INGESTA)Datos_consumo_datadis'!A1702&lt;&gt;"""",SPLIT('(INGESTA)Datos_consumo_datadis'!A:A,"",""),"""")"),"ES0031408323131005HX0F")</f>
        <v>ES0031408323131005HX0F</v>
      </c>
      <c r="B1702" s="12">
        <f>IFERROR(__xludf.DUMMYFUNCTION("""COMPUTED_VALUE"""),44936.0)</f>
        <v>44936</v>
      </c>
      <c r="C1702" s="13">
        <f>IFERROR(__xludf.DUMMYFUNCTION("""COMPUTED_VALUE"""),0.875)</f>
        <v>0.875</v>
      </c>
      <c r="D1702" s="8">
        <f>IFERROR(__xludf.DUMMYFUNCTION("""COMPUTED_VALUE"""),1.96)</f>
        <v>1.96</v>
      </c>
      <c r="E1702" s="8" t="str">
        <f>IFERROR(__xludf.DUMMYFUNCTION("""COMPUTED_VALUE"""),"Real")</f>
        <v>Real</v>
      </c>
      <c r="G1702" s="8">
        <f t="shared" si="1"/>
        <v>1</v>
      </c>
      <c r="H1702" s="14">
        <f t="shared" si="2"/>
        <v>10</v>
      </c>
      <c r="I1702" s="15">
        <f t="shared" si="3"/>
        <v>21</v>
      </c>
    </row>
    <row r="1703">
      <c r="A1703" s="8" t="str">
        <f>IFERROR(__xludf.DUMMYFUNCTION("IF('(INGESTA)Datos_consumo_datadis'!A1703&lt;&gt;"""",SPLIT('(INGESTA)Datos_consumo_datadis'!A:A,"",""),"""")"),"ES0031408323131005HX0F")</f>
        <v>ES0031408323131005HX0F</v>
      </c>
      <c r="B1703" s="12">
        <f>IFERROR(__xludf.DUMMYFUNCTION("""COMPUTED_VALUE"""),44936.0)</f>
        <v>44936</v>
      </c>
      <c r="C1703" s="13">
        <f>IFERROR(__xludf.DUMMYFUNCTION("""COMPUTED_VALUE"""),0.9166666666666666)</f>
        <v>0.9166666667</v>
      </c>
      <c r="D1703" s="8">
        <f>IFERROR(__xludf.DUMMYFUNCTION("""COMPUTED_VALUE"""),2.529)</f>
        <v>2.529</v>
      </c>
      <c r="E1703" s="8" t="str">
        <f>IFERROR(__xludf.DUMMYFUNCTION("""COMPUTED_VALUE"""),"Real")</f>
        <v>Real</v>
      </c>
      <c r="G1703" s="8">
        <f t="shared" si="1"/>
        <v>1</v>
      </c>
      <c r="H1703" s="14">
        <f t="shared" si="2"/>
        <v>10</v>
      </c>
      <c r="I1703" s="15">
        <f t="shared" si="3"/>
        <v>22</v>
      </c>
    </row>
    <row r="1704">
      <c r="A1704" s="8" t="str">
        <f>IFERROR(__xludf.DUMMYFUNCTION("IF('(INGESTA)Datos_consumo_datadis'!A1704&lt;&gt;"""",SPLIT('(INGESTA)Datos_consumo_datadis'!A:A,"",""),"""")"),"ES0031408323131005HX0F")</f>
        <v>ES0031408323131005HX0F</v>
      </c>
      <c r="B1704" s="12">
        <f>IFERROR(__xludf.DUMMYFUNCTION("""COMPUTED_VALUE"""),44936.0)</f>
        <v>44936</v>
      </c>
      <c r="C1704" s="13">
        <f>IFERROR(__xludf.DUMMYFUNCTION("""COMPUTED_VALUE"""),0.9583333333333334)</f>
        <v>0.9583333333</v>
      </c>
      <c r="D1704" s="8">
        <f>IFERROR(__xludf.DUMMYFUNCTION("""COMPUTED_VALUE"""),1.54)</f>
        <v>1.54</v>
      </c>
      <c r="E1704" s="8" t="str">
        <f>IFERROR(__xludf.DUMMYFUNCTION("""COMPUTED_VALUE"""),"Real")</f>
        <v>Real</v>
      </c>
      <c r="G1704" s="8">
        <f t="shared" si="1"/>
        <v>1</v>
      </c>
      <c r="H1704" s="14">
        <f t="shared" si="2"/>
        <v>10</v>
      </c>
      <c r="I1704" s="15">
        <f t="shared" si="3"/>
        <v>23</v>
      </c>
    </row>
    <row r="1705">
      <c r="A1705" s="8" t="str">
        <f>IFERROR(__xludf.DUMMYFUNCTION("IF('(INGESTA)Datos_consumo_datadis'!A1705&lt;&gt;"""",SPLIT('(INGESTA)Datos_consumo_datadis'!A:A,"",""),"""")"),"ES0031408323131005HX0F")</f>
        <v>ES0031408323131005HX0F</v>
      </c>
      <c r="B1705" s="12">
        <f>IFERROR(__xludf.DUMMYFUNCTION("""COMPUTED_VALUE"""),44936.0)</f>
        <v>44936</v>
      </c>
      <c r="C1705" s="16">
        <f>IFERROR(__xludf.DUMMYFUNCTION("""COMPUTED_VALUE"""),1.0)</f>
        <v>1</v>
      </c>
      <c r="D1705" s="8">
        <f>IFERROR(__xludf.DUMMYFUNCTION("""COMPUTED_VALUE"""),1.33)</f>
        <v>1.33</v>
      </c>
      <c r="E1705" s="8" t="str">
        <f>IFERROR(__xludf.DUMMYFUNCTION("""COMPUTED_VALUE"""),"Real")</f>
        <v>Real</v>
      </c>
      <c r="G1705" s="8">
        <f t="shared" si="1"/>
        <v>1</v>
      </c>
      <c r="H1705" s="14">
        <f t="shared" si="2"/>
        <v>10</v>
      </c>
      <c r="I1705" s="15">
        <f t="shared" si="3"/>
        <v>0</v>
      </c>
    </row>
    <row r="1706">
      <c r="A1706" s="8" t="str">
        <f>IFERROR(__xludf.DUMMYFUNCTION("IF('(INGESTA)Datos_consumo_datadis'!A1706&lt;&gt;"""",SPLIT('(INGESTA)Datos_consumo_datadis'!A:A,"",""),"""")"),"ES0031408323131005HX0F")</f>
        <v>ES0031408323131005HX0F</v>
      </c>
      <c r="B1706" s="12">
        <f>IFERROR(__xludf.DUMMYFUNCTION("""COMPUTED_VALUE"""),44937.0)</f>
        <v>44937</v>
      </c>
      <c r="C1706" s="13">
        <f>IFERROR(__xludf.DUMMYFUNCTION("""COMPUTED_VALUE"""),0.041666666666666664)</f>
        <v>0.04166666667</v>
      </c>
      <c r="D1706" s="8">
        <f>IFERROR(__xludf.DUMMYFUNCTION("""COMPUTED_VALUE"""),1.348)</f>
        <v>1.348</v>
      </c>
      <c r="E1706" s="8" t="str">
        <f>IFERROR(__xludf.DUMMYFUNCTION("""COMPUTED_VALUE"""),"Real")</f>
        <v>Real</v>
      </c>
      <c r="G1706" s="8">
        <f t="shared" si="1"/>
        <v>1</v>
      </c>
      <c r="H1706" s="14">
        <f t="shared" si="2"/>
        <v>11</v>
      </c>
      <c r="I1706" s="15">
        <f t="shared" si="3"/>
        <v>1</v>
      </c>
    </row>
    <row r="1707">
      <c r="A1707" s="8" t="str">
        <f>IFERROR(__xludf.DUMMYFUNCTION("IF('(INGESTA)Datos_consumo_datadis'!A1707&lt;&gt;"""",SPLIT('(INGESTA)Datos_consumo_datadis'!A:A,"",""),"""")"),"ES0031408323131005HX0F")</f>
        <v>ES0031408323131005HX0F</v>
      </c>
      <c r="B1707" s="12">
        <f>IFERROR(__xludf.DUMMYFUNCTION("""COMPUTED_VALUE"""),44937.0)</f>
        <v>44937</v>
      </c>
      <c r="C1707" s="13">
        <f>IFERROR(__xludf.DUMMYFUNCTION("""COMPUTED_VALUE"""),0.08333333333333333)</f>
        <v>0.08333333333</v>
      </c>
      <c r="D1707" s="8">
        <f>IFERROR(__xludf.DUMMYFUNCTION("""COMPUTED_VALUE"""),1.349)</f>
        <v>1.349</v>
      </c>
      <c r="E1707" s="8" t="str">
        <f>IFERROR(__xludf.DUMMYFUNCTION("""COMPUTED_VALUE"""),"Real")</f>
        <v>Real</v>
      </c>
      <c r="G1707" s="8">
        <f t="shared" si="1"/>
        <v>1</v>
      </c>
      <c r="H1707" s="14">
        <f t="shared" si="2"/>
        <v>11</v>
      </c>
      <c r="I1707" s="15">
        <f t="shared" si="3"/>
        <v>2</v>
      </c>
    </row>
    <row r="1708">
      <c r="A1708" s="8" t="str">
        <f>IFERROR(__xludf.DUMMYFUNCTION("IF('(INGESTA)Datos_consumo_datadis'!A1708&lt;&gt;"""",SPLIT('(INGESTA)Datos_consumo_datadis'!A:A,"",""),"""")"),"ES0031408323131005HX0F")</f>
        <v>ES0031408323131005HX0F</v>
      </c>
      <c r="B1708" s="12">
        <f>IFERROR(__xludf.DUMMYFUNCTION("""COMPUTED_VALUE"""),44937.0)</f>
        <v>44937</v>
      </c>
      <c r="C1708" s="13">
        <f>IFERROR(__xludf.DUMMYFUNCTION("""COMPUTED_VALUE"""),0.125)</f>
        <v>0.125</v>
      </c>
      <c r="D1708" s="8">
        <f>IFERROR(__xludf.DUMMYFUNCTION("""COMPUTED_VALUE"""),1.552)</f>
        <v>1.552</v>
      </c>
      <c r="E1708" s="8" t="str">
        <f>IFERROR(__xludf.DUMMYFUNCTION("""COMPUTED_VALUE"""),"Real")</f>
        <v>Real</v>
      </c>
      <c r="G1708" s="8">
        <f t="shared" si="1"/>
        <v>1</v>
      </c>
      <c r="H1708" s="14">
        <f t="shared" si="2"/>
        <v>11</v>
      </c>
      <c r="I1708" s="15">
        <f t="shared" si="3"/>
        <v>3</v>
      </c>
    </row>
    <row r="1709">
      <c r="A1709" s="8" t="str">
        <f>IFERROR(__xludf.DUMMYFUNCTION("IF('(INGESTA)Datos_consumo_datadis'!A1709&lt;&gt;"""",SPLIT('(INGESTA)Datos_consumo_datadis'!A:A,"",""),"""")"),"ES0031408323131005HX0F")</f>
        <v>ES0031408323131005HX0F</v>
      </c>
      <c r="B1709" s="12">
        <f>IFERROR(__xludf.DUMMYFUNCTION("""COMPUTED_VALUE"""),44937.0)</f>
        <v>44937</v>
      </c>
      <c r="C1709" s="13">
        <f>IFERROR(__xludf.DUMMYFUNCTION("""COMPUTED_VALUE"""),0.16666666666666666)</f>
        <v>0.1666666667</v>
      </c>
      <c r="D1709" s="8">
        <f>IFERROR(__xludf.DUMMYFUNCTION("""COMPUTED_VALUE"""),1.386)</f>
        <v>1.386</v>
      </c>
      <c r="E1709" s="8" t="str">
        <f>IFERROR(__xludf.DUMMYFUNCTION("""COMPUTED_VALUE"""),"Real")</f>
        <v>Real</v>
      </c>
      <c r="G1709" s="8">
        <f t="shared" si="1"/>
        <v>1</v>
      </c>
      <c r="H1709" s="14">
        <f t="shared" si="2"/>
        <v>11</v>
      </c>
      <c r="I1709" s="15">
        <f t="shared" si="3"/>
        <v>4</v>
      </c>
    </row>
    <row r="1710">
      <c r="A1710" s="8" t="str">
        <f>IFERROR(__xludf.DUMMYFUNCTION("IF('(INGESTA)Datos_consumo_datadis'!A1710&lt;&gt;"""",SPLIT('(INGESTA)Datos_consumo_datadis'!A:A,"",""),"""")"),"ES0031408323131005HX0F")</f>
        <v>ES0031408323131005HX0F</v>
      </c>
      <c r="B1710" s="12">
        <f>IFERROR(__xludf.DUMMYFUNCTION("""COMPUTED_VALUE"""),44937.0)</f>
        <v>44937</v>
      </c>
      <c r="C1710" s="13">
        <f>IFERROR(__xludf.DUMMYFUNCTION("""COMPUTED_VALUE"""),0.20833333333333334)</f>
        <v>0.2083333333</v>
      </c>
      <c r="D1710" s="8">
        <f>IFERROR(__xludf.DUMMYFUNCTION("""COMPUTED_VALUE"""),1.301)</f>
        <v>1.301</v>
      </c>
      <c r="E1710" s="8" t="str">
        <f>IFERROR(__xludf.DUMMYFUNCTION("""COMPUTED_VALUE"""),"Real")</f>
        <v>Real</v>
      </c>
      <c r="G1710" s="8">
        <f t="shared" si="1"/>
        <v>1</v>
      </c>
      <c r="H1710" s="14">
        <f t="shared" si="2"/>
        <v>11</v>
      </c>
      <c r="I1710" s="15">
        <f t="shared" si="3"/>
        <v>5</v>
      </c>
    </row>
    <row r="1711">
      <c r="A1711" s="8" t="str">
        <f>IFERROR(__xludf.DUMMYFUNCTION("IF('(INGESTA)Datos_consumo_datadis'!A1711&lt;&gt;"""",SPLIT('(INGESTA)Datos_consumo_datadis'!A:A,"",""),"""")"),"ES0031408323131005HX0F")</f>
        <v>ES0031408323131005HX0F</v>
      </c>
      <c r="B1711" s="12">
        <f>IFERROR(__xludf.DUMMYFUNCTION("""COMPUTED_VALUE"""),44937.0)</f>
        <v>44937</v>
      </c>
      <c r="C1711" s="13">
        <f>IFERROR(__xludf.DUMMYFUNCTION("""COMPUTED_VALUE"""),0.25)</f>
        <v>0.25</v>
      </c>
      <c r="D1711" s="8">
        <f>IFERROR(__xludf.DUMMYFUNCTION("""COMPUTED_VALUE"""),1.316)</f>
        <v>1.316</v>
      </c>
      <c r="E1711" s="8" t="str">
        <f>IFERROR(__xludf.DUMMYFUNCTION("""COMPUTED_VALUE"""),"Real")</f>
        <v>Real</v>
      </c>
      <c r="G1711" s="8">
        <f t="shared" si="1"/>
        <v>1</v>
      </c>
      <c r="H1711" s="14">
        <f t="shared" si="2"/>
        <v>11</v>
      </c>
      <c r="I1711" s="15">
        <f t="shared" si="3"/>
        <v>6</v>
      </c>
    </row>
    <row r="1712">
      <c r="A1712" s="8" t="str">
        <f>IFERROR(__xludf.DUMMYFUNCTION("IF('(INGESTA)Datos_consumo_datadis'!A1712&lt;&gt;"""",SPLIT('(INGESTA)Datos_consumo_datadis'!A:A,"",""),"""")"),"ES0031408323131005HX0F")</f>
        <v>ES0031408323131005HX0F</v>
      </c>
      <c r="B1712" s="12">
        <f>IFERROR(__xludf.DUMMYFUNCTION("""COMPUTED_VALUE"""),44937.0)</f>
        <v>44937</v>
      </c>
      <c r="C1712" s="13">
        <f>IFERROR(__xludf.DUMMYFUNCTION("""COMPUTED_VALUE"""),0.2916666666666667)</f>
        <v>0.2916666667</v>
      </c>
      <c r="D1712" s="8">
        <f>IFERROR(__xludf.DUMMYFUNCTION("""COMPUTED_VALUE"""),1.473)</f>
        <v>1.473</v>
      </c>
      <c r="E1712" s="8" t="str">
        <f>IFERROR(__xludf.DUMMYFUNCTION("""COMPUTED_VALUE"""),"Real")</f>
        <v>Real</v>
      </c>
      <c r="G1712" s="8">
        <f t="shared" si="1"/>
        <v>1</v>
      </c>
      <c r="H1712" s="14">
        <f t="shared" si="2"/>
        <v>11</v>
      </c>
      <c r="I1712" s="15">
        <f t="shared" si="3"/>
        <v>7</v>
      </c>
    </row>
    <row r="1713">
      <c r="A1713" s="8" t="str">
        <f>IFERROR(__xludf.DUMMYFUNCTION("IF('(INGESTA)Datos_consumo_datadis'!A1713&lt;&gt;"""",SPLIT('(INGESTA)Datos_consumo_datadis'!A:A,"",""),"""")"),"ES0031408323131005HX0F")</f>
        <v>ES0031408323131005HX0F</v>
      </c>
      <c r="B1713" s="12">
        <f>IFERROR(__xludf.DUMMYFUNCTION("""COMPUTED_VALUE"""),44937.0)</f>
        <v>44937</v>
      </c>
      <c r="C1713" s="13">
        <f>IFERROR(__xludf.DUMMYFUNCTION("""COMPUTED_VALUE"""),0.3333333333333333)</f>
        <v>0.3333333333</v>
      </c>
      <c r="D1713" s="8">
        <f>IFERROR(__xludf.DUMMYFUNCTION("""COMPUTED_VALUE"""),1.482)</f>
        <v>1.482</v>
      </c>
      <c r="E1713" s="8" t="str">
        <f>IFERROR(__xludf.DUMMYFUNCTION("""COMPUTED_VALUE"""),"Real")</f>
        <v>Real</v>
      </c>
      <c r="G1713" s="8">
        <f t="shared" si="1"/>
        <v>1</v>
      </c>
      <c r="H1713" s="14">
        <f t="shared" si="2"/>
        <v>11</v>
      </c>
      <c r="I1713" s="15">
        <f t="shared" si="3"/>
        <v>8</v>
      </c>
    </row>
    <row r="1714">
      <c r="A1714" s="8" t="str">
        <f>IFERROR(__xludf.DUMMYFUNCTION("IF('(INGESTA)Datos_consumo_datadis'!A1714&lt;&gt;"""",SPLIT('(INGESTA)Datos_consumo_datadis'!A:A,"",""),"""")"),"ES0031408323131005HX0F")</f>
        <v>ES0031408323131005HX0F</v>
      </c>
      <c r="B1714" s="12">
        <f>IFERROR(__xludf.DUMMYFUNCTION("""COMPUTED_VALUE"""),44937.0)</f>
        <v>44937</v>
      </c>
      <c r="C1714" s="13">
        <f>IFERROR(__xludf.DUMMYFUNCTION("""COMPUTED_VALUE"""),0.375)</f>
        <v>0.375</v>
      </c>
      <c r="D1714" s="8">
        <f>IFERROR(__xludf.DUMMYFUNCTION("""COMPUTED_VALUE"""),0.092)</f>
        <v>0.092</v>
      </c>
      <c r="E1714" s="8" t="str">
        <f>IFERROR(__xludf.DUMMYFUNCTION("""COMPUTED_VALUE"""),"Real")</f>
        <v>Real</v>
      </c>
      <c r="G1714" s="8">
        <f t="shared" si="1"/>
        <v>1</v>
      </c>
      <c r="H1714" s="14">
        <f t="shared" si="2"/>
        <v>11</v>
      </c>
      <c r="I1714" s="15">
        <f t="shared" si="3"/>
        <v>9</v>
      </c>
    </row>
    <row r="1715">
      <c r="A1715" s="8" t="str">
        <f>IFERROR(__xludf.DUMMYFUNCTION("IF('(INGESTA)Datos_consumo_datadis'!A1715&lt;&gt;"""",SPLIT('(INGESTA)Datos_consumo_datadis'!A:A,"",""),"""")"),"ES0031408323131005HX0F")</f>
        <v>ES0031408323131005HX0F</v>
      </c>
      <c r="B1715" s="12">
        <f>IFERROR(__xludf.DUMMYFUNCTION("""COMPUTED_VALUE"""),44937.0)</f>
        <v>44937</v>
      </c>
      <c r="C1715" s="13">
        <f>IFERROR(__xludf.DUMMYFUNCTION("""COMPUTED_VALUE"""),0.4166666666666667)</f>
        <v>0.4166666667</v>
      </c>
      <c r="D1715" s="8">
        <f>IFERROR(__xludf.DUMMYFUNCTION("""COMPUTED_VALUE"""),0.041)</f>
        <v>0.041</v>
      </c>
      <c r="E1715" s="8" t="str">
        <f>IFERROR(__xludf.DUMMYFUNCTION("""COMPUTED_VALUE"""),"Real")</f>
        <v>Real</v>
      </c>
      <c r="G1715" s="8">
        <f t="shared" si="1"/>
        <v>1</v>
      </c>
      <c r="H1715" s="14">
        <f t="shared" si="2"/>
        <v>11</v>
      </c>
      <c r="I1715" s="15">
        <f t="shared" si="3"/>
        <v>10</v>
      </c>
    </row>
    <row r="1716">
      <c r="A1716" s="8" t="str">
        <f>IFERROR(__xludf.DUMMYFUNCTION("IF('(INGESTA)Datos_consumo_datadis'!A1716&lt;&gt;"""",SPLIT('(INGESTA)Datos_consumo_datadis'!A:A,"",""),"""")"),"ES0031408323131005HX0F")</f>
        <v>ES0031408323131005HX0F</v>
      </c>
      <c r="B1716" s="12">
        <f>IFERROR(__xludf.DUMMYFUNCTION("""COMPUTED_VALUE"""),44937.0)</f>
        <v>44937</v>
      </c>
      <c r="C1716" s="13">
        <f>IFERROR(__xludf.DUMMYFUNCTION("""COMPUTED_VALUE"""),0.4583333333333333)</f>
        <v>0.4583333333</v>
      </c>
      <c r="D1716" s="8">
        <f>IFERROR(__xludf.DUMMYFUNCTION("""COMPUTED_VALUE"""),0.016)</f>
        <v>0.016</v>
      </c>
      <c r="E1716" s="8" t="str">
        <f>IFERROR(__xludf.DUMMYFUNCTION("""COMPUTED_VALUE"""),"Real")</f>
        <v>Real</v>
      </c>
      <c r="G1716" s="8">
        <f t="shared" si="1"/>
        <v>1</v>
      </c>
      <c r="H1716" s="14">
        <f t="shared" si="2"/>
        <v>11</v>
      </c>
      <c r="I1716" s="15">
        <f t="shared" si="3"/>
        <v>11</v>
      </c>
    </row>
    <row r="1717">
      <c r="A1717" s="8" t="str">
        <f>IFERROR(__xludf.DUMMYFUNCTION("IF('(INGESTA)Datos_consumo_datadis'!A1717&lt;&gt;"""",SPLIT('(INGESTA)Datos_consumo_datadis'!A:A,"",""),"""")"),"ES0031408323131005HX0F")</f>
        <v>ES0031408323131005HX0F</v>
      </c>
      <c r="B1717" s="12">
        <f>IFERROR(__xludf.DUMMYFUNCTION("""COMPUTED_VALUE"""),44937.0)</f>
        <v>44937</v>
      </c>
      <c r="C1717" s="13">
        <f>IFERROR(__xludf.DUMMYFUNCTION("""COMPUTED_VALUE"""),0.5)</f>
        <v>0.5</v>
      </c>
      <c r="D1717" s="8">
        <f>IFERROR(__xludf.DUMMYFUNCTION("""COMPUTED_VALUE"""),0.311)</f>
        <v>0.311</v>
      </c>
      <c r="E1717" s="8" t="str">
        <f>IFERROR(__xludf.DUMMYFUNCTION("""COMPUTED_VALUE"""),"Real")</f>
        <v>Real</v>
      </c>
      <c r="G1717" s="8">
        <f t="shared" si="1"/>
        <v>1</v>
      </c>
      <c r="H1717" s="14">
        <f t="shared" si="2"/>
        <v>11</v>
      </c>
      <c r="I1717" s="15">
        <f t="shared" si="3"/>
        <v>12</v>
      </c>
    </row>
    <row r="1718">
      <c r="A1718" s="8" t="str">
        <f>IFERROR(__xludf.DUMMYFUNCTION("IF('(INGESTA)Datos_consumo_datadis'!A1718&lt;&gt;"""",SPLIT('(INGESTA)Datos_consumo_datadis'!A:A,"",""),"""")"),"ES0031408323131005HX0F")</f>
        <v>ES0031408323131005HX0F</v>
      </c>
      <c r="B1718" s="12">
        <f>IFERROR(__xludf.DUMMYFUNCTION("""COMPUTED_VALUE"""),44937.0)</f>
        <v>44937</v>
      </c>
      <c r="C1718" s="13">
        <f>IFERROR(__xludf.DUMMYFUNCTION("""COMPUTED_VALUE"""),0.5416666666666666)</f>
        <v>0.5416666667</v>
      </c>
      <c r="D1718" s="8">
        <f>IFERROR(__xludf.DUMMYFUNCTION("""COMPUTED_VALUE"""),0.087)</f>
        <v>0.087</v>
      </c>
      <c r="E1718" s="8" t="str">
        <f>IFERROR(__xludf.DUMMYFUNCTION("""COMPUTED_VALUE"""),"Real")</f>
        <v>Real</v>
      </c>
      <c r="G1718" s="8">
        <f t="shared" si="1"/>
        <v>1</v>
      </c>
      <c r="H1718" s="14">
        <f t="shared" si="2"/>
        <v>11</v>
      </c>
      <c r="I1718" s="15">
        <f t="shared" si="3"/>
        <v>13</v>
      </c>
    </row>
    <row r="1719">
      <c r="A1719" s="8" t="str">
        <f>IFERROR(__xludf.DUMMYFUNCTION("IF('(INGESTA)Datos_consumo_datadis'!A1719&lt;&gt;"""",SPLIT('(INGESTA)Datos_consumo_datadis'!A:A,"",""),"""")"),"ES0031408323131005HX0F")</f>
        <v>ES0031408323131005HX0F</v>
      </c>
      <c r="B1719" s="12">
        <f>IFERROR(__xludf.DUMMYFUNCTION("""COMPUTED_VALUE"""),44937.0)</f>
        <v>44937</v>
      </c>
      <c r="C1719" s="13">
        <f>IFERROR(__xludf.DUMMYFUNCTION("""COMPUTED_VALUE"""),0.5833333333333334)</f>
        <v>0.5833333333</v>
      </c>
      <c r="D1719" s="8">
        <f>IFERROR(__xludf.DUMMYFUNCTION("""COMPUTED_VALUE"""),0.04)</f>
        <v>0.04</v>
      </c>
      <c r="E1719" s="8" t="str">
        <f>IFERROR(__xludf.DUMMYFUNCTION("""COMPUTED_VALUE"""),"Real")</f>
        <v>Real</v>
      </c>
      <c r="G1719" s="8">
        <f t="shared" si="1"/>
        <v>1</v>
      </c>
      <c r="H1719" s="14">
        <f t="shared" si="2"/>
        <v>11</v>
      </c>
      <c r="I1719" s="15">
        <f t="shared" si="3"/>
        <v>14</v>
      </c>
    </row>
    <row r="1720">
      <c r="A1720" s="8" t="str">
        <f>IFERROR(__xludf.DUMMYFUNCTION("IF('(INGESTA)Datos_consumo_datadis'!A1720&lt;&gt;"""",SPLIT('(INGESTA)Datos_consumo_datadis'!A:A,"",""),"""")"),"ES0031408323131005HX0F")</f>
        <v>ES0031408323131005HX0F</v>
      </c>
      <c r="B1720" s="12">
        <f>IFERROR(__xludf.DUMMYFUNCTION("""COMPUTED_VALUE"""),44937.0)</f>
        <v>44937</v>
      </c>
      <c r="C1720" s="13">
        <f>IFERROR(__xludf.DUMMYFUNCTION("""COMPUTED_VALUE"""),0.625)</f>
        <v>0.625</v>
      </c>
      <c r="D1720" s="8">
        <f>IFERROR(__xludf.DUMMYFUNCTION("""COMPUTED_VALUE"""),0.015)</f>
        <v>0.015</v>
      </c>
      <c r="E1720" s="8" t="str">
        <f>IFERROR(__xludf.DUMMYFUNCTION("""COMPUTED_VALUE"""),"Real")</f>
        <v>Real</v>
      </c>
      <c r="G1720" s="8">
        <f t="shared" si="1"/>
        <v>1</v>
      </c>
      <c r="H1720" s="14">
        <f t="shared" si="2"/>
        <v>11</v>
      </c>
      <c r="I1720" s="15">
        <f t="shared" si="3"/>
        <v>15</v>
      </c>
    </row>
    <row r="1721">
      <c r="A1721" s="8" t="str">
        <f>IFERROR(__xludf.DUMMYFUNCTION("IF('(INGESTA)Datos_consumo_datadis'!A1721&lt;&gt;"""",SPLIT('(INGESTA)Datos_consumo_datadis'!A:A,"",""),"""")"),"ES0031408323131005HX0F")</f>
        <v>ES0031408323131005HX0F</v>
      </c>
      <c r="B1721" s="12">
        <f>IFERROR(__xludf.DUMMYFUNCTION("""COMPUTED_VALUE"""),44937.0)</f>
        <v>44937</v>
      </c>
      <c r="C1721" s="13">
        <f>IFERROR(__xludf.DUMMYFUNCTION("""COMPUTED_VALUE"""),0.6666666666666666)</f>
        <v>0.6666666667</v>
      </c>
      <c r="D1721" s="8">
        <f>IFERROR(__xludf.DUMMYFUNCTION("""COMPUTED_VALUE"""),0.089)</f>
        <v>0.089</v>
      </c>
      <c r="E1721" s="8" t="str">
        <f>IFERROR(__xludf.DUMMYFUNCTION("""COMPUTED_VALUE"""),"Real")</f>
        <v>Real</v>
      </c>
      <c r="G1721" s="8">
        <f t="shared" si="1"/>
        <v>1</v>
      </c>
      <c r="H1721" s="14">
        <f t="shared" si="2"/>
        <v>11</v>
      </c>
      <c r="I1721" s="15">
        <f t="shared" si="3"/>
        <v>16</v>
      </c>
    </row>
    <row r="1722">
      <c r="A1722" s="8" t="str">
        <f>IFERROR(__xludf.DUMMYFUNCTION("IF('(INGESTA)Datos_consumo_datadis'!A1722&lt;&gt;"""",SPLIT('(INGESTA)Datos_consumo_datadis'!A:A,"",""),"""")"),"ES0031408323131005HX0F")</f>
        <v>ES0031408323131005HX0F</v>
      </c>
      <c r="B1722" s="12">
        <f>IFERROR(__xludf.DUMMYFUNCTION("""COMPUTED_VALUE"""),44937.0)</f>
        <v>44937</v>
      </c>
      <c r="C1722" s="13">
        <f>IFERROR(__xludf.DUMMYFUNCTION("""COMPUTED_VALUE"""),0.7083333333333334)</f>
        <v>0.7083333333</v>
      </c>
      <c r="D1722" s="8">
        <f>IFERROR(__xludf.DUMMYFUNCTION("""COMPUTED_VALUE"""),0.044)</f>
        <v>0.044</v>
      </c>
      <c r="E1722" s="8" t="str">
        <f>IFERROR(__xludf.DUMMYFUNCTION("""COMPUTED_VALUE"""),"Real")</f>
        <v>Real</v>
      </c>
      <c r="G1722" s="8">
        <f t="shared" si="1"/>
        <v>1</v>
      </c>
      <c r="H1722" s="14">
        <f t="shared" si="2"/>
        <v>11</v>
      </c>
      <c r="I1722" s="15">
        <f t="shared" si="3"/>
        <v>17</v>
      </c>
    </row>
    <row r="1723">
      <c r="A1723" s="8" t="str">
        <f>IFERROR(__xludf.DUMMYFUNCTION("IF('(INGESTA)Datos_consumo_datadis'!A1723&lt;&gt;"""",SPLIT('(INGESTA)Datos_consumo_datadis'!A:A,"",""),"""")"),"ES0031408323131005HX0F")</f>
        <v>ES0031408323131005HX0F</v>
      </c>
      <c r="B1723" s="12">
        <f>IFERROR(__xludf.DUMMYFUNCTION("""COMPUTED_VALUE"""),44937.0)</f>
        <v>44937</v>
      </c>
      <c r="C1723" s="13">
        <f>IFERROR(__xludf.DUMMYFUNCTION("""COMPUTED_VALUE"""),0.75)</f>
        <v>0.75</v>
      </c>
      <c r="D1723" s="8">
        <f>IFERROR(__xludf.DUMMYFUNCTION("""COMPUTED_VALUE"""),0.038)</f>
        <v>0.038</v>
      </c>
      <c r="E1723" s="8" t="str">
        <f>IFERROR(__xludf.DUMMYFUNCTION("""COMPUTED_VALUE"""),"Real")</f>
        <v>Real</v>
      </c>
      <c r="G1723" s="8">
        <f t="shared" si="1"/>
        <v>1</v>
      </c>
      <c r="H1723" s="14">
        <f t="shared" si="2"/>
        <v>11</v>
      </c>
      <c r="I1723" s="15">
        <f t="shared" si="3"/>
        <v>18</v>
      </c>
    </row>
    <row r="1724">
      <c r="A1724" s="8" t="str">
        <f>IFERROR(__xludf.DUMMYFUNCTION("IF('(INGESTA)Datos_consumo_datadis'!A1724&lt;&gt;"""",SPLIT('(INGESTA)Datos_consumo_datadis'!A:A,"",""),"""")"),"ES0031408323131005HX0F")</f>
        <v>ES0031408323131005HX0F</v>
      </c>
      <c r="B1724" s="12">
        <f>IFERROR(__xludf.DUMMYFUNCTION("""COMPUTED_VALUE"""),44937.0)</f>
        <v>44937</v>
      </c>
      <c r="C1724" s="13">
        <f>IFERROR(__xludf.DUMMYFUNCTION("""COMPUTED_VALUE"""),0.7916666666666666)</f>
        <v>0.7916666667</v>
      </c>
      <c r="D1724" s="8">
        <f>IFERROR(__xludf.DUMMYFUNCTION("""COMPUTED_VALUE"""),0.308)</f>
        <v>0.308</v>
      </c>
      <c r="E1724" s="8" t="str">
        <f>IFERROR(__xludf.DUMMYFUNCTION("""COMPUTED_VALUE"""),"Real")</f>
        <v>Real</v>
      </c>
      <c r="G1724" s="8">
        <f t="shared" si="1"/>
        <v>1</v>
      </c>
      <c r="H1724" s="14">
        <f t="shared" si="2"/>
        <v>11</v>
      </c>
      <c r="I1724" s="15">
        <f t="shared" si="3"/>
        <v>19</v>
      </c>
    </row>
    <row r="1725">
      <c r="A1725" s="8" t="str">
        <f>IFERROR(__xludf.DUMMYFUNCTION("IF('(INGESTA)Datos_consumo_datadis'!A1725&lt;&gt;"""",SPLIT('(INGESTA)Datos_consumo_datadis'!A:A,"",""),"""")"),"ES0031408323131005HX0F")</f>
        <v>ES0031408323131005HX0F</v>
      </c>
      <c r="B1725" s="12">
        <f>IFERROR(__xludf.DUMMYFUNCTION("""COMPUTED_VALUE"""),44937.0)</f>
        <v>44937</v>
      </c>
      <c r="C1725" s="13">
        <f>IFERROR(__xludf.DUMMYFUNCTION("""COMPUTED_VALUE"""),0.8333333333333334)</f>
        <v>0.8333333333</v>
      </c>
      <c r="D1725" s="8">
        <f>IFERROR(__xludf.DUMMYFUNCTION("""COMPUTED_VALUE"""),0.105)</f>
        <v>0.105</v>
      </c>
      <c r="E1725" s="8" t="str">
        <f>IFERROR(__xludf.DUMMYFUNCTION("""COMPUTED_VALUE"""),"Real")</f>
        <v>Real</v>
      </c>
      <c r="G1725" s="8">
        <f t="shared" si="1"/>
        <v>1</v>
      </c>
      <c r="H1725" s="14">
        <f t="shared" si="2"/>
        <v>11</v>
      </c>
      <c r="I1725" s="15">
        <f t="shared" si="3"/>
        <v>20</v>
      </c>
    </row>
    <row r="1726">
      <c r="A1726" s="8" t="str">
        <f>IFERROR(__xludf.DUMMYFUNCTION("IF('(INGESTA)Datos_consumo_datadis'!A1726&lt;&gt;"""",SPLIT('(INGESTA)Datos_consumo_datadis'!A:A,"",""),"""")"),"ES0031408323131005HX0F")</f>
        <v>ES0031408323131005HX0F</v>
      </c>
      <c r="B1726" s="12">
        <f>IFERROR(__xludf.DUMMYFUNCTION("""COMPUTED_VALUE"""),44937.0)</f>
        <v>44937</v>
      </c>
      <c r="C1726" s="13">
        <f>IFERROR(__xludf.DUMMYFUNCTION("""COMPUTED_VALUE"""),0.875)</f>
        <v>0.875</v>
      </c>
      <c r="D1726" s="8">
        <f>IFERROR(__xludf.DUMMYFUNCTION("""COMPUTED_VALUE"""),0.043)</f>
        <v>0.043</v>
      </c>
      <c r="E1726" s="8" t="str">
        <f>IFERROR(__xludf.DUMMYFUNCTION("""COMPUTED_VALUE"""),"Real")</f>
        <v>Real</v>
      </c>
      <c r="G1726" s="8">
        <f t="shared" si="1"/>
        <v>1</v>
      </c>
      <c r="H1726" s="14">
        <f t="shared" si="2"/>
        <v>11</v>
      </c>
      <c r="I1726" s="15">
        <f t="shared" si="3"/>
        <v>21</v>
      </c>
    </row>
    <row r="1727">
      <c r="A1727" s="8" t="str">
        <f>IFERROR(__xludf.DUMMYFUNCTION("IF('(INGESTA)Datos_consumo_datadis'!A1727&lt;&gt;"""",SPLIT('(INGESTA)Datos_consumo_datadis'!A:A,"",""),"""")"),"ES0031408323131005HX0F")</f>
        <v>ES0031408323131005HX0F</v>
      </c>
      <c r="B1727" s="12">
        <f>IFERROR(__xludf.DUMMYFUNCTION("""COMPUTED_VALUE"""),44937.0)</f>
        <v>44937</v>
      </c>
      <c r="C1727" s="13">
        <f>IFERROR(__xludf.DUMMYFUNCTION("""COMPUTED_VALUE"""),0.9166666666666666)</f>
        <v>0.9166666667</v>
      </c>
      <c r="D1727" s="8">
        <f>IFERROR(__xludf.DUMMYFUNCTION("""COMPUTED_VALUE"""),2.355)</f>
        <v>2.355</v>
      </c>
      <c r="E1727" s="8" t="str">
        <f>IFERROR(__xludf.DUMMYFUNCTION("""COMPUTED_VALUE"""),"Real")</f>
        <v>Real</v>
      </c>
      <c r="G1727" s="8">
        <f t="shared" si="1"/>
        <v>1</v>
      </c>
      <c r="H1727" s="14">
        <f t="shared" si="2"/>
        <v>11</v>
      </c>
      <c r="I1727" s="15">
        <f t="shared" si="3"/>
        <v>22</v>
      </c>
    </row>
    <row r="1728">
      <c r="A1728" s="8" t="str">
        <f>IFERROR(__xludf.DUMMYFUNCTION("IF('(INGESTA)Datos_consumo_datadis'!A1728&lt;&gt;"""",SPLIT('(INGESTA)Datos_consumo_datadis'!A:A,"",""),"""")"),"ES0031408323131005HX0F")</f>
        <v>ES0031408323131005HX0F</v>
      </c>
      <c r="B1728" s="12">
        <f>IFERROR(__xludf.DUMMYFUNCTION("""COMPUTED_VALUE"""),44937.0)</f>
        <v>44937</v>
      </c>
      <c r="C1728" s="13">
        <f>IFERROR(__xludf.DUMMYFUNCTION("""COMPUTED_VALUE"""),0.9583333333333334)</f>
        <v>0.9583333333</v>
      </c>
      <c r="D1728" s="8">
        <f>IFERROR(__xludf.DUMMYFUNCTION("""COMPUTED_VALUE"""),3.522)</f>
        <v>3.522</v>
      </c>
      <c r="E1728" s="8" t="str">
        <f>IFERROR(__xludf.DUMMYFUNCTION("""COMPUTED_VALUE"""),"Real")</f>
        <v>Real</v>
      </c>
      <c r="G1728" s="8">
        <f t="shared" si="1"/>
        <v>1</v>
      </c>
      <c r="H1728" s="14">
        <f t="shared" si="2"/>
        <v>11</v>
      </c>
      <c r="I1728" s="15">
        <f t="shared" si="3"/>
        <v>23</v>
      </c>
    </row>
    <row r="1729">
      <c r="A1729" s="8" t="str">
        <f>IFERROR(__xludf.DUMMYFUNCTION("IF('(INGESTA)Datos_consumo_datadis'!A1729&lt;&gt;"""",SPLIT('(INGESTA)Datos_consumo_datadis'!A:A,"",""),"""")"),"ES0031408323131005HX0F")</f>
        <v>ES0031408323131005HX0F</v>
      </c>
      <c r="B1729" s="12">
        <f>IFERROR(__xludf.DUMMYFUNCTION("""COMPUTED_VALUE"""),44937.0)</f>
        <v>44937</v>
      </c>
      <c r="C1729" s="16">
        <f>IFERROR(__xludf.DUMMYFUNCTION("""COMPUTED_VALUE"""),1.0)</f>
        <v>1</v>
      </c>
      <c r="D1729" s="8">
        <f>IFERROR(__xludf.DUMMYFUNCTION("""COMPUTED_VALUE"""),2.333)</f>
        <v>2.333</v>
      </c>
      <c r="E1729" s="8" t="str">
        <f>IFERROR(__xludf.DUMMYFUNCTION("""COMPUTED_VALUE"""),"Real")</f>
        <v>Real</v>
      </c>
      <c r="G1729" s="8">
        <f t="shared" si="1"/>
        <v>1</v>
      </c>
      <c r="H1729" s="14">
        <f t="shared" si="2"/>
        <v>11</v>
      </c>
      <c r="I1729" s="15">
        <f t="shared" si="3"/>
        <v>0</v>
      </c>
    </row>
    <row r="1730">
      <c r="A1730" s="8" t="str">
        <f>IFERROR(__xludf.DUMMYFUNCTION("IF('(INGESTA)Datos_consumo_datadis'!A1730&lt;&gt;"""",SPLIT('(INGESTA)Datos_consumo_datadis'!A:A,"",""),"""")"),"ES0031408323131005HX0F")</f>
        <v>ES0031408323131005HX0F</v>
      </c>
      <c r="B1730" s="12">
        <f>IFERROR(__xludf.DUMMYFUNCTION("""COMPUTED_VALUE"""),44938.0)</f>
        <v>44938</v>
      </c>
      <c r="C1730" s="13">
        <f>IFERROR(__xludf.DUMMYFUNCTION("""COMPUTED_VALUE"""),0.041666666666666664)</f>
        <v>0.04166666667</v>
      </c>
      <c r="D1730" s="8">
        <f>IFERROR(__xludf.DUMMYFUNCTION("""COMPUTED_VALUE"""),1.48)</f>
        <v>1.48</v>
      </c>
      <c r="E1730" s="8" t="str">
        <f>IFERROR(__xludf.DUMMYFUNCTION("""COMPUTED_VALUE"""),"Real")</f>
        <v>Real</v>
      </c>
      <c r="G1730" s="8">
        <f t="shared" si="1"/>
        <v>1</v>
      </c>
      <c r="H1730" s="14">
        <f t="shared" si="2"/>
        <v>12</v>
      </c>
      <c r="I1730" s="15">
        <f t="shared" si="3"/>
        <v>1</v>
      </c>
    </row>
    <row r="1731">
      <c r="A1731" s="8" t="str">
        <f>IFERROR(__xludf.DUMMYFUNCTION("IF('(INGESTA)Datos_consumo_datadis'!A1731&lt;&gt;"""",SPLIT('(INGESTA)Datos_consumo_datadis'!A:A,"",""),"""")"),"ES0031408323131005HX0F")</f>
        <v>ES0031408323131005HX0F</v>
      </c>
      <c r="B1731" s="12">
        <f>IFERROR(__xludf.DUMMYFUNCTION("""COMPUTED_VALUE"""),44938.0)</f>
        <v>44938</v>
      </c>
      <c r="C1731" s="13">
        <f>IFERROR(__xludf.DUMMYFUNCTION("""COMPUTED_VALUE"""),0.08333333333333333)</f>
        <v>0.08333333333</v>
      </c>
      <c r="D1731" s="8">
        <f>IFERROR(__xludf.DUMMYFUNCTION("""COMPUTED_VALUE"""),1.501)</f>
        <v>1.501</v>
      </c>
      <c r="E1731" s="8" t="str">
        <f>IFERROR(__xludf.DUMMYFUNCTION("""COMPUTED_VALUE"""),"Real")</f>
        <v>Real</v>
      </c>
      <c r="G1731" s="8">
        <f t="shared" si="1"/>
        <v>1</v>
      </c>
      <c r="H1731" s="14">
        <f t="shared" si="2"/>
        <v>12</v>
      </c>
      <c r="I1731" s="15">
        <f t="shared" si="3"/>
        <v>2</v>
      </c>
    </row>
    <row r="1732">
      <c r="A1732" s="8" t="str">
        <f>IFERROR(__xludf.DUMMYFUNCTION("IF('(INGESTA)Datos_consumo_datadis'!A1732&lt;&gt;"""",SPLIT('(INGESTA)Datos_consumo_datadis'!A:A,"",""),"""")"),"ES0031408323131005HX0F")</f>
        <v>ES0031408323131005HX0F</v>
      </c>
      <c r="B1732" s="12">
        <f>IFERROR(__xludf.DUMMYFUNCTION("""COMPUTED_VALUE"""),44938.0)</f>
        <v>44938</v>
      </c>
      <c r="C1732" s="13">
        <f>IFERROR(__xludf.DUMMYFUNCTION("""COMPUTED_VALUE"""),0.125)</f>
        <v>0.125</v>
      </c>
      <c r="D1732" s="8">
        <f>IFERROR(__xludf.DUMMYFUNCTION("""COMPUTED_VALUE"""),1.555)</f>
        <v>1.555</v>
      </c>
      <c r="E1732" s="8" t="str">
        <f>IFERROR(__xludf.DUMMYFUNCTION("""COMPUTED_VALUE"""),"Real")</f>
        <v>Real</v>
      </c>
      <c r="G1732" s="8">
        <f t="shared" si="1"/>
        <v>1</v>
      </c>
      <c r="H1732" s="14">
        <f t="shared" si="2"/>
        <v>12</v>
      </c>
      <c r="I1732" s="15">
        <f t="shared" si="3"/>
        <v>3</v>
      </c>
    </row>
    <row r="1733">
      <c r="A1733" s="8" t="str">
        <f>IFERROR(__xludf.DUMMYFUNCTION("IF('(INGESTA)Datos_consumo_datadis'!A1733&lt;&gt;"""",SPLIT('(INGESTA)Datos_consumo_datadis'!A:A,"",""),"""")"),"ES0031408323131005HX0F")</f>
        <v>ES0031408323131005HX0F</v>
      </c>
      <c r="B1733" s="12">
        <f>IFERROR(__xludf.DUMMYFUNCTION("""COMPUTED_VALUE"""),44938.0)</f>
        <v>44938</v>
      </c>
      <c r="C1733" s="13">
        <f>IFERROR(__xludf.DUMMYFUNCTION("""COMPUTED_VALUE"""),0.16666666666666666)</f>
        <v>0.1666666667</v>
      </c>
      <c r="D1733" s="8">
        <f>IFERROR(__xludf.DUMMYFUNCTION("""COMPUTED_VALUE"""),1.62)</f>
        <v>1.62</v>
      </c>
      <c r="E1733" s="8" t="str">
        <f>IFERROR(__xludf.DUMMYFUNCTION("""COMPUTED_VALUE"""),"Real")</f>
        <v>Real</v>
      </c>
      <c r="G1733" s="8">
        <f t="shared" si="1"/>
        <v>1</v>
      </c>
      <c r="H1733" s="14">
        <f t="shared" si="2"/>
        <v>12</v>
      </c>
      <c r="I1733" s="15">
        <f t="shared" si="3"/>
        <v>4</v>
      </c>
    </row>
    <row r="1734">
      <c r="A1734" s="8" t="str">
        <f>IFERROR(__xludf.DUMMYFUNCTION("IF('(INGESTA)Datos_consumo_datadis'!A1734&lt;&gt;"""",SPLIT('(INGESTA)Datos_consumo_datadis'!A:A,"",""),"""")"),"ES0031408323131005HX0F")</f>
        <v>ES0031408323131005HX0F</v>
      </c>
      <c r="B1734" s="12">
        <f>IFERROR(__xludf.DUMMYFUNCTION("""COMPUTED_VALUE"""),44938.0)</f>
        <v>44938</v>
      </c>
      <c r="C1734" s="13">
        <f>IFERROR(__xludf.DUMMYFUNCTION("""COMPUTED_VALUE"""),0.20833333333333334)</f>
        <v>0.2083333333</v>
      </c>
      <c r="D1734" s="8">
        <f>IFERROR(__xludf.DUMMYFUNCTION("""COMPUTED_VALUE"""),1.549)</f>
        <v>1.549</v>
      </c>
      <c r="E1734" s="8" t="str">
        <f>IFERROR(__xludf.DUMMYFUNCTION("""COMPUTED_VALUE"""),"Real")</f>
        <v>Real</v>
      </c>
      <c r="G1734" s="8">
        <f t="shared" si="1"/>
        <v>1</v>
      </c>
      <c r="H1734" s="14">
        <f t="shared" si="2"/>
        <v>12</v>
      </c>
      <c r="I1734" s="15">
        <f t="shared" si="3"/>
        <v>5</v>
      </c>
    </row>
    <row r="1735">
      <c r="A1735" s="8" t="str">
        <f>IFERROR(__xludf.DUMMYFUNCTION("IF('(INGESTA)Datos_consumo_datadis'!A1735&lt;&gt;"""",SPLIT('(INGESTA)Datos_consumo_datadis'!A:A,"",""),"""")"),"ES0031408323131005HX0F")</f>
        <v>ES0031408323131005HX0F</v>
      </c>
      <c r="B1735" s="12">
        <f>IFERROR(__xludf.DUMMYFUNCTION("""COMPUTED_VALUE"""),44938.0)</f>
        <v>44938</v>
      </c>
      <c r="C1735" s="13">
        <f>IFERROR(__xludf.DUMMYFUNCTION("""COMPUTED_VALUE"""),0.25)</f>
        <v>0.25</v>
      </c>
      <c r="D1735" s="8">
        <f>IFERROR(__xludf.DUMMYFUNCTION("""COMPUTED_VALUE"""),1.832)</f>
        <v>1.832</v>
      </c>
      <c r="E1735" s="8" t="str">
        <f>IFERROR(__xludf.DUMMYFUNCTION("""COMPUTED_VALUE"""),"Real")</f>
        <v>Real</v>
      </c>
      <c r="G1735" s="8">
        <f t="shared" si="1"/>
        <v>1</v>
      </c>
      <c r="H1735" s="14">
        <f t="shared" si="2"/>
        <v>12</v>
      </c>
      <c r="I1735" s="15">
        <f t="shared" si="3"/>
        <v>6</v>
      </c>
    </row>
    <row r="1736">
      <c r="A1736" s="8" t="str">
        <f>IFERROR(__xludf.DUMMYFUNCTION("IF('(INGESTA)Datos_consumo_datadis'!A1736&lt;&gt;"""",SPLIT('(INGESTA)Datos_consumo_datadis'!A:A,"",""),"""")"),"ES0031408323131005HX0F")</f>
        <v>ES0031408323131005HX0F</v>
      </c>
      <c r="B1736" s="12">
        <f>IFERROR(__xludf.DUMMYFUNCTION("""COMPUTED_VALUE"""),44938.0)</f>
        <v>44938</v>
      </c>
      <c r="C1736" s="13">
        <f>IFERROR(__xludf.DUMMYFUNCTION("""COMPUTED_VALUE"""),0.2916666666666667)</f>
        <v>0.2916666667</v>
      </c>
      <c r="D1736" s="8">
        <f>IFERROR(__xludf.DUMMYFUNCTION("""COMPUTED_VALUE"""),1.527)</f>
        <v>1.527</v>
      </c>
      <c r="E1736" s="8" t="str">
        <f>IFERROR(__xludf.DUMMYFUNCTION("""COMPUTED_VALUE"""),"Real")</f>
        <v>Real</v>
      </c>
      <c r="G1736" s="8">
        <f t="shared" si="1"/>
        <v>1</v>
      </c>
      <c r="H1736" s="14">
        <f t="shared" si="2"/>
        <v>12</v>
      </c>
      <c r="I1736" s="15">
        <f t="shared" si="3"/>
        <v>7</v>
      </c>
    </row>
    <row r="1737">
      <c r="A1737" s="8" t="str">
        <f>IFERROR(__xludf.DUMMYFUNCTION("IF('(INGESTA)Datos_consumo_datadis'!A1737&lt;&gt;"""",SPLIT('(INGESTA)Datos_consumo_datadis'!A:A,"",""),"""")"),"ES0031408323131005HX0F")</f>
        <v>ES0031408323131005HX0F</v>
      </c>
      <c r="B1737" s="12">
        <f>IFERROR(__xludf.DUMMYFUNCTION("""COMPUTED_VALUE"""),44938.0)</f>
        <v>44938</v>
      </c>
      <c r="C1737" s="13">
        <f>IFERROR(__xludf.DUMMYFUNCTION("""COMPUTED_VALUE"""),0.3333333333333333)</f>
        <v>0.3333333333</v>
      </c>
      <c r="D1737" s="8">
        <f>IFERROR(__xludf.DUMMYFUNCTION("""COMPUTED_VALUE"""),1.109)</f>
        <v>1.109</v>
      </c>
      <c r="E1737" s="8" t="str">
        <f>IFERROR(__xludf.DUMMYFUNCTION("""COMPUTED_VALUE"""),"Real")</f>
        <v>Real</v>
      </c>
      <c r="G1737" s="8">
        <f t="shared" si="1"/>
        <v>1</v>
      </c>
      <c r="H1737" s="14">
        <f t="shared" si="2"/>
        <v>12</v>
      </c>
      <c r="I1737" s="15">
        <f t="shared" si="3"/>
        <v>8</v>
      </c>
    </row>
    <row r="1738">
      <c r="A1738" s="8" t="str">
        <f>IFERROR(__xludf.DUMMYFUNCTION("IF('(INGESTA)Datos_consumo_datadis'!A1738&lt;&gt;"""",SPLIT('(INGESTA)Datos_consumo_datadis'!A:A,"",""),"""")"),"ES0031408323131005HX0F")</f>
        <v>ES0031408323131005HX0F</v>
      </c>
      <c r="B1738" s="12">
        <f>IFERROR(__xludf.DUMMYFUNCTION("""COMPUTED_VALUE"""),44938.0)</f>
        <v>44938</v>
      </c>
      <c r="C1738" s="13">
        <f>IFERROR(__xludf.DUMMYFUNCTION("""COMPUTED_VALUE"""),0.375)</f>
        <v>0.375</v>
      </c>
      <c r="D1738" s="8">
        <f>IFERROR(__xludf.DUMMYFUNCTION("""COMPUTED_VALUE"""),0.065)</f>
        <v>0.065</v>
      </c>
      <c r="E1738" s="8" t="str">
        <f>IFERROR(__xludf.DUMMYFUNCTION("""COMPUTED_VALUE"""),"Real")</f>
        <v>Real</v>
      </c>
      <c r="G1738" s="8">
        <f t="shared" si="1"/>
        <v>1</v>
      </c>
      <c r="H1738" s="14">
        <f t="shared" si="2"/>
        <v>12</v>
      </c>
      <c r="I1738" s="15">
        <f t="shared" si="3"/>
        <v>9</v>
      </c>
    </row>
    <row r="1739">
      <c r="A1739" s="8" t="str">
        <f>IFERROR(__xludf.DUMMYFUNCTION("IF('(INGESTA)Datos_consumo_datadis'!A1739&lt;&gt;"""",SPLIT('(INGESTA)Datos_consumo_datadis'!A:A,"",""),"""")"),"ES0031408323131005HX0F")</f>
        <v>ES0031408323131005HX0F</v>
      </c>
      <c r="B1739" s="12">
        <f>IFERROR(__xludf.DUMMYFUNCTION("""COMPUTED_VALUE"""),44938.0)</f>
        <v>44938</v>
      </c>
      <c r="C1739" s="13">
        <f>IFERROR(__xludf.DUMMYFUNCTION("""COMPUTED_VALUE"""),0.4166666666666667)</f>
        <v>0.4166666667</v>
      </c>
      <c r="D1739" s="8">
        <f>IFERROR(__xludf.DUMMYFUNCTION("""COMPUTED_VALUE"""),0.428)</f>
        <v>0.428</v>
      </c>
      <c r="E1739" s="8" t="str">
        <f>IFERROR(__xludf.DUMMYFUNCTION("""COMPUTED_VALUE"""),"Real")</f>
        <v>Real</v>
      </c>
      <c r="G1739" s="8">
        <f t="shared" si="1"/>
        <v>1</v>
      </c>
      <c r="H1739" s="14">
        <f t="shared" si="2"/>
        <v>12</v>
      </c>
      <c r="I1739" s="15">
        <f t="shared" si="3"/>
        <v>10</v>
      </c>
    </row>
    <row r="1740">
      <c r="A1740" s="8" t="str">
        <f>IFERROR(__xludf.DUMMYFUNCTION("IF('(INGESTA)Datos_consumo_datadis'!A1740&lt;&gt;"""",SPLIT('(INGESTA)Datos_consumo_datadis'!A:A,"",""),"""")"),"ES0031408323131005HX0F")</f>
        <v>ES0031408323131005HX0F</v>
      </c>
      <c r="B1740" s="12">
        <f>IFERROR(__xludf.DUMMYFUNCTION("""COMPUTED_VALUE"""),44938.0)</f>
        <v>44938</v>
      </c>
      <c r="C1740" s="13">
        <f>IFERROR(__xludf.DUMMYFUNCTION("""COMPUTED_VALUE"""),0.4583333333333333)</f>
        <v>0.4583333333</v>
      </c>
      <c r="D1740" s="8">
        <f>IFERROR(__xludf.DUMMYFUNCTION("""COMPUTED_VALUE"""),0.599)</f>
        <v>0.599</v>
      </c>
      <c r="E1740" s="8" t="str">
        <f>IFERROR(__xludf.DUMMYFUNCTION("""COMPUTED_VALUE"""),"Real")</f>
        <v>Real</v>
      </c>
      <c r="G1740" s="8">
        <f t="shared" si="1"/>
        <v>1</v>
      </c>
      <c r="H1740" s="14">
        <f t="shared" si="2"/>
        <v>12</v>
      </c>
      <c r="I1740" s="15">
        <f t="shared" si="3"/>
        <v>11</v>
      </c>
    </row>
    <row r="1741">
      <c r="A1741" s="8" t="str">
        <f>IFERROR(__xludf.DUMMYFUNCTION("IF('(INGESTA)Datos_consumo_datadis'!A1741&lt;&gt;"""",SPLIT('(INGESTA)Datos_consumo_datadis'!A:A,"",""),"""")"),"ES0031408323131005HX0F")</f>
        <v>ES0031408323131005HX0F</v>
      </c>
      <c r="B1741" s="12">
        <f>IFERROR(__xludf.DUMMYFUNCTION("""COMPUTED_VALUE"""),44938.0)</f>
        <v>44938</v>
      </c>
      <c r="C1741" s="13">
        <f>IFERROR(__xludf.DUMMYFUNCTION("""COMPUTED_VALUE"""),0.5)</f>
        <v>0.5</v>
      </c>
      <c r="D1741" s="8">
        <f>IFERROR(__xludf.DUMMYFUNCTION("""COMPUTED_VALUE"""),2.094)</f>
        <v>2.094</v>
      </c>
      <c r="E1741" s="8" t="str">
        <f>IFERROR(__xludf.DUMMYFUNCTION("""COMPUTED_VALUE"""),"Real")</f>
        <v>Real</v>
      </c>
      <c r="G1741" s="8">
        <f t="shared" si="1"/>
        <v>1</v>
      </c>
      <c r="H1741" s="14">
        <f t="shared" si="2"/>
        <v>12</v>
      </c>
      <c r="I1741" s="15">
        <f t="shared" si="3"/>
        <v>12</v>
      </c>
    </row>
    <row r="1742">
      <c r="A1742" s="8" t="str">
        <f>IFERROR(__xludf.DUMMYFUNCTION("IF('(INGESTA)Datos_consumo_datadis'!A1742&lt;&gt;"""",SPLIT('(INGESTA)Datos_consumo_datadis'!A:A,"",""),"""")"),"ES0031408323131005HX0F")</f>
        <v>ES0031408323131005HX0F</v>
      </c>
      <c r="B1742" s="12">
        <f>IFERROR(__xludf.DUMMYFUNCTION("""COMPUTED_VALUE"""),44938.0)</f>
        <v>44938</v>
      </c>
      <c r="C1742" s="13">
        <f>IFERROR(__xludf.DUMMYFUNCTION("""COMPUTED_VALUE"""),0.5416666666666666)</f>
        <v>0.5416666667</v>
      </c>
      <c r="D1742" s="8">
        <f>IFERROR(__xludf.DUMMYFUNCTION("""COMPUTED_VALUE"""),1.29)</f>
        <v>1.29</v>
      </c>
      <c r="E1742" s="8" t="str">
        <f>IFERROR(__xludf.DUMMYFUNCTION("""COMPUTED_VALUE"""),"Real")</f>
        <v>Real</v>
      </c>
      <c r="G1742" s="8">
        <f t="shared" si="1"/>
        <v>1</v>
      </c>
      <c r="H1742" s="14">
        <f t="shared" si="2"/>
        <v>12</v>
      </c>
      <c r="I1742" s="15">
        <f t="shared" si="3"/>
        <v>13</v>
      </c>
    </row>
    <row r="1743">
      <c r="A1743" s="8" t="str">
        <f>IFERROR(__xludf.DUMMYFUNCTION("IF('(INGESTA)Datos_consumo_datadis'!A1743&lt;&gt;"""",SPLIT('(INGESTA)Datos_consumo_datadis'!A:A,"",""),"""")"),"ES0031408323131005HX0F")</f>
        <v>ES0031408323131005HX0F</v>
      </c>
      <c r="B1743" s="12">
        <f>IFERROR(__xludf.DUMMYFUNCTION("""COMPUTED_VALUE"""),44938.0)</f>
        <v>44938</v>
      </c>
      <c r="C1743" s="13">
        <f>IFERROR(__xludf.DUMMYFUNCTION("""COMPUTED_VALUE"""),0.5833333333333334)</f>
        <v>0.5833333333</v>
      </c>
      <c r="D1743" s="8">
        <f>IFERROR(__xludf.DUMMYFUNCTION("""COMPUTED_VALUE"""),0.041)</f>
        <v>0.041</v>
      </c>
      <c r="E1743" s="8" t="str">
        <f>IFERROR(__xludf.DUMMYFUNCTION("""COMPUTED_VALUE"""),"Real")</f>
        <v>Real</v>
      </c>
      <c r="G1743" s="8">
        <f t="shared" si="1"/>
        <v>1</v>
      </c>
      <c r="H1743" s="14">
        <f t="shared" si="2"/>
        <v>12</v>
      </c>
      <c r="I1743" s="15">
        <f t="shared" si="3"/>
        <v>14</v>
      </c>
    </row>
    <row r="1744">
      <c r="A1744" s="8" t="str">
        <f>IFERROR(__xludf.DUMMYFUNCTION("IF('(INGESTA)Datos_consumo_datadis'!A1744&lt;&gt;"""",SPLIT('(INGESTA)Datos_consumo_datadis'!A:A,"",""),"""")"),"ES0031408323131005HX0F")</f>
        <v>ES0031408323131005HX0F</v>
      </c>
      <c r="B1744" s="12">
        <f>IFERROR(__xludf.DUMMYFUNCTION("""COMPUTED_VALUE"""),44938.0)</f>
        <v>44938</v>
      </c>
      <c r="C1744" s="13">
        <f>IFERROR(__xludf.DUMMYFUNCTION("""COMPUTED_VALUE"""),0.625)</f>
        <v>0.625</v>
      </c>
      <c r="D1744" s="8">
        <f>IFERROR(__xludf.DUMMYFUNCTION("""COMPUTED_VALUE"""),0.017)</f>
        <v>0.017</v>
      </c>
      <c r="E1744" s="8" t="str">
        <f>IFERROR(__xludf.DUMMYFUNCTION("""COMPUTED_VALUE"""),"Real")</f>
        <v>Real</v>
      </c>
      <c r="G1744" s="8">
        <f t="shared" si="1"/>
        <v>1</v>
      </c>
      <c r="H1744" s="14">
        <f t="shared" si="2"/>
        <v>12</v>
      </c>
      <c r="I1744" s="15">
        <f t="shared" si="3"/>
        <v>15</v>
      </c>
    </row>
    <row r="1745">
      <c r="A1745" s="8" t="str">
        <f>IFERROR(__xludf.DUMMYFUNCTION("IF('(INGESTA)Datos_consumo_datadis'!A1745&lt;&gt;"""",SPLIT('(INGESTA)Datos_consumo_datadis'!A:A,"",""),"""")"),"ES0031408323131005HX0F")</f>
        <v>ES0031408323131005HX0F</v>
      </c>
      <c r="B1745" s="12">
        <f>IFERROR(__xludf.DUMMYFUNCTION("""COMPUTED_VALUE"""),44938.0)</f>
        <v>44938</v>
      </c>
      <c r="C1745" s="13">
        <f>IFERROR(__xludf.DUMMYFUNCTION("""COMPUTED_VALUE"""),0.6666666666666666)</f>
        <v>0.6666666667</v>
      </c>
      <c r="D1745" s="8">
        <f>IFERROR(__xludf.DUMMYFUNCTION("""COMPUTED_VALUE"""),0.072)</f>
        <v>0.072</v>
      </c>
      <c r="E1745" s="8" t="str">
        <f>IFERROR(__xludf.DUMMYFUNCTION("""COMPUTED_VALUE"""),"Real")</f>
        <v>Real</v>
      </c>
      <c r="G1745" s="8">
        <f t="shared" si="1"/>
        <v>1</v>
      </c>
      <c r="H1745" s="14">
        <f t="shared" si="2"/>
        <v>12</v>
      </c>
      <c r="I1745" s="15">
        <f t="shared" si="3"/>
        <v>16</v>
      </c>
    </row>
    <row r="1746">
      <c r="A1746" s="8" t="str">
        <f>IFERROR(__xludf.DUMMYFUNCTION("IF('(INGESTA)Datos_consumo_datadis'!A1746&lt;&gt;"""",SPLIT('(INGESTA)Datos_consumo_datadis'!A:A,"",""),"""")"),"ES0031408323131005HX0F")</f>
        <v>ES0031408323131005HX0F</v>
      </c>
      <c r="B1746" s="12">
        <f>IFERROR(__xludf.DUMMYFUNCTION("""COMPUTED_VALUE"""),44938.0)</f>
        <v>44938</v>
      </c>
      <c r="C1746" s="13">
        <f>IFERROR(__xludf.DUMMYFUNCTION("""COMPUTED_VALUE"""),0.7083333333333334)</f>
        <v>0.7083333333</v>
      </c>
      <c r="D1746" s="8">
        <f>IFERROR(__xludf.DUMMYFUNCTION("""COMPUTED_VALUE"""),0.06)</f>
        <v>0.06</v>
      </c>
      <c r="E1746" s="8" t="str">
        <f>IFERROR(__xludf.DUMMYFUNCTION("""COMPUTED_VALUE"""),"Real")</f>
        <v>Real</v>
      </c>
      <c r="G1746" s="8">
        <f t="shared" si="1"/>
        <v>1</v>
      </c>
      <c r="H1746" s="14">
        <f t="shared" si="2"/>
        <v>12</v>
      </c>
      <c r="I1746" s="15">
        <f t="shared" si="3"/>
        <v>17</v>
      </c>
    </row>
    <row r="1747">
      <c r="A1747" s="8" t="str">
        <f>IFERROR(__xludf.DUMMYFUNCTION("IF('(INGESTA)Datos_consumo_datadis'!A1747&lt;&gt;"""",SPLIT('(INGESTA)Datos_consumo_datadis'!A:A,"",""),"""")"),"ES0031408323131005HX0F")</f>
        <v>ES0031408323131005HX0F</v>
      </c>
      <c r="B1747" s="12">
        <f>IFERROR(__xludf.DUMMYFUNCTION("""COMPUTED_VALUE"""),44938.0)</f>
        <v>44938</v>
      </c>
      <c r="C1747" s="13">
        <f>IFERROR(__xludf.DUMMYFUNCTION("""COMPUTED_VALUE"""),0.75)</f>
        <v>0.75</v>
      </c>
      <c r="D1747" s="8">
        <f>IFERROR(__xludf.DUMMYFUNCTION("""COMPUTED_VALUE"""),0.041)</f>
        <v>0.041</v>
      </c>
      <c r="E1747" s="8" t="str">
        <f>IFERROR(__xludf.DUMMYFUNCTION("""COMPUTED_VALUE"""),"Real")</f>
        <v>Real</v>
      </c>
      <c r="G1747" s="8">
        <f t="shared" si="1"/>
        <v>1</v>
      </c>
      <c r="H1747" s="14">
        <f t="shared" si="2"/>
        <v>12</v>
      </c>
      <c r="I1747" s="15">
        <f t="shared" si="3"/>
        <v>18</v>
      </c>
    </row>
    <row r="1748">
      <c r="A1748" s="8" t="str">
        <f>IFERROR(__xludf.DUMMYFUNCTION("IF('(INGESTA)Datos_consumo_datadis'!A1748&lt;&gt;"""",SPLIT('(INGESTA)Datos_consumo_datadis'!A:A,"",""),"""")"),"ES0031408323131005HX0F")</f>
        <v>ES0031408323131005HX0F</v>
      </c>
      <c r="B1748" s="12">
        <f>IFERROR(__xludf.DUMMYFUNCTION("""COMPUTED_VALUE"""),44938.0)</f>
        <v>44938</v>
      </c>
      <c r="C1748" s="13">
        <f>IFERROR(__xludf.DUMMYFUNCTION("""COMPUTED_VALUE"""),0.7916666666666666)</f>
        <v>0.7916666667</v>
      </c>
      <c r="D1748" s="8">
        <f>IFERROR(__xludf.DUMMYFUNCTION("""COMPUTED_VALUE"""),0.301)</f>
        <v>0.301</v>
      </c>
      <c r="E1748" s="8" t="str">
        <f>IFERROR(__xludf.DUMMYFUNCTION("""COMPUTED_VALUE"""),"Real")</f>
        <v>Real</v>
      </c>
      <c r="G1748" s="8">
        <f t="shared" si="1"/>
        <v>1</v>
      </c>
      <c r="H1748" s="14">
        <f t="shared" si="2"/>
        <v>12</v>
      </c>
      <c r="I1748" s="15">
        <f t="shared" si="3"/>
        <v>19</v>
      </c>
    </row>
    <row r="1749">
      <c r="A1749" s="8" t="str">
        <f>IFERROR(__xludf.DUMMYFUNCTION("IF('(INGESTA)Datos_consumo_datadis'!A1749&lt;&gt;"""",SPLIT('(INGESTA)Datos_consumo_datadis'!A:A,"",""),"""")"),"ES0031408323131005HX0F")</f>
        <v>ES0031408323131005HX0F</v>
      </c>
      <c r="B1749" s="12">
        <f>IFERROR(__xludf.DUMMYFUNCTION("""COMPUTED_VALUE"""),44938.0)</f>
        <v>44938</v>
      </c>
      <c r="C1749" s="13">
        <f>IFERROR(__xludf.DUMMYFUNCTION("""COMPUTED_VALUE"""),0.8333333333333334)</f>
        <v>0.8333333333</v>
      </c>
      <c r="D1749" s="8">
        <f>IFERROR(__xludf.DUMMYFUNCTION("""COMPUTED_VALUE"""),0.088)</f>
        <v>0.088</v>
      </c>
      <c r="E1749" s="8" t="str">
        <f>IFERROR(__xludf.DUMMYFUNCTION("""COMPUTED_VALUE"""),"Real")</f>
        <v>Real</v>
      </c>
      <c r="G1749" s="8">
        <f t="shared" si="1"/>
        <v>1</v>
      </c>
      <c r="H1749" s="14">
        <f t="shared" si="2"/>
        <v>12</v>
      </c>
      <c r="I1749" s="15">
        <f t="shared" si="3"/>
        <v>20</v>
      </c>
    </row>
    <row r="1750">
      <c r="A1750" s="8" t="str">
        <f>IFERROR(__xludf.DUMMYFUNCTION("IF('(INGESTA)Datos_consumo_datadis'!A1750&lt;&gt;"""",SPLIT('(INGESTA)Datos_consumo_datadis'!A:A,"",""),"""")"),"ES0031408323131005HX0F")</f>
        <v>ES0031408323131005HX0F</v>
      </c>
      <c r="B1750" s="12">
        <f>IFERROR(__xludf.DUMMYFUNCTION("""COMPUTED_VALUE"""),44938.0)</f>
        <v>44938</v>
      </c>
      <c r="C1750" s="13">
        <f>IFERROR(__xludf.DUMMYFUNCTION("""COMPUTED_VALUE"""),0.875)</f>
        <v>0.875</v>
      </c>
      <c r="D1750" s="8">
        <f>IFERROR(__xludf.DUMMYFUNCTION("""COMPUTED_VALUE"""),0.896)</f>
        <v>0.896</v>
      </c>
      <c r="E1750" s="8" t="str">
        <f>IFERROR(__xludf.DUMMYFUNCTION("""COMPUTED_VALUE"""),"Real")</f>
        <v>Real</v>
      </c>
      <c r="G1750" s="8">
        <f t="shared" si="1"/>
        <v>1</v>
      </c>
      <c r="H1750" s="14">
        <f t="shared" si="2"/>
        <v>12</v>
      </c>
      <c r="I1750" s="15">
        <f t="shared" si="3"/>
        <v>21</v>
      </c>
    </row>
    <row r="1751">
      <c r="A1751" s="8" t="str">
        <f>IFERROR(__xludf.DUMMYFUNCTION("IF('(INGESTA)Datos_consumo_datadis'!A1751&lt;&gt;"""",SPLIT('(INGESTA)Datos_consumo_datadis'!A:A,"",""),"""")"),"ES0031408323131005HX0F")</f>
        <v>ES0031408323131005HX0F</v>
      </c>
      <c r="B1751" s="12">
        <f>IFERROR(__xludf.DUMMYFUNCTION("""COMPUTED_VALUE"""),44938.0)</f>
        <v>44938</v>
      </c>
      <c r="C1751" s="13">
        <f>IFERROR(__xludf.DUMMYFUNCTION("""COMPUTED_VALUE"""),0.9166666666666666)</f>
        <v>0.9166666667</v>
      </c>
      <c r="D1751" s="8">
        <f>IFERROR(__xludf.DUMMYFUNCTION("""COMPUTED_VALUE"""),2.894)</f>
        <v>2.894</v>
      </c>
      <c r="E1751" s="8" t="str">
        <f>IFERROR(__xludf.DUMMYFUNCTION("""COMPUTED_VALUE"""),"Real")</f>
        <v>Real</v>
      </c>
      <c r="G1751" s="8">
        <f t="shared" si="1"/>
        <v>1</v>
      </c>
      <c r="H1751" s="14">
        <f t="shared" si="2"/>
        <v>12</v>
      </c>
      <c r="I1751" s="15">
        <f t="shared" si="3"/>
        <v>22</v>
      </c>
    </row>
    <row r="1752">
      <c r="A1752" s="8" t="str">
        <f>IFERROR(__xludf.DUMMYFUNCTION("IF('(INGESTA)Datos_consumo_datadis'!A1752&lt;&gt;"""",SPLIT('(INGESTA)Datos_consumo_datadis'!A:A,"",""),"""")"),"ES0031408323131005HX0F")</f>
        <v>ES0031408323131005HX0F</v>
      </c>
      <c r="B1752" s="12">
        <f>IFERROR(__xludf.DUMMYFUNCTION("""COMPUTED_VALUE"""),44938.0)</f>
        <v>44938</v>
      </c>
      <c r="C1752" s="13">
        <f>IFERROR(__xludf.DUMMYFUNCTION("""COMPUTED_VALUE"""),0.9583333333333334)</f>
        <v>0.9583333333</v>
      </c>
      <c r="D1752" s="8">
        <f>IFERROR(__xludf.DUMMYFUNCTION("""COMPUTED_VALUE"""),2.313)</f>
        <v>2.313</v>
      </c>
      <c r="E1752" s="8" t="str">
        <f>IFERROR(__xludf.DUMMYFUNCTION("""COMPUTED_VALUE"""),"Real")</f>
        <v>Real</v>
      </c>
      <c r="G1752" s="8">
        <f t="shared" si="1"/>
        <v>1</v>
      </c>
      <c r="H1752" s="14">
        <f t="shared" si="2"/>
        <v>12</v>
      </c>
      <c r="I1752" s="15">
        <f t="shared" si="3"/>
        <v>23</v>
      </c>
    </row>
    <row r="1753">
      <c r="A1753" s="8" t="str">
        <f>IFERROR(__xludf.DUMMYFUNCTION("IF('(INGESTA)Datos_consumo_datadis'!A1753&lt;&gt;"""",SPLIT('(INGESTA)Datos_consumo_datadis'!A:A,"",""),"""")"),"ES0031408323131005HX0F")</f>
        <v>ES0031408323131005HX0F</v>
      </c>
      <c r="B1753" s="12">
        <f>IFERROR(__xludf.DUMMYFUNCTION("""COMPUTED_VALUE"""),44938.0)</f>
        <v>44938</v>
      </c>
      <c r="C1753" s="16">
        <f>IFERROR(__xludf.DUMMYFUNCTION("""COMPUTED_VALUE"""),1.0)</f>
        <v>1</v>
      </c>
      <c r="D1753" s="8">
        <f>IFERROR(__xludf.DUMMYFUNCTION("""COMPUTED_VALUE"""),1.742)</f>
        <v>1.742</v>
      </c>
      <c r="E1753" s="8" t="str">
        <f>IFERROR(__xludf.DUMMYFUNCTION("""COMPUTED_VALUE"""),"Real")</f>
        <v>Real</v>
      </c>
      <c r="G1753" s="8">
        <f t="shared" si="1"/>
        <v>1</v>
      </c>
      <c r="H1753" s="14">
        <f t="shared" si="2"/>
        <v>12</v>
      </c>
      <c r="I1753" s="15">
        <f t="shared" si="3"/>
        <v>0</v>
      </c>
    </row>
    <row r="1754">
      <c r="A1754" s="8" t="str">
        <f>IFERROR(__xludf.DUMMYFUNCTION("IF('(INGESTA)Datos_consumo_datadis'!A1754&lt;&gt;"""",SPLIT('(INGESTA)Datos_consumo_datadis'!A:A,"",""),"""")"),"ES0031408323131005HX0F")</f>
        <v>ES0031408323131005HX0F</v>
      </c>
      <c r="B1754" s="12">
        <f>IFERROR(__xludf.DUMMYFUNCTION("""COMPUTED_VALUE"""),44939.0)</f>
        <v>44939</v>
      </c>
      <c r="C1754" s="13">
        <f>IFERROR(__xludf.DUMMYFUNCTION("""COMPUTED_VALUE"""),0.041666666666666664)</f>
        <v>0.04166666667</v>
      </c>
      <c r="D1754" s="8">
        <f>IFERROR(__xludf.DUMMYFUNCTION("""COMPUTED_VALUE"""),1.419)</f>
        <v>1.419</v>
      </c>
      <c r="E1754" s="8" t="str">
        <f>IFERROR(__xludf.DUMMYFUNCTION("""COMPUTED_VALUE"""),"Real")</f>
        <v>Real</v>
      </c>
      <c r="G1754" s="8">
        <f t="shared" si="1"/>
        <v>1</v>
      </c>
      <c r="H1754" s="14">
        <f t="shared" si="2"/>
        <v>13</v>
      </c>
      <c r="I1754" s="15">
        <f t="shared" si="3"/>
        <v>1</v>
      </c>
    </row>
    <row r="1755">
      <c r="A1755" s="8" t="str">
        <f>IFERROR(__xludf.DUMMYFUNCTION("IF('(INGESTA)Datos_consumo_datadis'!A1755&lt;&gt;"""",SPLIT('(INGESTA)Datos_consumo_datadis'!A:A,"",""),"""")"),"ES0031408323131005HX0F")</f>
        <v>ES0031408323131005HX0F</v>
      </c>
      <c r="B1755" s="12">
        <f>IFERROR(__xludf.DUMMYFUNCTION("""COMPUTED_VALUE"""),44939.0)</f>
        <v>44939</v>
      </c>
      <c r="C1755" s="13">
        <f>IFERROR(__xludf.DUMMYFUNCTION("""COMPUTED_VALUE"""),0.08333333333333333)</f>
        <v>0.08333333333</v>
      </c>
      <c r="D1755" s="8">
        <f>IFERROR(__xludf.DUMMYFUNCTION("""COMPUTED_VALUE"""),1.414)</f>
        <v>1.414</v>
      </c>
      <c r="E1755" s="8" t="str">
        <f>IFERROR(__xludf.DUMMYFUNCTION("""COMPUTED_VALUE"""),"Real")</f>
        <v>Real</v>
      </c>
      <c r="G1755" s="8">
        <f t="shared" si="1"/>
        <v>1</v>
      </c>
      <c r="H1755" s="14">
        <f t="shared" si="2"/>
        <v>13</v>
      </c>
      <c r="I1755" s="15">
        <f t="shared" si="3"/>
        <v>2</v>
      </c>
    </row>
    <row r="1756">
      <c r="A1756" s="8" t="str">
        <f>IFERROR(__xludf.DUMMYFUNCTION("IF('(INGESTA)Datos_consumo_datadis'!A1756&lt;&gt;"""",SPLIT('(INGESTA)Datos_consumo_datadis'!A:A,"",""),"""")"),"ES0031408323131005HX0F")</f>
        <v>ES0031408323131005HX0F</v>
      </c>
      <c r="B1756" s="12">
        <f>IFERROR(__xludf.DUMMYFUNCTION("""COMPUTED_VALUE"""),44939.0)</f>
        <v>44939</v>
      </c>
      <c r="C1756" s="13">
        <f>IFERROR(__xludf.DUMMYFUNCTION("""COMPUTED_VALUE"""),0.125)</f>
        <v>0.125</v>
      </c>
      <c r="D1756" s="8">
        <f>IFERROR(__xludf.DUMMYFUNCTION("""COMPUTED_VALUE"""),1.662)</f>
        <v>1.662</v>
      </c>
      <c r="E1756" s="8" t="str">
        <f>IFERROR(__xludf.DUMMYFUNCTION("""COMPUTED_VALUE"""),"Real")</f>
        <v>Real</v>
      </c>
      <c r="G1756" s="8">
        <f t="shared" si="1"/>
        <v>1</v>
      </c>
      <c r="H1756" s="14">
        <f t="shared" si="2"/>
        <v>13</v>
      </c>
      <c r="I1756" s="15">
        <f t="shared" si="3"/>
        <v>3</v>
      </c>
    </row>
    <row r="1757">
      <c r="A1757" s="8" t="str">
        <f>IFERROR(__xludf.DUMMYFUNCTION("IF('(INGESTA)Datos_consumo_datadis'!A1757&lt;&gt;"""",SPLIT('(INGESTA)Datos_consumo_datadis'!A:A,"",""),"""")"),"ES0031408323131005HX0F")</f>
        <v>ES0031408323131005HX0F</v>
      </c>
      <c r="B1757" s="12">
        <f>IFERROR(__xludf.DUMMYFUNCTION("""COMPUTED_VALUE"""),44939.0)</f>
        <v>44939</v>
      </c>
      <c r="C1757" s="13">
        <f>IFERROR(__xludf.DUMMYFUNCTION("""COMPUTED_VALUE"""),0.16666666666666666)</f>
        <v>0.1666666667</v>
      </c>
      <c r="D1757" s="8">
        <f>IFERROR(__xludf.DUMMYFUNCTION("""COMPUTED_VALUE"""),1.453)</f>
        <v>1.453</v>
      </c>
      <c r="E1757" s="8" t="str">
        <f>IFERROR(__xludf.DUMMYFUNCTION("""COMPUTED_VALUE"""),"Real")</f>
        <v>Real</v>
      </c>
      <c r="G1757" s="8">
        <f t="shared" si="1"/>
        <v>1</v>
      </c>
      <c r="H1757" s="14">
        <f t="shared" si="2"/>
        <v>13</v>
      </c>
      <c r="I1757" s="15">
        <f t="shared" si="3"/>
        <v>4</v>
      </c>
    </row>
    <row r="1758">
      <c r="A1758" s="8" t="str">
        <f>IFERROR(__xludf.DUMMYFUNCTION("IF('(INGESTA)Datos_consumo_datadis'!A1758&lt;&gt;"""",SPLIT('(INGESTA)Datos_consumo_datadis'!A:A,"",""),"""")"),"ES0031408323131005HX0F")</f>
        <v>ES0031408323131005HX0F</v>
      </c>
      <c r="B1758" s="12">
        <f>IFERROR(__xludf.DUMMYFUNCTION("""COMPUTED_VALUE"""),44939.0)</f>
        <v>44939</v>
      </c>
      <c r="C1758" s="13">
        <f>IFERROR(__xludf.DUMMYFUNCTION("""COMPUTED_VALUE"""),0.20833333333333334)</f>
        <v>0.2083333333</v>
      </c>
      <c r="D1758" s="8">
        <f>IFERROR(__xludf.DUMMYFUNCTION("""COMPUTED_VALUE"""),1.431)</f>
        <v>1.431</v>
      </c>
      <c r="E1758" s="8" t="str">
        <f>IFERROR(__xludf.DUMMYFUNCTION("""COMPUTED_VALUE"""),"Real")</f>
        <v>Real</v>
      </c>
      <c r="G1758" s="8">
        <f t="shared" si="1"/>
        <v>1</v>
      </c>
      <c r="H1758" s="14">
        <f t="shared" si="2"/>
        <v>13</v>
      </c>
      <c r="I1758" s="15">
        <f t="shared" si="3"/>
        <v>5</v>
      </c>
    </row>
    <row r="1759">
      <c r="A1759" s="8" t="str">
        <f>IFERROR(__xludf.DUMMYFUNCTION("IF('(INGESTA)Datos_consumo_datadis'!A1759&lt;&gt;"""",SPLIT('(INGESTA)Datos_consumo_datadis'!A:A,"",""),"""")"),"ES0031408323131005HX0F")</f>
        <v>ES0031408323131005HX0F</v>
      </c>
      <c r="B1759" s="12">
        <f>IFERROR(__xludf.DUMMYFUNCTION("""COMPUTED_VALUE"""),44939.0)</f>
        <v>44939</v>
      </c>
      <c r="C1759" s="13">
        <f>IFERROR(__xludf.DUMMYFUNCTION("""COMPUTED_VALUE"""),0.25)</f>
        <v>0.25</v>
      </c>
      <c r="D1759" s="8">
        <f>IFERROR(__xludf.DUMMYFUNCTION("""COMPUTED_VALUE"""),1.376)</f>
        <v>1.376</v>
      </c>
      <c r="E1759" s="8" t="str">
        <f>IFERROR(__xludf.DUMMYFUNCTION("""COMPUTED_VALUE"""),"Real")</f>
        <v>Real</v>
      </c>
      <c r="G1759" s="8">
        <f t="shared" si="1"/>
        <v>1</v>
      </c>
      <c r="H1759" s="14">
        <f t="shared" si="2"/>
        <v>13</v>
      </c>
      <c r="I1759" s="15">
        <f t="shared" si="3"/>
        <v>6</v>
      </c>
    </row>
    <row r="1760">
      <c r="A1760" s="8" t="str">
        <f>IFERROR(__xludf.DUMMYFUNCTION("IF('(INGESTA)Datos_consumo_datadis'!A1760&lt;&gt;"""",SPLIT('(INGESTA)Datos_consumo_datadis'!A:A,"",""),"""")"),"ES0031408323131005HX0F")</f>
        <v>ES0031408323131005HX0F</v>
      </c>
      <c r="B1760" s="12">
        <f>IFERROR(__xludf.DUMMYFUNCTION("""COMPUTED_VALUE"""),44939.0)</f>
        <v>44939</v>
      </c>
      <c r="C1760" s="13">
        <f>IFERROR(__xludf.DUMMYFUNCTION("""COMPUTED_VALUE"""),0.2916666666666667)</f>
        <v>0.2916666667</v>
      </c>
      <c r="D1760" s="8">
        <f>IFERROR(__xludf.DUMMYFUNCTION("""COMPUTED_VALUE"""),1.443)</f>
        <v>1.443</v>
      </c>
      <c r="E1760" s="8" t="str">
        <f>IFERROR(__xludf.DUMMYFUNCTION("""COMPUTED_VALUE"""),"Real")</f>
        <v>Real</v>
      </c>
      <c r="G1760" s="8">
        <f t="shared" si="1"/>
        <v>1</v>
      </c>
      <c r="H1760" s="14">
        <f t="shared" si="2"/>
        <v>13</v>
      </c>
      <c r="I1760" s="15">
        <f t="shared" si="3"/>
        <v>7</v>
      </c>
    </row>
    <row r="1761">
      <c r="A1761" s="8" t="str">
        <f>IFERROR(__xludf.DUMMYFUNCTION("IF('(INGESTA)Datos_consumo_datadis'!A1761&lt;&gt;"""",SPLIT('(INGESTA)Datos_consumo_datadis'!A:A,"",""),"""")"),"ES0031408323131005HX0F")</f>
        <v>ES0031408323131005HX0F</v>
      </c>
      <c r="B1761" s="12">
        <f>IFERROR(__xludf.DUMMYFUNCTION("""COMPUTED_VALUE"""),44939.0)</f>
        <v>44939</v>
      </c>
      <c r="C1761" s="13">
        <f>IFERROR(__xludf.DUMMYFUNCTION("""COMPUTED_VALUE"""),0.3333333333333333)</f>
        <v>0.3333333333</v>
      </c>
      <c r="D1761" s="8">
        <f>IFERROR(__xludf.DUMMYFUNCTION("""COMPUTED_VALUE"""),1.384)</f>
        <v>1.384</v>
      </c>
      <c r="E1761" s="8" t="str">
        <f>IFERROR(__xludf.DUMMYFUNCTION("""COMPUTED_VALUE"""),"Real")</f>
        <v>Real</v>
      </c>
      <c r="G1761" s="8">
        <f t="shared" si="1"/>
        <v>1</v>
      </c>
      <c r="H1761" s="14">
        <f t="shared" si="2"/>
        <v>13</v>
      </c>
      <c r="I1761" s="15">
        <f t="shared" si="3"/>
        <v>8</v>
      </c>
    </row>
    <row r="1762">
      <c r="A1762" s="8" t="str">
        <f>IFERROR(__xludf.DUMMYFUNCTION("IF('(INGESTA)Datos_consumo_datadis'!A1762&lt;&gt;"""",SPLIT('(INGESTA)Datos_consumo_datadis'!A:A,"",""),"""")"),"ES0031408323131005HX0F")</f>
        <v>ES0031408323131005HX0F</v>
      </c>
      <c r="B1762" s="12">
        <f>IFERROR(__xludf.DUMMYFUNCTION("""COMPUTED_VALUE"""),44939.0)</f>
        <v>44939</v>
      </c>
      <c r="C1762" s="13">
        <f>IFERROR(__xludf.DUMMYFUNCTION("""COMPUTED_VALUE"""),0.375)</f>
        <v>0.375</v>
      </c>
      <c r="D1762" s="8">
        <f>IFERROR(__xludf.DUMMYFUNCTION("""COMPUTED_VALUE"""),0.63)</f>
        <v>0.63</v>
      </c>
      <c r="E1762" s="8" t="str">
        <f>IFERROR(__xludf.DUMMYFUNCTION("""COMPUTED_VALUE"""),"Real")</f>
        <v>Real</v>
      </c>
      <c r="G1762" s="8">
        <f t="shared" si="1"/>
        <v>1</v>
      </c>
      <c r="H1762" s="14">
        <f t="shared" si="2"/>
        <v>13</v>
      </c>
      <c r="I1762" s="15">
        <f t="shared" si="3"/>
        <v>9</v>
      </c>
    </row>
    <row r="1763">
      <c r="A1763" s="8" t="str">
        <f>IFERROR(__xludf.DUMMYFUNCTION("IF('(INGESTA)Datos_consumo_datadis'!A1763&lt;&gt;"""",SPLIT('(INGESTA)Datos_consumo_datadis'!A:A,"",""),"""")"),"ES0031408323131005HX0F")</f>
        <v>ES0031408323131005HX0F</v>
      </c>
      <c r="B1763" s="12">
        <f>IFERROR(__xludf.DUMMYFUNCTION("""COMPUTED_VALUE"""),44939.0)</f>
        <v>44939</v>
      </c>
      <c r="C1763" s="13">
        <f>IFERROR(__xludf.DUMMYFUNCTION("""COMPUTED_VALUE"""),0.4166666666666667)</f>
        <v>0.4166666667</v>
      </c>
      <c r="D1763" s="8">
        <f>IFERROR(__xludf.DUMMYFUNCTION("""COMPUTED_VALUE"""),0.555)</f>
        <v>0.555</v>
      </c>
      <c r="E1763" s="8" t="str">
        <f>IFERROR(__xludf.DUMMYFUNCTION("""COMPUTED_VALUE"""),"Real")</f>
        <v>Real</v>
      </c>
      <c r="G1763" s="8">
        <f t="shared" si="1"/>
        <v>1</v>
      </c>
      <c r="H1763" s="14">
        <f t="shared" si="2"/>
        <v>13</v>
      </c>
      <c r="I1763" s="15">
        <f t="shared" si="3"/>
        <v>10</v>
      </c>
    </row>
    <row r="1764">
      <c r="A1764" s="8" t="str">
        <f>IFERROR(__xludf.DUMMYFUNCTION("IF('(INGESTA)Datos_consumo_datadis'!A1764&lt;&gt;"""",SPLIT('(INGESTA)Datos_consumo_datadis'!A:A,"",""),"""")"),"ES0031408323131005HX0F")</f>
        <v>ES0031408323131005HX0F</v>
      </c>
      <c r="B1764" s="12">
        <f>IFERROR(__xludf.DUMMYFUNCTION("""COMPUTED_VALUE"""),44939.0)</f>
        <v>44939</v>
      </c>
      <c r="C1764" s="13">
        <f>IFERROR(__xludf.DUMMYFUNCTION("""COMPUTED_VALUE"""),0.4583333333333333)</f>
        <v>0.4583333333</v>
      </c>
      <c r="D1764" s="8">
        <f>IFERROR(__xludf.DUMMYFUNCTION("""COMPUTED_VALUE"""),0.06)</f>
        <v>0.06</v>
      </c>
      <c r="E1764" s="8" t="str">
        <f>IFERROR(__xludf.DUMMYFUNCTION("""COMPUTED_VALUE"""),"Real")</f>
        <v>Real</v>
      </c>
      <c r="G1764" s="8">
        <f t="shared" si="1"/>
        <v>1</v>
      </c>
      <c r="H1764" s="14">
        <f t="shared" si="2"/>
        <v>13</v>
      </c>
      <c r="I1764" s="15">
        <f t="shared" si="3"/>
        <v>11</v>
      </c>
    </row>
    <row r="1765">
      <c r="A1765" s="8" t="str">
        <f>IFERROR(__xludf.DUMMYFUNCTION("IF('(INGESTA)Datos_consumo_datadis'!A1765&lt;&gt;"""",SPLIT('(INGESTA)Datos_consumo_datadis'!A:A,"",""),"""")"),"ES0031408323131005HX0F")</f>
        <v>ES0031408323131005HX0F</v>
      </c>
      <c r="B1765" s="12">
        <f>IFERROR(__xludf.DUMMYFUNCTION("""COMPUTED_VALUE"""),44939.0)</f>
        <v>44939</v>
      </c>
      <c r="C1765" s="13">
        <f>IFERROR(__xludf.DUMMYFUNCTION("""COMPUTED_VALUE"""),0.5)</f>
        <v>0.5</v>
      </c>
      <c r="D1765" s="8">
        <f>IFERROR(__xludf.DUMMYFUNCTION("""COMPUTED_VALUE"""),0.078)</f>
        <v>0.078</v>
      </c>
      <c r="E1765" s="8" t="str">
        <f>IFERROR(__xludf.DUMMYFUNCTION("""COMPUTED_VALUE"""),"Real")</f>
        <v>Real</v>
      </c>
      <c r="G1765" s="8">
        <f t="shared" si="1"/>
        <v>1</v>
      </c>
      <c r="H1765" s="14">
        <f t="shared" si="2"/>
        <v>13</v>
      </c>
      <c r="I1765" s="15">
        <f t="shared" si="3"/>
        <v>12</v>
      </c>
    </row>
    <row r="1766">
      <c r="A1766" s="8" t="str">
        <f>IFERROR(__xludf.DUMMYFUNCTION("IF('(INGESTA)Datos_consumo_datadis'!A1766&lt;&gt;"""",SPLIT('(INGESTA)Datos_consumo_datadis'!A:A,"",""),"""")"),"ES0031408323131005HX0F")</f>
        <v>ES0031408323131005HX0F</v>
      </c>
      <c r="B1766" s="12">
        <f>IFERROR(__xludf.DUMMYFUNCTION("""COMPUTED_VALUE"""),44939.0)</f>
        <v>44939</v>
      </c>
      <c r="C1766" s="13">
        <f>IFERROR(__xludf.DUMMYFUNCTION("""COMPUTED_VALUE"""),0.5416666666666666)</f>
        <v>0.5416666667</v>
      </c>
      <c r="D1766" s="8">
        <f>IFERROR(__xludf.DUMMYFUNCTION("""COMPUTED_VALUE"""),0.357)</f>
        <v>0.357</v>
      </c>
      <c r="E1766" s="8" t="str">
        <f>IFERROR(__xludf.DUMMYFUNCTION("""COMPUTED_VALUE"""),"Real")</f>
        <v>Real</v>
      </c>
      <c r="G1766" s="8">
        <f t="shared" si="1"/>
        <v>1</v>
      </c>
      <c r="H1766" s="14">
        <f t="shared" si="2"/>
        <v>13</v>
      </c>
      <c r="I1766" s="15">
        <f t="shared" si="3"/>
        <v>13</v>
      </c>
    </row>
    <row r="1767">
      <c r="A1767" s="8" t="str">
        <f>IFERROR(__xludf.DUMMYFUNCTION("IF('(INGESTA)Datos_consumo_datadis'!A1767&lt;&gt;"""",SPLIT('(INGESTA)Datos_consumo_datadis'!A:A,"",""),"""")"),"ES0031408323131005HX0F")</f>
        <v>ES0031408323131005HX0F</v>
      </c>
      <c r="B1767" s="12">
        <f>IFERROR(__xludf.DUMMYFUNCTION("""COMPUTED_VALUE"""),44939.0)</f>
        <v>44939</v>
      </c>
      <c r="C1767" s="13">
        <f>IFERROR(__xludf.DUMMYFUNCTION("""COMPUTED_VALUE"""),0.5833333333333334)</f>
        <v>0.5833333333</v>
      </c>
      <c r="D1767" s="8">
        <f>IFERROR(__xludf.DUMMYFUNCTION("""COMPUTED_VALUE"""),0.029)</f>
        <v>0.029</v>
      </c>
      <c r="E1767" s="8" t="str">
        <f>IFERROR(__xludf.DUMMYFUNCTION("""COMPUTED_VALUE"""),"Real")</f>
        <v>Real</v>
      </c>
      <c r="G1767" s="8">
        <f t="shared" si="1"/>
        <v>1</v>
      </c>
      <c r="H1767" s="14">
        <f t="shared" si="2"/>
        <v>13</v>
      </c>
      <c r="I1767" s="15">
        <f t="shared" si="3"/>
        <v>14</v>
      </c>
    </row>
    <row r="1768">
      <c r="A1768" s="8" t="str">
        <f>IFERROR(__xludf.DUMMYFUNCTION("IF('(INGESTA)Datos_consumo_datadis'!A1768&lt;&gt;"""",SPLIT('(INGESTA)Datos_consumo_datadis'!A:A,"",""),"""")"),"ES0031408323131005HX0F")</f>
        <v>ES0031408323131005HX0F</v>
      </c>
      <c r="B1768" s="12">
        <f>IFERROR(__xludf.DUMMYFUNCTION("""COMPUTED_VALUE"""),44939.0)</f>
        <v>44939</v>
      </c>
      <c r="C1768" s="13">
        <f>IFERROR(__xludf.DUMMYFUNCTION("""COMPUTED_VALUE"""),0.625)</f>
        <v>0.625</v>
      </c>
      <c r="D1768" s="8">
        <f>IFERROR(__xludf.DUMMYFUNCTION("""COMPUTED_VALUE"""),0.123)</f>
        <v>0.123</v>
      </c>
      <c r="E1768" s="8" t="str">
        <f>IFERROR(__xludf.DUMMYFUNCTION("""COMPUTED_VALUE"""),"Real")</f>
        <v>Real</v>
      </c>
      <c r="G1768" s="8">
        <f t="shared" si="1"/>
        <v>1</v>
      </c>
      <c r="H1768" s="14">
        <f t="shared" si="2"/>
        <v>13</v>
      </c>
      <c r="I1768" s="15">
        <f t="shared" si="3"/>
        <v>15</v>
      </c>
    </row>
    <row r="1769">
      <c r="A1769" s="8" t="str">
        <f>IFERROR(__xludf.DUMMYFUNCTION("IF('(INGESTA)Datos_consumo_datadis'!A1769&lt;&gt;"""",SPLIT('(INGESTA)Datos_consumo_datadis'!A:A,"",""),"""")"),"ES0031408323131005HX0F")</f>
        <v>ES0031408323131005HX0F</v>
      </c>
      <c r="B1769" s="12">
        <f>IFERROR(__xludf.DUMMYFUNCTION("""COMPUTED_VALUE"""),44939.0)</f>
        <v>44939</v>
      </c>
      <c r="C1769" s="13">
        <f>IFERROR(__xludf.DUMMYFUNCTION("""COMPUTED_VALUE"""),0.6666666666666666)</f>
        <v>0.6666666667</v>
      </c>
      <c r="D1769" s="8">
        <f>IFERROR(__xludf.DUMMYFUNCTION("""COMPUTED_VALUE"""),0.111)</f>
        <v>0.111</v>
      </c>
      <c r="E1769" s="8" t="str">
        <f>IFERROR(__xludf.DUMMYFUNCTION("""COMPUTED_VALUE"""),"Real")</f>
        <v>Real</v>
      </c>
      <c r="G1769" s="8">
        <f t="shared" si="1"/>
        <v>1</v>
      </c>
      <c r="H1769" s="14">
        <f t="shared" si="2"/>
        <v>13</v>
      </c>
      <c r="I1769" s="15">
        <f t="shared" si="3"/>
        <v>16</v>
      </c>
    </row>
    <row r="1770">
      <c r="A1770" s="8" t="str">
        <f>IFERROR(__xludf.DUMMYFUNCTION("IF('(INGESTA)Datos_consumo_datadis'!A1770&lt;&gt;"""",SPLIT('(INGESTA)Datos_consumo_datadis'!A:A,"",""),"""")"),"ES0031408323131005HX0F")</f>
        <v>ES0031408323131005HX0F</v>
      </c>
      <c r="B1770" s="12">
        <f>IFERROR(__xludf.DUMMYFUNCTION("""COMPUTED_VALUE"""),44939.0)</f>
        <v>44939</v>
      </c>
      <c r="C1770" s="13">
        <f>IFERROR(__xludf.DUMMYFUNCTION("""COMPUTED_VALUE"""),0.7083333333333334)</f>
        <v>0.7083333333</v>
      </c>
      <c r="D1770" s="8">
        <f>IFERROR(__xludf.DUMMYFUNCTION("""COMPUTED_VALUE"""),0.037)</f>
        <v>0.037</v>
      </c>
      <c r="E1770" s="8" t="str">
        <f>IFERROR(__xludf.DUMMYFUNCTION("""COMPUTED_VALUE"""),"Real")</f>
        <v>Real</v>
      </c>
      <c r="G1770" s="8">
        <f t="shared" si="1"/>
        <v>1</v>
      </c>
      <c r="H1770" s="14">
        <f t="shared" si="2"/>
        <v>13</v>
      </c>
      <c r="I1770" s="15">
        <f t="shared" si="3"/>
        <v>17</v>
      </c>
    </row>
    <row r="1771">
      <c r="A1771" s="8" t="str">
        <f>IFERROR(__xludf.DUMMYFUNCTION("IF('(INGESTA)Datos_consumo_datadis'!A1771&lt;&gt;"""",SPLIT('(INGESTA)Datos_consumo_datadis'!A:A,"",""),"""")"),"ES0031408323131005HX0F")</f>
        <v>ES0031408323131005HX0F</v>
      </c>
      <c r="B1771" s="12">
        <f>IFERROR(__xludf.DUMMYFUNCTION("""COMPUTED_VALUE"""),44939.0)</f>
        <v>44939</v>
      </c>
      <c r="C1771" s="13">
        <f>IFERROR(__xludf.DUMMYFUNCTION("""COMPUTED_VALUE"""),0.75)</f>
        <v>0.75</v>
      </c>
      <c r="D1771" s="8">
        <f>IFERROR(__xludf.DUMMYFUNCTION("""COMPUTED_VALUE"""),0.301)</f>
        <v>0.301</v>
      </c>
      <c r="E1771" s="8" t="str">
        <f>IFERROR(__xludf.DUMMYFUNCTION("""COMPUTED_VALUE"""),"Real")</f>
        <v>Real</v>
      </c>
      <c r="G1771" s="8">
        <f t="shared" si="1"/>
        <v>1</v>
      </c>
      <c r="H1771" s="14">
        <f t="shared" si="2"/>
        <v>13</v>
      </c>
      <c r="I1771" s="15">
        <f t="shared" si="3"/>
        <v>18</v>
      </c>
    </row>
    <row r="1772">
      <c r="A1772" s="8" t="str">
        <f>IFERROR(__xludf.DUMMYFUNCTION("IF('(INGESTA)Datos_consumo_datadis'!A1772&lt;&gt;"""",SPLIT('(INGESTA)Datos_consumo_datadis'!A:A,"",""),"""")"),"ES0031408323131005HX0F")</f>
        <v>ES0031408323131005HX0F</v>
      </c>
      <c r="B1772" s="12">
        <f>IFERROR(__xludf.DUMMYFUNCTION("""COMPUTED_VALUE"""),44939.0)</f>
        <v>44939</v>
      </c>
      <c r="C1772" s="13">
        <f>IFERROR(__xludf.DUMMYFUNCTION("""COMPUTED_VALUE"""),0.7916666666666666)</f>
        <v>0.7916666667</v>
      </c>
      <c r="D1772" s="8">
        <f>IFERROR(__xludf.DUMMYFUNCTION("""COMPUTED_VALUE"""),0.041)</f>
        <v>0.041</v>
      </c>
      <c r="E1772" s="8" t="str">
        <f>IFERROR(__xludf.DUMMYFUNCTION("""COMPUTED_VALUE"""),"Real")</f>
        <v>Real</v>
      </c>
      <c r="G1772" s="8">
        <f t="shared" si="1"/>
        <v>1</v>
      </c>
      <c r="H1772" s="14">
        <f t="shared" si="2"/>
        <v>13</v>
      </c>
      <c r="I1772" s="15">
        <f t="shared" si="3"/>
        <v>19</v>
      </c>
    </row>
    <row r="1773">
      <c r="A1773" s="8" t="str">
        <f>IFERROR(__xludf.DUMMYFUNCTION("IF('(INGESTA)Datos_consumo_datadis'!A1773&lt;&gt;"""",SPLIT('(INGESTA)Datos_consumo_datadis'!A:A,"",""),"""")"),"ES0031408323131005HX0F")</f>
        <v>ES0031408323131005HX0F</v>
      </c>
      <c r="B1773" s="12">
        <f>IFERROR(__xludf.DUMMYFUNCTION("""COMPUTED_VALUE"""),44939.0)</f>
        <v>44939</v>
      </c>
      <c r="C1773" s="13">
        <f>IFERROR(__xludf.DUMMYFUNCTION("""COMPUTED_VALUE"""),0.8333333333333334)</f>
        <v>0.8333333333</v>
      </c>
      <c r="D1773" s="8">
        <f>IFERROR(__xludf.DUMMYFUNCTION("""COMPUTED_VALUE"""),0.076)</f>
        <v>0.076</v>
      </c>
      <c r="E1773" s="8" t="str">
        <f>IFERROR(__xludf.DUMMYFUNCTION("""COMPUTED_VALUE"""),"Real")</f>
        <v>Real</v>
      </c>
      <c r="G1773" s="8">
        <f t="shared" si="1"/>
        <v>1</v>
      </c>
      <c r="H1773" s="14">
        <f t="shared" si="2"/>
        <v>13</v>
      </c>
      <c r="I1773" s="15">
        <f t="shared" si="3"/>
        <v>20</v>
      </c>
    </row>
    <row r="1774">
      <c r="A1774" s="8" t="str">
        <f>IFERROR(__xludf.DUMMYFUNCTION("IF('(INGESTA)Datos_consumo_datadis'!A1774&lt;&gt;"""",SPLIT('(INGESTA)Datos_consumo_datadis'!A:A,"",""),"""")"),"ES0031408323131005HX0F")</f>
        <v>ES0031408323131005HX0F</v>
      </c>
      <c r="B1774" s="12">
        <f>IFERROR(__xludf.DUMMYFUNCTION("""COMPUTED_VALUE"""),44939.0)</f>
        <v>44939</v>
      </c>
      <c r="C1774" s="13">
        <f>IFERROR(__xludf.DUMMYFUNCTION("""COMPUTED_VALUE"""),0.875)</f>
        <v>0.875</v>
      </c>
      <c r="D1774" s="8">
        <f>IFERROR(__xludf.DUMMYFUNCTION("""COMPUTED_VALUE"""),0.042)</f>
        <v>0.042</v>
      </c>
      <c r="E1774" s="8" t="str">
        <f>IFERROR(__xludf.DUMMYFUNCTION("""COMPUTED_VALUE"""),"Real")</f>
        <v>Real</v>
      </c>
      <c r="G1774" s="8">
        <f t="shared" si="1"/>
        <v>1</v>
      </c>
      <c r="H1774" s="14">
        <f t="shared" si="2"/>
        <v>13</v>
      </c>
      <c r="I1774" s="15">
        <f t="shared" si="3"/>
        <v>21</v>
      </c>
    </row>
    <row r="1775">
      <c r="A1775" s="8" t="str">
        <f>IFERROR(__xludf.DUMMYFUNCTION("IF('(INGESTA)Datos_consumo_datadis'!A1775&lt;&gt;"""",SPLIT('(INGESTA)Datos_consumo_datadis'!A:A,"",""),"""")"),"ES0031408323131005HX0F")</f>
        <v>ES0031408323131005HX0F</v>
      </c>
      <c r="B1775" s="12">
        <f>IFERROR(__xludf.DUMMYFUNCTION("""COMPUTED_VALUE"""),44939.0)</f>
        <v>44939</v>
      </c>
      <c r="C1775" s="13">
        <f>IFERROR(__xludf.DUMMYFUNCTION("""COMPUTED_VALUE"""),0.9166666666666666)</f>
        <v>0.9166666667</v>
      </c>
      <c r="D1775" s="8">
        <f>IFERROR(__xludf.DUMMYFUNCTION("""COMPUTED_VALUE"""),0.017)</f>
        <v>0.017</v>
      </c>
      <c r="E1775" s="8" t="str">
        <f>IFERROR(__xludf.DUMMYFUNCTION("""COMPUTED_VALUE"""),"Real")</f>
        <v>Real</v>
      </c>
      <c r="G1775" s="8">
        <f t="shared" si="1"/>
        <v>1</v>
      </c>
      <c r="H1775" s="14">
        <f t="shared" si="2"/>
        <v>13</v>
      </c>
      <c r="I1775" s="15">
        <f t="shared" si="3"/>
        <v>22</v>
      </c>
    </row>
    <row r="1776">
      <c r="A1776" s="8" t="str">
        <f>IFERROR(__xludf.DUMMYFUNCTION("IF('(INGESTA)Datos_consumo_datadis'!A1776&lt;&gt;"""",SPLIT('(INGESTA)Datos_consumo_datadis'!A:A,"",""),"""")"),"ES0031408323131005HX0F")</f>
        <v>ES0031408323131005HX0F</v>
      </c>
      <c r="B1776" s="12">
        <f>IFERROR(__xludf.DUMMYFUNCTION("""COMPUTED_VALUE"""),44939.0)</f>
        <v>44939</v>
      </c>
      <c r="C1776" s="13">
        <f>IFERROR(__xludf.DUMMYFUNCTION("""COMPUTED_VALUE"""),0.9583333333333334)</f>
        <v>0.9583333333</v>
      </c>
      <c r="D1776" s="8">
        <f>IFERROR(__xludf.DUMMYFUNCTION("""COMPUTED_VALUE"""),0.724)</f>
        <v>0.724</v>
      </c>
      <c r="E1776" s="8" t="str">
        <f>IFERROR(__xludf.DUMMYFUNCTION("""COMPUTED_VALUE"""),"Real")</f>
        <v>Real</v>
      </c>
      <c r="G1776" s="8">
        <f t="shared" si="1"/>
        <v>1</v>
      </c>
      <c r="H1776" s="14">
        <f t="shared" si="2"/>
        <v>13</v>
      </c>
      <c r="I1776" s="15">
        <f t="shared" si="3"/>
        <v>23</v>
      </c>
    </row>
    <row r="1777">
      <c r="A1777" s="8" t="str">
        <f>IFERROR(__xludf.DUMMYFUNCTION("IF('(INGESTA)Datos_consumo_datadis'!A1777&lt;&gt;"""",SPLIT('(INGESTA)Datos_consumo_datadis'!A:A,"",""),"""")"),"ES0031408323131005HX0F")</f>
        <v>ES0031408323131005HX0F</v>
      </c>
      <c r="B1777" s="12">
        <f>IFERROR(__xludf.DUMMYFUNCTION("""COMPUTED_VALUE"""),44939.0)</f>
        <v>44939</v>
      </c>
      <c r="C1777" s="16">
        <f>IFERROR(__xludf.DUMMYFUNCTION("""COMPUTED_VALUE"""),1.0)</f>
        <v>1</v>
      </c>
      <c r="D1777" s="8">
        <f>IFERROR(__xludf.DUMMYFUNCTION("""COMPUTED_VALUE"""),2.028)</f>
        <v>2.028</v>
      </c>
      <c r="E1777" s="8" t="str">
        <f>IFERROR(__xludf.DUMMYFUNCTION("""COMPUTED_VALUE"""),"Real")</f>
        <v>Real</v>
      </c>
      <c r="G1777" s="8">
        <f t="shared" si="1"/>
        <v>1</v>
      </c>
      <c r="H1777" s="14">
        <f t="shared" si="2"/>
        <v>13</v>
      </c>
      <c r="I1777" s="15">
        <f t="shared" si="3"/>
        <v>0</v>
      </c>
    </row>
    <row r="1778">
      <c r="A1778" s="8" t="str">
        <f>IFERROR(__xludf.DUMMYFUNCTION("IF('(INGESTA)Datos_consumo_datadis'!A1778&lt;&gt;"""",SPLIT('(INGESTA)Datos_consumo_datadis'!A:A,"",""),"""")"),"ES0031408323131005HX0F")</f>
        <v>ES0031408323131005HX0F</v>
      </c>
      <c r="B1778" s="12">
        <f>IFERROR(__xludf.DUMMYFUNCTION("""COMPUTED_VALUE"""),44940.0)</f>
        <v>44940</v>
      </c>
      <c r="C1778" s="13">
        <f>IFERROR(__xludf.DUMMYFUNCTION("""COMPUTED_VALUE"""),0.041666666666666664)</f>
        <v>0.04166666667</v>
      </c>
      <c r="D1778" s="8">
        <f>IFERROR(__xludf.DUMMYFUNCTION("""COMPUTED_VALUE"""),1.167)</f>
        <v>1.167</v>
      </c>
      <c r="E1778" s="8" t="str">
        <f>IFERROR(__xludf.DUMMYFUNCTION("""COMPUTED_VALUE"""),"Real")</f>
        <v>Real</v>
      </c>
      <c r="G1778" s="8">
        <f t="shared" si="1"/>
        <v>1</v>
      </c>
      <c r="H1778" s="14">
        <f t="shared" si="2"/>
        <v>14</v>
      </c>
      <c r="I1778" s="15">
        <f t="shared" si="3"/>
        <v>1</v>
      </c>
    </row>
    <row r="1779">
      <c r="A1779" s="8" t="str">
        <f>IFERROR(__xludf.DUMMYFUNCTION("IF('(INGESTA)Datos_consumo_datadis'!A1779&lt;&gt;"""",SPLIT('(INGESTA)Datos_consumo_datadis'!A:A,"",""),"""")"),"ES0031408323131005HX0F")</f>
        <v>ES0031408323131005HX0F</v>
      </c>
      <c r="B1779" s="12">
        <f>IFERROR(__xludf.DUMMYFUNCTION("""COMPUTED_VALUE"""),44940.0)</f>
        <v>44940</v>
      </c>
      <c r="C1779" s="13">
        <f>IFERROR(__xludf.DUMMYFUNCTION("""COMPUTED_VALUE"""),0.08333333333333333)</f>
        <v>0.08333333333</v>
      </c>
      <c r="D1779" s="8">
        <f>IFERROR(__xludf.DUMMYFUNCTION("""COMPUTED_VALUE"""),1.164)</f>
        <v>1.164</v>
      </c>
      <c r="E1779" s="8" t="str">
        <f>IFERROR(__xludf.DUMMYFUNCTION("""COMPUTED_VALUE"""),"Real")</f>
        <v>Real</v>
      </c>
      <c r="G1779" s="8">
        <f t="shared" si="1"/>
        <v>1</v>
      </c>
      <c r="H1779" s="14">
        <f t="shared" si="2"/>
        <v>14</v>
      </c>
      <c r="I1779" s="15">
        <f t="shared" si="3"/>
        <v>2</v>
      </c>
    </row>
    <row r="1780">
      <c r="A1780" s="8" t="str">
        <f>IFERROR(__xludf.DUMMYFUNCTION("IF('(INGESTA)Datos_consumo_datadis'!A1780&lt;&gt;"""",SPLIT('(INGESTA)Datos_consumo_datadis'!A:A,"",""),"""")"),"ES0031408323131005HX0F")</f>
        <v>ES0031408323131005HX0F</v>
      </c>
      <c r="B1780" s="12">
        <f>IFERROR(__xludf.DUMMYFUNCTION("""COMPUTED_VALUE"""),44940.0)</f>
        <v>44940</v>
      </c>
      <c r="C1780" s="13">
        <f>IFERROR(__xludf.DUMMYFUNCTION("""COMPUTED_VALUE"""),0.125)</f>
        <v>0.125</v>
      </c>
      <c r="D1780" s="8">
        <f>IFERROR(__xludf.DUMMYFUNCTION("""COMPUTED_VALUE"""),1.244)</f>
        <v>1.244</v>
      </c>
      <c r="E1780" s="8" t="str">
        <f>IFERROR(__xludf.DUMMYFUNCTION("""COMPUTED_VALUE"""),"Real")</f>
        <v>Real</v>
      </c>
      <c r="G1780" s="8">
        <f t="shared" si="1"/>
        <v>1</v>
      </c>
      <c r="H1780" s="14">
        <f t="shared" si="2"/>
        <v>14</v>
      </c>
      <c r="I1780" s="15">
        <f t="shared" si="3"/>
        <v>3</v>
      </c>
    </row>
    <row r="1781">
      <c r="A1781" s="8" t="str">
        <f>IFERROR(__xludf.DUMMYFUNCTION("IF('(INGESTA)Datos_consumo_datadis'!A1781&lt;&gt;"""",SPLIT('(INGESTA)Datos_consumo_datadis'!A:A,"",""),"""")"),"ES0031408323131005HX0F")</f>
        <v>ES0031408323131005HX0F</v>
      </c>
      <c r="B1781" s="12">
        <f>IFERROR(__xludf.DUMMYFUNCTION("""COMPUTED_VALUE"""),44940.0)</f>
        <v>44940</v>
      </c>
      <c r="C1781" s="13">
        <f>IFERROR(__xludf.DUMMYFUNCTION("""COMPUTED_VALUE"""),0.16666666666666666)</f>
        <v>0.1666666667</v>
      </c>
      <c r="D1781" s="8">
        <f>IFERROR(__xludf.DUMMYFUNCTION("""COMPUTED_VALUE"""),1.177)</f>
        <v>1.177</v>
      </c>
      <c r="E1781" s="8" t="str">
        <f>IFERROR(__xludf.DUMMYFUNCTION("""COMPUTED_VALUE"""),"Real")</f>
        <v>Real</v>
      </c>
      <c r="G1781" s="8">
        <f t="shared" si="1"/>
        <v>1</v>
      </c>
      <c r="H1781" s="14">
        <f t="shared" si="2"/>
        <v>14</v>
      </c>
      <c r="I1781" s="15">
        <f t="shared" si="3"/>
        <v>4</v>
      </c>
    </row>
    <row r="1782">
      <c r="A1782" s="8" t="str">
        <f>IFERROR(__xludf.DUMMYFUNCTION("IF('(INGESTA)Datos_consumo_datadis'!A1782&lt;&gt;"""",SPLIT('(INGESTA)Datos_consumo_datadis'!A:A,"",""),"""")"),"ES0031408323131005HX0F")</f>
        <v>ES0031408323131005HX0F</v>
      </c>
      <c r="B1782" s="12">
        <f>IFERROR(__xludf.DUMMYFUNCTION("""COMPUTED_VALUE"""),44940.0)</f>
        <v>44940</v>
      </c>
      <c r="C1782" s="13">
        <f>IFERROR(__xludf.DUMMYFUNCTION("""COMPUTED_VALUE"""),0.20833333333333334)</f>
        <v>0.2083333333</v>
      </c>
      <c r="D1782" s="8">
        <f>IFERROR(__xludf.DUMMYFUNCTION("""COMPUTED_VALUE"""),1.389)</f>
        <v>1.389</v>
      </c>
      <c r="E1782" s="8" t="str">
        <f>IFERROR(__xludf.DUMMYFUNCTION("""COMPUTED_VALUE"""),"Real")</f>
        <v>Real</v>
      </c>
      <c r="G1782" s="8">
        <f t="shared" si="1"/>
        <v>1</v>
      </c>
      <c r="H1782" s="14">
        <f t="shared" si="2"/>
        <v>14</v>
      </c>
      <c r="I1782" s="15">
        <f t="shared" si="3"/>
        <v>5</v>
      </c>
    </row>
    <row r="1783">
      <c r="A1783" s="8" t="str">
        <f>IFERROR(__xludf.DUMMYFUNCTION("IF('(INGESTA)Datos_consumo_datadis'!A1783&lt;&gt;"""",SPLIT('(INGESTA)Datos_consumo_datadis'!A:A,"",""),"""")"),"ES0031408323131005HX0F")</f>
        <v>ES0031408323131005HX0F</v>
      </c>
      <c r="B1783" s="12">
        <f>IFERROR(__xludf.DUMMYFUNCTION("""COMPUTED_VALUE"""),44940.0)</f>
        <v>44940</v>
      </c>
      <c r="C1783" s="13">
        <f>IFERROR(__xludf.DUMMYFUNCTION("""COMPUTED_VALUE"""),0.25)</f>
        <v>0.25</v>
      </c>
      <c r="D1783" s="8">
        <f>IFERROR(__xludf.DUMMYFUNCTION("""COMPUTED_VALUE"""),1.212)</f>
        <v>1.212</v>
      </c>
      <c r="E1783" s="8" t="str">
        <f>IFERROR(__xludf.DUMMYFUNCTION("""COMPUTED_VALUE"""),"Real")</f>
        <v>Real</v>
      </c>
      <c r="G1783" s="8">
        <f t="shared" si="1"/>
        <v>1</v>
      </c>
      <c r="H1783" s="14">
        <f t="shared" si="2"/>
        <v>14</v>
      </c>
      <c r="I1783" s="15">
        <f t="shared" si="3"/>
        <v>6</v>
      </c>
    </row>
    <row r="1784">
      <c r="A1784" s="8" t="str">
        <f>IFERROR(__xludf.DUMMYFUNCTION("IF('(INGESTA)Datos_consumo_datadis'!A1784&lt;&gt;"""",SPLIT('(INGESTA)Datos_consumo_datadis'!A:A,"",""),"""")"),"ES0031408323131005HX0F")</f>
        <v>ES0031408323131005HX0F</v>
      </c>
      <c r="B1784" s="12">
        <f>IFERROR(__xludf.DUMMYFUNCTION("""COMPUTED_VALUE"""),44940.0)</f>
        <v>44940</v>
      </c>
      <c r="C1784" s="13">
        <f>IFERROR(__xludf.DUMMYFUNCTION("""COMPUTED_VALUE"""),0.2916666666666667)</f>
        <v>0.2916666667</v>
      </c>
      <c r="D1784" s="8">
        <f>IFERROR(__xludf.DUMMYFUNCTION("""COMPUTED_VALUE"""),1.196)</f>
        <v>1.196</v>
      </c>
      <c r="E1784" s="8" t="str">
        <f>IFERROR(__xludf.DUMMYFUNCTION("""COMPUTED_VALUE"""),"Real")</f>
        <v>Real</v>
      </c>
      <c r="G1784" s="8">
        <f t="shared" si="1"/>
        <v>1</v>
      </c>
      <c r="H1784" s="14">
        <f t="shared" si="2"/>
        <v>14</v>
      </c>
      <c r="I1784" s="15">
        <f t="shared" si="3"/>
        <v>7</v>
      </c>
    </row>
    <row r="1785">
      <c r="A1785" s="8" t="str">
        <f>IFERROR(__xludf.DUMMYFUNCTION("IF('(INGESTA)Datos_consumo_datadis'!A1785&lt;&gt;"""",SPLIT('(INGESTA)Datos_consumo_datadis'!A:A,"",""),"""")"),"ES0031408323131005HX0F")</f>
        <v>ES0031408323131005HX0F</v>
      </c>
      <c r="B1785" s="12">
        <f>IFERROR(__xludf.DUMMYFUNCTION("""COMPUTED_VALUE"""),44940.0)</f>
        <v>44940</v>
      </c>
      <c r="C1785" s="13">
        <f>IFERROR(__xludf.DUMMYFUNCTION("""COMPUTED_VALUE"""),0.3333333333333333)</f>
        <v>0.3333333333</v>
      </c>
      <c r="D1785" s="8">
        <f>IFERROR(__xludf.DUMMYFUNCTION("""COMPUTED_VALUE"""),1.566)</f>
        <v>1.566</v>
      </c>
      <c r="E1785" s="8" t="str">
        <f>IFERROR(__xludf.DUMMYFUNCTION("""COMPUTED_VALUE"""),"Real")</f>
        <v>Real</v>
      </c>
      <c r="G1785" s="8">
        <f t="shared" si="1"/>
        <v>1</v>
      </c>
      <c r="H1785" s="14">
        <f t="shared" si="2"/>
        <v>14</v>
      </c>
      <c r="I1785" s="15">
        <f t="shared" si="3"/>
        <v>8</v>
      </c>
    </row>
    <row r="1786">
      <c r="A1786" s="8" t="str">
        <f>IFERROR(__xludf.DUMMYFUNCTION("IF('(INGESTA)Datos_consumo_datadis'!A1786&lt;&gt;"""",SPLIT('(INGESTA)Datos_consumo_datadis'!A:A,"",""),"""")"),"ES0031408323131005HX0F")</f>
        <v>ES0031408323131005HX0F</v>
      </c>
      <c r="B1786" s="12">
        <f>IFERROR(__xludf.DUMMYFUNCTION("""COMPUTED_VALUE"""),44940.0)</f>
        <v>44940</v>
      </c>
      <c r="C1786" s="13">
        <f>IFERROR(__xludf.DUMMYFUNCTION("""COMPUTED_VALUE"""),0.375)</f>
        <v>0.375</v>
      </c>
      <c r="D1786" s="8">
        <f>IFERROR(__xludf.DUMMYFUNCTION("""COMPUTED_VALUE"""),1.25)</f>
        <v>1.25</v>
      </c>
      <c r="E1786" s="8" t="str">
        <f>IFERROR(__xludf.DUMMYFUNCTION("""COMPUTED_VALUE"""),"Real")</f>
        <v>Real</v>
      </c>
      <c r="G1786" s="8">
        <f t="shared" si="1"/>
        <v>1</v>
      </c>
      <c r="H1786" s="14">
        <f t="shared" si="2"/>
        <v>14</v>
      </c>
      <c r="I1786" s="15">
        <f t="shared" si="3"/>
        <v>9</v>
      </c>
    </row>
    <row r="1787">
      <c r="A1787" s="8" t="str">
        <f>IFERROR(__xludf.DUMMYFUNCTION("IF('(INGESTA)Datos_consumo_datadis'!A1787&lt;&gt;"""",SPLIT('(INGESTA)Datos_consumo_datadis'!A:A,"",""),"""")"),"ES0031408323131005HX0F")</f>
        <v>ES0031408323131005HX0F</v>
      </c>
      <c r="B1787" s="12">
        <f>IFERROR(__xludf.DUMMYFUNCTION("""COMPUTED_VALUE"""),44940.0)</f>
        <v>44940</v>
      </c>
      <c r="C1787" s="13">
        <f>IFERROR(__xludf.DUMMYFUNCTION("""COMPUTED_VALUE"""),0.4166666666666667)</f>
        <v>0.4166666667</v>
      </c>
      <c r="D1787" s="8">
        <f>IFERROR(__xludf.DUMMYFUNCTION("""COMPUTED_VALUE"""),1.217)</f>
        <v>1.217</v>
      </c>
      <c r="E1787" s="8" t="str">
        <f>IFERROR(__xludf.DUMMYFUNCTION("""COMPUTED_VALUE"""),"Real")</f>
        <v>Real</v>
      </c>
      <c r="G1787" s="8">
        <f t="shared" si="1"/>
        <v>1</v>
      </c>
      <c r="H1787" s="14">
        <f t="shared" si="2"/>
        <v>14</v>
      </c>
      <c r="I1787" s="15">
        <f t="shared" si="3"/>
        <v>10</v>
      </c>
    </row>
    <row r="1788">
      <c r="A1788" s="8" t="str">
        <f>IFERROR(__xludf.DUMMYFUNCTION("IF('(INGESTA)Datos_consumo_datadis'!A1788&lt;&gt;"""",SPLIT('(INGESTA)Datos_consumo_datadis'!A:A,"",""),"""")"),"ES0031408323131005HX0F")</f>
        <v>ES0031408323131005HX0F</v>
      </c>
      <c r="B1788" s="12">
        <f>IFERROR(__xludf.DUMMYFUNCTION("""COMPUTED_VALUE"""),44940.0)</f>
        <v>44940</v>
      </c>
      <c r="C1788" s="13">
        <f>IFERROR(__xludf.DUMMYFUNCTION("""COMPUTED_VALUE"""),0.4583333333333333)</f>
        <v>0.4583333333</v>
      </c>
      <c r="D1788" s="8">
        <f>IFERROR(__xludf.DUMMYFUNCTION("""COMPUTED_VALUE"""),1.377)</f>
        <v>1.377</v>
      </c>
      <c r="E1788" s="8" t="str">
        <f>IFERROR(__xludf.DUMMYFUNCTION("""COMPUTED_VALUE"""),"Real")</f>
        <v>Real</v>
      </c>
      <c r="G1788" s="8">
        <f t="shared" si="1"/>
        <v>1</v>
      </c>
      <c r="H1788" s="14">
        <f t="shared" si="2"/>
        <v>14</v>
      </c>
      <c r="I1788" s="15">
        <f t="shared" si="3"/>
        <v>11</v>
      </c>
    </row>
    <row r="1789">
      <c r="A1789" s="8" t="str">
        <f>IFERROR(__xludf.DUMMYFUNCTION("IF('(INGESTA)Datos_consumo_datadis'!A1789&lt;&gt;"""",SPLIT('(INGESTA)Datos_consumo_datadis'!A:A,"",""),"""")"),"ES0031408323131005HX0F")</f>
        <v>ES0031408323131005HX0F</v>
      </c>
      <c r="B1789" s="12">
        <f>IFERROR(__xludf.DUMMYFUNCTION("""COMPUTED_VALUE"""),44940.0)</f>
        <v>44940</v>
      </c>
      <c r="C1789" s="13">
        <f>IFERROR(__xludf.DUMMYFUNCTION("""COMPUTED_VALUE"""),0.5)</f>
        <v>0.5</v>
      </c>
      <c r="D1789" s="8">
        <f>IFERROR(__xludf.DUMMYFUNCTION("""COMPUTED_VALUE"""),1.037)</f>
        <v>1.037</v>
      </c>
      <c r="E1789" s="8" t="str">
        <f>IFERROR(__xludf.DUMMYFUNCTION("""COMPUTED_VALUE"""),"Real")</f>
        <v>Real</v>
      </c>
      <c r="G1789" s="8">
        <f t="shared" si="1"/>
        <v>1</v>
      </c>
      <c r="H1789" s="14">
        <f t="shared" si="2"/>
        <v>14</v>
      </c>
      <c r="I1789" s="15">
        <f t="shared" si="3"/>
        <v>12</v>
      </c>
    </row>
    <row r="1790">
      <c r="A1790" s="8" t="str">
        <f>IFERROR(__xludf.DUMMYFUNCTION("IF('(INGESTA)Datos_consumo_datadis'!A1790&lt;&gt;"""",SPLIT('(INGESTA)Datos_consumo_datadis'!A:A,"",""),"""")"),"ES0031408323131005HX0F")</f>
        <v>ES0031408323131005HX0F</v>
      </c>
      <c r="B1790" s="12">
        <f>IFERROR(__xludf.DUMMYFUNCTION("""COMPUTED_VALUE"""),44940.0)</f>
        <v>44940</v>
      </c>
      <c r="C1790" s="13">
        <f>IFERROR(__xludf.DUMMYFUNCTION("""COMPUTED_VALUE"""),0.5416666666666666)</f>
        <v>0.5416666667</v>
      </c>
      <c r="D1790" s="8">
        <f>IFERROR(__xludf.DUMMYFUNCTION("""COMPUTED_VALUE"""),0.459)</f>
        <v>0.459</v>
      </c>
      <c r="E1790" s="8" t="str">
        <f>IFERROR(__xludf.DUMMYFUNCTION("""COMPUTED_VALUE"""),"Real")</f>
        <v>Real</v>
      </c>
      <c r="G1790" s="8">
        <f t="shared" si="1"/>
        <v>1</v>
      </c>
      <c r="H1790" s="14">
        <f t="shared" si="2"/>
        <v>14</v>
      </c>
      <c r="I1790" s="15">
        <f t="shared" si="3"/>
        <v>13</v>
      </c>
    </row>
    <row r="1791">
      <c r="A1791" s="8" t="str">
        <f>IFERROR(__xludf.DUMMYFUNCTION("IF('(INGESTA)Datos_consumo_datadis'!A1791&lt;&gt;"""",SPLIT('(INGESTA)Datos_consumo_datadis'!A:A,"",""),"""")"),"ES0031408323131005HX0F")</f>
        <v>ES0031408323131005HX0F</v>
      </c>
      <c r="B1791" s="12">
        <f>IFERROR(__xludf.DUMMYFUNCTION("""COMPUTED_VALUE"""),44940.0)</f>
        <v>44940</v>
      </c>
      <c r="C1791" s="13">
        <f>IFERROR(__xludf.DUMMYFUNCTION("""COMPUTED_VALUE"""),0.5833333333333334)</f>
        <v>0.5833333333</v>
      </c>
      <c r="D1791" s="8">
        <f>IFERROR(__xludf.DUMMYFUNCTION("""COMPUTED_VALUE"""),0.104)</f>
        <v>0.104</v>
      </c>
      <c r="E1791" s="8" t="str">
        <f>IFERROR(__xludf.DUMMYFUNCTION("""COMPUTED_VALUE"""),"Real")</f>
        <v>Real</v>
      </c>
      <c r="G1791" s="8">
        <f t="shared" si="1"/>
        <v>1</v>
      </c>
      <c r="H1791" s="14">
        <f t="shared" si="2"/>
        <v>14</v>
      </c>
      <c r="I1791" s="15">
        <f t="shared" si="3"/>
        <v>14</v>
      </c>
    </row>
    <row r="1792">
      <c r="A1792" s="8" t="str">
        <f>IFERROR(__xludf.DUMMYFUNCTION("IF('(INGESTA)Datos_consumo_datadis'!A1792&lt;&gt;"""",SPLIT('(INGESTA)Datos_consumo_datadis'!A:A,"",""),"""")"),"ES0031408323131005HX0F")</f>
        <v>ES0031408323131005HX0F</v>
      </c>
      <c r="B1792" s="12">
        <f>IFERROR(__xludf.DUMMYFUNCTION("""COMPUTED_VALUE"""),44940.0)</f>
        <v>44940</v>
      </c>
      <c r="C1792" s="13">
        <f>IFERROR(__xludf.DUMMYFUNCTION("""COMPUTED_VALUE"""),0.625)</f>
        <v>0.625</v>
      </c>
      <c r="D1792" s="8">
        <f>IFERROR(__xludf.DUMMYFUNCTION("""COMPUTED_VALUE"""),0.034)</f>
        <v>0.034</v>
      </c>
      <c r="E1792" s="8" t="str">
        <f>IFERROR(__xludf.DUMMYFUNCTION("""COMPUTED_VALUE"""),"Real")</f>
        <v>Real</v>
      </c>
      <c r="G1792" s="8">
        <f t="shared" si="1"/>
        <v>1</v>
      </c>
      <c r="H1792" s="14">
        <f t="shared" si="2"/>
        <v>14</v>
      </c>
      <c r="I1792" s="15">
        <f t="shared" si="3"/>
        <v>15</v>
      </c>
    </row>
    <row r="1793">
      <c r="A1793" s="8" t="str">
        <f>IFERROR(__xludf.DUMMYFUNCTION("IF('(INGESTA)Datos_consumo_datadis'!A1793&lt;&gt;"""",SPLIT('(INGESTA)Datos_consumo_datadis'!A:A,"",""),"""")"),"ES0031408323131005HX0F")</f>
        <v>ES0031408323131005HX0F</v>
      </c>
      <c r="B1793" s="12">
        <f>IFERROR(__xludf.DUMMYFUNCTION("""COMPUTED_VALUE"""),44940.0)</f>
        <v>44940</v>
      </c>
      <c r="C1793" s="13">
        <f>IFERROR(__xludf.DUMMYFUNCTION("""COMPUTED_VALUE"""),0.6666666666666666)</f>
        <v>0.6666666667</v>
      </c>
      <c r="D1793" s="8">
        <f>IFERROR(__xludf.DUMMYFUNCTION("""COMPUTED_VALUE"""),0.079)</f>
        <v>0.079</v>
      </c>
      <c r="E1793" s="8" t="str">
        <f>IFERROR(__xludf.DUMMYFUNCTION("""COMPUTED_VALUE"""),"Real")</f>
        <v>Real</v>
      </c>
      <c r="G1793" s="8">
        <f t="shared" si="1"/>
        <v>1</v>
      </c>
      <c r="H1793" s="14">
        <f t="shared" si="2"/>
        <v>14</v>
      </c>
      <c r="I1793" s="15">
        <f t="shared" si="3"/>
        <v>16</v>
      </c>
    </row>
    <row r="1794">
      <c r="A1794" s="8" t="str">
        <f>IFERROR(__xludf.DUMMYFUNCTION("IF('(INGESTA)Datos_consumo_datadis'!A1794&lt;&gt;"""",SPLIT('(INGESTA)Datos_consumo_datadis'!A:A,"",""),"""")"),"ES0031408323131005HX0F")</f>
        <v>ES0031408323131005HX0F</v>
      </c>
      <c r="B1794" s="12">
        <f>IFERROR(__xludf.DUMMYFUNCTION("""COMPUTED_VALUE"""),44940.0)</f>
        <v>44940</v>
      </c>
      <c r="C1794" s="13">
        <f>IFERROR(__xludf.DUMMYFUNCTION("""COMPUTED_VALUE"""),0.7083333333333334)</f>
        <v>0.7083333333</v>
      </c>
      <c r="D1794" s="8">
        <f>IFERROR(__xludf.DUMMYFUNCTION("""COMPUTED_VALUE"""),0.044)</f>
        <v>0.044</v>
      </c>
      <c r="E1794" s="8" t="str">
        <f>IFERROR(__xludf.DUMMYFUNCTION("""COMPUTED_VALUE"""),"Real")</f>
        <v>Real</v>
      </c>
      <c r="G1794" s="8">
        <f t="shared" si="1"/>
        <v>1</v>
      </c>
      <c r="H1794" s="14">
        <f t="shared" si="2"/>
        <v>14</v>
      </c>
      <c r="I1794" s="15">
        <f t="shared" si="3"/>
        <v>17</v>
      </c>
    </row>
    <row r="1795">
      <c r="A1795" s="8" t="str">
        <f>IFERROR(__xludf.DUMMYFUNCTION("IF('(INGESTA)Datos_consumo_datadis'!A1795&lt;&gt;"""",SPLIT('(INGESTA)Datos_consumo_datadis'!A:A,"",""),"""")"),"ES0031408323131005HX0F")</f>
        <v>ES0031408323131005HX0F</v>
      </c>
      <c r="B1795" s="12">
        <f>IFERROR(__xludf.DUMMYFUNCTION("""COMPUTED_VALUE"""),44940.0)</f>
        <v>44940</v>
      </c>
      <c r="C1795" s="13">
        <f>IFERROR(__xludf.DUMMYFUNCTION("""COMPUTED_VALUE"""),0.75)</f>
        <v>0.75</v>
      </c>
      <c r="D1795" s="8">
        <f>IFERROR(__xludf.DUMMYFUNCTION("""COMPUTED_VALUE"""),0.332)</f>
        <v>0.332</v>
      </c>
      <c r="E1795" s="8" t="str">
        <f>IFERROR(__xludf.DUMMYFUNCTION("""COMPUTED_VALUE"""),"Real")</f>
        <v>Real</v>
      </c>
      <c r="G1795" s="8">
        <f t="shared" si="1"/>
        <v>1</v>
      </c>
      <c r="H1795" s="14">
        <f t="shared" si="2"/>
        <v>14</v>
      </c>
      <c r="I1795" s="15">
        <f t="shared" si="3"/>
        <v>18</v>
      </c>
    </row>
    <row r="1796">
      <c r="A1796" s="8" t="str">
        <f>IFERROR(__xludf.DUMMYFUNCTION("IF('(INGESTA)Datos_consumo_datadis'!A1796&lt;&gt;"""",SPLIT('(INGESTA)Datos_consumo_datadis'!A:A,"",""),"""")"),"ES0031408323131005HX0F")</f>
        <v>ES0031408323131005HX0F</v>
      </c>
      <c r="B1796" s="12">
        <f>IFERROR(__xludf.DUMMYFUNCTION("""COMPUTED_VALUE"""),44940.0)</f>
        <v>44940</v>
      </c>
      <c r="C1796" s="13">
        <f>IFERROR(__xludf.DUMMYFUNCTION("""COMPUTED_VALUE"""),0.7916666666666666)</f>
        <v>0.7916666667</v>
      </c>
      <c r="D1796" s="8">
        <f>IFERROR(__xludf.DUMMYFUNCTION("""COMPUTED_VALUE"""),0.311)</f>
        <v>0.311</v>
      </c>
      <c r="E1796" s="8" t="str">
        <f>IFERROR(__xludf.DUMMYFUNCTION("""COMPUTED_VALUE"""),"Real")</f>
        <v>Real</v>
      </c>
      <c r="G1796" s="8">
        <f t="shared" si="1"/>
        <v>1</v>
      </c>
      <c r="H1796" s="14">
        <f t="shared" si="2"/>
        <v>14</v>
      </c>
      <c r="I1796" s="15">
        <f t="shared" si="3"/>
        <v>19</v>
      </c>
    </row>
    <row r="1797">
      <c r="A1797" s="8" t="str">
        <f>IFERROR(__xludf.DUMMYFUNCTION("IF('(INGESTA)Datos_consumo_datadis'!A1797&lt;&gt;"""",SPLIT('(INGESTA)Datos_consumo_datadis'!A:A,"",""),"""")"),"ES0031408323131005HX0F")</f>
        <v>ES0031408323131005HX0F</v>
      </c>
      <c r="B1797" s="12">
        <f>IFERROR(__xludf.DUMMYFUNCTION("""COMPUTED_VALUE"""),44940.0)</f>
        <v>44940</v>
      </c>
      <c r="C1797" s="13">
        <f>IFERROR(__xludf.DUMMYFUNCTION("""COMPUTED_VALUE"""),0.8333333333333334)</f>
        <v>0.8333333333</v>
      </c>
      <c r="D1797" s="8">
        <f>IFERROR(__xludf.DUMMYFUNCTION("""COMPUTED_VALUE"""),0.095)</f>
        <v>0.095</v>
      </c>
      <c r="E1797" s="8" t="str">
        <f>IFERROR(__xludf.DUMMYFUNCTION("""COMPUTED_VALUE"""),"Real")</f>
        <v>Real</v>
      </c>
      <c r="G1797" s="8">
        <f t="shared" si="1"/>
        <v>1</v>
      </c>
      <c r="H1797" s="14">
        <f t="shared" si="2"/>
        <v>14</v>
      </c>
      <c r="I1797" s="15">
        <f t="shared" si="3"/>
        <v>20</v>
      </c>
    </row>
    <row r="1798">
      <c r="A1798" s="8" t="str">
        <f>IFERROR(__xludf.DUMMYFUNCTION("IF('(INGESTA)Datos_consumo_datadis'!A1798&lt;&gt;"""",SPLIT('(INGESTA)Datos_consumo_datadis'!A:A,"",""),"""")"),"ES0031408323131005HX0F")</f>
        <v>ES0031408323131005HX0F</v>
      </c>
      <c r="B1798" s="12">
        <f>IFERROR(__xludf.DUMMYFUNCTION("""COMPUTED_VALUE"""),44940.0)</f>
        <v>44940</v>
      </c>
      <c r="C1798" s="13">
        <f>IFERROR(__xludf.DUMMYFUNCTION("""COMPUTED_VALUE"""),0.875)</f>
        <v>0.875</v>
      </c>
      <c r="D1798" s="8">
        <f>IFERROR(__xludf.DUMMYFUNCTION("""COMPUTED_VALUE"""),3.128)</f>
        <v>3.128</v>
      </c>
      <c r="E1798" s="8" t="str">
        <f>IFERROR(__xludf.DUMMYFUNCTION("""COMPUTED_VALUE"""),"Real")</f>
        <v>Real</v>
      </c>
      <c r="G1798" s="8">
        <f t="shared" si="1"/>
        <v>1</v>
      </c>
      <c r="H1798" s="14">
        <f t="shared" si="2"/>
        <v>14</v>
      </c>
      <c r="I1798" s="15">
        <f t="shared" si="3"/>
        <v>21</v>
      </c>
    </row>
    <row r="1799">
      <c r="A1799" s="8" t="str">
        <f>IFERROR(__xludf.DUMMYFUNCTION("IF('(INGESTA)Datos_consumo_datadis'!A1799&lt;&gt;"""",SPLIT('(INGESTA)Datos_consumo_datadis'!A:A,"",""),"""")"),"ES0031408323131005HX0F")</f>
        <v>ES0031408323131005HX0F</v>
      </c>
      <c r="B1799" s="12">
        <f>IFERROR(__xludf.DUMMYFUNCTION("""COMPUTED_VALUE"""),44940.0)</f>
        <v>44940</v>
      </c>
      <c r="C1799" s="13">
        <f>IFERROR(__xludf.DUMMYFUNCTION("""COMPUTED_VALUE"""),0.9166666666666666)</f>
        <v>0.9166666667</v>
      </c>
      <c r="D1799" s="8">
        <f>IFERROR(__xludf.DUMMYFUNCTION("""COMPUTED_VALUE"""),2.938)</f>
        <v>2.938</v>
      </c>
      <c r="E1799" s="8" t="str">
        <f>IFERROR(__xludf.DUMMYFUNCTION("""COMPUTED_VALUE"""),"Real")</f>
        <v>Real</v>
      </c>
      <c r="G1799" s="8">
        <f t="shared" si="1"/>
        <v>1</v>
      </c>
      <c r="H1799" s="14">
        <f t="shared" si="2"/>
        <v>14</v>
      </c>
      <c r="I1799" s="15">
        <f t="shared" si="3"/>
        <v>22</v>
      </c>
    </row>
    <row r="1800">
      <c r="A1800" s="8" t="str">
        <f>IFERROR(__xludf.DUMMYFUNCTION("IF('(INGESTA)Datos_consumo_datadis'!A1800&lt;&gt;"""",SPLIT('(INGESTA)Datos_consumo_datadis'!A:A,"",""),"""")"),"ES0031408323131005HX0F")</f>
        <v>ES0031408323131005HX0F</v>
      </c>
      <c r="B1800" s="12">
        <f>IFERROR(__xludf.DUMMYFUNCTION("""COMPUTED_VALUE"""),44940.0)</f>
        <v>44940</v>
      </c>
      <c r="C1800" s="13">
        <f>IFERROR(__xludf.DUMMYFUNCTION("""COMPUTED_VALUE"""),0.9583333333333334)</f>
        <v>0.9583333333</v>
      </c>
      <c r="D1800" s="8">
        <f>IFERROR(__xludf.DUMMYFUNCTION("""COMPUTED_VALUE"""),3.853)</f>
        <v>3.853</v>
      </c>
      <c r="E1800" s="8" t="str">
        <f>IFERROR(__xludf.DUMMYFUNCTION("""COMPUTED_VALUE"""),"Real")</f>
        <v>Real</v>
      </c>
      <c r="G1800" s="8">
        <f t="shared" si="1"/>
        <v>1</v>
      </c>
      <c r="H1800" s="14">
        <f t="shared" si="2"/>
        <v>14</v>
      </c>
      <c r="I1800" s="15">
        <f t="shared" si="3"/>
        <v>23</v>
      </c>
    </row>
    <row r="1801">
      <c r="A1801" s="8" t="str">
        <f>IFERROR(__xludf.DUMMYFUNCTION("IF('(INGESTA)Datos_consumo_datadis'!A1801&lt;&gt;"""",SPLIT('(INGESTA)Datos_consumo_datadis'!A:A,"",""),"""")"),"ES0031408323131005HX0F")</f>
        <v>ES0031408323131005HX0F</v>
      </c>
      <c r="B1801" s="12">
        <f>IFERROR(__xludf.DUMMYFUNCTION("""COMPUTED_VALUE"""),44940.0)</f>
        <v>44940</v>
      </c>
      <c r="C1801" s="16">
        <f>IFERROR(__xludf.DUMMYFUNCTION("""COMPUTED_VALUE"""),1.0)</f>
        <v>1</v>
      </c>
      <c r="D1801" s="8">
        <f>IFERROR(__xludf.DUMMYFUNCTION("""COMPUTED_VALUE"""),2.201)</f>
        <v>2.201</v>
      </c>
      <c r="E1801" s="8" t="str">
        <f>IFERROR(__xludf.DUMMYFUNCTION("""COMPUTED_VALUE"""),"Real")</f>
        <v>Real</v>
      </c>
      <c r="G1801" s="8">
        <f t="shared" si="1"/>
        <v>1</v>
      </c>
      <c r="H1801" s="14">
        <f t="shared" si="2"/>
        <v>14</v>
      </c>
      <c r="I1801" s="15">
        <f t="shared" si="3"/>
        <v>0</v>
      </c>
    </row>
    <row r="1802">
      <c r="A1802" s="8" t="str">
        <f>IFERROR(__xludf.DUMMYFUNCTION("IF('(INGESTA)Datos_consumo_datadis'!A1802&lt;&gt;"""",SPLIT('(INGESTA)Datos_consumo_datadis'!A:A,"",""),"""")"),"ES0031408323131005HX0F")</f>
        <v>ES0031408323131005HX0F</v>
      </c>
      <c r="B1802" s="12">
        <f>IFERROR(__xludf.DUMMYFUNCTION("""COMPUTED_VALUE"""),44941.0)</f>
        <v>44941</v>
      </c>
      <c r="C1802" s="13">
        <f>IFERROR(__xludf.DUMMYFUNCTION("""COMPUTED_VALUE"""),0.041666666666666664)</f>
        <v>0.04166666667</v>
      </c>
      <c r="D1802" s="8">
        <f>IFERROR(__xludf.DUMMYFUNCTION("""COMPUTED_VALUE"""),1.641)</f>
        <v>1.641</v>
      </c>
      <c r="E1802" s="8" t="str">
        <f>IFERROR(__xludf.DUMMYFUNCTION("""COMPUTED_VALUE"""),"Real")</f>
        <v>Real</v>
      </c>
      <c r="G1802" s="8">
        <f t="shared" si="1"/>
        <v>1</v>
      </c>
      <c r="H1802" s="14">
        <f t="shared" si="2"/>
        <v>15</v>
      </c>
      <c r="I1802" s="15">
        <f t="shared" si="3"/>
        <v>1</v>
      </c>
    </row>
    <row r="1803">
      <c r="A1803" s="8" t="str">
        <f>IFERROR(__xludf.DUMMYFUNCTION("IF('(INGESTA)Datos_consumo_datadis'!A1803&lt;&gt;"""",SPLIT('(INGESTA)Datos_consumo_datadis'!A:A,"",""),"""")"),"ES0031408323131005HX0F")</f>
        <v>ES0031408323131005HX0F</v>
      </c>
      <c r="B1803" s="12">
        <f>IFERROR(__xludf.DUMMYFUNCTION("""COMPUTED_VALUE"""),44941.0)</f>
        <v>44941</v>
      </c>
      <c r="C1803" s="13">
        <f>IFERROR(__xludf.DUMMYFUNCTION("""COMPUTED_VALUE"""),0.08333333333333333)</f>
        <v>0.08333333333</v>
      </c>
      <c r="D1803" s="8">
        <f>IFERROR(__xludf.DUMMYFUNCTION("""COMPUTED_VALUE"""),1.639)</f>
        <v>1.639</v>
      </c>
      <c r="E1803" s="8" t="str">
        <f>IFERROR(__xludf.DUMMYFUNCTION("""COMPUTED_VALUE"""),"Real")</f>
        <v>Real</v>
      </c>
      <c r="G1803" s="8">
        <f t="shared" si="1"/>
        <v>1</v>
      </c>
      <c r="H1803" s="14">
        <f t="shared" si="2"/>
        <v>15</v>
      </c>
      <c r="I1803" s="15">
        <f t="shared" si="3"/>
        <v>2</v>
      </c>
    </row>
    <row r="1804">
      <c r="A1804" s="8" t="str">
        <f>IFERROR(__xludf.DUMMYFUNCTION("IF('(INGESTA)Datos_consumo_datadis'!A1804&lt;&gt;"""",SPLIT('(INGESTA)Datos_consumo_datadis'!A:A,"",""),"""")"),"ES0031408323131005HX0F")</f>
        <v>ES0031408323131005HX0F</v>
      </c>
      <c r="B1804" s="12">
        <f>IFERROR(__xludf.DUMMYFUNCTION("""COMPUTED_VALUE"""),44941.0)</f>
        <v>44941</v>
      </c>
      <c r="C1804" s="13">
        <f>IFERROR(__xludf.DUMMYFUNCTION("""COMPUTED_VALUE"""),0.125)</f>
        <v>0.125</v>
      </c>
      <c r="D1804" s="8">
        <f>IFERROR(__xludf.DUMMYFUNCTION("""COMPUTED_VALUE"""),1.706)</f>
        <v>1.706</v>
      </c>
      <c r="E1804" s="8" t="str">
        <f>IFERROR(__xludf.DUMMYFUNCTION("""COMPUTED_VALUE"""),"Real")</f>
        <v>Real</v>
      </c>
      <c r="G1804" s="8">
        <f t="shared" si="1"/>
        <v>1</v>
      </c>
      <c r="H1804" s="14">
        <f t="shared" si="2"/>
        <v>15</v>
      </c>
      <c r="I1804" s="15">
        <f t="shared" si="3"/>
        <v>3</v>
      </c>
    </row>
    <row r="1805">
      <c r="A1805" s="8" t="str">
        <f>IFERROR(__xludf.DUMMYFUNCTION("IF('(INGESTA)Datos_consumo_datadis'!A1805&lt;&gt;"""",SPLIT('(INGESTA)Datos_consumo_datadis'!A:A,"",""),"""")"),"ES0031408323131005HX0F")</f>
        <v>ES0031408323131005HX0F</v>
      </c>
      <c r="B1805" s="12">
        <f>IFERROR(__xludf.DUMMYFUNCTION("""COMPUTED_VALUE"""),44941.0)</f>
        <v>44941</v>
      </c>
      <c r="C1805" s="13">
        <f>IFERROR(__xludf.DUMMYFUNCTION("""COMPUTED_VALUE"""),0.16666666666666666)</f>
        <v>0.1666666667</v>
      </c>
      <c r="D1805" s="8">
        <f>IFERROR(__xludf.DUMMYFUNCTION("""COMPUTED_VALUE"""),1.655)</f>
        <v>1.655</v>
      </c>
      <c r="E1805" s="8" t="str">
        <f>IFERROR(__xludf.DUMMYFUNCTION("""COMPUTED_VALUE"""),"Real")</f>
        <v>Real</v>
      </c>
      <c r="G1805" s="8">
        <f t="shared" si="1"/>
        <v>1</v>
      </c>
      <c r="H1805" s="14">
        <f t="shared" si="2"/>
        <v>15</v>
      </c>
      <c r="I1805" s="15">
        <f t="shared" si="3"/>
        <v>4</v>
      </c>
    </row>
    <row r="1806">
      <c r="A1806" s="8" t="str">
        <f>IFERROR(__xludf.DUMMYFUNCTION("IF('(INGESTA)Datos_consumo_datadis'!A1806&lt;&gt;"""",SPLIT('(INGESTA)Datos_consumo_datadis'!A:A,"",""),"""")"),"ES0031408323131005HX0F")</f>
        <v>ES0031408323131005HX0F</v>
      </c>
      <c r="B1806" s="12">
        <f>IFERROR(__xludf.DUMMYFUNCTION("""COMPUTED_VALUE"""),44941.0)</f>
        <v>44941</v>
      </c>
      <c r="C1806" s="13">
        <f>IFERROR(__xludf.DUMMYFUNCTION("""COMPUTED_VALUE"""),0.20833333333333334)</f>
        <v>0.2083333333</v>
      </c>
      <c r="D1806" s="8">
        <f>IFERROR(__xludf.DUMMYFUNCTION("""COMPUTED_VALUE"""),1.636)</f>
        <v>1.636</v>
      </c>
      <c r="E1806" s="8" t="str">
        <f>IFERROR(__xludf.DUMMYFUNCTION("""COMPUTED_VALUE"""),"Real")</f>
        <v>Real</v>
      </c>
      <c r="G1806" s="8">
        <f t="shared" si="1"/>
        <v>1</v>
      </c>
      <c r="H1806" s="14">
        <f t="shared" si="2"/>
        <v>15</v>
      </c>
      <c r="I1806" s="15">
        <f t="shared" si="3"/>
        <v>5</v>
      </c>
    </row>
    <row r="1807">
      <c r="A1807" s="8" t="str">
        <f>IFERROR(__xludf.DUMMYFUNCTION("IF('(INGESTA)Datos_consumo_datadis'!A1807&lt;&gt;"""",SPLIT('(INGESTA)Datos_consumo_datadis'!A:A,"",""),"""")"),"ES0031408323131005HX0F")</f>
        <v>ES0031408323131005HX0F</v>
      </c>
      <c r="B1807" s="12">
        <f>IFERROR(__xludf.DUMMYFUNCTION("""COMPUTED_VALUE"""),44941.0)</f>
        <v>44941</v>
      </c>
      <c r="C1807" s="13">
        <f>IFERROR(__xludf.DUMMYFUNCTION("""COMPUTED_VALUE"""),0.25)</f>
        <v>0.25</v>
      </c>
      <c r="D1807" s="8">
        <f>IFERROR(__xludf.DUMMYFUNCTION("""COMPUTED_VALUE"""),1.639)</f>
        <v>1.639</v>
      </c>
      <c r="E1807" s="8" t="str">
        <f>IFERROR(__xludf.DUMMYFUNCTION("""COMPUTED_VALUE"""),"Real")</f>
        <v>Real</v>
      </c>
      <c r="G1807" s="8">
        <f t="shared" si="1"/>
        <v>1</v>
      </c>
      <c r="H1807" s="14">
        <f t="shared" si="2"/>
        <v>15</v>
      </c>
      <c r="I1807" s="15">
        <f t="shared" si="3"/>
        <v>6</v>
      </c>
    </row>
    <row r="1808">
      <c r="A1808" s="8" t="str">
        <f>IFERROR(__xludf.DUMMYFUNCTION("IF('(INGESTA)Datos_consumo_datadis'!A1808&lt;&gt;"""",SPLIT('(INGESTA)Datos_consumo_datadis'!A:A,"",""),"""")"),"ES0031408323131005HX0F")</f>
        <v>ES0031408323131005HX0F</v>
      </c>
      <c r="B1808" s="12">
        <f>IFERROR(__xludf.DUMMYFUNCTION("""COMPUTED_VALUE"""),44941.0)</f>
        <v>44941</v>
      </c>
      <c r="C1808" s="13">
        <f>IFERROR(__xludf.DUMMYFUNCTION("""COMPUTED_VALUE"""),0.2916666666666667)</f>
        <v>0.2916666667</v>
      </c>
      <c r="D1808" s="8">
        <f>IFERROR(__xludf.DUMMYFUNCTION("""COMPUTED_VALUE"""),1.961)</f>
        <v>1.961</v>
      </c>
      <c r="E1808" s="8" t="str">
        <f>IFERROR(__xludf.DUMMYFUNCTION("""COMPUTED_VALUE"""),"Real")</f>
        <v>Real</v>
      </c>
      <c r="G1808" s="8">
        <f t="shared" si="1"/>
        <v>1</v>
      </c>
      <c r="H1808" s="14">
        <f t="shared" si="2"/>
        <v>15</v>
      </c>
      <c r="I1808" s="15">
        <f t="shared" si="3"/>
        <v>7</v>
      </c>
    </row>
    <row r="1809">
      <c r="A1809" s="8" t="str">
        <f>IFERROR(__xludf.DUMMYFUNCTION("IF('(INGESTA)Datos_consumo_datadis'!A1809&lt;&gt;"""",SPLIT('(INGESTA)Datos_consumo_datadis'!A:A,"",""),"""")"),"ES0031408323131005HX0F")</f>
        <v>ES0031408323131005HX0F</v>
      </c>
      <c r="B1809" s="12">
        <f>IFERROR(__xludf.DUMMYFUNCTION("""COMPUTED_VALUE"""),44941.0)</f>
        <v>44941</v>
      </c>
      <c r="C1809" s="13">
        <f>IFERROR(__xludf.DUMMYFUNCTION("""COMPUTED_VALUE"""),0.3333333333333333)</f>
        <v>0.3333333333</v>
      </c>
      <c r="D1809" s="8">
        <f>IFERROR(__xludf.DUMMYFUNCTION("""COMPUTED_VALUE"""),1.659)</f>
        <v>1.659</v>
      </c>
      <c r="E1809" s="8" t="str">
        <f>IFERROR(__xludf.DUMMYFUNCTION("""COMPUTED_VALUE"""),"Real")</f>
        <v>Real</v>
      </c>
      <c r="G1809" s="8">
        <f t="shared" si="1"/>
        <v>1</v>
      </c>
      <c r="H1809" s="14">
        <f t="shared" si="2"/>
        <v>15</v>
      </c>
      <c r="I1809" s="15">
        <f t="shared" si="3"/>
        <v>8</v>
      </c>
    </row>
    <row r="1810">
      <c r="A1810" s="8" t="str">
        <f>IFERROR(__xludf.DUMMYFUNCTION("IF('(INGESTA)Datos_consumo_datadis'!A1810&lt;&gt;"""",SPLIT('(INGESTA)Datos_consumo_datadis'!A:A,"",""),"""")"),"ES0031408323131005HX0F")</f>
        <v>ES0031408323131005HX0F</v>
      </c>
      <c r="B1810" s="12">
        <f>IFERROR(__xludf.DUMMYFUNCTION("""COMPUTED_VALUE"""),44941.0)</f>
        <v>44941</v>
      </c>
      <c r="C1810" s="13">
        <f>IFERROR(__xludf.DUMMYFUNCTION("""COMPUTED_VALUE"""),0.375)</f>
        <v>0.375</v>
      </c>
      <c r="D1810" s="8">
        <f>IFERROR(__xludf.DUMMYFUNCTION("""COMPUTED_VALUE"""),0.541)</f>
        <v>0.541</v>
      </c>
      <c r="E1810" s="8" t="str">
        <f>IFERROR(__xludf.DUMMYFUNCTION("""COMPUTED_VALUE"""),"Real")</f>
        <v>Real</v>
      </c>
      <c r="G1810" s="8">
        <f t="shared" si="1"/>
        <v>1</v>
      </c>
      <c r="H1810" s="14">
        <f t="shared" si="2"/>
        <v>15</v>
      </c>
      <c r="I1810" s="15">
        <f t="shared" si="3"/>
        <v>9</v>
      </c>
    </row>
    <row r="1811">
      <c r="A1811" s="8" t="str">
        <f>IFERROR(__xludf.DUMMYFUNCTION("IF('(INGESTA)Datos_consumo_datadis'!A1811&lt;&gt;"""",SPLIT('(INGESTA)Datos_consumo_datadis'!A:A,"",""),"""")"),"ES0031408323131005HX0F")</f>
        <v>ES0031408323131005HX0F</v>
      </c>
      <c r="B1811" s="12">
        <f>IFERROR(__xludf.DUMMYFUNCTION("""COMPUTED_VALUE"""),44941.0)</f>
        <v>44941</v>
      </c>
      <c r="C1811" s="13">
        <f>IFERROR(__xludf.DUMMYFUNCTION("""COMPUTED_VALUE"""),0.4166666666666667)</f>
        <v>0.4166666667</v>
      </c>
      <c r="D1811" s="8">
        <f>IFERROR(__xludf.DUMMYFUNCTION("""COMPUTED_VALUE"""),0.101)</f>
        <v>0.101</v>
      </c>
      <c r="E1811" s="8" t="str">
        <f>IFERROR(__xludf.DUMMYFUNCTION("""COMPUTED_VALUE"""),"Real")</f>
        <v>Real</v>
      </c>
      <c r="G1811" s="8">
        <f t="shared" si="1"/>
        <v>1</v>
      </c>
      <c r="H1811" s="14">
        <f t="shared" si="2"/>
        <v>15</v>
      </c>
      <c r="I1811" s="15">
        <f t="shared" si="3"/>
        <v>10</v>
      </c>
    </row>
    <row r="1812">
      <c r="A1812" s="8" t="str">
        <f>IFERROR(__xludf.DUMMYFUNCTION("IF('(INGESTA)Datos_consumo_datadis'!A1812&lt;&gt;"""",SPLIT('(INGESTA)Datos_consumo_datadis'!A:A,"",""),"""")"),"ES0031408323131005HX0F")</f>
        <v>ES0031408323131005HX0F</v>
      </c>
      <c r="B1812" s="12">
        <f>IFERROR(__xludf.DUMMYFUNCTION("""COMPUTED_VALUE"""),44941.0)</f>
        <v>44941</v>
      </c>
      <c r="C1812" s="13">
        <f>IFERROR(__xludf.DUMMYFUNCTION("""COMPUTED_VALUE"""),0.4583333333333333)</f>
        <v>0.4583333333</v>
      </c>
      <c r="D1812" s="8">
        <f>IFERROR(__xludf.DUMMYFUNCTION("""COMPUTED_VALUE"""),0.047)</f>
        <v>0.047</v>
      </c>
      <c r="E1812" s="8" t="str">
        <f>IFERROR(__xludf.DUMMYFUNCTION("""COMPUTED_VALUE"""),"Real")</f>
        <v>Real</v>
      </c>
      <c r="G1812" s="8">
        <f t="shared" si="1"/>
        <v>1</v>
      </c>
      <c r="H1812" s="14">
        <f t="shared" si="2"/>
        <v>15</v>
      </c>
      <c r="I1812" s="15">
        <f t="shared" si="3"/>
        <v>11</v>
      </c>
    </row>
    <row r="1813">
      <c r="A1813" s="8" t="str">
        <f>IFERROR(__xludf.DUMMYFUNCTION("IF('(INGESTA)Datos_consumo_datadis'!A1813&lt;&gt;"""",SPLIT('(INGESTA)Datos_consumo_datadis'!A:A,"",""),"""")"),"ES0031408323131005HX0F")</f>
        <v>ES0031408323131005HX0F</v>
      </c>
      <c r="B1813" s="12">
        <f>IFERROR(__xludf.DUMMYFUNCTION("""COMPUTED_VALUE"""),44941.0)</f>
        <v>44941</v>
      </c>
      <c r="C1813" s="13">
        <f>IFERROR(__xludf.DUMMYFUNCTION("""COMPUTED_VALUE"""),0.5)</f>
        <v>0.5</v>
      </c>
      <c r="D1813" s="8">
        <f>IFERROR(__xludf.DUMMYFUNCTION("""COMPUTED_VALUE"""),0.024)</f>
        <v>0.024</v>
      </c>
      <c r="E1813" s="8" t="str">
        <f>IFERROR(__xludf.DUMMYFUNCTION("""COMPUTED_VALUE"""),"Real")</f>
        <v>Real</v>
      </c>
      <c r="G1813" s="8">
        <f t="shared" si="1"/>
        <v>1</v>
      </c>
      <c r="H1813" s="14">
        <f t="shared" si="2"/>
        <v>15</v>
      </c>
      <c r="I1813" s="15">
        <f t="shared" si="3"/>
        <v>12</v>
      </c>
    </row>
    <row r="1814">
      <c r="A1814" s="8" t="str">
        <f>IFERROR(__xludf.DUMMYFUNCTION("IF('(INGESTA)Datos_consumo_datadis'!A1814&lt;&gt;"""",SPLIT('(INGESTA)Datos_consumo_datadis'!A:A,"",""),"""")"),"ES0031408323131005HX0F")</f>
        <v>ES0031408323131005HX0F</v>
      </c>
      <c r="B1814" s="12">
        <f>IFERROR(__xludf.DUMMYFUNCTION("""COMPUTED_VALUE"""),44941.0)</f>
        <v>44941</v>
      </c>
      <c r="C1814" s="13">
        <f>IFERROR(__xludf.DUMMYFUNCTION("""COMPUTED_VALUE"""),0.5416666666666666)</f>
        <v>0.5416666667</v>
      </c>
      <c r="D1814" s="8">
        <f>IFERROR(__xludf.DUMMYFUNCTION("""COMPUTED_VALUE"""),0.054)</f>
        <v>0.054</v>
      </c>
      <c r="E1814" s="8" t="str">
        <f>IFERROR(__xludf.DUMMYFUNCTION("""COMPUTED_VALUE"""),"Real")</f>
        <v>Real</v>
      </c>
      <c r="G1814" s="8">
        <f t="shared" si="1"/>
        <v>1</v>
      </c>
      <c r="H1814" s="14">
        <f t="shared" si="2"/>
        <v>15</v>
      </c>
      <c r="I1814" s="15">
        <f t="shared" si="3"/>
        <v>13</v>
      </c>
    </row>
    <row r="1815">
      <c r="A1815" s="8" t="str">
        <f>IFERROR(__xludf.DUMMYFUNCTION("IF('(INGESTA)Datos_consumo_datadis'!A1815&lt;&gt;"""",SPLIT('(INGESTA)Datos_consumo_datadis'!A:A,"",""),"""")"),"ES0031408323131005HX0F")</f>
        <v>ES0031408323131005HX0F</v>
      </c>
      <c r="B1815" s="12">
        <f>IFERROR(__xludf.DUMMYFUNCTION("""COMPUTED_VALUE"""),44941.0)</f>
        <v>44941</v>
      </c>
      <c r="C1815" s="13">
        <f>IFERROR(__xludf.DUMMYFUNCTION("""COMPUTED_VALUE"""),0.5833333333333334)</f>
        <v>0.5833333333</v>
      </c>
      <c r="D1815" s="8">
        <f>IFERROR(__xludf.DUMMYFUNCTION("""COMPUTED_VALUE"""),0.556)</f>
        <v>0.556</v>
      </c>
      <c r="E1815" s="8" t="str">
        <f>IFERROR(__xludf.DUMMYFUNCTION("""COMPUTED_VALUE"""),"Real")</f>
        <v>Real</v>
      </c>
      <c r="G1815" s="8">
        <f t="shared" si="1"/>
        <v>1</v>
      </c>
      <c r="H1815" s="14">
        <f t="shared" si="2"/>
        <v>15</v>
      </c>
      <c r="I1815" s="15">
        <f t="shared" si="3"/>
        <v>14</v>
      </c>
    </row>
    <row r="1816">
      <c r="A1816" s="8" t="str">
        <f>IFERROR(__xludf.DUMMYFUNCTION("IF('(INGESTA)Datos_consumo_datadis'!A1816&lt;&gt;"""",SPLIT('(INGESTA)Datos_consumo_datadis'!A:A,"",""),"""")"),"ES0031408323131005HX0F")</f>
        <v>ES0031408323131005HX0F</v>
      </c>
      <c r="B1816" s="12">
        <f>IFERROR(__xludf.DUMMYFUNCTION("""COMPUTED_VALUE"""),44941.0)</f>
        <v>44941</v>
      </c>
      <c r="C1816" s="13">
        <f>IFERROR(__xludf.DUMMYFUNCTION("""COMPUTED_VALUE"""),0.625)</f>
        <v>0.625</v>
      </c>
      <c r="D1816" s="8">
        <f>IFERROR(__xludf.DUMMYFUNCTION("""COMPUTED_VALUE"""),0.447)</f>
        <v>0.447</v>
      </c>
      <c r="E1816" s="8" t="str">
        <f>IFERROR(__xludf.DUMMYFUNCTION("""COMPUTED_VALUE"""),"Real")</f>
        <v>Real</v>
      </c>
      <c r="G1816" s="8">
        <f t="shared" si="1"/>
        <v>1</v>
      </c>
      <c r="H1816" s="14">
        <f t="shared" si="2"/>
        <v>15</v>
      </c>
      <c r="I1816" s="15">
        <f t="shared" si="3"/>
        <v>15</v>
      </c>
    </row>
    <row r="1817">
      <c r="A1817" s="8" t="str">
        <f>IFERROR(__xludf.DUMMYFUNCTION("IF('(INGESTA)Datos_consumo_datadis'!A1817&lt;&gt;"""",SPLIT('(INGESTA)Datos_consumo_datadis'!A:A,"",""),"""")"),"ES0031408323131005HX0F")</f>
        <v>ES0031408323131005HX0F</v>
      </c>
      <c r="B1817" s="12">
        <f>IFERROR(__xludf.DUMMYFUNCTION("""COMPUTED_VALUE"""),44941.0)</f>
        <v>44941</v>
      </c>
      <c r="C1817" s="13">
        <f>IFERROR(__xludf.DUMMYFUNCTION("""COMPUTED_VALUE"""),0.6666666666666666)</f>
        <v>0.6666666667</v>
      </c>
      <c r="D1817" s="8">
        <f>IFERROR(__xludf.DUMMYFUNCTION("""COMPUTED_VALUE"""),0.831)</f>
        <v>0.831</v>
      </c>
      <c r="E1817" s="8" t="str">
        <f>IFERROR(__xludf.DUMMYFUNCTION("""COMPUTED_VALUE"""),"Real")</f>
        <v>Real</v>
      </c>
      <c r="G1817" s="8">
        <f t="shared" si="1"/>
        <v>1</v>
      </c>
      <c r="H1817" s="14">
        <f t="shared" si="2"/>
        <v>15</v>
      </c>
      <c r="I1817" s="15">
        <f t="shared" si="3"/>
        <v>16</v>
      </c>
    </row>
    <row r="1818">
      <c r="A1818" s="8" t="str">
        <f>IFERROR(__xludf.DUMMYFUNCTION("IF('(INGESTA)Datos_consumo_datadis'!A1818&lt;&gt;"""",SPLIT('(INGESTA)Datos_consumo_datadis'!A:A,"",""),"""")"),"ES0031408323131005HX0F")</f>
        <v>ES0031408323131005HX0F</v>
      </c>
      <c r="B1818" s="12">
        <f>IFERROR(__xludf.DUMMYFUNCTION("""COMPUTED_VALUE"""),44941.0)</f>
        <v>44941</v>
      </c>
      <c r="C1818" s="13">
        <f>IFERROR(__xludf.DUMMYFUNCTION("""COMPUTED_VALUE"""),0.7083333333333334)</f>
        <v>0.7083333333</v>
      </c>
      <c r="D1818" s="8">
        <f>IFERROR(__xludf.DUMMYFUNCTION("""COMPUTED_VALUE"""),0.041)</f>
        <v>0.041</v>
      </c>
      <c r="E1818" s="8" t="str">
        <f>IFERROR(__xludf.DUMMYFUNCTION("""COMPUTED_VALUE"""),"Real")</f>
        <v>Real</v>
      </c>
      <c r="G1818" s="8">
        <f t="shared" si="1"/>
        <v>1</v>
      </c>
      <c r="H1818" s="14">
        <f t="shared" si="2"/>
        <v>15</v>
      </c>
      <c r="I1818" s="15">
        <f t="shared" si="3"/>
        <v>17</v>
      </c>
    </row>
    <row r="1819">
      <c r="A1819" s="8" t="str">
        <f>IFERROR(__xludf.DUMMYFUNCTION("IF('(INGESTA)Datos_consumo_datadis'!A1819&lt;&gt;"""",SPLIT('(INGESTA)Datos_consumo_datadis'!A:A,"",""),"""")"),"ES0031408323131005HX0F")</f>
        <v>ES0031408323131005HX0F</v>
      </c>
      <c r="B1819" s="12">
        <f>IFERROR(__xludf.DUMMYFUNCTION("""COMPUTED_VALUE"""),44941.0)</f>
        <v>44941</v>
      </c>
      <c r="C1819" s="13">
        <f>IFERROR(__xludf.DUMMYFUNCTION("""COMPUTED_VALUE"""),0.75)</f>
        <v>0.75</v>
      </c>
      <c r="D1819" s="8">
        <f>IFERROR(__xludf.DUMMYFUNCTION("""COMPUTED_VALUE"""),0.083)</f>
        <v>0.083</v>
      </c>
      <c r="E1819" s="8" t="str">
        <f>IFERROR(__xludf.DUMMYFUNCTION("""COMPUTED_VALUE"""),"Real")</f>
        <v>Real</v>
      </c>
      <c r="G1819" s="8">
        <f t="shared" si="1"/>
        <v>1</v>
      </c>
      <c r="H1819" s="14">
        <f t="shared" si="2"/>
        <v>15</v>
      </c>
      <c r="I1819" s="15">
        <f t="shared" si="3"/>
        <v>18</v>
      </c>
    </row>
    <row r="1820">
      <c r="A1820" s="8" t="str">
        <f>IFERROR(__xludf.DUMMYFUNCTION("IF('(INGESTA)Datos_consumo_datadis'!A1820&lt;&gt;"""",SPLIT('(INGESTA)Datos_consumo_datadis'!A:A,"",""),"""")"),"ES0031408323131005HX0F")</f>
        <v>ES0031408323131005HX0F</v>
      </c>
      <c r="B1820" s="12">
        <f>IFERROR(__xludf.DUMMYFUNCTION("""COMPUTED_VALUE"""),44941.0)</f>
        <v>44941</v>
      </c>
      <c r="C1820" s="13">
        <f>IFERROR(__xludf.DUMMYFUNCTION("""COMPUTED_VALUE"""),0.7916666666666666)</f>
        <v>0.7916666667</v>
      </c>
      <c r="D1820" s="8">
        <f>IFERROR(__xludf.DUMMYFUNCTION("""COMPUTED_VALUE"""),0.042)</f>
        <v>0.042</v>
      </c>
      <c r="E1820" s="8" t="str">
        <f>IFERROR(__xludf.DUMMYFUNCTION("""COMPUTED_VALUE"""),"Real")</f>
        <v>Real</v>
      </c>
      <c r="G1820" s="8">
        <f t="shared" si="1"/>
        <v>1</v>
      </c>
      <c r="H1820" s="14">
        <f t="shared" si="2"/>
        <v>15</v>
      </c>
      <c r="I1820" s="15">
        <f t="shared" si="3"/>
        <v>19</v>
      </c>
    </row>
    <row r="1821">
      <c r="A1821" s="8" t="str">
        <f>IFERROR(__xludf.DUMMYFUNCTION("IF('(INGESTA)Datos_consumo_datadis'!A1821&lt;&gt;"""",SPLIT('(INGESTA)Datos_consumo_datadis'!A:A,"",""),"""")"),"ES0031408323131005HX0F")</f>
        <v>ES0031408323131005HX0F</v>
      </c>
      <c r="B1821" s="12">
        <f>IFERROR(__xludf.DUMMYFUNCTION("""COMPUTED_VALUE"""),44941.0)</f>
        <v>44941</v>
      </c>
      <c r="C1821" s="13">
        <f>IFERROR(__xludf.DUMMYFUNCTION("""COMPUTED_VALUE"""),0.8333333333333334)</f>
        <v>0.8333333333</v>
      </c>
      <c r="D1821" s="8">
        <f>IFERROR(__xludf.DUMMYFUNCTION("""COMPUTED_VALUE"""),0.212)</f>
        <v>0.212</v>
      </c>
      <c r="E1821" s="8" t="str">
        <f>IFERROR(__xludf.DUMMYFUNCTION("""COMPUTED_VALUE"""),"Real")</f>
        <v>Real</v>
      </c>
      <c r="G1821" s="8">
        <f t="shared" si="1"/>
        <v>1</v>
      </c>
      <c r="H1821" s="14">
        <f t="shared" si="2"/>
        <v>15</v>
      </c>
      <c r="I1821" s="15">
        <f t="shared" si="3"/>
        <v>20</v>
      </c>
    </row>
    <row r="1822">
      <c r="A1822" s="8" t="str">
        <f>IFERROR(__xludf.DUMMYFUNCTION("IF('(INGESTA)Datos_consumo_datadis'!A1822&lt;&gt;"""",SPLIT('(INGESTA)Datos_consumo_datadis'!A:A,"",""),"""")"),"ES0031408323131005HX0F")</f>
        <v>ES0031408323131005HX0F</v>
      </c>
      <c r="B1822" s="12">
        <f>IFERROR(__xludf.DUMMYFUNCTION("""COMPUTED_VALUE"""),44941.0)</f>
        <v>44941</v>
      </c>
      <c r="C1822" s="13">
        <f>IFERROR(__xludf.DUMMYFUNCTION("""COMPUTED_VALUE"""),0.875)</f>
        <v>0.875</v>
      </c>
      <c r="D1822" s="8">
        <f>IFERROR(__xludf.DUMMYFUNCTION("""COMPUTED_VALUE"""),0.355)</f>
        <v>0.355</v>
      </c>
      <c r="E1822" s="8" t="str">
        <f>IFERROR(__xludf.DUMMYFUNCTION("""COMPUTED_VALUE"""),"Real")</f>
        <v>Real</v>
      </c>
      <c r="G1822" s="8">
        <f t="shared" si="1"/>
        <v>1</v>
      </c>
      <c r="H1822" s="14">
        <f t="shared" si="2"/>
        <v>15</v>
      </c>
      <c r="I1822" s="15">
        <f t="shared" si="3"/>
        <v>21</v>
      </c>
    </row>
    <row r="1823">
      <c r="A1823" s="8" t="str">
        <f>IFERROR(__xludf.DUMMYFUNCTION("IF('(INGESTA)Datos_consumo_datadis'!A1823&lt;&gt;"""",SPLIT('(INGESTA)Datos_consumo_datadis'!A:A,"",""),"""")"),"ES0031408323131005HX0F")</f>
        <v>ES0031408323131005HX0F</v>
      </c>
      <c r="B1823" s="12">
        <f>IFERROR(__xludf.DUMMYFUNCTION("""COMPUTED_VALUE"""),44941.0)</f>
        <v>44941</v>
      </c>
      <c r="C1823" s="13">
        <f>IFERROR(__xludf.DUMMYFUNCTION("""COMPUTED_VALUE"""),0.9166666666666666)</f>
        <v>0.9166666667</v>
      </c>
      <c r="D1823" s="8">
        <f>IFERROR(__xludf.DUMMYFUNCTION("""COMPUTED_VALUE"""),2.281)</f>
        <v>2.281</v>
      </c>
      <c r="E1823" s="8" t="str">
        <f>IFERROR(__xludf.DUMMYFUNCTION("""COMPUTED_VALUE"""),"Real")</f>
        <v>Real</v>
      </c>
      <c r="G1823" s="8">
        <f t="shared" si="1"/>
        <v>1</v>
      </c>
      <c r="H1823" s="14">
        <f t="shared" si="2"/>
        <v>15</v>
      </c>
      <c r="I1823" s="15">
        <f t="shared" si="3"/>
        <v>22</v>
      </c>
    </row>
    <row r="1824">
      <c r="A1824" s="8" t="str">
        <f>IFERROR(__xludf.DUMMYFUNCTION("IF('(INGESTA)Datos_consumo_datadis'!A1824&lt;&gt;"""",SPLIT('(INGESTA)Datos_consumo_datadis'!A:A,"",""),"""")"),"ES0031408323131005HX0F")</f>
        <v>ES0031408323131005HX0F</v>
      </c>
      <c r="B1824" s="12">
        <f>IFERROR(__xludf.DUMMYFUNCTION("""COMPUTED_VALUE"""),44941.0)</f>
        <v>44941</v>
      </c>
      <c r="C1824" s="13">
        <f>IFERROR(__xludf.DUMMYFUNCTION("""COMPUTED_VALUE"""),0.9583333333333334)</f>
        <v>0.9583333333</v>
      </c>
      <c r="D1824" s="8">
        <f>IFERROR(__xludf.DUMMYFUNCTION("""COMPUTED_VALUE"""),1.47)</f>
        <v>1.47</v>
      </c>
      <c r="E1824" s="8" t="str">
        <f>IFERROR(__xludf.DUMMYFUNCTION("""COMPUTED_VALUE"""),"Real")</f>
        <v>Real</v>
      </c>
      <c r="G1824" s="8">
        <f t="shared" si="1"/>
        <v>1</v>
      </c>
      <c r="H1824" s="14">
        <f t="shared" si="2"/>
        <v>15</v>
      </c>
      <c r="I1824" s="15">
        <f t="shared" si="3"/>
        <v>23</v>
      </c>
    </row>
    <row r="1825">
      <c r="A1825" s="8" t="str">
        <f>IFERROR(__xludf.DUMMYFUNCTION("IF('(INGESTA)Datos_consumo_datadis'!A1825&lt;&gt;"""",SPLIT('(INGESTA)Datos_consumo_datadis'!A:A,"",""),"""")"),"ES0031408323131005HX0F")</f>
        <v>ES0031408323131005HX0F</v>
      </c>
      <c r="B1825" s="12">
        <f>IFERROR(__xludf.DUMMYFUNCTION("""COMPUTED_VALUE"""),44941.0)</f>
        <v>44941</v>
      </c>
      <c r="C1825" s="16">
        <f>IFERROR(__xludf.DUMMYFUNCTION("""COMPUTED_VALUE"""),1.0)</f>
        <v>1</v>
      </c>
      <c r="D1825" s="8">
        <f>IFERROR(__xludf.DUMMYFUNCTION("""COMPUTED_VALUE"""),0.746)</f>
        <v>0.746</v>
      </c>
      <c r="E1825" s="8" t="str">
        <f>IFERROR(__xludf.DUMMYFUNCTION("""COMPUTED_VALUE"""),"Real")</f>
        <v>Real</v>
      </c>
      <c r="G1825" s="8">
        <f t="shared" si="1"/>
        <v>1</v>
      </c>
      <c r="H1825" s="14">
        <f t="shared" si="2"/>
        <v>15</v>
      </c>
      <c r="I1825" s="15">
        <f t="shared" si="3"/>
        <v>0</v>
      </c>
    </row>
    <row r="1826">
      <c r="A1826" s="8" t="str">
        <f>IFERROR(__xludf.DUMMYFUNCTION("IF('(INGESTA)Datos_consumo_datadis'!A1826&lt;&gt;"""",SPLIT('(INGESTA)Datos_consumo_datadis'!A:A,"",""),"""")"),"ES0031408323131005HX0F")</f>
        <v>ES0031408323131005HX0F</v>
      </c>
      <c r="B1826" s="12">
        <f>IFERROR(__xludf.DUMMYFUNCTION("""COMPUTED_VALUE"""),44942.0)</f>
        <v>44942</v>
      </c>
      <c r="C1826" s="13">
        <f>IFERROR(__xludf.DUMMYFUNCTION("""COMPUTED_VALUE"""),0.041666666666666664)</f>
        <v>0.04166666667</v>
      </c>
      <c r="D1826" s="8">
        <f>IFERROR(__xludf.DUMMYFUNCTION("""COMPUTED_VALUE"""),0.845)</f>
        <v>0.845</v>
      </c>
      <c r="E1826" s="8" t="str">
        <f>IFERROR(__xludf.DUMMYFUNCTION("""COMPUTED_VALUE"""),"Real")</f>
        <v>Real</v>
      </c>
      <c r="G1826" s="8">
        <f t="shared" si="1"/>
        <v>1</v>
      </c>
      <c r="H1826" s="14">
        <f t="shared" si="2"/>
        <v>16</v>
      </c>
      <c r="I1826" s="15">
        <f t="shared" si="3"/>
        <v>1</v>
      </c>
    </row>
    <row r="1827">
      <c r="A1827" s="8" t="str">
        <f>IFERROR(__xludf.DUMMYFUNCTION("IF('(INGESTA)Datos_consumo_datadis'!A1827&lt;&gt;"""",SPLIT('(INGESTA)Datos_consumo_datadis'!A:A,"",""),"""")"),"ES0031408323131005HX0F")</f>
        <v>ES0031408323131005HX0F</v>
      </c>
      <c r="B1827" s="12">
        <f>IFERROR(__xludf.DUMMYFUNCTION("""COMPUTED_VALUE"""),44942.0)</f>
        <v>44942</v>
      </c>
      <c r="C1827" s="13">
        <f>IFERROR(__xludf.DUMMYFUNCTION("""COMPUTED_VALUE"""),0.08333333333333333)</f>
        <v>0.08333333333</v>
      </c>
      <c r="D1827" s="8">
        <f>IFERROR(__xludf.DUMMYFUNCTION("""COMPUTED_VALUE"""),0.823)</f>
        <v>0.823</v>
      </c>
      <c r="E1827" s="8" t="str">
        <f>IFERROR(__xludf.DUMMYFUNCTION("""COMPUTED_VALUE"""),"Real")</f>
        <v>Real</v>
      </c>
      <c r="G1827" s="8">
        <f t="shared" si="1"/>
        <v>1</v>
      </c>
      <c r="H1827" s="14">
        <f t="shared" si="2"/>
        <v>16</v>
      </c>
      <c r="I1827" s="15">
        <f t="shared" si="3"/>
        <v>2</v>
      </c>
    </row>
    <row r="1828">
      <c r="A1828" s="8" t="str">
        <f>IFERROR(__xludf.DUMMYFUNCTION("IF('(INGESTA)Datos_consumo_datadis'!A1828&lt;&gt;"""",SPLIT('(INGESTA)Datos_consumo_datadis'!A:A,"",""),"""")"),"ES0031408323131005HX0F")</f>
        <v>ES0031408323131005HX0F</v>
      </c>
      <c r="B1828" s="12">
        <f>IFERROR(__xludf.DUMMYFUNCTION("""COMPUTED_VALUE"""),44942.0)</f>
        <v>44942</v>
      </c>
      <c r="C1828" s="13">
        <f>IFERROR(__xludf.DUMMYFUNCTION("""COMPUTED_VALUE"""),0.125)</f>
        <v>0.125</v>
      </c>
      <c r="D1828" s="8">
        <f>IFERROR(__xludf.DUMMYFUNCTION("""COMPUTED_VALUE"""),0.801)</f>
        <v>0.801</v>
      </c>
      <c r="E1828" s="8" t="str">
        <f>IFERROR(__xludf.DUMMYFUNCTION("""COMPUTED_VALUE"""),"Real")</f>
        <v>Real</v>
      </c>
      <c r="G1828" s="8">
        <f t="shared" si="1"/>
        <v>1</v>
      </c>
      <c r="H1828" s="14">
        <f t="shared" si="2"/>
        <v>16</v>
      </c>
      <c r="I1828" s="15">
        <f t="shared" si="3"/>
        <v>3</v>
      </c>
    </row>
    <row r="1829">
      <c r="A1829" s="8" t="str">
        <f>IFERROR(__xludf.DUMMYFUNCTION("IF('(INGESTA)Datos_consumo_datadis'!A1829&lt;&gt;"""",SPLIT('(INGESTA)Datos_consumo_datadis'!A:A,"",""),"""")"),"ES0031408323131005HX0F")</f>
        <v>ES0031408323131005HX0F</v>
      </c>
      <c r="B1829" s="12">
        <f>IFERROR(__xludf.DUMMYFUNCTION("""COMPUTED_VALUE"""),44942.0)</f>
        <v>44942</v>
      </c>
      <c r="C1829" s="13">
        <f>IFERROR(__xludf.DUMMYFUNCTION("""COMPUTED_VALUE"""),0.16666666666666666)</f>
        <v>0.1666666667</v>
      </c>
      <c r="D1829" s="8">
        <f>IFERROR(__xludf.DUMMYFUNCTION("""COMPUTED_VALUE"""),1.109)</f>
        <v>1.109</v>
      </c>
      <c r="E1829" s="8" t="str">
        <f>IFERROR(__xludf.DUMMYFUNCTION("""COMPUTED_VALUE"""),"Real")</f>
        <v>Real</v>
      </c>
      <c r="G1829" s="8">
        <f t="shared" si="1"/>
        <v>1</v>
      </c>
      <c r="H1829" s="14">
        <f t="shared" si="2"/>
        <v>16</v>
      </c>
      <c r="I1829" s="15">
        <f t="shared" si="3"/>
        <v>4</v>
      </c>
    </row>
    <row r="1830">
      <c r="A1830" s="8" t="str">
        <f>IFERROR(__xludf.DUMMYFUNCTION("IF('(INGESTA)Datos_consumo_datadis'!A1830&lt;&gt;"""",SPLIT('(INGESTA)Datos_consumo_datadis'!A:A,"",""),"""")"),"ES0031408323131005HX0F")</f>
        <v>ES0031408323131005HX0F</v>
      </c>
      <c r="B1830" s="12">
        <f>IFERROR(__xludf.DUMMYFUNCTION("""COMPUTED_VALUE"""),44942.0)</f>
        <v>44942</v>
      </c>
      <c r="C1830" s="13">
        <f>IFERROR(__xludf.DUMMYFUNCTION("""COMPUTED_VALUE"""),0.20833333333333334)</f>
        <v>0.2083333333</v>
      </c>
      <c r="D1830" s="8">
        <f>IFERROR(__xludf.DUMMYFUNCTION("""COMPUTED_VALUE"""),0.827)</f>
        <v>0.827</v>
      </c>
      <c r="E1830" s="8" t="str">
        <f>IFERROR(__xludf.DUMMYFUNCTION("""COMPUTED_VALUE"""),"Real")</f>
        <v>Real</v>
      </c>
      <c r="G1830" s="8">
        <f t="shared" si="1"/>
        <v>1</v>
      </c>
      <c r="H1830" s="14">
        <f t="shared" si="2"/>
        <v>16</v>
      </c>
      <c r="I1830" s="15">
        <f t="shared" si="3"/>
        <v>5</v>
      </c>
    </row>
    <row r="1831">
      <c r="A1831" s="8" t="str">
        <f>IFERROR(__xludf.DUMMYFUNCTION("IF('(INGESTA)Datos_consumo_datadis'!A1831&lt;&gt;"""",SPLIT('(INGESTA)Datos_consumo_datadis'!A:A,"",""),"""")"),"ES0031408323131005HX0F")</f>
        <v>ES0031408323131005HX0F</v>
      </c>
      <c r="B1831" s="12">
        <f>IFERROR(__xludf.DUMMYFUNCTION("""COMPUTED_VALUE"""),44942.0)</f>
        <v>44942</v>
      </c>
      <c r="C1831" s="13">
        <f>IFERROR(__xludf.DUMMYFUNCTION("""COMPUTED_VALUE"""),0.25)</f>
        <v>0.25</v>
      </c>
      <c r="D1831" s="8">
        <f>IFERROR(__xludf.DUMMYFUNCTION("""COMPUTED_VALUE"""),0.783)</f>
        <v>0.783</v>
      </c>
      <c r="E1831" s="8" t="str">
        <f>IFERROR(__xludf.DUMMYFUNCTION("""COMPUTED_VALUE"""),"Real")</f>
        <v>Real</v>
      </c>
      <c r="G1831" s="8">
        <f t="shared" si="1"/>
        <v>1</v>
      </c>
      <c r="H1831" s="14">
        <f t="shared" si="2"/>
        <v>16</v>
      </c>
      <c r="I1831" s="15">
        <f t="shared" si="3"/>
        <v>6</v>
      </c>
    </row>
    <row r="1832">
      <c r="A1832" s="8" t="str">
        <f>IFERROR(__xludf.DUMMYFUNCTION("IF('(INGESTA)Datos_consumo_datadis'!A1832&lt;&gt;"""",SPLIT('(INGESTA)Datos_consumo_datadis'!A:A,"",""),"""")"),"ES0031408323131005HX0F")</f>
        <v>ES0031408323131005HX0F</v>
      </c>
      <c r="B1832" s="12">
        <f>IFERROR(__xludf.DUMMYFUNCTION("""COMPUTED_VALUE"""),44942.0)</f>
        <v>44942</v>
      </c>
      <c r="C1832" s="13">
        <f>IFERROR(__xludf.DUMMYFUNCTION("""COMPUTED_VALUE"""),0.2916666666666667)</f>
        <v>0.2916666667</v>
      </c>
      <c r="D1832" s="8">
        <f>IFERROR(__xludf.DUMMYFUNCTION("""COMPUTED_VALUE"""),0.84)</f>
        <v>0.84</v>
      </c>
      <c r="E1832" s="8" t="str">
        <f>IFERROR(__xludf.DUMMYFUNCTION("""COMPUTED_VALUE"""),"Real")</f>
        <v>Real</v>
      </c>
      <c r="G1832" s="8">
        <f t="shared" si="1"/>
        <v>1</v>
      </c>
      <c r="H1832" s="14">
        <f t="shared" si="2"/>
        <v>16</v>
      </c>
      <c r="I1832" s="15">
        <f t="shared" si="3"/>
        <v>7</v>
      </c>
    </row>
    <row r="1833">
      <c r="A1833" s="8" t="str">
        <f>IFERROR(__xludf.DUMMYFUNCTION("IF('(INGESTA)Datos_consumo_datadis'!A1833&lt;&gt;"""",SPLIT('(INGESTA)Datos_consumo_datadis'!A:A,"",""),"""")"),"ES0031408323131005HX0F")</f>
        <v>ES0031408323131005HX0F</v>
      </c>
      <c r="B1833" s="12">
        <f>IFERROR(__xludf.DUMMYFUNCTION("""COMPUTED_VALUE"""),44942.0)</f>
        <v>44942</v>
      </c>
      <c r="C1833" s="13">
        <f>IFERROR(__xludf.DUMMYFUNCTION("""COMPUTED_VALUE"""),0.3333333333333333)</f>
        <v>0.3333333333</v>
      </c>
      <c r="D1833" s="8">
        <f>IFERROR(__xludf.DUMMYFUNCTION("""COMPUTED_VALUE"""),0.653)</f>
        <v>0.653</v>
      </c>
      <c r="E1833" s="8" t="str">
        <f>IFERROR(__xludf.DUMMYFUNCTION("""COMPUTED_VALUE"""),"Real")</f>
        <v>Real</v>
      </c>
      <c r="G1833" s="8">
        <f t="shared" si="1"/>
        <v>1</v>
      </c>
      <c r="H1833" s="14">
        <f t="shared" si="2"/>
        <v>16</v>
      </c>
      <c r="I1833" s="15">
        <f t="shared" si="3"/>
        <v>8</v>
      </c>
    </row>
    <row r="1834">
      <c r="A1834" s="8" t="str">
        <f>IFERROR(__xludf.DUMMYFUNCTION("IF('(INGESTA)Datos_consumo_datadis'!A1834&lt;&gt;"""",SPLIT('(INGESTA)Datos_consumo_datadis'!A:A,"",""),"""")"),"ES0031408323131005HX0F")</f>
        <v>ES0031408323131005HX0F</v>
      </c>
      <c r="B1834" s="12">
        <f>IFERROR(__xludf.DUMMYFUNCTION("""COMPUTED_VALUE"""),44942.0)</f>
        <v>44942</v>
      </c>
      <c r="C1834" s="13">
        <f>IFERROR(__xludf.DUMMYFUNCTION("""COMPUTED_VALUE"""),0.375)</f>
        <v>0.375</v>
      </c>
      <c r="D1834" s="8">
        <f>IFERROR(__xludf.DUMMYFUNCTION("""COMPUTED_VALUE"""),0.927)</f>
        <v>0.927</v>
      </c>
      <c r="E1834" s="8" t="str">
        <f>IFERROR(__xludf.DUMMYFUNCTION("""COMPUTED_VALUE"""),"Real")</f>
        <v>Real</v>
      </c>
      <c r="G1834" s="8">
        <f t="shared" si="1"/>
        <v>1</v>
      </c>
      <c r="H1834" s="14">
        <f t="shared" si="2"/>
        <v>16</v>
      </c>
      <c r="I1834" s="15">
        <f t="shared" si="3"/>
        <v>9</v>
      </c>
    </row>
    <row r="1835">
      <c r="A1835" s="8" t="str">
        <f>IFERROR(__xludf.DUMMYFUNCTION("IF('(INGESTA)Datos_consumo_datadis'!A1835&lt;&gt;"""",SPLIT('(INGESTA)Datos_consumo_datadis'!A:A,"",""),"""")"),"ES0031408323131005HX0F")</f>
        <v>ES0031408323131005HX0F</v>
      </c>
      <c r="B1835" s="12">
        <f>IFERROR(__xludf.DUMMYFUNCTION("""COMPUTED_VALUE"""),44942.0)</f>
        <v>44942</v>
      </c>
      <c r="C1835" s="13">
        <f>IFERROR(__xludf.DUMMYFUNCTION("""COMPUTED_VALUE"""),0.4166666666666667)</f>
        <v>0.4166666667</v>
      </c>
      <c r="D1835" s="8">
        <f>IFERROR(__xludf.DUMMYFUNCTION("""COMPUTED_VALUE"""),1.368)</f>
        <v>1.368</v>
      </c>
      <c r="E1835" s="8" t="str">
        <f>IFERROR(__xludf.DUMMYFUNCTION("""COMPUTED_VALUE"""),"Real")</f>
        <v>Real</v>
      </c>
      <c r="G1835" s="8">
        <f t="shared" si="1"/>
        <v>1</v>
      </c>
      <c r="H1835" s="14">
        <f t="shared" si="2"/>
        <v>16</v>
      </c>
      <c r="I1835" s="15">
        <f t="shared" si="3"/>
        <v>10</v>
      </c>
    </row>
    <row r="1836">
      <c r="A1836" s="8" t="str">
        <f>IFERROR(__xludf.DUMMYFUNCTION("IF('(INGESTA)Datos_consumo_datadis'!A1836&lt;&gt;"""",SPLIT('(INGESTA)Datos_consumo_datadis'!A:A,"",""),"""")"),"ES0031408323131005HX0F")</f>
        <v>ES0031408323131005HX0F</v>
      </c>
      <c r="B1836" s="12">
        <f>IFERROR(__xludf.DUMMYFUNCTION("""COMPUTED_VALUE"""),44942.0)</f>
        <v>44942</v>
      </c>
      <c r="C1836" s="13">
        <f>IFERROR(__xludf.DUMMYFUNCTION("""COMPUTED_VALUE"""),0.4583333333333333)</f>
        <v>0.4583333333</v>
      </c>
      <c r="D1836" s="8">
        <f>IFERROR(__xludf.DUMMYFUNCTION("""COMPUTED_VALUE"""),1.411)</f>
        <v>1.411</v>
      </c>
      <c r="E1836" s="8" t="str">
        <f>IFERROR(__xludf.DUMMYFUNCTION("""COMPUTED_VALUE"""),"Real")</f>
        <v>Real</v>
      </c>
      <c r="G1836" s="8">
        <f t="shared" si="1"/>
        <v>1</v>
      </c>
      <c r="H1836" s="14">
        <f t="shared" si="2"/>
        <v>16</v>
      </c>
      <c r="I1836" s="15">
        <f t="shared" si="3"/>
        <v>11</v>
      </c>
    </row>
    <row r="1837">
      <c r="A1837" s="8" t="str">
        <f>IFERROR(__xludf.DUMMYFUNCTION("IF('(INGESTA)Datos_consumo_datadis'!A1837&lt;&gt;"""",SPLIT('(INGESTA)Datos_consumo_datadis'!A:A,"",""),"""")"),"ES0031408323131005HX0F")</f>
        <v>ES0031408323131005HX0F</v>
      </c>
      <c r="B1837" s="12">
        <f>IFERROR(__xludf.DUMMYFUNCTION("""COMPUTED_VALUE"""),44942.0)</f>
        <v>44942</v>
      </c>
      <c r="C1837" s="13">
        <f>IFERROR(__xludf.DUMMYFUNCTION("""COMPUTED_VALUE"""),0.5)</f>
        <v>0.5</v>
      </c>
      <c r="D1837" s="8">
        <f>IFERROR(__xludf.DUMMYFUNCTION("""COMPUTED_VALUE"""),0.531)</f>
        <v>0.531</v>
      </c>
      <c r="E1837" s="8" t="str">
        <f>IFERROR(__xludf.DUMMYFUNCTION("""COMPUTED_VALUE"""),"Real")</f>
        <v>Real</v>
      </c>
      <c r="G1837" s="8">
        <f t="shared" si="1"/>
        <v>1</v>
      </c>
      <c r="H1837" s="14">
        <f t="shared" si="2"/>
        <v>16</v>
      </c>
      <c r="I1837" s="15">
        <f t="shared" si="3"/>
        <v>12</v>
      </c>
    </row>
    <row r="1838">
      <c r="A1838" s="8" t="str">
        <f>IFERROR(__xludf.DUMMYFUNCTION("IF('(INGESTA)Datos_consumo_datadis'!A1838&lt;&gt;"""",SPLIT('(INGESTA)Datos_consumo_datadis'!A:A,"",""),"""")"),"ES0031408323131005HX0F")</f>
        <v>ES0031408323131005HX0F</v>
      </c>
      <c r="B1838" s="12">
        <f>IFERROR(__xludf.DUMMYFUNCTION("""COMPUTED_VALUE"""),44942.0)</f>
        <v>44942</v>
      </c>
      <c r="C1838" s="13">
        <f>IFERROR(__xludf.DUMMYFUNCTION("""COMPUTED_VALUE"""),0.5416666666666666)</f>
        <v>0.5416666667</v>
      </c>
      <c r="D1838" s="8">
        <f>IFERROR(__xludf.DUMMYFUNCTION("""COMPUTED_VALUE"""),0.929)</f>
        <v>0.929</v>
      </c>
      <c r="E1838" s="8" t="str">
        <f>IFERROR(__xludf.DUMMYFUNCTION("""COMPUTED_VALUE"""),"Real")</f>
        <v>Real</v>
      </c>
      <c r="G1838" s="8">
        <f t="shared" si="1"/>
        <v>1</v>
      </c>
      <c r="H1838" s="14">
        <f t="shared" si="2"/>
        <v>16</v>
      </c>
      <c r="I1838" s="15">
        <f t="shared" si="3"/>
        <v>13</v>
      </c>
    </row>
    <row r="1839">
      <c r="A1839" s="8" t="str">
        <f>IFERROR(__xludf.DUMMYFUNCTION("IF('(INGESTA)Datos_consumo_datadis'!A1839&lt;&gt;"""",SPLIT('(INGESTA)Datos_consumo_datadis'!A:A,"",""),"""")"),"ES0031408323131005HX0F")</f>
        <v>ES0031408323131005HX0F</v>
      </c>
      <c r="B1839" s="12">
        <f>IFERROR(__xludf.DUMMYFUNCTION("""COMPUTED_VALUE"""),44942.0)</f>
        <v>44942</v>
      </c>
      <c r="C1839" s="13">
        <f>IFERROR(__xludf.DUMMYFUNCTION("""COMPUTED_VALUE"""),0.5833333333333334)</f>
        <v>0.5833333333</v>
      </c>
      <c r="D1839" s="8">
        <f>IFERROR(__xludf.DUMMYFUNCTION("""COMPUTED_VALUE"""),1.464)</f>
        <v>1.464</v>
      </c>
      <c r="E1839" s="8" t="str">
        <f>IFERROR(__xludf.DUMMYFUNCTION("""COMPUTED_VALUE"""),"Real")</f>
        <v>Real</v>
      </c>
      <c r="G1839" s="8">
        <f t="shared" si="1"/>
        <v>1</v>
      </c>
      <c r="H1839" s="14">
        <f t="shared" si="2"/>
        <v>16</v>
      </c>
      <c r="I1839" s="15">
        <f t="shared" si="3"/>
        <v>14</v>
      </c>
    </row>
    <row r="1840">
      <c r="A1840" s="8" t="str">
        <f>IFERROR(__xludf.DUMMYFUNCTION("IF('(INGESTA)Datos_consumo_datadis'!A1840&lt;&gt;"""",SPLIT('(INGESTA)Datos_consumo_datadis'!A:A,"",""),"""")"),"ES0031408323131005HX0F")</f>
        <v>ES0031408323131005HX0F</v>
      </c>
      <c r="B1840" s="12">
        <f>IFERROR(__xludf.DUMMYFUNCTION("""COMPUTED_VALUE"""),44942.0)</f>
        <v>44942</v>
      </c>
      <c r="C1840" s="13">
        <f>IFERROR(__xludf.DUMMYFUNCTION("""COMPUTED_VALUE"""),0.625)</f>
        <v>0.625</v>
      </c>
      <c r="D1840" s="8">
        <f>IFERROR(__xludf.DUMMYFUNCTION("""COMPUTED_VALUE"""),1.138)</f>
        <v>1.138</v>
      </c>
      <c r="E1840" s="8" t="str">
        <f>IFERROR(__xludf.DUMMYFUNCTION("""COMPUTED_VALUE"""),"Real")</f>
        <v>Real</v>
      </c>
      <c r="G1840" s="8">
        <f t="shared" si="1"/>
        <v>1</v>
      </c>
      <c r="H1840" s="14">
        <f t="shared" si="2"/>
        <v>16</v>
      </c>
      <c r="I1840" s="15">
        <f t="shared" si="3"/>
        <v>15</v>
      </c>
    </row>
    <row r="1841">
      <c r="A1841" s="8" t="str">
        <f>IFERROR(__xludf.DUMMYFUNCTION("IF('(INGESTA)Datos_consumo_datadis'!A1841&lt;&gt;"""",SPLIT('(INGESTA)Datos_consumo_datadis'!A:A,"",""),"""")"),"ES0031408323131005HX0F")</f>
        <v>ES0031408323131005HX0F</v>
      </c>
      <c r="B1841" s="12">
        <f>IFERROR(__xludf.DUMMYFUNCTION("""COMPUTED_VALUE"""),44942.0)</f>
        <v>44942</v>
      </c>
      <c r="C1841" s="13">
        <f>IFERROR(__xludf.DUMMYFUNCTION("""COMPUTED_VALUE"""),0.6666666666666666)</f>
        <v>0.6666666667</v>
      </c>
      <c r="D1841" s="8">
        <f>IFERROR(__xludf.DUMMYFUNCTION("""COMPUTED_VALUE"""),0.901)</f>
        <v>0.901</v>
      </c>
      <c r="E1841" s="8" t="str">
        <f>IFERROR(__xludf.DUMMYFUNCTION("""COMPUTED_VALUE"""),"Real")</f>
        <v>Real</v>
      </c>
      <c r="G1841" s="8">
        <f t="shared" si="1"/>
        <v>1</v>
      </c>
      <c r="H1841" s="14">
        <f t="shared" si="2"/>
        <v>16</v>
      </c>
      <c r="I1841" s="15">
        <f t="shared" si="3"/>
        <v>16</v>
      </c>
    </row>
    <row r="1842">
      <c r="A1842" s="8" t="str">
        <f>IFERROR(__xludf.DUMMYFUNCTION("IF('(INGESTA)Datos_consumo_datadis'!A1842&lt;&gt;"""",SPLIT('(INGESTA)Datos_consumo_datadis'!A:A,"",""),"""")"),"ES0031408323131005HX0F")</f>
        <v>ES0031408323131005HX0F</v>
      </c>
      <c r="B1842" s="12">
        <f>IFERROR(__xludf.DUMMYFUNCTION("""COMPUTED_VALUE"""),44942.0)</f>
        <v>44942</v>
      </c>
      <c r="C1842" s="13">
        <f>IFERROR(__xludf.DUMMYFUNCTION("""COMPUTED_VALUE"""),0.7083333333333334)</f>
        <v>0.7083333333</v>
      </c>
      <c r="D1842" s="8">
        <f>IFERROR(__xludf.DUMMYFUNCTION("""COMPUTED_VALUE"""),1.238)</f>
        <v>1.238</v>
      </c>
      <c r="E1842" s="8" t="str">
        <f>IFERROR(__xludf.DUMMYFUNCTION("""COMPUTED_VALUE"""),"Real")</f>
        <v>Real</v>
      </c>
      <c r="G1842" s="8">
        <f t="shared" si="1"/>
        <v>1</v>
      </c>
      <c r="H1842" s="14">
        <f t="shared" si="2"/>
        <v>16</v>
      </c>
      <c r="I1842" s="15">
        <f t="shared" si="3"/>
        <v>17</v>
      </c>
    </row>
    <row r="1843">
      <c r="A1843" s="8" t="str">
        <f>IFERROR(__xludf.DUMMYFUNCTION("IF('(INGESTA)Datos_consumo_datadis'!A1843&lt;&gt;"""",SPLIT('(INGESTA)Datos_consumo_datadis'!A:A,"",""),"""")"),"ES0031408323131005HX0F")</f>
        <v>ES0031408323131005HX0F</v>
      </c>
      <c r="B1843" s="12">
        <f>IFERROR(__xludf.DUMMYFUNCTION("""COMPUTED_VALUE"""),44942.0)</f>
        <v>44942</v>
      </c>
      <c r="C1843" s="13">
        <f>IFERROR(__xludf.DUMMYFUNCTION("""COMPUTED_VALUE"""),0.75)</f>
        <v>0.75</v>
      </c>
      <c r="D1843" s="8">
        <f>IFERROR(__xludf.DUMMYFUNCTION("""COMPUTED_VALUE"""),0.745)</f>
        <v>0.745</v>
      </c>
      <c r="E1843" s="8" t="str">
        <f>IFERROR(__xludf.DUMMYFUNCTION("""COMPUTED_VALUE"""),"Real")</f>
        <v>Real</v>
      </c>
      <c r="G1843" s="8">
        <f t="shared" si="1"/>
        <v>1</v>
      </c>
      <c r="H1843" s="14">
        <f t="shared" si="2"/>
        <v>16</v>
      </c>
      <c r="I1843" s="15">
        <f t="shared" si="3"/>
        <v>18</v>
      </c>
    </row>
    <row r="1844">
      <c r="A1844" s="8" t="str">
        <f>IFERROR(__xludf.DUMMYFUNCTION("IF('(INGESTA)Datos_consumo_datadis'!A1844&lt;&gt;"""",SPLIT('(INGESTA)Datos_consumo_datadis'!A:A,"",""),"""")"),"ES0031408323131005HX0F")</f>
        <v>ES0031408323131005HX0F</v>
      </c>
      <c r="B1844" s="12">
        <f>IFERROR(__xludf.DUMMYFUNCTION("""COMPUTED_VALUE"""),44942.0)</f>
        <v>44942</v>
      </c>
      <c r="C1844" s="13">
        <f>IFERROR(__xludf.DUMMYFUNCTION("""COMPUTED_VALUE"""),0.7916666666666666)</f>
        <v>0.7916666667</v>
      </c>
      <c r="D1844" s="8">
        <f>IFERROR(__xludf.DUMMYFUNCTION("""COMPUTED_VALUE"""),1.29)</f>
        <v>1.29</v>
      </c>
      <c r="E1844" s="8" t="str">
        <f>IFERROR(__xludf.DUMMYFUNCTION("""COMPUTED_VALUE"""),"Real")</f>
        <v>Real</v>
      </c>
      <c r="G1844" s="8">
        <f t="shared" si="1"/>
        <v>1</v>
      </c>
      <c r="H1844" s="14">
        <f t="shared" si="2"/>
        <v>16</v>
      </c>
      <c r="I1844" s="15">
        <f t="shared" si="3"/>
        <v>19</v>
      </c>
    </row>
    <row r="1845">
      <c r="A1845" s="8" t="str">
        <f>IFERROR(__xludf.DUMMYFUNCTION("IF('(INGESTA)Datos_consumo_datadis'!A1845&lt;&gt;"""",SPLIT('(INGESTA)Datos_consumo_datadis'!A:A,"",""),"""")"),"ES0031408323131005HX0F")</f>
        <v>ES0031408323131005HX0F</v>
      </c>
      <c r="B1845" s="12">
        <f>IFERROR(__xludf.DUMMYFUNCTION("""COMPUTED_VALUE"""),44942.0)</f>
        <v>44942</v>
      </c>
      <c r="C1845" s="13">
        <f>IFERROR(__xludf.DUMMYFUNCTION("""COMPUTED_VALUE"""),0.8333333333333334)</f>
        <v>0.8333333333</v>
      </c>
      <c r="D1845" s="8">
        <f>IFERROR(__xludf.DUMMYFUNCTION("""COMPUTED_VALUE"""),0.868)</f>
        <v>0.868</v>
      </c>
      <c r="E1845" s="8" t="str">
        <f>IFERROR(__xludf.DUMMYFUNCTION("""COMPUTED_VALUE"""),"Real")</f>
        <v>Real</v>
      </c>
      <c r="G1845" s="8">
        <f t="shared" si="1"/>
        <v>1</v>
      </c>
      <c r="H1845" s="14">
        <f t="shared" si="2"/>
        <v>16</v>
      </c>
      <c r="I1845" s="15">
        <f t="shared" si="3"/>
        <v>20</v>
      </c>
    </row>
    <row r="1846">
      <c r="A1846" s="8" t="str">
        <f>IFERROR(__xludf.DUMMYFUNCTION("IF('(INGESTA)Datos_consumo_datadis'!A1846&lt;&gt;"""",SPLIT('(INGESTA)Datos_consumo_datadis'!A:A,"",""),"""")"),"ES0031408323131005HX0F")</f>
        <v>ES0031408323131005HX0F</v>
      </c>
      <c r="B1846" s="12">
        <f>IFERROR(__xludf.DUMMYFUNCTION("""COMPUTED_VALUE"""),44942.0)</f>
        <v>44942</v>
      </c>
      <c r="C1846" s="13">
        <f>IFERROR(__xludf.DUMMYFUNCTION("""COMPUTED_VALUE"""),0.875)</f>
        <v>0.875</v>
      </c>
      <c r="D1846" s="8">
        <f>IFERROR(__xludf.DUMMYFUNCTION("""COMPUTED_VALUE"""),1.149)</f>
        <v>1.149</v>
      </c>
      <c r="E1846" s="8" t="str">
        <f>IFERROR(__xludf.DUMMYFUNCTION("""COMPUTED_VALUE"""),"Real")</f>
        <v>Real</v>
      </c>
      <c r="G1846" s="8">
        <f t="shared" si="1"/>
        <v>1</v>
      </c>
      <c r="H1846" s="14">
        <f t="shared" si="2"/>
        <v>16</v>
      </c>
      <c r="I1846" s="15">
        <f t="shared" si="3"/>
        <v>21</v>
      </c>
    </row>
    <row r="1847">
      <c r="A1847" s="8" t="str">
        <f>IFERROR(__xludf.DUMMYFUNCTION("IF('(INGESTA)Datos_consumo_datadis'!A1847&lt;&gt;"""",SPLIT('(INGESTA)Datos_consumo_datadis'!A:A,"",""),"""")"),"ES0031408323131005HX0F")</f>
        <v>ES0031408323131005HX0F</v>
      </c>
      <c r="B1847" s="12">
        <f>IFERROR(__xludf.DUMMYFUNCTION("""COMPUTED_VALUE"""),44942.0)</f>
        <v>44942</v>
      </c>
      <c r="C1847" s="13">
        <f>IFERROR(__xludf.DUMMYFUNCTION("""COMPUTED_VALUE"""),0.9166666666666666)</f>
        <v>0.9166666667</v>
      </c>
      <c r="D1847" s="8">
        <f>IFERROR(__xludf.DUMMYFUNCTION("""COMPUTED_VALUE"""),1.323)</f>
        <v>1.323</v>
      </c>
      <c r="E1847" s="8" t="str">
        <f>IFERROR(__xludf.DUMMYFUNCTION("""COMPUTED_VALUE"""),"Real")</f>
        <v>Real</v>
      </c>
      <c r="G1847" s="8">
        <f t="shared" si="1"/>
        <v>1</v>
      </c>
      <c r="H1847" s="14">
        <f t="shared" si="2"/>
        <v>16</v>
      </c>
      <c r="I1847" s="15">
        <f t="shared" si="3"/>
        <v>22</v>
      </c>
    </row>
    <row r="1848">
      <c r="A1848" s="8" t="str">
        <f>IFERROR(__xludf.DUMMYFUNCTION("IF('(INGESTA)Datos_consumo_datadis'!A1848&lt;&gt;"""",SPLIT('(INGESTA)Datos_consumo_datadis'!A:A,"",""),"""")"),"ES0031408323131005HX0F")</f>
        <v>ES0031408323131005HX0F</v>
      </c>
      <c r="B1848" s="12">
        <f>IFERROR(__xludf.DUMMYFUNCTION("""COMPUTED_VALUE"""),44942.0)</f>
        <v>44942</v>
      </c>
      <c r="C1848" s="13">
        <f>IFERROR(__xludf.DUMMYFUNCTION("""COMPUTED_VALUE"""),0.9583333333333334)</f>
        <v>0.9583333333</v>
      </c>
      <c r="D1848" s="8">
        <f>IFERROR(__xludf.DUMMYFUNCTION("""COMPUTED_VALUE"""),1.204)</f>
        <v>1.204</v>
      </c>
      <c r="E1848" s="8" t="str">
        <f>IFERROR(__xludf.DUMMYFUNCTION("""COMPUTED_VALUE"""),"Real")</f>
        <v>Real</v>
      </c>
      <c r="G1848" s="8">
        <f t="shared" si="1"/>
        <v>1</v>
      </c>
      <c r="H1848" s="14">
        <f t="shared" si="2"/>
        <v>16</v>
      </c>
      <c r="I1848" s="15">
        <f t="shared" si="3"/>
        <v>23</v>
      </c>
    </row>
    <row r="1849">
      <c r="A1849" s="8" t="str">
        <f>IFERROR(__xludf.DUMMYFUNCTION("IF('(INGESTA)Datos_consumo_datadis'!A1849&lt;&gt;"""",SPLIT('(INGESTA)Datos_consumo_datadis'!A:A,"",""),"""")"),"ES0031408323131005HX0F")</f>
        <v>ES0031408323131005HX0F</v>
      </c>
      <c r="B1849" s="12">
        <f>IFERROR(__xludf.DUMMYFUNCTION("""COMPUTED_VALUE"""),44942.0)</f>
        <v>44942</v>
      </c>
      <c r="C1849" s="16">
        <f>IFERROR(__xludf.DUMMYFUNCTION("""COMPUTED_VALUE"""),1.0)</f>
        <v>1</v>
      </c>
      <c r="D1849" s="8">
        <f>IFERROR(__xludf.DUMMYFUNCTION("""COMPUTED_VALUE"""),1.468)</f>
        <v>1.468</v>
      </c>
      <c r="E1849" s="8" t="str">
        <f>IFERROR(__xludf.DUMMYFUNCTION("""COMPUTED_VALUE"""),"Real")</f>
        <v>Real</v>
      </c>
      <c r="G1849" s="8">
        <f t="shared" si="1"/>
        <v>1</v>
      </c>
      <c r="H1849" s="14">
        <f t="shared" si="2"/>
        <v>16</v>
      </c>
      <c r="I1849" s="15">
        <f t="shared" si="3"/>
        <v>0</v>
      </c>
    </row>
    <row r="1850">
      <c r="A1850" s="8" t="str">
        <f>IFERROR(__xludf.DUMMYFUNCTION("IF('(INGESTA)Datos_consumo_datadis'!A1850&lt;&gt;"""",SPLIT('(INGESTA)Datos_consumo_datadis'!A:A,"",""),"""")"),"ES0031408323131005HX0F")</f>
        <v>ES0031408323131005HX0F</v>
      </c>
      <c r="B1850" s="12">
        <f>IFERROR(__xludf.DUMMYFUNCTION("""COMPUTED_VALUE"""),44943.0)</f>
        <v>44943</v>
      </c>
      <c r="C1850" s="13">
        <f>IFERROR(__xludf.DUMMYFUNCTION("""COMPUTED_VALUE"""),0.041666666666666664)</f>
        <v>0.04166666667</v>
      </c>
      <c r="D1850" s="8">
        <f>IFERROR(__xludf.DUMMYFUNCTION("""COMPUTED_VALUE"""),1.416)</f>
        <v>1.416</v>
      </c>
      <c r="E1850" s="8" t="str">
        <f>IFERROR(__xludf.DUMMYFUNCTION("""COMPUTED_VALUE"""),"Real")</f>
        <v>Real</v>
      </c>
      <c r="G1850" s="8">
        <f t="shared" si="1"/>
        <v>1</v>
      </c>
      <c r="H1850" s="14">
        <f t="shared" si="2"/>
        <v>17</v>
      </c>
      <c r="I1850" s="15">
        <f t="shared" si="3"/>
        <v>1</v>
      </c>
    </row>
    <row r="1851">
      <c r="A1851" s="8" t="str">
        <f>IFERROR(__xludf.DUMMYFUNCTION("IF('(INGESTA)Datos_consumo_datadis'!A1851&lt;&gt;"""",SPLIT('(INGESTA)Datos_consumo_datadis'!A:A,"",""),"""")"),"ES0031408323131005HX0F")</f>
        <v>ES0031408323131005HX0F</v>
      </c>
      <c r="B1851" s="12">
        <f>IFERROR(__xludf.DUMMYFUNCTION("""COMPUTED_VALUE"""),44943.0)</f>
        <v>44943</v>
      </c>
      <c r="C1851" s="13">
        <f>IFERROR(__xludf.DUMMYFUNCTION("""COMPUTED_VALUE"""),0.08333333333333333)</f>
        <v>0.08333333333</v>
      </c>
      <c r="D1851" s="8">
        <f>IFERROR(__xludf.DUMMYFUNCTION("""COMPUTED_VALUE"""),1.635)</f>
        <v>1.635</v>
      </c>
      <c r="E1851" s="8" t="str">
        <f>IFERROR(__xludf.DUMMYFUNCTION("""COMPUTED_VALUE"""),"Real")</f>
        <v>Real</v>
      </c>
      <c r="G1851" s="8">
        <f t="shared" si="1"/>
        <v>1</v>
      </c>
      <c r="H1851" s="14">
        <f t="shared" si="2"/>
        <v>17</v>
      </c>
      <c r="I1851" s="15">
        <f t="shared" si="3"/>
        <v>2</v>
      </c>
    </row>
    <row r="1852">
      <c r="A1852" s="8" t="str">
        <f>IFERROR(__xludf.DUMMYFUNCTION("IF('(INGESTA)Datos_consumo_datadis'!A1852&lt;&gt;"""",SPLIT('(INGESTA)Datos_consumo_datadis'!A:A,"",""),"""")"),"ES0031408323131005HX0F")</f>
        <v>ES0031408323131005HX0F</v>
      </c>
      <c r="B1852" s="12">
        <f>IFERROR(__xludf.DUMMYFUNCTION("""COMPUTED_VALUE"""),44943.0)</f>
        <v>44943</v>
      </c>
      <c r="C1852" s="13">
        <f>IFERROR(__xludf.DUMMYFUNCTION("""COMPUTED_VALUE"""),0.125)</f>
        <v>0.125</v>
      </c>
      <c r="D1852" s="8">
        <f>IFERROR(__xludf.DUMMYFUNCTION("""COMPUTED_VALUE"""),1.387)</f>
        <v>1.387</v>
      </c>
      <c r="E1852" s="8" t="str">
        <f>IFERROR(__xludf.DUMMYFUNCTION("""COMPUTED_VALUE"""),"Real")</f>
        <v>Real</v>
      </c>
      <c r="G1852" s="8">
        <f t="shared" si="1"/>
        <v>1</v>
      </c>
      <c r="H1852" s="14">
        <f t="shared" si="2"/>
        <v>17</v>
      </c>
      <c r="I1852" s="15">
        <f t="shared" si="3"/>
        <v>3</v>
      </c>
    </row>
    <row r="1853">
      <c r="A1853" s="8" t="str">
        <f>IFERROR(__xludf.DUMMYFUNCTION("IF('(INGESTA)Datos_consumo_datadis'!A1853&lt;&gt;"""",SPLIT('(INGESTA)Datos_consumo_datadis'!A:A,"",""),"""")"),"ES0031408323131005HX0F")</f>
        <v>ES0031408323131005HX0F</v>
      </c>
      <c r="B1853" s="12">
        <f>IFERROR(__xludf.DUMMYFUNCTION("""COMPUTED_VALUE"""),44943.0)</f>
        <v>44943</v>
      </c>
      <c r="C1853" s="13">
        <f>IFERROR(__xludf.DUMMYFUNCTION("""COMPUTED_VALUE"""),0.16666666666666666)</f>
        <v>0.1666666667</v>
      </c>
      <c r="D1853" s="8">
        <f>IFERROR(__xludf.DUMMYFUNCTION("""COMPUTED_VALUE"""),1.329)</f>
        <v>1.329</v>
      </c>
      <c r="E1853" s="8" t="str">
        <f>IFERROR(__xludf.DUMMYFUNCTION("""COMPUTED_VALUE"""),"Real")</f>
        <v>Real</v>
      </c>
      <c r="G1853" s="8">
        <f t="shared" si="1"/>
        <v>1</v>
      </c>
      <c r="H1853" s="14">
        <f t="shared" si="2"/>
        <v>17</v>
      </c>
      <c r="I1853" s="15">
        <f t="shared" si="3"/>
        <v>4</v>
      </c>
    </row>
    <row r="1854">
      <c r="A1854" s="8" t="str">
        <f>IFERROR(__xludf.DUMMYFUNCTION("IF('(INGESTA)Datos_consumo_datadis'!A1854&lt;&gt;"""",SPLIT('(INGESTA)Datos_consumo_datadis'!A:A,"",""),"""")"),"ES0031408323131005HX0F")</f>
        <v>ES0031408323131005HX0F</v>
      </c>
      <c r="B1854" s="12">
        <f>IFERROR(__xludf.DUMMYFUNCTION("""COMPUTED_VALUE"""),44943.0)</f>
        <v>44943</v>
      </c>
      <c r="C1854" s="13">
        <f>IFERROR(__xludf.DUMMYFUNCTION("""COMPUTED_VALUE"""),0.20833333333333334)</f>
        <v>0.2083333333</v>
      </c>
      <c r="D1854" s="8">
        <f>IFERROR(__xludf.DUMMYFUNCTION("""COMPUTED_VALUE"""),1.39)</f>
        <v>1.39</v>
      </c>
      <c r="E1854" s="8" t="str">
        <f>IFERROR(__xludf.DUMMYFUNCTION("""COMPUTED_VALUE"""),"Real")</f>
        <v>Real</v>
      </c>
      <c r="G1854" s="8">
        <f t="shared" si="1"/>
        <v>1</v>
      </c>
      <c r="H1854" s="14">
        <f t="shared" si="2"/>
        <v>17</v>
      </c>
      <c r="I1854" s="15">
        <f t="shared" si="3"/>
        <v>5</v>
      </c>
    </row>
    <row r="1855">
      <c r="A1855" s="8" t="str">
        <f>IFERROR(__xludf.DUMMYFUNCTION("IF('(INGESTA)Datos_consumo_datadis'!A1855&lt;&gt;"""",SPLIT('(INGESTA)Datos_consumo_datadis'!A:A,"",""),"""")"),"ES0031408323131005HX0F")</f>
        <v>ES0031408323131005HX0F</v>
      </c>
      <c r="B1855" s="12">
        <f>IFERROR(__xludf.DUMMYFUNCTION("""COMPUTED_VALUE"""),44943.0)</f>
        <v>44943</v>
      </c>
      <c r="C1855" s="13">
        <f>IFERROR(__xludf.DUMMYFUNCTION("""COMPUTED_VALUE"""),0.25)</f>
        <v>0.25</v>
      </c>
      <c r="D1855" s="8">
        <f>IFERROR(__xludf.DUMMYFUNCTION("""COMPUTED_VALUE"""),1.36)</f>
        <v>1.36</v>
      </c>
      <c r="E1855" s="8" t="str">
        <f>IFERROR(__xludf.DUMMYFUNCTION("""COMPUTED_VALUE"""),"Real")</f>
        <v>Real</v>
      </c>
      <c r="G1855" s="8">
        <f t="shared" si="1"/>
        <v>1</v>
      </c>
      <c r="H1855" s="14">
        <f t="shared" si="2"/>
        <v>17</v>
      </c>
      <c r="I1855" s="15">
        <f t="shared" si="3"/>
        <v>6</v>
      </c>
    </row>
    <row r="1856">
      <c r="A1856" s="8" t="str">
        <f>IFERROR(__xludf.DUMMYFUNCTION("IF('(INGESTA)Datos_consumo_datadis'!A1856&lt;&gt;"""",SPLIT('(INGESTA)Datos_consumo_datadis'!A:A,"",""),"""")"),"ES0031408323131005HX0F")</f>
        <v>ES0031408323131005HX0F</v>
      </c>
      <c r="B1856" s="12">
        <f>IFERROR(__xludf.DUMMYFUNCTION("""COMPUTED_VALUE"""),44943.0)</f>
        <v>44943</v>
      </c>
      <c r="C1856" s="13">
        <f>IFERROR(__xludf.DUMMYFUNCTION("""COMPUTED_VALUE"""),0.2916666666666667)</f>
        <v>0.2916666667</v>
      </c>
      <c r="D1856" s="8">
        <f>IFERROR(__xludf.DUMMYFUNCTION("""COMPUTED_VALUE"""),1.282)</f>
        <v>1.282</v>
      </c>
      <c r="E1856" s="8" t="str">
        <f>IFERROR(__xludf.DUMMYFUNCTION("""COMPUTED_VALUE"""),"Real")</f>
        <v>Real</v>
      </c>
      <c r="G1856" s="8">
        <f t="shared" si="1"/>
        <v>1</v>
      </c>
      <c r="H1856" s="14">
        <f t="shared" si="2"/>
        <v>17</v>
      </c>
      <c r="I1856" s="15">
        <f t="shared" si="3"/>
        <v>7</v>
      </c>
    </row>
    <row r="1857">
      <c r="A1857" s="8" t="str">
        <f>IFERROR(__xludf.DUMMYFUNCTION("IF('(INGESTA)Datos_consumo_datadis'!A1857&lt;&gt;"""",SPLIT('(INGESTA)Datos_consumo_datadis'!A:A,"",""),"""")"),"ES0031408323131005HX0F")</f>
        <v>ES0031408323131005HX0F</v>
      </c>
      <c r="B1857" s="12">
        <f>IFERROR(__xludf.DUMMYFUNCTION("""COMPUTED_VALUE"""),44943.0)</f>
        <v>44943</v>
      </c>
      <c r="C1857" s="13">
        <f>IFERROR(__xludf.DUMMYFUNCTION("""COMPUTED_VALUE"""),0.3333333333333333)</f>
        <v>0.3333333333</v>
      </c>
      <c r="D1857" s="8">
        <f>IFERROR(__xludf.DUMMYFUNCTION("""COMPUTED_VALUE"""),1.147)</f>
        <v>1.147</v>
      </c>
      <c r="E1857" s="8" t="str">
        <f>IFERROR(__xludf.DUMMYFUNCTION("""COMPUTED_VALUE"""),"Real")</f>
        <v>Real</v>
      </c>
      <c r="G1857" s="8">
        <f t="shared" si="1"/>
        <v>1</v>
      </c>
      <c r="H1857" s="14">
        <f t="shared" si="2"/>
        <v>17</v>
      </c>
      <c r="I1857" s="15">
        <f t="shared" si="3"/>
        <v>8</v>
      </c>
    </row>
    <row r="1858">
      <c r="A1858" s="8" t="str">
        <f>IFERROR(__xludf.DUMMYFUNCTION("IF('(INGESTA)Datos_consumo_datadis'!A1858&lt;&gt;"""",SPLIT('(INGESTA)Datos_consumo_datadis'!A:A,"",""),"""")"),"ES0031408323131005HX0F")</f>
        <v>ES0031408323131005HX0F</v>
      </c>
      <c r="B1858" s="12">
        <f>IFERROR(__xludf.DUMMYFUNCTION("""COMPUTED_VALUE"""),44943.0)</f>
        <v>44943</v>
      </c>
      <c r="C1858" s="13">
        <f>IFERROR(__xludf.DUMMYFUNCTION("""COMPUTED_VALUE"""),0.375)</f>
        <v>0.375</v>
      </c>
      <c r="D1858" s="8">
        <f>IFERROR(__xludf.DUMMYFUNCTION("""COMPUTED_VALUE"""),0.098)</f>
        <v>0.098</v>
      </c>
      <c r="E1858" s="8" t="str">
        <f>IFERROR(__xludf.DUMMYFUNCTION("""COMPUTED_VALUE"""),"Real")</f>
        <v>Real</v>
      </c>
      <c r="G1858" s="8">
        <f t="shared" si="1"/>
        <v>1</v>
      </c>
      <c r="H1858" s="14">
        <f t="shared" si="2"/>
        <v>17</v>
      </c>
      <c r="I1858" s="15">
        <f t="shared" si="3"/>
        <v>9</v>
      </c>
    </row>
    <row r="1859">
      <c r="A1859" s="8" t="str">
        <f>IFERROR(__xludf.DUMMYFUNCTION("IF('(INGESTA)Datos_consumo_datadis'!A1859&lt;&gt;"""",SPLIT('(INGESTA)Datos_consumo_datadis'!A:A,"",""),"""")"),"ES0031408323131005HX0F")</f>
        <v>ES0031408323131005HX0F</v>
      </c>
      <c r="B1859" s="12">
        <f>IFERROR(__xludf.DUMMYFUNCTION("""COMPUTED_VALUE"""),44943.0)</f>
        <v>44943</v>
      </c>
      <c r="C1859" s="13">
        <f>IFERROR(__xludf.DUMMYFUNCTION("""COMPUTED_VALUE"""),0.4166666666666667)</f>
        <v>0.4166666667</v>
      </c>
      <c r="D1859" s="8">
        <f>IFERROR(__xludf.DUMMYFUNCTION("""COMPUTED_VALUE"""),0.273)</f>
        <v>0.273</v>
      </c>
      <c r="E1859" s="8" t="str">
        <f>IFERROR(__xludf.DUMMYFUNCTION("""COMPUTED_VALUE"""),"Real")</f>
        <v>Real</v>
      </c>
      <c r="G1859" s="8">
        <f t="shared" si="1"/>
        <v>1</v>
      </c>
      <c r="H1859" s="14">
        <f t="shared" si="2"/>
        <v>17</v>
      </c>
      <c r="I1859" s="15">
        <f t="shared" si="3"/>
        <v>10</v>
      </c>
    </row>
    <row r="1860">
      <c r="A1860" s="8" t="str">
        <f>IFERROR(__xludf.DUMMYFUNCTION("IF('(INGESTA)Datos_consumo_datadis'!A1860&lt;&gt;"""",SPLIT('(INGESTA)Datos_consumo_datadis'!A:A,"",""),"""")"),"ES0031408323131005HX0F")</f>
        <v>ES0031408323131005HX0F</v>
      </c>
      <c r="B1860" s="12">
        <f>IFERROR(__xludf.DUMMYFUNCTION("""COMPUTED_VALUE"""),44943.0)</f>
        <v>44943</v>
      </c>
      <c r="C1860" s="13">
        <f>IFERROR(__xludf.DUMMYFUNCTION("""COMPUTED_VALUE"""),0.4583333333333333)</f>
        <v>0.4583333333</v>
      </c>
      <c r="D1860" s="8">
        <f>IFERROR(__xludf.DUMMYFUNCTION("""COMPUTED_VALUE"""),0.489)</f>
        <v>0.489</v>
      </c>
      <c r="E1860" s="8" t="str">
        <f>IFERROR(__xludf.DUMMYFUNCTION("""COMPUTED_VALUE"""),"Real")</f>
        <v>Real</v>
      </c>
      <c r="G1860" s="8">
        <f t="shared" si="1"/>
        <v>1</v>
      </c>
      <c r="H1860" s="14">
        <f t="shared" si="2"/>
        <v>17</v>
      </c>
      <c r="I1860" s="15">
        <f t="shared" si="3"/>
        <v>11</v>
      </c>
    </row>
    <row r="1861">
      <c r="A1861" s="8" t="str">
        <f>IFERROR(__xludf.DUMMYFUNCTION("IF('(INGESTA)Datos_consumo_datadis'!A1861&lt;&gt;"""",SPLIT('(INGESTA)Datos_consumo_datadis'!A:A,"",""),"""")"),"ES0031408323131005HX0F")</f>
        <v>ES0031408323131005HX0F</v>
      </c>
      <c r="B1861" s="12">
        <f>IFERROR(__xludf.DUMMYFUNCTION("""COMPUTED_VALUE"""),44943.0)</f>
        <v>44943</v>
      </c>
      <c r="C1861" s="13">
        <f>IFERROR(__xludf.DUMMYFUNCTION("""COMPUTED_VALUE"""),0.5)</f>
        <v>0.5</v>
      </c>
      <c r="D1861" s="8">
        <f>IFERROR(__xludf.DUMMYFUNCTION("""COMPUTED_VALUE"""),2.109)</f>
        <v>2.109</v>
      </c>
      <c r="E1861" s="8" t="str">
        <f>IFERROR(__xludf.DUMMYFUNCTION("""COMPUTED_VALUE"""),"Real")</f>
        <v>Real</v>
      </c>
      <c r="G1861" s="8">
        <f t="shared" si="1"/>
        <v>1</v>
      </c>
      <c r="H1861" s="14">
        <f t="shared" si="2"/>
        <v>17</v>
      </c>
      <c r="I1861" s="15">
        <f t="shared" si="3"/>
        <v>12</v>
      </c>
    </row>
    <row r="1862">
      <c r="A1862" s="8" t="str">
        <f>IFERROR(__xludf.DUMMYFUNCTION("IF('(INGESTA)Datos_consumo_datadis'!A1862&lt;&gt;"""",SPLIT('(INGESTA)Datos_consumo_datadis'!A:A,"",""),"""")"),"ES0031408323131005HX0F")</f>
        <v>ES0031408323131005HX0F</v>
      </c>
      <c r="B1862" s="12">
        <f>IFERROR(__xludf.DUMMYFUNCTION("""COMPUTED_VALUE"""),44943.0)</f>
        <v>44943</v>
      </c>
      <c r="C1862" s="13">
        <f>IFERROR(__xludf.DUMMYFUNCTION("""COMPUTED_VALUE"""),0.5416666666666666)</f>
        <v>0.5416666667</v>
      </c>
      <c r="D1862" s="8">
        <f>IFERROR(__xludf.DUMMYFUNCTION("""COMPUTED_VALUE"""),0.093)</f>
        <v>0.093</v>
      </c>
      <c r="E1862" s="8" t="str">
        <f>IFERROR(__xludf.DUMMYFUNCTION("""COMPUTED_VALUE"""),"Real")</f>
        <v>Real</v>
      </c>
      <c r="G1862" s="8">
        <f t="shared" si="1"/>
        <v>1</v>
      </c>
      <c r="H1862" s="14">
        <f t="shared" si="2"/>
        <v>17</v>
      </c>
      <c r="I1862" s="15">
        <f t="shared" si="3"/>
        <v>13</v>
      </c>
    </row>
    <row r="1863">
      <c r="A1863" s="8" t="str">
        <f>IFERROR(__xludf.DUMMYFUNCTION("IF('(INGESTA)Datos_consumo_datadis'!A1863&lt;&gt;"""",SPLIT('(INGESTA)Datos_consumo_datadis'!A:A,"",""),"""")"),"ES0031408323131005HX0F")</f>
        <v>ES0031408323131005HX0F</v>
      </c>
      <c r="B1863" s="12">
        <f>IFERROR(__xludf.DUMMYFUNCTION("""COMPUTED_VALUE"""),44943.0)</f>
        <v>44943</v>
      </c>
      <c r="C1863" s="13">
        <f>IFERROR(__xludf.DUMMYFUNCTION("""COMPUTED_VALUE"""),0.5833333333333334)</f>
        <v>0.5833333333</v>
      </c>
      <c r="D1863" s="8">
        <f>IFERROR(__xludf.DUMMYFUNCTION("""COMPUTED_VALUE"""),0.041)</f>
        <v>0.041</v>
      </c>
      <c r="E1863" s="8" t="str">
        <f>IFERROR(__xludf.DUMMYFUNCTION("""COMPUTED_VALUE"""),"Real")</f>
        <v>Real</v>
      </c>
      <c r="G1863" s="8">
        <f t="shared" si="1"/>
        <v>1</v>
      </c>
      <c r="H1863" s="14">
        <f t="shared" si="2"/>
        <v>17</v>
      </c>
      <c r="I1863" s="15">
        <f t="shared" si="3"/>
        <v>14</v>
      </c>
    </row>
    <row r="1864">
      <c r="A1864" s="8" t="str">
        <f>IFERROR(__xludf.DUMMYFUNCTION("IF('(INGESTA)Datos_consumo_datadis'!A1864&lt;&gt;"""",SPLIT('(INGESTA)Datos_consumo_datadis'!A:A,"",""),"""")"),"ES0031408323131005HX0F")</f>
        <v>ES0031408323131005HX0F</v>
      </c>
      <c r="B1864" s="12">
        <f>IFERROR(__xludf.DUMMYFUNCTION("""COMPUTED_VALUE"""),44943.0)</f>
        <v>44943</v>
      </c>
      <c r="C1864" s="13">
        <f>IFERROR(__xludf.DUMMYFUNCTION("""COMPUTED_VALUE"""),0.625)</f>
        <v>0.625</v>
      </c>
      <c r="D1864" s="8">
        <f>IFERROR(__xludf.DUMMYFUNCTION("""COMPUTED_VALUE"""),0.016)</f>
        <v>0.016</v>
      </c>
      <c r="E1864" s="8" t="str">
        <f>IFERROR(__xludf.DUMMYFUNCTION("""COMPUTED_VALUE"""),"Real")</f>
        <v>Real</v>
      </c>
      <c r="G1864" s="8">
        <f t="shared" si="1"/>
        <v>1</v>
      </c>
      <c r="H1864" s="14">
        <f t="shared" si="2"/>
        <v>17</v>
      </c>
      <c r="I1864" s="15">
        <f t="shared" si="3"/>
        <v>15</v>
      </c>
    </row>
    <row r="1865">
      <c r="A1865" s="8" t="str">
        <f>IFERROR(__xludf.DUMMYFUNCTION("IF('(INGESTA)Datos_consumo_datadis'!A1865&lt;&gt;"""",SPLIT('(INGESTA)Datos_consumo_datadis'!A:A,"",""),"""")"),"ES0031408323131005HX0F")</f>
        <v>ES0031408323131005HX0F</v>
      </c>
      <c r="B1865" s="12">
        <f>IFERROR(__xludf.DUMMYFUNCTION("""COMPUTED_VALUE"""),44943.0)</f>
        <v>44943</v>
      </c>
      <c r="C1865" s="13">
        <f>IFERROR(__xludf.DUMMYFUNCTION("""COMPUTED_VALUE"""),0.6666666666666666)</f>
        <v>0.6666666667</v>
      </c>
      <c r="D1865" s="8">
        <f>IFERROR(__xludf.DUMMYFUNCTION("""COMPUTED_VALUE"""),0.066)</f>
        <v>0.066</v>
      </c>
      <c r="E1865" s="8" t="str">
        <f>IFERROR(__xludf.DUMMYFUNCTION("""COMPUTED_VALUE"""),"Real")</f>
        <v>Real</v>
      </c>
      <c r="G1865" s="8">
        <f t="shared" si="1"/>
        <v>1</v>
      </c>
      <c r="H1865" s="14">
        <f t="shared" si="2"/>
        <v>17</v>
      </c>
      <c r="I1865" s="15">
        <f t="shared" si="3"/>
        <v>16</v>
      </c>
    </row>
    <row r="1866">
      <c r="A1866" s="8" t="str">
        <f>IFERROR(__xludf.DUMMYFUNCTION("IF('(INGESTA)Datos_consumo_datadis'!A1866&lt;&gt;"""",SPLIT('(INGESTA)Datos_consumo_datadis'!A:A,"",""),"""")"),"ES0031408323131005HX0F")</f>
        <v>ES0031408323131005HX0F</v>
      </c>
      <c r="B1866" s="12">
        <f>IFERROR(__xludf.DUMMYFUNCTION("""COMPUTED_VALUE"""),44943.0)</f>
        <v>44943</v>
      </c>
      <c r="C1866" s="13">
        <f>IFERROR(__xludf.DUMMYFUNCTION("""COMPUTED_VALUE"""),0.7083333333333334)</f>
        <v>0.7083333333</v>
      </c>
      <c r="D1866" s="8">
        <f>IFERROR(__xludf.DUMMYFUNCTION("""COMPUTED_VALUE"""),0.058)</f>
        <v>0.058</v>
      </c>
      <c r="E1866" s="8" t="str">
        <f>IFERROR(__xludf.DUMMYFUNCTION("""COMPUTED_VALUE"""),"Real")</f>
        <v>Real</v>
      </c>
      <c r="G1866" s="8">
        <f t="shared" si="1"/>
        <v>1</v>
      </c>
      <c r="H1866" s="14">
        <f t="shared" si="2"/>
        <v>17</v>
      </c>
      <c r="I1866" s="15">
        <f t="shared" si="3"/>
        <v>17</v>
      </c>
    </row>
    <row r="1867">
      <c r="A1867" s="8" t="str">
        <f>IFERROR(__xludf.DUMMYFUNCTION("IF('(INGESTA)Datos_consumo_datadis'!A1867&lt;&gt;"""",SPLIT('(INGESTA)Datos_consumo_datadis'!A:A,"",""),"""")"),"ES0031408323131005HX0F")</f>
        <v>ES0031408323131005HX0F</v>
      </c>
      <c r="B1867" s="12">
        <f>IFERROR(__xludf.DUMMYFUNCTION("""COMPUTED_VALUE"""),44943.0)</f>
        <v>44943</v>
      </c>
      <c r="C1867" s="13">
        <f>IFERROR(__xludf.DUMMYFUNCTION("""COMPUTED_VALUE"""),0.75)</f>
        <v>0.75</v>
      </c>
      <c r="D1867" s="8">
        <f>IFERROR(__xludf.DUMMYFUNCTION("""COMPUTED_VALUE"""),0.318)</f>
        <v>0.318</v>
      </c>
      <c r="E1867" s="8" t="str">
        <f>IFERROR(__xludf.DUMMYFUNCTION("""COMPUTED_VALUE"""),"Real")</f>
        <v>Real</v>
      </c>
      <c r="G1867" s="8">
        <f t="shared" si="1"/>
        <v>1</v>
      </c>
      <c r="H1867" s="14">
        <f t="shared" si="2"/>
        <v>17</v>
      </c>
      <c r="I1867" s="15">
        <f t="shared" si="3"/>
        <v>18</v>
      </c>
    </row>
    <row r="1868">
      <c r="A1868" s="8" t="str">
        <f>IFERROR(__xludf.DUMMYFUNCTION("IF('(INGESTA)Datos_consumo_datadis'!A1868&lt;&gt;"""",SPLIT('(INGESTA)Datos_consumo_datadis'!A:A,"",""),"""")"),"ES0031408323131005HX0F")</f>
        <v>ES0031408323131005HX0F</v>
      </c>
      <c r="B1868" s="12">
        <f>IFERROR(__xludf.DUMMYFUNCTION("""COMPUTED_VALUE"""),44943.0)</f>
        <v>44943</v>
      </c>
      <c r="C1868" s="13">
        <f>IFERROR(__xludf.DUMMYFUNCTION("""COMPUTED_VALUE"""),0.7916666666666666)</f>
        <v>0.7916666667</v>
      </c>
      <c r="D1868" s="8">
        <f>IFERROR(__xludf.DUMMYFUNCTION("""COMPUTED_VALUE"""),0.016)</f>
        <v>0.016</v>
      </c>
      <c r="E1868" s="8" t="str">
        <f>IFERROR(__xludf.DUMMYFUNCTION("""COMPUTED_VALUE"""),"Real")</f>
        <v>Real</v>
      </c>
      <c r="G1868" s="8">
        <f t="shared" si="1"/>
        <v>1</v>
      </c>
      <c r="H1868" s="14">
        <f t="shared" si="2"/>
        <v>17</v>
      </c>
      <c r="I1868" s="15">
        <f t="shared" si="3"/>
        <v>19</v>
      </c>
    </row>
    <row r="1869">
      <c r="A1869" s="8" t="str">
        <f>IFERROR(__xludf.DUMMYFUNCTION("IF('(INGESTA)Datos_consumo_datadis'!A1869&lt;&gt;"""",SPLIT('(INGESTA)Datos_consumo_datadis'!A:A,"",""),"""")"),"ES0031408323131005HX0F")</f>
        <v>ES0031408323131005HX0F</v>
      </c>
      <c r="B1869" s="12">
        <f>IFERROR(__xludf.DUMMYFUNCTION("""COMPUTED_VALUE"""),44943.0)</f>
        <v>44943</v>
      </c>
      <c r="C1869" s="13">
        <f>IFERROR(__xludf.DUMMYFUNCTION("""COMPUTED_VALUE"""),0.8333333333333334)</f>
        <v>0.8333333333</v>
      </c>
      <c r="D1869" s="8">
        <f>IFERROR(__xludf.DUMMYFUNCTION("""COMPUTED_VALUE"""),0.102)</f>
        <v>0.102</v>
      </c>
      <c r="E1869" s="8" t="str">
        <f>IFERROR(__xludf.DUMMYFUNCTION("""COMPUTED_VALUE"""),"Real")</f>
        <v>Real</v>
      </c>
      <c r="G1869" s="8">
        <f t="shared" si="1"/>
        <v>1</v>
      </c>
      <c r="H1869" s="14">
        <f t="shared" si="2"/>
        <v>17</v>
      </c>
      <c r="I1869" s="15">
        <f t="shared" si="3"/>
        <v>20</v>
      </c>
    </row>
    <row r="1870">
      <c r="A1870" s="8" t="str">
        <f>IFERROR(__xludf.DUMMYFUNCTION("IF('(INGESTA)Datos_consumo_datadis'!A1870&lt;&gt;"""",SPLIT('(INGESTA)Datos_consumo_datadis'!A:A,"",""),"""")"),"ES0031408323131005HX0F")</f>
        <v>ES0031408323131005HX0F</v>
      </c>
      <c r="B1870" s="12">
        <f>IFERROR(__xludf.DUMMYFUNCTION("""COMPUTED_VALUE"""),44943.0)</f>
        <v>44943</v>
      </c>
      <c r="C1870" s="13">
        <f>IFERROR(__xludf.DUMMYFUNCTION("""COMPUTED_VALUE"""),0.875)</f>
        <v>0.875</v>
      </c>
      <c r="D1870" s="8">
        <f>IFERROR(__xludf.DUMMYFUNCTION("""COMPUTED_VALUE"""),0.047)</f>
        <v>0.047</v>
      </c>
      <c r="E1870" s="8" t="str">
        <f>IFERROR(__xludf.DUMMYFUNCTION("""COMPUTED_VALUE"""),"Real")</f>
        <v>Real</v>
      </c>
      <c r="G1870" s="8">
        <f t="shared" si="1"/>
        <v>1</v>
      </c>
      <c r="H1870" s="14">
        <f t="shared" si="2"/>
        <v>17</v>
      </c>
      <c r="I1870" s="15">
        <f t="shared" si="3"/>
        <v>21</v>
      </c>
    </row>
    <row r="1871">
      <c r="A1871" s="8" t="str">
        <f>IFERROR(__xludf.DUMMYFUNCTION("IF('(INGESTA)Datos_consumo_datadis'!A1871&lt;&gt;"""",SPLIT('(INGESTA)Datos_consumo_datadis'!A:A,"",""),"""")"),"ES0031408323131005HX0F")</f>
        <v>ES0031408323131005HX0F</v>
      </c>
      <c r="B1871" s="12">
        <f>IFERROR(__xludf.DUMMYFUNCTION("""COMPUTED_VALUE"""),44943.0)</f>
        <v>44943</v>
      </c>
      <c r="C1871" s="13">
        <f>IFERROR(__xludf.DUMMYFUNCTION("""COMPUTED_VALUE"""),0.9166666666666666)</f>
        <v>0.9166666667</v>
      </c>
      <c r="D1871" s="8">
        <f>IFERROR(__xludf.DUMMYFUNCTION("""COMPUTED_VALUE"""),0.02)</f>
        <v>0.02</v>
      </c>
      <c r="E1871" s="8" t="str">
        <f>IFERROR(__xludf.DUMMYFUNCTION("""COMPUTED_VALUE"""),"Real")</f>
        <v>Real</v>
      </c>
      <c r="G1871" s="8">
        <f t="shared" si="1"/>
        <v>1</v>
      </c>
      <c r="H1871" s="14">
        <f t="shared" si="2"/>
        <v>17</v>
      </c>
      <c r="I1871" s="15">
        <f t="shared" si="3"/>
        <v>22</v>
      </c>
    </row>
    <row r="1872">
      <c r="A1872" s="8" t="str">
        <f>IFERROR(__xludf.DUMMYFUNCTION("IF('(INGESTA)Datos_consumo_datadis'!A1872&lt;&gt;"""",SPLIT('(INGESTA)Datos_consumo_datadis'!A:A,"",""),"""")"),"ES0031408323131005HX0F")</f>
        <v>ES0031408323131005HX0F</v>
      </c>
      <c r="B1872" s="12">
        <f>IFERROR(__xludf.DUMMYFUNCTION("""COMPUTED_VALUE"""),44943.0)</f>
        <v>44943</v>
      </c>
      <c r="C1872" s="13">
        <f>IFERROR(__xludf.DUMMYFUNCTION("""COMPUTED_VALUE"""),0.9583333333333334)</f>
        <v>0.9583333333</v>
      </c>
      <c r="D1872" s="8">
        <f>IFERROR(__xludf.DUMMYFUNCTION("""COMPUTED_VALUE"""),1.474)</f>
        <v>1.474</v>
      </c>
      <c r="E1872" s="8" t="str">
        <f>IFERROR(__xludf.DUMMYFUNCTION("""COMPUTED_VALUE"""),"Real")</f>
        <v>Real</v>
      </c>
      <c r="G1872" s="8">
        <f t="shared" si="1"/>
        <v>1</v>
      </c>
      <c r="H1872" s="14">
        <f t="shared" si="2"/>
        <v>17</v>
      </c>
      <c r="I1872" s="15">
        <f t="shared" si="3"/>
        <v>23</v>
      </c>
    </row>
    <row r="1873">
      <c r="A1873" s="8" t="str">
        <f>IFERROR(__xludf.DUMMYFUNCTION("IF('(INGESTA)Datos_consumo_datadis'!A1873&lt;&gt;"""",SPLIT('(INGESTA)Datos_consumo_datadis'!A:A,"",""),"""")"),"ES0031408323131005HX0F")</f>
        <v>ES0031408323131005HX0F</v>
      </c>
      <c r="B1873" s="12">
        <f>IFERROR(__xludf.DUMMYFUNCTION("""COMPUTED_VALUE"""),44943.0)</f>
        <v>44943</v>
      </c>
      <c r="C1873" s="16">
        <f>IFERROR(__xludf.DUMMYFUNCTION("""COMPUTED_VALUE"""),1.0)</f>
        <v>1</v>
      </c>
      <c r="D1873" s="8">
        <f>IFERROR(__xludf.DUMMYFUNCTION("""COMPUTED_VALUE"""),2.148)</f>
        <v>2.148</v>
      </c>
      <c r="E1873" s="8" t="str">
        <f>IFERROR(__xludf.DUMMYFUNCTION("""COMPUTED_VALUE"""),"Real")</f>
        <v>Real</v>
      </c>
      <c r="G1873" s="8">
        <f t="shared" si="1"/>
        <v>1</v>
      </c>
      <c r="H1873" s="14">
        <f t="shared" si="2"/>
        <v>17</v>
      </c>
      <c r="I1873" s="15">
        <f t="shared" si="3"/>
        <v>0</v>
      </c>
    </row>
    <row r="1874">
      <c r="A1874" s="8" t="str">
        <f>IFERROR(__xludf.DUMMYFUNCTION("IF('(INGESTA)Datos_consumo_datadis'!A1874&lt;&gt;"""",SPLIT('(INGESTA)Datos_consumo_datadis'!A:A,"",""),"""")"),"ES0031408323131005HX0F")</f>
        <v>ES0031408323131005HX0F</v>
      </c>
      <c r="B1874" s="12">
        <f>IFERROR(__xludf.DUMMYFUNCTION("""COMPUTED_VALUE"""),44944.0)</f>
        <v>44944</v>
      </c>
      <c r="C1874" s="13">
        <f>IFERROR(__xludf.DUMMYFUNCTION("""COMPUTED_VALUE"""),0.041666666666666664)</f>
        <v>0.04166666667</v>
      </c>
      <c r="D1874" s="8">
        <f>IFERROR(__xludf.DUMMYFUNCTION("""COMPUTED_VALUE"""),1.573)</f>
        <v>1.573</v>
      </c>
      <c r="E1874" s="8" t="str">
        <f>IFERROR(__xludf.DUMMYFUNCTION("""COMPUTED_VALUE"""),"Real")</f>
        <v>Real</v>
      </c>
      <c r="G1874" s="8">
        <f t="shared" si="1"/>
        <v>1</v>
      </c>
      <c r="H1874" s="14">
        <f t="shared" si="2"/>
        <v>18</v>
      </c>
      <c r="I1874" s="15">
        <f t="shared" si="3"/>
        <v>1</v>
      </c>
    </row>
    <row r="1875">
      <c r="A1875" s="8" t="str">
        <f>IFERROR(__xludf.DUMMYFUNCTION("IF('(INGESTA)Datos_consumo_datadis'!A1875&lt;&gt;"""",SPLIT('(INGESTA)Datos_consumo_datadis'!A:A,"",""),"""")"),"ES0031408323131005HX0F")</f>
        <v>ES0031408323131005HX0F</v>
      </c>
      <c r="B1875" s="12">
        <f>IFERROR(__xludf.DUMMYFUNCTION("""COMPUTED_VALUE"""),44944.0)</f>
        <v>44944</v>
      </c>
      <c r="C1875" s="13">
        <f>IFERROR(__xludf.DUMMYFUNCTION("""COMPUTED_VALUE"""),0.08333333333333333)</f>
        <v>0.08333333333</v>
      </c>
      <c r="D1875" s="8">
        <f>IFERROR(__xludf.DUMMYFUNCTION("""COMPUTED_VALUE"""),1.557)</f>
        <v>1.557</v>
      </c>
      <c r="E1875" s="8" t="str">
        <f>IFERROR(__xludf.DUMMYFUNCTION("""COMPUTED_VALUE"""),"Real")</f>
        <v>Real</v>
      </c>
      <c r="G1875" s="8">
        <f t="shared" si="1"/>
        <v>1</v>
      </c>
      <c r="H1875" s="14">
        <f t="shared" si="2"/>
        <v>18</v>
      </c>
      <c r="I1875" s="15">
        <f t="shared" si="3"/>
        <v>2</v>
      </c>
    </row>
    <row r="1876">
      <c r="A1876" s="8" t="str">
        <f>IFERROR(__xludf.DUMMYFUNCTION("IF('(INGESTA)Datos_consumo_datadis'!A1876&lt;&gt;"""",SPLIT('(INGESTA)Datos_consumo_datadis'!A:A,"",""),"""")"),"ES0031408323131005HX0F")</f>
        <v>ES0031408323131005HX0F</v>
      </c>
      <c r="B1876" s="12">
        <f>IFERROR(__xludf.DUMMYFUNCTION("""COMPUTED_VALUE"""),44944.0)</f>
        <v>44944</v>
      </c>
      <c r="C1876" s="13">
        <f>IFERROR(__xludf.DUMMYFUNCTION("""COMPUTED_VALUE"""),0.125)</f>
        <v>0.125</v>
      </c>
      <c r="D1876" s="8">
        <f>IFERROR(__xludf.DUMMYFUNCTION("""COMPUTED_VALUE"""),1.595)</f>
        <v>1.595</v>
      </c>
      <c r="E1876" s="8" t="str">
        <f>IFERROR(__xludf.DUMMYFUNCTION("""COMPUTED_VALUE"""),"Real")</f>
        <v>Real</v>
      </c>
      <c r="G1876" s="8">
        <f t="shared" si="1"/>
        <v>1</v>
      </c>
      <c r="H1876" s="14">
        <f t="shared" si="2"/>
        <v>18</v>
      </c>
      <c r="I1876" s="15">
        <f t="shared" si="3"/>
        <v>3</v>
      </c>
    </row>
    <row r="1877">
      <c r="A1877" s="8" t="str">
        <f>IFERROR(__xludf.DUMMYFUNCTION("IF('(INGESTA)Datos_consumo_datadis'!A1877&lt;&gt;"""",SPLIT('(INGESTA)Datos_consumo_datadis'!A:A,"",""),"""")"),"ES0031408323131005HX0F")</f>
        <v>ES0031408323131005HX0F</v>
      </c>
      <c r="B1877" s="12">
        <f>IFERROR(__xludf.DUMMYFUNCTION("""COMPUTED_VALUE"""),44944.0)</f>
        <v>44944</v>
      </c>
      <c r="C1877" s="13">
        <f>IFERROR(__xludf.DUMMYFUNCTION("""COMPUTED_VALUE"""),0.16666666666666666)</f>
        <v>0.1666666667</v>
      </c>
      <c r="D1877" s="8">
        <f>IFERROR(__xludf.DUMMYFUNCTION("""COMPUTED_VALUE"""),1.908)</f>
        <v>1.908</v>
      </c>
      <c r="E1877" s="8" t="str">
        <f>IFERROR(__xludf.DUMMYFUNCTION("""COMPUTED_VALUE"""),"Real")</f>
        <v>Real</v>
      </c>
      <c r="G1877" s="8">
        <f t="shared" si="1"/>
        <v>1</v>
      </c>
      <c r="H1877" s="14">
        <f t="shared" si="2"/>
        <v>18</v>
      </c>
      <c r="I1877" s="15">
        <f t="shared" si="3"/>
        <v>4</v>
      </c>
    </row>
    <row r="1878">
      <c r="A1878" s="8" t="str">
        <f>IFERROR(__xludf.DUMMYFUNCTION("IF('(INGESTA)Datos_consumo_datadis'!A1878&lt;&gt;"""",SPLIT('(INGESTA)Datos_consumo_datadis'!A:A,"",""),"""")"),"ES0031408323131005HX0F")</f>
        <v>ES0031408323131005HX0F</v>
      </c>
      <c r="B1878" s="12">
        <f>IFERROR(__xludf.DUMMYFUNCTION("""COMPUTED_VALUE"""),44944.0)</f>
        <v>44944</v>
      </c>
      <c r="C1878" s="13">
        <f>IFERROR(__xludf.DUMMYFUNCTION("""COMPUTED_VALUE"""),0.20833333333333334)</f>
        <v>0.2083333333</v>
      </c>
      <c r="D1878" s="8">
        <f>IFERROR(__xludf.DUMMYFUNCTION("""COMPUTED_VALUE"""),1.633)</f>
        <v>1.633</v>
      </c>
      <c r="E1878" s="8" t="str">
        <f>IFERROR(__xludf.DUMMYFUNCTION("""COMPUTED_VALUE"""),"Real")</f>
        <v>Real</v>
      </c>
      <c r="G1878" s="8">
        <f t="shared" si="1"/>
        <v>1</v>
      </c>
      <c r="H1878" s="14">
        <f t="shared" si="2"/>
        <v>18</v>
      </c>
      <c r="I1878" s="15">
        <f t="shared" si="3"/>
        <v>5</v>
      </c>
    </row>
    <row r="1879">
      <c r="A1879" s="8" t="str">
        <f>IFERROR(__xludf.DUMMYFUNCTION("IF('(INGESTA)Datos_consumo_datadis'!A1879&lt;&gt;"""",SPLIT('(INGESTA)Datos_consumo_datadis'!A:A,"",""),"""")"),"ES0031408323131005HX0F")</f>
        <v>ES0031408323131005HX0F</v>
      </c>
      <c r="B1879" s="12">
        <f>IFERROR(__xludf.DUMMYFUNCTION("""COMPUTED_VALUE"""),44944.0)</f>
        <v>44944</v>
      </c>
      <c r="C1879" s="13">
        <f>IFERROR(__xludf.DUMMYFUNCTION("""COMPUTED_VALUE"""),0.25)</f>
        <v>0.25</v>
      </c>
      <c r="D1879" s="8">
        <f>IFERROR(__xludf.DUMMYFUNCTION("""COMPUTED_VALUE"""),1.538)</f>
        <v>1.538</v>
      </c>
      <c r="E1879" s="8" t="str">
        <f>IFERROR(__xludf.DUMMYFUNCTION("""COMPUTED_VALUE"""),"Real")</f>
        <v>Real</v>
      </c>
      <c r="G1879" s="8">
        <f t="shared" si="1"/>
        <v>1</v>
      </c>
      <c r="H1879" s="14">
        <f t="shared" si="2"/>
        <v>18</v>
      </c>
      <c r="I1879" s="15">
        <f t="shared" si="3"/>
        <v>6</v>
      </c>
    </row>
    <row r="1880">
      <c r="A1880" s="8" t="str">
        <f>IFERROR(__xludf.DUMMYFUNCTION("IF('(INGESTA)Datos_consumo_datadis'!A1880&lt;&gt;"""",SPLIT('(INGESTA)Datos_consumo_datadis'!A:A,"",""),"""")"),"ES0031408323131005HX0F")</f>
        <v>ES0031408323131005HX0F</v>
      </c>
      <c r="B1880" s="12">
        <f>IFERROR(__xludf.DUMMYFUNCTION("""COMPUTED_VALUE"""),44944.0)</f>
        <v>44944</v>
      </c>
      <c r="C1880" s="13">
        <f>IFERROR(__xludf.DUMMYFUNCTION("""COMPUTED_VALUE"""),0.2916666666666667)</f>
        <v>0.2916666667</v>
      </c>
      <c r="D1880" s="8">
        <f>IFERROR(__xludf.DUMMYFUNCTION("""COMPUTED_VALUE"""),1.524)</f>
        <v>1.524</v>
      </c>
      <c r="E1880" s="8" t="str">
        <f>IFERROR(__xludf.DUMMYFUNCTION("""COMPUTED_VALUE"""),"Real")</f>
        <v>Real</v>
      </c>
      <c r="G1880" s="8">
        <f t="shared" si="1"/>
        <v>1</v>
      </c>
      <c r="H1880" s="14">
        <f t="shared" si="2"/>
        <v>18</v>
      </c>
      <c r="I1880" s="15">
        <f t="shared" si="3"/>
        <v>7</v>
      </c>
    </row>
    <row r="1881">
      <c r="A1881" s="8" t="str">
        <f>IFERROR(__xludf.DUMMYFUNCTION("IF('(INGESTA)Datos_consumo_datadis'!A1881&lt;&gt;"""",SPLIT('(INGESTA)Datos_consumo_datadis'!A:A,"",""),"""")"),"ES0031408323131005HX0F")</f>
        <v>ES0031408323131005HX0F</v>
      </c>
      <c r="B1881" s="12">
        <f>IFERROR(__xludf.DUMMYFUNCTION("""COMPUTED_VALUE"""),44944.0)</f>
        <v>44944</v>
      </c>
      <c r="C1881" s="13">
        <f>IFERROR(__xludf.DUMMYFUNCTION("""COMPUTED_VALUE"""),0.3333333333333333)</f>
        <v>0.3333333333</v>
      </c>
      <c r="D1881" s="8">
        <f>IFERROR(__xludf.DUMMYFUNCTION("""COMPUTED_VALUE"""),0.908)</f>
        <v>0.908</v>
      </c>
      <c r="E1881" s="8" t="str">
        <f>IFERROR(__xludf.DUMMYFUNCTION("""COMPUTED_VALUE"""),"Real")</f>
        <v>Real</v>
      </c>
      <c r="G1881" s="8">
        <f t="shared" si="1"/>
        <v>1</v>
      </c>
      <c r="H1881" s="14">
        <f t="shared" si="2"/>
        <v>18</v>
      </c>
      <c r="I1881" s="15">
        <f t="shared" si="3"/>
        <v>8</v>
      </c>
    </row>
    <row r="1882">
      <c r="A1882" s="8" t="str">
        <f>IFERROR(__xludf.DUMMYFUNCTION("IF('(INGESTA)Datos_consumo_datadis'!A1882&lt;&gt;"""",SPLIT('(INGESTA)Datos_consumo_datadis'!A:A,"",""),"""")"),"ES0031408323131005HX0F")</f>
        <v>ES0031408323131005HX0F</v>
      </c>
      <c r="B1882" s="12">
        <f>IFERROR(__xludf.DUMMYFUNCTION("""COMPUTED_VALUE"""),44944.0)</f>
        <v>44944</v>
      </c>
      <c r="C1882" s="13">
        <f>IFERROR(__xludf.DUMMYFUNCTION("""COMPUTED_VALUE"""),0.375)</f>
        <v>0.375</v>
      </c>
      <c r="D1882" s="8">
        <f>IFERROR(__xludf.DUMMYFUNCTION("""COMPUTED_VALUE"""),0.067)</f>
        <v>0.067</v>
      </c>
      <c r="E1882" s="8" t="str">
        <f>IFERROR(__xludf.DUMMYFUNCTION("""COMPUTED_VALUE"""),"Real")</f>
        <v>Real</v>
      </c>
      <c r="G1882" s="8">
        <f t="shared" si="1"/>
        <v>1</v>
      </c>
      <c r="H1882" s="14">
        <f t="shared" si="2"/>
        <v>18</v>
      </c>
      <c r="I1882" s="15">
        <f t="shared" si="3"/>
        <v>9</v>
      </c>
    </row>
    <row r="1883">
      <c r="A1883" s="8" t="str">
        <f>IFERROR(__xludf.DUMMYFUNCTION("IF('(INGESTA)Datos_consumo_datadis'!A1883&lt;&gt;"""",SPLIT('(INGESTA)Datos_consumo_datadis'!A:A,"",""),"""")"),"ES0031408323131005HX0F")</f>
        <v>ES0031408323131005HX0F</v>
      </c>
      <c r="B1883" s="12">
        <f>IFERROR(__xludf.DUMMYFUNCTION("""COMPUTED_VALUE"""),44944.0)</f>
        <v>44944</v>
      </c>
      <c r="C1883" s="13">
        <f>IFERROR(__xludf.DUMMYFUNCTION("""COMPUTED_VALUE"""),0.4166666666666667)</f>
        <v>0.4166666667</v>
      </c>
      <c r="D1883" s="8">
        <f>IFERROR(__xludf.DUMMYFUNCTION("""COMPUTED_VALUE"""),0.041)</f>
        <v>0.041</v>
      </c>
      <c r="E1883" s="8" t="str">
        <f>IFERROR(__xludf.DUMMYFUNCTION("""COMPUTED_VALUE"""),"Real")</f>
        <v>Real</v>
      </c>
      <c r="G1883" s="8">
        <f t="shared" si="1"/>
        <v>1</v>
      </c>
      <c r="H1883" s="14">
        <f t="shared" si="2"/>
        <v>18</v>
      </c>
      <c r="I1883" s="15">
        <f t="shared" si="3"/>
        <v>10</v>
      </c>
    </row>
    <row r="1884">
      <c r="A1884" s="8" t="str">
        <f>IFERROR(__xludf.DUMMYFUNCTION("IF('(INGESTA)Datos_consumo_datadis'!A1884&lt;&gt;"""",SPLIT('(INGESTA)Datos_consumo_datadis'!A:A,"",""),"""")"),"ES0031408323131005HX0F")</f>
        <v>ES0031408323131005HX0F</v>
      </c>
      <c r="B1884" s="12">
        <f>IFERROR(__xludf.DUMMYFUNCTION("""COMPUTED_VALUE"""),44944.0)</f>
        <v>44944</v>
      </c>
      <c r="C1884" s="13">
        <f>IFERROR(__xludf.DUMMYFUNCTION("""COMPUTED_VALUE"""),0.4583333333333333)</f>
        <v>0.4583333333</v>
      </c>
      <c r="D1884" s="8">
        <f>IFERROR(__xludf.DUMMYFUNCTION("""COMPUTED_VALUE"""),0.016)</f>
        <v>0.016</v>
      </c>
      <c r="E1884" s="8" t="str">
        <f>IFERROR(__xludf.DUMMYFUNCTION("""COMPUTED_VALUE"""),"Real")</f>
        <v>Real</v>
      </c>
      <c r="G1884" s="8">
        <f t="shared" si="1"/>
        <v>1</v>
      </c>
      <c r="H1884" s="14">
        <f t="shared" si="2"/>
        <v>18</v>
      </c>
      <c r="I1884" s="15">
        <f t="shared" si="3"/>
        <v>11</v>
      </c>
    </row>
    <row r="1885">
      <c r="A1885" s="8" t="str">
        <f>IFERROR(__xludf.DUMMYFUNCTION("IF('(INGESTA)Datos_consumo_datadis'!A1885&lt;&gt;"""",SPLIT('(INGESTA)Datos_consumo_datadis'!A:A,"",""),"""")"),"ES0031408323131005HX0F")</f>
        <v>ES0031408323131005HX0F</v>
      </c>
      <c r="B1885" s="12">
        <f>IFERROR(__xludf.DUMMYFUNCTION("""COMPUTED_VALUE"""),44944.0)</f>
        <v>44944</v>
      </c>
      <c r="C1885" s="13">
        <f>IFERROR(__xludf.DUMMYFUNCTION("""COMPUTED_VALUE"""),0.5)</f>
        <v>0.5</v>
      </c>
      <c r="D1885" s="8">
        <f>IFERROR(__xludf.DUMMYFUNCTION("""COMPUTED_VALUE"""),0.106)</f>
        <v>0.106</v>
      </c>
      <c r="E1885" s="8" t="str">
        <f>IFERROR(__xludf.DUMMYFUNCTION("""COMPUTED_VALUE"""),"Real")</f>
        <v>Real</v>
      </c>
      <c r="G1885" s="8">
        <f t="shared" si="1"/>
        <v>1</v>
      </c>
      <c r="H1885" s="14">
        <f t="shared" si="2"/>
        <v>18</v>
      </c>
      <c r="I1885" s="15">
        <f t="shared" si="3"/>
        <v>12</v>
      </c>
    </row>
    <row r="1886">
      <c r="A1886" s="8" t="str">
        <f>IFERROR(__xludf.DUMMYFUNCTION("IF('(INGESTA)Datos_consumo_datadis'!A1886&lt;&gt;"""",SPLIT('(INGESTA)Datos_consumo_datadis'!A:A,"",""),"""")"),"ES0031408323131005HX0F")</f>
        <v>ES0031408323131005HX0F</v>
      </c>
      <c r="B1886" s="12">
        <f>IFERROR(__xludf.DUMMYFUNCTION("""COMPUTED_VALUE"""),44944.0)</f>
        <v>44944</v>
      </c>
      <c r="C1886" s="13">
        <f>IFERROR(__xludf.DUMMYFUNCTION("""COMPUTED_VALUE"""),0.5416666666666666)</f>
        <v>0.5416666667</v>
      </c>
      <c r="D1886" s="8">
        <f>IFERROR(__xludf.DUMMYFUNCTION("""COMPUTED_VALUE"""),0.04)</f>
        <v>0.04</v>
      </c>
      <c r="E1886" s="8" t="str">
        <f>IFERROR(__xludf.DUMMYFUNCTION("""COMPUTED_VALUE"""),"Real")</f>
        <v>Real</v>
      </c>
      <c r="G1886" s="8">
        <f t="shared" si="1"/>
        <v>1</v>
      </c>
      <c r="H1886" s="14">
        <f t="shared" si="2"/>
        <v>18</v>
      </c>
      <c r="I1886" s="15">
        <f t="shared" si="3"/>
        <v>13</v>
      </c>
    </row>
    <row r="1887">
      <c r="A1887" s="8" t="str">
        <f>IFERROR(__xludf.DUMMYFUNCTION("IF('(INGESTA)Datos_consumo_datadis'!A1887&lt;&gt;"""",SPLIT('(INGESTA)Datos_consumo_datadis'!A:A,"",""),"""")"),"ES0031408323131005HX0F")</f>
        <v>ES0031408323131005HX0F</v>
      </c>
      <c r="B1887" s="12">
        <f>IFERROR(__xludf.DUMMYFUNCTION("""COMPUTED_VALUE"""),44944.0)</f>
        <v>44944</v>
      </c>
      <c r="C1887" s="13">
        <f>IFERROR(__xludf.DUMMYFUNCTION("""COMPUTED_VALUE"""),0.5833333333333334)</f>
        <v>0.5833333333</v>
      </c>
      <c r="D1887" s="8">
        <f>IFERROR(__xludf.DUMMYFUNCTION("""COMPUTED_VALUE"""),0.297)</f>
        <v>0.297</v>
      </c>
      <c r="E1887" s="8" t="str">
        <f>IFERROR(__xludf.DUMMYFUNCTION("""COMPUTED_VALUE"""),"Real")</f>
        <v>Real</v>
      </c>
      <c r="G1887" s="8">
        <f t="shared" si="1"/>
        <v>1</v>
      </c>
      <c r="H1887" s="14">
        <f t="shared" si="2"/>
        <v>18</v>
      </c>
      <c r="I1887" s="15">
        <f t="shared" si="3"/>
        <v>14</v>
      </c>
    </row>
    <row r="1888">
      <c r="A1888" s="8" t="str">
        <f>IFERROR(__xludf.DUMMYFUNCTION("IF('(INGESTA)Datos_consumo_datadis'!A1888&lt;&gt;"""",SPLIT('(INGESTA)Datos_consumo_datadis'!A:A,"",""),"""")"),"ES0031408323131005HX0F")</f>
        <v>ES0031408323131005HX0F</v>
      </c>
      <c r="B1888" s="12">
        <f>IFERROR(__xludf.DUMMYFUNCTION("""COMPUTED_VALUE"""),44944.0)</f>
        <v>44944</v>
      </c>
      <c r="C1888" s="13">
        <f>IFERROR(__xludf.DUMMYFUNCTION("""COMPUTED_VALUE"""),0.625)</f>
        <v>0.625</v>
      </c>
      <c r="D1888" s="8">
        <f>IFERROR(__xludf.DUMMYFUNCTION("""COMPUTED_VALUE"""),0.057)</f>
        <v>0.057</v>
      </c>
      <c r="E1888" s="8" t="str">
        <f>IFERROR(__xludf.DUMMYFUNCTION("""COMPUTED_VALUE"""),"Real")</f>
        <v>Real</v>
      </c>
      <c r="G1888" s="8">
        <f t="shared" si="1"/>
        <v>1</v>
      </c>
      <c r="H1888" s="14">
        <f t="shared" si="2"/>
        <v>18</v>
      </c>
      <c r="I1888" s="15">
        <f t="shared" si="3"/>
        <v>15</v>
      </c>
    </row>
    <row r="1889">
      <c r="A1889" s="8" t="str">
        <f>IFERROR(__xludf.DUMMYFUNCTION("IF('(INGESTA)Datos_consumo_datadis'!A1889&lt;&gt;"""",SPLIT('(INGESTA)Datos_consumo_datadis'!A:A,"",""),"""")"),"ES0031408323131005HX0F")</f>
        <v>ES0031408323131005HX0F</v>
      </c>
      <c r="B1889" s="12">
        <f>IFERROR(__xludf.DUMMYFUNCTION("""COMPUTED_VALUE"""),44944.0)</f>
        <v>44944</v>
      </c>
      <c r="C1889" s="13">
        <f>IFERROR(__xludf.DUMMYFUNCTION("""COMPUTED_VALUE"""),0.6666666666666666)</f>
        <v>0.6666666667</v>
      </c>
      <c r="D1889" s="8">
        <f>IFERROR(__xludf.DUMMYFUNCTION("""COMPUTED_VALUE"""),0.062)</f>
        <v>0.062</v>
      </c>
      <c r="E1889" s="8" t="str">
        <f>IFERROR(__xludf.DUMMYFUNCTION("""COMPUTED_VALUE"""),"Real")</f>
        <v>Real</v>
      </c>
      <c r="G1889" s="8">
        <f t="shared" si="1"/>
        <v>1</v>
      </c>
      <c r="H1889" s="14">
        <f t="shared" si="2"/>
        <v>18</v>
      </c>
      <c r="I1889" s="15">
        <f t="shared" si="3"/>
        <v>16</v>
      </c>
    </row>
    <row r="1890">
      <c r="A1890" s="8" t="str">
        <f>IFERROR(__xludf.DUMMYFUNCTION("IF('(INGESTA)Datos_consumo_datadis'!A1890&lt;&gt;"""",SPLIT('(INGESTA)Datos_consumo_datadis'!A:A,"",""),"""")"),"ES0031408323131005HX0F")</f>
        <v>ES0031408323131005HX0F</v>
      </c>
      <c r="B1890" s="12">
        <f>IFERROR(__xludf.DUMMYFUNCTION("""COMPUTED_VALUE"""),44944.0)</f>
        <v>44944</v>
      </c>
      <c r="C1890" s="13">
        <f>IFERROR(__xludf.DUMMYFUNCTION("""COMPUTED_VALUE"""),0.7083333333333334)</f>
        <v>0.7083333333</v>
      </c>
      <c r="D1890" s="8">
        <f>IFERROR(__xludf.DUMMYFUNCTION("""COMPUTED_VALUE"""),0.04)</f>
        <v>0.04</v>
      </c>
      <c r="E1890" s="8" t="str">
        <f>IFERROR(__xludf.DUMMYFUNCTION("""COMPUTED_VALUE"""),"Real")</f>
        <v>Real</v>
      </c>
      <c r="G1890" s="8">
        <f t="shared" si="1"/>
        <v>1</v>
      </c>
      <c r="H1890" s="14">
        <f t="shared" si="2"/>
        <v>18</v>
      </c>
      <c r="I1890" s="15">
        <f t="shared" si="3"/>
        <v>17</v>
      </c>
    </row>
    <row r="1891">
      <c r="A1891" s="8" t="str">
        <f>IFERROR(__xludf.DUMMYFUNCTION("IF('(INGESTA)Datos_consumo_datadis'!A1891&lt;&gt;"""",SPLIT('(INGESTA)Datos_consumo_datadis'!A:A,"",""),"""")"),"ES0031408323131005HX0F")</f>
        <v>ES0031408323131005HX0F</v>
      </c>
      <c r="B1891" s="12">
        <f>IFERROR(__xludf.DUMMYFUNCTION("""COMPUTED_VALUE"""),44944.0)</f>
        <v>44944</v>
      </c>
      <c r="C1891" s="13">
        <f>IFERROR(__xludf.DUMMYFUNCTION("""COMPUTED_VALUE"""),0.75)</f>
        <v>0.75</v>
      </c>
      <c r="D1891" s="8">
        <f>IFERROR(__xludf.DUMMYFUNCTION("""COMPUTED_VALUE"""),0.015)</f>
        <v>0.015</v>
      </c>
      <c r="E1891" s="8" t="str">
        <f>IFERROR(__xludf.DUMMYFUNCTION("""COMPUTED_VALUE"""),"Real")</f>
        <v>Real</v>
      </c>
      <c r="G1891" s="8">
        <f t="shared" si="1"/>
        <v>1</v>
      </c>
      <c r="H1891" s="14">
        <f t="shared" si="2"/>
        <v>18</v>
      </c>
      <c r="I1891" s="15">
        <f t="shared" si="3"/>
        <v>18</v>
      </c>
    </row>
    <row r="1892">
      <c r="A1892" s="8" t="str">
        <f>IFERROR(__xludf.DUMMYFUNCTION("IF('(INGESTA)Datos_consumo_datadis'!A1892&lt;&gt;"""",SPLIT('(INGESTA)Datos_consumo_datadis'!A:A,"",""),"""")"),"ES0031408323131005HX0F")</f>
        <v>ES0031408323131005HX0F</v>
      </c>
      <c r="B1892" s="12">
        <f>IFERROR(__xludf.DUMMYFUNCTION("""COMPUTED_VALUE"""),44944.0)</f>
        <v>44944</v>
      </c>
      <c r="C1892" s="13">
        <f>IFERROR(__xludf.DUMMYFUNCTION("""COMPUTED_VALUE"""),0.7916666666666666)</f>
        <v>0.7916666667</v>
      </c>
      <c r="D1892" s="8">
        <f>IFERROR(__xludf.DUMMYFUNCTION("""COMPUTED_VALUE"""),0.097)</f>
        <v>0.097</v>
      </c>
      <c r="E1892" s="8" t="str">
        <f>IFERROR(__xludf.DUMMYFUNCTION("""COMPUTED_VALUE"""),"Real")</f>
        <v>Real</v>
      </c>
      <c r="G1892" s="8">
        <f t="shared" si="1"/>
        <v>1</v>
      </c>
      <c r="H1892" s="14">
        <f t="shared" si="2"/>
        <v>18</v>
      </c>
      <c r="I1892" s="15">
        <f t="shared" si="3"/>
        <v>19</v>
      </c>
    </row>
    <row r="1893">
      <c r="A1893" s="8" t="str">
        <f>IFERROR(__xludf.DUMMYFUNCTION("IF('(INGESTA)Datos_consumo_datadis'!A1893&lt;&gt;"""",SPLIT('(INGESTA)Datos_consumo_datadis'!A:A,"",""),"""")"),"ES0031408323131005HX0F")</f>
        <v>ES0031408323131005HX0F</v>
      </c>
      <c r="B1893" s="12">
        <f>IFERROR(__xludf.DUMMYFUNCTION("""COMPUTED_VALUE"""),44944.0)</f>
        <v>44944</v>
      </c>
      <c r="C1893" s="13">
        <f>IFERROR(__xludf.DUMMYFUNCTION("""COMPUTED_VALUE"""),0.8333333333333334)</f>
        <v>0.8333333333</v>
      </c>
      <c r="D1893" s="8">
        <f>IFERROR(__xludf.DUMMYFUNCTION("""COMPUTED_VALUE"""),0.226)</f>
        <v>0.226</v>
      </c>
      <c r="E1893" s="8" t="str">
        <f>IFERROR(__xludf.DUMMYFUNCTION("""COMPUTED_VALUE"""),"Real")</f>
        <v>Real</v>
      </c>
      <c r="G1893" s="8">
        <f t="shared" si="1"/>
        <v>1</v>
      </c>
      <c r="H1893" s="14">
        <f t="shared" si="2"/>
        <v>18</v>
      </c>
      <c r="I1893" s="15">
        <f t="shared" si="3"/>
        <v>20</v>
      </c>
    </row>
    <row r="1894">
      <c r="A1894" s="8" t="str">
        <f>IFERROR(__xludf.DUMMYFUNCTION("IF('(INGESTA)Datos_consumo_datadis'!A1894&lt;&gt;"""",SPLIT('(INGESTA)Datos_consumo_datadis'!A:A,"",""),"""")"),"ES0031408323131005HX0F")</f>
        <v>ES0031408323131005HX0F</v>
      </c>
      <c r="B1894" s="12">
        <f>IFERROR(__xludf.DUMMYFUNCTION("""COMPUTED_VALUE"""),44944.0)</f>
        <v>44944</v>
      </c>
      <c r="C1894" s="13">
        <f>IFERROR(__xludf.DUMMYFUNCTION("""COMPUTED_VALUE"""),0.875)</f>
        <v>0.875</v>
      </c>
      <c r="D1894" s="8">
        <f>IFERROR(__xludf.DUMMYFUNCTION("""COMPUTED_VALUE"""),0.122)</f>
        <v>0.122</v>
      </c>
      <c r="E1894" s="8" t="str">
        <f>IFERROR(__xludf.DUMMYFUNCTION("""COMPUTED_VALUE"""),"Real")</f>
        <v>Real</v>
      </c>
      <c r="G1894" s="8">
        <f t="shared" si="1"/>
        <v>1</v>
      </c>
      <c r="H1894" s="14">
        <f t="shared" si="2"/>
        <v>18</v>
      </c>
      <c r="I1894" s="15">
        <f t="shared" si="3"/>
        <v>21</v>
      </c>
    </row>
    <row r="1895">
      <c r="A1895" s="8" t="str">
        <f>IFERROR(__xludf.DUMMYFUNCTION("IF('(INGESTA)Datos_consumo_datadis'!A1895&lt;&gt;"""",SPLIT('(INGESTA)Datos_consumo_datadis'!A:A,"",""),"""")"),"ES0031408323131005HX0F")</f>
        <v>ES0031408323131005HX0F</v>
      </c>
      <c r="B1895" s="12">
        <f>IFERROR(__xludf.DUMMYFUNCTION("""COMPUTED_VALUE"""),44944.0)</f>
        <v>44944</v>
      </c>
      <c r="C1895" s="13">
        <f>IFERROR(__xludf.DUMMYFUNCTION("""COMPUTED_VALUE"""),0.9166666666666666)</f>
        <v>0.9166666667</v>
      </c>
      <c r="D1895" s="8">
        <f>IFERROR(__xludf.DUMMYFUNCTION("""COMPUTED_VALUE"""),0.273)</f>
        <v>0.273</v>
      </c>
      <c r="E1895" s="8" t="str">
        <f>IFERROR(__xludf.DUMMYFUNCTION("""COMPUTED_VALUE"""),"Real")</f>
        <v>Real</v>
      </c>
      <c r="G1895" s="8">
        <f t="shared" si="1"/>
        <v>1</v>
      </c>
      <c r="H1895" s="14">
        <f t="shared" si="2"/>
        <v>18</v>
      </c>
      <c r="I1895" s="15">
        <f t="shared" si="3"/>
        <v>22</v>
      </c>
    </row>
    <row r="1896">
      <c r="A1896" s="8" t="str">
        <f>IFERROR(__xludf.DUMMYFUNCTION("IF('(INGESTA)Datos_consumo_datadis'!A1896&lt;&gt;"""",SPLIT('(INGESTA)Datos_consumo_datadis'!A:A,"",""),"""")"),"ES0031408323131005HX0F")</f>
        <v>ES0031408323131005HX0F</v>
      </c>
      <c r="B1896" s="12">
        <f>IFERROR(__xludf.DUMMYFUNCTION("""COMPUTED_VALUE"""),44944.0)</f>
        <v>44944</v>
      </c>
      <c r="C1896" s="13">
        <f>IFERROR(__xludf.DUMMYFUNCTION("""COMPUTED_VALUE"""),0.9583333333333334)</f>
        <v>0.9583333333</v>
      </c>
      <c r="D1896" s="8">
        <f>IFERROR(__xludf.DUMMYFUNCTION("""COMPUTED_VALUE"""),3.072)</f>
        <v>3.072</v>
      </c>
      <c r="E1896" s="8" t="str">
        <f>IFERROR(__xludf.DUMMYFUNCTION("""COMPUTED_VALUE"""),"Real")</f>
        <v>Real</v>
      </c>
      <c r="G1896" s="8">
        <f t="shared" si="1"/>
        <v>1</v>
      </c>
      <c r="H1896" s="14">
        <f t="shared" si="2"/>
        <v>18</v>
      </c>
      <c r="I1896" s="15">
        <f t="shared" si="3"/>
        <v>23</v>
      </c>
    </row>
    <row r="1897">
      <c r="A1897" s="8" t="str">
        <f>IFERROR(__xludf.DUMMYFUNCTION("IF('(INGESTA)Datos_consumo_datadis'!A1897&lt;&gt;"""",SPLIT('(INGESTA)Datos_consumo_datadis'!A:A,"",""),"""")"),"ES0031408323131005HX0F")</f>
        <v>ES0031408323131005HX0F</v>
      </c>
      <c r="B1897" s="12">
        <f>IFERROR(__xludf.DUMMYFUNCTION("""COMPUTED_VALUE"""),44944.0)</f>
        <v>44944</v>
      </c>
      <c r="C1897" s="16">
        <f>IFERROR(__xludf.DUMMYFUNCTION("""COMPUTED_VALUE"""),1.0)</f>
        <v>1</v>
      </c>
      <c r="D1897" s="8">
        <f>IFERROR(__xludf.DUMMYFUNCTION("""COMPUTED_VALUE"""),1.642)</f>
        <v>1.642</v>
      </c>
      <c r="E1897" s="8" t="str">
        <f>IFERROR(__xludf.DUMMYFUNCTION("""COMPUTED_VALUE"""),"Real")</f>
        <v>Real</v>
      </c>
      <c r="G1897" s="8">
        <f t="shared" si="1"/>
        <v>1</v>
      </c>
      <c r="H1897" s="14">
        <f t="shared" si="2"/>
        <v>18</v>
      </c>
      <c r="I1897" s="15">
        <f t="shared" si="3"/>
        <v>0</v>
      </c>
    </row>
    <row r="1898">
      <c r="A1898" s="8" t="str">
        <f>IFERROR(__xludf.DUMMYFUNCTION("IF('(INGESTA)Datos_consumo_datadis'!A1898&lt;&gt;"""",SPLIT('(INGESTA)Datos_consumo_datadis'!A:A,"",""),"""")"),"ES0031408323131005HX0F")</f>
        <v>ES0031408323131005HX0F</v>
      </c>
      <c r="B1898" s="12">
        <f>IFERROR(__xludf.DUMMYFUNCTION("""COMPUTED_VALUE"""),44945.0)</f>
        <v>44945</v>
      </c>
      <c r="C1898" s="13">
        <f>IFERROR(__xludf.DUMMYFUNCTION("""COMPUTED_VALUE"""),0.041666666666666664)</f>
        <v>0.04166666667</v>
      </c>
      <c r="D1898" s="8">
        <f>IFERROR(__xludf.DUMMYFUNCTION("""COMPUTED_VALUE"""),1.576)</f>
        <v>1.576</v>
      </c>
      <c r="E1898" s="8" t="str">
        <f>IFERROR(__xludf.DUMMYFUNCTION("""COMPUTED_VALUE"""),"Real")</f>
        <v>Real</v>
      </c>
      <c r="G1898" s="8">
        <f t="shared" si="1"/>
        <v>1</v>
      </c>
      <c r="H1898" s="14">
        <f t="shared" si="2"/>
        <v>19</v>
      </c>
      <c r="I1898" s="15">
        <f t="shared" si="3"/>
        <v>1</v>
      </c>
    </row>
    <row r="1899">
      <c r="A1899" s="8" t="str">
        <f>IFERROR(__xludf.DUMMYFUNCTION("IF('(INGESTA)Datos_consumo_datadis'!A1899&lt;&gt;"""",SPLIT('(INGESTA)Datos_consumo_datadis'!A:A,"",""),"""")"),"ES0031408323131005HX0F")</f>
        <v>ES0031408323131005HX0F</v>
      </c>
      <c r="B1899" s="12">
        <f>IFERROR(__xludf.DUMMYFUNCTION("""COMPUTED_VALUE"""),44945.0)</f>
        <v>44945</v>
      </c>
      <c r="C1899" s="13">
        <f>IFERROR(__xludf.DUMMYFUNCTION("""COMPUTED_VALUE"""),0.08333333333333333)</f>
        <v>0.08333333333</v>
      </c>
      <c r="D1899" s="8">
        <f>IFERROR(__xludf.DUMMYFUNCTION("""COMPUTED_VALUE"""),1.902)</f>
        <v>1.902</v>
      </c>
      <c r="E1899" s="8" t="str">
        <f>IFERROR(__xludf.DUMMYFUNCTION("""COMPUTED_VALUE"""),"Real")</f>
        <v>Real</v>
      </c>
      <c r="G1899" s="8">
        <f t="shared" si="1"/>
        <v>1</v>
      </c>
      <c r="H1899" s="14">
        <f t="shared" si="2"/>
        <v>19</v>
      </c>
      <c r="I1899" s="15">
        <f t="shared" si="3"/>
        <v>2</v>
      </c>
    </row>
    <row r="1900">
      <c r="A1900" s="8" t="str">
        <f>IFERROR(__xludf.DUMMYFUNCTION("IF('(INGESTA)Datos_consumo_datadis'!A1900&lt;&gt;"""",SPLIT('(INGESTA)Datos_consumo_datadis'!A:A,"",""),"""")"),"ES0031408323131005HX0F")</f>
        <v>ES0031408323131005HX0F</v>
      </c>
      <c r="B1900" s="12">
        <f>IFERROR(__xludf.DUMMYFUNCTION("""COMPUTED_VALUE"""),44945.0)</f>
        <v>44945</v>
      </c>
      <c r="C1900" s="13">
        <f>IFERROR(__xludf.DUMMYFUNCTION("""COMPUTED_VALUE"""),0.125)</f>
        <v>0.125</v>
      </c>
      <c r="D1900" s="8">
        <f>IFERROR(__xludf.DUMMYFUNCTION("""COMPUTED_VALUE"""),1.606)</f>
        <v>1.606</v>
      </c>
      <c r="E1900" s="8" t="str">
        <f>IFERROR(__xludf.DUMMYFUNCTION("""COMPUTED_VALUE"""),"Real")</f>
        <v>Real</v>
      </c>
      <c r="G1900" s="8">
        <f t="shared" si="1"/>
        <v>1</v>
      </c>
      <c r="H1900" s="14">
        <f t="shared" si="2"/>
        <v>19</v>
      </c>
      <c r="I1900" s="15">
        <f t="shared" si="3"/>
        <v>3</v>
      </c>
    </row>
    <row r="1901">
      <c r="A1901" s="8" t="str">
        <f>IFERROR(__xludf.DUMMYFUNCTION("IF('(INGESTA)Datos_consumo_datadis'!A1901&lt;&gt;"""",SPLIT('(INGESTA)Datos_consumo_datadis'!A:A,"",""),"""")"),"ES0031408323131005HX0F")</f>
        <v>ES0031408323131005HX0F</v>
      </c>
      <c r="B1901" s="12">
        <f>IFERROR(__xludf.DUMMYFUNCTION("""COMPUTED_VALUE"""),44945.0)</f>
        <v>44945</v>
      </c>
      <c r="C1901" s="13">
        <f>IFERROR(__xludf.DUMMYFUNCTION("""COMPUTED_VALUE"""),0.16666666666666666)</f>
        <v>0.1666666667</v>
      </c>
      <c r="D1901" s="8">
        <f>IFERROR(__xludf.DUMMYFUNCTION("""COMPUTED_VALUE"""),1.587)</f>
        <v>1.587</v>
      </c>
      <c r="E1901" s="8" t="str">
        <f>IFERROR(__xludf.DUMMYFUNCTION("""COMPUTED_VALUE"""),"Real")</f>
        <v>Real</v>
      </c>
      <c r="G1901" s="8">
        <f t="shared" si="1"/>
        <v>1</v>
      </c>
      <c r="H1901" s="14">
        <f t="shared" si="2"/>
        <v>19</v>
      </c>
      <c r="I1901" s="15">
        <f t="shared" si="3"/>
        <v>4</v>
      </c>
    </row>
    <row r="1902">
      <c r="A1902" s="8" t="str">
        <f>IFERROR(__xludf.DUMMYFUNCTION("IF('(INGESTA)Datos_consumo_datadis'!A1902&lt;&gt;"""",SPLIT('(INGESTA)Datos_consumo_datadis'!A:A,"",""),"""")"),"ES0031408323131005HX0F")</f>
        <v>ES0031408323131005HX0F</v>
      </c>
      <c r="B1902" s="12">
        <f>IFERROR(__xludf.DUMMYFUNCTION("""COMPUTED_VALUE"""),44945.0)</f>
        <v>44945</v>
      </c>
      <c r="C1902" s="13">
        <f>IFERROR(__xludf.DUMMYFUNCTION("""COMPUTED_VALUE"""),0.20833333333333334)</f>
        <v>0.2083333333</v>
      </c>
      <c r="D1902" s="8">
        <f>IFERROR(__xludf.DUMMYFUNCTION("""COMPUTED_VALUE"""),1.571)</f>
        <v>1.571</v>
      </c>
      <c r="E1902" s="8" t="str">
        <f>IFERROR(__xludf.DUMMYFUNCTION("""COMPUTED_VALUE"""),"Real")</f>
        <v>Real</v>
      </c>
      <c r="G1902" s="8">
        <f t="shared" si="1"/>
        <v>1</v>
      </c>
      <c r="H1902" s="14">
        <f t="shared" si="2"/>
        <v>19</v>
      </c>
      <c r="I1902" s="15">
        <f t="shared" si="3"/>
        <v>5</v>
      </c>
    </row>
    <row r="1903">
      <c r="A1903" s="8" t="str">
        <f>IFERROR(__xludf.DUMMYFUNCTION("IF('(INGESTA)Datos_consumo_datadis'!A1903&lt;&gt;"""",SPLIT('(INGESTA)Datos_consumo_datadis'!A:A,"",""),"""")"),"ES0031408323131005HX0F")</f>
        <v>ES0031408323131005HX0F</v>
      </c>
      <c r="B1903" s="12">
        <f>IFERROR(__xludf.DUMMYFUNCTION("""COMPUTED_VALUE"""),44945.0)</f>
        <v>44945</v>
      </c>
      <c r="C1903" s="13">
        <f>IFERROR(__xludf.DUMMYFUNCTION("""COMPUTED_VALUE"""),0.25)</f>
        <v>0.25</v>
      </c>
      <c r="D1903" s="8">
        <f>IFERROR(__xludf.DUMMYFUNCTION("""COMPUTED_VALUE"""),1.587)</f>
        <v>1.587</v>
      </c>
      <c r="E1903" s="8" t="str">
        <f>IFERROR(__xludf.DUMMYFUNCTION("""COMPUTED_VALUE"""),"Real")</f>
        <v>Real</v>
      </c>
      <c r="G1903" s="8">
        <f t="shared" si="1"/>
        <v>1</v>
      </c>
      <c r="H1903" s="14">
        <f t="shared" si="2"/>
        <v>19</v>
      </c>
      <c r="I1903" s="15">
        <f t="shared" si="3"/>
        <v>6</v>
      </c>
    </row>
    <row r="1904">
      <c r="A1904" s="8" t="str">
        <f>IFERROR(__xludf.DUMMYFUNCTION("IF('(INGESTA)Datos_consumo_datadis'!A1904&lt;&gt;"""",SPLIT('(INGESTA)Datos_consumo_datadis'!A:A,"",""),"""")"),"ES0031408323131005HX0F")</f>
        <v>ES0031408323131005HX0F</v>
      </c>
      <c r="B1904" s="12">
        <f>IFERROR(__xludf.DUMMYFUNCTION("""COMPUTED_VALUE"""),44945.0)</f>
        <v>44945</v>
      </c>
      <c r="C1904" s="13">
        <f>IFERROR(__xludf.DUMMYFUNCTION("""COMPUTED_VALUE"""),0.2916666666666667)</f>
        <v>0.2916666667</v>
      </c>
      <c r="D1904" s="8">
        <f>IFERROR(__xludf.DUMMYFUNCTION("""COMPUTED_VALUE"""),1.585)</f>
        <v>1.585</v>
      </c>
      <c r="E1904" s="8" t="str">
        <f>IFERROR(__xludf.DUMMYFUNCTION("""COMPUTED_VALUE"""),"Real")</f>
        <v>Real</v>
      </c>
      <c r="G1904" s="8">
        <f t="shared" si="1"/>
        <v>1</v>
      </c>
      <c r="H1904" s="14">
        <f t="shared" si="2"/>
        <v>19</v>
      </c>
      <c r="I1904" s="15">
        <f t="shared" si="3"/>
        <v>7</v>
      </c>
    </row>
    <row r="1905">
      <c r="A1905" s="8" t="str">
        <f>IFERROR(__xludf.DUMMYFUNCTION("IF('(INGESTA)Datos_consumo_datadis'!A1905&lt;&gt;"""",SPLIT('(INGESTA)Datos_consumo_datadis'!A:A,"",""),"""")"),"ES0031408323131005HX0F")</f>
        <v>ES0031408323131005HX0F</v>
      </c>
      <c r="B1905" s="12">
        <f>IFERROR(__xludf.DUMMYFUNCTION("""COMPUTED_VALUE"""),44945.0)</f>
        <v>44945</v>
      </c>
      <c r="C1905" s="13">
        <f>IFERROR(__xludf.DUMMYFUNCTION("""COMPUTED_VALUE"""),0.3333333333333333)</f>
        <v>0.3333333333</v>
      </c>
      <c r="D1905" s="8">
        <f>IFERROR(__xludf.DUMMYFUNCTION("""COMPUTED_VALUE"""),1.378)</f>
        <v>1.378</v>
      </c>
      <c r="E1905" s="8" t="str">
        <f>IFERROR(__xludf.DUMMYFUNCTION("""COMPUTED_VALUE"""),"Real")</f>
        <v>Real</v>
      </c>
      <c r="G1905" s="8">
        <f t="shared" si="1"/>
        <v>1</v>
      </c>
      <c r="H1905" s="14">
        <f t="shared" si="2"/>
        <v>19</v>
      </c>
      <c r="I1905" s="15">
        <f t="shared" si="3"/>
        <v>8</v>
      </c>
    </row>
    <row r="1906">
      <c r="A1906" s="8" t="str">
        <f>IFERROR(__xludf.DUMMYFUNCTION("IF('(INGESTA)Datos_consumo_datadis'!A1906&lt;&gt;"""",SPLIT('(INGESTA)Datos_consumo_datadis'!A:A,"",""),"""")"),"ES0031408323131005HX0F")</f>
        <v>ES0031408323131005HX0F</v>
      </c>
      <c r="B1906" s="12">
        <f>IFERROR(__xludf.DUMMYFUNCTION("""COMPUTED_VALUE"""),44945.0)</f>
        <v>44945</v>
      </c>
      <c r="C1906" s="13">
        <f>IFERROR(__xludf.DUMMYFUNCTION("""COMPUTED_VALUE"""),0.375)</f>
        <v>0.375</v>
      </c>
      <c r="D1906" s="8">
        <f>IFERROR(__xludf.DUMMYFUNCTION("""COMPUTED_VALUE"""),0.078)</f>
        <v>0.078</v>
      </c>
      <c r="E1906" s="8" t="str">
        <f>IFERROR(__xludf.DUMMYFUNCTION("""COMPUTED_VALUE"""),"Real")</f>
        <v>Real</v>
      </c>
      <c r="G1906" s="8">
        <f t="shared" si="1"/>
        <v>1</v>
      </c>
      <c r="H1906" s="14">
        <f t="shared" si="2"/>
        <v>19</v>
      </c>
      <c r="I1906" s="15">
        <f t="shared" si="3"/>
        <v>9</v>
      </c>
    </row>
    <row r="1907">
      <c r="A1907" s="8" t="str">
        <f>IFERROR(__xludf.DUMMYFUNCTION("IF('(INGESTA)Datos_consumo_datadis'!A1907&lt;&gt;"""",SPLIT('(INGESTA)Datos_consumo_datadis'!A:A,"",""),"""")"),"ES0031408323131005HX0F")</f>
        <v>ES0031408323131005HX0F</v>
      </c>
      <c r="B1907" s="12">
        <f>IFERROR(__xludf.DUMMYFUNCTION("""COMPUTED_VALUE"""),44945.0)</f>
        <v>44945</v>
      </c>
      <c r="C1907" s="13">
        <f>IFERROR(__xludf.DUMMYFUNCTION("""COMPUTED_VALUE"""),0.4166666666666667)</f>
        <v>0.4166666667</v>
      </c>
      <c r="D1907" s="8">
        <f>IFERROR(__xludf.DUMMYFUNCTION("""COMPUTED_VALUE"""),0.142)</f>
        <v>0.142</v>
      </c>
      <c r="E1907" s="8" t="str">
        <f>IFERROR(__xludf.DUMMYFUNCTION("""COMPUTED_VALUE"""),"Real")</f>
        <v>Real</v>
      </c>
      <c r="G1907" s="8">
        <f t="shared" si="1"/>
        <v>1</v>
      </c>
      <c r="H1907" s="14">
        <f t="shared" si="2"/>
        <v>19</v>
      </c>
      <c r="I1907" s="15">
        <f t="shared" si="3"/>
        <v>10</v>
      </c>
    </row>
    <row r="1908">
      <c r="A1908" s="8" t="str">
        <f>IFERROR(__xludf.DUMMYFUNCTION("IF('(INGESTA)Datos_consumo_datadis'!A1908&lt;&gt;"""",SPLIT('(INGESTA)Datos_consumo_datadis'!A:A,"",""),"""")"),"ES0031408323131005HX0F")</f>
        <v>ES0031408323131005HX0F</v>
      </c>
      <c r="B1908" s="12">
        <f>IFERROR(__xludf.DUMMYFUNCTION("""COMPUTED_VALUE"""),44945.0)</f>
        <v>44945</v>
      </c>
      <c r="C1908" s="13">
        <f>IFERROR(__xludf.DUMMYFUNCTION("""COMPUTED_VALUE"""),0.4583333333333333)</f>
        <v>0.4583333333</v>
      </c>
      <c r="D1908" s="8">
        <f>IFERROR(__xludf.DUMMYFUNCTION("""COMPUTED_VALUE"""),0.431)</f>
        <v>0.431</v>
      </c>
      <c r="E1908" s="8" t="str">
        <f>IFERROR(__xludf.DUMMYFUNCTION("""COMPUTED_VALUE"""),"Real")</f>
        <v>Real</v>
      </c>
      <c r="G1908" s="8">
        <f t="shared" si="1"/>
        <v>1</v>
      </c>
      <c r="H1908" s="14">
        <f t="shared" si="2"/>
        <v>19</v>
      </c>
      <c r="I1908" s="15">
        <f t="shared" si="3"/>
        <v>11</v>
      </c>
    </row>
    <row r="1909">
      <c r="A1909" s="8" t="str">
        <f>IFERROR(__xludf.DUMMYFUNCTION("IF('(INGESTA)Datos_consumo_datadis'!A1909&lt;&gt;"""",SPLIT('(INGESTA)Datos_consumo_datadis'!A:A,"",""),"""")"),"ES0031408323131005HX0F")</f>
        <v>ES0031408323131005HX0F</v>
      </c>
      <c r="B1909" s="12">
        <f>IFERROR(__xludf.DUMMYFUNCTION("""COMPUTED_VALUE"""),44945.0)</f>
        <v>44945</v>
      </c>
      <c r="C1909" s="13">
        <f>IFERROR(__xludf.DUMMYFUNCTION("""COMPUTED_VALUE"""),0.5)</f>
        <v>0.5</v>
      </c>
      <c r="D1909" s="8">
        <f>IFERROR(__xludf.DUMMYFUNCTION("""COMPUTED_VALUE"""),0.285)</f>
        <v>0.285</v>
      </c>
      <c r="E1909" s="8" t="str">
        <f>IFERROR(__xludf.DUMMYFUNCTION("""COMPUTED_VALUE"""),"Real")</f>
        <v>Real</v>
      </c>
      <c r="G1909" s="8">
        <f t="shared" si="1"/>
        <v>1</v>
      </c>
      <c r="H1909" s="14">
        <f t="shared" si="2"/>
        <v>19</v>
      </c>
      <c r="I1909" s="15">
        <f t="shared" si="3"/>
        <v>12</v>
      </c>
    </row>
    <row r="1910">
      <c r="A1910" s="8" t="str">
        <f>IFERROR(__xludf.DUMMYFUNCTION("IF('(INGESTA)Datos_consumo_datadis'!A1910&lt;&gt;"""",SPLIT('(INGESTA)Datos_consumo_datadis'!A:A,"",""),"""")"),"ES0031408323131005HX0F")</f>
        <v>ES0031408323131005HX0F</v>
      </c>
      <c r="B1910" s="12">
        <f>IFERROR(__xludf.DUMMYFUNCTION("""COMPUTED_VALUE"""),44945.0)</f>
        <v>44945</v>
      </c>
      <c r="C1910" s="13">
        <f>IFERROR(__xludf.DUMMYFUNCTION("""COMPUTED_VALUE"""),0.5416666666666666)</f>
        <v>0.5416666667</v>
      </c>
      <c r="D1910" s="8">
        <f>IFERROR(__xludf.DUMMYFUNCTION("""COMPUTED_VALUE"""),2.938)</f>
        <v>2.938</v>
      </c>
      <c r="E1910" s="8" t="str">
        <f>IFERROR(__xludf.DUMMYFUNCTION("""COMPUTED_VALUE"""),"Real")</f>
        <v>Real</v>
      </c>
      <c r="G1910" s="8">
        <f t="shared" si="1"/>
        <v>1</v>
      </c>
      <c r="H1910" s="14">
        <f t="shared" si="2"/>
        <v>19</v>
      </c>
      <c r="I1910" s="15">
        <f t="shared" si="3"/>
        <v>13</v>
      </c>
    </row>
    <row r="1911">
      <c r="A1911" s="8" t="str">
        <f>IFERROR(__xludf.DUMMYFUNCTION("IF('(INGESTA)Datos_consumo_datadis'!A1911&lt;&gt;"""",SPLIT('(INGESTA)Datos_consumo_datadis'!A:A,"",""),"""")"),"ES0031408323131005HX0F")</f>
        <v>ES0031408323131005HX0F</v>
      </c>
      <c r="B1911" s="12">
        <f>IFERROR(__xludf.DUMMYFUNCTION("""COMPUTED_VALUE"""),44945.0)</f>
        <v>44945</v>
      </c>
      <c r="C1911" s="13">
        <f>IFERROR(__xludf.DUMMYFUNCTION("""COMPUTED_VALUE"""),0.5833333333333334)</f>
        <v>0.5833333333</v>
      </c>
      <c r="D1911" s="8">
        <f>IFERROR(__xludf.DUMMYFUNCTION("""COMPUTED_VALUE"""),1.542)</f>
        <v>1.542</v>
      </c>
      <c r="E1911" s="8" t="str">
        <f>IFERROR(__xludf.DUMMYFUNCTION("""COMPUTED_VALUE"""),"Real")</f>
        <v>Real</v>
      </c>
      <c r="G1911" s="8">
        <f t="shared" si="1"/>
        <v>1</v>
      </c>
      <c r="H1911" s="14">
        <f t="shared" si="2"/>
        <v>19</v>
      </c>
      <c r="I1911" s="15">
        <f t="shared" si="3"/>
        <v>14</v>
      </c>
    </row>
    <row r="1912">
      <c r="A1912" s="8" t="str">
        <f>IFERROR(__xludf.DUMMYFUNCTION("IF('(INGESTA)Datos_consumo_datadis'!A1912&lt;&gt;"""",SPLIT('(INGESTA)Datos_consumo_datadis'!A:A,"",""),"""")"),"ES0031408323131005HX0F")</f>
        <v>ES0031408323131005HX0F</v>
      </c>
      <c r="B1912" s="12">
        <f>IFERROR(__xludf.DUMMYFUNCTION("""COMPUTED_VALUE"""),44945.0)</f>
        <v>44945</v>
      </c>
      <c r="C1912" s="13">
        <f>IFERROR(__xludf.DUMMYFUNCTION("""COMPUTED_VALUE"""),0.625)</f>
        <v>0.625</v>
      </c>
      <c r="D1912" s="8">
        <f>IFERROR(__xludf.DUMMYFUNCTION("""COMPUTED_VALUE"""),0.09)</f>
        <v>0.09</v>
      </c>
      <c r="E1912" s="8" t="str">
        <f>IFERROR(__xludf.DUMMYFUNCTION("""COMPUTED_VALUE"""),"Real")</f>
        <v>Real</v>
      </c>
      <c r="G1912" s="8">
        <f t="shared" si="1"/>
        <v>1</v>
      </c>
      <c r="H1912" s="14">
        <f t="shared" si="2"/>
        <v>19</v>
      </c>
      <c r="I1912" s="15">
        <f t="shared" si="3"/>
        <v>15</v>
      </c>
    </row>
    <row r="1913">
      <c r="A1913" s="8" t="str">
        <f>IFERROR(__xludf.DUMMYFUNCTION("IF('(INGESTA)Datos_consumo_datadis'!A1913&lt;&gt;"""",SPLIT('(INGESTA)Datos_consumo_datadis'!A:A,"",""),"""")"),"ES0031408323131005HX0F")</f>
        <v>ES0031408323131005HX0F</v>
      </c>
      <c r="B1913" s="12">
        <f>IFERROR(__xludf.DUMMYFUNCTION("""COMPUTED_VALUE"""),44945.0)</f>
        <v>44945</v>
      </c>
      <c r="C1913" s="13">
        <f>IFERROR(__xludf.DUMMYFUNCTION("""COMPUTED_VALUE"""),0.6666666666666666)</f>
        <v>0.6666666667</v>
      </c>
      <c r="D1913" s="8">
        <f>IFERROR(__xludf.DUMMYFUNCTION("""COMPUTED_VALUE"""),0.04)</f>
        <v>0.04</v>
      </c>
      <c r="E1913" s="8" t="str">
        <f>IFERROR(__xludf.DUMMYFUNCTION("""COMPUTED_VALUE"""),"Real")</f>
        <v>Real</v>
      </c>
      <c r="G1913" s="8">
        <f t="shared" si="1"/>
        <v>1</v>
      </c>
      <c r="H1913" s="14">
        <f t="shared" si="2"/>
        <v>19</v>
      </c>
      <c r="I1913" s="15">
        <f t="shared" si="3"/>
        <v>16</v>
      </c>
    </row>
    <row r="1914">
      <c r="A1914" s="8" t="str">
        <f>IFERROR(__xludf.DUMMYFUNCTION("IF('(INGESTA)Datos_consumo_datadis'!A1914&lt;&gt;"""",SPLIT('(INGESTA)Datos_consumo_datadis'!A:A,"",""),"""")"),"ES0031408323131005HX0F")</f>
        <v>ES0031408323131005HX0F</v>
      </c>
      <c r="B1914" s="12">
        <f>IFERROR(__xludf.DUMMYFUNCTION("""COMPUTED_VALUE"""),44945.0)</f>
        <v>44945</v>
      </c>
      <c r="C1914" s="13">
        <f>IFERROR(__xludf.DUMMYFUNCTION("""COMPUTED_VALUE"""),0.7083333333333334)</f>
        <v>0.7083333333</v>
      </c>
      <c r="D1914" s="8">
        <f>IFERROR(__xludf.DUMMYFUNCTION("""COMPUTED_VALUE"""),0.015)</f>
        <v>0.015</v>
      </c>
      <c r="E1914" s="8" t="str">
        <f>IFERROR(__xludf.DUMMYFUNCTION("""COMPUTED_VALUE"""),"Real")</f>
        <v>Real</v>
      </c>
      <c r="G1914" s="8">
        <f t="shared" si="1"/>
        <v>1</v>
      </c>
      <c r="H1914" s="14">
        <f t="shared" si="2"/>
        <v>19</v>
      </c>
      <c r="I1914" s="15">
        <f t="shared" si="3"/>
        <v>17</v>
      </c>
    </row>
    <row r="1915">
      <c r="A1915" s="8" t="str">
        <f>IFERROR(__xludf.DUMMYFUNCTION("IF('(INGESTA)Datos_consumo_datadis'!A1915&lt;&gt;"""",SPLIT('(INGESTA)Datos_consumo_datadis'!A:A,"",""),"""")"),"ES0031408323131005HX0F")</f>
        <v>ES0031408323131005HX0F</v>
      </c>
      <c r="B1915" s="12">
        <f>IFERROR(__xludf.DUMMYFUNCTION("""COMPUTED_VALUE"""),44945.0)</f>
        <v>44945</v>
      </c>
      <c r="C1915" s="13">
        <f>IFERROR(__xludf.DUMMYFUNCTION("""COMPUTED_VALUE"""),0.75)</f>
        <v>0.75</v>
      </c>
      <c r="D1915" s="8">
        <f>IFERROR(__xludf.DUMMYFUNCTION("""COMPUTED_VALUE"""),0.084)</f>
        <v>0.084</v>
      </c>
      <c r="E1915" s="8" t="str">
        <f>IFERROR(__xludf.DUMMYFUNCTION("""COMPUTED_VALUE"""),"Real")</f>
        <v>Real</v>
      </c>
      <c r="G1915" s="8">
        <f t="shared" si="1"/>
        <v>1</v>
      </c>
      <c r="H1915" s="14">
        <f t="shared" si="2"/>
        <v>19</v>
      </c>
      <c r="I1915" s="15">
        <f t="shared" si="3"/>
        <v>18</v>
      </c>
    </row>
    <row r="1916">
      <c r="A1916" s="8" t="str">
        <f>IFERROR(__xludf.DUMMYFUNCTION("IF('(INGESTA)Datos_consumo_datadis'!A1916&lt;&gt;"""",SPLIT('(INGESTA)Datos_consumo_datadis'!A:A,"",""),"""")"),"ES0031408323131005HX0F")</f>
        <v>ES0031408323131005HX0F</v>
      </c>
      <c r="B1916" s="12">
        <f>IFERROR(__xludf.DUMMYFUNCTION("""COMPUTED_VALUE"""),44945.0)</f>
        <v>44945</v>
      </c>
      <c r="C1916" s="13">
        <f>IFERROR(__xludf.DUMMYFUNCTION("""COMPUTED_VALUE"""),0.7916666666666666)</f>
        <v>0.7916666667</v>
      </c>
      <c r="D1916" s="8">
        <f>IFERROR(__xludf.DUMMYFUNCTION("""COMPUTED_VALUE"""),0.041)</f>
        <v>0.041</v>
      </c>
      <c r="E1916" s="8" t="str">
        <f>IFERROR(__xludf.DUMMYFUNCTION("""COMPUTED_VALUE"""),"Real")</f>
        <v>Real</v>
      </c>
      <c r="G1916" s="8">
        <f t="shared" si="1"/>
        <v>1</v>
      </c>
      <c r="H1916" s="14">
        <f t="shared" si="2"/>
        <v>19</v>
      </c>
      <c r="I1916" s="15">
        <f t="shared" si="3"/>
        <v>19</v>
      </c>
    </row>
    <row r="1917">
      <c r="A1917" s="8" t="str">
        <f>IFERROR(__xludf.DUMMYFUNCTION("IF('(INGESTA)Datos_consumo_datadis'!A1917&lt;&gt;"""",SPLIT('(INGESTA)Datos_consumo_datadis'!A:A,"",""),"""")"),"ES0031408323131005HX0F")</f>
        <v>ES0031408323131005HX0F</v>
      </c>
      <c r="B1917" s="12">
        <f>IFERROR(__xludf.DUMMYFUNCTION("""COMPUTED_VALUE"""),44945.0)</f>
        <v>44945</v>
      </c>
      <c r="C1917" s="13">
        <f>IFERROR(__xludf.DUMMYFUNCTION("""COMPUTED_VALUE"""),0.8333333333333334)</f>
        <v>0.8333333333</v>
      </c>
      <c r="D1917" s="8">
        <f>IFERROR(__xludf.DUMMYFUNCTION("""COMPUTED_VALUE"""),0.296)</f>
        <v>0.296</v>
      </c>
      <c r="E1917" s="8" t="str">
        <f>IFERROR(__xludf.DUMMYFUNCTION("""COMPUTED_VALUE"""),"Real")</f>
        <v>Real</v>
      </c>
      <c r="G1917" s="8">
        <f t="shared" si="1"/>
        <v>1</v>
      </c>
      <c r="H1917" s="14">
        <f t="shared" si="2"/>
        <v>19</v>
      </c>
      <c r="I1917" s="15">
        <f t="shared" si="3"/>
        <v>20</v>
      </c>
    </row>
    <row r="1918">
      <c r="A1918" s="8" t="str">
        <f>IFERROR(__xludf.DUMMYFUNCTION("IF('(INGESTA)Datos_consumo_datadis'!A1918&lt;&gt;"""",SPLIT('(INGESTA)Datos_consumo_datadis'!A:A,"",""),"""")"),"ES0031408323131005HX0F")</f>
        <v>ES0031408323131005HX0F</v>
      </c>
      <c r="B1918" s="12">
        <f>IFERROR(__xludf.DUMMYFUNCTION("""COMPUTED_VALUE"""),44945.0)</f>
        <v>44945</v>
      </c>
      <c r="C1918" s="13">
        <f>IFERROR(__xludf.DUMMYFUNCTION("""COMPUTED_VALUE"""),0.875)</f>
        <v>0.875</v>
      </c>
      <c r="D1918" s="8">
        <f>IFERROR(__xludf.DUMMYFUNCTION("""COMPUTED_VALUE"""),0.072)</f>
        <v>0.072</v>
      </c>
      <c r="E1918" s="8" t="str">
        <f>IFERROR(__xludf.DUMMYFUNCTION("""COMPUTED_VALUE"""),"Real")</f>
        <v>Real</v>
      </c>
      <c r="G1918" s="8">
        <f t="shared" si="1"/>
        <v>1</v>
      </c>
      <c r="H1918" s="14">
        <f t="shared" si="2"/>
        <v>19</v>
      </c>
      <c r="I1918" s="15">
        <f t="shared" si="3"/>
        <v>21</v>
      </c>
    </row>
    <row r="1919">
      <c r="A1919" s="8" t="str">
        <f>IFERROR(__xludf.DUMMYFUNCTION("IF('(INGESTA)Datos_consumo_datadis'!A1919&lt;&gt;"""",SPLIT('(INGESTA)Datos_consumo_datadis'!A:A,"",""),"""")"),"ES0031408323131005HX0F")</f>
        <v>ES0031408323131005HX0F</v>
      </c>
      <c r="B1919" s="12">
        <f>IFERROR(__xludf.DUMMYFUNCTION("""COMPUTED_VALUE"""),44945.0)</f>
        <v>44945</v>
      </c>
      <c r="C1919" s="13">
        <f>IFERROR(__xludf.DUMMYFUNCTION("""COMPUTED_VALUE"""),0.9166666666666666)</f>
        <v>0.9166666667</v>
      </c>
      <c r="D1919" s="8">
        <f>IFERROR(__xludf.DUMMYFUNCTION("""COMPUTED_VALUE"""),1.002)</f>
        <v>1.002</v>
      </c>
      <c r="E1919" s="8" t="str">
        <f>IFERROR(__xludf.DUMMYFUNCTION("""COMPUTED_VALUE"""),"Real")</f>
        <v>Real</v>
      </c>
      <c r="G1919" s="8">
        <f t="shared" si="1"/>
        <v>1</v>
      </c>
      <c r="H1919" s="14">
        <f t="shared" si="2"/>
        <v>19</v>
      </c>
      <c r="I1919" s="15">
        <f t="shared" si="3"/>
        <v>22</v>
      </c>
    </row>
    <row r="1920">
      <c r="A1920" s="8" t="str">
        <f>IFERROR(__xludf.DUMMYFUNCTION("IF('(INGESTA)Datos_consumo_datadis'!A1920&lt;&gt;"""",SPLIT('(INGESTA)Datos_consumo_datadis'!A:A,"",""),"""")"),"ES0031408323131005HX0F")</f>
        <v>ES0031408323131005HX0F</v>
      </c>
      <c r="B1920" s="12">
        <f>IFERROR(__xludf.DUMMYFUNCTION("""COMPUTED_VALUE"""),44945.0)</f>
        <v>44945</v>
      </c>
      <c r="C1920" s="13">
        <f>IFERROR(__xludf.DUMMYFUNCTION("""COMPUTED_VALUE"""),0.9583333333333334)</f>
        <v>0.9583333333</v>
      </c>
      <c r="D1920" s="8">
        <f>IFERROR(__xludf.DUMMYFUNCTION("""COMPUTED_VALUE"""),2.063)</f>
        <v>2.063</v>
      </c>
      <c r="E1920" s="8" t="str">
        <f>IFERROR(__xludf.DUMMYFUNCTION("""COMPUTED_VALUE"""),"Real")</f>
        <v>Real</v>
      </c>
      <c r="G1920" s="8">
        <f t="shared" si="1"/>
        <v>1</v>
      </c>
      <c r="H1920" s="14">
        <f t="shared" si="2"/>
        <v>19</v>
      </c>
      <c r="I1920" s="15">
        <f t="shared" si="3"/>
        <v>23</v>
      </c>
    </row>
    <row r="1921">
      <c r="A1921" s="8" t="str">
        <f>IFERROR(__xludf.DUMMYFUNCTION("IF('(INGESTA)Datos_consumo_datadis'!A1921&lt;&gt;"""",SPLIT('(INGESTA)Datos_consumo_datadis'!A:A,"",""),"""")"),"ES0031408323131005HX0F")</f>
        <v>ES0031408323131005HX0F</v>
      </c>
      <c r="B1921" s="12">
        <f>IFERROR(__xludf.DUMMYFUNCTION("""COMPUTED_VALUE"""),44945.0)</f>
        <v>44945</v>
      </c>
      <c r="C1921" s="16">
        <f>IFERROR(__xludf.DUMMYFUNCTION("""COMPUTED_VALUE"""),1.0)</f>
        <v>1</v>
      </c>
      <c r="D1921" s="8">
        <f>IFERROR(__xludf.DUMMYFUNCTION("""COMPUTED_VALUE"""),1.652)</f>
        <v>1.652</v>
      </c>
      <c r="E1921" s="8" t="str">
        <f>IFERROR(__xludf.DUMMYFUNCTION("""COMPUTED_VALUE"""),"Real")</f>
        <v>Real</v>
      </c>
      <c r="G1921" s="8">
        <f t="shared" si="1"/>
        <v>1</v>
      </c>
      <c r="H1921" s="14">
        <f t="shared" si="2"/>
        <v>19</v>
      </c>
      <c r="I1921" s="15">
        <f t="shared" si="3"/>
        <v>0</v>
      </c>
    </row>
    <row r="1922">
      <c r="A1922" s="8" t="str">
        <f>IFERROR(__xludf.DUMMYFUNCTION("IF('(INGESTA)Datos_consumo_datadis'!A1922&lt;&gt;"""",SPLIT('(INGESTA)Datos_consumo_datadis'!A:A,"",""),"""")"),"ES0031408323131005HX0F")</f>
        <v>ES0031408323131005HX0F</v>
      </c>
      <c r="B1922" s="12">
        <f>IFERROR(__xludf.DUMMYFUNCTION("""COMPUTED_VALUE"""),44946.0)</f>
        <v>44946</v>
      </c>
      <c r="C1922" s="13">
        <f>IFERROR(__xludf.DUMMYFUNCTION("""COMPUTED_VALUE"""),0.041666666666666664)</f>
        <v>0.04166666667</v>
      </c>
      <c r="D1922" s="8">
        <f>IFERROR(__xludf.DUMMYFUNCTION("""COMPUTED_VALUE"""),1.57)</f>
        <v>1.57</v>
      </c>
      <c r="E1922" s="8" t="str">
        <f>IFERROR(__xludf.DUMMYFUNCTION("""COMPUTED_VALUE"""),"Real")</f>
        <v>Real</v>
      </c>
      <c r="G1922" s="8">
        <f t="shared" si="1"/>
        <v>1</v>
      </c>
      <c r="H1922" s="14">
        <f t="shared" si="2"/>
        <v>20</v>
      </c>
      <c r="I1922" s="15">
        <f t="shared" si="3"/>
        <v>1</v>
      </c>
    </row>
    <row r="1923">
      <c r="A1923" s="8" t="str">
        <f>IFERROR(__xludf.DUMMYFUNCTION("IF('(INGESTA)Datos_consumo_datadis'!A1923&lt;&gt;"""",SPLIT('(INGESTA)Datos_consumo_datadis'!A:A,"",""),"""")"),"ES0031408323131005HX0F")</f>
        <v>ES0031408323131005HX0F</v>
      </c>
      <c r="B1923" s="12">
        <f>IFERROR(__xludf.DUMMYFUNCTION("""COMPUTED_VALUE"""),44946.0)</f>
        <v>44946</v>
      </c>
      <c r="C1923" s="13">
        <f>IFERROR(__xludf.DUMMYFUNCTION("""COMPUTED_VALUE"""),0.08333333333333333)</f>
        <v>0.08333333333</v>
      </c>
      <c r="D1923" s="8">
        <f>IFERROR(__xludf.DUMMYFUNCTION("""COMPUTED_VALUE"""),1.589)</f>
        <v>1.589</v>
      </c>
      <c r="E1923" s="8" t="str">
        <f>IFERROR(__xludf.DUMMYFUNCTION("""COMPUTED_VALUE"""),"Real")</f>
        <v>Real</v>
      </c>
      <c r="G1923" s="8">
        <f t="shared" si="1"/>
        <v>1</v>
      </c>
      <c r="H1923" s="14">
        <f t="shared" si="2"/>
        <v>20</v>
      </c>
      <c r="I1923" s="15">
        <f t="shared" si="3"/>
        <v>2</v>
      </c>
    </row>
    <row r="1924">
      <c r="A1924" s="8" t="str">
        <f>IFERROR(__xludf.DUMMYFUNCTION("IF('(INGESTA)Datos_consumo_datadis'!A1924&lt;&gt;"""",SPLIT('(INGESTA)Datos_consumo_datadis'!A:A,"",""),"""")"),"ES0031408323131005HX0F")</f>
        <v>ES0031408323131005HX0F</v>
      </c>
      <c r="B1924" s="12">
        <f>IFERROR(__xludf.DUMMYFUNCTION("""COMPUTED_VALUE"""),44946.0)</f>
        <v>44946</v>
      </c>
      <c r="C1924" s="13">
        <f>IFERROR(__xludf.DUMMYFUNCTION("""COMPUTED_VALUE"""),0.125)</f>
        <v>0.125</v>
      </c>
      <c r="D1924" s="8">
        <f>IFERROR(__xludf.DUMMYFUNCTION("""COMPUTED_VALUE"""),1.628)</f>
        <v>1.628</v>
      </c>
      <c r="E1924" s="8" t="str">
        <f>IFERROR(__xludf.DUMMYFUNCTION("""COMPUTED_VALUE"""),"Real")</f>
        <v>Real</v>
      </c>
      <c r="G1924" s="8">
        <f t="shared" si="1"/>
        <v>1</v>
      </c>
      <c r="H1924" s="14">
        <f t="shared" si="2"/>
        <v>20</v>
      </c>
      <c r="I1924" s="15">
        <f t="shared" si="3"/>
        <v>3</v>
      </c>
    </row>
    <row r="1925">
      <c r="A1925" s="8" t="str">
        <f>IFERROR(__xludf.DUMMYFUNCTION("IF('(INGESTA)Datos_consumo_datadis'!A1925&lt;&gt;"""",SPLIT('(INGESTA)Datos_consumo_datadis'!A:A,"",""),"""")"),"ES0031408323131005HX0F")</f>
        <v>ES0031408323131005HX0F</v>
      </c>
      <c r="B1925" s="12">
        <f>IFERROR(__xludf.DUMMYFUNCTION("""COMPUTED_VALUE"""),44946.0)</f>
        <v>44946</v>
      </c>
      <c r="C1925" s="13">
        <f>IFERROR(__xludf.DUMMYFUNCTION("""COMPUTED_VALUE"""),0.16666666666666666)</f>
        <v>0.1666666667</v>
      </c>
      <c r="D1925" s="8">
        <f>IFERROR(__xludf.DUMMYFUNCTION("""COMPUTED_VALUE"""),1.876)</f>
        <v>1.876</v>
      </c>
      <c r="E1925" s="8" t="str">
        <f>IFERROR(__xludf.DUMMYFUNCTION("""COMPUTED_VALUE"""),"Real")</f>
        <v>Real</v>
      </c>
      <c r="G1925" s="8">
        <f t="shared" si="1"/>
        <v>1</v>
      </c>
      <c r="H1925" s="14">
        <f t="shared" si="2"/>
        <v>20</v>
      </c>
      <c r="I1925" s="15">
        <f t="shared" si="3"/>
        <v>4</v>
      </c>
    </row>
    <row r="1926">
      <c r="A1926" s="8" t="str">
        <f>IFERROR(__xludf.DUMMYFUNCTION("IF('(INGESTA)Datos_consumo_datadis'!A1926&lt;&gt;"""",SPLIT('(INGESTA)Datos_consumo_datadis'!A:A,"",""),"""")"),"ES0031408323131005HX0F")</f>
        <v>ES0031408323131005HX0F</v>
      </c>
      <c r="B1926" s="12">
        <f>IFERROR(__xludf.DUMMYFUNCTION("""COMPUTED_VALUE"""),44946.0)</f>
        <v>44946</v>
      </c>
      <c r="C1926" s="13">
        <f>IFERROR(__xludf.DUMMYFUNCTION("""COMPUTED_VALUE"""),0.20833333333333334)</f>
        <v>0.2083333333</v>
      </c>
      <c r="D1926" s="8">
        <f>IFERROR(__xludf.DUMMYFUNCTION("""COMPUTED_VALUE"""),1.602)</f>
        <v>1.602</v>
      </c>
      <c r="E1926" s="8" t="str">
        <f>IFERROR(__xludf.DUMMYFUNCTION("""COMPUTED_VALUE"""),"Real")</f>
        <v>Real</v>
      </c>
      <c r="G1926" s="8">
        <f t="shared" si="1"/>
        <v>1</v>
      </c>
      <c r="H1926" s="14">
        <f t="shared" si="2"/>
        <v>20</v>
      </c>
      <c r="I1926" s="15">
        <f t="shared" si="3"/>
        <v>5</v>
      </c>
    </row>
    <row r="1927">
      <c r="A1927" s="8" t="str">
        <f>IFERROR(__xludf.DUMMYFUNCTION("IF('(INGESTA)Datos_consumo_datadis'!A1927&lt;&gt;"""",SPLIT('(INGESTA)Datos_consumo_datadis'!A:A,"",""),"""")"),"ES0031408323131005HX0F")</f>
        <v>ES0031408323131005HX0F</v>
      </c>
      <c r="B1927" s="12">
        <f>IFERROR(__xludf.DUMMYFUNCTION("""COMPUTED_VALUE"""),44946.0)</f>
        <v>44946</v>
      </c>
      <c r="C1927" s="13">
        <f>IFERROR(__xludf.DUMMYFUNCTION("""COMPUTED_VALUE"""),0.25)</f>
        <v>0.25</v>
      </c>
      <c r="D1927" s="8">
        <f>IFERROR(__xludf.DUMMYFUNCTION("""COMPUTED_VALUE"""),1.518)</f>
        <v>1.518</v>
      </c>
      <c r="E1927" s="8" t="str">
        <f>IFERROR(__xludf.DUMMYFUNCTION("""COMPUTED_VALUE"""),"Real")</f>
        <v>Real</v>
      </c>
      <c r="G1927" s="8">
        <f t="shared" si="1"/>
        <v>1</v>
      </c>
      <c r="H1927" s="14">
        <f t="shared" si="2"/>
        <v>20</v>
      </c>
      <c r="I1927" s="15">
        <f t="shared" si="3"/>
        <v>6</v>
      </c>
    </row>
    <row r="1928">
      <c r="A1928" s="8" t="str">
        <f>IFERROR(__xludf.DUMMYFUNCTION("IF('(INGESTA)Datos_consumo_datadis'!A1928&lt;&gt;"""",SPLIT('(INGESTA)Datos_consumo_datadis'!A:A,"",""),"""")"),"ES0031408323131005HX0F")</f>
        <v>ES0031408323131005HX0F</v>
      </c>
      <c r="B1928" s="12">
        <f>IFERROR(__xludf.DUMMYFUNCTION("""COMPUTED_VALUE"""),44946.0)</f>
        <v>44946</v>
      </c>
      <c r="C1928" s="13">
        <f>IFERROR(__xludf.DUMMYFUNCTION("""COMPUTED_VALUE"""),0.2916666666666667)</f>
        <v>0.2916666667</v>
      </c>
      <c r="D1928" s="8">
        <f>IFERROR(__xludf.DUMMYFUNCTION("""COMPUTED_VALUE"""),1.628)</f>
        <v>1.628</v>
      </c>
      <c r="E1928" s="8" t="str">
        <f>IFERROR(__xludf.DUMMYFUNCTION("""COMPUTED_VALUE"""),"Real")</f>
        <v>Real</v>
      </c>
      <c r="G1928" s="8">
        <f t="shared" si="1"/>
        <v>1</v>
      </c>
      <c r="H1928" s="14">
        <f t="shared" si="2"/>
        <v>20</v>
      </c>
      <c r="I1928" s="15">
        <f t="shared" si="3"/>
        <v>7</v>
      </c>
    </row>
    <row r="1929">
      <c r="A1929" s="8" t="str">
        <f>IFERROR(__xludf.DUMMYFUNCTION("IF('(INGESTA)Datos_consumo_datadis'!A1929&lt;&gt;"""",SPLIT('(INGESTA)Datos_consumo_datadis'!A:A,"",""),"""")"),"ES0031408323131005HX0F")</f>
        <v>ES0031408323131005HX0F</v>
      </c>
      <c r="B1929" s="12">
        <f>IFERROR(__xludf.DUMMYFUNCTION("""COMPUTED_VALUE"""),44946.0)</f>
        <v>44946</v>
      </c>
      <c r="C1929" s="13">
        <f>IFERROR(__xludf.DUMMYFUNCTION("""COMPUTED_VALUE"""),0.3333333333333333)</f>
        <v>0.3333333333</v>
      </c>
      <c r="D1929" s="8">
        <f>IFERROR(__xludf.DUMMYFUNCTION("""COMPUTED_VALUE"""),1.232)</f>
        <v>1.232</v>
      </c>
      <c r="E1929" s="8" t="str">
        <f>IFERROR(__xludf.DUMMYFUNCTION("""COMPUTED_VALUE"""),"Real")</f>
        <v>Real</v>
      </c>
      <c r="G1929" s="8">
        <f t="shared" si="1"/>
        <v>1</v>
      </c>
      <c r="H1929" s="14">
        <f t="shared" si="2"/>
        <v>20</v>
      </c>
      <c r="I1929" s="15">
        <f t="shared" si="3"/>
        <v>8</v>
      </c>
    </row>
    <row r="1930">
      <c r="A1930" s="8" t="str">
        <f>IFERROR(__xludf.DUMMYFUNCTION("IF('(INGESTA)Datos_consumo_datadis'!A1930&lt;&gt;"""",SPLIT('(INGESTA)Datos_consumo_datadis'!A:A,"",""),"""")"),"ES0031408323131005HX0F")</f>
        <v>ES0031408323131005HX0F</v>
      </c>
      <c r="B1930" s="12">
        <f>IFERROR(__xludf.DUMMYFUNCTION("""COMPUTED_VALUE"""),44946.0)</f>
        <v>44946</v>
      </c>
      <c r="C1930" s="13">
        <f>IFERROR(__xludf.DUMMYFUNCTION("""COMPUTED_VALUE"""),0.375)</f>
        <v>0.375</v>
      </c>
      <c r="D1930" s="8">
        <f>IFERROR(__xludf.DUMMYFUNCTION("""COMPUTED_VALUE"""),0.015)</f>
        <v>0.015</v>
      </c>
      <c r="E1930" s="8" t="str">
        <f>IFERROR(__xludf.DUMMYFUNCTION("""COMPUTED_VALUE"""),"Real")</f>
        <v>Real</v>
      </c>
      <c r="G1930" s="8">
        <f t="shared" si="1"/>
        <v>1</v>
      </c>
      <c r="H1930" s="14">
        <f t="shared" si="2"/>
        <v>20</v>
      </c>
      <c r="I1930" s="15">
        <f t="shared" si="3"/>
        <v>9</v>
      </c>
    </row>
    <row r="1931">
      <c r="A1931" s="8" t="str">
        <f>IFERROR(__xludf.DUMMYFUNCTION("IF('(INGESTA)Datos_consumo_datadis'!A1931&lt;&gt;"""",SPLIT('(INGESTA)Datos_consumo_datadis'!A:A,"",""),"""")"),"ES0031408323131005HX0F")</f>
        <v>ES0031408323131005HX0F</v>
      </c>
      <c r="B1931" s="12">
        <f>IFERROR(__xludf.DUMMYFUNCTION("""COMPUTED_VALUE"""),44946.0)</f>
        <v>44946</v>
      </c>
      <c r="C1931" s="13">
        <f>IFERROR(__xludf.DUMMYFUNCTION("""COMPUTED_VALUE"""),0.4166666666666667)</f>
        <v>0.4166666667</v>
      </c>
      <c r="D1931" s="8">
        <f>IFERROR(__xludf.DUMMYFUNCTION("""COMPUTED_VALUE"""),0.104)</f>
        <v>0.104</v>
      </c>
      <c r="E1931" s="8" t="str">
        <f>IFERROR(__xludf.DUMMYFUNCTION("""COMPUTED_VALUE"""),"Real")</f>
        <v>Real</v>
      </c>
      <c r="G1931" s="8">
        <f t="shared" si="1"/>
        <v>1</v>
      </c>
      <c r="H1931" s="14">
        <f t="shared" si="2"/>
        <v>20</v>
      </c>
      <c r="I1931" s="15">
        <f t="shared" si="3"/>
        <v>10</v>
      </c>
    </row>
    <row r="1932">
      <c r="A1932" s="8" t="str">
        <f>IFERROR(__xludf.DUMMYFUNCTION("IF('(INGESTA)Datos_consumo_datadis'!A1932&lt;&gt;"""",SPLIT('(INGESTA)Datos_consumo_datadis'!A:A,"",""),"""")"),"ES0031408323131005HX0F")</f>
        <v>ES0031408323131005HX0F</v>
      </c>
      <c r="B1932" s="12">
        <f>IFERROR(__xludf.DUMMYFUNCTION("""COMPUTED_VALUE"""),44946.0)</f>
        <v>44946</v>
      </c>
      <c r="C1932" s="13">
        <f>IFERROR(__xludf.DUMMYFUNCTION("""COMPUTED_VALUE"""),0.4583333333333333)</f>
        <v>0.4583333333</v>
      </c>
      <c r="D1932" s="8">
        <f>IFERROR(__xludf.DUMMYFUNCTION("""COMPUTED_VALUE"""),1.234)</f>
        <v>1.234</v>
      </c>
      <c r="E1932" s="8" t="str">
        <f>IFERROR(__xludf.DUMMYFUNCTION("""COMPUTED_VALUE"""),"Real")</f>
        <v>Real</v>
      </c>
      <c r="G1932" s="8">
        <f t="shared" si="1"/>
        <v>1</v>
      </c>
      <c r="H1932" s="14">
        <f t="shared" si="2"/>
        <v>20</v>
      </c>
      <c r="I1932" s="15">
        <f t="shared" si="3"/>
        <v>11</v>
      </c>
    </row>
    <row r="1933">
      <c r="A1933" s="8" t="str">
        <f>IFERROR(__xludf.DUMMYFUNCTION("IF('(INGESTA)Datos_consumo_datadis'!A1933&lt;&gt;"""",SPLIT('(INGESTA)Datos_consumo_datadis'!A:A,"",""),"""")"),"ES0031408323131005HX0F")</f>
        <v>ES0031408323131005HX0F</v>
      </c>
      <c r="B1933" s="12">
        <f>IFERROR(__xludf.DUMMYFUNCTION("""COMPUTED_VALUE"""),44946.0)</f>
        <v>44946</v>
      </c>
      <c r="C1933" s="13">
        <f>IFERROR(__xludf.DUMMYFUNCTION("""COMPUTED_VALUE"""),0.5)</f>
        <v>0.5</v>
      </c>
      <c r="D1933" s="8">
        <f>IFERROR(__xludf.DUMMYFUNCTION("""COMPUTED_VALUE"""),1.04)</f>
        <v>1.04</v>
      </c>
      <c r="E1933" s="8" t="str">
        <f>IFERROR(__xludf.DUMMYFUNCTION("""COMPUTED_VALUE"""),"Real")</f>
        <v>Real</v>
      </c>
      <c r="G1933" s="8">
        <f t="shared" si="1"/>
        <v>1</v>
      </c>
      <c r="H1933" s="14">
        <f t="shared" si="2"/>
        <v>20</v>
      </c>
      <c r="I1933" s="15">
        <f t="shared" si="3"/>
        <v>12</v>
      </c>
    </row>
    <row r="1934">
      <c r="A1934" s="8" t="str">
        <f>IFERROR(__xludf.DUMMYFUNCTION("IF('(INGESTA)Datos_consumo_datadis'!A1934&lt;&gt;"""",SPLIT('(INGESTA)Datos_consumo_datadis'!A:A,"",""),"""")"),"ES0031408323131005HX0F")</f>
        <v>ES0031408323131005HX0F</v>
      </c>
      <c r="B1934" s="12">
        <f>IFERROR(__xludf.DUMMYFUNCTION("""COMPUTED_VALUE"""),44946.0)</f>
        <v>44946</v>
      </c>
      <c r="C1934" s="13">
        <f>IFERROR(__xludf.DUMMYFUNCTION("""COMPUTED_VALUE"""),0.5416666666666666)</f>
        <v>0.5416666667</v>
      </c>
      <c r="D1934" s="8">
        <f>IFERROR(__xludf.DUMMYFUNCTION("""COMPUTED_VALUE"""),1.337)</f>
        <v>1.337</v>
      </c>
      <c r="E1934" s="8" t="str">
        <f>IFERROR(__xludf.DUMMYFUNCTION("""COMPUTED_VALUE"""),"Real")</f>
        <v>Real</v>
      </c>
      <c r="G1934" s="8">
        <f t="shared" si="1"/>
        <v>1</v>
      </c>
      <c r="H1934" s="14">
        <f t="shared" si="2"/>
        <v>20</v>
      </c>
      <c r="I1934" s="15">
        <f t="shared" si="3"/>
        <v>13</v>
      </c>
    </row>
    <row r="1935">
      <c r="A1935" s="8" t="str">
        <f>IFERROR(__xludf.DUMMYFUNCTION("IF('(INGESTA)Datos_consumo_datadis'!A1935&lt;&gt;"""",SPLIT('(INGESTA)Datos_consumo_datadis'!A:A,"",""),"""")"),"ES0031408323131005HX0F")</f>
        <v>ES0031408323131005HX0F</v>
      </c>
      <c r="B1935" s="12">
        <f>IFERROR(__xludf.DUMMYFUNCTION("""COMPUTED_VALUE"""),44946.0)</f>
        <v>44946</v>
      </c>
      <c r="C1935" s="13">
        <f>IFERROR(__xludf.DUMMYFUNCTION("""COMPUTED_VALUE"""),0.5833333333333334)</f>
        <v>0.5833333333</v>
      </c>
      <c r="D1935" s="8">
        <f>IFERROR(__xludf.DUMMYFUNCTION("""COMPUTED_VALUE"""),1.035)</f>
        <v>1.035</v>
      </c>
      <c r="E1935" s="8" t="str">
        <f>IFERROR(__xludf.DUMMYFUNCTION("""COMPUTED_VALUE"""),"Real")</f>
        <v>Real</v>
      </c>
      <c r="G1935" s="8">
        <f t="shared" si="1"/>
        <v>1</v>
      </c>
      <c r="H1935" s="14">
        <f t="shared" si="2"/>
        <v>20</v>
      </c>
      <c r="I1935" s="15">
        <f t="shared" si="3"/>
        <v>14</v>
      </c>
    </row>
    <row r="1936">
      <c r="A1936" s="8" t="str">
        <f>IFERROR(__xludf.DUMMYFUNCTION("IF('(INGESTA)Datos_consumo_datadis'!A1936&lt;&gt;"""",SPLIT('(INGESTA)Datos_consumo_datadis'!A:A,"",""),"""")"),"ES0031408323131005HX0F")</f>
        <v>ES0031408323131005HX0F</v>
      </c>
      <c r="B1936" s="12">
        <f>IFERROR(__xludf.DUMMYFUNCTION("""COMPUTED_VALUE"""),44946.0)</f>
        <v>44946</v>
      </c>
      <c r="C1936" s="13">
        <f>IFERROR(__xludf.DUMMYFUNCTION("""COMPUTED_VALUE"""),0.625)</f>
        <v>0.625</v>
      </c>
      <c r="D1936" s="8">
        <f>IFERROR(__xludf.DUMMYFUNCTION("""COMPUTED_VALUE"""),0.072)</f>
        <v>0.072</v>
      </c>
      <c r="E1936" s="8" t="str">
        <f>IFERROR(__xludf.DUMMYFUNCTION("""COMPUTED_VALUE"""),"Real")</f>
        <v>Real</v>
      </c>
      <c r="G1936" s="8">
        <f t="shared" si="1"/>
        <v>1</v>
      </c>
      <c r="H1936" s="14">
        <f t="shared" si="2"/>
        <v>20</v>
      </c>
      <c r="I1936" s="15">
        <f t="shared" si="3"/>
        <v>15</v>
      </c>
    </row>
    <row r="1937">
      <c r="A1937" s="8" t="str">
        <f>IFERROR(__xludf.DUMMYFUNCTION("IF('(INGESTA)Datos_consumo_datadis'!A1937&lt;&gt;"""",SPLIT('(INGESTA)Datos_consumo_datadis'!A:A,"",""),"""")"),"ES0031408323131005HX0F")</f>
        <v>ES0031408323131005HX0F</v>
      </c>
      <c r="B1937" s="12">
        <f>IFERROR(__xludf.DUMMYFUNCTION("""COMPUTED_VALUE"""),44946.0)</f>
        <v>44946</v>
      </c>
      <c r="C1937" s="13">
        <f>IFERROR(__xludf.DUMMYFUNCTION("""COMPUTED_VALUE"""),0.6666666666666666)</f>
        <v>0.6666666667</v>
      </c>
      <c r="D1937" s="8">
        <f>IFERROR(__xludf.DUMMYFUNCTION("""COMPUTED_VALUE"""),0.069)</f>
        <v>0.069</v>
      </c>
      <c r="E1937" s="8" t="str">
        <f>IFERROR(__xludf.DUMMYFUNCTION("""COMPUTED_VALUE"""),"Real")</f>
        <v>Real</v>
      </c>
      <c r="G1937" s="8">
        <f t="shared" si="1"/>
        <v>1</v>
      </c>
      <c r="H1937" s="14">
        <f t="shared" si="2"/>
        <v>20</v>
      </c>
      <c r="I1937" s="15">
        <f t="shared" si="3"/>
        <v>16</v>
      </c>
    </row>
    <row r="1938">
      <c r="A1938" s="8" t="str">
        <f>IFERROR(__xludf.DUMMYFUNCTION("IF('(INGESTA)Datos_consumo_datadis'!A1938&lt;&gt;"""",SPLIT('(INGESTA)Datos_consumo_datadis'!A:A,"",""),"""")"),"ES0031408323131005HX0F")</f>
        <v>ES0031408323131005HX0F</v>
      </c>
      <c r="B1938" s="12">
        <f>IFERROR(__xludf.DUMMYFUNCTION("""COMPUTED_VALUE"""),44946.0)</f>
        <v>44946</v>
      </c>
      <c r="C1938" s="13">
        <f>IFERROR(__xludf.DUMMYFUNCTION("""COMPUTED_VALUE"""),0.7083333333333334)</f>
        <v>0.7083333333</v>
      </c>
      <c r="D1938" s="8">
        <f>IFERROR(__xludf.DUMMYFUNCTION("""COMPUTED_VALUE"""),0.017)</f>
        <v>0.017</v>
      </c>
      <c r="E1938" s="8" t="str">
        <f>IFERROR(__xludf.DUMMYFUNCTION("""COMPUTED_VALUE"""),"Real")</f>
        <v>Real</v>
      </c>
      <c r="G1938" s="8">
        <f t="shared" si="1"/>
        <v>1</v>
      </c>
      <c r="H1938" s="14">
        <f t="shared" si="2"/>
        <v>20</v>
      </c>
      <c r="I1938" s="15">
        <f t="shared" si="3"/>
        <v>17</v>
      </c>
    </row>
    <row r="1939">
      <c r="A1939" s="8" t="str">
        <f>IFERROR(__xludf.DUMMYFUNCTION("IF('(INGESTA)Datos_consumo_datadis'!A1939&lt;&gt;"""",SPLIT('(INGESTA)Datos_consumo_datadis'!A:A,"",""),"""")"),"ES0031408323131005HX0F")</f>
        <v>ES0031408323131005HX0F</v>
      </c>
      <c r="B1939" s="12">
        <f>IFERROR(__xludf.DUMMYFUNCTION("""COMPUTED_VALUE"""),44946.0)</f>
        <v>44946</v>
      </c>
      <c r="C1939" s="13">
        <f>IFERROR(__xludf.DUMMYFUNCTION("""COMPUTED_VALUE"""),0.75)</f>
        <v>0.75</v>
      </c>
      <c r="D1939" s="8">
        <f>IFERROR(__xludf.DUMMYFUNCTION("""COMPUTED_VALUE"""),0.316)</f>
        <v>0.316</v>
      </c>
      <c r="E1939" s="8" t="str">
        <f>IFERROR(__xludf.DUMMYFUNCTION("""COMPUTED_VALUE"""),"Real")</f>
        <v>Real</v>
      </c>
      <c r="G1939" s="8">
        <f t="shared" si="1"/>
        <v>1</v>
      </c>
      <c r="H1939" s="14">
        <f t="shared" si="2"/>
        <v>20</v>
      </c>
      <c r="I1939" s="15">
        <f t="shared" si="3"/>
        <v>18</v>
      </c>
    </row>
    <row r="1940">
      <c r="A1940" s="8" t="str">
        <f>IFERROR(__xludf.DUMMYFUNCTION("IF('(INGESTA)Datos_consumo_datadis'!A1940&lt;&gt;"""",SPLIT('(INGESTA)Datos_consumo_datadis'!A:A,"",""),"""")"),"ES0031408323131005HX0F")</f>
        <v>ES0031408323131005HX0F</v>
      </c>
      <c r="B1940" s="12">
        <f>IFERROR(__xludf.DUMMYFUNCTION("""COMPUTED_VALUE"""),44946.0)</f>
        <v>44946</v>
      </c>
      <c r="C1940" s="13">
        <f>IFERROR(__xludf.DUMMYFUNCTION("""COMPUTED_VALUE"""),0.7916666666666666)</f>
        <v>0.7916666667</v>
      </c>
      <c r="D1940" s="8">
        <f>IFERROR(__xludf.DUMMYFUNCTION("""COMPUTED_VALUE"""),0.062)</f>
        <v>0.062</v>
      </c>
      <c r="E1940" s="8" t="str">
        <f>IFERROR(__xludf.DUMMYFUNCTION("""COMPUTED_VALUE"""),"Real")</f>
        <v>Real</v>
      </c>
      <c r="G1940" s="8">
        <f t="shared" si="1"/>
        <v>1</v>
      </c>
      <c r="H1940" s="14">
        <f t="shared" si="2"/>
        <v>20</v>
      </c>
      <c r="I1940" s="15">
        <f t="shared" si="3"/>
        <v>19</v>
      </c>
    </row>
    <row r="1941">
      <c r="A1941" s="8" t="str">
        <f>IFERROR(__xludf.DUMMYFUNCTION("IF('(INGESTA)Datos_consumo_datadis'!A1941&lt;&gt;"""",SPLIT('(INGESTA)Datos_consumo_datadis'!A:A,"",""),"""")"),"ES0031408323131005HX0F")</f>
        <v>ES0031408323131005HX0F</v>
      </c>
      <c r="B1941" s="12">
        <f>IFERROR(__xludf.DUMMYFUNCTION("""COMPUTED_VALUE"""),44946.0)</f>
        <v>44946</v>
      </c>
      <c r="C1941" s="13">
        <f>IFERROR(__xludf.DUMMYFUNCTION("""COMPUTED_VALUE"""),0.8333333333333334)</f>
        <v>0.8333333333</v>
      </c>
      <c r="D1941" s="8">
        <f>IFERROR(__xludf.DUMMYFUNCTION("""COMPUTED_VALUE"""),0.04)</f>
        <v>0.04</v>
      </c>
      <c r="E1941" s="8" t="str">
        <f>IFERROR(__xludf.DUMMYFUNCTION("""COMPUTED_VALUE"""),"Real")</f>
        <v>Real</v>
      </c>
      <c r="G1941" s="8">
        <f t="shared" si="1"/>
        <v>1</v>
      </c>
      <c r="H1941" s="14">
        <f t="shared" si="2"/>
        <v>20</v>
      </c>
      <c r="I1941" s="15">
        <f t="shared" si="3"/>
        <v>20</v>
      </c>
    </row>
    <row r="1942">
      <c r="A1942" s="8" t="str">
        <f>IFERROR(__xludf.DUMMYFUNCTION("IF('(INGESTA)Datos_consumo_datadis'!A1942&lt;&gt;"""",SPLIT('(INGESTA)Datos_consumo_datadis'!A:A,"",""),"""")"),"ES0031408323131005HX0F")</f>
        <v>ES0031408323131005HX0F</v>
      </c>
      <c r="B1942" s="12">
        <f>IFERROR(__xludf.DUMMYFUNCTION("""COMPUTED_VALUE"""),44946.0)</f>
        <v>44946</v>
      </c>
      <c r="C1942" s="13">
        <f>IFERROR(__xludf.DUMMYFUNCTION("""COMPUTED_VALUE"""),0.875)</f>
        <v>0.875</v>
      </c>
      <c r="D1942" s="8">
        <f>IFERROR(__xludf.DUMMYFUNCTION("""COMPUTED_VALUE"""),0.015)</f>
        <v>0.015</v>
      </c>
      <c r="E1942" s="8" t="str">
        <f>IFERROR(__xludf.DUMMYFUNCTION("""COMPUTED_VALUE"""),"Real")</f>
        <v>Real</v>
      </c>
      <c r="G1942" s="8">
        <f t="shared" si="1"/>
        <v>1</v>
      </c>
      <c r="H1942" s="14">
        <f t="shared" si="2"/>
        <v>20</v>
      </c>
      <c r="I1942" s="15">
        <f t="shared" si="3"/>
        <v>21</v>
      </c>
    </row>
    <row r="1943">
      <c r="A1943" s="8" t="str">
        <f>IFERROR(__xludf.DUMMYFUNCTION("IF('(INGESTA)Datos_consumo_datadis'!A1943&lt;&gt;"""",SPLIT('(INGESTA)Datos_consumo_datadis'!A:A,"",""),"""")"),"ES0031408323131005HX0F")</f>
        <v>ES0031408323131005HX0F</v>
      </c>
      <c r="B1943" s="12">
        <f>IFERROR(__xludf.DUMMYFUNCTION("""COMPUTED_VALUE"""),44946.0)</f>
        <v>44946</v>
      </c>
      <c r="C1943" s="13">
        <f>IFERROR(__xludf.DUMMYFUNCTION("""COMPUTED_VALUE"""),0.9166666666666666)</f>
        <v>0.9166666667</v>
      </c>
      <c r="D1943" s="8">
        <f>IFERROR(__xludf.DUMMYFUNCTION("""COMPUTED_VALUE"""),0.278)</f>
        <v>0.278</v>
      </c>
      <c r="E1943" s="8" t="str">
        <f>IFERROR(__xludf.DUMMYFUNCTION("""COMPUTED_VALUE"""),"Real")</f>
        <v>Real</v>
      </c>
      <c r="G1943" s="8">
        <f t="shared" si="1"/>
        <v>1</v>
      </c>
      <c r="H1943" s="14">
        <f t="shared" si="2"/>
        <v>20</v>
      </c>
      <c r="I1943" s="15">
        <f t="shared" si="3"/>
        <v>22</v>
      </c>
    </row>
    <row r="1944">
      <c r="A1944" s="8" t="str">
        <f>IFERROR(__xludf.DUMMYFUNCTION("IF('(INGESTA)Datos_consumo_datadis'!A1944&lt;&gt;"""",SPLIT('(INGESTA)Datos_consumo_datadis'!A:A,"",""),"""")"),"ES0031408323131005HX0F")</f>
        <v>ES0031408323131005HX0F</v>
      </c>
      <c r="B1944" s="12">
        <f>IFERROR(__xludf.DUMMYFUNCTION("""COMPUTED_VALUE"""),44946.0)</f>
        <v>44946</v>
      </c>
      <c r="C1944" s="13">
        <f>IFERROR(__xludf.DUMMYFUNCTION("""COMPUTED_VALUE"""),0.9583333333333334)</f>
        <v>0.9583333333</v>
      </c>
      <c r="D1944" s="8">
        <f>IFERROR(__xludf.DUMMYFUNCTION("""COMPUTED_VALUE"""),2.792)</f>
        <v>2.792</v>
      </c>
      <c r="E1944" s="8" t="str">
        <f>IFERROR(__xludf.DUMMYFUNCTION("""COMPUTED_VALUE"""),"Real")</f>
        <v>Real</v>
      </c>
      <c r="G1944" s="8">
        <f t="shared" si="1"/>
        <v>1</v>
      </c>
      <c r="H1944" s="14">
        <f t="shared" si="2"/>
        <v>20</v>
      </c>
      <c r="I1944" s="15">
        <f t="shared" si="3"/>
        <v>23</v>
      </c>
    </row>
    <row r="1945">
      <c r="A1945" s="8" t="str">
        <f>IFERROR(__xludf.DUMMYFUNCTION("IF('(INGESTA)Datos_consumo_datadis'!A1945&lt;&gt;"""",SPLIT('(INGESTA)Datos_consumo_datadis'!A:A,"",""),"""")"),"ES0031408323131005HX0F")</f>
        <v>ES0031408323131005HX0F</v>
      </c>
      <c r="B1945" s="12">
        <f>IFERROR(__xludf.DUMMYFUNCTION("""COMPUTED_VALUE"""),44946.0)</f>
        <v>44946</v>
      </c>
      <c r="C1945" s="16">
        <f>IFERROR(__xludf.DUMMYFUNCTION("""COMPUTED_VALUE"""),1.0)</f>
        <v>1</v>
      </c>
      <c r="D1945" s="8">
        <f>IFERROR(__xludf.DUMMYFUNCTION("""COMPUTED_VALUE"""),2.051)</f>
        <v>2.051</v>
      </c>
      <c r="E1945" s="8" t="str">
        <f>IFERROR(__xludf.DUMMYFUNCTION("""COMPUTED_VALUE"""),"Real")</f>
        <v>Real</v>
      </c>
      <c r="G1945" s="8">
        <f t="shared" si="1"/>
        <v>1</v>
      </c>
      <c r="H1945" s="14">
        <f t="shared" si="2"/>
        <v>20</v>
      </c>
      <c r="I1945" s="15">
        <f t="shared" si="3"/>
        <v>0</v>
      </c>
    </row>
    <row r="1946">
      <c r="A1946" s="8" t="str">
        <f>IFERROR(__xludf.DUMMYFUNCTION("IF('(INGESTA)Datos_consumo_datadis'!A1946&lt;&gt;"""",SPLIT('(INGESTA)Datos_consumo_datadis'!A:A,"",""),"""")"),"ES0031408323131005HX0F")</f>
        <v>ES0031408323131005HX0F</v>
      </c>
      <c r="B1946" s="12">
        <f>IFERROR(__xludf.DUMMYFUNCTION("""COMPUTED_VALUE"""),44947.0)</f>
        <v>44947</v>
      </c>
      <c r="C1946" s="13">
        <f>IFERROR(__xludf.DUMMYFUNCTION("""COMPUTED_VALUE"""),0.041666666666666664)</f>
        <v>0.04166666667</v>
      </c>
      <c r="D1946" s="8">
        <f>IFERROR(__xludf.DUMMYFUNCTION("""COMPUTED_VALUE"""),1.519)</f>
        <v>1.519</v>
      </c>
      <c r="E1946" s="8" t="str">
        <f>IFERROR(__xludf.DUMMYFUNCTION("""COMPUTED_VALUE"""),"Real")</f>
        <v>Real</v>
      </c>
      <c r="G1946" s="8">
        <f t="shared" si="1"/>
        <v>1</v>
      </c>
      <c r="H1946" s="14">
        <f t="shared" si="2"/>
        <v>21</v>
      </c>
      <c r="I1946" s="15">
        <f t="shared" si="3"/>
        <v>1</v>
      </c>
    </row>
    <row r="1947">
      <c r="A1947" s="8" t="str">
        <f>IFERROR(__xludf.DUMMYFUNCTION("IF('(INGESTA)Datos_consumo_datadis'!A1947&lt;&gt;"""",SPLIT('(INGESTA)Datos_consumo_datadis'!A:A,"",""),"""")"),"ES0031408323131005HX0F")</f>
        <v>ES0031408323131005HX0F</v>
      </c>
      <c r="B1947" s="12">
        <f>IFERROR(__xludf.DUMMYFUNCTION("""COMPUTED_VALUE"""),44947.0)</f>
        <v>44947</v>
      </c>
      <c r="C1947" s="13">
        <f>IFERROR(__xludf.DUMMYFUNCTION("""COMPUTED_VALUE"""),0.08333333333333333)</f>
        <v>0.08333333333</v>
      </c>
      <c r="D1947" s="8">
        <f>IFERROR(__xludf.DUMMYFUNCTION("""COMPUTED_VALUE"""),1.446)</f>
        <v>1.446</v>
      </c>
      <c r="E1947" s="8" t="str">
        <f>IFERROR(__xludf.DUMMYFUNCTION("""COMPUTED_VALUE"""),"Real")</f>
        <v>Real</v>
      </c>
      <c r="G1947" s="8">
        <f t="shared" si="1"/>
        <v>1</v>
      </c>
      <c r="H1947" s="14">
        <f t="shared" si="2"/>
        <v>21</v>
      </c>
      <c r="I1947" s="15">
        <f t="shared" si="3"/>
        <v>2</v>
      </c>
    </row>
    <row r="1948">
      <c r="A1948" s="8" t="str">
        <f>IFERROR(__xludf.DUMMYFUNCTION("IF('(INGESTA)Datos_consumo_datadis'!A1948&lt;&gt;"""",SPLIT('(INGESTA)Datos_consumo_datadis'!A:A,"",""),"""")"),"ES0031408323131005HX0F")</f>
        <v>ES0031408323131005HX0F</v>
      </c>
      <c r="B1948" s="12">
        <f>IFERROR(__xludf.DUMMYFUNCTION("""COMPUTED_VALUE"""),44947.0)</f>
        <v>44947</v>
      </c>
      <c r="C1948" s="13">
        <f>IFERROR(__xludf.DUMMYFUNCTION("""COMPUTED_VALUE"""),0.125)</f>
        <v>0.125</v>
      </c>
      <c r="D1948" s="8">
        <f>IFERROR(__xludf.DUMMYFUNCTION("""COMPUTED_VALUE"""),1.454)</f>
        <v>1.454</v>
      </c>
      <c r="E1948" s="8" t="str">
        <f>IFERROR(__xludf.DUMMYFUNCTION("""COMPUTED_VALUE"""),"Real")</f>
        <v>Real</v>
      </c>
      <c r="G1948" s="8">
        <f t="shared" si="1"/>
        <v>1</v>
      </c>
      <c r="H1948" s="14">
        <f t="shared" si="2"/>
        <v>21</v>
      </c>
      <c r="I1948" s="15">
        <f t="shared" si="3"/>
        <v>3</v>
      </c>
    </row>
    <row r="1949">
      <c r="A1949" s="8" t="str">
        <f>IFERROR(__xludf.DUMMYFUNCTION("IF('(INGESTA)Datos_consumo_datadis'!A1949&lt;&gt;"""",SPLIT('(INGESTA)Datos_consumo_datadis'!A:A,"",""),"""")"),"ES0031408323131005HX0F")</f>
        <v>ES0031408323131005HX0F</v>
      </c>
      <c r="B1949" s="12">
        <f>IFERROR(__xludf.DUMMYFUNCTION("""COMPUTED_VALUE"""),44947.0)</f>
        <v>44947</v>
      </c>
      <c r="C1949" s="13">
        <f>IFERROR(__xludf.DUMMYFUNCTION("""COMPUTED_VALUE"""),0.16666666666666666)</f>
        <v>0.1666666667</v>
      </c>
      <c r="D1949" s="8">
        <f>IFERROR(__xludf.DUMMYFUNCTION("""COMPUTED_VALUE"""),1.766)</f>
        <v>1.766</v>
      </c>
      <c r="E1949" s="8" t="str">
        <f>IFERROR(__xludf.DUMMYFUNCTION("""COMPUTED_VALUE"""),"Real")</f>
        <v>Real</v>
      </c>
      <c r="G1949" s="8">
        <f t="shared" si="1"/>
        <v>1</v>
      </c>
      <c r="H1949" s="14">
        <f t="shared" si="2"/>
        <v>21</v>
      </c>
      <c r="I1949" s="15">
        <f t="shared" si="3"/>
        <v>4</v>
      </c>
    </row>
    <row r="1950">
      <c r="A1950" s="8" t="str">
        <f>IFERROR(__xludf.DUMMYFUNCTION("IF('(INGESTA)Datos_consumo_datadis'!A1950&lt;&gt;"""",SPLIT('(INGESTA)Datos_consumo_datadis'!A:A,"",""),"""")"),"ES0031408323131005HX0F")</f>
        <v>ES0031408323131005HX0F</v>
      </c>
      <c r="B1950" s="12">
        <f>IFERROR(__xludf.DUMMYFUNCTION("""COMPUTED_VALUE"""),44947.0)</f>
        <v>44947</v>
      </c>
      <c r="C1950" s="13">
        <f>IFERROR(__xludf.DUMMYFUNCTION("""COMPUTED_VALUE"""),0.20833333333333334)</f>
        <v>0.2083333333</v>
      </c>
      <c r="D1950" s="8">
        <f>IFERROR(__xludf.DUMMYFUNCTION("""COMPUTED_VALUE"""),1.484)</f>
        <v>1.484</v>
      </c>
      <c r="E1950" s="8" t="str">
        <f>IFERROR(__xludf.DUMMYFUNCTION("""COMPUTED_VALUE"""),"Real")</f>
        <v>Real</v>
      </c>
      <c r="G1950" s="8">
        <f t="shared" si="1"/>
        <v>1</v>
      </c>
      <c r="H1950" s="14">
        <f t="shared" si="2"/>
        <v>21</v>
      </c>
      <c r="I1950" s="15">
        <f t="shared" si="3"/>
        <v>5</v>
      </c>
    </row>
    <row r="1951">
      <c r="A1951" s="8" t="str">
        <f>IFERROR(__xludf.DUMMYFUNCTION("IF('(INGESTA)Datos_consumo_datadis'!A1951&lt;&gt;"""",SPLIT('(INGESTA)Datos_consumo_datadis'!A:A,"",""),"""")"),"ES0031408323131005HX0F")</f>
        <v>ES0031408323131005HX0F</v>
      </c>
      <c r="B1951" s="12">
        <f>IFERROR(__xludf.DUMMYFUNCTION("""COMPUTED_VALUE"""),44947.0)</f>
        <v>44947</v>
      </c>
      <c r="C1951" s="13">
        <f>IFERROR(__xludf.DUMMYFUNCTION("""COMPUTED_VALUE"""),0.25)</f>
        <v>0.25</v>
      </c>
      <c r="D1951" s="8">
        <f>IFERROR(__xludf.DUMMYFUNCTION("""COMPUTED_VALUE"""),1.412)</f>
        <v>1.412</v>
      </c>
      <c r="E1951" s="8" t="str">
        <f>IFERROR(__xludf.DUMMYFUNCTION("""COMPUTED_VALUE"""),"Real")</f>
        <v>Real</v>
      </c>
      <c r="G1951" s="8">
        <f t="shared" si="1"/>
        <v>1</v>
      </c>
      <c r="H1951" s="14">
        <f t="shared" si="2"/>
        <v>21</v>
      </c>
      <c r="I1951" s="15">
        <f t="shared" si="3"/>
        <v>6</v>
      </c>
    </row>
    <row r="1952">
      <c r="A1952" s="8" t="str">
        <f>IFERROR(__xludf.DUMMYFUNCTION("IF('(INGESTA)Datos_consumo_datadis'!A1952&lt;&gt;"""",SPLIT('(INGESTA)Datos_consumo_datadis'!A:A,"",""),"""")"),"ES0031408323131005HX0F")</f>
        <v>ES0031408323131005HX0F</v>
      </c>
      <c r="B1952" s="12">
        <f>IFERROR(__xludf.DUMMYFUNCTION("""COMPUTED_VALUE"""),44947.0)</f>
        <v>44947</v>
      </c>
      <c r="C1952" s="13">
        <f>IFERROR(__xludf.DUMMYFUNCTION("""COMPUTED_VALUE"""),0.2916666666666667)</f>
        <v>0.2916666667</v>
      </c>
      <c r="D1952" s="8">
        <f>IFERROR(__xludf.DUMMYFUNCTION("""COMPUTED_VALUE"""),1.498)</f>
        <v>1.498</v>
      </c>
      <c r="E1952" s="8" t="str">
        <f>IFERROR(__xludf.DUMMYFUNCTION("""COMPUTED_VALUE"""),"Real")</f>
        <v>Real</v>
      </c>
      <c r="G1952" s="8">
        <f t="shared" si="1"/>
        <v>1</v>
      </c>
      <c r="H1952" s="14">
        <f t="shared" si="2"/>
        <v>21</v>
      </c>
      <c r="I1952" s="15">
        <f t="shared" si="3"/>
        <v>7</v>
      </c>
    </row>
    <row r="1953">
      <c r="A1953" s="8" t="str">
        <f>IFERROR(__xludf.DUMMYFUNCTION("IF('(INGESTA)Datos_consumo_datadis'!A1953&lt;&gt;"""",SPLIT('(INGESTA)Datos_consumo_datadis'!A:A,"",""),"""")"),"ES0031408323131005HX0F")</f>
        <v>ES0031408323131005HX0F</v>
      </c>
      <c r="B1953" s="12">
        <f>IFERROR(__xludf.DUMMYFUNCTION("""COMPUTED_VALUE"""),44947.0)</f>
        <v>44947</v>
      </c>
      <c r="C1953" s="13">
        <f>IFERROR(__xludf.DUMMYFUNCTION("""COMPUTED_VALUE"""),0.3333333333333333)</f>
        <v>0.3333333333</v>
      </c>
      <c r="D1953" s="8">
        <f>IFERROR(__xludf.DUMMYFUNCTION("""COMPUTED_VALUE"""),1.49)</f>
        <v>1.49</v>
      </c>
      <c r="E1953" s="8" t="str">
        <f>IFERROR(__xludf.DUMMYFUNCTION("""COMPUTED_VALUE"""),"Real")</f>
        <v>Real</v>
      </c>
      <c r="G1953" s="8">
        <f t="shared" si="1"/>
        <v>1</v>
      </c>
      <c r="H1953" s="14">
        <f t="shared" si="2"/>
        <v>21</v>
      </c>
      <c r="I1953" s="15">
        <f t="shared" si="3"/>
        <v>8</v>
      </c>
    </row>
    <row r="1954">
      <c r="A1954" s="8" t="str">
        <f>IFERROR(__xludf.DUMMYFUNCTION("IF('(INGESTA)Datos_consumo_datadis'!A1954&lt;&gt;"""",SPLIT('(INGESTA)Datos_consumo_datadis'!A:A,"",""),"""")"),"ES0031408323131005HX0F")</f>
        <v>ES0031408323131005HX0F</v>
      </c>
      <c r="B1954" s="12">
        <f>IFERROR(__xludf.DUMMYFUNCTION("""COMPUTED_VALUE"""),44947.0)</f>
        <v>44947</v>
      </c>
      <c r="C1954" s="13">
        <f>IFERROR(__xludf.DUMMYFUNCTION("""COMPUTED_VALUE"""),0.375)</f>
        <v>0.375</v>
      </c>
      <c r="D1954" s="8">
        <f>IFERROR(__xludf.DUMMYFUNCTION("""COMPUTED_VALUE"""),1.415)</f>
        <v>1.415</v>
      </c>
      <c r="E1954" s="8" t="str">
        <f>IFERROR(__xludf.DUMMYFUNCTION("""COMPUTED_VALUE"""),"Real")</f>
        <v>Real</v>
      </c>
      <c r="G1954" s="8">
        <f t="shared" si="1"/>
        <v>1</v>
      </c>
      <c r="H1954" s="14">
        <f t="shared" si="2"/>
        <v>21</v>
      </c>
      <c r="I1954" s="15">
        <f t="shared" si="3"/>
        <v>9</v>
      </c>
    </row>
    <row r="1955">
      <c r="A1955" s="8" t="str">
        <f>IFERROR(__xludf.DUMMYFUNCTION("IF('(INGESTA)Datos_consumo_datadis'!A1955&lt;&gt;"""",SPLIT('(INGESTA)Datos_consumo_datadis'!A:A,"",""),"""")"),"ES0031408323131005HX0F")</f>
        <v>ES0031408323131005HX0F</v>
      </c>
      <c r="B1955" s="12">
        <f>IFERROR(__xludf.DUMMYFUNCTION("""COMPUTED_VALUE"""),44947.0)</f>
        <v>44947</v>
      </c>
      <c r="C1955" s="13">
        <f>IFERROR(__xludf.DUMMYFUNCTION("""COMPUTED_VALUE"""),0.4166666666666667)</f>
        <v>0.4166666667</v>
      </c>
      <c r="D1955" s="8">
        <f>IFERROR(__xludf.DUMMYFUNCTION("""COMPUTED_VALUE"""),1.132)</f>
        <v>1.132</v>
      </c>
      <c r="E1955" s="8" t="str">
        <f>IFERROR(__xludf.DUMMYFUNCTION("""COMPUTED_VALUE"""),"Real")</f>
        <v>Real</v>
      </c>
      <c r="G1955" s="8">
        <f t="shared" si="1"/>
        <v>1</v>
      </c>
      <c r="H1955" s="14">
        <f t="shared" si="2"/>
        <v>21</v>
      </c>
      <c r="I1955" s="15">
        <f t="shared" si="3"/>
        <v>10</v>
      </c>
    </row>
    <row r="1956">
      <c r="A1956" s="8" t="str">
        <f>IFERROR(__xludf.DUMMYFUNCTION("IF('(INGESTA)Datos_consumo_datadis'!A1956&lt;&gt;"""",SPLIT('(INGESTA)Datos_consumo_datadis'!A:A,"",""),"""")"),"ES0031408323131005HX0F")</f>
        <v>ES0031408323131005HX0F</v>
      </c>
      <c r="B1956" s="12">
        <f>IFERROR(__xludf.DUMMYFUNCTION("""COMPUTED_VALUE"""),44947.0)</f>
        <v>44947</v>
      </c>
      <c r="C1956" s="13">
        <f>IFERROR(__xludf.DUMMYFUNCTION("""COMPUTED_VALUE"""),0.4583333333333333)</f>
        <v>0.4583333333</v>
      </c>
      <c r="D1956" s="8">
        <f>IFERROR(__xludf.DUMMYFUNCTION("""COMPUTED_VALUE"""),1.014)</f>
        <v>1.014</v>
      </c>
      <c r="E1956" s="8" t="str">
        <f>IFERROR(__xludf.DUMMYFUNCTION("""COMPUTED_VALUE"""),"Real")</f>
        <v>Real</v>
      </c>
      <c r="G1956" s="8">
        <f t="shared" si="1"/>
        <v>1</v>
      </c>
      <c r="H1956" s="14">
        <f t="shared" si="2"/>
        <v>21</v>
      </c>
      <c r="I1956" s="15">
        <f t="shared" si="3"/>
        <v>11</v>
      </c>
    </row>
    <row r="1957">
      <c r="A1957" s="8" t="str">
        <f>IFERROR(__xludf.DUMMYFUNCTION("IF('(INGESTA)Datos_consumo_datadis'!A1957&lt;&gt;"""",SPLIT('(INGESTA)Datos_consumo_datadis'!A:A,"",""),"""")"),"ES0031408323131005HX0F")</f>
        <v>ES0031408323131005HX0F</v>
      </c>
      <c r="B1957" s="12">
        <f>IFERROR(__xludf.DUMMYFUNCTION("""COMPUTED_VALUE"""),44947.0)</f>
        <v>44947</v>
      </c>
      <c r="C1957" s="13">
        <f>IFERROR(__xludf.DUMMYFUNCTION("""COMPUTED_VALUE"""),0.5)</f>
        <v>0.5</v>
      </c>
      <c r="D1957" s="8">
        <f>IFERROR(__xludf.DUMMYFUNCTION("""COMPUTED_VALUE"""),0.604)</f>
        <v>0.604</v>
      </c>
      <c r="E1957" s="8" t="str">
        <f>IFERROR(__xludf.DUMMYFUNCTION("""COMPUTED_VALUE"""),"Real")</f>
        <v>Real</v>
      </c>
      <c r="G1957" s="8">
        <f t="shared" si="1"/>
        <v>1</v>
      </c>
      <c r="H1957" s="14">
        <f t="shared" si="2"/>
        <v>21</v>
      </c>
      <c r="I1957" s="15">
        <f t="shared" si="3"/>
        <v>12</v>
      </c>
    </row>
    <row r="1958">
      <c r="A1958" s="8" t="str">
        <f>IFERROR(__xludf.DUMMYFUNCTION("IF('(INGESTA)Datos_consumo_datadis'!A1958&lt;&gt;"""",SPLIT('(INGESTA)Datos_consumo_datadis'!A:A,"",""),"""")"),"ES0031408323131005HX0F")</f>
        <v>ES0031408323131005HX0F</v>
      </c>
      <c r="B1958" s="12">
        <f>IFERROR(__xludf.DUMMYFUNCTION("""COMPUTED_VALUE"""),44947.0)</f>
        <v>44947</v>
      </c>
      <c r="C1958" s="13">
        <f>IFERROR(__xludf.DUMMYFUNCTION("""COMPUTED_VALUE"""),0.5416666666666666)</f>
        <v>0.5416666667</v>
      </c>
      <c r="D1958" s="8">
        <f>IFERROR(__xludf.DUMMYFUNCTION("""COMPUTED_VALUE"""),0.076)</f>
        <v>0.076</v>
      </c>
      <c r="E1958" s="8" t="str">
        <f>IFERROR(__xludf.DUMMYFUNCTION("""COMPUTED_VALUE"""),"Real")</f>
        <v>Real</v>
      </c>
      <c r="G1958" s="8">
        <f t="shared" si="1"/>
        <v>1</v>
      </c>
      <c r="H1958" s="14">
        <f t="shared" si="2"/>
        <v>21</v>
      </c>
      <c r="I1958" s="15">
        <f t="shared" si="3"/>
        <v>13</v>
      </c>
    </row>
    <row r="1959">
      <c r="A1959" s="8" t="str">
        <f>IFERROR(__xludf.DUMMYFUNCTION("IF('(INGESTA)Datos_consumo_datadis'!A1959&lt;&gt;"""",SPLIT('(INGESTA)Datos_consumo_datadis'!A:A,"",""),"""")"),"ES0031408323131005HX0F")</f>
        <v>ES0031408323131005HX0F</v>
      </c>
      <c r="B1959" s="12">
        <f>IFERROR(__xludf.DUMMYFUNCTION("""COMPUTED_VALUE"""),44947.0)</f>
        <v>44947</v>
      </c>
      <c r="C1959" s="13">
        <f>IFERROR(__xludf.DUMMYFUNCTION("""COMPUTED_VALUE"""),0.5833333333333334)</f>
        <v>0.5833333333</v>
      </c>
      <c r="D1959" s="8">
        <f>IFERROR(__xludf.DUMMYFUNCTION("""COMPUTED_VALUE"""),0.041)</f>
        <v>0.041</v>
      </c>
      <c r="E1959" s="8" t="str">
        <f>IFERROR(__xludf.DUMMYFUNCTION("""COMPUTED_VALUE"""),"Real")</f>
        <v>Real</v>
      </c>
      <c r="G1959" s="8">
        <f t="shared" si="1"/>
        <v>1</v>
      </c>
      <c r="H1959" s="14">
        <f t="shared" si="2"/>
        <v>21</v>
      </c>
      <c r="I1959" s="15">
        <f t="shared" si="3"/>
        <v>14</v>
      </c>
    </row>
    <row r="1960">
      <c r="A1960" s="8" t="str">
        <f>IFERROR(__xludf.DUMMYFUNCTION("IF('(INGESTA)Datos_consumo_datadis'!A1960&lt;&gt;"""",SPLIT('(INGESTA)Datos_consumo_datadis'!A:A,"",""),"""")"),"ES0031408323131005HX0F")</f>
        <v>ES0031408323131005HX0F</v>
      </c>
      <c r="B1960" s="12">
        <f>IFERROR(__xludf.DUMMYFUNCTION("""COMPUTED_VALUE"""),44947.0)</f>
        <v>44947</v>
      </c>
      <c r="C1960" s="13">
        <f>IFERROR(__xludf.DUMMYFUNCTION("""COMPUTED_VALUE"""),0.625)</f>
        <v>0.625</v>
      </c>
      <c r="D1960" s="8">
        <f>IFERROR(__xludf.DUMMYFUNCTION("""COMPUTED_VALUE"""),0.055)</f>
        <v>0.055</v>
      </c>
      <c r="E1960" s="8" t="str">
        <f>IFERROR(__xludf.DUMMYFUNCTION("""COMPUTED_VALUE"""),"Real")</f>
        <v>Real</v>
      </c>
      <c r="G1960" s="8">
        <f t="shared" si="1"/>
        <v>1</v>
      </c>
      <c r="H1960" s="14">
        <f t="shared" si="2"/>
        <v>21</v>
      </c>
      <c r="I1960" s="15">
        <f t="shared" si="3"/>
        <v>15</v>
      </c>
    </row>
    <row r="1961">
      <c r="A1961" s="8" t="str">
        <f>IFERROR(__xludf.DUMMYFUNCTION("IF('(INGESTA)Datos_consumo_datadis'!A1961&lt;&gt;"""",SPLIT('(INGESTA)Datos_consumo_datadis'!A:A,"",""),"""")"),"ES0031408323131005HX0F")</f>
        <v>ES0031408323131005HX0F</v>
      </c>
      <c r="B1961" s="12">
        <f>IFERROR(__xludf.DUMMYFUNCTION("""COMPUTED_VALUE"""),44947.0)</f>
        <v>44947</v>
      </c>
      <c r="C1961" s="13">
        <f>IFERROR(__xludf.DUMMYFUNCTION("""COMPUTED_VALUE"""),0.6666666666666666)</f>
        <v>0.6666666667</v>
      </c>
      <c r="D1961" s="8">
        <f>IFERROR(__xludf.DUMMYFUNCTION("""COMPUTED_VALUE"""),1.406)</f>
        <v>1.406</v>
      </c>
      <c r="E1961" s="8" t="str">
        <f>IFERROR(__xludf.DUMMYFUNCTION("""COMPUTED_VALUE"""),"Real")</f>
        <v>Real</v>
      </c>
      <c r="G1961" s="8">
        <f t="shared" si="1"/>
        <v>1</v>
      </c>
      <c r="H1961" s="14">
        <f t="shared" si="2"/>
        <v>21</v>
      </c>
      <c r="I1961" s="15">
        <f t="shared" si="3"/>
        <v>16</v>
      </c>
    </row>
    <row r="1962">
      <c r="A1962" s="8" t="str">
        <f>IFERROR(__xludf.DUMMYFUNCTION("IF('(INGESTA)Datos_consumo_datadis'!A1962&lt;&gt;"""",SPLIT('(INGESTA)Datos_consumo_datadis'!A:A,"",""),"""")"),"ES0031408323131005HX0F")</f>
        <v>ES0031408323131005HX0F</v>
      </c>
      <c r="B1962" s="12">
        <f>IFERROR(__xludf.DUMMYFUNCTION("""COMPUTED_VALUE"""),44947.0)</f>
        <v>44947</v>
      </c>
      <c r="C1962" s="13">
        <f>IFERROR(__xludf.DUMMYFUNCTION("""COMPUTED_VALUE"""),0.7083333333333334)</f>
        <v>0.7083333333</v>
      </c>
      <c r="D1962" s="8">
        <f>IFERROR(__xludf.DUMMYFUNCTION("""COMPUTED_VALUE"""),1.919)</f>
        <v>1.919</v>
      </c>
      <c r="E1962" s="8" t="str">
        <f>IFERROR(__xludf.DUMMYFUNCTION("""COMPUTED_VALUE"""),"Real")</f>
        <v>Real</v>
      </c>
      <c r="G1962" s="8">
        <f t="shared" si="1"/>
        <v>1</v>
      </c>
      <c r="H1962" s="14">
        <f t="shared" si="2"/>
        <v>21</v>
      </c>
      <c r="I1962" s="15">
        <f t="shared" si="3"/>
        <v>17</v>
      </c>
    </row>
    <row r="1963">
      <c r="A1963" s="8" t="str">
        <f>IFERROR(__xludf.DUMMYFUNCTION("IF('(INGESTA)Datos_consumo_datadis'!A1963&lt;&gt;"""",SPLIT('(INGESTA)Datos_consumo_datadis'!A:A,"",""),"""")"),"ES0031408323131005HX0F")</f>
        <v>ES0031408323131005HX0F</v>
      </c>
      <c r="B1963" s="12">
        <f>IFERROR(__xludf.DUMMYFUNCTION("""COMPUTED_VALUE"""),44947.0)</f>
        <v>44947</v>
      </c>
      <c r="C1963" s="13">
        <f>IFERROR(__xludf.DUMMYFUNCTION("""COMPUTED_VALUE"""),0.75)</f>
        <v>0.75</v>
      </c>
      <c r="D1963" s="8">
        <f>IFERROR(__xludf.DUMMYFUNCTION("""COMPUTED_VALUE"""),2.719)</f>
        <v>2.719</v>
      </c>
      <c r="E1963" s="8" t="str">
        <f>IFERROR(__xludf.DUMMYFUNCTION("""COMPUTED_VALUE"""),"Real")</f>
        <v>Real</v>
      </c>
      <c r="G1963" s="8">
        <f t="shared" si="1"/>
        <v>1</v>
      </c>
      <c r="H1963" s="14">
        <f t="shared" si="2"/>
        <v>21</v>
      </c>
      <c r="I1963" s="15">
        <f t="shared" si="3"/>
        <v>18</v>
      </c>
    </row>
    <row r="1964">
      <c r="A1964" s="8" t="str">
        <f>IFERROR(__xludf.DUMMYFUNCTION("IF('(INGESTA)Datos_consumo_datadis'!A1964&lt;&gt;"""",SPLIT('(INGESTA)Datos_consumo_datadis'!A:A,"",""),"""")"),"ES0031408323131005HX0F")</f>
        <v>ES0031408323131005HX0F</v>
      </c>
      <c r="B1964" s="12">
        <f>IFERROR(__xludf.DUMMYFUNCTION("""COMPUTED_VALUE"""),44947.0)</f>
        <v>44947</v>
      </c>
      <c r="C1964" s="13">
        <f>IFERROR(__xludf.DUMMYFUNCTION("""COMPUTED_VALUE"""),0.7916666666666666)</f>
        <v>0.7916666667</v>
      </c>
      <c r="D1964" s="8">
        <f>IFERROR(__xludf.DUMMYFUNCTION("""COMPUTED_VALUE"""),1.185)</f>
        <v>1.185</v>
      </c>
      <c r="E1964" s="8" t="str">
        <f>IFERROR(__xludf.DUMMYFUNCTION("""COMPUTED_VALUE"""),"Real")</f>
        <v>Real</v>
      </c>
      <c r="G1964" s="8">
        <f t="shared" si="1"/>
        <v>1</v>
      </c>
      <c r="H1964" s="14">
        <f t="shared" si="2"/>
        <v>21</v>
      </c>
      <c r="I1964" s="15">
        <f t="shared" si="3"/>
        <v>19</v>
      </c>
    </row>
    <row r="1965">
      <c r="A1965" s="8" t="str">
        <f>IFERROR(__xludf.DUMMYFUNCTION("IF('(INGESTA)Datos_consumo_datadis'!A1965&lt;&gt;"""",SPLIT('(INGESTA)Datos_consumo_datadis'!A:A,"",""),"""")"),"ES0031408323131005HX0F")</f>
        <v>ES0031408323131005HX0F</v>
      </c>
      <c r="B1965" s="12">
        <f>IFERROR(__xludf.DUMMYFUNCTION("""COMPUTED_VALUE"""),44947.0)</f>
        <v>44947</v>
      </c>
      <c r="C1965" s="13">
        <f>IFERROR(__xludf.DUMMYFUNCTION("""COMPUTED_VALUE"""),0.8333333333333334)</f>
        <v>0.8333333333</v>
      </c>
      <c r="D1965" s="8">
        <f>IFERROR(__xludf.DUMMYFUNCTION("""COMPUTED_VALUE"""),1.724)</f>
        <v>1.724</v>
      </c>
      <c r="E1965" s="8" t="str">
        <f>IFERROR(__xludf.DUMMYFUNCTION("""COMPUTED_VALUE"""),"Real")</f>
        <v>Real</v>
      </c>
      <c r="G1965" s="8">
        <f t="shared" si="1"/>
        <v>1</v>
      </c>
      <c r="H1965" s="14">
        <f t="shared" si="2"/>
        <v>21</v>
      </c>
      <c r="I1965" s="15">
        <f t="shared" si="3"/>
        <v>20</v>
      </c>
    </row>
    <row r="1966">
      <c r="A1966" s="8" t="str">
        <f>IFERROR(__xludf.DUMMYFUNCTION("IF('(INGESTA)Datos_consumo_datadis'!A1966&lt;&gt;"""",SPLIT('(INGESTA)Datos_consumo_datadis'!A:A,"",""),"""")"),"ES0031408323131005HX0F")</f>
        <v>ES0031408323131005HX0F</v>
      </c>
      <c r="B1966" s="12">
        <f>IFERROR(__xludf.DUMMYFUNCTION("""COMPUTED_VALUE"""),44947.0)</f>
        <v>44947</v>
      </c>
      <c r="C1966" s="13">
        <f>IFERROR(__xludf.DUMMYFUNCTION("""COMPUTED_VALUE"""),0.875)</f>
        <v>0.875</v>
      </c>
      <c r="D1966" s="8">
        <f>IFERROR(__xludf.DUMMYFUNCTION("""COMPUTED_VALUE"""),1.952)</f>
        <v>1.952</v>
      </c>
      <c r="E1966" s="8" t="str">
        <f>IFERROR(__xludf.DUMMYFUNCTION("""COMPUTED_VALUE"""),"Real")</f>
        <v>Real</v>
      </c>
      <c r="G1966" s="8">
        <f t="shared" si="1"/>
        <v>1</v>
      </c>
      <c r="H1966" s="14">
        <f t="shared" si="2"/>
        <v>21</v>
      </c>
      <c r="I1966" s="15">
        <f t="shared" si="3"/>
        <v>21</v>
      </c>
    </row>
    <row r="1967">
      <c r="A1967" s="8" t="str">
        <f>IFERROR(__xludf.DUMMYFUNCTION("IF('(INGESTA)Datos_consumo_datadis'!A1967&lt;&gt;"""",SPLIT('(INGESTA)Datos_consumo_datadis'!A:A,"",""),"""")"),"ES0031408323131005HX0F")</f>
        <v>ES0031408323131005HX0F</v>
      </c>
      <c r="B1967" s="12">
        <f>IFERROR(__xludf.DUMMYFUNCTION("""COMPUTED_VALUE"""),44947.0)</f>
        <v>44947</v>
      </c>
      <c r="C1967" s="13">
        <f>IFERROR(__xludf.DUMMYFUNCTION("""COMPUTED_VALUE"""),0.9166666666666666)</f>
        <v>0.9166666667</v>
      </c>
      <c r="D1967" s="8">
        <f>IFERROR(__xludf.DUMMYFUNCTION("""COMPUTED_VALUE"""),3.036)</f>
        <v>3.036</v>
      </c>
      <c r="E1967" s="8" t="str">
        <f>IFERROR(__xludf.DUMMYFUNCTION("""COMPUTED_VALUE"""),"Real")</f>
        <v>Real</v>
      </c>
      <c r="G1967" s="8">
        <f t="shared" si="1"/>
        <v>1</v>
      </c>
      <c r="H1967" s="14">
        <f t="shared" si="2"/>
        <v>21</v>
      </c>
      <c r="I1967" s="15">
        <f t="shared" si="3"/>
        <v>22</v>
      </c>
    </row>
    <row r="1968">
      <c r="A1968" s="8" t="str">
        <f>IFERROR(__xludf.DUMMYFUNCTION("IF('(INGESTA)Datos_consumo_datadis'!A1968&lt;&gt;"""",SPLIT('(INGESTA)Datos_consumo_datadis'!A:A,"",""),"""")"),"ES0031408323131005HX0F")</f>
        <v>ES0031408323131005HX0F</v>
      </c>
      <c r="B1968" s="12">
        <f>IFERROR(__xludf.DUMMYFUNCTION("""COMPUTED_VALUE"""),44947.0)</f>
        <v>44947</v>
      </c>
      <c r="C1968" s="13">
        <f>IFERROR(__xludf.DUMMYFUNCTION("""COMPUTED_VALUE"""),0.9583333333333334)</f>
        <v>0.9583333333</v>
      </c>
      <c r="D1968" s="8">
        <f>IFERROR(__xludf.DUMMYFUNCTION("""COMPUTED_VALUE"""),1.803)</f>
        <v>1.803</v>
      </c>
      <c r="E1968" s="8" t="str">
        <f>IFERROR(__xludf.DUMMYFUNCTION("""COMPUTED_VALUE"""),"Real")</f>
        <v>Real</v>
      </c>
      <c r="G1968" s="8">
        <f t="shared" si="1"/>
        <v>1</v>
      </c>
      <c r="H1968" s="14">
        <f t="shared" si="2"/>
        <v>21</v>
      </c>
      <c r="I1968" s="15">
        <f t="shared" si="3"/>
        <v>23</v>
      </c>
    </row>
    <row r="1969">
      <c r="A1969" s="8" t="str">
        <f>IFERROR(__xludf.DUMMYFUNCTION("IF('(INGESTA)Datos_consumo_datadis'!A1969&lt;&gt;"""",SPLIT('(INGESTA)Datos_consumo_datadis'!A:A,"",""),"""")"),"ES0031408323131005HX0F")</f>
        <v>ES0031408323131005HX0F</v>
      </c>
      <c r="B1969" s="12">
        <f>IFERROR(__xludf.DUMMYFUNCTION("""COMPUTED_VALUE"""),44947.0)</f>
        <v>44947</v>
      </c>
      <c r="C1969" s="16">
        <f>IFERROR(__xludf.DUMMYFUNCTION("""COMPUTED_VALUE"""),1.0)</f>
        <v>1</v>
      </c>
      <c r="D1969" s="8">
        <f>IFERROR(__xludf.DUMMYFUNCTION("""COMPUTED_VALUE"""),1.583)</f>
        <v>1.583</v>
      </c>
      <c r="E1969" s="8" t="str">
        <f>IFERROR(__xludf.DUMMYFUNCTION("""COMPUTED_VALUE"""),"Real")</f>
        <v>Real</v>
      </c>
      <c r="G1969" s="8">
        <f t="shared" si="1"/>
        <v>1</v>
      </c>
      <c r="H1969" s="14">
        <f t="shared" si="2"/>
        <v>21</v>
      </c>
      <c r="I1969" s="15">
        <f t="shared" si="3"/>
        <v>0</v>
      </c>
    </row>
    <row r="1970">
      <c r="A1970" s="8" t="str">
        <f>IFERROR(__xludf.DUMMYFUNCTION("IF('(INGESTA)Datos_consumo_datadis'!A1970&lt;&gt;"""",SPLIT('(INGESTA)Datos_consumo_datadis'!A:A,"",""),"""")"),"ES0031408323131005HX0F")</f>
        <v>ES0031408323131005HX0F</v>
      </c>
      <c r="B1970" s="12">
        <f>IFERROR(__xludf.DUMMYFUNCTION("""COMPUTED_VALUE"""),44948.0)</f>
        <v>44948</v>
      </c>
      <c r="C1970" s="13">
        <f>IFERROR(__xludf.DUMMYFUNCTION("""COMPUTED_VALUE"""),0.041666666666666664)</f>
        <v>0.04166666667</v>
      </c>
      <c r="D1970" s="8">
        <f>IFERROR(__xludf.DUMMYFUNCTION("""COMPUTED_VALUE"""),1.742)</f>
        <v>1.742</v>
      </c>
      <c r="E1970" s="8" t="str">
        <f>IFERROR(__xludf.DUMMYFUNCTION("""COMPUTED_VALUE"""),"Real")</f>
        <v>Real</v>
      </c>
      <c r="G1970" s="8">
        <f t="shared" si="1"/>
        <v>1</v>
      </c>
      <c r="H1970" s="14">
        <f t="shared" si="2"/>
        <v>22</v>
      </c>
      <c r="I1970" s="15">
        <f t="shared" si="3"/>
        <v>1</v>
      </c>
    </row>
    <row r="1971">
      <c r="A1971" s="8" t="str">
        <f>IFERROR(__xludf.DUMMYFUNCTION("IF('(INGESTA)Datos_consumo_datadis'!A1971&lt;&gt;"""",SPLIT('(INGESTA)Datos_consumo_datadis'!A:A,"",""),"""")"),"ES0031408323131005HX0F")</f>
        <v>ES0031408323131005HX0F</v>
      </c>
      <c r="B1971" s="12">
        <f>IFERROR(__xludf.DUMMYFUNCTION("""COMPUTED_VALUE"""),44948.0)</f>
        <v>44948</v>
      </c>
      <c r="C1971" s="13">
        <f>IFERROR(__xludf.DUMMYFUNCTION("""COMPUTED_VALUE"""),0.08333333333333333)</f>
        <v>0.08333333333</v>
      </c>
      <c r="D1971" s="8">
        <f>IFERROR(__xludf.DUMMYFUNCTION("""COMPUTED_VALUE"""),1.851)</f>
        <v>1.851</v>
      </c>
      <c r="E1971" s="8" t="str">
        <f>IFERROR(__xludf.DUMMYFUNCTION("""COMPUTED_VALUE"""),"Real")</f>
        <v>Real</v>
      </c>
      <c r="G1971" s="8">
        <f t="shared" si="1"/>
        <v>1</v>
      </c>
      <c r="H1971" s="14">
        <f t="shared" si="2"/>
        <v>22</v>
      </c>
      <c r="I1971" s="15">
        <f t="shared" si="3"/>
        <v>2</v>
      </c>
    </row>
    <row r="1972">
      <c r="A1972" s="8" t="str">
        <f>IFERROR(__xludf.DUMMYFUNCTION("IF('(INGESTA)Datos_consumo_datadis'!A1972&lt;&gt;"""",SPLIT('(INGESTA)Datos_consumo_datadis'!A:A,"",""),"""")"),"ES0031408323131005HX0F")</f>
        <v>ES0031408323131005HX0F</v>
      </c>
      <c r="B1972" s="12">
        <f>IFERROR(__xludf.DUMMYFUNCTION("""COMPUTED_VALUE"""),44948.0)</f>
        <v>44948</v>
      </c>
      <c r="C1972" s="13">
        <f>IFERROR(__xludf.DUMMYFUNCTION("""COMPUTED_VALUE"""),0.125)</f>
        <v>0.125</v>
      </c>
      <c r="D1972" s="8">
        <f>IFERROR(__xludf.DUMMYFUNCTION("""COMPUTED_VALUE"""),1.374)</f>
        <v>1.374</v>
      </c>
      <c r="E1972" s="8" t="str">
        <f>IFERROR(__xludf.DUMMYFUNCTION("""COMPUTED_VALUE"""),"Real")</f>
        <v>Real</v>
      </c>
      <c r="G1972" s="8">
        <f t="shared" si="1"/>
        <v>1</v>
      </c>
      <c r="H1972" s="14">
        <f t="shared" si="2"/>
        <v>22</v>
      </c>
      <c r="I1972" s="15">
        <f t="shared" si="3"/>
        <v>3</v>
      </c>
    </row>
    <row r="1973">
      <c r="A1973" s="8" t="str">
        <f>IFERROR(__xludf.DUMMYFUNCTION("IF('(INGESTA)Datos_consumo_datadis'!A1973&lt;&gt;"""",SPLIT('(INGESTA)Datos_consumo_datadis'!A:A,"",""),"""")"),"ES0031408323131005HX0F")</f>
        <v>ES0031408323131005HX0F</v>
      </c>
      <c r="B1973" s="12">
        <f>IFERROR(__xludf.DUMMYFUNCTION("""COMPUTED_VALUE"""),44948.0)</f>
        <v>44948</v>
      </c>
      <c r="C1973" s="13">
        <f>IFERROR(__xludf.DUMMYFUNCTION("""COMPUTED_VALUE"""),0.16666666666666666)</f>
        <v>0.1666666667</v>
      </c>
      <c r="D1973" s="8">
        <f>IFERROR(__xludf.DUMMYFUNCTION("""COMPUTED_VALUE"""),1.408)</f>
        <v>1.408</v>
      </c>
      <c r="E1973" s="8" t="str">
        <f>IFERROR(__xludf.DUMMYFUNCTION("""COMPUTED_VALUE"""),"Real")</f>
        <v>Real</v>
      </c>
      <c r="G1973" s="8">
        <f t="shared" si="1"/>
        <v>1</v>
      </c>
      <c r="H1973" s="14">
        <f t="shared" si="2"/>
        <v>22</v>
      </c>
      <c r="I1973" s="15">
        <f t="shared" si="3"/>
        <v>4</v>
      </c>
    </row>
    <row r="1974">
      <c r="A1974" s="8" t="str">
        <f>IFERROR(__xludf.DUMMYFUNCTION("IF('(INGESTA)Datos_consumo_datadis'!A1974&lt;&gt;"""",SPLIT('(INGESTA)Datos_consumo_datadis'!A:A,"",""),"""")"),"ES0031408323131005HX0F")</f>
        <v>ES0031408323131005HX0F</v>
      </c>
      <c r="B1974" s="12">
        <f>IFERROR(__xludf.DUMMYFUNCTION("""COMPUTED_VALUE"""),44948.0)</f>
        <v>44948</v>
      </c>
      <c r="C1974" s="13">
        <f>IFERROR(__xludf.DUMMYFUNCTION("""COMPUTED_VALUE"""),0.20833333333333334)</f>
        <v>0.2083333333</v>
      </c>
      <c r="D1974" s="8">
        <f>IFERROR(__xludf.DUMMYFUNCTION("""COMPUTED_VALUE"""),1.358)</f>
        <v>1.358</v>
      </c>
      <c r="E1974" s="8" t="str">
        <f>IFERROR(__xludf.DUMMYFUNCTION("""COMPUTED_VALUE"""),"Real")</f>
        <v>Real</v>
      </c>
      <c r="G1974" s="8">
        <f t="shared" si="1"/>
        <v>1</v>
      </c>
      <c r="H1974" s="14">
        <f t="shared" si="2"/>
        <v>22</v>
      </c>
      <c r="I1974" s="15">
        <f t="shared" si="3"/>
        <v>5</v>
      </c>
    </row>
    <row r="1975">
      <c r="A1975" s="8" t="str">
        <f>IFERROR(__xludf.DUMMYFUNCTION("IF('(INGESTA)Datos_consumo_datadis'!A1975&lt;&gt;"""",SPLIT('(INGESTA)Datos_consumo_datadis'!A:A,"",""),"""")"),"ES0031408323131005HX0F")</f>
        <v>ES0031408323131005HX0F</v>
      </c>
      <c r="B1975" s="12">
        <f>IFERROR(__xludf.DUMMYFUNCTION("""COMPUTED_VALUE"""),44948.0)</f>
        <v>44948</v>
      </c>
      <c r="C1975" s="13">
        <f>IFERROR(__xludf.DUMMYFUNCTION("""COMPUTED_VALUE"""),0.25)</f>
        <v>0.25</v>
      </c>
      <c r="D1975" s="8">
        <f>IFERROR(__xludf.DUMMYFUNCTION("""COMPUTED_VALUE"""),1.492)</f>
        <v>1.492</v>
      </c>
      <c r="E1975" s="8" t="str">
        <f>IFERROR(__xludf.DUMMYFUNCTION("""COMPUTED_VALUE"""),"Real")</f>
        <v>Real</v>
      </c>
      <c r="G1975" s="8">
        <f t="shared" si="1"/>
        <v>1</v>
      </c>
      <c r="H1975" s="14">
        <f t="shared" si="2"/>
        <v>22</v>
      </c>
      <c r="I1975" s="15">
        <f t="shared" si="3"/>
        <v>6</v>
      </c>
    </row>
    <row r="1976">
      <c r="A1976" s="8" t="str">
        <f>IFERROR(__xludf.DUMMYFUNCTION("IF('(INGESTA)Datos_consumo_datadis'!A1976&lt;&gt;"""",SPLIT('(INGESTA)Datos_consumo_datadis'!A:A,"",""),"""")"),"ES0031408323131005HX0F")</f>
        <v>ES0031408323131005HX0F</v>
      </c>
      <c r="B1976" s="12">
        <f>IFERROR(__xludf.DUMMYFUNCTION("""COMPUTED_VALUE"""),44948.0)</f>
        <v>44948</v>
      </c>
      <c r="C1976" s="13">
        <f>IFERROR(__xludf.DUMMYFUNCTION("""COMPUTED_VALUE"""),0.2916666666666667)</f>
        <v>0.2916666667</v>
      </c>
      <c r="D1976" s="8">
        <f>IFERROR(__xludf.DUMMYFUNCTION("""COMPUTED_VALUE"""),1.542)</f>
        <v>1.542</v>
      </c>
      <c r="E1976" s="8" t="str">
        <f>IFERROR(__xludf.DUMMYFUNCTION("""COMPUTED_VALUE"""),"Real")</f>
        <v>Real</v>
      </c>
      <c r="G1976" s="8">
        <f t="shared" si="1"/>
        <v>1</v>
      </c>
      <c r="H1976" s="14">
        <f t="shared" si="2"/>
        <v>22</v>
      </c>
      <c r="I1976" s="15">
        <f t="shared" si="3"/>
        <v>7</v>
      </c>
    </row>
    <row r="1977">
      <c r="A1977" s="8" t="str">
        <f>IFERROR(__xludf.DUMMYFUNCTION("IF('(INGESTA)Datos_consumo_datadis'!A1977&lt;&gt;"""",SPLIT('(INGESTA)Datos_consumo_datadis'!A:A,"",""),"""")"),"ES0031408323131005HX0F")</f>
        <v>ES0031408323131005HX0F</v>
      </c>
      <c r="B1977" s="12">
        <f>IFERROR(__xludf.DUMMYFUNCTION("""COMPUTED_VALUE"""),44948.0)</f>
        <v>44948</v>
      </c>
      <c r="C1977" s="13">
        <f>IFERROR(__xludf.DUMMYFUNCTION("""COMPUTED_VALUE"""),0.3333333333333333)</f>
        <v>0.3333333333</v>
      </c>
      <c r="D1977" s="8">
        <f>IFERROR(__xludf.DUMMYFUNCTION("""COMPUTED_VALUE"""),1.394)</f>
        <v>1.394</v>
      </c>
      <c r="E1977" s="8" t="str">
        <f>IFERROR(__xludf.DUMMYFUNCTION("""COMPUTED_VALUE"""),"Real")</f>
        <v>Real</v>
      </c>
      <c r="G1977" s="8">
        <f t="shared" si="1"/>
        <v>1</v>
      </c>
      <c r="H1977" s="14">
        <f t="shared" si="2"/>
        <v>22</v>
      </c>
      <c r="I1977" s="15">
        <f t="shared" si="3"/>
        <v>8</v>
      </c>
    </row>
    <row r="1978">
      <c r="A1978" s="8" t="str">
        <f>IFERROR(__xludf.DUMMYFUNCTION("IF('(INGESTA)Datos_consumo_datadis'!A1978&lt;&gt;"""",SPLIT('(INGESTA)Datos_consumo_datadis'!A:A,"",""),"""")"),"ES0031408323131005HX0F")</f>
        <v>ES0031408323131005HX0F</v>
      </c>
      <c r="B1978" s="12">
        <f>IFERROR(__xludf.DUMMYFUNCTION("""COMPUTED_VALUE"""),44948.0)</f>
        <v>44948</v>
      </c>
      <c r="C1978" s="13">
        <f>IFERROR(__xludf.DUMMYFUNCTION("""COMPUTED_VALUE"""),0.375)</f>
        <v>0.375</v>
      </c>
      <c r="D1978" s="8">
        <f>IFERROR(__xludf.DUMMYFUNCTION("""COMPUTED_VALUE"""),1.338)</f>
        <v>1.338</v>
      </c>
      <c r="E1978" s="8" t="str">
        <f>IFERROR(__xludf.DUMMYFUNCTION("""COMPUTED_VALUE"""),"Real")</f>
        <v>Real</v>
      </c>
      <c r="G1978" s="8">
        <f t="shared" si="1"/>
        <v>1</v>
      </c>
      <c r="H1978" s="14">
        <f t="shared" si="2"/>
        <v>22</v>
      </c>
      <c r="I1978" s="15">
        <f t="shared" si="3"/>
        <v>9</v>
      </c>
    </row>
    <row r="1979">
      <c r="A1979" s="8" t="str">
        <f>IFERROR(__xludf.DUMMYFUNCTION("IF('(INGESTA)Datos_consumo_datadis'!A1979&lt;&gt;"""",SPLIT('(INGESTA)Datos_consumo_datadis'!A:A,"",""),"""")"),"ES0031408323131005HX0F")</f>
        <v>ES0031408323131005HX0F</v>
      </c>
      <c r="B1979" s="12">
        <f>IFERROR(__xludf.DUMMYFUNCTION("""COMPUTED_VALUE"""),44948.0)</f>
        <v>44948</v>
      </c>
      <c r="C1979" s="13">
        <f>IFERROR(__xludf.DUMMYFUNCTION("""COMPUTED_VALUE"""),0.4166666666666667)</f>
        <v>0.4166666667</v>
      </c>
      <c r="D1979" s="8">
        <f>IFERROR(__xludf.DUMMYFUNCTION("""COMPUTED_VALUE"""),1.396)</f>
        <v>1.396</v>
      </c>
      <c r="E1979" s="8" t="str">
        <f>IFERROR(__xludf.DUMMYFUNCTION("""COMPUTED_VALUE"""),"Real")</f>
        <v>Real</v>
      </c>
      <c r="G1979" s="8">
        <f t="shared" si="1"/>
        <v>1</v>
      </c>
      <c r="H1979" s="14">
        <f t="shared" si="2"/>
        <v>22</v>
      </c>
      <c r="I1979" s="15">
        <f t="shared" si="3"/>
        <v>10</v>
      </c>
    </row>
    <row r="1980">
      <c r="A1980" s="8" t="str">
        <f>IFERROR(__xludf.DUMMYFUNCTION("IF('(INGESTA)Datos_consumo_datadis'!A1980&lt;&gt;"""",SPLIT('(INGESTA)Datos_consumo_datadis'!A:A,"",""),"""")"),"ES0031408323131005HX0F")</f>
        <v>ES0031408323131005HX0F</v>
      </c>
      <c r="B1980" s="12">
        <f>IFERROR(__xludf.DUMMYFUNCTION("""COMPUTED_VALUE"""),44948.0)</f>
        <v>44948</v>
      </c>
      <c r="C1980" s="13">
        <f>IFERROR(__xludf.DUMMYFUNCTION("""COMPUTED_VALUE"""),0.4583333333333333)</f>
        <v>0.4583333333</v>
      </c>
      <c r="D1980" s="8">
        <f>IFERROR(__xludf.DUMMYFUNCTION("""COMPUTED_VALUE"""),1.188)</f>
        <v>1.188</v>
      </c>
      <c r="E1980" s="8" t="str">
        <f>IFERROR(__xludf.DUMMYFUNCTION("""COMPUTED_VALUE"""),"Real")</f>
        <v>Real</v>
      </c>
      <c r="G1980" s="8">
        <f t="shared" si="1"/>
        <v>1</v>
      </c>
      <c r="H1980" s="14">
        <f t="shared" si="2"/>
        <v>22</v>
      </c>
      <c r="I1980" s="15">
        <f t="shared" si="3"/>
        <v>11</v>
      </c>
    </row>
    <row r="1981">
      <c r="A1981" s="8" t="str">
        <f>IFERROR(__xludf.DUMMYFUNCTION("IF('(INGESTA)Datos_consumo_datadis'!A1981&lt;&gt;"""",SPLIT('(INGESTA)Datos_consumo_datadis'!A:A,"",""),"""")"),"ES0031408323131005HX0F")</f>
        <v>ES0031408323131005HX0F</v>
      </c>
      <c r="B1981" s="12">
        <f>IFERROR(__xludf.DUMMYFUNCTION("""COMPUTED_VALUE"""),44948.0)</f>
        <v>44948</v>
      </c>
      <c r="C1981" s="13">
        <f>IFERROR(__xludf.DUMMYFUNCTION("""COMPUTED_VALUE"""),0.5)</f>
        <v>0.5</v>
      </c>
      <c r="D1981" s="8">
        <f>IFERROR(__xludf.DUMMYFUNCTION("""COMPUTED_VALUE"""),2.383)</f>
        <v>2.383</v>
      </c>
      <c r="E1981" s="8" t="str">
        <f>IFERROR(__xludf.DUMMYFUNCTION("""COMPUTED_VALUE"""),"Real")</f>
        <v>Real</v>
      </c>
      <c r="G1981" s="8">
        <f t="shared" si="1"/>
        <v>1</v>
      </c>
      <c r="H1981" s="14">
        <f t="shared" si="2"/>
        <v>22</v>
      </c>
      <c r="I1981" s="15">
        <f t="shared" si="3"/>
        <v>12</v>
      </c>
    </row>
    <row r="1982">
      <c r="A1982" s="8" t="str">
        <f>IFERROR(__xludf.DUMMYFUNCTION("IF('(INGESTA)Datos_consumo_datadis'!A1982&lt;&gt;"""",SPLIT('(INGESTA)Datos_consumo_datadis'!A:A,"",""),"""")"),"ES0031408323131005HX0F")</f>
        <v>ES0031408323131005HX0F</v>
      </c>
      <c r="B1982" s="12">
        <f>IFERROR(__xludf.DUMMYFUNCTION("""COMPUTED_VALUE"""),44948.0)</f>
        <v>44948</v>
      </c>
      <c r="C1982" s="13">
        <f>IFERROR(__xludf.DUMMYFUNCTION("""COMPUTED_VALUE"""),0.5416666666666666)</f>
        <v>0.5416666667</v>
      </c>
      <c r="D1982" s="8">
        <f>IFERROR(__xludf.DUMMYFUNCTION("""COMPUTED_VALUE"""),1.683)</f>
        <v>1.683</v>
      </c>
      <c r="E1982" s="8" t="str">
        <f>IFERROR(__xludf.DUMMYFUNCTION("""COMPUTED_VALUE"""),"Real")</f>
        <v>Real</v>
      </c>
      <c r="G1982" s="8">
        <f t="shared" si="1"/>
        <v>1</v>
      </c>
      <c r="H1982" s="14">
        <f t="shared" si="2"/>
        <v>22</v>
      </c>
      <c r="I1982" s="15">
        <f t="shared" si="3"/>
        <v>13</v>
      </c>
    </row>
    <row r="1983">
      <c r="A1983" s="8" t="str">
        <f>IFERROR(__xludf.DUMMYFUNCTION("IF('(INGESTA)Datos_consumo_datadis'!A1983&lt;&gt;"""",SPLIT('(INGESTA)Datos_consumo_datadis'!A:A,"",""),"""")"),"ES0031408323131005HX0F")</f>
        <v>ES0031408323131005HX0F</v>
      </c>
      <c r="B1983" s="12">
        <f>IFERROR(__xludf.DUMMYFUNCTION("""COMPUTED_VALUE"""),44948.0)</f>
        <v>44948</v>
      </c>
      <c r="C1983" s="13">
        <f>IFERROR(__xludf.DUMMYFUNCTION("""COMPUTED_VALUE"""),0.5833333333333334)</f>
        <v>0.5833333333</v>
      </c>
      <c r="D1983" s="8">
        <f>IFERROR(__xludf.DUMMYFUNCTION("""COMPUTED_VALUE"""),0.093)</f>
        <v>0.093</v>
      </c>
      <c r="E1983" s="8" t="str">
        <f>IFERROR(__xludf.DUMMYFUNCTION("""COMPUTED_VALUE"""),"Real")</f>
        <v>Real</v>
      </c>
      <c r="G1983" s="8">
        <f t="shared" si="1"/>
        <v>1</v>
      </c>
      <c r="H1983" s="14">
        <f t="shared" si="2"/>
        <v>22</v>
      </c>
      <c r="I1983" s="15">
        <f t="shared" si="3"/>
        <v>14</v>
      </c>
    </row>
    <row r="1984">
      <c r="A1984" s="8" t="str">
        <f>IFERROR(__xludf.DUMMYFUNCTION("IF('(INGESTA)Datos_consumo_datadis'!A1984&lt;&gt;"""",SPLIT('(INGESTA)Datos_consumo_datadis'!A:A,"",""),"""")"),"ES0031408323131005HX0F")</f>
        <v>ES0031408323131005HX0F</v>
      </c>
      <c r="B1984" s="12">
        <f>IFERROR(__xludf.DUMMYFUNCTION("""COMPUTED_VALUE"""),44948.0)</f>
        <v>44948</v>
      </c>
      <c r="C1984" s="13">
        <f>IFERROR(__xludf.DUMMYFUNCTION("""COMPUTED_VALUE"""),0.625)</f>
        <v>0.625</v>
      </c>
      <c r="D1984" s="8">
        <f>IFERROR(__xludf.DUMMYFUNCTION("""COMPUTED_VALUE"""),1.02)</f>
        <v>1.02</v>
      </c>
      <c r="E1984" s="8" t="str">
        <f>IFERROR(__xludf.DUMMYFUNCTION("""COMPUTED_VALUE"""),"Real")</f>
        <v>Real</v>
      </c>
      <c r="G1984" s="8">
        <f t="shared" si="1"/>
        <v>1</v>
      </c>
      <c r="H1984" s="14">
        <f t="shared" si="2"/>
        <v>22</v>
      </c>
      <c r="I1984" s="15">
        <f t="shared" si="3"/>
        <v>15</v>
      </c>
    </row>
    <row r="1985">
      <c r="A1985" s="8" t="str">
        <f>IFERROR(__xludf.DUMMYFUNCTION("IF('(INGESTA)Datos_consumo_datadis'!A1985&lt;&gt;"""",SPLIT('(INGESTA)Datos_consumo_datadis'!A:A,"",""),"""")"),"ES0031408323131005HX0F")</f>
        <v>ES0031408323131005HX0F</v>
      </c>
      <c r="B1985" s="12">
        <f>IFERROR(__xludf.DUMMYFUNCTION("""COMPUTED_VALUE"""),44948.0)</f>
        <v>44948</v>
      </c>
      <c r="C1985" s="13">
        <f>IFERROR(__xludf.DUMMYFUNCTION("""COMPUTED_VALUE"""),0.6666666666666666)</f>
        <v>0.6666666667</v>
      </c>
      <c r="D1985" s="8">
        <f>IFERROR(__xludf.DUMMYFUNCTION("""COMPUTED_VALUE"""),1.428)</f>
        <v>1.428</v>
      </c>
      <c r="E1985" s="8" t="str">
        <f>IFERROR(__xludf.DUMMYFUNCTION("""COMPUTED_VALUE"""),"Real")</f>
        <v>Real</v>
      </c>
      <c r="G1985" s="8">
        <f t="shared" si="1"/>
        <v>1</v>
      </c>
      <c r="H1985" s="14">
        <f t="shared" si="2"/>
        <v>22</v>
      </c>
      <c r="I1985" s="15">
        <f t="shared" si="3"/>
        <v>16</v>
      </c>
    </row>
    <row r="1986">
      <c r="A1986" s="8" t="str">
        <f>IFERROR(__xludf.DUMMYFUNCTION("IF('(INGESTA)Datos_consumo_datadis'!A1986&lt;&gt;"""",SPLIT('(INGESTA)Datos_consumo_datadis'!A:A,"",""),"""")"),"ES0031408323131005HX0F")</f>
        <v>ES0031408323131005HX0F</v>
      </c>
      <c r="B1986" s="12">
        <f>IFERROR(__xludf.DUMMYFUNCTION("""COMPUTED_VALUE"""),44948.0)</f>
        <v>44948</v>
      </c>
      <c r="C1986" s="13">
        <f>IFERROR(__xludf.DUMMYFUNCTION("""COMPUTED_VALUE"""),0.7083333333333334)</f>
        <v>0.7083333333</v>
      </c>
      <c r="D1986" s="8">
        <f>IFERROR(__xludf.DUMMYFUNCTION("""COMPUTED_VALUE"""),1.868)</f>
        <v>1.868</v>
      </c>
      <c r="E1986" s="8" t="str">
        <f>IFERROR(__xludf.DUMMYFUNCTION("""COMPUTED_VALUE"""),"Real")</f>
        <v>Real</v>
      </c>
      <c r="G1986" s="8">
        <f t="shared" si="1"/>
        <v>1</v>
      </c>
      <c r="H1986" s="14">
        <f t="shared" si="2"/>
        <v>22</v>
      </c>
      <c r="I1986" s="15">
        <f t="shared" si="3"/>
        <v>17</v>
      </c>
    </row>
    <row r="1987">
      <c r="A1987" s="8" t="str">
        <f>IFERROR(__xludf.DUMMYFUNCTION("IF('(INGESTA)Datos_consumo_datadis'!A1987&lt;&gt;"""",SPLIT('(INGESTA)Datos_consumo_datadis'!A:A,"",""),"""")"),"ES0031408323131005HX0F")</f>
        <v>ES0031408323131005HX0F</v>
      </c>
      <c r="B1987" s="12">
        <f>IFERROR(__xludf.DUMMYFUNCTION("""COMPUTED_VALUE"""),44948.0)</f>
        <v>44948</v>
      </c>
      <c r="C1987" s="13">
        <f>IFERROR(__xludf.DUMMYFUNCTION("""COMPUTED_VALUE"""),0.75)</f>
        <v>0.75</v>
      </c>
      <c r="D1987" s="8">
        <f>IFERROR(__xludf.DUMMYFUNCTION("""COMPUTED_VALUE"""),1.942)</f>
        <v>1.942</v>
      </c>
      <c r="E1987" s="8" t="str">
        <f>IFERROR(__xludf.DUMMYFUNCTION("""COMPUTED_VALUE"""),"Real")</f>
        <v>Real</v>
      </c>
      <c r="G1987" s="8">
        <f t="shared" si="1"/>
        <v>1</v>
      </c>
      <c r="H1987" s="14">
        <f t="shared" si="2"/>
        <v>22</v>
      </c>
      <c r="I1987" s="15">
        <f t="shared" si="3"/>
        <v>18</v>
      </c>
    </row>
    <row r="1988">
      <c r="A1988" s="8" t="str">
        <f>IFERROR(__xludf.DUMMYFUNCTION("IF('(INGESTA)Datos_consumo_datadis'!A1988&lt;&gt;"""",SPLIT('(INGESTA)Datos_consumo_datadis'!A:A,"",""),"""")"),"ES0031408323131005HX0F")</f>
        <v>ES0031408323131005HX0F</v>
      </c>
      <c r="B1988" s="12">
        <f>IFERROR(__xludf.DUMMYFUNCTION("""COMPUTED_VALUE"""),44948.0)</f>
        <v>44948</v>
      </c>
      <c r="C1988" s="13">
        <f>IFERROR(__xludf.DUMMYFUNCTION("""COMPUTED_VALUE"""),0.7916666666666666)</f>
        <v>0.7916666667</v>
      </c>
      <c r="D1988" s="8">
        <f>IFERROR(__xludf.DUMMYFUNCTION("""COMPUTED_VALUE"""),2.811)</f>
        <v>2.811</v>
      </c>
      <c r="E1988" s="8" t="str">
        <f>IFERROR(__xludf.DUMMYFUNCTION("""COMPUTED_VALUE"""),"Real")</f>
        <v>Real</v>
      </c>
      <c r="G1988" s="8">
        <f t="shared" si="1"/>
        <v>1</v>
      </c>
      <c r="H1988" s="14">
        <f t="shared" si="2"/>
        <v>22</v>
      </c>
      <c r="I1988" s="15">
        <f t="shared" si="3"/>
        <v>19</v>
      </c>
    </row>
    <row r="1989">
      <c r="A1989" s="8" t="str">
        <f>IFERROR(__xludf.DUMMYFUNCTION("IF('(INGESTA)Datos_consumo_datadis'!A1989&lt;&gt;"""",SPLIT('(INGESTA)Datos_consumo_datadis'!A:A,"",""),"""")"),"ES0031408323131005HX0F")</f>
        <v>ES0031408323131005HX0F</v>
      </c>
      <c r="B1989" s="12">
        <f>IFERROR(__xludf.DUMMYFUNCTION("""COMPUTED_VALUE"""),44948.0)</f>
        <v>44948</v>
      </c>
      <c r="C1989" s="13">
        <f>IFERROR(__xludf.DUMMYFUNCTION("""COMPUTED_VALUE"""),0.8333333333333334)</f>
        <v>0.8333333333</v>
      </c>
      <c r="D1989" s="8">
        <f>IFERROR(__xludf.DUMMYFUNCTION("""COMPUTED_VALUE"""),1.077)</f>
        <v>1.077</v>
      </c>
      <c r="E1989" s="8" t="str">
        <f>IFERROR(__xludf.DUMMYFUNCTION("""COMPUTED_VALUE"""),"Real")</f>
        <v>Real</v>
      </c>
      <c r="G1989" s="8">
        <f t="shared" si="1"/>
        <v>1</v>
      </c>
      <c r="H1989" s="14">
        <f t="shared" si="2"/>
        <v>22</v>
      </c>
      <c r="I1989" s="15">
        <f t="shared" si="3"/>
        <v>20</v>
      </c>
    </row>
    <row r="1990">
      <c r="A1990" s="8" t="str">
        <f>IFERROR(__xludf.DUMMYFUNCTION("IF('(INGESTA)Datos_consumo_datadis'!A1990&lt;&gt;"""",SPLIT('(INGESTA)Datos_consumo_datadis'!A:A,"",""),"""")"),"ES0031408323131005HX0F")</f>
        <v>ES0031408323131005HX0F</v>
      </c>
      <c r="B1990" s="12">
        <f>IFERROR(__xludf.DUMMYFUNCTION("""COMPUTED_VALUE"""),44948.0)</f>
        <v>44948</v>
      </c>
      <c r="C1990" s="13">
        <f>IFERROR(__xludf.DUMMYFUNCTION("""COMPUTED_VALUE"""),0.875)</f>
        <v>0.875</v>
      </c>
      <c r="D1990" s="8">
        <f>IFERROR(__xludf.DUMMYFUNCTION("""COMPUTED_VALUE"""),0.98)</f>
        <v>0.98</v>
      </c>
      <c r="E1990" s="8" t="str">
        <f>IFERROR(__xludf.DUMMYFUNCTION("""COMPUTED_VALUE"""),"Real")</f>
        <v>Real</v>
      </c>
      <c r="G1990" s="8">
        <f t="shared" si="1"/>
        <v>1</v>
      </c>
      <c r="H1990" s="14">
        <f t="shared" si="2"/>
        <v>22</v>
      </c>
      <c r="I1990" s="15">
        <f t="shared" si="3"/>
        <v>21</v>
      </c>
    </row>
    <row r="1991">
      <c r="A1991" s="8" t="str">
        <f>IFERROR(__xludf.DUMMYFUNCTION("IF('(INGESTA)Datos_consumo_datadis'!A1991&lt;&gt;"""",SPLIT('(INGESTA)Datos_consumo_datadis'!A:A,"",""),"""")"),"ES0031408323131005HX0F")</f>
        <v>ES0031408323131005HX0F</v>
      </c>
      <c r="B1991" s="12">
        <f>IFERROR(__xludf.DUMMYFUNCTION("""COMPUTED_VALUE"""),44948.0)</f>
        <v>44948</v>
      </c>
      <c r="C1991" s="13">
        <f>IFERROR(__xludf.DUMMYFUNCTION("""COMPUTED_VALUE"""),0.9166666666666666)</f>
        <v>0.9166666667</v>
      </c>
      <c r="D1991" s="8">
        <f>IFERROR(__xludf.DUMMYFUNCTION("""COMPUTED_VALUE"""),1.682)</f>
        <v>1.682</v>
      </c>
      <c r="E1991" s="8" t="str">
        <f>IFERROR(__xludf.DUMMYFUNCTION("""COMPUTED_VALUE"""),"Real")</f>
        <v>Real</v>
      </c>
      <c r="G1991" s="8">
        <f t="shared" si="1"/>
        <v>1</v>
      </c>
      <c r="H1991" s="14">
        <f t="shared" si="2"/>
        <v>22</v>
      </c>
      <c r="I1991" s="15">
        <f t="shared" si="3"/>
        <v>22</v>
      </c>
    </row>
    <row r="1992">
      <c r="A1992" s="8" t="str">
        <f>IFERROR(__xludf.DUMMYFUNCTION("IF('(INGESTA)Datos_consumo_datadis'!A1992&lt;&gt;"""",SPLIT('(INGESTA)Datos_consumo_datadis'!A:A,"",""),"""")"),"ES0031408323131005HX0F")</f>
        <v>ES0031408323131005HX0F</v>
      </c>
      <c r="B1992" s="12">
        <f>IFERROR(__xludf.DUMMYFUNCTION("""COMPUTED_VALUE"""),44948.0)</f>
        <v>44948</v>
      </c>
      <c r="C1992" s="13">
        <f>IFERROR(__xludf.DUMMYFUNCTION("""COMPUTED_VALUE"""),0.9583333333333334)</f>
        <v>0.9583333333</v>
      </c>
      <c r="D1992" s="8">
        <f>IFERROR(__xludf.DUMMYFUNCTION("""COMPUTED_VALUE"""),2.692)</f>
        <v>2.692</v>
      </c>
      <c r="E1992" s="8" t="str">
        <f>IFERROR(__xludf.DUMMYFUNCTION("""COMPUTED_VALUE"""),"Real")</f>
        <v>Real</v>
      </c>
      <c r="G1992" s="8">
        <f t="shared" si="1"/>
        <v>1</v>
      </c>
      <c r="H1992" s="14">
        <f t="shared" si="2"/>
        <v>22</v>
      </c>
      <c r="I1992" s="15">
        <f t="shared" si="3"/>
        <v>23</v>
      </c>
    </row>
    <row r="1993">
      <c r="A1993" s="8" t="str">
        <f>IFERROR(__xludf.DUMMYFUNCTION("IF('(INGESTA)Datos_consumo_datadis'!A1993&lt;&gt;"""",SPLIT('(INGESTA)Datos_consumo_datadis'!A:A,"",""),"""")"),"ES0031408323131005HX0F")</f>
        <v>ES0031408323131005HX0F</v>
      </c>
      <c r="B1993" s="12">
        <f>IFERROR(__xludf.DUMMYFUNCTION("""COMPUTED_VALUE"""),44948.0)</f>
        <v>44948</v>
      </c>
      <c r="C1993" s="16">
        <f>IFERROR(__xludf.DUMMYFUNCTION("""COMPUTED_VALUE"""),1.0)</f>
        <v>1</v>
      </c>
      <c r="D1993" s="8">
        <f>IFERROR(__xludf.DUMMYFUNCTION("""COMPUTED_VALUE"""),3.042)</f>
        <v>3.042</v>
      </c>
      <c r="E1993" s="8" t="str">
        <f>IFERROR(__xludf.DUMMYFUNCTION("""COMPUTED_VALUE"""),"Real")</f>
        <v>Real</v>
      </c>
      <c r="G1993" s="8">
        <f t="shared" si="1"/>
        <v>1</v>
      </c>
      <c r="H1993" s="14">
        <f t="shared" si="2"/>
        <v>22</v>
      </c>
      <c r="I1993" s="15">
        <f t="shared" si="3"/>
        <v>0</v>
      </c>
    </row>
    <row r="1994">
      <c r="A1994" s="8" t="str">
        <f>IFERROR(__xludf.DUMMYFUNCTION("IF('(INGESTA)Datos_consumo_datadis'!A1994&lt;&gt;"""",SPLIT('(INGESTA)Datos_consumo_datadis'!A:A,"",""),"""")"),"ES0031408323131005HX0F")</f>
        <v>ES0031408323131005HX0F</v>
      </c>
      <c r="B1994" s="12">
        <f>IFERROR(__xludf.DUMMYFUNCTION("""COMPUTED_VALUE"""),44949.0)</f>
        <v>44949</v>
      </c>
      <c r="C1994" s="13">
        <f>IFERROR(__xludf.DUMMYFUNCTION("""COMPUTED_VALUE"""),0.041666666666666664)</f>
        <v>0.04166666667</v>
      </c>
      <c r="D1994" s="8">
        <f>IFERROR(__xludf.DUMMYFUNCTION("""COMPUTED_VALUE"""),2.356)</f>
        <v>2.356</v>
      </c>
      <c r="E1994" s="8" t="str">
        <f>IFERROR(__xludf.DUMMYFUNCTION("""COMPUTED_VALUE"""),"Real")</f>
        <v>Real</v>
      </c>
      <c r="G1994" s="8">
        <f t="shared" si="1"/>
        <v>1</v>
      </c>
      <c r="H1994" s="14">
        <f t="shared" si="2"/>
        <v>23</v>
      </c>
      <c r="I1994" s="15">
        <f t="shared" si="3"/>
        <v>1</v>
      </c>
    </row>
    <row r="1995">
      <c r="A1995" s="8" t="str">
        <f>IFERROR(__xludf.DUMMYFUNCTION("IF('(INGESTA)Datos_consumo_datadis'!A1995&lt;&gt;"""",SPLIT('(INGESTA)Datos_consumo_datadis'!A:A,"",""),"""")"),"ES0031408323131005HX0F")</f>
        <v>ES0031408323131005HX0F</v>
      </c>
      <c r="B1995" s="12">
        <f>IFERROR(__xludf.DUMMYFUNCTION("""COMPUTED_VALUE"""),44949.0)</f>
        <v>44949</v>
      </c>
      <c r="C1995" s="13">
        <f>IFERROR(__xludf.DUMMYFUNCTION("""COMPUTED_VALUE"""),0.08333333333333333)</f>
        <v>0.08333333333</v>
      </c>
      <c r="D1995" s="8">
        <f>IFERROR(__xludf.DUMMYFUNCTION("""COMPUTED_VALUE"""),1.646)</f>
        <v>1.646</v>
      </c>
      <c r="E1995" s="8" t="str">
        <f>IFERROR(__xludf.DUMMYFUNCTION("""COMPUTED_VALUE"""),"Real")</f>
        <v>Real</v>
      </c>
      <c r="G1995" s="8">
        <f t="shared" si="1"/>
        <v>1</v>
      </c>
      <c r="H1995" s="14">
        <f t="shared" si="2"/>
        <v>23</v>
      </c>
      <c r="I1995" s="15">
        <f t="shared" si="3"/>
        <v>2</v>
      </c>
    </row>
    <row r="1996">
      <c r="A1996" s="8" t="str">
        <f>IFERROR(__xludf.DUMMYFUNCTION("IF('(INGESTA)Datos_consumo_datadis'!A1996&lt;&gt;"""",SPLIT('(INGESTA)Datos_consumo_datadis'!A:A,"",""),"""")"),"ES0031408323131005HX0F")</f>
        <v>ES0031408323131005HX0F</v>
      </c>
      <c r="B1996" s="12">
        <f>IFERROR(__xludf.DUMMYFUNCTION("""COMPUTED_VALUE"""),44949.0)</f>
        <v>44949</v>
      </c>
      <c r="C1996" s="13">
        <f>IFERROR(__xludf.DUMMYFUNCTION("""COMPUTED_VALUE"""),0.125)</f>
        <v>0.125</v>
      </c>
      <c r="D1996" s="8">
        <f>IFERROR(__xludf.DUMMYFUNCTION("""COMPUTED_VALUE"""),1.67)</f>
        <v>1.67</v>
      </c>
      <c r="E1996" s="8" t="str">
        <f>IFERROR(__xludf.DUMMYFUNCTION("""COMPUTED_VALUE"""),"Real")</f>
        <v>Real</v>
      </c>
      <c r="G1996" s="8">
        <f t="shared" si="1"/>
        <v>1</v>
      </c>
      <c r="H1996" s="14">
        <f t="shared" si="2"/>
        <v>23</v>
      </c>
      <c r="I1996" s="15">
        <f t="shared" si="3"/>
        <v>3</v>
      </c>
    </row>
    <row r="1997">
      <c r="A1997" s="8" t="str">
        <f>IFERROR(__xludf.DUMMYFUNCTION("IF('(INGESTA)Datos_consumo_datadis'!A1997&lt;&gt;"""",SPLIT('(INGESTA)Datos_consumo_datadis'!A:A,"",""),"""")"),"ES0031408323131005HX0F")</f>
        <v>ES0031408323131005HX0F</v>
      </c>
      <c r="B1997" s="12">
        <f>IFERROR(__xludf.DUMMYFUNCTION("""COMPUTED_VALUE"""),44949.0)</f>
        <v>44949</v>
      </c>
      <c r="C1997" s="13">
        <f>IFERROR(__xludf.DUMMYFUNCTION("""COMPUTED_VALUE"""),0.16666666666666666)</f>
        <v>0.1666666667</v>
      </c>
      <c r="D1997" s="8">
        <f>IFERROR(__xludf.DUMMYFUNCTION("""COMPUTED_VALUE"""),1.637)</f>
        <v>1.637</v>
      </c>
      <c r="E1997" s="8" t="str">
        <f>IFERROR(__xludf.DUMMYFUNCTION("""COMPUTED_VALUE"""),"Real")</f>
        <v>Real</v>
      </c>
      <c r="G1997" s="8">
        <f t="shared" si="1"/>
        <v>1</v>
      </c>
      <c r="H1997" s="14">
        <f t="shared" si="2"/>
        <v>23</v>
      </c>
      <c r="I1997" s="15">
        <f t="shared" si="3"/>
        <v>4</v>
      </c>
    </row>
    <row r="1998">
      <c r="A1998" s="8" t="str">
        <f>IFERROR(__xludf.DUMMYFUNCTION("IF('(INGESTA)Datos_consumo_datadis'!A1998&lt;&gt;"""",SPLIT('(INGESTA)Datos_consumo_datadis'!A:A,"",""),"""")"),"ES0031408323131005HX0F")</f>
        <v>ES0031408323131005HX0F</v>
      </c>
      <c r="B1998" s="12">
        <f>IFERROR(__xludf.DUMMYFUNCTION("""COMPUTED_VALUE"""),44949.0)</f>
        <v>44949</v>
      </c>
      <c r="C1998" s="13">
        <f>IFERROR(__xludf.DUMMYFUNCTION("""COMPUTED_VALUE"""),0.20833333333333334)</f>
        <v>0.2083333333</v>
      </c>
      <c r="D1998" s="8">
        <f>IFERROR(__xludf.DUMMYFUNCTION("""COMPUTED_VALUE"""),1.616)</f>
        <v>1.616</v>
      </c>
      <c r="E1998" s="8" t="str">
        <f>IFERROR(__xludf.DUMMYFUNCTION("""COMPUTED_VALUE"""),"Real")</f>
        <v>Real</v>
      </c>
      <c r="G1998" s="8">
        <f t="shared" si="1"/>
        <v>1</v>
      </c>
      <c r="H1998" s="14">
        <f t="shared" si="2"/>
        <v>23</v>
      </c>
      <c r="I1998" s="15">
        <f t="shared" si="3"/>
        <v>5</v>
      </c>
    </row>
    <row r="1999">
      <c r="A1999" s="8" t="str">
        <f>IFERROR(__xludf.DUMMYFUNCTION("IF('(INGESTA)Datos_consumo_datadis'!A1999&lt;&gt;"""",SPLIT('(INGESTA)Datos_consumo_datadis'!A:A,"",""),"""")"),"ES0031408323131005HX0F")</f>
        <v>ES0031408323131005HX0F</v>
      </c>
      <c r="B1999" s="12">
        <f>IFERROR(__xludf.DUMMYFUNCTION("""COMPUTED_VALUE"""),44949.0)</f>
        <v>44949</v>
      </c>
      <c r="C1999" s="13">
        <f>IFERROR(__xludf.DUMMYFUNCTION("""COMPUTED_VALUE"""),0.25)</f>
        <v>0.25</v>
      </c>
      <c r="D1999" s="8">
        <f>IFERROR(__xludf.DUMMYFUNCTION("""COMPUTED_VALUE"""),1.613)</f>
        <v>1.613</v>
      </c>
      <c r="E1999" s="8" t="str">
        <f>IFERROR(__xludf.DUMMYFUNCTION("""COMPUTED_VALUE"""),"Real")</f>
        <v>Real</v>
      </c>
      <c r="G1999" s="8">
        <f t="shared" si="1"/>
        <v>1</v>
      </c>
      <c r="H1999" s="14">
        <f t="shared" si="2"/>
        <v>23</v>
      </c>
      <c r="I1999" s="15">
        <f t="shared" si="3"/>
        <v>6</v>
      </c>
    </row>
    <row r="2000">
      <c r="A2000" s="8" t="str">
        <f>IFERROR(__xludf.DUMMYFUNCTION("IF('(INGESTA)Datos_consumo_datadis'!A2000&lt;&gt;"""",SPLIT('(INGESTA)Datos_consumo_datadis'!A:A,"",""),"""")"),"ES0031408323131005HX0F")</f>
        <v>ES0031408323131005HX0F</v>
      </c>
      <c r="B2000" s="12">
        <f>IFERROR(__xludf.DUMMYFUNCTION("""COMPUTED_VALUE"""),44949.0)</f>
        <v>44949</v>
      </c>
      <c r="C2000" s="13">
        <f>IFERROR(__xludf.DUMMYFUNCTION("""COMPUTED_VALUE"""),0.2916666666666667)</f>
        <v>0.2916666667</v>
      </c>
      <c r="D2000" s="8">
        <f>IFERROR(__xludf.DUMMYFUNCTION("""COMPUTED_VALUE"""),1.976)</f>
        <v>1.976</v>
      </c>
      <c r="E2000" s="8" t="str">
        <f>IFERROR(__xludf.DUMMYFUNCTION("""COMPUTED_VALUE"""),"Real")</f>
        <v>Real</v>
      </c>
      <c r="G2000" s="8">
        <f t="shared" si="1"/>
        <v>1</v>
      </c>
      <c r="H2000" s="14">
        <f t="shared" si="2"/>
        <v>23</v>
      </c>
      <c r="I2000" s="15">
        <f t="shared" si="3"/>
        <v>7</v>
      </c>
    </row>
    <row r="2001">
      <c r="A2001" s="8" t="str">
        <f>IFERROR(__xludf.DUMMYFUNCTION("IF('(INGESTA)Datos_consumo_datadis'!A2001&lt;&gt;"""",SPLIT('(INGESTA)Datos_consumo_datadis'!A:A,"",""),"""")"),"ES0031408323131005HX0F")</f>
        <v>ES0031408323131005HX0F</v>
      </c>
      <c r="B2001" s="12">
        <f>IFERROR(__xludf.DUMMYFUNCTION("""COMPUTED_VALUE"""),44949.0)</f>
        <v>44949</v>
      </c>
      <c r="C2001" s="13">
        <f>IFERROR(__xludf.DUMMYFUNCTION("""COMPUTED_VALUE"""),0.3333333333333333)</f>
        <v>0.3333333333</v>
      </c>
      <c r="D2001" s="8">
        <f>IFERROR(__xludf.DUMMYFUNCTION("""COMPUTED_VALUE"""),1.923)</f>
        <v>1.923</v>
      </c>
      <c r="E2001" s="8" t="str">
        <f>IFERROR(__xludf.DUMMYFUNCTION("""COMPUTED_VALUE"""),"Real")</f>
        <v>Real</v>
      </c>
      <c r="G2001" s="8">
        <f t="shared" si="1"/>
        <v>1</v>
      </c>
      <c r="H2001" s="14">
        <f t="shared" si="2"/>
        <v>23</v>
      </c>
      <c r="I2001" s="15">
        <f t="shared" si="3"/>
        <v>8</v>
      </c>
    </row>
    <row r="2002">
      <c r="A2002" s="8" t="str">
        <f>IFERROR(__xludf.DUMMYFUNCTION("IF('(INGESTA)Datos_consumo_datadis'!A2002&lt;&gt;"""",SPLIT('(INGESTA)Datos_consumo_datadis'!A:A,"",""),"""")"),"ES0031408323131005HX0F")</f>
        <v>ES0031408323131005HX0F</v>
      </c>
      <c r="B2002" s="12">
        <f>IFERROR(__xludf.DUMMYFUNCTION("""COMPUTED_VALUE"""),44949.0)</f>
        <v>44949</v>
      </c>
      <c r="C2002" s="13">
        <f>IFERROR(__xludf.DUMMYFUNCTION("""COMPUTED_VALUE"""),0.375)</f>
        <v>0.375</v>
      </c>
      <c r="D2002" s="8">
        <f>IFERROR(__xludf.DUMMYFUNCTION("""COMPUTED_VALUE"""),1.121)</f>
        <v>1.121</v>
      </c>
      <c r="E2002" s="8" t="str">
        <f>IFERROR(__xludf.DUMMYFUNCTION("""COMPUTED_VALUE"""),"Real")</f>
        <v>Real</v>
      </c>
      <c r="G2002" s="8">
        <f t="shared" si="1"/>
        <v>1</v>
      </c>
      <c r="H2002" s="14">
        <f t="shared" si="2"/>
        <v>23</v>
      </c>
      <c r="I2002" s="15">
        <f t="shared" si="3"/>
        <v>9</v>
      </c>
    </row>
    <row r="2003">
      <c r="A2003" s="8" t="str">
        <f>IFERROR(__xludf.DUMMYFUNCTION("IF('(INGESTA)Datos_consumo_datadis'!A2003&lt;&gt;"""",SPLIT('(INGESTA)Datos_consumo_datadis'!A:A,"",""),"""")"),"ES0031408323131005HX0F")</f>
        <v>ES0031408323131005HX0F</v>
      </c>
      <c r="B2003" s="12">
        <f>IFERROR(__xludf.DUMMYFUNCTION("""COMPUTED_VALUE"""),44949.0)</f>
        <v>44949</v>
      </c>
      <c r="C2003" s="13">
        <f>IFERROR(__xludf.DUMMYFUNCTION("""COMPUTED_VALUE"""),0.4166666666666667)</f>
        <v>0.4166666667</v>
      </c>
      <c r="D2003" s="8">
        <f>IFERROR(__xludf.DUMMYFUNCTION("""COMPUTED_VALUE"""),1.432)</f>
        <v>1.432</v>
      </c>
      <c r="E2003" s="8" t="str">
        <f>IFERROR(__xludf.DUMMYFUNCTION("""COMPUTED_VALUE"""),"Real")</f>
        <v>Real</v>
      </c>
      <c r="G2003" s="8">
        <f t="shared" si="1"/>
        <v>1</v>
      </c>
      <c r="H2003" s="14">
        <f t="shared" si="2"/>
        <v>23</v>
      </c>
      <c r="I2003" s="15">
        <f t="shared" si="3"/>
        <v>10</v>
      </c>
    </row>
    <row r="2004">
      <c r="A2004" s="8" t="str">
        <f>IFERROR(__xludf.DUMMYFUNCTION("IF('(INGESTA)Datos_consumo_datadis'!A2004&lt;&gt;"""",SPLIT('(INGESTA)Datos_consumo_datadis'!A:A,"",""),"""")"),"ES0031408323131005HX0F")</f>
        <v>ES0031408323131005HX0F</v>
      </c>
      <c r="B2004" s="12">
        <f>IFERROR(__xludf.DUMMYFUNCTION("""COMPUTED_VALUE"""),44949.0)</f>
        <v>44949</v>
      </c>
      <c r="C2004" s="13">
        <f>IFERROR(__xludf.DUMMYFUNCTION("""COMPUTED_VALUE"""),0.4583333333333333)</f>
        <v>0.4583333333</v>
      </c>
      <c r="D2004" s="8">
        <f>IFERROR(__xludf.DUMMYFUNCTION("""COMPUTED_VALUE"""),1.912)</f>
        <v>1.912</v>
      </c>
      <c r="E2004" s="8" t="str">
        <f>IFERROR(__xludf.DUMMYFUNCTION("""COMPUTED_VALUE"""),"Real")</f>
        <v>Real</v>
      </c>
      <c r="G2004" s="8">
        <f t="shared" si="1"/>
        <v>1</v>
      </c>
      <c r="H2004" s="14">
        <f t="shared" si="2"/>
        <v>23</v>
      </c>
      <c r="I2004" s="15">
        <f t="shared" si="3"/>
        <v>11</v>
      </c>
    </row>
    <row r="2005">
      <c r="A2005" s="8" t="str">
        <f>IFERROR(__xludf.DUMMYFUNCTION("IF('(INGESTA)Datos_consumo_datadis'!A2005&lt;&gt;"""",SPLIT('(INGESTA)Datos_consumo_datadis'!A:A,"",""),"""")"),"ES0031408323131005HX0F")</f>
        <v>ES0031408323131005HX0F</v>
      </c>
      <c r="B2005" s="12">
        <f>IFERROR(__xludf.DUMMYFUNCTION("""COMPUTED_VALUE"""),44949.0)</f>
        <v>44949</v>
      </c>
      <c r="C2005" s="13">
        <f>IFERROR(__xludf.DUMMYFUNCTION("""COMPUTED_VALUE"""),0.5)</f>
        <v>0.5</v>
      </c>
      <c r="D2005" s="8">
        <f>IFERROR(__xludf.DUMMYFUNCTION("""COMPUTED_VALUE"""),0.602)</f>
        <v>0.602</v>
      </c>
      <c r="E2005" s="8" t="str">
        <f>IFERROR(__xludf.DUMMYFUNCTION("""COMPUTED_VALUE"""),"Real")</f>
        <v>Real</v>
      </c>
      <c r="G2005" s="8">
        <f t="shared" si="1"/>
        <v>1</v>
      </c>
      <c r="H2005" s="14">
        <f t="shared" si="2"/>
        <v>23</v>
      </c>
      <c r="I2005" s="15">
        <f t="shared" si="3"/>
        <v>12</v>
      </c>
    </row>
    <row r="2006">
      <c r="A2006" s="8" t="str">
        <f>IFERROR(__xludf.DUMMYFUNCTION("IF('(INGESTA)Datos_consumo_datadis'!A2006&lt;&gt;"""",SPLIT('(INGESTA)Datos_consumo_datadis'!A:A,"",""),"""")"),"ES0031408323131005HX0F")</f>
        <v>ES0031408323131005HX0F</v>
      </c>
      <c r="B2006" s="12">
        <f>IFERROR(__xludf.DUMMYFUNCTION("""COMPUTED_VALUE"""),44949.0)</f>
        <v>44949</v>
      </c>
      <c r="C2006" s="13">
        <f>IFERROR(__xludf.DUMMYFUNCTION("""COMPUTED_VALUE"""),0.5416666666666666)</f>
        <v>0.5416666667</v>
      </c>
      <c r="D2006" s="8">
        <f>IFERROR(__xludf.DUMMYFUNCTION("""COMPUTED_VALUE"""),1.195)</f>
        <v>1.195</v>
      </c>
      <c r="E2006" s="8" t="str">
        <f>IFERROR(__xludf.DUMMYFUNCTION("""COMPUTED_VALUE"""),"Real")</f>
        <v>Real</v>
      </c>
      <c r="G2006" s="8">
        <f t="shared" si="1"/>
        <v>1</v>
      </c>
      <c r="H2006" s="14">
        <f t="shared" si="2"/>
        <v>23</v>
      </c>
      <c r="I2006" s="15">
        <f t="shared" si="3"/>
        <v>13</v>
      </c>
    </row>
    <row r="2007">
      <c r="A2007" s="8" t="str">
        <f>IFERROR(__xludf.DUMMYFUNCTION("IF('(INGESTA)Datos_consumo_datadis'!A2007&lt;&gt;"""",SPLIT('(INGESTA)Datos_consumo_datadis'!A:A,"",""),"""")"),"ES0031408323131005HX0F")</f>
        <v>ES0031408323131005HX0F</v>
      </c>
      <c r="B2007" s="12">
        <f>IFERROR(__xludf.DUMMYFUNCTION("""COMPUTED_VALUE"""),44949.0)</f>
        <v>44949</v>
      </c>
      <c r="C2007" s="13">
        <f>IFERROR(__xludf.DUMMYFUNCTION("""COMPUTED_VALUE"""),0.5833333333333334)</f>
        <v>0.5833333333</v>
      </c>
      <c r="D2007" s="8">
        <f>IFERROR(__xludf.DUMMYFUNCTION("""COMPUTED_VALUE"""),1.944)</f>
        <v>1.944</v>
      </c>
      <c r="E2007" s="8" t="str">
        <f>IFERROR(__xludf.DUMMYFUNCTION("""COMPUTED_VALUE"""),"Real")</f>
        <v>Real</v>
      </c>
      <c r="G2007" s="8">
        <f t="shared" si="1"/>
        <v>1</v>
      </c>
      <c r="H2007" s="14">
        <f t="shared" si="2"/>
        <v>23</v>
      </c>
      <c r="I2007" s="15">
        <f t="shared" si="3"/>
        <v>14</v>
      </c>
    </row>
    <row r="2008">
      <c r="A2008" s="8" t="str">
        <f>IFERROR(__xludf.DUMMYFUNCTION("IF('(INGESTA)Datos_consumo_datadis'!A2008&lt;&gt;"""",SPLIT('(INGESTA)Datos_consumo_datadis'!A:A,"",""),"""")"),"ES0031408323131005HX0F")</f>
        <v>ES0031408323131005HX0F</v>
      </c>
      <c r="B2008" s="12">
        <f>IFERROR(__xludf.DUMMYFUNCTION("""COMPUTED_VALUE"""),44949.0)</f>
        <v>44949</v>
      </c>
      <c r="C2008" s="13">
        <f>IFERROR(__xludf.DUMMYFUNCTION("""COMPUTED_VALUE"""),0.625)</f>
        <v>0.625</v>
      </c>
      <c r="D2008" s="8">
        <f>IFERROR(__xludf.DUMMYFUNCTION("""COMPUTED_VALUE"""),1.173)</f>
        <v>1.173</v>
      </c>
      <c r="E2008" s="8" t="str">
        <f>IFERROR(__xludf.DUMMYFUNCTION("""COMPUTED_VALUE"""),"Real")</f>
        <v>Real</v>
      </c>
      <c r="G2008" s="8">
        <f t="shared" si="1"/>
        <v>1</v>
      </c>
      <c r="H2008" s="14">
        <f t="shared" si="2"/>
        <v>23</v>
      </c>
      <c r="I2008" s="15">
        <f t="shared" si="3"/>
        <v>15</v>
      </c>
    </row>
    <row r="2009">
      <c r="A2009" s="8" t="str">
        <f>IFERROR(__xludf.DUMMYFUNCTION("IF('(INGESTA)Datos_consumo_datadis'!A2009&lt;&gt;"""",SPLIT('(INGESTA)Datos_consumo_datadis'!A:A,"",""),"""")"),"ES0031408323131005HX0F")</f>
        <v>ES0031408323131005HX0F</v>
      </c>
      <c r="B2009" s="12">
        <f>IFERROR(__xludf.DUMMYFUNCTION("""COMPUTED_VALUE"""),44949.0)</f>
        <v>44949</v>
      </c>
      <c r="C2009" s="13">
        <f>IFERROR(__xludf.DUMMYFUNCTION("""COMPUTED_VALUE"""),0.6666666666666666)</f>
        <v>0.6666666667</v>
      </c>
      <c r="D2009" s="8">
        <f>IFERROR(__xludf.DUMMYFUNCTION("""COMPUTED_VALUE"""),0.053)</f>
        <v>0.053</v>
      </c>
      <c r="E2009" s="8" t="str">
        <f>IFERROR(__xludf.DUMMYFUNCTION("""COMPUTED_VALUE"""),"Real")</f>
        <v>Real</v>
      </c>
      <c r="G2009" s="8">
        <f t="shared" si="1"/>
        <v>1</v>
      </c>
      <c r="H2009" s="14">
        <f t="shared" si="2"/>
        <v>23</v>
      </c>
      <c r="I2009" s="15">
        <f t="shared" si="3"/>
        <v>16</v>
      </c>
    </row>
    <row r="2010">
      <c r="A2010" s="8" t="str">
        <f>IFERROR(__xludf.DUMMYFUNCTION("IF('(INGESTA)Datos_consumo_datadis'!A2010&lt;&gt;"""",SPLIT('(INGESTA)Datos_consumo_datadis'!A:A,"",""),"""")"),"ES0031408323131005HX0F")</f>
        <v>ES0031408323131005HX0F</v>
      </c>
      <c r="B2010" s="12">
        <f>IFERROR(__xludf.DUMMYFUNCTION("""COMPUTED_VALUE"""),44949.0)</f>
        <v>44949</v>
      </c>
      <c r="C2010" s="13">
        <f>IFERROR(__xludf.DUMMYFUNCTION("""COMPUTED_VALUE"""),0.7083333333333334)</f>
        <v>0.7083333333</v>
      </c>
      <c r="D2010" s="8">
        <f>IFERROR(__xludf.DUMMYFUNCTION("""COMPUTED_VALUE"""),0.02)</f>
        <v>0.02</v>
      </c>
      <c r="E2010" s="8" t="str">
        <f>IFERROR(__xludf.DUMMYFUNCTION("""COMPUTED_VALUE"""),"Real")</f>
        <v>Real</v>
      </c>
      <c r="G2010" s="8">
        <f t="shared" si="1"/>
        <v>1</v>
      </c>
      <c r="H2010" s="14">
        <f t="shared" si="2"/>
        <v>23</v>
      </c>
      <c r="I2010" s="15">
        <f t="shared" si="3"/>
        <v>17</v>
      </c>
    </row>
    <row r="2011">
      <c r="A2011" s="8" t="str">
        <f>IFERROR(__xludf.DUMMYFUNCTION("IF('(INGESTA)Datos_consumo_datadis'!A2011&lt;&gt;"""",SPLIT('(INGESTA)Datos_consumo_datadis'!A:A,"",""),"""")"),"ES0031408323131005HX0F")</f>
        <v>ES0031408323131005HX0F</v>
      </c>
      <c r="B2011" s="12">
        <f>IFERROR(__xludf.DUMMYFUNCTION("""COMPUTED_VALUE"""),44949.0)</f>
        <v>44949</v>
      </c>
      <c r="C2011" s="13">
        <f>IFERROR(__xludf.DUMMYFUNCTION("""COMPUTED_VALUE"""),0.75)</f>
        <v>0.75</v>
      </c>
      <c r="D2011" s="8">
        <f>IFERROR(__xludf.DUMMYFUNCTION("""COMPUTED_VALUE"""),0.07)</f>
        <v>0.07</v>
      </c>
      <c r="E2011" s="8" t="str">
        <f>IFERROR(__xludf.DUMMYFUNCTION("""COMPUTED_VALUE"""),"Real")</f>
        <v>Real</v>
      </c>
      <c r="G2011" s="8">
        <f t="shared" si="1"/>
        <v>1</v>
      </c>
      <c r="H2011" s="14">
        <f t="shared" si="2"/>
        <v>23</v>
      </c>
      <c r="I2011" s="15">
        <f t="shared" si="3"/>
        <v>18</v>
      </c>
    </row>
    <row r="2012">
      <c r="A2012" s="8" t="str">
        <f>IFERROR(__xludf.DUMMYFUNCTION("IF('(INGESTA)Datos_consumo_datadis'!A2012&lt;&gt;"""",SPLIT('(INGESTA)Datos_consumo_datadis'!A:A,"",""),"""")"),"ES0031408323131005HX0F")</f>
        <v>ES0031408323131005HX0F</v>
      </c>
      <c r="B2012" s="12">
        <f>IFERROR(__xludf.DUMMYFUNCTION("""COMPUTED_VALUE"""),44949.0)</f>
        <v>44949</v>
      </c>
      <c r="C2012" s="13">
        <f>IFERROR(__xludf.DUMMYFUNCTION("""COMPUTED_VALUE"""),0.7916666666666666)</f>
        <v>0.7916666667</v>
      </c>
      <c r="D2012" s="8">
        <f>IFERROR(__xludf.DUMMYFUNCTION("""COMPUTED_VALUE"""),0.042)</f>
        <v>0.042</v>
      </c>
      <c r="E2012" s="8" t="str">
        <f>IFERROR(__xludf.DUMMYFUNCTION("""COMPUTED_VALUE"""),"Real")</f>
        <v>Real</v>
      </c>
      <c r="G2012" s="8">
        <f t="shared" si="1"/>
        <v>1</v>
      </c>
      <c r="H2012" s="14">
        <f t="shared" si="2"/>
        <v>23</v>
      </c>
      <c r="I2012" s="15">
        <f t="shared" si="3"/>
        <v>19</v>
      </c>
    </row>
    <row r="2013">
      <c r="A2013" s="8" t="str">
        <f>IFERROR(__xludf.DUMMYFUNCTION("IF('(INGESTA)Datos_consumo_datadis'!A2013&lt;&gt;"""",SPLIT('(INGESTA)Datos_consumo_datadis'!A:A,"",""),"""")"),"ES0031408323131005HX0F")</f>
        <v>ES0031408323131005HX0F</v>
      </c>
      <c r="B2013" s="12">
        <f>IFERROR(__xludf.DUMMYFUNCTION("""COMPUTED_VALUE"""),44949.0)</f>
        <v>44949</v>
      </c>
      <c r="C2013" s="13">
        <f>IFERROR(__xludf.DUMMYFUNCTION("""COMPUTED_VALUE"""),0.8333333333333334)</f>
        <v>0.8333333333</v>
      </c>
      <c r="D2013" s="8">
        <f>IFERROR(__xludf.DUMMYFUNCTION("""COMPUTED_VALUE"""),0.377)</f>
        <v>0.377</v>
      </c>
      <c r="E2013" s="8" t="str">
        <f>IFERROR(__xludf.DUMMYFUNCTION("""COMPUTED_VALUE"""),"Real")</f>
        <v>Real</v>
      </c>
      <c r="G2013" s="8">
        <f t="shared" si="1"/>
        <v>1</v>
      </c>
      <c r="H2013" s="14">
        <f t="shared" si="2"/>
        <v>23</v>
      </c>
      <c r="I2013" s="15">
        <f t="shared" si="3"/>
        <v>20</v>
      </c>
    </row>
    <row r="2014">
      <c r="A2014" s="8" t="str">
        <f>IFERROR(__xludf.DUMMYFUNCTION("IF('(INGESTA)Datos_consumo_datadis'!A2014&lt;&gt;"""",SPLIT('(INGESTA)Datos_consumo_datadis'!A:A,"",""),"""")"),"ES0031408323131005HX0F")</f>
        <v>ES0031408323131005HX0F</v>
      </c>
      <c r="B2014" s="12">
        <f>IFERROR(__xludf.DUMMYFUNCTION("""COMPUTED_VALUE"""),44949.0)</f>
        <v>44949</v>
      </c>
      <c r="C2014" s="13">
        <f>IFERROR(__xludf.DUMMYFUNCTION("""COMPUTED_VALUE"""),0.875)</f>
        <v>0.875</v>
      </c>
      <c r="D2014" s="8">
        <f>IFERROR(__xludf.DUMMYFUNCTION("""COMPUTED_VALUE"""),2.74)</f>
        <v>2.74</v>
      </c>
      <c r="E2014" s="8" t="str">
        <f>IFERROR(__xludf.DUMMYFUNCTION("""COMPUTED_VALUE"""),"Real")</f>
        <v>Real</v>
      </c>
      <c r="G2014" s="8">
        <f t="shared" si="1"/>
        <v>1</v>
      </c>
      <c r="H2014" s="14">
        <f t="shared" si="2"/>
        <v>23</v>
      </c>
      <c r="I2014" s="15">
        <f t="shared" si="3"/>
        <v>21</v>
      </c>
    </row>
    <row r="2015">
      <c r="A2015" s="8" t="str">
        <f>IFERROR(__xludf.DUMMYFUNCTION("IF('(INGESTA)Datos_consumo_datadis'!A2015&lt;&gt;"""",SPLIT('(INGESTA)Datos_consumo_datadis'!A:A,"",""),"""")"),"ES0031408323131005HX0F")</f>
        <v>ES0031408323131005HX0F</v>
      </c>
      <c r="B2015" s="12">
        <f>IFERROR(__xludf.DUMMYFUNCTION("""COMPUTED_VALUE"""),44949.0)</f>
        <v>44949</v>
      </c>
      <c r="C2015" s="13">
        <f>IFERROR(__xludf.DUMMYFUNCTION("""COMPUTED_VALUE"""),0.9166666666666666)</f>
        <v>0.9166666667</v>
      </c>
      <c r="D2015" s="8">
        <f>IFERROR(__xludf.DUMMYFUNCTION("""COMPUTED_VALUE"""),3.472)</f>
        <v>3.472</v>
      </c>
      <c r="E2015" s="8" t="str">
        <f>IFERROR(__xludf.DUMMYFUNCTION("""COMPUTED_VALUE"""),"Real")</f>
        <v>Real</v>
      </c>
      <c r="G2015" s="8">
        <f t="shared" si="1"/>
        <v>1</v>
      </c>
      <c r="H2015" s="14">
        <f t="shared" si="2"/>
        <v>23</v>
      </c>
      <c r="I2015" s="15">
        <f t="shared" si="3"/>
        <v>22</v>
      </c>
    </row>
    <row r="2016">
      <c r="A2016" s="8" t="str">
        <f>IFERROR(__xludf.DUMMYFUNCTION("IF('(INGESTA)Datos_consumo_datadis'!A2016&lt;&gt;"""",SPLIT('(INGESTA)Datos_consumo_datadis'!A:A,"",""),"""")"),"ES0031408323131005HX0F")</f>
        <v>ES0031408323131005HX0F</v>
      </c>
      <c r="B2016" s="12">
        <f>IFERROR(__xludf.DUMMYFUNCTION("""COMPUTED_VALUE"""),44949.0)</f>
        <v>44949</v>
      </c>
      <c r="C2016" s="13">
        <f>IFERROR(__xludf.DUMMYFUNCTION("""COMPUTED_VALUE"""),0.9583333333333334)</f>
        <v>0.9583333333</v>
      </c>
      <c r="D2016" s="8">
        <f>IFERROR(__xludf.DUMMYFUNCTION("""COMPUTED_VALUE"""),1.908)</f>
        <v>1.908</v>
      </c>
      <c r="E2016" s="8" t="str">
        <f>IFERROR(__xludf.DUMMYFUNCTION("""COMPUTED_VALUE"""),"Real")</f>
        <v>Real</v>
      </c>
      <c r="G2016" s="8">
        <f t="shared" si="1"/>
        <v>1</v>
      </c>
      <c r="H2016" s="14">
        <f t="shared" si="2"/>
        <v>23</v>
      </c>
      <c r="I2016" s="15">
        <f t="shared" si="3"/>
        <v>23</v>
      </c>
    </row>
    <row r="2017">
      <c r="A2017" s="8" t="str">
        <f>IFERROR(__xludf.DUMMYFUNCTION("IF('(INGESTA)Datos_consumo_datadis'!A2017&lt;&gt;"""",SPLIT('(INGESTA)Datos_consumo_datadis'!A:A,"",""),"""")"),"ES0031408323131005HX0F")</f>
        <v>ES0031408323131005HX0F</v>
      </c>
      <c r="B2017" s="12">
        <f>IFERROR(__xludf.DUMMYFUNCTION("""COMPUTED_VALUE"""),44949.0)</f>
        <v>44949</v>
      </c>
      <c r="C2017" s="16">
        <f>IFERROR(__xludf.DUMMYFUNCTION("""COMPUTED_VALUE"""),1.0)</f>
        <v>1</v>
      </c>
      <c r="D2017" s="8">
        <f>IFERROR(__xludf.DUMMYFUNCTION("""COMPUTED_VALUE"""),2.44)</f>
        <v>2.44</v>
      </c>
      <c r="E2017" s="8" t="str">
        <f>IFERROR(__xludf.DUMMYFUNCTION("""COMPUTED_VALUE"""),"Real")</f>
        <v>Real</v>
      </c>
      <c r="G2017" s="8">
        <f t="shared" si="1"/>
        <v>1</v>
      </c>
      <c r="H2017" s="14">
        <f t="shared" si="2"/>
        <v>23</v>
      </c>
      <c r="I2017" s="15">
        <f t="shared" si="3"/>
        <v>0</v>
      </c>
    </row>
    <row r="2018">
      <c r="A2018" s="8" t="str">
        <f>IFERROR(__xludf.DUMMYFUNCTION("IF('(INGESTA)Datos_consumo_datadis'!A2018&lt;&gt;"""",SPLIT('(INGESTA)Datos_consumo_datadis'!A:A,"",""),"""")"),"ES0031408323131005HX0F")</f>
        <v>ES0031408323131005HX0F</v>
      </c>
      <c r="B2018" s="12">
        <f>IFERROR(__xludf.DUMMYFUNCTION("""COMPUTED_VALUE"""),44950.0)</f>
        <v>44950</v>
      </c>
      <c r="C2018" s="13">
        <f>IFERROR(__xludf.DUMMYFUNCTION("""COMPUTED_VALUE"""),0.041666666666666664)</f>
        <v>0.04166666667</v>
      </c>
      <c r="D2018" s="8">
        <f>IFERROR(__xludf.DUMMYFUNCTION("""COMPUTED_VALUE"""),1.43)</f>
        <v>1.43</v>
      </c>
      <c r="E2018" s="8" t="str">
        <f>IFERROR(__xludf.DUMMYFUNCTION("""COMPUTED_VALUE"""),"Real")</f>
        <v>Real</v>
      </c>
      <c r="G2018" s="8">
        <f t="shared" si="1"/>
        <v>1</v>
      </c>
      <c r="H2018" s="14">
        <f t="shared" si="2"/>
        <v>24</v>
      </c>
      <c r="I2018" s="15">
        <f t="shared" si="3"/>
        <v>1</v>
      </c>
    </row>
    <row r="2019">
      <c r="A2019" s="8" t="str">
        <f>IFERROR(__xludf.DUMMYFUNCTION("IF('(INGESTA)Datos_consumo_datadis'!A2019&lt;&gt;"""",SPLIT('(INGESTA)Datos_consumo_datadis'!A:A,"",""),"""")"),"ES0031408323131005HX0F")</f>
        <v>ES0031408323131005HX0F</v>
      </c>
      <c r="B2019" s="12">
        <f>IFERROR(__xludf.DUMMYFUNCTION("""COMPUTED_VALUE"""),44950.0)</f>
        <v>44950</v>
      </c>
      <c r="C2019" s="13">
        <f>IFERROR(__xludf.DUMMYFUNCTION("""COMPUTED_VALUE"""),0.08333333333333333)</f>
        <v>0.08333333333</v>
      </c>
      <c r="D2019" s="8">
        <f>IFERROR(__xludf.DUMMYFUNCTION("""COMPUTED_VALUE"""),1.354)</f>
        <v>1.354</v>
      </c>
      <c r="E2019" s="8" t="str">
        <f>IFERROR(__xludf.DUMMYFUNCTION("""COMPUTED_VALUE"""),"Real")</f>
        <v>Real</v>
      </c>
      <c r="G2019" s="8">
        <f t="shared" si="1"/>
        <v>1</v>
      </c>
      <c r="H2019" s="14">
        <f t="shared" si="2"/>
        <v>24</v>
      </c>
      <c r="I2019" s="15">
        <f t="shared" si="3"/>
        <v>2</v>
      </c>
    </row>
    <row r="2020">
      <c r="A2020" s="8" t="str">
        <f>IFERROR(__xludf.DUMMYFUNCTION("IF('(INGESTA)Datos_consumo_datadis'!A2020&lt;&gt;"""",SPLIT('(INGESTA)Datos_consumo_datadis'!A:A,"",""),"""")"),"ES0031408323131005HX0F")</f>
        <v>ES0031408323131005HX0F</v>
      </c>
      <c r="B2020" s="12">
        <f>IFERROR(__xludf.DUMMYFUNCTION("""COMPUTED_VALUE"""),44950.0)</f>
        <v>44950</v>
      </c>
      <c r="C2020" s="13">
        <f>IFERROR(__xludf.DUMMYFUNCTION("""COMPUTED_VALUE"""),0.125)</f>
        <v>0.125</v>
      </c>
      <c r="D2020" s="8">
        <f>IFERROR(__xludf.DUMMYFUNCTION("""COMPUTED_VALUE"""),1.421)</f>
        <v>1.421</v>
      </c>
      <c r="E2020" s="8" t="str">
        <f>IFERROR(__xludf.DUMMYFUNCTION("""COMPUTED_VALUE"""),"Real")</f>
        <v>Real</v>
      </c>
      <c r="G2020" s="8">
        <f t="shared" si="1"/>
        <v>1</v>
      </c>
      <c r="H2020" s="14">
        <f t="shared" si="2"/>
        <v>24</v>
      </c>
      <c r="I2020" s="15">
        <f t="shared" si="3"/>
        <v>3</v>
      </c>
    </row>
    <row r="2021">
      <c r="A2021" s="8" t="str">
        <f>IFERROR(__xludf.DUMMYFUNCTION("IF('(INGESTA)Datos_consumo_datadis'!A2021&lt;&gt;"""",SPLIT('(INGESTA)Datos_consumo_datadis'!A:A,"",""),"""")"),"ES0031408323131005HX0F")</f>
        <v>ES0031408323131005HX0F</v>
      </c>
      <c r="B2021" s="12">
        <f>IFERROR(__xludf.DUMMYFUNCTION("""COMPUTED_VALUE"""),44950.0)</f>
        <v>44950</v>
      </c>
      <c r="C2021" s="13">
        <f>IFERROR(__xludf.DUMMYFUNCTION("""COMPUTED_VALUE"""),0.16666666666666666)</f>
        <v>0.1666666667</v>
      </c>
      <c r="D2021" s="8">
        <f>IFERROR(__xludf.DUMMYFUNCTION("""COMPUTED_VALUE"""),1.67)</f>
        <v>1.67</v>
      </c>
      <c r="E2021" s="8" t="str">
        <f>IFERROR(__xludf.DUMMYFUNCTION("""COMPUTED_VALUE"""),"Real")</f>
        <v>Real</v>
      </c>
      <c r="G2021" s="8">
        <f t="shared" si="1"/>
        <v>1</v>
      </c>
      <c r="H2021" s="14">
        <f t="shared" si="2"/>
        <v>24</v>
      </c>
      <c r="I2021" s="15">
        <f t="shared" si="3"/>
        <v>4</v>
      </c>
    </row>
    <row r="2022">
      <c r="A2022" s="8" t="str">
        <f>IFERROR(__xludf.DUMMYFUNCTION("IF('(INGESTA)Datos_consumo_datadis'!A2022&lt;&gt;"""",SPLIT('(INGESTA)Datos_consumo_datadis'!A:A,"",""),"""")"),"ES0031408323131005HX0F")</f>
        <v>ES0031408323131005HX0F</v>
      </c>
      <c r="B2022" s="12">
        <f>IFERROR(__xludf.DUMMYFUNCTION("""COMPUTED_VALUE"""),44950.0)</f>
        <v>44950</v>
      </c>
      <c r="C2022" s="13">
        <f>IFERROR(__xludf.DUMMYFUNCTION("""COMPUTED_VALUE"""),0.20833333333333334)</f>
        <v>0.2083333333</v>
      </c>
      <c r="D2022" s="8">
        <f>IFERROR(__xludf.DUMMYFUNCTION("""COMPUTED_VALUE"""),1.39)</f>
        <v>1.39</v>
      </c>
      <c r="E2022" s="8" t="str">
        <f>IFERROR(__xludf.DUMMYFUNCTION("""COMPUTED_VALUE"""),"Real")</f>
        <v>Real</v>
      </c>
      <c r="G2022" s="8">
        <f t="shared" si="1"/>
        <v>1</v>
      </c>
      <c r="H2022" s="14">
        <f t="shared" si="2"/>
        <v>24</v>
      </c>
      <c r="I2022" s="15">
        <f t="shared" si="3"/>
        <v>5</v>
      </c>
    </row>
    <row r="2023">
      <c r="A2023" s="8" t="str">
        <f>IFERROR(__xludf.DUMMYFUNCTION("IF('(INGESTA)Datos_consumo_datadis'!A2023&lt;&gt;"""",SPLIT('(INGESTA)Datos_consumo_datadis'!A:A,"",""),"""")"),"ES0031408323131005HX0F")</f>
        <v>ES0031408323131005HX0F</v>
      </c>
      <c r="B2023" s="12">
        <f>IFERROR(__xludf.DUMMYFUNCTION("""COMPUTED_VALUE"""),44950.0)</f>
        <v>44950</v>
      </c>
      <c r="C2023" s="13">
        <f>IFERROR(__xludf.DUMMYFUNCTION("""COMPUTED_VALUE"""),0.25)</f>
        <v>0.25</v>
      </c>
      <c r="D2023" s="8">
        <f>IFERROR(__xludf.DUMMYFUNCTION("""COMPUTED_VALUE"""),1.418)</f>
        <v>1.418</v>
      </c>
      <c r="E2023" s="8" t="str">
        <f>IFERROR(__xludf.DUMMYFUNCTION("""COMPUTED_VALUE"""),"Real")</f>
        <v>Real</v>
      </c>
      <c r="G2023" s="8">
        <f t="shared" si="1"/>
        <v>1</v>
      </c>
      <c r="H2023" s="14">
        <f t="shared" si="2"/>
        <v>24</v>
      </c>
      <c r="I2023" s="15">
        <f t="shared" si="3"/>
        <v>6</v>
      </c>
    </row>
    <row r="2024">
      <c r="A2024" s="8" t="str">
        <f>IFERROR(__xludf.DUMMYFUNCTION("IF('(INGESTA)Datos_consumo_datadis'!A2024&lt;&gt;"""",SPLIT('(INGESTA)Datos_consumo_datadis'!A:A,"",""),"""")"),"ES0031408323131005HX0F")</f>
        <v>ES0031408323131005HX0F</v>
      </c>
      <c r="B2024" s="12">
        <f>IFERROR(__xludf.DUMMYFUNCTION("""COMPUTED_VALUE"""),44950.0)</f>
        <v>44950</v>
      </c>
      <c r="C2024" s="13">
        <f>IFERROR(__xludf.DUMMYFUNCTION("""COMPUTED_VALUE"""),0.2916666666666667)</f>
        <v>0.2916666667</v>
      </c>
      <c r="D2024" s="8">
        <f>IFERROR(__xludf.DUMMYFUNCTION("""COMPUTED_VALUE"""),1.381)</f>
        <v>1.381</v>
      </c>
      <c r="E2024" s="8" t="str">
        <f>IFERROR(__xludf.DUMMYFUNCTION("""COMPUTED_VALUE"""),"Real")</f>
        <v>Real</v>
      </c>
      <c r="G2024" s="8">
        <f t="shared" si="1"/>
        <v>1</v>
      </c>
      <c r="H2024" s="14">
        <f t="shared" si="2"/>
        <v>24</v>
      </c>
      <c r="I2024" s="15">
        <f t="shared" si="3"/>
        <v>7</v>
      </c>
    </row>
    <row r="2025">
      <c r="A2025" s="8" t="str">
        <f>IFERROR(__xludf.DUMMYFUNCTION("IF('(INGESTA)Datos_consumo_datadis'!A2025&lt;&gt;"""",SPLIT('(INGESTA)Datos_consumo_datadis'!A:A,"",""),"""")"),"ES0031408323131005HX0F")</f>
        <v>ES0031408323131005HX0F</v>
      </c>
      <c r="B2025" s="12">
        <f>IFERROR(__xludf.DUMMYFUNCTION("""COMPUTED_VALUE"""),44950.0)</f>
        <v>44950</v>
      </c>
      <c r="C2025" s="13">
        <f>IFERROR(__xludf.DUMMYFUNCTION("""COMPUTED_VALUE"""),0.3333333333333333)</f>
        <v>0.3333333333</v>
      </c>
      <c r="D2025" s="8">
        <f>IFERROR(__xludf.DUMMYFUNCTION("""COMPUTED_VALUE"""),0.779)</f>
        <v>0.779</v>
      </c>
      <c r="E2025" s="8" t="str">
        <f>IFERROR(__xludf.DUMMYFUNCTION("""COMPUTED_VALUE"""),"Real")</f>
        <v>Real</v>
      </c>
      <c r="G2025" s="8">
        <f t="shared" si="1"/>
        <v>1</v>
      </c>
      <c r="H2025" s="14">
        <f t="shared" si="2"/>
        <v>24</v>
      </c>
      <c r="I2025" s="15">
        <f t="shared" si="3"/>
        <v>8</v>
      </c>
    </row>
    <row r="2026">
      <c r="A2026" s="8" t="str">
        <f>IFERROR(__xludf.DUMMYFUNCTION("IF('(INGESTA)Datos_consumo_datadis'!A2026&lt;&gt;"""",SPLIT('(INGESTA)Datos_consumo_datadis'!A:A,"",""),"""")"),"ES0031408323131005HX0F")</f>
        <v>ES0031408323131005HX0F</v>
      </c>
      <c r="B2026" s="12">
        <f>IFERROR(__xludf.DUMMYFUNCTION("""COMPUTED_VALUE"""),44950.0)</f>
        <v>44950</v>
      </c>
      <c r="C2026" s="13">
        <f>IFERROR(__xludf.DUMMYFUNCTION("""COMPUTED_VALUE"""),0.375)</f>
        <v>0.375</v>
      </c>
      <c r="D2026" s="8">
        <f>IFERROR(__xludf.DUMMYFUNCTION("""COMPUTED_VALUE"""),0.069)</f>
        <v>0.069</v>
      </c>
      <c r="E2026" s="8" t="str">
        <f>IFERROR(__xludf.DUMMYFUNCTION("""COMPUTED_VALUE"""),"Real")</f>
        <v>Real</v>
      </c>
      <c r="G2026" s="8">
        <f t="shared" si="1"/>
        <v>1</v>
      </c>
      <c r="H2026" s="14">
        <f t="shared" si="2"/>
        <v>24</v>
      </c>
      <c r="I2026" s="15">
        <f t="shared" si="3"/>
        <v>9</v>
      </c>
    </row>
    <row r="2027">
      <c r="A2027" s="8" t="str">
        <f>IFERROR(__xludf.DUMMYFUNCTION("IF('(INGESTA)Datos_consumo_datadis'!A2027&lt;&gt;"""",SPLIT('(INGESTA)Datos_consumo_datadis'!A:A,"",""),"""")"),"ES0031408323131005HX0F")</f>
        <v>ES0031408323131005HX0F</v>
      </c>
      <c r="B2027" s="12">
        <f>IFERROR(__xludf.DUMMYFUNCTION("""COMPUTED_VALUE"""),44950.0)</f>
        <v>44950</v>
      </c>
      <c r="C2027" s="13">
        <f>IFERROR(__xludf.DUMMYFUNCTION("""COMPUTED_VALUE"""),0.4166666666666667)</f>
        <v>0.4166666667</v>
      </c>
      <c r="D2027" s="8">
        <f>IFERROR(__xludf.DUMMYFUNCTION("""COMPUTED_VALUE"""),0.229)</f>
        <v>0.229</v>
      </c>
      <c r="E2027" s="8" t="str">
        <f>IFERROR(__xludf.DUMMYFUNCTION("""COMPUTED_VALUE"""),"Real")</f>
        <v>Real</v>
      </c>
      <c r="G2027" s="8">
        <f t="shared" si="1"/>
        <v>1</v>
      </c>
      <c r="H2027" s="14">
        <f t="shared" si="2"/>
        <v>24</v>
      </c>
      <c r="I2027" s="15">
        <f t="shared" si="3"/>
        <v>10</v>
      </c>
    </row>
    <row r="2028">
      <c r="A2028" s="8" t="str">
        <f>IFERROR(__xludf.DUMMYFUNCTION("IF('(INGESTA)Datos_consumo_datadis'!A2028&lt;&gt;"""",SPLIT('(INGESTA)Datos_consumo_datadis'!A:A,"",""),"""")"),"ES0031408323131005HX0F")</f>
        <v>ES0031408323131005HX0F</v>
      </c>
      <c r="B2028" s="12">
        <f>IFERROR(__xludf.DUMMYFUNCTION("""COMPUTED_VALUE"""),44950.0)</f>
        <v>44950</v>
      </c>
      <c r="C2028" s="13">
        <f>IFERROR(__xludf.DUMMYFUNCTION("""COMPUTED_VALUE"""),0.4583333333333333)</f>
        <v>0.4583333333</v>
      </c>
      <c r="D2028" s="8">
        <f>IFERROR(__xludf.DUMMYFUNCTION("""COMPUTED_VALUE"""),0.109)</f>
        <v>0.109</v>
      </c>
      <c r="E2028" s="8" t="str">
        <f>IFERROR(__xludf.DUMMYFUNCTION("""COMPUTED_VALUE"""),"Real")</f>
        <v>Real</v>
      </c>
      <c r="G2028" s="8">
        <f t="shared" si="1"/>
        <v>1</v>
      </c>
      <c r="H2028" s="14">
        <f t="shared" si="2"/>
        <v>24</v>
      </c>
      <c r="I2028" s="15">
        <f t="shared" si="3"/>
        <v>11</v>
      </c>
    </row>
    <row r="2029">
      <c r="A2029" s="8" t="str">
        <f>IFERROR(__xludf.DUMMYFUNCTION("IF('(INGESTA)Datos_consumo_datadis'!A2029&lt;&gt;"""",SPLIT('(INGESTA)Datos_consumo_datadis'!A:A,"",""),"""")"),"ES0031408323131005HX0F")</f>
        <v>ES0031408323131005HX0F</v>
      </c>
      <c r="B2029" s="12">
        <f>IFERROR(__xludf.DUMMYFUNCTION("""COMPUTED_VALUE"""),44950.0)</f>
        <v>44950</v>
      </c>
      <c r="C2029" s="13">
        <f>IFERROR(__xludf.DUMMYFUNCTION("""COMPUTED_VALUE"""),0.5)</f>
        <v>0.5</v>
      </c>
      <c r="D2029" s="8">
        <f>IFERROR(__xludf.DUMMYFUNCTION("""COMPUTED_VALUE"""),0.066)</f>
        <v>0.066</v>
      </c>
      <c r="E2029" s="8" t="str">
        <f>IFERROR(__xludf.DUMMYFUNCTION("""COMPUTED_VALUE"""),"Real")</f>
        <v>Real</v>
      </c>
      <c r="G2029" s="8">
        <f t="shared" si="1"/>
        <v>1</v>
      </c>
      <c r="H2029" s="14">
        <f t="shared" si="2"/>
        <v>24</v>
      </c>
      <c r="I2029" s="15">
        <f t="shared" si="3"/>
        <v>12</v>
      </c>
    </row>
    <row r="2030">
      <c r="A2030" s="8" t="str">
        <f>IFERROR(__xludf.DUMMYFUNCTION("IF('(INGESTA)Datos_consumo_datadis'!A2030&lt;&gt;"""",SPLIT('(INGESTA)Datos_consumo_datadis'!A:A,"",""),"""")"),"ES0031408323131005HX0F")</f>
        <v>ES0031408323131005HX0F</v>
      </c>
      <c r="B2030" s="12">
        <f>IFERROR(__xludf.DUMMYFUNCTION("""COMPUTED_VALUE"""),44950.0)</f>
        <v>44950</v>
      </c>
      <c r="C2030" s="13">
        <f>IFERROR(__xludf.DUMMYFUNCTION("""COMPUTED_VALUE"""),0.5416666666666666)</f>
        <v>0.5416666667</v>
      </c>
      <c r="D2030" s="8">
        <f>IFERROR(__xludf.DUMMYFUNCTION("""COMPUTED_VALUE"""),0.041)</f>
        <v>0.041</v>
      </c>
      <c r="E2030" s="8" t="str">
        <f>IFERROR(__xludf.DUMMYFUNCTION("""COMPUTED_VALUE"""),"Real")</f>
        <v>Real</v>
      </c>
      <c r="G2030" s="8">
        <f t="shared" si="1"/>
        <v>1</v>
      </c>
      <c r="H2030" s="14">
        <f t="shared" si="2"/>
        <v>24</v>
      </c>
      <c r="I2030" s="15">
        <f t="shared" si="3"/>
        <v>13</v>
      </c>
    </row>
    <row r="2031">
      <c r="A2031" s="8" t="str">
        <f>IFERROR(__xludf.DUMMYFUNCTION("IF('(INGESTA)Datos_consumo_datadis'!A2031&lt;&gt;"""",SPLIT('(INGESTA)Datos_consumo_datadis'!A:A,"",""),"""")"),"ES0031408323131005HX0F")</f>
        <v>ES0031408323131005HX0F</v>
      </c>
      <c r="B2031" s="12">
        <f>IFERROR(__xludf.DUMMYFUNCTION("""COMPUTED_VALUE"""),44950.0)</f>
        <v>44950</v>
      </c>
      <c r="C2031" s="13">
        <f>IFERROR(__xludf.DUMMYFUNCTION("""COMPUTED_VALUE"""),0.5833333333333334)</f>
        <v>0.5833333333</v>
      </c>
      <c r="D2031" s="8">
        <f>IFERROR(__xludf.DUMMYFUNCTION("""COMPUTED_VALUE"""),0.015)</f>
        <v>0.015</v>
      </c>
      <c r="E2031" s="8" t="str">
        <f>IFERROR(__xludf.DUMMYFUNCTION("""COMPUTED_VALUE"""),"Real")</f>
        <v>Real</v>
      </c>
      <c r="G2031" s="8">
        <f t="shared" si="1"/>
        <v>1</v>
      </c>
      <c r="H2031" s="14">
        <f t="shared" si="2"/>
        <v>24</v>
      </c>
      <c r="I2031" s="15">
        <f t="shared" si="3"/>
        <v>14</v>
      </c>
    </row>
    <row r="2032">
      <c r="A2032" s="8" t="str">
        <f>IFERROR(__xludf.DUMMYFUNCTION("IF('(INGESTA)Datos_consumo_datadis'!A2032&lt;&gt;"""",SPLIT('(INGESTA)Datos_consumo_datadis'!A:A,"",""),"""")"),"ES0031408323131005HX0F")</f>
        <v>ES0031408323131005HX0F</v>
      </c>
      <c r="B2032" s="12">
        <f>IFERROR(__xludf.DUMMYFUNCTION("""COMPUTED_VALUE"""),44950.0)</f>
        <v>44950</v>
      </c>
      <c r="C2032" s="13">
        <f>IFERROR(__xludf.DUMMYFUNCTION("""COMPUTED_VALUE"""),0.625)</f>
        <v>0.625</v>
      </c>
      <c r="D2032" s="8">
        <f>IFERROR(__xludf.DUMMYFUNCTION("""COMPUTED_VALUE"""),0.065)</f>
        <v>0.065</v>
      </c>
      <c r="E2032" s="8" t="str">
        <f>IFERROR(__xludf.DUMMYFUNCTION("""COMPUTED_VALUE"""),"Real")</f>
        <v>Real</v>
      </c>
      <c r="G2032" s="8">
        <f t="shared" si="1"/>
        <v>1</v>
      </c>
      <c r="H2032" s="14">
        <f t="shared" si="2"/>
        <v>24</v>
      </c>
      <c r="I2032" s="15">
        <f t="shared" si="3"/>
        <v>15</v>
      </c>
    </row>
    <row r="2033">
      <c r="A2033" s="8" t="str">
        <f>IFERROR(__xludf.DUMMYFUNCTION("IF('(INGESTA)Datos_consumo_datadis'!A2033&lt;&gt;"""",SPLIT('(INGESTA)Datos_consumo_datadis'!A:A,"",""),"""")"),"ES0031408323131005HX0F")</f>
        <v>ES0031408323131005HX0F</v>
      </c>
      <c r="B2033" s="12">
        <f>IFERROR(__xludf.DUMMYFUNCTION("""COMPUTED_VALUE"""),44950.0)</f>
        <v>44950</v>
      </c>
      <c r="C2033" s="13">
        <f>IFERROR(__xludf.DUMMYFUNCTION("""COMPUTED_VALUE"""),0.6666666666666666)</f>
        <v>0.6666666667</v>
      </c>
      <c r="D2033" s="8">
        <f>IFERROR(__xludf.DUMMYFUNCTION("""COMPUTED_VALUE"""),0.341)</f>
        <v>0.341</v>
      </c>
      <c r="E2033" s="8" t="str">
        <f>IFERROR(__xludf.DUMMYFUNCTION("""COMPUTED_VALUE"""),"Real")</f>
        <v>Real</v>
      </c>
      <c r="G2033" s="8">
        <f t="shared" si="1"/>
        <v>1</v>
      </c>
      <c r="H2033" s="14">
        <f t="shared" si="2"/>
        <v>24</v>
      </c>
      <c r="I2033" s="15">
        <f t="shared" si="3"/>
        <v>16</v>
      </c>
    </row>
    <row r="2034">
      <c r="A2034" s="8" t="str">
        <f>IFERROR(__xludf.DUMMYFUNCTION("IF('(INGESTA)Datos_consumo_datadis'!A2034&lt;&gt;"""",SPLIT('(INGESTA)Datos_consumo_datadis'!A:A,"",""),"""")"),"ES0031408323131005HX0F")</f>
        <v>ES0031408323131005HX0F</v>
      </c>
      <c r="B2034" s="12">
        <f>IFERROR(__xludf.DUMMYFUNCTION("""COMPUTED_VALUE"""),44950.0)</f>
        <v>44950</v>
      </c>
      <c r="C2034" s="13">
        <f>IFERROR(__xludf.DUMMYFUNCTION("""COMPUTED_VALUE"""),0.7083333333333334)</f>
        <v>0.7083333333</v>
      </c>
      <c r="D2034" s="8">
        <f>IFERROR(__xludf.DUMMYFUNCTION("""COMPUTED_VALUE"""),0.015)</f>
        <v>0.015</v>
      </c>
      <c r="E2034" s="8" t="str">
        <f>IFERROR(__xludf.DUMMYFUNCTION("""COMPUTED_VALUE"""),"Real")</f>
        <v>Real</v>
      </c>
      <c r="G2034" s="8">
        <f t="shared" si="1"/>
        <v>1</v>
      </c>
      <c r="H2034" s="14">
        <f t="shared" si="2"/>
        <v>24</v>
      </c>
      <c r="I2034" s="15">
        <f t="shared" si="3"/>
        <v>17</v>
      </c>
    </row>
    <row r="2035">
      <c r="A2035" s="8" t="str">
        <f>IFERROR(__xludf.DUMMYFUNCTION("IF('(INGESTA)Datos_consumo_datadis'!A2035&lt;&gt;"""",SPLIT('(INGESTA)Datos_consumo_datadis'!A:A,"",""),"""")"),"ES0031408323131005HX0F")</f>
        <v>ES0031408323131005HX0F</v>
      </c>
      <c r="B2035" s="12">
        <f>IFERROR(__xludf.DUMMYFUNCTION("""COMPUTED_VALUE"""),44950.0)</f>
        <v>44950</v>
      </c>
      <c r="C2035" s="13">
        <f>IFERROR(__xludf.DUMMYFUNCTION("""COMPUTED_VALUE"""),0.75)</f>
        <v>0.75</v>
      </c>
      <c r="D2035" s="8">
        <f>IFERROR(__xludf.DUMMYFUNCTION("""COMPUTED_VALUE"""),0.065)</f>
        <v>0.065</v>
      </c>
      <c r="E2035" s="8" t="str">
        <f>IFERROR(__xludf.DUMMYFUNCTION("""COMPUTED_VALUE"""),"Real")</f>
        <v>Real</v>
      </c>
      <c r="G2035" s="8">
        <f t="shared" si="1"/>
        <v>1</v>
      </c>
      <c r="H2035" s="14">
        <f t="shared" si="2"/>
        <v>24</v>
      </c>
      <c r="I2035" s="15">
        <f t="shared" si="3"/>
        <v>18</v>
      </c>
    </row>
    <row r="2036">
      <c r="A2036" s="8" t="str">
        <f>IFERROR(__xludf.DUMMYFUNCTION("IF('(INGESTA)Datos_consumo_datadis'!A2036&lt;&gt;"""",SPLIT('(INGESTA)Datos_consumo_datadis'!A:A,"",""),"""")"),"ES0031408323131005HX0F")</f>
        <v>ES0031408323131005HX0F</v>
      </c>
      <c r="B2036" s="12">
        <f>IFERROR(__xludf.DUMMYFUNCTION("""COMPUTED_VALUE"""),44950.0)</f>
        <v>44950</v>
      </c>
      <c r="C2036" s="13">
        <f>IFERROR(__xludf.DUMMYFUNCTION("""COMPUTED_VALUE"""),0.7916666666666666)</f>
        <v>0.7916666667</v>
      </c>
      <c r="D2036" s="8">
        <f>IFERROR(__xludf.DUMMYFUNCTION("""COMPUTED_VALUE"""),0.04)</f>
        <v>0.04</v>
      </c>
      <c r="E2036" s="8" t="str">
        <f>IFERROR(__xludf.DUMMYFUNCTION("""COMPUTED_VALUE"""),"Real")</f>
        <v>Real</v>
      </c>
      <c r="G2036" s="8">
        <f t="shared" si="1"/>
        <v>1</v>
      </c>
      <c r="H2036" s="14">
        <f t="shared" si="2"/>
        <v>24</v>
      </c>
      <c r="I2036" s="15">
        <f t="shared" si="3"/>
        <v>19</v>
      </c>
    </row>
    <row r="2037">
      <c r="A2037" s="8" t="str">
        <f>IFERROR(__xludf.DUMMYFUNCTION("IF('(INGESTA)Datos_consumo_datadis'!A2037&lt;&gt;"""",SPLIT('(INGESTA)Datos_consumo_datadis'!A:A,"",""),"""")"),"ES0031408323131005HX0F")</f>
        <v>ES0031408323131005HX0F</v>
      </c>
      <c r="B2037" s="12">
        <f>IFERROR(__xludf.DUMMYFUNCTION("""COMPUTED_VALUE"""),44950.0)</f>
        <v>44950</v>
      </c>
      <c r="C2037" s="13">
        <f>IFERROR(__xludf.DUMMYFUNCTION("""COMPUTED_VALUE"""),0.8333333333333334)</f>
        <v>0.8333333333</v>
      </c>
      <c r="D2037" s="8">
        <f>IFERROR(__xludf.DUMMYFUNCTION("""COMPUTED_VALUE"""),0.328)</f>
        <v>0.328</v>
      </c>
      <c r="E2037" s="8" t="str">
        <f>IFERROR(__xludf.DUMMYFUNCTION("""COMPUTED_VALUE"""),"Real")</f>
        <v>Real</v>
      </c>
      <c r="G2037" s="8">
        <f t="shared" si="1"/>
        <v>1</v>
      </c>
      <c r="H2037" s="14">
        <f t="shared" si="2"/>
        <v>24</v>
      </c>
      <c r="I2037" s="15">
        <f t="shared" si="3"/>
        <v>20</v>
      </c>
    </row>
    <row r="2038">
      <c r="A2038" s="8" t="str">
        <f>IFERROR(__xludf.DUMMYFUNCTION("IF('(INGESTA)Datos_consumo_datadis'!A2038&lt;&gt;"""",SPLIT('(INGESTA)Datos_consumo_datadis'!A:A,"",""),"""")"),"ES0031408323131005HX0F")</f>
        <v>ES0031408323131005HX0F</v>
      </c>
      <c r="B2038" s="12">
        <f>IFERROR(__xludf.DUMMYFUNCTION("""COMPUTED_VALUE"""),44950.0)</f>
        <v>44950</v>
      </c>
      <c r="C2038" s="13">
        <f>IFERROR(__xludf.DUMMYFUNCTION("""COMPUTED_VALUE"""),0.875)</f>
        <v>0.875</v>
      </c>
      <c r="D2038" s="8">
        <f>IFERROR(__xludf.DUMMYFUNCTION("""COMPUTED_VALUE"""),2.365)</f>
        <v>2.365</v>
      </c>
      <c r="E2038" s="8" t="str">
        <f>IFERROR(__xludf.DUMMYFUNCTION("""COMPUTED_VALUE"""),"Real")</f>
        <v>Real</v>
      </c>
      <c r="G2038" s="8">
        <f t="shared" si="1"/>
        <v>1</v>
      </c>
      <c r="H2038" s="14">
        <f t="shared" si="2"/>
        <v>24</v>
      </c>
      <c r="I2038" s="15">
        <f t="shared" si="3"/>
        <v>21</v>
      </c>
    </row>
    <row r="2039">
      <c r="A2039" s="8" t="str">
        <f>IFERROR(__xludf.DUMMYFUNCTION("IF('(INGESTA)Datos_consumo_datadis'!A2039&lt;&gt;"""",SPLIT('(INGESTA)Datos_consumo_datadis'!A:A,"",""),"""")"),"ES0031408323131005HX0F")</f>
        <v>ES0031408323131005HX0F</v>
      </c>
      <c r="B2039" s="12">
        <f>IFERROR(__xludf.DUMMYFUNCTION("""COMPUTED_VALUE"""),44950.0)</f>
        <v>44950</v>
      </c>
      <c r="C2039" s="13">
        <f>IFERROR(__xludf.DUMMYFUNCTION("""COMPUTED_VALUE"""),0.9166666666666666)</f>
        <v>0.9166666667</v>
      </c>
      <c r="D2039" s="8">
        <f>IFERROR(__xludf.DUMMYFUNCTION("""COMPUTED_VALUE"""),2.933)</f>
        <v>2.933</v>
      </c>
      <c r="E2039" s="8" t="str">
        <f>IFERROR(__xludf.DUMMYFUNCTION("""COMPUTED_VALUE"""),"Real")</f>
        <v>Real</v>
      </c>
      <c r="G2039" s="8">
        <f t="shared" si="1"/>
        <v>1</v>
      </c>
      <c r="H2039" s="14">
        <f t="shared" si="2"/>
        <v>24</v>
      </c>
      <c r="I2039" s="15">
        <f t="shared" si="3"/>
        <v>22</v>
      </c>
    </row>
    <row r="2040">
      <c r="A2040" s="8" t="str">
        <f>IFERROR(__xludf.DUMMYFUNCTION("IF('(INGESTA)Datos_consumo_datadis'!A2040&lt;&gt;"""",SPLIT('(INGESTA)Datos_consumo_datadis'!A:A,"",""),"""")"),"ES0031408323131005HX0F")</f>
        <v>ES0031408323131005HX0F</v>
      </c>
      <c r="B2040" s="12">
        <f>IFERROR(__xludf.DUMMYFUNCTION("""COMPUTED_VALUE"""),44950.0)</f>
        <v>44950</v>
      </c>
      <c r="C2040" s="13">
        <f>IFERROR(__xludf.DUMMYFUNCTION("""COMPUTED_VALUE"""),0.9583333333333334)</f>
        <v>0.9583333333</v>
      </c>
      <c r="D2040" s="8">
        <f>IFERROR(__xludf.DUMMYFUNCTION("""COMPUTED_VALUE"""),2.904)</f>
        <v>2.904</v>
      </c>
      <c r="E2040" s="8" t="str">
        <f>IFERROR(__xludf.DUMMYFUNCTION("""COMPUTED_VALUE"""),"Real")</f>
        <v>Real</v>
      </c>
      <c r="G2040" s="8">
        <f t="shared" si="1"/>
        <v>1</v>
      </c>
      <c r="H2040" s="14">
        <f t="shared" si="2"/>
        <v>24</v>
      </c>
      <c r="I2040" s="15">
        <f t="shared" si="3"/>
        <v>23</v>
      </c>
    </row>
    <row r="2041">
      <c r="A2041" s="8" t="str">
        <f>IFERROR(__xludf.DUMMYFUNCTION("IF('(INGESTA)Datos_consumo_datadis'!A2041&lt;&gt;"""",SPLIT('(INGESTA)Datos_consumo_datadis'!A:A,"",""),"""")"),"ES0031408323131005HX0F")</f>
        <v>ES0031408323131005HX0F</v>
      </c>
      <c r="B2041" s="12">
        <f>IFERROR(__xludf.DUMMYFUNCTION("""COMPUTED_VALUE"""),44950.0)</f>
        <v>44950</v>
      </c>
      <c r="C2041" s="16">
        <f>IFERROR(__xludf.DUMMYFUNCTION("""COMPUTED_VALUE"""),1.0)</f>
        <v>1</v>
      </c>
      <c r="D2041" s="8">
        <f>IFERROR(__xludf.DUMMYFUNCTION("""COMPUTED_VALUE"""),2.865)</f>
        <v>2.865</v>
      </c>
      <c r="E2041" s="8" t="str">
        <f>IFERROR(__xludf.DUMMYFUNCTION("""COMPUTED_VALUE"""),"Real")</f>
        <v>Real</v>
      </c>
      <c r="G2041" s="8">
        <f t="shared" si="1"/>
        <v>1</v>
      </c>
      <c r="H2041" s="14">
        <f t="shared" si="2"/>
        <v>24</v>
      </c>
      <c r="I2041" s="15">
        <f t="shared" si="3"/>
        <v>0</v>
      </c>
    </row>
    <row r="2042">
      <c r="A2042" s="8" t="str">
        <f>IFERROR(__xludf.DUMMYFUNCTION("IF('(INGESTA)Datos_consumo_datadis'!A2042&lt;&gt;"""",SPLIT('(INGESTA)Datos_consumo_datadis'!A:A,"",""),"""")"),"ES0031408323131005HX0F")</f>
        <v>ES0031408323131005HX0F</v>
      </c>
      <c r="B2042" s="12">
        <f>IFERROR(__xludf.DUMMYFUNCTION("""COMPUTED_VALUE"""),44951.0)</f>
        <v>44951</v>
      </c>
      <c r="C2042" s="13">
        <f>IFERROR(__xludf.DUMMYFUNCTION("""COMPUTED_VALUE"""),0.041666666666666664)</f>
        <v>0.04166666667</v>
      </c>
      <c r="D2042" s="8">
        <f>IFERROR(__xludf.DUMMYFUNCTION("""COMPUTED_VALUE"""),1.55)</f>
        <v>1.55</v>
      </c>
      <c r="E2042" s="8" t="str">
        <f>IFERROR(__xludf.DUMMYFUNCTION("""COMPUTED_VALUE"""),"Real")</f>
        <v>Real</v>
      </c>
      <c r="G2042" s="8">
        <f t="shared" si="1"/>
        <v>1</v>
      </c>
      <c r="H2042" s="14">
        <f t="shared" si="2"/>
        <v>25</v>
      </c>
      <c r="I2042" s="15">
        <f t="shared" si="3"/>
        <v>1</v>
      </c>
    </row>
    <row r="2043">
      <c r="A2043" s="8" t="str">
        <f>IFERROR(__xludf.DUMMYFUNCTION("IF('(INGESTA)Datos_consumo_datadis'!A2043&lt;&gt;"""",SPLIT('(INGESTA)Datos_consumo_datadis'!A:A,"",""),"""")"),"ES0031408323131005HX0F")</f>
        <v>ES0031408323131005HX0F</v>
      </c>
      <c r="B2043" s="12">
        <f>IFERROR(__xludf.DUMMYFUNCTION("""COMPUTED_VALUE"""),44951.0)</f>
        <v>44951</v>
      </c>
      <c r="C2043" s="13">
        <f>IFERROR(__xludf.DUMMYFUNCTION("""COMPUTED_VALUE"""),0.08333333333333333)</f>
        <v>0.08333333333</v>
      </c>
      <c r="D2043" s="8">
        <f>IFERROR(__xludf.DUMMYFUNCTION("""COMPUTED_VALUE"""),1.539)</f>
        <v>1.539</v>
      </c>
      <c r="E2043" s="8" t="str">
        <f>IFERROR(__xludf.DUMMYFUNCTION("""COMPUTED_VALUE"""),"Real")</f>
        <v>Real</v>
      </c>
      <c r="G2043" s="8">
        <f t="shared" si="1"/>
        <v>1</v>
      </c>
      <c r="H2043" s="14">
        <f t="shared" si="2"/>
        <v>25</v>
      </c>
      <c r="I2043" s="15">
        <f t="shared" si="3"/>
        <v>2</v>
      </c>
    </row>
    <row r="2044">
      <c r="A2044" s="8" t="str">
        <f>IFERROR(__xludf.DUMMYFUNCTION("IF('(INGESTA)Datos_consumo_datadis'!A2044&lt;&gt;"""",SPLIT('(INGESTA)Datos_consumo_datadis'!A:A,"",""),"""")"),"ES0031408323131005HX0F")</f>
        <v>ES0031408323131005HX0F</v>
      </c>
      <c r="B2044" s="12">
        <f>IFERROR(__xludf.DUMMYFUNCTION("""COMPUTED_VALUE"""),44951.0)</f>
        <v>44951</v>
      </c>
      <c r="C2044" s="13">
        <f>IFERROR(__xludf.DUMMYFUNCTION("""COMPUTED_VALUE"""),0.125)</f>
        <v>0.125</v>
      </c>
      <c r="D2044" s="8">
        <f>IFERROR(__xludf.DUMMYFUNCTION("""COMPUTED_VALUE"""),1.508)</f>
        <v>1.508</v>
      </c>
      <c r="E2044" s="8" t="str">
        <f>IFERROR(__xludf.DUMMYFUNCTION("""COMPUTED_VALUE"""),"Real")</f>
        <v>Real</v>
      </c>
      <c r="G2044" s="8">
        <f t="shared" si="1"/>
        <v>1</v>
      </c>
      <c r="H2044" s="14">
        <f t="shared" si="2"/>
        <v>25</v>
      </c>
      <c r="I2044" s="15">
        <f t="shared" si="3"/>
        <v>3</v>
      </c>
    </row>
    <row r="2045">
      <c r="A2045" s="8" t="str">
        <f>IFERROR(__xludf.DUMMYFUNCTION("IF('(INGESTA)Datos_consumo_datadis'!A2045&lt;&gt;"""",SPLIT('(INGESTA)Datos_consumo_datadis'!A:A,"",""),"""")"),"ES0031408323131005HX0F")</f>
        <v>ES0031408323131005HX0F</v>
      </c>
      <c r="B2045" s="12">
        <f>IFERROR(__xludf.DUMMYFUNCTION("""COMPUTED_VALUE"""),44951.0)</f>
        <v>44951</v>
      </c>
      <c r="C2045" s="13">
        <f>IFERROR(__xludf.DUMMYFUNCTION("""COMPUTED_VALUE"""),0.16666666666666666)</f>
        <v>0.1666666667</v>
      </c>
      <c r="D2045" s="8">
        <f>IFERROR(__xludf.DUMMYFUNCTION("""COMPUTED_VALUE"""),1.756)</f>
        <v>1.756</v>
      </c>
      <c r="E2045" s="8" t="str">
        <f>IFERROR(__xludf.DUMMYFUNCTION("""COMPUTED_VALUE"""),"Real")</f>
        <v>Real</v>
      </c>
      <c r="G2045" s="8">
        <f t="shared" si="1"/>
        <v>1</v>
      </c>
      <c r="H2045" s="14">
        <f t="shared" si="2"/>
        <v>25</v>
      </c>
      <c r="I2045" s="15">
        <f t="shared" si="3"/>
        <v>4</v>
      </c>
    </row>
    <row r="2046">
      <c r="A2046" s="8" t="str">
        <f>IFERROR(__xludf.DUMMYFUNCTION("IF('(INGESTA)Datos_consumo_datadis'!A2046&lt;&gt;"""",SPLIT('(INGESTA)Datos_consumo_datadis'!A:A,"",""),"""")"),"ES0031408323131005HX0F")</f>
        <v>ES0031408323131005HX0F</v>
      </c>
      <c r="B2046" s="12">
        <f>IFERROR(__xludf.DUMMYFUNCTION("""COMPUTED_VALUE"""),44951.0)</f>
        <v>44951</v>
      </c>
      <c r="C2046" s="13">
        <f>IFERROR(__xludf.DUMMYFUNCTION("""COMPUTED_VALUE"""),0.20833333333333334)</f>
        <v>0.2083333333</v>
      </c>
      <c r="D2046" s="8">
        <f>IFERROR(__xludf.DUMMYFUNCTION("""COMPUTED_VALUE"""),1.517)</f>
        <v>1.517</v>
      </c>
      <c r="E2046" s="8" t="str">
        <f>IFERROR(__xludf.DUMMYFUNCTION("""COMPUTED_VALUE"""),"Real")</f>
        <v>Real</v>
      </c>
      <c r="G2046" s="8">
        <f t="shared" si="1"/>
        <v>1</v>
      </c>
      <c r="H2046" s="14">
        <f t="shared" si="2"/>
        <v>25</v>
      </c>
      <c r="I2046" s="15">
        <f t="shared" si="3"/>
        <v>5</v>
      </c>
    </row>
    <row r="2047">
      <c r="A2047" s="8" t="str">
        <f>IFERROR(__xludf.DUMMYFUNCTION("IF('(INGESTA)Datos_consumo_datadis'!A2047&lt;&gt;"""",SPLIT('(INGESTA)Datos_consumo_datadis'!A:A,"",""),"""")"),"ES0031408323131005HX0F")</f>
        <v>ES0031408323131005HX0F</v>
      </c>
      <c r="B2047" s="12">
        <f>IFERROR(__xludf.DUMMYFUNCTION("""COMPUTED_VALUE"""),44951.0)</f>
        <v>44951</v>
      </c>
      <c r="C2047" s="13">
        <f>IFERROR(__xludf.DUMMYFUNCTION("""COMPUTED_VALUE"""),0.25)</f>
        <v>0.25</v>
      </c>
      <c r="D2047" s="8">
        <f>IFERROR(__xludf.DUMMYFUNCTION("""COMPUTED_VALUE"""),1.489)</f>
        <v>1.489</v>
      </c>
      <c r="E2047" s="8" t="str">
        <f>IFERROR(__xludf.DUMMYFUNCTION("""COMPUTED_VALUE"""),"Real")</f>
        <v>Real</v>
      </c>
      <c r="G2047" s="8">
        <f t="shared" si="1"/>
        <v>1</v>
      </c>
      <c r="H2047" s="14">
        <f t="shared" si="2"/>
        <v>25</v>
      </c>
      <c r="I2047" s="15">
        <f t="shared" si="3"/>
        <v>6</v>
      </c>
    </row>
    <row r="2048">
      <c r="A2048" s="8" t="str">
        <f>IFERROR(__xludf.DUMMYFUNCTION("IF('(INGESTA)Datos_consumo_datadis'!A2048&lt;&gt;"""",SPLIT('(INGESTA)Datos_consumo_datadis'!A:A,"",""),"""")"),"ES0031408323131005HX0F")</f>
        <v>ES0031408323131005HX0F</v>
      </c>
      <c r="B2048" s="12">
        <f>IFERROR(__xludf.DUMMYFUNCTION("""COMPUTED_VALUE"""),44951.0)</f>
        <v>44951</v>
      </c>
      <c r="C2048" s="13">
        <f>IFERROR(__xludf.DUMMYFUNCTION("""COMPUTED_VALUE"""),0.2916666666666667)</f>
        <v>0.2916666667</v>
      </c>
      <c r="D2048" s="8">
        <f>IFERROR(__xludf.DUMMYFUNCTION("""COMPUTED_VALUE"""),1.502)</f>
        <v>1.502</v>
      </c>
      <c r="E2048" s="8" t="str">
        <f>IFERROR(__xludf.DUMMYFUNCTION("""COMPUTED_VALUE"""),"Real")</f>
        <v>Real</v>
      </c>
      <c r="G2048" s="8">
        <f t="shared" si="1"/>
        <v>1</v>
      </c>
      <c r="H2048" s="14">
        <f t="shared" si="2"/>
        <v>25</v>
      </c>
      <c r="I2048" s="15">
        <f t="shared" si="3"/>
        <v>7</v>
      </c>
    </row>
    <row r="2049">
      <c r="A2049" s="8" t="str">
        <f>IFERROR(__xludf.DUMMYFUNCTION("IF('(INGESTA)Datos_consumo_datadis'!A2049&lt;&gt;"""",SPLIT('(INGESTA)Datos_consumo_datadis'!A:A,"",""),"""")"),"ES0031408323131005HX0F")</f>
        <v>ES0031408323131005HX0F</v>
      </c>
      <c r="B2049" s="12">
        <f>IFERROR(__xludf.DUMMYFUNCTION("""COMPUTED_VALUE"""),44951.0)</f>
        <v>44951</v>
      </c>
      <c r="C2049" s="13">
        <f>IFERROR(__xludf.DUMMYFUNCTION("""COMPUTED_VALUE"""),0.3333333333333333)</f>
        <v>0.3333333333</v>
      </c>
      <c r="D2049" s="8">
        <f>IFERROR(__xludf.DUMMYFUNCTION("""COMPUTED_VALUE"""),1.545)</f>
        <v>1.545</v>
      </c>
      <c r="E2049" s="8" t="str">
        <f>IFERROR(__xludf.DUMMYFUNCTION("""COMPUTED_VALUE"""),"Real")</f>
        <v>Real</v>
      </c>
      <c r="G2049" s="8">
        <f t="shared" si="1"/>
        <v>1</v>
      </c>
      <c r="H2049" s="14">
        <f t="shared" si="2"/>
        <v>25</v>
      </c>
      <c r="I2049" s="15">
        <f t="shared" si="3"/>
        <v>8</v>
      </c>
    </row>
    <row r="2050">
      <c r="A2050" s="8" t="str">
        <f>IFERROR(__xludf.DUMMYFUNCTION("IF('(INGESTA)Datos_consumo_datadis'!A2050&lt;&gt;"""",SPLIT('(INGESTA)Datos_consumo_datadis'!A:A,"",""),"""")"),"ES0031408323131005HX0F")</f>
        <v>ES0031408323131005HX0F</v>
      </c>
      <c r="B2050" s="12">
        <f>IFERROR(__xludf.DUMMYFUNCTION("""COMPUTED_VALUE"""),44951.0)</f>
        <v>44951</v>
      </c>
      <c r="C2050" s="13">
        <f>IFERROR(__xludf.DUMMYFUNCTION("""COMPUTED_VALUE"""),0.375)</f>
        <v>0.375</v>
      </c>
      <c r="D2050" s="8">
        <f>IFERROR(__xludf.DUMMYFUNCTION("""COMPUTED_VALUE"""),1.42)</f>
        <v>1.42</v>
      </c>
      <c r="E2050" s="8" t="str">
        <f>IFERROR(__xludf.DUMMYFUNCTION("""COMPUTED_VALUE"""),"Real")</f>
        <v>Real</v>
      </c>
      <c r="G2050" s="8">
        <f t="shared" si="1"/>
        <v>1</v>
      </c>
      <c r="H2050" s="14">
        <f t="shared" si="2"/>
        <v>25</v>
      </c>
      <c r="I2050" s="15">
        <f t="shared" si="3"/>
        <v>9</v>
      </c>
    </row>
    <row r="2051">
      <c r="A2051" s="8" t="str">
        <f>IFERROR(__xludf.DUMMYFUNCTION("IF('(INGESTA)Datos_consumo_datadis'!A2051&lt;&gt;"""",SPLIT('(INGESTA)Datos_consumo_datadis'!A:A,"",""),"""")"),"ES0031408323131005HX0F")</f>
        <v>ES0031408323131005HX0F</v>
      </c>
      <c r="B2051" s="12">
        <f>IFERROR(__xludf.DUMMYFUNCTION("""COMPUTED_VALUE"""),44951.0)</f>
        <v>44951</v>
      </c>
      <c r="C2051" s="13">
        <f>IFERROR(__xludf.DUMMYFUNCTION("""COMPUTED_VALUE"""),0.4166666666666667)</f>
        <v>0.4166666667</v>
      </c>
      <c r="D2051" s="8">
        <f>IFERROR(__xludf.DUMMYFUNCTION("""COMPUTED_VALUE"""),0.068)</f>
        <v>0.068</v>
      </c>
      <c r="E2051" s="8" t="str">
        <f>IFERROR(__xludf.DUMMYFUNCTION("""COMPUTED_VALUE"""),"Real")</f>
        <v>Real</v>
      </c>
      <c r="G2051" s="8">
        <f t="shared" si="1"/>
        <v>1</v>
      </c>
      <c r="H2051" s="14">
        <f t="shared" si="2"/>
        <v>25</v>
      </c>
      <c r="I2051" s="15">
        <f t="shared" si="3"/>
        <v>10</v>
      </c>
    </row>
    <row r="2052">
      <c r="A2052" s="8" t="str">
        <f>IFERROR(__xludf.DUMMYFUNCTION("IF('(INGESTA)Datos_consumo_datadis'!A2052&lt;&gt;"""",SPLIT('(INGESTA)Datos_consumo_datadis'!A:A,"",""),"""")"),"ES0031408323131005HX0F")</f>
        <v>ES0031408323131005HX0F</v>
      </c>
      <c r="B2052" s="12">
        <f>IFERROR(__xludf.DUMMYFUNCTION("""COMPUTED_VALUE"""),44951.0)</f>
        <v>44951</v>
      </c>
      <c r="C2052" s="13">
        <f>IFERROR(__xludf.DUMMYFUNCTION("""COMPUTED_VALUE"""),0.4583333333333333)</f>
        <v>0.4583333333</v>
      </c>
      <c r="D2052" s="8">
        <f>IFERROR(__xludf.DUMMYFUNCTION("""COMPUTED_VALUE"""),0.041)</f>
        <v>0.041</v>
      </c>
      <c r="E2052" s="8" t="str">
        <f>IFERROR(__xludf.DUMMYFUNCTION("""COMPUTED_VALUE"""),"Real")</f>
        <v>Real</v>
      </c>
      <c r="G2052" s="8">
        <f t="shared" si="1"/>
        <v>1</v>
      </c>
      <c r="H2052" s="14">
        <f t="shared" si="2"/>
        <v>25</v>
      </c>
      <c r="I2052" s="15">
        <f t="shared" si="3"/>
        <v>11</v>
      </c>
    </row>
    <row r="2053">
      <c r="A2053" s="8" t="str">
        <f>IFERROR(__xludf.DUMMYFUNCTION("IF('(INGESTA)Datos_consumo_datadis'!A2053&lt;&gt;"""",SPLIT('(INGESTA)Datos_consumo_datadis'!A:A,"",""),"""")"),"ES0031408323131005HX0F")</f>
        <v>ES0031408323131005HX0F</v>
      </c>
      <c r="B2053" s="12">
        <f>IFERROR(__xludf.DUMMYFUNCTION("""COMPUTED_VALUE"""),44951.0)</f>
        <v>44951</v>
      </c>
      <c r="C2053" s="13">
        <f>IFERROR(__xludf.DUMMYFUNCTION("""COMPUTED_VALUE"""),0.5)</f>
        <v>0.5</v>
      </c>
      <c r="D2053" s="8">
        <f>IFERROR(__xludf.DUMMYFUNCTION("""COMPUTED_VALUE"""),0.015)</f>
        <v>0.015</v>
      </c>
      <c r="E2053" s="8" t="str">
        <f>IFERROR(__xludf.DUMMYFUNCTION("""COMPUTED_VALUE"""),"Real")</f>
        <v>Real</v>
      </c>
      <c r="G2053" s="8">
        <f t="shared" si="1"/>
        <v>1</v>
      </c>
      <c r="H2053" s="14">
        <f t="shared" si="2"/>
        <v>25</v>
      </c>
      <c r="I2053" s="15">
        <f t="shared" si="3"/>
        <v>12</v>
      </c>
    </row>
    <row r="2054">
      <c r="A2054" s="8" t="str">
        <f>IFERROR(__xludf.DUMMYFUNCTION("IF('(INGESTA)Datos_consumo_datadis'!A2054&lt;&gt;"""",SPLIT('(INGESTA)Datos_consumo_datadis'!A:A,"",""),"""")"),"ES0031408323131005HX0F")</f>
        <v>ES0031408323131005HX0F</v>
      </c>
      <c r="B2054" s="12">
        <f>IFERROR(__xludf.DUMMYFUNCTION("""COMPUTED_VALUE"""),44951.0)</f>
        <v>44951</v>
      </c>
      <c r="C2054" s="13">
        <f>IFERROR(__xludf.DUMMYFUNCTION("""COMPUTED_VALUE"""),0.5416666666666666)</f>
        <v>0.5416666667</v>
      </c>
      <c r="D2054" s="8">
        <f>IFERROR(__xludf.DUMMYFUNCTION("""COMPUTED_VALUE"""),0.354)</f>
        <v>0.354</v>
      </c>
      <c r="E2054" s="8" t="str">
        <f>IFERROR(__xludf.DUMMYFUNCTION("""COMPUTED_VALUE"""),"Real")</f>
        <v>Real</v>
      </c>
      <c r="G2054" s="8">
        <f t="shared" si="1"/>
        <v>1</v>
      </c>
      <c r="H2054" s="14">
        <f t="shared" si="2"/>
        <v>25</v>
      </c>
      <c r="I2054" s="15">
        <f t="shared" si="3"/>
        <v>13</v>
      </c>
    </row>
    <row r="2055">
      <c r="A2055" s="8" t="str">
        <f>IFERROR(__xludf.DUMMYFUNCTION("IF('(INGESTA)Datos_consumo_datadis'!A2055&lt;&gt;"""",SPLIT('(INGESTA)Datos_consumo_datadis'!A:A,"",""),"""")"),"ES0031408323131005HX0F")</f>
        <v>ES0031408323131005HX0F</v>
      </c>
      <c r="B2055" s="12">
        <f>IFERROR(__xludf.DUMMYFUNCTION("""COMPUTED_VALUE"""),44951.0)</f>
        <v>44951</v>
      </c>
      <c r="C2055" s="13">
        <f>IFERROR(__xludf.DUMMYFUNCTION("""COMPUTED_VALUE"""),0.5833333333333334)</f>
        <v>0.5833333333</v>
      </c>
      <c r="D2055" s="8">
        <f>IFERROR(__xludf.DUMMYFUNCTION("""COMPUTED_VALUE"""),0.04)</f>
        <v>0.04</v>
      </c>
      <c r="E2055" s="8" t="str">
        <f>IFERROR(__xludf.DUMMYFUNCTION("""COMPUTED_VALUE"""),"Real")</f>
        <v>Real</v>
      </c>
      <c r="G2055" s="8">
        <f t="shared" si="1"/>
        <v>1</v>
      </c>
      <c r="H2055" s="14">
        <f t="shared" si="2"/>
        <v>25</v>
      </c>
      <c r="I2055" s="15">
        <f t="shared" si="3"/>
        <v>14</v>
      </c>
    </row>
    <row r="2056">
      <c r="A2056" s="8" t="str">
        <f>IFERROR(__xludf.DUMMYFUNCTION("IF('(INGESTA)Datos_consumo_datadis'!A2056&lt;&gt;"""",SPLIT('(INGESTA)Datos_consumo_datadis'!A:A,"",""),"""")"),"ES0031408323131005HX0F")</f>
        <v>ES0031408323131005HX0F</v>
      </c>
      <c r="B2056" s="12">
        <f>IFERROR(__xludf.DUMMYFUNCTION("""COMPUTED_VALUE"""),44951.0)</f>
        <v>44951</v>
      </c>
      <c r="C2056" s="13">
        <f>IFERROR(__xludf.DUMMYFUNCTION("""COMPUTED_VALUE"""),0.625)</f>
        <v>0.625</v>
      </c>
      <c r="D2056" s="8">
        <f>IFERROR(__xludf.DUMMYFUNCTION("""COMPUTED_VALUE"""),0.016)</f>
        <v>0.016</v>
      </c>
      <c r="E2056" s="8" t="str">
        <f>IFERROR(__xludf.DUMMYFUNCTION("""COMPUTED_VALUE"""),"Real")</f>
        <v>Real</v>
      </c>
      <c r="G2056" s="8">
        <f t="shared" si="1"/>
        <v>1</v>
      </c>
      <c r="H2056" s="14">
        <f t="shared" si="2"/>
        <v>25</v>
      </c>
      <c r="I2056" s="15">
        <f t="shared" si="3"/>
        <v>15</v>
      </c>
    </row>
    <row r="2057">
      <c r="A2057" s="8" t="str">
        <f>IFERROR(__xludf.DUMMYFUNCTION("IF('(INGESTA)Datos_consumo_datadis'!A2057&lt;&gt;"""",SPLIT('(INGESTA)Datos_consumo_datadis'!A:A,"",""),"""")"),"ES0031408323131005HX0F")</f>
        <v>ES0031408323131005HX0F</v>
      </c>
      <c r="B2057" s="12">
        <f>IFERROR(__xludf.DUMMYFUNCTION("""COMPUTED_VALUE"""),44951.0)</f>
        <v>44951</v>
      </c>
      <c r="C2057" s="13">
        <f>IFERROR(__xludf.DUMMYFUNCTION("""COMPUTED_VALUE"""),0.6666666666666666)</f>
        <v>0.6666666667</v>
      </c>
      <c r="D2057" s="8">
        <f>IFERROR(__xludf.DUMMYFUNCTION("""COMPUTED_VALUE"""),0.065)</f>
        <v>0.065</v>
      </c>
      <c r="E2057" s="8" t="str">
        <f>IFERROR(__xludf.DUMMYFUNCTION("""COMPUTED_VALUE"""),"Real")</f>
        <v>Real</v>
      </c>
      <c r="G2057" s="8">
        <f t="shared" si="1"/>
        <v>1</v>
      </c>
      <c r="H2057" s="14">
        <f t="shared" si="2"/>
        <v>25</v>
      </c>
      <c r="I2057" s="15">
        <f t="shared" si="3"/>
        <v>16</v>
      </c>
    </row>
    <row r="2058">
      <c r="A2058" s="8" t="str">
        <f>IFERROR(__xludf.DUMMYFUNCTION("IF('(INGESTA)Datos_consumo_datadis'!A2058&lt;&gt;"""",SPLIT('(INGESTA)Datos_consumo_datadis'!A:A,"",""),"""")"),"ES0031408323131005HX0F")</f>
        <v>ES0031408323131005HX0F</v>
      </c>
      <c r="B2058" s="12">
        <f>IFERROR(__xludf.DUMMYFUNCTION("""COMPUTED_VALUE"""),44951.0)</f>
        <v>44951</v>
      </c>
      <c r="C2058" s="13">
        <f>IFERROR(__xludf.DUMMYFUNCTION("""COMPUTED_VALUE"""),0.7083333333333334)</f>
        <v>0.7083333333</v>
      </c>
      <c r="D2058" s="8">
        <f>IFERROR(__xludf.DUMMYFUNCTION("""COMPUTED_VALUE"""),0.04)</f>
        <v>0.04</v>
      </c>
      <c r="E2058" s="8" t="str">
        <f>IFERROR(__xludf.DUMMYFUNCTION("""COMPUTED_VALUE"""),"Real")</f>
        <v>Real</v>
      </c>
      <c r="G2058" s="8">
        <f t="shared" si="1"/>
        <v>1</v>
      </c>
      <c r="H2058" s="14">
        <f t="shared" si="2"/>
        <v>25</v>
      </c>
      <c r="I2058" s="15">
        <f t="shared" si="3"/>
        <v>17</v>
      </c>
    </row>
    <row r="2059">
      <c r="A2059" s="8" t="str">
        <f>IFERROR(__xludf.DUMMYFUNCTION("IF('(INGESTA)Datos_consumo_datadis'!A2059&lt;&gt;"""",SPLIT('(INGESTA)Datos_consumo_datadis'!A:A,"",""),"""")"),"ES0031408323131005HX0F")</f>
        <v>ES0031408323131005HX0F</v>
      </c>
      <c r="B2059" s="12">
        <f>IFERROR(__xludf.DUMMYFUNCTION("""COMPUTED_VALUE"""),44951.0)</f>
        <v>44951</v>
      </c>
      <c r="C2059" s="13">
        <f>IFERROR(__xludf.DUMMYFUNCTION("""COMPUTED_VALUE"""),0.75)</f>
        <v>0.75</v>
      </c>
      <c r="D2059" s="8">
        <f>IFERROR(__xludf.DUMMYFUNCTION("""COMPUTED_VALUE"""),0.025)</f>
        <v>0.025</v>
      </c>
      <c r="E2059" s="8" t="str">
        <f>IFERROR(__xludf.DUMMYFUNCTION("""COMPUTED_VALUE"""),"Real")</f>
        <v>Real</v>
      </c>
      <c r="G2059" s="8">
        <f t="shared" si="1"/>
        <v>1</v>
      </c>
      <c r="H2059" s="14">
        <f t="shared" si="2"/>
        <v>25</v>
      </c>
      <c r="I2059" s="15">
        <f t="shared" si="3"/>
        <v>18</v>
      </c>
    </row>
    <row r="2060">
      <c r="A2060" s="8" t="str">
        <f>IFERROR(__xludf.DUMMYFUNCTION("IF('(INGESTA)Datos_consumo_datadis'!A2060&lt;&gt;"""",SPLIT('(INGESTA)Datos_consumo_datadis'!A:A,"",""),"""")"),"ES0031408323131005HX0F")</f>
        <v>ES0031408323131005HX0F</v>
      </c>
      <c r="B2060" s="12">
        <f>IFERROR(__xludf.DUMMYFUNCTION("""COMPUTED_VALUE"""),44951.0)</f>
        <v>44951</v>
      </c>
      <c r="C2060" s="13">
        <f>IFERROR(__xludf.DUMMYFUNCTION("""COMPUTED_VALUE"""),0.7916666666666666)</f>
        <v>0.7916666667</v>
      </c>
      <c r="D2060" s="8">
        <f>IFERROR(__xludf.DUMMYFUNCTION("""COMPUTED_VALUE"""),0.303)</f>
        <v>0.303</v>
      </c>
      <c r="E2060" s="8" t="str">
        <f>IFERROR(__xludf.DUMMYFUNCTION("""COMPUTED_VALUE"""),"Real")</f>
        <v>Real</v>
      </c>
      <c r="G2060" s="8">
        <f t="shared" si="1"/>
        <v>1</v>
      </c>
      <c r="H2060" s="14">
        <f t="shared" si="2"/>
        <v>25</v>
      </c>
      <c r="I2060" s="15">
        <f t="shared" si="3"/>
        <v>19</v>
      </c>
    </row>
    <row r="2061">
      <c r="A2061" s="8" t="str">
        <f>IFERROR(__xludf.DUMMYFUNCTION("IF('(INGESTA)Datos_consumo_datadis'!A2061&lt;&gt;"""",SPLIT('(INGESTA)Datos_consumo_datadis'!A:A,"",""),"""")"),"ES0031408323131005HX0F")</f>
        <v>ES0031408323131005HX0F</v>
      </c>
      <c r="B2061" s="12">
        <f>IFERROR(__xludf.DUMMYFUNCTION("""COMPUTED_VALUE"""),44951.0)</f>
        <v>44951</v>
      </c>
      <c r="C2061" s="13">
        <f>IFERROR(__xludf.DUMMYFUNCTION("""COMPUTED_VALUE"""),0.8333333333333334)</f>
        <v>0.8333333333</v>
      </c>
      <c r="D2061" s="8">
        <f>IFERROR(__xludf.DUMMYFUNCTION("""COMPUTED_VALUE"""),0.077)</f>
        <v>0.077</v>
      </c>
      <c r="E2061" s="8" t="str">
        <f>IFERROR(__xludf.DUMMYFUNCTION("""COMPUTED_VALUE"""),"Real")</f>
        <v>Real</v>
      </c>
      <c r="G2061" s="8">
        <f t="shared" si="1"/>
        <v>1</v>
      </c>
      <c r="H2061" s="14">
        <f t="shared" si="2"/>
        <v>25</v>
      </c>
      <c r="I2061" s="15">
        <f t="shared" si="3"/>
        <v>20</v>
      </c>
    </row>
    <row r="2062">
      <c r="A2062" s="8" t="str">
        <f>IFERROR(__xludf.DUMMYFUNCTION("IF('(INGESTA)Datos_consumo_datadis'!A2062&lt;&gt;"""",SPLIT('(INGESTA)Datos_consumo_datadis'!A:A,"",""),"""")"),"ES0031408323131005HX0F")</f>
        <v>ES0031408323131005HX0F</v>
      </c>
      <c r="B2062" s="12">
        <f>IFERROR(__xludf.DUMMYFUNCTION("""COMPUTED_VALUE"""),44951.0)</f>
        <v>44951</v>
      </c>
      <c r="C2062" s="13">
        <f>IFERROR(__xludf.DUMMYFUNCTION("""COMPUTED_VALUE"""),0.875)</f>
        <v>0.875</v>
      </c>
      <c r="D2062" s="8">
        <f>IFERROR(__xludf.DUMMYFUNCTION("""COMPUTED_VALUE"""),0.035)</f>
        <v>0.035</v>
      </c>
      <c r="E2062" s="8" t="str">
        <f>IFERROR(__xludf.DUMMYFUNCTION("""COMPUTED_VALUE"""),"Real")</f>
        <v>Real</v>
      </c>
      <c r="G2062" s="8">
        <f t="shared" si="1"/>
        <v>1</v>
      </c>
      <c r="H2062" s="14">
        <f t="shared" si="2"/>
        <v>25</v>
      </c>
      <c r="I2062" s="15">
        <f t="shared" si="3"/>
        <v>21</v>
      </c>
    </row>
    <row r="2063">
      <c r="A2063" s="8" t="str">
        <f>IFERROR(__xludf.DUMMYFUNCTION("IF('(INGESTA)Datos_consumo_datadis'!A2063&lt;&gt;"""",SPLIT('(INGESTA)Datos_consumo_datadis'!A:A,"",""),"""")"),"ES0031408323131005HX0F")</f>
        <v>ES0031408323131005HX0F</v>
      </c>
      <c r="B2063" s="12">
        <f>IFERROR(__xludf.DUMMYFUNCTION("""COMPUTED_VALUE"""),44951.0)</f>
        <v>44951</v>
      </c>
      <c r="C2063" s="13">
        <f>IFERROR(__xludf.DUMMYFUNCTION("""COMPUTED_VALUE"""),0.9166666666666666)</f>
        <v>0.9166666667</v>
      </c>
      <c r="D2063" s="8">
        <f>IFERROR(__xludf.DUMMYFUNCTION("""COMPUTED_VALUE"""),0.07)</f>
        <v>0.07</v>
      </c>
      <c r="E2063" s="8" t="str">
        <f>IFERROR(__xludf.DUMMYFUNCTION("""COMPUTED_VALUE"""),"Real")</f>
        <v>Real</v>
      </c>
      <c r="G2063" s="8">
        <f t="shared" si="1"/>
        <v>1</v>
      </c>
      <c r="H2063" s="14">
        <f t="shared" si="2"/>
        <v>25</v>
      </c>
      <c r="I2063" s="15">
        <f t="shared" si="3"/>
        <v>22</v>
      </c>
    </row>
    <row r="2064">
      <c r="A2064" s="8" t="str">
        <f>IFERROR(__xludf.DUMMYFUNCTION("IF('(INGESTA)Datos_consumo_datadis'!A2064&lt;&gt;"""",SPLIT('(INGESTA)Datos_consumo_datadis'!A:A,"",""),"""")"),"ES0031408323131005HX0F")</f>
        <v>ES0031408323131005HX0F</v>
      </c>
      <c r="B2064" s="12">
        <f>IFERROR(__xludf.DUMMYFUNCTION("""COMPUTED_VALUE"""),44951.0)</f>
        <v>44951</v>
      </c>
      <c r="C2064" s="13">
        <f>IFERROR(__xludf.DUMMYFUNCTION("""COMPUTED_VALUE"""),0.9583333333333334)</f>
        <v>0.9583333333</v>
      </c>
      <c r="D2064" s="8">
        <f>IFERROR(__xludf.DUMMYFUNCTION("""COMPUTED_VALUE"""),0.865)</f>
        <v>0.865</v>
      </c>
      <c r="E2064" s="8" t="str">
        <f>IFERROR(__xludf.DUMMYFUNCTION("""COMPUTED_VALUE"""),"Real")</f>
        <v>Real</v>
      </c>
      <c r="G2064" s="8">
        <f t="shared" si="1"/>
        <v>1</v>
      </c>
      <c r="H2064" s="14">
        <f t="shared" si="2"/>
        <v>25</v>
      </c>
      <c r="I2064" s="15">
        <f t="shared" si="3"/>
        <v>23</v>
      </c>
    </row>
    <row r="2065">
      <c r="A2065" s="8" t="str">
        <f>IFERROR(__xludf.DUMMYFUNCTION("IF('(INGESTA)Datos_consumo_datadis'!A2065&lt;&gt;"""",SPLIT('(INGESTA)Datos_consumo_datadis'!A:A,"",""),"""")"),"ES0031408323131005HX0F")</f>
        <v>ES0031408323131005HX0F</v>
      </c>
      <c r="B2065" s="12">
        <f>IFERROR(__xludf.DUMMYFUNCTION("""COMPUTED_VALUE"""),44951.0)</f>
        <v>44951</v>
      </c>
      <c r="C2065" s="16">
        <f>IFERROR(__xludf.DUMMYFUNCTION("""COMPUTED_VALUE"""),1.0)</f>
        <v>1</v>
      </c>
      <c r="D2065" s="8">
        <f>IFERROR(__xludf.DUMMYFUNCTION("""COMPUTED_VALUE"""),1.67)</f>
        <v>1.67</v>
      </c>
      <c r="E2065" s="8" t="str">
        <f>IFERROR(__xludf.DUMMYFUNCTION("""COMPUTED_VALUE"""),"Real")</f>
        <v>Real</v>
      </c>
      <c r="G2065" s="8">
        <f t="shared" si="1"/>
        <v>1</v>
      </c>
      <c r="H2065" s="14">
        <f t="shared" si="2"/>
        <v>25</v>
      </c>
      <c r="I2065" s="15">
        <f t="shared" si="3"/>
        <v>0</v>
      </c>
    </row>
    <row r="2066">
      <c r="A2066" s="8" t="str">
        <f>IFERROR(__xludf.DUMMYFUNCTION("IF('(INGESTA)Datos_consumo_datadis'!A2066&lt;&gt;"""",SPLIT('(INGESTA)Datos_consumo_datadis'!A:A,"",""),"""")"),"ES0031408323131005HX0F")</f>
        <v>ES0031408323131005HX0F</v>
      </c>
      <c r="B2066" s="12">
        <f>IFERROR(__xludf.DUMMYFUNCTION("""COMPUTED_VALUE"""),44952.0)</f>
        <v>44952</v>
      </c>
      <c r="C2066" s="13">
        <f>IFERROR(__xludf.DUMMYFUNCTION("""COMPUTED_VALUE"""),0.041666666666666664)</f>
        <v>0.04166666667</v>
      </c>
      <c r="D2066" s="8">
        <f>IFERROR(__xludf.DUMMYFUNCTION("""COMPUTED_VALUE"""),1.411)</f>
        <v>1.411</v>
      </c>
      <c r="E2066" s="8" t="str">
        <f>IFERROR(__xludf.DUMMYFUNCTION("""COMPUTED_VALUE"""),"Real")</f>
        <v>Real</v>
      </c>
      <c r="G2066" s="8">
        <f t="shared" si="1"/>
        <v>1</v>
      </c>
      <c r="H2066" s="14">
        <f t="shared" si="2"/>
        <v>26</v>
      </c>
      <c r="I2066" s="15">
        <f t="shared" si="3"/>
        <v>1</v>
      </c>
    </row>
    <row r="2067">
      <c r="A2067" s="8" t="str">
        <f>IFERROR(__xludf.DUMMYFUNCTION("IF('(INGESTA)Datos_consumo_datadis'!A2067&lt;&gt;"""",SPLIT('(INGESTA)Datos_consumo_datadis'!A:A,"",""),"""")"),"ES0031408323131005HX0F")</f>
        <v>ES0031408323131005HX0F</v>
      </c>
      <c r="B2067" s="12">
        <f>IFERROR(__xludf.DUMMYFUNCTION("""COMPUTED_VALUE"""),44952.0)</f>
        <v>44952</v>
      </c>
      <c r="C2067" s="13">
        <f>IFERROR(__xludf.DUMMYFUNCTION("""COMPUTED_VALUE"""),0.08333333333333333)</f>
        <v>0.08333333333</v>
      </c>
      <c r="D2067" s="8">
        <f>IFERROR(__xludf.DUMMYFUNCTION("""COMPUTED_VALUE"""),0.875)</f>
        <v>0.875</v>
      </c>
      <c r="E2067" s="8" t="str">
        <f>IFERROR(__xludf.DUMMYFUNCTION("""COMPUTED_VALUE"""),"Real")</f>
        <v>Real</v>
      </c>
      <c r="G2067" s="8">
        <f t="shared" si="1"/>
        <v>1</v>
      </c>
      <c r="H2067" s="14">
        <f t="shared" si="2"/>
        <v>26</v>
      </c>
      <c r="I2067" s="15">
        <f t="shared" si="3"/>
        <v>2</v>
      </c>
    </row>
    <row r="2068">
      <c r="A2068" s="8" t="str">
        <f>IFERROR(__xludf.DUMMYFUNCTION("IF('(INGESTA)Datos_consumo_datadis'!A2068&lt;&gt;"""",SPLIT('(INGESTA)Datos_consumo_datadis'!A:A,"",""),"""")"),"ES0031408323131005HX0F")</f>
        <v>ES0031408323131005HX0F</v>
      </c>
      <c r="B2068" s="12">
        <f>IFERROR(__xludf.DUMMYFUNCTION("""COMPUTED_VALUE"""),44952.0)</f>
        <v>44952</v>
      </c>
      <c r="C2068" s="13">
        <f>IFERROR(__xludf.DUMMYFUNCTION("""COMPUTED_VALUE"""),0.125)</f>
        <v>0.125</v>
      </c>
      <c r="D2068" s="8">
        <f>IFERROR(__xludf.DUMMYFUNCTION("""COMPUTED_VALUE"""),0.94)</f>
        <v>0.94</v>
      </c>
      <c r="E2068" s="8" t="str">
        <f>IFERROR(__xludf.DUMMYFUNCTION("""COMPUTED_VALUE"""),"Real")</f>
        <v>Real</v>
      </c>
      <c r="G2068" s="8">
        <f t="shared" si="1"/>
        <v>1</v>
      </c>
      <c r="H2068" s="14">
        <f t="shared" si="2"/>
        <v>26</v>
      </c>
      <c r="I2068" s="15">
        <f t="shared" si="3"/>
        <v>3</v>
      </c>
    </row>
    <row r="2069">
      <c r="A2069" s="8" t="str">
        <f>IFERROR(__xludf.DUMMYFUNCTION("IF('(INGESTA)Datos_consumo_datadis'!A2069&lt;&gt;"""",SPLIT('(INGESTA)Datos_consumo_datadis'!A:A,"",""),"""")"),"ES0031408323131005HX0F")</f>
        <v>ES0031408323131005HX0F</v>
      </c>
      <c r="B2069" s="12">
        <f>IFERROR(__xludf.DUMMYFUNCTION("""COMPUTED_VALUE"""),44952.0)</f>
        <v>44952</v>
      </c>
      <c r="C2069" s="13">
        <f>IFERROR(__xludf.DUMMYFUNCTION("""COMPUTED_VALUE"""),0.16666666666666666)</f>
        <v>0.1666666667</v>
      </c>
      <c r="D2069" s="8">
        <f>IFERROR(__xludf.DUMMYFUNCTION("""COMPUTED_VALUE"""),0.908)</f>
        <v>0.908</v>
      </c>
      <c r="E2069" s="8" t="str">
        <f>IFERROR(__xludf.DUMMYFUNCTION("""COMPUTED_VALUE"""),"Real")</f>
        <v>Real</v>
      </c>
      <c r="G2069" s="8">
        <f t="shared" si="1"/>
        <v>1</v>
      </c>
      <c r="H2069" s="14">
        <f t="shared" si="2"/>
        <v>26</v>
      </c>
      <c r="I2069" s="15">
        <f t="shared" si="3"/>
        <v>4</v>
      </c>
    </row>
    <row r="2070">
      <c r="A2070" s="8" t="str">
        <f>IFERROR(__xludf.DUMMYFUNCTION("IF('(INGESTA)Datos_consumo_datadis'!A2070&lt;&gt;"""",SPLIT('(INGESTA)Datos_consumo_datadis'!A:A,"",""),"""")"),"ES0031408323131005HX0F")</f>
        <v>ES0031408323131005HX0F</v>
      </c>
      <c r="B2070" s="12">
        <f>IFERROR(__xludf.DUMMYFUNCTION("""COMPUTED_VALUE"""),44952.0)</f>
        <v>44952</v>
      </c>
      <c r="C2070" s="13">
        <f>IFERROR(__xludf.DUMMYFUNCTION("""COMPUTED_VALUE"""),0.20833333333333334)</f>
        <v>0.2083333333</v>
      </c>
      <c r="D2070" s="8">
        <f>IFERROR(__xludf.DUMMYFUNCTION("""COMPUTED_VALUE"""),1.19)</f>
        <v>1.19</v>
      </c>
      <c r="E2070" s="8" t="str">
        <f>IFERROR(__xludf.DUMMYFUNCTION("""COMPUTED_VALUE"""),"Real")</f>
        <v>Real</v>
      </c>
      <c r="G2070" s="8">
        <f t="shared" si="1"/>
        <v>1</v>
      </c>
      <c r="H2070" s="14">
        <f t="shared" si="2"/>
        <v>26</v>
      </c>
      <c r="I2070" s="15">
        <f t="shared" si="3"/>
        <v>5</v>
      </c>
    </row>
    <row r="2071">
      <c r="A2071" s="8" t="str">
        <f>IFERROR(__xludf.DUMMYFUNCTION("IF('(INGESTA)Datos_consumo_datadis'!A2071&lt;&gt;"""",SPLIT('(INGESTA)Datos_consumo_datadis'!A:A,"",""),"""")"),"ES0031408323131005HX0F")</f>
        <v>ES0031408323131005HX0F</v>
      </c>
      <c r="B2071" s="12">
        <f>IFERROR(__xludf.DUMMYFUNCTION("""COMPUTED_VALUE"""),44952.0)</f>
        <v>44952</v>
      </c>
      <c r="C2071" s="13">
        <f>IFERROR(__xludf.DUMMYFUNCTION("""COMPUTED_VALUE"""),0.25)</f>
        <v>0.25</v>
      </c>
      <c r="D2071" s="8">
        <f>IFERROR(__xludf.DUMMYFUNCTION("""COMPUTED_VALUE"""),0.954)</f>
        <v>0.954</v>
      </c>
      <c r="E2071" s="8" t="str">
        <f>IFERROR(__xludf.DUMMYFUNCTION("""COMPUTED_VALUE"""),"Real")</f>
        <v>Real</v>
      </c>
      <c r="G2071" s="8">
        <f t="shared" si="1"/>
        <v>1</v>
      </c>
      <c r="H2071" s="14">
        <f t="shared" si="2"/>
        <v>26</v>
      </c>
      <c r="I2071" s="15">
        <f t="shared" si="3"/>
        <v>6</v>
      </c>
    </row>
    <row r="2072">
      <c r="A2072" s="8" t="str">
        <f>IFERROR(__xludf.DUMMYFUNCTION("IF('(INGESTA)Datos_consumo_datadis'!A2072&lt;&gt;"""",SPLIT('(INGESTA)Datos_consumo_datadis'!A:A,"",""),"""")"),"ES0031408323131005HX0F")</f>
        <v>ES0031408323131005HX0F</v>
      </c>
      <c r="B2072" s="12">
        <f>IFERROR(__xludf.DUMMYFUNCTION("""COMPUTED_VALUE"""),44952.0)</f>
        <v>44952</v>
      </c>
      <c r="C2072" s="13">
        <f>IFERROR(__xludf.DUMMYFUNCTION("""COMPUTED_VALUE"""),0.2916666666666667)</f>
        <v>0.2916666667</v>
      </c>
      <c r="D2072" s="8">
        <f>IFERROR(__xludf.DUMMYFUNCTION("""COMPUTED_VALUE"""),0.891)</f>
        <v>0.891</v>
      </c>
      <c r="E2072" s="8" t="str">
        <f>IFERROR(__xludf.DUMMYFUNCTION("""COMPUTED_VALUE"""),"Real")</f>
        <v>Real</v>
      </c>
      <c r="G2072" s="8">
        <f t="shared" si="1"/>
        <v>1</v>
      </c>
      <c r="H2072" s="14">
        <f t="shared" si="2"/>
        <v>26</v>
      </c>
      <c r="I2072" s="15">
        <f t="shared" si="3"/>
        <v>7</v>
      </c>
    </row>
    <row r="2073">
      <c r="A2073" s="8" t="str">
        <f>IFERROR(__xludf.DUMMYFUNCTION("IF('(INGESTA)Datos_consumo_datadis'!A2073&lt;&gt;"""",SPLIT('(INGESTA)Datos_consumo_datadis'!A:A,"",""),"""")"),"ES0031408323131005HX0F")</f>
        <v>ES0031408323131005HX0F</v>
      </c>
      <c r="B2073" s="12">
        <f>IFERROR(__xludf.DUMMYFUNCTION("""COMPUTED_VALUE"""),44952.0)</f>
        <v>44952</v>
      </c>
      <c r="C2073" s="13">
        <f>IFERROR(__xludf.DUMMYFUNCTION("""COMPUTED_VALUE"""),0.3333333333333333)</f>
        <v>0.3333333333</v>
      </c>
      <c r="D2073" s="8">
        <f>IFERROR(__xludf.DUMMYFUNCTION("""COMPUTED_VALUE"""),1.079)</f>
        <v>1.079</v>
      </c>
      <c r="E2073" s="8" t="str">
        <f>IFERROR(__xludf.DUMMYFUNCTION("""COMPUTED_VALUE"""),"Real")</f>
        <v>Real</v>
      </c>
      <c r="G2073" s="8">
        <f t="shared" si="1"/>
        <v>1</v>
      </c>
      <c r="H2073" s="14">
        <f t="shared" si="2"/>
        <v>26</v>
      </c>
      <c r="I2073" s="15">
        <f t="shared" si="3"/>
        <v>8</v>
      </c>
    </row>
    <row r="2074">
      <c r="A2074" s="8" t="str">
        <f>IFERROR(__xludf.DUMMYFUNCTION("IF('(INGESTA)Datos_consumo_datadis'!A2074&lt;&gt;"""",SPLIT('(INGESTA)Datos_consumo_datadis'!A:A,"",""),"""")"),"ES0031408323131005HX0F")</f>
        <v>ES0031408323131005HX0F</v>
      </c>
      <c r="B2074" s="12">
        <f>IFERROR(__xludf.DUMMYFUNCTION("""COMPUTED_VALUE"""),44952.0)</f>
        <v>44952</v>
      </c>
      <c r="C2074" s="13">
        <f>IFERROR(__xludf.DUMMYFUNCTION("""COMPUTED_VALUE"""),0.375)</f>
        <v>0.375</v>
      </c>
      <c r="D2074" s="8">
        <f>IFERROR(__xludf.DUMMYFUNCTION("""COMPUTED_VALUE"""),0.566)</f>
        <v>0.566</v>
      </c>
      <c r="E2074" s="8" t="str">
        <f>IFERROR(__xludf.DUMMYFUNCTION("""COMPUTED_VALUE"""),"Real")</f>
        <v>Real</v>
      </c>
      <c r="G2074" s="8">
        <f t="shared" si="1"/>
        <v>1</v>
      </c>
      <c r="H2074" s="14">
        <f t="shared" si="2"/>
        <v>26</v>
      </c>
      <c r="I2074" s="15">
        <f t="shared" si="3"/>
        <v>9</v>
      </c>
    </row>
    <row r="2075">
      <c r="A2075" s="8" t="str">
        <f>IFERROR(__xludf.DUMMYFUNCTION("IF('(INGESTA)Datos_consumo_datadis'!A2075&lt;&gt;"""",SPLIT('(INGESTA)Datos_consumo_datadis'!A:A,"",""),"""")"),"ES0031408323131005HX0F")</f>
        <v>ES0031408323131005HX0F</v>
      </c>
      <c r="B2075" s="12">
        <f>IFERROR(__xludf.DUMMYFUNCTION("""COMPUTED_VALUE"""),44952.0)</f>
        <v>44952</v>
      </c>
      <c r="C2075" s="13">
        <f>IFERROR(__xludf.DUMMYFUNCTION("""COMPUTED_VALUE"""),0.4166666666666667)</f>
        <v>0.4166666667</v>
      </c>
      <c r="D2075" s="8">
        <f>IFERROR(__xludf.DUMMYFUNCTION("""COMPUTED_VALUE"""),0.052)</f>
        <v>0.052</v>
      </c>
      <c r="E2075" s="8" t="str">
        <f>IFERROR(__xludf.DUMMYFUNCTION("""COMPUTED_VALUE"""),"Real")</f>
        <v>Real</v>
      </c>
      <c r="G2075" s="8">
        <f t="shared" si="1"/>
        <v>1</v>
      </c>
      <c r="H2075" s="14">
        <f t="shared" si="2"/>
        <v>26</v>
      </c>
      <c r="I2075" s="15">
        <f t="shared" si="3"/>
        <v>10</v>
      </c>
    </row>
    <row r="2076">
      <c r="A2076" s="8" t="str">
        <f>IFERROR(__xludf.DUMMYFUNCTION("IF('(INGESTA)Datos_consumo_datadis'!A2076&lt;&gt;"""",SPLIT('(INGESTA)Datos_consumo_datadis'!A:A,"",""),"""")"),"ES0031408323131005HX0F")</f>
        <v>ES0031408323131005HX0F</v>
      </c>
      <c r="B2076" s="12">
        <f>IFERROR(__xludf.DUMMYFUNCTION("""COMPUTED_VALUE"""),44952.0)</f>
        <v>44952</v>
      </c>
      <c r="C2076" s="13">
        <f>IFERROR(__xludf.DUMMYFUNCTION("""COMPUTED_VALUE"""),0.4583333333333333)</f>
        <v>0.4583333333</v>
      </c>
      <c r="D2076" s="8">
        <f>IFERROR(__xludf.DUMMYFUNCTION("""COMPUTED_VALUE"""),0.031)</f>
        <v>0.031</v>
      </c>
      <c r="E2076" s="8" t="str">
        <f>IFERROR(__xludf.DUMMYFUNCTION("""COMPUTED_VALUE"""),"Real")</f>
        <v>Real</v>
      </c>
      <c r="G2076" s="8">
        <f t="shared" si="1"/>
        <v>1</v>
      </c>
      <c r="H2076" s="14">
        <f t="shared" si="2"/>
        <v>26</v>
      </c>
      <c r="I2076" s="15">
        <f t="shared" si="3"/>
        <v>11</v>
      </c>
    </row>
    <row r="2077">
      <c r="A2077" s="8" t="str">
        <f>IFERROR(__xludf.DUMMYFUNCTION("IF('(INGESTA)Datos_consumo_datadis'!A2077&lt;&gt;"""",SPLIT('(INGESTA)Datos_consumo_datadis'!A:A,"",""),"""")"),"ES0031408323131005HX0F")</f>
        <v>ES0031408323131005HX0F</v>
      </c>
      <c r="B2077" s="12">
        <f>IFERROR(__xludf.DUMMYFUNCTION("""COMPUTED_VALUE"""),44952.0)</f>
        <v>44952</v>
      </c>
      <c r="C2077" s="13">
        <f>IFERROR(__xludf.DUMMYFUNCTION("""COMPUTED_VALUE"""),0.5)</f>
        <v>0.5</v>
      </c>
      <c r="D2077" s="8">
        <f>IFERROR(__xludf.DUMMYFUNCTION("""COMPUTED_VALUE"""),0.073)</f>
        <v>0.073</v>
      </c>
      <c r="E2077" s="8" t="str">
        <f>IFERROR(__xludf.DUMMYFUNCTION("""COMPUTED_VALUE"""),"Real")</f>
        <v>Real</v>
      </c>
      <c r="G2077" s="8">
        <f t="shared" si="1"/>
        <v>1</v>
      </c>
      <c r="H2077" s="14">
        <f t="shared" si="2"/>
        <v>26</v>
      </c>
      <c r="I2077" s="15">
        <f t="shared" si="3"/>
        <v>12</v>
      </c>
    </row>
    <row r="2078">
      <c r="A2078" s="8" t="str">
        <f>IFERROR(__xludf.DUMMYFUNCTION("IF('(INGESTA)Datos_consumo_datadis'!A2078&lt;&gt;"""",SPLIT('(INGESTA)Datos_consumo_datadis'!A:A,"",""),"""")"),"ES0031408323131005HX0F")</f>
        <v>ES0031408323131005HX0F</v>
      </c>
      <c r="B2078" s="12">
        <f>IFERROR(__xludf.DUMMYFUNCTION("""COMPUTED_VALUE"""),44952.0)</f>
        <v>44952</v>
      </c>
      <c r="C2078" s="13">
        <f>IFERROR(__xludf.DUMMYFUNCTION("""COMPUTED_VALUE"""),0.5416666666666666)</f>
        <v>0.5416666667</v>
      </c>
      <c r="D2078" s="8">
        <f>IFERROR(__xludf.DUMMYFUNCTION("""COMPUTED_VALUE"""),0.15)</f>
        <v>0.15</v>
      </c>
      <c r="E2078" s="8" t="str">
        <f>IFERROR(__xludf.DUMMYFUNCTION("""COMPUTED_VALUE"""),"Real")</f>
        <v>Real</v>
      </c>
      <c r="G2078" s="8">
        <f t="shared" si="1"/>
        <v>1</v>
      </c>
      <c r="H2078" s="14">
        <f t="shared" si="2"/>
        <v>26</v>
      </c>
      <c r="I2078" s="15">
        <f t="shared" si="3"/>
        <v>13</v>
      </c>
    </row>
    <row r="2079">
      <c r="A2079" s="8" t="str">
        <f>IFERROR(__xludf.DUMMYFUNCTION("IF('(INGESTA)Datos_consumo_datadis'!A2079&lt;&gt;"""",SPLIT('(INGESTA)Datos_consumo_datadis'!A:A,"",""),"""")"),"ES0031408323131005HX0F")</f>
        <v>ES0031408323131005HX0F</v>
      </c>
      <c r="B2079" s="12">
        <f>IFERROR(__xludf.DUMMYFUNCTION("""COMPUTED_VALUE"""),44952.0)</f>
        <v>44952</v>
      </c>
      <c r="C2079" s="13">
        <f>IFERROR(__xludf.DUMMYFUNCTION("""COMPUTED_VALUE"""),0.5833333333333334)</f>
        <v>0.5833333333</v>
      </c>
      <c r="D2079" s="8">
        <f>IFERROR(__xludf.DUMMYFUNCTION("""COMPUTED_VALUE"""),0.197)</f>
        <v>0.197</v>
      </c>
      <c r="E2079" s="8" t="str">
        <f>IFERROR(__xludf.DUMMYFUNCTION("""COMPUTED_VALUE"""),"Real")</f>
        <v>Real</v>
      </c>
      <c r="G2079" s="8">
        <f t="shared" si="1"/>
        <v>1</v>
      </c>
      <c r="H2079" s="14">
        <f t="shared" si="2"/>
        <v>26</v>
      </c>
      <c r="I2079" s="15">
        <f t="shared" si="3"/>
        <v>14</v>
      </c>
    </row>
    <row r="2080">
      <c r="A2080" s="8" t="str">
        <f>IFERROR(__xludf.DUMMYFUNCTION("IF('(INGESTA)Datos_consumo_datadis'!A2080&lt;&gt;"""",SPLIT('(INGESTA)Datos_consumo_datadis'!A:A,"",""),"""")"),"ES0031408323131005HX0F")</f>
        <v>ES0031408323131005HX0F</v>
      </c>
      <c r="B2080" s="12">
        <f>IFERROR(__xludf.DUMMYFUNCTION("""COMPUTED_VALUE"""),44952.0)</f>
        <v>44952</v>
      </c>
      <c r="C2080" s="13">
        <f>IFERROR(__xludf.DUMMYFUNCTION("""COMPUTED_VALUE"""),0.625)</f>
        <v>0.625</v>
      </c>
      <c r="D2080" s="8">
        <f>IFERROR(__xludf.DUMMYFUNCTION("""COMPUTED_VALUE"""),0.061)</f>
        <v>0.061</v>
      </c>
      <c r="E2080" s="8" t="str">
        <f>IFERROR(__xludf.DUMMYFUNCTION("""COMPUTED_VALUE"""),"Real")</f>
        <v>Real</v>
      </c>
      <c r="G2080" s="8">
        <f t="shared" si="1"/>
        <v>1</v>
      </c>
      <c r="H2080" s="14">
        <f t="shared" si="2"/>
        <v>26</v>
      </c>
      <c r="I2080" s="15">
        <f t="shared" si="3"/>
        <v>15</v>
      </c>
    </row>
    <row r="2081">
      <c r="A2081" s="8" t="str">
        <f>IFERROR(__xludf.DUMMYFUNCTION("IF('(INGESTA)Datos_consumo_datadis'!A2081&lt;&gt;"""",SPLIT('(INGESTA)Datos_consumo_datadis'!A:A,"",""),"""")"),"ES0031408323131005HX0F")</f>
        <v>ES0031408323131005HX0F</v>
      </c>
      <c r="B2081" s="12">
        <f>IFERROR(__xludf.DUMMYFUNCTION("""COMPUTED_VALUE"""),44952.0)</f>
        <v>44952</v>
      </c>
      <c r="C2081" s="13">
        <f>IFERROR(__xludf.DUMMYFUNCTION("""COMPUTED_VALUE"""),0.6666666666666666)</f>
        <v>0.6666666667</v>
      </c>
      <c r="D2081" s="8">
        <f>IFERROR(__xludf.DUMMYFUNCTION("""COMPUTED_VALUE"""),0.017)</f>
        <v>0.017</v>
      </c>
      <c r="E2081" s="8" t="str">
        <f>IFERROR(__xludf.DUMMYFUNCTION("""COMPUTED_VALUE"""),"Real")</f>
        <v>Real</v>
      </c>
      <c r="G2081" s="8">
        <f t="shared" si="1"/>
        <v>1</v>
      </c>
      <c r="H2081" s="14">
        <f t="shared" si="2"/>
        <v>26</v>
      </c>
      <c r="I2081" s="15">
        <f t="shared" si="3"/>
        <v>16</v>
      </c>
    </row>
    <row r="2082">
      <c r="A2082" s="8" t="str">
        <f>IFERROR(__xludf.DUMMYFUNCTION("IF('(INGESTA)Datos_consumo_datadis'!A2082&lt;&gt;"""",SPLIT('(INGESTA)Datos_consumo_datadis'!A:A,"",""),"""")"),"ES0031408323131005HX0F")</f>
        <v>ES0031408323131005HX0F</v>
      </c>
      <c r="B2082" s="12">
        <f>IFERROR(__xludf.DUMMYFUNCTION("""COMPUTED_VALUE"""),44952.0)</f>
        <v>44952</v>
      </c>
      <c r="C2082" s="13">
        <f>IFERROR(__xludf.DUMMYFUNCTION("""COMPUTED_VALUE"""),0.7083333333333334)</f>
        <v>0.7083333333</v>
      </c>
      <c r="D2082" s="8">
        <f>IFERROR(__xludf.DUMMYFUNCTION("""COMPUTED_VALUE"""),0.063)</f>
        <v>0.063</v>
      </c>
      <c r="E2082" s="8" t="str">
        <f>IFERROR(__xludf.DUMMYFUNCTION("""COMPUTED_VALUE"""),"Real")</f>
        <v>Real</v>
      </c>
      <c r="G2082" s="8">
        <f t="shared" si="1"/>
        <v>1</v>
      </c>
      <c r="H2082" s="14">
        <f t="shared" si="2"/>
        <v>26</v>
      </c>
      <c r="I2082" s="15">
        <f t="shared" si="3"/>
        <v>17</v>
      </c>
    </row>
    <row r="2083">
      <c r="A2083" s="8" t="str">
        <f>IFERROR(__xludf.DUMMYFUNCTION("IF('(INGESTA)Datos_consumo_datadis'!A2083&lt;&gt;"""",SPLIT('(INGESTA)Datos_consumo_datadis'!A:A,"",""),"""")"),"ES0031408323131005HX0F")</f>
        <v>ES0031408323131005HX0F</v>
      </c>
      <c r="B2083" s="12">
        <f>IFERROR(__xludf.DUMMYFUNCTION("""COMPUTED_VALUE"""),44952.0)</f>
        <v>44952</v>
      </c>
      <c r="C2083" s="13">
        <f>IFERROR(__xludf.DUMMYFUNCTION("""COMPUTED_VALUE"""),0.75)</f>
        <v>0.75</v>
      </c>
      <c r="D2083" s="8">
        <f>IFERROR(__xludf.DUMMYFUNCTION("""COMPUTED_VALUE"""),0.042)</f>
        <v>0.042</v>
      </c>
      <c r="E2083" s="8" t="str">
        <f>IFERROR(__xludf.DUMMYFUNCTION("""COMPUTED_VALUE"""),"Real")</f>
        <v>Real</v>
      </c>
      <c r="G2083" s="8">
        <f t="shared" si="1"/>
        <v>1</v>
      </c>
      <c r="H2083" s="14">
        <f t="shared" si="2"/>
        <v>26</v>
      </c>
      <c r="I2083" s="15">
        <f t="shared" si="3"/>
        <v>18</v>
      </c>
    </row>
    <row r="2084">
      <c r="A2084" s="8" t="str">
        <f>IFERROR(__xludf.DUMMYFUNCTION("IF('(INGESTA)Datos_consumo_datadis'!A2084&lt;&gt;"""",SPLIT('(INGESTA)Datos_consumo_datadis'!A:A,"",""),"""")"),"ES0031408323131005HX0F")</f>
        <v>ES0031408323131005HX0F</v>
      </c>
      <c r="B2084" s="12">
        <f>IFERROR(__xludf.DUMMYFUNCTION("""COMPUTED_VALUE"""),44952.0)</f>
        <v>44952</v>
      </c>
      <c r="C2084" s="13">
        <f>IFERROR(__xludf.DUMMYFUNCTION("""COMPUTED_VALUE"""),0.7916666666666666)</f>
        <v>0.7916666667</v>
      </c>
      <c r="D2084" s="8">
        <f>IFERROR(__xludf.DUMMYFUNCTION("""COMPUTED_VALUE"""),0.317)</f>
        <v>0.317</v>
      </c>
      <c r="E2084" s="8" t="str">
        <f>IFERROR(__xludf.DUMMYFUNCTION("""COMPUTED_VALUE"""),"Real")</f>
        <v>Real</v>
      </c>
      <c r="G2084" s="8">
        <f t="shared" si="1"/>
        <v>1</v>
      </c>
      <c r="H2084" s="14">
        <f t="shared" si="2"/>
        <v>26</v>
      </c>
      <c r="I2084" s="15">
        <f t="shared" si="3"/>
        <v>19</v>
      </c>
    </row>
    <row r="2085">
      <c r="A2085" s="8" t="str">
        <f>IFERROR(__xludf.DUMMYFUNCTION("IF('(INGESTA)Datos_consumo_datadis'!A2085&lt;&gt;"""",SPLIT('(INGESTA)Datos_consumo_datadis'!A:A,"",""),"""")"),"ES0031408323131005HX0F")</f>
        <v>ES0031408323131005HX0F</v>
      </c>
      <c r="B2085" s="12">
        <f>IFERROR(__xludf.DUMMYFUNCTION("""COMPUTED_VALUE"""),44952.0)</f>
        <v>44952</v>
      </c>
      <c r="C2085" s="13">
        <f>IFERROR(__xludf.DUMMYFUNCTION("""COMPUTED_VALUE"""),0.8333333333333334)</f>
        <v>0.8333333333</v>
      </c>
      <c r="D2085" s="8">
        <f>IFERROR(__xludf.DUMMYFUNCTION("""COMPUTED_VALUE"""),0.879)</f>
        <v>0.879</v>
      </c>
      <c r="E2085" s="8" t="str">
        <f>IFERROR(__xludf.DUMMYFUNCTION("""COMPUTED_VALUE"""),"Real")</f>
        <v>Real</v>
      </c>
      <c r="G2085" s="8">
        <f t="shared" si="1"/>
        <v>1</v>
      </c>
      <c r="H2085" s="14">
        <f t="shared" si="2"/>
        <v>26</v>
      </c>
      <c r="I2085" s="15">
        <f t="shared" si="3"/>
        <v>20</v>
      </c>
    </row>
    <row r="2086">
      <c r="A2086" s="8" t="str">
        <f>IFERROR(__xludf.DUMMYFUNCTION("IF('(INGESTA)Datos_consumo_datadis'!A2086&lt;&gt;"""",SPLIT('(INGESTA)Datos_consumo_datadis'!A:A,"",""),"""")"),"ES0031408323131005HX0F")</f>
        <v>ES0031408323131005HX0F</v>
      </c>
      <c r="B2086" s="12">
        <f>IFERROR(__xludf.DUMMYFUNCTION("""COMPUTED_VALUE"""),44952.0)</f>
        <v>44952</v>
      </c>
      <c r="C2086" s="13">
        <f>IFERROR(__xludf.DUMMYFUNCTION("""COMPUTED_VALUE"""),0.875)</f>
        <v>0.875</v>
      </c>
      <c r="D2086" s="8">
        <f>IFERROR(__xludf.DUMMYFUNCTION("""COMPUTED_VALUE"""),2.841)</f>
        <v>2.841</v>
      </c>
      <c r="E2086" s="8" t="str">
        <f>IFERROR(__xludf.DUMMYFUNCTION("""COMPUTED_VALUE"""),"Real")</f>
        <v>Real</v>
      </c>
      <c r="G2086" s="8">
        <f t="shared" si="1"/>
        <v>1</v>
      </c>
      <c r="H2086" s="14">
        <f t="shared" si="2"/>
        <v>26</v>
      </c>
      <c r="I2086" s="15">
        <f t="shared" si="3"/>
        <v>21</v>
      </c>
    </row>
    <row r="2087">
      <c r="A2087" s="8" t="str">
        <f>IFERROR(__xludf.DUMMYFUNCTION("IF('(INGESTA)Datos_consumo_datadis'!A2087&lt;&gt;"""",SPLIT('(INGESTA)Datos_consumo_datadis'!A:A,"",""),"""")"),"ES0031408323131005HX0F")</f>
        <v>ES0031408323131005HX0F</v>
      </c>
      <c r="B2087" s="12">
        <f>IFERROR(__xludf.DUMMYFUNCTION("""COMPUTED_VALUE"""),44952.0)</f>
        <v>44952</v>
      </c>
      <c r="C2087" s="13">
        <f>IFERROR(__xludf.DUMMYFUNCTION("""COMPUTED_VALUE"""),0.9166666666666666)</f>
        <v>0.9166666667</v>
      </c>
      <c r="D2087" s="8">
        <f>IFERROR(__xludf.DUMMYFUNCTION("""COMPUTED_VALUE"""),4.798)</f>
        <v>4.798</v>
      </c>
      <c r="E2087" s="8" t="str">
        <f>IFERROR(__xludf.DUMMYFUNCTION("""COMPUTED_VALUE"""),"Real")</f>
        <v>Real</v>
      </c>
      <c r="G2087" s="8">
        <f t="shared" si="1"/>
        <v>1</v>
      </c>
      <c r="H2087" s="14">
        <f t="shared" si="2"/>
        <v>26</v>
      </c>
      <c r="I2087" s="15">
        <f t="shared" si="3"/>
        <v>22</v>
      </c>
    </row>
    <row r="2088">
      <c r="A2088" s="8" t="str">
        <f>IFERROR(__xludf.DUMMYFUNCTION("IF('(INGESTA)Datos_consumo_datadis'!A2088&lt;&gt;"""",SPLIT('(INGESTA)Datos_consumo_datadis'!A:A,"",""),"""")"),"ES0031408323131005HX0F")</f>
        <v>ES0031408323131005HX0F</v>
      </c>
      <c r="B2088" s="12">
        <f>IFERROR(__xludf.DUMMYFUNCTION("""COMPUTED_VALUE"""),44952.0)</f>
        <v>44952</v>
      </c>
      <c r="C2088" s="13">
        <f>IFERROR(__xludf.DUMMYFUNCTION("""COMPUTED_VALUE"""),0.9583333333333334)</f>
        <v>0.9583333333</v>
      </c>
      <c r="D2088" s="8">
        <f>IFERROR(__xludf.DUMMYFUNCTION("""COMPUTED_VALUE"""),3.283)</f>
        <v>3.283</v>
      </c>
      <c r="E2088" s="8" t="str">
        <f>IFERROR(__xludf.DUMMYFUNCTION("""COMPUTED_VALUE"""),"Real")</f>
        <v>Real</v>
      </c>
      <c r="G2088" s="8">
        <f t="shared" si="1"/>
        <v>1</v>
      </c>
      <c r="H2088" s="14">
        <f t="shared" si="2"/>
        <v>26</v>
      </c>
      <c r="I2088" s="15">
        <f t="shared" si="3"/>
        <v>23</v>
      </c>
    </row>
    <row r="2089">
      <c r="A2089" s="8" t="str">
        <f>IFERROR(__xludf.DUMMYFUNCTION("IF('(INGESTA)Datos_consumo_datadis'!A2089&lt;&gt;"""",SPLIT('(INGESTA)Datos_consumo_datadis'!A:A,"",""),"""")"),"ES0031408323131005HX0F")</f>
        <v>ES0031408323131005HX0F</v>
      </c>
      <c r="B2089" s="12">
        <f>IFERROR(__xludf.DUMMYFUNCTION("""COMPUTED_VALUE"""),44952.0)</f>
        <v>44952</v>
      </c>
      <c r="C2089" s="16">
        <f>IFERROR(__xludf.DUMMYFUNCTION("""COMPUTED_VALUE"""),1.0)</f>
        <v>1</v>
      </c>
      <c r="D2089" s="8">
        <f>IFERROR(__xludf.DUMMYFUNCTION("""COMPUTED_VALUE"""),1.911)</f>
        <v>1.911</v>
      </c>
      <c r="E2089" s="8" t="str">
        <f>IFERROR(__xludf.DUMMYFUNCTION("""COMPUTED_VALUE"""),"Real")</f>
        <v>Real</v>
      </c>
      <c r="G2089" s="8">
        <f t="shared" si="1"/>
        <v>1</v>
      </c>
      <c r="H2089" s="14">
        <f t="shared" si="2"/>
        <v>26</v>
      </c>
      <c r="I2089" s="15">
        <f t="shared" si="3"/>
        <v>0</v>
      </c>
    </row>
    <row r="2090">
      <c r="A2090" s="8" t="str">
        <f>IFERROR(__xludf.DUMMYFUNCTION("IF('(INGESTA)Datos_consumo_datadis'!A2090&lt;&gt;"""",SPLIT('(INGESTA)Datos_consumo_datadis'!A:A,"",""),"""")"),"ES0031408323131005HX0F")</f>
        <v>ES0031408323131005HX0F</v>
      </c>
      <c r="B2090" s="12">
        <f>IFERROR(__xludf.DUMMYFUNCTION("""COMPUTED_VALUE"""),44953.0)</f>
        <v>44953</v>
      </c>
      <c r="C2090" s="13">
        <f>IFERROR(__xludf.DUMMYFUNCTION("""COMPUTED_VALUE"""),0.041666666666666664)</f>
        <v>0.04166666667</v>
      </c>
      <c r="D2090" s="8">
        <f>IFERROR(__xludf.DUMMYFUNCTION("""COMPUTED_VALUE"""),1.135)</f>
        <v>1.135</v>
      </c>
      <c r="E2090" s="8" t="str">
        <f>IFERROR(__xludf.DUMMYFUNCTION("""COMPUTED_VALUE"""),"Real")</f>
        <v>Real</v>
      </c>
      <c r="G2090" s="8">
        <f t="shared" si="1"/>
        <v>1</v>
      </c>
      <c r="H2090" s="14">
        <f t="shared" si="2"/>
        <v>27</v>
      </c>
      <c r="I2090" s="15">
        <f t="shared" si="3"/>
        <v>1</v>
      </c>
    </row>
    <row r="2091">
      <c r="A2091" s="8" t="str">
        <f>IFERROR(__xludf.DUMMYFUNCTION("IF('(INGESTA)Datos_consumo_datadis'!A2091&lt;&gt;"""",SPLIT('(INGESTA)Datos_consumo_datadis'!A:A,"",""),"""")"),"ES0031408323131005HX0F")</f>
        <v>ES0031408323131005HX0F</v>
      </c>
      <c r="B2091" s="12">
        <f>IFERROR(__xludf.DUMMYFUNCTION("""COMPUTED_VALUE"""),44953.0)</f>
        <v>44953</v>
      </c>
      <c r="C2091" s="13">
        <f>IFERROR(__xludf.DUMMYFUNCTION("""COMPUTED_VALUE"""),0.08333333333333333)</f>
        <v>0.08333333333</v>
      </c>
      <c r="D2091" s="8">
        <f>IFERROR(__xludf.DUMMYFUNCTION("""COMPUTED_VALUE"""),1.082)</f>
        <v>1.082</v>
      </c>
      <c r="E2091" s="8" t="str">
        <f>IFERROR(__xludf.DUMMYFUNCTION("""COMPUTED_VALUE"""),"Real")</f>
        <v>Real</v>
      </c>
      <c r="G2091" s="8">
        <f t="shared" si="1"/>
        <v>1</v>
      </c>
      <c r="H2091" s="14">
        <f t="shared" si="2"/>
        <v>27</v>
      </c>
      <c r="I2091" s="15">
        <f t="shared" si="3"/>
        <v>2</v>
      </c>
    </row>
    <row r="2092">
      <c r="A2092" s="8" t="str">
        <f>IFERROR(__xludf.DUMMYFUNCTION("IF('(INGESTA)Datos_consumo_datadis'!A2092&lt;&gt;"""",SPLIT('(INGESTA)Datos_consumo_datadis'!A:A,"",""),"""")"),"ES0031408323131005HX0F")</f>
        <v>ES0031408323131005HX0F</v>
      </c>
      <c r="B2092" s="12">
        <f>IFERROR(__xludf.DUMMYFUNCTION("""COMPUTED_VALUE"""),44953.0)</f>
        <v>44953</v>
      </c>
      <c r="C2092" s="13">
        <f>IFERROR(__xludf.DUMMYFUNCTION("""COMPUTED_VALUE"""),0.125)</f>
        <v>0.125</v>
      </c>
      <c r="D2092" s="8">
        <f>IFERROR(__xludf.DUMMYFUNCTION("""COMPUTED_VALUE"""),1.18)</f>
        <v>1.18</v>
      </c>
      <c r="E2092" s="8" t="str">
        <f>IFERROR(__xludf.DUMMYFUNCTION("""COMPUTED_VALUE"""),"Real")</f>
        <v>Real</v>
      </c>
      <c r="G2092" s="8">
        <f t="shared" si="1"/>
        <v>1</v>
      </c>
      <c r="H2092" s="14">
        <f t="shared" si="2"/>
        <v>27</v>
      </c>
      <c r="I2092" s="15">
        <f t="shared" si="3"/>
        <v>3</v>
      </c>
    </row>
    <row r="2093">
      <c r="A2093" s="8" t="str">
        <f>IFERROR(__xludf.DUMMYFUNCTION("IF('(INGESTA)Datos_consumo_datadis'!A2093&lt;&gt;"""",SPLIT('(INGESTA)Datos_consumo_datadis'!A:A,"",""),"""")"),"ES0031408323131005HX0F")</f>
        <v>ES0031408323131005HX0F</v>
      </c>
      <c r="B2093" s="12">
        <f>IFERROR(__xludf.DUMMYFUNCTION("""COMPUTED_VALUE"""),44953.0)</f>
        <v>44953</v>
      </c>
      <c r="C2093" s="13">
        <f>IFERROR(__xludf.DUMMYFUNCTION("""COMPUTED_VALUE"""),0.16666666666666666)</f>
        <v>0.1666666667</v>
      </c>
      <c r="D2093" s="8">
        <f>IFERROR(__xludf.DUMMYFUNCTION("""COMPUTED_VALUE"""),1.4)</f>
        <v>1.4</v>
      </c>
      <c r="E2093" s="8" t="str">
        <f>IFERROR(__xludf.DUMMYFUNCTION("""COMPUTED_VALUE"""),"Real")</f>
        <v>Real</v>
      </c>
      <c r="G2093" s="8">
        <f t="shared" si="1"/>
        <v>1</v>
      </c>
      <c r="H2093" s="14">
        <f t="shared" si="2"/>
        <v>27</v>
      </c>
      <c r="I2093" s="15">
        <f t="shared" si="3"/>
        <v>4</v>
      </c>
    </row>
    <row r="2094">
      <c r="A2094" s="8" t="str">
        <f>IFERROR(__xludf.DUMMYFUNCTION("IF('(INGESTA)Datos_consumo_datadis'!A2094&lt;&gt;"""",SPLIT('(INGESTA)Datos_consumo_datadis'!A:A,"",""),"""")"),"ES0031408323131005HX0F")</f>
        <v>ES0031408323131005HX0F</v>
      </c>
      <c r="B2094" s="12">
        <f>IFERROR(__xludf.DUMMYFUNCTION("""COMPUTED_VALUE"""),44953.0)</f>
        <v>44953</v>
      </c>
      <c r="C2094" s="13">
        <f>IFERROR(__xludf.DUMMYFUNCTION("""COMPUTED_VALUE"""),0.20833333333333334)</f>
        <v>0.2083333333</v>
      </c>
      <c r="D2094" s="8">
        <f>IFERROR(__xludf.DUMMYFUNCTION("""COMPUTED_VALUE"""),1.089)</f>
        <v>1.089</v>
      </c>
      <c r="E2094" s="8" t="str">
        <f>IFERROR(__xludf.DUMMYFUNCTION("""COMPUTED_VALUE"""),"Real")</f>
        <v>Real</v>
      </c>
      <c r="G2094" s="8">
        <f t="shared" si="1"/>
        <v>1</v>
      </c>
      <c r="H2094" s="14">
        <f t="shared" si="2"/>
        <v>27</v>
      </c>
      <c r="I2094" s="15">
        <f t="shared" si="3"/>
        <v>5</v>
      </c>
    </row>
    <row r="2095">
      <c r="A2095" s="8" t="str">
        <f>IFERROR(__xludf.DUMMYFUNCTION("IF('(INGESTA)Datos_consumo_datadis'!A2095&lt;&gt;"""",SPLIT('(INGESTA)Datos_consumo_datadis'!A:A,"",""),"""")"),"ES0031408323131005HX0F")</f>
        <v>ES0031408323131005HX0F</v>
      </c>
      <c r="B2095" s="12">
        <f>IFERROR(__xludf.DUMMYFUNCTION("""COMPUTED_VALUE"""),44953.0)</f>
        <v>44953</v>
      </c>
      <c r="C2095" s="13">
        <f>IFERROR(__xludf.DUMMYFUNCTION("""COMPUTED_VALUE"""),0.25)</f>
        <v>0.25</v>
      </c>
      <c r="D2095" s="8">
        <f>IFERROR(__xludf.DUMMYFUNCTION("""COMPUTED_VALUE"""),1.156)</f>
        <v>1.156</v>
      </c>
      <c r="E2095" s="8" t="str">
        <f>IFERROR(__xludf.DUMMYFUNCTION("""COMPUTED_VALUE"""),"Real")</f>
        <v>Real</v>
      </c>
      <c r="G2095" s="8">
        <f t="shared" si="1"/>
        <v>1</v>
      </c>
      <c r="H2095" s="14">
        <f t="shared" si="2"/>
        <v>27</v>
      </c>
      <c r="I2095" s="15">
        <f t="shared" si="3"/>
        <v>6</v>
      </c>
    </row>
    <row r="2096">
      <c r="A2096" s="8" t="str">
        <f>IFERROR(__xludf.DUMMYFUNCTION("IF('(INGESTA)Datos_consumo_datadis'!A2096&lt;&gt;"""",SPLIT('(INGESTA)Datos_consumo_datadis'!A:A,"",""),"""")"),"ES0031408323131005HX0F")</f>
        <v>ES0031408323131005HX0F</v>
      </c>
      <c r="B2096" s="12">
        <f>IFERROR(__xludf.DUMMYFUNCTION("""COMPUTED_VALUE"""),44953.0)</f>
        <v>44953</v>
      </c>
      <c r="C2096" s="13">
        <f>IFERROR(__xludf.DUMMYFUNCTION("""COMPUTED_VALUE"""),0.2916666666666667)</f>
        <v>0.2916666667</v>
      </c>
      <c r="D2096" s="8">
        <f>IFERROR(__xludf.DUMMYFUNCTION("""COMPUTED_VALUE"""),1.151)</f>
        <v>1.151</v>
      </c>
      <c r="E2096" s="8" t="str">
        <f>IFERROR(__xludf.DUMMYFUNCTION("""COMPUTED_VALUE"""),"Real")</f>
        <v>Real</v>
      </c>
      <c r="G2096" s="8">
        <f t="shared" si="1"/>
        <v>1</v>
      </c>
      <c r="H2096" s="14">
        <f t="shared" si="2"/>
        <v>27</v>
      </c>
      <c r="I2096" s="15">
        <f t="shared" si="3"/>
        <v>7</v>
      </c>
    </row>
    <row r="2097">
      <c r="A2097" s="8" t="str">
        <f>IFERROR(__xludf.DUMMYFUNCTION("IF('(INGESTA)Datos_consumo_datadis'!A2097&lt;&gt;"""",SPLIT('(INGESTA)Datos_consumo_datadis'!A:A,"",""),"""")"),"ES0031408323131005HX0F")</f>
        <v>ES0031408323131005HX0F</v>
      </c>
      <c r="B2097" s="12">
        <f>IFERROR(__xludf.DUMMYFUNCTION("""COMPUTED_VALUE"""),44953.0)</f>
        <v>44953</v>
      </c>
      <c r="C2097" s="13">
        <f>IFERROR(__xludf.DUMMYFUNCTION("""COMPUTED_VALUE"""),0.3333333333333333)</f>
        <v>0.3333333333</v>
      </c>
      <c r="D2097" s="8">
        <f>IFERROR(__xludf.DUMMYFUNCTION("""COMPUTED_VALUE"""),0.735)</f>
        <v>0.735</v>
      </c>
      <c r="E2097" s="8" t="str">
        <f>IFERROR(__xludf.DUMMYFUNCTION("""COMPUTED_VALUE"""),"Real")</f>
        <v>Real</v>
      </c>
      <c r="G2097" s="8">
        <f t="shared" si="1"/>
        <v>1</v>
      </c>
      <c r="H2097" s="14">
        <f t="shared" si="2"/>
        <v>27</v>
      </c>
      <c r="I2097" s="15">
        <f t="shared" si="3"/>
        <v>8</v>
      </c>
    </row>
    <row r="2098">
      <c r="A2098" s="8" t="str">
        <f>IFERROR(__xludf.DUMMYFUNCTION("IF('(INGESTA)Datos_consumo_datadis'!A2098&lt;&gt;"""",SPLIT('(INGESTA)Datos_consumo_datadis'!A:A,"",""),"""")"),"ES0031408323131005HX0F")</f>
        <v>ES0031408323131005HX0F</v>
      </c>
      <c r="B2098" s="12">
        <f>IFERROR(__xludf.DUMMYFUNCTION("""COMPUTED_VALUE"""),44953.0)</f>
        <v>44953</v>
      </c>
      <c r="C2098" s="13">
        <f>IFERROR(__xludf.DUMMYFUNCTION("""COMPUTED_VALUE"""),0.375)</f>
        <v>0.375</v>
      </c>
      <c r="D2098" s="8">
        <f>IFERROR(__xludf.DUMMYFUNCTION("""COMPUTED_VALUE"""),0.088)</f>
        <v>0.088</v>
      </c>
      <c r="E2098" s="8" t="str">
        <f>IFERROR(__xludf.DUMMYFUNCTION("""COMPUTED_VALUE"""),"Real")</f>
        <v>Real</v>
      </c>
      <c r="G2098" s="8">
        <f t="shared" si="1"/>
        <v>1</v>
      </c>
      <c r="H2098" s="14">
        <f t="shared" si="2"/>
        <v>27</v>
      </c>
      <c r="I2098" s="15">
        <f t="shared" si="3"/>
        <v>9</v>
      </c>
    </row>
    <row r="2099">
      <c r="A2099" s="8" t="str">
        <f>IFERROR(__xludf.DUMMYFUNCTION("IF('(INGESTA)Datos_consumo_datadis'!A2099&lt;&gt;"""",SPLIT('(INGESTA)Datos_consumo_datadis'!A:A,"",""),"""")"),"ES0031408323131005HX0F")</f>
        <v>ES0031408323131005HX0F</v>
      </c>
      <c r="B2099" s="12">
        <f>IFERROR(__xludf.DUMMYFUNCTION("""COMPUTED_VALUE"""),44953.0)</f>
        <v>44953</v>
      </c>
      <c r="C2099" s="13">
        <f>IFERROR(__xludf.DUMMYFUNCTION("""COMPUTED_VALUE"""),0.4166666666666667)</f>
        <v>0.4166666667</v>
      </c>
      <c r="D2099" s="8">
        <f>IFERROR(__xludf.DUMMYFUNCTION("""COMPUTED_VALUE"""),0.362)</f>
        <v>0.362</v>
      </c>
      <c r="E2099" s="8" t="str">
        <f>IFERROR(__xludf.DUMMYFUNCTION("""COMPUTED_VALUE"""),"Real")</f>
        <v>Real</v>
      </c>
      <c r="G2099" s="8">
        <f t="shared" si="1"/>
        <v>1</v>
      </c>
      <c r="H2099" s="14">
        <f t="shared" si="2"/>
        <v>27</v>
      </c>
      <c r="I2099" s="15">
        <f t="shared" si="3"/>
        <v>10</v>
      </c>
    </row>
    <row r="2100">
      <c r="A2100" s="8" t="str">
        <f>IFERROR(__xludf.DUMMYFUNCTION("IF('(INGESTA)Datos_consumo_datadis'!A2100&lt;&gt;"""",SPLIT('(INGESTA)Datos_consumo_datadis'!A:A,"",""),"""")"),"ES0031408323131005HX0F")</f>
        <v>ES0031408323131005HX0F</v>
      </c>
      <c r="B2100" s="12">
        <f>IFERROR(__xludf.DUMMYFUNCTION("""COMPUTED_VALUE"""),44953.0)</f>
        <v>44953</v>
      </c>
      <c r="C2100" s="13">
        <f>IFERROR(__xludf.DUMMYFUNCTION("""COMPUTED_VALUE"""),0.4583333333333333)</f>
        <v>0.4583333333</v>
      </c>
      <c r="D2100" s="8">
        <f>IFERROR(__xludf.DUMMYFUNCTION("""COMPUTED_VALUE"""),0.043)</f>
        <v>0.043</v>
      </c>
      <c r="E2100" s="8" t="str">
        <f>IFERROR(__xludf.DUMMYFUNCTION("""COMPUTED_VALUE"""),"Real")</f>
        <v>Real</v>
      </c>
      <c r="G2100" s="8">
        <f t="shared" si="1"/>
        <v>1</v>
      </c>
      <c r="H2100" s="14">
        <f t="shared" si="2"/>
        <v>27</v>
      </c>
      <c r="I2100" s="15">
        <f t="shared" si="3"/>
        <v>11</v>
      </c>
    </row>
    <row r="2101">
      <c r="A2101" s="8" t="str">
        <f>IFERROR(__xludf.DUMMYFUNCTION("IF('(INGESTA)Datos_consumo_datadis'!A2101&lt;&gt;"""",SPLIT('(INGESTA)Datos_consumo_datadis'!A:A,"",""),"""")"),"ES0031408323131005HX0F")</f>
        <v>ES0031408323131005HX0F</v>
      </c>
      <c r="B2101" s="12">
        <f>IFERROR(__xludf.DUMMYFUNCTION("""COMPUTED_VALUE"""),44953.0)</f>
        <v>44953</v>
      </c>
      <c r="C2101" s="13">
        <f>IFERROR(__xludf.DUMMYFUNCTION("""COMPUTED_VALUE"""),0.5)</f>
        <v>0.5</v>
      </c>
      <c r="D2101" s="8">
        <f>IFERROR(__xludf.DUMMYFUNCTION("""COMPUTED_VALUE"""),0.016)</f>
        <v>0.016</v>
      </c>
      <c r="E2101" s="8" t="str">
        <f>IFERROR(__xludf.DUMMYFUNCTION("""COMPUTED_VALUE"""),"Real")</f>
        <v>Real</v>
      </c>
      <c r="G2101" s="8">
        <f t="shared" si="1"/>
        <v>1</v>
      </c>
      <c r="H2101" s="14">
        <f t="shared" si="2"/>
        <v>27</v>
      </c>
      <c r="I2101" s="15">
        <f t="shared" si="3"/>
        <v>12</v>
      </c>
    </row>
    <row r="2102">
      <c r="A2102" s="8" t="str">
        <f>IFERROR(__xludf.DUMMYFUNCTION("IF('(INGESTA)Datos_consumo_datadis'!A2102&lt;&gt;"""",SPLIT('(INGESTA)Datos_consumo_datadis'!A:A,"",""),"""")"),"ES0031408323131005HX0F")</f>
        <v>ES0031408323131005HX0F</v>
      </c>
      <c r="B2102" s="12">
        <f>IFERROR(__xludf.DUMMYFUNCTION("""COMPUTED_VALUE"""),44953.0)</f>
        <v>44953</v>
      </c>
      <c r="C2102" s="13">
        <f>IFERROR(__xludf.DUMMYFUNCTION("""COMPUTED_VALUE"""),0.5416666666666666)</f>
        <v>0.5416666667</v>
      </c>
      <c r="D2102" s="8">
        <f>IFERROR(__xludf.DUMMYFUNCTION("""COMPUTED_VALUE"""),0.079)</f>
        <v>0.079</v>
      </c>
      <c r="E2102" s="8" t="str">
        <f>IFERROR(__xludf.DUMMYFUNCTION("""COMPUTED_VALUE"""),"Real")</f>
        <v>Real</v>
      </c>
      <c r="G2102" s="8">
        <f t="shared" si="1"/>
        <v>1</v>
      </c>
      <c r="H2102" s="14">
        <f t="shared" si="2"/>
        <v>27</v>
      </c>
      <c r="I2102" s="15">
        <f t="shared" si="3"/>
        <v>13</v>
      </c>
    </row>
    <row r="2103">
      <c r="A2103" s="8" t="str">
        <f>IFERROR(__xludf.DUMMYFUNCTION("IF('(INGESTA)Datos_consumo_datadis'!A2103&lt;&gt;"""",SPLIT('(INGESTA)Datos_consumo_datadis'!A:A,"",""),"""")"),"ES0031408323131005HX0F")</f>
        <v>ES0031408323131005HX0F</v>
      </c>
      <c r="B2103" s="12">
        <f>IFERROR(__xludf.DUMMYFUNCTION("""COMPUTED_VALUE"""),44953.0)</f>
        <v>44953</v>
      </c>
      <c r="C2103" s="13">
        <f>IFERROR(__xludf.DUMMYFUNCTION("""COMPUTED_VALUE"""),0.5833333333333334)</f>
        <v>0.5833333333</v>
      </c>
      <c r="D2103" s="8">
        <f>IFERROR(__xludf.DUMMYFUNCTION("""COMPUTED_VALUE"""),0.047)</f>
        <v>0.047</v>
      </c>
      <c r="E2103" s="8" t="str">
        <f>IFERROR(__xludf.DUMMYFUNCTION("""COMPUTED_VALUE"""),"Real")</f>
        <v>Real</v>
      </c>
      <c r="G2103" s="8">
        <f t="shared" si="1"/>
        <v>1</v>
      </c>
      <c r="H2103" s="14">
        <f t="shared" si="2"/>
        <v>27</v>
      </c>
      <c r="I2103" s="15">
        <f t="shared" si="3"/>
        <v>14</v>
      </c>
    </row>
    <row r="2104">
      <c r="A2104" s="8" t="str">
        <f>IFERROR(__xludf.DUMMYFUNCTION("IF('(INGESTA)Datos_consumo_datadis'!A2104&lt;&gt;"""",SPLIT('(INGESTA)Datos_consumo_datadis'!A:A,"",""),"""")"),"ES0031408323131005HX0F")</f>
        <v>ES0031408323131005HX0F</v>
      </c>
      <c r="B2104" s="12">
        <f>IFERROR(__xludf.DUMMYFUNCTION("""COMPUTED_VALUE"""),44953.0)</f>
        <v>44953</v>
      </c>
      <c r="C2104" s="13">
        <f>IFERROR(__xludf.DUMMYFUNCTION("""COMPUTED_VALUE"""),0.625)</f>
        <v>0.625</v>
      </c>
      <c r="D2104" s="8">
        <f>IFERROR(__xludf.DUMMYFUNCTION("""COMPUTED_VALUE"""),0.016)</f>
        <v>0.016</v>
      </c>
      <c r="E2104" s="8" t="str">
        <f>IFERROR(__xludf.DUMMYFUNCTION("""COMPUTED_VALUE"""),"Real")</f>
        <v>Real</v>
      </c>
      <c r="G2104" s="8">
        <f t="shared" si="1"/>
        <v>1</v>
      </c>
      <c r="H2104" s="14">
        <f t="shared" si="2"/>
        <v>27</v>
      </c>
      <c r="I2104" s="15">
        <f t="shared" si="3"/>
        <v>15</v>
      </c>
    </row>
    <row r="2105">
      <c r="A2105" s="8" t="str">
        <f>IFERROR(__xludf.DUMMYFUNCTION("IF('(INGESTA)Datos_consumo_datadis'!A2105&lt;&gt;"""",SPLIT('(INGESTA)Datos_consumo_datadis'!A:A,"",""),"""")"),"ES0031408323131005HX0F")</f>
        <v>ES0031408323131005HX0F</v>
      </c>
      <c r="B2105" s="12">
        <f>IFERROR(__xludf.DUMMYFUNCTION("""COMPUTED_VALUE"""),44953.0)</f>
        <v>44953</v>
      </c>
      <c r="C2105" s="13">
        <f>IFERROR(__xludf.DUMMYFUNCTION("""COMPUTED_VALUE"""),0.6666666666666666)</f>
        <v>0.6666666667</v>
      </c>
      <c r="D2105" s="8">
        <f>IFERROR(__xludf.DUMMYFUNCTION("""COMPUTED_VALUE"""),0.344)</f>
        <v>0.344</v>
      </c>
      <c r="E2105" s="8" t="str">
        <f>IFERROR(__xludf.DUMMYFUNCTION("""COMPUTED_VALUE"""),"Real")</f>
        <v>Real</v>
      </c>
      <c r="G2105" s="8">
        <f t="shared" si="1"/>
        <v>1</v>
      </c>
      <c r="H2105" s="14">
        <f t="shared" si="2"/>
        <v>27</v>
      </c>
      <c r="I2105" s="15">
        <f t="shared" si="3"/>
        <v>16</v>
      </c>
    </row>
    <row r="2106">
      <c r="A2106" s="8" t="str">
        <f>IFERROR(__xludf.DUMMYFUNCTION("IF('(INGESTA)Datos_consumo_datadis'!A2106&lt;&gt;"""",SPLIT('(INGESTA)Datos_consumo_datadis'!A:A,"",""),"""")"),"ES0031408323131005HX0F")</f>
        <v>ES0031408323131005HX0F</v>
      </c>
      <c r="B2106" s="12">
        <f>IFERROR(__xludf.DUMMYFUNCTION("""COMPUTED_VALUE"""),44953.0)</f>
        <v>44953</v>
      </c>
      <c r="C2106" s="13">
        <f>IFERROR(__xludf.DUMMYFUNCTION("""COMPUTED_VALUE"""),0.7083333333333334)</f>
        <v>0.7083333333</v>
      </c>
      <c r="D2106" s="8">
        <f>IFERROR(__xludf.DUMMYFUNCTION("""COMPUTED_VALUE"""),0.061)</f>
        <v>0.061</v>
      </c>
      <c r="E2106" s="8" t="str">
        <f>IFERROR(__xludf.DUMMYFUNCTION("""COMPUTED_VALUE"""),"Real")</f>
        <v>Real</v>
      </c>
      <c r="G2106" s="8">
        <f t="shared" si="1"/>
        <v>1</v>
      </c>
      <c r="H2106" s="14">
        <f t="shared" si="2"/>
        <v>27</v>
      </c>
      <c r="I2106" s="15">
        <f t="shared" si="3"/>
        <v>17</v>
      </c>
    </row>
    <row r="2107">
      <c r="A2107" s="8" t="str">
        <f>IFERROR(__xludf.DUMMYFUNCTION("IF('(INGESTA)Datos_consumo_datadis'!A2107&lt;&gt;"""",SPLIT('(INGESTA)Datos_consumo_datadis'!A:A,"",""),"""")"),"ES0031408323131005HX0F")</f>
        <v>ES0031408323131005HX0F</v>
      </c>
      <c r="B2107" s="12">
        <f>IFERROR(__xludf.DUMMYFUNCTION("""COMPUTED_VALUE"""),44953.0)</f>
        <v>44953</v>
      </c>
      <c r="C2107" s="13">
        <f>IFERROR(__xludf.DUMMYFUNCTION("""COMPUTED_VALUE"""),0.75)</f>
        <v>0.75</v>
      </c>
      <c r="D2107" s="8">
        <f>IFERROR(__xludf.DUMMYFUNCTION("""COMPUTED_VALUE"""),0.041)</f>
        <v>0.041</v>
      </c>
      <c r="E2107" s="8" t="str">
        <f>IFERROR(__xludf.DUMMYFUNCTION("""COMPUTED_VALUE"""),"Real")</f>
        <v>Real</v>
      </c>
      <c r="G2107" s="8">
        <f t="shared" si="1"/>
        <v>1</v>
      </c>
      <c r="H2107" s="14">
        <f t="shared" si="2"/>
        <v>27</v>
      </c>
      <c r="I2107" s="15">
        <f t="shared" si="3"/>
        <v>18</v>
      </c>
    </row>
    <row r="2108">
      <c r="A2108" s="8" t="str">
        <f>IFERROR(__xludf.DUMMYFUNCTION("IF('(INGESTA)Datos_consumo_datadis'!A2108&lt;&gt;"""",SPLIT('(INGESTA)Datos_consumo_datadis'!A:A,"",""),"""")"),"ES0031408323131005HX0F")</f>
        <v>ES0031408323131005HX0F</v>
      </c>
      <c r="B2108" s="12">
        <f>IFERROR(__xludf.DUMMYFUNCTION("""COMPUTED_VALUE"""),44953.0)</f>
        <v>44953</v>
      </c>
      <c r="C2108" s="13">
        <f>IFERROR(__xludf.DUMMYFUNCTION("""COMPUTED_VALUE"""),0.7916666666666666)</f>
        <v>0.7916666667</v>
      </c>
      <c r="D2108" s="8">
        <f>IFERROR(__xludf.DUMMYFUNCTION("""COMPUTED_VALUE"""),0.016)</f>
        <v>0.016</v>
      </c>
      <c r="E2108" s="8" t="str">
        <f>IFERROR(__xludf.DUMMYFUNCTION("""COMPUTED_VALUE"""),"Real")</f>
        <v>Real</v>
      </c>
      <c r="G2108" s="8">
        <f t="shared" si="1"/>
        <v>1</v>
      </c>
      <c r="H2108" s="14">
        <f t="shared" si="2"/>
        <v>27</v>
      </c>
      <c r="I2108" s="15">
        <f t="shared" si="3"/>
        <v>19</v>
      </c>
    </row>
    <row r="2109">
      <c r="A2109" s="8" t="str">
        <f>IFERROR(__xludf.DUMMYFUNCTION("IF('(INGESTA)Datos_consumo_datadis'!A2109&lt;&gt;"""",SPLIT('(INGESTA)Datos_consumo_datadis'!A:A,"",""),"""")"),"ES0031408323131005HX0F")</f>
        <v>ES0031408323131005HX0F</v>
      </c>
      <c r="B2109" s="12">
        <f>IFERROR(__xludf.DUMMYFUNCTION("""COMPUTED_VALUE"""),44953.0)</f>
        <v>44953</v>
      </c>
      <c r="C2109" s="13">
        <f>IFERROR(__xludf.DUMMYFUNCTION("""COMPUTED_VALUE"""),0.8333333333333334)</f>
        <v>0.8333333333</v>
      </c>
      <c r="D2109" s="8">
        <f>IFERROR(__xludf.DUMMYFUNCTION("""COMPUTED_VALUE"""),0.079)</f>
        <v>0.079</v>
      </c>
      <c r="E2109" s="8" t="str">
        <f>IFERROR(__xludf.DUMMYFUNCTION("""COMPUTED_VALUE"""),"Real")</f>
        <v>Real</v>
      </c>
      <c r="G2109" s="8">
        <f t="shared" si="1"/>
        <v>1</v>
      </c>
      <c r="H2109" s="14">
        <f t="shared" si="2"/>
        <v>27</v>
      </c>
      <c r="I2109" s="15">
        <f t="shared" si="3"/>
        <v>20</v>
      </c>
    </row>
    <row r="2110">
      <c r="A2110" s="8" t="str">
        <f>IFERROR(__xludf.DUMMYFUNCTION("IF('(INGESTA)Datos_consumo_datadis'!A2110&lt;&gt;"""",SPLIT('(INGESTA)Datos_consumo_datadis'!A:A,"",""),"""")"),"ES0031408323131005HX0F")</f>
        <v>ES0031408323131005HX0F</v>
      </c>
      <c r="B2110" s="12">
        <f>IFERROR(__xludf.DUMMYFUNCTION("""COMPUTED_VALUE"""),44953.0)</f>
        <v>44953</v>
      </c>
      <c r="C2110" s="13">
        <f>IFERROR(__xludf.DUMMYFUNCTION("""COMPUTED_VALUE"""),0.875)</f>
        <v>0.875</v>
      </c>
      <c r="D2110" s="8">
        <f>IFERROR(__xludf.DUMMYFUNCTION("""COMPUTED_VALUE"""),0.654)</f>
        <v>0.654</v>
      </c>
      <c r="E2110" s="8" t="str">
        <f>IFERROR(__xludf.DUMMYFUNCTION("""COMPUTED_VALUE"""),"Real")</f>
        <v>Real</v>
      </c>
      <c r="G2110" s="8">
        <f t="shared" si="1"/>
        <v>1</v>
      </c>
      <c r="H2110" s="14">
        <f t="shared" si="2"/>
        <v>27</v>
      </c>
      <c r="I2110" s="15">
        <f t="shared" si="3"/>
        <v>21</v>
      </c>
    </row>
    <row r="2111">
      <c r="A2111" s="8" t="str">
        <f>IFERROR(__xludf.DUMMYFUNCTION("IF('(INGESTA)Datos_consumo_datadis'!A2111&lt;&gt;"""",SPLIT('(INGESTA)Datos_consumo_datadis'!A:A,"",""),"""")"),"ES0031408323131005HX0F")</f>
        <v>ES0031408323131005HX0F</v>
      </c>
      <c r="B2111" s="12">
        <f>IFERROR(__xludf.DUMMYFUNCTION("""COMPUTED_VALUE"""),44953.0)</f>
        <v>44953</v>
      </c>
      <c r="C2111" s="13">
        <f>IFERROR(__xludf.DUMMYFUNCTION("""COMPUTED_VALUE"""),0.9166666666666666)</f>
        <v>0.9166666667</v>
      </c>
      <c r="D2111" s="8">
        <f>IFERROR(__xludf.DUMMYFUNCTION("""COMPUTED_VALUE"""),2.88)</f>
        <v>2.88</v>
      </c>
      <c r="E2111" s="8" t="str">
        <f>IFERROR(__xludf.DUMMYFUNCTION("""COMPUTED_VALUE"""),"Real")</f>
        <v>Real</v>
      </c>
      <c r="G2111" s="8">
        <f t="shared" si="1"/>
        <v>1</v>
      </c>
      <c r="H2111" s="14">
        <f t="shared" si="2"/>
        <v>27</v>
      </c>
      <c r="I2111" s="15">
        <f t="shared" si="3"/>
        <v>22</v>
      </c>
    </row>
    <row r="2112">
      <c r="A2112" s="8" t="str">
        <f>IFERROR(__xludf.DUMMYFUNCTION("IF('(INGESTA)Datos_consumo_datadis'!A2112&lt;&gt;"""",SPLIT('(INGESTA)Datos_consumo_datadis'!A:A,"",""),"""")"),"ES0031408323131005HX0F")</f>
        <v>ES0031408323131005HX0F</v>
      </c>
      <c r="B2112" s="12">
        <f>IFERROR(__xludf.DUMMYFUNCTION("""COMPUTED_VALUE"""),44953.0)</f>
        <v>44953</v>
      </c>
      <c r="C2112" s="13">
        <f>IFERROR(__xludf.DUMMYFUNCTION("""COMPUTED_VALUE"""),0.9583333333333334)</f>
        <v>0.9583333333</v>
      </c>
      <c r="D2112" s="8">
        <f>IFERROR(__xludf.DUMMYFUNCTION("""COMPUTED_VALUE"""),2.859)</f>
        <v>2.859</v>
      </c>
      <c r="E2112" s="8" t="str">
        <f>IFERROR(__xludf.DUMMYFUNCTION("""COMPUTED_VALUE"""),"Real")</f>
        <v>Real</v>
      </c>
      <c r="G2112" s="8">
        <f t="shared" si="1"/>
        <v>1</v>
      </c>
      <c r="H2112" s="14">
        <f t="shared" si="2"/>
        <v>27</v>
      </c>
      <c r="I2112" s="15">
        <f t="shared" si="3"/>
        <v>23</v>
      </c>
    </row>
    <row r="2113">
      <c r="A2113" s="8" t="str">
        <f>IFERROR(__xludf.DUMMYFUNCTION("IF('(INGESTA)Datos_consumo_datadis'!A2113&lt;&gt;"""",SPLIT('(INGESTA)Datos_consumo_datadis'!A:A,"",""),"""")"),"ES0031408323131005HX0F")</f>
        <v>ES0031408323131005HX0F</v>
      </c>
      <c r="B2113" s="12">
        <f>IFERROR(__xludf.DUMMYFUNCTION("""COMPUTED_VALUE"""),44953.0)</f>
        <v>44953</v>
      </c>
      <c r="C2113" s="16">
        <f>IFERROR(__xludf.DUMMYFUNCTION("""COMPUTED_VALUE"""),1.0)</f>
        <v>1</v>
      </c>
      <c r="D2113" s="8">
        <f>IFERROR(__xludf.DUMMYFUNCTION("""COMPUTED_VALUE"""),2.59)</f>
        <v>2.59</v>
      </c>
      <c r="E2113" s="8" t="str">
        <f>IFERROR(__xludf.DUMMYFUNCTION("""COMPUTED_VALUE"""),"Real")</f>
        <v>Real</v>
      </c>
      <c r="G2113" s="8">
        <f t="shared" si="1"/>
        <v>1</v>
      </c>
      <c r="H2113" s="14">
        <f t="shared" si="2"/>
        <v>27</v>
      </c>
      <c r="I2113" s="15">
        <f t="shared" si="3"/>
        <v>0</v>
      </c>
    </row>
    <row r="2114">
      <c r="A2114" s="8" t="str">
        <f>IFERROR(__xludf.DUMMYFUNCTION("IF('(INGESTA)Datos_consumo_datadis'!A2114&lt;&gt;"""",SPLIT('(INGESTA)Datos_consumo_datadis'!A:A,"",""),"""")"),"ES0031408323131005HX0F")</f>
        <v>ES0031408323131005HX0F</v>
      </c>
      <c r="B2114" s="12">
        <f>IFERROR(__xludf.DUMMYFUNCTION("""COMPUTED_VALUE"""),44954.0)</f>
        <v>44954</v>
      </c>
      <c r="C2114" s="13">
        <f>IFERROR(__xludf.DUMMYFUNCTION("""COMPUTED_VALUE"""),0.041666666666666664)</f>
        <v>0.04166666667</v>
      </c>
      <c r="D2114" s="8">
        <f>IFERROR(__xludf.DUMMYFUNCTION("""COMPUTED_VALUE"""),1.498)</f>
        <v>1.498</v>
      </c>
      <c r="E2114" s="8" t="str">
        <f>IFERROR(__xludf.DUMMYFUNCTION("""COMPUTED_VALUE"""),"Real")</f>
        <v>Real</v>
      </c>
      <c r="G2114" s="8">
        <f t="shared" si="1"/>
        <v>1</v>
      </c>
      <c r="H2114" s="14">
        <f t="shared" si="2"/>
        <v>28</v>
      </c>
      <c r="I2114" s="15">
        <f t="shared" si="3"/>
        <v>1</v>
      </c>
    </row>
    <row r="2115">
      <c r="A2115" s="8" t="str">
        <f>IFERROR(__xludf.DUMMYFUNCTION("IF('(INGESTA)Datos_consumo_datadis'!A2115&lt;&gt;"""",SPLIT('(INGESTA)Datos_consumo_datadis'!A:A,"",""),"""")"),"ES0031408323131005HX0F")</f>
        <v>ES0031408323131005HX0F</v>
      </c>
      <c r="B2115" s="12">
        <f>IFERROR(__xludf.DUMMYFUNCTION("""COMPUTED_VALUE"""),44954.0)</f>
        <v>44954</v>
      </c>
      <c r="C2115" s="13">
        <f>IFERROR(__xludf.DUMMYFUNCTION("""COMPUTED_VALUE"""),0.08333333333333333)</f>
        <v>0.08333333333</v>
      </c>
      <c r="D2115" s="8">
        <f>IFERROR(__xludf.DUMMYFUNCTION("""COMPUTED_VALUE"""),1.548)</f>
        <v>1.548</v>
      </c>
      <c r="E2115" s="8" t="str">
        <f>IFERROR(__xludf.DUMMYFUNCTION("""COMPUTED_VALUE"""),"Real")</f>
        <v>Real</v>
      </c>
      <c r="G2115" s="8">
        <f t="shared" si="1"/>
        <v>1</v>
      </c>
      <c r="H2115" s="14">
        <f t="shared" si="2"/>
        <v>28</v>
      </c>
      <c r="I2115" s="15">
        <f t="shared" si="3"/>
        <v>2</v>
      </c>
    </row>
    <row r="2116">
      <c r="A2116" s="8" t="str">
        <f>IFERROR(__xludf.DUMMYFUNCTION("IF('(INGESTA)Datos_consumo_datadis'!A2116&lt;&gt;"""",SPLIT('(INGESTA)Datos_consumo_datadis'!A:A,"",""),"""")"),"ES0031408323131005HX0F")</f>
        <v>ES0031408323131005HX0F</v>
      </c>
      <c r="B2116" s="12">
        <f>IFERROR(__xludf.DUMMYFUNCTION("""COMPUTED_VALUE"""),44954.0)</f>
        <v>44954</v>
      </c>
      <c r="C2116" s="13">
        <f>IFERROR(__xludf.DUMMYFUNCTION("""COMPUTED_VALUE"""),0.125)</f>
        <v>0.125</v>
      </c>
      <c r="D2116" s="8">
        <f>IFERROR(__xludf.DUMMYFUNCTION("""COMPUTED_VALUE"""),1.512)</f>
        <v>1.512</v>
      </c>
      <c r="E2116" s="8" t="str">
        <f>IFERROR(__xludf.DUMMYFUNCTION("""COMPUTED_VALUE"""),"Real")</f>
        <v>Real</v>
      </c>
      <c r="G2116" s="8">
        <f t="shared" si="1"/>
        <v>1</v>
      </c>
      <c r="H2116" s="14">
        <f t="shared" si="2"/>
        <v>28</v>
      </c>
      <c r="I2116" s="15">
        <f t="shared" si="3"/>
        <v>3</v>
      </c>
    </row>
    <row r="2117">
      <c r="A2117" s="8" t="str">
        <f>IFERROR(__xludf.DUMMYFUNCTION("IF('(INGESTA)Datos_consumo_datadis'!A2117&lt;&gt;"""",SPLIT('(INGESTA)Datos_consumo_datadis'!A:A,"",""),"""")"),"ES0031408323131005HX0F")</f>
        <v>ES0031408323131005HX0F</v>
      </c>
      <c r="B2117" s="12">
        <f>IFERROR(__xludf.DUMMYFUNCTION("""COMPUTED_VALUE"""),44954.0)</f>
        <v>44954</v>
      </c>
      <c r="C2117" s="13">
        <f>IFERROR(__xludf.DUMMYFUNCTION("""COMPUTED_VALUE"""),0.16666666666666666)</f>
        <v>0.1666666667</v>
      </c>
      <c r="D2117" s="8">
        <f>IFERROR(__xludf.DUMMYFUNCTION("""COMPUTED_VALUE"""),1.805)</f>
        <v>1.805</v>
      </c>
      <c r="E2117" s="8" t="str">
        <f>IFERROR(__xludf.DUMMYFUNCTION("""COMPUTED_VALUE"""),"Real")</f>
        <v>Real</v>
      </c>
      <c r="G2117" s="8">
        <f t="shared" si="1"/>
        <v>1</v>
      </c>
      <c r="H2117" s="14">
        <f t="shared" si="2"/>
        <v>28</v>
      </c>
      <c r="I2117" s="15">
        <f t="shared" si="3"/>
        <v>4</v>
      </c>
    </row>
    <row r="2118">
      <c r="A2118" s="8" t="str">
        <f>IFERROR(__xludf.DUMMYFUNCTION("IF('(INGESTA)Datos_consumo_datadis'!A2118&lt;&gt;"""",SPLIT('(INGESTA)Datos_consumo_datadis'!A:A,"",""),"""")"),"ES0031408323131005HX0F")</f>
        <v>ES0031408323131005HX0F</v>
      </c>
      <c r="B2118" s="12">
        <f>IFERROR(__xludf.DUMMYFUNCTION("""COMPUTED_VALUE"""),44954.0)</f>
        <v>44954</v>
      </c>
      <c r="C2118" s="13">
        <f>IFERROR(__xludf.DUMMYFUNCTION("""COMPUTED_VALUE"""),0.20833333333333334)</f>
        <v>0.2083333333</v>
      </c>
      <c r="D2118" s="8">
        <f>IFERROR(__xludf.DUMMYFUNCTION("""COMPUTED_VALUE"""),1.482)</f>
        <v>1.482</v>
      </c>
      <c r="E2118" s="8" t="str">
        <f>IFERROR(__xludf.DUMMYFUNCTION("""COMPUTED_VALUE"""),"Real")</f>
        <v>Real</v>
      </c>
      <c r="G2118" s="8">
        <f t="shared" si="1"/>
        <v>1</v>
      </c>
      <c r="H2118" s="14">
        <f t="shared" si="2"/>
        <v>28</v>
      </c>
      <c r="I2118" s="15">
        <f t="shared" si="3"/>
        <v>5</v>
      </c>
    </row>
    <row r="2119">
      <c r="A2119" s="8" t="str">
        <f>IFERROR(__xludf.DUMMYFUNCTION("IF('(INGESTA)Datos_consumo_datadis'!A2119&lt;&gt;"""",SPLIT('(INGESTA)Datos_consumo_datadis'!A:A,"",""),"""")"),"ES0031408323131005HX0F")</f>
        <v>ES0031408323131005HX0F</v>
      </c>
      <c r="B2119" s="12">
        <f>IFERROR(__xludf.DUMMYFUNCTION("""COMPUTED_VALUE"""),44954.0)</f>
        <v>44954</v>
      </c>
      <c r="C2119" s="13">
        <f>IFERROR(__xludf.DUMMYFUNCTION("""COMPUTED_VALUE"""),0.25)</f>
        <v>0.25</v>
      </c>
      <c r="D2119" s="8">
        <f>IFERROR(__xludf.DUMMYFUNCTION("""COMPUTED_VALUE"""),1.559)</f>
        <v>1.559</v>
      </c>
      <c r="E2119" s="8" t="str">
        <f>IFERROR(__xludf.DUMMYFUNCTION("""COMPUTED_VALUE"""),"Real")</f>
        <v>Real</v>
      </c>
      <c r="G2119" s="8">
        <f t="shared" si="1"/>
        <v>1</v>
      </c>
      <c r="H2119" s="14">
        <f t="shared" si="2"/>
        <v>28</v>
      </c>
      <c r="I2119" s="15">
        <f t="shared" si="3"/>
        <v>6</v>
      </c>
    </row>
    <row r="2120">
      <c r="A2120" s="8" t="str">
        <f>IFERROR(__xludf.DUMMYFUNCTION("IF('(INGESTA)Datos_consumo_datadis'!A2120&lt;&gt;"""",SPLIT('(INGESTA)Datos_consumo_datadis'!A:A,"",""),"""")"),"ES0031408323131005HX0F")</f>
        <v>ES0031408323131005HX0F</v>
      </c>
      <c r="B2120" s="12">
        <f>IFERROR(__xludf.DUMMYFUNCTION("""COMPUTED_VALUE"""),44954.0)</f>
        <v>44954</v>
      </c>
      <c r="C2120" s="13">
        <f>IFERROR(__xludf.DUMMYFUNCTION("""COMPUTED_VALUE"""),0.2916666666666667)</f>
        <v>0.2916666667</v>
      </c>
      <c r="D2120" s="8">
        <f>IFERROR(__xludf.DUMMYFUNCTION("""COMPUTED_VALUE"""),1.576)</f>
        <v>1.576</v>
      </c>
      <c r="E2120" s="8" t="str">
        <f>IFERROR(__xludf.DUMMYFUNCTION("""COMPUTED_VALUE"""),"Real")</f>
        <v>Real</v>
      </c>
      <c r="G2120" s="8">
        <f t="shared" si="1"/>
        <v>1</v>
      </c>
      <c r="H2120" s="14">
        <f t="shared" si="2"/>
        <v>28</v>
      </c>
      <c r="I2120" s="15">
        <f t="shared" si="3"/>
        <v>7</v>
      </c>
    </row>
    <row r="2121">
      <c r="A2121" s="8" t="str">
        <f>IFERROR(__xludf.DUMMYFUNCTION("IF('(INGESTA)Datos_consumo_datadis'!A2121&lt;&gt;"""",SPLIT('(INGESTA)Datos_consumo_datadis'!A:A,"",""),"""")"),"ES0031408323131005HX0F")</f>
        <v>ES0031408323131005HX0F</v>
      </c>
      <c r="B2121" s="12">
        <f>IFERROR(__xludf.DUMMYFUNCTION("""COMPUTED_VALUE"""),44954.0)</f>
        <v>44954</v>
      </c>
      <c r="C2121" s="13">
        <f>IFERROR(__xludf.DUMMYFUNCTION("""COMPUTED_VALUE"""),0.3333333333333333)</f>
        <v>0.3333333333</v>
      </c>
      <c r="D2121" s="8">
        <f>IFERROR(__xludf.DUMMYFUNCTION("""COMPUTED_VALUE"""),1.949)</f>
        <v>1.949</v>
      </c>
      <c r="E2121" s="8" t="str">
        <f>IFERROR(__xludf.DUMMYFUNCTION("""COMPUTED_VALUE"""),"Real")</f>
        <v>Real</v>
      </c>
      <c r="G2121" s="8">
        <f t="shared" si="1"/>
        <v>1</v>
      </c>
      <c r="H2121" s="14">
        <f t="shared" si="2"/>
        <v>28</v>
      </c>
      <c r="I2121" s="15">
        <f t="shared" si="3"/>
        <v>8</v>
      </c>
    </row>
    <row r="2122">
      <c r="A2122" s="8" t="str">
        <f>IFERROR(__xludf.DUMMYFUNCTION("IF('(INGESTA)Datos_consumo_datadis'!A2122&lt;&gt;"""",SPLIT('(INGESTA)Datos_consumo_datadis'!A:A,"",""),"""")"),"ES0031408323131005HX0F")</f>
        <v>ES0031408323131005HX0F</v>
      </c>
      <c r="B2122" s="12">
        <f>IFERROR(__xludf.DUMMYFUNCTION("""COMPUTED_VALUE"""),44954.0)</f>
        <v>44954</v>
      </c>
      <c r="C2122" s="13">
        <f>IFERROR(__xludf.DUMMYFUNCTION("""COMPUTED_VALUE"""),0.375)</f>
        <v>0.375</v>
      </c>
      <c r="D2122" s="8">
        <f>IFERROR(__xludf.DUMMYFUNCTION("""COMPUTED_VALUE"""),1.641)</f>
        <v>1.641</v>
      </c>
      <c r="E2122" s="8" t="str">
        <f>IFERROR(__xludf.DUMMYFUNCTION("""COMPUTED_VALUE"""),"Real")</f>
        <v>Real</v>
      </c>
      <c r="G2122" s="8">
        <f t="shared" si="1"/>
        <v>1</v>
      </c>
      <c r="H2122" s="14">
        <f t="shared" si="2"/>
        <v>28</v>
      </c>
      <c r="I2122" s="15">
        <f t="shared" si="3"/>
        <v>9</v>
      </c>
    </row>
    <row r="2123">
      <c r="A2123" s="8" t="str">
        <f>IFERROR(__xludf.DUMMYFUNCTION("IF('(INGESTA)Datos_consumo_datadis'!A2123&lt;&gt;"""",SPLIT('(INGESTA)Datos_consumo_datadis'!A:A,"",""),"""")"),"ES0031408323131005HX0F")</f>
        <v>ES0031408323131005HX0F</v>
      </c>
      <c r="B2123" s="12">
        <f>IFERROR(__xludf.DUMMYFUNCTION("""COMPUTED_VALUE"""),44954.0)</f>
        <v>44954</v>
      </c>
      <c r="C2123" s="13">
        <f>IFERROR(__xludf.DUMMYFUNCTION("""COMPUTED_VALUE"""),0.4166666666666667)</f>
        <v>0.4166666667</v>
      </c>
      <c r="D2123" s="8">
        <f>IFERROR(__xludf.DUMMYFUNCTION("""COMPUTED_VALUE"""),1.612)</f>
        <v>1.612</v>
      </c>
      <c r="E2123" s="8" t="str">
        <f>IFERROR(__xludf.DUMMYFUNCTION("""COMPUTED_VALUE"""),"Real")</f>
        <v>Real</v>
      </c>
      <c r="G2123" s="8">
        <f t="shared" si="1"/>
        <v>1</v>
      </c>
      <c r="H2123" s="14">
        <f t="shared" si="2"/>
        <v>28</v>
      </c>
      <c r="I2123" s="15">
        <f t="shared" si="3"/>
        <v>10</v>
      </c>
    </row>
    <row r="2124">
      <c r="A2124" s="8" t="str">
        <f>IFERROR(__xludf.DUMMYFUNCTION("IF('(INGESTA)Datos_consumo_datadis'!A2124&lt;&gt;"""",SPLIT('(INGESTA)Datos_consumo_datadis'!A:A,"",""),"""")"),"ES0031408323131005HX0F")</f>
        <v>ES0031408323131005HX0F</v>
      </c>
      <c r="B2124" s="12">
        <f>IFERROR(__xludf.DUMMYFUNCTION("""COMPUTED_VALUE"""),44954.0)</f>
        <v>44954</v>
      </c>
      <c r="C2124" s="13">
        <f>IFERROR(__xludf.DUMMYFUNCTION("""COMPUTED_VALUE"""),0.4583333333333333)</f>
        <v>0.4583333333</v>
      </c>
      <c r="D2124" s="8">
        <f>IFERROR(__xludf.DUMMYFUNCTION("""COMPUTED_VALUE"""),1.797)</f>
        <v>1.797</v>
      </c>
      <c r="E2124" s="8" t="str">
        <f>IFERROR(__xludf.DUMMYFUNCTION("""COMPUTED_VALUE"""),"Real")</f>
        <v>Real</v>
      </c>
      <c r="G2124" s="8">
        <f t="shared" si="1"/>
        <v>1</v>
      </c>
      <c r="H2124" s="14">
        <f t="shared" si="2"/>
        <v>28</v>
      </c>
      <c r="I2124" s="15">
        <f t="shared" si="3"/>
        <v>11</v>
      </c>
    </row>
    <row r="2125">
      <c r="A2125" s="8" t="str">
        <f>IFERROR(__xludf.DUMMYFUNCTION("IF('(INGESTA)Datos_consumo_datadis'!A2125&lt;&gt;"""",SPLIT('(INGESTA)Datos_consumo_datadis'!A:A,"",""),"""")"),"ES0031408323131005HX0F")</f>
        <v>ES0031408323131005HX0F</v>
      </c>
      <c r="B2125" s="12">
        <f>IFERROR(__xludf.DUMMYFUNCTION("""COMPUTED_VALUE"""),44954.0)</f>
        <v>44954</v>
      </c>
      <c r="C2125" s="13">
        <f>IFERROR(__xludf.DUMMYFUNCTION("""COMPUTED_VALUE"""),0.5)</f>
        <v>0.5</v>
      </c>
      <c r="D2125" s="8">
        <f>IFERROR(__xludf.DUMMYFUNCTION("""COMPUTED_VALUE"""),1.032)</f>
        <v>1.032</v>
      </c>
      <c r="E2125" s="8" t="str">
        <f>IFERROR(__xludf.DUMMYFUNCTION("""COMPUTED_VALUE"""),"Real")</f>
        <v>Real</v>
      </c>
      <c r="G2125" s="8">
        <f t="shared" si="1"/>
        <v>1</v>
      </c>
      <c r="H2125" s="14">
        <f t="shared" si="2"/>
        <v>28</v>
      </c>
      <c r="I2125" s="15">
        <f t="shared" si="3"/>
        <v>12</v>
      </c>
    </row>
    <row r="2126">
      <c r="A2126" s="8" t="str">
        <f>IFERROR(__xludf.DUMMYFUNCTION("IF('(INGESTA)Datos_consumo_datadis'!A2126&lt;&gt;"""",SPLIT('(INGESTA)Datos_consumo_datadis'!A:A,"",""),"""")"),"ES0031408323131005HX0F")</f>
        <v>ES0031408323131005HX0F</v>
      </c>
      <c r="B2126" s="12">
        <f>IFERROR(__xludf.DUMMYFUNCTION("""COMPUTED_VALUE"""),44954.0)</f>
        <v>44954</v>
      </c>
      <c r="C2126" s="13">
        <f>IFERROR(__xludf.DUMMYFUNCTION("""COMPUTED_VALUE"""),0.5416666666666666)</f>
        <v>0.5416666667</v>
      </c>
      <c r="D2126" s="8">
        <f>IFERROR(__xludf.DUMMYFUNCTION("""COMPUTED_VALUE"""),0.417)</f>
        <v>0.417</v>
      </c>
      <c r="E2126" s="8" t="str">
        <f>IFERROR(__xludf.DUMMYFUNCTION("""COMPUTED_VALUE"""),"Real")</f>
        <v>Real</v>
      </c>
      <c r="G2126" s="8">
        <f t="shared" si="1"/>
        <v>1</v>
      </c>
      <c r="H2126" s="14">
        <f t="shared" si="2"/>
        <v>28</v>
      </c>
      <c r="I2126" s="15">
        <f t="shared" si="3"/>
        <v>13</v>
      </c>
    </row>
    <row r="2127">
      <c r="A2127" s="8" t="str">
        <f>IFERROR(__xludf.DUMMYFUNCTION("IF('(INGESTA)Datos_consumo_datadis'!A2127&lt;&gt;"""",SPLIT('(INGESTA)Datos_consumo_datadis'!A:A,"",""),"""")"),"ES0031408323131005HX0F")</f>
        <v>ES0031408323131005HX0F</v>
      </c>
      <c r="B2127" s="12">
        <f>IFERROR(__xludf.DUMMYFUNCTION("""COMPUTED_VALUE"""),44954.0)</f>
        <v>44954</v>
      </c>
      <c r="C2127" s="13">
        <f>IFERROR(__xludf.DUMMYFUNCTION("""COMPUTED_VALUE"""),0.5833333333333334)</f>
        <v>0.5833333333</v>
      </c>
      <c r="D2127" s="8">
        <f>IFERROR(__xludf.DUMMYFUNCTION("""COMPUTED_VALUE"""),0.04)</f>
        <v>0.04</v>
      </c>
      <c r="E2127" s="8" t="str">
        <f>IFERROR(__xludf.DUMMYFUNCTION("""COMPUTED_VALUE"""),"Real")</f>
        <v>Real</v>
      </c>
      <c r="G2127" s="8">
        <f t="shared" si="1"/>
        <v>1</v>
      </c>
      <c r="H2127" s="14">
        <f t="shared" si="2"/>
        <v>28</v>
      </c>
      <c r="I2127" s="15">
        <f t="shared" si="3"/>
        <v>14</v>
      </c>
    </row>
    <row r="2128">
      <c r="A2128" s="8" t="str">
        <f>IFERROR(__xludf.DUMMYFUNCTION("IF('(INGESTA)Datos_consumo_datadis'!A2128&lt;&gt;"""",SPLIT('(INGESTA)Datos_consumo_datadis'!A:A,"",""),"""")"),"ES0031408323131005HX0F")</f>
        <v>ES0031408323131005HX0F</v>
      </c>
      <c r="B2128" s="12">
        <f>IFERROR(__xludf.DUMMYFUNCTION("""COMPUTED_VALUE"""),44954.0)</f>
        <v>44954</v>
      </c>
      <c r="C2128" s="13">
        <f>IFERROR(__xludf.DUMMYFUNCTION("""COMPUTED_VALUE"""),0.625)</f>
        <v>0.625</v>
      </c>
      <c r="D2128" s="8">
        <f>IFERROR(__xludf.DUMMYFUNCTION("""COMPUTED_VALUE"""),0.017)</f>
        <v>0.017</v>
      </c>
      <c r="E2128" s="8" t="str">
        <f>IFERROR(__xludf.DUMMYFUNCTION("""COMPUTED_VALUE"""),"Real")</f>
        <v>Real</v>
      </c>
      <c r="G2128" s="8">
        <f t="shared" si="1"/>
        <v>1</v>
      </c>
      <c r="H2128" s="14">
        <f t="shared" si="2"/>
        <v>28</v>
      </c>
      <c r="I2128" s="15">
        <f t="shared" si="3"/>
        <v>15</v>
      </c>
    </row>
    <row r="2129">
      <c r="A2129" s="8" t="str">
        <f>IFERROR(__xludf.DUMMYFUNCTION("IF('(INGESTA)Datos_consumo_datadis'!A2129&lt;&gt;"""",SPLIT('(INGESTA)Datos_consumo_datadis'!A:A,"",""),"""")"),"ES0031408323131005HX0F")</f>
        <v>ES0031408323131005HX0F</v>
      </c>
      <c r="B2129" s="12">
        <f>IFERROR(__xludf.DUMMYFUNCTION("""COMPUTED_VALUE"""),44954.0)</f>
        <v>44954</v>
      </c>
      <c r="C2129" s="13">
        <f>IFERROR(__xludf.DUMMYFUNCTION("""COMPUTED_VALUE"""),0.6666666666666666)</f>
        <v>0.6666666667</v>
      </c>
      <c r="D2129" s="8">
        <f>IFERROR(__xludf.DUMMYFUNCTION("""COMPUTED_VALUE"""),0.06)</f>
        <v>0.06</v>
      </c>
      <c r="E2129" s="8" t="str">
        <f>IFERROR(__xludf.DUMMYFUNCTION("""COMPUTED_VALUE"""),"Real")</f>
        <v>Real</v>
      </c>
      <c r="G2129" s="8">
        <f t="shared" si="1"/>
        <v>1</v>
      </c>
      <c r="H2129" s="14">
        <f t="shared" si="2"/>
        <v>28</v>
      </c>
      <c r="I2129" s="15">
        <f t="shared" si="3"/>
        <v>16</v>
      </c>
    </row>
    <row r="2130">
      <c r="A2130" s="8" t="str">
        <f>IFERROR(__xludf.DUMMYFUNCTION("IF('(INGESTA)Datos_consumo_datadis'!A2130&lt;&gt;"""",SPLIT('(INGESTA)Datos_consumo_datadis'!A:A,"",""),"""")"),"ES0031408323131005HX0F")</f>
        <v>ES0031408323131005HX0F</v>
      </c>
      <c r="B2130" s="12">
        <f>IFERROR(__xludf.DUMMYFUNCTION("""COMPUTED_VALUE"""),44954.0)</f>
        <v>44954</v>
      </c>
      <c r="C2130" s="13">
        <f>IFERROR(__xludf.DUMMYFUNCTION("""COMPUTED_VALUE"""),0.7083333333333334)</f>
        <v>0.7083333333</v>
      </c>
      <c r="D2130" s="8">
        <f>IFERROR(__xludf.DUMMYFUNCTION("""COMPUTED_VALUE"""),0.06)</f>
        <v>0.06</v>
      </c>
      <c r="E2130" s="8" t="str">
        <f>IFERROR(__xludf.DUMMYFUNCTION("""COMPUTED_VALUE"""),"Real")</f>
        <v>Real</v>
      </c>
      <c r="G2130" s="8">
        <f t="shared" si="1"/>
        <v>1</v>
      </c>
      <c r="H2130" s="14">
        <f t="shared" si="2"/>
        <v>28</v>
      </c>
      <c r="I2130" s="15">
        <f t="shared" si="3"/>
        <v>17</v>
      </c>
    </row>
    <row r="2131">
      <c r="A2131" s="8" t="str">
        <f>IFERROR(__xludf.DUMMYFUNCTION("IF('(INGESTA)Datos_consumo_datadis'!A2131&lt;&gt;"""",SPLIT('(INGESTA)Datos_consumo_datadis'!A:A,"",""),"""")"),"ES0031408323131005HX0F")</f>
        <v>ES0031408323131005HX0F</v>
      </c>
      <c r="B2131" s="12">
        <f>IFERROR(__xludf.DUMMYFUNCTION("""COMPUTED_VALUE"""),44954.0)</f>
        <v>44954</v>
      </c>
      <c r="C2131" s="13">
        <f>IFERROR(__xludf.DUMMYFUNCTION("""COMPUTED_VALUE"""),0.75)</f>
        <v>0.75</v>
      </c>
      <c r="D2131" s="8">
        <f>IFERROR(__xludf.DUMMYFUNCTION("""COMPUTED_VALUE"""),1.15)</f>
        <v>1.15</v>
      </c>
      <c r="E2131" s="8" t="str">
        <f>IFERROR(__xludf.DUMMYFUNCTION("""COMPUTED_VALUE"""),"Real")</f>
        <v>Real</v>
      </c>
      <c r="G2131" s="8">
        <f t="shared" si="1"/>
        <v>1</v>
      </c>
      <c r="H2131" s="14">
        <f t="shared" si="2"/>
        <v>28</v>
      </c>
      <c r="I2131" s="15">
        <f t="shared" si="3"/>
        <v>18</v>
      </c>
    </row>
    <row r="2132">
      <c r="A2132" s="8" t="str">
        <f>IFERROR(__xludf.DUMMYFUNCTION("IF('(INGESTA)Datos_consumo_datadis'!A2132&lt;&gt;"""",SPLIT('(INGESTA)Datos_consumo_datadis'!A:A,"",""),"""")"),"ES0031408323131005HX0F")</f>
        <v>ES0031408323131005HX0F</v>
      </c>
      <c r="B2132" s="12">
        <f>IFERROR(__xludf.DUMMYFUNCTION("""COMPUTED_VALUE"""),44954.0)</f>
        <v>44954</v>
      </c>
      <c r="C2132" s="13">
        <f>IFERROR(__xludf.DUMMYFUNCTION("""COMPUTED_VALUE"""),0.7916666666666666)</f>
        <v>0.7916666667</v>
      </c>
      <c r="D2132" s="8">
        <f>IFERROR(__xludf.DUMMYFUNCTION("""COMPUTED_VALUE"""),3.344)</f>
        <v>3.344</v>
      </c>
      <c r="E2132" s="8" t="str">
        <f>IFERROR(__xludf.DUMMYFUNCTION("""COMPUTED_VALUE"""),"Real")</f>
        <v>Real</v>
      </c>
      <c r="G2132" s="8">
        <f t="shared" si="1"/>
        <v>1</v>
      </c>
      <c r="H2132" s="14">
        <f t="shared" si="2"/>
        <v>28</v>
      </c>
      <c r="I2132" s="15">
        <f t="shared" si="3"/>
        <v>19</v>
      </c>
    </row>
    <row r="2133">
      <c r="A2133" s="8" t="str">
        <f>IFERROR(__xludf.DUMMYFUNCTION("IF('(INGESTA)Datos_consumo_datadis'!A2133&lt;&gt;"""",SPLIT('(INGESTA)Datos_consumo_datadis'!A:A,"",""),"""")"),"ES0031408323131005HX0F")</f>
        <v>ES0031408323131005HX0F</v>
      </c>
      <c r="B2133" s="12">
        <f>IFERROR(__xludf.DUMMYFUNCTION("""COMPUTED_VALUE"""),44954.0)</f>
        <v>44954</v>
      </c>
      <c r="C2133" s="13">
        <f>IFERROR(__xludf.DUMMYFUNCTION("""COMPUTED_VALUE"""),0.8333333333333334)</f>
        <v>0.8333333333</v>
      </c>
      <c r="D2133" s="8">
        <f>IFERROR(__xludf.DUMMYFUNCTION("""COMPUTED_VALUE"""),2.596)</f>
        <v>2.596</v>
      </c>
      <c r="E2133" s="8" t="str">
        <f>IFERROR(__xludf.DUMMYFUNCTION("""COMPUTED_VALUE"""),"Real")</f>
        <v>Real</v>
      </c>
      <c r="G2133" s="8">
        <f t="shared" si="1"/>
        <v>1</v>
      </c>
      <c r="H2133" s="14">
        <f t="shared" si="2"/>
        <v>28</v>
      </c>
      <c r="I2133" s="15">
        <f t="shared" si="3"/>
        <v>20</v>
      </c>
    </row>
    <row r="2134">
      <c r="A2134" s="8" t="str">
        <f>IFERROR(__xludf.DUMMYFUNCTION("IF('(INGESTA)Datos_consumo_datadis'!A2134&lt;&gt;"""",SPLIT('(INGESTA)Datos_consumo_datadis'!A:A,"",""),"""")"),"ES0031408323131005HX0F")</f>
        <v>ES0031408323131005HX0F</v>
      </c>
      <c r="B2134" s="12">
        <f>IFERROR(__xludf.DUMMYFUNCTION("""COMPUTED_VALUE"""),44954.0)</f>
        <v>44954</v>
      </c>
      <c r="C2134" s="13">
        <f>IFERROR(__xludf.DUMMYFUNCTION("""COMPUTED_VALUE"""),0.875)</f>
        <v>0.875</v>
      </c>
      <c r="D2134" s="8">
        <f>IFERROR(__xludf.DUMMYFUNCTION("""COMPUTED_VALUE"""),2.485)</f>
        <v>2.485</v>
      </c>
      <c r="E2134" s="8" t="str">
        <f>IFERROR(__xludf.DUMMYFUNCTION("""COMPUTED_VALUE"""),"Real")</f>
        <v>Real</v>
      </c>
      <c r="G2134" s="8">
        <f t="shared" si="1"/>
        <v>1</v>
      </c>
      <c r="H2134" s="14">
        <f t="shared" si="2"/>
        <v>28</v>
      </c>
      <c r="I2134" s="15">
        <f t="shared" si="3"/>
        <v>21</v>
      </c>
    </row>
    <row r="2135">
      <c r="A2135" s="8" t="str">
        <f>IFERROR(__xludf.DUMMYFUNCTION("IF('(INGESTA)Datos_consumo_datadis'!A2135&lt;&gt;"""",SPLIT('(INGESTA)Datos_consumo_datadis'!A:A,"",""),"""")"),"ES0031408323131005HX0F")</f>
        <v>ES0031408323131005HX0F</v>
      </c>
      <c r="B2135" s="12">
        <f>IFERROR(__xludf.DUMMYFUNCTION("""COMPUTED_VALUE"""),44954.0)</f>
        <v>44954</v>
      </c>
      <c r="C2135" s="13">
        <f>IFERROR(__xludf.DUMMYFUNCTION("""COMPUTED_VALUE"""),0.9166666666666666)</f>
        <v>0.9166666667</v>
      </c>
      <c r="D2135" s="8">
        <f>IFERROR(__xludf.DUMMYFUNCTION("""COMPUTED_VALUE"""),2.606)</f>
        <v>2.606</v>
      </c>
      <c r="E2135" s="8" t="str">
        <f>IFERROR(__xludf.DUMMYFUNCTION("""COMPUTED_VALUE"""),"Real")</f>
        <v>Real</v>
      </c>
      <c r="G2135" s="8">
        <f t="shared" si="1"/>
        <v>1</v>
      </c>
      <c r="H2135" s="14">
        <f t="shared" si="2"/>
        <v>28</v>
      </c>
      <c r="I2135" s="15">
        <f t="shared" si="3"/>
        <v>22</v>
      </c>
    </row>
    <row r="2136">
      <c r="A2136" s="8" t="str">
        <f>IFERROR(__xludf.DUMMYFUNCTION("IF('(INGESTA)Datos_consumo_datadis'!A2136&lt;&gt;"""",SPLIT('(INGESTA)Datos_consumo_datadis'!A:A,"",""),"""")"),"ES0031408323131005HX0F")</f>
        <v>ES0031408323131005HX0F</v>
      </c>
      <c r="B2136" s="12">
        <f>IFERROR(__xludf.DUMMYFUNCTION("""COMPUTED_VALUE"""),44954.0)</f>
        <v>44954</v>
      </c>
      <c r="C2136" s="13">
        <f>IFERROR(__xludf.DUMMYFUNCTION("""COMPUTED_VALUE"""),0.9583333333333334)</f>
        <v>0.9583333333</v>
      </c>
      <c r="D2136" s="8">
        <f>IFERROR(__xludf.DUMMYFUNCTION("""COMPUTED_VALUE"""),3.241)</f>
        <v>3.241</v>
      </c>
      <c r="E2136" s="8" t="str">
        <f>IFERROR(__xludf.DUMMYFUNCTION("""COMPUTED_VALUE"""),"Real")</f>
        <v>Real</v>
      </c>
      <c r="G2136" s="8">
        <f t="shared" si="1"/>
        <v>1</v>
      </c>
      <c r="H2136" s="14">
        <f t="shared" si="2"/>
        <v>28</v>
      </c>
      <c r="I2136" s="15">
        <f t="shared" si="3"/>
        <v>23</v>
      </c>
    </row>
    <row r="2137">
      <c r="A2137" s="8" t="str">
        <f>IFERROR(__xludf.DUMMYFUNCTION("IF('(INGESTA)Datos_consumo_datadis'!A2137&lt;&gt;"""",SPLIT('(INGESTA)Datos_consumo_datadis'!A:A,"",""),"""")"),"ES0031408323131005HX0F")</f>
        <v>ES0031408323131005HX0F</v>
      </c>
      <c r="B2137" s="12">
        <f>IFERROR(__xludf.DUMMYFUNCTION("""COMPUTED_VALUE"""),44954.0)</f>
        <v>44954</v>
      </c>
      <c r="C2137" s="16">
        <f>IFERROR(__xludf.DUMMYFUNCTION("""COMPUTED_VALUE"""),1.0)</f>
        <v>1</v>
      </c>
      <c r="D2137" s="8">
        <f>IFERROR(__xludf.DUMMYFUNCTION("""COMPUTED_VALUE"""),2.051)</f>
        <v>2.051</v>
      </c>
      <c r="E2137" s="8" t="str">
        <f>IFERROR(__xludf.DUMMYFUNCTION("""COMPUTED_VALUE"""),"Real")</f>
        <v>Real</v>
      </c>
      <c r="G2137" s="8">
        <f t="shared" si="1"/>
        <v>1</v>
      </c>
      <c r="H2137" s="14">
        <f t="shared" si="2"/>
        <v>28</v>
      </c>
      <c r="I2137" s="15">
        <f t="shared" si="3"/>
        <v>0</v>
      </c>
    </row>
    <row r="2138">
      <c r="A2138" s="8" t="str">
        <f>IFERROR(__xludf.DUMMYFUNCTION("IF('(INGESTA)Datos_consumo_datadis'!A2138&lt;&gt;"""",SPLIT('(INGESTA)Datos_consumo_datadis'!A:A,"",""),"""")"),"ES0031408323131005HX0F")</f>
        <v>ES0031408323131005HX0F</v>
      </c>
      <c r="B2138" s="12">
        <f>IFERROR(__xludf.DUMMYFUNCTION("""COMPUTED_VALUE"""),44955.0)</f>
        <v>44955</v>
      </c>
      <c r="C2138" s="13">
        <f>IFERROR(__xludf.DUMMYFUNCTION("""COMPUTED_VALUE"""),0.041666666666666664)</f>
        <v>0.04166666667</v>
      </c>
      <c r="D2138" s="8">
        <f>IFERROR(__xludf.DUMMYFUNCTION("""COMPUTED_VALUE"""),1.707)</f>
        <v>1.707</v>
      </c>
      <c r="E2138" s="8" t="str">
        <f>IFERROR(__xludf.DUMMYFUNCTION("""COMPUTED_VALUE"""),"Real")</f>
        <v>Real</v>
      </c>
      <c r="G2138" s="8">
        <f t="shared" si="1"/>
        <v>1</v>
      </c>
      <c r="H2138" s="14">
        <f t="shared" si="2"/>
        <v>29</v>
      </c>
      <c r="I2138" s="15">
        <f t="shared" si="3"/>
        <v>1</v>
      </c>
    </row>
    <row r="2139">
      <c r="A2139" s="8" t="str">
        <f>IFERROR(__xludf.DUMMYFUNCTION("IF('(INGESTA)Datos_consumo_datadis'!A2139&lt;&gt;"""",SPLIT('(INGESTA)Datos_consumo_datadis'!A:A,"",""),"""")"),"ES0031408323131005HX0F")</f>
        <v>ES0031408323131005HX0F</v>
      </c>
      <c r="B2139" s="12">
        <f>IFERROR(__xludf.DUMMYFUNCTION("""COMPUTED_VALUE"""),44955.0)</f>
        <v>44955</v>
      </c>
      <c r="C2139" s="13">
        <f>IFERROR(__xludf.DUMMYFUNCTION("""COMPUTED_VALUE"""),0.08333333333333333)</f>
        <v>0.08333333333</v>
      </c>
      <c r="D2139" s="8">
        <f>IFERROR(__xludf.DUMMYFUNCTION("""COMPUTED_VALUE"""),1.386)</f>
        <v>1.386</v>
      </c>
      <c r="E2139" s="8" t="str">
        <f>IFERROR(__xludf.DUMMYFUNCTION("""COMPUTED_VALUE"""),"Real")</f>
        <v>Real</v>
      </c>
      <c r="G2139" s="8">
        <f t="shared" si="1"/>
        <v>1</v>
      </c>
      <c r="H2139" s="14">
        <f t="shared" si="2"/>
        <v>29</v>
      </c>
      <c r="I2139" s="15">
        <f t="shared" si="3"/>
        <v>2</v>
      </c>
    </row>
    <row r="2140">
      <c r="A2140" s="8" t="str">
        <f>IFERROR(__xludf.DUMMYFUNCTION("IF('(INGESTA)Datos_consumo_datadis'!A2140&lt;&gt;"""",SPLIT('(INGESTA)Datos_consumo_datadis'!A:A,"",""),"""")"),"ES0031408323131005HX0F")</f>
        <v>ES0031408323131005HX0F</v>
      </c>
      <c r="B2140" s="12">
        <f>IFERROR(__xludf.DUMMYFUNCTION("""COMPUTED_VALUE"""),44955.0)</f>
        <v>44955</v>
      </c>
      <c r="C2140" s="13">
        <f>IFERROR(__xludf.DUMMYFUNCTION("""COMPUTED_VALUE"""),0.125)</f>
        <v>0.125</v>
      </c>
      <c r="D2140" s="8">
        <f>IFERROR(__xludf.DUMMYFUNCTION("""COMPUTED_VALUE"""),1.421)</f>
        <v>1.421</v>
      </c>
      <c r="E2140" s="8" t="str">
        <f>IFERROR(__xludf.DUMMYFUNCTION("""COMPUTED_VALUE"""),"Real")</f>
        <v>Real</v>
      </c>
      <c r="G2140" s="8">
        <f t="shared" si="1"/>
        <v>1</v>
      </c>
      <c r="H2140" s="14">
        <f t="shared" si="2"/>
        <v>29</v>
      </c>
      <c r="I2140" s="15">
        <f t="shared" si="3"/>
        <v>3</v>
      </c>
    </row>
    <row r="2141">
      <c r="A2141" s="8" t="str">
        <f>IFERROR(__xludf.DUMMYFUNCTION("IF('(INGESTA)Datos_consumo_datadis'!A2141&lt;&gt;"""",SPLIT('(INGESTA)Datos_consumo_datadis'!A:A,"",""),"""")"),"ES0031408323131005HX0F")</f>
        <v>ES0031408323131005HX0F</v>
      </c>
      <c r="B2141" s="12">
        <f>IFERROR(__xludf.DUMMYFUNCTION("""COMPUTED_VALUE"""),44955.0)</f>
        <v>44955</v>
      </c>
      <c r="C2141" s="13">
        <f>IFERROR(__xludf.DUMMYFUNCTION("""COMPUTED_VALUE"""),0.16666666666666666)</f>
        <v>0.1666666667</v>
      </c>
      <c r="D2141" s="8">
        <f>IFERROR(__xludf.DUMMYFUNCTION("""COMPUTED_VALUE"""),1.692)</f>
        <v>1.692</v>
      </c>
      <c r="E2141" s="8" t="str">
        <f>IFERROR(__xludf.DUMMYFUNCTION("""COMPUTED_VALUE"""),"Real")</f>
        <v>Real</v>
      </c>
      <c r="G2141" s="8">
        <f t="shared" si="1"/>
        <v>1</v>
      </c>
      <c r="H2141" s="14">
        <f t="shared" si="2"/>
        <v>29</v>
      </c>
      <c r="I2141" s="15">
        <f t="shared" si="3"/>
        <v>4</v>
      </c>
    </row>
    <row r="2142">
      <c r="A2142" s="8" t="str">
        <f>IFERROR(__xludf.DUMMYFUNCTION("IF('(INGESTA)Datos_consumo_datadis'!A2142&lt;&gt;"""",SPLIT('(INGESTA)Datos_consumo_datadis'!A:A,"",""),"""")"),"ES0031408323131005HX0F")</f>
        <v>ES0031408323131005HX0F</v>
      </c>
      <c r="B2142" s="12">
        <f>IFERROR(__xludf.DUMMYFUNCTION("""COMPUTED_VALUE"""),44955.0)</f>
        <v>44955</v>
      </c>
      <c r="C2142" s="13">
        <f>IFERROR(__xludf.DUMMYFUNCTION("""COMPUTED_VALUE"""),0.20833333333333334)</f>
        <v>0.2083333333</v>
      </c>
      <c r="D2142" s="8">
        <f>IFERROR(__xludf.DUMMYFUNCTION("""COMPUTED_VALUE"""),1.416)</f>
        <v>1.416</v>
      </c>
      <c r="E2142" s="8" t="str">
        <f>IFERROR(__xludf.DUMMYFUNCTION("""COMPUTED_VALUE"""),"Real")</f>
        <v>Real</v>
      </c>
      <c r="G2142" s="8">
        <f t="shared" si="1"/>
        <v>1</v>
      </c>
      <c r="H2142" s="14">
        <f t="shared" si="2"/>
        <v>29</v>
      </c>
      <c r="I2142" s="15">
        <f t="shared" si="3"/>
        <v>5</v>
      </c>
    </row>
    <row r="2143">
      <c r="A2143" s="8" t="str">
        <f>IFERROR(__xludf.DUMMYFUNCTION("IF('(INGESTA)Datos_consumo_datadis'!A2143&lt;&gt;"""",SPLIT('(INGESTA)Datos_consumo_datadis'!A:A,"",""),"""")"),"ES0031408323131005HX0F")</f>
        <v>ES0031408323131005HX0F</v>
      </c>
      <c r="B2143" s="12">
        <f>IFERROR(__xludf.DUMMYFUNCTION("""COMPUTED_VALUE"""),44955.0)</f>
        <v>44955</v>
      </c>
      <c r="C2143" s="13">
        <f>IFERROR(__xludf.DUMMYFUNCTION("""COMPUTED_VALUE"""),0.25)</f>
        <v>0.25</v>
      </c>
      <c r="D2143" s="8">
        <f>IFERROR(__xludf.DUMMYFUNCTION("""COMPUTED_VALUE"""),1.337)</f>
        <v>1.337</v>
      </c>
      <c r="E2143" s="8" t="str">
        <f>IFERROR(__xludf.DUMMYFUNCTION("""COMPUTED_VALUE"""),"Real")</f>
        <v>Real</v>
      </c>
      <c r="G2143" s="8">
        <f t="shared" si="1"/>
        <v>1</v>
      </c>
      <c r="H2143" s="14">
        <f t="shared" si="2"/>
        <v>29</v>
      </c>
      <c r="I2143" s="15">
        <f t="shared" si="3"/>
        <v>6</v>
      </c>
    </row>
    <row r="2144">
      <c r="A2144" s="8" t="str">
        <f>IFERROR(__xludf.DUMMYFUNCTION("IF('(INGESTA)Datos_consumo_datadis'!A2144&lt;&gt;"""",SPLIT('(INGESTA)Datos_consumo_datadis'!A:A,"",""),"""")"),"ES0031408323131005HX0F")</f>
        <v>ES0031408323131005HX0F</v>
      </c>
      <c r="B2144" s="12">
        <f>IFERROR(__xludf.DUMMYFUNCTION("""COMPUTED_VALUE"""),44955.0)</f>
        <v>44955</v>
      </c>
      <c r="C2144" s="13">
        <f>IFERROR(__xludf.DUMMYFUNCTION("""COMPUTED_VALUE"""),0.2916666666666667)</f>
        <v>0.2916666667</v>
      </c>
      <c r="D2144" s="8">
        <f>IFERROR(__xludf.DUMMYFUNCTION("""COMPUTED_VALUE"""),1.418)</f>
        <v>1.418</v>
      </c>
      <c r="E2144" s="8" t="str">
        <f>IFERROR(__xludf.DUMMYFUNCTION("""COMPUTED_VALUE"""),"Real")</f>
        <v>Real</v>
      </c>
      <c r="G2144" s="8">
        <f t="shared" si="1"/>
        <v>1</v>
      </c>
      <c r="H2144" s="14">
        <f t="shared" si="2"/>
        <v>29</v>
      </c>
      <c r="I2144" s="15">
        <f t="shared" si="3"/>
        <v>7</v>
      </c>
    </row>
    <row r="2145">
      <c r="A2145" s="8" t="str">
        <f>IFERROR(__xludf.DUMMYFUNCTION("IF('(INGESTA)Datos_consumo_datadis'!A2145&lt;&gt;"""",SPLIT('(INGESTA)Datos_consumo_datadis'!A:A,"",""),"""")"),"ES0031408323131005HX0F")</f>
        <v>ES0031408323131005HX0F</v>
      </c>
      <c r="B2145" s="12">
        <f>IFERROR(__xludf.DUMMYFUNCTION("""COMPUTED_VALUE"""),44955.0)</f>
        <v>44955</v>
      </c>
      <c r="C2145" s="13">
        <f>IFERROR(__xludf.DUMMYFUNCTION("""COMPUTED_VALUE"""),0.3333333333333333)</f>
        <v>0.3333333333</v>
      </c>
      <c r="D2145" s="8">
        <f>IFERROR(__xludf.DUMMYFUNCTION("""COMPUTED_VALUE"""),1.431)</f>
        <v>1.431</v>
      </c>
      <c r="E2145" s="8" t="str">
        <f>IFERROR(__xludf.DUMMYFUNCTION("""COMPUTED_VALUE"""),"Real")</f>
        <v>Real</v>
      </c>
      <c r="G2145" s="8">
        <f t="shared" si="1"/>
        <v>1</v>
      </c>
      <c r="H2145" s="14">
        <f t="shared" si="2"/>
        <v>29</v>
      </c>
      <c r="I2145" s="15">
        <f t="shared" si="3"/>
        <v>8</v>
      </c>
    </row>
    <row r="2146">
      <c r="A2146" s="8" t="str">
        <f>IFERROR(__xludf.DUMMYFUNCTION("IF('(INGESTA)Datos_consumo_datadis'!A2146&lt;&gt;"""",SPLIT('(INGESTA)Datos_consumo_datadis'!A:A,"",""),"""")"),"ES0031408323131005HX0F")</f>
        <v>ES0031408323131005HX0F</v>
      </c>
      <c r="B2146" s="12">
        <f>IFERROR(__xludf.DUMMYFUNCTION("""COMPUTED_VALUE"""),44955.0)</f>
        <v>44955</v>
      </c>
      <c r="C2146" s="13">
        <f>IFERROR(__xludf.DUMMYFUNCTION("""COMPUTED_VALUE"""),0.375)</f>
        <v>0.375</v>
      </c>
      <c r="D2146" s="8">
        <f>IFERROR(__xludf.DUMMYFUNCTION("""COMPUTED_VALUE"""),1.406)</f>
        <v>1.406</v>
      </c>
      <c r="E2146" s="8" t="str">
        <f>IFERROR(__xludf.DUMMYFUNCTION("""COMPUTED_VALUE"""),"Real")</f>
        <v>Real</v>
      </c>
      <c r="G2146" s="8">
        <f t="shared" si="1"/>
        <v>1</v>
      </c>
      <c r="H2146" s="14">
        <f t="shared" si="2"/>
        <v>29</v>
      </c>
      <c r="I2146" s="15">
        <f t="shared" si="3"/>
        <v>9</v>
      </c>
    </row>
    <row r="2147">
      <c r="A2147" s="8" t="str">
        <f>IFERROR(__xludf.DUMMYFUNCTION("IF('(INGESTA)Datos_consumo_datadis'!A2147&lt;&gt;"""",SPLIT('(INGESTA)Datos_consumo_datadis'!A:A,"",""),"""")"),"ES0031408323131005HX0F")</f>
        <v>ES0031408323131005HX0F</v>
      </c>
      <c r="B2147" s="12">
        <f>IFERROR(__xludf.DUMMYFUNCTION("""COMPUTED_VALUE"""),44955.0)</f>
        <v>44955</v>
      </c>
      <c r="C2147" s="13">
        <f>IFERROR(__xludf.DUMMYFUNCTION("""COMPUTED_VALUE"""),0.4166666666666667)</f>
        <v>0.4166666667</v>
      </c>
      <c r="D2147" s="8">
        <f>IFERROR(__xludf.DUMMYFUNCTION("""COMPUTED_VALUE"""),1.771)</f>
        <v>1.771</v>
      </c>
      <c r="E2147" s="8" t="str">
        <f>IFERROR(__xludf.DUMMYFUNCTION("""COMPUTED_VALUE"""),"Real")</f>
        <v>Real</v>
      </c>
      <c r="G2147" s="8">
        <f t="shared" si="1"/>
        <v>1</v>
      </c>
      <c r="H2147" s="14">
        <f t="shared" si="2"/>
        <v>29</v>
      </c>
      <c r="I2147" s="15">
        <f t="shared" si="3"/>
        <v>10</v>
      </c>
    </row>
    <row r="2148">
      <c r="A2148" s="8" t="str">
        <f>IFERROR(__xludf.DUMMYFUNCTION("IF('(INGESTA)Datos_consumo_datadis'!A2148&lt;&gt;"""",SPLIT('(INGESTA)Datos_consumo_datadis'!A:A,"",""),"""")"),"ES0031408323131005HX0F")</f>
        <v>ES0031408323131005HX0F</v>
      </c>
      <c r="B2148" s="12">
        <f>IFERROR(__xludf.DUMMYFUNCTION("""COMPUTED_VALUE"""),44955.0)</f>
        <v>44955</v>
      </c>
      <c r="C2148" s="13">
        <f>IFERROR(__xludf.DUMMYFUNCTION("""COMPUTED_VALUE"""),0.4583333333333333)</f>
        <v>0.4583333333</v>
      </c>
      <c r="D2148" s="8">
        <f>IFERROR(__xludf.DUMMYFUNCTION("""COMPUTED_VALUE"""),2.365)</f>
        <v>2.365</v>
      </c>
      <c r="E2148" s="8" t="str">
        <f>IFERROR(__xludf.DUMMYFUNCTION("""COMPUTED_VALUE"""),"Real")</f>
        <v>Real</v>
      </c>
      <c r="G2148" s="8">
        <f t="shared" si="1"/>
        <v>1</v>
      </c>
      <c r="H2148" s="14">
        <f t="shared" si="2"/>
        <v>29</v>
      </c>
      <c r="I2148" s="15">
        <f t="shared" si="3"/>
        <v>11</v>
      </c>
    </row>
    <row r="2149">
      <c r="A2149" s="8" t="str">
        <f>IFERROR(__xludf.DUMMYFUNCTION("IF('(INGESTA)Datos_consumo_datadis'!A2149&lt;&gt;"""",SPLIT('(INGESTA)Datos_consumo_datadis'!A:A,"",""),"""")"),"ES0031408323131005HX0F")</f>
        <v>ES0031408323131005HX0F</v>
      </c>
      <c r="B2149" s="12">
        <f>IFERROR(__xludf.DUMMYFUNCTION("""COMPUTED_VALUE"""),44955.0)</f>
        <v>44955</v>
      </c>
      <c r="C2149" s="13">
        <f>IFERROR(__xludf.DUMMYFUNCTION("""COMPUTED_VALUE"""),0.5)</f>
        <v>0.5</v>
      </c>
      <c r="D2149" s="8">
        <f>IFERROR(__xludf.DUMMYFUNCTION("""COMPUTED_VALUE"""),1.614)</f>
        <v>1.614</v>
      </c>
      <c r="E2149" s="8" t="str">
        <f>IFERROR(__xludf.DUMMYFUNCTION("""COMPUTED_VALUE"""),"Real")</f>
        <v>Real</v>
      </c>
      <c r="G2149" s="8">
        <f t="shared" si="1"/>
        <v>1</v>
      </c>
      <c r="H2149" s="14">
        <f t="shared" si="2"/>
        <v>29</v>
      </c>
      <c r="I2149" s="15">
        <f t="shared" si="3"/>
        <v>12</v>
      </c>
    </row>
    <row r="2150">
      <c r="A2150" s="8" t="str">
        <f>IFERROR(__xludf.DUMMYFUNCTION("IF('(INGESTA)Datos_consumo_datadis'!A2150&lt;&gt;"""",SPLIT('(INGESTA)Datos_consumo_datadis'!A:A,"",""),"""")"),"ES0031408323131005HX0F")</f>
        <v>ES0031408323131005HX0F</v>
      </c>
      <c r="B2150" s="12">
        <f>IFERROR(__xludf.DUMMYFUNCTION("""COMPUTED_VALUE"""),44955.0)</f>
        <v>44955</v>
      </c>
      <c r="C2150" s="13">
        <f>IFERROR(__xludf.DUMMYFUNCTION("""COMPUTED_VALUE"""),0.5416666666666666)</f>
        <v>0.5416666667</v>
      </c>
      <c r="D2150" s="8">
        <f>IFERROR(__xludf.DUMMYFUNCTION("""COMPUTED_VALUE"""),1.705)</f>
        <v>1.705</v>
      </c>
      <c r="E2150" s="8" t="str">
        <f>IFERROR(__xludf.DUMMYFUNCTION("""COMPUTED_VALUE"""),"Real")</f>
        <v>Real</v>
      </c>
      <c r="G2150" s="8">
        <f t="shared" si="1"/>
        <v>1</v>
      </c>
      <c r="H2150" s="14">
        <f t="shared" si="2"/>
        <v>29</v>
      </c>
      <c r="I2150" s="15">
        <f t="shared" si="3"/>
        <v>13</v>
      </c>
    </row>
    <row r="2151">
      <c r="A2151" s="8" t="str">
        <f>IFERROR(__xludf.DUMMYFUNCTION("IF('(INGESTA)Datos_consumo_datadis'!A2151&lt;&gt;"""",SPLIT('(INGESTA)Datos_consumo_datadis'!A:A,"",""),"""")"),"ES0031408323131005HX0F")</f>
        <v>ES0031408323131005HX0F</v>
      </c>
      <c r="B2151" s="12">
        <f>IFERROR(__xludf.DUMMYFUNCTION("""COMPUTED_VALUE"""),44955.0)</f>
        <v>44955</v>
      </c>
      <c r="C2151" s="13">
        <f>IFERROR(__xludf.DUMMYFUNCTION("""COMPUTED_VALUE"""),0.5833333333333334)</f>
        <v>0.5833333333</v>
      </c>
      <c r="D2151" s="8">
        <f>IFERROR(__xludf.DUMMYFUNCTION("""COMPUTED_VALUE"""),1.932)</f>
        <v>1.932</v>
      </c>
      <c r="E2151" s="8" t="str">
        <f>IFERROR(__xludf.DUMMYFUNCTION("""COMPUTED_VALUE"""),"Real")</f>
        <v>Real</v>
      </c>
      <c r="G2151" s="8">
        <f t="shared" si="1"/>
        <v>1</v>
      </c>
      <c r="H2151" s="14">
        <f t="shared" si="2"/>
        <v>29</v>
      </c>
      <c r="I2151" s="15">
        <f t="shared" si="3"/>
        <v>14</v>
      </c>
    </row>
    <row r="2152">
      <c r="A2152" s="8" t="str">
        <f>IFERROR(__xludf.DUMMYFUNCTION("IF('(INGESTA)Datos_consumo_datadis'!A2152&lt;&gt;"""",SPLIT('(INGESTA)Datos_consumo_datadis'!A:A,"",""),"""")"),"ES0031408323131005HX0F")</f>
        <v>ES0031408323131005HX0F</v>
      </c>
      <c r="B2152" s="12">
        <f>IFERROR(__xludf.DUMMYFUNCTION("""COMPUTED_VALUE"""),44955.0)</f>
        <v>44955</v>
      </c>
      <c r="C2152" s="13">
        <f>IFERROR(__xludf.DUMMYFUNCTION("""COMPUTED_VALUE"""),0.625)</f>
        <v>0.625</v>
      </c>
      <c r="D2152" s="8">
        <f>IFERROR(__xludf.DUMMYFUNCTION("""COMPUTED_VALUE"""),2.866)</f>
        <v>2.866</v>
      </c>
      <c r="E2152" s="8" t="str">
        <f>IFERROR(__xludf.DUMMYFUNCTION("""COMPUTED_VALUE"""),"Real")</f>
        <v>Real</v>
      </c>
      <c r="G2152" s="8">
        <f t="shared" si="1"/>
        <v>1</v>
      </c>
      <c r="H2152" s="14">
        <f t="shared" si="2"/>
        <v>29</v>
      </c>
      <c r="I2152" s="15">
        <f t="shared" si="3"/>
        <v>15</v>
      </c>
    </row>
    <row r="2153">
      <c r="A2153" s="8" t="str">
        <f>IFERROR(__xludf.DUMMYFUNCTION("IF('(INGESTA)Datos_consumo_datadis'!A2153&lt;&gt;"""",SPLIT('(INGESTA)Datos_consumo_datadis'!A:A,"",""),"""")"),"ES0031408323131005HX0F")</f>
        <v>ES0031408323131005HX0F</v>
      </c>
      <c r="B2153" s="12">
        <f>IFERROR(__xludf.DUMMYFUNCTION("""COMPUTED_VALUE"""),44955.0)</f>
        <v>44955</v>
      </c>
      <c r="C2153" s="13">
        <f>IFERROR(__xludf.DUMMYFUNCTION("""COMPUTED_VALUE"""),0.6666666666666666)</f>
        <v>0.6666666667</v>
      </c>
      <c r="D2153" s="8">
        <f>IFERROR(__xludf.DUMMYFUNCTION("""COMPUTED_VALUE"""),3.752)</f>
        <v>3.752</v>
      </c>
      <c r="E2153" s="8" t="str">
        <f>IFERROR(__xludf.DUMMYFUNCTION("""COMPUTED_VALUE"""),"Real")</f>
        <v>Real</v>
      </c>
      <c r="G2153" s="8">
        <f t="shared" si="1"/>
        <v>1</v>
      </c>
      <c r="H2153" s="14">
        <f t="shared" si="2"/>
        <v>29</v>
      </c>
      <c r="I2153" s="15">
        <f t="shared" si="3"/>
        <v>16</v>
      </c>
    </row>
    <row r="2154">
      <c r="A2154" s="8" t="str">
        <f>IFERROR(__xludf.DUMMYFUNCTION("IF('(INGESTA)Datos_consumo_datadis'!A2154&lt;&gt;"""",SPLIT('(INGESTA)Datos_consumo_datadis'!A:A,"",""),"""")"),"ES0031408323131005HX0F")</f>
        <v>ES0031408323131005HX0F</v>
      </c>
      <c r="B2154" s="12">
        <f>IFERROR(__xludf.DUMMYFUNCTION("""COMPUTED_VALUE"""),44955.0)</f>
        <v>44955</v>
      </c>
      <c r="C2154" s="13">
        <f>IFERROR(__xludf.DUMMYFUNCTION("""COMPUTED_VALUE"""),0.7083333333333334)</f>
        <v>0.7083333333</v>
      </c>
      <c r="D2154" s="8">
        <f>IFERROR(__xludf.DUMMYFUNCTION("""COMPUTED_VALUE"""),1.992)</f>
        <v>1.992</v>
      </c>
      <c r="E2154" s="8" t="str">
        <f>IFERROR(__xludf.DUMMYFUNCTION("""COMPUTED_VALUE"""),"Real")</f>
        <v>Real</v>
      </c>
      <c r="G2154" s="8">
        <f t="shared" si="1"/>
        <v>1</v>
      </c>
      <c r="H2154" s="14">
        <f t="shared" si="2"/>
        <v>29</v>
      </c>
      <c r="I2154" s="15">
        <f t="shared" si="3"/>
        <v>17</v>
      </c>
    </row>
    <row r="2155">
      <c r="A2155" s="8" t="str">
        <f>IFERROR(__xludf.DUMMYFUNCTION("IF('(INGESTA)Datos_consumo_datadis'!A2155&lt;&gt;"""",SPLIT('(INGESTA)Datos_consumo_datadis'!A:A,"",""),"""")"),"ES0031408323131005HX0F")</f>
        <v>ES0031408323131005HX0F</v>
      </c>
      <c r="B2155" s="12">
        <f>IFERROR(__xludf.DUMMYFUNCTION("""COMPUTED_VALUE"""),44955.0)</f>
        <v>44955</v>
      </c>
      <c r="C2155" s="13">
        <f>IFERROR(__xludf.DUMMYFUNCTION("""COMPUTED_VALUE"""),0.75)</f>
        <v>0.75</v>
      </c>
      <c r="D2155" s="8">
        <f>IFERROR(__xludf.DUMMYFUNCTION("""COMPUTED_VALUE"""),1.787)</f>
        <v>1.787</v>
      </c>
      <c r="E2155" s="8" t="str">
        <f>IFERROR(__xludf.DUMMYFUNCTION("""COMPUTED_VALUE"""),"Real")</f>
        <v>Real</v>
      </c>
      <c r="G2155" s="8">
        <f t="shared" si="1"/>
        <v>1</v>
      </c>
      <c r="H2155" s="14">
        <f t="shared" si="2"/>
        <v>29</v>
      </c>
      <c r="I2155" s="15">
        <f t="shared" si="3"/>
        <v>18</v>
      </c>
    </row>
    <row r="2156">
      <c r="A2156" s="8" t="str">
        <f>IFERROR(__xludf.DUMMYFUNCTION("IF('(INGESTA)Datos_consumo_datadis'!A2156&lt;&gt;"""",SPLIT('(INGESTA)Datos_consumo_datadis'!A:A,"",""),"""")"),"ES0031408323131005HX0F")</f>
        <v>ES0031408323131005HX0F</v>
      </c>
      <c r="B2156" s="12">
        <f>IFERROR(__xludf.DUMMYFUNCTION("""COMPUTED_VALUE"""),44955.0)</f>
        <v>44955</v>
      </c>
      <c r="C2156" s="13">
        <f>IFERROR(__xludf.DUMMYFUNCTION("""COMPUTED_VALUE"""),0.7916666666666666)</f>
        <v>0.7916666667</v>
      </c>
      <c r="D2156" s="8">
        <f>IFERROR(__xludf.DUMMYFUNCTION("""COMPUTED_VALUE"""),0.876)</f>
        <v>0.876</v>
      </c>
      <c r="E2156" s="8" t="str">
        <f>IFERROR(__xludf.DUMMYFUNCTION("""COMPUTED_VALUE"""),"Real")</f>
        <v>Real</v>
      </c>
      <c r="G2156" s="8">
        <f t="shared" si="1"/>
        <v>1</v>
      </c>
      <c r="H2156" s="14">
        <f t="shared" si="2"/>
        <v>29</v>
      </c>
      <c r="I2156" s="15">
        <f t="shared" si="3"/>
        <v>19</v>
      </c>
    </row>
    <row r="2157">
      <c r="A2157" s="8" t="str">
        <f>IFERROR(__xludf.DUMMYFUNCTION("IF('(INGESTA)Datos_consumo_datadis'!A2157&lt;&gt;"""",SPLIT('(INGESTA)Datos_consumo_datadis'!A:A,"",""),"""")"),"ES0031408323131005HX0F")</f>
        <v>ES0031408323131005HX0F</v>
      </c>
      <c r="B2157" s="12">
        <f>IFERROR(__xludf.DUMMYFUNCTION("""COMPUTED_VALUE"""),44955.0)</f>
        <v>44955</v>
      </c>
      <c r="C2157" s="13">
        <f>IFERROR(__xludf.DUMMYFUNCTION("""COMPUTED_VALUE"""),0.8333333333333334)</f>
        <v>0.8333333333</v>
      </c>
      <c r="D2157" s="8">
        <f>IFERROR(__xludf.DUMMYFUNCTION("""COMPUTED_VALUE"""),0.016)</f>
        <v>0.016</v>
      </c>
      <c r="E2157" s="8" t="str">
        <f>IFERROR(__xludf.DUMMYFUNCTION("""COMPUTED_VALUE"""),"Real")</f>
        <v>Real</v>
      </c>
      <c r="G2157" s="8">
        <f t="shared" si="1"/>
        <v>1</v>
      </c>
      <c r="H2157" s="14">
        <f t="shared" si="2"/>
        <v>29</v>
      </c>
      <c r="I2157" s="15">
        <f t="shared" si="3"/>
        <v>20</v>
      </c>
    </row>
    <row r="2158">
      <c r="A2158" s="8" t="str">
        <f>IFERROR(__xludf.DUMMYFUNCTION("IF('(INGESTA)Datos_consumo_datadis'!A2158&lt;&gt;"""",SPLIT('(INGESTA)Datos_consumo_datadis'!A:A,"",""),"""")"),"ES0031408323131005HX0F")</f>
        <v>ES0031408323131005HX0F</v>
      </c>
      <c r="B2158" s="12">
        <f>IFERROR(__xludf.DUMMYFUNCTION("""COMPUTED_VALUE"""),44955.0)</f>
        <v>44955</v>
      </c>
      <c r="C2158" s="13">
        <f>IFERROR(__xludf.DUMMYFUNCTION("""COMPUTED_VALUE"""),0.875)</f>
        <v>0.875</v>
      </c>
      <c r="D2158" s="8">
        <f>IFERROR(__xludf.DUMMYFUNCTION("""COMPUTED_VALUE"""),0.073)</f>
        <v>0.073</v>
      </c>
      <c r="E2158" s="8" t="str">
        <f>IFERROR(__xludf.DUMMYFUNCTION("""COMPUTED_VALUE"""),"Real")</f>
        <v>Real</v>
      </c>
      <c r="G2158" s="8">
        <f t="shared" si="1"/>
        <v>1</v>
      </c>
      <c r="H2158" s="14">
        <f t="shared" si="2"/>
        <v>29</v>
      </c>
      <c r="I2158" s="15">
        <f t="shared" si="3"/>
        <v>21</v>
      </c>
    </row>
    <row r="2159">
      <c r="A2159" s="8" t="str">
        <f>IFERROR(__xludf.DUMMYFUNCTION("IF('(INGESTA)Datos_consumo_datadis'!A2159&lt;&gt;"""",SPLIT('(INGESTA)Datos_consumo_datadis'!A:A,"",""),"""")"),"ES0031408323131005HX0F")</f>
        <v>ES0031408323131005HX0F</v>
      </c>
      <c r="B2159" s="12">
        <f>IFERROR(__xludf.DUMMYFUNCTION("""COMPUTED_VALUE"""),44955.0)</f>
        <v>44955</v>
      </c>
      <c r="C2159" s="13">
        <f>IFERROR(__xludf.DUMMYFUNCTION("""COMPUTED_VALUE"""),0.9166666666666666)</f>
        <v>0.9166666667</v>
      </c>
      <c r="D2159" s="8">
        <f>IFERROR(__xludf.DUMMYFUNCTION("""COMPUTED_VALUE"""),1.917)</f>
        <v>1.917</v>
      </c>
      <c r="E2159" s="8" t="str">
        <f>IFERROR(__xludf.DUMMYFUNCTION("""COMPUTED_VALUE"""),"Real")</f>
        <v>Real</v>
      </c>
      <c r="G2159" s="8">
        <f t="shared" si="1"/>
        <v>1</v>
      </c>
      <c r="H2159" s="14">
        <f t="shared" si="2"/>
        <v>29</v>
      </c>
      <c r="I2159" s="15">
        <f t="shared" si="3"/>
        <v>22</v>
      </c>
    </row>
    <row r="2160">
      <c r="A2160" s="8" t="str">
        <f>IFERROR(__xludf.DUMMYFUNCTION("IF('(INGESTA)Datos_consumo_datadis'!A2160&lt;&gt;"""",SPLIT('(INGESTA)Datos_consumo_datadis'!A:A,"",""),"""")"),"ES0031408323131005HX0F")</f>
        <v>ES0031408323131005HX0F</v>
      </c>
      <c r="B2160" s="12">
        <f>IFERROR(__xludf.DUMMYFUNCTION("""COMPUTED_VALUE"""),44955.0)</f>
        <v>44955</v>
      </c>
      <c r="C2160" s="13">
        <f>IFERROR(__xludf.DUMMYFUNCTION("""COMPUTED_VALUE"""),0.9583333333333334)</f>
        <v>0.9583333333</v>
      </c>
      <c r="D2160" s="8">
        <f>IFERROR(__xludf.DUMMYFUNCTION("""COMPUTED_VALUE"""),2.507)</f>
        <v>2.507</v>
      </c>
      <c r="E2160" s="8" t="str">
        <f>IFERROR(__xludf.DUMMYFUNCTION("""COMPUTED_VALUE"""),"Real")</f>
        <v>Real</v>
      </c>
      <c r="G2160" s="8">
        <f t="shared" si="1"/>
        <v>1</v>
      </c>
      <c r="H2160" s="14">
        <f t="shared" si="2"/>
        <v>29</v>
      </c>
      <c r="I2160" s="15">
        <f t="shared" si="3"/>
        <v>23</v>
      </c>
    </row>
    <row r="2161">
      <c r="A2161" s="8" t="str">
        <f>IFERROR(__xludf.DUMMYFUNCTION("IF('(INGESTA)Datos_consumo_datadis'!A2161&lt;&gt;"""",SPLIT('(INGESTA)Datos_consumo_datadis'!A:A,"",""),"""")"),"ES0031408323131005HX0F")</f>
        <v>ES0031408323131005HX0F</v>
      </c>
      <c r="B2161" s="12">
        <f>IFERROR(__xludf.DUMMYFUNCTION("""COMPUTED_VALUE"""),44955.0)</f>
        <v>44955</v>
      </c>
      <c r="C2161" s="16">
        <f>IFERROR(__xludf.DUMMYFUNCTION("""COMPUTED_VALUE"""),1.0)</f>
        <v>1</v>
      </c>
      <c r="D2161" s="8">
        <f>IFERROR(__xludf.DUMMYFUNCTION("""COMPUTED_VALUE"""),2.972)</f>
        <v>2.972</v>
      </c>
      <c r="E2161" s="8" t="str">
        <f>IFERROR(__xludf.DUMMYFUNCTION("""COMPUTED_VALUE"""),"Real")</f>
        <v>Real</v>
      </c>
      <c r="G2161" s="8">
        <f t="shared" si="1"/>
        <v>1</v>
      </c>
      <c r="H2161" s="14">
        <f t="shared" si="2"/>
        <v>29</v>
      </c>
      <c r="I2161" s="15">
        <f t="shared" si="3"/>
        <v>0</v>
      </c>
    </row>
    <row r="2162">
      <c r="A2162" s="8" t="str">
        <f>IFERROR(__xludf.DUMMYFUNCTION("IF('(INGESTA)Datos_consumo_datadis'!A2162&lt;&gt;"""",SPLIT('(INGESTA)Datos_consumo_datadis'!A:A,"",""),"""")"),"ES0031408323131005HX0F")</f>
        <v>ES0031408323131005HX0F</v>
      </c>
      <c r="B2162" s="12">
        <f>IFERROR(__xludf.DUMMYFUNCTION("""COMPUTED_VALUE"""),44956.0)</f>
        <v>44956</v>
      </c>
      <c r="C2162" s="13">
        <f>IFERROR(__xludf.DUMMYFUNCTION("""COMPUTED_VALUE"""),0.041666666666666664)</f>
        <v>0.04166666667</v>
      </c>
      <c r="D2162" s="8">
        <f>IFERROR(__xludf.DUMMYFUNCTION("""COMPUTED_VALUE"""),1.855)</f>
        <v>1.855</v>
      </c>
      <c r="E2162" s="8" t="str">
        <f>IFERROR(__xludf.DUMMYFUNCTION("""COMPUTED_VALUE"""),"Real")</f>
        <v>Real</v>
      </c>
      <c r="G2162" s="8">
        <f t="shared" si="1"/>
        <v>1</v>
      </c>
      <c r="H2162" s="14">
        <f t="shared" si="2"/>
        <v>30</v>
      </c>
      <c r="I2162" s="15">
        <f t="shared" si="3"/>
        <v>1</v>
      </c>
    </row>
    <row r="2163">
      <c r="A2163" s="8" t="str">
        <f>IFERROR(__xludf.DUMMYFUNCTION("IF('(INGESTA)Datos_consumo_datadis'!A2163&lt;&gt;"""",SPLIT('(INGESTA)Datos_consumo_datadis'!A:A,"",""),"""")"),"ES0031408323131005HX0F")</f>
        <v>ES0031408323131005HX0F</v>
      </c>
      <c r="B2163" s="12">
        <f>IFERROR(__xludf.DUMMYFUNCTION("""COMPUTED_VALUE"""),44956.0)</f>
        <v>44956</v>
      </c>
      <c r="C2163" s="13">
        <f>IFERROR(__xludf.DUMMYFUNCTION("""COMPUTED_VALUE"""),0.08333333333333333)</f>
        <v>0.08333333333</v>
      </c>
      <c r="D2163" s="8">
        <f>IFERROR(__xludf.DUMMYFUNCTION("""COMPUTED_VALUE"""),2.132)</f>
        <v>2.132</v>
      </c>
      <c r="E2163" s="8" t="str">
        <f>IFERROR(__xludf.DUMMYFUNCTION("""COMPUTED_VALUE"""),"Real")</f>
        <v>Real</v>
      </c>
      <c r="G2163" s="8">
        <f t="shared" si="1"/>
        <v>1</v>
      </c>
      <c r="H2163" s="14">
        <f t="shared" si="2"/>
        <v>30</v>
      </c>
      <c r="I2163" s="15">
        <f t="shared" si="3"/>
        <v>2</v>
      </c>
    </row>
    <row r="2164">
      <c r="A2164" s="8" t="str">
        <f>IFERROR(__xludf.DUMMYFUNCTION("IF('(INGESTA)Datos_consumo_datadis'!A2164&lt;&gt;"""",SPLIT('(INGESTA)Datos_consumo_datadis'!A:A,"",""),"""")"),"ES0031408323131005HX0F")</f>
        <v>ES0031408323131005HX0F</v>
      </c>
      <c r="B2164" s="12">
        <f>IFERROR(__xludf.DUMMYFUNCTION("""COMPUTED_VALUE"""),44956.0)</f>
        <v>44956</v>
      </c>
      <c r="C2164" s="13">
        <f>IFERROR(__xludf.DUMMYFUNCTION("""COMPUTED_VALUE"""),0.125)</f>
        <v>0.125</v>
      </c>
      <c r="D2164" s="8">
        <f>IFERROR(__xludf.DUMMYFUNCTION("""COMPUTED_VALUE"""),1.853)</f>
        <v>1.853</v>
      </c>
      <c r="E2164" s="8" t="str">
        <f>IFERROR(__xludf.DUMMYFUNCTION("""COMPUTED_VALUE"""),"Real")</f>
        <v>Real</v>
      </c>
      <c r="G2164" s="8">
        <f t="shared" si="1"/>
        <v>1</v>
      </c>
      <c r="H2164" s="14">
        <f t="shared" si="2"/>
        <v>30</v>
      </c>
      <c r="I2164" s="15">
        <f t="shared" si="3"/>
        <v>3</v>
      </c>
    </row>
    <row r="2165">
      <c r="A2165" s="8" t="str">
        <f>IFERROR(__xludf.DUMMYFUNCTION("IF('(INGESTA)Datos_consumo_datadis'!A2165&lt;&gt;"""",SPLIT('(INGESTA)Datos_consumo_datadis'!A:A,"",""),"""")"),"ES0031408323131005HX0F")</f>
        <v>ES0031408323131005HX0F</v>
      </c>
      <c r="B2165" s="12">
        <f>IFERROR(__xludf.DUMMYFUNCTION("""COMPUTED_VALUE"""),44956.0)</f>
        <v>44956</v>
      </c>
      <c r="C2165" s="13">
        <f>IFERROR(__xludf.DUMMYFUNCTION("""COMPUTED_VALUE"""),0.16666666666666666)</f>
        <v>0.1666666667</v>
      </c>
      <c r="D2165" s="8">
        <f>IFERROR(__xludf.DUMMYFUNCTION("""COMPUTED_VALUE"""),1.865)</f>
        <v>1.865</v>
      </c>
      <c r="E2165" s="8" t="str">
        <f>IFERROR(__xludf.DUMMYFUNCTION("""COMPUTED_VALUE"""),"Real")</f>
        <v>Real</v>
      </c>
      <c r="G2165" s="8">
        <f t="shared" si="1"/>
        <v>1</v>
      </c>
      <c r="H2165" s="14">
        <f t="shared" si="2"/>
        <v>30</v>
      </c>
      <c r="I2165" s="15">
        <f t="shared" si="3"/>
        <v>4</v>
      </c>
    </row>
    <row r="2166">
      <c r="A2166" s="8" t="str">
        <f>IFERROR(__xludf.DUMMYFUNCTION("IF('(INGESTA)Datos_consumo_datadis'!A2166&lt;&gt;"""",SPLIT('(INGESTA)Datos_consumo_datadis'!A:A,"",""),"""")"),"ES0031408323131005HX0F")</f>
        <v>ES0031408323131005HX0F</v>
      </c>
      <c r="B2166" s="12">
        <f>IFERROR(__xludf.DUMMYFUNCTION("""COMPUTED_VALUE"""),44956.0)</f>
        <v>44956</v>
      </c>
      <c r="C2166" s="13">
        <f>IFERROR(__xludf.DUMMYFUNCTION("""COMPUTED_VALUE"""),0.20833333333333334)</f>
        <v>0.2083333333</v>
      </c>
      <c r="D2166" s="8">
        <f>IFERROR(__xludf.DUMMYFUNCTION("""COMPUTED_VALUE"""),1.831)</f>
        <v>1.831</v>
      </c>
      <c r="E2166" s="8" t="str">
        <f>IFERROR(__xludf.DUMMYFUNCTION("""COMPUTED_VALUE"""),"Real")</f>
        <v>Real</v>
      </c>
      <c r="G2166" s="8">
        <f t="shared" si="1"/>
        <v>1</v>
      </c>
      <c r="H2166" s="14">
        <f t="shared" si="2"/>
        <v>30</v>
      </c>
      <c r="I2166" s="15">
        <f t="shared" si="3"/>
        <v>5</v>
      </c>
    </row>
    <row r="2167">
      <c r="A2167" s="8" t="str">
        <f>IFERROR(__xludf.DUMMYFUNCTION("IF('(INGESTA)Datos_consumo_datadis'!A2167&lt;&gt;"""",SPLIT('(INGESTA)Datos_consumo_datadis'!A:A,"",""),"""")"),"ES0031408323131005HX0F")</f>
        <v>ES0031408323131005HX0F</v>
      </c>
      <c r="B2167" s="12">
        <f>IFERROR(__xludf.DUMMYFUNCTION("""COMPUTED_VALUE"""),44956.0)</f>
        <v>44956</v>
      </c>
      <c r="C2167" s="13">
        <f>IFERROR(__xludf.DUMMYFUNCTION("""COMPUTED_VALUE"""),0.25)</f>
        <v>0.25</v>
      </c>
      <c r="D2167" s="8">
        <f>IFERROR(__xludf.DUMMYFUNCTION("""COMPUTED_VALUE"""),1.802)</f>
        <v>1.802</v>
      </c>
      <c r="E2167" s="8" t="str">
        <f>IFERROR(__xludf.DUMMYFUNCTION("""COMPUTED_VALUE"""),"Real")</f>
        <v>Real</v>
      </c>
      <c r="G2167" s="8">
        <f t="shared" si="1"/>
        <v>1</v>
      </c>
      <c r="H2167" s="14">
        <f t="shared" si="2"/>
        <v>30</v>
      </c>
      <c r="I2167" s="15">
        <f t="shared" si="3"/>
        <v>6</v>
      </c>
    </row>
    <row r="2168">
      <c r="A2168" s="8" t="str">
        <f>IFERROR(__xludf.DUMMYFUNCTION("IF('(INGESTA)Datos_consumo_datadis'!A2168&lt;&gt;"""",SPLIT('(INGESTA)Datos_consumo_datadis'!A:A,"",""),"""")"),"ES0031408323131005HX0F")</f>
        <v>ES0031408323131005HX0F</v>
      </c>
      <c r="B2168" s="12">
        <f>IFERROR(__xludf.DUMMYFUNCTION("""COMPUTED_VALUE"""),44956.0)</f>
        <v>44956</v>
      </c>
      <c r="C2168" s="13">
        <f>IFERROR(__xludf.DUMMYFUNCTION("""COMPUTED_VALUE"""),0.2916666666666667)</f>
        <v>0.2916666667</v>
      </c>
      <c r="D2168" s="8">
        <f>IFERROR(__xludf.DUMMYFUNCTION("""COMPUTED_VALUE"""),1.881)</f>
        <v>1.881</v>
      </c>
      <c r="E2168" s="8" t="str">
        <f>IFERROR(__xludf.DUMMYFUNCTION("""COMPUTED_VALUE"""),"Real")</f>
        <v>Real</v>
      </c>
      <c r="G2168" s="8">
        <f t="shared" si="1"/>
        <v>1</v>
      </c>
      <c r="H2168" s="14">
        <f t="shared" si="2"/>
        <v>30</v>
      </c>
      <c r="I2168" s="15">
        <f t="shared" si="3"/>
        <v>7</v>
      </c>
    </row>
    <row r="2169">
      <c r="A2169" s="8" t="str">
        <f>IFERROR(__xludf.DUMMYFUNCTION("IF('(INGESTA)Datos_consumo_datadis'!A2169&lt;&gt;"""",SPLIT('(INGESTA)Datos_consumo_datadis'!A:A,"",""),"""")"),"ES0031408323131005HX0F")</f>
        <v>ES0031408323131005HX0F</v>
      </c>
      <c r="B2169" s="12">
        <f>IFERROR(__xludf.DUMMYFUNCTION("""COMPUTED_VALUE"""),44956.0)</f>
        <v>44956</v>
      </c>
      <c r="C2169" s="13">
        <f>IFERROR(__xludf.DUMMYFUNCTION("""COMPUTED_VALUE"""),0.3333333333333333)</f>
        <v>0.3333333333</v>
      </c>
      <c r="D2169" s="8">
        <f>IFERROR(__xludf.DUMMYFUNCTION("""COMPUTED_VALUE"""),2.242)</f>
        <v>2.242</v>
      </c>
      <c r="E2169" s="8" t="str">
        <f>IFERROR(__xludf.DUMMYFUNCTION("""COMPUTED_VALUE"""),"Real")</f>
        <v>Real</v>
      </c>
      <c r="G2169" s="8">
        <f t="shared" si="1"/>
        <v>1</v>
      </c>
      <c r="H2169" s="14">
        <f t="shared" si="2"/>
        <v>30</v>
      </c>
      <c r="I2169" s="15">
        <f t="shared" si="3"/>
        <v>8</v>
      </c>
    </row>
    <row r="2170">
      <c r="A2170" s="8" t="str">
        <f>IFERROR(__xludf.DUMMYFUNCTION("IF('(INGESTA)Datos_consumo_datadis'!A2170&lt;&gt;"""",SPLIT('(INGESTA)Datos_consumo_datadis'!A:A,"",""),"""")"),"ES0031408323131005HX0F")</f>
        <v>ES0031408323131005HX0F</v>
      </c>
      <c r="B2170" s="12">
        <f>IFERROR(__xludf.DUMMYFUNCTION("""COMPUTED_VALUE"""),44956.0)</f>
        <v>44956</v>
      </c>
      <c r="C2170" s="13">
        <f>IFERROR(__xludf.DUMMYFUNCTION("""COMPUTED_VALUE"""),0.375)</f>
        <v>0.375</v>
      </c>
      <c r="D2170" s="8">
        <f>IFERROR(__xludf.DUMMYFUNCTION("""COMPUTED_VALUE"""),0.845)</f>
        <v>0.845</v>
      </c>
      <c r="E2170" s="8" t="str">
        <f>IFERROR(__xludf.DUMMYFUNCTION("""COMPUTED_VALUE"""),"Real")</f>
        <v>Real</v>
      </c>
      <c r="G2170" s="8">
        <f t="shared" si="1"/>
        <v>1</v>
      </c>
      <c r="H2170" s="14">
        <f t="shared" si="2"/>
        <v>30</v>
      </c>
      <c r="I2170" s="15">
        <f t="shared" si="3"/>
        <v>9</v>
      </c>
    </row>
    <row r="2171">
      <c r="A2171" s="8" t="str">
        <f>IFERROR(__xludf.DUMMYFUNCTION("IF('(INGESTA)Datos_consumo_datadis'!A2171&lt;&gt;"""",SPLIT('(INGESTA)Datos_consumo_datadis'!A:A,"",""),"""")"),"ES0031408323131005HX0F")</f>
        <v>ES0031408323131005HX0F</v>
      </c>
      <c r="B2171" s="12">
        <f>IFERROR(__xludf.DUMMYFUNCTION("""COMPUTED_VALUE"""),44956.0)</f>
        <v>44956</v>
      </c>
      <c r="C2171" s="13">
        <f>IFERROR(__xludf.DUMMYFUNCTION("""COMPUTED_VALUE"""),0.4166666666666667)</f>
        <v>0.4166666667</v>
      </c>
      <c r="D2171" s="8">
        <f>IFERROR(__xludf.DUMMYFUNCTION("""COMPUTED_VALUE"""),0.085)</f>
        <v>0.085</v>
      </c>
      <c r="E2171" s="8" t="str">
        <f>IFERROR(__xludf.DUMMYFUNCTION("""COMPUTED_VALUE"""),"Real")</f>
        <v>Real</v>
      </c>
      <c r="G2171" s="8">
        <f t="shared" si="1"/>
        <v>1</v>
      </c>
      <c r="H2171" s="14">
        <f t="shared" si="2"/>
        <v>30</v>
      </c>
      <c r="I2171" s="15">
        <f t="shared" si="3"/>
        <v>10</v>
      </c>
    </row>
    <row r="2172">
      <c r="A2172" s="8" t="str">
        <f>IFERROR(__xludf.DUMMYFUNCTION("IF('(INGESTA)Datos_consumo_datadis'!A2172&lt;&gt;"""",SPLIT('(INGESTA)Datos_consumo_datadis'!A:A,"",""),"""")"),"ES0031408323131005HX0F")</f>
        <v>ES0031408323131005HX0F</v>
      </c>
      <c r="B2172" s="12">
        <f>IFERROR(__xludf.DUMMYFUNCTION("""COMPUTED_VALUE"""),44956.0)</f>
        <v>44956</v>
      </c>
      <c r="C2172" s="13">
        <f>IFERROR(__xludf.DUMMYFUNCTION("""COMPUTED_VALUE"""),0.4583333333333333)</f>
        <v>0.4583333333</v>
      </c>
      <c r="D2172" s="8">
        <f>IFERROR(__xludf.DUMMYFUNCTION("""COMPUTED_VALUE"""),0.982)</f>
        <v>0.982</v>
      </c>
      <c r="E2172" s="8" t="str">
        <f>IFERROR(__xludf.DUMMYFUNCTION("""COMPUTED_VALUE"""),"Real")</f>
        <v>Real</v>
      </c>
      <c r="G2172" s="8">
        <f t="shared" si="1"/>
        <v>1</v>
      </c>
      <c r="H2172" s="14">
        <f t="shared" si="2"/>
        <v>30</v>
      </c>
      <c r="I2172" s="15">
        <f t="shared" si="3"/>
        <v>11</v>
      </c>
    </row>
    <row r="2173">
      <c r="A2173" s="8" t="str">
        <f>IFERROR(__xludf.DUMMYFUNCTION("IF('(INGESTA)Datos_consumo_datadis'!A2173&lt;&gt;"""",SPLIT('(INGESTA)Datos_consumo_datadis'!A:A,"",""),"""")"),"ES0031408323131005HX0F")</f>
        <v>ES0031408323131005HX0F</v>
      </c>
      <c r="B2173" s="12">
        <f>IFERROR(__xludf.DUMMYFUNCTION("""COMPUTED_VALUE"""),44956.0)</f>
        <v>44956</v>
      </c>
      <c r="C2173" s="13">
        <f>IFERROR(__xludf.DUMMYFUNCTION("""COMPUTED_VALUE"""),0.5)</f>
        <v>0.5</v>
      </c>
      <c r="D2173" s="8">
        <f>IFERROR(__xludf.DUMMYFUNCTION("""COMPUTED_VALUE"""),2.566)</f>
        <v>2.566</v>
      </c>
      <c r="E2173" s="8" t="str">
        <f>IFERROR(__xludf.DUMMYFUNCTION("""COMPUTED_VALUE"""),"Real")</f>
        <v>Real</v>
      </c>
      <c r="G2173" s="8">
        <f t="shared" si="1"/>
        <v>1</v>
      </c>
      <c r="H2173" s="14">
        <f t="shared" si="2"/>
        <v>30</v>
      </c>
      <c r="I2173" s="15">
        <f t="shared" si="3"/>
        <v>12</v>
      </c>
    </row>
    <row r="2174">
      <c r="A2174" s="8" t="str">
        <f>IFERROR(__xludf.DUMMYFUNCTION("IF('(INGESTA)Datos_consumo_datadis'!A2174&lt;&gt;"""",SPLIT('(INGESTA)Datos_consumo_datadis'!A:A,"",""),"""")"),"ES0031408323131005HX0F")</f>
        <v>ES0031408323131005HX0F</v>
      </c>
      <c r="B2174" s="12">
        <f>IFERROR(__xludf.DUMMYFUNCTION("""COMPUTED_VALUE"""),44956.0)</f>
        <v>44956</v>
      </c>
      <c r="C2174" s="13">
        <f>IFERROR(__xludf.DUMMYFUNCTION("""COMPUTED_VALUE"""),0.5416666666666666)</f>
        <v>0.5416666667</v>
      </c>
      <c r="D2174" s="8">
        <f>IFERROR(__xludf.DUMMYFUNCTION("""COMPUTED_VALUE"""),1.796)</f>
        <v>1.796</v>
      </c>
      <c r="E2174" s="8" t="str">
        <f>IFERROR(__xludf.DUMMYFUNCTION("""COMPUTED_VALUE"""),"Real")</f>
        <v>Real</v>
      </c>
      <c r="G2174" s="8">
        <f t="shared" si="1"/>
        <v>1</v>
      </c>
      <c r="H2174" s="14">
        <f t="shared" si="2"/>
        <v>30</v>
      </c>
      <c r="I2174" s="15">
        <f t="shared" si="3"/>
        <v>13</v>
      </c>
    </row>
    <row r="2175">
      <c r="A2175" s="8" t="str">
        <f>IFERROR(__xludf.DUMMYFUNCTION("IF('(INGESTA)Datos_consumo_datadis'!A2175&lt;&gt;"""",SPLIT('(INGESTA)Datos_consumo_datadis'!A:A,"",""),"""")"),"ES0031408323131005HX0F")</f>
        <v>ES0031408323131005HX0F</v>
      </c>
      <c r="B2175" s="12">
        <f>IFERROR(__xludf.DUMMYFUNCTION("""COMPUTED_VALUE"""),44956.0)</f>
        <v>44956</v>
      </c>
      <c r="C2175" s="13">
        <f>IFERROR(__xludf.DUMMYFUNCTION("""COMPUTED_VALUE"""),0.5833333333333334)</f>
        <v>0.5833333333</v>
      </c>
      <c r="D2175" s="8">
        <f>IFERROR(__xludf.DUMMYFUNCTION("""COMPUTED_VALUE"""),2.146)</f>
        <v>2.146</v>
      </c>
      <c r="E2175" s="8" t="str">
        <f>IFERROR(__xludf.DUMMYFUNCTION("""COMPUTED_VALUE"""),"Real")</f>
        <v>Real</v>
      </c>
      <c r="G2175" s="8">
        <f t="shared" si="1"/>
        <v>1</v>
      </c>
      <c r="H2175" s="14">
        <f t="shared" si="2"/>
        <v>30</v>
      </c>
      <c r="I2175" s="15">
        <f t="shared" si="3"/>
        <v>14</v>
      </c>
    </row>
    <row r="2176">
      <c r="A2176" s="8" t="str">
        <f>IFERROR(__xludf.DUMMYFUNCTION("IF('(INGESTA)Datos_consumo_datadis'!A2176&lt;&gt;"""",SPLIT('(INGESTA)Datos_consumo_datadis'!A:A,"",""),"""")"),"ES0031408323131005HX0F")</f>
        <v>ES0031408323131005HX0F</v>
      </c>
      <c r="B2176" s="12">
        <f>IFERROR(__xludf.DUMMYFUNCTION("""COMPUTED_VALUE"""),44956.0)</f>
        <v>44956</v>
      </c>
      <c r="C2176" s="13">
        <f>IFERROR(__xludf.DUMMYFUNCTION("""COMPUTED_VALUE"""),0.625)</f>
        <v>0.625</v>
      </c>
      <c r="D2176" s="8">
        <f>IFERROR(__xludf.DUMMYFUNCTION("""COMPUTED_VALUE"""),0.999)</f>
        <v>0.999</v>
      </c>
      <c r="E2176" s="8" t="str">
        <f>IFERROR(__xludf.DUMMYFUNCTION("""COMPUTED_VALUE"""),"Real")</f>
        <v>Real</v>
      </c>
      <c r="G2176" s="8">
        <f t="shared" si="1"/>
        <v>1</v>
      </c>
      <c r="H2176" s="14">
        <f t="shared" si="2"/>
        <v>30</v>
      </c>
      <c r="I2176" s="15">
        <f t="shared" si="3"/>
        <v>15</v>
      </c>
    </row>
    <row r="2177">
      <c r="A2177" s="8" t="str">
        <f>IFERROR(__xludf.DUMMYFUNCTION("IF('(INGESTA)Datos_consumo_datadis'!A2177&lt;&gt;"""",SPLIT('(INGESTA)Datos_consumo_datadis'!A:A,"",""),"""")"),"ES0031408323131005HX0F")</f>
        <v>ES0031408323131005HX0F</v>
      </c>
      <c r="B2177" s="12">
        <f>IFERROR(__xludf.DUMMYFUNCTION("""COMPUTED_VALUE"""),44956.0)</f>
        <v>44956</v>
      </c>
      <c r="C2177" s="13">
        <f>IFERROR(__xludf.DUMMYFUNCTION("""COMPUTED_VALUE"""),0.6666666666666666)</f>
        <v>0.6666666667</v>
      </c>
      <c r="D2177" s="8">
        <f>IFERROR(__xludf.DUMMYFUNCTION("""COMPUTED_VALUE"""),0.018)</f>
        <v>0.018</v>
      </c>
      <c r="E2177" s="8" t="str">
        <f>IFERROR(__xludf.DUMMYFUNCTION("""COMPUTED_VALUE"""),"Real")</f>
        <v>Real</v>
      </c>
      <c r="G2177" s="8">
        <f t="shared" si="1"/>
        <v>1</v>
      </c>
      <c r="H2177" s="14">
        <f t="shared" si="2"/>
        <v>30</v>
      </c>
      <c r="I2177" s="15">
        <f t="shared" si="3"/>
        <v>16</v>
      </c>
    </row>
    <row r="2178">
      <c r="A2178" s="8" t="str">
        <f>IFERROR(__xludf.DUMMYFUNCTION("IF('(INGESTA)Datos_consumo_datadis'!A2178&lt;&gt;"""",SPLIT('(INGESTA)Datos_consumo_datadis'!A:A,"",""),"""")"),"ES0031408323131005HX0F")</f>
        <v>ES0031408323131005HX0F</v>
      </c>
      <c r="B2178" s="12">
        <f>IFERROR(__xludf.DUMMYFUNCTION("""COMPUTED_VALUE"""),44956.0)</f>
        <v>44956</v>
      </c>
      <c r="C2178" s="13">
        <f>IFERROR(__xludf.DUMMYFUNCTION("""COMPUTED_VALUE"""),0.7083333333333334)</f>
        <v>0.7083333333</v>
      </c>
      <c r="D2178" s="8">
        <f>IFERROR(__xludf.DUMMYFUNCTION("""COMPUTED_VALUE"""),0.074)</f>
        <v>0.074</v>
      </c>
      <c r="E2178" s="8" t="str">
        <f>IFERROR(__xludf.DUMMYFUNCTION("""COMPUTED_VALUE"""),"Real")</f>
        <v>Real</v>
      </c>
      <c r="G2178" s="8">
        <f t="shared" si="1"/>
        <v>1</v>
      </c>
      <c r="H2178" s="14">
        <f t="shared" si="2"/>
        <v>30</v>
      </c>
      <c r="I2178" s="15">
        <f t="shared" si="3"/>
        <v>17</v>
      </c>
    </row>
    <row r="2179">
      <c r="A2179" s="8" t="str">
        <f>IFERROR(__xludf.DUMMYFUNCTION("IF('(INGESTA)Datos_consumo_datadis'!A2179&lt;&gt;"""",SPLIT('(INGESTA)Datos_consumo_datadis'!A:A,"",""),"""")"),"ES0031408323131005HX0F")</f>
        <v>ES0031408323131005HX0F</v>
      </c>
      <c r="B2179" s="12">
        <f>IFERROR(__xludf.DUMMYFUNCTION("""COMPUTED_VALUE"""),44956.0)</f>
        <v>44956</v>
      </c>
      <c r="C2179" s="13">
        <f>IFERROR(__xludf.DUMMYFUNCTION("""COMPUTED_VALUE"""),0.75)</f>
        <v>0.75</v>
      </c>
      <c r="D2179" s="8">
        <f>IFERROR(__xludf.DUMMYFUNCTION("""COMPUTED_VALUE"""),0.04)</f>
        <v>0.04</v>
      </c>
      <c r="E2179" s="8" t="str">
        <f>IFERROR(__xludf.DUMMYFUNCTION("""COMPUTED_VALUE"""),"Real")</f>
        <v>Real</v>
      </c>
      <c r="G2179" s="8">
        <f t="shared" si="1"/>
        <v>1</v>
      </c>
      <c r="H2179" s="14">
        <f t="shared" si="2"/>
        <v>30</v>
      </c>
      <c r="I2179" s="15">
        <f t="shared" si="3"/>
        <v>18</v>
      </c>
    </row>
    <row r="2180">
      <c r="A2180" s="8" t="str">
        <f>IFERROR(__xludf.DUMMYFUNCTION("IF('(INGESTA)Datos_consumo_datadis'!A2180&lt;&gt;"""",SPLIT('(INGESTA)Datos_consumo_datadis'!A:A,"",""),"""")"),"ES0031408323131005HX0F")</f>
        <v>ES0031408323131005HX0F</v>
      </c>
      <c r="B2180" s="12">
        <f>IFERROR(__xludf.DUMMYFUNCTION("""COMPUTED_VALUE"""),44956.0)</f>
        <v>44956</v>
      </c>
      <c r="C2180" s="13">
        <f>IFERROR(__xludf.DUMMYFUNCTION("""COMPUTED_VALUE"""),0.7916666666666666)</f>
        <v>0.7916666667</v>
      </c>
      <c r="D2180" s="8">
        <f>IFERROR(__xludf.DUMMYFUNCTION("""COMPUTED_VALUE"""),0.308)</f>
        <v>0.308</v>
      </c>
      <c r="E2180" s="8" t="str">
        <f>IFERROR(__xludf.DUMMYFUNCTION("""COMPUTED_VALUE"""),"Real")</f>
        <v>Real</v>
      </c>
      <c r="G2180" s="8">
        <f t="shared" si="1"/>
        <v>1</v>
      </c>
      <c r="H2180" s="14">
        <f t="shared" si="2"/>
        <v>30</v>
      </c>
      <c r="I2180" s="15">
        <f t="shared" si="3"/>
        <v>19</v>
      </c>
    </row>
    <row r="2181">
      <c r="A2181" s="8" t="str">
        <f>IFERROR(__xludf.DUMMYFUNCTION("IF('(INGESTA)Datos_consumo_datadis'!A2181&lt;&gt;"""",SPLIT('(INGESTA)Datos_consumo_datadis'!A:A,"",""),"""")"),"ES0031408323131005HX0F")</f>
        <v>ES0031408323131005HX0F</v>
      </c>
      <c r="B2181" s="12">
        <f>IFERROR(__xludf.DUMMYFUNCTION("""COMPUTED_VALUE"""),44956.0)</f>
        <v>44956</v>
      </c>
      <c r="C2181" s="13">
        <f>IFERROR(__xludf.DUMMYFUNCTION("""COMPUTED_VALUE"""),0.8333333333333334)</f>
        <v>0.8333333333</v>
      </c>
      <c r="D2181" s="8">
        <f>IFERROR(__xludf.DUMMYFUNCTION("""COMPUTED_VALUE"""),0.057)</f>
        <v>0.057</v>
      </c>
      <c r="E2181" s="8" t="str">
        <f>IFERROR(__xludf.DUMMYFUNCTION("""COMPUTED_VALUE"""),"Real")</f>
        <v>Real</v>
      </c>
      <c r="G2181" s="8">
        <f t="shared" si="1"/>
        <v>1</v>
      </c>
      <c r="H2181" s="14">
        <f t="shared" si="2"/>
        <v>30</v>
      </c>
      <c r="I2181" s="15">
        <f t="shared" si="3"/>
        <v>20</v>
      </c>
    </row>
    <row r="2182">
      <c r="A2182" s="8" t="str">
        <f>IFERROR(__xludf.DUMMYFUNCTION("IF('(INGESTA)Datos_consumo_datadis'!A2182&lt;&gt;"""",SPLIT('(INGESTA)Datos_consumo_datadis'!A:A,"",""),"""")"),"ES0031408323131005HX0F")</f>
        <v>ES0031408323131005HX0F</v>
      </c>
      <c r="B2182" s="12">
        <f>IFERROR(__xludf.DUMMYFUNCTION("""COMPUTED_VALUE"""),44956.0)</f>
        <v>44956</v>
      </c>
      <c r="C2182" s="13">
        <f>IFERROR(__xludf.DUMMYFUNCTION("""COMPUTED_VALUE"""),0.875)</f>
        <v>0.875</v>
      </c>
      <c r="D2182" s="8">
        <f>IFERROR(__xludf.DUMMYFUNCTION("""COMPUTED_VALUE"""),0.112)</f>
        <v>0.112</v>
      </c>
      <c r="E2182" s="8" t="str">
        <f>IFERROR(__xludf.DUMMYFUNCTION("""COMPUTED_VALUE"""),"Real")</f>
        <v>Real</v>
      </c>
      <c r="G2182" s="8">
        <f t="shared" si="1"/>
        <v>1</v>
      </c>
      <c r="H2182" s="14">
        <f t="shared" si="2"/>
        <v>30</v>
      </c>
      <c r="I2182" s="15">
        <f t="shared" si="3"/>
        <v>21</v>
      </c>
    </row>
    <row r="2183">
      <c r="A2183" s="8" t="str">
        <f>IFERROR(__xludf.DUMMYFUNCTION("IF('(INGESTA)Datos_consumo_datadis'!A2183&lt;&gt;"""",SPLIT('(INGESTA)Datos_consumo_datadis'!A:A,"",""),"""")"),"ES0031408323131005HX0F")</f>
        <v>ES0031408323131005HX0F</v>
      </c>
      <c r="B2183" s="12">
        <f>IFERROR(__xludf.DUMMYFUNCTION("""COMPUTED_VALUE"""),44956.0)</f>
        <v>44956</v>
      </c>
      <c r="C2183" s="13">
        <f>IFERROR(__xludf.DUMMYFUNCTION("""COMPUTED_VALUE"""),0.9166666666666666)</f>
        <v>0.9166666667</v>
      </c>
      <c r="D2183" s="8">
        <f>IFERROR(__xludf.DUMMYFUNCTION("""COMPUTED_VALUE"""),0.286)</f>
        <v>0.286</v>
      </c>
      <c r="E2183" s="8" t="str">
        <f>IFERROR(__xludf.DUMMYFUNCTION("""COMPUTED_VALUE"""),"Real")</f>
        <v>Real</v>
      </c>
      <c r="G2183" s="8">
        <f t="shared" si="1"/>
        <v>1</v>
      </c>
      <c r="H2183" s="14">
        <f t="shared" si="2"/>
        <v>30</v>
      </c>
      <c r="I2183" s="15">
        <f t="shared" si="3"/>
        <v>22</v>
      </c>
    </row>
    <row r="2184">
      <c r="A2184" s="8" t="str">
        <f>IFERROR(__xludf.DUMMYFUNCTION("IF('(INGESTA)Datos_consumo_datadis'!A2184&lt;&gt;"""",SPLIT('(INGESTA)Datos_consumo_datadis'!A:A,"",""),"""")"),"ES0031408323131005HX0F")</f>
        <v>ES0031408323131005HX0F</v>
      </c>
      <c r="B2184" s="12">
        <f>IFERROR(__xludf.DUMMYFUNCTION("""COMPUTED_VALUE"""),44956.0)</f>
        <v>44956</v>
      </c>
      <c r="C2184" s="13">
        <f>IFERROR(__xludf.DUMMYFUNCTION("""COMPUTED_VALUE"""),0.9583333333333334)</f>
        <v>0.9583333333</v>
      </c>
      <c r="D2184" s="8">
        <f>IFERROR(__xludf.DUMMYFUNCTION("""COMPUTED_VALUE"""),3.728)</f>
        <v>3.728</v>
      </c>
      <c r="E2184" s="8" t="str">
        <f>IFERROR(__xludf.DUMMYFUNCTION("""COMPUTED_VALUE"""),"Real")</f>
        <v>Real</v>
      </c>
      <c r="G2184" s="8">
        <f t="shared" si="1"/>
        <v>1</v>
      </c>
      <c r="H2184" s="14">
        <f t="shared" si="2"/>
        <v>30</v>
      </c>
      <c r="I2184" s="15">
        <f t="shared" si="3"/>
        <v>23</v>
      </c>
    </row>
    <row r="2185">
      <c r="A2185" s="8" t="str">
        <f>IFERROR(__xludf.DUMMYFUNCTION("IF('(INGESTA)Datos_consumo_datadis'!A2185&lt;&gt;"""",SPLIT('(INGESTA)Datos_consumo_datadis'!A:A,"",""),"""")"),"ES0031408323131005HX0F")</f>
        <v>ES0031408323131005HX0F</v>
      </c>
      <c r="B2185" s="12">
        <f>IFERROR(__xludf.DUMMYFUNCTION("""COMPUTED_VALUE"""),44956.0)</f>
        <v>44956</v>
      </c>
      <c r="C2185" s="16">
        <f>IFERROR(__xludf.DUMMYFUNCTION("""COMPUTED_VALUE"""),1.0)</f>
        <v>1</v>
      </c>
      <c r="D2185" s="8">
        <f>IFERROR(__xludf.DUMMYFUNCTION("""COMPUTED_VALUE"""),2.336)</f>
        <v>2.336</v>
      </c>
      <c r="E2185" s="8" t="str">
        <f>IFERROR(__xludf.DUMMYFUNCTION("""COMPUTED_VALUE"""),"Real")</f>
        <v>Real</v>
      </c>
      <c r="G2185" s="8">
        <f t="shared" si="1"/>
        <v>1</v>
      </c>
      <c r="H2185" s="14">
        <f t="shared" si="2"/>
        <v>30</v>
      </c>
      <c r="I2185" s="15">
        <f t="shared" si="3"/>
        <v>0</v>
      </c>
    </row>
    <row r="2186">
      <c r="A2186" s="8" t="str">
        <f>IFERROR(__xludf.DUMMYFUNCTION("IF('(INGESTA)Datos_consumo_datadis'!A2186&lt;&gt;"""",SPLIT('(INGESTA)Datos_consumo_datadis'!A:A,"",""),"""")"),"ES0031408323131005HX0F")</f>
        <v>ES0031408323131005HX0F</v>
      </c>
      <c r="B2186" s="12">
        <f>IFERROR(__xludf.DUMMYFUNCTION("""COMPUTED_VALUE"""),44957.0)</f>
        <v>44957</v>
      </c>
      <c r="C2186" s="13">
        <f>IFERROR(__xludf.DUMMYFUNCTION("""COMPUTED_VALUE"""),0.041666666666666664)</f>
        <v>0.04166666667</v>
      </c>
      <c r="D2186" s="8">
        <f>IFERROR(__xludf.DUMMYFUNCTION("""COMPUTED_VALUE"""),2.166)</f>
        <v>2.166</v>
      </c>
      <c r="E2186" s="8" t="str">
        <f>IFERROR(__xludf.DUMMYFUNCTION("""COMPUTED_VALUE"""),"Real")</f>
        <v>Real</v>
      </c>
      <c r="G2186" s="8">
        <f t="shared" si="1"/>
        <v>1</v>
      </c>
      <c r="H2186" s="14">
        <f t="shared" si="2"/>
        <v>31</v>
      </c>
      <c r="I2186" s="15">
        <f t="shared" si="3"/>
        <v>1</v>
      </c>
    </row>
    <row r="2187">
      <c r="A2187" s="8" t="str">
        <f>IFERROR(__xludf.DUMMYFUNCTION("IF('(INGESTA)Datos_consumo_datadis'!A2187&lt;&gt;"""",SPLIT('(INGESTA)Datos_consumo_datadis'!A:A,"",""),"""")"),"ES0031408323131005HX0F")</f>
        <v>ES0031408323131005HX0F</v>
      </c>
      <c r="B2187" s="12">
        <f>IFERROR(__xludf.DUMMYFUNCTION("""COMPUTED_VALUE"""),44957.0)</f>
        <v>44957</v>
      </c>
      <c r="C2187" s="13">
        <f>IFERROR(__xludf.DUMMYFUNCTION("""COMPUTED_VALUE"""),0.08333333333333333)</f>
        <v>0.08333333333</v>
      </c>
      <c r="D2187" s="8">
        <f>IFERROR(__xludf.DUMMYFUNCTION("""COMPUTED_VALUE"""),1.366)</f>
        <v>1.366</v>
      </c>
      <c r="E2187" s="8" t="str">
        <f>IFERROR(__xludf.DUMMYFUNCTION("""COMPUTED_VALUE"""),"Real")</f>
        <v>Real</v>
      </c>
      <c r="G2187" s="8">
        <f t="shared" si="1"/>
        <v>1</v>
      </c>
      <c r="H2187" s="14">
        <f t="shared" si="2"/>
        <v>31</v>
      </c>
      <c r="I2187" s="15">
        <f t="shared" si="3"/>
        <v>2</v>
      </c>
    </row>
    <row r="2188">
      <c r="A2188" s="8" t="str">
        <f>IFERROR(__xludf.DUMMYFUNCTION("IF('(INGESTA)Datos_consumo_datadis'!A2188&lt;&gt;"""",SPLIT('(INGESTA)Datos_consumo_datadis'!A:A,"",""),"""")"),"ES0031408323131005HX0F")</f>
        <v>ES0031408323131005HX0F</v>
      </c>
      <c r="B2188" s="12">
        <f>IFERROR(__xludf.DUMMYFUNCTION("""COMPUTED_VALUE"""),44957.0)</f>
        <v>44957</v>
      </c>
      <c r="C2188" s="13">
        <f>IFERROR(__xludf.DUMMYFUNCTION("""COMPUTED_VALUE"""),0.125)</f>
        <v>0.125</v>
      </c>
      <c r="D2188" s="8">
        <f>IFERROR(__xludf.DUMMYFUNCTION("""COMPUTED_VALUE"""),1.071)</f>
        <v>1.071</v>
      </c>
      <c r="E2188" s="8" t="str">
        <f>IFERROR(__xludf.DUMMYFUNCTION("""COMPUTED_VALUE"""),"Real")</f>
        <v>Real</v>
      </c>
      <c r="G2188" s="8">
        <f t="shared" si="1"/>
        <v>1</v>
      </c>
      <c r="H2188" s="14">
        <f t="shared" si="2"/>
        <v>31</v>
      </c>
      <c r="I2188" s="15">
        <f t="shared" si="3"/>
        <v>3</v>
      </c>
    </row>
    <row r="2189">
      <c r="A2189" s="8" t="str">
        <f>IFERROR(__xludf.DUMMYFUNCTION("IF('(INGESTA)Datos_consumo_datadis'!A2189&lt;&gt;"""",SPLIT('(INGESTA)Datos_consumo_datadis'!A:A,"",""),"""")"),"ES0031408323131005HX0F")</f>
        <v>ES0031408323131005HX0F</v>
      </c>
      <c r="B2189" s="12">
        <f>IFERROR(__xludf.DUMMYFUNCTION("""COMPUTED_VALUE"""),44957.0)</f>
        <v>44957</v>
      </c>
      <c r="C2189" s="13">
        <f>IFERROR(__xludf.DUMMYFUNCTION("""COMPUTED_VALUE"""),0.16666666666666666)</f>
        <v>0.1666666667</v>
      </c>
      <c r="D2189" s="8">
        <f>IFERROR(__xludf.DUMMYFUNCTION("""COMPUTED_VALUE"""),1.136)</f>
        <v>1.136</v>
      </c>
      <c r="E2189" s="8" t="str">
        <f>IFERROR(__xludf.DUMMYFUNCTION("""COMPUTED_VALUE"""),"Real")</f>
        <v>Real</v>
      </c>
      <c r="G2189" s="8">
        <f t="shared" si="1"/>
        <v>1</v>
      </c>
      <c r="H2189" s="14">
        <f t="shared" si="2"/>
        <v>31</v>
      </c>
      <c r="I2189" s="15">
        <f t="shared" si="3"/>
        <v>4</v>
      </c>
    </row>
    <row r="2190">
      <c r="A2190" s="8" t="str">
        <f>IFERROR(__xludf.DUMMYFUNCTION("IF('(INGESTA)Datos_consumo_datadis'!A2190&lt;&gt;"""",SPLIT('(INGESTA)Datos_consumo_datadis'!A:A,"",""),"""")"),"ES0031408323131005HX0F")</f>
        <v>ES0031408323131005HX0F</v>
      </c>
      <c r="B2190" s="12">
        <f>IFERROR(__xludf.DUMMYFUNCTION("""COMPUTED_VALUE"""),44957.0)</f>
        <v>44957</v>
      </c>
      <c r="C2190" s="13">
        <f>IFERROR(__xludf.DUMMYFUNCTION("""COMPUTED_VALUE"""),0.20833333333333334)</f>
        <v>0.2083333333</v>
      </c>
      <c r="D2190" s="8">
        <f>IFERROR(__xludf.DUMMYFUNCTION("""COMPUTED_VALUE"""),2.176)</f>
        <v>2.176</v>
      </c>
      <c r="E2190" s="8" t="str">
        <f>IFERROR(__xludf.DUMMYFUNCTION("""COMPUTED_VALUE"""),"Real")</f>
        <v>Real</v>
      </c>
      <c r="G2190" s="8">
        <f t="shared" si="1"/>
        <v>1</v>
      </c>
      <c r="H2190" s="14">
        <f t="shared" si="2"/>
        <v>31</v>
      </c>
      <c r="I2190" s="15">
        <f t="shared" si="3"/>
        <v>5</v>
      </c>
    </row>
    <row r="2191">
      <c r="A2191" s="8" t="str">
        <f>IFERROR(__xludf.DUMMYFUNCTION("IF('(INGESTA)Datos_consumo_datadis'!A2191&lt;&gt;"""",SPLIT('(INGESTA)Datos_consumo_datadis'!A:A,"",""),"""")"),"ES0031408323131005HX0F")</f>
        <v>ES0031408323131005HX0F</v>
      </c>
      <c r="B2191" s="12">
        <f>IFERROR(__xludf.DUMMYFUNCTION("""COMPUTED_VALUE"""),44957.0)</f>
        <v>44957</v>
      </c>
      <c r="C2191" s="13">
        <f>IFERROR(__xludf.DUMMYFUNCTION("""COMPUTED_VALUE"""),0.25)</f>
        <v>0.25</v>
      </c>
      <c r="D2191" s="8">
        <f>IFERROR(__xludf.DUMMYFUNCTION("""COMPUTED_VALUE"""),1.783)</f>
        <v>1.783</v>
      </c>
      <c r="E2191" s="8" t="str">
        <f>IFERROR(__xludf.DUMMYFUNCTION("""COMPUTED_VALUE"""),"Real")</f>
        <v>Real</v>
      </c>
      <c r="G2191" s="8">
        <f t="shared" si="1"/>
        <v>1</v>
      </c>
      <c r="H2191" s="14">
        <f t="shared" si="2"/>
        <v>31</v>
      </c>
      <c r="I2191" s="15">
        <f t="shared" si="3"/>
        <v>6</v>
      </c>
    </row>
    <row r="2192">
      <c r="A2192" s="8" t="str">
        <f>IFERROR(__xludf.DUMMYFUNCTION("IF('(INGESTA)Datos_consumo_datadis'!A2192&lt;&gt;"""",SPLIT('(INGESTA)Datos_consumo_datadis'!A:A,"",""),"""")"),"ES0031408323131005HX0F")</f>
        <v>ES0031408323131005HX0F</v>
      </c>
      <c r="B2192" s="12">
        <f>IFERROR(__xludf.DUMMYFUNCTION("""COMPUTED_VALUE"""),44957.0)</f>
        <v>44957</v>
      </c>
      <c r="C2192" s="13">
        <f>IFERROR(__xludf.DUMMYFUNCTION("""COMPUTED_VALUE"""),0.2916666666666667)</f>
        <v>0.2916666667</v>
      </c>
      <c r="D2192" s="8">
        <f>IFERROR(__xludf.DUMMYFUNCTION("""COMPUTED_VALUE"""),1.464)</f>
        <v>1.464</v>
      </c>
      <c r="E2192" s="8" t="str">
        <f>IFERROR(__xludf.DUMMYFUNCTION("""COMPUTED_VALUE"""),"Real")</f>
        <v>Real</v>
      </c>
      <c r="G2192" s="8">
        <f t="shared" si="1"/>
        <v>1</v>
      </c>
      <c r="H2192" s="14">
        <f t="shared" si="2"/>
        <v>31</v>
      </c>
      <c r="I2192" s="15">
        <f t="shared" si="3"/>
        <v>7</v>
      </c>
    </row>
    <row r="2193">
      <c r="A2193" s="8" t="str">
        <f>IFERROR(__xludf.DUMMYFUNCTION("IF('(INGESTA)Datos_consumo_datadis'!A2193&lt;&gt;"""",SPLIT('(INGESTA)Datos_consumo_datadis'!A:A,"",""),"""")"),"ES0031408323131005HX0F")</f>
        <v>ES0031408323131005HX0F</v>
      </c>
      <c r="B2193" s="12">
        <f>IFERROR(__xludf.DUMMYFUNCTION("""COMPUTED_VALUE"""),44957.0)</f>
        <v>44957</v>
      </c>
      <c r="C2193" s="13">
        <f>IFERROR(__xludf.DUMMYFUNCTION("""COMPUTED_VALUE"""),0.3333333333333333)</f>
        <v>0.3333333333</v>
      </c>
      <c r="D2193" s="8">
        <f>IFERROR(__xludf.DUMMYFUNCTION("""COMPUTED_VALUE"""),1.392)</f>
        <v>1.392</v>
      </c>
      <c r="E2193" s="8" t="str">
        <f>IFERROR(__xludf.DUMMYFUNCTION("""COMPUTED_VALUE"""),"Real")</f>
        <v>Real</v>
      </c>
      <c r="G2193" s="8">
        <f t="shared" si="1"/>
        <v>1</v>
      </c>
      <c r="H2193" s="14">
        <f t="shared" si="2"/>
        <v>31</v>
      </c>
      <c r="I2193" s="15">
        <f t="shared" si="3"/>
        <v>8</v>
      </c>
    </row>
    <row r="2194">
      <c r="A2194" s="8" t="str">
        <f>IFERROR(__xludf.DUMMYFUNCTION("IF('(INGESTA)Datos_consumo_datadis'!A2194&lt;&gt;"""",SPLIT('(INGESTA)Datos_consumo_datadis'!A:A,"",""),"""")"),"ES0031408323131005HX0F")</f>
        <v>ES0031408323131005HX0F</v>
      </c>
      <c r="B2194" s="12">
        <f>IFERROR(__xludf.DUMMYFUNCTION("""COMPUTED_VALUE"""),44957.0)</f>
        <v>44957</v>
      </c>
      <c r="C2194" s="13">
        <f>IFERROR(__xludf.DUMMYFUNCTION("""COMPUTED_VALUE"""),0.375)</f>
        <v>0.375</v>
      </c>
      <c r="D2194" s="8">
        <f>IFERROR(__xludf.DUMMYFUNCTION("""COMPUTED_VALUE"""),1.271)</f>
        <v>1.271</v>
      </c>
      <c r="E2194" s="8" t="str">
        <f>IFERROR(__xludf.DUMMYFUNCTION("""COMPUTED_VALUE"""),"Real")</f>
        <v>Real</v>
      </c>
      <c r="G2194" s="8">
        <f t="shared" si="1"/>
        <v>1</v>
      </c>
      <c r="H2194" s="14">
        <f t="shared" si="2"/>
        <v>31</v>
      </c>
      <c r="I2194" s="15">
        <f t="shared" si="3"/>
        <v>9</v>
      </c>
    </row>
    <row r="2195">
      <c r="A2195" s="8" t="str">
        <f>IFERROR(__xludf.DUMMYFUNCTION("IF('(INGESTA)Datos_consumo_datadis'!A2195&lt;&gt;"""",SPLIT('(INGESTA)Datos_consumo_datadis'!A:A,"",""),"""")"),"ES0031408323131005HX0F")</f>
        <v>ES0031408323131005HX0F</v>
      </c>
      <c r="B2195" s="12">
        <f>IFERROR(__xludf.DUMMYFUNCTION("""COMPUTED_VALUE"""),44957.0)</f>
        <v>44957</v>
      </c>
      <c r="C2195" s="13">
        <f>IFERROR(__xludf.DUMMYFUNCTION("""COMPUTED_VALUE"""),0.4166666666666667)</f>
        <v>0.4166666667</v>
      </c>
      <c r="D2195" s="8">
        <f>IFERROR(__xludf.DUMMYFUNCTION("""COMPUTED_VALUE"""),1.001)</f>
        <v>1.001</v>
      </c>
      <c r="E2195" s="8" t="str">
        <f>IFERROR(__xludf.DUMMYFUNCTION("""COMPUTED_VALUE"""),"Real")</f>
        <v>Real</v>
      </c>
      <c r="G2195" s="8">
        <f t="shared" si="1"/>
        <v>1</v>
      </c>
      <c r="H2195" s="14">
        <f t="shared" si="2"/>
        <v>31</v>
      </c>
      <c r="I2195" s="15">
        <f t="shared" si="3"/>
        <v>10</v>
      </c>
    </row>
    <row r="2196">
      <c r="A2196" s="8" t="str">
        <f>IFERROR(__xludf.DUMMYFUNCTION("IF('(INGESTA)Datos_consumo_datadis'!A2196&lt;&gt;"""",SPLIT('(INGESTA)Datos_consumo_datadis'!A:A,"",""),"""")"),"ES0031408323131005HX0F")</f>
        <v>ES0031408323131005HX0F</v>
      </c>
      <c r="B2196" s="12">
        <f>IFERROR(__xludf.DUMMYFUNCTION("""COMPUTED_VALUE"""),44957.0)</f>
        <v>44957</v>
      </c>
      <c r="C2196" s="13">
        <f>IFERROR(__xludf.DUMMYFUNCTION("""COMPUTED_VALUE"""),0.4583333333333333)</f>
        <v>0.4583333333</v>
      </c>
      <c r="D2196" s="8">
        <f>IFERROR(__xludf.DUMMYFUNCTION("""COMPUTED_VALUE"""),1.805)</f>
        <v>1.805</v>
      </c>
      <c r="E2196" s="8" t="str">
        <f>IFERROR(__xludf.DUMMYFUNCTION("""COMPUTED_VALUE"""),"Real")</f>
        <v>Real</v>
      </c>
      <c r="G2196" s="8">
        <f t="shared" si="1"/>
        <v>1</v>
      </c>
      <c r="H2196" s="14">
        <f t="shared" si="2"/>
        <v>31</v>
      </c>
      <c r="I2196" s="15">
        <f t="shared" si="3"/>
        <v>11</v>
      </c>
    </row>
    <row r="2197">
      <c r="A2197" s="8" t="str">
        <f>IFERROR(__xludf.DUMMYFUNCTION("IF('(INGESTA)Datos_consumo_datadis'!A2197&lt;&gt;"""",SPLIT('(INGESTA)Datos_consumo_datadis'!A:A,"",""),"""")"),"ES0031408323131005HX0F")</f>
        <v>ES0031408323131005HX0F</v>
      </c>
      <c r="B2197" s="12">
        <f>IFERROR(__xludf.DUMMYFUNCTION("""COMPUTED_VALUE"""),44957.0)</f>
        <v>44957</v>
      </c>
      <c r="C2197" s="13">
        <f>IFERROR(__xludf.DUMMYFUNCTION("""COMPUTED_VALUE"""),0.5)</f>
        <v>0.5</v>
      </c>
      <c r="D2197" s="8">
        <f>IFERROR(__xludf.DUMMYFUNCTION("""COMPUTED_VALUE"""),1.32)</f>
        <v>1.32</v>
      </c>
      <c r="E2197" s="8" t="str">
        <f>IFERROR(__xludf.DUMMYFUNCTION("""COMPUTED_VALUE"""),"Real")</f>
        <v>Real</v>
      </c>
      <c r="G2197" s="8">
        <f t="shared" si="1"/>
        <v>1</v>
      </c>
      <c r="H2197" s="14">
        <f t="shared" si="2"/>
        <v>31</v>
      </c>
      <c r="I2197" s="15">
        <f t="shared" si="3"/>
        <v>12</v>
      </c>
    </row>
    <row r="2198">
      <c r="A2198" s="8" t="str">
        <f>IFERROR(__xludf.DUMMYFUNCTION("IF('(INGESTA)Datos_consumo_datadis'!A2198&lt;&gt;"""",SPLIT('(INGESTA)Datos_consumo_datadis'!A:A,"",""),"""")"),"ES0031408323131005HX0F")</f>
        <v>ES0031408323131005HX0F</v>
      </c>
      <c r="B2198" s="12">
        <f>IFERROR(__xludf.DUMMYFUNCTION("""COMPUTED_VALUE"""),44957.0)</f>
        <v>44957</v>
      </c>
      <c r="C2198" s="13">
        <f>IFERROR(__xludf.DUMMYFUNCTION("""COMPUTED_VALUE"""),0.5416666666666666)</f>
        <v>0.5416666667</v>
      </c>
      <c r="D2198" s="8">
        <f>IFERROR(__xludf.DUMMYFUNCTION("""COMPUTED_VALUE"""),2.673)</f>
        <v>2.673</v>
      </c>
      <c r="E2198" s="8" t="str">
        <f>IFERROR(__xludf.DUMMYFUNCTION("""COMPUTED_VALUE"""),"Real")</f>
        <v>Real</v>
      </c>
      <c r="G2198" s="8">
        <f t="shared" si="1"/>
        <v>1</v>
      </c>
      <c r="H2198" s="14">
        <f t="shared" si="2"/>
        <v>31</v>
      </c>
      <c r="I2198" s="15">
        <f t="shared" si="3"/>
        <v>13</v>
      </c>
    </row>
    <row r="2199">
      <c r="A2199" s="8" t="str">
        <f>IFERROR(__xludf.DUMMYFUNCTION("IF('(INGESTA)Datos_consumo_datadis'!A2199&lt;&gt;"""",SPLIT('(INGESTA)Datos_consumo_datadis'!A:A,"",""),"""")"),"ES0031408323131005HX0F")</f>
        <v>ES0031408323131005HX0F</v>
      </c>
      <c r="B2199" s="12">
        <f>IFERROR(__xludf.DUMMYFUNCTION("""COMPUTED_VALUE"""),44957.0)</f>
        <v>44957</v>
      </c>
      <c r="C2199" s="13">
        <f>IFERROR(__xludf.DUMMYFUNCTION("""COMPUTED_VALUE"""),0.5833333333333334)</f>
        <v>0.5833333333</v>
      </c>
      <c r="D2199" s="8">
        <f>IFERROR(__xludf.DUMMYFUNCTION("""COMPUTED_VALUE"""),2.195)</f>
        <v>2.195</v>
      </c>
      <c r="E2199" s="8" t="str">
        <f>IFERROR(__xludf.DUMMYFUNCTION("""COMPUTED_VALUE"""),"Real")</f>
        <v>Real</v>
      </c>
      <c r="G2199" s="8">
        <f t="shared" si="1"/>
        <v>1</v>
      </c>
      <c r="H2199" s="14">
        <f t="shared" si="2"/>
        <v>31</v>
      </c>
      <c r="I2199" s="15">
        <f t="shared" si="3"/>
        <v>14</v>
      </c>
    </row>
    <row r="2200">
      <c r="A2200" s="8" t="str">
        <f>IFERROR(__xludf.DUMMYFUNCTION("IF('(INGESTA)Datos_consumo_datadis'!A2200&lt;&gt;"""",SPLIT('(INGESTA)Datos_consumo_datadis'!A:A,"",""),"""")"),"ES0031408323131005HX0F")</f>
        <v>ES0031408323131005HX0F</v>
      </c>
      <c r="B2200" s="12">
        <f>IFERROR(__xludf.DUMMYFUNCTION("""COMPUTED_VALUE"""),44957.0)</f>
        <v>44957</v>
      </c>
      <c r="C2200" s="13">
        <f>IFERROR(__xludf.DUMMYFUNCTION("""COMPUTED_VALUE"""),0.625)</f>
        <v>0.625</v>
      </c>
      <c r="D2200" s="8">
        <f>IFERROR(__xludf.DUMMYFUNCTION("""COMPUTED_VALUE"""),1.824)</f>
        <v>1.824</v>
      </c>
      <c r="E2200" s="8" t="str">
        <f>IFERROR(__xludf.DUMMYFUNCTION("""COMPUTED_VALUE"""),"Real")</f>
        <v>Real</v>
      </c>
      <c r="G2200" s="8">
        <f t="shared" si="1"/>
        <v>1</v>
      </c>
      <c r="H2200" s="14">
        <f t="shared" si="2"/>
        <v>31</v>
      </c>
      <c r="I2200" s="15">
        <f t="shared" si="3"/>
        <v>15</v>
      </c>
    </row>
    <row r="2201">
      <c r="A2201" s="8" t="str">
        <f>IFERROR(__xludf.DUMMYFUNCTION("IF('(INGESTA)Datos_consumo_datadis'!A2201&lt;&gt;"""",SPLIT('(INGESTA)Datos_consumo_datadis'!A:A,"",""),"""")"),"ES0031408323131005HX0F")</f>
        <v>ES0031408323131005HX0F</v>
      </c>
      <c r="B2201" s="12">
        <f>IFERROR(__xludf.DUMMYFUNCTION("""COMPUTED_VALUE"""),44957.0)</f>
        <v>44957</v>
      </c>
      <c r="C2201" s="13">
        <f>IFERROR(__xludf.DUMMYFUNCTION("""COMPUTED_VALUE"""),0.6666666666666666)</f>
        <v>0.6666666667</v>
      </c>
      <c r="D2201" s="8">
        <f>IFERROR(__xludf.DUMMYFUNCTION("""COMPUTED_VALUE"""),1.805)</f>
        <v>1.805</v>
      </c>
      <c r="E2201" s="8" t="str">
        <f>IFERROR(__xludf.DUMMYFUNCTION("""COMPUTED_VALUE"""),"Real")</f>
        <v>Real</v>
      </c>
      <c r="G2201" s="8">
        <f t="shared" si="1"/>
        <v>1</v>
      </c>
      <c r="H2201" s="14">
        <f t="shared" si="2"/>
        <v>31</v>
      </c>
      <c r="I2201" s="15">
        <f t="shared" si="3"/>
        <v>16</v>
      </c>
    </row>
    <row r="2202">
      <c r="A2202" s="8" t="str">
        <f>IFERROR(__xludf.DUMMYFUNCTION("IF('(INGESTA)Datos_consumo_datadis'!A2202&lt;&gt;"""",SPLIT('(INGESTA)Datos_consumo_datadis'!A:A,"",""),"""")"),"ES0031408323131005HX0F")</f>
        <v>ES0031408323131005HX0F</v>
      </c>
      <c r="B2202" s="12">
        <f>IFERROR(__xludf.DUMMYFUNCTION("""COMPUTED_VALUE"""),44957.0)</f>
        <v>44957</v>
      </c>
      <c r="C2202" s="13">
        <f>IFERROR(__xludf.DUMMYFUNCTION("""COMPUTED_VALUE"""),0.7083333333333334)</f>
        <v>0.7083333333</v>
      </c>
      <c r="D2202" s="8">
        <f>IFERROR(__xludf.DUMMYFUNCTION("""COMPUTED_VALUE"""),1.829)</f>
        <v>1.829</v>
      </c>
      <c r="E2202" s="8" t="str">
        <f>IFERROR(__xludf.DUMMYFUNCTION("""COMPUTED_VALUE"""),"Real")</f>
        <v>Real</v>
      </c>
      <c r="G2202" s="8">
        <f t="shared" si="1"/>
        <v>1</v>
      </c>
      <c r="H2202" s="14">
        <f t="shared" si="2"/>
        <v>31</v>
      </c>
      <c r="I2202" s="15">
        <f t="shared" si="3"/>
        <v>17</v>
      </c>
    </row>
    <row r="2203">
      <c r="A2203" s="8" t="str">
        <f>IFERROR(__xludf.DUMMYFUNCTION("IF('(INGESTA)Datos_consumo_datadis'!A2203&lt;&gt;"""",SPLIT('(INGESTA)Datos_consumo_datadis'!A:A,"",""),"""")"),"ES0031408323131005HX0F")</f>
        <v>ES0031408323131005HX0F</v>
      </c>
      <c r="B2203" s="12">
        <f>IFERROR(__xludf.DUMMYFUNCTION("""COMPUTED_VALUE"""),44957.0)</f>
        <v>44957</v>
      </c>
      <c r="C2203" s="13">
        <f>IFERROR(__xludf.DUMMYFUNCTION("""COMPUTED_VALUE"""),0.75)</f>
        <v>0.75</v>
      </c>
      <c r="D2203" s="8">
        <f>IFERROR(__xludf.DUMMYFUNCTION("""COMPUTED_VALUE"""),1.761)</f>
        <v>1.761</v>
      </c>
      <c r="E2203" s="8" t="str">
        <f>IFERROR(__xludf.DUMMYFUNCTION("""COMPUTED_VALUE"""),"Real")</f>
        <v>Real</v>
      </c>
      <c r="G2203" s="8">
        <f t="shared" si="1"/>
        <v>1</v>
      </c>
      <c r="H2203" s="14">
        <f t="shared" si="2"/>
        <v>31</v>
      </c>
      <c r="I2203" s="15">
        <f t="shared" si="3"/>
        <v>18</v>
      </c>
    </row>
    <row r="2204">
      <c r="A2204" s="8" t="str">
        <f>IFERROR(__xludf.DUMMYFUNCTION("IF('(INGESTA)Datos_consumo_datadis'!A2204&lt;&gt;"""",SPLIT('(INGESTA)Datos_consumo_datadis'!A:A,"",""),"""")"),"ES0031408323131005HX0F")</f>
        <v>ES0031408323131005HX0F</v>
      </c>
      <c r="B2204" s="12">
        <f>IFERROR(__xludf.DUMMYFUNCTION("""COMPUTED_VALUE"""),44957.0)</f>
        <v>44957</v>
      </c>
      <c r="C2204" s="13">
        <f>IFERROR(__xludf.DUMMYFUNCTION("""COMPUTED_VALUE"""),0.7916666666666666)</f>
        <v>0.7916666667</v>
      </c>
      <c r="D2204" s="8">
        <f>IFERROR(__xludf.DUMMYFUNCTION("""COMPUTED_VALUE"""),3.131)</f>
        <v>3.131</v>
      </c>
      <c r="E2204" s="8" t="str">
        <f>IFERROR(__xludf.DUMMYFUNCTION("""COMPUTED_VALUE"""),"Real")</f>
        <v>Real</v>
      </c>
      <c r="G2204" s="8">
        <f t="shared" si="1"/>
        <v>1</v>
      </c>
      <c r="H2204" s="14">
        <f t="shared" si="2"/>
        <v>31</v>
      </c>
      <c r="I2204" s="15">
        <f t="shared" si="3"/>
        <v>19</v>
      </c>
    </row>
    <row r="2205">
      <c r="A2205" s="8" t="str">
        <f>IFERROR(__xludf.DUMMYFUNCTION("IF('(INGESTA)Datos_consumo_datadis'!A2205&lt;&gt;"""",SPLIT('(INGESTA)Datos_consumo_datadis'!A:A,"",""),"""")"),"ES0031408323131005HX0F")</f>
        <v>ES0031408323131005HX0F</v>
      </c>
      <c r="B2205" s="12">
        <f>IFERROR(__xludf.DUMMYFUNCTION("""COMPUTED_VALUE"""),44957.0)</f>
        <v>44957</v>
      </c>
      <c r="C2205" s="13">
        <f>IFERROR(__xludf.DUMMYFUNCTION("""COMPUTED_VALUE"""),0.8333333333333334)</f>
        <v>0.8333333333</v>
      </c>
      <c r="D2205" s="8">
        <f>IFERROR(__xludf.DUMMYFUNCTION("""COMPUTED_VALUE"""),1.299)</f>
        <v>1.299</v>
      </c>
      <c r="E2205" s="8" t="str">
        <f>IFERROR(__xludf.DUMMYFUNCTION("""COMPUTED_VALUE"""),"Real")</f>
        <v>Real</v>
      </c>
      <c r="G2205" s="8">
        <f t="shared" si="1"/>
        <v>1</v>
      </c>
      <c r="H2205" s="14">
        <f t="shared" si="2"/>
        <v>31</v>
      </c>
      <c r="I2205" s="15">
        <f t="shared" si="3"/>
        <v>20</v>
      </c>
    </row>
    <row r="2206">
      <c r="A2206" s="8" t="str">
        <f>IFERROR(__xludf.DUMMYFUNCTION("IF('(INGESTA)Datos_consumo_datadis'!A2206&lt;&gt;"""",SPLIT('(INGESTA)Datos_consumo_datadis'!A:A,"",""),"""")"),"ES0031408323131005HX0F")</f>
        <v>ES0031408323131005HX0F</v>
      </c>
      <c r="B2206" s="12">
        <f>IFERROR(__xludf.DUMMYFUNCTION("""COMPUTED_VALUE"""),44957.0)</f>
        <v>44957</v>
      </c>
      <c r="C2206" s="13">
        <f>IFERROR(__xludf.DUMMYFUNCTION("""COMPUTED_VALUE"""),0.875)</f>
        <v>0.875</v>
      </c>
      <c r="D2206" s="8">
        <f>IFERROR(__xludf.DUMMYFUNCTION("""COMPUTED_VALUE"""),0.222)</f>
        <v>0.222</v>
      </c>
      <c r="E2206" s="8" t="str">
        <f>IFERROR(__xludf.DUMMYFUNCTION("""COMPUTED_VALUE"""),"Real")</f>
        <v>Real</v>
      </c>
      <c r="G2206" s="8">
        <f t="shared" si="1"/>
        <v>1</v>
      </c>
      <c r="H2206" s="14">
        <f t="shared" si="2"/>
        <v>31</v>
      </c>
      <c r="I2206" s="15">
        <f t="shared" si="3"/>
        <v>21</v>
      </c>
    </row>
    <row r="2207">
      <c r="A2207" s="8" t="str">
        <f>IFERROR(__xludf.DUMMYFUNCTION("IF('(INGESTA)Datos_consumo_datadis'!A2207&lt;&gt;"""",SPLIT('(INGESTA)Datos_consumo_datadis'!A:A,"",""),"""")"),"ES0031408323131005HX0F")</f>
        <v>ES0031408323131005HX0F</v>
      </c>
      <c r="B2207" s="12">
        <f>IFERROR(__xludf.DUMMYFUNCTION("""COMPUTED_VALUE"""),44957.0)</f>
        <v>44957</v>
      </c>
      <c r="C2207" s="13">
        <f>IFERROR(__xludf.DUMMYFUNCTION("""COMPUTED_VALUE"""),0.9166666666666666)</f>
        <v>0.9166666667</v>
      </c>
      <c r="D2207" s="8">
        <f>IFERROR(__xludf.DUMMYFUNCTION("""COMPUTED_VALUE"""),1.848)</f>
        <v>1.848</v>
      </c>
      <c r="E2207" s="8" t="str">
        <f>IFERROR(__xludf.DUMMYFUNCTION("""COMPUTED_VALUE"""),"Real")</f>
        <v>Real</v>
      </c>
      <c r="G2207" s="8">
        <f t="shared" si="1"/>
        <v>1</v>
      </c>
      <c r="H2207" s="14">
        <f t="shared" si="2"/>
        <v>31</v>
      </c>
      <c r="I2207" s="15">
        <f t="shared" si="3"/>
        <v>22</v>
      </c>
    </row>
    <row r="2208">
      <c r="A2208" s="8" t="str">
        <f>IFERROR(__xludf.DUMMYFUNCTION("IF('(INGESTA)Datos_consumo_datadis'!A2208&lt;&gt;"""",SPLIT('(INGESTA)Datos_consumo_datadis'!A:A,"",""),"""")"),"ES0031408323131005HX0F")</f>
        <v>ES0031408323131005HX0F</v>
      </c>
      <c r="B2208" s="12">
        <f>IFERROR(__xludf.DUMMYFUNCTION("""COMPUTED_VALUE"""),44957.0)</f>
        <v>44957</v>
      </c>
      <c r="C2208" s="13">
        <f>IFERROR(__xludf.DUMMYFUNCTION("""COMPUTED_VALUE"""),0.9583333333333334)</f>
        <v>0.9583333333</v>
      </c>
      <c r="D2208" s="8">
        <f>IFERROR(__xludf.DUMMYFUNCTION("""COMPUTED_VALUE"""),2.395)</f>
        <v>2.395</v>
      </c>
      <c r="E2208" s="8" t="str">
        <f>IFERROR(__xludf.DUMMYFUNCTION("""COMPUTED_VALUE"""),"Real")</f>
        <v>Real</v>
      </c>
      <c r="G2208" s="8">
        <f t="shared" si="1"/>
        <v>1</v>
      </c>
      <c r="H2208" s="14">
        <f t="shared" si="2"/>
        <v>31</v>
      </c>
      <c r="I2208" s="15">
        <f t="shared" si="3"/>
        <v>23</v>
      </c>
    </row>
    <row r="2209">
      <c r="A2209" s="8" t="str">
        <f>IFERROR(__xludf.DUMMYFUNCTION("IF('(INGESTA)Datos_consumo_datadis'!A2209&lt;&gt;"""",SPLIT('(INGESTA)Datos_consumo_datadis'!A:A,"",""),"""")"),"ES0031408323131005HX0F")</f>
        <v>ES0031408323131005HX0F</v>
      </c>
      <c r="B2209" s="12">
        <f>IFERROR(__xludf.DUMMYFUNCTION("""COMPUTED_VALUE"""),44957.0)</f>
        <v>44957</v>
      </c>
      <c r="C2209" s="16">
        <f>IFERROR(__xludf.DUMMYFUNCTION("""COMPUTED_VALUE"""),1.0)</f>
        <v>1</v>
      </c>
      <c r="D2209" s="8">
        <f>IFERROR(__xludf.DUMMYFUNCTION("""COMPUTED_VALUE"""),2.07)</f>
        <v>2.07</v>
      </c>
      <c r="E2209" s="8" t="str">
        <f>IFERROR(__xludf.DUMMYFUNCTION("""COMPUTED_VALUE"""),"Real")</f>
        <v>Real</v>
      </c>
      <c r="G2209" s="8">
        <f t="shared" si="1"/>
        <v>1</v>
      </c>
      <c r="H2209" s="14">
        <f t="shared" si="2"/>
        <v>31</v>
      </c>
      <c r="I2209" s="15">
        <f t="shared" si="3"/>
        <v>0</v>
      </c>
    </row>
    <row r="2210">
      <c r="A2210" s="8" t="str">
        <f>IFERROR(__xludf.DUMMYFUNCTION("IF('(INGESTA)Datos_consumo_datadis'!A2210&lt;&gt;"""",SPLIT('(INGESTA)Datos_consumo_datadis'!A:A,"",""),"""")"),"ES0031408323131005HX0F")</f>
        <v>ES0031408323131005HX0F</v>
      </c>
      <c r="B2210" s="12">
        <f>IFERROR(__xludf.DUMMYFUNCTION("""COMPUTED_VALUE"""),44958.0)</f>
        <v>44958</v>
      </c>
      <c r="C2210" s="13">
        <f>IFERROR(__xludf.DUMMYFUNCTION("""COMPUTED_VALUE"""),0.041666666666666664)</f>
        <v>0.04166666667</v>
      </c>
      <c r="D2210" s="8">
        <f>IFERROR(__xludf.DUMMYFUNCTION("""COMPUTED_VALUE"""),1.524)</f>
        <v>1.524</v>
      </c>
      <c r="E2210" s="8" t="str">
        <f>IFERROR(__xludf.DUMMYFUNCTION("""COMPUTED_VALUE"""),"Real")</f>
        <v>Real</v>
      </c>
      <c r="G2210" s="8">
        <f t="shared" si="1"/>
        <v>2</v>
      </c>
      <c r="H2210" s="14">
        <f t="shared" si="2"/>
        <v>1</v>
      </c>
      <c r="I2210" s="15">
        <f t="shared" si="3"/>
        <v>1</v>
      </c>
    </row>
    <row r="2211">
      <c r="A2211" s="8" t="str">
        <f>IFERROR(__xludf.DUMMYFUNCTION("IF('(INGESTA)Datos_consumo_datadis'!A2211&lt;&gt;"""",SPLIT('(INGESTA)Datos_consumo_datadis'!A:A,"",""),"""")"),"ES0031408323131005HX0F")</f>
        <v>ES0031408323131005HX0F</v>
      </c>
      <c r="B2211" s="12">
        <f>IFERROR(__xludf.DUMMYFUNCTION("""COMPUTED_VALUE"""),44958.0)</f>
        <v>44958</v>
      </c>
      <c r="C2211" s="13">
        <f>IFERROR(__xludf.DUMMYFUNCTION("""COMPUTED_VALUE"""),0.08333333333333333)</f>
        <v>0.08333333333</v>
      </c>
      <c r="D2211" s="8">
        <f>IFERROR(__xludf.DUMMYFUNCTION("""COMPUTED_VALUE"""),0.881)</f>
        <v>0.881</v>
      </c>
      <c r="E2211" s="8" t="str">
        <f>IFERROR(__xludf.DUMMYFUNCTION("""COMPUTED_VALUE"""),"Real")</f>
        <v>Real</v>
      </c>
      <c r="G2211" s="8">
        <f t="shared" si="1"/>
        <v>2</v>
      </c>
      <c r="H2211" s="14">
        <f t="shared" si="2"/>
        <v>1</v>
      </c>
      <c r="I2211" s="15">
        <f t="shared" si="3"/>
        <v>2</v>
      </c>
    </row>
    <row r="2212">
      <c r="A2212" s="8" t="str">
        <f>IFERROR(__xludf.DUMMYFUNCTION("IF('(INGESTA)Datos_consumo_datadis'!A2212&lt;&gt;"""",SPLIT('(INGESTA)Datos_consumo_datadis'!A:A,"",""),"""")"),"ES0031408323131005HX0F")</f>
        <v>ES0031408323131005HX0F</v>
      </c>
      <c r="B2212" s="12">
        <f>IFERROR(__xludf.DUMMYFUNCTION("""COMPUTED_VALUE"""),44958.0)</f>
        <v>44958</v>
      </c>
      <c r="C2212" s="13">
        <f>IFERROR(__xludf.DUMMYFUNCTION("""COMPUTED_VALUE"""),0.125)</f>
        <v>0.125</v>
      </c>
      <c r="D2212" s="8">
        <f>IFERROR(__xludf.DUMMYFUNCTION("""COMPUTED_VALUE"""),0.815)</f>
        <v>0.815</v>
      </c>
      <c r="E2212" s="8" t="str">
        <f>IFERROR(__xludf.DUMMYFUNCTION("""COMPUTED_VALUE"""),"Real")</f>
        <v>Real</v>
      </c>
      <c r="G2212" s="8">
        <f t="shared" si="1"/>
        <v>2</v>
      </c>
      <c r="H2212" s="14">
        <f t="shared" si="2"/>
        <v>1</v>
      </c>
      <c r="I2212" s="15">
        <f t="shared" si="3"/>
        <v>3</v>
      </c>
    </row>
    <row r="2213">
      <c r="A2213" s="8" t="str">
        <f>IFERROR(__xludf.DUMMYFUNCTION("IF('(INGESTA)Datos_consumo_datadis'!A2213&lt;&gt;"""",SPLIT('(INGESTA)Datos_consumo_datadis'!A:A,"",""),"""")"),"ES0031408323131005HX0F")</f>
        <v>ES0031408323131005HX0F</v>
      </c>
      <c r="B2213" s="12">
        <f>IFERROR(__xludf.DUMMYFUNCTION("""COMPUTED_VALUE"""),44958.0)</f>
        <v>44958</v>
      </c>
      <c r="C2213" s="13">
        <f>IFERROR(__xludf.DUMMYFUNCTION("""COMPUTED_VALUE"""),0.16666666666666666)</f>
        <v>0.1666666667</v>
      </c>
      <c r="D2213" s="8">
        <f>IFERROR(__xludf.DUMMYFUNCTION("""COMPUTED_VALUE"""),0.805)</f>
        <v>0.805</v>
      </c>
      <c r="E2213" s="8" t="str">
        <f>IFERROR(__xludf.DUMMYFUNCTION("""COMPUTED_VALUE"""),"Real")</f>
        <v>Real</v>
      </c>
      <c r="G2213" s="8">
        <f t="shared" si="1"/>
        <v>2</v>
      </c>
      <c r="H2213" s="14">
        <f t="shared" si="2"/>
        <v>1</v>
      </c>
      <c r="I2213" s="15">
        <f t="shared" si="3"/>
        <v>4</v>
      </c>
    </row>
    <row r="2214">
      <c r="A2214" s="8" t="str">
        <f>IFERROR(__xludf.DUMMYFUNCTION("IF('(INGESTA)Datos_consumo_datadis'!A2214&lt;&gt;"""",SPLIT('(INGESTA)Datos_consumo_datadis'!A:A,"",""),"""")"),"ES0031408323131005HX0F")</f>
        <v>ES0031408323131005HX0F</v>
      </c>
      <c r="B2214" s="12">
        <f>IFERROR(__xludf.DUMMYFUNCTION("""COMPUTED_VALUE"""),44958.0)</f>
        <v>44958</v>
      </c>
      <c r="C2214" s="13">
        <f>IFERROR(__xludf.DUMMYFUNCTION("""COMPUTED_VALUE"""),0.20833333333333334)</f>
        <v>0.2083333333</v>
      </c>
      <c r="D2214" s="8">
        <f>IFERROR(__xludf.DUMMYFUNCTION("""COMPUTED_VALUE"""),0.82)</f>
        <v>0.82</v>
      </c>
      <c r="E2214" s="8" t="str">
        <f>IFERROR(__xludf.DUMMYFUNCTION("""COMPUTED_VALUE"""),"Real")</f>
        <v>Real</v>
      </c>
      <c r="G2214" s="8">
        <f t="shared" si="1"/>
        <v>2</v>
      </c>
      <c r="H2214" s="14">
        <f t="shared" si="2"/>
        <v>1</v>
      </c>
      <c r="I2214" s="15">
        <f t="shared" si="3"/>
        <v>5</v>
      </c>
    </row>
    <row r="2215">
      <c r="A2215" s="8" t="str">
        <f>IFERROR(__xludf.DUMMYFUNCTION("IF('(INGESTA)Datos_consumo_datadis'!A2215&lt;&gt;"""",SPLIT('(INGESTA)Datos_consumo_datadis'!A:A,"",""),"""")"),"ES0031408323131005HX0F")</f>
        <v>ES0031408323131005HX0F</v>
      </c>
      <c r="B2215" s="12">
        <f>IFERROR(__xludf.DUMMYFUNCTION("""COMPUTED_VALUE"""),44958.0)</f>
        <v>44958</v>
      </c>
      <c r="C2215" s="13">
        <f>IFERROR(__xludf.DUMMYFUNCTION("""COMPUTED_VALUE"""),0.25)</f>
        <v>0.25</v>
      </c>
      <c r="D2215" s="8">
        <f>IFERROR(__xludf.DUMMYFUNCTION("""COMPUTED_VALUE"""),0.779)</f>
        <v>0.779</v>
      </c>
      <c r="E2215" s="8" t="str">
        <f>IFERROR(__xludf.DUMMYFUNCTION("""COMPUTED_VALUE"""),"Real")</f>
        <v>Real</v>
      </c>
      <c r="G2215" s="8">
        <f t="shared" si="1"/>
        <v>2</v>
      </c>
      <c r="H2215" s="14">
        <f t="shared" si="2"/>
        <v>1</v>
      </c>
      <c r="I2215" s="15">
        <f t="shared" si="3"/>
        <v>6</v>
      </c>
    </row>
    <row r="2216">
      <c r="A2216" s="8" t="str">
        <f>IFERROR(__xludf.DUMMYFUNCTION("IF('(INGESTA)Datos_consumo_datadis'!A2216&lt;&gt;"""",SPLIT('(INGESTA)Datos_consumo_datadis'!A:A,"",""),"""")"),"ES0031408323131005HX0F")</f>
        <v>ES0031408323131005HX0F</v>
      </c>
      <c r="B2216" s="12">
        <f>IFERROR(__xludf.DUMMYFUNCTION("""COMPUTED_VALUE"""),44958.0)</f>
        <v>44958</v>
      </c>
      <c r="C2216" s="13">
        <f>IFERROR(__xludf.DUMMYFUNCTION("""COMPUTED_VALUE"""),0.2916666666666667)</f>
        <v>0.2916666667</v>
      </c>
      <c r="D2216" s="8">
        <f>IFERROR(__xludf.DUMMYFUNCTION("""COMPUTED_VALUE"""),1.086)</f>
        <v>1.086</v>
      </c>
      <c r="E2216" s="8" t="str">
        <f>IFERROR(__xludf.DUMMYFUNCTION("""COMPUTED_VALUE"""),"Real")</f>
        <v>Real</v>
      </c>
      <c r="G2216" s="8">
        <f t="shared" si="1"/>
        <v>2</v>
      </c>
      <c r="H2216" s="14">
        <f t="shared" si="2"/>
        <v>1</v>
      </c>
      <c r="I2216" s="15">
        <f t="shared" si="3"/>
        <v>7</v>
      </c>
    </row>
    <row r="2217">
      <c r="A2217" s="8" t="str">
        <f>IFERROR(__xludf.DUMMYFUNCTION("IF('(INGESTA)Datos_consumo_datadis'!A2217&lt;&gt;"""",SPLIT('(INGESTA)Datos_consumo_datadis'!A:A,"",""),"""")"),"ES0031408323131005HX0F")</f>
        <v>ES0031408323131005HX0F</v>
      </c>
      <c r="B2217" s="12">
        <f>IFERROR(__xludf.DUMMYFUNCTION("""COMPUTED_VALUE"""),44958.0)</f>
        <v>44958</v>
      </c>
      <c r="C2217" s="13">
        <f>IFERROR(__xludf.DUMMYFUNCTION("""COMPUTED_VALUE"""),0.3333333333333333)</f>
        <v>0.3333333333</v>
      </c>
      <c r="D2217" s="8">
        <f>IFERROR(__xludf.DUMMYFUNCTION("""COMPUTED_VALUE"""),0.837)</f>
        <v>0.837</v>
      </c>
      <c r="E2217" s="8" t="str">
        <f>IFERROR(__xludf.DUMMYFUNCTION("""COMPUTED_VALUE"""),"Real")</f>
        <v>Real</v>
      </c>
      <c r="G2217" s="8">
        <f t="shared" si="1"/>
        <v>2</v>
      </c>
      <c r="H2217" s="14">
        <f t="shared" si="2"/>
        <v>1</v>
      </c>
      <c r="I2217" s="15">
        <f t="shared" si="3"/>
        <v>8</v>
      </c>
    </row>
    <row r="2218">
      <c r="A2218" s="8" t="str">
        <f>IFERROR(__xludf.DUMMYFUNCTION("IF('(INGESTA)Datos_consumo_datadis'!A2218&lt;&gt;"""",SPLIT('(INGESTA)Datos_consumo_datadis'!A:A,"",""),"""")"),"ES0031408323131005HX0F")</f>
        <v>ES0031408323131005HX0F</v>
      </c>
      <c r="B2218" s="12">
        <f>IFERROR(__xludf.DUMMYFUNCTION("""COMPUTED_VALUE"""),44958.0)</f>
        <v>44958</v>
      </c>
      <c r="C2218" s="13">
        <f>IFERROR(__xludf.DUMMYFUNCTION("""COMPUTED_VALUE"""),0.375)</f>
        <v>0.375</v>
      </c>
      <c r="D2218" s="8">
        <f>IFERROR(__xludf.DUMMYFUNCTION("""COMPUTED_VALUE"""),0.745)</f>
        <v>0.745</v>
      </c>
      <c r="E2218" s="8" t="str">
        <f>IFERROR(__xludf.DUMMYFUNCTION("""COMPUTED_VALUE"""),"Real")</f>
        <v>Real</v>
      </c>
      <c r="G2218" s="8">
        <f t="shared" si="1"/>
        <v>2</v>
      </c>
      <c r="H2218" s="14">
        <f t="shared" si="2"/>
        <v>1</v>
      </c>
      <c r="I2218" s="15">
        <f t="shared" si="3"/>
        <v>9</v>
      </c>
    </row>
    <row r="2219">
      <c r="A2219" s="8" t="str">
        <f>IFERROR(__xludf.DUMMYFUNCTION("IF('(INGESTA)Datos_consumo_datadis'!A2219&lt;&gt;"""",SPLIT('(INGESTA)Datos_consumo_datadis'!A:A,"",""),"""")"),"ES0031408323131005HX0F")</f>
        <v>ES0031408323131005HX0F</v>
      </c>
      <c r="B2219" s="12">
        <f>IFERROR(__xludf.DUMMYFUNCTION("""COMPUTED_VALUE"""),44958.0)</f>
        <v>44958</v>
      </c>
      <c r="C2219" s="13">
        <f>IFERROR(__xludf.DUMMYFUNCTION("""COMPUTED_VALUE"""),0.4166666666666667)</f>
        <v>0.4166666667</v>
      </c>
      <c r="D2219" s="8">
        <f>IFERROR(__xludf.DUMMYFUNCTION("""COMPUTED_VALUE"""),1.497)</f>
        <v>1.497</v>
      </c>
      <c r="E2219" s="8" t="str">
        <f>IFERROR(__xludf.DUMMYFUNCTION("""COMPUTED_VALUE"""),"Real")</f>
        <v>Real</v>
      </c>
      <c r="G2219" s="8">
        <f t="shared" si="1"/>
        <v>2</v>
      </c>
      <c r="H2219" s="14">
        <f t="shared" si="2"/>
        <v>1</v>
      </c>
      <c r="I2219" s="15">
        <f t="shared" si="3"/>
        <v>10</v>
      </c>
    </row>
    <row r="2220">
      <c r="A2220" s="8" t="str">
        <f>IFERROR(__xludf.DUMMYFUNCTION("IF('(INGESTA)Datos_consumo_datadis'!A2220&lt;&gt;"""",SPLIT('(INGESTA)Datos_consumo_datadis'!A:A,"",""),"""")"),"ES0031408323131005HX0F")</f>
        <v>ES0031408323131005HX0F</v>
      </c>
      <c r="B2220" s="12">
        <f>IFERROR(__xludf.DUMMYFUNCTION("""COMPUTED_VALUE"""),44958.0)</f>
        <v>44958</v>
      </c>
      <c r="C2220" s="13">
        <f>IFERROR(__xludf.DUMMYFUNCTION("""COMPUTED_VALUE"""),0.4583333333333333)</f>
        <v>0.4583333333</v>
      </c>
      <c r="D2220" s="8">
        <f>IFERROR(__xludf.DUMMYFUNCTION("""COMPUTED_VALUE"""),1.668)</f>
        <v>1.668</v>
      </c>
      <c r="E2220" s="8" t="str">
        <f>IFERROR(__xludf.DUMMYFUNCTION("""COMPUTED_VALUE"""),"Real")</f>
        <v>Real</v>
      </c>
      <c r="G2220" s="8">
        <f t="shared" si="1"/>
        <v>2</v>
      </c>
      <c r="H2220" s="14">
        <f t="shared" si="2"/>
        <v>1</v>
      </c>
      <c r="I2220" s="15">
        <f t="shared" si="3"/>
        <v>11</v>
      </c>
    </row>
    <row r="2221">
      <c r="A2221" s="8" t="str">
        <f>IFERROR(__xludf.DUMMYFUNCTION("IF('(INGESTA)Datos_consumo_datadis'!A2221&lt;&gt;"""",SPLIT('(INGESTA)Datos_consumo_datadis'!A:A,"",""),"""")"),"ES0031408323131005HX0F")</f>
        <v>ES0031408323131005HX0F</v>
      </c>
      <c r="B2221" s="12">
        <f>IFERROR(__xludf.DUMMYFUNCTION("""COMPUTED_VALUE"""),44958.0)</f>
        <v>44958</v>
      </c>
      <c r="C2221" s="13">
        <f>IFERROR(__xludf.DUMMYFUNCTION("""COMPUTED_VALUE"""),0.5)</f>
        <v>0.5</v>
      </c>
      <c r="D2221" s="8">
        <f>IFERROR(__xludf.DUMMYFUNCTION("""COMPUTED_VALUE"""),0.388)</f>
        <v>0.388</v>
      </c>
      <c r="E2221" s="8" t="str">
        <f>IFERROR(__xludf.DUMMYFUNCTION("""COMPUTED_VALUE"""),"Real")</f>
        <v>Real</v>
      </c>
      <c r="G2221" s="8">
        <f t="shared" si="1"/>
        <v>2</v>
      </c>
      <c r="H2221" s="14">
        <f t="shared" si="2"/>
        <v>1</v>
      </c>
      <c r="I2221" s="15">
        <f t="shared" si="3"/>
        <v>12</v>
      </c>
    </row>
    <row r="2222">
      <c r="A2222" s="8" t="str">
        <f>IFERROR(__xludf.DUMMYFUNCTION("IF('(INGESTA)Datos_consumo_datadis'!A2222&lt;&gt;"""",SPLIT('(INGESTA)Datos_consumo_datadis'!A:A,"",""),"""")"),"ES0031408323131005HX0F")</f>
        <v>ES0031408323131005HX0F</v>
      </c>
      <c r="B2222" s="12">
        <f>IFERROR(__xludf.DUMMYFUNCTION("""COMPUTED_VALUE"""),44958.0)</f>
        <v>44958</v>
      </c>
      <c r="C2222" s="13">
        <f>IFERROR(__xludf.DUMMYFUNCTION("""COMPUTED_VALUE"""),0.5416666666666666)</f>
        <v>0.5416666667</v>
      </c>
      <c r="D2222" s="8">
        <f>IFERROR(__xludf.DUMMYFUNCTION("""COMPUTED_VALUE"""),0.047)</f>
        <v>0.047</v>
      </c>
      <c r="E2222" s="8" t="str">
        <f>IFERROR(__xludf.DUMMYFUNCTION("""COMPUTED_VALUE"""),"Real")</f>
        <v>Real</v>
      </c>
      <c r="G2222" s="8">
        <f t="shared" si="1"/>
        <v>2</v>
      </c>
      <c r="H2222" s="14">
        <f t="shared" si="2"/>
        <v>1</v>
      </c>
      <c r="I2222" s="15">
        <f t="shared" si="3"/>
        <v>13</v>
      </c>
    </row>
    <row r="2223">
      <c r="A2223" s="8" t="str">
        <f>IFERROR(__xludf.DUMMYFUNCTION("IF('(INGESTA)Datos_consumo_datadis'!A2223&lt;&gt;"""",SPLIT('(INGESTA)Datos_consumo_datadis'!A:A,"",""),"""")"),"ES0031408323131005HX0F")</f>
        <v>ES0031408323131005HX0F</v>
      </c>
      <c r="B2223" s="12">
        <f>IFERROR(__xludf.DUMMYFUNCTION("""COMPUTED_VALUE"""),44958.0)</f>
        <v>44958</v>
      </c>
      <c r="C2223" s="13">
        <f>IFERROR(__xludf.DUMMYFUNCTION("""COMPUTED_VALUE"""),0.5833333333333334)</f>
        <v>0.5833333333</v>
      </c>
      <c r="D2223" s="8">
        <f>IFERROR(__xludf.DUMMYFUNCTION("""COMPUTED_VALUE"""),0.623)</f>
        <v>0.623</v>
      </c>
      <c r="E2223" s="8" t="str">
        <f>IFERROR(__xludf.DUMMYFUNCTION("""COMPUTED_VALUE"""),"Real")</f>
        <v>Real</v>
      </c>
      <c r="G2223" s="8">
        <f t="shared" si="1"/>
        <v>2</v>
      </c>
      <c r="H2223" s="14">
        <f t="shared" si="2"/>
        <v>1</v>
      </c>
      <c r="I2223" s="15">
        <f t="shared" si="3"/>
        <v>14</v>
      </c>
    </row>
    <row r="2224">
      <c r="A2224" s="8" t="str">
        <f>IFERROR(__xludf.DUMMYFUNCTION("IF('(INGESTA)Datos_consumo_datadis'!A2224&lt;&gt;"""",SPLIT('(INGESTA)Datos_consumo_datadis'!A:A,"",""),"""")"),"ES0031408323131005HX0F")</f>
        <v>ES0031408323131005HX0F</v>
      </c>
      <c r="B2224" s="12">
        <f>IFERROR(__xludf.DUMMYFUNCTION("""COMPUTED_VALUE"""),44958.0)</f>
        <v>44958</v>
      </c>
      <c r="C2224" s="13">
        <f>IFERROR(__xludf.DUMMYFUNCTION("""COMPUTED_VALUE"""),0.625)</f>
        <v>0.625</v>
      </c>
      <c r="D2224" s="8">
        <f>IFERROR(__xludf.DUMMYFUNCTION("""COMPUTED_VALUE"""),0.395)</f>
        <v>0.395</v>
      </c>
      <c r="E2224" s="8" t="str">
        <f>IFERROR(__xludf.DUMMYFUNCTION("""COMPUTED_VALUE"""),"Real")</f>
        <v>Real</v>
      </c>
      <c r="G2224" s="8">
        <f t="shared" si="1"/>
        <v>2</v>
      </c>
      <c r="H2224" s="14">
        <f t="shared" si="2"/>
        <v>1</v>
      </c>
      <c r="I2224" s="15">
        <f t="shared" si="3"/>
        <v>15</v>
      </c>
    </row>
    <row r="2225">
      <c r="A2225" s="8" t="str">
        <f>IFERROR(__xludf.DUMMYFUNCTION("IF('(INGESTA)Datos_consumo_datadis'!A2225&lt;&gt;"""",SPLIT('(INGESTA)Datos_consumo_datadis'!A:A,"",""),"""")"),"ES0031408323131005HX0F")</f>
        <v>ES0031408323131005HX0F</v>
      </c>
      <c r="B2225" s="12">
        <f>IFERROR(__xludf.DUMMYFUNCTION("""COMPUTED_VALUE"""),44958.0)</f>
        <v>44958</v>
      </c>
      <c r="C2225" s="13">
        <f>IFERROR(__xludf.DUMMYFUNCTION("""COMPUTED_VALUE"""),0.6666666666666666)</f>
        <v>0.6666666667</v>
      </c>
      <c r="D2225" s="8">
        <f>IFERROR(__xludf.DUMMYFUNCTION("""COMPUTED_VALUE"""),0.385)</f>
        <v>0.385</v>
      </c>
      <c r="E2225" s="8" t="str">
        <f>IFERROR(__xludf.DUMMYFUNCTION("""COMPUTED_VALUE"""),"Real")</f>
        <v>Real</v>
      </c>
      <c r="G2225" s="8">
        <f t="shared" si="1"/>
        <v>2</v>
      </c>
      <c r="H2225" s="14">
        <f t="shared" si="2"/>
        <v>1</v>
      </c>
      <c r="I2225" s="15">
        <f t="shared" si="3"/>
        <v>16</v>
      </c>
    </row>
    <row r="2226">
      <c r="A2226" s="8" t="str">
        <f>IFERROR(__xludf.DUMMYFUNCTION("IF('(INGESTA)Datos_consumo_datadis'!A2226&lt;&gt;"""",SPLIT('(INGESTA)Datos_consumo_datadis'!A:A,"",""),"""")"),"ES0031408323131005HX0F")</f>
        <v>ES0031408323131005HX0F</v>
      </c>
      <c r="B2226" s="12">
        <f>IFERROR(__xludf.DUMMYFUNCTION("""COMPUTED_VALUE"""),44958.0)</f>
        <v>44958</v>
      </c>
      <c r="C2226" s="13">
        <f>IFERROR(__xludf.DUMMYFUNCTION("""COMPUTED_VALUE"""),0.7083333333333334)</f>
        <v>0.7083333333</v>
      </c>
      <c r="D2226" s="8">
        <f>IFERROR(__xludf.DUMMYFUNCTION("""COMPUTED_VALUE"""),0.044)</f>
        <v>0.044</v>
      </c>
      <c r="E2226" s="8" t="str">
        <f>IFERROR(__xludf.DUMMYFUNCTION("""COMPUTED_VALUE"""),"Real")</f>
        <v>Real</v>
      </c>
      <c r="G2226" s="8">
        <f t="shared" si="1"/>
        <v>2</v>
      </c>
      <c r="H2226" s="14">
        <f t="shared" si="2"/>
        <v>1</v>
      </c>
      <c r="I2226" s="15">
        <f t="shared" si="3"/>
        <v>17</v>
      </c>
    </row>
    <row r="2227">
      <c r="A2227" s="8" t="str">
        <f>IFERROR(__xludf.DUMMYFUNCTION("IF('(INGESTA)Datos_consumo_datadis'!A2227&lt;&gt;"""",SPLIT('(INGESTA)Datos_consumo_datadis'!A:A,"",""),"""")"),"ES0031408323131005HX0F")</f>
        <v>ES0031408323131005HX0F</v>
      </c>
      <c r="B2227" s="12">
        <f>IFERROR(__xludf.DUMMYFUNCTION("""COMPUTED_VALUE"""),44958.0)</f>
        <v>44958</v>
      </c>
      <c r="C2227" s="13">
        <f>IFERROR(__xludf.DUMMYFUNCTION("""COMPUTED_VALUE"""),0.75)</f>
        <v>0.75</v>
      </c>
      <c r="D2227" s="8">
        <f>IFERROR(__xludf.DUMMYFUNCTION("""COMPUTED_VALUE"""),0.04)</f>
        <v>0.04</v>
      </c>
      <c r="E2227" s="8" t="str">
        <f>IFERROR(__xludf.DUMMYFUNCTION("""COMPUTED_VALUE"""),"Real")</f>
        <v>Real</v>
      </c>
      <c r="G2227" s="8">
        <f t="shared" si="1"/>
        <v>2</v>
      </c>
      <c r="H2227" s="14">
        <f t="shared" si="2"/>
        <v>1</v>
      </c>
      <c r="I2227" s="15">
        <f t="shared" si="3"/>
        <v>18</v>
      </c>
    </row>
    <row r="2228">
      <c r="A2228" s="8" t="str">
        <f>IFERROR(__xludf.DUMMYFUNCTION("IF('(INGESTA)Datos_consumo_datadis'!A2228&lt;&gt;"""",SPLIT('(INGESTA)Datos_consumo_datadis'!A:A,"",""),"""")"),"ES0031408323131005HX0F")</f>
        <v>ES0031408323131005HX0F</v>
      </c>
      <c r="B2228" s="12">
        <f>IFERROR(__xludf.DUMMYFUNCTION("""COMPUTED_VALUE"""),44958.0)</f>
        <v>44958</v>
      </c>
      <c r="C2228" s="13">
        <f>IFERROR(__xludf.DUMMYFUNCTION("""COMPUTED_VALUE"""),0.7916666666666666)</f>
        <v>0.7916666667</v>
      </c>
      <c r="D2228" s="8">
        <f>IFERROR(__xludf.DUMMYFUNCTION("""COMPUTED_VALUE"""),0.016)</f>
        <v>0.016</v>
      </c>
      <c r="E2228" s="8" t="str">
        <f>IFERROR(__xludf.DUMMYFUNCTION("""COMPUTED_VALUE"""),"Real")</f>
        <v>Real</v>
      </c>
      <c r="G2228" s="8">
        <f t="shared" si="1"/>
        <v>2</v>
      </c>
      <c r="H2228" s="14">
        <f t="shared" si="2"/>
        <v>1</v>
      </c>
      <c r="I2228" s="15">
        <f t="shared" si="3"/>
        <v>19</v>
      </c>
    </row>
    <row r="2229">
      <c r="A2229" s="8" t="str">
        <f>IFERROR(__xludf.DUMMYFUNCTION("IF('(INGESTA)Datos_consumo_datadis'!A2229&lt;&gt;"""",SPLIT('(INGESTA)Datos_consumo_datadis'!A:A,"",""),"""")"),"ES0031408323131005HX0F")</f>
        <v>ES0031408323131005HX0F</v>
      </c>
      <c r="B2229" s="12">
        <f>IFERROR(__xludf.DUMMYFUNCTION("""COMPUTED_VALUE"""),44958.0)</f>
        <v>44958</v>
      </c>
      <c r="C2229" s="13">
        <f>IFERROR(__xludf.DUMMYFUNCTION("""COMPUTED_VALUE"""),0.8333333333333334)</f>
        <v>0.8333333333</v>
      </c>
      <c r="D2229" s="8">
        <f>IFERROR(__xludf.DUMMYFUNCTION("""COMPUTED_VALUE"""),0.076)</f>
        <v>0.076</v>
      </c>
      <c r="E2229" s="8" t="str">
        <f>IFERROR(__xludf.DUMMYFUNCTION("""COMPUTED_VALUE"""),"Real")</f>
        <v>Real</v>
      </c>
      <c r="G2229" s="8">
        <f t="shared" si="1"/>
        <v>2</v>
      </c>
      <c r="H2229" s="14">
        <f t="shared" si="2"/>
        <v>1</v>
      </c>
      <c r="I2229" s="15">
        <f t="shared" si="3"/>
        <v>20</v>
      </c>
    </row>
    <row r="2230">
      <c r="A2230" s="8" t="str">
        <f>IFERROR(__xludf.DUMMYFUNCTION("IF('(INGESTA)Datos_consumo_datadis'!A2230&lt;&gt;"""",SPLIT('(INGESTA)Datos_consumo_datadis'!A:A,"",""),"""")"),"ES0031408323131005HX0F")</f>
        <v>ES0031408323131005HX0F</v>
      </c>
      <c r="B2230" s="12">
        <f>IFERROR(__xludf.DUMMYFUNCTION("""COMPUTED_VALUE"""),44958.0)</f>
        <v>44958</v>
      </c>
      <c r="C2230" s="13">
        <f>IFERROR(__xludf.DUMMYFUNCTION("""COMPUTED_VALUE"""),0.875)</f>
        <v>0.875</v>
      </c>
      <c r="D2230" s="8">
        <f>IFERROR(__xludf.DUMMYFUNCTION("""COMPUTED_VALUE"""),0.041)</f>
        <v>0.041</v>
      </c>
      <c r="E2230" s="8" t="str">
        <f>IFERROR(__xludf.DUMMYFUNCTION("""COMPUTED_VALUE"""),"Real")</f>
        <v>Real</v>
      </c>
      <c r="G2230" s="8">
        <f t="shared" si="1"/>
        <v>2</v>
      </c>
      <c r="H2230" s="14">
        <f t="shared" si="2"/>
        <v>1</v>
      </c>
      <c r="I2230" s="15">
        <f t="shared" si="3"/>
        <v>21</v>
      </c>
    </row>
    <row r="2231">
      <c r="A2231" s="8" t="str">
        <f>IFERROR(__xludf.DUMMYFUNCTION("IF('(INGESTA)Datos_consumo_datadis'!A2231&lt;&gt;"""",SPLIT('(INGESTA)Datos_consumo_datadis'!A:A,"",""),"""")"),"ES0031408323131005HX0F")</f>
        <v>ES0031408323131005HX0F</v>
      </c>
      <c r="B2231" s="12">
        <f>IFERROR(__xludf.DUMMYFUNCTION("""COMPUTED_VALUE"""),44958.0)</f>
        <v>44958</v>
      </c>
      <c r="C2231" s="13">
        <f>IFERROR(__xludf.DUMMYFUNCTION("""COMPUTED_VALUE"""),0.9166666666666666)</f>
        <v>0.9166666667</v>
      </c>
      <c r="D2231" s="8">
        <f>IFERROR(__xludf.DUMMYFUNCTION("""COMPUTED_VALUE"""),0.527)</f>
        <v>0.527</v>
      </c>
      <c r="E2231" s="8" t="str">
        <f>IFERROR(__xludf.DUMMYFUNCTION("""COMPUTED_VALUE"""),"Real")</f>
        <v>Real</v>
      </c>
      <c r="G2231" s="8">
        <f t="shared" si="1"/>
        <v>2</v>
      </c>
      <c r="H2231" s="14">
        <f t="shared" si="2"/>
        <v>1</v>
      </c>
      <c r="I2231" s="15">
        <f t="shared" si="3"/>
        <v>22</v>
      </c>
    </row>
    <row r="2232">
      <c r="A2232" s="8" t="str">
        <f>IFERROR(__xludf.DUMMYFUNCTION("IF('(INGESTA)Datos_consumo_datadis'!A2232&lt;&gt;"""",SPLIT('(INGESTA)Datos_consumo_datadis'!A:A,"",""),"""")"),"ES0031408323131005HX0F")</f>
        <v>ES0031408323131005HX0F</v>
      </c>
      <c r="B2232" s="12">
        <f>IFERROR(__xludf.DUMMYFUNCTION("""COMPUTED_VALUE"""),44958.0)</f>
        <v>44958</v>
      </c>
      <c r="C2232" s="13">
        <f>IFERROR(__xludf.DUMMYFUNCTION("""COMPUTED_VALUE"""),0.9583333333333334)</f>
        <v>0.9583333333</v>
      </c>
      <c r="D2232" s="8">
        <f>IFERROR(__xludf.DUMMYFUNCTION("""COMPUTED_VALUE"""),2.501)</f>
        <v>2.501</v>
      </c>
      <c r="E2232" s="8" t="str">
        <f>IFERROR(__xludf.DUMMYFUNCTION("""COMPUTED_VALUE"""),"Real")</f>
        <v>Real</v>
      </c>
      <c r="G2232" s="8">
        <f t="shared" si="1"/>
        <v>2</v>
      </c>
      <c r="H2232" s="14">
        <f t="shared" si="2"/>
        <v>1</v>
      </c>
      <c r="I2232" s="15">
        <f t="shared" si="3"/>
        <v>23</v>
      </c>
    </row>
    <row r="2233">
      <c r="A2233" s="8" t="str">
        <f>IFERROR(__xludf.DUMMYFUNCTION("IF('(INGESTA)Datos_consumo_datadis'!A2233&lt;&gt;"""",SPLIT('(INGESTA)Datos_consumo_datadis'!A:A,"",""),"""")"),"ES0031408323131005HX0F")</f>
        <v>ES0031408323131005HX0F</v>
      </c>
      <c r="B2233" s="12">
        <f>IFERROR(__xludf.DUMMYFUNCTION("""COMPUTED_VALUE"""),44958.0)</f>
        <v>44958</v>
      </c>
      <c r="C2233" s="16">
        <f>IFERROR(__xludf.DUMMYFUNCTION("""COMPUTED_VALUE"""),1.0)</f>
        <v>1</v>
      </c>
      <c r="D2233" s="8">
        <f>IFERROR(__xludf.DUMMYFUNCTION("""COMPUTED_VALUE"""),2.101)</f>
        <v>2.101</v>
      </c>
      <c r="E2233" s="8" t="str">
        <f>IFERROR(__xludf.DUMMYFUNCTION("""COMPUTED_VALUE"""),"Real")</f>
        <v>Real</v>
      </c>
      <c r="G2233" s="8">
        <f t="shared" si="1"/>
        <v>2</v>
      </c>
      <c r="H2233" s="14">
        <f t="shared" si="2"/>
        <v>1</v>
      </c>
      <c r="I2233" s="15">
        <f t="shared" si="3"/>
        <v>0</v>
      </c>
    </row>
    <row r="2234">
      <c r="A2234" s="8" t="str">
        <f>IFERROR(__xludf.DUMMYFUNCTION("IF('(INGESTA)Datos_consumo_datadis'!A2234&lt;&gt;"""",SPLIT('(INGESTA)Datos_consumo_datadis'!A:A,"",""),"""")"),"ES0031408323131005HX0F")</f>
        <v>ES0031408323131005HX0F</v>
      </c>
      <c r="B2234" s="12">
        <f>IFERROR(__xludf.DUMMYFUNCTION("""COMPUTED_VALUE"""),44959.0)</f>
        <v>44959</v>
      </c>
      <c r="C2234" s="13">
        <f>IFERROR(__xludf.DUMMYFUNCTION("""COMPUTED_VALUE"""),0.041666666666666664)</f>
        <v>0.04166666667</v>
      </c>
      <c r="D2234" s="8">
        <f>IFERROR(__xludf.DUMMYFUNCTION("""COMPUTED_VALUE"""),2.092)</f>
        <v>2.092</v>
      </c>
      <c r="E2234" s="8" t="str">
        <f>IFERROR(__xludf.DUMMYFUNCTION("""COMPUTED_VALUE"""),"Real")</f>
        <v>Real</v>
      </c>
      <c r="G2234" s="8">
        <f t="shared" si="1"/>
        <v>2</v>
      </c>
      <c r="H2234" s="14">
        <f t="shared" si="2"/>
        <v>2</v>
      </c>
      <c r="I2234" s="15">
        <f t="shared" si="3"/>
        <v>1</v>
      </c>
    </row>
    <row r="2235">
      <c r="A2235" s="8" t="str">
        <f>IFERROR(__xludf.DUMMYFUNCTION("IF('(INGESTA)Datos_consumo_datadis'!A2235&lt;&gt;"""",SPLIT('(INGESTA)Datos_consumo_datadis'!A:A,"",""),"""")"),"ES0031408323131005HX0F")</f>
        <v>ES0031408323131005HX0F</v>
      </c>
      <c r="B2235" s="12">
        <f>IFERROR(__xludf.DUMMYFUNCTION("""COMPUTED_VALUE"""),44959.0)</f>
        <v>44959</v>
      </c>
      <c r="C2235" s="13">
        <f>IFERROR(__xludf.DUMMYFUNCTION("""COMPUTED_VALUE"""),0.08333333333333333)</f>
        <v>0.08333333333</v>
      </c>
      <c r="D2235" s="8">
        <f>IFERROR(__xludf.DUMMYFUNCTION("""COMPUTED_VALUE"""),1.442)</f>
        <v>1.442</v>
      </c>
      <c r="E2235" s="8" t="str">
        <f>IFERROR(__xludf.DUMMYFUNCTION("""COMPUTED_VALUE"""),"Real")</f>
        <v>Real</v>
      </c>
      <c r="G2235" s="8">
        <f t="shared" si="1"/>
        <v>2</v>
      </c>
      <c r="H2235" s="14">
        <f t="shared" si="2"/>
        <v>2</v>
      </c>
      <c r="I2235" s="15">
        <f t="shared" si="3"/>
        <v>2</v>
      </c>
    </row>
    <row r="2236">
      <c r="A2236" s="8" t="str">
        <f>IFERROR(__xludf.DUMMYFUNCTION("IF('(INGESTA)Datos_consumo_datadis'!A2236&lt;&gt;"""",SPLIT('(INGESTA)Datos_consumo_datadis'!A:A,"",""),"""")"),"ES0031408323131005HX0F")</f>
        <v>ES0031408323131005HX0F</v>
      </c>
      <c r="B2236" s="12">
        <f>IFERROR(__xludf.DUMMYFUNCTION("""COMPUTED_VALUE"""),44959.0)</f>
        <v>44959</v>
      </c>
      <c r="C2236" s="13">
        <f>IFERROR(__xludf.DUMMYFUNCTION("""COMPUTED_VALUE"""),0.125)</f>
        <v>0.125</v>
      </c>
      <c r="D2236" s="8">
        <f>IFERROR(__xludf.DUMMYFUNCTION("""COMPUTED_VALUE"""),0.931)</f>
        <v>0.931</v>
      </c>
      <c r="E2236" s="8" t="str">
        <f>IFERROR(__xludf.DUMMYFUNCTION("""COMPUTED_VALUE"""),"Real")</f>
        <v>Real</v>
      </c>
      <c r="G2236" s="8">
        <f t="shared" si="1"/>
        <v>2</v>
      </c>
      <c r="H2236" s="14">
        <f t="shared" si="2"/>
        <v>2</v>
      </c>
      <c r="I2236" s="15">
        <f t="shared" si="3"/>
        <v>3</v>
      </c>
    </row>
    <row r="2237">
      <c r="A2237" s="8" t="str">
        <f>IFERROR(__xludf.DUMMYFUNCTION("IF('(INGESTA)Datos_consumo_datadis'!A2237&lt;&gt;"""",SPLIT('(INGESTA)Datos_consumo_datadis'!A:A,"",""),"""")"),"ES0031408323131005HX0F")</f>
        <v>ES0031408323131005HX0F</v>
      </c>
      <c r="B2237" s="12">
        <f>IFERROR(__xludf.DUMMYFUNCTION("""COMPUTED_VALUE"""),44959.0)</f>
        <v>44959</v>
      </c>
      <c r="C2237" s="13">
        <f>IFERROR(__xludf.DUMMYFUNCTION("""COMPUTED_VALUE"""),0.16666666666666666)</f>
        <v>0.1666666667</v>
      </c>
      <c r="D2237" s="8">
        <f>IFERROR(__xludf.DUMMYFUNCTION("""COMPUTED_VALUE"""),0.985)</f>
        <v>0.985</v>
      </c>
      <c r="E2237" s="8" t="str">
        <f>IFERROR(__xludf.DUMMYFUNCTION("""COMPUTED_VALUE"""),"Real")</f>
        <v>Real</v>
      </c>
      <c r="G2237" s="8">
        <f t="shared" si="1"/>
        <v>2</v>
      </c>
      <c r="H2237" s="14">
        <f t="shared" si="2"/>
        <v>2</v>
      </c>
      <c r="I2237" s="15">
        <f t="shared" si="3"/>
        <v>4</v>
      </c>
    </row>
    <row r="2238">
      <c r="A2238" s="8" t="str">
        <f>IFERROR(__xludf.DUMMYFUNCTION("IF('(INGESTA)Datos_consumo_datadis'!A2238&lt;&gt;"""",SPLIT('(INGESTA)Datos_consumo_datadis'!A:A,"",""),"""")"),"ES0031408323131005HX0F")</f>
        <v>ES0031408323131005HX0F</v>
      </c>
      <c r="B2238" s="12">
        <f>IFERROR(__xludf.DUMMYFUNCTION("""COMPUTED_VALUE"""),44959.0)</f>
        <v>44959</v>
      </c>
      <c r="C2238" s="13">
        <f>IFERROR(__xludf.DUMMYFUNCTION("""COMPUTED_VALUE"""),0.20833333333333334)</f>
        <v>0.2083333333</v>
      </c>
      <c r="D2238" s="8">
        <f>IFERROR(__xludf.DUMMYFUNCTION("""COMPUTED_VALUE"""),0.936)</f>
        <v>0.936</v>
      </c>
      <c r="E2238" s="8" t="str">
        <f>IFERROR(__xludf.DUMMYFUNCTION("""COMPUTED_VALUE"""),"Real")</f>
        <v>Real</v>
      </c>
      <c r="G2238" s="8">
        <f t="shared" si="1"/>
        <v>2</v>
      </c>
      <c r="H2238" s="14">
        <f t="shared" si="2"/>
        <v>2</v>
      </c>
      <c r="I2238" s="15">
        <f t="shared" si="3"/>
        <v>5</v>
      </c>
    </row>
    <row r="2239">
      <c r="A2239" s="8" t="str">
        <f>IFERROR(__xludf.DUMMYFUNCTION("IF('(INGESTA)Datos_consumo_datadis'!A2239&lt;&gt;"""",SPLIT('(INGESTA)Datos_consumo_datadis'!A:A,"",""),"""")"),"ES0031408323131005HX0F")</f>
        <v>ES0031408323131005HX0F</v>
      </c>
      <c r="B2239" s="12">
        <f>IFERROR(__xludf.DUMMYFUNCTION("""COMPUTED_VALUE"""),44959.0)</f>
        <v>44959</v>
      </c>
      <c r="C2239" s="13">
        <f>IFERROR(__xludf.DUMMYFUNCTION("""COMPUTED_VALUE"""),0.25)</f>
        <v>0.25</v>
      </c>
      <c r="D2239" s="8">
        <f>IFERROR(__xludf.DUMMYFUNCTION("""COMPUTED_VALUE"""),0.895)</f>
        <v>0.895</v>
      </c>
      <c r="E2239" s="8" t="str">
        <f>IFERROR(__xludf.DUMMYFUNCTION("""COMPUTED_VALUE"""),"Real")</f>
        <v>Real</v>
      </c>
      <c r="G2239" s="8">
        <f t="shared" si="1"/>
        <v>2</v>
      </c>
      <c r="H2239" s="14">
        <f t="shared" si="2"/>
        <v>2</v>
      </c>
      <c r="I2239" s="15">
        <f t="shared" si="3"/>
        <v>6</v>
      </c>
    </row>
    <row r="2240">
      <c r="A2240" s="8" t="str">
        <f>IFERROR(__xludf.DUMMYFUNCTION("IF('(INGESTA)Datos_consumo_datadis'!A2240&lt;&gt;"""",SPLIT('(INGESTA)Datos_consumo_datadis'!A:A,"",""),"""")"),"ES0031408323131005HX0F")</f>
        <v>ES0031408323131005HX0F</v>
      </c>
      <c r="B2240" s="12">
        <f>IFERROR(__xludf.DUMMYFUNCTION("""COMPUTED_VALUE"""),44959.0)</f>
        <v>44959</v>
      </c>
      <c r="C2240" s="13">
        <f>IFERROR(__xludf.DUMMYFUNCTION("""COMPUTED_VALUE"""),0.2916666666666667)</f>
        <v>0.2916666667</v>
      </c>
      <c r="D2240" s="8">
        <f>IFERROR(__xludf.DUMMYFUNCTION("""COMPUTED_VALUE"""),0.868)</f>
        <v>0.868</v>
      </c>
      <c r="E2240" s="8" t="str">
        <f>IFERROR(__xludf.DUMMYFUNCTION("""COMPUTED_VALUE"""),"Real")</f>
        <v>Real</v>
      </c>
      <c r="G2240" s="8">
        <f t="shared" si="1"/>
        <v>2</v>
      </c>
      <c r="H2240" s="14">
        <f t="shared" si="2"/>
        <v>2</v>
      </c>
      <c r="I2240" s="15">
        <f t="shared" si="3"/>
        <v>7</v>
      </c>
    </row>
    <row r="2241">
      <c r="A2241" s="8" t="str">
        <f>IFERROR(__xludf.DUMMYFUNCTION("IF('(INGESTA)Datos_consumo_datadis'!A2241&lt;&gt;"""",SPLIT('(INGESTA)Datos_consumo_datadis'!A:A,"",""),"""")"),"ES0031408323131005HX0F")</f>
        <v>ES0031408323131005HX0F</v>
      </c>
      <c r="B2241" s="12">
        <f>IFERROR(__xludf.DUMMYFUNCTION("""COMPUTED_VALUE"""),44959.0)</f>
        <v>44959</v>
      </c>
      <c r="C2241" s="13">
        <f>IFERROR(__xludf.DUMMYFUNCTION("""COMPUTED_VALUE"""),0.3333333333333333)</f>
        <v>0.3333333333</v>
      </c>
      <c r="D2241" s="8">
        <f>IFERROR(__xludf.DUMMYFUNCTION("""COMPUTED_VALUE"""),1.199)</f>
        <v>1.199</v>
      </c>
      <c r="E2241" s="8" t="str">
        <f>IFERROR(__xludf.DUMMYFUNCTION("""COMPUTED_VALUE"""),"Real")</f>
        <v>Real</v>
      </c>
      <c r="G2241" s="8">
        <f t="shared" si="1"/>
        <v>2</v>
      </c>
      <c r="H2241" s="14">
        <f t="shared" si="2"/>
        <v>2</v>
      </c>
      <c r="I2241" s="15">
        <f t="shared" si="3"/>
        <v>8</v>
      </c>
    </row>
    <row r="2242">
      <c r="A2242" s="8" t="str">
        <f>IFERROR(__xludf.DUMMYFUNCTION("IF('(INGESTA)Datos_consumo_datadis'!A2242&lt;&gt;"""",SPLIT('(INGESTA)Datos_consumo_datadis'!A:A,"",""),"""")"),"ES0031408323131005HX0F")</f>
        <v>ES0031408323131005HX0F</v>
      </c>
      <c r="B2242" s="12">
        <f>IFERROR(__xludf.DUMMYFUNCTION("""COMPUTED_VALUE"""),44959.0)</f>
        <v>44959</v>
      </c>
      <c r="C2242" s="13">
        <f>IFERROR(__xludf.DUMMYFUNCTION("""COMPUTED_VALUE"""),0.375)</f>
        <v>0.375</v>
      </c>
      <c r="D2242" s="8">
        <f>IFERROR(__xludf.DUMMYFUNCTION("""COMPUTED_VALUE"""),0.936)</f>
        <v>0.936</v>
      </c>
      <c r="E2242" s="8" t="str">
        <f>IFERROR(__xludf.DUMMYFUNCTION("""COMPUTED_VALUE"""),"Real")</f>
        <v>Real</v>
      </c>
      <c r="G2242" s="8">
        <f t="shared" si="1"/>
        <v>2</v>
      </c>
      <c r="H2242" s="14">
        <f t="shared" si="2"/>
        <v>2</v>
      </c>
      <c r="I2242" s="15">
        <f t="shared" si="3"/>
        <v>9</v>
      </c>
    </row>
    <row r="2243">
      <c r="A2243" s="8" t="str">
        <f>IFERROR(__xludf.DUMMYFUNCTION("IF('(INGESTA)Datos_consumo_datadis'!A2243&lt;&gt;"""",SPLIT('(INGESTA)Datos_consumo_datadis'!A:A,"",""),"""")"),"ES0031408323131005HX0F")</f>
        <v>ES0031408323131005HX0F</v>
      </c>
      <c r="B2243" s="12">
        <f>IFERROR(__xludf.DUMMYFUNCTION("""COMPUTED_VALUE"""),44959.0)</f>
        <v>44959</v>
      </c>
      <c r="C2243" s="13">
        <f>IFERROR(__xludf.DUMMYFUNCTION("""COMPUTED_VALUE"""),0.4166666666666667)</f>
        <v>0.4166666667</v>
      </c>
      <c r="D2243" s="8">
        <f>IFERROR(__xludf.DUMMYFUNCTION("""COMPUTED_VALUE"""),0.893)</f>
        <v>0.893</v>
      </c>
      <c r="E2243" s="8" t="str">
        <f>IFERROR(__xludf.DUMMYFUNCTION("""COMPUTED_VALUE"""),"Real")</f>
        <v>Real</v>
      </c>
      <c r="G2243" s="8">
        <f t="shared" si="1"/>
        <v>2</v>
      </c>
      <c r="H2243" s="14">
        <f t="shared" si="2"/>
        <v>2</v>
      </c>
      <c r="I2243" s="15">
        <f t="shared" si="3"/>
        <v>10</v>
      </c>
    </row>
    <row r="2244">
      <c r="A2244" s="8" t="str">
        <f>IFERROR(__xludf.DUMMYFUNCTION("IF('(INGESTA)Datos_consumo_datadis'!A2244&lt;&gt;"""",SPLIT('(INGESTA)Datos_consumo_datadis'!A:A,"",""),"""")"),"ES0031408323131005HX0F")</f>
        <v>ES0031408323131005HX0F</v>
      </c>
      <c r="B2244" s="12">
        <f>IFERROR(__xludf.DUMMYFUNCTION("""COMPUTED_VALUE"""),44959.0)</f>
        <v>44959</v>
      </c>
      <c r="C2244" s="13">
        <f>IFERROR(__xludf.DUMMYFUNCTION("""COMPUTED_VALUE"""),0.4583333333333333)</f>
        <v>0.4583333333</v>
      </c>
      <c r="D2244" s="8">
        <f>IFERROR(__xludf.DUMMYFUNCTION("""COMPUTED_VALUE"""),0.802)</f>
        <v>0.802</v>
      </c>
      <c r="E2244" s="8" t="str">
        <f>IFERROR(__xludf.DUMMYFUNCTION("""COMPUTED_VALUE"""),"Real")</f>
        <v>Real</v>
      </c>
      <c r="G2244" s="8">
        <f t="shared" si="1"/>
        <v>2</v>
      </c>
      <c r="H2244" s="14">
        <f t="shared" si="2"/>
        <v>2</v>
      </c>
      <c r="I2244" s="15">
        <f t="shared" si="3"/>
        <v>11</v>
      </c>
    </row>
    <row r="2245">
      <c r="A2245" s="8" t="str">
        <f>IFERROR(__xludf.DUMMYFUNCTION("IF('(INGESTA)Datos_consumo_datadis'!A2245&lt;&gt;"""",SPLIT('(INGESTA)Datos_consumo_datadis'!A:A,"",""),"""")"),"ES0031408323131005HX0F")</f>
        <v>ES0031408323131005HX0F</v>
      </c>
      <c r="B2245" s="12">
        <f>IFERROR(__xludf.DUMMYFUNCTION("""COMPUTED_VALUE"""),44959.0)</f>
        <v>44959</v>
      </c>
      <c r="C2245" s="13">
        <f>IFERROR(__xludf.DUMMYFUNCTION("""COMPUTED_VALUE"""),0.5)</f>
        <v>0.5</v>
      </c>
      <c r="D2245" s="8">
        <f>IFERROR(__xludf.DUMMYFUNCTION("""COMPUTED_VALUE"""),0.827)</f>
        <v>0.827</v>
      </c>
      <c r="E2245" s="8" t="str">
        <f>IFERROR(__xludf.DUMMYFUNCTION("""COMPUTED_VALUE"""),"Real")</f>
        <v>Real</v>
      </c>
      <c r="G2245" s="8">
        <f t="shared" si="1"/>
        <v>2</v>
      </c>
      <c r="H2245" s="14">
        <f t="shared" si="2"/>
        <v>2</v>
      </c>
      <c r="I2245" s="15">
        <f t="shared" si="3"/>
        <v>12</v>
      </c>
    </row>
    <row r="2246">
      <c r="A2246" s="8" t="str">
        <f>IFERROR(__xludf.DUMMYFUNCTION("IF('(INGESTA)Datos_consumo_datadis'!A2246&lt;&gt;"""",SPLIT('(INGESTA)Datos_consumo_datadis'!A:A,"",""),"""")"),"ES0031408323131005HX0F")</f>
        <v>ES0031408323131005HX0F</v>
      </c>
      <c r="B2246" s="12">
        <f>IFERROR(__xludf.DUMMYFUNCTION("""COMPUTED_VALUE"""),44959.0)</f>
        <v>44959</v>
      </c>
      <c r="C2246" s="13">
        <f>IFERROR(__xludf.DUMMYFUNCTION("""COMPUTED_VALUE"""),0.5416666666666666)</f>
        <v>0.5416666667</v>
      </c>
      <c r="D2246" s="8">
        <f>IFERROR(__xludf.DUMMYFUNCTION("""COMPUTED_VALUE"""),0.4)</f>
        <v>0.4</v>
      </c>
      <c r="E2246" s="8" t="str">
        <f>IFERROR(__xludf.DUMMYFUNCTION("""COMPUTED_VALUE"""),"Real")</f>
        <v>Real</v>
      </c>
      <c r="G2246" s="8">
        <f t="shared" si="1"/>
        <v>2</v>
      </c>
      <c r="H2246" s="14">
        <f t="shared" si="2"/>
        <v>2</v>
      </c>
      <c r="I2246" s="15">
        <f t="shared" si="3"/>
        <v>13</v>
      </c>
    </row>
    <row r="2247">
      <c r="A2247" s="8" t="str">
        <f>IFERROR(__xludf.DUMMYFUNCTION("IF('(INGESTA)Datos_consumo_datadis'!A2247&lt;&gt;"""",SPLIT('(INGESTA)Datos_consumo_datadis'!A:A,"",""),"""")"),"ES0031408323131005HX0F")</f>
        <v>ES0031408323131005HX0F</v>
      </c>
      <c r="B2247" s="12">
        <f>IFERROR(__xludf.DUMMYFUNCTION("""COMPUTED_VALUE"""),44959.0)</f>
        <v>44959</v>
      </c>
      <c r="C2247" s="13">
        <f>IFERROR(__xludf.DUMMYFUNCTION("""COMPUTED_VALUE"""),0.5833333333333334)</f>
        <v>0.5833333333</v>
      </c>
      <c r="D2247" s="8">
        <f>IFERROR(__xludf.DUMMYFUNCTION("""COMPUTED_VALUE"""),2.173)</f>
        <v>2.173</v>
      </c>
      <c r="E2247" s="8" t="str">
        <f>IFERROR(__xludf.DUMMYFUNCTION("""COMPUTED_VALUE"""),"Real")</f>
        <v>Real</v>
      </c>
      <c r="G2247" s="8">
        <f t="shared" si="1"/>
        <v>2</v>
      </c>
      <c r="H2247" s="14">
        <f t="shared" si="2"/>
        <v>2</v>
      </c>
      <c r="I2247" s="15">
        <f t="shared" si="3"/>
        <v>14</v>
      </c>
    </row>
    <row r="2248">
      <c r="A2248" s="8" t="str">
        <f>IFERROR(__xludf.DUMMYFUNCTION("IF('(INGESTA)Datos_consumo_datadis'!A2248&lt;&gt;"""",SPLIT('(INGESTA)Datos_consumo_datadis'!A:A,"",""),"""")"),"ES0031408323131005HX0F")</f>
        <v>ES0031408323131005HX0F</v>
      </c>
      <c r="B2248" s="12">
        <f>IFERROR(__xludf.DUMMYFUNCTION("""COMPUTED_VALUE"""),44959.0)</f>
        <v>44959</v>
      </c>
      <c r="C2248" s="13">
        <f>IFERROR(__xludf.DUMMYFUNCTION("""COMPUTED_VALUE"""),0.625)</f>
        <v>0.625</v>
      </c>
      <c r="D2248" s="8">
        <f>IFERROR(__xludf.DUMMYFUNCTION("""COMPUTED_VALUE"""),0.228)</f>
        <v>0.228</v>
      </c>
      <c r="E2248" s="8" t="str">
        <f>IFERROR(__xludf.DUMMYFUNCTION("""COMPUTED_VALUE"""),"Real")</f>
        <v>Real</v>
      </c>
      <c r="G2248" s="8">
        <f t="shared" si="1"/>
        <v>2</v>
      </c>
      <c r="H2248" s="14">
        <f t="shared" si="2"/>
        <v>2</v>
      </c>
      <c r="I2248" s="15">
        <f t="shared" si="3"/>
        <v>15</v>
      </c>
    </row>
    <row r="2249">
      <c r="A2249" s="8" t="str">
        <f>IFERROR(__xludf.DUMMYFUNCTION("IF('(INGESTA)Datos_consumo_datadis'!A2249&lt;&gt;"""",SPLIT('(INGESTA)Datos_consumo_datadis'!A:A,"",""),"""")"),"ES0031408323131005HX0F")</f>
        <v>ES0031408323131005HX0F</v>
      </c>
      <c r="B2249" s="12">
        <f>IFERROR(__xludf.DUMMYFUNCTION("""COMPUTED_VALUE"""),44959.0)</f>
        <v>44959</v>
      </c>
      <c r="C2249" s="13">
        <f>IFERROR(__xludf.DUMMYFUNCTION("""COMPUTED_VALUE"""),0.6666666666666666)</f>
        <v>0.6666666667</v>
      </c>
      <c r="D2249" s="8">
        <f>IFERROR(__xludf.DUMMYFUNCTION("""COMPUTED_VALUE"""),0.066)</f>
        <v>0.066</v>
      </c>
      <c r="E2249" s="8" t="str">
        <f>IFERROR(__xludf.DUMMYFUNCTION("""COMPUTED_VALUE"""),"Real")</f>
        <v>Real</v>
      </c>
      <c r="G2249" s="8">
        <f t="shared" si="1"/>
        <v>2</v>
      </c>
      <c r="H2249" s="14">
        <f t="shared" si="2"/>
        <v>2</v>
      </c>
      <c r="I2249" s="15">
        <f t="shared" si="3"/>
        <v>16</v>
      </c>
    </row>
    <row r="2250">
      <c r="A2250" s="8" t="str">
        <f>IFERROR(__xludf.DUMMYFUNCTION("IF('(INGESTA)Datos_consumo_datadis'!A2250&lt;&gt;"""",SPLIT('(INGESTA)Datos_consumo_datadis'!A:A,"",""),"""")"),"ES0031408323131005HX0F")</f>
        <v>ES0031408323131005HX0F</v>
      </c>
      <c r="B2250" s="12">
        <f>IFERROR(__xludf.DUMMYFUNCTION("""COMPUTED_VALUE"""),44959.0)</f>
        <v>44959</v>
      </c>
      <c r="C2250" s="13">
        <f>IFERROR(__xludf.DUMMYFUNCTION("""COMPUTED_VALUE"""),0.7083333333333334)</f>
        <v>0.7083333333</v>
      </c>
      <c r="D2250" s="8">
        <f>IFERROR(__xludf.DUMMYFUNCTION("""COMPUTED_VALUE"""),0.051)</f>
        <v>0.051</v>
      </c>
      <c r="E2250" s="8" t="str">
        <f>IFERROR(__xludf.DUMMYFUNCTION("""COMPUTED_VALUE"""),"Real")</f>
        <v>Real</v>
      </c>
      <c r="G2250" s="8">
        <f t="shared" si="1"/>
        <v>2</v>
      </c>
      <c r="H2250" s="14">
        <f t="shared" si="2"/>
        <v>2</v>
      </c>
      <c r="I2250" s="15">
        <f t="shared" si="3"/>
        <v>17</v>
      </c>
    </row>
    <row r="2251">
      <c r="A2251" s="8" t="str">
        <f>IFERROR(__xludf.DUMMYFUNCTION("IF('(INGESTA)Datos_consumo_datadis'!A2251&lt;&gt;"""",SPLIT('(INGESTA)Datos_consumo_datadis'!A:A,"",""),"""")"),"ES0031408323131005HX0F")</f>
        <v>ES0031408323131005HX0F</v>
      </c>
      <c r="B2251" s="12">
        <f>IFERROR(__xludf.DUMMYFUNCTION("""COMPUTED_VALUE"""),44959.0)</f>
        <v>44959</v>
      </c>
      <c r="C2251" s="13">
        <f>IFERROR(__xludf.DUMMYFUNCTION("""COMPUTED_VALUE"""),0.75)</f>
        <v>0.75</v>
      </c>
      <c r="D2251" s="8">
        <f>IFERROR(__xludf.DUMMYFUNCTION("""COMPUTED_VALUE"""),0.055)</f>
        <v>0.055</v>
      </c>
      <c r="E2251" s="8" t="str">
        <f>IFERROR(__xludf.DUMMYFUNCTION("""COMPUTED_VALUE"""),"Real")</f>
        <v>Real</v>
      </c>
      <c r="G2251" s="8">
        <f t="shared" si="1"/>
        <v>2</v>
      </c>
      <c r="H2251" s="14">
        <f t="shared" si="2"/>
        <v>2</v>
      </c>
      <c r="I2251" s="15">
        <f t="shared" si="3"/>
        <v>18</v>
      </c>
    </row>
    <row r="2252">
      <c r="A2252" s="8" t="str">
        <f>IFERROR(__xludf.DUMMYFUNCTION("IF('(INGESTA)Datos_consumo_datadis'!A2252&lt;&gt;"""",SPLIT('(INGESTA)Datos_consumo_datadis'!A:A,"",""),"""")"),"ES0031408323131005HX0F")</f>
        <v>ES0031408323131005HX0F</v>
      </c>
      <c r="B2252" s="12">
        <f>IFERROR(__xludf.DUMMYFUNCTION("""COMPUTED_VALUE"""),44959.0)</f>
        <v>44959</v>
      </c>
      <c r="C2252" s="13">
        <f>IFERROR(__xludf.DUMMYFUNCTION("""COMPUTED_VALUE"""),0.7916666666666666)</f>
        <v>0.7916666667</v>
      </c>
      <c r="D2252" s="8">
        <f>IFERROR(__xludf.DUMMYFUNCTION("""COMPUTED_VALUE"""),0.016)</f>
        <v>0.016</v>
      </c>
      <c r="E2252" s="8" t="str">
        <f>IFERROR(__xludf.DUMMYFUNCTION("""COMPUTED_VALUE"""),"Real")</f>
        <v>Real</v>
      </c>
      <c r="G2252" s="8">
        <f t="shared" si="1"/>
        <v>2</v>
      </c>
      <c r="H2252" s="14">
        <f t="shared" si="2"/>
        <v>2</v>
      </c>
      <c r="I2252" s="15">
        <f t="shared" si="3"/>
        <v>19</v>
      </c>
    </row>
    <row r="2253">
      <c r="A2253" s="8" t="str">
        <f>IFERROR(__xludf.DUMMYFUNCTION("IF('(INGESTA)Datos_consumo_datadis'!A2253&lt;&gt;"""",SPLIT('(INGESTA)Datos_consumo_datadis'!A:A,"",""),"""")"),"ES0031408323131005HX0F")</f>
        <v>ES0031408323131005HX0F</v>
      </c>
      <c r="B2253" s="12">
        <f>IFERROR(__xludf.DUMMYFUNCTION("""COMPUTED_VALUE"""),44959.0)</f>
        <v>44959</v>
      </c>
      <c r="C2253" s="13">
        <f>IFERROR(__xludf.DUMMYFUNCTION("""COMPUTED_VALUE"""),0.8333333333333334)</f>
        <v>0.8333333333</v>
      </c>
      <c r="D2253" s="8">
        <f>IFERROR(__xludf.DUMMYFUNCTION("""COMPUTED_VALUE"""),0.332)</f>
        <v>0.332</v>
      </c>
      <c r="E2253" s="8" t="str">
        <f>IFERROR(__xludf.DUMMYFUNCTION("""COMPUTED_VALUE"""),"Real")</f>
        <v>Real</v>
      </c>
      <c r="G2253" s="8">
        <f t="shared" si="1"/>
        <v>2</v>
      </c>
      <c r="H2253" s="14">
        <f t="shared" si="2"/>
        <v>2</v>
      </c>
      <c r="I2253" s="15">
        <f t="shared" si="3"/>
        <v>20</v>
      </c>
    </row>
    <row r="2254">
      <c r="A2254" s="8" t="str">
        <f>IFERROR(__xludf.DUMMYFUNCTION("IF('(INGESTA)Datos_consumo_datadis'!A2254&lt;&gt;"""",SPLIT('(INGESTA)Datos_consumo_datadis'!A:A,"",""),"""")"),"ES0031408323131005HX0F")</f>
        <v>ES0031408323131005HX0F</v>
      </c>
      <c r="B2254" s="12">
        <f>IFERROR(__xludf.DUMMYFUNCTION("""COMPUTED_VALUE"""),44959.0)</f>
        <v>44959</v>
      </c>
      <c r="C2254" s="13">
        <f>IFERROR(__xludf.DUMMYFUNCTION("""COMPUTED_VALUE"""),0.875)</f>
        <v>0.875</v>
      </c>
      <c r="D2254" s="8">
        <f>IFERROR(__xludf.DUMMYFUNCTION("""COMPUTED_VALUE"""),0.067)</f>
        <v>0.067</v>
      </c>
      <c r="E2254" s="8" t="str">
        <f>IFERROR(__xludf.DUMMYFUNCTION("""COMPUTED_VALUE"""),"Real")</f>
        <v>Real</v>
      </c>
      <c r="G2254" s="8">
        <f t="shared" si="1"/>
        <v>2</v>
      </c>
      <c r="H2254" s="14">
        <f t="shared" si="2"/>
        <v>2</v>
      </c>
      <c r="I2254" s="15">
        <f t="shared" si="3"/>
        <v>21</v>
      </c>
    </row>
    <row r="2255">
      <c r="A2255" s="8" t="str">
        <f>IFERROR(__xludf.DUMMYFUNCTION("IF('(INGESTA)Datos_consumo_datadis'!A2255&lt;&gt;"""",SPLIT('(INGESTA)Datos_consumo_datadis'!A:A,"",""),"""")"),"ES0031408323131005HX0F")</f>
        <v>ES0031408323131005HX0F</v>
      </c>
      <c r="B2255" s="12">
        <f>IFERROR(__xludf.DUMMYFUNCTION("""COMPUTED_VALUE"""),44959.0)</f>
        <v>44959</v>
      </c>
      <c r="C2255" s="13">
        <f>IFERROR(__xludf.DUMMYFUNCTION("""COMPUTED_VALUE"""),0.9166666666666666)</f>
        <v>0.9166666667</v>
      </c>
      <c r="D2255" s="8">
        <f>IFERROR(__xludf.DUMMYFUNCTION("""COMPUTED_VALUE"""),0.042)</f>
        <v>0.042</v>
      </c>
      <c r="E2255" s="8" t="str">
        <f>IFERROR(__xludf.DUMMYFUNCTION("""COMPUTED_VALUE"""),"Real")</f>
        <v>Real</v>
      </c>
      <c r="G2255" s="8">
        <f t="shared" si="1"/>
        <v>2</v>
      </c>
      <c r="H2255" s="14">
        <f t="shared" si="2"/>
        <v>2</v>
      </c>
      <c r="I2255" s="15">
        <f t="shared" si="3"/>
        <v>22</v>
      </c>
    </row>
    <row r="2256">
      <c r="A2256" s="8" t="str">
        <f>IFERROR(__xludf.DUMMYFUNCTION("IF('(INGESTA)Datos_consumo_datadis'!A2256&lt;&gt;"""",SPLIT('(INGESTA)Datos_consumo_datadis'!A:A,"",""),"""")"),"ES0031408323131005HX0F")</f>
        <v>ES0031408323131005HX0F</v>
      </c>
      <c r="B2256" s="12">
        <f>IFERROR(__xludf.DUMMYFUNCTION("""COMPUTED_VALUE"""),44959.0)</f>
        <v>44959</v>
      </c>
      <c r="C2256" s="13">
        <f>IFERROR(__xludf.DUMMYFUNCTION("""COMPUTED_VALUE"""),0.9583333333333334)</f>
        <v>0.9583333333</v>
      </c>
      <c r="D2256" s="8">
        <f>IFERROR(__xludf.DUMMYFUNCTION("""COMPUTED_VALUE"""),1.491)</f>
        <v>1.491</v>
      </c>
      <c r="E2256" s="8" t="str">
        <f>IFERROR(__xludf.DUMMYFUNCTION("""COMPUTED_VALUE"""),"Real")</f>
        <v>Real</v>
      </c>
      <c r="G2256" s="8">
        <f t="shared" si="1"/>
        <v>2</v>
      </c>
      <c r="H2256" s="14">
        <f t="shared" si="2"/>
        <v>2</v>
      </c>
      <c r="I2256" s="15">
        <f t="shared" si="3"/>
        <v>23</v>
      </c>
    </row>
    <row r="2257">
      <c r="A2257" s="8" t="str">
        <f>IFERROR(__xludf.DUMMYFUNCTION("IF('(INGESTA)Datos_consumo_datadis'!A2257&lt;&gt;"""",SPLIT('(INGESTA)Datos_consumo_datadis'!A:A,"",""),"""")"),"ES0031408323131005HX0F")</f>
        <v>ES0031408323131005HX0F</v>
      </c>
      <c r="B2257" s="12">
        <f>IFERROR(__xludf.DUMMYFUNCTION("""COMPUTED_VALUE"""),44959.0)</f>
        <v>44959</v>
      </c>
      <c r="C2257" s="16">
        <f>IFERROR(__xludf.DUMMYFUNCTION("""COMPUTED_VALUE"""),1.0)</f>
        <v>1</v>
      </c>
      <c r="D2257" s="8">
        <f>IFERROR(__xludf.DUMMYFUNCTION("""COMPUTED_VALUE"""),1.853)</f>
        <v>1.853</v>
      </c>
      <c r="E2257" s="8" t="str">
        <f>IFERROR(__xludf.DUMMYFUNCTION("""COMPUTED_VALUE"""),"Real")</f>
        <v>Real</v>
      </c>
      <c r="G2257" s="8">
        <f t="shared" si="1"/>
        <v>2</v>
      </c>
      <c r="H2257" s="14">
        <f t="shared" si="2"/>
        <v>2</v>
      </c>
      <c r="I2257" s="15">
        <f t="shared" si="3"/>
        <v>0</v>
      </c>
    </row>
    <row r="2258">
      <c r="A2258" s="8" t="str">
        <f>IFERROR(__xludf.DUMMYFUNCTION("IF('(INGESTA)Datos_consumo_datadis'!A2258&lt;&gt;"""",SPLIT('(INGESTA)Datos_consumo_datadis'!A:A,"",""),"""")"),"ES0031408323131005HX0F")</f>
        <v>ES0031408323131005HX0F</v>
      </c>
      <c r="B2258" s="12">
        <f>IFERROR(__xludf.DUMMYFUNCTION("""COMPUTED_VALUE"""),44960.0)</f>
        <v>44960</v>
      </c>
      <c r="C2258" s="13">
        <f>IFERROR(__xludf.DUMMYFUNCTION("""COMPUTED_VALUE"""),0.041666666666666664)</f>
        <v>0.04166666667</v>
      </c>
      <c r="D2258" s="8">
        <f>IFERROR(__xludf.DUMMYFUNCTION("""COMPUTED_VALUE"""),2.135)</f>
        <v>2.135</v>
      </c>
      <c r="E2258" s="8" t="str">
        <f>IFERROR(__xludf.DUMMYFUNCTION("""COMPUTED_VALUE"""),"Real")</f>
        <v>Real</v>
      </c>
      <c r="G2258" s="8">
        <f t="shared" si="1"/>
        <v>2</v>
      </c>
      <c r="H2258" s="14">
        <f t="shared" si="2"/>
        <v>3</v>
      </c>
      <c r="I2258" s="15">
        <f t="shared" si="3"/>
        <v>1</v>
      </c>
    </row>
    <row r="2259">
      <c r="A2259" s="8" t="str">
        <f>IFERROR(__xludf.DUMMYFUNCTION("IF('(INGESTA)Datos_consumo_datadis'!A2259&lt;&gt;"""",SPLIT('(INGESTA)Datos_consumo_datadis'!A:A,"",""),"""")"),"ES0031408323131005HX0F")</f>
        <v>ES0031408323131005HX0F</v>
      </c>
      <c r="B2259" s="12">
        <f>IFERROR(__xludf.DUMMYFUNCTION("""COMPUTED_VALUE"""),44960.0)</f>
        <v>44960</v>
      </c>
      <c r="C2259" s="13">
        <f>IFERROR(__xludf.DUMMYFUNCTION("""COMPUTED_VALUE"""),0.08333333333333333)</f>
        <v>0.08333333333</v>
      </c>
      <c r="D2259" s="8">
        <f>IFERROR(__xludf.DUMMYFUNCTION("""COMPUTED_VALUE"""),1.765)</f>
        <v>1.765</v>
      </c>
      <c r="E2259" s="8" t="str">
        <f>IFERROR(__xludf.DUMMYFUNCTION("""COMPUTED_VALUE"""),"Real")</f>
        <v>Real</v>
      </c>
      <c r="G2259" s="8">
        <f t="shared" si="1"/>
        <v>2</v>
      </c>
      <c r="H2259" s="14">
        <f t="shared" si="2"/>
        <v>3</v>
      </c>
      <c r="I2259" s="15">
        <f t="shared" si="3"/>
        <v>2</v>
      </c>
    </row>
    <row r="2260">
      <c r="A2260" s="8" t="str">
        <f>IFERROR(__xludf.DUMMYFUNCTION("IF('(INGESTA)Datos_consumo_datadis'!A2260&lt;&gt;"""",SPLIT('(INGESTA)Datos_consumo_datadis'!A:A,"",""),"""")"),"ES0031408323131005HX0F")</f>
        <v>ES0031408323131005HX0F</v>
      </c>
      <c r="B2260" s="12">
        <f>IFERROR(__xludf.DUMMYFUNCTION("""COMPUTED_VALUE"""),44960.0)</f>
        <v>44960</v>
      </c>
      <c r="C2260" s="13">
        <f>IFERROR(__xludf.DUMMYFUNCTION("""COMPUTED_VALUE"""),0.125)</f>
        <v>0.125</v>
      </c>
      <c r="D2260" s="8">
        <f>IFERROR(__xludf.DUMMYFUNCTION("""COMPUTED_VALUE"""),1.554)</f>
        <v>1.554</v>
      </c>
      <c r="E2260" s="8" t="str">
        <f>IFERROR(__xludf.DUMMYFUNCTION("""COMPUTED_VALUE"""),"Real")</f>
        <v>Real</v>
      </c>
      <c r="G2260" s="8">
        <f t="shared" si="1"/>
        <v>2</v>
      </c>
      <c r="H2260" s="14">
        <f t="shared" si="2"/>
        <v>3</v>
      </c>
      <c r="I2260" s="15">
        <f t="shared" si="3"/>
        <v>3</v>
      </c>
    </row>
    <row r="2261">
      <c r="A2261" s="8" t="str">
        <f>IFERROR(__xludf.DUMMYFUNCTION("IF('(INGESTA)Datos_consumo_datadis'!A2261&lt;&gt;"""",SPLIT('(INGESTA)Datos_consumo_datadis'!A:A,"",""),"""")"),"ES0031408323131005HX0F")</f>
        <v>ES0031408323131005HX0F</v>
      </c>
      <c r="B2261" s="12">
        <f>IFERROR(__xludf.DUMMYFUNCTION("""COMPUTED_VALUE"""),44960.0)</f>
        <v>44960</v>
      </c>
      <c r="C2261" s="13">
        <f>IFERROR(__xludf.DUMMYFUNCTION("""COMPUTED_VALUE"""),0.16666666666666666)</f>
        <v>0.1666666667</v>
      </c>
      <c r="D2261" s="8">
        <f>IFERROR(__xludf.DUMMYFUNCTION("""COMPUTED_VALUE"""),1.549)</f>
        <v>1.549</v>
      </c>
      <c r="E2261" s="8" t="str">
        <f>IFERROR(__xludf.DUMMYFUNCTION("""COMPUTED_VALUE"""),"Real")</f>
        <v>Real</v>
      </c>
      <c r="G2261" s="8">
        <f t="shared" si="1"/>
        <v>2</v>
      </c>
      <c r="H2261" s="14">
        <f t="shared" si="2"/>
        <v>3</v>
      </c>
      <c r="I2261" s="15">
        <f t="shared" si="3"/>
        <v>4</v>
      </c>
    </row>
    <row r="2262">
      <c r="A2262" s="8" t="str">
        <f>IFERROR(__xludf.DUMMYFUNCTION("IF('(INGESTA)Datos_consumo_datadis'!A2262&lt;&gt;"""",SPLIT('(INGESTA)Datos_consumo_datadis'!A:A,"",""),"""")"),"ES0031408323131005HX0F")</f>
        <v>ES0031408323131005HX0F</v>
      </c>
      <c r="B2262" s="12">
        <f>IFERROR(__xludf.DUMMYFUNCTION("""COMPUTED_VALUE"""),44960.0)</f>
        <v>44960</v>
      </c>
      <c r="C2262" s="13">
        <f>IFERROR(__xludf.DUMMYFUNCTION("""COMPUTED_VALUE"""),0.20833333333333334)</f>
        <v>0.2083333333</v>
      </c>
      <c r="D2262" s="8">
        <f>IFERROR(__xludf.DUMMYFUNCTION("""COMPUTED_VALUE"""),1.518)</f>
        <v>1.518</v>
      </c>
      <c r="E2262" s="8" t="str">
        <f>IFERROR(__xludf.DUMMYFUNCTION("""COMPUTED_VALUE"""),"Real")</f>
        <v>Real</v>
      </c>
      <c r="G2262" s="8">
        <f t="shared" si="1"/>
        <v>2</v>
      </c>
      <c r="H2262" s="14">
        <f t="shared" si="2"/>
        <v>3</v>
      </c>
      <c r="I2262" s="15">
        <f t="shared" si="3"/>
        <v>5</v>
      </c>
    </row>
    <row r="2263">
      <c r="A2263" s="8" t="str">
        <f>IFERROR(__xludf.DUMMYFUNCTION("IF('(INGESTA)Datos_consumo_datadis'!A2263&lt;&gt;"""",SPLIT('(INGESTA)Datos_consumo_datadis'!A:A,"",""),"""")"),"ES0031408323131005HX0F")</f>
        <v>ES0031408323131005HX0F</v>
      </c>
      <c r="B2263" s="12">
        <f>IFERROR(__xludf.DUMMYFUNCTION("""COMPUTED_VALUE"""),44960.0)</f>
        <v>44960</v>
      </c>
      <c r="C2263" s="13">
        <f>IFERROR(__xludf.DUMMYFUNCTION("""COMPUTED_VALUE"""),0.25)</f>
        <v>0.25</v>
      </c>
      <c r="D2263" s="8">
        <f>IFERROR(__xludf.DUMMYFUNCTION("""COMPUTED_VALUE"""),1.861)</f>
        <v>1.861</v>
      </c>
      <c r="E2263" s="8" t="str">
        <f>IFERROR(__xludf.DUMMYFUNCTION("""COMPUTED_VALUE"""),"Real")</f>
        <v>Real</v>
      </c>
      <c r="G2263" s="8">
        <f t="shared" si="1"/>
        <v>2</v>
      </c>
      <c r="H2263" s="14">
        <f t="shared" si="2"/>
        <v>3</v>
      </c>
      <c r="I2263" s="15">
        <f t="shared" si="3"/>
        <v>6</v>
      </c>
    </row>
    <row r="2264">
      <c r="A2264" s="8" t="str">
        <f>IFERROR(__xludf.DUMMYFUNCTION("IF('(INGESTA)Datos_consumo_datadis'!A2264&lt;&gt;"""",SPLIT('(INGESTA)Datos_consumo_datadis'!A:A,"",""),"""")"),"ES0031408323131005HX0F")</f>
        <v>ES0031408323131005HX0F</v>
      </c>
      <c r="B2264" s="12">
        <f>IFERROR(__xludf.DUMMYFUNCTION("""COMPUTED_VALUE"""),44960.0)</f>
        <v>44960</v>
      </c>
      <c r="C2264" s="13">
        <f>IFERROR(__xludf.DUMMYFUNCTION("""COMPUTED_VALUE"""),0.2916666666666667)</f>
        <v>0.2916666667</v>
      </c>
      <c r="D2264" s="8">
        <f>IFERROR(__xludf.DUMMYFUNCTION("""COMPUTED_VALUE"""),1.519)</f>
        <v>1.519</v>
      </c>
      <c r="E2264" s="8" t="str">
        <f>IFERROR(__xludf.DUMMYFUNCTION("""COMPUTED_VALUE"""),"Real")</f>
        <v>Real</v>
      </c>
      <c r="G2264" s="8">
        <f t="shared" si="1"/>
        <v>2</v>
      </c>
      <c r="H2264" s="14">
        <f t="shared" si="2"/>
        <v>3</v>
      </c>
      <c r="I2264" s="15">
        <f t="shared" si="3"/>
        <v>7</v>
      </c>
    </row>
    <row r="2265">
      <c r="A2265" s="8" t="str">
        <f>IFERROR(__xludf.DUMMYFUNCTION("IF('(INGESTA)Datos_consumo_datadis'!A2265&lt;&gt;"""",SPLIT('(INGESTA)Datos_consumo_datadis'!A:A,"",""),"""")"),"ES0031408323131005HX0F")</f>
        <v>ES0031408323131005HX0F</v>
      </c>
      <c r="B2265" s="12">
        <f>IFERROR(__xludf.DUMMYFUNCTION("""COMPUTED_VALUE"""),44960.0)</f>
        <v>44960</v>
      </c>
      <c r="C2265" s="13">
        <f>IFERROR(__xludf.DUMMYFUNCTION("""COMPUTED_VALUE"""),0.3333333333333333)</f>
        <v>0.3333333333</v>
      </c>
      <c r="D2265" s="8">
        <f>IFERROR(__xludf.DUMMYFUNCTION("""COMPUTED_VALUE"""),1.056)</f>
        <v>1.056</v>
      </c>
      <c r="E2265" s="8" t="str">
        <f>IFERROR(__xludf.DUMMYFUNCTION("""COMPUTED_VALUE"""),"Real")</f>
        <v>Real</v>
      </c>
      <c r="G2265" s="8">
        <f t="shared" si="1"/>
        <v>2</v>
      </c>
      <c r="H2265" s="14">
        <f t="shared" si="2"/>
        <v>3</v>
      </c>
      <c r="I2265" s="15">
        <f t="shared" si="3"/>
        <v>8</v>
      </c>
    </row>
    <row r="2266">
      <c r="A2266" s="8" t="str">
        <f>IFERROR(__xludf.DUMMYFUNCTION("IF('(INGESTA)Datos_consumo_datadis'!A2266&lt;&gt;"""",SPLIT('(INGESTA)Datos_consumo_datadis'!A:A,"",""),"""")"),"ES0031408323131005HX0F")</f>
        <v>ES0031408323131005HX0F</v>
      </c>
      <c r="B2266" s="12">
        <f>IFERROR(__xludf.DUMMYFUNCTION("""COMPUTED_VALUE"""),44960.0)</f>
        <v>44960</v>
      </c>
      <c r="C2266" s="13">
        <f>IFERROR(__xludf.DUMMYFUNCTION("""COMPUTED_VALUE"""),0.375)</f>
        <v>0.375</v>
      </c>
      <c r="D2266" s="8">
        <f>IFERROR(__xludf.DUMMYFUNCTION("""COMPUTED_VALUE"""),0.786)</f>
        <v>0.786</v>
      </c>
      <c r="E2266" s="8" t="str">
        <f>IFERROR(__xludf.DUMMYFUNCTION("""COMPUTED_VALUE"""),"Real")</f>
        <v>Real</v>
      </c>
      <c r="G2266" s="8">
        <f t="shared" si="1"/>
        <v>2</v>
      </c>
      <c r="H2266" s="14">
        <f t="shared" si="2"/>
        <v>3</v>
      </c>
      <c r="I2266" s="15">
        <f t="shared" si="3"/>
        <v>9</v>
      </c>
    </row>
    <row r="2267">
      <c r="A2267" s="8" t="str">
        <f>IFERROR(__xludf.DUMMYFUNCTION("IF('(INGESTA)Datos_consumo_datadis'!A2267&lt;&gt;"""",SPLIT('(INGESTA)Datos_consumo_datadis'!A:A,"",""),"""")"),"ES0031408323131005HX0F")</f>
        <v>ES0031408323131005HX0F</v>
      </c>
      <c r="B2267" s="12">
        <f>IFERROR(__xludf.DUMMYFUNCTION("""COMPUTED_VALUE"""),44960.0)</f>
        <v>44960</v>
      </c>
      <c r="C2267" s="13">
        <f>IFERROR(__xludf.DUMMYFUNCTION("""COMPUTED_VALUE"""),0.4166666666666667)</f>
        <v>0.4166666667</v>
      </c>
      <c r="D2267" s="8">
        <f>IFERROR(__xludf.DUMMYFUNCTION("""COMPUTED_VALUE"""),0.158)</f>
        <v>0.158</v>
      </c>
      <c r="E2267" s="8" t="str">
        <f>IFERROR(__xludf.DUMMYFUNCTION("""COMPUTED_VALUE"""),"Real")</f>
        <v>Real</v>
      </c>
      <c r="G2267" s="8">
        <f t="shared" si="1"/>
        <v>2</v>
      </c>
      <c r="H2267" s="14">
        <f t="shared" si="2"/>
        <v>3</v>
      </c>
      <c r="I2267" s="15">
        <f t="shared" si="3"/>
        <v>10</v>
      </c>
    </row>
    <row r="2268">
      <c r="A2268" s="8" t="str">
        <f>IFERROR(__xludf.DUMMYFUNCTION("IF('(INGESTA)Datos_consumo_datadis'!A2268&lt;&gt;"""",SPLIT('(INGESTA)Datos_consumo_datadis'!A:A,"",""),"""")"),"ES0031408323131005HX0F")</f>
        <v>ES0031408323131005HX0F</v>
      </c>
      <c r="B2268" s="12">
        <f>IFERROR(__xludf.DUMMYFUNCTION("""COMPUTED_VALUE"""),44960.0)</f>
        <v>44960</v>
      </c>
      <c r="C2268" s="13">
        <f>IFERROR(__xludf.DUMMYFUNCTION("""COMPUTED_VALUE"""),0.4583333333333333)</f>
        <v>0.4583333333</v>
      </c>
      <c r="D2268" s="8">
        <f>IFERROR(__xludf.DUMMYFUNCTION("""COMPUTED_VALUE"""),0.018)</f>
        <v>0.018</v>
      </c>
      <c r="E2268" s="8" t="str">
        <f>IFERROR(__xludf.DUMMYFUNCTION("""COMPUTED_VALUE"""),"Real")</f>
        <v>Real</v>
      </c>
      <c r="G2268" s="8">
        <f t="shared" si="1"/>
        <v>2</v>
      </c>
      <c r="H2268" s="14">
        <f t="shared" si="2"/>
        <v>3</v>
      </c>
      <c r="I2268" s="15">
        <f t="shared" si="3"/>
        <v>11</v>
      </c>
    </row>
    <row r="2269">
      <c r="A2269" s="8" t="str">
        <f>IFERROR(__xludf.DUMMYFUNCTION("IF('(INGESTA)Datos_consumo_datadis'!A2269&lt;&gt;"""",SPLIT('(INGESTA)Datos_consumo_datadis'!A:A,"",""),"""")"),"ES0031408323131005HX0F")</f>
        <v>ES0031408323131005HX0F</v>
      </c>
      <c r="B2269" s="12">
        <f>IFERROR(__xludf.DUMMYFUNCTION("""COMPUTED_VALUE"""),44960.0)</f>
        <v>44960</v>
      </c>
      <c r="C2269" s="13">
        <f>IFERROR(__xludf.DUMMYFUNCTION("""COMPUTED_VALUE"""),0.5)</f>
        <v>0.5</v>
      </c>
      <c r="D2269" s="8">
        <f>IFERROR(__xludf.DUMMYFUNCTION("""COMPUTED_VALUE"""),0.034)</f>
        <v>0.034</v>
      </c>
      <c r="E2269" s="8" t="str">
        <f>IFERROR(__xludf.DUMMYFUNCTION("""COMPUTED_VALUE"""),"Real")</f>
        <v>Real</v>
      </c>
      <c r="G2269" s="8">
        <f t="shared" si="1"/>
        <v>2</v>
      </c>
      <c r="H2269" s="14">
        <f t="shared" si="2"/>
        <v>3</v>
      </c>
      <c r="I2269" s="15">
        <f t="shared" si="3"/>
        <v>12</v>
      </c>
    </row>
    <row r="2270">
      <c r="A2270" s="8" t="str">
        <f>IFERROR(__xludf.DUMMYFUNCTION("IF('(INGESTA)Datos_consumo_datadis'!A2270&lt;&gt;"""",SPLIT('(INGESTA)Datos_consumo_datadis'!A:A,"",""),"""")"),"ES0031408323131005HX0F")</f>
        <v>ES0031408323131005HX0F</v>
      </c>
      <c r="B2270" s="12">
        <f>IFERROR(__xludf.DUMMYFUNCTION("""COMPUTED_VALUE"""),44960.0)</f>
        <v>44960</v>
      </c>
      <c r="C2270" s="13">
        <f>IFERROR(__xludf.DUMMYFUNCTION("""COMPUTED_VALUE"""),0.5416666666666666)</f>
        <v>0.5416666667</v>
      </c>
      <c r="D2270" s="8">
        <f>IFERROR(__xludf.DUMMYFUNCTION("""COMPUTED_VALUE"""),0.09)</f>
        <v>0.09</v>
      </c>
      <c r="E2270" s="8" t="str">
        <f>IFERROR(__xludf.DUMMYFUNCTION("""COMPUTED_VALUE"""),"Real")</f>
        <v>Real</v>
      </c>
      <c r="G2270" s="8">
        <f t="shared" si="1"/>
        <v>2</v>
      </c>
      <c r="H2270" s="14">
        <f t="shared" si="2"/>
        <v>3</v>
      </c>
      <c r="I2270" s="15">
        <f t="shared" si="3"/>
        <v>13</v>
      </c>
    </row>
    <row r="2271">
      <c r="A2271" s="8" t="str">
        <f>IFERROR(__xludf.DUMMYFUNCTION("IF('(INGESTA)Datos_consumo_datadis'!A2271&lt;&gt;"""",SPLIT('(INGESTA)Datos_consumo_datadis'!A:A,"",""),"""")"),"ES0031408323131005HX0F")</f>
        <v>ES0031408323131005HX0F</v>
      </c>
      <c r="B2271" s="12">
        <f>IFERROR(__xludf.DUMMYFUNCTION("""COMPUTED_VALUE"""),44960.0)</f>
        <v>44960</v>
      </c>
      <c r="C2271" s="13">
        <f>IFERROR(__xludf.DUMMYFUNCTION("""COMPUTED_VALUE"""),0.5833333333333334)</f>
        <v>0.5833333333</v>
      </c>
      <c r="D2271" s="8">
        <f>IFERROR(__xludf.DUMMYFUNCTION("""COMPUTED_VALUE"""),0.68)</f>
        <v>0.68</v>
      </c>
      <c r="E2271" s="8" t="str">
        <f>IFERROR(__xludf.DUMMYFUNCTION("""COMPUTED_VALUE"""),"Real")</f>
        <v>Real</v>
      </c>
      <c r="G2271" s="8">
        <f t="shared" si="1"/>
        <v>2</v>
      </c>
      <c r="H2271" s="14">
        <f t="shared" si="2"/>
        <v>3</v>
      </c>
      <c r="I2271" s="15">
        <f t="shared" si="3"/>
        <v>14</v>
      </c>
    </row>
    <row r="2272">
      <c r="A2272" s="8" t="str">
        <f>IFERROR(__xludf.DUMMYFUNCTION("IF('(INGESTA)Datos_consumo_datadis'!A2272&lt;&gt;"""",SPLIT('(INGESTA)Datos_consumo_datadis'!A:A,"",""),"""")"),"ES0031408323131005HX0F")</f>
        <v>ES0031408323131005HX0F</v>
      </c>
      <c r="B2272" s="12">
        <f>IFERROR(__xludf.DUMMYFUNCTION("""COMPUTED_VALUE"""),44960.0)</f>
        <v>44960</v>
      </c>
      <c r="C2272" s="13">
        <f>IFERROR(__xludf.DUMMYFUNCTION("""COMPUTED_VALUE"""),0.625)</f>
        <v>0.625</v>
      </c>
      <c r="D2272" s="8">
        <f>IFERROR(__xludf.DUMMYFUNCTION("""COMPUTED_VALUE"""),0.713)</f>
        <v>0.713</v>
      </c>
      <c r="E2272" s="8" t="str">
        <f>IFERROR(__xludf.DUMMYFUNCTION("""COMPUTED_VALUE"""),"Real")</f>
        <v>Real</v>
      </c>
      <c r="G2272" s="8">
        <f t="shared" si="1"/>
        <v>2</v>
      </c>
      <c r="H2272" s="14">
        <f t="shared" si="2"/>
        <v>3</v>
      </c>
      <c r="I2272" s="15">
        <f t="shared" si="3"/>
        <v>15</v>
      </c>
    </row>
    <row r="2273">
      <c r="A2273" s="8" t="str">
        <f>IFERROR(__xludf.DUMMYFUNCTION("IF('(INGESTA)Datos_consumo_datadis'!A2273&lt;&gt;"""",SPLIT('(INGESTA)Datos_consumo_datadis'!A:A,"",""),"""")"),"ES0031408323131005HX0F")</f>
        <v>ES0031408323131005HX0F</v>
      </c>
      <c r="B2273" s="12">
        <f>IFERROR(__xludf.DUMMYFUNCTION("""COMPUTED_VALUE"""),44960.0)</f>
        <v>44960</v>
      </c>
      <c r="C2273" s="13">
        <f>IFERROR(__xludf.DUMMYFUNCTION("""COMPUTED_VALUE"""),0.6666666666666666)</f>
        <v>0.6666666667</v>
      </c>
      <c r="D2273" s="8">
        <f>IFERROR(__xludf.DUMMYFUNCTION("""COMPUTED_VALUE"""),0.104)</f>
        <v>0.104</v>
      </c>
      <c r="E2273" s="8" t="str">
        <f>IFERROR(__xludf.DUMMYFUNCTION("""COMPUTED_VALUE"""),"Real")</f>
        <v>Real</v>
      </c>
      <c r="G2273" s="8">
        <f t="shared" si="1"/>
        <v>2</v>
      </c>
      <c r="H2273" s="14">
        <f t="shared" si="2"/>
        <v>3</v>
      </c>
      <c r="I2273" s="15">
        <f t="shared" si="3"/>
        <v>16</v>
      </c>
    </row>
    <row r="2274">
      <c r="A2274" s="8" t="str">
        <f>IFERROR(__xludf.DUMMYFUNCTION("IF('(INGESTA)Datos_consumo_datadis'!A2274&lt;&gt;"""",SPLIT('(INGESTA)Datos_consumo_datadis'!A:A,"",""),"""")"),"ES0031408323131005HX0F")</f>
        <v>ES0031408323131005HX0F</v>
      </c>
      <c r="B2274" s="12">
        <f>IFERROR(__xludf.DUMMYFUNCTION("""COMPUTED_VALUE"""),44960.0)</f>
        <v>44960</v>
      </c>
      <c r="C2274" s="13">
        <f>IFERROR(__xludf.DUMMYFUNCTION("""COMPUTED_VALUE"""),0.7083333333333334)</f>
        <v>0.7083333333</v>
      </c>
      <c r="D2274" s="8">
        <f>IFERROR(__xludf.DUMMYFUNCTION("""COMPUTED_VALUE"""),0.102)</f>
        <v>0.102</v>
      </c>
      <c r="E2274" s="8" t="str">
        <f>IFERROR(__xludf.DUMMYFUNCTION("""COMPUTED_VALUE"""),"Real")</f>
        <v>Real</v>
      </c>
      <c r="G2274" s="8">
        <f t="shared" si="1"/>
        <v>2</v>
      </c>
      <c r="H2274" s="14">
        <f t="shared" si="2"/>
        <v>3</v>
      </c>
      <c r="I2274" s="15">
        <f t="shared" si="3"/>
        <v>17</v>
      </c>
    </row>
    <row r="2275">
      <c r="A2275" s="8" t="str">
        <f>IFERROR(__xludf.DUMMYFUNCTION("IF('(INGESTA)Datos_consumo_datadis'!A2275&lt;&gt;"""",SPLIT('(INGESTA)Datos_consumo_datadis'!A:A,"",""),"""")"),"ES0031408323131005HX0F")</f>
        <v>ES0031408323131005HX0F</v>
      </c>
      <c r="B2275" s="12">
        <f>IFERROR(__xludf.DUMMYFUNCTION("""COMPUTED_VALUE"""),44960.0)</f>
        <v>44960</v>
      </c>
      <c r="C2275" s="13">
        <f>IFERROR(__xludf.DUMMYFUNCTION("""COMPUTED_VALUE"""),0.75)</f>
        <v>0.75</v>
      </c>
      <c r="D2275" s="8">
        <f>IFERROR(__xludf.DUMMYFUNCTION("""COMPUTED_VALUE"""),0.101)</f>
        <v>0.101</v>
      </c>
      <c r="E2275" s="8" t="str">
        <f>IFERROR(__xludf.DUMMYFUNCTION("""COMPUTED_VALUE"""),"Real")</f>
        <v>Real</v>
      </c>
      <c r="G2275" s="8">
        <f t="shared" si="1"/>
        <v>2</v>
      </c>
      <c r="H2275" s="14">
        <f t="shared" si="2"/>
        <v>3</v>
      </c>
      <c r="I2275" s="15">
        <f t="shared" si="3"/>
        <v>18</v>
      </c>
    </row>
    <row r="2276">
      <c r="A2276" s="8" t="str">
        <f>IFERROR(__xludf.DUMMYFUNCTION("IF('(INGESTA)Datos_consumo_datadis'!A2276&lt;&gt;"""",SPLIT('(INGESTA)Datos_consumo_datadis'!A:A,"",""),"""")"),"ES0031408323131005HX0F")</f>
        <v>ES0031408323131005HX0F</v>
      </c>
      <c r="B2276" s="12">
        <f>IFERROR(__xludf.DUMMYFUNCTION("""COMPUTED_VALUE"""),44960.0)</f>
        <v>44960</v>
      </c>
      <c r="C2276" s="13">
        <f>IFERROR(__xludf.DUMMYFUNCTION("""COMPUTED_VALUE"""),0.7916666666666666)</f>
        <v>0.7916666667</v>
      </c>
      <c r="D2276" s="8">
        <f>IFERROR(__xludf.DUMMYFUNCTION("""COMPUTED_VALUE"""),0.336)</f>
        <v>0.336</v>
      </c>
      <c r="E2276" s="8" t="str">
        <f>IFERROR(__xludf.DUMMYFUNCTION("""COMPUTED_VALUE"""),"Real")</f>
        <v>Real</v>
      </c>
      <c r="G2276" s="8">
        <f t="shared" si="1"/>
        <v>2</v>
      </c>
      <c r="H2276" s="14">
        <f t="shared" si="2"/>
        <v>3</v>
      </c>
      <c r="I2276" s="15">
        <f t="shared" si="3"/>
        <v>19</v>
      </c>
    </row>
    <row r="2277">
      <c r="A2277" s="8" t="str">
        <f>IFERROR(__xludf.DUMMYFUNCTION("IF('(INGESTA)Datos_consumo_datadis'!A2277&lt;&gt;"""",SPLIT('(INGESTA)Datos_consumo_datadis'!A:A,"",""),"""")"),"ES0031408323131005HX0F")</f>
        <v>ES0031408323131005HX0F</v>
      </c>
      <c r="B2277" s="12">
        <f>IFERROR(__xludf.DUMMYFUNCTION("""COMPUTED_VALUE"""),44960.0)</f>
        <v>44960</v>
      </c>
      <c r="C2277" s="13">
        <f>IFERROR(__xludf.DUMMYFUNCTION("""COMPUTED_VALUE"""),0.8333333333333334)</f>
        <v>0.8333333333</v>
      </c>
      <c r="D2277" s="8">
        <f>IFERROR(__xludf.DUMMYFUNCTION("""COMPUTED_VALUE"""),0.016)</f>
        <v>0.016</v>
      </c>
      <c r="E2277" s="8" t="str">
        <f>IFERROR(__xludf.DUMMYFUNCTION("""COMPUTED_VALUE"""),"Real")</f>
        <v>Real</v>
      </c>
      <c r="G2277" s="8">
        <f t="shared" si="1"/>
        <v>2</v>
      </c>
      <c r="H2277" s="14">
        <f t="shared" si="2"/>
        <v>3</v>
      </c>
      <c r="I2277" s="15">
        <f t="shared" si="3"/>
        <v>20</v>
      </c>
    </row>
    <row r="2278">
      <c r="A2278" s="8" t="str">
        <f>IFERROR(__xludf.DUMMYFUNCTION("IF('(INGESTA)Datos_consumo_datadis'!A2278&lt;&gt;"""",SPLIT('(INGESTA)Datos_consumo_datadis'!A:A,"",""),"""")"),"ES0031408323131005HX0F")</f>
        <v>ES0031408323131005HX0F</v>
      </c>
      <c r="B2278" s="12">
        <f>IFERROR(__xludf.DUMMYFUNCTION("""COMPUTED_VALUE"""),44960.0)</f>
        <v>44960</v>
      </c>
      <c r="C2278" s="13">
        <f>IFERROR(__xludf.DUMMYFUNCTION("""COMPUTED_VALUE"""),0.875)</f>
        <v>0.875</v>
      </c>
      <c r="D2278" s="8">
        <f>IFERROR(__xludf.DUMMYFUNCTION("""COMPUTED_VALUE"""),0.049)</f>
        <v>0.049</v>
      </c>
      <c r="E2278" s="8" t="str">
        <f>IFERROR(__xludf.DUMMYFUNCTION("""COMPUTED_VALUE"""),"Real")</f>
        <v>Real</v>
      </c>
      <c r="G2278" s="8">
        <f t="shared" si="1"/>
        <v>2</v>
      </c>
      <c r="H2278" s="14">
        <f t="shared" si="2"/>
        <v>3</v>
      </c>
      <c r="I2278" s="15">
        <f t="shared" si="3"/>
        <v>21</v>
      </c>
    </row>
    <row r="2279">
      <c r="A2279" s="8" t="str">
        <f>IFERROR(__xludf.DUMMYFUNCTION("IF('(INGESTA)Datos_consumo_datadis'!A2279&lt;&gt;"""",SPLIT('(INGESTA)Datos_consumo_datadis'!A:A,"",""),"""")"),"ES0031408323131005HX0F")</f>
        <v>ES0031408323131005HX0F</v>
      </c>
      <c r="B2279" s="12">
        <f>IFERROR(__xludf.DUMMYFUNCTION("""COMPUTED_VALUE"""),44960.0)</f>
        <v>44960</v>
      </c>
      <c r="C2279" s="13">
        <f>IFERROR(__xludf.DUMMYFUNCTION("""COMPUTED_VALUE"""),0.9166666666666666)</f>
        <v>0.9166666667</v>
      </c>
      <c r="D2279" s="8">
        <f>IFERROR(__xludf.DUMMYFUNCTION("""COMPUTED_VALUE"""),0.1)</f>
        <v>0.1</v>
      </c>
      <c r="E2279" s="8" t="str">
        <f>IFERROR(__xludf.DUMMYFUNCTION("""COMPUTED_VALUE"""),"Real")</f>
        <v>Real</v>
      </c>
      <c r="G2279" s="8">
        <f t="shared" si="1"/>
        <v>2</v>
      </c>
      <c r="H2279" s="14">
        <f t="shared" si="2"/>
        <v>3</v>
      </c>
      <c r="I2279" s="15">
        <f t="shared" si="3"/>
        <v>22</v>
      </c>
    </row>
    <row r="2280">
      <c r="A2280" s="8" t="str">
        <f>IFERROR(__xludf.DUMMYFUNCTION("IF('(INGESTA)Datos_consumo_datadis'!A2280&lt;&gt;"""",SPLIT('(INGESTA)Datos_consumo_datadis'!A:A,"",""),"""")"),"ES0031408323131005HX0F")</f>
        <v>ES0031408323131005HX0F</v>
      </c>
      <c r="B2280" s="12">
        <f>IFERROR(__xludf.DUMMYFUNCTION("""COMPUTED_VALUE"""),44960.0)</f>
        <v>44960</v>
      </c>
      <c r="C2280" s="13">
        <f>IFERROR(__xludf.DUMMYFUNCTION("""COMPUTED_VALUE"""),0.9583333333333334)</f>
        <v>0.9583333333</v>
      </c>
      <c r="D2280" s="8">
        <f>IFERROR(__xludf.DUMMYFUNCTION("""COMPUTED_VALUE"""),0.016)</f>
        <v>0.016</v>
      </c>
      <c r="E2280" s="8" t="str">
        <f>IFERROR(__xludf.DUMMYFUNCTION("""COMPUTED_VALUE"""),"Real")</f>
        <v>Real</v>
      </c>
      <c r="G2280" s="8">
        <f t="shared" si="1"/>
        <v>2</v>
      </c>
      <c r="H2280" s="14">
        <f t="shared" si="2"/>
        <v>3</v>
      </c>
      <c r="I2280" s="15">
        <f t="shared" si="3"/>
        <v>23</v>
      </c>
    </row>
    <row r="2281">
      <c r="A2281" s="8" t="str">
        <f>IFERROR(__xludf.DUMMYFUNCTION("IF('(INGESTA)Datos_consumo_datadis'!A2281&lt;&gt;"""",SPLIT('(INGESTA)Datos_consumo_datadis'!A:A,"",""),"""")"),"ES0031408323131005HX0F")</f>
        <v>ES0031408323131005HX0F</v>
      </c>
      <c r="B2281" s="12">
        <f>IFERROR(__xludf.DUMMYFUNCTION("""COMPUTED_VALUE"""),44960.0)</f>
        <v>44960</v>
      </c>
      <c r="C2281" s="16">
        <f>IFERROR(__xludf.DUMMYFUNCTION("""COMPUTED_VALUE"""),1.0)</f>
        <v>1</v>
      </c>
      <c r="D2281" s="8">
        <f>IFERROR(__xludf.DUMMYFUNCTION("""COMPUTED_VALUE"""),1.959)</f>
        <v>1.959</v>
      </c>
      <c r="E2281" s="8" t="str">
        <f>IFERROR(__xludf.DUMMYFUNCTION("""COMPUTED_VALUE"""),"Real")</f>
        <v>Real</v>
      </c>
      <c r="G2281" s="8">
        <f t="shared" si="1"/>
        <v>2</v>
      </c>
      <c r="H2281" s="14">
        <f t="shared" si="2"/>
        <v>3</v>
      </c>
      <c r="I2281" s="15">
        <f t="shared" si="3"/>
        <v>0</v>
      </c>
    </row>
    <row r="2282">
      <c r="A2282" s="8" t="str">
        <f>IFERROR(__xludf.DUMMYFUNCTION("IF('(INGESTA)Datos_consumo_datadis'!A2282&lt;&gt;"""",SPLIT('(INGESTA)Datos_consumo_datadis'!A:A,"",""),"""")"),"ES0031408323131005HX0F")</f>
        <v>ES0031408323131005HX0F</v>
      </c>
      <c r="B2282" s="12">
        <f>IFERROR(__xludf.DUMMYFUNCTION("""COMPUTED_VALUE"""),44961.0)</f>
        <v>44961</v>
      </c>
      <c r="C2282" s="13">
        <f>IFERROR(__xludf.DUMMYFUNCTION("""COMPUTED_VALUE"""),0.041666666666666664)</f>
        <v>0.04166666667</v>
      </c>
      <c r="D2282" s="8">
        <f>IFERROR(__xludf.DUMMYFUNCTION("""COMPUTED_VALUE"""),2.45)</f>
        <v>2.45</v>
      </c>
      <c r="E2282" s="8" t="str">
        <f>IFERROR(__xludf.DUMMYFUNCTION("""COMPUTED_VALUE"""),"Real")</f>
        <v>Real</v>
      </c>
      <c r="G2282" s="8">
        <f t="shared" si="1"/>
        <v>2</v>
      </c>
      <c r="H2282" s="14">
        <f t="shared" si="2"/>
        <v>4</v>
      </c>
      <c r="I2282" s="15">
        <f t="shared" si="3"/>
        <v>1</v>
      </c>
    </row>
    <row r="2283">
      <c r="A2283" s="8" t="str">
        <f>IFERROR(__xludf.DUMMYFUNCTION("IF('(INGESTA)Datos_consumo_datadis'!A2283&lt;&gt;"""",SPLIT('(INGESTA)Datos_consumo_datadis'!A:A,"",""),"""")"),"ES0031408323131005HX0F")</f>
        <v>ES0031408323131005HX0F</v>
      </c>
      <c r="B2283" s="12">
        <f>IFERROR(__xludf.DUMMYFUNCTION("""COMPUTED_VALUE"""),44961.0)</f>
        <v>44961</v>
      </c>
      <c r="C2283" s="13">
        <f>IFERROR(__xludf.DUMMYFUNCTION("""COMPUTED_VALUE"""),0.08333333333333333)</f>
        <v>0.08333333333</v>
      </c>
      <c r="D2283" s="8">
        <f>IFERROR(__xludf.DUMMYFUNCTION("""COMPUTED_VALUE"""),1.72)</f>
        <v>1.72</v>
      </c>
      <c r="E2283" s="8" t="str">
        <f>IFERROR(__xludf.DUMMYFUNCTION("""COMPUTED_VALUE"""),"Real")</f>
        <v>Real</v>
      </c>
      <c r="G2283" s="8">
        <f t="shared" si="1"/>
        <v>2</v>
      </c>
      <c r="H2283" s="14">
        <f t="shared" si="2"/>
        <v>4</v>
      </c>
      <c r="I2283" s="15">
        <f t="shared" si="3"/>
        <v>2</v>
      </c>
    </row>
    <row r="2284">
      <c r="A2284" s="8" t="str">
        <f>IFERROR(__xludf.DUMMYFUNCTION("IF('(INGESTA)Datos_consumo_datadis'!A2284&lt;&gt;"""",SPLIT('(INGESTA)Datos_consumo_datadis'!A:A,"",""),"""")"),"ES0031408323131005HX0F")</f>
        <v>ES0031408323131005HX0F</v>
      </c>
      <c r="B2284" s="12">
        <f>IFERROR(__xludf.DUMMYFUNCTION("""COMPUTED_VALUE"""),44961.0)</f>
        <v>44961</v>
      </c>
      <c r="C2284" s="13">
        <f>IFERROR(__xludf.DUMMYFUNCTION("""COMPUTED_VALUE"""),0.125)</f>
        <v>0.125</v>
      </c>
      <c r="D2284" s="8">
        <f>IFERROR(__xludf.DUMMYFUNCTION("""COMPUTED_VALUE"""),1.638)</f>
        <v>1.638</v>
      </c>
      <c r="E2284" s="8" t="str">
        <f>IFERROR(__xludf.DUMMYFUNCTION("""COMPUTED_VALUE"""),"Real")</f>
        <v>Real</v>
      </c>
      <c r="G2284" s="8">
        <f t="shared" si="1"/>
        <v>2</v>
      </c>
      <c r="H2284" s="14">
        <f t="shared" si="2"/>
        <v>4</v>
      </c>
      <c r="I2284" s="15">
        <f t="shared" si="3"/>
        <v>3</v>
      </c>
    </row>
    <row r="2285">
      <c r="A2285" s="8" t="str">
        <f>IFERROR(__xludf.DUMMYFUNCTION("IF('(INGESTA)Datos_consumo_datadis'!A2285&lt;&gt;"""",SPLIT('(INGESTA)Datos_consumo_datadis'!A:A,"",""),"""")"),"ES0031408323131005HX0F")</f>
        <v>ES0031408323131005HX0F</v>
      </c>
      <c r="B2285" s="12">
        <f>IFERROR(__xludf.DUMMYFUNCTION("""COMPUTED_VALUE"""),44961.0)</f>
        <v>44961</v>
      </c>
      <c r="C2285" s="13">
        <f>IFERROR(__xludf.DUMMYFUNCTION("""COMPUTED_VALUE"""),0.16666666666666666)</f>
        <v>0.1666666667</v>
      </c>
      <c r="D2285" s="8">
        <f>IFERROR(__xludf.DUMMYFUNCTION("""COMPUTED_VALUE"""),1.78)</f>
        <v>1.78</v>
      </c>
      <c r="E2285" s="8" t="str">
        <f>IFERROR(__xludf.DUMMYFUNCTION("""COMPUTED_VALUE"""),"Real")</f>
        <v>Real</v>
      </c>
      <c r="G2285" s="8">
        <f t="shared" si="1"/>
        <v>2</v>
      </c>
      <c r="H2285" s="14">
        <f t="shared" si="2"/>
        <v>4</v>
      </c>
      <c r="I2285" s="15">
        <f t="shared" si="3"/>
        <v>4</v>
      </c>
    </row>
    <row r="2286">
      <c r="A2286" s="8" t="str">
        <f>IFERROR(__xludf.DUMMYFUNCTION("IF('(INGESTA)Datos_consumo_datadis'!A2286&lt;&gt;"""",SPLIT('(INGESTA)Datos_consumo_datadis'!A:A,"",""),"""")"),"ES0031408323131005HX0F")</f>
        <v>ES0031408323131005HX0F</v>
      </c>
      <c r="B2286" s="12">
        <f>IFERROR(__xludf.DUMMYFUNCTION("""COMPUTED_VALUE"""),44961.0)</f>
        <v>44961</v>
      </c>
      <c r="C2286" s="13">
        <f>IFERROR(__xludf.DUMMYFUNCTION("""COMPUTED_VALUE"""),0.20833333333333334)</f>
        <v>0.2083333333</v>
      </c>
      <c r="D2286" s="8">
        <f>IFERROR(__xludf.DUMMYFUNCTION("""COMPUTED_VALUE"""),1.615)</f>
        <v>1.615</v>
      </c>
      <c r="E2286" s="8" t="str">
        <f>IFERROR(__xludf.DUMMYFUNCTION("""COMPUTED_VALUE"""),"Real")</f>
        <v>Real</v>
      </c>
      <c r="G2286" s="8">
        <f t="shared" si="1"/>
        <v>2</v>
      </c>
      <c r="H2286" s="14">
        <f t="shared" si="2"/>
        <v>4</v>
      </c>
      <c r="I2286" s="15">
        <f t="shared" si="3"/>
        <v>5</v>
      </c>
    </row>
    <row r="2287">
      <c r="A2287" s="8" t="str">
        <f>IFERROR(__xludf.DUMMYFUNCTION("IF('(INGESTA)Datos_consumo_datadis'!A2287&lt;&gt;"""",SPLIT('(INGESTA)Datos_consumo_datadis'!A:A,"",""),"""")"),"ES0031408323131005HX0F")</f>
        <v>ES0031408323131005HX0F</v>
      </c>
      <c r="B2287" s="12">
        <f>IFERROR(__xludf.DUMMYFUNCTION("""COMPUTED_VALUE"""),44961.0)</f>
        <v>44961</v>
      </c>
      <c r="C2287" s="13">
        <f>IFERROR(__xludf.DUMMYFUNCTION("""COMPUTED_VALUE"""),0.25)</f>
        <v>0.25</v>
      </c>
      <c r="D2287" s="8">
        <f>IFERROR(__xludf.DUMMYFUNCTION("""COMPUTED_VALUE"""),1.554)</f>
        <v>1.554</v>
      </c>
      <c r="E2287" s="8" t="str">
        <f>IFERROR(__xludf.DUMMYFUNCTION("""COMPUTED_VALUE"""),"Real")</f>
        <v>Real</v>
      </c>
      <c r="G2287" s="8">
        <f t="shared" si="1"/>
        <v>2</v>
      </c>
      <c r="H2287" s="14">
        <f t="shared" si="2"/>
        <v>4</v>
      </c>
      <c r="I2287" s="15">
        <f t="shared" si="3"/>
        <v>6</v>
      </c>
    </row>
    <row r="2288">
      <c r="A2288" s="8" t="str">
        <f>IFERROR(__xludf.DUMMYFUNCTION("IF('(INGESTA)Datos_consumo_datadis'!A2288&lt;&gt;"""",SPLIT('(INGESTA)Datos_consumo_datadis'!A:A,"",""),"""")"),"ES0031408323131005HX0F")</f>
        <v>ES0031408323131005HX0F</v>
      </c>
      <c r="B2288" s="12">
        <f>IFERROR(__xludf.DUMMYFUNCTION("""COMPUTED_VALUE"""),44961.0)</f>
        <v>44961</v>
      </c>
      <c r="C2288" s="13">
        <f>IFERROR(__xludf.DUMMYFUNCTION("""COMPUTED_VALUE"""),0.2916666666666667)</f>
        <v>0.2916666667</v>
      </c>
      <c r="D2288" s="8">
        <f>IFERROR(__xludf.DUMMYFUNCTION("""COMPUTED_VALUE"""),1.563)</f>
        <v>1.563</v>
      </c>
      <c r="E2288" s="8" t="str">
        <f>IFERROR(__xludf.DUMMYFUNCTION("""COMPUTED_VALUE"""),"Real")</f>
        <v>Real</v>
      </c>
      <c r="G2288" s="8">
        <f t="shared" si="1"/>
        <v>2</v>
      </c>
      <c r="H2288" s="14">
        <f t="shared" si="2"/>
        <v>4</v>
      </c>
      <c r="I2288" s="15">
        <f t="shared" si="3"/>
        <v>7</v>
      </c>
    </row>
    <row r="2289">
      <c r="A2289" s="8" t="str">
        <f>IFERROR(__xludf.DUMMYFUNCTION("IF('(INGESTA)Datos_consumo_datadis'!A2289&lt;&gt;"""",SPLIT('(INGESTA)Datos_consumo_datadis'!A:A,"",""),"""")"),"ES0031408323131005HX0F")</f>
        <v>ES0031408323131005HX0F</v>
      </c>
      <c r="B2289" s="12">
        <f>IFERROR(__xludf.DUMMYFUNCTION("""COMPUTED_VALUE"""),44961.0)</f>
        <v>44961</v>
      </c>
      <c r="C2289" s="13">
        <f>IFERROR(__xludf.DUMMYFUNCTION("""COMPUTED_VALUE"""),0.3333333333333333)</f>
        <v>0.3333333333</v>
      </c>
      <c r="D2289" s="8">
        <f>IFERROR(__xludf.DUMMYFUNCTION("""COMPUTED_VALUE"""),1.601)</f>
        <v>1.601</v>
      </c>
      <c r="E2289" s="8" t="str">
        <f>IFERROR(__xludf.DUMMYFUNCTION("""COMPUTED_VALUE"""),"Real")</f>
        <v>Real</v>
      </c>
      <c r="G2289" s="8">
        <f t="shared" si="1"/>
        <v>2</v>
      </c>
      <c r="H2289" s="14">
        <f t="shared" si="2"/>
        <v>4</v>
      </c>
      <c r="I2289" s="15">
        <f t="shared" si="3"/>
        <v>8</v>
      </c>
    </row>
    <row r="2290">
      <c r="A2290" s="8" t="str">
        <f>IFERROR(__xludf.DUMMYFUNCTION("IF('(INGESTA)Datos_consumo_datadis'!A2290&lt;&gt;"""",SPLIT('(INGESTA)Datos_consumo_datadis'!A:A,"",""),"""")"),"ES0031408323131005HX0F")</f>
        <v>ES0031408323131005HX0F</v>
      </c>
      <c r="B2290" s="12">
        <f>IFERROR(__xludf.DUMMYFUNCTION("""COMPUTED_VALUE"""),44961.0)</f>
        <v>44961</v>
      </c>
      <c r="C2290" s="13">
        <f>IFERROR(__xludf.DUMMYFUNCTION("""COMPUTED_VALUE"""),0.375)</f>
        <v>0.375</v>
      </c>
      <c r="D2290" s="8">
        <f>IFERROR(__xludf.DUMMYFUNCTION("""COMPUTED_VALUE"""),1.534)</f>
        <v>1.534</v>
      </c>
      <c r="E2290" s="8" t="str">
        <f>IFERROR(__xludf.DUMMYFUNCTION("""COMPUTED_VALUE"""),"Real")</f>
        <v>Real</v>
      </c>
      <c r="G2290" s="8">
        <f t="shared" si="1"/>
        <v>2</v>
      </c>
      <c r="H2290" s="14">
        <f t="shared" si="2"/>
        <v>4</v>
      </c>
      <c r="I2290" s="15">
        <f t="shared" si="3"/>
        <v>9</v>
      </c>
    </row>
    <row r="2291">
      <c r="A2291" s="8" t="str">
        <f>IFERROR(__xludf.DUMMYFUNCTION("IF('(INGESTA)Datos_consumo_datadis'!A2291&lt;&gt;"""",SPLIT('(INGESTA)Datos_consumo_datadis'!A:A,"",""),"""")"),"ES0031408323131005HX0F")</f>
        <v>ES0031408323131005HX0F</v>
      </c>
      <c r="B2291" s="12">
        <f>IFERROR(__xludf.DUMMYFUNCTION("""COMPUTED_VALUE"""),44961.0)</f>
        <v>44961</v>
      </c>
      <c r="C2291" s="13">
        <f>IFERROR(__xludf.DUMMYFUNCTION("""COMPUTED_VALUE"""),0.4166666666666667)</f>
        <v>0.4166666667</v>
      </c>
      <c r="D2291" s="8">
        <f>IFERROR(__xludf.DUMMYFUNCTION("""COMPUTED_VALUE"""),1.59)</f>
        <v>1.59</v>
      </c>
      <c r="E2291" s="8" t="str">
        <f>IFERROR(__xludf.DUMMYFUNCTION("""COMPUTED_VALUE"""),"Real")</f>
        <v>Real</v>
      </c>
      <c r="G2291" s="8">
        <f t="shared" si="1"/>
        <v>2</v>
      </c>
      <c r="H2291" s="14">
        <f t="shared" si="2"/>
        <v>4</v>
      </c>
      <c r="I2291" s="15">
        <f t="shared" si="3"/>
        <v>10</v>
      </c>
    </row>
    <row r="2292">
      <c r="A2292" s="8" t="str">
        <f>IFERROR(__xludf.DUMMYFUNCTION("IF('(INGESTA)Datos_consumo_datadis'!A2292&lt;&gt;"""",SPLIT('(INGESTA)Datos_consumo_datadis'!A:A,"",""),"""")"),"ES0031408323131005HX0F")</f>
        <v>ES0031408323131005HX0F</v>
      </c>
      <c r="B2292" s="12">
        <f>IFERROR(__xludf.DUMMYFUNCTION("""COMPUTED_VALUE"""),44961.0)</f>
        <v>44961</v>
      </c>
      <c r="C2292" s="13">
        <f>IFERROR(__xludf.DUMMYFUNCTION("""COMPUTED_VALUE"""),0.4583333333333333)</f>
        <v>0.4583333333</v>
      </c>
      <c r="D2292" s="8">
        <f>IFERROR(__xludf.DUMMYFUNCTION("""COMPUTED_VALUE"""),2.239)</f>
        <v>2.239</v>
      </c>
      <c r="E2292" s="8" t="str">
        <f>IFERROR(__xludf.DUMMYFUNCTION("""COMPUTED_VALUE"""),"Real")</f>
        <v>Real</v>
      </c>
      <c r="G2292" s="8">
        <f t="shared" si="1"/>
        <v>2</v>
      </c>
      <c r="H2292" s="14">
        <f t="shared" si="2"/>
        <v>4</v>
      </c>
      <c r="I2292" s="15">
        <f t="shared" si="3"/>
        <v>11</v>
      </c>
    </row>
    <row r="2293">
      <c r="A2293" s="8" t="str">
        <f>IFERROR(__xludf.DUMMYFUNCTION("IF('(INGESTA)Datos_consumo_datadis'!A2293&lt;&gt;"""",SPLIT('(INGESTA)Datos_consumo_datadis'!A:A,"",""),"""")"),"ES0031408323131005HX0F")</f>
        <v>ES0031408323131005HX0F</v>
      </c>
      <c r="B2293" s="12">
        <f>IFERROR(__xludf.DUMMYFUNCTION("""COMPUTED_VALUE"""),44961.0)</f>
        <v>44961</v>
      </c>
      <c r="C2293" s="13">
        <f>IFERROR(__xludf.DUMMYFUNCTION("""COMPUTED_VALUE"""),0.5)</f>
        <v>0.5</v>
      </c>
      <c r="D2293" s="8">
        <f>IFERROR(__xludf.DUMMYFUNCTION("""COMPUTED_VALUE"""),2.121)</f>
        <v>2.121</v>
      </c>
      <c r="E2293" s="8" t="str">
        <f>IFERROR(__xludf.DUMMYFUNCTION("""COMPUTED_VALUE"""),"Real")</f>
        <v>Real</v>
      </c>
      <c r="G2293" s="8">
        <f t="shared" si="1"/>
        <v>2</v>
      </c>
      <c r="H2293" s="14">
        <f t="shared" si="2"/>
        <v>4</v>
      </c>
      <c r="I2293" s="15">
        <f t="shared" si="3"/>
        <v>12</v>
      </c>
    </row>
    <row r="2294">
      <c r="A2294" s="8" t="str">
        <f>IFERROR(__xludf.DUMMYFUNCTION("IF('(INGESTA)Datos_consumo_datadis'!A2294&lt;&gt;"""",SPLIT('(INGESTA)Datos_consumo_datadis'!A:A,"",""),"""")"),"ES0031408323131005HX0F")</f>
        <v>ES0031408323131005HX0F</v>
      </c>
      <c r="B2294" s="12">
        <f>IFERROR(__xludf.DUMMYFUNCTION("""COMPUTED_VALUE"""),44961.0)</f>
        <v>44961</v>
      </c>
      <c r="C2294" s="13">
        <f>IFERROR(__xludf.DUMMYFUNCTION("""COMPUTED_VALUE"""),0.5416666666666666)</f>
        <v>0.5416666667</v>
      </c>
      <c r="D2294" s="8">
        <f>IFERROR(__xludf.DUMMYFUNCTION("""COMPUTED_VALUE"""),0.424)</f>
        <v>0.424</v>
      </c>
      <c r="E2294" s="8" t="str">
        <f>IFERROR(__xludf.DUMMYFUNCTION("""COMPUTED_VALUE"""),"Real")</f>
        <v>Real</v>
      </c>
      <c r="G2294" s="8">
        <f t="shared" si="1"/>
        <v>2</v>
      </c>
      <c r="H2294" s="14">
        <f t="shared" si="2"/>
        <v>4</v>
      </c>
      <c r="I2294" s="15">
        <f t="shared" si="3"/>
        <v>13</v>
      </c>
    </row>
    <row r="2295">
      <c r="A2295" s="8" t="str">
        <f>IFERROR(__xludf.DUMMYFUNCTION("IF('(INGESTA)Datos_consumo_datadis'!A2295&lt;&gt;"""",SPLIT('(INGESTA)Datos_consumo_datadis'!A:A,"",""),"""")"),"ES0031408323131005HX0F")</f>
        <v>ES0031408323131005HX0F</v>
      </c>
      <c r="B2295" s="12">
        <f>IFERROR(__xludf.DUMMYFUNCTION("""COMPUTED_VALUE"""),44961.0)</f>
        <v>44961</v>
      </c>
      <c r="C2295" s="13">
        <f>IFERROR(__xludf.DUMMYFUNCTION("""COMPUTED_VALUE"""),0.5833333333333334)</f>
        <v>0.5833333333</v>
      </c>
      <c r="D2295" s="8">
        <f>IFERROR(__xludf.DUMMYFUNCTION("""COMPUTED_VALUE"""),0.04)</f>
        <v>0.04</v>
      </c>
      <c r="E2295" s="8" t="str">
        <f>IFERROR(__xludf.DUMMYFUNCTION("""COMPUTED_VALUE"""),"Real")</f>
        <v>Real</v>
      </c>
      <c r="G2295" s="8">
        <f t="shared" si="1"/>
        <v>2</v>
      </c>
      <c r="H2295" s="14">
        <f t="shared" si="2"/>
        <v>4</v>
      </c>
      <c r="I2295" s="15">
        <f t="shared" si="3"/>
        <v>14</v>
      </c>
    </row>
    <row r="2296">
      <c r="A2296" s="8" t="str">
        <f>IFERROR(__xludf.DUMMYFUNCTION("IF('(INGESTA)Datos_consumo_datadis'!A2296&lt;&gt;"""",SPLIT('(INGESTA)Datos_consumo_datadis'!A:A,"",""),"""")"),"ES0031408323131005HX0F")</f>
        <v>ES0031408323131005HX0F</v>
      </c>
      <c r="B2296" s="12">
        <f>IFERROR(__xludf.DUMMYFUNCTION("""COMPUTED_VALUE"""),44961.0)</f>
        <v>44961</v>
      </c>
      <c r="C2296" s="13">
        <f>IFERROR(__xludf.DUMMYFUNCTION("""COMPUTED_VALUE"""),0.625)</f>
        <v>0.625</v>
      </c>
      <c r="D2296" s="8">
        <f>IFERROR(__xludf.DUMMYFUNCTION("""COMPUTED_VALUE"""),0.071)</f>
        <v>0.071</v>
      </c>
      <c r="E2296" s="8" t="str">
        <f>IFERROR(__xludf.DUMMYFUNCTION("""COMPUTED_VALUE"""),"Real")</f>
        <v>Real</v>
      </c>
      <c r="G2296" s="8">
        <f t="shared" si="1"/>
        <v>2</v>
      </c>
      <c r="H2296" s="14">
        <f t="shared" si="2"/>
        <v>4</v>
      </c>
      <c r="I2296" s="15">
        <f t="shared" si="3"/>
        <v>15</v>
      </c>
    </row>
    <row r="2297">
      <c r="A2297" s="8" t="str">
        <f>IFERROR(__xludf.DUMMYFUNCTION("IF('(INGESTA)Datos_consumo_datadis'!A2297&lt;&gt;"""",SPLIT('(INGESTA)Datos_consumo_datadis'!A:A,"",""),"""")"),"ES0031408323131005HX0F")</f>
        <v>ES0031408323131005HX0F</v>
      </c>
      <c r="B2297" s="12">
        <f>IFERROR(__xludf.DUMMYFUNCTION("""COMPUTED_VALUE"""),44961.0)</f>
        <v>44961</v>
      </c>
      <c r="C2297" s="13">
        <f>IFERROR(__xludf.DUMMYFUNCTION("""COMPUTED_VALUE"""),0.6666666666666666)</f>
        <v>0.6666666667</v>
      </c>
      <c r="D2297" s="8">
        <f>IFERROR(__xludf.DUMMYFUNCTION("""COMPUTED_VALUE"""),0.016)</f>
        <v>0.016</v>
      </c>
      <c r="E2297" s="8" t="str">
        <f>IFERROR(__xludf.DUMMYFUNCTION("""COMPUTED_VALUE"""),"Real")</f>
        <v>Real</v>
      </c>
      <c r="G2297" s="8">
        <f t="shared" si="1"/>
        <v>2</v>
      </c>
      <c r="H2297" s="14">
        <f t="shared" si="2"/>
        <v>4</v>
      </c>
      <c r="I2297" s="15">
        <f t="shared" si="3"/>
        <v>16</v>
      </c>
    </row>
    <row r="2298">
      <c r="A2298" s="8" t="str">
        <f>IFERROR(__xludf.DUMMYFUNCTION("IF('(INGESTA)Datos_consumo_datadis'!A2298&lt;&gt;"""",SPLIT('(INGESTA)Datos_consumo_datadis'!A:A,"",""),"""")"),"ES0031408323131005HX0F")</f>
        <v>ES0031408323131005HX0F</v>
      </c>
      <c r="B2298" s="12">
        <f>IFERROR(__xludf.DUMMYFUNCTION("""COMPUTED_VALUE"""),44961.0)</f>
        <v>44961</v>
      </c>
      <c r="C2298" s="13">
        <f>IFERROR(__xludf.DUMMYFUNCTION("""COMPUTED_VALUE"""),0.7083333333333334)</f>
        <v>0.7083333333</v>
      </c>
      <c r="D2298" s="8">
        <f>IFERROR(__xludf.DUMMYFUNCTION("""COMPUTED_VALUE"""),0.288)</f>
        <v>0.288</v>
      </c>
      <c r="E2298" s="8" t="str">
        <f>IFERROR(__xludf.DUMMYFUNCTION("""COMPUTED_VALUE"""),"Real")</f>
        <v>Real</v>
      </c>
      <c r="G2298" s="8">
        <f t="shared" si="1"/>
        <v>2</v>
      </c>
      <c r="H2298" s="14">
        <f t="shared" si="2"/>
        <v>4</v>
      </c>
      <c r="I2298" s="15">
        <f t="shared" si="3"/>
        <v>17</v>
      </c>
    </row>
    <row r="2299">
      <c r="A2299" s="8" t="str">
        <f>IFERROR(__xludf.DUMMYFUNCTION("IF('(INGESTA)Datos_consumo_datadis'!A2299&lt;&gt;"""",SPLIT('(INGESTA)Datos_consumo_datadis'!A:A,"",""),"""")"),"ES0031408323131005HX0F")</f>
        <v>ES0031408323131005HX0F</v>
      </c>
      <c r="B2299" s="12">
        <f>IFERROR(__xludf.DUMMYFUNCTION("""COMPUTED_VALUE"""),44961.0)</f>
        <v>44961</v>
      </c>
      <c r="C2299" s="13">
        <f>IFERROR(__xludf.DUMMYFUNCTION("""COMPUTED_VALUE"""),0.75)</f>
        <v>0.75</v>
      </c>
      <c r="D2299" s="8">
        <f>IFERROR(__xludf.DUMMYFUNCTION("""COMPUTED_VALUE"""),0.11)</f>
        <v>0.11</v>
      </c>
      <c r="E2299" s="8" t="str">
        <f>IFERROR(__xludf.DUMMYFUNCTION("""COMPUTED_VALUE"""),"Real")</f>
        <v>Real</v>
      </c>
      <c r="G2299" s="8">
        <f t="shared" si="1"/>
        <v>2</v>
      </c>
      <c r="H2299" s="14">
        <f t="shared" si="2"/>
        <v>4</v>
      </c>
      <c r="I2299" s="15">
        <f t="shared" si="3"/>
        <v>18</v>
      </c>
    </row>
    <row r="2300">
      <c r="A2300" s="8" t="str">
        <f>IFERROR(__xludf.DUMMYFUNCTION("IF('(INGESTA)Datos_consumo_datadis'!A2300&lt;&gt;"""",SPLIT('(INGESTA)Datos_consumo_datadis'!A:A,"",""),"""")"),"ES0031408323131005HX0F")</f>
        <v>ES0031408323131005HX0F</v>
      </c>
      <c r="B2300" s="12">
        <f>IFERROR(__xludf.DUMMYFUNCTION("""COMPUTED_VALUE"""),44961.0)</f>
        <v>44961</v>
      </c>
      <c r="C2300" s="13">
        <f>IFERROR(__xludf.DUMMYFUNCTION("""COMPUTED_VALUE"""),0.7916666666666666)</f>
        <v>0.7916666667</v>
      </c>
      <c r="D2300" s="8">
        <f>IFERROR(__xludf.DUMMYFUNCTION("""COMPUTED_VALUE"""),0.039)</f>
        <v>0.039</v>
      </c>
      <c r="E2300" s="8" t="str">
        <f>IFERROR(__xludf.DUMMYFUNCTION("""COMPUTED_VALUE"""),"Real")</f>
        <v>Real</v>
      </c>
      <c r="G2300" s="8">
        <f t="shared" si="1"/>
        <v>2</v>
      </c>
      <c r="H2300" s="14">
        <f t="shared" si="2"/>
        <v>4</v>
      </c>
      <c r="I2300" s="15">
        <f t="shared" si="3"/>
        <v>19</v>
      </c>
    </row>
    <row r="2301">
      <c r="A2301" s="8" t="str">
        <f>IFERROR(__xludf.DUMMYFUNCTION("IF('(INGESTA)Datos_consumo_datadis'!A2301&lt;&gt;"""",SPLIT('(INGESTA)Datos_consumo_datadis'!A:A,"",""),"""")"),"ES0031408323131005HX0F")</f>
        <v>ES0031408323131005HX0F</v>
      </c>
      <c r="B2301" s="12">
        <f>IFERROR(__xludf.DUMMYFUNCTION("""COMPUTED_VALUE"""),44961.0)</f>
        <v>44961</v>
      </c>
      <c r="C2301" s="13">
        <f>IFERROR(__xludf.DUMMYFUNCTION("""COMPUTED_VALUE"""),0.8333333333333334)</f>
        <v>0.8333333333</v>
      </c>
      <c r="D2301" s="8">
        <f>IFERROR(__xludf.DUMMYFUNCTION("""COMPUTED_VALUE"""),0.046)</f>
        <v>0.046</v>
      </c>
      <c r="E2301" s="8" t="str">
        <f>IFERROR(__xludf.DUMMYFUNCTION("""COMPUTED_VALUE"""),"Real")</f>
        <v>Real</v>
      </c>
      <c r="G2301" s="8">
        <f t="shared" si="1"/>
        <v>2</v>
      </c>
      <c r="H2301" s="14">
        <f t="shared" si="2"/>
        <v>4</v>
      </c>
      <c r="I2301" s="15">
        <f t="shared" si="3"/>
        <v>20</v>
      </c>
    </row>
    <row r="2302">
      <c r="A2302" s="8" t="str">
        <f>IFERROR(__xludf.DUMMYFUNCTION("IF('(INGESTA)Datos_consumo_datadis'!A2302&lt;&gt;"""",SPLIT('(INGESTA)Datos_consumo_datadis'!A:A,"",""),"""")"),"ES0031408323131005HX0F")</f>
        <v>ES0031408323131005HX0F</v>
      </c>
      <c r="B2302" s="12">
        <f>IFERROR(__xludf.DUMMYFUNCTION("""COMPUTED_VALUE"""),44961.0)</f>
        <v>44961</v>
      </c>
      <c r="C2302" s="13">
        <f>IFERROR(__xludf.DUMMYFUNCTION("""COMPUTED_VALUE"""),0.875)</f>
        <v>0.875</v>
      </c>
      <c r="D2302" s="8">
        <f>IFERROR(__xludf.DUMMYFUNCTION("""COMPUTED_VALUE"""),0.017)</f>
        <v>0.017</v>
      </c>
      <c r="E2302" s="8" t="str">
        <f>IFERROR(__xludf.DUMMYFUNCTION("""COMPUTED_VALUE"""),"Real")</f>
        <v>Real</v>
      </c>
      <c r="G2302" s="8">
        <f t="shared" si="1"/>
        <v>2</v>
      </c>
      <c r="H2302" s="14">
        <f t="shared" si="2"/>
        <v>4</v>
      </c>
      <c r="I2302" s="15">
        <f t="shared" si="3"/>
        <v>21</v>
      </c>
    </row>
    <row r="2303">
      <c r="A2303" s="8" t="str">
        <f>IFERROR(__xludf.DUMMYFUNCTION("IF('(INGESTA)Datos_consumo_datadis'!A2303&lt;&gt;"""",SPLIT('(INGESTA)Datos_consumo_datadis'!A:A,"",""),"""")"),"ES0031408323131005HX0F")</f>
        <v>ES0031408323131005HX0F</v>
      </c>
      <c r="B2303" s="12">
        <f>IFERROR(__xludf.DUMMYFUNCTION("""COMPUTED_VALUE"""),44961.0)</f>
        <v>44961</v>
      </c>
      <c r="C2303" s="13">
        <f>IFERROR(__xludf.DUMMYFUNCTION("""COMPUTED_VALUE"""),0.9166666666666666)</f>
        <v>0.9166666667</v>
      </c>
      <c r="D2303" s="8">
        <f>IFERROR(__xludf.DUMMYFUNCTION("""COMPUTED_VALUE"""),0.052)</f>
        <v>0.052</v>
      </c>
      <c r="E2303" s="8" t="str">
        <f>IFERROR(__xludf.DUMMYFUNCTION("""COMPUTED_VALUE"""),"Real")</f>
        <v>Real</v>
      </c>
      <c r="G2303" s="8">
        <f t="shared" si="1"/>
        <v>2</v>
      </c>
      <c r="H2303" s="14">
        <f t="shared" si="2"/>
        <v>4</v>
      </c>
      <c r="I2303" s="15">
        <f t="shared" si="3"/>
        <v>22</v>
      </c>
    </row>
    <row r="2304">
      <c r="A2304" s="8" t="str">
        <f>IFERROR(__xludf.DUMMYFUNCTION("IF('(INGESTA)Datos_consumo_datadis'!A2304&lt;&gt;"""",SPLIT('(INGESTA)Datos_consumo_datadis'!A:A,"",""),"""")"),"ES0031408323131005HX0F")</f>
        <v>ES0031408323131005HX0F</v>
      </c>
      <c r="B2304" s="12">
        <f>IFERROR(__xludf.DUMMYFUNCTION("""COMPUTED_VALUE"""),44961.0)</f>
        <v>44961</v>
      </c>
      <c r="C2304" s="13">
        <f>IFERROR(__xludf.DUMMYFUNCTION("""COMPUTED_VALUE"""),0.9583333333333334)</f>
        <v>0.9583333333</v>
      </c>
      <c r="D2304" s="8">
        <f>IFERROR(__xludf.DUMMYFUNCTION("""COMPUTED_VALUE"""),1.248)</f>
        <v>1.248</v>
      </c>
      <c r="E2304" s="8" t="str">
        <f>IFERROR(__xludf.DUMMYFUNCTION("""COMPUTED_VALUE"""),"Real")</f>
        <v>Real</v>
      </c>
      <c r="G2304" s="8">
        <f t="shared" si="1"/>
        <v>2</v>
      </c>
      <c r="H2304" s="14">
        <f t="shared" si="2"/>
        <v>4</v>
      </c>
      <c r="I2304" s="15">
        <f t="shared" si="3"/>
        <v>23</v>
      </c>
    </row>
    <row r="2305">
      <c r="A2305" s="8" t="str">
        <f>IFERROR(__xludf.DUMMYFUNCTION("IF('(INGESTA)Datos_consumo_datadis'!A2305&lt;&gt;"""",SPLIT('(INGESTA)Datos_consumo_datadis'!A:A,"",""),"""")"),"ES0031408323131005HX0F")</f>
        <v>ES0031408323131005HX0F</v>
      </c>
      <c r="B2305" s="12">
        <f>IFERROR(__xludf.DUMMYFUNCTION("""COMPUTED_VALUE"""),44961.0)</f>
        <v>44961</v>
      </c>
      <c r="C2305" s="16">
        <f>IFERROR(__xludf.DUMMYFUNCTION("""COMPUTED_VALUE"""),1.0)</f>
        <v>1</v>
      </c>
      <c r="D2305" s="8">
        <f>IFERROR(__xludf.DUMMYFUNCTION("""COMPUTED_VALUE"""),0.605)</f>
        <v>0.605</v>
      </c>
      <c r="E2305" s="8" t="str">
        <f>IFERROR(__xludf.DUMMYFUNCTION("""COMPUTED_VALUE"""),"Real")</f>
        <v>Real</v>
      </c>
      <c r="G2305" s="8">
        <f t="shared" si="1"/>
        <v>2</v>
      </c>
      <c r="H2305" s="14">
        <f t="shared" si="2"/>
        <v>4</v>
      </c>
      <c r="I2305" s="15">
        <f t="shared" si="3"/>
        <v>0</v>
      </c>
    </row>
    <row r="2306">
      <c r="A2306" s="8" t="str">
        <f>IFERROR(__xludf.DUMMYFUNCTION("IF('(INGESTA)Datos_consumo_datadis'!A2306&lt;&gt;"""",SPLIT('(INGESTA)Datos_consumo_datadis'!A:A,"",""),"""")"),"ES0031408323131005HX0F")</f>
        <v>ES0031408323131005HX0F</v>
      </c>
      <c r="B2306" s="12">
        <f>IFERROR(__xludf.DUMMYFUNCTION("""COMPUTED_VALUE"""),44962.0)</f>
        <v>44962</v>
      </c>
      <c r="C2306" s="13">
        <f>IFERROR(__xludf.DUMMYFUNCTION("""COMPUTED_VALUE"""),0.041666666666666664)</f>
        <v>0.04166666667</v>
      </c>
      <c r="D2306" s="8">
        <f>IFERROR(__xludf.DUMMYFUNCTION("""COMPUTED_VALUE"""),0.191)</f>
        <v>0.191</v>
      </c>
      <c r="E2306" s="8" t="str">
        <f>IFERROR(__xludf.DUMMYFUNCTION("""COMPUTED_VALUE"""),"Real")</f>
        <v>Real</v>
      </c>
      <c r="G2306" s="8">
        <f t="shared" si="1"/>
        <v>2</v>
      </c>
      <c r="H2306" s="14">
        <f t="shared" si="2"/>
        <v>5</v>
      </c>
      <c r="I2306" s="15">
        <f t="shared" si="3"/>
        <v>1</v>
      </c>
    </row>
    <row r="2307">
      <c r="A2307" s="8" t="str">
        <f>IFERROR(__xludf.DUMMYFUNCTION("IF('(INGESTA)Datos_consumo_datadis'!A2307&lt;&gt;"""",SPLIT('(INGESTA)Datos_consumo_datadis'!A:A,"",""),"""")"),"ES0031408323131005HX0F")</f>
        <v>ES0031408323131005HX0F</v>
      </c>
      <c r="B2307" s="12">
        <f>IFERROR(__xludf.DUMMYFUNCTION("""COMPUTED_VALUE"""),44962.0)</f>
        <v>44962</v>
      </c>
      <c r="C2307" s="13">
        <f>IFERROR(__xludf.DUMMYFUNCTION("""COMPUTED_VALUE"""),0.08333333333333333)</f>
        <v>0.08333333333</v>
      </c>
      <c r="D2307" s="8">
        <f>IFERROR(__xludf.DUMMYFUNCTION("""COMPUTED_VALUE"""),0.411)</f>
        <v>0.411</v>
      </c>
      <c r="E2307" s="8" t="str">
        <f>IFERROR(__xludf.DUMMYFUNCTION("""COMPUTED_VALUE"""),"Real")</f>
        <v>Real</v>
      </c>
      <c r="G2307" s="8">
        <f t="shared" si="1"/>
        <v>2</v>
      </c>
      <c r="H2307" s="14">
        <f t="shared" si="2"/>
        <v>5</v>
      </c>
      <c r="I2307" s="15">
        <f t="shared" si="3"/>
        <v>2</v>
      </c>
    </row>
    <row r="2308">
      <c r="A2308" s="8" t="str">
        <f>IFERROR(__xludf.DUMMYFUNCTION("IF('(INGESTA)Datos_consumo_datadis'!A2308&lt;&gt;"""",SPLIT('(INGESTA)Datos_consumo_datadis'!A:A,"",""),"""")"),"ES0031408323131005HX0F")</f>
        <v>ES0031408323131005HX0F</v>
      </c>
      <c r="B2308" s="12">
        <f>IFERROR(__xludf.DUMMYFUNCTION("""COMPUTED_VALUE"""),44962.0)</f>
        <v>44962</v>
      </c>
      <c r="C2308" s="13">
        <f>IFERROR(__xludf.DUMMYFUNCTION("""COMPUTED_VALUE"""),0.125)</f>
        <v>0.125</v>
      </c>
      <c r="D2308" s="8">
        <f>IFERROR(__xludf.DUMMYFUNCTION("""COMPUTED_VALUE"""),1.149)</f>
        <v>1.149</v>
      </c>
      <c r="E2308" s="8" t="str">
        <f>IFERROR(__xludf.DUMMYFUNCTION("""COMPUTED_VALUE"""),"Real")</f>
        <v>Real</v>
      </c>
      <c r="G2308" s="8">
        <f t="shared" si="1"/>
        <v>2</v>
      </c>
      <c r="H2308" s="14">
        <f t="shared" si="2"/>
        <v>5</v>
      </c>
      <c r="I2308" s="15">
        <f t="shared" si="3"/>
        <v>3</v>
      </c>
    </row>
    <row r="2309">
      <c r="A2309" s="8" t="str">
        <f>IFERROR(__xludf.DUMMYFUNCTION("IF('(INGESTA)Datos_consumo_datadis'!A2309&lt;&gt;"""",SPLIT('(INGESTA)Datos_consumo_datadis'!A:A,"",""),"""")"),"ES0031408323131005HX0F")</f>
        <v>ES0031408323131005HX0F</v>
      </c>
      <c r="B2309" s="12">
        <f>IFERROR(__xludf.DUMMYFUNCTION("""COMPUTED_VALUE"""),44962.0)</f>
        <v>44962</v>
      </c>
      <c r="C2309" s="13">
        <f>IFERROR(__xludf.DUMMYFUNCTION("""COMPUTED_VALUE"""),0.16666666666666666)</f>
        <v>0.1666666667</v>
      </c>
      <c r="D2309" s="8">
        <f>IFERROR(__xludf.DUMMYFUNCTION("""COMPUTED_VALUE"""),1.215)</f>
        <v>1.215</v>
      </c>
      <c r="E2309" s="8" t="str">
        <f>IFERROR(__xludf.DUMMYFUNCTION("""COMPUTED_VALUE"""),"Real")</f>
        <v>Real</v>
      </c>
      <c r="G2309" s="8">
        <f t="shared" si="1"/>
        <v>2</v>
      </c>
      <c r="H2309" s="14">
        <f t="shared" si="2"/>
        <v>5</v>
      </c>
      <c r="I2309" s="15">
        <f t="shared" si="3"/>
        <v>4</v>
      </c>
    </row>
    <row r="2310">
      <c r="A2310" s="8" t="str">
        <f>IFERROR(__xludf.DUMMYFUNCTION("IF('(INGESTA)Datos_consumo_datadis'!A2310&lt;&gt;"""",SPLIT('(INGESTA)Datos_consumo_datadis'!A:A,"",""),"""")"),"ES0031408323131005HX0F")</f>
        <v>ES0031408323131005HX0F</v>
      </c>
      <c r="B2310" s="12">
        <f>IFERROR(__xludf.DUMMYFUNCTION("""COMPUTED_VALUE"""),44962.0)</f>
        <v>44962</v>
      </c>
      <c r="C2310" s="13">
        <f>IFERROR(__xludf.DUMMYFUNCTION("""COMPUTED_VALUE"""),0.20833333333333334)</f>
        <v>0.2083333333</v>
      </c>
      <c r="D2310" s="8">
        <f>IFERROR(__xludf.DUMMYFUNCTION("""COMPUTED_VALUE"""),1.547)</f>
        <v>1.547</v>
      </c>
      <c r="E2310" s="8" t="str">
        <f>IFERROR(__xludf.DUMMYFUNCTION("""COMPUTED_VALUE"""),"Real")</f>
        <v>Real</v>
      </c>
      <c r="G2310" s="8">
        <f t="shared" si="1"/>
        <v>2</v>
      </c>
      <c r="H2310" s="14">
        <f t="shared" si="2"/>
        <v>5</v>
      </c>
      <c r="I2310" s="15">
        <f t="shared" si="3"/>
        <v>5</v>
      </c>
    </row>
    <row r="2311">
      <c r="A2311" s="8" t="str">
        <f>IFERROR(__xludf.DUMMYFUNCTION("IF('(INGESTA)Datos_consumo_datadis'!A2311&lt;&gt;"""",SPLIT('(INGESTA)Datos_consumo_datadis'!A:A,"",""),"""")"),"ES0031408323131005HX0F")</f>
        <v>ES0031408323131005HX0F</v>
      </c>
      <c r="B2311" s="12">
        <f>IFERROR(__xludf.DUMMYFUNCTION("""COMPUTED_VALUE"""),44962.0)</f>
        <v>44962</v>
      </c>
      <c r="C2311" s="13">
        <f>IFERROR(__xludf.DUMMYFUNCTION("""COMPUTED_VALUE"""),0.25)</f>
        <v>0.25</v>
      </c>
      <c r="D2311" s="8">
        <f>IFERROR(__xludf.DUMMYFUNCTION("""COMPUTED_VALUE"""),1.428)</f>
        <v>1.428</v>
      </c>
      <c r="E2311" s="8" t="str">
        <f>IFERROR(__xludf.DUMMYFUNCTION("""COMPUTED_VALUE"""),"Real")</f>
        <v>Real</v>
      </c>
      <c r="G2311" s="8">
        <f t="shared" si="1"/>
        <v>2</v>
      </c>
      <c r="H2311" s="14">
        <f t="shared" si="2"/>
        <v>5</v>
      </c>
      <c r="I2311" s="15">
        <f t="shared" si="3"/>
        <v>6</v>
      </c>
    </row>
    <row r="2312">
      <c r="A2312" s="8" t="str">
        <f>IFERROR(__xludf.DUMMYFUNCTION("IF('(INGESTA)Datos_consumo_datadis'!A2312&lt;&gt;"""",SPLIT('(INGESTA)Datos_consumo_datadis'!A:A,"",""),"""")"),"ES0031408323131005HX0F")</f>
        <v>ES0031408323131005HX0F</v>
      </c>
      <c r="B2312" s="12">
        <f>IFERROR(__xludf.DUMMYFUNCTION("""COMPUTED_VALUE"""),44962.0)</f>
        <v>44962</v>
      </c>
      <c r="C2312" s="13">
        <f>IFERROR(__xludf.DUMMYFUNCTION("""COMPUTED_VALUE"""),0.2916666666666667)</f>
        <v>0.2916666667</v>
      </c>
      <c r="D2312" s="8">
        <f>IFERROR(__xludf.DUMMYFUNCTION("""COMPUTED_VALUE"""),1.286)</f>
        <v>1.286</v>
      </c>
      <c r="E2312" s="8" t="str">
        <f>IFERROR(__xludf.DUMMYFUNCTION("""COMPUTED_VALUE"""),"Real")</f>
        <v>Real</v>
      </c>
      <c r="G2312" s="8">
        <f t="shared" si="1"/>
        <v>2</v>
      </c>
      <c r="H2312" s="14">
        <f t="shared" si="2"/>
        <v>5</v>
      </c>
      <c r="I2312" s="15">
        <f t="shared" si="3"/>
        <v>7</v>
      </c>
    </row>
    <row r="2313">
      <c r="A2313" s="8" t="str">
        <f>IFERROR(__xludf.DUMMYFUNCTION("IF('(INGESTA)Datos_consumo_datadis'!A2313&lt;&gt;"""",SPLIT('(INGESTA)Datos_consumo_datadis'!A:A,"",""),"""")"),"ES0031408323131005HX0F")</f>
        <v>ES0031408323131005HX0F</v>
      </c>
      <c r="B2313" s="12">
        <f>IFERROR(__xludf.DUMMYFUNCTION("""COMPUTED_VALUE"""),44962.0)</f>
        <v>44962</v>
      </c>
      <c r="C2313" s="13">
        <f>IFERROR(__xludf.DUMMYFUNCTION("""COMPUTED_VALUE"""),0.3333333333333333)</f>
        <v>0.3333333333</v>
      </c>
      <c r="D2313" s="8">
        <f>IFERROR(__xludf.DUMMYFUNCTION("""COMPUTED_VALUE"""),0.886)</f>
        <v>0.886</v>
      </c>
      <c r="E2313" s="8" t="str">
        <f>IFERROR(__xludf.DUMMYFUNCTION("""COMPUTED_VALUE"""),"Real")</f>
        <v>Real</v>
      </c>
      <c r="G2313" s="8">
        <f t="shared" si="1"/>
        <v>2</v>
      </c>
      <c r="H2313" s="14">
        <f t="shared" si="2"/>
        <v>5</v>
      </c>
      <c r="I2313" s="15">
        <f t="shared" si="3"/>
        <v>8</v>
      </c>
    </row>
    <row r="2314">
      <c r="A2314" s="8" t="str">
        <f>IFERROR(__xludf.DUMMYFUNCTION("IF('(INGESTA)Datos_consumo_datadis'!A2314&lt;&gt;"""",SPLIT('(INGESTA)Datos_consumo_datadis'!A:A,"",""),"""")"),"ES0031408323131005HX0F")</f>
        <v>ES0031408323131005HX0F</v>
      </c>
      <c r="B2314" s="12">
        <f>IFERROR(__xludf.DUMMYFUNCTION("""COMPUTED_VALUE"""),44962.0)</f>
        <v>44962</v>
      </c>
      <c r="C2314" s="13">
        <f>IFERROR(__xludf.DUMMYFUNCTION("""COMPUTED_VALUE"""),0.375)</f>
        <v>0.375</v>
      </c>
      <c r="D2314" s="8">
        <f>IFERROR(__xludf.DUMMYFUNCTION("""COMPUTED_VALUE"""),1.21)</f>
        <v>1.21</v>
      </c>
      <c r="E2314" s="8" t="str">
        <f>IFERROR(__xludf.DUMMYFUNCTION("""COMPUTED_VALUE"""),"Real")</f>
        <v>Real</v>
      </c>
      <c r="G2314" s="8">
        <f t="shared" si="1"/>
        <v>2</v>
      </c>
      <c r="H2314" s="14">
        <f t="shared" si="2"/>
        <v>5</v>
      </c>
      <c r="I2314" s="15">
        <f t="shared" si="3"/>
        <v>9</v>
      </c>
    </row>
    <row r="2315">
      <c r="A2315" s="8" t="str">
        <f>IFERROR(__xludf.DUMMYFUNCTION("IF('(INGESTA)Datos_consumo_datadis'!A2315&lt;&gt;"""",SPLIT('(INGESTA)Datos_consumo_datadis'!A:A,"",""),"""")"),"ES0031408323131005HX0F")</f>
        <v>ES0031408323131005HX0F</v>
      </c>
      <c r="B2315" s="12">
        <f>IFERROR(__xludf.DUMMYFUNCTION("""COMPUTED_VALUE"""),44962.0)</f>
        <v>44962</v>
      </c>
      <c r="C2315" s="13">
        <f>IFERROR(__xludf.DUMMYFUNCTION("""COMPUTED_VALUE"""),0.4166666666666667)</f>
        <v>0.4166666667</v>
      </c>
      <c r="D2315" s="8">
        <f>IFERROR(__xludf.DUMMYFUNCTION("""COMPUTED_VALUE"""),1.054)</f>
        <v>1.054</v>
      </c>
      <c r="E2315" s="8" t="str">
        <f>IFERROR(__xludf.DUMMYFUNCTION("""COMPUTED_VALUE"""),"Real")</f>
        <v>Real</v>
      </c>
      <c r="G2315" s="8">
        <f t="shared" si="1"/>
        <v>2</v>
      </c>
      <c r="H2315" s="14">
        <f t="shared" si="2"/>
        <v>5</v>
      </c>
      <c r="I2315" s="15">
        <f t="shared" si="3"/>
        <v>10</v>
      </c>
    </row>
    <row r="2316">
      <c r="A2316" s="8" t="str">
        <f>IFERROR(__xludf.DUMMYFUNCTION("IF('(INGESTA)Datos_consumo_datadis'!A2316&lt;&gt;"""",SPLIT('(INGESTA)Datos_consumo_datadis'!A:A,"",""),"""")"),"ES0031408323131005HX0F")</f>
        <v>ES0031408323131005HX0F</v>
      </c>
      <c r="B2316" s="12">
        <f>IFERROR(__xludf.DUMMYFUNCTION("""COMPUTED_VALUE"""),44962.0)</f>
        <v>44962</v>
      </c>
      <c r="C2316" s="13">
        <f>IFERROR(__xludf.DUMMYFUNCTION("""COMPUTED_VALUE"""),0.4583333333333333)</f>
        <v>0.4583333333</v>
      </c>
      <c r="D2316" s="8">
        <f>IFERROR(__xludf.DUMMYFUNCTION("""COMPUTED_VALUE"""),1.225)</f>
        <v>1.225</v>
      </c>
      <c r="E2316" s="8" t="str">
        <f>IFERROR(__xludf.DUMMYFUNCTION("""COMPUTED_VALUE"""),"Real")</f>
        <v>Real</v>
      </c>
      <c r="G2316" s="8">
        <f t="shared" si="1"/>
        <v>2</v>
      </c>
      <c r="H2316" s="14">
        <f t="shared" si="2"/>
        <v>5</v>
      </c>
      <c r="I2316" s="15">
        <f t="shared" si="3"/>
        <v>11</v>
      </c>
    </row>
    <row r="2317">
      <c r="A2317" s="8" t="str">
        <f>IFERROR(__xludf.DUMMYFUNCTION("IF('(INGESTA)Datos_consumo_datadis'!A2317&lt;&gt;"""",SPLIT('(INGESTA)Datos_consumo_datadis'!A:A,"",""),"""")"),"ES0031408323131005HX0F")</f>
        <v>ES0031408323131005HX0F</v>
      </c>
      <c r="B2317" s="12">
        <f>IFERROR(__xludf.DUMMYFUNCTION("""COMPUTED_VALUE"""),44962.0)</f>
        <v>44962</v>
      </c>
      <c r="C2317" s="13">
        <f>IFERROR(__xludf.DUMMYFUNCTION("""COMPUTED_VALUE"""),0.5)</f>
        <v>0.5</v>
      </c>
      <c r="D2317" s="8">
        <f>IFERROR(__xludf.DUMMYFUNCTION("""COMPUTED_VALUE"""),0.308)</f>
        <v>0.308</v>
      </c>
      <c r="E2317" s="8" t="str">
        <f>IFERROR(__xludf.DUMMYFUNCTION("""COMPUTED_VALUE"""),"Real")</f>
        <v>Real</v>
      </c>
      <c r="G2317" s="8">
        <f t="shared" si="1"/>
        <v>2</v>
      </c>
      <c r="H2317" s="14">
        <f t="shared" si="2"/>
        <v>5</v>
      </c>
      <c r="I2317" s="15">
        <f t="shared" si="3"/>
        <v>12</v>
      </c>
    </row>
    <row r="2318">
      <c r="A2318" s="8" t="str">
        <f>IFERROR(__xludf.DUMMYFUNCTION("IF('(INGESTA)Datos_consumo_datadis'!A2318&lt;&gt;"""",SPLIT('(INGESTA)Datos_consumo_datadis'!A:A,"",""),"""")"),"ES0031408323131005HX0F")</f>
        <v>ES0031408323131005HX0F</v>
      </c>
      <c r="B2318" s="12">
        <f>IFERROR(__xludf.DUMMYFUNCTION("""COMPUTED_VALUE"""),44962.0)</f>
        <v>44962</v>
      </c>
      <c r="C2318" s="13">
        <f>IFERROR(__xludf.DUMMYFUNCTION("""COMPUTED_VALUE"""),0.5416666666666666)</f>
        <v>0.5416666667</v>
      </c>
      <c r="D2318" s="8">
        <f>IFERROR(__xludf.DUMMYFUNCTION("""COMPUTED_VALUE"""),0.6)</f>
        <v>0.6</v>
      </c>
      <c r="E2318" s="8" t="str">
        <f>IFERROR(__xludf.DUMMYFUNCTION("""COMPUTED_VALUE"""),"Real")</f>
        <v>Real</v>
      </c>
      <c r="G2318" s="8">
        <f t="shared" si="1"/>
        <v>2</v>
      </c>
      <c r="H2318" s="14">
        <f t="shared" si="2"/>
        <v>5</v>
      </c>
      <c r="I2318" s="15">
        <f t="shared" si="3"/>
        <v>13</v>
      </c>
    </row>
    <row r="2319">
      <c r="A2319" s="8" t="str">
        <f>IFERROR(__xludf.DUMMYFUNCTION("IF('(INGESTA)Datos_consumo_datadis'!A2319&lt;&gt;"""",SPLIT('(INGESTA)Datos_consumo_datadis'!A:A,"",""),"""")"),"ES0031408323131005HX0F")</f>
        <v>ES0031408323131005HX0F</v>
      </c>
      <c r="B2319" s="12">
        <f>IFERROR(__xludf.DUMMYFUNCTION("""COMPUTED_VALUE"""),44962.0)</f>
        <v>44962</v>
      </c>
      <c r="C2319" s="13">
        <f>IFERROR(__xludf.DUMMYFUNCTION("""COMPUTED_VALUE"""),0.5833333333333334)</f>
        <v>0.5833333333</v>
      </c>
      <c r="D2319" s="8">
        <f>IFERROR(__xludf.DUMMYFUNCTION("""COMPUTED_VALUE"""),1.517)</f>
        <v>1.517</v>
      </c>
      <c r="E2319" s="8" t="str">
        <f>IFERROR(__xludf.DUMMYFUNCTION("""COMPUTED_VALUE"""),"Real")</f>
        <v>Real</v>
      </c>
      <c r="G2319" s="8">
        <f t="shared" si="1"/>
        <v>2</v>
      </c>
      <c r="H2319" s="14">
        <f t="shared" si="2"/>
        <v>5</v>
      </c>
      <c r="I2319" s="15">
        <f t="shared" si="3"/>
        <v>14</v>
      </c>
    </row>
    <row r="2320">
      <c r="A2320" s="8" t="str">
        <f>IFERROR(__xludf.DUMMYFUNCTION("IF('(INGESTA)Datos_consumo_datadis'!A2320&lt;&gt;"""",SPLIT('(INGESTA)Datos_consumo_datadis'!A:A,"",""),"""")"),"ES0031408323131005HX0F")</f>
        <v>ES0031408323131005HX0F</v>
      </c>
      <c r="B2320" s="12">
        <f>IFERROR(__xludf.DUMMYFUNCTION("""COMPUTED_VALUE"""),44962.0)</f>
        <v>44962</v>
      </c>
      <c r="C2320" s="13">
        <f>IFERROR(__xludf.DUMMYFUNCTION("""COMPUTED_VALUE"""),0.625)</f>
        <v>0.625</v>
      </c>
      <c r="D2320" s="8">
        <f>IFERROR(__xludf.DUMMYFUNCTION("""COMPUTED_VALUE"""),1.044)</f>
        <v>1.044</v>
      </c>
      <c r="E2320" s="8" t="str">
        <f>IFERROR(__xludf.DUMMYFUNCTION("""COMPUTED_VALUE"""),"Real")</f>
        <v>Real</v>
      </c>
      <c r="G2320" s="8">
        <f t="shared" si="1"/>
        <v>2</v>
      </c>
      <c r="H2320" s="14">
        <f t="shared" si="2"/>
        <v>5</v>
      </c>
      <c r="I2320" s="15">
        <f t="shared" si="3"/>
        <v>15</v>
      </c>
    </row>
    <row r="2321">
      <c r="A2321" s="8" t="str">
        <f>IFERROR(__xludf.DUMMYFUNCTION("IF('(INGESTA)Datos_consumo_datadis'!A2321&lt;&gt;"""",SPLIT('(INGESTA)Datos_consumo_datadis'!A:A,"",""),"""")"),"ES0031408323131005HX0F")</f>
        <v>ES0031408323131005HX0F</v>
      </c>
      <c r="B2321" s="12">
        <f>IFERROR(__xludf.DUMMYFUNCTION("""COMPUTED_VALUE"""),44962.0)</f>
        <v>44962</v>
      </c>
      <c r="C2321" s="13">
        <f>IFERROR(__xludf.DUMMYFUNCTION("""COMPUTED_VALUE"""),0.6666666666666666)</f>
        <v>0.6666666667</v>
      </c>
      <c r="D2321" s="8">
        <f>IFERROR(__xludf.DUMMYFUNCTION("""COMPUTED_VALUE"""),2.948)</f>
        <v>2.948</v>
      </c>
      <c r="E2321" s="8" t="str">
        <f>IFERROR(__xludf.DUMMYFUNCTION("""COMPUTED_VALUE"""),"Real")</f>
        <v>Real</v>
      </c>
      <c r="G2321" s="8">
        <f t="shared" si="1"/>
        <v>2</v>
      </c>
      <c r="H2321" s="14">
        <f t="shared" si="2"/>
        <v>5</v>
      </c>
      <c r="I2321" s="15">
        <f t="shared" si="3"/>
        <v>16</v>
      </c>
    </row>
    <row r="2322">
      <c r="A2322" s="8" t="str">
        <f>IFERROR(__xludf.DUMMYFUNCTION("IF('(INGESTA)Datos_consumo_datadis'!A2322&lt;&gt;"""",SPLIT('(INGESTA)Datos_consumo_datadis'!A:A,"",""),"""")"),"ES0031408323131005HX0F")</f>
        <v>ES0031408323131005HX0F</v>
      </c>
      <c r="B2322" s="12">
        <f>IFERROR(__xludf.DUMMYFUNCTION("""COMPUTED_VALUE"""),44962.0)</f>
        <v>44962</v>
      </c>
      <c r="C2322" s="13">
        <f>IFERROR(__xludf.DUMMYFUNCTION("""COMPUTED_VALUE"""),0.7083333333333334)</f>
        <v>0.7083333333</v>
      </c>
      <c r="D2322" s="8">
        <f>IFERROR(__xludf.DUMMYFUNCTION("""COMPUTED_VALUE"""),1.159)</f>
        <v>1.159</v>
      </c>
      <c r="E2322" s="8" t="str">
        <f>IFERROR(__xludf.DUMMYFUNCTION("""COMPUTED_VALUE"""),"Real")</f>
        <v>Real</v>
      </c>
      <c r="G2322" s="8">
        <f t="shared" si="1"/>
        <v>2</v>
      </c>
      <c r="H2322" s="14">
        <f t="shared" si="2"/>
        <v>5</v>
      </c>
      <c r="I2322" s="15">
        <f t="shared" si="3"/>
        <v>17</v>
      </c>
    </row>
    <row r="2323">
      <c r="A2323" s="8" t="str">
        <f>IFERROR(__xludf.DUMMYFUNCTION("IF('(INGESTA)Datos_consumo_datadis'!A2323&lt;&gt;"""",SPLIT('(INGESTA)Datos_consumo_datadis'!A:A,"",""),"""")"),"ES0031408323131005HX0F")</f>
        <v>ES0031408323131005HX0F</v>
      </c>
      <c r="B2323" s="12">
        <f>IFERROR(__xludf.DUMMYFUNCTION("""COMPUTED_VALUE"""),44962.0)</f>
        <v>44962</v>
      </c>
      <c r="C2323" s="13">
        <f>IFERROR(__xludf.DUMMYFUNCTION("""COMPUTED_VALUE"""),0.75)</f>
        <v>0.75</v>
      </c>
      <c r="D2323" s="8">
        <f>IFERROR(__xludf.DUMMYFUNCTION("""COMPUTED_VALUE"""),1.644)</f>
        <v>1.644</v>
      </c>
      <c r="E2323" s="8" t="str">
        <f>IFERROR(__xludf.DUMMYFUNCTION("""COMPUTED_VALUE"""),"Real")</f>
        <v>Real</v>
      </c>
      <c r="G2323" s="8">
        <f t="shared" si="1"/>
        <v>2</v>
      </c>
      <c r="H2323" s="14">
        <f t="shared" si="2"/>
        <v>5</v>
      </c>
      <c r="I2323" s="15">
        <f t="shared" si="3"/>
        <v>18</v>
      </c>
    </row>
    <row r="2324">
      <c r="A2324" s="8" t="str">
        <f>IFERROR(__xludf.DUMMYFUNCTION("IF('(INGESTA)Datos_consumo_datadis'!A2324&lt;&gt;"""",SPLIT('(INGESTA)Datos_consumo_datadis'!A:A,"",""),"""")"),"ES0031408323131005HX0F")</f>
        <v>ES0031408323131005HX0F</v>
      </c>
      <c r="B2324" s="12">
        <f>IFERROR(__xludf.DUMMYFUNCTION("""COMPUTED_VALUE"""),44962.0)</f>
        <v>44962</v>
      </c>
      <c r="C2324" s="13">
        <f>IFERROR(__xludf.DUMMYFUNCTION("""COMPUTED_VALUE"""),0.7916666666666666)</f>
        <v>0.7916666667</v>
      </c>
      <c r="D2324" s="8">
        <f>IFERROR(__xludf.DUMMYFUNCTION("""COMPUTED_VALUE"""),0.966)</f>
        <v>0.966</v>
      </c>
      <c r="E2324" s="8" t="str">
        <f>IFERROR(__xludf.DUMMYFUNCTION("""COMPUTED_VALUE"""),"Real")</f>
        <v>Real</v>
      </c>
      <c r="G2324" s="8">
        <f t="shared" si="1"/>
        <v>2</v>
      </c>
      <c r="H2324" s="14">
        <f t="shared" si="2"/>
        <v>5</v>
      </c>
      <c r="I2324" s="15">
        <f t="shared" si="3"/>
        <v>19</v>
      </c>
    </row>
    <row r="2325">
      <c r="A2325" s="8" t="str">
        <f>IFERROR(__xludf.DUMMYFUNCTION("IF('(INGESTA)Datos_consumo_datadis'!A2325&lt;&gt;"""",SPLIT('(INGESTA)Datos_consumo_datadis'!A:A,"",""),"""")"),"ES0031408323131005HX0F")</f>
        <v>ES0031408323131005HX0F</v>
      </c>
      <c r="B2325" s="12">
        <f>IFERROR(__xludf.DUMMYFUNCTION("""COMPUTED_VALUE"""),44962.0)</f>
        <v>44962</v>
      </c>
      <c r="C2325" s="13">
        <f>IFERROR(__xludf.DUMMYFUNCTION("""COMPUTED_VALUE"""),0.8333333333333334)</f>
        <v>0.8333333333</v>
      </c>
      <c r="D2325" s="8">
        <f>IFERROR(__xludf.DUMMYFUNCTION("""COMPUTED_VALUE"""),0.881)</f>
        <v>0.881</v>
      </c>
      <c r="E2325" s="8" t="str">
        <f>IFERROR(__xludf.DUMMYFUNCTION("""COMPUTED_VALUE"""),"Real")</f>
        <v>Real</v>
      </c>
      <c r="G2325" s="8">
        <f t="shared" si="1"/>
        <v>2</v>
      </c>
      <c r="H2325" s="14">
        <f t="shared" si="2"/>
        <v>5</v>
      </c>
      <c r="I2325" s="15">
        <f t="shared" si="3"/>
        <v>20</v>
      </c>
    </row>
    <row r="2326">
      <c r="A2326" s="8" t="str">
        <f>IFERROR(__xludf.DUMMYFUNCTION("IF('(INGESTA)Datos_consumo_datadis'!A2326&lt;&gt;"""",SPLIT('(INGESTA)Datos_consumo_datadis'!A:A,"",""),"""")"),"ES0031408323131005HX0F")</f>
        <v>ES0031408323131005HX0F</v>
      </c>
      <c r="B2326" s="12">
        <f>IFERROR(__xludf.DUMMYFUNCTION("""COMPUTED_VALUE"""),44962.0)</f>
        <v>44962</v>
      </c>
      <c r="C2326" s="13">
        <f>IFERROR(__xludf.DUMMYFUNCTION("""COMPUTED_VALUE"""),0.875)</f>
        <v>0.875</v>
      </c>
      <c r="D2326" s="8">
        <f>IFERROR(__xludf.DUMMYFUNCTION("""COMPUTED_VALUE"""),2.918)</f>
        <v>2.918</v>
      </c>
      <c r="E2326" s="8" t="str">
        <f>IFERROR(__xludf.DUMMYFUNCTION("""COMPUTED_VALUE"""),"Real")</f>
        <v>Real</v>
      </c>
      <c r="G2326" s="8">
        <f t="shared" si="1"/>
        <v>2</v>
      </c>
      <c r="H2326" s="14">
        <f t="shared" si="2"/>
        <v>5</v>
      </c>
      <c r="I2326" s="15">
        <f t="shared" si="3"/>
        <v>21</v>
      </c>
    </row>
    <row r="2327">
      <c r="A2327" s="8" t="str">
        <f>IFERROR(__xludf.DUMMYFUNCTION("IF('(INGESTA)Datos_consumo_datadis'!A2327&lt;&gt;"""",SPLIT('(INGESTA)Datos_consumo_datadis'!A:A,"",""),"""")"),"ES0031408323131005HX0F")</f>
        <v>ES0031408323131005HX0F</v>
      </c>
      <c r="B2327" s="12">
        <f>IFERROR(__xludf.DUMMYFUNCTION("""COMPUTED_VALUE"""),44962.0)</f>
        <v>44962</v>
      </c>
      <c r="C2327" s="13">
        <f>IFERROR(__xludf.DUMMYFUNCTION("""COMPUTED_VALUE"""),0.9166666666666666)</f>
        <v>0.9166666667</v>
      </c>
      <c r="D2327" s="8">
        <f>IFERROR(__xludf.DUMMYFUNCTION("""COMPUTED_VALUE"""),2.286)</f>
        <v>2.286</v>
      </c>
      <c r="E2327" s="8" t="str">
        <f>IFERROR(__xludf.DUMMYFUNCTION("""COMPUTED_VALUE"""),"Real")</f>
        <v>Real</v>
      </c>
      <c r="G2327" s="8">
        <f t="shared" si="1"/>
        <v>2</v>
      </c>
      <c r="H2327" s="14">
        <f t="shared" si="2"/>
        <v>5</v>
      </c>
      <c r="I2327" s="15">
        <f t="shared" si="3"/>
        <v>22</v>
      </c>
    </row>
    <row r="2328">
      <c r="A2328" s="8" t="str">
        <f>IFERROR(__xludf.DUMMYFUNCTION("IF('(INGESTA)Datos_consumo_datadis'!A2328&lt;&gt;"""",SPLIT('(INGESTA)Datos_consumo_datadis'!A:A,"",""),"""")"),"ES0031408323131005HX0F")</f>
        <v>ES0031408323131005HX0F</v>
      </c>
      <c r="B2328" s="12">
        <f>IFERROR(__xludf.DUMMYFUNCTION("""COMPUTED_VALUE"""),44962.0)</f>
        <v>44962</v>
      </c>
      <c r="C2328" s="13">
        <f>IFERROR(__xludf.DUMMYFUNCTION("""COMPUTED_VALUE"""),0.9583333333333334)</f>
        <v>0.9583333333</v>
      </c>
      <c r="D2328" s="8">
        <f>IFERROR(__xludf.DUMMYFUNCTION("""COMPUTED_VALUE"""),1.728)</f>
        <v>1.728</v>
      </c>
      <c r="E2328" s="8" t="str">
        <f>IFERROR(__xludf.DUMMYFUNCTION("""COMPUTED_VALUE"""),"Real")</f>
        <v>Real</v>
      </c>
      <c r="G2328" s="8">
        <f t="shared" si="1"/>
        <v>2</v>
      </c>
      <c r="H2328" s="14">
        <f t="shared" si="2"/>
        <v>5</v>
      </c>
      <c r="I2328" s="15">
        <f t="shared" si="3"/>
        <v>23</v>
      </c>
    </row>
    <row r="2329">
      <c r="A2329" s="8" t="str">
        <f>IFERROR(__xludf.DUMMYFUNCTION("IF('(INGESTA)Datos_consumo_datadis'!A2329&lt;&gt;"""",SPLIT('(INGESTA)Datos_consumo_datadis'!A:A,"",""),"""")"),"ES0031408323131005HX0F")</f>
        <v>ES0031408323131005HX0F</v>
      </c>
      <c r="B2329" s="12">
        <f>IFERROR(__xludf.DUMMYFUNCTION("""COMPUTED_VALUE"""),44962.0)</f>
        <v>44962</v>
      </c>
      <c r="C2329" s="16">
        <f>IFERROR(__xludf.DUMMYFUNCTION("""COMPUTED_VALUE"""),1.0)</f>
        <v>1</v>
      </c>
      <c r="D2329" s="8">
        <f>IFERROR(__xludf.DUMMYFUNCTION("""COMPUTED_VALUE"""),1.989)</f>
        <v>1.989</v>
      </c>
      <c r="E2329" s="8" t="str">
        <f>IFERROR(__xludf.DUMMYFUNCTION("""COMPUTED_VALUE"""),"Real")</f>
        <v>Real</v>
      </c>
      <c r="G2329" s="8">
        <f t="shared" si="1"/>
        <v>2</v>
      </c>
      <c r="H2329" s="14">
        <f t="shared" si="2"/>
        <v>5</v>
      </c>
      <c r="I2329" s="15">
        <f t="shared" si="3"/>
        <v>0</v>
      </c>
    </row>
    <row r="2330">
      <c r="A2330" s="8" t="str">
        <f>IFERROR(__xludf.DUMMYFUNCTION("IF('(INGESTA)Datos_consumo_datadis'!A2330&lt;&gt;"""",SPLIT('(INGESTA)Datos_consumo_datadis'!A:A,"",""),"""")"),"ES0031408323131005HX0F")</f>
        <v>ES0031408323131005HX0F</v>
      </c>
      <c r="B2330" s="12">
        <f>IFERROR(__xludf.DUMMYFUNCTION("""COMPUTED_VALUE"""),44963.0)</f>
        <v>44963</v>
      </c>
      <c r="C2330" s="13">
        <f>IFERROR(__xludf.DUMMYFUNCTION("""COMPUTED_VALUE"""),0.041666666666666664)</f>
        <v>0.04166666667</v>
      </c>
      <c r="D2330" s="8">
        <f>IFERROR(__xludf.DUMMYFUNCTION("""COMPUTED_VALUE"""),1.666)</f>
        <v>1.666</v>
      </c>
      <c r="E2330" s="8" t="str">
        <f>IFERROR(__xludf.DUMMYFUNCTION("""COMPUTED_VALUE"""),"Real")</f>
        <v>Real</v>
      </c>
      <c r="G2330" s="8">
        <f t="shared" si="1"/>
        <v>2</v>
      </c>
      <c r="H2330" s="14">
        <f t="shared" si="2"/>
        <v>6</v>
      </c>
      <c r="I2330" s="15">
        <f t="shared" si="3"/>
        <v>1</v>
      </c>
    </row>
    <row r="2331">
      <c r="A2331" s="8" t="str">
        <f>IFERROR(__xludf.DUMMYFUNCTION("IF('(INGESTA)Datos_consumo_datadis'!A2331&lt;&gt;"""",SPLIT('(INGESTA)Datos_consumo_datadis'!A:A,"",""),"""")"),"ES0031408323131005HX0F")</f>
        <v>ES0031408323131005HX0F</v>
      </c>
      <c r="B2331" s="12">
        <f>IFERROR(__xludf.DUMMYFUNCTION("""COMPUTED_VALUE"""),44963.0)</f>
        <v>44963</v>
      </c>
      <c r="C2331" s="13">
        <f>IFERROR(__xludf.DUMMYFUNCTION("""COMPUTED_VALUE"""),0.08333333333333333)</f>
        <v>0.08333333333</v>
      </c>
      <c r="D2331" s="8">
        <f>IFERROR(__xludf.DUMMYFUNCTION("""COMPUTED_VALUE"""),1.486)</f>
        <v>1.486</v>
      </c>
      <c r="E2331" s="8" t="str">
        <f>IFERROR(__xludf.DUMMYFUNCTION("""COMPUTED_VALUE"""),"Real")</f>
        <v>Real</v>
      </c>
      <c r="G2331" s="8">
        <f t="shared" si="1"/>
        <v>2</v>
      </c>
      <c r="H2331" s="14">
        <f t="shared" si="2"/>
        <v>6</v>
      </c>
      <c r="I2331" s="15">
        <f t="shared" si="3"/>
        <v>2</v>
      </c>
    </row>
    <row r="2332">
      <c r="A2332" s="8" t="str">
        <f>IFERROR(__xludf.DUMMYFUNCTION("IF('(INGESTA)Datos_consumo_datadis'!A2332&lt;&gt;"""",SPLIT('(INGESTA)Datos_consumo_datadis'!A:A,"",""),"""")"),"ES0031408323131005HX0F")</f>
        <v>ES0031408323131005HX0F</v>
      </c>
      <c r="B2332" s="12">
        <f>IFERROR(__xludf.DUMMYFUNCTION("""COMPUTED_VALUE"""),44963.0)</f>
        <v>44963</v>
      </c>
      <c r="C2332" s="13">
        <f>IFERROR(__xludf.DUMMYFUNCTION("""COMPUTED_VALUE"""),0.125)</f>
        <v>0.125</v>
      </c>
      <c r="D2332" s="8">
        <f>IFERROR(__xludf.DUMMYFUNCTION("""COMPUTED_VALUE"""),1.543)</f>
        <v>1.543</v>
      </c>
      <c r="E2332" s="8" t="str">
        <f>IFERROR(__xludf.DUMMYFUNCTION("""COMPUTED_VALUE"""),"Real")</f>
        <v>Real</v>
      </c>
      <c r="G2332" s="8">
        <f t="shared" si="1"/>
        <v>2</v>
      </c>
      <c r="H2332" s="14">
        <f t="shared" si="2"/>
        <v>6</v>
      </c>
      <c r="I2332" s="15">
        <f t="shared" si="3"/>
        <v>3</v>
      </c>
    </row>
    <row r="2333">
      <c r="A2333" s="8" t="str">
        <f>IFERROR(__xludf.DUMMYFUNCTION("IF('(INGESTA)Datos_consumo_datadis'!A2333&lt;&gt;"""",SPLIT('(INGESTA)Datos_consumo_datadis'!A:A,"",""),"""")"),"ES0031408323131005HX0F")</f>
        <v>ES0031408323131005HX0F</v>
      </c>
      <c r="B2333" s="12">
        <f>IFERROR(__xludf.DUMMYFUNCTION("""COMPUTED_VALUE"""),44963.0)</f>
        <v>44963</v>
      </c>
      <c r="C2333" s="13">
        <f>IFERROR(__xludf.DUMMYFUNCTION("""COMPUTED_VALUE"""),0.16666666666666666)</f>
        <v>0.1666666667</v>
      </c>
      <c r="D2333" s="8">
        <f>IFERROR(__xludf.DUMMYFUNCTION("""COMPUTED_VALUE"""),1.533)</f>
        <v>1.533</v>
      </c>
      <c r="E2333" s="8" t="str">
        <f>IFERROR(__xludf.DUMMYFUNCTION("""COMPUTED_VALUE"""),"Real")</f>
        <v>Real</v>
      </c>
      <c r="G2333" s="8">
        <f t="shared" si="1"/>
        <v>2</v>
      </c>
      <c r="H2333" s="14">
        <f t="shared" si="2"/>
        <v>6</v>
      </c>
      <c r="I2333" s="15">
        <f t="shared" si="3"/>
        <v>4</v>
      </c>
    </row>
    <row r="2334">
      <c r="A2334" s="8" t="str">
        <f>IFERROR(__xludf.DUMMYFUNCTION("IF('(INGESTA)Datos_consumo_datadis'!A2334&lt;&gt;"""",SPLIT('(INGESTA)Datos_consumo_datadis'!A:A,"",""),"""")"),"ES0031408323131005HX0F")</f>
        <v>ES0031408323131005HX0F</v>
      </c>
      <c r="B2334" s="12">
        <f>IFERROR(__xludf.DUMMYFUNCTION("""COMPUTED_VALUE"""),44963.0)</f>
        <v>44963</v>
      </c>
      <c r="C2334" s="13">
        <f>IFERROR(__xludf.DUMMYFUNCTION("""COMPUTED_VALUE"""),0.20833333333333334)</f>
        <v>0.2083333333</v>
      </c>
      <c r="D2334" s="8">
        <f>IFERROR(__xludf.DUMMYFUNCTION("""COMPUTED_VALUE"""),1.541)</f>
        <v>1.541</v>
      </c>
      <c r="E2334" s="8" t="str">
        <f>IFERROR(__xludf.DUMMYFUNCTION("""COMPUTED_VALUE"""),"Real")</f>
        <v>Real</v>
      </c>
      <c r="G2334" s="8">
        <f t="shared" si="1"/>
        <v>2</v>
      </c>
      <c r="H2334" s="14">
        <f t="shared" si="2"/>
        <v>6</v>
      </c>
      <c r="I2334" s="15">
        <f t="shared" si="3"/>
        <v>5</v>
      </c>
    </row>
    <row r="2335">
      <c r="A2335" s="8" t="str">
        <f>IFERROR(__xludf.DUMMYFUNCTION("IF('(INGESTA)Datos_consumo_datadis'!A2335&lt;&gt;"""",SPLIT('(INGESTA)Datos_consumo_datadis'!A:A,"",""),"""")"),"ES0031408323131005HX0F")</f>
        <v>ES0031408323131005HX0F</v>
      </c>
      <c r="B2335" s="12">
        <f>IFERROR(__xludf.DUMMYFUNCTION("""COMPUTED_VALUE"""),44963.0)</f>
        <v>44963</v>
      </c>
      <c r="C2335" s="13">
        <f>IFERROR(__xludf.DUMMYFUNCTION("""COMPUTED_VALUE"""),0.25)</f>
        <v>0.25</v>
      </c>
      <c r="D2335" s="8">
        <f>IFERROR(__xludf.DUMMYFUNCTION("""COMPUTED_VALUE"""),1.781)</f>
        <v>1.781</v>
      </c>
      <c r="E2335" s="8" t="str">
        <f>IFERROR(__xludf.DUMMYFUNCTION("""COMPUTED_VALUE"""),"Real")</f>
        <v>Real</v>
      </c>
      <c r="G2335" s="8">
        <f t="shared" si="1"/>
        <v>2</v>
      </c>
      <c r="H2335" s="14">
        <f t="shared" si="2"/>
        <v>6</v>
      </c>
      <c r="I2335" s="15">
        <f t="shared" si="3"/>
        <v>6</v>
      </c>
    </row>
    <row r="2336">
      <c r="A2336" s="8" t="str">
        <f>IFERROR(__xludf.DUMMYFUNCTION("IF('(INGESTA)Datos_consumo_datadis'!A2336&lt;&gt;"""",SPLIT('(INGESTA)Datos_consumo_datadis'!A:A,"",""),"""")"),"ES0031408323131005HX0F")</f>
        <v>ES0031408323131005HX0F</v>
      </c>
      <c r="B2336" s="12">
        <f>IFERROR(__xludf.DUMMYFUNCTION("""COMPUTED_VALUE"""),44963.0)</f>
        <v>44963</v>
      </c>
      <c r="C2336" s="13">
        <f>IFERROR(__xludf.DUMMYFUNCTION("""COMPUTED_VALUE"""),0.2916666666666667)</f>
        <v>0.2916666667</v>
      </c>
      <c r="D2336" s="8">
        <f>IFERROR(__xludf.DUMMYFUNCTION("""COMPUTED_VALUE"""),1.501)</f>
        <v>1.501</v>
      </c>
      <c r="E2336" s="8" t="str">
        <f>IFERROR(__xludf.DUMMYFUNCTION("""COMPUTED_VALUE"""),"Real")</f>
        <v>Real</v>
      </c>
      <c r="G2336" s="8">
        <f t="shared" si="1"/>
        <v>2</v>
      </c>
      <c r="H2336" s="14">
        <f t="shared" si="2"/>
        <v>6</v>
      </c>
      <c r="I2336" s="15">
        <f t="shared" si="3"/>
        <v>7</v>
      </c>
    </row>
    <row r="2337">
      <c r="A2337" s="8" t="str">
        <f>IFERROR(__xludf.DUMMYFUNCTION("IF('(INGESTA)Datos_consumo_datadis'!A2337&lt;&gt;"""",SPLIT('(INGESTA)Datos_consumo_datadis'!A:A,"",""),"""")"),"ES0031408323131005HX0F")</f>
        <v>ES0031408323131005HX0F</v>
      </c>
      <c r="B2337" s="12">
        <f>IFERROR(__xludf.DUMMYFUNCTION("""COMPUTED_VALUE"""),44963.0)</f>
        <v>44963</v>
      </c>
      <c r="C2337" s="13">
        <f>IFERROR(__xludf.DUMMYFUNCTION("""COMPUTED_VALUE"""),0.3333333333333333)</f>
        <v>0.3333333333</v>
      </c>
      <c r="D2337" s="8">
        <f>IFERROR(__xludf.DUMMYFUNCTION("""COMPUTED_VALUE"""),0.939)</f>
        <v>0.939</v>
      </c>
      <c r="E2337" s="8" t="str">
        <f>IFERROR(__xludf.DUMMYFUNCTION("""COMPUTED_VALUE"""),"Real")</f>
        <v>Real</v>
      </c>
      <c r="G2337" s="8">
        <f t="shared" si="1"/>
        <v>2</v>
      </c>
      <c r="H2337" s="14">
        <f t="shared" si="2"/>
        <v>6</v>
      </c>
      <c r="I2337" s="15">
        <f t="shared" si="3"/>
        <v>8</v>
      </c>
    </row>
    <row r="2338">
      <c r="A2338" s="8" t="str">
        <f>IFERROR(__xludf.DUMMYFUNCTION("IF('(INGESTA)Datos_consumo_datadis'!A2338&lt;&gt;"""",SPLIT('(INGESTA)Datos_consumo_datadis'!A:A,"",""),"""")"),"ES0031408323131005HX0F")</f>
        <v>ES0031408323131005HX0F</v>
      </c>
      <c r="B2338" s="12">
        <f>IFERROR(__xludf.DUMMYFUNCTION("""COMPUTED_VALUE"""),44963.0)</f>
        <v>44963</v>
      </c>
      <c r="C2338" s="13">
        <f>IFERROR(__xludf.DUMMYFUNCTION("""COMPUTED_VALUE"""),0.375)</f>
        <v>0.375</v>
      </c>
      <c r="D2338" s="8">
        <f>IFERROR(__xludf.DUMMYFUNCTION("""COMPUTED_VALUE"""),0.678)</f>
        <v>0.678</v>
      </c>
      <c r="E2338" s="8" t="str">
        <f>IFERROR(__xludf.DUMMYFUNCTION("""COMPUTED_VALUE"""),"Real")</f>
        <v>Real</v>
      </c>
      <c r="G2338" s="8">
        <f t="shared" si="1"/>
        <v>2</v>
      </c>
      <c r="H2338" s="14">
        <f t="shared" si="2"/>
        <v>6</v>
      </c>
      <c r="I2338" s="15">
        <f t="shared" si="3"/>
        <v>9</v>
      </c>
    </row>
    <row r="2339">
      <c r="A2339" s="8" t="str">
        <f>IFERROR(__xludf.DUMMYFUNCTION("IF('(INGESTA)Datos_consumo_datadis'!A2339&lt;&gt;"""",SPLIT('(INGESTA)Datos_consumo_datadis'!A:A,"",""),"""")"),"ES0031408323131005HX0F")</f>
        <v>ES0031408323131005HX0F</v>
      </c>
      <c r="B2339" s="12">
        <f>IFERROR(__xludf.DUMMYFUNCTION("""COMPUTED_VALUE"""),44963.0)</f>
        <v>44963</v>
      </c>
      <c r="C2339" s="13">
        <f>IFERROR(__xludf.DUMMYFUNCTION("""COMPUTED_VALUE"""),0.4166666666666667)</f>
        <v>0.4166666667</v>
      </c>
      <c r="D2339" s="8">
        <f>IFERROR(__xludf.DUMMYFUNCTION("""COMPUTED_VALUE"""),2.233)</f>
        <v>2.233</v>
      </c>
      <c r="E2339" s="8" t="str">
        <f>IFERROR(__xludf.DUMMYFUNCTION("""COMPUTED_VALUE"""),"Real")</f>
        <v>Real</v>
      </c>
      <c r="G2339" s="8">
        <f t="shared" si="1"/>
        <v>2</v>
      </c>
      <c r="H2339" s="14">
        <f t="shared" si="2"/>
        <v>6</v>
      </c>
      <c r="I2339" s="15">
        <f t="shared" si="3"/>
        <v>10</v>
      </c>
    </row>
    <row r="2340">
      <c r="A2340" s="8" t="str">
        <f>IFERROR(__xludf.DUMMYFUNCTION("IF('(INGESTA)Datos_consumo_datadis'!A2340&lt;&gt;"""",SPLIT('(INGESTA)Datos_consumo_datadis'!A:A,"",""),"""")"),"ES0031408323131005HX0F")</f>
        <v>ES0031408323131005HX0F</v>
      </c>
      <c r="B2340" s="12">
        <f>IFERROR(__xludf.DUMMYFUNCTION("""COMPUTED_VALUE"""),44963.0)</f>
        <v>44963</v>
      </c>
      <c r="C2340" s="13">
        <f>IFERROR(__xludf.DUMMYFUNCTION("""COMPUTED_VALUE"""),0.4583333333333333)</f>
        <v>0.4583333333</v>
      </c>
      <c r="D2340" s="8">
        <f>IFERROR(__xludf.DUMMYFUNCTION("""COMPUTED_VALUE"""),1.291)</f>
        <v>1.291</v>
      </c>
      <c r="E2340" s="8" t="str">
        <f>IFERROR(__xludf.DUMMYFUNCTION("""COMPUTED_VALUE"""),"Real")</f>
        <v>Real</v>
      </c>
      <c r="G2340" s="8">
        <f t="shared" si="1"/>
        <v>2</v>
      </c>
      <c r="H2340" s="14">
        <f t="shared" si="2"/>
        <v>6</v>
      </c>
      <c r="I2340" s="15">
        <f t="shared" si="3"/>
        <v>11</v>
      </c>
    </row>
    <row r="2341">
      <c r="A2341" s="8" t="str">
        <f>IFERROR(__xludf.DUMMYFUNCTION("IF('(INGESTA)Datos_consumo_datadis'!A2341&lt;&gt;"""",SPLIT('(INGESTA)Datos_consumo_datadis'!A:A,"",""),"""")"),"ES0031408323131005HX0F")</f>
        <v>ES0031408323131005HX0F</v>
      </c>
      <c r="B2341" s="12">
        <f>IFERROR(__xludf.DUMMYFUNCTION("""COMPUTED_VALUE"""),44963.0)</f>
        <v>44963</v>
      </c>
      <c r="C2341" s="13">
        <f>IFERROR(__xludf.DUMMYFUNCTION("""COMPUTED_VALUE"""),0.5)</f>
        <v>0.5</v>
      </c>
      <c r="D2341" s="8">
        <f>IFERROR(__xludf.DUMMYFUNCTION("""COMPUTED_VALUE"""),0.762)</f>
        <v>0.762</v>
      </c>
      <c r="E2341" s="8" t="str">
        <f>IFERROR(__xludf.DUMMYFUNCTION("""COMPUTED_VALUE"""),"Real")</f>
        <v>Real</v>
      </c>
      <c r="G2341" s="8">
        <f t="shared" si="1"/>
        <v>2</v>
      </c>
      <c r="H2341" s="14">
        <f t="shared" si="2"/>
        <v>6</v>
      </c>
      <c r="I2341" s="15">
        <f t="shared" si="3"/>
        <v>12</v>
      </c>
    </row>
    <row r="2342">
      <c r="A2342" s="8" t="str">
        <f>IFERROR(__xludf.DUMMYFUNCTION("IF('(INGESTA)Datos_consumo_datadis'!A2342&lt;&gt;"""",SPLIT('(INGESTA)Datos_consumo_datadis'!A:A,"",""),"""")"),"ES0031408323131005HX0F")</f>
        <v>ES0031408323131005HX0F</v>
      </c>
      <c r="B2342" s="12">
        <f>IFERROR(__xludf.DUMMYFUNCTION("""COMPUTED_VALUE"""),44963.0)</f>
        <v>44963</v>
      </c>
      <c r="C2342" s="13">
        <f>IFERROR(__xludf.DUMMYFUNCTION("""COMPUTED_VALUE"""),0.5416666666666666)</f>
        <v>0.5416666667</v>
      </c>
      <c r="D2342" s="8">
        <f>IFERROR(__xludf.DUMMYFUNCTION("""COMPUTED_VALUE"""),0.716)</f>
        <v>0.716</v>
      </c>
      <c r="E2342" s="8" t="str">
        <f>IFERROR(__xludf.DUMMYFUNCTION("""COMPUTED_VALUE"""),"Real")</f>
        <v>Real</v>
      </c>
      <c r="G2342" s="8">
        <f t="shared" si="1"/>
        <v>2</v>
      </c>
      <c r="H2342" s="14">
        <f t="shared" si="2"/>
        <v>6</v>
      </c>
      <c r="I2342" s="15">
        <f t="shared" si="3"/>
        <v>13</v>
      </c>
    </row>
    <row r="2343">
      <c r="A2343" s="8" t="str">
        <f>IFERROR(__xludf.DUMMYFUNCTION("IF('(INGESTA)Datos_consumo_datadis'!A2343&lt;&gt;"""",SPLIT('(INGESTA)Datos_consumo_datadis'!A:A,"",""),"""")"),"ES0031408323131005HX0F")</f>
        <v>ES0031408323131005HX0F</v>
      </c>
      <c r="B2343" s="12">
        <f>IFERROR(__xludf.DUMMYFUNCTION("""COMPUTED_VALUE"""),44963.0)</f>
        <v>44963</v>
      </c>
      <c r="C2343" s="13">
        <f>IFERROR(__xludf.DUMMYFUNCTION("""COMPUTED_VALUE"""),0.5833333333333334)</f>
        <v>0.5833333333</v>
      </c>
      <c r="D2343" s="8">
        <f>IFERROR(__xludf.DUMMYFUNCTION("""COMPUTED_VALUE"""),0.804)</f>
        <v>0.804</v>
      </c>
      <c r="E2343" s="8" t="str">
        <f>IFERROR(__xludf.DUMMYFUNCTION("""COMPUTED_VALUE"""),"Real")</f>
        <v>Real</v>
      </c>
      <c r="G2343" s="8">
        <f t="shared" si="1"/>
        <v>2</v>
      </c>
      <c r="H2343" s="14">
        <f t="shared" si="2"/>
        <v>6</v>
      </c>
      <c r="I2343" s="15">
        <f t="shared" si="3"/>
        <v>14</v>
      </c>
    </row>
    <row r="2344">
      <c r="A2344" s="8" t="str">
        <f>IFERROR(__xludf.DUMMYFUNCTION("IF('(INGESTA)Datos_consumo_datadis'!A2344&lt;&gt;"""",SPLIT('(INGESTA)Datos_consumo_datadis'!A:A,"",""),"""")"),"ES0031408323131005HX0F")</f>
        <v>ES0031408323131005HX0F</v>
      </c>
      <c r="B2344" s="12">
        <f>IFERROR(__xludf.DUMMYFUNCTION("""COMPUTED_VALUE"""),44963.0)</f>
        <v>44963</v>
      </c>
      <c r="C2344" s="13">
        <f>IFERROR(__xludf.DUMMYFUNCTION("""COMPUTED_VALUE"""),0.625)</f>
        <v>0.625</v>
      </c>
      <c r="D2344" s="8">
        <f>IFERROR(__xludf.DUMMYFUNCTION("""COMPUTED_VALUE"""),0.701)</f>
        <v>0.701</v>
      </c>
      <c r="E2344" s="8" t="str">
        <f>IFERROR(__xludf.DUMMYFUNCTION("""COMPUTED_VALUE"""),"Real")</f>
        <v>Real</v>
      </c>
      <c r="G2344" s="8">
        <f t="shared" si="1"/>
        <v>2</v>
      </c>
      <c r="H2344" s="14">
        <f t="shared" si="2"/>
        <v>6</v>
      </c>
      <c r="I2344" s="15">
        <f t="shared" si="3"/>
        <v>15</v>
      </c>
    </row>
    <row r="2345">
      <c r="A2345" s="8" t="str">
        <f>IFERROR(__xludf.DUMMYFUNCTION("IF('(INGESTA)Datos_consumo_datadis'!A2345&lt;&gt;"""",SPLIT('(INGESTA)Datos_consumo_datadis'!A:A,"",""),"""")"),"ES0031408323131005HX0F")</f>
        <v>ES0031408323131005HX0F</v>
      </c>
      <c r="B2345" s="12">
        <f>IFERROR(__xludf.DUMMYFUNCTION("""COMPUTED_VALUE"""),44963.0)</f>
        <v>44963</v>
      </c>
      <c r="C2345" s="13">
        <f>IFERROR(__xludf.DUMMYFUNCTION("""COMPUTED_VALUE"""),0.6666666666666666)</f>
        <v>0.6666666667</v>
      </c>
      <c r="D2345" s="8">
        <f>IFERROR(__xludf.DUMMYFUNCTION("""COMPUTED_VALUE"""),0.963)</f>
        <v>0.963</v>
      </c>
      <c r="E2345" s="8" t="str">
        <f>IFERROR(__xludf.DUMMYFUNCTION("""COMPUTED_VALUE"""),"Real")</f>
        <v>Real</v>
      </c>
      <c r="G2345" s="8">
        <f t="shared" si="1"/>
        <v>2</v>
      </c>
      <c r="H2345" s="14">
        <f t="shared" si="2"/>
        <v>6</v>
      </c>
      <c r="I2345" s="15">
        <f t="shared" si="3"/>
        <v>16</v>
      </c>
    </row>
    <row r="2346">
      <c r="A2346" s="8" t="str">
        <f>IFERROR(__xludf.DUMMYFUNCTION("IF('(INGESTA)Datos_consumo_datadis'!A2346&lt;&gt;"""",SPLIT('(INGESTA)Datos_consumo_datadis'!A:A,"",""),"""")"),"ES0031408323131005HX0F")</f>
        <v>ES0031408323131005HX0F</v>
      </c>
      <c r="B2346" s="12">
        <f>IFERROR(__xludf.DUMMYFUNCTION("""COMPUTED_VALUE"""),44963.0)</f>
        <v>44963</v>
      </c>
      <c r="C2346" s="13">
        <f>IFERROR(__xludf.DUMMYFUNCTION("""COMPUTED_VALUE"""),0.7083333333333334)</f>
        <v>0.7083333333</v>
      </c>
      <c r="D2346" s="8">
        <f>IFERROR(__xludf.DUMMYFUNCTION("""COMPUTED_VALUE"""),0.793)</f>
        <v>0.793</v>
      </c>
      <c r="E2346" s="8" t="str">
        <f>IFERROR(__xludf.DUMMYFUNCTION("""COMPUTED_VALUE"""),"Real")</f>
        <v>Real</v>
      </c>
      <c r="G2346" s="8">
        <f t="shared" si="1"/>
        <v>2</v>
      </c>
      <c r="H2346" s="14">
        <f t="shared" si="2"/>
        <v>6</v>
      </c>
      <c r="I2346" s="15">
        <f t="shared" si="3"/>
        <v>17</v>
      </c>
    </row>
    <row r="2347">
      <c r="A2347" s="8" t="str">
        <f>IFERROR(__xludf.DUMMYFUNCTION("IF('(INGESTA)Datos_consumo_datadis'!A2347&lt;&gt;"""",SPLIT('(INGESTA)Datos_consumo_datadis'!A:A,"",""),"""")"),"ES0031408323131005HX0F")</f>
        <v>ES0031408323131005HX0F</v>
      </c>
      <c r="B2347" s="12">
        <f>IFERROR(__xludf.DUMMYFUNCTION("""COMPUTED_VALUE"""),44963.0)</f>
        <v>44963</v>
      </c>
      <c r="C2347" s="13">
        <f>IFERROR(__xludf.DUMMYFUNCTION("""COMPUTED_VALUE"""),0.75)</f>
        <v>0.75</v>
      </c>
      <c r="D2347" s="8">
        <f>IFERROR(__xludf.DUMMYFUNCTION("""COMPUTED_VALUE"""),0.695)</f>
        <v>0.695</v>
      </c>
      <c r="E2347" s="8" t="str">
        <f>IFERROR(__xludf.DUMMYFUNCTION("""COMPUTED_VALUE"""),"Real")</f>
        <v>Real</v>
      </c>
      <c r="G2347" s="8">
        <f t="shared" si="1"/>
        <v>2</v>
      </c>
      <c r="H2347" s="14">
        <f t="shared" si="2"/>
        <v>6</v>
      </c>
      <c r="I2347" s="15">
        <f t="shared" si="3"/>
        <v>18</v>
      </c>
    </row>
    <row r="2348">
      <c r="A2348" s="8" t="str">
        <f>IFERROR(__xludf.DUMMYFUNCTION("IF('(INGESTA)Datos_consumo_datadis'!A2348&lt;&gt;"""",SPLIT('(INGESTA)Datos_consumo_datadis'!A:A,"",""),"""")"),"ES0031408323131005HX0F")</f>
        <v>ES0031408323131005HX0F</v>
      </c>
      <c r="B2348" s="12">
        <f>IFERROR(__xludf.DUMMYFUNCTION("""COMPUTED_VALUE"""),44963.0)</f>
        <v>44963</v>
      </c>
      <c r="C2348" s="13">
        <f>IFERROR(__xludf.DUMMYFUNCTION("""COMPUTED_VALUE"""),0.7916666666666666)</f>
        <v>0.7916666667</v>
      </c>
      <c r="D2348" s="8">
        <f>IFERROR(__xludf.DUMMYFUNCTION("""COMPUTED_VALUE"""),0.709)</f>
        <v>0.709</v>
      </c>
      <c r="E2348" s="8" t="str">
        <f>IFERROR(__xludf.DUMMYFUNCTION("""COMPUTED_VALUE"""),"Real")</f>
        <v>Real</v>
      </c>
      <c r="G2348" s="8">
        <f t="shared" si="1"/>
        <v>2</v>
      </c>
      <c r="H2348" s="14">
        <f t="shared" si="2"/>
        <v>6</v>
      </c>
      <c r="I2348" s="15">
        <f t="shared" si="3"/>
        <v>19</v>
      </c>
    </row>
    <row r="2349">
      <c r="A2349" s="8" t="str">
        <f>IFERROR(__xludf.DUMMYFUNCTION("IF('(INGESTA)Datos_consumo_datadis'!A2349&lt;&gt;"""",SPLIT('(INGESTA)Datos_consumo_datadis'!A:A,"",""),"""")"),"ES0031408323131005HX0F")</f>
        <v>ES0031408323131005HX0F</v>
      </c>
      <c r="B2349" s="12">
        <f>IFERROR(__xludf.DUMMYFUNCTION("""COMPUTED_VALUE"""),44963.0)</f>
        <v>44963</v>
      </c>
      <c r="C2349" s="13">
        <f>IFERROR(__xludf.DUMMYFUNCTION("""COMPUTED_VALUE"""),0.8333333333333334)</f>
        <v>0.8333333333</v>
      </c>
      <c r="D2349" s="8">
        <f>IFERROR(__xludf.DUMMYFUNCTION("""COMPUTED_VALUE"""),0.742)</f>
        <v>0.742</v>
      </c>
      <c r="E2349" s="8" t="str">
        <f>IFERROR(__xludf.DUMMYFUNCTION("""COMPUTED_VALUE"""),"Real")</f>
        <v>Real</v>
      </c>
      <c r="G2349" s="8">
        <f t="shared" si="1"/>
        <v>2</v>
      </c>
      <c r="H2349" s="14">
        <f t="shared" si="2"/>
        <v>6</v>
      </c>
      <c r="I2349" s="15">
        <f t="shared" si="3"/>
        <v>20</v>
      </c>
    </row>
    <row r="2350">
      <c r="A2350" s="8" t="str">
        <f>IFERROR(__xludf.DUMMYFUNCTION("IF('(INGESTA)Datos_consumo_datadis'!A2350&lt;&gt;"""",SPLIT('(INGESTA)Datos_consumo_datadis'!A:A,"",""),"""")"),"ES0031408323131005HX0F")</f>
        <v>ES0031408323131005HX0F</v>
      </c>
      <c r="B2350" s="12">
        <f>IFERROR(__xludf.DUMMYFUNCTION("""COMPUTED_VALUE"""),44963.0)</f>
        <v>44963</v>
      </c>
      <c r="C2350" s="13">
        <f>IFERROR(__xludf.DUMMYFUNCTION("""COMPUTED_VALUE"""),0.875)</f>
        <v>0.875</v>
      </c>
      <c r="D2350" s="8">
        <f>IFERROR(__xludf.DUMMYFUNCTION("""COMPUTED_VALUE"""),0.75)</f>
        <v>0.75</v>
      </c>
      <c r="E2350" s="8" t="str">
        <f>IFERROR(__xludf.DUMMYFUNCTION("""COMPUTED_VALUE"""),"Real")</f>
        <v>Real</v>
      </c>
      <c r="G2350" s="8">
        <f t="shared" si="1"/>
        <v>2</v>
      </c>
      <c r="H2350" s="14">
        <f t="shared" si="2"/>
        <v>6</v>
      </c>
      <c r="I2350" s="15">
        <f t="shared" si="3"/>
        <v>21</v>
      </c>
    </row>
    <row r="2351">
      <c r="A2351" s="8" t="str">
        <f>IFERROR(__xludf.DUMMYFUNCTION("IF('(INGESTA)Datos_consumo_datadis'!A2351&lt;&gt;"""",SPLIT('(INGESTA)Datos_consumo_datadis'!A:A,"",""),"""")"),"ES0031408323131005HX0F")</f>
        <v>ES0031408323131005HX0F</v>
      </c>
      <c r="B2351" s="12">
        <f>IFERROR(__xludf.DUMMYFUNCTION("""COMPUTED_VALUE"""),44963.0)</f>
        <v>44963</v>
      </c>
      <c r="C2351" s="13">
        <f>IFERROR(__xludf.DUMMYFUNCTION("""COMPUTED_VALUE"""),0.9166666666666666)</f>
        <v>0.9166666667</v>
      </c>
      <c r="D2351" s="8">
        <f>IFERROR(__xludf.DUMMYFUNCTION("""COMPUTED_VALUE"""),0.503)</f>
        <v>0.503</v>
      </c>
      <c r="E2351" s="8" t="str">
        <f>IFERROR(__xludf.DUMMYFUNCTION("""COMPUTED_VALUE"""),"Real")</f>
        <v>Real</v>
      </c>
      <c r="G2351" s="8">
        <f t="shared" si="1"/>
        <v>2</v>
      </c>
      <c r="H2351" s="14">
        <f t="shared" si="2"/>
        <v>6</v>
      </c>
      <c r="I2351" s="15">
        <f t="shared" si="3"/>
        <v>22</v>
      </c>
    </row>
    <row r="2352">
      <c r="A2352" s="8" t="str">
        <f>IFERROR(__xludf.DUMMYFUNCTION("IF('(INGESTA)Datos_consumo_datadis'!A2352&lt;&gt;"""",SPLIT('(INGESTA)Datos_consumo_datadis'!A:A,"",""),"""")"),"ES0031408323131005HX0F")</f>
        <v>ES0031408323131005HX0F</v>
      </c>
      <c r="B2352" s="12">
        <f>IFERROR(__xludf.DUMMYFUNCTION("""COMPUTED_VALUE"""),44963.0)</f>
        <v>44963</v>
      </c>
      <c r="C2352" s="13">
        <f>IFERROR(__xludf.DUMMYFUNCTION("""COMPUTED_VALUE"""),0.9583333333333334)</f>
        <v>0.9583333333</v>
      </c>
      <c r="D2352" s="8">
        <f>IFERROR(__xludf.DUMMYFUNCTION("""COMPUTED_VALUE"""),2.618)</f>
        <v>2.618</v>
      </c>
      <c r="E2352" s="8" t="str">
        <f>IFERROR(__xludf.DUMMYFUNCTION("""COMPUTED_VALUE"""),"Real")</f>
        <v>Real</v>
      </c>
      <c r="G2352" s="8">
        <f t="shared" si="1"/>
        <v>2</v>
      </c>
      <c r="H2352" s="14">
        <f t="shared" si="2"/>
        <v>6</v>
      </c>
      <c r="I2352" s="15">
        <f t="shared" si="3"/>
        <v>23</v>
      </c>
    </row>
    <row r="2353">
      <c r="A2353" s="8" t="str">
        <f>IFERROR(__xludf.DUMMYFUNCTION("IF('(INGESTA)Datos_consumo_datadis'!A2353&lt;&gt;"""",SPLIT('(INGESTA)Datos_consumo_datadis'!A:A,"",""),"""")"),"ES0031408323131005HX0F")</f>
        <v>ES0031408323131005HX0F</v>
      </c>
      <c r="B2353" s="12">
        <f>IFERROR(__xludf.DUMMYFUNCTION("""COMPUTED_VALUE"""),44963.0)</f>
        <v>44963</v>
      </c>
      <c r="C2353" s="16">
        <f>IFERROR(__xludf.DUMMYFUNCTION("""COMPUTED_VALUE"""),1.0)</f>
        <v>1</v>
      </c>
      <c r="D2353" s="8">
        <f>IFERROR(__xludf.DUMMYFUNCTION("""COMPUTED_VALUE"""),1.98)</f>
        <v>1.98</v>
      </c>
      <c r="E2353" s="8" t="str">
        <f>IFERROR(__xludf.DUMMYFUNCTION("""COMPUTED_VALUE"""),"Real")</f>
        <v>Real</v>
      </c>
      <c r="G2353" s="8">
        <f t="shared" si="1"/>
        <v>2</v>
      </c>
      <c r="H2353" s="14">
        <f t="shared" si="2"/>
        <v>6</v>
      </c>
      <c r="I2353" s="15">
        <f t="shared" si="3"/>
        <v>0</v>
      </c>
    </row>
    <row r="2354">
      <c r="A2354" s="8" t="str">
        <f>IFERROR(__xludf.DUMMYFUNCTION("IF('(INGESTA)Datos_consumo_datadis'!A2354&lt;&gt;"""",SPLIT('(INGESTA)Datos_consumo_datadis'!A:A,"",""),"""")"),"ES0031408323131005HX0F")</f>
        <v>ES0031408323131005HX0F</v>
      </c>
      <c r="B2354" s="12">
        <f>IFERROR(__xludf.DUMMYFUNCTION("""COMPUTED_VALUE"""),44964.0)</f>
        <v>44964</v>
      </c>
      <c r="C2354" s="13">
        <f>IFERROR(__xludf.DUMMYFUNCTION("""COMPUTED_VALUE"""),0.041666666666666664)</f>
        <v>0.04166666667</v>
      </c>
      <c r="D2354" s="8">
        <f>IFERROR(__xludf.DUMMYFUNCTION("""COMPUTED_VALUE"""),1.479)</f>
        <v>1.479</v>
      </c>
      <c r="E2354" s="8" t="str">
        <f>IFERROR(__xludf.DUMMYFUNCTION("""COMPUTED_VALUE"""),"Real")</f>
        <v>Real</v>
      </c>
      <c r="G2354" s="8">
        <f t="shared" si="1"/>
        <v>2</v>
      </c>
      <c r="H2354" s="14">
        <f t="shared" si="2"/>
        <v>7</v>
      </c>
      <c r="I2354" s="15">
        <f t="shared" si="3"/>
        <v>1</v>
      </c>
    </row>
    <row r="2355">
      <c r="A2355" s="8" t="str">
        <f>IFERROR(__xludf.DUMMYFUNCTION("IF('(INGESTA)Datos_consumo_datadis'!A2355&lt;&gt;"""",SPLIT('(INGESTA)Datos_consumo_datadis'!A:A,"",""),"""")"),"ES0031408323131005HX0F")</f>
        <v>ES0031408323131005HX0F</v>
      </c>
      <c r="B2355" s="12">
        <f>IFERROR(__xludf.DUMMYFUNCTION("""COMPUTED_VALUE"""),44964.0)</f>
        <v>44964</v>
      </c>
      <c r="C2355" s="13">
        <f>IFERROR(__xludf.DUMMYFUNCTION("""COMPUTED_VALUE"""),0.08333333333333333)</f>
        <v>0.08333333333</v>
      </c>
      <c r="D2355" s="8">
        <f>IFERROR(__xludf.DUMMYFUNCTION("""COMPUTED_VALUE"""),1.517)</f>
        <v>1.517</v>
      </c>
      <c r="E2355" s="8" t="str">
        <f>IFERROR(__xludf.DUMMYFUNCTION("""COMPUTED_VALUE"""),"Real")</f>
        <v>Real</v>
      </c>
      <c r="G2355" s="8">
        <f t="shared" si="1"/>
        <v>2</v>
      </c>
      <c r="H2355" s="14">
        <f t="shared" si="2"/>
        <v>7</v>
      </c>
      <c r="I2355" s="15">
        <f t="shared" si="3"/>
        <v>2</v>
      </c>
    </row>
    <row r="2356">
      <c r="A2356" s="8" t="str">
        <f>IFERROR(__xludf.DUMMYFUNCTION("IF('(INGESTA)Datos_consumo_datadis'!A2356&lt;&gt;"""",SPLIT('(INGESTA)Datos_consumo_datadis'!A:A,"",""),"""")"),"ES0031408323131005HX0F")</f>
        <v>ES0031408323131005HX0F</v>
      </c>
      <c r="B2356" s="12">
        <f>IFERROR(__xludf.DUMMYFUNCTION("""COMPUTED_VALUE"""),44964.0)</f>
        <v>44964</v>
      </c>
      <c r="C2356" s="13">
        <f>IFERROR(__xludf.DUMMYFUNCTION("""COMPUTED_VALUE"""),0.125)</f>
        <v>0.125</v>
      </c>
      <c r="D2356" s="8">
        <f>IFERROR(__xludf.DUMMYFUNCTION("""COMPUTED_VALUE"""),1.509)</f>
        <v>1.509</v>
      </c>
      <c r="E2356" s="8" t="str">
        <f>IFERROR(__xludf.DUMMYFUNCTION("""COMPUTED_VALUE"""),"Real")</f>
        <v>Real</v>
      </c>
      <c r="G2356" s="8">
        <f t="shared" si="1"/>
        <v>2</v>
      </c>
      <c r="H2356" s="14">
        <f t="shared" si="2"/>
        <v>7</v>
      </c>
      <c r="I2356" s="15">
        <f t="shared" si="3"/>
        <v>3</v>
      </c>
    </row>
    <row r="2357">
      <c r="A2357" s="8" t="str">
        <f>IFERROR(__xludf.DUMMYFUNCTION("IF('(INGESTA)Datos_consumo_datadis'!A2357&lt;&gt;"""",SPLIT('(INGESTA)Datos_consumo_datadis'!A:A,"",""),"""")"),"ES0031408323131005HX0F")</f>
        <v>ES0031408323131005HX0F</v>
      </c>
      <c r="B2357" s="12">
        <f>IFERROR(__xludf.DUMMYFUNCTION("""COMPUTED_VALUE"""),44964.0)</f>
        <v>44964</v>
      </c>
      <c r="C2357" s="13">
        <f>IFERROR(__xludf.DUMMYFUNCTION("""COMPUTED_VALUE"""),0.16666666666666666)</f>
        <v>0.1666666667</v>
      </c>
      <c r="D2357" s="8">
        <f>IFERROR(__xludf.DUMMYFUNCTION("""COMPUTED_VALUE"""),1.538)</f>
        <v>1.538</v>
      </c>
      <c r="E2357" s="8" t="str">
        <f>IFERROR(__xludf.DUMMYFUNCTION("""COMPUTED_VALUE"""),"Real")</f>
        <v>Real</v>
      </c>
      <c r="G2357" s="8">
        <f t="shared" si="1"/>
        <v>2</v>
      </c>
      <c r="H2357" s="14">
        <f t="shared" si="2"/>
        <v>7</v>
      </c>
      <c r="I2357" s="15">
        <f t="shared" si="3"/>
        <v>4</v>
      </c>
    </row>
    <row r="2358">
      <c r="A2358" s="8" t="str">
        <f>IFERROR(__xludf.DUMMYFUNCTION("IF('(INGESTA)Datos_consumo_datadis'!A2358&lt;&gt;"""",SPLIT('(INGESTA)Datos_consumo_datadis'!A:A,"",""),"""")"),"ES0031408323131005HX0F")</f>
        <v>ES0031408323131005HX0F</v>
      </c>
      <c r="B2358" s="12">
        <f>IFERROR(__xludf.DUMMYFUNCTION("""COMPUTED_VALUE"""),44964.0)</f>
        <v>44964</v>
      </c>
      <c r="C2358" s="13">
        <f>IFERROR(__xludf.DUMMYFUNCTION("""COMPUTED_VALUE"""),0.20833333333333334)</f>
        <v>0.2083333333</v>
      </c>
      <c r="D2358" s="8">
        <f>IFERROR(__xludf.DUMMYFUNCTION("""COMPUTED_VALUE"""),1.743)</f>
        <v>1.743</v>
      </c>
      <c r="E2358" s="8" t="str">
        <f>IFERROR(__xludf.DUMMYFUNCTION("""COMPUTED_VALUE"""),"Real")</f>
        <v>Real</v>
      </c>
      <c r="G2358" s="8">
        <f t="shared" si="1"/>
        <v>2</v>
      </c>
      <c r="H2358" s="14">
        <f t="shared" si="2"/>
        <v>7</v>
      </c>
      <c r="I2358" s="15">
        <f t="shared" si="3"/>
        <v>5</v>
      </c>
    </row>
    <row r="2359">
      <c r="A2359" s="8" t="str">
        <f>IFERROR(__xludf.DUMMYFUNCTION("IF('(INGESTA)Datos_consumo_datadis'!A2359&lt;&gt;"""",SPLIT('(INGESTA)Datos_consumo_datadis'!A:A,"",""),"""")"),"ES0031408323131005HX0F")</f>
        <v>ES0031408323131005HX0F</v>
      </c>
      <c r="B2359" s="12">
        <f>IFERROR(__xludf.DUMMYFUNCTION("""COMPUTED_VALUE"""),44964.0)</f>
        <v>44964</v>
      </c>
      <c r="C2359" s="13">
        <f>IFERROR(__xludf.DUMMYFUNCTION("""COMPUTED_VALUE"""),0.25)</f>
        <v>0.25</v>
      </c>
      <c r="D2359" s="8">
        <f>IFERROR(__xludf.DUMMYFUNCTION("""COMPUTED_VALUE"""),1.503)</f>
        <v>1.503</v>
      </c>
      <c r="E2359" s="8" t="str">
        <f>IFERROR(__xludf.DUMMYFUNCTION("""COMPUTED_VALUE"""),"Real")</f>
        <v>Real</v>
      </c>
      <c r="G2359" s="8">
        <f t="shared" si="1"/>
        <v>2</v>
      </c>
      <c r="H2359" s="14">
        <f t="shared" si="2"/>
        <v>7</v>
      </c>
      <c r="I2359" s="15">
        <f t="shared" si="3"/>
        <v>6</v>
      </c>
    </row>
    <row r="2360">
      <c r="A2360" s="8" t="str">
        <f>IFERROR(__xludf.DUMMYFUNCTION("IF('(INGESTA)Datos_consumo_datadis'!A2360&lt;&gt;"""",SPLIT('(INGESTA)Datos_consumo_datadis'!A:A,"",""),"""")"),"ES0031408323131005HX0F")</f>
        <v>ES0031408323131005HX0F</v>
      </c>
      <c r="B2360" s="12">
        <f>IFERROR(__xludf.DUMMYFUNCTION("""COMPUTED_VALUE"""),44964.0)</f>
        <v>44964</v>
      </c>
      <c r="C2360" s="13">
        <f>IFERROR(__xludf.DUMMYFUNCTION("""COMPUTED_VALUE"""),0.2916666666666667)</f>
        <v>0.2916666667</v>
      </c>
      <c r="D2360" s="8">
        <f>IFERROR(__xludf.DUMMYFUNCTION("""COMPUTED_VALUE"""),1.413)</f>
        <v>1.413</v>
      </c>
      <c r="E2360" s="8" t="str">
        <f>IFERROR(__xludf.DUMMYFUNCTION("""COMPUTED_VALUE"""),"Real")</f>
        <v>Real</v>
      </c>
      <c r="G2360" s="8">
        <f t="shared" si="1"/>
        <v>2</v>
      </c>
      <c r="H2360" s="14">
        <f t="shared" si="2"/>
        <v>7</v>
      </c>
      <c r="I2360" s="15">
        <f t="shared" si="3"/>
        <v>7</v>
      </c>
    </row>
    <row r="2361">
      <c r="A2361" s="8" t="str">
        <f>IFERROR(__xludf.DUMMYFUNCTION("IF('(INGESTA)Datos_consumo_datadis'!A2361&lt;&gt;"""",SPLIT('(INGESTA)Datos_consumo_datadis'!A:A,"",""),"""")"),"ES0031408323131005HX0F")</f>
        <v>ES0031408323131005HX0F</v>
      </c>
      <c r="B2361" s="12">
        <f>IFERROR(__xludf.DUMMYFUNCTION("""COMPUTED_VALUE"""),44964.0)</f>
        <v>44964</v>
      </c>
      <c r="C2361" s="13">
        <f>IFERROR(__xludf.DUMMYFUNCTION("""COMPUTED_VALUE"""),0.3333333333333333)</f>
        <v>0.3333333333</v>
      </c>
      <c r="D2361" s="8">
        <f>IFERROR(__xludf.DUMMYFUNCTION("""COMPUTED_VALUE"""),0.365)</f>
        <v>0.365</v>
      </c>
      <c r="E2361" s="8" t="str">
        <f>IFERROR(__xludf.DUMMYFUNCTION("""COMPUTED_VALUE"""),"Real")</f>
        <v>Real</v>
      </c>
      <c r="G2361" s="8">
        <f t="shared" si="1"/>
        <v>2</v>
      </c>
      <c r="H2361" s="14">
        <f t="shared" si="2"/>
        <v>7</v>
      </c>
      <c r="I2361" s="15">
        <f t="shared" si="3"/>
        <v>8</v>
      </c>
    </row>
    <row r="2362">
      <c r="A2362" s="8" t="str">
        <f>IFERROR(__xludf.DUMMYFUNCTION("IF('(INGESTA)Datos_consumo_datadis'!A2362&lt;&gt;"""",SPLIT('(INGESTA)Datos_consumo_datadis'!A:A,"",""),"""")"),"ES0031408323131005HX0F")</f>
        <v>ES0031408323131005HX0F</v>
      </c>
      <c r="B2362" s="12">
        <f>IFERROR(__xludf.DUMMYFUNCTION("""COMPUTED_VALUE"""),44964.0)</f>
        <v>44964</v>
      </c>
      <c r="C2362" s="13">
        <f>IFERROR(__xludf.DUMMYFUNCTION("""COMPUTED_VALUE"""),0.375)</f>
        <v>0.375</v>
      </c>
      <c r="D2362" s="8">
        <f>IFERROR(__xludf.DUMMYFUNCTION("""COMPUTED_VALUE"""),0.113)</f>
        <v>0.113</v>
      </c>
      <c r="E2362" s="8" t="str">
        <f>IFERROR(__xludf.DUMMYFUNCTION("""COMPUTED_VALUE"""),"Real")</f>
        <v>Real</v>
      </c>
      <c r="G2362" s="8">
        <f t="shared" si="1"/>
        <v>2</v>
      </c>
      <c r="H2362" s="14">
        <f t="shared" si="2"/>
        <v>7</v>
      </c>
      <c r="I2362" s="15">
        <f t="shared" si="3"/>
        <v>9</v>
      </c>
    </row>
    <row r="2363">
      <c r="A2363" s="8" t="str">
        <f>IFERROR(__xludf.DUMMYFUNCTION("IF('(INGESTA)Datos_consumo_datadis'!A2363&lt;&gt;"""",SPLIT('(INGESTA)Datos_consumo_datadis'!A:A,"",""),"""")"),"ES0031408323131005HX0F")</f>
        <v>ES0031408323131005HX0F</v>
      </c>
      <c r="B2363" s="12">
        <f>IFERROR(__xludf.DUMMYFUNCTION("""COMPUTED_VALUE"""),44964.0)</f>
        <v>44964</v>
      </c>
      <c r="C2363" s="13">
        <f>IFERROR(__xludf.DUMMYFUNCTION("""COMPUTED_VALUE"""),0.4166666666666667)</f>
        <v>0.4166666667</v>
      </c>
      <c r="D2363" s="8">
        <f>IFERROR(__xludf.DUMMYFUNCTION("""COMPUTED_VALUE"""),0.572)</f>
        <v>0.572</v>
      </c>
      <c r="E2363" s="8" t="str">
        <f>IFERROR(__xludf.DUMMYFUNCTION("""COMPUTED_VALUE"""),"Real")</f>
        <v>Real</v>
      </c>
      <c r="G2363" s="8">
        <f t="shared" si="1"/>
        <v>2</v>
      </c>
      <c r="H2363" s="14">
        <f t="shared" si="2"/>
        <v>7</v>
      </c>
      <c r="I2363" s="15">
        <f t="shared" si="3"/>
        <v>10</v>
      </c>
    </row>
    <row r="2364">
      <c r="A2364" s="8" t="str">
        <f>IFERROR(__xludf.DUMMYFUNCTION("IF('(INGESTA)Datos_consumo_datadis'!A2364&lt;&gt;"""",SPLIT('(INGESTA)Datos_consumo_datadis'!A:A,"",""),"""")"),"ES0031408323131005HX0F")</f>
        <v>ES0031408323131005HX0F</v>
      </c>
      <c r="B2364" s="12">
        <f>IFERROR(__xludf.DUMMYFUNCTION("""COMPUTED_VALUE"""),44964.0)</f>
        <v>44964</v>
      </c>
      <c r="C2364" s="13">
        <f>IFERROR(__xludf.DUMMYFUNCTION("""COMPUTED_VALUE"""),0.4583333333333333)</f>
        <v>0.4583333333</v>
      </c>
      <c r="D2364" s="8">
        <f>IFERROR(__xludf.DUMMYFUNCTION("""COMPUTED_VALUE"""),1.082)</f>
        <v>1.082</v>
      </c>
      <c r="E2364" s="8" t="str">
        <f>IFERROR(__xludf.DUMMYFUNCTION("""COMPUTED_VALUE"""),"Real")</f>
        <v>Real</v>
      </c>
      <c r="G2364" s="8">
        <f t="shared" si="1"/>
        <v>2</v>
      </c>
      <c r="H2364" s="14">
        <f t="shared" si="2"/>
        <v>7</v>
      </c>
      <c r="I2364" s="15">
        <f t="shared" si="3"/>
        <v>11</v>
      </c>
    </row>
    <row r="2365">
      <c r="A2365" s="8" t="str">
        <f>IFERROR(__xludf.DUMMYFUNCTION("IF('(INGESTA)Datos_consumo_datadis'!A2365&lt;&gt;"""",SPLIT('(INGESTA)Datos_consumo_datadis'!A:A,"",""),"""")"),"ES0031408323131005HX0F")</f>
        <v>ES0031408323131005HX0F</v>
      </c>
      <c r="B2365" s="12">
        <f>IFERROR(__xludf.DUMMYFUNCTION("""COMPUTED_VALUE"""),44964.0)</f>
        <v>44964</v>
      </c>
      <c r="C2365" s="13">
        <f>IFERROR(__xludf.DUMMYFUNCTION("""COMPUTED_VALUE"""),0.5)</f>
        <v>0.5</v>
      </c>
      <c r="D2365" s="8">
        <f>IFERROR(__xludf.DUMMYFUNCTION("""COMPUTED_VALUE"""),0.855)</f>
        <v>0.855</v>
      </c>
      <c r="E2365" s="8" t="str">
        <f>IFERROR(__xludf.DUMMYFUNCTION("""COMPUTED_VALUE"""),"Real")</f>
        <v>Real</v>
      </c>
      <c r="G2365" s="8">
        <f t="shared" si="1"/>
        <v>2</v>
      </c>
      <c r="H2365" s="14">
        <f t="shared" si="2"/>
        <v>7</v>
      </c>
      <c r="I2365" s="15">
        <f t="shared" si="3"/>
        <v>12</v>
      </c>
    </row>
    <row r="2366">
      <c r="A2366" s="8" t="str">
        <f>IFERROR(__xludf.DUMMYFUNCTION("IF('(INGESTA)Datos_consumo_datadis'!A2366&lt;&gt;"""",SPLIT('(INGESTA)Datos_consumo_datadis'!A:A,"",""),"""")"),"ES0031408323131005HX0F")</f>
        <v>ES0031408323131005HX0F</v>
      </c>
      <c r="B2366" s="12">
        <f>IFERROR(__xludf.DUMMYFUNCTION("""COMPUTED_VALUE"""),44964.0)</f>
        <v>44964</v>
      </c>
      <c r="C2366" s="13">
        <f>IFERROR(__xludf.DUMMYFUNCTION("""COMPUTED_VALUE"""),0.5416666666666666)</f>
        <v>0.5416666667</v>
      </c>
      <c r="D2366" s="8">
        <f>IFERROR(__xludf.DUMMYFUNCTION("""COMPUTED_VALUE"""),0.115)</f>
        <v>0.115</v>
      </c>
      <c r="E2366" s="8" t="str">
        <f>IFERROR(__xludf.DUMMYFUNCTION("""COMPUTED_VALUE"""),"Real")</f>
        <v>Real</v>
      </c>
      <c r="G2366" s="8">
        <f t="shared" si="1"/>
        <v>2</v>
      </c>
      <c r="H2366" s="14">
        <f t="shared" si="2"/>
        <v>7</v>
      </c>
      <c r="I2366" s="15">
        <f t="shared" si="3"/>
        <v>13</v>
      </c>
    </row>
    <row r="2367">
      <c r="A2367" s="8" t="str">
        <f>IFERROR(__xludf.DUMMYFUNCTION("IF('(INGESTA)Datos_consumo_datadis'!A2367&lt;&gt;"""",SPLIT('(INGESTA)Datos_consumo_datadis'!A:A,"",""),"""")"),"ES0031408323131005HX0F")</f>
        <v>ES0031408323131005HX0F</v>
      </c>
      <c r="B2367" s="12">
        <f>IFERROR(__xludf.DUMMYFUNCTION("""COMPUTED_VALUE"""),44964.0)</f>
        <v>44964</v>
      </c>
      <c r="C2367" s="13">
        <f>IFERROR(__xludf.DUMMYFUNCTION("""COMPUTED_VALUE"""),0.5833333333333334)</f>
        <v>0.5833333333</v>
      </c>
      <c r="D2367" s="8">
        <f>IFERROR(__xludf.DUMMYFUNCTION("""COMPUTED_VALUE"""),0.219)</f>
        <v>0.219</v>
      </c>
      <c r="E2367" s="8" t="str">
        <f>IFERROR(__xludf.DUMMYFUNCTION("""COMPUTED_VALUE"""),"Real")</f>
        <v>Real</v>
      </c>
      <c r="G2367" s="8">
        <f t="shared" si="1"/>
        <v>2</v>
      </c>
      <c r="H2367" s="14">
        <f t="shared" si="2"/>
        <v>7</v>
      </c>
      <c r="I2367" s="15">
        <f t="shared" si="3"/>
        <v>14</v>
      </c>
    </row>
    <row r="2368">
      <c r="A2368" s="8" t="str">
        <f>IFERROR(__xludf.DUMMYFUNCTION("IF('(INGESTA)Datos_consumo_datadis'!A2368&lt;&gt;"""",SPLIT('(INGESTA)Datos_consumo_datadis'!A:A,"",""),"""")"),"ES0031408323131005HX0F")</f>
        <v>ES0031408323131005HX0F</v>
      </c>
      <c r="B2368" s="12">
        <f>IFERROR(__xludf.DUMMYFUNCTION("""COMPUTED_VALUE"""),44964.0)</f>
        <v>44964</v>
      </c>
      <c r="C2368" s="13">
        <f>IFERROR(__xludf.DUMMYFUNCTION("""COMPUTED_VALUE"""),0.625)</f>
        <v>0.625</v>
      </c>
      <c r="D2368" s="8">
        <f>IFERROR(__xludf.DUMMYFUNCTION("""COMPUTED_VALUE"""),0.164)</f>
        <v>0.164</v>
      </c>
      <c r="E2368" s="8" t="str">
        <f>IFERROR(__xludf.DUMMYFUNCTION("""COMPUTED_VALUE"""),"Real")</f>
        <v>Real</v>
      </c>
      <c r="G2368" s="8">
        <f t="shared" si="1"/>
        <v>2</v>
      </c>
      <c r="H2368" s="14">
        <f t="shared" si="2"/>
        <v>7</v>
      </c>
      <c r="I2368" s="15">
        <f t="shared" si="3"/>
        <v>15</v>
      </c>
    </row>
    <row r="2369">
      <c r="A2369" s="8" t="str">
        <f>IFERROR(__xludf.DUMMYFUNCTION("IF('(INGESTA)Datos_consumo_datadis'!A2369&lt;&gt;"""",SPLIT('(INGESTA)Datos_consumo_datadis'!A:A,"",""),"""")"),"ES0031408323131005HX0F")</f>
        <v>ES0031408323131005HX0F</v>
      </c>
      <c r="B2369" s="12">
        <f>IFERROR(__xludf.DUMMYFUNCTION("""COMPUTED_VALUE"""),44964.0)</f>
        <v>44964</v>
      </c>
      <c r="C2369" s="13">
        <f>IFERROR(__xludf.DUMMYFUNCTION("""COMPUTED_VALUE"""),0.6666666666666666)</f>
        <v>0.6666666667</v>
      </c>
      <c r="D2369" s="8">
        <f>IFERROR(__xludf.DUMMYFUNCTION("""COMPUTED_VALUE"""),0.301)</f>
        <v>0.301</v>
      </c>
      <c r="E2369" s="8" t="str">
        <f>IFERROR(__xludf.DUMMYFUNCTION("""COMPUTED_VALUE"""),"Real")</f>
        <v>Real</v>
      </c>
      <c r="G2369" s="8">
        <f t="shared" si="1"/>
        <v>2</v>
      </c>
      <c r="H2369" s="14">
        <f t="shared" si="2"/>
        <v>7</v>
      </c>
      <c r="I2369" s="15">
        <f t="shared" si="3"/>
        <v>16</v>
      </c>
    </row>
    <row r="2370">
      <c r="A2370" s="8" t="str">
        <f>IFERROR(__xludf.DUMMYFUNCTION("IF('(INGESTA)Datos_consumo_datadis'!A2370&lt;&gt;"""",SPLIT('(INGESTA)Datos_consumo_datadis'!A:A,"",""),"""")"),"ES0031408323131005HX0F")</f>
        <v>ES0031408323131005HX0F</v>
      </c>
      <c r="B2370" s="12">
        <f>IFERROR(__xludf.DUMMYFUNCTION("""COMPUTED_VALUE"""),44964.0)</f>
        <v>44964</v>
      </c>
      <c r="C2370" s="13">
        <f>IFERROR(__xludf.DUMMYFUNCTION("""COMPUTED_VALUE"""),0.7083333333333334)</f>
        <v>0.7083333333</v>
      </c>
      <c r="D2370" s="8">
        <f>IFERROR(__xludf.DUMMYFUNCTION("""COMPUTED_VALUE"""),1.161)</f>
        <v>1.161</v>
      </c>
      <c r="E2370" s="8" t="str">
        <f>IFERROR(__xludf.DUMMYFUNCTION("""COMPUTED_VALUE"""),"Real")</f>
        <v>Real</v>
      </c>
      <c r="G2370" s="8">
        <f t="shared" si="1"/>
        <v>2</v>
      </c>
      <c r="H2370" s="14">
        <f t="shared" si="2"/>
        <v>7</v>
      </c>
      <c r="I2370" s="15">
        <f t="shared" si="3"/>
        <v>17</v>
      </c>
    </row>
    <row r="2371">
      <c r="A2371" s="8" t="str">
        <f>IFERROR(__xludf.DUMMYFUNCTION("IF('(INGESTA)Datos_consumo_datadis'!A2371&lt;&gt;"""",SPLIT('(INGESTA)Datos_consumo_datadis'!A:A,"",""),"""")"),"ES0031408323131005HX0F")</f>
        <v>ES0031408323131005HX0F</v>
      </c>
      <c r="B2371" s="12">
        <f>IFERROR(__xludf.DUMMYFUNCTION("""COMPUTED_VALUE"""),44964.0)</f>
        <v>44964</v>
      </c>
      <c r="C2371" s="13">
        <f>IFERROR(__xludf.DUMMYFUNCTION("""COMPUTED_VALUE"""),0.75)</f>
        <v>0.75</v>
      </c>
      <c r="D2371" s="8">
        <f>IFERROR(__xludf.DUMMYFUNCTION("""COMPUTED_VALUE"""),1.313)</f>
        <v>1.313</v>
      </c>
      <c r="E2371" s="8" t="str">
        <f>IFERROR(__xludf.DUMMYFUNCTION("""COMPUTED_VALUE"""),"Real")</f>
        <v>Real</v>
      </c>
      <c r="G2371" s="8">
        <f t="shared" si="1"/>
        <v>2</v>
      </c>
      <c r="H2371" s="14">
        <f t="shared" si="2"/>
        <v>7</v>
      </c>
      <c r="I2371" s="15">
        <f t="shared" si="3"/>
        <v>18</v>
      </c>
    </row>
    <row r="2372">
      <c r="A2372" s="8" t="str">
        <f>IFERROR(__xludf.DUMMYFUNCTION("IF('(INGESTA)Datos_consumo_datadis'!A2372&lt;&gt;"""",SPLIT('(INGESTA)Datos_consumo_datadis'!A:A,"",""),"""")"),"ES0031408323131005HX0F")</f>
        <v>ES0031408323131005HX0F</v>
      </c>
      <c r="B2372" s="12">
        <f>IFERROR(__xludf.DUMMYFUNCTION("""COMPUTED_VALUE"""),44964.0)</f>
        <v>44964</v>
      </c>
      <c r="C2372" s="13">
        <f>IFERROR(__xludf.DUMMYFUNCTION("""COMPUTED_VALUE"""),0.7916666666666666)</f>
        <v>0.7916666667</v>
      </c>
      <c r="D2372" s="8">
        <f>IFERROR(__xludf.DUMMYFUNCTION("""COMPUTED_VALUE"""),1.485)</f>
        <v>1.485</v>
      </c>
      <c r="E2372" s="8" t="str">
        <f>IFERROR(__xludf.DUMMYFUNCTION("""COMPUTED_VALUE"""),"Real")</f>
        <v>Real</v>
      </c>
      <c r="G2372" s="8">
        <f t="shared" si="1"/>
        <v>2</v>
      </c>
      <c r="H2372" s="14">
        <f t="shared" si="2"/>
        <v>7</v>
      </c>
      <c r="I2372" s="15">
        <f t="shared" si="3"/>
        <v>19</v>
      </c>
    </row>
    <row r="2373">
      <c r="A2373" s="8" t="str">
        <f>IFERROR(__xludf.DUMMYFUNCTION("IF('(INGESTA)Datos_consumo_datadis'!A2373&lt;&gt;"""",SPLIT('(INGESTA)Datos_consumo_datadis'!A:A,"",""),"""")"),"ES0031408323131005HX0F")</f>
        <v>ES0031408323131005HX0F</v>
      </c>
      <c r="B2373" s="12">
        <f>IFERROR(__xludf.DUMMYFUNCTION("""COMPUTED_VALUE"""),44964.0)</f>
        <v>44964</v>
      </c>
      <c r="C2373" s="13">
        <f>IFERROR(__xludf.DUMMYFUNCTION("""COMPUTED_VALUE"""),0.8333333333333334)</f>
        <v>0.8333333333</v>
      </c>
      <c r="D2373" s="8">
        <f>IFERROR(__xludf.DUMMYFUNCTION("""COMPUTED_VALUE"""),1.748)</f>
        <v>1.748</v>
      </c>
      <c r="E2373" s="8" t="str">
        <f>IFERROR(__xludf.DUMMYFUNCTION("""COMPUTED_VALUE"""),"Real")</f>
        <v>Real</v>
      </c>
      <c r="G2373" s="8">
        <f t="shared" si="1"/>
        <v>2</v>
      </c>
      <c r="H2373" s="14">
        <f t="shared" si="2"/>
        <v>7</v>
      </c>
      <c r="I2373" s="15">
        <f t="shared" si="3"/>
        <v>20</v>
      </c>
    </row>
    <row r="2374">
      <c r="A2374" s="8" t="str">
        <f>IFERROR(__xludf.DUMMYFUNCTION("IF('(INGESTA)Datos_consumo_datadis'!A2374&lt;&gt;"""",SPLIT('(INGESTA)Datos_consumo_datadis'!A:A,"",""),"""")"),"ES0031408323131005HX0F")</f>
        <v>ES0031408323131005HX0F</v>
      </c>
      <c r="B2374" s="12">
        <f>IFERROR(__xludf.DUMMYFUNCTION("""COMPUTED_VALUE"""),44964.0)</f>
        <v>44964</v>
      </c>
      <c r="C2374" s="13">
        <f>IFERROR(__xludf.DUMMYFUNCTION("""COMPUTED_VALUE"""),0.875)</f>
        <v>0.875</v>
      </c>
      <c r="D2374" s="8">
        <f>IFERROR(__xludf.DUMMYFUNCTION("""COMPUTED_VALUE"""),1.899)</f>
        <v>1.899</v>
      </c>
      <c r="E2374" s="8" t="str">
        <f>IFERROR(__xludf.DUMMYFUNCTION("""COMPUTED_VALUE"""),"Real")</f>
        <v>Real</v>
      </c>
      <c r="G2374" s="8">
        <f t="shared" si="1"/>
        <v>2</v>
      </c>
      <c r="H2374" s="14">
        <f t="shared" si="2"/>
        <v>7</v>
      </c>
      <c r="I2374" s="15">
        <f t="shared" si="3"/>
        <v>21</v>
      </c>
    </row>
    <row r="2375">
      <c r="A2375" s="8" t="str">
        <f>IFERROR(__xludf.DUMMYFUNCTION("IF('(INGESTA)Datos_consumo_datadis'!A2375&lt;&gt;"""",SPLIT('(INGESTA)Datos_consumo_datadis'!A:A,"",""),"""")"),"ES0031408323131005HX0F")</f>
        <v>ES0031408323131005HX0F</v>
      </c>
      <c r="B2375" s="12">
        <f>IFERROR(__xludf.DUMMYFUNCTION("""COMPUTED_VALUE"""),44964.0)</f>
        <v>44964</v>
      </c>
      <c r="C2375" s="13">
        <f>IFERROR(__xludf.DUMMYFUNCTION("""COMPUTED_VALUE"""),0.9166666666666666)</f>
        <v>0.9166666667</v>
      </c>
      <c r="D2375" s="8">
        <f>IFERROR(__xludf.DUMMYFUNCTION("""COMPUTED_VALUE"""),4.08)</f>
        <v>4.08</v>
      </c>
      <c r="E2375" s="8" t="str">
        <f>IFERROR(__xludf.DUMMYFUNCTION("""COMPUTED_VALUE"""),"Real")</f>
        <v>Real</v>
      </c>
      <c r="G2375" s="8">
        <f t="shared" si="1"/>
        <v>2</v>
      </c>
      <c r="H2375" s="14">
        <f t="shared" si="2"/>
        <v>7</v>
      </c>
      <c r="I2375" s="15">
        <f t="shared" si="3"/>
        <v>22</v>
      </c>
    </row>
    <row r="2376">
      <c r="A2376" s="8" t="str">
        <f>IFERROR(__xludf.DUMMYFUNCTION("IF('(INGESTA)Datos_consumo_datadis'!A2376&lt;&gt;"""",SPLIT('(INGESTA)Datos_consumo_datadis'!A:A,"",""),"""")"),"ES0031408323131005HX0F")</f>
        <v>ES0031408323131005HX0F</v>
      </c>
      <c r="B2376" s="12">
        <f>IFERROR(__xludf.DUMMYFUNCTION("""COMPUTED_VALUE"""),44964.0)</f>
        <v>44964</v>
      </c>
      <c r="C2376" s="13">
        <f>IFERROR(__xludf.DUMMYFUNCTION("""COMPUTED_VALUE"""),0.9583333333333334)</f>
        <v>0.9583333333</v>
      </c>
      <c r="D2376" s="8">
        <f>IFERROR(__xludf.DUMMYFUNCTION("""COMPUTED_VALUE"""),1.921)</f>
        <v>1.921</v>
      </c>
      <c r="E2376" s="8" t="str">
        <f>IFERROR(__xludf.DUMMYFUNCTION("""COMPUTED_VALUE"""),"Real")</f>
        <v>Real</v>
      </c>
      <c r="G2376" s="8">
        <f t="shared" si="1"/>
        <v>2</v>
      </c>
      <c r="H2376" s="14">
        <f t="shared" si="2"/>
        <v>7</v>
      </c>
      <c r="I2376" s="15">
        <f t="shared" si="3"/>
        <v>23</v>
      </c>
    </row>
    <row r="2377">
      <c r="A2377" s="8" t="str">
        <f>IFERROR(__xludf.DUMMYFUNCTION("IF('(INGESTA)Datos_consumo_datadis'!A2377&lt;&gt;"""",SPLIT('(INGESTA)Datos_consumo_datadis'!A:A,"",""),"""")"),"ES0031408323131005HX0F")</f>
        <v>ES0031408323131005HX0F</v>
      </c>
      <c r="B2377" s="12">
        <f>IFERROR(__xludf.DUMMYFUNCTION("""COMPUTED_VALUE"""),44964.0)</f>
        <v>44964</v>
      </c>
      <c r="C2377" s="16">
        <f>IFERROR(__xludf.DUMMYFUNCTION("""COMPUTED_VALUE"""),1.0)</f>
        <v>1</v>
      </c>
      <c r="D2377" s="8">
        <f>IFERROR(__xludf.DUMMYFUNCTION("""COMPUTED_VALUE"""),0.837)</f>
        <v>0.837</v>
      </c>
      <c r="E2377" s="8" t="str">
        <f>IFERROR(__xludf.DUMMYFUNCTION("""COMPUTED_VALUE"""),"Real")</f>
        <v>Real</v>
      </c>
      <c r="G2377" s="8">
        <f t="shared" si="1"/>
        <v>2</v>
      </c>
      <c r="H2377" s="14">
        <f t="shared" si="2"/>
        <v>7</v>
      </c>
      <c r="I2377" s="15">
        <f t="shared" si="3"/>
        <v>0</v>
      </c>
    </row>
    <row r="2378">
      <c r="A2378" s="8" t="str">
        <f>IFERROR(__xludf.DUMMYFUNCTION("IF('(INGESTA)Datos_consumo_datadis'!A2378&lt;&gt;"""",SPLIT('(INGESTA)Datos_consumo_datadis'!A:A,"",""),"""")"),"ES0031408323131005HX0F")</f>
        <v>ES0031408323131005HX0F</v>
      </c>
      <c r="B2378" s="12">
        <f>IFERROR(__xludf.DUMMYFUNCTION("""COMPUTED_VALUE"""),44965.0)</f>
        <v>44965</v>
      </c>
      <c r="C2378" s="13">
        <f>IFERROR(__xludf.DUMMYFUNCTION("""COMPUTED_VALUE"""),0.041666666666666664)</f>
        <v>0.04166666667</v>
      </c>
      <c r="D2378" s="8">
        <f>IFERROR(__xludf.DUMMYFUNCTION("""COMPUTED_VALUE"""),0.826)</f>
        <v>0.826</v>
      </c>
      <c r="E2378" s="8" t="str">
        <f>IFERROR(__xludf.DUMMYFUNCTION("""COMPUTED_VALUE"""),"Real")</f>
        <v>Real</v>
      </c>
      <c r="G2378" s="8">
        <f t="shared" si="1"/>
        <v>2</v>
      </c>
      <c r="H2378" s="14">
        <f t="shared" si="2"/>
        <v>8</v>
      </c>
      <c r="I2378" s="15">
        <f t="shared" si="3"/>
        <v>1</v>
      </c>
    </row>
    <row r="2379">
      <c r="A2379" s="8" t="str">
        <f>IFERROR(__xludf.DUMMYFUNCTION("IF('(INGESTA)Datos_consumo_datadis'!A2379&lt;&gt;"""",SPLIT('(INGESTA)Datos_consumo_datadis'!A:A,"",""),"""")"),"ES0031408323131005HX0F")</f>
        <v>ES0031408323131005HX0F</v>
      </c>
      <c r="B2379" s="12">
        <f>IFERROR(__xludf.DUMMYFUNCTION("""COMPUTED_VALUE"""),44965.0)</f>
        <v>44965</v>
      </c>
      <c r="C2379" s="13">
        <f>IFERROR(__xludf.DUMMYFUNCTION("""COMPUTED_VALUE"""),0.08333333333333333)</f>
        <v>0.08333333333</v>
      </c>
      <c r="D2379" s="8">
        <f>IFERROR(__xludf.DUMMYFUNCTION("""COMPUTED_VALUE"""),0.81)</f>
        <v>0.81</v>
      </c>
      <c r="E2379" s="8" t="str">
        <f>IFERROR(__xludf.DUMMYFUNCTION("""COMPUTED_VALUE"""),"Real")</f>
        <v>Real</v>
      </c>
      <c r="G2379" s="8">
        <f t="shared" si="1"/>
        <v>2</v>
      </c>
      <c r="H2379" s="14">
        <f t="shared" si="2"/>
        <v>8</v>
      </c>
      <c r="I2379" s="15">
        <f t="shared" si="3"/>
        <v>2</v>
      </c>
    </row>
    <row r="2380">
      <c r="A2380" s="8" t="str">
        <f>IFERROR(__xludf.DUMMYFUNCTION("IF('(INGESTA)Datos_consumo_datadis'!A2380&lt;&gt;"""",SPLIT('(INGESTA)Datos_consumo_datadis'!A:A,"",""),"""")"),"ES0031408323131005HX0F")</f>
        <v>ES0031408323131005HX0F</v>
      </c>
      <c r="B2380" s="12">
        <f>IFERROR(__xludf.DUMMYFUNCTION("""COMPUTED_VALUE"""),44965.0)</f>
        <v>44965</v>
      </c>
      <c r="C2380" s="13">
        <f>IFERROR(__xludf.DUMMYFUNCTION("""COMPUTED_VALUE"""),0.125)</f>
        <v>0.125</v>
      </c>
      <c r="D2380" s="8">
        <f>IFERROR(__xludf.DUMMYFUNCTION("""COMPUTED_VALUE"""),1.114)</f>
        <v>1.114</v>
      </c>
      <c r="E2380" s="8" t="str">
        <f>IFERROR(__xludf.DUMMYFUNCTION("""COMPUTED_VALUE"""),"Real")</f>
        <v>Real</v>
      </c>
      <c r="G2380" s="8">
        <f t="shared" si="1"/>
        <v>2</v>
      </c>
      <c r="H2380" s="14">
        <f t="shared" si="2"/>
        <v>8</v>
      </c>
      <c r="I2380" s="15">
        <f t="shared" si="3"/>
        <v>3</v>
      </c>
    </row>
    <row r="2381">
      <c r="A2381" s="8" t="str">
        <f>IFERROR(__xludf.DUMMYFUNCTION("IF('(INGESTA)Datos_consumo_datadis'!A2381&lt;&gt;"""",SPLIT('(INGESTA)Datos_consumo_datadis'!A:A,"",""),"""")"),"ES0031408323131005HX0F")</f>
        <v>ES0031408323131005HX0F</v>
      </c>
      <c r="B2381" s="12">
        <f>IFERROR(__xludf.DUMMYFUNCTION("""COMPUTED_VALUE"""),44965.0)</f>
        <v>44965</v>
      </c>
      <c r="C2381" s="13">
        <f>IFERROR(__xludf.DUMMYFUNCTION("""COMPUTED_VALUE"""),0.16666666666666666)</f>
        <v>0.1666666667</v>
      </c>
      <c r="D2381" s="8">
        <f>IFERROR(__xludf.DUMMYFUNCTION("""COMPUTED_VALUE"""),0.79)</f>
        <v>0.79</v>
      </c>
      <c r="E2381" s="8" t="str">
        <f>IFERROR(__xludf.DUMMYFUNCTION("""COMPUTED_VALUE"""),"Real")</f>
        <v>Real</v>
      </c>
      <c r="G2381" s="8">
        <f t="shared" si="1"/>
        <v>2</v>
      </c>
      <c r="H2381" s="14">
        <f t="shared" si="2"/>
        <v>8</v>
      </c>
      <c r="I2381" s="15">
        <f t="shared" si="3"/>
        <v>4</v>
      </c>
    </row>
    <row r="2382">
      <c r="A2382" s="8" t="str">
        <f>IFERROR(__xludf.DUMMYFUNCTION("IF('(INGESTA)Datos_consumo_datadis'!A2382&lt;&gt;"""",SPLIT('(INGESTA)Datos_consumo_datadis'!A:A,"",""),"""")"),"ES0031408323131005HX0F")</f>
        <v>ES0031408323131005HX0F</v>
      </c>
      <c r="B2382" s="12">
        <f>IFERROR(__xludf.DUMMYFUNCTION("""COMPUTED_VALUE"""),44965.0)</f>
        <v>44965</v>
      </c>
      <c r="C2382" s="13">
        <f>IFERROR(__xludf.DUMMYFUNCTION("""COMPUTED_VALUE"""),0.20833333333333334)</f>
        <v>0.2083333333</v>
      </c>
      <c r="D2382" s="8">
        <f>IFERROR(__xludf.DUMMYFUNCTION("""COMPUTED_VALUE"""),0.851)</f>
        <v>0.851</v>
      </c>
      <c r="E2382" s="8" t="str">
        <f>IFERROR(__xludf.DUMMYFUNCTION("""COMPUTED_VALUE"""),"Real")</f>
        <v>Real</v>
      </c>
      <c r="G2382" s="8">
        <f t="shared" si="1"/>
        <v>2</v>
      </c>
      <c r="H2382" s="14">
        <f t="shared" si="2"/>
        <v>8</v>
      </c>
      <c r="I2382" s="15">
        <f t="shared" si="3"/>
        <v>5</v>
      </c>
    </row>
    <row r="2383">
      <c r="A2383" s="8" t="str">
        <f>IFERROR(__xludf.DUMMYFUNCTION("IF('(INGESTA)Datos_consumo_datadis'!A2383&lt;&gt;"""",SPLIT('(INGESTA)Datos_consumo_datadis'!A:A,"",""),"""")"),"ES0031408323131005HX0F")</f>
        <v>ES0031408323131005HX0F</v>
      </c>
      <c r="B2383" s="12">
        <f>IFERROR(__xludf.DUMMYFUNCTION("""COMPUTED_VALUE"""),44965.0)</f>
        <v>44965</v>
      </c>
      <c r="C2383" s="13">
        <f>IFERROR(__xludf.DUMMYFUNCTION("""COMPUTED_VALUE"""),0.25)</f>
        <v>0.25</v>
      </c>
      <c r="D2383" s="8">
        <f>IFERROR(__xludf.DUMMYFUNCTION("""COMPUTED_VALUE"""),0.814)</f>
        <v>0.814</v>
      </c>
      <c r="E2383" s="8" t="str">
        <f>IFERROR(__xludf.DUMMYFUNCTION("""COMPUTED_VALUE"""),"Real")</f>
        <v>Real</v>
      </c>
      <c r="G2383" s="8">
        <f t="shared" si="1"/>
        <v>2</v>
      </c>
      <c r="H2383" s="14">
        <f t="shared" si="2"/>
        <v>8</v>
      </c>
      <c r="I2383" s="15">
        <f t="shared" si="3"/>
        <v>6</v>
      </c>
    </row>
    <row r="2384">
      <c r="A2384" s="8" t="str">
        <f>IFERROR(__xludf.DUMMYFUNCTION("IF('(INGESTA)Datos_consumo_datadis'!A2384&lt;&gt;"""",SPLIT('(INGESTA)Datos_consumo_datadis'!A:A,"",""),"""")"),"ES0031408323131005HX0F")</f>
        <v>ES0031408323131005HX0F</v>
      </c>
      <c r="B2384" s="12">
        <f>IFERROR(__xludf.DUMMYFUNCTION("""COMPUTED_VALUE"""),44965.0)</f>
        <v>44965</v>
      </c>
      <c r="C2384" s="13">
        <f>IFERROR(__xludf.DUMMYFUNCTION("""COMPUTED_VALUE"""),0.2916666666666667)</f>
        <v>0.2916666667</v>
      </c>
      <c r="D2384" s="8">
        <f>IFERROR(__xludf.DUMMYFUNCTION("""COMPUTED_VALUE"""),1.567)</f>
        <v>1.567</v>
      </c>
      <c r="E2384" s="8" t="str">
        <f>IFERROR(__xludf.DUMMYFUNCTION("""COMPUTED_VALUE"""),"Real")</f>
        <v>Real</v>
      </c>
      <c r="G2384" s="8">
        <f t="shared" si="1"/>
        <v>2</v>
      </c>
      <c r="H2384" s="14">
        <f t="shared" si="2"/>
        <v>8</v>
      </c>
      <c r="I2384" s="15">
        <f t="shared" si="3"/>
        <v>7</v>
      </c>
    </row>
    <row r="2385">
      <c r="A2385" s="8" t="str">
        <f>IFERROR(__xludf.DUMMYFUNCTION("IF('(INGESTA)Datos_consumo_datadis'!A2385&lt;&gt;"""",SPLIT('(INGESTA)Datos_consumo_datadis'!A:A,"",""),"""")"),"ES0031408323131005HX0F")</f>
        <v>ES0031408323131005HX0F</v>
      </c>
      <c r="B2385" s="12">
        <f>IFERROR(__xludf.DUMMYFUNCTION("""COMPUTED_VALUE"""),44965.0)</f>
        <v>44965</v>
      </c>
      <c r="C2385" s="13">
        <f>IFERROR(__xludf.DUMMYFUNCTION("""COMPUTED_VALUE"""),0.3333333333333333)</f>
        <v>0.3333333333</v>
      </c>
      <c r="D2385" s="8">
        <f>IFERROR(__xludf.DUMMYFUNCTION("""COMPUTED_VALUE"""),2.08)</f>
        <v>2.08</v>
      </c>
      <c r="E2385" s="8" t="str">
        <f>IFERROR(__xludf.DUMMYFUNCTION("""COMPUTED_VALUE"""),"Real")</f>
        <v>Real</v>
      </c>
      <c r="G2385" s="8">
        <f t="shared" si="1"/>
        <v>2</v>
      </c>
      <c r="H2385" s="14">
        <f t="shared" si="2"/>
        <v>8</v>
      </c>
      <c r="I2385" s="15">
        <f t="shared" si="3"/>
        <v>8</v>
      </c>
    </row>
    <row r="2386">
      <c r="A2386" s="8" t="str">
        <f>IFERROR(__xludf.DUMMYFUNCTION("IF('(INGESTA)Datos_consumo_datadis'!A2386&lt;&gt;"""",SPLIT('(INGESTA)Datos_consumo_datadis'!A:A,"",""),"""")"),"ES0031408323131005HX0F")</f>
        <v>ES0031408323131005HX0F</v>
      </c>
      <c r="B2386" s="12">
        <f>IFERROR(__xludf.DUMMYFUNCTION("""COMPUTED_VALUE"""),44965.0)</f>
        <v>44965</v>
      </c>
      <c r="C2386" s="13">
        <f>IFERROR(__xludf.DUMMYFUNCTION("""COMPUTED_VALUE"""),0.375)</f>
        <v>0.375</v>
      </c>
      <c r="D2386" s="8">
        <f>IFERROR(__xludf.DUMMYFUNCTION("""COMPUTED_VALUE"""),1.113)</f>
        <v>1.113</v>
      </c>
      <c r="E2386" s="8" t="str">
        <f>IFERROR(__xludf.DUMMYFUNCTION("""COMPUTED_VALUE"""),"Real")</f>
        <v>Real</v>
      </c>
      <c r="G2386" s="8">
        <f t="shared" si="1"/>
        <v>2</v>
      </c>
      <c r="H2386" s="14">
        <f t="shared" si="2"/>
        <v>8</v>
      </c>
      <c r="I2386" s="15">
        <f t="shared" si="3"/>
        <v>9</v>
      </c>
    </row>
    <row r="2387">
      <c r="A2387" s="8" t="str">
        <f>IFERROR(__xludf.DUMMYFUNCTION("IF('(INGESTA)Datos_consumo_datadis'!A2387&lt;&gt;"""",SPLIT('(INGESTA)Datos_consumo_datadis'!A:A,"",""),"""")"),"ES0031408323131005HX0F")</f>
        <v>ES0031408323131005HX0F</v>
      </c>
      <c r="B2387" s="12">
        <f>IFERROR(__xludf.DUMMYFUNCTION("""COMPUTED_VALUE"""),44965.0)</f>
        <v>44965</v>
      </c>
      <c r="C2387" s="13">
        <f>IFERROR(__xludf.DUMMYFUNCTION("""COMPUTED_VALUE"""),0.4166666666666667)</f>
        <v>0.4166666667</v>
      </c>
      <c r="D2387" s="8">
        <f>IFERROR(__xludf.DUMMYFUNCTION("""COMPUTED_VALUE"""),1.229)</f>
        <v>1.229</v>
      </c>
      <c r="E2387" s="8" t="str">
        <f>IFERROR(__xludf.DUMMYFUNCTION("""COMPUTED_VALUE"""),"Real")</f>
        <v>Real</v>
      </c>
      <c r="G2387" s="8">
        <f t="shared" si="1"/>
        <v>2</v>
      </c>
      <c r="H2387" s="14">
        <f t="shared" si="2"/>
        <v>8</v>
      </c>
      <c r="I2387" s="15">
        <f t="shared" si="3"/>
        <v>10</v>
      </c>
    </row>
    <row r="2388">
      <c r="A2388" s="8" t="str">
        <f>IFERROR(__xludf.DUMMYFUNCTION("IF('(INGESTA)Datos_consumo_datadis'!A2388&lt;&gt;"""",SPLIT('(INGESTA)Datos_consumo_datadis'!A:A,"",""),"""")"),"ES0031408323131005HX0F")</f>
        <v>ES0031408323131005HX0F</v>
      </c>
      <c r="B2388" s="12">
        <f>IFERROR(__xludf.DUMMYFUNCTION("""COMPUTED_VALUE"""),44965.0)</f>
        <v>44965</v>
      </c>
      <c r="C2388" s="13">
        <f>IFERROR(__xludf.DUMMYFUNCTION("""COMPUTED_VALUE"""),0.4583333333333333)</f>
        <v>0.4583333333</v>
      </c>
      <c r="D2388" s="8">
        <f>IFERROR(__xludf.DUMMYFUNCTION("""COMPUTED_VALUE"""),1.343)</f>
        <v>1.343</v>
      </c>
      <c r="E2388" s="8" t="str">
        <f>IFERROR(__xludf.DUMMYFUNCTION("""COMPUTED_VALUE"""),"Real")</f>
        <v>Real</v>
      </c>
      <c r="G2388" s="8">
        <f t="shared" si="1"/>
        <v>2</v>
      </c>
      <c r="H2388" s="14">
        <f t="shared" si="2"/>
        <v>8</v>
      </c>
      <c r="I2388" s="15">
        <f t="shared" si="3"/>
        <v>11</v>
      </c>
    </row>
    <row r="2389">
      <c r="A2389" s="8" t="str">
        <f>IFERROR(__xludf.DUMMYFUNCTION("IF('(INGESTA)Datos_consumo_datadis'!A2389&lt;&gt;"""",SPLIT('(INGESTA)Datos_consumo_datadis'!A:A,"",""),"""")"),"ES0031408323131005HX0F")</f>
        <v>ES0031408323131005HX0F</v>
      </c>
      <c r="B2389" s="12">
        <f>IFERROR(__xludf.DUMMYFUNCTION("""COMPUTED_VALUE"""),44965.0)</f>
        <v>44965</v>
      </c>
      <c r="C2389" s="13">
        <f>IFERROR(__xludf.DUMMYFUNCTION("""COMPUTED_VALUE"""),0.5)</f>
        <v>0.5</v>
      </c>
      <c r="D2389" s="8">
        <f>IFERROR(__xludf.DUMMYFUNCTION("""COMPUTED_VALUE"""),0.413)</f>
        <v>0.413</v>
      </c>
      <c r="E2389" s="8" t="str">
        <f>IFERROR(__xludf.DUMMYFUNCTION("""COMPUTED_VALUE"""),"Real")</f>
        <v>Real</v>
      </c>
      <c r="G2389" s="8">
        <f t="shared" si="1"/>
        <v>2</v>
      </c>
      <c r="H2389" s="14">
        <f t="shared" si="2"/>
        <v>8</v>
      </c>
      <c r="I2389" s="15">
        <f t="shared" si="3"/>
        <v>12</v>
      </c>
    </row>
    <row r="2390">
      <c r="A2390" s="8" t="str">
        <f>IFERROR(__xludf.DUMMYFUNCTION("IF('(INGESTA)Datos_consumo_datadis'!A2390&lt;&gt;"""",SPLIT('(INGESTA)Datos_consumo_datadis'!A:A,"",""),"""")"),"ES0031408323131005HX0F")</f>
        <v>ES0031408323131005HX0F</v>
      </c>
      <c r="B2390" s="12">
        <f>IFERROR(__xludf.DUMMYFUNCTION("""COMPUTED_VALUE"""),44965.0)</f>
        <v>44965</v>
      </c>
      <c r="C2390" s="13">
        <f>IFERROR(__xludf.DUMMYFUNCTION("""COMPUTED_VALUE"""),0.5416666666666666)</f>
        <v>0.5416666667</v>
      </c>
      <c r="D2390" s="8">
        <f>IFERROR(__xludf.DUMMYFUNCTION("""COMPUTED_VALUE"""),0.39)</f>
        <v>0.39</v>
      </c>
      <c r="E2390" s="8" t="str">
        <f>IFERROR(__xludf.DUMMYFUNCTION("""COMPUTED_VALUE"""),"Real")</f>
        <v>Real</v>
      </c>
      <c r="G2390" s="8">
        <f t="shared" si="1"/>
        <v>2</v>
      </c>
      <c r="H2390" s="14">
        <f t="shared" si="2"/>
        <v>8</v>
      </c>
      <c r="I2390" s="15">
        <f t="shared" si="3"/>
        <v>13</v>
      </c>
    </row>
    <row r="2391">
      <c r="A2391" s="8" t="str">
        <f>IFERROR(__xludf.DUMMYFUNCTION("IF('(INGESTA)Datos_consumo_datadis'!A2391&lt;&gt;"""",SPLIT('(INGESTA)Datos_consumo_datadis'!A:A,"",""),"""")"),"ES0031408323131005HX0F")</f>
        <v>ES0031408323131005HX0F</v>
      </c>
      <c r="B2391" s="12">
        <f>IFERROR(__xludf.DUMMYFUNCTION("""COMPUTED_VALUE"""),44965.0)</f>
        <v>44965</v>
      </c>
      <c r="C2391" s="13">
        <f>IFERROR(__xludf.DUMMYFUNCTION("""COMPUTED_VALUE"""),0.5833333333333334)</f>
        <v>0.5833333333</v>
      </c>
      <c r="D2391" s="8">
        <f>IFERROR(__xludf.DUMMYFUNCTION("""COMPUTED_VALUE"""),2.049)</f>
        <v>2.049</v>
      </c>
      <c r="E2391" s="8" t="str">
        <f>IFERROR(__xludf.DUMMYFUNCTION("""COMPUTED_VALUE"""),"Real")</f>
        <v>Real</v>
      </c>
      <c r="G2391" s="8">
        <f t="shared" si="1"/>
        <v>2</v>
      </c>
      <c r="H2391" s="14">
        <f t="shared" si="2"/>
        <v>8</v>
      </c>
      <c r="I2391" s="15">
        <f t="shared" si="3"/>
        <v>14</v>
      </c>
    </row>
    <row r="2392">
      <c r="A2392" s="8" t="str">
        <f>IFERROR(__xludf.DUMMYFUNCTION("IF('(INGESTA)Datos_consumo_datadis'!A2392&lt;&gt;"""",SPLIT('(INGESTA)Datos_consumo_datadis'!A:A,"",""),"""")"),"ES0031408323131005HX0F")</f>
        <v>ES0031408323131005HX0F</v>
      </c>
      <c r="B2392" s="12">
        <f>IFERROR(__xludf.DUMMYFUNCTION("""COMPUTED_VALUE"""),44965.0)</f>
        <v>44965</v>
      </c>
      <c r="C2392" s="13">
        <f>IFERROR(__xludf.DUMMYFUNCTION("""COMPUTED_VALUE"""),0.625)</f>
        <v>0.625</v>
      </c>
      <c r="D2392" s="8">
        <f>IFERROR(__xludf.DUMMYFUNCTION("""COMPUTED_VALUE"""),1.114)</f>
        <v>1.114</v>
      </c>
      <c r="E2392" s="8" t="str">
        <f>IFERROR(__xludf.DUMMYFUNCTION("""COMPUTED_VALUE"""),"Real")</f>
        <v>Real</v>
      </c>
      <c r="G2392" s="8">
        <f t="shared" si="1"/>
        <v>2</v>
      </c>
      <c r="H2392" s="14">
        <f t="shared" si="2"/>
        <v>8</v>
      </c>
      <c r="I2392" s="15">
        <f t="shared" si="3"/>
        <v>15</v>
      </c>
    </row>
    <row r="2393">
      <c r="A2393" s="8" t="str">
        <f>IFERROR(__xludf.DUMMYFUNCTION("IF('(INGESTA)Datos_consumo_datadis'!A2393&lt;&gt;"""",SPLIT('(INGESTA)Datos_consumo_datadis'!A:A,"",""),"""")"),"ES0031408323131005HX0F")</f>
        <v>ES0031408323131005HX0F</v>
      </c>
      <c r="B2393" s="12">
        <f>IFERROR(__xludf.DUMMYFUNCTION("""COMPUTED_VALUE"""),44965.0)</f>
        <v>44965</v>
      </c>
      <c r="C2393" s="13">
        <f>IFERROR(__xludf.DUMMYFUNCTION("""COMPUTED_VALUE"""),0.6666666666666666)</f>
        <v>0.6666666667</v>
      </c>
      <c r="D2393" s="8">
        <f>IFERROR(__xludf.DUMMYFUNCTION("""COMPUTED_VALUE"""),0.048)</f>
        <v>0.048</v>
      </c>
      <c r="E2393" s="8" t="str">
        <f>IFERROR(__xludf.DUMMYFUNCTION("""COMPUTED_VALUE"""),"Real")</f>
        <v>Real</v>
      </c>
      <c r="G2393" s="8">
        <f t="shared" si="1"/>
        <v>2</v>
      </c>
      <c r="H2393" s="14">
        <f t="shared" si="2"/>
        <v>8</v>
      </c>
      <c r="I2393" s="15">
        <f t="shared" si="3"/>
        <v>16</v>
      </c>
    </row>
    <row r="2394">
      <c r="A2394" s="8" t="str">
        <f>IFERROR(__xludf.DUMMYFUNCTION("IF('(INGESTA)Datos_consumo_datadis'!A2394&lt;&gt;"""",SPLIT('(INGESTA)Datos_consumo_datadis'!A:A,"",""),"""")"),"ES0031408323131005HX0F")</f>
        <v>ES0031408323131005HX0F</v>
      </c>
      <c r="B2394" s="12">
        <f>IFERROR(__xludf.DUMMYFUNCTION("""COMPUTED_VALUE"""),44965.0)</f>
        <v>44965</v>
      </c>
      <c r="C2394" s="13">
        <f>IFERROR(__xludf.DUMMYFUNCTION("""COMPUTED_VALUE"""),0.7083333333333334)</f>
        <v>0.7083333333</v>
      </c>
      <c r="D2394" s="8">
        <f>IFERROR(__xludf.DUMMYFUNCTION("""COMPUTED_VALUE"""),0.059)</f>
        <v>0.059</v>
      </c>
      <c r="E2394" s="8" t="str">
        <f>IFERROR(__xludf.DUMMYFUNCTION("""COMPUTED_VALUE"""),"Real")</f>
        <v>Real</v>
      </c>
      <c r="G2394" s="8">
        <f t="shared" si="1"/>
        <v>2</v>
      </c>
      <c r="H2394" s="14">
        <f t="shared" si="2"/>
        <v>8</v>
      </c>
      <c r="I2394" s="15">
        <f t="shared" si="3"/>
        <v>17</v>
      </c>
    </row>
    <row r="2395">
      <c r="A2395" s="8" t="str">
        <f>IFERROR(__xludf.DUMMYFUNCTION("IF('(INGESTA)Datos_consumo_datadis'!A2395&lt;&gt;"""",SPLIT('(INGESTA)Datos_consumo_datadis'!A:A,"",""),"""")"),"ES0031408323131005HX0F")</f>
        <v>ES0031408323131005HX0F</v>
      </c>
      <c r="B2395" s="12">
        <f>IFERROR(__xludf.DUMMYFUNCTION("""COMPUTED_VALUE"""),44965.0)</f>
        <v>44965</v>
      </c>
      <c r="C2395" s="13">
        <f>IFERROR(__xludf.DUMMYFUNCTION("""COMPUTED_VALUE"""),0.75)</f>
        <v>0.75</v>
      </c>
      <c r="D2395" s="8">
        <f>IFERROR(__xludf.DUMMYFUNCTION("""COMPUTED_VALUE"""),0.059)</f>
        <v>0.059</v>
      </c>
      <c r="E2395" s="8" t="str">
        <f>IFERROR(__xludf.DUMMYFUNCTION("""COMPUTED_VALUE"""),"Real")</f>
        <v>Real</v>
      </c>
      <c r="G2395" s="8">
        <f t="shared" si="1"/>
        <v>2</v>
      </c>
      <c r="H2395" s="14">
        <f t="shared" si="2"/>
        <v>8</v>
      </c>
      <c r="I2395" s="15">
        <f t="shared" si="3"/>
        <v>18</v>
      </c>
    </row>
    <row r="2396">
      <c r="A2396" s="8" t="str">
        <f>IFERROR(__xludf.DUMMYFUNCTION("IF('(INGESTA)Datos_consumo_datadis'!A2396&lt;&gt;"""",SPLIT('(INGESTA)Datos_consumo_datadis'!A:A,"",""),"""")"),"ES0031408323131005HX0F")</f>
        <v>ES0031408323131005HX0F</v>
      </c>
      <c r="B2396" s="12">
        <f>IFERROR(__xludf.DUMMYFUNCTION("""COMPUTED_VALUE"""),44965.0)</f>
        <v>44965</v>
      </c>
      <c r="C2396" s="13">
        <f>IFERROR(__xludf.DUMMYFUNCTION("""COMPUTED_VALUE"""),0.7916666666666666)</f>
        <v>0.7916666667</v>
      </c>
      <c r="D2396" s="8">
        <f>IFERROR(__xludf.DUMMYFUNCTION("""COMPUTED_VALUE"""),0.017)</f>
        <v>0.017</v>
      </c>
      <c r="E2396" s="8" t="str">
        <f>IFERROR(__xludf.DUMMYFUNCTION("""COMPUTED_VALUE"""),"Real")</f>
        <v>Real</v>
      </c>
      <c r="G2396" s="8">
        <f t="shared" si="1"/>
        <v>2</v>
      </c>
      <c r="H2396" s="14">
        <f t="shared" si="2"/>
        <v>8</v>
      </c>
      <c r="I2396" s="15">
        <f t="shared" si="3"/>
        <v>19</v>
      </c>
    </row>
    <row r="2397">
      <c r="A2397" s="8" t="str">
        <f>IFERROR(__xludf.DUMMYFUNCTION("IF('(INGESTA)Datos_consumo_datadis'!A2397&lt;&gt;"""",SPLIT('(INGESTA)Datos_consumo_datadis'!A:A,"",""),"""")"),"ES0031408323131005HX0F")</f>
        <v>ES0031408323131005HX0F</v>
      </c>
      <c r="B2397" s="12">
        <f>IFERROR(__xludf.DUMMYFUNCTION("""COMPUTED_VALUE"""),44965.0)</f>
        <v>44965</v>
      </c>
      <c r="C2397" s="13">
        <f>IFERROR(__xludf.DUMMYFUNCTION("""COMPUTED_VALUE"""),0.8333333333333334)</f>
        <v>0.8333333333</v>
      </c>
      <c r="D2397" s="8">
        <f>IFERROR(__xludf.DUMMYFUNCTION("""COMPUTED_VALUE"""),0.381)</f>
        <v>0.381</v>
      </c>
      <c r="E2397" s="8" t="str">
        <f>IFERROR(__xludf.DUMMYFUNCTION("""COMPUTED_VALUE"""),"Real")</f>
        <v>Real</v>
      </c>
      <c r="G2397" s="8">
        <f t="shared" si="1"/>
        <v>2</v>
      </c>
      <c r="H2397" s="14">
        <f t="shared" si="2"/>
        <v>8</v>
      </c>
      <c r="I2397" s="15">
        <f t="shared" si="3"/>
        <v>20</v>
      </c>
    </row>
    <row r="2398">
      <c r="A2398" s="8" t="str">
        <f>IFERROR(__xludf.DUMMYFUNCTION("IF('(INGESTA)Datos_consumo_datadis'!A2398&lt;&gt;"""",SPLIT('(INGESTA)Datos_consumo_datadis'!A:A,"",""),"""")"),"ES0031408323131005HX0F")</f>
        <v>ES0031408323131005HX0F</v>
      </c>
      <c r="B2398" s="12">
        <f>IFERROR(__xludf.DUMMYFUNCTION("""COMPUTED_VALUE"""),44965.0)</f>
        <v>44965</v>
      </c>
      <c r="C2398" s="13">
        <f>IFERROR(__xludf.DUMMYFUNCTION("""COMPUTED_VALUE"""),0.875)</f>
        <v>0.875</v>
      </c>
      <c r="D2398" s="8">
        <f>IFERROR(__xludf.DUMMYFUNCTION("""COMPUTED_VALUE"""),2.428)</f>
        <v>2.428</v>
      </c>
      <c r="E2398" s="8" t="str">
        <f>IFERROR(__xludf.DUMMYFUNCTION("""COMPUTED_VALUE"""),"Real")</f>
        <v>Real</v>
      </c>
      <c r="G2398" s="8">
        <f t="shared" si="1"/>
        <v>2</v>
      </c>
      <c r="H2398" s="14">
        <f t="shared" si="2"/>
        <v>8</v>
      </c>
      <c r="I2398" s="15">
        <f t="shared" si="3"/>
        <v>21</v>
      </c>
    </row>
    <row r="2399">
      <c r="A2399" s="8" t="str">
        <f>IFERROR(__xludf.DUMMYFUNCTION("IF('(INGESTA)Datos_consumo_datadis'!A2399&lt;&gt;"""",SPLIT('(INGESTA)Datos_consumo_datadis'!A:A,"",""),"""")"),"ES0031408323131005HX0F")</f>
        <v>ES0031408323131005HX0F</v>
      </c>
      <c r="B2399" s="12">
        <f>IFERROR(__xludf.DUMMYFUNCTION("""COMPUTED_VALUE"""),44965.0)</f>
        <v>44965</v>
      </c>
      <c r="C2399" s="13">
        <f>IFERROR(__xludf.DUMMYFUNCTION("""COMPUTED_VALUE"""),0.9166666666666666)</f>
        <v>0.9166666667</v>
      </c>
      <c r="D2399" s="8">
        <f>IFERROR(__xludf.DUMMYFUNCTION("""COMPUTED_VALUE"""),2.416)</f>
        <v>2.416</v>
      </c>
      <c r="E2399" s="8" t="str">
        <f>IFERROR(__xludf.DUMMYFUNCTION("""COMPUTED_VALUE"""),"Real")</f>
        <v>Real</v>
      </c>
      <c r="G2399" s="8">
        <f t="shared" si="1"/>
        <v>2</v>
      </c>
      <c r="H2399" s="14">
        <f t="shared" si="2"/>
        <v>8</v>
      </c>
      <c r="I2399" s="15">
        <f t="shared" si="3"/>
        <v>22</v>
      </c>
    </row>
    <row r="2400">
      <c r="A2400" s="8" t="str">
        <f>IFERROR(__xludf.DUMMYFUNCTION("IF('(INGESTA)Datos_consumo_datadis'!A2400&lt;&gt;"""",SPLIT('(INGESTA)Datos_consumo_datadis'!A:A,"",""),"""")"),"ES0031408323131005HX0F")</f>
        <v>ES0031408323131005HX0F</v>
      </c>
      <c r="B2400" s="12">
        <f>IFERROR(__xludf.DUMMYFUNCTION("""COMPUTED_VALUE"""),44965.0)</f>
        <v>44965</v>
      </c>
      <c r="C2400" s="13">
        <f>IFERROR(__xludf.DUMMYFUNCTION("""COMPUTED_VALUE"""),0.9583333333333334)</f>
        <v>0.9583333333</v>
      </c>
      <c r="D2400" s="8">
        <f>IFERROR(__xludf.DUMMYFUNCTION("""COMPUTED_VALUE"""),1.911)</f>
        <v>1.911</v>
      </c>
      <c r="E2400" s="8" t="str">
        <f>IFERROR(__xludf.DUMMYFUNCTION("""COMPUTED_VALUE"""),"Real")</f>
        <v>Real</v>
      </c>
      <c r="G2400" s="8">
        <f t="shared" si="1"/>
        <v>2</v>
      </c>
      <c r="H2400" s="14">
        <f t="shared" si="2"/>
        <v>8</v>
      </c>
      <c r="I2400" s="15">
        <f t="shared" si="3"/>
        <v>23</v>
      </c>
    </row>
    <row r="2401">
      <c r="A2401" s="8" t="str">
        <f>IFERROR(__xludf.DUMMYFUNCTION("IF('(INGESTA)Datos_consumo_datadis'!A2401&lt;&gt;"""",SPLIT('(INGESTA)Datos_consumo_datadis'!A:A,"",""),"""")"),"ES0031408323131005HX0F")</f>
        <v>ES0031408323131005HX0F</v>
      </c>
      <c r="B2401" s="12">
        <f>IFERROR(__xludf.DUMMYFUNCTION("""COMPUTED_VALUE"""),44965.0)</f>
        <v>44965</v>
      </c>
      <c r="C2401" s="16">
        <f>IFERROR(__xludf.DUMMYFUNCTION("""COMPUTED_VALUE"""),1.0)</f>
        <v>1</v>
      </c>
      <c r="D2401" s="8">
        <f>IFERROR(__xludf.DUMMYFUNCTION("""COMPUTED_VALUE"""),1.183)</f>
        <v>1.183</v>
      </c>
      <c r="E2401" s="8" t="str">
        <f>IFERROR(__xludf.DUMMYFUNCTION("""COMPUTED_VALUE"""),"Real")</f>
        <v>Real</v>
      </c>
      <c r="G2401" s="8">
        <f t="shared" si="1"/>
        <v>2</v>
      </c>
      <c r="H2401" s="14">
        <f t="shared" si="2"/>
        <v>8</v>
      </c>
      <c r="I2401" s="15">
        <f t="shared" si="3"/>
        <v>0</v>
      </c>
    </row>
    <row r="2402">
      <c r="A2402" s="8" t="str">
        <f>IFERROR(__xludf.DUMMYFUNCTION("IF('(INGESTA)Datos_consumo_datadis'!A2402&lt;&gt;"""",SPLIT('(INGESTA)Datos_consumo_datadis'!A:A,"",""),"""")"),"ES0031408323131005HX0F")</f>
        <v>ES0031408323131005HX0F</v>
      </c>
      <c r="B2402" s="12">
        <f>IFERROR(__xludf.DUMMYFUNCTION("""COMPUTED_VALUE"""),44966.0)</f>
        <v>44966</v>
      </c>
      <c r="C2402" s="13">
        <f>IFERROR(__xludf.DUMMYFUNCTION("""COMPUTED_VALUE"""),0.041666666666666664)</f>
        <v>0.04166666667</v>
      </c>
      <c r="D2402" s="8">
        <f>IFERROR(__xludf.DUMMYFUNCTION("""COMPUTED_VALUE"""),1.014)</f>
        <v>1.014</v>
      </c>
      <c r="E2402" s="8" t="str">
        <f>IFERROR(__xludf.DUMMYFUNCTION("""COMPUTED_VALUE"""),"Real")</f>
        <v>Real</v>
      </c>
      <c r="G2402" s="8">
        <f t="shared" si="1"/>
        <v>2</v>
      </c>
      <c r="H2402" s="14">
        <f t="shared" si="2"/>
        <v>9</v>
      </c>
      <c r="I2402" s="15">
        <f t="shared" si="3"/>
        <v>1</v>
      </c>
    </row>
    <row r="2403">
      <c r="A2403" s="8" t="str">
        <f>IFERROR(__xludf.DUMMYFUNCTION("IF('(INGESTA)Datos_consumo_datadis'!A2403&lt;&gt;"""",SPLIT('(INGESTA)Datos_consumo_datadis'!A:A,"",""),"""")"),"ES0031408323131005HX0F")</f>
        <v>ES0031408323131005HX0F</v>
      </c>
      <c r="B2403" s="12">
        <f>IFERROR(__xludf.DUMMYFUNCTION("""COMPUTED_VALUE"""),44966.0)</f>
        <v>44966</v>
      </c>
      <c r="C2403" s="13">
        <f>IFERROR(__xludf.DUMMYFUNCTION("""COMPUTED_VALUE"""),0.08333333333333333)</f>
        <v>0.08333333333</v>
      </c>
      <c r="D2403" s="8">
        <f>IFERROR(__xludf.DUMMYFUNCTION("""COMPUTED_VALUE"""),1.484)</f>
        <v>1.484</v>
      </c>
      <c r="E2403" s="8" t="str">
        <f>IFERROR(__xludf.DUMMYFUNCTION("""COMPUTED_VALUE"""),"Real")</f>
        <v>Real</v>
      </c>
      <c r="G2403" s="8">
        <f t="shared" si="1"/>
        <v>2</v>
      </c>
      <c r="H2403" s="14">
        <f t="shared" si="2"/>
        <v>9</v>
      </c>
      <c r="I2403" s="15">
        <f t="shared" si="3"/>
        <v>2</v>
      </c>
    </row>
    <row r="2404">
      <c r="A2404" s="8" t="str">
        <f>IFERROR(__xludf.DUMMYFUNCTION("IF('(INGESTA)Datos_consumo_datadis'!A2404&lt;&gt;"""",SPLIT('(INGESTA)Datos_consumo_datadis'!A:A,"",""),"""")"),"ES0031408323131005HX0F")</f>
        <v>ES0031408323131005HX0F</v>
      </c>
      <c r="B2404" s="12">
        <f>IFERROR(__xludf.DUMMYFUNCTION("""COMPUTED_VALUE"""),44966.0)</f>
        <v>44966</v>
      </c>
      <c r="C2404" s="13">
        <f>IFERROR(__xludf.DUMMYFUNCTION("""COMPUTED_VALUE"""),0.125)</f>
        <v>0.125</v>
      </c>
      <c r="D2404" s="8">
        <f>IFERROR(__xludf.DUMMYFUNCTION("""COMPUTED_VALUE"""),0.851)</f>
        <v>0.851</v>
      </c>
      <c r="E2404" s="8" t="str">
        <f>IFERROR(__xludf.DUMMYFUNCTION("""COMPUTED_VALUE"""),"Real")</f>
        <v>Real</v>
      </c>
      <c r="G2404" s="8">
        <f t="shared" si="1"/>
        <v>2</v>
      </c>
      <c r="H2404" s="14">
        <f t="shared" si="2"/>
        <v>9</v>
      </c>
      <c r="I2404" s="15">
        <f t="shared" si="3"/>
        <v>3</v>
      </c>
    </row>
    <row r="2405">
      <c r="A2405" s="8" t="str">
        <f>IFERROR(__xludf.DUMMYFUNCTION("IF('(INGESTA)Datos_consumo_datadis'!A2405&lt;&gt;"""",SPLIT('(INGESTA)Datos_consumo_datadis'!A:A,"",""),"""")"),"ES0031408323131005HX0F")</f>
        <v>ES0031408323131005HX0F</v>
      </c>
      <c r="B2405" s="12">
        <f>IFERROR(__xludf.DUMMYFUNCTION("""COMPUTED_VALUE"""),44966.0)</f>
        <v>44966</v>
      </c>
      <c r="C2405" s="13">
        <f>IFERROR(__xludf.DUMMYFUNCTION("""COMPUTED_VALUE"""),0.16666666666666666)</f>
        <v>0.1666666667</v>
      </c>
      <c r="D2405" s="8">
        <f>IFERROR(__xludf.DUMMYFUNCTION("""COMPUTED_VALUE"""),0.803)</f>
        <v>0.803</v>
      </c>
      <c r="E2405" s="8" t="str">
        <f>IFERROR(__xludf.DUMMYFUNCTION("""COMPUTED_VALUE"""),"Real")</f>
        <v>Real</v>
      </c>
      <c r="G2405" s="8">
        <f t="shared" si="1"/>
        <v>2</v>
      </c>
      <c r="H2405" s="14">
        <f t="shared" si="2"/>
        <v>9</v>
      </c>
      <c r="I2405" s="15">
        <f t="shared" si="3"/>
        <v>4</v>
      </c>
    </row>
    <row r="2406">
      <c r="A2406" s="8" t="str">
        <f>IFERROR(__xludf.DUMMYFUNCTION("IF('(INGESTA)Datos_consumo_datadis'!A2406&lt;&gt;"""",SPLIT('(INGESTA)Datos_consumo_datadis'!A:A,"",""),"""")"),"ES0031408323131005HX0F")</f>
        <v>ES0031408323131005HX0F</v>
      </c>
      <c r="B2406" s="12">
        <f>IFERROR(__xludf.DUMMYFUNCTION("""COMPUTED_VALUE"""),44966.0)</f>
        <v>44966</v>
      </c>
      <c r="C2406" s="13">
        <f>IFERROR(__xludf.DUMMYFUNCTION("""COMPUTED_VALUE"""),0.20833333333333334)</f>
        <v>0.2083333333</v>
      </c>
      <c r="D2406" s="8">
        <f>IFERROR(__xludf.DUMMYFUNCTION("""COMPUTED_VALUE"""),0.813)</f>
        <v>0.813</v>
      </c>
      <c r="E2406" s="8" t="str">
        <f>IFERROR(__xludf.DUMMYFUNCTION("""COMPUTED_VALUE"""),"Real")</f>
        <v>Real</v>
      </c>
      <c r="G2406" s="8">
        <f t="shared" si="1"/>
        <v>2</v>
      </c>
      <c r="H2406" s="14">
        <f t="shared" si="2"/>
        <v>9</v>
      </c>
      <c r="I2406" s="15">
        <f t="shared" si="3"/>
        <v>5</v>
      </c>
    </row>
    <row r="2407">
      <c r="A2407" s="8" t="str">
        <f>IFERROR(__xludf.DUMMYFUNCTION("IF('(INGESTA)Datos_consumo_datadis'!A2407&lt;&gt;"""",SPLIT('(INGESTA)Datos_consumo_datadis'!A:A,"",""),"""")"),"ES0031408323131005HX0F")</f>
        <v>ES0031408323131005HX0F</v>
      </c>
      <c r="B2407" s="12">
        <f>IFERROR(__xludf.DUMMYFUNCTION("""COMPUTED_VALUE"""),44966.0)</f>
        <v>44966</v>
      </c>
      <c r="C2407" s="13">
        <f>IFERROR(__xludf.DUMMYFUNCTION("""COMPUTED_VALUE"""),0.25)</f>
        <v>0.25</v>
      </c>
      <c r="D2407" s="8">
        <f>IFERROR(__xludf.DUMMYFUNCTION("""COMPUTED_VALUE"""),1.231)</f>
        <v>1.231</v>
      </c>
      <c r="E2407" s="8" t="str">
        <f>IFERROR(__xludf.DUMMYFUNCTION("""COMPUTED_VALUE"""),"Real")</f>
        <v>Real</v>
      </c>
      <c r="G2407" s="8">
        <f t="shared" si="1"/>
        <v>2</v>
      </c>
      <c r="H2407" s="14">
        <f t="shared" si="2"/>
        <v>9</v>
      </c>
      <c r="I2407" s="15">
        <f t="shared" si="3"/>
        <v>6</v>
      </c>
    </row>
    <row r="2408">
      <c r="A2408" s="8" t="str">
        <f>IFERROR(__xludf.DUMMYFUNCTION("IF('(INGESTA)Datos_consumo_datadis'!A2408&lt;&gt;"""",SPLIT('(INGESTA)Datos_consumo_datadis'!A:A,"",""),"""")"),"ES0031408323131005HX0F")</f>
        <v>ES0031408323131005HX0F</v>
      </c>
      <c r="B2408" s="12">
        <f>IFERROR(__xludf.DUMMYFUNCTION("""COMPUTED_VALUE"""),44966.0)</f>
        <v>44966</v>
      </c>
      <c r="C2408" s="13">
        <f>IFERROR(__xludf.DUMMYFUNCTION("""COMPUTED_VALUE"""),0.2916666666666667)</f>
        <v>0.2916666667</v>
      </c>
      <c r="D2408" s="8">
        <f>IFERROR(__xludf.DUMMYFUNCTION("""COMPUTED_VALUE"""),0.778)</f>
        <v>0.778</v>
      </c>
      <c r="E2408" s="8" t="str">
        <f>IFERROR(__xludf.DUMMYFUNCTION("""COMPUTED_VALUE"""),"Real")</f>
        <v>Real</v>
      </c>
      <c r="G2408" s="8">
        <f t="shared" si="1"/>
        <v>2</v>
      </c>
      <c r="H2408" s="14">
        <f t="shared" si="2"/>
        <v>9</v>
      </c>
      <c r="I2408" s="15">
        <f t="shared" si="3"/>
        <v>7</v>
      </c>
    </row>
    <row r="2409">
      <c r="A2409" s="8" t="str">
        <f>IFERROR(__xludf.DUMMYFUNCTION("IF('(INGESTA)Datos_consumo_datadis'!A2409&lt;&gt;"""",SPLIT('(INGESTA)Datos_consumo_datadis'!A:A,"",""),"""")"),"ES0031408323131005HX0F")</f>
        <v>ES0031408323131005HX0F</v>
      </c>
      <c r="B2409" s="12">
        <f>IFERROR(__xludf.DUMMYFUNCTION("""COMPUTED_VALUE"""),44966.0)</f>
        <v>44966</v>
      </c>
      <c r="C2409" s="13">
        <f>IFERROR(__xludf.DUMMYFUNCTION("""COMPUTED_VALUE"""),0.3333333333333333)</f>
        <v>0.3333333333</v>
      </c>
      <c r="D2409" s="8">
        <f>IFERROR(__xludf.DUMMYFUNCTION("""COMPUTED_VALUE"""),0.81)</f>
        <v>0.81</v>
      </c>
      <c r="E2409" s="8" t="str">
        <f>IFERROR(__xludf.DUMMYFUNCTION("""COMPUTED_VALUE"""),"Real")</f>
        <v>Real</v>
      </c>
      <c r="G2409" s="8">
        <f t="shared" si="1"/>
        <v>2</v>
      </c>
      <c r="H2409" s="14">
        <f t="shared" si="2"/>
        <v>9</v>
      </c>
      <c r="I2409" s="15">
        <f t="shared" si="3"/>
        <v>8</v>
      </c>
    </row>
    <row r="2410">
      <c r="A2410" s="8" t="str">
        <f>IFERROR(__xludf.DUMMYFUNCTION("IF('(INGESTA)Datos_consumo_datadis'!A2410&lt;&gt;"""",SPLIT('(INGESTA)Datos_consumo_datadis'!A:A,"",""),"""")"),"ES0031408323131005HX0F")</f>
        <v>ES0031408323131005HX0F</v>
      </c>
      <c r="B2410" s="12">
        <f>IFERROR(__xludf.DUMMYFUNCTION("""COMPUTED_VALUE"""),44966.0)</f>
        <v>44966</v>
      </c>
      <c r="C2410" s="13">
        <f>IFERROR(__xludf.DUMMYFUNCTION("""COMPUTED_VALUE"""),0.375)</f>
        <v>0.375</v>
      </c>
      <c r="D2410" s="8">
        <f>IFERROR(__xludf.DUMMYFUNCTION("""COMPUTED_VALUE"""),0.825)</f>
        <v>0.825</v>
      </c>
      <c r="E2410" s="8" t="str">
        <f>IFERROR(__xludf.DUMMYFUNCTION("""COMPUTED_VALUE"""),"Real")</f>
        <v>Real</v>
      </c>
      <c r="G2410" s="8">
        <f t="shared" si="1"/>
        <v>2</v>
      </c>
      <c r="H2410" s="14">
        <f t="shared" si="2"/>
        <v>9</v>
      </c>
      <c r="I2410" s="15">
        <f t="shared" si="3"/>
        <v>9</v>
      </c>
    </row>
    <row r="2411">
      <c r="A2411" s="8" t="str">
        <f>IFERROR(__xludf.DUMMYFUNCTION("IF('(INGESTA)Datos_consumo_datadis'!A2411&lt;&gt;"""",SPLIT('(INGESTA)Datos_consumo_datadis'!A:A,"",""),"""")"),"ES0031408323131005HX0F")</f>
        <v>ES0031408323131005HX0F</v>
      </c>
      <c r="B2411" s="12">
        <f>IFERROR(__xludf.DUMMYFUNCTION("""COMPUTED_VALUE"""),44966.0)</f>
        <v>44966</v>
      </c>
      <c r="C2411" s="13">
        <f>IFERROR(__xludf.DUMMYFUNCTION("""COMPUTED_VALUE"""),0.4166666666666667)</f>
        <v>0.4166666667</v>
      </c>
      <c r="D2411" s="8">
        <f>IFERROR(__xludf.DUMMYFUNCTION("""COMPUTED_VALUE"""),0.775)</f>
        <v>0.775</v>
      </c>
      <c r="E2411" s="8" t="str">
        <f>IFERROR(__xludf.DUMMYFUNCTION("""COMPUTED_VALUE"""),"Real")</f>
        <v>Real</v>
      </c>
      <c r="G2411" s="8">
        <f t="shared" si="1"/>
        <v>2</v>
      </c>
      <c r="H2411" s="14">
        <f t="shared" si="2"/>
        <v>9</v>
      </c>
      <c r="I2411" s="15">
        <f t="shared" si="3"/>
        <v>10</v>
      </c>
    </row>
    <row r="2412">
      <c r="A2412" s="8" t="str">
        <f>IFERROR(__xludf.DUMMYFUNCTION("IF('(INGESTA)Datos_consumo_datadis'!A2412&lt;&gt;"""",SPLIT('(INGESTA)Datos_consumo_datadis'!A:A,"",""),"""")"),"ES0031408323131005HX0F")</f>
        <v>ES0031408323131005HX0F</v>
      </c>
      <c r="B2412" s="12">
        <f>IFERROR(__xludf.DUMMYFUNCTION("""COMPUTED_VALUE"""),44966.0)</f>
        <v>44966</v>
      </c>
      <c r="C2412" s="13">
        <f>IFERROR(__xludf.DUMMYFUNCTION("""COMPUTED_VALUE"""),0.4583333333333333)</f>
        <v>0.4583333333</v>
      </c>
      <c r="D2412" s="8">
        <f>IFERROR(__xludf.DUMMYFUNCTION("""COMPUTED_VALUE"""),0.679)</f>
        <v>0.679</v>
      </c>
      <c r="E2412" s="8" t="str">
        <f>IFERROR(__xludf.DUMMYFUNCTION("""COMPUTED_VALUE"""),"Real")</f>
        <v>Real</v>
      </c>
      <c r="G2412" s="8">
        <f t="shared" si="1"/>
        <v>2</v>
      </c>
      <c r="H2412" s="14">
        <f t="shared" si="2"/>
        <v>9</v>
      </c>
      <c r="I2412" s="15">
        <f t="shared" si="3"/>
        <v>11</v>
      </c>
    </row>
    <row r="2413">
      <c r="A2413" s="8" t="str">
        <f>IFERROR(__xludf.DUMMYFUNCTION("IF('(INGESTA)Datos_consumo_datadis'!A2413&lt;&gt;"""",SPLIT('(INGESTA)Datos_consumo_datadis'!A:A,"",""),"""")"),"ES0031408323131005HX0F")</f>
        <v>ES0031408323131005HX0F</v>
      </c>
      <c r="B2413" s="12">
        <f>IFERROR(__xludf.DUMMYFUNCTION("""COMPUTED_VALUE"""),44966.0)</f>
        <v>44966</v>
      </c>
      <c r="C2413" s="13">
        <f>IFERROR(__xludf.DUMMYFUNCTION("""COMPUTED_VALUE"""),0.5)</f>
        <v>0.5</v>
      </c>
      <c r="D2413" s="8">
        <f>IFERROR(__xludf.DUMMYFUNCTION("""COMPUTED_VALUE"""),0.108)</f>
        <v>0.108</v>
      </c>
      <c r="E2413" s="8" t="str">
        <f>IFERROR(__xludf.DUMMYFUNCTION("""COMPUTED_VALUE"""),"Real")</f>
        <v>Real</v>
      </c>
      <c r="G2413" s="8">
        <f t="shared" si="1"/>
        <v>2</v>
      </c>
      <c r="H2413" s="14">
        <f t="shared" si="2"/>
        <v>9</v>
      </c>
      <c r="I2413" s="15">
        <f t="shared" si="3"/>
        <v>12</v>
      </c>
    </row>
    <row r="2414">
      <c r="A2414" s="8" t="str">
        <f>IFERROR(__xludf.DUMMYFUNCTION("IF('(INGESTA)Datos_consumo_datadis'!A2414&lt;&gt;"""",SPLIT('(INGESTA)Datos_consumo_datadis'!A:A,"",""),"""")"),"ES0031408323131005HX0F")</f>
        <v>ES0031408323131005HX0F</v>
      </c>
      <c r="B2414" s="12">
        <f>IFERROR(__xludf.DUMMYFUNCTION("""COMPUTED_VALUE"""),44966.0)</f>
        <v>44966</v>
      </c>
      <c r="C2414" s="13">
        <f>IFERROR(__xludf.DUMMYFUNCTION("""COMPUTED_VALUE"""),0.5416666666666666)</f>
        <v>0.5416666667</v>
      </c>
      <c r="D2414" s="8">
        <f>IFERROR(__xludf.DUMMYFUNCTION("""COMPUTED_VALUE"""),0.101)</f>
        <v>0.101</v>
      </c>
      <c r="E2414" s="8" t="str">
        <f>IFERROR(__xludf.DUMMYFUNCTION("""COMPUTED_VALUE"""),"Real")</f>
        <v>Real</v>
      </c>
      <c r="G2414" s="8">
        <f t="shared" si="1"/>
        <v>2</v>
      </c>
      <c r="H2414" s="14">
        <f t="shared" si="2"/>
        <v>9</v>
      </c>
      <c r="I2414" s="15">
        <f t="shared" si="3"/>
        <v>13</v>
      </c>
    </row>
    <row r="2415">
      <c r="A2415" s="8" t="str">
        <f>IFERROR(__xludf.DUMMYFUNCTION("IF('(INGESTA)Datos_consumo_datadis'!A2415&lt;&gt;"""",SPLIT('(INGESTA)Datos_consumo_datadis'!A:A,"",""),"""")"),"ES0031408323131005HX0F")</f>
        <v>ES0031408323131005HX0F</v>
      </c>
      <c r="B2415" s="12">
        <f>IFERROR(__xludf.DUMMYFUNCTION("""COMPUTED_VALUE"""),44966.0)</f>
        <v>44966</v>
      </c>
      <c r="C2415" s="13">
        <f>IFERROR(__xludf.DUMMYFUNCTION("""COMPUTED_VALUE"""),0.5833333333333334)</f>
        <v>0.5833333333</v>
      </c>
      <c r="D2415" s="8">
        <f>IFERROR(__xludf.DUMMYFUNCTION("""COMPUTED_VALUE"""),0.096)</f>
        <v>0.096</v>
      </c>
      <c r="E2415" s="8" t="str">
        <f>IFERROR(__xludf.DUMMYFUNCTION("""COMPUTED_VALUE"""),"Real")</f>
        <v>Real</v>
      </c>
      <c r="G2415" s="8">
        <f t="shared" si="1"/>
        <v>2</v>
      </c>
      <c r="H2415" s="14">
        <f t="shared" si="2"/>
        <v>9</v>
      </c>
      <c r="I2415" s="15">
        <f t="shared" si="3"/>
        <v>14</v>
      </c>
    </row>
    <row r="2416">
      <c r="A2416" s="8" t="str">
        <f>IFERROR(__xludf.DUMMYFUNCTION("IF('(INGESTA)Datos_consumo_datadis'!A2416&lt;&gt;"""",SPLIT('(INGESTA)Datos_consumo_datadis'!A:A,"",""),"""")"),"ES0031408323131005HX0F")</f>
        <v>ES0031408323131005HX0F</v>
      </c>
      <c r="B2416" s="12">
        <f>IFERROR(__xludf.DUMMYFUNCTION("""COMPUTED_VALUE"""),44966.0)</f>
        <v>44966</v>
      </c>
      <c r="C2416" s="13">
        <f>IFERROR(__xludf.DUMMYFUNCTION("""COMPUTED_VALUE"""),0.625)</f>
        <v>0.625</v>
      </c>
      <c r="D2416" s="8">
        <f>IFERROR(__xludf.DUMMYFUNCTION("""COMPUTED_VALUE"""),0.354)</f>
        <v>0.354</v>
      </c>
      <c r="E2416" s="8" t="str">
        <f>IFERROR(__xludf.DUMMYFUNCTION("""COMPUTED_VALUE"""),"Real")</f>
        <v>Real</v>
      </c>
      <c r="G2416" s="8">
        <f t="shared" si="1"/>
        <v>2</v>
      </c>
      <c r="H2416" s="14">
        <f t="shared" si="2"/>
        <v>9</v>
      </c>
      <c r="I2416" s="15">
        <f t="shared" si="3"/>
        <v>15</v>
      </c>
    </row>
    <row r="2417">
      <c r="A2417" s="8" t="str">
        <f>IFERROR(__xludf.DUMMYFUNCTION("IF('(INGESTA)Datos_consumo_datadis'!A2417&lt;&gt;"""",SPLIT('(INGESTA)Datos_consumo_datadis'!A:A,"",""),"""")"),"ES0031408323131005HX0F")</f>
        <v>ES0031408323131005HX0F</v>
      </c>
      <c r="B2417" s="12">
        <f>IFERROR(__xludf.DUMMYFUNCTION("""COMPUTED_VALUE"""),44966.0)</f>
        <v>44966</v>
      </c>
      <c r="C2417" s="13">
        <f>IFERROR(__xludf.DUMMYFUNCTION("""COMPUTED_VALUE"""),0.6666666666666666)</f>
        <v>0.6666666667</v>
      </c>
      <c r="D2417" s="8">
        <f>IFERROR(__xludf.DUMMYFUNCTION("""COMPUTED_VALUE"""),0.017)</f>
        <v>0.017</v>
      </c>
      <c r="E2417" s="8" t="str">
        <f>IFERROR(__xludf.DUMMYFUNCTION("""COMPUTED_VALUE"""),"Real")</f>
        <v>Real</v>
      </c>
      <c r="G2417" s="8">
        <f t="shared" si="1"/>
        <v>2</v>
      </c>
      <c r="H2417" s="14">
        <f t="shared" si="2"/>
        <v>9</v>
      </c>
      <c r="I2417" s="15">
        <f t="shared" si="3"/>
        <v>16</v>
      </c>
    </row>
    <row r="2418">
      <c r="A2418" s="8" t="str">
        <f>IFERROR(__xludf.DUMMYFUNCTION("IF('(INGESTA)Datos_consumo_datadis'!A2418&lt;&gt;"""",SPLIT('(INGESTA)Datos_consumo_datadis'!A:A,"",""),"""")"),"ES0031408323131005HX0F")</f>
        <v>ES0031408323131005HX0F</v>
      </c>
      <c r="B2418" s="12">
        <f>IFERROR(__xludf.DUMMYFUNCTION("""COMPUTED_VALUE"""),44966.0)</f>
        <v>44966</v>
      </c>
      <c r="C2418" s="13">
        <f>IFERROR(__xludf.DUMMYFUNCTION("""COMPUTED_VALUE"""),0.7083333333333334)</f>
        <v>0.7083333333</v>
      </c>
      <c r="D2418" s="8">
        <f>IFERROR(__xludf.DUMMYFUNCTION("""COMPUTED_VALUE"""),0.064)</f>
        <v>0.064</v>
      </c>
      <c r="E2418" s="8" t="str">
        <f>IFERROR(__xludf.DUMMYFUNCTION("""COMPUTED_VALUE"""),"Real")</f>
        <v>Real</v>
      </c>
      <c r="G2418" s="8">
        <f t="shared" si="1"/>
        <v>2</v>
      </c>
      <c r="H2418" s="14">
        <f t="shared" si="2"/>
        <v>9</v>
      </c>
      <c r="I2418" s="15">
        <f t="shared" si="3"/>
        <v>17</v>
      </c>
    </row>
    <row r="2419">
      <c r="A2419" s="8" t="str">
        <f>IFERROR(__xludf.DUMMYFUNCTION("IF('(INGESTA)Datos_consumo_datadis'!A2419&lt;&gt;"""",SPLIT('(INGESTA)Datos_consumo_datadis'!A:A,"",""),"""")"),"ES0031408323131005HX0F")</f>
        <v>ES0031408323131005HX0F</v>
      </c>
      <c r="B2419" s="12">
        <f>IFERROR(__xludf.DUMMYFUNCTION("""COMPUTED_VALUE"""),44966.0)</f>
        <v>44966</v>
      </c>
      <c r="C2419" s="13">
        <f>IFERROR(__xludf.DUMMYFUNCTION("""COMPUTED_VALUE"""),0.75)</f>
        <v>0.75</v>
      </c>
      <c r="D2419" s="8">
        <f>IFERROR(__xludf.DUMMYFUNCTION("""COMPUTED_VALUE"""),0.056)</f>
        <v>0.056</v>
      </c>
      <c r="E2419" s="8" t="str">
        <f>IFERROR(__xludf.DUMMYFUNCTION("""COMPUTED_VALUE"""),"Real")</f>
        <v>Real</v>
      </c>
      <c r="G2419" s="8">
        <f t="shared" si="1"/>
        <v>2</v>
      </c>
      <c r="H2419" s="14">
        <f t="shared" si="2"/>
        <v>9</v>
      </c>
      <c r="I2419" s="15">
        <f t="shared" si="3"/>
        <v>18</v>
      </c>
    </row>
    <row r="2420">
      <c r="A2420" s="8" t="str">
        <f>IFERROR(__xludf.DUMMYFUNCTION("IF('(INGESTA)Datos_consumo_datadis'!A2420&lt;&gt;"""",SPLIT('(INGESTA)Datos_consumo_datadis'!A:A,"",""),"""")"),"ES0031408323131005HX0F")</f>
        <v>ES0031408323131005HX0F</v>
      </c>
      <c r="B2420" s="12">
        <f>IFERROR(__xludf.DUMMYFUNCTION("""COMPUTED_VALUE"""),44966.0)</f>
        <v>44966</v>
      </c>
      <c r="C2420" s="13">
        <f>IFERROR(__xludf.DUMMYFUNCTION("""COMPUTED_VALUE"""),0.7916666666666666)</f>
        <v>0.7916666667</v>
      </c>
      <c r="D2420" s="8">
        <f>IFERROR(__xludf.DUMMYFUNCTION("""COMPUTED_VALUE"""),0.017)</f>
        <v>0.017</v>
      </c>
      <c r="E2420" s="8" t="str">
        <f>IFERROR(__xludf.DUMMYFUNCTION("""COMPUTED_VALUE"""),"Real")</f>
        <v>Real</v>
      </c>
      <c r="G2420" s="8">
        <f t="shared" si="1"/>
        <v>2</v>
      </c>
      <c r="H2420" s="14">
        <f t="shared" si="2"/>
        <v>9</v>
      </c>
      <c r="I2420" s="15">
        <f t="shared" si="3"/>
        <v>19</v>
      </c>
    </row>
    <row r="2421">
      <c r="A2421" s="8" t="str">
        <f>IFERROR(__xludf.DUMMYFUNCTION("IF('(INGESTA)Datos_consumo_datadis'!A2421&lt;&gt;"""",SPLIT('(INGESTA)Datos_consumo_datadis'!A:A,"",""),"""")"),"ES0031408323131005HX0F")</f>
        <v>ES0031408323131005HX0F</v>
      </c>
      <c r="B2421" s="12">
        <f>IFERROR(__xludf.DUMMYFUNCTION("""COMPUTED_VALUE"""),44966.0)</f>
        <v>44966</v>
      </c>
      <c r="C2421" s="13">
        <f>IFERROR(__xludf.DUMMYFUNCTION("""COMPUTED_VALUE"""),0.8333333333333334)</f>
        <v>0.8333333333</v>
      </c>
      <c r="D2421" s="8">
        <f>IFERROR(__xludf.DUMMYFUNCTION("""COMPUTED_VALUE"""),0.059)</f>
        <v>0.059</v>
      </c>
      <c r="E2421" s="8" t="str">
        <f>IFERROR(__xludf.DUMMYFUNCTION("""COMPUTED_VALUE"""),"Real")</f>
        <v>Real</v>
      </c>
      <c r="G2421" s="8">
        <f t="shared" si="1"/>
        <v>2</v>
      </c>
      <c r="H2421" s="14">
        <f t="shared" si="2"/>
        <v>9</v>
      </c>
      <c r="I2421" s="15">
        <f t="shared" si="3"/>
        <v>20</v>
      </c>
    </row>
    <row r="2422">
      <c r="A2422" s="8" t="str">
        <f>IFERROR(__xludf.DUMMYFUNCTION("IF('(INGESTA)Datos_consumo_datadis'!A2422&lt;&gt;"""",SPLIT('(INGESTA)Datos_consumo_datadis'!A:A,"",""),"""")"),"ES0031408323131005HX0F")</f>
        <v>ES0031408323131005HX0F</v>
      </c>
      <c r="B2422" s="12">
        <f>IFERROR(__xludf.DUMMYFUNCTION("""COMPUTED_VALUE"""),44966.0)</f>
        <v>44966</v>
      </c>
      <c r="C2422" s="13">
        <f>IFERROR(__xludf.DUMMYFUNCTION("""COMPUTED_VALUE"""),0.875)</f>
        <v>0.875</v>
      </c>
      <c r="D2422" s="8">
        <f>IFERROR(__xludf.DUMMYFUNCTION("""COMPUTED_VALUE"""),1.153)</f>
        <v>1.153</v>
      </c>
      <c r="E2422" s="8" t="str">
        <f>IFERROR(__xludf.DUMMYFUNCTION("""COMPUTED_VALUE"""),"Real")</f>
        <v>Real</v>
      </c>
      <c r="G2422" s="8">
        <f t="shared" si="1"/>
        <v>2</v>
      </c>
      <c r="H2422" s="14">
        <f t="shared" si="2"/>
        <v>9</v>
      </c>
      <c r="I2422" s="15">
        <f t="shared" si="3"/>
        <v>21</v>
      </c>
    </row>
    <row r="2423">
      <c r="A2423" s="8" t="str">
        <f>IFERROR(__xludf.DUMMYFUNCTION("IF('(INGESTA)Datos_consumo_datadis'!A2423&lt;&gt;"""",SPLIT('(INGESTA)Datos_consumo_datadis'!A:A,"",""),"""")"),"ES0031408323131005HX0F")</f>
        <v>ES0031408323131005HX0F</v>
      </c>
      <c r="B2423" s="12">
        <f>IFERROR(__xludf.DUMMYFUNCTION("""COMPUTED_VALUE"""),44966.0)</f>
        <v>44966</v>
      </c>
      <c r="C2423" s="13">
        <f>IFERROR(__xludf.DUMMYFUNCTION("""COMPUTED_VALUE"""),0.9166666666666666)</f>
        <v>0.9166666667</v>
      </c>
      <c r="D2423" s="8">
        <f>IFERROR(__xludf.DUMMYFUNCTION("""COMPUTED_VALUE"""),1.875)</f>
        <v>1.875</v>
      </c>
      <c r="E2423" s="8" t="str">
        <f>IFERROR(__xludf.DUMMYFUNCTION("""COMPUTED_VALUE"""),"Real")</f>
        <v>Real</v>
      </c>
      <c r="G2423" s="8">
        <f t="shared" si="1"/>
        <v>2</v>
      </c>
      <c r="H2423" s="14">
        <f t="shared" si="2"/>
        <v>9</v>
      </c>
      <c r="I2423" s="15">
        <f t="shared" si="3"/>
        <v>22</v>
      </c>
    </row>
    <row r="2424">
      <c r="A2424" s="8" t="str">
        <f>IFERROR(__xludf.DUMMYFUNCTION("IF('(INGESTA)Datos_consumo_datadis'!A2424&lt;&gt;"""",SPLIT('(INGESTA)Datos_consumo_datadis'!A:A,"",""),"""")"),"ES0031408323131005HX0F")</f>
        <v>ES0031408323131005HX0F</v>
      </c>
      <c r="B2424" s="12">
        <f>IFERROR(__xludf.DUMMYFUNCTION("""COMPUTED_VALUE"""),44966.0)</f>
        <v>44966</v>
      </c>
      <c r="C2424" s="13">
        <f>IFERROR(__xludf.DUMMYFUNCTION("""COMPUTED_VALUE"""),0.9583333333333334)</f>
        <v>0.9583333333</v>
      </c>
      <c r="D2424" s="8">
        <f>IFERROR(__xludf.DUMMYFUNCTION("""COMPUTED_VALUE"""),2.101)</f>
        <v>2.101</v>
      </c>
      <c r="E2424" s="8" t="str">
        <f>IFERROR(__xludf.DUMMYFUNCTION("""COMPUTED_VALUE"""),"Real")</f>
        <v>Real</v>
      </c>
      <c r="G2424" s="8">
        <f t="shared" si="1"/>
        <v>2</v>
      </c>
      <c r="H2424" s="14">
        <f t="shared" si="2"/>
        <v>9</v>
      </c>
      <c r="I2424" s="15">
        <f t="shared" si="3"/>
        <v>23</v>
      </c>
    </row>
    <row r="2425">
      <c r="A2425" s="8" t="str">
        <f>IFERROR(__xludf.DUMMYFUNCTION("IF('(INGESTA)Datos_consumo_datadis'!A2425&lt;&gt;"""",SPLIT('(INGESTA)Datos_consumo_datadis'!A:A,"",""),"""")"),"ES0031408323131005HX0F")</f>
        <v>ES0031408323131005HX0F</v>
      </c>
      <c r="B2425" s="12">
        <f>IFERROR(__xludf.DUMMYFUNCTION("""COMPUTED_VALUE"""),44966.0)</f>
        <v>44966</v>
      </c>
      <c r="C2425" s="16">
        <f>IFERROR(__xludf.DUMMYFUNCTION("""COMPUTED_VALUE"""),1.0)</f>
        <v>1</v>
      </c>
      <c r="D2425" s="8">
        <f>IFERROR(__xludf.DUMMYFUNCTION("""COMPUTED_VALUE"""),2.287)</f>
        <v>2.287</v>
      </c>
      <c r="E2425" s="8" t="str">
        <f>IFERROR(__xludf.DUMMYFUNCTION("""COMPUTED_VALUE"""),"Real")</f>
        <v>Real</v>
      </c>
      <c r="G2425" s="8">
        <f t="shared" si="1"/>
        <v>2</v>
      </c>
      <c r="H2425" s="14">
        <f t="shared" si="2"/>
        <v>9</v>
      </c>
      <c r="I2425" s="15">
        <f t="shared" si="3"/>
        <v>0</v>
      </c>
    </row>
    <row r="2426">
      <c r="A2426" s="8" t="str">
        <f>IFERROR(__xludf.DUMMYFUNCTION("IF('(INGESTA)Datos_consumo_datadis'!A2426&lt;&gt;"""",SPLIT('(INGESTA)Datos_consumo_datadis'!A:A,"",""),"""")"),"ES0031408323131005HX0F")</f>
        <v>ES0031408323131005HX0F</v>
      </c>
      <c r="B2426" s="12">
        <f>IFERROR(__xludf.DUMMYFUNCTION("""COMPUTED_VALUE"""),44967.0)</f>
        <v>44967</v>
      </c>
      <c r="C2426" s="13">
        <f>IFERROR(__xludf.DUMMYFUNCTION("""COMPUTED_VALUE"""),0.041666666666666664)</f>
        <v>0.04166666667</v>
      </c>
      <c r="D2426" s="8">
        <f>IFERROR(__xludf.DUMMYFUNCTION("""COMPUTED_VALUE"""),1.445)</f>
        <v>1.445</v>
      </c>
      <c r="E2426" s="8" t="str">
        <f>IFERROR(__xludf.DUMMYFUNCTION("""COMPUTED_VALUE"""),"Real")</f>
        <v>Real</v>
      </c>
      <c r="G2426" s="8">
        <f t="shared" si="1"/>
        <v>2</v>
      </c>
      <c r="H2426" s="14">
        <f t="shared" si="2"/>
        <v>10</v>
      </c>
      <c r="I2426" s="15">
        <f t="shared" si="3"/>
        <v>1</v>
      </c>
    </row>
    <row r="2427">
      <c r="A2427" s="8" t="str">
        <f>IFERROR(__xludf.DUMMYFUNCTION("IF('(INGESTA)Datos_consumo_datadis'!A2427&lt;&gt;"""",SPLIT('(INGESTA)Datos_consumo_datadis'!A:A,"",""),"""")"),"ES0031408323131005HX0F")</f>
        <v>ES0031408323131005HX0F</v>
      </c>
      <c r="B2427" s="12">
        <f>IFERROR(__xludf.DUMMYFUNCTION("""COMPUTED_VALUE"""),44967.0)</f>
        <v>44967</v>
      </c>
      <c r="C2427" s="13">
        <f>IFERROR(__xludf.DUMMYFUNCTION("""COMPUTED_VALUE"""),0.08333333333333333)</f>
        <v>0.08333333333</v>
      </c>
      <c r="D2427" s="8">
        <f>IFERROR(__xludf.DUMMYFUNCTION("""COMPUTED_VALUE"""),1.778)</f>
        <v>1.778</v>
      </c>
      <c r="E2427" s="8" t="str">
        <f>IFERROR(__xludf.DUMMYFUNCTION("""COMPUTED_VALUE"""),"Real")</f>
        <v>Real</v>
      </c>
      <c r="G2427" s="8">
        <f t="shared" si="1"/>
        <v>2</v>
      </c>
      <c r="H2427" s="14">
        <f t="shared" si="2"/>
        <v>10</v>
      </c>
      <c r="I2427" s="15">
        <f t="shared" si="3"/>
        <v>2</v>
      </c>
    </row>
    <row r="2428">
      <c r="A2428" s="8" t="str">
        <f>IFERROR(__xludf.DUMMYFUNCTION("IF('(INGESTA)Datos_consumo_datadis'!A2428&lt;&gt;"""",SPLIT('(INGESTA)Datos_consumo_datadis'!A:A,"",""),"""")"),"ES0031408323131005HX0F")</f>
        <v>ES0031408323131005HX0F</v>
      </c>
      <c r="B2428" s="12">
        <f>IFERROR(__xludf.DUMMYFUNCTION("""COMPUTED_VALUE"""),44967.0)</f>
        <v>44967</v>
      </c>
      <c r="C2428" s="13">
        <f>IFERROR(__xludf.DUMMYFUNCTION("""COMPUTED_VALUE"""),0.125)</f>
        <v>0.125</v>
      </c>
      <c r="D2428" s="8">
        <f>IFERROR(__xludf.DUMMYFUNCTION("""COMPUTED_VALUE"""),1.517)</f>
        <v>1.517</v>
      </c>
      <c r="E2428" s="8" t="str">
        <f>IFERROR(__xludf.DUMMYFUNCTION("""COMPUTED_VALUE"""),"Real")</f>
        <v>Real</v>
      </c>
      <c r="G2428" s="8">
        <f t="shared" si="1"/>
        <v>2</v>
      </c>
      <c r="H2428" s="14">
        <f t="shared" si="2"/>
        <v>10</v>
      </c>
      <c r="I2428" s="15">
        <f t="shared" si="3"/>
        <v>3</v>
      </c>
    </row>
    <row r="2429">
      <c r="A2429" s="8" t="str">
        <f>IFERROR(__xludf.DUMMYFUNCTION("IF('(INGESTA)Datos_consumo_datadis'!A2429&lt;&gt;"""",SPLIT('(INGESTA)Datos_consumo_datadis'!A:A,"",""),"""")"),"ES0031408323131005HX0F")</f>
        <v>ES0031408323131005HX0F</v>
      </c>
      <c r="B2429" s="12">
        <f>IFERROR(__xludf.DUMMYFUNCTION("""COMPUTED_VALUE"""),44967.0)</f>
        <v>44967</v>
      </c>
      <c r="C2429" s="13">
        <f>IFERROR(__xludf.DUMMYFUNCTION("""COMPUTED_VALUE"""),0.16666666666666666)</f>
        <v>0.1666666667</v>
      </c>
      <c r="D2429" s="8">
        <f>IFERROR(__xludf.DUMMYFUNCTION("""COMPUTED_VALUE"""),1.468)</f>
        <v>1.468</v>
      </c>
      <c r="E2429" s="8" t="str">
        <f>IFERROR(__xludf.DUMMYFUNCTION("""COMPUTED_VALUE"""),"Real")</f>
        <v>Real</v>
      </c>
      <c r="G2429" s="8">
        <f t="shared" si="1"/>
        <v>2</v>
      </c>
      <c r="H2429" s="14">
        <f t="shared" si="2"/>
        <v>10</v>
      </c>
      <c r="I2429" s="15">
        <f t="shared" si="3"/>
        <v>4</v>
      </c>
    </row>
    <row r="2430">
      <c r="A2430" s="8" t="str">
        <f>IFERROR(__xludf.DUMMYFUNCTION("IF('(INGESTA)Datos_consumo_datadis'!A2430&lt;&gt;"""",SPLIT('(INGESTA)Datos_consumo_datadis'!A:A,"",""),"""")"),"ES0031408323131005HX0F")</f>
        <v>ES0031408323131005HX0F</v>
      </c>
      <c r="B2430" s="12">
        <f>IFERROR(__xludf.DUMMYFUNCTION("""COMPUTED_VALUE"""),44967.0)</f>
        <v>44967</v>
      </c>
      <c r="C2430" s="13">
        <f>IFERROR(__xludf.DUMMYFUNCTION("""COMPUTED_VALUE"""),0.20833333333333334)</f>
        <v>0.2083333333</v>
      </c>
      <c r="D2430" s="8">
        <f>IFERROR(__xludf.DUMMYFUNCTION("""COMPUTED_VALUE"""),1.464)</f>
        <v>1.464</v>
      </c>
      <c r="E2430" s="8" t="str">
        <f>IFERROR(__xludf.DUMMYFUNCTION("""COMPUTED_VALUE"""),"Real")</f>
        <v>Real</v>
      </c>
      <c r="G2430" s="8">
        <f t="shared" si="1"/>
        <v>2</v>
      </c>
      <c r="H2430" s="14">
        <f t="shared" si="2"/>
        <v>10</v>
      </c>
      <c r="I2430" s="15">
        <f t="shared" si="3"/>
        <v>5</v>
      </c>
    </row>
    <row r="2431">
      <c r="A2431" s="8" t="str">
        <f>IFERROR(__xludf.DUMMYFUNCTION("IF('(INGESTA)Datos_consumo_datadis'!A2431&lt;&gt;"""",SPLIT('(INGESTA)Datos_consumo_datadis'!A:A,"",""),"""")"),"ES0031408323131005HX0F")</f>
        <v>ES0031408323131005HX0F</v>
      </c>
      <c r="B2431" s="12">
        <f>IFERROR(__xludf.DUMMYFUNCTION("""COMPUTED_VALUE"""),44967.0)</f>
        <v>44967</v>
      </c>
      <c r="C2431" s="13">
        <f>IFERROR(__xludf.DUMMYFUNCTION("""COMPUTED_VALUE"""),0.25)</f>
        <v>0.25</v>
      </c>
      <c r="D2431" s="8">
        <f>IFERROR(__xludf.DUMMYFUNCTION("""COMPUTED_VALUE"""),1.522)</f>
        <v>1.522</v>
      </c>
      <c r="E2431" s="8" t="str">
        <f>IFERROR(__xludf.DUMMYFUNCTION("""COMPUTED_VALUE"""),"Real")</f>
        <v>Real</v>
      </c>
      <c r="G2431" s="8">
        <f t="shared" si="1"/>
        <v>2</v>
      </c>
      <c r="H2431" s="14">
        <f t="shared" si="2"/>
        <v>10</v>
      </c>
      <c r="I2431" s="15">
        <f t="shared" si="3"/>
        <v>6</v>
      </c>
    </row>
    <row r="2432">
      <c r="A2432" s="8" t="str">
        <f>IFERROR(__xludf.DUMMYFUNCTION("IF('(INGESTA)Datos_consumo_datadis'!A2432&lt;&gt;"""",SPLIT('(INGESTA)Datos_consumo_datadis'!A:A,"",""),"""")"),"ES0031408323131005HX0F")</f>
        <v>ES0031408323131005HX0F</v>
      </c>
      <c r="B2432" s="12">
        <f>IFERROR(__xludf.DUMMYFUNCTION("""COMPUTED_VALUE"""),44967.0)</f>
        <v>44967</v>
      </c>
      <c r="C2432" s="13">
        <f>IFERROR(__xludf.DUMMYFUNCTION("""COMPUTED_VALUE"""),0.2916666666666667)</f>
        <v>0.2916666667</v>
      </c>
      <c r="D2432" s="8">
        <f>IFERROR(__xludf.DUMMYFUNCTION("""COMPUTED_VALUE"""),1.486)</f>
        <v>1.486</v>
      </c>
      <c r="E2432" s="8" t="str">
        <f>IFERROR(__xludf.DUMMYFUNCTION("""COMPUTED_VALUE"""),"Real")</f>
        <v>Real</v>
      </c>
      <c r="G2432" s="8">
        <f t="shared" si="1"/>
        <v>2</v>
      </c>
      <c r="H2432" s="14">
        <f t="shared" si="2"/>
        <v>10</v>
      </c>
      <c r="I2432" s="15">
        <f t="shared" si="3"/>
        <v>7</v>
      </c>
    </row>
    <row r="2433">
      <c r="A2433" s="8" t="str">
        <f>IFERROR(__xludf.DUMMYFUNCTION("IF('(INGESTA)Datos_consumo_datadis'!A2433&lt;&gt;"""",SPLIT('(INGESTA)Datos_consumo_datadis'!A:A,"",""),"""")"),"ES0031408323131005HX0F")</f>
        <v>ES0031408323131005HX0F</v>
      </c>
      <c r="B2433" s="12">
        <f>IFERROR(__xludf.DUMMYFUNCTION("""COMPUTED_VALUE"""),44967.0)</f>
        <v>44967</v>
      </c>
      <c r="C2433" s="13">
        <f>IFERROR(__xludf.DUMMYFUNCTION("""COMPUTED_VALUE"""),0.3333333333333333)</f>
        <v>0.3333333333</v>
      </c>
      <c r="D2433" s="8">
        <f>IFERROR(__xludf.DUMMYFUNCTION("""COMPUTED_VALUE"""),1.733)</f>
        <v>1.733</v>
      </c>
      <c r="E2433" s="8" t="str">
        <f>IFERROR(__xludf.DUMMYFUNCTION("""COMPUTED_VALUE"""),"Real")</f>
        <v>Real</v>
      </c>
      <c r="G2433" s="8">
        <f t="shared" si="1"/>
        <v>2</v>
      </c>
      <c r="H2433" s="14">
        <f t="shared" si="2"/>
        <v>10</v>
      </c>
      <c r="I2433" s="15">
        <f t="shared" si="3"/>
        <v>8</v>
      </c>
    </row>
    <row r="2434">
      <c r="A2434" s="8" t="str">
        <f>IFERROR(__xludf.DUMMYFUNCTION("IF('(INGESTA)Datos_consumo_datadis'!A2434&lt;&gt;"""",SPLIT('(INGESTA)Datos_consumo_datadis'!A:A,"",""),"""")"),"ES0031408323131005HX0F")</f>
        <v>ES0031408323131005HX0F</v>
      </c>
      <c r="B2434" s="12">
        <f>IFERROR(__xludf.DUMMYFUNCTION("""COMPUTED_VALUE"""),44967.0)</f>
        <v>44967</v>
      </c>
      <c r="C2434" s="13">
        <f>IFERROR(__xludf.DUMMYFUNCTION("""COMPUTED_VALUE"""),0.375)</f>
        <v>0.375</v>
      </c>
      <c r="D2434" s="8">
        <f>IFERROR(__xludf.DUMMYFUNCTION("""COMPUTED_VALUE"""),1.435)</f>
        <v>1.435</v>
      </c>
      <c r="E2434" s="8" t="str">
        <f>IFERROR(__xludf.DUMMYFUNCTION("""COMPUTED_VALUE"""),"Real")</f>
        <v>Real</v>
      </c>
      <c r="G2434" s="8">
        <f t="shared" si="1"/>
        <v>2</v>
      </c>
      <c r="H2434" s="14">
        <f t="shared" si="2"/>
        <v>10</v>
      </c>
      <c r="I2434" s="15">
        <f t="shared" si="3"/>
        <v>9</v>
      </c>
    </row>
    <row r="2435">
      <c r="A2435" s="8" t="str">
        <f>IFERROR(__xludf.DUMMYFUNCTION("IF('(INGESTA)Datos_consumo_datadis'!A2435&lt;&gt;"""",SPLIT('(INGESTA)Datos_consumo_datadis'!A:A,"",""),"""")"),"ES0031408323131005HX0F")</f>
        <v>ES0031408323131005HX0F</v>
      </c>
      <c r="B2435" s="12">
        <f>IFERROR(__xludf.DUMMYFUNCTION("""COMPUTED_VALUE"""),44967.0)</f>
        <v>44967</v>
      </c>
      <c r="C2435" s="13">
        <f>IFERROR(__xludf.DUMMYFUNCTION("""COMPUTED_VALUE"""),0.4166666666666667)</f>
        <v>0.4166666667</v>
      </c>
      <c r="D2435" s="8">
        <f>IFERROR(__xludf.DUMMYFUNCTION("""COMPUTED_VALUE"""),1.493)</f>
        <v>1.493</v>
      </c>
      <c r="E2435" s="8" t="str">
        <f>IFERROR(__xludf.DUMMYFUNCTION("""COMPUTED_VALUE"""),"Real")</f>
        <v>Real</v>
      </c>
      <c r="G2435" s="8">
        <f t="shared" si="1"/>
        <v>2</v>
      </c>
      <c r="H2435" s="14">
        <f t="shared" si="2"/>
        <v>10</v>
      </c>
      <c r="I2435" s="15">
        <f t="shared" si="3"/>
        <v>10</v>
      </c>
    </row>
    <row r="2436">
      <c r="A2436" s="8" t="str">
        <f>IFERROR(__xludf.DUMMYFUNCTION("IF('(INGESTA)Datos_consumo_datadis'!A2436&lt;&gt;"""",SPLIT('(INGESTA)Datos_consumo_datadis'!A:A,"",""),"""")"),"ES0031408323131005HX0F")</f>
        <v>ES0031408323131005HX0F</v>
      </c>
      <c r="B2436" s="12">
        <f>IFERROR(__xludf.DUMMYFUNCTION("""COMPUTED_VALUE"""),44967.0)</f>
        <v>44967</v>
      </c>
      <c r="C2436" s="13">
        <f>IFERROR(__xludf.DUMMYFUNCTION("""COMPUTED_VALUE"""),0.4583333333333333)</f>
        <v>0.4583333333</v>
      </c>
      <c r="D2436" s="8">
        <f>IFERROR(__xludf.DUMMYFUNCTION("""COMPUTED_VALUE"""),1.022)</f>
        <v>1.022</v>
      </c>
      <c r="E2436" s="8" t="str">
        <f>IFERROR(__xludf.DUMMYFUNCTION("""COMPUTED_VALUE"""),"Real")</f>
        <v>Real</v>
      </c>
      <c r="G2436" s="8">
        <f t="shared" si="1"/>
        <v>2</v>
      </c>
      <c r="H2436" s="14">
        <f t="shared" si="2"/>
        <v>10</v>
      </c>
      <c r="I2436" s="15">
        <f t="shared" si="3"/>
        <v>11</v>
      </c>
    </row>
    <row r="2437">
      <c r="A2437" s="8" t="str">
        <f>IFERROR(__xludf.DUMMYFUNCTION("IF('(INGESTA)Datos_consumo_datadis'!A2437&lt;&gt;"""",SPLIT('(INGESTA)Datos_consumo_datadis'!A:A,"",""),"""")"),"ES0031408323131005HX0F")</f>
        <v>ES0031408323131005HX0F</v>
      </c>
      <c r="B2437" s="12">
        <f>IFERROR(__xludf.DUMMYFUNCTION("""COMPUTED_VALUE"""),44967.0)</f>
        <v>44967</v>
      </c>
      <c r="C2437" s="13">
        <f>IFERROR(__xludf.DUMMYFUNCTION("""COMPUTED_VALUE"""),0.5)</f>
        <v>0.5</v>
      </c>
      <c r="D2437" s="8">
        <f>IFERROR(__xludf.DUMMYFUNCTION("""COMPUTED_VALUE"""),1.6)</f>
        <v>1.6</v>
      </c>
      <c r="E2437" s="8" t="str">
        <f>IFERROR(__xludf.DUMMYFUNCTION("""COMPUTED_VALUE"""),"Real")</f>
        <v>Real</v>
      </c>
      <c r="G2437" s="8">
        <f t="shared" si="1"/>
        <v>2</v>
      </c>
      <c r="H2437" s="14">
        <f t="shared" si="2"/>
        <v>10</v>
      </c>
      <c r="I2437" s="15">
        <f t="shared" si="3"/>
        <v>12</v>
      </c>
    </row>
    <row r="2438">
      <c r="A2438" s="8" t="str">
        <f>IFERROR(__xludf.DUMMYFUNCTION("IF('(INGESTA)Datos_consumo_datadis'!A2438&lt;&gt;"""",SPLIT('(INGESTA)Datos_consumo_datadis'!A:A,"",""),"""")"),"ES0031408323131005HX0F")</f>
        <v>ES0031408323131005HX0F</v>
      </c>
      <c r="B2438" s="12">
        <f>IFERROR(__xludf.DUMMYFUNCTION("""COMPUTED_VALUE"""),44967.0)</f>
        <v>44967</v>
      </c>
      <c r="C2438" s="13">
        <f>IFERROR(__xludf.DUMMYFUNCTION("""COMPUTED_VALUE"""),0.5416666666666666)</f>
        <v>0.5416666667</v>
      </c>
      <c r="D2438" s="8">
        <f>IFERROR(__xludf.DUMMYFUNCTION("""COMPUTED_VALUE"""),1.266)</f>
        <v>1.266</v>
      </c>
      <c r="E2438" s="8" t="str">
        <f>IFERROR(__xludf.DUMMYFUNCTION("""COMPUTED_VALUE"""),"Real")</f>
        <v>Real</v>
      </c>
      <c r="G2438" s="8">
        <f t="shared" si="1"/>
        <v>2</v>
      </c>
      <c r="H2438" s="14">
        <f t="shared" si="2"/>
        <v>10</v>
      </c>
      <c r="I2438" s="15">
        <f t="shared" si="3"/>
        <v>13</v>
      </c>
    </row>
    <row r="2439">
      <c r="A2439" s="8" t="str">
        <f>IFERROR(__xludf.DUMMYFUNCTION("IF('(INGESTA)Datos_consumo_datadis'!A2439&lt;&gt;"""",SPLIT('(INGESTA)Datos_consumo_datadis'!A:A,"",""),"""")"),"ES0031408323131005HX0F")</f>
        <v>ES0031408323131005HX0F</v>
      </c>
      <c r="B2439" s="12">
        <f>IFERROR(__xludf.DUMMYFUNCTION("""COMPUTED_VALUE"""),44967.0)</f>
        <v>44967</v>
      </c>
      <c r="C2439" s="13">
        <f>IFERROR(__xludf.DUMMYFUNCTION("""COMPUTED_VALUE"""),0.5833333333333334)</f>
        <v>0.5833333333</v>
      </c>
      <c r="D2439" s="8">
        <f>IFERROR(__xludf.DUMMYFUNCTION("""COMPUTED_VALUE"""),1.518)</f>
        <v>1.518</v>
      </c>
      <c r="E2439" s="8" t="str">
        <f>IFERROR(__xludf.DUMMYFUNCTION("""COMPUTED_VALUE"""),"Real")</f>
        <v>Real</v>
      </c>
      <c r="G2439" s="8">
        <f t="shared" si="1"/>
        <v>2</v>
      </c>
      <c r="H2439" s="14">
        <f t="shared" si="2"/>
        <v>10</v>
      </c>
      <c r="I2439" s="15">
        <f t="shared" si="3"/>
        <v>14</v>
      </c>
    </row>
    <row r="2440">
      <c r="A2440" s="8" t="str">
        <f>IFERROR(__xludf.DUMMYFUNCTION("IF('(INGESTA)Datos_consumo_datadis'!A2440&lt;&gt;"""",SPLIT('(INGESTA)Datos_consumo_datadis'!A:A,"",""),"""")"),"ES0031408323131005HX0F")</f>
        <v>ES0031408323131005HX0F</v>
      </c>
      <c r="B2440" s="12">
        <f>IFERROR(__xludf.DUMMYFUNCTION("""COMPUTED_VALUE"""),44967.0)</f>
        <v>44967</v>
      </c>
      <c r="C2440" s="13">
        <f>IFERROR(__xludf.DUMMYFUNCTION("""COMPUTED_VALUE"""),0.625)</f>
        <v>0.625</v>
      </c>
      <c r="D2440" s="8">
        <f>IFERROR(__xludf.DUMMYFUNCTION("""COMPUTED_VALUE"""),1.585)</f>
        <v>1.585</v>
      </c>
      <c r="E2440" s="8" t="str">
        <f>IFERROR(__xludf.DUMMYFUNCTION("""COMPUTED_VALUE"""),"Real")</f>
        <v>Real</v>
      </c>
      <c r="G2440" s="8">
        <f t="shared" si="1"/>
        <v>2</v>
      </c>
      <c r="H2440" s="14">
        <f t="shared" si="2"/>
        <v>10</v>
      </c>
      <c r="I2440" s="15">
        <f t="shared" si="3"/>
        <v>15</v>
      </c>
    </row>
    <row r="2441">
      <c r="A2441" s="8" t="str">
        <f>IFERROR(__xludf.DUMMYFUNCTION("IF('(INGESTA)Datos_consumo_datadis'!A2441&lt;&gt;"""",SPLIT('(INGESTA)Datos_consumo_datadis'!A:A,"",""),"""")"),"ES0031408323131005HX0F")</f>
        <v>ES0031408323131005HX0F</v>
      </c>
      <c r="B2441" s="12">
        <f>IFERROR(__xludf.DUMMYFUNCTION("""COMPUTED_VALUE"""),44967.0)</f>
        <v>44967</v>
      </c>
      <c r="C2441" s="13">
        <f>IFERROR(__xludf.DUMMYFUNCTION("""COMPUTED_VALUE"""),0.6666666666666666)</f>
        <v>0.6666666667</v>
      </c>
      <c r="D2441" s="8">
        <f>IFERROR(__xludf.DUMMYFUNCTION("""COMPUTED_VALUE"""),0.092)</f>
        <v>0.092</v>
      </c>
      <c r="E2441" s="8" t="str">
        <f>IFERROR(__xludf.DUMMYFUNCTION("""COMPUTED_VALUE"""),"Real")</f>
        <v>Real</v>
      </c>
      <c r="G2441" s="8">
        <f t="shared" si="1"/>
        <v>2</v>
      </c>
      <c r="H2441" s="14">
        <f t="shared" si="2"/>
        <v>10</v>
      </c>
      <c r="I2441" s="15">
        <f t="shared" si="3"/>
        <v>16</v>
      </c>
    </row>
    <row r="2442">
      <c r="A2442" s="8" t="str">
        <f>IFERROR(__xludf.DUMMYFUNCTION("IF('(INGESTA)Datos_consumo_datadis'!A2442&lt;&gt;"""",SPLIT('(INGESTA)Datos_consumo_datadis'!A:A,"",""),"""")"),"ES0031408323131005HX0F")</f>
        <v>ES0031408323131005HX0F</v>
      </c>
      <c r="B2442" s="12">
        <f>IFERROR(__xludf.DUMMYFUNCTION("""COMPUTED_VALUE"""),44967.0)</f>
        <v>44967</v>
      </c>
      <c r="C2442" s="13">
        <f>IFERROR(__xludf.DUMMYFUNCTION("""COMPUTED_VALUE"""),0.7083333333333334)</f>
        <v>0.7083333333</v>
      </c>
      <c r="D2442" s="8">
        <f>IFERROR(__xludf.DUMMYFUNCTION("""COMPUTED_VALUE"""),0.033)</f>
        <v>0.033</v>
      </c>
      <c r="E2442" s="8" t="str">
        <f>IFERROR(__xludf.DUMMYFUNCTION("""COMPUTED_VALUE"""),"Real")</f>
        <v>Real</v>
      </c>
      <c r="G2442" s="8">
        <f t="shared" si="1"/>
        <v>2</v>
      </c>
      <c r="H2442" s="14">
        <f t="shared" si="2"/>
        <v>10</v>
      </c>
      <c r="I2442" s="15">
        <f t="shared" si="3"/>
        <v>17</v>
      </c>
    </row>
    <row r="2443">
      <c r="A2443" s="8" t="str">
        <f>IFERROR(__xludf.DUMMYFUNCTION("IF('(INGESTA)Datos_consumo_datadis'!A2443&lt;&gt;"""",SPLIT('(INGESTA)Datos_consumo_datadis'!A:A,"",""),"""")"),"ES0031408323131005HX0F")</f>
        <v>ES0031408323131005HX0F</v>
      </c>
      <c r="B2443" s="12">
        <f>IFERROR(__xludf.DUMMYFUNCTION("""COMPUTED_VALUE"""),44967.0)</f>
        <v>44967</v>
      </c>
      <c r="C2443" s="13">
        <f>IFERROR(__xludf.DUMMYFUNCTION("""COMPUTED_VALUE"""),0.75)</f>
        <v>0.75</v>
      </c>
      <c r="D2443" s="8">
        <f>IFERROR(__xludf.DUMMYFUNCTION("""COMPUTED_VALUE"""),0.106)</f>
        <v>0.106</v>
      </c>
      <c r="E2443" s="8" t="str">
        <f>IFERROR(__xludf.DUMMYFUNCTION("""COMPUTED_VALUE"""),"Real")</f>
        <v>Real</v>
      </c>
      <c r="G2443" s="8">
        <f t="shared" si="1"/>
        <v>2</v>
      </c>
      <c r="H2443" s="14">
        <f t="shared" si="2"/>
        <v>10</v>
      </c>
      <c r="I2443" s="15">
        <f t="shared" si="3"/>
        <v>18</v>
      </c>
    </row>
    <row r="2444">
      <c r="A2444" s="8" t="str">
        <f>IFERROR(__xludf.DUMMYFUNCTION("IF('(INGESTA)Datos_consumo_datadis'!A2444&lt;&gt;"""",SPLIT('(INGESTA)Datos_consumo_datadis'!A:A,"",""),"""")"),"ES0031408323131005HX0F")</f>
        <v>ES0031408323131005HX0F</v>
      </c>
      <c r="B2444" s="12">
        <f>IFERROR(__xludf.DUMMYFUNCTION("""COMPUTED_VALUE"""),44967.0)</f>
        <v>44967</v>
      </c>
      <c r="C2444" s="13">
        <f>IFERROR(__xludf.DUMMYFUNCTION("""COMPUTED_VALUE"""),0.7916666666666666)</f>
        <v>0.7916666667</v>
      </c>
      <c r="D2444" s="8">
        <f>IFERROR(__xludf.DUMMYFUNCTION("""COMPUTED_VALUE"""),0.049)</f>
        <v>0.049</v>
      </c>
      <c r="E2444" s="8" t="str">
        <f>IFERROR(__xludf.DUMMYFUNCTION("""COMPUTED_VALUE"""),"Real")</f>
        <v>Real</v>
      </c>
      <c r="G2444" s="8">
        <f t="shared" si="1"/>
        <v>2</v>
      </c>
      <c r="H2444" s="14">
        <f t="shared" si="2"/>
        <v>10</v>
      </c>
      <c r="I2444" s="15">
        <f t="shared" si="3"/>
        <v>19</v>
      </c>
    </row>
    <row r="2445">
      <c r="A2445" s="8" t="str">
        <f>IFERROR(__xludf.DUMMYFUNCTION("IF('(INGESTA)Datos_consumo_datadis'!A2445&lt;&gt;"""",SPLIT('(INGESTA)Datos_consumo_datadis'!A:A,"",""),"""")"),"ES0031408323131005HX0F")</f>
        <v>ES0031408323131005HX0F</v>
      </c>
      <c r="B2445" s="12">
        <f>IFERROR(__xludf.DUMMYFUNCTION("""COMPUTED_VALUE"""),44967.0)</f>
        <v>44967</v>
      </c>
      <c r="C2445" s="13">
        <f>IFERROR(__xludf.DUMMYFUNCTION("""COMPUTED_VALUE"""),0.8333333333333334)</f>
        <v>0.8333333333</v>
      </c>
      <c r="D2445" s="8">
        <f>IFERROR(__xludf.DUMMYFUNCTION("""COMPUTED_VALUE"""),2.101)</f>
        <v>2.101</v>
      </c>
      <c r="E2445" s="8" t="str">
        <f>IFERROR(__xludf.DUMMYFUNCTION("""COMPUTED_VALUE"""),"Real")</f>
        <v>Real</v>
      </c>
      <c r="G2445" s="8">
        <f t="shared" si="1"/>
        <v>2</v>
      </c>
      <c r="H2445" s="14">
        <f t="shared" si="2"/>
        <v>10</v>
      </c>
      <c r="I2445" s="15">
        <f t="shared" si="3"/>
        <v>20</v>
      </c>
    </row>
    <row r="2446">
      <c r="A2446" s="8" t="str">
        <f>IFERROR(__xludf.DUMMYFUNCTION("IF('(INGESTA)Datos_consumo_datadis'!A2446&lt;&gt;"""",SPLIT('(INGESTA)Datos_consumo_datadis'!A:A,"",""),"""")"),"ES0031408323131005HX0F")</f>
        <v>ES0031408323131005HX0F</v>
      </c>
      <c r="B2446" s="12">
        <f>IFERROR(__xludf.DUMMYFUNCTION("""COMPUTED_VALUE"""),44967.0)</f>
        <v>44967</v>
      </c>
      <c r="C2446" s="13">
        <f>IFERROR(__xludf.DUMMYFUNCTION("""COMPUTED_VALUE"""),0.875)</f>
        <v>0.875</v>
      </c>
      <c r="D2446" s="8">
        <f>IFERROR(__xludf.DUMMYFUNCTION("""COMPUTED_VALUE"""),1.919)</f>
        <v>1.919</v>
      </c>
      <c r="E2446" s="8" t="str">
        <f>IFERROR(__xludf.DUMMYFUNCTION("""COMPUTED_VALUE"""),"Real")</f>
        <v>Real</v>
      </c>
      <c r="G2446" s="8">
        <f t="shared" si="1"/>
        <v>2</v>
      </c>
      <c r="H2446" s="14">
        <f t="shared" si="2"/>
        <v>10</v>
      </c>
      <c r="I2446" s="15">
        <f t="shared" si="3"/>
        <v>21</v>
      </c>
    </row>
    <row r="2447">
      <c r="A2447" s="8" t="str">
        <f>IFERROR(__xludf.DUMMYFUNCTION("IF('(INGESTA)Datos_consumo_datadis'!A2447&lt;&gt;"""",SPLIT('(INGESTA)Datos_consumo_datadis'!A:A,"",""),"""")"),"ES0031408323131005HX0F")</f>
        <v>ES0031408323131005HX0F</v>
      </c>
      <c r="B2447" s="12">
        <f>IFERROR(__xludf.DUMMYFUNCTION("""COMPUTED_VALUE"""),44967.0)</f>
        <v>44967</v>
      </c>
      <c r="C2447" s="13">
        <f>IFERROR(__xludf.DUMMYFUNCTION("""COMPUTED_VALUE"""),0.9166666666666666)</f>
        <v>0.9166666667</v>
      </c>
      <c r="D2447" s="8">
        <f>IFERROR(__xludf.DUMMYFUNCTION("""COMPUTED_VALUE"""),3.141)</f>
        <v>3.141</v>
      </c>
      <c r="E2447" s="8" t="str">
        <f>IFERROR(__xludf.DUMMYFUNCTION("""COMPUTED_VALUE"""),"Real")</f>
        <v>Real</v>
      </c>
      <c r="G2447" s="8">
        <f t="shared" si="1"/>
        <v>2</v>
      </c>
      <c r="H2447" s="14">
        <f t="shared" si="2"/>
        <v>10</v>
      </c>
      <c r="I2447" s="15">
        <f t="shared" si="3"/>
        <v>22</v>
      </c>
    </row>
    <row r="2448">
      <c r="A2448" s="8" t="str">
        <f>IFERROR(__xludf.DUMMYFUNCTION("IF('(INGESTA)Datos_consumo_datadis'!A2448&lt;&gt;"""",SPLIT('(INGESTA)Datos_consumo_datadis'!A:A,"",""),"""")"),"ES0031408323131005HX0F")</f>
        <v>ES0031408323131005HX0F</v>
      </c>
      <c r="B2448" s="12">
        <f>IFERROR(__xludf.DUMMYFUNCTION("""COMPUTED_VALUE"""),44967.0)</f>
        <v>44967</v>
      </c>
      <c r="C2448" s="13">
        <f>IFERROR(__xludf.DUMMYFUNCTION("""COMPUTED_VALUE"""),0.9583333333333334)</f>
        <v>0.9583333333</v>
      </c>
      <c r="D2448" s="8">
        <f>IFERROR(__xludf.DUMMYFUNCTION("""COMPUTED_VALUE"""),3.493)</f>
        <v>3.493</v>
      </c>
      <c r="E2448" s="8" t="str">
        <f>IFERROR(__xludf.DUMMYFUNCTION("""COMPUTED_VALUE"""),"Real")</f>
        <v>Real</v>
      </c>
      <c r="G2448" s="8">
        <f t="shared" si="1"/>
        <v>2</v>
      </c>
      <c r="H2448" s="14">
        <f t="shared" si="2"/>
        <v>10</v>
      </c>
      <c r="I2448" s="15">
        <f t="shared" si="3"/>
        <v>23</v>
      </c>
    </row>
    <row r="2449">
      <c r="A2449" s="8" t="str">
        <f>IFERROR(__xludf.DUMMYFUNCTION("IF('(INGESTA)Datos_consumo_datadis'!A2449&lt;&gt;"""",SPLIT('(INGESTA)Datos_consumo_datadis'!A:A,"",""),"""")"),"ES0031408323131005HX0F")</f>
        <v>ES0031408323131005HX0F</v>
      </c>
      <c r="B2449" s="12">
        <f>IFERROR(__xludf.DUMMYFUNCTION("""COMPUTED_VALUE"""),44967.0)</f>
        <v>44967</v>
      </c>
      <c r="C2449" s="16">
        <f>IFERROR(__xludf.DUMMYFUNCTION("""COMPUTED_VALUE"""),1.0)</f>
        <v>1</v>
      </c>
      <c r="D2449" s="8">
        <f>IFERROR(__xludf.DUMMYFUNCTION("""COMPUTED_VALUE"""),1.854)</f>
        <v>1.854</v>
      </c>
      <c r="E2449" s="8" t="str">
        <f>IFERROR(__xludf.DUMMYFUNCTION("""COMPUTED_VALUE"""),"Real")</f>
        <v>Real</v>
      </c>
      <c r="G2449" s="8">
        <f t="shared" si="1"/>
        <v>2</v>
      </c>
      <c r="H2449" s="14">
        <f t="shared" si="2"/>
        <v>10</v>
      </c>
      <c r="I2449" s="15">
        <f t="shared" si="3"/>
        <v>0</v>
      </c>
    </row>
    <row r="2450">
      <c r="A2450" s="8" t="str">
        <f>IFERROR(__xludf.DUMMYFUNCTION("IF('(INGESTA)Datos_consumo_datadis'!A2450&lt;&gt;"""",SPLIT('(INGESTA)Datos_consumo_datadis'!A:A,"",""),"""")"),"ES0031408323131005HX0F")</f>
        <v>ES0031408323131005HX0F</v>
      </c>
      <c r="B2450" s="12">
        <f>IFERROR(__xludf.DUMMYFUNCTION("""COMPUTED_VALUE"""),44968.0)</f>
        <v>44968</v>
      </c>
      <c r="C2450" s="13">
        <f>IFERROR(__xludf.DUMMYFUNCTION("""COMPUTED_VALUE"""),0.041666666666666664)</f>
        <v>0.04166666667</v>
      </c>
      <c r="D2450" s="8">
        <f>IFERROR(__xludf.DUMMYFUNCTION("""COMPUTED_VALUE"""),1.901)</f>
        <v>1.901</v>
      </c>
      <c r="E2450" s="8" t="str">
        <f>IFERROR(__xludf.DUMMYFUNCTION("""COMPUTED_VALUE"""),"Real")</f>
        <v>Real</v>
      </c>
      <c r="G2450" s="8">
        <f t="shared" si="1"/>
        <v>2</v>
      </c>
      <c r="H2450" s="14">
        <f t="shared" si="2"/>
        <v>11</v>
      </c>
      <c r="I2450" s="15">
        <f t="shared" si="3"/>
        <v>1</v>
      </c>
    </row>
    <row r="2451">
      <c r="A2451" s="8" t="str">
        <f>IFERROR(__xludf.DUMMYFUNCTION("IF('(INGESTA)Datos_consumo_datadis'!A2451&lt;&gt;"""",SPLIT('(INGESTA)Datos_consumo_datadis'!A:A,"",""),"""")"),"ES0031408323131005HX0F")</f>
        <v>ES0031408323131005HX0F</v>
      </c>
      <c r="B2451" s="12">
        <f>IFERROR(__xludf.DUMMYFUNCTION("""COMPUTED_VALUE"""),44968.0)</f>
        <v>44968</v>
      </c>
      <c r="C2451" s="13">
        <f>IFERROR(__xludf.DUMMYFUNCTION("""COMPUTED_VALUE"""),0.08333333333333333)</f>
        <v>0.08333333333</v>
      </c>
      <c r="D2451" s="8">
        <f>IFERROR(__xludf.DUMMYFUNCTION("""COMPUTED_VALUE"""),2.016)</f>
        <v>2.016</v>
      </c>
      <c r="E2451" s="8" t="str">
        <f>IFERROR(__xludf.DUMMYFUNCTION("""COMPUTED_VALUE"""),"Real")</f>
        <v>Real</v>
      </c>
      <c r="G2451" s="8">
        <f t="shared" si="1"/>
        <v>2</v>
      </c>
      <c r="H2451" s="14">
        <f t="shared" si="2"/>
        <v>11</v>
      </c>
      <c r="I2451" s="15">
        <f t="shared" si="3"/>
        <v>2</v>
      </c>
    </row>
    <row r="2452">
      <c r="A2452" s="8" t="str">
        <f>IFERROR(__xludf.DUMMYFUNCTION("IF('(INGESTA)Datos_consumo_datadis'!A2452&lt;&gt;"""",SPLIT('(INGESTA)Datos_consumo_datadis'!A:A,"",""),"""")"),"ES0031408323131005HX0F")</f>
        <v>ES0031408323131005HX0F</v>
      </c>
      <c r="B2452" s="12">
        <f>IFERROR(__xludf.DUMMYFUNCTION("""COMPUTED_VALUE"""),44968.0)</f>
        <v>44968</v>
      </c>
      <c r="C2452" s="13">
        <f>IFERROR(__xludf.DUMMYFUNCTION("""COMPUTED_VALUE"""),0.125)</f>
        <v>0.125</v>
      </c>
      <c r="D2452" s="8">
        <f>IFERROR(__xludf.DUMMYFUNCTION("""COMPUTED_VALUE"""),1.865)</f>
        <v>1.865</v>
      </c>
      <c r="E2452" s="8" t="str">
        <f>IFERROR(__xludf.DUMMYFUNCTION("""COMPUTED_VALUE"""),"Real")</f>
        <v>Real</v>
      </c>
      <c r="G2452" s="8">
        <f t="shared" si="1"/>
        <v>2</v>
      </c>
      <c r="H2452" s="14">
        <f t="shared" si="2"/>
        <v>11</v>
      </c>
      <c r="I2452" s="15">
        <f t="shared" si="3"/>
        <v>3</v>
      </c>
    </row>
    <row r="2453">
      <c r="A2453" s="8" t="str">
        <f>IFERROR(__xludf.DUMMYFUNCTION("IF('(INGESTA)Datos_consumo_datadis'!A2453&lt;&gt;"""",SPLIT('(INGESTA)Datos_consumo_datadis'!A:A,"",""),"""")"),"ES0031408323131005HX0F")</f>
        <v>ES0031408323131005HX0F</v>
      </c>
      <c r="B2453" s="12">
        <f>IFERROR(__xludf.DUMMYFUNCTION("""COMPUTED_VALUE"""),44968.0)</f>
        <v>44968</v>
      </c>
      <c r="C2453" s="13">
        <f>IFERROR(__xludf.DUMMYFUNCTION("""COMPUTED_VALUE"""),0.16666666666666666)</f>
        <v>0.1666666667</v>
      </c>
      <c r="D2453" s="8">
        <f>IFERROR(__xludf.DUMMYFUNCTION("""COMPUTED_VALUE"""),1.813)</f>
        <v>1.813</v>
      </c>
      <c r="E2453" s="8" t="str">
        <f>IFERROR(__xludf.DUMMYFUNCTION("""COMPUTED_VALUE"""),"Real")</f>
        <v>Real</v>
      </c>
      <c r="G2453" s="8">
        <f t="shared" si="1"/>
        <v>2</v>
      </c>
      <c r="H2453" s="14">
        <f t="shared" si="2"/>
        <v>11</v>
      </c>
      <c r="I2453" s="15">
        <f t="shared" si="3"/>
        <v>4</v>
      </c>
    </row>
    <row r="2454">
      <c r="A2454" s="8" t="str">
        <f>IFERROR(__xludf.DUMMYFUNCTION("IF('(INGESTA)Datos_consumo_datadis'!A2454&lt;&gt;"""",SPLIT('(INGESTA)Datos_consumo_datadis'!A:A,"",""),"""")"),"ES0031408323131005HX0F")</f>
        <v>ES0031408323131005HX0F</v>
      </c>
      <c r="B2454" s="12">
        <f>IFERROR(__xludf.DUMMYFUNCTION("""COMPUTED_VALUE"""),44968.0)</f>
        <v>44968</v>
      </c>
      <c r="C2454" s="13">
        <f>IFERROR(__xludf.DUMMYFUNCTION("""COMPUTED_VALUE"""),0.20833333333333334)</f>
        <v>0.2083333333</v>
      </c>
      <c r="D2454" s="8">
        <f>IFERROR(__xludf.DUMMYFUNCTION("""COMPUTED_VALUE"""),1.762)</f>
        <v>1.762</v>
      </c>
      <c r="E2454" s="8" t="str">
        <f>IFERROR(__xludf.DUMMYFUNCTION("""COMPUTED_VALUE"""),"Real")</f>
        <v>Real</v>
      </c>
      <c r="G2454" s="8">
        <f t="shared" si="1"/>
        <v>2</v>
      </c>
      <c r="H2454" s="14">
        <f t="shared" si="2"/>
        <v>11</v>
      </c>
      <c r="I2454" s="15">
        <f t="shared" si="3"/>
        <v>5</v>
      </c>
    </row>
    <row r="2455">
      <c r="A2455" s="8" t="str">
        <f>IFERROR(__xludf.DUMMYFUNCTION("IF('(INGESTA)Datos_consumo_datadis'!A2455&lt;&gt;"""",SPLIT('(INGESTA)Datos_consumo_datadis'!A:A,"",""),"""")"),"ES0031408323131005HX0F")</f>
        <v>ES0031408323131005HX0F</v>
      </c>
      <c r="B2455" s="12">
        <f>IFERROR(__xludf.DUMMYFUNCTION("""COMPUTED_VALUE"""),44968.0)</f>
        <v>44968</v>
      </c>
      <c r="C2455" s="13">
        <f>IFERROR(__xludf.DUMMYFUNCTION("""COMPUTED_VALUE"""),0.25)</f>
        <v>0.25</v>
      </c>
      <c r="D2455" s="8">
        <f>IFERROR(__xludf.DUMMYFUNCTION("""COMPUTED_VALUE"""),1.785)</f>
        <v>1.785</v>
      </c>
      <c r="E2455" s="8" t="str">
        <f>IFERROR(__xludf.DUMMYFUNCTION("""COMPUTED_VALUE"""),"Real")</f>
        <v>Real</v>
      </c>
      <c r="G2455" s="8">
        <f t="shared" si="1"/>
        <v>2</v>
      </c>
      <c r="H2455" s="14">
        <f t="shared" si="2"/>
        <v>11</v>
      </c>
      <c r="I2455" s="15">
        <f t="shared" si="3"/>
        <v>6</v>
      </c>
    </row>
    <row r="2456">
      <c r="A2456" s="8" t="str">
        <f>IFERROR(__xludf.DUMMYFUNCTION("IF('(INGESTA)Datos_consumo_datadis'!A2456&lt;&gt;"""",SPLIT('(INGESTA)Datos_consumo_datadis'!A:A,"",""),"""")"),"ES0031408323131005HX0F")</f>
        <v>ES0031408323131005HX0F</v>
      </c>
      <c r="B2456" s="12">
        <f>IFERROR(__xludf.DUMMYFUNCTION("""COMPUTED_VALUE"""),44968.0)</f>
        <v>44968</v>
      </c>
      <c r="C2456" s="13">
        <f>IFERROR(__xludf.DUMMYFUNCTION("""COMPUTED_VALUE"""),0.2916666666666667)</f>
        <v>0.2916666667</v>
      </c>
      <c r="D2456" s="8">
        <f>IFERROR(__xludf.DUMMYFUNCTION("""COMPUTED_VALUE"""),1.809)</f>
        <v>1.809</v>
      </c>
      <c r="E2456" s="8" t="str">
        <f>IFERROR(__xludf.DUMMYFUNCTION("""COMPUTED_VALUE"""),"Real")</f>
        <v>Real</v>
      </c>
      <c r="G2456" s="8">
        <f t="shared" si="1"/>
        <v>2</v>
      </c>
      <c r="H2456" s="14">
        <f t="shared" si="2"/>
        <v>11</v>
      </c>
      <c r="I2456" s="15">
        <f t="shared" si="3"/>
        <v>7</v>
      </c>
    </row>
    <row r="2457">
      <c r="A2457" s="8" t="str">
        <f>IFERROR(__xludf.DUMMYFUNCTION("IF('(INGESTA)Datos_consumo_datadis'!A2457&lt;&gt;"""",SPLIT('(INGESTA)Datos_consumo_datadis'!A:A,"",""),"""")"),"ES0031408323131005HX0F")</f>
        <v>ES0031408323131005HX0F</v>
      </c>
      <c r="B2457" s="12">
        <f>IFERROR(__xludf.DUMMYFUNCTION("""COMPUTED_VALUE"""),44968.0)</f>
        <v>44968</v>
      </c>
      <c r="C2457" s="13">
        <f>IFERROR(__xludf.DUMMYFUNCTION("""COMPUTED_VALUE"""),0.3333333333333333)</f>
        <v>0.3333333333</v>
      </c>
      <c r="D2457" s="8">
        <f>IFERROR(__xludf.DUMMYFUNCTION("""COMPUTED_VALUE"""),1.837)</f>
        <v>1.837</v>
      </c>
      <c r="E2457" s="8" t="str">
        <f>IFERROR(__xludf.DUMMYFUNCTION("""COMPUTED_VALUE"""),"Real")</f>
        <v>Real</v>
      </c>
      <c r="G2457" s="8">
        <f t="shared" si="1"/>
        <v>2</v>
      </c>
      <c r="H2457" s="14">
        <f t="shared" si="2"/>
        <v>11</v>
      </c>
      <c r="I2457" s="15">
        <f t="shared" si="3"/>
        <v>8</v>
      </c>
    </row>
    <row r="2458">
      <c r="A2458" s="8" t="str">
        <f>IFERROR(__xludf.DUMMYFUNCTION("IF('(INGESTA)Datos_consumo_datadis'!A2458&lt;&gt;"""",SPLIT('(INGESTA)Datos_consumo_datadis'!A:A,"",""),"""")"),"ES0031408323131005HX0F")</f>
        <v>ES0031408323131005HX0F</v>
      </c>
      <c r="B2458" s="12">
        <f>IFERROR(__xludf.DUMMYFUNCTION("""COMPUTED_VALUE"""),44968.0)</f>
        <v>44968</v>
      </c>
      <c r="C2458" s="13">
        <f>IFERROR(__xludf.DUMMYFUNCTION("""COMPUTED_VALUE"""),0.375)</f>
        <v>0.375</v>
      </c>
      <c r="D2458" s="8">
        <f>IFERROR(__xludf.DUMMYFUNCTION("""COMPUTED_VALUE"""),1.952)</f>
        <v>1.952</v>
      </c>
      <c r="E2458" s="8" t="str">
        <f>IFERROR(__xludf.DUMMYFUNCTION("""COMPUTED_VALUE"""),"Real")</f>
        <v>Real</v>
      </c>
      <c r="G2458" s="8">
        <f t="shared" si="1"/>
        <v>2</v>
      </c>
      <c r="H2458" s="14">
        <f t="shared" si="2"/>
        <v>11</v>
      </c>
      <c r="I2458" s="15">
        <f t="shared" si="3"/>
        <v>9</v>
      </c>
    </row>
    <row r="2459">
      <c r="A2459" s="8" t="str">
        <f>IFERROR(__xludf.DUMMYFUNCTION("IF('(INGESTA)Datos_consumo_datadis'!A2459&lt;&gt;"""",SPLIT('(INGESTA)Datos_consumo_datadis'!A:A,"",""),"""")"),"ES0031408323131005HX0F")</f>
        <v>ES0031408323131005HX0F</v>
      </c>
      <c r="B2459" s="12">
        <f>IFERROR(__xludf.DUMMYFUNCTION("""COMPUTED_VALUE"""),44968.0)</f>
        <v>44968</v>
      </c>
      <c r="C2459" s="13">
        <f>IFERROR(__xludf.DUMMYFUNCTION("""COMPUTED_VALUE"""),0.4166666666666667)</f>
        <v>0.4166666667</v>
      </c>
      <c r="D2459" s="8">
        <f>IFERROR(__xludf.DUMMYFUNCTION("""COMPUTED_VALUE"""),1.826)</f>
        <v>1.826</v>
      </c>
      <c r="E2459" s="8" t="str">
        <f>IFERROR(__xludf.DUMMYFUNCTION("""COMPUTED_VALUE"""),"Real")</f>
        <v>Real</v>
      </c>
      <c r="G2459" s="8">
        <f t="shared" si="1"/>
        <v>2</v>
      </c>
      <c r="H2459" s="14">
        <f t="shared" si="2"/>
        <v>11</v>
      </c>
      <c r="I2459" s="15">
        <f t="shared" si="3"/>
        <v>10</v>
      </c>
    </row>
    <row r="2460">
      <c r="A2460" s="8" t="str">
        <f>IFERROR(__xludf.DUMMYFUNCTION("IF('(INGESTA)Datos_consumo_datadis'!A2460&lt;&gt;"""",SPLIT('(INGESTA)Datos_consumo_datadis'!A:A,"",""),"""")"),"ES0031408323131005HX0F")</f>
        <v>ES0031408323131005HX0F</v>
      </c>
      <c r="B2460" s="12">
        <f>IFERROR(__xludf.DUMMYFUNCTION("""COMPUTED_VALUE"""),44968.0)</f>
        <v>44968</v>
      </c>
      <c r="C2460" s="13">
        <f>IFERROR(__xludf.DUMMYFUNCTION("""COMPUTED_VALUE"""),0.4583333333333333)</f>
        <v>0.4583333333</v>
      </c>
      <c r="D2460" s="8">
        <f>IFERROR(__xludf.DUMMYFUNCTION("""COMPUTED_VALUE"""),1.337)</f>
        <v>1.337</v>
      </c>
      <c r="E2460" s="8" t="str">
        <f>IFERROR(__xludf.DUMMYFUNCTION("""COMPUTED_VALUE"""),"Real")</f>
        <v>Real</v>
      </c>
      <c r="G2460" s="8">
        <f t="shared" si="1"/>
        <v>2</v>
      </c>
      <c r="H2460" s="14">
        <f t="shared" si="2"/>
        <v>11</v>
      </c>
      <c r="I2460" s="15">
        <f t="shared" si="3"/>
        <v>11</v>
      </c>
    </row>
    <row r="2461">
      <c r="A2461" s="8" t="str">
        <f>IFERROR(__xludf.DUMMYFUNCTION("IF('(INGESTA)Datos_consumo_datadis'!A2461&lt;&gt;"""",SPLIT('(INGESTA)Datos_consumo_datadis'!A:A,"",""),"""")"),"ES0031408323131005HX0F")</f>
        <v>ES0031408323131005HX0F</v>
      </c>
      <c r="B2461" s="12">
        <f>IFERROR(__xludf.DUMMYFUNCTION("""COMPUTED_VALUE"""),44968.0)</f>
        <v>44968</v>
      </c>
      <c r="C2461" s="13">
        <f>IFERROR(__xludf.DUMMYFUNCTION("""COMPUTED_VALUE"""),0.5)</f>
        <v>0.5</v>
      </c>
      <c r="D2461" s="8">
        <f>IFERROR(__xludf.DUMMYFUNCTION("""COMPUTED_VALUE"""),0.144)</f>
        <v>0.144</v>
      </c>
      <c r="E2461" s="8" t="str">
        <f>IFERROR(__xludf.DUMMYFUNCTION("""COMPUTED_VALUE"""),"Real")</f>
        <v>Real</v>
      </c>
      <c r="G2461" s="8">
        <f t="shared" si="1"/>
        <v>2</v>
      </c>
      <c r="H2461" s="14">
        <f t="shared" si="2"/>
        <v>11</v>
      </c>
      <c r="I2461" s="15">
        <f t="shared" si="3"/>
        <v>12</v>
      </c>
    </row>
    <row r="2462">
      <c r="A2462" s="8" t="str">
        <f>IFERROR(__xludf.DUMMYFUNCTION("IF('(INGESTA)Datos_consumo_datadis'!A2462&lt;&gt;"""",SPLIT('(INGESTA)Datos_consumo_datadis'!A:A,"",""),"""")"),"ES0031408323131005HX0F")</f>
        <v>ES0031408323131005HX0F</v>
      </c>
      <c r="B2462" s="12">
        <f>IFERROR(__xludf.DUMMYFUNCTION("""COMPUTED_VALUE"""),44968.0)</f>
        <v>44968</v>
      </c>
      <c r="C2462" s="13">
        <f>IFERROR(__xludf.DUMMYFUNCTION("""COMPUTED_VALUE"""),0.5416666666666666)</f>
        <v>0.5416666667</v>
      </c>
      <c r="D2462" s="8">
        <f>IFERROR(__xludf.DUMMYFUNCTION("""COMPUTED_VALUE"""),0.081)</f>
        <v>0.081</v>
      </c>
      <c r="E2462" s="8" t="str">
        <f>IFERROR(__xludf.DUMMYFUNCTION("""COMPUTED_VALUE"""),"Real")</f>
        <v>Real</v>
      </c>
      <c r="G2462" s="8">
        <f t="shared" si="1"/>
        <v>2</v>
      </c>
      <c r="H2462" s="14">
        <f t="shared" si="2"/>
        <v>11</v>
      </c>
      <c r="I2462" s="15">
        <f t="shared" si="3"/>
        <v>13</v>
      </c>
    </row>
    <row r="2463">
      <c r="A2463" s="8" t="str">
        <f>IFERROR(__xludf.DUMMYFUNCTION("IF('(INGESTA)Datos_consumo_datadis'!A2463&lt;&gt;"""",SPLIT('(INGESTA)Datos_consumo_datadis'!A:A,"",""),"""")"),"ES0031408323131005HX0F")</f>
        <v>ES0031408323131005HX0F</v>
      </c>
      <c r="B2463" s="12">
        <f>IFERROR(__xludf.DUMMYFUNCTION("""COMPUTED_VALUE"""),44968.0)</f>
        <v>44968</v>
      </c>
      <c r="C2463" s="13">
        <f>IFERROR(__xludf.DUMMYFUNCTION("""COMPUTED_VALUE"""),0.5833333333333334)</f>
        <v>0.5833333333</v>
      </c>
      <c r="D2463" s="8">
        <f>IFERROR(__xludf.DUMMYFUNCTION("""COMPUTED_VALUE"""),0.347)</f>
        <v>0.347</v>
      </c>
      <c r="E2463" s="8" t="str">
        <f>IFERROR(__xludf.DUMMYFUNCTION("""COMPUTED_VALUE"""),"Real")</f>
        <v>Real</v>
      </c>
      <c r="G2463" s="8">
        <f t="shared" si="1"/>
        <v>2</v>
      </c>
      <c r="H2463" s="14">
        <f t="shared" si="2"/>
        <v>11</v>
      </c>
      <c r="I2463" s="15">
        <f t="shared" si="3"/>
        <v>14</v>
      </c>
    </row>
    <row r="2464">
      <c r="A2464" s="8" t="str">
        <f>IFERROR(__xludf.DUMMYFUNCTION("IF('(INGESTA)Datos_consumo_datadis'!A2464&lt;&gt;"""",SPLIT('(INGESTA)Datos_consumo_datadis'!A:A,"",""),"""")"),"ES0031408323131005HX0F")</f>
        <v>ES0031408323131005HX0F</v>
      </c>
      <c r="B2464" s="12">
        <f>IFERROR(__xludf.DUMMYFUNCTION("""COMPUTED_VALUE"""),44968.0)</f>
        <v>44968</v>
      </c>
      <c r="C2464" s="13">
        <f>IFERROR(__xludf.DUMMYFUNCTION("""COMPUTED_VALUE"""),0.625)</f>
        <v>0.625</v>
      </c>
      <c r="D2464" s="8">
        <f>IFERROR(__xludf.DUMMYFUNCTION("""COMPUTED_VALUE"""),0.016)</f>
        <v>0.016</v>
      </c>
      <c r="E2464" s="8" t="str">
        <f>IFERROR(__xludf.DUMMYFUNCTION("""COMPUTED_VALUE"""),"Real")</f>
        <v>Real</v>
      </c>
      <c r="G2464" s="8">
        <f t="shared" si="1"/>
        <v>2</v>
      </c>
      <c r="H2464" s="14">
        <f t="shared" si="2"/>
        <v>11</v>
      </c>
      <c r="I2464" s="15">
        <f t="shared" si="3"/>
        <v>15</v>
      </c>
    </row>
    <row r="2465">
      <c r="A2465" s="8" t="str">
        <f>IFERROR(__xludf.DUMMYFUNCTION("IF('(INGESTA)Datos_consumo_datadis'!A2465&lt;&gt;"""",SPLIT('(INGESTA)Datos_consumo_datadis'!A:A,"",""),"""")"),"ES0031408323131005HX0F")</f>
        <v>ES0031408323131005HX0F</v>
      </c>
      <c r="B2465" s="12">
        <f>IFERROR(__xludf.DUMMYFUNCTION("""COMPUTED_VALUE"""),44968.0)</f>
        <v>44968</v>
      </c>
      <c r="C2465" s="13">
        <f>IFERROR(__xludf.DUMMYFUNCTION("""COMPUTED_VALUE"""),0.6666666666666666)</f>
        <v>0.6666666667</v>
      </c>
      <c r="D2465" s="8">
        <f>IFERROR(__xludf.DUMMYFUNCTION("""COMPUTED_VALUE"""),0.05)</f>
        <v>0.05</v>
      </c>
      <c r="E2465" s="8" t="str">
        <f>IFERROR(__xludf.DUMMYFUNCTION("""COMPUTED_VALUE"""),"Real")</f>
        <v>Real</v>
      </c>
      <c r="G2465" s="8">
        <f t="shared" si="1"/>
        <v>2</v>
      </c>
      <c r="H2465" s="14">
        <f t="shared" si="2"/>
        <v>11</v>
      </c>
      <c r="I2465" s="15">
        <f t="shared" si="3"/>
        <v>16</v>
      </c>
    </row>
    <row r="2466">
      <c r="A2466" s="8" t="str">
        <f>IFERROR(__xludf.DUMMYFUNCTION("IF('(INGESTA)Datos_consumo_datadis'!A2466&lt;&gt;"""",SPLIT('(INGESTA)Datos_consumo_datadis'!A:A,"",""),"""")"),"ES0031408323131005HX0F")</f>
        <v>ES0031408323131005HX0F</v>
      </c>
      <c r="B2466" s="12">
        <f>IFERROR(__xludf.DUMMYFUNCTION("""COMPUTED_VALUE"""),44968.0)</f>
        <v>44968</v>
      </c>
      <c r="C2466" s="13">
        <f>IFERROR(__xludf.DUMMYFUNCTION("""COMPUTED_VALUE"""),0.7083333333333334)</f>
        <v>0.7083333333</v>
      </c>
      <c r="D2466" s="8">
        <f>IFERROR(__xludf.DUMMYFUNCTION("""COMPUTED_VALUE"""),0.05)</f>
        <v>0.05</v>
      </c>
      <c r="E2466" s="8" t="str">
        <f>IFERROR(__xludf.DUMMYFUNCTION("""COMPUTED_VALUE"""),"Real")</f>
        <v>Real</v>
      </c>
      <c r="G2466" s="8">
        <f t="shared" si="1"/>
        <v>2</v>
      </c>
      <c r="H2466" s="14">
        <f t="shared" si="2"/>
        <v>11</v>
      </c>
      <c r="I2466" s="15">
        <f t="shared" si="3"/>
        <v>17</v>
      </c>
    </row>
    <row r="2467">
      <c r="A2467" s="8" t="str">
        <f>IFERROR(__xludf.DUMMYFUNCTION("IF('(INGESTA)Datos_consumo_datadis'!A2467&lt;&gt;"""",SPLIT('(INGESTA)Datos_consumo_datadis'!A:A,"",""),"""")"),"ES0031408323131005HX0F")</f>
        <v>ES0031408323131005HX0F</v>
      </c>
      <c r="B2467" s="12">
        <f>IFERROR(__xludf.DUMMYFUNCTION("""COMPUTED_VALUE"""),44968.0)</f>
        <v>44968</v>
      </c>
      <c r="C2467" s="13">
        <f>IFERROR(__xludf.DUMMYFUNCTION("""COMPUTED_VALUE"""),0.75)</f>
        <v>0.75</v>
      </c>
      <c r="D2467" s="8">
        <f>IFERROR(__xludf.DUMMYFUNCTION("""COMPUTED_VALUE"""),0.044)</f>
        <v>0.044</v>
      </c>
      <c r="E2467" s="8" t="str">
        <f>IFERROR(__xludf.DUMMYFUNCTION("""COMPUTED_VALUE"""),"Real")</f>
        <v>Real</v>
      </c>
      <c r="G2467" s="8">
        <f t="shared" si="1"/>
        <v>2</v>
      </c>
      <c r="H2467" s="14">
        <f t="shared" si="2"/>
        <v>11</v>
      </c>
      <c r="I2467" s="15">
        <f t="shared" si="3"/>
        <v>18</v>
      </c>
    </row>
    <row r="2468">
      <c r="A2468" s="8" t="str">
        <f>IFERROR(__xludf.DUMMYFUNCTION("IF('(INGESTA)Datos_consumo_datadis'!A2468&lt;&gt;"""",SPLIT('(INGESTA)Datos_consumo_datadis'!A:A,"",""),"""")"),"ES0031408323131005HX0F")</f>
        <v>ES0031408323131005HX0F</v>
      </c>
      <c r="B2468" s="12">
        <f>IFERROR(__xludf.DUMMYFUNCTION("""COMPUTED_VALUE"""),44968.0)</f>
        <v>44968</v>
      </c>
      <c r="C2468" s="13">
        <f>IFERROR(__xludf.DUMMYFUNCTION("""COMPUTED_VALUE"""),0.7916666666666666)</f>
        <v>0.7916666667</v>
      </c>
      <c r="D2468" s="8">
        <f>IFERROR(__xludf.DUMMYFUNCTION("""COMPUTED_VALUE"""),0.154)</f>
        <v>0.154</v>
      </c>
      <c r="E2468" s="8" t="str">
        <f>IFERROR(__xludf.DUMMYFUNCTION("""COMPUTED_VALUE"""),"Real")</f>
        <v>Real</v>
      </c>
      <c r="G2468" s="8">
        <f t="shared" si="1"/>
        <v>2</v>
      </c>
      <c r="H2468" s="14">
        <f t="shared" si="2"/>
        <v>11</v>
      </c>
      <c r="I2468" s="15">
        <f t="shared" si="3"/>
        <v>19</v>
      </c>
    </row>
    <row r="2469">
      <c r="A2469" s="8" t="str">
        <f>IFERROR(__xludf.DUMMYFUNCTION("IF('(INGESTA)Datos_consumo_datadis'!A2469&lt;&gt;"""",SPLIT('(INGESTA)Datos_consumo_datadis'!A:A,"",""),"""")"),"ES0031408323131005HX0F")</f>
        <v>ES0031408323131005HX0F</v>
      </c>
      <c r="B2469" s="12">
        <f>IFERROR(__xludf.DUMMYFUNCTION("""COMPUTED_VALUE"""),44968.0)</f>
        <v>44968</v>
      </c>
      <c r="C2469" s="13">
        <f>IFERROR(__xludf.DUMMYFUNCTION("""COMPUTED_VALUE"""),0.8333333333333334)</f>
        <v>0.8333333333</v>
      </c>
      <c r="D2469" s="8">
        <f>IFERROR(__xludf.DUMMYFUNCTION("""COMPUTED_VALUE"""),1.478)</f>
        <v>1.478</v>
      </c>
      <c r="E2469" s="8" t="str">
        <f>IFERROR(__xludf.DUMMYFUNCTION("""COMPUTED_VALUE"""),"Real")</f>
        <v>Real</v>
      </c>
      <c r="G2469" s="8">
        <f t="shared" si="1"/>
        <v>2</v>
      </c>
      <c r="H2469" s="14">
        <f t="shared" si="2"/>
        <v>11</v>
      </c>
      <c r="I2469" s="15">
        <f t="shared" si="3"/>
        <v>20</v>
      </c>
    </row>
    <row r="2470">
      <c r="A2470" s="8" t="str">
        <f>IFERROR(__xludf.DUMMYFUNCTION("IF('(INGESTA)Datos_consumo_datadis'!A2470&lt;&gt;"""",SPLIT('(INGESTA)Datos_consumo_datadis'!A:A,"",""),"""")"),"ES0031408323131005HX0F")</f>
        <v>ES0031408323131005HX0F</v>
      </c>
      <c r="B2470" s="12">
        <f>IFERROR(__xludf.DUMMYFUNCTION("""COMPUTED_VALUE"""),44968.0)</f>
        <v>44968</v>
      </c>
      <c r="C2470" s="13">
        <f>IFERROR(__xludf.DUMMYFUNCTION("""COMPUTED_VALUE"""),0.875)</f>
        <v>0.875</v>
      </c>
      <c r="D2470" s="8">
        <f>IFERROR(__xludf.DUMMYFUNCTION("""COMPUTED_VALUE"""),3.203)</f>
        <v>3.203</v>
      </c>
      <c r="E2470" s="8" t="str">
        <f>IFERROR(__xludf.DUMMYFUNCTION("""COMPUTED_VALUE"""),"Real")</f>
        <v>Real</v>
      </c>
      <c r="G2470" s="8">
        <f t="shared" si="1"/>
        <v>2</v>
      </c>
      <c r="H2470" s="14">
        <f t="shared" si="2"/>
        <v>11</v>
      </c>
      <c r="I2470" s="15">
        <f t="shared" si="3"/>
        <v>21</v>
      </c>
    </row>
    <row r="2471">
      <c r="A2471" s="8" t="str">
        <f>IFERROR(__xludf.DUMMYFUNCTION("IF('(INGESTA)Datos_consumo_datadis'!A2471&lt;&gt;"""",SPLIT('(INGESTA)Datos_consumo_datadis'!A:A,"",""),"""")"),"ES0031408323131005HX0F")</f>
        <v>ES0031408323131005HX0F</v>
      </c>
      <c r="B2471" s="12">
        <f>IFERROR(__xludf.DUMMYFUNCTION("""COMPUTED_VALUE"""),44968.0)</f>
        <v>44968</v>
      </c>
      <c r="C2471" s="13">
        <f>IFERROR(__xludf.DUMMYFUNCTION("""COMPUTED_VALUE"""),0.9166666666666666)</f>
        <v>0.9166666667</v>
      </c>
      <c r="D2471" s="8">
        <f>IFERROR(__xludf.DUMMYFUNCTION("""COMPUTED_VALUE"""),4.263)</f>
        <v>4.263</v>
      </c>
      <c r="E2471" s="8" t="str">
        <f>IFERROR(__xludf.DUMMYFUNCTION("""COMPUTED_VALUE"""),"Real")</f>
        <v>Real</v>
      </c>
      <c r="G2471" s="8">
        <f t="shared" si="1"/>
        <v>2</v>
      </c>
      <c r="H2471" s="14">
        <f t="shared" si="2"/>
        <v>11</v>
      </c>
      <c r="I2471" s="15">
        <f t="shared" si="3"/>
        <v>22</v>
      </c>
    </row>
    <row r="2472">
      <c r="A2472" s="8" t="str">
        <f>IFERROR(__xludf.DUMMYFUNCTION("IF('(INGESTA)Datos_consumo_datadis'!A2472&lt;&gt;"""",SPLIT('(INGESTA)Datos_consumo_datadis'!A:A,"",""),"""")"),"ES0031408323131005HX0F")</f>
        <v>ES0031408323131005HX0F</v>
      </c>
      <c r="B2472" s="12">
        <f>IFERROR(__xludf.DUMMYFUNCTION("""COMPUTED_VALUE"""),44968.0)</f>
        <v>44968</v>
      </c>
      <c r="C2472" s="13">
        <f>IFERROR(__xludf.DUMMYFUNCTION("""COMPUTED_VALUE"""),0.9583333333333334)</f>
        <v>0.9583333333</v>
      </c>
      <c r="D2472" s="8">
        <f>IFERROR(__xludf.DUMMYFUNCTION("""COMPUTED_VALUE"""),2.532)</f>
        <v>2.532</v>
      </c>
      <c r="E2472" s="8" t="str">
        <f>IFERROR(__xludf.DUMMYFUNCTION("""COMPUTED_VALUE"""),"Real")</f>
        <v>Real</v>
      </c>
      <c r="G2472" s="8">
        <f t="shared" si="1"/>
        <v>2</v>
      </c>
      <c r="H2472" s="14">
        <f t="shared" si="2"/>
        <v>11</v>
      </c>
      <c r="I2472" s="15">
        <f t="shared" si="3"/>
        <v>23</v>
      </c>
    </row>
    <row r="2473">
      <c r="A2473" s="8" t="str">
        <f>IFERROR(__xludf.DUMMYFUNCTION("IF('(INGESTA)Datos_consumo_datadis'!A2473&lt;&gt;"""",SPLIT('(INGESTA)Datos_consumo_datadis'!A:A,"",""),"""")"),"ES0031408323131005HX0F")</f>
        <v>ES0031408323131005HX0F</v>
      </c>
      <c r="B2473" s="12">
        <f>IFERROR(__xludf.DUMMYFUNCTION("""COMPUTED_VALUE"""),44968.0)</f>
        <v>44968</v>
      </c>
      <c r="C2473" s="16">
        <f>IFERROR(__xludf.DUMMYFUNCTION("""COMPUTED_VALUE"""),1.0)</f>
        <v>1</v>
      </c>
      <c r="D2473" s="8">
        <f>IFERROR(__xludf.DUMMYFUNCTION("""COMPUTED_VALUE"""),2.549)</f>
        <v>2.549</v>
      </c>
      <c r="E2473" s="8" t="str">
        <f>IFERROR(__xludf.DUMMYFUNCTION("""COMPUTED_VALUE"""),"Real")</f>
        <v>Real</v>
      </c>
      <c r="G2473" s="8">
        <f t="shared" si="1"/>
        <v>2</v>
      </c>
      <c r="H2473" s="14">
        <f t="shared" si="2"/>
        <v>11</v>
      </c>
      <c r="I2473" s="15">
        <f t="shared" si="3"/>
        <v>0</v>
      </c>
    </row>
    <row r="2474">
      <c r="A2474" s="8" t="str">
        <f>IFERROR(__xludf.DUMMYFUNCTION("IF('(INGESTA)Datos_consumo_datadis'!A2474&lt;&gt;"""",SPLIT('(INGESTA)Datos_consumo_datadis'!A:A,"",""),"""")"),"ES0031408323131005HX0F")</f>
        <v>ES0031408323131005HX0F</v>
      </c>
      <c r="B2474" s="12">
        <f>IFERROR(__xludf.DUMMYFUNCTION("""COMPUTED_VALUE"""),44969.0)</f>
        <v>44969</v>
      </c>
      <c r="C2474" s="13">
        <f>IFERROR(__xludf.DUMMYFUNCTION("""COMPUTED_VALUE"""),0.041666666666666664)</f>
        <v>0.04166666667</v>
      </c>
      <c r="D2474" s="8">
        <f>IFERROR(__xludf.DUMMYFUNCTION("""COMPUTED_VALUE"""),1.96)</f>
        <v>1.96</v>
      </c>
      <c r="E2474" s="8" t="str">
        <f>IFERROR(__xludf.DUMMYFUNCTION("""COMPUTED_VALUE"""),"Real")</f>
        <v>Real</v>
      </c>
      <c r="G2474" s="8">
        <f t="shared" si="1"/>
        <v>2</v>
      </c>
      <c r="H2474" s="14">
        <f t="shared" si="2"/>
        <v>12</v>
      </c>
      <c r="I2474" s="15">
        <f t="shared" si="3"/>
        <v>1</v>
      </c>
    </row>
    <row r="2475">
      <c r="A2475" s="8" t="str">
        <f>IFERROR(__xludf.DUMMYFUNCTION("IF('(INGESTA)Datos_consumo_datadis'!A2475&lt;&gt;"""",SPLIT('(INGESTA)Datos_consumo_datadis'!A:A,"",""),"""")"),"ES0031408323131005HX0F")</f>
        <v>ES0031408323131005HX0F</v>
      </c>
      <c r="B2475" s="12">
        <f>IFERROR(__xludf.DUMMYFUNCTION("""COMPUTED_VALUE"""),44969.0)</f>
        <v>44969</v>
      </c>
      <c r="C2475" s="13">
        <f>IFERROR(__xludf.DUMMYFUNCTION("""COMPUTED_VALUE"""),0.08333333333333333)</f>
        <v>0.08333333333</v>
      </c>
      <c r="D2475" s="8">
        <f>IFERROR(__xludf.DUMMYFUNCTION("""COMPUTED_VALUE"""),1.788)</f>
        <v>1.788</v>
      </c>
      <c r="E2475" s="8" t="str">
        <f>IFERROR(__xludf.DUMMYFUNCTION("""COMPUTED_VALUE"""),"Real")</f>
        <v>Real</v>
      </c>
      <c r="G2475" s="8">
        <f t="shared" si="1"/>
        <v>2</v>
      </c>
      <c r="H2475" s="14">
        <f t="shared" si="2"/>
        <v>12</v>
      </c>
      <c r="I2475" s="15">
        <f t="shared" si="3"/>
        <v>2</v>
      </c>
    </row>
    <row r="2476">
      <c r="A2476" s="8" t="str">
        <f>IFERROR(__xludf.DUMMYFUNCTION("IF('(INGESTA)Datos_consumo_datadis'!A2476&lt;&gt;"""",SPLIT('(INGESTA)Datos_consumo_datadis'!A:A,"",""),"""")"),"ES0031408323131005HX0F")</f>
        <v>ES0031408323131005HX0F</v>
      </c>
      <c r="B2476" s="12">
        <f>IFERROR(__xludf.DUMMYFUNCTION("""COMPUTED_VALUE"""),44969.0)</f>
        <v>44969</v>
      </c>
      <c r="C2476" s="13">
        <f>IFERROR(__xludf.DUMMYFUNCTION("""COMPUTED_VALUE"""),0.125)</f>
        <v>0.125</v>
      </c>
      <c r="D2476" s="8">
        <f>IFERROR(__xludf.DUMMYFUNCTION("""COMPUTED_VALUE"""),1.746)</f>
        <v>1.746</v>
      </c>
      <c r="E2476" s="8" t="str">
        <f>IFERROR(__xludf.DUMMYFUNCTION("""COMPUTED_VALUE"""),"Real")</f>
        <v>Real</v>
      </c>
      <c r="G2476" s="8">
        <f t="shared" si="1"/>
        <v>2</v>
      </c>
      <c r="H2476" s="14">
        <f t="shared" si="2"/>
        <v>12</v>
      </c>
      <c r="I2476" s="15">
        <f t="shared" si="3"/>
        <v>3</v>
      </c>
    </row>
    <row r="2477">
      <c r="A2477" s="8" t="str">
        <f>IFERROR(__xludf.DUMMYFUNCTION("IF('(INGESTA)Datos_consumo_datadis'!A2477&lt;&gt;"""",SPLIT('(INGESTA)Datos_consumo_datadis'!A:A,"",""),"""")"),"ES0031408323131005HX0F")</f>
        <v>ES0031408323131005HX0F</v>
      </c>
      <c r="B2477" s="12">
        <f>IFERROR(__xludf.DUMMYFUNCTION("""COMPUTED_VALUE"""),44969.0)</f>
        <v>44969</v>
      </c>
      <c r="C2477" s="13">
        <f>IFERROR(__xludf.DUMMYFUNCTION("""COMPUTED_VALUE"""),0.16666666666666666)</f>
        <v>0.1666666667</v>
      </c>
      <c r="D2477" s="8">
        <f>IFERROR(__xludf.DUMMYFUNCTION("""COMPUTED_VALUE"""),1.714)</f>
        <v>1.714</v>
      </c>
      <c r="E2477" s="8" t="str">
        <f>IFERROR(__xludf.DUMMYFUNCTION("""COMPUTED_VALUE"""),"Real")</f>
        <v>Real</v>
      </c>
      <c r="G2477" s="8">
        <f t="shared" si="1"/>
        <v>2</v>
      </c>
      <c r="H2477" s="14">
        <f t="shared" si="2"/>
        <v>12</v>
      </c>
      <c r="I2477" s="15">
        <f t="shared" si="3"/>
        <v>4</v>
      </c>
    </row>
    <row r="2478">
      <c r="A2478" s="8" t="str">
        <f>IFERROR(__xludf.DUMMYFUNCTION("IF('(INGESTA)Datos_consumo_datadis'!A2478&lt;&gt;"""",SPLIT('(INGESTA)Datos_consumo_datadis'!A:A,"",""),"""")"),"ES0031408323131005HX0F")</f>
        <v>ES0031408323131005HX0F</v>
      </c>
      <c r="B2478" s="12">
        <f>IFERROR(__xludf.DUMMYFUNCTION("""COMPUTED_VALUE"""),44969.0)</f>
        <v>44969</v>
      </c>
      <c r="C2478" s="13">
        <f>IFERROR(__xludf.DUMMYFUNCTION("""COMPUTED_VALUE"""),0.20833333333333334)</f>
        <v>0.2083333333</v>
      </c>
      <c r="D2478" s="8">
        <f>IFERROR(__xludf.DUMMYFUNCTION("""COMPUTED_VALUE"""),1.759)</f>
        <v>1.759</v>
      </c>
      <c r="E2478" s="8" t="str">
        <f>IFERROR(__xludf.DUMMYFUNCTION("""COMPUTED_VALUE"""),"Real")</f>
        <v>Real</v>
      </c>
      <c r="G2478" s="8">
        <f t="shared" si="1"/>
        <v>2</v>
      </c>
      <c r="H2478" s="14">
        <f t="shared" si="2"/>
        <v>12</v>
      </c>
      <c r="I2478" s="15">
        <f t="shared" si="3"/>
        <v>5</v>
      </c>
    </row>
    <row r="2479">
      <c r="A2479" s="8" t="str">
        <f>IFERROR(__xludf.DUMMYFUNCTION("IF('(INGESTA)Datos_consumo_datadis'!A2479&lt;&gt;"""",SPLIT('(INGESTA)Datos_consumo_datadis'!A:A,"",""),"""")"),"ES0031408323131005HX0F")</f>
        <v>ES0031408323131005HX0F</v>
      </c>
      <c r="B2479" s="12">
        <f>IFERROR(__xludf.DUMMYFUNCTION("""COMPUTED_VALUE"""),44969.0)</f>
        <v>44969</v>
      </c>
      <c r="C2479" s="13">
        <f>IFERROR(__xludf.DUMMYFUNCTION("""COMPUTED_VALUE"""),0.25)</f>
        <v>0.25</v>
      </c>
      <c r="D2479" s="8">
        <f>IFERROR(__xludf.DUMMYFUNCTION("""COMPUTED_VALUE"""),1.738)</f>
        <v>1.738</v>
      </c>
      <c r="E2479" s="8" t="str">
        <f>IFERROR(__xludf.DUMMYFUNCTION("""COMPUTED_VALUE"""),"Real")</f>
        <v>Real</v>
      </c>
      <c r="G2479" s="8">
        <f t="shared" si="1"/>
        <v>2</v>
      </c>
      <c r="H2479" s="14">
        <f t="shared" si="2"/>
        <v>12</v>
      </c>
      <c r="I2479" s="15">
        <f t="shared" si="3"/>
        <v>6</v>
      </c>
    </row>
    <row r="2480">
      <c r="A2480" s="8" t="str">
        <f>IFERROR(__xludf.DUMMYFUNCTION("IF('(INGESTA)Datos_consumo_datadis'!A2480&lt;&gt;"""",SPLIT('(INGESTA)Datos_consumo_datadis'!A:A,"",""),"""")"),"ES0031408323131005HX0F")</f>
        <v>ES0031408323131005HX0F</v>
      </c>
      <c r="B2480" s="12">
        <f>IFERROR(__xludf.DUMMYFUNCTION("""COMPUTED_VALUE"""),44969.0)</f>
        <v>44969</v>
      </c>
      <c r="C2480" s="13">
        <f>IFERROR(__xludf.DUMMYFUNCTION("""COMPUTED_VALUE"""),0.2916666666666667)</f>
        <v>0.2916666667</v>
      </c>
      <c r="D2480" s="8">
        <f>IFERROR(__xludf.DUMMYFUNCTION("""COMPUTED_VALUE"""),1.986)</f>
        <v>1.986</v>
      </c>
      <c r="E2480" s="8" t="str">
        <f>IFERROR(__xludf.DUMMYFUNCTION("""COMPUTED_VALUE"""),"Real")</f>
        <v>Real</v>
      </c>
      <c r="G2480" s="8">
        <f t="shared" si="1"/>
        <v>2</v>
      </c>
      <c r="H2480" s="14">
        <f t="shared" si="2"/>
        <v>12</v>
      </c>
      <c r="I2480" s="15">
        <f t="shared" si="3"/>
        <v>7</v>
      </c>
    </row>
    <row r="2481">
      <c r="A2481" s="8" t="str">
        <f>IFERROR(__xludf.DUMMYFUNCTION("IF('(INGESTA)Datos_consumo_datadis'!A2481&lt;&gt;"""",SPLIT('(INGESTA)Datos_consumo_datadis'!A:A,"",""),"""")"),"ES0031408323131005HX0F")</f>
        <v>ES0031408323131005HX0F</v>
      </c>
      <c r="B2481" s="12">
        <f>IFERROR(__xludf.DUMMYFUNCTION("""COMPUTED_VALUE"""),44969.0)</f>
        <v>44969</v>
      </c>
      <c r="C2481" s="13">
        <f>IFERROR(__xludf.DUMMYFUNCTION("""COMPUTED_VALUE"""),0.3333333333333333)</f>
        <v>0.3333333333</v>
      </c>
      <c r="D2481" s="8">
        <f>IFERROR(__xludf.DUMMYFUNCTION("""COMPUTED_VALUE"""),1.73)</f>
        <v>1.73</v>
      </c>
      <c r="E2481" s="8" t="str">
        <f>IFERROR(__xludf.DUMMYFUNCTION("""COMPUTED_VALUE"""),"Real")</f>
        <v>Real</v>
      </c>
      <c r="G2481" s="8">
        <f t="shared" si="1"/>
        <v>2</v>
      </c>
      <c r="H2481" s="14">
        <f t="shared" si="2"/>
        <v>12</v>
      </c>
      <c r="I2481" s="15">
        <f t="shared" si="3"/>
        <v>8</v>
      </c>
    </row>
    <row r="2482">
      <c r="A2482" s="8" t="str">
        <f>IFERROR(__xludf.DUMMYFUNCTION("IF('(INGESTA)Datos_consumo_datadis'!A2482&lt;&gt;"""",SPLIT('(INGESTA)Datos_consumo_datadis'!A:A,"",""),"""")"),"ES0031408323131005HX0F")</f>
        <v>ES0031408323131005HX0F</v>
      </c>
      <c r="B2482" s="12">
        <f>IFERROR(__xludf.DUMMYFUNCTION("""COMPUTED_VALUE"""),44969.0)</f>
        <v>44969</v>
      </c>
      <c r="C2482" s="13">
        <f>IFERROR(__xludf.DUMMYFUNCTION("""COMPUTED_VALUE"""),0.375)</f>
        <v>0.375</v>
      </c>
      <c r="D2482" s="8">
        <f>IFERROR(__xludf.DUMMYFUNCTION("""COMPUTED_VALUE"""),1.73)</f>
        <v>1.73</v>
      </c>
      <c r="E2482" s="8" t="str">
        <f>IFERROR(__xludf.DUMMYFUNCTION("""COMPUTED_VALUE"""),"Real")</f>
        <v>Real</v>
      </c>
      <c r="G2482" s="8">
        <f t="shared" si="1"/>
        <v>2</v>
      </c>
      <c r="H2482" s="14">
        <f t="shared" si="2"/>
        <v>12</v>
      </c>
      <c r="I2482" s="15">
        <f t="shared" si="3"/>
        <v>9</v>
      </c>
    </row>
    <row r="2483">
      <c r="A2483" s="8" t="str">
        <f>IFERROR(__xludf.DUMMYFUNCTION("IF('(INGESTA)Datos_consumo_datadis'!A2483&lt;&gt;"""",SPLIT('(INGESTA)Datos_consumo_datadis'!A:A,"",""),"""")"),"ES0031408323131005HX0F")</f>
        <v>ES0031408323131005HX0F</v>
      </c>
      <c r="B2483" s="12">
        <f>IFERROR(__xludf.DUMMYFUNCTION("""COMPUTED_VALUE"""),44969.0)</f>
        <v>44969</v>
      </c>
      <c r="C2483" s="13">
        <f>IFERROR(__xludf.DUMMYFUNCTION("""COMPUTED_VALUE"""),0.4166666666666667)</f>
        <v>0.4166666667</v>
      </c>
      <c r="D2483" s="8">
        <f>IFERROR(__xludf.DUMMYFUNCTION("""COMPUTED_VALUE"""),1.729)</f>
        <v>1.729</v>
      </c>
      <c r="E2483" s="8" t="str">
        <f>IFERROR(__xludf.DUMMYFUNCTION("""COMPUTED_VALUE"""),"Real")</f>
        <v>Real</v>
      </c>
      <c r="G2483" s="8">
        <f t="shared" si="1"/>
        <v>2</v>
      </c>
      <c r="H2483" s="14">
        <f t="shared" si="2"/>
        <v>12</v>
      </c>
      <c r="I2483" s="15">
        <f t="shared" si="3"/>
        <v>10</v>
      </c>
    </row>
    <row r="2484">
      <c r="A2484" s="8" t="str">
        <f>IFERROR(__xludf.DUMMYFUNCTION("IF('(INGESTA)Datos_consumo_datadis'!A2484&lt;&gt;"""",SPLIT('(INGESTA)Datos_consumo_datadis'!A:A,"",""),"""")"),"ES0031408323131005HX0F")</f>
        <v>ES0031408323131005HX0F</v>
      </c>
      <c r="B2484" s="12">
        <f>IFERROR(__xludf.DUMMYFUNCTION("""COMPUTED_VALUE"""),44969.0)</f>
        <v>44969</v>
      </c>
      <c r="C2484" s="13">
        <f>IFERROR(__xludf.DUMMYFUNCTION("""COMPUTED_VALUE"""),0.4583333333333333)</f>
        <v>0.4583333333</v>
      </c>
      <c r="D2484" s="8">
        <f>IFERROR(__xludf.DUMMYFUNCTION("""COMPUTED_VALUE"""),1.276)</f>
        <v>1.276</v>
      </c>
      <c r="E2484" s="8" t="str">
        <f>IFERROR(__xludf.DUMMYFUNCTION("""COMPUTED_VALUE"""),"Real")</f>
        <v>Real</v>
      </c>
      <c r="G2484" s="8">
        <f t="shared" si="1"/>
        <v>2</v>
      </c>
      <c r="H2484" s="14">
        <f t="shared" si="2"/>
        <v>12</v>
      </c>
      <c r="I2484" s="15">
        <f t="shared" si="3"/>
        <v>11</v>
      </c>
    </row>
    <row r="2485">
      <c r="A2485" s="8" t="str">
        <f>IFERROR(__xludf.DUMMYFUNCTION("IF('(INGESTA)Datos_consumo_datadis'!A2485&lt;&gt;"""",SPLIT('(INGESTA)Datos_consumo_datadis'!A:A,"",""),"""")"),"ES0031408323131005HX0F")</f>
        <v>ES0031408323131005HX0F</v>
      </c>
      <c r="B2485" s="12">
        <f>IFERROR(__xludf.DUMMYFUNCTION("""COMPUTED_VALUE"""),44969.0)</f>
        <v>44969</v>
      </c>
      <c r="C2485" s="13">
        <f>IFERROR(__xludf.DUMMYFUNCTION("""COMPUTED_VALUE"""),0.5)</f>
        <v>0.5</v>
      </c>
      <c r="D2485" s="8">
        <f>IFERROR(__xludf.DUMMYFUNCTION("""COMPUTED_VALUE"""),1.36)</f>
        <v>1.36</v>
      </c>
      <c r="E2485" s="8" t="str">
        <f>IFERROR(__xludf.DUMMYFUNCTION("""COMPUTED_VALUE"""),"Real")</f>
        <v>Real</v>
      </c>
      <c r="G2485" s="8">
        <f t="shared" si="1"/>
        <v>2</v>
      </c>
      <c r="H2485" s="14">
        <f t="shared" si="2"/>
        <v>12</v>
      </c>
      <c r="I2485" s="15">
        <f t="shared" si="3"/>
        <v>12</v>
      </c>
    </row>
    <row r="2486">
      <c r="A2486" s="8" t="str">
        <f>IFERROR(__xludf.DUMMYFUNCTION("IF('(INGESTA)Datos_consumo_datadis'!A2486&lt;&gt;"""",SPLIT('(INGESTA)Datos_consumo_datadis'!A:A,"",""),"""")"),"ES0031408323131005HX0F")</f>
        <v>ES0031408323131005HX0F</v>
      </c>
      <c r="B2486" s="12">
        <f>IFERROR(__xludf.DUMMYFUNCTION("""COMPUTED_VALUE"""),44969.0)</f>
        <v>44969</v>
      </c>
      <c r="C2486" s="13">
        <f>IFERROR(__xludf.DUMMYFUNCTION("""COMPUTED_VALUE"""),0.5416666666666666)</f>
        <v>0.5416666667</v>
      </c>
      <c r="D2486" s="8">
        <f>IFERROR(__xludf.DUMMYFUNCTION("""COMPUTED_VALUE"""),1.633)</f>
        <v>1.633</v>
      </c>
      <c r="E2486" s="8" t="str">
        <f>IFERROR(__xludf.DUMMYFUNCTION("""COMPUTED_VALUE"""),"Real")</f>
        <v>Real</v>
      </c>
      <c r="G2486" s="8">
        <f t="shared" si="1"/>
        <v>2</v>
      </c>
      <c r="H2486" s="14">
        <f t="shared" si="2"/>
        <v>12</v>
      </c>
      <c r="I2486" s="15">
        <f t="shared" si="3"/>
        <v>13</v>
      </c>
    </row>
    <row r="2487">
      <c r="A2487" s="8" t="str">
        <f>IFERROR(__xludf.DUMMYFUNCTION("IF('(INGESTA)Datos_consumo_datadis'!A2487&lt;&gt;"""",SPLIT('(INGESTA)Datos_consumo_datadis'!A:A,"",""),"""")"),"ES0031408323131005HX0F")</f>
        <v>ES0031408323131005HX0F</v>
      </c>
      <c r="B2487" s="12">
        <f>IFERROR(__xludf.DUMMYFUNCTION("""COMPUTED_VALUE"""),44969.0)</f>
        <v>44969</v>
      </c>
      <c r="C2487" s="13">
        <f>IFERROR(__xludf.DUMMYFUNCTION("""COMPUTED_VALUE"""),0.5833333333333334)</f>
        <v>0.5833333333</v>
      </c>
      <c r="D2487" s="8">
        <f>IFERROR(__xludf.DUMMYFUNCTION("""COMPUTED_VALUE"""),1.588)</f>
        <v>1.588</v>
      </c>
      <c r="E2487" s="8" t="str">
        <f>IFERROR(__xludf.DUMMYFUNCTION("""COMPUTED_VALUE"""),"Real")</f>
        <v>Real</v>
      </c>
      <c r="G2487" s="8">
        <f t="shared" si="1"/>
        <v>2</v>
      </c>
      <c r="H2487" s="14">
        <f t="shared" si="2"/>
        <v>12</v>
      </c>
      <c r="I2487" s="15">
        <f t="shared" si="3"/>
        <v>14</v>
      </c>
    </row>
    <row r="2488">
      <c r="A2488" s="8" t="str">
        <f>IFERROR(__xludf.DUMMYFUNCTION("IF('(INGESTA)Datos_consumo_datadis'!A2488&lt;&gt;"""",SPLIT('(INGESTA)Datos_consumo_datadis'!A:A,"",""),"""")"),"ES0031408323131005HX0F")</f>
        <v>ES0031408323131005HX0F</v>
      </c>
      <c r="B2488" s="12">
        <f>IFERROR(__xludf.DUMMYFUNCTION("""COMPUTED_VALUE"""),44969.0)</f>
        <v>44969</v>
      </c>
      <c r="C2488" s="13">
        <f>IFERROR(__xludf.DUMMYFUNCTION("""COMPUTED_VALUE"""),0.625)</f>
        <v>0.625</v>
      </c>
      <c r="D2488" s="8">
        <f>IFERROR(__xludf.DUMMYFUNCTION("""COMPUTED_VALUE"""),0.089)</f>
        <v>0.089</v>
      </c>
      <c r="E2488" s="8" t="str">
        <f>IFERROR(__xludf.DUMMYFUNCTION("""COMPUTED_VALUE"""),"Real")</f>
        <v>Real</v>
      </c>
      <c r="G2488" s="8">
        <f t="shared" si="1"/>
        <v>2</v>
      </c>
      <c r="H2488" s="14">
        <f t="shared" si="2"/>
        <v>12</v>
      </c>
      <c r="I2488" s="15">
        <f t="shared" si="3"/>
        <v>15</v>
      </c>
    </row>
    <row r="2489">
      <c r="A2489" s="8" t="str">
        <f>IFERROR(__xludf.DUMMYFUNCTION("IF('(INGESTA)Datos_consumo_datadis'!A2489&lt;&gt;"""",SPLIT('(INGESTA)Datos_consumo_datadis'!A:A,"",""),"""")"),"ES0031408323131005HX0F")</f>
        <v>ES0031408323131005HX0F</v>
      </c>
      <c r="B2489" s="12">
        <f>IFERROR(__xludf.DUMMYFUNCTION("""COMPUTED_VALUE"""),44969.0)</f>
        <v>44969</v>
      </c>
      <c r="C2489" s="13">
        <f>IFERROR(__xludf.DUMMYFUNCTION("""COMPUTED_VALUE"""),0.6666666666666666)</f>
        <v>0.6666666667</v>
      </c>
      <c r="D2489" s="8">
        <f>IFERROR(__xludf.DUMMYFUNCTION("""COMPUTED_VALUE"""),0.382)</f>
        <v>0.382</v>
      </c>
      <c r="E2489" s="8" t="str">
        <f>IFERROR(__xludf.DUMMYFUNCTION("""COMPUTED_VALUE"""),"Real")</f>
        <v>Real</v>
      </c>
      <c r="G2489" s="8">
        <f t="shared" si="1"/>
        <v>2</v>
      </c>
      <c r="H2489" s="14">
        <f t="shared" si="2"/>
        <v>12</v>
      </c>
      <c r="I2489" s="15">
        <f t="shared" si="3"/>
        <v>16</v>
      </c>
    </row>
    <row r="2490">
      <c r="A2490" s="8" t="str">
        <f>IFERROR(__xludf.DUMMYFUNCTION("IF('(INGESTA)Datos_consumo_datadis'!A2490&lt;&gt;"""",SPLIT('(INGESTA)Datos_consumo_datadis'!A:A,"",""),"""")"),"ES0031408323131005HX0F")</f>
        <v>ES0031408323131005HX0F</v>
      </c>
      <c r="B2490" s="12">
        <f>IFERROR(__xludf.DUMMYFUNCTION("""COMPUTED_VALUE"""),44969.0)</f>
        <v>44969</v>
      </c>
      <c r="C2490" s="13">
        <f>IFERROR(__xludf.DUMMYFUNCTION("""COMPUTED_VALUE"""),0.7083333333333334)</f>
        <v>0.7083333333</v>
      </c>
      <c r="D2490" s="8">
        <f>IFERROR(__xludf.DUMMYFUNCTION("""COMPUTED_VALUE"""),2.241)</f>
        <v>2.241</v>
      </c>
      <c r="E2490" s="8" t="str">
        <f>IFERROR(__xludf.DUMMYFUNCTION("""COMPUTED_VALUE"""),"Real")</f>
        <v>Real</v>
      </c>
      <c r="G2490" s="8">
        <f t="shared" si="1"/>
        <v>2</v>
      </c>
      <c r="H2490" s="14">
        <f t="shared" si="2"/>
        <v>12</v>
      </c>
      <c r="I2490" s="15">
        <f t="shared" si="3"/>
        <v>17</v>
      </c>
    </row>
    <row r="2491">
      <c r="A2491" s="8" t="str">
        <f>IFERROR(__xludf.DUMMYFUNCTION("IF('(INGESTA)Datos_consumo_datadis'!A2491&lt;&gt;"""",SPLIT('(INGESTA)Datos_consumo_datadis'!A:A,"",""),"""")"),"ES0031408323131005HX0F")</f>
        <v>ES0031408323131005HX0F</v>
      </c>
      <c r="B2491" s="12">
        <f>IFERROR(__xludf.DUMMYFUNCTION("""COMPUTED_VALUE"""),44969.0)</f>
        <v>44969</v>
      </c>
      <c r="C2491" s="13">
        <f>IFERROR(__xludf.DUMMYFUNCTION("""COMPUTED_VALUE"""),0.75)</f>
        <v>0.75</v>
      </c>
      <c r="D2491" s="8">
        <f>IFERROR(__xludf.DUMMYFUNCTION("""COMPUTED_VALUE"""),2.786)</f>
        <v>2.786</v>
      </c>
      <c r="E2491" s="8" t="str">
        <f>IFERROR(__xludf.DUMMYFUNCTION("""COMPUTED_VALUE"""),"Real")</f>
        <v>Real</v>
      </c>
      <c r="G2491" s="8">
        <f t="shared" si="1"/>
        <v>2</v>
      </c>
      <c r="H2491" s="14">
        <f t="shared" si="2"/>
        <v>12</v>
      </c>
      <c r="I2491" s="15">
        <f t="shared" si="3"/>
        <v>18</v>
      </c>
    </row>
    <row r="2492">
      <c r="A2492" s="8" t="str">
        <f>IFERROR(__xludf.DUMMYFUNCTION("IF('(INGESTA)Datos_consumo_datadis'!A2492&lt;&gt;"""",SPLIT('(INGESTA)Datos_consumo_datadis'!A:A,"",""),"""")"),"ES0031408323131005HX0F")</f>
        <v>ES0031408323131005HX0F</v>
      </c>
      <c r="B2492" s="12">
        <f>IFERROR(__xludf.DUMMYFUNCTION("""COMPUTED_VALUE"""),44969.0)</f>
        <v>44969</v>
      </c>
      <c r="C2492" s="13">
        <f>IFERROR(__xludf.DUMMYFUNCTION("""COMPUTED_VALUE"""),0.7916666666666666)</f>
        <v>0.7916666667</v>
      </c>
      <c r="D2492" s="8">
        <f>IFERROR(__xludf.DUMMYFUNCTION("""COMPUTED_VALUE"""),2.814)</f>
        <v>2.814</v>
      </c>
      <c r="E2492" s="8" t="str">
        <f>IFERROR(__xludf.DUMMYFUNCTION("""COMPUTED_VALUE"""),"Real")</f>
        <v>Real</v>
      </c>
      <c r="G2492" s="8">
        <f t="shared" si="1"/>
        <v>2</v>
      </c>
      <c r="H2492" s="14">
        <f t="shared" si="2"/>
        <v>12</v>
      </c>
      <c r="I2492" s="15">
        <f t="shared" si="3"/>
        <v>19</v>
      </c>
    </row>
    <row r="2493">
      <c r="A2493" s="8" t="str">
        <f>IFERROR(__xludf.DUMMYFUNCTION("IF('(INGESTA)Datos_consumo_datadis'!A2493&lt;&gt;"""",SPLIT('(INGESTA)Datos_consumo_datadis'!A:A,"",""),"""")"),"ES0031408323131005HX0F")</f>
        <v>ES0031408323131005HX0F</v>
      </c>
      <c r="B2493" s="12">
        <f>IFERROR(__xludf.DUMMYFUNCTION("""COMPUTED_VALUE"""),44969.0)</f>
        <v>44969</v>
      </c>
      <c r="C2493" s="13">
        <f>IFERROR(__xludf.DUMMYFUNCTION("""COMPUTED_VALUE"""),0.8333333333333334)</f>
        <v>0.8333333333</v>
      </c>
      <c r="D2493" s="8">
        <f>IFERROR(__xludf.DUMMYFUNCTION("""COMPUTED_VALUE"""),2.241)</f>
        <v>2.241</v>
      </c>
      <c r="E2493" s="8" t="str">
        <f>IFERROR(__xludf.DUMMYFUNCTION("""COMPUTED_VALUE"""),"Real")</f>
        <v>Real</v>
      </c>
      <c r="G2493" s="8">
        <f t="shared" si="1"/>
        <v>2</v>
      </c>
      <c r="H2493" s="14">
        <f t="shared" si="2"/>
        <v>12</v>
      </c>
      <c r="I2493" s="15">
        <f t="shared" si="3"/>
        <v>20</v>
      </c>
    </row>
    <row r="2494">
      <c r="A2494" s="8" t="str">
        <f>IFERROR(__xludf.DUMMYFUNCTION("IF('(INGESTA)Datos_consumo_datadis'!A2494&lt;&gt;"""",SPLIT('(INGESTA)Datos_consumo_datadis'!A:A,"",""),"""")"),"ES0031408323131005HX0F")</f>
        <v>ES0031408323131005HX0F</v>
      </c>
      <c r="B2494" s="12">
        <f>IFERROR(__xludf.DUMMYFUNCTION("""COMPUTED_VALUE"""),44969.0)</f>
        <v>44969</v>
      </c>
      <c r="C2494" s="13">
        <f>IFERROR(__xludf.DUMMYFUNCTION("""COMPUTED_VALUE"""),0.875)</f>
        <v>0.875</v>
      </c>
      <c r="D2494" s="8">
        <f>IFERROR(__xludf.DUMMYFUNCTION("""COMPUTED_VALUE"""),2.292)</f>
        <v>2.292</v>
      </c>
      <c r="E2494" s="8" t="str">
        <f>IFERROR(__xludf.DUMMYFUNCTION("""COMPUTED_VALUE"""),"Real")</f>
        <v>Real</v>
      </c>
      <c r="G2494" s="8">
        <f t="shared" si="1"/>
        <v>2</v>
      </c>
      <c r="H2494" s="14">
        <f t="shared" si="2"/>
        <v>12</v>
      </c>
      <c r="I2494" s="15">
        <f t="shared" si="3"/>
        <v>21</v>
      </c>
    </row>
    <row r="2495">
      <c r="A2495" s="8" t="str">
        <f>IFERROR(__xludf.DUMMYFUNCTION("IF('(INGESTA)Datos_consumo_datadis'!A2495&lt;&gt;"""",SPLIT('(INGESTA)Datos_consumo_datadis'!A:A,"",""),"""")"),"ES0031408323131005HX0F")</f>
        <v>ES0031408323131005HX0F</v>
      </c>
      <c r="B2495" s="12">
        <f>IFERROR(__xludf.DUMMYFUNCTION("""COMPUTED_VALUE"""),44969.0)</f>
        <v>44969</v>
      </c>
      <c r="C2495" s="13">
        <f>IFERROR(__xludf.DUMMYFUNCTION("""COMPUTED_VALUE"""),0.9166666666666666)</f>
        <v>0.9166666667</v>
      </c>
      <c r="D2495" s="8">
        <f>IFERROR(__xludf.DUMMYFUNCTION("""COMPUTED_VALUE"""),3.107)</f>
        <v>3.107</v>
      </c>
      <c r="E2495" s="8" t="str">
        <f>IFERROR(__xludf.DUMMYFUNCTION("""COMPUTED_VALUE"""),"Real")</f>
        <v>Real</v>
      </c>
      <c r="G2495" s="8">
        <f t="shared" si="1"/>
        <v>2</v>
      </c>
      <c r="H2495" s="14">
        <f t="shared" si="2"/>
        <v>12</v>
      </c>
      <c r="I2495" s="15">
        <f t="shared" si="3"/>
        <v>22</v>
      </c>
    </row>
    <row r="2496">
      <c r="A2496" s="8" t="str">
        <f>IFERROR(__xludf.DUMMYFUNCTION("IF('(INGESTA)Datos_consumo_datadis'!A2496&lt;&gt;"""",SPLIT('(INGESTA)Datos_consumo_datadis'!A:A,"",""),"""")"),"ES0031408323131005HX0F")</f>
        <v>ES0031408323131005HX0F</v>
      </c>
      <c r="B2496" s="12">
        <f>IFERROR(__xludf.DUMMYFUNCTION("""COMPUTED_VALUE"""),44969.0)</f>
        <v>44969</v>
      </c>
      <c r="C2496" s="13">
        <f>IFERROR(__xludf.DUMMYFUNCTION("""COMPUTED_VALUE"""),0.9583333333333334)</f>
        <v>0.9583333333</v>
      </c>
      <c r="D2496" s="8">
        <f>IFERROR(__xludf.DUMMYFUNCTION("""COMPUTED_VALUE"""),2.882)</f>
        <v>2.882</v>
      </c>
      <c r="E2496" s="8" t="str">
        <f>IFERROR(__xludf.DUMMYFUNCTION("""COMPUTED_VALUE"""),"Real")</f>
        <v>Real</v>
      </c>
      <c r="G2496" s="8">
        <f t="shared" si="1"/>
        <v>2</v>
      </c>
      <c r="H2496" s="14">
        <f t="shared" si="2"/>
        <v>12</v>
      </c>
      <c r="I2496" s="15">
        <f t="shared" si="3"/>
        <v>23</v>
      </c>
    </row>
    <row r="2497">
      <c r="A2497" s="8" t="str">
        <f>IFERROR(__xludf.DUMMYFUNCTION("IF('(INGESTA)Datos_consumo_datadis'!A2497&lt;&gt;"""",SPLIT('(INGESTA)Datos_consumo_datadis'!A:A,"",""),"""")"),"ES0031408323131005HX0F")</f>
        <v>ES0031408323131005HX0F</v>
      </c>
      <c r="B2497" s="12">
        <f>IFERROR(__xludf.DUMMYFUNCTION("""COMPUTED_VALUE"""),44969.0)</f>
        <v>44969</v>
      </c>
      <c r="C2497" s="16">
        <f>IFERROR(__xludf.DUMMYFUNCTION("""COMPUTED_VALUE"""),1.0)</f>
        <v>1</v>
      </c>
      <c r="D2497" s="8">
        <f>IFERROR(__xludf.DUMMYFUNCTION("""COMPUTED_VALUE"""),2.053)</f>
        <v>2.053</v>
      </c>
      <c r="E2497" s="8" t="str">
        <f>IFERROR(__xludf.DUMMYFUNCTION("""COMPUTED_VALUE"""),"Real")</f>
        <v>Real</v>
      </c>
      <c r="G2497" s="8">
        <f t="shared" si="1"/>
        <v>2</v>
      </c>
      <c r="H2497" s="14">
        <f t="shared" si="2"/>
        <v>12</v>
      </c>
      <c r="I2497" s="15">
        <f t="shared" si="3"/>
        <v>0</v>
      </c>
    </row>
    <row r="2498">
      <c r="A2498" s="8" t="str">
        <f>IFERROR(__xludf.DUMMYFUNCTION("IF('(INGESTA)Datos_consumo_datadis'!A2498&lt;&gt;"""",SPLIT('(INGESTA)Datos_consumo_datadis'!A:A,"",""),"""")"),"ES0031408323131005HX0F")</f>
        <v>ES0031408323131005HX0F</v>
      </c>
      <c r="B2498" s="12">
        <f>IFERROR(__xludf.DUMMYFUNCTION("""COMPUTED_VALUE"""),44970.0)</f>
        <v>44970</v>
      </c>
      <c r="C2498" s="13">
        <f>IFERROR(__xludf.DUMMYFUNCTION("""COMPUTED_VALUE"""),0.041666666666666664)</f>
        <v>0.04166666667</v>
      </c>
      <c r="D2498" s="8">
        <f>IFERROR(__xludf.DUMMYFUNCTION("""COMPUTED_VALUE"""),1.829)</f>
        <v>1.829</v>
      </c>
      <c r="E2498" s="8" t="str">
        <f>IFERROR(__xludf.DUMMYFUNCTION("""COMPUTED_VALUE"""),"Real")</f>
        <v>Real</v>
      </c>
      <c r="G2498" s="8">
        <f t="shared" si="1"/>
        <v>2</v>
      </c>
      <c r="H2498" s="14">
        <f t="shared" si="2"/>
        <v>13</v>
      </c>
      <c r="I2498" s="15">
        <f t="shared" si="3"/>
        <v>1</v>
      </c>
    </row>
    <row r="2499">
      <c r="A2499" s="8" t="str">
        <f>IFERROR(__xludf.DUMMYFUNCTION("IF('(INGESTA)Datos_consumo_datadis'!A2499&lt;&gt;"""",SPLIT('(INGESTA)Datos_consumo_datadis'!A:A,"",""),"""")"),"ES0031408323131005HX0F")</f>
        <v>ES0031408323131005HX0F</v>
      </c>
      <c r="B2499" s="12">
        <f>IFERROR(__xludf.DUMMYFUNCTION("""COMPUTED_VALUE"""),44970.0)</f>
        <v>44970</v>
      </c>
      <c r="C2499" s="13">
        <f>IFERROR(__xludf.DUMMYFUNCTION("""COMPUTED_VALUE"""),0.08333333333333333)</f>
        <v>0.08333333333</v>
      </c>
      <c r="D2499" s="8">
        <f>IFERROR(__xludf.DUMMYFUNCTION("""COMPUTED_VALUE"""),2.116)</f>
        <v>2.116</v>
      </c>
      <c r="E2499" s="8" t="str">
        <f>IFERROR(__xludf.DUMMYFUNCTION("""COMPUTED_VALUE"""),"Real")</f>
        <v>Real</v>
      </c>
      <c r="G2499" s="8">
        <f t="shared" si="1"/>
        <v>2</v>
      </c>
      <c r="H2499" s="14">
        <f t="shared" si="2"/>
        <v>13</v>
      </c>
      <c r="I2499" s="15">
        <f t="shared" si="3"/>
        <v>2</v>
      </c>
    </row>
    <row r="2500">
      <c r="A2500" s="8" t="str">
        <f>IFERROR(__xludf.DUMMYFUNCTION("IF('(INGESTA)Datos_consumo_datadis'!A2500&lt;&gt;"""",SPLIT('(INGESTA)Datos_consumo_datadis'!A:A,"",""),"""")"),"ES0031408323131005HX0F")</f>
        <v>ES0031408323131005HX0F</v>
      </c>
      <c r="B2500" s="12">
        <f>IFERROR(__xludf.DUMMYFUNCTION("""COMPUTED_VALUE"""),44970.0)</f>
        <v>44970</v>
      </c>
      <c r="C2500" s="13">
        <f>IFERROR(__xludf.DUMMYFUNCTION("""COMPUTED_VALUE"""),0.125)</f>
        <v>0.125</v>
      </c>
      <c r="D2500" s="8">
        <f>IFERROR(__xludf.DUMMYFUNCTION("""COMPUTED_VALUE"""),1.897)</f>
        <v>1.897</v>
      </c>
      <c r="E2500" s="8" t="str">
        <f>IFERROR(__xludf.DUMMYFUNCTION("""COMPUTED_VALUE"""),"Real")</f>
        <v>Real</v>
      </c>
      <c r="G2500" s="8">
        <f t="shared" si="1"/>
        <v>2</v>
      </c>
      <c r="H2500" s="14">
        <f t="shared" si="2"/>
        <v>13</v>
      </c>
      <c r="I2500" s="15">
        <f t="shared" si="3"/>
        <v>3</v>
      </c>
    </row>
    <row r="2501">
      <c r="A2501" s="8" t="str">
        <f>IFERROR(__xludf.DUMMYFUNCTION("IF('(INGESTA)Datos_consumo_datadis'!A2501&lt;&gt;"""",SPLIT('(INGESTA)Datos_consumo_datadis'!A:A,"",""),"""")"),"ES0031408323131005HX0F")</f>
        <v>ES0031408323131005HX0F</v>
      </c>
      <c r="B2501" s="12">
        <f>IFERROR(__xludf.DUMMYFUNCTION("""COMPUTED_VALUE"""),44970.0)</f>
        <v>44970</v>
      </c>
      <c r="C2501" s="13">
        <f>IFERROR(__xludf.DUMMYFUNCTION("""COMPUTED_VALUE"""),0.16666666666666666)</f>
        <v>0.1666666667</v>
      </c>
      <c r="D2501" s="8">
        <f>IFERROR(__xludf.DUMMYFUNCTION("""COMPUTED_VALUE"""),1.795)</f>
        <v>1.795</v>
      </c>
      <c r="E2501" s="8" t="str">
        <f>IFERROR(__xludf.DUMMYFUNCTION("""COMPUTED_VALUE"""),"Real")</f>
        <v>Real</v>
      </c>
      <c r="G2501" s="8">
        <f t="shared" si="1"/>
        <v>2</v>
      </c>
      <c r="H2501" s="14">
        <f t="shared" si="2"/>
        <v>13</v>
      </c>
      <c r="I2501" s="15">
        <f t="shared" si="3"/>
        <v>4</v>
      </c>
    </row>
    <row r="2502">
      <c r="A2502" s="8" t="str">
        <f>IFERROR(__xludf.DUMMYFUNCTION("IF('(INGESTA)Datos_consumo_datadis'!A2502&lt;&gt;"""",SPLIT('(INGESTA)Datos_consumo_datadis'!A:A,"",""),"""")"),"ES0031408323131005HX0F")</f>
        <v>ES0031408323131005HX0F</v>
      </c>
      <c r="B2502" s="12">
        <f>IFERROR(__xludf.DUMMYFUNCTION("""COMPUTED_VALUE"""),44970.0)</f>
        <v>44970</v>
      </c>
      <c r="C2502" s="13">
        <f>IFERROR(__xludf.DUMMYFUNCTION("""COMPUTED_VALUE"""),0.20833333333333334)</f>
        <v>0.2083333333</v>
      </c>
      <c r="D2502" s="8">
        <f>IFERROR(__xludf.DUMMYFUNCTION("""COMPUTED_VALUE"""),1.849)</f>
        <v>1.849</v>
      </c>
      <c r="E2502" s="8" t="str">
        <f>IFERROR(__xludf.DUMMYFUNCTION("""COMPUTED_VALUE"""),"Real")</f>
        <v>Real</v>
      </c>
      <c r="G2502" s="8">
        <f t="shared" si="1"/>
        <v>2</v>
      </c>
      <c r="H2502" s="14">
        <f t="shared" si="2"/>
        <v>13</v>
      </c>
      <c r="I2502" s="15">
        <f t="shared" si="3"/>
        <v>5</v>
      </c>
    </row>
    <row r="2503">
      <c r="A2503" s="8" t="str">
        <f>IFERROR(__xludf.DUMMYFUNCTION("IF('(INGESTA)Datos_consumo_datadis'!A2503&lt;&gt;"""",SPLIT('(INGESTA)Datos_consumo_datadis'!A:A,"",""),"""")"),"ES0031408323131005HX0F")</f>
        <v>ES0031408323131005HX0F</v>
      </c>
      <c r="B2503" s="12">
        <f>IFERROR(__xludf.DUMMYFUNCTION("""COMPUTED_VALUE"""),44970.0)</f>
        <v>44970</v>
      </c>
      <c r="C2503" s="13">
        <f>IFERROR(__xludf.DUMMYFUNCTION("""COMPUTED_VALUE"""),0.25)</f>
        <v>0.25</v>
      </c>
      <c r="D2503" s="8">
        <f>IFERROR(__xludf.DUMMYFUNCTION("""COMPUTED_VALUE"""),1.853)</f>
        <v>1.853</v>
      </c>
      <c r="E2503" s="8" t="str">
        <f>IFERROR(__xludf.DUMMYFUNCTION("""COMPUTED_VALUE"""),"Real")</f>
        <v>Real</v>
      </c>
      <c r="G2503" s="8">
        <f t="shared" si="1"/>
        <v>2</v>
      </c>
      <c r="H2503" s="14">
        <f t="shared" si="2"/>
        <v>13</v>
      </c>
      <c r="I2503" s="15">
        <f t="shared" si="3"/>
        <v>6</v>
      </c>
    </row>
    <row r="2504">
      <c r="A2504" s="8" t="str">
        <f>IFERROR(__xludf.DUMMYFUNCTION("IF('(INGESTA)Datos_consumo_datadis'!A2504&lt;&gt;"""",SPLIT('(INGESTA)Datos_consumo_datadis'!A:A,"",""),"""")"),"ES0031408323131005HX0F")</f>
        <v>ES0031408323131005HX0F</v>
      </c>
      <c r="B2504" s="12">
        <f>IFERROR(__xludf.DUMMYFUNCTION("""COMPUTED_VALUE"""),44970.0)</f>
        <v>44970</v>
      </c>
      <c r="C2504" s="13">
        <f>IFERROR(__xludf.DUMMYFUNCTION("""COMPUTED_VALUE"""),0.2916666666666667)</f>
        <v>0.2916666667</v>
      </c>
      <c r="D2504" s="8">
        <f>IFERROR(__xludf.DUMMYFUNCTION("""COMPUTED_VALUE"""),1.787)</f>
        <v>1.787</v>
      </c>
      <c r="E2504" s="8" t="str">
        <f>IFERROR(__xludf.DUMMYFUNCTION("""COMPUTED_VALUE"""),"Real")</f>
        <v>Real</v>
      </c>
      <c r="G2504" s="8">
        <f t="shared" si="1"/>
        <v>2</v>
      </c>
      <c r="H2504" s="14">
        <f t="shared" si="2"/>
        <v>13</v>
      </c>
      <c r="I2504" s="15">
        <f t="shared" si="3"/>
        <v>7</v>
      </c>
    </row>
    <row r="2505">
      <c r="A2505" s="8" t="str">
        <f>IFERROR(__xludf.DUMMYFUNCTION("IF('(INGESTA)Datos_consumo_datadis'!A2505&lt;&gt;"""",SPLIT('(INGESTA)Datos_consumo_datadis'!A:A,"",""),"""")"),"ES0031408323131005HX0F")</f>
        <v>ES0031408323131005HX0F</v>
      </c>
      <c r="B2505" s="12">
        <f>IFERROR(__xludf.DUMMYFUNCTION("""COMPUTED_VALUE"""),44970.0)</f>
        <v>44970</v>
      </c>
      <c r="C2505" s="13">
        <f>IFERROR(__xludf.DUMMYFUNCTION("""COMPUTED_VALUE"""),0.3333333333333333)</f>
        <v>0.3333333333</v>
      </c>
      <c r="D2505" s="8">
        <f>IFERROR(__xludf.DUMMYFUNCTION("""COMPUTED_VALUE"""),1.436)</f>
        <v>1.436</v>
      </c>
      <c r="E2505" s="8" t="str">
        <f>IFERROR(__xludf.DUMMYFUNCTION("""COMPUTED_VALUE"""),"Real")</f>
        <v>Real</v>
      </c>
      <c r="G2505" s="8">
        <f t="shared" si="1"/>
        <v>2</v>
      </c>
      <c r="H2505" s="14">
        <f t="shared" si="2"/>
        <v>13</v>
      </c>
      <c r="I2505" s="15">
        <f t="shared" si="3"/>
        <v>8</v>
      </c>
    </row>
    <row r="2506">
      <c r="A2506" s="8" t="str">
        <f>IFERROR(__xludf.DUMMYFUNCTION("IF('(INGESTA)Datos_consumo_datadis'!A2506&lt;&gt;"""",SPLIT('(INGESTA)Datos_consumo_datadis'!A:A,"",""),"""")"),"ES0031408323131005HX0F")</f>
        <v>ES0031408323131005HX0F</v>
      </c>
      <c r="B2506" s="12">
        <f>IFERROR(__xludf.DUMMYFUNCTION("""COMPUTED_VALUE"""),44970.0)</f>
        <v>44970</v>
      </c>
      <c r="C2506" s="13">
        <f>IFERROR(__xludf.DUMMYFUNCTION("""COMPUTED_VALUE"""),0.375)</f>
        <v>0.375</v>
      </c>
      <c r="D2506" s="8">
        <f>IFERROR(__xludf.DUMMYFUNCTION("""COMPUTED_VALUE"""),0.051)</f>
        <v>0.051</v>
      </c>
      <c r="E2506" s="8" t="str">
        <f>IFERROR(__xludf.DUMMYFUNCTION("""COMPUTED_VALUE"""),"Real")</f>
        <v>Real</v>
      </c>
      <c r="G2506" s="8">
        <f t="shared" si="1"/>
        <v>2</v>
      </c>
      <c r="H2506" s="14">
        <f t="shared" si="2"/>
        <v>13</v>
      </c>
      <c r="I2506" s="15">
        <f t="shared" si="3"/>
        <v>9</v>
      </c>
    </row>
    <row r="2507">
      <c r="A2507" s="8" t="str">
        <f>IFERROR(__xludf.DUMMYFUNCTION("IF('(INGESTA)Datos_consumo_datadis'!A2507&lt;&gt;"""",SPLIT('(INGESTA)Datos_consumo_datadis'!A:A,"",""),"""")"),"ES0031408323131005HX0F")</f>
        <v>ES0031408323131005HX0F</v>
      </c>
      <c r="B2507" s="12">
        <f>IFERROR(__xludf.DUMMYFUNCTION("""COMPUTED_VALUE"""),44970.0)</f>
        <v>44970</v>
      </c>
      <c r="C2507" s="13">
        <f>IFERROR(__xludf.DUMMYFUNCTION("""COMPUTED_VALUE"""),0.4166666666666667)</f>
        <v>0.4166666667</v>
      </c>
      <c r="D2507" s="8">
        <f>IFERROR(__xludf.DUMMYFUNCTION("""COMPUTED_VALUE"""),1.454)</f>
        <v>1.454</v>
      </c>
      <c r="E2507" s="8" t="str">
        <f>IFERROR(__xludf.DUMMYFUNCTION("""COMPUTED_VALUE"""),"Real")</f>
        <v>Real</v>
      </c>
      <c r="G2507" s="8">
        <f t="shared" si="1"/>
        <v>2</v>
      </c>
      <c r="H2507" s="14">
        <f t="shared" si="2"/>
        <v>13</v>
      </c>
      <c r="I2507" s="15">
        <f t="shared" si="3"/>
        <v>10</v>
      </c>
    </row>
    <row r="2508">
      <c r="A2508" s="8" t="str">
        <f>IFERROR(__xludf.DUMMYFUNCTION("IF('(INGESTA)Datos_consumo_datadis'!A2508&lt;&gt;"""",SPLIT('(INGESTA)Datos_consumo_datadis'!A:A,"",""),"""")"),"ES0031408323131005HX0F")</f>
        <v>ES0031408323131005HX0F</v>
      </c>
      <c r="B2508" s="12">
        <f>IFERROR(__xludf.DUMMYFUNCTION("""COMPUTED_VALUE"""),44970.0)</f>
        <v>44970</v>
      </c>
      <c r="C2508" s="13">
        <f>IFERROR(__xludf.DUMMYFUNCTION("""COMPUTED_VALUE"""),0.4583333333333333)</f>
        <v>0.4583333333</v>
      </c>
      <c r="D2508" s="8">
        <f>IFERROR(__xludf.DUMMYFUNCTION("""COMPUTED_VALUE"""),4.089)</f>
        <v>4.089</v>
      </c>
      <c r="E2508" s="8" t="str">
        <f>IFERROR(__xludf.DUMMYFUNCTION("""COMPUTED_VALUE"""),"Real")</f>
        <v>Real</v>
      </c>
      <c r="G2508" s="8">
        <f t="shared" si="1"/>
        <v>2</v>
      </c>
      <c r="H2508" s="14">
        <f t="shared" si="2"/>
        <v>13</v>
      </c>
      <c r="I2508" s="15">
        <f t="shared" si="3"/>
        <v>11</v>
      </c>
    </row>
    <row r="2509">
      <c r="A2509" s="8" t="str">
        <f>IFERROR(__xludf.DUMMYFUNCTION("IF('(INGESTA)Datos_consumo_datadis'!A2509&lt;&gt;"""",SPLIT('(INGESTA)Datos_consumo_datadis'!A:A,"",""),"""")"),"ES0031408323131005HX0F")</f>
        <v>ES0031408323131005HX0F</v>
      </c>
      <c r="B2509" s="12">
        <f>IFERROR(__xludf.DUMMYFUNCTION("""COMPUTED_VALUE"""),44970.0)</f>
        <v>44970</v>
      </c>
      <c r="C2509" s="13">
        <f>IFERROR(__xludf.DUMMYFUNCTION("""COMPUTED_VALUE"""),0.5)</f>
        <v>0.5</v>
      </c>
      <c r="D2509" s="8">
        <f>IFERROR(__xludf.DUMMYFUNCTION("""COMPUTED_VALUE"""),2.473)</f>
        <v>2.473</v>
      </c>
      <c r="E2509" s="8" t="str">
        <f>IFERROR(__xludf.DUMMYFUNCTION("""COMPUTED_VALUE"""),"Real")</f>
        <v>Real</v>
      </c>
      <c r="G2509" s="8">
        <f t="shared" si="1"/>
        <v>2</v>
      </c>
      <c r="H2509" s="14">
        <f t="shared" si="2"/>
        <v>13</v>
      </c>
      <c r="I2509" s="15">
        <f t="shared" si="3"/>
        <v>12</v>
      </c>
    </row>
    <row r="2510">
      <c r="A2510" s="8" t="str">
        <f>IFERROR(__xludf.DUMMYFUNCTION("IF('(INGESTA)Datos_consumo_datadis'!A2510&lt;&gt;"""",SPLIT('(INGESTA)Datos_consumo_datadis'!A:A,"",""),"""")"),"ES0031408323131005HX0F")</f>
        <v>ES0031408323131005HX0F</v>
      </c>
      <c r="B2510" s="12">
        <f>IFERROR(__xludf.DUMMYFUNCTION("""COMPUTED_VALUE"""),44970.0)</f>
        <v>44970</v>
      </c>
      <c r="C2510" s="13">
        <f>IFERROR(__xludf.DUMMYFUNCTION("""COMPUTED_VALUE"""),0.5416666666666666)</f>
        <v>0.5416666667</v>
      </c>
      <c r="D2510" s="8">
        <f>IFERROR(__xludf.DUMMYFUNCTION("""COMPUTED_VALUE"""),1.764)</f>
        <v>1.764</v>
      </c>
      <c r="E2510" s="8" t="str">
        <f>IFERROR(__xludf.DUMMYFUNCTION("""COMPUTED_VALUE"""),"Real")</f>
        <v>Real</v>
      </c>
      <c r="G2510" s="8">
        <f t="shared" si="1"/>
        <v>2</v>
      </c>
      <c r="H2510" s="14">
        <f t="shared" si="2"/>
        <v>13</v>
      </c>
      <c r="I2510" s="15">
        <f t="shared" si="3"/>
        <v>13</v>
      </c>
    </row>
    <row r="2511">
      <c r="A2511" s="8" t="str">
        <f>IFERROR(__xludf.DUMMYFUNCTION("IF('(INGESTA)Datos_consumo_datadis'!A2511&lt;&gt;"""",SPLIT('(INGESTA)Datos_consumo_datadis'!A:A,"",""),"""")"),"ES0031408323131005HX0F")</f>
        <v>ES0031408323131005HX0F</v>
      </c>
      <c r="B2511" s="12">
        <f>IFERROR(__xludf.DUMMYFUNCTION("""COMPUTED_VALUE"""),44970.0)</f>
        <v>44970</v>
      </c>
      <c r="C2511" s="13">
        <f>IFERROR(__xludf.DUMMYFUNCTION("""COMPUTED_VALUE"""),0.5833333333333334)</f>
        <v>0.5833333333</v>
      </c>
      <c r="D2511" s="8">
        <f>IFERROR(__xludf.DUMMYFUNCTION("""COMPUTED_VALUE"""),2.147)</f>
        <v>2.147</v>
      </c>
      <c r="E2511" s="8" t="str">
        <f>IFERROR(__xludf.DUMMYFUNCTION("""COMPUTED_VALUE"""),"Real")</f>
        <v>Real</v>
      </c>
      <c r="G2511" s="8">
        <f t="shared" si="1"/>
        <v>2</v>
      </c>
      <c r="H2511" s="14">
        <f t="shared" si="2"/>
        <v>13</v>
      </c>
      <c r="I2511" s="15">
        <f t="shared" si="3"/>
        <v>14</v>
      </c>
    </row>
    <row r="2512">
      <c r="A2512" s="8" t="str">
        <f>IFERROR(__xludf.DUMMYFUNCTION("IF('(INGESTA)Datos_consumo_datadis'!A2512&lt;&gt;"""",SPLIT('(INGESTA)Datos_consumo_datadis'!A:A,"",""),"""")"),"ES0031408323131005HX0F")</f>
        <v>ES0031408323131005HX0F</v>
      </c>
      <c r="B2512" s="12">
        <f>IFERROR(__xludf.DUMMYFUNCTION("""COMPUTED_VALUE"""),44970.0)</f>
        <v>44970</v>
      </c>
      <c r="C2512" s="13">
        <f>IFERROR(__xludf.DUMMYFUNCTION("""COMPUTED_VALUE"""),0.625)</f>
        <v>0.625</v>
      </c>
      <c r="D2512" s="8">
        <f>IFERROR(__xludf.DUMMYFUNCTION("""COMPUTED_VALUE"""),0.186)</f>
        <v>0.186</v>
      </c>
      <c r="E2512" s="8" t="str">
        <f>IFERROR(__xludf.DUMMYFUNCTION("""COMPUTED_VALUE"""),"Real")</f>
        <v>Real</v>
      </c>
      <c r="G2512" s="8">
        <f t="shared" si="1"/>
        <v>2</v>
      </c>
      <c r="H2512" s="14">
        <f t="shared" si="2"/>
        <v>13</v>
      </c>
      <c r="I2512" s="15">
        <f t="shared" si="3"/>
        <v>15</v>
      </c>
    </row>
    <row r="2513">
      <c r="A2513" s="8" t="str">
        <f>IFERROR(__xludf.DUMMYFUNCTION("IF('(INGESTA)Datos_consumo_datadis'!A2513&lt;&gt;"""",SPLIT('(INGESTA)Datos_consumo_datadis'!A:A,"",""),"""")"),"ES0031408323131005HX0F")</f>
        <v>ES0031408323131005HX0F</v>
      </c>
      <c r="B2513" s="12">
        <f>IFERROR(__xludf.DUMMYFUNCTION("""COMPUTED_VALUE"""),44970.0)</f>
        <v>44970</v>
      </c>
      <c r="C2513" s="13">
        <f>IFERROR(__xludf.DUMMYFUNCTION("""COMPUTED_VALUE"""),0.6666666666666666)</f>
        <v>0.6666666667</v>
      </c>
      <c r="D2513" s="8">
        <f>IFERROR(__xludf.DUMMYFUNCTION("""COMPUTED_VALUE"""),0.342)</f>
        <v>0.342</v>
      </c>
      <c r="E2513" s="8" t="str">
        <f>IFERROR(__xludf.DUMMYFUNCTION("""COMPUTED_VALUE"""),"Real")</f>
        <v>Real</v>
      </c>
      <c r="G2513" s="8">
        <f t="shared" si="1"/>
        <v>2</v>
      </c>
      <c r="H2513" s="14">
        <f t="shared" si="2"/>
        <v>13</v>
      </c>
      <c r="I2513" s="15">
        <f t="shared" si="3"/>
        <v>16</v>
      </c>
    </row>
    <row r="2514">
      <c r="A2514" s="8" t="str">
        <f>IFERROR(__xludf.DUMMYFUNCTION("IF('(INGESTA)Datos_consumo_datadis'!A2514&lt;&gt;"""",SPLIT('(INGESTA)Datos_consumo_datadis'!A:A,"",""),"""")"),"ES0031408323131005HX0F")</f>
        <v>ES0031408323131005HX0F</v>
      </c>
      <c r="B2514" s="12">
        <f>IFERROR(__xludf.DUMMYFUNCTION("""COMPUTED_VALUE"""),44970.0)</f>
        <v>44970</v>
      </c>
      <c r="C2514" s="13">
        <f>IFERROR(__xludf.DUMMYFUNCTION("""COMPUTED_VALUE"""),0.7083333333333334)</f>
        <v>0.7083333333</v>
      </c>
      <c r="D2514" s="8">
        <f>IFERROR(__xludf.DUMMYFUNCTION("""COMPUTED_VALUE"""),0.017)</f>
        <v>0.017</v>
      </c>
      <c r="E2514" s="8" t="str">
        <f>IFERROR(__xludf.DUMMYFUNCTION("""COMPUTED_VALUE"""),"Real")</f>
        <v>Real</v>
      </c>
      <c r="G2514" s="8">
        <f t="shared" si="1"/>
        <v>2</v>
      </c>
      <c r="H2514" s="14">
        <f t="shared" si="2"/>
        <v>13</v>
      </c>
      <c r="I2514" s="15">
        <f t="shared" si="3"/>
        <v>17</v>
      </c>
    </row>
    <row r="2515">
      <c r="A2515" s="8" t="str">
        <f>IFERROR(__xludf.DUMMYFUNCTION("IF('(INGESTA)Datos_consumo_datadis'!A2515&lt;&gt;"""",SPLIT('(INGESTA)Datos_consumo_datadis'!A:A,"",""),"""")"),"ES0031408323131005HX0F")</f>
        <v>ES0031408323131005HX0F</v>
      </c>
      <c r="B2515" s="12">
        <f>IFERROR(__xludf.DUMMYFUNCTION("""COMPUTED_VALUE"""),44970.0)</f>
        <v>44970</v>
      </c>
      <c r="C2515" s="13">
        <f>IFERROR(__xludf.DUMMYFUNCTION("""COMPUTED_VALUE"""),0.75)</f>
        <v>0.75</v>
      </c>
      <c r="D2515" s="8">
        <f>IFERROR(__xludf.DUMMYFUNCTION("""COMPUTED_VALUE"""),0.054)</f>
        <v>0.054</v>
      </c>
      <c r="E2515" s="8" t="str">
        <f>IFERROR(__xludf.DUMMYFUNCTION("""COMPUTED_VALUE"""),"Real")</f>
        <v>Real</v>
      </c>
      <c r="G2515" s="8">
        <f t="shared" si="1"/>
        <v>2</v>
      </c>
      <c r="H2515" s="14">
        <f t="shared" si="2"/>
        <v>13</v>
      </c>
      <c r="I2515" s="15">
        <f t="shared" si="3"/>
        <v>18</v>
      </c>
    </row>
    <row r="2516">
      <c r="A2516" s="8" t="str">
        <f>IFERROR(__xludf.DUMMYFUNCTION("IF('(INGESTA)Datos_consumo_datadis'!A2516&lt;&gt;"""",SPLIT('(INGESTA)Datos_consumo_datadis'!A:A,"",""),"""")"),"ES0031408323131005HX0F")</f>
        <v>ES0031408323131005HX0F</v>
      </c>
      <c r="B2516" s="12">
        <f>IFERROR(__xludf.DUMMYFUNCTION("""COMPUTED_VALUE"""),44970.0)</f>
        <v>44970</v>
      </c>
      <c r="C2516" s="13">
        <f>IFERROR(__xludf.DUMMYFUNCTION("""COMPUTED_VALUE"""),0.7916666666666666)</f>
        <v>0.7916666667</v>
      </c>
      <c r="D2516" s="8">
        <f>IFERROR(__xludf.DUMMYFUNCTION("""COMPUTED_VALUE"""),0.054)</f>
        <v>0.054</v>
      </c>
      <c r="E2516" s="8" t="str">
        <f>IFERROR(__xludf.DUMMYFUNCTION("""COMPUTED_VALUE"""),"Real")</f>
        <v>Real</v>
      </c>
      <c r="G2516" s="8">
        <f t="shared" si="1"/>
        <v>2</v>
      </c>
      <c r="H2516" s="14">
        <f t="shared" si="2"/>
        <v>13</v>
      </c>
      <c r="I2516" s="15">
        <f t="shared" si="3"/>
        <v>19</v>
      </c>
    </row>
    <row r="2517">
      <c r="A2517" s="8" t="str">
        <f>IFERROR(__xludf.DUMMYFUNCTION("IF('(INGESTA)Datos_consumo_datadis'!A2517&lt;&gt;"""",SPLIT('(INGESTA)Datos_consumo_datadis'!A:A,"",""),"""")"),"ES0031408323131005HX0F")</f>
        <v>ES0031408323131005HX0F</v>
      </c>
      <c r="B2517" s="12">
        <f>IFERROR(__xludf.DUMMYFUNCTION("""COMPUTED_VALUE"""),44970.0)</f>
        <v>44970</v>
      </c>
      <c r="C2517" s="13">
        <f>IFERROR(__xludf.DUMMYFUNCTION("""COMPUTED_VALUE"""),0.8333333333333334)</f>
        <v>0.8333333333</v>
      </c>
      <c r="D2517" s="8">
        <f>IFERROR(__xludf.DUMMYFUNCTION("""COMPUTED_VALUE"""),0.045)</f>
        <v>0.045</v>
      </c>
      <c r="E2517" s="8" t="str">
        <f>IFERROR(__xludf.DUMMYFUNCTION("""COMPUTED_VALUE"""),"Real")</f>
        <v>Real</v>
      </c>
      <c r="G2517" s="8">
        <f t="shared" si="1"/>
        <v>2</v>
      </c>
      <c r="H2517" s="14">
        <f t="shared" si="2"/>
        <v>13</v>
      </c>
      <c r="I2517" s="15">
        <f t="shared" si="3"/>
        <v>20</v>
      </c>
    </row>
    <row r="2518">
      <c r="A2518" s="8" t="str">
        <f>IFERROR(__xludf.DUMMYFUNCTION("IF('(INGESTA)Datos_consumo_datadis'!A2518&lt;&gt;"""",SPLIT('(INGESTA)Datos_consumo_datadis'!A:A,"",""),"""")"),"ES0031408323131005HX0F")</f>
        <v>ES0031408323131005HX0F</v>
      </c>
      <c r="B2518" s="12">
        <f>IFERROR(__xludf.DUMMYFUNCTION("""COMPUTED_VALUE"""),44970.0)</f>
        <v>44970</v>
      </c>
      <c r="C2518" s="13">
        <f>IFERROR(__xludf.DUMMYFUNCTION("""COMPUTED_VALUE"""),0.875)</f>
        <v>0.875</v>
      </c>
      <c r="D2518" s="8">
        <f>IFERROR(__xludf.DUMMYFUNCTION("""COMPUTED_VALUE"""),0.017)</f>
        <v>0.017</v>
      </c>
      <c r="E2518" s="8" t="str">
        <f>IFERROR(__xludf.DUMMYFUNCTION("""COMPUTED_VALUE"""),"Real")</f>
        <v>Real</v>
      </c>
      <c r="G2518" s="8">
        <f t="shared" si="1"/>
        <v>2</v>
      </c>
      <c r="H2518" s="14">
        <f t="shared" si="2"/>
        <v>13</v>
      </c>
      <c r="I2518" s="15">
        <f t="shared" si="3"/>
        <v>21</v>
      </c>
    </row>
    <row r="2519">
      <c r="A2519" s="8" t="str">
        <f>IFERROR(__xludf.DUMMYFUNCTION("IF('(INGESTA)Datos_consumo_datadis'!A2519&lt;&gt;"""",SPLIT('(INGESTA)Datos_consumo_datadis'!A:A,"",""),"""")"),"ES0031408323131005HX0F")</f>
        <v>ES0031408323131005HX0F</v>
      </c>
      <c r="B2519" s="12">
        <f>IFERROR(__xludf.DUMMYFUNCTION("""COMPUTED_VALUE"""),44970.0)</f>
        <v>44970</v>
      </c>
      <c r="C2519" s="13">
        <f>IFERROR(__xludf.DUMMYFUNCTION("""COMPUTED_VALUE"""),0.9166666666666666)</f>
        <v>0.9166666667</v>
      </c>
      <c r="D2519" s="8">
        <f>IFERROR(__xludf.DUMMYFUNCTION("""COMPUTED_VALUE"""),1.324)</f>
        <v>1.324</v>
      </c>
      <c r="E2519" s="8" t="str">
        <f>IFERROR(__xludf.DUMMYFUNCTION("""COMPUTED_VALUE"""),"Real")</f>
        <v>Real</v>
      </c>
      <c r="G2519" s="8">
        <f t="shared" si="1"/>
        <v>2</v>
      </c>
      <c r="H2519" s="14">
        <f t="shared" si="2"/>
        <v>13</v>
      </c>
      <c r="I2519" s="15">
        <f t="shared" si="3"/>
        <v>22</v>
      </c>
    </row>
    <row r="2520">
      <c r="A2520" s="8" t="str">
        <f>IFERROR(__xludf.DUMMYFUNCTION("IF('(INGESTA)Datos_consumo_datadis'!A2520&lt;&gt;"""",SPLIT('(INGESTA)Datos_consumo_datadis'!A:A,"",""),"""")"),"ES0031408323131005HX0F")</f>
        <v>ES0031408323131005HX0F</v>
      </c>
      <c r="B2520" s="12">
        <f>IFERROR(__xludf.DUMMYFUNCTION("""COMPUTED_VALUE"""),44970.0)</f>
        <v>44970</v>
      </c>
      <c r="C2520" s="13">
        <f>IFERROR(__xludf.DUMMYFUNCTION("""COMPUTED_VALUE"""),0.9583333333333334)</f>
        <v>0.9583333333</v>
      </c>
      <c r="D2520" s="8">
        <f>IFERROR(__xludf.DUMMYFUNCTION("""COMPUTED_VALUE"""),1.7)</f>
        <v>1.7</v>
      </c>
      <c r="E2520" s="8" t="str">
        <f>IFERROR(__xludf.DUMMYFUNCTION("""COMPUTED_VALUE"""),"Real")</f>
        <v>Real</v>
      </c>
      <c r="G2520" s="8">
        <f t="shared" si="1"/>
        <v>2</v>
      </c>
      <c r="H2520" s="14">
        <f t="shared" si="2"/>
        <v>13</v>
      </c>
      <c r="I2520" s="15">
        <f t="shared" si="3"/>
        <v>23</v>
      </c>
    </row>
    <row r="2521">
      <c r="A2521" s="8" t="str">
        <f>IFERROR(__xludf.DUMMYFUNCTION("IF('(INGESTA)Datos_consumo_datadis'!A2521&lt;&gt;"""",SPLIT('(INGESTA)Datos_consumo_datadis'!A:A,"",""),"""")"),"ES0031408323131005HX0F")</f>
        <v>ES0031408323131005HX0F</v>
      </c>
      <c r="B2521" s="12">
        <f>IFERROR(__xludf.DUMMYFUNCTION("""COMPUTED_VALUE"""),44970.0)</f>
        <v>44970</v>
      </c>
      <c r="C2521" s="16">
        <f>IFERROR(__xludf.DUMMYFUNCTION("""COMPUTED_VALUE"""),1.0)</f>
        <v>1</v>
      </c>
      <c r="D2521" s="8">
        <f>IFERROR(__xludf.DUMMYFUNCTION("""COMPUTED_VALUE"""),0.017)</f>
        <v>0.017</v>
      </c>
      <c r="E2521" s="8" t="str">
        <f>IFERROR(__xludf.DUMMYFUNCTION("""COMPUTED_VALUE"""),"Real")</f>
        <v>Real</v>
      </c>
      <c r="G2521" s="8">
        <f t="shared" si="1"/>
        <v>2</v>
      </c>
      <c r="H2521" s="14">
        <f t="shared" si="2"/>
        <v>13</v>
      </c>
      <c r="I2521" s="15">
        <f t="shared" si="3"/>
        <v>0</v>
      </c>
    </row>
    <row r="2522">
      <c r="A2522" s="8" t="str">
        <f>IFERROR(__xludf.DUMMYFUNCTION("IF('(INGESTA)Datos_consumo_datadis'!A2522&lt;&gt;"""",SPLIT('(INGESTA)Datos_consumo_datadis'!A:A,"",""),"""")"),"ES0031408323131005HX0F")</f>
        <v>ES0031408323131005HX0F</v>
      </c>
      <c r="B2522" s="12">
        <f>IFERROR(__xludf.DUMMYFUNCTION("""COMPUTED_VALUE"""),44971.0)</f>
        <v>44971</v>
      </c>
      <c r="C2522" s="13">
        <f>IFERROR(__xludf.DUMMYFUNCTION("""COMPUTED_VALUE"""),0.041666666666666664)</f>
        <v>0.04166666667</v>
      </c>
      <c r="D2522" s="8">
        <f>IFERROR(__xludf.DUMMYFUNCTION("""COMPUTED_VALUE"""),1.948)</f>
        <v>1.948</v>
      </c>
      <c r="E2522" s="8" t="str">
        <f>IFERROR(__xludf.DUMMYFUNCTION("""COMPUTED_VALUE"""),"Real")</f>
        <v>Real</v>
      </c>
      <c r="G2522" s="8">
        <f t="shared" si="1"/>
        <v>2</v>
      </c>
      <c r="H2522" s="14">
        <f t="shared" si="2"/>
        <v>14</v>
      </c>
      <c r="I2522" s="15">
        <f t="shared" si="3"/>
        <v>1</v>
      </c>
    </row>
    <row r="2523">
      <c r="A2523" s="8" t="str">
        <f>IFERROR(__xludf.DUMMYFUNCTION("IF('(INGESTA)Datos_consumo_datadis'!A2523&lt;&gt;"""",SPLIT('(INGESTA)Datos_consumo_datadis'!A:A,"",""),"""")"),"ES0031408323131005HX0F")</f>
        <v>ES0031408323131005HX0F</v>
      </c>
      <c r="B2523" s="12">
        <f>IFERROR(__xludf.DUMMYFUNCTION("""COMPUTED_VALUE"""),44971.0)</f>
        <v>44971</v>
      </c>
      <c r="C2523" s="13">
        <f>IFERROR(__xludf.DUMMYFUNCTION("""COMPUTED_VALUE"""),0.08333333333333333)</f>
        <v>0.08333333333</v>
      </c>
      <c r="D2523" s="8">
        <f>IFERROR(__xludf.DUMMYFUNCTION("""COMPUTED_VALUE"""),1.868)</f>
        <v>1.868</v>
      </c>
      <c r="E2523" s="8" t="str">
        <f>IFERROR(__xludf.DUMMYFUNCTION("""COMPUTED_VALUE"""),"Real")</f>
        <v>Real</v>
      </c>
      <c r="G2523" s="8">
        <f t="shared" si="1"/>
        <v>2</v>
      </c>
      <c r="H2523" s="14">
        <f t="shared" si="2"/>
        <v>14</v>
      </c>
      <c r="I2523" s="15">
        <f t="shared" si="3"/>
        <v>2</v>
      </c>
    </row>
    <row r="2524">
      <c r="A2524" s="8" t="str">
        <f>IFERROR(__xludf.DUMMYFUNCTION("IF('(INGESTA)Datos_consumo_datadis'!A2524&lt;&gt;"""",SPLIT('(INGESTA)Datos_consumo_datadis'!A:A,"",""),"""")"),"ES0031408323131005HX0F")</f>
        <v>ES0031408323131005HX0F</v>
      </c>
      <c r="B2524" s="12">
        <f>IFERROR(__xludf.DUMMYFUNCTION("""COMPUTED_VALUE"""),44971.0)</f>
        <v>44971</v>
      </c>
      <c r="C2524" s="13">
        <f>IFERROR(__xludf.DUMMYFUNCTION("""COMPUTED_VALUE"""),0.125)</f>
        <v>0.125</v>
      </c>
      <c r="D2524" s="8">
        <f>IFERROR(__xludf.DUMMYFUNCTION("""COMPUTED_VALUE"""),1.488)</f>
        <v>1.488</v>
      </c>
      <c r="E2524" s="8" t="str">
        <f>IFERROR(__xludf.DUMMYFUNCTION("""COMPUTED_VALUE"""),"Real")</f>
        <v>Real</v>
      </c>
      <c r="G2524" s="8">
        <f t="shared" si="1"/>
        <v>2</v>
      </c>
      <c r="H2524" s="14">
        <f t="shared" si="2"/>
        <v>14</v>
      </c>
      <c r="I2524" s="15">
        <f t="shared" si="3"/>
        <v>3</v>
      </c>
    </row>
    <row r="2525">
      <c r="A2525" s="8" t="str">
        <f>IFERROR(__xludf.DUMMYFUNCTION("IF('(INGESTA)Datos_consumo_datadis'!A2525&lt;&gt;"""",SPLIT('(INGESTA)Datos_consumo_datadis'!A:A,"",""),"""")"),"ES0031408323131005HX0F")</f>
        <v>ES0031408323131005HX0F</v>
      </c>
      <c r="B2525" s="12">
        <f>IFERROR(__xludf.DUMMYFUNCTION("""COMPUTED_VALUE"""),44971.0)</f>
        <v>44971</v>
      </c>
      <c r="C2525" s="13">
        <f>IFERROR(__xludf.DUMMYFUNCTION("""COMPUTED_VALUE"""),0.16666666666666666)</f>
        <v>0.1666666667</v>
      </c>
      <c r="D2525" s="8">
        <f>IFERROR(__xludf.DUMMYFUNCTION("""COMPUTED_VALUE"""),1.541)</f>
        <v>1.541</v>
      </c>
      <c r="E2525" s="8" t="str">
        <f>IFERROR(__xludf.DUMMYFUNCTION("""COMPUTED_VALUE"""),"Real")</f>
        <v>Real</v>
      </c>
      <c r="G2525" s="8">
        <f t="shared" si="1"/>
        <v>2</v>
      </c>
      <c r="H2525" s="14">
        <f t="shared" si="2"/>
        <v>14</v>
      </c>
      <c r="I2525" s="15">
        <f t="shared" si="3"/>
        <v>4</v>
      </c>
    </row>
    <row r="2526">
      <c r="A2526" s="8" t="str">
        <f>IFERROR(__xludf.DUMMYFUNCTION("IF('(INGESTA)Datos_consumo_datadis'!A2526&lt;&gt;"""",SPLIT('(INGESTA)Datos_consumo_datadis'!A:A,"",""),"""")"),"ES0031408323131005HX0F")</f>
        <v>ES0031408323131005HX0F</v>
      </c>
      <c r="B2526" s="12">
        <f>IFERROR(__xludf.DUMMYFUNCTION("""COMPUTED_VALUE"""),44971.0)</f>
        <v>44971</v>
      </c>
      <c r="C2526" s="13">
        <f>IFERROR(__xludf.DUMMYFUNCTION("""COMPUTED_VALUE"""),0.20833333333333334)</f>
        <v>0.2083333333</v>
      </c>
      <c r="D2526" s="8">
        <f>IFERROR(__xludf.DUMMYFUNCTION("""COMPUTED_VALUE"""),1.526)</f>
        <v>1.526</v>
      </c>
      <c r="E2526" s="8" t="str">
        <f>IFERROR(__xludf.DUMMYFUNCTION("""COMPUTED_VALUE"""),"Real")</f>
        <v>Real</v>
      </c>
      <c r="G2526" s="8">
        <f t="shared" si="1"/>
        <v>2</v>
      </c>
      <c r="H2526" s="14">
        <f t="shared" si="2"/>
        <v>14</v>
      </c>
      <c r="I2526" s="15">
        <f t="shared" si="3"/>
        <v>5</v>
      </c>
    </row>
    <row r="2527">
      <c r="A2527" s="8" t="str">
        <f>IFERROR(__xludf.DUMMYFUNCTION("IF('(INGESTA)Datos_consumo_datadis'!A2527&lt;&gt;"""",SPLIT('(INGESTA)Datos_consumo_datadis'!A:A,"",""),"""")"),"ES0031408323131005HX0F")</f>
        <v>ES0031408323131005HX0F</v>
      </c>
      <c r="B2527" s="12">
        <f>IFERROR(__xludf.DUMMYFUNCTION("""COMPUTED_VALUE"""),44971.0)</f>
        <v>44971</v>
      </c>
      <c r="C2527" s="13">
        <f>IFERROR(__xludf.DUMMYFUNCTION("""COMPUTED_VALUE"""),0.25)</f>
        <v>0.25</v>
      </c>
      <c r="D2527" s="8">
        <f>IFERROR(__xludf.DUMMYFUNCTION("""COMPUTED_VALUE"""),1.509)</f>
        <v>1.509</v>
      </c>
      <c r="E2527" s="8" t="str">
        <f>IFERROR(__xludf.DUMMYFUNCTION("""COMPUTED_VALUE"""),"Real")</f>
        <v>Real</v>
      </c>
      <c r="G2527" s="8">
        <f t="shared" si="1"/>
        <v>2</v>
      </c>
      <c r="H2527" s="14">
        <f t="shared" si="2"/>
        <v>14</v>
      </c>
      <c r="I2527" s="15">
        <f t="shared" si="3"/>
        <v>6</v>
      </c>
    </row>
    <row r="2528">
      <c r="A2528" s="8" t="str">
        <f>IFERROR(__xludf.DUMMYFUNCTION("IF('(INGESTA)Datos_consumo_datadis'!A2528&lt;&gt;"""",SPLIT('(INGESTA)Datos_consumo_datadis'!A:A,"",""),"""")"),"ES0031408323131005HX0F")</f>
        <v>ES0031408323131005HX0F</v>
      </c>
      <c r="B2528" s="12">
        <f>IFERROR(__xludf.DUMMYFUNCTION("""COMPUTED_VALUE"""),44971.0)</f>
        <v>44971</v>
      </c>
      <c r="C2528" s="13">
        <f>IFERROR(__xludf.DUMMYFUNCTION("""COMPUTED_VALUE"""),0.2916666666666667)</f>
        <v>0.2916666667</v>
      </c>
      <c r="D2528" s="8">
        <f>IFERROR(__xludf.DUMMYFUNCTION("""COMPUTED_VALUE"""),1.704)</f>
        <v>1.704</v>
      </c>
      <c r="E2528" s="8" t="str">
        <f>IFERROR(__xludf.DUMMYFUNCTION("""COMPUTED_VALUE"""),"Real")</f>
        <v>Real</v>
      </c>
      <c r="G2528" s="8">
        <f t="shared" si="1"/>
        <v>2</v>
      </c>
      <c r="H2528" s="14">
        <f t="shared" si="2"/>
        <v>14</v>
      </c>
      <c r="I2528" s="15">
        <f t="shared" si="3"/>
        <v>7</v>
      </c>
    </row>
    <row r="2529">
      <c r="A2529" s="8" t="str">
        <f>IFERROR(__xludf.DUMMYFUNCTION("IF('(INGESTA)Datos_consumo_datadis'!A2529&lt;&gt;"""",SPLIT('(INGESTA)Datos_consumo_datadis'!A:A,"",""),"""")"),"ES0031408323131005HX0F")</f>
        <v>ES0031408323131005HX0F</v>
      </c>
      <c r="B2529" s="12">
        <f>IFERROR(__xludf.DUMMYFUNCTION("""COMPUTED_VALUE"""),44971.0)</f>
        <v>44971</v>
      </c>
      <c r="C2529" s="13">
        <f>IFERROR(__xludf.DUMMYFUNCTION("""COMPUTED_VALUE"""),0.3333333333333333)</f>
        <v>0.3333333333</v>
      </c>
      <c r="D2529" s="8">
        <f>IFERROR(__xludf.DUMMYFUNCTION("""COMPUTED_VALUE"""),1.392)</f>
        <v>1.392</v>
      </c>
      <c r="E2529" s="8" t="str">
        <f>IFERROR(__xludf.DUMMYFUNCTION("""COMPUTED_VALUE"""),"Real")</f>
        <v>Real</v>
      </c>
      <c r="G2529" s="8">
        <f t="shared" si="1"/>
        <v>2</v>
      </c>
      <c r="H2529" s="14">
        <f t="shared" si="2"/>
        <v>14</v>
      </c>
      <c r="I2529" s="15">
        <f t="shared" si="3"/>
        <v>8</v>
      </c>
    </row>
    <row r="2530">
      <c r="A2530" s="8" t="str">
        <f>IFERROR(__xludf.DUMMYFUNCTION("IF('(INGESTA)Datos_consumo_datadis'!A2530&lt;&gt;"""",SPLIT('(INGESTA)Datos_consumo_datadis'!A:A,"",""),"""")"),"ES0031408323131005HX0F")</f>
        <v>ES0031408323131005HX0F</v>
      </c>
      <c r="B2530" s="12">
        <f>IFERROR(__xludf.DUMMYFUNCTION("""COMPUTED_VALUE"""),44971.0)</f>
        <v>44971</v>
      </c>
      <c r="C2530" s="13">
        <f>IFERROR(__xludf.DUMMYFUNCTION("""COMPUTED_VALUE"""),0.375)</f>
        <v>0.375</v>
      </c>
      <c r="D2530" s="8">
        <f>IFERROR(__xludf.DUMMYFUNCTION("""COMPUTED_VALUE"""),0.894)</f>
        <v>0.894</v>
      </c>
      <c r="E2530" s="8" t="str">
        <f>IFERROR(__xludf.DUMMYFUNCTION("""COMPUTED_VALUE"""),"Real")</f>
        <v>Real</v>
      </c>
      <c r="G2530" s="8">
        <f t="shared" si="1"/>
        <v>2</v>
      </c>
      <c r="H2530" s="14">
        <f t="shared" si="2"/>
        <v>14</v>
      </c>
      <c r="I2530" s="15">
        <f t="shared" si="3"/>
        <v>9</v>
      </c>
    </row>
    <row r="2531">
      <c r="A2531" s="8" t="str">
        <f>IFERROR(__xludf.DUMMYFUNCTION("IF('(INGESTA)Datos_consumo_datadis'!A2531&lt;&gt;"""",SPLIT('(INGESTA)Datos_consumo_datadis'!A:A,"",""),"""")"),"ES0031408323131005HX0F")</f>
        <v>ES0031408323131005HX0F</v>
      </c>
      <c r="B2531" s="12">
        <f>IFERROR(__xludf.DUMMYFUNCTION("""COMPUTED_VALUE"""),44971.0)</f>
        <v>44971</v>
      </c>
      <c r="C2531" s="13">
        <f>IFERROR(__xludf.DUMMYFUNCTION("""COMPUTED_VALUE"""),0.4166666666666667)</f>
        <v>0.4166666667</v>
      </c>
      <c r="D2531" s="8">
        <f>IFERROR(__xludf.DUMMYFUNCTION("""COMPUTED_VALUE"""),0.865)</f>
        <v>0.865</v>
      </c>
      <c r="E2531" s="8" t="str">
        <f>IFERROR(__xludf.DUMMYFUNCTION("""COMPUTED_VALUE"""),"Real")</f>
        <v>Real</v>
      </c>
      <c r="G2531" s="8">
        <f t="shared" si="1"/>
        <v>2</v>
      </c>
      <c r="H2531" s="14">
        <f t="shared" si="2"/>
        <v>14</v>
      </c>
      <c r="I2531" s="15">
        <f t="shared" si="3"/>
        <v>10</v>
      </c>
    </row>
    <row r="2532">
      <c r="A2532" s="8" t="str">
        <f>IFERROR(__xludf.DUMMYFUNCTION("IF('(INGESTA)Datos_consumo_datadis'!A2532&lt;&gt;"""",SPLIT('(INGESTA)Datos_consumo_datadis'!A:A,"",""),"""")"),"ES0031408323131005HX0F")</f>
        <v>ES0031408323131005HX0F</v>
      </c>
      <c r="B2532" s="12">
        <f>IFERROR(__xludf.DUMMYFUNCTION("""COMPUTED_VALUE"""),44971.0)</f>
        <v>44971</v>
      </c>
      <c r="C2532" s="13">
        <f>IFERROR(__xludf.DUMMYFUNCTION("""COMPUTED_VALUE"""),0.4583333333333333)</f>
        <v>0.4583333333</v>
      </c>
      <c r="D2532" s="8">
        <f>IFERROR(__xludf.DUMMYFUNCTION("""COMPUTED_VALUE"""),1.513)</f>
        <v>1.513</v>
      </c>
      <c r="E2532" s="8" t="str">
        <f>IFERROR(__xludf.DUMMYFUNCTION("""COMPUTED_VALUE"""),"Real")</f>
        <v>Real</v>
      </c>
      <c r="G2532" s="8">
        <f t="shared" si="1"/>
        <v>2</v>
      </c>
      <c r="H2532" s="14">
        <f t="shared" si="2"/>
        <v>14</v>
      </c>
      <c r="I2532" s="15">
        <f t="shared" si="3"/>
        <v>11</v>
      </c>
    </row>
    <row r="2533">
      <c r="A2533" s="8" t="str">
        <f>IFERROR(__xludf.DUMMYFUNCTION("IF('(INGESTA)Datos_consumo_datadis'!A2533&lt;&gt;"""",SPLIT('(INGESTA)Datos_consumo_datadis'!A:A,"",""),"""")"),"ES0031408323131005HX0F")</f>
        <v>ES0031408323131005HX0F</v>
      </c>
      <c r="B2533" s="12">
        <f>IFERROR(__xludf.DUMMYFUNCTION("""COMPUTED_VALUE"""),44971.0)</f>
        <v>44971</v>
      </c>
      <c r="C2533" s="13">
        <f>IFERROR(__xludf.DUMMYFUNCTION("""COMPUTED_VALUE"""),0.5)</f>
        <v>0.5</v>
      </c>
      <c r="D2533" s="8">
        <f>IFERROR(__xludf.DUMMYFUNCTION("""COMPUTED_VALUE"""),1.547)</f>
        <v>1.547</v>
      </c>
      <c r="E2533" s="8" t="str">
        <f>IFERROR(__xludf.DUMMYFUNCTION("""COMPUTED_VALUE"""),"Real")</f>
        <v>Real</v>
      </c>
      <c r="G2533" s="8">
        <f t="shared" si="1"/>
        <v>2</v>
      </c>
      <c r="H2533" s="14">
        <f t="shared" si="2"/>
        <v>14</v>
      </c>
      <c r="I2533" s="15">
        <f t="shared" si="3"/>
        <v>12</v>
      </c>
    </row>
    <row r="2534">
      <c r="A2534" s="8" t="str">
        <f>IFERROR(__xludf.DUMMYFUNCTION("IF('(INGESTA)Datos_consumo_datadis'!A2534&lt;&gt;"""",SPLIT('(INGESTA)Datos_consumo_datadis'!A:A,"",""),"""")"),"ES0031408323131005HX0F")</f>
        <v>ES0031408323131005HX0F</v>
      </c>
      <c r="B2534" s="12">
        <f>IFERROR(__xludf.DUMMYFUNCTION("""COMPUTED_VALUE"""),44971.0)</f>
        <v>44971</v>
      </c>
      <c r="C2534" s="13">
        <f>IFERROR(__xludf.DUMMYFUNCTION("""COMPUTED_VALUE"""),0.5416666666666666)</f>
        <v>0.5416666667</v>
      </c>
      <c r="D2534" s="8">
        <f>IFERROR(__xludf.DUMMYFUNCTION("""COMPUTED_VALUE"""),0.112)</f>
        <v>0.112</v>
      </c>
      <c r="E2534" s="8" t="str">
        <f>IFERROR(__xludf.DUMMYFUNCTION("""COMPUTED_VALUE"""),"Real")</f>
        <v>Real</v>
      </c>
      <c r="G2534" s="8">
        <f t="shared" si="1"/>
        <v>2</v>
      </c>
      <c r="H2534" s="14">
        <f t="shared" si="2"/>
        <v>14</v>
      </c>
      <c r="I2534" s="15">
        <f t="shared" si="3"/>
        <v>13</v>
      </c>
    </row>
    <row r="2535">
      <c r="A2535" s="8" t="str">
        <f>IFERROR(__xludf.DUMMYFUNCTION("IF('(INGESTA)Datos_consumo_datadis'!A2535&lt;&gt;"""",SPLIT('(INGESTA)Datos_consumo_datadis'!A:A,"",""),"""")"),"ES0031408323131005HX0F")</f>
        <v>ES0031408323131005HX0F</v>
      </c>
      <c r="B2535" s="12">
        <f>IFERROR(__xludf.DUMMYFUNCTION("""COMPUTED_VALUE"""),44971.0)</f>
        <v>44971</v>
      </c>
      <c r="C2535" s="13">
        <f>IFERROR(__xludf.DUMMYFUNCTION("""COMPUTED_VALUE"""),0.5833333333333334)</f>
        <v>0.5833333333</v>
      </c>
      <c r="D2535" s="8">
        <f>IFERROR(__xludf.DUMMYFUNCTION("""COMPUTED_VALUE"""),0.968)</f>
        <v>0.968</v>
      </c>
      <c r="E2535" s="8" t="str">
        <f>IFERROR(__xludf.DUMMYFUNCTION("""COMPUTED_VALUE"""),"Real")</f>
        <v>Real</v>
      </c>
      <c r="G2535" s="8">
        <f t="shared" si="1"/>
        <v>2</v>
      </c>
      <c r="H2535" s="14">
        <f t="shared" si="2"/>
        <v>14</v>
      </c>
      <c r="I2535" s="15">
        <f t="shared" si="3"/>
        <v>14</v>
      </c>
    </row>
    <row r="2536">
      <c r="A2536" s="8" t="str">
        <f>IFERROR(__xludf.DUMMYFUNCTION("IF('(INGESTA)Datos_consumo_datadis'!A2536&lt;&gt;"""",SPLIT('(INGESTA)Datos_consumo_datadis'!A:A,"",""),"""")"),"ES0031408323131005HX0F")</f>
        <v>ES0031408323131005HX0F</v>
      </c>
      <c r="B2536" s="12">
        <f>IFERROR(__xludf.DUMMYFUNCTION("""COMPUTED_VALUE"""),44971.0)</f>
        <v>44971</v>
      </c>
      <c r="C2536" s="13">
        <f>IFERROR(__xludf.DUMMYFUNCTION("""COMPUTED_VALUE"""),0.625)</f>
        <v>0.625</v>
      </c>
      <c r="D2536" s="8">
        <f>IFERROR(__xludf.DUMMYFUNCTION("""COMPUTED_VALUE"""),0.538)</f>
        <v>0.538</v>
      </c>
      <c r="E2536" s="8" t="str">
        <f>IFERROR(__xludf.DUMMYFUNCTION("""COMPUTED_VALUE"""),"Real")</f>
        <v>Real</v>
      </c>
      <c r="G2536" s="8">
        <f t="shared" si="1"/>
        <v>2</v>
      </c>
      <c r="H2536" s="14">
        <f t="shared" si="2"/>
        <v>14</v>
      </c>
      <c r="I2536" s="15">
        <f t="shared" si="3"/>
        <v>15</v>
      </c>
    </row>
    <row r="2537">
      <c r="A2537" s="8" t="str">
        <f>IFERROR(__xludf.DUMMYFUNCTION("IF('(INGESTA)Datos_consumo_datadis'!A2537&lt;&gt;"""",SPLIT('(INGESTA)Datos_consumo_datadis'!A:A,"",""),"""")"),"ES0031408323131005HX0F")</f>
        <v>ES0031408323131005HX0F</v>
      </c>
      <c r="B2537" s="12">
        <f>IFERROR(__xludf.DUMMYFUNCTION("""COMPUTED_VALUE"""),44971.0)</f>
        <v>44971</v>
      </c>
      <c r="C2537" s="13">
        <f>IFERROR(__xludf.DUMMYFUNCTION("""COMPUTED_VALUE"""),0.6666666666666666)</f>
        <v>0.6666666667</v>
      </c>
      <c r="D2537" s="8">
        <f>IFERROR(__xludf.DUMMYFUNCTION("""COMPUTED_VALUE"""),0.062)</f>
        <v>0.062</v>
      </c>
      <c r="E2537" s="8" t="str">
        <f>IFERROR(__xludf.DUMMYFUNCTION("""COMPUTED_VALUE"""),"Real")</f>
        <v>Real</v>
      </c>
      <c r="G2537" s="8">
        <f t="shared" si="1"/>
        <v>2</v>
      </c>
      <c r="H2537" s="14">
        <f t="shared" si="2"/>
        <v>14</v>
      </c>
      <c r="I2537" s="15">
        <f t="shared" si="3"/>
        <v>16</v>
      </c>
    </row>
    <row r="2538">
      <c r="A2538" s="8" t="str">
        <f>IFERROR(__xludf.DUMMYFUNCTION("IF('(INGESTA)Datos_consumo_datadis'!A2538&lt;&gt;"""",SPLIT('(INGESTA)Datos_consumo_datadis'!A:A,"",""),"""")"),"ES0031408323131005HX0F")</f>
        <v>ES0031408323131005HX0F</v>
      </c>
      <c r="B2538" s="12">
        <f>IFERROR(__xludf.DUMMYFUNCTION("""COMPUTED_VALUE"""),44971.0)</f>
        <v>44971</v>
      </c>
      <c r="C2538" s="13">
        <f>IFERROR(__xludf.DUMMYFUNCTION("""COMPUTED_VALUE"""),0.7083333333333334)</f>
        <v>0.7083333333</v>
      </c>
      <c r="D2538" s="8">
        <f>IFERROR(__xludf.DUMMYFUNCTION("""COMPUTED_VALUE"""),0.283)</f>
        <v>0.283</v>
      </c>
      <c r="E2538" s="8" t="str">
        <f>IFERROR(__xludf.DUMMYFUNCTION("""COMPUTED_VALUE"""),"Real")</f>
        <v>Real</v>
      </c>
      <c r="G2538" s="8">
        <f t="shared" si="1"/>
        <v>2</v>
      </c>
      <c r="H2538" s="14">
        <f t="shared" si="2"/>
        <v>14</v>
      </c>
      <c r="I2538" s="15">
        <f t="shared" si="3"/>
        <v>17</v>
      </c>
    </row>
    <row r="2539">
      <c r="A2539" s="8" t="str">
        <f>IFERROR(__xludf.DUMMYFUNCTION("IF('(INGESTA)Datos_consumo_datadis'!A2539&lt;&gt;"""",SPLIT('(INGESTA)Datos_consumo_datadis'!A:A,"",""),"""")"),"ES0031408323131005HX0F")</f>
        <v>ES0031408323131005HX0F</v>
      </c>
      <c r="B2539" s="12">
        <f>IFERROR(__xludf.DUMMYFUNCTION("""COMPUTED_VALUE"""),44971.0)</f>
        <v>44971</v>
      </c>
      <c r="C2539" s="13">
        <f>IFERROR(__xludf.DUMMYFUNCTION("""COMPUTED_VALUE"""),0.75)</f>
        <v>0.75</v>
      </c>
      <c r="D2539" s="8">
        <f>IFERROR(__xludf.DUMMYFUNCTION("""COMPUTED_VALUE"""),0.083)</f>
        <v>0.083</v>
      </c>
      <c r="E2539" s="8" t="str">
        <f>IFERROR(__xludf.DUMMYFUNCTION("""COMPUTED_VALUE"""),"Real")</f>
        <v>Real</v>
      </c>
      <c r="G2539" s="8">
        <f t="shared" si="1"/>
        <v>2</v>
      </c>
      <c r="H2539" s="14">
        <f t="shared" si="2"/>
        <v>14</v>
      </c>
      <c r="I2539" s="15">
        <f t="shared" si="3"/>
        <v>18</v>
      </c>
    </row>
    <row r="2540">
      <c r="A2540" s="8" t="str">
        <f>IFERROR(__xludf.DUMMYFUNCTION("IF('(INGESTA)Datos_consumo_datadis'!A2540&lt;&gt;"""",SPLIT('(INGESTA)Datos_consumo_datadis'!A:A,"",""),"""")"),"ES0031408323131005HX0F")</f>
        <v>ES0031408323131005HX0F</v>
      </c>
      <c r="B2540" s="12">
        <f>IFERROR(__xludf.DUMMYFUNCTION("""COMPUTED_VALUE"""),44971.0)</f>
        <v>44971</v>
      </c>
      <c r="C2540" s="13">
        <f>IFERROR(__xludf.DUMMYFUNCTION("""COMPUTED_VALUE"""),0.7916666666666666)</f>
        <v>0.7916666667</v>
      </c>
      <c r="D2540" s="8">
        <f>IFERROR(__xludf.DUMMYFUNCTION("""COMPUTED_VALUE"""),0.049)</f>
        <v>0.049</v>
      </c>
      <c r="E2540" s="8" t="str">
        <f>IFERROR(__xludf.DUMMYFUNCTION("""COMPUTED_VALUE"""),"Real")</f>
        <v>Real</v>
      </c>
      <c r="G2540" s="8">
        <f t="shared" si="1"/>
        <v>2</v>
      </c>
      <c r="H2540" s="14">
        <f t="shared" si="2"/>
        <v>14</v>
      </c>
      <c r="I2540" s="15">
        <f t="shared" si="3"/>
        <v>19</v>
      </c>
    </row>
    <row r="2541">
      <c r="A2541" s="8" t="str">
        <f>IFERROR(__xludf.DUMMYFUNCTION("IF('(INGESTA)Datos_consumo_datadis'!A2541&lt;&gt;"""",SPLIT('(INGESTA)Datos_consumo_datadis'!A:A,"",""),"""")"),"ES0031408323131005HX0F")</f>
        <v>ES0031408323131005HX0F</v>
      </c>
      <c r="B2541" s="12">
        <f>IFERROR(__xludf.DUMMYFUNCTION("""COMPUTED_VALUE"""),44971.0)</f>
        <v>44971</v>
      </c>
      <c r="C2541" s="13">
        <f>IFERROR(__xludf.DUMMYFUNCTION("""COMPUTED_VALUE"""),0.8333333333333334)</f>
        <v>0.8333333333</v>
      </c>
      <c r="D2541" s="8">
        <f>IFERROR(__xludf.DUMMYFUNCTION("""COMPUTED_VALUE"""),0.017)</f>
        <v>0.017</v>
      </c>
      <c r="E2541" s="8" t="str">
        <f>IFERROR(__xludf.DUMMYFUNCTION("""COMPUTED_VALUE"""),"Real")</f>
        <v>Real</v>
      </c>
      <c r="G2541" s="8">
        <f t="shared" si="1"/>
        <v>2</v>
      </c>
      <c r="H2541" s="14">
        <f t="shared" si="2"/>
        <v>14</v>
      </c>
      <c r="I2541" s="15">
        <f t="shared" si="3"/>
        <v>20</v>
      </c>
    </row>
    <row r="2542">
      <c r="A2542" s="8" t="str">
        <f>IFERROR(__xludf.DUMMYFUNCTION("IF('(INGESTA)Datos_consumo_datadis'!A2542&lt;&gt;"""",SPLIT('(INGESTA)Datos_consumo_datadis'!A:A,"",""),"""")"),"ES0031408323131005HX0F")</f>
        <v>ES0031408323131005HX0F</v>
      </c>
      <c r="B2542" s="12">
        <f>IFERROR(__xludf.DUMMYFUNCTION("""COMPUTED_VALUE"""),44971.0)</f>
        <v>44971</v>
      </c>
      <c r="C2542" s="13">
        <f>IFERROR(__xludf.DUMMYFUNCTION("""COMPUTED_VALUE"""),0.875)</f>
        <v>0.875</v>
      </c>
      <c r="D2542" s="8">
        <f>IFERROR(__xludf.DUMMYFUNCTION("""COMPUTED_VALUE"""),0.049)</f>
        <v>0.049</v>
      </c>
      <c r="E2542" s="8" t="str">
        <f>IFERROR(__xludf.DUMMYFUNCTION("""COMPUTED_VALUE"""),"Real")</f>
        <v>Real</v>
      </c>
      <c r="G2542" s="8">
        <f t="shared" si="1"/>
        <v>2</v>
      </c>
      <c r="H2542" s="14">
        <f t="shared" si="2"/>
        <v>14</v>
      </c>
      <c r="I2542" s="15">
        <f t="shared" si="3"/>
        <v>21</v>
      </c>
    </row>
    <row r="2543">
      <c r="A2543" s="8" t="str">
        <f>IFERROR(__xludf.DUMMYFUNCTION("IF('(INGESTA)Datos_consumo_datadis'!A2543&lt;&gt;"""",SPLIT('(INGESTA)Datos_consumo_datadis'!A:A,"",""),"""")"),"ES0031408323131005HX0F")</f>
        <v>ES0031408323131005HX0F</v>
      </c>
      <c r="B2543" s="12">
        <f>IFERROR(__xludf.DUMMYFUNCTION("""COMPUTED_VALUE"""),44971.0)</f>
        <v>44971</v>
      </c>
      <c r="C2543" s="13">
        <f>IFERROR(__xludf.DUMMYFUNCTION("""COMPUTED_VALUE"""),0.9166666666666666)</f>
        <v>0.9166666667</v>
      </c>
      <c r="D2543" s="8">
        <f>IFERROR(__xludf.DUMMYFUNCTION("""COMPUTED_VALUE"""),0.056)</f>
        <v>0.056</v>
      </c>
      <c r="E2543" s="8" t="str">
        <f>IFERROR(__xludf.DUMMYFUNCTION("""COMPUTED_VALUE"""),"Real")</f>
        <v>Real</v>
      </c>
      <c r="G2543" s="8">
        <f t="shared" si="1"/>
        <v>2</v>
      </c>
      <c r="H2543" s="14">
        <f t="shared" si="2"/>
        <v>14</v>
      </c>
      <c r="I2543" s="15">
        <f t="shared" si="3"/>
        <v>22</v>
      </c>
    </row>
    <row r="2544">
      <c r="A2544" s="8" t="str">
        <f>IFERROR(__xludf.DUMMYFUNCTION("IF('(INGESTA)Datos_consumo_datadis'!A2544&lt;&gt;"""",SPLIT('(INGESTA)Datos_consumo_datadis'!A:A,"",""),"""")"),"ES0031408323131005HX0F")</f>
        <v>ES0031408323131005HX0F</v>
      </c>
      <c r="B2544" s="12">
        <f>IFERROR(__xludf.DUMMYFUNCTION("""COMPUTED_VALUE"""),44971.0)</f>
        <v>44971</v>
      </c>
      <c r="C2544" s="13">
        <f>IFERROR(__xludf.DUMMYFUNCTION("""COMPUTED_VALUE"""),0.9583333333333334)</f>
        <v>0.9583333333</v>
      </c>
      <c r="D2544" s="8">
        <f>IFERROR(__xludf.DUMMYFUNCTION("""COMPUTED_VALUE"""),2.289)</f>
        <v>2.289</v>
      </c>
      <c r="E2544" s="8" t="str">
        <f>IFERROR(__xludf.DUMMYFUNCTION("""COMPUTED_VALUE"""),"Real")</f>
        <v>Real</v>
      </c>
      <c r="G2544" s="8">
        <f t="shared" si="1"/>
        <v>2</v>
      </c>
      <c r="H2544" s="14">
        <f t="shared" si="2"/>
        <v>14</v>
      </c>
      <c r="I2544" s="15">
        <f t="shared" si="3"/>
        <v>23</v>
      </c>
    </row>
    <row r="2545">
      <c r="A2545" s="8" t="str">
        <f>IFERROR(__xludf.DUMMYFUNCTION("IF('(INGESTA)Datos_consumo_datadis'!A2545&lt;&gt;"""",SPLIT('(INGESTA)Datos_consumo_datadis'!A:A,"",""),"""")"),"ES0031408323131005HX0F")</f>
        <v>ES0031408323131005HX0F</v>
      </c>
      <c r="B2545" s="12">
        <f>IFERROR(__xludf.DUMMYFUNCTION("""COMPUTED_VALUE"""),44971.0)</f>
        <v>44971</v>
      </c>
      <c r="C2545" s="16">
        <f>IFERROR(__xludf.DUMMYFUNCTION("""COMPUTED_VALUE"""),1.0)</f>
        <v>1</v>
      </c>
      <c r="D2545" s="8">
        <f>IFERROR(__xludf.DUMMYFUNCTION("""COMPUTED_VALUE"""),2.237)</f>
        <v>2.237</v>
      </c>
      <c r="E2545" s="8" t="str">
        <f>IFERROR(__xludf.DUMMYFUNCTION("""COMPUTED_VALUE"""),"Real")</f>
        <v>Real</v>
      </c>
      <c r="G2545" s="8">
        <f t="shared" si="1"/>
        <v>2</v>
      </c>
      <c r="H2545" s="14">
        <f t="shared" si="2"/>
        <v>14</v>
      </c>
      <c r="I2545" s="15">
        <f t="shared" si="3"/>
        <v>0</v>
      </c>
    </row>
    <row r="2546">
      <c r="A2546" s="8" t="str">
        <f>IFERROR(__xludf.DUMMYFUNCTION("IF('(INGESTA)Datos_consumo_datadis'!A2546&lt;&gt;"""",SPLIT('(INGESTA)Datos_consumo_datadis'!A:A,"",""),"""")"),"ES0031408323131005HX0F")</f>
        <v>ES0031408323131005HX0F</v>
      </c>
      <c r="B2546" s="12">
        <f>IFERROR(__xludf.DUMMYFUNCTION("""COMPUTED_VALUE"""),44972.0)</f>
        <v>44972</v>
      </c>
      <c r="C2546" s="13">
        <f>IFERROR(__xludf.DUMMYFUNCTION("""COMPUTED_VALUE"""),0.041666666666666664)</f>
        <v>0.04166666667</v>
      </c>
      <c r="D2546" s="8">
        <f>IFERROR(__xludf.DUMMYFUNCTION("""COMPUTED_VALUE"""),1.58)</f>
        <v>1.58</v>
      </c>
      <c r="E2546" s="8" t="str">
        <f>IFERROR(__xludf.DUMMYFUNCTION("""COMPUTED_VALUE"""),"Real")</f>
        <v>Real</v>
      </c>
      <c r="G2546" s="8">
        <f t="shared" si="1"/>
        <v>2</v>
      </c>
      <c r="H2546" s="14">
        <f t="shared" si="2"/>
        <v>15</v>
      </c>
      <c r="I2546" s="15">
        <f t="shared" si="3"/>
        <v>1</v>
      </c>
    </row>
    <row r="2547">
      <c r="A2547" s="8" t="str">
        <f>IFERROR(__xludf.DUMMYFUNCTION("IF('(INGESTA)Datos_consumo_datadis'!A2547&lt;&gt;"""",SPLIT('(INGESTA)Datos_consumo_datadis'!A:A,"",""),"""")"),"ES0031408323131005HX0F")</f>
        <v>ES0031408323131005HX0F</v>
      </c>
      <c r="B2547" s="12">
        <f>IFERROR(__xludf.DUMMYFUNCTION("""COMPUTED_VALUE"""),44972.0)</f>
        <v>44972</v>
      </c>
      <c r="C2547" s="13">
        <f>IFERROR(__xludf.DUMMYFUNCTION("""COMPUTED_VALUE"""),0.08333333333333333)</f>
        <v>0.08333333333</v>
      </c>
      <c r="D2547" s="8">
        <f>IFERROR(__xludf.DUMMYFUNCTION("""COMPUTED_VALUE"""),1.226)</f>
        <v>1.226</v>
      </c>
      <c r="E2547" s="8" t="str">
        <f>IFERROR(__xludf.DUMMYFUNCTION("""COMPUTED_VALUE"""),"Real")</f>
        <v>Real</v>
      </c>
      <c r="G2547" s="8">
        <f t="shared" si="1"/>
        <v>2</v>
      </c>
      <c r="H2547" s="14">
        <f t="shared" si="2"/>
        <v>15</v>
      </c>
      <c r="I2547" s="15">
        <f t="shared" si="3"/>
        <v>2</v>
      </c>
    </row>
    <row r="2548">
      <c r="A2548" s="8" t="str">
        <f>IFERROR(__xludf.DUMMYFUNCTION("IF('(INGESTA)Datos_consumo_datadis'!A2548&lt;&gt;"""",SPLIT('(INGESTA)Datos_consumo_datadis'!A:A,"",""),"""")"),"ES0031408323131005HX0F")</f>
        <v>ES0031408323131005HX0F</v>
      </c>
      <c r="B2548" s="12">
        <f>IFERROR(__xludf.DUMMYFUNCTION("""COMPUTED_VALUE"""),44972.0)</f>
        <v>44972</v>
      </c>
      <c r="C2548" s="13">
        <f>IFERROR(__xludf.DUMMYFUNCTION("""COMPUTED_VALUE"""),0.125)</f>
        <v>0.125</v>
      </c>
      <c r="D2548" s="8">
        <f>IFERROR(__xludf.DUMMYFUNCTION("""COMPUTED_VALUE"""),1.564)</f>
        <v>1.564</v>
      </c>
      <c r="E2548" s="8" t="str">
        <f>IFERROR(__xludf.DUMMYFUNCTION("""COMPUTED_VALUE"""),"Real")</f>
        <v>Real</v>
      </c>
      <c r="G2548" s="8">
        <f t="shared" si="1"/>
        <v>2</v>
      </c>
      <c r="H2548" s="14">
        <f t="shared" si="2"/>
        <v>15</v>
      </c>
      <c r="I2548" s="15">
        <f t="shared" si="3"/>
        <v>3</v>
      </c>
    </row>
    <row r="2549">
      <c r="A2549" s="8" t="str">
        <f>IFERROR(__xludf.DUMMYFUNCTION("IF('(INGESTA)Datos_consumo_datadis'!A2549&lt;&gt;"""",SPLIT('(INGESTA)Datos_consumo_datadis'!A:A,"",""),"""")"),"ES0031408323131005HX0F")</f>
        <v>ES0031408323131005HX0F</v>
      </c>
      <c r="B2549" s="12">
        <f>IFERROR(__xludf.DUMMYFUNCTION("""COMPUTED_VALUE"""),44972.0)</f>
        <v>44972</v>
      </c>
      <c r="C2549" s="13">
        <f>IFERROR(__xludf.DUMMYFUNCTION("""COMPUTED_VALUE"""),0.16666666666666666)</f>
        <v>0.1666666667</v>
      </c>
      <c r="D2549" s="8">
        <f>IFERROR(__xludf.DUMMYFUNCTION("""COMPUTED_VALUE"""),1.336)</f>
        <v>1.336</v>
      </c>
      <c r="E2549" s="8" t="str">
        <f>IFERROR(__xludf.DUMMYFUNCTION("""COMPUTED_VALUE"""),"Real")</f>
        <v>Real</v>
      </c>
      <c r="G2549" s="8">
        <f t="shared" si="1"/>
        <v>2</v>
      </c>
      <c r="H2549" s="14">
        <f t="shared" si="2"/>
        <v>15</v>
      </c>
      <c r="I2549" s="15">
        <f t="shared" si="3"/>
        <v>4</v>
      </c>
    </row>
    <row r="2550">
      <c r="A2550" s="8" t="str">
        <f>IFERROR(__xludf.DUMMYFUNCTION("IF('(INGESTA)Datos_consumo_datadis'!A2550&lt;&gt;"""",SPLIT('(INGESTA)Datos_consumo_datadis'!A:A,"",""),"""")"),"ES0031408323131005HX0F")</f>
        <v>ES0031408323131005HX0F</v>
      </c>
      <c r="B2550" s="12">
        <f>IFERROR(__xludf.DUMMYFUNCTION("""COMPUTED_VALUE"""),44972.0)</f>
        <v>44972</v>
      </c>
      <c r="C2550" s="13">
        <f>IFERROR(__xludf.DUMMYFUNCTION("""COMPUTED_VALUE"""),0.20833333333333334)</f>
        <v>0.2083333333</v>
      </c>
      <c r="D2550" s="8">
        <f>IFERROR(__xludf.DUMMYFUNCTION("""COMPUTED_VALUE"""),1.253)</f>
        <v>1.253</v>
      </c>
      <c r="E2550" s="8" t="str">
        <f>IFERROR(__xludf.DUMMYFUNCTION("""COMPUTED_VALUE"""),"Real")</f>
        <v>Real</v>
      </c>
      <c r="G2550" s="8">
        <f t="shared" si="1"/>
        <v>2</v>
      </c>
      <c r="H2550" s="14">
        <f t="shared" si="2"/>
        <v>15</v>
      </c>
      <c r="I2550" s="15">
        <f t="shared" si="3"/>
        <v>5</v>
      </c>
    </row>
    <row r="2551">
      <c r="A2551" s="8" t="str">
        <f>IFERROR(__xludf.DUMMYFUNCTION("IF('(INGESTA)Datos_consumo_datadis'!A2551&lt;&gt;"""",SPLIT('(INGESTA)Datos_consumo_datadis'!A:A,"",""),"""")"),"ES0031408323131005HX0F")</f>
        <v>ES0031408323131005HX0F</v>
      </c>
      <c r="B2551" s="12">
        <f>IFERROR(__xludf.DUMMYFUNCTION("""COMPUTED_VALUE"""),44972.0)</f>
        <v>44972</v>
      </c>
      <c r="C2551" s="13">
        <f>IFERROR(__xludf.DUMMYFUNCTION("""COMPUTED_VALUE"""),0.25)</f>
        <v>0.25</v>
      </c>
      <c r="D2551" s="8">
        <f>IFERROR(__xludf.DUMMYFUNCTION("""COMPUTED_VALUE"""),1.259)</f>
        <v>1.259</v>
      </c>
      <c r="E2551" s="8" t="str">
        <f>IFERROR(__xludf.DUMMYFUNCTION("""COMPUTED_VALUE"""),"Real")</f>
        <v>Real</v>
      </c>
      <c r="G2551" s="8">
        <f t="shared" si="1"/>
        <v>2</v>
      </c>
      <c r="H2551" s="14">
        <f t="shared" si="2"/>
        <v>15</v>
      </c>
      <c r="I2551" s="15">
        <f t="shared" si="3"/>
        <v>6</v>
      </c>
    </row>
    <row r="2552">
      <c r="A2552" s="8" t="str">
        <f>IFERROR(__xludf.DUMMYFUNCTION("IF('(INGESTA)Datos_consumo_datadis'!A2552&lt;&gt;"""",SPLIT('(INGESTA)Datos_consumo_datadis'!A:A,"",""),"""")"),"ES0031408323131005HX0F")</f>
        <v>ES0031408323131005HX0F</v>
      </c>
      <c r="B2552" s="12">
        <f>IFERROR(__xludf.DUMMYFUNCTION("""COMPUTED_VALUE"""),44972.0)</f>
        <v>44972</v>
      </c>
      <c r="C2552" s="13">
        <f>IFERROR(__xludf.DUMMYFUNCTION("""COMPUTED_VALUE"""),0.2916666666666667)</f>
        <v>0.2916666667</v>
      </c>
      <c r="D2552" s="8">
        <f>IFERROR(__xludf.DUMMYFUNCTION("""COMPUTED_VALUE"""),1.33)</f>
        <v>1.33</v>
      </c>
      <c r="E2552" s="8" t="str">
        <f>IFERROR(__xludf.DUMMYFUNCTION("""COMPUTED_VALUE"""),"Real")</f>
        <v>Real</v>
      </c>
      <c r="G2552" s="8">
        <f t="shared" si="1"/>
        <v>2</v>
      </c>
      <c r="H2552" s="14">
        <f t="shared" si="2"/>
        <v>15</v>
      </c>
      <c r="I2552" s="15">
        <f t="shared" si="3"/>
        <v>7</v>
      </c>
    </row>
    <row r="2553">
      <c r="A2553" s="8" t="str">
        <f>IFERROR(__xludf.DUMMYFUNCTION("IF('(INGESTA)Datos_consumo_datadis'!A2553&lt;&gt;"""",SPLIT('(INGESTA)Datos_consumo_datadis'!A:A,"",""),"""")"),"ES0031408323131005HX0F")</f>
        <v>ES0031408323131005HX0F</v>
      </c>
      <c r="B2553" s="12">
        <f>IFERROR(__xludf.DUMMYFUNCTION("""COMPUTED_VALUE"""),44972.0)</f>
        <v>44972</v>
      </c>
      <c r="C2553" s="13">
        <f>IFERROR(__xludf.DUMMYFUNCTION("""COMPUTED_VALUE"""),0.3333333333333333)</f>
        <v>0.3333333333</v>
      </c>
      <c r="D2553" s="8">
        <f>IFERROR(__xludf.DUMMYFUNCTION("""COMPUTED_VALUE"""),1.425)</f>
        <v>1.425</v>
      </c>
      <c r="E2553" s="8" t="str">
        <f>IFERROR(__xludf.DUMMYFUNCTION("""COMPUTED_VALUE"""),"Real")</f>
        <v>Real</v>
      </c>
      <c r="G2553" s="8">
        <f t="shared" si="1"/>
        <v>2</v>
      </c>
      <c r="H2553" s="14">
        <f t="shared" si="2"/>
        <v>15</v>
      </c>
      <c r="I2553" s="15">
        <f t="shared" si="3"/>
        <v>8</v>
      </c>
    </row>
    <row r="2554">
      <c r="A2554" s="8" t="str">
        <f>IFERROR(__xludf.DUMMYFUNCTION("IF('(INGESTA)Datos_consumo_datadis'!A2554&lt;&gt;"""",SPLIT('(INGESTA)Datos_consumo_datadis'!A:A,"",""),"""")"),"ES0031408323131005HX0F")</f>
        <v>ES0031408323131005HX0F</v>
      </c>
      <c r="B2554" s="12">
        <f>IFERROR(__xludf.DUMMYFUNCTION("""COMPUTED_VALUE"""),44972.0)</f>
        <v>44972</v>
      </c>
      <c r="C2554" s="13">
        <f>IFERROR(__xludf.DUMMYFUNCTION("""COMPUTED_VALUE"""),0.375)</f>
        <v>0.375</v>
      </c>
      <c r="D2554" s="8">
        <f>IFERROR(__xludf.DUMMYFUNCTION("""COMPUTED_VALUE"""),1.063)</f>
        <v>1.063</v>
      </c>
      <c r="E2554" s="8" t="str">
        <f>IFERROR(__xludf.DUMMYFUNCTION("""COMPUTED_VALUE"""),"Real")</f>
        <v>Real</v>
      </c>
      <c r="G2554" s="8">
        <f t="shared" si="1"/>
        <v>2</v>
      </c>
      <c r="H2554" s="14">
        <f t="shared" si="2"/>
        <v>15</v>
      </c>
      <c r="I2554" s="15">
        <f t="shared" si="3"/>
        <v>9</v>
      </c>
    </row>
    <row r="2555">
      <c r="A2555" s="8" t="str">
        <f>IFERROR(__xludf.DUMMYFUNCTION("IF('(INGESTA)Datos_consumo_datadis'!A2555&lt;&gt;"""",SPLIT('(INGESTA)Datos_consumo_datadis'!A:A,"",""),"""")"),"ES0031408323131005HX0F")</f>
        <v>ES0031408323131005HX0F</v>
      </c>
      <c r="B2555" s="12">
        <f>IFERROR(__xludf.DUMMYFUNCTION("""COMPUTED_VALUE"""),44972.0)</f>
        <v>44972</v>
      </c>
      <c r="C2555" s="13">
        <f>IFERROR(__xludf.DUMMYFUNCTION("""COMPUTED_VALUE"""),0.4166666666666667)</f>
        <v>0.4166666667</v>
      </c>
      <c r="D2555" s="8">
        <f>IFERROR(__xludf.DUMMYFUNCTION("""COMPUTED_VALUE"""),0.016)</f>
        <v>0.016</v>
      </c>
      <c r="E2555" s="8" t="str">
        <f>IFERROR(__xludf.DUMMYFUNCTION("""COMPUTED_VALUE"""),"Real")</f>
        <v>Real</v>
      </c>
      <c r="G2555" s="8">
        <f t="shared" si="1"/>
        <v>2</v>
      </c>
      <c r="H2555" s="14">
        <f t="shared" si="2"/>
        <v>15</v>
      </c>
      <c r="I2555" s="15">
        <f t="shared" si="3"/>
        <v>10</v>
      </c>
    </row>
    <row r="2556">
      <c r="A2556" s="8" t="str">
        <f>IFERROR(__xludf.DUMMYFUNCTION("IF('(INGESTA)Datos_consumo_datadis'!A2556&lt;&gt;"""",SPLIT('(INGESTA)Datos_consumo_datadis'!A:A,"",""),"""")"),"ES0031408323131005HX0F")</f>
        <v>ES0031408323131005HX0F</v>
      </c>
      <c r="B2556" s="12">
        <f>IFERROR(__xludf.DUMMYFUNCTION("""COMPUTED_VALUE"""),44972.0)</f>
        <v>44972</v>
      </c>
      <c r="C2556" s="13">
        <f>IFERROR(__xludf.DUMMYFUNCTION("""COMPUTED_VALUE"""),0.4583333333333333)</f>
        <v>0.4583333333</v>
      </c>
      <c r="D2556" s="8">
        <f>IFERROR(__xludf.DUMMYFUNCTION("""COMPUTED_VALUE"""),0.06)</f>
        <v>0.06</v>
      </c>
      <c r="E2556" s="8" t="str">
        <f>IFERROR(__xludf.DUMMYFUNCTION("""COMPUTED_VALUE"""),"Real")</f>
        <v>Real</v>
      </c>
      <c r="G2556" s="8">
        <f t="shared" si="1"/>
        <v>2</v>
      </c>
      <c r="H2556" s="14">
        <f t="shared" si="2"/>
        <v>15</v>
      </c>
      <c r="I2556" s="15">
        <f t="shared" si="3"/>
        <v>11</v>
      </c>
    </row>
    <row r="2557">
      <c r="A2557" s="8" t="str">
        <f>IFERROR(__xludf.DUMMYFUNCTION("IF('(INGESTA)Datos_consumo_datadis'!A2557&lt;&gt;"""",SPLIT('(INGESTA)Datos_consumo_datadis'!A:A,"",""),"""")"),"ES0031408323131005HX0F")</f>
        <v>ES0031408323131005HX0F</v>
      </c>
      <c r="B2557" s="12">
        <f>IFERROR(__xludf.DUMMYFUNCTION("""COMPUTED_VALUE"""),44972.0)</f>
        <v>44972</v>
      </c>
      <c r="C2557" s="13">
        <f>IFERROR(__xludf.DUMMYFUNCTION("""COMPUTED_VALUE"""),0.5)</f>
        <v>0.5</v>
      </c>
      <c r="D2557" s="8">
        <f>IFERROR(__xludf.DUMMYFUNCTION("""COMPUTED_VALUE"""),0.08)</f>
        <v>0.08</v>
      </c>
      <c r="E2557" s="8" t="str">
        <f>IFERROR(__xludf.DUMMYFUNCTION("""COMPUTED_VALUE"""),"Real")</f>
        <v>Real</v>
      </c>
      <c r="G2557" s="8">
        <f t="shared" si="1"/>
        <v>2</v>
      </c>
      <c r="H2557" s="14">
        <f t="shared" si="2"/>
        <v>15</v>
      </c>
      <c r="I2557" s="15">
        <f t="shared" si="3"/>
        <v>12</v>
      </c>
    </row>
    <row r="2558">
      <c r="A2558" s="8" t="str">
        <f>IFERROR(__xludf.DUMMYFUNCTION("IF('(INGESTA)Datos_consumo_datadis'!A2558&lt;&gt;"""",SPLIT('(INGESTA)Datos_consumo_datadis'!A:A,"",""),"""")"),"ES0031408323131005HX0F")</f>
        <v>ES0031408323131005HX0F</v>
      </c>
      <c r="B2558" s="12">
        <f>IFERROR(__xludf.DUMMYFUNCTION("""COMPUTED_VALUE"""),44972.0)</f>
        <v>44972</v>
      </c>
      <c r="C2558" s="13">
        <f>IFERROR(__xludf.DUMMYFUNCTION("""COMPUTED_VALUE"""),0.5416666666666666)</f>
        <v>0.5416666667</v>
      </c>
      <c r="D2558" s="8">
        <f>IFERROR(__xludf.DUMMYFUNCTION("""COMPUTED_VALUE"""),0.016)</f>
        <v>0.016</v>
      </c>
      <c r="E2558" s="8" t="str">
        <f>IFERROR(__xludf.DUMMYFUNCTION("""COMPUTED_VALUE"""),"Real")</f>
        <v>Real</v>
      </c>
      <c r="G2558" s="8">
        <f t="shared" si="1"/>
        <v>2</v>
      </c>
      <c r="H2558" s="14">
        <f t="shared" si="2"/>
        <v>15</v>
      </c>
      <c r="I2558" s="15">
        <f t="shared" si="3"/>
        <v>13</v>
      </c>
    </row>
    <row r="2559">
      <c r="A2559" s="8" t="str">
        <f>IFERROR(__xludf.DUMMYFUNCTION("IF('(INGESTA)Datos_consumo_datadis'!A2559&lt;&gt;"""",SPLIT('(INGESTA)Datos_consumo_datadis'!A:A,"",""),"""")"),"ES0031408323131005HX0F")</f>
        <v>ES0031408323131005HX0F</v>
      </c>
      <c r="B2559" s="12">
        <f>IFERROR(__xludf.DUMMYFUNCTION("""COMPUTED_VALUE"""),44972.0)</f>
        <v>44972</v>
      </c>
      <c r="C2559" s="13">
        <f>IFERROR(__xludf.DUMMYFUNCTION("""COMPUTED_VALUE"""),0.5833333333333334)</f>
        <v>0.5833333333</v>
      </c>
      <c r="D2559" s="8">
        <f>IFERROR(__xludf.DUMMYFUNCTION("""COMPUTED_VALUE"""),1.289)</f>
        <v>1.289</v>
      </c>
      <c r="E2559" s="8" t="str">
        <f>IFERROR(__xludf.DUMMYFUNCTION("""COMPUTED_VALUE"""),"Real")</f>
        <v>Real</v>
      </c>
      <c r="G2559" s="8">
        <f t="shared" si="1"/>
        <v>2</v>
      </c>
      <c r="H2559" s="14">
        <f t="shared" si="2"/>
        <v>15</v>
      </c>
      <c r="I2559" s="15">
        <f t="shared" si="3"/>
        <v>14</v>
      </c>
    </row>
    <row r="2560">
      <c r="A2560" s="8" t="str">
        <f>IFERROR(__xludf.DUMMYFUNCTION("IF('(INGESTA)Datos_consumo_datadis'!A2560&lt;&gt;"""",SPLIT('(INGESTA)Datos_consumo_datadis'!A:A,"",""),"""")"),"ES0031408323131005HX0F")</f>
        <v>ES0031408323131005HX0F</v>
      </c>
      <c r="B2560" s="12">
        <f>IFERROR(__xludf.DUMMYFUNCTION("""COMPUTED_VALUE"""),44972.0)</f>
        <v>44972</v>
      </c>
      <c r="C2560" s="13">
        <f>IFERROR(__xludf.DUMMYFUNCTION("""COMPUTED_VALUE"""),0.625)</f>
        <v>0.625</v>
      </c>
      <c r="D2560" s="8">
        <f>IFERROR(__xludf.DUMMYFUNCTION("""COMPUTED_VALUE"""),1.458)</f>
        <v>1.458</v>
      </c>
      <c r="E2560" s="8" t="str">
        <f>IFERROR(__xludf.DUMMYFUNCTION("""COMPUTED_VALUE"""),"Real")</f>
        <v>Real</v>
      </c>
      <c r="G2560" s="8">
        <f t="shared" si="1"/>
        <v>2</v>
      </c>
      <c r="H2560" s="14">
        <f t="shared" si="2"/>
        <v>15</v>
      </c>
      <c r="I2560" s="15">
        <f t="shared" si="3"/>
        <v>15</v>
      </c>
    </row>
    <row r="2561">
      <c r="A2561" s="8" t="str">
        <f>IFERROR(__xludf.DUMMYFUNCTION("IF('(INGESTA)Datos_consumo_datadis'!A2561&lt;&gt;"""",SPLIT('(INGESTA)Datos_consumo_datadis'!A:A,"",""),"""")"),"ES0031408323131005HX0F")</f>
        <v>ES0031408323131005HX0F</v>
      </c>
      <c r="B2561" s="12">
        <f>IFERROR(__xludf.DUMMYFUNCTION("""COMPUTED_VALUE"""),44972.0)</f>
        <v>44972</v>
      </c>
      <c r="C2561" s="13">
        <f>IFERROR(__xludf.DUMMYFUNCTION("""COMPUTED_VALUE"""),0.6666666666666666)</f>
        <v>0.6666666667</v>
      </c>
      <c r="D2561" s="8">
        <f>IFERROR(__xludf.DUMMYFUNCTION("""COMPUTED_VALUE"""),0.015)</f>
        <v>0.015</v>
      </c>
      <c r="E2561" s="8" t="str">
        <f>IFERROR(__xludf.DUMMYFUNCTION("""COMPUTED_VALUE"""),"Real")</f>
        <v>Real</v>
      </c>
      <c r="G2561" s="8">
        <f t="shared" si="1"/>
        <v>2</v>
      </c>
      <c r="H2561" s="14">
        <f t="shared" si="2"/>
        <v>15</v>
      </c>
      <c r="I2561" s="15">
        <f t="shared" si="3"/>
        <v>16</v>
      </c>
    </row>
    <row r="2562">
      <c r="A2562" s="8" t="str">
        <f>IFERROR(__xludf.DUMMYFUNCTION("IF('(INGESTA)Datos_consumo_datadis'!A2562&lt;&gt;"""",SPLIT('(INGESTA)Datos_consumo_datadis'!A:A,"",""),"""")"),"ES0031408323131005HX0F")</f>
        <v>ES0031408323131005HX0F</v>
      </c>
      <c r="B2562" s="12">
        <f>IFERROR(__xludf.DUMMYFUNCTION("""COMPUTED_VALUE"""),44972.0)</f>
        <v>44972</v>
      </c>
      <c r="C2562" s="13">
        <f>IFERROR(__xludf.DUMMYFUNCTION("""COMPUTED_VALUE"""),0.7083333333333334)</f>
        <v>0.7083333333</v>
      </c>
      <c r="D2562" s="8">
        <f>IFERROR(__xludf.DUMMYFUNCTION("""COMPUTED_VALUE"""),0.069)</f>
        <v>0.069</v>
      </c>
      <c r="E2562" s="8" t="str">
        <f>IFERROR(__xludf.DUMMYFUNCTION("""COMPUTED_VALUE"""),"Real")</f>
        <v>Real</v>
      </c>
      <c r="G2562" s="8">
        <f t="shared" si="1"/>
        <v>2</v>
      </c>
      <c r="H2562" s="14">
        <f t="shared" si="2"/>
        <v>15</v>
      </c>
      <c r="I2562" s="15">
        <f t="shared" si="3"/>
        <v>17</v>
      </c>
    </row>
    <row r="2563">
      <c r="A2563" s="8" t="str">
        <f>IFERROR(__xludf.DUMMYFUNCTION("IF('(INGESTA)Datos_consumo_datadis'!A2563&lt;&gt;"""",SPLIT('(INGESTA)Datos_consumo_datadis'!A:A,"",""),"""")"),"ES0031408323131005HX0F")</f>
        <v>ES0031408323131005HX0F</v>
      </c>
      <c r="B2563" s="12">
        <f>IFERROR(__xludf.DUMMYFUNCTION("""COMPUTED_VALUE"""),44972.0)</f>
        <v>44972</v>
      </c>
      <c r="C2563" s="13">
        <f>IFERROR(__xludf.DUMMYFUNCTION("""COMPUTED_VALUE"""),0.75)</f>
        <v>0.75</v>
      </c>
      <c r="D2563" s="8">
        <f>IFERROR(__xludf.DUMMYFUNCTION("""COMPUTED_VALUE"""),0.041)</f>
        <v>0.041</v>
      </c>
      <c r="E2563" s="8" t="str">
        <f>IFERROR(__xludf.DUMMYFUNCTION("""COMPUTED_VALUE"""),"Real")</f>
        <v>Real</v>
      </c>
      <c r="G2563" s="8">
        <f t="shared" si="1"/>
        <v>2</v>
      </c>
      <c r="H2563" s="14">
        <f t="shared" si="2"/>
        <v>15</v>
      </c>
      <c r="I2563" s="15">
        <f t="shared" si="3"/>
        <v>18</v>
      </c>
    </row>
    <row r="2564">
      <c r="A2564" s="8" t="str">
        <f>IFERROR(__xludf.DUMMYFUNCTION("IF('(INGESTA)Datos_consumo_datadis'!A2564&lt;&gt;"""",SPLIT('(INGESTA)Datos_consumo_datadis'!A:A,"",""),"""")"),"ES0031408323131005HX0F")</f>
        <v>ES0031408323131005HX0F</v>
      </c>
      <c r="B2564" s="12">
        <f>IFERROR(__xludf.DUMMYFUNCTION("""COMPUTED_VALUE"""),44972.0)</f>
        <v>44972</v>
      </c>
      <c r="C2564" s="13">
        <f>IFERROR(__xludf.DUMMYFUNCTION("""COMPUTED_VALUE"""),0.7916666666666666)</f>
        <v>0.7916666667</v>
      </c>
      <c r="D2564" s="8">
        <f>IFERROR(__xludf.DUMMYFUNCTION("""COMPUTED_VALUE"""),0.018)</f>
        <v>0.018</v>
      </c>
      <c r="E2564" s="8" t="str">
        <f>IFERROR(__xludf.DUMMYFUNCTION("""COMPUTED_VALUE"""),"Real")</f>
        <v>Real</v>
      </c>
      <c r="G2564" s="8">
        <f t="shared" si="1"/>
        <v>2</v>
      </c>
      <c r="H2564" s="14">
        <f t="shared" si="2"/>
        <v>15</v>
      </c>
      <c r="I2564" s="15">
        <f t="shared" si="3"/>
        <v>19</v>
      </c>
    </row>
    <row r="2565">
      <c r="A2565" s="8" t="str">
        <f>IFERROR(__xludf.DUMMYFUNCTION("IF('(INGESTA)Datos_consumo_datadis'!A2565&lt;&gt;"""",SPLIT('(INGESTA)Datos_consumo_datadis'!A:A,"",""),"""")"),"ES0031408323131005HX0F")</f>
        <v>ES0031408323131005HX0F</v>
      </c>
      <c r="B2565" s="12">
        <f>IFERROR(__xludf.DUMMYFUNCTION("""COMPUTED_VALUE"""),44972.0)</f>
        <v>44972</v>
      </c>
      <c r="C2565" s="13">
        <f>IFERROR(__xludf.DUMMYFUNCTION("""COMPUTED_VALUE"""),0.8333333333333334)</f>
        <v>0.8333333333</v>
      </c>
      <c r="D2565" s="8">
        <f>IFERROR(__xludf.DUMMYFUNCTION("""COMPUTED_VALUE"""),0.349)</f>
        <v>0.349</v>
      </c>
      <c r="E2565" s="8" t="str">
        <f>IFERROR(__xludf.DUMMYFUNCTION("""COMPUTED_VALUE"""),"Real")</f>
        <v>Real</v>
      </c>
      <c r="G2565" s="8">
        <f t="shared" si="1"/>
        <v>2</v>
      </c>
      <c r="H2565" s="14">
        <f t="shared" si="2"/>
        <v>15</v>
      </c>
      <c r="I2565" s="15">
        <f t="shared" si="3"/>
        <v>20</v>
      </c>
    </row>
    <row r="2566">
      <c r="A2566" s="8" t="str">
        <f>IFERROR(__xludf.DUMMYFUNCTION("IF('(INGESTA)Datos_consumo_datadis'!A2566&lt;&gt;"""",SPLIT('(INGESTA)Datos_consumo_datadis'!A:A,"",""),"""")"),"ES0031408323131005HX0F")</f>
        <v>ES0031408323131005HX0F</v>
      </c>
      <c r="B2566" s="12">
        <f>IFERROR(__xludf.DUMMYFUNCTION("""COMPUTED_VALUE"""),44972.0)</f>
        <v>44972</v>
      </c>
      <c r="C2566" s="13">
        <f>IFERROR(__xludf.DUMMYFUNCTION("""COMPUTED_VALUE"""),0.875)</f>
        <v>0.875</v>
      </c>
      <c r="D2566" s="8">
        <f>IFERROR(__xludf.DUMMYFUNCTION("""COMPUTED_VALUE"""),0.03)</f>
        <v>0.03</v>
      </c>
      <c r="E2566" s="8" t="str">
        <f>IFERROR(__xludf.DUMMYFUNCTION("""COMPUTED_VALUE"""),"Real")</f>
        <v>Real</v>
      </c>
      <c r="G2566" s="8">
        <f t="shared" si="1"/>
        <v>2</v>
      </c>
      <c r="H2566" s="14">
        <f t="shared" si="2"/>
        <v>15</v>
      </c>
      <c r="I2566" s="15">
        <f t="shared" si="3"/>
        <v>21</v>
      </c>
    </row>
    <row r="2567">
      <c r="A2567" s="8" t="str">
        <f>IFERROR(__xludf.DUMMYFUNCTION("IF('(INGESTA)Datos_consumo_datadis'!A2567&lt;&gt;"""",SPLIT('(INGESTA)Datos_consumo_datadis'!A:A,"",""),"""")"),"ES0031408323131005HX0F")</f>
        <v>ES0031408323131005HX0F</v>
      </c>
      <c r="B2567" s="12">
        <f>IFERROR(__xludf.DUMMYFUNCTION("""COMPUTED_VALUE"""),44972.0)</f>
        <v>44972</v>
      </c>
      <c r="C2567" s="13">
        <f>IFERROR(__xludf.DUMMYFUNCTION("""COMPUTED_VALUE"""),0.9166666666666666)</f>
        <v>0.9166666667</v>
      </c>
      <c r="D2567" s="8">
        <f>IFERROR(__xludf.DUMMYFUNCTION("""COMPUTED_VALUE"""),0.047)</f>
        <v>0.047</v>
      </c>
      <c r="E2567" s="8" t="str">
        <f>IFERROR(__xludf.DUMMYFUNCTION("""COMPUTED_VALUE"""),"Real")</f>
        <v>Real</v>
      </c>
      <c r="G2567" s="8">
        <f t="shared" si="1"/>
        <v>2</v>
      </c>
      <c r="H2567" s="14">
        <f t="shared" si="2"/>
        <v>15</v>
      </c>
      <c r="I2567" s="15">
        <f t="shared" si="3"/>
        <v>22</v>
      </c>
    </row>
    <row r="2568">
      <c r="A2568" s="8" t="str">
        <f>IFERROR(__xludf.DUMMYFUNCTION("IF('(INGESTA)Datos_consumo_datadis'!A2568&lt;&gt;"""",SPLIT('(INGESTA)Datos_consumo_datadis'!A:A,"",""),"""")"),"ES0031408323131005HX0F")</f>
        <v>ES0031408323131005HX0F</v>
      </c>
      <c r="B2568" s="12">
        <f>IFERROR(__xludf.DUMMYFUNCTION("""COMPUTED_VALUE"""),44972.0)</f>
        <v>44972</v>
      </c>
      <c r="C2568" s="13">
        <f>IFERROR(__xludf.DUMMYFUNCTION("""COMPUTED_VALUE"""),0.9583333333333334)</f>
        <v>0.9583333333</v>
      </c>
      <c r="D2568" s="8">
        <f>IFERROR(__xludf.DUMMYFUNCTION("""COMPUTED_VALUE"""),2.957)</f>
        <v>2.957</v>
      </c>
      <c r="E2568" s="8" t="str">
        <f>IFERROR(__xludf.DUMMYFUNCTION("""COMPUTED_VALUE"""),"Real")</f>
        <v>Real</v>
      </c>
      <c r="G2568" s="8">
        <f t="shared" si="1"/>
        <v>2</v>
      </c>
      <c r="H2568" s="14">
        <f t="shared" si="2"/>
        <v>15</v>
      </c>
      <c r="I2568" s="15">
        <f t="shared" si="3"/>
        <v>23</v>
      </c>
    </row>
    <row r="2569">
      <c r="A2569" s="8" t="str">
        <f>IFERROR(__xludf.DUMMYFUNCTION("IF('(INGESTA)Datos_consumo_datadis'!A2569&lt;&gt;"""",SPLIT('(INGESTA)Datos_consumo_datadis'!A:A,"",""),"""")"),"ES0031408323131005HX0F")</f>
        <v>ES0031408323131005HX0F</v>
      </c>
      <c r="B2569" s="12">
        <f>IFERROR(__xludf.DUMMYFUNCTION("""COMPUTED_VALUE"""),44972.0)</f>
        <v>44972</v>
      </c>
      <c r="C2569" s="16">
        <f>IFERROR(__xludf.DUMMYFUNCTION("""COMPUTED_VALUE"""),1.0)</f>
        <v>1</v>
      </c>
      <c r="D2569" s="8">
        <f>IFERROR(__xludf.DUMMYFUNCTION("""COMPUTED_VALUE"""),2.253)</f>
        <v>2.253</v>
      </c>
      <c r="E2569" s="8" t="str">
        <f>IFERROR(__xludf.DUMMYFUNCTION("""COMPUTED_VALUE"""),"Real")</f>
        <v>Real</v>
      </c>
      <c r="G2569" s="8">
        <f t="shared" si="1"/>
        <v>2</v>
      </c>
      <c r="H2569" s="14">
        <f t="shared" si="2"/>
        <v>15</v>
      </c>
      <c r="I2569" s="15">
        <f t="shared" si="3"/>
        <v>0</v>
      </c>
    </row>
    <row r="2570">
      <c r="A2570" s="8" t="str">
        <f>IFERROR(__xludf.DUMMYFUNCTION("IF('(INGESTA)Datos_consumo_datadis'!A2570&lt;&gt;"""",SPLIT('(INGESTA)Datos_consumo_datadis'!A:A,"",""),"""")"),"ES0031408323131005HX0F")</f>
        <v>ES0031408323131005HX0F</v>
      </c>
      <c r="B2570" s="12">
        <f>IFERROR(__xludf.DUMMYFUNCTION("""COMPUTED_VALUE"""),44973.0)</f>
        <v>44973</v>
      </c>
      <c r="C2570" s="13">
        <f>IFERROR(__xludf.DUMMYFUNCTION("""COMPUTED_VALUE"""),0.041666666666666664)</f>
        <v>0.04166666667</v>
      </c>
      <c r="D2570" s="8">
        <f>IFERROR(__xludf.DUMMYFUNCTION("""COMPUTED_VALUE"""),0.991)</f>
        <v>0.991</v>
      </c>
      <c r="E2570" s="8" t="str">
        <f>IFERROR(__xludf.DUMMYFUNCTION("""COMPUTED_VALUE"""),"Real")</f>
        <v>Real</v>
      </c>
      <c r="G2570" s="8">
        <f t="shared" si="1"/>
        <v>2</v>
      </c>
      <c r="H2570" s="14">
        <f t="shared" si="2"/>
        <v>16</v>
      </c>
      <c r="I2570" s="15">
        <f t="shared" si="3"/>
        <v>1</v>
      </c>
    </row>
    <row r="2571">
      <c r="A2571" s="8" t="str">
        <f>IFERROR(__xludf.DUMMYFUNCTION("IF('(INGESTA)Datos_consumo_datadis'!A2571&lt;&gt;"""",SPLIT('(INGESTA)Datos_consumo_datadis'!A:A,"",""),"""")"),"ES0031408323131005HX0F")</f>
        <v>ES0031408323131005HX0F</v>
      </c>
      <c r="B2571" s="12">
        <f>IFERROR(__xludf.DUMMYFUNCTION("""COMPUTED_VALUE"""),44973.0)</f>
        <v>44973</v>
      </c>
      <c r="C2571" s="13">
        <f>IFERROR(__xludf.DUMMYFUNCTION("""COMPUTED_VALUE"""),0.08333333333333333)</f>
        <v>0.08333333333</v>
      </c>
      <c r="D2571" s="8">
        <f>IFERROR(__xludf.DUMMYFUNCTION("""COMPUTED_VALUE"""),1.298)</f>
        <v>1.298</v>
      </c>
      <c r="E2571" s="8" t="str">
        <f>IFERROR(__xludf.DUMMYFUNCTION("""COMPUTED_VALUE"""),"Real")</f>
        <v>Real</v>
      </c>
      <c r="G2571" s="8">
        <f t="shared" si="1"/>
        <v>2</v>
      </c>
      <c r="H2571" s="14">
        <f t="shared" si="2"/>
        <v>16</v>
      </c>
      <c r="I2571" s="15">
        <f t="shared" si="3"/>
        <v>2</v>
      </c>
    </row>
    <row r="2572">
      <c r="A2572" s="8" t="str">
        <f>IFERROR(__xludf.DUMMYFUNCTION("IF('(INGESTA)Datos_consumo_datadis'!A2572&lt;&gt;"""",SPLIT('(INGESTA)Datos_consumo_datadis'!A:A,"",""),"""")"),"ES0031408323131005HX0F")</f>
        <v>ES0031408323131005HX0F</v>
      </c>
      <c r="B2572" s="12">
        <f>IFERROR(__xludf.DUMMYFUNCTION("""COMPUTED_VALUE"""),44973.0)</f>
        <v>44973</v>
      </c>
      <c r="C2572" s="13">
        <f>IFERROR(__xludf.DUMMYFUNCTION("""COMPUTED_VALUE"""),0.125)</f>
        <v>0.125</v>
      </c>
      <c r="D2572" s="8">
        <f>IFERROR(__xludf.DUMMYFUNCTION("""COMPUTED_VALUE"""),1.022)</f>
        <v>1.022</v>
      </c>
      <c r="E2572" s="8" t="str">
        <f>IFERROR(__xludf.DUMMYFUNCTION("""COMPUTED_VALUE"""),"Real")</f>
        <v>Real</v>
      </c>
      <c r="G2572" s="8">
        <f t="shared" si="1"/>
        <v>2</v>
      </c>
      <c r="H2572" s="14">
        <f t="shared" si="2"/>
        <v>16</v>
      </c>
      <c r="I2572" s="15">
        <f t="shared" si="3"/>
        <v>3</v>
      </c>
    </row>
    <row r="2573">
      <c r="A2573" s="8" t="str">
        <f>IFERROR(__xludf.DUMMYFUNCTION("IF('(INGESTA)Datos_consumo_datadis'!A2573&lt;&gt;"""",SPLIT('(INGESTA)Datos_consumo_datadis'!A:A,"",""),"""")"),"ES0031408323131005HX0F")</f>
        <v>ES0031408323131005HX0F</v>
      </c>
      <c r="B2573" s="12">
        <f>IFERROR(__xludf.DUMMYFUNCTION("""COMPUTED_VALUE"""),44973.0)</f>
        <v>44973</v>
      </c>
      <c r="C2573" s="13">
        <f>IFERROR(__xludf.DUMMYFUNCTION("""COMPUTED_VALUE"""),0.16666666666666666)</f>
        <v>0.1666666667</v>
      </c>
      <c r="D2573" s="8">
        <f>IFERROR(__xludf.DUMMYFUNCTION("""COMPUTED_VALUE"""),1.056)</f>
        <v>1.056</v>
      </c>
      <c r="E2573" s="8" t="str">
        <f>IFERROR(__xludf.DUMMYFUNCTION("""COMPUTED_VALUE"""),"Real")</f>
        <v>Real</v>
      </c>
      <c r="G2573" s="8">
        <f t="shared" si="1"/>
        <v>2</v>
      </c>
      <c r="H2573" s="14">
        <f t="shared" si="2"/>
        <v>16</v>
      </c>
      <c r="I2573" s="15">
        <f t="shared" si="3"/>
        <v>4</v>
      </c>
    </row>
    <row r="2574">
      <c r="A2574" s="8" t="str">
        <f>IFERROR(__xludf.DUMMYFUNCTION("IF('(INGESTA)Datos_consumo_datadis'!A2574&lt;&gt;"""",SPLIT('(INGESTA)Datos_consumo_datadis'!A:A,"",""),"""")"),"ES0031408323131005HX0F")</f>
        <v>ES0031408323131005HX0F</v>
      </c>
      <c r="B2574" s="12">
        <f>IFERROR(__xludf.DUMMYFUNCTION("""COMPUTED_VALUE"""),44973.0)</f>
        <v>44973</v>
      </c>
      <c r="C2574" s="13">
        <f>IFERROR(__xludf.DUMMYFUNCTION("""COMPUTED_VALUE"""),0.20833333333333334)</f>
        <v>0.2083333333</v>
      </c>
      <c r="D2574" s="8">
        <f>IFERROR(__xludf.DUMMYFUNCTION("""COMPUTED_VALUE"""),1.014)</f>
        <v>1.014</v>
      </c>
      <c r="E2574" s="8" t="str">
        <f>IFERROR(__xludf.DUMMYFUNCTION("""COMPUTED_VALUE"""),"Real")</f>
        <v>Real</v>
      </c>
      <c r="G2574" s="8">
        <f t="shared" si="1"/>
        <v>2</v>
      </c>
      <c r="H2574" s="14">
        <f t="shared" si="2"/>
        <v>16</v>
      </c>
      <c r="I2574" s="15">
        <f t="shared" si="3"/>
        <v>5</v>
      </c>
    </row>
    <row r="2575">
      <c r="A2575" s="8" t="str">
        <f>IFERROR(__xludf.DUMMYFUNCTION("IF('(INGESTA)Datos_consumo_datadis'!A2575&lt;&gt;"""",SPLIT('(INGESTA)Datos_consumo_datadis'!A:A,"",""),"""")"),"ES0031408323131005HX0F")</f>
        <v>ES0031408323131005HX0F</v>
      </c>
      <c r="B2575" s="12">
        <f>IFERROR(__xludf.DUMMYFUNCTION("""COMPUTED_VALUE"""),44973.0)</f>
        <v>44973</v>
      </c>
      <c r="C2575" s="13">
        <f>IFERROR(__xludf.DUMMYFUNCTION("""COMPUTED_VALUE"""),0.25)</f>
        <v>0.25</v>
      </c>
      <c r="D2575" s="8">
        <f>IFERROR(__xludf.DUMMYFUNCTION("""COMPUTED_VALUE"""),0.957)</f>
        <v>0.957</v>
      </c>
      <c r="E2575" s="8" t="str">
        <f>IFERROR(__xludf.DUMMYFUNCTION("""COMPUTED_VALUE"""),"Real")</f>
        <v>Real</v>
      </c>
      <c r="G2575" s="8">
        <f t="shared" si="1"/>
        <v>2</v>
      </c>
      <c r="H2575" s="14">
        <f t="shared" si="2"/>
        <v>16</v>
      </c>
      <c r="I2575" s="15">
        <f t="shared" si="3"/>
        <v>6</v>
      </c>
    </row>
    <row r="2576">
      <c r="A2576" s="8" t="str">
        <f>IFERROR(__xludf.DUMMYFUNCTION("IF('(INGESTA)Datos_consumo_datadis'!A2576&lt;&gt;"""",SPLIT('(INGESTA)Datos_consumo_datadis'!A:A,"",""),"""")"),"ES0031408323131005HX0F")</f>
        <v>ES0031408323131005HX0F</v>
      </c>
      <c r="B2576" s="12">
        <f>IFERROR(__xludf.DUMMYFUNCTION("""COMPUTED_VALUE"""),44973.0)</f>
        <v>44973</v>
      </c>
      <c r="C2576" s="13">
        <f>IFERROR(__xludf.DUMMYFUNCTION("""COMPUTED_VALUE"""),0.2916666666666667)</f>
        <v>0.2916666667</v>
      </c>
      <c r="D2576" s="8">
        <f>IFERROR(__xludf.DUMMYFUNCTION("""COMPUTED_VALUE"""),1.327)</f>
        <v>1.327</v>
      </c>
      <c r="E2576" s="8" t="str">
        <f>IFERROR(__xludf.DUMMYFUNCTION("""COMPUTED_VALUE"""),"Real")</f>
        <v>Real</v>
      </c>
      <c r="G2576" s="8">
        <f t="shared" si="1"/>
        <v>2</v>
      </c>
      <c r="H2576" s="14">
        <f t="shared" si="2"/>
        <v>16</v>
      </c>
      <c r="I2576" s="15">
        <f t="shared" si="3"/>
        <v>7</v>
      </c>
    </row>
    <row r="2577">
      <c r="A2577" s="8" t="str">
        <f>IFERROR(__xludf.DUMMYFUNCTION("IF('(INGESTA)Datos_consumo_datadis'!A2577&lt;&gt;"""",SPLIT('(INGESTA)Datos_consumo_datadis'!A:A,"",""),"""")"),"ES0031408323131005HX0F")</f>
        <v>ES0031408323131005HX0F</v>
      </c>
      <c r="B2577" s="12">
        <f>IFERROR(__xludf.DUMMYFUNCTION("""COMPUTED_VALUE"""),44973.0)</f>
        <v>44973</v>
      </c>
      <c r="C2577" s="13">
        <f>IFERROR(__xludf.DUMMYFUNCTION("""COMPUTED_VALUE"""),0.3333333333333333)</f>
        <v>0.3333333333</v>
      </c>
      <c r="D2577" s="8">
        <f>IFERROR(__xludf.DUMMYFUNCTION("""COMPUTED_VALUE"""),0.676)</f>
        <v>0.676</v>
      </c>
      <c r="E2577" s="8" t="str">
        <f>IFERROR(__xludf.DUMMYFUNCTION("""COMPUTED_VALUE"""),"Real")</f>
        <v>Real</v>
      </c>
      <c r="G2577" s="8">
        <f t="shared" si="1"/>
        <v>2</v>
      </c>
      <c r="H2577" s="14">
        <f t="shared" si="2"/>
        <v>16</v>
      </c>
      <c r="I2577" s="15">
        <f t="shared" si="3"/>
        <v>8</v>
      </c>
    </row>
    <row r="2578">
      <c r="A2578" s="8" t="str">
        <f>IFERROR(__xludf.DUMMYFUNCTION("IF('(INGESTA)Datos_consumo_datadis'!A2578&lt;&gt;"""",SPLIT('(INGESTA)Datos_consumo_datadis'!A:A,"",""),"""")"),"ES0031408323131005HX0F")</f>
        <v>ES0031408323131005HX0F</v>
      </c>
      <c r="B2578" s="12">
        <f>IFERROR(__xludf.DUMMYFUNCTION("""COMPUTED_VALUE"""),44973.0)</f>
        <v>44973</v>
      </c>
      <c r="C2578" s="13">
        <f>IFERROR(__xludf.DUMMYFUNCTION("""COMPUTED_VALUE"""),0.375)</f>
        <v>0.375</v>
      </c>
      <c r="D2578" s="8">
        <f>IFERROR(__xludf.DUMMYFUNCTION("""COMPUTED_VALUE"""),0.068)</f>
        <v>0.068</v>
      </c>
      <c r="E2578" s="8" t="str">
        <f>IFERROR(__xludf.DUMMYFUNCTION("""COMPUTED_VALUE"""),"Real")</f>
        <v>Real</v>
      </c>
      <c r="G2578" s="8">
        <f t="shared" si="1"/>
        <v>2</v>
      </c>
      <c r="H2578" s="14">
        <f t="shared" si="2"/>
        <v>16</v>
      </c>
      <c r="I2578" s="15">
        <f t="shared" si="3"/>
        <v>9</v>
      </c>
    </row>
    <row r="2579">
      <c r="A2579" s="8" t="str">
        <f>IFERROR(__xludf.DUMMYFUNCTION("IF('(INGESTA)Datos_consumo_datadis'!A2579&lt;&gt;"""",SPLIT('(INGESTA)Datos_consumo_datadis'!A:A,"",""),"""")"),"ES0031408323131005HX0F")</f>
        <v>ES0031408323131005HX0F</v>
      </c>
      <c r="B2579" s="12">
        <f>IFERROR(__xludf.DUMMYFUNCTION("""COMPUTED_VALUE"""),44973.0)</f>
        <v>44973</v>
      </c>
      <c r="C2579" s="13">
        <f>IFERROR(__xludf.DUMMYFUNCTION("""COMPUTED_VALUE"""),0.4166666666666667)</f>
        <v>0.4166666667</v>
      </c>
      <c r="D2579" s="8">
        <f>IFERROR(__xludf.DUMMYFUNCTION("""COMPUTED_VALUE"""),1.0)</f>
        <v>1</v>
      </c>
      <c r="E2579" s="8" t="str">
        <f>IFERROR(__xludf.DUMMYFUNCTION("""COMPUTED_VALUE"""),"Real")</f>
        <v>Real</v>
      </c>
      <c r="G2579" s="8">
        <f t="shared" si="1"/>
        <v>2</v>
      </c>
      <c r="H2579" s="14">
        <f t="shared" si="2"/>
        <v>16</v>
      </c>
      <c r="I2579" s="15">
        <f t="shared" si="3"/>
        <v>10</v>
      </c>
    </row>
    <row r="2580">
      <c r="A2580" s="8" t="str">
        <f>IFERROR(__xludf.DUMMYFUNCTION("IF('(INGESTA)Datos_consumo_datadis'!A2580&lt;&gt;"""",SPLIT('(INGESTA)Datos_consumo_datadis'!A:A,"",""),"""")"),"ES0031408323131005HX0F")</f>
        <v>ES0031408323131005HX0F</v>
      </c>
      <c r="B2580" s="12">
        <f>IFERROR(__xludf.DUMMYFUNCTION("""COMPUTED_VALUE"""),44973.0)</f>
        <v>44973</v>
      </c>
      <c r="C2580" s="13">
        <f>IFERROR(__xludf.DUMMYFUNCTION("""COMPUTED_VALUE"""),0.4583333333333333)</f>
        <v>0.4583333333</v>
      </c>
      <c r="D2580" s="8">
        <f>IFERROR(__xludf.DUMMYFUNCTION("""COMPUTED_VALUE"""),0.657)</f>
        <v>0.657</v>
      </c>
      <c r="E2580" s="8" t="str">
        <f>IFERROR(__xludf.DUMMYFUNCTION("""COMPUTED_VALUE"""),"Real")</f>
        <v>Real</v>
      </c>
      <c r="G2580" s="8">
        <f t="shared" si="1"/>
        <v>2</v>
      </c>
      <c r="H2580" s="14">
        <f t="shared" si="2"/>
        <v>16</v>
      </c>
      <c r="I2580" s="15">
        <f t="shared" si="3"/>
        <v>11</v>
      </c>
    </row>
    <row r="2581">
      <c r="A2581" s="8" t="str">
        <f>IFERROR(__xludf.DUMMYFUNCTION("IF('(INGESTA)Datos_consumo_datadis'!A2581&lt;&gt;"""",SPLIT('(INGESTA)Datos_consumo_datadis'!A:A,"",""),"""")"),"ES0031408323131005HX0F")</f>
        <v>ES0031408323131005HX0F</v>
      </c>
      <c r="B2581" s="12">
        <f>IFERROR(__xludf.DUMMYFUNCTION("""COMPUTED_VALUE"""),44973.0)</f>
        <v>44973</v>
      </c>
      <c r="C2581" s="13">
        <f>IFERROR(__xludf.DUMMYFUNCTION("""COMPUTED_VALUE"""),0.5)</f>
        <v>0.5</v>
      </c>
      <c r="D2581" s="8">
        <f>IFERROR(__xludf.DUMMYFUNCTION("""COMPUTED_VALUE"""),0.129)</f>
        <v>0.129</v>
      </c>
      <c r="E2581" s="8" t="str">
        <f>IFERROR(__xludf.DUMMYFUNCTION("""COMPUTED_VALUE"""),"Real")</f>
        <v>Real</v>
      </c>
      <c r="G2581" s="8">
        <f t="shared" si="1"/>
        <v>2</v>
      </c>
      <c r="H2581" s="14">
        <f t="shared" si="2"/>
        <v>16</v>
      </c>
      <c r="I2581" s="15">
        <f t="shared" si="3"/>
        <v>12</v>
      </c>
    </row>
    <row r="2582">
      <c r="A2582" s="8" t="str">
        <f>IFERROR(__xludf.DUMMYFUNCTION("IF('(INGESTA)Datos_consumo_datadis'!A2582&lt;&gt;"""",SPLIT('(INGESTA)Datos_consumo_datadis'!A:A,"",""),"""")"),"ES0031408323131005HX0F")</f>
        <v>ES0031408323131005HX0F</v>
      </c>
      <c r="B2582" s="12">
        <f>IFERROR(__xludf.DUMMYFUNCTION("""COMPUTED_VALUE"""),44973.0)</f>
        <v>44973</v>
      </c>
      <c r="C2582" s="13">
        <f>IFERROR(__xludf.DUMMYFUNCTION("""COMPUTED_VALUE"""),0.5416666666666666)</f>
        <v>0.5416666667</v>
      </c>
      <c r="D2582" s="8">
        <f>IFERROR(__xludf.DUMMYFUNCTION("""COMPUTED_VALUE"""),0.059)</f>
        <v>0.059</v>
      </c>
      <c r="E2582" s="8" t="str">
        <f>IFERROR(__xludf.DUMMYFUNCTION("""COMPUTED_VALUE"""),"Real")</f>
        <v>Real</v>
      </c>
      <c r="G2582" s="8">
        <f t="shared" si="1"/>
        <v>2</v>
      </c>
      <c r="H2582" s="14">
        <f t="shared" si="2"/>
        <v>16</v>
      </c>
      <c r="I2582" s="15">
        <f t="shared" si="3"/>
        <v>13</v>
      </c>
    </row>
    <row r="2583">
      <c r="A2583" s="8" t="str">
        <f>IFERROR(__xludf.DUMMYFUNCTION("IF('(INGESTA)Datos_consumo_datadis'!A2583&lt;&gt;"""",SPLIT('(INGESTA)Datos_consumo_datadis'!A:A,"",""),"""")"),"ES0031408323131005HX0F")</f>
        <v>ES0031408323131005HX0F</v>
      </c>
      <c r="B2583" s="12">
        <f>IFERROR(__xludf.DUMMYFUNCTION("""COMPUTED_VALUE"""),44973.0)</f>
        <v>44973</v>
      </c>
      <c r="C2583" s="13">
        <f>IFERROR(__xludf.DUMMYFUNCTION("""COMPUTED_VALUE"""),0.5833333333333334)</f>
        <v>0.5833333333</v>
      </c>
      <c r="D2583" s="8">
        <f>IFERROR(__xludf.DUMMYFUNCTION("""COMPUTED_VALUE"""),0.016)</f>
        <v>0.016</v>
      </c>
      <c r="E2583" s="8" t="str">
        <f>IFERROR(__xludf.DUMMYFUNCTION("""COMPUTED_VALUE"""),"Real")</f>
        <v>Real</v>
      </c>
      <c r="G2583" s="8">
        <f t="shared" si="1"/>
        <v>2</v>
      </c>
      <c r="H2583" s="14">
        <f t="shared" si="2"/>
        <v>16</v>
      </c>
      <c r="I2583" s="15">
        <f t="shared" si="3"/>
        <v>14</v>
      </c>
    </row>
    <row r="2584">
      <c r="A2584" s="8" t="str">
        <f>IFERROR(__xludf.DUMMYFUNCTION("IF('(INGESTA)Datos_consumo_datadis'!A2584&lt;&gt;"""",SPLIT('(INGESTA)Datos_consumo_datadis'!A:A,"",""),"""")"),"ES0031408323131005HX0F")</f>
        <v>ES0031408323131005HX0F</v>
      </c>
      <c r="B2584" s="12">
        <f>IFERROR(__xludf.DUMMYFUNCTION("""COMPUTED_VALUE"""),44973.0)</f>
        <v>44973</v>
      </c>
      <c r="C2584" s="13">
        <f>IFERROR(__xludf.DUMMYFUNCTION("""COMPUTED_VALUE"""),0.625)</f>
        <v>0.625</v>
      </c>
      <c r="D2584" s="8">
        <f>IFERROR(__xludf.DUMMYFUNCTION("""COMPUTED_VALUE"""),0.344)</f>
        <v>0.344</v>
      </c>
      <c r="E2584" s="8" t="str">
        <f>IFERROR(__xludf.DUMMYFUNCTION("""COMPUTED_VALUE"""),"Real")</f>
        <v>Real</v>
      </c>
      <c r="G2584" s="8">
        <f t="shared" si="1"/>
        <v>2</v>
      </c>
      <c r="H2584" s="14">
        <f t="shared" si="2"/>
        <v>16</v>
      </c>
      <c r="I2584" s="15">
        <f t="shared" si="3"/>
        <v>15</v>
      </c>
    </row>
    <row r="2585">
      <c r="A2585" s="8" t="str">
        <f>IFERROR(__xludf.DUMMYFUNCTION("IF('(INGESTA)Datos_consumo_datadis'!A2585&lt;&gt;"""",SPLIT('(INGESTA)Datos_consumo_datadis'!A:A,"",""),"""")"),"ES0031408323131005HX0F")</f>
        <v>ES0031408323131005HX0F</v>
      </c>
      <c r="B2585" s="12">
        <f>IFERROR(__xludf.DUMMYFUNCTION("""COMPUTED_VALUE"""),44973.0)</f>
        <v>44973</v>
      </c>
      <c r="C2585" s="13">
        <f>IFERROR(__xludf.DUMMYFUNCTION("""COMPUTED_VALUE"""),0.6666666666666666)</f>
        <v>0.6666666667</v>
      </c>
      <c r="D2585" s="8">
        <f>IFERROR(__xludf.DUMMYFUNCTION("""COMPUTED_VALUE"""),0.039)</f>
        <v>0.039</v>
      </c>
      <c r="E2585" s="8" t="str">
        <f>IFERROR(__xludf.DUMMYFUNCTION("""COMPUTED_VALUE"""),"Real")</f>
        <v>Real</v>
      </c>
      <c r="G2585" s="8">
        <f t="shared" si="1"/>
        <v>2</v>
      </c>
      <c r="H2585" s="14">
        <f t="shared" si="2"/>
        <v>16</v>
      </c>
      <c r="I2585" s="15">
        <f t="shared" si="3"/>
        <v>16</v>
      </c>
    </row>
    <row r="2586">
      <c r="A2586" s="8" t="str">
        <f>IFERROR(__xludf.DUMMYFUNCTION("IF('(INGESTA)Datos_consumo_datadis'!A2586&lt;&gt;"""",SPLIT('(INGESTA)Datos_consumo_datadis'!A:A,"",""),"""")"),"ES0031408323131005HX0F")</f>
        <v>ES0031408323131005HX0F</v>
      </c>
      <c r="B2586" s="12">
        <f>IFERROR(__xludf.DUMMYFUNCTION("""COMPUTED_VALUE"""),44973.0)</f>
        <v>44973</v>
      </c>
      <c r="C2586" s="13">
        <f>IFERROR(__xludf.DUMMYFUNCTION("""COMPUTED_VALUE"""),0.7083333333333334)</f>
        <v>0.7083333333</v>
      </c>
      <c r="D2586" s="8">
        <f>IFERROR(__xludf.DUMMYFUNCTION("""COMPUTED_VALUE"""),0.033)</f>
        <v>0.033</v>
      </c>
      <c r="E2586" s="8" t="str">
        <f>IFERROR(__xludf.DUMMYFUNCTION("""COMPUTED_VALUE"""),"Real")</f>
        <v>Real</v>
      </c>
      <c r="G2586" s="8">
        <f t="shared" si="1"/>
        <v>2</v>
      </c>
      <c r="H2586" s="14">
        <f t="shared" si="2"/>
        <v>16</v>
      </c>
      <c r="I2586" s="15">
        <f t="shared" si="3"/>
        <v>17</v>
      </c>
    </row>
    <row r="2587">
      <c r="A2587" s="8" t="str">
        <f>IFERROR(__xludf.DUMMYFUNCTION("IF('(INGESTA)Datos_consumo_datadis'!A2587&lt;&gt;"""",SPLIT('(INGESTA)Datos_consumo_datadis'!A:A,"",""),"""")"),"ES0031408323131005HX0F")</f>
        <v>ES0031408323131005HX0F</v>
      </c>
      <c r="B2587" s="12">
        <f>IFERROR(__xludf.DUMMYFUNCTION("""COMPUTED_VALUE"""),44973.0)</f>
        <v>44973</v>
      </c>
      <c r="C2587" s="13">
        <f>IFERROR(__xludf.DUMMYFUNCTION("""COMPUTED_VALUE"""),0.75)</f>
        <v>0.75</v>
      </c>
      <c r="D2587" s="8">
        <f>IFERROR(__xludf.DUMMYFUNCTION("""COMPUTED_VALUE"""),0.075)</f>
        <v>0.075</v>
      </c>
      <c r="E2587" s="8" t="str">
        <f>IFERROR(__xludf.DUMMYFUNCTION("""COMPUTED_VALUE"""),"Real")</f>
        <v>Real</v>
      </c>
      <c r="G2587" s="8">
        <f t="shared" si="1"/>
        <v>2</v>
      </c>
      <c r="H2587" s="14">
        <f t="shared" si="2"/>
        <v>16</v>
      </c>
      <c r="I2587" s="15">
        <f t="shared" si="3"/>
        <v>18</v>
      </c>
    </row>
    <row r="2588">
      <c r="A2588" s="8" t="str">
        <f>IFERROR(__xludf.DUMMYFUNCTION("IF('(INGESTA)Datos_consumo_datadis'!A2588&lt;&gt;"""",SPLIT('(INGESTA)Datos_consumo_datadis'!A:A,"",""),"""")"),"ES0031408323131005HX0F")</f>
        <v>ES0031408323131005HX0F</v>
      </c>
      <c r="B2588" s="12">
        <f>IFERROR(__xludf.DUMMYFUNCTION("""COMPUTED_VALUE"""),44973.0)</f>
        <v>44973</v>
      </c>
      <c r="C2588" s="13">
        <f>IFERROR(__xludf.DUMMYFUNCTION("""COMPUTED_VALUE"""),0.7916666666666666)</f>
        <v>0.7916666667</v>
      </c>
      <c r="D2588" s="8">
        <f>IFERROR(__xludf.DUMMYFUNCTION("""COMPUTED_VALUE"""),0.016)</f>
        <v>0.016</v>
      </c>
      <c r="E2588" s="8" t="str">
        <f>IFERROR(__xludf.DUMMYFUNCTION("""COMPUTED_VALUE"""),"Real")</f>
        <v>Real</v>
      </c>
      <c r="G2588" s="8">
        <f t="shared" si="1"/>
        <v>2</v>
      </c>
      <c r="H2588" s="14">
        <f t="shared" si="2"/>
        <v>16</v>
      </c>
      <c r="I2588" s="15">
        <f t="shared" si="3"/>
        <v>19</v>
      </c>
    </row>
    <row r="2589">
      <c r="A2589" s="8" t="str">
        <f>IFERROR(__xludf.DUMMYFUNCTION("IF('(INGESTA)Datos_consumo_datadis'!A2589&lt;&gt;"""",SPLIT('(INGESTA)Datos_consumo_datadis'!A:A,"",""),"""")"),"ES0031408323131005HX0F")</f>
        <v>ES0031408323131005HX0F</v>
      </c>
      <c r="B2589" s="12">
        <f>IFERROR(__xludf.DUMMYFUNCTION("""COMPUTED_VALUE"""),44973.0)</f>
        <v>44973</v>
      </c>
      <c r="C2589" s="13">
        <f>IFERROR(__xludf.DUMMYFUNCTION("""COMPUTED_VALUE"""),0.8333333333333334)</f>
        <v>0.8333333333</v>
      </c>
      <c r="D2589" s="8">
        <f>IFERROR(__xludf.DUMMYFUNCTION("""COMPUTED_VALUE"""),0.134)</f>
        <v>0.134</v>
      </c>
      <c r="E2589" s="8" t="str">
        <f>IFERROR(__xludf.DUMMYFUNCTION("""COMPUTED_VALUE"""),"Real")</f>
        <v>Real</v>
      </c>
      <c r="G2589" s="8">
        <f t="shared" si="1"/>
        <v>2</v>
      </c>
      <c r="H2589" s="14">
        <f t="shared" si="2"/>
        <v>16</v>
      </c>
      <c r="I2589" s="15">
        <f t="shared" si="3"/>
        <v>20</v>
      </c>
    </row>
    <row r="2590">
      <c r="A2590" s="8" t="str">
        <f>IFERROR(__xludf.DUMMYFUNCTION("IF('(INGESTA)Datos_consumo_datadis'!A2590&lt;&gt;"""",SPLIT('(INGESTA)Datos_consumo_datadis'!A:A,"",""),"""")"),"ES0031408323131005HX0F")</f>
        <v>ES0031408323131005HX0F</v>
      </c>
      <c r="B2590" s="12">
        <f>IFERROR(__xludf.DUMMYFUNCTION("""COMPUTED_VALUE"""),44973.0)</f>
        <v>44973</v>
      </c>
      <c r="C2590" s="13">
        <f>IFERROR(__xludf.DUMMYFUNCTION("""COMPUTED_VALUE"""),0.875)</f>
        <v>0.875</v>
      </c>
      <c r="D2590" s="8">
        <f>IFERROR(__xludf.DUMMYFUNCTION("""COMPUTED_VALUE"""),1.05)</f>
        <v>1.05</v>
      </c>
      <c r="E2590" s="8" t="str">
        <f>IFERROR(__xludf.DUMMYFUNCTION("""COMPUTED_VALUE"""),"Real")</f>
        <v>Real</v>
      </c>
      <c r="G2590" s="8">
        <f t="shared" si="1"/>
        <v>2</v>
      </c>
      <c r="H2590" s="14">
        <f t="shared" si="2"/>
        <v>16</v>
      </c>
      <c r="I2590" s="15">
        <f t="shared" si="3"/>
        <v>21</v>
      </c>
    </row>
    <row r="2591">
      <c r="A2591" s="8" t="str">
        <f>IFERROR(__xludf.DUMMYFUNCTION("IF('(INGESTA)Datos_consumo_datadis'!A2591&lt;&gt;"""",SPLIT('(INGESTA)Datos_consumo_datadis'!A:A,"",""),"""")"),"ES0031408323131005HX0F")</f>
        <v>ES0031408323131005HX0F</v>
      </c>
      <c r="B2591" s="12">
        <f>IFERROR(__xludf.DUMMYFUNCTION("""COMPUTED_VALUE"""),44973.0)</f>
        <v>44973</v>
      </c>
      <c r="C2591" s="13">
        <f>IFERROR(__xludf.DUMMYFUNCTION("""COMPUTED_VALUE"""),0.9166666666666666)</f>
        <v>0.9166666667</v>
      </c>
      <c r="D2591" s="8">
        <f>IFERROR(__xludf.DUMMYFUNCTION("""COMPUTED_VALUE"""),2.064)</f>
        <v>2.064</v>
      </c>
      <c r="E2591" s="8" t="str">
        <f>IFERROR(__xludf.DUMMYFUNCTION("""COMPUTED_VALUE"""),"Real")</f>
        <v>Real</v>
      </c>
      <c r="G2591" s="8">
        <f t="shared" si="1"/>
        <v>2</v>
      </c>
      <c r="H2591" s="14">
        <f t="shared" si="2"/>
        <v>16</v>
      </c>
      <c r="I2591" s="15">
        <f t="shared" si="3"/>
        <v>22</v>
      </c>
    </row>
    <row r="2592">
      <c r="A2592" s="8" t="str">
        <f>IFERROR(__xludf.DUMMYFUNCTION("IF('(INGESTA)Datos_consumo_datadis'!A2592&lt;&gt;"""",SPLIT('(INGESTA)Datos_consumo_datadis'!A:A,"",""),"""")"),"ES0031408323131005HX0F")</f>
        <v>ES0031408323131005HX0F</v>
      </c>
      <c r="B2592" s="12">
        <f>IFERROR(__xludf.DUMMYFUNCTION("""COMPUTED_VALUE"""),44973.0)</f>
        <v>44973</v>
      </c>
      <c r="C2592" s="13">
        <f>IFERROR(__xludf.DUMMYFUNCTION("""COMPUTED_VALUE"""),0.9583333333333334)</f>
        <v>0.9583333333</v>
      </c>
      <c r="D2592" s="8">
        <f>IFERROR(__xludf.DUMMYFUNCTION("""COMPUTED_VALUE"""),1.942)</f>
        <v>1.942</v>
      </c>
      <c r="E2592" s="8" t="str">
        <f>IFERROR(__xludf.DUMMYFUNCTION("""COMPUTED_VALUE"""),"Real")</f>
        <v>Real</v>
      </c>
      <c r="G2592" s="8">
        <f t="shared" si="1"/>
        <v>2</v>
      </c>
      <c r="H2592" s="14">
        <f t="shared" si="2"/>
        <v>16</v>
      </c>
      <c r="I2592" s="15">
        <f t="shared" si="3"/>
        <v>23</v>
      </c>
    </row>
    <row r="2593">
      <c r="A2593" s="8" t="str">
        <f>IFERROR(__xludf.DUMMYFUNCTION("IF('(INGESTA)Datos_consumo_datadis'!A2593&lt;&gt;"""",SPLIT('(INGESTA)Datos_consumo_datadis'!A:A,"",""),"""")"),"ES0031408323131005HX0F")</f>
        <v>ES0031408323131005HX0F</v>
      </c>
      <c r="B2593" s="12">
        <f>IFERROR(__xludf.DUMMYFUNCTION("""COMPUTED_VALUE"""),44973.0)</f>
        <v>44973</v>
      </c>
      <c r="C2593" s="16">
        <f>IFERROR(__xludf.DUMMYFUNCTION("""COMPUTED_VALUE"""),1.0)</f>
        <v>1</v>
      </c>
      <c r="D2593" s="8">
        <f>IFERROR(__xludf.DUMMYFUNCTION("""COMPUTED_VALUE"""),1.207)</f>
        <v>1.207</v>
      </c>
      <c r="E2593" s="8" t="str">
        <f>IFERROR(__xludf.DUMMYFUNCTION("""COMPUTED_VALUE"""),"Real")</f>
        <v>Real</v>
      </c>
      <c r="G2593" s="8">
        <f t="shared" si="1"/>
        <v>2</v>
      </c>
      <c r="H2593" s="14">
        <f t="shared" si="2"/>
        <v>16</v>
      </c>
      <c r="I2593" s="15">
        <f t="shared" si="3"/>
        <v>0</v>
      </c>
    </row>
    <row r="2594">
      <c r="A2594" s="8" t="str">
        <f>IFERROR(__xludf.DUMMYFUNCTION("IF('(INGESTA)Datos_consumo_datadis'!A2594&lt;&gt;"""",SPLIT('(INGESTA)Datos_consumo_datadis'!A:A,"",""),"""")"),"ES0031408323131005HX0F")</f>
        <v>ES0031408323131005HX0F</v>
      </c>
      <c r="B2594" s="12">
        <f>IFERROR(__xludf.DUMMYFUNCTION("""COMPUTED_VALUE"""),44974.0)</f>
        <v>44974</v>
      </c>
      <c r="C2594" s="13">
        <f>IFERROR(__xludf.DUMMYFUNCTION("""COMPUTED_VALUE"""),0.041666666666666664)</f>
        <v>0.04166666667</v>
      </c>
      <c r="D2594" s="8">
        <f>IFERROR(__xludf.DUMMYFUNCTION("""COMPUTED_VALUE"""),1.069)</f>
        <v>1.069</v>
      </c>
      <c r="E2594" s="8" t="str">
        <f>IFERROR(__xludf.DUMMYFUNCTION("""COMPUTED_VALUE"""),"Real")</f>
        <v>Real</v>
      </c>
      <c r="G2594" s="8">
        <f t="shared" si="1"/>
        <v>2</v>
      </c>
      <c r="H2594" s="14">
        <f t="shared" si="2"/>
        <v>17</v>
      </c>
      <c r="I2594" s="15">
        <f t="shared" si="3"/>
        <v>1</v>
      </c>
    </row>
    <row r="2595">
      <c r="A2595" s="8" t="str">
        <f>IFERROR(__xludf.DUMMYFUNCTION("IF('(INGESTA)Datos_consumo_datadis'!A2595&lt;&gt;"""",SPLIT('(INGESTA)Datos_consumo_datadis'!A:A,"",""),"""")"),"ES0031408323131005HX0F")</f>
        <v>ES0031408323131005HX0F</v>
      </c>
      <c r="B2595" s="12">
        <f>IFERROR(__xludf.DUMMYFUNCTION("""COMPUTED_VALUE"""),44974.0)</f>
        <v>44974</v>
      </c>
      <c r="C2595" s="13">
        <f>IFERROR(__xludf.DUMMYFUNCTION("""COMPUTED_VALUE"""),0.08333333333333333)</f>
        <v>0.08333333333</v>
      </c>
      <c r="D2595" s="8">
        <f>IFERROR(__xludf.DUMMYFUNCTION("""COMPUTED_VALUE"""),0.958)</f>
        <v>0.958</v>
      </c>
      <c r="E2595" s="8" t="str">
        <f>IFERROR(__xludf.DUMMYFUNCTION("""COMPUTED_VALUE"""),"Real")</f>
        <v>Real</v>
      </c>
      <c r="G2595" s="8">
        <f t="shared" si="1"/>
        <v>2</v>
      </c>
      <c r="H2595" s="14">
        <f t="shared" si="2"/>
        <v>17</v>
      </c>
      <c r="I2595" s="15">
        <f t="shared" si="3"/>
        <v>2</v>
      </c>
    </row>
    <row r="2596">
      <c r="A2596" s="8" t="str">
        <f>IFERROR(__xludf.DUMMYFUNCTION("IF('(INGESTA)Datos_consumo_datadis'!A2596&lt;&gt;"""",SPLIT('(INGESTA)Datos_consumo_datadis'!A:A,"",""),"""")"),"ES0031408323131005HX0F")</f>
        <v>ES0031408323131005HX0F</v>
      </c>
      <c r="B2596" s="12">
        <f>IFERROR(__xludf.DUMMYFUNCTION("""COMPUTED_VALUE"""),44974.0)</f>
        <v>44974</v>
      </c>
      <c r="C2596" s="13">
        <f>IFERROR(__xludf.DUMMYFUNCTION("""COMPUTED_VALUE"""),0.125)</f>
        <v>0.125</v>
      </c>
      <c r="D2596" s="8">
        <f>IFERROR(__xludf.DUMMYFUNCTION("""COMPUTED_VALUE"""),0.939)</f>
        <v>0.939</v>
      </c>
      <c r="E2596" s="8" t="str">
        <f>IFERROR(__xludf.DUMMYFUNCTION("""COMPUTED_VALUE"""),"Real")</f>
        <v>Real</v>
      </c>
      <c r="G2596" s="8">
        <f t="shared" si="1"/>
        <v>2</v>
      </c>
      <c r="H2596" s="14">
        <f t="shared" si="2"/>
        <v>17</v>
      </c>
      <c r="I2596" s="15">
        <f t="shared" si="3"/>
        <v>3</v>
      </c>
    </row>
    <row r="2597">
      <c r="A2597" s="8" t="str">
        <f>IFERROR(__xludf.DUMMYFUNCTION("IF('(INGESTA)Datos_consumo_datadis'!A2597&lt;&gt;"""",SPLIT('(INGESTA)Datos_consumo_datadis'!A:A,"",""),"""")"),"ES0031408323131005HX0F")</f>
        <v>ES0031408323131005HX0F</v>
      </c>
      <c r="B2597" s="12">
        <f>IFERROR(__xludf.DUMMYFUNCTION("""COMPUTED_VALUE"""),44974.0)</f>
        <v>44974</v>
      </c>
      <c r="C2597" s="13">
        <f>IFERROR(__xludf.DUMMYFUNCTION("""COMPUTED_VALUE"""),0.16666666666666666)</f>
        <v>0.1666666667</v>
      </c>
      <c r="D2597" s="8">
        <f>IFERROR(__xludf.DUMMYFUNCTION("""COMPUTED_VALUE"""),0.939)</f>
        <v>0.939</v>
      </c>
      <c r="E2597" s="8" t="str">
        <f>IFERROR(__xludf.DUMMYFUNCTION("""COMPUTED_VALUE"""),"Real")</f>
        <v>Real</v>
      </c>
      <c r="G2597" s="8">
        <f t="shared" si="1"/>
        <v>2</v>
      </c>
      <c r="H2597" s="14">
        <f t="shared" si="2"/>
        <v>17</v>
      </c>
      <c r="I2597" s="15">
        <f t="shared" si="3"/>
        <v>4</v>
      </c>
    </row>
    <row r="2598">
      <c r="A2598" s="8" t="str">
        <f>IFERROR(__xludf.DUMMYFUNCTION("IF('(INGESTA)Datos_consumo_datadis'!A2598&lt;&gt;"""",SPLIT('(INGESTA)Datos_consumo_datadis'!A:A,"",""),"""")"),"ES0031408323131005HX0F")</f>
        <v>ES0031408323131005HX0F</v>
      </c>
      <c r="B2598" s="12">
        <f>IFERROR(__xludf.DUMMYFUNCTION("""COMPUTED_VALUE"""),44974.0)</f>
        <v>44974</v>
      </c>
      <c r="C2598" s="13">
        <f>IFERROR(__xludf.DUMMYFUNCTION("""COMPUTED_VALUE"""),0.20833333333333334)</f>
        <v>0.2083333333</v>
      </c>
      <c r="D2598" s="8">
        <f>IFERROR(__xludf.DUMMYFUNCTION("""COMPUTED_VALUE"""),0.924)</f>
        <v>0.924</v>
      </c>
      <c r="E2598" s="8" t="str">
        <f>IFERROR(__xludf.DUMMYFUNCTION("""COMPUTED_VALUE"""),"Real")</f>
        <v>Real</v>
      </c>
      <c r="G2598" s="8">
        <f t="shared" si="1"/>
        <v>2</v>
      </c>
      <c r="H2598" s="14">
        <f t="shared" si="2"/>
        <v>17</v>
      </c>
      <c r="I2598" s="15">
        <f t="shared" si="3"/>
        <v>5</v>
      </c>
    </row>
    <row r="2599">
      <c r="A2599" s="8" t="str">
        <f>IFERROR(__xludf.DUMMYFUNCTION("IF('(INGESTA)Datos_consumo_datadis'!A2599&lt;&gt;"""",SPLIT('(INGESTA)Datos_consumo_datadis'!A:A,"",""),"""")"),"ES0031408323131005HX0F")</f>
        <v>ES0031408323131005HX0F</v>
      </c>
      <c r="B2599" s="12">
        <f>IFERROR(__xludf.DUMMYFUNCTION("""COMPUTED_VALUE"""),44974.0)</f>
        <v>44974</v>
      </c>
      <c r="C2599" s="13">
        <f>IFERROR(__xludf.DUMMYFUNCTION("""COMPUTED_VALUE"""),0.25)</f>
        <v>0.25</v>
      </c>
      <c r="D2599" s="8">
        <f>IFERROR(__xludf.DUMMYFUNCTION("""COMPUTED_VALUE"""),1.168)</f>
        <v>1.168</v>
      </c>
      <c r="E2599" s="8" t="str">
        <f>IFERROR(__xludf.DUMMYFUNCTION("""COMPUTED_VALUE"""),"Real")</f>
        <v>Real</v>
      </c>
      <c r="G2599" s="8">
        <f t="shared" si="1"/>
        <v>2</v>
      </c>
      <c r="H2599" s="14">
        <f t="shared" si="2"/>
        <v>17</v>
      </c>
      <c r="I2599" s="15">
        <f t="shared" si="3"/>
        <v>6</v>
      </c>
    </row>
    <row r="2600">
      <c r="A2600" s="8" t="str">
        <f>IFERROR(__xludf.DUMMYFUNCTION("IF('(INGESTA)Datos_consumo_datadis'!A2600&lt;&gt;"""",SPLIT('(INGESTA)Datos_consumo_datadis'!A:A,"",""),"""")"),"ES0031408323131005HX0F")</f>
        <v>ES0031408323131005HX0F</v>
      </c>
      <c r="B2600" s="12">
        <f>IFERROR(__xludf.DUMMYFUNCTION("""COMPUTED_VALUE"""),44974.0)</f>
        <v>44974</v>
      </c>
      <c r="C2600" s="13">
        <f>IFERROR(__xludf.DUMMYFUNCTION("""COMPUTED_VALUE"""),0.2916666666666667)</f>
        <v>0.2916666667</v>
      </c>
      <c r="D2600" s="8">
        <f>IFERROR(__xludf.DUMMYFUNCTION("""COMPUTED_VALUE"""),0.927)</f>
        <v>0.927</v>
      </c>
      <c r="E2600" s="8" t="str">
        <f>IFERROR(__xludf.DUMMYFUNCTION("""COMPUTED_VALUE"""),"Real")</f>
        <v>Real</v>
      </c>
      <c r="G2600" s="8">
        <f t="shared" si="1"/>
        <v>2</v>
      </c>
      <c r="H2600" s="14">
        <f t="shared" si="2"/>
        <v>17</v>
      </c>
      <c r="I2600" s="15">
        <f t="shared" si="3"/>
        <v>7</v>
      </c>
    </row>
    <row r="2601">
      <c r="A2601" s="8" t="str">
        <f>IFERROR(__xludf.DUMMYFUNCTION("IF('(INGESTA)Datos_consumo_datadis'!A2601&lt;&gt;"""",SPLIT('(INGESTA)Datos_consumo_datadis'!A:A,"",""),"""")"),"ES0031408323131005HX0F")</f>
        <v>ES0031408323131005HX0F</v>
      </c>
      <c r="B2601" s="12">
        <f>IFERROR(__xludf.DUMMYFUNCTION("""COMPUTED_VALUE"""),44974.0)</f>
        <v>44974</v>
      </c>
      <c r="C2601" s="13">
        <f>IFERROR(__xludf.DUMMYFUNCTION("""COMPUTED_VALUE"""),0.3333333333333333)</f>
        <v>0.3333333333</v>
      </c>
      <c r="D2601" s="8">
        <f>IFERROR(__xludf.DUMMYFUNCTION("""COMPUTED_VALUE"""),0.758)</f>
        <v>0.758</v>
      </c>
      <c r="E2601" s="8" t="str">
        <f>IFERROR(__xludf.DUMMYFUNCTION("""COMPUTED_VALUE"""),"Real")</f>
        <v>Real</v>
      </c>
      <c r="G2601" s="8">
        <f t="shared" si="1"/>
        <v>2</v>
      </c>
      <c r="H2601" s="14">
        <f t="shared" si="2"/>
        <v>17</v>
      </c>
      <c r="I2601" s="15">
        <f t="shared" si="3"/>
        <v>8</v>
      </c>
    </row>
    <row r="2602">
      <c r="A2602" s="8" t="str">
        <f>IFERROR(__xludf.DUMMYFUNCTION("IF('(INGESTA)Datos_consumo_datadis'!A2602&lt;&gt;"""",SPLIT('(INGESTA)Datos_consumo_datadis'!A:A,"",""),"""")"),"ES0031408323131005HX0F")</f>
        <v>ES0031408323131005HX0F</v>
      </c>
      <c r="B2602" s="12">
        <f>IFERROR(__xludf.DUMMYFUNCTION("""COMPUTED_VALUE"""),44974.0)</f>
        <v>44974</v>
      </c>
      <c r="C2602" s="13">
        <f>IFERROR(__xludf.DUMMYFUNCTION("""COMPUTED_VALUE"""),0.375)</f>
        <v>0.375</v>
      </c>
      <c r="D2602" s="8">
        <f>IFERROR(__xludf.DUMMYFUNCTION("""COMPUTED_VALUE"""),0.306)</f>
        <v>0.306</v>
      </c>
      <c r="E2602" s="8" t="str">
        <f>IFERROR(__xludf.DUMMYFUNCTION("""COMPUTED_VALUE"""),"Real")</f>
        <v>Real</v>
      </c>
      <c r="G2602" s="8">
        <f t="shared" si="1"/>
        <v>2</v>
      </c>
      <c r="H2602" s="14">
        <f t="shared" si="2"/>
        <v>17</v>
      </c>
      <c r="I2602" s="15">
        <f t="shared" si="3"/>
        <v>9</v>
      </c>
    </row>
    <row r="2603">
      <c r="A2603" s="8" t="str">
        <f>IFERROR(__xludf.DUMMYFUNCTION("IF('(INGESTA)Datos_consumo_datadis'!A2603&lt;&gt;"""",SPLIT('(INGESTA)Datos_consumo_datadis'!A:A,"",""),"""")"),"ES0031408323131005HX0F")</f>
        <v>ES0031408323131005HX0F</v>
      </c>
      <c r="B2603" s="12">
        <f>IFERROR(__xludf.DUMMYFUNCTION("""COMPUTED_VALUE"""),44974.0)</f>
        <v>44974</v>
      </c>
      <c r="C2603" s="13">
        <f>IFERROR(__xludf.DUMMYFUNCTION("""COMPUTED_VALUE"""),0.4166666666666667)</f>
        <v>0.4166666667</v>
      </c>
      <c r="D2603" s="8">
        <f>IFERROR(__xludf.DUMMYFUNCTION("""COMPUTED_VALUE"""),1.375)</f>
        <v>1.375</v>
      </c>
      <c r="E2603" s="8" t="str">
        <f>IFERROR(__xludf.DUMMYFUNCTION("""COMPUTED_VALUE"""),"Real")</f>
        <v>Real</v>
      </c>
      <c r="G2603" s="8">
        <f t="shared" si="1"/>
        <v>2</v>
      </c>
      <c r="H2603" s="14">
        <f t="shared" si="2"/>
        <v>17</v>
      </c>
      <c r="I2603" s="15">
        <f t="shared" si="3"/>
        <v>10</v>
      </c>
    </row>
    <row r="2604">
      <c r="A2604" s="8" t="str">
        <f>IFERROR(__xludf.DUMMYFUNCTION("IF('(INGESTA)Datos_consumo_datadis'!A2604&lt;&gt;"""",SPLIT('(INGESTA)Datos_consumo_datadis'!A:A,"",""),"""")"),"ES0031408323131005HX0F")</f>
        <v>ES0031408323131005HX0F</v>
      </c>
      <c r="B2604" s="12">
        <f>IFERROR(__xludf.DUMMYFUNCTION("""COMPUTED_VALUE"""),44974.0)</f>
        <v>44974</v>
      </c>
      <c r="C2604" s="13">
        <f>IFERROR(__xludf.DUMMYFUNCTION("""COMPUTED_VALUE"""),0.4583333333333333)</f>
        <v>0.4583333333</v>
      </c>
      <c r="D2604" s="8">
        <f>IFERROR(__xludf.DUMMYFUNCTION("""COMPUTED_VALUE"""),3.042)</f>
        <v>3.042</v>
      </c>
      <c r="E2604" s="8" t="str">
        <f>IFERROR(__xludf.DUMMYFUNCTION("""COMPUTED_VALUE"""),"Real")</f>
        <v>Real</v>
      </c>
      <c r="G2604" s="8">
        <f t="shared" si="1"/>
        <v>2</v>
      </c>
      <c r="H2604" s="14">
        <f t="shared" si="2"/>
        <v>17</v>
      </c>
      <c r="I2604" s="15">
        <f t="shared" si="3"/>
        <v>11</v>
      </c>
    </row>
    <row r="2605">
      <c r="A2605" s="8" t="str">
        <f>IFERROR(__xludf.DUMMYFUNCTION("IF('(INGESTA)Datos_consumo_datadis'!A2605&lt;&gt;"""",SPLIT('(INGESTA)Datos_consumo_datadis'!A:A,"",""),"""")"),"ES0031408323131005HX0F")</f>
        <v>ES0031408323131005HX0F</v>
      </c>
      <c r="B2605" s="12">
        <f>IFERROR(__xludf.DUMMYFUNCTION("""COMPUTED_VALUE"""),44974.0)</f>
        <v>44974</v>
      </c>
      <c r="C2605" s="13">
        <f>IFERROR(__xludf.DUMMYFUNCTION("""COMPUTED_VALUE"""),0.5)</f>
        <v>0.5</v>
      </c>
      <c r="D2605" s="8">
        <f>IFERROR(__xludf.DUMMYFUNCTION("""COMPUTED_VALUE"""),1.665)</f>
        <v>1.665</v>
      </c>
      <c r="E2605" s="8" t="str">
        <f>IFERROR(__xludf.DUMMYFUNCTION("""COMPUTED_VALUE"""),"Real")</f>
        <v>Real</v>
      </c>
      <c r="G2605" s="8">
        <f t="shared" si="1"/>
        <v>2</v>
      </c>
      <c r="H2605" s="14">
        <f t="shared" si="2"/>
        <v>17</v>
      </c>
      <c r="I2605" s="15">
        <f t="shared" si="3"/>
        <v>12</v>
      </c>
    </row>
    <row r="2606">
      <c r="A2606" s="8" t="str">
        <f>IFERROR(__xludf.DUMMYFUNCTION("IF('(INGESTA)Datos_consumo_datadis'!A2606&lt;&gt;"""",SPLIT('(INGESTA)Datos_consumo_datadis'!A:A,"",""),"""")"),"ES0031408323131005HX0F")</f>
        <v>ES0031408323131005HX0F</v>
      </c>
      <c r="B2606" s="12">
        <f>IFERROR(__xludf.DUMMYFUNCTION("""COMPUTED_VALUE"""),44974.0)</f>
        <v>44974</v>
      </c>
      <c r="C2606" s="13">
        <f>IFERROR(__xludf.DUMMYFUNCTION("""COMPUTED_VALUE"""),0.5416666666666666)</f>
        <v>0.5416666667</v>
      </c>
      <c r="D2606" s="8">
        <f>IFERROR(__xludf.DUMMYFUNCTION("""COMPUTED_VALUE"""),2.221)</f>
        <v>2.221</v>
      </c>
      <c r="E2606" s="8" t="str">
        <f>IFERROR(__xludf.DUMMYFUNCTION("""COMPUTED_VALUE"""),"Real")</f>
        <v>Real</v>
      </c>
      <c r="G2606" s="8">
        <f t="shared" si="1"/>
        <v>2</v>
      </c>
      <c r="H2606" s="14">
        <f t="shared" si="2"/>
        <v>17</v>
      </c>
      <c r="I2606" s="15">
        <f t="shared" si="3"/>
        <v>13</v>
      </c>
    </row>
    <row r="2607">
      <c r="A2607" s="8" t="str">
        <f>IFERROR(__xludf.DUMMYFUNCTION("IF('(INGESTA)Datos_consumo_datadis'!A2607&lt;&gt;"""",SPLIT('(INGESTA)Datos_consumo_datadis'!A:A,"",""),"""")"),"ES0031408323131005HX0F")</f>
        <v>ES0031408323131005HX0F</v>
      </c>
      <c r="B2607" s="12">
        <f>IFERROR(__xludf.DUMMYFUNCTION("""COMPUTED_VALUE"""),44974.0)</f>
        <v>44974</v>
      </c>
      <c r="C2607" s="13">
        <f>IFERROR(__xludf.DUMMYFUNCTION("""COMPUTED_VALUE"""),0.5833333333333334)</f>
        <v>0.5833333333</v>
      </c>
      <c r="D2607" s="8">
        <f>IFERROR(__xludf.DUMMYFUNCTION("""COMPUTED_VALUE"""),1.255)</f>
        <v>1.255</v>
      </c>
      <c r="E2607" s="8" t="str">
        <f>IFERROR(__xludf.DUMMYFUNCTION("""COMPUTED_VALUE"""),"Real")</f>
        <v>Real</v>
      </c>
      <c r="G2607" s="8">
        <f t="shared" si="1"/>
        <v>2</v>
      </c>
      <c r="H2607" s="14">
        <f t="shared" si="2"/>
        <v>17</v>
      </c>
      <c r="I2607" s="15">
        <f t="shared" si="3"/>
        <v>14</v>
      </c>
    </row>
    <row r="2608">
      <c r="A2608" s="8" t="str">
        <f>IFERROR(__xludf.DUMMYFUNCTION("IF('(INGESTA)Datos_consumo_datadis'!A2608&lt;&gt;"""",SPLIT('(INGESTA)Datos_consumo_datadis'!A:A,"",""),"""")"),"ES0031408323131005HX0F")</f>
        <v>ES0031408323131005HX0F</v>
      </c>
      <c r="B2608" s="12">
        <f>IFERROR(__xludf.DUMMYFUNCTION("""COMPUTED_VALUE"""),44974.0)</f>
        <v>44974</v>
      </c>
      <c r="C2608" s="13">
        <f>IFERROR(__xludf.DUMMYFUNCTION("""COMPUTED_VALUE"""),0.625)</f>
        <v>0.625</v>
      </c>
      <c r="D2608" s="8">
        <f>IFERROR(__xludf.DUMMYFUNCTION("""COMPUTED_VALUE"""),0.65)</f>
        <v>0.65</v>
      </c>
      <c r="E2608" s="8" t="str">
        <f>IFERROR(__xludf.DUMMYFUNCTION("""COMPUTED_VALUE"""),"Real")</f>
        <v>Real</v>
      </c>
      <c r="G2608" s="8">
        <f t="shared" si="1"/>
        <v>2</v>
      </c>
      <c r="H2608" s="14">
        <f t="shared" si="2"/>
        <v>17</v>
      </c>
      <c r="I2608" s="15">
        <f t="shared" si="3"/>
        <v>15</v>
      </c>
    </row>
    <row r="2609">
      <c r="A2609" s="8" t="str">
        <f>IFERROR(__xludf.DUMMYFUNCTION("IF('(INGESTA)Datos_consumo_datadis'!A2609&lt;&gt;"""",SPLIT('(INGESTA)Datos_consumo_datadis'!A:A,"",""),"""")"),"ES0031408323131005HX0F")</f>
        <v>ES0031408323131005HX0F</v>
      </c>
      <c r="B2609" s="12">
        <f>IFERROR(__xludf.DUMMYFUNCTION("""COMPUTED_VALUE"""),44974.0)</f>
        <v>44974</v>
      </c>
      <c r="C2609" s="13">
        <f>IFERROR(__xludf.DUMMYFUNCTION("""COMPUTED_VALUE"""),0.6666666666666666)</f>
        <v>0.6666666667</v>
      </c>
      <c r="D2609" s="8">
        <f>IFERROR(__xludf.DUMMYFUNCTION("""COMPUTED_VALUE"""),0.111)</f>
        <v>0.111</v>
      </c>
      <c r="E2609" s="8" t="str">
        <f>IFERROR(__xludf.DUMMYFUNCTION("""COMPUTED_VALUE"""),"Real")</f>
        <v>Real</v>
      </c>
      <c r="G2609" s="8">
        <f t="shared" si="1"/>
        <v>2</v>
      </c>
      <c r="H2609" s="14">
        <f t="shared" si="2"/>
        <v>17</v>
      </c>
      <c r="I2609" s="15">
        <f t="shared" si="3"/>
        <v>16</v>
      </c>
    </row>
    <row r="2610">
      <c r="A2610" s="8" t="str">
        <f>IFERROR(__xludf.DUMMYFUNCTION("IF('(INGESTA)Datos_consumo_datadis'!A2610&lt;&gt;"""",SPLIT('(INGESTA)Datos_consumo_datadis'!A:A,"",""),"""")"),"ES0031408323131005HX0F")</f>
        <v>ES0031408323131005HX0F</v>
      </c>
      <c r="B2610" s="12">
        <f>IFERROR(__xludf.DUMMYFUNCTION("""COMPUTED_VALUE"""),44974.0)</f>
        <v>44974</v>
      </c>
      <c r="C2610" s="13">
        <f>IFERROR(__xludf.DUMMYFUNCTION("""COMPUTED_VALUE"""),0.7083333333333334)</f>
        <v>0.7083333333</v>
      </c>
      <c r="D2610" s="8">
        <f>IFERROR(__xludf.DUMMYFUNCTION("""COMPUTED_VALUE"""),0.071)</f>
        <v>0.071</v>
      </c>
      <c r="E2610" s="8" t="str">
        <f>IFERROR(__xludf.DUMMYFUNCTION("""COMPUTED_VALUE"""),"Real")</f>
        <v>Real</v>
      </c>
      <c r="G2610" s="8">
        <f t="shared" si="1"/>
        <v>2</v>
      </c>
      <c r="H2610" s="14">
        <f t="shared" si="2"/>
        <v>17</v>
      </c>
      <c r="I2610" s="15">
        <f t="shared" si="3"/>
        <v>17</v>
      </c>
    </row>
    <row r="2611">
      <c r="A2611" s="8" t="str">
        <f>IFERROR(__xludf.DUMMYFUNCTION("IF('(INGESTA)Datos_consumo_datadis'!A2611&lt;&gt;"""",SPLIT('(INGESTA)Datos_consumo_datadis'!A:A,"",""),"""")"),"ES0031408323131005HX0F")</f>
        <v>ES0031408323131005HX0F</v>
      </c>
      <c r="B2611" s="12">
        <f>IFERROR(__xludf.DUMMYFUNCTION("""COMPUTED_VALUE"""),44974.0)</f>
        <v>44974</v>
      </c>
      <c r="C2611" s="13">
        <f>IFERROR(__xludf.DUMMYFUNCTION("""COMPUTED_VALUE"""),0.75)</f>
        <v>0.75</v>
      </c>
      <c r="D2611" s="8">
        <f>IFERROR(__xludf.DUMMYFUNCTION("""COMPUTED_VALUE"""),0.068)</f>
        <v>0.068</v>
      </c>
      <c r="E2611" s="8" t="str">
        <f>IFERROR(__xludf.DUMMYFUNCTION("""COMPUTED_VALUE"""),"Real")</f>
        <v>Real</v>
      </c>
      <c r="G2611" s="8">
        <f t="shared" si="1"/>
        <v>2</v>
      </c>
      <c r="H2611" s="14">
        <f t="shared" si="2"/>
        <v>17</v>
      </c>
      <c r="I2611" s="15">
        <f t="shared" si="3"/>
        <v>18</v>
      </c>
    </row>
    <row r="2612">
      <c r="A2612" s="8" t="str">
        <f>IFERROR(__xludf.DUMMYFUNCTION("IF('(INGESTA)Datos_consumo_datadis'!A2612&lt;&gt;"""",SPLIT('(INGESTA)Datos_consumo_datadis'!A:A,"",""),"""")"),"ES0031408323131005HX0F")</f>
        <v>ES0031408323131005HX0F</v>
      </c>
      <c r="B2612" s="12">
        <f>IFERROR(__xludf.DUMMYFUNCTION("""COMPUTED_VALUE"""),44974.0)</f>
        <v>44974</v>
      </c>
      <c r="C2612" s="13">
        <f>IFERROR(__xludf.DUMMYFUNCTION("""COMPUTED_VALUE"""),0.7916666666666666)</f>
        <v>0.7916666667</v>
      </c>
      <c r="D2612" s="8">
        <f>IFERROR(__xludf.DUMMYFUNCTION("""COMPUTED_VALUE"""),0.016)</f>
        <v>0.016</v>
      </c>
      <c r="E2612" s="8" t="str">
        <f>IFERROR(__xludf.DUMMYFUNCTION("""COMPUTED_VALUE"""),"Real")</f>
        <v>Real</v>
      </c>
      <c r="G2612" s="8">
        <f t="shared" si="1"/>
        <v>2</v>
      </c>
      <c r="H2612" s="14">
        <f t="shared" si="2"/>
        <v>17</v>
      </c>
      <c r="I2612" s="15">
        <f t="shared" si="3"/>
        <v>19</v>
      </c>
    </row>
    <row r="2613">
      <c r="A2613" s="8" t="str">
        <f>IFERROR(__xludf.DUMMYFUNCTION("IF('(INGESTA)Datos_consumo_datadis'!A2613&lt;&gt;"""",SPLIT('(INGESTA)Datos_consumo_datadis'!A:A,"",""),"""")"),"ES0031408323131005HX0F")</f>
        <v>ES0031408323131005HX0F</v>
      </c>
      <c r="B2613" s="12">
        <f>IFERROR(__xludf.DUMMYFUNCTION("""COMPUTED_VALUE"""),44974.0)</f>
        <v>44974</v>
      </c>
      <c r="C2613" s="13">
        <f>IFERROR(__xludf.DUMMYFUNCTION("""COMPUTED_VALUE"""),0.8333333333333334)</f>
        <v>0.8333333333</v>
      </c>
      <c r="D2613" s="8">
        <f>IFERROR(__xludf.DUMMYFUNCTION("""COMPUTED_VALUE"""),0.333)</f>
        <v>0.333</v>
      </c>
      <c r="E2613" s="8" t="str">
        <f>IFERROR(__xludf.DUMMYFUNCTION("""COMPUTED_VALUE"""),"Real")</f>
        <v>Real</v>
      </c>
      <c r="G2613" s="8">
        <f t="shared" si="1"/>
        <v>2</v>
      </c>
      <c r="H2613" s="14">
        <f t="shared" si="2"/>
        <v>17</v>
      </c>
      <c r="I2613" s="15">
        <f t="shared" si="3"/>
        <v>20</v>
      </c>
    </row>
    <row r="2614">
      <c r="A2614" s="8" t="str">
        <f>IFERROR(__xludf.DUMMYFUNCTION("IF('(INGESTA)Datos_consumo_datadis'!A2614&lt;&gt;"""",SPLIT('(INGESTA)Datos_consumo_datadis'!A:A,"",""),"""")"),"ES0031408323131005HX0F")</f>
        <v>ES0031408323131005HX0F</v>
      </c>
      <c r="B2614" s="12">
        <f>IFERROR(__xludf.DUMMYFUNCTION("""COMPUTED_VALUE"""),44974.0)</f>
        <v>44974</v>
      </c>
      <c r="C2614" s="13">
        <f>IFERROR(__xludf.DUMMYFUNCTION("""COMPUTED_VALUE"""),0.875)</f>
        <v>0.875</v>
      </c>
      <c r="D2614" s="8">
        <f>IFERROR(__xludf.DUMMYFUNCTION("""COMPUTED_VALUE"""),0.048)</f>
        <v>0.048</v>
      </c>
      <c r="E2614" s="8" t="str">
        <f>IFERROR(__xludf.DUMMYFUNCTION("""COMPUTED_VALUE"""),"Real")</f>
        <v>Real</v>
      </c>
      <c r="G2614" s="8">
        <f t="shared" si="1"/>
        <v>2</v>
      </c>
      <c r="H2614" s="14">
        <f t="shared" si="2"/>
        <v>17</v>
      </c>
      <c r="I2614" s="15">
        <f t="shared" si="3"/>
        <v>21</v>
      </c>
    </row>
    <row r="2615">
      <c r="A2615" s="8" t="str">
        <f>IFERROR(__xludf.DUMMYFUNCTION("IF('(INGESTA)Datos_consumo_datadis'!A2615&lt;&gt;"""",SPLIT('(INGESTA)Datos_consumo_datadis'!A:A,"",""),"""")"),"ES0031408323131005HX0F")</f>
        <v>ES0031408323131005HX0F</v>
      </c>
      <c r="B2615" s="12">
        <f>IFERROR(__xludf.DUMMYFUNCTION("""COMPUTED_VALUE"""),44974.0)</f>
        <v>44974</v>
      </c>
      <c r="C2615" s="13">
        <f>IFERROR(__xludf.DUMMYFUNCTION("""COMPUTED_VALUE"""),0.9166666666666666)</f>
        <v>0.9166666667</v>
      </c>
      <c r="D2615" s="8">
        <f>IFERROR(__xludf.DUMMYFUNCTION("""COMPUTED_VALUE"""),0.045)</f>
        <v>0.045</v>
      </c>
      <c r="E2615" s="8" t="str">
        <f>IFERROR(__xludf.DUMMYFUNCTION("""COMPUTED_VALUE"""),"Real")</f>
        <v>Real</v>
      </c>
      <c r="G2615" s="8">
        <f t="shared" si="1"/>
        <v>2</v>
      </c>
      <c r="H2615" s="14">
        <f t="shared" si="2"/>
        <v>17</v>
      </c>
      <c r="I2615" s="15">
        <f t="shared" si="3"/>
        <v>22</v>
      </c>
    </row>
    <row r="2616">
      <c r="A2616" s="8" t="str">
        <f>IFERROR(__xludf.DUMMYFUNCTION("IF('(INGESTA)Datos_consumo_datadis'!A2616&lt;&gt;"""",SPLIT('(INGESTA)Datos_consumo_datadis'!A:A,"",""),"""")"),"ES0031408323131005HX0F")</f>
        <v>ES0031408323131005HX0F</v>
      </c>
      <c r="B2616" s="12">
        <f>IFERROR(__xludf.DUMMYFUNCTION("""COMPUTED_VALUE"""),44974.0)</f>
        <v>44974</v>
      </c>
      <c r="C2616" s="13">
        <f>IFERROR(__xludf.DUMMYFUNCTION("""COMPUTED_VALUE"""),0.9583333333333334)</f>
        <v>0.9583333333</v>
      </c>
      <c r="D2616" s="8">
        <f>IFERROR(__xludf.DUMMYFUNCTION("""COMPUTED_VALUE"""),0.235)</f>
        <v>0.235</v>
      </c>
      <c r="E2616" s="8" t="str">
        <f>IFERROR(__xludf.DUMMYFUNCTION("""COMPUTED_VALUE"""),"Real")</f>
        <v>Real</v>
      </c>
      <c r="G2616" s="8">
        <f t="shared" si="1"/>
        <v>2</v>
      </c>
      <c r="H2616" s="14">
        <f t="shared" si="2"/>
        <v>17</v>
      </c>
      <c r="I2616" s="15">
        <f t="shared" si="3"/>
        <v>23</v>
      </c>
    </row>
    <row r="2617">
      <c r="A2617" s="8" t="str">
        <f>IFERROR(__xludf.DUMMYFUNCTION("IF('(INGESTA)Datos_consumo_datadis'!A2617&lt;&gt;"""",SPLIT('(INGESTA)Datos_consumo_datadis'!A:A,"",""),"""")"),"ES0031408323131005HX0F")</f>
        <v>ES0031408323131005HX0F</v>
      </c>
      <c r="B2617" s="12">
        <f>IFERROR(__xludf.DUMMYFUNCTION("""COMPUTED_VALUE"""),44974.0)</f>
        <v>44974</v>
      </c>
      <c r="C2617" s="16">
        <f>IFERROR(__xludf.DUMMYFUNCTION("""COMPUTED_VALUE"""),1.0)</f>
        <v>1</v>
      </c>
      <c r="D2617" s="8">
        <f>IFERROR(__xludf.DUMMYFUNCTION("""COMPUTED_VALUE"""),2.181)</f>
        <v>2.181</v>
      </c>
      <c r="E2617" s="8" t="str">
        <f>IFERROR(__xludf.DUMMYFUNCTION("""COMPUTED_VALUE"""),"Real")</f>
        <v>Real</v>
      </c>
      <c r="G2617" s="8">
        <f t="shared" si="1"/>
        <v>2</v>
      </c>
      <c r="H2617" s="14">
        <f t="shared" si="2"/>
        <v>17</v>
      </c>
      <c r="I2617" s="15">
        <f t="shared" si="3"/>
        <v>0</v>
      </c>
    </row>
    <row r="2618">
      <c r="A2618" s="8" t="str">
        <f>IFERROR(__xludf.DUMMYFUNCTION("IF('(INGESTA)Datos_consumo_datadis'!A2618&lt;&gt;"""",SPLIT('(INGESTA)Datos_consumo_datadis'!A:A,"",""),"""")"),"ES0031408323131005HX0F")</f>
        <v>ES0031408323131005HX0F</v>
      </c>
      <c r="B2618" s="12">
        <f>IFERROR(__xludf.DUMMYFUNCTION("""COMPUTED_VALUE"""),44975.0)</f>
        <v>44975</v>
      </c>
      <c r="C2618" s="13">
        <f>IFERROR(__xludf.DUMMYFUNCTION("""COMPUTED_VALUE"""),0.041666666666666664)</f>
        <v>0.04166666667</v>
      </c>
      <c r="D2618" s="8">
        <f>IFERROR(__xludf.DUMMYFUNCTION("""COMPUTED_VALUE"""),1.794)</f>
        <v>1.794</v>
      </c>
      <c r="E2618" s="8" t="str">
        <f>IFERROR(__xludf.DUMMYFUNCTION("""COMPUTED_VALUE"""),"Real")</f>
        <v>Real</v>
      </c>
      <c r="G2618" s="8">
        <f t="shared" si="1"/>
        <v>2</v>
      </c>
      <c r="H2618" s="14">
        <f t="shared" si="2"/>
        <v>18</v>
      </c>
      <c r="I2618" s="15">
        <f t="shared" si="3"/>
        <v>1</v>
      </c>
    </row>
    <row r="2619">
      <c r="A2619" s="8" t="str">
        <f>IFERROR(__xludf.DUMMYFUNCTION("IF('(INGESTA)Datos_consumo_datadis'!A2619&lt;&gt;"""",SPLIT('(INGESTA)Datos_consumo_datadis'!A:A,"",""),"""")"),"ES0031408323131005HX0F")</f>
        <v>ES0031408323131005HX0F</v>
      </c>
      <c r="B2619" s="12">
        <f>IFERROR(__xludf.DUMMYFUNCTION("""COMPUTED_VALUE"""),44975.0)</f>
        <v>44975</v>
      </c>
      <c r="C2619" s="13">
        <f>IFERROR(__xludf.DUMMYFUNCTION("""COMPUTED_VALUE"""),0.08333333333333333)</f>
        <v>0.08333333333</v>
      </c>
      <c r="D2619" s="8">
        <f>IFERROR(__xludf.DUMMYFUNCTION("""COMPUTED_VALUE"""),0.693)</f>
        <v>0.693</v>
      </c>
      <c r="E2619" s="8" t="str">
        <f>IFERROR(__xludf.DUMMYFUNCTION("""COMPUTED_VALUE"""),"Real")</f>
        <v>Real</v>
      </c>
      <c r="G2619" s="8">
        <f t="shared" si="1"/>
        <v>2</v>
      </c>
      <c r="H2619" s="14">
        <f t="shared" si="2"/>
        <v>18</v>
      </c>
      <c r="I2619" s="15">
        <f t="shared" si="3"/>
        <v>2</v>
      </c>
    </row>
    <row r="2620">
      <c r="A2620" s="8" t="str">
        <f>IFERROR(__xludf.DUMMYFUNCTION("IF('(INGESTA)Datos_consumo_datadis'!A2620&lt;&gt;"""",SPLIT('(INGESTA)Datos_consumo_datadis'!A:A,"",""),"""")"),"ES0031408323131005HX0F")</f>
        <v>ES0031408323131005HX0F</v>
      </c>
      <c r="B2620" s="12">
        <f>IFERROR(__xludf.DUMMYFUNCTION("""COMPUTED_VALUE"""),44975.0)</f>
        <v>44975</v>
      </c>
      <c r="C2620" s="13">
        <f>IFERROR(__xludf.DUMMYFUNCTION("""COMPUTED_VALUE"""),0.125)</f>
        <v>0.125</v>
      </c>
      <c r="D2620" s="8">
        <f>IFERROR(__xludf.DUMMYFUNCTION("""COMPUTED_VALUE"""),1.408)</f>
        <v>1.408</v>
      </c>
      <c r="E2620" s="8" t="str">
        <f>IFERROR(__xludf.DUMMYFUNCTION("""COMPUTED_VALUE"""),"Real")</f>
        <v>Real</v>
      </c>
      <c r="G2620" s="8">
        <f t="shared" si="1"/>
        <v>2</v>
      </c>
      <c r="H2620" s="14">
        <f t="shared" si="2"/>
        <v>18</v>
      </c>
      <c r="I2620" s="15">
        <f t="shared" si="3"/>
        <v>3</v>
      </c>
    </row>
    <row r="2621">
      <c r="A2621" s="8" t="str">
        <f>IFERROR(__xludf.DUMMYFUNCTION("IF('(INGESTA)Datos_consumo_datadis'!A2621&lt;&gt;"""",SPLIT('(INGESTA)Datos_consumo_datadis'!A:A,"",""),"""")"),"ES0031408323131005HX0F")</f>
        <v>ES0031408323131005HX0F</v>
      </c>
      <c r="B2621" s="12">
        <f>IFERROR(__xludf.DUMMYFUNCTION("""COMPUTED_VALUE"""),44975.0)</f>
        <v>44975</v>
      </c>
      <c r="C2621" s="13">
        <f>IFERROR(__xludf.DUMMYFUNCTION("""COMPUTED_VALUE"""),0.16666666666666666)</f>
        <v>0.1666666667</v>
      </c>
      <c r="D2621" s="8">
        <f>IFERROR(__xludf.DUMMYFUNCTION("""COMPUTED_VALUE"""),1.408)</f>
        <v>1.408</v>
      </c>
      <c r="E2621" s="8" t="str">
        <f>IFERROR(__xludf.DUMMYFUNCTION("""COMPUTED_VALUE"""),"Real")</f>
        <v>Real</v>
      </c>
      <c r="G2621" s="8">
        <f t="shared" si="1"/>
        <v>2</v>
      </c>
      <c r="H2621" s="14">
        <f t="shared" si="2"/>
        <v>18</v>
      </c>
      <c r="I2621" s="15">
        <f t="shared" si="3"/>
        <v>4</v>
      </c>
    </row>
    <row r="2622">
      <c r="A2622" s="8" t="str">
        <f>IFERROR(__xludf.DUMMYFUNCTION("IF('(INGESTA)Datos_consumo_datadis'!A2622&lt;&gt;"""",SPLIT('(INGESTA)Datos_consumo_datadis'!A:A,"",""),"""")"),"ES0031408323131005HX0F")</f>
        <v>ES0031408323131005HX0F</v>
      </c>
      <c r="B2622" s="12">
        <f>IFERROR(__xludf.DUMMYFUNCTION("""COMPUTED_VALUE"""),44975.0)</f>
        <v>44975</v>
      </c>
      <c r="C2622" s="13">
        <f>IFERROR(__xludf.DUMMYFUNCTION("""COMPUTED_VALUE"""),0.20833333333333334)</f>
        <v>0.2083333333</v>
      </c>
      <c r="D2622" s="8">
        <f>IFERROR(__xludf.DUMMYFUNCTION("""COMPUTED_VALUE"""),1.334)</f>
        <v>1.334</v>
      </c>
      <c r="E2622" s="8" t="str">
        <f>IFERROR(__xludf.DUMMYFUNCTION("""COMPUTED_VALUE"""),"Real")</f>
        <v>Real</v>
      </c>
      <c r="G2622" s="8">
        <f t="shared" si="1"/>
        <v>2</v>
      </c>
      <c r="H2622" s="14">
        <f t="shared" si="2"/>
        <v>18</v>
      </c>
      <c r="I2622" s="15">
        <f t="shared" si="3"/>
        <v>5</v>
      </c>
    </row>
    <row r="2623">
      <c r="A2623" s="8" t="str">
        <f>IFERROR(__xludf.DUMMYFUNCTION("IF('(INGESTA)Datos_consumo_datadis'!A2623&lt;&gt;"""",SPLIT('(INGESTA)Datos_consumo_datadis'!A:A,"",""),"""")"),"ES0031408323131005HX0F")</f>
        <v>ES0031408323131005HX0F</v>
      </c>
      <c r="B2623" s="12">
        <f>IFERROR(__xludf.DUMMYFUNCTION("""COMPUTED_VALUE"""),44975.0)</f>
        <v>44975</v>
      </c>
      <c r="C2623" s="13">
        <f>IFERROR(__xludf.DUMMYFUNCTION("""COMPUTED_VALUE"""),0.25)</f>
        <v>0.25</v>
      </c>
      <c r="D2623" s="8">
        <f>IFERROR(__xludf.DUMMYFUNCTION("""COMPUTED_VALUE"""),1.627)</f>
        <v>1.627</v>
      </c>
      <c r="E2623" s="8" t="str">
        <f>IFERROR(__xludf.DUMMYFUNCTION("""COMPUTED_VALUE"""),"Real")</f>
        <v>Real</v>
      </c>
      <c r="G2623" s="8">
        <f t="shared" si="1"/>
        <v>2</v>
      </c>
      <c r="H2623" s="14">
        <f t="shared" si="2"/>
        <v>18</v>
      </c>
      <c r="I2623" s="15">
        <f t="shared" si="3"/>
        <v>6</v>
      </c>
    </row>
    <row r="2624">
      <c r="A2624" s="8" t="str">
        <f>IFERROR(__xludf.DUMMYFUNCTION("IF('(INGESTA)Datos_consumo_datadis'!A2624&lt;&gt;"""",SPLIT('(INGESTA)Datos_consumo_datadis'!A:A,"",""),"""")"),"ES0031408323131005HX0F")</f>
        <v>ES0031408323131005HX0F</v>
      </c>
      <c r="B2624" s="12">
        <f>IFERROR(__xludf.DUMMYFUNCTION("""COMPUTED_VALUE"""),44975.0)</f>
        <v>44975</v>
      </c>
      <c r="C2624" s="13">
        <f>IFERROR(__xludf.DUMMYFUNCTION("""COMPUTED_VALUE"""),0.2916666666666667)</f>
        <v>0.2916666667</v>
      </c>
      <c r="D2624" s="8">
        <f>IFERROR(__xludf.DUMMYFUNCTION("""COMPUTED_VALUE"""),1.432)</f>
        <v>1.432</v>
      </c>
      <c r="E2624" s="8" t="str">
        <f>IFERROR(__xludf.DUMMYFUNCTION("""COMPUTED_VALUE"""),"Real")</f>
        <v>Real</v>
      </c>
      <c r="G2624" s="8">
        <f t="shared" si="1"/>
        <v>2</v>
      </c>
      <c r="H2624" s="14">
        <f t="shared" si="2"/>
        <v>18</v>
      </c>
      <c r="I2624" s="15">
        <f t="shared" si="3"/>
        <v>7</v>
      </c>
    </row>
    <row r="2625">
      <c r="A2625" s="8" t="str">
        <f>IFERROR(__xludf.DUMMYFUNCTION("IF('(INGESTA)Datos_consumo_datadis'!A2625&lt;&gt;"""",SPLIT('(INGESTA)Datos_consumo_datadis'!A:A,"",""),"""")"),"ES0031408323131005HX0F")</f>
        <v>ES0031408323131005HX0F</v>
      </c>
      <c r="B2625" s="12">
        <f>IFERROR(__xludf.DUMMYFUNCTION("""COMPUTED_VALUE"""),44975.0)</f>
        <v>44975</v>
      </c>
      <c r="C2625" s="13">
        <f>IFERROR(__xludf.DUMMYFUNCTION("""COMPUTED_VALUE"""),0.3333333333333333)</f>
        <v>0.3333333333</v>
      </c>
      <c r="D2625" s="8">
        <f>IFERROR(__xludf.DUMMYFUNCTION("""COMPUTED_VALUE"""),1.354)</f>
        <v>1.354</v>
      </c>
      <c r="E2625" s="8" t="str">
        <f>IFERROR(__xludf.DUMMYFUNCTION("""COMPUTED_VALUE"""),"Real")</f>
        <v>Real</v>
      </c>
      <c r="G2625" s="8">
        <f t="shared" si="1"/>
        <v>2</v>
      </c>
      <c r="H2625" s="14">
        <f t="shared" si="2"/>
        <v>18</v>
      </c>
      <c r="I2625" s="15">
        <f t="shared" si="3"/>
        <v>8</v>
      </c>
    </row>
    <row r="2626">
      <c r="A2626" s="8" t="str">
        <f>IFERROR(__xludf.DUMMYFUNCTION("IF('(INGESTA)Datos_consumo_datadis'!A2626&lt;&gt;"""",SPLIT('(INGESTA)Datos_consumo_datadis'!A:A,"",""),"""")"),"ES0031408323131005HX0F")</f>
        <v>ES0031408323131005HX0F</v>
      </c>
      <c r="B2626" s="12">
        <f>IFERROR(__xludf.DUMMYFUNCTION("""COMPUTED_VALUE"""),44975.0)</f>
        <v>44975</v>
      </c>
      <c r="C2626" s="13">
        <f>IFERROR(__xludf.DUMMYFUNCTION("""COMPUTED_VALUE"""),0.375)</f>
        <v>0.375</v>
      </c>
      <c r="D2626" s="8">
        <f>IFERROR(__xludf.DUMMYFUNCTION("""COMPUTED_VALUE"""),1.4)</f>
        <v>1.4</v>
      </c>
      <c r="E2626" s="8" t="str">
        <f>IFERROR(__xludf.DUMMYFUNCTION("""COMPUTED_VALUE"""),"Real")</f>
        <v>Real</v>
      </c>
      <c r="G2626" s="8">
        <f t="shared" si="1"/>
        <v>2</v>
      </c>
      <c r="H2626" s="14">
        <f t="shared" si="2"/>
        <v>18</v>
      </c>
      <c r="I2626" s="15">
        <f t="shared" si="3"/>
        <v>9</v>
      </c>
    </row>
    <row r="2627">
      <c r="A2627" s="8" t="str">
        <f>IFERROR(__xludf.DUMMYFUNCTION("IF('(INGESTA)Datos_consumo_datadis'!A2627&lt;&gt;"""",SPLIT('(INGESTA)Datos_consumo_datadis'!A:A,"",""),"""")"),"ES0031408323131005HX0F")</f>
        <v>ES0031408323131005HX0F</v>
      </c>
      <c r="B2627" s="12">
        <f>IFERROR(__xludf.DUMMYFUNCTION("""COMPUTED_VALUE"""),44975.0)</f>
        <v>44975</v>
      </c>
      <c r="C2627" s="13">
        <f>IFERROR(__xludf.DUMMYFUNCTION("""COMPUTED_VALUE"""),0.4166666666666667)</f>
        <v>0.4166666667</v>
      </c>
      <c r="D2627" s="8">
        <f>IFERROR(__xludf.DUMMYFUNCTION("""COMPUTED_VALUE"""),1.645)</f>
        <v>1.645</v>
      </c>
      <c r="E2627" s="8" t="str">
        <f>IFERROR(__xludf.DUMMYFUNCTION("""COMPUTED_VALUE"""),"Real")</f>
        <v>Real</v>
      </c>
      <c r="G2627" s="8">
        <f t="shared" si="1"/>
        <v>2</v>
      </c>
      <c r="H2627" s="14">
        <f t="shared" si="2"/>
        <v>18</v>
      </c>
      <c r="I2627" s="15">
        <f t="shared" si="3"/>
        <v>10</v>
      </c>
    </row>
    <row r="2628">
      <c r="A2628" s="8" t="str">
        <f>IFERROR(__xludf.DUMMYFUNCTION("IF('(INGESTA)Datos_consumo_datadis'!A2628&lt;&gt;"""",SPLIT('(INGESTA)Datos_consumo_datadis'!A:A,"",""),"""")"),"ES0031408323131005HX0F")</f>
        <v>ES0031408323131005HX0F</v>
      </c>
      <c r="B2628" s="12">
        <f>IFERROR(__xludf.DUMMYFUNCTION("""COMPUTED_VALUE"""),44975.0)</f>
        <v>44975</v>
      </c>
      <c r="C2628" s="13">
        <f>IFERROR(__xludf.DUMMYFUNCTION("""COMPUTED_VALUE"""),0.4583333333333333)</f>
        <v>0.4583333333</v>
      </c>
      <c r="D2628" s="8">
        <f>IFERROR(__xludf.DUMMYFUNCTION("""COMPUTED_VALUE"""),1.244)</f>
        <v>1.244</v>
      </c>
      <c r="E2628" s="8" t="str">
        <f>IFERROR(__xludf.DUMMYFUNCTION("""COMPUTED_VALUE"""),"Real")</f>
        <v>Real</v>
      </c>
      <c r="G2628" s="8">
        <f t="shared" si="1"/>
        <v>2</v>
      </c>
      <c r="H2628" s="14">
        <f t="shared" si="2"/>
        <v>18</v>
      </c>
      <c r="I2628" s="15">
        <f t="shared" si="3"/>
        <v>11</v>
      </c>
    </row>
    <row r="2629">
      <c r="A2629" s="8" t="str">
        <f>IFERROR(__xludf.DUMMYFUNCTION("IF('(INGESTA)Datos_consumo_datadis'!A2629&lt;&gt;"""",SPLIT('(INGESTA)Datos_consumo_datadis'!A:A,"",""),"""")"),"ES0031408323131005HX0F")</f>
        <v>ES0031408323131005HX0F</v>
      </c>
      <c r="B2629" s="12">
        <f>IFERROR(__xludf.DUMMYFUNCTION("""COMPUTED_VALUE"""),44975.0)</f>
        <v>44975</v>
      </c>
      <c r="C2629" s="13">
        <f>IFERROR(__xludf.DUMMYFUNCTION("""COMPUTED_VALUE"""),0.5)</f>
        <v>0.5</v>
      </c>
      <c r="D2629" s="8">
        <f>IFERROR(__xludf.DUMMYFUNCTION("""COMPUTED_VALUE"""),0.576)</f>
        <v>0.576</v>
      </c>
      <c r="E2629" s="8" t="str">
        <f>IFERROR(__xludf.DUMMYFUNCTION("""COMPUTED_VALUE"""),"Real")</f>
        <v>Real</v>
      </c>
      <c r="G2629" s="8">
        <f t="shared" si="1"/>
        <v>2</v>
      </c>
      <c r="H2629" s="14">
        <f t="shared" si="2"/>
        <v>18</v>
      </c>
      <c r="I2629" s="15">
        <f t="shared" si="3"/>
        <v>12</v>
      </c>
    </row>
    <row r="2630">
      <c r="A2630" s="8" t="str">
        <f>IFERROR(__xludf.DUMMYFUNCTION("IF('(INGESTA)Datos_consumo_datadis'!A2630&lt;&gt;"""",SPLIT('(INGESTA)Datos_consumo_datadis'!A:A,"",""),"""")"),"ES0031408323131005HX0F")</f>
        <v>ES0031408323131005HX0F</v>
      </c>
      <c r="B2630" s="12">
        <f>IFERROR(__xludf.DUMMYFUNCTION("""COMPUTED_VALUE"""),44975.0)</f>
        <v>44975</v>
      </c>
      <c r="C2630" s="13">
        <f>IFERROR(__xludf.DUMMYFUNCTION("""COMPUTED_VALUE"""),0.5416666666666666)</f>
        <v>0.5416666667</v>
      </c>
      <c r="D2630" s="8">
        <f>IFERROR(__xludf.DUMMYFUNCTION("""COMPUTED_VALUE"""),2.393)</f>
        <v>2.393</v>
      </c>
      <c r="E2630" s="8" t="str">
        <f>IFERROR(__xludf.DUMMYFUNCTION("""COMPUTED_VALUE"""),"Real")</f>
        <v>Real</v>
      </c>
      <c r="G2630" s="8">
        <f t="shared" si="1"/>
        <v>2</v>
      </c>
      <c r="H2630" s="14">
        <f t="shared" si="2"/>
        <v>18</v>
      </c>
      <c r="I2630" s="15">
        <f t="shared" si="3"/>
        <v>13</v>
      </c>
    </row>
    <row r="2631">
      <c r="A2631" s="8" t="str">
        <f>IFERROR(__xludf.DUMMYFUNCTION("IF('(INGESTA)Datos_consumo_datadis'!A2631&lt;&gt;"""",SPLIT('(INGESTA)Datos_consumo_datadis'!A:A,"",""),"""")"),"ES0031408323131005HX0F")</f>
        <v>ES0031408323131005HX0F</v>
      </c>
      <c r="B2631" s="12">
        <f>IFERROR(__xludf.DUMMYFUNCTION("""COMPUTED_VALUE"""),44975.0)</f>
        <v>44975</v>
      </c>
      <c r="C2631" s="13">
        <f>IFERROR(__xludf.DUMMYFUNCTION("""COMPUTED_VALUE"""),0.5833333333333334)</f>
        <v>0.5833333333</v>
      </c>
      <c r="D2631" s="8">
        <f>IFERROR(__xludf.DUMMYFUNCTION("""COMPUTED_VALUE"""),1.112)</f>
        <v>1.112</v>
      </c>
      <c r="E2631" s="8" t="str">
        <f>IFERROR(__xludf.DUMMYFUNCTION("""COMPUTED_VALUE"""),"Real")</f>
        <v>Real</v>
      </c>
      <c r="G2631" s="8">
        <f t="shared" si="1"/>
        <v>2</v>
      </c>
      <c r="H2631" s="14">
        <f t="shared" si="2"/>
        <v>18</v>
      </c>
      <c r="I2631" s="15">
        <f t="shared" si="3"/>
        <v>14</v>
      </c>
    </row>
    <row r="2632">
      <c r="A2632" s="8" t="str">
        <f>IFERROR(__xludf.DUMMYFUNCTION("IF('(INGESTA)Datos_consumo_datadis'!A2632&lt;&gt;"""",SPLIT('(INGESTA)Datos_consumo_datadis'!A:A,"",""),"""")"),"ES0031408323131005HX0F")</f>
        <v>ES0031408323131005HX0F</v>
      </c>
      <c r="B2632" s="12">
        <f>IFERROR(__xludf.DUMMYFUNCTION("""COMPUTED_VALUE"""),44975.0)</f>
        <v>44975</v>
      </c>
      <c r="C2632" s="13">
        <f>IFERROR(__xludf.DUMMYFUNCTION("""COMPUTED_VALUE"""),0.625)</f>
        <v>0.625</v>
      </c>
      <c r="D2632" s="8">
        <f>IFERROR(__xludf.DUMMYFUNCTION("""COMPUTED_VALUE"""),0.03)</f>
        <v>0.03</v>
      </c>
      <c r="E2632" s="8" t="str">
        <f>IFERROR(__xludf.DUMMYFUNCTION("""COMPUTED_VALUE"""),"Real")</f>
        <v>Real</v>
      </c>
      <c r="G2632" s="8">
        <f t="shared" si="1"/>
        <v>2</v>
      </c>
      <c r="H2632" s="14">
        <f t="shared" si="2"/>
        <v>18</v>
      </c>
      <c r="I2632" s="15">
        <f t="shared" si="3"/>
        <v>15</v>
      </c>
    </row>
    <row r="2633">
      <c r="A2633" s="8" t="str">
        <f>IFERROR(__xludf.DUMMYFUNCTION("IF('(INGESTA)Datos_consumo_datadis'!A2633&lt;&gt;"""",SPLIT('(INGESTA)Datos_consumo_datadis'!A:A,"",""),"""")"),"ES0031408323131005HX0F")</f>
        <v>ES0031408323131005HX0F</v>
      </c>
      <c r="B2633" s="12">
        <f>IFERROR(__xludf.DUMMYFUNCTION("""COMPUTED_VALUE"""),44975.0)</f>
        <v>44975</v>
      </c>
      <c r="C2633" s="13">
        <f>IFERROR(__xludf.DUMMYFUNCTION("""COMPUTED_VALUE"""),0.6666666666666666)</f>
        <v>0.6666666667</v>
      </c>
      <c r="D2633" s="8">
        <f>IFERROR(__xludf.DUMMYFUNCTION("""COMPUTED_VALUE"""),0.082)</f>
        <v>0.082</v>
      </c>
      <c r="E2633" s="8" t="str">
        <f>IFERROR(__xludf.DUMMYFUNCTION("""COMPUTED_VALUE"""),"Real")</f>
        <v>Real</v>
      </c>
      <c r="G2633" s="8">
        <f t="shared" si="1"/>
        <v>2</v>
      </c>
      <c r="H2633" s="14">
        <f t="shared" si="2"/>
        <v>18</v>
      </c>
      <c r="I2633" s="15">
        <f t="shared" si="3"/>
        <v>16</v>
      </c>
    </row>
    <row r="2634">
      <c r="A2634" s="8" t="str">
        <f>IFERROR(__xludf.DUMMYFUNCTION("IF('(INGESTA)Datos_consumo_datadis'!A2634&lt;&gt;"""",SPLIT('(INGESTA)Datos_consumo_datadis'!A:A,"",""),"""")"),"ES0031408323131005HX0F")</f>
        <v>ES0031408323131005HX0F</v>
      </c>
      <c r="B2634" s="12">
        <f>IFERROR(__xludf.DUMMYFUNCTION("""COMPUTED_VALUE"""),44975.0)</f>
        <v>44975</v>
      </c>
      <c r="C2634" s="13">
        <f>IFERROR(__xludf.DUMMYFUNCTION("""COMPUTED_VALUE"""),0.7083333333333334)</f>
        <v>0.7083333333</v>
      </c>
      <c r="D2634" s="8">
        <f>IFERROR(__xludf.DUMMYFUNCTION("""COMPUTED_VALUE"""),0.046)</f>
        <v>0.046</v>
      </c>
      <c r="E2634" s="8" t="str">
        <f>IFERROR(__xludf.DUMMYFUNCTION("""COMPUTED_VALUE"""),"Real")</f>
        <v>Real</v>
      </c>
      <c r="G2634" s="8">
        <f t="shared" si="1"/>
        <v>2</v>
      </c>
      <c r="H2634" s="14">
        <f t="shared" si="2"/>
        <v>18</v>
      </c>
      <c r="I2634" s="15">
        <f t="shared" si="3"/>
        <v>17</v>
      </c>
    </row>
    <row r="2635">
      <c r="A2635" s="8" t="str">
        <f>IFERROR(__xludf.DUMMYFUNCTION("IF('(INGESTA)Datos_consumo_datadis'!A2635&lt;&gt;"""",SPLIT('(INGESTA)Datos_consumo_datadis'!A:A,"",""),"""")"),"ES0031408323131005HX0F")</f>
        <v>ES0031408323131005HX0F</v>
      </c>
      <c r="B2635" s="12">
        <f>IFERROR(__xludf.DUMMYFUNCTION("""COMPUTED_VALUE"""),44975.0)</f>
        <v>44975</v>
      </c>
      <c r="C2635" s="13">
        <f>IFERROR(__xludf.DUMMYFUNCTION("""COMPUTED_VALUE"""),0.75)</f>
        <v>0.75</v>
      </c>
      <c r="D2635" s="8">
        <f>IFERROR(__xludf.DUMMYFUNCTION("""COMPUTED_VALUE"""),0.016)</f>
        <v>0.016</v>
      </c>
      <c r="E2635" s="8" t="str">
        <f>IFERROR(__xludf.DUMMYFUNCTION("""COMPUTED_VALUE"""),"Real")</f>
        <v>Real</v>
      </c>
      <c r="G2635" s="8">
        <f t="shared" si="1"/>
        <v>2</v>
      </c>
      <c r="H2635" s="14">
        <f t="shared" si="2"/>
        <v>18</v>
      </c>
      <c r="I2635" s="15">
        <f t="shared" si="3"/>
        <v>18</v>
      </c>
    </row>
    <row r="2636">
      <c r="A2636" s="8" t="str">
        <f>IFERROR(__xludf.DUMMYFUNCTION("IF('(INGESTA)Datos_consumo_datadis'!A2636&lt;&gt;"""",SPLIT('(INGESTA)Datos_consumo_datadis'!A:A,"",""),"""")"),"ES0031408323131005HX0F")</f>
        <v>ES0031408323131005HX0F</v>
      </c>
      <c r="B2636" s="12">
        <f>IFERROR(__xludf.DUMMYFUNCTION("""COMPUTED_VALUE"""),44975.0)</f>
        <v>44975</v>
      </c>
      <c r="C2636" s="13">
        <f>IFERROR(__xludf.DUMMYFUNCTION("""COMPUTED_VALUE"""),0.7916666666666666)</f>
        <v>0.7916666667</v>
      </c>
      <c r="D2636" s="8">
        <f>IFERROR(__xludf.DUMMYFUNCTION("""COMPUTED_VALUE"""),0.381)</f>
        <v>0.381</v>
      </c>
      <c r="E2636" s="8" t="str">
        <f>IFERROR(__xludf.DUMMYFUNCTION("""COMPUTED_VALUE"""),"Real")</f>
        <v>Real</v>
      </c>
      <c r="G2636" s="8">
        <f t="shared" si="1"/>
        <v>2</v>
      </c>
      <c r="H2636" s="14">
        <f t="shared" si="2"/>
        <v>18</v>
      </c>
      <c r="I2636" s="15">
        <f t="shared" si="3"/>
        <v>19</v>
      </c>
    </row>
    <row r="2637">
      <c r="A2637" s="8" t="str">
        <f>IFERROR(__xludf.DUMMYFUNCTION("IF('(INGESTA)Datos_consumo_datadis'!A2637&lt;&gt;"""",SPLIT('(INGESTA)Datos_consumo_datadis'!A:A,"",""),"""")"),"ES0031408323131005HX0F")</f>
        <v>ES0031408323131005HX0F</v>
      </c>
      <c r="B2637" s="12">
        <f>IFERROR(__xludf.DUMMYFUNCTION("""COMPUTED_VALUE"""),44975.0)</f>
        <v>44975</v>
      </c>
      <c r="C2637" s="13">
        <f>IFERROR(__xludf.DUMMYFUNCTION("""COMPUTED_VALUE"""),0.8333333333333334)</f>
        <v>0.8333333333</v>
      </c>
      <c r="D2637" s="8">
        <f>IFERROR(__xludf.DUMMYFUNCTION("""COMPUTED_VALUE"""),0.097)</f>
        <v>0.097</v>
      </c>
      <c r="E2637" s="8" t="str">
        <f>IFERROR(__xludf.DUMMYFUNCTION("""COMPUTED_VALUE"""),"Real")</f>
        <v>Real</v>
      </c>
      <c r="G2637" s="8">
        <f t="shared" si="1"/>
        <v>2</v>
      </c>
      <c r="H2637" s="14">
        <f t="shared" si="2"/>
        <v>18</v>
      </c>
      <c r="I2637" s="15">
        <f t="shared" si="3"/>
        <v>20</v>
      </c>
    </row>
    <row r="2638">
      <c r="A2638" s="8" t="str">
        <f>IFERROR(__xludf.DUMMYFUNCTION("IF('(INGESTA)Datos_consumo_datadis'!A2638&lt;&gt;"""",SPLIT('(INGESTA)Datos_consumo_datadis'!A:A,"",""),"""")"),"ES0031408323131005HX0F")</f>
        <v>ES0031408323131005HX0F</v>
      </c>
      <c r="B2638" s="12">
        <f>IFERROR(__xludf.DUMMYFUNCTION("""COMPUTED_VALUE"""),44975.0)</f>
        <v>44975</v>
      </c>
      <c r="C2638" s="13">
        <f>IFERROR(__xludf.DUMMYFUNCTION("""COMPUTED_VALUE"""),0.875)</f>
        <v>0.875</v>
      </c>
      <c r="D2638" s="8">
        <f>IFERROR(__xludf.DUMMYFUNCTION("""COMPUTED_VALUE"""),0.044)</f>
        <v>0.044</v>
      </c>
      <c r="E2638" s="8" t="str">
        <f>IFERROR(__xludf.DUMMYFUNCTION("""COMPUTED_VALUE"""),"Real")</f>
        <v>Real</v>
      </c>
      <c r="G2638" s="8">
        <f t="shared" si="1"/>
        <v>2</v>
      </c>
      <c r="H2638" s="14">
        <f t="shared" si="2"/>
        <v>18</v>
      </c>
      <c r="I2638" s="15">
        <f t="shared" si="3"/>
        <v>21</v>
      </c>
    </row>
    <row r="2639">
      <c r="A2639" s="8" t="str">
        <f>IFERROR(__xludf.DUMMYFUNCTION("IF('(INGESTA)Datos_consumo_datadis'!A2639&lt;&gt;"""",SPLIT('(INGESTA)Datos_consumo_datadis'!A:A,"",""),"""")"),"ES0031408323131005HX0F")</f>
        <v>ES0031408323131005HX0F</v>
      </c>
      <c r="B2639" s="12">
        <f>IFERROR(__xludf.DUMMYFUNCTION("""COMPUTED_VALUE"""),44975.0)</f>
        <v>44975</v>
      </c>
      <c r="C2639" s="13">
        <f>IFERROR(__xludf.DUMMYFUNCTION("""COMPUTED_VALUE"""),0.9166666666666666)</f>
        <v>0.9166666667</v>
      </c>
      <c r="D2639" s="8">
        <f>IFERROR(__xludf.DUMMYFUNCTION("""COMPUTED_VALUE"""),0.016)</f>
        <v>0.016</v>
      </c>
      <c r="E2639" s="8" t="str">
        <f>IFERROR(__xludf.DUMMYFUNCTION("""COMPUTED_VALUE"""),"Real")</f>
        <v>Real</v>
      </c>
      <c r="G2639" s="8">
        <f t="shared" si="1"/>
        <v>2</v>
      </c>
      <c r="H2639" s="14">
        <f t="shared" si="2"/>
        <v>18</v>
      </c>
      <c r="I2639" s="15">
        <f t="shared" si="3"/>
        <v>22</v>
      </c>
    </row>
    <row r="2640">
      <c r="A2640" s="8" t="str">
        <f>IFERROR(__xludf.DUMMYFUNCTION("IF('(INGESTA)Datos_consumo_datadis'!A2640&lt;&gt;"""",SPLIT('(INGESTA)Datos_consumo_datadis'!A:A,"",""),"""")"),"ES0031408323131005HX0F")</f>
        <v>ES0031408323131005HX0F</v>
      </c>
      <c r="B2640" s="12">
        <f>IFERROR(__xludf.DUMMYFUNCTION("""COMPUTED_VALUE"""),44975.0)</f>
        <v>44975</v>
      </c>
      <c r="C2640" s="13">
        <f>IFERROR(__xludf.DUMMYFUNCTION("""COMPUTED_VALUE"""),0.9583333333333334)</f>
        <v>0.9583333333</v>
      </c>
      <c r="D2640" s="8">
        <f>IFERROR(__xludf.DUMMYFUNCTION("""COMPUTED_VALUE"""),0.907)</f>
        <v>0.907</v>
      </c>
      <c r="E2640" s="8" t="str">
        <f>IFERROR(__xludf.DUMMYFUNCTION("""COMPUTED_VALUE"""),"Real")</f>
        <v>Real</v>
      </c>
      <c r="G2640" s="8">
        <f t="shared" si="1"/>
        <v>2</v>
      </c>
      <c r="H2640" s="14">
        <f t="shared" si="2"/>
        <v>18</v>
      </c>
      <c r="I2640" s="15">
        <f t="shared" si="3"/>
        <v>23</v>
      </c>
    </row>
    <row r="2641">
      <c r="A2641" s="8" t="str">
        <f>IFERROR(__xludf.DUMMYFUNCTION("IF('(INGESTA)Datos_consumo_datadis'!A2641&lt;&gt;"""",SPLIT('(INGESTA)Datos_consumo_datadis'!A:A,"",""),"""")"),"ES0031408323131005HX0F")</f>
        <v>ES0031408323131005HX0F</v>
      </c>
      <c r="B2641" s="12">
        <f>IFERROR(__xludf.DUMMYFUNCTION("""COMPUTED_VALUE"""),44975.0)</f>
        <v>44975</v>
      </c>
      <c r="C2641" s="16">
        <f>IFERROR(__xludf.DUMMYFUNCTION("""COMPUTED_VALUE"""),1.0)</f>
        <v>1</v>
      </c>
      <c r="D2641" s="8">
        <f>IFERROR(__xludf.DUMMYFUNCTION("""COMPUTED_VALUE"""),2.38)</f>
        <v>2.38</v>
      </c>
      <c r="E2641" s="8" t="str">
        <f>IFERROR(__xludf.DUMMYFUNCTION("""COMPUTED_VALUE"""),"Real")</f>
        <v>Real</v>
      </c>
      <c r="G2641" s="8">
        <f t="shared" si="1"/>
        <v>2</v>
      </c>
      <c r="H2641" s="14">
        <f t="shared" si="2"/>
        <v>18</v>
      </c>
      <c r="I2641" s="15">
        <f t="shared" si="3"/>
        <v>0</v>
      </c>
    </row>
    <row r="2642">
      <c r="A2642" s="8" t="str">
        <f>IFERROR(__xludf.DUMMYFUNCTION("IF('(INGESTA)Datos_consumo_datadis'!A2642&lt;&gt;"""",SPLIT('(INGESTA)Datos_consumo_datadis'!A:A,"",""),"""")"),"ES0031408323131005HX0F")</f>
        <v>ES0031408323131005HX0F</v>
      </c>
      <c r="B2642" s="12">
        <f>IFERROR(__xludf.DUMMYFUNCTION("""COMPUTED_VALUE"""),44976.0)</f>
        <v>44976</v>
      </c>
      <c r="C2642" s="13">
        <f>IFERROR(__xludf.DUMMYFUNCTION("""COMPUTED_VALUE"""),0.041666666666666664)</f>
        <v>0.04166666667</v>
      </c>
      <c r="D2642" s="8">
        <f>IFERROR(__xludf.DUMMYFUNCTION("""COMPUTED_VALUE"""),1.895)</f>
        <v>1.895</v>
      </c>
      <c r="E2642" s="8" t="str">
        <f>IFERROR(__xludf.DUMMYFUNCTION("""COMPUTED_VALUE"""),"Real")</f>
        <v>Real</v>
      </c>
      <c r="G2642" s="8">
        <f t="shared" si="1"/>
        <v>2</v>
      </c>
      <c r="H2642" s="14">
        <f t="shared" si="2"/>
        <v>19</v>
      </c>
      <c r="I2642" s="15">
        <f t="shared" si="3"/>
        <v>1</v>
      </c>
    </row>
    <row r="2643">
      <c r="A2643" s="8" t="str">
        <f>IFERROR(__xludf.DUMMYFUNCTION("IF('(INGESTA)Datos_consumo_datadis'!A2643&lt;&gt;"""",SPLIT('(INGESTA)Datos_consumo_datadis'!A:A,"",""),"""")"),"ES0031408323131005HX0F")</f>
        <v>ES0031408323131005HX0F</v>
      </c>
      <c r="B2643" s="12">
        <f>IFERROR(__xludf.DUMMYFUNCTION("""COMPUTED_VALUE"""),44976.0)</f>
        <v>44976</v>
      </c>
      <c r="C2643" s="13">
        <f>IFERROR(__xludf.DUMMYFUNCTION("""COMPUTED_VALUE"""),0.08333333333333333)</f>
        <v>0.08333333333</v>
      </c>
      <c r="D2643" s="8">
        <f>IFERROR(__xludf.DUMMYFUNCTION("""COMPUTED_VALUE"""),1.321)</f>
        <v>1.321</v>
      </c>
      <c r="E2643" s="8" t="str">
        <f>IFERROR(__xludf.DUMMYFUNCTION("""COMPUTED_VALUE"""),"Real")</f>
        <v>Real</v>
      </c>
      <c r="G2643" s="8">
        <f t="shared" si="1"/>
        <v>2</v>
      </c>
      <c r="H2643" s="14">
        <f t="shared" si="2"/>
        <v>19</v>
      </c>
      <c r="I2643" s="15">
        <f t="shared" si="3"/>
        <v>2</v>
      </c>
    </row>
    <row r="2644">
      <c r="A2644" s="8" t="str">
        <f>IFERROR(__xludf.DUMMYFUNCTION("IF('(INGESTA)Datos_consumo_datadis'!A2644&lt;&gt;"""",SPLIT('(INGESTA)Datos_consumo_datadis'!A:A,"",""),"""")"),"ES0031408323131005HX0F")</f>
        <v>ES0031408323131005HX0F</v>
      </c>
      <c r="B2644" s="12">
        <f>IFERROR(__xludf.DUMMYFUNCTION("""COMPUTED_VALUE"""),44976.0)</f>
        <v>44976</v>
      </c>
      <c r="C2644" s="13">
        <f>IFERROR(__xludf.DUMMYFUNCTION("""COMPUTED_VALUE"""),0.125)</f>
        <v>0.125</v>
      </c>
      <c r="D2644" s="8">
        <f>IFERROR(__xludf.DUMMYFUNCTION("""COMPUTED_VALUE"""),0.824)</f>
        <v>0.824</v>
      </c>
      <c r="E2644" s="8" t="str">
        <f>IFERROR(__xludf.DUMMYFUNCTION("""COMPUTED_VALUE"""),"Real")</f>
        <v>Real</v>
      </c>
      <c r="G2644" s="8">
        <f t="shared" si="1"/>
        <v>2</v>
      </c>
      <c r="H2644" s="14">
        <f t="shared" si="2"/>
        <v>19</v>
      </c>
      <c r="I2644" s="15">
        <f t="shared" si="3"/>
        <v>3</v>
      </c>
    </row>
    <row r="2645">
      <c r="A2645" s="8" t="str">
        <f>IFERROR(__xludf.DUMMYFUNCTION("IF('(INGESTA)Datos_consumo_datadis'!A2645&lt;&gt;"""",SPLIT('(INGESTA)Datos_consumo_datadis'!A:A,"",""),"""")"),"ES0031408323131005HX0F")</f>
        <v>ES0031408323131005HX0F</v>
      </c>
      <c r="B2645" s="12">
        <f>IFERROR(__xludf.DUMMYFUNCTION("""COMPUTED_VALUE"""),44976.0)</f>
        <v>44976</v>
      </c>
      <c r="C2645" s="13">
        <f>IFERROR(__xludf.DUMMYFUNCTION("""COMPUTED_VALUE"""),0.16666666666666666)</f>
        <v>0.1666666667</v>
      </c>
      <c r="D2645" s="8">
        <f>IFERROR(__xludf.DUMMYFUNCTION("""COMPUTED_VALUE"""),0.454)</f>
        <v>0.454</v>
      </c>
      <c r="E2645" s="8" t="str">
        <f>IFERROR(__xludf.DUMMYFUNCTION("""COMPUTED_VALUE"""),"Real")</f>
        <v>Real</v>
      </c>
      <c r="G2645" s="8">
        <f t="shared" si="1"/>
        <v>2</v>
      </c>
      <c r="H2645" s="14">
        <f t="shared" si="2"/>
        <v>19</v>
      </c>
      <c r="I2645" s="15">
        <f t="shared" si="3"/>
        <v>4</v>
      </c>
    </row>
    <row r="2646">
      <c r="A2646" s="8" t="str">
        <f>IFERROR(__xludf.DUMMYFUNCTION("IF('(INGESTA)Datos_consumo_datadis'!A2646&lt;&gt;"""",SPLIT('(INGESTA)Datos_consumo_datadis'!A:A,"",""),"""")"),"ES0031408323131005HX0F")</f>
        <v>ES0031408323131005HX0F</v>
      </c>
      <c r="B2646" s="12">
        <f>IFERROR(__xludf.DUMMYFUNCTION("""COMPUTED_VALUE"""),44976.0)</f>
        <v>44976</v>
      </c>
      <c r="C2646" s="13">
        <f>IFERROR(__xludf.DUMMYFUNCTION("""COMPUTED_VALUE"""),0.20833333333333334)</f>
        <v>0.2083333333</v>
      </c>
      <c r="D2646" s="8">
        <f>IFERROR(__xludf.DUMMYFUNCTION("""COMPUTED_VALUE"""),0.253)</f>
        <v>0.253</v>
      </c>
      <c r="E2646" s="8" t="str">
        <f>IFERROR(__xludf.DUMMYFUNCTION("""COMPUTED_VALUE"""),"Real")</f>
        <v>Real</v>
      </c>
      <c r="G2646" s="8">
        <f t="shared" si="1"/>
        <v>2</v>
      </c>
      <c r="H2646" s="14">
        <f t="shared" si="2"/>
        <v>19</v>
      </c>
      <c r="I2646" s="15">
        <f t="shared" si="3"/>
        <v>5</v>
      </c>
    </row>
    <row r="2647">
      <c r="A2647" s="8" t="str">
        <f>IFERROR(__xludf.DUMMYFUNCTION("IF('(INGESTA)Datos_consumo_datadis'!A2647&lt;&gt;"""",SPLIT('(INGESTA)Datos_consumo_datadis'!A:A,"",""),"""")"),"ES0031408323131005HX0F")</f>
        <v>ES0031408323131005HX0F</v>
      </c>
      <c r="B2647" s="12">
        <f>IFERROR(__xludf.DUMMYFUNCTION("""COMPUTED_VALUE"""),44976.0)</f>
        <v>44976</v>
      </c>
      <c r="C2647" s="13">
        <f>IFERROR(__xludf.DUMMYFUNCTION("""COMPUTED_VALUE"""),0.25)</f>
        <v>0.25</v>
      </c>
      <c r="D2647" s="8">
        <f>IFERROR(__xludf.DUMMYFUNCTION("""COMPUTED_VALUE"""),0.085)</f>
        <v>0.085</v>
      </c>
      <c r="E2647" s="8" t="str">
        <f>IFERROR(__xludf.DUMMYFUNCTION("""COMPUTED_VALUE"""),"Real")</f>
        <v>Real</v>
      </c>
      <c r="G2647" s="8">
        <f t="shared" si="1"/>
        <v>2</v>
      </c>
      <c r="H2647" s="14">
        <f t="shared" si="2"/>
        <v>19</v>
      </c>
      <c r="I2647" s="15">
        <f t="shared" si="3"/>
        <v>6</v>
      </c>
    </row>
    <row r="2648">
      <c r="A2648" s="8" t="str">
        <f>IFERROR(__xludf.DUMMYFUNCTION("IF('(INGESTA)Datos_consumo_datadis'!A2648&lt;&gt;"""",SPLIT('(INGESTA)Datos_consumo_datadis'!A:A,"",""),"""")"),"ES0031408323131005HX0F")</f>
        <v>ES0031408323131005HX0F</v>
      </c>
      <c r="B2648" s="12">
        <f>IFERROR(__xludf.DUMMYFUNCTION("""COMPUTED_VALUE"""),44976.0)</f>
        <v>44976</v>
      </c>
      <c r="C2648" s="13">
        <f>IFERROR(__xludf.DUMMYFUNCTION("""COMPUTED_VALUE"""),0.2916666666666667)</f>
        <v>0.2916666667</v>
      </c>
      <c r="D2648" s="8">
        <f>IFERROR(__xludf.DUMMYFUNCTION("""COMPUTED_VALUE"""),0.028)</f>
        <v>0.028</v>
      </c>
      <c r="E2648" s="8" t="str">
        <f>IFERROR(__xludf.DUMMYFUNCTION("""COMPUTED_VALUE"""),"Real")</f>
        <v>Real</v>
      </c>
      <c r="G2648" s="8">
        <f t="shared" si="1"/>
        <v>2</v>
      </c>
      <c r="H2648" s="14">
        <f t="shared" si="2"/>
        <v>19</v>
      </c>
      <c r="I2648" s="15">
        <f t="shared" si="3"/>
        <v>7</v>
      </c>
    </row>
    <row r="2649">
      <c r="A2649" s="8" t="str">
        <f>IFERROR(__xludf.DUMMYFUNCTION("IF('(INGESTA)Datos_consumo_datadis'!A2649&lt;&gt;"""",SPLIT('(INGESTA)Datos_consumo_datadis'!A:A,"",""),"""")"),"ES0031408323131005HX0F")</f>
        <v>ES0031408323131005HX0F</v>
      </c>
      <c r="B2649" s="12">
        <f>IFERROR(__xludf.DUMMYFUNCTION("""COMPUTED_VALUE"""),44976.0)</f>
        <v>44976</v>
      </c>
      <c r="C2649" s="13">
        <f>IFERROR(__xludf.DUMMYFUNCTION("""COMPUTED_VALUE"""),0.3333333333333333)</f>
        <v>0.3333333333</v>
      </c>
      <c r="D2649" s="8">
        <f>IFERROR(__xludf.DUMMYFUNCTION("""COMPUTED_VALUE"""),0.053)</f>
        <v>0.053</v>
      </c>
      <c r="E2649" s="8" t="str">
        <f>IFERROR(__xludf.DUMMYFUNCTION("""COMPUTED_VALUE"""),"Real")</f>
        <v>Real</v>
      </c>
      <c r="G2649" s="8">
        <f t="shared" si="1"/>
        <v>2</v>
      </c>
      <c r="H2649" s="14">
        <f t="shared" si="2"/>
        <v>19</v>
      </c>
      <c r="I2649" s="15">
        <f t="shared" si="3"/>
        <v>8</v>
      </c>
    </row>
    <row r="2650">
      <c r="A2650" s="8" t="str">
        <f>IFERROR(__xludf.DUMMYFUNCTION("IF('(INGESTA)Datos_consumo_datadis'!A2650&lt;&gt;"""",SPLIT('(INGESTA)Datos_consumo_datadis'!A:A,"",""),"""")"),"ES0031408323131005HX0F")</f>
        <v>ES0031408323131005HX0F</v>
      </c>
      <c r="B2650" s="12">
        <f>IFERROR(__xludf.DUMMYFUNCTION("""COMPUTED_VALUE"""),44976.0)</f>
        <v>44976</v>
      </c>
      <c r="C2650" s="13">
        <f>IFERROR(__xludf.DUMMYFUNCTION("""COMPUTED_VALUE"""),0.375)</f>
        <v>0.375</v>
      </c>
      <c r="D2650" s="8">
        <f>IFERROR(__xludf.DUMMYFUNCTION("""COMPUTED_VALUE"""),0.96)</f>
        <v>0.96</v>
      </c>
      <c r="E2650" s="8" t="str">
        <f>IFERROR(__xludf.DUMMYFUNCTION("""COMPUTED_VALUE"""),"Real")</f>
        <v>Real</v>
      </c>
      <c r="G2650" s="8">
        <f t="shared" si="1"/>
        <v>2</v>
      </c>
      <c r="H2650" s="14">
        <f t="shared" si="2"/>
        <v>19</v>
      </c>
      <c r="I2650" s="15">
        <f t="shared" si="3"/>
        <v>9</v>
      </c>
    </row>
    <row r="2651">
      <c r="A2651" s="8" t="str">
        <f>IFERROR(__xludf.DUMMYFUNCTION("IF('(INGESTA)Datos_consumo_datadis'!A2651&lt;&gt;"""",SPLIT('(INGESTA)Datos_consumo_datadis'!A:A,"",""),"""")"),"ES0031408323131005HX0F")</f>
        <v>ES0031408323131005HX0F</v>
      </c>
      <c r="B2651" s="12">
        <f>IFERROR(__xludf.DUMMYFUNCTION("""COMPUTED_VALUE"""),44976.0)</f>
        <v>44976</v>
      </c>
      <c r="C2651" s="13">
        <f>IFERROR(__xludf.DUMMYFUNCTION("""COMPUTED_VALUE"""),0.4166666666666667)</f>
        <v>0.4166666667</v>
      </c>
      <c r="D2651" s="8">
        <f>IFERROR(__xludf.DUMMYFUNCTION("""COMPUTED_VALUE"""),0.234)</f>
        <v>0.234</v>
      </c>
      <c r="E2651" s="8" t="str">
        <f>IFERROR(__xludf.DUMMYFUNCTION("""COMPUTED_VALUE"""),"Real")</f>
        <v>Real</v>
      </c>
      <c r="G2651" s="8">
        <f t="shared" si="1"/>
        <v>2</v>
      </c>
      <c r="H2651" s="14">
        <f t="shared" si="2"/>
        <v>19</v>
      </c>
      <c r="I2651" s="15">
        <f t="shared" si="3"/>
        <v>10</v>
      </c>
    </row>
    <row r="2652">
      <c r="A2652" s="8" t="str">
        <f>IFERROR(__xludf.DUMMYFUNCTION("IF('(INGESTA)Datos_consumo_datadis'!A2652&lt;&gt;"""",SPLIT('(INGESTA)Datos_consumo_datadis'!A:A,"",""),"""")"),"ES0031408323131005HX0F")</f>
        <v>ES0031408323131005HX0F</v>
      </c>
      <c r="B2652" s="12">
        <f>IFERROR(__xludf.DUMMYFUNCTION("""COMPUTED_VALUE"""),44976.0)</f>
        <v>44976</v>
      </c>
      <c r="C2652" s="13">
        <f>IFERROR(__xludf.DUMMYFUNCTION("""COMPUTED_VALUE"""),0.4583333333333333)</f>
        <v>0.4583333333</v>
      </c>
      <c r="D2652" s="8">
        <f>IFERROR(__xludf.DUMMYFUNCTION("""COMPUTED_VALUE"""),0.366)</f>
        <v>0.366</v>
      </c>
      <c r="E2652" s="8" t="str">
        <f>IFERROR(__xludf.DUMMYFUNCTION("""COMPUTED_VALUE"""),"Real")</f>
        <v>Real</v>
      </c>
      <c r="G2652" s="8">
        <f t="shared" si="1"/>
        <v>2</v>
      </c>
      <c r="H2652" s="14">
        <f t="shared" si="2"/>
        <v>19</v>
      </c>
      <c r="I2652" s="15">
        <f t="shared" si="3"/>
        <v>11</v>
      </c>
    </row>
    <row r="2653">
      <c r="A2653" s="8" t="str">
        <f>IFERROR(__xludf.DUMMYFUNCTION("IF('(INGESTA)Datos_consumo_datadis'!A2653&lt;&gt;"""",SPLIT('(INGESTA)Datos_consumo_datadis'!A:A,"",""),"""")"),"ES0031408323131005HX0F")</f>
        <v>ES0031408323131005HX0F</v>
      </c>
      <c r="B2653" s="12">
        <f>IFERROR(__xludf.DUMMYFUNCTION("""COMPUTED_VALUE"""),44976.0)</f>
        <v>44976</v>
      </c>
      <c r="C2653" s="13">
        <f>IFERROR(__xludf.DUMMYFUNCTION("""COMPUTED_VALUE"""),0.5)</f>
        <v>0.5</v>
      </c>
      <c r="D2653" s="8">
        <f>IFERROR(__xludf.DUMMYFUNCTION("""COMPUTED_VALUE"""),0.055)</f>
        <v>0.055</v>
      </c>
      <c r="E2653" s="8" t="str">
        <f>IFERROR(__xludf.DUMMYFUNCTION("""COMPUTED_VALUE"""),"Real")</f>
        <v>Real</v>
      </c>
      <c r="G2653" s="8">
        <f t="shared" si="1"/>
        <v>2</v>
      </c>
      <c r="H2653" s="14">
        <f t="shared" si="2"/>
        <v>19</v>
      </c>
      <c r="I2653" s="15">
        <f t="shared" si="3"/>
        <v>12</v>
      </c>
    </row>
    <row r="2654">
      <c r="A2654" s="8" t="str">
        <f>IFERROR(__xludf.DUMMYFUNCTION("IF('(INGESTA)Datos_consumo_datadis'!A2654&lt;&gt;"""",SPLIT('(INGESTA)Datos_consumo_datadis'!A:A,"",""),"""")"),"ES0031408323131005HX0F")</f>
        <v>ES0031408323131005HX0F</v>
      </c>
      <c r="B2654" s="12">
        <f>IFERROR(__xludf.DUMMYFUNCTION("""COMPUTED_VALUE"""),44976.0)</f>
        <v>44976</v>
      </c>
      <c r="C2654" s="13">
        <f>IFERROR(__xludf.DUMMYFUNCTION("""COMPUTED_VALUE"""),0.5416666666666666)</f>
        <v>0.5416666667</v>
      </c>
      <c r="D2654" s="8">
        <f>IFERROR(__xludf.DUMMYFUNCTION("""COMPUTED_VALUE"""),0.042)</f>
        <v>0.042</v>
      </c>
      <c r="E2654" s="8" t="str">
        <f>IFERROR(__xludf.DUMMYFUNCTION("""COMPUTED_VALUE"""),"Real")</f>
        <v>Real</v>
      </c>
      <c r="G2654" s="8">
        <f t="shared" si="1"/>
        <v>2</v>
      </c>
      <c r="H2654" s="14">
        <f t="shared" si="2"/>
        <v>19</v>
      </c>
      <c r="I2654" s="15">
        <f t="shared" si="3"/>
        <v>13</v>
      </c>
    </row>
    <row r="2655">
      <c r="A2655" s="8" t="str">
        <f>IFERROR(__xludf.DUMMYFUNCTION("IF('(INGESTA)Datos_consumo_datadis'!A2655&lt;&gt;"""",SPLIT('(INGESTA)Datos_consumo_datadis'!A:A,"",""),"""")"),"ES0031408323131005HX0F")</f>
        <v>ES0031408323131005HX0F</v>
      </c>
      <c r="B2655" s="12">
        <f>IFERROR(__xludf.DUMMYFUNCTION("""COMPUTED_VALUE"""),44976.0)</f>
        <v>44976</v>
      </c>
      <c r="C2655" s="13">
        <f>IFERROR(__xludf.DUMMYFUNCTION("""COMPUTED_VALUE"""),0.5833333333333334)</f>
        <v>0.5833333333</v>
      </c>
      <c r="D2655" s="8">
        <f>IFERROR(__xludf.DUMMYFUNCTION("""COMPUTED_VALUE"""),0.026)</f>
        <v>0.026</v>
      </c>
      <c r="E2655" s="8" t="str">
        <f>IFERROR(__xludf.DUMMYFUNCTION("""COMPUTED_VALUE"""),"Real")</f>
        <v>Real</v>
      </c>
      <c r="G2655" s="8">
        <f t="shared" si="1"/>
        <v>2</v>
      </c>
      <c r="H2655" s="14">
        <f t="shared" si="2"/>
        <v>19</v>
      </c>
      <c r="I2655" s="15">
        <f t="shared" si="3"/>
        <v>14</v>
      </c>
    </row>
    <row r="2656">
      <c r="A2656" s="8" t="str">
        <f>IFERROR(__xludf.DUMMYFUNCTION("IF('(INGESTA)Datos_consumo_datadis'!A2656&lt;&gt;"""",SPLIT('(INGESTA)Datos_consumo_datadis'!A:A,"",""),"""")"),"ES0031408323131005HX0F")</f>
        <v>ES0031408323131005HX0F</v>
      </c>
      <c r="B2656" s="12">
        <f>IFERROR(__xludf.DUMMYFUNCTION("""COMPUTED_VALUE"""),44976.0)</f>
        <v>44976</v>
      </c>
      <c r="C2656" s="13">
        <f>IFERROR(__xludf.DUMMYFUNCTION("""COMPUTED_VALUE"""),0.625)</f>
        <v>0.625</v>
      </c>
      <c r="D2656" s="8">
        <f>IFERROR(__xludf.DUMMYFUNCTION("""COMPUTED_VALUE"""),0.075)</f>
        <v>0.075</v>
      </c>
      <c r="E2656" s="8" t="str">
        <f>IFERROR(__xludf.DUMMYFUNCTION("""COMPUTED_VALUE"""),"Real")</f>
        <v>Real</v>
      </c>
      <c r="G2656" s="8">
        <f t="shared" si="1"/>
        <v>2</v>
      </c>
      <c r="H2656" s="14">
        <f t="shared" si="2"/>
        <v>19</v>
      </c>
      <c r="I2656" s="15">
        <f t="shared" si="3"/>
        <v>15</v>
      </c>
    </row>
    <row r="2657">
      <c r="A2657" s="8" t="str">
        <f>IFERROR(__xludf.DUMMYFUNCTION("IF('(INGESTA)Datos_consumo_datadis'!A2657&lt;&gt;"""",SPLIT('(INGESTA)Datos_consumo_datadis'!A:A,"",""),"""")"),"ES0031408323131005HX0F")</f>
        <v>ES0031408323131005HX0F</v>
      </c>
      <c r="B2657" s="12">
        <f>IFERROR(__xludf.DUMMYFUNCTION("""COMPUTED_VALUE"""),44976.0)</f>
        <v>44976</v>
      </c>
      <c r="C2657" s="13">
        <f>IFERROR(__xludf.DUMMYFUNCTION("""COMPUTED_VALUE"""),0.6666666666666666)</f>
        <v>0.6666666667</v>
      </c>
      <c r="D2657" s="8">
        <f>IFERROR(__xludf.DUMMYFUNCTION("""COMPUTED_VALUE"""),0.297)</f>
        <v>0.297</v>
      </c>
      <c r="E2657" s="8" t="str">
        <f>IFERROR(__xludf.DUMMYFUNCTION("""COMPUTED_VALUE"""),"Real")</f>
        <v>Real</v>
      </c>
      <c r="G2657" s="8">
        <f t="shared" si="1"/>
        <v>2</v>
      </c>
      <c r="H2657" s="14">
        <f t="shared" si="2"/>
        <v>19</v>
      </c>
      <c r="I2657" s="15">
        <f t="shared" si="3"/>
        <v>16</v>
      </c>
    </row>
    <row r="2658">
      <c r="A2658" s="8" t="str">
        <f>IFERROR(__xludf.DUMMYFUNCTION("IF('(INGESTA)Datos_consumo_datadis'!A2658&lt;&gt;"""",SPLIT('(INGESTA)Datos_consumo_datadis'!A:A,"",""),"""")"),"ES0031408323131005HX0F")</f>
        <v>ES0031408323131005HX0F</v>
      </c>
      <c r="B2658" s="12">
        <f>IFERROR(__xludf.DUMMYFUNCTION("""COMPUTED_VALUE"""),44976.0)</f>
        <v>44976</v>
      </c>
      <c r="C2658" s="13">
        <f>IFERROR(__xludf.DUMMYFUNCTION("""COMPUTED_VALUE"""),0.7083333333333334)</f>
        <v>0.7083333333</v>
      </c>
      <c r="D2658" s="8">
        <f>IFERROR(__xludf.DUMMYFUNCTION("""COMPUTED_VALUE"""),0.017)</f>
        <v>0.017</v>
      </c>
      <c r="E2658" s="8" t="str">
        <f>IFERROR(__xludf.DUMMYFUNCTION("""COMPUTED_VALUE"""),"Real")</f>
        <v>Real</v>
      </c>
      <c r="G2658" s="8">
        <f t="shared" si="1"/>
        <v>2</v>
      </c>
      <c r="H2658" s="14">
        <f t="shared" si="2"/>
        <v>19</v>
      </c>
      <c r="I2658" s="15">
        <f t="shared" si="3"/>
        <v>17</v>
      </c>
    </row>
    <row r="2659">
      <c r="A2659" s="8" t="str">
        <f>IFERROR(__xludf.DUMMYFUNCTION("IF('(INGESTA)Datos_consumo_datadis'!A2659&lt;&gt;"""",SPLIT('(INGESTA)Datos_consumo_datadis'!A:A,"",""),"""")"),"ES0031408323131005HX0F")</f>
        <v>ES0031408323131005HX0F</v>
      </c>
      <c r="B2659" s="12">
        <f>IFERROR(__xludf.DUMMYFUNCTION("""COMPUTED_VALUE"""),44976.0)</f>
        <v>44976</v>
      </c>
      <c r="C2659" s="13">
        <f>IFERROR(__xludf.DUMMYFUNCTION("""COMPUTED_VALUE"""),0.75)</f>
        <v>0.75</v>
      </c>
      <c r="D2659" s="8">
        <f>IFERROR(__xludf.DUMMYFUNCTION("""COMPUTED_VALUE"""),0.588)</f>
        <v>0.588</v>
      </c>
      <c r="E2659" s="8" t="str">
        <f>IFERROR(__xludf.DUMMYFUNCTION("""COMPUTED_VALUE"""),"Real")</f>
        <v>Real</v>
      </c>
      <c r="G2659" s="8">
        <f t="shared" si="1"/>
        <v>2</v>
      </c>
      <c r="H2659" s="14">
        <f t="shared" si="2"/>
        <v>19</v>
      </c>
      <c r="I2659" s="15">
        <f t="shared" si="3"/>
        <v>18</v>
      </c>
    </row>
    <row r="2660">
      <c r="A2660" s="8" t="str">
        <f>IFERROR(__xludf.DUMMYFUNCTION("IF('(INGESTA)Datos_consumo_datadis'!A2660&lt;&gt;"""",SPLIT('(INGESTA)Datos_consumo_datadis'!A:A,"",""),"""")"),"ES0031408323131005HX0F")</f>
        <v>ES0031408323131005HX0F</v>
      </c>
      <c r="B2660" s="12">
        <f>IFERROR(__xludf.DUMMYFUNCTION("""COMPUTED_VALUE"""),44976.0)</f>
        <v>44976</v>
      </c>
      <c r="C2660" s="13">
        <f>IFERROR(__xludf.DUMMYFUNCTION("""COMPUTED_VALUE"""),0.7916666666666666)</f>
        <v>0.7916666667</v>
      </c>
      <c r="D2660" s="8">
        <f>IFERROR(__xludf.DUMMYFUNCTION("""COMPUTED_VALUE"""),2.225)</f>
        <v>2.225</v>
      </c>
      <c r="E2660" s="8" t="str">
        <f>IFERROR(__xludf.DUMMYFUNCTION("""COMPUTED_VALUE"""),"Real")</f>
        <v>Real</v>
      </c>
      <c r="G2660" s="8">
        <f t="shared" si="1"/>
        <v>2</v>
      </c>
      <c r="H2660" s="14">
        <f t="shared" si="2"/>
        <v>19</v>
      </c>
      <c r="I2660" s="15">
        <f t="shared" si="3"/>
        <v>19</v>
      </c>
    </row>
    <row r="2661">
      <c r="A2661" s="8" t="str">
        <f>IFERROR(__xludf.DUMMYFUNCTION("IF('(INGESTA)Datos_consumo_datadis'!A2661&lt;&gt;"""",SPLIT('(INGESTA)Datos_consumo_datadis'!A:A,"",""),"""")"),"ES0031408323131005HX0F")</f>
        <v>ES0031408323131005HX0F</v>
      </c>
      <c r="B2661" s="12">
        <f>IFERROR(__xludf.DUMMYFUNCTION("""COMPUTED_VALUE"""),44976.0)</f>
        <v>44976</v>
      </c>
      <c r="C2661" s="13">
        <f>IFERROR(__xludf.DUMMYFUNCTION("""COMPUTED_VALUE"""),0.8333333333333334)</f>
        <v>0.8333333333</v>
      </c>
      <c r="D2661" s="8">
        <f>IFERROR(__xludf.DUMMYFUNCTION("""COMPUTED_VALUE"""),1.749)</f>
        <v>1.749</v>
      </c>
      <c r="E2661" s="8" t="str">
        <f>IFERROR(__xludf.DUMMYFUNCTION("""COMPUTED_VALUE"""),"Real")</f>
        <v>Real</v>
      </c>
      <c r="G2661" s="8">
        <f t="shared" si="1"/>
        <v>2</v>
      </c>
      <c r="H2661" s="14">
        <f t="shared" si="2"/>
        <v>19</v>
      </c>
      <c r="I2661" s="15">
        <f t="shared" si="3"/>
        <v>20</v>
      </c>
    </row>
    <row r="2662">
      <c r="A2662" s="8" t="str">
        <f>IFERROR(__xludf.DUMMYFUNCTION("IF('(INGESTA)Datos_consumo_datadis'!A2662&lt;&gt;"""",SPLIT('(INGESTA)Datos_consumo_datadis'!A:A,"",""),"""")"),"ES0031408323131005HX0F")</f>
        <v>ES0031408323131005HX0F</v>
      </c>
      <c r="B2662" s="12">
        <f>IFERROR(__xludf.DUMMYFUNCTION("""COMPUTED_VALUE"""),44976.0)</f>
        <v>44976</v>
      </c>
      <c r="C2662" s="13">
        <f>IFERROR(__xludf.DUMMYFUNCTION("""COMPUTED_VALUE"""),0.875)</f>
        <v>0.875</v>
      </c>
      <c r="D2662" s="8">
        <f>IFERROR(__xludf.DUMMYFUNCTION("""COMPUTED_VALUE"""),0.739)</f>
        <v>0.739</v>
      </c>
      <c r="E2662" s="8" t="str">
        <f>IFERROR(__xludf.DUMMYFUNCTION("""COMPUTED_VALUE"""),"Real")</f>
        <v>Real</v>
      </c>
      <c r="G2662" s="8">
        <f t="shared" si="1"/>
        <v>2</v>
      </c>
      <c r="H2662" s="14">
        <f t="shared" si="2"/>
        <v>19</v>
      </c>
      <c r="I2662" s="15">
        <f t="shared" si="3"/>
        <v>21</v>
      </c>
    </row>
    <row r="2663">
      <c r="A2663" s="8" t="str">
        <f>IFERROR(__xludf.DUMMYFUNCTION("IF('(INGESTA)Datos_consumo_datadis'!A2663&lt;&gt;"""",SPLIT('(INGESTA)Datos_consumo_datadis'!A:A,"",""),"""")"),"ES0031408323131005HX0F")</f>
        <v>ES0031408323131005HX0F</v>
      </c>
      <c r="B2663" s="12">
        <f>IFERROR(__xludf.DUMMYFUNCTION("""COMPUTED_VALUE"""),44976.0)</f>
        <v>44976</v>
      </c>
      <c r="C2663" s="13">
        <f>IFERROR(__xludf.DUMMYFUNCTION("""COMPUTED_VALUE"""),0.9166666666666666)</f>
        <v>0.9166666667</v>
      </c>
      <c r="D2663" s="8">
        <f>IFERROR(__xludf.DUMMYFUNCTION("""COMPUTED_VALUE"""),1.774)</f>
        <v>1.774</v>
      </c>
      <c r="E2663" s="8" t="str">
        <f>IFERROR(__xludf.DUMMYFUNCTION("""COMPUTED_VALUE"""),"Real")</f>
        <v>Real</v>
      </c>
      <c r="G2663" s="8">
        <f t="shared" si="1"/>
        <v>2</v>
      </c>
      <c r="H2663" s="14">
        <f t="shared" si="2"/>
        <v>19</v>
      </c>
      <c r="I2663" s="15">
        <f t="shared" si="3"/>
        <v>22</v>
      </c>
    </row>
    <row r="2664">
      <c r="A2664" s="8" t="str">
        <f>IFERROR(__xludf.DUMMYFUNCTION("IF('(INGESTA)Datos_consumo_datadis'!A2664&lt;&gt;"""",SPLIT('(INGESTA)Datos_consumo_datadis'!A:A,"",""),"""")"),"ES0031408323131005HX0F")</f>
        <v>ES0031408323131005HX0F</v>
      </c>
      <c r="B2664" s="12">
        <f>IFERROR(__xludf.DUMMYFUNCTION("""COMPUTED_VALUE"""),44976.0)</f>
        <v>44976</v>
      </c>
      <c r="C2664" s="13">
        <f>IFERROR(__xludf.DUMMYFUNCTION("""COMPUTED_VALUE"""),0.9583333333333334)</f>
        <v>0.9583333333</v>
      </c>
      <c r="D2664" s="8">
        <f>IFERROR(__xludf.DUMMYFUNCTION("""COMPUTED_VALUE"""),2.739)</f>
        <v>2.739</v>
      </c>
      <c r="E2664" s="8" t="str">
        <f>IFERROR(__xludf.DUMMYFUNCTION("""COMPUTED_VALUE"""),"Real")</f>
        <v>Real</v>
      </c>
      <c r="G2664" s="8">
        <f t="shared" si="1"/>
        <v>2</v>
      </c>
      <c r="H2664" s="14">
        <f t="shared" si="2"/>
        <v>19</v>
      </c>
      <c r="I2664" s="15">
        <f t="shared" si="3"/>
        <v>23</v>
      </c>
    </row>
    <row r="2665">
      <c r="A2665" s="8" t="str">
        <f>IFERROR(__xludf.DUMMYFUNCTION("IF('(INGESTA)Datos_consumo_datadis'!A2665&lt;&gt;"""",SPLIT('(INGESTA)Datos_consumo_datadis'!A:A,"",""),"""")"),"ES0031408323131005HX0F")</f>
        <v>ES0031408323131005HX0F</v>
      </c>
      <c r="B2665" s="12">
        <f>IFERROR(__xludf.DUMMYFUNCTION("""COMPUTED_VALUE"""),44976.0)</f>
        <v>44976</v>
      </c>
      <c r="C2665" s="16">
        <f>IFERROR(__xludf.DUMMYFUNCTION("""COMPUTED_VALUE"""),1.0)</f>
        <v>1</v>
      </c>
      <c r="D2665" s="8">
        <f>IFERROR(__xludf.DUMMYFUNCTION("""COMPUTED_VALUE"""),1.297)</f>
        <v>1.297</v>
      </c>
      <c r="E2665" s="8" t="str">
        <f>IFERROR(__xludf.DUMMYFUNCTION("""COMPUTED_VALUE"""),"Real")</f>
        <v>Real</v>
      </c>
      <c r="G2665" s="8">
        <f t="shared" si="1"/>
        <v>2</v>
      </c>
      <c r="H2665" s="14">
        <f t="shared" si="2"/>
        <v>19</v>
      </c>
      <c r="I2665" s="15">
        <f t="shared" si="3"/>
        <v>0</v>
      </c>
    </row>
    <row r="2666">
      <c r="A2666" s="8" t="str">
        <f>IFERROR(__xludf.DUMMYFUNCTION("IF('(INGESTA)Datos_consumo_datadis'!A2666&lt;&gt;"""",SPLIT('(INGESTA)Datos_consumo_datadis'!A:A,"",""),"""")"),"ES0031408323131005HX0F")</f>
        <v>ES0031408323131005HX0F</v>
      </c>
      <c r="B2666" s="12">
        <f>IFERROR(__xludf.DUMMYFUNCTION("""COMPUTED_VALUE"""),44977.0)</f>
        <v>44977</v>
      </c>
      <c r="C2666" s="13">
        <f>IFERROR(__xludf.DUMMYFUNCTION("""COMPUTED_VALUE"""),0.041666666666666664)</f>
        <v>0.04166666667</v>
      </c>
      <c r="D2666" s="8">
        <f>IFERROR(__xludf.DUMMYFUNCTION("""COMPUTED_VALUE"""),1.06)</f>
        <v>1.06</v>
      </c>
      <c r="E2666" s="8" t="str">
        <f>IFERROR(__xludf.DUMMYFUNCTION("""COMPUTED_VALUE"""),"Real")</f>
        <v>Real</v>
      </c>
      <c r="G2666" s="8">
        <f t="shared" si="1"/>
        <v>2</v>
      </c>
      <c r="H2666" s="14">
        <f t="shared" si="2"/>
        <v>20</v>
      </c>
      <c r="I2666" s="15">
        <f t="shared" si="3"/>
        <v>1</v>
      </c>
    </row>
    <row r="2667">
      <c r="A2667" s="8" t="str">
        <f>IFERROR(__xludf.DUMMYFUNCTION("IF('(INGESTA)Datos_consumo_datadis'!A2667&lt;&gt;"""",SPLIT('(INGESTA)Datos_consumo_datadis'!A:A,"",""),"""")"),"ES0031408323131005HX0F")</f>
        <v>ES0031408323131005HX0F</v>
      </c>
      <c r="B2667" s="12">
        <f>IFERROR(__xludf.DUMMYFUNCTION("""COMPUTED_VALUE"""),44977.0)</f>
        <v>44977</v>
      </c>
      <c r="C2667" s="13">
        <f>IFERROR(__xludf.DUMMYFUNCTION("""COMPUTED_VALUE"""),0.08333333333333333)</f>
        <v>0.08333333333</v>
      </c>
      <c r="D2667" s="8">
        <f>IFERROR(__xludf.DUMMYFUNCTION("""COMPUTED_VALUE"""),1.019)</f>
        <v>1.019</v>
      </c>
      <c r="E2667" s="8" t="str">
        <f>IFERROR(__xludf.DUMMYFUNCTION("""COMPUTED_VALUE"""),"Real")</f>
        <v>Real</v>
      </c>
      <c r="G2667" s="8">
        <f t="shared" si="1"/>
        <v>2</v>
      </c>
      <c r="H2667" s="14">
        <f t="shared" si="2"/>
        <v>20</v>
      </c>
      <c r="I2667" s="15">
        <f t="shared" si="3"/>
        <v>2</v>
      </c>
    </row>
    <row r="2668">
      <c r="A2668" s="8" t="str">
        <f>IFERROR(__xludf.DUMMYFUNCTION("IF('(INGESTA)Datos_consumo_datadis'!A2668&lt;&gt;"""",SPLIT('(INGESTA)Datos_consumo_datadis'!A:A,"",""),"""")"),"ES0031408323131005HX0F")</f>
        <v>ES0031408323131005HX0F</v>
      </c>
      <c r="B2668" s="12">
        <f>IFERROR(__xludf.DUMMYFUNCTION("""COMPUTED_VALUE"""),44977.0)</f>
        <v>44977</v>
      </c>
      <c r="C2668" s="13">
        <f>IFERROR(__xludf.DUMMYFUNCTION("""COMPUTED_VALUE"""),0.125)</f>
        <v>0.125</v>
      </c>
      <c r="D2668" s="8">
        <f>IFERROR(__xludf.DUMMYFUNCTION("""COMPUTED_VALUE"""),1.351)</f>
        <v>1.351</v>
      </c>
      <c r="E2668" s="8" t="str">
        <f>IFERROR(__xludf.DUMMYFUNCTION("""COMPUTED_VALUE"""),"Real")</f>
        <v>Real</v>
      </c>
      <c r="G2668" s="8">
        <f t="shared" si="1"/>
        <v>2</v>
      </c>
      <c r="H2668" s="14">
        <f t="shared" si="2"/>
        <v>20</v>
      </c>
      <c r="I2668" s="15">
        <f t="shared" si="3"/>
        <v>3</v>
      </c>
    </row>
    <row r="2669">
      <c r="A2669" s="8" t="str">
        <f>IFERROR(__xludf.DUMMYFUNCTION("IF('(INGESTA)Datos_consumo_datadis'!A2669&lt;&gt;"""",SPLIT('(INGESTA)Datos_consumo_datadis'!A:A,"",""),"""")"),"ES0031408323131005HX0F")</f>
        <v>ES0031408323131005HX0F</v>
      </c>
      <c r="B2669" s="12">
        <f>IFERROR(__xludf.DUMMYFUNCTION("""COMPUTED_VALUE"""),44977.0)</f>
        <v>44977</v>
      </c>
      <c r="C2669" s="13">
        <f>IFERROR(__xludf.DUMMYFUNCTION("""COMPUTED_VALUE"""),0.16666666666666666)</f>
        <v>0.1666666667</v>
      </c>
      <c r="D2669" s="8">
        <f>IFERROR(__xludf.DUMMYFUNCTION("""COMPUTED_VALUE"""),1.067)</f>
        <v>1.067</v>
      </c>
      <c r="E2669" s="8" t="str">
        <f>IFERROR(__xludf.DUMMYFUNCTION("""COMPUTED_VALUE"""),"Real")</f>
        <v>Real</v>
      </c>
      <c r="G2669" s="8">
        <f t="shared" si="1"/>
        <v>2</v>
      </c>
      <c r="H2669" s="14">
        <f t="shared" si="2"/>
        <v>20</v>
      </c>
      <c r="I2669" s="15">
        <f t="shared" si="3"/>
        <v>4</v>
      </c>
    </row>
    <row r="2670">
      <c r="A2670" s="8" t="str">
        <f>IFERROR(__xludf.DUMMYFUNCTION("IF('(INGESTA)Datos_consumo_datadis'!A2670&lt;&gt;"""",SPLIT('(INGESTA)Datos_consumo_datadis'!A:A,"",""),"""")"),"ES0031408323131005HX0F")</f>
        <v>ES0031408323131005HX0F</v>
      </c>
      <c r="B2670" s="12">
        <f>IFERROR(__xludf.DUMMYFUNCTION("""COMPUTED_VALUE"""),44977.0)</f>
        <v>44977</v>
      </c>
      <c r="C2670" s="13">
        <f>IFERROR(__xludf.DUMMYFUNCTION("""COMPUTED_VALUE"""),0.20833333333333334)</f>
        <v>0.2083333333</v>
      </c>
      <c r="D2670" s="8">
        <f>IFERROR(__xludf.DUMMYFUNCTION("""COMPUTED_VALUE"""),0.462)</f>
        <v>0.462</v>
      </c>
      <c r="E2670" s="8" t="str">
        <f>IFERROR(__xludf.DUMMYFUNCTION("""COMPUTED_VALUE"""),"Real")</f>
        <v>Real</v>
      </c>
      <c r="G2670" s="8">
        <f t="shared" si="1"/>
        <v>2</v>
      </c>
      <c r="H2670" s="14">
        <f t="shared" si="2"/>
        <v>20</v>
      </c>
      <c r="I2670" s="15">
        <f t="shared" si="3"/>
        <v>5</v>
      </c>
    </row>
    <row r="2671">
      <c r="A2671" s="8" t="str">
        <f>IFERROR(__xludf.DUMMYFUNCTION("IF('(INGESTA)Datos_consumo_datadis'!A2671&lt;&gt;"""",SPLIT('(INGESTA)Datos_consumo_datadis'!A:A,"",""),"""")"),"ES0031408323131005HX0F")</f>
        <v>ES0031408323131005HX0F</v>
      </c>
      <c r="B2671" s="12">
        <f>IFERROR(__xludf.DUMMYFUNCTION("""COMPUTED_VALUE"""),44977.0)</f>
        <v>44977</v>
      </c>
      <c r="C2671" s="13">
        <f>IFERROR(__xludf.DUMMYFUNCTION("""COMPUTED_VALUE"""),0.25)</f>
        <v>0.25</v>
      </c>
      <c r="D2671" s="8">
        <f>IFERROR(__xludf.DUMMYFUNCTION("""COMPUTED_VALUE"""),0.065)</f>
        <v>0.065</v>
      </c>
      <c r="E2671" s="8" t="str">
        <f>IFERROR(__xludf.DUMMYFUNCTION("""COMPUTED_VALUE"""),"Real")</f>
        <v>Real</v>
      </c>
      <c r="G2671" s="8">
        <f t="shared" si="1"/>
        <v>2</v>
      </c>
      <c r="H2671" s="14">
        <f t="shared" si="2"/>
        <v>20</v>
      </c>
      <c r="I2671" s="15">
        <f t="shared" si="3"/>
        <v>6</v>
      </c>
    </row>
    <row r="2672">
      <c r="A2672" s="8" t="str">
        <f>IFERROR(__xludf.DUMMYFUNCTION("IF('(INGESTA)Datos_consumo_datadis'!A2672&lt;&gt;"""",SPLIT('(INGESTA)Datos_consumo_datadis'!A:A,"",""),"""")"),"ES0031408323131005HX0F")</f>
        <v>ES0031408323131005HX0F</v>
      </c>
      <c r="B2672" s="12">
        <f>IFERROR(__xludf.DUMMYFUNCTION("""COMPUTED_VALUE"""),44977.0)</f>
        <v>44977</v>
      </c>
      <c r="C2672" s="13">
        <f>IFERROR(__xludf.DUMMYFUNCTION("""COMPUTED_VALUE"""),0.2916666666666667)</f>
        <v>0.2916666667</v>
      </c>
      <c r="D2672" s="8">
        <f>IFERROR(__xludf.DUMMYFUNCTION("""COMPUTED_VALUE"""),0.198)</f>
        <v>0.198</v>
      </c>
      <c r="E2672" s="8" t="str">
        <f>IFERROR(__xludf.DUMMYFUNCTION("""COMPUTED_VALUE"""),"Real")</f>
        <v>Real</v>
      </c>
      <c r="G2672" s="8">
        <f t="shared" si="1"/>
        <v>2</v>
      </c>
      <c r="H2672" s="14">
        <f t="shared" si="2"/>
        <v>20</v>
      </c>
      <c r="I2672" s="15">
        <f t="shared" si="3"/>
        <v>7</v>
      </c>
    </row>
    <row r="2673">
      <c r="A2673" s="8" t="str">
        <f>IFERROR(__xludf.DUMMYFUNCTION("IF('(INGESTA)Datos_consumo_datadis'!A2673&lt;&gt;"""",SPLIT('(INGESTA)Datos_consumo_datadis'!A:A,"",""),"""")"),"ES0031408323131005HX0F")</f>
        <v>ES0031408323131005HX0F</v>
      </c>
      <c r="B2673" s="12">
        <f>IFERROR(__xludf.DUMMYFUNCTION("""COMPUTED_VALUE"""),44977.0)</f>
        <v>44977</v>
      </c>
      <c r="C2673" s="13">
        <f>IFERROR(__xludf.DUMMYFUNCTION("""COMPUTED_VALUE"""),0.3333333333333333)</f>
        <v>0.3333333333</v>
      </c>
      <c r="D2673" s="8">
        <f>IFERROR(__xludf.DUMMYFUNCTION("""COMPUTED_VALUE"""),1.596)</f>
        <v>1.596</v>
      </c>
      <c r="E2673" s="8" t="str">
        <f>IFERROR(__xludf.DUMMYFUNCTION("""COMPUTED_VALUE"""),"Real")</f>
        <v>Real</v>
      </c>
      <c r="G2673" s="8">
        <f t="shared" si="1"/>
        <v>2</v>
      </c>
      <c r="H2673" s="14">
        <f t="shared" si="2"/>
        <v>20</v>
      </c>
      <c r="I2673" s="15">
        <f t="shared" si="3"/>
        <v>8</v>
      </c>
    </row>
    <row r="2674">
      <c r="A2674" s="8" t="str">
        <f>IFERROR(__xludf.DUMMYFUNCTION("IF('(INGESTA)Datos_consumo_datadis'!A2674&lt;&gt;"""",SPLIT('(INGESTA)Datos_consumo_datadis'!A:A,"",""),"""")"),"ES0031408323131005HX0F")</f>
        <v>ES0031408323131005HX0F</v>
      </c>
      <c r="B2674" s="12">
        <f>IFERROR(__xludf.DUMMYFUNCTION("""COMPUTED_VALUE"""),44977.0)</f>
        <v>44977</v>
      </c>
      <c r="C2674" s="13">
        <f>IFERROR(__xludf.DUMMYFUNCTION("""COMPUTED_VALUE"""),0.375)</f>
        <v>0.375</v>
      </c>
      <c r="D2674" s="8">
        <f>IFERROR(__xludf.DUMMYFUNCTION("""COMPUTED_VALUE"""),1.798)</f>
        <v>1.798</v>
      </c>
      <c r="E2674" s="8" t="str">
        <f>IFERROR(__xludf.DUMMYFUNCTION("""COMPUTED_VALUE"""),"Real")</f>
        <v>Real</v>
      </c>
      <c r="G2674" s="8">
        <f t="shared" si="1"/>
        <v>2</v>
      </c>
      <c r="H2674" s="14">
        <f t="shared" si="2"/>
        <v>20</v>
      </c>
      <c r="I2674" s="15">
        <f t="shared" si="3"/>
        <v>9</v>
      </c>
    </row>
    <row r="2675">
      <c r="A2675" s="8" t="str">
        <f>IFERROR(__xludf.DUMMYFUNCTION("IF('(INGESTA)Datos_consumo_datadis'!A2675&lt;&gt;"""",SPLIT('(INGESTA)Datos_consumo_datadis'!A:A,"",""),"""")"),"ES0031408323131005HX0F")</f>
        <v>ES0031408323131005HX0F</v>
      </c>
      <c r="B2675" s="12">
        <f>IFERROR(__xludf.DUMMYFUNCTION("""COMPUTED_VALUE"""),44977.0)</f>
        <v>44977</v>
      </c>
      <c r="C2675" s="13">
        <f>IFERROR(__xludf.DUMMYFUNCTION("""COMPUTED_VALUE"""),0.4166666666666667)</f>
        <v>0.4166666667</v>
      </c>
      <c r="D2675" s="8">
        <f>IFERROR(__xludf.DUMMYFUNCTION("""COMPUTED_VALUE"""),2.032)</f>
        <v>2.032</v>
      </c>
      <c r="E2675" s="8" t="str">
        <f>IFERROR(__xludf.DUMMYFUNCTION("""COMPUTED_VALUE"""),"Real")</f>
        <v>Real</v>
      </c>
      <c r="G2675" s="8">
        <f t="shared" si="1"/>
        <v>2</v>
      </c>
      <c r="H2675" s="14">
        <f t="shared" si="2"/>
        <v>20</v>
      </c>
      <c r="I2675" s="15">
        <f t="shared" si="3"/>
        <v>10</v>
      </c>
    </row>
    <row r="2676">
      <c r="A2676" s="8" t="str">
        <f>IFERROR(__xludf.DUMMYFUNCTION("IF('(INGESTA)Datos_consumo_datadis'!A2676&lt;&gt;"""",SPLIT('(INGESTA)Datos_consumo_datadis'!A:A,"",""),"""")"),"ES0031408323131005HX0F")</f>
        <v>ES0031408323131005HX0F</v>
      </c>
      <c r="B2676" s="12">
        <f>IFERROR(__xludf.DUMMYFUNCTION("""COMPUTED_VALUE"""),44977.0)</f>
        <v>44977</v>
      </c>
      <c r="C2676" s="13">
        <f>IFERROR(__xludf.DUMMYFUNCTION("""COMPUTED_VALUE"""),0.4583333333333333)</f>
        <v>0.4583333333</v>
      </c>
      <c r="D2676" s="8">
        <f>IFERROR(__xludf.DUMMYFUNCTION("""COMPUTED_VALUE"""),1.17)</f>
        <v>1.17</v>
      </c>
      <c r="E2676" s="8" t="str">
        <f>IFERROR(__xludf.DUMMYFUNCTION("""COMPUTED_VALUE"""),"Real")</f>
        <v>Real</v>
      </c>
      <c r="G2676" s="8">
        <f t="shared" si="1"/>
        <v>2</v>
      </c>
      <c r="H2676" s="14">
        <f t="shared" si="2"/>
        <v>20</v>
      </c>
      <c r="I2676" s="15">
        <f t="shared" si="3"/>
        <v>11</v>
      </c>
    </row>
    <row r="2677">
      <c r="A2677" s="8" t="str">
        <f>IFERROR(__xludf.DUMMYFUNCTION("IF('(INGESTA)Datos_consumo_datadis'!A2677&lt;&gt;"""",SPLIT('(INGESTA)Datos_consumo_datadis'!A:A,"",""),"""")"),"ES0031408323131005HX0F")</f>
        <v>ES0031408323131005HX0F</v>
      </c>
      <c r="B2677" s="12">
        <f>IFERROR(__xludf.DUMMYFUNCTION("""COMPUTED_VALUE"""),44977.0)</f>
        <v>44977</v>
      </c>
      <c r="C2677" s="13">
        <f>IFERROR(__xludf.DUMMYFUNCTION("""COMPUTED_VALUE"""),0.5)</f>
        <v>0.5</v>
      </c>
      <c r="D2677" s="8">
        <f>IFERROR(__xludf.DUMMYFUNCTION("""COMPUTED_VALUE"""),0.068)</f>
        <v>0.068</v>
      </c>
      <c r="E2677" s="8" t="str">
        <f>IFERROR(__xludf.DUMMYFUNCTION("""COMPUTED_VALUE"""),"Real")</f>
        <v>Real</v>
      </c>
      <c r="G2677" s="8">
        <f t="shared" si="1"/>
        <v>2</v>
      </c>
      <c r="H2677" s="14">
        <f t="shared" si="2"/>
        <v>20</v>
      </c>
      <c r="I2677" s="15">
        <f t="shared" si="3"/>
        <v>12</v>
      </c>
    </row>
    <row r="2678">
      <c r="A2678" s="8" t="str">
        <f>IFERROR(__xludf.DUMMYFUNCTION("IF('(INGESTA)Datos_consumo_datadis'!A2678&lt;&gt;"""",SPLIT('(INGESTA)Datos_consumo_datadis'!A:A,"",""),"""")"),"ES0031408323131005HX0F")</f>
        <v>ES0031408323131005HX0F</v>
      </c>
      <c r="B2678" s="12">
        <f>IFERROR(__xludf.DUMMYFUNCTION("""COMPUTED_VALUE"""),44977.0)</f>
        <v>44977</v>
      </c>
      <c r="C2678" s="13">
        <f>IFERROR(__xludf.DUMMYFUNCTION("""COMPUTED_VALUE"""),0.5416666666666666)</f>
        <v>0.5416666667</v>
      </c>
      <c r="D2678" s="8">
        <f>IFERROR(__xludf.DUMMYFUNCTION("""COMPUTED_VALUE"""),0.909)</f>
        <v>0.909</v>
      </c>
      <c r="E2678" s="8" t="str">
        <f>IFERROR(__xludf.DUMMYFUNCTION("""COMPUTED_VALUE"""),"Real")</f>
        <v>Real</v>
      </c>
      <c r="G2678" s="8">
        <f t="shared" si="1"/>
        <v>2</v>
      </c>
      <c r="H2678" s="14">
        <f t="shared" si="2"/>
        <v>20</v>
      </c>
      <c r="I2678" s="15">
        <f t="shared" si="3"/>
        <v>13</v>
      </c>
    </row>
    <row r="2679">
      <c r="A2679" s="8" t="str">
        <f>IFERROR(__xludf.DUMMYFUNCTION("IF('(INGESTA)Datos_consumo_datadis'!A2679&lt;&gt;"""",SPLIT('(INGESTA)Datos_consumo_datadis'!A:A,"",""),"""")"),"ES0031408323131005HX0F")</f>
        <v>ES0031408323131005HX0F</v>
      </c>
      <c r="B2679" s="12">
        <f>IFERROR(__xludf.DUMMYFUNCTION("""COMPUTED_VALUE"""),44977.0)</f>
        <v>44977</v>
      </c>
      <c r="C2679" s="13">
        <f>IFERROR(__xludf.DUMMYFUNCTION("""COMPUTED_VALUE"""),0.5833333333333334)</f>
        <v>0.5833333333</v>
      </c>
      <c r="D2679" s="8">
        <f>IFERROR(__xludf.DUMMYFUNCTION("""COMPUTED_VALUE"""),0.229)</f>
        <v>0.229</v>
      </c>
      <c r="E2679" s="8" t="str">
        <f>IFERROR(__xludf.DUMMYFUNCTION("""COMPUTED_VALUE"""),"Real")</f>
        <v>Real</v>
      </c>
      <c r="G2679" s="8">
        <f t="shared" si="1"/>
        <v>2</v>
      </c>
      <c r="H2679" s="14">
        <f t="shared" si="2"/>
        <v>20</v>
      </c>
      <c r="I2679" s="15">
        <f t="shared" si="3"/>
        <v>14</v>
      </c>
    </row>
    <row r="2680">
      <c r="A2680" s="8" t="str">
        <f>IFERROR(__xludf.DUMMYFUNCTION("IF('(INGESTA)Datos_consumo_datadis'!A2680&lt;&gt;"""",SPLIT('(INGESTA)Datos_consumo_datadis'!A:A,"",""),"""")"),"ES0031408323131005HX0F")</f>
        <v>ES0031408323131005HX0F</v>
      </c>
      <c r="B2680" s="12">
        <f>IFERROR(__xludf.DUMMYFUNCTION("""COMPUTED_VALUE"""),44977.0)</f>
        <v>44977</v>
      </c>
      <c r="C2680" s="13">
        <f>IFERROR(__xludf.DUMMYFUNCTION("""COMPUTED_VALUE"""),0.625)</f>
        <v>0.625</v>
      </c>
      <c r="D2680" s="8">
        <f>IFERROR(__xludf.DUMMYFUNCTION("""COMPUTED_VALUE"""),0.216)</f>
        <v>0.216</v>
      </c>
      <c r="E2680" s="8" t="str">
        <f>IFERROR(__xludf.DUMMYFUNCTION("""COMPUTED_VALUE"""),"Real")</f>
        <v>Real</v>
      </c>
      <c r="G2680" s="8">
        <f t="shared" si="1"/>
        <v>2</v>
      </c>
      <c r="H2680" s="14">
        <f t="shared" si="2"/>
        <v>20</v>
      </c>
      <c r="I2680" s="15">
        <f t="shared" si="3"/>
        <v>15</v>
      </c>
    </row>
    <row r="2681">
      <c r="A2681" s="8" t="str">
        <f>IFERROR(__xludf.DUMMYFUNCTION("IF('(INGESTA)Datos_consumo_datadis'!A2681&lt;&gt;"""",SPLIT('(INGESTA)Datos_consumo_datadis'!A:A,"",""),"""")"),"ES0031408323131005HX0F")</f>
        <v>ES0031408323131005HX0F</v>
      </c>
      <c r="B2681" s="12">
        <f>IFERROR(__xludf.DUMMYFUNCTION("""COMPUTED_VALUE"""),44977.0)</f>
        <v>44977</v>
      </c>
      <c r="C2681" s="13">
        <f>IFERROR(__xludf.DUMMYFUNCTION("""COMPUTED_VALUE"""),0.6666666666666666)</f>
        <v>0.6666666667</v>
      </c>
      <c r="D2681" s="8">
        <f>IFERROR(__xludf.DUMMYFUNCTION("""COMPUTED_VALUE"""),0.081)</f>
        <v>0.081</v>
      </c>
      <c r="E2681" s="8" t="str">
        <f>IFERROR(__xludf.DUMMYFUNCTION("""COMPUTED_VALUE"""),"Real")</f>
        <v>Real</v>
      </c>
      <c r="G2681" s="8">
        <f t="shared" si="1"/>
        <v>2</v>
      </c>
      <c r="H2681" s="14">
        <f t="shared" si="2"/>
        <v>20</v>
      </c>
      <c r="I2681" s="15">
        <f t="shared" si="3"/>
        <v>16</v>
      </c>
    </row>
    <row r="2682">
      <c r="A2682" s="8" t="str">
        <f>IFERROR(__xludf.DUMMYFUNCTION("IF('(INGESTA)Datos_consumo_datadis'!A2682&lt;&gt;"""",SPLIT('(INGESTA)Datos_consumo_datadis'!A:A,"",""),"""")"),"ES0031408323131005HX0F")</f>
        <v>ES0031408323131005HX0F</v>
      </c>
      <c r="B2682" s="12">
        <f>IFERROR(__xludf.DUMMYFUNCTION("""COMPUTED_VALUE"""),44977.0)</f>
        <v>44977</v>
      </c>
      <c r="C2682" s="13">
        <f>IFERROR(__xludf.DUMMYFUNCTION("""COMPUTED_VALUE"""),0.7083333333333334)</f>
        <v>0.7083333333</v>
      </c>
      <c r="D2682" s="8">
        <f>IFERROR(__xludf.DUMMYFUNCTION("""COMPUTED_VALUE"""),0.051)</f>
        <v>0.051</v>
      </c>
      <c r="E2682" s="8" t="str">
        <f>IFERROR(__xludf.DUMMYFUNCTION("""COMPUTED_VALUE"""),"Real")</f>
        <v>Real</v>
      </c>
      <c r="G2682" s="8">
        <f t="shared" si="1"/>
        <v>2</v>
      </c>
      <c r="H2682" s="14">
        <f t="shared" si="2"/>
        <v>20</v>
      </c>
      <c r="I2682" s="15">
        <f t="shared" si="3"/>
        <v>17</v>
      </c>
    </row>
    <row r="2683">
      <c r="A2683" s="8" t="str">
        <f>IFERROR(__xludf.DUMMYFUNCTION("IF('(INGESTA)Datos_consumo_datadis'!A2683&lt;&gt;"""",SPLIT('(INGESTA)Datos_consumo_datadis'!A:A,"",""),"""")"),"ES0031408323131005HX0F")</f>
        <v>ES0031408323131005HX0F</v>
      </c>
      <c r="B2683" s="12">
        <f>IFERROR(__xludf.DUMMYFUNCTION("""COMPUTED_VALUE"""),44977.0)</f>
        <v>44977</v>
      </c>
      <c r="C2683" s="13">
        <f>IFERROR(__xludf.DUMMYFUNCTION("""COMPUTED_VALUE"""),0.75)</f>
        <v>0.75</v>
      </c>
      <c r="D2683" s="8">
        <f>IFERROR(__xludf.DUMMYFUNCTION("""COMPUTED_VALUE"""),0.02)</f>
        <v>0.02</v>
      </c>
      <c r="E2683" s="8" t="str">
        <f>IFERROR(__xludf.DUMMYFUNCTION("""COMPUTED_VALUE"""),"Real")</f>
        <v>Real</v>
      </c>
      <c r="G2683" s="8">
        <f t="shared" si="1"/>
        <v>2</v>
      </c>
      <c r="H2683" s="14">
        <f t="shared" si="2"/>
        <v>20</v>
      </c>
      <c r="I2683" s="15">
        <f t="shared" si="3"/>
        <v>18</v>
      </c>
    </row>
    <row r="2684">
      <c r="A2684" s="8" t="str">
        <f>IFERROR(__xludf.DUMMYFUNCTION("IF('(INGESTA)Datos_consumo_datadis'!A2684&lt;&gt;"""",SPLIT('(INGESTA)Datos_consumo_datadis'!A:A,"",""),"""")"),"ES0031408323131005HX0F")</f>
        <v>ES0031408323131005HX0F</v>
      </c>
      <c r="B2684" s="12">
        <f>IFERROR(__xludf.DUMMYFUNCTION("""COMPUTED_VALUE"""),44977.0)</f>
        <v>44977</v>
      </c>
      <c r="C2684" s="13">
        <f>IFERROR(__xludf.DUMMYFUNCTION("""COMPUTED_VALUE"""),0.7916666666666666)</f>
        <v>0.7916666667</v>
      </c>
      <c r="D2684" s="8">
        <f>IFERROR(__xludf.DUMMYFUNCTION("""COMPUTED_VALUE"""),0.049)</f>
        <v>0.049</v>
      </c>
      <c r="E2684" s="8" t="str">
        <f>IFERROR(__xludf.DUMMYFUNCTION("""COMPUTED_VALUE"""),"Real")</f>
        <v>Real</v>
      </c>
      <c r="G2684" s="8">
        <f t="shared" si="1"/>
        <v>2</v>
      </c>
      <c r="H2684" s="14">
        <f t="shared" si="2"/>
        <v>20</v>
      </c>
      <c r="I2684" s="15">
        <f t="shared" si="3"/>
        <v>19</v>
      </c>
    </row>
    <row r="2685">
      <c r="A2685" s="8" t="str">
        <f>IFERROR(__xludf.DUMMYFUNCTION("IF('(INGESTA)Datos_consumo_datadis'!A2685&lt;&gt;"""",SPLIT('(INGESTA)Datos_consumo_datadis'!A:A,"",""),"""")"),"ES0031408323131005HX0F")</f>
        <v>ES0031408323131005HX0F</v>
      </c>
      <c r="B2685" s="12">
        <f>IFERROR(__xludf.DUMMYFUNCTION("""COMPUTED_VALUE"""),44977.0)</f>
        <v>44977</v>
      </c>
      <c r="C2685" s="13">
        <f>IFERROR(__xludf.DUMMYFUNCTION("""COMPUTED_VALUE"""),0.8333333333333334)</f>
        <v>0.8333333333</v>
      </c>
      <c r="D2685" s="8">
        <f>IFERROR(__xludf.DUMMYFUNCTION("""COMPUTED_VALUE"""),0.319)</f>
        <v>0.319</v>
      </c>
      <c r="E2685" s="8" t="str">
        <f>IFERROR(__xludf.DUMMYFUNCTION("""COMPUTED_VALUE"""),"Real")</f>
        <v>Real</v>
      </c>
      <c r="G2685" s="8">
        <f t="shared" si="1"/>
        <v>2</v>
      </c>
      <c r="H2685" s="14">
        <f t="shared" si="2"/>
        <v>20</v>
      </c>
      <c r="I2685" s="15">
        <f t="shared" si="3"/>
        <v>20</v>
      </c>
    </row>
    <row r="2686">
      <c r="A2686" s="8" t="str">
        <f>IFERROR(__xludf.DUMMYFUNCTION("IF('(INGESTA)Datos_consumo_datadis'!A2686&lt;&gt;"""",SPLIT('(INGESTA)Datos_consumo_datadis'!A:A,"",""),"""")"),"ES0031408323131005HX0F")</f>
        <v>ES0031408323131005HX0F</v>
      </c>
      <c r="B2686" s="12">
        <f>IFERROR(__xludf.DUMMYFUNCTION("""COMPUTED_VALUE"""),44977.0)</f>
        <v>44977</v>
      </c>
      <c r="C2686" s="13">
        <f>IFERROR(__xludf.DUMMYFUNCTION("""COMPUTED_VALUE"""),0.875)</f>
        <v>0.875</v>
      </c>
      <c r="D2686" s="8">
        <f>IFERROR(__xludf.DUMMYFUNCTION("""COMPUTED_VALUE"""),3.265)</f>
        <v>3.265</v>
      </c>
      <c r="E2686" s="8" t="str">
        <f>IFERROR(__xludf.DUMMYFUNCTION("""COMPUTED_VALUE"""),"Real")</f>
        <v>Real</v>
      </c>
      <c r="G2686" s="8">
        <f t="shared" si="1"/>
        <v>2</v>
      </c>
      <c r="H2686" s="14">
        <f t="shared" si="2"/>
        <v>20</v>
      </c>
      <c r="I2686" s="15">
        <f t="shared" si="3"/>
        <v>21</v>
      </c>
    </row>
    <row r="2687">
      <c r="A2687" s="8" t="str">
        <f>IFERROR(__xludf.DUMMYFUNCTION("IF('(INGESTA)Datos_consumo_datadis'!A2687&lt;&gt;"""",SPLIT('(INGESTA)Datos_consumo_datadis'!A:A,"",""),"""")"),"ES0031408323131005HX0F")</f>
        <v>ES0031408323131005HX0F</v>
      </c>
      <c r="B2687" s="12">
        <f>IFERROR(__xludf.DUMMYFUNCTION("""COMPUTED_VALUE"""),44977.0)</f>
        <v>44977</v>
      </c>
      <c r="C2687" s="13">
        <f>IFERROR(__xludf.DUMMYFUNCTION("""COMPUTED_VALUE"""),0.9166666666666666)</f>
        <v>0.9166666667</v>
      </c>
      <c r="D2687" s="8">
        <f>IFERROR(__xludf.DUMMYFUNCTION("""COMPUTED_VALUE"""),2.149)</f>
        <v>2.149</v>
      </c>
      <c r="E2687" s="8" t="str">
        <f>IFERROR(__xludf.DUMMYFUNCTION("""COMPUTED_VALUE"""),"Real")</f>
        <v>Real</v>
      </c>
      <c r="G2687" s="8">
        <f t="shared" si="1"/>
        <v>2</v>
      </c>
      <c r="H2687" s="14">
        <f t="shared" si="2"/>
        <v>20</v>
      </c>
      <c r="I2687" s="15">
        <f t="shared" si="3"/>
        <v>22</v>
      </c>
    </row>
    <row r="2688">
      <c r="A2688" s="8" t="str">
        <f>IFERROR(__xludf.DUMMYFUNCTION("IF('(INGESTA)Datos_consumo_datadis'!A2688&lt;&gt;"""",SPLIT('(INGESTA)Datos_consumo_datadis'!A:A,"",""),"""")"),"ES0031408323131005HX0F")</f>
        <v>ES0031408323131005HX0F</v>
      </c>
      <c r="B2688" s="12">
        <f>IFERROR(__xludf.DUMMYFUNCTION("""COMPUTED_VALUE"""),44977.0)</f>
        <v>44977</v>
      </c>
      <c r="C2688" s="13">
        <f>IFERROR(__xludf.DUMMYFUNCTION("""COMPUTED_VALUE"""),0.9583333333333334)</f>
        <v>0.9583333333</v>
      </c>
      <c r="D2688" s="8">
        <f>IFERROR(__xludf.DUMMYFUNCTION("""COMPUTED_VALUE"""),1.035)</f>
        <v>1.035</v>
      </c>
      <c r="E2688" s="8" t="str">
        <f>IFERROR(__xludf.DUMMYFUNCTION("""COMPUTED_VALUE"""),"Real")</f>
        <v>Real</v>
      </c>
      <c r="G2688" s="8">
        <f t="shared" si="1"/>
        <v>2</v>
      </c>
      <c r="H2688" s="14">
        <f t="shared" si="2"/>
        <v>20</v>
      </c>
      <c r="I2688" s="15">
        <f t="shared" si="3"/>
        <v>23</v>
      </c>
    </row>
    <row r="2689">
      <c r="A2689" s="8" t="str">
        <f>IFERROR(__xludf.DUMMYFUNCTION("IF('(INGESTA)Datos_consumo_datadis'!A2689&lt;&gt;"""",SPLIT('(INGESTA)Datos_consumo_datadis'!A:A,"",""),"""")"),"ES0031408323131005HX0F")</f>
        <v>ES0031408323131005HX0F</v>
      </c>
      <c r="B2689" s="12">
        <f>IFERROR(__xludf.DUMMYFUNCTION("""COMPUTED_VALUE"""),44977.0)</f>
        <v>44977</v>
      </c>
      <c r="C2689" s="16">
        <f>IFERROR(__xludf.DUMMYFUNCTION("""COMPUTED_VALUE"""),1.0)</f>
        <v>1</v>
      </c>
      <c r="D2689" s="8">
        <f>IFERROR(__xludf.DUMMYFUNCTION("""COMPUTED_VALUE"""),1.226)</f>
        <v>1.226</v>
      </c>
      <c r="E2689" s="8" t="str">
        <f>IFERROR(__xludf.DUMMYFUNCTION("""COMPUTED_VALUE"""),"Real")</f>
        <v>Real</v>
      </c>
      <c r="G2689" s="8">
        <f t="shared" si="1"/>
        <v>2</v>
      </c>
      <c r="H2689" s="14">
        <f t="shared" si="2"/>
        <v>20</v>
      </c>
      <c r="I2689" s="15">
        <f t="shared" si="3"/>
        <v>0</v>
      </c>
    </row>
    <row r="2690">
      <c r="A2690" s="8" t="str">
        <f>IFERROR(__xludf.DUMMYFUNCTION("IF('(INGESTA)Datos_consumo_datadis'!A2690&lt;&gt;"""",SPLIT('(INGESTA)Datos_consumo_datadis'!A:A,"",""),"""")"),"ES0031408323131005HX0F")</f>
        <v>ES0031408323131005HX0F</v>
      </c>
      <c r="B2690" s="12">
        <f>IFERROR(__xludf.DUMMYFUNCTION("""COMPUTED_VALUE"""),44978.0)</f>
        <v>44978</v>
      </c>
      <c r="C2690" s="13">
        <f>IFERROR(__xludf.DUMMYFUNCTION("""COMPUTED_VALUE"""),0.041666666666666664)</f>
        <v>0.04166666667</v>
      </c>
      <c r="D2690" s="8">
        <f>IFERROR(__xludf.DUMMYFUNCTION("""COMPUTED_VALUE"""),1.862)</f>
        <v>1.862</v>
      </c>
      <c r="E2690" s="8" t="str">
        <f>IFERROR(__xludf.DUMMYFUNCTION("""COMPUTED_VALUE"""),"Real")</f>
        <v>Real</v>
      </c>
      <c r="G2690" s="8">
        <f t="shared" si="1"/>
        <v>2</v>
      </c>
      <c r="H2690" s="14">
        <f t="shared" si="2"/>
        <v>21</v>
      </c>
      <c r="I2690" s="15">
        <f t="shared" si="3"/>
        <v>1</v>
      </c>
    </row>
    <row r="2691">
      <c r="A2691" s="8" t="str">
        <f>IFERROR(__xludf.DUMMYFUNCTION("IF('(INGESTA)Datos_consumo_datadis'!A2691&lt;&gt;"""",SPLIT('(INGESTA)Datos_consumo_datadis'!A:A,"",""),"""")"),"ES0031408323131005HX0F")</f>
        <v>ES0031408323131005HX0F</v>
      </c>
      <c r="B2691" s="12">
        <f>IFERROR(__xludf.DUMMYFUNCTION("""COMPUTED_VALUE"""),44978.0)</f>
        <v>44978</v>
      </c>
      <c r="C2691" s="13">
        <f>IFERROR(__xludf.DUMMYFUNCTION("""COMPUTED_VALUE"""),0.08333333333333333)</f>
        <v>0.08333333333</v>
      </c>
      <c r="D2691" s="8">
        <f>IFERROR(__xludf.DUMMYFUNCTION("""COMPUTED_VALUE"""),1.49)</f>
        <v>1.49</v>
      </c>
      <c r="E2691" s="8" t="str">
        <f>IFERROR(__xludf.DUMMYFUNCTION("""COMPUTED_VALUE"""),"Real")</f>
        <v>Real</v>
      </c>
      <c r="G2691" s="8">
        <f t="shared" si="1"/>
        <v>2</v>
      </c>
      <c r="H2691" s="14">
        <f t="shared" si="2"/>
        <v>21</v>
      </c>
      <c r="I2691" s="15">
        <f t="shared" si="3"/>
        <v>2</v>
      </c>
    </row>
    <row r="2692">
      <c r="A2692" s="8" t="str">
        <f>IFERROR(__xludf.DUMMYFUNCTION("IF('(INGESTA)Datos_consumo_datadis'!A2692&lt;&gt;"""",SPLIT('(INGESTA)Datos_consumo_datadis'!A:A,"",""),"""")"),"ES0031408323131005HX0F")</f>
        <v>ES0031408323131005HX0F</v>
      </c>
      <c r="B2692" s="12">
        <f>IFERROR(__xludf.DUMMYFUNCTION("""COMPUTED_VALUE"""),44978.0)</f>
        <v>44978</v>
      </c>
      <c r="C2692" s="13">
        <f>IFERROR(__xludf.DUMMYFUNCTION("""COMPUTED_VALUE"""),0.125)</f>
        <v>0.125</v>
      </c>
      <c r="D2692" s="8">
        <f>IFERROR(__xludf.DUMMYFUNCTION("""COMPUTED_VALUE"""),0.889)</f>
        <v>0.889</v>
      </c>
      <c r="E2692" s="8" t="str">
        <f>IFERROR(__xludf.DUMMYFUNCTION("""COMPUTED_VALUE"""),"Real")</f>
        <v>Real</v>
      </c>
      <c r="G2692" s="8">
        <f t="shared" si="1"/>
        <v>2</v>
      </c>
      <c r="H2692" s="14">
        <f t="shared" si="2"/>
        <v>21</v>
      </c>
      <c r="I2692" s="15">
        <f t="shared" si="3"/>
        <v>3</v>
      </c>
    </row>
    <row r="2693">
      <c r="A2693" s="8" t="str">
        <f>IFERROR(__xludf.DUMMYFUNCTION("IF('(INGESTA)Datos_consumo_datadis'!A2693&lt;&gt;"""",SPLIT('(INGESTA)Datos_consumo_datadis'!A:A,"",""),"""")"),"ES0031408323131005HX0F")</f>
        <v>ES0031408323131005HX0F</v>
      </c>
      <c r="B2693" s="12">
        <f>IFERROR(__xludf.DUMMYFUNCTION("""COMPUTED_VALUE"""),44978.0)</f>
        <v>44978</v>
      </c>
      <c r="C2693" s="13">
        <f>IFERROR(__xludf.DUMMYFUNCTION("""COMPUTED_VALUE"""),0.16666666666666666)</f>
        <v>0.1666666667</v>
      </c>
      <c r="D2693" s="8">
        <f>IFERROR(__xludf.DUMMYFUNCTION("""COMPUTED_VALUE"""),0.853)</f>
        <v>0.853</v>
      </c>
      <c r="E2693" s="8" t="str">
        <f>IFERROR(__xludf.DUMMYFUNCTION("""COMPUTED_VALUE"""),"Real")</f>
        <v>Real</v>
      </c>
      <c r="G2693" s="8">
        <f t="shared" si="1"/>
        <v>2</v>
      </c>
      <c r="H2693" s="14">
        <f t="shared" si="2"/>
        <v>21</v>
      </c>
      <c r="I2693" s="15">
        <f t="shared" si="3"/>
        <v>4</v>
      </c>
    </row>
    <row r="2694">
      <c r="A2694" s="8" t="str">
        <f>IFERROR(__xludf.DUMMYFUNCTION("IF('(INGESTA)Datos_consumo_datadis'!A2694&lt;&gt;"""",SPLIT('(INGESTA)Datos_consumo_datadis'!A:A,"",""),"""")"),"ES0031408323131005HX0F")</f>
        <v>ES0031408323131005HX0F</v>
      </c>
      <c r="B2694" s="12">
        <f>IFERROR(__xludf.DUMMYFUNCTION("""COMPUTED_VALUE"""),44978.0)</f>
        <v>44978</v>
      </c>
      <c r="C2694" s="13">
        <f>IFERROR(__xludf.DUMMYFUNCTION("""COMPUTED_VALUE"""),0.20833333333333334)</f>
        <v>0.2083333333</v>
      </c>
      <c r="D2694" s="8">
        <f>IFERROR(__xludf.DUMMYFUNCTION("""COMPUTED_VALUE"""),0.787)</f>
        <v>0.787</v>
      </c>
      <c r="E2694" s="8" t="str">
        <f>IFERROR(__xludf.DUMMYFUNCTION("""COMPUTED_VALUE"""),"Real")</f>
        <v>Real</v>
      </c>
      <c r="G2694" s="8">
        <f t="shared" si="1"/>
        <v>2</v>
      </c>
      <c r="H2694" s="14">
        <f t="shared" si="2"/>
        <v>21</v>
      </c>
      <c r="I2694" s="15">
        <f t="shared" si="3"/>
        <v>5</v>
      </c>
    </row>
    <row r="2695">
      <c r="A2695" s="8" t="str">
        <f>IFERROR(__xludf.DUMMYFUNCTION("IF('(INGESTA)Datos_consumo_datadis'!A2695&lt;&gt;"""",SPLIT('(INGESTA)Datos_consumo_datadis'!A:A,"",""),"""")"),"ES0031408323131005HX0F")</f>
        <v>ES0031408323131005HX0F</v>
      </c>
      <c r="B2695" s="12">
        <f>IFERROR(__xludf.DUMMYFUNCTION("""COMPUTED_VALUE"""),44978.0)</f>
        <v>44978</v>
      </c>
      <c r="C2695" s="13">
        <f>IFERROR(__xludf.DUMMYFUNCTION("""COMPUTED_VALUE"""),0.25)</f>
        <v>0.25</v>
      </c>
      <c r="D2695" s="8">
        <f>IFERROR(__xludf.DUMMYFUNCTION("""COMPUTED_VALUE"""),0.792)</f>
        <v>0.792</v>
      </c>
      <c r="E2695" s="8" t="str">
        <f>IFERROR(__xludf.DUMMYFUNCTION("""COMPUTED_VALUE"""),"Real")</f>
        <v>Real</v>
      </c>
      <c r="G2695" s="8">
        <f t="shared" si="1"/>
        <v>2</v>
      </c>
      <c r="H2695" s="14">
        <f t="shared" si="2"/>
        <v>21</v>
      </c>
      <c r="I2695" s="15">
        <f t="shared" si="3"/>
        <v>6</v>
      </c>
    </row>
    <row r="2696">
      <c r="A2696" s="8" t="str">
        <f>IFERROR(__xludf.DUMMYFUNCTION("IF('(INGESTA)Datos_consumo_datadis'!A2696&lt;&gt;"""",SPLIT('(INGESTA)Datos_consumo_datadis'!A:A,"",""),"""")"),"ES0031408323131005HX0F")</f>
        <v>ES0031408323131005HX0F</v>
      </c>
      <c r="B2696" s="12">
        <f>IFERROR(__xludf.DUMMYFUNCTION("""COMPUTED_VALUE"""),44978.0)</f>
        <v>44978</v>
      </c>
      <c r="C2696" s="13">
        <f>IFERROR(__xludf.DUMMYFUNCTION("""COMPUTED_VALUE"""),0.2916666666666667)</f>
        <v>0.2916666667</v>
      </c>
      <c r="D2696" s="8">
        <f>IFERROR(__xludf.DUMMYFUNCTION("""COMPUTED_VALUE"""),1.144)</f>
        <v>1.144</v>
      </c>
      <c r="E2696" s="8" t="str">
        <f>IFERROR(__xludf.DUMMYFUNCTION("""COMPUTED_VALUE"""),"Real")</f>
        <v>Real</v>
      </c>
      <c r="G2696" s="8">
        <f t="shared" si="1"/>
        <v>2</v>
      </c>
      <c r="H2696" s="14">
        <f t="shared" si="2"/>
        <v>21</v>
      </c>
      <c r="I2696" s="15">
        <f t="shared" si="3"/>
        <v>7</v>
      </c>
    </row>
    <row r="2697">
      <c r="A2697" s="8" t="str">
        <f>IFERROR(__xludf.DUMMYFUNCTION("IF('(INGESTA)Datos_consumo_datadis'!A2697&lt;&gt;"""",SPLIT('(INGESTA)Datos_consumo_datadis'!A:A,"",""),"""")"),"ES0031408323131005HX0F")</f>
        <v>ES0031408323131005HX0F</v>
      </c>
      <c r="B2697" s="12">
        <f>IFERROR(__xludf.DUMMYFUNCTION("""COMPUTED_VALUE"""),44978.0)</f>
        <v>44978</v>
      </c>
      <c r="C2697" s="13">
        <f>IFERROR(__xludf.DUMMYFUNCTION("""COMPUTED_VALUE"""),0.3333333333333333)</f>
        <v>0.3333333333</v>
      </c>
      <c r="D2697" s="8">
        <f>IFERROR(__xludf.DUMMYFUNCTION("""COMPUTED_VALUE"""),0.315)</f>
        <v>0.315</v>
      </c>
      <c r="E2697" s="8" t="str">
        <f>IFERROR(__xludf.DUMMYFUNCTION("""COMPUTED_VALUE"""),"Real")</f>
        <v>Real</v>
      </c>
      <c r="G2697" s="8">
        <f t="shared" si="1"/>
        <v>2</v>
      </c>
      <c r="H2697" s="14">
        <f t="shared" si="2"/>
        <v>21</v>
      </c>
      <c r="I2697" s="15">
        <f t="shared" si="3"/>
        <v>8</v>
      </c>
    </row>
    <row r="2698">
      <c r="A2698" s="8" t="str">
        <f>IFERROR(__xludf.DUMMYFUNCTION("IF('(INGESTA)Datos_consumo_datadis'!A2698&lt;&gt;"""",SPLIT('(INGESTA)Datos_consumo_datadis'!A:A,"",""),"""")"),"ES0031408323131005HX0F")</f>
        <v>ES0031408323131005HX0F</v>
      </c>
      <c r="B2698" s="12">
        <f>IFERROR(__xludf.DUMMYFUNCTION("""COMPUTED_VALUE"""),44978.0)</f>
        <v>44978</v>
      </c>
      <c r="C2698" s="13">
        <f>IFERROR(__xludf.DUMMYFUNCTION("""COMPUTED_VALUE"""),0.375)</f>
        <v>0.375</v>
      </c>
      <c r="D2698" s="8">
        <f>IFERROR(__xludf.DUMMYFUNCTION("""COMPUTED_VALUE"""),0.34)</f>
        <v>0.34</v>
      </c>
      <c r="E2698" s="8" t="str">
        <f>IFERROR(__xludf.DUMMYFUNCTION("""COMPUTED_VALUE"""),"Real")</f>
        <v>Real</v>
      </c>
      <c r="G2698" s="8">
        <f t="shared" si="1"/>
        <v>2</v>
      </c>
      <c r="H2698" s="14">
        <f t="shared" si="2"/>
        <v>21</v>
      </c>
      <c r="I2698" s="15">
        <f t="shared" si="3"/>
        <v>9</v>
      </c>
    </row>
    <row r="2699">
      <c r="A2699" s="8" t="str">
        <f>IFERROR(__xludf.DUMMYFUNCTION("IF('(INGESTA)Datos_consumo_datadis'!A2699&lt;&gt;"""",SPLIT('(INGESTA)Datos_consumo_datadis'!A:A,"",""),"""")"),"ES0031408323131005HX0F")</f>
        <v>ES0031408323131005HX0F</v>
      </c>
      <c r="B2699" s="12">
        <f>IFERROR(__xludf.DUMMYFUNCTION("""COMPUTED_VALUE"""),44978.0)</f>
        <v>44978</v>
      </c>
      <c r="C2699" s="13">
        <f>IFERROR(__xludf.DUMMYFUNCTION("""COMPUTED_VALUE"""),0.4166666666666667)</f>
        <v>0.4166666667</v>
      </c>
      <c r="D2699" s="8">
        <f>IFERROR(__xludf.DUMMYFUNCTION("""COMPUTED_VALUE"""),0.078)</f>
        <v>0.078</v>
      </c>
      <c r="E2699" s="8" t="str">
        <f>IFERROR(__xludf.DUMMYFUNCTION("""COMPUTED_VALUE"""),"Real")</f>
        <v>Real</v>
      </c>
      <c r="G2699" s="8">
        <f t="shared" si="1"/>
        <v>2</v>
      </c>
      <c r="H2699" s="14">
        <f t="shared" si="2"/>
        <v>21</v>
      </c>
      <c r="I2699" s="15">
        <f t="shared" si="3"/>
        <v>10</v>
      </c>
    </row>
    <row r="2700">
      <c r="A2700" s="8" t="str">
        <f>IFERROR(__xludf.DUMMYFUNCTION("IF('(INGESTA)Datos_consumo_datadis'!A2700&lt;&gt;"""",SPLIT('(INGESTA)Datos_consumo_datadis'!A:A,"",""),"""")"),"ES0031408323131005HX0F")</f>
        <v>ES0031408323131005HX0F</v>
      </c>
      <c r="B2700" s="12">
        <f>IFERROR(__xludf.DUMMYFUNCTION("""COMPUTED_VALUE"""),44978.0)</f>
        <v>44978</v>
      </c>
      <c r="C2700" s="13">
        <f>IFERROR(__xludf.DUMMYFUNCTION("""COMPUTED_VALUE"""),0.4583333333333333)</f>
        <v>0.4583333333</v>
      </c>
      <c r="D2700" s="8">
        <f>IFERROR(__xludf.DUMMYFUNCTION("""COMPUTED_VALUE"""),0.052)</f>
        <v>0.052</v>
      </c>
      <c r="E2700" s="8" t="str">
        <f>IFERROR(__xludf.DUMMYFUNCTION("""COMPUTED_VALUE"""),"Real")</f>
        <v>Real</v>
      </c>
      <c r="G2700" s="8">
        <f t="shared" si="1"/>
        <v>2</v>
      </c>
      <c r="H2700" s="14">
        <f t="shared" si="2"/>
        <v>21</v>
      </c>
      <c r="I2700" s="15">
        <f t="shared" si="3"/>
        <v>11</v>
      </c>
    </row>
    <row r="2701">
      <c r="A2701" s="8" t="str">
        <f>IFERROR(__xludf.DUMMYFUNCTION("IF('(INGESTA)Datos_consumo_datadis'!A2701&lt;&gt;"""",SPLIT('(INGESTA)Datos_consumo_datadis'!A:A,"",""),"""")"),"ES0031408323131005HX0F")</f>
        <v>ES0031408323131005HX0F</v>
      </c>
      <c r="B2701" s="12">
        <f>IFERROR(__xludf.DUMMYFUNCTION("""COMPUTED_VALUE"""),44978.0)</f>
        <v>44978</v>
      </c>
      <c r="C2701" s="13">
        <f>IFERROR(__xludf.DUMMYFUNCTION("""COMPUTED_VALUE"""),0.5)</f>
        <v>0.5</v>
      </c>
      <c r="D2701" s="8">
        <f>IFERROR(__xludf.DUMMYFUNCTION("""COMPUTED_VALUE"""),0.016)</f>
        <v>0.016</v>
      </c>
      <c r="E2701" s="8" t="str">
        <f>IFERROR(__xludf.DUMMYFUNCTION("""COMPUTED_VALUE"""),"Real")</f>
        <v>Real</v>
      </c>
      <c r="G2701" s="8">
        <f t="shared" si="1"/>
        <v>2</v>
      </c>
      <c r="H2701" s="14">
        <f t="shared" si="2"/>
        <v>21</v>
      </c>
      <c r="I2701" s="15">
        <f t="shared" si="3"/>
        <v>12</v>
      </c>
    </row>
    <row r="2702">
      <c r="A2702" s="8" t="str">
        <f>IFERROR(__xludf.DUMMYFUNCTION("IF('(INGESTA)Datos_consumo_datadis'!A2702&lt;&gt;"""",SPLIT('(INGESTA)Datos_consumo_datadis'!A:A,"",""),"""")"),"ES0031408323131005HX0F")</f>
        <v>ES0031408323131005HX0F</v>
      </c>
      <c r="B2702" s="12">
        <f>IFERROR(__xludf.DUMMYFUNCTION("""COMPUTED_VALUE"""),44978.0)</f>
        <v>44978</v>
      </c>
      <c r="C2702" s="13">
        <f>IFERROR(__xludf.DUMMYFUNCTION("""COMPUTED_VALUE"""),0.5416666666666666)</f>
        <v>0.5416666667</v>
      </c>
      <c r="D2702" s="8">
        <f>IFERROR(__xludf.DUMMYFUNCTION("""COMPUTED_VALUE"""),0.089)</f>
        <v>0.089</v>
      </c>
      <c r="E2702" s="8" t="str">
        <f>IFERROR(__xludf.DUMMYFUNCTION("""COMPUTED_VALUE"""),"Real")</f>
        <v>Real</v>
      </c>
      <c r="G2702" s="8">
        <f t="shared" si="1"/>
        <v>2</v>
      </c>
      <c r="H2702" s="14">
        <f t="shared" si="2"/>
        <v>21</v>
      </c>
      <c r="I2702" s="15">
        <f t="shared" si="3"/>
        <v>13</v>
      </c>
    </row>
    <row r="2703">
      <c r="A2703" s="8" t="str">
        <f>IFERROR(__xludf.DUMMYFUNCTION("IF('(INGESTA)Datos_consumo_datadis'!A2703&lt;&gt;"""",SPLIT('(INGESTA)Datos_consumo_datadis'!A:A,"",""),"""")"),"ES0031408323131005HX0F")</f>
        <v>ES0031408323131005HX0F</v>
      </c>
      <c r="B2703" s="12">
        <f>IFERROR(__xludf.DUMMYFUNCTION("""COMPUTED_VALUE"""),44978.0)</f>
        <v>44978</v>
      </c>
      <c r="C2703" s="13">
        <f>IFERROR(__xludf.DUMMYFUNCTION("""COMPUTED_VALUE"""),0.5833333333333334)</f>
        <v>0.5833333333</v>
      </c>
      <c r="D2703" s="8">
        <f>IFERROR(__xludf.DUMMYFUNCTION("""COMPUTED_VALUE"""),0.304)</f>
        <v>0.304</v>
      </c>
      <c r="E2703" s="8" t="str">
        <f>IFERROR(__xludf.DUMMYFUNCTION("""COMPUTED_VALUE"""),"Real")</f>
        <v>Real</v>
      </c>
      <c r="G2703" s="8">
        <f t="shared" si="1"/>
        <v>2</v>
      </c>
      <c r="H2703" s="14">
        <f t="shared" si="2"/>
        <v>21</v>
      </c>
      <c r="I2703" s="15">
        <f t="shared" si="3"/>
        <v>14</v>
      </c>
    </row>
    <row r="2704">
      <c r="A2704" s="8" t="str">
        <f>IFERROR(__xludf.DUMMYFUNCTION("IF('(INGESTA)Datos_consumo_datadis'!A2704&lt;&gt;"""",SPLIT('(INGESTA)Datos_consumo_datadis'!A:A,"",""),"""")"),"ES0031408323131005HX0F")</f>
        <v>ES0031408323131005HX0F</v>
      </c>
      <c r="B2704" s="12">
        <f>IFERROR(__xludf.DUMMYFUNCTION("""COMPUTED_VALUE"""),44978.0)</f>
        <v>44978</v>
      </c>
      <c r="C2704" s="13">
        <f>IFERROR(__xludf.DUMMYFUNCTION("""COMPUTED_VALUE"""),0.625)</f>
        <v>0.625</v>
      </c>
      <c r="D2704" s="8">
        <f>IFERROR(__xludf.DUMMYFUNCTION("""COMPUTED_VALUE"""),0.016)</f>
        <v>0.016</v>
      </c>
      <c r="E2704" s="8" t="str">
        <f>IFERROR(__xludf.DUMMYFUNCTION("""COMPUTED_VALUE"""),"Real")</f>
        <v>Real</v>
      </c>
      <c r="G2704" s="8">
        <f t="shared" si="1"/>
        <v>2</v>
      </c>
      <c r="H2704" s="14">
        <f t="shared" si="2"/>
        <v>21</v>
      </c>
      <c r="I2704" s="15">
        <f t="shared" si="3"/>
        <v>15</v>
      </c>
    </row>
    <row r="2705">
      <c r="A2705" s="8" t="str">
        <f>IFERROR(__xludf.DUMMYFUNCTION("IF('(INGESTA)Datos_consumo_datadis'!A2705&lt;&gt;"""",SPLIT('(INGESTA)Datos_consumo_datadis'!A:A,"",""),"""")"),"ES0031408323131005HX0F")</f>
        <v>ES0031408323131005HX0F</v>
      </c>
      <c r="B2705" s="12">
        <f>IFERROR(__xludf.DUMMYFUNCTION("""COMPUTED_VALUE"""),44978.0)</f>
        <v>44978</v>
      </c>
      <c r="C2705" s="13">
        <f>IFERROR(__xludf.DUMMYFUNCTION("""COMPUTED_VALUE"""),0.6666666666666666)</f>
        <v>0.6666666667</v>
      </c>
      <c r="D2705" s="8">
        <f>IFERROR(__xludf.DUMMYFUNCTION("""COMPUTED_VALUE"""),0.073)</f>
        <v>0.073</v>
      </c>
      <c r="E2705" s="8" t="str">
        <f>IFERROR(__xludf.DUMMYFUNCTION("""COMPUTED_VALUE"""),"Real")</f>
        <v>Real</v>
      </c>
      <c r="G2705" s="8">
        <f t="shared" si="1"/>
        <v>2</v>
      </c>
      <c r="H2705" s="14">
        <f t="shared" si="2"/>
        <v>21</v>
      </c>
      <c r="I2705" s="15">
        <f t="shared" si="3"/>
        <v>16</v>
      </c>
    </row>
    <row r="2706">
      <c r="A2706" s="8" t="str">
        <f>IFERROR(__xludf.DUMMYFUNCTION("IF('(INGESTA)Datos_consumo_datadis'!A2706&lt;&gt;"""",SPLIT('(INGESTA)Datos_consumo_datadis'!A:A,"",""),"""")"),"ES0031408323131005HX0F")</f>
        <v>ES0031408323131005HX0F</v>
      </c>
      <c r="B2706" s="12">
        <f>IFERROR(__xludf.DUMMYFUNCTION("""COMPUTED_VALUE"""),44978.0)</f>
        <v>44978</v>
      </c>
      <c r="C2706" s="13">
        <f>IFERROR(__xludf.DUMMYFUNCTION("""COMPUTED_VALUE"""),0.7083333333333334)</f>
        <v>0.7083333333</v>
      </c>
      <c r="D2706" s="8">
        <f>IFERROR(__xludf.DUMMYFUNCTION("""COMPUTED_VALUE"""),0.056)</f>
        <v>0.056</v>
      </c>
      <c r="E2706" s="8" t="str">
        <f>IFERROR(__xludf.DUMMYFUNCTION("""COMPUTED_VALUE"""),"Real")</f>
        <v>Real</v>
      </c>
      <c r="G2706" s="8">
        <f t="shared" si="1"/>
        <v>2</v>
      </c>
      <c r="H2706" s="14">
        <f t="shared" si="2"/>
        <v>21</v>
      </c>
      <c r="I2706" s="15">
        <f t="shared" si="3"/>
        <v>17</v>
      </c>
    </row>
    <row r="2707">
      <c r="A2707" s="8" t="str">
        <f>IFERROR(__xludf.DUMMYFUNCTION("IF('(INGESTA)Datos_consumo_datadis'!A2707&lt;&gt;"""",SPLIT('(INGESTA)Datos_consumo_datadis'!A:A,"",""),"""")"),"ES0031408323131005HX0F")</f>
        <v>ES0031408323131005HX0F</v>
      </c>
      <c r="B2707" s="12">
        <f>IFERROR(__xludf.DUMMYFUNCTION("""COMPUTED_VALUE"""),44978.0)</f>
        <v>44978</v>
      </c>
      <c r="C2707" s="13">
        <f>IFERROR(__xludf.DUMMYFUNCTION("""COMPUTED_VALUE"""),0.75)</f>
        <v>0.75</v>
      </c>
      <c r="D2707" s="8">
        <f>IFERROR(__xludf.DUMMYFUNCTION("""COMPUTED_VALUE"""),0.016)</f>
        <v>0.016</v>
      </c>
      <c r="E2707" s="8" t="str">
        <f>IFERROR(__xludf.DUMMYFUNCTION("""COMPUTED_VALUE"""),"Real")</f>
        <v>Real</v>
      </c>
      <c r="G2707" s="8">
        <f t="shared" si="1"/>
        <v>2</v>
      </c>
      <c r="H2707" s="14">
        <f t="shared" si="2"/>
        <v>21</v>
      </c>
      <c r="I2707" s="15">
        <f t="shared" si="3"/>
        <v>18</v>
      </c>
    </row>
    <row r="2708">
      <c r="A2708" s="8" t="str">
        <f>IFERROR(__xludf.DUMMYFUNCTION("IF('(INGESTA)Datos_consumo_datadis'!A2708&lt;&gt;"""",SPLIT('(INGESTA)Datos_consumo_datadis'!A:A,"",""),"""")"),"ES0031408323131005HX0F")</f>
        <v>ES0031408323131005HX0F</v>
      </c>
      <c r="B2708" s="12">
        <f>IFERROR(__xludf.DUMMYFUNCTION("""COMPUTED_VALUE"""),44978.0)</f>
        <v>44978</v>
      </c>
      <c r="C2708" s="13">
        <f>IFERROR(__xludf.DUMMYFUNCTION("""COMPUTED_VALUE"""),0.7916666666666666)</f>
        <v>0.7916666667</v>
      </c>
      <c r="D2708" s="8">
        <f>IFERROR(__xludf.DUMMYFUNCTION("""COMPUTED_VALUE"""),0.059)</f>
        <v>0.059</v>
      </c>
      <c r="E2708" s="8" t="str">
        <f>IFERROR(__xludf.DUMMYFUNCTION("""COMPUTED_VALUE"""),"Real")</f>
        <v>Real</v>
      </c>
      <c r="G2708" s="8">
        <f t="shared" si="1"/>
        <v>2</v>
      </c>
      <c r="H2708" s="14">
        <f t="shared" si="2"/>
        <v>21</v>
      </c>
      <c r="I2708" s="15">
        <f t="shared" si="3"/>
        <v>19</v>
      </c>
    </row>
    <row r="2709">
      <c r="A2709" s="8" t="str">
        <f>IFERROR(__xludf.DUMMYFUNCTION("IF('(INGESTA)Datos_consumo_datadis'!A2709&lt;&gt;"""",SPLIT('(INGESTA)Datos_consumo_datadis'!A:A,"",""),"""")"),"ES0031408323131005HX0F")</f>
        <v>ES0031408323131005HX0F</v>
      </c>
      <c r="B2709" s="12">
        <f>IFERROR(__xludf.DUMMYFUNCTION("""COMPUTED_VALUE"""),44978.0)</f>
        <v>44978</v>
      </c>
      <c r="C2709" s="13">
        <f>IFERROR(__xludf.DUMMYFUNCTION("""COMPUTED_VALUE"""),0.8333333333333334)</f>
        <v>0.8333333333</v>
      </c>
      <c r="D2709" s="8">
        <f>IFERROR(__xludf.DUMMYFUNCTION("""COMPUTED_VALUE"""),0.325)</f>
        <v>0.325</v>
      </c>
      <c r="E2709" s="8" t="str">
        <f>IFERROR(__xludf.DUMMYFUNCTION("""COMPUTED_VALUE"""),"Real")</f>
        <v>Real</v>
      </c>
      <c r="G2709" s="8">
        <f t="shared" si="1"/>
        <v>2</v>
      </c>
      <c r="H2709" s="14">
        <f t="shared" si="2"/>
        <v>21</v>
      </c>
      <c r="I2709" s="15">
        <f t="shared" si="3"/>
        <v>20</v>
      </c>
    </row>
    <row r="2710">
      <c r="A2710" s="8" t="str">
        <f>IFERROR(__xludf.DUMMYFUNCTION("IF('(INGESTA)Datos_consumo_datadis'!A2710&lt;&gt;"""",SPLIT('(INGESTA)Datos_consumo_datadis'!A:A,"",""),"""")"),"ES0031408323131005HX0F")</f>
        <v>ES0031408323131005HX0F</v>
      </c>
      <c r="B2710" s="12">
        <f>IFERROR(__xludf.DUMMYFUNCTION("""COMPUTED_VALUE"""),44978.0)</f>
        <v>44978</v>
      </c>
      <c r="C2710" s="13">
        <f>IFERROR(__xludf.DUMMYFUNCTION("""COMPUTED_VALUE"""),0.875)</f>
        <v>0.875</v>
      </c>
      <c r="D2710" s="8">
        <f>IFERROR(__xludf.DUMMYFUNCTION("""COMPUTED_VALUE"""),0.026)</f>
        <v>0.026</v>
      </c>
      <c r="E2710" s="8" t="str">
        <f>IFERROR(__xludf.DUMMYFUNCTION("""COMPUTED_VALUE"""),"Real")</f>
        <v>Real</v>
      </c>
      <c r="G2710" s="8">
        <f t="shared" si="1"/>
        <v>2</v>
      </c>
      <c r="H2710" s="14">
        <f t="shared" si="2"/>
        <v>21</v>
      </c>
      <c r="I2710" s="15">
        <f t="shared" si="3"/>
        <v>21</v>
      </c>
    </row>
    <row r="2711">
      <c r="A2711" s="8" t="str">
        <f>IFERROR(__xludf.DUMMYFUNCTION("IF('(INGESTA)Datos_consumo_datadis'!A2711&lt;&gt;"""",SPLIT('(INGESTA)Datos_consumo_datadis'!A:A,"",""),"""")"),"ES0031408323131005HX0F")</f>
        <v>ES0031408323131005HX0F</v>
      </c>
      <c r="B2711" s="12">
        <f>IFERROR(__xludf.DUMMYFUNCTION("""COMPUTED_VALUE"""),44978.0)</f>
        <v>44978</v>
      </c>
      <c r="C2711" s="13">
        <f>IFERROR(__xludf.DUMMYFUNCTION("""COMPUTED_VALUE"""),0.9166666666666666)</f>
        <v>0.9166666667</v>
      </c>
      <c r="D2711" s="8">
        <f>IFERROR(__xludf.DUMMYFUNCTION("""COMPUTED_VALUE"""),0.254)</f>
        <v>0.254</v>
      </c>
      <c r="E2711" s="8" t="str">
        <f>IFERROR(__xludf.DUMMYFUNCTION("""COMPUTED_VALUE"""),"Real")</f>
        <v>Real</v>
      </c>
      <c r="G2711" s="8">
        <f t="shared" si="1"/>
        <v>2</v>
      </c>
      <c r="H2711" s="14">
        <f t="shared" si="2"/>
        <v>21</v>
      </c>
      <c r="I2711" s="15">
        <f t="shared" si="3"/>
        <v>22</v>
      </c>
    </row>
    <row r="2712">
      <c r="A2712" s="8" t="str">
        <f>IFERROR(__xludf.DUMMYFUNCTION("IF('(INGESTA)Datos_consumo_datadis'!A2712&lt;&gt;"""",SPLIT('(INGESTA)Datos_consumo_datadis'!A:A,"",""),"""")"),"ES0031408323131005HX0F")</f>
        <v>ES0031408323131005HX0F</v>
      </c>
      <c r="B2712" s="12">
        <f>IFERROR(__xludf.DUMMYFUNCTION("""COMPUTED_VALUE"""),44978.0)</f>
        <v>44978</v>
      </c>
      <c r="C2712" s="13">
        <f>IFERROR(__xludf.DUMMYFUNCTION("""COMPUTED_VALUE"""),0.9583333333333334)</f>
        <v>0.9583333333</v>
      </c>
      <c r="D2712" s="8">
        <f>IFERROR(__xludf.DUMMYFUNCTION("""COMPUTED_VALUE"""),1.412)</f>
        <v>1.412</v>
      </c>
      <c r="E2712" s="8" t="str">
        <f>IFERROR(__xludf.DUMMYFUNCTION("""COMPUTED_VALUE"""),"Real")</f>
        <v>Real</v>
      </c>
      <c r="G2712" s="8">
        <f t="shared" si="1"/>
        <v>2</v>
      </c>
      <c r="H2712" s="14">
        <f t="shared" si="2"/>
        <v>21</v>
      </c>
      <c r="I2712" s="15">
        <f t="shared" si="3"/>
        <v>23</v>
      </c>
    </row>
    <row r="2713">
      <c r="A2713" s="8" t="str">
        <f>IFERROR(__xludf.DUMMYFUNCTION("IF('(INGESTA)Datos_consumo_datadis'!A2713&lt;&gt;"""",SPLIT('(INGESTA)Datos_consumo_datadis'!A:A,"",""),"""")"),"ES0031408323131005HX0F")</f>
        <v>ES0031408323131005HX0F</v>
      </c>
      <c r="B2713" s="12">
        <f>IFERROR(__xludf.DUMMYFUNCTION("""COMPUTED_VALUE"""),44978.0)</f>
        <v>44978</v>
      </c>
      <c r="C2713" s="16">
        <f>IFERROR(__xludf.DUMMYFUNCTION("""COMPUTED_VALUE"""),1.0)</f>
        <v>1</v>
      </c>
      <c r="D2713" s="8">
        <f>IFERROR(__xludf.DUMMYFUNCTION("""COMPUTED_VALUE"""),2.851)</f>
        <v>2.851</v>
      </c>
      <c r="E2713" s="8" t="str">
        <f>IFERROR(__xludf.DUMMYFUNCTION("""COMPUTED_VALUE"""),"Real")</f>
        <v>Real</v>
      </c>
      <c r="G2713" s="8">
        <f t="shared" si="1"/>
        <v>2</v>
      </c>
      <c r="H2713" s="14">
        <f t="shared" si="2"/>
        <v>21</v>
      </c>
      <c r="I2713" s="15">
        <f t="shared" si="3"/>
        <v>0</v>
      </c>
    </row>
    <row r="2714">
      <c r="A2714" s="8" t="str">
        <f>IFERROR(__xludf.DUMMYFUNCTION("IF('(INGESTA)Datos_consumo_datadis'!A2714&lt;&gt;"""",SPLIT('(INGESTA)Datos_consumo_datadis'!A:A,"",""),"""")"),"ES0031408323131005HX0F")</f>
        <v>ES0031408323131005HX0F</v>
      </c>
      <c r="B2714" s="12">
        <f>IFERROR(__xludf.DUMMYFUNCTION("""COMPUTED_VALUE"""),44979.0)</f>
        <v>44979</v>
      </c>
      <c r="C2714" s="13">
        <f>IFERROR(__xludf.DUMMYFUNCTION("""COMPUTED_VALUE"""),0.041666666666666664)</f>
        <v>0.04166666667</v>
      </c>
      <c r="D2714" s="8">
        <f>IFERROR(__xludf.DUMMYFUNCTION("""COMPUTED_VALUE"""),1.039)</f>
        <v>1.039</v>
      </c>
      <c r="E2714" s="8" t="str">
        <f>IFERROR(__xludf.DUMMYFUNCTION("""COMPUTED_VALUE"""),"Real")</f>
        <v>Real</v>
      </c>
      <c r="G2714" s="8">
        <f t="shared" si="1"/>
        <v>2</v>
      </c>
      <c r="H2714" s="14">
        <f t="shared" si="2"/>
        <v>22</v>
      </c>
      <c r="I2714" s="15">
        <f t="shared" si="3"/>
        <v>1</v>
      </c>
    </row>
    <row r="2715">
      <c r="A2715" s="8" t="str">
        <f>IFERROR(__xludf.DUMMYFUNCTION("IF('(INGESTA)Datos_consumo_datadis'!A2715&lt;&gt;"""",SPLIT('(INGESTA)Datos_consumo_datadis'!A:A,"",""),"""")"),"ES0031408323131005HX0F")</f>
        <v>ES0031408323131005HX0F</v>
      </c>
      <c r="B2715" s="12">
        <f>IFERROR(__xludf.DUMMYFUNCTION("""COMPUTED_VALUE"""),44979.0)</f>
        <v>44979</v>
      </c>
      <c r="C2715" s="13">
        <f>IFERROR(__xludf.DUMMYFUNCTION("""COMPUTED_VALUE"""),0.08333333333333333)</f>
        <v>0.08333333333</v>
      </c>
      <c r="D2715" s="8">
        <f>IFERROR(__xludf.DUMMYFUNCTION("""COMPUTED_VALUE"""),1.06)</f>
        <v>1.06</v>
      </c>
      <c r="E2715" s="8" t="str">
        <f>IFERROR(__xludf.DUMMYFUNCTION("""COMPUTED_VALUE"""),"Real")</f>
        <v>Real</v>
      </c>
      <c r="G2715" s="8">
        <f t="shared" si="1"/>
        <v>2</v>
      </c>
      <c r="H2715" s="14">
        <f t="shared" si="2"/>
        <v>22</v>
      </c>
      <c r="I2715" s="15">
        <f t="shared" si="3"/>
        <v>2</v>
      </c>
    </row>
    <row r="2716">
      <c r="A2716" s="8" t="str">
        <f>IFERROR(__xludf.DUMMYFUNCTION("IF('(INGESTA)Datos_consumo_datadis'!A2716&lt;&gt;"""",SPLIT('(INGESTA)Datos_consumo_datadis'!A:A,"",""),"""")"),"ES0031408323131005HX0F")</f>
        <v>ES0031408323131005HX0F</v>
      </c>
      <c r="B2716" s="12">
        <f>IFERROR(__xludf.DUMMYFUNCTION("""COMPUTED_VALUE"""),44979.0)</f>
        <v>44979</v>
      </c>
      <c r="C2716" s="13">
        <f>IFERROR(__xludf.DUMMYFUNCTION("""COMPUTED_VALUE"""),0.125)</f>
        <v>0.125</v>
      </c>
      <c r="D2716" s="8">
        <f>IFERROR(__xludf.DUMMYFUNCTION("""COMPUTED_VALUE"""),0.655)</f>
        <v>0.655</v>
      </c>
      <c r="E2716" s="8" t="str">
        <f>IFERROR(__xludf.DUMMYFUNCTION("""COMPUTED_VALUE"""),"Real")</f>
        <v>Real</v>
      </c>
      <c r="G2716" s="8">
        <f t="shared" si="1"/>
        <v>2</v>
      </c>
      <c r="H2716" s="14">
        <f t="shared" si="2"/>
        <v>22</v>
      </c>
      <c r="I2716" s="15">
        <f t="shared" si="3"/>
        <v>3</v>
      </c>
    </row>
    <row r="2717">
      <c r="A2717" s="8" t="str">
        <f>IFERROR(__xludf.DUMMYFUNCTION("IF('(INGESTA)Datos_consumo_datadis'!A2717&lt;&gt;"""",SPLIT('(INGESTA)Datos_consumo_datadis'!A:A,"",""),"""")"),"ES0031408323131005HX0F")</f>
        <v>ES0031408323131005HX0F</v>
      </c>
      <c r="B2717" s="12">
        <f>IFERROR(__xludf.DUMMYFUNCTION("""COMPUTED_VALUE"""),44979.0)</f>
        <v>44979</v>
      </c>
      <c r="C2717" s="13">
        <f>IFERROR(__xludf.DUMMYFUNCTION("""COMPUTED_VALUE"""),0.16666666666666666)</f>
        <v>0.1666666667</v>
      </c>
      <c r="D2717" s="8">
        <f>IFERROR(__xludf.DUMMYFUNCTION("""COMPUTED_VALUE"""),0.674)</f>
        <v>0.674</v>
      </c>
      <c r="E2717" s="8" t="str">
        <f>IFERROR(__xludf.DUMMYFUNCTION("""COMPUTED_VALUE"""),"Real")</f>
        <v>Real</v>
      </c>
      <c r="G2717" s="8">
        <f t="shared" si="1"/>
        <v>2</v>
      </c>
      <c r="H2717" s="14">
        <f t="shared" si="2"/>
        <v>22</v>
      </c>
      <c r="I2717" s="15">
        <f t="shared" si="3"/>
        <v>4</v>
      </c>
    </row>
    <row r="2718">
      <c r="A2718" s="8" t="str">
        <f>IFERROR(__xludf.DUMMYFUNCTION("IF('(INGESTA)Datos_consumo_datadis'!A2718&lt;&gt;"""",SPLIT('(INGESTA)Datos_consumo_datadis'!A:A,"",""),"""")"),"ES0031408323131005HX0F")</f>
        <v>ES0031408323131005HX0F</v>
      </c>
      <c r="B2718" s="12">
        <f>IFERROR(__xludf.DUMMYFUNCTION("""COMPUTED_VALUE"""),44979.0)</f>
        <v>44979</v>
      </c>
      <c r="C2718" s="13">
        <f>IFERROR(__xludf.DUMMYFUNCTION("""COMPUTED_VALUE"""),0.20833333333333334)</f>
        <v>0.2083333333</v>
      </c>
      <c r="D2718" s="8">
        <f>IFERROR(__xludf.DUMMYFUNCTION("""COMPUTED_VALUE"""),0.679)</f>
        <v>0.679</v>
      </c>
      <c r="E2718" s="8" t="str">
        <f>IFERROR(__xludf.DUMMYFUNCTION("""COMPUTED_VALUE"""),"Real")</f>
        <v>Real</v>
      </c>
      <c r="G2718" s="8">
        <f t="shared" si="1"/>
        <v>2</v>
      </c>
      <c r="H2718" s="14">
        <f t="shared" si="2"/>
        <v>22</v>
      </c>
      <c r="I2718" s="15">
        <f t="shared" si="3"/>
        <v>5</v>
      </c>
    </row>
    <row r="2719">
      <c r="A2719" s="8" t="str">
        <f>IFERROR(__xludf.DUMMYFUNCTION("IF('(INGESTA)Datos_consumo_datadis'!A2719&lt;&gt;"""",SPLIT('(INGESTA)Datos_consumo_datadis'!A:A,"",""),"""")"),"ES0031408323131005HX0F")</f>
        <v>ES0031408323131005HX0F</v>
      </c>
      <c r="B2719" s="12">
        <f>IFERROR(__xludf.DUMMYFUNCTION("""COMPUTED_VALUE"""),44979.0)</f>
        <v>44979</v>
      </c>
      <c r="C2719" s="13">
        <f>IFERROR(__xludf.DUMMYFUNCTION("""COMPUTED_VALUE"""),0.25)</f>
        <v>0.25</v>
      </c>
      <c r="D2719" s="8">
        <f>IFERROR(__xludf.DUMMYFUNCTION("""COMPUTED_VALUE"""),0.633)</f>
        <v>0.633</v>
      </c>
      <c r="E2719" s="8" t="str">
        <f>IFERROR(__xludf.DUMMYFUNCTION("""COMPUTED_VALUE"""),"Real")</f>
        <v>Real</v>
      </c>
      <c r="G2719" s="8">
        <f t="shared" si="1"/>
        <v>2</v>
      </c>
      <c r="H2719" s="14">
        <f t="shared" si="2"/>
        <v>22</v>
      </c>
      <c r="I2719" s="15">
        <f t="shared" si="3"/>
        <v>6</v>
      </c>
    </row>
    <row r="2720">
      <c r="A2720" s="8" t="str">
        <f>IFERROR(__xludf.DUMMYFUNCTION("IF('(INGESTA)Datos_consumo_datadis'!A2720&lt;&gt;"""",SPLIT('(INGESTA)Datos_consumo_datadis'!A:A,"",""),"""")"),"ES0031408323131005HX0F")</f>
        <v>ES0031408323131005HX0F</v>
      </c>
      <c r="B2720" s="12">
        <f>IFERROR(__xludf.DUMMYFUNCTION("""COMPUTED_VALUE"""),44979.0)</f>
        <v>44979</v>
      </c>
      <c r="C2720" s="13">
        <f>IFERROR(__xludf.DUMMYFUNCTION("""COMPUTED_VALUE"""),0.2916666666666667)</f>
        <v>0.2916666667</v>
      </c>
      <c r="D2720" s="8">
        <f>IFERROR(__xludf.DUMMYFUNCTION("""COMPUTED_VALUE"""),1.215)</f>
        <v>1.215</v>
      </c>
      <c r="E2720" s="8" t="str">
        <f>IFERROR(__xludf.DUMMYFUNCTION("""COMPUTED_VALUE"""),"Real")</f>
        <v>Real</v>
      </c>
      <c r="G2720" s="8">
        <f t="shared" si="1"/>
        <v>2</v>
      </c>
      <c r="H2720" s="14">
        <f t="shared" si="2"/>
        <v>22</v>
      </c>
      <c r="I2720" s="15">
        <f t="shared" si="3"/>
        <v>7</v>
      </c>
    </row>
    <row r="2721">
      <c r="A2721" s="8" t="str">
        <f>IFERROR(__xludf.DUMMYFUNCTION("IF('(INGESTA)Datos_consumo_datadis'!A2721&lt;&gt;"""",SPLIT('(INGESTA)Datos_consumo_datadis'!A:A,"",""),"""")"),"ES0031408323131005HX0F")</f>
        <v>ES0031408323131005HX0F</v>
      </c>
      <c r="B2721" s="12">
        <f>IFERROR(__xludf.DUMMYFUNCTION("""COMPUTED_VALUE"""),44979.0)</f>
        <v>44979</v>
      </c>
      <c r="C2721" s="13">
        <f>IFERROR(__xludf.DUMMYFUNCTION("""COMPUTED_VALUE"""),0.3333333333333333)</f>
        <v>0.3333333333</v>
      </c>
      <c r="D2721" s="8">
        <f>IFERROR(__xludf.DUMMYFUNCTION("""COMPUTED_VALUE"""),0.743)</f>
        <v>0.743</v>
      </c>
      <c r="E2721" s="8" t="str">
        <f>IFERROR(__xludf.DUMMYFUNCTION("""COMPUTED_VALUE"""),"Real")</f>
        <v>Real</v>
      </c>
      <c r="G2721" s="8">
        <f t="shared" si="1"/>
        <v>2</v>
      </c>
      <c r="H2721" s="14">
        <f t="shared" si="2"/>
        <v>22</v>
      </c>
      <c r="I2721" s="15">
        <f t="shared" si="3"/>
        <v>8</v>
      </c>
    </row>
    <row r="2722">
      <c r="A2722" s="8" t="str">
        <f>IFERROR(__xludf.DUMMYFUNCTION("IF('(INGESTA)Datos_consumo_datadis'!A2722&lt;&gt;"""",SPLIT('(INGESTA)Datos_consumo_datadis'!A:A,"",""),"""")"),"ES0031408323131005HX0F")</f>
        <v>ES0031408323131005HX0F</v>
      </c>
      <c r="B2722" s="12">
        <f>IFERROR(__xludf.DUMMYFUNCTION("""COMPUTED_VALUE"""),44979.0)</f>
        <v>44979</v>
      </c>
      <c r="C2722" s="13">
        <f>IFERROR(__xludf.DUMMYFUNCTION("""COMPUTED_VALUE"""),0.375)</f>
        <v>0.375</v>
      </c>
      <c r="D2722" s="8">
        <f>IFERROR(__xludf.DUMMYFUNCTION("""COMPUTED_VALUE"""),0.321)</f>
        <v>0.321</v>
      </c>
      <c r="E2722" s="8" t="str">
        <f>IFERROR(__xludf.DUMMYFUNCTION("""COMPUTED_VALUE"""),"Real")</f>
        <v>Real</v>
      </c>
      <c r="G2722" s="8">
        <f t="shared" si="1"/>
        <v>2</v>
      </c>
      <c r="H2722" s="14">
        <f t="shared" si="2"/>
        <v>22</v>
      </c>
      <c r="I2722" s="15">
        <f t="shared" si="3"/>
        <v>9</v>
      </c>
    </row>
    <row r="2723">
      <c r="A2723" s="8" t="str">
        <f>IFERROR(__xludf.DUMMYFUNCTION("IF('(INGESTA)Datos_consumo_datadis'!A2723&lt;&gt;"""",SPLIT('(INGESTA)Datos_consumo_datadis'!A:A,"",""),"""")"),"ES0031408323131005HX0F")</f>
        <v>ES0031408323131005HX0F</v>
      </c>
      <c r="B2723" s="12">
        <f>IFERROR(__xludf.DUMMYFUNCTION("""COMPUTED_VALUE"""),44979.0)</f>
        <v>44979</v>
      </c>
      <c r="C2723" s="13">
        <f>IFERROR(__xludf.DUMMYFUNCTION("""COMPUTED_VALUE"""),0.4166666666666667)</f>
        <v>0.4166666667</v>
      </c>
      <c r="D2723" s="8">
        <f>IFERROR(__xludf.DUMMYFUNCTION("""COMPUTED_VALUE"""),0.059)</f>
        <v>0.059</v>
      </c>
      <c r="E2723" s="8" t="str">
        <f>IFERROR(__xludf.DUMMYFUNCTION("""COMPUTED_VALUE"""),"Real")</f>
        <v>Real</v>
      </c>
      <c r="G2723" s="8">
        <f t="shared" si="1"/>
        <v>2</v>
      </c>
      <c r="H2723" s="14">
        <f t="shared" si="2"/>
        <v>22</v>
      </c>
      <c r="I2723" s="15">
        <f t="shared" si="3"/>
        <v>10</v>
      </c>
    </row>
    <row r="2724">
      <c r="A2724" s="8" t="str">
        <f>IFERROR(__xludf.DUMMYFUNCTION("IF('(INGESTA)Datos_consumo_datadis'!A2724&lt;&gt;"""",SPLIT('(INGESTA)Datos_consumo_datadis'!A:A,"",""),"""")"),"ES0031408323131005HX0F")</f>
        <v>ES0031408323131005HX0F</v>
      </c>
      <c r="B2724" s="12">
        <f>IFERROR(__xludf.DUMMYFUNCTION("""COMPUTED_VALUE"""),44979.0)</f>
        <v>44979</v>
      </c>
      <c r="C2724" s="13">
        <f>IFERROR(__xludf.DUMMYFUNCTION("""COMPUTED_VALUE"""),0.4583333333333333)</f>
        <v>0.4583333333</v>
      </c>
      <c r="D2724" s="8">
        <f>IFERROR(__xludf.DUMMYFUNCTION("""COMPUTED_VALUE"""),0.068)</f>
        <v>0.068</v>
      </c>
      <c r="E2724" s="8" t="str">
        <f>IFERROR(__xludf.DUMMYFUNCTION("""COMPUTED_VALUE"""),"Real")</f>
        <v>Real</v>
      </c>
      <c r="G2724" s="8">
        <f t="shared" si="1"/>
        <v>2</v>
      </c>
      <c r="H2724" s="14">
        <f t="shared" si="2"/>
        <v>22</v>
      </c>
      <c r="I2724" s="15">
        <f t="shared" si="3"/>
        <v>11</v>
      </c>
    </row>
    <row r="2725">
      <c r="A2725" s="8" t="str">
        <f>IFERROR(__xludf.DUMMYFUNCTION("IF('(INGESTA)Datos_consumo_datadis'!A2725&lt;&gt;"""",SPLIT('(INGESTA)Datos_consumo_datadis'!A:A,"",""),"""")"),"ES0031408323131005HX0F")</f>
        <v>ES0031408323131005HX0F</v>
      </c>
      <c r="B2725" s="12">
        <f>IFERROR(__xludf.DUMMYFUNCTION("""COMPUTED_VALUE"""),44979.0)</f>
        <v>44979</v>
      </c>
      <c r="C2725" s="13">
        <f>IFERROR(__xludf.DUMMYFUNCTION("""COMPUTED_VALUE"""),0.5)</f>
        <v>0.5</v>
      </c>
      <c r="D2725" s="8">
        <f>IFERROR(__xludf.DUMMYFUNCTION("""COMPUTED_VALUE"""),0.016)</f>
        <v>0.016</v>
      </c>
      <c r="E2725" s="8" t="str">
        <f>IFERROR(__xludf.DUMMYFUNCTION("""COMPUTED_VALUE"""),"Real")</f>
        <v>Real</v>
      </c>
      <c r="G2725" s="8">
        <f t="shared" si="1"/>
        <v>2</v>
      </c>
      <c r="H2725" s="14">
        <f t="shared" si="2"/>
        <v>22</v>
      </c>
      <c r="I2725" s="15">
        <f t="shared" si="3"/>
        <v>12</v>
      </c>
    </row>
    <row r="2726">
      <c r="A2726" s="8" t="str">
        <f>IFERROR(__xludf.DUMMYFUNCTION("IF('(INGESTA)Datos_consumo_datadis'!A2726&lt;&gt;"""",SPLIT('(INGESTA)Datos_consumo_datadis'!A:A,"",""),"""")"),"ES0031408323131005HX0F")</f>
        <v>ES0031408323131005HX0F</v>
      </c>
      <c r="B2726" s="12">
        <f>IFERROR(__xludf.DUMMYFUNCTION("""COMPUTED_VALUE"""),44979.0)</f>
        <v>44979</v>
      </c>
      <c r="C2726" s="13">
        <f>IFERROR(__xludf.DUMMYFUNCTION("""COMPUTED_VALUE"""),0.5416666666666666)</f>
        <v>0.5416666667</v>
      </c>
      <c r="D2726" s="8">
        <f>IFERROR(__xludf.DUMMYFUNCTION("""COMPUTED_VALUE"""),0.043)</f>
        <v>0.043</v>
      </c>
      <c r="E2726" s="8" t="str">
        <f>IFERROR(__xludf.DUMMYFUNCTION("""COMPUTED_VALUE"""),"Real")</f>
        <v>Real</v>
      </c>
      <c r="G2726" s="8">
        <f t="shared" si="1"/>
        <v>2</v>
      </c>
      <c r="H2726" s="14">
        <f t="shared" si="2"/>
        <v>22</v>
      </c>
      <c r="I2726" s="15">
        <f t="shared" si="3"/>
        <v>13</v>
      </c>
    </row>
    <row r="2727">
      <c r="A2727" s="8" t="str">
        <f>IFERROR(__xludf.DUMMYFUNCTION("IF('(INGESTA)Datos_consumo_datadis'!A2727&lt;&gt;"""",SPLIT('(INGESTA)Datos_consumo_datadis'!A:A,"",""),"""")"),"ES0031408323131005HX0F")</f>
        <v>ES0031408323131005HX0F</v>
      </c>
      <c r="B2727" s="12">
        <f>IFERROR(__xludf.DUMMYFUNCTION("""COMPUTED_VALUE"""),44979.0)</f>
        <v>44979</v>
      </c>
      <c r="C2727" s="13">
        <f>IFERROR(__xludf.DUMMYFUNCTION("""COMPUTED_VALUE"""),0.5833333333333334)</f>
        <v>0.5833333333</v>
      </c>
      <c r="D2727" s="8">
        <f>IFERROR(__xludf.DUMMYFUNCTION("""COMPUTED_VALUE"""),0.171)</f>
        <v>0.171</v>
      </c>
      <c r="E2727" s="8" t="str">
        <f>IFERROR(__xludf.DUMMYFUNCTION("""COMPUTED_VALUE"""),"Real")</f>
        <v>Real</v>
      </c>
      <c r="G2727" s="8">
        <f t="shared" si="1"/>
        <v>2</v>
      </c>
      <c r="H2727" s="14">
        <f t="shared" si="2"/>
        <v>22</v>
      </c>
      <c r="I2727" s="15">
        <f t="shared" si="3"/>
        <v>14</v>
      </c>
    </row>
    <row r="2728">
      <c r="A2728" s="8" t="str">
        <f>IFERROR(__xludf.DUMMYFUNCTION("IF('(INGESTA)Datos_consumo_datadis'!A2728&lt;&gt;"""",SPLIT('(INGESTA)Datos_consumo_datadis'!A:A,"",""),"""")"),"ES0031408323131005HX0F")</f>
        <v>ES0031408323131005HX0F</v>
      </c>
      <c r="B2728" s="12">
        <f>IFERROR(__xludf.DUMMYFUNCTION("""COMPUTED_VALUE"""),44979.0)</f>
        <v>44979</v>
      </c>
      <c r="C2728" s="13">
        <f>IFERROR(__xludf.DUMMYFUNCTION("""COMPUTED_VALUE"""),0.625)</f>
        <v>0.625</v>
      </c>
      <c r="D2728" s="8">
        <f>IFERROR(__xludf.DUMMYFUNCTION("""COMPUTED_VALUE"""),0.198)</f>
        <v>0.198</v>
      </c>
      <c r="E2728" s="8" t="str">
        <f>IFERROR(__xludf.DUMMYFUNCTION("""COMPUTED_VALUE"""),"Real")</f>
        <v>Real</v>
      </c>
      <c r="G2728" s="8">
        <f t="shared" si="1"/>
        <v>2</v>
      </c>
      <c r="H2728" s="14">
        <f t="shared" si="2"/>
        <v>22</v>
      </c>
      <c r="I2728" s="15">
        <f t="shared" si="3"/>
        <v>15</v>
      </c>
    </row>
    <row r="2729">
      <c r="A2729" s="8" t="str">
        <f>IFERROR(__xludf.DUMMYFUNCTION("IF('(INGESTA)Datos_consumo_datadis'!A2729&lt;&gt;"""",SPLIT('(INGESTA)Datos_consumo_datadis'!A:A,"",""),"""")"),"ES0031408323131005HX0F")</f>
        <v>ES0031408323131005HX0F</v>
      </c>
      <c r="B2729" s="12">
        <f>IFERROR(__xludf.DUMMYFUNCTION("""COMPUTED_VALUE"""),44979.0)</f>
        <v>44979</v>
      </c>
      <c r="C2729" s="13">
        <f>IFERROR(__xludf.DUMMYFUNCTION("""COMPUTED_VALUE"""),0.6666666666666666)</f>
        <v>0.6666666667</v>
      </c>
      <c r="D2729" s="8">
        <f>IFERROR(__xludf.DUMMYFUNCTION("""COMPUTED_VALUE"""),0.019)</f>
        <v>0.019</v>
      </c>
      <c r="E2729" s="8" t="str">
        <f>IFERROR(__xludf.DUMMYFUNCTION("""COMPUTED_VALUE"""),"Real")</f>
        <v>Real</v>
      </c>
      <c r="G2729" s="8">
        <f t="shared" si="1"/>
        <v>2</v>
      </c>
      <c r="H2729" s="14">
        <f t="shared" si="2"/>
        <v>22</v>
      </c>
      <c r="I2729" s="15">
        <f t="shared" si="3"/>
        <v>16</v>
      </c>
    </row>
    <row r="2730">
      <c r="A2730" s="8" t="str">
        <f>IFERROR(__xludf.DUMMYFUNCTION("IF('(INGESTA)Datos_consumo_datadis'!A2730&lt;&gt;"""",SPLIT('(INGESTA)Datos_consumo_datadis'!A:A,"",""),"""")"),"ES0031408323131005HX0F")</f>
        <v>ES0031408323131005HX0F</v>
      </c>
      <c r="B2730" s="12">
        <f>IFERROR(__xludf.DUMMYFUNCTION("""COMPUTED_VALUE"""),44979.0)</f>
        <v>44979</v>
      </c>
      <c r="C2730" s="13">
        <f>IFERROR(__xludf.DUMMYFUNCTION("""COMPUTED_VALUE"""),0.7083333333333334)</f>
        <v>0.7083333333</v>
      </c>
      <c r="D2730" s="8">
        <f>IFERROR(__xludf.DUMMYFUNCTION("""COMPUTED_VALUE"""),0.087)</f>
        <v>0.087</v>
      </c>
      <c r="E2730" s="8" t="str">
        <f>IFERROR(__xludf.DUMMYFUNCTION("""COMPUTED_VALUE"""),"Real")</f>
        <v>Real</v>
      </c>
      <c r="G2730" s="8">
        <f t="shared" si="1"/>
        <v>2</v>
      </c>
      <c r="H2730" s="14">
        <f t="shared" si="2"/>
        <v>22</v>
      </c>
      <c r="I2730" s="15">
        <f t="shared" si="3"/>
        <v>17</v>
      </c>
    </row>
    <row r="2731">
      <c r="A2731" s="8" t="str">
        <f>IFERROR(__xludf.DUMMYFUNCTION("IF('(INGESTA)Datos_consumo_datadis'!A2731&lt;&gt;"""",SPLIT('(INGESTA)Datos_consumo_datadis'!A:A,"",""),"""")"),"ES0031408323131005HX0F")</f>
        <v>ES0031408323131005HX0F</v>
      </c>
      <c r="B2731" s="12">
        <f>IFERROR(__xludf.DUMMYFUNCTION("""COMPUTED_VALUE"""),44979.0)</f>
        <v>44979</v>
      </c>
      <c r="C2731" s="13">
        <f>IFERROR(__xludf.DUMMYFUNCTION("""COMPUTED_VALUE"""),0.75)</f>
        <v>0.75</v>
      </c>
      <c r="D2731" s="8">
        <f>IFERROR(__xludf.DUMMYFUNCTION("""COMPUTED_VALUE"""),0.042)</f>
        <v>0.042</v>
      </c>
      <c r="E2731" s="8" t="str">
        <f>IFERROR(__xludf.DUMMYFUNCTION("""COMPUTED_VALUE"""),"Real")</f>
        <v>Real</v>
      </c>
      <c r="G2731" s="8">
        <f t="shared" si="1"/>
        <v>2</v>
      </c>
      <c r="H2731" s="14">
        <f t="shared" si="2"/>
        <v>22</v>
      </c>
      <c r="I2731" s="15">
        <f t="shared" si="3"/>
        <v>18</v>
      </c>
    </row>
    <row r="2732">
      <c r="A2732" s="8" t="str">
        <f>IFERROR(__xludf.DUMMYFUNCTION("IF('(INGESTA)Datos_consumo_datadis'!A2732&lt;&gt;"""",SPLIT('(INGESTA)Datos_consumo_datadis'!A:A,"",""),"""")"),"ES0031408323131005HX0F")</f>
        <v>ES0031408323131005HX0F</v>
      </c>
      <c r="B2732" s="12">
        <f>IFERROR(__xludf.DUMMYFUNCTION("""COMPUTED_VALUE"""),44979.0)</f>
        <v>44979</v>
      </c>
      <c r="C2732" s="13">
        <f>IFERROR(__xludf.DUMMYFUNCTION("""COMPUTED_VALUE"""),0.7916666666666666)</f>
        <v>0.7916666667</v>
      </c>
      <c r="D2732" s="8">
        <f>IFERROR(__xludf.DUMMYFUNCTION("""COMPUTED_VALUE"""),0.016)</f>
        <v>0.016</v>
      </c>
      <c r="E2732" s="8" t="str">
        <f>IFERROR(__xludf.DUMMYFUNCTION("""COMPUTED_VALUE"""),"Real")</f>
        <v>Real</v>
      </c>
      <c r="G2732" s="8">
        <f t="shared" si="1"/>
        <v>2</v>
      </c>
      <c r="H2732" s="14">
        <f t="shared" si="2"/>
        <v>22</v>
      </c>
      <c r="I2732" s="15">
        <f t="shared" si="3"/>
        <v>19</v>
      </c>
    </row>
    <row r="2733">
      <c r="A2733" s="8" t="str">
        <f>IFERROR(__xludf.DUMMYFUNCTION("IF('(INGESTA)Datos_consumo_datadis'!A2733&lt;&gt;"""",SPLIT('(INGESTA)Datos_consumo_datadis'!A:A,"",""),"""")"),"ES0031408323131005HX0F")</f>
        <v>ES0031408323131005HX0F</v>
      </c>
      <c r="B2733" s="12">
        <f>IFERROR(__xludf.DUMMYFUNCTION("""COMPUTED_VALUE"""),44979.0)</f>
        <v>44979</v>
      </c>
      <c r="C2733" s="13">
        <f>IFERROR(__xludf.DUMMYFUNCTION("""COMPUTED_VALUE"""),0.8333333333333334)</f>
        <v>0.8333333333</v>
      </c>
      <c r="D2733" s="8">
        <f>IFERROR(__xludf.DUMMYFUNCTION("""COMPUTED_VALUE"""),0.088)</f>
        <v>0.088</v>
      </c>
      <c r="E2733" s="8" t="str">
        <f>IFERROR(__xludf.DUMMYFUNCTION("""COMPUTED_VALUE"""),"Real")</f>
        <v>Real</v>
      </c>
      <c r="G2733" s="8">
        <f t="shared" si="1"/>
        <v>2</v>
      </c>
      <c r="H2733" s="14">
        <f t="shared" si="2"/>
        <v>22</v>
      </c>
      <c r="I2733" s="15">
        <f t="shared" si="3"/>
        <v>20</v>
      </c>
    </row>
    <row r="2734">
      <c r="A2734" s="8" t="str">
        <f>IFERROR(__xludf.DUMMYFUNCTION("IF('(INGESTA)Datos_consumo_datadis'!A2734&lt;&gt;"""",SPLIT('(INGESTA)Datos_consumo_datadis'!A:A,"",""),"""")"),"ES0031408323131005HX0F")</f>
        <v>ES0031408323131005HX0F</v>
      </c>
      <c r="B2734" s="12">
        <f>IFERROR(__xludf.DUMMYFUNCTION("""COMPUTED_VALUE"""),44979.0)</f>
        <v>44979</v>
      </c>
      <c r="C2734" s="13">
        <f>IFERROR(__xludf.DUMMYFUNCTION("""COMPUTED_VALUE"""),0.875)</f>
        <v>0.875</v>
      </c>
      <c r="D2734" s="8">
        <f>IFERROR(__xludf.DUMMYFUNCTION("""COMPUTED_VALUE"""),0.311)</f>
        <v>0.311</v>
      </c>
      <c r="E2734" s="8" t="str">
        <f>IFERROR(__xludf.DUMMYFUNCTION("""COMPUTED_VALUE"""),"Real")</f>
        <v>Real</v>
      </c>
      <c r="G2734" s="8">
        <f t="shared" si="1"/>
        <v>2</v>
      </c>
      <c r="H2734" s="14">
        <f t="shared" si="2"/>
        <v>22</v>
      </c>
      <c r="I2734" s="15">
        <f t="shared" si="3"/>
        <v>21</v>
      </c>
    </row>
    <row r="2735">
      <c r="A2735" s="8" t="str">
        <f>IFERROR(__xludf.DUMMYFUNCTION("IF('(INGESTA)Datos_consumo_datadis'!A2735&lt;&gt;"""",SPLIT('(INGESTA)Datos_consumo_datadis'!A:A,"",""),"""")"),"ES0031408323131005HX0F")</f>
        <v>ES0031408323131005HX0F</v>
      </c>
      <c r="B2735" s="12">
        <f>IFERROR(__xludf.DUMMYFUNCTION("""COMPUTED_VALUE"""),44979.0)</f>
        <v>44979</v>
      </c>
      <c r="C2735" s="13">
        <f>IFERROR(__xludf.DUMMYFUNCTION("""COMPUTED_VALUE"""),0.9166666666666666)</f>
        <v>0.9166666667</v>
      </c>
      <c r="D2735" s="8">
        <f>IFERROR(__xludf.DUMMYFUNCTION("""COMPUTED_VALUE"""),1.641)</f>
        <v>1.641</v>
      </c>
      <c r="E2735" s="8" t="str">
        <f>IFERROR(__xludf.DUMMYFUNCTION("""COMPUTED_VALUE"""),"Real")</f>
        <v>Real</v>
      </c>
      <c r="G2735" s="8">
        <f t="shared" si="1"/>
        <v>2</v>
      </c>
      <c r="H2735" s="14">
        <f t="shared" si="2"/>
        <v>22</v>
      </c>
      <c r="I2735" s="15">
        <f t="shared" si="3"/>
        <v>22</v>
      </c>
    </row>
    <row r="2736">
      <c r="A2736" s="8" t="str">
        <f>IFERROR(__xludf.DUMMYFUNCTION("IF('(INGESTA)Datos_consumo_datadis'!A2736&lt;&gt;"""",SPLIT('(INGESTA)Datos_consumo_datadis'!A:A,"",""),"""")"),"ES0031408323131005HX0F")</f>
        <v>ES0031408323131005HX0F</v>
      </c>
      <c r="B2736" s="12">
        <f>IFERROR(__xludf.DUMMYFUNCTION("""COMPUTED_VALUE"""),44979.0)</f>
        <v>44979</v>
      </c>
      <c r="C2736" s="13">
        <f>IFERROR(__xludf.DUMMYFUNCTION("""COMPUTED_VALUE"""),0.9583333333333334)</f>
        <v>0.9583333333</v>
      </c>
      <c r="D2736" s="8">
        <f>IFERROR(__xludf.DUMMYFUNCTION("""COMPUTED_VALUE"""),2.276)</f>
        <v>2.276</v>
      </c>
      <c r="E2736" s="8" t="str">
        <f>IFERROR(__xludf.DUMMYFUNCTION("""COMPUTED_VALUE"""),"Real")</f>
        <v>Real</v>
      </c>
      <c r="G2736" s="8">
        <f t="shared" si="1"/>
        <v>2</v>
      </c>
      <c r="H2736" s="14">
        <f t="shared" si="2"/>
        <v>22</v>
      </c>
      <c r="I2736" s="15">
        <f t="shared" si="3"/>
        <v>23</v>
      </c>
    </row>
    <row r="2737">
      <c r="A2737" s="8" t="str">
        <f>IFERROR(__xludf.DUMMYFUNCTION("IF('(INGESTA)Datos_consumo_datadis'!A2737&lt;&gt;"""",SPLIT('(INGESTA)Datos_consumo_datadis'!A:A,"",""),"""")"),"ES0031408323131005HX0F")</f>
        <v>ES0031408323131005HX0F</v>
      </c>
      <c r="B2737" s="12">
        <f>IFERROR(__xludf.DUMMYFUNCTION("""COMPUTED_VALUE"""),44979.0)</f>
        <v>44979</v>
      </c>
      <c r="C2737" s="16">
        <f>IFERROR(__xludf.DUMMYFUNCTION("""COMPUTED_VALUE"""),1.0)</f>
        <v>1</v>
      </c>
      <c r="D2737" s="8">
        <f>IFERROR(__xludf.DUMMYFUNCTION("""COMPUTED_VALUE"""),1.864)</f>
        <v>1.864</v>
      </c>
      <c r="E2737" s="8" t="str">
        <f>IFERROR(__xludf.DUMMYFUNCTION("""COMPUTED_VALUE"""),"Real")</f>
        <v>Real</v>
      </c>
      <c r="G2737" s="8">
        <f t="shared" si="1"/>
        <v>2</v>
      </c>
      <c r="H2737" s="14">
        <f t="shared" si="2"/>
        <v>22</v>
      </c>
      <c r="I2737" s="15">
        <f t="shared" si="3"/>
        <v>0</v>
      </c>
    </row>
    <row r="2738">
      <c r="A2738" s="8" t="str">
        <f>IFERROR(__xludf.DUMMYFUNCTION("IF('(INGESTA)Datos_consumo_datadis'!A2738&lt;&gt;"""",SPLIT('(INGESTA)Datos_consumo_datadis'!A:A,"",""),"""")"),"ES0031408323131005HX0F")</f>
        <v>ES0031408323131005HX0F</v>
      </c>
      <c r="B2738" s="12">
        <f>IFERROR(__xludf.DUMMYFUNCTION("""COMPUTED_VALUE"""),44980.0)</f>
        <v>44980</v>
      </c>
      <c r="C2738" s="13">
        <f>IFERROR(__xludf.DUMMYFUNCTION("""COMPUTED_VALUE"""),0.041666666666666664)</f>
        <v>0.04166666667</v>
      </c>
      <c r="D2738" s="8">
        <f>IFERROR(__xludf.DUMMYFUNCTION("""COMPUTED_VALUE"""),2.041)</f>
        <v>2.041</v>
      </c>
      <c r="E2738" s="8" t="str">
        <f>IFERROR(__xludf.DUMMYFUNCTION("""COMPUTED_VALUE"""),"Real")</f>
        <v>Real</v>
      </c>
      <c r="G2738" s="8">
        <f t="shared" si="1"/>
        <v>2</v>
      </c>
      <c r="H2738" s="14">
        <f t="shared" si="2"/>
        <v>23</v>
      </c>
      <c r="I2738" s="15">
        <f t="shared" si="3"/>
        <v>1</v>
      </c>
    </row>
    <row r="2739">
      <c r="A2739" s="8" t="str">
        <f>IFERROR(__xludf.DUMMYFUNCTION("IF('(INGESTA)Datos_consumo_datadis'!A2739&lt;&gt;"""",SPLIT('(INGESTA)Datos_consumo_datadis'!A:A,"",""),"""")"),"ES0031408323131005HX0F")</f>
        <v>ES0031408323131005HX0F</v>
      </c>
      <c r="B2739" s="12">
        <f>IFERROR(__xludf.DUMMYFUNCTION("""COMPUTED_VALUE"""),44980.0)</f>
        <v>44980</v>
      </c>
      <c r="C2739" s="13">
        <f>IFERROR(__xludf.DUMMYFUNCTION("""COMPUTED_VALUE"""),0.08333333333333333)</f>
        <v>0.08333333333</v>
      </c>
      <c r="D2739" s="8">
        <f>IFERROR(__xludf.DUMMYFUNCTION("""COMPUTED_VALUE"""),1.701)</f>
        <v>1.701</v>
      </c>
      <c r="E2739" s="8" t="str">
        <f>IFERROR(__xludf.DUMMYFUNCTION("""COMPUTED_VALUE"""),"Real")</f>
        <v>Real</v>
      </c>
      <c r="G2739" s="8">
        <f t="shared" si="1"/>
        <v>2</v>
      </c>
      <c r="H2739" s="14">
        <f t="shared" si="2"/>
        <v>23</v>
      </c>
      <c r="I2739" s="15">
        <f t="shared" si="3"/>
        <v>2</v>
      </c>
    </row>
    <row r="2740">
      <c r="A2740" s="8" t="str">
        <f>IFERROR(__xludf.DUMMYFUNCTION("IF('(INGESTA)Datos_consumo_datadis'!A2740&lt;&gt;"""",SPLIT('(INGESTA)Datos_consumo_datadis'!A:A,"",""),"""")"),"ES0031408323131005HX0F")</f>
        <v>ES0031408323131005HX0F</v>
      </c>
      <c r="B2740" s="12">
        <f>IFERROR(__xludf.DUMMYFUNCTION("""COMPUTED_VALUE"""),44980.0)</f>
        <v>44980</v>
      </c>
      <c r="C2740" s="13">
        <f>IFERROR(__xludf.DUMMYFUNCTION("""COMPUTED_VALUE"""),0.125)</f>
        <v>0.125</v>
      </c>
      <c r="D2740" s="8">
        <f>IFERROR(__xludf.DUMMYFUNCTION("""COMPUTED_VALUE"""),1.777)</f>
        <v>1.777</v>
      </c>
      <c r="E2740" s="8" t="str">
        <f>IFERROR(__xludf.DUMMYFUNCTION("""COMPUTED_VALUE"""),"Real")</f>
        <v>Real</v>
      </c>
      <c r="G2740" s="8">
        <f t="shared" si="1"/>
        <v>2</v>
      </c>
      <c r="H2740" s="14">
        <f t="shared" si="2"/>
        <v>23</v>
      </c>
      <c r="I2740" s="15">
        <f t="shared" si="3"/>
        <v>3</v>
      </c>
    </row>
    <row r="2741">
      <c r="A2741" s="8" t="str">
        <f>IFERROR(__xludf.DUMMYFUNCTION("IF('(INGESTA)Datos_consumo_datadis'!A2741&lt;&gt;"""",SPLIT('(INGESTA)Datos_consumo_datadis'!A:A,"",""),"""")"),"ES0031408323131005HX0F")</f>
        <v>ES0031408323131005HX0F</v>
      </c>
      <c r="B2741" s="12">
        <f>IFERROR(__xludf.DUMMYFUNCTION("""COMPUTED_VALUE"""),44980.0)</f>
        <v>44980</v>
      </c>
      <c r="C2741" s="13">
        <f>IFERROR(__xludf.DUMMYFUNCTION("""COMPUTED_VALUE"""),0.16666666666666666)</f>
        <v>0.1666666667</v>
      </c>
      <c r="D2741" s="8">
        <f>IFERROR(__xludf.DUMMYFUNCTION("""COMPUTED_VALUE"""),0.914)</f>
        <v>0.914</v>
      </c>
      <c r="E2741" s="8" t="str">
        <f>IFERROR(__xludf.DUMMYFUNCTION("""COMPUTED_VALUE"""),"Real")</f>
        <v>Real</v>
      </c>
      <c r="G2741" s="8">
        <f t="shared" si="1"/>
        <v>2</v>
      </c>
      <c r="H2741" s="14">
        <f t="shared" si="2"/>
        <v>23</v>
      </c>
      <c r="I2741" s="15">
        <f t="shared" si="3"/>
        <v>4</v>
      </c>
    </row>
    <row r="2742">
      <c r="A2742" s="8" t="str">
        <f>IFERROR(__xludf.DUMMYFUNCTION("IF('(INGESTA)Datos_consumo_datadis'!A2742&lt;&gt;"""",SPLIT('(INGESTA)Datos_consumo_datadis'!A:A,"",""),"""")"),"ES0031408323131005HX0F")</f>
        <v>ES0031408323131005HX0F</v>
      </c>
      <c r="B2742" s="12">
        <f>IFERROR(__xludf.DUMMYFUNCTION("""COMPUTED_VALUE"""),44980.0)</f>
        <v>44980</v>
      </c>
      <c r="C2742" s="13">
        <f>IFERROR(__xludf.DUMMYFUNCTION("""COMPUTED_VALUE"""),0.20833333333333334)</f>
        <v>0.2083333333</v>
      </c>
      <c r="D2742" s="8">
        <f>IFERROR(__xludf.DUMMYFUNCTION("""COMPUTED_VALUE"""),0.882)</f>
        <v>0.882</v>
      </c>
      <c r="E2742" s="8" t="str">
        <f>IFERROR(__xludf.DUMMYFUNCTION("""COMPUTED_VALUE"""),"Real")</f>
        <v>Real</v>
      </c>
      <c r="G2742" s="8">
        <f t="shared" si="1"/>
        <v>2</v>
      </c>
      <c r="H2742" s="14">
        <f t="shared" si="2"/>
        <v>23</v>
      </c>
      <c r="I2742" s="15">
        <f t="shared" si="3"/>
        <v>5</v>
      </c>
    </row>
    <row r="2743">
      <c r="A2743" s="8" t="str">
        <f>IFERROR(__xludf.DUMMYFUNCTION("IF('(INGESTA)Datos_consumo_datadis'!A2743&lt;&gt;"""",SPLIT('(INGESTA)Datos_consumo_datadis'!A:A,"",""),"""")"),"ES0031408323131005HX0F")</f>
        <v>ES0031408323131005HX0F</v>
      </c>
      <c r="B2743" s="12">
        <f>IFERROR(__xludf.DUMMYFUNCTION("""COMPUTED_VALUE"""),44980.0)</f>
        <v>44980</v>
      </c>
      <c r="C2743" s="13">
        <f>IFERROR(__xludf.DUMMYFUNCTION("""COMPUTED_VALUE"""),0.25)</f>
        <v>0.25</v>
      </c>
      <c r="D2743" s="8">
        <f>IFERROR(__xludf.DUMMYFUNCTION("""COMPUTED_VALUE"""),0.893)</f>
        <v>0.893</v>
      </c>
      <c r="E2743" s="8" t="str">
        <f>IFERROR(__xludf.DUMMYFUNCTION("""COMPUTED_VALUE"""),"Real")</f>
        <v>Real</v>
      </c>
      <c r="G2743" s="8">
        <f t="shared" si="1"/>
        <v>2</v>
      </c>
      <c r="H2743" s="14">
        <f t="shared" si="2"/>
        <v>23</v>
      </c>
      <c r="I2743" s="15">
        <f t="shared" si="3"/>
        <v>6</v>
      </c>
    </row>
    <row r="2744">
      <c r="A2744" s="8" t="str">
        <f>IFERROR(__xludf.DUMMYFUNCTION("IF('(INGESTA)Datos_consumo_datadis'!A2744&lt;&gt;"""",SPLIT('(INGESTA)Datos_consumo_datadis'!A:A,"",""),"""")"),"ES0031408323131005HX0F")</f>
        <v>ES0031408323131005HX0F</v>
      </c>
      <c r="B2744" s="12">
        <f>IFERROR(__xludf.DUMMYFUNCTION("""COMPUTED_VALUE"""),44980.0)</f>
        <v>44980</v>
      </c>
      <c r="C2744" s="13">
        <f>IFERROR(__xludf.DUMMYFUNCTION("""COMPUTED_VALUE"""),0.2916666666666667)</f>
        <v>0.2916666667</v>
      </c>
      <c r="D2744" s="8">
        <f>IFERROR(__xludf.DUMMYFUNCTION("""COMPUTED_VALUE"""),1.438)</f>
        <v>1.438</v>
      </c>
      <c r="E2744" s="8" t="str">
        <f>IFERROR(__xludf.DUMMYFUNCTION("""COMPUTED_VALUE"""),"Real")</f>
        <v>Real</v>
      </c>
      <c r="G2744" s="8">
        <f t="shared" si="1"/>
        <v>2</v>
      </c>
      <c r="H2744" s="14">
        <f t="shared" si="2"/>
        <v>23</v>
      </c>
      <c r="I2744" s="15">
        <f t="shared" si="3"/>
        <v>7</v>
      </c>
    </row>
    <row r="2745">
      <c r="A2745" s="8" t="str">
        <f>IFERROR(__xludf.DUMMYFUNCTION("IF('(INGESTA)Datos_consumo_datadis'!A2745&lt;&gt;"""",SPLIT('(INGESTA)Datos_consumo_datadis'!A:A,"",""),"""")"),"ES0031408323131005HX0F")</f>
        <v>ES0031408323131005HX0F</v>
      </c>
      <c r="B2745" s="12">
        <f>IFERROR(__xludf.DUMMYFUNCTION("""COMPUTED_VALUE"""),44980.0)</f>
        <v>44980</v>
      </c>
      <c r="C2745" s="13">
        <f>IFERROR(__xludf.DUMMYFUNCTION("""COMPUTED_VALUE"""),0.3333333333333333)</f>
        <v>0.3333333333</v>
      </c>
      <c r="D2745" s="8">
        <f>IFERROR(__xludf.DUMMYFUNCTION("""COMPUTED_VALUE"""),1.057)</f>
        <v>1.057</v>
      </c>
      <c r="E2745" s="8" t="str">
        <f>IFERROR(__xludf.DUMMYFUNCTION("""COMPUTED_VALUE"""),"Real")</f>
        <v>Real</v>
      </c>
      <c r="G2745" s="8">
        <f t="shared" si="1"/>
        <v>2</v>
      </c>
      <c r="H2745" s="14">
        <f t="shared" si="2"/>
        <v>23</v>
      </c>
      <c r="I2745" s="15">
        <f t="shared" si="3"/>
        <v>8</v>
      </c>
    </row>
    <row r="2746">
      <c r="A2746" s="8" t="str">
        <f>IFERROR(__xludf.DUMMYFUNCTION("IF('(INGESTA)Datos_consumo_datadis'!A2746&lt;&gt;"""",SPLIT('(INGESTA)Datos_consumo_datadis'!A:A,"",""),"""")"),"ES0031408323131005HX0F")</f>
        <v>ES0031408323131005HX0F</v>
      </c>
      <c r="B2746" s="12">
        <f>IFERROR(__xludf.DUMMYFUNCTION("""COMPUTED_VALUE"""),44980.0)</f>
        <v>44980</v>
      </c>
      <c r="C2746" s="13">
        <f>IFERROR(__xludf.DUMMYFUNCTION("""COMPUTED_VALUE"""),0.375)</f>
        <v>0.375</v>
      </c>
      <c r="D2746" s="8">
        <f>IFERROR(__xludf.DUMMYFUNCTION("""COMPUTED_VALUE"""),0.333)</f>
        <v>0.333</v>
      </c>
      <c r="E2746" s="8" t="str">
        <f>IFERROR(__xludf.DUMMYFUNCTION("""COMPUTED_VALUE"""),"Real")</f>
        <v>Real</v>
      </c>
      <c r="G2746" s="8">
        <f t="shared" si="1"/>
        <v>2</v>
      </c>
      <c r="H2746" s="14">
        <f t="shared" si="2"/>
        <v>23</v>
      </c>
      <c r="I2746" s="15">
        <f t="shared" si="3"/>
        <v>9</v>
      </c>
    </row>
    <row r="2747">
      <c r="A2747" s="8" t="str">
        <f>IFERROR(__xludf.DUMMYFUNCTION("IF('(INGESTA)Datos_consumo_datadis'!A2747&lt;&gt;"""",SPLIT('(INGESTA)Datos_consumo_datadis'!A:A,"",""),"""")"),"ES0031408323131005HX0F")</f>
        <v>ES0031408323131005HX0F</v>
      </c>
      <c r="B2747" s="12">
        <f>IFERROR(__xludf.DUMMYFUNCTION("""COMPUTED_VALUE"""),44980.0)</f>
        <v>44980</v>
      </c>
      <c r="C2747" s="13">
        <f>IFERROR(__xludf.DUMMYFUNCTION("""COMPUTED_VALUE"""),0.4166666666666667)</f>
        <v>0.4166666667</v>
      </c>
      <c r="D2747" s="8">
        <f>IFERROR(__xludf.DUMMYFUNCTION("""COMPUTED_VALUE"""),0.109)</f>
        <v>0.109</v>
      </c>
      <c r="E2747" s="8" t="str">
        <f>IFERROR(__xludf.DUMMYFUNCTION("""COMPUTED_VALUE"""),"Real")</f>
        <v>Real</v>
      </c>
      <c r="G2747" s="8">
        <f t="shared" si="1"/>
        <v>2</v>
      </c>
      <c r="H2747" s="14">
        <f t="shared" si="2"/>
        <v>23</v>
      </c>
      <c r="I2747" s="15">
        <f t="shared" si="3"/>
        <v>10</v>
      </c>
    </row>
    <row r="2748">
      <c r="A2748" s="8" t="str">
        <f>IFERROR(__xludf.DUMMYFUNCTION("IF('(INGESTA)Datos_consumo_datadis'!A2748&lt;&gt;"""",SPLIT('(INGESTA)Datos_consumo_datadis'!A:A,"",""),"""")"),"ES0031408323131005HX0F")</f>
        <v>ES0031408323131005HX0F</v>
      </c>
      <c r="B2748" s="12">
        <f>IFERROR(__xludf.DUMMYFUNCTION("""COMPUTED_VALUE"""),44980.0)</f>
        <v>44980</v>
      </c>
      <c r="C2748" s="13">
        <f>IFERROR(__xludf.DUMMYFUNCTION("""COMPUTED_VALUE"""),0.4583333333333333)</f>
        <v>0.4583333333</v>
      </c>
      <c r="D2748" s="8">
        <f>IFERROR(__xludf.DUMMYFUNCTION("""COMPUTED_VALUE"""),0.116)</f>
        <v>0.116</v>
      </c>
      <c r="E2748" s="8" t="str">
        <f>IFERROR(__xludf.DUMMYFUNCTION("""COMPUTED_VALUE"""),"Real")</f>
        <v>Real</v>
      </c>
      <c r="G2748" s="8">
        <f t="shared" si="1"/>
        <v>2</v>
      </c>
      <c r="H2748" s="14">
        <f t="shared" si="2"/>
        <v>23</v>
      </c>
      <c r="I2748" s="15">
        <f t="shared" si="3"/>
        <v>11</v>
      </c>
    </row>
    <row r="2749">
      <c r="A2749" s="8" t="str">
        <f>IFERROR(__xludf.DUMMYFUNCTION("IF('(INGESTA)Datos_consumo_datadis'!A2749&lt;&gt;"""",SPLIT('(INGESTA)Datos_consumo_datadis'!A:A,"",""),"""")"),"ES0031408323131005HX0F")</f>
        <v>ES0031408323131005HX0F</v>
      </c>
      <c r="B2749" s="12">
        <f>IFERROR(__xludf.DUMMYFUNCTION("""COMPUTED_VALUE"""),44980.0)</f>
        <v>44980</v>
      </c>
      <c r="C2749" s="13">
        <f>IFERROR(__xludf.DUMMYFUNCTION("""COMPUTED_VALUE"""),0.5)</f>
        <v>0.5</v>
      </c>
      <c r="D2749" s="8">
        <f>IFERROR(__xludf.DUMMYFUNCTION("""COMPUTED_VALUE"""),0.041)</f>
        <v>0.041</v>
      </c>
      <c r="E2749" s="8" t="str">
        <f>IFERROR(__xludf.DUMMYFUNCTION("""COMPUTED_VALUE"""),"Real")</f>
        <v>Real</v>
      </c>
      <c r="G2749" s="8">
        <f t="shared" si="1"/>
        <v>2</v>
      </c>
      <c r="H2749" s="14">
        <f t="shared" si="2"/>
        <v>23</v>
      </c>
      <c r="I2749" s="15">
        <f t="shared" si="3"/>
        <v>12</v>
      </c>
    </row>
    <row r="2750">
      <c r="A2750" s="8" t="str">
        <f>IFERROR(__xludf.DUMMYFUNCTION("IF('(INGESTA)Datos_consumo_datadis'!A2750&lt;&gt;"""",SPLIT('(INGESTA)Datos_consumo_datadis'!A:A,"",""),"""")"),"ES0031408323131005HX0F")</f>
        <v>ES0031408323131005HX0F</v>
      </c>
      <c r="B2750" s="12">
        <f>IFERROR(__xludf.DUMMYFUNCTION("""COMPUTED_VALUE"""),44980.0)</f>
        <v>44980</v>
      </c>
      <c r="C2750" s="13">
        <f>IFERROR(__xludf.DUMMYFUNCTION("""COMPUTED_VALUE"""),0.5416666666666666)</f>
        <v>0.5416666667</v>
      </c>
      <c r="D2750" s="8">
        <f>IFERROR(__xludf.DUMMYFUNCTION("""COMPUTED_VALUE"""),0.016)</f>
        <v>0.016</v>
      </c>
      <c r="E2750" s="8" t="str">
        <f>IFERROR(__xludf.DUMMYFUNCTION("""COMPUTED_VALUE"""),"Real")</f>
        <v>Real</v>
      </c>
      <c r="G2750" s="8">
        <f t="shared" si="1"/>
        <v>2</v>
      </c>
      <c r="H2750" s="14">
        <f t="shared" si="2"/>
        <v>23</v>
      </c>
      <c r="I2750" s="15">
        <f t="shared" si="3"/>
        <v>13</v>
      </c>
    </row>
    <row r="2751">
      <c r="A2751" s="8" t="str">
        <f>IFERROR(__xludf.DUMMYFUNCTION("IF('(INGESTA)Datos_consumo_datadis'!A2751&lt;&gt;"""",SPLIT('(INGESTA)Datos_consumo_datadis'!A:A,"",""),"""")"),"ES0031408323131005HX0F")</f>
        <v>ES0031408323131005HX0F</v>
      </c>
      <c r="B2751" s="12">
        <f>IFERROR(__xludf.DUMMYFUNCTION("""COMPUTED_VALUE"""),44980.0)</f>
        <v>44980</v>
      </c>
      <c r="C2751" s="13">
        <f>IFERROR(__xludf.DUMMYFUNCTION("""COMPUTED_VALUE"""),0.5833333333333334)</f>
        <v>0.5833333333</v>
      </c>
      <c r="D2751" s="8">
        <f>IFERROR(__xludf.DUMMYFUNCTION("""COMPUTED_VALUE"""),0.355)</f>
        <v>0.355</v>
      </c>
      <c r="E2751" s="8" t="str">
        <f>IFERROR(__xludf.DUMMYFUNCTION("""COMPUTED_VALUE"""),"Real")</f>
        <v>Real</v>
      </c>
      <c r="G2751" s="8">
        <f t="shared" si="1"/>
        <v>2</v>
      </c>
      <c r="H2751" s="14">
        <f t="shared" si="2"/>
        <v>23</v>
      </c>
      <c r="I2751" s="15">
        <f t="shared" si="3"/>
        <v>14</v>
      </c>
    </row>
    <row r="2752">
      <c r="A2752" s="8" t="str">
        <f>IFERROR(__xludf.DUMMYFUNCTION("IF('(INGESTA)Datos_consumo_datadis'!A2752&lt;&gt;"""",SPLIT('(INGESTA)Datos_consumo_datadis'!A:A,"",""),"""")"),"ES0031408323131005HX0F")</f>
        <v>ES0031408323131005HX0F</v>
      </c>
      <c r="B2752" s="12">
        <f>IFERROR(__xludf.DUMMYFUNCTION("""COMPUTED_VALUE"""),44980.0)</f>
        <v>44980</v>
      </c>
      <c r="C2752" s="13">
        <f>IFERROR(__xludf.DUMMYFUNCTION("""COMPUTED_VALUE"""),0.625)</f>
        <v>0.625</v>
      </c>
      <c r="D2752" s="8">
        <f>IFERROR(__xludf.DUMMYFUNCTION("""COMPUTED_VALUE"""),0.043)</f>
        <v>0.043</v>
      </c>
      <c r="E2752" s="8" t="str">
        <f>IFERROR(__xludf.DUMMYFUNCTION("""COMPUTED_VALUE"""),"Real")</f>
        <v>Real</v>
      </c>
      <c r="G2752" s="8">
        <f t="shared" si="1"/>
        <v>2</v>
      </c>
      <c r="H2752" s="14">
        <f t="shared" si="2"/>
        <v>23</v>
      </c>
      <c r="I2752" s="15">
        <f t="shared" si="3"/>
        <v>15</v>
      </c>
    </row>
    <row r="2753">
      <c r="A2753" s="8" t="str">
        <f>IFERROR(__xludf.DUMMYFUNCTION("IF('(INGESTA)Datos_consumo_datadis'!A2753&lt;&gt;"""",SPLIT('(INGESTA)Datos_consumo_datadis'!A:A,"",""),"""")"),"ES0031408323131005HX0F")</f>
        <v>ES0031408323131005HX0F</v>
      </c>
      <c r="B2753" s="12">
        <f>IFERROR(__xludf.DUMMYFUNCTION("""COMPUTED_VALUE"""),44980.0)</f>
        <v>44980</v>
      </c>
      <c r="C2753" s="13">
        <f>IFERROR(__xludf.DUMMYFUNCTION("""COMPUTED_VALUE"""),0.6666666666666666)</f>
        <v>0.6666666667</v>
      </c>
      <c r="D2753" s="8">
        <f>IFERROR(__xludf.DUMMYFUNCTION("""COMPUTED_VALUE"""),0.016)</f>
        <v>0.016</v>
      </c>
      <c r="E2753" s="8" t="str">
        <f>IFERROR(__xludf.DUMMYFUNCTION("""COMPUTED_VALUE"""),"Real")</f>
        <v>Real</v>
      </c>
      <c r="G2753" s="8">
        <f t="shared" si="1"/>
        <v>2</v>
      </c>
      <c r="H2753" s="14">
        <f t="shared" si="2"/>
        <v>23</v>
      </c>
      <c r="I2753" s="15">
        <f t="shared" si="3"/>
        <v>16</v>
      </c>
    </row>
    <row r="2754">
      <c r="A2754" s="8" t="str">
        <f>IFERROR(__xludf.DUMMYFUNCTION("IF('(INGESTA)Datos_consumo_datadis'!A2754&lt;&gt;"""",SPLIT('(INGESTA)Datos_consumo_datadis'!A:A,"",""),"""")"),"ES0031408323131005HX0F")</f>
        <v>ES0031408323131005HX0F</v>
      </c>
      <c r="B2754" s="12">
        <f>IFERROR(__xludf.DUMMYFUNCTION("""COMPUTED_VALUE"""),44980.0)</f>
        <v>44980</v>
      </c>
      <c r="C2754" s="13">
        <f>IFERROR(__xludf.DUMMYFUNCTION("""COMPUTED_VALUE"""),0.7083333333333334)</f>
        <v>0.7083333333</v>
      </c>
      <c r="D2754" s="8">
        <f>IFERROR(__xludf.DUMMYFUNCTION("""COMPUTED_VALUE"""),0.072)</f>
        <v>0.072</v>
      </c>
      <c r="E2754" s="8" t="str">
        <f>IFERROR(__xludf.DUMMYFUNCTION("""COMPUTED_VALUE"""),"Real")</f>
        <v>Real</v>
      </c>
      <c r="G2754" s="8">
        <f t="shared" si="1"/>
        <v>2</v>
      </c>
      <c r="H2754" s="14">
        <f t="shared" si="2"/>
        <v>23</v>
      </c>
      <c r="I2754" s="15">
        <f t="shared" si="3"/>
        <v>17</v>
      </c>
    </row>
    <row r="2755">
      <c r="A2755" s="8" t="str">
        <f>IFERROR(__xludf.DUMMYFUNCTION("IF('(INGESTA)Datos_consumo_datadis'!A2755&lt;&gt;"""",SPLIT('(INGESTA)Datos_consumo_datadis'!A:A,"",""),"""")"),"ES0031408323131005HX0F")</f>
        <v>ES0031408323131005HX0F</v>
      </c>
      <c r="B2755" s="12">
        <f>IFERROR(__xludf.DUMMYFUNCTION("""COMPUTED_VALUE"""),44980.0)</f>
        <v>44980</v>
      </c>
      <c r="C2755" s="13">
        <f>IFERROR(__xludf.DUMMYFUNCTION("""COMPUTED_VALUE"""),0.75)</f>
        <v>0.75</v>
      </c>
      <c r="D2755" s="8">
        <f>IFERROR(__xludf.DUMMYFUNCTION("""COMPUTED_VALUE"""),0.058)</f>
        <v>0.058</v>
      </c>
      <c r="E2755" s="8" t="str">
        <f>IFERROR(__xludf.DUMMYFUNCTION("""COMPUTED_VALUE"""),"Real")</f>
        <v>Real</v>
      </c>
      <c r="G2755" s="8">
        <f t="shared" si="1"/>
        <v>2</v>
      </c>
      <c r="H2755" s="14">
        <f t="shared" si="2"/>
        <v>23</v>
      </c>
      <c r="I2755" s="15">
        <f t="shared" si="3"/>
        <v>18</v>
      </c>
    </row>
    <row r="2756">
      <c r="A2756" s="8" t="str">
        <f>IFERROR(__xludf.DUMMYFUNCTION("IF('(INGESTA)Datos_consumo_datadis'!A2756&lt;&gt;"""",SPLIT('(INGESTA)Datos_consumo_datadis'!A:A,"",""),"""")"),"ES0031408323131005HX0F")</f>
        <v>ES0031408323131005HX0F</v>
      </c>
      <c r="B2756" s="12">
        <f>IFERROR(__xludf.DUMMYFUNCTION("""COMPUTED_VALUE"""),44980.0)</f>
        <v>44980</v>
      </c>
      <c r="C2756" s="13">
        <f>IFERROR(__xludf.DUMMYFUNCTION("""COMPUTED_VALUE"""),0.7916666666666666)</f>
        <v>0.7916666667</v>
      </c>
      <c r="D2756" s="8">
        <f>IFERROR(__xludf.DUMMYFUNCTION("""COMPUTED_VALUE"""),0.016)</f>
        <v>0.016</v>
      </c>
      <c r="E2756" s="8" t="str">
        <f>IFERROR(__xludf.DUMMYFUNCTION("""COMPUTED_VALUE"""),"Real")</f>
        <v>Real</v>
      </c>
      <c r="G2756" s="8">
        <f t="shared" si="1"/>
        <v>2</v>
      </c>
      <c r="H2756" s="14">
        <f t="shared" si="2"/>
        <v>23</v>
      </c>
      <c r="I2756" s="15">
        <f t="shared" si="3"/>
        <v>19</v>
      </c>
    </row>
    <row r="2757">
      <c r="A2757" s="8" t="str">
        <f>IFERROR(__xludf.DUMMYFUNCTION("IF('(INGESTA)Datos_consumo_datadis'!A2757&lt;&gt;"""",SPLIT('(INGESTA)Datos_consumo_datadis'!A:A,"",""),"""")"),"ES0031408323131005HX0F")</f>
        <v>ES0031408323131005HX0F</v>
      </c>
      <c r="B2757" s="12">
        <f>IFERROR(__xludf.DUMMYFUNCTION("""COMPUTED_VALUE"""),44980.0)</f>
        <v>44980</v>
      </c>
      <c r="C2757" s="13">
        <f>IFERROR(__xludf.DUMMYFUNCTION("""COMPUTED_VALUE"""),0.8333333333333334)</f>
        <v>0.8333333333</v>
      </c>
      <c r="D2757" s="8">
        <f>IFERROR(__xludf.DUMMYFUNCTION("""COMPUTED_VALUE"""),1.979)</f>
        <v>1.979</v>
      </c>
      <c r="E2757" s="8" t="str">
        <f>IFERROR(__xludf.DUMMYFUNCTION("""COMPUTED_VALUE"""),"Real")</f>
        <v>Real</v>
      </c>
      <c r="G2757" s="8">
        <f t="shared" si="1"/>
        <v>2</v>
      </c>
      <c r="H2757" s="14">
        <f t="shared" si="2"/>
        <v>23</v>
      </c>
      <c r="I2757" s="15">
        <f t="shared" si="3"/>
        <v>20</v>
      </c>
    </row>
    <row r="2758">
      <c r="A2758" s="8" t="str">
        <f>IFERROR(__xludf.DUMMYFUNCTION("IF('(INGESTA)Datos_consumo_datadis'!A2758&lt;&gt;"""",SPLIT('(INGESTA)Datos_consumo_datadis'!A:A,"",""),"""")"),"ES0031408323131005HX0F")</f>
        <v>ES0031408323131005HX0F</v>
      </c>
      <c r="B2758" s="12">
        <f>IFERROR(__xludf.DUMMYFUNCTION("""COMPUTED_VALUE"""),44980.0)</f>
        <v>44980</v>
      </c>
      <c r="C2758" s="13">
        <f>IFERROR(__xludf.DUMMYFUNCTION("""COMPUTED_VALUE"""),0.875)</f>
        <v>0.875</v>
      </c>
      <c r="D2758" s="8">
        <f>IFERROR(__xludf.DUMMYFUNCTION("""COMPUTED_VALUE"""),2.446)</f>
        <v>2.446</v>
      </c>
      <c r="E2758" s="8" t="str">
        <f>IFERROR(__xludf.DUMMYFUNCTION("""COMPUTED_VALUE"""),"Real")</f>
        <v>Real</v>
      </c>
      <c r="G2758" s="8">
        <f t="shared" si="1"/>
        <v>2</v>
      </c>
      <c r="H2758" s="14">
        <f t="shared" si="2"/>
        <v>23</v>
      </c>
      <c r="I2758" s="15">
        <f t="shared" si="3"/>
        <v>21</v>
      </c>
    </row>
    <row r="2759">
      <c r="A2759" s="8" t="str">
        <f>IFERROR(__xludf.DUMMYFUNCTION("IF('(INGESTA)Datos_consumo_datadis'!A2759&lt;&gt;"""",SPLIT('(INGESTA)Datos_consumo_datadis'!A:A,"",""),"""")"),"ES0031408323131005HX0F")</f>
        <v>ES0031408323131005HX0F</v>
      </c>
      <c r="B2759" s="12">
        <f>IFERROR(__xludf.DUMMYFUNCTION("""COMPUTED_VALUE"""),44980.0)</f>
        <v>44980</v>
      </c>
      <c r="C2759" s="13">
        <f>IFERROR(__xludf.DUMMYFUNCTION("""COMPUTED_VALUE"""),0.9166666666666666)</f>
        <v>0.9166666667</v>
      </c>
      <c r="D2759" s="8">
        <f>IFERROR(__xludf.DUMMYFUNCTION("""COMPUTED_VALUE"""),1.716)</f>
        <v>1.716</v>
      </c>
      <c r="E2759" s="8" t="str">
        <f>IFERROR(__xludf.DUMMYFUNCTION("""COMPUTED_VALUE"""),"Real")</f>
        <v>Real</v>
      </c>
      <c r="G2759" s="8">
        <f t="shared" si="1"/>
        <v>2</v>
      </c>
      <c r="H2759" s="14">
        <f t="shared" si="2"/>
        <v>23</v>
      </c>
      <c r="I2759" s="15">
        <f t="shared" si="3"/>
        <v>22</v>
      </c>
    </row>
    <row r="2760">
      <c r="A2760" s="8" t="str">
        <f>IFERROR(__xludf.DUMMYFUNCTION("IF('(INGESTA)Datos_consumo_datadis'!A2760&lt;&gt;"""",SPLIT('(INGESTA)Datos_consumo_datadis'!A:A,"",""),"""")"),"ES0031408323131005HX0F")</f>
        <v>ES0031408323131005HX0F</v>
      </c>
      <c r="B2760" s="12">
        <f>IFERROR(__xludf.DUMMYFUNCTION("""COMPUTED_VALUE"""),44980.0)</f>
        <v>44980</v>
      </c>
      <c r="C2760" s="13">
        <f>IFERROR(__xludf.DUMMYFUNCTION("""COMPUTED_VALUE"""),0.9583333333333334)</f>
        <v>0.9583333333</v>
      </c>
      <c r="D2760" s="8">
        <f>IFERROR(__xludf.DUMMYFUNCTION("""COMPUTED_VALUE"""),2.352)</f>
        <v>2.352</v>
      </c>
      <c r="E2760" s="8" t="str">
        <f>IFERROR(__xludf.DUMMYFUNCTION("""COMPUTED_VALUE"""),"Real")</f>
        <v>Real</v>
      </c>
      <c r="G2760" s="8">
        <f t="shared" si="1"/>
        <v>2</v>
      </c>
      <c r="H2760" s="14">
        <f t="shared" si="2"/>
        <v>23</v>
      </c>
      <c r="I2760" s="15">
        <f t="shared" si="3"/>
        <v>23</v>
      </c>
    </row>
    <row r="2761">
      <c r="A2761" s="8" t="str">
        <f>IFERROR(__xludf.DUMMYFUNCTION("IF('(INGESTA)Datos_consumo_datadis'!A2761&lt;&gt;"""",SPLIT('(INGESTA)Datos_consumo_datadis'!A:A,"",""),"""")"),"ES0031408323131005HX0F")</f>
        <v>ES0031408323131005HX0F</v>
      </c>
      <c r="B2761" s="12">
        <f>IFERROR(__xludf.DUMMYFUNCTION("""COMPUTED_VALUE"""),44980.0)</f>
        <v>44980</v>
      </c>
      <c r="C2761" s="16">
        <f>IFERROR(__xludf.DUMMYFUNCTION("""COMPUTED_VALUE"""),1.0)</f>
        <v>1</v>
      </c>
      <c r="D2761" s="8">
        <f>IFERROR(__xludf.DUMMYFUNCTION("""COMPUTED_VALUE"""),1.585)</f>
        <v>1.585</v>
      </c>
      <c r="E2761" s="8" t="str">
        <f>IFERROR(__xludf.DUMMYFUNCTION("""COMPUTED_VALUE"""),"Real")</f>
        <v>Real</v>
      </c>
      <c r="G2761" s="8">
        <f t="shared" si="1"/>
        <v>2</v>
      </c>
      <c r="H2761" s="14">
        <f t="shared" si="2"/>
        <v>23</v>
      </c>
      <c r="I2761" s="15">
        <f t="shared" si="3"/>
        <v>0</v>
      </c>
    </row>
    <row r="2762">
      <c r="A2762" s="8" t="str">
        <f>IFERROR(__xludf.DUMMYFUNCTION("IF('(INGESTA)Datos_consumo_datadis'!A2762&lt;&gt;"""",SPLIT('(INGESTA)Datos_consumo_datadis'!A:A,"",""),"""")"),"ES0031408323131005HX0F")</f>
        <v>ES0031408323131005HX0F</v>
      </c>
      <c r="B2762" s="12">
        <f>IFERROR(__xludf.DUMMYFUNCTION("""COMPUTED_VALUE"""),44981.0)</f>
        <v>44981</v>
      </c>
      <c r="C2762" s="13">
        <f>IFERROR(__xludf.DUMMYFUNCTION("""COMPUTED_VALUE"""),0.041666666666666664)</f>
        <v>0.04166666667</v>
      </c>
      <c r="D2762" s="8">
        <f>IFERROR(__xludf.DUMMYFUNCTION("""COMPUTED_VALUE"""),0.166)</f>
        <v>0.166</v>
      </c>
      <c r="E2762" s="8" t="str">
        <f>IFERROR(__xludf.DUMMYFUNCTION("""COMPUTED_VALUE"""),"Real")</f>
        <v>Real</v>
      </c>
      <c r="G2762" s="8">
        <f t="shared" si="1"/>
        <v>2</v>
      </c>
      <c r="H2762" s="14">
        <f t="shared" si="2"/>
        <v>24</v>
      </c>
      <c r="I2762" s="15">
        <f t="shared" si="3"/>
        <v>1</v>
      </c>
    </row>
    <row r="2763">
      <c r="A2763" s="8" t="str">
        <f>IFERROR(__xludf.DUMMYFUNCTION("IF('(INGESTA)Datos_consumo_datadis'!A2763&lt;&gt;"""",SPLIT('(INGESTA)Datos_consumo_datadis'!A:A,"",""),"""")"),"ES0031408323131005HX0F")</f>
        <v>ES0031408323131005HX0F</v>
      </c>
      <c r="B2763" s="12">
        <f>IFERROR(__xludf.DUMMYFUNCTION("""COMPUTED_VALUE"""),44981.0)</f>
        <v>44981</v>
      </c>
      <c r="C2763" s="13">
        <f>IFERROR(__xludf.DUMMYFUNCTION("""COMPUTED_VALUE"""),0.08333333333333333)</f>
        <v>0.08333333333</v>
      </c>
      <c r="D2763" s="8">
        <f>IFERROR(__xludf.DUMMYFUNCTION("""COMPUTED_VALUE"""),0.221)</f>
        <v>0.221</v>
      </c>
      <c r="E2763" s="8" t="str">
        <f>IFERROR(__xludf.DUMMYFUNCTION("""COMPUTED_VALUE"""),"Real")</f>
        <v>Real</v>
      </c>
      <c r="G2763" s="8">
        <f t="shared" si="1"/>
        <v>2</v>
      </c>
      <c r="H2763" s="14">
        <f t="shared" si="2"/>
        <v>24</v>
      </c>
      <c r="I2763" s="15">
        <f t="shared" si="3"/>
        <v>2</v>
      </c>
    </row>
    <row r="2764">
      <c r="A2764" s="8" t="str">
        <f>IFERROR(__xludf.DUMMYFUNCTION("IF('(INGESTA)Datos_consumo_datadis'!A2764&lt;&gt;"""",SPLIT('(INGESTA)Datos_consumo_datadis'!A:A,"",""),"""")"),"ES0031408323131005HX0F")</f>
        <v>ES0031408323131005HX0F</v>
      </c>
      <c r="B2764" s="12">
        <f>IFERROR(__xludf.DUMMYFUNCTION("""COMPUTED_VALUE"""),44981.0)</f>
        <v>44981</v>
      </c>
      <c r="C2764" s="13">
        <f>IFERROR(__xludf.DUMMYFUNCTION("""COMPUTED_VALUE"""),0.125)</f>
        <v>0.125</v>
      </c>
      <c r="D2764" s="8">
        <f>IFERROR(__xludf.DUMMYFUNCTION("""COMPUTED_VALUE"""),0.083)</f>
        <v>0.083</v>
      </c>
      <c r="E2764" s="8" t="str">
        <f>IFERROR(__xludf.DUMMYFUNCTION("""COMPUTED_VALUE"""),"Real")</f>
        <v>Real</v>
      </c>
      <c r="G2764" s="8">
        <f t="shared" si="1"/>
        <v>2</v>
      </c>
      <c r="H2764" s="14">
        <f t="shared" si="2"/>
        <v>24</v>
      </c>
      <c r="I2764" s="15">
        <f t="shared" si="3"/>
        <v>3</v>
      </c>
    </row>
    <row r="2765">
      <c r="A2765" s="8" t="str">
        <f>IFERROR(__xludf.DUMMYFUNCTION("IF('(INGESTA)Datos_consumo_datadis'!A2765&lt;&gt;"""",SPLIT('(INGESTA)Datos_consumo_datadis'!A:A,"",""),"""")"),"ES0031408323131005HX0F")</f>
        <v>ES0031408323131005HX0F</v>
      </c>
      <c r="B2765" s="12">
        <f>IFERROR(__xludf.DUMMYFUNCTION("""COMPUTED_VALUE"""),44981.0)</f>
        <v>44981</v>
      </c>
      <c r="C2765" s="13">
        <f>IFERROR(__xludf.DUMMYFUNCTION("""COMPUTED_VALUE"""),0.16666666666666666)</f>
        <v>0.1666666667</v>
      </c>
      <c r="D2765" s="8">
        <f>IFERROR(__xludf.DUMMYFUNCTION("""COMPUTED_VALUE"""),0.028)</f>
        <v>0.028</v>
      </c>
      <c r="E2765" s="8" t="str">
        <f>IFERROR(__xludf.DUMMYFUNCTION("""COMPUTED_VALUE"""),"Real")</f>
        <v>Real</v>
      </c>
      <c r="G2765" s="8">
        <f t="shared" si="1"/>
        <v>2</v>
      </c>
      <c r="H2765" s="14">
        <f t="shared" si="2"/>
        <v>24</v>
      </c>
      <c r="I2765" s="15">
        <f t="shared" si="3"/>
        <v>4</v>
      </c>
    </row>
    <row r="2766">
      <c r="A2766" s="8" t="str">
        <f>IFERROR(__xludf.DUMMYFUNCTION("IF('(INGESTA)Datos_consumo_datadis'!A2766&lt;&gt;"""",SPLIT('(INGESTA)Datos_consumo_datadis'!A:A,"",""),"""")"),"ES0031408323131005HX0F")</f>
        <v>ES0031408323131005HX0F</v>
      </c>
      <c r="B2766" s="12">
        <f>IFERROR(__xludf.DUMMYFUNCTION("""COMPUTED_VALUE"""),44981.0)</f>
        <v>44981</v>
      </c>
      <c r="C2766" s="13">
        <f>IFERROR(__xludf.DUMMYFUNCTION("""COMPUTED_VALUE"""),0.20833333333333334)</f>
        <v>0.2083333333</v>
      </c>
      <c r="D2766" s="8">
        <f>IFERROR(__xludf.DUMMYFUNCTION("""COMPUTED_VALUE"""),0.091)</f>
        <v>0.091</v>
      </c>
      <c r="E2766" s="8" t="str">
        <f>IFERROR(__xludf.DUMMYFUNCTION("""COMPUTED_VALUE"""),"Real")</f>
        <v>Real</v>
      </c>
      <c r="G2766" s="8">
        <f t="shared" si="1"/>
        <v>2</v>
      </c>
      <c r="H2766" s="14">
        <f t="shared" si="2"/>
        <v>24</v>
      </c>
      <c r="I2766" s="15">
        <f t="shared" si="3"/>
        <v>5</v>
      </c>
    </row>
    <row r="2767">
      <c r="A2767" s="8" t="str">
        <f>IFERROR(__xludf.DUMMYFUNCTION("IF('(INGESTA)Datos_consumo_datadis'!A2767&lt;&gt;"""",SPLIT('(INGESTA)Datos_consumo_datadis'!A:A,"",""),"""")"),"ES0031408323131005HX0F")</f>
        <v>ES0031408323131005HX0F</v>
      </c>
      <c r="B2767" s="12">
        <f>IFERROR(__xludf.DUMMYFUNCTION("""COMPUTED_VALUE"""),44981.0)</f>
        <v>44981</v>
      </c>
      <c r="C2767" s="13">
        <f>IFERROR(__xludf.DUMMYFUNCTION("""COMPUTED_VALUE"""),0.25)</f>
        <v>0.25</v>
      </c>
      <c r="D2767" s="8">
        <f>IFERROR(__xludf.DUMMYFUNCTION("""COMPUTED_VALUE"""),0.072)</f>
        <v>0.072</v>
      </c>
      <c r="E2767" s="8" t="str">
        <f>IFERROR(__xludf.DUMMYFUNCTION("""COMPUTED_VALUE"""),"Real")</f>
        <v>Real</v>
      </c>
      <c r="G2767" s="8">
        <f t="shared" si="1"/>
        <v>2</v>
      </c>
      <c r="H2767" s="14">
        <f t="shared" si="2"/>
        <v>24</v>
      </c>
      <c r="I2767" s="15">
        <f t="shared" si="3"/>
        <v>6</v>
      </c>
    </row>
    <row r="2768">
      <c r="A2768" s="8" t="str">
        <f>IFERROR(__xludf.DUMMYFUNCTION("IF('(INGESTA)Datos_consumo_datadis'!A2768&lt;&gt;"""",SPLIT('(INGESTA)Datos_consumo_datadis'!A:A,"",""),"""")"),"ES0031408323131005HX0F")</f>
        <v>ES0031408323131005HX0F</v>
      </c>
      <c r="B2768" s="12">
        <f>IFERROR(__xludf.DUMMYFUNCTION("""COMPUTED_VALUE"""),44981.0)</f>
        <v>44981</v>
      </c>
      <c r="C2768" s="13">
        <f>IFERROR(__xludf.DUMMYFUNCTION("""COMPUTED_VALUE"""),0.2916666666666667)</f>
        <v>0.2916666667</v>
      </c>
      <c r="D2768" s="8">
        <f>IFERROR(__xludf.DUMMYFUNCTION("""COMPUTED_VALUE"""),0.273)</f>
        <v>0.273</v>
      </c>
      <c r="E2768" s="8" t="str">
        <f>IFERROR(__xludf.DUMMYFUNCTION("""COMPUTED_VALUE"""),"Real")</f>
        <v>Real</v>
      </c>
      <c r="G2768" s="8">
        <f t="shared" si="1"/>
        <v>2</v>
      </c>
      <c r="H2768" s="14">
        <f t="shared" si="2"/>
        <v>24</v>
      </c>
      <c r="I2768" s="15">
        <f t="shared" si="3"/>
        <v>7</v>
      </c>
    </row>
    <row r="2769">
      <c r="A2769" s="8" t="str">
        <f>IFERROR(__xludf.DUMMYFUNCTION("IF('(INGESTA)Datos_consumo_datadis'!A2769&lt;&gt;"""",SPLIT('(INGESTA)Datos_consumo_datadis'!A:A,"",""),"""")"),"ES0031408323131005HX0F")</f>
        <v>ES0031408323131005HX0F</v>
      </c>
      <c r="B2769" s="12">
        <f>IFERROR(__xludf.DUMMYFUNCTION("""COMPUTED_VALUE"""),44981.0)</f>
        <v>44981</v>
      </c>
      <c r="C2769" s="13">
        <f>IFERROR(__xludf.DUMMYFUNCTION("""COMPUTED_VALUE"""),0.3333333333333333)</f>
        <v>0.3333333333</v>
      </c>
      <c r="D2769" s="8">
        <f>IFERROR(__xludf.DUMMYFUNCTION("""COMPUTED_VALUE"""),0.059)</f>
        <v>0.059</v>
      </c>
      <c r="E2769" s="8" t="str">
        <f>IFERROR(__xludf.DUMMYFUNCTION("""COMPUTED_VALUE"""),"Real")</f>
        <v>Real</v>
      </c>
      <c r="G2769" s="8">
        <f t="shared" si="1"/>
        <v>2</v>
      </c>
      <c r="H2769" s="14">
        <f t="shared" si="2"/>
        <v>24</v>
      </c>
      <c r="I2769" s="15">
        <f t="shared" si="3"/>
        <v>8</v>
      </c>
    </row>
    <row r="2770">
      <c r="A2770" s="8" t="str">
        <f>IFERROR(__xludf.DUMMYFUNCTION("IF('(INGESTA)Datos_consumo_datadis'!A2770&lt;&gt;"""",SPLIT('(INGESTA)Datos_consumo_datadis'!A:A,"",""),"""")"),"ES0031408323131005HX0F")</f>
        <v>ES0031408323131005HX0F</v>
      </c>
      <c r="B2770" s="12">
        <f>IFERROR(__xludf.DUMMYFUNCTION("""COMPUTED_VALUE"""),44981.0)</f>
        <v>44981</v>
      </c>
      <c r="C2770" s="13">
        <f>IFERROR(__xludf.DUMMYFUNCTION("""COMPUTED_VALUE"""),0.375)</f>
        <v>0.375</v>
      </c>
      <c r="D2770" s="8">
        <f>IFERROR(__xludf.DUMMYFUNCTION("""COMPUTED_VALUE"""),0.06)</f>
        <v>0.06</v>
      </c>
      <c r="E2770" s="8" t="str">
        <f>IFERROR(__xludf.DUMMYFUNCTION("""COMPUTED_VALUE"""),"Real")</f>
        <v>Real</v>
      </c>
      <c r="G2770" s="8">
        <f t="shared" si="1"/>
        <v>2</v>
      </c>
      <c r="H2770" s="14">
        <f t="shared" si="2"/>
        <v>24</v>
      </c>
      <c r="I2770" s="15">
        <f t="shared" si="3"/>
        <v>9</v>
      </c>
    </row>
    <row r="2771">
      <c r="A2771" s="8" t="str">
        <f>IFERROR(__xludf.DUMMYFUNCTION("IF('(INGESTA)Datos_consumo_datadis'!A2771&lt;&gt;"""",SPLIT('(INGESTA)Datos_consumo_datadis'!A:A,"",""),"""")"),"ES0031408323131005HX0F")</f>
        <v>ES0031408323131005HX0F</v>
      </c>
      <c r="B2771" s="12">
        <f>IFERROR(__xludf.DUMMYFUNCTION("""COMPUTED_VALUE"""),44981.0)</f>
        <v>44981</v>
      </c>
      <c r="C2771" s="13">
        <f>IFERROR(__xludf.DUMMYFUNCTION("""COMPUTED_VALUE"""),0.4166666666666667)</f>
        <v>0.4166666667</v>
      </c>
      <c r="D2771" s="8">
        <f>IFERROR(__xludf.DUMMYFUNCTION("""COMPUTED_VALUE"""),0.028)</f>
        <v>0.028</v>
      </c>
      <c r="E2771" s="8" t="str">
        <f>IFERROR(__xludf.DUMMYFUNCTION("""COMPUTED_VALUE"""),"Real")</f>
        <v>Real</v>
      </c>
      <c r="G2771" s="8">
        <f t="shared" si="1"/>
        <v>2</v>
      </c>
      <c r="H2771" s="14">
        <f t="shared" si="2"/>
        <v>24</v>
      </c>
      <c r="I2771" s="15">
        <f t="shared" si="3"/>
        <v>10</v>
      </c>
    </row>
    <row r="2772">
      <c r="A2772" s="8" t="str">
        <f>IFERROR(__xludf.DUMMYFUNCTION("IF('(INGESTA)Datos_consumo_datadis'!A2772&lt;&gt;"""",SPLIT('(INGESTA)Datos_consumo_datadis'!A:A,"",""),"""")"),"ES0031408323131005HX0F")</f>
        <v>ES0031408323131005HX0F</v>
      </c>
      <c r="B2772" s="12">
        <f>IFERROR(__xludf.DUMMYFUNCTION("""COMPUTED_VALUE"""),44981.0)</f>
        <v>44981</v>
      </c>
      <c r="C2772" s="13">
        <f>IFERROR(__xludf.DUMMYFUNCTION("""COMPUTED_VALUE"""),0.4583333333333333)</f>
        <v>0.4583333333</v>
      </c>
      <c r="D2772" s="8">
        <f>IFERROR(__xludf.DUMMYFUNCTION("""COMPUTED_VALUE"""),0.22)</f>
        <v>0.22</v>
      </c>
      <c r="E2772" s="8" t="str">
        <f>IFERROR(__xludf.DUMMYFUNCTION("""COMPUTED_VALUE"""),"Real")</f>
        <v>Real</v>
      </c>
      <c r="G2772" s="8">
        <f t="shared" si="1"/>
        <v>2</v>
      </c>
      <c r="H2772" s="14">
        <f t="shared" si="2"/>
        <v>24</v>
      </c>
      <c r="I2772" s="15">
        <f t="shared" si="3"/>
        <v>11</v>
      </c>
    </row>
    <row r="2773">
      <c r="A2773" s="8" t="str">
        <f>IFERROR(__xludf.DUMMYFUNCTION("IF('(INGESTA)Datos_consumo_datadis'!A2773&lt;&gt;"""",SPLIT('(INGESTA)Datos_consumo_datadis'!A:A,"",""),"""")"),"ES0031408323131005HX0F")</f>
        <v>ES0031408323131005HX0F</v>
      </c>
      <c r="B2773" s="12">
        <f>IFERROR(__xludf.DUMMYFUNCTION("""COMPUTED_VALUE"""),44981.0)</f>
        <v>44981</v>
      </c>
      <c r="C2773" s="13">
        <f>IFERROR(__xludf.DUMMYFUNCTION("""COMPUTED_VALUE"""),0.5)</f>
        <v>0.5</v>
      </c>
      <c r="D2773" s="8">
        <f>IFERROR(__xludf.DUMMYFUNCTION("""COMPUTED_VALUE"""),2.021)</f>
        <v>2.021</v>
      </c>
      <c r="E2773" s="8" t="str">
        <f>IFERROR(__xludf.DUMMYFUNCTION("""COMPUTED_VALUE"""),"Real")</f>
        <v>Real</v>
      </c>
      <c r="G2773" s="8">
        <f t="shared" si="1"/>
        <v>2</v>
      </c>
      <c r="H2773" s="14">
        <f t="shared" si="2"/>
        <v>24</v>
      </c>
      <c r="I2773" s="15">
        <f t="shared" si="3"/>
        <v>12</v>
      </c>
    </row>
    <row r="2774">
      <c r="A2774" s="8" t="str">
        <f>IFERROR(__xludf.DUMMYFUNCTION("IF('(INGESTA)Datos_consumo_datadis'!A2774&lt;&gt;"""",SPLIT('(INGESTA)Datos_consumo_datadis'!A:A,"",""),"""")"),"ES0031408323131005HX0F")</f>
        <v>ES0031408323131005HX0F</v>
      </c>
      <c r="B2774" s="12">
        <f>IFERROR(__xludf.DUMMYFUNCTION("""COMPUTED_VALUE"""),44981.0)</f>
        <v>44981</v>
      </c>
      <c r="C2774" s="13">
        <f>IFERROR(__xludf.DUMMYFUNCTION("""COMPUTED_VALUE"""),0.5416666666666666)</f>
        <v>0.5416666667</v>
      </c>
      <c r="D2774" s="8">
        <f>IFERROR(__xludf.DUMMYFUNCTION("""COMPUTED_VALUE"""),1.225)</f>
        <v>1.225</v>
      </c>
      <c r="E2774" s="8" t="str">
        <f>IFERROR(__xludf.DUMMYFUNCTION("""COMPUTED_VALUE"""),"Real")</f>
        <v>Real</v>
      </c>
      <c r="G2774" s="8">
        <f t="shared" si="1"/>
        <v>2</v>
      </c>
      <c r="H2774" s="14">
        <f t="shared" si="2"/>
        <v>24</v>
      </c>
      <c r="I2774" s="15">
        <f t="shared" si="3"/>
        <v>13</v>
      </c>
    </row>
    <row r="2775">
      <c r="A2775" s="8" t="str">
        <f>IFERROR(__xludf.DUMMYFUNCTION("IF('(INGESTA)Datos_consumo_datadis'!A2775&lt;&gt;"""",SPLIT('(INGESTA)Datos_consumo_datadis'!A:A,"",""),"""")"),"ES0031408323131005HX0F")</f>
        <v>ES0031408323131005HX0F</v>
      </c>
      <c r="B2775" s="12">
        <f>IFERROR(__xludf.DUMMYFUNCTION("""COMPUTED_VALUE"""),44981.0)</f>
        <v>44981</v>
      </c>
      <c r="C2775" s="13">
        <f>IFERROR(__xludf.DUMMYFUNCTION("""COMPUTED_VALUE"""),0.5833333333333334)</f>
        <v>0.5833333333</v>
      </c>
      <c r="D2775" s="8">
        <f>IFERROR(__xludf.DUMMYFUNCTION("""COMPUTED_VALUE"""),0.057)</f>
        <v>0.057</v>
      </c>
      <c r="E2775" s="8" t="str">
        <f>IFERROR(__xludf.DUMMYFUNCTION("""COMPUTED_VALUE"""),"Real")</f>
        <v>Real</v>
      </c>
      <c r="G2775" s="8">
        <f t="shared" si="1"/>
        <v>2</v>
      </c>
      <c r="H2775" s="14">
        <f t="shared" si="2"/>
        <v>24</v>
      </c>
      <c r="I2775" s="15">
        <f t="shared" si="3"/>
        <v>14</v>
      </c>
    </row>
    <row r="2776">
      <c r="A2776" s="8" t="str">
        <f>IFERROR(__xludf.DUMMYFUNCTION("IF('(INGESTA)Datos_consumo_datadis'!A2776&lt;&gt;"""",SPLIT('(INGESTA)Datos_consumo_datadis'!A:A,"",""),"""")"),"ES0031408323131005HX0F")</f>
        <v>ES0031408323131005HX0F</v>
      </c>
      <c r="B2776" s="12">
        <f>IFERROR(__xludf.DUMMYFUNCTION("""COMPUTED_VALUE"""),44981.0)</f>
        <v>44981</v>
      </c>
      <c r="C2776" s="13">
        <f>IFERROR(__xludf.DUMMYFUNCTION("""COMPUTED_VALUE"""),0.625)</f>
        <v>0.625</v>
      </c>
      <c r="D2776" s="8">
        <f>IFERROR(__xludf.DUMMYFUNCTION("""COMPUTED_VALUE"""),0.113)</f>
        <v>0.113</v>
      </c>
      <c r="E2776" s="8" t="str">
        <f>IFERROR(__xludf.DUMMYFUNCTION("""COMPUTED_VALUE"""),"Real")</f>
        <v>Real</v>
      </c>
      <c r="G2776" s="8">
        <f t="shared" si="1"/>
        <v>2</v>
      </c>
      <c r="H2776" s="14">
        <f t="shared" si="2"/>
        <v>24</v>
      </c>
      <c r="I2776" s="15">
        <f t="shared" si="3"/>
        <v>15</v>
      </c>
    </row>
    <row r="2777">
      <c r="A2777" s="8" t="str">
        <f>IFERROR(__xludf.DUMMYFUNCTION("IF('(INGESTA)Datos_consumo_datadis'!A2777&lt;&gt;"""",SPLIT('(INGESTA)Datos_consumo_datadis'!A:A,"",""),"""")"),"ES0031408323131005HX0F")</f>
        <v>ES0031408323131005HX0F</v>
      </c>
      <c r="B2777" s="12">
        <f>IFERROR(__xludf.DUMMYFUNCTION("""COMPUTED_VALUE"""),44981.0)</f>
        <v>44981</v>
      </c>
      <c r="C2777" s="13">
        <f>IFERROR(__xludf.DUMMYFUNCTION("""COMPUTED_VALUE"""),0.6666666666666666)</f>
        <v>0.6666666667</v>
      </c>
      <c r="D2777" s="8">
        <f>IFERROR(__xludf.DUMMYFUNCTION("""COMPUTED_VALUE"""),0.049)</f>
        <v>0.049</v>
      </c>
      <c r="E2777" s="8" t="str">
        <f>IFERROR(__xludf.DUMMYFUNCTION("""COMPUTED_VALUE"""),"Real")</f>
        <v>Real</v>
      </c>
      <c r="G2777" s="8">
        <f t="shared" si="1"/>
        <v>2</v>
      </c>
      <c r="H2777" s="14">
        <f t="shared" si="2"/>
        <v>24</v>
      </c>
      <c r="I2777" s="15">
        <f t="shared" si="3"/>
        <v>16</v>
      </c>
    </row>
    <row r="2778">
      <c r="A2778" s="8" t="str">
        <f>IFERROR(__xludf.DUMMYFUNCTION("IF('(INGESTA)Datos_consumo_datadis'!A2778&lt;&gt;"""",SPLIT('(INGESTA)Datos_consumo_datadis'!A:A,"",""),"""")"),"ES0031408323131005HX0F")</f>
        <v>ES0031408323131005HX0F</v>
      </c>
      <c r="B2778" s="12">
        <f>IFERROR(__xludf.DUMMYFUNCTION("""COMPUTED_VALUE"""),44981.0)</f>
        <v>44981</v>
      </c>
      <c r="C2778" s="13">
        <f>IFERROR(__xludf.DUMMYFUNCTION("""COMPUTED_VALUE"""),0.7083333333333334)</f>
        <v>0.7083333333</v>
      </c>
      <c r="D2778" s="8">
        <f>IFERROR(__xludf.DUMMYFUNCTION("""COMPUTED_VALUE"""),0.015)</f>
        <v>0.015</v>
      </c>
      <c r="E2778" s="8" t="str">
        <f>IFERROR(__xludf.DUMMYFUNCTION("""COMPUTED_VALUE"""),"Real")</f>
        <v>Real</v>
      </c>
      <c r="G2778" s="8">
        <f t="shared" si="1"/>
        <v>2</v>
      </c>
      <c r="H2778" s="14">
        <f t="shared" si="2"/>
        <v>24</v>
      </c>
      <c r="I2778" s="15">
        <f t="shared" si="3"/>
        <v>17</v>
      </c>
    </row>
    <row r="2779">
      <c r="A2779" s="8" t="str">
        <f>IFERROR(__xludf.DUMMYFUNCTION("IF('(INGESTA)Datos_consumo_datadis'!A2779&lt;&gt;"""",SPLIT('(INGESTA)Datos_consumo_datadis'!A:A,"",""),"""")"),"ES0031408323131005HX0F")</f>
        <v>ES0031408323131005HX0F</v>
      </c>
      <c r="B2779" s="12">
        <f>IFERROR(__xludf.DUMMYFUNCTION("""COMPUTED_VALUE"""),44981.0)</f>
        <v>44981</v>
      </c>
      <c r="C2779" s="13">
        <f>IFERROR(__xludf.DUMMYFUNCTION("""COMPUTED_VALUE"""),0.75)</f>
        <v>0.75</v>
      </c>
      <c r="D2779" s="8">
        <f>IFERROR(__xludf.DUMMYFUNCTION("""COMPUTED_VALUE"""),0.428)</f>
        <v>0.428</v>
      </c>
      <c r="E2779" s="8" t="str">
        <f>IFERROR(__xludf.DUMMYFUNCTION("""COMPUTED_VALUE"""),"Real")</f>
        <v>Real</v>
      </c>
      <c r="G2779" s="8">
        <f t="shared" si="1"/>
        <v>2</v>
      </c>
      <c r="H2779" s="14">
        <f t="shared" si="2"/>
        <v>24</v>
      </c>
      <c r="I2779" s="15">
        <f t="shared" si="3"/>
        <v>18</v>
      </c>
    </row>
    <row r="2780">
      <c r="A2780" s="8" t="str">
        <f>IFERROR(__xludf.DUMMYFUNCTION("IF('(INGESTA)Datos_consumo_datadis'!A2780&lt;&gt;"""",SPLIT('(INGESTA)Datos_consumo_datadis'!A:A,"",""),"""")"),"ES0031408323131005HX0F")</f>
        <v>ES0031408323131005HX0F</v>
      </c>
      <c r="B2780" s="12">
        <f>IFERROR(__xludf.DUMMYFUNCTION("""COMPUTED_VALUE"""),44981.0)</f>
        <v>44981</v>
      </c>
      <c r="C2780" s="13">
        <f>IFERROR(__xludf.DUMMYFUNCTION("""COMPUTED_VALUE"""),0.7916666666666666)</f>
        <v>0.7916666667</v>
      </c>
      <c r="D2780" s="8">
        <f>IFERROR(__xludf.DUMMYFUNCTION("""COMPUTED_VALUE"""),0.084)</f>
        <v>0.084</v>
      </c>
      <c r="E2780" s="8" t="str">
        <f>IFERROR(__xludf.DUMMYFUNCTION("""COMPUTED_VALUE"""),"Real")</f>
        <v>Real</v>
      </c>
      <c r="G2780" s="8">
        <f t="shared" si="1"/>
        <v>2</v>
      </c>
      <c r="H2780" s="14">
        <f t="shared" si="2"/>
        <v>24</v>
      </c>
      <c r="I2780" s="15">
        <f t="shared" si="3"/>
        <v>19</v>
      </c>
    </row>
    <row r="2781">
      <c r="A2781" s="8" t="str">
        <f>IFERROR(__xludf.DUMMYFUNCTION("IF('(INGESTA)Datos_consumo_datadis'!A2781&lt;&gt;"""",SPLIT('(INGESTA)Datos_consumo_datadis'!A:A,"",""),"""")"),"ES0031408323131005HX0F")</f>
        <v>ES0031408323131005HX0F</v>
      </c>
      <c r="B2781" s="12">
        <f>IFERROR(__xludf.DUMMYFUNCTION("""COMPUTED_VALUE"""),44981.0)</f>
        <v>44981</v>
      </c>
      <c r="C2781" s="13">
        <f>IFERROR(__xludf.DUMMYFUNCTION("""COMPUTED_VALUE"""),0.8333333333333334)</f>
        <v>0.8333333333</v>
      </c>
      <c r="D2781" s="8">
        <f>IFERROR(__xludf.DUMMYFUNCTION("""COMPUTED_VALUE"""),2.505)</f>
        <v>2.505</v>
      </c>
      <c r="E2781" s="8" t="str">
        <f>IFERROR(__xludf.DUMMYFUNCTION("""COMPUTED_VALUE"""),"Real")</f>
        <v>Real</v>
      </c>
      <c r="G2781" s="8">
        <f t="shared" si="1"/>
        <v>2</v>
      </c>
      <c r="H2781" s="14">
        <f t="shared" si="2"/>
        <v>24</v>
      </c>
      <c r="I2781" s="15">
        <f t="shared" si="3"/>
        <v>20</v>
      </c>
    </row>
    <row r="2782">
      <c r="A2782" s="8" t="str">
        <f>IFERROR(__xludf.DUMMYFUNCTION("IF('(INGESTA)Datos_consumo_datadis'!A2782&lt;&gt;"""",SPLIT('(INGESTA)Datos_consumo_datadis'!A:A,"",""),"""")"),"ES0031408323131005HX0F")</f>
        <v>ES0031408323131005HX0F</v>
      </c>
      <c r="B2782" s="12">
        <f>IFERROR(__xludf.DUMMYFUNCTION("""COMPUTED_VALUE"""),44981.0)</f>
        <v>44981</v>
      </c>
      <c r="C2782" s="13">
        <f>IFERROR(__xludf.DUMMYFUNCTION("""COMPUTED_VALUE"""),0.875)</f>
        <v>0.875</v>
      </c>
      <c r="D2782" s="8">
        <f>IFERROR(__xludf.DUMMYFUNCTION("""COMPUTED_VALUE"""),2.277)</f>
        <v>2.277</v>
      </c>
      <c r="E2782" s="8" t="str">
        <f>IFERROR(__xludf.DUMMYFUNCTION("""COMPUTED_VALUE"""),"Real")</f>
        <v>Real</v>
      </c>
      <c r="G2782" s="8">
        <f t="shared" si="1"/>
        <v>2</v>
      </c>
      <c r="H2782" s="14">
        <f t="shared" si="2"/>
        <v>24</v>
      </c>
      <c r="I2782" s="15">
        <f t="shared" si="3"/>
        <v>21</v>
      </c>
    </row>
    <row r="2783">
      <c r="A2783" s="8" t="str">
        <f>IFERROR(__xludf.DUMMYFUNCTION("IF('(INGESTA)Datos_consumo_datadis'!A2783&lt;&gt;"""",SPLIT('(INGESTA)Datos_consumo_datadis'!A:A,"",""),"""")"),"ES0031408323131005HX0F")</f>
        <v>ES0031408323131005HX0F</v>
      </c>
      <c r="B2783" s="12">
        <f>IFERROR(__xludf.DUMMYFUNCTION("""COMPUTED_VALUE"""),44981.0)</f>
        <v>44981</v>
      </c>
      <c r="C2783" s="13">
        <f>IFERROR(__xludf.DUMMYFUNCTION("""COMPUTED_VALUE"""),0.9166666666666666)</f>
        <v>0.9166666667</v>
      </c>
      <c r="D2783" s="8">
        <f>IFERROR(__xludf.DUMMYFUNCTION("""COMPUTED_VALUE"""),2.387)</f>
        <v>2.387</v>
      </c>
      <c r="E2783" s="8" t="str">
        <f>IFERROR(__xludf.DUMMYFUNCTION("""COMPUTED_VALUE"""),"Real")</f>
        <v>Real</v>
      </c>
      <c r="G2783" s="8">
        <f t="shared" si="1"/>
        <v>2</v>
      </c>
      <c r="H2783" s="14">
        <f t="shared" si="2"/>
        <v>24</v>
      </c>
      <c r="I2783" s="15">
        <f t="shared" si="3"/>
        <v>22</v>
      </c>
    </row>
    <row r="2784">
      <c r="A2784" s="8" t="str">
        <f>IFERROR(__xludf.DUMMYFUNCTION("IF('(INGESTA)Datos_consumo_datadis'!A2784&lt;&gt;"""",SPLIT('(INGESTA)Datos_consumo_datadis'!A:A,"",""),"""")"),"ES0031408323131005HX0F")</f>
        <v>ES0031408323131005HX0F</v>
      </c>
      <c r="B2784" s="12">
        <f>IFERROR(__xludf.DUMMYFUNCTION("""COMPUTED_VALUE"""),44981.0)</f>
        <v>44981</v>
      </c>
      <c r="C2784" s="13">
        <f>IFERROR(__xludf.DUMMYFUNCTION("""COMPUTED_VALUE"""),0.9583333333333334)</f>
        <v>0.9583333333</v>
      </c>
      <c r="D2784" s="8">
        <f>IFERROR(__xludf.DUMMYFUNCTION("""COMPUTED_VALUE"""),2.067)</f>
        <v>2.067</v>
      </c>
      <c r="E2784" s="8" t="str">
        <f>IFERROR(__xludf.DUMMYFUNCTION("""COMPUTED_VALUE"""),"Real")</f>
        <v>Real</v>
      </c>
      <c r="G2784" s="8">
        <f t="shared" si="1"/>
        <v>2</v>
      </c>
      <c r="H2784" s="14">
        <f t="shared" si="2"/>
        <v>24</v>
      </c>
      <c r="I2784" s="15">
        <f t="shared" si="3"/>
        <v>23</v>
      </c>
    </row>
    <row r="2785">
      <c r="A2785" s="8" t="str">
        <f>IFERROR(__xludf.DUMMYFUNCTION("IF('(INGESTA)Datos_consumo_datadis'!A2785&lt;&gt;"""",SPLIT('(INGESTA)Datos_consumo_datadis'!A:A,"",""),"""")"),"ES0031408323131005HX0F")</f>
        <v>ES0031408323131005HX0F</v>
      </c>
      <c r="B2785" s="12">
        <f>IFERROR(__xludf.DUMMYFUNCTION("""COMPUTED_VALUE"""),44981.0)</f>
        <v>44981</v>
      </c>
      <c r="C2785" s="16">
        <f>IFERROR(__xludf.DUMMYFUNCTION("""COMPUTED_VALUE"""),1.0)</f>
        <v>1</v>
      </c>
      <c r="D2785" s="8">
        <f>IFERROR(__xludf.DUMMYFUNCTION("""COMPUTED_VALUE"""),0.101)</f>
        <v>0.101</v>
      </c>
      <c r="E2785" s="8" t="str">
        <f>IFERROR(__xludf.DUMMYFUNCTION("""COMPUTED_VALUE"""),"Real")</f>
        <v>Real</v>
      </c>
      <c r="G2785" s="8">
        <f t="shared" si="1"/>
        <v>2</v>
      </c>
      <c r="H2785" s="14">
        <f t="shared" si="2"/>
        <v>24</v>
      </c>
      <c r="I2785" s="15">
        <f t="shared" si="3"/>
        <v>0</v>
      </c>
    </row>
    <row r="2786">
      <c r="A2786" s="8" t="str">
        <f>IFERROR(__xludf.DUMMYFUNCTION("IF('(INGESTA)Datos_consumo_datadis'!A2786&lt;&gt;"""",SPLIT('(INGESTA)Datos_consumo_datadis'!A:A,"",""),"""")"),"ES0031408323131005HX0F")</f>
        <v>ES0031408323131005HX0F</v>
      </c>
      <c r="B2786" s="12">
        <f>IFERROR(__xludf.DUMMYFUNCTION("""COMPUTED_VALUE"""),44982.0)</f>
        <v>44982</v>
      </c>
      <c r="C2786" s="13">
        <f>IFERROR(__xludf.DUMMYFUNCTION("""COMPUTED_VALUE"""),0.041666666666666664)</f>
        <v>0.04166666667</v>
      </c>
      <c r="D2786" s="8">
        <f>IFERROR(__xludf.DUMMYFUNCTION("""COMPUTED_VALUE"""),0.362)</f>
        <v>0.362</v>
      </c>
      <c r="E2786" s="8" t="str">
        <f>IFERROR(__xludf.DUMMYFUNCTION("""COMPUTED_VALUE"""),"Real")</f>
        <v>Real</v>
      </c>
      <c r="G2786" s="8">
        <f t="shared" si="1"/>
        <v>2</v>
      </c>
      <c r="H2786" s="14">
        <f t="shared" si="2"/>
        <v>25</v>
      </c>
      <c r="I2786" s="15">
        <f t="shared" si="3"/>
        <v>1</v>
      </c>
    </row>
    <row r="2787">
      <c r="A2787" s="8" t="str">
        <f>IFERROR(__xludf.DUMMYFUNCTION("IF('(INGESTA)Datos_consumo_datadis'!A2787&lt;&gt;"""",SPLIT('(INGESTA)Datos_consumo_datadis'!A:A,"",""),"""")"),"ES0031408323131005HX0F")</f>
        <v>ES0031408323131005HX0F</v>
      </c>
      <c r="B2787" s="12">
        <f>IFERROR(__xludf.DUMMYFUNCTION("""COMPUTED_VALUE"""),44982.0)</f>
        <v>44982</v>
      </c>
      <c r="C2787" s="13">
        <f>IFERROR(__xludf.DUMMYFUNCTION("""COMPUTED_VALUE"""),0.08333333333333333)</f>
        <v>0.08333333333</v>
      </c>
      <c r="D2787" s="8">
        <f>IFERROR(__xludf.DUMMYFUNCTION("""COMPUTED_VALUE"""),0.017)</f>
        <v>0.017</v>
      </c>
      <c r="E2787" s="8" t="str">
        <f>IFERROR(__xludf.DUMMYFUNCTION("""COMPUTED_VALUE"""),"Real")</f>
        <v>Real</v>
      </c>
      <c r="G2787" s="8">
        <f t="shared" si="1"/>
        <v>2</v>
      </c>
      <c r="H2787" s="14">
        <f t="shared" si="2"/>
        <v>25</v>
      </c>
      <c r="I2787" s="15">
        <f t="shared" si="3"/>
        <v>2</v>
      </c>
    </row>
    <row r="2788">
      <c r="A2788" s="8" t="str">
        <f>IFERROR(__xludf.DUMMYFUNCTION("IF('(INGESTA)Datos_consumo_datadis'!A2788&lt;&gt;"""",SPLIT('(INGESTA)Datos_consumo_datadis'!A:A,"",""),"""")"),"ES0031408323131005HX0F")</f>
        <v>ES0031408323131005HX0F</v>
      </c>
      <c r="B2788" s="12">
        <f>IFERROR(__xludf.DUMMYFUNCTION("""COMPUTED_VALUE"""),44982.0)</f>
        <v>44982</v>
      </c>
      <c r="C2788" s="13">
        <f>IFERROR(__xludf.DUMMYFUNCTION("""COMPUTED_VALUE"""),0.125)</f>
        <v>0.125</v>
      </c>
      <c r="D2788" s="8">
        <f>IFERROR(__xludf.DUMMYFUNCTION("""COMPUTED_VALUE"""),0.113)</f>
        <v>0.113</v>
      </c>
      <c r="E2788" s="8" t="str">
        <f>IFERROR(__xludf.DUMMYFUNCTION("""COMPUTED_VALUE"""),"Real")</f>
        <v>Real</v>
      </c>
      <c r="G2788" s="8">
        <f t="shared" si="1"/>
        <v>2</v>
      </c>
      <c r="H2788" s="14">
        <f t="shared" si="2"/>
        <v>25</v>
      </c>
      <c r="I2788" s="15">
        <f t="shared" si="3"/>
        <v>3</v>
      </c>
    </row>
    <row r="2789">
      <c r="A2789" s="8" t="str">
        <f>IFERROR(__xludf.DUMMYFUNCTION("IF('(INGESTA)Datos_consumo_datadis'!A2789&lt;&gt;"""",SPLIT('(INGESTA)Datos_consumo_datadis'!A:A,"",""),"""")"),"ES0031408323131005HX0F")</f>
        <v>ES0031408323131005HX0F</v>
      </c>
      <c r="B2789" s="12">
        <f>IFERROR(__xludf.DUMMYFUNCTION("""COMPUTED_VALUE"""),44982.0)</f>
        <v>44982</v>
      </c>
      <c r="C2789" s="13">
        <f>IFERROR(__xludf.DUMMYFUNCTION("""COMPUTED_VALUE"""),0.16666666666666666)</f>
        <v>0.1666666667</v>
      </c>
      <c r="D2789" s="8">
        <f>IFERROR(__xludf.DUMMYFUNCTION("""COMPUTED_VALUE"""),0.049)</f>
        <v>0.049</v>
      </c>
      <c r="E2789" s="8" t="str">
        <f>IFERROR(__xludf.DUMMYFUNCTION("""COMPUTED_VALUE"""),"Real")</f>
        <v>Real</v>
      </c>
      <c r="G2789" s="8">
        <f t="shared" si="1"/>
        <v>2</v>
      </c>
      <c r="H2789" s="14">
        <f t="shared" si="2"/>
        <v>25</v>
      </c>
      <c r="I2789" s="15">
        <f t="shared" si="3"/>
        <v>4</v>
      </c>
    </row>
    <row r="2790">
      <c r="A2790" s="8" t="str">
        <f>IFERROR(__xludf.DUMMYFUNCTION("IF('(INGESTA)Datos_consumo_datadis'!A2790&lt;&gt;"""",SPLIT('(INGESTA)Datos_consumo_datadis'!A:A,"",""),"""")"),"ES0031408323131005HX0F")</f>
        <v>ES0031408323131005HX0F</v>
      </c>
      <c r="B2790" s="12">
        <f>IFERROR(__xludf.DUMMYFUNCTION("""COMPUTED_VALUE"""),44982.0)</f>
        <v>44982</v>
      </c>
      <c r="C2790" s="13">
        <f>IFERROR(__xludf.DUMMYFUNCTION("""COMPUTED_VALUE"""),0.20833333333333334)</f>
        <v>0.2083333333</v>
      </c>
      <c r="D2790" s="8">
        <f>IFERROR(__xludf.DUMMYFUNCTION("""COMPUTED_VALUE"""),0.041)</f>
        <v>0.041</v>
      </c>
      <c r="E2790" s="8" t="str">
        <f>IFERROR(__xludf.DUMMYFUNCTION("""COMPUTED_VALUE"""),"Real")</f>
        <v>Real</v>
      </c>
      <c r="G2790" s="8">
        <f t="shared" si="1"/>
        <v>2</v>
      </c>
      <c r="H2790" s="14">
        <f t="shared" si="2"/>
        <v>25</v>
      </c>
      <c r="I2790" s="15">
        <f t="shared" si="3"/>
        <v>5</v>
      </c>
    </row>
    <row r="2791">
      <c r="A2791" s="8" t="str">
        <f>IFERROR(__xludf.DUMMYFUNCTION("IF('(INGESTA)Datos_consumo_datadis'!A2791&lt;&gt;"""",SPLIT('(INGESTA)Datos_consumo_datadis'!A:A,"",""),"""")"),"ES0031408323131005HX0F")</f>
        <v>ES0031408323131005HX0F</v>
      </c>
      <c r="B2791" s="12">
        <f>IFERROR(__xludf.DUMMYFUNCTION("""COMPUTED_VALUE"""),44982.0)</f>
        <v>44982</v>
      </c>
      <c r="C2791" s="13">
        <f>IFERROR(__xludf.DUMMYFUNCTION("""COMPUTED_VALUE"""),0.25)</f>
        <v>0.25</v>
      </c>
      <c r="D2791" s="8">
        <f>IFERROR(__xludf.DUMMYFUNCTION("""COMPUTED_VALUE"""),0.017)</f>
        <v>0.017</v>
      </c>
      <c r="E2791" s="8" t="str">
        <f>IFERROR(__xludf.DUMMYFUNCTION("""COMPUTED_VALUE"""),"Real")</f>
        <v>Real</v>
      </c>
      <c r="G2791" s="8">
        <f t="shared" si="1"/>
        <v>2</v>
      </c>
      <c r="H2791" s="14">
        <f t="shared" si="2"/>
        <v>25</v>
      </c>
      <c r="I2791" s="15">
        <f t="shared" si="3"/>
        <v>6</v>
      </c>
    </row>
    <row r="2792">
      <c r="A2792" s="8" t="str">
        <f>IFERROR(__xludf.DUMMYFUNCTION("IF('(INGESTA)Datos_consumo_datadis'!A2792&lt;&gt;"""",SPLIT('(INGESTA)Datos_consumo_datadis'!A:A,"",""),"""")"),"ES0031408323131005HX0F")</f>
        <v>ES0031408323131005HX0F</v>
      </c>
      <c r="B2792" s="12">
        <f>IFERROR(__xludf.DUMMYFUNCTION("""COMPUTED_VALUE"""),44982.0)</f>
        <v>44982</v>
      </c>
      <c r="C2792" s="13">
        <f>IFERROR(__xludf.DUMMYFUNCTION("""COMPUTED_VALUE"""),0.2916666666666667)</f>
        <v>0.2916666667</v>
      </c>
      <c r="D2792" s="8">
        <f>IFERROR(__xludf.DUMMYFUNCTION("""COMPUTED_VALUE"""),0.393)</f>
        <v>0.393</v>
      </c>
      <c r="E2792" s="8" t="str">
        <f>IFERROR(__xludf.DUMMYFUNCTION("""COMPUTED_VALUE"""),"Real")</f>
        <v>Real</v>
      </c>
      <c r="G2792" s="8">
        <f t="shared" si="1"/>
        <v>2</v>
      </c>
      <c r="H2792" s="14">
        <f t="shared" si="2"/>
        <v>25</v>
      </c>
      <c r="I2792" s="15">
        <f t="shared" si="3"/>
        <v>7</v>
      </c>
    </row>
    <row r="2793">
      <c r="A2793" s="8" t="str">
        <f>IFERROR(__xludf.DUMMYFUNCTION("IF('(INGESTA)Datos_consumo_datadis'!A2793&lt;&gt;"""",SPLIT('(INGESTA)Datos_consumo_datadis'!A:A,"",""),"""")"),"ES0031408323131005HX0F")</f>
        <v>ES0031408323131005HX0F</v>
      </c>
      <c r="B2793" s="12">
        <f>IFERROR(__xludf.DUMMYFUNCTION("""COMPUTED_VALUE"""),44982.0)</f>
        <v>44982</v>
      </c>
      <c r="C2793" s="13">
        <f>IFERROR(__xludf.DUMMYFUNCTION("""COMPUTED_VALUE"""),0.3333333333333333)</f>
        <v>0.3333333333</v>
      </c>
      <c r="D2793" s="8">
        <f>IFERROR(__xludf.DUMMYFUNCTION("""COMPUTED_VALUE"""),0.044)</f>
        <v>0.044</v>
      </c>
      <c r="E2793" s="8" t="str">
        <f>IFERROR(__xludf.DUMMYFUNCTION("""COMPUTED_VALUE"""),"Real")</f>
        <v>Real</v>
      </c>
      <c r="G2793" s="8">
        <f t="shared" si="1"/>
        <v>2</v>
      </c>
      <c r="H2793" s="14">
        <f t="shared" si="2"/>
        <v>25</v>
      </c>
      <c r="I2793" s="15">
        <f t="shared" si="3"/>
        <v>8</v>
      </c>
    </row>
    <row r="2794">
      <c r="A2794" s="8" t="str">
        <f>IFERROR(__xludf.DUMMYFUNCTION("IF('(INGESTA)Datos_consumo_datadis'!A2794&lt;&gt;"""",SPLIT('(INGESTA)Datos_consumo_datadis'!A:A,"",""),"""")"),"ES0031408323131005HX0F")</f>
        <v>ES0031408323131005HX0F</v>
      </c>
      <c r="B2794" s="12">
        <f>IFERROR(__xludf.DUMMYFUNCTION("""COMPUTED_VALUE"""),44982.0)</f>
        <v>44982</v>
      </c>
      <c r="C2794" s="13">
        <f>IFERROR(__xludf.DUMMYFUNCTION("""COMPUTED_VALUE"""),0.375)</f>
        <v>0.375</v>
      </c>
      <c r="D2794" s="8">
        <f>IFERROR(__xludf.DUMMYFUNCTION("""COMPUTED_VALUE"""),0.026)</f>
        <v>0.026</v>
      </c>
      <c r="E2794" s="8" t="str">
        <f>IFERROR(__xludf.DUMMYFUNCTION("""COMPUTED_VALUE"""),"Real")</f>
        <v>Real</v>
      </c>
      <c r="G2794" s="8">
        <f t="shared" si="1"/>
        <v>2</v>
      </c>
      <c r="H2794" s="14">
        <f t="shared" si="2"/>
        <v>25</v>
      </c>
      <c r="I2794" s="15">
        <f t="shared" si="3"/>
        <v>9</v>
      </c>
    </row>
    <row r="2795">
      <c r="A2795" s="8" t="str">
        <f>IFERROR(__xludf.DUMMYFUNCTION("IF('(INGESTA)Datos_consumo_datadis'!A2795&lt;&gt;"""",SPLIT('(INGESTA)Datos_consumo_datadis'!A:A,"",""),"""")"),"ES0031408323131005HX0F")</f>
        <v>ES0031408323131005HX0F</v>
      </c>
      <c r="B2795" s="12">
        <f>IFERROR(__xludf.DUMMYFUNCTION("""COMPUTED_VALUE"""),44982.0)</f>
        <v>44982</v>
      </c>
      <c r="C2795" s="13">
        <f>IFERROR(__xludf.DUMMYFUNCTION("""COMPUTED_VALUE"""),0.4166666666666667)</f>
        <v>0.4166666667</v>
      </c>
      <c r="D2795" s="8">
        <f>IFERROR(__xludf.DUMMYFUNCTION("""COMPUTED_VALUE"""),0.016)</f>
        <v>0.016</v>
      </c>
      <c r="E2795" s="8" t="str">
        <f>IFERROR(__xludf.DUMMYFUNCTION("""COMPUTED_VALUE"""),"Real")</f>
        <v>Real</v>
      </c>
      <c r="G2795" s="8">
        <f t="shared" si="1"/>
        <v>2</v>
      </c>
      <c r="H2795" s="14">
        <f t="shared" si="2"/>
        <v>25</v>
      </c>
      <c r="I2795" s="15">
        <f t="shared" si="3"/>
        <v>10</v>
      </c>
    </row>
    <row r="2796">
      <c r="A2796" s="8" t="str">
        <f>IFERROR(__xludf.DUMMYFUNCTION("IF('(INGESTA)Datos_consumo_datadis'!A2796&lt;&gt;"""",SPLIT('(INGESTA)Datos_consumo_datadis'!A:A,"",""),"""")"),"ES0031408323131005HX0F")</f>
        <v>ES0031408323131005HX0F</v>
      </c>
      <c r="B2796" s="12">
        <f>IFERROR(__xludf.DUMMYFUNCTION("""COMPUTED_VALUE"""),44982.0)</f>
        <v>44982</v>
      </c>
      <c r="C2796" s="13">
        <f>IFERROR(__xludf.DUMMYFUNCTION("""COMPUTED_VALUE"""),0.4583333333333333)</f>
        <v>0.4583333333</v>
      </c>
      <c r="D2796" s="8">
        <f>IFERROR(__xludf.DUMMYFUNCTION("""COMPUTED_VALUE"""),0.341)</f>
        <v>0.341</v>
      </c>
      <c r="E2796" s="8" t="str">
        <f>IFERROR(__xludf.DUMMYFUNCTION("""COMPUTED_VALUE"""),"Real")</f>
        <v>Real</v>
      </c>
      <c r="G2796" s="8">
        <f t="shared" si="1"/>
        <v>2</v>
      </c>
      <c r="H2796" s="14">
        <f t="shared" si="2"/>
        <v>25</v>
      </c>
      <c r="I2796" s="15">
        <f t="shared" si="3"/>
        <v>11</v>
      </c>
    </row>
    <row r="2797">
      <c r="A2797" s="8" t="str">
        <f>IFERROR(__xludf.DUMMYFUNCTION("IF('(INGESTA)Datos_consumo_datadis'!A2797&lt;&gt;"""",SPLIT('(INGESTA)Datos_consumo_datadis'!A:A,"",""),"""")"),"ES0031408323131005HX0F")</f>
        <v>ES0031408323131005HX0F</v>
      </c>
      <c r="B2797" s="12">
        <f>IFERROR(__xludf.DUMMYFUNCTION("""COMPUTED_VALUE"""),44982.0)</f>
        <v>44982</v>
      </c>
      <c r="C2797" s="13">
        <f>IFERROR(__xludf.DUMMYFUNCTION("""COMPUTED_VALUE"""),0.5)</f>
        <v>0.5</v>
      </c>
      <c r="D2797" s="8">
        <f>IFERROR(__xludf.DUMMYFUNCTION("""COMPUTED_VALUE"""),0.048)</f>
        <v>0.048</v>
      </c>
      <c r="E2797" s="8" t="str">
        <f>IFERROR(__xludf.DUMMYFUNCTION("""COMPUTED_VALUE"""),"Real")</f>
        <v>Real</v>
      </c>
      <c r="G2797" s="8">
        <f t="shared" si="1"/>
        <v>2</v>
      </c>
      <c r="H2797" s="14">
        <f t="shared" si="2"/>
        <v>25</v>
      </c>
      <c r="I2797" s="15">
        <f t="shared" si="3"/>
        <v>12</v>
      </c>
    </row>
    <row r="2798">
      <c r="A2798" s="8" t="str">
        <f>IFERROR(__xludf.DUMMYFUNCTION("IF('(INGESTA)Datos_consumo_datadis'!A2798&lt;&gt;"""",SPLIT('(INGESTA)Datos_consumo_datadis'!A:A,"",""),"""")"),"ES0031408323131005HX0F")</f>
        <v>ES0031408323131005HX0F</v>
      </c>
      <c r="B2798" s="12">
        <f>IFERROR(__xludf.DUMMYFUNCTION("""COMPUTED_VALUE"""),44982.0)</f>
        <v>44982</v>
      </c>
      <c r="C2798" s="13">
        <f>IFERROR(__xludf.DUMMYFUNCTION("""COMPUTED_VALUE"""),0.5416666666666666)</f>
        <v>0.5416666667</v>
      </c>
      <c r="D2798" s="8">
        <f>IFERROR(__xludf.DUMMYFUNCTION("""COMPUTED_VALUE"""),0.017)</f>
        <v>0.017</v>
      </c>
      <c r="E2798" s="8" t="str">
        <f>IFERROR(__xludf.DUMMYFUNCTION("""COMPUTED_VALUE"""),"Real")</f>
        <v>Real</v>
      </c>
      <c r="G2798" s="8">
        <f t="shared" si="1"/>
        <v>2</v>
      </c>
      <c r="H2798" s="14">
        <f t="shared" si="2"/>
        <v>25</v>
      </c>
      <c r="I2798" s="15">
        <f t="shared" si="3"/>
        <v>13</v>
      </c>
    </row>
    <row r="2799">
      <c r="A2799" s="8" t="str">
        <f>IFERROR(__xludf.DUMMYFUNCTION("IF('(INGESTA)Datos_consumo_datadis'!A2799&lt;&gt;"""",SPLIT('(INGESTA)Datos_consumo_datadis'!A:A,"",""),"""")"),"ES0031408323131005HX0F")</f>
        <v>ES0031408323131005HX0F</v>
      </c>
      <c r="B2799" s="12">
        <f>IFERROR(__xludf.DUMMYFUNCTION("""COMPUTED_VALUE"""),44982.0)</f>
        <v>44982</v>
      </c>
      <c r="C2799" s="13">
        <f>IFERROR(__xludf.DUMMYFUNCTION("""COMPUTED_VALUE"""),0.5833333333333334)</f>
        <v>0.5833333333</v>
      </c>
      <c r="D2799" s="8">
        <f>IFERROR(__xludf.DUMMYFUNCTION("""COMPUTED_VALUE"""),0.038)</f>
        <v>0.038</v>
      </c>
      <c r="E2799" s="8" t="str">
        <f>IFERROR(__xludf.DUMMYFUNCTION("""COMPUTED_VALUE"""),"Real")</f>
        <v>Real</v>
      </c>
      <c r="G2799" s="8">
        <f t="shared" si="1"/>
        <v>2</v>
      </c>
      <c r="H2799" s="14">
        <f t="shared" si="2"/>
        <v>25</v>
      </c>
      <c r="I2799" s="15">
        <f t="shared" si="3"/>
        <v>14</v>
      </c>
    </row>
    <row r="2800">
      <c r="A2800" s="8" t="str">
        <f>IFERROR(__xludf.DUMMYFUNCTION("IF('(INGESTA)Datos_consumo_datadis'!A2800&lt;&gt;"""",SPLIT('(INGESTA)Datos_consumo_datadis'!A:A,"",""),"""")"),"ES0031408323131005HX0F")</f>
        <v>ES0031408323131005HX0F</v>
      </c>
      <c r="B2800" s="12">
        <f>IFERROR(__xludf.DUMMYFUNCTION("""COMPUTED_VALUE"""),44982.0)</f>
        <v>44982</v>
      </c>
      <c r="C2800" s="13">
        <f>IFERROR(__xludf.DUMMYFUNCTION("""COMPUTED_VALUE"""),0.625)</f>
        <v>0.625</v>
      </c>
      <c r="D2800" s="8">
        <f>IFERROR(__xludf.DUMMYFUNCTION("""COMPUTED_VALUE"""),0.071)</f>
        <v>0.071</v>
      </c>
      <c r="E2800" s="8" t="str">
        <f>IFERROR(__xludf.DUMMYFUNCTION("""COMPUTED_VALUE"""),"Real")</f>
        <v>Real</v>
      </c>
      <c r="G2800" s="8">
        <f t="shared" si="1"/>
        <v>2</v>
      </c>
      <c r="H2800" s="14">
        <f t="shared" si="2"/>
        <v>25</v>
      </c>
      <c r="I2800" s="15">
        <f t="shared" si="3"/>
        <v>15</v>
      </c>
    </row>
    <row r="2801">
      <c r="A2801" s="8" t="str">
        <f>IFERROR(__xludf.DUMMYFUNCTION("IF('(INGESTA)Datos_consumo_datadis'!A2801&lt;&gt;"""",SPLIT('(INGESTA)Datos_consumo_datadis'!A:A,"",""),"""")"),"ES0031408323131005HX0F")</f>
        <v>ES0031408323131005HX0F</v>
      </c>
      <c r="B2801" s="12">
        <f>IFERROR(__xludf.DUMMYFUNCTION("""COMPUTED_VALUE"""),44982.0)</f>
        <v>44982</v>
      </c>
      <c r="C2801" s="13">
        <f>IFERROR(__xludf.DUMMYFUNCTION("""COMPUTED_VALUE"""),0.6666666666666666)</f>
        <v>0.6666666667</v>
      </c>
      <c r="D2801" s="8">
        <f>IFERROR(__xludf.DUMMYFUNCTION("""COMPUTED_VALUE"""),0.317)</f>
        <v>0.317</v>
      </c>
      <c r="E2801" s="8" t="str">
        <f>IFERROR(__xludf.DUMMYFUNCTION("""COMPUTED_VALUE"""),"Real")</f>
        <v>Real</v>
      </c>
      <c r="G2801" s="8">
        <f t="shared" si="1"/>
        <v>2</v>
      </c>
      <c r="H2801" s="14">
        <f t="shared" si="2"/>
        <v>25</v>
      </c>
      <c r="I2801" s="15">
        <f t="shared" si="3"/>
        <v>16</v>
      </c>
    </row>
    <row r="2802">
      <c r="A2802" s="8" t="str">
        <f>IFERROR(__xludf.DUMMYFUNCTION("IF('(INGESTA)Datos_consumo_datadis'!A2802&lt;&gt;"""",SPLIT('(INGESTA)Datos_consumo_datadis'!A:A,"",""),"""")"),"ES0031408323131005HX0F")</f>
        <v>ES0031408323131005HX0F</v>
      </c>
      <c r="B2802" s="12">
        <f>IFERROR(__xludf.DUMMYFUNCTION("""COMPUTED_VALUE"""),44982.0)</f>
        <v>44982</v>
      </c>
      <c r="C2802" s="13">
        <f>IFERROR(__xludf.DUMMYFUNCTION("""COMPUTED_VALUE"""),0.7083333333333334)</f>
        <v>0.7083333333</v>
      </c>
      <c r="D2802" s="8">
        <f>IFERROR(__xludf.DUMMYFUNCTION("""COMPUTED_VALUE"""),0.016)</f>
        <v>0.016</v>
      </c>
      <c r="E2802" s="8" t="str">
        <f>IFERROR(__xludf.DUMMYFUNCTION("""COMPUTED_VALUE"""),"Real")</f>
        <v>Real</v>
      </c>
      <c r="G2802" s="8">
        <f t="shared" si="1"/>
        <v>2</v>
      </c>
      <c r="H2802" s="14">
        <f t="shared" si="2"/>
        <v>25</v>
      </c>
      <c r="I2802" s="15">
        <f t="shared" si="3"/>
        <v>17</v>
      </c>
    </row>
    <row r="2803">
      <c r="A2803" s="8" t="str">
        <f>IFERROR(__xludf.DUMMYFUNCTION("IF('(INGESTA)Datos_consumo_datadis'!A2803&lt;&gt;"""",SPLIT('(INGESTA)Datos_consumo_datadis'!A:A,"",""),"""")"),"ES0031408323131005HX0F")</f>
        <v>ES0031408323131005HX0F</v>
      </c>
      <c r="B2803" s="12">
        <f>IFERROR(__xludf.DUMMYFUNCTION("""COMPUTED_VALUE"""),44982.0)</f>
        <v>44982</v>
      </c>
      <c r="C2803" s="13">
        <f>IFERROR(__xludf.DUMMYFUNCTION("""COMPUTED_VALUE"""),0.75)</f>
        <v>0.75</v>
      </c>
      <c r="D2803" s="8">
        <f>IFERROR(__xludf.DUMMYFUNCTION("""COMPUTED_VALUE"""),0.076)</f>
        <v>0.076</v>
      </c>
      <c r="E2803" s="8" t="str">
        <f>IFERROR(__xludf.DUMMYFUNCTION("""COMPUTED_VALUE"""),"Real")</f>
        <v>Real</v>
      </c>
      <c r="G2803" s="8">
        <f t="shared" si="1"/>
        <v>2</v>
      </c>
      <c r="H2803" s="14">
        <f t="shared" si="2"/>
        <v>25</v>
      </c>
      <c r="I2803" s="15">
        <f t="shared" si="3"/>
        <v>18</v>
      </c>
    </row>
    <row r="2804">
      <c r="A2804" s="8" t="str">
        <f>IFERROR(__xludf.DUMMYFUNCTION("IF('(INGESTA)Datos_consumo_datadis'!A2804&lt;&gt;"""",SPLIT('(INGESTA)Datos_consumo_datadis'!A:A,"",""),"""")"),"ES0031408323131005HX0F")</f>
        <v>ES0031408323131005HX0F</v>
      </c>
      <c r="B2804" s="12">
        <f>IFERROR(__xludf.DUMMYFUNCTION("""COMPUTED_VALUE"""),44982.0)</f>
        <v>44982</v>
      </c>
      <c r="C2804" s="13">
        <f>IFERROR(__xludf.DUMMYFUNCTION("""COMPUTED_VALUE"""),0.7916666666666666)</f>
        <v>0.7916666667</v>
      </c>
      <c r="D2804" s="8">
        <f>IFERROR(__xludf.DUMMYFUNCTION("""COMPUTED_VALUE"""),0.113)</f>
        <v>0.113</v>
      </c>
      <c r="E2804" s="8" t="str">
        <f>IFERROR(__xludf.DUMMYFUNCTION("""COMPUTED_VALUE"""),"Real")</f>
        <v>Real</v>
      </c>
      <c r="G2804" s="8">
        <f t="shared" si="1"/>
        <v>2</v>
      </c>
      <c r="H2804" s="14">
        <f t="shared" si="2"/>
        <v>25</v>
      </c>
      <c r="I2804" s="15">
        <f t="shared" si="3"/>
        <v>19</v>
      </c>
    </row>
    <row r="2805">
      <c r="A2805" s="8" t="str">
        <f>IFERROR(__xludf.DUMMYFUNCTION("IF('(INGESTA)Datos_consumo_datadis'!A2805&lt;&gt;"""",SPLIT('(INGESTA)Datos_consumo_datadis'!A:A,"",""),"""")"),"ES0031408323131005HX0F")</f>
        <v>ES0031408323131005HX0F</v>
      </c>
      <c r="B2805" s="12">
        <f>IFERROR(__xludf.DUMMYFUNCTION("""COMPUTED_VALUE"""),44982.0)</f>
        <v>44982</v>
      </c>
      <c r="C2805" s="13">
        <f>IFERROR(__xludf.DUMMYFUNCTION("""COMPUTED_VALUE"""),0.8333333333333334)</f>
        <v>0.8333333333</v>
      </c>
      <c r="D2805" s="8">
        <f>IFERROR(__xludf.DUMMYFUNCTION("""COMPUTED_VALUE"""),0.052)</f>
        <v>0.052</v>
      </c>
      <c r="E2805" s="8" t="str">
        <f>IFERROR(__xludf.DUMMYFUNCTION("""COMPUTED_VALUE"""),"Real")</f>
        <v>Real</v>
      </c>
      <c r="G2805" s="8">
        <f t="shared" si="1"/>
        <v>2</v>
      </c>
      <c r="H2805" s="14">
        <f t="shared" si="2"/>
        <v>25</v>
      </c>
      <c r="I2805" s="15">
        <f t="shared" si="3"/>
        <v>20</v>
      </c>
    </row>
    <row r="2806">
      <c r="A2806" s="8" t="str">
        <f>IFERROR(__xludf.DUMMYFUNCTION("IF('(INGESTA)Datos_consumo_datadis'!A2806&lt;&gt;"""",SPLIT('(INGESTA)Datos_consumo_datadis'!A:A,"",""),"""")"),"ES0031408323131005HX0F")</f>
        <v>ES0031408323131005HX0F</v>
      </c>
      <c r="B2806" s="12">
        <f>IFERROR(__xludf.DUMMYFUNCTION("""COMPUTED_VALUE"""),44982.0)</f>
        <v>44982</v>
      </c>
      <c r="C2806" s="13">
        <f>IFERROR(__xludf.DUMMYFUNCTION("""COMPUTED_VALUE"""),0.875)</f>
        <v>0.875</v>
      </c>
      <c r="D2806" s="8">
        <f>IFERROR(__xludf.DUMMYFUNCTION("""COMPUTED_VALUE"""),1.921)</f>
        <v>1.921</v>
      </c>
      <c r="E2806" s="8" t="str">
        <f>IFERROR(__xludf.DUMMYFUNCTION("""COMPUTED_VALUE"""),"Real")</f>
        <v>Real</v>
      </c>
      <c r="G2806" s="8">
        <f t="shared" si="1"/>
        <v>2</v>
      </c>
      <c r="H2806" s="14">
        <f t="shared" si="2"/>
        <v>25</v>
      </c>
      <c r="I2806" s="15">
        <f t="shared" si="3"/>
        <v>21</v>
      </c>
    </row>
    <row r="2807">
      <c r="A2807" s="8" t="str">
        <f>IFERROR(__xludf.DUMMYFUNCTION("IF('(INGESTA)Datos_consumo_datadis'!A2807&lt;&gt;"""",SPLIT('(INGESTA)Datos_consumo_datadis'!A:A,"",""),"""")"),"ES0031408323131005HX0F")</f>
        <v>ES0031408323131005HX0F</v>
      </c>
      <c r="B2807" s="12">
        <f>IFERROR(__xludf.DUMMYFUNCTION("""COMPUTED_VALUE"""),44982.0)</f>
        <v>44982</v>
      </c>
      <c r="C2807" s="13">
        <f>IFERROR(__xludf.DUMMYFUNCTION("""COMPUTED_VALUE"""),0.9166666666666666)</f>
        <v>0.9166666667</v>
      </c>
      <c r="D2807" s="8">
        <f>IFERROR(__xludf.DUMMYFUNCTION("""COMPUTED_VALUE"""),3.639)</f>
        <v>3.639</v>
      </c>
      <c r="E2807" s="8" t="str">
        <f>IFERROR(__xludf.DUMMYFUNCTION("""COMPUTED_VALUE"""),"Real")</f>
        <v>Real</v>
      </c>
      <c r="G2807" s="8">
        <f t="shared" si="1"/>
        <v>2</v>
      </c>
      <c r="H2807" s="14">
        <f t="shared" si="2"/>
        <v>25</v>
      </c>
      <c r="I2807" s="15">
        <f t="shared" si="3"/>
        <v>22</v>
      </c>
    </row>
    <row r="2808">
      <c r="A2808" s="8" t="str">
        <f>IFERROR(__xludf.DUMMYFUNCTION("IF('(INGESTA)Datos_consumo_datadis'!A2808&lt;&gt;"""",SPLIT('(INGESTA)Datos_consumo_datadis'!A:A,"",""),"""")"),"ES0031408323131005HX0F")</f>
        <v>ES0031408323131005HX0F</v>
      </c>
      <c r="B2808" s="12">
        <f>IFERROR(__xludf.DUMMYFUNCTION("""COMPUTED_VALUE"""),44982.0)</f>
        <v>44982</v>
      </c>
      <c r="C2808" s="13">
        <f>IFERROR(__xludf.DUMMYFUNCTION("""COMPUTED_VALUE"""),0.9583333333333334)</f>
        <v>0.9583333333</v>
      </c>
      <c r="D2808" s="8">
        <f>IFERROR(__xludf.DUMMYFUNCTION("""COMPUTED_VALUE"""),2.445)</f>
        <v>2.445</v>
      </c>
      <c r="E2808" s="8" t="str">
        <f>IFERROR(__xludf.DUMMYFUNCTION("""COMPUTED_VALUE"""),"Real")</f>
        <v>Real</v>
      </c>
      <c r="G2808" s="8">
        <f t="shared" si="1"/>
        <v>2</v>
      </c>
      <c r="H2808" s="14">
        <f t="shared" si="2"/>
        <v>25</v>
      </c>
      <c r="I2808" s="15">
        <f t="shared" si="3"/>
        <v>23</v>
      </c>
    </row>
    <row r="2809">
      <c r="A2809" s="8" t="str">
        <f>IFERROR(__xludf.DUMMYFUNCTION("IF('(INGESTA)Datos_consumo_datadis'!A2809&lt;&gt;"""",SPLIT('(INGESTA)Datos_consumo_datadis'!A:A,"",""),"""")"),"ES0031408323131005HX0F")</f>
        <v>ES0031408323131005HX0F</v>
      </c>
      <c r="B2809" s="12">
        <f>IFERROR(__xludf.DUMMYFUNCTION("""COMPUTED_VALUE"""),44982.0)</f>
        <v>44982</v>
      </c>
      <c r="C2809" s="16">
        <f>IFERROR(__xludf.DUMMYFUNCTION("""COMPUTED_VALUE"""),1.0)</f>
        <v>1</v>
      </c>
      <c r="D2809" s="8">
        <f>IFERROR(__xludf.DUMMYFUNCTION("""COMPUTED_VALUE"""),0.965)</f>
        <v>0.965</v>
      </c>
      <c r="E2809" s="8" t="str">
        <f>IFERROR(__xludf.DUMMYFUNCTION("""COMPUTED_VALUE"""),"Real")</f>
        <v>Real</v>
      </c>
      <c r="G2809" s="8">
        <f t="shared" si="1"/>
        <v>2</v>
      </c>
      <c r="H2809" s="14">
        <f t="shared" si="2"/>
        <v>25</v>
      </c>
      <c r="I2809" s="15">
        <f t="shared" si="3"/>
        <v>0</v>
      </c>
    </row>
    <row r="2810">
      <c r="A2810" s="8" t="str">
        <f>IFERROR(__xludf.DUMMYFUNCTION("IF('(INGESTA)Datos_consumo_datadis'!A2810&lt;&gt;"""",SPLIT('(INGESTA)Datos_consumo_datadis'!A:A,"",""),"""")"),"ES0031408323131005HX0F")</f>
        <v>ES0031408323131005HX0F</v>
      </c>
      <c r="B2810" s="12">
        <f>IFERROR(__xludf.DUMMYFUNCTION("""COMPUTED_VALUE"""),44983.0)</f>
        <v>44983</v>
      </c>
      <c r="C2810" s="13">
        <f>IFERROR(__xludf.DUMMYFUNCTION("""COMPUTED_VALUE"""),0.041666666666666664)</f>
        <v>0.04166666667</v>
      </c>
      <c r="D2810" s="8">
        <f>IFERROR(__xludf.DUMMYFUNCTION("""COMPUTED_VALUE"""),0.154)</f>
        <v>0.154</v>
      </c>
      <c r="E2810" s="8" t="str">
        <f>IFERROR(__xludf.DUMMYFUNCTION("""COMPUTED_VALUE"""),"Real")</f>
        <v>Real</v>
      </c>
      <c r="G2810" s="8">
        <f t="shared" si="1"/>
        <v>2</v>
      </c>
      <c r="H2810" s="14">
        <f t="shared" si="2"/>
        <v>26</v>
      </c>
      <c r="I2810" s="15">
        <f t="shared" si="3"/>
        <v>1</v>
      </c>
    </row>
    <row r="2811">
      <c r="A2811" s="8" t="str">
        <f>IFERROR(__xludf.DUMMYFUNCTION("IF('(INGESTA)Datos_consumo_datadis'!A2811&lt;&gt;"""",SPLIT('(INGESTA)Datos_consumo_datadis'!A:A,"",""),"""")"),"ES0031408323131005HX0F")</f>
        <v>ES0031408323131005HX0F</v>
      </c>
      <c r="B2811" s="12">
        <f>IFERROR(__xludf.DUMMYFUNCTION("""COMPUTED_VALUE"""),44983.0)</f>
        <v>44983</v>
      </c>
      <c r="C2811" s="13">
        <f>IFERROR(__xludf.DUMMYFUNCTION("""COMPUTED_VALUE"""),0.08333333333333333)</f>
        <v>0.08333333333</v>
      </c>
      <c r="D2811" s="8">
        <f>IFERROR(__xludf.DUMMYFUNCTION("""COMPUTED_VALUE"""),0.841)</f>
        <v>0.841</v>
      </c>
      <c r="E2811" s="8" t="str">
        <f>IFERROR(__xludf.DUMMYFUNCTION("""COMPUTED_VALUE"""),"Real")</f>
        <v>Real</v>
      </c>
      <c r="G2811" s="8">
        <f t="shared" si="1"/>
        <v>2</v>
      </c>
      <c r="H2811" s="14">
        <f t="shared" si="2"/>
        <v>26</v>
      </c>
      <c r="I2811" s="15">
        <f t="shared" si="3"/>
        <v>2</v>
      </c>
    </row>
    <row r="2812">
      <c r="A2812" s="8" t="str">
        <f>IFERROR(__xludf.DUMMYFUNCTION("IF('(INGESTA)Datos_consumo_datadis'!A2812&lt;&gt;"""",SPLIT('(INGESTA)Datos_consumo_datadis'!A:A,"",""),"""")"),"ES0031408323131005HX0F")</f>
        <v>ES0031408323131005HX0F</v>
      </c>
      <c r="B2812" s="12">
        <f>IFERROR(__xludf.DUMMYFUNCTION("""COMPUTED_VALUE"""),44983.0)</f>
        <v>44983</v>
      </c>
      <c r="C2812" s="13">
        <f>IFERROR(__xludf.DUMMYFUNCTION("""COMPUTED_VALUE"""),0.125)</f>
        <v>0.125</v>
      </c>
      <c r="D2812" s="8">
        <f>IFERROR(__xludf.DUMMYFUNCTION("""COMPUTED_VALUE"""),1.082)</f>
        <v>1.082</v>
      </c>
      <c r="E2812" s="8" t="str">
        <f>IFERROR(__xludf.DUMMYFUNCTION("""COMPUTED_VALUE"""),"Real")</f>
        <v>Real</v>
      </c>
      <c r="G2812" s="8">
        <f t="shared" si="1"/>
        <v>2</v>
      </c>
      <c r="H2812" s="14">
        <f t="shared" si="2"/>
        <v>26</v>
      </c>
      <c r="I2812" s="15">
        <f t="shared" si="3"/>
        <v>3</v>
      </c>
    </row>
    <row r="2813">
      <c r="A2813" s="8" t="str">
        <f>IFERROR(__xludf.DUMMYFUNCTION("IF('(INGESTA)Datos_consumo_datadis'!A2813&lt;&gt;"""",SPLIT('(INGESTA)Datos_consumo_datadis'!A:A,"",""),"""")"),"ES0031408323131005HX0F")</f>
        <v>ES0031408323131005HX0F</v>
      </c>
      <c r="B2813" s="12">
        <f>IFERROR(__xludf.DUMMYFUNCTION("""COMPUTED_VALUE"""),44983.0)</f>
        <v>44983</v>
      </c>
      <c r="C2813" s="13">
        <f>IFERROR(__xludf.DUMMYFUNCTION("""COMPUTED_VALUE"""),0.16666666666666666)</f>
        <v>0.1666666667</v>
      </c>
      <c r="D2813" s="8">
        <f>IFERROR(__xludf.DUMMYFUNCTION("""COMPUTED_VALUE"""),0.8)</f>
        <v>0.8</v>
      </c>
      <c r="E2813" s="8" t="str">
        <f>IFERROR(__xludf.DUMMYFUNCTION("""COMPUTED_VALUE"""),"Real")</f>
        <v>Real</v>
      </c>
      <c r="G2813" s="8">
        <f t="shared" si="1"/>
        <v>2</v>
      </c>
      <c r="H2813" s="14">
        <f t="shared" si="2"/>
        <v>26</v>
      </c>
      <c r="I2813" s="15">
        <f t="shared" si="3"/>
        <v>4</v>
      </c>
    </row>
    <row r="2814">
      <c r="A2814" s="8" t="str">
        <f>IFERROR(__xludf.DUMMYFUNCTION("IF('(INGESTA)Datos_consumo_datadis'!A2814&lt;&gt;"""",SPLIT('(INGESTA)Datos_consumo_datadis'!A:A,"",""),"""")"),"ES0031408323131005HX0F")</f>
        <v>ES0031408323131005HX0F</v>
      </c>
      <c r="B2814" s="12">
        <f>IFERROR(__xludf.DUMMYFUNCTION("""COMPUTED_VALUE"""),44983.0)</f>
        <v>44983</v>
      </c>
      <c r="C2814" s="13">
        <f>IFERROR(__xludf.DUMMYFUNCTION("""COMPUTED_VALUE"""),0.20833333333333334)</f>
        <v>0.2083333333</v>
      </c>
      <c r="D2814" s="8">
        <f>IFERROR(__xludf.DUMMYFUNCTION("""COMPUTED_VALUE"""),0.794)</f>
        <v>0.794</v>
      </c>
      <c r="E2814" s="8" t="str">
        <f>IFERROR(__xludf.DUMMYFUNCTION("""COMPUTED_VALUE"""),"Real")</f>
        <v>Real</v>
      </c>
      <c r="G2814" s="8">
        <f t="shared" si="1"/>
        <v>2</v>
      </c>
      <c r="H2814" s="14">
        <f t="shared" si="2"/>
        <v>26</v>
      </c>
      <c r="I2814" s="15">
        <f t="shared" si="3"/>
        <v>5</v>
      </c>
    </row>
    <row r="2815">
      <c r="A2815" s="8" t="str">
        <f>IFERROR(__xludf.DUMMYFUNCTION("IF('(INGESTA)Datos_consumo_datadis'!A2815&lt;&gt;"""",SPLIT('(INGESTA)Datos_consumo_datadis'!A:A,"",""),"""")"),"ES0031408323131005HX0F")</f>
        <v>ES0031408323131005HX0F</v>
      </c>
      <c r="B2815" s="12">
        <f>IFERROR(__xludf.DUMMYFUNCTION("""COMPUTED_VALUE"""),44983.0)</f>
        <v>44983</v>
      </c>
      <c r="C2815" s="13">
        <f>IFERROR(__xludf.DUMMYFUNCTION("""COMPUTED_VALUE"""),0.25)</f>
        <v>0.25</v>
      </c>
      <c r="D2815" s="8">
        <f>IFERROR(__xludf.DUMMYFUNCTION("""COMPUTED_VALUE"""),0.832)</f>
        <v>0.832</v>
      </c>
      <c r="E2815" s="8" t="str">
        <f>IFERROR(__xludf.DUMMYFUNCTION("""COMPUTED_VALUE"""),"Real")</f>
        <v>Real</v>
      </c>
      <c r="G2815" s="8">
        <f t="shared" si="1"/>
        <v>2</v>
      </c>
      <c r="H2815" s="14">
        <f t="shared" si="2"/>
        <v>26</v>
      </c>
      <c r="I2815" s="15">
        <f t="shared" si="3"/>
        <v>6</v>
      </c>
    </row>
    <row r="2816">
      <c r="A2816" s="8" t="str">
        <f>IFERROR(__xludf.DUMMYFUNCTION("IF('(INGESTA)Datos_consumo_datadis'!A2816&lt;&gt;"""",SPLIT('(INGESTA)Datos_consumo_datadis'!A:A,"",""),"""")"),"ES0031408323131005HX0F")</f>
        <v>ES0031408323131005HX0F</v>
      </c>
      <c r="B2816" s="12">
        <f>IFERROR(__xludf.DUMMYFUNCTION("""COMPUTED_VALUE"""),44983.0)</f>
        <v>44983</v>
      </c>
      <c r="C2816" s="13">
        <f>IFERROR(__xludf.DUMMYFUNCTION("""COMPUTED_VALUE"""),0.2916666666666667)</f>
        <v>0.2916666667</v>
      </c>
      <c r="D2816" s="8">
        <f>IFERROR(__xludf.DUMMYFUNCTION("""COMPUTED_VALUE"""),0.803)</f>
        <v>0.803</v>
      </c>
      <c r="E2816" s="8" t="str">
        <f>IFERROR(__xludf.DUMMYFUNCTION("""COMPUTED_VALUE"""),"Real")</f>
        <v>Real</v>
      </c>
      <c r="G2816" s="8">
        <f t="shared" si="1"/>
        <v>2</v>
      </c>
      <c r="H2816" s="14">
        <f t="shared" si="2"/>
        <v>26</v>
      </c>
      <c r="I2816" s="15">
        <f t="shared" si="3"/>
        <v>7</v>
      </c>
    </row>
    <row r="2817">
      <c r="A2817" s="8" t="str">
        <f>IFERROR(__xludf.DUMMYFUNCTION("IF('(INGESTA)Datos_consumo_datadis'!A2817&lt;&gt;"""",SPLIT('(INGESTA)Datos_consumo_datadis'!A:A,"",""),"""")"),"ES0031408323131005HX0F")</f>
        <v>ES0031408323131005HX0F</v>
      </c>
      <c r="B2817" s="12">
        <f>IFERROR(__xludf.DUMMYFUNCTION("""COMPUTED_VALUE"""),44983.0)</f>
        <v>44983</v>
      </c>
      <c r="C2817" s="13">
        <f>IFERROR(__xludf.DUMMYFUNCTION("""COMPUTED_VALUE"""),0.3333333333333333)</f>
        <v>0.3333333333</v>
      </c>
      <c r="D2817" s="8">
        <f>IFERROR(__xludf.DUMMYFUNCTION("""COMPUTED_VALUE"""),0.774)</f>
        <v>0.774</v>
      </c>
      <c r="E2817" s="8" t="str">
        <f>IFERROR(__xludf.DUMMYFUNCTION("""COMPUTED_VALUE"""),"Real")</f>
        <v>Real</v>
      </c>
      <c r="G2817" s="8">
        <f t="shared" si="1"/>
        <v>2</v>
      </c>
      <c r="H2817" s="14">
        <f t="shared" si="2"/>
        <v>26</v>
      </c>
      <c r="I2817" s="15">
        <f t="shared" si="3"/>
        <v>8</v>
      </c>
    </row>
    <row r="2818">
      <c r="A2818" s="8" t="str">
        <f>IFERROR(__xludf.DUMMYFUNCTION("IF('(INGESTA)Datos_consumo_datadis'!A2818&lt;&gt;"""",SPLIT('(INGESTA)Datos_consumo_datadis'!A:A,"",""),"""")"),"ES0031408323131005HX0F")</f>
        <v>ES0031408323131005HX0F</v>
      </c>
      <c r="B2818" s="12">
        <f>IFERROR(__xludf.DUMMYFUNCTION("""COMPUTED_VALUE"""),44983.0)</f>
        <v>44983</v>
      </c>
      <c r="C2818" s="13">
        <f>IFERROR(__xludf.DUMMYFUNCTION("""COMPUTED_VALUE"""),0.375)</f>
        <v>0.375</v>
      </c>
      <c r="D2818" s="8">
        <f>IFERROR(__xludf.DUMMYFUNCTION("""COMPUTED_VALUE"""),1.092)</f>
        <v>1.092</v>
      </c>
      <c r="E2818" s="8" t="str">
        <f>IFERROR(__xludf.DUMMYFUNCTION("""COMPUTED_VALUE"""),"Real")</f>
        <v>Real</v>
      </c>
      <c r="G2818" s="8">
        <f t="shared" si="1"/>
        <v>2</v>
      </c>
      <c r="H2818" s="14">
        <f t="shared" si="2"/>
        <v>26</v>
      </c>
      <c r="I2818" s="15">
        <f t="shared" si="3"/>
        <v>9</v>
      </c>
    </row>
    <row r="2819">
      <c r="A2819" s="8" t="str">
        <f>IFERROR(__xludf.DUMMYFUNCTION("IF('(INGESTA)Datos_consumo_datadis'!A2819&lt;&gt;"""",SPLIT('(INGESTA)Datos_consumo_datadis'!A:A,"",""),"""")"),"ES0031408323131005HX0F")</f>
        <v>ES0031408323131005HX0F</v>
      </c>
      <c r="B2819" s="12">
        <f>IFERROR(__xludf.DUMMYFUNCTION("""COMPUTED_VALUE"""),44983.0)</f>
        <v>44983</v>
      </c>
      <c r="C2819" s="13">
        <f>IFERROR(__xludf.DUMMYFUNCTION("""COMPUTED_VALUE"""),0.4166666666666667)</f>
        <v>0.4166666667</v>
      </c>
      <c r="D2819" s="8">
        <f>IFERROR(__xludf.DUMMYFUNCTION("""COMPUTED_VALUE"""),0.987)</f>
        <v>0.987</v>
      </c>
      <c r="E2819" s="8" t="str">
        <f>IFERROR(__xludf.DUMMYFUNCTION("""COMPUTED_VALUE"""),"Real")</f>
        <v>Real</v>
      </c>
      <c r="G2819" s="8">
        <f t="shared" si="1"/>
        <v>2</v>
      </c>
      <c r="H2819" s="14">
        <f t="shared" si="2"/>
        <v>26</v>
      </c>
      <c r="I2819" s="15">
        <f t="shared" si="3"/>
        <v>10</v>
      </c>
    </row>
    <row r="2820">
      <c r="A2820" s="8" t="str">
        <f>IFERROR(__xludf.DUMMYFUNCTION("IF('(INGESTA)Datos_consumo_datadis'!A2820&lt;&gt;"""",SPLIT('(INGESTA)Datos_consumo_datadis'!A:A,"",""),"""")"),"ES0031408323131005HX0F")</f>
        <v>ES0031408323131005HX0F</v>
      </c>
      <c r="B2820" s="12">
        <f>IFERROR(__xludf.DUMMYFUNCTION("""COMPUTED_VALUE"""),44983.0)</f>
        <v>44983</v>
      </c>
      <c r="C2820" s="13">
        <f>IFERROR(__xludf.DUMMYFUNCTION("""COMPUTED_VALUE"""),0.4583333333333333)</f>
        <v>0.4583333333</v>
      </c>
      <c r="D2820" s="8">
        <f>IFERROR(__xludf.DUMMYFUNCTION("""COMPUTED_VALUE"""),1.734)</f>
        <v>1.734</v>
      </c>
      <c r="E2820" s="8" t="str">
        <f>IFERROR(__xludf.DUMMYFUNCTION("""COMPUTED_VALUE"""),"Real")</f>
        <v>Real</v>
      </c>
      <c r="G2820" s="8">
        <f t="shared" si="1"/>
        <v>2</v>
      </c>
      <c r="H2820" s="14">
        <f t="shared" si="2"/>
        <v>26</v>
      </c>
      <c r="I2820" s="15">
        <f t="shared" si="3"/>
        <v>11</v>
      </c>
    </row>
    <row r="2821">
      <c r="A2821" s="8" t="str">
        <f>IFERROR(__xludf.DUMMYFUNCTION("IF('(INGESTA)Datos_consumo_datadis'!A2821&lt;&gt;"""",SPLIT('(INGESTA)Datos_consumo_datadis'!A:A,"",""),"""")"),"ES0031408323131005HX0F")</f>
        <v>ES0031408323131005HX0F</v>
      </c>
      <c r="B2821" s="12">
        <f>IFERROR(__xludf.DUMMYFUNCTION("""COMPUTED_VALUE"""),44983.0)</f>
        <v>44983</v>
      </c>
      <c r="C2821" s="13">
        <f>IFERROR(__xludf.DUMMYFUNCTION("""COMPUTED_VALUE"""),0.5)</f>
        <v>0.5</v>
      </c>
      <c r="D2821" s="8">
        <f>IFERROR(__xludf.DUMMYFUNCTION("""COMPUTED_VALUE"""),1.64)</f>
        <v>1.64</v>
      </c>
      <c r="E2821" s="8" t="str">
        <f>IFERROR(__xludf.DUMMYFUNCTION("""COMPUTED_VALUE"""),"Real")</f>
        <v>Real</v>
      </c>
      <c r="G2821" s="8">
        <f t="shared" si="1"/>
        <v>2</v>
      </c>
      <c r="H2821" s="14">
        <f t="shared" si="2"/>
        <v>26</v>
      </c>
      <c r="I2821" s="15">
        <f t="shared" si="3"/>
        <v>12</v>
      </c>
    </row>
    <row r="2822">
      <c r="A2822" s="8" t="str">
        <f>IFERROR(__xludf.DUMMYFUNCTION("IF('(INGESTA)Datos_consumo_datadis'!A2822&lt;&gt;"""",SPLIT('(INGESTA)Datos_consumo_datadis'!A:A,"",""),"""")"),"ES0031408323131005HX0F")</f>
        <v>ES0031408323131005HX0F</v>
      </c>
      <c r="B2822" s="12">
        <f>IFERROR(__xludf.DUMMYFUNCTION("""COMPUTED_VALUE"""),44983.0)</f>
        <v>44983</v>
      </c>
      <c r="C2822" s="13">
        <f>IFERROR(__xludf.DUMMYFUNCTION("""COMPUTED_VALUE"""),0.5416666666666666)</f>
        <v>0.5416666667</v>
      </c>
      <c r="D2822" s="8">
        <f>IFERROR(__xludf.DUMMYFUNCTION("""COMPUTED_VALUE"""),0.755)</f>
        <v>0.755</v>
      </c>
      <c r="E2822" s="8" t="str">
        <f>IFERROR(__xludf.DUMMYFUNCTION("""COMPUTED_VALUE"""),"Real")</f>
        <v>Real</v>
      </c>
      <c r="G2822" s="8">
        <f t="shared" si="1"/>
        <v>2</v>
      </c>
      <c r="H2822" s="14">
        <f t="shared" si="2"/>
        <v>26</v>
      </c>
      <c r="I2822" s="15">
        <f t="shared" si="3"/>
        <v>13</v>
      </c>
    </row>
    <row r="2823">
      <c r="A2823" s="8" t="str">
        <f>IFERROR(__xludf.DUMMYFUNCTION("IF('(INGESTA)Datos_consumo_datadis'!A2823&lt;&gt;"""",SPLIT('(INGESTA)Datos_consumo_datadis'!A:A,"",""),"""")"),"ES0031408323131005HX0F")</f>
        <v>ES0031408323131005HX0F</v>
      </c>
      <c r="B2823" s="12">
        <f>IFERROR(__xludf.DUMMYFUNCTION("""COMPUTED_VALUE"""),44983.0)</f>
        <v>44983</v>
      </c>
      <c r="C2823" s="13">
        <f>IFERROR(__xludf.DUMMYFUNCTION("""COMPUTED_VALUE"""),0.5833333333333334)</f>
        <v>0.5833333333</v>
      </c>
      <c r="D2823" s="8">
        <f>IFERROR(__xludf.DUMMYFUNCTION("""COMPUTED_VALUE"""),0.055)</f>
        <v>0.055</v>
      </c>
      <c r="E2823" s="8" t="str">
        <f>IFERROR(__xludf.DUMMYFUNCTION("""COMPUTED_VALUE"""),"Real")</f>
        <v>Real</v>
      </c>
      <c r="G2823" s="8">
        <f t="shared" si="1"/>
        <v>2</v>
      </c>
      <c r="H2823" s="14">
        <f t="shared" si="2"/>
        <v>26</v>
      </c>
      <c r="I2823" s="15">
        <f t="shared" si="3"/>
        <v>14</v>
      </c>
    </row>
    <row r="2824">
      <c r="A2824" s="8" t="str">
        <f>IFERROR(__xludf.DUMMYFUNCTION("IF('(INGESTA)Datos_consumo_datadis'!A2824&lt;&gt;"""",SPLIT('(INGESTA)Datos_consumo_datadis'!A:A,"",""),"""")"),"ES0031408323131005HX0F")</f>
        <v>ES0031408323131005HX0F</v>
      </c>
      <c r="B2824" s="12">
        <f>IFERROR(__xludf.DUMMYFUNCTION("""COMPUTED_VALUE"""),44983.0)</f>
        <v>44983</v>
      </c>
      <c r="C2824" s="13">
        <f>IFERROR(__xludf.DUMMYFUNCTION("""COMPUTED_VALUE"""),0.625)</f>
        <v>0.625</v>
      </c>
      <c r="D2824" s="8">
        <f>IFERROR(__xludf.DUMMYFUNCTION("""COMPUTED_VALUE"""),0.056)</f>
        <v>0.056</v>
      </c>
      <c r="E2824" s="8" t="str">
        <f>IFERROR(__xludf.DUMMYFUNCTION("""COMPUTED_VALUE"""),"Real")</f>
        <v>Real</v>
      </c>
      <c r="G2824" s="8">
        <f t="shared" si="1"/>
        <v>2</v>
      </c>
      <c r="H2824" s="14">
        <f t="shared" si="2"/>
        <v>26</v>
      </c>
      <c r="I2824" s="15">
        <f t="shared" si="3"/>
        <v>15</v>
      </c>
    </row>
    <row r="2825">
      <c r="A2825" s="8" t="str">
        <f>IFERROR(__xludf.DUMMYFUNCTION("IF('(INGESTA)Datos_consumo_datadis'!A2825&lt;&gt;"""",SPLIT('(INGESTA)Datos_consumo_datadis'!A:A,"",""),"""")"),"ES0031408323131005HX0F")</f>
        <v>ES0031408323131005HX0F</v>
      </c>
      <c r="B2825" s="12">
        <f>IFERROR(__xludf.DUMMYFUNCTION("""COMPUTED_VALUE"""),44983.0)</f>
        <v>44983</v>
      </c>
      <c r="C2825" s="13">
        <f>IFERROR(__xludf.DUMMYFUNCTION("""COMPUTED_VALUE"""),0.6666666666666666)</f>
        <v>0.6666666667</v>
      </c>
      <c r="D2825" s="8">
        <f>IFERROR(__xludf.DUMMYFUNCTION("""COMPUTED_VALUE"""),0.912)</f>
        <v>0.912</v>
      </c>
      <c r="E2825" s="8" t="str">
        <f>IFERROR(__xludf.DUMMYFUNCTION("""COMPUTED_VALUE"""),"Real")</f>
        <v>Real</v>
      </c>
      <c r="G2825" s="8">
        <f t="shared" si="1"/>
        <v>2</v>
      </c>
      <c r="H2825" s="14">
        <f t="shared" si="2"/>
        <v>26</v>
      </c>
      <c r="I2825" s="15">
        <f t="shared" si="3"/>
        <v>16</v>
      </c>
    </row>
    <row r="2826">
      <c r="A2826" s="8" t="str">
        <f>IFERROR(__xludf.DUMMYFUNCTION("IF('(INGESTA)Datos_consumo_datadis'!A2826&lt;&gt;"""",SPLIT('(INGESTA)Datos_consumo_datadis'!A:A,"",""),"""")"),"ES0031408323131005HX0F")</f>
        <v>ES0031408323131005HX0F</v>
      </c>
      <c r="B2826" s="12">
        <f>IFERROR(__xludf.DUMMYFUNCTION("""COMPUTED_VALUE"""),44983.0)</f>
        <v>44983</v>
      </c>
      <c r="C2826" s="13">
        <f>IFERROR(__xludf.DUMMYFUNCTION("""COMPUTED_VALUE"""),0.7083333333333334)</f>
        <v>0.7083333333</v>
      </c>
      <c r="D2826" s="8">
        <f>IFERROR(__xludf.DUMMYFUNCTION("""COMPUTED_VALUE"""),1.825)</f>
        <v>1.825</v>
      </c>
      <c r="E2826" s="8" t="str">
        <f>IFERROR(__xludf.DUMMYFUNCTION("""COMPUTED_VALUE"""),"Real")</f>
        <v>Real</v>
      </c>
      <c r="G2826" s="8">
        <f t="shared" si="1"/>
        <v>2</v>
      </c>
      <c r="H2826" s="14">
        <f t="shared" si="2"/>
        <v>26</v>
      </c>
      <c r="I2826" s="15">
        <f t="shared" si="3"/>
        <v>17</v>
      </c>
    </row>
    <row r="2827">
      <c r="A2827" s="8" t="str">
        <f>IFERROR(__xludf.DUMMYFUNCTION("IF('(INGESTA)Datos_consumo_datadis'!A2827&lt;&gt;"""",SPLIT('(INGESTA)Datos_consumo_datadis'!A:A,"",""),"""")"),"ES0031408323131005HX0F")</f>
        <v>ES0031408323131005HX0F</v>
      </c>
      <c r="B2827" s="12">
        <f>IFERROR(__xludf.DUMMYFUNCTION("""COMPUTED_VALUE"""),44983.0)</f>
        <v>44983</v>
      </c>
      <c r="C2827" s="13">
        <f>IFERROR(__xludf.DUMMYFUNCTION("""COMPUTED_VALUE"""),0.75)</f>
        <v>0.75</v>
      </c>
      <c r="D2827" s="8">
        <f>IFERROR(__xludf.DUMMYFUNCTION("""COMPUTED_VALUE"""),2.687)</f>
        <v>2.687</v>
      </c>
      <c r="E2827" s="8" t="str">
        <f>IFERROR(__xludf.DUMMYFUNCTION("""COMPUTED_VALUE"""),"Real")</f>
        <v>Real</v>
      </c>
      <c r="G2827" s="8">
        <f t="shared" si="1"/>
        <v>2</v>
      </c>
      <c r="H2827" s="14">
        <f t="shared" si="2"/>
        <v>26</v>
      </c>
      <c r="I2827" s="15">
        <f t="shared" si="3"/>
        <v>18</v>
      </c>
    </row>
    <row r="2828">
      <c r="A2828" s="8" t="str">
        <f>IFERROR(__xludf.DUMMYFUNCTION("IF('(INGESTA)Datos_consumo_datadis'!A2828&lt;&gt;"""",SPLIT('(INGESTA)Datos_consumo_datadis'!A:A,"",""),"""")"),"ES0031408323131005HX0F")</f>
        <v>ES0031408323131005HX0F</v>
      </c>
      <c r="B2828" s="12">
        <f>IFERROR(__xludf.DUMMYFUNCTION("""COMPUTED_VALUE"""),44983.0)</f>
        <v>44983</v>
      </c>
      <c r="C2828" s="13">
        <f>IFERROR(__xludf.DUMMYFUNCTION("""COMPUTED_VALUE"""),0.7916666666666666)</f>
        <v>0.7916666667</v>
      </c>
      <c r="D2828" s="8">
        <f>IFERROR(__xludf.DUMMYFUNCTION("""COMPUTED_VALUE"""),2.187)</f>
        <v>2.187</v>
      </c>
      <c r="E2828" s="8" t="str">
        <f>IFERROR(__xludf.DUMMYFUNCTION("""COMPUTED_VALUE"""),"Real")</f>
        <v>Real</v>
      </c>
      <c r="G2828" s="8">
        <f t="shared" si="1"/>
        <v>2</v>
      </c>
      <c r="H2828" s="14">
        <f t="shared" si="2"/>
        <v>26</v>
      </c>
      <c r="I2828" s="15">
        <f t="shared" si="3"/>
        <v>19</v>
      </c>
    </row>
    <row r="2829">
      <c r="A2829" s="8" t="str">
        <f>IFERROR(__xludf.DUMMYFUNCTION("IF('(INGESTA)Datos_consumo_datadis'!A2829&lt;&gt;"""",SPLIT('(INGESTA)Datos_consumo_datadis'!A:A,"",""),"""")"),"ES0031408323131005HX0F")</f>
        <v>ES0031408323131005HX0F</v>
      </c>
      <c r="B2829" s="12">
        <f>IFERROR(__xludf.DUMMYFUNCTION("""COMPUTED_VALUE"""),44983.0)</f>
        <v>44983</v>
      </c>
      <c r="C2829" s="13">
        <f>IFERROR(__xludf.DUMMYFUNCTION("""COMPUTED_VALUE"""),0.8333333333333334)</f>
        <v>0.8333333333</v>
      </c>
      <c r="D2829" s="8">
        <f>IFERROR(__xludf.DUMMYFUNCTION("""COMPUTED_VALUE"""),0.354)</f>
        <v>0.354</v>
      </c>
      <c r="E2829" s="8" t="str">
        <f>IFERROR(__xludf.DUMMYFUNCTION("""COMPUTED_VALUE"""),"Real")</f>
        <v>Real</v>
      </c>
      <c r="G2829" s="8">
        <f t="shared" si="1"/>
        <v>2</v>
      </c>
      <c r="H2829" s="14">
        <f t="shared" si="2"/>
        <v>26</v>
      </c>
      <c r="I2829" s="15">
        <f t="shared" si="3"/>
        <v>20</v>
      </c>
    </row>
    <row r="2830">
      <c r="A2830" s="8" t="str">
        <f>IFERROR(__xludf.DUMMYFUNCTION("IF('(INGESTA)Datos_consumo_datadis'!A2830&lt;&gt;"""",SPLIT('(INGESTA)Datos_consumo_datadis'!A:A,"",""),"""")"),"ES0031408323131005HX0F")</f>
        <v>ES0031408323131005HX0F</v>
      </c>
      <c r="B2830" s="12">
        <f>IFERROR(__xludf.DUMMYFUNCTION("""COMPUTED_VALUE"""),44983.0)</f>
        <v>44983</v>
      </c>
      <c r="C2830" s="13">
        <f>IFERROR(__xludf.DUMMYFUNCTION("""COMPUTED_VALUE"""),0.875)</f>
        <v>0.875</v>
      </c>
      <c r="D2830" s="8">
        <f>IFERROR(__xludf.DUMMYFUNCTION("""COMPUTED_VALUE"""),2.02)</f>
        <v>2.02</v>
      </c>
      <c r="E2830" s="8" t="str">
        <f>IFERROR(__xludf.DUMMYFUNCTION("""COMPUTED_VALUE"""),"Real")</f>
        <v>Real</v>
      </c>
      <c r="G2830" s="8">
        <f t="shared" si="1"/>
        <v>2</v>
      </c>
      <c r="H2830" s="14">
        <f t="shared" si="2"/>
        <v>26</v>
      </c>
      <c r="I2830" s="15">
        <f t="shared" si="3"/>
        <v>21</v>
      </c>
    </row>
    <row r="2831">
      <c r="A2831" s="8" t="str">
        <f>IFERROR(__xludf.DUMMYFUNCTION("IF('(INGESTA)Datos_consumo_datadis'!A2831&lt;&gt;"""",SPLIT('(INGESTA)Datos_consumo_datadis'!A:A,"",""),"""")"),"ES0031408323131005HX0F")</f>
        <v>ES0031408323131005HX0F</v>
      </c>
      <c r="B2831" s="12">
        <f>IFERROR(__xludf.DUMMYFUNCTION("""COMPUTED_VALUE"""),44983.0)</f>
        <v>44983</v>
      </c>
      <c r="C2831" s="13">
        <f>IFERROR(__xludf.DUMMYFUNCTION("""COMPUTED_VALUE"""),0.9166666666666666)</f>
        <v>0.9166666667</v>
      </c>
      <c r="D2831" s="8">
        <f>IFERROR(__xludf.DUMMYFUNCTION("""COMPUTED_VALUE"""),2.678)</f>
        <v>2.678</v>
      </c>
      <c r="E2831" s="8" t="str">
        <f>IFERROR(__xludf.DUMMYFUNCTION("""COMPUTED_VALUE"""),"Real")</f>
        <v>Real</v>
      </c>
      <c r="G2831" s="8">
        <f t="shared" si="1"/>
        <v>2</v>
      </c>
      <c r="H2831" s="14">
        <f t="shared" si="2"/>
        <v>26</v>
      </c>
      <c r="I2831" s="15">
        <f t="shared" si="3"/>
        <v>22</v>
      </c>
    </row>
    <row r="2832">
      <c r="A2832" s="8" t="str">
        <f>IFERROR(__xludf.DUMMYFUNCTION("IF('(INGESTA)Datos_consumo_datadis'!A2832&lt;&gt;"""",SPLIT('(INGESTA)Datos_consumo_datadis'!A:A,"",""),"""")"),"ES0031408323131005HX0F")</f>
        <v>ES0031408323131005HX0F</v>
      </c>
      <c r="B2832" s="12">
        <f>IFERROR(__xludf.DUMMYFUNCTION("""COMPUTED_VALUE"""),44983.0)</f>
        <v>44983</v>
      </c>
      <c r="C2832" s="13">
        <f>IFERROR(__xludf.DUMMYFUNCTION("""COMPUTED_VALUE"""),0.9583333333333334)</f>
        <v>0.9583333333</v>
      </c>
      <c r="D2832" s="8">
        <f>IFERROR(__xludf.DUMMYFUNCTION("""COMPUTED_VALUE"""),1.862)</f>
        <v>1.862</v>
      </c>
      <c r="E2832" s="8" t="str">
        <f>IFERROR(__xludf.DUMMYFUNCTION("""COMPUTED_VALUE"""),"Real")</f>
        <v>Real</v>
      </c>
      <c r="G2832" s="8">
        <f t="shared" si="1"/>
        <v>2</v>
      </c>
      <c r="H2832" s="14">
        <f t="shared" si="2"/>
        <v>26</v>
      </c>
      <c r="I2832" s="15">
        <f t="shared" si="3"/>
        <v>23</v>
      </c>
    </row>
    <row r="2833">
      <c r="A2833" s="8" t="str">
        <f>IFERROR(__xludf.DUMMYFUNCTION("IF('(INGESTA)Datos_consumo_datadis'!A2833&lt;&gt;"""",SPLIT('(INGESTA)Datos_consumo_datadis'!A:A,"",""),"""")"),"ES0031408323131005HX0F")</f>
        <v>ES0031408323131005HX0F</v>
      </c>
      <c r="B2833" s="12">
        <f>IFERROR(__xludf.DUMMYFUNCTION("""COMPUTED_VALUE"""),44983.0)</f>
        <v>44983</v>
      </c>
      <c r="C2833" s="16">
        <f>IFERROR(__xludf.DUMMYFUNCTION("""COMPUTED_VALUE"""),1.0)</f>
        <v>1</v>
      </c>
      <c r="D2833" s="8">
        <f>IFERROR(__xludf.DUMMYFUNCTION("""COMPUTED_VALUE"""),2.594)</f>
        <v>2.594</v>
      </c>
      <c r="E2833" s="8" t="str">
        <f>IFERROR(__xludf.DUMMYFUNCTION("""COMPUTED_VALUE"""),"Real")</f>
        <v>Real</v>
      </c>
      <c r="G2833" s="8">
        <f t="shared" si="1"/>
        <v>2</v>
      </c>
      <c r="H2833" s="14">
        <f t="shared" si="2"/>
        <v>26</v>
      </c>
      <c r="I2833" s="15">
        <f t="shared" si="3"/>
        <v>0</v>
      </c>
    </row>
    <row r="2834">
      <c r="A2834" s="8" t="str">
        <f>IFERROR(__xludf.DUMMYFUNCTION("IF('(INGESTA)Datos_consumo_datadis'!A2834&lt;&gt;"""",SPLIT('(INGESTA)Datos_consumo_datadis'!A:A,"",""),"""")"),"ES0031408323131005HX0F")</f>
        <v>ES0031408323131005HX0F</v>
      </c>
      <c r="B2834" s="12">
        <f>IFERROR(__xludf.DUMMYFUNCTION("""COMPUTED_VALUE"""),44984.0)</f>
        <v>44984</v>
      </c>
      <c r="C2834" s="13">
        <f>IFERROR(__xludf.DUMMYFUNCTION("""COMPUTED_VALUE"""),0.041666666666666664)</f>
        <v>0.04166666667</v>
      </c>
      <c r="D2834" s="8">
        <f>IFERROR(__xludf.DUMMYFUNCTION("""COMPUTED_VALUE"""),0.156)</f>
        <v>0.156</v>
      </c>
      <c r="E2834" s="8" t="str">
        <f>IFERROR(__xludf.DUMMYFUNCTION("""COMPUTED_VALUE"""),"Real")</f>
        <v>Real</v>
      </c>
      <c r="G2834" s="8">
        <f t="shared" si="1"/>
        <v>2</v>
      </c>
      <c r="H2834" s="14">
        <f t="shared" si="2"/>
        <v>27</v>
      </c>
      <c r="I2834" s="15">
        <f t="shared" si="3"/>
        <v>1</v>
      </c>
    </row>
    <row r="2835">
      <c r="A2835" s="8" t="str">
        <f>IFERROR(__xludf.DUMMYFUNCTION("IF('(INGESTA)Datos_consumo_datadis'!A2835&lt;&gt;"""",SPLIT('(INGESTA)Datos_consumo_datadis'!A:A,"",""),"""")"),"ES0031408323131005HX0F")</f>
        <v>ES0031408323131005HX0F</v>
      </c>
      <c r="B2835" s="12">
        <f>IFERROR(__xludf.DUMMYFUNCTION("""COMPUTED_VALUE"""),44984.0)</f>
        <v>44984</v>
      </c>
      <c r="C2835" s="13">
        <f>IFERROR(__xludf.DUMMYFUNCTION("""COMPUTED_VALUE"""),0.08333333333333333)</f>
        <v>0.08333333333</v>
      </c>
      <c r="D2835" s="8">
        <f>IFERROR(__xludf.DUMMYFUNCTION("""COMPUTED_VALUE"""),0.042)</f>
        <v>0.042</v>
      </c>
      <c r="E2835" s="8" t="str">
        <f>IFERROR(__xludf.DUMMYFUNCTION("""COMPUTED_VALUE"""),"Real")</f>
        <v>Real</v>
      </c>
      <c r="G2835" s="8">
        <f t="shared" si="1"/>
        <v>2</v>
      </c>
      <c r="H2835" s="14">
        <f t="shared" si="2"/>
        <v>27</v>
      </c>
      <c r="I2835" s="15">
        <f t="shared" si="3"/>
        <v>2</v>
      </c>
    </row>
    <row r="2836">
      <c r="A2836" s="8" t="str">
        <f>IFERROR(__xludf.DUMMYFUNCTION("IF('(INGESTA)Datos_consumo_datadis'!A2836&lt;&gt;"""",SPLIT('(INGESTA)Datos_consumo_datadis'!A:A,"",""),"""")"),"ES0031408323131005HX0F")</f>
        <v>ES0031408323131005HX0F</v>
      </c>
      <c r="B2836" s="12">
        <f>IFERROR(__xludf.DUMMYFUNCTION("""COMPUTED_VALUE"""),44984.0)</f>
        <v>44984</v>
      </c>
      <c r="C2836" s="13">
        <f>IFERROR(__xludf.DUMMYFUNCTION("""COMPUTED_VALUE"""),0.125)</f>
        <v>0.125</v>
      </c>
      <c r="D2836" s="8">
        <f>IFERROR(__xludf.DUMMYFUNCTION("""COMPUTED_VALUE"""),0.084)</f>
        <v>0.084</v>
      </c>
      <c r="E2836" s="8" t="str">
        <f>IFERROR(__xludf.DUMMYFUNCTION("""COMPUTED_VALUE"""),"Real")</f>
        <v>Real</v>
      </c>
      <c r="G2836" s="8">
        <f t="shared" si="1"/>
        <v>2</v>
      </c>
      <c r="H2836" s="14">
        <f t="shared" si="2"/>
        <v>27</v>
      </c>
      <c r="I2836" s="15">
        <f t="shared" si="3"/>
        <v>3</v>
      </c>
    </row>
    <row r="2837">
      <c r="A2837" s="8" t="str">
        <f>IFERROR(__xludf.DUMMYFUNCTION("IF('(INGESTA)Datos_consumo_datadis'!A2837&lt;&gt;"""",SPLIT('(INGESTA)Datos_consumo_datadis'!A:A,"",""),"""")"),"ES0031408323131005HX0F")</f>
        <v>ES0031408323131005HX0F</v>
      </c>
      <c r="B2837" s="12">
        <f>IFERROR(__xludf.DUMMYFUNCTION("""COMPUTED_VALUE"""),44984.0)</f>
        <v>44984</v>
      </c>
      <c r="C2837" s="13">
        <f>IFERROR(__xludf.DUMMYFUNCTION("""COMPUTED_VALUE"""),0.16666666666666666)</f>
        <v>0.1666666667</v>
      </c>
      <c r="D2837" s="8">
        <f>IFERROR(__xludf.DUMMYFUNCTION("""COMPUTED_VALUE"""),0.326)</f>
        <v>0.326</v>
      </c>
      <c r="E2837" s="8" t="str">
        <f>IFERROR(__xludf.DUMMYFUNCTION("""COMPUTED_VALUE"""),"Real")</f>
        <v>Real</v>
      </c>
      <c r="G2837" s="8">
        <f t="shared" si="1"/>
        <v>2</v>
      </c>
      <c r="H2837" s="14">
        <f t="shared" si="2"/>
        <v>27</v>
      </c>
      <c r="I2837" s="15">
        <f t="shared" si="3"/>
        <v>4</v>
      </c>
    </row>
    <row r="2838">
      <c r="A2838" s="8" t="str">
        <f>IFERROR(__xludf.DUMMYFUNCTION("IF('(INGESTA)Datos_consumo_datadis'!A2838&lt;&gt;"""",SPLIT('(INGESTA)Datos_consumo_datadis'!A:A,"",""),"""")"),"ES0031408323131005HX0F")</f>
        <v>ES0031408323131005HX0F</v>
      </c>
      <c r="B2838" s="12">
        <f>IFERROR(__xludf.DUMMYFUNCTION("""COMPUTED_VALUE"""),44984.0)</f>
        <v>44984</v>
      </c>
      <c r="C2838" s="13">
        <f>IFERROR(__xludf.DUMMYFUNCTION("""COMPUTED_VALUE"""),0.20833333333333334)</f>
        <v>0.2083333333</v>
      </c>
      <c r="D2838" s="8">
        <f>IFERROR(__xludf.DUMMYFUNCTION("""COMPUTED_VALUE"""),0.02)</f>
        <v>0.02</v>
      </c>
      <c r="E2838" s="8" t="str">
        <f>IFERROR(__xludf.DUMMYFUNCTION("""COMPUTED_VALUE"""),"Real")</f>
        <v>Real</v>
      </c>
      <c r="G2838" s="8">
        <f t="shared" si="1"/>
        <v>2</v>
      </c>
      <c r="H2838" s="14">
        <f t="shared" si="2"/>
        <v>27</v>
      </c>
      <c r="I2838" s="15">
        <f t="shared" si="3"/>
        <v>5</v>
      </c>
    </row>
    <row r="2839">
      <c r="A2839" s="8" t="str">
        <f>IFERROR(__xludf.DUMMYFUNCTION("IF('(INGESTA)Datos_consumo_datadis'!A2839&lt;&gt;"""",SPLIT('(INGESTA)Datos_consumo_datadis'!A:A,"",""),"""")"),"ES0031408323131005HX0F")</f>
        <v>ES0031408323131005HX0F</v>
      </c>
      <c r="B2839" s="12">
        <f>IFERROR(__xludf.DUMMYFUNCTION("""COMPUTED_VALUE"""),44984.0)</f>
        <v>44984</v>
      </c>
      <c r="C2839" s="13">
        <f>IFERROR(__xludf.DUMMYFUNCTION("""COMPUTED_VALUE"""),0.25)</f>
        <v>0.25</v>
      </c>
      <c r="D2839" s="8">
        <f>IFERROR(__xludf.DUMMYFUNCTION("""COMPUTED_VALUE"""),0.796)</f>
        <v>0.796</v>
      </c>
      <c r="E2839" s="8" t="str">
        <f>IFERROR(__xludf.DUMMYFUNCTION("""COMPUTED_VALUE"""),"Real")</f>
        <v>Real</v>
      </c>
      <c r="G2839" s="8">
        <f t="shared" si="1"/>
        <v>2</v>
      </c>
      <c r="H2839" s="14">
        <f t="shared" si="2"/>
        <v>27</v>
      </c>
      <c r="I2839" s="15">
        <f t="shared" si="3"/>
        <v>6</v>
      </c>
    </row>
    <row r="2840">
      <c r="A2840" s="8" t="str">
        <f>IFERROR(__xludf.DUMMYFUNCTION("IF('(INGESTA)Datos_consumo_datadis'!A2840&lt;&gt;"""",SPLIT('(INGESTA)Datos_consumo_datadis'!A:A,"",""),"""")"),"ES0031408323131005HX0F")</f>
        <v>ES0031408323131005HX0F</v>
      </c>
      <c r="B2840" s="12">
        <f>IFERROR(__xludf.DUMMYFUNCTION("""COMPUTED_VALUE"""),44984.0)</f>
        <v>44984</v>
      </c>
      <c r="C2840" s="13">
        <f>IFERROR(__xludf.DUMMYFUNCTION("""COMPUTED_VALUE"""),0.2916666666666667)</f>
        <v>0.2916666667</v>
      </c>
      <c r="D2840" s="8">
        <f>IFERROR(__xludf.DUMMYFUNCTION("""COMPUTED_VALUE"""),0.817)</f>
        <v>0.817</v>
      </c>
      <c r="E2840" s="8" t="str">
        <f>IFERROR(__xludf.DUMMYFUNCTION("""COMPUTED_VALUE"""),"Real")</f>
        <v>Real</v>
      </c>
      <c r="G2840" s="8">
        <f t="shared" si="1"/>
        <v>2</v>
      </c>
      <c r="H2840" s="14">
        <f t="shared" si="2"/>
        <v>27</v>
      </c>
      <c r="I2840" s="15">
        <f t="shared" si="3"/>
        <v>7</v>
      </c>
    </row>
    <row r="2841">
      <c r="A2841" s="8" t="str">
        <f>IFERROR(__xludf.DUMMYFUNCTION("IF('(INGESTA)Datos_consumo_datadis'!A2841&lt;&gt;"""",SPLIT('(INGESTA)Datos_consumo_datadis'!A:A,"",""),"""")"),"ES0031408323131005HX0F")</f>
        <v>ES0031408323131005HX0F</v>
      </c>
      <c r="B2841" s="12">
        <f>IFERROR(__xludf.DUMMYFUNCTION("""COMPUTED_VALUE"""),44984.0)</f>
        <v>44984</v>
      </c>
      <c r="C2841" s="13">
        <f>IFERROR(__xludf.DUMMYFUNCTION("""COMPUTED_VALUE"""),0.3333333333333333)</f>
        <v>0.3333333333</v>
      </c>
      <c r="D2841" s="8">
        <f>IFERROR(__xludf.DUMMYFUNCTION("""COMPUTED_VALUE"""),1.734)</f>
        <v>1.734</v>
      </c>
      <c r="E2841" s="8" t="str">
        <f>IFERROR(__xludf.DUMMYFUNCTION("""COMPUTED_VALUE"""),"Real")</f>
        <v>Real</v>
      </c>
      <c r="G2841" s="8">
        <f t="shared" si="1"/>
        <v>2</v>
      </c>
      <c r="H2841" s="14">
        <f t="shared" si="2"/>
        <v>27</v>
      </c>
      <c r="I2841" s="15">
        <f t="shared" si="3"/>
        <v>8</v>
      </c>
    </row>
    <row r="2842">
      <c r="A2842" s="8" t="str">
        <f>IFERROR(__xludf.DUMMYFUNCTION("IF('(INGESTA)Datos_consumo_datadis'!A2842&lt;&gt;"""",SPLIT('(INGESTA)Datos_consumo_datadis'!A:A,"",""),"""")"),"ES0031408323131005HX0F")</f>
        <v>ES0031408323131005HX0F</v>
      </c>
      <c r="B2842" s="12">
        <f>IFERROR(__xludf.DUMMYFUNCTION("""COMPUTED_VALUE"""),44984.0)</f>
        <v>44984</v>
      </c>
      <c r="C2842" s="13">
        <f>IFERROR(__xludf.DUMMYFUNCTION("""COMPUTED_VALUE"""),0.375)</f>
        <v>0.375</v>
      </c>
      <c r="D2842" s="8">
        <f>IFERROR(__xludf.DUMMYFUNCTION("""COMPUTED_VALUE"""),0.12)</f>
        <v>0.12</v>
      </c>
      <c r="E2842" s="8" t="str">
        <f>IFERROR(__xludf.DUMMYFUNCTION("""COMPUTED_VALUE"""),"Real")</f>
        <v>Real</v>
      </c>
      <c r="G2842" s="8">
        <f t="shared" si="1"/>
        <v>2</v>
      </c>
      <c r="H2842" s="14">
        <f t="shared" si="2"/>
        <v>27</v>
      </c>
      <c r="I2842" s="15">
        <f t="shared" si="3"/>
        <v>9</v>
      </c>
    </row>
    <row r="2843">
      <c r="A2843" s="8" t="str">
        <f>IFERROR(__xludf.DUMMYFUNCTION("IF('(INGESTA)Datos_consumo_datadis'!A2843&lt;&gt;"""",SPLIT('(INGESTA)Datos_consumo_datadis'!A:A,"",""),"""")"),"ES0031408323131005HX0F")</f>
        <v>ES0031408323131005HX0F</v>
      </c>
      <c r="B2843" s="12">
        <f>IFERROR(__xludf.DUMMYFUNCTION("""COMPUTED_VALUE"""),44984.0)</f>
        <v>44984</v>
      </c>
      <c r="C2843" s="13">
        <f>IFERROR(__xludf.DUMMYFUNCTION("""COMPUTED_VALUE"""),0.4166666666666667)</f>
        <v>0.4166666667</v>
      </c>
      <c r="D2843" s="8">
        <f>IFERROR(__xludf.DUMMYFUNCTION("""COMPUTED_VALUE"""),1.843)</f>
        <v>1.843</v>
      </c>
      <c r="E2843" s="8" t="str">
        <f>IFERROR(__xludf.DUMMYFUNCTION("""COMPUTED_VALUE"""),"Real")</f>
        <v>Real</v>
      </c>
      <c r="G2843" s="8">
        <f t="shared" si="1"/>
        <v>2</v>
      </c>
      <c r="H2843" s="14">
        <f t="shared" si="2"/>
        <v>27</v>
      </c>
      <c r="I2843" s="15">
        <f t="shared" si="3"/>
        <v>10</v>
      </c>
    </row>
    <row r="2844">
      <c r="A2844" s="8" t="str">
        <f>IFERROR(__xludf.DUMMYFUNCTION("IF('(INGESTA)Datos_consumo_datadis'!A2844&lt;&gt;"""",SPLIT('(INGESTA)Datos_consumo_datadis'!A:A,"",""),"""")"),"ES0031408323131005HX0F")</f>
        <v>ES0031408323131005HX0F</v>
      </c>
      <c r="B2844" s="12">
        <f>IFERROR(__xludf.DUMMYFUNCTION("""COMPUTED_VALUE"""),44984.0)</f>
        <v>44984</v>
      </c>
      <c r="C2844" s="13">
        <f>IFERROR(__xludf.DUMMYFUNCTION("""COMPUTED_VALUE"""),0.4583333333333333)</f>
        <v>0.4583333333</v>
      </c>
      <c r="D2844" s="8">
        <f>IFERROR(__xludf.DUMMYFUNCTION("""COMPUTED_VALUE"""),1.899)</f>
        <v>1.899</v>
      </c>
      <c r="E2844" s="8" t="str">
        <f>IFERROR(__xludf.DUMMYFUNCTION("""COMPUTED_VALUE"""),"Real")</f>
        <v>Real</v>
      </c>
      <c r="G2844" s="8">
        <f t="shared" si="1"/>
        <v>2</v>
      </c>
      <c r="H2844" s="14">
        <f t="shared" si="2"/>
        <v>27</v>
      </c>
      <c r="I2844" s="15">
        <f t="shared" si="3"/>
        <v>11</v>
      </c>
    </row>
    <row r="2845">
      <c r="A2845" s="8" t="str">
        <f>IFERROR(__xludf.DUMMYFUNCTION("IF('(INGESTA)Datos_consumo_datadis'!A2845&lt;&gt;"""",SPLIT('(INGESTA)Datos_consumo_datadis'!A:A,"",""),"""")"),"ES0031408323131005HX0F")</f>
        <v>ES0031408323131005HX0F</v>
      </c>
      <c r="B2845" s="12">
        <f>IFERROR(__xludf.DUMMYFUNCTION("""COMPUTED_VALUE"""),44984.0)</f>
        <v>44984</v>
      </c>
      <c r="C2845" s="13">
        <f>IFERROR(__xludf.DUMMYFUNCTION("""COMPUTED_VALUE"""),0.5)</f>
        <v>0.5</v>
      </c>
      <c r="D2845" s="8">
        <f>IFERROR(__xludf.DUMMYFUNCTION("""COMPUTED_VALUE"""),1.383)</f>
        <v>1.383</v>
      </c>
      <c r="E2845" s="8" t="str">
        <f>IFERROR(__xludf.DUMMYFUNCTION("""COMPUTED_VALUE"""),"Real")</f>
        <v>Real</v>
      </c>
      <c r="G2845" s="8">
        <f t="shared" si="1"/>
        <v>2</v>
      </c>
      <c r="H2845" s="14">
        <f t="shared" si="2"/>
        <v>27</v>
      </c>
      <c r="I2845" s="15">
        <f t="shared" si="3"/>
        <v>12</v>
      </c>
    </row>
    <row r="2846">
      <c r="A2846" s="8" t="str">
        <f>IFERROR(__xludf.DUMMYFUNCTION("IF('(INGESTA)Datos_consumo_datadis'!A2846&lt;&gt;"""",SPLIT('(INGESTA)Datos_consumo_datadis'!A:A,"",""),"""")"),"ES0031408323131005HX0F")</f>
        <v>ES0031408323131005HX0F</v>
      </c>
      <c r="B2846" s="12">
        <f>IFERROR(__xludf.DUMMYFUNCTION("""COMPUTED_VALUE"""),44984.0)</f>
        <v>44984</v>
      </c>
      <c r="C2846" s="13">
        <f>IFERROR(__xludf.DUMMYFUNCTION("""COMPUTED_VALUE"""),0.5416666666666666)</f>
        <v>0.5416666667</v>
      </c>
      <c r="D2846" s="8">
        <f>IFERROR(__xludf.DUMMYFUNCTION("""COMPUTED_VALUE"""),0.441)</f>
        <v>0.441</v>
      </c>
      <c r="E2846" s="8" t="str">
        <f>IFERROR(__xludf.DUMMYFUNCTION("""COMPUTED_VALUE"""),"Real")</f>
        <v>Real</v>
      </c>
      <c r="G2846" s="8">
        <f t="shared" si="1"/>
        <v>2</v>
      </c>
      <c r="H2846" s="14">
        <f t="shared" si="2"/>
        <v>27</v>
      </c>
      <c r="I2846" s="15">
        <f t="shared" si="3"/>
        <v>13</v>
      </c>
    </row>
    <row r="2847">
      <c r="A2847" s="8" t="str">
        <f>IFERROR(__xludf.DUMMYFUNCTION("IF('(INGESTA)Datos_consumo_datadis'!A2847&lt;&gt;"""",SPLIT('(INGESTA)Datos_consumo_datadis'!A:A,"",""),"""")"),"ES0031408323131005HX0F")</f>
        <v>ES0031408323131005HX0F</v>
      </c>
      <c r="B2847" s="12">
        <f>IFERROR(__xludf.DUMMYFUNCTION("""COMPUTED_VALUE"""),44984.0)</f>
        <v>44984</v>
      </c>
      <c r="C2847" s="13">
        <f>IFERROR(__xludf.DUMMYFUNCTION("""COMPUTED_VALUE"""),0.5833333333333334)</f>
        <v>0.5833333333</v>
      </c>
      <c r="D2847" s="8">
        <f>IFERROR(__xludf.DUMMYFUNCTION("""COMPUTED_VALUE"""),0.068)</f>
        <v>0.068</v>
      </c>
      <c r="E2847" s="8" t="str">
        <f>IFERROR(__xludf.DUMMYFUNCTION("""COMPUTED_VALUE"""),"Real")</f>
        <v>Real</v>
      </c>
      <c r="G2847" s="8">
        <f t="shared" si="1"/>
        <v>2</v>
      </c>
      <c r="H2847" s="14">
        <f t="shared" si="2"/>
        <v>27</v>
      </c>
      <c r="I2847" s="15">
        <f t="shared" si="3"/>
        <v>14</v>
      </c>
    </row>
    <row r="2848">
      <c r="A2848" s="8" t="str">
        <f>IFERROR(__xludf.DUMMYFUNCTION("IF('(INGESTA)Datos_consumo_datadis'!A2848&lt;&gt;"""",SPLIT('(INGESTA)Datos_consumo_datadis'!A:A,"",""),"""")"),"ES0031408323131005HX0F")</f>
        <v>ES0031408323131005HX0F</v>
      </c>
      <c r="B2848" s="12">
        <f>IFERROR(__xludf.DUMMYFUNCTION("""COMPUTED_VALUE"""),44984.0)</f>
        <v>44984</v>
      </c>
      <c r="C2848" s="13">
        <f>IFERROR(__xludf.DUMMYFUNCTION("""COMPUTED_VALUE"""),0.625)</f>
        <v>0.625</v>
      </c>
      <c r="D2848" s="8">
        <f>IFERROR(__xludf.DUMMYFUNCTION("""COMPUTED_VALUE"""),0.016)</f>
        <v>0.016</v>
      </c>
      <c r="E2848" s="8" t="str">
        <f>IFERROR(__xludf.DUMMYFUNCTION("""COMPUTED_VALUE"""),"Real")</f>
        <v>Real</v>
      </c>
      <c r="G2848" s="8">
        <f t="shared" si="1"/>
        <v>2</v>
      </c>
      <c r="H2848" s="14">
        <f t="shared" si="2"/>
        <v>27</v>
      </c>
      <c r="I2848" s="15">
        <f t="shared" si="3"/>
        <v>15</v>
      </c>
    </row>
    <row r="2849">
      <c r="A2849" s="8" t="str">
        <f>IFERROR(__xludf.DUMMYFUNCTION("IF('(INGESTA)Datos_consumo_datadis'!A2849&lt;&gt;"""",SPLIT('(INGESTA)Datos_consumo_datadis'!A:A,"",""),"""")"),"ES0031408323131005HX0F")</f>
        <v>ES0031408323131005HX0F</v>
      </c>
      <c r="B2849" s="12">
        <f>IFERROR(__xludf.DUMMYFUNCTION("""COMPUTED_VALUE"""),44984.0)</f>
        <v>44984</v>
      </c>
      <c r="C2849" s="13">
        <f>IFERROR(__xludf.DUMMYFUNCTION("""COMPUTED_VALUE"""),0.6666666666666666)</f>
        <v>0.6666666667</v>
      </c>
      <c r="D2849" s="8">
        <f>IFERROR(__xludf.DUMMYFUNCTION("""COMPUTED_VALUE"""),0.087)</f>
        <v>0.087</v>
      </c>
      <c r="E2849" s="8" t="str">
        <f>IFERROR(__xludf.DUMMYFUNCTION("""COMPUTED_VALUE"""),"Real")</f>
        <v>Real</v>
      </c>
      <c r="G2849" s="8">
        <f t="shared" si="1"/>
        <v>2</v>
      </c>
      <c r="H2849" s="14">
        <f t="shared" si="2"/>
        <v>27</v>
      </c>
      <c r="I2849" s="15">
        <f t="shared" si="3"/>
        <v>16</v>
      </c>
    </row>
    <row r="2850">
      <c r="A2850" s="8" t="str">
        <f>IFERROR(__xludf.DUMMYFUNCTION("IF('(INGESTA)Datos_consumo_datadis'!A2850&lt;&gt;"""",SPLIT('(INGESTA)Datos_consumo_datadis'!A:A,"",""),"""")"),"ES0031408323131005HX0F")</f>
        <v>ES0031408323131005HX0F</v>
      </c>
      <c r="B2850" s="12">
        <f>IFERROR(__xludf.DUMMYFUNCTION("""COMPUTED_VALUE"""),44984.0)</f>
        <v>44984</v>
      </c>
      <c r="C2850" s="13">
        <f>IFERROR(__xludf.DUMMYFUNCTION("""COMPUTED_VALUE"""),0.7083333333333334)</f>
        <v>0.7083333333</v>
      </c>
      <c r="D2850" s="8">
        <f>IFERROR(__xludf.DUMMYFUNCTION("""COMPUTED_VALUE"""),0.039)</f>
        <v>0.039</v>
      </c>
      <c r="E2850" s="8" t="str">
        <f>IFERROR(__xludf.DUMMYFUNCTION("""COMPUTED_VALUE"""),"Real")</f>
        <v>Real</v>
      </c>
      <c r="G2850" s="8">
        <f t="shared" si="1"/>
        <v>2</v>
      </c>
      <c r="H2850" s="14">
        <f t="shared" si="2"/>
        <v>27</v>
      </c>
      <c r="I2850" s="15">
        <f t="shared" si="3"/>
        <v>17</v>
      </c>
    </row>
    <row r="2851">
      <c r="A2851" s="8" t="str">
        <f>IFERROR(__xludf.DUMMYFUNCTION("IF('(INGESTA)Datos_consumo_datadis'!A2851&lt;&gt;"""",SPLIT('(INGESTA)Datos_consumo_datadis'!A:A,"",""),"""")"),"ES0031408323131005HX0F")</f>
        <v>ES0031408323131005HX0F</v>
      </c>
      <c r="B2851" s="12">
        <f>IFERROR(__xludf.DUMMYFUNCTION("""COMPUTED_VALUE"""),44984.0)</f>
        <v>44984</v>
      </c>
      <c r="C2851" s="13">
        <f>IFERROR(__xludf.DUMMYFUNCTION("""COMPUTED_VALUE"""),0.75)</f>
        <v>0.75</v>
      </c>
      <c r="D2851" s="8">
        <f>IFERROR(__xludf.DUMMYFUNCTION("""COMPUTED_VALUE"""),0.028)</f>
        <v>0.028</v>
      </c>
      <c r="E2851" s="8" t="str">
        <f>IFERROR(__xludf.DUMMYFUNCTION("""COMPUTED_VALUE"""),"Real")</f>
        <v>Real</v>
      </c>
      <c r="G2851" s="8">
        <f t="shared" si="1"/>
        <v>2</v>
      </c>
      <c r="H2851" s="14">
        <f t="shared" si="2"/>
        <v>27</v>
      </c>
      <c r="I2851" s="15">
        <f t="shared" si="3"/>
        <v>18</v>
      </c>
    </row>
    <row r="2852">
      <c r="A2852" s="8" t="str">
        <f>IFERROR(__xludf.DUMMYFUNCTION("IF('(INGESTA)Datos_consumo_datadis'!A2852&lt;&gt;"""",SPLIT('(INGESTA)Datos_consumo_datadis'!A:A,"",""),"""")"),"ES0031408323131005HX0F")</f>
        <v>ES0031408323131005HX0F</v>
      </c>
      <c r="B2852" s="12">
        <f>IFERROR(__xludf.DUMMYFUNCTION("""COMPUTED_VALUE"""),44984.0)</f>
        <v>44984</v>
      </c>
      <c r="C2852" s="13">
        <f>IFERROR(__xludf.DUMMYFUNCTION("""COMPUTED_VALUE"""),0.7916666666666666)</f>
        <v>0.7916666667</v>
      </c>
      <c r="D2852" s="8">
        <f>IFERROR(__xludf.DUMMYFUNCTION("""COMPUTED_VALUE"""),0.275)</f>
        <v>0.275</v>
      </c>
      <c r="E2852" s="8" t="str">
        <f>IFERROR(__xludf.DUMMYFUNCTION("""COMPUTED_VALUE"""),"Real")</f>
        <v>Real</v>
      </c>
      <c r="G2852" s="8">
        <f t="shared" si="1"/>
        <v>2</v>
      </c>
      <c r="H2852" s="14">
        <f t="shared" si="2"/>
        <v>27</v>
      </c>
      <c r="I2852" s="15">
        <f t="shared" si="3"/>
        <v>19</v>
      </c>
    </row>
    <row r="2853">
      <c r="A2853" s="8" t="str">
        <f>IFERROR(__xludf.DUMMYFUNCTION("IF('(INGESTA)Datos_consumo_datadis'!A2853&lt;&gt;"""",SPLIT('(INGESTA)Datos_consumo_datadis'!A:A,"",""),"""")"),"ES0031408323131005HX0F")</f>
        <v>ES0031408323131005HX0F</v>
      </c>
      <c r="B2853" s="12">
        <f>IFERROR(__xludf.DUMMYFUNCTION("""COMPUTED_VALUE"""),44984.0)</f>
        <v>44984</v>
      </c>
      <c r="C2853" s="13">
        <f>IFERROR(__xludf.DUMMYFUNCTION("""COMPUTED_VALUE"""),0.8333333333333334)</f>
        <v>0.8333333333</v>
      </c>
      <c r="D2853" s="8">
        <f>IFERROR(__xludf.DUMMYFUNCTION("""COMPUTED_VALUE"""),0.07)</f>
        <v>0.07</v>
      </c>
      <c r="E2853" s="8" t="str">
        <f>IFERROR(__xludf.DUMMYFUNCTION("""COMPUTED_VALUE"""),"Real")</f>
        <v>Real</v>
      </c>
      <c r="G2853" s="8">
        <f t="shared" si="1"/>
        <v>2</v>
      </c>
      <c r="H2853" s="14">
        <f t="shared" si="2"/>
        <v>27</v>
      </c>
      <c r="I2853" s="15">
        <f t="shared" si="3"/>
        <v>20</v>
      </c>
    </row>
    <row r="2854">
      <c r="A2854" s="8" t="str">
        <f>IFERROR(__xludf.DUMMYFUNCTION("IF('(INGESTA)Datos_consumo_datadis'!A2854&lt;&gt;"""",SPLIT('(INGESTA)Datos_consumo_datadis'!A:A,"",""),"""")"),"ES0031408323131005HX0F")</f>
        <v>ES0031408323131005HX0F</v>
      </c>
      <c r="B2854" s="12">
        <f>IFERROR(__xludf.DUMMYFUNCTION("""COMPUTED_VALUE"""),44984.0)</f>
        <v>44984</v>
      </c>
      <c r="C2854" s="13">
        <f>IFERROR(__xludf.DUMMYFUNCTION("""COMPUTED_VALUE"""),0.875)</f>
        <v>0.875</v>
      </c>
      <c r="D2854" s="8">
        <f>IFERROR(__xludf.DUMMYFUNCTION("""COMPUTED_VALUE"""),0.04)</f>
        <v>0.04</v>
      </c>
      <c r="E2854" s="8" t="str">
        <f>IFERROR(__xludf.DUMMYFUNCTION("""COMPUTED_VALUE"""),"Real")</f>
        <v>Real</v>
      </c>
      <c r="G2854" s="8">
        <f t="shared" si="1"/>
        <v>2</v>
      </c>
      <c r="H2854" s="14">
        <f t="shared" si="2"/>
        <v>27</v>
      </c>
      <c r="I2854" s="15">
        <f t="shared" si="3"/>
        <v>21</v>
      </c>
    </row>
    <row r="2855">
      <c r="A2855" s="8" t="str">
        <f>IFERROR(__xludf.DUMMYFUNCTION("IF('(INGESTA)Datos_consumo_datadis'!A2855&lt;&gt;"""",SPLIT('(INGESTA)Datos_consumo_datadis'!A:A,"",""),"""")"),"ES0031408323131005HX0F")</f>
        <v>ES0031408323131005HX0F</v>
      </c>
      <c r="B2855" s="12">
        <f>IFERROR(__xludf.DUMMYFUNCTION("""COMPUTED_VALUE"""),44984.0)</f>
        <v>44984</v>
      </c>
      <c r="C2855" s="13">
        <f>IFERROR(__xludf.DUMMYFUNCTION("""COMPUTED_VALUE"""),0.9166666666666666)</f>
        <v>0.9166666667</v>
      </c>
      <c r="D2855" s="8">
        <f>IFERROR(__xludf.DUMMYFUNCTION("""COMPUTED_VALUE"""),0.028)</f>
        <v>0.028</v>
      </c>
      <c r="E2855" s="8" t="str">
        <f>IFERROR(__xludf.DUMMYFUNCTION("""COMPUTED_VALUE"""),"Real")</f>
        <v>Real</v>
      </c>
      <c r="G2855" s="8">
        <f t="shared" si="1"/>
        <v>2</v>
      </c>
      <c r="H2855" s="14">
        <f t="shared" si="2"/>
        <v>27</v>
      </c>
      <c r="I2855" s="15">
        <f t="shared" si="3"/>
        <v>22</v>
      </c>
    </row>
    <row r="2856">
      <c r="A2856" s="8" t="str">
        <f>IFERROR(__xludf.DUMMYFUNCTION("IF('(INGESTA)Datos_consumo_datadis'!A2856&lt;&gt;"""",SPLIT('(INGESTA)Datos_consumo_datadis'!A:A,"",""),"""")"),"ES0031408323131005HX0F")</f>
        <v>ES0031408323131005HX0F</v>
      </c>
      <c r="B2856" s="12">
        <f>IFERROR(__xludf.DUMMYFUNCTION("""COMPUTED_VALUE"""),44984.0)</f>
        <v>44984</v>
      </c>
      <c r="C2856" s="13">
        <f>IFERROR(__xludf.DUMMYFUNCTION("""COMPUTED_VALUE"""),0.9583333333333334)</f>
        <v>0.9583333333</v>
      </c>
      <c r="D2856" s="8">
        <f>IFERROR(__xludf.DUMMYFUNCTION("""COMPUTED_VALUE"""),2.779)</f>
        <v>2.779</v>
      </c>
      <c r="E2856" s="8" t="str">
        <f>IFERROR(__xludf.DUMMYFUNCTION("""COMPUTED_VALUE"""),"Real")</f>
        <v>Real</v>
      </c>
      <c r="G2856" s="8">
        <f t="shared" si="1"/>
        <v>2</v>
      </c>
      <c r="H2856" s="14">
        <f t="shared" si="2"/>
        <v>27</v>
      </c>
      <c r="I2856" s="15">
        <f t="shared" si="3"/>
        <v>23</v>
      </c>
    </row>
    <row r="2857">
      <c r="A2857" s="8" t="str">
        <f>IFERROR(__xludf.DUMMYFUNCTION("IF('(INGESTA)Datos_consumo_datadis'!A2857&lt;&gt;"""",SPLIT('(INGESTA)Datos_consumo_datadis'!A:A,"",""),"""")"),"ES0031408323131005HX0F")</f>
        <v>ES0031408323131005HX0F</v>
      </c>
      <c r="B2857" s="12">
        <f>IFERROR(__xludf.DUMMYFUNCTION("""COMPUTED_VALUE"""),44984.0)</f>
        <v>44984</v>
      </c>
      <c r="C2857" s="16">
        <f>IFERROR(__xludf.DUMMYFUNCTION("""COMPUTED_VALUE"""),1.0)</f>
        <v>1</v>
      </c>
      <c r="D2857" s="8">
        <f>IFERROR(__xludf.DUMMYFUNCTION("""COMPUTED_VALUE"""),2.878)</f>
        <v>2.878</v>
      </c>
      <c r="E2857" s="8" t="str">
        <f>IFERROR(__xludf.DUMMYFUNCTION("""COMPUTED_VALUE"""),"Real")</f>
        <v>Real</v>
      </c>
      <c r="G2857" s="8">
        <f t="shared" si="1"/>
        <v>2</v>
      </c>
      <c r="H2857" s="14">
        <f t="shared" si="2"/>
        <v>27</v>
      </c>
      <c r="I2857" s="15">
        <f t="shared" si="3"/>
        <v>0</v>
      </c>
    </row>
    <row r="2858">
      <c r="A2858" s="8" t="str">
        <f>IFERROR(__xludf.DUMMYFUNCTION("IF('(INGESTA)Datos_consumo_datadis'!A2858&lt;&gt;"""",SPLIT('(INGESTA)Datos_consumo_datadis'!A:A,"",""),"""")"),"ES0031408323131005HX0F")</f>
        <v>ES0031408323131005HX0F</v>
      </c>
      <c r="B2858" s="12">
        <f>IFERROR(__xludf.DUMMYFUNCTION("""COMPUTED_VALUE"""),44985.0)</f>
        <v>44985</v>
      </c>
      <c r="C2858" s="13">
        <f>IFERROR(__xludf.DUMMYFUNCTION("""COMPUTED_VALUE"""),0.041666666666666664)</f>
        <v>0.04166666667</v>
      </c>
      <c r="D2858" s="8">
        <f>IFERROR(__xludf.DUMMYFUNCTION("""COMPUTED_VALUE"""),1.579)</f>
        <v>1.579</v>
      </c>
      <c r="E2858" s="8" t="str">
        <f>IFERROR(__xludf.DUMMYFUNCTION("""COMPUTED_VALUE"""),"Real")</f>
        <v>Real</v>
      </c>
      <c r="G2858" s="8">
        <f t="shared" si="1"/>
        <v>2</v>
      </c>
      <c r="H2858" s="14">
        <f t="shared" si="2"/>
        <v>28</v>
      </c>
      <c r="I2858" s="15">
        <f t="shared" si="3"/>
        <v>1</v>
      </c>
    </row>
    <row r="2859">
      <c r="A2859" s="8" t="str">
        <f>IFERROR(__xludf.DUMMYFUNCTION("IF('(INGESTA)Datos_consumo_datadis'!A2859&lt;&gt;"""",SPLIT('(INGESTA)Datos_consumo_datadis'!A:A,"",""),"""")"),"ES0031408323131005HX0F")</f>
        <v>ES0031408323131005HX0F</v>
      </c>
      <c r="B2859" s="12">
        <f>IFERROR(__xludf.DUMMYFUNCTION("""COMPUTED_VALUE"""),44985.0)</f>
        <v>44985</v>
      </c>
      <c r="C2859" s="13">
        <f>IFERROR(__xludf.DUMMYFUNCTION("""COMPUTED_VALUE"""),0.08333333333333333)</f>
        <v>0.08333333333</v>
      </c>
      <c r="D2859" s="8">
        <f>IFERROR(__xludf.DUMMYFUNCTION("""COMPUTED_VALUE"""),1.455)</f>
        <v>1.455</v>
      </c>
      <c r="E2859" s="8" t="str">
        <f>IFERROR(__xludf.DUMMYFUNCTION("""COMPUTED_VALUE"""),"Real")</f>
        <v>Real</v>
      </c>
      <c r="G2859" s="8">
        <f t="shared" si="1"/>
        <v>2</v>
      </c>
      <c r="H2859" s="14">
        <f t="shared" si="2"/>
        <v>28</v>
      </c>
      <c r="I2859" s="15">
        <f t="shared" si="3"/>
        <v>2</v>
      </c>
    </row>
    <row r="2860">
      <c r="A2860" s="8" t="str">
        <f>IFERROR(__xludf.DUMMYFUNCTION("IF('(INGESTA)Datos_consumo_datadis'!A2860&lt;&gt;"""",SPLIT('(INGESTA)Datos_consumo_datadis'!A:A,"",""),"""")"),"ES0031408323131005HX0F")</f>
        <v>ES0031408323131005HX0F</v>
      </c>
      <c r="B2860" s="12">
        <f>IFERROR(__xludf.DUMMYFUNCTION("""COMPUTED_VALUE"""),44985.0)</f>
        <v>44985</v>
      </c>
      <c r="C2860" s="13">
        <f>IFERROR(__xludf.DUMMYFUNCTION("""COMPUTED_VALUE"""),0.125)</f>
        <v>0.125</v>
      </c>
      <c r="D2860" s="8">
        <f>IFERROR(__xludf.DUMMYFUNCTION("""COMPUTED_VALUE"""),1.488)</f>
        <v>1.488</v>
      </c>
      <c r="E2860" s="8" t="str">
        <f>IFERROR(__xludf.DUMMYFUNCTION("""COMPUTED_VALUE"""),"Real")</f>
        <v>Real</v>
      </c>
      <c r="G2860" s="8">
        <f t="shared" si="1"/>
        <v>2</v>
      </c>
      <c r="H2860" s="14">
        <f t="shared" si="2"/>
        <v>28</v>
      </c>
      <c r="I2860" s="15">
        <f t="shared" si="3"/>
        <v>3</v>
      </c>
    </row>
    <row r="2861">
      <c r="A2861" s="8" t="str">
        <f>IFERROR(__xludf.DUMMYFUNCTION("IF('(INGESTA)Datos_consumo_datadis'!A2861&lt;&gt;"""",SPLIT('(INGESTA)Datos_consumo_datadis'!A:A,"",""),"""")"),"ES0031408323131005HX0F")</f>
        <v>ES0031408323131005HX0F</v>
      </c>
      <c r="B2861" s="12">
        <f>IFERROR(__xludf.DUMMYFUNCTION("""COMPUTED_VALUE"""),44985.0)</f>
        <v>44985</v>
      </c>
      <c r="C2861" s="13">
        <f>IFERROR(__xludf.DUMMYFUNCTION("""COMPUTED_VALUE"""),0.16666666666666666)</f>
        <v>0.1666666667</v>
      </c>
      <c r="D2861" s="8">
        <f>IFERROR(__xludf.DUMMYFUNCTION("""COMPUTED_VALUE"""),1.73)</f>
        <v>1.73</v>
      </c>
      <c r="E2861" s="8" t="str">
        <f>IFERROR(__xludf.DUMMYFUNCTION("""COMPUTED_VALUE"""),"Real")</f>
        <v>Real</v>
      </c>
      <c r="G2861" s="8">
        <f t="shared" si="1"/>
        <v>2</v>
      </c>
      <c r="H2861" s="14">
        <f t="shared" si="2"/>
        <v>28</v>
      </c>
      <c r="I2861" s="15">
        <f t="shared" si="3"/>
        <v>4</v>
      </c>
    </row>
    <row r="2862">
      <c r="A2862" s="8" t="str">
        <f>IFERROR(__xludf.DUMMYFUNCTION("IF('(INGESTA)Datos_consumo_datadis'!A2862&lt;&gt;"""",SPLIT('(INGESTA)Datos_consumo_datadis'!A:A,"",""),"""")"),"ES0031408323131005HX0F")</f>
        <v>ES0031408323131005HX0F</v>
      </c>
      <c r="B2862" s="12">
        <f>IFERROR(__xludf.DUMMYFUNCTION("""COMPUTED_VALUE"""),44985.0)</f>
        <v>44985</v>
      </c>
      <c r="C2862" s="13">
        <f>IFERROR(__xludf.DUMMYFUNCTION("""COMPUTED_VALUE"""),0.20833333333333334)</f>
        <v>0.2083333333</v>
      </c>
      <c r="D2862" s="8">
        <f>IFERROR(__xludf.DUMMYFUNCTION("""COMPUTED_VALUE"""),1.45)</f>
        <v>1.45</v>
      </c>
      <c r="E2862" s="8" t="str">
        <f>IFERROR(__xludf.DUMMYFUNCTION("""COMPUTED_VALUE"""),"Real")</f>
        <v>Real</v>
      </c>
      <c r="G2862" s="8">
        <f t="shared" si="1"/>
        <v>2</v>
      </c>
      <c r="H2862" s="14">
        <f t="shared" si="2"/>
        <v>28</v>
      </c>
      <c r="I2862" s="15">
        <f t="shared" si="3"/>
        <v>5</v>
      </c>
    </row>
    <row r="2863">
      <c r="A2863" s="8" t="str">
        <f>IFERROR(__xludf.DUMMYFUNCTION("IF('(INGESTA)Datos_consumo_datadis'!A2863&lt;&gt;"""",SPLIT('(INGESTA)Datos_consumo_datadis'!A:A,"",""),"""")"),"ES0031408323131005HX0F")</f>
        <v>ES0031408323131005HX0F</v>
      </c>
      <c r="B2863" s="12">
        <f>IFERROR(__xludf.DUMMYFUNCTION("""COMPUTED_VALUE"""),44985.0)</f>
        <v>44985</v>
      </c>
      <c r="C2863" s="13">
        <f>IFERROR(__xludf.DUMMYFUNCTION("""COMPUTED_VALUE"""),0.25)</f>
        <v>0.25</v>
      </c>
      <c r="D2863" s="8">
        <f>IFERROR(__xludf.DUMMYFUNCTION("""COMPUTED_VALUE"""),1.383)</f>
        <v>1.383</v>
      </c>
      <c r="E2863" s="8" t="str">
        <f>IFERROR(__xludf.DUMMYFUNCTION("""COMPUTED_VALUE"""),"Real")</f>
        <v>Real</v>
      </c>
      <c r="G2863" s="8">
        <f t="shared" si="1"/>
        <v>2</v>
      </c>
      <c r="H2863" s="14">
        <f t="shared" si="2"/>
        <v>28</v>
      </c>
      <c r="I2863" s="15">
        <f t="shared" si="3"/>
        <v>6</v>
      </c>
    </row>
    <row r="2864">
      <c r="A2864" s="8" t="str">
        <f>IFERROR(__xludf.DUMMYFUNCTION("IF('(INGESTA)Datos_consumo_datadis'!A2864&lt;&gt;"""",SPLIT('(INGESTA)Datos_consumo_datadis'!A:A,"",""),"""")"),"ES0031408323131005HX0F")</f>
        <v>ES0031408323131005HX0F</v>
      </c>
      <c r="B2864" s="12">
        <f>IFERROR(__xludf.DUMMYFUNCTION("""COMPUTED_VALUE"""),44985.0)</f>
        <v>44985</v>
      </c>
      <c r="C2864" s="13">
        <f>IFERROR(__xludf.DUMMYFUNCTION("""COMPUTED_VALUE"""),0.2916666666666667)</f>
        <v>0.2916666667</v>
      </c>
      <c r="D2864" s="8">
        <f>IFERROR(__xludf.DUMMYFUNCTION("""COMPUTED_VALUE"""),1.568)</f>
        <v>1.568</v>
      </c>
      <c r="E2864" s="8" t="str">
        <f>IFERROR(__xludf.DUMMYFUNCTION("""COMPUTED_VALUE"""),"Real")</f>
        <v>Real</v>
      </c>
      <c r="G2864" s="8">
        <f t="shared" si="1"/>
        <v>2</v>
      </c>
      <c r="H2864" s="14">
        <f t="shared" si="2"/>
        <v>28</v>
      </c>
      <c r="I2864" s="15">
        <f t="shared" si="3"/>
        <v>7</v>
      </c>
    </row>
    <row r="2865">
      <c r="A2865" s="8" t="str">
        <f>IFERROR(__xludf.DUMMYFUNCTION("IF('(INGESTA)Datos_consumo_datadis'!A2865&lt;&gt;"""",SPLIT('(INGESTA)Datos_consumo_datadis'!A:A,"",""),"""")"),"ES0031408323131005HX0F")</f>
        <v>ES0031408323131005HX0F</v>
      </c>
      <c r="B2865" s="12">
        <f>IFERROR(__xludf.DUMMYFUNCTION("""COMPUTED_VALUE"""),44985.0)</f>
        <v>44985</v>
      </c>
      <c r="C2865" s="13">
        <f>IFERROR(__xludf.DUMMYFUNCTION("""COMPUTED_VALUE"""),0.3333333333333333)</f>
        <v>0.3333333333</v>
      </c>
      <c r="D2865" s="8">
        <f>IFERROR(__xludf.DUMMYFUNCTION("""COMPUTED_VALUE"""),1.734)</f>
        <v>1.734</v>
      </c>
      <c r="E2865" s="8" t="str">
        <f>IFERROR(__xludf.DUMMYFUNCTION("""COMPUTED_VALUE"""),"Real")</f>
        <v>Real</v>
      </c>
      <c r="G2865" s="8">
        <f t="shared" si="1"/>
        <v>2</v>
      </c>
      <c r="H2865" s="14">
        <f t="shared" si="2"/>
        <v>28</v>
      </c>
      <c r="I2865" s="15">
        <f t="shared" si="3"/>
        <v>8</v>
      </c>
    </row>
    <row r="2866">
      <c r="A2866" s="8" t="str">
        <f>IFERROR(__xludf.DUMMYFUNCTION("IF('(INGESTA)Datos_consumo_datadis'!A2866&lt;&gt;"""",SPLIT('(INGESTA)Datos_consumo_datadis'!A:A,"",""),"""")"),"ES0031408323131005HX0F")</f>
        <v>ES0031408323131005HX0F</v>
      </c>
      <c r="B2866" s="12">
        <f>IFERROR(__xludf.DUMMYFUNCTION("""COMPUTED_VALUE"""),44985.0)</f>
        <v>44985</v>
      </c>
      <c r="C2866" s="13">
        <f>IFERROR(__xludf.DUMMYFUNCTION("""COMPUTED_VALUE"""),0.375)</f>
        <v>0.375</v>
      </c>
      <c r="D2866" s="8">
        <f>IFERROR(__xludf.DUMMYFUNCTION("""COMPUTED_VALUE"""),0.349)</f>
        <v>0.349</v>
      </c>
      <c r="E2866" s="8" t="str">
        <f>IFERROR(__xludf.DUMMYFUNCTION("""COMPUTED_VALUE"""),"Real")</f>
        <v>Real</v>
      </c>
      <c r="G2866" s="8">
        <f t="shared" si="1"/>
        <v>2</v>
      </c>
      <c r="H2866" s="14">
        <f t="shared" si="2"/>
        <v>28</v>
      </c>
      <c r="I2866" s="15">
        <f t="shared" si="3"/>
        <v>9</v>
      </c>
    </row>
    <row r="2867">
      <c r="A2867" s="8" t="str">
        <f>IFERROR(__xludf.DUMMYFUNCTION("IF('(INGESTA)Datos_consumo_datadis'!A2867&lt;&gt;"""",SPLIT('(INGESTA)Datos_consumo_datadis'!A:A,"",""),"""")"),"ES0031408323131005HX0F")</f>
        <v>ES0031408323131005HX0F</v>
      </c>
      <c r="B2867" s="12">
        <f>IFERROR(__xludf.DUMMYFUNCTION("""COMPUTED_VALUE"""),44985.0)</f>
        <v>44985</v>
      </c>
      <c r="C2867" s="13">
        <f>IFERROR(__xludf.DUMMYFUNCTION("""COMPUTED_VALUE"""),0.4166666666666667)</f>
        <v>0.4166666667</v>
      </c>
      <c r="D2867" s="8">
        <f>IFERROR(__xludf.DUMMYFUNCTION("""COMPUTED_VALUE"""),2.411)</f>
        <v>2.411</v>
      </c>
      <c r="E2867" s="8" t="str">
        <f>IFERROR(__xludf.DUMMYFUNCTION("""COMPUTED_VALUE"""),"Real")</f>
        <v>Real</v>
      </c>
      <c r="G2867" s="8">
        <f t="shared" si="1"/>
        <v>2</v>
      </c>
      <c r="H2867" s="14">
        <f t="shared" si="2"/>
        <v>28</v>
      </c>
      <c r="I2867" s="15">
        <f t="shared" si="3"/>
        <v>10</v>
      </c>
    </row>
    <row r="2868">
      <c r="A2868" s="8" t="str">
        <f>IFERROR(__xludf.DUMMYFUNCTION("IF('(INGESTA)Datos_consumo_datadis'!A2868&lt;&gt;"""",SPLIT('(INGESTA)Datos_consumo_datadis'!A:A,"",""),"""")"),"ES0031408323131005HX0F")</f>
        <v>ES0031408323131005HX0F</v>
      </c>
      <c r="B2868" s="12">
        <f>IFERROR(__xludf.DUMMYFUNCTION("""COMPUTED_VALUE"""),44985.0)</f>
        <v>44985</v>
      </c>
      <c r="C2868" s="13">
        <f>IFERROR(__xludf.DUMMYFUNCTION("""COMPUTED_VALUE"""),0.4583333333333333)</f>
        <v>0.4583333333</v>
      </c>
      <c r="D2868" s="8">
        <f>IFERROR(__xludf.DUMMYFUNCTION("""COMPUTED_VALUE"""),1.983)</f>
        <v>1.983</v>
      </c>
      <c r="E2868" s="8" t="str">
        <f>IFERROR(__xludf.DUMMYFUNCTION("""COMPUTED_VALUE"""),"Real")</f>
        <v>Real</v>
      </c>
      <c r="G2868" s="8">
        <f t="shared" si="1"/>
        <v>2</v>
      </c>
      <c r="H2868" s="14">
        <f t="shared" si="2"/>
        <v>28</v>
      </c>
      <c r="I2868" s="15">
        <f t="shared" si="3"/>
        <v>11</v>
      </c>
    </row>
    <row r="2869">
      <c r="A2869" s="8" t="str">
        <f>IFERROR(__xludf.DUMMYFUNCTION("IF('(INGESTA)Datos_consumo_datadis'!A2869&lt;&gt;"""",SPLIT('(INGESTA)Datos_consumo_datadis'!A:A,"",""),"""")"),"ES0031408323131005HX0F")</f>
        <v>ES0031408323131005HX0F</v>
      </c>
      <c r="B2869" s="12">
        <f>IFERROR(__xludf.DUMMYFUNCTION("""COMPUTED_VALUE"""),44985.0)</f>
        <v>44985</v>
      </c>
      <c r="C2869" s="13">
        <f>IFERROR(__xludf.DUMMYFUNCTION("""COMPUTED_VALUE"""),0.5)</f>
        <v>0.5</v>
      </c>
      <c r="D2869" s="8">
        <f>IFERROR(__xludf.DUMMYFUNCTION("""COMPUTED_VALUE"""),2.122)</f>
        <v>2.122</v>
      </c>
      <c r="E2869" s="8" t="str">
        <f>IFERROR(__xludf.DUMMYFUNCTION("""COMPUTED_VALUE"""),"Real")</f>
        <v>Real</v>
      </c>
      <c r="G2869" s="8">
        <f t="shared" si="1"/>
        <v>2</v>
      </c>
      <c r="H2869" s="14">
        <f t="shared" si="2"/>
        <v>28</v>
      </c>
      <c r="I2869" s="15">
        <f t="shared" si="3"/>
        <v>12</v>
      </c>
    </row>
    <row r="2870">
      <c r="A2870" s="8" t="str">
        <f>IFERROR(__xludf.DUMMYFUNCTION("IF('(INGESTA)Datos_consumo_datadis'!A2870&lt;&gt;"""",SPLIT('(INGESTA)Datos_consumo_datadis'!A:A,"",""),"""")"),"ES0031408323131005HX0F")</f>
        <v>ES0031408323131005HX0F</v>
      </c>
      <c r="B2870" s="12">
        <f>IFERROR(__xludf.DUMMYFUNCTION("""COMPUTED_VALUE"""),44985.0)</f>
        <v>44985</v>
      </c>
      <c r="C2870" s="13">
        <f>IFERROR(__xludf.DUMMYFUNCTION("""COMPUTED_VALUE"""),0.5416666666666666)</f>
        <v>0.5416666667</v>
      </c>
      <c r="D2870" s="8">
        <f>IFERROR(__xludf.DUMMYFUNCTION("""COMPUTED_VALUE"""),0.196)</f>
        <v>0.196</v>
      </c>
      <c r="E2870" s="8" t="str">
        <f>IFERROR(__xludf.DUMMYFUNCTION("""COMPUTED_VALUE"""),"Real")</f>
        <v>Real</v>
      </c>
      <c r="G2870" s="8">
        <f t="shared" si="1"/>
        <v>2</v>
      </c>
      <c r="H2870" s="14">
        <f t="shared" si="2"/>
        <v>28</v>
      </c>
      <c r="I2870" s="15">
        <f t="shared" si="3"/>
        <v>13</v>
      </c>
    </row>
    <row r="2871">
      <c r="A2871" s="8" t="str">
        <f>IFERROR(__xludf.DUMMYFUNCTION("IF('(INGESTA)Datos_consumo_datadis'!A2871&lt;&gt;"""",SPLIT('(INGESTA)Datos_consumo_datadis'!A:A,"",""),"""")"),"ES0031408323131005HX0F")</f>
        <v>ES0031408323131005HX0F</v>
      </c>
      <c r="B2871" s="12">
        <f>IFERROR(__xludf.DUMMYFUNCTION("""COMPUTED_VALUE"""),44985.0)</f>
        <v>44985</v>
      </c>
      <c r="C2871" s="13">
        <f>IFERROR(__xludf.DUMMYFUNCTION("""COMPUTED_VALUE"""),0.5833333333333334)</f>
        <v>0.5833333333</v>
      </c>
      <c r="D2871" s="8">
        <f>IFERROR(__xludf.DUMMYFUNCTION("""COMPUTED_VALUE"""),0.359)</f>
        <v>0.359</v>
      </c>
      <c r="E2871" s="8" t="str">
        <f>IFERROR(__xludf.DUMMYFUNCTION("""COMPUTED_VALUE"""),"Real")</f>
        <v>Real</v>
      </c>
      <c r="G2871" s="8">
        <f t="shared" si="1"/>
        <v>2</v>
      </c>
      <c r="H2871" s="14">
        <f t="shared" si="2"/>
        <v>28</v>
      </c>
      <c r="I2871" s="15">
        <f t="shared" si="3"/>
        <v>14</v>
      </c>
    </row>
    <row r="2872">
      <c r="A2872" s="8" t="str">
        <f>IFERROR(__xludf.DUMMYFUNCTION("IF('(INGESTA)Datos_consumo_datadis'!A2872&lt;&gt;"""",SPLIT('(INGESTA)Datos_consumo_datadis'!A:A,"",""),"""")"),"ES0031408323131005HX0F")</f>
        <v>ES0031408323131005HX0F</v>
      </c>
      <c r="B2872" s="12">
        <f>IFERROR(__xludf.DUMMYFUNCTION("""COMPUTED_VALUE"""),44985.0)</f>
        <v>44985</v>
      </c>
      <c r="C2872" s="13">
        <f>IFERROR(__xludf.DUMMYFUNCTION("""COMPUTED_VALUE"""),0.625)</f>
        <v>0.625</v>
      </c>
      <c r="D2872" s="8">
        <f>IFERROR(__xludf.DUMMYFUNCTION("""COMPUTED_VALUE"""),0.042)</f>
        <v>0.042</v>
      </c>
      <c r="E2872" s="8" t="str">
        <f>IFERROR(__xludf.DUMMYFUNCTION("""COMPUTED_VALUE"""),"Real")</f>
        <v>Real</v>
      </c>
      <c r="G2872" s="8">
        <f t="shared" si="1"/>
        <v>2</v>
      </c>
      <c r="H2872" s="14">
        <f t="shared" si="2"/>
        <v>28</v>
      </c>
      <c r="I2872" s="15">
        <f t="shared" si="3"/>
        <v>15</v>
      </c>
    </row>
    <row r="2873">
      <c r="A2873" s="8" t="str">
        <f>IFERROR(__xludf.DUMMYFUNCTION("IF('(INGESTA)Datos_consumo_datadis'!A2873&lt;&gt;"""",SPLIT('(INGESTA)Datos_consumo_datadis'!A:A,"",""),"""")"),"ES0031408323131005HX0F")</f>
        <v>ES0031408323131005HX0F</v>
      </c>
      <c r="B2873" s="12">
        <f>IFERROR(__xludf.DUMMYFUNCTION("""COMPUTED_VALUE"""),44985.0)</f>
        <v>44985</v>
      </c>
      <c r="C2873" s="13">
        <f>IFERROR(__xludf.DUMMYFUNCTION("""COMPUTED_VALUE"""),0.6666666666666666)</f>
        <v>0.6666666667</v>
      </c>
      <c r="D2873" s="8">
        <f>IFERROR(__xludf.DUMMYFUNCTION("""COMPUTED_VALUE"""),0.016)</f>
        <v>0.016</v>
      </c>
      <c r="E2873" s="8" t="str">
        <f>IFERROR(__xludf.DUMMYFUNCTION("""COMPUTED_VALUE"""),"Real")</f>
        <v>Real</v>
      </c>
      <c r="G2873" s="8">
        <f t="shared" si="1"/>
        <v>2</v>
      </c>
      <c r="H2873" s="14">
        <f t="shared" si="2"/>
        <v>28</v>
      </c>
      <c r="I2873" s="15">
        <f t="shared" si="3"/>
        <v>16</v>
      </c>
    </row>
    <row r="2874">
      <c r="A2874" s="8" t="str">
        <f>IFERROR(__xludf.DUMMYFUNCTION("IF('(INGESTA)Datos_consumo_datadis'!A2874&lt;&gt;"""",SPLIT('(INGESTA)Datos_consumo_datadis'!A:A,"",""),"""")"),"ES0031408323131005HX0F")</f>
        <v>ES0031408323131005HX0F</v>
      </c>
      <c r="B2874" s="12">
        <f>IFERROR(__xludf.DUMMYFUNCTION("""COMPUTED_VALUE"""),44985.0)</f>
        <v>44985</v>
      </c>
      <c r="C2874" s="13">
        <f>IFERROR(__xludf.DUMMYFUNCTION("""COMPUTED_VALUE"""),0.7083333333333334)</f>
        <v>0.7083333333</v>
      </c>
      <c r="D2874" s="8">
        <f>IFERROR(__xludf.DUMMYFUNCTION("""COMPUTED_VALUE"""),0.061)</f>
        <v>0.061</v>
      </c>
      <c r="E2874" s="8" t="str">
        <f>IFERROR(__xludf.DUMMYFUNCTION("""COMPUTED_VALUE"""),"Real")</f>
        <v>Real</v>
      </c>
      <c r="G2874" s="8">
        <f t="shared" si="1"/>
        <v>2</v>
      </c>
      <c r="H2874" s="14">
        <f t="shared" si="2"/>
        <v>28</v>
      </c>
      <c r="I2874" s="15">
        <f t="shared" si="3"/>
        <v>17</v>
      </c>
    </row>
    <row r="2875">
      <c r="A2875" s="8" t="str">
        <f>IFERROR(__xludf.DUMMYFUNCTION("IF('(INGESTA)Datos_consumo_datadis'!A2875&lt;&gt;"""",SPLIT('(INGESTA)Datos_consumo_datadis'!A:A,"",""),"""")"),"ES0031408323131005HX0F")</f>
        <v>ES0031408323131005HX0F</v>
      </c>
      <c r="B2875" s="12">
        <f>IFERROR(__xludf.DUMMYFUNCTION("""COMPUTED_VALUE"""),44985.0)</f>
        <v>44985</v>
      </c>
      <c r="C2875" s="13">
        <f>IFERROR(__xludf.DUMMYFUNCTION("""COMPUTED_VALUE"""),0.75)</f>
        <v>0.75</v>
      </c>
      <c r="D2875" s="8">
        <f>IFERROR(__xludf.DUMMYFUNCTION("""COMPUTED_VALUE"""),0.055)</f>
        <v>0.055</v>
      </c>
      <c r="E2875" s="8" t="str">
        <f>IFERROR(__xludf.DUMMYFUNCTION("""COMPUTED_VALUE"""),"Real")</f>
        <v>Real</v>
      </c>
      <c r="G2875" s="8">
        <f t="shared" si="1"/>
        <v>2</v>
      </c>
      <c r="H2875" s="14">
        <f t="shared" si="2"/>
        <v>28</v>
      </c>
      <c r="I2875" s="15">
        <f t="shared" si="3"/>
        <v>18</v>
      </c>
    </row>
    <row r="2876">
      <c r="A2876" s="8" t="str">
        <f>IFERROR(__xludf.DUMMYFUNCTION("IF('(INGESTA)Datos_consumo_datadis'!A2876&lt;&gt;"""",SPLIT('(INGESTA)Datos_consumo_datadis'!A:A,"",""),"""")"),"ES0031408323131005HX0F")</f>
        <v>ES0031408323131005HX0F</v>
      </c>
      <c r="B2876" s="12">
        <f>IFERROR(__xludf.DUMMYFUNCTION("""COMPUTED_VALUE"""),44985.0)</f>
        <v>44985</v>
      </c>
      <c r="C2876" s="13">
        <f>IFERROR(__xludf.DUMMYFUNCTION("""COMPUTED_VALUE"""),0.7916666666666666)</f>
        <v>0.7916666667</v>
      </c>
      <c r="D2876" s="8">
        <f>IFERROR(__xludf.DUMMYFUNCTION("""COMPUTED_VALUE"""),0.028)</f>
        <v>0.028</v>
      </c>
      <c r="E2876" s="8" t="str">
        <f>IFERROR(__xludf.DUMMYFUNCTION("""COMPUTED_VALUE"""),"Real")</f>
        <v>Real</v>
      </c>
      <c r="G2876" s="8">
        <f t="shared" si="1"/>
        <v>2</v>
      </c>
      <c r="H2876" s="14">
        <f t="shared" si="2"/>
        <v>28</v>
      </c>
      <c r="I2876" s="15">
        <f t="shared" si="3"/>
        <v>19</v>
      </c>
    </row>
    <row r="2877">
      <c r="A2877" s="8" t="str">
        <f>IFERROR(__xludf.DUMMYFUNCTION("IF('(INGESTA)Datos_consumo_datadis'!A2877&lt;&gt;"""",SPLIT('(INGESTA)Datos_consumo_datadis'!A:A,"",""),"""")"),"ES0031408323131005HX0F")</f>
        <v>ES0031408323131005HX0F</v>
      </c>
      <c r="B2877" s="12">
        <f>IFERROR(__xludf.DUMMYFUNCTION("""COMPUTED_VALUE"""),44985.0)</f>
        <v>44985</v>
      </c>
      <c r="C2877" s="13">
        <f>IFERROR(__xludf.DUMMYFUNCTION("""COMPUTED_VALUE"""),0.8333333333333334)</f>
        <v>0.8333333333</v>
      </c>
      <c r="D2877" s="8">
        <f>IFERROR(__xludf.DUMMYFUNCTION("""COMPUTED_VALUE"""),0.262)</f>
        <v>0.262</v>
      </c>
      <c r="E2877" s="8" t="str">
        <f>IFERROR(__xludf.DUMMYFUNCTION("""COMPUTED_VALUE"""),"Real")</f>
        <v>Real</v>
      </c>
      <c r="G2877" s="8">
        <f t="shared" si="1"/>
        <v>2</v>
      </c>
      <c r="H2877" s="14">
        <f t="shared" si="2"/>
        <v>28</v>
      </c>
      <c r="I2877" s="15">
        <f t="shared" si="3"/>
        <v>20</v>
      </c>
    </row>
    <row r="2878">
      <c r="A2878" s="8" t="str">
        <f>IFERROR(__xludf.DUMMYFUNCTION("IF('(INGESTA)Datos_consumo_datadis'!A2878&lt;&gt;"""",SPLIT('(INGESTA)Datos_consumo_datadis'!A:A,"",""),"""")"),"ES0031408323131005HX0F")</f>
        <v>ES0031408323131005HX0F</v>
      </c>
      <c r="B2878" s="12">
        <f>IFERROR(__xludf.DUMMYFUNCTION("""COMPUTED_VALUE"""),44985.0)</f>
        <v>44985</v>
      </c>
      <c r="C2878" s="13">
        <f>IFERROR(__xludf.DUMMYFUNCTION("""COMPUTED_VALUE"""),0.875)</f>
        <v>0.875</v>
      </c>
      <c r="D2878" s="8">
        <f>IFERROR(__xludf.DUMMYFUNCTION("""COMPUTED_VALUE"""),0.083)</f>
        <v>0.083</v>
      </c>
      <c r="E2878" s="8" t="str">
        <f>IFERROR(__xludf.DUMMYFUNCTION("""COMPUTED_VALUE"""),"Real")</f>
        <v>Real</v>
      </c>
      <c r="G2878" s="8">
        <f t="shared" si="1"/>
        <v>2</v>
      </c>
      <c r="H2878" s="14">
        <f t="shared" si="2"/>
        <v>28</v>
      </c>
      <c r="I2878" s="15">
        <f t="shared" si="3"/>
        <v>21</v>
      </c>
    </row>
    <row r="2879">
      <c r="A2879" s="8" t="str">
        <f>IFERROR(__xludf.DUMMYFUNCTION("IF('(INGESTA)Datos_consumo_datadis'!A2879&lt;&gt;"""",SPLIT('(INGESTA)Datos_consumo_datadis'!A:A,"",""),"""")"),"ES0031408323131005HX0F")</f>
        <v>ES0031408323131005HX0F</v>
      </c>
      <c r="B2879" s="12">
        <f>IFERROR(__xludf.DUMMYFUNCTION("""COMPUTED_VALUE"""),44985.0)</f>
        <v>44985</v>
      </c>
      <c r="C2879" s="13">
        <f>IFERROR(__xludf.DUMMYFUNCTION("""COMPUTED_VALUE"""),0.9166666666666666)</f>
        <v>0.9166666667</v>
      </c>
      <c r="D2879" s="8">
        <f>IFERROR(__xludf.DUMMYFUNCTION("""COMPUTED_VALUE"""),0.041)</f>
        <v>0.041</v>
      </c>
      <c r="E2879" s="8" t="str">
        <f>IFERROR(__xludf.DUMMYFUNCTION("""COMPUTED_VALUE"""),"Real")</f>
        <v>Real</v>
      </c>
      <c r="G2879" s="8">
        <f t="shared" si="1"/>
        <v>2</v>
      </c>
      <c r="H2879" s="14">
        <f t="shared" si="2"/>
        <v>28</v>
      </c>
      <c r="I2879" s="15">
        <f t="shared" si="3"/>
        <v>22</v>
      </c>
    </row>
    <row r="2880">
      <c r="A2880" s="8" t="str">
        <f>IFERROR(__xludf.DUMMYFUNCTION("IF('(INGESTA)Datos_consumo_datadis'!A2880&lt;&gt;"""",SPLIT('(INGESTA)Datos_consumo_datadis'!A:A,"",""),"""")"),"ES0031408323131005HX0F")</f>
        <v>ES0031408323131005HX0F</v>
      </c>
      <c r="B2880" s="12">
        <f>IFERROR(__xludf.DUMMYFUNCTION("""COMPUTED_VALUE"""),44985.0)</f>
        <v>44985</v>
      </c>
      <c r="C2880" s="13">
        <f>IFERROR(__xludf.DUMMYFUNCTION("""COMPUTED_VALUE"""),0.9583333333333334)</f>
        <v>0.9583333333</v>
      </c>
      <c r="D2880" s="8">
        <f>IFERROR(__xludf.DUMMYFUNCTION("""COMPUTED_VALUE"""),2.328)</f>
        <v>2.328</v>
      </c>
      <c r="E2880" s="8" t="str">
        <f>IFERROR(__xludf.DUMMYFUNCTION("""COMPUTED_VALUE"""),"Real")</f>
        <v>Real</v>
      </c>
      <c r="G2880" s="8">
        <f t="shared" si="1"/>
        <v>2</v>
      </c>
      <c r="H2880" s="14">
        <f t="shared" si="2"/>
        <v>28</v>
      </c>
      <c r="I2880" s="15">
        <f t="shared" si="3"/>
        <v>23</v>
      </c>
    </row>
    <row r="2881">
      <c r="A2881" s="8" t="str">
        <f>IFERROR(__xludf.DUMMYFUNCTION("IF('(INGESTA)Datos_consumo_datadis'!A2881&lt;&gt;"""",SPLIT('(INGESTA)Datos_consumo_datadis'!A:A,"",""),"""")"),"ES0031408323131005HX0F")</f>
        <v>ES0031408323131005HX0F</v>
      </c>
      <c r="B2881" s="12">
        <f>IFERROR(__xludf.DUMMYFUNCTION("""COMPUTED_VALUE"""),44985.0)</f>
        <v>44985</v>
      </c>
      <c r="C2881" s="16">
        <f>IFERROR(__xludf.DUMMYFUNCTION("""COMPUTED_VALUE"""),1.0)</f>
        <v>1</v>
      </c>
      <c r="D2881" s="8">
        <f>IFERROR(__xludf.DUMMYFUNCTION("""COMPUTED_VALUE"""),1.798)</f>
        <v>1.798</v>
      </c>
      <c r="E2881" s="8" t="str">
        <f>IFERROR(__xludf.DUMMYFUNCTION("""COMPUTED_VALUE"""),"Real")</f>
        <v>Real</v>
      </c>
      <c r="G2881" s="8">
        <f t="shared" si="1"/>
        <v>2</v>
      </c>
      <c r="H2881" s="14">
        <f t="shared" si="2"/>
        <v>28</v>
      </c>
      <c r="I2881" s="15">
        <f t="shared" si="3"/>
        <v>0</v>
      </c>
    </row>
    <row r="2882">
      <c r="A2882" s="8" t="str">
        <f>IFERROR(__xludf.DUMMYFUNCTION("IF('(INGESTA)Datos_consumo_datadis'!A2882&lt;&gt;"""",SPLIT('(INGESTA)Datos_consumo_datadis'!A:A,"",""),"""")"),"ES0031408323131005HX0F")</f>
        <v>ES0031408323131005HX0F</v>
      </c>
      <c r="B2882" s="12">
        <f>IFERROR(__xludf.DUMMYFUNCTION("""COMPUTED_VALUE"""),44986.0)</f>
        <v>44986</v>
      </c>
      <c r="C2882" s="13">
        <f>IFERROR(__xludf.DUMMYFUNCTION("""COMPUTED_VALUE"""),0.041666666666666664)</f>
        <v>0.04166666667</v>
      </c>
      <c r="D2882" s="8">
        <f>IFERROR(__xludf.DUMMYFUNCTION("""COMPUTED_VALUE"""),1.46)</f>
        <v>1.46</v>
      </c>
      <c r="E2882" s="8" t="str">
        <f>IFERROR(__xludf.DUMMYFUNCTION("""COMPUTED_VALUE"""),"Real")</f>
        <v>Real</v>
      </c>
      <c r="G2882" s="8">
        <f t="shared" si="1"/>
        <v>3</v>
      </c>
      <c r="H2882" s="14">
        <f t="shared" si="2"/>
        <v>1</v>
      </c>
      <c r="I2882" s="15">
        <f t="shared" si="3"/>
        <v>1</v>
      </c>
    </row>
    <row r="2883">
      <c r="A2883" s="8" t="str">
        <f>IFERROR(__xludf.DUMMYFUNCTION("IF('(INGESTA)Datos_consumo_datadis'!A2883&lt;&gt;"""",SPLIT('(INGESTA)Datos_consumo_datadis'!A:A,"",""),"""")"),"ES0031408323131005HX0F")</f>
        <v>ES0031408323131005HX0F</v>
      </c>
      <c r="B2883" s="12">
        <f>IFERROR(__xludf.DUMMYFUNCTION("""COMPUTED_VALUE"""),44986.0)</f>
        <v>44986</v>
      </c>
      <c r="C2883" s="13">
        <f>IFERROR(__xludf.DUMMYFUNCTION("""COMPUTED_VALUE"""),0.08333333333333333)</f>
        <v>0.08333333333</v>
      </c>
      <c r="D2883" s="8">
        <f>IFERROR(__xludf.DUMMYFUNCTION("""COMPUTED_VALUE"""),1.501)</f>
        <v>1.501</v>
      </c>
      <c r="E2883" s="8" t="str">
        <f>IFERROR(__xludf.DUMMYFUNCTION("""COMPUTED_VALUE"""),"Real")</f>
        <v>Real</v>
      </c>
      <c r="G2883" s="8">
        <f t="shared" si="1"/>
        <v>3</v>
      </c>
      <c r="H2883" s="14">
        <f t="shared" si="2"/>
        <v>1</v>
      </c>
      <c r="I2883" s="15">
        <f t="shared" si="3"/>
        <v>2</v>
      </c>
    </row>
    <row r="2884">
      <c r="A2884" s="8" t="str">
        <f>IFERROR(__xludf.DUMMYFUNCTION("IF('(INGESTA)Datos_consumo_datadis'!A2884&lt;&gt;"""",SPLIT('(INGESTA)Datos_consumo_datadis'!A:A,"",""),"""")"),"ES0031408323131005HX0F")</f>
        <v>ES0031408323131005HX0F</v>
      </c>
      <c r="B2884" s="12">
        <f>IFERROR(__xludf.DUMMYFUNCTION("""COMPUTED_VALUE"""),44986.0)</f>
        <v>44986</v>
      </c>
      <c r="C2884" s="13">
        <f>IFERROR(__xludf.DUMMYFUNCTION("""COMPUTED_VALUE"""),0.125)</f>
        <v>0.125</v>
      </c>
      <c r="D2884" s="8">
        <f>IFERROR(__xludf.DUMMYFUNCTION("""COMPUTED_VALUE"""),1.603)</f>
        <v>1.603</v>
      </c>
      <c r="E2884" s="8" t="str">
        <f>IFERROR(__xludf.DUMMYFUNCTION("""COMPUTED_VALUE"""),"Real")</f>
        <v>Real</v>
      </c>
      <c r="G2884" s="8">
        <f t="shared" si="1"/>
        <v>3</v>
      </c>
      <c r="H2884" s="14">
        <f t="shared" si="2"/>
        <v>1</v>
      </c>
      <c r="I2884" s="15">
        <f t="shared" si="3"/>
        <v>3</v>
      </c>
    </row>
    <row r="2885">
      <c r="A2885" s="8" t="str">
        <f>IFERROR(__xludf.DUMMYFUNCTION("IF('(INGESTA)Datos_consumo_datadis'!A2885&lt;&gt;"""",SPLIT('(INGESTA)Datos_consumo_datadis'!A:A,"",""),"""")"),"ES0031408323131005HX0F")</f>
        <v>ES0031408323131005HX0F</v>
      </c>
      <c r="B2885" s="12">
        <f>IFERROR(__xludf.DUMMYFUNCTION("""COMPUTED_VALUE"""),44986.0)</f>
        <v>44986</v>
      </c>
      <c r="C2885" s="13">
        <f>IFERROR(__xludf.DUMMYFUNCTION("""COMPUTED_VALUE"""),0.16666666666666666)</f>
        <v>0.1666666667</v>
      </c>
      <c r="D2885" s="8">
        <f>IFERROR(__xludf.DUMMYFUNCTION("""COMPUTED_VALUE"""),1.725)</f>
        <v>1.725</v>
      </c>
      <c r="E2885" s="8" t="str">
        <f>IFERROR(__xludf.DUMMYFUNCTION("""COMPUTED_VALUE"""),"Real")</f>
        <v>Real</v>
      </c>
      <c r="G2885" s="8">
        <f t="shared" si="1"/>
        <v>3</v>
      </c>
      <c r="H2885" s="14">
        <f t="shared" si="2"/>
        <v>1</v>
      </c>
      <c r="I2885" s="15">
        <f t="shared" si="3"/>
        <v>4</v>
      </c>
    </row>
    <row r="2886">
      <c r="A2886" s="8" t="str">
        <f>IFERROR(__xludf.DUMMYFUNCTION("IF('(INGESTA)Datos_consumo_datadis'!A2886&lt;&gt;"""",SPLIT('(INGESTA)Datos_consumo_datadis'!A:A,"",""),"""")"),"ES0031408323131005HX0F")</f>
        <v>ES0031408323131005HX0F</v>
      </c>
      <c r="B2886" s="12">
        <f>IFERROR(__xludf.DUMMYFUNCTION("""COMPUTED_VALUE"""),44986.0)</f>
        <v>44986</v>
      </c>
      <c r="C2886" s="13">
        <f>IFERROR(__xludf.DUMMYFUNCTION("""COMPUTED_VALUE"""),0.20833333333333334)</f>
        <v>0.2083333333</v>
      </c>
      <c r="D2886" s="8">
        <f>IFERROR(__xludf.DUMMYFUNCTION("""COMPUTED_VALUE"""),1.46)</f>
        <v>1.46</v>
      </c>
      <c r="E2886" s="8" t="str">
        <f>IFERROR(__xludf.DUMMYFUNCTION("""COMPUTED_VALUE"""),"Real")</f>
        <v>Real</v>
      </c>
      <c r="G2886" s="8">
        <f t="shared" si="1"/>
        <v>3</v>
      </c>
      <c r="H2886" s="14">
        <f t="shared" si="2"/>
        <v>1</v>
      </c>
      <c r="I2886" s="15">
        <f t="shared" si="3"/>
        <v>5</v>
      </c>
    </row>
    <row r="2887">
      <c r="A2887" s="8" t="str">
        <f>IFERROR(__xludf.DUMMYFUNCTION("IF('(INGESTA)Datos_consumo_datadis'!A2887&lt;&gt;"""",SPLIT('(INGESTA)Datos_consumo_datadis'!A:A,"",""),"""")"),"ES0031408323131005HX0F")</f>
        <v>ES0031408323131005HX0F</v>
      </c>
      <c r="B2887" s="12">
        <f>IFERROR(__xludf.DUMMYFUNCTION("""COMPUTED_VALUE"""),44986.0)</f>
        <v>44986</v>
      </c>
      <c r="C2887" s="13">
        <f>IFERROR(__xludf.DUMMYFUNCTION("""COMPUTED_VALUE"""),0.25)</f>
        <v>0.25</v>
      </c>
      <c r="D2887" s="8">
        <f>IFERROR(__xludf.DUMMYFUNCTION("""COMPUTED_VALUE"""),1.501)</f>
        <v>1.501</v>
      </c>
      <c r="E2887" s="8" t="str">
        <f>IFERROR(__xludf.DUMMYFUNCTION("""COMPUTED_VALUE"""),"Real")</f>
        <v>Real</v>
      </c>
      <c r="G2887" s="8">
        <f t="shared" si="1"/>
        <v>3</v>
      </c>
      <c r="H2887" s="14">
        <f t="shared" si="2"/>
        <v>1</v>
      </c>
      <c r="I2887" s="15">
        <f t="shared" si="3"/>
        <v>6</v>
      </c>
    </row>
    <row r="2888">
      <c r="A2888" s="8" t="str">
        <f>IFERROR(__xludf.DUMMYFUNCTION("IF('(INGESTA)Datos_consumo_datadis'!A2888&lt;&gt;"""",SPLIT('(INGESTA)Datos_consumo_datadis'!A:A,"",""),"""")"),"ES0031408323131005HX0F")</f>
        <v>ES0031408323131005HX0F</v>
      </c>
      <c r="B2888" s="12">
        <f>IFERROR(__xludf.DUMMYFUNCTION("""COMPUTED_VALUE"""),44986.0)</f>
        <v>44986</v>
      </c>
      <c r="C2888" s="13">
        <f>IFERROR(__xludf.DUMMYFUNCTION("""COMPUTED_VALUE"""),0.2916666666666667)</f>
        <v>0.2916666667</v>
      </c>
      <c r="D2888" s="8">
        <f>IFERROR(__xludf.DUMMYFUNCTION("""COMPUTED_VALUE"""),1.574)</f>
        <v>1.574</v>
      </c>
      <c r="E2888" s="8" t="str">
        <f>IFERROR(__xludf.DUMMYFUNCTION("""COMPUTED_VALUE"""),"Real")</f>
        <v>Real</v>
      </c>
      <c r="G2888" s="8">
        <f t="shared" si="1"/>
        <v>3</v>
      </c>
      <c r="H2888" s="14">
        <f t="shared" si="2"/>
        <v>1</v>
      </c>
      <c r="I2888" s="15">
        <f t="shared" si="3"/>
        <v>7</v>
      </c>
    </row>
    <row r="2889">
      <c r="A2889" s="8" t="str">
        <f>IFERROR(__xludf.DUMMYFUNCTION("IF('(INGESTA)Datos_consumo_datadis'!A2889&lt;&gt;"""",SPLIT('(INGESTA)Datos_consumo_datadis'!A:A,"",""),"""")"),"ES0031408323131005HX0F")</f>
        <v>ES0031408323131005HX0F</v>
      </c>
      <c r="B2889" s="12">
        <f>IFERROR(__xludf.DUMMYFUNCTION("""COMPUTED_VALUE"""),44986.0)</f>
        <v>44986</v>
      </c>
      <c r="C2889" s="13">
        <f>IFERROR(__xludf.DUMMYFUNCTION("""COMPUTED_VALUE"""),0.3333333333333333)</f>
        <v>0.3333333333</v>
      </c>
      <c r="D2889" s="8">
        <f>IFERROR(__xludf.DUMMYFUNCTION("""COMPUTED_VALUE"""),1.894)</f>
        <v>1.894</v>
      </c>
      <c r="E2889" s="8" t="str">
        <f>IFERROR(__xludf.DUMMYFUNCTION("""COMPUTED_VALUE"""),"Real")</f>
        <v>Real</v>
      </c>
      <c r="G2889" s="8">
        <f t="shared" si="1"/>
        <v>3</v>
      </c>
      <c r="H2889" s="14">
        <f t="shared" si="2"/>
        <v>1</v>
      </c>
      <c r="I2889" s="15">
        <f t="shared" si="3"/>
        <v>8</v>
      </c>
    </row>
    <row r="2890">
      <c r="A2890" s="8" t="str">
        <f>IFERROR(__xludf.DUMMYFUNCTION("IF('(INGESTA)Datos_consumo_datadis'!A2890&lt;&gt;"""",SPLIT('(INGESTA)Datos_consumo_datadis'!A:A,"",""),"""")"),"ES0031408323131005HX0F")</f>
        <v>ES0031408323131005HX0F</v>
      </c>
      <c r="B2890" s="12">
        <f>IFERROR(__xludf.DUMMYFUNCTION("""COMPUTED_VALUE"""),44986.0)</f>
        <v>44986</v>
      </c>
      <c r="C2890" s="13">
        <f>IFERROR(__xludf.DUMMYFUNCTION("""COMPUTED_VALUE"""),0.375)</f>
        <v>0.375</v>
      </c>
      <c r="D2890" s="8">
        <f>IFERROR(__xludf.DUMMYFUNCTION("""COMPUTED_VALUE"""),1.383)</f>
        <v>1.383</v>
      </c>
      <c r="E2890" s="8" t="str">
        <f>IFERROR(__xludf.DUMMYFUNCTION("""COMPUTED_VALUE"""),"Real")</f>
        <v>Real</v>
      </c>
      <c r="G2890" s="8">
        <f t="shared" si="1"/>
        <v>3</v>
      </c>
      <c r="H2890" s="14">
        <f t="shared" si="2"/>
        <v>1</v>
      </c>
      <c r="I2890" s="15">
        <f t="shared" si="3"/>
        <v>9</v>
      </c>
    </row>
    <row r="2891">
      <c r="A2891" s="8" t="str">
        <f>IFERROR(__xludf.DUMMYFUNCTION("IF('(INGESTA)Datos_consumo_datadis'!A2891&lt;&gt;"""",SPLIT('(INGESTA)Datos_consumo_datadis'!A:A,"",""),"""")"),"ES0031408323131005HX0F")</f>
        <v>ES0031408323131005HX0F</v>
      </c>
      <c r="B2891" s="12">
        <f>IFERROR(__xludf.DUMMYFUNCTION("""COMPUTED_VALUE"""),44986.0)</f>
        <v>44986</v>
      </c>
      <c r="C2891" s="13">
        <f>IFERROR(__xludf.DUMMYFUNCTION("""COMPUTED_VALUE"""),0.4166666666666667)</f>
        <v>0.4166666667</v>
      </c>
      <c r="D2891" s="8">
        <f>IFERROR(__xludf.DUMMYFUNCTION("""COMPUTED_VALUE"""),1.64)</f>
        <v>1.64</v>
      </c>
      <c r="E2891" s="8" t="str">
        <f>IFERROR(__xludf.DUMMYFUNCTION("""COMPUTED_VALUE"""),"Real")</f>
        <v>Real</v>
      </c>
      <c r="G2891" s="8">
        <f t="shared" si="1"/>
        <v>3</v>
      </c>
      <c r="H2891" s="14">
        <f t="shared" si="2"/>
        <v>1</v>
      </c>
      <c r="I2891" s="15">
        <f t="shared" si="3"/>
        <v>10</v>
      </c>
    </row>
    <row r="2892">
      <c r="A2892" s="8" t="str">
        <f>IFERROR(__xludf.DUMMYFUNCTION("IF('(INGESTA)Datos_consumo_datadis'!A2892&lt;&gt;"""",SPLIT('(INGESTA)Datos_consumo_datadis'!A:A,"",""),"""")"),"ES0031408323131005HX0F")</f>
        <v>ES0031408323131005HX0F</v>
      </c>
      <c r="B2892" s="12">
        <f>IFERROR(__xludf.DUMMYFUNCTION("""COMPUTED_VALUE"""),44986.0)</f>
        <v>44986</v>
      </c>
      <c r="C2892" s="13">
        <f>IFERROR(__xludf.DUMMYFUNCTION("""COMPUTED_VALUE"""),0.4583333333333333)</f>
        <v>0.4583333333</v>
      </c>
      <c r="D2892" s="8">
        <f>IFERROR(__xludf.DUMMYFUNCTION("""COMPUTED_VALUE"""),0.966)</f>
        <v>0.966</v>
      </c>
      <c r="E2892" s="8" t="str">
        <f>IFERROR(__xludf.DUMMYFUNCTION("""COMPUTED_VALUE"""),"Real")</f>
        <v>Real</v>
      </c>
      <c r="G2892" s="8">
        <f t="shared" si="1"/>
        <v>3</v>
      </c>
      <c r="H2892" s="14">
        <f t="shared" si="2"/>
        <v>1</v>
      </c>
      <c r="I2892" s="15">
        <f t="shared" si="3"/>
        <v>11</v>
      </c>
    </row>
    <row r="2893">
      <c r="A2893" s="8" t="str">
        <f>IFERROR(__xludf.DUMMYFUNCTION("IF('(INGESTA)Datos_consumo_datadis'!A2893&lt;&gt;"""",SPLIT('(INGESTA)Datos_consumo_datadis'!A:A,"",""),"""")"),"ES0031408323131005HX0F")</f>
        <v>ES0031408323131005HX0F</v>
      </c>
      <c r="B2893" s="12">
        <f>IFERROR(__xludf.DUMMYFUNCTION("""COMPUTED_VALUE"""),44986.0)</f>
        <v>44986</v>
      </c>
      <c r="C2893" s="13">
        <f>IFERROR(__xludf.DUMMYFUNCTION("""COMPUTED_VALUE"""),0.5)</f>
        <v>0.5</v>
      </c>
      <c r="D2893" s="8">
        <f>IFERROR(__xludf.DUMMYFUNCTION("""COMPUTED_VALUE"""),0.781)</f>
        <v>0.781</v>
      </c>
      <c r="E2893" s="8" t="str">
        <f>IFERROR(__xludf.DUMMYFUNCTION("""COMPUTED_VALUE"""),"Real")</f>
        <v>Real</v>
      </c>
      <c r="G2893" s="8">
        <f t="shared" si="1"/>
        <v>3</v>
      </c>
      <c r="H2893" s="14">
        <f t="shared" si="2"/>
        <v>1</v>
      </c>
      <c r="I2893" s="15">
        <f t="shared" si="3"/>
        <v>12</v>
      </c>
    </row>
    <row r="2894">
      <c r="A2894" s="8" t="str">
        <f>IFERROR(__xludf.DUMMYFUNCTION("IF('(INGESTA)Datos_consumo_datadis'!A2894&lt;&gt;"""",SPLIT('(INGESTA)Datos_consumo_datadis'!A:A,"",""),"""")"),"ES0031408323131005HX0F")</f>
        <v>ES0031408323131005HX0F</v>
      </c>
      <c r="B2894" s="12">
        <f>IFERROR(__xludf.DUMMYFUNCTION("""COMPUTED_VALUE"""),44986.0)</f>
        <v>44986</v>
      </c>
      <c r="C2894" s="13">
        <f>IFERROR(__xludf.DUMMYFUNCTION("""COMPUTED_VALUE"""),0.5416666666666666)</f>
        <v>0.5416666667</v>
      </c>
      <c r="D2894" s="8">
        <f>IFERROR(__xludf.DUMMYFUNCTION("""COMPUTED_VALUE"""),1.93)</f>
        <v>1.93</v>
      </c>
      <c r="E2894" s="8" t="str">
        <f>IFERROR(__xludf.DUMMYFUNCTION("""COMPUTED_VALUE"""),"Real")</f>
        <v>Real</v>
      </c>
      <c r="G2894" s="8">
        <f t="shared" si="1"/>
        <v>3</v>
      </c>
      <c r="H2894" s="14">
        <f t="shared" si="2"/>
        <v>1</v>
      </c>
      <c r="I2894" s="15">
        <f t="shared" si="3"/>
        <v>13</v>
      </c>
    </row>
    <row r="2895">
      <c r="A2895" s="8" t="str">
        <f>IFERROR(__xludf.DUMMYFUNCTION("IF('(INGESTA)Datos_consumo_datadis'!A2895&lt;&gt;"""",SPLIT('(INGESTA)Datos_consumo_datadis'!A:A,"",""),"""")"),"ES0031408323131005HX0F")</f>
        <v>ES0031408323131005HX0F</v>
      </c>
      <c r="B2895" s="12">
        <f>IFERROR(__xludf.DUMMYFUNCTION("""COMPUTED_VALUE"""),44986.0)</f>
        <v>44986</v>
      </c>
      <c r="C2895" s="13">
        <f>IFERROR(__xludf.DUMMYFUNCTION("""COMPUTED_VALUE"""),0.5833333333333334)</f>
        <v>0.5833333333</v>
      </c>
      <c r="D2895" s="8">
        <f>IFERROR(__xludf.DUMMYFUNCTION("""COMPUTED_VALUE"""),2.597)</f>
        <v>2.597</v>
      </c>
      <c r="E2895" s="8" t="str">
        <f>IFERROR(__xludf.DUMMYFUNCTION("""COMPUTED_VALUE"""),"Real")</f>
        <v>Real</v>
      </c>
      <c r="G2895" s="8">
        <f t="shared" si="1"/>
        <v>3</v>
      </c>
      <c r="H2895" s="14">
        <f t="shared" si="2"/>
        <v>1</v>
      </c>
      <c r="I2895" s="15">
        <f t="shared" si="3"/>
        <v>14</v>
      </c>
    </row>
    <row r="2896">
      <c r="A2896" s="8" t="str">
        <f>IFERROR(__xludf.DUMMYFUNCTION("IF('(INGESTA)Datos_consumo_datadis'!A2896&lt;&gt;"""",SPLIT('(INGESTA)Datos_consumo_datadis'!A:A,"",""),"""")"),"ES0031408323131005HX0F")</f>
        <v>ES0031408323131005HX0F</v>
      </c>
      <c r="B2896" s="12">
        <f>IFERROR(__xludf.DUMMYFUNCTION("""COMPUTED_VALUE"""),44986.0)</f>
        <v>44986</v>
      </c>
      <c r="C2896" s="13">
        <f>IFERROR(__xludf.DUMMYFUNCTION("""COMPUTED_VALUE"""),0.625)</f>
        <v>0.625</v>
      </c>
      <c r="D2896" s="8">
        <f>IFERROR(__xludf.DUMMYFUNCTION("""COMPUTED_VALUE"""),0.561)</f>
        <v>0.561</v>
      </c>
      <c r="E2896" s="8" t="str">
        <f>IFERROR(__xludf.DUMMYFUNCTION("""COMPUTED_VALUE"""),"Real")</f>
        <v>Real</v>
      </c>
      <c r="G2896" s="8">
        <f t="shared" si="1"/>
        <v>3</v>
      </c>
      <c r="H2896" s="14">
        <f t="shared" si="2"/>
        <v>1</v>
      </c>
      <c r="I2896" s="15">
        <f t="shared" si="3"/>
        <v>15</v>
      </c>
    </row>
    <row r="2897">
      <c r="A2897" s="8" t="str">
        <f>IFERROR(__xludf.DUMMYFUNCTION("IF('(INGESTA)Datos_consumo_datadis'!A2897&lt;&gt;"""",SPLIT('(INGESTA)Datos_consumo_datadis'!A:A,"",""),"""")"),"ES0031408323131005HX0F")</f>
        <v>ES0031408323131005HX0F</v>
      </c>
      <c r="B2897" s="12">
        <f>IFERROR(__xludf.DUMMYFUNCTION("""COMPUTED_VALUE"""),44986.0)</f>
        <v>44986</v>
      </c>
      <c r="C2897" s="13">
        <f>IFERROR(__xludf.DUMMYFUNCTION("""COMPUTED_VALUE"""),0.6666666666666666)</f>
        <v>0.6666666667</v>
      </c>
      <c r="D2897" s="8">
        <f>IFERROR(__xludf.DUMMYFUNCTION("""COMPUTED_VALUE"""),0.038)</f>
        <v>0.038</v>
      </c>
      <c r="E2897" s="8" t="str">
        <f>IFERROR(__xludf.DUMMYFUNCTION("""COMPUTED_VALUE"""),"Real")</f>
        <v>Real</v>
      </c>
      <c r="G2897" s="8">
        <f t="shared" si="1"/>
        <v>3</v>
      </c>
      <c r="H2897" s="14">
        <f t="shared" si="2"/>
        <v>1</v>
      </c>
      <c r="I2897" s="15">
        <f t="shared" si="3"/>
        <v>16</v>
      </c>
    </row>
    <row r="2898">
      <c r="A2898" s="8" t="str">
        <f>IFERROR(__xludf.DUMMYFUNCTION("IF('(INGESTA)Datos_consumo_datadis'!A2898&lt;&gt;"""",SPLIT('(INGESTA)Datos_consumo_datadis'!A:A,"",""),"""")"),"ES0031408323131005HX0F")</f>
        <v>ES0031408323131005HX0F</v>
      </c>
      <c r="B2898" s="12">
        <f>IFERROR(__xludf.DUMMYFUNCTION("""COMPUTED_VALUE"""),44986.0)</f>
        <v>44986</v>
      </c>
      <c r="C2898" s="13">
        <f>IFERROR(__xludf.DUMMYFUNCTION("""COMPUTED_VALUE"""),0.7083333333333334)</f>
        <v>0.7083333333</v>
      </c>
      <c r="D2898" s="8">
        <f>IFERROR(__xludf.DUMMYFUNCTION("""COMPUTED_VALUE"""),0.077)</f>
        <v>0.077</v>
      </c>
      <c r="E2898" s="8" t="str">
        <f>IFERROR(__xludf.DUMMYFUNCTION("""COMPUTED_VALUE"""),"Real")</f>
        <v>Real</v>
      </c>
      <c r="G2898" s="8">
        <f t="shared" si="1"/>
        <v>3</v>
      </c>
      <c r="H2898" s="14">
        <f t="shared" si="2"/>
        <v>1</v>
      </c>
      <c r="I2898" s="15">
        <f t="shared" si="3"/>
        <v>17</v>
      </c>
    </row>
    <row r="2899">
      <c r="A2899" s="8" t="str">
        <f>IFERROR(__xludf.DUMMYFUNCTION("IF('(INGESTA)Datos_consumo_datadis'!A2899&lt;&gt;"""",SPLIT('(INGESTA)Datos_consumo_datadis'!A:A,"",""),"""")"),"ES0031408323131005HX0F")</f>
        <v>ES0031408323131005HX0F</v>
      </c>
      <c r="B2899" s="12">
        <f>IFERROR(__xludf.DUMMYFUNCTION("""COMPUTED_VALUE"""),44986.0)</f>
        <v>44986</v>
      </c>
      <c r="C2899" s="13">
        <f>IFERROR(__xludf.DUMMYFUNCTION("""COMPUTED_VALUE"""),0.75)</f>
        <v>0.75</v>
      </c>
      <c r="D2899" s="8">
        <f>IFERROR(__xludf.DUMMYFUNCTION("""COMPUTED_VALUE"""),0.043)</f>
        <v>0.043</v>
      </c>
      <c r="E2899" s="8" t="str">
        <f>IFERROR(__xludf.DUMMYFUNCTION("""COMPUTED_VALUE"""),"Real")</f>
        <v>Real</v>
      </c>
      <c r="G2899" s="8">
        <f t="shared" si="1"/>
        <v>3</v>
      </c>
      <c r="H2899" s="14">
        <f t="shared" si="2"/>
        <v>1</v>
      </c>
      <c r="I2899" s="15">
        <f t="shared" si="3"/>
        <v>18</v>
      </c>
    </row>
    <row r="2900">
      <c r="A2900" s="8" t="str">
        <f>IFERROR(__xludf.DUMMYFUNCTION("IF('(INGESTA)Datos_consumo_datadis'!A2900&lt;&gt;"""",SPLIT('(INGESTA)Datos_consumo_datadis'!A:A,"",""),"""")"),"ES0031408323131005HX0F")</f>
        <v>ES0031408323131005HX0F</v>
      </c>
      <c r="B2900" s="12">
        <f>IFERROR(__xludf.DUMMYFUNCTION("""COMPUTED_VALUE"""),44986.0)</f>
        <v>44986</v>
      </c>
      <c r="C2900" s="13">
        <f>IFERROR(__xludf.DUMMYFUNCTION("""COMPUTED_VALUE"""),0.7916666666666666)</f>
        <v>0.7916666667</v>
      </c>
      <c r="D2900" s="8">
        <f>IFERROR(__xludf.DUMMYFUNCTION("""COMPUTED_VALUE"""),0.017)</f>
        <v>0.017</v>
      </c>
      <c r="E2900" s="8" t="str">
        <f>IFERROR(__xludf.DUMMYFUNCTION("""COMPUTED_VALUE"""),"Real")</f>
        <v>Real</v>
      </c>
      <c r="G2900" s="8">
        <f t="shared" si="1"/>
        <v>3</v>
      </c>
      <c r="H2900" s="14">
        <f t="shared" si="2"/>
        <v>1</v>
      </c>
      <c r="I2900" s="15">
        <f t="shared" si="3"/>
        <v>19</v>
      </c>
    </row>
    <row r="2901">
      <c r="A2901" s="8" t="str">
        <f>IFERROR(__xludf.DUMMYFUNCTION("IF('(INGESTA)Datos_consumo_datadis'!A2901&lt;&gt;"""",SPLIT('(INGESTA)Datos_consumo_datadis'!A:A,"",""),"""")"),"ES0031408323131005HX0F")</f>
        <v>ES0031408323131005HX0F</v>
      </c>
      <c r="B2901" s="12">
        <f>IFERROR(__xludf.DUMMYFUNCTION("""COMPUTED_VALUE"""),44986.0)</f>
        <v>44986</v>
      </c>
      <c r="C2901" s="13">
        <f>IFERROR(__xludf.DUMMYFUNCTION("""COMPUTED_VALUE"""),0.8333333333333334)</f>
        <v>0.8333333333</v>
      </c>
      <c r="D2901" s="8">
        <f>IFERROR(__xludf.DUMMYFUNCTION("""COMPUTED_VALUE"""),0.324)</f>
        <v>0.324</v>
      </c>
      <c r="E2901" s="8" t="str">
        <f>IFERROR(__xludf.DUMMYFUNCTION("""COMPUTED_VALUE"""),"Real")</f>
        <v>Real</v>
      </c>
      <c r="G2901" s="8">
        <f t="shared" si="1"/>
        <v>3</v>
      </c>
      <c r="H2901" s="14">
        <f t="shared" si="2"/>
        <v>1</v>
      </c>
      <c r="I2901" s="15">
        <f t="shared" si="3"/>
        <v>20</v>
      </c>
    </row>
    <row r="2902">
      <c r="A2902" s="8" t="str">
        <f>IFERROR(__xludf.DUMMYFUNCTION("IF('(INGESTA)Datos_consumo_datadis'!A2902&lt;&gt;"""",SPLIT('(INGESTA)Datos_consumo_datadis'!A:A,"",""),"""")"),"ES0031408323131005HX0F")</f>
        <v>ES0031408323131005HX0F</v>
      </c>
      <c r="B2902" s="12">
        <f>IFERROR(__xludf.DUMMYFUNCTION("""COMPUTED_VALUE"""),44986.0)</f>
        <v>44986</v>
      </c>
      <c r="C2902" s="13">
        <f>IFERROR(__xludf.DUMMYFUNCTION("""COMPUTED_VALUE"""),0.875)</f>
        <v>0.875</v>
      </c>
      <c r="D2902" s="8">
        <f>IFERROR(__xludf.DUMMYFUNCTION("""COMPUTED_VALUE"""),0.049)</f>
        <v>0.049</v>
      </c>
      <c r="E2902" s="8" t="str">
        <f>IFERROR(__xludf.DUMMYFUNCTION("""COMPUTED_VALUE"""),"Real")</f>
        <v>Real</v>
      </c>
      <c r="G2902" s="8">
        <f t="shared" si="1"/>
        <v>3</v>
      </c>
      <c r="H2902" s="14">
        <f t="shared" si="2"/>
        <v>1</v>
      </c>
      <c r="I2902" s="15">
        <f t="shared" si="3"/>
        <v>21</v>
      </c>
    </row>
    <row r="2903">
      <c r="A2903" s="8" t="str">
        <f>IFERROR(__xludf.DUMMYFUNCTION("IF('(INGESTA)Datos_consumo_datadis'!A2903&lt;&gt;"""",SPLIT('(INGESTA)Datos_consumo_datadis'!A:A,"",""),"""")"),"ES0031408323131005HX0F")</f>
        <v>ES0031408323131005HX0F</v>
      </c>
      <c r="B2903" s="12">
        <f>IFERROR(__xludf.DUMMYFUNCTION("""COMPUTED_VALUE"""),44986.0)</f>
        <v>44986</v>
      </c>
      <c r="C2903" s="13">
        <f>IFERROR(__xludf.DUMMYFUNCTION("""COMPUTED_VALUE"""),0.9166666666666666)</f>
        <v>0.9166666667</v>
      </c>
      <c r="D2903" s="8">
        <f>IFERROR(__xludf.DUMMYFUNCTION("""COMPUTED_VALUE"""),0.024)</f>
        <v>0.024</v>
      </c>
      <c r="E2903" s="8" t="str">
        <f>IFERROR(__xludf.DUMMYFUNCTION("""COMPUTED_VALUE"""),"Real")</f>
        <v>Real</v>
      </c>
      <c r="G2903" s="8">
        <f t="shared" si="1"/>
        <v>3</v>
      </c>
      <c r="H2903" s="14">
        <f t="shared" si="2"/>
        <v>1</v>
      </c>
      <c r="I2903" s="15">
        <f t="shared" si="3"/>
        <v>22</v>
      </c>
    </row>
    <row r="2904">
      <c r="A2904" s="8" t="str">
        <f>IFERROR(__xludf.DUMMYFUNCTION("IF('(INGESTA)Datos_consumo_datadis'!A2904&lt;&gt;"""",SPLIT('(INGESTA)Datos_consumo_datadis'!A:A,"",""),"""")"),"ES0031408323131005HX0F")</f>
        <v>ES0031408323131005HX0F</v>
      </c>
      <c r="B2904" s="12">
        <f>IFERROR(__xludf.DUMMYFUNCTION("""COMPUTED_VALUE"""),44986.0)</f>
        <v>44986</v>
      </c>
      <c r="C2904" s="13">
        <f>IFERROR(__xludf.DUMMYFUNCTION("""COMPUTED_VALUE"""),0.9583333333333334)</f>
        <v>0.9583333333</v>
      </c>
      <c r="D2904" s="8">
        <f>IFERROR(__xludf.DUMMYFUNCTION("""COMPUTED_VALUE"""),1.502)</f>
        <v>1.502</v>
      </c>
      <c r="E2904" s="8" t="str">
        <f>IFERROR(__xludf.DUMMYFUNCTION("""COMPUTED_VALUE"""),"Real")</f>
        <v>Real</v>
      </c>
      <c r="G2904" s="8">
        <f t="shared" si="1"/>
        <v>3</v>
      </c>
      <c r="H2904" s="14">
        <f t="shared" si="2"/>
        <v>1</v>
      </c>
      <c r="I2904" s="15">
        <f t="shared" si="3"/>
        <v>23</v>
      </c>
    </row>
    <row r="2905">
      <c r="A2905" s="8" t="str">
        <f>IFERROR(__xludf.DUMMYFUNCTION("IF('(INGESTA)Datos_consumo_datadis'!A2905&lt;&gt;"""",SPLIT('(INGESTA)Datos_consumo_datadis'!A:A,"",""),"""")"),"ES0031408323131005HX0F")</f>
        <v>ES0031408323131005HX0F</v>
      </c>
      <c r="B2905" s="12">
        <f>IFERROR(__xludf.DUMMYFUNCTION("""COMPUTED_VALUE"""),44986.0)</f>
        <v>44986</v>
      </c>
      <c r="C2905" s="16">
        <f>IFERROR(__xludf.DUMMYFUNCTION("""COMPUTED_VALUE"""),1.0)</f>
        <v>1</v>
      </c>
      <c r="D2905" s="8">
        <f>IFERROR(__xludf.DUMMYFUNCTION("""COMPUTED_VALUE"""),2.154)</f>
        <v>2.154</v>
      </c>
      <c r="E2905" s="8" t="str">
        <f>IFERROR(__xludf.DUMMYFUNCTION("""COMPUTED_VALUE"""),"Real")</f>
        <v>Real</v>
      </c>
      <c r="G2905" s="8">
        <f t="shared" si="1"/>
        <v>3</v>
      </c>
      <c r="H2905" s="14">
        <f t="shared" si="2"/>
        <v>1</v>
      </c>
      <c r="I2905" s="15">
        <f t="shared" si="3"/>
        <v>0</v>
      </c>
    </row>
    <row r="2906">
      <c r="A2906" s="8" t="str">
        <f>IFERROR(__xludf.DUMMYFUNCTION("IF('(INGESTA)Datos_consumo_datadis'!A2906&lt;&gt;"""",SPLIT('(INGESTA)Datos_consumo_datadis'!A:A,"",""),"""")"),"ES0031408323131005HX0F")</f>
        <v>ES0031408323131005HX0F</v>
      </c>
      <c r="B2906" s="12">
        <f>IFERROR(__xludf.DUMMYFUNCTION("""COMPUTED_VALUE"""),44987.0)</f>
        <v>44987</v>
      </c>
      <c r="C2906" s="13">
        <f>IFERROR(__xludf.DUMMYFUNCTION("""COMPUTED_VALUE"""),0.041666666666666664)</f>
        <v>0.04166666667</v>
      </c>
      <c r="D2906" s="8">
        <f>IFERROR(__xludf.DUMMYFUNCTION("""COMPUTED_VALUE"""),2.072)</f>
        <v>2.072</v>
      </c>
      <c r="E2906" s="8" t="str">
        <f>IFERROR(__xludf.DUMMYFUNCTION("""COMPUTED_VALUE"""),"Real")</f>
        <v>Real</v>
      </c>
      <c r="G2906" s="8">
        <f t="shared" si="1"/>
        <v>3</v>
      </c>
      <c r="H2906" s="14">
        <f t="shared" si="2"/>
        <v>2</v>
      </c>
      <c r="I2906" s="15">
        <f t="shared" si="3"/>
        <v>1</v>
      </c>
    </row>
    <row r="2907">
      <c r="A2907" s="8" t="str">
        <f>IFERROR(__xludf.DUMMYFUNCTION("IF('(INGESTA)Datos_consumo_datadis'!A2907&lt;&gt;"""",SPLIT('(INGESTA)Datos_consumo_datadis'!A:A,"",""),"""")"),"ES0031408323131005HX0F")</f>
        <v>ES0031408323131005HX0F</v>
      </c>
      <c r="B2907" s="12">
        <f>IFERROR(__xludf.DUMMYFUNCTION("""COMPUTED_VALUE"""),44987.0)</f>
        <v>44987</v>
      </c>
      <c r="C2907" s="13">
        <f>IFERROR(__xludf.DUMMYFUNCTION("""COMPUTED_VALUE"""),0.08333333333333333)</f>
        <v>0.08333333333</v>
      </c>
      <c r="D2907" s="8">
        <f>IFERROR(__xludf.DUMMYFUNCTION("""COMPUTED_VALUE"""),1.508)</f>
        <v>1.508</v>
      </c>
      <c r="E2907" s="8" t="str">
        <f>IFERROR(__xludf.DUMMYFUNCTION("""COMPUTED_VALUE"""),"Real")</f>
        <v>Real</v>
      </c>
      <c r="G2907" s="8">
        <f t="shared" si="1"/>
        <v>3</v>
      </c>
      <c r="H2907" s="14">
        <f t="shared" si="2"/>
        <v>2</v>
      </c>
      <c r="I2907" s="15">
        <f t="shared" si="3"/>
        <v>2</v>
      </c>
    </row>
    <row r="2908">
      <c r="A2908" s="8" t="str">
        <f>IFERROR(__xludf.DUMMYFUNCTION("IF('(INGESTA)Datos_consumo_datadis'!A2908&lt;&gt;"""",SPLIT('(INGESTA)Datos_consumo_datadis'!A:A,"",""),"""")"),"ES0031408323131005HX0F")</f>
        <v>ES0031408323131005HX0F</v>
      </c>
      <c r="B2908" s="12">
        <f>IFERROR(__xludf.DUMMYFUNCTION("""COMPUTED_VALUE"""),44987.0)</f>
        <v>44987</v>
      </c>
      <c r="C2908" s="13">
        <f>IFERROR(__xludf.DUMMYFUNCTION("""COMPUTED_VALUE"""),0.125)</f>
        <v>0.125</v>
      </c>
      <c r="D2908" s="8">
        <f>IFERROR(__xludf.DUMMYFUNCTION("""COMPUTED_VALUE"""),1.652)</f>
        <v>1.652</v>
      </c>
      <c r="E2908" s="8" t="str">
        <f>IFERROR(__xludf.DUMMYFUNCTION("""COMPUTED_VALUE"""),"Real")</f>
        <v>Real</v>
      </c>
      <c r="G2908" s="8">
        <f t="shared" si="1"/>
        <v>3</v>
      </c>
      <c r="H2908" s="14">
        <f t="shared" si="2"/>
        <v>2</v>
      </c>
      <c r="I2908" s="15">
        <f t="shared" si="3"/>
        <v>3</v>
      </c>
    </row>
    <row r="2909">
      <c r="A2909" s="8" t="str">
        <f>IFERROR(__xludf.DUMMYFUNCTION("IF('(INGESTA)Datos_consumo_datadis'!A2909&lt;&gt;"""",SPLIT('(INGESTA)Datos_consumo_datadis'!A:A,"",""),"""")"),"ES0031408323131005HX0F")</f>
        <v>ES0031408323131005HX0F</v>
      </c>
      <c r="B2909" s="12">
        <f>IFERROR(__xludf.DUMMYFUNCTION("""COMPUTED_VALUE"""),44987.0)</f>
        <v>44987</v>
      </c>
      <c r="C2909" s="13">
        <f>IFERROR(__xludf.DUMMYFUNCTION("""COMPUTED_VALUE"""),0.16666666666666666)</f>
        <v>0.1666666667</v>
      </c>
      <c r="D2909" s="8">
        <f>IFERROR(__xludf.DUMMYFUNCTION("""COMPUTED_VALUE"""),1.511)</f>
        <v>1.511</v>
      </c>
      <c r="E2909" s="8" t="str">
        <f>IFERROR(__xludf.DUMMYFUNCTION("""COMPUTED_VALUE"""),"Real")</f>
        <v>Real</v>
      </c>
      <c r="G2909" s="8">
        <f t="shared" si="1"/>
        <v>3</v>
      </c>
      <c r="H2909" s="14">
        <f t="shared" si="2"/>
        <v>2</v>
      </c>
      <c r="I2909" s="15">
        <f t="shared" si="3"/>
        <v>4</v>
      </c>
    </row>
    <row r="2910">
      <c r="A2910" s="8" t="str">
        <f>IFERROR(__xludf.DUMMYFUNCTION("IF('(INGESTA)Datos_consumo_datadis'!A2910&lt;&gt;"""",SPLIT('(INGESTA)Datos_consumo_datadis'!A:A,"",""),"""")"),"ES0031408323131005HX0F")</f>
        <v>ES0031408323131005HX0F</v>
      </c>
      <c r="B2910" s="12">
        <f>IFERROR(__xludf.DUMMYFUNCTION("""COMPUTED_VALUE"""),44987.0)</f>
        <v>44987</v>
      </c>
      <c r="C2910" s="13">
        <f>IFERROR(__xludf.DUMMYFUNCTION("""COMPUTED_VALUE"""),0.20833333333333334)</f>
        <v>0.2083333333</v>
      </c>
      <c r="D2910" s="8">
        <f>IFERROR(__xludf.DUMMYFUNCTION("""COMPUTED_VALUE"""),1.688)</f>
        <v>1.688</v>
      </c>
      <c r="E2910" s="8" t="str">
        <f>IFERROR(__xludf.DUMMYFUNCTION("""COMPUTED_VALUE"""),"Real")</f>
        <v>Real</v>
      </c>
      <c r="G2910" s="8">
        <f t="shared" si="1"/>
        <v>3</v>
      </c>
      <c r="H2910" s="14">
        <f t="shared" si="2"/>
        <v>2</v>
      </c>
      <c r="I2910" s="15">
        <f t="shared" si="3"/>
        <v>5</v>
      </c>
    </row>
    <row r="2911">
      <c r="A2911" s="8" t="str">
        <f>IFERROR(__xludf.DUMMYFUNCTION("IF('(INGESTA)Datos_consumo_datadis'!A2911&lt;&gt;"""",SPLIT('(INGESTA)Datos_consumo_datadis'!A:A,"",""),"""")"),"ES0031408323131005HX0F")</f>
        <v>ES0031408323131005HX0F</v>
      </c>
      <c r="B2911" s="12">
        <f>IFERROR(__xludf.DUMMYFUNCTION("""COMPUTED_VALUE"""),44987.0)</f>
        <v>44987</v>
      </c>
      <c r="C2911" s="13">
        <f>IFERROR(__xludf.DUMMYFUNCTION("""COMPUTED_VALUE"""),0.25)</f>
        <v>0.25</v>
      </c>
      <c r="D2911" s="8">
        <f>IFERROR(__xludf.DUMMYFUNCTION("""COMPUTED_VALUE"""),1.67)</f>
        <v>1.67</v>
      </c>
      <c r="E2911" s="8" t="str">
        <f>IFERROR(__xludf.DUMMYFUNCTION("""COMPUTED_VALUE"""),"Real")</f>
        <v>Real</v>
      </c>
      <c r="G2911" s="8">
        <f t="shared" si="1"/>
        <v>3</v>
      </c>
      <c r="H2911" s="14">
        <f t="shared" si="2"/>
        <v>2</v>
      </c>
      <c r="I2911" s="15">
        <f t="shared" si="3"/>
        <v>6</v>
      </c>
    </row>
    <row r="2912">
      <c r="A2912" s="8" t="str">
        <f>IFERROR(__xludf.DUMMYFUNCTION("IF('(INGESTA)Datos_consumo_datadis'!A2912&lt;&gt;"""",SPLIT('(INGESTA)Datos_consumo_datadis'!A:A,"",""),"""")"),"ES0031408323131005HX0F")</f>
        <v>ES0031408323131005HX0F</v>
      </c>
      <c r="B2912" s="12">
        <f>IFERROR(__xludf.DUMMYFUNCTION("""COMPUTED_VALUE"""),44987.0)</f>
        <v>44987</v>
      </c>
      <c r="C2912" s="13">
        <f>IFERROR(__xludf.DUMMYFUNCTION("""COMPUTED_VALUE"""),0.2916666666666667)</f>
        <v>0.2916666667</v>
      </c>
      <c r="D2912" s="8">
        <f>IFERROR(__xludf.DUMMYFUNCTION("""COMPUTED_VALUE"""),1.538)</f>
        <v>1.538</v>
      </c>
      <c r="E2912" s="8" t="str">
        <f>IFERROR(__xludf.DUMMYFUNCTION("""COMPUTED_VALUE"""),"Real")</f>
        <v>Real</v>
      </c>
      <c r="G2912" s="8">
        <f t="shared" si="1"/>
        <v>3</v>
      </c>
      <c r="H2912" s="14">
        <f t="shared" si="2"/>
        <v>2</v>
      </c>
      <c r="I2912" s="15">
        <f t="shared" si="3"/>
        <v>7</v>
      </c>
    </row>
    <row r="2913">
      <c r="A2913" s="8" t="str">
        <f>IFERROR(__xludf.DUMMYFUNCTION("IF('(INGESTA)Datos_consumo_datadis'!A2913&lt;&gt;"""",SPLIT('(INGESTA)Datos_consumo_datadis'!A:A,"",""),"""")"),"ES0031408323131005HX0F")</f>
        <v>ES0031408323131005HX0F</v>
      </c>
      <c r="B2913" s="12">
        <f>IFERROR(__xludf.DUMMYFUNCTION("""COMPUTED_VALUE"""),44987.0)</f>
        <v>44987</v>
      </c>
      <c r="C2913" s="13">
        <f>IFERROR(__xludf.DUMMYFUNCTION("""COMPUTED_VALUE"""),0.3333333333333333)</f>
        <v>0.3333333333</v>
      </c>
      <c r="D2913" s="8">
        <f>IFERROR(__xludf.DUMMYFUNCTION("""COMPUTED_VALUE"""),0.975)</f>
        <v>0.975</v>
      </c>
      <c r="E2913" s="8" t="str">
        <f>IFERROR(__xludf.DUMMYFUNCTION("""COMPUTED_VALUE"""),"Real")</f>
        <v>Real</v>
      </c>
      <c r="G2913" s="8">
        <f t="shared" si="1"/>
        <v>3</v>
      </c>
      <c r="H2913" s="14">
        <f t="shared" si="2"/>
        <v>2</v>
      </c>
      <c r="I2913" s="15">
        <f t="shared" si="3"/>
        <v>8</v>
      </c>
    </row>
    <row r="2914">
      <c r="A2914" s="8" t="str">
        <f>IFERROR(__xludf.DUMMYFUNCTION("IF('(INGESTA)Datos_consumo_datadis'!A2914&lt;&gt;"""",SPLIT('(INGESTA)Datos_consumo_datadis'!A:A,"",""),"""")"),"ES0031408323131005HX0F")</f>
        <v>ES0031408323131005HX0F</v>
      </c>
      <c r="B2914" s="12">
        <f>IFERROR(__xludf.DUMMYFUNCTION("""COMPUTED_VALUE"""),44987.0)</f>
        <v>44987</v>
      </c>
      <c r="C2914" s="13">
        <f>IFERROR(__xludf.DUMMYFUNCTION("""COMPUTED_VALUE"""),0.375)</f>
        <v>0.375</v>
      </c>
      <c r="D2914" s="8">
        <f>IFERROR(__xludf.DUMMYFUNCTION("""COMPUTED_VALUE"""),0.054)</f>
        <v>0.054</v>
      </c>
      <c r="E2914" s="8" t="str">
        <f>IFERROR(__xludf.DUMMYFUNCTION("""COMPUTED_VALUE"""),"Real")</f>
        <v>Real</v>
      </c>
      <c r="G2914" s="8">
        <f t="shared" si="1"/>
        <v>3</v>
      </c>
      <c r="H2914" s="14">
        <f t="shared" si="2"/>
        <v>2</v>
      </c>
      <c r="I2914" s="15">
        <f t="shared" si="3"/>
        <v>9</v>
      </c>
    </row>
    <row r="2915">
      <c r="A2915" s="8" t="str">
        <f>IFERROR(__xludf.DUMMYFUNCTION("IF('(INGESTA)Datos_consumo_datadis'!A2915&lt;&gt;"""",SPLIT('(INGESTA)Datos_consumo_datadis'!A:A,"",""),"""")"),"ES0031408323131005HX0F")</f>
        <v>ES0031408323131005HX0F</v>
      </c>
      <c r="B2915" s="12">
        <f>IFERROR(__xludf.DUMMYFUNCTION("""COMPUTED_VALUE"""),44987.0)</f>
        <v>44987</v>
      </c>
      <c r="C2915" s="13">
        <f>IFERROR(__xludf.DUMMYFUNCTION("""COMPUTED_VALUE"""),0.4166666666666667)</f>
        <v>0.4166666667</v>
      </c>
      <c r="D2915" s="8">
        <f>IFERROR(__xludf.DUMMYFUNCTION("""COMPUTED_VALUE"""),0.403)</f>
        <v>0.403</v>
      </c>
      <c r="E2915" s="8" t="str">
        <f>IFERROR(__xludf.DUMMYFUNCTION("""COMPUTED_VALUE"""),"Real")</f>
        <v>Real</v>
      </c>
      <c r="G2915" s="8">
        <f t="shared" si="1"/>
        <v>3</v>
      </c>
      <c r="H2915" s="14">
        <f t="shared" si="2"/>
        <v>2</v>
      </c>
      <c r="I2915" s="15">
        <f t="shared" si="3"/>
        <v>10</v>
      </c>
    </row>
    <row r="2916">
      <c r="A2916" s="8" t="str">
        <f>IFERROR(__xludf.DUMMYFUNCTION("IF('(INGESTA)Datos_consumo_datadis'!A2916&lt;&gt;"""",SPLIT('(INGESTA)Datos_consumo_datadis'!A:A,"",""),"""")"),"ES0031408323131005HX0F")</f>
        <v>ES0031408323131005HX0F</v>
      </c>
      <c r="B2916" s="12">
        <f>IFERROR(__xludf.DUMMYFUNCTION("""COMPUTED_VALUE"""),44987.0)</f>
        <v>44987</v>
      </c>
      <c r="C2916" s="13">
        <f>IFERROR(__xludf.DUMMYFUNCTION("""COMPUTED_VALUE"""),0.4583333333333333)</f>
        <v>0.4583333333</v>
      </c>
      <c r="D2916" s="8">
        <f>IFERROR(__xludf.DUMMYFUNCTION("""COMPUTED_VALUE"""),0.055)</f>
        <v>0.055</v>
      </c>
      <c r="E2916" s="8" t="str">
        <f>IFERROR(__xludf.DUMMYFUNCTION("""COMPUTED_VALUE"""),"Real")</f>
        <v>Real</v>
      </c>
      <c r="G2916" s="8">
        <f t="shared" si="1"/>
        <v>3</v>
      </c>
      <c r="H2916" s="14">
        <f t="shared" si="2"/>
        <v>2</v>
      </c>
      <c r="I2916" s="15">
        <f t="shared" si="3"/>
        <v>11</v>
      </c>
    </row>
    <row r="2917">
      <c r="A2917" s="8" t="str">
        <f>IFERROR(__xludf.DUMMYFUNCTION("IF('(INGESTA)Datos_consumo_datadis'!A2917&lt;&gt;"""",SPLIT('(INGESTA)Datos_consumo_datadis'!A:A,"",""),"""")"),"ES0031408323131005HX0F")</f>
        <v>ES0031408323131005HX0F</v>
      </c>
      <c r="B2917" s="12">
        <f>IFERROR(__xludf.DUMMYFUNCTION("""COMPUTED_VALUE"""),44987.0)</f>
        <v>44987</v>
      </c>
      <c r="C2917" s="13">
        <f>IFERROR(__xludf.DUMMYFUNCTION("""COMPUTED_VALUE"""),0.5)</f>
        <v>0.5</v>
      </c>
      <c r="D2917" s="8">
        <f>IFERROR(__xludf.DUMMYFUNCTION("""COMPUTED_VALUE"""),0.016)</f>
        <v>0.016</v>
      </c>
      <c r="E2917" s="8" t="str">
        <f>IFERROR(__xludf.DUMMYFUNCTION("""COMPUTED_VALUE"""),"Real")</f>
        <v>Real</v>
      </c>
      <c r="G2917" s="8">
        <f t="shared" si="1"/>
        <v>3</v>
      </c>
      <c r="H2917" s="14">
        <f t="shared" si="2"/>
        <v>2</v>
      </c>
      <c r="I2917" s="15">
        <f t="shared" si="3"/>
        <v>12</v>
      </c>
    </row>
    <row r="2918">
      <c r="A2918" s="8" t="str">
        <f>IFERROR(__xludf.DUMMYFUNCTION("IF('(INGESTA)Datos_consumo_datadis'!A2918&lt;&gt;"""",SPLIT('(INGESTA)Datos_consumo_datadis'!A:A,"",""),"""")"),"ES0031408323131005HX0F")</f>
        <v>ES0031408323131005HX0F</v>
      </c>
      <c r="B2918" s="12">
        <f>IFERROR(__xludf.DUMMYFUNCTION("""COMPUTED_VALUE"""),44987.0)</f>
        <v>44987</v>
      </c>
      <c r="C2918" s="13">
        <f>IFERROR(__xludf.DUMMYFUNCTION("""COMPUTED_VALUE"""),0.5416666666666666)</f>
        <v>0.5416666667</v>
      </c>
      <c r="D2918" s="8">
        <f>IFERROR(__xludf.DUMMYFUNCTION("""COMPUTED_VALUE"""),0.037)</f>
        <v>0.037</v>
      </c>
      <c r="E2918" s="8" t="str">
        <f>IFERROR(__xludf.DUMMYFUNCTION("""COMPUTED_VALUE"""),"Real")</f>
        <v>Real</v>
      </c>
      <c r="G2918" s="8">
        <f t="shared" si="1"/>
        <v>3</v>
      </c>
      <c r="H2918" s="14">
        <f t="shared" si="2"/>
        <v>2</v>
      </c>
      <c r="I2918" s="15">
        <f t="shared" si="3"/>
        <v>13</v>
      </c>
    </row>
    <row r="2919">
      <c r="A2919" s="8" t="str">
        <f>IFERROR(__xludf.DUMMYFUNCTION("IF('(INGESTA)Datos_consumo_datadis'!A2919&lt;&gt;"""",SPLIT('(INGESTA)Datos_consumo_datadis'!A:A,"",""),"""")"),"ES0031408323131005HX0F")</f>
        <v>ES0031408323131005HX0F</v>
      </c>
      <c r="B2919" s="12">
        <f>IFERROR(__xludf.DUMMYFUNCTION("""COMPUTED_VALUE"""),44987.0)</f>
        <v>44987</v>
      </c>
      <c r="C2919" s="13">
        <f>IFERROR(__xludf.DUMMYFUNCTION("""COMPUTED_VALUE"""),0.5833333333333334)</f>
        <v>0.5833333333</v>
      </c>
      <c r="D2919" s="8">
        <f>IFERROR(__xludf.DUMMYFUNCTION("""COMPUTED_VALUE"""),0.551)</f>
        <v>0.551</v>
      </c>
      <c r="E2919" s="8" t="str">
        <f>IFERROR(__xludf.DUMMYFUNCTION("""COMPUTED_VALUE"""),"Real")</f>
        <v>Real</v>
      </c>
      <c r="G2919" s="8">
        <f t="shared" si="1"/>
        <v>3</v>
      </c>
      <c r="H2919" s="14">
        <f t="shared" si="2"/>
        <v>2</v>
      </c>
      <c r="I2919" s="15">
        <f t="shared" si="3"/>
        <v>14</v>
      </c>
    </row>
    <row r="2920">
      <c r="A2920" s="8" t="str">
        <f>IFERROR(__xludf.DUMMYFUNCTION("IF('(INGESTA)Datos_consumo_datadis'!A2920&lt;&gt;"""",SPLIT('(INGESTA)Datos_consumo_datadis'!A:A,"",""),"""")"),"ES0031408323131005HX0F")</f>
        <v>ES0031408323131005HX0F</v>
      </c>
      <c r="B2920" s="12">
        <f>IFERROR(__xludf.DUMMYFUNCTION("""COMPUTED_VALUE"""),44987.0)</f>
        <v>44987</v>
      </c>
      <c r="C2920" s="13">
        <f>IFERROR(__xludf.DUMMYFUNCTION("""COMPUTED_VALUE"""),0.625)</f>
        <v>0.625</v>
      </c>
      <c r="D2920" s="8">
        <f>IFERROR(__xludf.DUMMYFUNCTION("""COMPUTED_VALUE"""),0.9)</f>
        <v>0.9</v>
      </c>
      <c r="E2920" s="8" t="str">
        <f>IFERROR(__xludf.DUMMYFUNCTION("""COMPUTED_VALUE"""),"Real")</f>
        <v>Real</v>
      </c>
      <c r="G2920" s="8">
        <f t="shared" si="1"/>
        <v>3</v>
      </c>
      <c r="H2920" s="14">
        <f t="shared" si="2"/>
        <v>2</v>
      </c>
      <c r="I2920" s="15">
        <f t="shared" si="3"/>
        <v>15</v>
      </c>
    </row>
    <row r="2921">
      <c r="A2921" s="8" t="str">
        <f>IFERROR(__xludf.DUMMYFUNCTION("IF('(INGESTA)Datos_consumo_datadis'!A2921&lt;&gt;"""",SPLIT('(INGESTA)Datos_consumo_datadis'!A:A,"",""),"""")"),"ES0031408323131005HX0F")</f>
        <v>ES0031408323131005HX0F</v>
      </c>
      <c r="B2921" s="12">
        <f>IFERROR(__xludf.DUMMYFUNCTION("""COMPUTED_VALUE"""),44987.0)</f>
        <v>44987</v>
      </c>
      <c r="C2921" s="13">
        <f>IFERROR(__xludf.DUMMYFUNCTION("""COMPUTED_VALUE"""),0.6666666666666666)</f>
        <v>0.6666666667</v>
      </c>
      <c r="D2921" s="8">
        <f>IFERROR(__xludf.DUMMYFUNCTION("""COMPUTED_VALUE"""),0.018)</f>
        <v>0.018</v>
      </c>
      <c r="E2921" s="8" t="str">
        <f>IFERROR(__xludf.DUMMYFUNCTION("""COMPUTED_VALUE"""),"Real")</f>
        <v>Real</v>
      </c>
      <c r="G2921" s="8">
        <f t="shared" si="1"/>
        <v>3</v>
      </c>
      <c r="H2921" s="14">
        <f t="shared" si="2"/>
        <v>2</v>
      </c>
      <c r="I2921" s="15">
        <f t="shared" si="3"/>
        <v>16</v>
      </c>
    </row>
    <row r="2922">
      <c r="A2922" s="8" t="str">
        <f>IFERROR(__xludf.DUMMYFUNCTION("IF('(INGESTA)Datos_consumo_datadis'!A2922&lt;&gt;"""",SPLIT('(INGESTA)Datos_consumo_datadis'!A:A,"",""),"""")"),"ES0031408323131005HX0F")</f>
        <v>ES0031408323131005HX0F</v>
      </c>
      <c r="B2922" s="12">
        <f>IFERROR(__xludf.DUMMYFUNCTION("""COMPUTED_VALUE"""),44987.0)</f>
        <v>44987</v>
      </c>
      <c r="C2922" s="13">
        <f>IFERROR(__xludf.DUMMYFUNCTION("""COMPUTED_VALUE"""),0.7083333333333334)</f>
        <v>0.7083333333</v>
      </c>
      <c r="D2922" s="8">
        <f>IFERROR(__xludf.DUMMYFUNCTION("""COMPUTED_VALUE"""),0.08)</f>
        <v>0.08</v>
      </c>
      <c r="E2922" s="8" t="str">
        <f>IFERROR(__xludf.DUMMYFUNCTION("""COMPUTED_VALUE"""),"Real")</f>
        <v>Real</v>
      </c>
      <c r="G2922" s="8">
        <f t="shared" si="1"/>
        <v>3</v>
      </c>
      <c r="H2922" s="14">
        <f t="shared" si="2"/>
        <v>2</v>
      </c>
      <c r="I2922" s="15">
        <f t="shared" si="3"/>
        <v>17</v>
      </c>
    </row>
    <row r="2923">
      <c r="A2923" s="8" t="str">
        <f>IFERROR(__xludf.DUMMYFUNCTION("IF('(INGESTA)Datos_consumo_datadis'!A2923&lt;&gt;"""",SPLIT('(INGESTA)Datos_consumo_datadis'!A:A,"",""),"""")"),"ES0031408323131005HX0F")</f>
        <v>ES0031408323131005HX0F</v>
      </c>
      <c r="B2923" s="12">
        <f>IFERROR(__xludf.DUMMYFUNCTION("""COMPUTED_VALUE"""),44987.0)</f>
        <v>44987</v>
      </c>
      <c r="C2923" s="13">
        <f>IFERROR(__xludf.DUMMYFUNCTION("""COMPUTED_VALUE"""),0.75)</f>
        <v>0.75</v>
      </c>
      <c r="D2923" s="8">
        <f>IFERROR(__xludf.DUMMYFUNCTION("""COMPUTED_VALUE"""),0.042)</f>
        <v>0.042</v>
      </c>
      <c r="E2923" s="8" t="str">
        <f>IFERROR(__xludf.DUMMYFUNCTION("""COMPUTED_VALUE"""),"Real")</f>
        <v>Real</v>
      </c>
      <c r="G2923" s="8">
        <f t="shared" si="1"/>
        <v>3</v>
      </c>
      <c r="H2923" s="14">
        <f t="shared" si="2"/>
        <v>2</v>
      </c>
      <c r="I2923" s="15">
        <f t="shared" si="3"/>
        <v>18</v>
      </c>
    </row>
    <row r="2924">
      <c r="A2924" s="8" t="str">
        <f>IFERROR(__xludf.DUMMYFUNCTION("IF('(INGESTA)Datos_consumo_datadis'!A2924&lt;&gt;"""",SPLIT('(INGESTA)Datos_consumo_datadis'!A:A,"",""),"""")"),"ES0031408323131005HX0F")</f>
        <v>ES0031408323131005HX0F</v>
      </c>
      <c r="B2924" s="12">
        <f>IFERROR(__xludf.DUMMYFUNCTION("""COMPUTED_VALUE"""),44987.0)</f>
        <v>44987</v>
      </c>
      <c r="C2924" s="13">
        <f>IFERROR(__xludf.DUMMYFUNCTION("""COMPUTED_VALUE"""),0.7916666666666666)</f>
        <v>0.7916666667</v>
      </c>
      <c r="D2924" s="8">
        <f>IFERROR(__xludf.DUMMYFUNCTION("""COMPUTED_VALUE"""),0.287)</f>
        <v>0.287</v>
      </c>
      <c r="E2924" s="8" t="str">
        <f>IFERROR(__xludf.DUMMYFUNCTION("""COMPUTED_VALUE"""),"Real")</f>
        <v>Real</v>
      </c>
      <c r="G2924" s="8">
        <f t="shared" si="1"/>
        <v>3</v>
      </c>
      <c r="H2924" s="14">
        <f t="shared" si="2"/>
        <v>2</v>
      </c>
      <c r="I2924" s="15">
        <f t="shared" si="3"/>
        <v>19</v>
      </c>
    </row>
    <row r="2925">
      <c r="A2925" s="8" t="str">
        <f>IFERROR(__xludf.DUMMYFUNCTION("IF('(INGESTA)Datos_consumo_datadis'!A2925&lt;&gt;"""",SPLIT('(INGESTA)Datos_consumo_datadis'!A:A,"",""),"""")"),"ES0031408323131005HX0F")</f>
        <v>ES0031408323131005HX0F</v>
      </c>
      <c r="B2925" s="12">
        <f>IFERROR(__xludf.DUMMYFUNCTION("""COMPUTED_VALUE"""),44987.0)</f>
        <v>44987</v>
      </c>
      <c r="C2925" s="13">
        <f>IFERROR(__xludf.DUMMYFUNCTION("""COMPUTED_VALUE"""),0.8333333333333334)</f>
        <v>0.8333333333</v>
      </c>
      <c r="D2925" s="8">
        <f>IFERROR(__xludf.DUMMYFUNCTION("""COMPUTED_VALUE"""),0.045)</f>
        <v>0.045</v>
      </c>
      <c r="E2925" s="8" t="str">
        <f>IFERROR(__xludf.DUMMYFUNCTION("""COMPUTED_VALUE"""),"Real")</f>
        <v>Real</v>
      </c>
      <c r="G2925" s="8">
        <f t="shared" si="1"/>
        <v>3</v>
      </c>
      <c r="H2925" s="14">
        <f t="shared" si="2"/>
        <v>2</v>
      </c>
      <c r="I2925" s="15">
        <f t="shared" si="3"/>
        <v>20</v>
      </c>
    </row>
    <row r="2926">
      <c r="A2926" s="8" t="str">
        <f>IFERROR(__xludf.DUMMYFUNCTION("IF('(INGESTA)Datos_consumo_datadis'!A2926&lt;&gt;"""",SPLIT('(INGESTA)Datos_consumo_datadis'!A:A,"",""),"""")"),"ES0031408323131005HX0F")</f>
        <v>ES0031408323131005HX0F</v>
      </c>
      <c r="B2926" s="12">
        <f>IFERROR(__xludf.DUMMYFUNCTION("""COMPUTED_VALUE"""),44987.0)</f>
        <v>44987</v>
      </c>
      <c r="C2926" s="13">
        <f>IFERROR(__xludf.DUMMYFUNCTION("""COMPUTED_VALUE"""),0.875)</f>
        <v>0.875</v>
      </c>
      <c r="D2926" s="8">
        <f>IFERROR(__xludf.DUMMYFUNCTION("""COMPUTED_VALUE"""),0.056)</f>
        <v>0.056</v>
      </c>
      <c r="E2926" s="8" t="str">
        <f>IFERROR(__xludf.DUMMYFUNCTION("""COMPUTED_VALUE"""),"Real")</f>
        <v>Real</v>
      </c>
      <c r="G2926" s="8">
        <f t="shared" si="1"/>
        <v>3</v>
      </c>
      <c r="H2926" s="14">
        <f t="shared" si="2"/>
        <v>2</v>
      </c>
      <c r="I2926" s="15">
        <f t="shared" si="3"/>
        <v>21</v>
      </c>
    </row>
    <row r="2927">
      <c r="A2927" s="8" t="str">
        <f>IFERROR(__xludf.DUMMYFUNCTION("IF('(INGESTA)Datos_consumo_datadis'!A2927&lt;&gt;"""",SPLIT('(INGESTA)Datos_consumo_datadis'!A:A,"",""),"""")"),"ES0031408323131005HX0F")</f>
        <v>ES0031408323131005HX0F</v>
      </c>
      <c r="B2927" s="12">
        <f>IFERROR(__xludf.DUMMYFUNCTION("""COMPUTED_VALUE"""),44987.0)</f>
        <v>44987</v>
      </c>
      <c r="C2927" s="13">
        <f>IFERROR(__xludf.DUMMYFUNCTION("""COMPUTED_VALUE"""),0.9166666666666666)</f>
        <v>0.9166666667</v>
      </c>
      <c r="D2927" s="8">
        <f>IFERROR(__xludf.DUMMYFUNCTION("""COMPUTED_VALUE"""),0.575)</f>
        <v>0.575</v>
      </c>
      <c r="E2927" s="8" t="str">
        <f>IFERROR(__xludf.DUMMYFUNCTION("""COMPUTED_VALUE"""),"Real")</f>
        <v>Real</v>
      </c>
      <c r="G2927" s="8">
        <f t="shared" si="1"/>
        <v>3</v>
      </c>
      <c r="H2927" s="14">
        <f t="shared" si="2"/>
        <v>2</v>
      </c>
      <c r="I2927" s="15">
        <f t="shared" si="3"/>
        <v>22</v>
      </c>
    </row>
    <row r="2928">
      <c r="A2928" s="8" t="str">
        <f>IFERROR(__xludf.DUMMYFUNCTION("IF('(INGESTA)Datos_consumo_datadis'!A2928&lt;&gt;"""",SPLIT('(INGESTA)Datos_consumo_datadis'!A:A,"",""),"""")"),"ES0031408323131005HX0F")</f>
        <v>ES0031408323131005HX0F</v>
      </c>
      <c r="B2928" s="12">
        <f>IFERROR(__xludf.DUMMYFUNCTION("""COMPUTED_VALUE"""),44987.0)</f>
        <v>44987</v>
      </c>
      <c r="C2928" s="13">
        <f>IFERROR(__xludf.DUMMYFUNCTION("""COMPUTED_VALUE"""),0.9583333333333334)</f>
        <v>0.9583333333</v>
      </c>
      <c r="D2928" s="8">
        <f>IFERROR(__xludf.DUMMYFUNCTION("""COMPUTED_VALUE"""),3.457)</f>
        <v>3.457</v>
      </c>
      <c r="E2928" s="8" t="str">
        <f>IFERROR(__xludf.DUMMYFUNCTION("""COMPUTED_VALUE"""),"Real")</f>
        <v>Real</v>
      </c>
      <c r="G2928" s="8">
        <f t="shared" si="1"/>
        <v>3</v>
      </c>
      <c r="H2928" s="14">
        <f t="shared" si="2"/>
        <v>2</v>
      </c>
      <c r="I2928" s="15">
        <f t="shared" si="3"/>
        <v>23</v>
      </c>
    </row>
    <row r="2929">
      <c r="A2929" s="8" t="str">
        <f>IFERROR(__xludf.DUMMYFUNCTION("IF('(INGESTA)Datos_consumo_datadis'!A2929&lt;&gt;"""",SPLIT('(INGESTA)Datos_consumo_datadis'!A:A,"",""),"""")"),"ES0031408323131005HX0F")</f>
        <v>ES0031408323131005HX0F</v>
      </c>
      <c r="B2929" s="12">
        <f>IFERROR(__xludf.DUMMYFUNCTION("""COMPUTED_VALUE"""),44987.0)</f>
        <v>44987</v>
      </c>
      <c r="C2929" s="16">
        <f>IFERROR(__xludf.DUMMYFUNCTION("""COMPUTED_VALUE"""),1.0)</f>
        <v>1</v>
      </c>
      <c r="D2929" s="8">
        <f>IFERROR(__xludf.DUMMYFUNCTION("""COMPUTED_VALUE"""),2.619)</f>
        <v>2.619</v>
      </c>
      <c r="E2929" s="8" t="str">
        <f>IFERROR(__xludf.DUMMYFUNCTION("""COMPUTED_VALUE"""),"Real")</f>
        <v>Real</v>
      </c>
      <c r="G2929" s="8">
        <f t="shared" si="1"/>
        <v>3</v>
      </c>
      <c r="H2929" s="14">
        <f t="shared" si="2"/>
        <v>2</v>
      </c>
      <c r="I2929" s="15">
        <f t="shared" si="3"/>
        <v>0</v>
      </c>
    </row>
    <row r="2930">
      <c r="A2930" s="8" t="str">
        <f>IFERROR(__xludf.DUMMYFUNCTION("IF('(INGESTA)Datos_consumo_datadis'!A2930&lt;&gt;"""",SPLIT('(INGESTA)Datos_consumo_datadis'!A:A,"",""),"""")"),"ES0031408323131005HX0F")</f>
        <v>ES0031408323131005HX0F</v>
      </c>
      <c r="B2930" s="12">
        <f>IFERROR(__xludf.DUMMYFUNCTION("""COMPUTED_VALUE"""),44988.0)</f>
        <v>44988</v>
      </c>
      <c r="C2930" s="13">
        <f>IFERROR(__xludf.DUMMYFUNCTION("""COMPUTED_VALUE"""),0.041666666666666664)</f>
        <v>0.04166666667</v>
      </c>
      <c r="D2930" s="8">
        <f>IFERROR(__xludf.DUMMYFUNCTION("""COMPUTED_VALUE"""),2.271)</f>
        <v>2.271</v>
      </c>
      <c r="E2930" s="8" t="str">
        <f>IFERROR(__xludf.DUMMYFUNCTION("""COMPUTED_VALUE"""),"Real")</f>
        <v>Real</v>
      </c>
      <c r="G2930" s="8">
        <f t="shared" si="1"/>
        <v>3</v>
      </c>
      <c r="H2930" s="14">
        <f t="shared" si="2"/>
        <v>3</v>
      </c>
      <c r="I2930" s="15">
        <f t="shared" si="3"/>
        <v>1</v>
      </c>
    </row>
    <row r="2931">
      <c r="A2931" s="8" t="str">
        <f>IFERROR(__xludf.DUMMYFUNCTION("IF('(INGESTA)Datos_consumo_datadis'!A2931&lt;&gt;"""",SPLIT('(INGESTA)Datos_consumo_datadis'!A:A,"",""),"""")"),"ES0031408323131005HX0F")</f>
        <v>ES0031408323131005HX0F</v>
      </c>
      <c r="B2931" s="12">
        <f>IFERROR(__xludf.DUMMYFUNCTION("""COMPUTED_VALUE"""),44988.0)</f>
        <v>44988</v>
      </c>
      <c r="C2931" s="13">
        <f>IFERROR(__xludf.DUMMYFUNCTION("""COMPUTED_VALUE"""),0.08333333333333333)</f>
        <v>0.08333333333</v>
      </c>
      <c r="D2931" s="8">
        <f>IFERROR(__xludf.DUMMYFUNCTION("""COMPUTED_VALUE"""),1.12)</f>
        <v>1.12</v>
      </c>
      <c r="E2931" s="8" t="str">
        <f>IFERROR(__xludf.DUMMYFUNCTION("""COMPUTED_VALUE"""),"Real")</f>
        <v>Real</v>
      </c>
      <c r="G2931" s="8">
        <f t="shared" si="1"/>
        <v>3</v>
      </c>
      <c r="H2931" s="14">
        <f t="shared" si="2"/>
        <v>3</v>
      </c>
      <c r="I2931" s="15">
        <f t="shared" si="3"/>
        <v>2</v>
      </c>
    </row>
    <row r="2932">
      <c r="A2932" s="8" t="str">
        <f>IFERROR(__xludf.DUMMYFUNCTION("IF('(INGESTA)Datos_consumo_datadis'!A2932&lt;&gt;"""",SPLIT('(INGESTA)Datos_consumo_datadis'!A:A,"",""),"""")"),"ES0031408323131005HX0F")</f>
        <v>ES0031408323131005HX0F</v>
      </c>
      <c r="B2932" s="12">
        <f>IFERROR(__xludf.DUMMYFUNCTION("""COMPUTED_VALUE"""),44988.0)</f>
        <v>44988</v>
      </c>
      <c r="C2932" s="13">
        <f>IFERROR(__xludf.DUMMYFUNCTION("""COMPUTED_VALUE"""),0.125)</f>
        <v>0.125</v>
      </c>
      <c r="D2932" s="8">
        <f>IFERROR(__xludf.DUMMYFUNCTION("""COMPUTED_VALUE"""),0.347)</f>
        <v>0.347</v>
      </c>
      <c r="E2932" s="8" t="str">
        <f>IFERROR(__xludf.DUMMYFUNCTION("""COMPUTED_VALUE"""),"Real")</f>
        <v>Real</v>
      </c>
      <c r="G2932" s="8">
        <f t="shared" si="1"/>
        <v>3</v>
      </c>
      <c r="H2932" s="14">
        <f t="shared" si="2"/>
        <v>3</v>
      </c>
      <c r="I2932" s="15">
        <f t="shared" si="3"/>
        <v>3</v>
      </c>
    </row>
    <row r="2933">
      <c r="A2933" s="8" t="str">
        <f>IFERROR(__xludf.DUMMYFUNCTION("IF('(INGESTA)Datos_consumo_datadis'!A2933&lt;&gt;"""",SPLIT('(INGESTA)Datos_consumo_datadis'!A:A,"",""),"""")"),"ES0031408323131005HX0F")</f>
        <v>ES0031408323131005HX0F</v>
      </c>
      <c r="B2933" s="12">
        <f>IFERROR(__xludf.DUMMYFUNCTION("""COMPUTED_VALUE"""),44988.0)</f>
        <v>44988</v>
      </c>
      <c r="C2933" s="13">
        <f>IFERROR(__xludf.DUMMYFUNCTION("""COMPUTED_VALUE"""),0.16666666666666666)</f>
        <v>0.1666666667</v>
      </c>
      <c r="D2933" s="8">
        <f>IFERROR(__xludf.DUMMYFUNCTION("""COMPUTED_VALUE"""),0.078)</f>
        <v>0.078</v>
      </c>
      <c r="E2933" s="8" t="str">
        <f>IFERROR(__xludf.DUMMYFUNCTION("""COMPUTED_VALUE"""),"Real")</f>
        <v>Real</v>
      </c>
      <c r="G2933" s="8">
        <f t="shared" si="1"/>
        <v>3</v>
      </c>
      <c r="H2933" s="14">
        <f t="shared" si="2"/>
        <v>3</v>
      </c>
      <c r="I2933" s="15">
        <f t="shared" si="3"/>
        <v>4</v>
      </c>
    </row>
    <row r="2934">
      <c r="A2934" s="8" t="str">
        <f>IFERROR(__xludf.DUMMYFUNCTION("IF('(INGESTA)Datos_consumo_datadis'!A2934&lt;&gt;"""",SPLIT('(INGESTA)Datos_consumo_datadis'!A:A,"",""),"""")"),"ES0031408323131005HX0F")</f>
        <v>ES0031408323131005HX0F</v>
      </c>
      <c r="B2934" s="12">
        <f>IFERROR(__xludf.DUMMYFUNCTION("""COMPUTED_VALUE"""),44988.0)</f>
        <v>44988</v>
      </c>
      <c r="C2934" s="13">
        <f>IFERROR(__xludf.DUMMYFUNCTION("""COMPUTED_VALUE"""),0.20833333333333334)</f>
        <v>0.2083333333</v>
      </c>
      <c r="D2934" s="8">
        <f>IFERROR(__xludf.DUMMYFUNCTION("""COMPUTED_VALUE"""),0.042)</f>
        <v>0.042</v>
      </c>
      <c r="E2934" s="8" t="str">
        <f>IFERROR(__xludf.DUMMYFUNCTION("""COMPUTED_VALUE"""),"Real")</f>
        <v>Real</v>
      </c>
      <c r="G2934" s="8">
        <f t="shared" si="1"/>
        <v>3</v>
      </c>
      <c r="H2934" s="14">
        <f t="shared" si="2"/>
        <v>3</v>
      </c>
      <c r="I2934" s="15">
        <f t="shared" si="3"/>
        <v>5</v>
      </c>
    </row>
    <row r="2935">
      <c r="A2935" s="8" t="str">
        <f>IFERROR(__xludf.DUMMYFUNCTION("IF('(INGESTA)Datos_consumo_datadis'!A2935&lt;&gt;"""",SPLIT('(INGESTA)Datos_consumo_datadis'!A:A,"",""),"""")"),"ES0031408323131005HX0F")</f>
        <v>ES0031408323131005HX0F</v>
      </c>
      <c r="B2935" s="12">
        <f>IFERROR(__xludf.DUMMYFUNCTION("""COMPUTED_VALUE"""),44988.0)</f>
        <v>44988</v>
      </c>
      <c r="C2935" s="13">
        <f>IFERROR(__xludf.DUMMYFUNCTION("""COMPUTED_VALUE"""),0.25)</f>
        <v>0.25</v>
      </c>
      <c r="D2935" s="8">
        <f>IFERROR(__xludf.DUMMYFUNCTION("""COMPUTED_VALUE"""),0.019)</f>
        <v>0.019</v>
      </c>
      <c r="E2935" s="8" t="str">
        <f>IFERROR(__xludf.DUMMYFUNCTION("""COMPUTED_VALUE"""),"Real")</f>
        <v>Real</v>
      </c>
      <c r="G2935" s="8">
        <f t="shared" si="1"/>
        <v>3</v>
      </c>
      <c r="H2935" s="14">
        <f t="shared" si="2"/>
        <v>3</v>
      </c>
      <c r="I2935" s="15">
        <f t="shared" si="3"/>
        <v>6</v>
      </c>
    </row>
    <row r="2936">
      <c r="A2936" s="8" t="str">
        <f>IFERROR(__xludf.DUMMYFUNCTION("IF('(INGESTA)Datos_consumo_datadis'!A2936&lt;&gt;"""",SPLIT('(INGESTA)Datos_consumo_datadis'!A:A,"",""),"""")"),"ES0031408323131005HX0F")</f>
        <v>ES0031408323131005HX0F</v>
      </c>
      <c r="B2936" s="12">
        <f>IFERROR(__xludf.DUMMYFUNCTION("""COMPUTED_VALUE"""),44988.0)</f>
        <v>44988</v>
      </c>
      <c r="C2936" s="13">
        <f>IFERROR(__xludf.DUMMYFUNCTION("""COMPUTED_VALUE"""),0.2916666666666667)</f>
        <v>0.2916666667</v>
      </c>
      <c r="D2936" s="8">
        <f>IFERROR(__xludf.DUMMYFUNCTION("""COMPUTED_VALUE"""),0.085)</f>
        <v>0.085</v>
      </c>
      <c r="E2936" s="8" t="str">
        <f>IFERROR(__xludf.DUMMYFUNCTION("""COMPUTED_VALUE"""),"Real")</f>
        <v>Real</v>
      </c>
      <c r="G2936" s="8">
        <f t="shared" si="1"/>
        <v>3</v>
      </c>
      <c r="H2936" s="14">
        <f t="shared" si="2"/>
        <v>3</v>
      </c>
      <c r="I2936" s="15">
        <f t="shared" si="3"/>
        <v>7</v>
      </c>
    </row>
    <row r="2937">
      <c r="A2937" s="8" t="str">
        <f>IFERROR(__xludf.DUMMYFUNCTION("IF('(INGESTA)Datos_consumo_datadis'!A2937&lt;&gt;"""",SPLIT('(INGESTA)Datos_consumo_datadis'!A:A,"",""),"""")"),"ES0031408323131005HX0F")</f>
        <v>ES0031408323131005HX0F</v>
      </c>
      <c r="B2937" s="12">
        <f>IFERROR(__xludf.DUMMYFUNCTION("""COMPUTED_VALUE"""),44988.0)</f>
        <v>44988</v>
      </c>
      <c r="C2937" s="13">
        <f>IFERROR(__xludf.DUMMYFUNCTION("""COMPUTED_VALUE"""),0.3333333333333333)</f>
        <v>0.3333333333</v>
      </c>
      <c r="D2937" s="8">
        <f>IFERROR(__xludf.DUMMYFUNCTION("""COMPUTED_VALUE"""),0.314)</f>
        <v>0.314</v>
      </c>
      <c r="E2937" s="8" t="str">
        <f>IFERROR(__xludf.DUMMYFUNCTION("""COMPUTED_VALUE"""),"Real")</f>
        <v>Real</v>
      </c>
      <c r="G2937" s="8">
        <f t="shared" si="1"/>
        <v>3</v>
      </c>
      <c r="H2937" s="14">
        <f t="shared" si="2"/>
        <v>3</v>
      </c>
      <c r="I2937" s="15">
        <f t="shared" si="3"/>
        <v>8</v>
      </c>
    </row>
    <row r="2938">
      <c r="A2938" s="8" t="str">
        <f>IFERROR(__xludf.DUMMYFUNCTION("IF('(INGESTA)Datos_consumo_datadis'!A2938&lt;&gt;"""",SPLIT('(INGESTA)Datos_consumo_datadis'!A:A,"",""),"""")"),"ES0031408323131005HX0F")</f>
        <v>ES0031408323131005HX0F</v>
      </c>
      <c r="B2938" s="12">
        <f>IFERROR(__xludf.DUMMYFUNCTION("""COMPUTED_VALUE"""),44988.0)</f>
        <v>44988</v>
      </c>
      <c r="C2938" s="13">
        <f>IFERROR(__xludf.DUMMYFUNCTION("""COMPUTED_VALUE"""),0.375)</f>
        <v>0.375</v>
      </c>
      <c r="D2938" s="8">
        <f>IFERROR(__xludf.DUMMYFUNCTION("""COMPUTED_VALUE"""),0.022)</f>
        <v>0.022</v>
      </c>
      <c r="E2938" s="8" t="str">
        <f>IFERROR(__xludf.DUMMYFUNCTION("""COMPUTED_VALUE"""),"Real")</f>
        <v>Real</v>
      </c>
      <c r="G2938" s="8">
        <f t="shared" si="1"/>
        <v>3</v>
      </c>
      <c r="H2938" s="14">
        <f t="shared" si="2"/>
        <v>3</v>
      </c>
      <c r="I2938" s="15">
        <f t="shared" si="3"/>
        <v>9</v>
      </c>
    </row>
    <row r="2939">
      <c r="A2939" s="8" t="str">
        <f>IFERROR(__xludf.DUMMYFUNCTION("IF('(INGESTA)Datos_consumo_datadis'!A2939&lt;&gt;"""",SPLIT('(INGESTA)Datos_consumo_datadis'!A:A,"",""),"""")"),"ES0031408323131005HX0F")</f>
        <v>ES0031408323131005HX0F</v>
      </c>
      <c r="B2939" s="12">
        <f>IFERROR(__xludf.DUMMYFUNCTION("""COMPUTED_VALUE"""),44988.0)</f>
        <v>44988</v>
      </c>
      <c r="C2939" s="13">
        <f>IFERROR(__xludf.DUMMYFUNCTION("""COMPUTED_VALUE"""),0.4166666666666667)</f>
        <v>0.4166666667</v>
      </c>
      <c r="D2939" s="8">
        <f>IFERROR(__xludf.DUMMYFUNCTION("""COMPUTED_VALUE"""),0.044)</f>
        <v>0.044</v>
      </c>
      <c r="E2939" s="8" t="str">
        <f>IFERROR(__xludf.DUMMYFUNCTION("""COMPUTED_VALUE"""),"Real")</f>
        <v>Real</v>
      </c>
      <c r="G2939" s="8">
        <f t="shared" si="1"/>
        <v>3</v>
      </c>
      <c r="H2939" s="14">
        <f t="shared" si="2"/>
        <v>3</v>
      </c>
      <c r="I2939" s="15">
        <f t="shared" si="3"/>
        <v>10</v>
      </c>
    </row>
    <row r="2940">
      <c r="A2940" s="8" t="str">
        <f>IFERROR(__xludf.DUMMYFUNCTION("IF('(INGESTA)Datos_consumo_datadis'!A2940&lt;&gt;"""",SPLIT('(INGESTA)Datos_consumo_datadis'!A:A,"",""),"""")"),"ES0031408323131005HX0F")</f>
        <v>ES0031408323131005HX0F</v>
      </c>
      <c r="B2940" s="12">
        <f>IFERROR(__xludf.DUMMYFUNCTION("""COMPUTED_VALUE"""),44988.0)</f>
        <v>44988</v>
      </c>
      <c r="C2940" s="13">
        <f>IFERROR(__xludf.DUMMYFUNCTION("""COMPUTED_VALUE"""),0.4583333333333333)</f>
        <v>0.4583333333</v>
      </c>
      <c r="D2940" s="8">
        <f>IFERROR(__xludf.DUMMYFUNCTION("""COMPUTED_VALUE"""),0.606)</f>
        <v>0.606</v>
      </c>
      <c r="E2940" s="8" t="str">
        <f>IFERROR(__xludf.DUMMYFUNCTION("""COMPUTED_VALUE"""),"Real")</f>
        <v>Real</v>
      </c>
      <c r="G2940" s="8">
        <f t="shared" si="1"/>
        <v>3</v>
      </c>
      <c r="H2940" s="14">
        <f t="shared" si="2"/>
        <v>3</v>
      </c>
      <c r="I2940" s="15">
        <f t="shared" si="3"/>
        <v>11</v>
      </c>
    </row>
    <row r="2941">
      <c r="A2941" s="8" t="str">
        <f>IFERROR(__xludf.DUMMYFUNCTION("IF('(INGESTA)Datos_consumo_datadis'!A2941&lt;&gt;"""",SPLIT('(INGESTA)Datos_consumo_datadis'!A:A,"",""),"""")"),"ES0031408323131005HX0F")</f>
        <v>ES0031408323131005HX0F</v>
      </c>
      <c r="B2941" s="12">
        <f>IFERROR(__xludf.DUMMYFUNCTION("""COMPUTED_VALUE"""),44988.0)</f>
        <v>44988</v>
      </c>
      <c r="C2941" s="13">
        <f>IFERROR(__xludf.DUMMYFUNCTION("""COMPUTED_VALUE"""),0.5)</f>
        <v>0.5</v>
      </c>
      <c r="D2941" s="8">
        <f>IFERROR(__xludf.DUMMYFUNCTION("""COMPUTED_VALUE"""),1.171)</f>
        <v>1.171</v>
      </c>
      <c r="E2941" s="8" t="str">
        <f>IFERROR(__xludf.DUMMYFUNCTION("""COMPUTED_VALUE"""),"Real")</f>
        <v>Real</v>
      </c>
      <c r="G2941" s="8">
        <f t="shared" si="1"/>
        <v>3</v>
      </c>
      <c r="H2941" s="14">
        <f t="shared" si="2"/>
        <v>3</v>
      </c>
      <c r="I2941" s="15">
        <f t="shared" si="3"/>
        <v>12</v>
      </c>
    </row>
    <row r="2942">
      <c r="A2942" s="8" t="str">
        <f>IFERROR(__xludf.DUMMYFUNCTION("IF('(INGESTA)Datos_consumo_datadis'!A2942&lt;&gt;"""",SPLIT('(INGESTA)Datos_consumo_datadis'!A:A,"",""),"""")"),"ES0031408323131005HX0F")</f>
        <v>ES0031408323131005HX0F</v>
      </c>
      <c r="B2942" s="12">
        <f>IFERROR(__xludf.DUMMYFUNCTION("""COMPUTED_VALUE"""),44988.0)</f>
        <v>44988</v>
      </c>
      <c r="C2942" s="13">
        <f>IFERROR(__xludf.DUMMYFUNCTION("""COMPUTED_VALUE"""),0.5416666666666666)</f>
        <v>0.5416666667</v>
      </c>
      <c r="D2942" s="8">
        <f>IFERROR(__xludf.DUMMYFUNCTION("""COMPUTED_VALUE"""),0.579)</f>
        <v>0.579</v>
      </c>
      <c r="E2942" s="8" t="str">
        <f>IFERROR(__xludf.DUMMYFUNCTION("""COMPUTED_VALUE"""),"Real")</f>
        <v>Real</v>
      </c>
      <c r="G2942" s="8">
        <f t="shared" si="1"/>
        <v>3</v>
      </c>
      <c r="H2942" s="14">
        <f t="shared" si="2"/>
        <v>3</v>
      </c>
      <c r="I2942" s="15">
        <f t="shared" si="3"/>
        <v>13</v>
      </c>
    </row>
    <row r="2943">
      <c r="A2943" s="8" t="str">
        <f>IFERROR(__xludf.DUMMYFUNCTION("IF('(INGESTA)Datos_consumo_datadis'!A2943&lt;&gt;"""",SPLIT('(INGESTA)Datos_consumo_datadis'!A:A,"",""),"""")"),"ES0031408323131005HX0F")</f>
        <v>ES0031408323131005HX0F</v>
      </c>
      <c r="B2943" s="12">
        <f>IFERROR(__xludf.DUMMYFUNCTION("""COMPUTED_VALUE"""),44988.0)</f>
        <v>44988</v>
      </c>
      <c r="C2943" s="13">
        <f>IFERROR(__xludf.DUMMYFUNCTION("""COMPUTED_VALUE"""),0.5833333333333334)</f>
        <v>0.5833333333</v>
      </c>
      <c r="D2943" s="8">
        <f>IFERROR(__xludf.DUMMYFUNCTION("""COMPUTED_VALUE"""),0.457)</f>
        <v>0.457</v>
      </c>
      <c r="E2943" s="8" t="str">
        <f>IFERROR(__xludf.DUMMYFUNCTION("""COMPUTED_VALUE"""),"Real")</f>
        <v>Real</v>
      </c>
      <c r="G2943" s="8">
        <f t="shared" si="1"/>
        <v>3</v>
      </c>
      <c r="H2943" s="14">
        <f t="shared" si="2"/>
        <v>3</v>
      </c>
      <c r="I2943" s="15">
        <f t="shared" si="3"/>
        <v>14</v>
      </c>
    </row>
    <row r="2944">
      <c r="A2944" s="8" t="str">
        <f>IFERROR(__xludf.DUMMYFUNCTION("IF('(INGESTA)Datos_consumo_datadis'!A2944&lt;&gt;"""",SPLIT('(INGESTA)Datos_consumo_datadis'!A:A,"",""),"""")"),"ES0031408323131005HX0F")</f>
        <v>ES0031408323131005HX0F</v>
      </c>
      <c r="B2944" s="12">
        <f>IFERROR(__xludf.DUMMYFUNCTION("""COMPUTED_VALUE"""),44988.0)</f>
        <v>44988</v>
      </c>
      <c r="C2944" s="13">
        <f>IFERROR(__xludf.DUMMYFUNCTION("""COMPUTED_VALUE"""),0.625)</f>
        <v>0.625</v>
      </c>
      <c r="D2944" s="8">
        <f>IFERROR(__xludf.DUMMYFUNCTION("""COMPUTED_VALUE"""),0.957)</f>
        <v>0.957</v>
      </c>
      <c r="E2944" s="8" t="str">
        <f>IFERROR(__xludf.DUMMYFUNCTION("""COMPUTED_VALUE"""),"Real")</f>
        <v>Real</v>
      </c>
      <c r="G2944" s="8">
        <f t="shared" si="1"/>
        <v>3</v>
      </c>
      <c r="H2944" s="14">
        <f t="shared" si="2"/>
        <v>3</v>
      </c>
      <c r="I2944" s="15">
        <f t="shared" si="3"/>
        <v>15</v>
      </c>
    </row>
    <row r="2945">
      <c r="A2945" s="8" t="str">
        <f>IFERROR(__xludf.DUMMYFUNCTION("IF('(INGESTA)Datos_consumo_datadis'!A2945&lt;&gt;"""",SPLIT('(INGESTA)Datos_consumo_datadis'!A:A,"",""),"""")"),"ES0031408323131005HX0F")</f>
        <v>ES0031408323131005HX0F</v>
      </c>
      <c r="B2945" s="12">
        <f>IFERROR(__xludf.DUMMYFUNCTION("""COMPUTED_VALUE"""),44988.0)</f>
        <v>44988</v>
      </c>
      <c r="C2945" s="13">
        <f>IFERROR(__xludf.DUMMYFUNCTION("""COMPUTED_VALUE"""),0.6666666666666666)</f>
        <v>0.6666666667</v>
      </c>
      <c r="D2945" s="8">
        <f>IFERROR(__xludf.DUMMYFUNCTION("""COMPUTED_VALUE"""),0.017)</f>
        <v>0.017</v>
      </c>
      <c r="E2945" s="8" t="str">
        <f>IFERROR(__xludf.DUMMYFUNCTION("""COMPUTED_VALUE"""),"Real")</f>
        <v>Real</v>
      </c>
      <c r="G2945" s="8">
        <f t="shared" si="1"/>
        <v>3</v>
      </c>
      <c r="H2945" s="14">
        <f t="shared" si="2"/>
        <v>3</v>
      </c>
      <c r="I2945" s="15">
        <f t="shared" si="3"/>
        <v>16</v>
      </c>
    </row>
    <row r="2946">
      <c r="A2946" s="8" t="str">
        <f>IFERROR(__xludf.DUMMYFUNCTION("IF('(INGESTA)Datos_consumo_datadis'!A2946&lt;&gt;"""",SPLIT('(INGESTA)Datos_consumo_datadis'!A:A,"",""),"""")"),"ES0031408323131005HX0F")</f>
        <v>ES0031408323131005HX0F</v>
      </c>
      <c r="B2946" s="12">
        <f>IFERROR(__xludf.DUMMYFUNCTION("""COMPUTED_VALUE"""),44988.0)</f>
        <v>44988</v>
      </c>
      <c r="C2946" s="13">
        <f>IFERROR(__xludf.DUMMYFUNCTION("""COMPUTED_VALUE"""),0.7083333333333334)</f>
        <v>0.7083333333</v>
      </c>
      <c r="D2946" s="8">
        <f>IFERROR(__xludf.DUMMYFUNCTION("""COMPUTED_VALUE"""),0.073)</f>
        <v>0.073</v>
      </c>
      <c r="E2946" s="8" t="str">
        <f>IFERROR(__xludf.DUMMYFUNCTION("""COMPUTED_VALUE"""),"Real")</f>
        <v>Real</v>
      </c>
      <c r="G2946" s="8">
        <f t="shared" si="1"/>
        <v>3</v>
      </c>
      <c r="H2946" s="14">
        <f t="shared" si="2"/>
        <v>3</v>
      </c>
      <c r="I2946" s="15">
        <f t="shared" si="3"/>
        <v>17</v>
      </c>
    </row>
    <row r="2947">
      <c r="A2947" s="8" t="str">
        <f>IFERROR(__xludf.DUMMYFUNCTION("IF('(INGESTA)Datos_consumo_datadis'!A2947&lt;&gt;"""",SPLIT('(INGESTA)Datos_consumo_datadis'!A:A,"",""),"""")"),"ES0031408323131005HX0F")</f>
        <v>ES0031408323131005HX0F</v>
      </c>
      <c r="B2947" s="12">
        <f>IFERROR(__xludf.DUMMYFUNCTION("""COMPUTED_VALUE"""),44988.0)</f>
        <v>44988</v>
      </c>
      <c r="C2947" s="13">
        <f>IFERROR(__xludf.DUMMYFUNCTION("""COMPUTED_VALUE"""),0.75)</f>
        <v>0.75</v>
      </c>
      <c r="D2947" s="8">
        <f>IFERROR(__xludf.DUMMYFUNCTION("""COMPUTED_VALUE"""),0.051)</f>
        <v>0.051</v>
      </c>
      <c r="E2947" s="8" t="str">
        <f>IFERROR(__xludf.DUMMYFUNCTION("""COMPUTED_VALUE"""),"Real")</f>
        <v>Real</v>
      </c>
      <c r="G2947" s="8">
        <f t="shared" si="1"/>
        <v>3</v>
      </c>
      <c r="H2947" s="14">
        <f t="shared" si="2"/>
        <v>3</v>
      </c>
      <c r="I2947" s="15">
        <f t="shared" si="3"/>
        <v>18</v>
      </c>
    </row>
    <row r="2948">
      <c r="A2948" s="8" t="str">
        <f>IFERROR(__xludf.DUMMYFUNCTION("IF('(INGESTA)Datos_consumo_datadis'!A2948&lt;&gt;"""",SPLIT('(INGESTA)Datos_consumo_datadis'!A:A,"",""),"""")"),"ES0031408323131005HX0F")</f>
        <v>ES0031408323131005HX0F</v>
      </c>
      <c r="B2948" s="12">
        <f>IFERROR(__xludf.DUMMYFUNCTION("""COMPUTED_VALUE"""),44988.0)</f>
        <v>44988</v>
      </c>
      <c r="C2948" s="13">
        <f>IFERROR(__xludf.DUMMYFUNCTION("""COMPUTED_VALUE"""),0.7916666666666666)</f>
        <v>0.7916666667</v>
      </c>
      <c r="D2948" s="8">
        <f>IFERROR(__xludf.DUMMYFUNCTION("""COMPUTED_VALUE"""),0.019)</f>
        <v>0.019</v>
      </c>
      <c r="E2948" s="8" t="str">
        <f>IFERROR(__xludf.DUMMYFUNCTION("""COMPUTED_VALUE"""),"Real")</f>
        <v>Real</v>
      </c>
      <c r="G2948" s="8">
        <f t="shared" si="1"/>
        <v>3</v>
      </c>
      <c r="H2948" s="14">
        <f t="shared" si="2"/>
        <v>3</v>
      </c>
      <c r="I2948" s="15">
        <f t="shared" si="3"/>
        <v>19</v>
      </c>
    </row>
    <row r="2949">
      <c r="A2949" s="8" t="str">
        <f>IFERROR(__xludf.DUMMYFUNCTION("IF('(INGESTA)Datos_consumo_datadis'!A2949&lt;&gt;"""",SPLIT('(INGESTA)Datos_consumo_datadis'!A:A,"",""),"""")"),"ES0031408323131005HX0F")</f>
        <v>ES0031408323131005HX0F</v>
      </c>
      <c r="B2949" s="12">
        <f>IFERROR(__xludf.DUMMYFUNCTION("""COMPUTED_VALUE"""),44988.0)</f>
        <v>44988</v>
      </c>
      <c r="C2949" s="13">
        <f>IFERROR(__xludf.DUMMYFUNCTION("""COMPUTED_VALUE"""),0.8333333333333334)</f>
        <v>0.8333333333</v>
      </c>
      <c r="D2949" s="8">
        <f>IFERROR(__xludf.DUMMYFUNCTION("""COMPUTED_VALUE"""),0.327)</f>
        <v>0.327</v>
      </c>
      <c r="E2949" s="8" t="str">
        <f>IFERROR(__xludf.DUMMYFUNCTION("""COMPUTED_VALUE"""),"Real")</f>
        <v>Real</v>
      </c>
      <c r="G2949" s="8">
        <f t="shared" si="1"/>
        <v>3</v>
      </c>
      <c r="H2949" s="14">
        <f t="shared" si="2"/>
        <v>3</v>
      </c>
      <c r="I2949" s="15">
        <f t="shared" si="3"/>
        <v>20</v>
      </c>
    </row>
    <row r="2950">
      <c r="A2950" s="8" t="str">
        <f>IFERROR(__xludf.DUMMYFUNCTION("IF('(INGESTA)Datos_consumo_datadis'!A2950&lt;&gt;"""",SPLIT('(INGESTA)Datos_consumo_datadis'!A:A,"",""),"""")"),"ES0031408323131005HX0F")</f>
        <v>ES0031408323131005HX0F</v>
      </c>
      <c r="B2950" s="12">
        <f>IFERROR(__xludf.DUMMYFUNCTION("""COMPUTED_VALUE"""),44988.0)</f>
        <v>44988</v>
      </c>
      <c r="C2950" s="13">
        <f>IFERROR(__xludf.DUMMYFUNCTION("""COMPUTED_VALUE"""),0.875)</f>
        <v>0.875</v>
      </c>
      <c r="D2950" s="8">
        <f>IFERROR(__xludf.DUMMYFUNCTION("""COMPUTED_VALUE"""),0.051)</f>
        <v>0.051</v>
      </c>
      <c r="E2950" s="8" t="str">
        <f>IFERROR(__xludf.DUMMYFUNCTION("""COMPUTED_VALUE"""),"Real")</f>
        <v>Real</v>
      </c>
      <c r="G2950" s="8">
        <f t="shared" si="1"/>
        <v>3</v>
      </c>
      <c r="H2950" s="14">
        <f t="shared" si="2"/>
        <v>3</v>
      </c>
      <c r="I2950" s="15">
        <f t="shared" si="3"/>
        <v>21</v>
      </c>
    </row>
    <row r="2951">
      <c r="A2951" s="8" t="str">
        <f>IFERROR(__xludf.DUMMYFUNCTION("IF('(INGESTA)Datos_consumo_datadis'!A2951&lt;&gt;"""",SPLIT('(INGESTA)Datos_consumo_datadis'!A:A,"",""),"""")"),"ES0031408323131005HX0F")</f>
        <v>ES0031408323131005HX0F</v>
      </c>
      <c r="B2951" s="12">
        <f>IFERROR(__xludf.DUMMYFUNCTION("""COMPUTED_VALUE"""),44988.0)</f>
        <v>44988</v>
      </c>
      <c r="C2951" s="13">
        <f>IFERROR(__xludf.DUMMYFUNCTION("""COMPUTED_VALUE"""),0.9166666666666666)</f>
        <v>0.9166666667</v>
      </c>
      <c r="D2951" s="8">
        <f>IFERROR(__xludf.DUMMYFUNCTION("""COMPUTED_VALUE"""),0.041)</f>
        <v>0.041</v>
      </c>
      <c r="E2951" s="8" t="str">
        <f>IFERROR(__xludf.DUMMYFUNCTION("""COMPUTED_VALUE"""),"Real")</f>
        <v>Real</v>
      </c>
      <c r="G2951" s="8">
        <f t="shared" si="1"/>
        <v>3</v>
      </c>
      <c r="H2951" s="14">
        <f t="shared" si="2"/>
        <v>3</v>
      </c>
      <c r="I2951" s="15">
        <f t="shared" si="3"/>
        <v>22</v>
      </c>
    </row>
    <row r="2952">
      <c r="A2952" s="8" t="str">
        <f>IFERROR(__xludf.DUMMYFUNCTION("IF('(INGESTA)Datos_consumo_datadis'!A2952&lt;&gt;"""",SPLIT('(INGESTA)Datos_consumo_datadis'!A:A,"",""),"""")"),"ES0031408323131005HX0F")</f>
        <v>ES0031408323131005HX0F</v>
      </c>
      <c r="B2952" s="12">
        <f>IFERROR(__xludf.DUMMYFUNCTION("""COMPUTED_VALUE"""),44988.0)</f>
        <v>44988</v>
      </c>
      <c r="C2952" s="13">
        <f>IFERROR(__xludf.DUMMYFUNCTION("""COMPUTED_VALUE"""),0.9583333333333334)</f>
        <v>0.9583333333</v>
      </c>
      <c r="D2952" s="8">
        <f>IFERROR(__xludf.DUMMYFUNCTION("""COMPUTED_VALUE"""),2.187)</f>
        <v>2.187</v>
      </c>
      <c r="E2952" s="8" t="str">
        <f>IFERROR(__xludf.DUMMYFUNCTION("""COMPUTED_VALUE"""),"Real")</f>
        <v>Real</v>
      </c>
      <c r="G2952" s="8">
        <f t="shared" si="1"/>
        <v>3</v>
      </c>
      <c r="H2952" s="14">
        <f t="shared" si="2"/>
        <v>3</v>
      </c>
      <c r="I2952" s="15">
        <f t="shared" si="3"/>
        <v>23</v>
      </c>
    </row>
    <row r="2953">
      <c r="A2953" s="8" t="str">
        <f>IFERROR(__xludf.DUMMYFUNCTION("IF('(INGESTA)Datos_consumo_datadis'!A2953&lt;&gt;"""",SPLIT('(INGESTA)Datos_consumo_datadis'!A:A,"",""),"""")"),"ES0031408323131005HX0F")</f>
        <v>ES0031408323131005HX0F</v>
      </c>
      <c r="B2953" s="12">
        <f>IFERROR(__xludf.DUMMYFUNCTION("""COMPUTED_VALUE"""),44988.0)</f>
        <v>44988</v>
      </c>
      <c r="C2953" s="16">
        <f>IFERROR(__xludf.DUMMYFUNCTION("""COMPUTED_VALUE"""),1.0)</f>
        <v>1</v>
      </c>
      <c r="D2953" s="8">
        <f>IFERROR(__xludf.DUMMYFUNCTION("""COMPUTED_VALUE"""),2.308)</f>
        <v>2.308</v>
      </c>
      <c r="E2953" s="8" t="str">
        <f>IFERROR(__xludf.DUMMYFUNCTION("""COMPUTED_VALUE"""),"Real")</f>
        <v>Real</v>
      </c>
      <c r="G2953" s="8">
        <f t="shared" si="1"/>
        <v>3</v>
      </c>
      <c r="H2953" s="14">
        <f t="shared" si="2"/>
        <v>3</v>
      </c>
      <c r="I2953" s="15">
        <f t="shared" si="3"/>
        <v>0</v>
      </c>
    </row>
    <row r="2954">
      <c r="A2954" s="8" t="str">
        <f>IFERROR(__xludf.DUMMYFUNCTION("IF('(INGESTA)Datos_consumo_datadis'!A2954&lt;&gt;"""",SPLIT('(INGESTA)Datos_consumo_datadis'!A:A,"",""),"""")"),"ES0031408323131005HX0F")</f>
        <v>ES0031408323131005HX0F</v>
      </c>
      <c r="B2954" s="12">
        <f>IFERROR(__xludf.DUMMYFUNCTION("""COMPUTED_VALUE"""),44989.0)</f>
        <v>44989</v>
      </c>
      <c r="C2954" s="13">
        <f>IFERROR(__xludf.DUMMYFUNCTION("""COMPUTED_VALUE"""),0.041666666666666664)</f>
        <v>0.04166666667</v>
      </c>
      <c r="D2954" s="8">
        <f>IFERROR(__xludf.DUMMYFUNCTION("""COMPUTED_VALUE"""),2.659)</f>
        <v>2.659</v>
      </c>
      <c r="E2954" s="8" t="str">
        <f>IFERROR(__xludf.DUMMYFUNCTION("""COMPUTED_VALUE"""),"Real")</f>
        <v>Real</v>
      </c>
      <c r="G2954" s="8">
        <f t="shared" si="1"/>
        <v>3</v>
      </c>
      <c r="H2954" s="14">
        <f t="shared" si="2"/>
        <v>4</v>
      </c>
      <c r="I2954" s="15">
        <f t="shared" si="3"/>
        <v>1</v>
      </c>
    </row>
    <row r="2955">
      <c r="A2955" s="8" t="str">
        <f>IFERROR(__xludf.DUMMYFUNCTION("IF('(INGESTA)Datos_consumo_datadis'!A2955&lt;&gt;"""",SPLIT('(INGESTA)Datos_consumo_datadis'!A:A,"",""),"""")"),"ES0031408323131005HX0F")</f>
        <v>ES0031408323131005HX0F</v>
      </c>
      <c r="B2955" s="12">
        <f>IFERROR(__xludf.DUMMYFUNCTION("""COMPUTED_VALUE"""),44989.0)</f>
        <v>44989</v>
      </c>
      <c r="C2955" s="13">
        <f>IFERROR(__xludf.DUMMYFUNCTION("""COMPUTED_VALUE"""),0.08333333333333333)</f>
        <v>0.08333333333</v>
      </c>
      <c r="D2955" s="8">
        <f>IFERROR(__xludf.DUMMYFUNCTION("""COMPUTED_VALUE"""),2.575)</f>
        <v>2.575</v>
      </c>
      <c r="E2955" s="8" t="str">
        <f>IFERROR(__xludf.DUMMYFUNCTION("""COMPUTED_VALUE"""),"Real")</f>
        <v>Real</v>
      </c>
      <c r="G2955" s="8">
        <f t="shared" si="1"/>
        <v>3</v>
      </c>
      <c r="H2955" s="14">
        <f t="shared" si="2"/>
        <v>4</v>
      </c>
      <c r="I2955" s="15">
        <f t="shared" si="3"/>
        <v>2</v>
      </c>
    </row>
    <row r="2956">
      <c r="A2956" s="8" t="str">
        <f>IFERROR(__xludf.DUMMYFUNCTION("IF('(INGESTA)Datos_consumo_datadis'!A2956&lt;&gt;"""",SPLIT('(INGESTA)Datos_consumo_datadis'!A:A,"",""),"""")"),"ES0031408323131005HX0F")</f>
        <v>ES0031408323131005HX0F</v>
      </c>
      <c r="B2956" s="12">
        <f>IFERROR(__xludf.DUMMYFUNCTION("""COMPUTED_VALUE"""),44989.0)</f>
        <v>44989</v>
      </c>
      <c r="C2956" s="13">
        <f>IFERROR(__xludf.DUMMYFUNCTION("""COMPUTED_VALUE"""),0.125)</f>
        <v>0.125</v>
      </c>
      <c r="D2956" s="8">
        <f>IFERROR(__xludf.DUMMYFUNCTION("""COMPUTED_VALUE"""),2.274)</f>
        <v>2.274</v>
      </c>
      <c r="E2956" s="8" t="str">
        <f>IFERROR(__xludf.DUMMYFUNCTION("""COMPUTED_VALUE"""),"Real")</f>
        <v>Real</v>
      </c>
      <c r="G2956" s="8">
        <f t="shared" si="1"/>
        <v>3</v>
      </c>
      <c r="H2956" s="14">
        <f t="shared" si="2"/>
        <v>4</v>
      </c>
      <c r="I2956" s="15">
        <f t="shared" si="3"/>
        <v>3</v>
      </c>
    </row>
    <row r="2957">
      <c r="A2957" s="8" t="str">
        <f>IFERROR(__xludf.DUMMYFUNCTION("IF('(INGESTA)Datos_consumo_datadis'!A2957&lt;&gt;"""",SPLIT('(INGESTA)Datos_consumo_datadis'!A:A,"",""),"""")"),"ES0031408323131005HX0F")</f>
        <v>ES0031408323131005HX0F</v>
      </c>
      <c r="B2957" s="12">
        <f>IFERROR(__xludf.DUMMYFUNCTION("""COMPUTED_VALUE"""),44989.0)</f>
        <v>44989</v>
      </c>
      <c r="C2957" s="13">
        <f>IFERROR(__xludf.DUMMYFUNCTION("""COMPUTED_VALUE"""),0.16666666666666666)</f>
        <v>0.1666666667</v>
      </c>
      <c r="D2957" s="8">
        <f>IFERROR(__xludf.DUMMYFUNCTION("""COMPUTED_VALUE"""),2.556)</f>
        <v>2.556</v>
      </c>
      <c r="E2957" s="8" t="str">
        <f>IFERROR(__xludf.DUMMYFUNCTION("""COMPUTED_VALUE"""),"Real")</f>
        <v>Real</v>
      </c>
      <c r="G2957" s="8">
        <f t="shared" si="1"/>
        <v>3</v>
      </c>
      <c r="H2957" s="14">
        <f t="shared" si="2"/>
        <v>4</v>
      </c>
      <c r="I2957" s="15">
        <f t="shared" si="3"/>
        <v>4</v>
      </c>
    </row>
    <row r="2958">
      <c r="A2958" s="8" t="str">
        <f>IFERROR(__xludf.DUMMYFUNCTION("IF('(INGESTA)Datos_consumo_datadis'!A2958&lt;&gt;"""",SPLIT('(INGESTA)Datos_consumo_datadis'!A:A,"",""),"""")"),"ES0031408323131005HX0F")</f>
        <v>ES0031408323131005HX0F</v>
      </c>
      <c r="B2958" s="12">
        <f>IFERROR(__xludf.DUMMYFUNCTION("""COMPUTED_VALUE"""),44989.0)</f>
        <v>44989</v>
      </c>
      <c r="C2958" s="13">
        <f>IFERROR(__xludf.DUMMYFUNCTION("""COMPUTED_VALUE"""),0.20833333333333334)</f>
        <v>0.2083333333</v>
      </c>
      <c r="D2958" s="8">
        <f>IFERROR(__xludf.DUMMYFUNCTION("""COMPUTED_VALUE"""),2.666)</f>
        <v>2.666</v>
      </c>
      <c r="E2958" s="8" t="str">
        <f>IFERROR(__xludf.DUMMYFUNCTION("""COMPUTED_VALUE"""),"Real")</f>
        <v>Real</v>
      </c>
      <c r="G2958" s="8">
        <f t="shared" si="1"/>
        <v>3</v>
      </c>
      <c r="H2958" s="14">
        <f t="shared" si="2"/>
        <v>4</v>
      </c>
      <c r="I2958" s="15">
        <f t="shared" si="3"/>
        <v>5</v>
      </c>
    </row>
    <row r="2959">
      <c r="A2959" s="8" t="str">
        <f>IFERROR(__xludf.DUMMYFUNCTION("IF('(INGESTA)Datos_consumo_datadis'!A2959&lt;&gt;"""",SPLIT('(INGESTA)Datos_consumo_datadis'!A:A,"",""),"""")"),"ES0031408323131005HX0F")</f>
        <v>ES0031408323131005HX0F</v>
      </c>
      <c r="B2959" s="12">
        <f>IFERROR(__xludf.DUMMYFUNCTION("""COMPUTED_VALUE"""),44989.0)</f>
        <v>44989</v>
      </c>
      <c r="C2959" s="13">
        <f>IFERROR(__xludf.DUMMYFUNCTION("""COMPUTED_VALUE"""),0.25)</f>
        <v>0.25</v>
      </c>
      <c r="D2959" s="8">
        <f>IFERROR(__xludf.DUMMYFUNCTION("""COMPUTED_VALUE"""),2.441)</f>
        <v>2.441</v>
      </c>
      <c r="E2959" s="8" t="str">
        <f>IFERROR(__xludf.DUMMYFUNCTION("""COMPUTED_VALUE"""),"Real")</f>
        <v>Real</v>
      </c>
      <c r="G2959" s="8">
        <f t="shared" si="1"/>
        <v>3</v>
      </c>
      <c r="H2959" s="14">
        <f t="shared" si="2"/>
        <v>4</v>
      </c>
      <c r="I2959" s="15">
        <f t="shared" si="3"/>
        <v>6</v>
      </c>
    </row>
    <row r="2960">
      <c r="A2960" s="8" t="str">
        <f>IFERROR(__xludf.DUMMYFUNCTION("IF('(INGESTA)Datos_consumo_datadis'!A2960&lt;&gt;"""",SPLIT('(INGESTA)Datos_consumo_datadis'!A:A,"",""),"""")"),"ES0031408323131005HX0F")</f>
        <v>ES0031408323131005HX0F</v>
      </c>
      <c r="B2960" s="12">
        <f>IFERROR(__xludf.DUMMYFUNCTION("""COMPUTED_VALUE"""),44989.0)</f>
        <v>44989</v>
      </c>
      <c r="C2960" s="13">
        <f>IFERROR(__xludf.DUMMYFUNCTION("""COMPUTED_VALUE"""),0.2916666666666667)</f>
        <v>0.2916666667</v>
      </c>
      <c r="D2960" s="8">
        <f>IFERROR(__xludf.DUMMYFUNCTION("""COMPUTED_VALUE"""),2.125)</f>
        <v>2.125</v>
      </c>
      <c r="E2960" s="8" t="str">
        <f>IFERROR(__xludf.DUMMYFUNCTION("""COMPUTED_VALUE"""),"Real")</f>
        <v>Real</v>
      </c>
      <c r="G2960" s="8">
        <f t="shared" si="1"/>
        <v>3</v>
      </c>
      <c r="H2960" s="14">
        <f t="shared" si="2"/>
        <v>4</v>
      </c>
      <c r="I2960" s="15">
        <f t="shared" si="3"/>
        <v>7</v>
      </c>
    </row>
    <row r="2961">
      <c r="A2961" s="8" t="str">
        <f>IFERROR(__xludf.DUMMYFUNCTION("IF('(INGESTA)Datos_consumo_datadis'!A2961&lt;&gt;"""",SPLIT('(INGESTA)Datos_consumo_datadis'!A:A,"",""),"""")"),"ES0031408323131005HX0F")</f>
        <v>ES0031408323131005HX0F</v>
      </c>
      <c r="B2961" s="12">
        <f>IFERROR(__xludf.DUMMYFUNCTION("""COMPUTED_VALUE"""),44989.0)</f>
        <v>44989</v>
      </c>
      <c r="C2961" s="13">
        <f>IFERROR(__xludf.DUMMYFUNCTION("""COMPUTED_VALUE"""),0.3333333333333333)</f>
        <v>0.3333333333</v>
      </c>
      <c r="D2961" s="8">
        <f>IFERROR(__xludf.DUMMYFUNCTION("""COMPUTED_VALUE"""),2.159)</f>
        <v>2.159</v>
      </c>
      <c r="E2961" s="8" t="str">
        <f>IFERROR(__xludf.DUMMYFUNCTION("""COMPUTED_VALUE"""),"Real")</f>
        <v>Real</v>
      </c>
      <c r="G2961" s="8">
        <f t="shared" si="1"/>
        <v>3</v>
      </c>
      <c r="H2961" s="14">
        <f t="shared" si="2"/>
        <v>4</v>
      </c>
      <c r="I2961" s="15">
        <f t="shared" si="3"/>
        <v>8</v>
      </c>
    </row>
    <row r="2962">
      <c r="A2962" s="8" t="str">
        <f>IFERROR(__xludf.DUMMYFUNCTION("IF('(INGESTA)Datos_consumo_datadis'!A2962&lt;&gt;"""",SPLIT('(INGESTA)Datos_consumo_datadis'!A:A,"",""),"""")"),"ES0031408323131005HX0F")</f>
        <v>ES0031408323131005HX0F</v>
      </c>
      <c r="B2962" s="12">
        <f>IFERROR(__xludf.DUMMYFUNCTION("""COMPUTED_VALUE"""),44989.0)</f>
        <v>44989</v>
      </c>
      <c r="C2962" s="13">
        <f>IFERROR(__xludf.DUMMYFUNCTION("""COMPUTED_VALUE"""),0.375)</f>
        <v>0.375</v>
      </c>
      <c r="D2962" s="8">
        <f>IFERROR(__xludf.DUMMYFUNCTION("""COMPUTED_VALUE"""),2.2)</f>
        <v>2.2</v>
      </c>
      <c r="E2962" s="8" t="str">
        <f>IFERROR(__xludf.DUMMYFUNCTION("""COMPUTED_VALUE"""),"Real")</f>
        <v>Real</v>
      </c>
      <c r="G2962" s="8">
        <f t="shared" si="1"/>
        <v>3</v>
      </c>
      <c r="H2962" s="14">
        <f t="shared" si="2"/>
        <v>4</v>
      </c>
      <c r="I2962" s="15">
        <f t="shared" si="3"/>
        <v>9</v>
      </c>
    </row>
    <row r="2963">
      <c r="A2963" s="8" t="str">
        <f>IFERROR(__xludf.DUMMYFUNCTION("IF('(INGESTA)Datos_consumo_datadis'!A2963&lt;&gt;"""",SPLIT('(INGESTA)Datos_consumo_datadis'!A:A,"",""),"""")"),"ES0031408323131005HX0F")</f>
        <v>ES0031408323131005HX0F</v>
      </c>
      <c r="B2963" s="12">
        <f>IFERROR(__xludf.DUMMYFUNCTION("""COMPUTED_VALUE"""),44989.0)</f>
        <v>44989</v>
      </c>
      <c r="C2963" s="13">
        <f>IFERROR(__xludf.DUMMYFUNCTION("""COMPUTED_VALUE"""),0.4166666666666667)</f>
        <v>0.4166666667</v>
      </c>
      <c r="D2963" s="8">
        <f>IFERROR(__xludf.DUMMYFUNCTION("""COMPUTED_VALUE"""),2.612)</f>
        <v>2.612</v>
      </c>
      <c r="E2963" s="8" t="str">
        <f>IFERROR(__xludf.DUMMYFUNCTION("""COMPUTED_VALUE"""),"Real")</f>
        <v>Real</v>
      </c>
      <c r="G2963" s="8">
        <f t="shared" si="1"/>
        <v>3</v>
      </c>
      <c r="H2963" s="14">
        <f t="shared" si="2"/>
        <v>4</v>
      </c>
      <c r="I2963" s="15">
        <f t="shared" si="3"/>
        <v>10</v>
      </c>
    </row>
    <row r="2964">
      <c r="A2964" s="8" t="str">
        <f>IFERROR(__xludf.DUMMYFUNCTION("IF('(INGESTA)Datos_consumo_datadis'!A2964&lt;&gt;"""",SPLIT('(INGESTA)Datos_consumo_datadis'!A:A,"",""),"""")"),"ES0031408323131005HX0F")</f>
        <v>ES0031408323131005HX0F</v>
      </c>
      <c r="B2964" s="12">
        <f>IFERROR(__xludf.DUMMYFUNCTION("""COMPUTED_VALUE"""),44989.0)</f>
        <v>44989</v>
      </c>
      <c r="C2964" s="13">
        <f>IFERROR(__xludf.DUMMYFUNCTION("""COMPUTED_VALUE"""),0.4583333333333333)</f>
        <v>0.4583333333</v>
      </c>
      <c r="D2964" s="8">
        <f>IFERROR(__xludf.DUMMYFUNCTION("""COMPUTED_VALUE"""),1.511)</f>
        <v>1.511</v>
      </c>
      <c r="E2964" s="8" t="str">
        <f>IFERROR(__xludf.DUMMYFUNCTION("""COMPUTED_VALUE"""),"Real")</f>
        <v>Real</v>
      </c>
      <c r="G2964" s="8">
        <f t="shared" si="1"/>
        <v>3</v>
      </c>
      <c r="H2964" s="14">
        <f t="shared" si="2"/>
        <v>4</v>
      </c>
      <c r="I2964" s="15">
        <f t="shared" si="3"/>
        <v>11</v>
      </c>
    </row>
    <row r="2965">
      <c r="A2965" s="8" t="str">
        <f>IFERROR(__xludf.DUMMYFUNCTION("IF('(INGESTA)Datos_consumo_datadis'!A2965&lt;&gt;"""",SPLIT('(INGESTA)Datos_consumo_datadis'!A:A,"",""),"""")"),"ES0031408323131005HX0F")</f>
        <v>ES0031408323131005HX0F</v>
      </c>
      <c r="B2965" s="12">
        <f>IFERROR(__xludf.DUMMYFUNCTION("""COMPUTED_VALUE"""),44989.0)</f>
        <v>44989</v>
      </c>
      <c r="C2965" s="13">
        <f>IFERROR(__xludf.DUMMYFUNCTION("""COMPUTED_VALUE"""),0.5)</f>
        <v>0.5</v>
      </c>
      <c r="D2965" s="8">
        <f>IFERROR(__xludf.DUMMYFUNCTION("""COMPUTED_VALUE"""),1.95)</f>
        <v>1.95</v>
      </c>
      <c r="E2965" s="8" t="str">
        <f>IFERROR(__xludf.DUMMYFUNCTION("""COMPUTED_VALUE"""),"Real")</f>
        <v>Real</v>
      </c>
      <c r="G2965" s="8">
        <f t="shared" si="1"/>
        <v>3</v>
      </c>
      <c r="H2965" s="14">
        <f t="shared" si="2"/>
        <v>4</v>
      </c>
      <c r="I2965" s="15">
        <f t="shared" si="3"/>
        <v>12</v>
      </c>
    </row>
    <row r="2966">
      <c r="A2966" s="8" t="str">
        <f>IFERROR(__xludf.DUMMYFUNCTION("IF('(INGESTA)Datos_consumo_datadis'!A2966&lt;&gt;"""",SPLIT('(INGESTA)Datos_consumo_datadis'!A:A,"",""),"""")"),"ES0031408323131005HX0F")</f>
        <v>ES0031408323131005HX0F</v>
      </c>
      <c r="B2966" s="12">
        <f>IFERROR(__xludf.DUMMYFUNCTION("""COMPUTED_VALUE"""),44989.0)</f>
        <v>44989</v>
      </c>
      <c r="C2966" s="13">
        <f>IFERROR(__xludf.DUMMYFUNCTION("""COMPUTED_VALUE"""),0.5416666666666666)</f>
        <v>0.5416666667</v>
      </c>
      <c r="D2966" s="8">
        <f>IFERROR(__xludf.DUMMYFUNCTION("""COMPUTED_VALUE"""),0.651)</f>
        <v>0.651</v>
      </c>
      <c r="E2966" s="8" t="str">
        <f>IFERROR(__xludf.DUMMYFUNCTION("""COMPUTED_VALUE"""),"Real")</f>
        <v>Real</v>
      </c>
      <c r="G2966" s="8">
        <f t="shared" si="1"/>
        <v>3</v>
      </c>
      <c r="H2966" s="14">
        <f t="shared" si="2"/>
        <v>4</v>
      </c>
      <c r="I2966" s="15">
        <f t="shared" si="3"/>
        <v>13</v>
      </c>
    </row>
    <row r="2967">
      <c r="A2967" s="8" t="str">
        <f>IFERROR(__xludf.DUMMYFUNCTION("IF('(INGESTA)Datos_consumo_datadis'!A2967&lt;&gt;"""",SPLIT('(INGESTA)Datos_consumo_datadis'!A:A,"",""),"""")"),"ES0031408323131005HX0F")</f>
        <v>ES0031408323131005HX0F</v>
      </c>
      <c r="B2967" s="12">
        <f>IFERROR(__xludf.DUMMYFUNCTION("""COMPUTED_VALUE"""),44989.0)</f>
        <v>44989</v>
      </c>
      <c r="C2967" s="13">
        <f>IFERROR(__xludf.DUMMYFUNCTION("""COMPUTED_VALUE"""),0.5833333333333334)</f>
        <v>0.5833333333</v>
      </c>
      <c r="D2967" s="8">
        <f>IFERROR(__xludf.DUMMYFUNCTION("""COMPUTED_VALUE"""),0.084)</f>
        <v>0.084</v>
      </c>
      <c r="E2967" s="8" t="str">
        <f>IFERROR(__xludf.DUMMYFUNCTION("""COMPUTED_VALUE"""),"Real")</f>
        <v>Real</v>
      </c>
      <c r="G2967" s="8">
        <f t="shared" si="1"/>
        <v>3</v>
      </c>
      <c r="H2967" s="14">
        <f t="shared" si="2"/>
        <v>4</v>
      </c>
      <c r="I2967" s="15">
        <f t="shared" si="3"/>
        <v>14</v>
      </c>
    </row>
    <row r="2968">
      <c r="A2968" s="8" t="str">
        <f>IFERROR(__xludf.DUMMYFUNCTION("IF('(INGESTA)Datos_consumo_datadis'!A2968&lt;&gt;"""",SPLIT('(INGESTA)Datos_consumo_datadis'!A:A,"",""),"""")"),"ES0031408323131005HX0F")</f>
        <v>ES0031408323131005HX0F</v>
      </c>
      <c r="B2968" s="12">
        <f>IFERROR(__xludf.DUMMYFUNCTION("""COMPUTED_VALUE"""),44989.0)</f>
        <v>44989</v>
      </c>
      <c r="C2968" s="13">
        <f>IFERROR(__xludf.DUMMYFUNCTION("""COMPUTED_VALUE"""),0.625)</f>
        <v>0.625</v>
      </c>
      <c r="D2968" s="8">
        <f>IFERROR(__xludf.DUMMYFUNCTION("""COMPUTED_VALUE"""),0.049)</f>
        <v>0.049</v>
      </c>
      <c r="E2968" s="8" t="str">
        <f>IFERROR(__xludf.DUMMYFUNCTION("""COMPUTED_VALUE"""),"Real")</f>
        <v>Real</v>
      </c>
      <c r="G2968" s="8">
        <f t="shared" si="1"/>
        <v>3</v>
      </c>
      <c r="H2968" s="14">
        <f t="shared" si="2"/>
        <v>4</v>
      </c>
      <c r="I2968" s="15">
        <f t="shared" si="3"/>
        <v>15</v>
      </c>
    </row>
    <row r="2969">
      <c r="A2969" s="8" t="str">
        <f>IFERROR(__xludf.DUMMYFUNCTION("IF('(INGESTA)Datos_consumo_datadis'!A2969&lt;&gt;"""",SPLIT('(INGESTA)Datos_consumo_datadis'!A:A,"",""),"""")"),"ES0031408323131005HX0F")</f>
        <v>ES0031408323131005HX0F</v>
      </c>
      <c r="B2969" s="12">
        <f>IFERROR(__xludf.DUMMYFUNCTION("""COMPUTED_VALUE"""),44989.0)</f>
        <v>44989</v>
      </c>
      <c r="C2969" s="13">
        <f>IFERROR(__xludf.DUMMYFUNCTION("""COMPUTED_VALUE"""),0.6666666666666666)</f>
        <v>0.6666666667</v>
      </c>
      <c r="D2969" s="8">
        <f>IFERROR(__xludf.DUMMYFUNCTION("""COMPUTED_VALUE"""),0.017)</f>
        <v>0.017</v>
      </c>
      <c r="E2969" s="8" t="str">
        <f>IFERROR(__xludf.DUMMYFUNCTION("""COMPUTED_VALUE"""),"Real")</f>
        <v>Real</v>
      </c>
      <c r="G2969" s="8">
        <f t="shared" si="1"/>
        <v>3</v>
      </c>
      <c r="H2969" s="14">
        <f t="shared" si="2"/>
        <v>4</v>
      </c>
      <c r="I2969" s="15">
        <f t="shared" si="3"/>
        <v>16</v>
      </c>
    </row>
    <row r="2970">
      <c r="A2970" s="8" t="str">
        <f>IFERROR(__xludf.DUMMYFUNCTION("IF('(INGESTA)Datos_consumo_datadis'!A2970&lt;&gt;"""",SPLIT('(INGESTA)Datos_consumo_datadis'!A:A,"",""),"""")"),"ES0031408323131005HX0F")</f>
        <v>ES0031408323131005HX0F</v>
      </c>
      <c r="B2970" s="12">
        <f>IFERROR(__xludf.DUMMYFUNCTION("""COMPUTED_VALUE"""),44989.0)</f>
        <v>44989</v>
      </c>
      <c r="C2970" s="13">
        <f>IFERROR(__xludf.DUMMYFUNCTION("""COMPUTED_VALUE"""),0.7083333333333334)</f>
        <v>0.7083333333</v>
      </c>
      <c r="D2970" s="8">
        <f>IFERROR(__xludf.DUMMYFUNCTION("""COMPUTED_VALUE"""),0.093)</f>
        <v>0.093</v>
      </c>
      <c r="E2970" s="8" t="str">
        <f>IFERROR(__xludf.DUMMYFUNCTION("""COMPUTED_VALUE"""),"Real")</f>
        <v>Real</v>
      </c>
      <c r="G2970" s="8">
        <f t="shared" si="1"/>
        <v>3</v>
      </c>
      <c r="H2970" s="14">
        <f t="shared" si="2"/>
        <v>4</v>
      </c>
      <c r="I2970" s="15">
        <f t="shared" si="3"/>
        <v>17</v>
      </c>
    </row>
    <row r="2971">
      <c r="A2971" s="8" t="str">
        <f>IFERROR(__xludf.DUMMYFUNCTION("IF('(INGESTA)Datos_consumo_datadis'!A2971&lt;&gt;"""",SPLIT('(INGESTA)Datos_consumo_datadis'!A:A,"",""),"""")"),"ES0031408323131005HX0F")</f>
        <v>ES0031408323131005HX0F</v>
      </c>
      <c r="B2971" s="12">
        <f>IFERROR(__xludf.DUMMYFUNCTION("""COMPUTED_VALUE"""),44989.0)</f>
        <v>44989</v>
      </c>
      <c r="C2971" s="13">
        <f>IFERROR(__xludf.DUMMYFUNCTION("""COMPUTED_VALUE"""),0.75)</f>
        <v>0.75</v>
      </c>
      <c r="D2971" s="8">
        <f>IFERROR(__xludf.DUMMYFUNCTION("""COMPUTED_VALUE"""),0.487)</f>
        <v>0.487</v>
      </c>
      <c r="E2971" s="8" t="str">
        <f>IFERROR(__xludf.DUMMYFUNCTION("""COMPUTED_VALUE"""),"Real")</f>
        <v>Real</v>
      </c>
      <c r="G2971" s="8">
        <f t="shared" si="1"/>
        <v>3</v>
      </c>
      <c r="H2971" s="14">
        <f t="shared" si="2"/>
        <v>4</v>
      </c>
      <c r="I2971" s="15">
        <f t="shared" si="3"/>
        <v>18</v>
      </c>
    </row>
    <row r="2972">
      <c r="A2972" s="8" t="str">
        <f>IFERROR(__xludf.DUMMYFUNCTION("IF('(INGESTA)Datos_consumo_datadis'!A2972&lt;&gt;"""",SPLIT('(INGESTA)Datos_consumo_datadis'!A:A,"",""),"""")"),"ES0031408323131005HX0F")</f>
        <v>ES0031408323131005HX0F</v>
      </c>
      <c r="B2972" s="12">
        <f>IFERROR(__xludf.DUMMYFUNCTION("""COMPUTED_VALUE"""),44989.0)</f>
        <v>44989</v>
      </c>
      <c r="C2972" s="13">
        <f>IFERROR(__xludf.DUMMYFUNCTION("""COMPUTED_VALUE"""),0.7916666666666666)</f>
        <v>0.7916666667</v>
      </c>
      <c r="D2972" s="8">
        <f>IFERROR(__xludf.DUMMYFUNCTION("""COMPUTED_VALUE"""),0.088)</f>
        <v>0.088</v>
      </c>
      <c r="E2972" s="8" t="str">
        <f>IFERROR(__xludf.DUMMYFUNCTION("""COMPUTED_VALUE"""),"Real")</f>
        <v>Real</v>
      </c>
      <c r="G2972" s="8">
        <f t="shared" si="1"/>
        <v>3</v>
      </c>
      <c r="H2972" s="14">
        <f t="shared" si="2"/>
        <v>4</v>
      </c>
      <c r="I2972" s="15">
        <f t="shared" si="3"/>
        <v>19</v>
      </c>
    </row>
    <row r="2973">
      <c r="A2973" s="8" t="str">
        <f>IFERROR(__xludf.DUMMYFUNCTION("IF('(INGESTA)Datos_consumo_datadis'!A2973&lt;&gt;"""",SPLIT('(INGESTA)Datos_consumo_datadis'!A:A,"",""),"""")"),"ES0031408323131005HX0F")</f>
        <v>ES0031408323131005HX0F</v>
      </c>
      <c r="B2973" s="12">
        <f>IFERROR(__xludf.DUMMYFUNCTION("""COMPUTED_VALUE"""),44989.0)</f>
        <v>44989</v>
      </c>
      <c r="C2973" s="13">
        <f>IFERROR(__xludf.DUMMYFUNCTION("""COMPUTED_VALUE"""),0.8333333333333334)</f>
        <v>0.8333333333</v>
      </c>
      <c r="D2973" s="8">
        <f>IFERROR(__xludf.DUMMYFUNCTION("""COMPUTED_VALUE"""),1.306)</f>
        <v>1.306</v>
      </c>
      <c r="E2973" s="8" t="str">
        <f>IFERROR(__xludf.DUMMYFUNCTION("""COMPUTED_VALUE"""),"Real")</f>
        <v>Real</v>
      </c>
      <c r="G2973" s="8">
        <f t="shared" si="1"/>
        <v>3</v>
      </c>
      <c r="H2973" s="14">
        <f t="shared" si="2"/>
        <v>4</v>
      </c>
      <c r="I2973" s="15">
        <f t="shared" si="3"/>
        <v>20</v>
      </c>
    </row>
    <row r="2974">
      <c r="A2974" s="8" t="str">
        <f>IFERROR(__xludf.DUMMYFUNCTION("IF('(INGESTA)Datos_consumo_datadis'!A2974&lt;&gt;"""",SPLIT('(INGESTA)Datos_consumo_datadis'!A:A,"",""),"""")"),"ES0031408323131005HX0F")</f>
        <v>ES0031408323131005HX0F</v>
      </c>
      <c r="B2974" s="12">
        <f>IFERROR(__xludf.DUMMYFUNCTION("""COMPUTED_VALUE"""),44989.0)</f>
        <v>44989</v>
      </c>
      <c r="C2974" s="13">
        <f>IFERROR(__xludf.DUMMYFUNCTION("""COMPUTED_VALUE"""),0.875)</f>
        <v>0.875</v>
      </c>
      <c r="D2974" s="8">
        <f>IFERROR(__xludf.DUMMYFUNCTION("""COMPUTED_VALUE"""),1.688)</f>
        <v>1.688</v>
      </c>
      <c r="E2974" s="8" t="str">
        <f>IFERROR(__xludf.DUMMYFUNCTION("""COMPUTED_VALUE"""),"Real")</f>
        <v>Real</v>
      </c>
      <c r="G2974" s="8">
        <f t="shared" si="1"/>
        <v>3</v>
      </c>
      <c r="H2974" s="14">
        <f t="shared" si="2"/>
        <v>4</v>
      </c>
      <c r="I2974" s="15">
        <f t="shared" si="3"/>
        <v>21</v>
      </c>
    </row>
    <row r="2975">
      <c r="A2975" s="8" t="str">
        <f>IFERROR(__xludf.DUMMYFUNCTION("IF('(INGESTA)Datos_consumo_datadis'!A2975&lt;&gt;"""",SPLIT('(INGESTA)Datos_consumo_datadis'!A:A,"",""),"""")"),"ES0031408323131005HX0F")</f>
        <v>ES0031408323131005HX0F</v>
      </c>
      <c r="B2975" s="12">
        <f>IFERROR(__xludf.DUMMYFUNCTION("""COMPUTED_VALUE"""),44989.0)</f>
        <v>44989</v>
      </c>
      <c r="C2975" s="13">
        <f>IFERROR(__xludf.DUMMYFUNCTION("""COMPUTED_VALUE"""),0.9166666666666666)</f>
        <v>0.9166666667</v>
      </c>
      <c r="D2975" s="8">
        <f>IFERROR(__xludf.DUMMYFUNCTION("""COMPUTED_VALUE"""),1.888)</f>
        <v>1.888</v>
      </c>
      <c r="E2975" s="8" t="str">
        <f>IFERROR(__xludf.DUMMYFUNCTION("""COMPUTED_VALUE"""),"Real")</f>
        <v>Real</v>
      </c>
      <c r="G2975" s="8">
        <f t="shared" si="1"/>
        <v>3</v>
      </c>
      <c r="H2975" s="14">
        <f t="shared" si="2"/>
        <v>4</v>
      </c>
      <c r="I2975" s="15">
        <f t="shared" si="3"/>
        <v>22</v>
      </c>
    </row>
    <row r="2976">
      <c r="A2976" s="8" t="str">
        <f>IFERROR(__xludf.DUMMYFUNCTION("IF('(INGESTA)Datos_consumo_datadis'!A2976&lt;&gt;"""",SPLIT('(INGESTA)Datos_consumo_datadis'!A:A,"",""),"""")"),"ES0031408323131005HX0F")</f>
        <v>ES0031408323131005HX0F</v>
      </c>
      <c r="B2976" s="12">
        <f>IFERROR(__xludf.DUMMYFUNCTION("""COMPUTED_VALUE"""),44989.0)</f>
        <v>44989</v>
      </c>
      <c r="C2976" s="13">
        <f>IFERROR(__xludf.DUMMYFUNCTION("""COMPUTED_VALUE"""),0.9583333333333334)</f>
        <v>0.9583333333</v>
      </c>
      <c r="D2976" s="8">
        <f>IFERROR(__xludf.DUMMYFUNCTION("""COMPUTED_VALUE"""),1.573)</f>
        <v>1.573</v>
      </c>
      <c r="E2976" s="8" t="str">
        <f>IFERROR(__xludf.DUMMYFUNCTION("""COMPUTED_VALUE"""),"Real")</f>
        <v>Real</v>
      </c>
      <c r="G2976" s="8">
        <f t="shared" si="1"/>
        <v>3</v>
      </c>
      <c r="H2976" s="14">
        <f t="shared" si="2"/>
        <v>4</v>
      </c>
      <c r="I2976" s="15">
        <f t="shared" si="3"/>
        <v>23</v>
      </c>
    </row>
    <row r="2977">
      <c r="A2977" s="8" t="str">
        <f>IFERROR(__xludf.DUMMYFUNCTION("IF('(INGESTA)Datos_consumo_datadis'!A2977&lt;&gt;"""",SPLIT('(INGESTA)Datos_consumo_datadis'!A:A,"",""),"""")"),"ES0031408323131005HX0F")</f>
        <v>ES0031408323131005HX0F</v>
      </c>
      <c r="B2977" s="12">
        <f>IFERROR(__xludf.DUMMYFUNCTION("""COMPUTED_VALUE"""),44989.0)</f>
        <v>44989</v>
      </c>
      <c r="C2977" s="16">
        <f>IFERROR(__xludf.DUMMYFUNCTION("""COMPUTED_VALUE"""),1.0)</f>
        <v>1</v>
      </c>
      <c r="D2977" s="8">
        <f>IFERROR(__xludf.DUMMYFUNCTION("""COMPUTED_VALUE"""),1.733)</f>
        <v>1.733</v>
      </c>
      <c r="E2977" s="8" t="str">
        <f>IFERROR(__xludf.DUMMYFUNCTION("""COMPUTED_VALUE"""),"Real")</f>
        <v>Real</v>
      </c>
      <c r="G2977" s="8">
        <f t="shared" si="1"/>
        <v>3</v>
      </c>
      <c r="H2977" s="14">
        <f t="shared" si="2"/>
        <v>4</v>
      </c>
      <c r="I2977" s="15">
        <f t="shared" si="3"/>
        <v>0</v>
      </c>
    </row>
    <row r="2978">
      <c r="A2978" s="8" t="str">
        <f>IFERROR(__xludf.DUMMYFUNCTION("IF('(INGESTA)Datos_consumo_datadis'!A2978&lt;&gt;"""",SPLIT('(INGESTA)Datos_consumo_datadis'!A:A,"",""),"""")"),"ES0031408323131005HX0F")</f>
        <v>ES0031408323131005HX0F</v>
      </c>
      <c r="B2978" s="12">
        <f>IFERROR(__xludf.DUMMYFUNCTION("""COMPUTED_VALUE"""),44990.0)</f>
        <v>44990</v>
      </c>
      <c r="C2978" s="13">
        <f>IFERROR(__xludf.DUMMYFUNCTION("""COMPUTED_VALUE"""),0.041666666666666664)</f>
        <v>0.04166666667</v>
      </c>
      <c r="D2978" s="8">
        <f>IFERROR(__xludf.DUMMYFUNCTION("""COMPUTED_VALUE"""),1.544)</f>
        <v>1.544</v>
      </c>
      <c r="E2978" s="8" t="str">
        <f>IFERROR(__xludf.DUMMYFUNCTION("""COMPUTED_VALUE"""),"Real")</f>
        <v>Real</v>
      </c>
      <c r="G2978" s="8">
        <f t="shared" si="1"/>
        <v>3</v>
      </c>
      <c r="H2978" s="14">
        <f t="shared" si="2"/>
        <v>5</v>
      </c>
      <c r="I2978" s="15">
        <f t="shared" si="3"/>
        <v>1</v>
      </c>
    </row>
    <row r="2979">
      <c r="A2979" s="8" t="str">
        <f>IFERROR(__xludf.DUMMYFUNCTION("IF('(INGESTA)Datos_consumo_datadis'!A2979&lt;&gt;"""",SPLIT('(INGESTA)Datos_consumo_datadis'!A:A,"",""),"""")"),"ES0031408323131005HX0F")</f>
        <v>ES0031408323131005HX0F</v>
      </c>
      <c r="B2979" s="12">
        <f>IFERROR(__xludf.DUMMYFUNCTION("""COMPUTED_VALUE"""),44990.0)</f>
        <v>44990</v>
      </c>
      <c r="C2979" s="13">
        <f>IFERROR(__xludf.DUMMYFUNCTION("""COMPUTED_VALUE"""),0.08333333333333333)</f>
        <v>0.08333333333</v>
      </c>
      <c r="D2979" s="8">
        <f>IFERROR(__xludf.DUMMYFUNCTION("""COMPUTED_VALUE"""),0.262)</f>
        <v>0.262</v>
      </c>
      <c r="E2979" s="8" t="str">
        <f>IFERROR(__xludf.DUMMYFUNCTION("""COMPUTED_VALUE"""),"Real")</f>
        <v>Real</v>
      </c>
      <c r="G2979" s="8">
        <f t="shared" si="1"/>
        <v>3</v>
      </c>
      <c r="H2979" s="14">
        <f t="shared" si="2"/>
        <v>5</v>
      </c>
      <c r="I2979" s="15">
        <f t="shared" si="3"/>
        <v>2</v>
      </c>
    </row>
    <row r="2980">
      <c r="A2980" s="8" t="str">
        <f>IFERROR(__xludf.DUMMYFUNCTION("IF('(INGESTA)Datos_consumo_datadis'!A2980&lt;&gt;"""",SPLIT('(INGESTA)Datos_consumo_datadis'!A:A,"",""),"""")"),"ES0031408323131005HX0F")</f>
        <v>ES0031408323131005HX0F</v>
      </c>
      <c r="B2980" s="12">
        <f>IFERROR(__xludf.DUMMYFUNCTION("""COMPUTED_VALUE"""),44990.0)</f>
        <v>44990</v>
      </c>
      <c r="C2980" s="13">
        <f>IFERROR(__xludf.DUMMYFUNCTION("""COMPUTED_VALUE"""),0.125)</f>
        <v>0.125</v>
      </c>
      <c r="D2980" s="8">
        <f>IFERROR(__xludf.DUMMYFUNCTION("""COMPUTED_VALUE"""),0.259)</f>
        <v>0.259</v>
      </c>
      <c r="E2980" s="8" t="str">
        <f>IFERROR(__xludf.DUMMYFUNCTION("""COMPUTED_VALUE"""),"Real")</f>
        <v>Real</v>
      </c>
      <c r="G2980" s="8">
        <f t="shared" si="1"/>
        <v>3</v>
      </c>
      <c r="H2980" s="14">
        <f t="shared" si="2"/>
        <v>5</v>
      </c>
      <c r="I2980" s="15">
        <f t="shared" si="3"/>
        <v>3</v>
      </c>
    </row>
    <row r="2981">
      <c r="A2981" s="8" t="str">
        <f>IFERROR(__xludf.DUMMYFUNCTION("IF('(INGESTA)Datos_consumo_datadis'!A2981&lt;&gt;"""",SPLIT('(INGESTA)Datos_consumo_datadis'!A:A,"",""),"""")"),"ES0031408323131005HX0F")</f>
        <v>ES0031408323131005HX0F</v>
      </c>
      <c r="B2981" s="12">
        <f>IFERROR(__xludf.DUMMYFUNCTION("""COMPUTED_VALUE"""),44990.0)</f>
        <v>44990</v>
      </c>
      <c r="C2981" s="13">
        <f>IFERROR(__xludf.DUMMYFUNCTION("""COMPUTED_VALUE"""),0.16666666666666666)</f>
        <v>0.1666666667</v>
      </c>
      <c r="D2981" s="8">
        <f>IFERROR(__xludf.DUMMYFUNCTION("""COMPUTED_VALUE"""),0.075)</f>
        <v>0.075</v>
      </c>
      <c r="E2981" s="8" t="str">
        <f>IFERROR(__xludf.DUMMYFUNCTION("""COMPUTED_VALUE"""),"Real")</f>
        <v>Real</v>
      </c>
      <c r="G2981" s="8">
        <f t="shared" si="1"/>
        <v>3</v>
      </c>
      <c r="H2981" s="14">
        <f t="shared" si="2"/>
        <v>5</v>
      </c>
      <c r="I2981" s="15">
        <f t="shared" si="3"/>
        <v>4</v>
      </c>
    </row>
    <row r="2982">
      <c r="A2982" s="8" t="str">
        <f>IFERROR(__xludf.DUMMYFUNCTION("IF('(INGESTA)Datos_consumo_datadis'!A2982&lt;&gt;"""",SPLIT('(INGESTA)Datos_consumo_datadis'!A:A,"",""),"""")"),"ES0031408323131005HX0F")</f>
        <v>ES0031408323131005HX0F</v>
      </c>
      <c r="B2982" s="12">
        <f>IFERROR(__xludf.DUMMYFUNCTION("""COMPUTED_VALUE"""),44990.0)</f>
        <v>44990</v>
      </c>
      <c r="C2982" s="13">
        <f>IFERROR(__xludf.DUMMYFUNCTION("""COMPUTED_VALUE"""),0.20833333333333334)</f>
        <v>0.2083333333</v>
      </c>
      <c r="D2982" s="8">
        <f>IFERROR(__xludf.DUMMYFUNCTION("""COMPUTED_VALUE"""),0.024)</f>
        <v>0.024</v>
      </c>
      <c r="E2982" s="8" t="str">
        <f>IFERROR(__xludf.DUMMYFUNCTION("""COMPUTED_VALUE"""),"Real")</f>
        <v>Real</v>
      </c>
      <c r="G2982" s="8">
        <f t="shared" si="1"/>
        <v>3</v>
      </c>
      <c r="H2982" s="14">
        <f t="shared" si="2"/>
        <v>5</v>
      </c>
      <c r="I2982" s="15">
        <f t="shared" si="3"/>
        <v>5</v>
      </c>
    </row>
    <row r="2983">
      <c r="A2983" s="8" t="str">
        <f>IFERROR(__xludf.DUMMYFUNCTION("IF('(INGESTA)Datos_consumo_datadis'!A2983&lt;&gt;"""",SPLIT('(INGESTA)Datos_consumo_datadis'!A:A,"",""),"""")"),"ES0031408323131005HX0F")</f>
        <v>ES0031408323131005HX0F</v>
      </c>
      <c r="B2983" s="12">
        <f>IFERROR(__xludf.DUMMYFUNCTION("""COMPUTED_VALUE"""),44990.0)</f>
        <v>44990</v>
      </c>
      <c r="C2983" s="13">
        <f>IFERROR(__xludf.DUMMYFUNCTION("""COMPUTED_VALUE"""),0.25)</f>
        <v>0.25</v>
      </c>
      <c r="D2983" s="8">
        <f>IFERROR(__xludf.DUMMYFUNCTION("""COMPUTED_VALUE"""),0.053)</f>
        <v>0.053</v>
      </c>
      <c r="E2983" s="8" t="str">
        <f>IFERROR(__xludf.DUMMYFUNCTION("""COMPUTED_VALUE"""),"Real")</f>
        <v>Real</v>
      </c>
      <c r="G2983" s="8">
        <f t="shared" si="1"/>
        <v>3</v>
      </c>
      <c r="H2983" s="14">
        <f t="shared" si="2"/>
        <v>5</v>
      </c>
      <c r="I2983" s="15">
        <f t="shared" si="3"/>
        <v>6</v>
      </c>
    </row>
    <row r="2984">
      <c r="A2984" s="8" t="str">
        <f>IFERROR(__xludf.DUMMYFUNCTION("IF('(INGESTA)Datos_consumo_datadis'!A2984&lt;&gt;"""",SPLIT('(INGESTA)Datos_consumo_datadis'!A:A,"",""),"""")"),"ES0031408323131005HX0F")</f>
        <v>ES0031408323131005HX0F</v>
      </c>
      <c r="B2984" s="12">
        <f>IFERROR(__xludf.DUMMYFUNCTION("""COMPUTED_VALUE"""),44990.0)</f>
        <v>44990</v>
      </c>
      <c r="C2984" s="13">
        <f>IFERROR(__xludf.DUMMYFUNCTION("""COMPUTED_VALUE"""),0.2916666666666667)</f>
        <v>0.2916666667</v>
      </c>
      <c r="D2984" s="8">
        <f>IFERROR(__xludf.DUMMYFUNCTION("""COMPUTED_VALUE"""),0.326)</f>
        <v>0.326</v>
      </c>
      <c r="E2984" s="8" t="str">
        <f>IFERROR(__xludf.DUMMYFUNCTION("""COMPUTED_VALUE"""),"Real")</f>
        <v>Real</v>
      </c>
      <c r="G2984" s="8">
        <f t="shared" si="1"/>
        <v>3</v>
      </c>
      <c r="H2984" s="14">
        <f t="shared" si="2"/>
        <v>5</v>
      </c>
      <c r="I2984" s="15">
        <f t="shared" si="3"/>
        <v>7</v>
      </c>
    </row>
    <row r="2985">
      <c r="A2985" s="8" t="str">
        <f>IFERROR(__xludf.DUMMYFUNCTION("IF('(INGESTA)Datos_consumo_datadis'!A2985&lt;&gt;"""",SPLIT('(INGESTA)Datos_consumo_datadis'!A:A,"",""),"""")"),"ES0031408323131005HX0F")</f>
        <v>ES0031408323131005HX0F</v>
      </c>
      <c r="B2985" s="12">
        <f>IFERROR(__xludf.DUMMYFUNCTION("""COMPUTED_VALUE"""),44990.0)</f>
        <v>44990</v>
      </c>
      <c r="C2985" s="13">
        <f>IFERROR(__xludf.DUMMYFUNCTION("""COMPUTED_VALUE"""),0.3333333333333333)</f>
        <v>0.3333333333</v>
      </c>
      <c r="D2985" s="8">
        <f>IFERROR(__xludf.DUMMYFUNCTION("""COMPUTED_VALUE"""),0.037)</f>
        <v>0.037</v>
      </c>
      <c r="E2985" s="8" t="str">
        <f>IFERROR(__xludf.DUMMYFUNCTION("""COMPUTED_VALUE"""),"Real")</f>
        <v>Real</v>
      </c>
      <c r="G2985" s="8">
        <f t="shared" si="1"/>
        <v>3</v>
      </c>
      <c r="H2985" s="14">
        <f t="shared" si="2"/>
        <v>5</v>
      </c>
      <c r="I2985" s="15">
        <f t="shared" si="3"/>
        <v>8</v>
      </c>
    </row>
    <row r="2986">
      <c r="A2986" s="8" t="str">
        <f>IFERROR(__xludf.DUMMYFUNCTION("IF('(INGESTA)Datos_consumo_datadis'!A2986&lt;&gt;"""",SPLIT('(INGESTA)Datos_consumo_datadis'!A:A,"",""),"""")"),"ES0031408323131005HX0F")</f>
        <v>ES0031408323131005HX0F</v>
      </c>
      <c r="B2986" s="12">
        <f>IFERROR(__xludf.DUMMYFUNCTION("""COMPUTED_VALUE"""),44990.0)</f>
        <v>44990</v>
      </c>
      <c r="C2986" s="13">
        <f>IFERROR(__xludf.DUMMYFUNCTION("""COMPUTED_VALUE"""),0.375)</f>
        <v>0.375</v>
      </c>
      <c r="D2986" s="8">
        <f>IFERROR(__xludf.DUMMYFUNCTION("""COMPUTED_VALUE"""),0.021)</f>
        <v>0.021</v>
      </c>
      <c r="E2986" s="8" t="str">
        <f>IFERROR(__xludf.DUMMYFUNCTION("""COMPUTED_VALUE"""),"Real")</f>
        <v>Real</v>
      </c>
      <c r="G2986" s="8">
        <f t="shared" si="1"/>
        <v>3</v>
      </c>
      <c r="H2986" s="14">
        <f t="shared" si="2"/>
        <v>5</v>
      </c>
      <c r="I2986" s="15">
        <f t="shared" si="3"/>
        <v>9</v>
      </c>
    </row>
    <row r="2987">
      <c r="A2987" s="8" t="str">
        <f>IFERROR(__xludf.DUMMYFUNCTION("IF('(INGESTA)Datos_consumo_datadis'!A2987&lt;&gt;"""",SPLIT('(INGESTA)Datos_consumo_datadis'!A:A,"",""),"""")"),"ES0031408323131005HX0F")</f>
        <v>ES0031408323131005HX0F</v>
      </c>
      <c r="B2987" s="12">
        <f>IFERROR(__xludf.DUMMYFUNCTION("""COMPUTED_VALUE"""),44990.0)</f>
        <v>44990</v>
      </c>
      <c r="C2987" s="13">
        <f>IFERROR(__xludf.DUMMYFUNCTION("""COMPUTED_VALUE"""),0.4166666666666667)</f>
        <v>0.4166666667</v>
      </c>
      <c r="D2987" s="8">
        <f>IFERROR(__xludf.DUMMYFUNCTION("""COMPUTED_VALUE"""),0.887)</f>
        <v>0.887</v>
      </c>
      <c r="E2987" s="8" t="str">
        <f>IFERROR(__xludf.DUMMYFUNCTION("""COMPUTED_VALUE"""),"Real")</f>
        <v>Real</v>
      </c>
      <c r="G2987" s="8">
        <f t="shared" si="1"/>
        <v>3</v>
      </c>
      <c r="H2987" s="14">
        <f t="shared" si="2"/>
        <v>5</v>
      </c>
      <c r="I2987" s="15">
        <f t="shared" si="3"/>
        <v>10</v>
      </c>
    </row>
    <row r="2988">
      <c r="A2988" s="8" t="str">
        <f>IFERROR(__xludf.DUMMYFUNCTION("IF('(INGESTA)Datos_consumo_datadis'!A2988&lt;&gt;"""",SPLIT('(INGESTA)Datos_consumo_datadis'!A:A,"",""),"""")"),"ES0031408323131005HX0F")</f>
        <v>ES0031408323131005HX0F</v>
      </c>
      <c r="B2988" s="12">
        <f>IFERROR(__xludf.DUMMYFUNCTION("""COMPUTED_VALUE"""),44990.0)</f>
        <v>44990</v>
      </c>
      <c r="C2988" s="13">
        <f>IFERROR(__xludf.DUMMYFUNCTION("""COMPUTED_VALUE"""),0.4583333333333333)</f>
        <v>0.4583333333</v>
      </c>
      <c r="D2988" s="8">
        <f>IFERROR(__xludf.DUMMYFUNCTION("""COMPUTED_VALUE"""),0.068)</f>
        <v>0.068</v>
      </c>
      <c r="E2988" s="8" t="str">
        <f>IFERROR(__xludf.DUMMYFUNCTION("""COMPUTED_VALUE"""),"Real")</f>
        <v>Real</v>
      </c>
      <c r="G2988" s="8">
        <f t="shared" si="1"/>
        <v>3</v>
      </c>
      <c r="H2988" s="14">
        <f t="shared" si="2"/>
        <v>5</v>
      </c>
      <c r="I2988" s="15">
        <f t="shared" si="3"/>
        <v>11</v>
      </c>
    </row>
    <row r="2989">
      <c r="A2989" s="8" t="str">
        <f>IFERROR(__xludf.DUMMYFUNCTION("IF('(INGESTA)Datos_consumo_datadis'!A2989&lt;&gt;"""",SPLIT('(INGESTA)Datos_consumo_datadis'!A:A,"",""),"""")"),"ES0031408323131005HX0F")</f>
        <v>ES0031408323131005HX0F</v>
      </c>
      <c r="B2989" s="12">
        <f>IFERROR(__xludf.DUMMYFUNCTION("""COMPUTED_VALUE"""),44990.0)</f>
        <v>44990</v>
      </c>
      <c r="C2989" s="13">
        <f>IFERROR(__xludf.DUMMYFUNCTION("""COMPUTED_VALUE"""),0.5)</f>
        <v>0.5</v>
      </c>
      <c r="D2989" s="8">
        <f>IFERROR(__xludf.DUMMYFUNCTION("""COMPUTED_VALUE"""),0.02)</f>
        <v>0.02</v>
      </c>
      <c r="E2989" s="8" t="str">
        <f>IFERROR(__xludf.DUMMYFUNCTION("""COMPUTED_VALUE"""),"Real")</f>
        <v>Real</v>
      </c>
      <c r="G2989" s="8">
        <f t="shared" si="1"/>
        <v>3</v>
      </c>
      <c r="H2989" s="14">
        <f t="shared" si="2"/>
        <v>5</v>
      </c>
      <c r="I2989" s="15">
        <f t="shared" si="3"/>
        <v>12</v>
      </c>
    </row>
    <row r="2990">
      <c r="A2990" s="8" t="str">
        <f>IFERROR(__xludf.DUMMYFUNCTION("IF('(INGESTA)Datos_consumo_datadis'!A2990&lt;&gt;"""",SPLIT('(INGESTA)Datos_consumo_datadis'!A:A,"",""),"""")"),"ES0031408323131005HX0F")</f>
        <v>ES0031408323131005HX0F</v>
      </c>
      <c r="B2990" s="12">
        <f>IFERROR(__xludf.DUMMYFUNCTION("""COMPUTED_VALUE"""),44990.0)</f>
        <v>44990</v>
      </c>
      <c r="C2990" s="13">
        <f>IFERROR(__xludf.DUMMYFUNCTION("""COMPUTED_VALUE"""),0.5416666666666666)</f>
        <v>0.5416666667</v>
      </c>
      <c r="D2990" s="8">
        <f>IFERROR(__xludf.DUMMYFUNCTION("""COMPUTED_VALUE"""),0.071)</f>
        <v>0.071</v>
      </c>
      <c r="E2990" s="8" t="str">
        <f>IFERROR(__xludf.DUMMYFUNCTION("""COMPUTED_VALUE"""),"Real")</f>
        <v>Real</v>
      </c>
      <c r="G2990" s="8">
        <f t="shared" si="1"/>
        <v>3</v>
      </c>
      <c r="H2990" s="14">
        <f t="shared" si="2"/>
        <v>5</v>
      </c>
      <c r="I2990" s="15">
        <f t="shared" si="3"/>
        <v>13</v>
      </c>
    </row>
    <row r="2991">
      <c r="A2991" s="8" t="str">
        <f>IFERROR(__xludf.DUMMYFUNCTION("IF('(INGESTA)Datos_consumo_datadis'!A2991&lt;&gt;"""",SPLIT('(INGESTA)Datos_consumo_datadis'!A:A,"",""),"""")"),"ES0031408323131005HX0F")</f>
        <v>ES0031408323131005HX0F</v>
      </c>
      <c r="B2991" s="12">
        <f>IFERROR(__xludf.DUMMYFUNCTION("""COMPUTED_VALUE"""),44990.0)</f>
        <v>44990</v>
      </c>
      <c r="C2991" s="13">
        <f>IFERROR(__xludf.DUMMYFUNCTION("""COMPUTED_VALUE"""),0.5833333333333334)</f>
        <v>0.5833333333</v>
      </c>
      <c r="D2991" s="8">
        <f>IFERROR(__xludf.DUMMYFUNCTION("""COMPUTED_VALUE"""),0.307)</f>
        <v>0.307</v>
      </c>
      <c r="E2991" s="8" t="str">
        <f>IFERROR(__xludf.DUMMYFUNCTION("""COMPUTED_VALUE"""),"Real")</f>
        <v>Real</v>
      </c>
      <c r="G2991" s="8">
        <f t="shared" si="1"/>
        <v>3</v>
      </c>
      <c r="H2991" s="14">
        <f t="shared" si="2"/>
        <v>5</v>
      </c>
      <c r="I2991" s="15">
        <f t="shared" si="3"/>
        <v>14</v>
      </c>
    </row>
    <row r="2992">
      <c r="A2992" s="8" t="str">
        <f>IFERROR(__xludf.DUMMYFUNCTION("IF('(INGESTA)Datos_consumo_datadis'!A2992&lt;&gt;"""",SPLIT('(INGESTA)Datos_consumo_datadis'!A:A,"",""),"""")"),"ES0031408323131005HX0F")</f>
        <v>ES0031408323131005HX0F</v>
      </c>
      <c r="B2992" s="12">
        <f>IFERROR(__xludf.DUMMYFUNCTION("""COMPUTED_VALUE"""),44990.0)</f>
        <v>44990</v>
      </c>
      <c r="C2992" s="13">
        <f>IFERROR(__xludf.DUMMYFUNCTION("""COMPUTED_VALUE"""),0.625)</f>
        <v>0.625</v>
      </c>
      <c r="D2992" s="8">
        <f>IFERROR(__xludf.DUMMYFUNCTION("""COMPUTED_VALUE"""),0.049)</f>
        <v>0.049</v>
      </c>
      <c r="E2992" s="8" t="str">
        <f>IFERROR(__xludf.DUMMYFUNCTION("""COMPUTED_VALUE"""),"Real")</f>
        <v>Real</v>
      </c>
      <c r="G2992" s="8">
        <f t="shared" si="1"/>
        <v>3</v>
      </c>
      <c r="H2992" s="14">
        <f t="shared" si="2"/>
        <v>5</v>
      </c>
      <c r="I2992" s="15">
        <f t="shared" si="3"/>
        <v>15</v>
      </c>
    </row>
    <row r="2993">
      <c r="A2993" s="8" t="str">
        <f>IFERROR(__xludf.DUMMYFUNCTION("IF('(INGESTA)Datos_consumo_datadis'!A2993&lt;&gt;"""",SPLIT('(INGESTA)Datos_consumo_datadis'!A:A,"",""),"""")"),"ES0031408323131005HX0F")</f>
        <v>ES0031408323131005HX0F</v>
      </c>
      <c r="B2993" s="12">
        <f>IFERROR(__xludf.DUMMYFUNCTION("""COMPUTED_VALUE"""),44990.0)</f>
        <v>44990</v>
      </c>
      <c r="C2993" s="13">
        <f>IFERROR(__xludf.DUMMYFUNCTION("""COMPUTED_VALUE"""),0.6666666666666666)</f>
        <v>0.6666666667</v>
      </c>
      <c r="D2993" s="8">
        <f>IFERROR(__xludf.DUMMYFUNCTION("""COMPUTED_VALUE"""),0.021)</f>
        <v>0.021</v>
      </c>
      <c r="E2993" s="8" t="str">
        <f>IFERROR(__xludf.DUMMYFUNCTION("""COMPUTED_VALUE"""),"Real")</f>
        <v>Real</v>
      </c>
      <c r="G2993" s="8">
        <f t="shared" si="1"/>
        <v>3</v>
      </c>
      <c r="H2993" s="14">
        <f t="shared" si="2"/>
        <v>5</v>
      </c>
      <c r="I2993" s="15">
        <f t="shared" si="3"/>
        <v>16</v>
      </c>
    </row>
    <row r="2994">
      <c r="A2994" s="8" t="str">
        <f>IFERROR(__xludf.DUMMYFUNCTION("IF('(INGESTA)Datos_consumo_datadis'!A2994&lt;&gt;"""",SPLIT('(INGESTA)Datos_consumo_datadis'!A:A,"",""),"""")"),"ES0031408323131005HX0F")</f>
        <v>ES0031408323131005HX0F</v>
      </c>
      <c r="B2994" s="12">
        <f>IFERROR(__xludf.DUMMYFUNCTION("""COMPUTED_VALUE"""),44990.0)</f>
        <v>44990</v>
      </c>
      <c r="C2994" s="13">
        <f>IFERROR(__xludf.DUMMYFUNCTION("""COMPUTED_VALUE"""),0.7083333333333334)</f>
        <v>0.7083333333</v>
      </c>
      <c r="D2994" s="8">
        <f>IFERROR(__xludf.DUMMYFUNCTION("""COMPUTED_VALUE"""),0.077)</f>
        <v>0.077</v>
      </c>
      <c r="E2994" s="8" t="str">
        <f>IFERROR(__xludf.DUMMYFUNCTION("""COMPUTED_VALUE"""),"Real")</f>
        <v>Real</v>
      </c>
      <c r="G2994" s="8">
        <f t="shared" si="1"/>
        <v>3</v>
      </c>
      <c r="H2994" s="14">
        <f t="shared" si="2"/>
        <v>5</v>
      </c>
      <c r="I2994" s="15">
        <f t="shared" si="3"/>
        <v>17</v>
      </c>
    </row>
    <row r="2995">
      <c r="A2995" s="8" t="str">
        <f>IFERROR(__xludf.DUMMYFUNCTION("IF('(INGESTA)Datos_consumo_datadis'!A2995&lt;&gt;"""",SPLIT('(INGESTA)Datos_consumo_datadis'!A:A,"",""),"""")"),"ES0031408323131005HX0F")</f>
        <v>ES0031408323131005HX0F</v>
      </c>
      <c r="B2995" s="12">
        <f>IFERROR(__xludf.DUMMYFUNCTION("""COMPUTED_VALUE"""),44990.0)</f>
        <v>44990</v>
      </c>
      <c r="C2995" s="13">
        <f>IFERROR(__xludf.DUMMYFUNCTION("""COMPUTED_VALUE"""),0.75)</f>
        <v>0.75</v>
      </c>
      <c r="D2995" s="8">
        <f>IFERROR(__xludf.DUMMYFUNCTION("""COMPUTED_VALUE"""),1.951)</f>
        <v>1.951</v>
      </c>
      <c r="E2995" s="8" t="str">
        <f>IFERROR(__xludf.DUMMYFUNCTION("""COMPUTED_VALUE"""),"Real")</f>
        <v>Real</v>
      </c>
      <c r="G2995" s="8">
        <f t="shared" si="1"/>
        <v>3</v>
      </c>
      <c r="H2995" s="14">
        <f t="shared" si="2"/>
        <v>5</v>
      </c>
      <c r="I2995" s="15">
        <f t="shared" si="3"/>
        <v>18</v>
      </c>
    </row>
    <row r="2996">
      <c r="A2996" s="8" t="str">
        <f>IFERROR(__xludf.DUMMYFUNCTION("IF('(INGESTA)Datos_consumo_datadis'!A2996&lt;&gt;"""",SPLIT('(INGESTA)Datos_consumo_datadis'!A:A,"",""),"""")"),"ES0031408323131005HX0F")</f>
        <v>ES0031408323131005HX0F</v>
      </c>
      <c r="B2996" s="12">
        <f>IFERROR(__xludf.DUMMYFUNCTION("""COMPUTED_VALUE"""),44990.0)</f>
        <v>44990</v>
      </c>
      <c r="C2996" s="13">
        <f>IFERROR(__xludf.DUMMYFUNCTION("""COMPUTED_VALUE"""),0.7916666666666666)</f>
        <v>0.7916666667</v>
      </c>
      <c r="D2996" s="8">
        <f>IFERROR(__xludf.DUMMYFUNCTION("""COMPUTED_VALUE"""),1.879)</f>
        <v>1.879</v>
      </c>
      <c r="E2996" s="8" t="str">
        <f>IFERROR(__xludf.DUMMYFUNCTION("""COMPUTED_VALUE"""),"Real")</f>
        <v>Real</v>
      </c>
      <c r="G2996" s="8">
        <f t="shared" si="1"/>
        <v>3</v>
      </c>
      <c r="H2996" s="14">
        <f t="shared" si="2"/>
        <v>5</v>
      </c>
      <c r="I2996" s="15">
        <f t="shared" si="3"/>
        <v>19</v>
      </c>
    </row>
    <row r="2997">
      <c r="A2997" s="8" t="str">
        <f>IFERROR(__xludf.DUMMYFUNCTION("IF('(INGESTA)Datos_consumo_datadis'!A2997&lt;&gt;"""",SPLIT('(INGESTA)Datos_consumo_datadis'!A:A,"",""),"""")"),"ES0031408323131005HX0F")</f>
        <v>ES0031408323131005HX0F</v>
      </c>
      <c r="B2997" s="12">
        <f>IFERROR(__xludf.DUMMYFUNCTION("""COMPUTED_VALUE"""),44990.0)</f>
        <v>44990</v>
      </c>
      <c r="C2997" s="13">
        <f>IFERROR(__xludf.DUMMYFUNCTION("""COMPUTED_VALUE"""),0.8333333333333334)</f>
        <v>0.8333333333</v>
      </c>
      <c r="D2997" s="8">
        <f>IFERROR(__xludf.DUMMYFUNCTION("""COMPUTED_VALUE"""),3.052)</f>
        <v>3.052</v>
      </c>
      <c r="E2997" s="8" t="str">
        <f>IFERROR(__xludf.DUMMYFUNCTION("""COMPUTED_VALUE"""),"Real")</f>
        <v>Real</v>
      </c>
      <c r="G2997" s="8">
        <f t="shared" si="1"/>
        <v>3</v>
      </c>
      <c r="H2997" s="14">
        <f t="shared" si="2"/>
        <v>5</v>
      </c>
      <c r="I2997" s="15">
        <f t="shared" si="3"/>
        <v>20</v>
      </c>
    </row>
    <row r="2998">
      <c r="A2998" s="8" t="str">
        <f>IFERROR(__xludf.DUMMYFUNCTION("IF('(INGESTA)Datos_consumo_datadis'!A2998&lt;&gt;"""",SPLIT('(INGESTA)Datos_consumo_datadis'!A:A,"",""),"""")"),"ES0031408323131005HX0F")</f>
        <v>ES0031408323131005HX0F</v>
      </c>
      <c r="B2998" s="12">
        <f>IFERROR(__xludf.DUMMYFUNCTION("""COMPUTED_VALUE"""),44990.0)</f>
        <v>44990</v>
      </c>
      <c r="C2998" s="13">
        <f>IFERROR(__xludf.DUMMYFUNCTION("""COMPUTED_VALUE"""),0.875)</f>
        <v>0.875</v>
      </c>
      <c r="D2998" s="8">
        <f>IFERROR(__xludf.DUMMYFUNCTION("""COMPUTED_VALUE"""),1.103)</f>
        <v>1.103</v>
      </c>
      <c r="E2998" s="8" t="str">
        <f>IFERROR(__xludf.DUMMYFUNCTION("""COMPUTED_VALUE"""),"Real")</f>
        <v>Real</v>
      </c>
      <c r="G2998" s="8">
        <f t="shared" si="1"/>
        <v>3</v>
      </c>
      <c r="H2998" s="14">
        <f t="shared" si="2"/>
        <v>5</v>
      </c>
      <c r="I2998" s="15">
        <f t="shared" si="3"/>
        <v>21</v>
      </c>
    </row>
    <row r="2999">
      <c r="A2999" s="8" t="str">
        <f>IFERROR(__xludf.DUMMYFUNCTION("IF('(INGESTA)Datos_consumo_datadis'!A2999&lt;&gt;"""",SPLIT('(INGESTA)Datos_consumo_datadis'!A:A,"",""),"""")"),"ES0031408323131005HX0F")</f>
        <v>ES0031408323131005HX0F</v>
      </c>
      <c r="B2999" s="12">
        <f>IFERROR(__xludf.DUMMYFUNCTION("""COMPUTED_VALUE"""),44990.0)</f>
        <v>44990</v>
      </c>
      <c r="C2999" s="13">
        <f>IFERROR(__xludf.DUMMYFUNCTION("""COMPUTED_VALUE"""),0.9166666666666666)</f>
        <v>0.9166666667</v>
      </c>
      <c r="D2999" s="8">
        <f>IFERROR(__xludf.DUMMYFUNCTION("""COMPUTED_VALUE"""),1.62)</f>
        <v>1.62</v>
      </c>
      <c r="E2999" s="8" t="str">
        <f>IFERROR(__xludf.DUMMYFUNCTION("""COMPUTED_VALUE"""),"Real")</f>
        <v>Real</v>
      </c>
      <c r="G2999" s="8">
        <f t="shared" si="1"/>
        <v>3</v>
      </c>
      <c r="H2999" s="14">
        <f t="shared" si="2"/>
        <v>5</v>
      </c>
      <c r="I2999" s="15">
        <f t="shared" si="3"/>
        <v>22</v>
      </c>
    </row>
    <row r="3000">
      <c r="A3000" s="8" t="str">
        <f>IFERROR(__xludf.DUMMYFUNCTION("IF('(INGESTA)Datos_consumo_datadis'!A3000&lt;&gt;"""",SPLIT('(INGESTA)Datos_consumo_datadis'!A:A,"",""),"""")"),"ES0031408323131005HX0F")</f>
        <v>ES0031408323131005HX0F</v>
      </c>
      <c r="B3000" s="12">
        <f>IFERROR(__xludf.DUMMYFUNCTION("""COMPUTED_VALUE"""),44990.0)</f>
        <v>44990</v>
      </c>
      <c r="C3000" s="13">
        <f>IFERROR(__xludf.DUMMYFUNCTION("""COMPUTED_VALUE"""),0.9583333333333334)</f>
        <v>0.9583333333</v>
      </c>
      <c r="D3000" s="8">
        <f>IFERROR(__xludf.DUMMYFUNCTION("""COMPUTED_VALUE"""),2.415)</f>
        <v>2.415</v>
      </c>
      <c r="E3000" s="8" t="str">
        <f>IFERROR(__xludf.DUMMYFUNCTION("""COMPUTED_VALUE"""),"Real")</f>
        <v>Real</v>
      </c>
      <c r="G3000" s="8">
        <f t="shared" si="1"/>
        <v>3</v>
      </c>
      <c r="H3000" s="14">
        <f t="shared" si="2"/>
        <v>5</v>
      </c>
      <c r="I3000" s="15">
        <f t="shared" si="3"/>
        <v>23</v>
      </c>
    </row>
    <row r="3001">
      <c r="A3001" s="8" t="str">
        <f>IFERROR(__xludf.DUMMYFUNCTION("IF('(INGESTA)Datos_consumo_datadis'!A3001&lt;&gt;"""",SPLIT('(INGESTA)Datos_consumo_datadis'!A:A,"",""),"""")"),"ES0031408323131005HX0F")</f>
        <v>ES0031408323131005HX0F</v>
      </c>
      <c r="B3001" s="12">
        <f>IFERROR(__xludf.DUMMYFUNCTION("""COMPUTED_VALUE"""),44990.0)</f>
        <v>44990</v>
      </c>
      <c r="C3001" s="16">
        <f>IFERROR(__xludf.DUMMYFUNCTION("""COMPUTED_VALUE"""),1.0)</f>
        <v>1</v>
      </c>
      <c r="D3001" s="8">
        <f>IFERROR(__xludf.DUMMYFUNCTION("""COMPUTED_VALUE"""),2.03)</f>
        <v>2.03</v>
      </c>
      <c r="E3001" s="8" t="str">
        <f>IFERROR(__xludf.DUMMYFUNCTION("""COMPUTED_VALUE"""),"Real")</f>
        <v>Real</v>
      </c>
      <c r="G3001" s="8">
        <f t="shared" si="1"/>
        <v>3</v>
      </c>
      <c r="H3001" s="14">
        <f t="shared" si="2"/>
        <v>5</v>
      </c>
      <c r="I3001" s="15">
        <f t="shared" si="3"/>
        <v>0</v>
      </c>
    </row>
    <row r="3002">
      <c r="A3002" s="8" t="str">
        <f>IFERROR(__xludf.DUMMYFUNCTION("IF('(INGESTA)Datos_consumo_datadis'!A3002&lt;&gt;"""",SPLIT('(INGESTA)Datos_consumo_datadis'!A:A,"",""),"""")"),"ES0031408323131005HX0F")</f>
        <v>ES0031408323131005HX0F</v>
      </c>
      <c r="B3002" s="12">
        <f>IFERROR(__xludf.DUMMYFUNCTION("""COMPUTED_VALUE"""),44991.0)</f>
        <v>44991</v>
      </c>
      <c r="C3002" s="13">
        <f>IFERROR(__xludf.DUMMYFUNCTION("""COMPUTED_VALUE"""),0.041666666666666664)</f>
        <v>0.04166666667</v>
      </c>
      <c r="D3002" s="8">
        <f>IFERROR(__xludf.DUMMYFUNCTION("""COMPUTED_VALUE"""),2.26)</f>
        <v>2.26</v>
      </c>
      <c r="E3002" s="8" t="str">
        <f>IFERROR(__xludf.DUMMYFUNCTION("""COMPUTED_VALUE"""),"Real")</f>
        <v>Real</v>
      </c>
      <c r="G3002" s="8">
        <f t="shared" si="1"/>
        <v>3</v>
      </c>
      <c r="H3002" s="14">
        <f t="shared" si="2"/>
        <v>6</v>
      </c>
      <c r="I3002" s="15">
        <f t="shared" si="3"/>
        <v>1</v>
      </c>
    </row>
    <row r="3003">
      <c r="A3003" s="8" t="str">
        <f>IFERROR(__xludf.DUMMYFUNCTION("IF('(INGESTA)Datos_consumo_datadis'!A3003&lt;&gt;"""",SPLIT('(INGESTA)Datos_consumo_datadis'!A:A,"",""),"""")"),"ES0031408323131005HX0F")</f>
        <v>ES0031408323131005HX0F</v>
      </c>
      <c r="B3003" s="12">
        <f>IFERROR(__xludf.DUMMYFUNCTION("""COMPUTED_VALUE"""),44991.0)</f>
        <v>44991</v>
      </c>
      <c r="C3003" s="13">
        <f>IFERROR(__xludf.DUMMYFUNCTION("""COMPUTED_VALUE"""),0.08333333333333333)</f>
        <v>0.08333333333</v>
      </c>
      <c r="D3003" s="8">
        <f>IFERROR(__xludf.DUMMYFUNCTION("""COMPUTED_VALUE"""),1.768)</f>
        <v>1.768</v>
      </c>
      <c r="E3003" s="8" t="str">
        <f>IFERROR(__xludf.DUMMYFUNCTION("""COMPUTED_VALUE"""),"Real")</f>
        <v>Real</v>
      </c>
      <c r="G3003" s="8">
        <f t="shared" si="1"/>
        <v>3</v>
      </c>
      <c r="H3003" s="14">
        <f t="shared" si="2"/>
        <v>6</v>
      </c>
      <c r="I3003" s="15">
        <f t="shared" si="3"/>
        <v>2</v>
      </c>
    </row>
    <row r="3004">
      <c r="A3004" s="8" t="str">
        <f>IFERROR(__xludf.DUMMYFUNCTION("IF('(INGESTA)Datos_consumo_datadis'!A3004&lt;&gt;"""",SPLIT('(INGESTA)Datos_consumo_datadis'!A:A,"",""),"""")"),"ES0031408323131005HX0F")</f>
        <v>ES0031408323131005HX0F</v>
      </c>
      <c r="B3004" s="12">
        <f>IFERROR(__xludf.DUMMYFUNCTION("""COMPUTED_VALUE"""),44991.0)</f>
        <v>44991</v>
      </c>
      <c r="C3004" s="13">
        <f>IFERROR(__xludf.DUMMYFUNCTION("""COMPUTED_VALUE"""),0.125)</f>
        <v>0.125</v>
      </c>
      <c r="D3004" s="8">
        <f>IFERROR(__xludf.DUMMYFUNCTION("""COMPUTED_VALUE"""),2.169)</f>
        <v>2.169</v>
      </c>
      <c r="E3004" s="8" t="str">
        <f>IFERROR(__xludf.DUMMYFUNCTION("""COMPUTED_VALUE"""),"Real")</f>
        <v>Real</v>
      </c>
      <c r="G3004" s="8">
        <f t="shared" si="1"/>
        <v>3</v>
      </c>
      <c r="H3004" s="14">
        <f t="shared" si="2"/>
        <v>6</v>
      </c>
      <c r="I3004" s="15">
        <f t="shared" si="3"/>
        <v>3</v>
      </c>
    </row>
    <row r="3005">
      <c r="A3005" s="8" t="str">
        <f>IFERROR(__xludf.DUMMYFUNCTION("IF('(INGESTA)Datos_consumo_datadis'!A3005&lt;&gt;"""",SPLIT('(INGESTA)Datos_consumo_datadis'!A:A,"",""),"""")"),"ES0031408323131005HX0F")</f>
        <v>ES0031408323131005HX0F</v>
      </c>
      <c r="B3005" s="12">
        <f>IFERROR(__xludf.DUMMYFUNCTION("""COMPUTED_VALUE"""),44991.0)</f>
        <v>44991</v>
      </c>
      <c r="C3005" s="13">
        <f>IFERROR(__xludf.DUMMYFUNCTION("""COMPUTED_VALUE"""),0.16666666666666666)</f>
        <v>0.1666666667</v>
      </c>
      <c r="D3005" s="8">
        <f>IFERROR(__xludf.DUMMYFUNCTION("""COMPUTED_VALUE"""),1.756)</f>
        <v>1.756</v>
      </c>
      <c r="E3005" s="8" t="str">
        <f>IFERROR(__xludf.DUMMYFUNCTION("""COMPUTED_VALUE"""),"Real")</f>
        <v>Real</v>
      </c>
      <c r="G3005" s="8">
        <f t="shared" si="1"/>
        <v>3</v>
      </c>
      <c r="H3005" s="14">
        <f t="shared" si="2"/>
        <v>6</v>
      </c>
      <c r="I3005" s="15">
        <f t="shared" si="3"/>
        <v>4</v>
      </c>
    </row>
    <row r="3006">
      <c r="A3006" s="8" t="str">
        <f>IFERROR(__xludf.DUMMYFUNCTION("IF('(INGESTA)Datos_consumo_datadis'!A3006&lt;&gt;"""",SPLIT('(INGESTA)Datos_consumo_datadis'!A:A,"",""),"""")"),"ES0031408323131005HX0F")</f>
        <v>ES0031408323131005HX0F</v>
      </c>
      <c r="B3006" s="12">
        <f>IFERROR(__xludf.DUMMYFUNCTION("""COMPUTED_VALUE"""),44991.0)</f>
        <v>44991</v>
      </c>
      <c r="C3006" s="13">
        <f>IFERROR(__xludf.DUMMYFUNCTION("""COMPUTED_VALUE"""),0.20833333333333334)</f>
        <v>0.2083333333</v>
      </c>
      <c r="D3006" s="8">
        <f>IFERROR(__xludf.DUMMYFUNCTION("""COMPUTED_VALUE"""),1.72)</f>
        <v>1.72</v>
      </c>
      <c r="E3006" s="8" t="str">
        <f>IFERROR(__xludf.DUMMYFUNCTION("""COMPUTED_VALUE"""),"Real")</f>
        <v>Real</v>
      </c>
      <c r="G3006" s="8">
        <f t="shared" si="1"/>
        <v>3</v>
      </c>
      <c r="H3006" s="14">
        <f t="shared" si="2"/>
        <v>6</v>
      </c>
      <c r="I3006" s="15">
        <f t="shared" si="3"/>
        <v>5</v>
      </c>
    </row>
    <row r="3007">
      <c r="A3007" s="8" t="str">
        <f>IFERROR(__xludf.DUMMYFUNCTION("IF('(INGESTA)Datos_consumo_datadis'!A3007&lt;&gt;"""",SPLIT('(INGESTA)Datos_consumo_datadis'!A:A,"",""),"""")"),"ES0031408323131005HX0F")</f>
        <v>ES0031408323131005HX0F</v>
      </c>
      <c r="B3007" s="12">
        <f>IFERROR(__xludf.DUMMYFUNCTION("""COMPUTED_VALUE"""),44991.0)</f>
        <v>44991</v>
      </c>
      <c r="C3007" s="13">
        <f>IFERROR(__xludf.DUMMYFUNCTION("""COMPUTED_VALUE"""),0.25)</f>
        <v>0.25</v>
      </c>
      <c r="D3007" s="8">
        <f>IFERROR(__xludf.DUMMYFUNCTION("""COMPUTED_VALUE"""),1.938)</f>
        <v>1.938</v>
      </c>
      <c r="E3007" s="8" t="str">
        <f>IFERROR(__xludf.DUMMYFUNCTION("""COMPUTED_VALUE"""),"Real")</f>
        <v>Real</v>
      </c>
      <c r="G3007" s="8">
        <f t="shared" si="1"/>
        <v>3</v>
      </c>
      <c r="H3007" s="14">
        <f t="shared" si="2"/>
        <v>6</v>
      </c>
      <c r="I3007" s="15">
        <f t="shared" si="3"/>
        <v>6</v>
      </c>
    </row>
    <row r="3008">
      <c r="A3008" s="8" t="str">
        <f>IFERROR(__xludf.DUMMYFUNCTION("IF('(INGESTA)Datos_consumo_datadis'!A3008&lt;&gt;"""",SPLIT('(INGESTA)Datos_consumo_datadis'!A:A,"",""),"""")"),"ES0031408323131005HX0F")</f>
        <v>ES0031408323131005HX0F</v>
      </c>
      <c r="B3008" s="12">
        <f>IFERROR(__xludf.DUMMYFUNCTION("""COMPUTED_VALUE"""),44991.0)</f>
        <v>44991</v>
      </c>
      <c r="C3008" s="13">
        <f>IFERROR(__xludf.DUMMYFUNCTION("""COMPUTED_VALUE"""),0.2916666666666667)</f>
        <v>0.2916666667</v>
      </c>
      <c r="D3008" s="8">
        <f>IFERROR(__xludf.DUMMYFUNCTION("""COMPUTED_VALUE"""),2.046)</f>
        <v>2.046</v>
      </c>
      <c r="E3008" s="8" t="str">
        <f>IFERROR(__xludf.DUMMYFUNCTION("""COMPUTED_VALUE"""),"Real")</f>
        <v>Real</v>
      </c>
      <c r="G3008" s="8">
        <f t="shared" si="1"/>
        <v>3</v>
      </c>
      <c r="H3008" s="14">
        <f t="shared" si="2"/>
        <v>6</v>
      </c>
      <c r="I3008" s="15">
        <f t="shared" si="3"/>
        <v>7</v>
      </c>
    </row>
    <row r="3009">
      <c r="A3009" s="8" t="str">
        <f>IFERROR(__xludf.DUMMYFUNCTION("IF('(INGESTA)Datos_consumo_datadis'!A3009&lt;&gt;"""",SPLIT('(INGESTA)Datos_consumo_datadis'!A:A,"",""),"""")"),"ES0031408323131005HX0F")</f>
        <v>ES0031408323131005HX0F</v>
      </c>
      <c r="B3009" s="12">
        <f>IFERROR(__xludf.DUMMYFUNCTION("""COMPUTED_VALUE"""),44991.0)</f>
        <v>44991</v>
      </c>
      <c r="C3009" s="13">
        <f>IFERROR(__xludf.DUMMYFUNCTION("""COMPUTED_VALUE"""),0.3333333333333333)</f>
        <v>0.3333333333</v>
      </c>
      <c r="D3009" s="8">
        <f>IFERROR(__xludf.DUMMYFUNCTION("""COMPUTED_VALUE"""),1.196)</f>
        <v>1.196</v>
      </c>
      <c r="E3009" s="8" t="str">
        <f>IFERROR(__xludf.DUMMYFUNCTION("""COMPUTED_VALUE"""),"Real")</f>
        <v>Real</v>
      </c>
      <c r="G3009" s="8">
        <f t="shared" si="1"/>
        <v>3</v>
      </c>
      <c r="H3009" s="14">
        <f t="shared" si="2"/>
        <v>6</v>
      </c>
      <c r="I3009" s="15">
        <f t="shared" si="3"/>
        <v>8</v>
      </c>
    </row>
    <row r="3010">
      <c r="A3010" s="8" t="str">
        <f>IFERROR(__xludf.DUMMYFUNCTION("IF('(INGESTA)Datos_consumo_datadis'!A3010&lt;&gt;"""",SPLIT('(INGESTA)Datos_consumo_datadis'!A:A,"",""),"""")"),"ES0031408323131005HX0F")</f>
        <v>ES0031408323131005HX0F</v>
      </c>
      <c r="B3010" s="12">
        <f>IFERROR(__xludf.DUMMYFUNCTION("""COMPUTED_VALUE"""),44991.0)</f>
        <v>44991</v>
      </c>
      <c r="C3010" s="13">
        <f>IFERROR(__xludf.DUMMYFUNCTION("""COMPUTED_VALUE"""),0.375)</f>
        <v>0.375</v>
      </c>
      <c r="D3010" s="8">
        <f>IFERROR(__xludf.DUMMYFUNCTION("""COMPUTED_VALUE"""),0.443)</f>
        <v>0.443</v>
      </c>
      <c r="E3010" s="8" t="str">
        <f>IFERROR(__xludf.DUMMYFUNCTION("""COMPUTED_VALUE"""),"Real")</f>
        <v>Real</v>
      </c>
      <c r="G3010" s="8">
        <f t="shared" si="1"/>
        <v>3</v>
      </c>
      <c r="H3010" s="14">
        <f t="shared" si="2"/>
        <v>6</v>
      </c>
      <c r="I3010" s="15">
        <f t="shared" si="3"/>
        <v>9</v>
      </c>
    </row>
    <row r="3011">
      <c r="A3011" s="8" t="str">
        <f>IFERROR(__xludf.DUMMYFUNCTION("IF('(INGESTA)Datos_consumo_datadis'!A3011&lt;&gt;"""",SPLIT('(INGESTA)Datos_consumo_datadis'!A:A,"",""),"""")"),"ES0031408323131005HX0F")</f>
        <v>ES0031408323131005HX0F</v>
      </c>
      <c r="B3011" s="12">
        <f>IFERROR(__xludf.DUMMYFUNCTION("""COMPUTED_VALUE"""),44991.0)</f>
        <v>44991</v>
      </c>
      <c r="C3011" s="13">
        <f>IFERROR(__xludf.DUMMYFUNCTION("""COMPUTED_VALUE"""),0.4166666666666667)</f>
        <v>0.4166666667</v>
      </c>
      <c r="D3011" s="8">
        <f>IFERROR(__xludf.DUMMYFUNCTION("""COMPUTED_VALUE"""),0.105)</f>
        <v>0.105</v>
      </c>
      <c r="E3011" s="8" t="str">
        <f>IFERROR(__xludf.DUMMYFUNCTION("""COMPUTED_VALUE"""),"Real")</f>
        <v>Real</v>
      </c>
      <c r="G3011" s="8">
        <f t="shared" si="1"/>
        <v>3</v>
      </c>
      <c r="H3011" s="14">
        <f t="shared" si="2"/>
        <v>6</v>
      </c>
      <c r="I3011" s="15">
        <f t="shared" si="3"/>
        <v>10</v>
      </c>
    </row>
    <row r="3012">
      <c r="A3012" s="8" t="str">
        <f>IFERROR(__xludf.DUMMYFUNCTION("IF('(INGESTA)Datos_consumo_datadis'!A3012&lt;&gt;"""",SPLIT('(INGESTA)Datos_consumo_datadis'!A:A,"",""),"""")"),"ES0031408323131005HX0F")</f>
        <v>ES0031408323131005HX0F</v>
      </c>
      <c r="B3012" s="12">
        <f>IFERROR(__xludf.DUMMYFUNCTION("""COMPUTED_VALUE"""),44991.0)</f>
        <v>44991</v>
      </c>
      <c r="C3012" s="13">
        <f>IFERROR(__xludf.DUMMYFUNCTION("""COMPUTED_VALUE"""),0.4583333333333333)</f>
        <v>0.4583333333</v>
      </c>
      <c r="D3012" s="8">
        <f>IFERROR(__xludf.DUMMYFUNCTION("""COMPUTED_VALUE"""),0.117)</f>
        <v>0.117</v>
      </c>
      <c r="E3012" s="8" t="str">
        <f>IFERROR(__xludf.DUMMYFUNCTION("""COMPUTED_VALUE"""),"Real")</f>
        <v>Real</v>
      </c>
      <c r="G3012" s="8">
        <f t="shared" si="1"/>
        <v>3</v>
      </c>
      <c r="H3012" s="14">
        <f t="shared" si="2"/>
        <v>6</v>
      </c>
      <c r="I3012" s="15">
        <f t="shared" si="3"/>
        <v>11</v>
      </c>
    </row>
    <row r="3013">
      <c r="A3013" s="8" t="str">
        <f>IFERROR(__xludf.DUMMYFUNCTION("IF('(INGESTA)Datos_consumo_datadis'!A3013&lt;&gt;"""",SPLIT('(INGESTA)Datos_consumo_datadis'!A:A,"",""),"""")"),"ES0031408323131005HX0F")</f>
        <v>ES0031408323131005HX0F</v>
      </c>
      <c r="B3013" s="12">
        <f>IFERROR(__xludf.DUMMYFUNCTION("""COMPUTED_VALUE"""),44991.0)</f>
        <v>44991</v>
      </c>
      <c r="C3013" s="13">
        <f>IFERROR(__xludf.DUMMYFUNCTION("""COMPUTED_VALUE"""),0.5)</f>
        <v>0.5</v>
      </c>
      <c r="D3013" s="8">
        <f>IFERROR(__xludf.DUMMYFUNCTION("""COMPUTED_VALUE"""),0.383)</f>
        <v>0.383</v>
      </c>
      <c r="E3013" s="8" t="str">
        <f>IFERROR(__xludf.DUMMYFUNCTION("""COMPUTED_VALUE"""),"Real")</f>
        <v>Real</v>
      </c>
      <c r="G3013" s="8">
        <f t="shared" si="1"/>
        <v>3</v>
      </c>
      <c r="H3013" s="14">
        <f t="shared" si="2"/>
        <v>6</v>
      </c>
      <c r="I3013" s="15">
        <f t="shared" si="3"/>
        <v>12</v>
      </c>
    </row>
    <row r="3014">
      <c r="A3014" s="8" t="str">
        <f>IFERROR(__xludf.DUMMYFUNCTION("IF('(INGESTA)Datos_consumo_datadis'!A3014&lt;&gt;"""",SPLIT('(INGESTA)Datos_consumo_datadis'!A:A,"",""),"""")"),"ES0031408323131005HX0F")</f>
        <v>ES0031408323131005HX0F</v>
      </c>
      <c r="B3014" s="12">
        <f>IFERROR(__xludf.DUMMYFUNCTION("""COMPUTED_VALUE"""),44991.0)</f>
        <v>44991</v>
      </c>
      <c r="C3014" s="13">
        <f>IFERROR(__xludf.DUMMYFUNCTION("""COMPUTED_VALUE"""),0.5416666666666666)</f>
        <v>0.5416666667</v>
      </c>
      <c r="D3014" s="8">
        <f>IFERROR(__xludf.DUMMYFUNCTION("""COMPUTED_VALUE"""),0.029)</f>
        <v>0.029</v>
      </c>
      <c r="E3014" s="8" t="str">
        <f>IFERROR(__xludf.DUMMYFUNCTION("""COMPUTED_VALUE"""),"Real")</f>
        <v>Real</v>
      </c>
      <c r="G3014" s="8">
        <f t="shared" si="1"/>
        <v>3</v>
      </c>
      <c r="H3014" s="14">
        <f t="shared" si="2"/>
        <v>6</v>
      </c>
      <c r="I3014" s="15">
        <f t="shared" si="3"/>
        <v>13</v>
      </c>
    </row>
    <row r="3015">
      <c r="A3015" s="8" t="str">
        <f>IFERROR(__xludf.DUMMYFUNCTION("IF('(INGESTA)Datos_consumo_datadis'!A3015&lt;&gt;"""",SPLIT('(INGESTA)Datos_consumo_datadis'!A:A,"",""),"""")"),"ES0031408323131005HX0F")</f>
        <v>ES0031408323131005HX0F</v>
      </c>
      <c r="B3015" s="12">
        <f>IFERROR(__xludf.DUMMYFUNCTION("""COMPUTED_VALUE"""),44991.0)</f>
        <v>44991</v>
      </c>
      <c r="C3015" s="13">
        <f>IFERROR(__xludf.DUMMYFUNCTION("""COMPUTED_VALUE"""),0.5833333333333334)</f>
        <v>0.5833333333</v>
      </c>
      <c r="D3015" s="8">
        <f>IFERROR(__xludf.DUMMYFUNCTION("""COMPUTED_VALUE"""),0.077)</f>
        <v>0.077</v>
      </c>
      <c r="E3015" s="8" t="str">
        <f>IFERROR(__xludf.DUMMYFUNCTION("""COMPUTED_VALUE"""),"Real")</f>
        <v>Real</v>
      </c>
      <c r="G3015" s="8">
        <f t="shared" si="1"/>
        <v>3</v>
      </c>
      <c r="H3015" s="14">
        <f t="shared" si="2"/>
        <v>6</v>
      </c>
      <c r="I3015" s="15">
        <f t="shared" si="3"/>
        <v>14</v>
      </c>
    </row>
    <row r="3016">
      <c r="A3016" s="8" t="str">
        <f>IFERROR(__xludf.DUMMYFUNCTION("IF('(INGESTA)Datos_consumo_datadis'!A3016&lt;&gt;"""",SPLIT('(INGESTA)Datos_consumo_datadis'!A:A,"",""),"""")"),"ES0031408323131005HX0F")</f>
        <v>ES0031408323131005HX0F</v>
      </c>
      <c r="B3016" s="12">
        <f>IFERROR(__xludf.DUMMYFUNCTION("""COMPUTED_VALUE"""),44991.0)</f>
        <v>44991</v>
      </c>
      <c r="C3016" s="13">
        <f>IFERROR(__xludf.DUMMYFUNCTION("""COMPUTED_VALUE"""),0.625)</f>
        <v>0.625</v>
      </c>
      <c r="D3016" s="8">
        <f>IFERROR(__xludf.DUMMYFUNCTION("""COMPUTED_VALUE"""),0.049)</f>
        <v>0.049</v>
      </c>
      <c r="E3016" s="8" t="str">
        <f>IFERROR(__xludf.DUMMYFUNCTION("""COMPUTED_VALUE"""),"Real")</f>
        <v>Real</v>
      </c>
      <c r="G3016" s="8">
        <f t="shared" si="1"/>
        <v>3</v>
      </c>
      <c r="H3016" s="14">
        <f t="shared" si="2"/>
        <v>6</v>
      </c>
      <c r="I3016" s="15">
        <f t="shared" si="3"/>
        <v>15</v>
      </c>
    </row>
    <row r="3017">
      <c r="A3017" s="8" t="str">
        <f>IFERROR(__xludf.DUMMYFUNCTION("IF('(INGESTA)Datos_consumo_datadis'!A3017&lt;&gt;"""",SPLIT('(INGESTA)Datos_consumo_datadis'!A:A,"",""),"""")"),"ES0031408323131005HX0F")</f>
        <v>ES0031408323131005HX0F</v>
      </c>
      <c r="B3017" s="12">
        <f>IFERROR(__xludf.DUMMYFUNCTION("""COMPUTED_VALUE"""),44991.0)</f>
        <v>44991</v>
      </c>
      <c r="C3017" s="13">
        <f>IFERROR(__xludf.DUMMYFUNCTION("""COMPUTED_VALUE"""),0.6666666666666666)</f>
        <v>0.6666666667</v>
      </c>
      <c r="D3017" s="8">
        <f>IFERROR(__xludf.DUMMYFUNCTION("""COMPUTED_VALUE"""),0.017)</f>
        <v>0.017</v>
      </c>
      <c r="E3017" s="8" t="str">
        <f>IFERROR(__xludf.DUMMYFUNCTION("""COMPUTED_VALUE"""),"Real")</f>
        <v>Real</v>
      </c>
      <c r="G3017" s="8">
        <f t="shared" si="1"/>
        <v>3</v>
      </c>
      <c r="H3017" s="14">
        <f t="shared" si="2"/>
        <v>6</v>
      </c>
      <c r="I3017" s="15">
        <f t="shared" si="3"/>
        <v>16</v>
      </c>
    </row>
    <row r="3018">
      <c r="A3018" s="8" t="str">
        <f>IFERROR(__xludf.DUMMYFUNCTION("IF('(INGESTA)Datos_consumo_datadis'!A3018&lt;&gt;"""",SPLIT('(INGESTA)Datos_consumo_datadis'!A:A,"",""),"""")"),"ES0031408323131005HX0F")</f>
        <v>ES0031408323131005HX0F</v>
      </c>
      <c r="B3018" s="12">
        <f>IFERROR(__xludf.DUMMYFUNCTION("""COMPUTED_VALUE"""),44991.0)</f>
        <v>44991</v>
      </c>
      <c r="C3018" s="13">
        <f>IFERROR(__xludf.DUMMYFUNCTION("""COMPUTED_VALUE"""),0.7083333333333334)</f>
        <v>0.7083333333</v>
      </c>
      <c r="D3018" s="8">
        <f>IFERROR(__xludf.DUMMYFUNCTION("""COMPUTED_VALUE"""),0.368)</f>
        <v>0.368</v>
      </c>
      <c r="E3018" s="8" t="str">
        <f>IFERROR(__xludf.DUMMYFUNCTION("""COMPUTED_VALUE"""),"Real")</f>
        <v>Real</v>
      </c>
      <c r="G3018" s="8">
        <f t="shared" si="1"/>
        <v>3</v>
      </c>
      <c r="H3018" s="14">
        <f t="shared" si="2"/>
        <v>6</v>
      </c>
      <c r="I3018" s="15">
        <f t="shared" si="3"/>
        <v>17</v>
      </c>
    </row>
    <row r="3019">
      <c r="A3019" s="8" t="str">
        <f>IFERROR(__xludf.DUMMYFUNCTION("IF('(INGESTA)Datos_consumo_datadis'!A3019&lt;&gt;"""",SPLIT('(INGESTA)Datos_consumo_datadis'!A:A,"",""),"""")"),"ES0031408323131005HX0F")</f>
        <v>ES0031408323131005HX0F</v>
      </c>
      <c r="B3019" s="12">
        <f>IFERROR(__xludf.DUMMYFUNCTION("""COMPUTED_VALUE"""),44991.0)</f>
        <v>44991</v>
      </c>
      <c r="C3019" s="13">
        <f>IFERROR(__xludf.DUMMYFUNCTION("""COMPUTED_VALUE"""),0.75)</f>
        <v>0.75</v>
      </c>
      <c r="D3019" s="8">
        <f>IFERROR(__xludf.DUMMYFUNCTION("""COMPUTED_VALUE"""),0.049)</f>
        <v>0.049</v>
      </c>
      <c r="E3019" s="8" t="str">
        <f>IFERROR(__xludf.DUMMYFUNCTION("""COMPUTED_VALUE"""),"Real")</f>
        <v>Real</v>
      </c>
      <c r="G3019" s="8">
        <f t="shared" si="1"/>
        <v>3</v>
      </c>
      <c r="H3019" s="14">
        <f t="shared" si="2"/>
        <v>6</v>
      </c>
      <c r="I3019" s="15">
        <f t="shared" si="3"/>
        <v>18</v>
      </c>
    </row>
    <row r="3020">
      <c r="A3020" s="8" t="str">
        <f>IFERROR(__xludf.DUMMYFUNCTION("IF('(INGESTA)Datos_consumo_datadis'!A3020&lt;&gt;"""",SPLIT('(INGESTA)Datos_consumo_datadis'!A:A,"",""),"""")"),"ES0031408323131005HX0F")</f>
        <v>ES0031408323131005HX0F</v>
      </c>
      <c r="B3020" s="12">
        <f>IFERROR(__xludf.DUMMYFUNCTION("""COMPUTED_VALUE"""),44991.0)</f>
        <v>44991</v>
      </c>
      <c r="C3020" s="13">
        <f>IFERROR(__xludf.DUMMYFUNCTION("""COMPUTED_VALUE"""),0.7916666666666666)</f>
        <v>0.7916666667</v>
      </c>
      <c r="D3020" s="8">
        <f>IFERROR(__xludf.DUMMYFUNCTION("""COMPUTED_VALUE"""),0.017)</f>
        <v>0.017</v>
      </c>
      <c r="E3020" s="8" t="str">
        <f>IFERROR(__xludf.DUMMYFUNCTION("""COMPUTED_VALUE"""),"Real")</f>
        <v>Real</v>
      </c>
      <c r="G3020" s="8">
        <f t="shared" si="1"/>
        <v>3</v>
      </c>
      <c r="H3020" s="14">
        <f t="shared" si="2"/>
        <v>6</v>
      </c>
      <c r="I3020" s="15">
        <f t="shared" si="3"/>
        <v>19</v>
      </c>
    </row>
    <row r="3021">
      <c r="A3021" s="8" t="str">
        <f>IFERROR(__xludf.DUMMYFUNCTION("IF('(INGESTA)Datos_consumo_datadis'!A3021&lt;&gt;"""",SPLIT('(INGESTA)Datos_consumo_datadis'!A:A,"",""),"""")"),"ES0031408323131005HX0F")</f>
        <v>ES0031408323131005HX0F</v>
      </c>
      <c r="B3021" s="12">
        <f>IFERROR(__xludf.DUMMYFUNCTION("""COMPUTED_VALUE"""),44991.0)</f>
        <v>44991</v>
      </c>
      <c r="C3021" s="13">
        <f>IFERROR(__xludf.DUMMYFUNCTION("""COMPUTED_VALUE"""),0.8333333333333334)</f>
        <v>0.8333333333</v>
      </c>
      <c r="D3021" s="8">
        <f>IFERROR(__xludf.DUMMYFUNCTION("""COMPUTED_VALUE"""),0.056)</f>
        <v>0.056</v>
      </c>
      <c r="E3021" s="8" t="str">
        <f>IFERROR(__xludf.DUMMYFUNCTION("""COMPUTED_VALUE"""),"Real")</f>
        <v>Real</v>
      </c>
      <c r="G3021" s="8">
        <f t="shared" si="1"/>
        <v>3</v>
      </c>
      <c r="H3021" s="14">
        <f t="shared" si="2"/>
        <v>6</v>
      </c>
      <c r="I3021" s="15">
        <f t="shared" si="3"/>
        <v>20</v>
      </c>
    </row>
    <row r="3022">
      <c r="A3022" s="8" t="str">
        <f>IFERROR(__xludf.DUMMYFUNCTION("IF('(INGESTA)Datos_consumo_datadis'!A3022&lt;&gt;"""",SPLIT('(INGESTA)Datos_consumo_datadis'!A:A,"",""),"""")"),"ES0031408323131005HX0F")</f>
        <v>ES0031408323131005HX0F</v>
      </c>
      <c r="B3022" s="12">
        <f>IFERROR(__xludf.DUMMYFUNCTION("""COMPUTED_VALUE"""),44991.0)</f>
        <v>44991</v>
      </c>
      <c r="C3022" s="13">
        <f>IFERROR(__xludf.DUMMYFUNCTION("""COMPUTED_VALUE"""),0.875)</f>
        <v>0.875</v>
      </c>
      <c r="D3022" s="8">
        <f>IFERROR(__xludf.DUMMYFUNCTION("""COMPUTED_VALUE"""),0.591)</f>
        <v>0.591</v>
      </c>
      <c r="E3022" s="8" t="str">
        <f>IFERROR(__xludf.DUMMYFUNCTION("""COMPUTED_VALUE"""),"Real")</f>
        <v>Real</v>
      </c>
      <c r="G3022" s="8">
        <f t="shared" si="1"/>
        <v>3</v>
      </c>
      <c r="H3022" s="14">
        <f t="shared" si="2"/>
        <v>6</v>
      </c>
      <c r="I3022" s="15">
        <f t="shared" si="3"/>
        <v>21</v>
      </c>
    </row>
    <row r="3023">
      <c r="A3023" s="8" t="str">
        <f>IFERROR(__xludf.DUMMYFUNCTION("IF('(INGESTA)Datos_consumo_datadis'!A3023&lt;&gt;"""",SPLIT('(INGESTA)Datos_consumo_datadis'!A:A,"",""),"""")"),"ES0031408323131005HX0F")</f>
        <v>ES0031408323131005HX0F</v>
      </c>
      <c r="B3023" s="12">
        <f>IFERROR(__xludf.DUMMYFUNCTION("""COMPUTED_VALUE"""),44991.0)</f>
        <v>44991</v>
      </c>
      <c r="C3023" s="13">
        <f>IFERROR(__xludf.DUMMYFUNCTION("""COMPUTED_VALUE"""),0.9166666666666666)</f>
        <v>0.9166666667</v>
      </c>
      <c r="D3023" s="8">
        <f>IFERROR(__xludf.DUMMYFUNCTION("""COMPUTED_VALUE"""),2.89)</f>
        <v>2.89</v>
      </c>
      <c r="E3023" s="8" t="str">
        <f>IFERROR(__xludf.DUMMYFUNCTION("""COMPUTED_VALUE"""),"Real")</f>
        <v>Real</v>
      </c>
      <c r="G3023" s="8">
        <f t="shared" si="1"/>
        <v>3</v>
      </c>
      <c r="H3023" s="14">
        <f t="shared" si="2"/>
        <v>6</v>
      </c>
      <c r="I3023" s="15">
        <f t="shared" si="3"/>
        <v>22</v>
      </c>
    </row>
    <row r="3024">
      <c r="A3024" s="8" t="str">
        <f>IFERROR(__xludf.DUMMYFUNCTION("IF('(INGESTA)Datos_consumo_datadis'!A3024&lt;&gt;"""",SPLIT('(INGESTA)Datos_consumo_datadis'!A:A,"",""),"""")"),"ES0031408323131005HX0F")</f>
        <v>ES0031408323131005HX0F</v>
      </c>
      <c r="B3024" s="12">
        <f>IFERROR(__xludf.DUMMYFUNCTION("""COMPUTED_VALUE"""),44991.0)</f>
        <v>44991</v>
      </c>
      <c r="C3024" s="13">
        <f>IFERROR(__xludf.DUMMYFUNCTION("""COMPUTED_VALUE"""),0.9583333333333334)</f>
        <v>0.9583333333</v>
      </c>
      <c r="D3024" s="8">
        <f>IFERROR(__xludf.DUMMYFUNCTION("""COMPUTED_VALUE"""),2.925)</f>
        <v>2.925</v>
      </c>
      <c r="E3024" s="8" t="str">
        <f>IFERROR(__xludf.DUMMYFUNCTION("""COMPUTED_VALUE"""),"Real")</f>
        <v>Real</v>
      </c>
      <c r="G3024" s="8">
        <f t="shared" si="1"/>
        <v>3</v>
      </c>
      <c r="H3024" s="14">
        <f t="shared" si="2"/>
        <v>6</v>
      </c>
      <c r="I3024" s="15">
        <f t="shared" si="3"/>
        <v>23</v>
      </c>
    </row>
    <row r="3025">
      <c r="A3025" s="8" t="str">
        <f>IFERROR(__xludf.DUMMYFUNCTION("IF('(INGESTA)Datos_consumo_datadis'!A3025&lt;&gt;"""",SPLIT('(INGESTA)Datos_consumo_datadis'!A:A,"",""),"""")"),"ES0031408323131005HX0F")</f>
        <v>ES0031408323131005HX0F</v>
      </c>
      <c r="B3025" s="12">
        <f>IFERROR(__xludf.DUMMYFUNCTION("""COMPUTED_VALUE"""),44991.0)</f>
        <v>44991</v>
      </c>
      <c r="C3025" s="16">
        <f>IFERROR(__xludf.DUMMYFUNCTION("""COMPUTED_VALUE"""),1.0)</f>
        <v>1</v>
      </c>
      <c r="D3025" s="8">
        <f>IFERROR(__xludf.DUMMYFUNCTION("""COMPUTED_VALUE"""),0.873)</f>
        <v>0.873</v>
      </c>
      <c r="E3025" s="8" t="str">
        <f>IFERROR(__xludf.DUMMYFUNCTION("""COMPUTED_VALUE"""),"Real")</f>
        <v>Real</v>
      </c>
      <c r="G3025" s="8">
        <f t="shared" si="1"/>
        <v>3</v>
      </c>
      <c r="H3025" s="14">
        <f t="shared" si="2"/>
        <v>6</v>
      </c>
      <c r="I3025" s="15">
        <f t="shared" si="3"/>
        <v>0</v>
      </c>
    </row>
    <row r="3026">
      <c r="A3026" s="8" t="str">
        <f>IFERROR(__xludf.DUMMYFUNCTION("IF('(INGESTA)Datos_consumo_datadis'!A3026&lt;&gt;"""",SPLIT('(INGESTA)Datos_consumo_datadis'!A:A,"",""),"""")"),"ES0031408323131005HX0F")</f>
        <v>ES0031408323131005HX0F</v>
      </c>
      <c r="B3026" s="12">
        <f>IFERROR(__xludf.DUMMYFUNCTION("""COMPUTED_VALUE"""),44992.0)</f>
        <v>44992</v>
      </c>
      <c r="C3026" s="13">
        <f>IFERROR(__xludf.DUMMYFUNCTION("""COMPUTED_VALUE"""),0.041666666666666664)</f>
        <v>0.04166666667</v>
      </c>
      <c r="D3026" s="8">
        <f>IFERROR(__xludf.DUMMYFUNCTION("""COMPUTED_VALUE"""),1.805)</f>
        <v>1.805</v>
      </c>
      <c r="E3026" s="8" t="str">
        <f>IFERROR(__xludf.DUMMYFUNCTION("""COMPUTED_VALUE"""),"Real")</f>
        <v>Real</v>
      </c>
      <c r="G3026" s="8">
        <f t="shared" si="1"/>
        <v>3</v>
      </c>
      <c r="H3026" s="14">
        <f t="shared" si="2"/>
        <v>7</v>
      </c>
      <c r="I3026" s="15">
        <f t="shared" si="3"/>
        <v>1</v>
      </c>
    </row>
    <row r="3027">
      <c r="A3027" s="8" t="str">
        <f>IFERROR(__xludf.DUMMYFUNCTION("IF('(INGESTA)Datos_consumo_datadis'!A3027&lt;&gt;"""",SPLIT('(INGESTA)Datos_consumo_datadis'!A:A,"",""),"""")"),"ES0031408323131005HX0F")</f>
        <v>ES0031408323131005HX0F</v>
      </c>
      <c r="B3027" s="12">
        <f>IFERROR(__xludf.DUMMYFUNCTION("""COMPUTED_VALUE"""),44992.0)</f>
        <v>44992</v>
      </c>
      <c r="C3027" s="13">
        <f>IFERROR(__xludf.DUMMYFUNCTION("""COMPUTED_VALUE"""),0.08333333333333333)</f>
        <v>0.08333333333</v>
      </c>
      <c r="D3027" s="8">
        <f>IFERROR(__xludf.DUMMYFUNCTION("""COMPUTED_VALUE"""),1.77)</f>
        <v>1.77</v>
      </c>
      <c r="E3027" s="8" t="str">
        <f>IFERROR(__xludf.DUMMYFUNCTION("""COMPUTED_VALUE"""),"Real")</f>
        <v>Real</v>
      </c>
      <c r="G3027" s="8">
        <f t="shared" si="1"/>
        <v>3</v>
      </c>
      <c r="H3027" s="14">
        <f t="shared" si="2"/>
        <v>7</v>
      </c>
      <c r="I3027" s="15">
        <f t="shared" si="3"/>
        <v>2</v>
      </c>
    </row>
    <row r="3028">
      <c r="A3028" s="8" t="str">
        <f>IFERROR(__xludf.DUMMYFUNCTION("IF('(INGESTA)Datos_consumo_datadis'!A3028&lt;&gt;"""",SPLIT('(INGESTA)Datos_consumo_datadis'!A:A,"",""),"""")"),"ES0031408323131005HX0F")</f>
        <v>ES0031408323131005HX0F</v>
      </c>
      <c r="B3028" s="12">
        <f>IFERROR(__xludf.DUMMYFUNCTION("""COMPUTED_VALUE"""),44992.0)</f>
        <v>44992</v>
      </c>
      <c r="C3028" s="13">
        <f>IFERROR(__xludf.DUMMYFUNCTION("""COMPUTED_VALUE"""),0.125)</f>
        <v>0.125</v>
      </c>
      <c r="D3028" s="8">
        <f>IFERROR(__xludf.DUMMYFUNCTION("""COMPUTED_VALUE"""),1.73)</f>
        <v>1.73</v>
      </c>
      <c r="E3028" s="8" t="str">
        <f>IFERROR(__xludf.DUMMYFUNCTION("""COMPUTED_VALUE"""),"Real")</f>
        <v>Real</v>
      </c>
      <c r="G3028" s="8">
        <f t="shared" si="1"/>
        <v>3</v>
      </c>
      <c r="H3028" s="14">
        <f t="shared" si="2"/>
        <v>7</v>
      </c>
      <c r="I3028" s="15">
        <f t="shared" si="3"/>
        <v>3</v>
      </c>
    </row>
    <row r="3029">
      <c r="A3029" s="8" t="str">
        <f>IFERROR(__xludf.DUMMYFUNCTION("IF('(INGESTA)Datos_consumo_datadis'!A3029&lt;&gt;"""",SPLIT('(INGESTA)Datos_consumo_datadis'!A:A,"",""),"""")"),"ES0031408323131005HX0F")</f>
        <v>ES0031408323131005HX0F</v>
      </c>
      <c r="B3029" s="12">
        <f>IFERROR(__xludf.DUMMYFUNCTION("""COMPUTED_VALUE"""),44992.0)</f>
        <v>44992</v>
      </c>
      <c r="C3029" s="13">
        <f>IFERROR(__xludf.DUMMYFUNCTION("""COMPUTED_VALUE"""),0.16666666666666666)</f>
        <v>0.1666666667</v>
      </c>
      <c r="D3029" s="8">
        <f>IFERROR(__xludf.DUMMYFUNCTION("""COMPUTED_VALUE"""),1.706)</f>
        <v>1.706</v>
      </c>
      <c r="E3029" s="8" t="str">
        <f>IFERROR(__xludf.DUMMYFUNCTION("""COMPUTED_VALUE"""),"Real")</f>
        <v>Real</v>
      </c>
      <c r="G3029" s="8">
        <f t="shared" si="1"/>
        <v>3</v>
      </c>
      <c r="H3029" s="14">
        <f t="shared" si="2"/>
        <v>7</v>
      </c>
      <c r="I3029" s="15">
        <f t="shared" si="3"/>
        <v>4</v>
      </c>
    </row>
    <row r="3030">
      <c r="A3030" s="8" t="str">
        <f>IFERROR(__xludf.DUMMYFUNCTION("IF('(INGESTA)Datos_consumo_datadis'!A3030&lt;&gt;"""",SPLIT('(INGESTA)Datos_consumo_datadis'!A:A,"",""),"""")"),"ES0031408323131005HX0F")</f>
        <v>ES0031408323131005HX0F</v>
      </c>
      <c r="B3030" s="12">
        <f>IFERROR(__xludf.DUMMYFUNCTION("""COMPUTED_VALUE"""),44992.0)</f>
        <v>44992</v>
      </c>
      <c r="C3030" s="13">
        <f>IFERROR(__xludf.DUMMYFUNCTION("""COMPUTED_VALUE"""),0.20833333333333334)</f>
        <v>0.2083333333</v>
      </c>
      <c r="D3030" s="8">
        <f>IFERROR(__xludf.DUMMYFUNCTION("""COMPUTED_VALUE"""),1.919)</f>
        <v>1.919</v>
      </c>
      <c r="E3030" s="8" t="str">
        <f>IFERROR(__xludf.DUMMYFUNCTION("""COMPUTED_VALUE"""),"Real")</f>
        <v>Real</v>
      </c>
      <c r="G3030" s="8">
        <f t="shared" si="1"/>
        <v>3</v>
      </c>
      <c r="H3030" s="14">
        <f t="shared" si="2"/>
        <v>7</v>
      </c>
      <c r="I3030" s="15">
        <f t="shared" si="3"/>
        <v>5</v>
      </c>
    </row>
    <row r="3031">
      <c r="A3031" s="8" t="str">
        <f>IFERROR(__xludf.DUMMYFUNCTION("IF('(INGESTA)Datos_consumo_datadis'!A3031&lt;&gt;"""",SPLIT('(INGESTA)Datos_consumo_datadis'!A:A,"",""),"""")"),"ES0031408323131005HX0F")</f>
        <v>ES0031408323131005HX0F</v>
      </c>
      <c r="B3031" s="12">
        <f>IFERROR(__xludf.DUMMYFUNCTION("""COMPUTED_VALUE"""),44992.0)</f>
        <v>44992</v>
      </c>
      <c r="C3031" s="13">
        <f>IFERROR(__xludf.DUMMYFUNCTION("""COMPUTED_VALUE"""),0.25)</f>
        <v>0.25</v>
      </c>
      <c r="D3031" s="8">
        <f>IFERROR(__xludf.DUMMYFUNCTION("""COMPUTED_VALUE"""),1.669)</f>
        <v>1.669</v>
      </c>
      <c r="E3031" s="8" t="str">
        <f>IFERROR(__xludf.DUMMYFUNCTION("""COMPUTED_VALUE"""),"Real")</f>
        <v>Real</v>
      </c>
      <c r="G3031" s="8">
        <f t="shared" si="1"/>
        <v>3</v>
      </c>
      <c r="H3031" s="14">
        <f t="shared" si="2"/>
        <v>7</v>
      </c>
      <c r="I3031" s="15">
        <f t="shared" si="3"/>
        <v>6</v>
      </c>
    </row>
    <row r="3032">
      <c r="A3032" s="8" t="str">
        <f>IFERROR(__xludf.DUMMYFUNCTION("IF('(INGESTA)Datos_consumo_datadis'!A3032&lt;&gt;"""",SPLIT('(INGESTA)Datos_consumo_datadis'!A:A,"",""),"""")"),"ES0031408323131005HX0F")</f>
        <v>ES0031408323131005HX0F</v>
      </c>
      <c r="B3032" s="12">
        <f>IFERROR(__xludf.DUMMYFUNCTION("""COMPUTED_VALUE"""),44992.0)</f>
        <v>44992</v>
      </c>
      <c r="C3032" s="13">
        <f>IFERROR(__xludf.DUMMYFUNCTION("""COMPUTED_VALUE"""),0.2916666666666667)</f>
        <v>0.2916666667</v>
      </c>
      <c r="D3032" s="8">
        <f>IFERROR(__xludf.DUMMYFUNCTION("""COMPUTED_VALUE"""),1.658)</f>
        <v>1.658</v>
      </c>
      <c r="E3032" s="8" t="str">
        <f>IFERROR(__xludf.DUMMYFUNCTION("""COMPUTED_VALUE"""),"Real")</f>
        <v>Real</v>
      </c>
      <c r="G3032" s="8">
        <f t="shared" si="1"/>
        <v>3</v>
      </c>
      <c r="H3032" s="14">
        <f t="shared" si="2"/>
        <v>7</v>
      </c>
      <c r="I3032" s="15">
        <f t="shared" si="3"/>
        <v>7</v>
      </c>
    </row>
    <row r="3033">
      <c r="A3033" s="8" t="str">
        <f>IFERROR(__xludf.DUMMYFUNCTION("IF('(INGESTA)Datos_consumo_datadis'!A3033&lt;&gt;"""",SPLIT('(INGESTA)Datos_consumo_datadis'!A:A,"",""),"""")"),"ES0031408323131005HX0F")</f>
        <v>ES0031408323131005HX0F</v>
      </c>
      <c r="B3033" s="12">
        <f>IFERROR(__xludf.DUMMYFUNCTION("""COMPUTED_VALUE"""),44992.0)</f>
        <v>44992</v>
      </c>
      <c r="C3033" s="13">
        <f>IFERROR(__xludf.DUMMYFUNCTION("""COMPUTED_VALUE"""),0.3333333333333333)</f>
        <v>0.3333333333</v>
      </c>
      <c r="D3033" s="8">
        <f>IFERROR(__xludf.DUMMYFUNCTION("""COMPUTED_VALUE"""),0.83)</f>
        <v>0.83</v>
      </c>
      <c r="E3033" s="8" t="str">
        <f>IFERROR(__xludf.DUMMYFUNCTION("""COMPUTED_VALUE"""),"Real")</f>
        <v>Real</v>
      </c>
      <c r="G3033" s="8">
        <f t="shared" si="1"/>
        <v>3</v>
      </c>
      <c r="H3033" s="14">
        <f t="shared" si="2"/>
        <v>7</v>
      </c>
      <c r="I3033" s="15">
        <f t="shared" si="3"/>
        <v>8</v>
      </c>
    </row>
    <row r="3034">
      <c r="A3034" s="8" t="str">
        <f>IFERROR(__xludf.DUMMYFUNCTION("IF('(INGESTA)Datos_consumo_datadis'!A3034&lt;&gt;"""",SPLIT('(INGESTA)Datos_consumo_datadis'!A:A,"",""),"""")"),"ES0031408323131005HX0F")</f>
        <v>ES0031408323131005HX0F</v>
      </c>
      <c r="B3034" s="12">
        <f>IFERROR(__xludf.DUMMYFUNCTION("""COMPUTED_VALUE"""),44992.0)</f>
        <v>44992</v>
      </c>
      <c r="C3034" s="13">
        <f>IFERROR(__xludf.DUMMYFUNCTION("""COMPUTED_VALUE"""),0.375)</f>
        <v>0.375</v>
      </c>
      <c r="D3034" s="8">
        <f>IFERROR(__xludf.DUMMYFUNCTION("""COMPUTED_VALUE"""),0.327)</f>
        <v>0.327</v>
      </c>
      <c r="E3034" s="8" t="str">
        <f>IFERROR(__xludf.DUMMYFUNCTION("""COMPUTED_VALUE"""),"Real")</f>
        <v>Real</v>
      </c>
      <c r="G3034" s="8">
        <f t="shared" si="1"/>
        <v>3</v>
      </c>
      <c r="H3034" s="14">
        <f t="shared" si="2"/>
        <v>7</v>
      </c>
      <c r="I3034" s="15">
        <f t="shared" si="3"/>
        <v>9</v>
      </c>
    </row>
    <row r="3035">
      <c r="A3035" s="8" t="str">
        <f>IFERROR(__xludf.DUMMYFUNCTION("IF('(INGESTA)Datos_consumo_datadis'!A3035&lt;&gt;"""",SPLIT('(INGESTA)Datos_consumo_datadis'!A:A,"",""),"""")"),"ES0031408323131005HX0F")</f>
        <v>ES0031408323131005HX0F</v>
      </c>
      <c r="B3035" s="12">
        <f>IFERROR(__xludf.DUMMYFUNCTION("""COMPUTED_VALUE"""),44992.0)</f>
        <v>44992</v>
      </c>
      <c r="C3035" s="13">
        <f>IFERROR(__xludf.DUMMYFUNCTION("""COMPUTED_VALUE"""),0.4166666666666667)</f>
        <v>0.4166666667</v>
      </c>
      <c r="D3035" s="8">
        <f>IFERROR(__xludf.DUMMYFUNCTION("""COMPUTED_VALUE"""),0.017)</f>
        <v>0.017</v>
      </c>
      <c r="E3035" s="8" t="str">
        <f>IFERROR(__xludf.DUMMYFUNCTION("""COMPUTED_VALUE"""),"Real")</f>
        <v>Real</v>
      </c>
      <c r="G3035" s="8">
        <f t="shared" si="1"/>
        <v>3</v>
      </c>
      <c r="H3035" s="14">
        <f t="shared" si="2"/>
        <v>7</v>
      </c>
      <c r="I3035" s="15">
        <f t="shared" si="3"/>
        <v>10</v>
      </c>
    </row>
    <row r="3036">
      <c r="A3036" s="8" t="str">
        <f>IFERROR(__xludf.DUMMYFUNCTION("IF('(INGESTA)Datos_consumo_datadis'!A3036&lt;&gt;"""",SPLIT('(INGESTA)Datos_consumo_datadis'!A:A,"",""),"""")"),"ES0031408323131005HX0F")</f>
        <v>ES0031408323131005HX0F</v>
      </c>
      <c r="B3036" s="12">
        <f>IFERROR(__xludf.DUMMYFUNCTION("""COMPUTED_VALUE"""),44992.0)</f>
        <v>44992</v>
      </c>
      <c r="C3036" s="13">
        <f>IFERROR(__xludf.DUMMYFUNCTION("""COMPUTED_VALUE"""),0.4583333333333333)</f>
        <v>0.4583333333</v>
      </c>
      <c r="D3036" s="8">
        <f>IFERROR(__xludf.DUMMYFUNCTION("""COMPUTED_VALUE"""),0.073)</f>
        <v>0.073</v>
      </c>
      <c r="E3036" s="8" t="str">
        <f>IFERROR(__xludf.DUMMYFUNCTION("""COMPUTED_VALUE"""),"Real")</f>
        <v>Real</v>
      </c>
      <c r="G3036" s="8">
        <f t="shared" si="1"/>
        <v>3</v>
      </c>
      <c r="H3036" s="14">
        <f t="shared" si="2"/>
        <v>7</v>
      </c>
      <c r="I3036" s="15">
        <f t="shared" si="3"/>
        <v>11</v>
      </c>
    </row>
    <row r="3037">
      <c r="A3037" s="8" t="str">
        <f>IFERROR(__xludf.DUMMYFUNCTION("IF('(INGESTA)Datos_consumo_datadis'!A3037&lt;&gt;"""",SPLIT('(INGESTA)Datos_consumo_datadis'!A:A,"",""),"""")"),"ES0031408323131005HX0F")</f>
        <v>ES0031408323131005HX0F</v>
      </c>
      <c r="B3037" s="12">
        <f>IFERROR(__xludf.DUMMYFUNCTION("""COMPUTED_VALUE"""),44992.0)</f>
        <v>44992</v>
      </c>
      <c r="C3037" s="13">
        <f>IFERROR(__xludf.DUMMYFUNCTION("""COMPUTED_VALUE"""),0.5)</f>
        <v>0.5</v>
      </c>
      <c r="D3037" s="8">
        <f>IFERROR(__xludf.DUMMYFUNCTION("""COMPUTED_VALUE"""),0.058)</f>
        <v>0.058</v>
      </c>
      <c r="E3037" s="8" t="str">
        <f>IFERROR(__xludf.DUMMYFUNCTION("""COMPUTED_VALUE"""),"Real")</f>
        <v>Real</v>
      </c>
      <c r="G3037" s="8">
        <f t="shared" si="1"/>
        <v>3</v>
      </c>
      <c r="H3037" s="14">
        <f t="shared" si="2"/>
        <v>7</v>
      </c>
      <c r="I3037" s="15">
        <f t="shared" si="3"/>
        <v>12</v>
      </c>
    </row>
    <row r="3038">
      <c r="A3038" s="8" t="str">
        <f>IFERROR(__xludf.DUMMYFUNCTION("IF('(INGESTA)Datos_consumo_datadis'!A3038&lt;&gt;"""",SPLIT('(INGESTA)Datos_consumo_datadis'!A:A,"",""),"""")"),"ES0031408323131005HX0F")</f>
        <v>ES0031408323131005HX0F</v>
      </c>
      <c r="B3038" s="12">
        <f>IFERROR(__xludf.DUMMYFUNCTION("""COMPUTED_VALUE"""),44992.0)</f>
        <v>44992</v>
      </c>
      <c r="C3038" s="13">
        <f>IFERROR(__xludf.DUMMYFUNCTION("""COMPUTED_VALUE"""),0.5416666666666666)</f>
        <v>0.5416666667</v>
      </c>
      <c r="D3038" s="8">
        <f>IFERROR(__xludf.DUMMYFUNCTION("""COMPUTED_VALUE"""),0.016)</f>
        <v>0.016</v>
      </c>
      <c r="E3038" s="8" t="str">
        <f>IFERROR(__xludf.DUMMYFUNCTION("""COMPUTED_VALUE"""),"Real")</f>
        <v>Real</v>
      </c>
      <c r="G3038" s="8">
        <f t="shared" si="1"/>
        <v>3</v>
      </c>
      <c r="H3038" s="14">
        <f t="shared" si="2"/>
        <v>7</v>
      </c>
      <c r="I3038" s="15">
        <f t="shared" si="3"/>
        <v>13</v>
      </c>
    </row>
    <row r="3039">
      <c r="A3039" s="8" t="str">
        <f>IFERROR(__xludf.DUMMYFUNCTION("IF('(INGESTA)Datos_consumo_datadis'!A3039&lt;&gt;"""",SPLIT('(INGESTA)Datos_consumo_datadis'!A:A,"",""),"""")"),"ES0031408323131005HX0F")</f>
        <v>ES0031408323131005HX0F</v>
      </c>
      <c r="B3039" s="12">
        <f>IFERROR(__xludf.DUMMYFUNCTION("""COMPUTED_VALUE"""),44992.0)</f>
        <v>44992</v>
      </c>
      <c r="C3039" s="13">
        <f>IFERROR(__xludf.DUMMYFUNCTION("""COMPUTED_VALUE"""),0.5833333333333334)</f>
        <v>0.5833333333</v>
      </c>
      <c r="D3039" s="8">
        <f>IFERROR(__xludf.DUMMYFUNCTION("""COMPUTED_VALUE"""),0.049)</f>
        <v>0.049</v>
      </c>
      <c r="E3039" s="8" t="str">
        <f>IFERROR(__xludf.DUMMYFUNCTION("""COMPUTED_VALUE"""),"Real")</f>
        <v>Real</v>
      </c>
      <c r="G3039" s="8">
        <f t="shared" si="1"/>
        <v>3</v>
      </c>
      <c r="H3039" s="14">
        <f t="shared" si="2"/>
        <v>7</v>
      </c>
      <c r="I3039" s="15">
        <f t="shared" si="3"/>
        <v>14</v>
      </c>
    </row>
    <row r="3040">
      <c r="A3040" s="8" t="str">
        <f>IFERROR(__xludf.DUMMYFUNCTION("IF('(INGESTA)Datos_consumo_datadis'!A3040&lt;&gt;"""",SPLIT('(INGESTA)Datos_consumo_datadis'!A:A,"",""),"""")"),"ES0031408323131005HX0F")</f>
        <v>ES0031408323131005HX0F</v>
      </c>
      <c r="B3040" s="12">
        <f>IFERROR(__xludf.DUMMYFUNCTION("""COMPUTED_VALUE"""),44992.0)</f>
        <v>44992</v>
      </c>
      <c r="C3040" s="13">
        <f>IFERROR(__xludf.DUMMYFUNCTION("""COMPUTED_VALUE"""),0.625)</f>
        <v>0.625</v>
      </c>
      <c r="D3040" s="8">
        <f>IFERROR(__xludf.DUMMYFUNCTION("""COMPUTED_VALUE"""),0.332)</f>
        <v>0.332</v>
      </c>
      <c r="E3040" s="8" t="str">
        <f>IFERROR(__xludf.DUMMYFUNCTION("""COMPUTED_VALUE"""),"Real")</f>
        <v>Real</v>
      </c>
      <c r="G3040" s="8">
        <f t="shared" si="1"/>
        <v>3</v>
      </c>
      <c r="H3040" s="14">
        <f t="shared" si="2"/>
        <v>7</v>
      </c>
      <c r="I3040" s="15">
        <f t="shared" si="3"/>
        <v>15</v>
      </c>
    </row>
    <row r="3041">
      <c r="A3041" s="8" t="str">
        <f>IFERROR(__xludf.DUMMYFUNCTION("IF('(INGESTA)Datos_consumo_datadis'!A3041&lt;&gt;"""",SPLIT('(INGESTA)Datos_consumo_datadis'!A:A,"",""),"""")"),"ES0031408323131005HX0F")</f>
        <v>ES0031408323131005HX0F</v>
      </c>
      <c r="B3041" s="12">
        <f>IFERROR(__xludf.DUMMYFUNCTION("""COMPUTED_VALUE"""),44992.0)</f>
        <v>44992</v>
      </c>
      <c r="C3041" s="13">
        <f>IFERROR(__xludf.DUMMYFUNCTION("""COMPUTED_VALUE"""),0.6666666666666666)</f>
        <v>0.6666666667</v>
      </c>
      <c r="D3041" s="8">
        <f>IFERROR(__xludf.DUMMYFUNCTION("""COMPUTED_VALUE"""),0.037)</f>
        <v>0.037</v>
      </c>
      <c r="E3041" s="8" t="str">
        <f>IFERROR(__xludf.DUMMYFUNCTION("""COMPUTED_VALUE"""),"Real")</f>
        <v>Real</v>
      </c>
      <c r="G3041" s="8">
        <f t="shared" si="1"/>
        <v>3</v>
      </c>
      <c r="H3041" s="14">
        <f t="shared" si="2"/>
        <v>7</v>
      </c>
      <c r="I3041" s="15">
        <f t="shared" si="3"/>
        <v>16</v>
      </c>
    </row>
    <row r="3042">
      <c r="A3042" s="8" t="str">
        <f>IFERROR(__xludf.DUMMYFUNCTION("IF('(INGESTA)Datos_consumo_datadis'!A3042&lt;&gt;"""",SPLIT('(INGESTA)Datos_consumo_datadis'!A:A,"",""),"""")"),"ES0031408323131005HX0F")</f>
        <v>ES0031408323131005HX0F</v>
      </c>
      <c r="B3042" s="12">
        <f>IFERROR(__xludf.DUMMYFUNCTION("""COMPUTED_VALUE"""),44992.0)</f>
        <v>44992</v>
      </c>
      <c r="C3042" s="13">
        <f>IFERROR(__xludf.DUMMYFUNCTION("""COMPUTED_VALUE"""),0.7083333333333334)</f>
        <v>0.7083333333</v>
      </c>
      <c r="D3042" s="8">
        <f>IFERROR(__xludf.DUMMYFUNCTION("""COMPUTED_VALUE"""),0.02)</f>
        <v>0.02</v>
      </c>
      <c r="E3042" s="8" t="str">
        <f>IFERROR(__xludf.DUMMYFUNCTION("""COMPUTED_VALUE"""),"Real")</f>
        <v>Real</v>
      </c>
      <c r="G3042" s="8">
        <f t="shared" si="1"/>
        <v>3</v>
      </c>
      <c r="H3042" s="14">
        <f t="shared" si="2"/>
        <v>7</v>
      </c>
      <c r="I3042" s="15">
        <f t="shared" si="3"/>
        <v>17</v>
      </c>
    </row>
    <row r="3043">
      <c r="A3043" s="8" t="str">
        <f>IFERROR(__xludf.DUMMYFUNCTION("IF('(INGESTA)Datos_consumo_datadis'!A3043&lt;&gt;"""",SPLIT('(INGESTA)Datos_consumo_datadis'!A:A,"",""),"""")"),"ES0031408323131005HX0F")</f>
        <v>ES0031408323131005HX0F</v>
      </c>
      <c r="B3043" s="12">
        <f>IFERROR(__xludf.DUMMYFUNCTION("""COMPUTED_VALUE"""),44992.0)</f>
        <v>44992</v>
      </c>
      <c r="C3043" s="13">
        <f>IFERROR(__xludf.DUMMYFUNCTION("""COMPUTED_VALUE"""),0.75)</f>
        <v>0.75</v>
      </c>
      <c r="D3043" s="8">
        <f>IFERROR(__xludf.DUMMYFUNCTION("""COMPUTED_VALUE"""),0.08)</f>
        <v>0.08</v>
      </c>
      <c r="E3043" s="8" t="str">
        <f>IFERROR(__xludf.DUMMYFUNCTION("""COMPUTED_VALUE"""),"Real")</f>
        <v>Real</v>
      </c>
      <c r="G3043" s="8">
        <f t="shared" si="1"/>
        <v>3</v>
      </c>
      <c r="H3043" s="14">
        <f t="shared" si="2"/>
        <v>7</v>
      </c>
      <c r="I3043" s="15">
        <f t="shared" si="3"/>
        <v>18</v>
      </c>
    </row>
    <row r="3044">
      <c r="A3044" s="8" t="str">
        <f>IFERROR(__xludf.DUMMYFUNCTION("IF('(INGESTA)Datos_consumo_datadis'!A3044&lt;&gt;"""",SPLIT('(INGESTA)Datos_consumo_datadis'!A:A,"",""),"""")"),"ES0031408323131005HX0F")</f>
        <v>ES0031408323131005HX0F</v>
      </c>
      <c r="B3044" s="12">
        <f>IFERROR(__xludf.DUMMYFUNCTION("""COMPUTED_VALUE"""),44992.0)</f>
        <v>44992</v>
      </c>
      <c r="C3044" s="13">
        <f>IFERROR(__xludf.DUMMYFUNCTION("""COMPUTED_VALUE"""),0.7916666666666666)</f>
        <v>0.7916666667</v>
      </c>
      <c r="D3044" s="8">
        <f>IFERROR(__xludf.DUMMYFUNCTION("""COMPUTED_VALUE"""),0.052)</f>
        <v>0.052</v>
      </c>
      <c r="E3044" s="8" t="str">
        <f>IFERROR(__xludf.DUMMYFUNCTION("""COMPUTED_VALUE"""),"Real")</f>
        <v>Real</v>
      </c>
      <c r="G3044" s="8">
        <f t="shared" si="1"/>
        <v>3</v>
      </c>
      <c r="H3044" s="14">
        <f t="shared" si="2"/>
        <v>7</v>
      </c>
      <c r="I3044" s="15">
        <f t="shared" si="3"/>
        <v>19</v>
      </c>
    </row>
    <row r="3045">
      <c r="A3045" s="8" t="str">
        <f>IFERROR(__xludf.DUMMYFUNCTION("IF('(INGESTA)Datos_consumo_datadis'!A3045&lt;&gt;"""",SPLIT('(INGESTA)Datos_consumo_datadis'!A:A,"",""),"""")"),"ES0031408323131005HX0F")</f>
        <v>ES0031408323131005HX0F</v>
      </c>
      <c r="B3045" s="12">
        <f>IFERROR(__xludf.DUMMYFUNCTION("""COMPUTED_VALUE"""),44992.0)</f>
        <v>44992</v>
      </c>
      <c r="C3045" s="13">
        <f>IFERROR(__xludf.DUMMYFUNCTION("""COMPUTED_VALUE"""),0.8333333333333334)</f>
        <v>0.8333333333</v>
      </c>
      <c r="D3045" s="8">
        <f>IFERROR(__xludf.DUMMYFUNCTION("""COMPUTED_VALUE"""),0.103)</f>
        <v>0.103</v>
      </c>
      <c r="E3045" s="8" t="str">
        <f>IFERROR(__xludf.DUMMYFUNCTION("""COMPUTED_VALUE"""),"Real")</f>
        <v>Real</v>
      </c>
      <c r="G3045" s="8">
        <f t="shared" si="1"/>
        <v>3</v>
      </c>
      <c r="H3045" s="14">
        <f t="shared" si="2"/>
        <v>7</v>
      </c>
      <c r="I3045" s="15">
        <f t="shared" si="3"/>
        <v>20</v>
      </c>
    </row>
    <row r="3046">
      <c r="A3046" s="8" t="str">
        <f>IFERROR(__xludf.DUMMYFUNCTION("IF('(INGESTA)Datos_consumo_datadis'!A3046&lt;&gt;"""",SPLIT('(INGESTA)Datos_consumo_datadis'!A:A,"",""),"""")"),"ES0031408323131005HX0F")</f>
        <v>ES0031408323131005HX0F</v>
      </c>
      <c r="B3046" s="12">
        <f>IFERROR(__xludf.DUMMYFUNCTION("""COMPUTED_VALUE"""),44992.0)</f>
        <v>44992</v>
      </c>
      <c r="C3046" s="13">
        <f>IFERROR(__xludf.DUMMYFUNCTION("""COMPUTED_VALUE"""),0.875)</f>
        <v>0.875</v>
      </c>
      <c r="D3046" s="8">
        <f>IFERROR(__xludf.DUMMYFUNCTION("""COMPUTED_VALUE"""),3.936)</f>
        <v>3.936</v>
      </c>
      <c r="E3046" s="8" t="str">
        <f>IFERROR(__xludf.DUMMYFUNCTION("""COMPUTED_VALUE"""),"Real")</f>
        <v>Real</v>
      </c>
      <c r="G3046" s="8">
        <f t="shared" si="1"/>
        <v>3</v>
      </c>
      <c r="H3046" s="14">
        <f t="shared" si="2"/>
        <v>7</v>
      </c>
      <c r="I3046" s="15">
        <f t="shared" si="3"/>
        <v>21</v>
      </c>
    </row>
    <row r="3047">
      <c r="A3047" s="8" t="str">
        <f>IFERROR(__xludf.DUMMYFUNCTION("IF('(INGESTA)Datos_consumo_datadis'!A3047&lt;&gt;"""",SPLIT('(INGESTA)Datos_consumo_datadis'!A:A,"",""),"""")"),"ES0031408323131005HX0F")</f>
        <v>ES0031408323131005HX0F</v>
      </c>
      <c r="B3047" s="12">
        <f>IFERROR(__xludf.DUMMYFUNCTION("""COMPUTED_VALUE"""),44992.0)</f>
        <v>44992</v>
      </c>
      <c r="C3047" s="13">
        <f>IFERROR(__xludf.DUMMYFUNCTION("""COMPUTED_VALUE"""),0.9166666666666666)</f>
        <v>0.9166666667</v>
      </c>
      <c r="D3047" s="8">
        <f>IFERROR(__xludf.DUMMYFUNCTION("""COMPUTED_VALUE"""),2.032)</f>
        <v>2.032</v>
      </c>
      <c r="E3047" s="8" t="str">
        <f>IFERROR(__xludf.DUMMYFUNCTION("""COMPUTED_VALUE"""),"Real")</f>
        <v>Real</v>
      </c>
      <c r="G3047" s="8">
        <f t="shared" si="1"/>
        <v>3</v>
      </c>
      <c r="H3047" s="14">
        <f t="shared" si="2"/>
        <v>7</v>
      </c>
      <c r="I3047" s="15">
        <f t="shared" si="3"/>
        <v>22</v>
      </c>
    </row>
    <row r="3048">
      <c r="A3048" s="8" t="str">
        <f>IFERROR(__xludf.DUMMYFUNCTION("IF('(INGESTA)Datos_consumo_datadis'!A3048&lt;&gt;"""",SPLIT('(INGESTA)Datos_consumo_datadis'!A:A,"",""),"""")"),"ES0031408323131005HX0F")</f>
        <v>ES0031408323131005HX0F</v>
      </c>
      <c r="B3048" s="12">
        <f>IFERROR(__xludf.DUMMYFUNCTION("""COMPUTED_VALUE"""),44992.0)</f>
        <v>44992</v>
      </c>
      <c r="C3048" s="13">
        <f>IFERROR(__xludf.DUMMYFUNCTION("""COMPUTED_VALUE"""),0.9583333333333334)</f>
        <v>0.9583333333</v>
      </c>
      <c r="D3048" s="8">
        <f>IFERROR(__xludf.DUMMYFUNCTION("""COMPUTED_VALUE"""),1.592)</f>
        <v>1.592</v>
      </c>
      <c r="E3048" s="8" t="str">
        <f>IFERROR(__xludf.DUMMYFUNCTION("""COMPUTED_VALUE"""),"Real")</f>
        <v>Real</v>
      </c>
      <c r="G3048" s="8">
        <f t="shared" si="1"/>
        <v>3</v>
      </c>
      <c r="H3048" s="14">
        <f t="shared" si="2"/>
        <v>7</v>
      </c>
      <c r="I3048" s="15">
        <f t="shared" si="3"/>
        <v>23</v>
      </c>
    </row>
    <row r="3049">
      <c r="A3049" s="8" t="str">
        <f>IFERROR(__xludf.DUMMYFUNCTION("IF('(INGESTA)Datos_consumo_datadis'!A3049&lt;&gt;"""",SPLIT('(INGESTA)Datos_consumo_datadis'!A:A,"",""),"""")"),"ES0031408323131005HX0F")</f>
        <v>ES0031408323131005HX0F</v>
      </c>
      <c r="B3049" s="12">
        <f>IFERROR(__xludf.DUMMYFUNCTION("""COMPUTED_VALUE"""),44992.0)</f>
        <v>44992</v>
      </c>
      <c r="C3049" s="16">
        <f>IFERROR(__xludf.DUMMYFUNCTION("""COMPUTED_VALUE"""),1.0)</f>
        <v>1</v>
      </c>
      <c r="D3049" s="8">
        <f>IFERROR(__xludf.DUMMYFUNCTION("""COMPUTED_VALUE"""),1.702)</f>
        <v>1.702</v>
      </c>
      <c r="E3049" s="8" t="str">
        <f>IFERROR(__xludf.DUMMYFUNCTION("""COMPUTED_VALUE"""),"Real")</f>
        <v>Real</v>
      </c>
      <c r="G3049" s="8">
        <f t="shared" si="1"/>
        <v>3</v>
      </c>
      <c r="H3049" s="14">
        <f t="shared" si="2"/>
        <v>7</v>
      </c>
      <c r="I3049" s="15">
        <f t="shared" si="3"/>
        <v>0</v>
      </c>
    </row>
    <row r="3050">
      <c r="A3050" s="8" t="str">
        <f>IFERROR(__xludf.DUMMYFUNCTION("IF('(INGESTA)Datos_consumo_datadis'!A3050&lt;&gt;"""",SPLIT('(INGESTA)Datos_consumo_datadis'!A:A,"",""),"""")"),"ES0031408323131005HX0F")</f>
        <v>ES0031408323131005HX0F</v>
      </c>
      <c r="B3050" s="12">
        <f>IFERROR(__xludf.DUMMYFUNCTION("""COMPUTED_VALUE"""),44993.0)</f>
        <v>44993</v>
      </c>
      <c r="C3050" s="13">
        <f>IFERROR(__xludf.DUMMYFUNCTION("""COMPUTED_VALUE"""),0.041666666666666664)</f>
        <v>0.04166666667</v>
      </c>
      <c r="D3050" s="8">
        <f>IFERROR(__xludf.DUMMYFUNCTION("""COMPUTED_VALUE"""),1.681)</f>
        <v>1.681</v>
      </c>
      <c r="E3050" s="8" t="str">
        <f>IFERROR(__xludf.DUMMYFUNCTION("""COMPUTED_VALUE"""),"Real")</f>
        <v>Real</v>
      </c>
      <c r="G3050" s="8">
        <f t="shared" si="1"/>
        <v>3</v>
      </c>
      <c r="H3050" s="14">
        <f t="shared" si="2"/>
        <v>8</v>
      </c>
      <c r="I3050" s="15">
        <f t="shared" si="3"/>
        <v>1</v>
      </c>
    </row>
    <row r="3051">
      <c r="A3051" s="8" t="str">
        <f>IFERROR(__xludf.DUMMYFUNCTION("IF('(INGESTA)Datos_consumo_datadis'!A3051&lt;&gt;"""",SPLIT('(INGESTA)Datos_consumo_datadis'!A:A,"",""),"""")"),"ES0031408323131005HX0F")</f>
        <v>ES0031408323131005HX0F</v>
      </c>
      <c r="B3051" s="12">
        <f>IFERROR(__xludf.DUMMYFUNCTION("""COMPUTED_VALUE"""),44993.0)</f>
        <v>44993</v>
      </c>
      <c r="C3051" s="13">
        <f>IFERROR(__xludf.DUMMYFUNCTION("""COMPUTED_VALUE"""),0.08333333333333333)</f>
        <v>0.08333333333</v>
      </c>
      <c r="D3051" s="8">
        <f>IFERROR(__xludf.DUMMYFUNCTION("""COMPUTED_VALUE"""),1.932)</f>
        <v>1.932</v>
      </c>
      <c r="E3051" s="8" t="str">
        <f>IFERROR(__xludf.DUMMYFUNCTION("""COMPUTED_VALUE"""),"Real")</f>
        <v>Real</v>
      </c>
      <c r="G3051" s="8">
        <f t="shared" si="1"/>
        <v>3</v>
      </c>
      <c r="H3051" s="14">
        <f t="shared" si="2"/>
        <v>8</v>
      </c>
      <c r="I3051" s="15">
        <f t="shared" si="3"/>
        <v>2</v>
      </c>
    </row>
    <row r="3052">
      <c r="A3052" s="8" t="str">
        <f>IFERROR(__xludf.DUMMYFUNCTION("IF('(INGESTA)Datos_consumo_datadis'!A3052&lt;&gt;"""",SPLIT('(INGESTA)Datos_consumo_datadis'!A:A,"",""),"""")"),"ES0031408323131005HX0F")</f>
        <v>ES0031408323131005HX0F</v>
      </c>
      <c r="B3052" s="12">
        <f>IFERROR(__xludf.DUMMYFUNCTION("""COMPUTED_VALUE"""),44993.0)</f>
        <v>44993</v>
      </c>
      <c r="C3052" s="13">
        <f>IFERROR(__xludf.DUMMYFUNCTION("""COMPUTED_VALUE"""),0.125)</f>
        <v>0.125</v>
      </c>
      <c r="D3052" s="8">
        <f>IFERROR(__xludf.DUMMYFUNCTION("""COMPUTED_VALUE"""),1.237)</f>
        <v>1.237</v>
      </c>
      <c r="E3052" s="8" t="str">
        <f>IFERROR(__xludf.DUMMYFUNCTION("""COMPUTED_VALUE"""),"Real")</f>
        <v>Real</v>
      </c>
      <c r="G3052" s="8">
        <f t="shared" si="1"/>
        <v>3</v>
      </c>
      <c r="H3052" s="14">
        <f t="shared" si="2"/>
        <v>8</v>
      </c>
      <c r="I3052" s="15">
        <f t="shared" si="3"/>
        <v>3</v>
      </c>
    </row>
    <row r="3053">
      <c r="A3053" s="8" t="str">
        <f>IFERROR(__xludf.DUMMYFUNCTION("IF('(INGESTA)Datos_consumo_datadis'!A3053&lt;&gt;"""",SPLIT('(INGESTA)Datos_consumo_datadis'!A:A,"",""),"""")"),"ES0031408323131005HX0F")</f>
        <v>ES0031408323131005HX0F</v>
      </c>
      <c r="B3053" s="12">
        <f>IFERROR(__xludf.DUMMYFUNCTION("""COMPUTED_VALUE"""),44993.0)</f>
        <v>44993</v>
      </c>
      <c r="C3053" s="13">
        <f>IFERROR(__xludf.DUMMYFUNCTION("""COMPUTED_VALUE"""),0.16666666666666666)</f>
        <v>0.1666666667</v>
      </c>
      <c r="D3053" s="8">
        <f>IFERROR(__xludf.DUMMYFUNCTION("""COMPUTED_VALUE"""),0.875)</f>
        <v>0.875</v>
      </c>
      <c r="E3053" s="8" t="str">
        <f>IFERROR(__xludf.DUMMYFUNCTION("""COMPUTED_VALUE"""),"Real")</f>
        <v>Real</v>
      </c>
      <c r="G3053" s="8">
        <f t="shared" si="1"/>
        <v>3</v>
      </c>
      <c r="H3053" s="14">
        <f t="shared" si="2"/>
        <v>8</v>
      </c>
      <c r="I3053" s="15">
        <f t="shared" si="3"/>
        <v>4</v>
      </c>
    </row>
    <row r="3054">
      <c r="A3054" s="8" t="str">
        <f>IFERROR(__xludf.DUMMYFUNCTION("IF('(INGESTA)Datos_consumo_datadis'!A3054&lt;&gt;"""",SPLIT('(INGESTA)Datos_consumo_datadis'!A:A,"",""),"""")"),"ES0031408323131005HX0F")</f>
        <v>ES0031408323131005HX0F</v>
      </c>
      <c r="B3054" s="12">
        <f>IFERROR(__xludf.DUMMYFUNCTION("""COMPUTED_VALUE"""),44993.0)</f>
        <v>44993</v>
      </c>
      <c r="C3054" s="13">
        <f>IFERROR(__xludf.DUMMYFUNCTION("""COMPUTED_VALUE"""),0.20833333333333334)</f>
        <v>0.2083333333</v>
      </c>
      <c r="D3054" s="8">
        <f>IFERROR(__xludf.DUMMYFUNCTION("""COMPUTED_VALUE"""),0.399)</f>
        <v>0.399</v>
      </c>
      <c r="E3054" s="8" t="str">
        <f>IFERROR(__xludf.DUMMYFUNCTION("""COMPUTED_VALUE"""),"Real")</f>
        <v>Real</v>
      </c>
      <c r="G3054" s="8">
        <f t="shared" si="1"/>
        <v>3</v>
      </c>
      <c r="H3054" s="14">
        <f t="shared" si="2"/>
        <v>8</v>
      </c>
      <c r="I3054" s="15">
        <f t="shared" si="3"/>
        <v>5</v>
      </c>
    </row>
    <row r="3055">
      <c r="A3055" s="8" t="str">
        <f>IFERROR(__xludf.DUMMYFUNCTION("IF('(INGESTA)Datos_consumo_datadis'!A3055&lt;&gt;"""",SPLIT('(INGESTA)Datos_consumo_datadis'!A:A,"",""),"""")"),"ES0031408323131005HX0F")</f>
        <v>ES0031408323131005HX0F</v>
      </c>
      <c r="B3055" s="12">
        <f>IFERROR(__xludf.DUMMYFUNCTION("""COMPUTED_VALUE"""),44993.0)</f>
        <v>44993</v>
      </c>
      <c r="C3055" s="13">
        <f>IFERROR(__xludf.DUMMYFUNCTION("""COMPUTED_VALUE"""),0.25)</f>
        <v>0.25</v>
      </c>
      <c r="D3055" s="8">
        <f>IFERROR(__xludf.DUMMYFUNCTION("""COMPUTED_VALUE"""),0.063)</f>
        <v>0.063</v>
      </c>
      <c r="E3055" s="8" t="str">
        <f>IFERROR(__xludf.DUMMYFUNCTION("""COMPUTED_VALUE"""),"Real")</f>
        <v>Real</v>
      </c>
      <c r="G3055" s="8">
        <f t="shared" si="1"/>
        <v>3</v>
      </c>
      <c r="H3055" s="14">
        <f t="shared" si="2"/>
        <v>8</v>
      </c>
      <c r="I3055" s="15">
        <f t="shared" si="3"/>
        <v>6</v>
      </c>
    </row>
    <row r="3056">
      <c r="A3056" s="8" t="str">
        <f>IFERROR(__xludf.DUMMYFUNCTION("IF('(INGESTA)Datos_consumo_datadis'!A3056&lt;&gt;"""",SPLIT('(INGESTA)Datos_consumo_datadis'!A:A,"",""),"""")"),"ES0031408323131005HX0F")</f>
        <v>ES0031408323131005HX0F</v>
      </c>
      <c r="B3056" s="12">
        <f>IFERROR(__xludf.DUMMYFUNCTION("""COMPUTED_VALUE"""),44993.0)</f>
        <v>44993</v>
      </c>
      <c r="C3056" s="13">
        <f>IFERROR(__xludf.DUMMYFUNCTION("""COMPUTED_VALUE"""),0.2916666666666667)</f>
        <v>0.2916666667</v>
      </c>
      <c r="D3056" s="8">
        <f>IFERROR(__xludf.DUMMYFUNCTION("""COMPUTED_VALUE"""),0.018)</f>
        <v>0.018</v>
      </c>
      <c r="E3056" s="8" t="str">
        <f>IFERROR(__xludf.DUMMYFUNCTION("""COMPUTED_VALUE"""),"Real")</f>
        <v>Real</v>
      </c>
      <c r="G3056" s="8">
        <f t="shared" si="1"/>
        <v>3</v>
      </c>
      <c r="H3056" s="14">
        <f t="shared" si="2"/>
        <v>8</v>
      </c>
      <c r="I3056" s="15">
        <f t="shared" si="3"/>
        <v>7</v>
      </c>
    </row>
    <row r="3057">
      <c r="A3057" s="8" t="str">
        <f>IFERROR(__xludf.DUMMYFUNCTION("IF('(INGESTA)Datos_consumo_datadis'!A3057&lt;&gt;"""",SPLIT('(INGESTA)Datos_consumo_datadis'!A:A,"",""),"""")"),"ES0031408323131005HX0F")</f>
        <v>ES0031408323131005HX0F</v>
      </c>
      <c r="B3057" s="12">
        <f>IFERROR(__xludf.DUMMYFUNCTION("""COMPUTED_VALUE"""),44993.0)</f>
        <v>44993</v>
      </c>
      <c r="C3057" s="13">
        <f>IFERROR(__xludf.DUMMYFUNCTION("""COMPUTED_VALUE"""),0.3333333333333333)</f>
        <v>0.3333333333</v>
      </c>
      <c r="D3057" s="8">
        <f>IFERROR(__xludf.DUMMYFUNCTION("""COMPUTED_VALUE"""),0.911)</f>
        <v>0.911</v>
      </c>
      <c r="E3057" s="8" t="str">
        <f>IFERROR(__xludf.DUMMYFUNCTION("""COMPUTED_VALUE"""),"Real")</f>
        <v>Real</v>
      </c>
      <c r="G3057" s="8">
        <f t="shared" si="1"/>
        <v>3</v>
      </c>
      <c r="H3057" s="14">
        <f t="shared" si="2"/>
        <v>8</v>
      </c>
      <c r="I3057" s="15">
        <f t="shared" si="3"/>
        <v>8</v>
      </c>
    </row>
    <row r="3058">
      <c r="A3058" s="8" t="str">
        <f>IFERROR(__xludf.DUMMYFUNCTION("IF('(INGESTA)Datos_consumo_datadis'!A3058&lt;&gt;"""",SPLIT('(INGESTA)Datos_consumo_datadis'!A:A,"",""),"""")"),"ES0031408323131005HX0F")</f>
        <v>ES0031408323131005HX0F</v>
      </c>
      <c r="B3058" s="12">
        <f>IFERROR(__xludf.DUMMYFUNCTION("""COMPUTED_VALUE"""),44993.0)</f>
        <v>44993</v>
      </c>
      <c r="C3058" s="13">
        <f>IFERROR(__xludf.DUMMYFUNCTION("""COMPUTED_VALUE"""),0.375)</f>
        <v>0.375</v>
      </c>
      <c r="D3058" s="8">
        <f>IFERROR(__xludf.DUMMYFUNCTION("""COMPUTED_VALUE"""),0.063)</f>
        <v>0.063</v>
      </c>
      <c r="E3058" s="8" t="str">
        <f>IFERROR(__xludf.DUMMYFUNCTION("""COMPUTED_VALUE"""),"Real")</f>
        <v>Real</v>
      </c>
      <c r="G3058" s="8">
        <f t="shared" si="1"/>
        <v>3</v>
      </c>
      <c r="H3058" s="14">
        <f t="shared" si="2"/>
        <v>8</v>
      </c>
      <c r="I3058" s="15">
        <f t="shared" si="3"/>
        <v>9</v>
      </c>
    </row>
    <row r="3059">
      <c r="A3059" s="8" t="str">
        <f>IFERROR(__xludf.DUMMYFUNCTION("IF('(INGESTA)Datos_consumo_datadis'!A3059&lt;&gt;"""",SPLIT('(INGESTA)Datos_consumo_datadis'!A:A,"",""),"""")"),"ES0031408323131005HX0F")</f>
        <v>ES0031408323131005HX0F</v>
      </c>
      <c r="B3059" s="12">
        <f>IFERROR(__xludf.DUMMYFUNCTION("""COMPUTED_VALUE"""),44993.0)</f>
        <v>44993</v>
      </c>
      <c r="C3059" s="13">
        <f>IFERROR(__xludf.DUMMYFUNCTION("""COMPUTED_VALUE"""),0.4166666666666667)</f>
        <v>0.4166666667</v>
      </c>
      <c r="D3059" s="8">
        <f>IFERROR(__xludf.DUMMYFUNCTION("""COMPUTED_VALUE"""),0.017)</f>
        <v>0.017</v>
      </c>
      <c r="E3059" s="8" t="str">
        <f>IFERROR(__xludf.DUMMYFUNCTION("""COMPUTED_VALUE"""),"Real")</f>
        <v>Real</v>
      </c>
      <c r="G3059" s="8">
        <f t="shared" si="1"/>
        <v>3</v>
      </c>
      <c r="H3059" s="14">
        <f t="shared" si="2"/>
        <v>8</v>
      </c>
      <c r="I3059" s="15">
        <f t="shared" si="3"/>
        <v>10</v>
      </c>
    </row>
    <row r="3060">
      <c r="A3060" s="8" t="str">
        <f>IFERROR(__xludf.DUMMYFUNCTION("IF('(INGESTA)Datos_consumo_datadis'!A3060&lt;&gt;"""",SPLIT('(INGESTA)Datos_consumo_datadis'!A:A,"",""),"""")"),"ES0031408323131005HX0F")</f>
        <v>ES0031408323131005HX0F</v>
      </c>
      <c r="B3060" s="12">
        <f>IFERROR(__xludf.DUMMYFUNCTION("""COMPUTED_VALUE"""),44993.0)</f>
        <v>44993</v>
      </c>
      <c r="C3060" s="13">
        <f>IFERROR(__xludf.DUMMYFUNCTION("""COMPUTED_VALUE"""),0.4583333333333333)</f>
        <v>0.4583333333</v>
      </c>
      <c r="D3060" s="8">
        <f>IFERROR(__xludf.DUMMYFUNCTION("""COMPUTED_VALUE"""),0.054)</f>
        <v>0.054</v>
      </c>
      <c r="E3060" s="8" t="str">
        <f>IFERROR(__xludf.DUMMYFUNCTION("""COMPUTED_VALUE"""),"Real")</f>
        <v>Real</v>
      </c>
      <c r="G3060" s="8">
        <f t="shared" si="1"/>
        <v>3</v>
      </c>
      <c r="H3060" s="14">
        <f t="shared" si="2"/>
        <v>8</v>
      </c>
      <c r="I3060" s="15">
        <f t="shared" si="3"/>
        <v>11</v>
      </c>
    </row>
    <row r="3061">
      <c r="A3061" s="8" t="str">
        <f>IFERROR(__xludf.DUMMYFUNCTION("IF('(INGESTA)Datos_consumo_datadis'!A3061&lt;&gt;"""",SPLIT('(INGESTA)Datos_consumo_datadis'!A:A,"",""),"""")"),"ES0031408323131005HX0F")</f>
        <v>ES0031408323131005HX0F</v>
      </c>
      <c r="B3061" s="12">
        <f>IFERROR(__xludf.DUMMYFUNCTION("""COMPUTED_VALUE"""),44993.0)</f>
        <v>44993</v>
      </c>
      <c r="C3061" s="13">
        <f>IFERROR(__xludf.DUMMYFUNCTION("""COMPUTED_VALUE"""),0.5)</f>
        <v>0.5</v>
      </c>
      <c r="D3061" s="8">
        <f>IFERROR(__xludf.DUMMYFUNCTION("""COMPUTED_VALUE"""),0.066)</f>
        <v>0.066</v>
      </c>
      <c r="E3061" s="8" t="str">
        <f>IFERROR(__xludf.DUMMYFUNCTION("""COMPUTED_VALUE"""),"Real")</f>
        <v>Real</v>
      </c>
      <c r="G3061" s="8">
        <f t="shared" si="1"/>
        <v>3</v>
      </c>
      <c r="H3061" s="14">
        <f t="shared" si="2"/>
        <v>8</v>
      </c>
      <c r="I3061" s="15">
        <f t="shared" si="3"/>
        <v>12</v>
      </c>
    </row>
    <row r="3062">
      <c r="A3062" s="8" t="str">
        <f>IFERROR(__xludf.DUMMYFUNCTION("IF('(INGESTA)Datos_consumo_datadis'!A3062&lt;&gt;"""",SPLIT('(INGESTA)Datos_consumo_datadis'!A:A,"",""),"""")"),"ES0031408323131005HX0F")</f>
        <v>ES0031408323131005HX0F</v>
      </c>
      <c r="B3062" s="12">
        <f>IFERROR(__xludf.DUMMYFUNCTION("""COMPUTED_VALUE"""),44993.0)</f>
        <v>44993</v>
      </c>
      <c r="C3062" s="13">
        <f>IFERROR(__xludf.DUMMYFUNCTION("""COMPUTED_VALUE"""),0.5416666666666666)</f>
        <v>0.5416666667</v>
      </c>
      <c r="D3062" s="8">
        <f>IFERROR(__xludf.DUMMYFUNCTION("""COMPUTED_VALUE"""),0.025)</f>
        <v>0.025</v>
      </c>
      <c r="E3062" s="8" t="str">
        <f>IFERROR(__xludf.DUMMYFUNCTION("""COMPUTED_VALUE"""),"Real")</f>
        <v>Real</v>
      </c>
      <c r="G3062" s="8">
        <f t="shared" si="1"/>
        <v>3</v>
      </c>
      <c r="H3062" s="14">
        <f t="shared" si="2"/>
        <v>8</v>
      </c>
      <c r="I3062" s="15">
        <f t="shared" si="3"/>
        <v>13</v>
      </c>
    </row>
    <row r="3063">
      <c r="A3063" s="8" t="str">
        <f>IFERROR(__xludf.DUMMYFUNCTION("IF('(INGESTA)Datos_consumo_datadis'!A3063&lt;&gt;"""",SPLIT('(INGESTA)Datos_consumo_datadis'!A:A,"",""),"""")"),"ES0031408323131005HX0F")</f>
        <v>ES0031408323131005HX0F</v>
      </c>
      <c r="B3063" s="12">
        <f>IFERROR(__xludf.DUMMYFUNCTION("""COMPUTED_VALUE"""),44993.0)</f>
        <v>44993</v>
      </c>
      <c r="C3063" s="13">
        <f>IFERROR(__xludf.DUMMYFUNCTION("""COMPUTED_VALUE"""),0.5833333333333334)</f>
        <v>0.5833333333</v>
      </c>
      <c r="D3063" s="8">
        <f>IFERROR(__xludf.DUMMYFUNCTION("""COMPUTED_VALUE"""),0.332)</f>
        <v>0.332</v>
      </c>
      <c r="E3063" s="8" t="str">
        <f>IFERROR(__xludf.DUMMYFUNCTION("""COMPUTED_VALUE"""),"Real")</f>
        <v>Real</v>
      </c>
      <c r="G3063" s="8">
        <f t="shared" si="1"/>
        <v>3</v>
      </c>
      <c r="H3063" s="14">
        <f t="shared" si="2"/>
        <v>8</v>
      </c>
      <c r="I3063" s="15">
        <f t="shared" si="3"/>
        <v>14</v>
      </c>
    </row>
    <row r="3064">
      <c r="A3064" s="8" t="str">
        <f>IFERROR(__xludf.DUMMYFUNCTION("IF('(INGESTA)Datos_consumo_datadis'!A3064&lt;&gt;"""",SPLIT('(INGESTA)Datos_consumo_datadis'!A:A,"",""),"""")"),"ES0031408323131005HX0F")</f>
        <v>ES0031408323131005HX0F</v>
      </c>
      <c r="B3064" s="12">
        <f>IFERROR(__xludf.DUMMYFUNCTION("""COMPUTED_VALUE"""),44993.0)</f>
        <v>44993</v>
      </c>
      <c r="C3064" s="13">
        <f>IFERROR(__xludf.DUMMYFUNCTION("""COMPUTED_VALUE"""),0.625)</f>
        <v>0.625</v>
      </c>
      <c r="D3064" s="8">
        <f>IFERROR(__xludf.DUMMYFUNCTION("""COMPUTED_VALUE"""),0.063)</f>
        <v>0.063</v>
      </c>
      <c r="E3064" s="8" t="str">
        <f>IFERROR(__xludf.DUMMYFUNCTION("""COMPUTED_VALUE"""),"Real")</f>
        <v>Real</v>
      </c>
      <c r="G3064" s="8">
        <f t="shared" si="1"/>
        <v>3</v>
      </c>
      <c r="H3064" s="14">
        <f t="shared" si="2"/>
        <v>8</v>
      </c>
      <c r="I3064" s="15">
        <f t="shared" si="3"/>
        <v>15</v>
      </c>
    </row>
    <row r="3065">
      <c r="A3065" s="8" t="str">
        <f>IFERROR(__xludf.DUMMYFUNCTION("IF('(INGESTA)Datos_consumo_datadis'!A3065&lt;&gt;"""",SPLIT('(INGESTA)Datos_consumo_datadis'!A:A,"",""),"""")"),"ES0031408323131005HX0F")</f>
        <v>ES0031408323131005HX0F</v>
      </c>
      <c r="B3065" s="12">
        <f>IFERROR(__xludf.DUMMYFUNCTION("""COMPUTED_VALUE"""),44993.0)</f>
        <v>44993</v>
      </c>
      <c r="C3065" s="13">
        <f>IFERROR(__xludf.DUMMYFUNCTION("""COMPUTED_VALUE"""),0.6666666666666666)</f>
        <v>0.6666666667</v>
      </c>
      <c r="D3065" s="8">
        <f>IFERROR(__xludf.DUMMYFUNCTION("""COMPUTED_VALUE"""),0.039)</f>
        <v>0.039</v>
      </c>
      <c r="E3065" s="8" t="str">
        <f>IFERROR(__xludf.DUMMYFUNCTION("""COMPUTED_VALUE"""),"Real")</f>
        <v>Real</v>
      </c>
      <c r="G3065" s="8">
        <f t="shared" si="1"/>
        <v>3</v>
      </c>
      <c r="H3065" s="14">
        <f t="shared" si="2"/>
        <v>8</v>
      </c>
      <c r="I3065" s="15">
        <f t="shared" si="3"/>
        <v>16</v>
      </c>
    </row>
    <row r="3066">
      <c r="A3066" s="8" t="str">
        <f>IFERROR(__xludf.DUMMYFUNCTION("IF('(INGESTA)Datos_consumo_datadis'!A3066&lt;&gt;"""",SPLIT('(INGESTA)Datos_consumo_datadis'!A:A,"",""),"""")"),"ES0031408323131005HX0F")</f>
        <v>ES0031408323131005HX0F</v>
      </c>
      <c r="B3066" s="12">
        <f>IFERROR(__xludf.DUMMYFUNCTION("""COMPUTED_VALUE"""),44993.0)</f>
        <v>44993</v>
      </c>
      <c r="C3066" s="13">
        <f>IFERROR(__xludf.DUMMYFUNCTION("""COMPUTED_VALUE"""),0.7083333333333334)</f>
        <v>0.7083333333</v>
      </c>
      <c r="D3066" s="8">
        <f>IFERROR(__xludf.DUMMYFUNCTION("""COMPUTED_VALUE"""),0.031)</f>
        <v>0.031</v>
      </c>
      <c r="E3066" s="8" t="str">
        <f>IFERROR(__xludf.DUMMYFUNCTION("""COMPUTED_VALUE"""),"Real")</f>
        <v>Real</v>
      </c>
      <c r="G3066" s="8">
        <f t="shared" si="1"/>
        <v>3</v>
      </c>
      <c r="H3066" s="14">
        <f t="shared" si="2"/>
        <v>8</v>
      </c>
      <c r="I3066" s="15">
        <f t="shared" si="3"/>
        <v>17</v>
      </c>
    </row>
    <row r="3067">
      <c r="A3067" s="8" t="str">
        <f>IFERROR(__xludf.DUMMYFUNCTION("IF('(INGESTA)Datos_consumo_datadis'!A3067&lt;&gt;"""",SPLIT('(INGESTA)Datos_consumo_datadis'!A:A,"",""),"""")"),"ES0031408323131005HX0F")</f>
        <v>ES0031408323131005HX0F</v>
      </c>
      <c r="B3067" s="12">
        <f>IFERROR(__xludf.DUMMYFUNCTION("""COMPUTED_VALUE"""),44993.0)</f>
        <v>44993</v>
      </c>
      <c r="C3067" s="13">
        <f>IFERROR(__xludf.DUMMYFUNCTION("""COMPUTED_VALUE"""),0.75)</f>
        <v>0.75</v>
      </c>
      <c r="D3067" s="8">
        <f>IFERROR(__xludf.DUMMYFUNCTION("""COMPUTED_VALUE"""),0.075)</f>
        <v>0.075</v>
      </c>
      <c r="E3067" s="8" t="str">
        <f>IFERROR(__xludf.DUMMYFUNCTION("""COMPUTED_VALUE"""),"Real")</f>
        <v>Real</v>
      </c>
      <c r="G3067" s="8">
        <f t="shared" si="1"/>
        <v>3</v>
      </c>
      <c r="H3067" s="14">
        <f t="shared" si="2"/>
        <v>8</v>
      </c>
      <c r="I3067" s="15">
        <f t="shared" si="3"/>
        <v>18</v>
      </c>
    </row>
    <row r="3068">
      <c r="A3068" s="8" t="str">
        <f>IFERROR(__xludf.DUMMYFUNCTION("IF('(INGESTA)Datos_consumo_datadis'!A3068&lt;&gt;"""",SPLIT('(INGESTA)Datos_consumo_datadis'!A:A,"",""),"""")"),"ES0031408323131005HX0F")</f>
        <v>ES0031408323131005HX0F</v>
      </c>
      <c r="B3068" s="12">
        <f>IFERROR(__xludf.DUMMYFUNCTION("""COMPUTED_VALUE"""),44993.0)</f>
        <v>44993</v>
      </c>
      <c r="C3068" s="13">
        <f>IFERROR(__xludf.DUMMYFUNCTION("""COMPUTED_VALUE"""),0.7916666666666666)</f>
        <v>0.7916666667</v>
      </c>
      <c r="D3068" s="8">
        <f>IFERROR(__xludf.DUMMYFUNCTION("""COMPUTED_VALUE"""),0.042)</f>
        <v>0.042</v>
      </c>
      <c r="E3068" s="8" t="str">
        <f>IFERROR(__xludf.DUMMYFUNCTION("""COMPUTED_VALUE"""),"Real")</f>
        <v>Real</v>
      </c>
      <c r="G3068" s="8">
        <f t="shared" si="1"/>
        <v>3</v>
      </c>
      <c r="H3068" s="14">
        <f t="shared" si="2"/>
        <v>8</v>
      </c>
      <c r="I3068" s="15">
        <f t="shared" si="3"/>
        <v>19</v>
      </c>
    </row>
    <row r="3069">
      <c r="A3069" s="8" t="str">
        <f>IFERROR(__xludf.DUMMYFUNCTION("IF('(INGESTA)Datos_consumo_datadis'!A3069&lt;&gt;"""",SPLIT('(INGESTA)Datos_consumo_datadis'!A:A,"",""),"""")"),"ES0031408323131005HX0F")</f>
        <v>ES0031408323131005HX0F</v>
      </c>
      <c r="B3069" s="12">
        <f>IFERROR(__xludf.DUMMYFUNCTION("""COMPUTED_VALUE"""),44993.0)</f>
        <v>44993</v>
      </c>
      <c r="C3069" s="13">
        <f>IFERROR(__xludf.DUMMYFUNCTION("""COMPUTED_VALUE"""),0.8333333333333334)</f>
        <v>0.8333333333</v>
      </c>
      <c r="D3069" s="8">
        <f>IFERROR(__xludf.DUMMYFUNCTION("""COMPUTED_VALUE"""),0.295)</f>
        <v>0.295</v>
      </c>
      <c r="E3069" s="8" t="str">
        <f>IFERROR(__xludf.DUMMYFUNCTION("""COMPUTED_VALUE"""),"Real")</f>
        <v>Real</v>
      </c>
      <c r="G3069" s="8">
        <f t="shared" si="1"/>
        <v>3</v>
      </c>
      <c r="H3069" s="14">
        <f t="shared" si="2"/>
        <v>8</v>
      </c>
      <c r="I3069" s="15">
        <f t="shared" si="3"/>
        <v>20</v>
      </c>
    </row>
    <row r="3070">
      <c r="A3070" s="8" t="str">
        <f>IFERROR(__xludf.DUMMYFUNCTION("IF('(INGESTA)Datos_consumo_datadis'!A3070&lt;&gt;"""",SPLIT('(INGESTA)Datos_consumo_datadis'!A:A,"",""),"""")"),"ES0031408323131005HX0F")</f>
        <v>ES0031408323131005HX0F</v>
      </c>
      <c r="B3070" s="12">
        <f>IFERROR(__xludf.DUMMYFUNCTION("""COMPUTED_VALUE"""),44993.0)</f>
        <v>44993</v>
      </c>
      <c r="C3070" s="13">
        <f>IFERROR(__xludf.DUMMYFUNCTION("""COMPUTED_VALUE"""),0.875)</f>
        <v>0.875</v>
      </c>
      <c r="D3070" s="8">
        <f>IFERROR(__xludf.DUMMYFUNCTION("""COMPUTED_VALUE"""),0.115)</f>
        <v>0.115</v>
      </c>
      <c r="E3070" s="8" t="str">
        <f>IFERROR(__xludf.DUMMYFUNCTION("""COMPUTED_VALUE"""),"Real")</f>
        <v>Real</v>
      </c>
      <c r="G3070" s="8">
        <f t="shared" si="1"/>
        <v>3</v>
      </c>
      <c r="H3070" s="14">
        <f t="shared" si="2"/>
        <v>8</v>
      </c>
      <c r="I3070" s="15">
        <f t="shared" si="3"/>
        <v>21</v>
      </c>
    </row>
    <row r="3071">
      <c r="A3071" s="8" t="str">
        <f>IFERROR(__xludf.DUMMYFUNCTION("IF('(INGESTA)Datos_consumo_datadis'!A3071&lt;&gt;"""",SPLIT('(INGESTA)Datos_consumo_datadis'!A:A,"",""),"""")"),"ES0031408323131005HX0F")</f>
        <v>ES0031408323131005HX0F</v>
      </c>
      <c r="B3071" s="12">
        <f>IFERROR(__xludf.DUMMYFUNCTION("""COMPUTED_VALUE"""),44993.0)</f>
        <v>44993</v>
      </c>
      <c r="C3071" s="13">
        <f>IFERROR(__xludf.DUMMYFUNCTION("""COMPUTED_VALUE"""),0.9166666666666666)</f>
        <v>0.9166666667</v>
      </c>
      <c r="D3071" s="8">
        <f>IFERROR(__xludf.DUMMYFUNCTION("""COMPUTED_VALUE"""),1.364)</f>
        <v>1.364</v>
      </c>
      <c r="E3071" s="8" t="str">
        <f>IFERROR(__xludf.DUMMYFUNCTION("""COMPUTED_VALUE"""),"Real")</f>
        <v>Real</v>
      </c>
      <c r="G3071" s="8">
        <f t="shared" si="1"/>
        <v>3</v>
      </c>
      <c r="H3071" s="14">
        <f t="shared" si="2"/>
        <v>8</v>
      </c>
      <c r="I3071" s="15">
        <f t="shared" si="3"/>
        <v>22</v>
      </c>
    </row>
    <row r="3072">
      <c r="A3072" s="8" t="str">
        <f>IFERROR(__xludf.DUMMYFUNCTION("IF('(INGESTA)Datos_consumo_datadis'!A3072&lt;&gt;"""",SPLIT('(INGESTA)Datos_consumo_datadis'!A:A,"",""),"""")"),"ES0031408323131005HX0F")</f>
        <v>ES0031408323131005HX0F</v>
      </c>
      <c r="B3072" s="12">
        <f>IFERROR(__xludf.DUMMYFUNCTION("""COMPUTED_VALUE"""),44993.0)</f>
        <v>44993</v>
      </c>
      <c r="C3072" s="13">
        <f>IFERROR(__xludf.DUMMYFUNCTION("""COMPUTED_VALUE"""),0.9583333333333334)</f>
        <v>0.9583333333</v>
      </c>
      <c r="D3072" s="8">
        <f>IFERROR(__xludf.DUMMYFUNCTION("""COMPUTED_VALUE"""),3.007)</f>
        <v>3.007</v>
      </c>
      <c r="E3072" s="8" t="str">
        <f>IFERROR(__xludf.DUMMYFUNCTION("""COMPUTED_VALUE"""),"Real")</f>
        <v>Real</v>
      </c>
      <c r="G3072" s="8">
        <f t="shared" si="1"/>
        <v>3</v>
      </c>
      <c r="H3072" s="14">
        <f t="shared" si="2"/>
        <v>8</v>
      </c>
      <c r="I3072" s="15">
        <f t="shared" si="3"/>
        <v>23</v>
      </c>
    </row>
    <row r="3073">
      <c r="A3073" s="8" t="str">
        <f>IFERROR(__xludf.DUMMYFUNCTION("IF('(INGESTA)Datos_consumo_datadis'!A3073&lt;&gt;"""",SPLIT('(INGESTA)Datos_consumo_datadis'!A:A,"",""),"""")"),"ES0031408323131005HX0F")</f>
        <v>ES0031408323131005HX0F</v>
      </c>
      <c r="B3073" s="12">
        <f>IFERROR(__xludf.DUMMYFUNCTION("""COMPUTED_VALUE"""),44993.0)</f>
        <v>44993</v>
      </c>
      <c r="C3073" s="16">
        <f>IFERROR(__xludf.DUMMYFUNCTION("""COMPUTED_VALUE"""),1.0)</f>
        <v>1</v>
      </c>
      <c r="D3073" s="8">
        <f>IFERROR(__xludf.DUMMYFUNCTION("""COMPUTED_VALUE"""),2.577)</f>
        <v>2.577</v>
      </c>
      <c r="E3073" s="8" t="str">
        <f>IFERROR(__xludf.DUMMYFUNCTION("""COMPUTED_VALUE"""),"Real")</f>
        <v>Real</v>
      </c>
      <c r="G3073" s="8">
        <f t="shared" si="1"/>
        <v>3</v>
      </c>
      <c r="H3073" s="14">
        <f t="shared" si="2"/>
        <v>8</v>
      </c>
      <c r="I3073" s="15">
        <f t="shared" si="3"/>
        <v>0</v>
      </c>
    </row>
    <row r="3074">
      <c r="A3074" s="8" t="str">
        <f>IFERROR(__xludf.DUMMYFUNCTION("IF('(INGESTA)Datos_consumo_datadis'!A3074&lt;&gt;"""",SPLIT('(INGESTA)Datos_consumo_datadis'!A:A,"",""),"""")"),"ES0031408323131005HX0F")</f>
        <v>ES0031408323131005HX0F</v>
      </c>
      <c r="B3074" s="12">
        <f>IFERROR(__xludf.DUMMYFUNCTION("""COMPUTED_VALUE"""),44994.0)</f>
        <v>44994</v>
      </c>
      <c r="C3074" s="13">
        <f>IFERROR(__xludf.DUMMYFUNCTION("""COMPUTED_VALUE"""),0.041666666666666664)</f>
        <v>0.04166666667</v>
      </c>
      <c r="D3074" s="8">
        <f>IFERROR(__xludf.DUMMYFUNCTION("""COMPUTED_VALUE"""),0.325)</f>
        <v>0.325</v>
      </c>
      <c r="E3074" s="8" t="str">
        <f>IFERROR(__xludf.DUMMYFUNCTION("""COMPUTED_VALUE"""),"Real")</f>
        <v>Real</v>
      </c>
      <c r="G3074" s="8">
        <f t="shared" si="1"/>
        <v>3</v>
      </c>
      <c r="H3074" s="14">
        <f t="shared" si="2"/>
        <v>9</v>
      </c>
      <c r="I3074" s="15">
        <f t="shared" si="3"/>
        <v>1</v>
      </c>
    </row>
    <row r="3075">
      <c r="A3075" s="8" t="str">
        <f>IFERROR(__xludf.DUMMYFUNCTION("IF('(INGESTA)Datos_consumo_datadis'!A3075&lt;&gt;"""",SPLIT('(INGESTA)Datos_consumo_datadis'!A:A,"",""),"""")"),"ES0031408323131005HX0F")</f>
        <v>ES0031408323131005HX0F</v>
      </c>
      <c r="B3075" s="12">
        <f>IFERROR(__xludf.DUMMYFUNCTION("""COMPUTED_VALUE"""),44994.0)</f>
        <v>44994</v>
      </c>
      <c r="C3075" s="13">
        <f>IFERROR(__xludf.DUMMYFUNCTION("""COMPUTED_VALUE"""),0.08333333333333333)</f>
        <v>0.08333333333</v>
      </c>
      <c r="D3075" s="8">
        <f>IFERROR(__xludf.DUMMYFUNCTION("""COMPUTED_VALUE"""),0.03)</f>
        <v>0.03</v>
      </c>
      <c r="E3075" s="8" t="str">
        <f>IFERROR(__xludf.DUMMYFUNCTION("""COMPUTED_VALUE"""),"Real")</f>
        <v>Real</v>
      </c>
      <c r="G3075" s="8">
        <f t="shared" si="1"/>
        <v>3</v>
      </c>
      <c r="H3075" s="14">
        <f t="shared" si="2"/>
        <v>9</v>
      </c>
      <c r="I3075" s="15">
        <f t="shared" si="3"/>
        <v>2</v>
      </c>
    </row>
    <row r="3076">
      <c r="A3076" s="8" t="str">
        <f>IFERROR(__xludf.DUMMYFUNCTION("IF('(INGESTA)Datos_consumo_datadis'!A3076&lt;&gt;"""",SPLIT('(INGESTA)Datos_consumo_datadis'!A:A,"",""),"""")"),"ES0031408323131005HX0F")</f>
        <v>ES0031408323131005HX0F</v>
      </c>
      <c r="B3076" s="12">
        <f>IFERROR(__xludf.DUMMYFUNCTION("""COMPUTED_VALUE"""),44994.0)</f>
        <v>44994</v>
      </c>
      <c r="C3076" s="13">
        <f>IFERROR(__xludf.DUMMYFUNCTION("""COMPUTED_VALUE"""),0.125)</f>
        <v>0.125</v>
      </c>
      <c r="D3076" s="8">
        <f>IFERROR(__xludf.DUMMYFUNCTION("""COMPUTED_VALUE"""),0.038)</f>
        <v>0.038</v>
      </c>
      <c r="E3076" s="8" t="str">
        <f>IFERROR(__xludf.DUMMYFUNCTION("""COMPUTED_VALUE"""),"Real")</f>
        <v>Real</v>
      </c>
      <c r="G3076" s="8">
        <f t="shared" si="1"/>
        <v>3</v>
      </c>
      <c r="H3076" s="14">
        <f t="shared" si="2"/>
        <v>9</v>
      </c>
      <c r="I3076" s="15">
        <f t="shared" si="3"/>
        <v>3</v>
      </c>
    </row>
    <row r="3077">
      <c r="A3077" s="8" t="str">
        <f>IFERROR(__xludf.DUMMYFUNCTION("IF('(INGESTA)Datos_consumo_datadis'!A3077&lt;&gt;"""",SPLIT('(INGESTA)Datos_consumo_datadis'!A:A,"",""),"""")"),"ES0031408323131005HX0F")</f>
        <v>ES0031408323131005HX0F</v>
      </c>
      <c r="B3077" s="12">
        <f>IFERROR(__xludf.DUMMYFUNCTION("""COMPUTED_VALUE"""),44994.0)</f>
        <v>44994</v>
      </c>
      <c r="C3077" s="13">
        <f>IFERROR(__xludf.DUMMYFUNCTION("""COMPUTED_VALUE"""),0.16666666666666666)</f>
        <v>0.1666666667</v>
      </c>
      <c r="D3077" s="8">
        <f>IFERROR(__xludf.DUMMYFUNCTION("""COMPUTED_VALUE"""),0.084)</f>
        <v>0.084</v>
      </c>
      <c r="E3077" s="8" t="str">
        <f>IFERROR(__xludf.DUMMYFUNCTION("""COMPUTED_VALUE"""),"Real")</f>
        <v>Real</v>
      </c>
      <c r="G3077" s="8">
        <f t="shared" si="1"/>
        <v>3</v>
      </c>
      <c r="H3077" s="14">
        <f t="shared" si="2"/>
        <v>9</v>
      </c>
      <c r="I3077" s="15">
        <f t="shared" si="3"/>
        <v>4</v>
      </c>
    </row>
    <row r="3078">
      <c r="A3078" s="8" t="str">
        <f>IFERROR(__xludf.DUMMYFUNCTION("IF('(INGESTA)Datos_consumo_datadis'!A3078&lt;&gt;"""",SPLIT('(INGESTA)Datos_consumo_datadis'!A:A,"",""),"""")"),"ES0031408323131005HX0F")</f>
        <v>ES0031408323131005HX0F</v>
      </c>
      <c r="B3078" s="12">
        <f>IFERROR(__xludf.DUMMYFUNCTION("""COMPUTED_VALUE"""),44994.0)</f>
        <v>44994</v>
      </c>
      <c r="C3078" s="13">
        <f>IFERROR(__xludf.DUMMYFUNCTION("""COMPUTED_VALUE"""),0.20833333333333334)</f>
        <v>0.2083333333</v>
      </c>
      <c r="D3078" s="8">
        <f>IFERROR(__xludf.DUMMYFUNCTION("""COMPUTED_VALUE"""),0.299)</f>
        <v>0.299</v>
      </c>
      <c r="E3078" s="8" t="str">
        <f>IFERROR(__xludf.DUMMYFUNCTION("""COMPUTED_VALUE"""),"Real")</f>
        <v>Real</v>
      </c>
      <c r="G3078" s="8">
        <f t="shared" si="1"/>
        <v>3</v>
      </c>
      <c r="H3078" s="14">
        <f t="shared" si="2"/>
        <v>9</v>
      </c>
      <c r="I3078" s="15">
        <f t="shared" si="3"/>
        <v>5</v>
      </c>
    </row>
    <row r="3079">
      <c r="A3079" s="8" t="str">
        <f>IFERROR(__xludf.DUMMYFUNCTION("IF('(INGESTA)Datos_consumo_datadis'!A3079&lt;&gt;"""",SPLIT('(INGESTA)Datos_consumo_datadis'!A:A,"",""),"""")"),"ES0031408323131005HX0F")</f>
        <v>ES0031408323131005HX0F</v>
      </c>
      <c r="B3079" s="12">
        <f>IFERROR(__xludf.DUMMYFUNCTION("""COMPUTED_VALUE"""),44994.0)</f>
        <v>44994</v>
      </c>
      <c r="C3079" s="13">
        <f>IFERROR(__xludf.DUMMYFUNCTION("""COMPUTED_VALUE"""),0.25)</f>
        <v>0.25</v>
      </c>
      <c r="D3079" s="8">
        <f>IFERROR(__xludf.DUMMYFUNCTION("""COMPUTED_VALUE"""),0.032)</f>
        <v>0.032</v>
      </c>
      <c r="E3079" s="8" t="str">
        <f>IFERROR(__xludf.DUMMYFUNCTION("""COMPUTED_VALUE"""),"Real")</f>
        <v>Real</v>
      </c>
      <c r="G3079" s="8">
        <f t="shared" si="1"/>
        <v>3</v>
      </c>
      <c r="H3079" s="14">
        <f t="shared" si="2"/>
        <v>9</v>
      </c>
      <c r="I3079" s="15">
        <f t="shared" si="3"/>
        <v>6</v>
      </c>
    </row>
    <row r="3080">
      <c r="A3080" s="8" t="str">
        <f>IFERROR(__xludf.DUMMYFUNCTION("IF('(INGESTA)Datos_consumo_datadis'!A3080&lt;&gt;"""",SPLIT('(INGESTA)Datos_consumo_datadis'!A:A,"",""),"""")"),"ES0031408323131005HX0F")</f>
        <v>ES0031408323131005HX0F</v>
      </c>
      <c r="B3080" s="12">
        <f>IFERROR(__xludf.DUMMYFUNCTION("""COMPUTED_VALUE"""),44994.0)</f>
        <v>44994</v>
      </c>
      <c r="C3080" s="13">
        <f>IFERROR(__xludf.DUMMYFUNCTION("""COMPUTED_VALUE"""),0.2916666666666667)</f>
        <v>0.2916666667</v>
      </c>
      <c r="D3080" s="8">
        <f>IFERROR(__xludf.DUMMYFUNCTION("""COMPUTED_VALUE"""),0.722)</f>
        <v>0.722</v>
      </c>
      <c r="E3080" s="8" t="str">
        <f>IFERROR(__xludf.DUMMYFUNCTION("""COMPUTED_VALUE"""),"Real")</f>
        <v>Real</v>
      </c>
      <c r="G3080" s="8">
        <f t="shared" si="1"/>
        <v>3</v>
      </c>
      <c r="H3080" s="14">
        <f t="shared" si="2"/>
        <v>9</v>
      </c>
      <c r="I3080" s="15">
        <f t="shared" si="3"/>
        <v>7</v>
      </c>
    </row>
    <row r="3081">
      <c r="A3081" s="8" t="str">
        <f>IFERROR(__xludf.DUMMYFUNCTION("IF('(INGESTA)Datos_consumo_datadis'!A3081&lt;&gt;"""",SPLIT('(INGESTA)Datos_consumo_datadis'!A:A,"",""),"""")"),"ES0031408323131005HX0F")</f>
        <v>ES0031408323131005HX0F</v>
      </c>
      <c r="B3081" s="12">
        <f>IFERROR(__xludf.DUMMYFUNCTION("""COMPUTED_VALUE"""),44994.0)</f>
        <v>44994</v>
      </c>
      <c r="C3081" s="13">
        <f>IFERROR(__xludf.DUMMYFUNCTION("""COMPUTED_VALUE"""),0.3333333333333333)</f>
        <v>0.3333333333</v>
      </c>
      <c r="D3081" s="8">
        <f>IFERROR(__xludf.DUMMYFUNCTION("""COMPUTED_VALUE"""),0.555)</f>
        <v>0.555</v>
      </c>
      <c r="E3081" s="8" t="str">
        <f>IFERROR(__xludf.DUMMYFUNCTION("""COMPUTED_VALUE"""),"Real")</f>
        <v>Real</v>
      </c>
      <c r="G3081" s="8">
        <f t="shared" si="1"/>
        <v>3</v>
      </c>
      <c r="H3081" s="14">
        <f t="shared" si="2"/>
        <v>9</v>
      </c>
      <c r="I3081" s="15">
        <f t="shared" si="3"/>
        <v>8</v>
      </c>
    </row>
    <row r="3082">
      <c r="A3082" s="8" t="str">
        <f>IFERROR(__xludf.DUMMYFUNCTION("IF('(INGESTA)Datos_consumo_datadis'!A3082&lt;&gt;"""",SPLIT('(INGESTA)Datos_consumo_datadis'!A:A,"",""),"""")"),"ES0031408323131005HX0F")</f>
        <v>ES0031408323131005HX0F</v>
      </c>
      <c r="B3082" s="12">
        <f>IFERROR(__xludf.DUMMYFUNCTION("""COMPUTED_VALUE"""),44994.0)</f>
        <v>44994</v>
      </c>
      <c r="C3082" s="13">
        <f>IFERROR(__xludf.DUMMYFUNCTION("""COMPUTED_VALUE"""),0.375)</f>
        <v>0.375</v>
      </c>
      <c r="D3082" s="8">
        <f>IFERROR(__xludf.DUMMYFUNCTION("""COMPUTED_VALUE"""),0.111)</f>
        <v>0.111</v>
      </c>
      <c r="E3082" s="8" t="str">
        <f>IFERROR(__xludf.DUMMYFUNCTION("""COMPUTED_VALUE"""),"Real")</f>
        <v>Real</v>
      </c>
      <c r="G3082" s="8">
        <f t="shared" si="1"/>
        <v>3</v>
      </c>
      <c r="H3082" s="14">
        <f t="shared" si="2"/>
        <v>9</v>
      </c>
      <c r="I3082" s="15">
        <f t="shared" si="3"/>
        <v>9</v>
      </c>
    </row>
    <row r="3083">
      <c r="A3083" s="8" t="str">
        <f>IFERROR(__xludf.DUMMYFUNCTION("IF('(INGESTA)Datos_consumo_datadis'!A3083&lt;&gt;"""",SPLIT('(INGESTA)Datos_consumo_datadis'!A:A,"",""),"""")"),"ES0031408323131005HX0F")</f>
        <v>ES0031408323131005HX0F</v>
      </c>
      <c r="B3083" s="12">
        <f>IFERROR(__xludf.DUMMYFUNCTION("""COMPUTED_VALUE"""),44994.0)</f>
        <v>44994</v>
      </c>
      <c r="C3083" s="13">
        <f>IFERROR(__xludf.DUMMYFUNCTION("""COMPUTED_VALUE"""),0.4166666666666667)</f>
        <v>0.4166666667</v>
      </c>
      <c r="D3083" s="8">
        <f>IFERROR(__xludf.DUMMYFUNCTION("""COMPUTED_VALUE"""),0.342)</f>
        <v>0.342</v>
      </c>
      <c r="E3083" s="8" t="str">
        <f>IFERROR(__xludf.DUMMYFUNCTION("""COMPUTED_VALUE"""),"Real")</f>
        <v>Real</v>
      </c>
      <c r="G3083" s="8">
        <f t="shared" si="1"/>
        <v>3</v>
      </c>
      <c r="H3083" s="14">
        <f t="shared" si="2"/>
        <v>9</v>
      </c>
      <c r="I3083" s="15">
        <f t="shared" si="3"/>
        <v>10</v>
      </c>
    </row>
    <row r="3084">
      <c r="A3084" s="8" t="str">
        <f>IFERROR(__xludf.DUMMYFUNCTION("IF('(INGESTA)Datos_consumo_datadis'!A3084&lt;&gt;"""",SPLIT('(INGESTA)Datos_consumo_datadis'!A:A,"",""),"""")"),"ES0031408323131005HX0F")</f>
        <v>ES0031408323131005HX0F</v>
      </c>
      <c r="B3084" s="12">
        <f>IFERROR(__xludf.DUMMYFUNCTION("""COMPUTED_VALUE"""),44994.0)</f>
        <v>44994</v>
      </c>
      <c r="C3084" s="13">
        <f>IFERROR(__xludf.DUMMYFUNCTION("""COMPUTED_VALUE"""),0.4583333333333333)</f>
        <v>0.4583333333</v>
      </c>
      <c r="D3084" s="8">
        <f>IFERROR(__xludf.DUMMYFUNCTION("""COMPUTED_VALUE"""),0.029)</f>
        <v>0.029</v>
      </c>
      <c r="E3084" s="8" t="str">
        <f>IFERROR(__xludf.DUMMYFUNCTION("""COMPUTED_VALUE"""),"Real")</f>
        <v>Real</v>
      </c>
      <c r="G3084" s="8">
        <f t="shared" si="1"/>
        <v>3</v>
      </c>
      <c r="H3084" s="14">
        <f t="shared" si="2"/>
        <v>9</v>
      </c>
      <c r="I3084" s="15">
        <f t="shared" si="3"/>
        <v>11</v>
      </c>
    </row>
    <row r="3085">
      <c r="A3085" s="8" t="str">
        <f>IFERROR(__xludf.DUMMYFUNCTION("IF('(INGESTA)Datos_consumo_datadis'!A3085&lt;&gt;"""",SPLIT('(INGESTA)Datos_consumo_datadis'!A:A,"",""),"""")"),"ES0031408323131005HX0F")</f>
        <v>ES0031408323131005HX0F</v>
      </c>
      <c r="B3085" s="12">
        <f>IFERROR(__xludf.DUMMYFUNCTION("""COMPUTED_VALUE"""),44994.0)</f>
        <v>44994</v>
      </c>
      <c r="C3085" s="13">
        <f>IFERROR(__xludf.DUMMYFUNCTION("""COMPUTED_VALUE"""),0.5)</f>
        <v>0.5</v>
      </c>
      <c r="D3085" s="8">
        <f>IFERROR(__xludf.DUMMYFUNCTION("""COMPUTED_VALUE"""),0.017)</f>
        <v>0.017</v>
      </c>
      <c r="E3085" s="8" t="str">
        <f>IFERROR(__xludf.DUMMYFUNCTION("""COMPUTED_VALUE"""),"Real")</f>
        <v>Real</v>
      </c>
      <c r="G3085" s="8">
        <f t="shared" si="1"/>
        <v>3</v>
      </c>
      <c r="H3085" s="14">
        <f t="shared" si="2"/>
        <v>9</v>
      </c>
      <c r="I3085" s="15">
        <f t="shared" si="3"/>
        <v>12</v>
      </c>
    </row>
    <row r="3086">
      <c r="A3086" s="8" t="str">
        <f>IFERROR(__xludf.DUMMYFUNCTION("IF('(INGESTA)Datos_consumo_datadis'!A3086&lt;&gt;"""",SPLIT('(INGESTA)Datos_consumo_datadis'!A:A,"",""),"""")"),"ES0031408323131005HX0F")</f>
        <v>ES0031408323131005HX0F</v>
      </c>
      <c r="B3086" s="12">
        <f>IFERROR(__xludf.DUMMYFUNCTION("""COMPUTED_VALUE"""),44994.0)</f>
        <v>44994</v>
      </c>
      <c r="C3086" s="13">
        <f>IFERROR(__xludf.DUMMYFUNCTION("""COMPUTED_VALUE"""),0.5416666666666666)</f>
        <v>0.5416666667</v>
      </c>
      <c r="D3086" s="8">
        <f>IFERROR(__xludf.DUMMYFUNCTION("""COMPUTED_VALUE"""),0.103)</f>
        <v>0.103</v>
      </c>
      <c r="E3086" s="8" t="str">
        <f>IFERROR(__xludf.DUMMYFUNCTION("""COMPUTED_VALUE"""),"Real")</f>
        <v>Real</v>
      </c>
      <c r="G3086" s="8">
        <f t="shared" si="1"/>
        <v>3</v>
      </c>
      <c r="H3086" s="14">
        <f t="shared" si="2"/>
        <v>9</v>
      </c>
      <c r="I3086" s="15">
        <f t="shared" si="3"/>
        <v>13</v>
      </c>
    </row>
    <row r="3087">
      <c r="A3087" s="8" t="str">
        <f>IFERROR(__xludf.DUMMYFUNCTION("IF('(INGESTA)Datos_consumo_datadis'!A3087&lt;&gt;"""",SPLIT('(INGESTA)Datos_consumo_datadis'!A:A,"",""),"""")"),"ES0031408323131005HX0F")</f>
        <v>ES0031408323131005HX0F</v>
      </c>
      <c r="B3087" s="12">
        <f>IFERROR(__xludf.DUMMYFUNCTION("""COMPUTED_VALUE"""),44994.0)</f>
        <v>44994</v>
      </c>
      <c r="C3087" s="13">
        <f>IFERROR(__xludf.DUMMYFUNCTION("""COMPUTED_VALUE"""),0.5833333333333334)</f>
        <v>0.5833333333</v>
      </c>
      <c r="D3087" s="8">
        <f>IFERROR(__xludf.DUMMYFUNCTION("""COMPUTED_VALUE"""),0.047)</f>
        <v>0.047</v>
      </c>
      <c r="E3087" s="8" t="str">
        <f>IFERROR(__xludf.DUMMYFUNCTION("""COMPUTED_VALUE"""),"Real")</f>
        <v>Real</v>
      </c>
      <c r="G3087" s="8">
        <f t="shared" si="1"/>
        <v>3</v>
      </c>
      <c r="H3087" s="14">
        <f t="shared" si="2"/>
        <v>9</v>
      </c>
      <c r="I3087" s="15">
        <f t="shared" si="3"/>
        <v>14</v>
      </c>
    </row>
    <row r="3088">
      <c r="A3088" s="8" t="str">
        <f>IFERROR(__xludf.DUMMYFUNCTION("IF('(INGESTA)Datos_consumo_datadis'!A3088&lt;&gt;"""",SPLIT('(INGESTA)Datos_consumo_datadis'!A:A,"",""),"""")"),"ES0031408323131005HX0F")</f>
        <v>ES0031408323131005HX0F</v>
      </c>
      <c r="B3088" s="12">
        <f>IFERROR(__xludf.DUMMYFUNCTION("""COMPUTED_VALUE"""),44994.0)</f>
        <v>44994</v>
      </c>
      <c r="C3088" s="13">
        <f>IFERROR(__xludf.DUMMYFUNCTION("""COMPUTED_VALUE"""),0.625)</f>
        <v>0.625</v>
      </c>
      <c r="D3088" s="8">
        <f>IFERROR(__xludf.DUMMYFUNCTION("""COMPUTED_VALUE"""),0.034)</f>
        <v>0.034</v>
      </c>
      <c r="E3088" s="8" t="str">
        <f>IFERROR(__xludf.DUMMYFUNCTION("""COMPUTED_VALUE"""),"Real")</f>
        <v>Real</v>
      </c>
      <c r="G3088" s="8">
        <f t="shared" si="1"/>
        <v>3</v>
      </c>
      <c r="H3088" s="14">
        <f t="shared" si="2"/>
        <v>9</v>
      </c>
      <c r="I3088" s="15">
        <f t="shared" si="3"/>
        <v>15</v>
      </c>
    </row>
    <row r="3089">
      <c r="A3089" s="8" t="str">
        <f>IFERROR(__xludf.DUMMYFUNCTION("IF('(INGESTA)Datos_consumo_datadis'!A3089&lt;&gt;"""",SPLIT('(INGESTA)Datos_consumo_datadis'!A:A,"",""),"""")"),"ES0031408323131005HX0F")</f>
        <v>ES0031408323131005HX0F</v>
      </c>
      <c r="B3089" s="12">
        <f>IFERROR(__xludf.DUMMYFUNCTION("""COMPUTED_VALUE"""),44994.0)</f>
        <v>44994</v>
      </c>
      <c r="C3089" s="13">
        <f>IFERROR(__xludf.DUMMYFUNCTION("""COMPUTED_VALUE"""),0.6666666666666666)</f>
        <v>0.6666666667</v>
      </c>
      <c r="D3089" s="8">
        <f>IFERROR(__xludf.DUMMYFUNCTION("""COMPUTED_VALUE"""),0.274)</f>
        <v>0.274</v>
      </c>
      <c r="E3089" s="8" t="str">
        <f>IFERROR(__xludf.DUMMYFUNCTION("""COMPUTED_VALUE"""),"Real")</f>
        <v>Real</v>
      </c>
      <c r="G3089" s="8">
        <f t="shared" si="1"/>
        <v>3</v>
      </c>
      <c r="H3089" s="14">
        <f t="shared" si="2"/>
        <v>9</v>
      </c>
      <c r="I3089" s="15">
        <f t="shared" si="3"/>
        <v>16</v>
      </c>
    </row>
    <row r="3090">
      <c r="A3090" s="8" t="str">
        <f>IFERROR(__xludf.DUMMYFUNCTION("IF('(INGESTA)Datos_consumo_datadis'!A3090&lt;&gt;"""",SPLIT('(INGESTA)Datos_consumo_datadis'!A:A,"",""),"""")"),"ES0031408323131005HX0F")</f>
        <v>ES0031408323131005HX0F</v>
      </c>
      <c r="B3090" s="12">
        <f>IFERROR(__xludf.DUMMYFUNCTION("""COMPUTED_VALUE"""),44994.0)</f>
        <v>44994</v>
      </c>
      <c r="C3090" s="13">
        <f>IFERROR(__xludf.DUMMYFUNCTION("""COMPUTED_VALUE"""),0.7083333333333334)</f>
        <v>0.7083333333</v>
      </c>
      <c r="D3090" s="8">
        <f>IFERROR(__xludf.DUMMYFUNCTION("""COMPUTED_VALUE"""),0.109)</f>
        <v>0.109</v>
      </c>
      <c r="E3090" s="8" t="str">
        <f>IFERROR(__xludf.DUMMYFUNCTION("""COMPUTED_VALUE"""),"Real")</f>
        <v>Real</v>
      </c>
      <c r="G3090" s="8">
        <f t="shared" si="1"/>
        <v>3</v>
      </c>
      <c r="H3090" s="14">
        <f t="shared" si="2"/>
        <v>9</v>
      </c>
      <c r="I3090" s="15">
        <f t="shared" si="3"/>
        <v>17</v>
      </c>
    </row>
    <row r="3091">
      <c r="A3091" s="8" t="str">
        <f>IFERROR(__xludf.DUMMYFUNCTION("IF('(INGESTA)Datos_consumo_datadis'!A3091&lt;&gt;"""",SPLIT('(INGESTA)Datos_consumo_datadis'!A:A,"",""),"""")"),"ES0031408323131005HX0F")</f>
        <v>ES0031408323131005HX0F</v>
      </c>
      <c r="B3091" s="12">
        <f>IFERROR(__xludf.DUMMYFUNCTION("""COMPUTED_VALUE"""),44994.0)</f>
        <v>44994</v>
      </c>
      <c r="C3091" s="13">
        <f>IFERROR(__xludf.DUMMYFUNCTION("""COMPUTED_VALUE"""),0.75)</f>
        <v>0.75</v>
      </c>
      <c r="D3091" s="8">
        <f>IFERROR(__xludf.DUMMYFUNCTION("""COMPUTED_VALUE"""),0.043)</f>
        <v>0.043</v>
      </c>
      <c r="E3091" s="8" t="str">
        <f>IFERROR(__xludf.DUMMYFUNCTION("""COMPUTED_VALUE"""),"Real")</f>
        <v>Real</v>
      </c>
      <c r="G3091" s="8">
        <f t="shared" si="1"/>
        <v>3</v>
      </c>
      <c r="H3091" s="14">
        <f t="shared" si="2"/>
        <v>9</v>
      </c>
      <c r="I3091" s="15">
        <f t="shared" si="3"/>
        <v>18</v>
      </c>
    </row>
    <row r="3092">
      <c r="A3092" s="8" t="str">
        <f>IFERROR(__xludf.DUMMYFUNCTION("IF('(INGESTA)Datos_consumo_datadis'!A3092&lt;&gt;"""",SPLIT('(INGESTA)Datos_consumo_datadis'!A:A,"",""),"""")"),"ES0031408323131005HX0F")</f>
        <v>ES0031408323131005HX0F</v>
      </c>
      <c r="B3092" s="12">
        <f>IFERROR(__xludf.DUMMYFUNCTION("""COMPUTED_VALUE"""),44994.0)</f>
        <v>44994</v>
      </c>
      <c r="C3092" s="13">
        <f>IFERROR(__xludf.DUMMYFUNCTION("""COMPUTED_VALUE"""),0.7916666666666666)</f>
        <v>0.7916666667</v>
      </c>
      <c r="D3092" s="8">
        <f>IFERROR(__xludf.DUMMYFUNCTION("""COMPUTED_VALUE"""),0.062)</f>
        <v>0.062</v>
      </c>
      <c r="E3092" s="8" t="str">
        <f>IFERROR(__xludf.DUMMYFUNCTION("""COMPUTED_VALUE"""),"Real")</f>
        <v>Real</v>
      </c>
      <c r="G3092" s="8">
        <f t="shared" si="1"/>
        <v>3</v>
      </c>
      <c r="H3092" s="14">
        <f t="shared" si="2"/>
        <v>9</v>
      </c>
      <c r="I3092" s="15">
        <f t="shared" si="3"/>
        <v>19</v>
      </c>
    </row>
    <row r="3093">
      <c r="A3093" s="8" t="str">
        <f>IFERROR(__xludf.DUMMYFUNCTION("IF('(INGESTA)Datos_consumo_datadis'!A3093&lt;&gt;"""",SPLIT('(INGESTA)Datos_consumo_datadis'!A:A,"",""),"""")"),"ES0031408323131005HX0F")</f>
        <v>ES0031408323131005HX0F</v>
      </c>
      <c r="B3093" s="12">
        <f>IFERROR(__xludf.DUMMYFUNCTION("""COMPUTED_VALUE"""),44994.0)</f>
        <v>44994</v>
      </c>
      <c r="C3093" s="13">
        <f>IFERROR(__xludf.DUMMYFUNCTION("""COMPUTED_VALUE"""),0.8333333333333334)</f>
        <v>0.8333333333</v>
      </c>
      <c r="D3093" s="8">
        <f>IFERROR(__xludf.DUMMYFUNCTION("""COMPUTED_VALUE"""),0.464)</f>
        <v>0.464</v>
      </c>
      <c r="E3093" s="8" t="str">
        <f>IFERROR(__xludf.DUMMYFUNCTION("""COMPUTED_VALUE"""),"Real")</f>
        <v>Real</v>
      </c>
      <c r="G3093" s="8">
        <f t="shared" si="1"/>
        <v>3</v>
      </c>
      <c r="H3093" s="14">
        <f t="shared" si="2"/>
        <v>9</v>
      </c>
      <c r="I3093" s="15">
        <f t="shared" si="3"/>
        <v>20</v>
      </c>
    </row>
    <row r="3094">
      <c r="A3094" s="8" t="str">
        <f>IFERROR(__xludf.DUMMYFUNCTION("IF('(INGESTA)Datos_consumo_datadis'!A3094&lt;&gt;"""",SPLIT('(INGESTA)Datos_consumo_datadis'!A:A,"",""),"""")"),"ES0031408323131005HX0F")</f>
        <v>ES0031408323131005HX0F</v>
      </c>
      <c r="B3094" s="12">
        <f>IFERROR(__xludf.DUMMYFUNCTION("""COMPUTED_VALUE"""),44994.0)</f>
        <v>44994</v>
      </c>
      <c r="C3094" s="13">
        <f>IFERROR(__xludf.DUMMYFUNCTION("""COMPUTED_VALUE"""),0.875)</f>
        <v>0.875</v>
      </c>
      <c r="D3094" s="8">
        <f>IFERROR(__xludf.DUMMYFUNCTION("""COMPUTED_VALUE"""),1.219)</f>
        <v>1.219</v>
      </c>
      <c r="E3094" s="8" t="str">
        <f>IFERROR(__xludf.DUMMYFUNCTION("""COMPUTED_VALUE"""),"Real")</f>
        <v>Real</v>
      </c>
      <c r="G3094" s="8">
        <f t="shared" si="1"/>
        <v>3</v>
      </c>
      <c r="H3094" s="14">
        <f t="shared" si="2"/>
        <v>9</v>
      </c>
      <c r="I3094" s="15">
        <f t="shared" si="3"/>
        <v>21</v>
      </c>
    </row>
    <row r="3095">
      <c r="A3095" s="8" t="str">
        <f>IFERROR(__xludf.DUMMYFUNCTION("IF('(INGESTA)Datos_consumo_datadis'!A3095&lt;&gt;"""",SPLIT('(INGESTA)Datos_consumo_datadis'!A:A,"",""),"""")"),"ES0031408323131005HX0F")</f>
        <v>ES0031408323131005HX0F</v>
      </c>
      <c r="B3095" s="12">
        <f>IFERROR(__xludf.DUMMYFUNCTION("""COMPUTED_VALUE"""),44994.0)</f>
        <v>44994</v>
      </c>
      <c r="C3095" s="13">
        <f>IFERROR(__xludf.DUMMYFUNCTION("""COMPUTED_VALUE"""),0.9166666666666666)</f>
        <v>0.9166666667</v>
      </c>
      <c r="D3095" s="8">
        <f>IFERROR(__xludf.DUMMYFUNCTION("""COMPUTED_VALUE"""),2.596)</f>
        <v>2.596</v>
      </c>
      <c r="E3095" s="8" t="str">
        <f>IFERROR(__xludf.DUMMYFUNCTION("""COMPUTED_VALUE"""),"Real")</f>
        <v>Real</v>
      </c>
      <c r="G3095" s="8">
        <f t="shared" si="1"/>
        <v>3</v>
      </c>
      <c r="H3095" s="14">
        <f t="shared" si="2"/>
        <v>9</v>
      </c>
      <c r="I3095" s="15">
        <f t="shared" si="3"/>
        <v>22</v>
      </c>
    </row>
    <row r="3096">
      <c r="A3096" s="8" t="str">
        <f>IFERROR(__xludf.DUMMYFUNCTION("IF('(INGESTA)Datos_consumo_datadis'!A3096&lt;&gt;"""",SPLIT('(INGESTA)Datos_consumo_datadis'!A:A,"",""),"""")"),"ES0031408323131005HX0F")</f>
        <v>ES0031408323131005HX0F</v>
      </c>
      <c r="B3096" s="12">
        <f>IFERROR(__xludf.DUMMYFUNCTION("""COMPUTED_VALUE"""),44994.0)</f>
        <v>44994</v>
      </c>
      <c r="C3096" s="13">
        <f>IFERROR(__xludf.DUMMYFUNCTION("""COMPUTED_VALUE"""),0.9583333333333334)</f>
        <v>0.9583333333</v>
      </c>
      <c r="D3096" s="8">
        <f>IFERROR(__xludf.DUMMYFUNCTION("""COMPUTED_VALUE"""),2.039)</f>
        <v>2.039</v>
      </c>
      <c r="E3096" s="8" t="str">
        <f>IFERROR(__xludf.DUMMYFUNCTION("""COMPUTED_VALUE"""),"Real")</f>
        <v>Real</v>
      </c>
      <c r="G3096" s="8">
        <f t="shared" si="1"/>
        <v>3</v>
      </c>
      <c r="H3096" s="14">
        <f t="shared" si="2"/>
        <v>9</v>
      </c>
      <c r="I3096" s="15">
        <f t="shared" si="3"/>
        <v>23</v>
      </c>
    </row>
    <row r="3097">
      <c r="A3097" s="8" t="str">
        <f>IFERROR(__xludf.DUMMYFUNCTION("IF('(INGESTA)Datos_consumo_datadis'!A3097&lt;&gt;"""",SPLIT('(INGESTA)Datos_consumo_datadis'!A:A,"",""),"""")"),"ES0031408323131005HX0F")</f>
        <v>ES0031408323131005HX0F</v>
      </c>
      <c r="B3097" s="12">
        <f>IFERROR(__xludf.DUMMYFUNCTION("""COMPUTED_VALUE"""),44994.0)</f>
        <v>44994</v>
      </c>
      <c r="C3097" s="16">
        <f>IFERROR(__xludf.DUMMYFUNCTION("""COMPUTED_VALUE"""),1.0)</f>
        <v>1</v>
      </c>
      <c r="D3097" s="8">
        <f>IFERROR(__xludf.DUMMYFUNCTION("""COMPUTED_VALUE"""),1.712)</f>
        <v>1.712</v>
      </c>
      <c r="E3097" s="8" t="str">
        <f>IFERROR(__xludf.DUMMYFUNCTION("""COMPUTED_VALUE"""),"Real")</f>
        <v>Real</v>
      </c>
      <c r="G3097" s="8">
        <f t="shared" si="1"/>
        <v>3</v>
      </c>
      <c r="H3097" s="14">
        <f t="shared" si="2"/>
        <v>9</v>
      </c>
      <c r="I3097" s="15">
        <f t="shared" si="3"/>
        <v>0</v>
      </c>
    </row>
    <row r="3098">
      <c r="A3098" s="8" t="str">
        <f>IFERROR(__xludf.DUMMYFUNCTION("IF('(INGESTA)Datos_consumo_datadis'!A3098&lt;&gt;"""",SPLIT('(INGESTA)Datos_consumo_datadis'!A:A,"",""),"""")"),"ES0031408323131005HX0F")</f>
        <v>ES0031408323131005HX0F</v>
      </c>
      <c r="B3098" s="12">
        <f>IFERROR(__xludf.DUMMYFUNCTION("""COMPUTED_VALUE"""),44995.0)</f>
        <v>44995</v>
      </c>
      <c r="C3098" s="13">
        <f>IFERROR(__xludf.DUMMYFUNCTION("""COMPUTED_VALUE"""),0.041666666666666664)</f>
        <v>0.04166666667</v>
      </c>
      <c r="D3098" s="8">
        <f>IFERROR(__xludf.DUMMYFUNCTION("""COMPUTED_VALUE"""),0.897)</f>
        <v>0.897</v>
      </c>
      <c r="E3098" s="8" t="str">
        <f>IFERROR(__xludf.DUMMYFUNCTION("""COMPUTED_VALUE"""),"Real")</f>
        <v>Real</v>
      </c>
      <c r="G3098" s="8">
        <f t="shared" si="1"/>
        <v>3</v>
      </c>
      <c r="H3098" s="14">
        <f t="shared" si="2"/>
        <v>10</v>
      </c>
      <c r="I3098" s="15">
        <f t="shared" si="3"/>
        <v>1</v>
      </c>
    </row>
    <row r="3099">
      <c r="A3099" s="8" t="str">
        <f>IFERROR(__xludf.DUMMYFUNCTION("IF('(INGESTA)Datos_consumo_datadis'!A3099&lt;&gt;"""",SPLIT('(INGESTA)Datos_consumo_datadis'!A:A,"",""),"""")"),"ES0031408323131005HX0F")</f>
        <v>ES0031408323131005HX0F</v>
      </c>
      <c r="B3099" s="12">
        <f>IFERROR(__xludf.DUMMYFUNCTION("""COMPUTED_VALUE"""),44995.0)</f>
        <v>44995</v>
      </c>
      <c r="C3099" s="13">
        <f>IFERROR(__xludf.DUMMYFUNCTION("""COMPUTED_VALUE"""),0.08333333333333333)</f>
        <v>0.08333333333</v>
      </c>
      <c r="D3099" s="8">
        <f>IFERROR(__xludf.DUMMYFUNCTION("""COMPUTED_VALUE"""),0.935)</f>
        <v>0.935</v>
      </c>
      <c r="E3099" s="8" t="str">
        <f>IFERROR(__xludf.DUMMYFUNCTION("""COMPUTED_VALUE"""),"Real")</f>
        <v>Real</v>
      </c>
      <c r="G3099" s="8">
        <f t="shared" si="1"/>
        <v>3</v>
      </c>
      <c r="H3099" s="14">
        <f t="shared" si="2"/>
        <v>10</v>
      </c>
      <c r="I3099" s="15">
        <f t="shared" si="3"/>
        <v>2</v>
      </c>
    </row>
    <row r="3100">
      <c r="A3100" s="8" t="str">
        <f>IFERROR(__xludf.DUMMYFUNCTION("IF('(INGESTA)Datos_consumo_datadis'!A3100&lt;&gt;"""",SPLIT('(INGESTA)Datos_consumo_datadis'!A:A,"",""),"""")"),"ES0031408323131005HX0F")</f>
        <v>ES0031408323131005HX0F</v>
      </c>
      <c r="B3100" s="12">
        <f>IFERROR(__xludf.DUMMYFUNCTION("""COMPUTED_VALUE"""),44995.0)</f>
        <v>44995</v>
      </c>
      <c r="C3100" s="13">
        <f>IFERROR(__xludf.DUMMYFUNCTION("""COMPUTED_VALUE"""),0.125)</f>
        <v>0.125</v>
      </c>
      <c r="D3100" s="8">
        <f>IFERROR(__xludf.DUMMYFUNCTION("""COMPUTED_VALUE"""),1.17)</f>
        <v>1.17</v>
      </c>
      <c r="E3100" s="8" t="str">
        <f>IFERROR(__xludf.DUMMYFUNCTION("""COMPUTED_VALUE"""),"Real")</f>
        <v>Real</v>
      </c>
      <c r="G3100" s="8">
        <f t="shared" si="1"/>
        <v>3</v>
      </c>
      <c r="H3100" s="14">
        <f t="shared" si="2"/>
        <v>10</v>
      </c>
      <c r="I3100" s="15">
        <f t="shared" si="3"/>
        <v>3</v>
      </c>
    </row>
    <row r="3101">
      <c r="A3101" s="8" t="str">
        <f>IFERROR(__xludf.DUMMYFUNCTION("IF('(INGESTA)Datos_consumo_datadis'!A3101&lt;&gt;"""",SPLIT('(INGESTA)Datos_consumo_datadis'!A:A,"",""),"""")"),"ES0031408323131005HX0F")</f>
        <v>ES0031408323131005HX0F</v>
      </c>
      <c r="B3101" s="12">
        <f>IFERROR(__xludf.DUMMYFUNCTION("""COMPUTED_VALUE"""),44995.0)</f>
        <v>44995</v>
      </c>
      <c r="C3101" s="13">
        <f>IFERROR(__xludf.DUMMYFUNCTION("""COMPUTED_VALUE"""),0.16666666666666666)</f>
        <v>0.1666666667</v>
      </c>
      <c r="D3101" s="8">
        <f>IFERROR(__xludf.DUMMYFUNCTION("""COMPUTED_VALUE"""),0.945)</f>
        <v>0.945</v>
      </c>
      <c r="E3101" s="8" t="str">
        <f>IFERROR(__xludf.DUMMYFUNCTION("""COMPUTED_VALUE"""),"Real")</f>
        <v>Real</v>
      </c>
      <c r="G3101" s="8">
        <f t="shared" si="1"/>
        <v>3</v>
      </c>
      <c r="H3101" s="14">
        <f t="shared" si="2"/>
        <v>10</v>
      </c>
      <c r="I3101" s="15">
        <f t="shared" si="3"/>
        <v>4</v>
      </c>
    </row>
    <row r="3102">
      <c r="A3102" s="8" t="str">
        <f>IFERROR(__xludf.DUMMYFUNCTION("IF('(INGESTA)Datos_consumo_datadis'!A3102&lt;&gt;"""",SPLIT('(INGESTA)Datos_consumo_datadis'!A:A,"",""),"""")"),"ES0031408323131005HX0F")</f>
        <v>ES0031408323131005HX0F</v>
      </c>
      <c r="B3102" s="12">
        <f>IFERROR(__xludf.DUMMYFUNCTION("""COMPUTED_VALUE"""),44995.0)</f>
        <v>44995</v>
      </c>
      <c r="C3102" s="13">
        <f>IFERROR(__xludf.DUMMYFUNCTION("""COMPUTED_VALUE"""),0.20833333333333334)</f>
        <v>0.2083333333</v>
      </c>
      <c r="D3102" s="8">
        <f>IFERROR(__xludf.DUMMYFUNCTION("""COMPUTED_VALUE"""),0.901)</f>
        <v>0.901</v>
      </c>
      <c r="E3102" s="8" t="str">
        <f>IFERROR(__xludf.DUMMYFUNCTION("""COMPUTED_VALUE"""),"Real")</f>
        <v>Real</v>
      </c>
      <c r="G3102" s="8">
        <f t="shared" si="1"/>
        <v>3</v>
      </c>
      <c r="H3102" s="14">
        <f t="shared" si="2"/>
        <v>10</v>
      </c>
      <c r="I3102" s="15">
        <f t="shared" si="3"/>
        <v>5</v>
      </c>
    </row>
    <row r="3103">
      <c r="A3103" s="8" t="str">
        <f>IFERROR(__xludf.DUMMYFUNCTION("IF('(INGESTA)Datos_consumo_datadis'!A3103&lt;&gt;"""",SPLIT('(INGESTA)Datos_consumo_datadis'!A:A,"",""),"""")"),"ES0031408323131005HX0F")</f>
        <v>ES0031408323131005HX0F</v>
      </c>
      <c r="B3103" s="12">
        <f>IFERROR(__xludf.DUMMYFUNCTION("""COMPUTED_VALUE"""),44995.0)</f>
        <v>44995</v>
      </c>
      <c r="C3103" s="13">
        <f>IFERROR(__xludf.DUMMYFUNCTION("""COMPUTED_VALUE"""),0.25)</f>
        <v>0.25</v>
      </c>
      <c r="D3103" s="8">
        <f>IFERROR(__xludf.DUMMYFUNCTION("""COMPUTED_VALUE"""),0.918)</f>
        <v>0.918</v>
      </c>
      <c r="E3103" s="8" t="str">
        <f>IFERROR(__xludf.DUMMYFUNCTION("""COMPUTED_VALUE"""),"Real")</f>
        <v>Real</v>
      </c>
      <c r="G3103" s="8">
        <f t="shared" si="1"/>
        <v>3</v>
      </c>
      <c r="H3103" s="14">
        <f t="shared" si="2"/>
        <v>10</v>
      </c>
      <c r="I3103" s="15">
        <f t="shared" si="3"/>
        <v>6</v>
      </c>
    </row>
    <row r="3104">
      <c r="A3104" s="8" t="str">
        <f>IFERROR(__xludf.DUMMYFUNCTION("IF('(INGESTA)Datos_consumo_datadis'!A3104&lt;&gt;"""",SPLIT('(INGESTA)Datos_consumo_datadis'!A:A,"",""),"""")"),"ES0031408323131005HX0F")</f>
        <v>ES0031408323131005HX0F</v>
      </c>
      <c r="B3104" s="12">
        <f>IFERROR(__xludf.DUMMYFUNCTION("""COMPUTED_VALUE"""),44995.0)</f>
        <v>44995</v>
      </c>
      <c r="C3104" s="13">
        <f>IFERROR(__xludf.DUMMYFUNCTION("""COMPUTED_VALUE"""),0.2916666666666667)</f>
        <v>0.2916666667</v>
      </c>
      <c r="D3104" s="8">
        <f>IFERROR(__xludf.DUMMYFUNCTION("""COMPUTED_VALUE"""),0.883)</f>
        <v>0.883</v>
      </c>
      <c r="E3104" s="8" t="str">
        <f>IFERROR(__xludf.DUMMYFUNCTION("""COMPUTED_VALUE"""),"Real")</f>
        <v>Real</v>
      </c>
      <c r="G3104" s="8">
        <f t="shared" si="1"/>
        <v>3</v>
      </c>
      <c r="H3104" s="14">
        <f t="shared" si="2"/>
        <v>10</v>
      </c>
      <c r="I3104" s="15">
        <f t="shared" si="3"/>
        <v>7</v>
      </c>
    </row>
    <row r="3105">
      <c r="A3105" s="8" t="str">
        <f>IFERROR(__xludf.DUMMYFUNCTION("IF('(INGESTA)Datos_consumo_datadis'!A3105&lt;&gt;"""",SPLIT('(INGESTA)Datos_consumo_datadis'!A:A,"",""),"""")"),"ES0031408323131005HX0F")</f>
        <v>ES0031408323131005HX0F</v>
      </c>
      <c r="B3105" s="12">
        <f>IFERROR(__xludf.DUMMYFUNCTION("""COMPUTED_VALUE"""),44995.0)</f>
        <v>44995</v>
      </c>
      <c r="C3105" s="13">
        <f>IFERROR(__xludf.DUMMYFUNCTION("""COMPUTED_VALUE"""),0.3333333333333333)</f>
        <v>0.3333333333</v>
      </c>
      <c r="D3105" s="8">
        <f>IFERROR(__xludf.DUMMYFUNCTION("""COMPUTED_VALUE"""),0.764)</f>
        <v>0.764</v>
      </c>
      <c r="E3105" s="8" t="str">
        <f>IFERROR(__xludf.DUMMYFUNCTION("""COMPUTED_VALUE"""),"Real")</f>
        <v>Real</v>
      </c>
      <c r="G3105" s="8">
        <f t="shared" si="1"/>
        <v>3</v>
      </c>
      <c r="H3105" s="14">
        <f t="shared" si="2"/>
        <v>10</v>
      </c>
      <c r="I3105" s="15">
        <f t="shared" si="3"/>
        <v>8</v>
      </c>
    </row>
    <row r="3106">
      <c r="A3106" s="8" t="str">
        <f>IFERROR(__xludf.DUMMYFUNCTION("IF('(INGESTA)Datos_consumo_datadis'!A3106&lt;&gt;"""",SPLIT('(INGESTA)Datos_consumo_datadis'!A:A,"",""),"""")"),"ES0031408323131005HX0F")</f>
        <v>ES0031408323131005HX0F</v>
      </c>
      <c r="B3106" s="12">
        <f>IFERROR(__xludf.DUMMYFUNCTION("""COMPUTED_VALUE"""),44995.0)</f>
        <v>44995</v>
      </c>
      <c r="C3106" s="13">
        <f>IFERROR(__xludf.DUMMYFUNCTION("""COMPUTED_VALUE"""),0.375)</f>
        <v>0.375</v>
      </c>
      <c r="D3106" s="8">
        <f>IFERROR(__xludf.DUMMYFUNCTION("""COMPUTED_VALUE"""),0.424)</f>
        <v>0.424</v>
      </c>
      <c r="E3106" s="8" t="str">
        <f>IFERROR(__xludf.DUMMYFUNCTION("""COMPUTED_VALUE"""),"Real")</f>
        <v>Real</v>
      </c>
      <c r="G3106" s="8">
        <f t="shared" si="1"/>
        <v>3</v>
      </c>
      <c r="H3106" s="14">
        <f t="shared" si="2"/>
        <v>10</v>
      </c>
      <c r="I3106" s="15">
        <f t="shared" si="3"/>
        <v>9</v>
      </c>
    </row>
    <row r="3107">
      <c r="A3107" s="8" t="str">
        <f>IFERROR(__xludf.DUMMYFUNCTION("IF('(INGESTA)Datos_consumo_datadis'!A3107&lt;&gt;"""",SPLIT('(INGESTA)Datos_consumo_datadis'!A:A,"",""),"""")"),"ES0031408323131005HX0F")</f>
        <v>ES0031408323131005HX0F</v>
      </c>
      <c r="B3107" s="12">
        <f>IFERROR(__xludf.DUMMYFUNCTION("""COMPUTED_VALUE"""),44995.0)</f>
        <v>44995</v>
      </c>
      <c r="C3107" s="13">
        <f>IFERROR(__xludf.DUMMYFUNCTION("""COMPUTED_VALUE"""),0.4166666666666667)</f>
        <v>0.4166666667</v>
      </c>
      <c r="D3107" s="8">
        <f>IFERROR(__xludf.DUMMYFUNCTION("""COMPUTED_VALUE"""),0.079)</f>
        <v>0.079</v>
      </c>
      <c r="E3107" s="8" t="str">
        <f>IFERROR(__xludf.DUMMYFUNCTION("""COMPUTED_VALUE"""),"Real")</f>
        <v>Real</v>
      </c>
      <c r="G3107" s="8">
        <f t="shared" si="1"/>
        <v>3</v>
      </c>
      <c r="H3107" s="14">
        <f t="shared" si="2"/>
        <v>10</v>
      </c>
      <c r="I3107" s="15">
        <f t="shared" si="3"/>
        <v>10</v>
      </c>
    </row>
    <row r="3108">
      <c r="A3108" s="8" t="str">
        <f>IFERROR(__xludf.DUMMYFUNCTION("IF('(INGESTA)Datos_consumo_datadis'!A3108&lt;&gt;"""",SPLIT('(INGESTA)Datos_consumo_datadis'!A:A,"",""),"""")"),"ES0031408323131005HX0F")</f>
        <v>ES0031408323131005HX0F</v>
      </c>
      <c r="B3108" s="12">
        <f>IFERROR(__xludf.DUMMYFUNCTION("""COMPUTED_VALUE"""),44995.0)</f>
        <v>44995</v>
      </c>
      <c r="C3108" s="13">
        <f>IFERROR(__xludf.DUMMYFUNCTION("""COMPUTED_VALUE"""),0.4583333333333333)</f>
        <v>0.4583333333</v>
      </c>
      <c r="D3108" s="8">
        <f>IFERROR(__xludf.DUMMYFUNCTION("""COMPUTED_VALUE"""),0.045)</f>
        <v>0.045</v>
      </c>
      <c r="E3108" s="8" t="str">
        <f>IFERROR(__xludf.DUMMYFUNCTION("""COMPUTED_VALUE"""),"Real")</f>
        <v>Real</v>
      </c>
      <c r="G3108" s="8">
        <f t="shared" si="1"/>
        <v>3</v>
      </c>
      <c r="H3108" s="14">
        <f t="shared" si="2"/>
        <v>10</v>
      </c>
      <c r="I3108" s="15">
        <f t="shared" si="3"/>
        <v>11</v>
      </c>
    </row>
    <row r="3109">
      <c r="A3109" s="8" t="str">
        <f>IFERROR(__xludf.DUMMYFUNCTION("IF('(INGESTA)Datos_consumo_datadis'!A3109&lt;&gt;"""",SPLIT('(INGESTA)Datos_consumo_datadis'!A:A,"",""),"""")"),"ES0031408323131005HX0F")</f>
        <v>ES0031408323131005HX0F</v>
      </c>
      <c r="B3109" s="12">
        <f>IFERROR(__xludf.DUMMYFUNCTION("""COMPUTED_VALUE"""),44995.0)</f>
        <v>44995</v>
      </c>
      <c r="C3109" s="13">
        <f>IFERROR(__xludf.DUMMYFUNCTION("""COMPUTED_VALUE"""),0.5)</f>
        <v>0.5</v>
      </c>
      <c r="D3109" s="8">
        <f>IFERROR(__xludf.DUMMYFUNCTION("""COMPUTED_VALUE"""),0.016)</f>
        <v>0.016</v>
      </c>
      <c r="E3109" s="8" t="str">
        <f>IFERROR(__xludf.DUMMYFUNCTION("""COMPUTED_VALUE"""),"Real")</f>
        <v>Real</v>
      </c>
      <c r="G3109" s="8">
        <f t="shared" si="1"/>
        <v>3</v>
      </c>
      <c r="H3109" s="14">
        <f t="shared" si="2"/>
        <v>10</v>
      </c>
      <c r="I3109" s="15">
        <f t="shared" si="3"/>
        <v>12</v>
      </c>
    </row>
    <row r="3110">
      <c r="A3110" s="8" t="str">
        <f>IFERROR(__xludf.DUMMYFUNCTION("IF('(INGESTA)Datos_consumo_datadis'!A3110&lt;&gt;"""",SPLIT('(INGESTA)Datos_consumo_datadis'!A:A,"",""),"""")"),"ES0031408323131005HX0F")</f>
        <v>ES0031408323131005HX0F</v>
      </c>
      <c r="B3110" s="12">
        <f>IFERROR(__xludf.DUMMYFUNCTION("""COMPUTED_VALUE"""),44995.0)</f>
        <v>44995</v>
      </c>
      <c r="C3110" s="13">
        <f>IFERROR(__xludf.DUMMYFUNCTION("""COMPUTED_VALUE"""),0.5416666666666666)</f>
        <v>0.5416666667</v>
      </c>
      <c r="D3110" s="8">
        <f>IFERROR(__xludf.DUMMYFUNCTION("""COMPUTED_VALUE"""),0.07)</f>
        <v>0.07</v>
      </c>
      <c r="E3110" s="8" t="str">
        <f>IFERROR(__xludf.DUMMYFUNCTION("""COMPUTED_VALUE"""),"Real")</f>
        <v>Real</v>
      </c>
      <c r="G3110" s="8">
        <f t="shared" si="1"/>
        <v>3</v>
      </c>
      <c r="H3110" s="14">
        <f t="shared" si="2"/>
        <v>10</v>
      </c>
      <c r="I3110" s="15">
        <f t="shared" si="3"/>
        <v>13</v>
      </c>
    </row>
    <row r="3111">
      <c r="A3111" s="8" t="str">
        <f>IFERROR(__xludf.DUMMYFUNCTION("IF('(INGESTA)Datos_consumo_datadis'!A3111&lt;&gt;"""",SPLIT('(INGESTA)Datos_consumo_datadis'!A:A,"",""),"""")"),"ES0031408323131005HX0F")</f>
        <v>ES0031408323131005HX0F</v>
      </c>
      <c r="B3111" s="12">
        <f>IFERROR(__xludf.DUMMYFUNCTION("""COMPUTED_VALUE"""),44995.0)</f>
        <v>44995</v>
      </c>
      <c r="C3111" s="13">
        <f>IFERROR(__xludf.DUMMYFUNCTION("""COMPUTED_VALUE"""),0.5833333333333334)</f>
        <v>0.5833333333</v>
      </c>
      <c r="D3111" s="8">
        <f>IFERROR(__xludf.DUMMYFUNCTION("""COMPUTED_VALUE"""),0.064)</f>
        <v>0.064</v>
      </c>
      <c r="E3111" s="8" t="str">
        <f>IFERROR(__xludf.DUMMYFUNCTION("""COMPUTED_VALUE"""),"Real")</f>
        <v>Real</v>
      </c>
      <c r="G3111" s="8">
        <f t="shared" si="1"/>
        <v>3</v>
      </c>
      <c r="H3111" s="14">
        <f t="shared" si="2"/>
        <v>10</v>
      </c>
      <c r="I3111" s="15">
        <f t="shared" si="3"/>
        <v>14</v>
      </c>
    </row>
    <row r="3112">
      <c r="A3112" s="8" t="str">
        <f>IFERROR(__xludf.DUMMYFUNCTION("IF('(INGESTA)Datos_consumo_datadis'!A3112&lt;&gt;"""",SPLIT('(INGESTA)Datos_consumo_datadis'!A:A,"",""),"""")"),"ES0031408323131005HX0F")</f>
        <v>ES0031408323131005HX0F</v>
      </c>
      <c r="B3112" s="12">
        <f>IFERROR(__xludf.DUMMYFUNCTION("""COMPUTED_VALUE"""),44995.0)</f>
        <v>44995</v>
      </c>
      <c r="C3112" s="13">
        <f>IFERROR(__xludf.DUMMYFUNCTION("""COMPUTED_VALUE"""),0.625)</f>
        <v>0.625</v>
      </c>
      <c r="D3112" s="8">
        <f>IFERROR(__xludf.DUMMYFUNCTION("""COMPUTED_VALUE"""),0.306)</f>
        <v>0.306</v>
      </c>
      <c r="E3112" s="8" t="str">
        <f>IFERROR(__xludf.DUMMYFUNCTION("""COMPUTED_VALUE"""),"Real")</f>
        <v>Real</v>
      </c>
      <c r="G3112" s="8">
        <f t="shared" si="1"/>
        <v>3</v>
      </c>
      <c r="H3112" s="14">
        <f t="shared" si="2"/>
        <v>10</v>
      </c>
      <c r="I3112" s="15">
        <f t="shared" si="3"/>
        <v>15</v>
      </c>
    </row>
    <row r="3113">
      <c r="A3113" s="8" t="str">
        <f>IFERROR(__xludf.DUMMYFUNCTION("IF('(INGESTA)Datos_consumo_datadis'!A3113&lt;&gt;"""",SPLIT('(INGESTA)Datos_consumo_datadis'!A:A,"",""),"""")"),"ES0031408323131005HX0F")</f>
        <v>ES0031408323131005HX0F</v>
      </c>
      <c r="B3113" s="12">
        <f>IFERROR(__xludf.DUMMYFUNCTION("""COMPUTED_VALUE"""),44995.0)</f>
        <v>44995</v>
      </c>
      <c r="C3113" s="13">
        <f>IFERROR(__xludf.DUMMYFUNCTION("""COMPUTED_VALUE"""),0.6666666666666666)</f>
        <v>0.6666666667</v>
      </c>
      <c r="D3113" s="8">
        <f>IFERROR(__xludf.DUMMYFUNCTION("""COMPUTED_VALUE"""),0.049)</f>
        <v>0.049</v>
      </c>
      <c r="E3113" s="8" t="str">
        <f>IFERROR(__xludf.DUMMYFUNCTION("""COMPUTED_VALUE"""),"Real")</f>
        <v>Real</v>
      </c>
      <c r="G3113" s="8">
        <f t="shared" si="1"/>
        <v>3</v>
      </c>
      <c r="H3113" s="14">
        <f t="shared" si="2"/>
        <v>10</v>
      </c>
      <c r="I3113" s="15">
        <f t="shared" si="3"/>
        <v>16</v>
      </c>
    </row>
    <row r="3114">
      <c r="A3114" s="8" t="str">
        <f>IFERROR(__xludf.DUMMYFUNCTION("IF('(INGESTA)Datos_consumo_datadis'!A3114&lt;&gt;"""",SPLIT('(INGESTA)Datos_consumo_datadis'!A:A,"",""),"""")"),"ES0031408323131005HX0F")</f>
        <v>ES0031408323131005HX0F</v>
      </c>
      <c r="B3114" s="12">
        <f>IFERROR(__xludf.DUMMYFUNCTION("""COMPUTED_VALUE"""),44995.0)</f>
        <v>44995</v>
      </c>
      <c r="C3114" s="13">
        <f>IFERROR(__xludf.DUMMYFUNCTION("""COMPUTED_VALUE"""),0.7083333333333334)</f>
        <v>0.7083333333</v>
      </c>
      <c r="D3114" s="8">
        <f>IFERROR(__xludf.DUMMYFUNCTION("""COMPUTED_VALUE"""),1.025)</f>
        <v>1.025</v>
      </c>
      <c r="E3114" s="8" t="str">
        <f>IFERROR(__xludf.DUMMYFUNCTION("""COMPUTED_VALUE"""),"Real")</f>
        <v>Real</v>
      </c>
      <c r="G3114" s="8">
        <f t="shared" si="1"/>
        <v>3</v>
      </c>
      <c r="H3114" s="14">
        <f t="shared" si="2"/>
        <v>10</v>
      </c>
      <c r="I3114" s="15">
        <f t="shared" si="3"/>
        <v>17</v>
      </c>
    </row>
    <row r="3115">
      <c r="A3115" s="8" t="str">
        <f>IFERROR(__xludf.DUMMYFUNCTION("IF('(INGESTA)Datos_consumo_datadis'!A3115&lt;&gt;"""",SPLIT('(INGESTA)Datos_consumo_datadis'!A:A,"",""),"""")"),"ES0031408323131005HX0F")</f>
        <v>ES0031408323131005HX0F</v>
      </c>
      <c r="B3115" s="12">
        <f>IFERROR(__xludf.DUMMYFUNCTION("""COMPUTED_VALUE"""),44995.0)</f>
        <v>44995</v>
      </c>
      <c r="C3115" s="13">
        <f>IFERROR(__xludf.DUMMYFUNCTION("""COMPUTED_VALUE"""),0.75)</f>
        <v>0.75</v>
      </c>
      <c r="D3115" s="8">
        <f>IFERROR(__xludf.DUMMYFUNCTION("""COMPUTED_VALUE"""),1.089)</f>
        <v>1.089</v>
      </c>
      <c r="E3115" s="8" t="str">
        <f>IFERROR(__xludf.DUMMYFUNCTION("""COMPUTED_VALUE"""),"Real")</f>
        <v>Real</v>
      </c>
      <c r="G3115" s="8">
        <f t="shared" si="1"/>
        <v>3</v>
      </c>
      <c r="H3115" s="14">
        <f t="shared" si="2"/>
        <v>10</v>
      </c>
      <c r="I3115" s="15">
        <f t="shared" si="3"/>
        <v>18</v>
      </c>
    </row>
    <row r="3116">
      <c r="A3116" s="8" t="str">
        <f>IFERROR(__xludf.DUMMYFUNCTION("IF('(INGESTA)Datos_consumo_datadis'!A3116&lt;&gt;"""",SPLIT('(INGESTA)Datos_consumo_datadis'!A:A,"",""),"""")"),"ES0031408323131005HX0F")</f>
        <v>ES0031408323131005HX0F</v>
      </c>
      <c r="B3116" s="12">
        <f>IFERROR(__xludf.DUMMYFUNCTION("""COMPUTED_VALUE"""),44995.0)</f>
        <v>44995</v>
      </c>
      <c r="C3116" s="13">
        <f>IFERROR(__xludf.DUMMYFUNCTION("""COMPUTED_VALUE"""),0.7916666666666666)</f>
        <v>0.7916666667</v>
      </c>
      <c r="D3116" s="8">
        <f>IFERROR(__xludf.DUMMYFUNCTION("""COMPUTED_VALUE"""),0.561)</f>
        <v>0.561</v>
      </c>
      <c r="E3116" s="8" t="str">
        <f>IFERROR(__xludf.DUMMYFUNCTION("""COMPUTED_VALUE"""),"Real")</f>
        <v>Real</v>
      </c>
      <c r="G3116" s="8">
        <f t="shared" si="1"/>
        <v>3</v>
      </c>
      <c r="H3116" s="14">
        <f t="shared" si="2"/>
        <v>10</v>
      </c>
      <c r="I3116" s="15">
        <f t="shared" si="3"/>
        <v>19</v>
      </c>
    </row>
    <row r="3117">
      <c r="A3117" s="8" t="str">
        <f>IFERROR(__xludf.DUMMYFUNCTION("IF('(INGESTA)Datos_consumo_datadis'!A3117&lt;&gt;"""",SPLIT('(INGESTA)Datos_consumo_datadis'!A:A,"",""),"""")"),"ES0031408323131005HX0F")</f>
        <v>ES0031408323131005HX0F</v>
      </c>
      <c r="B3117" s="12">
        <f>IFERROR(__xludf.DUMMYFUNCTION("""COMPUTED_VALUE"""),44995.0)</f>
        <v>44995</v>
      </c>
      <c r="C3117" s="13">
        <f>IFERROR(__xludf.DUMMYFUNCTION("""COMPUTED_VALUE"""),0.8333333333333334)</f>
        <v>0.8333333333</v>
      </c>
      <c r="D3117" s="8">
        <f>IFERROR(__xludf.DUMMYFUNCTION("""COMPUTED_VALUE"""),0.021)</f>
        <v>0.021</v>
      </c>
      <c r="E3117" s="8" t="str">
        <f>IFERROR(__xludf.DUMMYFUNCTION("""COMPUTED_VALUE"""),"Real")</f>
        <v>Real</v>
      </c>
      <c r="G3117" s="8">
        <f t="shared" si="1"/>
        <v>3</v>
      </c>
      <c r="H3117" s="14">
        <f t="shared" si="2"/>
        <v>10</v>
      </c>
      <c r="I3117" s="15">
        <f t="shared" si="3"/>
        <v>20</v>
      </c>
    </row>
    <row r="3118">
      <c r="A3118" s="8" t="str">
        <f>IFERROR(__xludf.DUMMYFUNCTION("IF('(INGESTA)Datos_consumo_datadis'!A3118&lt;&gt;"""",SPLIT('(INGESTA)Datos_consumo_datadis'!A:A,"",""),"""")"),"ES0031408323131005HX0F")</f>
        <v>ES0031408323131005HX0F</v>
      </c>
      <c r="B3118" s="12">
        <f>IFERROR(__xludf.DUMMYFUNCTION("""COMPUTED_VALUE"""),44995.0)</f>
        <v>44995</v>
      </c>
      <c r="C3118" s="13">
        <f>IFERROR(__xludf.DUMMYFUNCTION("""COMPUTED_VALUE"""),0.875)</f>
        <v>0.875</v>
      </c>
      <c r="D3118" s="8">
        <f>IFERROR(__xludf.DUMMYFUNCTION("""COMPUTED_VALUE"""),0.098)</f>
        <v>0.098</v>
      </c>
      <c r="E3118" s="8" t="str">
        <f>IFERROR(__xludf.DUMMYFUNCTION("""COMPUTED_VALUE"""),"Real")</f>
        <v>Real</v>
      </c>
      <c r="G3118" s="8">
        <f t="shared" si="1"/>
        <v>3</v>
      </c>
      <c r="H3118" s="14">
        <f t="shared" si="2"/>
        <v>10</v>
      </c>
      <c r="I3118" s="15">
        <f t="shared" si="3"/>
        <v>21</v>
      </c>
    </row>
    <row r="3119">
      <c r="A3119" s="8" t="str">
        <f>IFERROR(__xludf.DUMMYFUNCTION("IF('(INGESTA)Datos_consumo_datadis'!A3119&lt;&gt;"""",SPLIT('(INGESTA)Datos_consumo_datadis'!A:A,"",""),"""")"),"ES0031408323131005HX0F")</f>
        <v>ES0031408323131005HX0F</v>
      </c>
      <c r="B3119" s="12">
        <f>IFERROR(__xludf.DUMMYFUNCTION("""COMPUTED_VALUE"""),44995.0)</f>
        <v>44995</v>
      </c>
      <c r="C3119" s="13">
        <f>IFERROR(__xludf.DUMMYFUNCTION("""COMPUTED_VALUE"""),0.9166666666666666)</f>
        <v>0.9166666667</v>
      </c>
      <c r="D3119" s="8">
        <f>IFERROR(__xludf.DUMMYFUNCTION("""COMPUTED_VALUE"""),0.625)</f>
        <v>0.625</v>
      </c>
      <c r="E3119" s="8" t="str">
        <f>IFERROR(__xludf.DUMMYFUNCTION("""COMPUTED_VALUE"""),"Real")</f>
        <v>Real</v>
      </c>
      <c r="G3119" s="8">
        <f t="shared" si="1"/>
        <v>3</v>
      </c>
      <c r="H3119" s="14">
        <f t="shared" si="2"/>
        <v>10</v>
      </c>
      <c r="I3119" s="15">
        <f t="shared" si="3"/>
        <v>22</v>
      </c>
    </row>
    <row r="3120">
      <c r="A3120" s="8" t="str">
        <f>IFERROR(__xludf.DUMMYFUNCTION("IF('(INGESTA)Datos_consumo_datadis'!A3120&lt;&gt;"""",SPLIT('(INGESTA)Datos_consumo_datadis'!A:A,"",""),"""")"),"ES0031408323131005HX0F")</f>
        <v>ES0031408323131005HX0F</v>
      </c>
      <c r="B3120" s="12">
        <f>IFERROR(__xludf.DUMMYFUNCTION("""COMPUTED_VALUE"""),44995.0)</f>
        <v>44995</v>
      </c>
      <c r="C3120" s="13">
        <f>IFERROR(__xludf.DUMMYFUNCTION("""COMPUTED_VALUE"""),0.9583333333333334)</f>
        <v>0.9583333333</v>
      </c>
      <c r="D3120" s="8">
        <f>IFERROR(__xludf.DUMMYFUNCTION("""COMPUTED_VALUE"""),1.103)</f>
        <v>1.103</v>
      </c>
      <c r="E3120" s="8" t="str">
        <f>IFERROR(__xludf.DUMMYFUNCTION("""COMPUTED_VALUE"""),"Real")</f>
        <v>Real</v>
      </c>
      <c r="G3120" s="8">
        <f t="shared" si="1"/>
        <v>3</v>
      </c>
      <c r="H3120" s="14">
        <f t="shared" si="2"/>
        <v>10</v>
      </c>
      <c r="I3120" s="15">
        <f t="shared" si="3"/>
        <v>23</v>
      </c>
    </row>
    <row r="3121">
      <c r="A3121" s="8" t="str">
        <f>IFERROR(__xludf.DUMMYFUNCTION("IF('(INGESTA)Datos_consumo_datadis'!A3121&lt;&gt;"""",SPLIT('(INGESTA)Datos_consumo_datadis'!A:A,"",""),"""")"),"ES0031408323131005HX0F")</f>
        <v>ES0031408323131005HX0F</v>
      </c>
      <c r="B3121" s="12">
        <f>IFERROR(__xludf.DUMMYFUNCTION("""COMPUTED_VALUE"""),44995.0)</f>
        <v>44995</v>
      </c>
      <c r="C3121" s="16">
        <f>IFERROR(__xludf.DUMMYFUNCTION("""COMPUTED_VALUE"""),1.0)</f>
        <v>1</v>
      </c>
      <c r="D3121" s="8">
        <f>IFERROR(__xludf.DUMMYFUNCTION("""COMPUTED_VALUE"""),0.029)</f>
        <v>0.029</v>
      </c>
      <c r="E3121" s="8" t="str">
        <f>IFERROR(__xludf.DUMMYFUNCTION("""COMPUTED_VALUE"""),"Real")</f>
        <v>Real</v>
      </c>
      <c r="G3121" s="8">
        <f t="shared" si="1"/>
        <v>3</v>
      </c>
      <c r="H3121" s="14">
        <f t="shared" si="2"/>
        <v>10</v>
      </c>
      <c r="I3121" s="15">
        <f t="shared" si="3"/>
        <v>0</v>
      </c>
    </row>
    <row r="3122">
      <c r="A3122" s="8" t="str">
        <f>IFERROR(__xludf.DUMMYFUNCTION("IF('(INGESTA)Datos_consumo_datadis'!A3122&lt;&gt;"""",SPLIT('(INGESTA)Datos_consumo_datadis'!A:A,"",""),"""")"),"ES0031408323131005HX0F")</f>
        <v>ES0031408323131005HX0F</v>
      </c>
      <c r="B3122" s="12">
        <f>IFERROR(__xludf.DUMMYFUNCTION("""COMPUTED_VALUE"""),44996.0)</f>
        <v>44996</v>
      </c>
      <c r="C3122" s="13">
        <f>IFERROR(__xludf.DUMMYFUNCTION("""COMPUTED_VALUE"""),0.041666666666666664)</f>
        <v>0.04166666667</v>
      </c>
      <c r="D3122" s="8">
        <f>IFERROR(__xludf.DUMMYFUNCTION("""COMPUTED_VALUE"""),0.104)</f>
        <v>0.104</v>
      </c>
      <c r="E3122" s="8" t="str">
        <f>IFERROR(__xludf.DUMMYFUNCTION("""COMPUTED_VALUE"""),"Real")</f>
        <v>Real</v>
      </c>
      <c r="G3122" s="8">
        <f t="shared" si="1"/>
        <v>3</v>
      </c>
      <c r="H3122" s="14">
        <f t="shared" si="2"/>
        <v>11</v>
      </c>
      <c r="I3122" s="15">
        <f t="shared" si="3"/>
        <v>1</v>
      </c>
    </row>
    <row r="3123">
      <c r="A3123" s="8" t="str">
        <f>IFERROR(__xludf.DUMMYFUNCTION("IF('(INGESTA)Datos_consumo_datadis'!A3123&lt;&gt;"""",SPLIT('(INGESTA)Datos_consumo_datadis'!A:A,"",""),"""")"),"ES0031408323131005HX0F")</f>
        <v>ES0031408323131005HX0F</v>
      </c>
      <c r="B3123" s="12">
        <f>IFERROR(__xludf.DUMMYFUNCTION("""COMPUTED_VALUE"""),44996.0)</f>
        <v>44996</v>
      </c>
      <c r="C3123" s="13">
        <f>IFERROR(__xludf.DUMMYFUNCTION("""COMPUTED_VALUE"""),0.08333333333333333)</f>
        <v>0.08333333333</v>
      </c>
      <c r="D3123" s="8">
        <f>IFERROR(__xludf.DUMMYFUNCTION("""COMPUTED_VALUE"""),0.337)</f>
        <v>0.337</v>
      </c>
      <c r="E3123" s="8" t="str">
        <f>IFERROR(__xludf.DUMMYFUNCTION("""COMPUTED_VALUE"""),"Real")</f>
        <v>Real</v>
      </c>
      <c r="G3123" s="8">
        <f t="shared" si="1"/>
        <v>3</v>
      </c>
      <c r="H3123" s="14">
        <f t="shared" si="2"/>
        <v>11</v>
      </c>
      <c r="I3123" s="15">
        <f t="shared" si="3"/>
        <v>2</v>
      </c>
    </row>
    <row r="3124">
      <c r="A3124" s="8" t="str">
        <f>IFERROR(__xludf.DUMMYFUNCTION("IF('(INGESTA)Datos_consumo_datadis'!A3124&lt;&gt;"""",SPLIT('(INGESTA)Datos_consumo_datadis'!A:A,"",""),"""")"),"ES0031408323131005HX0F")</f>
        <v>ES0031408323131005HX0F</v>
      </c>
      <c r="B3124" s="12">
        <f>IFERROR(__xludf.DUMMYFUNCTION("""COMPUTED_VALUE"""),44996.0)</f>
        <v>44996</v>
      </c>
      <c r="C3124" s="13">
        <f>IFERROR(__xludf.DUMMYFUNCTION("""COMPUTED_VALUE"""),0.125)</f>
        <v>0.125</v>
      </c>
      <c r="D3124" s="8">
        <f>IFERROR(__xludf.DUMMYFUNCTION("""COMPUTED_VALUE"""),0.049)</f>
        <v>0.049</v>
      </c>
      <c r="E3124" s="8" t="str">
        <f>IFERROR(__xludf.DUMMYFUNCTION("""COMPUTED_VALUE"""),"Real")</f>
        <v>Real</v>
      </c>
      <c r="G3124" s="8">
        <f t="shared" si="1"/>
        <v>3</v>
      </c>
      <c r="H3124" s="14">
        <f t="shared" si="2"/>
        <v>11</v>
      </c>
      <c r="I3124" s="15">
        <f t="shared" si="3"/>
        <v>3</v>
      </c>
    </row>
    <row r="3125">
      <c r="A3125" s="8" t="str">
        <f>IFERROR(__xludf.DUMMYFUNCTION("IF('(INGESTA)Datos_consumo_datadis'!A3125&lt;&gt;"""",SPLIT('(INGESTA)Datos_consumo_datadis'!A:A,"",""),"""")"),"ES0031408323131005HX0F")</f>
        <v>ES0031408323131005HX0F</v>
      </c>
      <c r="B3125" s="12">
        <f>IFERROR(__xludf.DUMMYFUNCTION("""COMPUTED_VALUE"""),44996.0)</f>
        <v>44996</v>
      </c>
      <c r="C3125" s="13">
        <f>IFERROR(__xludf.DUMMYFUNCTION("""COMPUTED_VALUE"""),0.16666666666666666)</f>
        <v>0.1666666667</v>
      </c>
      <c r="D3125" s="8">
        <f>IFERROR(__xludf.DUMMYFUNCTION("""COMPUTED_VALUE"""),0.049)</f>
        <v>0.049</v>
      </c>
      <c r="E3125" s="8" t="str">
        <f>IFERROR(__xludf.DUMMYFUNCTION("""COMPUTED_VALUE"""),"Real")</f>
        <v>Real</v>
      </c>
      <c r="G3125" s="8">
        <f t="shared" si="1"/>
        <v>3</v>
      </c>
      <c r="H3125" s="14">
        <f t="shared" si="2"/>
        <v>11</v>
      </c>
      <c r="I3125" s="15">
        <f t="shared" si="3"/>
        <v>4</v>
      </c>
    </row>
    <row r="3126">
      <c r="A3126" s="8" t="str">
        <f>IFERROR(__xludf.DUMMYFUNCTION("IF('(INGESTA)Datos_consumo_datadis'!A3126&lt;&gt;"""",SPLIT('(INGESTA)Datos_consumo_datadis'!A:A,"",""),"""")"),"ES0031408323131005HX0F")</f>
        <v>ES0031408323131005HX0F</v>
      </c>
      <c r="B3126" s="12">
        <f>IFERROR(__xludf.DUMMYFUNCTION("""COMPUTED_VALUE"""),44996.0)</f>
        <v>44996</v>
      </c>
      <c r="C3126" s="13">
        <f>IFERROR(__xludf.DUMMYFUNCTION("""COMPUTED_VALUE"""),0.20833333333333334)</f>
        <v>0.2083333333</v>
      </c>
      <c r="D3126" s="8">
        <f>IFERROR(__xludf.DUMMYFUNCTION("""COMPUTED_VALUE"""),0.099)</f>
        <v>0.099</v>
      </c>
      <c r="E3126" s="8" t="str">
        <f>IFERROR(__xludf.DUMMYFUNCTION("""COMPUTED_VALUE"""),"Real")</f>
        <v>Real</v>
      </c>
      <c r="G3126" s="8">
        <f t="shared" si="1"/>
        <v>3</v>
      </c>
      <c r="H3126" s="14">
        <f t="shared" si="2"/>
        <v>11</v>
      </c>
      <c r="I3126" s="15">
        <f t="shared" si="3"/>
        <v>5</v>
      </c>
    </row>
    <row r="3127">
      <c r="A3127" s="8" t="str">
        <f>IFERROR(__xludf.DUMMYFUNCTION("IF('(INGESTA)Datos_consumo_datadis'!A3127&lt;&gt;"""",SPLIT('(INGESTA)Datos_consumo_datadis'!A:A,"",""),"""")"),"ES0031408323131005HX0F")</f>
        <v>ES0031408323131005HX0F</v>
      </c>
      <c r="B3127" s="12">
        <f>IFERROR(__xludf.DUMMYFUNCTION("""COMPUTED_VALUE"""),44996.0)</f>
        <v>44996</v>
      </c>
      <c r="C3127" s="13">
        <f>IFERROR(__xludf.DUMMYFUNCTION("""COMPUTED_VALUE"""),0.25)</f>
        <v>0.25</v>
      </c>
      <c r="D3127" s="8">
        <f>IFERROR(__xludf.DUMMYFUNCTION("""COMPUTED_VALUE"""),0.441)</f>
        <v>0.441</v>
      </c>
      <c r="E3127" s="8" t="str">
        <f>IFERROR(__xludf.DUMMYFUNCTION("""COMPUTED_VALUE"""),"Real")</f>
        <v>Real</v>
      </c>
      <c r="G3127" s="8">
        <f t="shared" si="1"/>
        <v>3</v>
      </c>
      <c r="H3127" s="14">
        <f t="shared" si="2"/>
        <v>11</v>
      </c>
      <c r="I3127" s="15">
        <f t="shared" si="3"/>
        <v>6</v>
      </c>
    </row>
    <row r="3128">
      <c r="A3128" s="8" t="str">
        <f>IFERROR(__xludf.DUMMYFUNCTION("IF('(INGESTA)Datos_consumo_datadis'!A3128&lt;&gt;"""",SPLIT('(INGESTA)Datos_consumo_datadis'!A:A,"",""),"""")"),"ES0031408323131005HX0F")</f>
        <v>ES0031408323131005HX0F</v>
      </c>
      <c r="B3128" s="12">
        <f>IFERROR(__xludf.DUMMYFUNCTION("""COMPUTED_VALUE"""),44996.0)</f>
        <v>44996</v>
      </c>
      <c r="C3128" s="13">
        <f>IFERROR(__xludf.DUMMYFUNCTION("""COMPUTED_VALUE"""),0.2916666666666667)</f>
        <v>0.2916666667</v>
      </c>
      <c r="D3128" s="8">
        <f>IFERROR(__xludf.DUMMYFUNCTION("""COMPUTED_VALUE"""),0.337)</f>
        <v>0.337</v>
      </c>
      <c r="E3128" s="8" t="str">
        <f>IFERROR(__xludf.DUMMYFUNCTION("""COMPUTED_VALUE"""),"Real")</f>
        <v>Real</v>
      </c>
      <c r="G3128" s="8">
        <f t="shared" si="1"/>
        <v>3</v>
      </c>
      <c r="H3128" s="14">
        <f t="shared" si="2"/>
        <v>11</v>
      </c>
      <c r="I3128" s="15">
        <f t="shared" si="3"/>
        <v>7</v>
      </c>
    </row>
    <row r="3129">
      <c r="A3129" s="8" t="str">
        <f>IFERROR(__xludf.DUMMYFUNCTION("IF('(INGESTA)Datos_consumo_datadis'!A3129&lt;&gt;"""",SPLIT('(INGESTA)Datos_consumo_datadis'!A:A,"",""),"""")"),"ES0031408323131005HX0F")</f>
        <v>ES0031408323131005HX0F</v>
      </c>
      <c r="B3129" s="12">
        <f>IFERROR(__xludf.DUMMYFUNCTION("""COMPUTED_VALUE"""),44996.0)</f>
        <v>44996</v>
      </c>
      <c r="C3129" s="13">
        <f>IFERROR(__xludf.DUMMYFUNCTION("""COMPUTED_VALUE"""),0.3333333333333333)</f>
        <v>0.3333333333</v>
      </c>
      <c r="D3129" s="8">
        <f>IFERROR(__xludf.DUMMYFUNCTION("""COMPUTED_VALUE"""),1.182)</f>
        <v>1.182</v>
      </c>
      <c r="E3129" s="8" t="str">
        <f>IFERROR(__xludf.DUMMYFUNCTION("""COMPUTED_VALUE"""),"Real")</f>
        <v>Real</v>
      </c>
      <c r="G3129" s="8">
        <f t="shared" si="1"/>
        <v>3</v>
      </c>
      <c r="H3129" s="14">
        <f t="shared" si="2"/>
        <v>11</v>
      </c>
      <c r="I3129" s="15">
        <f t="shared" si="3"/>
        <v>8</v>
      </c>
    </row>
    <row r="3130">
      <c r="A3130" s="8" t="str">
        <f>IFERROR(__xludf.DUMMYFUNCTION("IF('(INGESTA)Datos_consumo_datadis'!A3130&lt;&gt;"""",SPLIT('(INGESTA)Datos_consumo_datadis'!A:A,"",""),"""")"),"ES0031408323131005HX0F")</f>
        <v>ES0031408323131005HX0F</v>
      </c>
      <c r="B3130" s="12">
        <f>IFERROR(__xludf.DUMMYFUNCTION("""COMPUTED_VALUE"""),44996.0)</f>
        <v>44996</v>
      </c>
      <c r="C3130" s="13">
        <f>IFERROR(__xludf.DUMMYFUNCTION("""COMPUTED_VALUE"""),0.375)</f>
        <v>0.375</v>
      </c>
      <c r="D3130" s="8">
        <f>IFERROR(__xludf.DUMMYFUNCTION("""COMPUTED_VALUE"""),0.087)</f>
        <v>0.087</v>
      </c>
      <c r="E3130" s="8" t="str">
        <f>IFERROR(__xludf.DUMMYFUNCTION("""COMPUTED_VALUE"""),"Real")</f>
        <v>Real</v>
      </c>
      <c r="G3130" s="8">
        <f t="shared" si="1"/>
        <v>3</v>
      </c>
      <c r="H3130" s="14">
        <f t="shared" si="2"/>
        <v>11</v>
      </c>
      <c r="I3130" s="15">
        <f t="shared" si="3"/>
        <v>9</v>
      </c>
    </row>
    <row r="3131">
      <c r="A3131" s="8" t="str">
        <f>IFERROR(__xludf.DUMMYFUNCTION("IF('(INGESTA)Datos_consumo_datadis'!A3131&lt;&gt;"""",SPLIT('(INGESTA)Datos_consumo_datadis'!A:A,"",""),"""")"),"ES0031408323131005HX0F")</f>
        <v>ES0031408323131005HX0F</v>
      </c>
      <c r="B3131" s="12">
        <f>IFERROR(__xludf.DUMMYFUNCTION("""COMPUTED_VALUE"""),44996.0)</f>
        <v>44996</v>
      </c>
      <c r="C3131" s="13">
        <f>IFERROR(__xludf.DUMMYFUNCTION("""COMPUTED_VALUE"""),0.4166666666666667)</f>
        <v>0.4166666667</v>
      </c>
      <c r="D3131" s="8">
        <f>IFERROR(__xludf.DUMMYFUNCTION("""COMPUTED_VALUE"""),0.052)</f>
        <v>0.052</v>
      </c>
      <c r="E3131" s="8" t="str">
        <f>IFERROR(__xludf.DUMMYFUNCTION("""COMPUTED_VALUE"""),"Real")</f>
        <v>Real</v>
      </c>
      <c r="G3131" s="8">
        <f t="shared" si="1"/>
        <v>3</v>
      </c>
      <c r="H3131" s="14">
        <f t="shared" si="2"/>
        <v>11</v>
      </c>
      <c r="I3131" s="15">
        <f t="shared" si="3"/>
        <v>10</v>
      </c>
    </row>
    <row r="3132">
      <c r="A3132" s="8" t="str">
        <f>IFERROR(__xludf.DUMMYFUNCTION("IF('(INGESTA)Datos_consumo_datadis'!A3132&lt;&gt;"""",SPLIT('(INGESTA)Datos_consumo_datadis'!A:A,"",""),"""")"),"ES0031408323131005HX0F")</f>
        <v>ES0031408323131005HX0F</v>
      </c>
      <c r="B3132" s="12">
        <f>IFERROR(__xludf.DUMMYFUNCTION("""COMPUTED_VALUE"""),44996.0)</f>
        <v>44996</v>
      </c>
      <c r="C3132" s="13">
        <f>IFERROR(__xludf.DUMMYFUNCTION("""COMPUTED_VALUE"""),0.4583333333333333)</f>
        <v>0.4583333333</v>
      </c>
      <c r="D3132" s="8">
        <f>IFERROR(__xludf.DUMMYFUNCTION("""COMPUTED_VALUE"""),0.017)</f>
        <v>0.017</v>
      </c>
      <c r="E3132" s="8" t="str">
        <f>IFERROR(__xludf.DUMMYFUNCTION("""COMPUTED_VALUE"""),"Real")</f>
        <v>Real</v>
      </c>
      <c r="G3132" s="8">
        <f t="shared" si="1"/>
        <v>3</v>
      </c>
      <c r="H3132" s="14">
        <f t="shared" si="2"/>
        <v>11</v>
      </c>
      <c r="I3132" s="15">
        <f t="shared" si="3"/>
        <v>11</v>
      </c>
    </row>
    <row r="3133">
      <c r="A3133" s="8" t="str">
        <f>IFERROR(__xludf.DUMMYFUNCTION("IF('(INGESTA)Datos_consumo_datadis'!A3133&lt;&gt;"""",SPLIT('(INGESTA)Datos_consumo_datadis'!A:A,"",""),"""")"),"ES0031408323131005HX0F")</f>
        <v>ES0031408323131005HX0F</v>
      </c>
      <c r="B3133" s="12">
        <f>IFERROR(__xludf.DUMMYFUNCTION("""COMPUTED_VALUE"""),44996.0)</f>
        <v>44996</v>
      </c>
      <c r="C3133" s="13">
        <f>IFERROR(__xludf.DUMMYFUNCTION("""COMPUTED_VALUE"""),0.5)</f>
        <v>0.5</v>
      </c>
      <c r="D3133" s="8">
        <f>IFERROR(__xludf.DUMMYFUNCTION("""COMPUTED_VALUE"""),0.082)</f>
        <v>0.082</v>
      </c>
      <c r="E3133" s="8" t="str">
        <f>IFERROR(__xludf.DUMMYFUNCTION("""COMPUTED_VALUE"""),"Real")</f>
        <v>Real</v>
      </c>
      <c r="G3133" s="8">
        <f t="shared" si="1"/>
        <v>3</v>
      </c>
      <c r="H3133" s="14">
        <f t="shared" si="2"/>
        <v>11</v>
      </c>
      <c r="I3133" s="15">
        <f t="shared" si="3"/>
        <v>12</v>
      </c>
    </row>
    <row r="3134">
      <c r="A3134" s="8" t="str">
        <f>IFERROR(__xludf.DUMMYFUNCTION("IF('(INGESTA)Datos_consumo_datadis'!A3134&lt;&gt;"""",SPLIT('(INGESTA)Datos_consumo_datadis'!A:A,"",""),"""")"),"ES0031408323131005HX0F")</f>
        <v>ES0031408323131005HX0F</v>
      </c>
      <c r="B3134" s="12">
        <f>IFERROR(__xludf.DUMMYFUNCTION("""COMPUTED_VALUE"""),44996.0)</f>
        <v>44996</v>
      </c>
      <c r="C3134" s="13">
        <f>IFERROR(__xludf.DUMMYFUNCTION("""COMPUTED_VALUE"""),0.5416666666666666)</f>
        <v>0.5416666667</v>
      </c>
      <c r="D3134" s="8">
        <f>IFERROR(__xludf.DUMMYFUNCTION("""COMPUTED_VALUE"""),0.404)</f>
        <v>0.404</v>
      </c>
      <c r="E3134" s="8" t="str">
        <f>IFERROR(__xludf.DUMMYFUNCTION("""COMPUTED_VALUE"""),"Real")</f>
        <v>Real</v>
      </c>
      <c r="G3134" s="8">
        <f t="shared" si="1"/>
        <v>3</v>
      </c>
      <c r="H3134" s="14">
        <f t="shared" si="2"/>
        <v>11</v>
      </c>
      <c r="I3134" s="15">
        <f t="shared" si="3"/>
        <v>13</v>
      </c>
    </row>
    <row r="3135">
      <c r="A3135" s="8" t="str">
        <f>IFERROR(__xludf.DUMMYFUNCTION("IF('(INGESTA)Datos_consumo_datadis'!A3135&lt;&gt;"""",SPLIT('(INGESTA)Datos_consumo_datadis'!A:A,"",""),"""")"),"ES0031408323131005HX0F")</f>
        <v>ES0031408323131005HX0F</v>
      </c>
      <c r="B3135" s="12">
        <f>IFERROR(__xludf.DUMMYFUNCTION("""COMPUTED_VALUE"""),44996.0)</f>
        <v>44996</v>
      </c>
      <c r="C3135" s="13">
        <f>IFERROR(__xludf.DUMMYFUNCTION("""COMPUTED_VALUE"""),0.5833333333333334)</f>
        <v>0.5833333333</v>
      </c>
      <c r="D3135" s="8">
        <f>IFERROR(__xludf.DUMMYFUNCTION("""COMPUTED_VALUE"""),0.083)</f>
        <v>0.083</v>
      </c>
      <c r="E3135" s="8" t="str">
        <f>IFERROR(__xludf.DUMMYFUNCTION("""COMPUTED_VALUE"""),"Real")</f>
        <v>Real</v>
      </c>
      <c r="G3135" s="8">
        <f t="shared" si="1"/>
        <v>3</v>
      </c>
      <c r="H3135" s="14">
        <f t="shared" si="2"/>
        <v>11</v>
      </c>
      <c r="I3135" s="15">
        <f t="shared" si="3"/>
        <v>14</v>
      </c>
    </row>
    <row r="3136">
      <c r="A3136" s="8" t="str">
        <f>IFERROR(__xludf.DUMMYFUNCTION("IF('(INGESTA)Datos_consumo_datadis'!A3136&lt;&gt;"""",SPLIT('(INGESTA)Datos_consumo_datadis'!A:A,"",""),"""")"),"ES0031408323131005HX0F")</f>
        <v>ES0031408323131005HX0F</v>
      </c>
      <c r="B3136" s="12">
        <f>IFERROR(__xludf.DUMMYFUNCTION("""COMPUTED_VALUE"""),44996.0)</f>
        <v>44996</v>
      </c>
      <c r="C3136" s="13">
        <f>IFERROR(__xludf.DUMMYFUNCTION("""COMPUTED_VALUE"""),0.625)</f>
        <v>0.625</v>
      </c>
      <c r="D3136" s="8">
        <f>IFERROR(__xludf.DUMMYFUNCTION("""COMPUTED_VALUE"""),0.044)</f>
        <v>0.044</v>
      </c>
      <c r="E3136" s="8" t="str">
        <f>IFERROR(__xludf.DUMMYFUNCTION("""COMPUTED_VALUE"""),"Real")</f>
        <v>Real</v>
      </c>
      <c r="G3136" s="8">
        <f t="shared" si="1"/>
        <v>3</v>
      </c>
      <c r="H3136" s="14">
        <f t="shared" si="2"/>
        <v>11</v>
      </c>
      <c r="I3136" s="15">
        <f t="shared" si="3"/>
        <v>15</v>
      </c>
    </row>
    <row r="3137">
      <c r="A3137" s="8" t="str">
        <f>IFERROR(__xludf.DUMMYFUNCTION("IF('(INGESTA)Datos_consumo_datadis'!A3137&lt;&gt;"""",SPLIT('(INGESTA)Datos_consumo_datadis'!A:A,"",""),"""")"),"ES0031408323131005HX0F")</f>
        <v>ES0031408323131005HX0F</v>
      </c>
      <c r="B3137" s="12">
        <f>IFERROR(__xludf.DUMMYFUNCTION("""COMPUTED_VALUE"""),44996.0)</f>
        <v>44996</v>
      </c>
      <c r="C3137" s="13">
        <f>IFERROR(__xludf.DUMMYFUNCTION("""COMPUTED_VALUE"""),0.6666666666666666)</f>
        <v>0.6666666667</v>
      </c>
      <c r="D3137" s="8">
        <f>IFERROR(__xludf.DUMMYFUNCTION("""COMPUTED_VALUE"""),0.023)</f>
        <v>0.023</v>
      </c>
      <c r="E3137" s="8" t="str">
        <f>IFERROR(__xludf.DUMMYFUNCTION("""COMPUTED_VALUE"""),"Real")</f>
        <v>Real</v>
      </c>
      <c r="G3137" s="8">
        <f t="shared" si="1"/>
        <v>3</v>
      </c>
      <c r="H3137" s="14">
        <f t="shared" si="2"/>
        <v>11</v>
      </c>
      <c r="I3137" s="15">
        <f t="shared" si="3"/>
        <v>16</v>
      </c>
    </row>
    <row r="3138">
      <c r="A3138" s="8" t="str">
        <f>IFERROR(__xludf.DUMMYFUNCTION("IF('(INGESTA)Datos_consumo_datadis'!A3138&lt;&gt;"""",SPLIT('(INGESTA)Datos_consumo_datadis'!A:A,"",""),"""")"),"ES0031408323131005HX0F")</f>
        <v>ES0031408323131005HX0F</v>
      </c>
      <c r="B3138" s="12">
        <f>IFERROR(__xludf.DUMMYFUNCTION("""COMPUTED_VALUE"""),44996.0)</f>
        <v>44996</v>
      </c>
      <c r="C3138" s="13">
        <f>IFERROR(__xludf.DUMMYFUNCTION("""COMPUTED_VALUE"""),0.7083333333333334)</f>
        <v>0.7083333333</v>
      </c>
      <c r="D3138" s="8">
        <f>IFERROR(__xludf.DUMMYFUNCTION("""COMPUTED_VALUE"""),0.095)</f>
        <v>0.095</v>
      </c>
      <c r="E3138" s="8" t="str">
        <f>IFERROR(__xludf.DUMMYFUNCTION("""COMPUTED_VALUE"""),"Real")</f>
        <v>Real</v>
      </c>
      <c r="G3138" s="8">
        <f t="shared" si="1"/>
        <v>3</v>
      </c>
      <c r="H3138" s="14">
        <f t="shared" si="2"/>
        <v>11</v>
      </c>
      <c r="I3138" s="15">
        <f t="shared" si="3"/>
        <v>17</v>
      </c>
    </row>
    <row r="3139">
      <c r="A3139" s="8" t="str">
        <f>IFERROR(__xludf.DUMMYFUNCTION("IF('(INGESTA)Datos_consumo_datadis'!A3139&lt;&gt;"""",SPLIT('(INGESTA)Datos_consumo_datadis'!A:A,"",""),"""")"),"ES0031408323131005HX0F")</f>
        <v>ES0031408323131005HX0F</v>
      </c>
      <c r="B3139" s="12">
        <f>IFERROR(__xludf.DUMMYFUNCTION("""COMPUTED_VALUE"""),44996.0)</f>
        <v>44996</v>
      </c>
      <c r="C3139" s="13">
        <f>IFERROR(__xludf.DUMMYFUNCTION("""COMPUTED_VALUE"""),0.75)</f>
        <v>0.75</v>
      </c>
      <c r="D3139" s="8">
        <f>IFERROR(__xludf.DUMMYFUNCTION("""COMPUTED_VALUE"""),0.061)</f>
        <v>0.061</v>
      </c>
      <c r="E3139" s="8" t="str">
        <f>IFERROR(__xludf.DUMMYFUNCTION("""COMPUTED_VALUE"""),"Real")</f>
        <v>Real</v>
      </c>
      <c r="G3139" s="8">
        <f t="shared" si="1"/>
        <v>3</v>
      </c>
      <c r="H3139" s="14">
        <f t="shared" si="2"/>
        <v>11</v>
      </c>
      <c r="I3139" s="15">
        <f t="shared" si="3"/>
        <v>18</v>
      </c>
    </row>
    <row r="3140">
      <c r="A3140" s="8" t="str">
        <f>IFERROR(__xludf.DUMMYFUNCTION("IF('(INGESTA)Datos_consumo_datadis'!A3140&lt;&gt;"""",SPLIT('(INGESTA)Datos_consumo_datadis'!A:A,"",""),"""")"),"ES0031408323131005HX0F")</f>
        <v>ES0031408323131005HX0F</v>
      </c>
      <c r="B3140" s="12">
        <f>IFERROR(__xludf.DUMMYFUNCTION("""COMPUTED_VALUE"""),44996.0)</f>
        <v>44996</v>
      </c>
      <c r="C3140" s="13">
        <f>IFERROR(__xludf.DUMMYFUNCTION("""COMPUTED_VALUE"""),0.7916666666666666)</f>
        <v>0.7916666667</v>
      </c>
      <c r="D3140" s="8">
        <f>IFERROR(__xludf.DUMMYFUNCTION("""COMPUTED_VALUE"""),0.059)</f>
        <v>0.059</v>
      </c>
      <c r="E3140" s="8" t="str">
        <f>IFERROR(__xludf.DUMMYFUNCTION("""COMPUTED_VALUE"""),"Real")</f>
        <v>Real</v>
      </c>
      <c r="G3140" s="8">
        <f t="shared" si="1"/>
        <v>3</v>
      </c>
      <c r="H3140" s="14">
        <f t="shared" si="2"/>
        <v>11</v>
      </c>
      <c r="I3140" s="15">
        <f t="shared" si="3"/>
        <v>19</v>
      </c>
    </row>
    <row r="3141">
      <c r="A3141" s="8" t="str">
        <f>IFERROR(__xludf.DUMMYFUNCTION("IF('(INGESTA)Datos_consumo_datadis'!A3141&lt;&gt;"""",SPLIT('(INGESTA)Datos_consumo_datadis'!A:A,"",""),"""")"),"ES0031408323131005HX0F")</f>
        <v>ES0031408323131005HX0F</v>
      </c>
      <c r="B3141" s="12">
        <f>IFERROR(__xludf.DUMMYFUNCTION("""COMPUTED_VALUE"""),44996.0)</f>
        <v>44996</v>
      </c>
      <c r="C3141" s="13">
        <f>IFERROR(__xludf.DUMMYFUNCTION("""COMPUTED_VALUE"""),0.8333333333333334)</f>
        <v>0.8333333333</v>
      </c>
      <c r="D3141" s="8">
        <f>IFERROR(__xludf.DUMMYFUNCTION("""COMPUTED_VALUE"""),0.657)</f>
        <v>0.657</v>
      </c>
      <c r="E3141" s="8" t="str">
        <f>IFERROR(__xludf.DUMMYFUNCTION("""COMPUTED_VALUE"""),"Real")</f>
        <v>Real</v>
      </c>
      <c r="G3141" s="8">
        <f t="shared" si="1"/>
        <v>3</v>
      </c>
      <c r="H3141" s="14">
        <f t="shared" si="2"/>
        <v>11</v>
      </c>
      <c r="I3141" s="15">
        <f t="shared" si="3"/>
        <v>20</v>
      </c>
    </row>
    <row r="3142">
      <c r="A3142" s="8" t="str">
        <f>IFERROR(__xludf.DUMMYFUNCTION("IF('(INGESTA)Datos_consumo_datadis'!A3142&lt;&gt;"""",SPLIT('(INGESTA)Datos_consumo_datadis'!A:A,"",""),"""")"),"ES0031408323131005HX0F")</f>
        <v>ES0031408323131005HX0F</v>
      </c>
      <c r="B3142" s="12">
        <f>IFERROR(__xludf.DUMMYFUNCTION("""COMPUTED_VALUE"""),44996.0)</f>
        <v>44996</v>
      </c>
      <c r="C3142" s="13">
        <f>IFERROR(__xludf.DUMMYFUNCTION("""COMPUTED_VALUE"""),0.875)</f>
        <v>0.875</v>
      </c>
      <c r="D3142" s="8">
        <f>IFERROR(__xludf.DUMMYFUNCTION("""COMPUTED_VALUE"""),0.729)</f>
        <v>0.729</v>
      </c>
      <c r="E3142" s="8" t="str">
        <f>IFERROR(__xludf.DUMMYFUNCTION("""COMPUTED_VALUE"""),"Real")</f>
        <v>Real</v>
      </c>
      <c r="G3142" s="8">
        <f t="shared" si="1"/>
        <v>3</v>
      </c>
      <c r="H3142" s="14">
        <f t="shared" si="2"/>
        <v>11</v>
      </c>
      <c r="I3142" s="15">
        <f t="shared" si="3"/>
        <v>21</v>
      </c>
    </row>
    <row r="3143">
      <c r="A3143" s="8" t="str">
        <f>IFERROR(__xludf.DUMMYFUNCTION("IF('(INGESTA)Datos_consumo_datadis'!A3143&lt;&gt;"""",SPLIT('(INGESTA)Datos_consumo_datadis'!A:A,"",""),"""")"),"ES0031408323131005HX0F")</f>
        <v>ES0031408323131005HX0F</v>
      </c>
      <c r="B3143" s="12">
        <f>IFERROR(__xludf.DUMMYFUNCTION("""COMPUTED_VALUE"""),44996.0)</f>
        <v>44996</v>
      </c>
      <c r="C3143" s="13">
        <f>IFERROR(__xludf.DUMMYFUNCTION("""COMPUTED_VALUE"""),0.9166666666666666)</f>
        <v>0.9166666667</v>
      </c>
      <c r="D3143" s="8">
        <f>IFERROR(__xludf.DUMMYFUNCTION("""COMPUTED_VALUE"""),0.149)</f>
        <v>0.149</v>
      </c>
      <c r="E3143" s="8" t="str">
        <f>IFERROR(__xludf.DUMMYFUNCTION("""COMPUTED_VALUE"""),"Real")</f>
        <v>Real</v>
      </c>
      <c r="G3143" s="8">
        <f t="shared" si="1"/>
        <v>3</v>
      </c>
      <c r="H3143" s="14">
        <f t="shared" si="2"/>
        <v>11</v>
      </c>
      <c r="I3143" s="15">
        <f t="shared" si="3"/>
        <v>22</v>
      </c>
    </row>
    <row r="3144">
      <c r="A3144" s="8" t="str">
        <f>IFERROR(__xludf.DUMMYFUNCTION("IF('(INGESTA)Datos_consumo_datadis'!A3144&lt;&gt;"""",SPLIT('(INGESTA)Datos_consumo_datadis'!A:A,"",""),"""")"),"ES0031408323131005HX0F")</f>
        <v>ES0031408323131005HX0F</v>
      </c>
      <c r="B3144" s="12">
        <f>IFERROR(__xludf.DUMMYFUNCTION("""COMPUTED_VALUE"""),44996.0)</f>
        <v>44996</v>
      </c>
      <c r="C3144" s="13">
        <f>IFERROR(__xludf.DUMMYFUNCTION("""COMPUTED_VALUE"""),0.9583333333333334)</f>
        <v>0.9583333333</v>
      </c>
      <c r="D3144" s="8">
        <f>IFERROR(__xludf.DUMMYFUNCTION("""COMPUTED_VALUE"""),0.031)</f>
        <v>0.031</v>
      </c>
      <c r="E3144" s="8" t="str">
        <f>IFERROR(__xludf.DUMMYFUNCTION("""COMPUTED_VALUE"""),"Real")</f>
        <v>Real</v>
      </c>
      <c r="G3144" s="8">
        <f t="shared" si="1"/>
        <v>3</v>
      </c>
      <c r="H3144" s="14">
        <f t="shared" si="2"/>
        <v>11</v>
      </c>
      <c r="I3144" s="15">
        <f t="shared" si="3"/>
        <v>23</v>
      </c>
    </row>
    <row r="3145">
      <c r="A3145" s="8" t="str">
        <f>IFERROR(__xludf.DUMMYFUNCTION("IF('(INGESTA)Datos_consumo_datadis'!A3145&lt;&gt;"""",SPLIT('(INGESTA)Datos_consumo_datadis'!A:A,"",""),"""")"),"ES0031408323131005HX0F")</f>
        <v>ES0031408323131005HX0F</v>
      </c>
      <c r="B3145" s="12">
        <f>IFERROR(__xludf.DUMMYFUNCTION("""COMPUTED_VALUE"""),44996.0)</f>
        <v>44996</v>
      </c>
      <c r="C3145" s="16">
        <f>IFERROR(__xludf.DUMMYFUNCTION("""COMPUTED_VALUE"""),1.0)</f>
        <v>1</v>
      </c>
      <c r="D3145" s="8">
        <f>IFERROR(__xludf.DUMMYFUNCTION("""COMPUTED_VALUE"""),0.077)</f>
        <v>0.077</v>
      </c>
      <c r="E3145" s="8" t="str">
        <f>IFERROR(__xludf.DUMMYFUNCTION("""COMPUTED_VALUE"""),"Real")</f>
        <v>Real</v>
      </c>
      <c r="G3145" s="8">
        <f t="shared" si="1"/>
        <v>3</v>
      </c>
      <c r="H3145" s="14">
        <f t="shared" si="2"/>
        <v>11</v>
      </c>
      <c r="I3145" s="15">
        <f t="shared" si="3"/>
        <v>0</v>
      </c>
    </row>
    <row r="3146">
      <c r="A3146" s="8" t="str">
        <f>IFERROR(__xludf.DUMMYFUNCTION("IF('(INGESTA)Datos_consumo_datadis'!A3146&lt;&gt;"""",SPLIT('(INGESTA)Datos_consumo_datadis'!A:A,"",""),"""")"),"ES0031408323131005HX0F")</f>
        <v>ES0031408323131005HX0F</v>
      </c>
      <c r="B3146" s="12">
        <f>IFERROR(__xludf.DUMMYFUNCTION("""COMPUTED_VALUE"""),44997.0)</f>
        <v>44997</v>
      </c>
      <c r="C3146" s="13">
        <f>IFERROR(__xludf.DUMMYFUNCTION("""COMPUTED_VALUE"""),0.041666666666666664)</f>
        <v>0.04166666667</v>
      </c>
      <c r="D3146" s="8">
        <f>IFERROR(__xludf.DUMMYFUNCTION("""COMPUTED_VALUE"""),0.017)</f>
        <v>0.017</v>
      </c>
      <c r="E3146" s="8" t="str">
        <f>IFERROR(__xludf.DUMMYFUNCTION("""COMPUTED_VALUE"""),"Real")</f>
        <v>Real</v>
      </c>
      <c r="G3146" s="8">
        <f t="shared" si="1"/>
        <v>3</v>
      </c>
      <c r="H3146" s="14">
        <f t="shared" si="2"/>
        <v>12</v>
      </c>
      <c r="I3146" s="15">
        <f t="shared" si="3"/>
        <v>1</v>
      </c>
    </row>
    <row r="3147">
      <c r="A3147" s="8" t="str">
        <f>IFERROR(__xludf.DUMMYFUNCTION("IF('(INGESTA)Datos_consumo_datadis'!A3147&lt;&gt;"""",SPLIT('(INGESTA)Datos_consumo_datadis'!A:A,"",""),"""")"),"ES0031408323131005HX0F")</f>
        <v>ES0031408323131005HX0F</v>
      </c>
      <c r="B3147" s="12">
        <f>IFERROR(__xludf.DUMMYFUNCTION("""COMPUTED_VALUE"""),44997.0)</f>
        <v>44997</v>
      </c>
      <c r="C3147" s="13">
        <f>IFERROR(__xludf.DUMMYFUNCTION("""COMPUTED_VALUE"""),0.08333333333333333)</f>
        <v>0.08333333333</v>
      </c>
      <c r="D3147" s="8">
        <f>IFERROR(__xludf.DUMMYFUNCTION("""COMPUTED_VALUE"""),0.368)</f>
        <v>0.368</v>
      </c>
      <c r="E3147" s="8" t="str">
        <f>IFERROR(__xludf.DUMMYFUNCTION("""COMPUTED_VALUE"""),"Real")</f>
        <v>Real</v>
      </c>
      <c r="G3147" s="8">
        <f t="shared" si="1"/>
        <v>3</v>
      </c>
      <c r="H3147" s="14">
        <f t="shared" si="2"/>
        <v>12</v>
      </c>
      <c r="I3147" s="15">
        <f t="shared" si="3"/>
        <v>2</v>
      </c>
    </row>
    <row r="3148">
      <c r="A3148" s="8" t="str">
        <f>IFERROR(__xludf.DUMMYFUNCTION("IF('(INGESTA)Datos_consumo_datadis'!A3148&lt;&gt;"""",SPLIT('(INGESTA)Datos_consumo_datadis'!A:A,"",""),"""")"),"ES0031408323131005HX0F")</f>
        <v>ES0031408323131005HX0F</v>
      </c>
      <c r="B3148" s="12">
        <f>IFERROR(__xludf.DUMMYFUNCTION("""COMPUTED_VALUE"""),44997.0)</f>
        <v>44997</v>
      </c>
      <c r="C3148" s="13">
        <f>IFERROR(__xludf.DUMMYFUNCTION("""COMPUTED_VALUE"""),0.125)</f>
        <v>0.125</v>
      </c>
      <c r="D3148" s="8">
        <f>IFERROR(__xludf.DUMMYFUNCTION("""COMPUTED_VALUE"""),0.083)</f>
        <v>0.083</v>
      </c>
      <c r="E3148" s="8" t="str">
        <f>IFERROR(__xludf.DUMMYFUNCTION("""COMPUTED_VALUE"""),"Real")</f>
        <v>Real</v>
      </c>
      <c r="G3148" s="8">
        <f t="shared" si="1"/>
        <v>3</v>
      </c>
      <c r="H3148" s="14">
        <f t="shared" si="2"/>
        <v>12</v>
      </c>
      <c r="I3148" s="15">
        <f t="shared" si="3"/>
        <v>3</v>
      </c>
    </row>
    <row r="3149">
      <c r="A3149" s="8" t="str">
        <f>IFERROR(__xludf.DUMMYFUNCTION("IF('(INGESTA)Datos_consumo_datadis'!A3149&lt;&gt;"""",SPLIT('(INGESTA)Datos_consumo_datadis'!A:A,"",""),"""")"),"ES0031408323131005HX0F")</f>
        <v>ES0031408323131005HX0F</v>
      </c>
      <c r="B3149" s="12">
        <f>IFERROR(__xludf.DUMMYFUNCTION("""COMPUTED_VALUE"""),44997.0)</f>
        <v>44997</v>
      </c>
      <c r="C3149" s="13">
        <f>IFERROR(__xludf.DUMMYFUNCTION("""COMPUTED_VALUE"""),0.16666666666666666)</f>
        <v>0.1666666667</v>
      </c>
      <c r="D3149" s="8">
        <f>IFERROR(__xludf.DUMMYFUNCTION("""COMPUTED_VALUE"""),0.069)</f>
        <v>0.069</v>
      </c>
      <c r="E3149" s="8" t="str">
        <f>IFERROR(__xludf.DUMMYFUNCTION("""COMPUTED_VALUE"""),"Real")</f>
        <v>Real</v>
      </c>
      <c r="G3149" s="8">
        <f t="shared" si="1"/>
        <v>3</v>
      </c>
      <c r="H3149" s="14">
        <f t="shared" si="2"/>
        <v>12</v>
      </c>
      <c r="I3149" s="15">
        <f t="shared" si="3"/>
        <v>4</v>
      </c>
    </row>
    <row r="3150">
      <c r="A3150" s="8" t="str">
        <f>IFERROR(__xludf.DUMMYFUNCTION("IF('(INGESTA)Datos_consumo_datadis'!A3150&lt;&gt;"""",SPLIT('(INGESTA)Datos_consumo_datadis'!A:A,"",""),"""")"),"ES0031408323131005HX0F")</f>
        <v>ES0031408323131005HX0F</v>
      </c>
      <c r="B3150" s="12">
        <f>IFERROR(__xludf.DUMMYFUNCTION("""COMPUTED_VALUE"""),44997.0)</f>
        <v>44997</v>
      </c>
      <c r="C3150" s="13">
        <f>IFERROR(__xludf.DUMMYFUNCTION("""COMPUTED_VALUE"""),0.20833333333333334)</f>
        <v>0.2083333333</v>
      </c>
      <c r="D3150" s="8">
        <f>IFERROR(__xludf.DUMMYFUNCTION("""COMPUTED_VALUE"""),0.017)</f>
        <v>0.017</v>
      </c>
      <c r="E3150" s="8" t="str">
        <f>IFERROR(__xludf.DUMMYFUNCTION("""COMPUTED_VALUE"""),"Real")</f>
        <v>Real</v>
      </c>
      <c r="G3150" s="8">
        <f t="shared" si="1"/>
        <v>3</v>
      </c>
      <c r="H3150" s="14">
        <f t="shared" si="2"/>
        <v>12</v>
      </c>
      <c r="I3150" s="15">
        <f t="shared" si="3"/>
        <v>5</v>
      </c>
    </row>
    <row r="3151">
      <c r="A3151" s="8" t="str">
        <f>IFERROR(__xludf.DUMMYFUNCTION("IF('(INGESTA)Datos_consumo_datadis'!A3151&lt;&gt;"""",SPLIT('(INGESTA)Datos_consumo_datadis'!A:A,"",""),"""")"),"ES0031408323131005HX0F")</f>
        <v>ES0031408323131005HX0F</v>
      </c>
      <c r="B3151" s="12">
        <f>IFERROR(__xludf.DUMMYFUNCTION("""COMPUTED_VALUE"""),44997.0)</f>
        <v>44997</v>
      </c>
      <c r="C3151" s="13">
        <f>IFERROR(__xludf.DUMMYFUNCTION("""COMPUTED_VALUE"""),0.25)</f>
        <v>0.25</v>
      </c>
      <c r="D3151" s="8">
        <f>IFERROR(__xludf.DUMMYFUNCTION("""COMPUTED_VALUE"""),0.098)</f>
        <v>0.098</v>
      </c>
      <c r="E3151" s="8" t="str">
        <f>IFERROR(__xludf.DUMMYFUNCTION("""COMPUTED_VALUE"""),"Real")</f>
        <v>Real</v>
      </c>
      <c r="G3151" s="8">
        <f t="shared" si="1"/>
        <v>3</v>
      </c>
      <c r="H3151" s="14">
        <f t="shared" si="2"/>
        <v>12</v>
      </c>
      <c r="I3151" s="15">
        <f t="shared" si="3"/>
        <v>6</v>
      </c>
    </row>
    <row r="3152">
      <c r="A3152" s="8" t="str">
        <f>IFERROR(__xludf.DUMMYFUNCTION("IF('(INGESTA)Datos_consumo_datadis'!A3152&lt;&gt;"""",SPLIT('(INGESTA)Datos_consumo_datadis'!A:A,"",""),"""")"),"ES0031408323131005HX0F")</f>
        <v>ES0031408323131005HX0F</v>
      </c>
      <c r="B3152" s="12">
        <f>IFERROR(__xludf.DUMMYFUNCTION("""COMPUTED_VALUE"""),44997.0)</f>
        <v>44997</v>
      </c>
      <c r="C3152" s="13">
        <f>IFERROR(__xludf.DUMMYFUNCTION("""COMPUTED_VALUE"""),0.2916666666666667)</f>
        <v>0.2916666667</v>
      </c>
      <c r="D3152" s="8">
        <f>IFERROR(__xludf.DUMMYFUNCTION("""COMPUTED_VALUE"""),0.327)</f>
        <v>0.327</v>
      </c>
      <c r="E3152" s="8" t="str">
        <f>IFERROR(__xludf.DUMMYFUNCTION("""COMPUTED_VALUE"""),"Real")</f>
        <v>Real</v>
      </c>
      <c r="G3152" s="8">
        <f t="shared" si="1"/>
        <v>3</v>
      </c>
      <c r="H3152" s="14">
        <f t="shared" si="2"/>
        <v>12</v>
      </c>
      <c r="I3152" s="15">
        <f t="shared" si="3"/>
        <v>7</v>
      </c>
    </row>
    <row r="3153">
      <c r="A3153" s="8" t="str">
        <f>IFERROR(__xludf.DUMMYFUNCTION("IF('(INGESTA)Datos_consumo_datadis'!A3153&lt;&gt;"""",SPLIT('(INGESTA)Datos_consumo_datadis'!A:A,"",""),"""")"),"ES0031408323131005HX0F")</f>
        <v>ES0031408323131005HX0F</v>
      </c>
      <c r="B3153" s="12">
        <f>IFERROR(__xludf.DUMMYFUNCTION("""COMPUTED_VALUE"""),44997.0)</f>
        <v>44997</v>
      </c>
      <c r="C3153" s="13">
        <f>IFERROR(__xludf.DUMMYFUNCTION("""COMPUTED_VALUE"""),0.3333333333333333)</f>
        <v>0.3333333333</v>
      </c>
      <c r="D3153" s="8">
        <f>IFERROR(__xludf.DUMMYFUNCTION("""COMPUTED_VALUE"""),0.051)</f>
        <v>0.051</v>
      </c>
      <c r="E3153" s="8" t="str">
        <f>IFERROR(__xludf.DUMMYFUNCTION("""COMPUTED_VALUE"""),"Real")</f>
        <v>Real</v>
      </c>
      <c r="G3153" s="8">
        <f t="shared" si="1"/>
        <v>3</v>
      </c>
      <c r="H3153" s="14">
        <f t="shared" si="2"/>
        <v>12</v>
      </c>
      <c r="I3153" s="15">
        <f t="shared" si="3"/>
        <v>8</v>
      </c>
    </row>
    <row r="3154">
      <c r="A3154" s="8" t="str">
        <f>IFERROR(__xludf.DUMMYFUNCTION("IF('(INGESTA)Datos_consumo_datadis'!A3154&lt;&gt;"""",SPLIT('(INGESTA)Datos_consumo_datadis'!A:A,"",""),"""")"),"ES0031408323131005HX0F")</f>
        <v>ES0031408323131005HX0F</v>
      </c>
      <c r="B3154" s="12">
        <f>IFERROR(__xludf.DUMMYFUNCTION("""COMPUTED_VALUE"""),44997.0)</f>
        <v>44997</v>
      </c>
      <c r="C3154" s="13">
        <f>IFERROR(__xludf.DUMMYFUNCTION("""COMPUTED_VALUE"""),0.375)</f>
        <v>0.375</v>
      </c>
      <c r="D3154" s="8">
        <f>IFERROR(__xludf.DUMMYFUNCTION("""COMPUTED_VALUE"""),0.017)</f>
        <v>0.017</v>
      </c>
      <c r="E3154" s="8" t="str">
        <f>IFERROR(__xludf.DUMMYFUNCTION("""COMPUTED_VALUE"""),"Real")</f>
        <v>Real</v>
      </c>
      <c r="G3154" s="8">
        <f t="shared" si="1"/>
        <v>3</v>
      </c>
      <c r="H3154" s="14">
        <f t="shared" si="2"/>
        <v>12</v>
      </c>
      <c r="I3154" s="15">
        <f t="shared" si="3"/>
        <v>9</v>
      </c>
    </row>
    <row r="3155">
      <c r="A3155" s="8" t="str">
        <f>IFERROR(__xludf.DUMMYFUNCTION("IF('(INGESTA)Datos_consumo_datadis'!A3155&lt;&gt;"""",SPLIT('(INGESTA)Datos_consumo_datadis'!A:A,"",""),"""")"),"ES0031408323131005HX0F")</f>
        <v>ES0031408323131005HX0F</v>
      </c>
      <c r="B3155" s="12">
        <f>IFERROR(__xludf.DUMMYFUNCTION("""COMPUTED_VALUE"""),44997.0)</f>
        <v>44997</v>
      </c>
      <c r="C3155" s="13">
        <f>IFERROR(__xludf.DUMMYFUNCTION("""COMPUTED_VALUE"""),0.4166666666666667)</f>
        <v>0.4166666667</v>
      </c>
      <c r="D3155" s="8">
        <f>IFERROR(__xludf.DUMMYFUNCTION("""COMPUTED_VALUE"""),0.113)</f>
        <v>0.113</v>
      </c>
      <c r="E3155" s="8" t="str">
        <f>IFERROR(__xludf.DUMMYFUNCTION("""COMPUTED_VALUE"""),"Real")</f>
        <v>Real</v>
      </c>
      <c r="G3155" s="8">
        <f t="shared" si="1"/>
        <v>3</v>
      </c>
      <c r="H3155" s="14">
        <f t="shared" si="2"/>
        <v>12</v>
      </c>
      <c r="I3155" s="15">
        <f t="shared" si="3"/>
        <v>10</v>
      </c>
    </row>
    <row r="3156">
      <c r="A3156" s="8" t="str">
        <f>IFERROR(__xludf.DUMMYFUNCTION("IF('(INGESTA)Datos_consumo_datadis'!A3156&lt;&gt;"""",SPLIT('(INGESTA)Datos_consumo_datadis'!A:A,"",""),"""")"),"ES0031408323131005HX0F")</f>
        <v>ES0031408323131005HX0F</v>
      </c>
      <c r="B3156" s="12">
        <f>IFERROR(__xludf.DUMMYFUNCTION("""COMPUTED_VALUE"""),44997.0)</f>
        <v>44997</v>
      </c>
      <c r="C3156" s="13">
        <f>IFERROR(__xludf.DUMMYFUNCTION("""COMPUTED_VALUE"""),0.4583333333333333)</f>
        <v>0.4583333333</v>
      </c>
      <c r="D3156" s="8">
        <f>IFERROR(__xludf.DUMMYFUNCTION("""COMPUTED_VALUE"""),0.109)</f>
        <v>0.109</v>
      </c>
      <c r="E3156" s="8" t="str">
        <f>IFERROR(__xludf.DUMMYFUNCTION("""COMPUTED_VALUE"""),"Real")</f>
        <v>Real</v>
      </c>
      <c r="G3156" s="8">
        <f t="shared" si="1"/>
        <v>3</v>
      </c>
      <c r="H3156" s="14">
        <f t="shared" si="2"/>
        <v>12</v>
      </c>
      <c r="I3156" s="15">
        <f t="shared" si="3"/>
        <v>11</v>
      </c>
    </row>
    <row r="3157">
      <c r="A3157" s="8" t="str">
        <f>IFERROR(__xludf.DUMMYFUNCTION("IF('(INGESTA)Datos_consumo_datadis'!A3157&lt;&gt;"""",SPLIT('(INGESTA)Datos_consumo_datadis'!A:A,"",""),"""")"),"ES0031408323131005HX0F")</f>
        <v>ES0031408323131005HX0F</v>
      </c>
      <c r="B3157" s="12">
        <f>IFERROR(__xludf.DUMMYFUNCTION("""COMPUTED_VALUE"""),44997.0)</f>
        <v>44997</v>
      </c>
      <c r="C3157" s="13">
        <f>IFERROR(__xludf.DUMMYFUNCTION("""COMPUTED_VALUE"""),0.5)</f>
        <v>0.5</v>
      </c>
      <c r="D3157" s="8">
        <f>IFERROR(__xludf.DUMMYFUNCTION("""COMPUTED_VALUE"""),0.572)</f>
        <v>0.572</v>
      </c>
      <c r="E3157" s="8" t="str">
        <f>IFERROR(__xludf.DUMMYFUNCTION("""COMPUTED_VALUE"""),"Real")</f>
        <v>Real</v>
      </c>
      <c r="G3157" s="8">
        <f t="shared" si="1"/>
        <v>3</v>
      </c>
      <c r="H3157" s="14">
        <f t="shared" si="2"/>
        <v>12</v>
      </c>
      <c r="I3157" s="15">
        <f t="shared" si="3"/>
        <v>12</v>
      </c>
    </row>
    <row r="3158">
      <c r="A3158" s="8" t="str">
        <f>IFERROR(__xludf.DUMMYFUNCTION("IF('(INGESTA)Datos_consumo_datadis'!A3158&lt;&gt;"""",SPLIT('(INGESTA)Datos_consumo_datadis'!A:A,"",""),"""")"),"ES0031408323131005HX0F")</f>
        <v>ES0031408323131005HX0F</v>
      </c>
      <c r="B3158" s="12">
        <f>IFERROR(__xludf.DUMMYFUNCTION("""COMPUTED_VALUE"""),44997.0)</f>
        <v>44997</v>
      </c>
      <c r="C3158" s="13">
        <f>IFERROR(__xludf.DUMMYFUNCTION("""COMPUTED_VALUE"""),0.5416666666666666)</f>
        <v>0.5416666667</v>
      </c>
      <c r="D3158" s="8">
        <f>IFERROR(__xludf.DUMMYFUNCTION("""COMPUTED_VALUE"""),0.708)</f>
        <v>0.708</v>
      </c>
      <c r="E3158" s="8" t="str">
        <f>IFERROR(__xludf.DUMMYFUNCTION("""COMPUTED_VALUE"""),"Real")</f>
        <v>Real</v>
      </c>
      <c r="G3158" s="8">
        <f t="shared" si="1"/>
        <v>3</v>
      </c>
      <c r="H3158" s="14">
        <f t="shared" si="2"/>
        <v>12</v>
      </c>
      <c r="I3158" s="15">
        <f t="shared" si="3"/>
        <v>13</v>
      </c>
    </row>
    <row r="3159">
      <c r="A3159" s="8" t="str">
        <f>IFERROR(__xludf.DUMMYFUNCTION("IF('(INGESTA)Datos_consumo_datadis'!A3159&lt;&gt;"""",SPLIT('(INGESTA)Datos_consumo_datadis'!A:A,"",""),"""")"),"ES0031408323131005HX0F")</f>
        <v>ES0031408323131005HX0F</v>
      </c>
      <c r="B3159" s="12">
        <f>IFERROR(__xludf.DUMMYFUNCTION("""COMPUTED_VALUE"""),44997.0)</f>
        <v>44997</v>
      </c>
      <c r="C3159" s="13">
        <f>IFERROR(__xludf.DUMMYFUNCTION("""COMPUTED_VALUE"""),0.5833333333333334)</f>
        <v>0.5833333333</v>
      </c>
      <c r="D3159" s="8">
        <f>IFERROR(__xludf.DUMMYFUNCTION("""COMPUTED_VALUE"""),0.679)</f>
        <v>0.679</v>
      </c>
      <c r="E3159" s="8" t="str">
        <f>IFERROR(__xludf.DUMMYFUNCTION("""COMPUTED_VALUE"""),"Real")</f>
        <v>Real</v>
      </c>
      <c r="G3159" s="8">
        <f t="shared" si="1"/>
        <v>3</v>
      </c>
      <c r="H3159" s="14">
        <f t="shared" si="2"/>
        <v>12</v>
      </c>
      <c r="I3159" s="15">
        <f t="shared" si="3"/>
        <v>14</v>
      </c>
    </row>
    <row r="3160">
      <c r="A3160" s="8" t="str">
        <f>IFERROR(__xludf.DUMMYFUNCTION("IF('(INGESTA)Datos_consumo_datadis'!A3160&lt;&gt;"""",SPLIT('(INGESTA)Datos_consumo_datadis'!A:A,"",""),"""")"),"ES0031408323131005HX0F")</f>
        <v>ES0031408323131005HX0F</v>
      </c>
      <c r="B3160" s="12">
        <f>IFERROR(__xludf.DUMMYFUNCTION("""COMPUTED_VALUE"""),44997.0)</f>
        <v>44997</v>
      </c>
      <c r="C3160" s="13">
        <f>IFERROR(__xludf.DUMMYFUNCTION("""COMPUTED_VALUE"""),0.625)</f>
        <v>0.625</v>
      </c>
      <c r="D3160" s="8">
        <f>IFERROR(__xludf.DUMMYFUNCTION("""COMPUTED_VALUE"""),0.127)</f>
        <v>0.127</v>
      </c>
      <c r="E3160" s="8" t="str">
        <f>IFERROR(__xludf.DUMMYFUNCTION("""COMPUTED_VALUE"""),"Real")</f>
        <v>Real</v>
      </c>
      <c r="G3160" s="8">
        <f t="shared" si="1"/>
        <v>3</v>
      </c>
      <c r="H3160" s="14">
        <f t="shared" si="2"/>
        <v>12</v>
      </c>
      <c r="I3160" s="15">
        <f t="shared" si="3"/>
        <v>15</v>
      </c>
    </row>
    <row r="3161">
      <c r="A3161" s="8" t="str">
        <f>IFERROR(__xludf.DUMMYFUNCTION("IF('(INGESTA)Datos_consumo_datadis'!A3161&lt;&gt;"""",SPLIT('(INGESTA)Datos_consumo_datadis'!A:A,"",""),"""")"),"ES0031408323131005HX0F")</f>
        <v>ES0031408323131005HX0F</v>
      </c>
      <c r="B3161" s="12">
        <f>IFERROR(__xludf.DUMMYFUNCTION("""COMPUTED_VALUE"""),44997.0)</f>
        <v>44997</v>
      </c>
      <c r="C3161" s="13">
        <f>IFERROR(__xludf.DUMMYFUNCTION("""COMPUTED_VALUE"""),0.6666666666666666)</f>
        <v>0.6666666667</v>
      </c>
      <c r="D3161" s="8">
        <f>IFERROR(__xludf.DUMMYFUNCTION("""COMPUTED_VALUE"""),0.068)</f>
        <v>0.068</v>
      </c>
      <c r="E3161" s="8" t="str">
        <f>IFERROR(__xludf.DUMMYFUNCTION("""COMPUTED_VALUE"""),"Real")</f>
        <v>Real</v>
      </c>
      <c r="G3161" s="8">
        <f t="shared" si="1"/>
        <v>3</v>
      </c>
      <c r="H3161" s="14">
        <f t="shared" si="2"/>
        <v>12</v>
      </c>
      <c r="I3161" s="15">
        <f t="shared" si="3"/>
        <v>16</v>
      </c>
    </row>
    <row r="3162">
      <c r="A3162" s="8" t="str">
        <f>IFERROR(__xludf.DUMMYFUNCTION("IF('(INGESTA)Datos_consumo_datadis'!A3162&lt;&gt;"""",SPLIT('(INGESTA)Datos_consumo_datadis'!A:A,"",""),"""")"),"ES0031408323131005HX0F")</f>
        <v>ES0031408323131005HX0F</v>
      </c>
      <c r="B3162" s="12">
        <f>IFERROR(__xludf.DUMMYFUNCTION("""COMPUTED_VALUE"""),44997.0)</f>
        <v>44997</v>
      </c>
      <c r="C3162" s="13">
        <f>IFERROR(__xludf.DUMMYFUNCTION("""COMPUTED_VALUE"""),0.7083333333333334)</f>
        <v>0.7083333333</v>
      </c>
      <c r="D3162" s="8">
        <f>IFERROR(__xludf.DUMMYFUNCTION("""COMPUTED_VALUE"""),0.056)</f>
        <v>0.056</v>
      </c>
      <c r="E3162" s="8" t="str">
        <f>IFERROR(__xludf.DUMMYFUNCTION("""COMPUTED_VALUE"""),"Real")</f>
        <v>Real</v>
      </c>
      <c r="G3162" s="8">
        <f t="shared" si="1"/>
        <v>3</v>
      </c>
      <c r="H3162" s="14">
        <f t="shared" si="2"/>
        <v>12</v>
      </c>
      <c r="I3162" s="15">
        <f t="shared" si="3"/>
        <v>17</v>
      </c>
    </row>
    <row r="3163">
      <c r="A3163" s="8" t="str">
        <f>IFERROR(__xludf.DUMMYFUNCTION("IF('(INGESTA)Datos_consumo_datadis'!A3163&lt;&gt;"""",SPLIT('(INGESTA)Datos_consumo_datadis'!A:A,"",""),"""")"),"ES0031408323131005HX0F")</f>
        <v>ES0031408323131005HX0F</v>
      </c>
      <c r="B3163" s="12">
        <f>IFERROR(__xludf.DUMMYFUNCTION("""COMPUTED_VALUE"""),44997.0)</f>
        <v>44997</v>
      </c>
      <c r="C3163" s="13">
        <f>IFERROR(__xludf.DUMMYFUNCTION("""COMPUTED_VALUE"""),0.75)</f>
        <v>0.75</v>
      </c>
      <c r="D3163" s="8">
        <f>IFERROR(__xludf.DUMMYFUNCTION("""COMPUTED_VALUE"""),0.02)</f>
        <v>0.02</v>
      </c>
      <c r="E3163" s="8" t="str">
        <f>IFERROR(__xludf.DUMMYFUNCTION("""COMPUTED_VALUE"""),"Real")</f>
        <v>Real</v>
      </c>
      <c r="G3163" s="8">
        <f t="shared" si="1"/>
        <v>3</v>
      </c>
      <c r="H3163" s="14">
        <f t="shared" si="2"/>
        <v>12</v>
      </c>
      <c r="I3163" s="15">
        <f t="shared" si="3"/>
        <v>18</v>
      </c>
    </row>
    <row r="3164">
      <c r="A3164" s="8" t="str">
        <f>IFERROR(__xludf.DUMMYFUNCTION("IF('(INGESTA)Datos_consumo_datadis'!A3164&lt;&gt;"""",SPLIT('(INGESTA)Datos_consumo_datadis'!A:A,"",""),"""")"),"ES0031408323131005HX0F")</f>
        <v>ES0031408323131005HX0F</v>
      </c>
      <c r="B3164" s="12">
        <f>IFERROR(__xludf.DUMMYFUNCTION("""COMPUTED_VALUE"""),44997.0)</f>
        <v>44997</v>
      </c>
      <c r="C3164" s="13">
        <f>IFERROR(__xludf.DUMMYFUNCTION("""COMPUTED_VALUE"""),0.7916666666666666)</f>
        <v>0.7916666667</v>
      </c>
      <c r="D3164" s="8">
        <f>IFERROR(__xludf.DUMMYFUNCTION("""COMPUTED_VALUE"""),0.404)</f>
        <v>0.404</v>
      </c>
      <c r="E3164" s="8" t="str">
        <f>IFERROR(__xludf.DUMMYFUNCTION("""COMPUTED_VALUE"""),"Real")</f>
        <v>Real</v>
      </c>
      <c r="G3164" s="8">
        <f t="shared" si="1"/>
        <v>3</v>
      </c>
      <c r="H3164" s="14">
        <f t="shared" si="2"/>
        <v>12</v>
      </c>
      <c r="I3164" s="15">
        <f t="shared" si="3"/>
        <v>19</v>
      </c>
    </row>
    <row r="3165">
      <c r="A3165" s="8" t="str">
        <f>IFERROR(__xludf.DUMMYFUNCTION("IF('(INGESTA)Datos_consumo_datadis'!A3165&lt;&gt;"""",SPLIT('(INGESTA)Datos_consumo_datadis'!A:A,"",""),"""")"),"ES0031408323131005HX0F")</f>
        <v>ES0031408323131005HX0F</v>
      </c>
      <c r="B3165" s="12">
        <f>IFERROR(__xludf.DUMMYFUNCTION("""COMPUTED_VALUE"""),44997.0)</f>
        <v>44997</v>
      </c>
      <c r="C3165" s="13">
        <f>IFERROR(__xludf.DUMMYFUNCTION("""COMPUTED_VALUE"""),0.8333333333333334)</f>
        <v>0.8333333333</v>
      </c>
      <c r="D3165" s="8">
        <f>IFERROR(__xludf.DUMMYFUNCTION("""COMPUTED_VALUE"""),0.602)</f>
        <v>0.602</v>
      </c>
      <c r="E3165" s="8" t="str">
        <f>IFERROR(__xludf.DUMMYFUNCTION("""COMPUTED_VALUE"""),"Real")</f>
        <v>Real</v>
      </c>
      <c r="G3165" s="8">
        <f t="shared" si="1"/>
        <v>3</v>
      </c>
      <c r="H3165" s="14">
        <f t="shared" si="2"/>
        <v>12</v>
      </c>
      <c r="I3165" s="15">
        <f t="shared" si="3"/>
        <v>20</v>
      </c>
    </row>
    <row r="3166">
      <c r="A3166" s="8" t="str">
        <f>IFERROR(__xludf.DUMMYFUNCTION("IF('(INGESTA)Datos_consumo_datadis'!A3166&lt;&gt;"""",SPLIT('(INGESTA)Datos_consumo_datadis'!A:A,"",""),"""")"),"ES0031408323131005HX0F")</f>
        <v>ES0031408323131005HX0F</v>
      </c>
      <c r="B3166" s="12">
        <f>IFERROR(__xludf.DUMMYFUNCTION("""COMPUTED_VALUE"""),44997.0)</f>
        <v>44997</v>
      </c>
      <c r="C3166" s="13">
        <f>IFERROR(__xludf.DUMMYFUNCTION("""COMPUTED_VALUE"""),0.875)</f>
        <v>0.875</v>
      </c>
      <c r="D3166" s="8">
        <f>IFERROR(__xludf.DUMMYFUNCTION("""COMPUTED_VALUE"""),1.088)</f>
        <v>1.088</v>
      </c>
      <c r="E3166" s="8" t="str">
        <f>IFERROR(__xludf.DUMMYFUNCTION("""COMPUTED_VALUE"""),"Real")</f>
        <v>Real</v>
      </c>
      <c r="G3166" s="8">
        <f t="shared" si="1"/>
        <v>3</v>
      </c>
      <c r="H3166" s="14">
        <f t="shared" si="2"/>
        <v>12</v>
      </c>
      <c r="I3166" s="15">
        <f t="shared" si="3"/>
        <v>21</v>
      </c>
    </row>
    <row r="3167">
      <c r="A3167" s="8" t="str">
        <f>IFERROR(__xludf.DUMMYFUNCTION("IF('(INGESTA)Datos_consumo_datadis'!A3167&lt;&gt;"""",SPLIT('(INGESTA)Datos_consumo_datadis'!A:A,"",""),"""")"),"ES0031408323131005HX0F")</f>
        <v>ES0031408323131005HX0F</v>
      </c>
      <c r="B3167" s="12">
        <f>IFERROR(__xludf.DUMMYFUNCTION("""COMPUTED_VALUE"""),44997.0)</f>
        <v>44997</v>
      </c>
      <c r="C3167" s="13">
        <f>IFERROR(__xludf.DUMMYFUNCTION("""COMPUTED_VALUE"""),0.9166666666666666)</f>
        <v>0.9166666667</v>
      </c>
      <c r="D3167" s="8">
        <f>IFERROR(__xludf.DUMMYFUNCTION("""COMPUTED_VALUE"""),0.854)</f>
        <v>0.854</v>
      </c>
      <c r="E3167" s="8" t="str">
        <f>IFERROR(__xludf.DUMMYFUNCTION("""COMPUTED_VALUE"""),"Real")</f>
        <v>Real</v>
      </c>
      <c r="G3167" s="8">
        <f t="shared" si="1"/>
        <v>3</v>
      </c>
      <c r="H3167" s="14">
        <f t="shared" si="2"/>
        <v>12</v>
      </c>
      <c r="I3167" s="15">
        <f t="shared" si="3"/>
        <v>22</v>
      </c>
    </row>
    <row r="3168">
      <c r="A3168" s="8" t="str">
        <f>IFERROR(__xludf.DUMMYFUNCTION("IF('(INGESTA)Datos_consumo_datadis'!A3168&lt;&gt;"""",SPLIT('(INGESTA)Datos_consumo_datadis'!A:A,"",""),"""")"),"ES0031408323131005HX0F")</f>
        <v>ES0031408323131005HX0F</v>
      </c>
      <c r="B3168" s="12">
        <f>IFERROR(__xludf.DUMMYFUNCTION("""COMPUTED_VALUE"""),44997.0)</f>
        <v>44997</v>
      </c>
      <c r="C3168" s="13">
        <f>IFERROR(__xludf.DUMMYFUNCTION("""COMPUTED_VALUE"""),0.9583333333333334)</f>
        <v>0.9583333333</v>
      </c>
      <c r="D3168" s="8">
        <f>IFERROR(__xludf.DUMMYFUNCTION("""COMPUTED_VALUE"""),0.728)</f>
        <v>0.728</v>
      </c>
      <c r="E3168" s="8" t="str">
        <f>IFERROR(__xludf.DUMMYFUNCTION("""COMPUTED_VALUE"""),"Real")</f>
        <v>Real</v>
      </c>
      <c r="G3168" s="8">
        <f t="shared" si="1"/>
        <v>3</v>
      </c>
      <c r="H3168" s="14">
        <f t="shared" si="2"/>
        <v>12</v>
      </c>
      <c r="I3168" s="15">
        <f t="shared" si="3"/>
        <v>23</v>
      </c>
    </row>
    <row r="3169">
      <c r="A3169" s="8" t="str">
        <f>IFERROR(__xludf.DUMMYFUNCTION("IF('(INGESTA)Datos_consumo_datadis'!A3169&lt;&gt;"""",SPLIT('(INGESTA)Datos_consumo_datadis'!A:A,"",""),"""")"),"ES0031408323131005HX0F")</f>
        <v>ES0031408323131005HX0F</v>
      </c>
      <c r="B3169" s="12">
        <f>IFERROR(__xludf.DUMMYFUNCTION("""COMPUTED_VALUE"""),44997.0)</f>
        <v>44997</v>
      </c>
      <c r="C3169" s="16">
        <f>IFERROR(__xludf.DUMMYFUNCTION("""COMPUTED_VALUE"""),1.0)</f>
        <v>1</v>
      </c>
      <c r="D3169" s="8">
        <f>IFERROR(__xludf.DUMMYFUNCTION("""COMPUTED_VALUE"""),0.163)</f>
        <v>0.163</v>
      </c>
      <c r="E3169" s="8" t="str">
        <f>IFERROR(__xludf.DUMMYFUNCTION("""COMPUTED_VALUE"""),"Real")</f>
        <v>Real</v>
      </c>
      <c r="G3169" s="8">
        <f t="shared" si="1"/>
        <v>3</v>
      </c>
      <c r="H3169" s="14">
        <f t="shared" si="2"/>
        <v>12</v>
      </c>
      <c r="I3169" s="15">
        <f t="shared" si="3"/>
        <v>0</v>
      </c>
    </row>
    <row r="3170">
      <c r="A3170" s="8" t="str">
        <f>IFERROR(__xludf.DUMMYFUNCTION("IF('(INGESTA)Datos_consumo_datadis'!A3170&lt;&gt;"""",SPLIT('(INGESTA)Datos_consumo_datadis'!A:A,"",""),"""")"),"ES0031408323131005HX0F")</f>
        <v>ES0031408323131005HX0F</v>
      </c>
      <c r="B3170" s="12">
        <f>IFERROR(__xludf.DUMMYFUNCTION("""COMPUTED_VALUE"""),44998.0)</f>
        <v>44998</v>
      </c>
      <c r="C3170" s="13">
        <f>IFERROR(__xludf.DUMMYFUNCTION("""COMPUTED_VALUE"""),0.041666666666666664)</f>
        <v>0.04166666667</v>
      </c>
      <c r="D3170" s="8">
        <f>IFERROR(__xludf.DUMMYFUNCTION("""COMPUTED_VALUE"""),0.37)</f>
        <v>0.37</v>
      </c>
      <c r="E3170" s="8" t="str">
        <f>IFERROR(__xludf.DUMMYFUNCTION("""COMPUTED_VALUE"""),"Real")</f>
        <v>Real</v>
      </c>
      <c r="G3170" s="8">
        <f t="shared" si="1"/>
        <v>3</v>
      </c>
      <c r="H3170" s="14">
        <f t="shared" si="2"/>
        <v>13</v>
      </c>
      <c r="I3170" s="15">
        <f t="shared" si="3"/>
        <v>1</v>
      </c>
    </row>
    <row r="3171">
      <c r="A3171" s="8" t="str">
        <f>IFERROR(__xludf.DUMMYFUNCTION("IF('(INGESTA)Datos_consumo_datadis'!A3171&lt;&gt;"""",SPLIT('(INGESTA)Datos_consumo_datadis'!A:A,"",""),"""")"),"ES0031408323131005HX0F")</f>
        <v>ES0031408323131005HX0F</v>
      </c>
      <c r="B3171" s="12">
        <f>IFERROR(__xludf.DUMMYFUNCTION("""COMPUTED_VALUE"""),44998.0)</f>
        <v>44998</v>
      </c>
      <c r="C3171" s="13">
        <f>IFERROR(__xludf.DUMMYFUNCTION("""COMPUTED_VALUE"""),0.08333333333333333)</f>
        <v>0.08333333333</v>
      </c>
      <c r="D3171" s="8">
        <f>IFERROR(__xludf.DUMMYFUNCTION("""COMPUTED_VALUE"""),0.024)</f>
        <v>0.024</v>
      </c>
      <c r="E3171" s="8" t="str">
        <f>IFERROR(__xludf.DUMMYFUNCTION("""COMPUTED_VALUE"""),"Real")</f>
        <v>Real</v>
      </c>
      <c r="G3171" s="8">
        <f t="shared" si="1"/>
        <v>3</v>
      </c>
      <c r="H3171" s="14">
        <f t="shared" si="2"/>
        <v>13</v>
      </c>
      <c r="I3171" s="15">
        <f t="shared" si="3"/>
        <v>2</v>
      </c>
    </row>
    <row r="3172">
      <c r="A3172" s="8" t="str">
        <f>IFERROR(__xludf.DUMMYFUNCTION("IF('(INGESTA)Datos_consumo_datadis'!A3172&lt;&gt;"""",SPLIT('(INGESTA)Datos_consumo_datadis'!A:A,"",""),"""")"),"ES0031408323131005HX0F")</f>
        <v>ES0031408323131005HX0F</v>
      </c>
      <c r="B3172" s="12">
        <f>IFERROR(__xludf.DUMMYFUNCTION("""COMPUTED_VALUE"""),44998.0)</f>
        <v>44998</v>
      </c>
      <c r="C3172" s="13">
        <f>IFERROR(__xludf.DUMMYFUNCTION("""COMPUTED_VALUE"""),0.125)</f>
        <v>0.125</v>
      </c>
      <c r="D3172" s="8">
        <f>IFERROR(__xludf.DUMMYFUNCTION("""COMPUTED_VALUE"""),0.066)</f>
        <v>0.066</v>
      </c>
      <c r="E3172" s="8" t="str">
        <f>IFERROR(__xludf.DUMMYFUNCTION("""COMPUTED_VALUE"""),"Real")</f>
        <v>Real</v>
      </c>
      <c r="G3172" s="8">
        <f t="shared" si="1"/>
        <v>3</v>
      </c>
      <c r="H3172" s="14">
        <f t="shared" si="2"/>
        <v>13</v>
      </c>
      <c r="I3172" s="15">
        <f t="shared" si="3"/>
        <v>3</v>
      </c>
    </row>
    <row r="3173">
      <c r="A3173" s="8" t="str">
        <f>IFERROR(__xludf.DUMMYFUNCTION("IF('(INGESTA)Datos_consumo_datadis'!A3173&lt;&gt;"""",SPLIT('(INGESTA)Datos_consumo_datadis'!A:A,"",""),"""")"),"ES0031408323131005HX0F")</f>
        <v>ES0031408323131005HX0F</v>
      </c>
      <c r="B3173" s="12">
        <f>IFERROR(__xludf.DUMMYFUNCTION("""COMPUTED_VALUE"""),44998.0)</f>
        <v>44998</v>
      </c>
      <c r="C3173" s="13">
        <f>IFERROR(__xludf.DUMMYFUNCTION("""COMPUTED_VALUE"""),0.16666666666666666)</f>
        <v>0.1666666667</v>
      </c>
      <c r="D3173" s="8">
        <f>IFERROR(__xludf.DUMMYFUNCTION("""COMPUTED_VALUE"""),0.115)</f>
        <v>0.115</v>
      </c>
      <c r="E3173" s="8" t="str">
        <f>IFERROR(__xludf.DUMMYFUNCTION("""COMPUTED_VALUE"""),"Real")</f>
        <v>Real</v>
      </c>
      <c r="G3173" s="8">
        <f t="shared" si="1"/>
        <v>3</v>
      </c>
      <c r="H3173" s="14">
        <f t="shared" si="2"/>
        <v>13</v>
      </c>
      <c r="I3173" s="15">
        <f t="shared" si="3"/>
        <v>4</v>
      </c>
    </row>
    <row r="3174">
      <c r="A3174" s="8" t="str">
        <f>IFERROR(__xludf.DUMMYFUNCTION("IF('(INGESTA)Datos_consumo_datadis'!A3174&lt;&gt;"""",SPLIT('(INGESTA)Datos_consumo_datadis'!A:A,"",""),"""")"),"ES0031408323131005HX0F")</f>
        <v>ES0031408323131005HX0F</v>
      </c>
      <c r="B3174" s="12">
        <f>IFERROR(__xludf.DUMMYFUNCTION("""COMPUTED_VALUE"""),44998.0)</f>
        <v>44998</v>
      </c>
      <c r="C3174" s="13">
        <f>IFERROR(__xludf.DUMMYFUNCTION("""COMPUTED_VALUE"""),0.20833333333333334)</f>
        <v>0.2083333333</v>
      </c>
      <c r="D3174" s="8">
        <f>IFERROR(__xludf.DUMMYFUNCTION("""COMPUTED_VALUE"""),0.052)</f>
        <v>0.052</v>
      </c>
      <c r="E3174" s="8" t="str">
        <f>IFERROR(__xludf.DUMMYFUNCTION("""COMPUTED_VALUE"""),"Real")</f>
        <v>Real</v>
      </c>
      <c r="G3174" s="8">
        <f t="shared" si="1"/>
        <v>3</v>
      </c>
      <c r="H3174" s="14">
        <f t="shared" si="2"/>
        <v>13</v>
      </c>
      <c r="I3174" s="15">
        <f t="shared" si="3"/>
        <v>5</v>
      </c>
    </row>
    <row r="3175">
      <c r="A3175" s="8" t="str">
        <f>IFERROR(__xludf.DUMMYFUNCTION("IF('(INGESTA)Datos_consumo_datadis'!A3175&lt;&gt;"""",SPLIT('(INGESTA)Datos_consumo_datadis'!A:A,"",""),"""")"),"ES0031408323131005HX0F")</f>
        <v>ES0031408323131005HX0F</v>
      </c>
      <c r="B3175" s="12">
        <f>IFERROR(__xludf.DUMMYFUNCTION("""COMPUTED_VALUE"""),44998.0)</f>
        <v>44998</v>
      </c>
      <c r="C3175" s="13">
        <f>IFERROR(__xludf.DUMMYFUNCTION("""COMPUTED_VALUE"""),0.25)</f>
        <v>0.25</v>
      </c>
      <c r="D3175" s="8">
        <f>IFERROR(__xludf.DUMMYFUNCTION("""COMPUTED_VALUE"""),0.027)</f>
        <v>0.027</v>
      </c>
      <c r="E3175" s="8" t="str">
        <f>IFERROR(__xludf.DUMMYFUNCTION("""COMPUTED_VALUE"""),"Real")</f>
        <v>Real</v>
      </c>
      <c r="G3175" s="8">
        <f t="shared" si="1"/>
        <v>3</v>
      </c>
      <c r="H3175" s="14">
        <f t="shared" si="2"/>
        <v>13</v>
      </c>
      <c r="I3175" s="15">
        <f t="shared" si="3"/>
        <v>6</v>
      </c>
    </row>
    <row r="3176">
      <c r="A3176" s="8" t="str">
        <f>IFERROR(__xludf.DUMMYFUNCTION("IF('(INGESTA)Datos_consumo_datadis'!A3176&lt;&gt;"""",SPLIT('(INGESTA)Datos_consumo_datadis'!A:A,"",""),"""")"),"ES0031408323131005HX0F")</f>
        <v>ES0031408323131005HX0F</v>
      </c>
      <c r="B3176" s="12">
        <f>IFERROR(__xludf.DUMMYFUNCTION("""COMPUTED_VALUE"""),44998.0)</f>
        <v>44998</v>
      </c>
      <c r="C3176" s="13">
        <f>IFERROR(__xludf.DUMMYFUNCTION("""COMPUTED_VALUE"""),0.2916666666666667)</f>
        <v>0.2916666667</v>
      </c>
      <c r="D3176" s="8">
        <f>IFERROR(__xludf.DUMMYFUNCTION("""COMPUTED_VALUE"""),0.047)</f>
        <v>0.047</v>
      </c>
      <c r="E3176" s="8" t="str">
        <f>IFERROR(__xludf.DUMMYFUNCTION("""COMPUTED_VALUE"""),"Real")</f>
        <v>Real</v>
      </c>
      <c r="G3176" s="8">
        <f t="shared" si="1"/>
        <v>3</v>
      </c>
      <c r="H3176" s="14">
        <f t="shared" si="2"/>
        <v>13</v>
      </c>
      <c r="I3176" s="15">
        <f t="shared" si="3"/>
        <v>7</v>
      </c>
    </row>
    <row r="3177">
      <c r="A3177" s="8" t="str">
        <f>IFERROR(__xludf.DUMMYFUNCTION("IF('(INGESTA)Datos_consumo_datadis'!A3177&lt;&gt;"""",SPLIT('(INGESTA)Datos_consumo_datadis'!A:A,"",""),"""")"),"ES0031408323131005HX0F")</f>
        <v>ES0031408323131005HX0F</v>
      </c>
      <c r="B3177" s="12">
        <f>IFERROR(__xludf.DUMMYFUNCTION("""COMPUTED_VALUE"""),44998.0)</f>
        <v>44998</v>
      </c>
      <c r="C3177" s="13">
        <f>IFERROR(__xludf.DUMMYFUNCTION("""COMPUTED_VALUE"""),0.3333333333333333)</f>
        <v>0.3333333333</v>
      </c>
      <c r="D3177" s="8">
        <f>IFERROR(__xludf.DUMMYFUNCTION("""COMPUTED_VALUE"""),0.407)</f>
        <v>0.407</v>
      </c>
      <c r="E3177" s="8" t="str">
        <f>IFERROR(__xludf.DUMMYFUNCTION("""COMPUTED_VALUE"""),"Real")</f>
        <v>Real</v>
      </c>
      <c r="G3177" s="8">
        <f t="shared" si="1"/>
        <v>3</v>
      </c>
      <c r="H3177" s="14">
        <f t="shared" si="2"/>
        <v>13</v>
      </c>
      <c r="I3177" s="15">
        <f t="shared" si="3"/>
        <v>8</v>
      </c>
    </row>
    <row r="3178">
      <c r="A3178" s="8" t="str">
        <f>IFERROR(__xludf.DUMMYFUNCTION("IF('(INGESTA)Datos_consumo_datadis'!A3178&lt;&gt;"""",SPLIT('(INGESTA)Datos_consumo_datadis'!A:A,"",""),"""")"),"ES0031408323131005HX0F")</f>
        <v>ES0031408323131005HX0F</v>
      </c>
      <c r="B3178" s="12">
        <f>IFERROR(__xludf.DUMMYFUNCTION("""COMPUTED_VALUE"""),44998.0)</f>
        <v>44998</v>
      </c>
      <c r="C3178" s="13">
        <f>IFERROR(__xludf.DUMMYFUNCTION("""COMPUTED_VALUE"""),0.375)</f>
        <v>0.375</v>
      </c>
      <c r="D3178" s="8">
        <f>IFERROR(__xludf.DUMMYFUNCTION("""COMPUTED_VALUE"""),0.104)</f>
        <v>0.104</v>
      </c>
      <c r="E3178" s="8" t="str">
        <f>IFERROR(__xludf.DUMMYFUNCTION("""COMPUTED_VALUE"""),"Real")</f>
        <v>Real</v>
      </c>
      <c r="G3178" s="8">
        <f t="shared" si="1"/>
        <v>3</v>
      </c>
      <c r="H3178" s="14">
        <f t="shared" si="2"/>
        <v>13</v>
      </c>
      <c r="I3178" s="15">
        <f t="shared" si="3"/>
        <v>9</v>
      </c>
    </row>
    <row r="3179">
      <c r="A3179" s="8" t="str">
        <f>IFERROR(__xludf.DUMMYFUNCTION("IF('(INGESTA)Datos_consumo_datadis'!A3179&lt;&gt;"""",SPLIT('(INGESTA)Datos_consumo_datadis'!A:A,"",""),"""")"),"ES0031408323131005HX0F")</f>
        <v>ES0031408323131005HX0F</v>
      </c>
      <c r="B3179" s="12">
        <f>IFERROR(__xludf.DUMMYFUNCTION("""COMPUTED_VALUE"""),44998.0)</f>
        <v>44998</v>
      </c>
      <c r="C3179" s="13">
        <f>IFERROR(__xludf.DUMMYFUNCTION("""COMPUTED_VALUE"""),0.4166666666666667)</f>
        <v>0.4166666667</v>
      </c>
      <c r="D3179" s="8">
        <f>IFERROR(__xludf.DUMMYFUNCTION("""COMPUTED_VALUE"""),0.211)</f>
        <v>0.211</v>
      </c>
      <c r="E3179" s="8" t="str">
        <f>IFERROR(__xludf.DUMMYFUNCTION("""COMPUTED_VALUE"""),"Real")</f>
        <v>Real</v>
      </c>
      <c r="G3179" s="8">
        <f t="shared" si="1"/>
        <v>3</v>
      </c>
      <c r="H3179" s="14">
        <f t="shared" si="2"/>
        <v>13</v>
      </c>
      <c r="I3179" s="15">
        <f t="shared" si="3"/>
        <v>10</v>
      </c>
    </row>
    <row r="3180">
      <c r="A3180" s="8" t="str">
        <f>IFERROR(__xludf.DUMMYFUNCTION("IF('(INGESTA)Datos_consumo_datadis'!A3180&lt;&gt;"""",SPLIT('(INGESTA)Datos_consumo_datadis'!A:A,"",""),"""")"),"ES0031408323131005HX0F")</f>
        <v>ES0031408323131005HX0F</v>
      </c>
      <c r="B3180" s="12">
        <f>IFERROR(__xludf.DUMMYFUNCTION("""COMPUTED_VALUE"""),44998.0)</f>
        <v>44998</v>
      </c>
      <c r="C3180" s="13">
        <f>IFERROR(__xludf.DUMMYFUNCTION("""COMPUTED_VALUE"""),0.4583333333333333)</f>
        <v>0.4583333333</v>
      </c>
      <c r="D3180" s="8">
        <f>IFERROR(__xludf.DUMMYFUNCTION("""COMPUTED_VALUE"""),0.228)</f>
        <v>0.228</v>
      </c>
      <c r="E3180" s="8" t="str">
        <f>IFERROR(__xludf.DUMMYFUNCTION("""COMPUTED_VALUE"""),"Real")</f>
        <v>Real</v>
      </c>
      <c r="G3180" s="8">
        <f t="shared" si="1"/>
        <v>3</v>
      </c>
      <c r="H3180" s="14">
        <f t="shared" si="2"/>
        <v>13</v>
      </c>
      <c r="I3180" s="15">
        <f t="shared" si="3"/>
        <v>11</v>
      </c>
    </row>
    <row r="3181">
      <c r="A3181" s="8" t="str">
        <f>IFERROR(__xludf.DUMMYFUNCTION("IF('(INGESTA)Datos_consumo_datadis'!A3181&lt;&gt;"""",SPLIT('(INGESTA)Datos_consumo_datadis'!A:A,"",""),"""")"),"ES0031408323131005HX0F")</f>
        <v>ES0031408323131005HX0F</v>
      </c>
      <c r="B3181" s="12">
        <f>IFERROR(__xludf.DUMMYFUNCTION("""COMPUTED_VALUE"""),44998.0)</f>
        <v>44998</v>
      </c>
      <c r="C3181" s="13">
        <f>IFERROR(__xludf.DUMMYFUNCTION("""COMPUTED_VALUE"""),0.5)</f>
        <v>0.5</v>
      </c>
      <c r="D3181" s="8">
        <f>IFERROR(__xludf.DUMMYFUNCTION("""COMPUTED_VALUE"""),0.237)</f>
        <v>0.237</v>
      </c>
      <c r="E3181" s="8" t="str">
        <f>IFERROR(__xludf.DUMMYFUNCTION("""COMPUTED_VALUE"""),"Real")</f>
        <v>Real</v>
      </c>
      <c r="G3181" s="8">
        <f t="shared" si="1"/>
        <v>3</v>
      </c>
      <c r="H3181" s="14">
        <f t="shared" si="2"/>
        <v>13</v>
      </c>
      <c r="I3181" s="15">
        <f t="shared" si="3"/>
        <v>12</v>
      </c>
    </row>
    <row r="3182">
      <c r="A3182" s="8" t="str">
        <f>IFERROR(__xludf.DUMMYFUNCTION("IF('(INGESTA)Datos_consumo_datadis'!A3182&lt;&gt;"""",SPLIT('(INGESTA)Datos_consumo_datadis'!A:A,"",""),"""")"),"ES0031408323131005HX0F")</f>
        <v>ES0031408323131005HX0F</v>
      </c>
      <c r="B3182" s="12">
        <f>IFERROR(__xludf.DUMMYFUNCTION("""COMPUTED_VALUE"""),44998.0)</f>
        <v>44998</v>
      </c>
      <c r="C3182" s="13">
        <f>IFERROR(__xludf.DUMMYFUNCTION("""COMPUTED_VALUE"""),0.5416666666666666)</f>
        <v>0.5416666667</v>
      </c>
      <c r="D3182" s="8">
        <f>IFERROR(__xludf.DUMMYFUNCTION("""COMPUTED_VALUE"""),2.66)</f>
        <v>2.66</v>
      </c>
      <c r="E3182" s="8" t="str">
        <f>IFERROR(__xludf.DUMMYFUNCTION("""COMPUTED_VALUE"""),"Real")</f>
        <v>Real</v>
      </c>
      <c r="G3182" s="8">
        <f t="shared" si="1"/>
        <v>3</v>
      </c>
      <c r="H3182" s="14">
        <f t="shared" si="2"/>
        <v>13</v>
      </c>
      <c r="I3182" s="15">
        <f t="shared" si="3"/>
        <v>13</v>
      </c>
    </row>
    <row r="3183">
      <c r="A3183" s="8" t="str">
        <f>IFERROR(__xludf.DUMMYFUNCTION("IF('(INGESTA)Datos_consumo_datadis'!A3183&lt;&gt;"""",SPLIT('(INGESTA)Datos_consumo_datadis'!A:A,"",""),"""")"),"ES0031408323131005HX0F")</f>
        <v>ES0031408323131005HX0F</v>
      </c>
      <c r="B3183" s="12">
        <f>IFERROR(__xludf.DUMMYFUNCTION("""COMPUTED_VALUE"""),44998.0)</f>
        <v>44998</v>
      </c>
      <c r="C3183" s="13">
        <f>IFERROR(__xludf.DUMMYFUNCTION("""COMPUTED_VALUE"""),0.5833333333333334)</f>
        <v>0.5833333333</v>
      </c>
      <c r="D3183" s="8">
        <f>IFERROR(__xludf.DUMMYFUNCTION("""COMPUTED_VALUE"""),0.777)</f>
        <v>0.777</v>
      </c>
      <c r="E3183" s="8" t="str">
        <f>IFERROR(__xludf.DUMMYFUNCTION("""COMPUTED_VALUE"""),"Real")</f>
        <v>Real</v>
      </c>
      <c r="G3183" s="8">
        <f t="shared" si="1"/>
        <v>3</v>
      </c>
      <c r="H3183" s="14">
        <f t="shared" si="2"/>
        <v>13</v>
      </c>
      <c r="I3183" s="15">
        <f t="shared" si="3"/>
        <v>14</v>
      </c>
    </row>
    <row r="3184">
      <c r="A3184" s="8" t="str">
        <f>IFERROR(__xludf.DUMMYFUNCTION("IF('(INGESTA)Datos_consumo_datadis'!A3184&lt;&gt;"""",SPLIT('(INGESTA)Datos_consumo_datadis'!A:A,"",""),"""")"),"ES0031408323131005HX0F")</f>
        <v>ES0031408323131005HX0F</v>
      </c>
      <c r="B3184" s="12">
        <f>IFERROR(__xludf.DUMMYFUNCTION("""COMPUTED_VALUE"""),44998.0)</f>
        <v>44998</v>
      </c>
      <c r="C3184" s="13">
        <f>IFERROR(__xludf.DUMMYFUNCTION("""COMPUTED_VALUE"""),0.625)</f>
        <v>0.625</v>
      </c>
      <c r="D3184" s="8">
        <f>IFERROR(__xludf.DUMMYFUNCTION("""COMPUTED_VALUE"""),0.133)</f>
        <v>0.133</v>
      </c>
      <c r="E3184" s="8" t="str">
        <f>IFERROR(__xludf.DUMMYFUNCTION("""COMPUTED_VALUE"""),"Real")</f>
        <v>Real</v>
      </c>
      <c r="G3184" s="8">
        <f t="shared" si="1"/>
        <v>3</v>
      </c>
      <c r="H3184" s="14">
        <f t="shared" si="2"/>
        <v>13</v>
      </c>
      <c r="I3184" s="15">
        <f t="shared" si="3"/>
        <v>15</v>
      </c>
    </row>
    <row r="3185">
      <c r="A3185" s="8" t="str">
        <f>IFERROR(__xludf.DUMMYFUNCTION("IF('(INGESTA)Datos_consumo_datadis'!A3185&lt;&gt;"""",SPLIT('(INGESTA)Datos_consumo_datadis'!A:A,"",""),"""")"),"ES0031408323131005HX0F")</f>
        <v>ES0031408323131005HX0F</v>
      </c>
      <c r="B3185" s="12">
        <f>IFERROR(__xludf.DUMMYFUNCTION("""COMPUTED_VALUE"""),44998.0)</f>
        <v>44998</v>
      </c>
      <c r="C3185" s="13">
        <f>IFERROR(__xludf.DUMMYFUNCTION("""COMPUTED_VALUE"""),0.6666666666666666)</f>
        <v>0.6666666667</v>
      </c>
      <c r="D3185" s="8">
        <f>IFERROR(__xludf.DUMMYFUNCTION("""COMPUTED_VALUE"""),0.062)</f>
        <v>0.062</v>
      </c>
      <c r="E3185" s="8" t="str">
        <f>IFERROR(__xludf.DUMMYFUNCTION("""COMPUTED_VALUE"""),"Real")</f>
        <v>Real</v>
      </c>
      <c r="G3185" s="8">
        <f t="shared" si="1"/>
        <v>3</v>
      </c>
      <c r="H3185" s="14">
        <f t="shared" si="2"/>
        <v>13</v>
      </c>
      <c r="I3185" s="15">
        <f t="shared" si="3"/>
        <v>16</v>
      </c>
    </row>
    <row r="3186">
      <c r="A3186" s="8" t="str">
        <f>IFERROR(__xludf.DUMMYFUNCTION("IF('(INGESTA)Datos_consumo_datadis'!A3186&lt;&gt;"""",SPLIT('(INGESTA)Datos_consumo_datadis'!A:A,"",""),"""")"),"ES0031408323131005HX0F")</f>
        <v>ES0031408323131005HX0F</v>
      </c>
      <c r="B3186" s="12">
        <f>IFERROR(__xludf.DUMMYFUNCTION("""COMPUTED_VALUE"""),44998.0)</f>
        <v>44998</v>
      </c>
      <c r="C3186" s="13">
        <f>IFERROR(__xludf.DUMMYFUNCTION("""COMPUTED_VALUE"""),0.7083333333333334)</f>
        <v>0.7083333333</v>
      </c>
      <c r="D3186" s="8">
        <f>IFERROR(__xludf.DUMMYFUNCTION("""COMPUTED_VALUE"""),0.016)</f>
        <v>0.016</v>
      </c>
      <c r="E3186" s="8" t="str">
        <f>IFERROR(__xludf.DUMMYFUNCTION("""COMPUTED_VALUE"""),"Real")</f>
        <v>Real</v>
      </c>
      <c r="G3186" s="8">
        <f t="shared" si="1"/>
        <v>3</v>
      </c>
      <c r="H3186" s="14">
        <f t="shared" si="2"/>
        <v>13</v>
      </c>
      <c r="I3186" s="15">
        <f t="shared" si="3"/>
        <v>17</v>
      </c>
    </row>
    <row r="3187">
      <c r="A3187" s="8" t="str">
        <f>IFERROR(__xludf.DUMMYFUNCTION("IF('(INGESTA)Datos_consumo_datadis'!A3187&lt;&gt;"""",SPLIT('(INGESTA)Datos_consumo_datadis'!A:A,"",""),"""")"),"ES0031408323131005HX0F")</f>
        <v>ES0031408323131005HX0F</v>
      </c>
      <c r="B3187" s="12">
        <f>IFERROR(__xludf.DUMMYFUNCTION("""COMPUTED_VALUE"""),44998.0)</f>
        <v>44998</v>
      </c>
      <c r="C3187" s="13">
        <f>IFERROR(__xludf.DUMMYFUNCTION("""COMPUTED_VALUE"""),0.75)</f>
        <v>0.75</v>
      </c>
      <c r="D3187" s="8">
        <f>IFERROR(__xludf.DUMMYFUNCTION("""COMPUTED_VALUE"""),0.097)</f>
        <v>0.097</v>
      </c>
      <c r="E3187" s="8" t="str">
        <f>IFERROR(__xludf.DUMMYFUNCTION("""COMPUTED_VALUE"""),"Real")</f>
        <v>Real</v>
      </c>
      <c r="G3187" s="8">
        <f t="shared" si="1"/>
        <v>3</v>
      </c>
      <c r="H3187" s="14">
        <f t="shared" si="2"/>
        <v>13</v>
      </c>
      <c r="I3187" s="15">
        <f t="shared" si="3"/>
        <v>18</v>
      </c>
    </row>
    <row r="3188">
      <c r="A3188" s="8" t="str">
        <f>IFERROR(__xludf.DUMMYFUNCTION("IF('(INGESTA)Datos_consumo_datadis'!A3188&lt;&gt;"""",SPLIT('(INGESTA)Datos_consumo_datadis'!A:A,"",""),"""")"),"ES0031408323131005HX0F")</f>
        <v>ES0031408323131005HX0F</v>
      </c>
      <c r="B3188" s="12">
        <f>IFERROR(__xludf.DUMMYFUNCTION("""COMPUTED_VALUE"""),44998.0)</f>
        <v>44998</v>
      </c>
      <c r="C3188" s="13">
        <f>IFERROR(__xludf.DUMMYFUNCTION("""COMPUTED_VALUE"""),0.7916666666666666)</f>
        <v>0.7916666667</v>
      </c>
      <c r="D3188" s="8">
        <f>IFERROR(__xludf.DUMMYFUNCTION("""COMPUTED_VALUE"""),0.322)</f>
        <v>0.322</v>
      </c>
      <c r="E3188" s="8" t="str">
        <f>IFERROR(__xludf.DUMMYFUNCTION("""COMPUTED_VALUE"""),"Real")</f>
        <v>Real</v>
      </c>
      <c r="G3188" s="8">
        <f t="shared" si="1"/>
        <v>3</v>
      </c>
      <c r="H3188" s="14">
        <f t="shared" si="2"/>
        <v>13</v>
      </c>
      <c r="I3188" s="15">
        <f t="shared" si="3"/>
        <v>19</v>
      </c>
    </row>
    <row r="3189">
      <c r="A3189" s="8" t="str">
        <f>IFERROR(__xludf.DUMMYFUNCTION("IF('(INGESTA)Datos_consumo_datadis'!A3189&lt;&gt;"""",SPLIT('(INGESTA)Datos_consumo_datadis'!A:A,"",""),"""")"),"ES0031408323131005HX0F")</f>
        <v>ES0031408323131005HX0F</v>
      </c>
      <c r="B3189" s="12">
        <f>IFERROR(__xludf.DUMMYFUNCTION("""COMPUTED_VALUE"""),44998.0)</f>
        <v>44998</v>
      </c>
      <c r="C3189" s="13">
        <f>IFERROR(__xludf.DUMMYFUNCTION("""COMPUTED_VALUE"""),0.8333333333333334)</f>
        <v>0.8333333333</v>
      </c>
      <c r="D3189" s="8">
        <f>IFERROR(__xludf.DUMMYFUNCTION("""COMPUTED_VALUE"""),0.059)</f>
        <v>0.059</v>
      </c>
      <c r="E3189" s="8" t="str">
        <f>IFERROR(__xludf.DUMMYFUNCTION("""COMPUTED_VALUE"""),"Real")</f>
        <v>Real</v>
      </c>
      <c r="G3189" s="8">
        <f t="shared" si="1"/>
        <v>3</v>
      </c>
      <c r="H3189" s="14">
        <f t="shared" si="2"/>
        <v>13</v>
      </c>
      <c r="I3189" s="15">
        <f t="shared" si="3"/>
        <v>20</v>
      </c>
    </row>
    <row r="3190">
      <c r="A3190" s="8" t="str">
        <f>IFERROR(__xludf.DUMMYFUNCTION("IF('(INGESTA)Datos_consumo_datadis'!A3190&lt;&gt;"""",SPLIT('(INGESTA)Datos_consumo_datadis'!A:A,"",""),"""")"),"ES0031408323131005HX0F")</f>
        <v>ES0031408323131005HX0F</v>
      </c>
      <c r="B3190" s="12">
        <f>IFERROR(__xludf.DUMMYFUNCTION("""COMPUTED_VALUE"""),44998.0)</f>
        <v>44998</v>
      </c>
      <c r="C3190" s="13">
        <f>IFERROR(__xludf.DUMMYFUNCTION("""COMPUTED_VALUE"""),0.875)</f>
        <v>0.875</v>
      </c>
      <c r="D3190" s="8">
        <f>IFERROR(__xludf.DUMMYFUNCTION("""COMPUTED_VALUE"""),0.016)</f>
        <v>0.016</v>
      </c>
      <c r="E3190" s="8" t="str">
        <f>IFERROR(__xludf.DUMMYFUNCTION("""COMPUTED_VALUE"""),"Real")</f>
        <v>Real</v>
      </c>
      <c r="G3190" s="8">
        <f t="shared" si="1"/>
        <v>3</v>
      </c>
      <c r="H3190" s="14">
        <f t="shared" si="2"/>
        <v>13</v>
      </c>
      <c r="I3190" s="15">
        <f t="shared" si="3"/>
        <v>21</v>
      </c>
    </row>
    <row r="3191">
      <c r="A3191" s="8" t="str">
        <f>IFERROR(__xludf.DUMMYFUNCTION("IF('(INGESTA)Datos_consumo_datadis'!A3191&lt;&gt;"""",SPLIT('(INGESTA)Datos_consumo_datadis'!A:A,"",""),"""")"),"ES0031408323131005HX0F")</f>
        <v>ES0031408323131005HX0F</v>
      </c>
      <c r="B3191" s="12">
        <f>IFERROR(__xludf.DUMMYFUNCTION("""COMPUTED_VALUE"""),44998.0)</f>
        <v>44998</v>
      </c>
      <c r="C3191" s="13">
        <f>IFERROR(__xludf.DUMMYFUNCTION("""COMPUTED_VALUE"""),0.9166666666666666)</f>
        <v>0.9166666667</v>
      </c>
      <c r="D3191" s="8">
        <f>IFERROR(__xludf.DUMMYFUNCTION("""COMPUTED_VALUE"""),0.103)</f>
        <v>0.103</v>
      </c>
      <c r="E3191" s="8" t="str">
        <f>IFERROR(__xludf.DUMMYFUNCTION("""COMPUTED_VALUE"""),"Real")</f>
        <v>Real</v>
      </c>
      <c r="G3191" s="8">
        <f t="shared" si="1"/>
        <v>3</v>
      </c>
      <c r="H3191" s="14">
        <f t="shared" si="2"/>
        <v>13</v>
      </c>
      <c r="I3191" s="15">
        <f t="shared" si="3"/>
        <v>22</v>
      </c>
    </row>
    <row r="3192">
      <c r="A3192" s="8" t="str">
        <f>IFERROR(__xludf.DUMMYFUNCTION("IF('(INGESTA)Datos_consumo_datadis'!A3192&lt;&gt;"""",SPLIT('(INGESTA)Datos_consumo_datadis'!A:A,"",""),"""")"),"ES0031408323131005HX0F")</f>
        <v>ES0031408323131005HX0F</v>
      </c>
      <c r="B3192" s="12">
        <f>IFERROR(__xludf.DUMMYFUNCTION("""COMPUTED_VALUE"""),44998.0)</f>
        <v>44998</v>
      </c>
      <c r="C3192" s="13">
        <f>IFERROR(__xludf.DUMMYFUNCTION("""COMPUTED_VALUE"""),0.9583333333333334)</f>
        <v>0.9583333333</v>
      </c>
      <c r="D3192" s="8">
        <f>IFERROR(__xludf.DUMMYFUNCTION("""COMPUTED_VALUE"""),0.545)</f>
        <v>0.545</v>
      </c>
      <c r="E3192" s="8" t="str">
        <f>IFERROR(__xludf.DUMMYFUNCTION("""COMPUTED_VALUE"""),"Real")</f>
        <v>Real</v>
      </c>
      <c r="G3192" s="8">
        <f t="shared" si="1"/>
        <v>3</v>
      </c>
      <c r="H3192" s="14">
        <f t="shared" si="2"/>
        <v>13</v>
      </c>
      <c r="I3192" s="15">
        <f t="shared" si="3"/>
        <v>23</v>
      </c>
    </row>
    <row r="3193">
      <c r="A3193" s="8" t="str">
        <f>IFERROR(__xludf.DUMMYFUNCTION("IF('(INGESTA)Datos_consumo_datadis'!A3193&lt;&gt;"""",SPLIT('(INGESTA)Datos_consumo_datadis'!A:A,"",""),"""")"),"ES0031408323131005HX0F")</f>
        <v>ES0031408323131005HX0F</v>
      </c>
      <c r="B3193" s="12">
        <f>IFERROR(__xludf.DUMMYFUNCTION("""COMPUTED_VALUE"""),44998.0)</f>
        <v>44998</v>
      </c>
      <c r="C3193" s="16">
        <f>IFERROR(__xludf.DUMMYFUNCTION("""COMPUTED_VALUE"""),1.0)</f>
        <v>1</v>
      </c>
      <c r="D3193" s="8">
        <f>IFERROR(__xludf.DUMMYFUNCTION("""COMPUTED_VALUE"""),0.674)</f>
        <v>0.674</v>
      </c>
      <c r="E3193" s="8" t="str">
        <f>IFERROR(__xludf.DUMMYFUNCTION("""COMPUTED_VALUE"""),"Real")</f>
        <v>Real</v>
      </c>
      <c r="G3193" s="8">
        <f t="shared" si="1"/>
        <v>3</v>
      </c>
      <c r="H3193" s="14">
        <f t="shared" si="2"/>
        <v>13</v>
      </c>
      <c r="I3193" s="15">
        <f t="shared" si="3"/>
        <v>0</v>
      </c>
    </row>
    <row r="3194">
      <c r="A3194" s="8" t="str">
        <f>IFERROR(__xludf.DUMMYFUNCTION("IF('(INGESTA)Datos_consumo_datadis'!A3194&lt;&gt;"""",SPLIT('(INGESTA)Datos_consumo_datadis'!A:A,"",""),"""")"),"ES0031408323131005HX0F")</f>
        <v>ES0031408323131005HX0F</v>
      </c>
      <c r="B3194" s="12">
        <f>IFERROR(__xludf.DUMMYFUNCTION("""COMPUTED_VALUE"""),44999.0)</f>
        <v>44999</v>
      </c>
      <c r="C3194" s="13">
        <f>IFERROR(__xludf.DUMMYFUNCTION("""COMPUTED_VALUE"""),0.041666666666666664)</f>
        <v>0.04166666667</v>
      </c>
      <c r="D3194" s="8">
        <f>IFERROR(__xludf.DUMMYFUNCTION("""COMPUTED_VALUE"""),0.019)</f>
        <v>0.019</v>
      </c>
      <c r="E3194" s="8" t="str">
        <f>IFERROR(__xludf.DUMMYFUNCTION("""COMPUTED_VALUE"""),"Real")</f>
        <v>Real</v>
      </c>
      <c r="G3194" s="8">
        <f t="shared" si="1"/>
        <v>3</v>
      </c>
      <c r="H3194" s="14">
        <f t="shared" si="2"/>
        <v>14</v>
      </c>
      <c r="I3194" s="15">
        <f t="shared" si="3"/>
        <v>1</v>
      </c>
    </row>
    <row r="3195">
      <c r="A3195" s="8" t="str">
        <f>IFERROR(__xludf.DUMMYFUNCTION("IF('(INGESTA)Datos_consumo_datadis'!A3195&lt;&gt;"""",SPLIT('(INGESTA)Datos_consumo_datadis'!A:A,"",""),"""")"),"ES0031408323131005HX0F")</f>
        <v>ES0031408323131005HX0F</v>
      </c>
      <c r="B3195" s="12">
        <f>IFERROR(__xludf.DUMMYFUNCTION("""COMPUTED_VALUE"""),44999.0)</f>
        <v>44999</v>
      </c>
      <c r="C3195" s="13">
        <f>IFERROR(__xludf.DUMMYFUNCTION("""COMPUTED_VALUE"""),0.08333333333333333)</f>
        <v>0.08333333333</v>
      </c>
      <c r="D3195" s="8">
        <f>IFERROR(__xludf.DUMMYFUNCTION("""COMPUTED_VALUE"""),0.079)</f>
        <v>0.079</v>
      </c>
      <c r="E3195" s="8" t="str">
        <f>IFERROR(__xludf.DUMMYFUNCTION("""COMPUTED_VALUE"""),"Real")</f>
        <v>Real</v>
      </c>
      <c r="G3195" s="8">
        <f t="shared" si="1"/>
        <v>3</v>
      </c>
      <c r="H3195" s="14">
        <f t="shared" si="2"/>
        <v>14</v>
      </c>
      <c r="I3195" s="15">
        <f t="shared" si="3"/>
        <v>2</v>
      </c>
    </row>
    <row r="3196">
      <c r="A3196" s="8" t="str">
        <f>IFERROR(__xludf.DUMMYFUNCTION("IF('(INGESTA)Datos_consumo_datadis'!A3196&lt;&gt;"""",SPLIT('(INGESTA)Datos_consumo_datadis'!A:A,"",""),"""")"),"ES0031408323131005HX0F")</f>
        <v>ES0031408323131005HX0F</v>
      </c>
      <c r="B3196" s="12">
        <f>IFERROR(__xludf.DUMMYFUNCTION("""COMPUTED_VALUE"""),44999.0)</f>
        <v>44999</v>
      </c>
      <c r="C3196" s="13">
        <f>IFERROR(__xludf.DUMMYFUNCTION("""COMPUTED_VALUE"""),0.125)</f>
        <v>0.125</v>
      </c>
      <c r="D3196" s="8">
        <f>IFERROR(__xludf.DUMMYFUNCTION("""COMPUTED_VALUE"""),0.075)</f>
        <v>0.075</v>
      </c>
      <c r="E3196" s="8" t="str">
        <f>IFERROR(__xludf.DUMMYFUNCTION("""COMPUTED_VALUE"""),"Real")</f>
        <v>Real</v>
      </c>
      <c r="G3196" s="8">
        <f t="shared" si="1"/>
        <v>3</v>
      </c>
      <c r="H3196" s="14">
        <f t="shared" si="2"/>
        <v>14</v>
      </c>
      <c r="I3196" s="15">
        <f t="shared" si="3"/>
        <v>3</v>
      </c>
    </row>
    <row r="3197">
      <c r="A3197" s="8" t="str">
        <f>IFERROR(__xludf.DUMMYFUNCTION("IF('(INGESTA)Datos_consumo_datadis'!A3197&lt;&gt;"""",SPLIT('(INGESTA)Datos_consumo_datadis'!A:A,"",""),"""")"),"ES0031408323131005HX0F")</f>
        <v>ES0031408323131005HX0F</v>
      </c>
      <c r="B3197" s="12">
        <f>IFERROR(__xludf.DUMMYFUNCTION("""COMPUTED_VALUE"""),44999.0)</f>
        <v>44999</v>
      </c>
      <c r="C3197" s="13">
        <f>IFERROR(__xludf.DUMMYFUNCTION("""COMPUTED_VALUE"""),0.16666666666666666)</f>
        <v>0.1666666667</v>
      </c>
      <c r="D3197" s="8">
        <f>IFERROR(__xludf.DUMMYFUNCTION("""COMPUTED_VALUE"""),0.063)</f>
        <v>0.063</v>
      </c>
      <c r="E3197" s="8" t="str">
        <f>IFERROR(__xludf.DUMMYFUNCTION("""COMPUTED_VALUE"""),"Real")</f>
        <v>Real</v>
      </c>
      <c r="G3197" s="8">
        <f t="shared" si="1"/>
        <v>3</v>
      </c>
      <c r="H3197" s="14">
        <f t="shared" si="2"/>
        <v>14</v>
      </c>
      <c r="I3197" s="15">
        <f t="shared" si="3"/>
        <v>4</v>
      </c>
    </row>
    <row r="3198">
      <c r="A3198" s="8" t="str">
        <f>IFERROR(__xludf.DUMMYFUNCTION("IF('(INGESTA)Datos_consumo_datadis'!A3198&lt;&gt;"""",SPLIT('(INGESTA)Datos_consumo_datadis'!A:A,"",""),"""")"),"ES0031408323131005HX0F")</f>
        <v>ES0031408323131005HX0F</v>
      </c>
      <c r="B3198" s="12">
        <f>IFERROR(__xludf.DUMMYFUNCTION("""COMPUTED_VALUE"""),44999.0)</f>
        <v>44999</v>
      </c>
      <c r="C3198" s="13">
        <f>IFERROR(__xludf.DUMMYFUNCTION("""COMPUTED_VALUE"""),0.20833333333333334)</f>
        <v>0.2083333333</v>
      </c>
      <c r="D3198" s="8">
        <f>IFERROR(__xludf.DUMMYFUNCTION("""COMPUTED_VALUE"""),0.018)</f>
        <v>0.018</v>
      </c>
      <c r="E3198" s="8" t="str">
        <f>IFERROR(__xludf.DUMMYFUNCTION("""COMPUTED_VALUE"""),"Real")</f>
        <v>Real</v>
      </c>
      <c r="G3198" s="8">
        <f t="shared" si="1"/>
        <v>3</v>
      </c>
      <c r="H3198" s="14">
        <f t="shared" si="2"/>
        <v>14</v>
      </c>
      <c r="I3198" s="15">
        <f t="shared" si="3"/>
        <v>5</v>
      </c>
    </row>
    <row r="3199">
      <c r="A3199" s="8" t="str">
        <f>IFERROR(__xludf.DUMMYFUNCTION("IF('(INGESTA)Datos_consumo_datadis'!A3199&lt;&gt;"""",SPLIT('(INGESTA)Datos_consumo_datadis'!A:A,"",""),"""")"),"ES0031408323131005HX0F")</f>
        <v>ES0031408323131005HX0F</v>
      </c>
      <c r="B3199" s="12">
        <f>IFERROR(__xludf.DUMMYFUNCTION("""COMPUTED_VALUE"""),44999.0)</f>
        <v>44999</v>
      </c>
      <c r="C3199" s="13">
        <f>IFERROR(__xludf.DUMMYFUNCTION("""COMPUTED_VALUE"""),0.25)</f>
        <v>0.25</v>
      </c>
      <c r="D3199" s="8">
        <f>IFERROR(__xludf.DUMMYFUNCTION("""COMPUTED_VALUE"""),0.387)</f>
        <v>0.387</v>
      </c>
      <c r="E3199" s="8" t="str">
        <f>IFERROR(__xludf.DUMMYFUNCTION("""COMPUTED_VALUE"""),"Real")</f>
        <v>Real</v>
      </c>
      <c r="G3199" s="8">
        <f t="shared" si="1"/>
        <v>3</v>
      </c>
      <c r="H3199" s="14">
        <f t="shared" si="2"/>
        <v>14</v>
      </c>
      <c r="I3199" s="15">
        <f t="shared" si="3"/>
        <v>6</v>
      </c>
    </row>
    <row r="3200">
      <c r="A3200" s="8" t="str">
        <f>IFERROR(__xludf.DUMMYFUNCTION("IF('(INGESTA)Datos_consumo_datadis'!A3200&lt;&gt;"""",SPLIT('(INGESTA)Datos_consumo_datadis'!A:A,"",""),"""")"),"ES0031408323131005HX0F")</f>
        <v>ES0031408323131005HX0F</v>
      </c>
      <c r="B3200" s="12">
        <f>IFERROR(__xludf.DUMMYFUNCTION("""COMPUTED_VALUE"""),44999.0)</f>
        <v>44999</v>
      </c>
      <c r="C3200" s="13">
        <f>IFERROR(__xludf.DUMMYFUNCTION("""COMPUTED_VALUE"""),0.2916666666666667)</f>
        <v>0.2916666667</v>
      </c>
      <c r="D3200" s="8">
        <f>IFERROR(__xludf.DUMMYFUNCTION("""COMPUTED_VALUE"""),0.059)</f>
        <v>0.059</v>
      </c>
      <c r="E3200" s="8" t="str">
        <f>IFERROR(__xludf.DUMMYFUNCTION("""COMPUTED_VALUE"""),"Real")</f>
        <v>Real</v>
      </c>
      <c r="G3200" s="8">
        <f t="shared" si="1"/>
        <v>3</v>
      </c>
      <c r="H3200" s="14">
        <f t="shared" si="2"/>
        <v>14</v>
      </c>
      <c r="I3200" s="15">
        <f t="shared" si="3"/>
        <v>7</v>
      </c>
    </row>
    <row r="3201">
      <c r="A3201" s="8" t="str">
        <f>IFERROR(__xludf.DUMMYFUNCTION("IF('(INGESTA)Datos_consumo_datadis'!A3201&lt;&gt;"""",SPLIT('(INGESTA)Datos_consumo_datadis'!A:A,"",""),"""")"),"ES0031408323131005HX0F")</f>
        <v>ES0031408323131005HX0F</v>
      </c>
      <c r="B3201" s="12">
        <f>IFERROR(__xludf.DUMMYFUNCTION("""COMPUTED_VALUE"""),44999.0)</f>
        <v>44999</v>
      </c>
      <c r="C3201" s="13">
        <f>IFERROR(__xludf.DUMMYFUNCTION("""COMPUTED_VALUE"""),0.3333333333333333)</f>
        <v>0.3333333333</v>
      </c>
      <c r="D3201" s="8">
        <f>IFERROR(__xludf.DUMMYFUNCTION("""COMPUTED_VALUE"""),0.087)</f>
        <v>0.087</v>
      </c>
      <c r="E3201" s="8" t="str">
        <f>IFERROR(__xludf.DUMMYFUNCTION("""COMPUTED_VALUE"""),"Real")</f>
        <v>Real</v>
      </c>
      <c r="G3201" s="8">
        <f t="shared" si="1"/>
        <v>3</v>
      </c>
      <c r="H3201" s="14">
        <f t="shared" si="2"/>
        <v>14</v>
      </c>
      <c r="I3201" s="15">
        <f t="shared" si="3"/>
        <v>8</v>
      </c>
    </row>
    <row r="3202">
      <c r="A3202" s="8" t="str">
        <f>IFERROR(__xludf.DUMMYFUNCTION("IF('(INGESTA)Datos_consumo_datadis'!A3202&lt;&gt;"""",SPLIT('(INGESTA)Datos_consumo_datadis'!A:A,"",""),"""")"),"ES0031408323131005HX0F")</f>
        <v>ES0031408323131005HX0F</v>
      </c>
      <c r="B3202" s="12">
        <f>IFERROR(__xludf.DUMMYFUNCTION("""COMPUTED_VALUE"""),44999.0)</f>
        <v>44999</v>
      </c>
      <c r="C3202" s="13">
        <f>IFERROR(__xludf.DUMMYFUNCTION("""COMPUTED_VALUE"""),0.375)</f>
        <v>0.375</v>
      </c>
      <c r="D3202" s="8">
        <f>IFERROR(__xludf.DUMMYFUNCTION("""COMPUTED_VALUE"""),0.091)</f>
        <v>0.091</v>
      </c>
      <c r="E3202" s="8" t="str">
        <f>IFERROR(__xludf.DUMMYFUNCTION("""COMPUTED_VALUE"""),"Real")</f>
        <v>Real</v>
      </c>
      <c r="G3202" s="8">
        <f t="shared" si="1"/>
        <v>3</v>
      </c>
      <c r="H3202" s="14">
        <f t="shared" si="2"/>
        <v>14</v>
      </c>
      <c r="I3202" s="15">
        <f t="shared" si="3"/>
        <v>9</v>
      </c>
    </row>
    <row r="3203">
      <c r="A3203" s="8" t="str">
        <f>IFERROR(__xludf.DUMMYFUNCTION("IF('(INGESTA)Datos_consumo_datadis'!A3203&lt;&gt;"""",SPLIT('(INGESTA)Datos_consumo_datadis'!A:A,"",""),"""")"),"ES0031408323131005HX0F")</f>
        <v>ES0031408323131005HX0F</v>
      </c>
      <c r="B3203" s="12">
        <f>IFERROR(__xludf.DUMMYFUNCTION("""COMPUTED_VALUE"""),44999.0)</f>
        <v>44999</v>
      </c>
      <c r="C3203" s="13">
        <f>IFERROR(__xludf.DUMMYFUNCTION("""COMPUTED_VALUE"""),0.4166666666666667)</f>
        <v>0.4166666667</v>
      </c>
      <c r="D3203" s="8">
        <f>IFERROR(__xludf.DUMMYFUNCTION("""COMPUTED_VALUE"""),0.34)</f>
        <v>0.34</v>
      </c>
      <c r="E3203" s="8" t="str">
        <f>IFERROR(__xludf.DUMMYFUNCTION("""COMPUTED_VALUE"""),"Real")</f>
        <v>Real</v>
      </c>
      <c r="G3203" s="8">
        <f t="shared" si="1"/>
        <v>3</v>
      </c>
      <c r="H3203" s="14">
        <f t="shared" si="2"/>
        <v>14</v>
      </c>
      <c r="I3203" s="15">
        <f t="shared" si="3"/>
        <v>10</v>
      </c>
    </row>
    <row r="3204">
      <c r="A3204" s="8" t="str">
        <f>IFERROR(__xludf.DUMMYFUNCTION("IF('(INGESTA)Datos_consumo_datadis'!A3204&lt;&gt;"""",SPLIT('(INGESTA)Datos_consumo_datadis'!A:A,"",""),"""")"),"ES0031408323131005HX0F")</f>
        <v>ES0031408323131005HX0F</v>
      </c>
      <c r="B3204" s="12">
        <f>IFERROR(__xludf.DUMMYFUNCTION("""COMPUTED_VALUE"""),44999.0)</f>
        <v>44999</v>
      </c>
      <c r="C3204" s="13">
        <f>IFERROR(__xludf.DUMMYFUNCTION("""COMPUTED_VALUE"""),0.4583333333333333)</f>
        <v>0.4583333333</v>
      </c>
      <c r="D3204" s="8">
        <f>IFERROR(__xludf.DUMMYFUNCTION("""COMPUTED_VALUE"""),0.181)</f>
        <v>0.181</v>
      </c>
      <c r="E3204" s="8" t="str">
        <f>IFERROR(__xludf.DUMMYFUNCTION("""COMPUTED_VALUE"""),"Real")</f>
        <v>Real</v>
      </c>
      <c r="G3204" s="8">
        <f t="shared" si="1"/>
        <v>3</v>
      </c>
      <c r="H3204" s="14">
        <f t="shared" si="2"/>
        <v>14</v>
      </c>
      <c r="I3204" s="15">
        <f t="shared" si="3"/>
        <v>11</v>
      </c>
    </row>
    <row r="3205">
      <c r="A3205" s="8" t="str">
        <f>IFERROR(__xludf.DUMMYFUNCTION("IF('(INGESTA)Datos_consumo_datadis'!A3205&lt;&gt;"""",SPLIT('(INGESTA)Datos_consumo_datadis'!A:A,"",""),"""")"),"ES0031408323131005HX0F")</f>
        <v>ES0031408323131005HX0F</v>
      </c>
      <c r="B3205" s="12">
        <f>IFERROR(__xludf.DUMMYFUNCTION("""COMPUTED_VALUE"""),44999.0)</f>
        <v>44999</v>
      </c>
      <c r="C3205" s="13">
        <f>IFERROR(__xludf.DUMMYFUNCTION("""COMPUTED_VALUE"""),0.5)</f>
        <v>0.5</v>
      </c>
      <c r="D3205" s="8">
        <f>IFERROR(__xludf.DUMMYFUNCTION("""COMPUTED_VALUE"""),0.604)</f>
        <v>0.604</v>
      </c>
      <c r="E3205" s="8" t="str">
        <f>IFERROR(__xludf.DUMMYFUNCTION("""COMPUTED_VALUE"""),"Real")</f>
        <v>Real</v>
      </c>
      <c r="G3205" s="8">
        <f t="shared" si="1"/>
        <v>3</v>
      </c>
      <c r="H3205" s="14">
        <f t="shared" si="2"/>
        <v>14</v>
      </c>
      <c r="I3205" s="15">
        <f t="shared" si="3"/>
        <v>12</v>
      </c>
    </row>
    <row r="3206">
      <c r="A3206" s="8" t="str">
        <f>IFERROR(__xludf.DUMMYFUNCTION("IF('(INGESTA)Datos_consumo_datadis'!A3206&lt;&gt;"""",SPLIT('(INGESTA)Datos_consumo_datadis'!A:A,"",""),"""")"),"ES0031408323131005HX0F")</f>
        <v>ES0031408323131005HX0F</v>
      </c>
      <c r="B3206" s="12">
        <f>IFERROR(__xludf.DUMMYFUNCTION("""COMPUTED_VALUE"""),44999.0)</f>
        <v>44999</v>
      </c>
      <c r="C3206" s="13">
        <f>IFERROR(__xludf.DUMMYFUNCTION("""COMPUTED_VALUE"""),0.5416666666666666)</f>
        <v>0.5416666667</v>
      </c>
      <c r="D3206" s="8">
        <f>IFERROR(__xludf.DUMMYFUNCTION("""COMPUTED_VALUE"""),0.301)</f>
        <v>0.301</v>
      </c>
      <c r="E3206" s="8" t="str">
        <f>IFERROR(__xludf.DUMMYFUNCTION("""COMPUTED_VALUE"""),"Real")</f>
        <v>Real</v>
      </c>
      <c r="G3206" s="8">
        <f t="shared" si="1"/>
        <v>3</v>
      </c>
      <c r="H3206" s="14">
        <f t="shared" si="2"/>
        <v>14</v>
      </c>
      <c r="I3206" s="15">
        <f t="shared" si="3"/>
        <v>13</v>
      </c>
    </row>
    <row r="3207">
      <c r="A3207" s="8" t="str">
        <f>IFERROR(__xludf.DUMMYFUNCTION("IF('(INGESTA)Datos_consumo_datadis'!A3207&lt;&gt;"""",SPLIT('(INGESTA)Datos_consumo_datadis'!A:A,"",""),"""")"),"ES0031408323131005HX0F")</f>
        <v>ES0031408323131005HX0F</v>
      </c>
      <c r="B3207" s="12">
        <f>IFERROR(__xludf.DUMMYFUNCTION("""COMPUTED_VALUE"""),44999.0)</f>
        <v>44999</v>
      </c>
      <c r="C3207" s="13">
        <f>IFERROR(__xludf.DUMMYFUNCTION("""COMPUTED_VALUE"""),0.5833333333333334)</f>
        <v>0.5833333333</v>
      </c>
      <c r="D3207" s="8">
        <f>IFERROR(__xludf.DUMMYFUNCTION("""COMPUTED_VALUE"""),0.895)</f>
        <v>0.895</v>
      </c>
      <c r="E3207" s="8" t="str">
        <f>IFERROR(__xludf.DUMMYFUNCTION("""COMPUTED_VALUE"""),"Real")</f>
        <v>Real</v>
      </c>
      <c r="G3207" s="8">
        <f t="shared" si="1"/>
        <v>3</v>
      </c>
      <c r="H3207" s="14">
        <f t="shared" si="2"/>
        <v>14</v>
      </c>
      <c r="I3207" s="15">
        <f t="shared" si="3"/>
        <v>14</v>
      </c>
    </row>
    <row r="3208">
      <c r="A3208" s="8" t="str">
        <f>IFERROR(__xludf.DUMMYFUNCTION("IF('(INGESTA)Datos_consumo_datadis'!A3208&lt;&gt;"""",SPLIT('(INGESTA)Datos_consumo_datadis'!A:A,"",""),"""")"),"ES0031408323131005HX0F")</f>
        <v>ES0031408323131005HX0F</v>
      </c>
      <c r="B3208" s="12">
        <f>IFERROR(__xludf.DUMMYFUNCTION("""COMPUTED_VALUE"""),44999.0)</f>
        <v>44999</v>
      </c>
      <c r="C3208" s="13">
        <f>IFERROR(__xludf.DUMMYFUNCTION("""COMPUTED_VALUE"""),0.625)</f>
        <v>0.625</v>
      </c>
      <c r="D3208" s="8">
        <f>IFERROR(__xludf.DUMMYFUNCTION("""COMPUTED_VALUE"""),0.536)</f>
        <v>0.536</v>
      </c>
      <c r="E3208" s="8" t="str">
        <f>IFERROR(__xludf.DUMMYFUNCTION("""COMPUTED_VALUE"""),"Real")</f>
        <v>Real</v>
      </c>
      <c r="G3208" s="8">
        <f t="shared" si="1"/>
        <v>3</v>
      </c>
      <c r="H3208" s="14">
        <f t="shared" si="2"/>
        <v>14</v>
      </c>
      <c r="I3208" s="15">
        <f t="shared" si="3"/>
        <v>15</v>
      </c>
    </row>
    <row r="3209">
      <c r="A3209" s="8" t="str">
        <f>IFERROR(__xludf.DUMMYFUNCTION("IF('(INGESTA)Datos_consumo_datadis'!A3209&lt;&gt;"""",SPLIT('(INGESTA)Datos_consumo_datadis'!A:A,"",""),"""")"),"ES0031408323131005HX0F")</f>
        <v>ES0031408323131005HX0F</v>
      </c>
      <c r="B3209" s="12">
        <f>IFERROR(__xludf.DUMMYFUNCTION("""COMPUTED_VALUE"""),44999.0)</f>
        <v>44999</v>
      </c>
      <c r="C3209" s="13">
        <f>IFERROR(__xludf.DUMMYFUNCTION("""COMPUTED_VALUE"""),0.6666666666666666)</f>
        <v>0.6666666667</v>
      </c>
      <c r="D3209" s="8">
        <f>IFERROR(__xludf.DUMMYFUNCTION("""COMPUTED_VALUE"""),0.116)</f>
        <v>0.116</v>
      </c>
      <c r="E3209" s="8" t="str">
        <f>IFERROR(__xludf.DUMMYFUNCTION("""COMPUTED_VALUE"""),"Real")</f>
        <v>Real</v>
      </c>
      <c r="G3209" s="8">
        <f t="shared" si="1"/>
        <v>3</v>
      </c>
      <c r="H3209" s="14">
        <f t="shared" si="2"/>
        <v>14</v>
      </c>
      <c r="I3209" s="15">
        <f t="shared" si="3"/>
        <v>16</v>
      </c>
    </row>
    <row r="3210">
      <c r="A3210" s="8" t="str">
        <f>IFERROR(__xludf.DUMMYFUNCTION("IF('(INGESTA)Datos_consumo_datadis'!A3210&lt;&gt;"""",SPLIT('(INGESTA)Datos_consumo_datadis'!A:A,"",""),"""")"),"ES0031408323131005HX0F")</f>
        <v>ES0031408323131005HX0F</v>
      </c>
      <c r="B3210" s="12">
        <f>IFERROR(__xludf.DUMMYFUNCTION("""COMPUTED_VALUE"""),44999.0)</f>
        <v>44999</v>
      </c>
      <c r="C3210" s="13">
        <f>IFERROR(__xludf.DUMMYFUNCTION("""COMPUTED_VALUE"""),0.7083333333333334)</f>
        <v>0.7083333333</v>
      </c>
      <c r="D3210" s="8">
        <f>IFERROR(__xludf.DUMMYFUNCTION("""COMPUTED_VALUE"""),0.062)</f>
        <v>0.062</v>
      </c>
      <c r="E3210" s="8" t="str">
        <f>IFERROR(__xludf.DUMMYFUNCTION("""COMPUTED_VALUE"""),"Real")</f>
        <v>Real</v>
      </c>
      <c r="G3210" s="8">
        <f t="shared" si="1"/>
        <v>3</v>
      </c>
      <c r="H3210" s="14">
        <f t="shared" si="2"/>
        <v>14</v>
      </c>
      <c r="I3210" s="15">
        <f t="shared" si="3"/>
        <v>17</v>
      </c>
    </row>
    <row r="3211">
      <c r="A3211" s="8" t="str">
        <f>IFERROR(__xludf.DUMMYFUNCTION("IF('(INGESTA)Datos_consumo_datadis'!A3211&lt;&gt;"""",SPLIT('(INGESTA)Datos_consumo_datadis'!A:A,"",""),"""")"),"ES0031408323131005HX0F")</f>
        <v>ES0031408323131005HX0F</v>
      </c>
      <c r="B3211" s="12">
        <f>IFERROR(__xludf.DUMMYFUNCTION("""COMPUTED_VALUE"""),44999.0)</f>
        <v>44999</v>
      </c>
      <c r="C3211" s="13">
        <f>IFERROR(__xludf.DUMMYFUNCTION("""COMPUTED_VALUE"""),0.75)</f>
        <v>0.75</v>
      </c>
      <c r="D3211" s="8">
        <f>IFERROR(__xludf.DUMMYFUNCTION("""COMPUTED_VALUE"""),0.065)</f>
        <v>0.065</v>
      </c>
      <c r="E3211" s="8" t="str">
        <f>IFERROR(__xludf.DUMMYFUNCTION("""COMPUTED_VALUE"""),"Real")</f>
        <v>Real</v>
      </c>
      <c r="G3211" s="8">
        <f t="shared" si="1"/>
        <v>3</v>
      </c>
      <c r="H3211" s="14">
        <f t="shared" si="2"/>
        <v>14</v>
      </c>
      <c r="I3211" s="15">
        <f t="shared" si="3"/>
        <v>18</v>
      </c>
    </row>
    <row r="3212">
      <c r="A3212" s="8" t="str">
        <f>IFERROR(__xludf.DUMMYFUNCTION("IF('(INGESTA)Datos_consumo_datadis'!A3212&lt;&gt;"""",SPLIT('(INGESTA)Datos_consumo_datadis'!A:A,"",""),"""")"),"ES0031408323131005HX0F")</f>
        <v>ES0031408323131005HX0F</v>
      </c>
      <c r="B3212" s="12">
        <f>IFERROR(__xludf.DUMMYFUNCTION("""COMPUTED_VALUE"""),44999.0)</f>
        <v>44999</v>
      </c>
      <c r="C3212" s="13">
        <f>IFERROR(__xludf.DUMMYFUNCTION("""COMPUTED_VALUE"""),0.7916666666666666)</f>
        <v>0.7916666667</v>
      </c>
      <c r="D3212" s="8">
        <f>IFERROR(__xludf.DUMMYFUNCTION("""COMPUTED_VALUE"""),0.291)</f>
        <v>0.291</v>
      </c>
      <c r="E3212" s="8" t="str">
        <f>IFERROR(__xludf.DUMMYFUNCTION("""COMPUTED_VALUE"""),"Real")</f>
        <v>Real</v>
      </c>
      <c r="G3212" s="8">
        <f t="shared" si="1"/>
        <v>3</v>
      </c>
      <c r="H3212" s="14">
        <f t="shared" si="2"/>
        <v>14</v>
      </c>
      <c r="I3212" s="15">
        <f t="shared" si="3"/>
        <v>19</v>
      </c>
    </row>
    <row r="3213">
      <c r="A3213" s="8" t="str">
        <f>IFERROR(__xludf.DUMMYFUNCTION("IF('(INGESTA)Datos_consumo_datadis'!A3213&lt;&gt;"""",SPLIT('(INGESTA)Datos_consumo_datadis'!A:A,"",""),"""")"),"ES0031408323131005HX0F")</f>
        <v>ES0031408323131005HX0F</v>
      </c>
      <c r="B3213" s="12">
        <f>IFERROR(__xludf.DUMMYFUNCTION("""COMPUTED_VALUE"""),44999.0)</f>
        <v>44999</v>
      </c>
      <c r="C3213" s="13">
        <f>IFERROR(__xludf.DUMMYFUNCTION("""COMPUTED_VALUE"""),0.8333333333333334)</f>
        <v>0.8333333333</v>
      </c>
      <c r="D3213" s="8">
        <f>IFERROR(__xludf.DUMMYFUNCTION("""COMPUTED_VALUE"""),0.106)</f>
        <v>0.106</v>
      </c>
      <c r="E3213" s="8" t="str">
        <f>IFERROR(__xludf.DUMMYFUNCTION("""COMPUTED_VALUE"""),"Real")</f>
        <v>Real</v>
      </c>
      <c r="G3213" s="8">
        <f t="shared" si="1"/>
        <v>3</v>
      </c>
      <c r="H3213" s="14">
        <f t="shared" si="2"/>
        <v>14</v>
      </c>
      <c r="I3213" s="15">
        <f t="shared" si="3"/>
        <v>20</v>
      </c>
    </row>
    <row r="3214">
      <c r="A3214" s="8" t="str">
        <f>IFERROR(__xludf.DUMMYFUNCTION("IF('(INGESTA)Datos_consumo_datadis'!A3214&lt;&gt;"""",SPLIT('(INGESTA)Datos_consumo_datadis'!A:A,"",""),"""")"),"ES0031408323131005HX0F")</f>
        <v>ES0031408323131005HX0F</v>
      </c>
      <c r="B3214" s="12">
        <f>IFERROR(__xludf.DUMMYFUNCTION("""COMPUTED_VALUE"""),44999.0)</f>
        <v>44999</v>
      </c>
      <c r="C3214" s="13">
        <f>IFERROR(__xludf.DUMMYFUNCTION("""COMPUTED_VALUE"""),0.875)</f>
        <v>0.875</v>
      </c>
      <c r="D3214" s="8">
        <f>IFERROR(__xludf.DUMMYFUNCTION("""COMPUTED_VALUE"""),0.107)</f>
        <v>0.107</v>
      </c>
      <c r="E3214" s="8" t="str">
        <f>IFERROR(__xludf.DUMMYFUNCTION("""COMPUTED_VALUE"""),"Real")</f>
        <v>Real</v>
      </c>
      <c r="G3214" s="8">
        <f t="shared" si="1"/>
        <v>3</v>
      </c>
      <c r="H3214" s="14">
        <f t="shared" si="2"/>
        <v>14</v>
      </c>
      <c r="I3214" s="15">
        <f t="shared" si="3"/>
        <v>21</v>
      </c>
    </row>
    <row r="3215">
      <c r="A3215" s="8" t="str">
        <f>IFERROR(__xludf.DUMMYFUNCTION("IF('(INGESTA)Datos_consumo_datadis'!A3215&lt;&gt;"""",SPLIT('(INGESTA)Datos_consumo_datadis'!A:A,"",""),"""")"),"ES0031408323131005HX0F")</f>
        <v>ES0031408323131005HX0F</v>
      </c>
      <c r="B3215" s="12">
        <f>IFERROR(__xludf.DUMMYFUNCTION("""COMPUTED_VALUE"""),44999.0)</f>
        <v>44999</v>
      </c>
      <c r="C3215" s="13">
        <f>IFERROR(__xludf.DUMMYFUNCTION("""COMPUTED_VALUE"""),0.9166666666666666)</f>
        <v>0.9166666667</v>
      </c>
      <c r="D3215" s="8">
        <f>IFERROR(__xludf.DUMMYFUNCTION("""COMPUTED_VALUE"""),1.094)</f>
        <v>1.094</v>
      </c>
      <c r="E3215" s="8" t="str">
        <f>IFERROR(__xludf.DUMMYFUNCTION("""COMPUTED_VALUE"""),"Real")</f>
        <v>Real</v>
      </c>
      <c r="G3215" s="8">
        <f t="shared" si="1"/>
        <v>3</v>
      </c>
      <c r="H3215" s="14">
        <f t="shared" si="2"/>
        <v>14</v>
      </c>
      <c r="I3215" s="15">
        <f t="shared" si="3"/>
        <v>22</v>
      </c>
    </row>
    <row r="3216">
      <c r="A3216" s="8" t="str">
        <f>IFERROR(__xludf.DUMMYFUNCTION("IF('(INGESTA)Datos_consumo_datadis'!A3216&lt;&gt;"""",SPLIT('(INGESTA)Datos_consumo_datadis'!A:A,"",""),"""")"),"ES0031408323131005HX0F")</f>
        <v>ES0031408323131005HX0F</v>
      </c>
      <c r="B3216" s="12">
        <f>IFERROR(__xludf.DUMMYFUNCTION("""COMPUTED_VALUE"""),44999.0)</f>
        <v>44999</v>
      </c>
      <c r="C3216" s="13">
        <f>IFERROR(__xludf.DUMMYFUNCTION("""COMPUTED_VALUE"""),0.9583333333333334)</f>
        <v>0.9583333333</v>
      </c>
      <c r="D3216" s="8">
        <f>IFERROR(__xludf.DUMMYFUNCTION("""COMPUTED_VALUE"""),0.152)</f>
        <v>0.152</v>
      </c>
      <c r="E3216" s="8" t="str">
        <f>IFERROR(__xludf.DUMMYFUNCTION("""COMPUTED_VALUE"""),"Real")</f>
        <v>Real</v>
      </c>
      <c r="G3216" s="8">
        <f t="shared" si="1"/>
        <v>3</v>
      </c>
      <c r="H3216" s="14">
        <f t="shared" si="2"/>
        <v>14</v>
      </c>
      <c r="I3216" s="15">
        <f t="shared" si="3"/>
        <v>23</v>
      </c>
    </row>
    <row r="3217">
      <c r="A3217" s="8" t="str">
        <f>IFERROR(__xludf.DUMMYFUNCTION("IF('(INGESTA)Datos_consumo_datadis'!A3217&lt;&gt;"""",SPLIT('(INGESTA)Datos_consumo_datadis'!A:A,"",""),"""")"),"ES0031408323131005HX0F")</f>
        <v>ES0031408323131005HX0F</v>
      </c>
      <c r="B3217" s="12">
        <f>IFERROR(__xludf.DUMMYFUNCTION("""COMPUTED_VALUE"""),44999.0)</f>
        <v>44999</v>
      </c>
      <c r="C3217" s="16">
        <f>IFERROR(__xludf.DUMMYFUNCTION("""COMPUTED_VALUE"""),1.0)</f>
        <v>1</v>
      </c>
      <c r="D3217" s="8">
        <f>IFERROR(__xludf.DUMMYFUNCTION("""COMPUTED_VALUE"""),0.681)</f>
        <v>0.681</v>
      </c>
      <c r="E3217" s="8" t="str">
        <f>IFERROR(__xludf.DUMMYFUNCTION("""COMPUTED_VALUE"""),"Real")</f>
        <v>Real</v>
      </c>
      <c r="G3217" s="8">
        <f t="shared" si="1"/>
        <v>3</v>
      </c>
      <c r="H3217" s="14">
        <f t="shared" si="2"/>
        <v>14</v>
      </c>
      <c r="I3217" s="15">
        <f t="shared" si="3"/>
        <v>0</v>
      </c>
    </row>
    <row r="3218">
      <c r="A3218" s="8" t="str">
        <f>IFERROR(__xludf.DUMMYFUNCTION("IF('(INGESTA)Datos_consumo_datadis'!A3218&lt;&gt;"""",SPLIT('(INGESTA)Datos_consumo_datadis'!A:A,"",""),"""")"),"ES0031408323131005HX0F")</f>
        <v>ES0031408323131005HX0F</v>
      </c>
      <c r="B3218" s="12">
        <f>IFERROR(__xludf.DUMMYFUNCTION("""COMPUTED_VALUE"""),45000.0)</f>
        <v>45000</v>
      </c>
      <c r="C3218" s="13">
        <f>IFERROR(__xludf.DUMMYFUNCTION("""COMPUTED_VALUE"""),0.041666666666666664)</f>
        <v>0.04166666667</v>
      </c>
      <c r="D3218" s="8">
        <f>IFERROR(__xludf.DUMMYFUNCTION("""COMPUTED_VALUE"""),0.204)</f>
        <v>0.204</v>
      </c>
      <c r="E3218" s="8" t="str">
        <f>IFERROR(__xludf.DUMMYFUNCTION("""COMPUTED_VALUE"""),"Real")</f>
        <v>Real</v>
      </c>
      <c r="G3218" s="8">
        <f t="shared" si="1"/>
        <v>3</v>
      </c>
      <c r="H3218" s="14">
        <f t="shared" si="2"/>
        <v>15</v>
      </c>
      <c r="I3218" s="15">
        <f t="shared" si="3"/>
        <v>1</v>
      </c>
    </row>
    <row r="3219">
      <c r="A3219" s="8" t="str">
        <f>IFERROR(__xludf.DUMMYFUNCTION("IF('(INGESTA)Datos_consumo_datadis'!A3219&lt;&gt;"""",SPLIT('(INGESTA)Datos_consumo_datadis'!A:A,"",""),"""")"),"ES0031408323131005HX0F")</f>
        <v>ES0031408323131005HX0F</v>
      </c>
      <c r="B3219" s="12">
        <f>IFERROR(__xludf.DUMMYFUNCTION("""COMPUTED_VALUE"""),45000.0)</f>
        <v>45000</v>
      </c>
      <c r="C3219" s="13">
        <f>IFERROR(__xludf.DUMMYFUNCTION("""COMPUTED_VALUE"""),0.08333333333333333)</f>
        <v>0.08333333333</v>
      </c>
      <c r="D3219" s="8">
        <f>IFERROR(__xludf.DUMMYFUNCTION("""COMPUTED_VALUE"""),0.371)</f>
        <v>0.371</v>
      </c>
      <c r="E3219" s="8" t="str">
        <f>IFERROR(__xludf.DUMMYFUNCTION("""COMPUTED_VALUE"""),"Real")</f>
        <v>Real</v>
      </c>
      <c r="G3219" s="8">
        <f t="shared" si="1"/>
        <v>3</v>
      </c>
      <c r="H3219" s="14">
        <f t="shared" si="2"/>
        <v>15</v>
      </c>
      <c r="I3219" s="15">
        <f t="shared" si="3"/>
        <v>2</v>
      </c>
    </row>
    <row r="3220">
      <c r="A3220" s="8" t="str">
        <f>IFERROR(__xludf.DUMMYFUNCTION("IF('(INGESTA)Datos_consumo_datadis'!A3220&lt;&gt;"""",SPLIT('(INGESTA)Datos_consumo_datadis'!A:A,"",""),"""")"),"ES0031408323131005HX0F")</f>
        <v>ES0031408323131005HX0F</v>
      </c>
      <c r="B3220" s="12">
        <f>IFERROR(__xludf.DUMMYFUNCTION("""COMPUTED_VALUE"""),45000.0)</f>
        <v>45000</v>
      </c>
      <c r="C3220" s="13">
        <f>IFERROR(__xludf.DUMMYFUNCTION("""COMPUTED_VALUE"""),0.125)</f>
        <v>0.125</v>
      </c>
      <c r="D3220" s="8">
        <f>IFERROR(__xludf.DUMMYFUNCTION("""COMPUTED_VALUE"""),0.058)</f>
        <v>0.058</v>
      </c>
      <c r="E3220" s="8" t="str">
        <f>IFERROR(__xludf.DUMMYFUNCTION("""COMPUTED_VALUE"""),"Real")</f>
        <v>Real</v>
      </c>
      <c r="G3220" s="8">
        <f t="shared" si="1"/>
        <v>3</v>
      </c>
      <c r="H3220" s="14">
        <f t="shared" si="2"/>
        <v>15</v>
      </c>
      <c r="I3220" s="15">
        <f t="shared" si="3"/>
        <v>3</v>
      </c>
    </row>
    <row r="3221">
      <c r="A3221" s="8" t="str">
        <f>IFERROR(__xludf.DUMMYFUNCTION("IF('(INGESTA)Datos_consumo_datadis'!A3221&lt;&gt;"""",SPLIT('(INGESTA)Datos_consumo_datadis'!A:A,"",""),"""")"),"ES0031408323131005HX0F")</f>
        <v>ES0031408323131005HX0F</v>
      </c>
      <c r="B3221" s="12">
        <f>IFERROR(__xludf.DUMMYFUNCTION("""COMPUTED_VALUE"""),45000.0)</f>
        <v>45000</v>
      </c>
      <c r="C3221" s="13">
        <f>IFERROR(__xludf.DUMMYFUNCTION("""COMPUTED_VALUE"""),0.16666666666666666)</f>
        <v>0.1666666667</v>
      </c>
      <c r="D3221" s="8">
        <f>IFERROR(__xludf.DUMMYFUNCTION("""COMPUTED_VALUE"""),0.04)</f>
        <v>0.04</v>
      </c>
      <c r="E3221" s="8" t="str">
        <f>IFERROR(__xludf.DUMMYFUNCTION("""COMPUTED_VALUE"""),"Real")</f>
        <v>Real</v>
      </c>
      <c r="G3221" s="8">
        <f t="shared" si="1"/>
        <v>3</v>
      </c>
      <c r="H3221" s="14">
        <f t="shared" si="2"/>
        <v>15</v>
      </c>
      <c r="I3221" s="15">
        <f t="shared" si="3"/>
        <v>4</v>
      </c>
    </row>
    <row r="3222">
      <c r="A3222" s="8" t="str">
        <f>IFERROR(__xludf.DUMMYFUNCTION("IF('(INGESTA)Datos_consumo_datadis'!A3222&lt;&gt;"""",SPLIT('(INGESTA)Datos_consumo_datadis'!A:A,"",""),"""")"),"ES0031408323131005HX0F")</f>
        <v>ES0031408323131005HX0F</v>
      </c>
      <c r="B3222" s="12">
        <f>IFERROR(__xludf.DUMMYFUNCTION("""COMPUTED_VALUE"""),45000.0)</f>
        <v>45000</v>
      </c>
      <c r="C3222" s="13">
        <f>IFERROR(__xludf.DUMMYFUNCTION("""COMPUTED_VALUE"""),0.20833333333333334)</f>
        <v>0.2083333333</v>
      </c>
      <c r="D3222" s="8">
        <f>IFERROR(__xludf.DUMMYFUNCTION("""COMPUTED_VALUE"""),0.097)</f>
        <v>0.097</v>
      </c>
      <c r="E3222" s="8" t="str">
        <f>IFERROR(__xludf.DUMMYFUNCTION("""COMPUTED_VALUE"""),"Real")</f>
        <v>Real</v>
      </c>
      <c r="G3222" s="8">
        <f t="shared" si="1"/>
        <v>3</v>
      </c>
      <c r="H3222" s="14">
        <f t="shared" si="2"/>
        <v>15</v>
      </c>
      <c r="I3222" s="15">
        <f t="shared" si="3"/>
        <v>5</v>
      </c>
    </row>
    <row r="3223">
      <c r="A3223" s="8" t="str">
        <f>IFERROR(__xludf.DUMMYFUNCTION("IF('(INGESTA)Datos_consumo_datadis'!A3223&lt;&gt;"""",SPLIT('(INGESTA)Datos_consumo_datadis'!A:A,"",""),"""")"),"ES0031408323131005HX0F")</f>
        <v>ES0031408323131005HX0F</v>
      </c>
      <c r="B3223" s="12">
        <f>IFERROR(__xludf.DUMMYFUNCTION("""COMPUTED_VALUE"""),45000.0)</f>
        <v>45000</v>
      </c>
      <c r="C3223" s="13">
        <f>IFERROR(__xludf.DUMMYFUNCTION("""COMPUTED_VALUE"""),0.25)</f>
        <v>0.25</v>
      </c>
      <c r="D3223" s="8">
        <f>IFERROR(__xludf.DUMMYFUNCTION("""COMPUTED_VALUE"""),0.06)</f>
        <v>0.06</v>
      </c>
      <c r="E3223" s="8" t="str">
        <f>IFERROR(__xludf.DUMMYFUNCTION("""COMPUTED_VALUE"""),"Real")</f>
        <v>Real</v>
      </c>
      <c r="G3223" s="8">
        <f t="shared" si="1"/>
        <v>3</v>
      </c>
      <c r="H3223" s="14">
        <f t="shared" si="2"/>
        <v>15</v>
      </c>
      <c r="I3223" s="15">
        <f t="shared" si="3"/>
        <v>6</v>
      </c>
    </row>
    <row r="3224">
      <c r="A3224" s="8" t="str">
        <f>IFERROR(__xludf.DUMMYFUNCTION("IF('(INGESTA)Datos_consumo_datadis'!A3224&lt;&gt;"""",SPLIT('(INGESTA)Datos_consumo_datadis'!A:A,"",""),"""")"),"ES0031408323131005HX0F")</f>
        <v>ES0031408323131005HX0F</v>
      </c>
      <c r="B3224" s="12">
        <f>IFERROR(__xludf.DUMMYFUNCTION("""COMPUTED_VALUE"""),45000.0)</f>
        <v>45000</v>
      </c>
      <c r="C3224" s="13">
        <f>IFERROR(__xludf.DUMMYFUNCTION("""COMPUTED_VALUE"""),0.2916666666666667)</f>
        <v>0.2916666667</v>
      </c>
      <c r="D3224" s="8">
        <f>IFERROR(__xludf.DUMMYFUNCTION("""COMPUTED_VALUE"""),0.32)</f>
        <v>0.32</v>
      </c>
      <c r="E3224" s="8" t="str">
        <f>IFERROR(__xludf.DUMMYFUNCTION("""COMPUTED_VALUE"""),"Real")</f>
        <v>Real</v>
      </c>
      <c r="G3224" s="8">
        <f t="shared" si="1"/>
        <v>3</v>
      </c>
      <c r="H3224" s="14">
        <f t="shared" si="2"/>
        <v>15</v>
      </c>
      <c r="I3224" s="15">
        <f t="shared" si="3"/>
        <v>7</v>
      </c>
    </row>
    <row r="3225">
      <c r="A3225" s="8" t="str">
        <f>IFERROR(__xludf.DUMMYFUNCTION("IF('(INGESTA)Datos_consumo_datadis'!A3225&lt;&gt;"""",SPLIT('(INGESTA)Datos_consumo_datadis'!A:A,"",""),"""")"),"ES0031408323131005HX0F")</f>
        <v>ES0031408323131005HX0F</v>
      </c>
      <c r="B3225" s="12">
        <f>IFERROR(__xludf.DUMMYFUNCTION("""COMPUTED_VALUE"""),45000.0)</f>
        <v>45000</v>
      </c>
      <c r="C3225" s="13">
        <f>IFERROR(__xludf.DUMMYFUNCTION("""COMPUTED_VALUE"""),0.3333333333333333)</f>
        <v>0.3333333333</v>
      </c>
      <c r="D3225" s="8">
        <f>IFERROR(__xludf.DUMMYFUNCTION("""COMPUTED_VALUE"""),0.049)</f>
        <v>0.049</v>
      </c>
      <c r="E3225" s="8" t="str">
        <f>IFERROR(__xludf.DUMMYFUNCTION("""COMPUTED_VALUE"""),"Real")</f>
        <v>Real</v>
      </c>
      <c r="G3225" s="8">
        <f t="shared" si="1"/>
        <v>3</v>
      </c>
      <c r="H3225" s="14">
        <f t="shared" si="2"/>
        <v>15</v>
      </c>
      <c r="I3225" s="15">
        <f t="shared" si="3"/>
        <v>8</v>
      </c>
    </row>
    <row r="3226">
      <c r="A3226" s="8" t="str">
        <f>IFERROR(__xludf.DUMMYFUNCTION("IF('(INGESTA)Datos_consumo_datadis'!A3226&lt;&gt;"""",SPLIT('(INGESTA)Datos_consumo_datadis'!A:A,"",""),"""")"),"ES0031408323131005HX0F")</f>
        <v>ES0031408323131005HX0F</v>
      </c>
      <c r="B3226" s="12">
        <f>IFERROR(__xludf.DUMMYFUNCTION("""COMPUTED_VALUE"""),45000.0)</f>
        <v>45000</v>
      </c>
      <c r="C3226" s="13">
        <f>IFERROR(__xludf.DUMMYFUNCTION("""COMPUTED_VALUE"""),0.375)</f>
        <v>0.375</v>
      </c>
      <c r="D3226" s="8">
        <f>IFERROR(__xludf.DUMMYFUNCTION("""COMPUTED_VALUE"""),0.097)</f>
        <v>0.097</v>
      </c>
      <c r="E3226" s="8" t="str">
        <f>IFERROR(__xludf.DUMMYFUNCTION("""COMPUTED_VALUE"""),"Real")</f>
        <v>Real</v>
      </c>
      <c r="G3226" s="8">
        <f t="shared" si="1"/>
        <v>3</v>
      </c>
      <c r="H3226" s="14">
        <f t="shared" si="2"/>
        <v>15</v>
      </c>
      <c r="I3226" s="15">
        <f t="shared" si="3"/>
        <v>9</v>
      </c>
    </row>
    <row r="3227">
      <c r="A3227" s="8" t="str">
        <f>IFERROR(__xludf.DUMMYFUNCTION("IF('(INGESTA)Datos_consumo_datadis'!A3227&lt;&gt;"""",SPLIT('(INGESTA)Datos_consumo_datadis'!A:A,"",""),"""")"),"ES0031408323131005HX0F")</f>
        <v>ES0031408323131005HX0F</v>
      </c>
      <c r="B3227" s="12">
        <f>IFERROR(__xludf.DUMMYFUNCTION("""COMPUTED_VALUE"""),45000.0)</f>
        <v>45000</v>
      </c>
      <c r="C3227" s="13">
        <f>IFERROR(__xludf.DUMMYFUNCTION("""COMPUTED_VALUE"""),0.4166666666666667)</f>
        <v>0.4166666667</v>
      </c>
      <c r="D3227" s="8">
        <f>IFERROR(__xludf.DUMMYFUNCTION("""COMPUTED_VALUE"""),1.848)</f>
        <v>1.848</v>
      </c>
      <c r="E3227" s="8" t="str">
        <f>IFERROR(__xludf.DUMMYFUNCTION("""COMPUTED_VALUE"""),"Real")</f>
        <v>Real</v>
      </c>
      <c r="G3227" s="8">
        <f t="shared" si="1"/>
        <v>3</v>
      </c>
      <c r="H3227" s="14">
        <f t="shared" si="2"/>
        <v>15</v>
      </c>
      <c r="I3227" s="15">
        <f t="shared" si="3"/>
        <v>10</v>
      </c>
    </row>
    <row r="3228">
      <c r="A3228" s="8" t="str">
        <f>IFERROR(__xludf.DUMMYFUNCTION("IF('(INGESTA)Datos_consumo_datadis'!A3228&lt;&gt;"""",SPLIT('(INGESTA)Datos_consumo_datadis'!A:A,"",""),"""")"),"ES0031408323131005HX0F")</f>
        <v>ES0031408323131005HX0F</v>
      </c>
      <c r="B3228" s="12">
        <f>IFERROR(__xludf.DUMMYFUNCTION("""COMPUTED_VALUE"""),45000.0)</f>
        <v>45000</v>
      </c>
      <c r="C3228" s="13">
        <f>IFERROR(__xludf.DUMMYFUNCTION("""COMPUTED_VALUE"""),0.4583333333333333)</f>
        <v>0.4583333333</v>
      </c>
      <c r="D3228" s="8">
        <f>IFERROR(__xludf.DUMMYFUNCTION("""COMPUTED_VALUE"""),0.026)</f>
        <v>0.026</v>
      </c>
      <c r="E3228" s="8" t="str">
        <f>IFERROR(__xludf.DUMMYFUNCTION("""COMPUTED_VALUE"""),"Real")</f>
        <v>Real</v>
      </c>
      <c r="G3228" s="8">
        <f t="shared" si="1"/>
        <v>3</v>
      </c>
      <c r="H3228" s="14">
        <f t="shared" si="2"/>
        <v>15</v>
      </c>
      <c r="I3228" s="15">
        <f t="shared" si="3"/>
        <v>11</v>
      </c>
    </row>
    <row r="3229">
      <c r="A3229" s="8" t="str">
        <f>IFERROR(__xludf.DUMMYFUNCTION("IF('(INGESTA)Datos_consumo_datadis'!A3229&lt;&gt;"""",SPLIT('(INGESTA)Datos_consumo_datadis'!A:A,"",""),"""")"),"ES0031408323131005HX0F")</f>
        <v>ES0031408323131005HX0F</v>
      </c>
      <c r="B3229" s="12">
        <f>IFERROR(__xludf.DUMMYFUNCTION("""COMPUTED_VALUE"""),45000.0)</f>
        <v>45000</v>
      </c>
      <c r="C3229" s="13">
        <f>IFERROR(__xludf.DUMMYFUNCTION("""COMPUTED_VALUE"""),0.5)</f>
        <v>0.5</v>
      </c>
      <c r="D3229" s="8">
        <f>IFERROR(__xludf.DUMMYFUNCTION("""COMPUTED_VALUE"""),0.074)</f>
        <v>0.074</v>
      </c>
      <c r="E3229" s="8" t="str">
        <f>IFERROR(__xludf.DUMMYFUNCTION("""COMPUTED_VALUE"""),"Real")</f>
        <v>Real</v>
      </c>
      <c r="G3229" s="8">
        <f t="shared" si="1"/>
        <v>3</v>
      </c>
      <c r="H3229" s="14">
        <f t="shared" si="2"/>
        <v>15</v>
      </c>
      <c r="I3229" s="15">
        <f t="shared" si="3"/>
        <v>12</v>
      </c>
    </row>
    <row r="3230">
      <c r="A3230" s="8" t="str">
        <f>IFERROR(__xludf.DUMMYFUNCTION("IF('(INGESTA)Datos_consumo_datadis'!A3230&lt;&gt;"""",SPLIT('(INGESTA)Datos_consumo_datadis'!A:A,"",""),"""")"),"ES0031408323131005HX0F")</f>
        <v>ES0031408323131005HX0F</v>
      </c>
      <c r="B3230" s="12">
        <f>IFERROR(__xludf.DUMMYFUNCTION("""COMPUTED_VALUE"""),45000.0)</f>
        <v>45000</v>
      </c>
      <c r="C3230" s="13">
        <f>IFERROR(__xludf.DUMMYFUNCTION("""COMPUTED_VALUE"""),0.5416666666666666)</f>
        <v>0.5416666667</v>
      </c>
      <c r="D3230" s="8">
        <f>IFERROR(__xludf.DUMMYFUNCTION("""COMPUTED_VALUE"""),0.514)</f>
        <v>0.514</v>
      </c>
      <c r="E3230" s="8" t="str">
        <f>IFERROR(__xludf.DUMMYFUNCTION("""COMPUTED_VALUE"""),"Real")</f>
        <v>Real</v>
      </c>
      <c r="G3230" s="8">
        <f t="shared" si="1"/>
        <v>3</v>
      </c>
      <c r="H3230" s="14">
        <f t="shared" si="2"/>
        <v>15</v>
      </c>
      <c r="I3230" s="15">
        <f t="shared" si="3"/>
        <v>13</v>
      </c>
    </row>
    <row r="3231">
      <c r="A3231" s="8" t="str">
        <f>IFERROR(__xludf.DUMMYFUNCTION("IF('(INGESTA)Datos_consumo_datadis'!A3231&lt;&gt;"""",SPLIT('(INGESTA)Datos_consumo_datadis'!A:A,"",""),"""")"),"ES0031408323131005HX0F")</f>
        <v>ES0031408323131005HX0F</v>
      </c>
      <c r="B3231" s="12">
        <f>IFERROR(__xludf.DUMMYFUNCTION("""COMPUTED_VALUE"""),45000.0)</f>
        <v>45000</v>
      </c>
      <c r="C3231" s="13">
        <f>IFERROR(__xludf.DUMMYFUNCTION("""COMPUTED_VALUE"""),0.5833333333333334)</f>
        <v>0.5833333333</v>
      </c>
      <c r="D3231" s="8">
        <f>IFERROR(__xludf.DUMMYFUNCTION("""COMPUTED_VALUE"""),1.27)</f>
        <v>1.27</v>
      </c>
      <c r="E3231" s="8" t="str">
        <f>IFERROR(__xludf.DUMMYFUNCTION("""COMPUTED_VALUE"""),"Real")</f>
        <v>Real</v>
      </c>
      <c r="G3231" s="8">
        <f t="shared" si="1"/>
        <v>3</v>
      </c>
      <c r="H3231" s="14">
        <f t="shared" si="2"/>
        <v>15</v>
      </c>
      <c r="I3231" s="15">
        <f t="shared" si="3"/>
        <v>14</v>
      </c>
    </row>
    <row r="3232">
      <c r="A3232" s="8" t="str">
        <f>IFERROR(__xludf.DUMMYFUNCTION("IF('(INGESTA)Datos_consumo_datadis'!A3232&lt;&gt;"""",SPLIT('(INGESTA)Datos_consumo_datadis'!A:A,"",""),"""")"),"ES0031408323131005HX0F")</f>
        <v>ES0031408323131005HX0F</v>
      </c>
      <c r="B3232" s="12">
        <f>IFERROR(__xludf.DUMMYFUNCTION("""COMPUTED_VALUE"""),45000.0)</f>
        <v>45000</v>
      </c>
      <c r="C3232" s="13">
        <f>IFERROR(__xludf.DUMMYFUNCTION("""COMPUTED_VALUE"""),0.625)</f>
        <v>0.625</v>
      </c>
      <c r="D3232" s="8">
        <f>IFERROR(__xludf.DUMMYFUNCTION("""COMPUTED_VALUE"""),0.04)</f>
        <v>0.04</v>
      </c>
      <c r="E3232" s="8" t="str">
        <f>IFERROR(__xludf.DUMMYFUNCTION("""COMPUTED_VALUE"""),"Real")</f>
        <v>Real</v>
      </c>
      <c r="G3232" s="8">
        <f t="shared" si="1"/>
        <v>3</v>
      </c>
      <c r="H3232" s="14">
        <f t="shared" si="2"/>
        <v>15</v>
      </c>
      <c r="I3232" s="15">
        <f t="shared" si="3"/>
        <v>15</v>
      </c>
    </row>
    <row r="3233">
      <c r="A3233" s="8" t="str">
        <f>IFERROR(__xludf.DUMMYFUNCTION("IF('(INGESTA)Datos_consumo_datadis'!A3233&lt;&gt;"""",SPLIT('(INGESTA)Datos_consumo_datadis'!A:A,"",""),"""")"),"ES0031408323131005HX0F")</f>
        <v>ES0031408323131005HX0F</v>
      </c>
      <c r="B3233" s="12">
        <f>IFERROR(__xludf.DUMMYFUNCTION("""COMPUTED_VALUE"""),45000.0)</f>
        <v>45000</v>
      </c>
      <c r="C3233" s="13">
        <f>IFERROR(__xludf.DUMMYFUNCTION("""COMPUTED_VALUE"""),0.6666666666666666)</f>
        <v>0.6666666667</v>
      </c>
      <c r="D3233" s="8">
        <f>IFERROR(__xludf.DUMMYFUNCTION("""COMPUTED_VALUE"""),0.105)</f>
        <v>0.105</v>
      </c>
      <c r="E3233" s="8" t="str">
        <f>IFERROR(__xludf.DUMMYFUNCTION("""COMPUTED_VALUE"""),"Real")</f>
        <v>Real</v>
      </c>
      <c r="G3233" s="8">
        <f t="shared" si="1"/>
        <v>3</v>
      </c>
      <c r="H3233" s="14">
        <f t="shared" si="2"/>
        <v>15</v>
      </c>
      <c r="I3233" s="15">
        <f t="shared" si="3"/>
        <v>16</v>
      </c>
    </row>
    <row r="3234">
      <c r="A3234" s="8" t="str">
        <f>IFERROR(__xludf.DUMMYFUNCTION("IF('(INGESTA)Datos_consumo_datadis'!A3234&lt;&gt;"""",SPLIT('(INGESTA)Datos_consumo_datadis'!A:A,"",""),"""")"),"ES0031408323131005HX0F")</f>
        <v>ES0031408323131005HX0F</v>
      </c>
      <c r="B3234" s="12">
        <f>IFERROR(__xludf.DUMMYFUNCTION("""COMPUTED_VALUE"""),45000.0)</f>
        <v>45000</v>
      </c>
      <c r="C3234" s="13">
        <f>IFERROR(__xludf.DUMMYFUNCTION("""COMPUTED_VALUE"""),0.7083333333333334)</f>
        <v>0.7083333333</v>
      </c>
      <c r="D3234" s="8">
        <f>IFERROR(__xludf.DUMMYFUNCTION("""COMPUTED_VALUE"""),0.125)</f>
        <v>0.125</v>
      </c>
      <c r="E3234" s="8" t="str">
        <f>IFERROR(__xludf.DUMMYFUNCTION("""COMPUTED_VALUE"""),"Real")</f>
        <v>Real</v>
      </c>
      <c r="G3234" s="8">
        <f t="shared" si="1"/>
        <v>3</v>
      </c>
      <c r="H3234" s="14">
        <f t="shared" si="2"/>
        <v>15</v>
      </c>
      <c r="I3234" s="15">
        <f t="shared" si="3"/>
        <v>17</v>
      </c>
    </row>
    <row r="3235">
      <c r="A3235" s="8" t="str">
        <f>IFERROR(__xludf.DUMMYFUNCTION("IF('(INGESTA)Datos_consumo_datadis'!A3235&lt;&gt;"""",SPLIT('(INGESTA)Datos_consumo_datadis'!A:A,"",""),"""")"),"ES0031408323131005HX0F")</f>
        <v>ES0031408323131005HX0F</v>
      </c>
      <c r="B3235" s="12">
        <f>IFERROR(__xludf.DUMMYFUNCTION("""COMPUTED_VALUE"""),45000.0)</f>
        <v>45000</v>
      </c>
      <c r="C3235" s="13">
        <f>IFERROR(__xludf.DUMMYFUNCTION("""COMPUTED_VALUE"""),0.75)</f>
        <v>0.75</v>
      </c>
      <c r="D3235" s="8">
        <f>IFERROR(__xludf.DUMMYFUNCTION("""COMPUTED_VALUE"""),0.064)</f>
        <v>0.064</v>
      </c>
      <c r="E3235" s="8" t="str">
        <f>IFERROR(__xludf.DUMMYFUNCTION("""COMPUTED_VALUE"""),"Real")</f>
        <v>Real</v>
      </c>
      <c r="G3235" s="8">
        <f t="shared" si="1"/>
        <v>3</v>
      </c>
      <c r="H3235" s="14">
        <f t="shared" si="2"/>
        <v>15</v>
      </c>
      <c r="I3235" s="15">
        <f t="shared" si="3"/>
        <v>18</v>
      </c>
    </row>
    <row r="3236">
      <c r="A3236" s="8" t="str">
        <f>IFERROR(__xludf.DUMMYFUNCTION("IF('(INGESTA)Datos_consumo_datadis'!A3236&lt;&gt;"""",SPLIT('(INGESTA)Datos_consumo_datadis'!A:A,"",""),"""")"),"ES0031408323131005HX0F")</f>
        <v>ES0031408323131005HX0F</v>
      </c>
      <c r="B3236" s="12">
        <f>IFERROR(__xludf.DUMMYFUNCTION("""COMPUTED_VALUE"""),45000.0)</f>
        <v>45000</v>
      </c>
      <c r="C3236" s="13">
        <f>IFERROR(__xludf.DUMMYFUNCTION("""COMPUTED_VALUE"""),0.7916666666666666)</f>
        <v>0.7916666667</v>
      </c>
      <c r="D3236" s="8">
        <f>IFERROR(__xludf.DUMMYFUNCTION("""COMPUTED_VALUE"""),0.296)</f>
        <v>0.296</v>
      </c>
      <c r="E3236" s="8" t="str">
        <f>IFERROR(__xludf.DUMMYFUNCTION("""COMPUTED_VALUE"""),"Real")</f>
        <v>Real</v>
      </c>
      <c r="G3236" s="8">
        <f t="shared" si="1"/>
        <v>3</v>
      </c>
      <c r="H3236" s="14">
        <f t="shared" si="2"/>
        <v>15</v>
      </c>
      <c r="I3236" s="15">
        <f t="shared" si="3"/>
        <v>19</v>
      </c>
    </row>
    <row r="3237">
      <c r="A3237" s="8" t="str">
        <f>IFERROR(__xludf.DUMMYFUNCTION("IF('(INGESTA)Datos_consumo_datadis'!A3237&lt;&gt;"""",SPLIT('(INGESTA)Datos_consumo_datadis'!A:A,"",""),"""")"),"ES0031408323131005HX0F")</f>
        <v>ES0031408323131005HX0F</v>
      </c>
      <c r="B3237" s="12">
        <f>IFERROR(__xludf.DUMMYFUNCTION("""COMPUTED_VALUE"""),45000.0)</f>
        <v>45000</v>
      </c>
      <c r="C3237" s="13">
        <f>IFERROR(__xludf.DUMMYFUNCTION("""COMPUTED_VALUE"""),0.8333333333333334)</f>
        <v>0.8333333333</v>
      </c>
      <c r="D3237" s="8">
        <f>IFERROR(__xludf.DUMMYFUNCTION("""COMPUTED_VALUE"""),0.022)</f>
        <v>0.022</v>
      </c>
      <c r="E3237" s="8" t="str">
        <f>IFERROR(__xludf.DUMMYFUNCTION("""COMPUTED_VALUE"""),"Real")</f>
        <v>Real</v>
      </c>
      <c r="G3237" s="8">
        <f t="shared" si="1"/>
        <v>3</v>
      </c>
      <c r="H3237" s="14">
        <f t="shared" si="2"/>
        <v>15</v>
      </c>
      <c r="I3237" s="15">
        <f t="shared" si="3"/>
        <v>20</v>
      </c>
    </row>
    <row r="3238">
      <c r="A3238" s="8" t="str">
        <f>IFERROR(__xludf.DUMMYFUNCTION("IF('(INGESTA)Datos_consumo_datadis'!A3238&lt;&gt;"""",SPLIT('(INGESTA)Datos_consumo_datadis'!A:A,"",""),"""")"),"ES0031408323131005HX0F")</f>
        <v>ES0031408323131005HX0F</v>
      </c>
      <c r="B3238" s="12">
        <f>IFERROR(__xludf.DUMMYFUNCTION("""COMPUTED_VALUE"""),45000.0)</f>
        <v>45000</v>
      </c>
      <c r="C3238" s="13">
        <f>IFERROR(__xludf.DUMMYFUNCTION("""COMPUTED_VALUE"""),0.875)</f>
        <v>0.875</v>
      </c>
      <c r="D3238" s="8">
        <f>IFERROR(__xludf.DUMMYFUNCTION("""COMPUTED_VALUE"""),0.11)</f>
        <v>0.11</v>
      </c>
      <c r="E3238" s="8" t="str">
        <f>IFERROR(__xludf.DUMMYFUNCTION("""COMPUTED_VALUE"""),"Real")</f>
        <v>Real</v>
      </c>
      <c r="G3238" s="8">
        <f t="shared" si="1"/>
        <v>3</v>
      </c>
      <c r="H3238" s="14">
        <f t="shared" si="2"/>
        <v>15</v>
      </c>
      <c r="I3238" s="15">
        <f t="shared" si="3"/>
        <v>21</v>
      </c>
    </row>
    <row r="3239">
      <c r="A3239" s="8" t="str">
        <f>IFERROR(__xludf.DUMMYFUNCTION("IF('(INGESTA)Datos_consumo_datadis'!A3239&lt;&gt;"""",SPLIT('(INGESTA)Datos_consumo_datadis'!A:A,"",""),"""")"),"ES0031408323131005HX0F")</f>
        <v>ES0031408323131005HX0F</v>
      </c>
      <c r="B3239" s="12">
        <f>IFERROR(__xludf.DUMMYFUNCTION("""COMPUTED_VALUE"""),45000.0)</f>
        <v>45000</v>
      </c>
      <c r="C3239" s="13">
        <f>IFERROR(__xludf.DUMMYFUNCTION("""COMPUTED_VALUE"""),0.9166666666666666)</f>
        <v>0.9166666667</v>
      </c>
      <c r="D3239" s="8">
        <f>IFERROR(__xludf.DUMMYFUNCTION("""COMPUTED_VALUE"""),0.071)</f>
        <v>0.071</v>
      </c>
      <c r="E3239" s="8" t="str">
        <f>IFERROR(__xludf.DUMMYFUNCTION("""COMPUTED_VALUE"""),"Real")</f>
        <v>Real</v>
      </c>
      <c r="G3239" s="8">
        <f t="shared" si="1"/>
        <v>3</v>
      </c>
      <c r="H3239" s="14">
        <f t="shared" si="2"/>
        <v>15</v>
      </c>
      <c r="I3239" s="15">
        <f t="shared" si="3"/>
        <v>22</v>
      </c>
    </row>
    <row r="3240">
      <c r="A3240" s="8" t="str">
        <f>IFERROR(__xludf.DUMMYFUNCTION("IF('(INGESTA)Datos_consumo_datadis'!A3240&lt;&gt;"""",SPLIT('(INGESTA)Datos_consumo_datadis'!A:A,"",""),"""")"),"ES0031408323131005HX0F")</f>
        <v>ES0031408323131005HX0F</v>
      </c>
      <c r="B3240" s="12">
        <f>IFERROR(__xludf.DUMMYFUNCTION("""COMPUTED_VALUE"""),45000.0)</f>
        <v>45000</v>
      </c>
      <c r="C3240" s="13">
        <f>IFERROR(__xludf.DUMMYFUNCTION("""COMPUTED_VALUE"""),0.9583333333333334)</f>
        <v>0.9583333333</v>
      </c>
      <c r="D3240" s="8">
        <f>IFERROR(__xludf.DUMMYFUNCTION("""COMPUTED_VALUE"""),1.896)</f>
        <v>1.896</v>
      </c>
      <c r="E3240" s="8" t="str">
        <f>IFERROR(__xludf.DUMMYFUNCTION("""COMPUTED_VALUE"""),"Real")</f>
        <v>Real</v>
      </c>
      <c r="G3240" s="8">
        <f t="shared" si="1"/>
        <v>3</v>
      </c>
      <c r="H3240" s="14">
        <f t="shared" si="2"/>
        <v>15</v>
      </c>
      <c r="I3240" s="15">
        <f t="shared" si="3"/>
        <v>23</v>
      </c>
    </row>
    <row r="3241">
      <c r="A3241" s="8" t="str">
        <f>IFERROR(__xludf.DUMMYFUNCTION("IF('(INGESTA)Datos_consumo_datadis'!A3241&lt;&gt;"""",SPLIT('(INGESTA)Datos_consumo_datadis'!A:A,"",""),"""")"),"ES0031408323131005HX0F")</f>
        <v>ES0031408323131005HX0F</v>
      </c>
      <c r="B3241" s="12">
        <f>IFERROR(__xludf.DUMMYFUNCTION("""COMPUTED_VALUE"""),45000.0)</f>
        <v>45000</v>
      </c>
      <c r="C3241" s="16">
        <f>IFERROR(__xludf.DUMMYFUNCTION("""COMPUTED_VALUE"""),1.0)</f>
        <v>1</v>
      </c>
      <c r="D3241" s="8">
        <f>IFERROR(__xludf.DUMMYFUNCTION("""COMPUTED_VALUE"""),0.962)</f>
        <v>0.962</v>
      </c>
      <c r="E3241" s="8" t="str">
        <f>IFERROR(__xludf.DUMMYFUNCTION("""COMPUTED_VALUE"""),"Real")</f>
        <v>Real</v>
      </c>
      <c r="G3241" s="8">
        <f t="shared" si="1"/>
        <v>3</v>
      </c>
      <c r="H3241" s="14">
        <f t="shared" si="2"/>
        <v>15</v>
      </c>
      <c r="I3241" s="15">
        <f t="shared" si="3"/>
        <v>0</v>
      </c>
    </row>
    <row r="3242">
      <c r="A3242" s="8" t="str">
        <f>IFERROR(__xludf.DUMMYFUNCTION("IF('(INGESTA)Datos_consumo_datadis'!A3242&lt;&gt;"""",SPLIT('(INGESTA)Datos_consumo_datadis'!A:A,"",""),"""")"),"ES0031408323131005HX0F")</f>
        <v>ES0031408323131005HX0F</v>
      </c>
      <c r="B3242" s="12">
        <f>IFERROR(__xludf.DUMMYFUNCTION("""COMPUTED_VALUE"""),45001.0)</f>
        <v>45001</v>
      </c>
      <c r="C3242" s="13">
        <f>IFERROR(__xludf.DUMMYFUNCTION("""COMPUTED_VALUE"""),0.041666666666666664)</f>
        <v>0.04166666667</v>
      </c>
      <c r="D3242" s="8">
        <f>IFERROR(__xludf.DUMMYFUNCTION("""COMPUTED_VALUE"""),0.07)</f>
        <v>0.07</v>
      </c>
      <c r="E3242" s="8" t="str">
        <f>IFERROR(__xludf.DUMMYFUNCTION("""COMPUTED_VALUE"""),"Real")</f>
        <v>Real</v>
      </c>
      <c r="G3242" s="8">
        <f t="shared" si="1"/>
        <v>3</v>
      </c>
      <c r="H3242" s="14">
        <f t="shared" si="2"/>
        <v>16</v>
      </c>
      <c r="I3242" s="15">
        <f t="shared" si="3"/>
        <v>1</v>
      </c>
    </row>
    <row r="3243">
      <c r="A3243" s="8" t="str">
        <f>IFERROR(__xludf.DUMMYFUNCTION("IF('(INGESTA)Datos_consumo_datadis'!A3243&lt;&gt;"""",SPLIT('(INGESTA)Datos_consumo_datadis'!A:A,"",""),"""")"),"ES0031408323131005HX0F")</f>
        <v>ES0031408323131005HX0F</v>
      </c>
      <c r="B3243" s="12">
        <f>IFERROR(__xludf.DUMMYFUNCTION("""COMPUTED_VALUE"""),45001.0)</f>
        <v>45001</v>
      </c>
      <c r="C3243" s="13">
        <f>IFERROR(__xludf.DUMMYFUNCTION("""COMPUTED_VALUE"""),0.08333333333333333)</f>
        <v>0.08333333333</v>
      </c>
      <c r="D3243" s="8">
        <f>IFERROR(__xludf.DUMMYFUNCTION("""COMPUTED_VALUE"""),0.02)</f>
        <v>0.02</v>
      </c>
      <c r="E3243" s="8" t="str">
        <f>IFERROR(__xludf.DUMMYFUNCTION("""COMPUTED_VALUE"""),"Real")</f>
        <v>Real</v>
      </c>
      <c r="G3243" s="8">
        <f t="shared" si="1"/>
        <v>3</v>
      </c>
      <c r="H3243" s="14">
        <f t="shared" si="2"/>
        <v>16</v>
      </c>
      <c r="I3243" s="15">
        <f t="shared" si="3"/>
        <v>2</v>
      </c>
    </row>
    <row r="3244">
      <c r="A3244" s="8" t="str">
        <f>IFERROR(__xludf.DUMMYFUNCTION("IF('(INGESTA)Datos_consumo_datadis'!A3244&lt;&gt;"""",SPLIT('(INGESTA)Datos_consumo_datadis'!A:A,"",""),"""")"),"ES0031408323131005HX0F")</f>
        <v>ES0031408323131005HX0F</v>
      </c>
      <c r="B3244" s="12">
        <f>IFERROR(__xludf.DUMMYFUNCTION("""COMPUTED_VALUE"""),45001.0)</f>
        <v>45001</v>
      </c>
      <c r="C3244" s="13">
        <f>IFERROR(__xludf.DUMMYFUNCTION("""COMPUTED_VALUE"""),0.125)</f>
        <v>0.125</v>
      </c>
      <c r="D3244" s="8">
        <f>IFERROR(__xludf.DUMMYFUNCTION("""COMPUTED_VALUE"""),0.399)</f>
        <v>0.399</v>
      </c>
      <c r="E3244" s="8" t="str">
        <f>IFERROR(__xludf.DUMMYFUNCTION("""COMPUTED_VALUE"""),"Real")</f>
        <v>Real</v>
      </c>
      <c r="G3244" s="8">
        <f t="shared" si="1"/>
        <v>3</v>
      </c>
      <c r="H3244" s="14">
        <f t="shared" si="2"/>
        <v>16</v>
      </c>
      <c r="I3244" s="15">
        <f t="shared" si="3"/>
        <v>3</v>
      </c>
    </row>
    <row r="3245">
      <c r="A3245" s="8" t="str">
        <f>IFERROR(__xludf.DUMMYFUNCTION("IF('(INGESTA)Datos_consumo_datadis'!A3245&lt;&gt;"""",SPLIT('(INGESTA)Datos_consumo_datadis'!A:A,"",""),"""")"),"ES0031408323131005HX0F")</f>
        <v>ES0031408323131005HX0F</v>
      </c>
      <c r="B3245" s="12">
        <f>IFERROR(__xludf.DUMMYFUNCTION("""COMPUTED_VALUE"""),45001.0)</f>
        <v>45001</v>
      </c>
      <c r="C3245" s="13">
        <f>IFERROR(__xludf.DUMMYFUNCTION("""COMPUTED_VALUE"""),0.16666666666666666)</f>
        <v>0.1666666667</v>
      </c>
      <c r="D3245" s="8">
        <f>IFERROR(__xludf.DUMMYFUNCTION("""COMPUTED_VALUE"""),0.055)</f>
        <v>0.055</v>
      </c>
      <c r="E3245" s="8" t="str">
        <f>IFERROR(__xludf.DUMMYFUNCTION("""COMPUTED_VALUE"""),"Real")</f>
        <v>Real</v>
      </c>
      <c r="G3245" s="8">
        <f t="shared" si="1"/>
        <v>3</v>
      </c>
      <c r="H3245" s="14">
        <f t="shared" si="2"/>
        <v>16</v>
      </c>
      <c r="I3245" s="15">
        <f t="shared" si="3"/>
        <v>4</v>
      </c>
    </row>
    <row r="3246">
      <c r="A3246" s="8" t="str">
        <f>IFERROR(__xludf.DUMMYFUNCTION("IF('(INGESTA)Datos_consumo_datadis'!A3246&lt;&gt;"""",SPLIT('(INGESTA)Datos_consumo_datadis'!A:A,"",""),"""")"),"ES0031408323131005HX0F")</f>
        <v>ES0031408323131005HX0F</v>
      </c>
      <c r="B3246" s="12">
        <f>IFERROR(__xludf.DUMMYFUNCTION("""COMPUTED_VALUE"""),45001.0)</f>
        <v>45001</v>
      </c>
      <c r="C3246" s="13">
        <f>IFERROR(__xludf.DUMMYFUNCTION("""COMPUTED_VALUE"""),0.20833333333333334)</f>
        <v>0.2083333333</v>
      </c>
      <c r="D3246" s="8">
        <f>IFERROR(__xludf.DUMMYFUNCTION("""COMPUTED_VALUE"""),0.053)</f>
        <v>0.053</v>
      </c>
      <c r="E3246" s="8" t="str">
        <f>IFERROR(__xludf.DUMMYFUNCTION("""COMPUTED_VALUE"""),"Real")</f>
        <v>Real</v>
      </c>
      <c r="G3246" s="8">
        <f t="shared" si="1"/>
        <v>3</v>
      </c>
      <c r="H3246" s="14">
        <f t="shared" si="2"/>
        <v>16</v>
      </c>
      <c r="I3246" s="15">
        <f t="shared" si="3"/>
        <v>5</v>
      </c>
    </row>
    <row r="3247">
      <c r="A3247" s="8" t="str">
        <f>IFERROR(__xludf.DUMMYFUNCTION("IF('(INGESTA)Datos_consumo_datadis'!A3247&lt;&gt;"""",SPLIT('(INGESTA)Datos_consumo_datadis'!A:A,"",""),"""")"),"ES0031408323131005HX0F")</f>
        <v>ES0031408323131005HX0F</v>
      </c>
      <c r="B3247" s="12">
        <f>IFERROR(__xludf.DUMMYFUNCTION("""COMPUTED_VALUE"""),45001.0)</f>
        <v>45001</v>
      </c>
      <c r="C3247" s="13">
        <f>IFERROR(__xludf.DUMMYFUNCTION("""COMPUTED_VALUE"""),0.25)</f>
        <v>0.25</v>
      </c>
      <c r="D3247" s="8">
        <f>IFERROR(__xludf.DUMMYFUNCTION("""COMPUTED_VALUE"""),0.024)</f>
        <v>0.024</v>
      </c>
      <c r="E3247" s="8" t="str">
        <f>IFERROR(__xludf.DUMMYFUNCTION("""COMPUTED_VALUE"""),"Real")</f>
        <v>Real</v>
      </c>
      <c r="G3247" s="8">
        <f t="shared" si="1"/>
        <v>3</v>
      </c>
      <c r="H3247" s="14">
        <f t="shared" si="2"/>
        <v>16</v>
      </c>
      <c r="I3247" s="15">
        <f t="shared" si="3"/>
        <v>6</v>
      </c>
    </row>
    <row r="3248">
      <c r="A3248" s="8" t="str">
        <f>IFERROR(__xludf.DUMMYFUNCTION("IF('(INGESTA)Datos_consumo_datadis'!A3248&lt;&gt;"""",SPLIT('(INGESTA)Datos_consumo_datadis'!A:A,"",""),"""")"),"ES0031408323131005HX0F")</f>
        <v>ES0031408323131005HX0F</v>
      </c>
      <c r="B3248" s="12">
        <f>IFERROR(__xludf.DUMMYFUNCTION("""COMPUTED_VALUE"""),45001.0)</f>
        <v>45001</v>
      </c>
      <c r="C3248" s="13">
        <f>IFERROR(__xludf.DUMMYFUNCTION("""COMPUTED_VALUE"""),0.2916666666666667)</f>
        <v>0.2916666667</v>
      </c>
      <c r="D3248" s="8">
        <f>IFERROR(__xludf.DUMMYFUNCTION("""COMPUTED_VALUE"""),0.103)</f>
        <v>0.103</v>
      </c>
      <c r="E3248" s="8" t="str">
        <f>IFERROR(__xludf.DUMMYFUNCTION("""COMPUTED_VALUE"""),"Real")</f>
        <v>Real</v>
      </c>
      <c r="G3248" s="8">
        <f t="shared" si="1"/>
        <v>3</v>
      </c>
      <c r="H3248" s="14">
        <f t="shared" si="2"/>
        <v>16</v>
      </c>
      <c r="I3248" s="15">
        <f t="shared" si="3"/>
        <v>7</v>
      </c>
    </row>
    <row r="3249">
      <c r="A3249" s="8" t="str">
        <f>IFERROR(__xludf.DUMMYFUNCTION("IF('(INGESTA)Datos_consumo_datadis'!A3249&lt;&gt;"""",SPLIT('(INGESTA)Datos_consumo_datadis'!A:A,"",""),"""")"),"ES0031408323131005HX0F")</f>
        <v>ES0031408323131005HX0F</v>
      </c>
      <c r="B3249" s="12">
        <f>IFERROR(__xludf.DUMMYFUNCTION("""COMPUTED_VALUE"""),45001.0)</f>
        <v>45001</v>
      </c>
      <c r="C3249" s="13">
        <f>IFERROR(__xludf.DUMMYFUNCTION("""COMPUTED_VALUE"""),0.3333333333333333)</f>
        <v>0.3333333333</v>
      </c>
      <c r="D3249" s="8">
        <f>IFERROR(__xludf.DUMMYFUNCTION("""COMPUTED_VALUE"""),0.346)</f>
        <v>0.346</v>
      </c>
      <c r="E3249" s="8" t="str">
        <f>IFERROR(__xludf.DUMMYFUNCTION("""COMPUTED_VALUE"""),"Real")</f>
        <v>Real</v>
      </c>
      <c r="G3249" s="8">
        <f t="shared" si="1"/>
        <v>3</v>
      </c>
      <c r="H3249" s="14">
        <f t="shared" si="2"/>
        <v>16</v>
      </c>
      <c r="I3249" s="15">
        <f t="shared" si="3"/>
        <v>8</v>
      </c>
    </row>
    <row r="3250">
      <c r="A3250" s="8" t="str">
        <f>IFERROR(__xludf.DUMMYFUNCTION("IF('(INGESTA)Datos_consumo_datadis'!A3250&lt;&gt;"""",SPLIT('(INGESTA)Datos_consumo_datadis'!A:A,"",""),"""")"),"ES0031408323131005HX0F")</f>
        <v>ES0031408323131005HX0F</v>
      </c>
      <c r="B3250" s="12">
        <f>IFERROR(__xludf.DUMMYFUNCTION("""COMPUTED_VALUE"""),45001.0)</f>
        <v>45001</v>
      </c>
      <c r="C3250" s="13">
        <f>IFERROR(__xludf.DUMMYFUNCTION("""COMPUTED_VALUE"""),0.375)</f>
        <v>0.375</v>
      </c>
      <c r="D3250" s="8">
        <f>IFERROR(__xludf.DUMMYFUNCTION("""COMPUTED_VALUE"""),0.016)</f>
        <v>0.016</v>
      </c>
      <c r="E3250" s="8" t="str">
        <f>IFERROR(__xludf.DUMMYFUNCTION("""COMPUTED_VALUE"""),"Real")</f>
        <v>Real</v>
      </c>
      <c r="G3250" s="8">
        <f t="shared" si="1"/>
        <v>3</v>
      </c>
      <c r="H3250" s="14">
        <f t="shared" si="2"/>
        <v>16</v>
      </c>
      <c r="I3250" s="15">
        <f t="shared" si="3"/>
        <v>9</v>
      </c>
    </row>
    <row r="3251">
      <c r="A3251" s="8" t="str">
        <f>IFERROR(__xludf.DUMMYFUNCTION("IF('(INGESTA)Datos_consumo_datadis'!A3251&lt;&gt;"""",SPLIT('(INGESTA)Datos_consumo_datadis'!A:A,"",""),"""")"),"ES0031408323131005HX0F")</f>
        <v>ES0031408323131005HX0F</v>
      </c>
      <c r="B3251" s="12">
        <f>IFERROR(__xludf.DUMMYFUNCTION("""COMPUTED_VALUE"""),45001.0)</f>
        <v>45001</v>
      </c>
      <c r="C3251" s="13">
        <f>IFERROR(__xludf.DUMMYFUNCTION("""COMPUTED_VALUE"""),0.4166666666666667)</f>
        <v>0.4166666667</v>
      </c>
      <c r="D3251" s="8">
        <f>IFERROR(__xludf.DUMMYFUNCTION("""COMPUTED_VALUE"""),0.639)</f>
        <v>0.639</v>
      </c>
      <c r="E3251" s="8" t="str">
        <f>IFERROR(__xludf.DUMMYFUNCTION("""COMPUTED_VALUE"""),"Real")</f>
        <v>Real</v>
      </c>
      <c r="G3251" s="8">
        <f t="shared" si="1"/>
        <v>3</v>
      </c>
      <c r="H3251" s="14">
        <f t="shared" si="2"/>
        <v>16</v>
      </c>
      <c r="I3251" s="15">
        <f t="shared" si="3"/>
        <v>10</v>
      </c>
    </row>
    <row r="3252">
      <c r="A3252" s="8" t="str">
        <f>IFERROR(__xludf.DUMMYFUNCTION("IF('(INGESTA)Datos_consumo_datadis'!A3252&lt;&gt;"""",SPLIT('(INGESTA)Datos_consumo_datadis'!A:A,"",""),"""")"),"ES0031408323131005HX0F")</f>
        <v>ES0031408323131005HX0F</v>
      </c>
      <c r="B3252" s="12">
        <f>IFERROR(__xludf.DUMMYFUNCTION("""COMPUTED_VALUE"""),45001.0)</f>
        <v>45001</v>
      </c>
      <c r="C3252" s="13">
        <f>IFERROR(__xludf.DUMMYFUNCTION("""COMPUTED_VALUE"""),0.4583333333333333)</f>
        <v>0.4583333333</v>
      </c>
      <c r="D3252" s="8">
        <f>IFERROR(__xludf.DUMMYFUNCTION("""COMPUTED_VALUE"""),0.351)</f>
        <v>0.351</v>
      </c>
      <c r="E3252" s="8" t="str">
        <f>IFERROR(__xludf.DUMMYFUNCTION("""COMPUTED_VALUE"""),"Real")</f>
        <v>Real</v>
      </c>
      <c r="G3252" s="8">
        <f t="shared" si="1"/>
        <v>3</v>
      </c>
      <c r="H3252" s="14">
        <f t="shared" si="2"/>
        <v>16</v>
      </c>
      <c r="I3252" s="15">
        <f t="shared" si="3"/>
        <v>11</v>
      </c>
    </row>
    <row r="3253">
      <c r="A3253" s="8" t="str">
        <f>IFERROR(__xludf.DUMMYFUNCTION("IF('(INGESTA)Datos_consumo_datadis'!A3253&lt;&gt;"""",SPLIT('(INGESTA)Datos_consumo_datadis'!A:A,"",""),"""")"),"ES0031408323131005HX0F")</f>
        <v>ES0031408323131005HX0F</v>
      </c>
      <c r="B3253" s="12">
        <f>IFERROR(__xludf.DUMMYFUNCTION("""COMPUTED_VALUE"""),45001.0)</f>
        <v>45001</v>
      </c>
      <c r="C3253" s="13">
        <f>IFERROR(__xludf.DUMMYFUNCTION("""COMPUTED_VALUE"""),0.5)</f>
        <v>0.5</v>
      </c>
      <c r="D3253" s="8">
        <f>IFERROR(__xludf.DUMMYFUNCTION("""COMPUTED_VALUE"""),0.041)</f>
        <v>0.041</v>
      </c>
      <c r="E3253" s="8" t="str">
        <f>IFERROR(__xludf.DUMMYFUNCTION("""COMPUTED_VALUE"""),"Real")</f>
        <v>Real</v>
      </c>
      <c r="G3253" s="8">
        <f t="shared" si="1"/>
        <v>3</v>
      </c>
      <c r="H3253" s="14">
        <f t="shared" si="2"/>
        <v>16</v>
      </c>
      <c r="I3253" s="15">
        <f t="shared" si="3"/>
        <v>12</v>
      </c>
    </row>
    <row r="3254">
      <c r="A3254" s="8" t="str">
        <f>IFERROR(__xludf.DUMMYFUNCTION("IF('(INGESTA)Datos_consumo_datadis'!A3254&lt;&gt;"""",SPLIT('(INGESTA)Datos_consumo_datadis'!A:A,"",""),"""")"),"ES0031408323131005HX0F")</f>
        <v>ES0031408323131005HX0F</v>
      </c>
      <c r="B3254" s="12">
        <f>IFERROR(__xludf.DUMMYFUNCTION("""COMPUTED_VALUE"""),45001.0)</f>
        <v>45001</v>
      </c>
      <c r="C3254" s="13">
        <f>IFERROR(__xludf.DUMMYFUNCTION("""COMPUTED_VALUE"""),0.5416666666666666)</f>
        <v>0.5416666667</v>
      </c>
      <c r="D3254" s="8">
        <f>IFERROR(__xludf.DUMMYFUNCTION("""COMPUTED_VALUE"""),0.031)</f>
        <v>0.031</v>
      </c>
      <c r="E3254" s="8" t="str">
        <f>IFERROR(__xludf.DUMMYFUNCTION("""COMPUTED_VALUE"""),"Real")</f>
        <v>Real</v>
      </c>
      <c r="G3254" s="8">
        <f t="shared" si="1"/>
        <v>3</v>
      </c>
      <c r="H3254" s="14">
        <f t="shared" si="2"/>
        <v>16</v>
      </c>
      <c r="I3254" s="15">
        <f t="shared" si="3"/>
        <v>13</v>
      </c>
    </row>
    <row r="3255">
      <c r="A3255" s="8" t="str">
        <f>IFERROR(__xludf.DUMMYFUNCTION("IF('(INGESTA)Datos_consumo_datadis'!A3255&lt;&gt;"""",SPLIT('(INGESTA)Datos_consumo_datadis'!A:A,"",""),"""")"),"ES0031408323131005HX0F")</f>
        <v>ES0031408323131005HX0F</v>
      </c>
      <c r="B3255" s="12">
        <f>IFERROR(__xludf.DUMMYFUNCTION("""COMPUTED_VALUE"""),45001.0)</f>
        <v>45001</v>
      </c>
      <c r="C3255" s="13">
        <f>IFERROR(__xludf.DUMMYFUNCTION("""COMPUTED_VALUE"""),0.5833333333333334)</f>
        <v>0.5833333333</v>
      </c>
      <c r="D3255" s="8">
        <f>IFERROR(__xludf.DUMMYFUNCTION("""COMPUTED_VALUE"""),0.092)</f>
        <v>0.092</v>
      </c>
      <c r="E3255" s="8" t="str">
        <f>IFERROR(__xludf.DUMMYFUNCTION("""COMPUTED_VALUE"""),"Real")</f>
        <v>Real</v>
      </c>
      <c r="G3255" s="8">
        <f t="shared" si="1"/>
        <v>3</v>
      </c>
      <c r="H3255" s="14">
        <f t="shared" si="2"/>
        <v>16</v>
      </c>
      <c r="I3255" s="15">
        <f t="shared" si="3"/>
        <v>14</v>
      </c>
    </row>
    <row r="3256">
      <c r="A3256" s="8" t="str">
        <f>IFERROR(__xludf.DUMMYFUNCTION("IF('(INGESTA)Datos_consumo_datadis'!A3256&lt;&gt;"""",SPLIT('(INGESTA)Datos_consumo_datadis'!A:A,"",""),"""")"),"ES0031408323131005HX0F")</f>
        <v>ES0031408323131005HX0F</v>
      </c>
      <c r="B3256" s="12">
        <f>IFERROR(__xludf.DUMMYFUNCTION("""COMPUTED_VALUE"""),45001.0)</f>
        <v>45001</v>
      </c>
      <c r="C3256" s="13">
        <f>IFERROR(__xludf.DUMMYFUNCTION("""COMPUTED_VALUE"""),0.625)</f>
        <v>0.625</v>
      </c>
      <c r="D3256" s="8">
        <f>IFERROR(__xludf.DUMMYFUNCTION("""COMPUTED_VALUE"""),0.321)</f>
        <v>0.321</v>
      </c>
      <c r="E3256" s="8" t="str">
        <f>IFERROR(__xludf.DUMMYFUNCTION("""COMPUTED_VALUE"""),"Real")</f>
        <v>Real</v>
      </c>
      <c r="G3256" s="8">
        <f t="shared" si="1"/>
        <v>3</v>
      </c>
      <c r="H3256" s="14">
        <f t="shared" si="2"/>
        <v>16</v>
      </c>
      <c r="I3256" s="15">
        <f t="shared" si="3"/>
        <v>15</v>
      </c>
    </row>
    <row r="3257">
      <c r="A3257" s="8" t="str">
        <f>IFERROR(__xludf.DUMMYFUNCTION("IF('(INGESTA)Datos_consumo_datadis'!A3257&lt;&gt;"""",SPLIT('(INGESTA)Datos_consumo_datadis'!A:A,"",""),"""")"),"ES0031408323131005HX0F")</f>
        <v>ES0031408323131005HX0F</v>
      </c>
      <c r="B3257" s="12">
        <f>IFERROR(__xludf.DUMMYFUNCTION("""COMPUTED_VALUE"""),45001.0)</f>
        <v>45001</v>
      </c>
      <c r="C3257" s="13">
        <f>IFERROR(__xludf.DUMMYFUNCTION("""COMPUTED_VALUE"""),0.6666666666666666)</f>
        <v>0.6666666667</v>
      </c>
      <c r="D3257" s="8">
        <f>IFERROR(__xludf.DUMMYFUNCTION("""COMPUTED_VALUE"""),0.017)</f>
        <v>0.017</v>
      </c>
      <c r="E3257" s="8" t="str">
        <f>IFERROR(__xludf.DUMMYFUNCTION("""COMPUTED_VALUE"""),"Real")</f>
        <v>Real</v>
      </c>
      <c r="G3257" s="8">
        <f t="shared" si="1"/>
        <v>3</v>
      </c>
      <c r="H3257" s="14">
        <f t="shared" si="2"/>
        <v>16</v>
      </c>
      <c r="I3257" s="15">
        <f t="shared" si="3"/>
        <v>16</v>
      </c>
    </row>
    <row r="3258">
      <c r="A3258" s="8" t="str">
        <f>IFERROR(__xludf.DUMMYFUNCTION("IF('(INGESTA)Datos_consumo_datadis'!A3258&lt;&gt;"""",SPLIT('(INGESTA)Datos_consumo_datadis'!A:A,"",""),"""")"),"ES0031408323131005HX0F")</f>
        <v>ES0031408323131005HX0F</v>
      </c>
      <c r="B3258" s="12">
        <f>IFERROR(__xludf.DUMMYFUNCTION("""COMPUTED_VALUE"""),45001.0)</f>
        <v>45001</v>
      </c>
      <c r="C3258" s="13">
        <f>IFERROR(__xludf.DUMMYFUNCTION("""COMPUTED_VALUE"""),0.7083333333333334)</f>
        <v>0.7083333333</v>
      </c>
      <c r="D3258" s="8">
        <f>IFERROR(__xludf.DUMMYFUNCTION("""COMPUTED_VALUE"""),0.09)</f>
        <v>0.09</v>
      </c>
      <c r="E3258" s="8" t="str">
        <f>IFERROR(__xludf.DUMMYFUNCTION("""COMPUTED_VALUE"""),"Real")</f>
        <v>Real</v>
      </c>
      <c r="G3258" s="8">
        <f t="shared" si="1"/>
        <v>3</v>
      </c>
      <c r="H3258" s="14">
        <f t="shared" si="2"/>
        <v>16</v>
      </c>
      <c r="I3258" s="15">
        <f t="shared" si="3"/>
        <v>17</v>
      </c>
    </row>
    <row r="3259">
      <c r="A3259" s="8" t="str">
        <f>IFERROR(__xludf.DUMMYFUNCTION("IF('(INGESTA)Datos_consumo_datadis'!A3259&lt;&gt;"""",SPLIT('(INGESTA)Datos_consumo_datadis'!A:A,"",""),"""")"),"ES0031408323131005HX0F")</f>
        <v>ES0031408323131005HX0F</v>
      </c>
      <c r="B3259" s="12">
        <f>IFERROR(__xludf.DUMMYFUNCTION("""COMPUTED_VALUE"""),45001.0)</f>
        <v>45001</v>
      </c>
      <c r="C3259" s="13">
        <f>IFERROR(__xludf.DUMMYFUNCTION("""COMPUTED_VALUE"""),0.75)</f>
        <v>0.75</v>
      </c>
      <c r="D3259" s="8">
        <f>IFERROR(__xludf.DUMMYFUNCTION("""COMPUTED_VALUE"""),0.123)</f>
        <v>0.123</v>
      </c>
      <c r="E3259" s="8" t="str">
        <f>IFERROR(__xludf.DUMMYFUNCTION("""COMPUTED_VALUE"""),"Real")</f>
        <v>Real</v>
      </c>
      <c r="G3259" s="8">
        <f t="shared" si="1"/>
        <v>3</v>
      </c>
      <c r="H3259" s="14">
        <f t="shared" si="2"/>
        <v>16</v>
      </c>
      <c r="I3259" s="15">
        <f t="shared" si="3"/>
        <v>18</v>
      </c>
    </row>
    <row r="3260">
      <c r="A3260" s="8" t="str">
        <f>IFERROR(__xludf.DUMMYFUNCTION("IF('(INGESTA)Datos_consumo_datadis'!A3260&lt;&gt;"""",SPLIT('(INGESTA)Datos_consumo_datadis'!A:A,"",""),"""")"),"ES0031408323131005HX0F")</f>
        <v>ES0031408323131005HX0F</v>
      </c>
      <c r="B3260" s="12">
        <f>IFERROR(__xludf.DUMMYFUNCTION("""COMPUTED_VALUE"""),45001.0)</f>
        <v>45001</v>
      </c>
      <c r="C3260" s="13">
        <f>IFERROR(__xludf.DUMMYFUNCTION("""COMPUTED_VALUE"""),0.7916666666666666)</f>
        <v>0.7916666667</v>
      </c>
      <c r="D3260" s="8">
        <f>IFERROR(__xludf.DUMMYFUNCTION("""COMPUTED_VALUE"""),0.077)</f>
        <v>0.077</v>
      </c>
      <c r="E3260" s="8" t="str">
        <f>IFERROR(__xludf.DUMMYFUNCTION("""COMPUTED_VALUE"""),"Real")</f>
        <v>Real</v>
      </c>
      <c r="G3260" s="8">
        <f t="shared" si="1"/>
        <v>3</v>
      </c>
      <c r="H3260" s="14">
        <f t="shared" si="2"/>
        <v>16</v>
      </c>
      <c r="I3260" s="15">
        <f t="shared" si="3"/>
        <v>19</v>
      </c>
    </row>
    <row r="3261">
      <c r="A3261" s="8" t="str">
        <f>IFERROR(__xludf.DUMMYFUNCTION("IF('(INGESTA)Datos_consumo_datadis'!A3261&lt;&gt;"""",SPLIT('(INGESTA)Datos_consumo_datadis'!A:A,"",""),"""")"),"ES0031408323131005HX0F")</f>
        <v>ES0031408323131005HX0F</v>
      </c>
      <c r="B3261" s="12">
        <f>IFERROR(__xludf.DUMMYFUNCTION("""COMPUTED_VALUE"""),45001.0)</f>
        <v>45001</v>
      </c>
      <c r="C3261" s="13">
        <f>IFERROR(__xludf.DUMMYFUNCTION("""COMPUTED_VALUE"""),0.8333333333333334)</f>
        <v>0.8333333333</v>
      </c>
      <c r="D3261" s="8">
        <f>IFERROR(__xludf.DUMMYFUNCTION("""COMPUTED_VALUE"""),0.017)</f>
        <v>0.017</v>
      </c>
      <c r="E3261" s="8" t="str">
        <f>IFERROR(__xludf.DUMMYFUNCTION("""COMPUTED_VALUE"""),"Real")</f>
        <v>Real</v>
      </c>
      <c r="G3261" s="8">
        <f t="shared" si="1"/>
        <v>3</v>
      </c>
      <c r="H3261" s="14">
        <f t="shared" si="2"/>
        <v>16</v>
      </c>
      <c r="I3261" s="15">
        <f t="shared" si="3"/>
        <v>20</v>
      </c>
    </row>
    <row r="3262">
      <c r="A3262" s="8" t="str">
        <f>IFERROR(__xludf.DUMMYFUNCTION("IF('(INGESTA)Datos_consumo_datadis'!A3262&lt;&gt;"""",SPLIT('(INGESTA)Datos_consumo_datadis'!A:A,"",""),"""")"),"ES0031408323131005HX0F")</f>
        <v>ES0031408323131005HX0F</v>
      </c>
      <c r="B3262" s="12">
        <f>IFERROR(__xludf.DUMMYFUNCTION("""COMPUTED_VALUE"""),45001.0)</f>
        <v>45001</v>
      </c>
      <c r="C3262" s="13">
        <f>IFERROR(__xludf.DUMMYFUNCTION("""COMPUTED_VALUE"""),0.875)</f>
        <v>0.875</v>
      </c>
      <c r="D3262" s="8">
        <f>IFERROR(__xludf.DUMMYFUNCTION("""COMPUTED_VALUE"""),0.317)</f>
        <v>0.317</v>
      </c>
      <c r="E3262" s="8" t="str">
        <f>IFERROR(__xludf.DUMMYFUNCTION("""COMPUTED_VALUE"""),"Real")</f>
        <v>Real</v>
      </c>
      <c r="G3262" s="8">
        <f t="shared" si="1"/>
        <v>3</v>
      </c>
      <c r="H3262" s="14">
        <f t="shared" si="2"/>
        <v>16</v>
      </c>
      <c r="I3262" s="15">
        <f t="shared" si="3"/>
        <v>21</v>
      </c>
    </row>
    <row r="3263">
      <c r="A3263" s="8" t="str">
        <f>IFERROR(__xludf.DUMMYFUNCTION("IF('(INGESTA)Datos_consumo_datadis'!A3263&lt;&gt;"""",SPLIT('(INGESTA)Datos_consumo_datadis'!A:A,"",""),"""")"),"ES0031408323131005HX0F")</f>
        <v>ES0031408323131005HX0F</v>
      </c>
      <c r="B3263" s="12">
        <f>IFERROR(__xludf.DUMMYFUNCTION("""COMPUTED_VALUE"""),45001.0)</f>
        <v>45001</v>
      </c>
      <c r="C3263" s="13">
        <f>IFERROR(__xludf.DUMMYFUNCTION("""COMPUTED_VALUE"""),0.9166666666666666)</f>
        <v>0.9166666667</v>
      </c>
      <c r="D3263" s="8">
        <f>IFERROR(__xludf.DUMMYFUNCTION("""COMPUTED_VALUE"""),0.073)</f>
        <v>0.073</v>
      </c>
      <c r="E3263" s="8" t="str">
        <f>IFERROR(__xludf.DUMMYFUNCTION("""COMPUTED_VALUE"""),"Real")</f>
        <v>Real</v>
      </c>
      <c r="G3263" s="8">
        <f t="shared" si="1"/>
        <v>3</v>
      </c>
      <c r="H3263" s="14">
        <f t="shared" si="2"/>
        <v>16</v>
      </c>
      <c r="I3263" s="15">
        <f t="shared" si="3"/>
        <v>22</v>
      </c>
    </row>
    <row r="3264">
      <c r="A3264" s="8" t="str">
        <f>IFERROR(__xludf.DUMMYFUNCTION("IF('(INGESTA)Datos_consumo_datadis'!A3264&lt;&gt;"""",SPLIT('(INGESTA)Datos_consumo_datadis'!A:A,"",""),"""")"),"ES0031408323131005HX0F")</f>
        <v>ES0031408323131005HX0F</v>
      </c>
      <c r="B3264" s="12">
        <f>IFERROR(__xludf.DUMMYFUNCTION("""COMPUTED_VALUE"""),45001.0)</f>
        <v>45001</v>
      </c>
      <c r="C3264" s="13">
        <f>IFERROR(__xludf.DUMMYFUNCTION("""COMPUTED_VALUE"""),0.9583333333333334)</f>
        <v>0.9583333333</v>
      </c>
      <c r="D3264" s="8">
        <f>IFERROR(__xludf.DUMMYFUNCTION("""COMPUTED_VALUE"""),0.286)</f>
        <v>0.286</v>
      </c>
      <c r="E3264" s="8" t="str">
        <f>IFERROR(__xludf.DUMMYFUNCTION("""COMPUTED_VALUE"""),"Real")</f>
        <v>Real</v>
      </c>
      <c r="G3264" s="8">
        <f t="shared" si="1"/>
        <v>3</v>
      </c>
      <c r="H3264" s="14">
        <f t="shared" si="2"/>
        <v>16</v>
      </c>
      <c r="I3264" s="15">
        <f t="shared" si="3"/>
        <v>23</v>
      </c>
    </row>
    <row r="3265">
      <c r="A3265" s="8" t="str">
        <f>IFERROR(__xludf.DUMMYFUNCTION("IF('(INGESTA)Datos_consumo_datadis'!A3265&lt;&gt;"""",SPLIT('(INGESTA)Datos_consumo_datadis'!A:A,"",""),"""")"),"ES0031408323131005HX0F")</f>
        <v>ES0031408323131005HX0F</v>
      </c>
      <c r="B3265" s="12">
        <f>IFERROR(__xludf.DUMMYFUNCTION("""COMPUTED_VALUE"""),45001.0)</f>
        <v>45001</v>
      </c>
      <c r="C3265" s="16">
        <f>IFERROR(__xludf.DUMMYFUNCTION("""COMPUTED_VALUE"""),1.0)</f>
        <v>1</v>
      </c>
      <c r="D3265" s="8">
        <f>IFERROR(__xludf.DUMMYFUNCTION("""COMPUTED_VALUE"""),1.938)</f>
        <v>1.938</v>
      </c>
      <c r="E3265" s="8" t="str">
        <f>IFERROR(__xludf.DUMMYFUNCTION("""COMPUTED_VALUE"""),"Real")</f>
        <v>Real</v>
      </c>
      <c r="G3265" s="8">
        <f t="shared" si="1"/>
        <v>3</v>
      </c>
      <c r="H3265" s="14">
        <f t="shared" si="2"/>
        <v>16</v>
      </c>
      <c r="I3265" s="15">
        <f t="shared" si="3"/>
        <v>0</v>
      </c>
    </row>
    <row r="3266">
      <c r="A3266" s="8" t="str">
        <f>IFERROR(__xludf.DUMMYFUNCTION("IF('(INGESTA)Datos_consumo_datadis'!A3266&lt;&gt;"""",SPLIT('(INGESTA)Datos_consumo_datadis'!A:A,"",""),"""")"),"ES0031408323131005HX0F")</f>
        <v>ES0031408323131005HX0F</v>
      </c>
      <c r="B3266" s="12">
        <f>IFERROR(__xludf.DUMMYFUNCTION("""COMPUTED_VALUE"""),45002.0)</f>
        <v>45002</v>
      </c>
      <c r="C3266" s="13">
        <f>IFERROR(__xludf.DUMMYFUNCTION("""COMPUTED_VALUE"""),0.041666666666666664)</f>
        <v>0.04166666667</v>
      </c>
      <c r="D3266" s="8">
        <f>IFERROR(__xludf.DUMMYFUNCTION("""COMPUTED_VALUE"""),0.513)</f>
        <v>0.513</v>
      </c>
      <c r="E3266" s="8" t="str">
        <f>IFERROR(__xludf.DUMMYFUNCTION("""COMPUTED_VALUE"""),"Real")</f>
        <v>Real</v>
      </c>
      <c r="G3266" s="8">
        <f t="shared" si="1"/>
        <v>3</v>
      </c>
      <c r="H3266" s="14">
        <f t="shared" si="2"/>
        <v>17</v>
      </c>
      <c r="I3266" s="15">
        <f t="shared" si="3"/>
        <v>1</v>
      </c>
    </row>
    <row r="3267">
      <c r="A3267" s="8" t="str">
        <f>IFERROR(__xludf.DUMMYFUNCTION("IF('(INGESTA)Datos_consumo_datadis'!A3267&lt;&gt;"""",SPLIT('(INGESTA)Datos_consumo_datadis'!A:A,"",""),"""")"),"ES0031408323131005HX0F")</f>
        <v>ES0031408323131005HX0F</v>
      </c>
      <c r="B3267" s="12">
        <f>IFERROR(__xludf.DUMMYFUNCTION("""COMPUTED_VALUE"""),45002.0)</f>
        <v>45002</v>
      </c>
      <c r="C3267" s="13">
        <f>IFERROR(__xludf.DUMMYFUNCTION("""COMPUTED_VALUE"""),0.08333333333333333)</f>
        <v>0.08333333333</v>
      </c>
      <c r="D3267" s="8">
        <f>IFERROR(__xludf.DUMMYFUNCTION("""COMPUTED_VALUE"""),0.072)</f>
        <v>0.072</v>
      </c>
      <c r="E3267" s="8" t="str">
        <f>IFERROR(__xludf.DUMMYFUNCTION("""COMPUTED_VALUE"""),"Real")</f>
        <v>Real</v>
      </c>
      <c r="G3267" s="8">
        <f t="shared" si="1"/>
        <v>3</v>
      </c>
      <c r="H3267" s="14">
        <f t="shared" si="2"/>
        <v>17</v>
      </c>
      <c r="I3267" s="15">
        <f t="shared" si="3"/>
        <v>2</v>
      </c>
    </row>
    <row r="3268">
      <c r="A3268" s="8" t="str">
        <f>IFERROR(__xludf.DUMMYFUNCTION("IF('(INGESTA)Datos_consumo_datadis'!A3268&lt;&gt;"""",SPLIT('(INGESTA)Datos_consumo_datadis'!A:A,"",""),"""")"),"ES0031408323131005HX0F")</f>
        <v>ES0031408323131005HX0F</v>
      </c>
      <c r="B3268" s="12">
        <f>IFERROR(__xludf.DUMMYFUNCTION("""COMPUTED_VALUE"""),45002.0)</f>
        <v>45002</v>
      </c>
      <c r="C3268" s="13">
        <f>IFERROR(__xludf.DUMMYFUNCTION("""COMPUTED_VALUE"""),0.125)</f>
        <v>0.125</v>
      </c>
      <c r="D3268" s="8">
        <f>IFERROR(__xludf.DUMMYFUNCTION("""COMPUTED_VALUE"""),0.33)</f>
        <v>0.33</v>
      </c>
      <c r="E3268" s="8" t="str">
        <f>IFERROR(__xludf.DUMMYFUNCTION("""COMPUTED_VALUE"""),"Real")</f>
        <v>Real</v>
      </c>
      <c r="G3268" s="8">
        <f t="shared" si="1"/>
        <v>3</v>
      </c>
      <c r="H3268" s="14">
        <f t="shared" si="2"/>
        <v>17</v>
      </c>
      <c r="I3268" s="15">
        <f t="shared" si="3"/>
        <v>3</v>
      </c>
    </row>
    <row r="3269">
      <c r="A3269" s="8" t="str">
        <f>IFERROR(__xludf.DUMMYFUNCTION("IF('(INGESTA)Datos_consumo_datadis'!A3269&lt;&gt;"""",SPLIT('(INGESTA)Datos_consumo_datadis'!A:A,"",""),"""")"),"ES0031408323131005HX0F")</f>
        <v>ES0031408323131005HX0F</v>
      </c>
      <c r="B3269" s="12">
        <f>IFERROR(__xludf.DUMMYFUNCTION("""COMPUTED_VALUE"""),45002.0)</f>
        <v>45002</v>
      </c>
      <c r="C3269" s="13">
        <f>IFERROR(__xludf.DUMMYFUNCTION("""COMPUTED_VALUE"""),0.16666666666666666)</f>
        <v>0.1666666667</v>
      </c>
      <c r="D3269" s="8">
        <f>IFERROR(__xludf.DUMMYFUNCTION("""COMPUTED_VALUE"""),0.109)</f>
        <v>0.109</v>
      </c>
      <c r="E3269" s="8" t="str">
        <f>IFERROR(__xludf.DUMMYFUNCTION("""COMPUTED_VALUE"""),"Real")</f>
        <v>Real</v>
      </c>
      <c r="G3269" s="8">
        <f t="shared" si="1"/>
        <v>3</v>
      </c>
      <c r="H3269" s="14">
        <f t="shared" si="2"/>
        <v>17</v>
      </c>
      <c r="I3269" s="15">
        <f t="shared" si="3"/>
        <v>4</v>
      </c>
    </row>
    <row r="3270">
      <c r="A3270" s="8" t="str">
        <f>IFERROR(__xludf.DUMMYFUNCTION("IF('(INGESTA)Datos_consumo_datadis'!A3270&lt;&gt;"""",SPLIT('(INGESTA)Datos_consumo_datadis'!A:A,"",""),"""")"),"ES0031408323131005HX0F")</f>
        <v>ES0031408323131005HX0F</v>
      </c>
      <c r="B3270" s="12">
        <f>IFERROR(__xludf.DUMMYFUNCTION("""COMPUTED_VALUE"""),45002.0)</f>
        <v>45002</v>
      </c>
      <c r="C3270" s="13">
        <f>IFERROR(__xludf.DUMMYFUNCTION("""COMPUTED_VALUE"""),0.20833333333333334)</f>
        <v>0.2083333333</v>
      </c>
      <c r="D3270" s="8">
        <f>IFERROR(__xludf.DUMMYFUNCTION("""COMPUTED_VALUE"""),0.051)</f>
        <v>0.051</v>
      </c>
      <c r="E3270" s="8" t="str">
        <f>IFERROR(__xludf.DUMMYFUNCTION("""COMPUTED_VALUE"""),"Real")</f>
        <v>Real</v>
      </c>
      <c r="G3270" s="8">
        <f t="shared" si="1"/>
        <v>3</v>
      </c>
      <c r="H3270" s="14">
        <f t="shared" si="2"/>
        <v>17</v>
      </c>
      <c r="I3270" s="15">
        <f t="shared" si="3"/>
        <v>5</v>
      </c>
    </row>
    <row r="3271">
      <c r="A3271" s="8" t="str">
        <f>IFERROR(__xludf.DUMMYFUNCTION("IF('(INGESTA)Datos_consumo_datadis'!A3271&lt;&gt;"""",SPLIT('(INGESTA)Datos_consumo_datadis'!A:A,"",""),"""")"),"ES0031408323131005HX0F")</f>
        <v>ES0031408323131005HX0F</v>
      </c>
      <c r="B3271" s="12">
        <f>IFERROR(__xludf.DUMMYFUNCTION("""COMPUTED_VALUE"""),45002.0)</f>
        <v>45002</v>
      </c>
      <c r="C3271" s="13">
        <f>IFERROR(__xludf.DUMMYFUNCTION("""COMPUTED_VALUE"""),0.25)</f>
        <v>0.25</v>
      </c>
      <c r="D3271" s="8">
        <f>IFERROR(__xludf.DUMMYFUNCTION("""COMPUTED_VALUE"""),0.018)</f>
        <v>0.018</v>
      </c>
      <c r="E3271" s="8" t="str">
        <f>IFERROR(__xludf.DUMMYFUNCTION("""COMPUTED_VALUE"""),"Real")</f>
        <v>Real</v>
      </c>
      <c r="G3271" s="8">
        <f t="shared" si="1"/>
        <v>3</v>
      </c>
      <c r="H3271" s="14">
        <f t="shared" si="2"/>
        <v>17</v>
      </c>
      <c r="I3271" s="15">
        <f t="shared" si="3"/>
        <v>6</v>
      </c>
    </row>
    <row r="3272">
      <c r="A3272" s="8" t="str">
        <f>IFERROR(__xludf.DUMMYFUNCTION("IF('(INGESTA)Datos_consumo_datadis'!A3272&lt;&gt;"""",SPLIT('(INGESTA)Datos_consumo_datadis'!A:A,"",""),"""")"),"ES0031408323131005HX0F")</f>
        <v>ES0031408323131005HX0F</v>
      </c>
      <c r="B3272" s="12">
        <f>IFERROR(__xludf.DUMMYFUNCTION("""COMPUTED_VALUE"""),45002.0)</f>
        <v>45002</v>
      </c>
      <c r="C3272" s="13">
        <f>IFERROR(__xludf.DUMMYFUNCTION("""COMPUTED_VALUE"""),0.2916666666666667)</f>
        <v>0.2916666667</v>
      </c>
      <c r="D3272" s="8">
        <f>IFERROR(__xludf.DUMMYFUNCTION("""COMPUTED_VALUE"""),0.349)</f>
        <v>0.349</v>
      </c>
      <c r="E3272" s="8" t="str">
        <f>IFERROR(__xludf.DUMMYFUNCTION("""COMPUTED_VALUE"""),"Real")</f>
        <v>Real</v>
      </c>
      <c r="G3272" s="8">
        <f t="shared" si="1"/>
        <v>3</v>
      </c>
      <c r="H3272" s="14">
        <f t="shared" si="2"/>
        <v>17</v>
      </c>
      <c r="I3272" s="15">
        <f t="shared" si="3"/>
        <v>7</v>
      </c>
    </row>
    <row r="3273">
      <c r="A3273" s="8" t="str">
        <f>IFERROR(__xludf.DUMMYFUNCTION("IF('(INGESTA)Datos_consumo_datadis'!A3273&lt;&gt;"""",SPLIT('(INGESTA)Datos_consumo_datadis'!A:A,"",""),"""")"),"ES0031408323131005HX0F")</f>
        <v>ES0031408323131005HX0F</v>
      </c>
      <c r="B3273" s="12">
        <f>IFERROR(__xludf.DUMMYFUNCTION("""COMPUTED_VALUE"""),45002.0)</f>
        <v>45002</v>
      </c>
      <c r="C3273" s="13">
        <f>IFERROR(__xludf.DUMMYFUNCTION("""COMPUTED_VALUE"""),0.3333333333333333)</f>
        <v>0.3333333333</v>
      </c>
      <c r="D3273" s="8">
        <f>IFERROR(__xludf.DUMMYFUNCTION("""COMPUTED_VALUE"""),1.517)</f>
        <v>1.517</v>
      </c>
      <c r="E3273" s="8" t="str">
        <f>IFERROR(__xludf.DUMMYFUNCTION("""COMPUTED_VALUE"""),"Real")</f>
        <v>Real</v>
      </c>
      <c r="G3273" s="8">
        <f t="shared" si="1"/>
        <v>3</v>
      </c>
      <c r="H3273" s="14">
        <f t="shared" si="2"/>
        <v>17</v>
      </c>
      <c r="I3273" s="15">
        <f t="shared" si="3"/>
        <v>8</v>
      </c>
    </row>
    <row r="3274">
      <c r="A3274" s="8" t="str">
        <f>IFERROR(__xludf.DUMMYFUNCTION("IF('(INGESTA)Datos_consumo_datadis'!A3274&lt;&gt;"""",SPLIT('(INGESTA)Datos_consumo_datadis'!A:A,"",""),"""")"),"ES0031408323131005HX0F")</f>
        <v>ES0031408323131005HX0F</v>
      </c>
      <c r="B3274" s="12">
        <f>IFERROR(__xludf.DUMMYFUNCTION("""COMPUTED_VALUE"""),45002.0)</f>
        <v>45002</v>
      </c>
      <c r="C3274" s="13">
        <f>IFERROR(__xludf.DUMMYFUNCTION("""COMPUTED_VALUE"""),0.375)</f>
        <v>0.375</v>
      </c>
      <c r="D3274" s="8">
        <f>IFERROR(__xludf.DUMMYFUNCTION("""COMPUTED_VALUE"""),1.094)</f>
        <v>1.094</v>
      </c>
      <c r="E3274" s="8" t="str">
        <f>IFERROR(__xludf.DUMMYFUNCTION("""COMPUTED_VALUE"""),"Real")</f>
        <v>Real</v>
      </c>
      <c r="G3274" s="8">
        <f t="shared" si="1"/>
        <v>3</v>
      </c>
      <c r="H3274" s="14">
        <f t="shared" si="2"/>
        <v>17</v>
      </c>
      <c r="I3274" s="15">
        <f t="shared" si="3"/>
        <v>9</v>
      </c>
    </row>
    <row r="3275">
      <c r="A3275" s="8" t="str">
        <f>IFERROR(__xludf.DUMMYFUNCTION("IF('(INGESTA)Datos_consumo_datadis'!A3275&lt;&gt;"""",SPLIT('(INGESTA)Datos_consumo_datadis'!A:A,"",""),"""")"),"ES0031408323131005HX0F")</f>
        <v>ES0031408323131005HX0F</v>
      </c>
      <c r="B3275" s="12">
        <f>IFERROR(__xludf.DUMMYFUNCTION("""COMPUTED_VALUE"""),45002.0)</f>
        <v>45002</v>
      </c>
      <c r="C3275" s="13">
        <f>IFERROR(__xludf.DUMMYFUNCTION("""COMPUTED_VALUE"""),0.4166666666666667)</f>
        <v>0.4166666667</v>
      </c>
      <c r="D3275" s="8">
        <f>IFERROR(__xludf.DUMMYFUNCTION("""COMPUTED_VALUE"""),0.028)</f>
        <v>0.028</v>
      </c>
      <c r="E3275" s="8" t="str">
        <f>IFERROR(__xludf.DUMMYFUNCTION("""COMPUTED_VALUE"""),"Real")</f>
        <v>Real</v>
      </c>
      <c r="G3275" s="8">
        <f t="shared" si="1"/>
        <v>3</v>
      </c>
      <c r="H3275" s="14">
        <f t="shared" si="2"/>
        <v>17</v>
      </c>
      <c r="I3275" s="15">
        <f t="shared" si="3"/>
        <v>10</v>
      </c>
    </row>
    <row r="3276">
      <c r="A3276" s="8" t="str">
        <f>IFERROR(__xludf.DUMMYFUNCTION("IF('(INGESTA)Datos_consumo_datadis'!A3276&lt;&gt;"""",SPLIT('(INGESTA)Datos_consumo_datadis'!A:A,"",""),"""")"),"ES0031408323131005HX0F")</f>
        <v>ES0031408323131005HX0F</v>
      </c>
      <c r="B3276" s="12">
        <f>IFERROR(__xludf.DUMMYFUNCTION("""COMPUTED_VALUE"""),45002.0)</f>
        <v>45002</v>
      </c>
      <c r="C3276" s="13">
        <f>IFERROR(__xludf.DUMMYFUNCTION("""COMPUTED_VALUE"""),0.4583333333333333)</f>
        <v>0.4583333333</v>
      </c>
      <c r="D3276" s="8">
        <f>IFERROR(__xludf.DUMMYFUNCTION("""COMPUTED_VALUE"""),0.213)</f>
        <v>0.213</v>
      </c>
      <c r="E3276" s="8" t="str">
        <f>IFERROR(__xludf.DUMMYFUNCTION("""COMPUTED_VALUE"""),"Real")</f>
        <v>Real</v>
      </c>
      <c r="G3276" s="8">
        <f t="shared" si="1"/>
        <v>3</v>
      </c>
      <c r="H3276" s="14">
        <f t="shared" si="2"/>
        <v>17</v>
      </c>
      <c r="I3276" s="15">
        <f t="shared" si="3"/>
        <v>11</v>
      </c>
    </row>
    <row r="3277">
      <c r="A3277" s="8" t="str">
        <f>IFERROR(__xludf.DUMMYFUNCTION("IF('(INGESTA)Datos_consumo_datadis'!A3277&lt;&gt;"""",SPLIT('(INGESTA)Datos_consumo_datadis'!A:A,"",""),"""")"),"ES0031408323131005HX0F")</f>
        <v>ES0031408323131005HX0F</v>
      </c>
      <c r="B3277" s="12">
        <f>IFERROR(__xludf.DUMMYFUNCTION("""COMPUTED_VALUE"""),45002.0)</f>
        <v>45002</v>
      </c>
      <c r="C3277" s="13">
        <f>IFERROR(__xludf.DUMMYFUNCTION("""COMPUTED_VALUE"""),0.5)</f>
        <v>0.5</v>
      </c>
      <c r="D3277" s="8">
        <f>IFERROR(__xludf.DUMMYFUNCTION("""COMPUTED_VALUE"""),0.1)</f>
        <v>0.1</v>
      </c>
      <c r="E3277" s="8" t="str">
        <f>IFERROR(__xludf.DUMMYFUNCTION("""COMPUTED_VALUE"""),"Real")</f>
        <v>Real</v>
      </c>
      <c r="G3277" s="8">
        <f t="shared" si="1"/>
        <v>3</v>
      </c>
      <c r="H3277" s="14">
        <f t="shared" si="2"/>
        <v>17</v>
      </c>
      <c r="I3277" s="15">
        <f t="shared" si="3"/>
        <v>12</v>
      </c>
    </row>
    <row r="3278">
      <c r="A3278" s="8" t="str">
        <f>IFERROR(__xludf.DUMMYFUNCTION("IF('(INGESTA)Datos_consumo_datadis'!A3278&lt;&gt;"""",SPLIT('(INGESTA)Datos_consumo_datadis'!A:A,"",""),"""")"),"ES0031408323131005HX0F")</f>
        <v>ES0031408323131005HX0F</v>
      </c>
      <c r="B3278" s="12">
        <f>IFERROR(__xludf.DUMMYFUNCTION("""COMPUTED_VALUE"""),45002.0)</f>
        <v>45002</v>
      </c>
      <c r="C3278" s="13">
        <f>IFERROR(__xludf.DUMMYFUNCTION("""COMPUTED_VALUE"""),0.5416666666666666)</f>
        <v>0.5416666667</v>
      </c>
      <c r="D3278" s="8">
        <f>IFERROR(__xludf.DUMMYFUNCTION("""COMPUTED_VALUE"""),0.404)</f>
        <v>0.404</v>
      </c>
      <c r="E3278" s="8" t="str">
        <f>IFERROR(__xludf.DUMMYFUNCTION("""COMPUTED_VALUE"""),"Real")</f>
        <v>Real</v>
      </c>
      <c r="G3278" s="8">
        <f t="shared" si="1"/>
        <v>3</v>
      </c>
      <c r="H3278" s="14">
        <f t="shared" si="2"/>
        <v>17</v>
      </c>
      <c r="I3278" s="15">
        <f t="shared" si="3"/>
        <v>13</v>
      </c>
    </row>
    <row r="3279">
      <c r="A3279" s="8" t="str">
        <f>IFERROR(__xludf.DUMMYFUNCTION("IF('(INGESTA)Datos_consumo_datadis'!A3279&lt;&gt;"""",SPLIT('(INGESTA)Datos_consumo_datadis'!A:A,"",""),"""")"),"ES0031408323131005HX0F")</f>
        <v>ES0031408323131005HX0F</v>
      </c>
      <c r="B3279" s="12">
        <f>IFERROR(__xludf.DUMMYFUNCTION("""COMPUTED_VALUE"""),45002.0)</f>
        <v>45002</v>
      </c>
      <c r="C3279" s="13">
        <f>IFERROR(__xludf.DUMMYFUNCTION("""COMPUTED_VALUE"""),0.5833333333333334)</f>
        <v>0.5833333333</v>
      </c>
      <c r="D3279" s="8">
        <f>IFERROR(__xludf.DUMMYFUNCTION("""COMPUTED_VALUE"""),0.017)</f>
        <v>0.017</v>
      </c>
      <c r="E3279" s="8" t="str">
        <f>IFERROR(__xludf.DUMMYFUNCTION("""COMPUTED_VALUE"""),"Real")</f>
        <v>Real</v>
      </c>
      <c r="G3279" s="8">
        <f t="shared" si="1"/>
        <v>3</v>
      </c>
      <c r="H3279" s="14">
        <f t="shared" si="2"/>
        <v>17</v>
      </c>
      <c r="I3279" s="15">
        <f t="shared" si="3"/>
        <v>14</v>
      </c>
    </row>
    <row r="3280">
      <c r="A3280" s="8" t="str">
        <f>IFERROR(__xludf.DUMMYFUNCTION("IF('(INGESTA)Datos_consumo_datadis'!A3280&lt;&gt;"""",SPLIT('(INGESTA)Datos_consumo_datadis'!A:A,"",""),"""")"),"ES0031408323131005HX0F")</f>
        <v>ES0031408323131005HX0F</v>
      </c>
      <c r="B3280" s="12">
        <f>IFERROR(__xludf.DUMMYFUNCTION("""COMPUTED_VALUE"""),45002.0)</f>
        <v>45002</v>
      </c>
      <c r="C3280" s="13">
        <f>IFERROR(__xludf.DUMMYFUNCTION("""COMPUTED_VALUE"""),0.625)</f>
        <v>0.625</v>
      </c>
      <c r="D3280" s="8">
        <f>IFERROR(__xludf.DUMMYFUNCTION("""COMPUTED_VALUE"""),0.108)</f>
        <v>0.108</v>
      </c>
      <c r="E3280" s="8" t="str">
        <f>IFERROR(__xludf.DUMMYFUNCTION("""COMPUTED_VALUE"""),"Real")</f>
        <v>Real</v>
      </c>
      <c r="G3280" s="8">
        <f t="shared" si="1"/>
        <v>3</v>
      </c>
      <c r="H3280" s="14">
        <f t="shared" si="2"/>
        <v>17</v>
      </c>
      <c r="I3280" s="15">
        <f t="shared" si="3"/>
        <v>15</v>
      </c>
    </row>
    <row r="3281">
      <c r="A3281" s="8" t="str">
        <f>IFERROR(__xludf.DUMMYFUNCTION("IF('(INGESTA)Datos_consumo_datadis'!A3281&lt;&gt;"""",SPLIT('(INGESTA)Datos_consumo_datadis'!A:A,"",""),"""")"),"ES0031408323131005HX0F")</f>
        <v>ES0031408323131005HX0F</v>
      </c>
      <c r="B3281" s="12">
        <f>IFERROR(__xludf.DUMMYFUNCTION("""COMPUTED_VALUE"""),45002.0)</f>
        <v>45002</v>
      </c>
      <c r="C3281" s="13">
        <f>IFERROR(__xludf.DUMMYFUNCTION("""COMPUTED_VALUE"""),0.6666666666666666)</f>
        <v>0.6666666667</v>
      </c>
      <c r="D3281" s="8">
        <f>IFERROR(__xludf.DUMMYFUNCTION("""COMPUTED_VALUE"""),0.034)</f>
        <v>0.034</v>
      </c>
      <c r="E3281" s="8" t="str">
        <f>IFERROR(__xludf.DUMMYFUNCTION("""COMPUTED_VALUE"""),"Real")</f>
        <v>Real</v>
      </c>
      <c r="G3281" s="8">
        <f t="shared" si="1"/>
        <v>3</v>
      </c>
      <c r="H3281" s="14">
        <f t="shared" si="2"/>
        <v>17</v>
      </c>
      <c r="I3281" s="15">
        <f t="shared" si="3"/>
        <v>16</v>
      </c>
    </row>
    <row r="3282">
      <c r="A3282" s="8" t="str">
        <f>IFERROR(__xludf.DUMMYFUNCTION("IF('(INGESTA)Datos_consumo_datadis'!A3282&lt;&gt;"""",SPLIT('(INGESTA)Datos_consumo_datadis'!A:A,"",""),"""")"),"ES0031408323131005HX0F")</f>
        <v>ES0031408323131005HX0F</v>
      </c>
      <c r="B3282" s="12">
        <f>IFERROR(__xludf.DUMMYFUNCTION("""COMPUTED_VALUE"""),45002.0)</f>
        <v>45002</v>
      </c>
      <c r="C3282" s="13">
        <f>IFERROR(__xludf.DUMMYFUNCTION("""COMPUTED_VALUE"""),0.7083333333333334)</f>
        <v>0.7083333333</v>
      </c>
      <c r="D3282" s="8">
        <f>IFERROR(__xludf.DUMMYFUNCTION("""COMPUTED_VALUE"""),0.073)</f>
        <v>0.073</v>
      </c>
      <c r="E3282" s="8" t="str">
        <f>IFERROR(__xludf.DUMMYFUNCTION("""COMPUTED_VALUE"""),"Real")</f>
        <v>Real</v>
      </c>
      <c r="G3282" s="8">
        <f t="shared" si="1"/>
        <v>3</v>
      </c>
      <c r="H3282" s="14">
        <f t="shared" si="2"/>
        <v>17</v>
      </c>
      <c r="I3282" s="15">
        <f t="shared" si="3"/>
        <v>17</v>
      </c>
    </row>
    <row r="3283">
      <c r="A3283" s="8" t="str">
        <f>IFERROR(__xludf.DUMMYFUNCTION("IF('(INGESTA)Datos_consumo_datadis'!A3283&lt;&gt;"""",SPLIT('(INGESTA)Datos_consumo_datadis'!A:A,"",""),"""")"),"ES0031408323131005HX0F")</f>
        <v>ES0031408323131005HX0F</v>
      </c>
      <c r="B3283" s="12">
        <f>IFERROR(__xludf.DUMMYFUNCTION("""COMPUTED_VALUE"""),45002.0)</f>
        <v>45002</v>
      </c>
      <c r="C3283" s="13">
        <f>IFERROR(__xludf.DUMMYFUNCTION("""COMPUTED_VALUE"""),0.75)</f>
        <v>0.75</v>
      </c>
      <c r="D3283" s="8">
        <f>IFERROR(__xludf.DUMMYFUNCTION("""COMPUTED_VALUE"""),0.28)</f>
        <v>0.28</v>
      </c>
      <c r="E3283" s="8" t="str">
        <f>IFERROR(__xludf.DUMMYFUNCTION("""COMPUTED_VALUE"""),"Real")</f>
        <v>Real</v>
      </c>
      <c r="G3283" s="8">
        <f t="shared" si="1"/>
        <v>3</v>
      </c>
      <c r="H3283" s="14">
        <f t="shared" si="2"/>
        <v>17</v>
      </c>
      <c r="I3283" s="15">
        <f t="shared" si="3"/>
        <v>18</v>
      </c>
    </row>
    <row r="3284">
      <c r="A3284" s="8" t="str">
        <f>IFERROR(__xludf.DUMMYFUNCTION("IF('(INGESTA)Datos_consumo_datadis'!A3284&lt;&gt;"""",SPLIT('(INGESTA)Datos_consumo_datadis'!A:A,"",""),"""")"),"ES0031408323131005HX0F")</f>
        <v>ES0031408323131005HX0F</v>
      </c>
      <c r="B3284" s="12">
        <f>IFERROR(__xludf.DUMMYFUNCTION("""COMPUTED_VALUE"""),45002.0)</f>
        <v>45002</v>
      </c>
      <c r="C3284" s="13">
        <f>IFERROR(__xludf.DUMMYFUNCTION("""COMPUTED_VALUE"""),0.7916666666666666)</f>
        <v>0.7916666667</v>
      </c>
      <c r="D3284" s="8">
        <f>IFERROR(__xludf.DUMMYFUNCTION("""COMPUTED_VALUE"""),0.092)</f>
        <v>0.092</v>
      </c>
      <c r="E3284" s="8" t="str">
        <f>IFERROR(__xludf.DUMMYFUNCTION("""COMPUTED_VALUE"""),"Real")</f>
        <v>Real</v>
      </c>
      <c r="G3284" s="8">
        <f t="shared" si="1"/>
        <v>3</v>
      </c>
      <c r="H3284" s="14">
        <f t="shared" si="2"/>
        <v>17</v>
      </c>
      <c r="I3284" s="15">
        <f t="shared" si="3"/>
        <v>19</v>
      </c>
    </row>
    <row r="3285">
      <c r="A3285" s="8" t="str">
        <f>IFERROR(__xludf.DUMMYFUNCTION("IF('(INGESTA)Datos_consumo_datadis'!A3285&lt;&gt;"""",SPLIT('(INGESTA)Datos_consumo_datadis'!A:A,"",""),"""")"),"ES0031408323131005HX0F")</f>
        <v>ES0031408323131005HX0F</v>
      </c>
      <c r="B3285" s="12">
        <f>IFERROR(__xludf.DUMMYFUNCTION("""COMPUTED_VALUE"""),45002.0)</f>
        <v>45002</v>
      </c>
      <c r="C3285" s="13">
        <f>IFERROR(__xludf.DUMMYFUNCTION("""COMPUTED_VALUE"""),0.8333333333333334)</f>
        <v>0.8333333333</v>
      </c>
      <c r="D3285" s="8">
        <f>IFERROR(__xludf.DUMMYFUNCTION("""COMPUTED_VALUE"""),0.047)</f>
        <v>0.047</v>
      </c>
      <c r="E3285" s="8" t="str">
        <f>IFERROR(__xludf.DUMMYFUNCTION("""COMPUTED_VALUE"""),"Real")</f>
        <v>Real</v>
      </c>
      <c r="G3285" s="8">
        <f t="shared" si="1"/>
        <v>3</v>
      </c>
      <c r="H3285" s="14">
        <f t="shared" si="2"/>
        <v>17</v>
      </c>
      <c r="I3285" s="15">
        <f t="shared" si="3"/>
        <v>20</v>
      </c>
    </row>
    <row r="3286">
      <c r="A3286" s="8" t="str">
        <f>IFERROR(__xludf.DUMMYFUNCTION("IF('(INGESTA)Datos_consumo_datadis'!A3286&lt;&gt;"""",SPLIT('(INGESTA)Datos_consumo_datadis'!A:A,"",""),"""")"),"ES0031408323131005HX0F")</f>
        <v>ES0031408323131005HX0F</v>
      </c>
      <c r="B3286" s="12">
        <f>IFERROR(__xludf.DUMMYFUNCTION("""COMPUTED_VALUE"""),45002.0)</f>
        <v>45002</v>
      </c>
      <c r="C3286" s="13">
        <f>IFERROR(__xludf.DUMMYFUNCTION("""COMPUTED_VALUE"""),0.875)</f>
        <v>0.875</v>
      </c>
      <c r="D3286" s="8">
        <f>IFERROR(__xludf.DUMMYFUNCTION("""COMPUTED_VALUE"""),0.077)</f>
        <v>0.077</v>
      </c>
      <c r="E3286" s="8" t="str">
        <f>IFERROR(__xludf.DUMMYFUNCTION("""COMPUTED_VALUE"""),"Real")</f>
        <v>Real</v>
      </c>
      <c r="G3286" s="8">
        <f t="shared" si="1"/>
        <v>3</v>
      </c>
      <c r="H3286" s="14">
        <f t="shared" si="2"/>
        <v>17</v>
      </c>
      <c r="I3286" s="15">
        <f t="shared" si="3"/>
        <v>21</v>
      </c>
    </row>
    <row r="3287">
      <c r="A3287" s="8" t="str">
        <f>IFERROR(__xludf.DUMMYFUNCTION("IF('(INGESTA)Datos_consumo_datadis'!A3287&lt;&gt;"""",SPLIT('(INGESTA)Datos_consumo_datadis'!A:A,"",""),"""")"),"ES0031408323131005HX0F")</f>
        <v>ES0031408323131005HX0F</v>
      </c>
      <c r="B3287" s="12">
        <f>IFERROR(__xludf.DUMMYFUNCTION("""COMPUTED_VALUE"""),45002.0)</f>
        <v>45002</v>
      </c>
      <c r="C3287" s="13">
        <f>IFERROR(__xludf.DUMMYFUNCTION("""COMPUTED_VALUE"""),0.9166666666666666)</f>
        <v>0.9166666667</v>
      </c>
      <c r="D3287" s="8">
        <f>IFERROR(__xludf.DUMMYFUNCTION("""COMPUTED_VALUE"""),0.071)</f>
        <v>0.071</v>
      </c>
      <c r="E3287" s="8" t="str">
        <f>IFERROR(__xludf.DUMMYFUNCTION("""COMPUTED_VALUE"""),"Real")</f>
        <v>Real</v>
      </c>
      <c r="G3287" s="8">
        <f t="shared" si="1"/>
        <v>3</v>
      </c>
      <c r="H3287" s="14">
        <f t="shared" si="2"/>
        <v>17</v>
      </c>
      <c r="I3287" s="15">
        <f t="shared" si="3"/>
        <v>22</v>
      </c>
    </row>
    <row r="3288">
      <c r="A3288" s="8" t="str">
        <f>IFERROR(__xludf.DUMMYFUNCTION("IF('(INGESTA)Datos_consumo_datadis'!A3288&lt;&gt;"""",SPLIT('(INGESTA)Datos_consumo_datadis'!A:A,"",""),"""")"),"ES0031408323131005HX0F")</f>
        <v>ES0031408323131005HX0F</v>
      </c>
      <c r="B3288" s="12">
        <f>IFERROR(__xludf.DUMMYFUNCTION("""COMPUTED_VALUE"""),45002.0)</f>
        <v>45002</v>
      </c>
      <c r="C3288" s="13">
        <f>IFERROR(__xludf.DUMMYFUNCTION("""COMPUTED_VALUE"""),0.9583333333333334)</f>
        <v>0.9583333333</v>
      </c>
      <c r="D3288" s="8">
        <f>IFERROR(__xludf.DUMMYFUNCTION("""COMPUTED_VALUE"""),0.891)</f>
        <v>0.891</v>
      </c>
      <c r="E3288" s="8" t="str">
        <f>IFERROR(__xludf.DUMMYFUNCTION("""COMPUTED_VALUE"""),"Real")</f>
        <v>Real</v>
      </c>
      <c r="G3288" s="8">
        <f t="shared" si="1"/>
        <v>3</v>
      </c>
      <c r="H3288" s="14">
        <f t="shared" si="2"/>
        <v>17</v>
      </c>
      <c r="I3288" s="15">
        <f t="shared" si="3"/>
        <v>23</v>
      </c>
    </row>
    <row r="3289">
      <c r="A3289" s="8" t="str">
        <f>IFERROR(__xludf.DUMMYFUNCTION("IF('(INGESTA)Datos_consumo_datadis'!A3289&lt;&gt;"""",SPLIT('(INGESTA)Datos_consumo_datadis'!A:A,"",""),"""")"),"ES0031408323131005HX0F")</f>
        <v>ES0031408323131005HX0F</v>
      </c>
      <c r="B3289" s="12">
        <f>IFERROR(__xludf.DUMMYFUNCTION("""COMPUTED_VALUE"""),45002.0)</f>
        <v>45002</v>
      </c>
      <c r="C3289" s="16">
        <f>IFERROR(__xludf.DUMMYFUNCTION("""COMPUTED_VALUE"""),1.0)</f>
        <v>1</v>
      </c>
      <c r="D3289" s="8">
        <f>IFERROR(__xludf.DUMMYFUNCTION("""COMPUTED_VALUE"""),1.216)</f>
        <v>1.216</v>
      </c>
      <c r="E3289" s="8" t="str">
        <f>IFERROR(__xludf.DUMMYFUNCTION("""COMPUTED_VALUE"""),"Real")</f>
        <v>Real</v>
      </c>
      <c r="G3289" s="8">
        <f t="shared" si="1"/>
        <v>3</v>
      </c>
      <c r="H3289" s="14">
        <f t="shared" si="2"/>
        <v>17</v>
      </c>
      <c r="I3289" s="15">
        <f t="shared" si="3"/>
        <v>0</v>
      </c>
    </row>
    <row r="3290">
      <c r="A3290" s="8" t="str">
        <f>IFERROR(__xludf.DUMMYFUNCTION("IF('(INGESTA)Datos_consumo_datadis'!A3290&lt;&gt;"""",SPLIT('(INGESTA)Datos_consumo_datadis'!A:A,"",""),"""")"),"ES0031408323131005HX0F")</f>
        <v>ES0031408323131005HX0F</v>
      </c>
      <c r="B3290" s="12">
        <f>IFERROR(__xludf.DUMMYFUNCTION("""COMPUTED_VALUE"""),45003.0)</f>
        <v>45003</v>
      </c>
      <c r="C3290" s="13">
        <f>IFERROR(__xludf.DUMMYFUNCTION("""COMPUTED_VALUE"""),0.041666666666666664)</f>
        <v>0.04166666667</v>
      </c>
      <c r="D3290" s="8">
        <f>IFERROR(__xludf.DUMMYFUNCTION("""COMPUTED_VALUE"""),1.159)</f>
        <v>1.159</v>
      </c>
      <c r="E3290" s="8" t="str">
        <f>IFERROR(__xludf.DUMMYFUNCTION("""COMPUTED_VALUE"""),"Real")</f>
        <v>Real</v>
      </c>
      <c r="G3290" s="8">
        <f t="shared" si="1"/>
        <v>3</v>
      </c>
      <c r="H3290" s="14">
        <f t="shared" si="2"/>
        <v>18</v>
      </c>
      <c r="I3290" s="15">
        <f t="shared" si="3"/>
        <v>1</v>
      </c>
    </row>
    <row r="3291">
      <c r="A3291" s="8" t="str">
        <f>IFERROR(__xludf.DUMMYFUNCTION("IF('(INGESTA)Datos_consumo_datadis'!A3291&lt;&gt;"""",SPLIT('(INGESTA)Datos_consumo_datadis'!A:A,"",""),"""")"),"ES0031408323131005HX0F")</f>
        <v>ES0031408323131005HX0F</v>
      </c>
      <c r="B3291" s="12">
        <f>IFERROR(__xludf.DUMMYFUNCTION("""COMPUTED_VALUE"""),45003.0)</f>
        <v>45003</v>
      </c>
      <c r="C3291" s="13">
        <f>IFERROR(__xludf.DUMMYFUNCTION("""COMPUTED_VALUE"""),0.08333333333333333)</f>
        <v>0.08333333333</v>
      </c>
      <c r="D3291" s="8">
        <f>IFERROR(__xludf.DUMMYFUNCTION("""COMPUTED_VALUE"""),1.328)</f>
        <v>1.328</v>
      </c>
      <c r="E3291" s="8" t="str">
        <f>IFERROR(__xludf.DUMMYFUNCTION("""COMPUTED_VALUE"""),"Real")</f>
        <v>Real</v>
      </c>
      <c r="G3291" s="8">
        <f t="shared" si="1"/>
        <v>3</v>
      </c>
      <c r="H3291" s="14">
        <f t="shared" si="2"/>
        <v>18</v>
      </c>
      <c r="I3291" s="15">
        <f t="shared" si="3"/>
        <v>2</v>
      </c>
    </row>
    <row r="3292">
      <c r="A3292" s="8" t="str">
        <f>IFERROR(__xludf.DUMMYFUNCTION("IF('(INGESTA)Datos_consumo_datadis'!A3292&lt;&gt;"""",SPLIT('(INGESTA)Datos_consumo_datadis'!A:A,"",""),"""")"),"ES0031408323131005HX0F")</f>
        <v>ES0031408323131005HX0F</v>
      </c>
      <c r="B3292" s="12">
        <f>IFERROR(__xludf.DUMMYFUNCTION("""COMPUTED_VALUE"""),45003.0)</f>
        <v>45003</v>
      </c>
      <c r="C3292" s="13">
        <f>IFERROR(__xludf.DUMMYFUNCTION("""COMPUTED_VALUE"""),0.125)</f>
        <v>0.125</v>
      </c>
      <c r="D3292" s="8">
        <f>IFERROR(__xludf.DUMMYFUNCTION("""COMPUTED_VALUE"""),1.297)</f>
        <v>1.297</v>
      </c>
      <c r="E3292" s="8" t="str">
        <f>IFERROR(__xludf.DUMMYFUNCTION("""COMPUTED_VALUE"""),"Real")</f>
        <v>Real</v>
      </c>
      <c r="G3292" s="8">
        <f t="shared" si="1"/>
        <v>3</v>
      </c>
      <c r="H3292" s="14">
        <f t="shared" si="2"/>
        <v>18</v>
      </c>
      <c r="I3292" s="15">
        <f t="shared" si="3"/>
        <v>3</v>
      </c>
    </row>
    <row r="3293">
      <c r="A3293" s="8" t="str">
        <f>IFERROR(__xludf.DUMMYFUNCTION("IF('(INGESTA)Datos_consumo_datadis'!A3293&lt;&gt;"""",SPLIT('(INGESTA)Datos_consumo_datadis'!A:A,"",""),"""")"),"ES0031408323131005HX0F")</f>
        <v>ES0031408323131005HX0F</v>
      </c>
      <c r="B3293" s="12">
        <f>IFERROR(__xludf.DUMMYFUNCTION("""COMPUTED_VALUE"""),45003.0)</f>
        <v>45003</v>
      </c>
      <c r="C3293" s="13">
        <f>IFERROR(__xludf.DUMMYFUNCTION("""COMPUTED_VALUE"""),0.16666666666666666)</f>
        <v>0.1666666667</v>
      </c>
      <c r="D3293" s="8">
        <f>IFERROR(__xludf.DUMMYFUNCTION("""COMPUTED_VALUE"""),1.241)</f>
        <v>1.241</v>
      </c>
      <c r="E3293" s="8" t="str">
        <f>IFERROR(__xludf.DUMMYFUNCTION("""COMPUTED_VALUE"""),"Real")</f>
        <v>Real</v>
      </c>
      <c r="G3293" s="8">
        <f t="shared" si="1"/>
        <v>3</v>
      </c>
      <c r="H3293" s="14">
        <f t="shared" si="2"/>
        <v>18</v>
      </c>
      <c r="I3293" s="15">
        <f t="shared" si="3"/>
        <v>4</v>
      </c>
    </row>
    <row r="3294">
      <c r="A3294" s="8" t="str">
        <f>IFERROR(__xludf.DUMMYFUNCTION("IF('(INGESTA)Datos_consumo_datadis'!A3294&lt;&gt;"""",SPLIT('(INGESTA)Datos_consumo_datadis'!A:A,"",""),"""")"),"ES0031408323131005HX0F")</f>
        <v>ES0031408323131005HX0F</v>
      </c>
      <c r="B3294" s="12">
        <f>IFERROR(__xludf.DUMMYFUNCTION("""COMPUTED_VALUE"""),45003.0)</f>
        <v>45003</v>
      </c>
      <c r="C3294" s="13">
        <f>IFERROR(__xludf.DUMMYFUNCTION("""COMPUTED_VALUE"""),0.20833333333333334)</f>
        <v>0.2083333333</v>
      </c>
      <c r="D3294" s="8">
        <f>IFERROR(__xludf.DUMMYFUNCTION("""COMPUTED_VALUE"""),1.284)</f>
        <v>1.284</v>
      </c>
      <c r="E3294" s="8" t="str">
        <f>IFERROR(__xludf.DUMMYFUNCTION("""COMPUTED_VALUE"""),"Real")</f>
        <v>Real</v>
      </c>
      <c r="G3294" s="8">
        <f t="shared" si="1"/>
        <v>3</v>
      </c>
      <c r="H3294" s="14">
        <f t="shared" si="2"/>
        <v>18</v>
      </c>
      <c r="I3294" s="15">
        <f t="shared" si="3"/>
        <v>5</v>
      </c>
    </row>
    <row r="3295">
      <c r="A3295" s="8" t="str">
        <f>IFERROR(__xludf.DUMMYFUNCTION("IF('(INGESTA)Datos_consumo_datadis'!A3295&lt;&gt;"""",SPLIT('(INGESTA)Datos_consumo_datadis'!A:A,"",""),"""")"),"ES0031408323131005HX0F")</f>
        <v>ES0031408323131005HX0F</v>
      </c>
      <c r="B3295" s="12">
        <f>IFERROR(__xludf.DUMMYFUNCTION("""COMPUTED_VALUE"""),45003.0)</f>
        <v>45003</v>
      </c>
      <c r="C3295" s="13">
        <f>IFERROR(__xludf.DUMMYFUNCTION("""COMPUTED_VALUE"""),0.25)</f>
        <v>0.25</v>
      </c>
      <c r="D3295" s="8">
        <f>IFERROR(__xludf.DUMMYFUNCTION("""COMPUTED_VALUE"""),1.545)</f>
        <v>1.545</v>
      </c>
      <c r="E3295" s="8" t="str">
        <f>IFERROR(__xludf.DUMMYFUNCTION("""COMPUTED_VALUE"""),"Real")</f>
        <v>Real</v>
      </c>
      <c r="G3295" s="8">
        <f t="shared" si="1"/>
        <v>3</v>
      </c>
      <c r="H3295" s="14">
        <f t="shared" si="2"/>
        <v>18</v>
      </c>
      <c r="I3295" s="15">
        <f t="shared" si="3"/>
        <v>6</v>
      </c>
    </row>
    <row r="3296">
      <c r="A3296" s="8" t="str">
        <f>IFERROR(__xludf.DUMMYFUNCTION("IF('(INGESTA)Datos_consumo_datadis'!A3296&lt;&gt;"""",SPLIT('(INGESTA)Datos_consumo_datadis'!A:A,"",""),"""")"),"ES0031408323131005HX0F")</f>
        <v>ES0031408323131005HX0F</v>
      </c>
      <c r="B3296" s="12">
        <f>IFERROR(__xludf.DUMMYFUNCTION("""COMPUTED_VALUE"""),45003.0)</f>
        <v>45003</v>
      </c>
      <c r="C3296" s="13">
        <f>IFERROR(__xludf.DUMMYFUNCTION("""COMPUTED_VALUE"""),0.2916666666666667)</f>
        <v>0.2916666667</v>
      </c>
      <c r="D3296" s="8">
        <f>IFERROR(__xludf.DUMMYFUNCTION("""COMPUTED_VALUE"""),1.251)</f>
        <v>1.251</v>
      </c>
      <c r="E3296" s="8" t="str">
        <f>IFERROR(__xludf.DUMMYFUNCTION("""COMPUTED_VALUE"""),"Real")</f>
        <v>Real</v>
      </c>
      <c r="G3296" s="8">
        <f t="shared" si="1"/>
        <v>3</v>
      </c>
      <c r="H3296" s="14">
        <f t="shared" si="2"/>
        <v>18</v>
      </c>
      <c r="I3296" s="15">
        <f t="shared" si="3"/>
        <v>7</v>
      </c>
    </row>
    <row r="3297">
      <c r="A3297" s="8" t="str">
        <f>IFERROR(__xludf.DUMMYFUNCTION("IF('(INGESTA)Datos_consumo_datadis'!A3297&lt;&gt;"""",SPLIT('(INGESTA)Datos_consumo_datadis'!A:A,"",""),"""")"),"ES0031408323131005HX0F")</f>
        <v>ES0031408323131005HX0F</v>
      </c>
      <c r="B3297" s="12">
        <f>IFERROR(__xludf.DUMMYFUNCTION("""COMPUTED_VALUE"""),45003.0)</f>
        <v>45003</v>
      </c>
      <c r="C3297" s="13">
        <f>IFERROR(__xludf.DUMMYFUNCTION("""COMPUTED_VALUE"""),0.3333333333333333)</f>
        <v>0.3333333333</v>
      </c>
      <c r="D3297" s="8">
        <f>IFERROR(__xludf.DUMMYFUNCTION("""COMPUTED_VALUE"""),1.215)</f>
        <v>1.215</v>
      </c>
      <c r="E3297" s="8" t="str">
        <f>IFERROR(__xludf.DUMMYFUNCTION("""COMPUTED_VALUE"""),"Real")</f>
        <v>Real</v>
      </c>
      <c r="G3297" s="8">
        <f t="shared" si="1"/>
        <v>3</v>
      </c>
      <c r="H3297" s="14">
        <f t="shared" si="2"/>
        <v>18</v>
      </c>
      <c r="I3297" s="15">
        <f t="shared" si="3"/>
        <v>8</v>
      </c>
    </row>
    <row r="3298">
      <c r="A3298" s="8" t="str">
        <f>IFERROR(__xludf.DUMMYFUNCTION("IF('(INGESTA)Datos_consumo_datadis'!A3298&lt;&gt;"""",SPLIT('(INGESTA)Datos_consumo_datadis'!A:A,"",""),"""")"),"ES0031408323131005HX0F")</f>
        <v>ES0031408323131005HX0F</v>
      </c>
      <c r="B3298" s="12">
        <f>IFERROR(__xludf.DUMMYFUNCTION("""COMPUTED_VALUE"""),45003.0)</f>
        <v>45003</v>
      </c>
      <c r="C3298" s="13">
        <f>IFERROR(__xludf.DUMMYFUNCTION("""COMPUTED_VALUE"""),0.375)</f>
        <v>0.375</v>
      </c>
      <c r="D3298" s="8">
        <f>IFERROR(__xludf.DUMMYFUNCTION("""COMPUTED_VALUE"""),1.276)</f>
        <v>1.276</v>
      </c>
      <c r="E3298" s="8" t="str">
        <f>IFERROR(__xludf.DUMMYFUNCTION("""COMPUTED_VALUE"""),"Real")</f>
        <v>Real</v>
      </c>
      <c r="G3298" s="8">
        <f t="shared" si="1"/>
        <v>3</v>
      </c>
      <c r="H3298" s="14">
        <f t="shared" si="2"/>
        <v>18</v>
      </c>
      <c r="I3298" s="15">
        <f t="shared" si="3"/>
        <v>9</v>
      </c>
    </row>
    <row r="3299">
      <c r="A3299" s="8" t="str">
        <f>IFERROR(__xludf.DUMMYFUNCTION("IF('(INGESTA)Datos_consumo_datadis'!A3299&lt;&gt;"""",SPLIT('(INGESTA)Datos_consumo_datadis'!A:A,"",""),"""")"),"ES0031408323131005HX0F")</f>
        <v>ES0031408323131005HX0F</v>
      </c>
      <c r="B3299" s="12">
        <f>IFERROR(__xludf.DUMMYFUNCTION("""COMPUTED_VALUE"""),45003.0)</f>
        <v>45003</v>
      </c>
      <c r="C3299" s="13">
        <f>IFERROR(__xludf.DUMMYFUNCTION("""COMPUTED_VALUE"""),0.4166666666666667)</f>
        <v>0.4166666667</v>
      </c>
      <c r="D3299" s="8">
        <f>IFERROR(__xludf.DUMMYFUNCTION("""COMPUTED_VALUE"""),1.265)</f>
        <v>1.265</v>
      </c>
      <c r="E3299" s="8" t="str">
        <f>IFERROR(__xludf.DUMMYFUNCTION("""COMPUTED_VALUE"""),"Real")</f>
        <v>Real</v>
      </c>
      <c r="G3299" s="8">
        <f t="shared" si="1"/>
        <v>3</v>
      </c>
      <c r="H3299" s="14">
        <f t="shared" si="2"/>
        <v>18</v>
      </c>
      <c r="I3299" s="15">
        <f t="shared" si="3"/>
        <v>10</v>
      </c>
    </row>
    <row r="3300">
      <c r="A3300" s="8" t="str">
        <f>IFERROR(__xludf.DUMMYFUNCTION("IF('(INGESTA)Datos_consumo_datadis'!A3300&lt;&gt;"""",SPLIT('(INGESTA)Datos_consumo_datadis'!A:A,"",""),"""")"),"ES0031408323131005HX0F")</f>
        <v>ES0031408323131005HX0F</v>
      </c>
      <c r="B3300" s="12">
        <f>IFERROR(__xludf.DUMMYFUNCTION("""COMPUTED_VALUE"""),45003.0)</f>
        <v>45003</v>
      </c>
      <c r="C3300" s="13">
        <f>IFERROR(__xludf.DUMMYFUNCTION("""COMPUTED_VALUE"""),0.4583333333333333)</f>
        <v>0.4583333333</v>
      </c>
      <c r="D3300" s="8">
        <f>IFERROR(__xludf.DUMMYFUNCTION("""COMPUTED_VALUE"""),1.917)</f>
        <v>1.917</v>
      </c>
      <c r="E3300" s="8" t="str">
        <f>IFERROR(__xludf.DUMMYFUNCTION("""COMPUTED_VALUE"""),"Real")</f>
        <v>Real</v>
      </c>
      <c r="G3300" s="8">
        <f t="shared" si="1"/>
        <v>3</v>
      </c>
      <c r="H3300" s="14">
        <f t="shared" si="2"/>
        <v>18</v>
      </c>
      <c r="I3300" s="15">
        <f t="shared" si="3"/>
        <v>11</v>
      </c>
    </row>
    <row r="3301">
      <c r="A3301" s="8" t="str">
        <f>IFERROR(__xludf.DUMMYFUNCTION("IF('(INGESTA)Datos_consumo_datadis'!A3301&lt;&gt;"""",SPLIT('(INGESTA)Datos_consumo_datadis'!A:A,"",""),"""")"),"ES0031408323131005HX0F")</f>
        <v>ES0031408323131005HX0F</v>
      </c>
      <c r="B3301" s="12">
        <f>IFERROR(__xludf.DUMMYFUNCTION("""COMPUTED_VALUE"""),45003.0)</f>
        <v>45003</v>
      </c>
      <c r="C3301" s="13">
        <f>IFERROR(__xludf.DUMMYFUNCTION("""COMPUTED_VALUE"""),0.5)</f>
        <v>0.5</v>
      </c>
      <c r="D3301" s="8">
        <f>IFERROR(__xludf.DUMMYFUNCTION("""COMPUTED_VALUE"""),2.52)</f>
        <v>2.52</v>
      </c>
      <c r="E3301" s="8" t="str">
        <f>IFERROR(__xludf.DUMMYFUNCTION("""COMPUTED_VALUE"""),"Real")</f>
        <v>Real</v>
      </c>
      <c r="G3301" s="8">
        <f t="shared" si="1"/>
        <v>3</v>
      </c>
      <c r="H3301" s="14">
        <f t="shared" si="2"/>
        <v>18</v>
      </c>
      <c r="I3301" s="15">
        <f t="shared" si="3"/>
        <v>12</v>
      </c>
    </row>
    <row r="3302">
      <c r="A3302" s="8" t="str">
        <f>IFERROR(__xludf.DUMMYFUNCTION("IF('(INGESTA)Datos_consumo_datadis'!A3302&lt;&gt;"""",SPLIT('(INGESTA)Datos_consumo_datadis'!A:A,"",""),"""")"),"ES0031408323131005HX0F")</f>
        <v>ES0031408323131005HX0F</v>
      </c>
      <c r="B3302" s="12">
        <f>IFERROR(__xludf.DUMMYFUNCTION("""COMPUTED_VALUE"""),45003.0)</f>
        <v>45003</v>
      </c>
      <c r="C3302" s="13">
        <f>IFERROR(__xludf.DUMMYFUNCTION("""COMPUTED_VALUE"""),0.5416666666666666)</f>
        <v>0.5416666667</v>
      </c>
      <c r="D3302" s="8">
        <f>IFERROR(__xludf.DUMMYFUNCTION("""COMPUTED_VALUE"""),1.195)</f>
        <v>1.195</v>
      </c>
      <c r="E3302" s="8" t="str">
        <f>IFERROR(__xludf.DUMMYFUNCTION("""COMPUTED_VALUE"""),"Real")</f>
        <v>Real</v>
      </c>
      <c r="G3302" s="8">
        <f t="shared" si="1"/>
        <v>3</v>
      </c>
      <c r="H3302" s="14">
        <f t="shared" si="2"/>
        <v>18</v>
      </c>
      <c r="I3302" s="15">
        <f t="shared" si="3"/>
        <v>13</v>
      </c>
    </row>
    <row r="3303">
      <c r="A3303" s="8" t="str">
        <f>IFERROR(__xludf.DUMMYFUNCTION("IF('(INGESTA)Datos_consumo_datadis'!A3303&lt;&gt;"""",SPLIT('(INGESTA)Datos_consumo_datadis'!A:A,"",""),"""")"),"ES0031408323131005HX0F")</f>
        <v>ES0031408323131005HX0F</v>
      </c>
      <c r="B3303" s="12">
        <f>IFERROR(__xludf.DUMMYFUNCTION("""COMPUTED_VALUE"""),45003.0)</f>
        <v>45003</v>
      </c>
      <c r="C3303" s="13">
        <f>IFERROR(__xludf.DUMMYFUNCTION("""COMPUTED_VALUE"""),0.5833333333333334)</f>
        <v>0.5833333333</v>
      </c>
      <c r="D3303" s="8">
        <f>IFERROR(__xludf.DUMMYFUNCTION("""COMPUTED_VALUE"""),0.077)</f>
        <v>0.077</v>
      </c>
      <c r="E3303" s="8" t="str">
        <f>IFERROR(__xludf.DUMMYFUNCTION("""COMPUTED_VALUE"""),"Real")</f>
        <v>Real</v>
      </c>
      <c r="G3303" s="8">
        <f t="shared" si="1"/>
        <v>3</v>
      </c>
      <c r="H3303" s="14">
        <f t="shared" si="2"/>
        <v>18</v>
      </c>
      <c r="I3303" s="15">
        <f t="shared" si="3"/>
        <v>14</v>
      </c>
    </row>
    <row r="3304">
      <c r="A3304" s="8" t="str">
        <f>IFERROR(__xludf.DUMMYFUNCTION("IF('(INGESTA)Datos_consumo_datadis'!A3304&lt;&gt;"""",SPLIT('(INGESTA)Datos_consumo_datadis'!A:A,"",""),"""")"),"ES0031408323131005HX0F")</f>
        <v>ES0031408323131005HX0F</v>
      </c>
      <c r="B3304" s="12">
        <f>IFERROR(__xludf.DUMMYFUNCTION("""COMPUTED_VALUE"""),45003.0)</f>
        <v>45003</v>
      </c>
      <c r="C3304" s="13">
        <f>IFERROR(__xludf.DUMMYFUNCTION("""COMPUTED_VALUE"""),0.625)</f>
        <v>0.625</v>
      </c>
      <c r="D3304" s="8">
        <f>IFERROR(__xludf.DUMMYFUNCTION("""COMPUTED_VALUE"""),0.027)</f>
        <v>0.027</v>
      </c>
      <c r="E3304" s="8" t="str">
        <f>IFERROR(__xludf.DUMMYFUNCTION("""COMPUTED_VALUE"""),"Real")</f>
        <v>Real</v>
      </c>
      <c r="G3304" s="8">
        <f t="shared" si="1"/>
        <v>3</v>
      </c>
      <c r="H3304" s="14">
        <f t="shared" si="2"/>
        <v>18</v>
      </c>
      <c r="I3304" s="15">
        <f t="shared" si="3"/>
        <v>15</v>
      </c>
    </row>
    <row r="3305">
      <c r="A3305" s="8" t="str">
        <f>IFERROR(__xludf.DUMMYFUNCTION("IF('(INGESTA)Datos_consumo_datadis'!A3305&lt;&gt;"""",SPLIT('(INGESTA)Datos_consumo_datadis'!A:A,"",""),"""")"),"ES0031408323131005HX0F")</f>
        <v>ES0031408323131005HX0F</v>
      </c>
      <c r="B3305" s="12">
        <f>IFERROR(__xludf.DUMMYFUNCTION("""COMPUTED_VALUE"""),45003.0)</f>
        <v>45003</v>
      </c>
      <c r="C3305" s="13">
        <f>IFERROR(__xludf.DUMMYFUNCTION("""COMPUTED_VALUE"""),0.6666666666666666)</f>
        <v>0.6666666667</v>
      </c>
      <c r="D3305" s="8">
        <f>IFERROR(__xludf.DUMMYFUNCTION("""COMPUTED_VALUE"""),0.1)</f>
        <v>0.1</v>
      </c>
      <c r="E3305" s="8" t="str">
        <f>IFERROR(__xludf.DUMMYFUNCTION("""COMPUTED_VALUE"""),"Real")</f>
        <v>Real</v>
      </c>
      <c r="G3305" s="8">
        <f t="shared" si="1"/>
        <v>3</v>
      </c>
      <c r="H3305" s="14">
        <f t="shared" si="2"/>
        <v>18</v>
      </c>
      <c r="I3305" s="15">
        <f t="shared" si="3"/>
        <v>16</v>
      </c>
    </row>
    <row r="3306">
      <c r="A3306" s="8" t="str">
        <f>IFERROR(__xludf.DUMMYFUNCTION("IF('(INGESTA)Datos_consumo_datadis'!A3306&lt;&gt;"""",SPLIT('(INGESTA)Datos_consumo_datadis'!A:A,"",""),"""")"),"ES0031408323131005HX0F")</f>
        <v>ES0031408323131005HX0F</v>
      </c>
      <c r="B3306" s="12">
        <f>IFERROR(__xludf.DUMMYFUNCTION("""COMPUTED_VALUE"""),45003.0)</f>
        <v>45003</v>
      </c>
      <c r="C3306" s="13">
        <f>IFERROR(__xludf.DUMMYFUNCTION("""COMPUTED_VALUE"""),0.7083333333333334)</f>
        <v>0.7083333333</v>
      </c>
      <c r="D3306" s="8">
        <f>IFERROR(__xludf.DUMMYFUNCTION("""COMPUTED_VALUE"""),0.048)</f>
        <v>0.048</v>
      </c>
      <c r="E3306" s="8" t="str">
        <f>IFERROR(__xludf.DUMMYFUNCTION("""COMPUTED_VALUE"""),"Real")</f>
        <v>Real</v>
      </c>
      <c r="G3306" s="8">
        <f t="shared" si="1"/>
        <v>3</v>
      </c>
      <c r="H3306" s="14">
        <f t="shared" si="2"/>
        <v>18</v>
      </c>
      <c r="I3306" s="15">
        <f t="shared" si="3"/>
        <v>17</v>
      </c>
    </row>
    <row r="3307">
      <c r="A3307" s="8" t="str">
        <f>IFERROR(__xludf.DUMMYFUNCTION("IF('(INGESTA)Datos_consumo_datadis'!A3307&lt;&gt;"""",SPLIT('(INGESTA)Datos_consumo_datadis'!A:A,"",""),"""")"),"ES0031408323131005HX0F")</f>
        <v>ES0031408323131005HX0F</v>
      </c>
      <c r="B3307" s="12">
        <f>IFERROR(__xludf.DUMMYFUNCTION("""COMPUTED_VALUE"""),45003.0)</f>
        <v>45003</v>
      </c>
      <c r="C3307" s="13">
        <f>IFERROR(__xludf.DUMMYFUNCTION("""COMPUTED_VALUE"""),0.75)</f>
        <v>0.75</v>
      </c>
      <c r="D3307" s="8">
        <f>IFERROR(__xludf.DUMMYFUNCTION("""COMPUTED_VALUE"""),0.016)</f>
        <v>0.016</v>
      </c>
      <c r="E3307" s="8" t="str">
        <f>IFERROR(__xludf.DUMMYFUNCTION("""COMPUTED_VALUE"""),"Real")</f>
        <v>Real</v>
      </c>
      <c r="G3307" s="8">
        <f t="shared" si="1"/>
        <v>3</v>
      </c>
      <c r="H3307" s="14">
        <f t="shared" si="2"/>
        <v>18</v>
      </c>
      <c r="I3307" s="15">
        <f t="shared" si="3"/>
        <v>18</v>
      </c>
    </row>
    <row r="3308">
      <c r="A3308" s="8" t="str">
        <f>IFERROR(__xludf.DUMMYFUNCTION("IF('(INGESTA)Datos_consumo_datadis'!A3308&lt;&gt;"""",SPLIT('(INGESTA)Datos_consumo_datadis'!A:A,"",""),"""")"),"ES0031408323131005HX0F")</f>
        <v>ES0031408323131005HX0F</v>
      </c>
      <c r="B3308" s="12">
        <f>IFERROR(__xludf.DUMMYFUNCTION("""COMPUTED_VALUE"""),45003.0)</f>
        <v>45003</v>
      </c>
      <c r="C3308" s="13">
        <f>IFERROR(__xludf.DUMMYFUNCTION("""COMPUTED_VALUE"""),0.7916666666666666)</f>
        <v>0.7916666667</v>
      </c>
      <c r="D3308" s="8">
        <f>IFERROR(__xludf.DUMMYFUNCTION("""COMPUTED_VALUE"""),0.336)</f>
        <v>0.336</v>
      </c>
      <c r="E3308" s="8" t="str">
        <f>IFERROR(__xludf.DUMMYFUNCTION("""COMPUTED_VALUE"""),"Real")</f>
        <v>Real</v>
      </c>
      <c r="G3308" s="8">
        <f t="shared" si="1"/>
        <v>3</v>
      </c>
      <c r="H3308" s="14">
        <f t="shared" si="2"/>
        <v>18</v>
      </c>
      <c r="I3308" s="15">
        <f t="shared" si="3"/>
        <v>19</v>
      </c>
    </row>
    <row r="3309">
      <c r="A3309" s="8" t="str">
        <f>IFERROR(__xludf.DUMMYFUNCTION("IF('(INGESTA)Datos_consumo_datadis'!A3309&lt;&gt;"""",SPLIT('(INGESTA)Datos_consumo_datadis'!A:A,"",""),"""")"),"ES0031408323131005HX0F")</f>
        <v>ES0031408323131005HX0F</v>
      </c>
      <c r="B3309" s="12">
        <f>IFERROR(__xludf.DUMMYFUNCTION("""COMPUTED_VALUE"""),45003.0)</f>
        <v>45003</v>
      </c>
      <c r="C3309" s="13">
        <f>IFERROR(__xludf.DUMMYFUNCTION("""COMPUTED_VALUE"""),0.8333333333333334)</f>
        <v>0.8333333333</v>
      </c>
      <c r="D3309" s="8">
        <f>IFERROR(__xludf.DUMMYFUNCTION("""COMPUTED_VALUE"""),0.061)</f>
        <v>0.061</v>
      </c>
      <c r="E3309" s="8" t="str">
        <f>IFERROR(__xludf.DUMMYFUNCTION("""COMPUTED_VALUE"""),"Real")</f>
        <v>Real</v>
      </c>
      <c r="G3309" s="8">
        <f t="shared" si="1"/>
        <v>3</v>
      </c>
      <c r="H3309" s="14">
        <f t="shared" si="2"/>
        <v>18</v>
      </c>
      <c r="I3309" s="15">
        <f t="shared" si="3"/>
        <v>20</v>
      </c>
    </row>
    <row r="3310">
      <c r="A3310" s="8" t="str">
        <f>IFERROR(__xludf.DUMMYFUNCTION("IF('(INGESTA)Datos_consumo_datadis'!A3310&lt;&gt;"""",SPLIT('(INGESTA)Datos_consumo_datadis'!A:A,"",""),"""")"),"ES0031408323131005HX0F")</f>
        <v>ES0031408323131005HX0F</v>
      </c>
      <c r="B3310" s="12">
        <f>IFERROR(__xludf.DUMMYFUNCTION("""COMPUTED_VALUE"""),45003.0)</f>
        <v>45003</v>
      </c>
      <c r="C3310" s="13">
        <f>IFERROR(__xludf.DUMMYFUNCTION("""COMPUTED_VALUE"""),0.875)</f>
        <v>0.875</v>
      </c>
      <c r="D3310" s="8">
        <f>IFERROR(__xludf.DUMMYFUNCTION("""COMPUTED_VALUE"""),0.031)</f>
        <v>0.031</v>
      </c>
      <c r="E3310" s="8" t="str">
        <f>IFERROR(__xludf.DUMMYFUNCTION("""COMPUTED_VALUE"""),"Real")</f>
        <v>Real</v>
      </c>
      <c r="G3310" s="8">
        <f t="shared" si="1"/>
        <v>3</v>
      </c>
      <c r="H3310" s="14">
        <f t="shared" si="2"/>
        <v>18</v>
      </c>
      <c r="I3310" s="15">
        <f t="shared" si="3"/>
        <v>21</v>
      </c>
    </row>
    <row r="3311">
      <c r="A3311" s="8" t="str">
        <f>IFERROR(__xludf.DUMMYFUNCTION("IF('(INGESTA)Datos_consumo_datadis'!A3311&lt;&gt;"""",SPLIT('(INGESTA)Datos_consumo_datadis'!A:A,"",""),"""")"),"ES0031408323131005HX0F")</f>
        <v>ES0031408323131005HX0F</v>
      </c>
      <c r="B3311" s="12">
        <f>IFERROR(__xludf.DUMMYFUNCTION("""COMPUTED_VALUE"""),45003.0)</f>
        <v>45003</v>
      </c>
      <c r="C3311" s="13">
        <f>IFERROR(__xludf.DUMMYFUNCTION("""COMPUTED_VALUE"""),0.9166666666666666)</f>
        <v>0.9166666667</v>
      </c>
      <c r="D3311" s="8">
        <f>IFERROR(__xludf.DUMMYFUNCTION("""COMPUTED_VALUE"""),0.039)</f>
        <v>0.039</v>
      </c>
      <c r="E3311" s="8" t="str">
        <f>IFERROR(__xludf.DUMMYFUNCTION("""COMPUTED_VALUE"""),"Real")</f>
        <v>Real</v>
      </c>
      <c r="G3311" s="8">
        <f t="shared" si="1"/>
        <v>3</v>
      </c>
      <c r="H3311" s="14">
        <f t="shared" si="2"/>
        <v>18</v>
      </c>
      <c r="I3311" s="15">
        <f t="shared" si="3"/>
        <v>22</v>
      </c>
    </row>
    <row r="3312">
      <c r="A3312" s="8" t="str">
        <f>IFERROR(__xludf.DUMMYFUNCTION("IF('(INGESTA)Datos_consumo_datadis'!A3312&lt;&gt;"""",SPLIT('(INGESTA)Datos_consumo_datadis'!A:A,"",""),"""")"),"ES0031408323131005HX0F")</f>
        <v>ES0031408323131005HX0F</v>
      </c>
      <c r="B3312" s="12">
        <f>IFERROR(__xludf.DUMMYFUNCTION("""COMPUTED_VALUE"""),45003.0)</f>
        <v>45003</v>
      </c>
      <c r="C3312" s="13">
        <f>IFERROR(__xludf.DUMMYFUNCTION("""COMPUTED_VALUE"""),0.9583333333333334)</f>
        <v>0.9583333333</v>
      </c>
      <c r="D3312" s="8">
        <f>IFERROR(__xludf.DUMMYFUNCTION("""COMPUTED_VALUE"""),0.115)</f>
        <v>0.115</v>
      </c>
      <c r="E3312" s="8" t="str">
        <f>IFERROR(__xludf.DUMMYFUNCTION("""COMPUTED_VALUE"""),"Real")</f>
        <v>Real</v>
      </c>
      <c r="G3312" s="8">
        <f t="shared" si="1"/>
        <v>3</v>
      </c>
      <c r="H3312" s="14">
        <f t="shared" si="2"/>
        <v>18</v>
      </c>
      <c r="I3312" s="15">
        <f t="shared" si="3"/>
        <v>23</v>
      </c>
    </row>
    <row r="3313">
      <c r="A3313" s="8" t="str">
        <f>IFERROR(__xludf.DUMMYFUNCTION("IF('(INGESTA)Datos_consumo_datadis'!A3313&lt;&gt;"""",SPLIT('(INGESTA)Datos_consumo_datadis'!A:A,"",""),"""")"),"ES0031408323131005HX0F")</f>
        <v>ES0031408323131005HX0F</v>
      </c>
      <c r="B3313" s="12">
        <f>IFERROR(__xludf.DUMMYFUNCTION("""COMPUTED_VALUE"""),45003.0)</f>
        <v>45003</v>
      </c>
      <c r="C3313" s="16">
        <f>IFERROR(__xludf.DUMMYFUNCTION("""COMPUTED_VALUE"""),1.0)</f>
        <v>1</v>
      </c>
      <c r="D3313" s="8">
        <f>IFERROR(__xludf.DUMMYFUNCTION("""COMPUTED_VALUE"""),0.853)</f>
        <v>0.853</v>
      </c>
      <c r="E3313" s="8" t="str">
        <f>IFERROR(__xludf.DUMMYFUNCTION("""COMPUTED_VALUE"""),"Real")</f>
        <v>Real</v>
      </c>
      <c r="G3313" s="8">
        <f t="shared" si="1"/>
        <v>3</v>
      </c>
      <c r="H3313" s="14">
        <f t="shared" si="2"/>
        <v>18</v>
      </c>
      <c r="I3313" s="15">
        <f t="shared" si="3"/>
        <v>0</v>
      </c>
    </row>
    <row r="3314">
      <c r="A3314" s="8" t="str">
        <f>IFERROR(__xludf.DUMMYFUNCTION("IF('(INGESTA)Datos_consumo_datadis'!A3314&lt;&gt;"""",SPLIT('(INGESTA)Datos_consumo_datadis'!A:A,"",""),"""")"),"ES0031408323131005HX0F")</f>
        <v>ES0031408323131005HX0F</v>
      </c>
      <c r="B3314" s="12">
        <f>IFERROR(__xludf.DUMMYFUNCTION("""COMPUTED_VALUE"""),45004.0)</f>
        <v>45004</v>
      </c>
      <c r="C3314" s="13">
        <f>IFERROR(__xludf.DUMMYFUNCTION("""COMPUTED_VALUE"""),0.041666666666666664)</f>
        <v>0.04166666667</v>
      </c>
      <c r="D3314" s="8">
        <f>IFERROR(__xludf.DUMMYFUNCTION("""COMPUTED_VALUE"""),2.112)</f>
        <v>2.112</v>
      </c>
      <c r="E3314" s="8" t="str">
        <f>IFERROR(__xludf.DUMMYFUNCTION("""COMPUTED_VALUE"""),"Real")</f>
        <v>Real</v>
      </c>
      <c r="G3314" s="8">
        <f t="shared" si="1"/>
        <v>3</v>
      </c>
      <c r="H3314" s="14">
        <f t="shared" si="2"/>
        <v>19</v>
      </c>
      <c r="I3314" s="15">
        <f t="shared" si="3"/>
        <v>1</v>
      </c>
    </row>
    <row r="3315">
      <c r="A3315" s="8" t="str">
        <f>IFERROR(__xludf.DUMMYFUNCTION("IF('(INGESTA)Datos_consumo_datadis'!A3315&lt;&gt;"""",SPLIT('(INGESTA)Datos_consumo_datadis'!A:A,"",""),"""")"),"ES0031408323131005HX0F")</f>
        <v>ES0031408323131005HX0F</v>
      </c>
      <c r="B3315" s="12">
        <f>IFERROR(__xludf.DUMMYFUNCTION("""COMPUTED_VALUE"""),45004.0)</f>
        <v>45004</v>
      </c>
      <c r="C3315" s="13">
        <f>IFERROR(__xludf.DUMMYFUNCTION("""COMPUTED_VALUE"""),0.08333333333333333)</f>
        <v>0.08333333333</v>
      </c>
      <c r="D3315" s="8">
        <f>IFERROR(__xludf.DUMMYFUNCTION("""COMPUTED_VALUE"""),1.092)</f>
        <v>1.092</v>
      </c>
      <c r="E3315" s="8" t="str">
        <f>IFERROR(__xludf.DUMMYFUNCTION("""COMPUTED_VALUE"""),"Real")</f>
        <v>Real</v>
      </c>
      <c r="G3315" s="8">
        <f t="shared" si="1"/>
        <v>3</v>
      </c>
      <c r="H3315" s="14">
        <f t="shared" si="2"/>
        <v>19</v>
      </c>
      <c r="I3315" s="15">
        <f t="shared" si="3"/>
        <v>2</v>
      </c>
    </row>
    <row r="3316">
      <c r="A3316" s="8" t="str">
        <f>IFERROR(__xludf.DUMMYFUNCTION("IF('(INGESTA)Datos_consumo_datadis'!A3316&lt;&gt;"""",SPLIT('(INGESTA)Datos_consumo_datadis'!A:A,"",""),"""")"),"ES0031408323131005HX0F")</f>
        <v>ES0031408323131005HX0F</v>
      </c>
      <c r="B3316" s="12">
        <f>IFERROR(__xludf.DUMMYFUNCTION("""COMPUTED_VALUE"""),45004.0)</f>
        <v>45004</v>
      </c>
      <c r="C3316" s="13">
        <f>IFERROR(__xludf.DUMMYFUNCTION("""COMPUTED_VALUE"""),0.125)</f>
        <v>0.125</v>
      </c>
      <c r="D3316" s="8">
        <f>IFERROR(__xludf.DUMMYFUNCTION("""COMPUTED_VALUE"""),1.195)</f>
        <v>1.195</v>
      </c>
      <c r="E3316" s="8" t="str">
        <f>IFERROR(__xludf.DUMMYFUNCTION("""COMPUTED_VALUE"""),"Real")</f>
        <v>Real</v>
      </c>
      <c r="G3316" s="8">
        <f t="shared" si="1"/>
        <v>3</v>
      </c>
      <c r="H3316" s="14">
        <f t="shared" si="2"/>
        <v>19</v>
      </c>
      <c r="I3316" s="15">
        <f t="shared" si="3"/>
        <v>3</v>
      </c>
    </row>
    <row r="3317">
      <c r="A3317" s="8" t="str">
        <f>IFERROR(__xludf.DUMMYFUNCTION("IF('(INGESTA)Datos_consumo_datadis'!A3317&lt;&gt;"""",SPLIT('(INGESTA)Datos_consumo_datadis'!A:A,"",""),"""")"),"ES0031408323131005HX0F")</f>
        <v>ES0031408323131005HX0F</v>
      </c>
      <c r="B3317" s="12">
        <f>IFERROR(__xludf.DUMMYFUNCTION("""COMPUTED_VALUE"""),45004.0)</f>
        <v>45004</v>
      </c>
      <c r="C3317" s="13">
        <f>IFERROR(__xludf.DUMMYFUNCTION("""COMPUTED_VALUE"""),0.16666666666666666)</f>
        <v>0.1666666667</v>
      </c>
      <c r="D3317" s="8">
        <f>IFERROR(__xludf.DUMMYFUNCTION("""COMPUTED_VALUE"""),0.592)</f>
        <v>0.592</v>
      </c>
      <c r="E3317" s="8" t="str">
        <f>IFERROR(__xludf.DUMMYFUNCTION("""COMPUTED_VALUE"""),"Real")</f>
        <v>Real</v>
      </c>
      <c r="G3317" s="8">
        <f t="shared" si="1"/>
        <v>3</v>
      </c>
      <c r="H3317" s="14">
        <f t="shared" si="2"/>
        <v>19</v>
      </c>
      <c r="I3317" s="15">
        <f t="shared" si="3"/>
        <v>4</v>
      </c>
    </row>
    <row r="3318">
      <c r="A3318" s="8" t="str">
        <f>IFERROR(__xludf.DUMMYFUNCTION("IF('(INGESTA)Datos_consumo_datadis'!A3318&lt;&gt;"""",SPLIT('(INGESTA)Datos_consumo_datadis'!A:A,"",""),"""")"),"ES0031408323131005HX0F")</f>
        <v>ES0031408323131005HX0F</v>
      </c>
      <c r="B3318" s="12">
        <f>IFERROR(__xludf.DUMMYFUNCTION("""COMPUTED_VALUE"""),45004.0)</f>
        <v>45004</v>
      </c>
      <c r="C3318" s="13">
        <f>IFERROR(__xludf.DUMMYFUNCTION("""COMPUTED_VALUE"""),0.20833333333333334)</f>
        <v>0.2083333333</v>
      </c>
      <c r="D3318" s="8">
        <f>IFERROR(__xludf.DUMMYFUNCTION("""COMPUTED_VALUE"""),0.376)</f>
        <v>0.376</v>
      </c>
      <c r="E3318" s="8" t="str">
        <f>IFERROR(__xludf.DUMMYFUNCTION("""COMPUTED_VALUE"""),"Real")</f>
        <v>Real</v>
      </c>
      <c r="G3318" s="8">
        <f t="shared" si="1"/>
        <v>3</v>
      </c>
      <c r="H3318" s="14">
        <f t="shared" si="2"/>
        <v>19</v>
      </c>
      <c r="I3318" s="15">
        <f t="shared" si="3"/>
        <v>5</v>
      </c>
    </row>
    <row r="3319">
      <c r="A3319" s="8" t="str">
        <f>IFERROR(__xludf.DUMMYFUNCTION("IF('(INGESTA)Datos_consumo_datadis'!A3319&lt;&gt;"""",SPLIT('(INGESTA)Datos_consumo_datadis'!A:A,"",""),"""")"),"ES0031408323131005HX0F")</f>
        <v>ES0031408323131005HX0F</v>
      </c>
      <c r="B3319" s="12">
        <f>IFERROR(__xludf.DUMMYFUNCTION("""COMPUTED_VALUE"""),45004.0)</f>
        <v>45004</v>
      </c>
      <c r="C3319" s="13">
        <f>IFERROR(__xludf.DUMMYFUNCTION("""COMPUTED_VALUE"""),0.25)</f>
        <v>0.25</v>
      </c>
      <c r="D3319" s="8">
        <f>IFERROR(__xludf.DUMMYFUNCTION("""COMPUTED_VALUE"""),0.752)</f>
        <v>0.752</v>
      </c>
      <c r="E3319" s="8" t="str">
        <f>IFERROR(__xludf.DUMMYFUNCTION("""COMPUTED_VALUE"""),"Real")</f>
        <v>Real</v>
      </c>
      <c r="G3319" s="8">
        <f t="shared" si="1"/>
        <v>3</v>
      </c>
      <c r="H3319" s="14">
        <f t="shared" si="2"/>
        <v>19</v>
      </c>
      <c r="I3319" s="15">
        <f t="shared" si="3"/>
        <v>6</v>
      </c>
    </row>
    <row r="3320">
      <c r="A3320" s="8" t="str">
        <f>IFERROR(__xludf.DUMMYFUNCTION("IF('(INGESTA)Datos_consumo_datadis'!A3320&lt;&gt;"""",SPLIT('(INGESTA)Datos_consumo_datadis'!A:A,"",""),"""")"),"ES0031408323131005HX0F")</f>
        <v>ES0031408323131005HX0F</v>
      </c>
      <c r="B3320" s="12">
        <f>IFERROR(__xludf.DUMMYFUNCTION("""COMPUTED_VALUE"""),45004.0)</f>
        <v>45004</v>
      </c>
      <c r="C3320" s="13">
        <f>IFERROR(__xludf.DUMMYFUNCTION("""COMPUTED_VALUE"""),0.2916666666666667)</f>
        <v>0.2916666667</v>
      </c>
      <c r="D3320" s="8">
        <f>IFERROR(__xludf.DUMMYFUNCTION("""COMPUTED_VALUE"""),0.391)</f>
        <v>0.391</v>
      </c>
      <c r="E3320" s="8" t="str">
        <f>IFERROR(__xludf.DUMMYFUNCTION("""COMPUTED_VALUE"""),"Real")</f>
        <v>Real</v>
      </c>
      <c r="G3320" s="8">
        <f t="shared" si="1"/>
        <v>3</v>
      </c>
      <c r="H3320" s="14">
        <f t="shared" si="2"/>
        <v>19</v>
      </c>
      <c r="I3320" s="15">
        <f t="shared" si="3"/>
        <v>7</v>
      </c>
    </row>
    <row r="3321">
      <c r="A3321" s="8" t="str">
        <f>IFERROR(__xludf.DUMMYFUNCTION("IF('(INGESTA)Datos_consumo_datadis'!A3321&lt;&gt;"""",SPLIT('(INGESTA)Datos_consumo_datadis'!A:A,"",""),"""")"),"ES0031408323131005HX0F")</f>
        <v>ES0031408323131005HX0F</v>
      </c>
      <c r="B3321" s="12">
        <f>IFERROR(__xludf.DUMMYFUNCTION("""COMPUTED_VALUE"""),45004.0)</f>
        <v>45004</v>
      </c>
      <c r="C3321" s="13">
        <f>IFERROR(__xludf.DUMMYFUNCTION("""COMPUTED_VALUE"""),0.3333333333333333)</f>
        <v>0.3333333333</v>
      </c>
      <c r="D3321" s="8">
        <f>IFERROR(__xludf.DUMMYFUNCTION("""COMPUTED_VALUE"""),0.409)</f>
        <v>0.409</v>
      </c>
      <c r="E3321" s="8" t="str">
        <f>IFERROR(__xludf.DUMMYFUNCTION("""COMPUTED_VALUE"""),"Real")</f>
        <v>Real</v>
      </c>
      <c r="G3321" s="8">
        <f t="shared" si="1"/>
        <v>3</v>
      </c>
      <c r="H3321" s="14">
        <f t="shared" si="2"/>
        <v>19</v>
      </c>
      <c r="I3321" s="15">
        <f t="shared" si="3"/>
        <v>8</v>
      </c>
    </row>
    <row r="3322">
      <c r="A3322" s="8" t="str">
        <f>IFERROR(__xludf.DUMMYFUNCTION("IF('(INGESTA)Datos_consumo_datadis'!A3322&lt;&gt;"""",SPLIT('(INGESTA)Datos_consumo_datadis'!A:A,"",""),"""")"),"ES0031408323131005HX0F")</f>
        <v>ES0031408323131005HX0F</v>
      </c>
      <c r="B3322" s="12">
        <f>IFERROR(__xludf.DUMMYFUNCTION("""COMPUTED_VALUE"""),45004.0)</f>
        <v>45004</v>
      </c>
      <c r="C3322" s="13">
        <f>IFERROR(__xludf.DUMMYFUNCTION("""COMPUTED_VALUE"""),0.375)</f>
        <v>0.375</v>
      </c>
      <c r="D3322" s="8">
        <f>IFERROR(__xludf.DUMMYFUNCTION("""COMPUTED_VALUE"""),0.644)</f>
        <v>0.644</v>
      </c>
      <c r="E3322" s="8" t="str">
        <f>IFERROR(__xludf.DUMMYFUNCTION("""COMPUTED_VALUE"""),"Real")</f>
        <v>Real</v>
      </c>
      <c r="G3322" s="8">
        <f t="shared" si="1"/>
        <v>3</v>
      </c>
      <c r="H3322" s="14">
        <f t="shared" si="2"/>
        <v>19</v>
      </c>
      <c r="I3322" s="15">
        <f t="shared" si="3"/>
        <v>9</v>
      </c>
    </row>
    <row r="3323">
      <c r="A3323" s="8" t="str">
        <f>IFERROR(__xludf.DUMMYFUNCTION("IF('(INGESTA)Datos_consumo_datadis'!A3323&lt;&gt;"""",SPLIT('(INGESTA)Datos_consumo_datadis'!A:A,"",""),"""")"),"ES0031408323131005HX0F")</f>
        <v>ES0031408323131005HX0F</v>
      </c>
      <c r="B3323" s="12">
        <f>IFERROR(__xludf.DUMMYFUNCTION("""COMPUTED_VALUE"""),45004.0)</f>
        <v>45004</v>
      </c>
      <c r="C3323" s="13">
        <f>IFERROR(__xludf.DUMMYFUNCTION("""COMPUTED_VALUE"""),0.4166666666666667)</f>
        <v>0.4166666667</v>
      </c>
      <c r="D3323" s="8">
        <f>IFERROR(__xludf.DUMMYFUNCTION("""COMPUTED_VALUE"""),0.506)</f>
        <v>0.506</v>
      </c>
      <c r="E3323" s="8" t="str">
        <f>IFERROR(__xludf.DUMMYFUNCTION("""COMPUTED_VALUE"""),"Real")</f>
        <v>Real</v>
      </c>
      <c r="G3323" s="8">
        <f t="shared" si="1"/>
        <v>3</v>
      </c>
      <c r="H3323" s="14">
        <f t="shared" si="2"/>
        <v>19</v>
      </c>
      <c r="I3323" s="15">
        <f t="shared" si="3"/>
        <v>10</v>
      </c>
    </row>
    <row r="3324">
      <c r="A3324" s="8" t="str">
        <f>IFERROR(__xludf.DUMMYFUNCTION("IF('(INGESTA)Datos_consumo_datadis'!A3324&lt;&gt;"""",SPLIT('(INGESTA)Datos_consumo_datadis'!A:A,"",""),"""")"),"ES0031408323131005HX0F")</f>
        <v>ES0031408323131005HX0F</v>
      </c>
      <c r="B3324" s="12">
        <f>IFERROR(__xludf.DUMMYFUNCTION("""COMPUTED_VALUE"""),45004.0)</f>
        <v>45004</v>
      </c>
      <c r="C3324" s="13">
        <f>IFERROR(__xludf.DUMMYFUNCTION("""COMPUTED_VALUE"""),0.4583333333333333)</f>
        <v>0.4583333333</v>
      </c>
      <c r="D3324" s="8">
        <f>IFERROR(__xludf.DUMMYFUNCTION("""COMPUTED_VALUE"""),0.808)</f>
        <v>0.808</v>
      </c>
      <c r="E3324" s="8" t="str">
        <f>IFERROR(__xludf.DUMMYFUNCTION("""COMPUTED_VALUE"""),"Real")</f>
        <v>Real</v>
      </c>
      <c r="G3324" s="8">
        <f t="shared" si="1"/>
        <v>3</v>
      </c>
      <c r="H3324" s="14">
        <f t="shared" si="2"/>
        <v>19</v>
      </c>
      <c r="I3324" s="15">
        <f t="shared" si="3"/>
        <v>11</v>
      </c>
    </row>
    <row r="3325">
      <c r="A3325" s="8" t="str">
        <f>IFERROR(__xludf.DUMMYFUNCTION("IF('(INGESTA)Datos_consumo_datadis'!A3325&lt;&gt;"""",SPLIT('(INGESTA)Datos_consumo_datadis'!A:A,"",""),"""")"),"ES0031408323131005HX0F")</f>
        <v>ES0031408323131005HX0F</v>
      </c>
      <c r="B3325" s="12">
        <f>IFERROR(__xludf.DUMMYFUNCTION("""COMPUTED_VALUE"""),45004.0)</f>
        <v>45004</v>
      </c>
      <c r="C3325" s="13">
        <f>IFERROR(__xludf.DUMMYFUNCTION("""COMPUTED_VALUE"""),0.5)</f>
        <v>0.5</v>
      </c>
      <c r="D3325" s="8">
        <f>IFERROR(__xludf.DUMMYFUNCTION("""COMPUTED_VALUE"""),0.082)</f>
        <v>0.082</v>
      </c>
      <c r="E3325" s="8" t="str">
        <f>IFERROR(__xludf.DUMMYFUNCTION("""COMPUTED_VALUE"""),"Real")</f>
        <v>Real</v>
      </c>
      <c r="G3325" s="8">
        <f t="shared" si="1"/>
        <v>3</v>
      </c>
      <c r="H3325" s="14">
        <f t="shared" si="2"/>
        <v>19</v>
      </c>
      <c r="I3325" s="15">
        <f t="shared" si="3"/>
        <v>12</v>
      </c>
    </row>
    <row r="3326">
      <c r="A3326" s="8" t="str">
        <f>IFERROR(__xludf.DUMMYFUNCTION("IF('(INGESTA)Datos_consumo_datadis'!A3326&lt;&gt;"""",SPLIT('(INGESTA)Datos_consumo_datadis'!A:A,"",""),"""")"),"ES0031408323131005HX0F")</f>
        <v>ES0031408323131005HX0F</v>
      </c>
      <c r="B3326" s="12">
        <f>IFERROR(__xludf.DUMMYFUNCTION("""COMPUTED_VALUE"""),45004.0)</f>
        <v>45004</v>
      </c>
      <c r="C3326" s="13">
        <f>IFERROR(__xludf.DUMMYFUNCTION("""COMPUTED_VALUE"""),0.5416666666666666)</f>
        <v>0.5416666667</v>
      </c>
      <c r="D3326" s="8">
        <f>IFERROR(__xludf.DUMMYFUNCTION("""COMPUTED_VALUE"""),0.057)</f>
        <v>0.057</v>
      </c>
      <c r="E3326" s="8" t="str">
        <f>IFERROR(__xludf.DUMMYFUNCTION("""COMPUTED_VALUE"""),"Real")</f>
        <v>Real</v>
      </c>
      <c r="G3326" s="8">
        <f t="shared" si="1"/>
        <v>3</v>
      </c>
      <c r="H3326" s="14">
        <f t="shared" si="2"/>
        <v>19</v>
      </c>
      <c r="I3326" s="15">
        <f t="shared" si="3"/>
        <v>13</v>
      </c>
    </row>
    <row r="3327">
      <c r="A3327" s="8" t="str">
        <f>IFERROR(__xludf.DUMMYFUNCTION("IF('(INGESTA)Datos_consumo_datadis'!A3327&lt;&gt;"""",SPLIT('(INGESTA)Datos_consumo_datadis'!A:A,"",""),"""")"),"ES0031408323131005HX0F")</f>
        <v>ES0031408323131005HX0F</v>
      </c>
      <c r="B3327" s="12">
        <f>IFERROR(__xludf.DUMMYFUNCTION("""COMPUTED_VALUE"""),45004.0)</f>
        <v>45004</v>
      </c>
      <c r="C3327" s="13">
        <f>IFERROR(__xludf.DUMMYFUNCTION("""COMPUTED_VALUE"""),0.5833333333333334)</f>
        <v>0.5833333333</v>
      </c>
      <c r="D3327" s="8">
        <f>IFERROR(__xludf.DUMMYFUNCTION("""COMPUTED_VALUE"""),0.024)</f>
        <v>0.024</v>
      </c>
      <c r="E3327" s="8" t="str">
        <f>IFERROR(__xludf.DUMMYFUNCTION("""COMPUTED_VALUE"""),"Real")</f>
        <v>Real</v>
      </c>
      <c r="G3327" s="8">
        <f t="shared" si="1"/>
        <v>3</v>
      </c>
      <c r="H3327" s="14">
        <f t="shared" si="2"/>
        <v>19</v>
      </c>
      <c r="I3327" s="15">
        <f t="shared" si="3"/>
        <v>14</v>
      </c>
    </row>
    <row r="3328">
      <c r="A3328" s="8" t="str">
        <f>IFERROR(__xludf.DUMMYFUNCTION("IF('(INGESTA)Datos_consumo_datadis'!A3328&lt;&gt;"""",SPLIT('(INGESTA)Datos_consumo_datadis'!A:A,"",""),"""")"),"ES0031408323131005HX0F")</f>
        <v>ES0031408323131005HX0F</v>
      </c>
      <c r="B3328" s="12">
        <f>IFERROR(__xludf.DUMMYFUNCTION("""COMPUTED_VALUE"""),45004.0)</f>
        <v>45004</v>
      </c>
      <c r="C3328" s="13">
        <f>IFERROR(__xludf.DUMMYFUNCTION("""COMPUTED_VALUE"""),0.625)</f>
        <v>0.625</v>
      </c>
      <c r="D3328" s="8">
        <f>IFERROR(__xludf.DUMMYFUNCTION("""COMPUTED_VALUE"""),0.305)</f>
        <v>0.305</v>
      </c>
      <c r="E3328" s="8" t="str">
        <f>IFERROR(__xludf.DUMMYFUNCTION("""COMPUTED_VALUE"""),"Real")</f>
        <v>Real</v>
      </c>
      <c r="G3328" s="8">
        <f t="shared" si="1"/>
        <v>3</v>
      </c>
      <c r="H3328" s="14">
        <f t="shared" si="2"/>
        <v>19</v>
      </c>
      <c r="I3328" s="15">
        <f t="shared" si="3"/>
        <v>15</v>
      </c>
    </row>
    <row r="3329">
      <c r="A3329" s="8" t="str">
        <f>IFERROR(__xludf.DUMMYFUNCTION("IF('(INGESTA)Datos_consumo_datadis'!A3329&lt;&gt;"""",SPLIT('(INGESTA)Datos_consumo_datadis'!A:A,"",""),"""")"),"ES0031408323131005HX0F")</f>
        <v>ES0031408323131005HX0F</v>
      </c>
      <c r="B3329" s="12">
        <f>IFERROR(__xludf.DUMMYFUNCTION("""COMPUTED_VALUE"""),45004.0)</f>
        <v>45004</v>
      </c>
      <c r="C3329" s="13">
        <f>IFERROR(__xludf.DUMMYFUNCTION("""COMPUTED_VALUE"""),0.6666666666666666)</f>
        <v>0.6666666667</v>
      </c>
      <c r="D3329" s="8">
        <f>IFERROR(__xludf.DUMMYFUNCTION("""COMPUTED_VALUE"""),0.08)</f>
        <v>0.08</v>
      </c>
      <c r="E3329" s="8" t="str">
        <f>IFERROR(__xludf.DUMMYFUNCTION("""COMPUTED_VALUE"""),"Real")</f>
        <v>Real</v>
      </c>
      <c r="G3329" s="8">
        <f t="shared" si="1"/>
        <v>3</v>
      </c>
      <c r="H3329" s="14">
        <f t="shared" si="2"/>
        <v>19</v>
      </c>
      <c r="I3329" s="15">
        <f t="shared" si="3"/>
        <v>16</v>
      </c>
    </row>
    <row r="3330">
      <c r="A3330" s="8" t="str">
        <f>IFERROR(__xludf.DUMMYFUNCTION("IF('(INGESTA)Datos_consumo_datadis'!A3330&lt;&gt;"""",SPLIT('(INGESTA)Datos_consumo_datadis'!A:A,"",""),"""")"),"ES0031408323131005HX0F")</f>
        <v>ES0031408323131005HX0F</v>
      </c>
      <c r="B3330" s="12">
        <f>IFERROR(__xludf.DUMMYFUNCTION("""COMPUTED_VALUE"""),45004.0)</f>
        <v>45004</v>
      </c>
      <c r="C3330" s="13">
        <f>IFERROR(__xludf.DUMMYFUNCTION("""COMPUTED_VALUE"""),0.7083333333333334)</f>
        <v>0.7083333333</v>
      </c>
      <c r="D3330" s="8">
        <f>IFERROR(__xludf.DUMMYFUNCTION("""COMPUTED_VALUE"""),0.037)</f>
        <v>0.037</v>
      </c>
      <c r="E3330" s="8" t="str">
        <f>IFERROR(__xludf.DUMMYFUNCTION("""COMPUTED_VALUE"""),"Real")</f>
        <v>Real</v>
      </c>
      <c r="G3330" s="8">
        <f t="shared" si="1"/>
        <v>3</v>
      </c>
      <c r="H3330" s="14">
        <f t="shared" si="2"/>
        <v>19</v>
      </c>
      <c r="I3330" s="15">
        <f t="shared" si="3"/>
        <v>17</v>
      </c>
    </row>
    <row r="3331">
      <c r="A3331" s="8" t="str">
        <f>IFERROR(__xludf.DUMMYFUNCTION("IF('(INGESTA)Datos_consumo_datadis'!A3331&lt;&gt;"""",SPLIT('(INGESTA)Datos_consumo_datadis'!A:A,"",""),"""")"),"ES0031408323131005HX0F")</f>
        <v>ES0031408323131005HX0F</v>
      </c>
      <c r="B3331" s="12">
        <f>IFERROR(__xludf.DUMMYFUNCTION("""COMPUTED_VALUE"""),45004.0)</f>
        <v>45004</v>
      </c>
      <c r="C3331" s="13">
        <f>IFERROR(__xludf.DUMMYFUNCTION("""COMPUTED_VALUE"""),0.75)</f>
        <v>0.75</v>
      </c>
      <c r="D3331" s="8">
        <f>IFERROR(__xludf.DUMMYFUNCTION("""COMPUTED_VALUE"""),0.047)</f>
        <v>0.047</v>
      </c>
      <c r="E3331" s="8" t="str">
        <f>IFERROR(__xludf.DUMMYFUNCTION("""COMPUTED_VALUE"""),"Real")</f>
        <v>Real</v>
      </c>
      <c r="G3331" s="8">
        <f t="shared" si="1"/>
        <v>3</v>
      </c>
      <c r="H3331" s="14">
        <f t="shared" si="2"/>
        <v>19</v>
      </c>
      <c r="I3331" s="15">
        <f t="shared" si="3"/>
        <v>18</v>
      </c>
    </row>
    <row r="3332">
      <c r="A3332" s="8" t="str">
        <f>IFERROR(__xludf.DUMMYFUNCTION("IF('(INGESTA)Datos_consumo_datadis'!A3332&lt;&gt;"""",SPLIT('(INGESTA)Datos_consumo_datadis'!A:A,"",""),"""")"),"ES0031408323131005HX0F")</f>
        <v>ES0031408323131005HX0F</v>
      </c>
      <c r="B3332" s="12">
        <f>IFERROR(__xludf.DUMMYFUNCTION("""COMPUTED_VALUE"""),45004.0)</f>
        <v>45004</v>
      </c>
      <c r="C3332" s="13">
        <f>IFERROR(__xludf.DUMMYFUNCTION("""COMPUTED_VALUE"""),0.7916666666666666)</f>
        <v>0.7916666667</v>
      </c>
      <c r="D3332" s="8">
        <f>IFERROR(__xludf.DUMMYFUNCTION("""COMPUTED_VALUE"""),0.065)</f>
        <v>0.065</v>
      </c>
      <c r="E3332" s="8" t="str">
        <f>IFERROR(__xludf.DUMMYFUNCTION("""COMPUTED_VALUE"""),"Real")</f>
        <v>Real</v>
      </c>
      <c r="G3332" s="8">
        <f t="shared" si="1"/>
        <v>3</v>
      </c>
      <c r="H3332" s="14">
        <f t="shared" si="2"/>
        <v>19</v>
      </c>
      <c r="I3332" s="15">
        <f t="shared" si="3"/>
        <v>19</v>
      </c>
    </row>
    <row r="3333">
      <c r="A3333" s="8" t="str">
        <f>IFERROR(__xludf.DUMMYFUNCTION("IF('(INGESTA)Datos_consumo_datadis'!A3333&lt;&gt;"""",SPLIT('(INGESTA)Datos_consumo_datadis'!A:A,"",""),"""")"),"ES0031408323131005HX0F")</f>
        <v>ES0031408323131005HX0F</v>
      </c>
      <c r="B3333" s="12">
        <f>IFERROR(__xludf.DUMMYFUNCTION("""COMPUTED_VALUE"""),45004.0)</f>
        <v>45004</v>
      </c>
      <c r="C3333" s="13">
        <f>IFERROR(__xludf.DUMMYFUNCTION("""COMPUTED_VALUE"""),0.8333333333333334)</f>
        <v>0.8333333333</v>
      </c>
      <c r="D3333" s="8">
        <f>IFERROR(__xludf.DUMMYFUNCTION("""COMPUTED_VALUE"""),0.044)</f>
        <v>0.044</v>
      </c>
      <c r="E3333" s="8" t="str">
        <f>IFERROR(__xludf.DUMMYFUNCTION("""COMPUTED_VALUE"""),"Real")</f>
        <v>Real</v>
      </c>
      <c r="G3333" s="8">
        <f t="shared" si="1"/>
        <v>3</v>
      </c>
      <c r="H3333" s="14">
        <f t="shared" si="2"/>
        <v>19</v>
      </c>
      <c r="I3333" s="15">
        <f t="shared" si="3"/>
        <v>20</v>
      </c>
    </row>
    <row r="3334">
      <c r="A3334" s="8" t="str">
        <f>IFERROR(__xludf.DUMMYFUNCTION("IF('(INGESTA)Datos_consumo_datadis'!A3334&lt;&gt;"""",SPLIT('(INGESTA)Datos_consumo_datadis'!A:A,"",""),"""")"),"ES0031408323131005HX0F")</f>
        <v>ES0031408323131005HX0F</v>
      </c>
      <c r="B3334" s="12">
        <f>IFERROR(__xludf.DUMMYFUNCTION("""COMPUTED_VALUE"""),45004.0)</f>
        <v>45004</v>
      </c>
      <c r="C3334" s="13">
        <f>IFERROR(__xludf.DUMMYFUNCTION("""COMPUTED_VALUE"""),0.875)</f>
        <v>0.875</v>
      </c>
      <c r="D3334" s="8">
        <f>IFERROR(__xludf.DUMMYFUNCTION("""COMPUTED_VALUE"""),1.039)</f>
        <v>1.039</v>
      </c>
      <c r="E3334" s="8" t="str">
        <f>IFERROR(__xludf.DUMMYFUNCTION("""COMPUTED_VALUE"""),"Real")</f>
        <v>Real</v>
      </c>
      <c r="G3334" s="8">
        <f t="shared" si="1"/>
        <v>3</v>
      </c>
      <c r="H3334" s="14">
        <f t="shared" si="2"/>
        <v>19</v>
      </c>
      <c r="I3334" s="15">
        <f t="shared" si="3"/>
        <v>21</v>
      </c>
    </row>
    <row r="3335">
      <c r="A3335" s="8" t="str">
        <f>IFERROR(__xludf.DUMMYFUNCTION("IF('(INGESTA)Datos_consumo_datadis'!A3335&lt;&gt;"""",SPLIT('(INGESTA)Datos_consumo_datadis'!A:A,"",""),"""")"),"ES0031408323131005HX0F")</f>
        <v>ES0031408323131005HX0F</v>
      </c>
      <c r="B3335" s="12">
        <f>IFERROR(__xludf.DUMMYFUNCTION("""COMPUTED_VALUE"""),45004.0)</f>
        <v>45004</v>
      </c>
      <c r="C3335" s="13">
        <f>IFERROR(__xludf.DUMMYFUNCTION("""COMPUTED_VALUE"""),0.9166666666666666)</f>
        <v>0.9166666667</v>
      </c>
      <c r="D3335" s="8">
        <f>IFERROR(__xludf.DUMMYFUNCTION("""COMPUTED_VALUE"""),1.954)</f>
        <v>1.954</v>
      </c>
      <c r="E3335" s="8" t="str">
        <f>IFERROR(__xludf.DUMMYFUNCTION("""COMPUTED_VALUE"""),"Real")</f>
        <v>Real</v>
      </c>
      <c r="G3335" s="8">
        <f t="shared" si="1"/>
        <v>3</v>
      </c>
      <c r="H3335" s="14">
        <f t="shared" si="2"/>
        <v>19</v>
      </c>
      <c r="I3335" s="15">
        <f t="shared" si="3"/>
        <v>22</v>
      </c>
    </row>
    <row r="3336">
      <c r="A3336" s="8" t="str">
        <f>IFERROR(__xludf.DUMMYFUNCTION("IF('(INGESTA)Datos_consumo_datadis'!A3336&lt;&gt;"""",SPLIT('(INGESTA)Datos_consumo_datadis'!A:A,"",""),"""")"),"ES0031408323131005HX0F")</f>
        <v>ES0031408323131005HX0F</v>
      </c>
      <c r="B3336" s="12">
        <f>IFERROR(__xludf.DUMMYFUNCTION("""COMPUTED_VALUE"""),45004.0)</f>
        <v>45004</v>
      </c>
      <c r="C3336" s="13">
        <f>IFERROR(__xludf.DUMMYFUNCTION("""COMPUTED_VALUE"""),0.9583333333333334)</f>
        <v>0.9583333333</v>
      </c>
      <c r="D3336" s="8">
        <f>IFERROR(__xludf.DUMMYFUNCTION("""COMPUTED_VALUE"""),1.89)</f>
        <v>1.89</v>
      </c>
      <c r="E3336" s="8" t="str">
        <f>IFERROR(__xludf.DUMMYFUNCTION("""COMPUTED_VALUE"""),"Real")</f>
        <v>Real</v>
      </c>
      <c r="G3336" s="8">
        <f t="shared" si="1"/>
        <v>3</v>
      </c>
      <c r="H3336" s="14">
        <f t="shared" si="2"/>
        <v>19</v>
      </c>
      <c r="I3336" s="15">
        <f t="shared" si="3"/>
        <v>23</v>
      </c>
    </row>
    <row r="3337">
      <c r="A3337" s="8" t="str">
        <f>IFERROR(__xludf.DUMMYFUNCTION("IF('(INGESTA)Datos_consumo_datadis'!A3337&lt;&gt;"""",SPLIT('(INGESTA)Datos_consumo_datadis'!A:A,"",""),"""")"),"ES0031408323131005HX0F")</f>
        <v>ES0031408323131005HX0F</v>
      </c>
      <c r="B3337" s="12">
        <f>IFERROR(__xludf.DUMMYFUNCTION("""COMPUTED_VALUE"""),45004.0)</f>
        <v>45004</v>
      </c>
      <c r="C3337" s="16">
        <f>IFERROR(__xludf.DUMMYFUNCTION("""COMPUTED_VALUE"""),1.0)</f>
        <v>1</v>
      </c>
      <c r="D3337" s="8">
        <f>IFERROR(__xludf.DUMMYFUNCTION("""COMPUTED_VALUE"""),2.359)</f>
        <v>2.359</v>
      </c>
      <c r="E3337" s="8" t="str">
        <f>IFERROR(__xludf.DUMMYFUNCTION("""COMPUTED_VALUE"""),"Real")</f>
        <v>Real</v>
      </c>
      <c r="G3337" s="8">
        <f t="shared" si="1"/>
        <v>3</v>
      </c>
      <c r="H3337" s="14">
        <f t="shared" si="2"/>
        <v>19</v>
      </c>
      <c r="I3337" s="15">
        <f t="shared" si="3"/>
        <v>0</v>
      </c>
    </row>
    <row r="3338">
      <c r="A3338" s="8" t="str">
        <f>IFERROR(__xludf.DUMMYFUNCTION("IF('(INGESTA)Datos_consumo_datadis'!A3338&lt;&gt;"""",SPLIT('(INGESTA)Datos_consumo_datadis'!A:A,"",""),"""")"),"ES0031408323131005HX0F")</f>
        <v>ES0031408323131005HX0F</v>
      </c>
      <c r="B3338" s="12">
        <f>IFERROR(__xludf.DUMMYFUNCTION("""COMPUTED_VALUE"""),45005.0)</f>
        <v>45005</v>
      </c>
      <c r="C3338" s="13">
        <f>IFERROR(__xludf.DUMMYFUNCTION("""COMPUTED_VALUE"""),0.041666666666666664)</f>
        <v>0.04166666667</v>
      </c>
      <c r="D3338" s="8">
        <f>IFERROR(__xludf.DUMMYFUNCTION("""COMPUTED_VALUE"""),1.231)</f>
        <v>1.231</v>
      </c>
      <c r="E3338" s="8" t="str">
        <f>IFERROR(__xludf.DUMMYFUNCTION("""COMPUTED_VALUE"""),"Real")</f>
        <v>Real</v>
      </c>
      <c r="G3338" s="8">
        <f t="shared" si="1"/>
        <v>3</v>
      </c>
      <c r="H3338" s="14">
        <f t="shared" si="2"/>
        <v>20</v>
      </c>
      <c r="I3338" s="15">
        <f t="shared" si="3"/>
        <v>1</v>
      </c>
    </row>
    <row r="3339">
      <c r="A3339" s="8" t="str">
        <f>IFERROR(__xludf.DUMMYFUNCTION("IF('(INGESTA)Datos_consumo_datadis'!A3339&lt;&gt;"""",SPLIT('(INGESTA)Datos_consumo_datadis'!A:A,"",""),"""")"),"ES0031408323131005HX0F")</f>
        <v>ES0031408323131005HX0F</v>
      </c>
      <c r="B3339" s="12">
        <f>IFERROR(__xludf.DUMMYFUNCTION("""COMPUTED_VALUE"""),45005.0)</f>
        <v>45005</v>
      </c>
      <c r="C3339" s="13">
        <f>IFERROR(__xludf.DUMMYFUNCTION("""COMPUTED_VALUE"""),0.08333333333333333)</f>
        <v>0.08333333333</v>
      </c>
      <c r="D3339" s="8">
        <f>IFERROR(__xludf.DUMMYFUNCTION("""COMPUTED_VALUE"""),1.221)</f>
        <v>1.221</v>
      </c>
      <c r="E3339" s="8" t="str">
        <f>IFERROR(__xludf.DUMMYFUNCTION("""COMPUTED_VALUE"""),"Real")</f>
        <v>Real</v>
      </c>
      <c r="G3339" s="8">
        <f t="shared" si="1"/>
        <v>3</v>
      </c>
      <c r="H3339" s="14">
        <f t="shared" si="2"/>
        <v>20</v>
      </c>
      <c r="I3339" s="15">
        <f t="shared" si="3"/>
        <v>2</v>
      </c>
    </row>
    <row r="3340">
      <c r="A3340" s="8" t="str">
        <f>IFERROR(__xludf.DUMMYFUNCTION("IF('(INGESTA)Datos_consumo_datadis'!A3340&lt;&gt;"""",SPLIT('(INGESTA)Datos_consumo_datadis'!A:A,"",""),"""")"),"ES0031408323131005HX0F")</f>
        <v>ES0031408323131005HX0F</v>
      </c>
      <c r="B3340" s="12">
        <f>IFERROR(__xludf.DUMMYFUNCTION("""COMPUTED_VALUE"""),45005.0)</f>
        <v>45005</v>
      </c>
      <c r="C3340" s="13">
        <f>IFERROR(__xludf.DUMMYFUNCTION("""COMPUTED_VALUE"""),0.125)</f>
        <v>0.125</v>
      </c>
      <c r="D3340" s="8">
        <f>IFERROR(__xludf.DUMMYFUNCTION("""COMPUTED_VALUE"""),1.225)</f>
        <v>1.225</v>
      </c>
      <c r="E3340" s="8" t="str">
        <f>IFERROR(__xludf.DUMMYFUNCTION("""COMPUTED_VALUE"""),"Real")</f>
        <v>Real</v>
      </c>
      <c r="G3340" s="8">
        <f t="shared" si="1"/>
        <v>3</v>
      </c>
      <c r="H3340" s="14">
        <f t="shared" si="2"/>
        <v>20</v>
      </c>
      <c r="I3340" s="15">
        <f t="shared" si="3"/>
        <v>3</v>
      </c>
    </row>
    <row r="3341">
      <c r="A3341" s="8" t="str">
        <f>IFERROR(__xludf.DUMMYFUNCTION("IF('(INGESTA)Datos_consumo_datadis'!A3341&lt;&gt;"""",SPLIT('(INGESTA)Datos_consumo_datadis'!A:A,"",""),"""")"),"ES0031408323131005HX0F")</f>
        <v>ES0031408323131005HX0F</v>
      </c>
      <c r="B3341" s="12">
        <f>IFERROR(__xludf.DUMMYFUNCTION("""COMPUTED_VALUE"""),45005.0)</f>
        <v>45005</v>
      </c>
      <c r="C3341" s="13">
        <f>IFERROR(__xludf.DUMMYFUNCTION("""COMPUTED_VALUE"""),0.16666666666666666)</f>
        <v>0.1666666667</v>
      </c>
      <c r="D3341" s="8">
        <f>IFERROR(__xludf.DUMMYFUNCTION("""COMPUTED_VALUE"""),1.099)</f>
        <v>1.099</v>
      </c>
      <c r="E3341" s="8" t="str">
        <f>IFERROR(__xludf.DUMMYFUNCTION("""COMPUTED_VALUE"""),"Real")</f>
        <v>Real</v>
      </c>
      <c r="G3341" s="8">
        <f t="shared" si="1"/>
        <v>3</v>
      </c>
      <c r="H3341" s="14">
        <f t="shared" si="2"/>
        <v>20</v>
      </c>
      <c r="I3341" s="15">
        <f t="shared" si="3"/>
        <v>4</v>
      </c>
    </row>
    <row r="3342">
      <c r="A3342" s="8" t="str">
        <f>IFERROR(__xludf.DUMMYFUNCTION("IF('(INGESTA)Datos_consumo_datadis'!A3342&lt;&gt;"""",SPLIT('(INGESTA)Datos_consumo_datadis'!A:A,"",""),"""")"),"ES0031408323131005HX0F")</f>
        <v>ES0031408323131005HX0F</v>
      </c>
      <c r="B3342" s="12">
        <f>IFERROR(__xludf.DUMMYFUNCTION("""COMPUTED_VALUE"""),45005.0)</f>
        <v>45005</v>
      </c>
      <c r="C3342" s="13">
        <f>IFERROR(__xludf.DUMMYFUNCTION("""COMPUTED_VALUE"""),0.20833333333333334)</f>
        <v>0.2083333333</v>
      </c>
      <c r="D3342" s="8">
        <f>IFERROR(__xludf.DUMMYFUNCTION("""COMPUTED_VALUE"""),0.557)</f>
        <v>0.557</v>
      </c>
      <c r="E3342" s="8" t="str">
        <f>IFERROR(__xludf.DUMMYFUNCTION("""COMPUTED_VALUE"""),"Real")</f>
        <v>Real</v>
      </c>
      <c r="G3342" s="8">
        <f t="shared" si="1"/>
        <v>3</v>
      </c>
      <c r="H3342" s="14">
        <f t="shared" si="2"/>
        <v>20</v>
      </c>
      <c r="I3342" s="15">
        <f t="shared" si="3"/>
        <v>5</v>
      </c>
    </row>
    <row r="3343">
      <c r="A3343" s="8" t="str">
        <f>IFERROR(__xludf.DUMMYFUNCTION("IF('(INGESTA)Datos_consumo_datadis'!A3343&lt;&gt;"""",SPLIT('(INGESTA)Datos_consumo_datadis'!A:A,"",""),"""")"),"ES0031408323131005HX0F")</f>
        <v>ES0031408323131005HX0F</v>
      </c>
      <c r="B3343" s="12">
        <f>IFERROR(__xludf.DUMMYFUNCTION("""COMPUTED_VALUE"""),45005.0)</f>
        <v>45005</v>
      </c>
      <c r="C3343" s="13">
        <f>IFERROR(__xludf.DUMMYFUNCTION("""COMPUTED_VALUE"""),0.25)</f>
        <v>0.25</v>
      </c>
      <c r="D3343" s="8">
        <f>IFERROR(__xludf.DUMMYFUNCTION("""COMPUTED_VALUE"""),0.091)</f>
        <v>0.091</v>
      </c>
      <c r="E3343" s="8" t="str">
        <f>IFERROR(__xludf.DUMMYFUNCTION("""COMPUTED_VALUE"""),"Real")</f>
        <v>Real</v>
      </c>
      <c r="G3343" s="8">
        <f t="shared" si="1"/>
        <v>3</v>
      </c>
      <c r="H3343" s="14">
        <f t="shared" si="2"/>
        <v>20</v>
      </c>
      <c r="I3343" s="15">
        <f t="shared" si="3"/>
        <v>6</v>
      </c>
    </row>
    <row r="3344">
      <c r="A3344" s="8" t="str">
        <f>IFERROR(__xludf.DUMMYFUNCTION("IF('(INGESTA)Datos_consumo_datadis'!A3344&lt;&gt;"""",SPLIT('(INGESTA)Datos_consumo_datadis'!A:A,"",""),"""")"),"ES0031408323131005HX0F")</f>
        <v>ES0031408323131005HX0F</v>
      </c>
      <c r="B3344" s="12">
        <f>IFERROR(__xludf.DUMMYFUNCTION("""COMPUTED_VALUE"""),45005.0)</f>
        <v>45005</v>
      </c>
      <c r="C3344" s="13">
        <f>IFERROR(__xludf.DUMMYFUNCTION("""COMPUTED_VALUE"""),0.2916666666666667)</f>
        <v>0.2916666667</v>
      </c>
      <c r="D3344" s="8">
        <f>IFERROR(__xludf.DUMMYFUNCTION("""COMPUTED_VALUE"""),0.046)</f>
        <v>0.046</v>
      </c>
      <c r="E3344" s="8" t="str">
        <f>IFERROR(__xludf.DUMMYFUNCTION("""COMPUTED_VALUE"""),"Real")</f>
        <v>Real</v>
      </c>
      <c r="G3344" s="8">
        <f t="shared" si="1"/>
        <v>3</v>
      </c>
      <c r="H3344" s="14">
        <f t="shared" si="2"/>
        <v>20</v>
      </c>
      <c r="I3344" s="15">
        <f t="shared" si="3"/>
        <v>7</v>
      </c>
    </row>
    <row r="3345">
      <c r="A3345" s="8" t="str">
        <f>IFERROR(__xludf.DUMMYFUNCTION("IF('(INGESTA)Datos_consumo_datadis'!A3345&lt;&gt;"""",SPLIT('(INGESTA)Datos_consumo_datadis'!A:A,"",""),"""")"),"ES0031408323131005HX0F")</f>
        <v>ES0031408323131005HX0F</v>
      </c>
      <c r="B3345" s="12">
        <f>IFERROR(__xludf.DUMMYFUNCTION("""COMPUTED_VALUE"""),45005.0)</f>
        <v>45005</v>
      </c>
      <c r="C3345" s="13">
        <f>IFERROR(__xludf.DUMMYFUNCTION("""COMPUTED_VALUE"""),0.3333333333333333)</f>
        <v>0.3333333333</v>
      </c>
      <c r="D3345" s="8">
        <f>IFERROR(__xludf.DUMMYFUNCTION("""COMPUTED_VALUE"""),0.228)</f>
        <v>0.228</v>
      </c>
      <c r="E3345" s="8" t="str">
        <f>IFERROR(__xludf.DUMMYFUNCTION("""COMPUTED_VALUE"""),"Real")</f>
        <v>Real</v>
      </c>
      <c r="G3345" s="8">
        <f t="shared" si="1"/>
        <v>3</v>
      </c>
      <c r="H3345" s="14">
        <f t="shared" si="2"/>
        <v>20</v>
      </c>
      <c r="I3345" s="15">
        <f t="shared" si="3"/>
        <v>8</v>
      </c>
    </row>
    <row r="3346">
      <c r="A3346" s="8" t="str">
        <f>IFERROR(__xludf.DUMMYFUNCTION("IF('(INGESTA)Datos_consumo_datadis'!A3346&lt;&gt;"""",SPLIT('(INGESTA)Datos_consumo_datadis'!A:A,"",""),"""")"),"ES0031408323131005HX0F")</f>
        <v>ES0031408323131005HX0F</v>
      </c>
      <c r="B3346" s="12">
        <f>IFERROR(__xludf.DUMMYFUNCTION("""COMPUTED_VALUE"""),45005.0)</f>
        <v>45005</v>
      </c>
      <c r="C3346" s="13">
        <f>IFERROR(__xludf.DUMMYFUNCTION("""COMPUTED_VALUE"""),0.375)</f>
        <v>0.375</v>
      </c>
      <c r="D3346" s="8">
        <f>IFERROR(__xludf.DUMMYFUNCTION("""COMPUTED_VALUE"""),0.355)</f>
        <v>0.355</v>
      </c>
      <c r="E3346" s="8" t="str">
        <f>IFERROR(__xludf.DUMMYFUNCTION("""COMPUTED_VALUE"""),"Real")</f>
        <v>Real</v>
      </c>
      <c r="G3346" s="8">
        <f t="shared" si="1"/>
        <v>3</v>
      </c>
      <c r="H3346" s="14">
        <f t="shared" si="2"/>
        <v>20</v>
      </c>
      <c r="I3346" s="15">
        <f t="shared" si="3"/>
        <v>9</v>
      </c>
    </row>
    <row r="3347">
      <c r="A3347" s="8" t="str">
        <f>IFERROR(__xludf.DUMMYFUNCTION("IF('(INGESTA)Datos_consumo_datadis'!A3347&lt;&gt;"""",SPLIT('(INGESTA)Datos_consumo_datadis'!A:A,"",""),"""")"),"ES0031408323131005HX0F")</f>
        <v>ES0031408323131005HX0F</v>
      </c>
      <c r="B3347" s="12">
        <f>IFERROR(__xludf.DUMMYFUNCTION("""COMPUTED_VALUE"""),45005.0)</f>
        <v>45005</v>
      </c>
      <c r="C3347" s="13">
        <f>IFERROR(__xludf.DUMMYFUNCTION("""COMPUTED_VALUE"""),0.4166666666666667)</f>
        <v>0.4166666667</v>
      </c>
      <c r="D3347" s="8">
        <f>IFERROR(__xludf.DUMMYFUNCTION("""COMPUTED_VALUE"""),0.042)</f>
        <v>0.042</v>
      </c>
      <c r="E3347" s="8" t="str">
        <f>IFERROR(__xludf.DUMMYFUNCTION("""COMPUTED_VALUE"""),"Real")</f>
        <v>Real</v>
      </c>
      <c r="G3347" s="8">
        <f t="shared" si="1"/>
        <v>3</v>
      </c>
      <c r="H3347" s="14">
        <f t="shared" si="2"/>
        <v>20</v>
      </c>
      <c r="I3347" s="15">
        <f t="shared" si="3"/>
        <v>10</v>
      </c>
    </row>
    <row r="3348">
      <c r="A3348" s="8" t="str">
        <f>IFERROR(__xludf.DUMMYFUNCTION("IF('(INGESTA)Datos_consumo_datadis'!A3348&lt;&gt;"""",SPLIT('(INGESTA)Datos_consumo_datadis'!A:A,"",""),"""")"),"ES0031408323131005HX0F")</f>
        <v>ES0031408323131005HX0F</v>
      </c>
      <c r="B3348" s="12">
        <f>IFERROR(__xludf.DUMMYFUNCTION("""COMPUTED_VALUE"""),45005.0)</f>
        <v>45005</v>
      </c>
      <c r="C3348" s="13">
        <f>IFERROR(__xludf.DUMMYFUNCTION("""COMPUTED_VALUE"""),0.4583333333333333)</f>
        <v>0.4583333333</v>
      </c>
      <c r="D3348" s="8">
        <f>IFERROR(__xludf.DUMMYFUNCTION("""COMPUTED_VALUE"""),0.048)</f>
        <v>0.048</v>
      </c>
      <c r="E3348" s="8" t="str">
        <f>IFERROR(__xludf.DUMMYFUNCTION("""COMPUTED_VALUE"""),"Real")</f>
        <v>Real</v>
      </c>
      <c r="G3348" s="8">
        <f t="shared" si="1"/>
        <v>3</v>
      </c>
      <c r="H3348" s="14">
        <f t="shared" si="2"/>
        <v>20</v>
      </c>
      <c r="I3348" s="15">
        <f t="shared" si="3"/>
        <v>11</v>
      </c>
    </row>
    <row r="3349">
      <c r="A3349" s="8" t="str">
        <f>IFERROR(__xludf.DUMMYFUNCTION("IF('(INGESTA)Datos_consumo_datadis'!A3349&lt;&gt;"""",SPLIT('(INGESTA)Datos_consumo_datadis'!A:A,"",""),"""")"),"ES0031408323131005HX0F")</f>
        <v>ES0031408323131005HX0F</v>
      </c>
      <c r="B3349" s="12">
        <f>IFERROR(__xludf.DUMMYFUNCTION("""COMPUTED_VALUE"""),45005.0)</f>
        <v>45005</v>
      </c>
      <c r="C3349" s="13">
        <f>IFERROR(__xludf.DUMMYFUNCTION("""COMPUTED_VALUE"""),0.5)</f>
        <v>0.5</v>
      </c>
      <c r="D3349" s="8">
        <f>IFERROR(__xludf.DUMMYFUNCTION("""COMPUTED_VALUE"""),0.073)</f>
        <v>0.073</v>
      </c>
      <c r="E3349" s="8" t="str">
        <f>IFERROR(__xludf.DUMMYFUNCTION("""COMPUTED_VALUE"""),"Real")</f>
        <v>Real</v>
      </c>
      <c r="G3349" s="8">
        <f t="shared" si="1"/>
        <v>3</v>
      </c>
      <c r="H3349" s="14">
        <f t="shared" si="2"/>
        <v>20</v>
      </c>
      <c r="I3349" s="15">
        <f t="shared" si="3"/>
        <v>12</v>
      </c>
    </row>
    <row r="3350">
      <c r="A3350" s="8" t="str">
        <f>IFERROR(__xludf.DUMMYFUNCTION("IF('(INGESTA)Datos_consumo_datadis'!A3350&lt;&gt;"""",SPLIT('(INGESTA)Datos_consumo_datadis'!A:A,"",""),"""")"),"ES0031408323131005HX0F")</f>
        <v>ES0031408323131005HX0F</v>
      </c>
      <c r="B3350" s="12">
        <f>IFERROR(__xludf.DUMMYFUNCTION("""COMPUTED_VALUE"""),45005.0)</f>
        <v>45005</v>
      </c>
      <c r="C3350" s="13">
        <f>IFERROR(__xludf.DUMMYFUNCTION("""COMPUTED_VALUE"""),0.5416666666666666)</f>
        <v>0.5416666667</v>
      </c>
      <c r="D3350" s="8">
        <f>IFERROR(__xludf.DUMMYFUNCTION("""COMPUTED_VALUE"""),0.019)</f>
        <v>0.019</v>
      </c>
      <c r="E3350" s="8" t="str">
        <f>IFERROR(__xludf.DUMMYFUNCTION("""COMPUTED_VALUE"""),"Real")</f>
        <v>Real</v>
      </c>
      <c r="G3350" s="8">
        <f t="shared" si="1"/>
        <v>3</v>
      </c>
      <c r="H3350" s="14">
        <f t="shared" si="2"/>
        <v>20</v>
      </c>
      <c r="I3350" s="15">
        <f t="shared" si="3"/>
        <v>13</v>
      </c>
    </row>
    <row r="3351">
      <c r="A3351" s="8" t="str">
        <f>IFERROR(__xludf.DUMMYFUNCTION("IF('(INGESTA)Datos_consumo_datadis'!A3351&lt;&gt;"""",SPLIT('(INGESTA)Datos_consumo_datadis'!A:A,"",""),"""")"),"ES0031408323131005HX0F")</f>
        <v>ES0031408323131005HX0F</v>
      </c>
      <c r="B3351" s="12">
        <f>IFERROR(__xludf.DUMMYFUNCTION("""COMPUTED_VALUE"""),45005.0)</f>
        <v>45005</v>
      </c>
      <c r="C3351" s="13">
        <f>IFERROR(__xludf.DUMMYFUNCTION("""COMPUTED_VALUE"""),0.5833333333333334)</f>
        <v>0.5833333333</v>
      </c>
      <c r="D3351" s="8">
        <f>IFERROR(__xludf.DUMMYFUNCTION("""COMPUTED_VALUE"""),0.07)</f>
        <v>0.07</v>
      </c>
      <c r="E3351" s="8" t="str">
        <f>IFERROR(__xludf.DUMMYFUNCTION("""COMPUTED_VALUE"""),"Real")</f>
        <v>Real</v>
      </c>
      <c r="G3351" s="8">
        <f t="shared" si="1"/>
        <v>3</v>
      </c>
      <c r="H3351" s="14">
        <f t="shared" si="2"/>
        <v>20</v>
      </c>
      <c r="I3351" s="15">
        <f t="shared" si="3"/>
        <v>14</v>
      </c>
    </row>
    <row r="3352">
      <c r="A3352" s="8" t="str">
        <f>IFERROR(__xludf.DUMMYFUNCTION("IF('(INGESTA)Datos_consumo_datadis'!A3352&lt;&gt;"""",SPLIT('(INGESTA)Datos_consumo_datadis'!A:A,"",""),"""")"),"ES0031408323131005HX0F")</f>
        <v>ES0031408323131005HX0F</v>
      </c>
      <c r="B3352" s="12">
        <f>IFERROR(__xludf.DUMMYFUNCTION("""COMPUTED_VALUE"""),45005.0)</f>
        <v>45005</v>
      </c>
      <c r="C3352" s="13">
        <f>IFERROR(__xludf.DUMMYFUNCTION("""COMPUTED_VALUE"""),0.625)</f>
        <v>0.625</v>
      </c>
      <c r="D3352" s="8">
        <f>IFERROR(__xludf.DUMMYFUNCTION("""COMPUTED_VALUE"""),0.308)</f>
        <v>0.308</v>
      </c>
      <c r="E3352" s="8" t="str">
        <f>IFERROR(__xludf.DUMMYFUNCTION("""COMPUTED_VALUE"""),"Real")</f>
        <v>Real</v>
      </c>
      <c r="G3352" s="8">
        <f t="shared" si="1"/>
        <v>3</v>
      </c>
      <c r="H3352" s="14">
        <f t="shared" si="2"/>
        <v>20</v>
      </c>
      <c r="I3352" s="15">
        <f t="shared" si="3"/>
        <v>15</v>
      </c>
    </row>
    <row r="3353">
      <c r="A3353" s="8" t="str">
        <f>IFERROR(__xludf.DUMMYFUNCTION("IF('(INGESTA)Datos_consumo_datadis'!A3353&lt;&gt;"""",SPLIT('(INGESTA)Datos_consumo_datadis'!A:A,"",""),"""")"),"ES0031408323131005HX0F")</f>
        <v>ES0031408323131005HX0F</v>
      </c>
      <c r="B3353" s="12">
        <f>IFERROR(__xludf.DUMMYFUNCTION("""COMPUTED_VALUE"""),45005.0)</f>
        <v>45005</v>
      </c>
      <c r="C3353" s="13">
        <f>IFERROR(__xludf.DUMMYFUNCTION("""COMPUTED_VALUE"""),0.6666666666666666)</f>
        <v>0.6666666667</v>
      </c>
      <c r="D3353" s="8">
        <f>IFERROR(__xludf.DUMMYFUNCTION("""COMPUTED_VALUE"""),0.016)</f>
        <v>0.016</v>
      </c>
      <c r="E3353" s="8" t="str">
        <f>IFERROR(__xludf.DUMMYFUNCTION("""COMPUTED_VALUE"""),"Real")</f>
        <v>Real</v>
      </c>
      <c r="G3353" s="8">
        <f t="shared" si="1"/>
        <v>3</v>
      </c>
      <c r="H3353" s="14">
        <f t="shared" si="2"/>
        <v>20</v>
      </c>
      <c r="I3353" s="15">
        <f t="shared" si="3"/>
        <v>16</v>
      </c>
    </row>
    <row r="3354">
      <c r="A3354" s="8" t="str">
        <f>IFERROR(__xludf.DUMMYFUNCTION("IF('(INGESTA)Datos_consumo_datadis'!A3354&lt;&gt;"""",SPLIT('(INGESTA)Datos_consumo_datadis'!A:A,"",""),"""")"),"ES0031408323131005HX0F")</f>
        <v>ES0031408323131005HX0F</v>
      </c>
      <c r="B3354" s="12">
        <f>IFERROR(__xludf.DUMMYFUNCTION("""COMPUTED_VALUE"""),45005.0)</f>
        <v>45005</v>
      </c>
      <c r="C3354" s="13">
        <f>IFERROR(__xludf.DUMMYFUNCTION("""COMPUTED_VALUE"""),0.7083333333333334)</f>
        <v>0.7083333333</v>
      </c>
      <c r="D3354" s="8">
        <f>IFERROR(__xludf.DUMMYFUNCTION("""COMPUTED_VALUE"""),0.084)</f>
        <v>0.084</v>
      </c>
      <c r="E3354" s="8" t="str">
        <f>IFERROR(__xludf.DUMMYFUNCTION("""COMPUTED_VALUE"""),"Real")</f>
        <v>Real</v>
      </c>
      <c r="G3354" s="8">
        <f t="shared" si="1"/>
        <v>3</v>
      </c>
      <c r="H3354" s="14">
        <f t="shared" si="2"/>
        <v>20</v>
      </c>
      <c r="I3354" s="15">
        <f t="shared" si="3"/>
        <v>17</v>
      </c>
    </row>
    <row r="3355">
      <c r="A3355" s="8" t="str">
        <f>IFERROR(__xludf.DUMMYFUNCTION("IF('(INGESTA)Datos_consumo_datadis'!A3355&lt;&gt;"""",SPLIT('(INGESTA)Datos_consumo_datadis'!A:A,"",""),"""")"),"ES0031408323131005HX0F")</f>
        <v>ES0031408323131005HX0F</v>
      </c>
      <c r="B3355" s="12">
        <f>IFERROR(__xludf.DUMMYFUNCTION("""COMPUTED_VALUE"""),45005.0)</f>
        <v>45005</v>
      </c>
      <c r="C3355" s="13">
        <f>IFERROR(__xludf.DUMMYFUNCTION("""COMPUTED_VALUE"""),0.75)</f>
        <v>0.75</v>
      </c>
      <c r="D3355" s="8">
        <f>IFERROR(__xludf.DUMMYFUNCTION("""COMPUTED_VALUE"""),0.042)</f>
        <v>0.042</v>
      </c>
      <c r="E3355" s="8" t="str">
        <f>IFERROR(__xludf.DUMMYFUNCTION("""COMPUTED_VALUE"""),"Real")</f>
        <v>Real</v>
      </c>
      <c r="G3355" s="8">
        <f t="shared" si="1"/>
        <v>3</v>
      </c>
      <c r="H3355" s="14">
        <f t="shared" si="2"/>
        <v>20</v>
      </c>
      <c r="I3355" s="15">
        <f t="shared" si="3"/>
        <v>18</v>
      </c>
    </row>
    <row r="3356">
      <c r="A3356" s="8" t="str">
        <f>IFERROR(__xludf.DUMMYFUNCTION("IF('(INGESTA)Datos_consumo_datadis'!A3356&lt;&gt;"""",SPLIT('(INGESTA)Datos_consumo_datadis'!A:A,"",""),"""")"),"ES0031408323131005HX0F")</f>
        <v>ES0031408323131005HX0F</v>
      </c>
      <c r="B3356" s="12">
        <f>IFERROR(__xludf.DUMMYFUNCTION("""COMPUTED_VALUE"""),45005.0)</f>
        <v>45005</v>
      </c>
      <c r="C3356" s="13">
        <f>IFERROR(__xludf.DUMMYFUNCTION("""COMPUTED_VALUE"""),0.7916666666666666)</f>
        <v>0.7916666667</v>
      </c>
      <c r="D3356" s="8">
        <f>IFERROR(__xludf.DUMMYFUNCTION("""COMPUTED_VALUE"""),0.145)</f>
        <v>0.145</v>
      </c>
      <c r="E3356" s="8" t="str">
        <f>IFERROR(__xludf.DUMMYFUNCTION("""COMPUTED_VALUE"""),"Real")</f>
        <v>Real</v>
      </c>
      <c r="G3356" s="8">
        <f t="shared" si="1"/>
        <v>3</v>
      </c>
      <c r="H3356" s="14">
        <f t="shared" si="2"/>
        <v>20</v>
      </c>
      <c r="I3356" s="15">
        <f t="shared" si="3"/>
        <v>19</v>
      </c>
    </row>
    <row r="3357">
      <c r="A3357" s="8" t="str">
        <f>IFERROR(__xludf.DUMMYFUNCTION("IF('(INGESTA)Datos_consumo_datadis'!A3357&lt;&gt;"""",SPLIT('(INGESTA)Datos_consumo_datadis'!A:A,"",""),"""")"),"ES0031408323131005HX0F")</f>
        <v>ES0031408323131005HX0F</v>
      </c>
      <c r="B3357" s="12">
        <f>IFERROR(__xludf.DUMMYFUNCTION("""COMPUTED_VALUE"""),45005.0)</f>
        <v>45005</v>
      </c>
      <c r="C3357" s="13">
        <f>IFERROR(__xludf.DUMMYFUNCTION("""COMPUTED_VALUE"""),0.8333333333333334)</f>
        <v>0.8333333333</v>
      </c>
      <c r="D3357" s="8">
        <f>IFERROR(__xludf.DUMMYFUNCTION("""COMPUTED_VALUE"""),0.648)</f>
        <v>0.648</v>
      </c>
      <c r="E3357" s="8" t="str">
        <f>IFERROR(__xludf.DUMMYFUNCTION("""COMPUTED_VALUE"""),"Real")</f>
        <v>Real</v>
      </c>
      <c r="G3357" s="8">
        <f t="shared" si="1"/>
        <v>3</v>
      </c>
      <c r="H3357" s="14">
        <f t="shared" si="2"/>
        <v>20</v>
      </c>
      <c r="I3357" s="15">
        <f t="shared" si="3"/>
        <v>20</v>
      </c>
    </row>
    <row r="3358">
      <c r="A3358" s="8" t="str">
        <f>IFERROR(__xludf.DUMMYFUNCTION("IF('(INGESTA)Datos_consumo_datadis'!A3358&lt;&gt;"""",SPLIT('(INGESTA)Datos_consumo_datadis'!A:A,"",""),"""")"),"ES0031408323131005HX0F")</f>
        <v>ES0031408323131005HX0F</v>
      </c>
      <c r="B3358" s="12">
        <f>IFERROR(__xludf.DUMMYFUNCTION("""COMPUTED_VALUE"""),45005.0)</f>
        <v>45005</v>
      </c>
      <c r="C3358" s="13">
        <f>IFERROR(__xludf.DUMMYFUNCTION("""COMPUTED_VALUE"""),0.875)</f>
        <v>0.875</v>
      </c>
      <c r="D3358" s="8">
        <f>IFERROR(__xludf.DUMMYFUNCTION("""COMPUTED_VALUE"""),1.495)</f>
        <v>1.495</v>
      </c>
      <c r="E3358" s="8" t="str">
        <f>IFERROR(__xludf.DUMMYFUNCTION("""COMPUTED_VALUE"""),"Real")</f>
        <v>Real</v>
      </c>
      <c r="G3358" s="8">
        <f t="shared" si="1"/>
        <v>3</v>
      </c>
      <c r="H3358" s="14">
        <f t="shared" si="2"/>
        <v>20</v>
      </c>
      <c r="I3358" s="15">
        <f t="shared" si="3"/>
        <v>21</v>
      </c>
    </row>
    <row r="3359">
      <c r="A3359" s="8" t="str">
        <f>IFERROR(__xludf.DUMMYFUNCTION("IF('(INGESTA)Datos_consumo_datadis'!A3359&lt;&gt;"""",SPLIT('(INGESTA)Datos_consumo_datadis'!A:A,"",""),"""")"),"ES0031408323131005HX0F")</f>
        <v>ES0031408323131005HX0F</v>
      </c>
      <c r="B3359" s="12">
        <f>IFERROR(__xludf.DUMMYFUNCTION("""COMPUTED_VALUE"""),45005.0)</f>
        <v>45005</v>
      </c>
      <c r="C3359" s="13">
        <f>IFERROR(__xludf.DUMMYFUNCTION("""COMPUTED_VALUE"""),0.9166666666666666)</f>
        <v>0.9166666667</v>
      </c>
      <c r="D3359" s="8">
        <f>IFERROR(__xludf.DUMMYFUNCTION("""COMPUTED_VALUE"""),3.052)</f>
        <v>3.052</v>
      </c>
      <c r="E3359" s="8" t="str">
        <f>IFERROR(__xludf.DUMMYFUNCTION("""COMPUTED_VALUE"""),"Real")</f>
        <v>Real</v>
      </c>
      <c r="G3359" s="8">
        <f t="shared" si="1"/>
        <v>3</v>
      </c>
      <c r="H3359" s="14">
        <f t="shared" si="2"/>
        <v>20</v>
      </c>
      <c r="I3359" s="15">
        <f t="shared" si="3"/>
        <v>22</v>
      </c>
    </row>
    <row r="3360">
      <c r="A3360" s="8" t="str">
        <f>IFERROR(__xludf.DUMMYFUNCTION("IF('(INGESTA)Datos_consumo_datadis'!A3360&lt;&gt;"""",SPLIT('(INGESTA)Datos_consumo_datadis'!A:A,"",""),"""")"),"ES0031408323131005HX0F")</f>
        <v>ES0031408323131005HX0F</v>
      </c>
      <c r="B3360" s="12">
        <f>IFERROR(__xludf.DUMMYFUNCTION("""COMPUTED_VALUE"""),45005.0)</f>
        <v>45005</v>
      </c>
      <c r="C3360" s="13">
        <f>IFERROR(__xludf.DUMMYFUNCTION("""COMPUTED_VALUE"""),0.9583333333333334)</f>
        <v>0.9583333333</v>
      </c>
      <c r="D3360" s="8">
        <f>IFERROR(__xludf.DUMMYFUNCTION("""COMPUTED_VALUE"""),1.073)</f>
        <v>1.073</v>
      </c>
      <c r="E3360" s="8" t="str">
        <f>IFERROR(__xludf.DUMMYFUNCTION("""COMPUTED_VALUE"""),"Real")</f>
        <v>Real</v>
      </c>
      <c r="G3360" s="8">
        <f t="shared" si="1"/>
        <v>3</v>
      </c>
      <c r="H3360" s="14">
        <f t="shared" si="2"/>
        <v>20</v>
      </c>
      <c r="I3360" s="15">
        <f t="shared" si="3"/>
        <v>23</v>
      </c>
    </row>
    <row r="3361">
      <c r="A3361" s="8" t="str">
        <f>IFERROR(__xludf.DUMMYFUNCTION("IF('(INGESTA)Datos_consumo_datadis'!A3361&lt;&gt;"""",SPLIT('(INGESTA)Datos_consumo_datadis'!A:A,"",""),"""")"),"ES0031408323131005HX0F")</f>
        <v>ES0031408323131005HX0F</v>
      </c>
      <c r="B3361" s="12">
        <f>IFERROR(__xludf.DUMMYFUNCTION("""COMPUTED_VALUE"""),45005.0)</f>
        <v>45005</v>
      </c>
      <c r="C3361" s="16">
        <f>IFERROR(__xludf.DUMMYFUNCTION("""COMPUTED_VALUE"""),1.0)</f>
        <v>1</v>
      </c>
      <c r="D3361" s="8">
        <f>IFERROR(__xludf.DUMMYFUNCTION("""COMPUTED_VALUE"""),0.118)</f>
        <v>0.118</v>
      </c>
      <c r="E3361" s="8" t="str">
        <f>IFERROR(__xludf.DUMMYFUNCTION("""COMPUTED_VALUE"""),"Real")</f>
        <v>Real</v>
      </c>
      <c r="G3361" s="8">
        <f t="shared" si="1"/>
        <v>3</v>
      </c>
      <c r="H3361" s="14">
        <f t="shared" si="2"/>
        <v>20</v>
      </c>
      <c r="I3361" s="15">
        <f t="shared" si="3"/>
        <v>0</v>
      </c>
    </row>
    <row r="3362">
      <c r="A3362" s="8" t="str">
        <f>IFERROR(__xludf.DUMMYFUNCTION("IF('(INGESTA)Datos_consumo_datadis'!A3362&lt;&gt;"""",SPLIT('(INGESTA)Datos_consumo_datadis'!A:A,"",""),"""")"),"ES0031408323131005HX0F")</f>
        <v>ES0031408323131005HX0F</v>
      </c>
      <c r="B3362" s="12">
        <f>IFERROR(__xludf.DUMMYFUNCTION("""COMPUTED_VALUE"""),45006.0)</f>
        <v>45006</v>
      </c>
      <c r="C3362" s="13">
        <f>IFERROR(__xludf.DUMMYFUNCTION("""COMPUTED_VALUE"""),0.041666666666666664)</f>
        <v>0.04166666667</v>
      </c>
      <c r="D3362" s="8">
        <f>IFERROR(__xludf.DUMMYFUNCTION("""COMPUTED_VALUE"""),0.132)</f>
        <v>0.132</v>
      </c>
      <c r="E3362" s="8" t="str">
        <f>IFERROR(__xludf.DUMMYFUNCTION("""COMPUTED_VALUE"""),"Real")</f>
        <v>Real</v>
      </c>
      <c r="G3362" s="8">
        <f t="shared" si="1"/>
        <v>3</v>
      </c>
      <c r="H3362" s="14">
        <f t="shared" si="2"/>
        <v>21</v>
      </c>
      <c r="I3362" s="15">
        <f t="shared" si="3"/>
        <v>1</v>
      </c>
    </row>
    <row r="3363">
      <c r="A3363" s="8" t="str">
        <f>IFERROR(__xludf.DUMMYFUNCTION("IF('(INGESTA)Datos_consumo_datadis'!A3363&lt;&gt;"""",SPLIT('(INGESTA)Datos_consumo_datadis'!A:A,"",""),"""")"),"ES0031408323131005HX0F")</f>
        <v>ES0031408323131005HX0F</v>
      </c>
      <c r="B3363" s="12">
        <f>IFERROR(__xludf.DUMMYFUNCTION("""COMPUTED_VALUE"""),45006.0)</f>
        <v>45006</v>
      </c>
      <c r="C3363" s="13">
        <f>IFERROR(__xludf.DUMMYFUNCTION("""COMPUTED_VALUE"""),0.08333333333333333)</f>
        <v>0.08333333333</v>
      </c>
      <c r="D3363" s="8">
        <f>IFERROR(__xludf.DUMMYFUNCTION("""COMPUTED_VALUE"""),0.113)</f>
        <v>0.113</v>
      </c>
      <c r="E3363" s="8" t="str">
        <f>IFERROR(__xludf.DUMMYFUNCTION("""COMPUTED_VALUE"""),"Real")</f>
        <v>Real</v>
      </c>
      <c r="G3363" s="8">
        <f t="shared" si="1"/>
        <v>3</v>
      </c>
      <c r="H3363" s="14">
        <f t="shared" si="2"/>
        <v>21</v>
      </c>
      <c r="I3363" s="15">
        <f t="shared" si="3"/>
        <v>2</v>
      </c>
    </row>
    <row r="3364">
      <c r="A3364" s="8" t="str">
        <f>IFERROR(__xludf.DUMMYFUNCTION("IF('(INGESTA)Datos_consumo_datadis'!A3364&lt;&gt;"""",SPLIT('(INGESTA)Datos_consumo_datadis'!A:A,"",""),"""")"),"ES0031408323131005HX0F")</f>
        <v>ES0031408323131005HX0F</v>
      </c>
      <c r="B3364" s="12">
        <f>IFERROR(__xludf.DUMMYFUNCTION("""COMPUTED_VALUE"""),45006.0)</f>
        <v>45006</v>
      </c>
      <c r="C3364" s="13">
        <f>IFERROR(__xludf.DUMMYFUNCTION("""COMPUTED_VALUE"""),0.125)</f>
        <v>0.125</v>
      </c>
      <c r="D3364" s="8">
        <f>IFERROR(__xludf.DUMMYFUNCTION("""COMPUTED_VALUE"""),0.38)</f>
        <v>0.38</v>
      </c>
      <c r="E3364" s="8" t="str">
        <f>IFERROR(__xludf.DUMMYFUNCTION("""COMPUTED_VALUE"""),"Real")</f>
        <v>Real</v>
      </c>
      <c r="G3364" s="8">
        <f t="shared" si="1"/>
        <v>3</v>
      </c>
      <c r="H3364" s="14">
        <f t="shared" si="2"/>
        <v>21</v>
      </c>
      <c r="I3364" s="15">
        <f t="shared" si="3"/>
        <v>3</v>
      </c>
    </row>
    <row r="3365">
      <c r="A3365" s="8" t="str">
        <f>IFERROR(__xludf.DUMMYFUNCTION("IF('(INGESTA)Datos_consumo_datadis'!A3365&lt;&gt;"""",SPLIT('(INGESTA)Datos_consumo_datadis'!A:A,"",""),"""")"),"ES0031408323131005HX0F")</f>
        <v>ES0031408323131005HX0F</v>
      </c>
      <c r="B3365" s="12">
        <f>IFERROR(__xludf.DUMMYFUNCTION("""COMPUTED_VALUE"""),45006.0)</f>
        <v>45006</v>
      </c>
      <c r="C3365" s="13">
        <f>IFERROR(__xludf.DUMMYFUNCTION("""COMPUTED_VALUE"""),0.16666666666666666)</f>
        <v>0.1666666667</v>
      </c>
      <c r="D3365" s="8">
        <f>IFERROR(__xludf.DUMMYFUNCTION("""COMPUTED_VALUE"""),0.043)</f>
        <v>0.043</v>
      </c>
      <c r="E3365" s="8" t="str">
        <f>IFERROR(__xludf.DUMMYFUNCTION("""COMPUTED_VALUE"""),"Real")</f>
        <v>Real</v>
      </c>
      <c r="G3365" s="8">
        <f t="shared" si="1"/>
        <v>3</v>
      </c>
      <c r="H3365" s="14">
        <f t="shared" si="2"/>
        <v>21</v>
      </c>
      <c r="I3365" s="15">
        <f t="shared" si="3"/>
        <v>4</v>
      </c>
    </row>
    <row r="3366">
      <c r="A3366" s="8" t="str">
        <f>IFERROR(__xludf.DUMMYFUNCTION("IF('(INGESTA)Datos_consumo_datadis'!A3366&lt;&gt;"""",SPLIT('(INGESTA)Datos_consumo_datadis'!A:A,"",""),"""")"),"ES0031408323131005HX0F")</f>
        <v>ES0031408323131005HX0F</v>
      </c>
      <c r="B3366" s="12">
        <f>IFERROR(__xludf.DUMMYFUNCTION("""COMPUTED_VALUE"""),45006.0)</f>
        <v>45006</v>
      </c>
      <c r="C3366" s="13">
        <f>IFERROR(__xludf.DUMMYFUNCTION("""COMPUTED_VALUE"""),0.20833333333333334)</f>
        <v>0.2083333333</v>
      </c>
      <c r="D3366" s="8">
        <f>IFERROR(__xludf.DUMMYFUNCTION("""COMPUTED_VALUE"""),0.018)</f>
        <v>0.018</v>
      </c>
      <c r="E3366" s="8" t="str">
        <f>IFERROR(__xludf.DUMMYFUNCTION("""COMPUTED_VALUE"""),"Real")</f>
        <v>Real</v>
      </c>
      <c r="G3366" s="8">
        <f t="shared" si="1"/>
        <v>3</v>
      </c>
      <c r="H3366" s="14">
        <f t="shared" si="2"/>
        <v>21</v>
      </c>
      <c r="I3366" s="15">
        <f t="shared" si="3"/>
        <v>5</v>
      </c>
    </row>
    <row r="3367">
      <c r="A3367" s="8" t="str">
        <f>IFERROR(__xludf.DUMMYFUNCTION("IF('(INGESTA)Datos_consumo_datadis'!A3367&lt;&gt;"""",SPLIT('(INGESTA)Datos_consumo_datadis'!A:A,"",""),"""")"),"ES0031408323131005HX0F")</f>
        <v>ES0031408323131005HX0F</v>
      </c>
      <c r="B3367" s="12">
        <f>IFERROR(__xludf.DUMMYFUNCTION("""COMPUTED_VALUE"""),45006.0)</f>
        <v>45006</v>
      </c>
      <c r="C3367" s="13">
        <f>IFERROR(__xludf.DUMMYFUNCTION("""COMPUTED_VALUE"""),0.25)</f>
        <v>0.25</v>
      </c>
      <c r="D3367" s="8">
        <f>IFERROR(__xludf.DUMMYFUNCTION("""COMPUTED_VALUE"""),0.073)</f>
        <v>0.073</v>
      </c>
      <c r="E3367" s="8" t="str">
        <f>IFERROR(__xludf.DUMMYFUNCTION("""COMPUTED_VALUE"""),"Real")</f>
        <v>Real</v>
      </c>
      <c r="G3367" s="8">
        <f t="shared" si="1"/>
        <v>3</v>
      </c>
      <c r="H3367" s="14">
        <f t="shared" si="2"/>
        <v>21</v>
      </c>
      <c r="I3367" s="15">
        <f t="shared" si="3"/>
        <v>6</v>
      </c>
    </row>
    <row r="3368">
      <c r="A3368" s="8" t="str">
        <f>IFERROR(__xludf.DUMMYFUNCTION("IF('(INGESTA)Datos_consumo_datadis'!A3368&lt;&gt;"""",SPLIT('(INGESTA)Datos_consumo_datadis'!A:A,"",""),"""")"),"ES0031408323131005HX0F")</f>
        <v>ES0031408323131005HX0F</v>
      </c>
      <c r="B3368" s="12">
        <f>IFERROR(__xludf.DUMMYFUNCTION("""COMPUTED_VALUE"""),45006.0)</f>
        <v>45006</v>
      </c>
      <c r="C3368" s="13">
        <f>IFERROR(__xludf.DUMMYFUNCTION("""COMPUTED_VALUE"""),0.2916666666666667)</f>
        <v>0.2916666667</v>
      </c>
      <c r="D3368" s="8">
        <f>IFERROR(__xludf.DUMMYFUNCTION("""COMPUTED_VALUE"""),0.089)</f>
        <v>0.089</v>
      </c>
      <c r="E3368" s="8" t="str">
        <f>IFERROR(__xludf.DUMMYFUNCTION("""COMPUTED_VALUE"""),"Real")</f>
        <v>Real</v>
      </c>
      <c r="G3368" s="8">
        <f t="shared" si="1"/>
        <v>3</v>
      </c>
      <c r="H3368" s="14">
        <f t="shared" si="2"/>
        <v>21</v>
      </c>
      <c r="I3368" s="15">
        <f t="shared" si="3"/>
        <v>7</v>
      </c>
    </row>
    <row r="3369">
      <c r="A3369" s="8" t="str">
        <f>IFERROR(__xludf.DUMMYFUNCTION("IF('(INGESTA)Datos_consumo_datadis'!A3369&lt;&gt;"""",SPLIT('(INGESTA)Datos_consumo_datadis'!A:A,"",""),"""")"),"ES0031408323131005HX0F")</f>
        <v>ES0031408323131005HX0F</v>
      </c>
      <c r="B3369" s="12">
        <f>IFERROR(__xludf.DUMMYFUNCTION("""COMPUTED_VALUE"""),45006.0)</f>
        <v>45006</v>
      </c>
      <c r="C3369" s="13">
        <f>IFERROR(__xludf.DUMMYFUNCTION("""COMPUTED_VALUE"""),0.3333333333333333)</f>
        <v>0.3333333333</v>
      </c>
      <c r="D3369" s="8">
        <f>IFERROR(__xludf.DUMMYFUNCTION("""COMPUTED_VALUE"""),0.862)</f>
        <v>0.862</v>
      </c>
      <c r="E3369" s="8" t="str">
        <f>IFERROR(__xludf.DUMMYFUNCTION("""COMPUTED_VALUE"""),"Real")</f>
        <v>Real</v>
      </c>
      <c r="G3369" s="8">
        <f t="shared" si="1"/>
        <v>3</v>
      </c>
      <c r="H3369" s="14">
        <f t="shared" si="2"/>
        <v>21</v>
      </c>
      <c r="I3369" s="15">
        <f t="shared" si="3"/>
        <v>8</v>
      </c>
    </row>
    <row r="3370">
      <c r="A3370" s="8" t="str">
        <f>IFERROR(__xludf.DUMMYFUNCTION("IF('(INGESTA)Datos_consumo_datadis'!A3370&lt;&gt;"""",SPLIT('(INGESTA)Datos_consumo_datadis'!A:A,"",""),"""")"),"ES0031408323131005HX0F")</f>
        <v>ES0031408323131005HX0F</v>
      </c>
      <c r="B3370" s="12">
        <f>IFERROR(__xludf.DUMMYFUNCTION("""COMPUTED_VALUE"""),45006.0)</f>
        <v>45006</v>
      </c>
      <c r="C3370" s="13">
        <f>IFERROR(__xludf.DUMMYFUNCTION("""COMPUTED_VALUE"""),0.375)</f>
        <v>0.375</v>
      </c>
      <c r="D3370" s="8">
        <f>IFERROR(__xludf.DUMMYFUNCTION("""COMPUTED_VALUE"""),0.022)</f>
        <v>0.022</v>
      </c>
      <c r="E3370" s="8" t="str">
        <f>IFERROR(__xludf.DUMMYFUNCTION("""COMPUTED_VALUE"""),"Real")</f>
        <v>Real</v>
      </c>
      <c r="G3370" s="8">
        <f t="shared" si="1"/>
        <v>3</v>
      </c>
      <c r="H3370" s="14">
        <f t="shared" si="2"/>
        <v>21</v>
      </c>
      <c r="I3370" s="15">
        <f t="shared" si="3"/>
        <v>9</v>
      </c>
    </row>
    <row r="3371">
      <c r="A3371" s="8" t="str">
        <f>IFERROR(__xludf.DUMMYFUNCTION("IF('(INGESTA)Datos_consumo_datadis'!A3371&lt;&gt;"""",SPLIT('(INGESTA)Datos_consumo_datadis'!A:A,"",""),"""")"),"ES0031408323131005HX0F")</f>
        <v>ES0031408323131005HX0F</v>
      </c>
      <c r="B3371" s="12">
        <f>IFERROR(__xludf.DUMMYFUNCTION("""COMPUTED_VALUE"""),45006.0)</f>
        <v>45006</v>
      </c>
      <c r="C3371" s="13">
        <f>IFERROR(__xludf.DUMMYFUNCTION("""COMPUTED_VALUE"""),0.4166666666666667)</f>
        <v>0.4166666667</v>
      </c>
      <c r="D3371" s="8">
        <f>IFERROR(__xludf.DUMMYFUNCTION("""COMPUTED_VALUE"""),0.016)</f>
        <v>0.016</v>
      </c>
      <c r="E3371" s="8" t="str">
        <f>IFERROR(__xludf.DUMMYFUNCTION("""COMPUTED_VALUE"""),"Real")</f>
        <v>Real</v>
      </c>
      <c r="G3371" s="8">
        <f t="shared" si="1"/>
        <v>3</v>
      </c>
      <c r="H3371" s="14">
        <f t="shared" si="2"/>
        <v>21</v>
      </c>
      <c r="I3371" s="15">
        <f t="shared" si="3"/>
        <v>10</v>
      </c>
    </row>
    <row r="3372">
      <c r="A3372" s="8" t="str">
        <f>IFERROR(__xludf.DUMMYFUNCTION("IF('(INGESTA)Datos_consumo_datadis'!A3372&lt;&gt;"""",SPLIT('(INGESTA)Datos_consumo_datadis'!A:A,"",""),"""")"),"ES0031408323131005HX0F")</f>
        <v>ES0031408323131005HX0F</v>
      </c>
      <c r="B3372" s="12">
        <f>IFERROR(__xludf.DUMMYFUNCTION("""COMPUTED_VALUE"""),45006.0)</f>
        <v>45006</v>
      </c>
      <c r="C3372" s="13">
        <f>IFERROR(__xludf.DUMMYFUNCTION("""COMPUTED_VALUE"""),0.4583333333333333)</f>
        <v>0.4583333333</v>
      </c>
      <c r="D3372" s="8">
        <f>IFERROR(__xludf.DUMMYFUNCTION("""COMPUTED_VALUE"""),0.104)</f>
        <v>0.104</v>
      </c>
      <c r="E3372" s="8" t="str">
        <f>IFERROR(__xludf.DUMMYFUNCTION("""COMPUTED_VALUE"""),"Real")</f>
        <v>Real</v>
      </c>
      <c r="G3372" s="8">
        <f t="shared" si="1"/>
        <v>3</v>
      </c>
      <c r="H3372" s="14">
        <f t="shared" si="2"/>
        <v>21</v>
      </c>
      <c r="I3372" s="15">
        <f t="shared" si="3"/>
        <v>11</v>
      </c>
    </row>
    <row r="3373">
      <c r="A3373" s="8" t="str">
        <f>IFERROR(__xludf.DUMMYFUNCTION("IF('(INGESTA)Datos_consumo_datadis'!A3373&lt;&gt;"""",SPLIT('(INGESTA)Datos_consumo_datadis'!A:A,"",""),"""")"),"ES0031408323131005HX0F")</f>
        <v>ES0031408323131005HX0F</v>
      </c>
      <c r="B3373" s="12">
        <f>IFERROR(__xludf.DUMMYFUNCTION("""COMPUTED_VALUE"""),45006.0)</f>
        <v>45006</v>
      </c>
      <c r="C3373" s="13">
        <f>IFERROR(__xludf.DUMMYFUNCTION("""COMPUTED_VALUE"""),0.5)</f>
        <v>0.5</v>
      </c>
      <c r="D3373" s="8">
        <f>IFERROR(__xludf.DUMMYFUNCTION("""COMPUTED_VALUE"""),0.109)</f>
        <v>0.109</v>
      </c>
      <c r="E3373" s="8" t="str">
        <f>IFERROR(__xludf.DUMMYFUNCTION("""COMPUTED_VALUE"""),"Real")</f>
        <v>Real</v>
      </c>
      <c r="G3373" s="8">
        <f t="shared" si="1"/>
        <v>3</v>
      </c>
      <c r="H3373" s="14">
        <f t="shared" si="2"/>
        <v>21</v>
      </c>
      <c r="I3373" s="15">
        <f t="shared" si="3"/>
        <v>12</v>
      </c>
    </row>
    <row r="3374">
      <c r="A3374" s="8" t="str">
        <f>IFERROR(__xludf.DUMMYFUNCTION("IF('(INGESTA)Datos_consumo_datadis'!A3374&lt;&gt;"""",SPLIT('(INGESTA)Datos_consumo_datadis'!A:A,"",""),"""")"),"ES0031408323131005HX0F")</f>
        <v>ES0031408323131005HX0F</v>
      </c>
      <c r="B3374" s="12">
        <f>IFERROR(__xludf.DUMMYFUNCTION("""COMPUTED_VALUE"""),45006.0)</f>
        <v>45006</v>
      </c>
      <c r="C3374" s="13">
        <f>IFERROR(__xludf.DUMMYFUNCTION("""COMPUTED_VALUE"""),0.5416666666666666)</f>
        <v>0.5416666667</v>
      </c>
      <c r="D3374" s="8">
        <f>IFERROR(__xludf.DUMMYFUNCTION("""COMPUTED_VALUE"""),0.236)</f>
        <v>0.236</v>
      </c>
      <c r="E3374" s="8" t="str">
        <f>IFERROR(__xludf.DUMMYFUNCTION("""COMPUTED_VALUE"""),"Real")</f>
        <v>Real</v>
      </c>
      <c r="G3374" s="8">
        <f t="shared" si="1"/>
        <v>3</v>
      </c>
      <c r="H3374" s="14">
        <f t="shared" si="2"/>
        <v>21</v>
      </c>
      <c r="I3374" s="15">
        <f t="shared" si="3"/>
        <v>13</v>
      </c>
    </row>
    <row r="3375">
      <c r="A3375" s="8" t="str">
        <f>IFERROR(__xludf.DUMMYFUNCTION("IF('(INGESTA)Datos_consumo_datadis'!A3375&lt;&gt;"""",SPLIT('(INGESTA)Datos_consumo_datadis'!A:A,"",""),"""")"),"ES0031408323131005HX0F")</f>
        <v>ES0031408323131005HX0F</v>
      </c>
      <c r="B3375" s="12">
        <f>IFERROR(__xludf.DUMMYFUNCTION("""COMPUTED_VALUE"""),45006.0)</f>
        <v>45006</v>
      </c>
      <c r="C3375" s="13">
        <f>IFERROR(__xludf.DUMMYFUNCTION("""COMPUTED_VALUE"""),0.5833333333333334)</f>
        <v>0.5833333333</v>
      </c>
      <c r="D3375" s="8">
        <f>IFERROR(__xludf.DUMMYFUNCTION("""COMPUTED_VALUE"""),0.016)</f>
        <v>0.016</v>
      </c>
      <c r="E3375" s="8" t="str">
        <f>IFERROR(__xludf.DUMMYFUNCTION("""COMPUTED_VALUE"""),"Real")</f>
        <v>Real</v>
      </c>
      <c r="G3375" s="8">
        <f t="shared" si="1"/>
        <v>3</v>
      </c>
      <c r="H3375" s="14">
        <f t="shared" si="2"/>
        <v>21</v>
      </c>
      <c r="I3375" s="15">
        <f t="shared" si="3"/>
        <v>14</v>
      </c>
    </row>
    <row r="3376">
      <c r="A3376" s="8" t="str">
        <f>IFERROR(__xludf.DUMMYFUNCTION("IF('(INGESTA)Datos_consumo_datadis'!A3376&lt;&gt;"""",SPLIT('(INGESTA)Datos_consumo_datadis'!A:A,"",""),"""")"),"ES0031408323131005HX0F")</f>
        <v>ES0031408323131005HX0F</v>
      </c>
      <c r="B3376" s="12">
        <f>IFERROR(__xludf.DUMMYFUNCTION("""COMPUTED_VALUE"""),45006.0)</f>
        <v>45006</v>
      </c>
      <c r="C3376" s="13">
        <f>IFERROR(__xludf.DUMMYFUNCTION("""COMPUTED_VALUE"""),0.625)</f>
        <v>0.625</v>
      </c>
      <c r="D3376" s="8">
        <f>IFERROR(__xludf.DUMMYFUNCTION("""COMPUTED_VALUE"""),0.094)</f>
        <v>0.094</v>
      </c>
      <c r="E3376" s="8" t="str">
        <f>IFERROR(__xludf.DUMMYFUNCTION("""COMPUTED_VALUE"""),"Real")</f>
        <v>Real</v>
      </c>
      <c r="G3376" s="8">
        <f t="shared" si="1"/>
        <v>3</v>
      </c>
      <c r="H3376" s="14">
        <f t="shared" si="2"/>
        <v>21</v>
      </c>
      <c r="I3376" s="15">
        <f t="shared" si="3"/>
        <v>15</v>
      </c>
    </row>
    <row r="3377">
      <c r="A3377" s="8" t="str">
        <f>IFERROR(__xludf.DUMMYFUNCTION("IF('(INGESTA)Datos_consumo_datadis'!A3377&lt;&gt;"""",SPLIT('(INGESTA)Datos_consumo_datadis'!A:A,"",""),"""")"),"ES0031408323131005HX0F")</f>
        <v>ES0031408323131005HX0F</v>
      </c>
      <c r="B3377" s="12">
        <f>IFERROR(__xludf.DUMMYFUNCTION("""COMPUTED_VALUE"""),45006.0)</f>
        <v>45006</v>
      </c>
      <c r="C3377" s="13">
        <f>IFERROR(__xludf.DUMMYFUNCTION("""COMPUTED_VALUE"""),0.6666666666666666)</f>
        <v>0.6666666667</v>
      </c>
      <c r="D3377" s="8">
        <f>IFERROR(__xludf.DUMMYFUNCTION("""COMPUTED_VALUE"""),0.053)</f>
        <v>0.053</v>
      </c>
      <c r="E3377" s="8" t="str">
        <f>IFERROR(__xludf.DUMMYFUNCTION("""COMPUTED_VALUE"""),"Real")</f>
        <v>Real</v>
      </c>
      <c r="G3377" s="8">
        <f t="shared" si="1"/>
        <v>3</v>
      </c>
      <c r="H3377" s="14">
        <f t="shared" si="2"/>
        <v>21</v>
      </c>
      <c r="I3377" s="15">
        <f t="shared" si="3"/>
        <v>16</v>
      </c>
    </row>
    <row r="3378">
      <c r="A3378" s="8" t="str">
        <f>IFERROR(__xludf.DUMMYFUNCTION("IF('(INGESTA)Datos_consumo_datadis'!A3378&lt;&gt;"""",SPLIT('(INGESTA)Datos_consumo_datadis'!A:A,"",""),"""")"),"ES0031408323131005HX0F")</f>
        <v>ES0031408323131005HX0F</v>
      </c>
      <c r="B3378" s="12">
        <f>IFERROR(__xludf.DUMMYFUNCTION("""COMPUTED_VALUE"""),45006.0)</f>
        <v>45006</v>
      </c>
      <c r="C3378" s="13">
        <f>IFERROR(__xludf.DUMMYFUNCTION("""COMPUTED_VALUE"""),0.7083333333333334)</f>
        <v>0.7083333333</v>
      </c>
      <c r="D3378" s="8">
        <f>IFERROR(__xludf.DUMMYFUNCTION("""COMPUTED_VALUE"""),0.028)</f>
        <v>0.028</v>
      </c>
      <c r="E3378" s="8" t="str">
        <f>IFERROR(__xludf.DUMMYFUNCTION("""COMPUTED_VALUE"""),"Real")</f>
        <v>Real</v>
      </c>
      <c r="G3378" s="8">
        <f t="shared" si="1"/>
        <v>3</v>
      </c>
      <c r="H3378" s="14">
        <f t="shared" si="2"/>
        <v>21</v>
      </c>
      <c r="I3378" s="15">
        <f t="shared" si="3"/>
        <v>17</v>
      </c>
    </row>
    <row r="3379">
      <c r="A3379" s="8" t="str">
        <f>IFERROR(__xludf.DUMMYFUNCTION("IF('(INGESTA)Datos_consumo_datadis'!A3379&lt;&gt;"""",SPLIT('(INGESTA)Datos_consumo_datadis'!A:A,"",""),"""")"),"ES0031408323131005HX0F")</f>
        <v>ES0031408323131005HX0F</v>
      </c>
      <c r="B3379" s="12">
        <f>IFERROR(__xludf.DUMMYFUNCTION("""COMPUTED_VALUE"""),45006.0)</f>
        <v>45006</v>
      </c>
      <c r="C3379" s="13">
        <f>IFERROR(__xludf.DUMMYFUNCTION("""COMPUTED_VALUE"""),0.75)</f>
        <v>0.75</v>
      </c>
      <c r="D3379" s="8">
        <f>IFERROR(__xludf.DUMMYFUNCTION("""COMPUTED_VALUE"""),0.023)</f>
        <v>0.023</v>
      </c>
      <c r="E3379" s="8" t="str">
        <f>IFERROR(__xludf.DUMMYFUNCTION("""COMPUTED_VALUE"""),"Real")</f>
        <v>Real</v>
      </c>
      <c r="G3379" s="8">
        <f t="shared" si="1"/>
        <v>3</v>
      </c>
      <c r="H3379" s="14">
        <f t="shared" si="2"/>
        <v>21</v>
      </c>
      <c r="I3379" s="15">
        <f t="shared" si="3"/>
        <v>18</v>
      </c>
    </row>
    <row r="3380">
      <c r="A3380" s="8" t="str">
        <f>IFERROR(__xludf.DUMMYFUNCTION("IF('(INGESTA)Datos_consumo_datadis'!A3380&lt;&gt;"""",SPLIT('(INGESTA)Datos_consumo_datadis'!A:A,"",""),"""")"),"ES0031408323131005HX0F")</f>
        <v>ES0031408323131005HX0F</v>
      </c>
      <c r="B3380" s="12">
        <f>IFERROR(__xludf.DUMMYFUNCTION("""COMPUTED_VALUE"""),45006.0)</f>
        <v>45006</v>
      </c>
      <c r="C3380" s="13">
        <f>IFERROR(__xludf.DUMMYFUNCTION("""COMPUTED_VALUE"""),0.7916666666666666)</f>
        <v>0.7916666667</v>
      </c>
      <c r="D3380" s="8">
        <f>IFERROR(__xludf.DUMMYFUNCTION("""COMPUTED_VALUE"""),0.361)</f>
        <v>0.361</v>
      </c>
      <c r="E3380" s="8" t="str">
        <f>IFERROR(__xludf.DUMMYFUNCTION("""COMPUTED_VALUE"""),"Real")</f>
        <v>Real</v>
      </c>
      <c r="G3380" s="8">
        <f t="shared" si="1"/>
        <v>3</v>
      </c>
      <c r="H3380" s="14">
        <f t="shared" si="2"/>
        <v>21</v>
      </c>
      <c r="I3380" s="15">
        <f t="shared" si="3"/>
        <v>19</v>
      </c>
    </row>
    <row r="3381">
      <c r="A3381" s="8" t="str">
        <f>IFERROR(__xludf.DUMMYFUNCTION("IF('(INGESTA)Datos_consumo_datadis'!A3381&lt;&gt;"""",SPLIT('(INGESTA)Datos_consumo_datadis'!A:A,"",""),"""")"),"ES0031408323131005HX0F")</f>
        <v>ES0031408323131005HX0F</v>
      </c>
      <c r="B3381" s="12">
        <f>IFERROR(__xludf.DUMMYFUNCTION("""COMPUTED_VALUE"""),45006.0)</f>
        <v>45006</v>
      </c>
      <c r="C3381" s="13">
        <f>IFERROR(__xludf.DUMMYFUNCTION("""COMPUTED_VALUE"""),0.8333333333333334)</f>
        <v>0.8333333333</v>
      </c>
      <c r="D3381" s="8">
        <f>IFERROR(__xludf.DUMMYFUNCTION("""COMPUTED_VALUE"""),0.123)</f>
        <v>0.123</v>
      </c>
      <c r="E3381" s="8" t="str">
        <f>IFERROR(__xludf.DUMMYFUNCTION("""COMPUTED_VALUE"""),"Real")</f>
        <v>Real</v>
      </c>
      <c r="G3381" s="8">
        <f t="shared" si="1"/>
        <v>3</v>
      </c>
      <c r="H3381" s="14">
        <f t="shared" si="2"/>
        <v>21</v>
      </c>
      <c r="I3381" s="15">
        <f t="shared" si="3"/>
        <v>20</v>
      </c>
    </row>
    <row r="3382">
      <c r="A3382" s="8" t="str">
        <f>IFERROR(__xludf.DUMMYFUNCTION("IF('(INGESTA)Datos_consumo_datadis'!A3382&lt;&gt;"""",SPLIT('(INGESTA)Datos_consumo_datadis'!A:A,"",""),"""")"),"ES0031408323131005HX0F")</f>
        <v>ES0031408323131005HX0F</v>
      </c>
      <c r="B3382" s="12">
        <f>IFERROR(__xludf.DUMMYFUNCTION("""COMPUTED_VALUE"""),45006.0)</f>
        <v>45006</v>
      </c>
      <c r="C3382" s="13">
        <f>IFERROR(__xludf.DUMMYFUNCTION("""COMPUTED_VALUE"""),0.875)</f>
        <v>0.875</v>
      </c>
      <c r="D3382" s="8">
        <f>IFERROR(__xludf.DUMMYFUNCTION("""COMPUTED_VALUE"""),1.002)</f>
        <v>1.002</v>
      </c>
      <c r="E3382" s="8" t="str">
        <f>IFERROR(__xludf.DUMMYFUNCTION("""COMPUTED_VALUE"""),"Real")</f>
        <v>Real</v>
      </c>
      <c r="G3382" s="8">
        <f t="shared" si="1"/>
        <v>3</v>
      </c>
      <c r="H3382" s="14">
        <f t="shared" si="2"/>
        <v>21</v>
      </c>
      <c r="I3382" s="15">
        <f t="shared" si="3"/>
        <v>21</v>
      </c>
    </row>
    <row r="3383">
      <c r="A3383" s="8" t="str">
        <f>IFERROR(__xludf.DUMMYFUNCTION("IF('(INGESTA)Datos_consumo_datadis'!A3383&lt;&gt;"""",SPLIT('(INGESTA)Datos_consumo_datadis'!A:A,"",""),"""")"),"ES0031408323131005HX0F")</f>
        <v>ES0031408323131005HX0F</v>
      </c>
      <c r="B3383" s="12">
        <f>IFERROR(__xludf.DUMMYFUNCTION("""COMPUTED_VALUE"""),45006.0)</f>
        <v>45006</v>
      </c>
      <c r="C3383" s="13">
        <f>IFERROR(__xludf.DUMMYFUNCTION("""COMPUTED_VALUE"""),0.9166666666666666)</f>
        <v>0.9166666667</v>
      </c>
      <c r="D3383" s="8">
        <f>IFERROR(__xludf.DUMMYFUNCTION("""COMPUTED_VALUE"""),0.084)</f>
        <v>0.084</v>
      </c>
      <c r="E3383" s="8" t="str">
        <f>IFERROR(__xludf.DUMMYFUNCTION("""COMPUTED_VALUE"""),"Real")</f>
        <v>Real</v>
      </c>
      <c r="G3383" s="8">
        <f t="shared" si="1"/>
        <v>3</v>
      </c>
      <c r="H3383" s="14">
        <f t="shared" si="2"/>
        <v>21</v>
      </c>
      <c r="I3383" s="15">
        <f t="shared" si="3"/>
        <v>22</v>
      </c>
    </row>
    <row r="3384">
      <c r="A3384" s="8" t="str">
        <f>IFERROR(__xludf.DUMMYFUNCTION("IF('(INGESTA)Datos_consumo_datadis'!A3384&lt;&gt;"""",SPLIT('(INGESTA)Datos_consumo_datadis'!A:A,"",""),"""")"),"ES0031408323131005HX0F")</f>
        <v>ES0031408323131005HX0F</v>
      </c>
      <c r="B3384" s="12">
        <f>IFERROR(__xludf.DUMMYFUNCTION("""COMPUTED_VALUE"""),45006.0)</f>
        <v>45006</v>
      </c>
      <c r="C3384" s="13">
        <f>IFERROR(__xludf.DUMMYFUNCTION("""COMPUTED_VALUE"""),0.9583333333333334)</f>
        <v>0.9583333333</v>
      </c>
      <c r="D3384" s="8">
        <f>IFERROR(__xludf.DUMMYFUNCTION("""COMPUTED_VALUE"""),0.022)</f>
        <v>0.022</v>
      </c>
      <c r="E3384" s="8" t="str">
        <f>IFERROR(__xludf.DUMMYFUNCTION("""COMPUTED_VALUE"""),"Real")</f>
        <v>Real</v>
      </c>
      <c r="G3384" s="8">
        <f t="shared" si="1"/>
        <v>3</v>
      </c>
      <c r="H3384" s="14">
        <f t="shared" si="2"/>
        <v>21</v>
      </c>
      <c r="I3384" s="15">
        <f t="shared" si="3"/>
        <v>23</v>
      </c>
    </row>
    <row r="3385">
      <c r="A3385" s="8" t="str">
        <f>IFERROR(__xludf.DUMMYFUNCTION("IF('(INGESTA)Datos_consumo_datadis'!A3385&lt;&gt;"""",SPLIT('(INGESTA)Datos_consumo_datadis'!A:A,"",""),"""")"),"ES0031408323131005HX0F")</f>
        <v>ES0031408323131005HX0F</v>
      </c>
      <c r="B3385" s="12">
        <f>IFERROR(__xludf.DUMMYFUNCTION("""COMPUTED_VALUE"""),45006.0)</f>
        <v>45006</v>
      </c>
      <c r="C3385" s="16">
        <f>IFERROR(__xludf.DUMMYFUNCTION("""COMPUTED_VALUE"""),1.0)</f>
        <v>1</v>
      </c>
      <c r="D3385" s="8">
        <f>IFERROR(__xludf.DUMMYFUNCTION("""COMPUTED_VALUE"""),0.149)</f>
        <v>0.149</v>
      </c>
      <c r="E3385" s="8" t="str">
        <f>IFERROR(__xludf.DUMMYFUNCTION("""COMPUTED_VALUE"""),"Real")</f>
        <v>Real</v>
      </c>
      <c r="G3385" s="8">
        <f t="shared" si="1"/>
        <v>3</v>
      </c>
      <c r="H3385" s="14">
        <f t="shared" si="2"/>
        <v>21</v>
      </c>
      <c r="I3385" s="15">
        <f t="shared" si="3"/>
        <v>0</v>
      </c>
    </row>
    <row r="3386">
      <c r="A3386" s="8" t="str">
        <f>IFERROR(__xludf.DUMMYFUNCTION("IF('(INGESTA)Datos_consumo_datadis'!A3386&lt;&gt;"""",SPLIT('(INGESTA)Datos_consumo_datadis'!A:A,"",""),"""")"),"ES0031408323131005HX0F")</f>
        <v>ES0031408323131005HX0F</v>
      </c>
      <c r="B3386" s="12">
        <f>IFERROR(__xludf.DUMMYFUNCTION("""COMPUTED_VALUE"""),45007.0)</f>
        <v>45007</v>
      </c>
      <c r="C3386" s="13">
        <f>IFERROR(__xludf.DUMMYFUNCTION("""COMPUTED_VALUE"""),0.041666666666666664)</f>
        <v>0.04166666667</v>
      </c>
      <c r="D3386" s="8">
        <f>IFERROR(__xludf.DUMMYFUNCTION("""COMPUTED_VALUE"""),0.941)</f>
        <v>0.941</v>
      </c>
      <c r="E3386" s="8" t="str">
        <f>IFERROR(__xludf.DUMMYFUNCTION("""COMPUTED_VALUE"""),"Real")</f>
        <v>Real</v>
      </c>
      <c r="G3386" s="8">
        <f t="shared" si="1"/>
        <v>3</v>
      </c>
      <c r="H3386" s="14">
        <f t="shared" si="2"/>
        <v>22</v>
      </c>
      <c r="I3386" s="15">
        <f t="shared" si="3"/>
        <v>1</v>
      </c>
    </row>
    <row r="3387">
      <c r="A3387" s="8" t="str">
        <f>IFERROR(__xludf.DUMMYFUNCTION("IF('(INGESTA)Datos_consumo_datadis'!A3387&lt;&gt;"""",SPLIT('(INGESTA)Datos_consumo_datadis'!A:A,"",""),"""")"),"ES0031408323131005HX0F")</f>
        <v>ES0031408323131005HX0F</v>
      </c>
      <c r="B3387" s="12">
        <f>IFERROR(__xludf.DUMMYFUNCTION("""COMPUTED_VALUE"""),45007.0)</f>
        <v>45007</v>
      </c>
      <c r="C3387" s="13">
        <f>IFERROR(__xludf.DUMMYFUNCTION("""COMPUTED_VALUE"""),0.08333333333333333)</f>
        <v>0.08333333333</v>
      </c>
      <c r="D3387" s="8">
        <f>IFERROR(__xludf.DUMMYFUNCTION("""COMPUTED_VALUE"""),0.978)</f>
        <v>0.978</v>
      </c>
      <c r="E3387" s="8" t="str">
        <f>IFERROR(__xludf.DUMMYFUNCTION("""COMPUTED_VALUE"""),"Real")</f>
        <v>Real</v>
      </c>
      <c r="G3387" s="8">
        <f t="shared" si="1"/>
        <v>3</v>
      </c>
      <c r="H3387" s="14">
        <f t="shared" si="2"/>
        <v>22</v>
      </c>
      <c r="I3387" s="15">
        <f t="shared" si="3"/>
        <v>2</v>
      </c>
    </row>
    <row r="3388">
      <c r="A3388" s="8" t="str">
        <f>IFERROR(__xludf.DUMMYFUNCTION("IF('(INGESTA)Datos_consumo_datadis'!A3388&lt;&gt;"""",SPLIT('(INGESTA)Datos_consumo_datadis'!A:A,"",""),"""")"),"ES0031408323131005HX0F")</f>
        <v>ES0031408323131005HX0F</v>
      </c>
      <c r="B3388" s="12">
        <f>IFERROR(__xludf.DUMMYFUNCTION("""COMPUTED_VALUE"""),45007.0)</f>
        <v>45007</v>
      </c>
      <c r="C3388" s="13">
        <f>IFERROR(__xludf.DUMMYFUNCTION("""COMPUTED_VALUE"""),0.125)</f>
        <v>0.125</v>
      </c>
      <c r="D3388" s="8">
        <f>IFERROR(__xludf.DUMMYFUNCTION("""COMPUTED_VALUE"""),0.101)</f>
        <v>0.101</v>
      </c>
      <c r="E3388" s="8" t="str">
        <f>IFERROR(__xludf.DUMMYFUNCTION("""COMPUTED_VALUE"""),"Real")</f>
        <v>Real</v>
      </c>
      <c r="G3388" s="8">
        <f t="shared" si="1"/>
        <v>3</v>
      </c>
      <c r="H3388" s="14">
        <f t="shared" si="2"/>
        <v>22</v>
      </c>
      <c r="I3388" s="15">
        <f t="shared" si="3"/>
        <v>3</v>
      </c>
    </row>
    <row r="3389">
      <c r="A3389" s="8" t="str">
        <f>IFERROR(__xludf.DUMMYFUNCTION("IF('(INGESTA)Datos_consumo_datadis'!A3389&lt;&gt;"""",SPLIT('(INGESTA)Datos_consumo_datadis'!A:A,"",""),"""")"),"ES0031408323131005HX0F")</f>
        <v>ES0031408323131005HX0F</v>
      </c>
      <c r="B3389" s="12">
        <f>IFERROR(__xludf.DUMMYFUNCTION("""COMPUTED_VALUE"""),45007.0)</f>
        <v>45007</v>
      </c>
      <c r="C3389" s="13">
        <f>IFERROR(__xludf.DUMMYFUNCTION("""COMPUTED_VALUE"""),0.16666666666666666)</f>
        <v>0.1666666667</v>
      </c>
      <c r="D3389" s="8">
        <f>IFERROR(__xludf.DUMMYFUNCTION("""COMPUTED_VALUE"""),0.093)</f>
        <v>0.093</v>
      </c>
      <c r="E3389" s="8" t="str">
        <f>IFERROR(__xludf.DUMMYFUNCTION("""COMPUTED_VALUE"""),"Real")</f>
        <v>Real</v>
      </c>
      <c r="G3389" s="8">
        <f t="shared" si="1"/>
        <v>3</v>
      </c>
      <c r="H3389" s="14">
        <f t="shared" si="2"/>
        <v>22</v>
      </c>
      <c r="I3389" s="15">
        <f t="shared" si="3"/>
        <v>4</v>
      </c>
    </row>
    <row r="3390">
      <c r="A3390" s="8" t="str">
        <f>IFERROR(__xludf.DUMMYFUNCTION("IF('(INGESTA)Datos_consumo_datadis'!A3390&lt;&gt;"""",SPLIT('(INGESTA)Datos_consumo_datadis'!A:A,"",""),"""")"),"ES0031408323131005HX0F")</f>
        <v>ES0031408323131005HX0F</v>
      </c>
      <c r="B3390" s="12">
        <f>IFERROR(__xludf.DUMMYFUNCTION("""COMPUTED_VALUE"""),45007.0)</f>
        <v>45007</v>
      </c>
      <c r="C3390" s="13">
        <f>IFERROR(__xludf.DUMMYFUNCTION("""COMPUTED_VALUE"""),0.20833333333333334)</f>
        <v>0.2083333333</v>
      </c>
      <c r="D3390" s="8">
        <f>IFERROR(__xludf.DUMMYFUNCTION("""COMPUTED_VALUE"""),0.112)</f>
        <v>0.112</v>
      </c>
      <c r="E3390" s="8" t="str">
        <f>IFERROR(__xludf.DUMMYFUNCTION("""COMPUTED_VALUE"""),"Real")</f>
        <v>Real</v>
      </c>
      <c r="G3390" s="8">
        <f t="shared" si="1"/>
        <v>3</v>
      </c>
      <c r="H3390" s="14">
        <f t="shared" si="2"/>
        <v>22</v>
      </c>
      <c r="I3390" s="15">
        <f t="shared" si="3"/>
        <v>5</v>
      </c>
    </row>
    <row r="3391">
      <c r="A3391" s="8" t="str">
        <f>IFERROR(__xludf.DUMMYFUNCTION("IF('(INGESTA)Datos_consumo_datadis'!A3391&lt;&gt;"""",SPLIT('(INGESTA)Datos_consumo_datadis'!A:A,"",""),"""")"),"ES0031408323131005HX0F")</f>
        <v>ES0031408323131005HX0F</v>
      </c>
      <c r="B3391" s="12">
        <f>IFERROR(__xludf.DUMMYFUNCTION("""COMPUTED_VALUE"""),45007.0)</f>
        <v>45007</v>
      </c>
      <c r="C3391" s="13">
        <f>IFERROR(__xludf.DUMMYFUNCTION("""COMPUTED_VALUE"""),0.25)</f>
        <v>0.25</v>
      </c>
      <c r="D3391" s="8">
        <f>IFERROR(__xludf.DUMMYFUNCTION("""COMPUTED_VALUE"""),0.554)</f>
        <v>0.554</v>
      </c>
      <c r="E3391" s="8" t="str">
        <f>IFERROR(__xludf.DUMMYFUNCTION("""COMPUTED_VALUE"""),"Real")</f>
        <v>Real</v>
      </c>
      <c r="G3391" s="8">
        <f t="shared" si="1"/>
        <v>3</v>
      </c>
      <c r="H3391" s="14">
        <f t="shared" si="2"/>
        <v>22</v>
      </c>
      <c r="I3391" s="15">
        <f t="shared" si="3"/>
        <v>6</v>
      </c>
    </row>
    <row r="3392">
      <c r="A3392" s="8" t="str">
        <f>IFERROR(__xludf.DUMMYFUNCTION("IF('(INGESTA)Datos_consumo_datadis'!A3392&lt;&gt;"""",SPLIT('(INGESTA)Datos_consumo_datadis'!A:A,"",""),"""")"),"ES0031408323131005HX0F")</f>
        <v>ES0031408323131005HX0F</v>
      </c>
      <c r="B3392" s="12">
        <f>IFERROR(__xludf.DUMMYFUNCTION("""COMPUTED_VALUE"""),45007.0)</f>
        <v>45007</v>
      </c>
      <c r="C3392" s="13">
        <f>IFERROR(__xludf.DUMMYFUNCTION("""COMPUTED_VALUE"""),0.2916666666666667)</f>
        <v>0.2916666667</v>
      </c>
      <c r="D3392" s="8">
        <f>IFERROR(__xludf.DUMMYFUNCTION("""COMPUTED_VALUE"""),0.063)</f>
        <v>0.063</v>
      </c>
      <c r="E3392" s="8" t="str">
        <f>IFERROR(__xludf.DUMMYFUNCTION("""COMPUTED_VALUE"""),"Real")</f>
        <v>Real</v>
      </c>
      <c r="G3392" s="8">
        <f t="shared" si="1"/>
        <v>3</v>
      </c>
      <c r="H3392" s="14">
        <f t="shared" si="2"/>
        <v>22</v>
      </c>
      <c r="I3392" s="15">
        <f t="shared" si="3"/>
        <v>7</v>
      </c>
    </row>
    <row r="3393">
      <c r="A3393" s="8" t="str">
        <f>IFERROR(__xludf.DUMMYFUNCTION("IF('(INGESTA)Datos_consumo_datadis'!A3393&lt;&gt;"""",SPLIT('(INGESTA)Datos_consumo_datadis'!A:A,"",""),"""")"),"ES0031408323131005HX0F")</f>
        <v>ES0031408323131005HX0F</v>
      </c>
      <c r="B3393" s="12">
        <f>IFERROR(__xludf.DUMMYFUNCTION("""COMPUTED_VALUE"""),45007.0)</f>
        <v>45007</v>
      </c>
      <c r="C3393" s="13">
        <f>IFERROR(__xludf.DUMMYFUNCTION("""COMPUTED_VALUE"""),0.3333333333333333)</f>
        <v>0.3333333333</v>
      </c>
      <c r="D3393" s="8">
        <f>IFERROR(__xludf.DUMMYFUNCTION("""COMPUTED_VALUE"""),0.017)</f>
        <v>0.017</v>
      </c>
      <c r="E3393" s="8" t="str">
        <f>IFERROR(__xludf.DUMMYFUNCTION("""COMPUTED_VALUE"""),"Real")</f>
        <v>Real</v>
      </c>
      <c r="G3393" s="8">
        <f t="shared" si="1"/>
        <v>3</v>
      </c>
      <c r="H3393" s="14">
        <f t="shared" si="2"/>
        <v>22</v>
      </c>
      <c r="I3393" s="15">
        <f t="shared" si="3"/>
        <v>8</v>
      </c>
    </row>
    <row r="3394">
      <c r="A3394" s="8" t="str">
        <f>IFERROR(__xludf.DUMMYFUNCTION("IF('(INGESTA)Datos_consumo_datadis'!A3394&lt;&gt;"""",SPLIT('(INGESTA)Datos_consumo_datadis'!A:A,"",""),"""")"),"ES0031408323131005HX0F")</f>
        <v>ES0031408323131005HX0F</v>
      </c>
      <c r="B3394" s="12">
        <f>IFERROR(__xludf.DUMMYFUNCTION("""COMPUTED_VALUE"""),45007.0)</f>
        <v>45007</v>
      </c>
      <c r="C3394" s="13">
        <f>IFERROR(__xludf.DUMMYFUNCTION("""COMPUTED_VALUE"""),0.375)</f>
        <v>0.375</v>
      </c>
      <c r="D3394" s="8">
        <f>IFERROR(__xludf.DUMMYFUNCTION("""COMPUTED_VALUE"""),0.084)</f>
        <v>0.084</v>
      </c>
      <c r="E3394" s="8" t="str">
        <f>IFERROR(__xludf.DUMMYFUNCTION("""COMPUTED_VALUE"""),"Real")</f>
        <v>Real</v>
      </c>
      <c r="G3394" s="8">
        <f t="shared" si="1"/>
        <v>3</v>
      </c>
      <c r="H3394" s="14">
        <f t="shared" si="2"/>
        <v>22</v>
      </c>
      <c r="I3394" s="15">
        <f t="shared" si="3"/>
        <v>9</v>
      </c>
    </row>
    <row r="3395">
      <c r="A3395" s="8" t="str">
        <f>IFERROR(__xludf.DUMMYFUNCTION("IF('(INGESTA)Datos_consumo_datadis'!A3395&lt;&gt;"""",SPLIT('(INGESTA)Datos_consumo_datadis'!A:A,"",""),"""")"),"ES0031408323131005HX0F")</f>
        <v>ES0031408323131005HX0F</v>
      </c>
      <c r="B3395" s="12">
        <f>IFERROR(__xludf.DUMMYFUNCTION("""COMPUTED_VALUE"""),45007.0)</f>
        <v>45007</v>
      </c>
      <c r="C3395" s="13">
        <f>IFERROR(__xludf.DUMMYFUNCTION("""COMPUTED_VALUE"""),0.4166666666666667)</f>
        <v>0.4166666667</v>
      </c>
      <c r="D3395" s="8">
        <f>IFERROR(__xludf.DUMMYFUNCTION("""COMPUTED_VALUE"""),0.329)</f>
        <v>0.329</v>
      </c>
      <c r="E3395" s="8" t="str">
        <f>IFERROR(__xludf.DUMMYFUNCTION("""COMPUTED_VALUE"""),"Real")</f>
        <v>Real</v>
      </c>
      <c r="G3395" s="8">
        <f t="shared" si="1"/>
        <v>3</v>
      </c>
      <c r="H3395" s="14">
        <f t="shared" si="2"/>
        <v>22</v>
      </c>
      <c r="I3395" s="15">
        <f t="shared" si="3"/>
        <v>10</v>
      </c>
    </row>
    <row r="3396">
      <c r="A3396" s="8" t="str">
        <f>IFERROR(__xludf.DUMMYFUNCTION("IF('(INGESTA)Datos_consumo_datadis'!A3396&lt;&gt;"""",SPLIT('(INGESTA)Datos_consumo_datadis'!A:A,"",""),"""")"),"ES0031408323131005HX0F")</f>
        <v>ES0031408323131005HX0F</v>
      </c>
      <c r="B3396" s="12">
        <f>IFERROR(__xludf.DUMMYFUNCTION("""COMPUTED_VALUE"""),45007.0)</f>
        <v>45007</v>
      </c>
      <c r="C3396" s="13">
        <f>IFERROR(__xludf.DUMMYFUNCTION("""COMPUTED_VALUE"""),0.4583333333333333)</f>
        <v>0.4583333333</v>
      </c>
      <c r="D3396" s="8">
        <f>IFERROR(__xludf.DUMMYFUNCTION("""COMPUTED_VALUE"""),0.059)</f>
        <v>0.059</v>
      </c>
      <c r="E3396" s="8" t="str">
        <f>IFERROR(__xludf.DUMMYFUNCTION("""COMPUTED_VALUE"""),"Real")</f>
        <v>Real</v>
      </c>
      <c r="G3396" s="8">
        <f t="shared" si="1"/>
        <v>3</v>
      </c>
      <c r="H3396" s="14">
        <f t="shared" si="2"/>
        <v>22</v>
      </c>
      <c r="I3396" s="15">
        <f t="shared" si="3"/>
        <v>11</v>
      </c>
    </row>
    <row r="3397">
      <c r="A3397" s="8" t="str">
        <f>IFERROR(__xludf.DUMMYFUNCTION("IF('(INGESTA)Datos_consumo_datadis'!A3397&lt;&gt;"""",SPLIT('(INGESTA)Datos_consumo_datadis'!A:A,"",""),"""")"),"ES0031408323131005HX0F")</f>
        <v>ES0031408323131005HX0F</v>
      </c>
      <c r="B3397" s="12">
        <f>IFERROR(__xludf.DUMMYFUNCTION("""COMPUTED_VALUE"""),45007.0)</f>
        <v>45007</v>
      </c>
      <c r="C3397" s="13">
        <f>IFERROR(__xludf.DUMMYFUNCTION("""COMPUTED_VALUE"""),0.5)</f>
        <v>0.5</v>
      </c>
      <c r="D3397" s="8">
        <f>IFERROR(__xludf.DUMMYFUNCTION("""COMPUTED_VALUE"""),0.028)</f>
        <v>0.028</v>
      </c>
      <c r="E3397" s="8" t="str">
        <f>IFERROR(__xludf.DUMMYFUNCTION("""COMPUTED_VALUE"""),"Real")</f>
        <v>Real</v>
      </c>
      <c r="G3397" s="8">
        <f t="shared" si="1"/>
        <v>3</v>
      </c>
      <c r="H3397" s="14">
        <f t="shared" si="2"/>
        <v>22</v>
      </c>
      <c r="I3397" s="15">
        <f t="shared" si="3"/>
        <v>12</v>
      </c>
    </row>
    <row r="3398">
      <c r="A3398" s="8" t="str">
        <f>IFERROR(__xludf.DUMMYFUNCTION("IF('(INGESTA)Datos_consumo_datadis'!A3398&lt;&gt;"""",SPLIT('(INGESTA)Datos_consumo_datadis'!A:A,"",""),"""")"),"ES0031408323131005HX0F")</f>
        <v>ES0031408323131005HX0F</v>
      </c>
      <c r="B3398" s="12">
        <f>IFERROR(__xludf.DUMMYFUNCTION("""COMPUTED_VALUE"""),45007.0)</f>
        <v>45007</v>
      </c>
      <c r="C3398" s="13">
        <f>IFERROR(__xludf.DUMMYFUNCTION("""COMPUTED_VALUE"""),0.5416666666666666)</f>
        <v>0.5416666667</v>
      </c>
      <c r="D3398" s="8">
        <f>IFERROR(__xludf.DUMMYFUNCTION("""COMPUTED_VALUE"""),0.091)</f>
        <v>0.091</v>
      </c>
      <c r="E3398" s="8" t="str">
        <f>IFERROR(__xludf.DUMMYFUNCTION("""COMPUTED_VALUE"""),"Real")</f>
        <v>Real</v>
      </c>
      <c r="G3398" s="8">
        <f t="shared" si="1"/>
        <v>3</v>
      </c>
      <c r="H3398" s="14">
        <f t="shared" si="2"/>
        <v>22</v>
      </c>
      <c r="I3398" s="15">
        <f t="shared" si="3"/>
        <v>13</v>
      </c>
    </row>
    <row r="3399">
      <c r="A3399" s="8" t="str">
        <f>IFERROR(__xludf.DUMMYFUNCTION("IF('(INGESTA)Datos_consumo_datadis'!A3399&lt;&gt;"""",SPLIT('(INGESTA)Datos_consumo_datadis'!A:A,"",""),"""")"),"ES0031408323131005HX0F")</f>
        <v>ES0031408323131005HX0F</v>
      </c>
      <c r="B3399" s="12">
        <f>IFERROR(__xludf.DUMMYFUNCTION("""COMPUTED_VALUE"""),45007.0)</f>
        <v>45007</v>
      </c>
      <c r="C3399" s="13">
        <f>IFERROR(__xludf.DUMMYFUNCTION("""COMPUTED_VALUE"""),0.5833333333333334)</f>
        <v>0.5833333333</v>
      </c>
      <c r="D3399" s="8">
        <f>IFERROR(__xludf.DUMMYFUNCTION("""COMPUTED_VALUE"""),1.166)</f>
        <v>1.166</v>
      </c>
      <c r="E3399" s="8" t="str">
        <f>IFERROR(__xludf.DUMMYFUNCTION("""COMPUTED_VALUE"""),"Real")</f>
        <v>Real</v>
      </c>
      <c r="G3399" s="8">
        <f t="shared" si="1"/>
        <v>3</v>
      </c>
      <c r="H3399" s="14">
        <f t="shared" si="2"/>
        <v>22</v>
      </c>
      <c r="I3399" s="15">
        <f t="shared" si="3"/>
        <v>14</v>
      </c>
    </row>
    <row r="3400">
      <c r="A3400" s="8" t="str">
        <f>IFERROR(__xludf.DUMMYFUNCTION("IF('(INGESTA)Datos_consumo_datadis'!A3400&lt;&gt;"""",SPLIT('(INGESTA)Datos_consumo_datadis'!A:A,"",""),"""")"),"ES0031408323131005HX0F")</f>
        <v>ES0031408323131005HX0F</v>
      </c>
      <c r="B3400" s="12">
        <f>IFERROR(__xludf.DUMMYFUNCTION("""COMPUTED_VALUE"""),45007.0)</f>
        <v>45007</v>
      </c>
      <c r="C3400" s="13">
        <f>IFERROR(__xludf.DUMMYFUNCTION("""COMPUTED_VALUE"""),0.625)</f>
        <v>0.625</v>
      </c>
      <c r="D3400" s="8">
        <f>IFERROR(__xludf.DUMMYFUNCTION("""COMPUTED_VALUE"""),1.744)</f>
        <v>1.744</v>
      </c>
      <c r="E3400" s="8" t="str">
        <f>IFERROR(__xludf.DUMMYFUNCTION("""COMPUTED_VALUE"""),"Real")</f>
        <v>Real</v>
      </c>
      <c r="G3400" s="8">
        <f t="shared" si="1"/>
        <v>3</v>
      </c>
      <c r="H3400" s="14">
        <f t="shared" si="2"/>
        <v>22</v>
      </c>
      <c r="I3400" s="15">
        <f t="shared" si="3"/>
        <v>15</v>
      </c>
    </row>
    <row r="3401">
      <c r="A3401" s="8" t="str">
        <f>IFERROR(__xludf.DUMMYFUNCTION("IF('(INGESTA)Datos_consumo_datadis'!A3401&lt;&gt;"""",SPLIT('(INGESTA)Datos_consumo_datadis'!A:A,"",""),"""")"),"ES0031408323131005HX0F")</f>
        <v>ES0031408323131005HX0F</v>
      </c>
      <c r="B3401" s="12">
        <f>IFERROR(__xludf.DUMMYFUNCTION("""COMPUTED_VALUE"""),45007.0)</f>
        <v>45007</v>
      </c>
      <c r="C3401" s="13">
        <f>IFERROR(__xludf.DUMMYFUNCTION("""COMPUTED_VALUE"""),0.6666666666666666)</f>
        <v>0.6666666667</v>
      </c>
      <c r="D3401" s="8">
        <f>IFERROR(__xludf.DUMMYFUNCTION("""COMPUTED_VALUE"""),1.873)</f>
        <v>1.873</v>
      </c>
      <c r="E3401" s="8" t="str">
        <f>IFERROR(__xludf.DUMMYFUNCTION("""COMPUTED_VALUE"""),"Real")</f>
        <v>Real</v>
      </c>
      <c r="G3401" s="8">
        <f t="shared" si="1"/>
        <v>3</v>
      </c>
      <c r="H3401" s="14">
        <f t="shared" si="2"/>
        <v>22</v>
      </c>
      <c r="I3401" s="15">
        <f t="shared" si="3"/>
        <v>16</v>
      </c>
    </row>
    <row r="3402">
      <c r="A3402" s="8" t="str">
        <f>IFERROR(__xludf.DUMMYFUNCTION("IF('(INGESTA)Datos_consumo_datadis'!A3402&lt;&gt;"""",SPLIT('(INGESTA)Datos_consumo_datadis'!A:A,"",""),"""")"),"ES0031408323131005HX0F")</f>
        <v>ES0031408323131005HX0F</v>
      </c>
      <c r="B3402" s="12">
        <f>IFERROR(__xludf.DUMMYFUNCTION("""COMPUTED_VALUE"""),45007.0)</f>
        <v>45007</v>
      </c>
      <c r="C3402" s="13">
        <f>IFERROR(__xludf.DUMMYFUNCTION("""COMPUTED_VALUE"""),0.7083333333333334)</f>
        <v>0.7083333333</v>
      </c>
      <c r="D3402" s="8">
        <f>IFERROR(__xludf.DUMMYFUNCTION("""COMPUTED_VALUE"""),1.219)</f>
        <v>1.219</v>
      </c>
      <c r="E3402" s="8" t="str">
        <f>IFERROR(__xludf.DUMMYFUNCTION("""COMPUTED_VALUE"""),"Real")</f>
        <v>Real</v>
      </c>
      <c r="G3402" s="8">
        <f t="shared" si="1"/>
        <v>3</v>
      </c>
      <c r="H3402" s="14">
        <f t="shared" si="2"/>
        <v>22</v>
      </c>
      <c r="I3402" s="15">
        <f t="shared" si="3"/>
        <v>17</v>
      </c>
    </row>
    <row r="3403">
      <c r="A3403" s="8" t="str">
        <f>IFERROR(__xludf.DUMMYFUNCTION("IF('(INGESTA)Datos_consumo_datadis'!A3403&lt;&gt;"""",SPLIT('(INGESTA)Datos_consumo_datadis'!A:A,"",""),"""")"),"ES0031408323131005HX0F")</f>
        <v>ES0031408323131005HX0F</v>
      </c>
      <c r="B3403" s="12">
        <f>IFERROR(__xludf.DUMMYFUNCTION("""COMPUTED_VALUE"""),45007.0)</f>
        <v>45007</v>
      </c>
      <c r="C3403" s="13">
        <f>IFERROR(__xludf.DUMMYFUNCTION("""COMPUTED_VALUE"""),0.75)</f>
        <v>0.75</v>
      </c>
      <c r="D3403" s="8">
        <f>IFERROR(__xludf.DUMMYFUNCTION("""COMPUTED_VALUE"""),0.899)</f>
        <v>0.899</v>
      </c>
      <c r="E3403" s="8" t="str">
        <f>IFERROR(__xludf.DUMMYFUNCTION("""COMPUTED_VALUE"""),"Real")</f>
        <v>Real</v>
      </c>
      <c r="G3403" s="8">
        <f t="shared" si="1"/>
        <v>3</v>
      </c>
      <c r="H3403" s="14">
        <f t="shared" si="2"/>
        <v>22</v>
      </c>
      <c r="I3403" s="15">
        <f t="shared" si="3"/>
        <v>18</v>
      </c>
    </row>
    <row r="3404">
      <c r="A3404" s="8" t="str">
        <f>IFERROR(__xludf.DUMMYFUNCTION("IF('(INGESTA)Datos_consumo_datadis'!A3404&lt;&gt;"""",SPLIT('(INGESTA)Datos_consumo_datadis'!A:A,"",""),"""")"),"ES0031408323131005HX0F")</f>
        <v>ES0031408323131005HX0F</v>
      </c>
      <c r="B3404" s="12">
        <f>IFERROR(__xludf.DUMMYFUNCTION("""COMPUTED_VALUE"""),45007.0)</f>
        <v>45007</v>
      </c>
      <c r="C3404" s="13">
        <f>IFERROR(__xludf.DUMMYFUNCTION("""COMPUTED_VALUE"""),0.7916666666666666)</f>
        <v>0.7916666667</v>
      </c>
      <c r="D3404" s="8">
        <f>IFERROR(__xludf.DUMMYFUNCTION("""COMPUTED_VALUE"""),0.054)</f>
        <v>0.054</v>
      </c>
      <c r="E3404" s="8" t="str">
        <f>IFERROR(__xludf.DUMMYFUNCTION("""COMPUTED_VALUE"""),"Real")</f>
        <v>Real</v>
      </c>
      <c r="G3404" s="8">
        <f t="shared" si="1"/>
        <v>3</v>
      </c>
      <c r="H3404" s="14">
        <f t="shared" si="2"/>
        <v>22</v>
      </c>
      <c r="I3404" s="15">
        <f t="shared" si="3"/>
        <v>19</v>
      </c>
    </row>
    <row r="3405">
      <c r="A3405" s="8" t="str">
        <f>IFERROR(__xludf.DUMMYFUNCTION("IF('(INGESTA)Datos_consumo_datadis'!A3405&lt;&gt;"""",SPLIT('(INGESTA)Datos_consumo_datadis'!A:A,"",""),"""")"),"ES0031408323131005HX0F")</f>
        <v>ES0031408323131005HX0F</v>
      </c>
      <c r="B3405" s="12">
        <f>IFERROR(__xludf.DUMMYFUNCTION("""COMPUTED_VALUE"""),45007.0)</f>
        <v>45007</v>
      </c>
      <c r="C3405" s="13">
        <f>IFERROR(__xludf.DUMMYFUNCTION("""COMPUTED_VALUE"""),0.8333333333333334)</f>
        <v>0.8333333333</v>
      </c>
      <c r="D3405" s="8">
        <f>IFERROR(__xludf.DUMMYFUNCTION("""COMPUTED_VALUE"""),0.018)</f>
        <v>0.018</v>
      </c>
      <c r="E3405" s="8" t="str">
        <f>IFERROR(__xludf.DUMMYFUNCTION("""COMPUTED_VALUE"""),"Real")</f>
        <v>Real</v>
      </c>
      <c r="G3405" s="8">
        <f t="shared" si="1"/>
        <v>3</v>
      </c>
      <c r="H3405" s="14">
        <f t="shared" si="2"/>
        <v>22</v>
      </c>
      <c r="I3405" s="15">
        <f t="shared" si="3"/>
        <v>20</v>
      </c>
    </row>
    <row r="3406">
      <c r="A3406" s="8" t="str">
        <f>IFERROR(__xludf.DUMMYFUNCTION("IF('(INGESTA)Datos_consumo_datadis'!A3406&lt;&gt;"""",SPLIT('(INGESTA)Datos_consumo_datadis'!A:A,"",""),"""")"),"ES0031408323131005HX0F")</f>
        <v>ES0031408323131005HX0F</v>
      </c>
      <c r="B3406" s="12">
        <f>IFERROR(__xludf.DUMMYFUNCTION("""COMPUTED_VALUE"""),45007.0)</f>
        <v>45007</v>
      </c>
      <c r="C3406" s="13">
        <f>IFERROR(__xludf.DUMMYFUNCTION("""COMPUTED_VALUE"""),0.875)</f>
        <v>0.875</v>
      </c>
      <c r="D3406" s="8">
        <f>IFERROR(__xludf.DUMMYFUNCTION("""COMPUTED_VALUE"""),0.119)</f>
        <v>0.119</v>
      </c>
      <c r="E3406" s="8" t="str">
        <f>IFERROR(__xludf.DUMMYFUNCTION("""COMPUTED_VALUE"""),"Real")</f>
        <v>Real</v>
      </c>
      <c r="G3406" s="8">
        <f t="shared" si="1"/>
        <v>3</v>
      </c>
      <c r="H3406" s="14">
        <f t="shared" si="2"/>
        <v>22</v>
      </c>
      <c r="I3406" s="15">
        <f t="shared" si="3"/>
        <v>21</v>
      </c>
    </row>
    <row r="3407">
      <c r="A3407" s="8" t="str">
        <f>IFERROR(__xludf.DUMMYFUNCTION("IF('(INGESTA)Datos_consumo_datadis'!A3407&lt;&gt;"""",SPLIT('(INGESTA)Datos_consumo_datadis'!A:A,"",""),"""")"),"ES0031408323131005HX0F")</f>
        <v>ES0031408323131005HX0F</v>
      </c>
      <c r="B3407" s="12">
        <f>IFERROR(__xludf.DUMMYFUNCTION("""COMPUTED_VALUE"""),45007.0)</f>
        <v>45007</v>
      </c>
      <c r="C3407" s="13">
        <f>IFERROR(__xludf.DUMMYFUNCTION("""COMPUTED_VALUE"""),0.9166666666666666)</f>
        <v>0.9166666667</v>
      </c>
      <c r="D3407" s="8">
        <f>IFERROR(__xludf.DUMMYFUNCTION("""COMPUTED_VALUE"""),0.765)</f>
        <v>0.765</v>
      </c>
      <c r="E3407" s="8" t="str">
        <f>IFERROR(__xludf.DUMMYFUNCTION("""COMPUTED_VALUE"""),"Real")</f>
        <v>Real</v>
      </c>
      <c r="G3407" s="8">
        <f t="shared" si="1"/>
        <v>3</v>
      </c>
      <c r="H3407" s="14">
        <f t="shared" si="2"/>
        <v>22</v>
      </c>
      <c r="I3407" s="15">
        <f t="shared" si="3"/>
        <v>22</v>
      </c>
    </row>
    <row r="3408">
      <c r="A3408" s="8" t="str">
        <f>IFERROR(__xludf.DUMMYFUNCTION("IF('(INGESTA)Datos_consumo_datadis'!A3408&lt;&gt;"""",SPLIT('(INGESTA)Datos_consumo_datadis'!A:A,"",""),"""")"),"ES0031408323131005HX0F")</f>
        <v>ES0031408323131005HX0F</v>
      </c>
      <c r="B3408" s="12">
        <f>IFERROR(__xludf.DUMMYFUNCTION("""COMPUTED_VALUE"""),45007.0)</f>
        <v>45007</v>
      </c>
      <c r="C3408" s="13">
        <f>IFERROR(__xludf.DUMMYFUNCTION("""COMPUTED_VALUE"""),0.9583333333333334)</f>
        <v>0.9583333333</v>
      </c>
      <c r="D3408" s="8">
        <f>IFERROR(__xludf.DUMMYFUNCTION("""COMPUTED_VALUE"""),0.588)</f>
        <v>0.588</v>
      </c>
      <c r="E3408" s="8" t="str">
        <f>IFERROR(__xludf.DUMMYFUNCTION("""COMPUTED_VALUE"""),"Real")</f>
        <v>Real</v>
      </c>
      <c r="G3408" s="8">
        <f t="shared" si="1"/>
        <v>3</v>
      </c>
      <c r="H3408" s="14">
        <f t="shared" si="2"/>
        <v>22</v>
      </c>
      <c r="I3408" s="15">
        <f t="shared" si="3"/>
        <v>23</v>
      </c>
    </row>
    <row r="3409">
      <c r="A3409" s="8" t="str">
        <f>IFERROR(__xludf.DUMMYFUNCTION("IF('(INGESTA)Datos_consumo_datadis'!A3409&lt;&gt;"""",SPLIT('(INGESTA)Datos_consumo_datadis'!A:A,"",""),"""")"),"ES0031408323131005HX0F")</f>
        <v>ES0031408323131005HX0F</v>
      </c>
      <c r="B3409" s="12">
        <f>IFERROR(__xludf.DUMMYFUNCTION("""COMPUTED_VALUE"""),45007.0)</f>
        <v>45007</v>
      </c>
      <c r="C3409" s="16">
        <f>IFERROR(__xludf.DUMMYFUNCTION("""COMPUTED_VALUE"""),1.0)</f>
        <v>1</v>
      </c>
      <c r="D3409" s="8">
        <f>IFERROR(__xludf.DUMMYFUNCTION("""COMPUTED_VALUE"""),2.949)</f>
        <v>2.949</v>
      </c>
      <c r="E3409" s="8" t="str">
        <f>IFERROR(__xludf.DUMMYFUNCTION("""COMPUTED_VALUE"""),"Real")</f>
        <v>Real</v>
      </c>
      <c r="G3409" s="8">
        <f t="shared" si="1"/>
        <v>3</v>
      </c>
      <c r="H3409" s="14">
        <f t="shared" si="2"/>
        <v>22</v>
      </c>
      <c r="I3409" s="15">
        <f t="shared" si="3"/>
        <v>0</v>
      </c>
    </row>
    <row r="3410">
      <c r="A3410" s="8" t="str">
        <f>IFERROR(__xludf.DUMMYFUNCTION("IF('(INGESTA)Datos_consumo_datadis'!A3410&lt;&gt;"""",SPLIT('(INGESTA)Datos_consumo_datadis'!A:A,"",""),"""")"),"ES0031408323131005HX0F")</f>
        <v>ES0031408323131005HX0F</v>
      </c>
      <c r="B3410" s="12">
        <f>IFERROR(__xludf.DUMMYFUNCTION("""COMPUTED_VALUE"""),45008.0)</f>
        <v>45008</v>
      </c>
      <c r="C3410" s="13">
        <f>IFERROR(__xludf.DUMMYFUNCTION("""COMPUTED_VALUE"""),0.041666666666666664)</f>
        <v>0.04166666667</v>
      </c>
      <c r="D3410" s="8">
        <f>IFERROR(__xludf.DUMMYFUNCTION("""COMPUTED_VALUE"""),0.962)</f>
        <v>0.962</v>
      </c>
      <c r="E3410" s="8" t="str">
        <f>IFERROR(__xludf.DUMMYFUNCTION("""COMPUTED_VALUE"""),"Real")</f>
        <v>Real</v>
      </c>
      <c r="G3410" s="8">
        <f t="shared" si="1"/>
        <v>3</v>
      </c>
      <c r="H3410" s="14">
        <f t="shared" si="2"/>
        <v>23</v>
      </c>
      <c r="I3410" s="15">
        <f t="shared" si="3"/>
        <v>1</v>
      </c>
    </row>
    <row r="3411">
      <c r="A3411" s="8" t="str">
        <f>IFERROR(__xludf.DUMMYFUNCTION("IF('(INGESTA)Datos_consumo_datadis'!A3411&lt;&gt;"""",SPLIT('(INGESTA)Datos_consumo_datadis'!A:A,"",""),"""")"),"ES0031408323131005HX0F")</f>
        <v>ES0031408323131005HX0F</v>
      </c>
      <c r="B3411" s="12">
        <f>IFERROR(__xludf.DUMMYFUNCTION("""COMPUTED_VALUE"""),45008.0)</f>
        <v>45008</v>
      </c>
      <c r="C3411" s="13">
        <f>IFERROR(__xludf.DUMMYFUNCTION("""COMPUTED_VALUE"""),0.08333333333333333)</f>
        <v>0.08333333333</v>
      </c>
      <c r="D3411" s="8">
        <f>IFERROR(__xludf.DUMMYFUNCTION("""COMPUTED_VALUE"""),0.061)</f>
        <v>0.061</v>
      </c>
      <c r="E3411" s="8" t="str">
        <f>IFERROR(__xludf.DUMMYFUNCTION("""COMPUTED_VALUE"""),"Real")</f>
        <v>Real</v>
      </c>
      <c r="G3411" s="8">
        <f t="shared" si="1"/>
        <v>3</v>
      </c>
      <c r="H3411" s="14">
        <f t="shared" si="2"/>
        <v>23</v>
      </c>
      <c r="I3411" s="15">
        <f t="shared" si="3"/>
        <v>2</v>
      </c>
    </row>
    <row r="3412">
      <c r="A3412" s="8" t="str">
        <f>IFERROR(__xludf.DUMMYFUNCTION("IF('(INGESTA)Datos_consumo_datadis'!A3412&lt;&gt;"""",SPLIT('(INGESTA)Datos_consumo_datadis'!A:A,"",""),"""")"),"ES0031408323131005HX0F")</f>
        <v>ES0031408323131005HX0F</v>
      </c>
      <c r="B3412" s="12">
        <f>IFERROR(__xludf.DUMMYFUNCTION("""COMPUTED_VALUE"""),45008.0)</f>
        <v>45008</v>
      </c>
      <c r="C3412" s="13">
        <f>IFERROR(__xludf.DUMMYFUNCTION("""COMPUTED_VALUE"""),0.125)</f>
        <v>0.125</v>
      </c>
      <c r="D3412" s="8">
        <f>IFERROR(__xludf.DUMMYFUNCTION("""COMPUTED_VALUE"""),0.038)</f>
        <v>0.038</v>
      </c>
      <c r="E3412" s="8" t="str">
        <f>IFERROR(__xludf.DUMMYFUNCTION("""COMPUTED_VALUE"""),"Real")</f>
        <v>Real</v>
      </c>
      <c r="G3412" s="8">
        <f t="shared" si="1"/>
        <v>3</v>
      </c>
      <c r="H3412" s="14">
        <f t="shared" si="2"/>
        <v>23</v>
      </c>
      <c r="I3412" s="15">
        <f t="shared" si="3"/>
        <v>3</v>
      </c>
    </row>
    <row r="3413">
      <c r="A3413" s="8" t="str">
        <f>IFERROR(__xludf.DUMMYFUNCTION("IF('(INGESTA)Datos_consumo_datadis'!A3413&lt;&gt;"""",SPLIT('(INGESTA)Datos_consumo_datadis'!A:A,"",""),"""")"),"ES0031408323131005HX0F")</f>
        <v>ES0031408323131005HX0F</v>
      </c>
      <c r="B3413" s="12">
        <f>IFERROR(__xludf.DUMMYFUNCTION("""COMPUTED_VALUE"""),45008.0)</f>
        <v>45008</v>
      </c>
      <c r="C3413" s="13">
        <f>IFERROR(__xludf.DUMMYFUNCTION("""COMPUTED_VALUE"""),0.16666666666666666)</f>
        <v>0.1666666667</v>
      </c>
      <c r="D3413" s="8">
        <f>IFERROR(__xludf.DUMMYFUNCTION("""COMPUTED_VALUE"""),0.358)</f>
        <v>0.358</v>
      </c>
      <c r="E3413" s="8" t="str">
        <f>IFERROR(__xludf.DUMMYFUNCTION("""COMPUTED_VALUE"""),"Real")</f>
        <v>Real</v>
      </c>
      <c r="G3413" s="8">
        <f t="shared" si="1"/>
        <v>3</v>
      </c>
      <c r="H3413" s="14">
        <f t="shared" si="2"/>
        <v>23</v>
      </c>
      <c r="I3413" s="15">
        <f t="shared" si="3"/>
        <v>4</v>
      </c>
    </row>
    <row r="3414">
      <c r="A3414" s="8" t="str">
        <f>IFERROR(__xludf.DUMMYFUNCTION("IF('(INGESTA)Datos_consumo_datadis'!A3414&lt;&gt;"""",SPLIT('(INGESTA)Datos_consumo_datadis'!A:A,"",""),"""")"),"ES0031408323131005HX0F")</f>
        <v>ES0031408323131005HX0F</v>
      </c>
      <c r="B3414" s="12">
        <f>IFERROR(__xludf.DUMMYFUNCTION("""COMPUTED_VALUE"""),45008.0)</f>
        <v>45008</v>
      </c>
      <c r="C3414" s="13">
        <f>IFERROR(__xludf.DUMMYFUNCTION("""COMPUTED_VALUE"""),0.20833333333333334)</f>
        <v>0.2083333333</v>
      </c>
      <c r="D3414" s="8">
        <f>IFERROR(__xludf.DUMMYFUNCTION("""COMPUTED_VALUE"""),0.062)</f>
        <v>0.062</v>
      </c>
      <c r="E3414" s="8" t="str">
        <f>IFERROR(__xludf.DUMMYFUNCTION("""COMPUTED_VALUE"""),"Real")</f>
        <v>Real</v>
      </c>
      <c r="G3414" s="8">
        <f t="shared" si="1"/>
        <v>3</v>
      </c>
      <c r="H3414" s="14">
        <f t="shared" si="2"/>
        <v>23</v>
      </c>
      <c r="I3414" s="15">
        <f t="shared" si="3"/>
        <v>5</v>
      </c>
    </row>
    <row r="3415">
      <c r="A3415" s="8" t="str">
        <f>IFERROR(__xludf.DUMMYFUNCTION("IF('(INGESTA)Datos_consumo_datadis'!A3415&lt;&gt;"""",SPLIT('(INGESTA)Datos_consumo_datadis'!A:A,"",""),"""")"),"ES0031408323131005HX0F")</f>
        <v>ES0031408323131005HX0F</v>
      </c>
      <c r="B3415" s="12">
        <f>IFERROR(__xludf.DUMMYFUNCTION("""COMPUTED_VALUE"""),45008.0)</f>
        <v>45008</v>
      </c>
      <c r="C3415" s="13">
        <f>IFERROR(__xludf.DUMMYFUNCTION("""COMPUTED_VALUE"""),0.25)</f>
        <v>0.25</v>
      </c>
      <c r="D3415" s="8">
        <f>IFERROR(__xludf.DUMMYFUNCTION("""COMPUTED_VALUE"""),0.06)</f>
        <v>0.06</v>
      </c>
      <c r="E3415" s="8" t="str">
        <f>IFERROR(__xludf.DUMMYFUNCTION("""COMPUTED_VALUE"""),"Real")</f>
        <v>Real</v>
      </c>
      <c r="G3415" s="8">
        <f t="shared" si="1"/>
        <v>3</v>
      </c>
      <c r="H3415" s="14">
        <f t="shared" si="2"/>
        <v>23</v>
      </c>
      <c r="I3415" s="15">
        <f t="shared" si="3"/>
        <v>6</v>
      </c>
    </row>
    <row r="3416">
      <c r="A3416" s="8" t="str">
        <f>IFERROR(__xludf.DUMMYFUNCTION("IF('(INGESTA)Datos_consumo_datadis'!A3416&lt;&gt;"""",SPLIT('(INGESTA)Datos_consumo_datadis'!A:A,"",""),"""")"),"ES0031408323131005HX0F")</f>
        <v>ES0031408323131005HX0F</v>
      </c>
      <c r="B3416" s="12">
        <f>IFERROR(__xludf.DUMMYFUNCTION("""COMPUTED_VALUE"""),45008.0)</f>
        <v>45008</v>
      </c>
      <c r="C3416" s="13">
        <f>IFERROR(__xludf.DUMMYFUNCTION("""COMPUTED_VALUE"""),0.2916666666666667)</f>
        <v>0.2916666667</v>
      </c>
      <c r="D3416" s="8">
        <f>IFERROR(__xludf.DUMMYFUNCTION("""COMPUTED_VALUE"""),0.079)</f>
        <v>0.079</v>
      </c>
      <c r="E3416" s="8" t="str">
        <f>IFERROR(__xludf.DUMMYFUNCTION("""COMPUTED_VALUE"""),"Real")</f>
        <v>Real</v>
      </c>
      <c r="G3416" s="8">
        <f t="shared" si="1"/>
        <v>3</v>
      </c>
      <c r="H3416" s="14">
        <f t="shared" si="2"/>
        <v>23</v>
      </c>
      <c r="I3416" s="15">
        <f t="shared" si="3"/>
        <v>7</v>
      </c>
    </row>
    <row r="3417">
      <c r="A3417" s="8" t="str">
        <f>IFERROR(__xludf.DUMMYFUNCTION("IF('(INGESTA)Datos_consumo_datadis'!A3417&lt;&gt;"""",SPLIT('(INGESTA)Datos_consumo_datadis'!A:A,"",""),"""")"),"ES0031408323131005HX0F")</f>
        <v>ES0031408323131005HX0F</v>
      </c>
      <c r="B3417" s="12">
        <f>IFERROR(__xludf.DUMMYFUNCTION("""COMPUTED_VALUE"""),45008.0)</f>
        <v>45008</v>
      </c>
      <c r="C3417" s="13">
        <f>IFERROR(__xludf.DUMMYFUNCTION("""COMPUTED_VALUE"""),0.3333333333333333)</f>
        <v>0.3333333333</v>
      </c>
      <c r="D3417" s="8">
        <f>IFERROR(__xludf.DUMMYFUNCTION("""COMPUTED_VALUE"""),0.971)</f>
        <v>0.971</v>
      </c>
      <c r="E3417" s="8" t="str">
        <f>IFERROR(__xludf.DUMMYFUNCTION("""COMPUTED_VALUE"""),"Real")</f>
        <v>Real</v>
      </c>
      <c r="G3417" s="8">
        <f t="shared" si="1"/>
        <v>3</v>
      </c>
      <c r="H3417" s="14">
        <f t="shared" si="2"/>
        <v>23</v>
      </c>
      <c r="I3417" s="15">
        <f t="shared" si="3"/>
        <v>8</v>
      </c>
    </row>
    <row r="3418">
      <c r="A3418" s="8" t="str">
        <f>IFERROR(__xludf.DUMMYFUNCTION("IF('(INGESTA)Datos_consumo_datadis'!A3418&lt;&gt;"""",SPLIT('(INGESTA)Datos_consumo_datadis'!A:A,"",""),"""")"),"ES0031408323131005HX0F")</f>
        <v>ES0031408323131005HX0F</v>
      </c>
      <c r="B3418" s="12">
        <f>IFERROR(__xludf.DUMMYFUNCTION("""COMPUTED_VALUE"""),45008.0)</f>
        <v>45008</v>
      </c>
      <c r="C3418" s="13">
        <f>IFERROR(__xludf.DUMMYFUNCTION("""COMPUTED_VALUE"""),0.375)</f>
        <v>0.375</v>
      </c>
      <c r="D3418" s="8">
        <f>IFERROR(__xludf.DUMMYFUNCTION("""COMPUTED_VALUE"""),0.053)</f>
        <v>0.053</v>
      </c>
      <c r="E3418" s="8" t="str">
        <f>IFERROR(__xludf.DUMMYFUNCTION("""COMPUTED_VALUE"""),"Real")</f>
        <v>Real</v>
      </c>
      <c r="G3418" s="8">
        <f t="shared" si="1"/>
        <v>3</v>
      </c>
      <c r="H3418" s="14">
        <f t="shared" si="2"/>
        <v>23</v>
      </c>
      <c r="I3418" s="15">
        <f t="shared" si="3"/>
        <v>9</v>
      </c>
    </row>
    <row r="3419">
      <c r="A3419" s="8" t="str">
        <f>IFERROR(__xludf.DUMMYFUNCTION("IF('(INGESTA)Datos_consumo_datadis'!A3419&lt;&gt;"""",SPLIT('(INGESTA)Datos_consumo_datadis'!A:A,"",""),"""")"),"ES0031408323131005HX0F")</f>
        <v>ES0031408323131005HX0F</v>
      </c>
      <c r="B3419" s="12">
        <f>IFERROR(__xludf.DUMMYFUNCTION("""COMPUTED_VALUE"""),45008.0)</f>
        <v>45008</v>
      </c>
      <c r="C3419" s="13">
        <f>IFERROR(__xludf.DUMMYFUNCTION("""COMPUTED_VALUE"""),0.4166666666666667)</f>
        <v>0.4166666667</v>
      </c>
      <c r="D3419" s="8">
        <f>IFERROR(__xludf.DUMMYFUNCTION("""COMPUTED_VALUE"""),0.016)</f>
        <v>0.016</v>
      </c>
      <c r="E3419" s="8" t="str">
        <f>IFERROR(__xludf.DUMMYFUNCTION("""COMPUTED_VALUE"""),"Real")</f>
        <v>Real</v>
      </c>
      <c r="G3419" s="8">
        <f t="shared" si="1"/>
        <v>3</v>
      </c>
      <c r="H3419" s="14">
        <f t="shared" si="2"/>
        <v>23</v>
      </c>
      <c r="I3419" s="15">
        <f t="shared" si="3"/>
        <v>10</v>
      </c>
    </row>
    <row r="3420">
      <c r="A3420" s="8" t="str">
        <f>IFERROR(__xludf.DUMMYFUNCTION("IF('(INGESTA)Datos_consumo_datadis'!A3420&lt;&gt;"""",SPLIT('(INGESTA)Datos_consumo_datadis'!A:A,"",""),"""")"),"ES0031408323131005HX0F")</f>
        <v>ES0031408323131005HX0F</v>
      </c>
      <c r="B3420" s="12">
        <f>IFERROR(__xludf.DUMMYFUNCTION("""COMPUTED_VALUE"""),45008.0)</f>
        <v>45008</v>
      </c>
      <c r="C3420" s="13">
        <f>IFERROR(__xludf.DUMMYFUNCTION("""COMPUTED_VALUE"""),0.4583333333333333)</f>
        <v>0.4583333333</v>
      </c>
      <c r="D3420" s="8">
        <f>IFERROR(__xludf.DUMMYFUNCTION("""COMPUTED_VALUE"""),0.056)</f>
        <v>0.056</v>
      </c>
      <c r="E3420" s="8" t="str">
        <f>IFERROR(__xludf.DUMMYFUNCTION("""COMPUTED_VALUE"""),"Real")</f>
        <v>Real</v>
      </c>
      <c r="G3420" s="8">
        <f t="shared" si="1"/>
        <v>3</v>
      </c>
      <c r="H3420" s="14">
        <f t="shared" si="2"/>
        <v>23</v>
      </c>
      <c r="I3420" s="15">
        <f t="shared" si="3"/>
        <v>11</v>
      </c>
    </row>
    <row r="3421">
      <c r="A3421" s="8" t="str">
        <f>IFERROR(__xludf.DUMMYFUNCTION("IF('(INGESTA)Datos_consumo_datadis'!A3421&lt;&gt;"""",SPLIT('(INGESTA)Datos_consumo_datadis'!A:A,"",""),"""")"),"ES0031408323131005HX0F")</f>
        <v>ES0031408323131005HX0F</v>
      </c>
      <c r="B3421" s="12">
        <f>IFERROR(__xludf.DUMMYFUNCTION("""COMPUTED_VALUE"""),45008.0)</f>
        <v>45008</v>
      </c>
      <c r="C3421" s="13">
        <f>IFERROR(__xludf.DUMMYFUNCTION("""COMPUTED_VALUE"""),0.5)</f>
        <v>0.5</v>
      </c>
      <c r="D3421" s="8">
        <f>IFERROR(__xludf.DUMMYFUNCTION("""COMPUTED_VALUE"""),0.067)</f>
        <v>0.067</v>
      </c>
      <c r="E3421" s="8" t="str">
        <f>IFERROR(__xludf.DUMMYFUNCTION("""COMPUTED_VALUE"""),"Real")</f>
        <v>Real</v>
      </c>
      <c r="G3421" s="8">
        <f t="shared" si="1"/>
        <v>3</v>
      </c>
      <c r="H3421" s="14">
        <f t="shared" si="2"/>
        <v>23</v>
      </c>
      <c r="I3421" s="15">
        <f t="shared" si="3"/>
        <v>12</v>
      </c>
    </row>
    <row r="3422">
      <c r="A3422" s="8" t="str">
        <f>IFERROR(__xludf.DUMMYFUNCTION("IF('(INGESTA)Datos_consumo_datadis'!A3422&lt;&gt;"""",SPLIT('(INGESTA)Datos_consumo_datadis'!A:A,"",""),"""")"),"ES0031408323131005HX0F")</f>
        <v>ES0031408323131005HX0F</v>
      </c>
      <c r="B3422" s="12">
        <f>IFERROR(__xludf.DUMMYFUNCTION("""COMPUTED_VALUE"""),45008.0)</f>
        <v>45008</v>
      </c>
      <c r="C3422" s="13">
        <f>IFERROR(__xludf.DUMMYFUNCTION("""COMPUTED_VALUE"""),0.5416666666666666)</f>
        <v>0.5416666667</v>
      </c>
      <c r="D3422" s="8">
        <f>IFERROR(__xludf.DUMMYFUNCTION("""COMPUTED_VALUE"""),0.033)</f>
        <v>0.033</v>
      </c>
      <c r="E3422" s="8" t="str">
        <f>IFERROR(__xludf.DUMMYFUNCTION("""COMPUTED_VALUE"""),"Real")</f>
        <v>Real</v>
      </c>
      <c r="G3422" s="8">
        <f t="shared" si="1"/>
        <v>3</v>
      </c>
      <c r="H3422" s="14">
        <f t="shared" si="2"/>
        <v>23</v>
      </c>
      <c r="I3422" s="15">
        <f t="shared" si="3"/>
        <v>13</v>
      </c>
    </row>
    <row r="3423">
      <c r="A3423" s="8" t="str">
        <f>IFERROR(__xludf.DUMMYFUNCTION("IF('(INGESTA)Datos_consumo_datadis'!A3423&lt;&gt;"""",SPLIT('(INGESTA)Datos_consumo_datadis'!A:A,"",""),"""")"),"ES0031408323131005HX0F")</f>
        <v>ES0031408323131005HX0F</v>
      </c>
      <c r="B3423" s="12">
        <f>IFERROR(__xludf.DUMMYFUNCTION("""COMPUTED_VALUE"""),45008.0)</f>
        <v>45008</v>
      </c>
      <c r="C3423" s="13">
        <f>IFERROR(__xludf.DUMMYFUNCTION("""COMPUTED_VALUE"""),0.5833333333333334)</f>
        <v>0.5833333333</v>
      </c>
      <c r="D3423" s="8">
        <f>IFERROR(__xludf.DUMMYFUNCTION("""COMPUTED_VALUE"""),0.296)</f>
        <v>0.296</v>
      </c>
      <c r="E3423" s="8" t="str">
        <f>IFERROR(__xludf.DUMMYFUNCTION("""COMPUTED_VALUE"""),"Real")</f>
        <v>Real</v>
      </c>
      <c r="G3423" s="8">
        <f t="shared" si="1"/>
        <v>3</v>
      </c>
      <c r="H3423" s="14">
        <f t="shared" si="2"/>
        <v>23</v>
      </c>
      <c r="I3423" s="15">
        <f t="shared" si="3"/>
        <v>14</v>
      </c>
    </row>
    <row r="3424">
      <c r="A3424" s="8" t="str">
        <f>IFERROR(__xludf.DUMMYFUNCTION("IF('(INGESTA)Datos_consumo_datadis'!A3424&lt;&gt;"""",SPLIT('(INGESTA)Datos_consumo_datadis'!A:A,"",""),"""")"),"ES0031408323131005HX0F")</f>
        <v>ES0031408323131005HX0F</v>
      </c>
      <c r="B3424" s="12">
        <f>IFERROR(__xludf.DUMMYFUNCTION("""COMPUTED_VALUE"""),45008.0)</f>
        <v>45008</v>
      </c>
      <c r="C3424" s="13">
        <f>IFERROR(__xludf.DUMMYFUNCTION("""COMPUTED_VALUE"""),0.625)</f>
        <v>0.625</v>
      </c>
      <c r="D3424" s="8">
        <f>IFERROR(__xludf.DUMMYFUNCTION("""COMPUTED_VALUE"""),0.092)</f>
        <v>0.092</v>
      </c>
      <c r="E3424" s="8" t="str">
        <f>IFERROR(__xludf.DUMMYFUNCTION("""COMPUTED_VALUE"""),"Real")</f>
        <v>Real</v>
      </c>
      <c r="G3424" s="8">
        <f t="shared" si="1"/>
        <v>3</v>
      </c>
      <c r="H3424" s="14">
        <f t="shared" si="2"/>
        <v>23</v>
      </c>
      <c r="I3424" s="15">
        <f t="shared" si="3"/>
        <v>15</v>
      </c>
    </row>
    <row r="3425">
      <c r="A3425" s="8" t="str">
        <f>IFERROR(__xludf.DUMMYFUNCTION("IF('(INGESTA)Datos_consumo_datadis'!A3425&lt;&gt;"""",SPLIT('(INGESTA)Datos_consumo_datadis'!A:A,"",""),"""")"),"ES0031408323131005HX0F")</f>
        <v>ES0031408323131005HX0F</v>
      </c>
      <c r="B3425" s="12">
        <f>IFERROR(__xludf.DUMMYFUNCTION("""COMPUTED_VALUE"""),45008.0)</f>
        <v>45008</v>
      </c>
      <c r="C3425" s="13">
        <f>IFERROR(__xludf.DUMMYFUNCTION("""COMPUTED_VALUE"""),0.6666666666666666)</f>
        <v>0.6666666667</v>
      </c>
      <c r="D3425" s="8">
        <f>IFERROR(__xludf.DUMMYFUNCTION("""COMPUTED_VALUE"""),0.041)</f>
        <v>0.041</v>
      </c>
      <c r="E3425" s="8" t="str">
        <f>IFERROR(__xludf.DUMMYFUNCTION("""COMPUTED_VALUE"""),"Real")</f>
        <v>Real</v>
      </c>
      <c r="G3425" s="8">
        <f t="shared" si="1"/>
        <v>3</v>
      </c>
      <c r="H3425" s="14">
        <f t="shared" si="2"/>
        <v>23</v>
      </c>
      <c r="I3425" s="15">
        <f t="shared" si="3"/>
        <v>16</v>
      </c>
    </row>
    <row r="3426">
      <c r="A3426" s="8" t="str">
        <f>IFERROR(__xludf.DUMMYFUNCTION("IF('(INGESTA)Datos_consumo_datadis'!A3426&lt;&gt;"""",SPLIT('(INGESTA)Datos_consumo_datadis'!A:A,"",""),"""")"),"ES0031408323131005HX0F")</f>
        <v>ES0031408323131005HX0F</v>
      </c>
      <c r="B3426" s="12">
        <f>IFERROR(__xludf.DUMMYFUNCTION("""COMPUTED_VALUE"""),45008.0)</f>
        <v>45008</v>
      </c>
      <c r="C3426" s="13">
        <f>IFERROR(__xludf.DUMMYFUNCTION("""COMPUTED_VALUE"""),0.7083333333333334)</f>
        <v>0.7083333333</v>
      </c>
      <c r="D3426" s="8">
        <f>IFERROR(__xludf.DUMMYFUNCTION("""COMPUTED_VALUE"""),0.016)</f>
        <v>0.016</v>
      </c>
      <c r="E3426" s="8" t="str">
        <f>IFERROR(__xludf.DUMMYFUNCTION("""COMPUTED_VALUE"""),"Real")</f>
        <v>Real</v>
      </c>
      <c r="G3426" s="8">
        <f t="shared" si="1"/>
        <v>3</v>
      </c>
      <c r="H3426" s="14">
        <f t="shared" si="2"/>
        <v>23</v>
      </c>
      <c r="I3426" s="15">
        <f t="shared" si="3"/>
        <v>17</v>
      </c>
    </row>
    <row r="3427">
      <c r="A3427" s="8" t="str">
        <f>IFERROR(__xludf.DUMMYFUNCTION("IF('(INGESTA)Datos_consumo_datadis'!A3427&lt;&gt;"""",SPLIT('(INGESTA)Datos_consumo_datadis'!A:A,"",""),"""")"),"ES0031408323131005HX0F")</f>
        <v>ES0031408323131005HX0F</v>
      </c>
      <c r="B3427" s="12">
        <f>IFERROR(__xludf.DUMMYFUNCTION("""COMPUTED_VALUE"""),45008.0)</f>
        <v>45008</v>
      </c>
      <c r="C3427" s="13">
        <f>IFERROR(__xludf.DUMMYFUNCTION("""COMPUTED_VALUE"""),0.75)</f>
        <v>0.75</v>
      </c>
      <c r="D3427" s="8">
        <f>IFERROR(__xludf.DUMMYFUNCTION("""COMPUTED_VALUE"""),0.094)</f>
        <v>0.094</v>
      </c>
      <c r="E3427" s="8" t="str">
        <f>IFERROR(__xludf.DUMMYFUNCTION("""COMPUTED_VALUE"""),"Real")</f>
        <v>Real</v>
      </c>
      <c r="G3427" s="8">
        <f t="shared" si="1"/>
        <v>3</v>
      </c>
      <c r="H3427" s="14">
        <f t="shared" si="2"/>
        <v>23</v>
      </c>
      <c r="I3427" s="15">
        <f t="shared" si="3"/>
        <v>18</v>
      </c>
    </row>
    <row r="3428">
      <c r="A3428" s="8" t="str">
        <f>IFERROR(__xludf.DUMMYFUNCTION("IF('(INGESTA)Datos_consumo_datadis'!A3428&lt;&gt;"""",SPLIT('(INGESTA)Datos_consumo_datadis'!A:A,"",""),"""")"),"ES0031408323131005HX0F")</f>
        <v>ES0031408323131005HX0F</v>
      </c>
      <c r="B3428" s="12">
        <f>IFERROR(__xludf.DUMMYFUNCTION("""COMPUTED_VALUE"""),45008.0)</f>
        <v>45008</v>
      </c>
      <c r="C3428" s="13">
        <f>IFERROR(__xludf.DUMMYFUNCTION("""COMPUTED_VALUE"""),0.7916666666666666)</f>
        <v>0.7916666667</v>
      </c>
      <c r="D3428" s="8">
        <f>IFERROR(__xludf.DUMMYFUNCTION("""COMPUTED_VALUE"""),0.058)</f>
        <v>0.058</v>
      </c>
      <c r="E3428" s="8" t="str">
        <f>IFERROR(__xludf.DUMMYFUNCTION("""COMPUTED_VALUE"""),"Real")</f>
        <v>Real</v>
      </c>
      <c r="G3428" s="8">
        <f t="shared" si="1"/>
        <v>3</v>
      </c>
      <c r="H3428" s="14">
        <f t="shared" si="2"/>
        <v>23</v>
      </c>
      <c r="I3428" s="15">
        <f t="shared" si="3"/>
        <v>19</v>
      </c>
    </row>
    <row r="3429">
      <c r="A3429" s="8" t="str">
        <f>IFERROR(__xludf.DUMMYFUNCTION("IF('(INGESTA)Datos_consumo_datadis'!A3429&lt;&gt;"""",SPLIT('(INGESTA)Datos_consumo_datadis'!A:A,"",""),"""")"),"ES0031408323131005HX0F")</f>
        <v>ES0031408323131005HX0F</v>
      </c>
      <c r="B3429" s="12">
        <f>IFERROR(__xludf.DUMMYFUNCTION("""COMPUTED_VALUE"""),45008.0)</f>
        <v>45008</v>
      </c>
      <c r="C3429" s="13">
        <f>IFERROR(__xludf.DUMMYFUNCTION("""COMPUTED_VALUE"""),0.8333333333333334)</f>
        <v>0.8333333333</v>
      </c>
      <c r="D3429" s="8">
        <f>IFERROR(__xludf.DUMMYFUNCTION("""COMPUTED_VALUE"""),0.437)</f>
        <v>0.437</v>
      </c>
      <c r="E3429" s="8" t="str">
        <f>IFERROR(__xludf.DUMMYFUNCTION("""COMPUTED_VALUE"""),"Real")</f>
        <v>Real</v>
      </c>
      <c r="G3429" s="8">
        <f t="shared" si="1"/>
        <v>3</v>
      </c>
      <c r="H3429" s="14">
        <f t="shared" si="2"/>
        <v>23</v>
      </c>
      <c r="I3429" s="15">
        <f t="shared" si="3"/>
        <v>20</v>
      </c>
    </row>
    <row r="3430">
      <c r="A3430" s="8" t="str">
        <f>IFERROR(__xludf.DUMMYFUNCTION("IF('(INGESTA)Datos_consumo_datadis'!A3430&lt;&gt;"""",SPLIT('(INGESTA)Datos_consumo_datadis'!A:A,"",""),"""")"),"ES0031408323131005HX0F")</f>
        <v>ES0031408323131005HX0F</v>
      </c>
      <c r="B3430" s="12">
        <f>IFERROR(__xludf.DUMMYFUNCTION("""COMPUTED_VALUE"""),45008.0)</f>
        <v>45008</v>
      </c>
      <c r="C3430" s="13">
        <f>IFERROR(__xludf.DUMMYFUNCTION("""COMPUTED_VALUE"""),0.875)</f>
        <v>0.875</v>
      </c>
      <c r="D3430" s="8">
        <f>IFERROR(__xludf.DUMMYFUNCTION("""COMPUTED_VALUE"""),0.79)</f>
        <v>0.79</v>
      </c>
      <c r="E3430" s="8" t="str">
        <f>IFERROR(__xludf.DUMMYFUNCTION("""COMPUTED_VALUE"""),"Real")</f>
        <v>Real</v>
      </c>
      <c r="G3430" s="8">
        <f t="shared" si="1"/>
        <v>3</v>
      </c>
      <c r="H3430" s="14">
        <f t="shared" si="2"/>
        <v>23</v>
      </c>
      <c r="I3430" s="15">
        <f t="shared" si="3"/>
        <v>21</v>
      </c>
    </row>
    <row r="3431">
      <c r="A3431" s="8" t="str">
        <f>IFERROR(__xludf.DUMMYFUNCTION("IF('(INGESTA)Datos_consumo_datadis'!A3431&lt;&gt;"""",SPLIT('(INGESTA)Datos_consumo_datadis'!A:A,"",""),"""")"),"ES0031408323131005HX0F")</f>
        <v>ES0031408323131005HX0F</v>
      </c>
      <c r="B3431" s="12">
        <f>IFERROR(__xludf.DUMMYFUNCTION("""COMPUTED_VALUE"""),45008.0)</f>
        <v>45008</v>
      </c>
      <c r="C3431" s="13">
        <f>IFERROR(__xludf.DUMMYFUNCTION("""COMPUTED_VALUE"""),0.9166666666666666)</f>
        <v>0.9166666667</v>
      </c>
      <c r="D3431" s="8">
        <f>IFERROR(__xludf.DUMMYFUNCTION("""COMPUTED_VALUE"""),1.673)</f>
        <v>1.673</v>
      </c>
      <c r="E3431" s="8" t="str">
        <f>IFERROR(__xludf.DUMMYFUNCTION("""COMPUTED_VALUE"""),"Real")</f>
        <v>Real</v>
      </c>
      <c r="G3431" s="8">
        <f t="shared" si="1"/>
        <v>3</v>
      </c>
      <c r="H3431" s="14">
        <f t="shared" si="2"/>
        <v>23</v>
      </c>
      <c r="I3431" s="15">
        <f t="shared" si="3"/>
        <v>22</v>
      </c>
    </row>
    <row r="3432">
      <c r="A3432" s="8" t="str">
        <f>IFERROR(__xludf.DUMMYFUNCTION("IF('(INGESTA)Datos_consumo_datadis'!A3432&lt;&gt;"""",SPLIT('(INGESTA)Datos_consumo_datadis'!A:A,"",""),"""")"),"ES0031408323131005HX0F")</f>
        <v>ES0031408323131005HX0F</v>
      </c>
      <c r="B3432" s="12">
        <f>IFERROR(__xludf.DUMMYFUNCTION("""COMPUTED_VALUE"""),45008.0)</f>
        <v>45008</v>
      </c>
      <c r="C3432" s="13">
        <f>IFERROR(__xludf.DUMMYFUNCTION("""COMPUTED_VALUE"""),0.9583333333333334)</f>
        <v>0.9583333333</v>
      </c>
      <c r="D3432" s="8">
        <f>IFERROR(__xludf.DUMMYFUNCTION("""COMPUTED_VALUE"""),1.936)</f>
        <v>1.936</v>
      </c>
      <c r="E3432" s="8" t="str">
        <f>IFERROR(__xludf.DUMMYFUNCTION("""COMPUTED_VALUE"""),"Real")</f>
        <v>Real</v>
      </c>
      <c r="G3432" s="8">
        <f t="shared" si="1"/>
        <v>3</v>
      </c>
      <c r="H3432" s="14">
        <f t="shared" si="2"/>
        <v>23</v>
      </c>
      <c r="I3432" s="15">
        <f t="shared" si="3"/>
        <v>23</v>
      </c>
    </row>
    <row r="3433">
      <c r="A3433" s="8" t="str">
        <f>IFERROR(__xludf.DUMMYFUNCTION("IF('(INGESTA)Datos_consumo_datadis'!A3433&lt;&gt;"""",SPLIT('(INGESTA)Datos_consumo_datadis'!A:A,"",""),"""")"),"ES0031408323131005HX0F")</f>
        <v>ES0031408323131005HX0F</v>
      </c>
      <c r="B3433" s="12">
        <f>IFERROR(__xludf.DUMMYFUNCTION("""COMPUTED_VALUE"""),45008.0)</f>
        <v>45008</v>
      </c>
      <c r="C3433" s="16">
        <f>IFERROR(__xludf.DUMMYFUNCTION("""COMPUTED_VALUE"""),1.0)</f>
        <v>1</v>
      </c>
      <c r="D3433" s="8">
        <f>IFERROR(__xludf.DUMMYFUNCTION("""COMPUTED_VALUE"""),0.436)</f>
        <v>0.436</v>
      </c>
      <c r="E3433" s="8" t="str">
        <f>IFERROR(__xludf.DUMMYFUNCTION("""COMPUTED_VALUE"""),"Real")</f>
        <v>Real</v>
      </c>
      <c r="G3433" s="8">
        <f t="shared" si="1"/>
        <v>3</v>
      </c>
      <c r="H3433" s="14">
        <f t="shared" si="2"/>
        <v>23</v>
      </c>
      <c r="I3433" s="15">
        <f t="shared" si="3"/>
        <v>0</v>
      </c>
    </row>
    <row r="3434">
      <c r="A3434" s="8" t="str">
        <f>IFERROR(__xludf.DUMMYFUNCTION("IF('(INGESTA)Datos_consumo_datadis'!A3434&lt;&gt;"""",SPLIT('(INGESTA)Datos_consumo_datadis'!A:A,"",""),"""")"),"ES0031408323131005HX0F")</f>
        <v>ES0031408323131005HX0F</v>
      </c>
      <c r="B3434" s="12">
        <f>IFERROR(__xludf.DUMMYFUNCTION("""COMPUTED_VALUE"""),45009.0)</f>
        <v>45009</v>
      </c>
      <c r="C3434" s="13">
        <f>IFERROR(__xludf.DUMMYFUNCTION("""COMPUTED_VALUE"""),0.041666666666666664)</f>
        <v>0.04166666667</v>
      </c>
      <c r="D3434" s="8">
        <f>IFERROR(__xludf.DUMMYFUNCTION("""COMPUTED_VALUE"""),0.091)</f>
        <v>0.091</v>
      </c>
      <c r="E3434" s="8" t="str">
        <f>IFERROR(__xludf.DUMMYFUNCTION("""COMPUTED_VALUE"""),"Real")</f>
        <v>Real</v>
      </c>
      <c r="G3434" s="8">
        <f t="shared" si="1"/>
        <v>3</v>
      </c>
      <c r="H3434" s="14">
        <f t="shared" si="2"/>
        <v>24</v>
      </c>
      <c r="I3434" s="15">
        <f t="shared" si="3"/>
        <v>1</v>
      </c>
    </row>
    <row r="3435">
      <c r="A3435" s="8" t="str">
        <f>IFERROR(__xludf.DUMMYFUNCTION("IF('(INGESTA)Datos_consumo_datadis'!A3435&lt;&gt;"""",SPLIT('(INGESTA)Datos_consumo_datadis'!A:A,"",""),"""")"),"ES0031408323131005HX0F")</f>
        <v>ES0031408323131005HX0F</v>
      </c>
      <c r="B3435" s="12">
        <f>IFERROR(__xludf.DUMMYFUNCTION("""COMPUTED_VALUE"""),45009.0)</f>
        <v>45009</v>
      </c>
      <c r="C3435" s="13">
        <f>IFERROR(__xludf.DUMMYFUNCTION("""COMPUTED_VALUE"""),0.08333333333333333)</f>
        <v>0.08333333333</v>
      </c>
      <c r="D3435" s="8">
        <f>IFERROR(__xludf.DUMMYFUNCTION("""COMPUTED_VALUE"""),0.029)</f>
        <v>0.029</v>
      </c>
      <c r="E3435" s="8" t="str">
        <f>IFERROR(__xludf.DUMMYFUNCTION("""COMPUTED_VALUE"""),"Real")</f>
        <v>Real</v>
      </c>
      <c r="G3435" s="8">
        <f t="shared" si="1"/>
        <v>3</v>
      </c>
      <c r="H3435" s="14">
        <f t="shared" si="2"/>
        <v>24</v>
      </c>
      <c r="I3435" s="15">
        <f t="shared" si="3"/>
        <v>2</v>
      </c>
    </row>
    <row r="3436">
      <c r="A3436" s="8" t="str">
        <f>IFERROR(__xludf.DUMMYFUNCTION("IF('(INGESTA)Datos_consumo_datadis'!A3436&lt;&gt;"""",SPLIT('(INGESTA)Datos_consumo_datadis'!A:A,"",""),"""")"),"ES0031408323131005HX0F")</f>
        <v>ES0031408323131005HX0F</v>
      </c>
      <c r="B3436" s="12">
        <f>IFERROR(__xludf.DUMMYFUNCTION("""COMPUTED_VALUE"""),45009.0)</f>
        <v>45009</v>
      </c>
      <c r="C3436" s="13">
        <f>IFERROR(__xludf.DUMMYFUNCTION("""COMPUTED_VALUE"""),0.125)</f>
        <v>0.125</v>
      </c>
      <c r="D3436" s="8">
        <f>IFERROR(__xludf.DUMMYFUNCTION("""COMPUTED_VALUE"""),0.095)</f>
        <v>0.095</v>
      </c>
      <c r="E3436" s="8" t="str">
        <f>IFERROR(__xludf.DUMMYFUNCTION("""COMPUTED_VALUE"""),"Real")</f>
        <v>Real</v>
      </c>
      <c r="G3436" s="8">
        <f t="shared" si="1"/>
        <v>3</v>
      </c>
      <c r="H3436" s="14">
        <f t="shared" si="2"/>
        <v>24</v>
      </c>
      <c r="I3436" s="15">
        <f t="shared" si="3"/>
        <v>3</v>
      </c>
    </row>
    <row r="3437">
      <c r="A3437" s="8" t="str">
        <f>IFERROR(__xludf.DUMMYFUNCTION("IF('(INGESTA)Datos_consumo_datadis'!A3437&lt;&gt;"""",SPLIT('(INGESTA)Datos_consumo_datadis'!A:A,"",""),"""")"),"ES0031408323131005HX0F")</f>
        <v>ES0031408323131005HX0F</v>
      </c>
      <c r="B3437" s="12">
        <f>IFERROR(__xludf.DUMMYFUNCTION("""COMPUTED_VALUE"""),45009.0)</f>
        <v>45009</v>
      </c>
      <c r="C3437" s="13">
        <f>IFERROR(__xludf.DUMMYFUNCTION("""COMPUTED_VALUE"""),0.16666666666666666)</f>
        <v>0.1666666667</v>
      </c>
      <c r="D3437" s="8">
        <f>IFERROR(__xludf.DUMMYFUNCTION("""COMPUTED_VALUE"""),0.07)</f>
        <v>0.07</v>
      </c>
      <c r="E3437" s="8" t="str">
        <f>IFERROR(__xludf.DUMMYFUNCTION("""COMPUTED_VALUE"""),"Real")</f>
        <v>Real</v>
      </c>
      <c r="G3437" s="8">
        <f t="shared" si="1"/>
        <v>3</v>
      </c>
      <c r="H3437" s="14">
        <f t="shared" si="2"/>
        <v>24</v>
      </c>
      <c r="I3437" s="15">
        <f t="shared" si="3"/>
        <v>4</v>
      </c>
    </row>
    <row r="3438">
      <c r="A3438" s="8" t="str">
        <f>IFERROR(__xludf.DUMMYFUNCTION("IF('(INGESTA)Datos_consumo_datadis'!A3438&lt;&gt;"""",SPLIT('(INGESTA)Datos_consumo_datadis'!A:A,"",""),"""")"),"ES0031408323131005HX0F")</f>
        <v>ES0031408323131005HX0F</v>
      </c>
      <c r="B3438" s="12">
        <f>IFERROR(__xludf.DUMMYFUNCTION("""COMPUTED_VALUE"""),45009.0)</f>
        <v>45009</v>
      </c>
      <c r="C3438" s="13">
        <f>IFERROR(__xludf.DUMMYFUNCTION("""COMPUTED_VALUE"""),0.20833333333333334)</f>
        <v>0.2083333333</v>
      </c>
      <c r="D3438" s="8">
        <f>IFERROR(__xludf.DUMMYFUNCTION("""COMPUTED_VALUE"""),0.316)</f>
        <v>0.316</v>
      </c>
      <c r="E3438" s="8" t="str">
        <f>IFERROR(__xludf.DUMMYFUNCTION("""COMPUTED_VALUE"""),"Real")</f>
        <v>Real</v>
      </c>
      <c r="G3438" s="8">
        <f t="shared" si="1"/>
        <v>3</v>
      </c>
      <c r="H3438" s="14">
        <f t="shared" si="2"/>
        <v>24</v>
      </c>
      <c r="I3438" s="15">
        <f t="shared" si="3"/>
        <v>5</v>
      </c>
    </row>
    <row r="3439">
      <c r="A3439" s="8" t="str">
        <f>IFERROR(__xludf.DUMMYFUNCTION("IF('(INGESTA)Datos_consumo_datadis'!A3439&lt;&gt;"""",SPLIT('(INGESTA)Datos_consumo_datadis'!A:A,"",""),"""")"),"ES0031408323131005HX0F")</f>
        <v>ES0031408323131005HX0F</v>
      </c>
      <c r="B3439" s="12">
        <f>IFERROR(__xludf.DUMMYFUNCTION("""COMPUTED_VALUE"""),45009.0)</f>
        <v>45009</v>
      </c>
      <c r="C3439" s="13">
        <f>IFERROR(__xludf.DUMMYFUNCTION("""COMPUTED_VALUE"""),0.25)</f>
        <v>0.25</v>
      </c>
      <c r="D3439" s="8">
        <f>IFERROR(__xludf.DUMMYFUNCTION("""COMPUTED_VALUE"""),0.02)</f>
        <v>0.02</v>
      </c>
      <c r="E3439" s="8" t="str">
        <f>IFERROR(__xludf.DUMMYFUNCTION("""COMPUTED_VALUE"""),"Real")</f>
        <v>Real</v>
      </c>
      <c r="G3439" s="8">
        <f t="shared" si="1"/>
        <v>3</v>
      </c>
      <c r="H3439" s="14">
        <f t="shared" si="2"/>
        <v>24</v>
      </c>
      <c r="I3439" s="15">
        <f t="shared" si="3"/>
        <v>6</v>
      </c>
    </row>
    <row r="3440">
      <c r="A3440" s="8" t="str">
        <f>IFERROR(__xludf.DUMMYFUNCTION("IF('(INGESTA)Datos_consumo_datadis'!A3440&lt;&gt;"""",SPLIT('(INGESTA)Datos_consumo_datadis'!A:A,"",""),"""")"),"ES0031408323131005HX0F")</f>
        <v>ES0031408323131005HX0F</v>
      </c>
      <c r="B3440" s="12">
        <f>IFERROR(__xludf.DUMMYFUNCTION("""COMPUTED_VALUE"""),45009.0)</f>
        <v>45009</v>
      </c>
      <c r="C3440" s="13">
        <f>IFERROR(__xludf.DUMMYFUNCTION("""COMPUTED_VALUE"""),0.2916666666666667)</f>
        <v>0.2916666667</v>
      </c>
      <c r="D3440" s="8">
        <f>IFERROR(__xludf.DUMMYFUNCTION("""COMPUTED_VALUE"""),0.102)</f>
        <v>0.102</v>
      </c>
      <c r="E3440" s="8" t="str">
        <f>IFERROR(__xludf.DUMMYFUNCTION("""COMPUTED_VALUE"""),"Real")</f>
        <v>Real</v>
      </c>
      <c r="G3440" s="8">
        <f t="shared" si="1"/>
        <v>3</v>
      </c>
      <c r="H3440" s="14">
        <f t="shared" si="2"/>
        <v>24</v>
      </c>
      <c r="I3440" s="15">
        <f t="shared" si="3"/>
        <v>7</v>
      </c>
    </row>
    <row r="3441">
      <c r="A3441" s="8" t="str">
        <f>IFERROR(__xludf.DUMMYFUNCTION("IF('(INGESTA)Datos_consumo_datadis'!A3441&lt;&gt;"""",SPLIT('(INGESTA)Datos_consumo_datadis'!A:A,"",""),"""")"),"ES0031408323131005HX0F")</f>
        <v>ES0031408323131005HX0F</v>
      </c>
      <c r="B3441" s="12">
        <f>IFERROR(__xludf.DUMMYFUNCTION("""COMPUTED_VALUE"""),45009.0)</f>
        <v>45009</v>
      </c>
      <c r="C3441" s="13">
        <f>IFERROR(__xludf.DUMMYFUNCTION("""COMPUTED_VALUE"""),0.3333333333333333)</f>
        <v>0.3333333333</v>
      </c>
      <c r="D3441" s="8">
        <f>IFERROR(__xludf.DUMMYFUNCTION("""COMPUTED_VALUE"""),0.6)</f>
        <v>0.6</v>
      </c>
      <c r="E3441" s="8" t="str">
        <f>IFERROR(__xludf.DUMMYFUNCTION("""COMPUTED_VALUE"""),"Real")</f>
        <v>Real</v>
      </c>
      <c r="G3441" s="8">
        <f t="shared" si="1"/>
        <v>3</v>
      </c>
      <c r="H3441" s="14">
        <f t="shared" si="2"/>
        <v>24</v>
      </c>
      <c r="I3441" s="15">
        <f t="shared" si="3"/>
        <v>8</v>
      </c>
    </row>
    <row r="3442">
      <c r="A3442" s="8" t="str">
        <f>IFERROR(__xludf.DUMMYFUNCTION("IF('(INGESTA)Datos_consumo_datadis'!A3442&lt;&gt;"""",SPLIT('(INGESTA)Datos_consumo_datadis'!A:A,"",""),"""")"),"ES0031408323131005HX0F")</f>
        <v>ES0031408323131005HX0F</v>
      </c>
      <c r="B3442" s="12">
        <f>IFERROR(__xludf.DUMMYFUNCTION("""COMPUTED_VALUE"""),45009.0)</f>
        <v>45009</v>
      </c>
      <c r="C3442" s="13">
        <f>IFERROR(__xludf.DUMMYFUNCTION("""COMPUTED_VALUE"""),0.375)</f>
        <v>0.375</v>
      </c>
      <c r="D3442" s="8">
        <f>IFERROR(__xludf.DUMMYFUNCTION("""COMPUTED_VALUE"""),0.105)</f>
        <v>0.105</v>
      </c>
      <c r="E3442" s="8" t="str">
        <f>IFERROR(__xludf.DUMMYFUNCTION("""COMPUTED_VALUE"""),"Real")</f>
        <v>Real</v>
      </c>
      <c r="G3442" s="8">
        <f t="shared" si="1"/>
        <v>3</v>
      </c>
      <c r="H3442" s="14">
        <f t="shared" si="2"/>
        <v>24</v>
      </c>
      <c r="I3442" s="15">
        <f t="shared" si="3"/>
        <v>9</v>
      </c>
    </row>
    <row r="3443">
      <c r="A3443" s="8" t="str">
        <f>IFERROR(__xludf.DUMMYFUNCTION("IF('(INGESTA)Datos_consumo_datadis'!A3443&lt;&gt;"""",SPLIT('(INGESTA)Datos_consumo_datadis'!A:A,"",""),"""")"),"ES0031408323131005HX0F")</f>
        <v>ES0031408323131005HX0F</v>
      </c>
      <c r="B3443" s="12">
        <f>IFERROR(__xludf.DUMMYFUNCTION("""COMPUTED_VALUE"""),45009.0)</f>
        <v>45009</v>
      </c>
      <c r="C3443" s="13">
        <f>IFERROR(__xludf.DUMMYFUNCTION("""COMPUTED_VALUE"""),0.4166666666666667)</f>
        <v>0.4166666667</v>
      </c>
      <c r="D3443" s="8">
        <f>IFERROR(__xludf.DUMMYFUNCTION("""COMPUTED_VALUE"""),0.033)</f>
        <v>0.033</v>
      </c>
      <c r="E3443" s="8" t="str">
        <f>IFERROR(__xludf.DUMMYFUNCTION("""COMPUTED_VALUE"""),"Real")</f>
        <v>Real</v>
      </c>
      <c r="G3443" s="8">
        <f t="shared" si="1"/>
        <v>3</v>
      </c>
      <c r="H3443" s="14">
        <f t="shared" si="2"/>
        <v>24</v>
      </c>
      <c r="I3443" s="15">
        <f t="shared" si="3"/>
        <v>10</v>
      </c>
    </row>
    <row r="3444">
      <c r="A3444" s="8" t="str">
        <f>IFERROR(__xludf.DUMMYFUNCTION("IF('(INGESTA)Datos_consumo_datadis'!A3444&lt;&gt;"""",SPLIT('(INGESTA)Datos_consumo_datadis'!A:A,"",""),"""")"),"ES0031408323131005HX0F")</f>
        <v>ES0031408323131005HX0F</v>
      </c>
      <c r="B3444" s="12">
        <f>IFERROR(__xludf.DUMMYFUNCTION("""COMPUTED_VALUE"""),45009.0)</f>
        <v>45009</v>
      </c>
      <c r="C3444" s="13">
        <f>IFERROR(__xludf.DUMMYFUNCTION("""COMPUTED_VALUE"""),0.4583333333333333)</f>
        <v>0.4583333333</v>
      </c>
      <c r="D3444" s="8">
        <f>IFERROR(__xludf.DUMMYFUNCTION("""COMPUTED_VALUE"""),0.117)</f>
        <v>0.117</v>
      </c>
      <c r="E3444" s="8" t="str">
        <f>IFERROR(__xludf.DUMMYFUNCTION("""COMPUTED_VALUE"""),"Real")</f>
        <v>Real</v>
      </c>
      <c r="G3444" s="8">
        <f t="shared" si="1"/>
        <v>3</v>
      </c>
      <c r="H3444" s="14">
        <f t="shared" si="2"/>
        <v>24</v>
      </c>
      <c r="I3444" s="15">
        <f t="shared" si="3"/>
        <v>11</v>
      </c>
    </row>
    <row r="3445">
      <c r="A3445" s="8" t="str">
        <f>IFERROR(__xludf.DUMMYFUNCTION("IF('(INGESTA)Datos_consumo_datadis'!A3445&lt;&gt;"""",SPLIT('(INGESTA)Datos_consumo_datadis'!A:A,"",""),"""")"),"ES0031408323131005HX0F")</f>
        <v>ES0031408323131005HX0F</v>
      </c>
      <c r="B3445" s="12">
        <f>IFERROR(__xludf.DUMMYFUNCTION("""COMPUTED_VALUE"""),45009.0)</f>
        <v>45009</v>
      </c>
      <c r="C3445" s="13">
        <f>IFERROR(__xludf.DUMMYFUNCTION("""COMPUTED_VALUE"""),0.5)</f>
        <v>0.5</v>
      </c>
      <c r="D3445" s="8">
        <f>IFERROR(__xludf.DUMMYFUNCTION("""COMPUTED_VALUE"""),0.065)</f>
        <v>0.065</v>
      </c>
      <c r="E3445" s="8" t="str">
        <f>IFERROR(__xludf.DUMMYFUNCTION("""COMPUTED_VALUE"""),"Real")</f>
        <v>Real</v>
      </c>
      <c r="G3445" s="8">
        <f t="shared" si="1"/>
        <v>3</v>
      </c>
      <c r="H3445" s="14">
        <f t="shared" si="2"/>
        <v>24</v>
      </c>
      <c r="I3445" s="15">
        <f t="shared" si="3"/>
        <v>12</v>
      </c>
    </row>
    <row r="3446">
      <c r="A3446" s="8" t="str">
        <f>IFERROR(__xludf.DUMMYFUNCTION("IF('(INGESTA)Datos_consumo_datadis'!A3446&lt;&gt;"""",SPLIT('(INGESTA)Datos_consumo_datadis'!A:A,"",""),"""")"),"ES0031408323131005HX0F")</f>
        <v>ES0031408323131005HX0F</v>
      </c>
      <c r="B3446" s="12">
        <f>IFERROR(__xludf.DUMMYFUNCTION("""COMPUTED_VALUE"""),45009.0)</f>
        <v>45009</v>
      </c>
      <c r="C3446" s="13">
        <f>IFERROR(__xludf.DUMMYFUNCTION("""COMPUTED_VALUE"""),0.5416666666666666)</f>
        <v>0.5416666667</v>
      </c>
      <c r="D3446" s="8">
        <f>IFERROR(__xludf.DUMMYFUNCTION("""COMPUTED_VALUE"""),0.284)</f>
        <v>0.284</v>
      </c>
      <c r="E3446" s="8" t="str">
        <f>IFERROR(__xludf.DUMMYFUNCTION("""COMPUTED_VALUE"""),"Real")</f>
        <v>Real</v>
      </c>
      <c r="G3446" s="8">
        <f t="shared" si="1"/>
        <v>3</v>
      </c>
      <c r="H3446" s="14">
        <f t="shared" si="2"/>
        <v>24</v>
      </c>
      <c r="I3446" s="15">
        <f t="shared" si="3"/>
        <v>13</v>
      </c>
    </row>
    <row r="3447">
      <c r="A3447" s="8" t="str">
        <f>IFERROR(__xludf.DUMMYFUNCTION("IF('(INGESTA)Datos_consumo_datadis'!A3447&lt;&gt;"""",SPLIT('(INGESTA)Datos_consumo_datadis'!A:A,"",""),"""")"),"ES0031408323131005HX0F")</f>
        <v>ES0031408323131005HX0F</v>
      </c>
      <c r="B3447" s="12">
        <f>IFERROR(__xludf.DUMMYFUNCTION("""COMPUTED_VALUE"""),45009.0)</f>
        <v>45009</v>
      </c>
      <c r="C3447" s="13">
        <f>IFERROR(__xludf.DUMMYFUNCTION("""COMPUTED_VALUE"""),0.5833333333333334)</f>
        <v>0.5833333333</v>
      </c>
      <c r="D3447" s="8">
        <f>IFERROR(__xludf.DUMMYFUNCTION("""COMPUTED_VALUE"""),0.032)</f>
        <v>0.032</v>
      </c>
      <c r="E3447" s="8" t="str">
        <f>IFERROR(__xludf.DUMMYFUNCTION("""COMPUTED_VALUE"""),"Real")</f>
        <v>Real</v>
      </c>
      <c r="G3447" s="8">
        <f t="shared" si="1"/>
        <v>3</v>
      </c>
      <c r="H3447" s="14">
        <f t="shared" si="2"/>
        <v>24</v>
      </c>
      <c r="I3447" s="15">
        <f t="shared" si="3"/>
        <v>14</v>
      </c>
    </row>
    <row r="3448">
      <c r="A3448" s="8" t="str">
        <f>IFERROR(__xludf.DUMMYFUNCTION("IF('(INGESTA)Datos_consumo_datadis'!A3448&lt;&gt;"""",SPLIT('(INGESTA)Datos_consumo_datadis'!A:A,"",""),"""")"),"ES0031408323131005HX0F")</f>
        <v>ES0031408323131005HX0F</v>
      </c>
      <c r="B3448" s="12">
        <f>IFERROR(__xludf.DUMMYFUNCTION("""COMPUTED_VALUE"""),45009.0)</f>
        <v>45009</v>
      </c>
      <c r="C3448" s="13">
        <f>IFERROR(__xludf.DUMMYFUNCTION("""COMPUTED_VALUE"""),0.625)</f>
        <v>0.625</v>
      </c>
      <c r="D3448" s="8">
        <f>IFERROR(__xludf.DUMMYFUNCTION("""COMPUTED_VALUE"""),0.094)</f>
        <v>0.094</v>
      </c>
      <c r="E3448" s="8" t="str">
        <f>IFERROR(__xludf.DUMMYFUNCTION("""COMPUTED_VALUE"""),"Real")</f>
        <v>Real</v>
      </c>
      <c r="G3448" s="8">
        <f t="shared" si="1"/>
        <v>3</v>
      </c>
      <c r="H3448" s="14">
        <f t="shared" si="2"/>
        <v>24</v>
      </c>
      <c r="I3448" s="15">
        <f t="shared" si="3"/>
        <v>15</v>
      </c>
    </row>
    <row r="3449">
      <c r="A3449" s="8" t="str">
        <f>IFERROR(__xludf.DUMMYFUNCTION("IF('(INGESTA)Datos_consumo_datadis'!A3449&lt;&gt;"""",SPLIT('(INGESTA)Datos_consumo_datadis'!A:A,"",""),"""")"),"ES0031408323131005HX0F")</f>
        <v>ES0031408323131005HX0F</v>
      </c>
      <c r="B3449" s="12">
        <f>IFERROR(__xludf.DUMMYFUNCTION("""COMPUTED_VALUE"""),45009.0)</f>
        <v>45009</v>
      </c>
      <c r="C3449" s="13">
        <f>IFERROR(__xludf.DUMMYFUNCTION("""COMPUTED_VALUE"""),0.6666666666666666)</f>
        <v>0.6666666667</v>
      </c>
      <c r="D3449" s="8">
        <f>IFERROR(__xludf.DUMMYFUNCTION("""COMPUTED_VALUE"""),0.051)</f>
        <v>0.051</v>
      </c>
      <c r="E3449" s="8" t="str">
        <f>IFERROR(__xludf.DUMMYFUNCTION("""COMPUTED_VALUE"""),"Real")</f>
        <v>Real</v>
      </c>
      <c r="G3449" s="8">
        <f t="shared" si="1"/>
        <v>3</v>
      </c>
      <c r="H3449" s="14">
        <f t="shared" si="2"/>
        <v>24</v>
      </c>
      <c r="I3449" s="15">
        <f t="shared" si="3"/>
        <v>16</v>
      </c>
    </row>
    <row r="3450">
      <c r="A3450" s="8" t="str">
        <f>IFERROR(__xludf.DUMMYFUNCTION("IF('(INGESTA)Datos_consumo_datadis'!A3450&lt;&gt;"""",SPLIT('(INGESTA)Datos_consumo_datadis'!A:A,"",""),"""")"),"ES0031408323131005HX0F")</f>
        <v>ES0031408323131005HX0F</v>
      </c>
      <c r="B3450" s="12">
        <f>IFERROR(__xludf.DUMMYFUNCTION("""COMPUTED_VALUE"""),45009.0)</f>
        <v>45009</v>
      </c>
      <c r="C3450" s="13">
        <f>IFERROR(__xludf.DUMMYFUNCTION("""COMPUTED_VALUE"""),0.7083333333333334)</f>
        <v>0.7083333333</v>
      </c>
      <c r="D3450" s="8">
        <f>IFERROR(__xludf.DUMMYFUNCTION("""COMPUTED_VALUE"""),0.018)</f>
        <v>0.018</v>
      </c>
      <c r="E3450" s="8" t="str">
        <f>IFERROR(__xludf.DUMMYFUNCTION("""COMPUTED_VALUE"""),"Real")</f>
        <v>Real</v>
      </c>
      <c r="G3450" s="8">
        <f t="shared" si="1"/>
        <v>3</v>
      </c>
      <c r="H3450" s="14">
        <f t="shared" si="2"/>
        <v>24</v>
      </c>
      <c r="I3450" s="15">
        <f t="shared" si="3"/>
        <v>17</v>
      </c>
    </row>
    <row r="3451">
      <c r="A3451" s="8" t="str">
        <f>IFERROR(__xludf.DUMMYFUNCTION("IF('(INGESTA)Datos_consumo_datadis'!A3451&lt;&gt;"""",SPLIT('(INGESTA)Datos_consumo_datadis'!A:A,"",""),"""")"),"ES0031408323131005HX0F")</f>
        <v>ES0031408323131005HX0F</v>
      </c>
      <c r="B3451" s="12">
        <f>IFERROR(__xludf.DUMMYFUNCTION("""COMPUTED_VALUE"""),45009.0)</f>
        <v>45009</v>
      </c>
      <c r="C3451" s="13">
        <f>IFERROR(__xludf.DUMMYFUNCTION("""COMPUTED_VALUE"""),0.75)</f>
        <v>0.75</v>
      </c>
      <c r="D3451" s="8">
        <f>IFERROR(__xludf.DUMMYFUNCTION("""COMPUTED_VALUE"""),0.074)</f>
        <v>0.074</v>
      </c>
      <c r="E3451" s="8" t="str">
        <f>IFERROR(__xludf.DUMMYFUNCTION("""COMPUTED_VALUE"""),"Real")</f>
        <v>Real</v>
      </c>
      <c r="G3451" s="8">
        <f t="shared" si="1"/>
        <v>3</v>
      </c>
      <c r="H3451" s="14">
        <f t="shared" si="2"/>
        <v>24</v>
      </c>
      <c r="I3451" s="15">
        <f t="shared" si="3"/>
        <v>18</v>
      </c>
    </row>
    <row r="3452">
      <c r="A3452" s="8" t="str">
        <f>IFERROR(__xludf.DUMMYFUNCTION("IF('(INGESTA)Datos_consumo_datadis'!A3452&lt;&gt;"""",SPLIT('(INGESTA)Datos_consumo_datadis'!A:A,"",""),"""")"),"ES0031408323131005HX0F")</f>
        <v>ES0031408323131005HX0F</v>
      </c>
      <c r="B3452" s="12">
        <f>IFERROR(__xludf.DUMMYFUNCTION("""COMPUTED_VALUE"""),45009.0)</f>
        <v>45009</v>
      </c>
      <c r="C3452" s="13">
        <f>IFERROR(__xludf.DUMMYFUNCTION("""COMPUTED_VALUE"""),0.7916666666666666)</f>
        <v>0.7916666667</v>
      </c>
      <c r="D3452" s="8">
        <f>IFERROR(__xludf.DUMMYFUNCTION("""COMPUTED_VALUE"""),0.333)</f>
        <v>0.333</v>
      </c>
      <c r="E3452" s="8" t="str">
        <f>IFERROR(__xludf.DUMMYFUNCTION("""COMPUTED_VALUE"""),"Real")</f>
        <v>Real</v>
      </c>
      <c r="G3452" s="8">
        <f t="shared" si="1"/>
        <v>3</v>
      </c>
      <c r="H3452" s="14">
        <f t="shared" si="2"/>
        <v>24</v>
      </c>
      <c r="I3452" s="15">
        <f t="shared" si="3"/>
        <v>19</v>
      </c>
    </row>
    <row r="3453">
      <c r="A3453" s="8" t="str">
        <f>IFERROR(__xludf.DUMMYFUNCTION("IF('(INGESTA)Datos_consumo_datadis'!A3453&lt;&gt;"""",SPLIT('(INGESTA)Datos_consumo_datadis'!A:A,"",""),"""")"),"ES0031408323131005HX0F")</f>
        <v>ES0031408323131005HX0F</v>
      </c>
      <c r="B3453" s="12">
        <f>IFERROR(__xludf.DUMMYFUNCTION("""COMPUTED_VALUE"""),45009.0)</f>
        <v>45009</v>
      </c>
      <c r="C3453" s="13">
        <f>IFERROR(__xludf.DUMMYFUNCTION("""COMPUTED_VALUE"""),0.8333333333333334)</f>
        <v>0.8333333333</v>
      </c>
      <c r="D3453" s="8">
        <f>IFERROR(__xludf.DUMMYFUNCTION("""COMPUTED_VALUE"""),0.171)</f>
        <v>0.171</v>
      </c>
      <c r="E3453" s="8" t="str">
        <f>IFERROR(__xludf.DUMMYFUNCTION("""COMPUTED_VALUE"""),"Real")</f>
        <v>Real</v>
      </c>
      <c r="G3453" s="8">
        <f t="shared" si="1"/>
        <v>3</v>
      </c>
      <c r="H3453" s="14">
        <f t="shared" si="2"/>
        <v>24</v>
      </c>
      <c r="I3453" s="15">
        <f t="shared" si="3"/>
        <v>20</v>
      </c>
    </row>
    <row r="3454">
      <c r="A3454" s="8" t="str">
        <f>IFERROR(__xludf.DUMMYFUNCTION("IF('(INGESTA)Datos_consumo_datadis'!A3454&lt;&gt;"""",SPLIT('(INGESTA)Datos_consumo_datadis'!A:A,"",""),"""")"),"ES0031408323131005HX0F")</f>
        <v>ES0031408323131005HX0F</v>
      </c>
      <c r="B3454" s="12">
        <f>IFERROR(__xludf.DUMMYFUNCTION("""COMPUTED_VALUE"""),45009.0)</f>
        <v>45009</v>
      </c>
      <c r="C3454" s="13">
        <f>IFERROR(__xludf.DUMMYFUNCTION("""COMPUTED_VALUE"""),0.875)</f>
        <v>0.875</v>
      </c>
      <c r="D3454" s="8">
        <f>IFERROR(__xludf.DUMMYFUNCTION("""COMPUTED_VALUE"""),0.197)</f>
        <v>0.197</v>
      </c>
      <c r="E3454" s="8" t="str">
        <f>IFERROR(__xludf.DUMMYFUNCTION("""COMPUTED_VALUE"""),"Real")</f>
        <v>Real</v>
      </c>
      <c r="G3454" s="8">
        <f t="shared" si="1"/>
        <v>3</v>
      </c>
      <c r="H3454" s="14">
        <f t="shared" si="2"/>
        <v>24</v>
      </c>
      <c r="I3454" s="15">
        <f t="shared" si="3"/>
        <v>21</v>
      </c>
    </row>
    <row r="3455">
      <c r="A3455" s="8" t="str">
        <f>IFERROR(__xludf.DUMMYFUNCTION("IF('(INGESTA)Datos_consumo_datadis'!A3455&lt;&gt;"""",SPLIT('(INGESTA)Datos_consumo_datadis'!A:A,"",""),"""")"),"ES0031408323131005HX0F")</f>
        <v>ES0031408323131005HX0F</v>
      </c>
      <c r="B3455" s="12">
        <f>IFERROR(__xludf.DUMMYFUNCTION("""COMPUTED_VALUE"""),45009.0)</f>
        <v>45009</v>
      </c>
      <c r="C3455" s="13">
        <f>IFERROR(__xludf.DUMMYFUNCTION("""COMPUTED_VALUE"""),0.9166666666666666)</f>
        <v>0.9166666667</v>
      </c>
      <c r="D3455" s="8">
        <f>IFERROR(__xludf.DUMMYFUNCTION("""COMPUTED_VALUE"""),0.848)</f>
        <v>0.848</v>
      </c>
      <c r="E3455" s="8" t="str">
        <f>IFERROR(__xludf.DUMMYFUNCTION("""COMPUTED_VALUE"""),"Real")</f>
        <v>Real</v>
      </c>
      <c r="G3455" s="8">
        <f t="shared" si="1"/>
        <v>3</v>
      </c>
      <c r="H3455" s="14">
        <f t="shared" si="2"/>
        <v>24</v>
      </c>
      <c r="I3455" s="15">
        <f t="shared" si="3"/>
        <v>22</v>
      </c>
    </row>
    <row r="3456">
      <c r="A3456" s="8" t="str">
        <f>IFERROR(__xludf.DUMMYFUNCTION("IF('(INGESTA)Datos_consumo_datadis'!A3456&lt;&gt;"""",SPLIT('(INGESTA)Datos_consumo_datadis'!A:A,"",""),"""")"),"ES0031408323131005HX0F")</f>
        <v>ES0031408323131005HX0F</v>
      </c>
      <c r="B3456" s="12">
        <f>IFERROR(__xludf.DUMMYFUNCTION("""COMPUTED_VALUE"""),45009.0)</f>
        <v>45009</v>
      </c>
      <c r="C3456" s="13">
        <f>IFERROR(__xludf.DUMMYFUNCTION("""COMPUTED_VALUE"""),0.9583333333333334)</f>
        <v>0.9583333333</v>
      </c>
      <c r="D3456" s="8">
        <f>IFERROR(__xludf.DUMMYFUNCTION("""COMPUTED_VALUE"""),1.256)</f>
        <v>1.256</v>
      </c>
      <c r="E3456" s="8" t="str">
        <f>IFERROR(__xludf.DUMMYFUNCTION("""COMPUTED_VALUE"""),"Real")</f>
        <v>Real</v>
      </c>
      <c r="G3456" s="8">
        <f t="shared" si="1"/>
        <v>3</v>
      </c>
      <c r="H3456" s="14">
        <f t="shared" si="2"/>
        <v>24</v>
      </c>
      <c r="I3456" s="15">
        <f t="shared" si="3"/>
        <v>23</v>
      </c>
    </row>
    <row r="3457">
      <c r="A3457" s="8" t="str">
        <f>IFERROR(__xludf.DUMMYFUNCTION("IF('(INGESTA)Datos_consumo_datadis'!A3457&lt;&gt;"""",SPLIT('(INGESTA)Datos_consumo_datadis'!A:A,"",""),"""")"),"ES0031408323131005HX0F")</f>
        <v>ES0031408323131005HX0F</v>
      </c>
      <c r="B3457" s="12">
        <f>IFERROR(__xludf.DUMMYFUNCTION("""COMPUTED_VALUE"""),45009.0)</f>
        <v>45009</v>
      </c>
      <c r="C3457" s="16">
        <f>IFERROR(__xludf.DUMMYFUNCTION("""COMPUTED_VALUE"""),1.0)</f>
        <v>1</v>
      </c>
      <c r="D3457" s="8">
        <f>IFERROR(__xludf.DUMMYFUNCTION("""COMPUTED_VALUE"""),2.521)</f>
        <v>2.521</v>
      </c>
      <c r="E3457" s="8" t="str">
        <f>IFERROR(__xludf.DUMMYFUNCTION("""COMPUTED_VALUE"""),"Real")</f>
        <v>Real</v>
      </c>
      <c r="G3457" s="8">
        <f t="shared" si="1"/>
        <v>3</v>
      </c>
      <c r="H3457" s="14">
        <f t="shared" si="2"/>
        <v>24</v>
      </c>
      <c r="I3457" s="15">
        <f t="shared" si="3"/>
        <v>0</v>
      </c>
    </row>
    <row r="3458">
      <c r="A3458" s="8" t="str">
        <f>IFERROR(__xludf.DUMMYFUNCTION("IF('(INGESTA)Datos_consumo_datadis'!A3458&lt;&gt;"""",SPLIT('(INGESTA)Datos_consumo_datadis'!A:A,"",""),"""")"),"ES0031408323131005HX0F")</f>
        <v>ES0031408323131005HX0F</v>
      </c>
      <c r="B3458" s="12">
        <f>IFERROR(__xludf.DUMMYFUNCTION("""COMPUTED_VALUE"""),45010.0)</f>
        <v>45010</v>
      </c>
      <c r="C3458" s="13">
        <f>IFERROR(__xludf.DUMMYFUNCTION("""COMPUTED_VALUE"""),0.041666666666666664)</f>
        <v>0.04166666667</v>
      </c>
      <c r="D3458" s="8">
        <f>IFERROR(__xludf.DUMMYFUNCTION("""COMPUTED_VALUE"""),1.065)</f>
        <v>1.065</v>
      </c>
      <c r="E3458" s="8" t="str">
        <f>IFERROR(__xludf.DUMMYFUNCTION("""COMPUTED_VALUE"""),"Real")</f>
        <v>Real</v>
      </c>
      <c r="G3458" s="8">
        <f t="shared" si="1"/>
        <v>3</v>
      </c>
      <c r="H3458" s="14">
        <f t="shared" si="2"/>
        <v>25</v>
      </c>
      <c r="I3458" s="15">
        <f t="shared" si="3"/>
        <v>1</v>
      </c>
    </row>
    <row r="3459">
      <c r="A3459" s="8" t="str">
        <f>IFERROR(__xludf.DUMMYFUNCTION("IF('(INGESTA)Datos_consumo_datadis'!A3459&lt;&gt;"""",SPLIT('(INGESTA)Datos_consumo_datadis'!A:A,"",""),"""")"),"ES0031408323131005HX0F")</f>
        <v>ES0031408323131005HX0F</v>
      </c>
      <c r="B3459" s="12">
        <f>IFERROR(__xludf.DUMMYFUNCTION("""COMPUTED_VALUE"""),45010.0)</f>
        <v>45010</v>
      </c>
      <c r="C3459" s="13">
        <f>IFERROR(__xludf.DUMMYFUNCTION("""COMPUTED_VALUE"""),0.08333333333333333)</f>
        <v>0.08333333333</v>
      </c>
      <c r="D3459" s="8">
        <f>IFERROR(__xludf.DUMMYFUNCTION("""COMPUTED_VALUE"""),0.073)</f>
        <v>0.073</v>
      </c>
      <c r="E3459" s="8" t="str">
        <f>IFERROR(__xludf.DUMMYFUNCTION("""COMPUTED_VALUE"""),"Real")</f>
        <v>Real</v>
      </c>
      <c r="G3459" s="8">
        <f t="shared" si="1"/>
        <v>3</v>
      </c>
      <c r="H3459" s="14">
        <f t="shared" si="2"/>
        <v>25</v>
      </c>
      <c r="I3459" s="15">
        <f t="shared" si="3"/>
        <v>2</v>
      </c>
    </row>
    <row r="3460">
      <c r="A3460" s="8" t="str">
        <f>IFERROR(__xludf.DUMMYFUNCTION("IF('(INGESTA)Datos_consumo_datadis'!A3460&lt;&gt;"""",SPLIT('(INGESTA)Datos_consumo_datadis'!A:A,"",""),"""")"),"ES0031408323131005HX0F")</f>
        <v>ES0031408323131005HX0F</v>
      </c>
      <c r="B3460" s="12">
        <f>IFERROR(__xludf.DUMMYFUNCTION("""COMPUTED_VALUE"""),45010.0)</f>
        <v>45010</v>
      </c>
      <c r="C3460" s="13">
        <f>IFERROR(__xludf.DUMMYFUNCTION("""COMPUTED_VALUE"""),0.125)</f>
        <v>0.125</v>
      </c>
      <c r="D3460" s="8">
        <f>IFERROR(__xludf.DUMMYFUNCTION("""COMPUTED_VALUE"""),0.094)</f>
        <v>0.094</v>
      </c>
      <c r="E3460" s="8" t="str">
        <f>IFERROR(__xludf.DUMMYFUNCTION("""COMPUTED_VALUE"""),"Real")</f>
        <v>Real</v>
      </c>
      <c r="G3460" s="8">
        <f t="shared" si="1"/>
        <v>3</v>
      </c>
      <c r="H3460" s="14">
        <f t="shared" si="2"/>
        <v>25</v>
      </c>
      <c r="I3460" s="15">
        <f t="shared" si="3"/>
        <v>3</v>
      </c>
    </row>
    <row r="3461">
      <c r="A3461" s="8" t="str">
        <f>IFERROR(__xludf.DUMMYFUNCTION("IF('(INGESTA)Datos_consumo_datadis'!A3461&lt;&gt;"""",SPLIT('(INGESTA)Datos_consumo_datadis'!A:A,"",""),"""")"),"ES0031408323131005HX0F")</f>
        <v>ES0031408323131005HX0F</v>
      </c>
      <c r="B3461" s="12">
        <f>IFERROR(__xludf.DUMMYFUNCTION("""COMPUTED_VALUE"""),45010.0)</f>
        <v>45010</v>
      </c>
      <c r="C3461" s="13">
        <f>IFERROR(__xludf.DUMMYFUNCTION("""COMPUTED_VALUE"""),0.16666666666666666)</f>
        <v>0.1666666667</v>
      </c>
      <c r="D3461" s="8">
        <f>IFERROR(__xludf.DUMMYFUNCTION("""COMPUTED_VALUE"""),0.082)</f>
        <v>0.082</v>
      </c>
      <c r="E3461" s="8" t="str">
        <f>IFERROR(__xludf.DUMMYFUNCTION("""COMPUTED_VALUE"""),"Real")</f>
        <v>Real</v>
      </c>
      <c r="G3461" s="8">
        <f t="shared" si="1"/>
        <v>3</v>
      </c>
      <c r="H3461" s="14">
        <f t="shared" si="2"/>
        <v>25</v>
      </c>
      <c r="I3461" s="15">
        <f t="shared" si="3"/>
        <v>4</v>
      </c>
    </row>
    <row r="3462">
      <c r="A3462" s="8" t="str">
        <f>IFERROR(__xludf.DUMMYFUNCTION("IF('(INGESTA)Datos_consumo_datadis'!A3462&lt;&gt;"""",SPLIT('(INGESTA)Datos_consumo_datadis'!A:A,"",""),"""")"),"ES0031408323131005HX0F")</f>
        <v>ES0031408323131005HX0F</v>
      </c>
      <c r="B3462" s="12">
        <f>IFERROR(__xludf.DUMMYFUNCTION("""COMPUTED_VALUE"""),45010.0)</f>
        <v>45010</v>
      </c>
      <c r="C3462" s="13">
        <f>IFERROR(__xludf.DUMMYFUNCTION("""COMPUTED_VALUE"""),0.20833333333333334)</f>
        <v>0.2083333333</v>
      </c>
      <c r="D3462" s="8">
        <f>IFERROR(__xludf.DUMMYFUNCTION("""COMPUTED_VALUE"""),0.276)</f>
        <v>0.276</v>
      </c>
      <c r="E3462" s="8" t="str">
        <f>IFERROR(__xludf.DUMMYFUNCTION("""COMPUTED_VALUE"""),"Real")</f>
        <v>Real</v>
      </c>
      <c r="G3462" s="8">
        <f t="shared" si="1"/>
        <v>3</v>
      </c>
      <c r="H3462" s="14">
        <f t="shared" si="2"/>
        <v>25</v>
      </c>
      <c r="I3462" s="15">
        <f t="shared" si="3"/>
        <v>5</v>
      </c>
    </row>
    <row r="3463">
      <c r="A3463" s="8" t="str">
        <f>IFERROR(__xludf.DUMMYFUNCTION("IF('(INGESTA)Datos_consumo_datadis'!A3463&lt;&gt;"""",SPLIT('(INGESTA)Datos_consumo_datadis'!A:A,"",""),"""")"),"ES0031408323131005HX0F")</f>
        <v>ES0031408323131005HX0F</v>
      </c>
      <c r="B3463" s="12">
        <f>IFERROR(__xludf.DUMMYFUNCTION("""COMPUTED_VALUE"""),45010.0)</f>
        <v>45010</v>
      </c>
      <c r="C3463" s="13">
        <f>IFERROR(__xludf.DUMMYFUNCTION("""COMPUTED_VALUE"""),0.25)</f>
        <v>0.25</v>
      </c>
      <c r="D3463" s="8">
        <f>IFERROR(__xludf.DUMMYFUNCTION("""COMPUTED_VALUE"""),0.029)</f>
        <v>0.029</v>
      </c>
      <c r="E3463" s="8" t="str">
        <f>IFERROR(__xludf.DUMMYFUNCTION("""COMPUTED_VALUE"""),"Real")</f>
        <v>Real</v>
      </c>
      <c r="G3463" s="8">
        <f t="shared" si="1"/>
        <v>3</v>
      </c>
      <c r="H3463" s="14">
        <f t="shared" si="2"/>
        <v>25</v>
      </c>
      <c r="I3463" s="15">
        <f t="shared" si="3"/>
        <v>6</v>
      </c>
    </row>
    <row r="3464">
      <c r="A3464" s="8" t="str">
        <f>IFERROR(__xludf.DUMMYFUNCTION("IF('(INGESTA)Datos_consumo_datadis'!A3464&lt;&gt;"""",SPLIT('(INGESTA)Datos_consumo_datadis'!A:A,"",""),"""")"),"ES0031408323131005HX0F")</f>
        <v>ES0031408323131005HX0F</v>
      </c>
      <c r="B3464" s="12">
        <f>IFERROR(__xludf.DUMMYFUNCTION("""COMPUTED_VALUE"""),45010.0)</f>
        <v>45010</v>
      </c>
      <c r="C3464" s="13">
        <f>IFERROR(__xludf.DUMMYFUNCTION("""COMPUTED_VALUE"""),0.2916666666666667)</f>
        <v>0.2916666667</v>
      </c>
      <c r="D3464" s="8">
        <f>IFERROR(__xludf.DUMMYFUNCTION("""COMPUTED_VALUE"""),0.153)</f>
        <v>0.153</v>
      </c>
      <c r="E3464" s="8" t="str">
        <f>IFERROR(__xludf.DUMMYFUNCTION("""COMPUTED_VALUE"""),"Real")</f>
        <v>Real</v>
      </c>
      <c r="G3464" s="8">
        <f t="shared" si="1"/>
        <v>3</v>
      </c>
      <c r="H3464" s="14">
        <f t="shared" si="2"/>
        <v>25</v>
      </c>
      <c r="I3464" s="15">
        <f t="shared" si="3"/>
        <v>7</v>
      </c>
    </row>
    <row r="3465">
      <c r="A3465" s="8" t="str">
        <f>IFERROR(__xludf.DUMMYFUNCTION("IF('(INGESTA)Datos_consumo_datadis'!A3465&lt;&gt;"""",SPLIT('(INGESTA)Datos_consumo_datadis'!A:A,"",""),"""")"),"ES0031408323131005HX0F")</f>
        <v>ES0031408323131005HX0F</v>
      </c>
      <c r="B3465" s="12">
        <f>IFERROR(__xludf.DUMMYFUNCTION("""COMPUTED_VALUE"""),45010.0)</f>
        <v>45010</v>
      </c>
      <c r="C3465" s="13">
        <f>IFERROR(__xludf.DUMMYFUNCTION("""COMPUTED_VALUE"""),0.3333333333333333)</f>
        <v>0.3333333333</v>
      </c>
      <c r="D3465" s="8">
        <f>IFERROR(__xludf.DUMMYFUNCTION("""COMPUTED_VALUE"""),0.919)</f>
        <v>0.919</v>
      </c>
      <c r="E3465" s="8" t="str">
        <f>IFERROR(__xludf.DUMMYFUNCTION("""COMPUTED_VALUE"""),"Real")</f>
        <v>Real</v>
      </c>
      <c r="G3465" s="8">
        <f t="shared" si="1"/>
        <v>3</v>
      </c>
      <c r="H3465" s="14">
        <f t="shared" si="2"/>
        <v>25</v>
      </c>
      <c r="I3465" s="15">
        <f t="shared" si="3"/>
        <v>8</v>
      </c>
    </row>
    <row r="3466">
      <c r="A3466" s="8" t="str">
        <f>IFERROR(__xludf.DUMMYFUNCTION("IF('(INGESTA)Datos_consumo_datadis'!A3466&lt;&gt;"""",SPLIT('(INGESTA)Datos_consumo_datadis'!A:A,"",""),"""")"),"ES0031408323131005HX0F")</f>
        <v>ES0031408323131005HX0F</v>
      </c>
      <c r="B3466" s="12">
        <f>IFERROR(__xludf.DUMMYFUNCTION("""COMPUTED_VALUE"""),45010.0)</f>
        <v>45010</v>
      </c>
      <c r="C3466" s="13">
        <f>IFERROR(__xludf.DUMMYFUNCTION("""COMPUTED_VALUE"""),0.375)</f>
        <v>0.375</v>
      </c>
      <c r="D3466" s="8">
        <f>IFERROR(__xludf.DUMMYFUNCTION("""COMPUTED_VALUE"""),0.919)</f>
        <v>0.919</v>
      </c>
      <c r="E3466" s="8" t="str">
        <f>IFERROR(__xludf.DUMMYFUNCTION("""COMPUTED_VALUE"""),"Real")</f>
        <v>Real</v>
      </c>
      <c r="G3466" s="8">
        <f t="shared" si="1"/>
        <v>3</v>
      </c>
      <c r="H3466" s="14">
        <f t="shared" si="2"/>
        <v>25</v>
      </c>
      <c r="I3466" s="15">
        <f t="shared" si="3"/>
        <v>9</v>
      </c>
    </row>
    <row r="3467">
      <c r="A3467" s="8" t="str">
        <f>IFERROR(__xludf.DUMMYFUNCTION("IF('(INGESTA)Datos_consumo_datadis'!A3467&lt;&gt;"""",SPLIT('(INGESTA)Datos_consumo_datadis'!A:A,"",""),"""")"),"ES0031408323131005HX0F")</f>
        <v>ES0031408323131005HX0F</v>
      </c>
      <c r="B3467" s="12">
        <f>IFERROR(__xludf.DUMMYFUNCTION("""COMPUTED_VALUE"""),45010.0)</f>
        <v>45010</v>
      </c>
      <c r="C3467" s="13">
        <f>IFERROR(__xludf.DUMMYFUNCTION("""COMPUTED_VALUE"""),0.4166666666666667)</f>
        <v>0.4166666667</v>
      </c>
      <c r="D3467" s="8">
        <f>IFERROR(__xludf.DUMMYFUNCTION("""COMPUTED_VALUE"""),1.221)</f>
        <v>1.221</v>
      </c>
      <c r="E3467" s="8" t="str">
        <f>IFERROR(__xludf.DUMMYFUNCTION("""COMPUTED_VALUE"""),"Real")</f>
        <v>Real</v>
      </c>
      <c r="G3467" s="8">
        <f t="shared" si="1"/>
        <v>3</v>
      </c>
      <c r="H3467" s="14">
        <f t="shared" si="2"/>
        <v>25</v>
      </c>
      <c r="I3467" s="15">
        <f t="shared" si="3"/>
        <v>10</v>
      </c>
    </row>
    <row r="3468">
      <c r="A3468" s="8" t="str">
        <f>IFERROR(__xludf.DUMMYFUNCTION("IF('(INGESTA)Datos_consumo_datadis'!A3468&lt;&gt;"""",SPLIT('(INGESTA)Datos_consumo_datadis'!A:A,"",""),"""")"),"ES0031408323131005HX0F")</f>
        <v>ES0031408323131005HX0F</v>
      </c>
      <c r="B3468" s="12">
        <f>IFERROR(__xludf.DUMMYFUNCTION("""COMPUTED_VALUE"""),45010.0)</f>
        <v>45010</v>
      </c>
      <c r="C3468" s="13">
        <f>IFERROR(__xludf.DUMMYFUNCTION("""COMPUTED_VALUE"""),0.4583333333333333)</f>
        <v>0.4583333333</v>
      </c>
      <c r="D3468" s="8">
        <f>IFERROR(__xludf.DUMMYFUNCTION("""COMPUTED_VALUE"""),0.311)</f>
        <v>0.311</v>
      </c>
      <c r="E3468" s="8" t="str">
        <f>IFERROR(__xludf.DUMMYFUNCTION("""COMPUTED_VALUE"""),"Real")</f>
        <v>Real</v>
      </c>
      <c r="G3468" s="8">
        <f t="shared" si="1"/>
        <v>3</v>
      </c>
      <c r="H3468" s="14">
        <f t="shared" si="2"/>
        <v>25</v>
      </c>
      <c r="I3468" s="15">
        <f t="shared" si="3"/>
        <v>11</v>
      </c>
    </row>
    <row r="3469">
      <c r="A3469" s="8" t="str">
        <f>IFERROR(__xludf.DUMMYFUNCTION("IF('(INGESTA)Datos_consumo_datadis'!A3469&lt;&gt;"""",SPLIT('(INGESTA)Datos_consumo_datadis'!A:A,"",""),"""")"),"ES0031408323131005HX0F")</f>
        <v>ES0031408323131005HX0F</v>
      </c>
      <c r="B3469" s="12">
        <f>IFERROR(__xludf.DUMMYFUNCTION("""COMPUTED_VALUE"""),45010.0)</f>
        <v>45010</v>
      </c>
      <c r="C3469" s="13">
        <f>IFERROR(__xludf.DUMMYFUNCTION("""COMPUTED_VALUE"""),0.5)</f>
        <v>0.5</v>
      </c>
      <c r="D3469" s="8">
        <f>IFERROR(__xludf.DUMMYFUNCTION("""COMPUTED_VALUE"""),0.141)</f>
        <v>0.141</v>
      </c>
      <c r="E3469" s="8" t="str">
        <f>IFERROR(__xludf.DUMMYFUNCTION("""COMPUTED_VALUE"""),"Real")</f>
        <v>Real</v>
      </c>
      <c r="G3469" s="8">
        <f t="shared" si="1"/>
        <v>3</v>
      </c>
      <c r="H3469" s="14">
        <f t="shared" si="2"/>
        <v>25</v>
      </c>
      <c r="I3469" s="15">
        <f t="shared" si="3"/>
        <v>12</v>
      </c>
    </row>
    <row r="3470">
      <c r="A3470" s="8" t="str">
        <f>IFERROR(__xludf.DUMMYFUNCTION("IF('(INGESTA)Datos_consumo_datadis'!A3470&lt;&gt;"""",SPLIT('(INGESTA)Datos_consumo_datadis'!A:A,"",""),"""")"),"ES0031408323131005HX0F")</f>
        <v>ES0031408323131005HX0F</v>
      </c>
      <c r="B3470" s="12">
        <f>IFERROR(__xludf.DUMMYFUNCTION("""COMPUTED_VALUE"""),45010.0)</f>
        <v>45010</v>
      </c>
      <c r="C3470" s="13">
        <f>IFERROR(__xludf.DUMMYFUNCTION("""COMPUTED_VALUE"""),0.5416666666666666)</f>
        <v>0.5416666667</v>
      </c>
      <c r="D3470" s="8">
        <f>IFERROR(__xludf.DUMMYFUNCTION("""COMPUTED_VALUE"""),0.402)</f>
        <v>0.402</v>
      </c>
      <c r="E3470" s="8" t="str">
        <f>IFERROR(__xludf.DUMMYFUNCTION("""COMPUTED_VALUE"""),"Real")</f>
        <v>Real</v>
      </c>
      <c r="G3470" s="8">
        <f t="shared" si="1"/>
        <v>3</v>
      </c>
      <c r="H3470" s="14">
        <f t="shared" si="2"/>
        <v>25</v>
      </c>
      <c r="I3470" s="15">
        <f t="shared" si="3"/>
        <v>13</v>
      </c>
    </row>
    <row r="3471">
      <c r="A3471" s="8" t="str">
        <f>IFERROR(__xludf.DUMMYFUNCTION("IF('(INGESTA)Datos_consumo_datadis'!A3471&lt;&gt;"""",SPLIT('(INGESTA)Datos_consumo_datadis'!A:A,"",""),"""")"),"ES0031408323131005HX0F")</f>
        <v>ES0031408323131005HX0F</v>
      </c>
      <c r="B3471" s="12">
        <f>IFERROR(__xludf.DUMMYFUNCTION("""COMPUTED_VALUE"""),45010.0)</f>
        <v>45010</v>
      </c>
      <c r="C3471" s="13">
        <f>IFERROR(__xludf.DUMMYFUNCTION("""COMPUTED_VALUE"""),0.5833333333333334)</f>
        <v>0.5833333333</v>
      </c>
      <c r="D3471" s="8">
        <f>IFERROR(__xludf.DUMMYFUNCTION("""COMPUTED_VALUE"""),0.448)</f>
        <v>0.448</v>
      </c>
      <c r="E3471" s="8" t="str">
        <f>IFERROR(__xludf.DUMMYFUNCTION("""COMPUTED_VALUE"""),"Real")</f>
        <v>Real</v>
      </c>
      <c r="G3471" s="8">
        <f t="shared" si="1"/>
        <v>3</v>
      </c>
      <c r="H3471" s="14">
        <f t="shared" si="2"/>
        <v>25</v>
      </c>
      <c r="I3471" s="15">
        <f t="shared" si="3"/>
        <v>14</v>
      </c>
    </row>
    <row r="3472">
      <c r="A3472" s="8" t="str">
        <f>IFERROR(__xludf.DUMMYFUNCTION("IF('(INGESTA)Datos_consumo_datadis'!A3472&lt;&gt;"""",SPLIT('(INGESTA)Datos_consumo_datadis'!A:A,"",""),"""")"),"ES0031408323131005HX0F")</f>
        <v>ES0031408323131005HX0F</v>
      </c>
      <c r="B3472" s="12">
        <f>IFERROR(__xludf.DUMMYFUNCTION("""COMPUTED_VALUE"""),45010.0)</f>
        <v>45010</v>
      </c>
      <c r="C3472" s="13">
        <f>IFERROR(__xludf.DUMMYFUNCTION("""COMPUTED_VALUE"""),0.625)</f>
        <v>0.625</v>
      </c>
      <c r="D3472" s="8">
        <f>IFERROR(__xludf.DUMMYFUNCTION("""COMPUTED_VALUE"""),0.117)</f>
        <v>0.117</v>
      </c>
      <c r="E3472" s="8" t="str">
        <f>IFERROR(__xludf.DUMMYFUNCTION("""COMPUTED_VALUE"""),"Real")</f>
        <v>Real</v>
      </c>
      <c r="G3472" s="8">
        <f t="shared" si="1"/>
        <v>3</v>
      </c>
      <c r="H3472" s="14">
        <f t="shared" si="2"/>
        <v>25</v>
      </c>
      <c r="I3472" s="15">
        <f t="shared" si="3"/>
        <v>15</v>
      </c>
    </row>
    <row r="3473">
      <c r="A3473" s="8" t="str">
        <f>IFERROR(__xludf.DUMMYFUNCTION("IF('(INGESTA)Datos_consumo_datadis'!A3473&lt;&gt;"""",SPLIT('(INGESTA)Datos_consumo_datadis'!A:A,"",""),"""")"),"ES0031408323131005HX0F")</f>
        <v>ES0031408323131005HX0F</v>
      </c>
      <c r="B3473" s="12">
        <f>IFERROR(__xludf.DUMMYFUNCTION("""COMPUTED_VALUE"""),45010.0)</f>
        <v>45010</v>
      </c>
      <c r="C3473" s="13">
        <f>IFERROR(__xludf.DUMMYFUNCTION("""COMPUTED_VALUE"""),0.6666666666666666)</f>
        <v>0.6666666667</v>
      </c>
      <c r="D3473" s="8">
        <f>IFERROR(__xludf.DUMMYFUNCTION("""COMPUTED_VALUE"""),0.494)</f>
        <v>0.494</v>
      </c>
      <c r="E3473" s="8" t="str">
        <f>IFERROR(__xludf.DUMMYFUNCTION("""COMPUTED_VALUE"""),"Real")</f>
        <v>Real</v>
      </c>
      <c r="G3473" s="8">
        <f t="shared" si="1"/>
        <v>3</v>
      </c>
      <c r="H3473" s="14">
        <f t="shared" si="2"/>
        <v>25</v>
      </c>
      <c r="I3473" s="15">
        <f t="shared" si="3"/>
        <v>16</v>
      </c>
    </row>
    <row r="3474">
      <c r="A3474" s="8" t="str">
        <f>IFERROR(__xludf.DUMMYFUNCTION("IF('(INGESTA)Datos_consumo_datadis'!A3474&lt;&gt;"""",SPLIT('(INGESTA)Datos_consumo_datadis'!A:A,"",""),"""")"),"ES0031408323131005HX0F")</f>
        <v>ES0031408323131005HX0F</v>
      </c>
      <c r="B3474" s="12">
        <f>IFERROR(__xludf.DUMMYFUNCTION("""COMPUTED_VALUE"""),45010.0)</f>
        <v>45010</v>
      </c>
      <c r="C3474" s="13">
        <f>IFERROR(__xludf.DUMMYFUNCTION("""COMPUTED_VALUE"""),0.7083333333333334)</f>
        <v>0.7083333333</v>
      </c>
      <c r="D3474" s="8">
        <f>IFERROR(__xludf.DUMMYFUNCTION("""COMPUTED_VALUE"""),0.582)</f>
        <v>0.582</v>
      </c>
      <c r="E3474" s="8" t="str">
        <f>IFERROR(__xludf.DUMMYFUNCTION("""COMPUTED_VALUE"""),"Real")</f>
        <v>Real</v>
      </c>
      <c r="G3474" s="8">
        <f t="shared" si="1"/>
        <v>3</v>
      </c>
      <c r="H3474" s="14">
        <f t="shared" si="2"/>
        <v>25</v>
      </c>
      <c r="I3474" s="15">
        <f t="shared" si="3"/>
        <v>17</v>
      </c>
    </row>
    <row r="3475">
      <c r="A3475" s="8" t="str">
        <f>IFERROR(__xludf.DUMMYFUNCTION("IF('(INGESTA)Datos_consumo_datadis'!A3475&lt;&gt;"""",SPLIT('(INGESTA)Datos_consumo_datadis'!A:A,"",""),"""")"),"ES0031408323131005HX0F")</f>
        <v>ES0031408323131005HX0F</v>
      </c>
      <c r="B3475" s="12">
        <f>IFERROR(__xludf.DUMMYFUNCTION("""COMPUTED_VALUE"""),45010.0)</f>
        <v>45010</v>
      </c>
      <c r="C3475" s="13">
        <f>IFERROR(__xludf.DUMMYFUNCTION("""COMPUTED_VALUE"""),0.75)</f>
        <v>0.75</v>
      </c>
      <c r="D3475" s="8">
        <f>IFERROR(__xludf.DUMMYFUNCTION("""COMPUTED_VALUE"""),0.244)</f>
        <v>0.244</v>
      </c>
      <c r="E3475" s="8" t="str">
        <f>IFERROR(__xludf.DUMMYFUNCTION("""COMPUTED_VALUE"""),"Real")</f>
        <v>Real</v>
      </c>
      <c r="G3475" s="8">
        <f t="shared" si="1"/>
        <v>3</v>
      </c>
      <c r="H3475" s="14">
        <f t="shared" si="2"/>
        <v>25</v>
      </c>
      <c r="I3475" s="15">
        <f t="shared" si="3"/>
        <v>18</v>
      </c>
    </row>
    <row r="3476">
      <c r="A3476" s="8" t="str">
        <f>IFERROR(__xludf.DUMMYFUNCTION("IF('(INGESTA)Datos_consumo_datadis'!A3476&lt;&gt;"""",SPLIT('(INGESTA)Datos_consumo_datadis'!A:A,"",""),"""")"),"ES0031408323131005HX0F")</f>
        <v>ES0031408323131005HX0F</v>
      </c>
      <c r="B3476" s="12">
        <f>IFERROR(__xludf.DUMMYFUNCTION("""COMPUTED_VALUE"""),45010.0)</f>
        <v>45010</v>
      </c>
      <c r="C3476" s="13">
        <f>IFERROR(__xludf.DUMMYFUNCTION("""COMPUTED_VALUE"""),0.7916666666666666)</f>
        <v>0.7916666667</v>
      </c>
      <c r="D3476" s="8">
        <f>IFERROR(__xludf.DUMMYFUNCTION("""COMPUTED_VALUE"""),0.309)</f>
        <v>0.309</v>
      </c>
      <c r="E3476" s="8" t="str">
        <f>IFERROR(__xludf.DUMMYFUNCTION("""COMPUTED_VALUE"""),"Real")</f>
        <v>Real</v>
      </c>
      <c r="G3476" s="8">
        <f t="shared" si="1"/>
        <v>3</v>
      </c>
      <c r="H3476" s="14">
        <f t="shared" si="2"/>
        <v>25</v>
      </c>
      <c r="I3476" s="15">
        <f t="shared" si="3"/>
        <v>19</v>
      </c>
    </row>
    <row r="3477">
      <c r="A3477" s="8" t="str">
        <f>IFERROR(__xludf.DUMMYFUNCTION("IF('(INGESTA)Datos_consumo_datadis'!A3477&lt;&gt;"""",SPLIT('(INGESTA)Datos_consumo_datadis'!A:A,"",""),"""")"),"ES0031408323131005HX0F")</f>
        <v>ES0031408323131005HX0F</v>
      </c>
      <c r="B3477" s="12">
        <f>IFERROR(__xludf.DUMMYFUNCTION("""COMPUTED_VALUE"""),45010.0)</f>
        <v>45010</v>
      </c>
      <c r="C3477" s="13">
        <f>IFERROR(__xludf.DUMMYFUNCTION("""COMPUTED_VALUE"""),0.8333333333333334)</f>
        <v>0.8333333333</v>
      </c>
      <c r="D3477" s="8">
        <f>IFERROR(__xludf.DUMMYFUNCTION("""COMPUTED_VALUE"""),0.079)</f>
        <v>0.079</v>
      </c>
      <c r="E3477" s="8" t="str">
        <f>IFERROR(__xludf.DUMMYFUNCTION("""COMPUTED_VALUE"""),"Real")</f>
        <v>Real</v>
      </c>
      <c r="G3477" s="8">
        <f t="shared" si="1"/>
        <v>3</v>
      </c>
      <c r="H3477" s="14">
        <f t="shared" si="2"/>
        <v>25</v>
      </c>
      <c r="I3477" s="15">
        <f t="shared" si="3"/>
        <v>20</v>
      </c>
    </row>
    <row r="3478">
      <c r="A3478" s="8" t="str">
        <f>IFERROR(__xludf.DUMMYFUNCTION("IF('(INGESTA)Datos_consumo_datadis'!A3478&lt;&gt;"""",SPLIT('(INGESTA)Datos_consumo_datadis'!A:A,"",""),"""")"),"ES0031408323131005HX0F")</f>
        <v>ES0031408323131005HX0F</v>
      </c>
      <c r="B3478" s="12">
        <f>IFERROR(__xludf.DUMMYFUNCTION("""COMPUTED_VALUE"""),45010.0)</f>
        <v>45010</v>
      </c>
      <c r="C3478" s="13">
        <f>IFERROR(__xludf.DUMMYFUNCTION("""COMPUTED_VALUE"""),0.875)</f>
        <v>0.875</v>
      </c>
      <c r="D3478" s="8">
        <f>IFERROR(__xludf.DUMMYFUNCTION("""COMPUTED_VALUE"""),0.071)</f>
        <v>0.071</v>
      </c>
      <c r="E3478" s="8" t="str">
        <f>IFERROR(__xludf.DUMMYFUNCTION("""COMPUTED_VALUE"""),"Real")</f>
        <v>Real</v>
      </c>
      <c r="G3478" s="8">
        <f t="shared" si="1"/>
        <v>3</v>
      </c>
      <c r="H3478" s="14">
        <f t="shared" si="2"/>
        <v>25</v>
      </c>
      <c r="I3478" s="15">
        <f t="shared" si="3"/>
        <v>21</v>
      </c>
    </row>
    <row r="3479">
      <c r="A3479" s="8" t="str">
        <f>IFERROR(__xludf.DUMMYFUNCTION("IF('(INGESTA)Datos_consumo_datadis'!A3479&lt;&gt;"""",SPLIT('(INGESTA)Datos_consumo_datadis'!A:A,"",""),"""")"),"ES0031408323131005HX0F")</f>
        <v>ES0031408323131005HX0F</v>
      </c>
      <c r="B3479" s="12">
        <f>IFERROR(__xludf.DUMMYFUNCTION("""COMPUTED_VALUE"""),45010.0)</f>
        <v>45010</v>
      </c>
      <c r="C3479" s="13">
        <f>IFERROR(__xludf.DUMMYFUNCTION("""COMPUTED_VALUE"""),0.9166666666666666)</f>
        <v>0.9166666667</v>
      </c>
      <c r="D3479" s="8">
        <f>IFERROR(__xludf.DUMMYFUNCTION("""COMPUTED_VALUE"""),0.912)</f>
        <v>0.912</v>
      </c>
      <c r="E3479" s="8" t="str">
        <f>IFERROR(__xludf.DUMMYFUNCTION("""COMPUTED_VALUE"""),"Real")</f>
        <v>Real</v>
      </c>
      <c r="G3479" s="8">
        <f t="shared" si="1"/>
        <v>3</v>
      </c>
      <c r="H3479" s="14">
        <f t="shared" si="2"/>
        <v>25</v>
      </c>
      <c r="I3479" s="15">
        <f t="shared" si="3"/>
        <v>22</v>
      </c>
    </row>
    <row r="3480">
      <c r="A3480" s="8" t="str">
        <f>IFERROR(__xludf.DUMMYFUNCTION("IF('(INGESTA)Datos_consumo_datadis'!A3480&lt;&gt;"""",SPLIT('(INGESTA)Datos_consumo_datadis'!A:A,"",""),"""")"),"ES0031408323131005HX0F")</f>
        <v>ES0031408323131005HX0F</v>
      </c>
      <c r="B3480" s="12">
        <f>IFERROR(__xludf.DUMMYFUNCTION("""COMPUTED_VALUE"""),45010.0)</f>
        <v>45010</v>
      </c>
      <c r="C3480" s="13">
        <f>IFERROR(__xludf.DUMMYFUNCTION("""COMPUTED_VALUE"""),0.9583333333333334)</f>
        <v>0.9583333333</v>
      </c>
      <c r="D3480" s="8">
        <f>IFERROR(__xludf.DUMMYFUNCTION("""COMPUTED_VALUE"""),1.875)</f>
        <v>1.875</v>
      </c>
      <c r="E3480" s="8" t="str">
        <f>IFERROR(__xludf.DUMMYFUNCTION("""COMPUTED_VALUE"""),"Real")</f>
        <v>Real</v>
      </c>
      <c r="G3480" s="8">
        <f t="shared" si="1"/>
        <v>3</v>
      </c>
      <c r="H3480" s="14">
        <f t="shared" si="2"/>
        <v>25</v>
      </c>
      <c r="I3480" s="15">
        <f t="shared" si="3"/>
        <v>23</v>
      </c>
    </row>
    <row r="3481">
      <c r="A3481" s="8" t="str">
        <f>IFERROR(__xludf.DUMMYFUNCTION("IF('(INGESTA)Datos_consumo_datadis'!A3481&lt;&gt;"""",SPLIT('(INGESTA)Datos_consumo_datadis'!A:A,"",""),"""")"),"ES0031408323131005HX0F")</f>
        <v>ES0031408323131005HX0F</v>
      </c>
      <c r="B3481" s="12">
        <f>IFERROR(__xludf.DUMMYFUNCTION("""COMPUTED_VALUE"""),45010.0)</f>
        <v>45010</v>
      </c>
      <c r="C3481" s="16">
        <f>IFERROR(__xludf.DUMMYFUNCTION("""COMPUTED_VALUE"""),1.0)</f>
        <v>1</v>
      </c>
      <c r="D3481" s="8">
        <f>IFERROR(__xludf.DUMMYFUNCTION("""COMPUTED_VALUE"""),0.638)</f>
        <v>0.638</v>
      </c>
      <c r="E3481" s="8" t="str">
        <f>IFERROR(__xludf.DUMMYFUNCTION("""COMPUTED_VALUE"""),"Real")</f>
        <v>Real</v>
      </c>
      <c r="G3481" s="8">
        <f t="shared" si="1"/>
        <v>3</v>
      </c>
      <c r="H3481" s="14">
        <f t="shared" si="2"/>
        <v>25</v>
      </c>
      <c r="I3481" s="15">
        <f t="shared" si="3"/>
        <v>0</v>
      </c>
    </row>
    <row r="3482">
      <c r="A3482" s="8" t="str">
        <f>IFERROR(__xludf.DUMMYFUNCTION("IF('(INGESTA)Datos_consumo_datadis'!A3482&lt;&gt;"""",SPLIT('(INGESTA)Datos_consumo_datadis'!A:A,"",""),"""")"),"ES0031408323131005HX0F")</f>
        <v>ES0031408323131005HX0F</v>
      </c>
      <c r="B3482" s="12">
        <f>IFERROR(__xludf.DUMMYFUNCTION("""COMPUTED_VALUE"""),45011.0)</f>
        <v>45011</v>
      </c>
      <c r="C3482" s="13">
        <f>IFERROR(__xludf.DUMMYFUNCTION("""COMPUTED_VALUE"""),0.041666666666666664)</f>
        <v>0.04166666667</v>
      </c>
      <c r="D3482" s="8">
        <f>IFERROR(__xludf.DUMMYFUNCTION("""COMPUTED_VALUE"""),1.135)</f>
        <v>1.135</v>
      </c>
      <c r="E3482" s="8" t="str">
        <f>IFERROR(__xludf.DUMMYFUNCTION("""COMPUTED_VALUE"""),"Real")</f>
        <v>Real</v>
      </c>
      <c r="G3482" s="8">
        <f t="shared" si="1"/>
        <v>3</v>
      </c>
      <c r="H3482" s="14">
        <f t="shared" si="2"/>
        <v>26</v>
      </c>
      <c r="I3482" s="15">
        <f t="shared" si="3"/>
        <v>1</v>
      </c>
    </row>
    <row r="3483">
      <c r="A3483" s="8" t="str">
        <f>IFERROR(__xludf.DUMMYFUNCTION("IF('(INGESTA)Datos_consumo_datadis'!A3483&lt;&gt;"""",SPLIT('(INGESTA)Datos_consumo_datadis'!A:A,"",""),"""")"),"ES0031408323131005HX0F")</f>
        <v>ES0031408323131005HX0F</v>
      </c>
      <c r="B3483" s="12">
        <f>IFERROR(__xludf.DUMMYFUNCTION("""COMPUTED_VALUE"""),45011.0)</f>
        <v>45011</v>
      </c>
      <c r="C3483" s="13">
        <f>IFERROR(__xludf.DUMMYFUNCTION("""COMPUTED_VALUE"""),0.08333333333333333)</f>
        <v>0.08333333333</v>
      </c>
      <c r="D3483" s="8">
        <f>IFERROR(__xludf.DUMMYFUNCTION("""COMPUTED_VALUE"""),0.962)</f>
        <v>0.962</v>
      </c>
      <c r="E3483" s="8" t="str">
        <f>IFERROR(__xludf.DUMMYFUNCTION("""COMPUTED_VALUE"""),"Real")</f>
        <v>Real</v>
      </c>
      <c r="G3483" s="8">
        <f t="shared" si="1"/>
        <v>3</v>
      </c>
      <c r="H3483" s="14">
        <f t="shared" si="2"/>
        <v>26</v>
      </c>
      <c r="I3483" s="15">
        <f t="shared" si="3"/>
        <v>2</v>
      </c>
    </row>
    <row r="3484">
      <c r="A3484" s="8" t="str">
        <f>IFERROR(__xludf.DUMMYFUNCTION("IF('(INGESTA)Datos_consumo_datadis'!A3484&lt;&gt;"""",SPLIT('(INGESTA)Datos_consumo_datadis'!A:A,"",""),"""")"),"ES0031408323131005HX0F")</f>
        <v>ES0031408323131005HX0F</v>
      </c>
      <c r="B3484" s="12">
        <f>IFERROR(__xludf.DUMMYFUNCTION("""COMPUTED_VALUE"""),45011.0)</f>
        <v>45011</v>
      </c>
      <c r="C3484" s="13">
        <f>IFERROR(__xludf.DUMMYFUNCTION("""COMPUTED_VALUE"""),0.16666666666666666)</f>
        <v>0.1666666667</v>
      </c>
      <c r="D3484" s="8">
        <f>IFERROR(__xludf.DUMMYFUNCTION("""COMPUTED_VALUE"""),0.932)</f>
        <v>0.932</v>
      </c>
      <c r="E3484" s="8" t="str">
        <f>IFERROR(__xludf.DUMMYFUNCTION("""COMPUTED_VALUE"""),"Real")</f>
        <v>Real</v>
      </c>
      <c r="G3484" s="8">
        <f t="shared" si="1"/>
        <v>3</v>
      </c>
      <c r="H3484" s="14">
        <f t="shared" si="2"/>
        <v>26</v>
      </c>
      <c r="I3484" s="15">
        <f t="shared" si="3"/>
        <v>4</v>
      </c>
    </row>
    <row r="3485">
      <c r="A3485" s="8" t="str">
        <f>IFERROR(__xludf.DUMMYFUNCTION("IF('(INGESTA)Datos_consumo_datadis'!A3485&lt;&gt;"""",SPLIT('(INGESTA)Datos_consumo_datadis'!A:A,"",""),"""")"),"ES0031408323131005HX0F")</f>
        <v>ES0031408323131005HX0F</v>
      </c>
      <c r="B3485" s="12">
        <f>IFERROR(__xludf.DUMMYFUNCTION("""COMPUTED_VALUE"""),45011.0)</f>
        <v>45011</v>
      </c>
      <c r="C3485" s="13">
        <f>IFERROR(__xludf.DUMMYFUNCTION("""COMPUTED_VALUE"""),0.20833333333333334)</f>
        <v>0.2083333333</v>
      </c>
      <c r="D3485" s="8">
        <f>IFERROR(__xludf.DUMMYFUNCTION("""COMPUTED_VALUE"""),0.929)</f>
        <v>0.929</v>
      </c>
      <c r="E3485" s="8" t="str">
        <f>IFERROR(__xludf.DUMMYFUNCTION("""COMPUTED_VALUE"""),"Real")</f>
        <v>Real</v>
      </c>
      <c r="G3485" s="8">
        <f t="shared" si="1"/>
        <v>3</v>
      </c>
      <c r="H3485" s="14">
        <f t="shared" si="2"/>
        <v>26</v>
      </c>
      <c r="I3485" s="15">
        <f t="shared" si="3"/>
        <v>5</v>
      </c>
    </row>
    <row r="3486">
      <c r="A3486" s="8" t="str">
        <f>IFERROR(__xludf.DUMMYFUNCTION("IF('(INGESTA)Datos_consumo_datadis'!A3486&lt;&gt;"""",SPLIT('(INGESTA)Datos_consumo_datadis'!A:A,"",""),"""")"),"ES0031408323131005HX0F")</f>
        <v>ES0031408323131005HX0F</v>
      </c>
      <c r="B3486" s="12">
        <f>IFERROR(__xludf.DUMMYFUNCTION("""COMPUTED_VALUE"""),45011.0)</f>
        <v>45011</v>
      </c>
      <c r="C3486" s="13">
        <f>IFERROR(__xludf.DUMMYFUNCTION("""COMPUTED_VALUE"""),0.25)</f>
        <v>0.25</v>
      </c>
      <c r="D3486" s="8">
        <f>IFERROR(__xludf.DUMMYFUNCTION("""COMPUTED_VALUE"""),0.884)</f>
        <v>0.884</v>
      </c>
      <c r="E3486" s="8" t="str">
        <f>IFERROR(__xludf.DUMMYFUNCTION("""COMPUTED_VALUE"""),"Real")</f>
        <v>Real</v>
      </c>
      <c r="G3486" s="8">
        <f t="shared" si="1"/>
        <v>3</v>
      </c>
      <c r="H3486" s="14">
        <f t="shared" si="2"/>
        <v>26</v>
      </c>
      <c r="I3486" s="15">
        <f t="shared" si="3"/>
        <v>6</v>
      </c>
    </row>
    <row r="3487">
      <c r="A3487" s="8" t="str">
        <f>IFERROR(__xludf.DUMMYFUNCTION("IF('(INGESTA)Datos_consumo_datadis'!A3487&lt;&gt;"""",SPLIT('(INGESTA)Datos_consumo_datadis'!A:A,"",""),"""")"),"ES0031408323131005HX0F")</f>
        <v>ES0031408323131005HX0F</v>
      </c>
      <c r="B3487" s="12">
        <f>IFERROR(__xludf.DUMMYFUNCTION("""COMPUTED_VALUE"""),45011.0)</f>
        <v>45011</v>
      </c>
      <c r="C3487" s="13">
        <f>IFERROR(__xludf.DUMMYFUNCTION("""COMPUTED_VALUE"""),0.2916666666666667)</f>
        <v>0.2916666667</v>
      </c>
      <c r="D3487" s="8">
        <f>IFERROR(__xludf.DUMMYFUNCTION("""COMPUTED_VALUE"""),0.943)</f>
        <v>0.943</v>
      </c>
      <c r="E3487" s="8" t="str">
        <f>IFERROR(__xludf.DUMMYFUNCTION("""COMPUTED_VALUE"""),"Real")</f>
        <v>Real</v>
      </c>
      <c r="G3487" s="8">
        <f t="shared" si="1"/>
        <v>3</v>
      </c>
      <c r="H3487" s="14">
        <f t="shared" si="2"/>
        <v>26</v>
      </c>
      <c r="I3487" s="15">
        <f t="shared" si="3"/>
        <v>7</v>
      </c>
    </row>
    <row r="3488">
      <c r="A3488" s="8" t="str">
        <f>IFERROR(__xludf.DUMMYFUNCTION("IF('(INGESTA)Datos_consumo_datadis'!A3488&lt;&gt;"""",SPLIT('(INGESTA)Datos_consumo_datadis'!A:A,"",""),"""")"),"ES0031408323131005HX0F")</f>
        <v>ES0031408323131005HX0F</v>
      </c>
      <c r="B3488" s="12">
        <f>IFERROR(__xludf.DUMMYFUNCTION("""COMPUTED_VALUE"""),45011.0)</f>
        <v>45011</v>
      </c>
      <c r="C3488" s="13">
        <f>IFERROR(__xludf.DUMMYFUNCTION("""COMPUTED_VALUE"""),0.3333333333333333)</f>
        <v>0.3333333333</v>
      </c>
      <c r="D3488" s="8">
        <f>IFERROR(__xludf.DUMMYFUNCTION("""COMPUTED_VALUE"""),1.172)</f>
        <v>1.172</v>
      </c>
      <c r="E3488" s="8" t="str">
        <f>IFERROR(__xludf.DUMMYFUNCTION("""COMPUTED_VALUE"""),"Real")</f>
        <v>Real</v>
      </c>
      <c r="G3488" s="8">
        <f t="shared" si="1"/>
        <v>3</v>
      </c>
      <c r="H3488" s="14">
        <f t="shared" si="2"/>
        <v>26</v>
      </c>
      <c r="I3488" s="15">
        <f t="shared" si="3"/>
        <v>8</v>
      </c>
    </row>
    <row r="3489">
      <c r="A3489" s="8" t="str">
        <f>IFERROR(__xludf.DUMMYFUNCTION("IF('(INGESTA)Datos_consumo_datadis'!A3489&lt;&gt;"""",SPLIT('(INGESTA)Datos_consumo_datadis'!A:A,"",""),"""")"),"ES0031408323131005HX0F")</f>
        <v>ES0031408323131005HX0F</v>
      </c>
      <c r="B3489" s="12">
        <f>IFERROR(__xludf.DUMMYFUNCTION("""COMPUTED_VALUE"""),45011.0)</f>
        <v>45011</v>
      </c>
      <c r="C3489" s="13">
        <f>IFERROR(__xludf.DUMMYFUNCTION("""COMPUTED_VALUE"""),0.375)</f>
        <v>0.375</v>
      </c>
      <c r="D3489" s="8">
        <f>IFERROR(__xludf.DUMMYFUNCTION("""COMPUTED_VALUE"""),0.357)</f>
        <v>0.357</v>
      </c>
      <c r="E3489" s="8" t="str">
        <f>IFERROR(__xludf.DUMMYFUNCTION("""COMPUTED_VALUE"""),"Real")</f>
        <v>Real</v>
      </c>
      <c r="G3489" s="8">
        <f t="shared" si="1"/>
        <v>3</v>
      </c>
      <c r="H3489" s="14">
        <f t="shared" si="2"/>
        <v>26</v>
      </c>
      <c r="I3489" s="15">
        <f t="shared" si="3"/>
        <v>9</v>
      </c>
    </row>
    <row r="3490">
      <c r="A3490" s="8" t="str">
        <f>IFERROR(__xludf.DUMMYFUNCTION("IF('(INGESTA)Datos_consumo_datadis'!A3490&lt;&gt;"""",SPLIT('(INGESTA)Datos_consumo_datadis'!A:A,"",""),"""")"),"ES0031408323131005HX0F")</f>
        <v>ES0031408323131005HX0F</v>
      </c>
      <c r="B3490" s="12">
        <f>IFERROR(__xludf.DUMMYFUNCTION("""COMPUTED_VALUE"""),45011.0)</f>
        <v>45011</v>
      </c>
      <c r="C3490" s="13">
        <f>IFERROR(__xludf.DUMMYFUNCTION("""COMPUTED_VALUE"""),0.4166666666666667)</f>
        <v>0.4166666667</v>
      </c>
      <c r="D3490" s="8">
        <f>IFERROR(__xludf.DUMMYFUNCTION("""COMPUTED_VALUE"""),0.077)</f>
        <v>0.077</v>
      </c>
      <c r="E3490" s="8" t="str">
        <f>IFERROR(__xludf.DUMMYFUNCTION("""COMPUTED_VALUE"""),"Real")</f>
        <v>Real</v>
      </c>
      <c r="G3490" s="8">
        <f t="shared" si="1"/>
        <v>3</v>
      </c>
      <c r="H3490" s="14">
        <f t="shared" si="2"/>
        <v>26</v>
      </c>
      <c r="I3490" s="15">
        <f t="shared" si="3"/>
        <v>10</v>
      </c>
    </row>
    <row r="3491">
      <c r="A3491" s="8" t="str">
        <f>IFERROR(__xludf.DUMMYFUNCTION("IF('(INGESTA)Datos_consumo_datadis'!A3491&lt;&gt;"""",SPLIT('(INGESTA)Datos_consumo_datadis'!A:A,"",""),"""")"),"ES0031408323131005HX0F")</f>
        <v>ES0031408323131005HX0F</v>
      </c>
      <c r="B3491" s="12">
        <f>IFERROR(__xludf.DUMMYFUNCTION("""COMPUTED_VALUE"""),45011.0)</f>
        <v>45011</v>
      </c>
      <c r="C3491" s="13">
        <f>IFERROR(__xludf.DUMMYFUNCTION("""COMPUTED_VALUE"""),0.4583333333333333)</f>
        <v>0.4583333333</v>
      </c>
      <c r="D3491" s="8">
        <f>IFERROR(__xludf.DUMMYFUNCTION("""COMPUTED_VALUE"""),0.1)</f>
        <v>0.1</v>
      </c>
      <c r="E3491" s="8" t="str">
        <f>IFERROR(__xludf.DUMMYFUNCTION("""COMPUTED_VALUE"""),"Real")</f>
        <v>Real</v>
      </c>
      <c r="G3491" s="8">
        <f t="shared" si="1"/>
        <v>3</v>
      </c>
      <c r="H3491" s="14">
        <f t="shared" si="2"/>
        <v>26</v>
      </c>
      <c r="I3491" s="15">
        <f t="shared" si="3"/>
        <v>11</v>
      </c>
    </row>
    <row r="3492">
      <c r="A3492" s="8" t="str">
        <f>IFERROR(__xludf.DUMMYFUNCTION("IF('(INGESTA)Datos_consumo_datadis'!A3492&lt;&gt;"""",SPLIT('(INGESTA)Datos_consumo_datadis'!A:A,"",""),"""")"),"ES0031408323131005HX0F")</f>
        <v>ES0031408323131005HX0F</v>
      </c>
      <c r="B3492" s="12">
        <f>IFERROR(__xludf.DUMMYFUNCTION("""COMPUTED_VALUE"""),45011.0)</f>
        <v>45011</v>
      </c>
      <c r="C3492" s="13">
        <f>IFERROR(__xludf.DUMMYFUNCTION("""COMPUTED_VALUE"""),0.5)</f>
        <v>0.5</v>
      </c>
      <c r="D3492" s="8">
        <f>IFERROR(__xludf.DUMMYFUNCTION("""COMPUTED_VALUE"""),0.746)</f>
        <v>0.746</v>
      </c>
      <c r="E3492" s="8" t="str">
        <f>IFERROR(__xludf.DUMMYFUNCTION("""COMPUTED_VALUE"""),"Real")</f>
        <v>Real</v>
      </c>
      <c r="G3492" s="8">
        <f t="shared" si="1"/>
        <v>3</v>
      </c>
      <c r="H3492" s="14">
        <f t="shared" si="2"/>
        <v>26</v>
      </c>
      <c r="I3492" s="15">
        <f t="shared" si="3"/>
        <v>12</v>
      </c>
    </row>
    <row r="3493">
      <c r="A3493" s="8" t="str">
        <f>IFERROR(__xludf.DUMMYFUNCTION("IF('(INGESTA)Datos_consumo_datadis'!A3493&lt;&gt;"""",SPLIT('(INGESTA)Datos_consumo_datadis'!A:A,"",""),"""")"),"ES0031408323131005HX0F")</f>
        <v>ES0031408323131005HX0F</v>
      </c>
      <c r="B3493" s="12">
        <f>IFERROR(__xludf.DUMMYFUNCTION("""COMPUTED_VALUE"""),45011.0)</f>
        <v>45011</v>
      </c>
      <c r="C3493" s="13">
        <f>IFERROR(__xludf.DUMMYFUNCTION("""COMPUTED_VALUE"""),0.5416666666666666)</f>
        <v>0.5416666667</v>
      </c>
      <c r="D3493" s="8">
        <f>IFERROR(__xludf.DUMMYFUNCTION("""COMPUTED_VALUE"""),0.125)</f>
        <v>0.125</v>
      </c>
      <c r="E3493" s="8" t="str">
        <f>IFERROR(__xludf.DUMMYFUNCTION("""COMPUTED_VALUE"""),"Real")</f>
        <v>Real</v>
      </c>
      <c r="G3493" s="8">
        <f t="shared" si="1"/>
        <v>3</v>
      </c>
      <c r="H3493" s="14">
        <f t="shared" si="2"/>
        <v>26</v>
      </c>
      <c r="I3493" s="15">
        <f t="shared" si="3"/>
        <v>13</v>
      </c>
    </row>
    <row r="3494">
      <c r="A3494" s="8" t="str">
        <f>IFERROR(__xludf.DUMMYFUNCTION("IF('(INGESTA)Datos_consumo_datadis'!A3494&lt;&gt;"""",SPLIT('(INGESTA)Datos_consumo_datadis'!A:A,"",""),"""")"),"ES0031408323131005HX0F")</f>
        <v>ES0031408323131005HX0F</v>
      </c>
      <c r="B3494" s="12">
        <f>IFERROR(__xludf.DUMMYFUNCTION("""COMPUTED_VALUE"""),45011.0)</f>
        <v>45011</v>
      </c>
      <c r="C3494" s="13">
        <f>IFERROR(__xludf.DUMMYFUNCTION("""COMPUTED_VALUE"""),0.5833333333333334)</f>
        <v>0.5833333333</v>
      </c>
      <c r="D3494" s="8">
        <f>IFERROR(__xludf.DUMMYFUNCTION("""COMPUTED_VALUE"""),0.078)</f>
        <v>0.078</v>
      </c>
      <c r="E3494" s="8" t="str">
        <f>IFERROR(__xludf.DUMMYFUNCTION("""COMPUTED_VALUE"""),"Real")</f>
        <v>Real</v>
      </c>
      <c r="G3494" s="8">
        <f t="shared" si="1"/>
        <v>3</v>
      </c>
      <c r="H3494" s="14">
        <f t="shared" si="2"/>
        <v>26</v>
      </c>
      <c r="I3494" s="15">
        <f t="shared" si="3"/>
        <v>14</v>
      </c>
    </row>
    <row r="3495">
      <c r="A3495" s="8" t="str">
        <f>IFERROR(__xludf.DUMMYFUNCTION("IF('(INGESTA)Datos_consumo_datadis'!A3495&lt;&gt;"""",SPLIT('(INGESTA)Datos_consumo_datadis'!A:A,"",""),"""")"),"ES0031408323131005HX0F")</f>
        <v>ES0031408323131005HX0F</v>
      </c>
      <c r="B3495" s="12">
        <f>IFERROR(__xludf.DUMMYFUNCTION("""COMPUTED_VALUE"""),45011.0)</f>
        <v>45011</v>
      </c>
      <c r="C3495" s="13">
        <f>IFERROR(__xludf.DUMMYFUNCTION("""COMPUTED_VALUE"""),0.625)</f>
        <v>0.625</v>
      </c>
      <c r="D3495" s="8">
        <f>IFERROR(__xludf.DUMMYFUNCTION("""COMPUTED_VALUE"""),0.018)</f>
        <v>0.018</v>
      </c>
      <c r="E3495" s="8" t="str">
        <f>IFERROR(__xludf.DUMMYFUNCTION("""COMPUTED_VALUE"""),"Real")</f>
        <v>Real</v>
      </c>
      <c r="G3495" s="8">
        <f t="shared" si="1"/>
        <v>3</v>
      </c>
      <c r="H3495" s="14">
        <f t="shared" si="2"/>
        <v>26</v>
      </c>
      <c r="I3495" s="15">
        <f t="shared" si="3"/>
        <v>15</v>
      </c>
    </row>
    <row r="3496">
      <c r="A3496" s="8" t="str">
        <f>IFERROR(__xludf.DUMMYFUNCTION("IF('(INGESTA)Datos_consumo_datadis'!A3496&lt;&gt;"""",SPLIT('(INGESTA)Datos_consumo_datadis'!A:A,"",""),"""")"),"ES0031408323131005HX0F")</f>
        <v>ES0031408323131005HX0F</v>
      </c>
      <c r="B3496" s="12">
        <f>IFERROR(__xludf.DUMMYFUNCTION("""COMPUTED_VALUE"""),45011.0)</f>
        <v>45011</v>
      </c>
      <c r="C3496" s="13">
        <f>IFERROR(__xludf.DUMMYFUNCTION("""COMPUTED_VALUE"""),0.6666666666666666)</f>
        <v>0.6666666667</v>
      </c>
      <c r="D3496" s="8">
        <f>IFERROR(__xludf.DUMMYFUNCTION("""COMPUTED_VALUE"""),1.103)</f>
        <v>1.103</v>
      </c>
      <c r="E3496" s="8" t="str">
        <f>IFERROR(__xludf.DUMMYFUNCTION("""COMPUTED_VALUE"""),"Real")</f>
        <v>Real</v>
      </c>
      <c r="G3496" s="8">
        <f t="shared" si="1"/>
        <v>3</v>
      </c>
      <c r="H3496" s="14">
        <f t="shared" si="2"/>
        <v>26</v>
      </c>
      <c r="I3496" s="15">
        <f t="shared" si="3"/>
        <v>16</v>
      </c>
    </row>
    <row r="3497">
      <c r="A3497" s="8" t="str">
        <f>IFERROR(__xludf.DUMMYFUNCTION("IF('(INGESTA)Datos_consumo_datadis'!A3497&lt;&gt;"""",SPLIT('(INGESTA)Datos_consumo_datadis'!A:A,"",""),"""")"),"ES0031408323131005HX0F")</f>
        <v>ES0031408323131005HX0F</v>
      </c>
      <c r="B3497" s="12">
        <f>IFERROR(__xludf.DUMMYFUNCTION("""COMPUTED_VALUE"""),45011.0)</f>
        <v>45011</v>
      </c>
      <c r="C3497" s="13">
        <f>IFERROR(__xludf.DUMMYFUNCTION("""COMPUTED_VALUE"""),0.7083333333333334)</f>
        <v>0.7083333333</v>
      </c>
      <c r="D3497" s="8">
        <f>IFERROR(__xludf.DUMMYFUNCTION("""COMPUTED_VALUE"""),0.675)</f>
        <v>0.675</v>
      </c>
      <c r="E3497" s="8" t="str">
        <f>IFERROR(__xludf.DUMMYFUNCTION("""COMPUTED_VALUE"""),"Real")</f>
        <v>Real</v>
      </c>
      <c r="G3497" s="8">
        <f t="shared" si="1"/>
        <v>3</v>
      </c>
      <c r="H3497" s="14">
        <f t="shared" si="2"/>
        <v>26</v>
      </c>
      <c r="I3497" s="15">
        <f t="shared" si="3"/>
        <v>17</v>
      </c>
    </row>
    <row r="3498">
      <c r="A3498" s="8" t="str">
        <f>IFERROR(__xludf.DUMMYFUNCTION("IF('(INGESTA)Datos_consumo_datadis'!A3498&lt;&gt;"""",SPLIT('(INGESTA)Datos_consumo_datadis'!A:A,"",""),"""")"),"ES0031408323131005HX0F")</f>
        <v>ES0031408323131005HX0F</v>
      </c>
      <c r="B3498" s="12">
        <f>IFERROR(__xludf.DUMMYFUNCTION("""COMPUTED_VALUE"""),45011.0)</f>
        <v>45011</v>
      </c>
      <c r="C3498" s="13">
        <f>IFERROR(__xludf.DUMMYFUNCTION("""COMPUTED_VALUE"""),0.75)</f>
        <v>0.75</v>
      </c>
      <c r="D3498" s="8">
        <f>IFERROR(__xludf.DUMMYFUNCTION("""COMPUTED_VALUE"""),0.165)</f>
        <v>0.165</v>
      </c>
      <c r="E3498" s="8" t="str">
        <f>IFERROR(__xludf.DUMMYFUNCTION("""COMPUTED_VALUE"""),"Real")</f>
        <v>Real</v>
      </c>
      <c r="G3498" s="8">
        <f t="shared" si="1"/>
        <v>3</v>
      </c>
      <c r="H3498" s="14">
        <f t="shared" si="2"/>
        <v>26</v>
      </c>
      <c r="I3498" s="15">
        <f t="shared" si="3"/>
        <v>18</v>
      </c>
    </row>
    <row r="3499">
      <c r="A3499" s="8" t="str">
        <f>IFERROR(__xludf.DUMMYFUNCTION("IF('(INGESTA)Datos_consumo_datadis'!A3499&lt;&gt;"""",SPLIT('(INGESTA)Datos_consumo_datadis'!A:A,"",""),"""")"),"ES0031408323131005HX0F")</f>
        <v>ES0031408323131005HX0F</v>
      </c>
      <c r="B3499" s="12">
        <f>IFERROR(__xludf.DUMMYFUNCTION("""COMPUTED_VALUE"""),45011.0)</f>
        <v>45011</v>
      </c>
      <c r="C3499" s="13">
        <f>IFERROR(__xludf.DUMMYFUNCTION("""COMPUTED_VALUE"""),0.7916666666666666)</f>
        <v>0.7916666667</v>
      </c>
      <c r="D3499" s="8">
        <f>IFERROR(__xludf.DUMMYFUNCTION("""COMPUTED_VALUE"""),0.213)</f>
        <v>0.213</v>
      </c>
      <c r="E3499" s="8" t="str">
        <f>IFERROR(__xludf.DUMMYFUNCTION("""COMPUTED_VALUE"""),"Real")</f>
        <v>Real</v>
      </c>
      <c r="G3499" s="8">
        <f t="shared" si="1"/>
        <v>3</v>
      </c>
      <c r="H3499" s="14">
        <f t="shared" si="2"/>
        <v>26</v>
      </c>
      <c r="I3499" s="15">
        <f t="shared" si="3"/>
        <v>19</v>
      </c>
    </row>
    <row r="3500">
      <c r="A3500" s="8" t="str">
        <f>IFERROR(__xludf.DUMMYFUNCTION("IF('(INGESTA)Datos_consumo_datadis'!A3500&lt;&gt;"""",SPLIT('(INGESTA)Datos_consumo_datadis'!A:A,"",""),"""")"),"ES0031408323131005HX0F")</f>
        <v>ES0031408323131005HX0F</v>
      </c>
      <c r="B3500" s="12">
        <f>IFERROR(__xludf.DUMMYFUNCTION("""COMPUTED_VALUE"""),45011.0)</f>
        <v>45011</v>
      </c>
      <c r="C3500" s="13">
        <f>IFERROR(__xludf.DUMMYFUNCTION("""COMPUTED_VALUE"""),0.8333333333333334)</f>
        <v>0.8333333333</v>
      </c>
      <c r="D3500" s="8">
        <f>IFERROR(__xludf.DUMMYFUNCTION("""COMPUTED_VALUE"""),0.352)</f>
        <v>0.352</v>
      </c>
      <c r="E3500" s="8" t="str">
        <f>IFERROR(__xludf.DUMMYFUNCTION("""COMPUTED_VALUE"""),"Real")</f>
        <v>Real</v>
      </c>
      <c r="G3500" s="8">
        <f t="shared" si="1"/>
        <v>3</v>
      </c>
      <c r="H3500" s="14">
        <f t="shared" si="2"/>
        <v>26</v>
      </c>
      <c r="I3500" s="15">
        <f t="shared" si="3"/>
        <v>20</v>
      </c>
    </row>
    <row r="3501">
      <c r="A3501" s="8" t="str">
        <f>IFERROR(__xludf.DUMMYFUNCTION("IF('(INGESTA)Datos_consumo_datadis'!A3501&lt;&gt;"""",SPLIT('(INGESTA)Datos_consumo_datadis'!A:A,"",""),"""")"),"ES0031408323131005HX0F")</f>
        <v>ES0031408323131005HX0F</v>
      </c>
      <c r="B3501" s="12">
        <f>IFERROR(__xludf.DUMMYFUNCTION("""COMPUTED_VALUE"""),45011.0)</f>
        <v>45011</v>
      </c>
      <c r="C3501" s="13">
        <f>IFERROR(__xludf.DUMMYFUNCTION("""COMPUTED_VALUE"""),0.875)</f>
        <v>0.875</v>
      </c>
      <c r="D3501" s="8">
        <f>IFERROR(__xludf.DUMMYFUNCTION("""COMPUTED_VALUE"""),0.998)</f>
        <v>0.998</v>
      </c>
      <c r="E3501" s="8" t="str">
        <f>IFERROR(__xludf.DUMMYFUNCTION("""COMPUTED_VALUE"""),"Real")</f>
        <v>Real</v>
      </c>
      <c r="G3501" s="8">
        <f t="shared" si="1"/>
        <v>3</v>
      </c>
      <c r="H3501" s="14">
        <f t="shared" si="2"/>
        <v>26</v>
      </c>
      <c r="I3501" s="15">
        <f t="shared" si="3"/>
        <v>21</v>
      </c>
    </row>
    <row r="3502">
      <c r="A3502" s="8" t="str">
        <f>IFERROR(__xludf.DUMMYFUNCTION("IF('(INGESTA)Datos_consumo_datadis'!A3502&lt;&gt;"""",SPLIT('(INGESTA)Datos_consumo_datadis'!A:A,"",""),"""")"),"ES0031408323131005HX0F")</f>
        <v>ES0031408323131005HX0F</v>
      </c>
      <c r="B3502" s="12">
        <f>IFERROR(__xludf.DUMMYFUNCTION("""COMPUTED_VALUE"""),45011.0)</f>
        <v>45011</v>
      </c>
      <c r="C3502" s="13">
        <f>IFERROR(__xludf.DUMMYFUNCTION("""COMPUTED_VALUE"""),0.9166666666666666)</f>
        <v>0.9166666667</v>
      </c>
      <c r="D3502" s="8">
        <f>IFERROR(__xludf.DUMMYFUNCTION("""COMPUTED_VALUE"""),2.087)</f>
        <v>2.087</v>
      </c>
      <c r="E3502" s="8" t="str">
        <f>IFERROR(__xludf.DUMMYFUNCTION("""COMPUTED_VALUE"""),"Real")</f>
        <v>Real</v>
      </c>
      <c r="G3502" s="8">
        <f t="shared" si="1"/>
        <v>3</v>
      </c>
      <c r="H3502" s="14">
        <f t="shared" si="2"/>
        <v>26</v>
      </c>
      <c r="I3502" s="15">
        <f t="shared" si="3"/>
        <v>22</v>
      </c>
    </row>
    <row r="3503">
      <c r="A3503" s="8" t="str">
        <f>IFERROR(__xludf.DUMMYFUNCTION("IF('(INGESTA)Datos_consumo_datadis'!A3503&lt;&gt;"""",SPLIT('(INGESTA)Datos_consumo_datadis'!A:A,"",""),"""")"),"ES0031408323131005HX0F")</f>
        <v>ES0031408323131005HX0F</v>
      </c>
      <c r="B3503" s="12">
        <f>IFERROR(__xludf.DUMMYFUNCTION("""COMPUTED_VALUE"""),45011.0)</f>
        <v>45011</v>
      </c>
      <c r="C3503" s="13">
        <f>IFERROR(__xludf.DUMMYFUNCTION("""COMPUTED_VALUE"""),0.9583333333333334)</f>
        <v>0.9583333333</v>
      </c>
      <c r="D3503" s="8">
        <f>IFERROR(__xludf.DUMMYFUNCTION("""COMPUTED_VALUE"""),1.041)</f>
        <v>1.041</v>
      </c>
      <c r="E3503" s="8" t="str">
        <f>IFERROR(__xludf.DUMMYFUNCTION("""COMPUTED_VALUE"""),"Real")</f>
        <v>Real</v>
      </c>
      <c r="G3503" s="8">
        <f t="shared" si="1"/>
        <v>3</v>
      </c>
      <c r="H3503" s="14">
        <f t="shared" si="2"/>
        <v>26</v>
      </c>
      <c r="I3503" s="15">
        <f t="shared" si="3"/>
        <v>23</v>
      </c>
    </row>
    <row r="3504">
      <c r="A3504" s="8" t="str">
        <f>IFERROR(__xludf.DUMMYFUNCTION("IF('(INGESTA)Datos_consumo_datadis'!A3504&lt;&gt;"""",SPLIT('(INGESTA)Datos_consumo_datadis'!A:A,"",""),"""")"),"ES0031408323131005HX0F")</f>
        <v>ES0031408323131005HX0F</v>
      </c>
      <c r="B3504" s="12">
        <f>IFERROR(__xludf.DUMMYFUNCTION("""COMPUTED_VALUE"""),45011.0)</f>
        <v>45011</v>
      </c>
      <c r="C3504" s="16">
        <f>IFERROR(__xludf.DUMMYFUNCTION("""COMPUTED_VALUE"""),1.0)</f>
        <v>1</v>
      </c>
      <c r="D3504" s="8">
        <f>IFERROR(__xludf.DUMMYFUNCTION("""COMPUTED_VALUE"""),0.625)</f>
        <v>0.625</v>
      </c>
      <c r="E3504" s="8" t="str">
        <f>IFERROR(__xludf.DUMMYFUNCTION("""COMPUTED_VALUE"""),"Real")</f>
        <v>Real</v>
      </c>
      <c r="G3504" s="8">
        <f t="shared" si="1"/>
        <v>3</v>
      </c>
      <c r="H3504" s="14">
        <f t="shared" si="2"/>
        <v>26</v>
      </c>
      <c r="I3504" s="15">
        <f t="shared" si="3"/>
        <v>0</v>
      </c>
    </row>
    <row r="3505">
      <c r="A3505" s="8" t="str">
        <f>IFERROR(__xludf.DUMMYFUNCTION("IF('(INGESTA)Datos_consumo_datadis'!A3505&lt;&gt;"""",SPLIT('(INGESTA)Datos_consumo_datadis'!A:A,"",""),"""")"),"ES0031408323131005HX0F")</f>
        <v>ES0031408323131005HX0F</v>
      </c>
      <c r="B3505" s="12">
        <f>IFERROR(__xludf.DUMMYFUNCTION("""COMPUTED_VALUE"""),45012.0)</f>
        <v>45012</v>
      </c>
      <c r="C3505" s="13">
        <f>IFERROR(__xludf.DUMMYFUNCTION("""COMPUTED_VALUE"""),0.041666666666666664)</f>
        <v>0.04166666667</v>
      </c>
      <c r="D3505" s="8">
        <f>IFERROR(__xludf.DUMMYFUNCTION("""COMPUTED_VALUE"""),0.287)</f>
        <v>0.287</v>
      </c>
      <c r="E3505" s="8" t="str">
        <f>IFERROR(__xludf.DUMMYFUNCTION("""COMPUTED_VALUE"""),"Real")</f>
        <v>Real</v>
      </c>
      <c r="G3505" s="8">
        <f t="shared" si="1"/>
        <v>3</v>
      </c>
      <c r="H3505" s="14">
        <f t="shared" si="2"/>
        <v>27</v>
      </c>
      <c r="I3505" s="15">
        <f t="shared" si="3"/>
        <v>1</v>
      </c>
    </row>
    <row r="3506">
      <c r="A3506" s="8" t="str">
        <f>IFERROR(__xludf.DUMMYFUNCTION("IF('(INGESTA)Datos_consumo_datadis'!A3506&lt;&gt;"""",SPLIT('(INGESTA)Datos_consumo_datadis'!A:A,"",""),"""")"),"ES0031408323131005HX0F")</f>
        <v>ES0031408323131005HX0F</v>
      </c>
      <c r="B3506" s="12">
        <f>IFERROR(__xludf.DUMMYFUNCTION("""COMPUTED_VALUE"""),45012.0)</f>
        <v>45012</v>
      </c>
      <c r="C3506" s="13">
        <f>IFERROR(__xludf.DUMMYFUNCTION("""COMPUTED_VALUE"""),0.08333333333333333)</f>
        <v>0.08333333333</v>
      </c>
      <c r="D3506" s="8">
        <f>IFERROR(__xludf.DUMMYFUNCTION("""COMPUTED_VALUE"""),0.051)</f>
        <v>0.051</v>
      </c>
      <c r="E3506" s="8" t="str">
        <f>IFERROR(__xludf.DUMMYFUNCTION("""COMPUTED_VALUE"""),"Real")</f>
        <v>Real</v>
      </c>
      <c r="G3506" s="8">
        <f t="shared" si="1"/>
        <v>3</v>
      </c>
      <c r="H3506" s="14">
        <f t="shared" si="2"/>
        <v>27</v>
      </c>
      <c r="I3506" s="15">
        <f t="shared" si="3"/>
        <v>2</v>
      </c>
    </row>
    <row r="3507">
      <c r="A3507" s="8" t="str">
        <f>IFERROR(__xludf.DUMMYFUNCTION("IF('(INGESTA)Datos_consumo_datadis'!A3507&lt;&gt;"""",SPLIT('(INGESTA)Datos_consumo_datadis'!A:A,"",""),"""")"),"ES0031408323131005HX0F")</f>
        <v>ES0031408323131005HX0F</v>
      </c>
      <c r="B3507" s="12">
        <f>IFERROR(__xludf.DUMMYFUNCTION("""COMPUTED_VALUE"""),45012.0)</f>
        <v>45012</v>
      </c>
      <c r="C3507" s="13">
        <f>IFERROR(__xludf.DUMMYFUNCTION("""COMPUTED_VALUE"""),0.125)</f>
        <v>0.125</v>
      </c>
      <c r="D3507" s="8">
        <f>IFERROR(__xludf.DUMMYFUNCTION("""COMPUTED_VALUE"""),0.096)</f>
        <v>0.096</v>
      </c>
      <c r="E3507" s="8" t="str">
        <f>IFERROR(__xludf.DUMMYFUNCTION("""COMPUTED_VALUE"""),"Real")</f>
        <v>Real</v>
      </c>
      <c r="G3507" s="8">
        <f t="shared" si="1"/>
        <v>3</v>
      </c>
      <c r="H3507" s="14">
        <f t="shared" si="2"/>
        <v>27</v>
      </c>
      <c r="I3507" s="15">
        <f t="shared" si="3"/>
        <v>3</v>
      </c>
    </row>
    <row r="3508">
      <c r="A3508" s="8" t="str">
        <f>IFERROR(__xludf.DUMMYFUNCTION("IF('(INGESTA)Datos_consumo_datadis'!A3508&lt;&gt;"""",SPLIT('(INGESTA)Datos_consumo_datadis'!A:A,"",""),"""")"),"ES0031408323131005HX0F")</f>
        <v>ES0031408323131005HX0F</v>
      </c>
      <c r="B3508" s="12">
        <f>IFERROR(__xludf.DUMMYFUNCTION("""COMPUTED_VALUE"""),45012.0)</f>
        <v>45012</v>
      </c>
      <c r="C3508" s="13">
        <f>IFERROR(__xludf.DUMMYFUNCTION("""COMPUTED_VALUE"""),0.16666666666666666)</f>
        <v>0.1666666667</v>
      </c>
      <c r="D3508" s="8">
        <f>IFERROR(__xludf.DUMMYFUNCTION("""COMPUTED_VALUE"""),0.049)</f>
        <v>0.049</v>
      </c>
      <c r="E3508" s="8" t="str">
        <f>IFERROR(__xludf.DUMMYFUNCTION("""COMPUTED_VALUE"""),"Real")</f>
        <v>Real</v>
      </c>
      <c r="G3508" s="8">
        <f t="shared" si="1"/>
        <v>3</v>
      </c>
      <c r="H3508" s="14">
        <f t="shared" si="2"/>
        <v>27</v>
      </c>
      <c r="I3508" s="15">
        <f t="shared" si="3"/>
        <v>4</v>
      </c>
    </row>
    <row r="3509">
      <c r="A3509" s="8" t="str">
        <f>IFERROR(__xludf.DUMMYFUNCTION("IF('(INGESTA)Datos_consumo_datadis'!A3509&lt;&gt;"""",SPLIT('(INGESTA)Datos_consumo_datadis'!A:A,"",""),"""")"),"ES0031408323131005HX0F")</f>
        <v>ES0031408323131005HX0F</v>
      </c>
      <c r="B3509" s="12">
        <f>IFERROR(__xludf.DUMMYFUNCTION("""COMPUTED_VALUE"""),45012.0)</f>
        <v>45012</v>
      </c>
      <c r="C3509" s="13">
        <f>IFERROR(__xludf.DUMMYFUNCTION("""COMPUTED_VALUE"""),0.20833333333333334)</f>
        <v>0.2083333333</v>
      </c>
      <c r="D3509" s="8">
        <f>IFERROR(__xludf.DUMMYFUNCTION("""COMPUTED_VALUE"""),0.317)</f>
        <v>0.317</v>
      </c>
      <c r="E3509" s="8" t="str">
        <f>IFERROR(__xludf.DUMMYFUNCTION("""COMPUTED_VALUE"""),"Real")</f>
        <v>Real</v>
      </c>
      <c r="G3509" s="8">
        <f t="shared" si="1"/>
        <v>3</v>
      </c>
      <c r="H3509" s="14">
        <f t="shared" si="2"/>
        <v>27</v>
      </c>
      <c r="I3509" s="15">
        <f t="shared" si="3"/>
        <v>5</v>
      </c>
    </row>
    <row r="3510">
      <c r="A3510" s="8" t="str">
        <f>IFERROR(__xludf.DUMMYFUNCTION("IF('(INGESTA)Datos_consumo_datadis'!A3510&lt;&gt;"""",SPLIT('(INGESTA)Datos_consumo_datadis'!A:A,"",""),"""")"),"ES0031408323131005HX0F")</f>
        <v>ES0031408323131005HX0F</v>
      </c>
      <c r="B3510" s="12">
        <f>IFERROR(__xludf.DUMMYFUNCTION("""COMPUTED_VALUE"""),45012.0)</f>
        <v>45012</v>
      </c>
      <c r="C3510" s="13">
        <f>IFERROR(__xludf.DUMMYFUNCTION("""COMPUTED_VALUE"""),0.25)</f>
        <v>0.25</v>
      </c>
      <c r="D3510" s="8">
        <f>IFERROR(__xludf.DUMMYFUNCTION("""COMPUTED_VALUE"""),0.084)</f>
        <v>0.084</v>
      </c>
      <c r="E3510" s="8" t="str">
        <f>IFERROR(__xludf.DUMMYFUNCTION("""COMPUTED_VALUE"""),"Real")</f>
        <v>Real</v>
      </c>
      <c r="G3510" s="8">
        <f t="shared" si="1"/>
        <v>3</v>
      </c>
      <c r="H3510" s="14">
        <f t="shared" si="2"/>
        <v>27</v>
      </c>
      <c r="I3510" s="15">
        <f t="shared" si="3"/>
        <v>6</v>
      </c>
    </row>
    <row r="3511">
      <c r="A3511" s="8" t="str">
        <f>IFERROR(__xludf.DUMMYFUNCTION("IF('(INGESTA)Datos_consumo_datadis'!A3511&lt;&gt;"""",SPLIT('(INGESTA)Datos_consumo_datadis'!A:A,"",""),"""")"),"ES0031408323131005HX0F")</f>
        <v>ES0031408323131005HX0F</v>
      </c>
      <c r="B3511" s="12">
        <f>IFERROR(__xludf.DUMMYFUNCTION("""COMPUTED_VALUE"""),45012.0)</f>
        <v>45012</v>
      </c>
      <c r="C3511" s="13">
        <f>IFERROR(__xludf.DUMMYFUNCTION("""COMPUTED_VALUE"""),0.2916666666666667)</f>
        <v>0.2916666667</v>
      </c>
      <c r="D3511" s="8">
        <f>IFERROR(__xludf.DUMMYFUNCTION("""COMPUTED_VALUE"""),0.072)</f>
        <v>0.072</v>
      </c>
      <c r="E3511" s="8" t="str">
        <f>IFERROR(__xludf.DUMMYFUNCTION("""COMPUTED_VALUE"""),"Real")</f>
        <v>Real</v>
      </c>
      <c r="G3511" s="8">
        <f t="shared" si="1"/>
        <v>3</v>
      </c>
      <c r="H3511" s="14">
        <f t="shared" si="2"/>
        <v>27</v>
      </c>
      <c r="I3511" s="15">
        <f t="shared" si="3"/>
        <v>7</v>
      </c>
    </row>
    <row r="3512">
      <c r="A3512" s="8" t="str">
        <f>IFERROR(__xludf.DUMMYFUNCTION("IF('(INGESTA)Datos_consumo_datadis'!A3512&lt;&gt;"""",SPLIT('(INGESTA)Datos_consumo_datadis'!A:A,"",""),"""")"),"ES0031408323131005HX0F")</f>
        <v>ES0031408323131005HX0F</v>
      </c>
      <c r="B3512" s="12">
        <f>IFERROR(__xludf.DUMMYFUNCTION("""COMPUTED_VALUE"""),45012.0)</f>
        <v>45012</v>
      </c>
      <c r="C3512" s="13">
        <f>IFERROR(__xludf.DUMMYFUNCTION("""COMPUTED_VALUE"""),0.3333333333333333)</f>
        <v>0.3333333333</v>
      </c>
      <c r="D3512" s="8">
        <f>IFERROR(__xludf.DUMMYFUNCTION("""COMPUTED_VALUE"""),0.159)</f>
        <v>0.159</v>
      </c>
      <c r="E3512" s="8" t="str">
        <f>IFERROR(__xludf.DUMMYFUNCTION("""COMPUTED_VALUE"""),"Real")</f>
        <v>Real</v>
      </c>
      <c r="G3512" s="8">
        <f t="shared" si="1"/>
        <v>3</v>
      </c>
      <c r="H3512" s="14">
        <f t="shared" si="2"/>
        <v>27</v>
      </c>
      <c r="I3512" s="15">
        <f t="shared" si="3"/>
        <v>8</v>
      </c>
    </row>
    <row r="3513">
      <c r="A3513" s="8" t="str">
        <f>IFERROR(__xludf.DUMMYFUNCTION("IF('(INGESTA)Datos_consumo_datadis'!A3513&lt;&gt;"""",SPLIT('(INGESTA)Datos_consumo_datadis'!A:A,"",""),"""")"),"ES0031408323131005HX0F")</f>
        <v>ES0031408323131005HX0F</v>
      </c>
      <c r="B3513" s="12">
        <f>IFERROR(__xludf.DUMMYFUNCTION("""COMPUTED_VALUE"""),45012.0)</f>
        <v>45012</v>
      </c>
      <c r="C3513" s="13">
        <f>IFERROR(__xludf.DUMMYFUNCTION("""COMPUTED_VALUE"""),0.375)</f>
        <v>0.375</v>
      </c>
      <c r="D3513" s="8">
        <f>IFERROR(__xludf.DUMMYFUNCTION("""COMPUTED_VALUE"""),0.31)</f>
        <v>0.31</v>
      </c>
      <c r="E3513" s="8" t="str">
        <f>IFERROR(__xludf.DUMMYFUNCTION("""COMPUTED_VALUE"""),"Real")</f>
        <v>Real</v>
      </c>
      <c r="G3513" s="8">
        <f t="shared" si="1"/>
        <v>3</v>
      </c>
      <c r="H3513" s="14">
        <f t="shared" si="2"/>
        <v>27</v>
      </c>
      <c r="I3513" s="15">
        <f t="shared" si="3"/>
        <v>9</v>
      </c>
    </row>
    <row r="3514">
      <c r="A3514" s="8" t="str">
        <f>IFERROR(__xludf.DUMMYFUNCTION("IF('(INGESTA)Datos_consumo_datadis'!A3514&lt;&gt;"""",SPLIT('(INGESTA)Datos_consumo_datadis'!A:A,"",""),"""")"),"ES0031408323131005HX0F")</f>
        <v>ES0031408323131005HX0F</v>
      </c>
      <c r="B3514" s="12">
        <f>IFERROR(__xludf.DUMMYFUNCTION("""COMPUTED_VALUE"""),45012.0)</f>
        <v>45012</v>
      </c>
      <c r="C3514" s="13">
        <f>IFERROR(__xludf.DUMMYFUNCTION("""COMPUTED_VALUE"""),0.4166666666666667)</f>
        <v>0.4166666667</v>
      </c>
      <c r="D3514" s="8">
        <f>IFERROR(__xludf.DUMMYFUNCTION("""COMPUTED_VALUE"""),0.499)</f>
        <v>0.499</v>
      </c>
      <c r="E3514" s="8" t="str">
        <f>IFERROR(__xludf.DUMMYFUNCTION("""COMPUTED_VALUE"""),"Real")</f>
        <v>Real</v>
      </c>
      <c r="G3514" s="8">
        <f t="shared" si="1"/>
        <v>3</v>
      </c>
      <c r="H3514" s="14">
        <f t="shared" si="2"/>
        <v>27</v>
      </c>
      <c r="I3514" s="15">
        <f t="shared" si="3"/>
        <v>10</v>
      </c>
    </row>
    <row r="3515">
      <c r="A3515" s="8" t="str">
        <f>IFERROR(__xludf.DUMMYFUNCTION("IF('(INGESTA)Datos_consumo_datadis'!A3515&lt;&gt;"""",SPLIT('(INGESTA)Datos_consumo_datadis'!A:A,"",""),"""")"),"ES0031408323131005HX0F")</f>
        <v>ES0031408323131005HX0F</v>
      </c>
      <c r="B3515" s="12">
        <f>IFERROR(__xludf.DUMMYFUNCTION("""COMPUTED_VALUE"""),45012.0)</f>
        <v>45012</v>
      </c>
      <c r="C3515" s="13">
        <f>IFERROR(__xludf.DUMMYFUNCTION("""COMPUTED_VALUE"""),0.4583333333333333)</f>
        <v>0.4583333333</v>
      </c>
      <c r="D3515" s="8">
        <f>IFERROR(__xludf.DUMMYFUNCTION("""COMPUTED_VALUE"""),0.789)</f>
        <v>0.789</v>
      </c>
      <c r="E3515" s="8" t="str">
        <f>IFERROR(__xludf.DUMMYFUNCTION("""COMPUTED_VALUE"""),"Real")</f>
        <v>Real</v>
      </c>
      <c r="G3515" s="8">
        <f t="shared" si="1"/>
        <v>3</v>
      </c>
      <c r="H3515" s="14">
        <f t="shared" si="2"/>
        <v>27</v>
      </c>
      <c r="I3515" s="15">
        <f t="shared" si="3"/>
        <v>11</v>
      </c>
    </row>
    <row r="3516">
      <c r="A3516" s="8" t="str">
        <f>IFERROR(__xludf.DUMMYFUNCTION("IF('(INGESTA)Datos_consumo_datadis'!A3516&lt;&gt;"""",SPLIT('(INGESTA)Datos_consumo_datadis'!A:A,"",""),"""")"),"ES0031408323131005HX0F")</f>
        <v>ES0031408323131005HX0F</v>
      </c>
      <c r="B3516" s="12">
        <f>IFERROR(__xludf.DUMMYFUNCTION("""COMPUTED_VALUE"""),45012.0)</f>
        <v>45012</v>
      </c>
      <c r="C3516" s="13">
        <f>IFERROR(__xludf.DUMMYFUNCTION("""COMPUTED_VALUE"""),0.5)</f>
        <v>0.5</v>
      </c>
      <c r="D3516" s="8">
        <f>IFERROR(__xludf.DUMMYFUNCTION("""COMPUTED_VALUE"""),0.37)</f>
        <v>0.37</v>
      </c>
      <c r="E3516" s="8" t="str">
        <f>IFERROR(__xludf.DUMMYFUNCTION("""COMPUTED_VALUE"""),"Real")</f>
        <v>Real</v>
      </c>
      <c r="G3516" s="8">
        <f t="shared" si="1"/>
        <v>3</v>
      </c>
      <c r="H3516" s="14">
        <f t="shared" si="2"/>
        <v>27</v>
      </c>
      <c r="I3516" s="15">
        <f t="shared" si="3"/>
        <v>12</v>
      </c>
    </row>
    <row r="3517">
      <c r="A3517" s="8" t="str">
        <f>IFERROR(__xludf.DUMMYFUNCTION("IF('(INGESTA)Datos_consumo_datadis'!A3517&lt;&gt;"""",SPLIT('(INGESTA)Datos_consumo_datadis'!A:A,"",""),"""")"),"ES0031408323131005HX0F")</f>
        <v>ES0031408323131005HX0F</v>
      </c>
      <c r="B3517" s="12">
        <f>IFERROR(__xludf.DUMMYFUNCTION("""COMPUTED_VALUE"""),45012.0)</f>
        <v>45012</v>
      </c>
      <c r="C3517" s="13">
        <f>IFERROR(__xludf.DUMMYFUNCTION("""COMPUTED_VALUE"""),0.5416666666666666)</f>
        <v>0.5416666667</v>
      </c>
      <c r="D3517" s="8">
        <f>IFERROR(__xludf.DUMMYFUNCTION("""COMPUTED_VALUE"""),0.122)</f>
        <v>0.122</v>
      </c>
      <c r="E3517" s="8" t="str">
        <f>IFERROR(__xludf.DUMMYFUNCTION("""COMPUTED_VALUE"""),"Real")</f>
        <v>Real</v>
      </c>
      <c r="G3517" s="8">
        <f t="shared" si="1"/>
        <v>3</v>
      </c>
      <c r="H3517" s="14">
        <f t="shared" si="2"/>
        <v>27</v>
      </c>
      <c r="I3517" s="15">
        <f t="shared" si="3"/>
        <v>13</v>
      </c>
    </row>
    <row r="3518">
      <c r="A3518" s="8" t="str">
        <f>IFERROR(__xludf.DUMMYFUNCTION("IF('(INGESTA)Datos_consumo_datadis'!A3518&lt;&gt;"""",SPLIT('(INGESTA)Datos_consumo_datadis'!A:A,"",""),"""")"),"ES0031408323131005HX0F")</f>
        <v>ES0031408323131005HX0F</v>
      </c>
      <c r="B3518" s="12">
        <f>IFERROR(__xludf.DUMMYFUNCTION("""COMPUTED_VALUE"""),45012.0)</f>
        <v>45012</v>
      </c>
      <c r="C3518" s="13">
        <f>IFERROR(__xludf.DUMMYFUNCTION("""COMPUTED_VALUE"""),0.5833333333333334)</f>
        <v>0.5833333333</v>
      </c>
      <c r="D3518" s="8">
        <f>IFERROR(__xludf.DUMMYFUNCTION("""COMPUTED_VALUE"""),0.085)</f>
        <v>0.085</v>
      </c>
      <c r="E3518" s="8" t="str">
        <f>IFERROR(__xludf.DUMMYFUNCTION("""COMPUTED_VALUE"""),"Real")</f>
        <v>Real</v>
      </c>
      <c r="G3518" s="8">
        <f t="shared" si="1"/>
        <v>3</v>
      </c>
      <c r="H3518" s="14">
        <f t="shared" si="2"/>
        <v>27</v>
      </c>
      <c r="I3518" s="15">
        <f t="shared" si="3"/>
        <v>14</v>
      </c>
    </row>
    <row r="3519">
      <c r="A3519" s="8" t="str">
        <f>IFERROR(__xludf.DUMMYFUNCTION("IF('(INGESTA)Datos_consumo_datadis'!A3519&lt;&gt;"""",SPLIT('(INGESTA)Datos_consumo_datadis'!A:A,"",""),"""")"),"ES0031408323131005HX0F")</f>
        <v>ES0031408323131005HX0F</v>
      </c>
      <c r="B3519" s="12">
        <f>IFERROR(__xludf.DUMMYFUNCTION("""COMPUTED_VALUE"""),45012.0)</f>
        <v>45012</v>
      </c>
      <c r="C3519" s="13">
        <f>IFERROR(__xludf.DUMMYFUNCTION("""COMPUTED_VALUE"""),0.625)</f>
        <v>0.625</v>
      </c>
      <c r="D3519" s="8">
        <f>IFERROR(__xludf.DUMMYFUNCTION("""COMPUTED_VALUE"""),0.066)</f>
        <v>0.066</v>
      </c>
      <c r="E3519" s="8" t="str">
        <f>IFERROR(__xludf.DUMMYFUNCTION("""COMPUTED_VALUE"""),"Real")</f>
        <v>Real</v>
      </c>
      <c r="G3519" s="8">
        <f t="shared" si="1"/>
        <v>3</v>
      </c>
      <c r="H3519" s="14">
        <f t="shared" si="2"/>
        <v>27</v>
      </c>
      <c r="I3519" s="15">
        <f t="shared" si="3"/>
        <v>15</v>
      </c>
    </row>
    <row r="3520">
      <c r="A3520" s="8" t="str">
        <f>IFERROR(__xludf.DUMMYFUNCTION("IF('(INGESTA)Datos_consumo_datadis'!A3520&lt;&gt;"""",SPLIT('(INGESTA)Datos_consumo_datadis'!A:A,"",""),"""")"),"ES0031408323131005HX0F")</f>
        <v>ES0031408323131005HX0F</v>
      </c>
      <c r="B3520" s="12">
        <f>IFERROR(__xludf.DUMMYFUNCTION("""COMPUTED_VALUE"""),45012.0)</f>
        <v>45012</v>
      </c>
      <c r="C3520" s="13">
        <f>IFERROR(__xludf.DUMMYFUNCTION("""COMPUTED_VALUE"""),0.6666666666666666)</f>
        <v>0.6666666667</v>
      </c>
      <c r="D3520" s="8">
        <f>IFERROR(__xludf.DUMMYFUNCTION("""COMPUTED_VALUE"""),0.268)</f>
        <v>0.268</v>
      </c>
      <c r="E3520" s="8" t="str">
        <f>IFERROR(__xludf.DUMMYFUNCTION("""COMPUTED_VALUE"""),"Real")</f>
        <v>Real</v>
      </c>
      <c r="G3520" s="8">
        <f t="shared" si="1"/>
        <v>3</v>
      </c>
      <c r="H3520" s="14">
        <f t="shared" si="2"/>
        <v>27</v>
      </c>
      <c r="I3520" s="15">
        <f t="shared" si="3"/>
        <v>16</v>
      </c>
    </row>
    <row r="3521">
      <c r="A3521" s="8" t="str">
        <f>IFERROR(__xludf.DUMMYFUNCTION("IF('(INGESTA)Datos_consumo_datadis'!A3521&lt;&gt;"""",SPLIT('(INGESTA)Datos_consumo_datadis'!A:A,"",""),"""")"),"ES0031408323131005HX0F")</f>
        <v>ES0031408323131005HX0F</v>
      </c>
      <c r="B3521" s="12">
        <f>IFERROR(__xludf.DUMMYFUNCTION("""COMPUTED_VALUE"""),45012.0)</f>
        <v>45012</v>
      </c>
      <c r="C3521" s="13">
        <f>IFERROR(__xludf.DUMMYFUNCTION("""COMPUTED_VALUE"""),0.7083333333333334)</f>
        <v>0.7083333333</v>
      </c>
      <c r="D3521" s="8">
        <f>IFERROR(__xludf.DUMMYFUNCTION("""COMPUTED_VALUE"""),0.06)</f>
        <v>0.06</v>
      </c>
      <c r="E3521" s="8" t="str">
        <f>IFERROR(__xludf.DUMMYFUNCTION("""COMPUTED_VALUE"""),"Real")</f>
        <v>Real</v>
      </c>
      <c r="G3521" s="8">
        <f t="shared" si="1"/>
        <v>3</v>
      </c>
      <c r="H3521" s="14">
        <f t="shared" si="2"/>
        <v>27</v>
      </c>
      <c r="I3521" s="15">
        <f t="shared" si="3"/>
        <v>17</v>
      </c>
    </row>
    <row r="3522">
      <c r="A3522" s="8" t="str">
        <f>IFERROR(__xludf.DUMMYFUNCTION("IF('(INGESTA)Datos_consumo_datadis'!A3522&lt;&gt;"""",SPLIT('(INGESTA)Datos_consumo_datadis'!A:A,"",""),"""")"),"ES0031408323131005HX0F")</f>
        <v>ES0031408323131005HX0F</v>
      </c>
      <c r="B3522" s="12">
        <f>IFERROR(__xludf.DUMMYFUNCTION("""COMPUTED_VALUE"""),45012.0)</f>
        <v>45012</v>
      </c>
      <c r="C3522" s="13">
        <f>IFERROR(__xludf.DUMMYFUNCTION("""COMPUTED_VALUE"""),0.75)</f>
        <v>0.75</v>
      </c>
      <c r="D3522" s="8">
        <f>IFERROR(__xludf.DUMMYFUNCTION("""COMPUTED_VALUE"""),0.074)</f>
        <v>0.074</v>
      </c>
      <c r="E3522" s="8" t="str">
        <f>IFERROR(__xludf.DUMMYFUNCTION("""COMPUTED_VALUE"""),"Real")</f>
        <v>Real</v>
      </c>
      <c r="G3522" s="8">
        <f t="shared" si="1"/>
        <v>3</v>
      </c>
      <c r="H3522" s="14">
        <f t="shared" si="2"/>
        <v>27</v>
      </c>
      <c r="I3522" s="15">
        <f t="shared" si="3"/>
        <v>18</v>
      </c>
    </row>
    <row r="3523">
      <c r="A3523" s="8" t="str">
        <f>IFERROR(__xludf.DUMMYFUNCTION("IF('(INGESTA)Datos_consumo_datadis'!A3523&lt;&gt;"""",SPLIT('(INGESTA)Datos_consumo_datadis'!A:A,"",""),"""")"),"ES0031408323131005HX0F")</f>
        <v>ES0031408323131005HX0F</v>
      </c>
      <c r="B3523" s="12">
        <f>IFERROR(__xludf.DUMMYFUNCTION("""COMPUTED_VALUE"""),45012.0)</f>
        <v>45012</v>
      </c>
      <c r="C3523" s="13">
        <f>IFERROR(__xludf.DUMMYFUNCTION("""COMPUTED_VALUE"""),0.7916666666666666)</f>
        <v>0.7916666667</v>
      </c>
      <c r="D3523" s="8">
        <f>IFERROR(__xludf.DUMMYFUNCTION("""COMPUTED_VALUE"""),0.064)</f>
        <v>0.064</v>
      </c>
      <c r="E3523" s="8" t="str">
        <f>IFERROR(__xludf.DUMMYFUNCTION("""COMPUTED_VALUE"""),"Real")</f>
        <v>Real</v>
      </c>
      <c r="G3523" s="8">
        <f t="shared" si="1"/>
        <v>3</v>
      </c>
      <c r="H3523" s="14">
        <f t="shared" si="2"/>
        <v>27</v>
      </c>
      <c r="I3523" s="15">
        <f t="shared" si="3"/>
        <v>19</v>
      </c>
    </row>
    <row r="3524">
      <c r="A3524" s="8" t="str">
        <f>IFERROR(__xludf.DUMMYFUNCTION("IF('(INGESTA)Datos_consumo_datadis'!A3524&lt;&gt;"""",SPLIT('(INGESTA)Datos_consumo_datadis'!A:A,"",""),"""")"),"ES0031408323131005HX0F")</f>
        <v>ES0031408323131005HX0F</v>
      </c>
      <c r="B3524" s="12">
        <f>IFERROR(__xludf.DUMMYFUNCTION("""COMPUTED_VALUE"""),45012.0)</f>
        <v>45012</v>
      </c>
      <c r="C3524" s="13">
        <f>IFERROR(__xludf.DUMMYFUNCTION("""COMPUTED_VALUE"""),0.8333333333333334)</f>
        <v>0.8333333333</v>
      </c>
      <c r="D3524" s="8">
        <f>IFERROR(__xludf.DUMMYFUNCTION("""COMPUTED_VALUE"""),0.017)</f>
        <v>0.017</v>
      </c>
      <c r="E3524" s="8" t="str">
        <f>IFERROR(__xludf.DUMMYFUNCTION("""COMPUTED_VALUE"""),"Real")</f>
        <v>Real</v>
      </c>
      <c r="G3524" s="8">
        <f t="shared" si="1"/>
        <v>3</v>
      </c>
      <c r="H3524" s="14">
        <f t="shared" si="2"/>
        <v>27</v>
      </c>
      <c r="I3524" s="15">
        <f t="shared" si="3"/>
        <v>20</v>
      </c>
    </row>
    <row r="3525">
      <c r="A3525" s="8" t="str">
        <f>IFERROR(__xludf.DUMMYFUNCTION("IF('(INGESTA)Datos_consumo_datadis'!A3525&lt;&gt;"""",SPLIT('(INGESTA)Datos_consumo_datadis'!A:A,"",""),"""")"),"ES0031408323131005HX0F")</f>
        <v>ES0031408323131005HX0F</v>
      </c>
      <c r="B3525" s="12">
        <f>IFERROR(__xludf.DUMMYFUNCTION("""COMPUTED_VALUE"""),45012.0)</f>
        <v>45012</v>
      </c>
      <c r="C3525" s="13">
        <f>IFERROR(__xludf.DUMMYFUNCTION("""COMPUTED_VALUE"""),0.875)</f>
        <v>0.875</v>
      </c>
      <c r="D3525" s="8">
        <f>IFERROR(__xludf.DUMMYFUNCTION("""COMPUTED_VALUE"""),0.065)</f>
        <v>0.065</v>
      </c>
      <c r="E3525" s="8" t="str">
        <f>IFERROR(__xludf.DUMMYFUNCTION("""COMPUTED_VALUE"""),"Real")</f>
        <v>Real</v>
      </c>
      <c r="G3525" s="8">
        <f t="shared" si="1"/>
        <v>3</v>
      </c>
      <c r="H3525" s="14">
        <f t="shared" si="2"/>
        <v>27</v>
      </c>
      <c r="I3525" s="15">
        <f t="shared" si="3"/>
        <v>21</v>
      </c>
    </row>
    <row r="3526">
      <c r="A3526" s="8" t="str">
        <f>IFERROR(__xludf.DUMMYFUNCTION("IF('(INGESTA)Datos_consumo_datadis'!A3526&lt;&gt;"""",SPLIT('(INGESTA)Datos_consumo_datadis'!A:A,"",""),"""")"),"ES0031408323131005HX0F")</f>
        <v>ES0031408323131005HX0F</v>
      </c>
      <c r="B3526" s="12">
        <f>IFERROR(__xludf.DUMMYFUNCTION("""COMPUTED_VALUE"""),45012.0)</f>
        <v>45012</v>
      </c>
      <c r="C3526" s="13">
        <f>IFERROR(__xludf.DUMMYFUNCTION("""COMPUTED_VALUE"""),0.9166666666666666)</f>
        <v>0.9166666667</v>
      </c>
      <c r="D3526" s="8">
        <f>IFERROR(__xludf.DUMMYFUNCTION("""COMPUTED_VALUE"""),0.328)</f>
        <v>0.328</v>
      </c>
      <c r="E3526" s="8" t="str">
        <f>IFERROR(__xludf.DUMMYFUNCTION("""COMPUTED_VALUE"""),"Real")</f>
        <v>Real</v>
      </c>
      <c r="G3526" s="8">
        <f t="shared" si="1"/>
        <v>3</v>
      </c>
      <c r="H3526" s="14">
        <f t="shared" si="2"/>
        <v>27</v>
      </c>
      <c r="I3526" s="15">
        <f t="shared" si="3"/>
        <v>22</v>
      </c>
    </row>
    <row r="3527">
      <c r="A3527" s="8" t="str">
        <f>IFERROR(__xludf.DUMMYFUNCTION("IF('(INGESTA)Datos_consumo_datadis'!A3527&lt;&gt;"""",SPLIT('(INGESTA)Datos_consumo_datadis'!A:A,"",""),"""")"),"ES0031408323131005HX0F")</f>
        <v>ES0031408323131005HX0F</v>
      </c>
      <c r="B3527" s="12">
        <f>IFERROR(__xludf.DUMMYFUNCTION("""COMPUTED_VALUE"""),45012.0)</f>
        <v>45012</v>
      </c>
      <c r="C3527" s="13">
        <f>IFERROR(__xludf.DUMMYFUNCTION("""COMPUTED_VALUE"""),0.9583333333333334)</f>
        <v>0.9583333333</v>
      </c>
      <c r="D3527" s="8">
        <f>IFERROR(__xludf.DUMMYFUNCTION("""COMPUTED_VALUE"""),0.242)</f>
        <v>0.242</v>
      </c>
      <c r="E3527" s="8" t="str">
        <f>IFERROR(__xludf.DUMMYFUNCTION("""COMPUTED_VALUE"""),"Real")</f>
        <v>Real</v>
      </c>
      <c r="G3527" s="8">
        <f t="shared" si="1"/>
        <v>3</v>
      </c>
      <c r="H3527" s="14">
        <f t="shared" si="2"/>
        <v>27</v>
      </c>
      <c r="I3527" s="15">
        <f t="shared" si="3"/>
        <v>23</v>
      </c>
    </row>
    <row r="3528">
      <c r="A3528" s="8" t="str">
        <f>IFERROR(__xludf.DUMMYFUNCTION("IF('(INGESTA)Datos_consumo_datadis'!A3528&lt;&gt;"""",SPLIT('(INGESTA)Datos_consumo_datadis'!A:A,"",""),"""")"),"ES0031408323131005HX0F")</f>
        <v>ES0031408323131005HX0F</v>
      </c>
      <c r="B3528" s="12">
        <f>IFERROR(__xludf.DUMMYFUNCTION("""COMPUTED_VALUE"""),45012.0)</f>
        <v>45012</v>
      </c>
      <c r="C3528" s="16">
        <f>IFERROR(__xludf.DUMMYFUNCTION("""COMPUTED_VALUE"""),1.0)</f>
        <v>1</v>
      </c>
      <c r="D3528" s="8">
        <f>IFERROR(__xludf.DUMMYFUNCTION("""COMPUTED_VALUE"""),0.377)</f>
        <v>0.377</v>
      </c>
      <c r="E3528" s="8" t="str">
        <f>IFERROR(__xludf.DUMMYFUNCTION("""COMPUTED_VALUE"""),"Real")</f>
        <v>Real</v>
      </c>
      <c r="G3528" s="8">
        <f t="shared" si="1"/>
        <v>3</v>
      </c>
      <c r="H3528" s="14">
        <f t="shared" si="2"/>
        <v>27</v>
      </c>
      <c r="I3528" s="15">
        <f t="shared" si="3"/>
        <v>0</v>
      </c>
    </row>
    <row r="3529">
      <c r="A3529" s="8" t="str">
        <f>IFERROR(__xludf.DUMMYFUNCTION("IF('(INGESTA)Datos_consumo_datadis'!A3529&lt;&gt;"""",SPLIT('(INGESTA)Datos_consumo_datadis'!A:A,"",""),"""")"),"ES0031408323131005HX0F")</f>
        <v>ES0031408323131005HX0F</v>
      </c>
      <c r="B3529" s="12">
        <f>IFERROR(__xludf.DUMMYFUNCTION("""COMPUTED_VALUE"""),45013.0)</f>
        <v>45013</v>
      </c>
      <c r="C3529" s="13">
        <f>IFERROR(__xludf.DUMMYFUNCTION("""COMPUTED_VALUE"""),0.041666666666666664)</f>
        <v>0.04166666667</v>
      </c>
      <c r="D3529" s="8">
        <f>IFERROR(__xludf.DUMMYFUNCTION("""COMPUTED_VALUE"""),0.117)</f>
        <v>0.117</v>
      </c>
      <c r="E3529" s="8" t="str">
        <f>IFERROR(__xludf.DUMMYFUNCTION("""COMPUTED_VALUE"""),"Real")</f>
        <v>Real</v>
      </c>
      <c r="G3529" s="8">
        <f t="shared" si="1"/>
        <v>3</v>
      </c>
      <c r="H3529" s="14">
        <f t="shared" si="2"/>
        <v>28</v>
      </c>
      <c r="I3529" s="15">
        <f t="shared" si="3"/>
        <v>1</v>
      </c>
    </row>
    <row r="3530">
      <c r="A3530" s="8" t="str">
        <f>IFERROR(__xludf.DUMMYFUNCTION("IF('(INGESTA)Datos_consumo_datadis'!A3530&lt;&gt;"""",SPLIT('(INGESTA)Datos_consumo_datadis'!A:A,"",""),"""")"),"ES0031408323131005HX0F")</f>
        <v>ES0031408323131005HX0F</v>
      </c>
      <c r="B3530" s="12">
        <f>IFERROR(__xludf.DUMMYFUNCTION("""COMPUTED_VALUE"""),45013.0)</f>
        <v>45013</v>
      </c>
      <c r="C3530" s="13">
        <f>IFERROR(__xludf.DUMMYFUNCTION("""COMPUTED_VALUE"""),0.08333333333333333)</f>
        <v>0.08333333333</v>
      </c>
      <c r="D3530" s="8">
        <f>IFERROR(__xludf.DUMMYFUNCTION("""COMPUTED_VALUE"""),0.053)</f>
        <v>0.053</v>
      </c>
      <c r="E3530" s="8" t="str">
        <f>IFERROR(__xludf.DUMMYFUNCTION("""COMPUTED_VALUE"""),"Real")</f>
        <v>Real</v>
      </c>
      <c r="G3530" s="8">
        <f t="shared" si="1"/>
        <v>3</v>
      </c>
      <c r="H3530" s="14">
        <f t="shared" si="2"/>
        <v>28</v>
      </c>
      <c r="I3530" s="15">
        <f t="shared" si="3"/>
        <v>2</v>
      </c>
    </row>
    <row r="3531">
      <c r="A3531" s="8" t="str">
        <f>IFERROR(__xludf.DUMMYFUNCTION("IF('(INGESTA)Datos_consumo_datadis'!A3531&lt;&gt;"""",SPLIT('(INGESTA)Datos_consumo_datadis'!A:A,"",""),"""")"),"ES0031408323131005HX0F")</f>
        <v>ES0031408323131005HX0F</v>
      </c>
      <c r="B3531" s="12">
        <f>IFERROR(__xludf.DUMMYFUNCTION("""COMPUTED_VALUE"""),45013.0)</f>
        <v>45013</v>
      </c>
      <c r="C3531" s="13">
        <f>IFERROR(__xludf.DUMMYFUNCTION("""COMPUTED_VALUE"""),0.125)</f>
        <v>0.125</v>
      </c>
      <c r="D3531" s="8">
        <f>IFERROR(__xludf.DUMMYFUNCTION("""COMPUTED_VALUE"""),0.06)</f>
        <v>0.06</v>
      </c>
      <c r="E3531" s="8" t="str">
        <f>IFERROR(__xludf.DUMMYFUNCTION("""COMPUTED_VALUE"""),"Real")</f>
        <v>Real</v>
      </c>
      <c r="G3531" s="8">
        <f t="shared" si="1"/>
        <v>3</v>
      </c>
      <c r="H3531" s="14">
        <f t="shared" si="2"/>
        <v>28</v>
      </c>
      <c r="I3531" s="15">
        <f t="shared" si="3"/>
        <v>3</v>
      </c>
    </row>
    <row r="3532">
      <c r="A3532" s="8" t="str">
        <f>IFERROR(__xludf.DUMMYFUNCTION("IF('(INGESTA)Datos_consumo_datadis'!A3532&lt;&gt;"""",SPLIT('(INGESTA)Datos_consumo_datadis'!A:A,"",""),"""")"),"ES0031408323131005HX0F")</f>
        <v>ES0031408323131005HX0F</v>
      </c>
      <c r="B3532" s="12">
        <f>IFERROR(__xludf.DUMMYFUNCTION("""COMPUTED_VALUE"""),45013.0)</f>
        <v>45013</v>
      </c>
      <c r="C3532" s="13">
        <f>IFERROR(__xludf.DUMMYFUNCTION("""COMPUTED_VALUE"""),0.16666666666666666)</f>
        <v>0.1666666667</v>
      </c>
      <c r="D3532" s="8">
        <f>IFERROR(__xludf.DUMMYFUNCTION("""COMPUTED_VALUE"""),0.038)</f>
        <v>0.038</v>
      </c>
      <c r="E3532" s="8" t="str">
        <f>IFERROR(__xludf.DUMMYFUNCTION("""COMPUTED_VALUE"""),"Real")</f>
        <v>Real</v>
      </c>
      <c r="G3532" s="8">
        <f t="shared" si="1"/>
        <v>3</v>
      </c>
      <c r="H3532" s="14">
        <f t="shared" si="2"/>
        <v>28</v>
      </c>
      <c r="I3532" s="15">
        <f t="shared" si="3"/>
        <v>4</v>
      </c>
    </row>
    <row r="3533">
      <c r="A3533" s="8" t="str">
        <f>IFERROR(__xludf.DUMMYFUNCTION("IF('(INGESTA)Datos_consumo_datadis'!A3533&lt;&gt;"""",SPLIT('(INGESTA)Datos_consumo_datadis'!A:A,"",""),"""")"),"ES0031408323131005HX0F")</f>
        <v>ES0031408323131005HX0F</v>
      </c>
      <c r="B3533" s="12">
        <f>IFERROR(__xludf.DUMMYFUNCTION("""COMPUTED_VALUE"""),45013.0)</f>
        <v>45013</v>
      </c>
      <c r="C3533" s="13">
        <f>IFERROR(__xludf.DUMMYFUNCTION("""COMPUTED_VALUE"""),0.20833333333333334)</f>
        <v>0.2083333333</v>
      </c>
      <c r="D3533" s="8">
        <f>IFERROR(__xludf.DUMMYFUNCTION("""COMPUTED_VALUE"""),0.358)</f>
        <v>0.358</v>
      </c>
      <c r="E3533" s="8" t="str">
        <f>IFERROR(__xludf.DUMMYFUNCTION("""COMPUTED_VALUE"""),"Real")</f>
        <v>Real</v>
      </c>
      <c r="G3533" s="8">
        <f t="shared" si="1"/>
        <v>3</v>
      </c>
      <c r="H3533" s="14">
        <f t="shared" si="2"/>
        <v>28</v>
      </c>
      <c r="I3533" s="15">
        <f t="shared" si="3"/>
        <v>5</v>
      </c>
    </row>
    <row r="3534">
      <c r="A3534" s="8" t="str">
        <f>IFERROR(__xludf.DUMMYFUNCTION("IF('(INGESTA)Datos_consumo_datadis'!A3534&lt;&gt;"""",SPLIT('(INGESTA)Datos_consumo_datadis'!A:A,"",""),"""")"),"ES0031408323131005HX0F")</f>
        <v>ES0031408323131005HX0F</v>
      </c>
      <c r="B3534" s="12">
        <f>IFERROR(__xludf.DUMMYFUNCTION("""COMPUTED_VALUE"""),45013.0)</f>
        <v>45013</v>
      </c>
      <c r="C3534" s="13">
        <f>IFERROR(__xludf.DUMMYFUNCTION("""COMPUTED_VALUE"""),0.25)</f>
        <v>0.25</v>
      </c>
      <c r="D3534" s="8">
        <f>IFERROR(__xludf.DUMMYFUNCTION("""COMPUTED_VALUE"""),0.058)</f>
        <v>0.058</v>
      </c>
      <c r="E3534" s="8" t="str">
        <f>IFERROR(__xludf.DUMMYFUNCTION("""COMPUTED_VALUE"""),"Real")</f>
        <v>Real</v>
      </c>
      <c r="G3534" s="8">
        <f t="shared" si="1"/>
        <v>3</v>
      </c>
      <c r="H3534" s="14">
        <f t="shared" si="2"/>
        <v>28</v>
      </c>
      <c r="I3534" s="15">
        <f t="shared" si="3"/>
        <v>6</v>
      </c>
    </row>
    <row r="3535">
      <c r="A3535" s="8" t="str">
        <f>IFERROR(__xludf.DUMMYFUNCTION("IF('(INGESTA)Datos_consumo_datadis'!A3535&lt;&gt;"""",SPLIT('(INGESTA)Datos_consumo_datadis'!A:A,"",""),"""")"),"ES0031408323131005HX0F")</f>
        <v>ES0031408323131005HX0F</v>
      </c>
      <c r="B3535" s="12">
        <f>IFERROR(__xludf.DUMMYFUNCTION("""COMPUTED_VALUE"""),45013.0)</f>
        <v>45013</v>
      </c>
      <c r="C3535" s="13">
        <f>IFERROR(__xludf.DUMMYFUNCTION("""COMPUTED_VALUE"""),0.2916666666666667)</f>
        <v>0.2916666667</v>
      </c>
      <c r="D3535" s="8">
        <f>IFERROR(__xludf.DUMMYFUNCTION("""COMPUTED_VALUE"""),0.061)</f>
        <v>0.061</v>
      </c>
      <c r="E3535" s="8" t="str">
        <f>IFERROR(__xludf.DUMMYFUNCTION("""COMPUTED_VALUE"""),"Real")</f>
        <v>Real</v>
      </c>
      <c r="G3535" s="8">
        <f t="shared" si="1"/>
        <v>3</v>
      </c>
      <c r="H3535" s="14">
        <f t="shared" si="2"/>
        <v>28</v>
      </c>
      <c r="I3535" s="15">
        <f t="shared" si="3"/>
        <v>7</v>
      </c>
    </row>
    <row r="3536">
      <c r="A3536" s="8" t="str">
        <f>IFERROR(__xludf.DUMMYFUNCTION("IF('(INGESTA)Datos_consumo_datadis'!A3536&lt;&gt;"""",SPLIT('(INGESTA)Datos_consumo_datadis'!A:A,"",""),"""")"),"ES0031408323131005HX0F")</f>
        <v>ES0031408323131005HX0F</v>
      </c>
      <c r="B3536" s="12">
        <f>IFERROR(__xludf.DUMMYFUNCTION("""COMPUTED_VALUE"""),45013.0)</f>
        <v>45013</v>
      </c>
      <c r="C3536" s="13">
        <f>IFERROR(__xludf.DUMMYFUNCTION("""COMPUTED_VALUE"""),0.3333333333333333)</f>
        <v>0.3333333333</v>
      </c>
      <c r="D3536" s="8">
        <f>IFERROR(__xludf.DUMMYFUNCTION("""COMPUTED_VALUE"""),0.698)</f>
        <v>0.698</v>
      </c>
      <c r="E3536" s="8" t="str">
        <f>IFERROR(__xludf.DUMMYFUNCTION("""COMPUTED_VALUE"""),"Real")</f>
        <v>Real</v>
      </c>
      <c r="G3536" s="8">
        <f t="shared" si="1"/>
        <v>3</v>
      </c>
      <c r="H3536" s="14">
        <f t="shared" si="2"/>
        <v>28</v>
      </c>
      <c r="I3536" s="15">
        <f t="shared" si="3"/>
        <v>8</v>
      </c>
    </row>
    <row r="3537">
      <c r="A3537" s="8" t="str">
        <f>IFERROR(__xludf.DUMMYFUNCTION("IF('(INGESTA)Datos_consumo_datadis'!A3537&lt;&gt;"""",SPLIT('(INGESTA)Datos_consumo_datadis'!A:A,"",""),"""")"),"ES0031408323131005HX0F")</f>
        <v>ES0031408323131005HX0F</v>
      </c>
      <c r="B3537" s="12">
        <f>IFERROR(__xludf.DUMMYFUNCTION("""COMPUTED_VALUE"""),45013.0)</f>
        <v>45013</v>
      </c>
      <c r="C3537" s="13">
        <f>IFERROR(__xludf.DUMMYFUNCTION("""COMPUTED_VALUE"""),0.375)</f>
        <v>0.375</v>
      </c>
      <c r="D3537" s="8">
        <f>IFERROR(__xludf.DUMMYFUNCTION("""COMPUTED_VALUE"""),0.099)</f>
        <v>0.099</v>
      </c>
      <c r="E3537" s="8" t="str">
        <f>IFERROR(__xludf.DUMMYFUNCTION("""COMPUTED_VALUE"""),"Real")</f>
        <v>Real</v>
      </c>
      <c r="G3537" s="8">
        <f t="shared" si="1"/>
        <v>3</v>
      </c>
      <c r="H3537" s="14">
        <f t="shared" si="2"/>
        <v>28</v>
      </c>
      <c r="I3537" s="15">
        <f t="shared" si="3"/>
        <v>9</v>
      </c>
    </row>
    <row r="3538">
      <c r="A3538" s="8" t="str">
        <f>IFERROR(__xludf.DUMMYFUNCTION("IF('(INGESTA)Datos_consumo_datadis'!A3538&lt;&gt;"""",SPLIT('(INGESTA)Datos_consumo_datadis'!A:A,"",""),"""")"),"ES0031408323131005HX0F")</f>
        <v>ES0031408323131005HX0F</v>
      </c>
      <c r="B3538" s="12">
        <f>IFERROR(__xludf.DUMMYFUNCTION("""COMPUTED_VALUE"""),45013.0)</f>
        <v>45013</v>
      </c>
      <c r="C3538" s="13">
        <f>IFERROR(__xludf.DUMMYFUNCTION("""COMPUTED_VALUE"""),0.4166666666666667)</f>
        <v>0.4166666667</v>
      </c>
      <c r="D3538" s="8">
        <f>IFERROR(__xludf.DUMMYFUNCTION("""COMPUTED_VALUE"""),0.054)</f>
        <v>0.054</v>
      </c>
      <c r="E3538" s="8" t="str">
        <f>IFERROR(__xludf.DUMMYFUNCTION("""COMPUTED_VALUE"""),"Real")</f>
        <v>Real</v>
      </c>
      <c r="G3538" s="8">
        <f t="shared" si="1"/>
        <v>3</v>
      </c>
      <c r="H3538" s="14">
        <f t="shared" si="2"/>
        <v>28</v>
      </c>
      <c r="I3538" s="15">
        <f t="shared" si="3"/>
        <v>10</v>
      </c>
    </row>
    <row r="3539">
      <c r="A3539" s="8" t="str">
        <f>IFERROR(__xludf.DUMMYFUNCTION("IF('(INGESTA)Datos_consumo_datadis'!A3539&lt;&gt;"""",SPLIT('(INGESTA)Datos_consumo_datadis'!A:A,"",""),"""")"),"ES0031408323131005HX0F")</f>
        <v>ES0031408323131005HX0F</v>
      </c>
      <c r="B3539" s="12">
        <f>IFERROR(__xludf.DUMMYFUNCTION("""COMPUTED_VALUE"""),45013.0)</f>
        <v>45013</v>
      </c>
      <c r="C3539" s="13">
        <f>IFERROR(__xludf.DUMMYFUNCTION("""COMPUTED_VALUE"""),0.4583333333333333)</f>
        <v>0.4583333333</v>
      </c>
      <c r="D3539" s="8">
        <f>IFERROR(__xludf.DUMMYFUNCTION("""COMPUTED_VALUE"""),0.037)</f>
        <v>0.037</v>
      </c>
      <c r="E3539" s="8" t="str">
        <f>IFERROR(__xludf.DUMMYFUNCTION("""COMPUTED_VALUE"""),"Real")</f>
        <v>Real</v>
      </c>
      <c r="G3539" s="8">
        <f t="shared" si="1"/>
        <v>3</v>
      </c>
      <c r="H3539" s="14">
        <f t="shared" si="2"/>
        <v>28</v>
      </c>
      <c r="I3539" s="15">
        <f t="shared" si="3"/>
        <v>11</v>
      </c>
    </row>
    <row r="3540">
      <c r="A3540" s="8" t="str">
        <f>IFERROR(__xludf.DUMMYFUNCTION("IF('(INGESTA)Datos_consumo_datadis'!A3540&lt;&gt;"""",SPLIT('(INGESTA)Datos_consumo_datadis'!A:A,"",""),"""")"),"ES0031408323131005HX0F")</f>
        <v>ES0031408323131005HX0F</v>
      </c>
      <c r="B3540" s="12">
        <f>IFERROR(__xludf.DUMMYFUNCTION("""COMPUTED_VALUE"""),45013.0)</f>
        <v>45013</v>
      </c>
      <c r="C3540" s="13">
        <f>IFERROR(__xludf.DUMMYFUNCTION("""COMPUTED_VALUE"""),0.5)</f>
        <v>0.5</v>
      </c>
      <c r="D3540" s="8">
        <f>IFERROR(__xludf.DUMMYFUNCTION("""COMPUTED_VALUE"""),0.33)</f>
        <v>0.33</v>
      </c>
      <c r="E3540" s="8" t="str">
        <f>IFERROR(__xludf.DUMMYFUNCTION("""COMPUTED_VALUE"""),"Real")</f>
        <v>Real</v>
      </c>
      <c r="G3540" s="8">
        <f t="shared" si="1"/>
        <v>3</v>
      </c>
      <c r="H3540" s="14">
        <f t="shared" si="2"/>
        <v>28</v>
      </c>
      <c r="I3540" s="15">
        <f t="shared" si="3"/>
        <v>12</v>
      </c>
    </row>
    <row r="3541">
      <c r="A3541" s="8" t="str">
        <f>IFERROR(__xludf.DUMMYFUNCTION("IF('(INGESTA)Datos_consumo_datadis'!A3541&lt;&gt;"""",SPLIT('(INGESTA)Datos_consumo_datadis'!A:A,"",""),"""")"),"ES0031408323131005HX0F")</f>
        <v>ES0031408323131005HX0F</v>
      </c>
      <c r="B3541" s="12">
        <f>IFERROR(__xludf.DUMMYFUNCTION("""COMPUTED_VALUE"""),45013.0)</f>
        <v>45013</v>
      </c>
      <c r="C3541" s="13">
        <f>IFERROR(__xludf.DUMMYFUNCTION("""COMPUTED_VALUE"""),0.5416666666666666)</f>
        <v>0.5416666667</v>
      </c>
      <c r="D3541" s="8">
        <f>IFERROR(__xludf.DUMMYFUNCTION("""COMPUTED_VALUE"""),0.098)</f>
        <v>0.098</v>
      </c>
      <c r="E3541" s="8" t="str">
        <f>IFERROR(__xludf.DUMMYFUNCTION("""COMPUTED_VALUE"""),"Real")</f>
        <v>Real</v>
      </c>
      <c r="G3541" s="8">
        <f t="shared" si="1"/>
        <v>3</v>
      </c>
      <c r="H3541" s="14">
        <f t="shared" si="2"/>
        <v>28</v>
      </c>
      <c r="I3541" s="15">
        <f t="shared" si="3"/>
        <v>13</v>
      </c>
    </row>
    <row r="3542">
      <c r="A3542" s="8" t="str">
        <f>IFERROR(__xludf.DUMMYFUNCTION("IF('(INGESTA)Datos_consumo_datadis'!A3542&lt;&gt;"""",SPLIT('(INGESTA)Datos_consumo_datadis'!A:A,"",""),"""")"),"ES0031408323131005HX0F")</f>
        <v>ES0031408323131005HX0F</v>
      </c>
      <c r="B3542" s="12">
        <f>IFERROR(__xludf.DUMMYFUNCTION("""COMPUTED_VALUE"""),45013.0)</f>
        <v>45013</v>
      </c>
      <c r="C3542" s="13">
        <f>IFERROR(__xludf.DUMMYFUNCTION("""COMPUTED_VALUE"""),0.5833333333333334)</f>
        <v>0.5833333333</v>
      </c>
      <c r="D3542" s="8">
        <f>IFERROR(__xludf.DUMMYFUNCTION("""COMPUTED_VALUE"""),0.064)</f>
        <v>0.064</v>
      </c>
      <c r="E3542" s="8" t="str">
        <f>IFERROR(__xludf.DUMMYFUNCTION("""COMPUTED_VALUE"""),"Real")</f>
        <v>Real</v>
      </c>
      <c r="G3542" s="8">
        <f t="shared" si="1"/>
        <v>3</v>
      </c>
      <c r="H3542" s="14">
        <f t="shared" si="2"/>
        <v>28</v>
      </c>
      <c r="I3542" s="15">
        <f t="shared" si="3"/>
        <v>14</v>
      </c>
    </row>
    <row r="3543">
      <c r="A3543" s="8" t="str">
        <f>IFERROR(__xludf.DUMMYFUNCTION("IF('(INGESTA)Datos_consumo_datadis'!A3543&lt;&gt;"""",SPLIT('(INGESTA)Datos_consumo_datadis'!A:A,"",""),"""")"),"ES0031408323131005HX0F")</f>
        <v>ES0031408323131005HX0F</v>
      </c>
      <c r="B3543" s="12">
        <f>IFERROR(__xludf.DUMMYFUNCTION("""COMPUTED_VALUE"""),45013.0)</f>
        <v>45013</v>
      </c>
      <c r="C3543" s="13">
        <f>IFERROR(__xludf.DUMMYFUNCTION("""COMPUTED_VALUE"""),0.625)</f>
        <v>0.625</v>
      </c>
      <c r="D3543" s="8">
        <f>IFERROR(__xludf.DUMMYFUNCTION("""COMPUTED_VALUE"""),0.062)</f>
        <v>0.062</v>
      </c>
      <c r="E3543" s="8" t="str">
        <f>IFERROR(__xludf.DUMMYFUNCTION("""COMPUTED_VALUE"""),"Real")</f>
        <v>Real</v>
      </c>
      <c r="G3543" s="8">
        <f t="shared" si="1"/>
        <v>3</v>
      </c>
      <c r="H3543" s="14">
        <f t="shared" si="2"/>
        <v>28</v>
      </c>
      <c r="I3543" s="15">
        <f t="shared" si="3"/>
        <v>15</v>
      </c>
    </row>
    <row r="3544">
      <c r="A3544" s="8" t="str">
        <f>IFERROR(__xludf.DUMMYFUNCTION("IF('(INGESTA)Datos_consumo_datadis'!A3544&lt;&gt;"""",SPLIT('(INGESTA)Datos_consumo_datadis'!A:A,"",""),"""")"),"ES0031408323131005HX0F")</f>
        <v>ES0031408323131005HX0F</v>
      </c>
      <c r="B3544" s="12">
        <f>IFERROR(__xludf.DUMMYFUNCTION("""COMPUTED_VALUE"""),45013.0)</f>
        <v>45013</v>
      </c>
      <c r="C3544" s="13">
        <f>IFERROR(__xludf.DUMMYFUNCTION("""COMPUTED_VALUE"""),0.6666666666666666)</f>
        <v>0.6666666667</v>
      </c>
      <c r="D3544" s="8">
        <f>IFERROR(__xludf.DUMMYFUNCTION("""COMPUTED_VALUE"""),0.054)</f>
        <v>0.054</v>
      </c>
      <c r="E3544" s="8" t="str">
        <f>IFERROR(__xludf.DUMMYFUNCTION("""COMPUTED_VALUE"""),"Real")</f>
        <v>Real</v>
      </c>
      <c r="G3544" s="8">
        <f t="shared" si="1"/>
        <v>3</v>
      </c>
      <c r="H3544" s="14">
        <f t="shared" si="2"/>
        <v>28</v>
      </c>
      <c r="I3544" s="15">
        <f t="shared" si="3"/>
        <v>16</v>
      </c>
    </row>
    <row r="3545">
      <c r="A3545" s="8" t="str">
        <f>IFERROR(__xludf.DUMMYFUNCTION("IF('(INGESTA)Datos_consumo_datadis'!A3545&lt;&gt;"""",SPLIT('(INGESTA)Datos_consumo_datadis'!A:A,"",""),"""")"),"ES0031408323131005HX0F")</f>
        <v>ES0031408323131005HX0F</v>
      </c>
      <c r="B3545" s="12">
        <f>IFERROR(__xludf.DUMMYFUNCTION("""COMPUTED_VALUE"""),45013.0)</f>
        <v>45013</v>
      </c>
      <c r="C3545" s="13">
        <f>IFERROR(__xludf.DUMMYFUNCTION("""COMPUTED_VALUE"""),0.7083333333333334)</f>
        <v>0.7083333333</v>
      </c>
      <c r="D3545" s="8">
        <f>IFERROR(__xludf.DUMMYFUNCTION("""COMPUTED_VALUE"""),0.102)</f>
        <v>0.102</v>
      </c>
      <c r="E3545" s="8" t="str">
        <f>IFERROR(__xludf.DUMMYFUNCTION("""COMPUTED_VALUE"""),"Real")</f>
        <v>Real</v>
      </c>
      <c r="G3545" s="8">
        <f t="shared" si="1"/>
        <v>3</v>
      </c>
      <c r="H3545" s="14">
        <f t="shared" si="2"/>
        <v>28</v>
      </c>
      <c r="I3545" s="15">
        <f t="shared" si="3"/>
        <v>17</v>
      </c>
    </row>
    <row r="3546">
      <c r="A3546" s="8" t="str">
        <f>IFERROR(__xludf.DUMMYFUNCTION("IF('(INGESTA)Datos_consumo_datadis'!A3546&lt;&gt;"""",SPLIT('(INGESTA)Datos_consumo_datadis'!A:A,"",""),"""")"),"ES0031408323131005HX0F")</f>
        <v>ES0031408323131005HX0F</v>
      </c>
      <c r="B3546" s="12">
        <f>IFERROR(__xludf.DUMMYFUNCTION("""COMPUTED_VALUE"""),45013.0)</f>
        <v>45013</v>
      </c>
      <c r="C3546" s="13">
        <f>IFERROR(__xludf.DUMMYFUNCTION("""COMPUTED_VALUE"""),0.75)</f>
        <v>0.75</v>
      </c>
      <c r="D3546" s="8">
        <f>IFERROR(__xludf.DUMMYFUNCTION("""COMPUTED_VALUE"""),0.323)</f>
        <v>0.323</v>
      </c>
      <c r="E3546" s="8" t="str">
        <f>IFERROR(__xludf.DUMMYFUNCTION("""COMPUTED_VALUE"""),"Real")</f>
        <v>Real</v>
      </c>
      <c r="G3546" s="8">
        <f t="shared" si="1"/>
        <v>3</v>
      </c>
      <c r="H3546" s="14">
        <f t="shared" si="2"/>
        <v>28</v>
      </c>
      <c r="I3546" s="15">
        <f t="shared" si="3"/>
        <v>18</v>
      </c>
    </row>
    <row r="3547">
      <c r="A3547" s="8" t="str">
        <f>IFERROR(__xludf.DUMMYFUNCTION("IF('(INGESTA)Datos_consumo_datadis'!A3547&lt;&gt;"""",SPLIT('(INGESTA)Datos_consumo_datadis'!A:A,"",""),"""")"),"ES0031408323131005HX0F")</f>
        <v>ES0031408323131005HX0F</v>
      </c>
      <c r="B3547" s="12">
        <f>IFERROR(__xludf.DUMMYFUNCTION("""COMPUTED_VALUE"""),45013.0)</f>
        <v>45013</v>
      </c>
      <c r="C3547" s="13">
        <f>IFERROR(__xludf.DUMMYFUNCTION("""COMPUTED_VALUE"""),0.7916666666666666)</f>
        <v>0.7916666667</v>
      </c>
      <c r="D3547" s="8">
        <f>IFERROR(__xludf.DUMMYFUNCTION("""COMPUTED_VALUE"""),0.016)</f>
        <v>0.016</v>
      </c>
      <c r="E3547" s="8" t="str">
        <f>IFERROR(__xludf.DUMMYFUNCTION("""COMPUTED_VALUE"""),"Real")</f>
        <v>Real</v>
      </c>
      <c r="G3547" s="8">
        <f t="shared" si="1"/>
        <v>3</v>
      </c>
      <c r="H3547" s="14">
        <f t="shared" si="2"/>
        <v>28</v>
      </c>
      <c r="I3547" s="15">
        <f t="shared" si="3"/>
        <v>19</v>
      </c>
    </row>
    <row r="3548">
      <c r="A3548" s="8" t="str">
        <f>IFERROR(__xludf.DUMMYFUNCTION("IF('(INGESTA)Datos_consumo_datadis'!A3548&lt;&gt;"""",SPLIT('(INGESTA)Datos_consumo_datadis'!A:A,"",""),"""")"),"ES0031408323131005HX0F")</f>
        <v>ES0031408323131005HX0F</v>
      </c>
      <c r="B3548" s="12">
        <f>IFERROR(__xludf.DUMMYFUNCTION("""COMPUTED_VALUE"""),45013.0)</f>
        <v>45013</v>
      </c>
      <c r="C3548" s="13">
        <f>IFERROR(__xludf.DUMMYFUNCTION("""COMPUTED_VALUE"""),0.8333333333333334)</f>
        <v>0.8333333333</v>
      </c>
      <c r="D3548" s="8">
        <f>IFERROR(__xludf.DUMMYFUNCTION("""COMPUTED_VALUE"""),0.07)</f>
        <v>0.07</v>
      </c>
      <c r="E3548" s="8" t="str">
        <f>IFERROR(__xludf.DUMMYFUNCTION("""COMPUTED_VALUE"""),"Real")</f>
        <v>Real</v>
      </c>
      <c r="G3548" s="8">
        <f t="shared" si="1"/>
        <v>3</v>
      </c>
      <c r="H3548" s="14">
        <f t="shared" si="2"/>
        <v>28</v>
      </c>
      <c r="I3548" s="15">
        <f t="shared" si="3"/>
        <v>20</v>
      </c>
    </row>
    <row r="3549">
      <c r="A3549" s="8" t="str">
        <f>IFERROR(__xludf.DUMMYFUNCTION("IF('(INGESTA)Datos_consumo_datadis'!A3549&lt;&gt;"""",SPLIT('(INGESTA)Datos_consumo_datadis'!A:A,"",""),"""")"),"ES0031408323131005HX0F")</f>
        <v>ES0031408323131005HX0F</v>
      </c>
      <c r="B3549" s="12">
        <f>IFERROR(__xludf.DUMMYFUNCTION("""COMPUTED_VALUE"""),45013.0)</f>
        <v>45013</v>
      </c>
      <c r="C3549" s="13">
        <f>IFERROR(__xludf.DUMMYFUNCTION("""COMPUTED_VALUE"""),0.875)</f>
        <v>0.875</v>
      </c>
      <c r="D3549" s="8">
        <f>IFERROR(__xludf.DUMMYFUNCTION("""COMPUTED_VALUE"""),0.062)</f>
        <v>0.062</v>
      </c>
      <c r="E3549" s="8" t="str">
        <f>IFERROR(__xludf.DUMMYFUNCTION("""COMPUTED_VALUE"""),"Real")</f>
        <v>Real</v>
      </c>
      <c r="G3549" s="8">
        <f t="shared" si="1"/>
        <v>3</v>
      </c>
      <c r="H3549" s="14">
        <f t="shared" si="2"/>
        <v>28</v>
      </c>
      <c r="I3549" s="15">
        <f t="shared" si="3"/>
        <v>21</v>
      </c>
    </row>
    <row r="3550">
      <c r="A3550" s="8" t="str">
        <f>IFERROR(__xludf.DUMMYFUNCTION("IF('(INGESTA)Datos_consumo_datadis'!A3550&lt;&gt;"""",SPLIT('(INGESTA)Datos_consumo_datadis'!A:A,"",""),"""")"),"ES0031408323131005HX0F")</f>
        <v>ES0031408323131005HX0F</v>
      </c>
      <c r="B3550" s="12">
        <f>IFERROR(__xludf.DUMMYFUNCTION("""COMPUTED_VALUE"""),45013.0)</f>
        <v>45013</v>
      </c>
      <c r="C3550" s="13">
        <f>IFERROR(__xludf.DUMMYFUNCTION("""COMPUTED_VALUE"""),0.9166666666666666)</f>
        <v>0.9166666667</v>
      </c>
      <c r="D3550" s="8">
        <f>IFERROR(__xludf.DUMMYFUNCTION("""COMPUTED_VALUE"""),0.05)</f>
        <v>0.05</v>
      </c>
      <c r="E3550" s="8" t="str">
        <f>IFERROR(__xludf.DUMMYFUNCTION("""COMPUTED_VALUE"""),"Real")</f>
        <v>Real</v>
      </c>
      <c r="G3550" s="8">
        <f t="shared" si="1"/>
        <v>3</v>
      </c>
      <c r="H3550" s="14">
        <f t="shared" si="2"/>
        <v>28</v>
      </c>
      <c r="I3550" s="15">
        <f t="shared" si="3"/>
        <v>22</v>
      </c>
    </row>
    <row r="3551">
      <c r="A3551" s="8" t="str">
        <f>IFERROR(__xludf.DUMMYFUNCTION("IF('(INGESTA)Datos_consumo_datadis'!A3551&lt;&gt;"""",SPLIT('(INGESTA)Datos_consumo_datadis'!A:A,"",""),"""")"),"ES0031408323131005HX0F")</f>
        <v>ES0031408323131005HX0F</v>
      </c>
      <c r="B3551" s="12">
        <f>IFERROR(__xludf.DUMMYFUNCTION("""COMPUTED_VALUE"""),45013.0)</f>
        <v>45013</v>
      </c>
      <c r="C3551" s="13">
        <f>IFERROR(__xludf.DUMMYFUNCTION("""COMPUTED_VALUE"""),0.9583333333333334)</f>
        <v>0.9583333333</v>
      </c>
      <c r="D3551" s="8">
        <f>IFERROR(__xludf.DUMMYFUNCTION("""COMPUTED_VALUE"""),0.508)</f>
        <v>0.508</v>
      </c>
      <c r="E3551" s="8" t="str">
        <f>IFERROR(__xludf.DUMMYFUNCTION("""COMPUTED_VALUE"""),"Real")</f>
        <v>Real</v>
      </c>
      <c r="G3551" s="8">
        <f t="shared" si="1"/>
        <v>3</v>
      </c>
      <c r="H3551" s="14">
        <f t="shared" si="2"/>
        <v>28</v>
      </c>
      <c r="I3551" s="15">
        <f t="shared" si="3"/>
        <v>23</v>
      </c>
    </row>
    <row r="3552">
      <c r="A3552" s="8" t="str">
        <f>IFERROR(__xludf.DUMMYFUNCTION("IF('(INGESTA)Datos_consumo_datadis'!A3552&lt;&gt;"""",SPLIT('(INGESTA)Datos_consumo_datadis'!A:A,"",""),"""")"),"ES0031408323131005HX0F")</f>
        <v>ES0031408323131005HX0F</v>
      </c>
      <c r="B3552" s="12">
        <f>IFERROR(__xludf.DUMMYFUNCTION("""COMPUTED_VALUE"""),45013.0)</f>
        <v>45013</v>
      </c>
      <c r="C3552" s="16">
        <f>IFERROR(__xludf.DUMMYFUNCTION("""COMPUTED_VALUE"""),1.0)</f>
        <v>1</v>
      </c>
      <c r="D3552" s="8">
        <f>IFERROR(__xludf.DUMMYFUNCTION("""COMPUTED_VALUE"""),0.552)</f>
        <v>0.552</v>
      </c>
      <c r="E3552" s="8" t="str">
        <f>IFERROR(__xludf.DUMMYFUNCTION("""COMPUTED_VALUE"""),"Real")</f>
        <v>Real</v>
      </c>
      <c r="G3552" s="8">
        <f t="shared" si="1"/>
        <v>3</v>
      </c>
      <c r="H3552" s="14">
        <f t="shared" si="2"/>
        <v>28</v>
      </c>
      <c r="I3552" s="15">
        <f t="shared" si="3"/>
        <v>0</v>
      </c>
    </row>
    <row r="3553">
      <c r="A3553" s="8" t="str">
        <f>IFERROR(__xludf.DUMMYFUNCTION("IF('(INGESTA)Datos_consumo_datadis'!A3553&lt;&gt;"""",SPLIT('(INGESTA)Datos_consumo_datadis'!A:A,"",""),"""")"),"ES0031408323131005HX0F")</f>
        <v>ES0031408323131005HX0F</v>
      </c>
      <c r="B3553" s="12">
        <f>IFERROR(__xludf.DUMMYFUNCTION("""COMPUTED_VALUE"""),45014.0)</f>
        <v>45014</v>
      </c>
      <c r="C3553" s="13">
        <f>IFERROR(__xludf.DUMMYFUNCTION("""COMPUTED_VALUE"""),0.041666666666666664)</f>
        <v>0.04166666667</v>
      </c>
      <c r="D3553" s="8">
        <f>IFERROR(__xludf.DUMMYFUNCTION("""COMPUTED_VALUE"""),0.57)</f>
        <v>0.57</v>
      </c>
      <c r="E3553" s="8" t="str">
        <f>IFERROR(__xludf.DUMMYFUNCTION("""COMPUTED_VALUE"""),"Real")</f>
        <v>Real</v>
      </c>
      <c r="G3553" s="8">
        <f t="shared" si="1"/>
        <v>3</v>
      </c>
      <c r="H3553" s="14">
        <f t="shared" si="2"/>
        <v>29</v>
      </c>
      <c r="I3553" s="15">
        <f t="shared" si="3"/>
        <v>1</v>
      </c>
    </row>
    <row r="3554">
      <c r="A3554" s="8" t="str">
        <f>IFERROR(__xludf.DUMMYFUNCTION("IF('(INGESTA)Datos_consumo_datadis'!A3554&lt;&gt;"""",SPLIT('(INGESTA)Datos_consumo_datadis'!A:A,"",""),"""")"),"ES0031408323131005HX0F")</f>
        <v>ES0031408323131005HX0F</v>
      </c>
      <c r="B3554" s="12">
        <f>IFERROR(__xludf.DUMMYFUNCTION("""COMPUTED_VALUE"""),45014.0)</f>
        <v>45014</v>
      </c>
      <c r="C3554" s="13">
        <f>IFERROR(__xludf.DUMMYFUNCTION("""COMPUTED_VALUE"""),0.08333333333333333)</f>
        <v>0.08333333333</v>
      </c>
      <c r="D3554" s="8">
        <f>IFERROR(__xludf.DUMMYFUNCTION("""COMPUTED_VALUE"""),0.907)</f>
        <v>0.907</v>
      </c>
      <c r="E3554" s="8" t="str">
        <f>IFERROR(__xludf.DUMMYFUNCTION("""COMPUTED_VALUE"""),"Real")</f>
        <v>Real</v>
      </c>
      <c r="G3554" s="8">
        <f t="shared" si="1"/>
        <v>3</v>
      </c>
      <c r="H3554" s="14">
        <f t="shared" si="2"/>
        <v>29</v>
      </c>
      <c r="I3554" s="15">
        <f t="shared" si="3"/>
        <v>2</v>
      </c>
    </row>
    <row r="3555">
      <c r="A3555" s="8" t="str">
        <f>IFERROR(__xludf.DUMMYFUNCTION("IF('(INGESTA)Datos_consumo_datadis'!A3555&lt;&gt;"""",SPLIT('(INGESTA)Datos_consumo_datadis'!A:A,"",""),"""")"),"ES0031408323131005HX0F")</f>
        <v>ES0031408323131005HX0F</v>
      </c>
      <c r="B3555" s="12">
        <f>IFERROR(__xludf.DUMMYFUNCTION("""COMPUTED_VALUE"""),45014.0)</f>
        <v>45014</v>
      </c>
      <c r="C3555" s="13">
        <f>IFERROR(__xludf.DUMMYFUNCTION("""COMPUTED_VALUE"""),0.125)</f>
        <v>0.125</v>
      </c>
      <c r="D3555" s="8">
        <f>IFERROR(__xludf.DUMMYFUNCTION("""COMPUTED_VALUE"""),0.891)</f>
        <v>0.891</v>
      </c>
      <c r="E3555" s="8" t="str">
        <f>IFERROR(__xludf.DUMMYFUNCTION("""COMPUTED_VALUE"""),"Real")</f>
        <v>Real</v>
      </c>
      <c r="G3555" s="8">
        <f t="shared" si="1"/>
        <v>3</v>
      </c>
      <c r="H3555" s="14">
        <f t="shared" si="2"/>
        <v>29</v>
      </c>
      <c r="I3555" s="15">
        <f t="shared" si="3"/>
        <v>3</v>
      </c>
    </row>
    <row r="3556">
      <c r="A3556" s="8" t="str">
        <f>IFERROR(__xludf.DUMMYFUNCTION("IF('(INGESTA)Datos_consumo_datadis'!A3556&lt;&gt;"""",SPLIT('(INGESTA)Datos_consumo_datadis'!A:A,"",""),"""")"),"ES0031408323131005HX0F")</f>
        <v>ES0031408323131005HX0F</v>
      </c>
      <c r="B3556" s="12">
        <f>IFERROR(__xludf.DUMMYFUNCTION("""COMPUTED_VALUE"""),45014.0)</f>
        <v>45014</v>
      </c>
      <c r="C3556" s="13">
        <f>IFERROR(__xludf.DUMMYFUNCTION("""COMPUTED_VALUE"""),0.16666666666666666)</f>
        <v>0.1666666667</v>
      </c>
      <c r="D3556" s="8">
        <f>IFERROR(__xludf.DUMMYFUNCTION("""COMPUTED_VALUE"""),0.978)</f>
        <v>0.978</v>
      </c>
      <c r="E3556" s="8" t="str">
        <f>IFERROR(__xludf.DUMMYFUNCTION("""COMPUTED_VALUE"""),"Real")</f>
        <v>Real</v>
      </c>
      <c r="G3556" s="8">
        <f t="shared" si="1"/>
        <v>3</v>
      </c>
      <c r="H3556" s="14">
        <f t="shared" si="2"/>
        <v>29</v>
      </c>
      <c r="I3556" s="15">
        <f t="shared" si="3"/>
        <v>4</v>
      </c>
    </row>
    <row r="3557">
      <c r="A3557" s="8" t="str">
        <f>IFERROR(__xludf.DUMMYFUNCTION("IF('(INGESTA)Datos_consumo_datadis'!A3557&lt;&gt;"""",SPLIT('(INGESTA)Datos_consumo_datadis'!A:A,"",""),"""")"),"ES0031408323131005HX0F")</f>
        <v>ES0031408323131005HX0F</v>
      </c>
      <c r="B3557" s="12">
        <f>IFERROR(__xludf.DUMMYFUNCTION("""COMPUTED_VALUE"""),45014.0)</f>
        <v>45014</v>
      </c>
      <c r="C3557" s="13">
        <f>IFERROR(__xludf.DUMMYFUNCTION("""COMPUTED_VALUE"""),0.20833333333333334)</f>
        <v>0.2083333333</v>
      </c>
      <c r="D3557" s="8">
        <f>IFERROR(__xludf.DUMMYFUNCTION("""COMPUTED_VALUE"""),0.925)</f>
        <v>0.925</v>
      </c>
      <c r="E3557" s="8" t="str">
        <f>IFERROR(__xludf.DUMMYFUNCTION("""COMPUTED_VALUE"""),"Real")</f>
        <v>Real</v>
      </c>
      <c r="G3557" s="8">
        <f t="shared" si="1"/>
        <v>3</v>
      </c>
      <c r="H3557" s="14">
        <f t="shared" si="2"/>
        <v>29</v>
      </c>
      <c r="I3557" s="15">
        <f t="shared" si="3"/>
        <v>5</v>
      </c>
    </row>
    <row r="3558">
      <c r="A3558" s="8" t="str">
        <f>IFERROR(__xludf.DUMMYFUNCTION("IF('(INGESTA)Datos_consumo_datadis'!A3558&lt;&gt;"""",SPLIT('(INGESTA)Datos_consumo_datadis'!A:A,"",""),"""")"),"ES0031408323131005HX0F")</f>
        <v>ES0031408323131005HX0F</v>
      </c>
      <c r="B3558" s="12">
        <f>IFERROR(__xludf.DUMMYFUNCTION("""COMPUTED_VALUE"""),45014.0)</f>
        <v>45014</v>
      </c>
      <c r="C3558" s="13">
        <f>IFERROR(__xludf.DUMMYFUNCTION("""COMPUTED_VALUE"""),0.25)</f>
        <v>0.25</v>
      </c>
      <c r="D3558" s="8">
        <f>IFERROR(__xludf.DUMMYFUNCTION("""COMPUTED_VALUE"""),1.1)</f>
        <v>1.1</v>
      </c>
      <c r="E3558" s="8" t="str">
        <f>IFERROR(__xludf.DUMMYFUNCTION("""COMPUTED_VALUE"""),"Real")</f>
        <v>Real</v>
      </c>
      <c r="G3558" s="8">
        <f t="shared" si="1"/>
        <v>3</v>
      </c>
      <c r="H3558" s="14">
        <f t="shared" si="2"/>
        <v>29</v>
      </c>
      <c r="I3558" s="15">
        <f t="shared" si="3"/>
        <v>6</v>
      </c>
    </row>
    <row r="3559">
      <c r="A3559" s="8" t="str">
        <f>IFERROR(__xludf.DUMMYFUNCTION("IF('(INGESTA)Datos_consumo_datadis'!A3559&lt;&gt;"""",SPLIT('(INGESTA)Datos_consumo_datadis'!A:A,"",""),"""")"),"ES0031408323131005HX0F")</f>
        <v>ES0031408323131005HX0F</v>
      </c>
      <c r="B3559" s="12">
        <f>IFERROR(__xludf.DUMMYFUNCTION("""COMPUTED_VALUE"""),45014.0)</f>
        <v>45014</v>
      </c>
      <c r="C3559" s="13">
        <f>IFERROR(__xludf.DUMMYFUNCTION("""COMPUTED_VALUE"""),0.2916666666666667)</f>
        <v>0.2916666667</v>
      </c>
      <c r="D3559" s="8">
        <f>IFERROR(__xludf.DUMMYFUNCTION("""COMPUTED_VALUE"""),0.961)</f>
        <v>0.961</v>
      </c>
      <c r="E3559" s="8" t="str">
        <f>IFERROR(__xludf.DUMMYFUNCTION("""COMPUTED_VALUE"""),"Real")</f>
        <v>Real</v>
      </c>
      <c r="G3559" s="8">
        <f t="shared" si="1"/>
        <v>3</v>
      </c>
      <c r="H3559" s="14">
        <f t="shared" si="2"/>
        <v>29</v>
      </c>
      <c r="I3559" s="15">
        <f t="shared" si="3"/>
        <v>7</v>
      </c>
    </row>
    <row r="3560">
      <c r="A3560" s="8" t="str">
        <f>IFERROR(__xludf.DUMMYFUNCTION("IF('(INGESTA)Datos_consumo_datadis'!A3560&lt;&gt;"""",SPLIT('(INGESTA)Datos_consumo_datadis'!A:A,"",""),"""")"),"ES0031408323131005HX0F")</f>
        <v>ES0031408323131005HX0F</v>
      </c>
      <c r="B3560" s="12">
        <f>IFERROR(__xludf.DUMMYFUNCTION("""COMPUTED_VALUE"""),45014.0)</f>
        <v>45014</v>
      </c>
      <c r="C3560" s="13">
        <f>IFERROR(__xludf.DUMMYFUNCTION("""COMPUTED_VALUE"""),0.3333333333333333)</f>
        <v>0.3333333333</v>
      </c>
      <c r="D3560" s="8">
        <f>IFERROR(__xludf.DUMMYFUNCTION("""COMPUTED_VALUE"""),0.42)</f>
        <v>0.42</v>
      </c>
      <c r="E3560" s="8" t="str">
        <f>IFERROR(__xludf.DUMMYFUNCTION("""COMPUTED_VALUE"""),"Real")</f>
        <v>Real</v>
      </c>
      <c r="G3560" s="8">
        <f t="shared" si="1"/>
        <v>3</v>
      </c>
      <c r="H3560" s="14">
        <f t="shared" si="2"/>
        <v>29</v>
      </c>
      <c r="I3560" s="15">
        <f t="shared" si="3"/>
        <v>8</v>
      </c>
    </row>
    <row r="3561">
      <c r="A3561" s="8" t="str">
        <f>IFERROR(__xludf.DUMMYFUNCTION("IF('(INGESTA)Datos_consumo_datadis'!A3561&lt;&gt;"""",SPLIT('(INGESTA)Datos_consumo_datadis'!A:A,"",""),"""")"),"ES0031408323131005HX0F")</f>
        <v>ES0031408323131005HX0F</v>
      </c>
      <c r="B3561" s="12">
        <f>IFERROR(__xludf.DUMMYFUNCTION("""COMPUTED_VALUE"""),45014.0)</f>
        <v>45014</v>
      </c>
      <c r="C3561" s="13">
        <f>IFERROR(__xludf.DUMMYFUNCTION("""COMPUTED_VALUE"""),0.375)</f>
        <v>0.375</v>
      </c>
      <c r="D3561" s="8">
        <f>IFERROR(__xludf.DUMMYFUNCTION("""COMPUTED_VALUE"""),0.358)</f>
        <v>0.358</v>
      </c>
      <c r="E3561" s="8" t="str">
        <f>IFERROR(__xludf.DUMMYFUNCTION("""COMPUTED_VALUE"""),"Real")</f>
        <v>Real</v>
      </c>
      <c r="G3561" s="8">
        <f t="shared" si="1"/>
        <v>3</v>
      </c>
      <c r="H3561" s="14">
        <f t="shared" si="2"/>
        <v>29</v>
      </c>
      <c r="I3561" s="15">
        <f t="shared" si="3"/>
        <v>9</v>
      </c>
    </row>
    <row r="3562">
      <c r="A3562" s="8" t="str">
        <f>IFERROR(__xludf.DUMMYFUNCTION("IF('(INGESTA)Datos_consumo_datadis'!A3562&lt;&gt;"""",SPLIT('(INGESTA)Datos_consumo_datadis'!A:A,"",""),"""")"),"ES0031408323131005HX0F")</f>
        <v>ES0031408323131005HX0F</v>
      </c>
      <c r="B3562" s="12">
        <f>IFERROR(__xludf.DUMMYFUNCTION("""COMPUTED_VALUE"""),45014.0)</f>
        <v>45014</v>
      </c>
      <c r="C3562" s="13">
        <f>IFERROR(__xludf.DUMMYFUNCTION("""COMPUTED_VALUE"""),0.4166666666666667)</f>
        <v>0.4166666667</v>
      </c>
      <c r="D3562" s="8">
        <f>IFERROR(__xludf.DUMMYFUNCTION("""COMPUTED_VALUE"""),0.554)</f>
        <v>0.554</v>
      </c>
      <c r="E3562" s="8" t="str">
        <f>IFERROR(__xludf.DUMMYFUNCTION("""COMPUTED_VALUE"""),"Real")</f>
        <v>Real</v>
      </c>
      <c r="G3562" s="8">
        <f t="shared" si="1"/>
        <v>3</v>
      </c>
      <c r="H3562" s="14">
        <f t="shared" si="2"/>
        <v>29</v>
      </c>
      <c r="I3562" s="15">
        <f t="shared" si="3"/>
        <v>10</v>
      </c>
    </row>
    <row r="3563">
      <c r="A3563" s="8" t="str">
        <f>IFERROR(__xludf.DUMMYFUNCTION("IF('(INGESTA)Datos_consumo_datadis'!A3563&lt;&gt;"""",SPLIT('(INGESTA)Datos_consumo_datadis'!A:A,"",""),"""")"),"ES0031408323131005HX0F")</f>
        <v>ES0031408323131005HX0F</v>
      </c>
      <c r="B3563" s="12">
        <f>IFERROR(__xludf.DUMMYFUNCTION("""COMPUTED_VALUE"""),45014.0)</f>
        <v>45014</v>
      </c>
      <c r="C3563" s="13">
        <f>IFERROR(__xludf.DUMMYFUNCTION("""COMPUTED_VALUE"""),0.4583333333333333)</f>
        <v>0.4583333333</v>
      </c>
      <c r="D3563" s="8">
        <f>IFERROR(__xludf.DUMMYFUNCTION("""COMPUTED_VALUE"""),1.065)</f>
        <v>1.065</v>
      </c>
      <c r="E3563" s="8" t="str">
        <f>IFERROR(__xludf.DUMMYFUNCTION("""COMPUTED_VALUE"""),"Real")</f>
        <v>Real</v>
      </c>
      <c r="G3563" s="8">
        <f t="shared" si="1"/>
        <v>3</v>
      </c>
      <c r="H3563" s="14">
        <f t="shared" si="2"/>
        <v>29</v>
      </c>
      <c r="I3563" s="15">
        <f t="shared" si="3"/>
        <v>11</v>
      </c>
    </row>
    <row r="3564">
      <c r="A3564" s="8" t="str">
        <f>IFERROR(__xludf.DUMMYFUNCTION("IF('(INGESTA)Datos_consumo_datadis'!A3564&lt;&gt;"""",SPLIT('(INGESTA)Datos_consumo_datadis'!A:A,"",""),"""")"),"ES0031408323131005HX0F")</f>
        <v>ES0031408323131005HX0F</v>
      </c>
      <c r="B3564" s="12">
        <f>IFERROR(__xludf.DUMMYFUNCTION("""COMPUTED_VALUE"""),45014.0)</f>
        <v>45014</v>
      </c>
      <c r="C3564" s="13">
        <f>IFERROR(__xludf.DUMMYFUNCTION("""COMPUTED_VALUE"""),0.5)</f>
        <v>0.5</v>
      </c>
      <c r="D3564" s="8">
        <f>IFERROR(__xludf.DUMMYFUNCTION("""COMPUTED_VALUE"""),0.045)</f>
        <v>0.045</v>
      </c>
      <c r="E3564" s="8" t="str">
        <f>IFERROR(__xludf.DUMMYFUNCTION("""COMPUTED_VALUE"""),"Real")</f>
        <v>Real</v>
      </c>
      <c r="G3564" s="8">
        <f t="shared" si="1"/>
        <v>3</v>
      </c>
      <c r="H3564" s="14">
        <f t="shared" si="2"/>
        <v>29</v>
      </c>
      <c r="I3564" s="15">
        <f t="shared" si="3"/>
        <v>12</v>
      </c>
    </row>
    <row r="3565">
      <c r="A3565" s="8" t="str">
        <f>IFERROR(__xludf.DUMMYFUNCTION("IF('(INGESTA)Datos_consumo_datadis'!A3565&lt;&gt;"""",SPLIT('(INGESTA)Datos_consumo_datadis'!A:A,"",""),"""")"),"ES0031408323131005HX0F")</f>
        <v>ES0031408323131005HX0F</v>
      </c>
      <c r="B3565" s="12">
        <f>IFERROR(__xludf.DUMMYFUNCTION("""COMPUTED_VALUE"""),45014.0)</f>
        <v>45014</v>
      </c>
      <c r="C3565" s="13">
        <f>IFERROR(__xludf.DUMMYFUNCTION("""COMPUTED_VALUE"""),0.5416666666666666)</f>
        <v>0.5416666667</v>
      </c>
      <c r="D3565" s="8">
        <f>IFERROR(__xludf.DUMMYFUNCTION("""COMPUTED_VALUE"""),0.075)</f>
        <v>0.075</v>
      </c>
      <c r="E3565" s="8" t="str">
        <f>IFERROR(__xludf.DUMMYFUNCTION("""COMPUTED_VALUE"""),"Real")</f>
        <v>Real</v>
      </c>
      <c r="G3565" s="8">
        <f t="shared" si="1"/>
        <v>3</v>
      </c>
      <c r="H3565" s="14">
        <f t="shared" si="2"/>
        <v>29</v>
      </c>
      <c r="I3565" s="15">
        <f t="shared" si="3"/>
        <v>13</v>
      </c>
    </row>
    <row r="3566">
      <c r="A3566" s="8" t="str">
        <f>IFERROR(__xludf.DUMMYFUNCTION("IF('(INGESTA)Datos_consumo_datadis'!A3566&lt;&gt;"""",SPLIT('(INGESTA)Datos_consumo_datadis'!A:A,"",""),"""")"),"ES0031408323131005HX0F")</f>
        <v>ES0031408323131005HX0F</v>
      </c>
      <c r="B3566" s="12">
        <f>IFERROR(__xludf.DUMMYFUNCTION("""COMPUTED_VALUE"""),45014.0)</f>
        <v>45014</v>
      </c>
      <c r="C3566" s="13">
        <f>IFERROR(__xludf.DUMMYFUNCTION("""COMPUTED_VALUE"""),0.5833333333333334)</f>
        <v>0.5833333333</v>
      </c>
      <c r="D3566" s="8">
        <f>IFERROR(__xludf.DUMMYFUNCTION("""COMPUTED_VALUE"""),0.017)</f>
        <v>0.017</v>
      </c>
      <c r="E3566" s="8" t="str">
        <f>IFERROR(__xludf.DUMMYFUNCTION("""COMPUTED_VALUE"""),"Real")</f>
        <v>Real</v>
      </c>
      <c r="G3566" s="8">
        <f t="shared" si="1"/>
        <v>3</v>
      </c>
      <c r="H3566" s="14">
        <f t="shared" si="2"/>
        <v>29</v>
      </c>
      <c r="I3566" s="15">
        <f t="shared" si="3"/>
        <v>14</v>
      </c>
    </row>
    <row r="3567">
      <c r="A3567" s="8" t="str">
        <f>IFERROR(__xludf.DUMMYFUNCTION("IF('(INGESTA)Datos_consumo_datadis'!A3567&lt;&gt;"""",SPLIT('(INGESTA)Datos_consumo_datadis'!A:A,"",""),"""")"),"ES0031408323131005HX0F")</f>
        <v>ES0031408323131005HX0F</v>
      </c>
      <c r="B3567" s="12">
        <f>IFERROR(__xludf.DUMMYFUNCTION("""COMPUTED_VALUE"""),45014.0)</f>
        <v>45014</v>
      </c>
      <c r="C3567" s="13">
        <f>IFERROR(__xludf.DUMMYFUNCTION("""COMPUTED_VALUE"""),0.625)</f>
        <v>0.625</v>
      </c>
      <c r="D3567" s="8">
        <f>IFERROR(__xludf.DUMMYFUNCTION("""COMPUTED_VALUE"""),0.318)</f>
        <v>0.318</v>
      </c>
      <c r="E3567" s="8" t="str">
        <f>IFERROR(__xludf.DUMMYFUNCTION("""COMPUTED_VALUE"""),"Real")</f>
        <v>Real</v>
      </c>
      <c r="G3567" s="8">
        <f t="shared" si="1"/>
        <v>3</v>
      </c>
      <c r="H3567" s="14">
        <f t="shared" si="2"/>
        <v>29</v>
      </c>
      <c r="I3567" s="15">
        <f t="shared" si="3"/>
        <v>15</v>
      </c>
    </row>
    <row r="3568">
      <c r="A3568" s="8" t="str">
        <f>IFERROR(__xludf.DUMMYFUNCTION("IF('(INGESTA)Datos_consumo_datadis'!A3568&lt;&gt;"""",SPLIT('(INGESTA)Datos_consumo_datadis'!A:A,"",""),"""")"),"ES0031408323131005HX0F")</f>
        <v>ES0031408323131005HX0F</v>
      </c>
      <c r="B3568" s="12">
        <f>IFERROR(__xludf.DUMMYFUNCTION("""COMPUTED_VALUE"""),45014.0)</f>
        <v>45014</v>
      </c>
      <c r="C3568" s="13">
        <f>IFERROR(__xludf.DUMMYFUNCTION("""COMPUTED_VALUE"""),0.6666666666666666)</f>
        <v>0.6666666667</v>
      </c>
      <c r="D3568" s="8">
        <f>IFERROR(__xludf.DUMMYFUNCTION("""COMPUTED_VALUE"""),0.085)</f>
        <v>0.085</v>
      </c>
      <c r="E3568" s="8" t="str">
        <f>IFERROR(__xludf.DUMMYFUNCTION("""COMPUTED_VALUE"""),"Real")</f>
        <v>Real</v>
      </c>
      <c r="G3568" s="8">
        <f t="shared" si="1"/>
        <v>3</v>
      </c>
      <c r="H3568" s="14">
        <f t="shared" si="2"/>
        <v>29</v>
      </c>
      <c r="I3568" s="15">
        <f t="shared" si="3"/>
        <v>16</v>
      </c>
    </row>
    <row r="3569">
      <c r="A3569" s="8" t="str">
        <f>IFERROR(__xludf.DUMMYFUNCTION("IF('(INGESTA)Datos_consumo_datadis'!A3569&lt;&gt;"""",SPLIT('(INGESTA)Datos_consumo_datadis'!A:A,"",""),"""")"),"ES0031408323131005HX0F")</f>
        <v>ES0031408323131005HX0F</v>
      </c>
      <c r="B3569" s="12">
        <f>IFERROR(__xludf.DUMMYFUNCTION("""COMPUTED_VALUE"""),45014.0)</f>
        <v>45014</v>
      </c>
      <c r="C3569" s="13">
        <f>IFERROR(__xludf.DUMMYFUNCTION("""COMPUTED_VALUE"""),0.7083333333333334)</f>
        <v>0.7083333333</v>
      </c>
      <c r="D3569" s="8">
        <f>IFERROR(__xludf.DUMMYFUNCTION("""COMPUTED_VALUE"""),0.023)</f>
        <v>0.023</v>
      </c>
      <c r="E3569" s="8" t="str">
        <f>IFERROR(__xludf.DUMMYFUNCTION("""COMPUTED_VALUE"""),"Real")</f>
        <v>Real</v>
      </c>
      <c r="G3569" s="8">
        <f t="shared" si="1"/>
        <v>3</v>
      </c>
      <c r="H3569" s="14">
        <f t="shared" si="2"/>
        <v>29</v>
      </c>
      <c r="I3569" s="15">
        <f t="shared" si="3"/>
        <v>17</v>
      </c>
    </row>
    <row r="3570">
      <c r="A3570" s="8" t="str">
        <f>IFERROR(__xludf.DUMMYFUNCTION("IF('(INGESTA)Datos_consumo_datadis'!A3570&lt;&gt;"""",SPLIT('(INGESTA)Datos_consumo_datadis'!A:A,"",""),"""")"),"ES0031408323131005HX0F")</f>
        <v>ES0031408323131005HX0F</v>
      </c>
      <c r="B3570" s="12">
        <f>IFERROR(__xludf.DUMMYFUNCTION("""COMPUTED_VALUE"""),45014.0)</f>
        <v>45014</v>
      </c>
      <c r="C3570" s="13">
        <f>IFERROR(__xludf.DUMMYFUNCTION("""COMPUTED_VALUE"""),0.75)</f>
        <v>0.75</v>
      </c>
      <c r="D3570" s="8">
        <f>IFERROR(__xludf.DUMMYFUNCTION("""COMPUTED_VALUE"""),0.049)</f>
        <v>0.049</v>
      </c>
      <c r="E3570" s="8" t="str">
        <f>IFERROR(__xludf.DUMMYFUNCTION("""COMPUTED_VALUE"""),"Real")</f>
        <v>Real</v>
      </c>
      <c r="G3570" s="8">
        <f t="shared" si="1"/>
        <v>3</v>
      </c>
      <c r="H3570" s="14">
        <f t="shared" si="2"/>
        <v>29</v>
      </c>
      <c r="I3570" s="15">
        <f t="shared" si="3"/>
        <v>18</v>
      </c>
    </row>
    <row r="3571">
      <c r="A3571" s="8" t="str">
        <f>IFERROR(__xludf.DUMMYFUNCTION("IF('(INGESTA)Datos_consumo_datadis'!A3571&lt;&gt;"""",SPLIT('(INGESTA)Datos_consumo_datadis'!A:A,"",""),"""")"),"ES0031408323131005HX0F")</f>
        <v>ES0031408323131005HX0F</v>
      </c>
      <c r="B3571" s="12">
        <f>IFERROR(__xludf.DUMMYFUNCTION("""COMPUTED_VALUE"""),45014.0)</f>
        <v>45014</v>
      </c>
      <c r="C3571" s="13">
        <f>IFERROR(__xludf.DUMMYFUNCTION("""COMPUTED_VALUE"""),0.7916666666666666)</f>
        <v>0.7916666667</v>
      </c>
      <c r="D3571" s="8">
        <f>IFERROR(__xludf.DUMMYFUNCTION("""COMPUTED_VALUE"""),0.124)</f>
        <v>0.124</v>
      </c>
      <c r="E3571" s="8" t="str">
        <f>IFERROR(__xludf.DUMMYFUNCTION("""COMPUTED_VALUE"""),"Real")</f>
        <v>Real</v>
      </c>
      <c r="G3571" s="8">
        <f t="shared" si="1"/>
        <v>3</v>
      </c>
      <c r="H3571" s="14">
        <f t="shared" si="2"/>
        <v>29</v>
      </c>
      <c r="I3571" s="15">
        <f t="shared" si="3"/>
        <v>19</v>
      </c>
    </row>
    <row r="3572">
      <c r="A3572" s="8" t="str">
        <f>IFERROR(__xludf.DUMMYFUNCTION("IF('(INGESTA)Datos_consumo_datadis'!A3572&lt;&gt;"""",SPLIT('(INGESTA)Datos_consumo_datadis'!A:A,"",""),"""")"),"ES0031408323131005HX0F")</f>
        <v>ES0031408323131005HX0F</v>
      </c>
      <c r="B3572" s="12">
        <f>IFERROR(__xludf.DUMMYFUNCTION("""COMPUTED_VALUE"""),45014.0)</f>
        <v>45014</v>
      </c>
      <c r="C3572" s="13">
        <f>IFERROR(__xludf.DUMMYFUNCTION("""COMPUTED_VALUE"""),0.8333333333333334)</f>
        <v>0.8333333333</v>
      </c>
      <c r="D3572" s="8">
        <f>IFERROR(__xludf.DUMMYFUNCTION("""COMPUTED_VALUE"""),0.1)</f>
        <v>0.1</v>
      </c>
      <c r="E3572" s="8" t="str">
        <f>IFERROR(__xludf.DUMMYFUNCTION("""COMPUTED_VALUE"""),"Real")</f>
        <v>Real</v>
      </c>
      <c r="G3572" s="8">
        <f t="shared" si="1"/>
        <v>3</v>
      </c>
      <c r="H3572" s="14">
        <f t="shared" si="2"/>
        <v>29</v>
      </c>
      <c r="I3572" s="15">
        <f t="shared" si="3"/>
        <v>20</v>
      </c>
    </row>
    <row r="3573">
      <c r="A3573" s="8" t="str">
        <f>IFERROR(__xludf.DUMMYFUNCTION("IF('(INGESTA)Datos_consumo_datadis'!A3573&lt;&gt;"""",SPLIT('(INGESTA)Datos_consumo_datadis'!A:A,"",""),"""")"),"ES0031408323131005HX0F")</f>
        <v>ES0031408323131005HX0F</v>
      </c>
      <c r="B3573" s="12">
        <f>IFERROR(__xludf.DUMMYFUNCTION("""COMPUTED_VALUE"""),45014.0)</f>
        <v>45014</v>
      </c>
      <c r="C3573" s="13">
        <f>IFERROR(__xludf.DUMMYFUNCTION("""COMPUTED_VALUE"""),0.875)</f>
        <v>0.875</v>
      </c>
      <c r="D3573" s="8">
        <f>IFERROR(__xludf.DUMMYFUNCTION("""COMPUTED_VALUE"""),0.049)</f>
        <v>0.049</v>
      </c>
      <c r="E3573" s="8" t="str">
        <f>IFERROR(__xludf.DUMMYFUNCTION("""COMPUTED_VALUE"""),"Real")</f>
        <v>Real</v>
      </c>
      <c r="G3573" s="8">
        <f t="shared" si="1"/>
        <v>3</v>
      </c>
      <c r="H3573" s="14">
        <f t="shared" si="2"/>
        <v>29</v>
      </c>
      <c r="I3573" s="15">
        <f t="shared" si="3"/>
        <v>21</v>
      </c>
    </row>
    <row r="3574">
      <c r="A3574" s="8" t="str">
        <f>IFERROR(__xludf.DUMMYFUNCTION("IF('(INGESTA)Datos_consumo_datadis'!A3574&lt;&gt;"""",SPLIT('(INGESTA)Datos_consumo_datadis'!A:A,"",""),"""")"),"ES0031408323131005HX0F")</f>
        <v>ES0031408323131005HX0F</v>
      </c>
      <c r="B3574" s="12">
        <f>IFERROR(__xludf.DUMMYFUNCTION("""COMPUTED_VALUE"""),45014.0)</f>
        <v>45014</v>
      </c>
      <c r="C3574" s="13">
        <f>IFERROR(__xludf.DUMMYFUNCTION("""COMPUTED_VALUE"""),0.9166666666666666)</f>
        <v>0.9166666667</v>
      </c>
      <c r="D3574" s="8">
        <f>IFERROR(__xludf.DUMMYFUNCTION("""COMPUTED_VALUE"""),0.566)</f>
        <v>0.566</v>
      </c>
      <c r="E3574" s="8" t="str">
        <f>IFERROR(__xludf.DUMMYFUNCTION("""COMPUTED_VALUE"""),"Real")</f>
        <v>Real</v>
      </c>
      <c r="G3574" s="8">
        <f t="shared" si="1"/>
        <v>3</v>
      </c>
      <c r="H3574" s="14">
        <f t="shared" si="2"/>
        <v>29</v>
      </c>
      <c r="I3574" s="15">
        <f t="shared" si="3"/>
        <v>22</v>
      </c>
    </row>
    <row r="3575">
      <c r="A3575" s="8" t="str">
        <f>IFERROR(__xludf.DUMMYFUNCTION("IF('(INGESTA)Datos_consumo_datadis'!A3575&lt;&gt;"""",SPLIT('(INGESTA)Datos_consumo_datadis'!A:A,"",""),"""")"),"ES0031408323131005HX0F")</f>
        <v>ES0031408323131005HX0F</v>
      </c>
      <c r="B3575" s="12">
        <f>IFERROR(__xludf.DUMMYFUNCTION("""COMPUTED_VALUE"""),45014.0)</f>
        <v>45014</v>
      </c>
      <c r="C3575" s="13">
        <f>IFERROR(__xludf.DUMMYFUNCTION("""COMPUTED_VALUE"""),0.9583333333333334)</f>
        <v>0.9583333333</v>
      </c>
      <c r="D3575" s="8">
        <f>IFERROR(__xludf.DUMMYFUNCTION("""COMPUTED_VALUE"""),2.506)</f>
        <v>2.506</v>
      </c>
      <c r="E3575" s="8" t="str">
        <f>IFERROR(__xludf.DUMMYFUNCTION("""COMPUTED_VALUE"""),"Real")</f>
        <v>Real</v>
      </c>
      <c r="G3575" s="8">
        <f t="shared" si="1"/>
        <v>3</v>
      </c>
      <c r="H3575" s="14">
        <f t="shared" si="2"/>
        <v>29</v>
      </c>
      <c r="I3575" s="15">
        <f t="shared" si="3"/>
        <v>23</v>
      </c>
    </row>
    <row r="3576">
      <c r="A3576" s="8" t="str">
        <f>IFERROR(__xludf.DUMMYFUNCTION("IF('(INGESTA)Datos_consumo_datadis'!A3576&lt;&gt;"""",SPLIT('(INGESTA)Datos_consumo_datadis'!A:A,"",""),"""")"),"ES0031408323131005HX0F")</f>
        <v>ES0031408323131005HX0F</v>
      </c>
      <c r="B3576" s="12">
        <f>IFERROR(__xludf.DUMMYFUNCTION("""COMPUTED_VALUE"""),45014.0)</f>
        <v>45014</v>
      </c>
      <c r="C3576" s="16">
        <f>IFERROR(__xludf.DUMMYFUNCTION("""COMPUTED_VALUE"""),1.0)</f>
        <v>1</v>
      </c>
      <c r="D3576" s="8">
        <f>IFERROR(__xludf.DUMMYFUNCTION("""COMPUTED_VALUE"""),1.244)</f>
        <v>1.244</v>
      </c>
      <c r="E3576" s="8" t="str">
        <f>IFERROR(__xludf.DUMMYFUNCTION("""COMPUTED_VALUE"""),"Real")</f>
        <v>Real</v>
      </c>
      <c r="G3576" s="8">
        <f t="shared" si="1"/>
        <v>3</v>
      </c>
      <c r="H3576" s="14">
        <f t="shared" si="2"/>
        <v>29</v>
      </c>
      <c r="I3576" s="15">
        <f t="shared" si="3"/>
        <v>0</v>
      </c>
    </row>
    <row r="3577">
      <c r="A3577" s="8" t="str">
        <f>IFERROR(__xludf.DUMMYFUNCTION("IF('(INGESTA)Datos_consumo_datadis'!A3577&lt;&gt;"""",SPLIT('(INGESTA)Datos_consumo_datadis'!A:A,"",""),"""")"),"ES0031408323131005HX0F")</f>
        <v>ES0031408323131005HX0F</v>
      </c>
      <c r="B3577" s="12">
        <f>IFERROR(__xludf.DUMMYFUNCTION("""COMPUTED_VALUE"""),45015.0)</f>
        <v>45015</v>
      </c>
      <c r="C3577" s="13">
        <f>IFERROR(__xludf.DUMMYFUNCTION("""COMPUTED_VALUE"""),0.041666666666666664)</f>
        <v>0.04166666667</v>
      </c>
      <c r="D3577" s="8">
        <f>IFERROR(__xludf.DUMMYFUNCTION("""COMPUTED_VALUE"""),0.766)</f>
        <v>0.766</v>
      </c>
      <c r="E3577" s="8" t="str">
        <f>IFERROR(__xludf.DUMMYFUNCTION("""COMPUTED_VALUE"""),"Real")</f>
        <v>Real</v>
      </c>
      <c r="G3577" s="8">
        <f t="shared" si="1"/>
        <v>3</v>
      </c>
      <c r="H3577" s="14">
        <f t="shared" si="2"/>
        <v>30</v>
      </c>
      <c r="I3577" s="15">
        <f t="shared" si="3"/>
        <v>1</v>
      </c>
    </row>
    <row r="3578">
      <c r="A3578" s="8" t="str">
        <f>IFERROR(__xludf.DUMMYFUNCTION("IF('(INGESTA)Datos_consumo_datadis'!A3578&lt;&gt;"""",SPLIT('(INGESTA)Datos_consumo_datadis'!A:A,"",""),"""")"),"ES0031408323131005HX0F")</f>
        <v>ES0031408323131005HX0F</v>
      </c>
      <c r="B3578" s="12">
        <f>IFERROR(__xludf.DUMMYFUNCTION("""COMPUTED_VALUE"""),45015.0)</f>
        <v>45015</v>
      </c>
      <c r="C3578" s="13">
        <f>IFERROR(__xludf.DUMMYFUNCTION("""COMPUTED_VALUE"""),0.08333333333333333)</f>
        <v>0.08333333333</v>
      </c>
      <c r="D3578" s="8">
        <f>IFERROR(__xludf.DUMMYFUNCTION("""COMPUTED_VALUE"""),1.053)</f>
        <v>1.053</v>
      </c>
      <c r="E3578" s="8" t="str">
        <f>IFERROR(__xludf.DUMMYFUNCTION("""COMPUTED_VALUE"""),"Real")</f>
        <v>Real</v>
      </c>
      <c r="G3578" s="8">
        <f t="shared" si="1"/>
        <v>3</v>
      </c>
      <c r="H3578" s="14">
        <f t="shared" si="2"/>
        <v>30</v>
      </c>
      <c r="I3578" s="15">
        <f t="shared" si="3"/>
        <v>2</v>
      </c>
    </row>
    <row r="3579">
      <c r="A3579" s="8" t="str">
        <f>IFERROR(__xludf.DUMMYFUNCTION("IF('(INGESTA)Datos_consumo_datadis'!A3579&lt;&gt;"""",SPLIT('(INGESTA)Datos_consumo_datadis'!A:A,"",""),"""")"),"ES0031408323131005HX0F")</f>
        <v>ES0031408323131005HX0F</v>
      </c>
      <c r="B3579" s="12">
        <f>IFERROR(__xludf.DUMMYFUNCTION("""COMPUTED_VALUE"""),45015.0)</f>
        <v>45015</v>
      </c>
      <c r="C3579" s="13">
        <f>IFERROR(__xludf.DUMMYFUNCTION("""COMPUTED_VALUE"""),0.125)</f>
        <v>0.125</v>
      </c>
      <c r="D3579" s="8">
        <f>IFERROR(__xludf.DUMMYFUNCTION("""COMPUTED_VALUE"""),0.061)</f>
        <v>0.061</v>
      </c>
      <c r="E3579" s="8" t="str">
        <f>IFERROR(__xludf.DUMMYFUNCTION("""COMPUTED_VALUE"""),"Real")</f>
        <v>Real</v>
      </c>
      <c r="G3579" s="8">
        <f t="shared" si="1"/>
        <v>3</v>
      </c>
      <c r="H3579" s="14">
        <f t="shared" si="2"/>
        <v>30</v>
      </c>
      <c r="I3579" s="15">
        <f t="shared" si="3"/>
        <v>3</v>
      </c>
    </row>
    <row r="3580">
      <c r="A3580" s="8" t="str">
        <f>IFERROR(__xludf.DUMMYFUNCTION("IF('(INGESTA)Datos_consumo_datadis'!A3580&lt;&gt;"""",SPLIT('(INGESTA)Datos_consumo_datadis'!A:A,"",""),"""")"),"ES0031408323131005HX0F")</f>
        <v>ES0031408323131005HX0F</v>
      </c>
      <c r="B3580" s="12">
        <f>IFERROR(__xludf.DUMMYFUNCTION("""COMPUTED_VALUE"""),45015.0)</f>
        <v>45015</v>
      </c>
      <c r="C3580" s="13">
        <f>IFERROR(__xludf.DUMMYFUNCTION("""COMPUTED_VALUE"""),0.16666666666666666)</f>
        <v>0.1666666667</v>
      </c>
      <c r="D3580" s="8">
        <f>IFERROR(__xludf.DUMMYFUNCTION("""COMPUTED_VALUE"""),0.103)</f>
        <v>0.103</v>
      </c>
      <c r="E3580" s="8" t="str">
        <f>IFERROR(__xludf.DUMMYFUNCTION("""COMPUTED_VALUE"""),"Real")</f>
        <v>Real</v>
      </c>
      <c r="G3580" s="8">
        <f t="shared" si="1"/>
        <v>3</v>
      </c>
      <c r="H3580" s="14">
        <f t="shared" si="2"/>
        <v>30</v>
      </c>
      <c r="I3580" s="15">
        <f t="shared" si="3"/>
        <v>4</v>
      </c>
    </row>
    <row r="3581">
      <c r="A3581" s="8" t="str">
        <f>IFERROR(__xludf.DUMMYFUNCTION("IF('(INGESTA)Datos_consumo_datadis'!A3581&lt;&gt;"""",SPLIT('(INGESTA)Datos_consumo_datadis'!A:A,"",""),"""")"),"ES0031408323131005HX0F")</f>
        <v>ES0031408323131005HX0F</v>
      </c>
      <c r="B3581" s="12">
        <f>IFERROR(__xludf.DUMMYFUNCTION("""COMPUTED_VALUE"""),45015.0)</f>
        <v>45015</v>
      </c>
      <c r="C3581" s="13">
        <f>IFERROR(__xludf.DUMMYFUNCTION("""COMPUTED_VALUE"""),0.20833333333333334)</f>
        <v>0.2083333333</v>
      </c>
      <c r="D3581" s="8">
        <f>IFERROR(__xludf.DUMMYFUNCTION("""COMPUTED_VALUE"""),0.051)</f>
        <v>0.051</v>
      </c>
      <c r="E3581" s="8" t="str">
        <f>IFERROR(__xludf.DUMMYFUNCTION("""COMPUTED_VALUE"""),"Real")</f>
        <v>Real</v>
      </c>
      <c r="G3581" s="8">
        <f t="shared" si="1"/>
        <v>3</v>
      </c>
      <c r="H3581" s="14">
        <f t="shared" si="2"/>
        <v>30</v>
      </c>
      <c r="I3581" s="15">
        <f t="shared" si="3"/>
        <v>5</v>
      </c>
    </row>
    <row r="3582">
      <c r="A3582" s="8" t="str">
        <f>IFERROR(__xludf.DUMMYFUNCTION("IF('(INGESTA)Datos_consumo_datadis'!A3582&lt;&gt;"""",SPLIT('(INGESTA)Datos_consumo_datadis'!A:A,"",""),"""")"),"ES0031408323131005HX0F")</f>
        <v>ES0031408323131005HX0F</v>
      </c>
      <c r="B3582" s="12">
        <f>IFERROR(__xludf.DUMMYFUNCTION("""COMPUTED_VALUE"""),45015.0)</f>
        <v>45015</v>
      </c>
      <c r="C3582" s="13">
        <f>IFERROR(__xludf.DUMMYFUNCTION("""COMPUTED_VALUE"""),0.25)</f>
        <v>0.25</v>
      </c>
      <c r="D3582" s="8">
        <f>IFERROR(__xludf.DUMMYFUNCTION("""COMPUTED_VALUE"""),0.36)</f>
        <v>0.36</v>
      </c>
      <c r="E3582" s="8" t="str">
        <f>IFERROR(__xludf.DUMMYFUNCTION("""COMPUTED_VALUE"""),"Real")</f>
        <v>Real</v>
      </c>
      <c r="G3582" s="8">
        <f t="shared" si="1"/>
        <v>3</v>
      </c>
      <c r="H3582" s="14">
        <f t="shared" si="2"/>
        <v>30</v>
      </c>
      <c r="I3582" s="15">
        <f t="shared" si="3"/>
        <v>6</v>
      </c>
    </row>
    <row r="3583">
      <c r="A3583" s="8" t="str">
        <f>IFERROR(__xludf.DUMMYFUNCTION("IF('(INGESTA)Datos_consumo_datadis'!A3583&lt;&gt;"""",SPLIT('(INGESTA)Datos_consumo_datadis'!A:A,"",""),"""")"),"ES0031408323131005HX0F")</f>
        <v>ES0031408323131005HX0F</v>
      </c>
      <c r="B3583" s="12">
        <f>IFERROR(__xludf.DUMMYFUNCTION("""COMPUTED_VALUE"""),45015.0)</f>
        <v>45015</v>
      </c>
      <c r="C3583" s="13">
        <f>IFERROR(__xludf.DUMMYFUNCTION("""COMPUTED_VALUE"""),0.2916666666666667)</f>
        <v>0.2916666667</v>
      </c>
      <c r="D3583" s="8">
        <f>IFERROR(__xludf.DUMMYFUNCTION("""COMPUTED_VALUE"""),0.173)</f>
        <v>0.173</v>
      </c>
      <c r="E3583" s="8" t="str">
        <f>IFERROR(__xludf.DUMMYFUNCTION("""COMPUTED_VALUE"""),"Real")</f>
        <v>Real</v>
      </c>
      <c r="G3583" s="8">
        <f t="shared" si="1"/>
        <v>3</v>
      </c>
      <c r="H3583" s="14">
        <f t="shared" si="2"/>
        <v>30</v>
      </c>
      <c r="I3583" s="15">
        <f t="shared" si="3"/>
        <v>7</v>
      </c>
    </row>
    <row r="3584">
      <c r="A3584" s="8" t="str">
        <f>IFERROR(__xludf.DUMMYFUNCTION("IF('(INGESTA)Datos_consumo_datadis'!A3584&lt;&gt;"""",SPLIT('(INGESTA)Datos_consumo_datadis'!A:A,"",""),"""")"),"ES0031408323131005HX0F")</f>
        <v>ES0031408323131005HX0F</v>
      </c>
      <c r="B3584" s="12">
        <f>IFERROR(__xludf.DUMMYFUNCTION("""COMPUTED_VALUE"""),45015.0)</f>
        <v>45015</v>
      </c>
      <c r="C3584" s="13">
        <f>IFERROR(__xludf.DUMMYFUNCTION("""COMPUTED_VALUE"""),0.3333333333333333)</f>
        <v>0.3333333333</v>
      </c>
      <c r="D3584" s="8">
        <f>IFERROR(__xludf.DUMMYFUNCTION("""COMPUTED_VALUE"""),0.069)</f>
        <v>0.069</v>
      </c>
      <c r="E3584" s="8" t="str">
        <f>IFERROR(__xludf.DUMMYFUNCTION("""COMPUTED_VALUE"""),"Real")</f>
        <v>Real</v>
      </c>
      <c r="G3584" s="8">
        <f t="shared" si="1"/>
        <v>3</v>
      </c>
      <c r="H3584" s="14">
        <f t="shared" si="2"/>
        <v>30</v>
      </c>
      <c r="I3584" s="15">
        <f t="shared" si="3"/>
        <v>8</v>
      </c>
    </row>
    <row r="3585">
      <c r="A3585" s="8" t="str">
        <f>IFERROR(__xludf.DUMMYFUNCTION("IF('(INGESTA)Datos_consumo_datadis'!A3585&lt;&gt;"""",SPLIT('(INGESTA)Datos_consumo_datadis'!A:A,"",""),"""")"),"ES0031408323131005HX0F")</f>
        <v>ES0031408323131005HX0F</v>
      </c>
      <c r="B3585" s="12">
        <f>IFERROR(__xludf.DUMMYFUNCTION("""COMPUTED_VALUE"""),45015.0)</f>
        <v>45015</v>
      </c>
      <c r="C3585" s="13">
        <f>IFERROR(__xludf.DUMMYFUNCTION("""COMPUTED_VALUE"""),0.375)</f>
        <v>0.375</v>
      </c>
      <c r="D3585" s="8">
        <f>IFERROR(__xludf.DUMMYFUNCTION("""COMPUTED_VALUE"""),0.053)</f>
        <v>0.053</v>
      </c>
      <c r="E3585" s="8" t="str">
        <f>IFERROR(__xludf.DUMMYFUNCTION("""COMPUTED_VALUE"""),"Real")</f>
        <v>Real</v>
      </c>
      <c r="G3585" s="8">
        <f t="shared" si="1"/>
        <v>3</v>
      </c>
      <c r="H3585" s="14">
        <f t="shared" si="2"/>
        <v>30</v>
      </c>
      <c r="I3585" s="15">
        <f t="shared" si="3"/>
        <v>9</v>
      </c>
    </row>
    <row r="3586">
      <c r="A3586" s="8" t="str">
        <f>IFERROR(__xludf.DUMMYFUNCTION("IF('(INGESTA)Datos_consumo_datadis'!A3586&lt;&gt;"""",SPLIT('(INGESTA)Datos_consumo_datadis'!A:A,"",""),"""")"),"ES0031408323131005HX0F")</f>
        <v>ES0031408323131005HX0F</v>
      </c>
      <c r="B3586" s="12">
        <f>IFERROR(__xludf.DUMMYFUNCTION("""COMPUTED_VALUE"""),45015.0)</f>
        <v>45015</v>
      </c>
      <c r="C3586" s="13">
        <f>IFERROR(__xludf.DUMMYFUNCTION("""COMPUTED_VALUE"""),0.4166666666666667)</f>
        <v>0.4166666667</v>
      </c>
      <c r="D3586" s="8">
        <f>IFERROR(__xludf.DUMMYFUNCTION("""COMPUTED_VALUE"""),0.583)</f>
        <v>0.583</v>
      </c>
      <c r="E3586" s="8" t="str">
        <f>IFERROR(__xludf.DUMMYFUNCTION("""COMPUTED_VALUE"""),"Real")</f>
        <v>Real</v>
      </c>
      <c r="G3586" s="8">
        <f t="shared" si="1"/>
        <v>3</v>
      </c>
      <c r="H3586" s="14">
        <f t="shared" si="2"/>
        <v>30</v>
      </c>
      <c r="I3586" s="15">
        <f t="shared" si="3"/>
        <v>10</v>
      </c>
    </row>
    <row r="3587">
      <c r="A3587" s="8" t="str">
        <f>IFERROR(__xludf.DUMMYFUNCTION("IF('(INGESTA)Datos_consumo_datadis'!A3587&lt;&gt;"""",SPLIT('(INGESTA)Datos_consumo_datadis'!A:A,"",""),"""")"),"ES0031408323131005HX0F")</f>
        <v>ES0031408323131005HX0F</v>
      </c>
      <c r="B3587" s="12">
        <f>IFERROR(__xludf.DUMMYFUNCTION("""COMPUTED_VALUE"""),45015.0)</f>
        <v>45015</v>
      </c>
      <c r="C3587" s="13">
        <f>IFERROR(__xludf.DUMMYFUNCTION("""COMPUTED_VALUE"""),0.4583333333333333)</f>
        <v>0.4583333333</v>
      </c>
      <c r="D3587" s="8">
        <f>IFERROR(__xludf.DUMMYFUNCTION("""COMPUTED_VALUE"""),0.059)</f>
        <v>0.059</v>
      </c>
      <c r="E3587" s="8" t="str">
        <f>IFERROR(__xludf.DUMMYFUNCTION("""COMPUTED_VALUE"""),"Real")</f>
        <v>Real</v>
      </c>
      <c r="G3587" s="8">
        <f t="shared" si="1"/>
        <v>3</v>
      </c>
      <c r="H3587" s="14">
        <f t="shared" si="2"/>
        <v>30</v>
      </c>
      <c r="I3587" s="15">
        <f t="shared" si="3"/>
        <v>11</v>
      </c>
    </row>
    <row r="3588">
      <c r="A3588" s="8" t="str">
        <f>IFERROR(__xludf.DUMMYFUNCTION("IF('(INGESTA)Datos_consumo_datadis'!A3588&lt;&gt;"""",SPLIT('(INGESTA)Datos_consumo_datadis'!A:A,"",""),"""")"),"ES0031408323131005HX0F")</f>
        <v>ES0031408323131005HX0F</v>
      </c>
      <c r="B3588" s="12">
        <f>IFERROR(__xludf.DUMMYFUNCTION("""COMPUTED_VALUE"""),45015.0)</f>
        <v>45015</v>
      </c>
      <c r="C3588" s="13">
        <f>IFERROR(__xludf.DUMMYFUNCTION("""COMPUTED_VALUE"""),0.5)</f>
        <v>0.5</v>
      </c>
      <c r="D3588" s="8">
        <f>IFERROR(__xludf.DUMMYFUNCTION("""COMPUTED_VALUE"""),0.021)</f>
        <v>0.021</v>
      </c>
      <c r="E3588" s="8" t="str">
        <f>IFERROR(__xludf.DUMMYFUNCTION("""COMPUTED_VALUE"""),"Real")</f>
        <v>Real</v>
      </c>
      <c r="G3588" s="8">
        <f t="shared" si="1"/>
        <v>3</v>
      </c>
      <c r="H3588" s="14">
        <f t="shared" si="2"/>
        <v>30</v>
      </c>
      <c r="I3588" s="15">
        <f t="shared" si="3"/>
        <v>12</v>
      </c>
    </row>
    <row r="3589">
      <c r="A3589" s="8" t="str">
        <f>IFERROR(__xludf.DUMMYFUNCTION("IF('(INGESTA)Datos_consumo_datadis'!A3589&lt;&gt;"""",SPLIT('(INGESTA)Datos_consumo_datadis'!A:A,"",""),"""")"),"ES0031408323131005HX0F")</f>
        <v>ES0031408323131005HX0F</v>
      </c>
      <c r="B3589" s="12">
        <f>IFERROR(__xludf.DUMMYFUNCTION("""COMPUTED_VALUE"""),45015.0)</f>
        <v>45015</v>
      </c>
      <c r="C3589" s="13">
        <f>IFERROR(__xludf.DUMMYFUNCTION("""COMPUTED_VALUE"""),0.5416666666666666)</f>
        <v>0.5416666667</v>
      </c>
      <c r="D3589" s="8">
        <f>IFERROR(__xludf.DUMMYFUNCTION("""COMPUTED_VALUE"""),0.093)</f>
        <v>0.093</v>
      </c>
      <c r="E3589" s="8" t="str">
        <f>IFERROR(__xludf.DUMMYFUNCTION("""COMPUTED_VALUE"""),"Real")</f>
        <v>Real</v>
      </c>
      <c r="G3589" s="8">
        <f t="shared" si="1"/>
        <v>3</v>
      </c>
      <c r="H3589" s="14">
        <f t="shared" si="2"/>
        <v>30</v>
      </c>
      <c r="I3589" s="15">
        <f t="shared" si="3"/>
        <v>13</v>
      </c>
    </row>
    <row r="3590">
      <c r="A3590" s="8" t="str">
        <f>IFERROR(__xludf.DUMMYFUNCTION("IF('(INGESTA)Datos_consumo_datadis'!A3590&lt;&gt;"""",SPLIT('(INGESTA)Datos_consumo_datadis'!A:A,"",""),"""")"),"ES0031408323131005HX0F")</f>
        <v>ES0031408323131005HX0F</v>
      </c>
      <c r="B3590" s="12">
        <f>IFERROR(__xludf.DUMMYFUNCTION("""COMPUTED_VALUE"""),45015.0)</f>
        <v>45015</v>
      </c>
      <c r="C3590" s="13">
        <f>IFERROR(__xludf.DUMMYFUNCTION("""COMPUTED_VALUE"""),0.5833333333333334)</f>
        <v>0.5833333333</v>
      </c>
      <c r="D3590" s="8">
        <f>IFERROR(__xludf.DUMMYFUNCTION("""COMPUTED_VALUE"""),0.386)</f>
        <v>0.386</v>
      </c>
      <c r="E3590" s="8" t="str">
        <f>IFERROR(__xludf.DUMMYFUNCTION("""COMPUTED_VALUE"""),"Real")</f>
        <v>Real</v>
      </c>
      <c r="G3590" s="8">
        <f t="shared" si="1"/>
        <v>3</v>
      </c>
      <c r="H3590" s="14">
        <f t="shared" si="2"/>
        <v>30</v>
      </c>
      <c r="I3590" s="15">
        <f t="shared" si="3"/>
        <v>14</v>
      </c>
    </row>
    <row r="3591">
      <c r="A3591" s="8" t="str">
        <f>IFERROR(__xludf.DUMMYFUNCTION("IF('(INGESTA)Datos_consumo_datadis'!A3591&lt;&gt;"""",SPLIT('(INGESTA)Datos_consumo_datadis'!A:A,"",""),"""")"),"ES0031408323131005HX0F")</f>
        <v>ES0031408323131005HX0F</v>
      </c>
      <c r="B3591" s="12">
        <f>IFERROR(__xludf.DUMMYFUNCTION("""COMPUTED_VALUE"""),45015.0)</f>
        <v>45015</v>
      </c>
      <c r="C3591" s="13">
        <f>IFERROR(__xludf.DUMMYFUNCTION("""COMPUTED_VALUE"""),0.625)</f>
        <v>0.625</v>
      </c>
      <c r="D3591" s="8">
        <f>IFERROR(__xludf.DUMMYFUNCTION("""COMPUTED_VALUE"""),0.018)</f>
        <v>0.018</v>
      </c>
      <c r="E3591" s="8" t="str">
        <f>IFERROR(__xludf.DUMMYFUNCTION("""COMPUTED_VALUE"""),"Real")</f>
        <v>Real</v>
      </c>
      <c r="G3591" s="8">
        <f t="shared" si="1"/>
        <v>3</v>
      </c>
      <c r="H3591" s="14">
        <f t="shared" si="2"/>
        <v>30</v>
      </c>
      <c r="I3591" s="15">
        <f t="shared" si="3"/>
        <v>15</v>
      </c>
    </row>
    <row r="3592">
      <c r="A3592" s="8" t="str">
        <f>IFERROR(__xludf.DUMMYFUNCTION("IF('(INGESTA)Datos_consumo_datadis'!A3592&lt;&gt;"""",SPLIT('(INGESTA)Datos_consumo_datadis'!A:A,"",""),"""")"),"ES0031408323131005HX0F")</f>
        <v>ES0031408323131005HX0F</v>
      </c>
      <c r="B3592" s="12">
        <f>IFERROR(__xludf.DUMMYFUNCTION("""COMPUTED_VALUE"""),45015.0)</f>
        <v>45015</v>
      </c>
      <c r="C3592" s="13">
        <f>IFERROR(__xludf.DUMMYFUNCTION("""COMPUTED_VALUE"""),0.6666666666666666)</f>
        <v>0.6666666667</v>
      </c>
      <c r="D3592" s="8">
        <f>IFERROR(__xludf.DUMMYFUNCTION("""COMPUTED_VALUE"""),0.085)</f>
        <v>0.085</v>
      </c>
      <c r="E3592" s="8" t="str">
        <f>IFERROR(__xludf.DUMMYFUNCTION("""COMPUTED_VALUE"""),"Real")</f>
        <v>Real</v>
      </c>
      <c r="G3592" s="8">
        <f t="shared" si="1"/>
        <v>3</v>
      </c>
      <c r="H3592" s="14">
        <f t="shared" si="2"/>
        <v>30</v>
      </c>
      <c r="I3592" s="15">
        <f t="shared" si="3"/>
        <v>16</v>
      </c>
    </row>
    <row r="3593">
      <c r="A3593" s="8" t="str">
        <f>IFERROR(__xludf.DUMMYFUNCTION("IF('(INGESTA)Datos_consumo_datadis'!A3593&lt;&gt;"""",SPLIT('(INGESTA)Datos_consumo_datadis'!A:A,"",""),"""")"),"ES0031408323131005HX0F")</f>
        <v>ES0031408323131005HX0F</v>
      </c>
      <c r="B3593" s="12">
        <f>IFERROR(__xludf.DUMMYFUNCTION("""COMPUTED_VALUE"""),45015.0)</f>
        <v>45015</v>
      </c>
      <c r="C3593" s="13">
        <f>IFERROR(__xludf.DUMMYFUNCTION("""COMPUTED_VALUE"""),0.7083333333333334)</f>
        <v>0.7083333333</v>
      </c>
      <c r="D3593" s="8">
        <f>IFERROR(__xludf.DUMMYFUNCTION("""COMPUTED_VALUE"""),0.057)</f>
        <v>0.057</v>
      </c>
      <c r="E3593" s="8" t="str">
        <f>IFERROR(__xludf.DUMMYFUNCTION("""COMPUTED_VALUE"""),"Real")</f>
        <v>Real</v>
      </c>
      <c r="G3593" s="8">
        <f t="shared" si="1"/>
        <v>3</v>
      </c>
      <c r="H3593" s="14">
        <f t="shared" si="2"/>
        <v>30</v>
      </c>
      <c r="I3593" s="15">
        <f t="shared" si="3"/>
        <v>17</v>
      </c>
    </row>
    <row r="3594">
      <c r="A3594" s="8" t="str">
        <f>IFERROR(__xludf.DUMMYFUNCTION("IF('(INGESTA)Datos_consumo_datadis'!A3594&lt;&gt;"""",SPLIT('(INGESTA)Datos_consumo_datadis'!A:A,"",""),"""")"),"ES0031408323131005HX0F")</f>
        <v>ES0031408323131005HX0F</v>
      </c>
      <c r="B3594" s="12">
        <f>IFERROR(__xludf.DUMMYFUNCTION("""COMPUTED_VALUE"""),45015.0)</f>
        <v>45015</v>
      </c>
      <c r="C3594" s="13">
        <f>IFERROR(__xludf.DUMMYFUNCTION("""COMPUTED_VALUE"""),0.75)</f>
        <v>0.75</v>
      </c>
      <c r="D3594" s="8">
        <f>IFERROR(__xludf.DUMMYFUNCTION("""COMPUTED_VALUE"""),0.017)</f>
        <v>0.017</v>
      </c>
      <c r="E3594" s="8" t="str">
        <f>IFERROR(__xludf.DUMMYFUNCTION("""COMPUTED_VALUE"""),"Real")</f>
        <v>Real</v>
      </c>
      <c r="G3594" s="8">
        <f t="shared" si="1"/>
        <v>3</v>
      </c>
      <c r="H3594" s="14">
        <f t="shared" si="2"/>
        <v>30</v>
      </c>
      <c r="I3594" s="15">
        <f t="shared" si="3"/>
        <v>18</v>
      </c>
    </row>
    <row r="3595">
      <c r="A3595" s="8" t="str">
        <f>IFERROR(__xludf.DUMMYFUNCTION("IF('(INGESTA)Datos_consumo_datadis'!A3595&lt;&gt;"""",SPLIT('(INGESTA)Datos_consumo_datadis'!A:A,"",""),"""")"),"ES0031408323131005HX0F")</f>
        <v>ES0031408323131005HX0F</v>
      </c>
      <c r="B3595" s="12">
        <f>IFERROR(__xludf.DUMMYFUNCTION("""COMPUTED_VALUE"""),45015.0)</f>
        <v>45015</v>
      </c>
      <c r="C3595" s="13">
        <f>IFERROR(__xludf.DUMMYFUNCTION("""COMPUTED_VALUE"""),0.7916666666666666)</f>
        <v>0.7916666667</v>
      </c>
      <c r="D3595" s="8">
        <f>IFERROR(__xludf.DUMMYFUNCTION("""COMPUTED_VALUE"""),0.322)</f>
        <v>0.322</v>
      </c>
      <c r="E3595" s="8" t="str">
        <f>IFERROR(__xludf.DUMMYFUNCTION("""COMPUTED_VALUE"""),"Real")</f>
        <v>Real</v>
      </c>
      <c r="G3595" s="8">
        <f t="shared" si="1"/>
        <v>3</v>
      </c>
      <c r="H3595" s="14">
        <f t="shared" si="2"/>
        <v>30</v>
      </c>
      <c r="I3595" s="15">
        <f t="shared" si="3"/>
        <v>19</v>
      </c>
    </row>
    <row r="3596">
      <c r="A3596" s="8" t="str">
        <f>IFERROR(__xludf.DUMMYFUNCTION("IF('(INGESTA)Datos_consumo_datadis'!A3596&lt;&gt;"""",SPLIT('(INGESTA)Datos_consumo_datadis'!A:A,"",""),"""")"),"ES0031408323131005HX0F")</f>
        <v>ES0031408323131005HX0F</v>
      </c>
      <c r="B3596" s="12">
        <f>IFERROR(__xludf.DUMMYFUNCTION("""COMPUTED_VALUE"""),45015.0)</f>
        <v>45015</v>
      </c>
      <c r="C3596" s="13">
        <f>IFERROR(__xludf.DUMMYFUNCTION("""COMPUTED_VALUE"""),0.8333333333333334)</f>
        <v>0.8333333333</v>
      </c>
      <c r="D3596" s="8">
        <f>IFERROR(__xludf.DUMMYFUNCTION("""COMPUTED_VALUE"""),0.082)</f>
        <v>0.082</v>
      </c>
      <c r="E3596" s="8" t="str">
        <f>IFERROR(__xludf.DUMMYFUNCTION("""COMPUTED_VALUE"""),"Real")</f>
        <v>Real</v>
      </c>
      <c r="G3596" s="8">
        <f t="shared" si="1"/>
        <v>3</v>
      </c>
      <c r="H3596" s="14">
        <f t="shared" si="2"/>
        <v>30</v>
      </c>
      <c r="I3596" s="15">
        <f t="shared" si="3"/>
        <v>20</v>
      </c>
    </row>
    <row r="3597">
      <c r="A3597" s="8" t="str">
        <f>IFERROR(__xludf.DUMMYFUNCTION("IF('(INGESTA)Datos_consumo_datadis'!A3597&lt;&gt;"""",SPLIT('(INGESTA)Datos_consumo_datadis'!A:A,"",""),"""")"),"ES0031408323131005HX0F")</f>
        <v>ES0031408323131005HX0F</v>
      </c>
      <c r="B3597" s="12">
        <f>IFERROR(__xludf.DUMMYFUNCTION("""COMPUTED_VALUE"""),45015.0)</f>
        <v>45015</v>
      </c>
      <c r="C3597" s="13">
        <f>IFERROR(__xludf.DUMMYFUNCTION("""COMPUTED_VALUE"""),0.875)</f>
        <v>0.875</v>
      </c>
      <c r="D3597" s="8">
        <f>IFERROR(__xludf.DUMMYFUNCTION("""COMPUTED_VALUE"""),0.042)</f>
        <v>0.042</v>
      </c>
      <c r="E3597" s="8" t="str">
        <f>IFERROR(__xludf.DUMMYFUNCTION("""COMPUTED_VALUE"""),"Real")</f>
        <v>Real</v>
      </c>
      <c r="G3597" s="8">
        <f t="shared" si="1"/>
        <v>3</v>
      </c>
      <c r="H3597" s="14">
        <f t="shared" si="2"/>
        <v>30</v>
      </c>
      <c r="I3597" s="15">
        <f t="shared" si="3"/>
        <v>21</v>
      </c>
    </row>
    <row r="3598">
      <c r="A3598" s="8" t="str">
        <f>IFERROR(__xludf.DUMMYFUNCTION("IF('(INGESTA)Datos_consumo_datadis'!A3598&lt;&gt;"""",SPLIT('(INGESTA)Datos_consumo_datadis'!A:A,"",""),"""")"),"ES0031408323131005HX0F")</f>
        <v>ES0031408323131005HX0F</v>
      </c>
      <c r="B3598" s="12">
        <f>IFERROR(__xludf.DUMMYFUNCTION("""COMPUTED_VALUE"""),45015.0)</f>
        <v>45015</v>
      </c>
      <c r="C3598" s="13">
        <f>IFERROR(__xludf.DUMMYFUNCTION("""COMPUTED_VALUE"""),0.9166666666666666)</f>
        <v>0.9166666667</v>
      </c>
      <c r="D3598" s="8">
        <f>IFERROR(__xludf.DUMMYFUNCTION("""COMPUTED_VALUE"""),2.325)</f>
        <v>2.325</v>
      </c>
      <c r="E3598" s="8" t="str">
        <f>IFERROR(__xludf.DUMMYFUNCTION("""COMPUTED_VALUE"""),"Real")</f>
        <v>Real</v>
      </c>
      <c r="G3598" s="8">
        <f t="shared" si="1"/>
        <v>3</v>
      </c>
      <c r="H3598" s="14">
        <f t="shared" si="2"/>
        <v>30</v>
      </c>
      <c r="I3598" s="15">
        <f t="shared" si="3"/>
        <v>22</v>
      </c>
    </row>
    <row r="3599">
      <c r="A3599" s="8" t="str">
        <f>IFERROR(__xludf.DUMMYFUNCTION("IF('(INGESTA)Datos_consumo_datadis'!A3599&lt;&gt;"""",SPLIT('(INGESTA)Datos_consumo_datadis'!A:A,"",""),"""")"),"ES0031408323131005HX0F")</f>
        <v>ES0031408323131005HX0F</v>
      </c>
      <c r="B3599" s="12">
        <f>IFERROR(__xludf.DUMMYFUNCTION("""COMPUTED_VALUE"""),45015.0)</f>
        <v>45015</v>
      </c>
      <c r="C3599" s="13">
        <f>IFERROR(__xludf.DUMMYFUNCTION("""COMPUTED_VALUE"""),0.9583333333333334)</f>
        <v>0.9583333333</v>
      </c>
      <c r="D3599" s="8">
        <f>IFERROR(__xludf.DUMMYFUNCTION("""COMPUTED_VALUE"""),0.615)</f>
        <v>0.615</v>
      </c>
      <c r="E3599" s="8" t="str">
        <f>IFERROR(__xludf.DUMMYFUNCTION("""COMPUTED_VALUE"""),"Real")</f>
        <v>Real</v>
      </c>
      <c r="G3599" s="8">
        <f t="shared" si="1"/>
        <v>3</v>
      </c>
      <c r="H3599" s="14">
        <f t="shared" si="2"/>
        <v>30</v>
      </c>
      <c r="I3599" s="15">
        <f t="shared" si="3"/>
        <v>23</v>
      </c>
    </row>
    <row r="3600">
      <c r="A3600" s="8" t="str">
        <f>IFERROR(__xludf.DUMMYFUNCTION("IF('(INGESTA)Datos_consumo_datadis'!A3600&lt;&gt;"""",SPLIT('(INGESTA)Datos_consumo_datadis'!A:A,"",""),"""")"),"ES0031408323131005HX0F")</f>
        <v>ES0031408323131005HX0F</v>
      </c>
      <c r="B3600" s="12">
        <f>IFERROR(__xludf.DUMMYFUNCTION("""COMPUTED_VALUE"""),45015.0)</f>
        <v>45015</v>
      </c>
      <c r="C3600" s="16">
        <f>IFERROR(__xludf.DUMMYFUNCTION("""COMPUTED_VALUE"""),1.0)</f>
        <v>1</v>
      </c>
      <c r="D3600" s="8">
        <f>IFERROR(__xludf.DUMMYFUNCTION("""COMPUTED_VALUE"""),0.827)</f>
        <v>0.827</v>
      </c>
      <c r="E3600" s="8" t="str">
        <f>IFERROR(__xludf.DUMMYFUNCTION("""COMPUTED_VALUE"""),"Real")</f>
        <v>Real</v>
      </c>
      <c r="G3600" s="8">
        <f t="shared" si="1"/>
        <v>3</v>
      </c>
      <c r="H3600" s="14">
        <f t="shared" si="2"/>
        <v>30</v>
      </c>
      <c r="I3600" s="15">
        <f t="shared" si="3"/>
        <v>0</v>
      </c>
    </row>
    <row r="3601">
      <c r="A3601" s="8" t="str">
        <f>IFERROR(__xludf.DUMMYFUNCTION("IF('(INGESTA)Datos_consumo_datadis'!A3601&lt;&gt;"""",SPLIT('(INGESTA)Datos_consumo_datadis'!A:A,"",""),"""")"),"ES0031408323131005HX0F")</f>
        <v>ES0031408323131005HX0F</v>
      </c>
      <c r="B3601" s="12">
        <f>IFERROR(__xludf.DUMMYFUNCTION("""COMPUTED_VALUE"""),45016.0)</f>
        <v>45016</v>
      </c>
      <c r="C3601" s="13">
        <f>IFERROR(__xludf.DUMMYFUNCTION("""COMPUTED_VALUE"""),0.041666666666666664)</f>
        <v>0.04166666667</v>
      </c>
      <c r="D3601" s="8">
        <f>IFERROR(__xludf.DUMMYFUNCTION("""COMPUTED_VALUE"""),0.076)</f>
        <v>0.076</v>
      </c>
      <c r="E3601" s="8" t="str">
        <f>IFERROR(__xludf.DUMMYFUNCTION("""COMPUTED_VALUE"""),"Real")</f>
        <v>Real</v>
      </c>
      <c r="G3601" s="8">
        <f t="shared" si="1"/>
        <v>3</v>
      </c>
      <c r="H3601" s="14">
        <f t="shared" si="2"/>
        <v>31</v>
      </c>
      <c r="I3601" s="15">
        <f t="shared" si="3"/>
        <v>1</v>
      </c>
    </row>
    <row r="3602">
      <c r="A3602" s="8" t="str">
        <f>IFERROR(__xludf.DUMMYFUNCTION("IF('(INGESTA)Datos_consumo_datadis'!A3602&lt;&gt;"""",SPLIT('(INGESTA)Datos_consumo_datadis'!A:A,"",""),"""")"),"ES0031408323131005HX0F")</f>
        <v>ES0031408323131005HX0F</v>
      </c>
      <c r="B3602" s="12">
        <f>IFERROR(__xludf.DUMMYFUNCTION("""COMPUTED_VALUE"""),45016.0)</f>
        <v>45016</v>
      </c>
      <c r="C3602" s="13">
        <f>IFERROR(__xludf.DUMMYFUNCTION("""COMPUTED_VALUE"""),0.08333333333333333)</f>
        <v>0.08333333333</v>
      </c>
      <c r="D3602" s="8">
        <f>IFERROR(__xludf.DUMMYFUNCTION("""COMPUTED_VALUE"""),0.285)</f>
        <v>0.285</v>
      </c>
      <c r="E3602" s="8" t="str">
        <f>IFERROR(__xludf.DUMMYFUNCTION("""COMPUTED_VALUE"""),"Real")</f>
        <v>Real</v>
      </c>
      <c r="G3602" s="8">
        <f t="shared" si="1"/>
        <v>3</v>
      </c>
      <c r="H3602" s="14">
        <f t="shared" si="2"/>
        <v>31</v>
      </c>
      <c r="I3602" s="15">
        <f t="shared" si="3"/>
        <v>2</v>
      </c>
    </row>
    <row r="3603">
      <c r="A3603" s="8" t="str">
        <f>IFERROR(__xludf.DUMMYFUNCTION("IF('(INGESTA)Datos_consumo_datadis'!A3603&lt;&gt;"""",SPLIT('(INGESTA)Datos_consumo_datadis'!A:A,"",""),"""")"),"ES0031408323131005HX0F")</f>
        <v>ES0031408323131005HX0F</v>
      </c>
      <c r="B3603" s="12">
        <f>IFERROR(__xludf.DUMMYFUNCTION("""COMPUTED_VALUE"""),45016.0)</f>
        <v>45016</v>
      </c>
      <c r="C3603" s="13">
        <f>IFERROR(__xludf.DUMMYFUNCTION("""COMPUTED_VALUE"""),0.125)</f>
        <v>0.125</v>
      </c>
      <c r="D3603" s="8">
        <f>IFERROR(__xludf.DUMMYFUNCTION("""COMPUTED_VALUE"""),0.064)</f>
        <v>0.064</v>
      </c>
      <c r="E3603" s="8" t="str">
        <f>IFERROR(__xludf.DUMMYFUNCTION("""COMPUTED_VALUE"""),"Real")</f>
        <v>Real</v>
      </c>
      <c r="G3603" s="8">
        <f t="shared" si="1"/>
        <v>3</v>
      </c>
      <c r="H3603" s="14">
        <f t="shared" si="2"/>
        <v>31</v>
      </c>
      <c r="I3603" s="15">
        <f t="shared" si="3"/>
        <v>3</v>
      </c>
    </row>
    <row r="3604">
      <c r="A3604" s="8" t="str">
        <f>IFERROR(__xludf.DUMMYFUNCTION("IF('(INGESTA)Datos_consumo_datadis'!A3604&lt;&gt;"""",SPLIT('(INGESTA)Datos_consumo_datadis'!A:A,"",""),"""")"),"ES0031408323131005HX0F")</f>
        <v>ES0031408323131005HX0F</v>
      </c>
      <c r="B3604" s="12">
        <f>IFERROR(__xludf.DUMMYFUNCTION("""COMPUTED_VALUE"""),45016.0)</f>
        <v>45016</v>
      </c>
      <c r="C3604" s="13">
        <f>IFERROR(__xludf.DUMMYFUNCTION("""COMPUTED_VALUE"""),0.16666666666666666)</f>
        <v>0.1666666667</v>
      </c>
      <c r="D3604" s="8">
        <f>IFERROR(__xludf.DUMMYFUNCTION("""COMPUTED_VALUE"""),0.094)</f>
        <v>0.094</v>
      </c>
      <c r="E3604" s="8" t="str">
        <f>IFERROR(__xludf.DUMMYFUNCTION("""COMPUTED_VALUE"""),"Real")</f>
        <v>Real</v>
      </c>
      <c r="G3604" s="8">
        <f t="shared" si="1"/>
        <v>3</v>
      </c>
      <c r="H3604" s="14">
        <f t="shared" si="2"/>
        <v>31</v>
      </c>
      <c r="I3604" s="15">
        <f t="shared" si="3"/>
        <v>4</v>
      </c>
    </row>
    <row r="3605">
      <c r="A3605" s="8" t="str">
        <f>IFERROR(__xludf.DUMMYFUNCTION("IF('(INGESTA)Datos_consumo_datadis'!A3605&lt;&gt;"""",SPLIT('(INGESTA)Datos_consumo_datadis'!A:A,"",""),"""")"),"ES0031408323131005HX0F")</f>
        <v>ES0031408323131005HX0F</v>
      </c>
      <c r="B3605" s="12">
        <f>IFERROR(__xludf.DUMMYFUNCTION("""COMPUTED_VALUE"""),45016.0)</f>
        <v>45016</v>
      </c>
      <c r="C3605" s="13">
        <f>IFERROR(__xludf.DUMMYFUNCTION("""COMPUTED_VALUE"""),0.20833333333333334)</f>
        <v>0.2083333333</v>
      </c>
      <c r="D3605" s="8">
        <f>IFERROR(__xludf.DUMMYFUNCTION("""COMPUTED_VALUE"""),0.042)</f>
        <v>0.042</v>
      </c>
      <c r="E3605" s="8" t="str">
        <f>IFERROR(__xludf.DUMMYFUNCTION("""COMPUTED_VALUE"""),"Real")</f>
        <v>Real</v>
      </c>
      <c r="G3605" s="8">
        <f t="shared" si="1"/>
        <v>3</v>
      </c>
      <c r="H3605" s="14">
        <f t="shared" si="2"/>
        <v>31</v>
      </c>
      <c r="I3605" s="15">
        <f t="shared" si="3"/>
        <v>5</v>
      </c>
    </row>
    <row r="3606">
      <c r="A3606" s="8" t="str">
        <f>IFERROR(__xludf.DUMMYFUNCTION("IF('(INGESTA)Datos_consumo_datadis'!A3606&lt;&gt;"""",SPLIT('(INGESTA)Datos_consumo_datadis'!A:A,"",""),"""")"),"ES0031408323131005HX0F")</f>
        <v>ES0031408323131005HX0F</v>
      </c>
      <c r="B3606" s="12">
        <f>IFERROR(__xludf.DUMMYFUNCTION("""COMPUTED_VALUE"""),45016.0)</f>
        <v>45016</v>
      </c>
      <c r="C3606" s="13">
        <f>IFERROR(__xludf.DUMMYFUNCTION("""COMPUTED_VALUE"""),0.25)</f>
        <v>0.25</v>
      </c>
      <c r="D3606" s="8">
        <f>IFERROR(__xludf.DUMMYFUNCTION("""COMPUTED_VALUE"""),0.053)</f>
        <v>0.053</v>
      </c>
      <c r="E3606" s="8" t="str">
        <f>IFERROR(__xludf.DUMMYFUNCTION("""COMPUTED_VALUE"""),"Real")</f>
        <v>Real</v>
      </c>
      <c r="G3606" s="8">
        <f t="shared" si="1"/>
        <v>3</v>
      </c>
      <c r="H3606" s="14">
        <f t="shared" si="2"/>
        <v>31</v>
      </c>
      <c r="I3606" s="15">
        <f t="shared" si="3"/>
        <v>6</v>
      </c>
    </row>
    <row r="3607">
      <c r="A3607" s="8" t="str">
        <f>IFERROR(__xludf.DUMMYFUNCTION("IF('(INGESTA)Datos_consumo_datadis'!A3607&lt;&gt;"""",SPLIT('(INGESTA)Datos_consumo_datadis'!A:A,"",""),"""")"),"ES0031408323131005HX0F")</f>
        <v>ES0031408323131005HX0F</v>
      </c>
      <c r="B3607" s="12">
        <f>IFERROR(__xludf.DUMMYFUNCTION("""COMPUTED_VALUE"""),45016.0)</f>
        <v>45016</v>
      </c>
      <c r="C3607" s="13">
        <f>IFERROR(__xludf.DUMMYFUNCTION("""COMPUTED_VALUE"""),0.2916666666666667)</f>
        <v>0.2916666667</v>
      </c>
      <c r="D3607" s="8">
        <f>IFERROR(__xludf.DUMMYFUNCTION("""COMPUTED_VALUE"""),0.352)</f>
        <v>0.352</v>
      </c>
      <c r="E3607" s="8" t="str">
        <f>IFERROR(__xludf.DUMMYFUNCTION("""COMPUTED_VALUE"""),"Real")</f>
        <v>Real</v>
      </c>
      <c r="G3607" s="8">
        <f t="shared" si="1"/>
        <v>3</v>
      </c>
      <c r="H3607" s="14">
        <f t="shared" si="2"/>
        <v>31</v>
      </c>
      <c r="I3607" s="15">
        <f t="shared" si="3"/>
        <v>7</v>
      </c>
    </row>
    <row r="3608">
      <c r="A3608" s="8" t="str">
        <f>IFERROR(__xludf.DUMMYFUNCTION("IF('(INGESTA)Datos_consumo_datadis'!A3608&lt;&gt;"""",SPLIT('(INGESTA)Datos_consumo_datadis'!A:A,"",""),"""")"),"ES0031408323131005HX0F")</f>
        <v>ES0031408323131005HX0F</v>
      </c>
      <c r="B3608" s="12">
        <f>IFERROR(__xludf.DUMMYFUNCTION("""COMPUTED_VALUE"""),45016.0)</f>
        <v>45016</v>
      </c>
      <c r="C3608" s="13">
        <f>IFERROR(__xludf.DUMMYFUNCTION("""COMPUTED_VALUE"""),0.3333333333333333)</f>
        <v>0.3333333333</v>
      </c>
      <c r="D3608" s="8">
        <f>IFERROR(__xludf.DUMMYFUNCTION("""COMPUTED_VALUE"""),0.054)</f>
        <v>0.054</v>
      </c>
      <c r="E3608" s="8" t="str">
        <f>IFERROR(__xludf.DUMMYFUNCTION("""COMPUTED_VALUE"""),"Real")</f>
        <v>Real</v>
      </c>
      <c r="G3608" s="8">
        <f t="shared" si="1"/>
        <v>3</v>
      </c>
      <c r="H3608" s="14">
        <f t="shared" si="2"/>
        <v>31</v>
      </c>
      <c r="I3608" s="15">
        <f t="shared" si="3"/>
        <v>8</v>
      </c>
    </row>
    <row r="3609">
      <c r="A3609" s="8" t="str">
        <f>IFERROR(__xludf.DUMMYFUNCTION("IF('(INGESTA)Datos_consumo_datadis'!A3609&lt;&gt;"""",SPLIT('(INGESTA)Datos_consumo_datadis'!A:A,"",""),"""")"),"ES0031408323131005HX0F")</f>
        <v>ES0031408323131005HX0F</v>
      </c>
      <c r="B3609" s="12">
        <f>IFERROR(__xludf.DUMMYFUNCTION("""COMPUTED_VALUE"""),45016.0)</f>
        <v>45016</v>
      </c>
      <c r="C3609" s="13">
        <f>IFERROR(__xludf.DUMMYFUNCTION("""COMPUTED_VALUE"""),0.375)</f>
        <v>0.375</v>
      </c>
      <c r="D3609" s="8">
        <f>IFERROR(__xludf.DUMMYFUNCTION("""COMPUTED_VALUE"""),0.026)</f>
        <v>0.026</v>
      </c>
      <c r="E3609" s="8" t="str">
        <f>IFERROR(__xludf.DUMMYFUNCTION("""COMPUTED_VALUE"""),"Real")</f>
        <v>Real</v>
      </c>
      <c r="G3609" s="8">
        <f t="shared" si="1"/>
        <v>3</v>
      </c>
      <c r="H3609" s="14">
        <f t="shared" si="2"/>
        <v>31</v>
      </c>
      <c r="I3609" s="15">
        <f t="shared" si="3"/>
        <v>9</v>
      </c>
    </row>
    <row r="3610">
      <c r="A3610" s="8" t="str">
        <f>IFERROR(__xludf.DUMMYFUNCTION("IF('(INGESTA)Datos_consumo_datadis'!A3610&lt;&gt;"""",SPLIT('(INGESTA)Datos_consumo_datadis'!A:A,"",""),"""")"),"ES0031408323131005HX0F")</f>
        <v>ES0031408323131005HX0F</v>
      </c>
      <c r="B3610" s="12">
        <f>IFERROR(__xludf.DUMMYFUNCTION("""COMPUTED_VALUE"""),45016.0)</f>
        <v>45016</v>
      </c>
      <c r="C3610" s="13">
        <f>IFERROR(__xludf.DUMMYFUNCTION("""COMPUTED_VALUE"""),0.4166666666666667)</f>
        <v>0.4166666667</v>
      </c>
      <c r="D3610" s="8">
        <f>IFERROR(__xludf.DUMMYFUNCTION("""COMPUTED_VALUE"""),0.092)</f>
        <v>0.092</v>
      </c>
      <c r="E3610" s="8" t="str">
        <f>IFERROR(__xludf.DUMMYFUNCTION("""COMPUTED_VALUE"""),"Real")</f>
        <v>Real</v>
      </c>
      <c r="G3610" s="8">
        <f t="shared" si="1"/>
        <v>3</v>
      </c>
      <c r="H3610" s="14">
        <f t="shared" si="2"/>
        <v>31</v>
      </c>
      <c r="I3610" s="15">
        <f t="shared" si="3"/>
        <v>10</v>
      </c>
    </row>
    <row r="3611">
      <c r="A3611" s="8" t="str">
        <f>IFERROR(__xludf.DUMMYFUNCTION("IF('(INGESTA)Datos_consumo_datadis'!A3611&lt;&gt;"""",SPLIT('(INGESTA)Datos_consumo_datadis'!A:A,"",""),"""")"),"ES0031408323131005HX0F")</f>
        <v>ES0031408323131005HX0F</v>
      </c>
      <c r="B3611" s="12">
        <f>IFERROR(__xludf.DUMMYFUNCTION("""COMPUTED_VALUE"""),45016.0)</f>
        <v>45016</v>
      </c>
      <c r="C3611" s="13">
        <f>IFERROR(__xludf.DUMMYFUNCTION("""COMPUTED_VALUE"""),0.4583333333333333)</f>
        <v>0.4583333333</v>
      </c>
      <c r="D3611" s="8">
        <f>IFERROR(__xludf.DUMMYFUNCTION("""COMPUTED_VALUE"""),0.652)</f>
        <v>0.652</v>
      </c>
      <c r="E3611" s="8" t="str">
        <f>IFERROR(__xludf.DUMMYFUNCTION("""COMPUTED_VALUE"""),"Real")</f>
        <v>Real</v>
      </c>
      <c r="G3611" s="8">
        <f t="shared" si="1"/>
        <v>3</v>
      </c>
      <c r="H3611" s="14">
        <f t="shared" si="2"/>
        <v>31</v>
      </c>
      <c r="I3611" s="15">
        <f t="shared" si="3"/>
        <v>11</v>
      </c>
    </row>
    <row r="3612">
      <c r="A3612" s="8" t="str">
        <f>IFERROR(__xludf.DUMMYFUNCTION("IF('(INGESTA)Datos_consumo_datadis'!A3612&lt;&gt;"""",SPLIT('(INGESTA)Datos_consumo_datadis'!A:A,"",""),"""")"),"ES0031408323131005HX0F")</f>
        <v>ES0031408323131005HX0F</v>
      </c>
      <c r="B3612" s="12">
        <f>IFERROR(__xludf.DUMMYFUNCTION("""COMPUTED_VALUE"""),45016.0)</f>
        <v>45016</v>
      </c>
      <c r="C3612" s="13">
        <f>IFERROR(__xludf.DUMMYFUNCTION("""COMPUTED_VALUE"""),0.5)</f>
        <v>0.5</v>
      </c>
      <c r="D3612" s="8">
        <f>IFERROR(__xludf.DUMMYFUNCTION("""COMPUTED_VALUE"""),0.022)</f>
        <v>0.022</v>
      </c>
      <c r="E3612" s="8" t="str">
        <f>IFERROR(__xludf.DUMMYFUNCTION("""COMPUTED_VALUE"""),"Real")</f>
        <v>Real</v>
      </c>
      <c r="G3612" s="8">
        <f t="shared" si="1"/>
        <v>3</v>
      </c>
      <c r="H3612" s="14">
        <f t="shared" si="2"/>
        <v>31</v>
      </c>
      <c r="I3612" s="15">
        <f t="shared" si="3"/>
        <v>12</v>
      </c>
    </row>
    <row r="3613">
      <c r="A3613" s="8" t="str">
        <f>IFERROR(__xludf.DUMMYFUNCTION("IF('(INGESTA)Datos_consumo_datadis'!A3613&lt;&gt;"""",SPLIT('(INGESTA)Datos_consumo_datadis'!A:A,"",""),"""")"),"ES0031408323131005HX0F")</f>
        <v>ES0031408323131005HX0F</v>
      </c>
      <c r="B3613" s="12">
        <f>IFERROR(__xludf.DUMMYFUNCTION("""COMPUTED_VALUE"""),45016.0)</f>
        <v>45016</v>
      </c>
      <c r="C3613" s="13">
        <f>IFERROR(__xludf.DUMMYFUNCTION("""COMPUTED_VALUE"""),0.5416666666666666)</f>
        <v>0.5416666667</v>
      </c>
      <c r="D3613" s="8">
        <f>IFERROR(__xludf.DUMMYFUNCTION("""COMPUTED_VALUE"""),1.391)</f>
        <v>1.391</v>
      </c>
      <c r="E3613" s="8" t="str">
        <f>IFERROR(__xludf.DUMMYFUNCTION("""COMPUTED_VALUE"""),"Real")</f>
        <v>Real</v>
      </c>
      <c r="G3613" s="8">
        <f t="shared" si="1"/>
        <v>3</v>
      </c>
      <c r="H3613" s="14">
        <f t="shared" si="2"/>
        <v>31</v>
      </c>
      <c r="I3613" s="15">
        <f t="shared" si="3"/>
        <v>13</v>
      </c>
    </row>
    <row r="3614">
      <c r="A3614" s="8" t="str">
        <f>IFERROR(__xludf.DUMMYFUNCTION("IF('(INGESTA)Datos_consumo_datadis'!A3614&lt;&gt;"""",SPLIT('(INGESTA)Datos_consumo_datadis'!A:A,"",""),"""")"),"ES0031408323131005HX0F")</f>
        <v>ES0031408323131005HX0F</v>
      </c>
      <c r="B3614" s="12">
        <f>IFERROR(__xludf.DUMMYFUNCTION("""COMPUTED_VALUE"""),45016.0)</f>
        <v>45016</v>
      </c>
      <c r="C3614" s="13">
        <f>IFERROR(__xludf.DUMMYFUNCTION("""COMPUTED_VALUE"""),0.5833333333333334)</f>
        <v>0.5833333333</v>
      </c>
      <c r="D3614" s="8">
        <f>IFERROR(__xludf.DUMMYFUNCTION("""COMPUTED_VALUE"""),0.487)</f>
        <v>0.487</v>
      </c>
      <c r="E3614" s="8" t="str">
        <f>IFERROR(__xludf.DUMMYFUNCTION("""COMPUTED_VALUE"""),"Real")</f>
        <v>Real</v>
      </c>
      <c r="G3614" s="8">
        <f t="shared" si="1"/>
        <v>3</v>
      </c>
      <c r="H3614" s="14">
        <f t="shared" si="2"/>
        <v>31</v>
      </c>
      <c r="I3614" s="15">
        <f t="shared" si="3"/>
        <v>14</v>
      </c>
    </row>
    <row r="3615">
      <c r="A3615" s="8" t="str">
        <f>IFERROR(__xludf.DUMMYFUNCTION("IF('(INGESTA)Datos_consumo_datadis'!A3615&lt;&gt;"""",SPLIT('(INGESTA)Datos_consumo_datadis'!A:A,"",""),"""")"),"ES0031408323131005HX0F")</f>
        <v>ES0031408323131005HX0F</v>
      </c>
      <c r="B3615" s="12">
        <f>IFERROR(__xludf.DUMMYFUNCTION("""COMPUTED_VALUE"""),45016.0)</f>
        <v>45016</v>
      </c>
      <c r="C3615" s="13">
        <f>IFERROR(__xludf.DUMMYFUNCTION("""COMPUTED_VALUE"""),0.625)</f>
        <v>0.625</v>
      </c>
      <c r="D3615" s="8">
        <f>IFERROR(__xludf.DUMMYFUNCTION("""COMPUTED_VALUE"""),1.295)</f>
        <v>1.295</v>
      </c>
      <c r="E3615" s="8" t="str">
        <f>IFERROR(__xludf.DUMMYFUNCTION("""COMPUTED_VALUE"""),"Real")</f>
        <v>Real</v>
      </c>
      <c r="G3615" s="8">
        <f t="shared" si="1"/>
        <v>3</v>
      </c>
      <c r="H3615" s="14">
        <f t="shared" si="2"/>
        <v>31</v>
      </c>
      <c r="I3615" s="15">
        <f t="shared" si="3"/>
        <v>15</v>
      </c>
    </row>
    <row r="3616">
      <c r="A3616" s="8" t="str">
        <f>IFERROR(__xludf.DUMMYFUNCTION("IF('(INGESTA)Datos_consumo_datadis'!A3616&lt;&gt;"""",SPLIT('(INGESTA)Datos_consumo_datadis'!A:A,"",""),"""")"),"ES0031408323131005HX0F")</f>
        <v>ES0031408323131005HX0F</v>
      </c>
      <c r="B3616" s="12">
        <f>IFERROR(__xludf.DUMMYFUNCTION("""COMPUTED_VALUE"""),45016.0)</f>
        <v>45016</v>
      </c>
      <c r="C3616" s="13">
        <f>IFERROR(__xludf.DUMMYFUNCTION("""COMPUTED_VALUE"""),0.6666666666666666)</f>
        <v>0.6666666667</v>
      </c>
      <c r="D3616" s="8">
        <f>IFERROR(__xludf.DUMMYFUNCTION("""COMPUTED_VALUE"""),0.022)</f>
        <v>0.022</v>
      </c>
      <c r="E3616" s="8" t="str">
        <f>IFERROR(__xludf.DUMMYFUNCTION("""COMPUTED_VALUE"""),"Real")</f>
        <v>Real</v>
      </c>
      <c r="G3616" s="8">
        <f t="shared" si="1"/>
        <v>3</v>
      </c>
      <c r="H3616" s="14">
        <f t="shared" si="2"/>
        <v>31</v>
      </c>
      <c r="I3616" s="15">
        <f t="shared" si="3"/>
        <v>16</v>
      </c>
    </row>
    <row r="3617">
      <c r="A3617" s="8" t="str">
        <f>IFERROR(__xludf.DUMMYFUNCTION("IF('(INGESTA)Datos_consumo_datadis'!A3617&lt;&gt;"""",SPLIT('(INGESTA)Datos_consumo_datadis'!A:A,"",""),"""")"),"ES0031408323131005HX0F")</f>
        <v>ES0031408323131005HX0F</v>
      </c>
      <c r="B3617" s="12">
        <f>IFERROR(__xludf.DUMMYFUNCTION("""COMPUTED_VALUE"""),45016.0)</f>
        <v>45016</v>
      </c>
      <c r="C3617" s="13">
        <f>IFERROR(__xludf.DUMMYFUNCTION("""COMPUTED_VALUE"""),0.7083333333333334)</f>
        <v>0.7083333333</v>
      </c>
      <c r="D3617" s="8">
        <f>IFERROR(__xludf.DUMMYFUNCTION("""COMPUTED_VALUE"""),0.07)</f>
        <v>0.07</v>
      </c>
      <c r="E3617" s="8" t="str">
        <f>IFERROR(__xludf.DUMMYFUNCTION("""COMPUTED_VALUE"""),"Real")</f>
        <v>Real</v>
      </c>
      <c r="G3617" s="8">
        <f t="shared" si="1"/>
        <v>3</v>
      </c>
      <c r="H3617" s="14">
        <f t="shared" si="2"/>
        <v>31</v>
      </c>
      <c r="I3617" s="15">
        <f t="shared" si="3"/>
        <v>17</v>
      </c>
    </row>
    <row r="3618">
      <c r="A3618" s="8" t="str">
        <f>IFERROR(__xludf.DUMMYFUNCTION("IF('(INGESTA)Datos_consumo_datadis'!A3618&lt;&gt;"""",SPLIT('(INGESTA)Datos_consumo_datadis'!A:A,"",""),"""")"),"ES0031408323131005HX0F")</f>
        <v>ES0031408323131005HX0F</v>
      </c>
      <c r="B3618" s="12">
        <f>IFERROR(__xludf.DUMMYFUNCTION("""COMPUTED_VALUE"""),45016.0)</f>
        <v>45016</v>
      </c>
      <c r="C3618" s="13">
        <f>IFERROR(__xludf.DUMMYFUNCTION("""COMPUTED_VALUE"""),0.75)</f>
        <v>0.75</v>
      </c>
      <c r="D3618" s="8">
        <f>IFERROR(__xludf.DUMMYFUNCTION("""COMPUTED_VALUE"""),0.073)</f>
        <v>0.073</v>
      </c>
      <c r="E3618" s="8" t="str">
        <f>IFERROR(__xludf.DUMMYFUNCTION("""COMPUTED_VALUE"""),"Real")</f>
        <v>Real</v>
      </c>
      <c r="G3618" s="8">
        <f t="shared" si="1"/>
        <v>3</v>
      </c>
      <c r="H3618" s="14">
        <f t="shared" si="2"/>
        <v>31</v>
      </c>
      <c r="I3618" s="15">
        <f t="shared" si="3"/>
        <v>18</v>
      </c>
    </row>
    <row r="3619">
      <c r="A3619" s="8" t="str">
        <f>IFERROR(__xludf.DUMMYFUNCTION("IF('(INGESTA)Datos_consumo_datadis'!A3619&lt;&gt;"""",SPLIT('(INGESTA)Datos_consumo_datadis'!A:A,"",""),"""")"),"ES0031408323131005HX0F")</f>
        <v>ES0031408323131005HX0F</v>
      </c>
      <c r="B3619" s="12">
        <f>IFERROR(__xludf.DUMMYFUNCTION("""COMPUTED_VALUE"""),45016.0)</f>
        <v>45016</v>
      </c>
      <c r="C3619" s="13">
        <f>IFERROR(__xludf.DUMMYFUNCTION("""COMPUTED_VALUE"""),0.7916666666666666)</f>
        <v>0.7916666667</v>
      </c>
      <c r="D3619" s="8">
        <f>IFERROR(__xludf.DUMMYFUNCTION("""COMPUTED_VALUE"""),0.063)</f>
        <v>0.063</v>
      </c>
      <c r="E3619" s="8" t="str">
        <f>IFERROR(__xludf.DUMMYFUNCTION("""COMPUTED_VALUE"""),"Real")</f>
        <v>Real</v>
      </c>
      <c r="G3619" s="8">
        <f t="shared" si="1"/>
        <v>3</v>
      </c>
      <c r="H3619" s="14">
        <f t="shared" si="2"/>
        <v>31</v>
      </c>
      <c r="I3619" s="15">
        <f t="shared" si="3"/>
        <v>19</v>
      </c>
    </row>
    <row r="3620">
      <c r="A3620" s="8" t="str">
        <f>IFERROR(__xludf.DUMMYFUNCTION("IF('(INGESTA)Datos_consumo_datadis'!A3620&lt;&gt;"""",SPLIT('(INGESTA)Datos_consumo_datadis'!A:A,"",""),"""")"),"ES0031408323131005HX0F")</f>
        <v>ES0031408323131005HX0F</v>
      </c>
      <c r="B3620" s="12">
        <f>IFERROR(__xludf.DUMMYFUNCTION("""COMPUTED_VALUE"""),45016.0)</f>
        <v>45016</v>
      </c>
      <c r="C3620" s="13">
        <f>IFERROR(__xludf.DUMMYFUNCTION("""COMPUTED_VALUE"""),0.8333333333333334)</f>
        <v>0.8333333333</v>
      </c>
      <c r="D3620" s="8">
        <f>IFERROR(__xludf.DUMMYFUNCTION("""COMPUTED_VALUE"""),0.273)</f>
        <v>0.273</v>
      </c>
      <c r="E3620" s="8" t="str">
        <f>IFERROR(__xludf.DUMMYFUNCTION("""COMPUTED_VALUE"""),"Real")</f>
        <v>Real</v>
      </c>
      <c r="G3620" s="8">
        <f t="shared" si="1"/>
        <v>3</v>
      </c>
      <c r="H3620" s="14">
        <f t="shared" si="2"/>
        <v>31</v>
      </c>
      <c r="I3620" s="15">
        <f t="shared" si="3"/>
        <v>20</v>
      </c>
    </row>
    <row r="3621">
      <c r="A3621" s="8" t="str">
        <f>IFERROR(__xludf.DUMMYFUNCTION("IF('(INGESTA)Datos_consumo_datadis'!A3621&lt;&gt;"""",SPLIT('(INGESTA)Datos_consumo_datadis'!A:A,"",""),"""")"),"ES0031408323131005HX0F")</f>
        <v>ES0031408323131005HX0F</v>
      </c>
      <c r="B3621" s="12">
        <f>IFERROR(__xludf.DUMMYFUNCTION("""COMPUTED_VALUE"""),45016.0)</f>
        <v>45016</v>
      </c>
      <c r="C3621" s="13">
        <f>IFERROR(__xludf.DUMMYFUNCTION("""COMPUTED_VALUE"""),0.875)</f>
        <v>0.875</v>
      </c>
      <c r="D3621" s="8">
        <f>IFERROR(__xludf.DUMMYFUNCTION("""COMPUTED_VALUE"""),0.104)</f>
        <v>0.104</v>
      </c>
      <c r="E3621" s="8" t="str">
        <f>IFERROR(__xludf.DUMMYFUNCTION("""COMPUTED_VALUE"""),"Real")</f>
        <v>Real</v>
      </c>
      <c r="G3621" s="8">
        <f t="shared" si="1"/>
        <v>3</v>
      </c>
      <c r="H3621" s="14">
        <f t="shared" si="2"/>
        <v>31</v>
      </c>
      <c r="I3621" s="15">
        <f t="shared" si="3"/>
        <v>21</v>
      </c>
    </row>
    <row r="3622">
      <c r="A3622" s="8" t="str">
        <f>IFERROR(__xludf.DUMMYFUNCTION("IF('(INGESTA)Datos_consumo_datadis'!A3622&lt;&gt;"""",SPLIT('(INGESTA)Datos_consumo_datadis'!A:A,"",""),"""")"),"ES0031408323131005HX0F")</f>
        <v>ES0031408323131005HX0F</v>
      </c>
      <c r="B3622" s="12">
        <f>IFERROR(__xludf.DUMMYFUNCTION("""COMPUTED_VALUE"""),45016.0)</f>
        <v>45016</v>
      </c>
      <c r="C3622" s="13">
        <f>IFERROR(__xludf.DUMMYFUNCTION("""COMPUTED_VALUE"""),0.9166666666666666)</f>
        <v>0.9166666667</v>
      </c>
      <c r="D3622" s="8">
        <f>IFERROR(__xludf.DUMMYFUNCTION("""COMPUTED_VALUE"""),0.057)</f>
        <v>0.057</v>
      </c>
      <c r="E3622" s="8" t="str">
        <f>IFERROR(__xludf.DUMMYFUNCTION("""COMPUTED_VALUE"""),"Real")</f>
        <v>Real</v>
      </c>
      <c r="G3622" s="8">
        <f t="shared" si="1"/>
        <v>3</v>
      </c>
      <c r="H3622" s="14">
        <f t="shared" si="2"/>
        <v>31</v>
      </c>
      <c r="I3622" s="15">
        <f t="shared" si="3"/>
        <v>22</v>
      </c>
    </row>
    <row r="3623">
      <c r="A3623" s="8" t="str">
        <f>IFERROR(__xludf.DUMMYFUNCTION("IF('(INGESTA)Datos_consumo_datadis'!A3623&lt;&gt;"""",SPLIT('(INGESTA)Datos_consumo_datadis'!A:A,"",""),"""")"),"ES0031408323131005HX0F")</f>
        <v>ES0031408323131005HX0F</v>
      </c>
      <c r="B3623" s="12">
        <f>IFERROR(__xludf.DUMMYFUNCTION("""COMPUTED_VALUE"""),45016.0)</f>
        <v>45016</v>
      </c>
      <c r="C3623" s="13">
        <f>IFERROR(__xludf.DUMMYFUNCTION("""COMPUTED_VALUE"""),0.9583333333333334)</f>
        <v>0.9583333333</v>
      </c>
      <c r="D3623" s="8">
        <f>IFERROR(__xludf.DUMMYFUNCTION("""COMPUTED_VALUE"""),0.067)</f>
        <v>0.067</v>
      </c>
      <c r="E3623" s="8" t="str">
        <f>IFERROR(__xludf.DUMMYFUNCTION("""COMPUTED_VALUE"""),"Real")</f>
        <v>Real</v>
      </c>
      <c r="G3623" s="8">
        <f t="shared" si="1"/>
        <v>3</v>
      </c>
      <c r="H3623" s="14">
        <f t="shared" si="2"/>
        <v>31</v>
      </c>
      <c r="I3623" s="15">
        <f t="shared" si="3"/>
        <v>23</v>
      </c>
    </row>
    <row r="3624">
      <c r="A3624" s="8" t="str">
        <f>IFERROR(__xludf.DUMMYFUNCTION("IF('(INGESTA)Datos_consumo_datadis'!A3624&lt;&gt;"""",SPLIT('(INGESTA)Datos_consumo_datadis'!A:A,"",""),"""")"),"ES0031408323131005HX0F")</f>
        <v>ES0031408323131005HX0F</v>
      </c>
      <c r="B3624" s="12">
        <f>IFERROR(__xludf.DUMMYFUNCTION("""COMPUTED_VALUE"""),45016.0)</f>
        <v>45016</v>
      </c>
      <c r="C3624" s="16">
        <f>IFERROR(__xludf.DUMMYFUNCTION("""COMPUTED_VALUE"""),1.0)</f>
        <v>1</v>
      </c>
      <c r="D3624" s="8">
        <f>IFERROR(__xludf.DUMMYFUNCTION("""COMPUTED_VALUE"""),0.574)</f>
        <v>0.574</v>
      </c>
      <c r="E3624" s="8" t="str">
        <f>IFERROR(__xludf.DUMMYFUNCTION("""COMPUTED_VALUE"""),"Real")</f>
        <v>Real</v>
      </c>
      <c r="G3624" s="8">
        <f t="shared" si="1"/>
        <v>3</v>
      </c>
      <c r="H3624" s="14">
        <f t="shared" si="2"/>
        <v>31</v>
      </c>
      <c r="I3624" s="15">
        <f t="shared" si="3"/>
        <v>0</v>
      </c>
    </row>
    <row r="3625">
      <c r="A3625" s="8" t="str">
        <f>IFERROR(__xludf.DUMMYFUNCTION("IF('(INGESTA)Datos_consumo_datadis'!A3625&lt;&gt;"""",SPLIT('(INGESTA)Datos_consumo_datadis'!A:A,"",""),"""")"),"ES0031408323131005HX0F")</f>
        <v>ES0031408323131005HX0F</v>
      </c>
      <c r="B3625" s="12">
        <f>IFERROR(__xludf.DUMMYFUNCTION("""COMPUTED_VALUE"""),45017.0)</f>
        <v>45017</v>
      </c>
      <c r="C3625" s="13">
        <f>IFERROR(__xludf.DUMMYFUNCTION("""COMPUTED_VALUE"""),0.041666666666666664)</f>
        <v>0.04166666667</v>
      </c>
      <c r="D3625" s="8">
        <f>IFERROR(__xludf.DUMMYFUNCTION("""COMPUTED_VALUE"""),0.858)</f>
        <v>0.858</v>
      </c>
      <c r="E3625" s="8" t="str">
        <f>IFERROR(__xludf.DUMMYFUNCTION("""COMPUTED_VALUE"""),"Real")</f>
        <v>Real</v>
      </c>
      <c r="G3625" s="8">
        <f t="shared" si="1"/>
        <v>4</v>
      </c>
      <c r="H3625" s="14">
        <f t="shared" si="2"/>
        <v>1</v>
      </c>
      <c r="I3625" s="15">
        <f t="shared" si="3"/>
        <v>1</v>
      </c>
    </row>
    <row r="3626">
      <c r="A3626" s="8" t="str">
        <f>IFERROR(__xludf.DUMMYFUNCTION("IF('(INGESTA)Datos_consumo_datadis'!A3626&lt;&gt;"""",SPLIT('(INGESTA)Datos_consumo_datadis'!A:A,"",""),"""")"),"ES0031408323131005HX0F")</f>
        <v>ES0031408323131005HX0F</v>
      </c>
      <c r="B3626" s="12">
        <f>IFERROR(__xludf.DUMMYFUNCTION("""COMPUTED_VALUE"""),45017.0)</f>
        <v>45017</v>
      </c>
      <c r="C3626" s="13">
        <f>IFERROR(__xludf.DUMMYFUNCTION("""COMPUTED_VALUE"""),0.08333333333333333)</f>
        <v>0.08333333333</v>
      </c>
      <c r="D3626" s="8">
        <f>IFERROR(__xludf.DUMMYFUNCTION("""COMPUTED_VALUE"""),0.311)</f>
        <v>0.311</v>
      </c>
      <c r="E3626" s="8" t="str">
        <f>IFERROR(__xludf.DUMMYFUNCTION("""COMPUTED_VALUE"""),"Real")</f>
        <v>Real</v>
      </c>
      <c r="G3626" s="8">
        <f t="shared" si="1"/>
        <v>4</v>
      </c>
      <c r="H3626" s="14">
        <f t="shared" si="2"/>
        <v>1</v>
      </c>
      <c r="I3626" s="15">
        <f t="shared" si="3"/>
        <v>2</v>
      </c>
    </row>
    <row r="3627">
      <c r="A3627" s="8" t="str">
        <f>IFERROR(__xludf.DUMMYFUNCTION("IF('(INGESTA)Datos_consumo_datadis'!A3627&lt;&gt;"""",SPLIT('(INGESTA)Datos_consumo_datadis'!A:A,"",""),"""")"),"ES0031408323131005HX0F")</f>
        <v>ES0031408323131005HX0F</v>
      </c>
      <c r="B3627" s="12">
        <f>IFERROR(__xludf.DUMMYFUNCTION("""COMPUTED_VALUE"""),45017.0)</f>
        <v>45017</v>
      </c>
      <c r="C3627" s="13">
        <f>IFERROR(__xludf.DUMMYFUNCTION("""COMPUTED_VALUE"""),0.125)</f>
        <v>0.125</v>
      </c>
      <c r="D3627" s="8">
        <f>IFERROR(__xludf.DUMMYFUNCTION("""COMPUTED_VALUE"""),0.5)</f>
        <v>0.5</v>
      </c>
      <c r="E3627" s="8" t="str">
        <f>IFERROR(__xludf.DUMMYFUNCTION("""COMPUTED_VALUE"""),"Real")</f>
        <v>Real</v>
      </c>
      <c r="G3627" s="8">
        <f t="shared" si="1"/>
        <v>4</v>
      </c>
      <c r="H3627" s="14">
        <f t="shared" si="2"/>
        <v>1</v>
      </c>
      <c r="I3627" s="15">
        <f t="shared" si="3"/>
        <v>3</v>
      </c>
    </row>
    <row r="3628">
      <c r="A3628" s="8" t="str">
        <f>IFERROR(__xludf.DUMMYFUNCTION("IF('(INGESTA)Datos_consumo_datadis'!A3628&lt;&gt;"""",SPLIT('(INGESTA)Datos_consumo_datadis'!A:A,"",""),"""")"),"ES0031408323131005HX0F")</f>
        <v>ES0031408323131005HX0F</v>
      </c>
      <c r="B3628" s="12">
        <f>IFERROR(__xludf.DUMMYFUNCTION("""COMPUTED_VALUE"""),45017.0)</f>
        <v>45017</v>
      </c>
      <c r="C3628" s="13">
        <f>IFERROR(__xludf.DUMMYFUNCTION("""COMPUTED_VALUE"""),0.16666666666666666)</f>
        <v>0.1666666667</v>
      </c>
      <c r="D3628" s="8">
        <f>IFERROR(__xludf.DUMMYFUNCTION("""COMPUTED_VALUE"""),0.206)</f>
        <v>0.206</v>
      </c>
      <c r="E3628" s="8" t="str">
        <f>IFERROR(__xludf.DUMMYFUNCTION("""COMPUTED_VALUE"""),"Real")</f>
        <v>Real</v>
      </c>
      <c r="G3628" s="8">
        <f t="shared" si="1"/>
        <v>4</v>
      </c>
      <c r="H3628" s="14">
        <f t="shared" si="2"/>
        <v>1</v>
      </c>
      <c r="I3628" s="15">
        <f t="shared" si="3"/>
        <v>4</v>
      </c>
    </row>
    <row r="3629">
      <c r="A3629" s="8" t="str">
        <f>IFERROR(__xludf.DUMMYFUNCTION("IF('(INGESTA)Datos_consumo_datadis'!A3629&lt;&gt;"""",SPLIT('(INGESTA)Datos_consumo_datadis'!A:A,"",""),"""")"),"ES0031408323131005HX0F")</f>
        <v>ES0031408323131005HX0F</v>
      </c>
      <c r="B3629" s="12">
        <f>IFERROR(__xludf.DUMMYFUNCTION("""COMPUTED_VALUE"""),45017.0)</f>
        <v>45017</v>
      </c>
      <c r="C3629" s="13">
        <f>IFERROR(__xludf.DUMMYFUNCTION("""COMPUTED_VALUE"""),0.20833333333333334)</f>
        <v>0.2083333333</v>
      </c>
      <c r="D3629" s="8">
        <f>IFERROR(__xludf.DUMMYFUNCTION("""COMPUTED_VALUE"""),0.252)</f>
        <v>0.252</v>
      </c>
      <c r="E3629" s="8" t="str">
        <f>IFERROR(__xludf.DUMMYFUNCTION("""COMPUTED_VALUE"""),"Real")</f>
        <v>Real</v>
      </c>
      <c r="G3629" s="8">
        <f t="shared" si="1"/>
        <v>4</v>
      </c>
      <c r="H3629" s="14">
        <f t="shared" si="2"/>
        <v>1</v>
      </c>
      <c r="I3629" s="15">
        <f t="shared" si="3"/>
        <v>5</v>
      </c>
    </row>
    <row r="3630">
      <c r="A3630" s="8" t="str">
        <f>IFERROR(__xludf.DUMMYFUNCTION("IF('(INGESTA)Datos_consumo_datadis'!A3630&lt;&gt;"""",SPLIT('(INGESTA)Datos_consumo_datadis'!A:A,"",""),"""")"),"ES0031408323131005HX0F")</f>
        <v>ES0031408323131005HX0F</v>
      </c>
      <c r="B3630" s="12">
        <f>IFERROR(__xludf.DUMMYFUNCTION("""COMPUTED_VALUE"""),45017.0)</f>
        <v>45017</v>
      </c>
      <c r="C3630" s="13">
        <f>IFERROR(__xludf.DUMMYFUNCTION("""COMPUTED_VALUE"""),0.25)</f>
        <v>0.25</v>
      </c>
      <c r="D3630" s="8">
        <f>IFERROR(__xludf.DUMMYFUNCTION("""COMPUTED_VALUE"""),0.075)</f>
        <v>0.075</v>
      </c>
      <c r="E3630" s="8" t="str">
        <f>IFERROR(__xludf.DUMMYFUNCTION("""COMPUTED_VALUE"""),"Real")</f>
        <v>Real</v>
      </c>
      <c r="G3630" s="8">
        <f t="shared" si="1"/>
        <v>4</v>
      </c>
      <c r="H3630" s="14">
        <f t="shared" si="2"/>
        <v>1</v>
      </c>
      <c r="I3630" s="15">
        <f t="shared" si="3"/>
        <v>6</v>
      </c>
    </row>
    <row r="3631">
      <c r="A3631" s="8" t="str">
        <f>IFERROR(__xludf.DUMMYFUNCTION("IF('(INGESTA)Datos_consumo_datadis'!A3631&lt;&gt;"""",SPLIT('(INGESTA)Datos_consumo_datadis'!A:A,"",""),"""")"),"ES0031408323131005HX0F")</f>
        <v>ES0031408323131005HX0F</v>
      </c>
      <c r="B3631" s="12">
        <f>IFERROR(__xludf.DUMMYFUNCTION("""COMPUTED_VALUE"""),45017.0)</f>
        <v>45017</v>
      </c>
      <c r="C3631" s="13">
        <f>IFERROR(__xludf.DUMMYFUNCTION("""COMPUTED_VALUE"""),0.2916666666666667)</f>
        <v>0.2916666667</v>
      </c>
      <c r="D3631" s="8">
        <f>IFERROR(__xludf.DUMMYFUNCTION("""COMPUTED_VALUE"""),0.021)</f>
        <v>0.021</v>
      </c>
      <c r="E3631" s="8" t="str">
        <f>IFERROR(__xludf.DUMMYFUNCTION("""COMPUTED_VALUE"""),"Real")</f>
        <v>Real</v>
      </c>
      <c r="G3631" s="8">
        <f t="shared" si="1"/>
        <v>4</v>
      </c>
      <c r="H3631" s="14">
        <f t="shared" si="2"/>
        <v>1</v>
      </c>
      <c r="I3631" s="15">
        <f t="shared" si="3"/>
        <v>7</v>
      </c>
    </row>
    <row r="3632">
      <c r="A3632" s="8" t="str">
        <f>IFERROR(__xludf.DUMMYFUNCTION("IF('(INGESTA)Datos_consumo_datadis'!A3632&lt;&gt;"""",SPLIT('(INGESTA)Datos_consumo_datadis'!A:A,"",""),"""")"),"ES0031408323131005HX0F")</f>
        <v>ES0031408323131005HX0F</v>
      </c>
      <c r="B3632" s="12">
        <f>IFERROR(__xludf.DUMMYFUNCTION("""COMPUTED_VALUE"""),45017.0)</f>
        <v>45017</v>
      </c>
      <c r="C3632" s="13">
        <f>IFERROR(__xludf.DUMMYFUNCTION("""COMPUTED_VALUE"""),0.3333333333333333)</f>
        <v>0.3333333333</v>
      </c>
      <c r="D3632" s="8">
        <f>IFERROR(__xludf.DUMMYFUNCTION("""COMPUTED_VALUE"""),0.064)</f>
        <v>0.064</v>
      </c>
      <c r="E3632" s="8" t="str">
        <f>IFERROR(__xludf.DUMMYFUNCTION("""COMPUTED_VALUE"""),"Real")</f>
        <v>Real</v>
      </c>
      <c r="G3632" s="8">
        <f t="shared" si="1"/>
        <v>4</v>
      </c>
      <c r="H3632" s="14">
        <f t="shared" si="2"/>
        <v>1</v>
      </c>
      <c r="I3632" s="15">
        <f t="shared" si="3"/>
        <v>8</v>
      </c>
    </row>
    <row r="3633">
      <c r="A3633" s="8" t="str">
        <f>IFERROR(__xludf.DUMMYFUNCTION("IF('(INGESTA)Datos_consumo_datadis'!A3633&lt;&gt;"""",SPLIT('(INGESTA)Datos_consumo_datadis'!A:A,"",""),"""")"),"ES0031408323131005HX0F")</f>
        <v>ES0031408323131005HX0F</v>
      </c>
      <c r="B3633" s="12">
        <f>IFERROR(__xludf.DUMMYFUNCTION("""COMPUTED_VALUE"""),45017.0)</f>
        <v>45017</v>
      </c>
      <c r="C3633" s="13">
        <f>IFERROR(__xludf.DUMMYFUNCTION("""COMPUTED_VALUE"""),0.375)</f>
        <v>0.375</v>
      </c>
      <c r="D3633" s="8">
        <f>IFERROR(__xludf.DUMMYFUNCTION("""COMPUTED_VALUE"""),0.478)</f>
        <v>0.478</v>
      </c>
      <c r="E3633" s="8" t="str">
        <f>IFERROR(__xludf.DUMMYFUNCTION("""COMPUTED_VALUE"""),"Real")</f>
        <v>Real</v>
      </c>
      <c r="G3633" s="8">
        <f t="shared" si="1"/>
        <v>4</v>
      </c>
      <c r="H3633" s="14">
        <f t="shared" si="2"/>
        <v>1</v>
      </c>
      <c r="I3633" s="15">
        <f t="shared" si="3"/>
        <v>9</v>
      </c>
    </row>
    <row r="3634">
      <c r="A3634" s="8" t="str">
        <f>IFERROR(__xludf.DUMMYFUNCTION("IF('(INGESTA)Datos_consumo_datadis'!A3634&lt;&gt;"""",SPLIT('(INGESTA)Datos_consumo_datadis'!A:A,"",""),"""")"),"ES0031408323131005HX0F")</f>
        <v>ES0031408323131005HX0F</v>
      </c>
      <c r="B3634" s="12">
        <f>IFERROR(__xludf.DUMMYFUNCTION("""COMPUTED_VALUE"""),45017.0)</f>
        <v>45017</v>
      </c>
      <c r="C3634" s="13">
        <f>IFERROR(__xludf.DUMMYFUNCTION("""COMPUTED_VALUE"""),0.4166666666666667)</f>
        <v>0.4166666667</v>
      </c>
      <c r="D3634" s="8">
        <f>IFERROR(__xludf.DUMMYFUNCTION("""COMPUTED_VALUE"""),0.338)</f>
        <v>0.338</v>
      </c>
      <c r="E3634" s="8" t="str">
        <f>IFERROR(__xludf.DUMMYFUNCTION("""COMPUTED_VALUE"""),"Real")</f>
        <v>Real</v>
      </c>
      <c r="G3634" s="8">
        <f t="shared" si="1"/>
        <v>4</v>
      </c>
      <c r="H3634" s="14">
        <f t="shared" si="2"/>
        <v>1</v>
      </c>
      <c r="I3634" s="15">
        <f t="shared" si="3"/>
        <v>10</v>
      </c>
    </row>
    <row r="3635">
      <c r="A3635" s="8" t="str">
        <f>IFERROR(__xludf.DUMMYFUNCTION("IF('(INGESTA)Datos_consumo_datadis'!A3635&lt;&gt;"""",SPLIT('(INGESTA)Datos_consumo_datadis'!A:A,"",""),"""")"),"ES0031408323131005HX0F")</f>
        <v>ES0031408323131005HX0F</v>
      </c>
      <c r="B3635" s="12">
        <f>IFERROR(__xludf.DUMMYFUNCTION("""COMPUTED_VALUE"""),45017.0)</f>
        <v>45017</v>
      </c>
      <c r="C3635" s="13">
        <f>IFERROR(__xludf.DUMMYFUNCTION("""COMPUTED_VALUE"""),0.4583333333333333)</f>
        <v>0.4583333333</v>
      </c>
      <c r="D3635" s="8">
        <f>IFERROR(__xludf.DUMMYFUNCTION("""COMPUTED_VALUE"""),0.465)</f>
        <v>0.465</v>
      </c>
      <c r="E3635" s="8" t="str">
        <f>IFERROR(__xludf.DUMMYFUNCTION("""COMPUTED_VALUE"""),"Real")</f>
        <v>Real</v>
      </c>
      <c r="G3635" s="8">
        <f t="shared" si="1"/>
        <v>4</v>
      </c>
      <c r="H3635" s="14">
        <f t="shared" si="2"/>
        <v>1</v>
      </c>
      <c r="I3635" s="15">
        <f t="shared" si="3"/>
        <v>11</v>
      </c>
    </row>
    <row r="3636">
      <c r="A3636" s="8" t="str">
        <f>IFERROR(__xludf.DUMMYFUNCTION("IF('(INGESTA)Datos_consumo_datadis'!A3636&lt;&gt;"""",SPLIT('(INGESTA)Datos_consumo_datadis'!A:A,"",""),"""")"),"ES0031408323131005HX0F")</f>
        <v>ES0031408323131005HX0F</v>
      </c>
      <c r="B3636" s="12">
        <f>IFERROR(__xludf.DUMMYFUNCTION("""COMPUTED_VALUE"""),45017.0)</f>
        <v>45017</v>
      </c>
      <c r="C3636" s="13">
        <f>IFERROR(__xludf.DUMMYFUNCTION("""COMPUTED_VALUE"""),0.5)</f>
        <v>0.5</v>
      </c>
      <c r="D3636" s="8">
        <f>IFERROR(__xludf.DUMMYFUNCTION("""COMPUTED_VALUE"""),0.313)</f>
        <v>0.313</v>
      </c>
      <c r="E3636" s="8" t="str">
        <f>IFERROR(__xludf.DUMMYFUNCTION("""COMPUTED_VALUE"""),"Real")</f>
        <v>Real</v>
      </c>
      <c r="G3636" s="8">
        <f t="shared" si="1"/>
        <v>4</v>
      </c>
      <c r="H3636" s="14">
        <f t="shared" si="2"/>
        <v>1</v>
      </c>
      <c r="I3636" s="15">
        <f t="shared" si="3"/>
        <v>12</v>
      </c>
    </row>
    <row r="3637">
      <c r="A3637" s="8" t="str">
        <f>IFERROR(__xludf.DUMMYFUNCTION("IF('(INGESTA)Datos_consumo_datadis'!A3637&lt;&gt;"""",SPLIT('(INGESTA)Datos_consumo_datadis'!A:A,"",""),"""")"),"ES0031408323131005HX0F")</f>
        <v>ES0031408323131005HX0F</v>
      </c>
      <c r="B3637" s="12">
        <f>IFERROR(__xludf.DUMMYFUNCTION("""COMPUTED_VALUE"""),45017.0)</f>
        <v>45017</v>
      </c>
      <c r="C3637" s="13">
        <f>IFERROR(__xludf.DUMMYFUNCTION("""COMPUTED_VALUE"""),0.5416666666666666)</f>
        <v>0.5416666667</v>
      </c>
      <c r="D3637" s="8">
        <f>IFERROR(__xludf.DUMMYFUNCTION("""COMPUTED_VALUE"""),0.476)</f>
        <v>0.476</v>
      </c>
      <c r="E3637" s="8" t="str">
        <f>IFERROR(__xludf.DUMMYFUNCTION("""COMPUTED_VALUE"""),"Real")</f>
        <v>Real</v>
      </c>
      <c r="G3637" s="8">
        <f t="shared" si="1"/>
        <v>4</v>
      </c>
      <c r="H3637" s="14">
        <f t="shared" si="2"/>
        <v>1</v>
      </c>
      <c r="I3637" s="15">
        <f t="shared" si="3"/>
        <v>13</v>
      </c>
    </row>
    <row r="3638">
      <c r="A3638" s="8" t="str">
        <f>IFERROR(__xludf.DUMMYFUNCTION("IF('(INGESTA)Datos_consumo_datadis'!A3638&lt;&gt;"""",SPLIT('(INGESTA)Datos_consumo_datadis'!A:A,"",""),"""")"),"ES0031408323131005HX0F")</f>
        <v>ES0031408323131005HX0F</v>
      </c>
      <c r="B3638" s="12">
        <f>IFERROR(__xludf.DUMMYFUNCTION("""COMPUTED_VALUE"""),45017.0)</f>
        <v>45017</v>
      </c>
      <c r="C3638" s="13">
        <f>IFERROR(__xludf.DUMMYFUNCTION("""COMPUTED_VALUE"""),0.5833333333333334)</f>
        <v>0.5833333333</v>
      </c>
      <c r="D3638" s="8">
        <f>IFERROR(__xludf.DUMMYFUNCTION("""COMPUTED_VALUE"""),2.103)</f>
        <v>2.103</v>
      </c>
      <c r="E3638" s="8" t="str">
        <f>IFERROR(__xludf.DUMMYFUNCTION("""COMPUTED_VALUE"""),"Real")</f>
        <v>Real</v>
      </c>
      <c r="G3638" s="8">
        <f t="shared" si="1"/>
        <v>4</v>
      </c>
      <c r="H3638" s="14">
        <f t="shared" si="2"/>
        <v>1</v>
      </c>
      <c r="I3638" s="15">
        <f t="shared" si="3"/>
        <v>14</v>
      </c>
    </row>
    <row r="3639">
      <c r="A3639" s="8" t="str">
        <f>IFERROR(__xludf.DUMMYFUNCTION("IF('(INGESTA)Datos_consumo_datadis'!A3639&lt;&gt;"""",SPLIT('(INGESTA)Datos_consumo_datadis'!A:A,"",""),"""")"),"ES0031408323131005HX0F")</f>
        <v>ES0031408323131005HX0F</v>
      </c>
      <c r="B3639" s="12">
        <f>IFERROR(__xludf.DUMMYFUNCTION("""COMPUTED_VALUE"""),45017.0)</f>
        <v>45017</v>
      </c>
      <c r="C3639" s="13">
        <f>IFERROR(__xludf.DUMMYFUNCTION("""COMPUTED_VALUE"""),0.625)</f>
        <v>0.625</v>
      </c>
      <c r="D3639" s="8">
        <f>IFERROR(__xludf.DUMMYFUNCTION("""COMPUTED_VALUE"""),0.076)</f>
        <v>0.076</v>
      </c>
      <c r="E3639" s="8" t="str">
        <f>IFERROR(__xludf.DUMMYFUNCTION("""COMPUTED_VALUE"""),"Real")</f>
        <v>Real</v>
      </c>
      <c r="G3639" s="8">
        <f t="shared" si="1"/>
        <v>4</v>
      </c>
      <c r="H3639" s="14">
        <f t="shared" si="2"/>
        <v>1</v>
      </c>
      <c r="I3639" s="15">
        <f t="shared" si="3"/>
        <v>15</v>
      </c>
    </row>
    <row r="3640">
      <c r="A3640" s="8" t="str">
        <f>IFERROR(__xludf.DUMMYFUNCTION("IF('(INGESTA)Datos_consumo_datadis'!A3640&lt;&gt;"""",SPLIT('(INGESTA)Datos_consumo_datadis'!A:A,"",""),"""")"),"ES0031408323131005HX0F")</f>
        <v>ES0031408323131005HX0F</v>
      </c>
      <c r="B3640" s="12">
        <f>IFERROR(__xludf.DUMMYFUNCTION("""COMPUTED_VALUE"""),45017.0)</f>
        <v>45017</v>
      </c>
      <c r="C3640" s="13">
        <f>IFERROR(__xludf.DUMMYFUNCTION("""COMPUTED_VALUE"""),0.6666666666666666)</f>
        <v>0.6666666667</v>
      </c>
      <c r="D3640" s="8">
        <f>IFERROR(__xludf.DUMMYFUNCTION("""COMPUTED_VALUE"""),0.063)</f>
        <v>0.063</v>
      </c>
      <c r="E3640" s="8" t="str">
        <f>IFERROR(__xludf.DUMMYFUNCTION("""COMPUTED_VALUE"""),"Real")</f>
        <v>Real</v>
      </c>
      <c r="G3640" s="8">
        <f t="shared" si="1"/>
        <v>4</v>
      </c>
      <c r="H3640" s="14">
        <f t="shared" si="2"/>
        <v>1</v>
      </c>
      <c r="I3640" s="15">
        <f t="shared" si="3"/>
        <v>16</v>
      </c>
    </row>
    <row r="3641">
      <c r="A3641" s="8" t="str">
        <f>IFERROR(__xludf.DUMMYFUNCTION("IF('(INGESTA)Datos_consumo_datadis'!A3641&lt;&gt;"""",SPLIT('(INGESTA)Datos_consumo_datadis'!A:A,"",""),"""")"),"ES0031408323131005HX0F")</f>
        <v>ES0031408323131005HX0F</v>
      </c>
      <c r="B3641" s="12">
        <f>IFERROR(__xludf.DUMMYFUNCTION("""COMPUTED_VALUE"""),45017.0)</f>
        <v>45017</v>
      </c>
      <c r="C3641" s="13">
        <f>IFERROR(__xludf.DUMMYFUNCTION("""COMPUTED_VALUE"""),0.7083333333333334)</f>
        <v>0.7083333333</v>
      </c>
      <c r="D3641" s="8">
        <f>IFERROR(__xludf.DUMMYFUNCTION("""COMPUTED_VALUE"""),0.022)</f>
        <v>0.022</v>
      </c>
      <c r="E3641" s="8" t="str">
        <f>IFERROR(__xludf.DUMMYFUNCTION("""COMPUTED_VALUE"""),"Real")</f>
        <v>Real</v>
      </c>
      <c r="G3641" s="8">
        <f t="shared" si="1"/>
        <v>4</v>
      </c>
      <c r="H3641" s="14">
        <f t="shared" si="2"/>
        <v>1</v>
      </c>
      <c r="I3641" s="15">
        <f t="shared" si="3"/>
        <v>17</v>
      </c>
    </row>
    <row r="3642">
      <c r="A3642" s="8" t="str">
        <f>IFERROR(__xludf.DUMMYFUNCTION("IF('(INGESTA)Datos_consumo_datadis'!A3642&lt;&gt;"""",SPLIT('(INGESTA)Datos_consumo_datadis'!A:A,"",""),"""")"),"ES0031408323131005HX0F")</f>
        <v>ES0031408323131005HX0F</v>
      </c>
      <c r="B3642" s="12">
        <f>IFERROR(__xludf.DUMMYFUNCTION("""COMPUTED_VALUE"""),45017.0)</f>
        <v>45017</v>
      </c>
      <c r="C3642" s="13">
        <f>IFERROR(__xludf.DUMMYFUNCTION("""COMPUTED_VALUE"""),0.75)</f>
        <v>0.75</v>
      </c>
      <c r="D3642" s="8">
        <f>IFERROR(__xludf.DUMMYFUNCTION("""COMPUTED_VALUE"""),0.097)</f>
        <v>0.097</v>
      </c>
      <c r="E3642" s="8" t="str">
        <f>IFERROR(__xludf.DUMMYFUNCTION("""COMPUTED_VALUE"""),"Real")</f>
        <v>Real</v>
      </c>
      <c r="G3642" s="8">
        <f t="shared" si="1"/>
        <v>4</v>
      </c>
      <c r="H3642" s="14">
        <f t="shared" si="2"/>
        <v>1</v>
      </c>
      <c r="I3642" s="15">
        <f t="shared" si="3"/>
        <v>18</v>
      </c>
    </row>
    <row r="3643">
      <c r="A3643" s="8" t="str">
        <f>IFERROR(__xludf.DUMMYFUNCTION("IF('(INGESTA)Datos_consumo_datadis'!A3643&lt;&gt;"""",SPLIT('(INGESTA)Datos_consumo_datadis'!A:A,"",""),"""")"),"ES0031408323131005HX0F")</f>
        <v>ES0031408323131005HX0F</v>
      </c>
      <c r="B3643" s="12">
        <f>IFERROR(__xludf.DUMMYFUNCTION("""COMPUTED_VALUE"""),45017.0)</f>
        <v>45017</v>
      </c>
      <c r="C3643" s="13">
        <f>IFERROR(__xludf.DUMMYFUNCTION("""COMPUTED_VALUE"""),0.7916666666666666)</f>
        <v>0.7916666667</v>
      </c>
      <c r="D3643" s="8">
        <f>IFERROR(__xludf.DUMMYFUNCTION("""COMPUTED_VALUE"""),0.326)</f>
        <v>0.326</v>
      </c>
      <c r="E3643" s="8" t="str">
        <f>IFERROR(__xludf.DUMMYFUNCTION("""COMPUTED_VALUE"""),"Real")</f>
        <v>Real</v>
      </c>
      <c r="G3643" s="8">
        <f t="shared" si="1"/>
        <v>4</v>
      </c>
      <c r="H3643" s="14">
        <f t="shared" si="2"/>
        <v>1</v>
      </c>
      <c r="I3643" s="15">
        <f t="shared" si="3"/>
        <v>19</v>
      </c>
    </row>
    <row r="3644">
      <c r="A3644" s="8" t="str">
        <f>IFERROR(__xludf.DUMMYFUNCTION("IF('(INGESTA)Datos_consumo_datadis'!A3644&lt;&gt;"""",SPLIT('(INGESTA)Datos_consumo_datadis'!A:A,"",""),"""")"),"ES0031408323131005HX0F")</f>
        <v>ES0031408323131005HX0F</v>
      </c>
      <c r="B3644" s="12">
        <f>IFERROR(__xludf.DUMMYFUNCTION("""COMPUTED_VALUE"""),45017.0)</f>
        <v>45017</v>
      </c>
      <c r="C3644" s="13">
        <f>IFERROR(__xludf.DUMMYFUNCTION("""COMPUTED_VALUE"""),0.8333333333333334)</f>
        <v>0.8333333333</v>
      </c>
      <c r="D3644" s="8">
        <f>IFERROR(__xludf.DUMMYFUNCTION("""COMPUTED_VALUE"""),0.018)</f>
        <v>0.018</v>
      </c>
      <c r="E3644" s="8" t="str">
        <f>IFERROR(__xludf.DUMMYFUNCTION("""COMPUTED_VALUE"""),"Real")</f>
        <v>Real</v>
      </c>
      <c r="G3644" s="8">
        <f t="shared" si="1"/>
        <v>4</v>
      </c>
      <c r="H3644" s="14">
        <f t="shared" si="2"/>
        <v>1</v>
      </c>
      <c r="I3644" s="15">
        <f t="shared" si="3"/>
        <v>20</v>
      </c>
    </row>
    <row r="3645">
      <c r="A3645" s="8" t="str">
        <f>IFERROR(__xludf.DUMMYFUNCTION("IF('(INGESTA)Datos_consumo_datadis'!A3645&lt;&gt;"""",SPLIT('(INGESTA)Datos_consumo_datadis'!A:A,"",""),"""")"),"ES0031408323131005HX0F")</f>
        <v>ES0031408323131005HX0F</v>
      </c>
      <c r="B3645" s="12">
        <f>IFERROR(__xludf.DUMMYFUNCTION("""COMPUTED_VALUE"""),45017.0)</f>
        <v>45017</v>
      </c>
      <c r="C3645" s="13">
        <f>IFERROR(__xludf.DUMMYFUNCTION("""COMPUTED_VALUE"""),0.875)</f>
        <v>0.875</v>
      </c>
      <c r="D3645" s="8">
        <f>IFERROR(__xludf.DUMMYFUNCTION("""COMPUTED_VALUE"""),0.087)</f>
        <v>0.087</v>
      </c>
      <c r="E3645" s="8" t="str">
        <f>IFERROR(__xludf.DUMMYFUNCTION("""COMPUTED_VALUE"""),"Real")</f>
        <v>Real</v>
      </c>
      <c r="G3645" s="8">
        <f t="shared" si="1"/>
        <v>4</v>
      </c>
      <c r="H3645" s="14">
        <f t="shared" si="2"/>
        <v>1</v>
      </c>
      <c r="I3645" s="15">
        <f t="shared" si="3"/>
        <v>21</v>
      </c>
    </row>
    <row r="3646">
      <c r="A3646" s="8" t="str">
        <f>IFERROR(__xludf.DUMMYFUNCTION("IF('(INGESTA)Datos_consumo_datadis'!A3646&lt;&gt;"""",SPLIT('(INGESTA)Datos_consumo_datadis'!A:A,"",""),"""")"),"ES0031408323131005HX0F")</f>
        <v>ES0031408323131005HX0F</v>
      </c>
      <c r="B3646" s="12">
        <f>IFERROR(__xludf.DUMMYFUNCTION("""COMPUTED_VALUE"""),45017.0)</f>
        <v>45017</v>
      </c>
      <c r="C3646" s="13">
        <f>IFERROR(__xludf.DUMMYFUNCTION("""COMPUTED_VALUE"""),0.9166666666666666)</f>
        <v>0.9166666667</v>
      </c>
      <c r="D3646" s="8">
        <f>IFERROR(__xludf.DUMMYFUNCTION("""COMPUTED_VALUE"""),0.068)</f>
        <v>0.068</v>
      </c>
      <c r="E3646" s="8" t="str">
        <f>IFERROR(__xludf.DUMMYFUNCTION("""COMPUTED_VALUE"""),"Real")</f>
        <v>Real</v>
      </c>
      <c r="G3646" s="8">
        <f t="shared" si="1"/>
        <v>4</v>
      </c>
      <c r="H3646" s="14">
        <f t="shared" si="2"/>
        <v>1</v>
      </c>
      <c r="I3646" s="15">
        <f t="shared" si="3"/>
        <v>22</v>
      </c>
    </row>
    <row r="3647">
      <c r="A3647" s="8" t="str">
        <f>IFERROR(__xludf.DUMMYFUNCTION("IF('(INGESTA)Datos_consumo_datadis'!A3647&lt;&gt;"""",SPLIT('(INGESTA)Datos_consumo_datadis'!A:A,"",""),"""")"),"ES0031408323131005HX0F")</f>
        <v>ES0031408323131005HX0F</v>
      </c>
      <c r="B3647" s="12">
        <f>IFERROR(__xludf.DUMMYFUNCTION("""COMPUTED_VALUE"""),45017.0)</f>
        <v>45017</v>
      </c>
      <c r="C3647" s="13">
        <f>IFERROR(__xludf.DUMMYFUNCTION("""COMPUTED_VALUE"""),0.9583333333333334)</f>
        <v>0.9583333333</v>
      </c>
      <c r="D3647" s="8">
        <f>IFERROR(__xludf.DUMMYFUNCTION("""COMPUTED_VALUE"""),0.021)</f>
        <v>0.021</v>
      </c>
      <c r="E3647" s="8" t="str">
        <f>IFERROR(__xludf.DUMMYFUNCTION("""COMPUTED_VALUE"""),"Real")</f>
        <v>Real</v>
      </c>
      <c r="G3647" s="8">
        <f t="shared" si="1"/>
        <v>4</v>
      </c>
      <c r="H3647" s="14">
        <f t="shared" si="2"/>
        <v>1</v>
      </c>
      <c r="I3647" s="15">
        <f t="shared" si="3"/>
        <v>23</v>
      </c>
    </row>
    <row r="3648">
      <c r="A3648" s="8" t="str">
        <f>IFERROR(__xludf.DUMMYFUNCTION("IF('(INGESTA)Datos_consumo_datadis'!A3648&lt;&gt;"""",SPLIT('(INGESTA)Datos_consumo_datadis'!A:A,"",""),"""")"),"ES0031408323131005HX0F")</f>
        <v>ES0031408323131005HX0F</v>
      </c>
      <c r="B3648" s="12">
        <f>IFERROR(__xludf.DUMMYFUNCTION("""COMPUTED_VALUE"""),45017.0)</f>
        <v>45017</v>
      </c>
      <c r="C3648" s="16">
        <f>IFERROR(__xludf.DUMMYFUNCTION("""COMPUTED_VALUE"""),1.0)</f>
        <v>1</v>
      </c>
      <c r="D3648" s="8">
        <f>IFERROR(__xludf.DUMMYFUNCTION("""COMPUTED_VALUE"""),0.057)</f>
        <v>0.057</v>
      </c>
      <c r="E3648" s="8" t="str">
        <f>IFERROR(__xludf.DUMMYFUNCTION("""COMPUTED_VALUE"""),"Real")</f>
        <v>Real</v>
      </c>
      <c r="G3648" s="8">
        <f t="shared" si="1"/>
        <v>4</v>
      </c>
      <c r="H3648" s="14">
        <f t="shared" si="2"/>
        <v>1</v>
      </c>
      <c r="I3648" s="15">
        <f t="shared" si="3"/>
        <v>0</v>
      </c>
    </row>
    <row r="3649">
      <c r="A3649" s="8" t="str">
        <f>IFERROR(__xludf.DUMMYFUNCTION("IF('(INGESTA)Datos_consumo_datadis'!A3649&lt;&gt;"""",SPLIT('(INGESTA)Datos_consumo_datadis'!A:A,"",""),"""")"),"ES0031408323131005HX0F")</f>
        <v>ES0031408323131005HX0F</v>
      </c>
      <c r="B3649" s="12">
        <f>IFERROR(__xludf.DUMMYFUNCTION("""COMPUTED_VALUE"""),45018.0)</f>
        <v>45018</v>
      </c>
      <c r="C3649" s="13">
        <f>IFERROR(__xludf.DUMMYFUNCTION("""COMPUTED_VALUE"""),0.041666666666666664)</f>
        <v>0.04166666667</v>
      </c>
      <c r="D3649" s="8">
        <f>IFERROR(__xludf.DUMMYFUNCTION("""COMPUTED_VALUE"""),0.326)</f>
        <v>0.326</v>
      </c>
      <c r="E3649" s="8" t="str">
        <f>IFERROR(__xludf.DUMMYFUNCTION("""COMPUTED_VALUE"""),"Real")</f>
        <v>Real</v>
      </c>
      <c r="G3649" s="8">
        <f t="shared" si="1"/>
        <v>4</v>
      </c>
      <c r="H3649" s="14">
        <f t="shared" si="2"/>
        <v>2</v>
      </c>
      <c r="I3649" s="15">
        <f t="shared" si="3"/>
        <v>1</v>
      </c>
    </row>
    <row r="3650">
      <c r="A3650" s="8" t="str">
        <f>IFERROR(__xludf.DUMMYFUNCTION("IF('(INGESTA)Datos_consumo_datadis'!A3650&lt;&gt;"""",SPLIT('(INGESTA)Datos_consumo_datadis'!A:A,"",""),"""")"),"ES0031408323131005HX0F")</f>
        <v>ES0031408323131005HX0F</v>
      </c>
      <c r="B3650" s="12">
        <f>IFERROR(__xludf.DUMMYFUNCTION("""COMPUTED_VALUE"""),45018.0)</f>
        <v>45018</v>
      </c>
      <c r="C3650" s="13">
        <f>IFERROR(__xludf.DUMMYFUNCTION("""COMPUTED_VALUE"""),0.08333333333333333)</f>
        <v>0.08333333333</v>
      </c>
      <c r="D3650" s="8">
        <f>IFERROR(__xludf.DUMMYFUNCTION("""COMPUTED_VALUE"""),0.878)</f>
        <v>0.878</v>
      </c>
      <c r="E3650" s="8" t="str">
        <f>IFERROR(__xludf.DUMMYFUNCTION("""COMPUTED_VALUE"""),"Real")</f>
        <v>Real</v>
      </c>
      <c r="G3650" s="8">
        <f t="shared" si="1"/>
        <v>4</v>
      </c>
      <c r="H3650" s="14">
        <f t="shared" si="2"/>
        <v>2</v>
      </c>
      <c r="I3650" s="15">
        <f t="shared" si="3"/>
        <v>2</v>
      </c>
    </row>
    <row r="3651">
      <c r="A3651" s="8" t="str">
        <f>IFERROR(__xludf.DUMMYFUNCTION("IF('(INGESTA)Datos_consumo_datadis'!A3651&lt;&gt;"""",SPLIT('(INGESTA)Datos_consumo_datadis'!A:A,"",""),"""")"),"ES0031408323131005HX0F")</f>
        <v>ES0031408323131005HX0F</v>
      </c>
      <c r="B3651" s="12">
        <f>IFERROR(__xludf.DUMMYFUNCTION("""COMPUTED_VALUE"""),45018.0)</f>
        <v>45018</v>
      </c>
      <c r="C3651" s="13">
        <f>IFERROR(__xludf.DUMMYFUNCTION("""COMPUTED_VALUE"""),0.125)</f>
        <v>0.125</v>
      </c>
      <c r="D3651" s="8">
        <f>IFERROR(__xludf.DUMMYFUNCTION("""COMPUTED_VALUE"""),0.036)</f>
        <v>0.036</v>
      </c>
      <c r="E3651" s="8" t="str">
        <f>IFERROR(__xludf.DUMMYFUNCTION("""COMPUTED_VALUE"""),"Real")</f>
        <v>Real</v>
      </c>
      <c r="G3651" s="8">
        <f t="shared" si="1"/>
        <v>4</v>
      </c>
      <c r="H3651" s="14">
        <f t="shared" si="2"/>
        <v>2</v>
      </c>
      <c r="I3651" s="15">
        <f t="shared" si="3"/>
        <v>3</v>
      </c>
    </row>
    <row r="3652">
      <c r="A3652" s="8" t="str">
        <f>IFERROR(__xludf.DUMMYFUNCTION("IF('(INGESTA)Datos_consumo_datadis'!A3652&lt;&gt;"""",SPLIT('(INGESTA)Datos_consumo_datadis'!A:A,"",""),"""")"),"ES0031408323131005HX0F")</f>
        <v>ES0031408323131005HX0F</v>
      </c>
      <c r="B3652" s="12">
        <f>IFERROR(__xludf.DUMMYFUNCTION("""COMPUTED_VALUE"""),45018.0)</f>
        <v>45018</v>
      </c>
      <c r="C3652" s="13">
        <f>IFERROR(__xludf.DUMMYFUNCTION("""COMPUTED_VALUE"""),0.16666666666666666)</f>
        <v>0.1666666667</v>
      </c>
      <c r="D3652" s="8">
        <f>IFERROR(__xludf.DUMMYFUNCTION("""COMPUTED_VALUE"""),0.111)</f>
        <v>0.111</v>
      </c>
      <c r="E3652" s="8" t="str">
        <f>IFERROR(__xludf.DUMMYFUNCTION("""COMPUTED_VALUE"""),"Real")</f>
        <v>Real</v>
      </c>
      <c r="G3652" s="8">
        <f t="shared" si="1"/>
        <v>4</v>
      </c>
      <c r="H3652" s="14">
        <f t="shared" si="2"/>
        <v>2</v>
      </c>
      <c r="I3652" s="15">
        <f t="shared" si="3"/>
        <v>4</v>
      </c>
    </row>
    <row r="3653">
      <c r="A3653" s="8" t="str">
        <f>IFERROR(__xludf.DUMMYFUNCTION("IF('(INGESTA)Datos_consumo_datadis'!A3653&lt;&gt;"""",SPLIT('(INGESTA)Datos_consumo_datadis'!A:A,"",""),"""")"),"ES0031408323131005HX0F")</f>
        <v>ES0031408323131005HX0F</v>
      </c>
      <c r="B3653" s="12">
        <f>IFERROR(__xludf.DUMMYFUNCTION("""COMPUTED_VALUE"""),45018.0)</f>
        <v>45018</v>
      </c>
      <c r="C3653" s="13">
        <f>IFERROR(__xludf.DUMMYFUNCTION("""COMPUTED_VALUE"""),0.20833333333333334)</f>
        <v>0.2083333333</v>
      </c>
      <c r="D3653" s="8">
        <f>IFERROR(__xludf.DUMMYFUNCTION("""COMPUTED_VALUE"""),0.386)</f>
        <v>0.386</v>
      </c>
      <c r="E3653" s="8" t="str">
        <f>IFERROR(__xludf.DUMMYFUNCTION("""COMPUTED_VALUE"""),"Real")</f>
        <v>Real</v>
      </c>
      <c r="G3653" s="8">
        <f t="shared" si="1"/>
        <v>4</v>
      </c>
      <c r="H3653" s="14">
        <f t="shared" si="2"/>
        <v>2</v>
      </c>
      <c r="I3653" s="15">
        <f t="shared" si="3"/>
        <v>5</v>
      </c>
    </row>
    <row r="3654">
      <c r="A3654" s="8" t="str">
        <f>IFERROR(__xludf.DUMMYFUNCTION("IF('(INGESTA)Datos_consumo_datadis'!A3654&lt;&gt;"""",SPLIT('(INGESTA)Datos_consumo_datadis'!A:A,"",""),"""")"),"ES0031408323131005HX0F")</f>
        <v>ES0031408323131005HX0F</v>
      </c>
      <c r="B3654" s="12">
        <f>IFERROR(__xludf.DUMMYFUNCTION("""COMPUTED_VALUE"""),45018.0)</f>
        <v>45018</v>
      </c>
      <c r="C3654" s="13">
        <f>IFERROR(__xludf.DUMMYFUNCTION("""COMPUTED_VALUE"""),0.25)</f>
        <v>0.25</v>
      </c>
      <c r="D3654" s="8">
        <f>IFERROR(__xludf.DUMMYFUNCTION("""COMPUTED_VALUE"""),0.038)</f>
        <v>0.038</v>
      </c>
      <c r="E3654" s="8" t="str">
        <f>IFERROR(__xludf.DUMMYFUNCTION("""COMPUTED_VALUE"""),"Real")</f>
        <v>Real</v>
      </c>
      <c r="G3654" s="8">
        <f t="shared" si="1"/>
        <v>4</v>
      </c>
      <c r="H3654" s="14">
        <f t="shared" si="2"/>
        <v>2</v>
      </c>
      <c r="I3654" s="15">
        <f t="shared" si="3"/>
        <v>6</v>
      </c>
    </row>
    <row r="3655">
      <c r="A3655" s="8" t="str">
        <f>IFERROR(__xludf.DUMMYFUNCTION("IF('(INGESTA)Datos_consumo_datadis'!A3655&lt;&gt;"""",SPLIT('(INGESTA)Datos_consumo_datadis'!A:A,"",""),"""")"),"ES0031408323131005HX0F")</f>
        <v>ES0031408323131005HX0F</v>
      </c>
      <c r="B3655" s="12">
        <f>IFERROR(__xludf.DUMMYFUNCTION("""COMPUTED_VALUE"""),45018.0)</f>
        <v>45018</v>
      </c>
      <c r="C3655" s="13">
        <f>IFERROR(__xludf.DUMMYFUNCTION("""COMPUTED_VALUE"""),0.2916666666666667)</f>
        <v>0.2916666667</v>
      </c>
      <c r="D3655" s="8">
        <f>IFERROR(__xludf.DUMMYFUNCTION("""COMPUTED_VALUE"""),0.122)</f>
        <v>0.122</v>
      </c>
      <c r="E3655" s="8" t="str">
        <f>IFERROR(__xludf.DUMMYFUNCTION("""COMPUTED_VALUE"""),"Real")</f>
        <v>Real</v>
      </c>
      <c r="G3655" s="8">
        <f t="shared" si="1"/>
        <v>4</v>
      </c>
      <c r="H3655" s="14">
        <f t="shared" si="2"/>
        <v>2</v>
      </c>
      <c r="I3655" s="15">
        <f t="shared" si="3"/>
        <v>7</v>
      </c>
    </row>
    <row r="3656">
      <c r="A3656" s="8" t="str">
        <f>IFERROR(__xludf.DUMMYFUNCTION("IF('(INGESTA)Datos_consumo_datadis'!A3656&lt;&gt;"""",SPLIT('(INGESTA)Datos_consumo_datadis'!A:A,"",""),"""")"),"ES0031408323131005HX0F")</f>
        <v>ES0031408323131005HX0F</v>
      </c>
      <c r="B3656" s="12">
        <f>IFERROR(__xludf.DUMMYFUNCTION("""COMPUTED_VALUE"""),45018.0)</f>
        <v>45018</v>
      </c>
      <c r="C3656" s="13">
        <f>IFERROR(__xludf.DUMMYFUNCTION("""COMPUTED_VALUE"""),0.3333333333333333)</f>
        <v>0.3333333333</v>
      </c>
      <c r="D3656" s="8">
        <f>IFERROR(__xludf.DUMMYFUNCTION("""COMPUTED_VALUE"""),0.051)</f>
        <v>0.051</v>
      </c>
      <c r="E3656" s="8" t="str">
        <f>IFERROR(__xludf.DUMMYFUNCTION("""COMPUTED_VALUE"""),"Real")</f>
        <v>Real</v>
      </c>
      <c r="G3656" s="8">
        <f t="shared" si="1"/>
        <v>4</v>
      </c>
      <c r="H3656" s="14">
        <f t="shared" si="2"/>
        <v>2</v>
      </c>
      <c r="I3656" s="15">
        <f t="shared" si="3"/>
        <v>8</v>
      </c>
    </row>
    <row r="3657">
      <c r="A3657" s="8" t="str">
        <f>IFERROR(__xludf.DUMMYFUNCTION("IF('(INGESTA)Datos_consumo_datadis'!A3657&lt;&gt;"""",SPLIT('(INGESTA)Datos_consumo_datadis'!A:A,"",""),"""")"),"ES0031408323131005HX0F")</f>
        <v>ES0031408323131005HX0F</v>
      </c>
      <c r="B3657" s="12">
        <f>IFERROR(__xludf.DUMMYFUNCTION("""COMPUTED_VALUE"""),45018.0)</f>
        <v>45018</v>
      </c>
      <c r="C3657" s="13">
        <f>IFERROR(__xludf.DUMMYFUNCTION("""COMPUTED_VALUE"""),0.375)</f>
        <v>0.375</v>
      </c>
      <c r="D3657" s="8">
        <f>IFERROR(__xludf.DUMMYFUNCTION("""COMPUTED_VALUE"""),0.021)</f>
        <v>0.021</v>
      </c>
      <c r="E3657" s="8" t="str">
        <f>IFERROR(__xludf.DUMMYFUNCTION("""COMPUTED_VALUE"""),"Real")</f>
        <v>Real</v>
      </c>
      <c r="G3657" s="8">
        <f t="shared" si="1"/>
        <v>4</v>
      </c>
      <c r="H3657" s="14">
        <f t="shared" si="2"/>
        <v>2</v>
      </c>
      <c r="I3657" s="15">
        <f t="shared" si="3"/>
        <v>9</v>
      </c>
    </row>
    <row r="3658">
      <c r="A3658" s="8" t="str">
        <f>IFERROR(__xludf.DUMMYFUNCTION("IF('(INGESTA)Datos_consumo_datadis'!A3658&lt;&gt;"""",SPLIT('(INGESTA)Datos_consumo_datadis'!A:A,"",""),"""")"),"ES0031408323131005HX0F")</f>
        <v>ES0031408323131005HX0F</v>
      </c>
      <c r="B3658" s="12">
        <f>IFERROR(__xludf.DUMMYFUNCTION("""COMPUTED_VALUE"""),45018.0)</f>
        <v>45018</v>
      </c>
      <c r="C3658" s="13">
        <f>IFERROR(__xludf.DUMMYFUNCTION("""COMPUTED_VALUE"""),0.4166666666666667)</f>
        <v>0.4166666667</v>
      </c>
      <c r="D3658" s="8">
        <f>IFERROR(__xludf.DUMMYFUNCTION("""COMPUTED_VALUE"""),0.094)</f>
        <v>0.094</v>
      </c>
      <c r="E3658" s="8" t="str">
        <f>IFERROR(__xludf.DUMMYFUNCTION("""COMPUTED_VALUE"""),"Real")</f>
        <v>Real</v>
      </c>
      <c r="G3658" s="8">
        <f t="shared" si="1"/>
        <v>4</v>
      </c>
      <c r="H3658" s="14">
        <f t="shared" si="2"/>
        <v>2</v>
      </c>
      <c r="I3658" s="15">
        <f t="shared" si="3"/>
        <v>10</v>
      </c>
    </row>
    <row r="3659">
      <c r="A3659" s="8" t="str">
        <f>IFERROR(__xludf.DUMMYFUNCTION("IF('(INGESTA)Datos_consumo_datadis'!A3659&lt;&gt;"""",SPLIT('(INGESTA)Datos_consumo_datadis'!A:A,"",""),"""")"),"ES0031408323131005HX0F")</f>
        <v>ES0031408323131005HX0F</v>
      </c>
      <c r="B3659" s="12">
        <f>IFERROR(__xludf.DUMMYFUNCTION("""COMPUTED_VALUE"""),45018.0)</f>
        <v>45018</v>
      </c>
      <c r="C3659" s="13">
        <f>IFERROR(__xludf.DUMMYFUNCTION("""COMPUTED_VALUE"""),0.4583333333333333)</f>
        <v>0.4583333333</v>
      </c>
      <c r="D3659" s="8">
        <f>IFERROR(__xludf.DUMMYFUNCTION("""COMPUTED_VALUE"""),0.318)</f>
        <v>0.318</v>
      </c>
      <c r="E3659" s="8" t="str">
        <f>IFERROR(__xludf.DUMMYFUNCTION("""COMPUTED_VALUE"""),"Real")</f>
        <v>Real</v>
      </c>
      <c r="G3659" s="8">
        <f t="shared" si="1"/>
        <v>4</v>
      </c>
      <c r="H3659" s="14">
        <f t="shared" si="2"/>
        <v>2</v>
      </c>
      <c r="I3659" s="15">
        <f t="shared" si="3"/>
        <v>11</v>
      </c>
    </row>
    <row r="3660">
      <c r="A3660" s="8" t="str">
        <f>IFERROR(__xludf.DUMMYFUNCTION("IF('(INGESTA)Datos_consumo_datadis'!A3660&lt;&gt;"""",SPLIT('(INGESTA)Datos_consumo_datadis'!A:A,"",""),"""")"),"ES0031408323131005HX0F")</f>
        <v>ES0031408323131005HX0F</v>
      </c>
      <c r="B3660" s="12">
        <f>IFERROR(__xludf.DUMMYFUNCTION("""COMPUTED_VALUE"""),45018.0)</f>
        <v>45018</v>
      </c>
      <c r="C3660" s="13">
        <f>IFERROR(__xludf.DUMMYFUNCTION("""COMPUTED_VALUE"""),0.5)</f>
        <v>0.5</v>
      </c>
      <c r="D3660" s="8">
        <f>IFERROR(__xludf.DUMMYFUNCTION("""COMPUTED_VALUE"""),0.019)</f>
        <v>0.019</v>
      </c>
      <c r="E3660" s="8" t="str">
        <f>IFERROR(__xludf.DUMMYFUNCTION("""COMPUTED_VALUE"""),"Real")</f>
        <v>Real</v>
      </c>
      <c r="G3660" s="8">
        <f t="shared" si="1"/>
        <v>4</v>
      </c>
      <c r="H3660" s="14">
        <f t="shared" si="2"/>
        <v>2</v>
      </c>
      <c r="I3660" s="15">
        <f t="shared" si="3"/>
        <v>12</v>
      </c>
    </row>
    <row r="3661">
      <c r="A3661" s="8" t="str">
        <f>IFERROR(__xludf.DUMMYFUNCTION("IF('(INGESTA)Datos_consumo_datadis'!A3661&lt;&gt;"""",SPLIT('(INGESTA)Datos_consumo_datadis'!A:A,"",""),"""")"),"ES0031408323131005HX0F")</f>
        <v>ES0031408323131005HX0F</v>
      </c>
      <c r="B3661" s="12">
        <f>IFERROR(__xludf.DUMMYFUNCTION("""COMPUTED_VALUE"""),45018.0)</f>
        <v>45018</v>
      </c>
      <c r="C3661" s="13">
        <f>IFERROR(__xludf.DUMMYFUNCTION("""COMPUTED_VALUE"""),0.5416666666666666)</f>
        <v>0.5416666667</v>
      </c>
      <c r="D3661" s="8">
        <f>IFERROR(__xludf.DUMMYFUNCTION("""COMPUTED_VALUE"""),0.137)</f>
        <v>0.137</v>
      </c>
      <c r="E3661" s="8" t="str">
        <f>IFERROR(__xludf.DUMMYFUNCTION("""COMPUTED_VALUE"""),"Real")</f>
        <v>Real</v>
      </c>
      <c r="G3661" s="8">
        <f t="shared" si="1"/>
        <v>4</v>
      </c>
      <c r="H3661" s="14">
        <f t="shared" si="2"/>
        <v>2</v>
      </c>
      <c r="I3661" s="15">
        <f t="shared" si="3"/>
        <v>13</v>
      </c>
    </row>
    <row r="3662">
      <c r="A3662" s="8" t="str">
        <f>IFERROR(__xludf.DUMMYFUNCTION("IF('(INGESTA)Datos_consumo_datadis'!A3662&lt;&gt;"""",SPLIT('(INGESTA)Datos_consumo_datadis'!A:A,"",""),"""")"),"ES0031408323131005HX0F")</f>
        <v>ES0031408323131005HX0F</v>
      </c>
      <c r="B3662" s="12">
        <f>IFERROR(__xludf.DUMMYFUNCTION("""COMPUTED_VALUE"""),45018.0)</f>
        <v>45018</v>
      </c>
      <c r="C3662" s="13">
        <f>IFERROR(__xludf.DUMMYFUNCTION("""COMPUTED_VALUE"""),0.5833333333333334)</f>
        <v>0.5833333333</v>
      </c>
      <c r="D3662" s="8">
        <f>IFERROR(__xludf.DUMMYFUNCTION("""COMPUTED_VALUE"""),0.048)</f>
        <v>0.048</v>
      </c>
      <c r="E3662" s="8" t="str">
        <f>IFERROR(__xludf.DUMMYFUNCTION("""COMPUTED_VALUE"""),"Real")</f>
        <v>Real</v>
      </c>
      <c r="G3662" s="8">
        <f t="shared" si="1"/>
        <v>4</v>
      </c>
      <c r="H3662" s="14">
        <f t="shared" si="2"/>
        <v>2</v>
      </c>
      <c r="I3662" s="15">
        <f t="shared" si="3"/>
        <v>14</v>
      </c>
    </row>
    <row r="3663">
      <c r="A3663" s="8" t="str">
        <f>IFERROR(__xludf.DUMMYFUNCTION("IF('(INGESTA)Datos_consumo_datadis'!A3663&lt;&gt;"""",SPLIT('(INGESTA)Datos_consumo_datadis'!A:A,"",""),"""")"),"ES0031408323131005HX0F")</f>
        <v>ES0031408323131005HX0F</v>
      </c>
      <c r="B3663" s="12">
        <f>IFERROR(__xludf.DUMMYFUNCTION("""COMPUTED_VALUE"""),45018.0)</f>
        <v>45018</v>
      </c>
      <c r="C3663" s="13">
        <f>IFERROR(__xludf.DUMMYFUNCTION("""COMPUTED_VALUE"""),0.625)</f>
        <v>0.625</v>
      </c>
      <c r="D3663" s="8">
        <f>IFERROR(__xludf.DUMMYFUNCTION("""COMPUTED_VALUE"""),0.321)</f>
        <v>0.321</v>
      </c>
      <c r="E3663" s="8" t="str">
        <f>IFERROR(__xludf.DUMMYFUNCTION("""COMPUTED_VALUE"""),"Real")</f>
        <v>Real</v>
      </c>
      <c r="G3663" s="8">
        <f t="shared" si="1"/>
        <v>4</v>
      </c>
      <c r="H3663" s="14">
        <f t="shared" si="2"/>
        <v>2</v>
      </c>
      <c r="I3663" s="15">
        <f t="shared" si="3"/>
        <v>15</v>
      </c>
    </row>
    <row r="3664">
      <c r="A3664" s="8" t="str">
        <f>IFERROR(__xludf.DUMMYFUNCTION("IF('(INGESTA)Datos_consumo_datadis'!A3664&lt;&gt;"""",SPLIT('(INGESTA)Datos_consumo_datadis'!A:A,"",""),"""")"),"ES0031408323131005HX0F")</f>
        <v>ES0031408323131005HX0F</v>
      </c>
      <c r="B3664" s="12">
        <f>IFERROR(__xludf.DUMMYFUNCTION("""COMPUTED_VALUE"""),45018.0)</f>
        <v>45018</v>
      </c>
      <c r="C3664" s="13">
        <f>IFERROR(__xludf.DUMMYFUNCTION("""COMPUTED_VALUE"""),0.6666666666666666)</f>
        <v>0.6666666667</v>
      </c>
      <c r="D3664" s="8">
        <f>IFERROR(__xludf.DUMMYFUNCTION("""COMPUTED_VALUE"""),1.171)</f>
        <v>1.171</v>
      </c>
      <c r="E3664" s="8" t="str">
        <f>IFERROR(__xludf.DUMMYFUNCTION("""COMPUTED_VALUE"""),"Real")</f>
        <v>Real</v>
      </c>
      <c r="G3664" s="8">
        <f t="shared" si="1"/>
        <v>4</v>
      </c>
      <c r="H3664" s="14">
        <f t="shared" si="2"/>
        <v>2</v>
      </c>
      <c r="I3664" s="15">
        <f t="shared" si="3"/>
        <v>16</v>
      </c>
    </row>
    <row r="3665">
      <c r="A3665" s="8" t="str">
        <f>IFERROR(__xludf.DUMMYFUNCTION("IF('(INGESTA)Datos_consumo_datadis'!A3665&lt;&gt;"""",SPLIT('(INGESTA)Datos_consumo_datadis'!A:A,"",""),"""")"),"ES0031408323131005HX0F")</f>
        <v>ES0031408323131005HX0F</v>
      </c>
      <c r="B3665" s="12">
        <f>IFERROR(__xludf.DUMMYFUNCTION("""COMPUTED_VALUE"""),45018.0)</f>
        <v>45018</v>
      </c>
      <c r="C3665" s="13">
        <f>IFERROR(__xludf.DUMMYFUNCTION("""COMPUTED_VALUE"""),0.7083333333333334)</f>
        <v>0.7083333333</v>
      </c>
      <c r="D3665" s="8">
        <f>IFERROR(__xludf.DUMMYFUNCTION("""COMPUTED_VALUE"""),0.406)</f>
        <v>0.406</v>
      </c>
      <c r="E3665" s="8" t="str">
        <f>IFERROR(__xludf.DUMMYFUNCTION("""COMPUTED_VALUE"""),"Real")</f>
        <v>Real</v>
      </c>
      <c r="G3665" s="8">
        <f t="shared" si="1"/>
        <v>4</v>
      </c>
      <c r="H3665" s="14">
        <f t="shared" si="2"/>
        <v>2</v>
      </c>
      <c r="I3665" s="15">
        <f t="shared" si="3"/>
        <v>17</v>
      </c>
    </row>
    <row r="3666">
      <c r="A3666" s="8" t="str">
        <f>IFERROR(__xludf.DUMMYFUNCTION("IF('(INGESTA)Datos_consumo_datadis'!A3666&lt;&gt;"""",SPLIT('(INGESTA)Datos_consumo_datadis'!A:A,"",""),"""")"),"ES0031408323131005HX0F")</f>
        <v>ES0031408323131005HX0F</v>
      </c>
      <c r="B3666" s="12">
        <f>IFERROR(__xludf.DUMMYFUNCTION("""COMPUTED_VALUE"""),45018.0)</f>
        <v>45018</v>
      </c>
      <c r="C3666" s="13">
        <f>IFERROR(__xludf.DUMMYFUNCTION("""COMPUTED_VALUE"""),0.75)</f>
        <v>0.75</v>
      </c>
      <c r="D3666" s="8">
        <f>IFERROR(__xludf.DUMMYFUNCTION("""COMPUTED_VALUE"""),0.169)</f>
        <v>0.169</v>
      </c>
      <c r="E3666" s="8" t="str">
        <f>IFERROR(__xludf.DUMMYFUNCTION("""COMPUTED_VALUE"""),"Real")</f>
        <v>Real</v>
      </c>
      <c r="G3666" s="8">
        <f t="shared" si="1"/>
        <v>4</v>
      </c>
      <c r="H3666" s="14">
        <f t="shared" si="2"/>
        <v>2</v>
      </c>
      <c r="I3666" s="15">
        <f t="shared" si="3"/>
        <v>18</v>
      </c>
    </row>
    <row r="3667">
      <c r="A3667" s="8" t="str">
        <f>IFERROR(__xludf.DUMMYFUNCTION("IF('(INGESTA)Datos_consumo_datadis'!A3667&lt;&gt;"""",SPLIT('(INGESTA)Datos_consumo_datadis'!A:A,"",""),"""")"),"ES0031408323131005HX0F")</f>
        <v>ES0031408323131005HX0F</v>
      </c>
      <c r="B3667" s="12">
        <f>IFERROR(__xludf.DUMMYFUNCTION("""COMPUTED_VALUE"""),45018.0)</f>
        <v>45018</v>
      </c>
      <c r="C3667" s="13">
        <f>IFERROR(__xludf.DUMMYFUNCTION("""COMPUTED_VALUE"""),0.7916666666666666)</f>
        <v>0.7916666667</v>
      </c>
      <c r="D3667" s="8">
        <f>IFERROR(__xludf.DUMMYFUNCTION("""COMPUTED_VALUE"""),0.491)</f>
        <v>0.491</v>
      </c>
      <c r="E3667" s="8" t="str">
        <f>IFERROR(__xludf.DUMMYFUNCTION("""COMPUTED_VALUE"""),"Real")</f>
        <v>Real</v>
      </c>
      <c r="G3667" s="8">
        <f t="shared" si="1"/>
        <v>4</v>
      </c>
      <c r="H3667" s="14">
        <f t="shared" si="2"/>
        <v>2</v>
      </c>
      <c r="I3667" s="15">
        <f t="shared" si="3"/>
        <v>19</v>
      </c>
    </row>
    <row r="3668">
      <c r="A3668" s="8" t="str">
        <f>IFERROR(__xludf.DUMMYFUNCTION("IF('(INGESTA)Datos_consumo_datadis'!A3668&lt;&gt;"""",SPLIT('(INGESTA)Datos_consumo_datadis'!A:A,"",""),"""")"),"ES0031408323131005HX0F")</f>
        <v>ES0031408323131005HX0F</v>
      </c>
      <c r="B3668" s="12">
        <f>IFERROR(__xludf.DUMMYFUNCTION("""COMPUTED_VALUE"""),45018.0)</f>
        <v>45018</v>
      </c>
      <c r="C3668" s="13">
        <f>IFERROR(__xludf.DUMMYFUNCTION("""COMPUTED_VALUE"""),0.8333333333333334)</f>
        <v>0.8333333333</v>
      </c>
      <c r="D3668" s="8">
        <f>IFERROR(__xludf.DUMMYFUNCTION("""COMPUTED_VALUE"""),0.795)</f>
        <v>0.795</v>
      </c>
      <c r="E3668" s="8" t="str">
        <f>IFERROR(__xludf.DUMMYFUNCTION("""COMPUTED_VALUE"""),"Real")</f>
        <v>Real</v>
      </c>
      <c r="G3668" s="8">
        <f t="shared" si="1"/>
        <v>4</v>
      </c>
      <c r="H3668" s="14">
        <f t="shared" si="2"/>
        <v>2</v>
      </c>
      <c r="I3668" s="15">
        <f t="shared" si="3"/>
        <v>20</v>
      </c>
    </row>
    <row r="3669">
      <c r="A3669" s="8" t="str">
        <f>IFERROR(__xludf.DUMMYFUNCTION("IF('(INGESTA)Datos_consumo_datadis'!A3669&lt;&gt;"""",SPLIT('(INGESTA)Datos_consumo_datadis'!A:A,"",""),"""")"),"ES0031408323131005HX0F")</f>
        <v>ES0031408323131005HX0F</v>
      </c>
      <c r="B3669" s="12">
        <f>IFERROR(__xludf.DUMMYFUNCTION("""COMPUTED_VALUE"""),45018.0)</f>
        <v>45018</v>
      </c>
      <c r="C3669" s="13">
        <f>IFERROR(__xludf.DUMMYFUNCTION("""COMPUTED_VALUE"""),0.875)</f>
        <v>0.875</v>
      </c>
      <c r="D3669" s="8">
        <f>IFERROR(__xludf.DUMMYFUNCTION("""COMPUTED_VALUE"""),0.473)</f>
        <v>0.473</v>
      </c>
      <c r="E3669" s="8" t="str">
        <f>IFERROR(__xludf.DUMMYFUNCTION("""COMPUTED_VALUE"""),"Real")</f>
        <v>Real</v>
      </c>
      <c r="G3669" s="8">
        <f t="shared" si="1"/>
        <v>4</v>
      </c>
      <c r="H3669" s="14">
        <f t="shared" si="2"/>
        <v>2</v>
      </c>
      <c r="I3669" s="15">
        <f t="shared" si="3"/>
        <v>21</v>
      </c>
    </row>
    <row r="3670">
      <c r="A3670" s="8" t="str">
        <f>IFERROR(__xludf.DUMMYFUNCTION("IF('(INGESTA)Datos_consumo_datadis'!A3670&lt;&gt;"""",SPLIT('(INGESTA)Datos_consumo_datadis'!A:A,"",""),"""")"),"ES0031408323131005HX0F")</f>
        <v>ES0031408323131005HX0F</v>
      </c>
      <c r="B3670" s="12">
        <f>IFERROR(__xludf.DUMMYFUNCTION("""COMPUTED_VALUE"""),45018.0)</f>
        <v>45018</v>
      </c>
      <c r="C3670" s="13">
        <f>IFERROR(__xludf.DUMMYFUNCTION("""COMPUTED_VALUE"""),0.9166666666666666)</f>
        <v>0.9166666667</v>
      </c>
      <c r="D3670" s="8">
        <f>IFERROR(__xludf.DUMMYFUNCTION("""COMPUTED_VALUE"""),2.056)</f>
        <v>2.056</v>
      </c>
      <c r="E3670" s="8" t="str">
        <f>IFERROR(__xludf.DUMMYFUNCTION("""COMPUTED_VALUE"""),"Real")</f>
        <v>Real</v>
      </c>
      <c r="G3670" s="8">
        <f t="shared" si="1"/>
        <v>4</v>
      </c>
      <c r="H3670" s="14">
        <f t="shared" si="2"/>
        <v>2</v>
      </c>
      <c r="I3670" s="15">
        <f t="shared" si="3"/>
        <v>22</v>
      </c>
    </row>
    <row r="3671">
      <c r="A3671" s="8" t="str">
        <f>IFERROR(__xludf.DUMMYFUNCTION("IF('(INGESTA)Datos_consumo_datadis'!A3671&lt;&gt;"""",SPLIT('(INGESTA)Datos_consumo_datadis'!A:A,"",""),"""")"),"ES0031408323131005HX0F")</f>
        <v>ES0031408323131005HX0F</v>
      </c>
      <c r="B3671" s="12">
        <f>IFERROR(__xludf.DUMMYFUNCTION("""COMPUTED_VALUE"""),45018.0)</f>
        <v>45018</v>
      </c>
      <c r="C3671" s="13">
        <f>IFERROR(__xludf.DUMMYFUNCTION("""COMPUTED_VALUE"""),0.9583333333333334)</f>
        <v>0.9583333333</v>
      </c>
      <c r="D3671" s="8">
        <f>IFERROR(__xludf.DUMMYFUNCTION("""COMPUTED_VALUE"""),1.976)</f>
        <v>1.976</v>
      </c>
      <c r="E3671" s="8" t="str">
        <f>IFERROR(__xludf.DUMMYFUNCTION("""COMPUTED_VALUE"""),"Real")</f>
        <v>Real</v>
      </c>
      <c r="G3671" s="8">
        <f t="shared" si="1"/>
        <v>4</v>
      </c>
      <c r="H3671" s="14">
        <f t="shared" si="2"/>
        <v>2</v>
      </c>
      <c r="I3671" s="15">
        <f t="shared" si="3"/>
        <v>23</v>
      </c>
    </row>
    <row r="3672">
      <c r="A3672" s="8" t="str">
        <f>IFERROR(__xludf.DUMMYFUNCTION("IF('(INGESTA)Datos_consumo_datadis'!A3672&lt;&gt;"""",SPLIT('(INGESTA)Datos_consumo_datadis'!A:A,"",""),"""")"),"ES0031408323131005HX0F")</f>
        <v>ES0031408323131005HX0F</v>
      </c>
      <c r="B3672" s="12">
        <f>IFERROR(__xludf.DUMMYFUNCTION("""COMPUTED_VALUE"""),45018.0)</f>
        <v>45018</v>
      </c>
      <c r="C3672" s="16">
        <f>IFERROR(__xludf.DUMMYFUNCTION("""COMPUTED_VALUE"""),1.0)</f>
        <v>1</v>
      </c>
      <c r="D3672" s="8">
        <f>IFERROR(__xludf.DUMMYFUNCTION("""COMPUTED_VALUE"""),3.417)</f>
        <v>3.417</v>
      </c>
      <c r="E3672" s="8" t="str">
        <f>IFERROR(__xludf.DUMMYFUNCTION("""COMPUTED_VALUE"""),"Real")</f>
        <v>Real</v>
      </c>
      <c r="G3672" s="8">
        <f t="shared" si="1"/>
        <v>4</v>
      </c>
      <c r="H3672" s="14">
        <f t="shared" si="2"/>
        <v>2</v>
      </c>
      <c r="I3672" s="15">
        <f t="shared" si="3"/>
        <v>0</v>
      </c>
    </row>
    <row r="3673">
      <c r="A3673" s="8" t="str">
        <f>IFERROR(__xludf.DUMMYFUNCTION("IF('(INGESTA)Datos_consumo_datadis'!A3673&lt;&gt;"""",SPLIT('(INGESTA)Datos_consumo_datadis'!A:A,"",""),"""")"),"ES0031408323131005HX0F")</f>
        <v>ES0031408323131005HX0F</v>
      </c>
      <c r="B3673" s="12">
        <f>IFERROR(__xludf.DUMMYFUNCTION("""COMPUTED_VALUE"""),45019.0)</f>
        <v>45019</v>
      </c>
      <c r="C3673" s="13">
        <f>IFERROR(__xludf.DUMMYFUNCTION("""COMPUTED_VALUE"""),0.041666666666666664)</f>
        <v>0.04166666667</v>
      </c>
      <c r="D3673" s="8">
        <f>IFERROR(__xludf.DUMMYFUNCTION("""COMPUTED_VALUE"""),0.553)</f>
        <v>0.553</v>
      </c>
      <c r="E3673" s="8" t="str">
        <f>IFERROR(__xludf.DUMMYFUNCTION("""COMPUTED_VALUE"""),"Real")</f>
        <v>Real</v>
      </c>
      <c r="G3673" s="8">
        <f t="shared" si="1"/>
        <v>4</v>
      </c>
      <c r="H3673" s="14">
        <f t="shared" si="2"/>
        <v>3</v>
      </c>
      <c r="I3673" s="15">
        <f t="shared" si="3"/>
        <v>1</v>
      </c>
    </row>
    <row r="3674">
      <c r="A3674" s="8" t="str">
        <f>IFERROR(__xludf.DUMMYFUNCTION("IF('(INGESTA)Datos_consumo_datadis'!A3674&lt;&gt;"""",SPLIT('(INGESTA)Datos_consumo_datadis'!A:A,"",""),"""")"),"ES0031408323131005HX0F")</f>
        <v>ES0031408323131005HX0F</v>
      </c>
      <c r="B3674" s="12">
        <f>IFERROR(__xludf.DUMMYFUNCTION("""COMPUTED_VALUE"""),45019.0)</f>
        <v>45019</v>
      </c>
      <c r="C3674" s="13">
        <f>IFERROR(__xludf.DUMMYFUNCTION("""COMPUTED_VALUE"""),0.08333333333333333)</f>
        <v>0.08333333333</v>
      </c>
      <c r="D3674" s="8">
        <f>IFERROR(__xludf.DUMMYFUNCTION("""COMPUTED_VALUE"""),0.173)</f>
        <v>0.173</v>
      </c>
      <c r="E3674" s="8" t="str">
        <f>IFERROR(__xludf.DUMMYFUNCTION("""COMPUTED_VALUE"""),"Real")</f>
        <v>Real</v>
      </c>
      <c r="G3674" s="8">
        <f t="shared" si="1"/>
        <v>4</v>
      </c>
      <c r="H3674" s="14">
        <f t="shared" si="2"/>
        <v>3</v>
      </c>
      <c r="I3674" s="15">
        <f t="shared" si="3"/>
        <v>2</v>
      </c>
    </row>
    <row r="3675">
      <c r="A3675" s="8" t="str">
        <f>IFERROR(__xludf.DUMMYFUNCTION("IF('(INGESTA)Datos_consumo_datadis'!A3675&lt;&gt;"""",SPLIT('(INGESTA)Datos_consumo_datadis'!A:A,"",""),"""")"),"ES0031408323131005HX0F")</f>
        <v>ES0031408323131005HX0F</v>
      </c>
      <c r="B3675" s="12">
        <f>IFERROR(__xludf.DUMMYFUNCTION("""COMPUTED_VALUE"""),45019.0)</f>
        <v>45019</v>
      </c>
      <c r="C3675" s="13">
        <f>IFERROR(__xludf.DUMMYFUNCTION("""COMPUTED_VALUE"""),0.125)</f>
        <v>0.125</v>
      </c>
      <c r="D3675" s="8">
        <f>IFERROR(__xludf.DUMMYFUNCTION("""COMPUTED_VALUE"""),0.034)</f>
        <v>0.034</v>
      </c>
      <c r="E3675" s="8" t="str">
        <f>IFERROR(__xludf.DUMMYFUNCTION("""COMPUTED_VALUE"""),"Real")</f>
        <v>Real</v>
      </c>
      <c r="G3675" s="8">
        <f t="shared" si="1"/>
        <v>4</v>
      </c>
      <c r="H3675" s="14">
        <f t="shared" si="2"/>
        <v>3</v>
      </c>
      <c r="I3675" s="15">
        <f t="shared" si="3"/>
        <v>3</v>
      </c>
    </row>
    <row r="3676">
      <c r="A3676" s="8" t="str">
        <f>IFERROR(__xludf.DUMMYFUNCTION("IF('(INGESTA)Datos_consumo_datadis'!A3676&lt;&gt;"""",SPLIT('(INGESTA)Datos_consumo_datadis'!A:A,"",""),"""")"),"ES0031408323131005HX0F")</f>
        <v>ES0031408323131005HX0F</v>
      </c>
      <c r="B3676" s="12">
        <f>IFERROR(__xludf.DUMMYFUNCTION("""COMPUTED_VALUE"""),45019.0)</f>
        <v>45019</v>
      </c>
      <c r="C3676" s="13">
        <f>IFERROR(__xludf.DUMMYFUNCTION("""COMPUTED_VALUE"""),0.16666666666666666)</f>
        <v>0.1666666667</v>
      </c>
      <c r="D3676" s="8">
        <f>IFERROR(__xludf.DUMMYFUNCTION("""COMPUTED_VALUE"""),0.12)</f>
        <v>0.12</v>
      </c>
      <c r="E3676" s="8" t="str">
        <f>IFERROR(__xludf.DUMMYFUNCTION("""COMPUTED_VALUE"""),"Real")</f>
        <v>Real</v>
      </c>
      <c r="G3676" s="8">
        <f t="shared" si="1"/>
        <v>4</v>
      </c>
      <c r="H3676" s="14">
        <f t="shared" si="2"/>
        <v>3</v>
      </c>
      <c r="I3676" s="15">
        <f t="shared" si="3"/>
        <v>4</v>
      </c>
    </row>
    <row r="3677">
      <c r="A3677" s="8" t="str">
        <f>IFERROR(__xludf.DUMMYFUNCTION("IF('(INGESTA)Datos_consumo_datadis'!A3677&lt;&gt;"""",SPLIT('(INGESTA)Datos_consumo_datadis'!A:A,"",""),"""")"),"ES0031408323131005HX0F")</f>
        <v>ES0031408323131005HX0F</v>
      </c>
      <c r="B3677" s="12">
        <f>IFERROR(__xludf.DUMMYFUNCTION("""COMPUTED_VALUE"""),45019.0)</f>
        <v>45019</v>
      </c>
      <c r="C3677" s="13">
        <f>IFERROR(__xludf.DUMMYFUNCTION("""COMPUTED_VALUE"""),0.20833333333333334)</f>
        <v>0.2083333333</v>
      </c>
      <c r="D3677" s="8">
        <f>IFERROR(__xludf.DUMMYFUNCTION("""COMPUTED_VALUE"""),0.073)</f>
        <v>0.073</v>
      </c>
      <c r="E3677" s="8" t="str">
        <f>IFERROR(__xludf.DUMMYFUNCTION("""COMPUTED_VALUE"""),"Real")</f>
        <v>Real</v>
      </c>
      <c r="G3677" s="8">
        <f t="shared" si="1"/>
        <v>4</v>
      </c>
      <c r="H3677" s="14">
        <f t="shared" si="2"/>
        <v>3</v>
      </c>
      <c r="I3677" s="15">
        <f t="shared" si="3"/>
        <v>5</v>
      </c>
    </row>
    <row r="3678">
      <c r="A3678" s="8" t="str">
        <f>IFERROR(__xludf.DUMMYFUNCTION("IF('(INGESTA)Datos_consumo_datadis'!A3678&lt;&gt;"""",SPLIT('(INGESTA)Datos_consumo_datadis'!A:A,"",""),"""")"),"ES0031408323131005HX0F")</f>
        <v>ES0031408323131005HX0F</v>
      </c>
      <c r="B3678" s="12">
        <f>IFERROR(__xludf.DUMMYFUNCTION("""COMPUTED_VALUE"""),45019.0)</f>
        <v>45019</v>
      </c>
      <c r="C3678" s="13">
        <f>IFERROR(__xludf.DUMMYFUNCTION("""COMPUTED_VALUE"""),0.25)</f>
        <v>0.25</v>
      </c>
      <c r="D3678" s="8">
        <f>IFERROR(__xludf.DUMMYFUNCTION("""COMPUTED_VALUE"""),0.26)</f>
        <v>0.26</v>
      </c>
      <c r="E3678" s="8" t="str">
        <f>IFERROR(__xludf.DUMMYFUNCTION("""COMPUTED_VALUE"""),"Real")</f>
        <v>Real</v>
      </c>
      <c r="G3678" s="8">
        <f t="shared" si="1"/>
        <v>4</v>
      </c>
      <c r="H3678" s="14">
        <f t="shared" si="2"/>
        <v>3</v>
      </c>
      <c r="I3678" s="15">
        <f t="shared" si="3"/>
        <v>6</v>
      </c>
    </row>
    <row r="3679">
      <c r="A3679" s="8" t="str">
        <f>IFERROR(__xludf.DUMMYFUNCTION("IF('(INGESTA)Datos_consumo_datadis'!A3679&lt;&gt;"""",SPLIT('(INGESTA)Datos_consumo_datadis'!A:A,"",""),"""")"),"ES0031408323131005HX0F")</f>
        <v>ES0031408323131005HX0F</v>
      </c>
      <c r="B3679" s="12">
        <f>IFERROR(__xludf.DUMMYFUNCTION("""COMPUTED_VALUE"""),45019.0)</f>
        <v>45019</v>
      </c>
      <c r="C3679" s="13">
        <f>IFERROR(__xludf.DUMMYFUNCTION("""COMPUTED_VALUE"""),0.2916666666666667)</f>
        <v>0.2916666667</v>
      </c>
      <c r="D3679" s="8">
        <f>IFERROR(__xludf.DUMMYFUNCTION("""COMPUTED_VALUE"""),0.051)</f>
        <v>0.051</v>
      </c>
      <c r="E3679" s="8" t="str">
        <f>IFERROR(__xludf.DUMMYFUNCTION("""COMPUTED_VALUE"""),"Real")</f>
        <v>Real</v>
      </c>
      <c r="G3679" s="8">
        <f t="shared" si="1"/>
        <v>4</v>
      </c>
      <c r="H3679" s="14">
        <f t="shared" si="2"/>
        <v>3</v>
      </c>
      <c r="I3679" s="15">
        <f t="shared" si="3"/>
        <v>7</v>
      </c>
    </row>
    <row r="3680">
      <c r="A3680" s="8" t="str">
        <f>IFERROR(__xludf.DUMMYFUNCTION("IF('(INGESTA)Datos_consumo_datadis'!A3680&lt;&gt;"""",SPLIT('(INGESTA)Datos_consumo_datadis'!A:A,"",""),"""")"),"ES0031408323131005HX0F")</f>
        <v>ES0031408323131005HX0F</v>
      </c>
      <c r="B3680" s="12">
        <f>IFERROR(__xludf.DUMMYFUNCTION("""COMPUTED_VALUE"""),45019.0)</f>
        <v>45019</v>
      </c>
      <c r="C3680" s="13">
        <f>IFERROR(__xludf.DUMMYFUNCTION("""COMPUTED_VALUE"""),0.3333333333333333)</f>
        <v>0.3333333333</v>
      </c>
      <c r="D3680" s="8">
        <f>IFERROR(__xludf.DUMMYFUNCTION("""COMPUTED_VALUE"""),0.127)</f>
        <v>0.127</v>
      </c>
      <c r="E3680" s="8" t="str">
        <f>IFERROR(__xludf.DUMMYFUNCTION("""COMPUTED_VALUE"""),"Real")</f>
        <v>Real</v>
      </c>
      <c r="G3680" s="8">
        <f t="shared" si="1"/>
        <v>4</v>
      </c>
      <c r="H3680" s="14">
        <f t="shared" si="2"/>
        <v>3</v>
      </c>
      <c r="I3680" s="15">
        <f t="shared" si="3"/>
        <v>8</v>
      </c>
    </row>
    <row r="3681">
      <c r="A3681" s="8" t="str">
        <f>IFERROR(__xludf.DUMMYFUNCTION("IF('(INGESTA)Datos_consumo_datadis'!A3681&lt;&gt;"""",SPLIT('(INGESTA)Datos_consumo_datadis'!A:A,"",""),"""")"),"ES0031408323131005HX0F")</f>
        <v>ES0031408323131005HX0F</v>
      </c>
      <c r="B3681" s="12">
        <f>IFERROR(__xludf.DUMMYFUNCTION("""COMPUTED_VALUE"""),45019.0)</f>
        <v>45019</v>
      </c>
      <c r="C3681" s="13">
        <f>IFERROR(__xludf.DUMMYFUNCTION("""COMPUTED_VALUE"""),0.375)</f>
        <v>0.375</v>
      </c>
      <c r="D3681" s="8">
        <f>IFERROR(__xludf.DUMMYFUNCTION("""COMPUTED_VALUE"""),0.511)</f>
        <v>0.511</v>
      </c>
      <c r="E3681" s="8" t="str">
        <f>IFERROR(__xludf.DUMMYFUNCTION("""COMPUTED_VALUE"""),"Real")</f>
        <v>Real</v>
      </c>
      <c r="G3681" s="8">
        <f t="shared" si="1"/>
        <v>4</v>
      </c>
      <c r="H3681" s="14">
        <f t="shared" si="2"/>
        <v>3</v>
      </c>
      <c r="I3681" s="15">
        <f t="shared" si="3"/>
        <v>9</v>
      </c>
    </row>
    <row r="3682">
      <c r="A3682" s="8" t="str">
        <f>IFERROR(__xludf.DUMMYFUNCTION("IF('(INGESTA)Datos_consumo_datadis'!A3682&lt;&gt;"""",SPLIT('(INGESTA)Datos_consumo_datadis'!A:A,"",""),"""")"),"ES0031408323131005HX0F")</f>
        <v>ES0031408323131005HX0F</v>
      </c>
      <c r="B3682" s="12">
        <f>IFERROR(__xludf.DUMMYFUNCTION("""COMPUTED_VALUE"""),45019.0)</f>
        <v>45019</v>
      </c>
      <c r="C3682" s="13">
        <f>IFERROR(__xludf.DUMMYFUNCTION("""COMPUTED_VALUE"""),0.4166666666666667)</f>
        <v>0.4166666667</v>
      </c>
      <c r="D3682" s="8">
        <f>IFERROR(__xludf.DUMMYFUNCTION("""COMPUTED_VALUE"""),0.369)</f>
        <v>0.369</v>
      </c>
      <c r="E3682" s="8" t="str">
        <f>IFERROR(__xludf.DUMMYFUNCTION("""COMPUTED_VALUE"""),"Real")</f>
        <v>Real</v>
      </c>
      <c r="G3682" s="8">
        <f t="shared" si="1"/>
        <v>4</v>
      </c>
      <c r="H3682" s="14">
        <f t="shared" si="2"/>
        <v>3</v>
      </c>
      <c r="I3682" s="15">
        <f t="shared" si="3"/>
        <v>10</v>
      </c>
    </row>
    <row r="3683">
      <c r="A3683" s="8" t="str">
        <f>IFERROR(__xludf.DUMMYFUNCTION("IF('(INGESTA)Datos_consumo_datadis'!A3683&lt;&gt;"""",SPLIT('(INGESTA)Datos_consumo_datadis'!A:A,"",""),"""")"),"ES0031408323131005HX0F")</f>
        <v>ES0031408323131005HX0F</v>
      </c>
      <c r="B3683" s="12">
        <f>IFERROR(__xludf.DUMMYFUNCTION("""COMPUTED_VALUE"""),45019.0)</f>
        <v>45019</v>
      </c>
      <c r="C3683" s="13">
        <f>IFERROR(__xludf.DUMMYFUNCTION("""COMPUTED_VALUE"""),0.4583333333333333)</f>
        <v>0.4583333333</v>
      </c>
      <c r="D3683" s="8">
        <f>IFERROR(__xludf.DUMMYFUNCTION("""COMPUTED_VALUE"""),0.031)</f>
        <v>0.031</v>
      </c>
      <c r="E3683" s="8" t="str">
        <f>IFERROR(__xludf.DUMMYFUNCTION("""COMPUTED_VALUE"""),"Real")</f>
        <v>Real</v>
      </c>
      <c r="G3683" s="8">
        <f t="shared" si="1"/>
        <v>4</v>
      </c>
      <c r="H3683" s="14">
        <f t="shared" si="2"/>
        <v>3</v>
      </c>
      <c r="I3683" s="15">
        <f t="shared" si="3"/>
        <v>11</v>
      </c>
    </row>
    <row r="3684">
      <c r="A3684" s="8" t="str">
        <f>IFERROR(__xludf.DUMMYFUNCTION("IF('(INGESTA)Datos_consumo_datadis'!A3684&lt;&gt;"""",SPLIT('(INGESTA)Datos_consumo_datadis'!A:A,"",""),"""")"),"ES0031408323131005HX0F")</f>
        <v>ES0031408323131005HX0F</v>
      </c>
      <c r="B3684" s="12">
        <f>IFERROR(__xludf.DUMMYFUNCTION("""COMPUTED_VALUE"""),45019.0)</f>
        <v>45019</v>
      </c>
      <c r="C3684" s="13">
        <f>IFERROR(__xludf.DUMMYFUNCTION("""COMPUTED_VALUE"""),0.5)</f>
        <v>0.5</v>
      </c>
      <c r="D3684" s="8">
        <f>IFERROR(__xludf.DUMMYFUNCTION("""COMPUTED_VALUE"""),0.035)</f>
        <v>0.035</v>
      </c>
      <c r="E3684" s="8" t="str">
        <f>IFERROR(__xludf.DUMMYFUNCTION("""COMPUTED_VALUE"""),"Real")</f>
        <v>Real</v>
      </c>
      <c r="G3684" s="8">
        <f t="shared" si="1"/>
        <v>4</v>
      </c>
      <c r="H3684" s="14">
        <f t="shared" si="2"/>
        <v>3</v>
      </c>
      <c r="I3684" s="15">
        <f t="shared" si="3"/>
        <v>12</v>
      </c>
    </row>
    <row r="3685">
      <c r="A3685" s="8" t="str">
        <f>IFERROR(__xludf.DUMMYFUNCTION("IF('(INGESTA)Datos_consumo_datadis'!A3685&lt;&gt;"""",SPLIT('(INGESTA)Datos_consumo_datadis'!A:A,"",""),"""")"),"ES0031408323131005HX0F")</f>
        <v>ES0031408323131005HX0F</v>
      </c>
      <c r="B3685" s="12">
        <f>IFERROR(__xludf.DUMMYFUNCTION("""COMPUTED_VALUE"""),45019.0)</f>
        <v>45019</v>
      </c>
      <c r="C3685" s="13">
        <f>IFERROR(__xludf.DUMMYFUNCTION("""COMPUTED_VALUE"""),0.5416666666666666)</f>
        <v>0.5416666667</v>
      </c>
      <c r="D3685" s="8">
        <f>IFERROR(__xludf.DUMMYFUNCTION("""COMPUTED_VALUE"""),0.086)</f>
        <v>0.086</v>
      </c>
      <c r="E3685" s="8" t="str">
        <f>IFERROR(__xludf.DUMMYFUNCTION("""COMPUTED_VALUE"""),"Real")</f>
        <v>Real</v>
      </c>
      <c r="G3685" s="8">
        <f t="shared" si="1"/>
        <v>4</v>
      </c>
      <c r="H3685" s="14">
        <f t="shared" si="2"/>
        <v>3</v>
      </c>
      <c r="I3685" s="15">
        <f t="shared" si="3"/>
        <v>13</v>
      </c>
    </row>
    <row r="3686">
      <c r="A3686" s="8" t="str">
        <f>IFERROR(__xludf.DUMMYFUNCTION("IF('(INGESTA)Datos_consumo_datadis'!A3686&lt;&gt;"""",SPLIT('(INGESTA)Datos_consumo_datadis'!A:A,"",""),"""")"),"ES0031408323131005HX0F")</f>
        <v>ES0031408323131005HX0F</v>
      </c>
      <c r="B3686" s="12">
        <f>IFERROR(__xludf.DUMMYFUNCTION("""COMPUTED_VALUE"""),45019.0)</f>
        <v>45019</v>
      </c>
      <c r="C3686" s="13">
        <f>IFERROR(__xludf.DUMMYFUNCTION("""COMPUTED_VALUE"""),0.5833333333333334)</f>
        <v>0.5833333333</v>
      </c>
      <c r="D3686" s="8">
        <f>IFERROR(__xludf.DUMMYFUNCTION("""COMPUTED_VALUE"""),0.055)</f>
        <v>0.055</v>
      </c>
      <c r="E3686" s="8" t="str">
        <f>IFERROR(__xludf.DUMMYFUNCTION("""COMPUTED_VALUE"""),"Real")</f>
        <v>Real</v>
      </c>
      <c r="G3686" s="8">
        <f t="shared" si="1"/>
        <v>4</v>
      </c>
      <c r="H3686" s="14">
        <f t="shared" si="2"/>
        <v>3</v>
      </c>
      <c r="I3686" s="15">
        <f t="shared" si="3"/>
        <v>14</v>
      </c>
    </row>
    <row r="3687">
      <c r="A3687" s="8" t="str">
        <f>IFERROR(__xludf.DUMMYFUNCTION("IF('(INGESTA)Datos_consumo_datadis'!A3687&lt;&gt;"""",SPLIT('(INGESTA)Datos_consumo_datadis'!A:A,"",""),"""")"),"ES0031408323131005HX0F")</f>
        <v>ES0031408323131005HX0F</v>
      </c>
      <c r="B3687" s="12">
        <f>IFERROR(__xludf.DUMMYFUNCTION("""COMPUTED_VALUE"""),45019.0)</f>
        <v>45019</v>
      </c>
      <c r="C3687" s="13">
        <f>IFERROR(__xludf.DUMMYFUNCTION("""COMPUTED_VALUE"""),0.625)</f>
        <v>0.625</v>
      </c>
      <c r="D3687" s="8">
        <f>IFERROR(__xludf.DUMMYFUNCTION("""COMPUTED_VALUE"""),0.086)</f>
        <v>0.086</v>
      </c>
      <c r="E3687" s="8" t="str">
        <f>IFERROR(__xludf.DUMMYFUNCTION("""COMPUTED_VALUE"""),"Real")</f>
        <v>Real</v>
      </c>
      <c r="G3687" s="8">
        <f t="shared" si="1"/>
        <v>4</v>
      </c>
      <c r="H3687" s="14">
        <f t="shared" si="2"/>
        <v>3</v>
      </c>
      <c r="I3687" s="15">
        <f t="shared" si="3"/>
        <v>15</v>
      </c>
    </row>
    <row r="3688">
      <c r="A3688" s="8" t="str">
        <f>IFERROR(__xludf.DUMMYFUNCTION("IF('(INGESTA)Datos_consumo_datadis'!A3688&lt;&gt;"""",SPLIT('(INGESTA)Datos_consumo_datadis'!A:A,"",""),"""")"),"ES0031408323131005HX0F")</f>
        <v>ES0031408323131005HX0F</v>
      </c>
      <c r="B3688" s="12">
        <f>IFERROR(__xludf.DUMMYFUNCTION("""COMPUTED_VALUE"""),45019.0)</f>
        <v>45019</v>
      </c>
      <c r="C3688" s="13">
        <f>IFERROR(__xludf.DUMMYFUNCTION("""COMPUTED_VALUE"""),0.6666666666666666)</f>
        <v>0.6666666667</v>
      </c>
      <c r="D3688" s="8">
        <f>IFERROR(__xludf.DUMMYFUNCTION("""COMPUTED_VALUE"""),0.265)</f>
        <v>0.265</v>
      </c>
      <c r="E3688" s="8" t="str">
        <f>IFERROR(__xludf.DUMMYFUNCTION("""COMPUTED_VALUE"""),"Real")</f>
        <v>Real</v>
      </c>
      <c r="G3688" s="8">
        <f t="shared" si="1"/>
        <v>4</v>
      </c>
      <c r="H3688" s="14">
        <f t="shared" si="2"/>
        <v>3</v>
      </c>
      <c r="I3688" s="15">
        <f t="shared" si="3"/>
        <v>16</v>
      </c>
    </row>
    <row r="3689">
      <c r="A3689" s="8" t="str">
        <f>IFERROR(__xludf.DUMMYFUNCTION("IF('(INGESTA)Datos_consumo_datadis'!A3689&lt;&gt;"""",SPLIT('(INGESTA)Datos_consumo_datadis'!A:A,"",""),"""")"),"ES0031408323131005HX0F")</f>
        <v>ES0031408323131005HX0F</v>
      </c>
      <c r="B3689" s="12">
        <f>IFERROR(__xludf.DUMMYFUNCTION("""COMPUTED_VALUE"""),45019.0)</f>
        <v>45019</v>
      </c>
      <c r="C3689" s="13">
        <f>IFERROR(__xludf.DUMMYFUNCTION("""COMPUTED_VALUE"""),0.7083333333333334)</f>
        <v>0.7083333333</v>
      </c>
      <c r="D3689" s="8">
        <f>IFERROR(__xludf.DUMMYFUNCTION("""COMPUTED_VALUE"""),0.059)</f>
        <v>0.059</v>
      </c>
      <c r="E3689" s="8" t="str">
        <f>IFERROR(__xludf.DUMMYFUNCTION("""COMPUTED_VALUE"""),"Real")</f>
        <v>Real</v>
      </c>
      <c r="G3689" s="8">
        <f t="shared" si="1"/>
        <v>4</v>
      </c>
      <c r="H3689" s="14">
        <f t="shared" si="2"/>
        <v>3</v>
      </c>
      <c r="I3689" s="15">
        <f t="shared" si="3"/>
        <v>17</v>
      </c>
    </row>
    <row r="3690">
      <c r="A3690" s="8" t="str">
        <f>IFERROR(__xludf.DUMMYFUNCTION("IF('(INGESTA)Datos_consumo_datadis'!A3690&lt;&gt;"""",SPLIT('(INGESTA)Datos_consumo_datadis'!A:A,"",""),"""")"),"ES0031408323131005HX0F")</f>
        <v>ES0031408323131005HX0F</v>
      </c>
      <c r="B3690" s="12">
        <f>IFERROR(__xludf.DUMMYFUNCTION("""COMPUTED_VALUE"""),45019.0)</f>
        <v>45019</v>
      </c>
      <c r="C3690" s="13">
        <f>IFERROR(__xludf.DUMMYFUNCTION("""COMPUTED_VALUE"""),0.75)</f>
        <v>0.75</v>
      </c>
      <c r="D3690" s="8">
        <f>IFERROR(__xludf.DUMMYFUNCTION("""COMPUTED_VALUE"""),0.044)</f>
        <v>0.044</v>
      </c>
      <c r="E3690" s="8" t="str">
        <f>IFERROR(__xludf.DUMMYFUNCTION("""COMPUTED_VALUE"""),"Real")</f>
        <v>Real</v>
      </c>
      <c r="G3690" s="8">
        <f t="shared" si="1"/>
        <v>4</v>
      </c>
      <c r="H3690" s="14">
        <f t="shared" si="2"/>
        <v>3</v>
      </c>
      <c r="I3690" s="15">
        <f t="shared" si="3"/>
        <v>18</v>
      </c>
    </row>
    <row r="3691">
      <c r="A3691" s="8" t="str">
        <f>IFERROR(__xludf.DUMMYFUNCTION("IF('(INGESTA)Datos_consumo_datadis'!A3691&lt;&gt;"""",SPLIT('(INGESTA)Datos_consumo_datadis'!A:A,"",""),"""")"),"ES0031408323131005HX0F")</f>
        <v>ES0031408323131005HX0F</v>
      </c>
      <c r="B3691" s="12">
        <f>IFERROR(__xludf.DUMMYFUNCTION("""COMPUTED_VALUE"""),45019.0)</f>
        <v>45019</v>
      </c>
      <c r="C3691" s="13">
        <f>IFERROR(__xludf.DUMMYFUNCTION("""COMPUTED_VALUE"""),0.7916666666666666)</f>
        <v>0.7916666667</v>
      </c>
      <c r="D3691" s="8">
        <f>IFERROR(__xludf.DUMMYFUNCTION("""COMPUTED_VALUE"""),0.016)</f>
        <v>0.016</v>
      </c>
      <c r="E3691" s="8" t="str">
        <f>IFERROR(__xludf.DUMMYFUNCTION("""COMPUTED_VALUE"""),"Real")</f>
        <v>Real</v>
      </c>
      <c r="G3691" s="8">
        <f t="shared" si="1"/>
        <v>4</v>
      </c>
      <c r="H3691" s="14">
        <f t="shared" si="2"/>
        <v>3</v>
      </c>
      <c r="I3691" s="15">
        <f t="shared" si="3"/>
        <v>19</v>
      </c>
    </row>
    <row r="3692">
      <c r="A3692" s="8" t="str">
        <f>IFERROR(__xludf.DUMMYFUNCTION("IF('(INGESTA)Datos_consumo_datadis'!A3692&lt;&gt;"""",SPLIT('(INGESTA)Datos_consumo_datadis'!A:A,"",""),"""")"),"ES0031408323131005HX0F")</f>
        <v>ES0031408323131005HX0F</v>
      </c>
      <c r="B3692" s="12">
        <f>IFERROR(__xludf.DUMMYFUNCTION("""COMPUTED_VALUE"""),45019.0)</f>
        <v>45019</v>
      </c>
      <c r="C3692" s="13">
        <f>IFERROR(__xludf.DUMMYFUNCTION("""COMPUTED_VALUE"""),0.8333333333333334)</f>
        <v>0.8333333333</v>
      </c>
      <c r="D3692" s="8">
        <f>IFERROR(__xludf.DUMMYFUNCTION("""COMPUTED_VALUE"""),0.106)</f>
        <v>0.106</v>
      </c>
      <c r="E3692" s="8" t="str">
        <f>IFERROR(__xludf.DUMMYFUNCTION("""COMPUTED_VALUE"""),"Real")</f>
        <v>Real</v>
      </c>
      <c r="G3692" s="8">
        <f t="shared" si="1"/>
        <v>4</v>
      </c>
      <c r="H3692" s="14">
        <f t="shared" si="2"/>
        <v>3</v>
      </c>
      <c r="I3692" s="15">
        <f t="shared" si="3"/>
        <v>20</v>
      </c>
    </row>
    <row r="3693">
      <c r="A3693" s="8" t="str">
        <f>IFERROR(__xludf.DUMMYFUNCTION("IF('(INGESTA)Datos_consumo_datadis'!A3693&lt;&gt;"""",SPLIT('(INGESTA)Datos_consumo_datadis'!A:A,"",""),"""")"),"ES0031408323131005HX0F")</f>
        <v>ES0031408323131005HX0F</v>
      </c>
      <c r="B3693" s="12">
        <f>IFERROR(__xludf.DUMMYFUNCTION("""COMPUTED_VALUE"""),45019.0)</f>
        <v>45019</v>
      </c>
      <c r="C3693" s="13">
        <f>IFERROR(__xludf.DUMMYFUNCTION("""COMPUTED_VALUE"""),0.875)</f>
        <v>0.875</v>
      </c>
      <c r="D3693" s="8">
        <f>IFERROR(__xludf.DUMMYFUNCTION("""COMPUTED_VALUE"""),0.145)</f>
        <v>0.145</v>
      </c>
      <c r="E3693" s="8" t="str">
        <f>IFERROR(__xludf.DUMMYFUNCTION("""COMPUTED_VALUE"""),"Real")</f>
        <v>Real</v>
      </c>
      <c r="G3693" s="8">
        <f t="shared" si="1"/>
        <v>4</v>
      </c>
      <c r="H3693" s="14">
        <f t="shared" si="2"/>
        <v>3</v>
      </c>
      <c r="I3693" s="15">
        <f t="shared" si="3"/>
        <v>21</v>
      </c>
    </row>
    <row r="3694">
      <c r="A3694" s="8" t="str">
        <f>IFERROR(__xludf.DUMMYFUNCTION("IF('(INGESTA)Datos_consumo_datadis'!A3694&lt;&gt;"""",SPLIT('(INGESTA)Datos_consumo_datadis'!A:A,"",""),"""")"),"ES0031408323131005HX0F")</f>
        <v>ES0031408323131005HX0F</v>
      </c>
      <c r="B3694" s="12">
        <f>IFERROR(__xludf.DUMMYFUNCTION("""COMPUTED_VALUE"""),45019.0)</f>
        <v>45019</v>
      </c>
      <c r="C3694" s="13">
        <f>IFERROR(__xludf.DUMMYFUNCTION("""COMPUTED_VALUE"""),0.9166666666666666)</f>
        <v>0.9166666667</v>
      </c>
      <c r="D3694" s="8">
        <f>IFERROR(__xludf.DUMMYFUNCTION("""COMPUTED_VALUE"""),2.295)</f>
        <v>2.295</v>
      </c>
      <c r="E3694" s="8" t="str">
        <f>IFERROR(__xludf.DUMMYFUNCTION("""COMPUTED_VALUE"""),"Real")</f>
        <v>Real</v>
      </c>
      <c r="G3694" s="8">
        <f t="shared" si="1"/>
        <v>4</v>
      </c>
      <c r="H3694" s="14">
        <f t="shared" si="2"/>
        <v>3</v>
      </c>
      <c r="I3694" s="15">
        <f t="shared" si="3"/>
        <v>22</v>
      </c>
    </row>
    <row r="3695">
      <c r="A3695" s="8" t="str">
        <f>IFERROR(__xludf.DUMMYFUNCTION("IF('(INGESTA)Datos_consumo_datadis'!A3695&lt;&gt;"""",SPLIT('(INGESTA)Datos_consumo_datadis'!A:A,"",""),"""")"),"ES0031408323131005HX0F")</f>
        <v>ES0031408323131005HX0F</v>
      </c>
      <c r="B3695" s="12">
        <f>IFERROR(__xludf.DUMMYFUNCTION("""COMPUTED_VALUE"""),45019.0)</f>
        <v>45019</v>
      </c>
      <c r="C3695" s="13">
        <f>IFERROR(__xludf.DUMMYFUNCTION("""COMPUTED_VALUE"""),0.9583333333333334)</f>
        <v>0.9583333333</v>
      </c>
      <c r="D3695" s="8">
        <f>IFERROR(__xludf.DUMMYFUNCTION("""COMPUTED_VALUE"""),2.617)</f>
        <v>2.617</v>
      </c>
      <c r="E3695" s="8" t="str">
        <f>IFERROR(__xludf.DUMMYFUNCTION("""COMPUTED_VALUE"""),"Real")</f>
        <v>Real</v>
      </c>
      <c r="G3695" s="8">
        <f t="shared" si="1"/>
        <v>4</v>
      </c>
      <c r="H3695" s="14">
        <f t="shared" si="2"/>
        <v>3</v>
      </c>
      <c r="I3695" s="15">
        <f t="shared" si="3"/>
        <v>23</v>
      </c>
    </row>
    <row r="3696">
      <c r="A3696" s="8" t="str">
        <f>IFERROR(__xludf.DUMMYFUNCTION("IF('(INGESTA)Datos_consumo_datadis'!A3696&lt;&gt;"""",SPLIT('(INGESTA)Datos_consumo_datadis'!A:A,"",""),"""")"),"ES0031408323131005HX0F")</f>
        <v>ES0031408323131005HX0F</v>
      </c>
      <c r="B3696" s="12">
        <f>IFERROR(__xludf.DUMMYFUNCTION("""COMPUTED_VALUE"""),45019.0)</f>
        <v>45019</v>
      </c>
      <c r="C3696" s="16">
        <f>IFERROR(__xludf.DUMMYFUNCTION("""COMPUTED_VALUE"""),1.0)</f>
        <v>1</v>
      </c>
      <c r="D3696" s="8">
        <f>IFERROR(__xludf.DUMMYFUNCTION("""COMPUTED_VALUE"""),0.735)</f>
        <v>0.735</v>
      </c>
      <c r="E3696" s="8" t="str">
        <f>IFERROR(__xludf.DUMMYFUNCTION("""COMPUTED_VALUE"""),"Real")</f>
        <v>Real</v>
      </c>
      <c r="G3696" s="8">
        <f t="shared" si="1"/>
        <v>4</v>
      </c>
      <c r="H3696" s="14">
        <f t="shared" si="2"/>
        <v>3</v>
      </c>
      <c r="I3696" s="15">
        <f t="shared" si="3"/>
        <v>0</v>
      </c>
    </row>
    <row r="3697">
      <c r="A3697" s="8" t="str">
        <f>IFERROR(__xludf.DUMMYFUNCTION("IF('(INGESTA)Datos_consumo_datadis'!A3697&lt;&gt;"""",SPLIT('(INGESTA)Datos_consumo_datadis'!A:A,"",""),"""")"),"ES0031408323131005HX0F")</f>
        <v>ES0031408323131005HX0F</v>
      </c>
      <c r="B3697" s="12">
        <f>IFERROR(__xludf.DUMMYFUNCTION("""COMPUTED_VALUE"""),45020.0)</f>
        <v>45020</v>
      </c>
      <c r="C3697" s="13">
        <f>IFERROR(__xludf.DUMMYFUNCTION("""COMPUTED_VALUE"""),0.041666666666666664)</f>
        <v>0.04166666667</v>
      </c>
      <c r="D3697" s="8">
        <f>IFERROR(__xludf.DUMMYFUNCTION("""COMPUTED_VALUE"""),0.483)</f>
        <v>0.483</v>
      </c>
      <c r="E3697" s="8" t="str">
        <f>IFERROR(__xludf.DUMMYFUNCTION("""COMPUTED_VALUE"""),"Real")</f>
        <v>Real</v>
      </c>
      <c r="G3697" s="8">
        <f t="shared" si="1"/>
        <v>4</v>
      </c>
      <c r="H3697" s="14">
        <f t="shared" si="2"/>
        <v>4</v>
      </c>
      <c r="I3697" s="15">
        <f t="shared" si="3"/>
        <v>1</v>
      </c>
    </row>
    <row r="3698">
      <c r="A3698" s="8" t="str">
        <f>IFERROR(__xludf.DUMMYFUNCTION("IF('(INGESTA)Datos_consumo_datadis'!A3698&lt;&gt;"""",SPLIT('(INGESTA)Datos_consumo_datadis'!A:A,"",""),"""")"),"ES0031408323131005HX0F")</f>
        <v>ES0031408323131005HX0F</v>
      </c>
      <c r="B3698" s="12">
        <f>IFERROR(__xludf.DUMMYFUNCTION("""COMPUTED_VALUE"""),45020.0)</f>
        <v>45020</v>
      </c>
      <c r="C3698" s="13">
        <f>IFERROR(__xludf.DUMMYFUNCTION("""COMPUTED_VALUE"""),0.08333333333333333)</f>
        <v>0.08333333333</v>
      </c>
      <c r="D3698" s="8">
        <f>IFERROR(__xludf.DUMMYFUNCTION("""COMPUTED_VALUE"""),0.19)</f>
        <v>0.19</v>
      </c>
      <c r="E3698" s="8" t="str">
        <f>IFERROR(__xludf.DUMMYFUNCTION("""COMPUTED_VALUE"""),"Real")</f>
        <v>Real</v>
      </c>
      <c r="G3698" s="8">
        <f t="shared" si="1"/>
        <v>4</v>
      </c>
      <c r="H3698" s="14">
        <f t="shared" si="2"/>
        <v>4</v>
      </c>
      <c r="I3698" s="15">
        <f t="shared" si="3"/>
        <v>2</v>
      </c>
    </row>
    <row r="3699">
      <c r="A3699" s="8" t="str">
        <f>IFERROR(__xludf.DUMMYFUNCTION("IF('(INGESTA)Datos_consumo_datadis'!A3699&lt;&gt;"""",SPLIT('(INGESTA)Datos_consumo_datadis'!A:A,"",""),"""")"),"ES0031408323131005HX0F")</f>
        <v>ES0031408323131005HX0F</v>
      </c>
      <c r="B3699" s="12">
        <f>IFERROR(__xludf.DUMMYFUNCTION("""COMPUTED_VALUE"""),45020.0)</f>
        <v>45020</v>
      </c>
      <c r="C3699" s="13">
        <f>IFERROR(__xludf.DUMMYFUNCTION("""COMPUTED_VALUE"""),0.125)</f>
        <v>0.125</v>
      </c>
      <c r="D3699" s="8">
        <f>IFERROR(__xludf.DUMMYFUNCTION("""COMPUTED_VALUE"""),0.533)</f>
        <v>0.533</v>
      </c>
      <c r="E3699" s="8" t="str">
        <f>IFERROR(__xludf.DUMMYFUNCTION("""COMPUTED_VALUE"""),"Real")</f>
        <v>Real</v>
      </c>
      <c r="G3699" s="8">
        <f t="shared" si="1"/>
        <v>4</v>
      </c>
      <c r="H3699" s="14">
        <f t="shared" si="2"/>
        <v>4</v>
      </c>
      <c r="I3699" s="15">
        <f t="shared" si="3"/>
        <v>3</v>
      </c>
    </row>
    <row r="3700">
      <c r="A3700" s="8" t="str">
        <f>IFERROR(__xludf.DUMMYFUNCTION("IF('(INGESTA)Datos_consumo_datadis'!A3700&lt;&gt;"""",SPLIT('(INGESTA)Datos_consumo_datadis'!A:A,"",""),"""")"),"ES0031408323131005HX0F")</f>
        <v>ES0031408323131005HX0F</v>
      </c>
      <c r="B3700" s="12">
        <f>IFERROR(__xludf.DUMMYFUNCTION("""COMPUTED_VALUE"""),45020.0)</f>
        <v>45020</v>
      </c>
      <c r="C3700" s="13">
        <f>IFERROR(__xludf.DUMMYFUNCTION("""COMPUTED_VALUE"""),0.16666666666666666)</f>
        <v>0.1666666667</v>
      </c>
      <c r="D3700" s="8">
        <f>IFERROR(__xludf.DUMMYFUNCTION("""COMPUTED_VALUE"""),0.161)</f>
        <v>0.161</v>
      </c>
      <c r="E3700" s="8" t="str">
        <f>IFERROR(__xludf.DUMMYFUNCTION("""COMPUTED_VALUE"""),"Real")</f>
        <v>Real</v>
      </c>
      <c r="G3700" s="8">
        <f t="shared" si="1"/>
        <v>4</v>
      </c>
      <c r="H3700" s="14">
        <f t="shared" si="2"/>
        <v>4</v>
      </c>
      <c r="I3700" s="15">
        <f t="shared" si="3"/>
        <v>4</v>
      </c>
    </row>
    <row r="3701">
      <c r="A3701" s="8" t="str">
        <f>IFERROR(__xludf.DUMMYFUNCTION("IF('(INGESTA)Datos_consumo_datadis'!A3701&lt;&gt;"""",SPLIT('(INGESTA)Datos_consumo_datadis'!A:A,"",""),"""")"),"ES0031408323131005HX0F")</f>
        <v>ES0031408323131005HX0F</v>
      </c>
      <c r="B3701" s="12">
        <f>IFERROR(__xludf.DUMMYFUNCTION("""COMPUTED_VALUE"""),45020.0)</f>
        <v>45020</v>
      </c>
      <c r="C3701" s="13">
        <f>IFERROR(__xludf.DUMMYFUNCTION("""COMPUTED_VALUE"""),0.20833333333333334)</f>
        <v>0.2083333333</v>
      </c>
      <c r="D3701" s="8">
        <f>IFERROR(__xludf.DUMMYFUNCTION("""COMPUTED_VALUE"""),0.03)</f>
        <v>0.03</v>
      </c>
      <c r="E3701" s="8" t="str">
        <f>IFERROR(__xludf.DUMMYFUNCTION("""COMPUTED_VALUE"""),"Real")</f>
        <v>Real</v>
      </c>
      <c r="G3701" s="8">
        <f t="shared" si="1"/>
        <v>4</v>
      </c>
      <c r="H3701" s="14">
        <f t="shared" si="2"/>
        <v>4</v>
      </c>
      <c r="I3701" s="15">
        <f t="shared" si="3"/>
        <v>5</v>
      </c>
    </row>
    <row r="3702">
      <c r="A3702" s="8" t="str">
        <f>IFERROR(__xludf.DUMMYFUNCTION("IF('(INGESTA)Datos_consumo_datadis'!A3702&lt;&gt;"""",SPLIT('(INGESTA)Datos_consumo_datadis'!A:A,"",""),"""")"),"ES0031408323131005HX0F")</f>
        <v>ES0031408323131005HX0F</v>
      </c>
      <c r="B3702" s="12">
        <f>IFERROR(__xludf.DUMMYFUNCTION("""COMPUTED_VALUE"""),45020.0)</f>
        <v>45020</v>
      </c>
      <c r="C3702" s="13">
        <f>IFERROR(__xludf.DUMMYFUNCTION("""COMPUTED_VALUE"""),0.25)</f>
        <v>0.25</v>
      </c>
      <c r="D3702" s="8">
        <f>IFERROR(__xludf.DUMMYFUNCTION("""COMPUTED_VALUE"""),0.062)</f>
        <v>0.062</v>
      </c>
      <c r="E3702" s="8" t="str">
        <f>IFERROR(__xludf.DUMMYFUNCTION("""COMPUTED_VALUE"""),"Real")</f>
        <v>Real</v>
      </c>
      <c r="G3702" s="8">
        <f t="shared" si="1"/>
        <v>4</v>
      </c>
      <c r="H3702" s="14">
        <f t="shared" si="2"/>
        <v>4</v>
      </c>
      <c r="I3702" s="15">
        <f t="shared" si="3"/>
        <v>6</v>
      </c>
    </row>
    <row r="3703">
      <c r="A3703" s="8" t="str">
        <f>IFERROR(__xludf.DUMMYFUNCTION("IF('(INGESTA)Datos_consumo_datadis'!A3703&lt;&gt;"""",SPLIT('(INGESTA)Datos_consumo_datadis'!A:A,"",""),"""")"),"ES0031408323131005HX0F")</f>
        <v>ES0031408323131005HX0F</v>
      </c>
      <c r="B3703" s="12">
        <f>IFERROR(__xludf.DUMMYFUNCTION("""COMPUTED_VALUE"""),45020.0)</f>
        <v>45020</v>
      </c>
      <c r="C3703" s="13">
        <f>IFERROR(__xludf.DUMMYFUNCTION("""COMPUTED_VALUE"""),0.2916666666666667)</f>
        <v>0.2916666667</v>
      </c>
      <c r="D3703" s="8">
        <f>IFERROR(__xludf.DUMMYFUNCTION("""COMPUTED_VALUE"""),0.058)</f>
        <v>0.058</v>
      </c>
      <c r="E3703" s="8" t="str">
        <f>IFERROR(__xludf.DUMMYFUNCTION("""COMPUTED_VALUE"""),"Real")</f>
        <v>Real</v>
      </c>
      <c r="G3703" s="8">
        <f t="shared" si="1"/>
        <v>4</v>
      </c>
      <c r="H3703" s="14">
        <f t="shared" si="2"/>
        <v>4</v>
      </c>
      <c r="I3703" s="15">
        <f t="shared" si="3"/>
        <v>7</v>
      </c>
    </row>
    <row r="3704">
      <c r="A3704" s="8" t="str">
        <f>IFERROR(__xludf.DUMMYFUNCTION("IF('(INGESTA)Datos_consumo_datadis'!A3704&lt;&gt;"""",SPLIT('(INGESTA)Datos_consumo_datadis'!A:A,"",""),"""")"),"ES0031408323131005HX0F")</f>
        <v>ES0031408323131005HX0F</v>
      </c>
      <c r="B3704" s="12">
        <f>IFERROR(__xludf.DUMMYFUNCTION("""COMPUTED_VALUE"""),45020.0)</f>
        <v>45020</v>
      </c>
      <c r="C3704" s="13">
        <f>IFERROR(__xludf.DUMMYFUNCTION("""COMPUTED_VALUE"""),0.3333333333333333)</f>
        <v>0.3333333333</v>
      </c>
      <c r="D3704" s="8">
        <f>IFERROR(__xludf.DUMMYFUNCTION("""COMPUTED_VALUE"""),0.107)</f>
        <v>0.107</v>
      </c>
      <c r="E3704" s="8" t="str">
        <f>IFERROR(__xludf.DUMMYFUNCTION("""COMPUTED_VALUE"""),"Real")</f>
        <v>Real</v>
      </c>
      <c r="G3704" s="8">
        <f t="shared" si="1"/>
        <v>4</v>
      </c>
      <c r="H3704" s="14">
        <f t="shared" si="2"/>
        <v>4</v>
      </c>
      <c r="I3704" s="15">
        <f t="shared" si="3"/>
        <v>8</v>
      </c>
    </row>
    <row r="3705">
      <c r="A3705" s="8" t="str">
        <f>IFERROR(__xludf.DUMMYFUNCTION("IF('(INGESTA)Datos_consumo_datadis'!A3705&lt;&gt;"""",SPLIT('(INGESTA)Datos_consumo_datadis'!A:A,"",""),"""")"),"ES0031408323131005HX0F")</f>
        <v>ES0031408323131005HX0F</v>
      </c>
      <c r="B3705" s="12">
        <f>IFERROR(__xludf.DUMMYFUNCTION("""COMPUTED_VALUE"""),45020.0)</f>
        <v>45020</v>
      </c>
      <c r="C3705" s="13">
        <f>IFERROR(__xludf.DUMMYFUNCTION("""COMPUTED_VALUE"""),0.375)</f>
        <v>0.375</v>
      </c>
      <c r="D3705" s="8">
        <f>IFERROR(__xludf.DUMMYFUNCTION("""COMPUTED_VALUE"""),0.771)</f>
        <v>0.771</v>
      </c>
      <c r="E3705" s="8" t="str">
        <f>IFERROR(__xludf.DUMMYFUNCTION("""COMPUTED_VALUE"""),"Real")</f>
        <v>Real</v>
      </c>
      <c r="G3705" s="8">
        <f t="shared" si="1"/>
        <v>4</v>
      </c>
      <c r="H3705" s="14">
        <f t="shared" si="2"/>
        <v>4</v>
      </c>
      <c r="I3705" s="15">
        <f t="shared" si="3"/>
        <v>9</v>
      </c>
    </row>
    <row r="3706">
      <c r="A3706" s="8" t="str">
        <f>IFERROR(__xludf.DUMMYFUNCTION("IF('(INGESTA)Datos_consumo_datadis'!A3706&lt;&gt;"""",SPLIT('(INGESTA)Datos_consumo_datadis'!A:A,"",""),"""")"),"ES0031408323131005HX0F")</f>
        <v>ES0031408323131005HX0F</v>
      </c>
      <c r="B3706" s="12">
        <f>IFERROR(__xludf.DUMMYFUNCTION("""COMPUTED_VALUE"""),45020.0)</f>
        <v>45020</v>
      </c>
      <c r="C3706" s="13">
        <f>IFERROR(__xludf.DUMMYFUNCTION("""COMPUTED_VALUE"""),0.4166666666666667)</f>
        <v>0.4166666667</v>
      </c>
      <c r="D3706" s="8">
        <f>IFERROR(__xludf.DUMMYFUNCTION("""COMPUTED_VALUE"""),0.213)</f>
        <v>0.213</v>
      </c>
      <c r="E3706" s="8" t="str">
        <f>IFERROR(__xludf.DUMMYFUNCTION("""COMPUTED_VALUE"""),"Real")</f>
        <v>Real</v>
      </c>
      <c r="G3706" s="8">
        <f t="shared" si="1"/>
        <v>4</v>
      </c>
      <c r="H3706" s="14">
        <f t="shared" si="2"/>
        <v>4</v>
      </c>
      <c r="I3706" s="15">
        <f t="shared" si="3"/>
        <v>10</v>
      </c>
    </row>
    <row r="3707">
      <c r="A3707" s="8" t="str">
        <f>IFERROR(__xludf.DUMMYFUNCTION("IF('(INGESTA)Datos_consumo_datadis'!A3707&lt;&gt;"""",SPLIT('(INGESTA)Datos_consumo_datadis'!A:A,"",""),"""")"),"ES0031408323131005HX0F")</f>
        <v>ES0031408323131005HX0F</v>
      </c>
      <c r="B3707" s="12">
        <f>IFERROR(__xludf.DUMMYFUNCTION("""COMPUTED_VALUE"""),45020.0)</f>
        <v>45020</v>
      </c>
      <c r="C3707" s="13">
        <f>IFERROR(__xludf.DUMMYFUNCTION("""COMPUTED_VALUE"""),0.4583333333333333)</f>
        <v>0.4583333333</v>
      </c>
      <c r="D3707" s="8">
        <f>IFERROR(__xludf.DUMMYFUNCTION("""COMPUTED_VALUE"""),0.093)</f>
        <v>0.093</v>
      </c>
      <c r="E3707" s="8" t="str">
        <f>IFERROR(__xludf.DUMMYFUNCTION("""COMPUTED_VALUE"""),"Real")</f>
        <v>Real</v>
      </c>
      <c r="G3707" s="8">
        <f t="shared" si="1"/>
        <v>4</v>
      </c>
      <c r="H3707" s="14">
        <f t="shared" si="2"/>
        <v>4</v>
      </c>
      <c r="I3707" s="15">
        <f t="shared" si="3"/>
        <v>11</v>
      </c>
    </row>
    <row r="3708">
      <c r="A3708" s="8" t="str">
        <f>IFERROR(__xludf.DUMMYFUNCTION("IF('(INGESTA)Datos_consumo_datadis'!A3708&lt;&gt;"""",SPLIT('(INGESTA)Datos_consumo_datadis'!A:A,"",""),"""")"),"ES0031408323131005HX0F")</f>
        <v>ES0031408323131005HX0F</v>
      </c>
      <c r="B3708" s="12">
        <f>IFERROR(__xludf.DUMMYFUNCTION("""COMPUTED_VALUE"""),45020.0)</f>
        <v>45020</v>
      </c>
      <c r="C3708" s="13">
        <f>IFERROR(__xludf.DUMMYFUNCTION("""COMPUTED_VALUE"""),0.5)</f>
        <v>0.5</v>
      </c>
      <c r="D3708" s="8">
        <f>IFERROR(__xludf.DUMMYFUNCTION("""COMPUTED_VALUE"""),0.088)</f>
        <v>0.088</v>
      </c>
      <c r="E3708" s="8" t="str">
        <f>IFERROR(__xludf.DUMMYFUNCTION("""COMPUTED_VALUE"""),"Real")</f>
        <v>Real</v>
      </c>
      <c r="G3708" s="8">
        <f t="shared" si="1"/>
        <v>4</v>
      </c>
      <c r="H3708" s="14">
        <f t="shared" si="2"/>
        <v>4</v>
      </c>
      <c r="I3708" s="15">
        <f t="shared" si="3"/>
        <v>12</v>
      </c>
    </row>
    <row r="3709">
      <c r="A3709" s="8" t="str">
        <f>IFERROR(__xludf.DUMMYFUNCTION("IF('(INGESTA)Datos_consumo_datadis'!A3709&lt;&gt;"""",SPLIT('(INGESTA)Datos_consumo_datadis'!A:A,"",""),"""")"),"ES0031408323131005HX0F")</f>
        <v>ES0031408323131005HX0F</v>
      </c>
      <c r="B3709" s="12">
        <f>IFERROR(__xludf.DUMMYFUNCTION("""COMPUTED_VALUE"""),45020.0)</f>
        <v>45020</v>
      </c>
      <c r="C3709" s="13">
        <f>IFERROR(__xludf.DUMMYFUNCTION("""COMPUTED_VALUE"""),0.5416666666666666)</f>
        <v>0.5416666667</v>
      </c>
      <c r="D3709" s="8">
        <f>IFERROR(__xludf.DUMMYFUNCTION("""COMPUTED_VALUE"""),0.308)</f>
        <v>0.308</v>
      </c>
      <c r="E3709" s="8" t="str">
        <f>IFERROR(__xludf.DUMMYFUNCTION("""COMPUTED_VALUE"""),"Real")</f>
        <v>Real</v>
      </c>
      <c r="G3709" s="8">
        <f t="shared" si="1"/>
        <v>4</v>
      </c>
      <c r="H3709" s="14">
        <f t="shared" si="2"/>
        <v>4</v>
      </c>
      <c r="I3709" s="15">
        <f t="shared" si="3"/>
        <v>13</v>
      </c>
    </row>
    <row r="3710">
      <c r="A3710" s="8" t="str">
        <f>IFERROR(__xludf.DUMMYFUNCTION("IF('(INGESTA)Datos_consumo_datadis'!A3710&lt;&gt;"""",SPLIT('(INGESTA)Datos_consumo_datadis'!A:A,"",""),"""")"),"ES0031408323131005HX0F")</f>
        <v>ES0031408323131005HX0F</v>
      </c>
      <c r="B3710" s="12">
        <f>IFERROR(__xludf.DUMMYFUNCTION("""COMPUTED_VALUE"""),45020.0)</f>
        <v>45020</v>
      </c>
      <c r="C3710" s="13">
        <f>IFERROR(__xludf.DUMMYFUNCTION("""COMPUTED_VALUE"""),0.5833333333333334)</f>
        <v>0.5833333333</v>
      </c>
      <c r="D3710" s="8">
        <f>IFERROR(__xludf.DUMMYFUNCTION("""COMPUTED_VALUE"""),0.058)</f>
        <v>0.058</v>
      </c>
      <c r="E3710" s="8" t="str">
        <f>IFERROR(__xludf.DUMMYFUNCTION("""COMPUTED_VALUE"""),"Real")</f>
        <v>Real</v>
      </c>
      <c r="G3710" s="8">
        <f t="shared" si="1"/>
        <v>4</v>
      </c>
      <c r="H3710" s="14">
        <f t="shared" si="2"/>
        <v>4</v>
      </c>
      <c r="I3710" s="15">
        <f t="shared" si="3"/>
        <v>14</v>
      </c>
    </row>
    <row r="3711">
      <c r="A3711" s="8" t="str">
        <f>IFERROR(__xludf.DUMMYFUNCTION("IF('(INGESTA)Datos_consumo_datadis'!A3711&lt;&gt;"""",SPLIT('(INGESTA)Datos_consumo_datadis'!A:A,"",""),"""")"),"ES0031408323131005HX0F")</f>
        <v>ES0031408323131005HX0F</v>
      </c>
      <c r="B3711" s="12">
        <f>IFERROR(__xludf.DUMMYFUNCTION("""COMPUTED_VALUE"""),45020.0)</f>
        <v>45020</v>
      </c>
      <c r="C3711" s="13">
        <f>IFERROR(__xludf.DUMMYFUNCTION("""COMPUTED_VALUE"""),0.625)</f>
        <v>0.625</v>
      </c>
      <c r="D3711" s="8">
        <f>IFERROR(__xludf.DUMMYFUNCTION("""COMPUTED_VALUE"""),0.015)</f>
        <v>0.015</v>
      </c>
      <c r="E3711" s="8" t="str">
        <f>IFERROR(__xludf.DUMMYFUNCTION("""COMPUTED_VALUE"""),"Real")</f>
        <v>Real</v>
      </c>
      <c r="G3711" s="8">
        <f t="shared" si="1"/>
        <v>4</v>
      </c>
      <c r="H3711" s="14">
        <f t="shared" si="2"/>
        <v>4</v>
      </c>
      <c r="I3711" s="15">
        <f t="shared" si="3"/>
        <v>15</v>
      </c>
    </row>
    <row r="3712">
      <c r="A3712" s="8" t="str">
        <f>IFERROR(__xludf.DUMMYFUNCTION("IF('(INGESTA)Datos_consumo_datadis'!A3712&lt;&gt;"""",SPLIT('(INGESTA)Datos_consumo_datadis'!A:A,"",""),"""")"),"ES0031408323131005HX0F")</f>
        <v>ES0031408323131005HX0F</v>
      </c>
      <c r="B3712" s="12">
        <f>IFERROR(__xludf.DUMMYFUNCTION("""COMPUTED_VALUE"""),45020.0)</f>
        <v>45020</v>
      </c>
      <c r="C3712" s="13">
        <f>IFERROR(__xludf.DUMMYFUNCTION("""COMPUTED_VALUE"""),0.6666666666666666)</f>
        <v>0.6666666667</v>
      </c>
      <c r="D3712" s="8">
        <f>IFERROR(__xludf.DUMMYFUNCTION("""COMPUTED_VALUE"""),0.084)</f>
        <v>0.084</v>
      </c>
      <c r="E3712" s="8" t="str">
        <f>IFERROR(__xludf.DUMMYFUNCTION("""COMPUTED_VALUE"""),"Real")</f>
        <v>Real</v>
      </c>
      <c r="G3712" s="8">
        <f t="shared" si="1"/>
        <v>4</v>
      </c>
      <c r="H3712" s="14">
        <f t="shared" si="2"/>
        <v>4</v>
      </c>
      <c r="I3712" s="15">
        <f t="shared" si="3"/>
        <v>16</v>
      </c>
    </row>
    <row r="3713">
      <c r="A3713" s="8" t="str">
        <f>IFERROR(__xludf.DUMMYFUNCTION("IF('(INGESTA)Datos_consumo_datadis'!A3713&lt;&gt;"""",SPLIT('(INGESTA)Datos_consumo_datadis'!A:A,"",""),"""")"),"ES0031408323131005HX0F")</f>
        <v>ES0031408323131005HX0F</v>
      </c>
      <c r="B3713" s="12">
        <f>IFERROR(__xludf.DUMMYFUNCTION("""COMPUTED_VALUE"""),45020.0)</f>
        <v>45020</v>
      </c>
      <c r="C3713" s="13">
        <f>IFERROR(__xludf.DUMMYFUNCTION("""COMPUTED_VALUE"""),0.7083333333333334)</f>
        <v>0.7083333333</v>
      </c>
      <c r="D3713" s="8">
        <f>IFERROR(__xludf.DUMMYFUNCTION("""COMPUTED_VALUE"""),0.055)</f>
        <v>0.055</v>
      </c>
      <c r="E3713" s="8" t="str">
        <f>IFERROR(__xludf.DUMMYFUNCTION("""COMPUTED_VALUE"""),"Real")</f>
        <v>Real</v>
      </c>
      <c r="G3713" s="8">
        <f t="shared" si="1"/>
        <v>4</v>
      </c>
      <c r="H3713" s="14">
        <f t="shared" si="2"/>
        <v>4</v>
      </c>
      <c r="I3713" s="15">
        <f t="shared" si="3"/>
        <v>17</v>
      </c>
    </row>
    <row r="3714">
      <c r="A3714" s="8" t="str">
        <f>IFERROR(__xludf.DUMMYFUNCTION("IF('(INGESTA)Datos_consumo_datadis'!A3714&lt;&gt;"""",SPLIT('(INGESTA)Datos_consumo_datadis'!A:A,"",""),"""")"),"ES0031408323131005HX0F")</f>
        <v>ES0031408323131005HX0F</v>
      </c>
      <c r="B3714" s="12">
        <f>IFERROR(__xludf.DUMMYFUNCTION("""COMPUTED_VALUE"""),45020.0)</f>
        <v>45020</v>
      </c>
      <c r="C3714" s="13">
        <f>IFERROR(__xludf.DUMMYFUNCTION("""COMPUTED_VALUE"""),0.75)</f>
        <v>0.75</v>
      </c>
      <c r="D3714" s="8">
        <f>IFERROR(__xludf.DUMMYFUNCTION("""COMPUTED_VALUE"""),0.016)</f>
        <v>0.016</v>
      </c>
      <c r="E3714" s="8" t="str">
        <f>IFERROR(__xludf.DUMMYFUNCTION("""COMPUTED_VALUE"""),"Real")</f>
        <v>Real</v>
      </c>
      <c r="G3714" s="8">
        <f t="shared" si="1"/>
        <v>4</v>
      </c>
      <c r="H3714" s="14">
        <f t="shared" si="2"/>
        <v>4</v>
      </c>
      <c r="I3714" s="15">
        <f t="shared" si="3"/>
        <v>18</v>
      </c>
    </row>
    <row r="3715">
      <c r="A3715" s="8" t="str">
        <f>IFERROR(__xludf.DUMMYFUNCTION("IF('(INGESTA)Datos_consumo_datadis'!A3715&lt;&gt;"""",SPLIT('(INGESTA)Datos_consumo_datadis'!A:A,"",""),"""")"),"ES0031408323131005HX0F")</f>
        <v>ES0031408323131005HX0F</v>
      </c>
      <c r="B3715" s="12">
        <f>IFERROR(__xludf.DUMMYFUNCTION("""COMPUTED_VALUE"""),45020.0)</f>
        <v>45020</v>
      </c>
      <c r="C3715" s="13">
        <f>IFERROR(__xludf.DUMMYFUNCTION("""COMPUTED_VALUE"""),0.7916666666666666)</f>
        <v>0.7916666667</v>
      </c>
      <c r="D3715" s="8">
        <f>IFERROR(__xludf.DUMMYFUNCTION("""COMPUTED_VALUE"""),0.456)</f>
        <v>0.456</v>
      </c>
      <c r="E3715" s="8" t="str">
        <f>IFERROR(__xludf.DUMMYFUNCTION("""COMPUTED_VALUE"""),"Real")</f>
        <v>Real</v>
      </c>
      <c r="G3715" s="8">
        <f t="shared" si="1"/>
        <v>4</v>
      </c>
      <c r="H3715" s="14">
        <f t="shared" si="2"/>
        <v>4</v>
      </c>
      <c r="I3715" s="15">
        <f t="shared" si="3"/>
        <v>19</v>
      </c>
    </row>
    <row r="3716">
      <c r="A3716" s="8" t="str">
        <f>IFERROR(__xludf.DUMMYFUNCTION("IF('(INGESTA)Datos_consumo_datadis'!A3716&lt;&gt;"""",SPLIT('(INGESTA)Datos_consumo_datadis'!A:A,"",""),"""")"),"ES0031408323131005HX0F")</f>
        <v>ES0031408323131005HX0F</v>
      </c>
      <c r="B3716" s="12">
        <f>IFERROR(__xludf.DUMMYFUNCTION("""COMPUTED_VALUE"""),45020.0)</f>
        <v>45020</v>
      </c>
      <c r="C3716" s="13">
        <f>IFERROR(__xludf.DUMMYFUNCTION("""COMPUTED_VALUE"""),0.8333333333333334)</f>
        <v>0.8333333333</v>
      </c>
      <c r="D3716" s="8">
        <f>IFERROR(__xludf.DUMMYFUNCTION("""COMPUTED_VALUE"""),0.252)</f>
        <v>0.252</v>
      </c>
      <c r="E3716" s="8" t="str">
        <f>IFERROR(__xludf.DUMMYFUNCTION("""COMPUTED_VALUE"""),"Real")</f>
        <v>Real</v>
      </c>
      <c r="G3716" s="8">
        <f t="shared" si="1"/>
        <v>4</v>
      </c>
      <c r="H3716" s="14">
        <f t="shared" si="2"/>
        <v>4</v>
      </c>
      <c r="I3716" s="15">
        <f t="shared" si="3"/>
        <v>20</v>
      </c>
    </row>
    <row r="3717">
      <c r="A3717" s="8" t="str">
        <f>IFERROR(__xludf.DUMMYFUNCTION("IF('(INGESTA)Datos_consumo_datadis'!A3717&lt;&gt;"""",SPLIT('(INGESTA)Datos_consumo_datadis'!A:A,"",""),"""")"),"ES0031408323131005HX0F")</f>
        <v>ES0031408323131005HX0F</v>
      </c>
      <c r="B3717" s="12">
        <f>IFERROR(__xludf.DUMMYFUNCTION("""COMPUTED_VALUE"""),45020.0)</f>
        <v>45020</v>
      </c>
      <c r="C3717" s="13">
        <f>IFERROR(__xludf.DUMMYFUNCTION("""COMPUTED_VALUE"""),0.875)</f>
        <v>0.875</v>
      </c>
      <c r="D3717" s="8">
        <f>IFERROR(__xludf.DUMMYFUNCTION("""COMPUTED_VALUE"""),0.751)</f>
        <v>0.751</v>
      </c>
      <c r="E3717" s="8" t="str">
        <f>IFERROR(__xludf.DUMMYFUNCTION("""COMPUTED_VALUE"""),"Real")</f>
        <v>Real</v>
      </c>
      <c r="G3717" s="8">
        <f t="shared" si="1"/>
        <v>4</v>
      </c>
      <c r="H3717" s="14">
        <f t="shared" si="2"/>
        <v>4</v>
      </c>
      <c r="I3717" s="15">
        <f t="shared" si="3"/>
        <v>21</v>
      </c>
    </row>
    <row r="3718">
      <c r="A3718" s="8" t="str">
        <f>IFERROR(__xludf.DUMMYFUNCTION("IF('(INGESTA)Datos_consumo_datadis'!A3718&lt;&gt;"""",SPLIT('(INGESTA)Datos_consumo_datadis'!A:A,"",""),"""")"),"ES0031408323131005HX0F")</f>
        <v>ES0031408323131005HX0F</v>
      </c>
      <c r="B3718" s="12">
        <f>IFERROR(__xludf.DUMMYFUNCTION("""COMPUTED_VALUE"""),45020.0)</f>
        <v>45020</v>
      </c>
      <c r="C3718" s="13">
        <f>IFERROR(__xludf.DUMMYFUNCTION("""COMPUTED_VALUE"""),0.9166666666666666)</f>
        <v>0.9166666667</v>
      </c>
      <c r="D3718" s="8">
        <f>IFERROR(__xludf.DUMMYFUNCTION("""COMPUTED_VALUE"""),0.986)</f>
        <v>0.986</v>
      </c>
      <c r="E3718" s="8" t="str">
        <f>IFERROR(__xludf.DUMMYFUNCTION("""COMPUTED_VALUE"""),"Real")</f>
        <v>Real</v>
      </c>
      <c r="G3718" s="8">
        <f t="shared" si="1"/>
        <v>4</v>
      </c>
      <c r="H3718" s="14">
        <f t="shared" si="2"/>
        <v>4</v>
      </c>
      <c r="I3718" s="15">
        <f t="shared" si="3"/>
        <v>22</v>
      </c>
    </row>
    <row r="3719">
      <c r="A3719" s="8" t="str">
        <f>IFERROR(__xludf.DUMMYFUNCTION("IF('(INGESTA)Datos_consumo_datadis'!A3719&lt;&gt;"""",SPLIT('(INGESTA)Datos_consumo_datadis'!A:A,"",""),"""")"),"ES0031408323131005HX0F")</f>
        <v>ES0031408323131005HX0F</v>
      </c>
      <c r="B3719" s="12">
        <f>IFERROR(__xludf.DUMMYFUNCTION("""COMPUTED_VALUE"""),45020.0)</f>
        <v>45020</v>
      </c>
      <c r="C3719" s="13">
        <f>IFERROR(__xludf.DUMMYFUNCTION("""COMPUTED_VALUE"""),0.9583333333333334)</f>
        <v>0.9583333333</v>
      </c>
      <c r="D3719" s="8">
        <f>IFERROR(__xludf.DUMMYFUNCTION("""COMPUTED_VALUE"""),0.543)</f>
        <v>0.543</v>
      </c>
      <c r="E3719" s="8" t="str">
        <f>IFERROR(__xludf.DUMMYFUNCTION("""COMPUTED_VALUE"""),"Real")</f>
        <v>Real</v>
      </c>
      <c r="G3719" s="8">
        <f t="shared" si="1"/>
        <v>4</v>
      </c>
      <c r="H3719" s="14">
        <f t="shared" si="2"/>
        <v>4</v>
      </c>
      <c r="I3719" s="15">
        <f t="shared" si="3"/>
        <v>23</v>
      </c>
    </row>
    <row r="3720">
      <c r="A3720" s="8" t="str">
        <f>IFERROR(__xludf.DUMMYFUNCTION("IF('(INGESTA)Datos_consumo_datadis'!A3720&lt;&gt;"""",SPLIT('(INGESTA)Datos_consumo_datadis'!A:A,"",""),"""")"),"ES0031408323131005HX0F")</f>
        <v>ES0031408323131005HX0F</v>
      </c>
      <c r="B3720" s="12">
        <f>IFERROR(__xludf.DUMMYFUNCTION("""COMPUTED_VALUE"""),45020.0)</f>
        <v>45020</v>
      </c>
      <c r="C3720" s="16">
        <f>IFERROR(__xludf.DUMMYFUNCTION("""COMPUTED_VALUE"""),1.0)</f>
        <v>1</v>
      </c>
      <c r="D3720" s="8">
        <f>IFERROR(__xludf.DUMMYFUNCTION("""COMPUTED_VALUE"""),1.158)</f>
        <v>1.158</v>
      </c>
      <c r="E3720" s="8" t="str">
        <f>IFERROR(__xludf.DUMMYFUNCTION("""COMPUTED_VALUE"""),"Real")</f>
        <v>Real</v>
      </c>
      <c r="G3720" s="8">
        <f t="shared" si="1"/>
        <v>4</v>
      </c>
      <c r="H3720" s="14">
        <f t="shared" si="2"/>
        <v>4</v>
      </c>
      <c r="I3720" s="15">
        <f t="shared" si="3"/>
        <v>0</v>
      </c>
    </row>
    <row r="3721">
      <c r="A3721" s="8" t="str">
        <f>IFERROR(__xludf.DUMMYFUNCTION("IF('(INGESTA)Datos_consumo_datadis'!A3721&lt;&gt;"""",SPLIT('(INGESTA)Datos_consumo_datadis'!A:A,"",""),"""")"),"ES0031408323131005HX0F")</f>
        <v>ES0031408323131005HX0F</v>
      </c>
      <c r="B3721" s="12">
        <f>IFERROR(__xludf.DUMMYFUNCTION("""COMPUTED_VALUE"""),45021.0)</f>
        <v>45021</v>
      </c>
      <c r="C3721" s="13">
        <f>IFERROR(__xludf.DUMMYFUNCTION("""COMPUTED_VALUE"""),0.041666666666666664)</f>
        <v>0.04166666667</v>
      </c>
      <c r="D3721" s="8">
        <f>IFERROR(__xludf.DUMMYFUNCTION("""COMPUTED_VALUE"""),0.107)</f>
        <v>0.107</v>
      </c>
      <c r="E3721" s="8" t="str">
        <f>IFERROR(__xludf.DUMMYFUNCTION("""COMPUTED_VALUE"""),"Real")</f>
        <v>Real</v>
      </c>
      <c r="G3721" s="8">
        <f t="shared" si="1"/>
        <v>4</v>
      </c>
      <c r="H3721" s="14">
        <f t="shared" si="2"/>
        <v>5</v>
      </c>
      <c r="I3721" s="15">
        <f t="shared" si="3"/>
        <v>1</v>
      </c>
    </row>
    <row r="3722">
      <c r="A3722" s="8" t="str">
        <f>IFERROR(__xludf.DUMMYFUNCTION("IF('(INGESTA)Datos_consumo_datadis'!A3722&lt;&gt;"""",SPLIT('(INGESTA)Datos_consumo_datadis'!A:A,"",""),"""")"),"ES0031408323131005HX0F")</f>
        <v>ES0031408323131005HX0F</v>
      </c>
      <c r="B3722" s="12">
        <f>IFERROR(__xludf.DUMMYFUNCTION("""COMPUTED_VALUE"""),45021.0)</f>
        <v>45021</v>
      </c>
      <c r="C3722" s="13">
        <f>IFERROR(__xludf.DUMMYFUNCTION("""COMPUTED_VALUE"""),0.08333333333333333)</f>
        <v>0.08333333333</v>
      </c>
      <c r="D3722" s="8">
        <f>IFERROR(__xludf.DUMMYFUNCTION("""COMPUTED_VALUE"""),0.069)</f>
        <v>0.069</v>
      </c>
      <c r="E3722" s="8" t="str">
        <f>IFERROR(__xludf.DUMMYFUNCTION("""COMPUTED_VALUE"""),"Real")</f>
        <v>Real</v>
      </c>
      <c r="G3722" s="8">
        <f t="shared" si="1"/>
        <v>4</v>
      </c>
      <c r="H3722" s="14">
        <f t="shared" si="2"/>
        <v>5</v>
      </c>
      <c r="I3722" s="15">
        <f t="shared" si="3"/>
        <v>2</v>
      </c>
    </row>
    <row r="3723">
      <c r="A3723" s="8" t="str">
        <f>IFERROR(__xludf.DUMMYFUNCTION("IF('(INGESTA)Datos_consumo_datadis'!A3723&lt;&gt;"""",SPLIT('(INGESTA)Datos_consumo_datadis'!A:A,"",""),"""")"),"ES0031408323131005HX0F")</f>
        <v>ES0031408323131005HX0F</v>
      </c>
      <c r="B3723" s="12">
        <f>IFERROR(__xludf.DUMMYFUNCTION("""COMPUTED_VALUE"""),45021.0)</f>
        <v>45021</v>
      </c>
      <c r="C3723" s="13">
        <f>IFERROR(__xludf.DUMMYFUNCTION("""COMPUTED_VALUE"""),0.125)</f>
        <v>0.125</v>
      </c>
      <c r="D3723" s="8">
        <f>IFERROR(__xludf.DUMMYFUNCTION("""COMPUTED_VALUE"""),0.044)</f>
        <v>0.044</v>
      </c>
      <c r="E3723" s="8" t="str">
        <f>IFERROR(__xludf.DUMMYFUNCTION("""COMPUTED_VALUE"""),"Real")</f>
        <v>Real</v>
      </c>
      <c r="G3723" s="8">
        <f t="shared" si="1"/>
        <v>4</v>
      </c>
      <c r="H3723" s="14">
        <f t="shared" si="2"/>
        <v>5</v>
      </c>
      <c r="I3723" s="15">
        <f t="shared" si="3"/>
        <v>3</v>
      </c>
    </row>
    <row r="3724">
      <c r="A3724" s="8" t="str">
        <f>IFERROR(__xludf.DUMMYFUNCTION("IF('(INGESTA)Datos_consumo_datadis'!A3724&lt;&gt;"""",SPLIT('(INGESTA)Datos_consumo_datadis'!A:A,"",""),"""")"),"ES0031408323131005HX0F")</f>
        <v>ES0031408323131005HX0F</v>
      </c>
      <c r="B3724" s="12">
        <f>IFERROR(__xludf.DUMMYFUNCTION("""COMPUTED_VALUE"""),45021.0)</f>
        <v>45021</v>
      </c>
      <c r="C3724" s="13">
        <f>IFERROR(__xludf.DUMMYFUNCTION("""COMPUTED_VALUE"""),0.16666666666666666)</f>
        <v>0.1666666667</v>
      </c>
      <c r="D3724" s="8">
        <f>IFERROR(__xludf.DUMMYFUNCTION("""COMPUTED_VALUE"""),0.064)</f>
        <v>0.064</v>
      </c>
      <c r="E3724" s="8" t="str">
        <f>IFERROR(__xludf.DUMMYFUNCTION("""COMPUTED_VALUE"""),"Real")</f>
        <v>Real</v>
      </c>
      <c r="G3724" s="8">
        <f t="shared" si="1"/>
        <v>4</v>
      </c>
      <c r="H3724" s="14">
        <f t="shared" si="2"/>
        <v>5</v>
      </c>
      <c r="I3724" s="15">
        <f t="shared" si="3"/>
        <v>4</v>
      </c>
    </row>
    <row r="3725">
      <c r="A3725" s="8" t="str">
        <f>IFERROR(__xludf.DUMMYFUNCTION("IF('(INGESTA)Datos_consumo_datadis'!A3725&lt;&gt;"""",SPLIT('(INGESTA)Datos_consumo_datadis'!A:A,"",""),"""")"),"ES0031408323131005HX0F")</f>
        <v>ES0031408323131005HX0F</v>
      </c>
      <c r="B3725" s="12">
        <f>IFERROR(__xludf.DUMMYFUNCTION("""COMPUTED_VALUE"""),45021.0)</f>
        <v>45021</v>
      </c>
      <c r="C3725" s="13">
        <f>IFERROR(__xludf.DUMMYFUNCTION("""COMPUTED_VALUE"""),0.20833333333333334)</f>
        <v>0.2083333333</v>
      </c>
      <c r="D3725" s="8">
        <f>IFERROR(__xludf.DUMMYFUNCTION("""COMPUTED_VALUE"""),0.351)</f>
        <v>0.351</v>
      </c>
      <c r="E3725" s="8" t="str">
        <f>IFERROR(__xludf.DUMMYFUNCTION("""COMPUTED_VALUE"""),"Real")</f>
        <v>Real</v>
      </c>
      <c r="G3725" s="8">
        <f t="shared" si="1"/>
        <v>4</v>
      </c>
      <c r="H3725" s="14">
        <f t="shared" si="2"/>
        <v>5</v>
      </c>
      <c r="I3725" s="15">
        <f t="shared" si="3"/>
        <v>5</v>
      </c>
    </row>
    <row r="3726">
      <c r="A3726" s="8" t="str">
        <f>IFERROR(__xludf.DUMMYFUNCTION("IF('(INGESTA)Datos_consumo_datadis'!A3726&lt;&gt;"""",SPLIT('(INGESTA)Datos_consumo_datadis'!A:A,"",""),"""")"),"ES0031408323131005HX0F")</f>
        <v>ES0031408323131005HX0F</v>
      </c>
      <c r="B3726" s="12">
        <f>IFERROR(__xludf.DUMMYFUNCTION("""COMPUTED_VALUE"""),45021.0)</f>
        <v>45021</v>
      </c>
      <c r="C3726" s="13">
        <f>IFERROR(__xludf.DUMMYFUNCTION("""COMPUTED_VALUE"""),0.25)</f>
        <v>0.25</v>
      </c>
      <c r="D3726" s="8">
        <f>IFERROR(__xludf.DUMMYFUNCTION("""COMPUTED_VALUE"""),0.066)</f>
        <v>0.066</v>
      </c>
      <c r="E3726" s="8" t="str">
        <f>IFERROR(__xludf.DUMMYFUNCTION("""COMPUTED_VALUE"""),"Real")</f>
        <v>Real</v>
      </c>
      <c r="G3726" s="8">
        <f t="shared" si="1"/>
        <v>4</v>
      </c>
      <c r="H3726" s="14">
        <f t="shared" si="2"/>
        <v>5</v>
      </c>
      <c r="I3726" s="15">
        <f t="shared" si="3"/>
        <v>6</v>
      </c>
    </row>
    <row r="3727">
      <c r="A3727" s="8" t="str">
        <f>IFERROR(__xludf.DUMMYFUNCTION("IF('(INGESTA)Datos_consumo_datadis'!A3727&lt;&gt;"""",SPLIT('(INGESTA)Datos_consumo_datadis'!A:A,"",""),"""")"),"ES0031408323131005HX0F")</f>
        <v>ES0031408323131005HX0F</v>
      </c>
      <c r="B3727" s="12">
        <f>IFERROR(__xludf.DUMMYFUNCTION("""COMPUTED_VALUE"""),45021.0)</f>
        <v>45021</v>
      </c>
      <c r="C3727" s="13">
        <f>IFERROR(__xludf.DUMMYFUNCTION("""COMPUTED_VALUE"""),0.2916666666666667)</f>
        <v>0.2916666667</v>
      </c>
      <c r="D3727" s="8">
        <f>IFERROR(__xludf.DUMMYFUNCTION("""COMPUTED_VALUE"""),0.019)</f>
        <v>0.019</v>
      </c>
      <c r="E3727" s="8" t="str">
        <f>IFERROR(__xludf.DUMMYFUNCTION("""COMPUTED_VALUE"""),"Real")</f>
        <v>Real</v>
      </c>
      <c r="G3727" s="8">
        <f t="shared" si="1"/>
        <v>4</v>
      </c>
      <c r="H3727" s="14">
        <f t="shared" si="2"/>
        <v>5</v>
      </c>
      <c r="I3727" s="15">
        <f t="shared" si="3"/>
        <v>7</v>
      </c>
    </row>
    <row r="3728">
      <c r="A3728" s="8" t="str">
        <f>IFERROR(__xludf.DUMMYFUNCTION("IF('(INGESTA)Datos_consumo_datadis'!A3728&lt;&gt;"""",SPLIT('(INGESTA)Datos_consumo_datadis'!A:A,"",""),"""")"),"ES0031408323131005HX0F")</f>
        <v>ES0031408323131005HX0F</v>
      </c>
      <c r="B3728" s="12">
        <f>IFERROR(__xludf.DUMMYFUNCTION("""COMPUTED_VALUE"""),45021.0)</f>
        <v>45021</v>
      </c>
      <c r="C3728" s="13">
        <f>IFERROR(__xludf.DUMMYFUNCTION("""COMPUTED_VALUE"""),0.3333333333333333)</f>
        <v>0.3333333333</v>
      </c>
      <c r="D3728" s="8">
        <f>IFERROR(__xludf.DUMMYFUNCTION("""COMPUTED_VALUE"""),0.098)</f>
        <v>0.098</v>
      </c>
      <c r="E3728" s="8" t="str">
        <f>IFERROR(__xludf.DUMMYFUNCTION("""COMPUTED_VALUE"""),"Real")</f>
        <v>Real</v>
      </c>
      <c r="G3728" s="8">
        <f t="shared" si="1"/>
        <v>4</v>
      </c>
      <c r="H3728" s="14">
        <f t="shared" si="2"/>
        <v>5</v>
      </c>
      <c r="I3728" s="15">
        <f t="shared" si="3"/>
        <v>8</v>
      </c>
    </row>
    <row r="3729">
      <c r="A3729" s="8" t="str">
        <f>IFERROR(__xludf.DUMMYFUNCTION("IF('(INGESTA)Datos_consumo_datadis'!A3729&lt;&gt;"""",SPLIT('(INGESTA)Datos_consumo_datadis'!A:A,"",""),"""")"),"ES0031408323131005HX0F")</f>
        <v>ES0031408323131005HX0F</v>
      </c>
      <c r="B3729" s="12">
        <f>IFERROR(__xludf.DUMMYFUNCTION("""COMPUTED_VALUE"""),45021.0)</f>
        <v>45021</v>
      </c>
      <c r="C3729" s="13">
        <f>IFERROR(__xludf.DUMMYFUNCTION("""COMPUTED_VALUE"""),0.375)</f>
        <v>0.375</v>
      </c>
      <c r="D3729" s="8">
        <f>IFERROR(__xludf.DUMMYFUNCTION("""COMPUTED_VALUE"""),0.734)</f>
        <v>0.734</v>
      </c>
      <c r="E3729" s="8" t="str">
        <f>IFERROR(__xludf.DUMMYFUNCTION("""COMPUTED_VALUE"""),"Real")</f>
        <v>Real</v>
      </c>
      <c r="G3729" s="8">
        <f t="shared" si="1"/>
        <v>4</v>
      </c>
      <c r="H3729" s="14">
        <f t="shared" si="2"/>
        <v>5</v>
      </c>
      <c r="I3729" s="15">
        <f t="shared" si="3"/>
        <v>9</v>
      </c>
    </row>
    <row r="3730">
      <c r="A3730" s="8" t="str">
        <f>IFERROR(__xludf.DUMMYFUNCTION("IF('(INGESTA)Datos_consumo_datadis'!A3730&lt;&gt;"""",SPLIT('(INGESTA)Datos_consumo_datadis'!A:A,"",""),"""")"),"ES0031408323131005HX0F")</f>
        <v>ES0031408323131005HX0F</v>
      </c>
      <c r="B3730" s="12">
        <f>IFERROR(__xludf.DUMMYFUNCTION("""COMPUTED_VALUE"""),45021.0)</f>
        <v>45021</v>
      </c>
      <c r="C3730" s="13">
        <f>IFERROR(__xludf.DUMMYFUNCTION("""COMPUTED_VALUE"""),0.4166666666666667)</f>
        <v>0.4166666667</v>
      </c>
      <c r="D3730" s="8">
        <f>IFERROR(__xludf.DUMMYFUNCTION("""COMPUTED_VALUE"""),0.051)</f>
        <v>0.051</v>
      </c>
      <c r="E3730" s="8" t="str">
        <f>IFERROR(__xludf.DUMMYFUNCTION("""COMPUTED_VALUE"""),"Real")</f>
        <v>Real</v>
      </c>
      <c r="G3730" s="8">
        <f t="shared" si="1"/>
        <v>4</v>
      </c>
      <c r="H3730" s="14">
        <f t="shared" si="2"/>
        <v>5</v>
      </c>
      <c r="I3730" s="15">
        <f t="shared" si="3"/>
        <v>10</v>
      </c>
    </row>
    <row r="3731">
      <c r="A3731" s="8" t="str">
        <f>IFERROR(__xludf.DUMMYFUNCTION("IF('(INGESTA)Datos_consumo_datadis'!A3731&lt;&gt;"""",SPLIT('(INGESTA)Datos_consumo_datadis'!A:A,"",""),"""")"),"ES0031408323131005HX0F")</f>
        <v>ES0031408323131005HX0F</v>
      </c>
      <c r="B3731" s="12">
        <f>IFERROR(__xludf.DUMMYFUNCTION("""COMPUTED_VALUE"""),45021.0)</f>
        <v>45021</v>
      </c>
      <c r="C3731" s="13">
        <f>IFERROR(__xludf.DUMMYFUNCTION("""COMPUTED_VALUE"""),0.4583333333333333)</f>
        <v>0.4583333333</v>
      </c>
      <c r="D3731" s="8">
        <f>IFERROR(__xludf.DUMMYFUNCTION("""COMPUTED_VALUE"""),0.033)</f>
        <v>0.033</v>
      </c>
      <c r="E3731" s="8" t="str">
        <f>IFERROR(__xludf.DUMMYFUNCTION("""COMPUTED_VALUE"""),"Real")</f>
        <v>Real</v>
      </c>
      <c r="G3731" s="8">
        <f t="shared" si="1"/>
        <v>4</v>
      </c>
      <c r="H3731" s="14">
        <f t="shared" si="2"/>
        <v>5</v>
      </c>
      <c r="I3731" s="15">
        <f t="shared" si="3"/>
        <v>11</v>
      </c>
    </row>
    <row r="3732">
      <c r="A3732" s="8" t="str">
        <f>IFERROR(__xludf.DUMMYFUNCTION("IF('(INGESTA)Datos_consumo_datadis'!A3732&lt;&gt;"""",SPLIT('(INGESTA)Datos_consumo_datadis'!A:A,"",""),"""")"),"ES0031408323131005HX0F")</f>
        <v>ES0031408323131005HX0F</v>
      </c>
      <c r="B3732" s="12">
        <f>IFERROR(__xludf.DUMMYFUNCTION("""COMPUTED_VALUE"""),45021.0)</f>
        <v>45021</v>
      </c>
      <c r="C3732" s="13">
        <f>IFERROR(__xludf.DUMMYFUNCTION("""COMPUTED_VALUE"""),0.5)</f>
        <v>0.5</v>
      </c>
      <c r="D3732" s="8">
        <f>IFERROR(__xludf.DUMMYFUNCTION("""COMPUTED_VALUE"""),0.079)</f>
        <v>0.079</v>
      </c>
      <c r="E3732" s="8" t="str">
        <f>IFERROR(__xludf.DUMMYFUNCTION("""COMPUTED_VALUE"""),"Real")</f>
        <v>Real</v>
      </c>
      <c r="G3732" s="8">
        <f t="shared" si="1"/>
        <v>4</v>
      </c>
      <c r="H3732" s="14">
        <f t="shared" si="2"/>
        <v>5</v>
      </c>
      <c r="I3732" s="15">
        <f t="shared" si="3"/>
        <v>12</v>
      </c>
    </row>
    <row r="3733">
      <c r="A3733" s="8" t="str">
        <f>IFERROR(__xludf.DUMMYFUNCTION("IF('(INGESTA)Datos_consumo_datadis'!A3733&lt;&gt;"""",SPLIT('(INGESTA)Datos_consumo_datadis'!A:A,"",""),"""")"),"ES0031408323131005HX0F")</f>
        <v>ES0031408323131005HX0F</v>
      </c>
      <c r="B3733" s="12">
        <f>IFERROR(__xludf.DUMMYFUNCTION("""COMPUTED_VALUE"""),45021.0)</f>
        <v>45021</v>
      </c>
      <c r="C3733" s="13">
        <f>IFERROR(__xludf.DUMMYFUNCTION("""COMPUTED_VALUE"""),0.5416666666666666)</f>
        <v>0.5416666667</v>
      </c>
      <c r="D3733" s="8">
        <f>IFERROR(__xludf.DUMMYFUNCTION("""COMPUTED_VALUE"""),0.058)</f>
        <v>0.058</v>
      </c>
      <c r="E3733" s="8" t="str">
        <f>IFERROR(__xludf.DUMMYFUNCTION("""COMPUTED_VALUE"""),"Real")</f>
        <v>Real</v>
      </c>
      <c r="G3733" s="8">
        <f t="shared" si="1"/>
        <v>4</v>
      </c>
      <c r="H3733" s="14">
        <f t="shared" si="2"/>
        <v>5</v>
      </c>
      <c r="I3733" s="15">
        <f t="shared" si="3"/>
        <v>13</v>
      </c>
    </row>
    <row r="3734">
      <c r="A3734" s="8" t="str">
        <f>IFERROR(__xludf.DUMMYFUNCTION("IF('(INGESTA)Datos_consumo_datadis'!A3734&lt;&gt;"""",SPLIT('(INGESTA)Datos_consumo_datadis'!A:A,"",""),"""")"),"ES0031408323131005HX0F")</f>
        <v>ES0031408323131005HX0F</v>
      </c>
      <c r="B3734" s="12">
        <f>IFERROR(__xludf.DUMMYFUNCTION("""COMPUTED_VALUE"""),45021.0)</f>
        <v>45021</v>
      </c>
      <c r="C3734" s="13">
        <f>IFERROR(__xludf.DUMMYFUNCTION("""COMPUTED_VALUE"""),0.5833333333333334)</f>
        <v>0.5833333333</v>
      </c>
      <c r="D3734" s="8">
        <f>IFERROR(__xludf.DUMMYFUNCTION("""COMPUTED_VALUE"""),0.28)</f>
        <v>0.28</v>
      </c>
      <c r="E3734" s="8" t="str">
        <f>IFERROR(__xludf.DUMMYFUNCTION("""COMPUTED_VALUE"""),"Real")</f>
        <v>Real</v>
      </c>
      <c r="G3734" s="8">
        <f t="shared" si="1"/>
        <v>4</v>
      </c>
      <c r="H3734" s="14">
        <f t="shared" si="2"/>
        <v>5</v>
      </c>
      <c r="I3734" s="15">
        <f t="shared" si="3"/>
        <v>14</v>
      </c>
    </row>
    <row r="3735">
      <c r="A3735" s="8" t="str">
        <f>IFERROR(__xludf.DUMMYFUNCTION("IF('(INGESTA)Datos_consumo_datadis'!A3735&lt;&gt;"""",SPLIT('(INGESTA)Datos_consumo_datadis'!A:A,"",""),"""")"),"ES0031408323131005HX0F")</f>
        <v>ES0031408323131005HX0F</v>
      </c>
      <c r="B3735" s="12">
        <f>IFERROR(__xludf.DUMMYFUNCTION("""COMPUTED_VALUE"""),45021.0)</f>
        <v>45021</v>
      </c>
      <c r="C3735" s="13">
        <f>IFERROR(__xludf.DUMMYFUNCTION("""COMPUTED_VALUE"""),0.625)</f>
        <v>0.625</v>
      </c>
      <c r="D3735" s="8">
        <f>IFERROR(__xludf.DUMMYFUNCTION("""COMPUTED_VALUE"""),0.091)</f>
        <v>0.091</v>
      </c>
      <c r="E3735" s="8" t="str">
        <f>IFERROR(__xludf.DUMMYFUNCTION("""COMPUTED_VALUE"""),"Real")</f>
        <v>Real</v>
      </c>
      <c r="G3735" s="8">
        <f t="shared" si="1"/>
        <v>4</v>
      </c>
      <c r="H3735" s="14">
        <f t="shared" si="2"/>
        <v>5</v>
      </c>
      <c r="I3735" s="15">
        <f t="shared" si="3"/>
        <v>15</v>
      </c>
    </row>
    <row r="3736">
      <c r="A3736" s="8" t="str">
        <f>IFERROR(__xludf.DUMMYFUNCTION("IF('(INGESTA)Datos_consumo_datadis'!A3736&lt;&gt;"""",SPLIT('(INGESTA)Datos_consumo_datadis'!A:A,"",""),"""")"),"ES0031408323131005HX0F")</f>
        <v>ES0031408323131005HX0F</v>
      </c>
      <c r="B3736" s="12">
        <f>IFERROR(__xludf.DUMMYFUNCTION("""COMPUTED_VALUE"""),45021.0)</f>
        <v>45021</v>
      </c>
      <c r="C3736" s="13">
        <f>IFERROR(__xludf.DUMMYFUNCTION("""COMPUTED_VALUE"""),0.6666666666666666)</f>
        <v>0.6666666667</v>
      </c>
      <c r="D3736" s="8">
        <f>IFERROR(__xludf.DUMMYFUNCTION("""COMPUTED_VALUE"""),0.434)</f>
        <v>0.434</v>
      </c>
      <c r="E3736" s="8" t="str">
        <f>IFERROR(__xludf.DUMMYFUNCTION("""COMPUTED_VALUE"""),"Real")</f>
        <v>Real</v>
      </c>
      <c r="G3736" s="8">
        <f t="shared" si="1"/>
        <v>4</v>
      </c>
      <c r="H3736" s="14">
        <f t="shared" si="2"/>
        <v>5</v>
      </c>
      <c r="I3736" s="15">
        <f t="shared" si="3"/>
        <v>16</v>
      </c>
    </row>
    <row r="3737">
      <c r="A3737" s="8" t="str">
        <f>IFERROR(__xludf.DUMMYFUNCTION("IF('(INGESTA)Datos_consumo_datadis'!A3737&lt;&gt;"""",SPLIT('(INGESTA)Datos_consumo_datadis'!A:A,"",""),"""")"),"ES0031408323131005HX0F")</f>
        <v>ES0031408323131005HX0F</v>
      </c>
      <c r="B3737" s="12">
        <f>IFERROR(__xludf.DUMMYFUNCTION("""COMPUTED_VALUE"""),45021.0)</f>
        <v>45021</v>
      </c>
      <c r="C3737" s="13">
        <f>IFERROR(__xludf.DUMMYFUNCTION("""COMPUTED_VALUE"""),0.7083333333333334)</f>
        <v>0.7083333333</v>
      </c>
      <c r="D3737" s="8">
        <f>IFERROR(__xludf.DUMMYFUNCTION("""COMPUTED_VALUE"""),0.261)</f>
        <v>0.261</v>
      </c>
      <c r="E3737" s="8" t="str">
        <f>IFERROR(__xludf.DUMMYFUNCTION("""COMPUTED_VALUE"""),"Real")</f>
        <v>Real</v>
      </c>
      <c r="G3737" s="8">
        <f t="shared" si="1"/>
        <v>4</v>
      </c>
      <c r="H3737" s="14">
        <f t="shared" si="2"/>
        <v>5</v>
      </c>
      <c r="I3737" s="15">
        <f t="shared" si="3"/>
        <v>17</v>
      </c>
    </row>
    <row r="3738">
      <c r="A3738" s="8" t="str">
        <f>IFERROR(__xludf.DUMMYFUNCTION("IF('(INGESTA)Datos_consumo_datadis'!A3738&lt;&gt;"""",SPLIT('(INGESTA)Datos_consumo_datadis'!A:A,"",""),"""")"),"ES0031408323131005HX0F")</f>
        <v>ES0031408323131005HX0F</v>
      </c>
      <c r="B3738" s="12">
        <f>IFERROR(__xludf.DUMMYFUNCTION("""COMPUTED_VALUE"""),45021.0)</f>
        <v>45021</v>
      </c>
      <c r="C3738" s="13">
        <f>IFERROR(__xludf.DUMMYFUNCTION("""COMPUTED_VALUE"""),0.75)</f>
        <v>0.75</v>
      </c>
      <c r="D3738" s="8">
        <f>IFERROR(__xludf.DUMMYFUNCTION("""COMPUTED_VALUE"""),0.109)</f>
        <v>0.109</v>
      </c>
      <c r="E3738" s="8" t="str">
        <f>IFERROR(__xludf.DUMMYFUNCTION("""COMPUTED_VALUE"""),"Real")</f>
        <v>Real</v>
      </c>
      <c r="G3738" s="8">
        <f t="shared" si="1"/>
        <v>4</v>
      </c>
      <c r="H3738" s="14">
        <f t="shared" si="2"/>
        <v>5</v>
      </c>
      <c r="I3738" s="15">
        <f t="shared" si="3"/>
        <v>18</v>
      </c>
    </row>
    <row r="3739">
      <c r="A3739" s="8" t="str">
        <f>IFERROR(__xludf.DUMMYFUNCTION("IF('(INGESTA)Datos_consumo_datadis'!A3739&lt;&gt;"""",SPLIT('(INGESTA)Datos_consumo_datadis'!A:A,"",""),"""")"),"ES0031408323131005HX0F")</f>
        <v>ES0031408323131005HX0F</v>
      </c>
      <c r="B3739" s="12">
        <f>IFERROR(__xludf.DUMMYFUNCTION("""COMPUTED_VALUE"""),45021.0)</f>
        <v>45021</v>
      </c>
      <c r="C3739" s="13">
        <f>IFERROR(__xludf.DUMMYFUNCTION("""COMPUTED_VALUE"""),0.7916666666666666)</f>
        <v>0.7916666667</v>
      </c>
      <c r="D3739" s="8">
        <f>IFERROR(__xludf.DUMMYFUNCTION("""COMPUTED_VALUE"""),0.37)</f>
        <v>0.37</v>
      </c>
      <c r="E3739" s="8" t="str">
        <f>IFERROR(__xludf.DUMMYFUNCTION("""COMPUTED_VALUE"""),"Real")</f>
        <v>Real</v>
      </c>
      <c r="G3739" s="8">
        <f t="shared" si="1"/>
        <v>4</v>
      </c>
      <c r="H3739" s="14">
        <f t="shared" si="2"/>
        <v>5</v>
      </c>
      <c r="I3739" s="15">
        <f t="shared" si="3"/>
        <v>19</v>
      </c>
    </row>
    <row r="3740">
      <c r="A3740" s="8" t="str">
        <f>IFERROR(__xludf.DUMMYFUNCTION("IF('(INGESTA)Datos_consumo_datadis'!A3740&lt;&gt;"""",SPLIT('(INGESTA)Datos_consumo_datadis'!A:A,"",""),"""")"),"ES0031408323131005HX0F")</f>
        <v>ES0031408323131005HX0F</v>
      </c>
      <c r="B3740" s="12">
        <f>IFERROR(__xludf.DUMMYFUNCTION("""COMPUTED_VALUE"""),45021.0)</f>
        <v>45021</v>
      </c>
      <c r="C3740" s="13">
        <f>IFERROR(__xludf.DUMMYFUNCTION("""COMPUTED_VALUE"""),0.8333333333333334)</f>
        <v>0.8333333333</v>
      </c>
      <c r="D3740" s="8">
        <f>IFERROR(__xludf.DUMMYFUNCTION("""COMPUTED_VALUE"""),0.061)</f>
        <v>0.061</v>
      </c>
      <c r="E3740" s="8" t="str">
        <f>IFERROR(__xludf.DUMMYFUNCTION("""COMPUTED_VALUE"""),"Real")</f>
        <v>Real</v>
      </c>
      <c r="G3740" s="8">
        <f t="shared" si="1"/>
        <v>4</v>
      </c>
      <c r="H3740" s="14">
        <f t="shared" si="2"/>
        <v>5</v>
      </c>
      <c r="I3740" s="15">
        <f t="shared" si="3"/>
        <v>20</v>
      </c>
    </row>
    <row r="3741">
      <c r="A3741" s="8" t="str">
        <f>IFERROR(__xludf.DUMMYFUNCTION("IF('(INGESTA)Datos_consumo_datadis'!A3741&lt;&gt;"""",SPLIT('(INGESTA)Datos_consumo_datadis'!A:A,"",""),"""")"),"ES0031408323131005HX0F")</f>
        <v>ES0031408323131005HX0F</v>
      </c>
      <c r="B3741" s="12">
        <f>IFERROR(__xludf.DUMMYFUNCTION("""COMPUTED_VALUE"""),45021.0)</f>
        <v>45021</v>
      </c>
      <c r="C3741" s="13">
        <f>IFERROR(__xludf.DUMMYFUNCTION("""COMPUTED_VALUE"""),0.875)</f>
        <v>0.875</v>
      </c>
      <c r="D3741" s="8">
        <f>IFERROR(__xludf.DUMMYFUNCTION("""COMPUTED_VALUE"""),0.202)</f>
        <v>0.202</v>
      </c>
      <c r="E3741" s="8" t="str">
        <f>IFERROR(__xludf.DUMMYFUNCTION("""COMPUTED_VALUE"""),"Real")</f>
        <v>Real</v>
      </c>
      <c r="G3741" s="8">
        <f t="shared" si="1"/>
        <v>4</v>
      </c>
      <c r="H3741" s="14">
        <f t="shared" si="2"/>
        <v>5</v>
      </c>
      <c r="I3741" s="15">
        <f t="shared" si="3"/>
        <v>21</v>
      </c>
    </row>
    <row r="3742">
      <c r="A3742" s="8" t="str">
        <f>IFERROR(__xludf.DUMMYFUNCTION("IF('(INGESTA)Datos_consumo_datadis'!A3742&lt;&gt;"""",SPLIT('(INGESTA)Datos_consumo_datadis'!A:A,"",""),"""")"),"ES0031408323131005HX0F")</f>
        <v>ES0031408323131005HX0F</v>
      </c>
      <c r="B3742" s="12">
        <f>IFERROR(__xludf.DUMMYFUNCTION("""COMPUTED_VALUE"""),45021.0)</f>
        <v>45021</v>
      </c>
      <c r="C3742" s="13">
        <f>IFERROR(__xludf.DUMMYFUNCTION("""COMPUTED_VALUE"""),0.9166666666666666)</f>
        <v>0.9166666667</v>
      </c>
      <c r="D3742" s="8">
        <f>IFERROR(__xludf.DUMMYFUNCTION("""COMPUTED_VALUE"""),1.476)</f>
        <v>1.476</v>
      </c>
      <c r="E3742" s="8" t="str">
        <f>IFERROR(__xludf.DUMMYFUNCTION("""COMPUTED_VALUE"""),"Real")</f>
        <v>Real</v>
      </c>
      <c r="G3742" s="8">
        <f t="shared" si="1"/>
        <v>4</v>
      </c>
      <c r="H3742" s="14">
        <f t="shared" si="2"/>
        <v>5</v>
      </c>
      <c r="I3742" s="15">
        <f t="shared" si="3"/>
        <v>22</v>
      </c>
    </row>
    <row r="3743">
      <c r="A3743" s="8" t="str">
        <f>IFERROR(__xludf.DUMMYFUNCTION("IF('(INGESTA)Datos_consumo_datadis'!A3743&lt;&gt;"""",SPLIT('(INGESTA)Datos_consumo_datadis'!A:A,"",""),"""")"),"ES0031408323131005HX0F")</f>
        <v>ES0031408323131005HX0F</v>
      </c>
      <c r="B3743" s="12">
        <f>IFERROR(__xludf.DUMMYFUNCTION("""COMPUTED_VALUE"""),45021.0)</f>
        <v>45021</v>
      </c>
      <c r="C3743" s="13">
        <f>IFERROR(__xludf.DUMMYFUNCTION("""COMPUTED_VALUE"""),0.9583333333333334)</f>
        <v>0.9583333333</v>
      </c>
      <c r="D3743" s="8">
        <f>IFERROR(__xludf.DUMMYFUNCTION("""COMPUTED_VALUE"""),2.346)</f>
        <v>2.346</v>
      </c>
      <c r="E3743" s="8" t="str">
        <f>IFERROR(__xludf.DUMMYFUNCTION("""COMPUTED_VALUE"""),"Real")</f>
        <v>Real</v>
      </c>
      <c r="G3743" s="8">
        <f t="shared" si="1"/>
        <v>4</v>
      </c>
      <c r="H3743" s="14">
        <f t="shared" si="2"/>
        <v>5</v>
      </c>
      <c r="I3743" s="15">
        <f t="shared" si="3"/>
        <v>23</v>
      </c>
    </row>
    <row r="3744">
      <c r="A3744" s="8" t="str">
        <f>IFERROR(__xludf.DUMMYFUNCTION("IF('(INGESTA)Datos_consumo_datadis'!A3744&lt;&gt;"""",SPLIT('(INGESTA)Datos_consumo_datadis'!A:A,"",""),"""")"),"ES0031408323131005HX0F")</f>
        <v>ES0031408323131005HX0F</v>
      </c>
      <c r="B3744" s="12">
        <f>IFERROR(__xludf.DUMMYFUNCTION("""COMPUTED_VALUE"""),45021.0)</f>
        <v>45021</v>
      </c>
      <c r="C3744" s="16">
        <f>IFERROR(__xludf.DUMMYFUNCTION("""COMPUTED_VALUE"""),1.0)</f>
        <v>1</v>
      </c>
      <c r="D3744" s="8">
        <f>IFERROR(__xludf.DUMMYFUNCTION("""COMPUTED_VALUE"""),0.778)</f>
        <v>0.778</v>
      </c>
      <c r="E3744" s="8" t="str">
        <f>IFERROR(__xludf.DUMMYFUNCTION("""COMPUTED_VALUE"""),"Real")</f>
        <v>Real</v>
      </c>
      <c r="G3744" s="8">
        <f t="shared" si="1"/>
        <v>4</v>
      </c>
      <c r="H3744" s="14">
        <f t="shared" si="2"/>
        <v>5</v>
      </c>
      <c r="I3744" s="15">
        <f t="shared" si="3"/>
        <v>0</v>
      </c>
    </row>
    <row r="3745">
      <c r="A3745" s="8" t="str">
        <f>IFERROR(__xludf.DUMMYFUNCTION("IF('(INGESTA)Datos_consumo_datadis'!A3745&lt;&gt;"""",SPLIT('(INGESTA)Datos_consumo_datadis'!A:A,"",""),"""")"),"ES0031408323131005HX0F")</f>
        <v>ES0031408323131005HX0F</v>
      </c>
      <c r="B3745" s="12">
        <f>IFERROR(__xludf.DUMMYFUNCTION("""COMPUTED_VALUE"""),45022.0)</f>
        <v>45022</v>
      </c>
      <c r="C3745" s="13">
        <f>IFERROR(__xludf.DUMMYFUNCTION("""COMPUTED_VALUE"""),0.041666666666666664)</f>
        <v>0.04166666667</v>
      </c>
      <c r="D3745" s="8">
        <f>IFERROR(__xludf.DUMMYFUNCTION("""COMPUTED_VALUE"""),0.068)</f>
        <v>0.068</v>
      </c>
      <c r="E3745" s="8" t="str">
        <f>IFERROR(__xludf.DUMMYFUNCTION("""COMPUTED_VALUE"""),"Real")</f>
        <v>Real</v>
      </c>
      <c r="G3745" s="8">
        <f t="shared" si="1"/>
        <v>4</v>
      </c>
      <c r="H3745" s="14">
        <f t="shared" si="2"/>
        <v>6</v>
      </c>
      <c r="I3745" s="15">
        <f t="shared" si="3"/>
        <v>1</v>
      </c>
    </row>
    <row r="3746">
      <c r="A3746" s="8" t="str">
        <f>IFERROR(__xludf.DUMMYFUNCTION("IF('(INGESTA)Datos_consumo_datadis'!A3746&lt;&gt;"""",SPLIT('(INGESTA)Datos_consumo_datadis'!A:A,"",""),"""")"),"ES0031408323131005HX0F")</f>
        <v>ES0031408323131005HX0F</v>
      </c>
      <c r="B3746" s="12">
        <f>IFERROR(__xludf.DUMMYFUNCTION("""COMPUTED_VALUE"""),45022.0)</f>
        <v>45022</v>
      </c>
      <c r="C3746" s="13">
        <f>IFERROR(__xludf.DUMMYFUNCTION("""COMPUTED_VALUE"""),0.08333333333333333)</f>
        <v>0.08333333333</v>
      </c>
      <c r="D3746" s="8">
        <f>IFERROR(__xludf.DUMMYFUNCTION("""COMPUTED_VALUE"""),0.07)</f>
        <v>0.07</v>
      </c>
      <c r="E3746" s="8" t="str">
        <f>IFERROR(__xludf.DUMMYFUNCTION("""COMPUTED_VALUE"""),"Real")</f>
        <v>Real</v>
      </c>
      <c r="G3746" s="8">
        <f t="shared" si="1"/>
        <v>4</v>
      </c>
      <c r="H3746" s="14">
        <f t="shared" si="2"/>
        <v>6</v>
      </c>
      <c r="I3746" s="15">
        <f t="shared" si="3"/>
        <v>2</v>
      </c>
    </row>
    <row r="3747">
      <c r="A3747" s="8" t="str">
        <f>IFERROR(__xludf.DUMMYFUNCTION("IF('(INGESTA)Datos_consumo_datadis'!A3747&lt;&gt;"""",SPLIT('(INGESTA)Datos_consumo_datadis'!A:A,"",""),"""")"),"ES0031408323131005HX0F")</f>
        <v>ES0031408323131005HX0F</v>
      </c>
      <c r="B3747" s="12">
        <f>IFERROR(__xludf.DUMMYFUNCTION("""COMPUTED_VALUE"""),45022.0)</f>
        <v>45022</v>
      </c>
      <c r="C3747" s="13">
        <f>IFERROR(__xludf.DUMMYFUNCTION("""COMPUTED_VALUE"""),0.125)</f>
        <v>0.125</v>
      </c>
      <c r="D3747" s="8">
        <f>IFERROR(__xludf.DUMMYFUNCTION("""COMPUTED_VALUE"""),0.039)</f>
        <v>0.039</v>
      </c>
      <c r="E3747" s="8" t="str">
        <f>IFERROR(__xludf.DUMMYFUNCTION("""COMPUTED_VALUE"""),"Real")</f>
        <v>Real</v>
      </c>
      <c r="G3747" s="8">
        <f t="shared" si="1"/>
        <v>4</v>
      </c>
      <c r="H3747" s="14">
        <f t="shared" si="2"/>
        <v>6</v>
      </c>
      <c r="I3747" s="15">
        <f t="shared" si="3"/>
        <v>3</v>
      </c>
    </row>
    <row r="3748">
      <c r="A3748" s="8" t="str">
        <f>IFERROR(__xludf.DUMMYFUNCTION("IF('(INGESTA)Datos_consumo_datadis'!A3748&lt;&gt;"""",SPLIT('(INGESTA)Datos_consumo_datadis'!A:A,"",""),"""")"),"ES0031408323131005HX0F")</f>
        <v>ES0031408323131005HX0F</v>
      </c>
      <c r="B3748" s="12">
        <f>IFERROR(__xludf.DUMMYFUNCTION("""COMPUTED_VALUE"""),45022.0)</f>
        <v>45022</v>
      </c>
      <c r="C3748" s="13">
        <f>IFERROR(__xludf.DUMMYFUNCTION("""COMPUTED_VALUE"""),0.16666666666666666)</f>
        <v>0.1666666667</v>
      </c>
      <c r="D3748" s="8">
        <f>IFERROR(__xludf.DUMMYFUNCTION("""COMPUTED_VALUE"""),0.09)</f>
        <v>0.09</v>
      </c>
      <c r="E3748" s="8" t="str">
        <f>IFERROR(__xludf.DUMMYFUNCTION("""COMPUTED_VALUE"""),"Real")</f>
        <v>Real</v>
      </c>
      <c r="G3748" s="8">
        <f t="shared" si="1"/>
        <v>4</v>
      </c>
      <c r="H3748" s="14">
        <f t="shared" si="2"/>
        <v>6</v>
      </c>
      <c r="I3748" s="15">
        <f t="shared" si="3"/>
        <v>4</v>
      </c>
    </row>
    <row r="3749">
      <c r="A3749" s="8" t="str">
        <f>IFERROR(__xludf.DUMMYFUNCTION("IF('(INGESTA)Datos_consumo_datadis'!A3749&lt;&gt;"""",SPLIT('(INGESTA)Datos_consumo_datadis'!A:A,"",""),"""")"),"ES0031408323131005HX0F")</f>
        <v>ES0031408323131005HX0F</v>
      </c>
      <c r="B3749" s="12">
        <f>IFERROR(__xludf.DUMMYFUNCTION("""COMPUTED_VALUE"""),45022.0)</f>
        <v>45022</v>
      </c>
      <c r="C3749" s="13">
        <f>IFERROR(__xludf.DUMMYFUNCTION("""COMPUTED_VALUE"""),0.20833333333333334)</f>
        <v>0.2083333333</v>
      </c>
      <c r="D3749" s="8">
        <f>IFERROR(__xludf.DUMMYFUNCTION("""COMPUTED_VALUE"""),0.321)</f>
        <v>0.321</v>
      </c>
      <c r="E3749" s="8" t="str">
        <f>IFERROR(__xludf.DUMMYFUNCTION("""COMPUTED_VALUE"""),"Real")</f>
        <v>Real</v>
      </c>
      <c r="G3749" s="8">
        <f t="shared" si="1"/>
        <v>4</v>
      </c>
      <c r="H3749" s="14">
        <f t="shared" si="2"/>
        <v>6</v>
      </c>
      <c r="I3749" s="15">
        <f t="shared" si="3"/>
        <v>5</v>
      </c>
    </row>
    <row r="3750">
      <c r="A3750" s="8" t="str">
        <f>IFERROR(__xludf.DUMMYFUNCTION("IF('(INGESTA)Datos_consumo_datadis'!A3750&lt;&gt;"""",SPLIT('(INGESTA)Datos_consumo_datadis'!A:A,"",""),"""")"),"ES0031408323131005HX0F")</f>
        <v>ES0031408323131005HX0F</v>
      </c>
      <c r="B3750" s="12">
        <f>IFERROR(__xludf.DUMMYFUNCTION("""COMPUTED_VALUE"""),45022.0)</f>
        <v>45022</v>
      </c>
      <c r="C3750" s="13">
        <f>IFERROR(__xludf.DUMMYFUNCTION("""COMPUTED_VALUE"""),0.25)</f>
        <v>0.25</v>
      </c>
      <c r="D3750" s="8">
        <f>IFERROR(__xludf.DUMMYFUNCTION("""COMPUTED_VALUE"""),0.078)</f>
        <v>0.078</v>
      </c>
      <c r="E3750" s="8" t="str">
        <f>IFERROR(__xludf.DUMMYFUNCTION("""COMPUTED_VALUE"""),"Real")</f>
        <v>Real</v>
      </c>
      <c r="G3750" s="8">
        <f t="shared" si="1"/>
        <v>4</v>
      </c>
      <c r="H3750" s="14">
        <f t="shared" si="2"/>
        <v>6</v>
      </c>
      <c r="I3750" s="15">
        <f t="shared" si="3"/>
        <v>6</v>
      </c>
    </row>
    <row r="3751">
      <c r="A3751" s="8" t="str">
        <f>IFERROR(__xludf.DUMMYFUNCTION("IF('(INGESTA)Datos_consumo_datadis'!A3751&lt;&gt;"""",SPLIT('(INGESTA)Datos_consumo_datadis'!A:A,"",""),"""")"),"ES0031408323131005HX0F")</f>
        <v>ES0031408323131005HX0F</v>
      </c>
      <c r="B3751" s="12">
        <f>IFERROR(__xludf.DUMMYFUNCTION("""COMPUTED_VALUE"""),45022.0)</f>
        <v>45022</v>
      </c>
      <c r="C3751" s="13">
        <f>IFERROR(__xludf.DUMMYFUNCTION("""COMPUTED_VALUE"""),0.2916666666666667)</f>
        <v>0.2916666667</v>
      </c>
      <c r="D3751" s="8">
        <f>IFERROR(__xludf.DUMMYFUNCTION("""COMPUTED_VALUE"""),0.018)</f>
        <v>0.018</v>
      </c>
      <c r="E3751" s="8" t="str">
        <f>IFERROR(__xludf.DUMMYFUNCTION("""COMPUTED_VALUE"""),"Real")</f>
        <v>Real</v>
      </c>
      <c r="G3751" s="8">
        <f t="shared" si="1"/>
        <v>4</v>
      </c>
      <c r="H3751" s="14">
        <f t="shared" si="2"/>
        <v>6</v>
      </c>
      <c r="I3751" s="15">
        <f t="shared" si="3"/>
        <v>7</v>
      </c>
    </row>
    <row r="3752">
      <c r="A3752" s="8" t="str">
        <f>IFERROR(__xludf.DUMMYFUNCTION("IF('(INGESTA)Datos_consumo_datadis'!A3752&lt;&gt;"""",SPLIT('(INGESTA)Datos_consumo_datadis'!A:A,"",""),"""")"),"ES0031408323131005HX0F")</f>
        <v>ES0031408323131005HX0F</v>
      </c>
      <c r="B3752" s="12">
        <f>IFERROR(__xludf.DUMMYFUNCTION("""COMPUTED_VALUE"""),45022.0)</f>
        <v>45022</v>
      </c>
      <c r="C3752" s="13">
        <f>IFERROR(__xludf.DUMMYFUNCTION("""COMPUTED_VALUE"""),0.3333333333333333)</f>
        <v>0.3333333333</v>
      </c>
      <c r="D3752" s="8">
        <f>IFERROR(__xludf.DUMMYFUNCTION("""COMPUTED_VALUE"""),0.368)</f>
        <v>0.368</v>
      </c>
      <c r="E3752" s="8" t="str">
        <f>IFERROR(__xludf.DUMMYFUNCTION("""COMPUTED_VALUE"""),"Real")</f>
        <v>Real</v>
      </c>
      <c r="G3752" s="8">
        <f t="shared" si="1"/>
        <v>4</v>
      </c>
      <c r="H3752" s="14">
        <f t="shared" si="2"/>
        <v>6</v>
      </c>
      <c r="I3752" s="15">
        <f t="shared" si="3"/>
        <v>8</v>
      </c>
    </row>
    <row r="3753">
      <c r="A3753" s="8" t="str">
        <f>IFERROR(__xludf.DUMMYFUNCTION("IF('(INGESTA)Datos_consumo_datadis'!A3753&lt;&gt;"""",SPLIT('(INGESTA)Datos_consumo_datadis'!A:A,"",""),"""")"),"ES0031408323131005HX0F")</f>
        <v>ES0031408323131005HX0F</v>
      </c>
      <c r="B3753" s="12">
        <f>IFERROR(__xludf.DUMMYFUNCTION("""COMPUTED_VALUE"""),45022.0)</f>
        <v>45022</v>
      </c>
      <c r="C3753" s="13">
        <f>IFERROR(__xludf.DUMMYFUNCTION("""COMPUTED_VALUE"""),0.375)</f>
        <v>0.375</v>
      </c>
      <c r="D3753" s="8">
        <f>IFERROR(__xludf.DUMMYFUNCTION("""COMPUTED_VALUE"""),0.385)</f>
        <v>0.385</v>
      </c>
      <c r="E3753" s="8" t="str">
        <f>IFERROR(__xludf.DUMMYFUNCTION("""COMPUTED_VALUE"""),"Real")</f>
        <v>Real</v>
      </c>
      <c r="G3753" s="8">
        <f t="shared" si="1"/>
        <v>4</v>
      </c>
      <c r="H3753" s="14">
        <f t="shared" si="2"/>
        <v>6</v>
      </c>
      <c r="I3753" s="15">
        <f t="shared" si="3"/>
        <v>9</v>
      </c>
    </row>
    <row r="3754">
      <c r="A3754" s="8" t="str">
        <f>IFERROR(__xludf.DUMMYFUNCTION("IF('(INGESTA)Datos_consumo_datadis'!A3754&lt;&gt;"""",SPLIT('(INGESTA)Datos_consumo_datadis'!A:A,"",""),"""")"),"ES0031408323131005HX0F")</f>
        <v>ES0031408323131005HX0F</v>
      </c>
      <c r="B3754" s="12">
        <f>IFERROR(__xludf.DUMMYFUNCTION("""COMPUTED_VALUE"""),45022.0)</f>
        <v>45022</v>
      </c>
      <c r="C3754" s="13">
        <f>IFERROR(__xludf.DUMMYFUNCTION("""COMPUTED_VALUE"""),0.4166666666666667)</f>
        <v>0.4166666667</v>
      </c>
      <c r="D3754" s="8">
        <f>IFERROR(__xludf.DUMMYFUNCTION("""COMPUTED_VALUE"""),1.779)</f>
        <v>1.779</v>
      </c>
      <c r="E3754" s="8" t="str">
        <f>IFERROR(__xludf.DUMMYFUNCTION("""COMPUTED_VALUE"""),"Real")</f>
        <v>Real</v>
      </c>
      <c r="G3754" s="8">
        <f t="shared" si="1"/>
        <v>4</v>
      </c>
      <c r="H3754" s="14">
        <f t="shared" si="2"/>
        <v>6</v>
      </c>
      <c r="I3754" s="15">
        <f t="shared" si="3"/>
        <v>10</v>
      </c>
    </row>
    <row r="3755">
      <c r="A3755" s="8" t="str">
        <f>IFERROR(__xludf.DUMMYFUNCTION("IF('(INGESTA)Datos_consumo_datadis'!A3755&lt;&gt;"""",SPLIT('(INGESTA)Datos_consumo_datadis'!A:A,"",""),"""")"),"ES0031408323131005HX0F")</f>
        <v>ES0031408323131005HX0F</v>
      </c>
      <c r="B3755" s="12">
        <f>IFERROR(__xludf.DUMMYFUNCTION("""COMPUTED_VALUE"""),45022.0)</f>
        <v>45022</v>
      </c>
      <c r="C3755" s="13">
        <f>IFERROR(__xludf.DUMMYFUNCTION("""COMPUTED_VALUE"""),0.4583333333333333)</f>
        <v>0.4583333333</v>
      </c>
      <c r="D3755" s="8">
        <f>IFERROR(__xludf.DUMMYFUNCTION("""COMPUTED_VALUE"""),0.064)</f>
        <v>0.064</v>
      </c>
      <c r="E3755" s="8" t="str">
        <f>IFERROR(__xludf.DUMMYFUNCTION("""COMPUTED_VALUE"""),"Real")</f>
        <v>Real</v>
      </c>
      <c r="G3755" s="8">
        <f t="shared" si="1"/>
        <v>4</v>
      </c>
      <c r="H3755" s="14">
        <f t="shared" si="2"/>
        <v>6</v>
      </c>
      <c r="I3755" s="15">
        <f t="shared" si="3"/>
        <v>11</v>
      </c>
    </row>
    <row r="3756">
      <c r="A3756" s="8" t="str">
        <f>IFERROR(__xludf.DUMMYFUNCTION("IF('(INGESTA)Datos_consumo_datadis'!A3756&lt;&gt;"""",SPLIT('(INGESTA)Datos_consumo_datadis'!A:A,"",""),"""")"),"ES0031408323131005HX0F")</f>
        <v>ES0031408323131005HX0F</v>
      </c>
      <c r="B3756" s="12">
        <f>IFERROR(__xludf.DUMMYFUNCTION("""COMPUTED_VALUE"""),45022.0)</f>
        <v>45022</v>
      </c>
      <c r="C3756" s="13">
        <f>IFERROR(__xludf.DUMMYFUNCTION("""COMPUTED_VALUE"""),0.5)</f>
        <v>0.5</v>
      </c>
      <c r="D3756" s="8">
        <f>IFERROR(__xludf.DUMMYFUNCTION("""COMPUTED_VALUE"""),0.056)</f>
        <v>0.056</v>
      </c>
      <c r="E3756" s="8" t="str">
        <f>IFERROR(__xludf.DUMMYFUNCTION("""COMPUTED_VALUE"""),"Real")</f>
        <v>Real</v>
      </c>
      <c r="G3756" s="8">
        <f t="shared" si="1"/>
        <v>4</v>
      </c>
      <c r="H3756" s="14">
        <f t="shared" si="2"/>
        <v>6</v>
      </c>
      <c r="I3756" s="15">
        <f t="shared" si="3"/>
        <v>12</v>
      </c>
    </row>
    <row r="3757">
      <c r="A3757" s="8" t="str">
        <f>IFERROR(__xludf.DUMMYFUNCTION("IF('(INGESTA)Datos_consumo_datadis'!A3757&lt;&gt;"""",SPLIT('(INGESTA)Datos_consumo_datadis'!A:A,"",""),"""")"),"ES0031408323131005HX0F")</f>
        <v>ES0031408323131005HX0F</v>
      </c>
      <c r="B3757" s="12">
        <f>IFERROR(__xludf.DUMMYFUNCTION("""COMPUTED_VALUE"""),45022.0)</f>
        <v>45022</v>
      </c>
      <c r="C3757" s="13">
        <f>IFERROR(__xludf.DUMMYFUNCTION("""COMPUTED_VALUE"""),0.5416666666666666)</f>
        <v>0.5416666667</v>
      </c>
      <c r="D3757" s="8">
        <f>IFERROR(__xludf.DUMMYFUNCTION("""COMPUTED_VALUE"""),0.045)</f>
        <v>0.045</v>
      </c>
      <c r="E3757" s="8" t="str">
        <f>IFERROR(__xludf.DUMMYFUNCTION("""COMPUTED_VALUE"""),"Real")</f>
        <v>Real</v>
      </c>
      <c r="G3757" s="8">
        <f t="shared" si="1"/>
        <v>4</v>
      </c>
      <c r="H3757" s="14">
        <f t="shared" si="2"/>
        <v>6</v>
      </c>
      <c r="I3757" s="15">
        <f t="shared" si="3"/>
        <v>13</v>
      </c>
    </row>
    <row r="3758">
      <c r="A3758" s="8" t="str">
        <f>IFERROR(__xludf.DUMMYFUNCTION("IF('(INGESTA)Datos_consumo_datadis'!A3758&lt;&gt;"""",SPLIT('(INGESTA)Datos_consumo_datadis'!A:A,"",""),"""")"),"ES0031408323131005HX0F")</f>
        <v>ES0031408323131005HX0F</v>
      </c>
      <c r="B3758" s="12">
        <f>IFERROR(__xludf.DUMMYFUNCTION("""COMPUTED_VALUE"""),45022.0)</f>
        <v>45022</v>
      </c>
      <c r="C3758" s="13">
        <f>IFERROR(__xludf.DUMMYFUNCTION("""COMPUTED_VALUE"""),0.5833333333333334)</f>
        <v>0.5833333333</v>
      </c>
      <c r="D3758" s="8">
        <f>IFERROR(__xludf.DUMMYFUNCTION("""COMPUTED_VALUE"""),0.023)</f>
        <v>0.023</v>
      </c>
      <c r="E3758" s="8" t="str">
        <f>IFERROR(__xludf.DUMMYFUNCTION("""COMPUTED_VALUE"""),"Real")</f>
        <v>Real</v>
      </c>
      <c r="G3758" s="8">
        <f t="shared" si="1"/>
        <v>4</v>
      </c>
      <c r="H3758" s="14">
        <f t="shared" si="2"/>
        <v>6</v>
      </c>
      <c r="I3758" s="15">
        <f t="shared" si="3"/>
        <v>14</v>
      </c>
    </row>
    <row r="3759">
      <c r="A3759" s="8" t="str">
        <f>IFERROR(__xludf.DUMMYFUNCTION("IF('(INGESTA)Datos_consumo_datadis'!A3759&lt;&gt;"""",SPLIT('(INGESTA)Datos_consumo_datadis'!A:A,"",""),"""")"),"ES0031408323131005HX0F")</f>
        <v>ES0031408323131005HX0F</v>
      </c>
      <c r="B3759" s="12">
        <f>IFERROR(__xludf.DUMMYFUNCTION("""COMPUTED_VALUE"""),45022.0)</f>
        <v>45022</v>
      </c>
      <c r="C3759" s="13">
        <f>IFERROR(__xludf.DUMMYFUNCTION("""COMPUTED_VALUE"""),0.625)</f>
        <v>0.625</v>
      </c>
      <c r="D3759" s="8">
        <f>IFERROR(__xludf.DUMMYFUNCTION("""COMPUTED_VALUE"""),0.363)</f>
        <v>0.363</v>
      </c>
      <c r="E3759" s="8" t="str">
        <f>IFERROR(__xludf.DUMMYFUNCTION("""COMPUTED_VALUE"""),"Real")</f>
        <v>Real</v>
      </c>
      <c r="G3759" s="8">
        <f t="shared" si="1"/>
        <v>4</v>
      </c>
      <c r="H3759" s="14">
        <f t="shared" si="2"/>
        <v>6</v>
      </c>
      <c r="I3759" s="15">
        <f t="shared" si="3"/>
        <v>15</v>
      </c>
    </row>
    <row r="3760">
      <c r="A3760" s="8" t="str">
        <f>IFERROR(__xludf.DUMMYFUNCTION("IF('(INGESTA)Datos_consumo_datadis'!A3760&lt;&gt;"""",SPLIT('(INGESTA)Datos_consumo_datadis'!A:A,"",""),"""")"),"ES0031408323131005HX0F")</f>
        <v>ES0031408323131005HX0F</v>
      </c>
      <c r="B3760" s="12">
        <f>IFERROR(__xludf.DUMMYFUNCTION("""COMPUTED_VALUE"""),45022.0)</f>
        <v>45022</v>
      </c>
      <c r="C3760" s="13">
        <f>IFERROR(__xludf.DUMMYFUNCTION("""COMPUTED_VALUE"""),0.6666666666666666)</f>
        <v>0.6666666667</v>
      </c>
      <c r="D3760" s="8">
        <f>IFERROR(__xludf.DUMMYFUNCTION("""COMPUTED_VALUE"""),0.053)</f>
        <v>0.053</v>
      </c>
      <c r="E3760" s="8" t="str">
        <f>IFERROR(__xludf.DUMMYFUNCTION("""COMPUTED_VALUE"""),"Real")</f>
        <v>Real</v>
      </c>
      <c r="G3760" s="8">
        <f t="shared" si="1"/>
        <v>4</v>
      </c>
      <c r="H3760" s="14">
        <f t="shared" si="2"/>
        <v>6</v>
      </c>
      <c r="I3760" s="15">
        <f t="shared" si="3"/>
        <v>16</v>
      </c>
    </row>
    <row r="3761">
      <c r="A3761" s="8" t="str">
        <f>IFERROR(__xludf.DUMMYFUNCTION("IF('(INGESTA)Datos_consumo_datadis'!A3761&lt;&gt;"""",SPLIT('(INGESTA)Datos_consumo_datadis'!A:A,"",""),"""")"),"ES0031408323131005HX0F")</f>
        <v>ES0031408323131005HX0F</v>
      </c>
      <c r="B3761" s="12">
        <f>IFERROR(__xludf.DUMMYFUNCTION("""COMPUTED_VALUE"""),45022.0)</f>
        <v>45022</v>
      </c>
      <c r="C3761" s="13">
        <f>IFERROR(__xludf.DUMMYFUNCTION("""COMPUTED_VALUE"""),0.7083333333333334)</f>
        <v>0.7083333333</v>
      </c>
      <c r="D3761" s="8">
        <f>IFERROR(__xludf.DUMMYFUNCTION("""COMPUTED_VALUE"""),0.017)</f>
        <v>0.017</v>
      </c>
      <c r="E3761" s="8" t="str">
        <f>IFERROR(__xludf.DUMMYFUNCTION("""COMPUTED_VALUE"""),"Real")</f>
        <v>Real</v>
      </c>
      <c r="G3761" s="8">
        <f t="shared" si="1"/>
        <v>4</v>
      </c>
      <c r="H3761" s="14">
        <f t="shared" si="2"/>
        <v>6</v>
      </c>
      <c r="I3761" s="15">
        <f t="shared" si="3"/>
        <v>17</v>
      </c>
    </row>
    <row r="3762">
      <c r="A3762" s="8" t="str">
        <f>IFERROR(__xludf.DUMMYFUNCTION("IF('(INGESTA)Datos_consumo_datadis'!A3762&lt;&gt;"""",SPLIT('(INGESTA)Datos_consumo_datadis'!A:A,"",""),"""")"),"ES0031408323131005HX0F")</f>
        <v>ES0031408323131005HX0F</v>
      </c>
      <c r="B3762" s="12">
        <f>IFERROR(__xludf.DUMMYFUNCTION("""COMPUTED_VALUE"""),45022.0)</f>
        <v>45022</v>
      </c>
      <c r="C3762" s="13">
        <f>IFERROR(__xludf.DUMMYFUNCTION("""COMPUTED_VALUE"""),0.75)</f>
        <v>0.75</v>
      </c>
      <c r="D3762" s="8">
        <f>IFERROR(__xludf.DUMMYFUNCTION("""COMPUTED_VALUE"""),0.959)</f>
        <v>0.959</v>
      </c>
      <c r="E3762" s="8" t="str">
        <f>IFERROR(__xludf.DUMMYFUNCTION("""COMPUTED_VALUE"""),"Real")</f>
        <v>Real</v>
      </c>
      <c r="G3762" s="8">
        <f t="shared" si="1"/>
        <v>4</v>
      </c>
      <c r="H3762" s="14">
        <f t="shared" si="2"/>
        <v>6</v>
      </c>
      <c r="I3762" s="15">
        <f t="shared" si="3"/>
        <v>18</v>
      </c>
    </row>
    <row r="3763">
      <c r="A3763" s="8" t="str">
        <f>IFERROR(__xludf.DUMMYFUNCTION("IF('(INGESTA)Datos_consumo_datadis'!A3763&lt;&gt;"""",SPLIT('(INGESTA)Datos_consumo_datadis'!A:A,"",""),"""")"),"ES0031408323131005HX0F")</f>
        <v>ES0031408323131005HX0F</v>
      </c>
      <c r="B3763" s="12">
        <f>IFERROR(__xludf.DUMMYFUNCTION("""COMPUTED_VALUE"""),45022.0)</f>
        <v>45022</v>
      </c>
      <c r="C3763" s="13">
        <f>IFERROR(__xludf.DUMMYFUNCTION("""COMPUTED_VALUE"""),0.7916666666666666)</f>
        <v>0.7916666667</v>
      </c>
      <c r="D3763" s="8">
        <f>IFERROR(__xludf.DUMMYFUNCTION("""COMPUTED_VALUE"""),0.441)</f>
        <v>0.441</v>
      </c>
      <c r="E3763" s="8" t="str">
        <f>IFERROR(__xludf.DUMMYFUNCTION("""COMPUTED_VALUE"""),"Real")</f>
        <v>Real</v>
      </c>
      <c r="G3763" s="8">
        <f t="shared" si="1"/>
        <v>4</v>
      </c>
      <c r="H3763" s="14">
        <f t="shared" si="2"/>
        <v>6</v>
      </c>
      <c r="I3763" s="15">
        <f t="shared" si="3"/>
        <v>19</v>
      </c>
    </row>
    <row r="3764">
      <c r="A3764" s="8" t="str">
        <f>IFERROR(__xludf.DUMMYFUNCTION("IF('(INGESTA)Datos_consumo_datadis'!A3764&lt;&gt;"""",SPLIT('(INGESTA)Datos_consumo_datadis'!A:A,"",""),"""")"),"ES0031408323131005HX0F")</f>
        <v>ES0031408323131005HX0F</v>
      </c>
      <c r="B3764" s="12">
        <f>IFERROR(__xludf.DUMMYFUNCTION("""COMPUTED_VALUE"""),45022.0)</f>
        <v>45022</v>
      </c>
      <c r="C3764" s="13">
        <f>IFERROR(__xludf.DUMMYFUNCTION("""COMPUTED_VALUE"""),0.8333333333333334)</f>
        <v>0.8333333333</v>
      </c>
      <c r="D3764" s="8">
        <f>IFERROR(__xludf.DUMMYFUNCTION("""COMPUTED_VALUE"""),0.368)</f>
        <v>0.368</v>
      </c>
      <c r="E3764" s="8" t="str">
        <f>IFERROR(__xludf.DUMMYFUNCTION("""COMPUTED_VALUE"""),"Real")</f>
        <v>Real</v>
      </c>
      <c r="G3764" s="8">
        <f t="shared" si="1"/>
        <v>4</v>
      </c>
      <c r="H3764" s="14">
        <f t="shared" si="2"/>
        <v>6</v>
      </c>
      <c r="I3764" s="15">
        <f t="shared" si="3"/>
        <v>20</v>
      </c>
    </row>
    <row r="3765">
      <c r="A3765" s="8" t="str">
        <f>IFERROR(__xludf.DUMMYFUNCTION("IF('(INGESTA)Datos_consumo_datadis'!A3765&lt;&gt;"""",SPLIT('(INGESTA)Datos_consumo_datadis'!A:A,"",""),"""")"),"ES0031408323131005HX0F")</f>
        <v>ES0031408323131005HX0F</v>
      </c>
      <c r="B3765" s="12">
        <f>IFERROR(__xludf.DUMMYFUNCTION("""COMPUTED_VALUE"""),45022.0)</f>
        <v>45022</v>
      </c>
      <c r="C3765" s="13">
        <f>IFERROR(__xludf.DUMMYFUNCTION("""COMPUTED_VALUE"""),0.875)</f>
        <v>0.875</v>
      </c>
      <c r="D3765" s="8">
        <f>IFERROR(__xludf.DUMMYFUNCTION("""COMPUTED_VALUE"""),0.916)</f>
        <v>0.916</v>
      </c>
      <c r="E3765" s="8" t="str">
        <f>IFERROR(__xludf.DUMMYFUNCTION("""COMPUTED_VALUE"""),"Real")</f>
        <v>Real</v>
      </c>
      <c r="G3765" s="8">
        <f t="shared" si="1"/>
        <v>4</v>
      </c>
      <c r="H3765" s="14">
        <f t="shared" si="2"/>
        <v>6</v>
      </c>
      <c r="I3765" s="15">
        <f t="shared" si="3"/>
        <v>21</v>
      </c>
    </row>
    <row r="3766">
      <c r="A3766" s="8" t="str">
        <f>IFERROR(__xludf.DUMMYFUNCTION("IF('(INGESTA)Datos_consumo_datadis'!A3766&lt;&gt;"""",SPLIT('(INGESTA)Datos_consumo_datadis'!A:A,"",""),"""")"),"ES0031408323131005HX0F")</f>
        <v>ES0031408323131005HX0F</v>
      </c>
      <c r="B3766" s="12">
        <f>IFERROR(__xludf.DUMMYFUNCTION("""COMPUTED_VALUE"""),45022.0)</f>
        <v>45022</v>
      </c>
      <c r="C3766" s="13">
        <f>IFERROR(__xludf.DUMMYFUNCTION("""COMPUTED_VALUE"""),0.9166666666666666)</f>
        <v>0.9166666667</v>
      </c>
      <c r="D3766" s="8">
        <f>IFERROR(__xludf.DUMMYFUNCTION("""COMPUTED_VALUE"""),0.233)</f>
        <v>0.233</v>
      </c>
      <c r="E3766" s="8" t="str">
        <f>IFERROR(__xludf.DUMMYFUNCTION("""COMPUTED_VALUE"""),"Real")</f>
        <v>Real</v>
      </c>
      <c r="G3766" s="8">
        <f t="shared" si="1"/>
        <v>4</v>
      </c>
      <c r="H3766" s="14">
        <f t="shared" si="2"/>
        <v>6</v>
      </c>
      <c r="I3766" s="15">
        <f t="shared" si="3"/>
        <v>22</v>
      </c>
    </row>
    <row r="3767">
      <c r="A3767" s="8" t="str">
        <f>IFERROR(__xludf.DUMMYFUNCTION("IF('(INGESTA)Datos_consumo_datadis'!A3767&lt;&gt;"""",SPLIT('(INGESTA)Datos_consumo_datadis'!A:A,"",""),"""")"),"ES0031408323131005HX0F")</f>
        <v>ES0031408323131005HX0F</v>
      </c>
      <c r="B3767" s="12">
        <f>IFERROR(__xludf.DUMMYFUNCTION("""COMPUTED_VALUE"""),45022.0)</f>
        <v>45022</v>
      </c>
      <c r="C3767" s="13">
        <f>IFERROR(__xludf.DUMMYFUNCTION("""COMPUTED_VALUE"""),0.9583333333333334)</f>
        <v>0.9583333333</v>
      </c>
      <c r="D3767" s="8">
        <f>IFERROR(__xludf.DUMMYFUNCTION("""COMPUTED_VALUE"""),0.053)</f>
        <v>0.053</v>
      </c>
      <c r="E3767" s="8" t="str">
        <f>IFERROR(__xludf.DUMMYFUNCTION("""COMPUTED_VALUE"""),"Real")</f>
        <v>Real</v>
      </c>
      <c r="G3767" s="8">
        <f t="shared" si="1"/>
        <v>4</v>
      </c>
      <c r="H3767" s="14">
        <f t="shared" si="2"/>
        <v>6</v>
      </c>
      <c r="I3767" s="15">
        <f t="shared" si="3"/>
        <v>23</v>
      </c>
    </row>
    <row r="3768">
      <c r="A3768" s="8" t="str">
        <f>IFERROR(__xludf.DUMMYFUNCTION("IF('(INGESTA)Datos_consumo_datadis'!A3768&lt;&gt;"""",SPLIT('(INGESTA)Datos_consumo_datadis'!A:A,"",""),"""")"),"ES0031408323131005HX0F")</f>
        <v>ES0031408323131005HX0F</v>
      </c>
      <c r="B3768" s="12">
        <f>IFERROR(__xludf.DUMMYFUNCTION("""COMPUTED_VALUE"""),45022.0)</f>
        <v>45022</v>
      </c>
      <c r="C3768" s="16">
        <f>IFERROR(__xludf.DUMMYFUNCTION("""COMPUTED_VALUE"""),1.0)</f>
        <v>1</v>
      </c>
      <c r="D3768" s="8">
        <f>IFERROR(__xludf.DUMMYFUNCTION("""COMPUTED_VALUE"""),0.048)</f>
        <v>0.048</v>
      </c>
      <c r="E3768" s="8" t="str">
        <f>IFERROR(__xludf.DUMMYFUNCTION("""COMPUTED_VALUE"""),"Real")</f>
        <v>Real</v>
      </c>
      <c r="G3768" s="8">
        <f t="shared" si="1"/>
        <v>4</v>
      </c>
      <c r="H3768" s="14">
        <f t="shared" si="2"/>
        <v>6</v>
      </c>
      <c r="I3768" s="15">
        <f t="shared" si="3"/>
        <v>0</v>
      </c>
    </row>
    <row r="3769">
      <c r="A3769" s="8" t="str">
        <f>IFERROR(__xludf.DUMMYFUNCTION("IF('(INGESTA)Datos_consumo_datadis'!A3769&lt;&gt;"""",SPLIT('(INGESTA)Datos_consumo_datadis'!A:A,"",""),"""")"),"ES0031408323131005HX0F")</f>
        <v>ES0031408323131005HX0F</v>
      </c>
      <c r="B3769" s="12">
        <f>IFERROR(__xludf.DUMMYFUNCTION("""COMPUTED_VALUE"""),45023.0)</f>
        <v>45023</v>
      </c>
      <c r="C3769" s="13">
        <f>IFERROR(__xludf.DUMMYFUNCTION("""COMPUTED_VALUE"""),0.041666666666666664)</f>
        <v>0.04166666667</v>
      </c>
      <c r="D3769" s="8">
        <f>IFERROR(__xludf.DUMMYFUNCTION("""COMPUTED_VALUE"""),0.022)</f>
        <v>0.022</v>
      </c>
      <c r="E3769" s="8" t="str">
        <f>IFERROR(__xludf.DUMMYFUNCTION("""COMPUTED_VALUE"""),"Real")</f>
        <v>Real</v>
      </c>
      <c r="G3769" s="8">
        <f t="shared" si="1"/>
        <v>4</v>
      </c>
      <c r="H3769" s="14">
        <f t="shared" si="2"/>
        <v>7</v>
      </c>
      <c r="I3769" s="15">
        <f t="shared" si="3"/>
        <v>1</v>
      </c>
    </row>
    <row r="3770">
      <c r="A3770" s="8" t="str">
        <f>IFERROR(__xludf.DUMMYFUNCTION("IF('(INGESTA)Datos_consumo_datadis'!A3770&lt;&gt;"""",SPLIT('(INGESTA)Datos_consumo_datadis'!A:A,"",""),"""")"),"ES0031408323131005HX0F")</f>
        <v>ES0031408323131005HX0F</v>
      </c>
      <c r="B3770" s="12">
        <f>IFERROR(__xludf.DUMMYFUNCTION("""COMPUTED_VALUE"""),45023.0)</f>
        <v>45023</v>
      </c>
      <c r="C3770" s="13">
        <f>IFERROR(__xludf.DUMMYFUNCTION("""COMPUTED_VALUE"""),0.08333333333333333)</f>
        <v>0.08333333333</v>
      </c>
      <c r="D3770" s="8">
        <f>IFERROR(__xludf.DUMMYFUNCTION("""COMPUTED_VALUE"""),1.263)</f>
        <v>1.263</v>
      </c>
      <c r="E3770" s="8" t="str">
        <f>IFERROR(__xludf.DUMMYFUNCTION("""COMPUTED_VALUE"""),"Real")</f>
        <v>Real</v>
      </c>
      <c r="G3770" s="8">
        <f t="shared" si="1"/>
        <v>4</v>
      </c>
      <c r="H3770" s="14">
        <f t="shared" si="2"/>
        <v>7</v>
      </c>
      <c r="I3770" s="15">
        <f t="shared" si="3"/>
        <v>2</v>
      </c>
    </row>
    <row r="3771">
      <c r="A3771" s="8" t="str">
        <f>IFERROR(__xludf.DUMMYFUNCTION("IF('(INGESTA)Datos_consumo_datadis'!A3771&lt;&gt;"""",SPLIT('(INGESTA)Datos_consumo_datadis'!A:A,"",""),"""")"),"ES0031408323131005HX0F")</f>
        <v>ES0031408323131005HX0F</v>
      </c>
      <c r="B3771" s="12">
        <f>IFERROR(__xludf.DUMMYFUNCTION("""COMPUTED_VALUE"""),45023.0)</f>
        <v>45023</v>
      </c>
      <c r="C3771" s="13">
        <f>IFERROR(__xludf.DUMMYFUNCTION("""COMPUTED_VALUE"""),0.125)</f>
        <v>0.125</v>
      </c>
      <c r="D3771" s="8">
        <f>IFERROR(__xludf.DUMMYFUNCTION("""COMPUTED_VALUE"""),0.298)</f>
        <v>0.298</v>
      </c>
      <c r="E3771" s="8" t="str">
        <f>IFERROR(__xludf.DUMMYFUNCTION("""COMPUTED_VALUE"""),"Real")</f>
        <v>Real</v>
      </c>
      <c r="G3771" s="8">
        <f t="shared" si="1"/>
        <v>4</v>
      </c>
      <c r="H3771" s="14">
        <f t="shared" si="2"/>
        <v>7</v>
      </c>
      <c r="I3771" s="15">
        <f t="shared" si="3"/>
        <v>3</v>
      </c>
    </row>
    <row r="3772">
      <c r="A3772" s="8" t="str">
        <f>IFERROR(__xludf.DUMMYFUNCTION("IF('(INGESTA)Datos_consumo_datadis'!A3772&lt;&gt;"""",SPLIT('(INGESTA)Datos_consumo_datadis'!A:A,"",""),"""")"),"ES0031408323131005HX0F")</f>
        <v>ES0031408323131005HX0F</v>
      </c>
      <c r="B3772" s="12">
        <f>IFERROR(__xludf.DUMMYFUNCTION("""COMPUTED_VALUE"""),45023.0)</f>
        <v>45023</v>
      </c>
      <c r="C3772" s="13">
        <f>IFERROR(__xludf.DUMMYFUNCTION("""COMPUTED_VALUE"""),0.16666666666666666)</f>
        <v>0.1666666667</v>
      </c>
      <c r="D3772" s="8">
        <f>IFERROR(__xludf.DUMMYFUNCTION("""COMPUTED_VALUE"""),0.031)</f>
        <v>0.031</v>
      </c>
      <c r="E3772" s="8" t="str">
        <f>IFERROR(__xludf.DUMMYFUNCTION("""COMPUTED_VALUE"""),"Real")</f>
        <v>Real</v>
      </c>
      <c r="G3772" s="8">
        <f t="shared" si="1"/>
        <v>4</v>
      </c>
      <c r="H3772" s="14">
        <f t="shared" si="2"/>
        <v>7</v>
      </c>
      <c r="I3772" s="15">
        <f t="shared" si="3"/>
        <v>4</v>
      </c>
    </row>
    <row r="3773">
      <c r="A3773" s="8" t="str">
        <f>IFERROR(__xludf.DUMMYFUNCTION("IF('(INGESTA)Datos_consumo_datadis'!A3773&lt;&gt;"""",SPLIT('(INGESTA)Datos_consumo_datadis'!A:A,"",""),"""")"),"ES0031408323131005HX0F")</f>
        <v>ES0031408323131005HX0F</v>
      </c>
      <c r="B3773" s="12">
        <f>IFERROR(__xludf.DUMMYFUNCTION("""COMPUTED_VALUE"""),45023.0)</f>
        <v>45023</v>
      </c>
      <c r="C3773" s="13">
        <f>IFERROR(__xludf.DUMMYFUNCTION("""COMPUTED_VALUE"""),0.20833333333333334)</f>
        <v>0.2083333333</v>
      </c>
      <c r="D3773" s="8">
        <f>IFERROR(__xludf.DUMMYFUNCTION("""COMPUTED_VALUE"""),0.075)</f>
        <v>0.075</v>
      </c>
      <c r="E3773" s="8" t="str">
        <f>IFERROR(__xludf.DUMMYFUNCTION("""COMPUTED_VALUE"""),"Real")</f>
        <v>Real</v>
      </c>
      <c r="G3773" s="8">
        <f t="shared" si="1"/>
        <v>4</v>
      </c>
      <c r="H3773" s="14">
        <f t="shared" si="2"/>
        <v>7</v>
      </c>
      <c r="I3773" s="15">
        <f t="shared" si="3"/>
        <v>5</v>
      </c>
    </row>
    <row r="3774">
      <c r="A3774" s="8" t="str">
        <f>IFERROR(__xludf.DUMMYFUNCTION("IF('(INGESTA)Datos_consumo_datadis'!A3774&lt;&gt;"""",SPLIT('(INGESTA)Datos_consumo_datadis'!A:A,"",""),"""")"),"ES0031408323131005HX0F")</f>
        <v>ES0031408323131005HX0F</v>
      </c>
      <c r="B3774" s="12">
        <f>IFERROR(__xludf.DUMMYFUNCTION("""COMPUTED_VALUE"""),45023.0)</f>
        <v>45023</v>
      </c>
      <c r="C3774" s="13">
        <f>IFERROR(__xludf.DUMMYFUNCTION("""COMPUTED_VALUE"""),0.25)</f>
        <v>0.25</v>
      </c>
      <c r="D3774" s="8">
        <f>IFERROR(__xludf.DUMMYFUNCTION("""COMPUTED_VALUE"""),0.325)</f>
        <v>0.325</v>
      </c>
      <c r="E3774" s="8" t="str">
        <f>IFERROR(__xludf.DUMMYFUNCTION("""COMPUTED_VALUE"""),"Real")</f>
        <v>Real</v>
      </c>
      <c r="G3774" s="8">
        <f t="shared" si="1"/>
        <v>4</v>
      </c>
      <c r="H3774" s="14">
        <f t="shared" si="2"/>
        <v>7</v>
      </c>
      <c r="I3774" s="15">
        <f t="shared" si="3"/>
        <v>6</v>
      </c>
    </row>
    <row r="3775">
      <c r="A3775" s="8" t="str">
        <f>IFERROR(__xludf.DUMMYFUNCTION("IF('(INGESTA)Datos_consumo_datadis'!A3775&lt;&gt;"""",SPLIT('(INGESTA)Datos_consumo_datadis'!A:A,"",""),"""")"),"ES0031408323131005HX0F")</f>
        <v>ES0031408323131005HX0F</v>
      </c>
      <c r="B3775" s="12">
        <f>IFERROR(__xludf.DUMMYFUNCTION("""COMPUTED_VALUE"""),45023.0)</f>
        <v>45023</v>
      </c>
      <c r="C3775" s="13">
        <f>IFERROR(__xludf.DUMMYFUNCTION("""COMPUTED_VALUE"""),0.2916666666666667)</f>
        <v>0.2916666667</v>
      </c>
      <c r="D3775" s="8">
        <f>IFERROR(__xludf.DUMMYFUNCTION("""COMPUTED_VALUE"""),0.025)</f>
        <v>0.025</v>
      </c>
      <c r="E3775" s="8" t="str">
        <f>IFERROR(__xludf.DUMMYFUNCTION("""COMPUTED_VALUE"""),"Real")</f>
        <v>Real</v>
      </c>
      <c r="G3775" s="8">
        <f t="shared" si="1"/>
        <v>4</v>
      </c>
      <c r="H3775" s="14">
        <f t="shared" si="2"/>
        <v>7</v>
      </c>
      <c r="I3775" s="15">
        <f t="shared" si="3"/>
        <v>7</v>
      </c>
    </row>
    <row r="3776">
      <c r="A3776" s="8" t="str">
        <f>IFERROR(__xludf.DUMMYFUNCTION("IF('(INGESTA)Datos_consumo_datadis'!A3776&lt;&gt;"""",SPLIT('(INGESTA)Datos_consumo_datadis'!A:A,"",""),"""")"),"ES0031408323131005HX0F")</f>
        <v>ES0031408323131005HX0F</v>
      </c>
      <c r="B3776" s="12">
        <f>IFERROR(__xludf.DUMMYFUNCTION("""COMPUTED_VALUE"""),45023.0)</f>
        <v>45023</v>
      </c>
      <c r="C3776" s="13">
        <f>IFERROR(__xludf.DUMMYFUNCTION("""COMPUTED_VALUE"""),0.3333333333333333)</f>
        <v>0.3333333333</v>
      </c>
      <c r="D3776" s="8">
        <f>IFERROR(__xludf.DUMMYFUNCTION("""COMPUTED_VALUE"""),0.05)</f>
        <v>0.05</v>
      </c>
      <c r="E3776" s="8" t="str">
        <f>IFERROR(__xludf.DUMMYFUNCTION("""COMPUTED_VALUE"""),"Real")</f>
        <v>Real</v>
      </c>
      <c r="G3776" s="8">
        <f t="shared" si="1"/>
        <v>4</v>
      </c>
      <c r="H3776" s="14">
        <f t="shared" si="2"/>
        <v>7</v>
      </c>
      <c r="I3776" s="15">
        <f t="shared" si="3"/>
        <v>8</v>
      </c>
    </row>
    <row r="3777">
      <c r="A3777" s="8" t="str">
        <f>IFERROR(__xludf.DUMMYFUNCTION("IF('(INGESTA)Datos_consumo_datadis'!A3777&lt;&gt;"""",SPLIT('(INGESTA)Datos_consumo_datadis'!A:A,"",""),"""")"),"ES0031408323131005HX0F")</f>
        <v>ES0031408323131005HX0F</v>
      </c>
      <c r="B3777" s="12">
        <f>IFERROR(__xludf.DUMMYFUNCTION("""COMPUTED_VALUE"""),45023.0)</f>
        <v>45023</v>
      </c>
      <c r="C3777" s="13">
        <f>IFERROR(__xludf.DUMMYFUNCTION("""COMPUTED_VALUE"""),0.375)</f>
        <v>0.375</v>
      </c>
      <c r="D3777" s="8">
        <f>IFERROR(__xludf.DUMMYFUNCTION("""COMPUTED_VALUE"""),0.061)</f>
        <v>0.061</v>
      </c>
      <c r="E3777" s="8" t="str">
        <f>IFERROR(__xludf.DUMMYFUNCTION("""COMPUTED_VALUE"""),"Real")</f>
        <v>Real</v>
      </c>
      <c r="G3777" s="8">
        <f t="shared" si="1"/>
        <v>4</v>
      </c>
      <c r="H3777" s="14">
        <f t="shared" si="2"/>
        <v>7</v>
      </c>
      <c r="I3777" s="15">
        <f t="shared" si="3"/>
        <v>9</v>
      </c>
    </row>
    <row r="3778">
      <c r="A3778" s="8" t="str">
        <f>IFERROR(__xludf.DUMMYFUNCTION("IF('(INGESTA)Datos_consumo_datadis'!A3778&lt;&gt;"""",SPLIT('(INGESTA)Datos_consumo_datadis'!A:A,"",""),"""")"),"ES0031408323131005HX0F")</f>
        <v>ES0031408323131005HX0F</v>
      </c>
      <c r="B3778" s="12">
        <f>IFERROR(__xludf.DUMMYFUNCTION("""COMPUTED_VALUE"""),45023.0)</f>
        <v>45023</v>
      </c>
      <c r="C3778" s="13">
        <f>IFERROR(__xludf.DUMMYFUNCTION("""COMPUTED_VALUE"""),0.4166666666666667)</f>
        <v>0.4166666667</v>
      </c>
      <c r="D3778" s="8">
        <f>IFERROR(__xludf.DUMMYFUNCTION("""COMPUTED_VALUE"""),0.051)</f>
        <v>0.051</v>
      </c>
      <c r="E3778" s="8" t="str">
        <f>IFERROR(__xludf.DUMMYFUNCTION("""COMPUTED_VALUE"""),"Real")</f>
        <v>Real</v>
      </c>
      <c r="G3778" s="8">
        <f t="shared" si="1"/>
        <v>4</v>
      </c>
      <c r="H3778" s="14">
        <f t="shared" si="2"/>
        <v>7</v>
      </c>
      <c r="I3778" s="15">
        <f t="shared" si="3"/>
        <v>10</v>
      </c>
    </row>
    <row r="3779">
      <c r="A3779" s="8" t="str">
        <f>IFERROR(__xludf.DUMMYFUNCTION("IF('(INGESTA)Datos_consumo_datadis'!A3779&lt;&gt;"""",SPLIT('(INGESTA)Datos_consumo_datadis'!A:A,"",""),"""")"),"ES0031408323131005HX0F")</f>
        <v>ES0031408323131005HX0F</v>
      </c>
      <c r="B3779" s="12">
        <f>IFERROR(__xludf.DUMMYFUNCTION("""COMPUTED_VALUE"""),45023.0)</f>
        <v>45023</v>
      </c>
      <c r="C3779" s="13">
        <f>IFERROR(__xludf.DUMMYFUNCTION("""COMPUTED_VALUE"""),0.4583333333333333)</f>
        <v>0.4583333333</v>
      </c>
      <c r="D3779" s="8">
        <f>IFERROR(__xludf.DUMMYFUNCTION("""COMPUTED_VALUE"""),0.021)</f>
        <v>0.021</v>
      </c>
      <c r="E3779" s="8" t="str">
        <f>IFERROR(__xludf.DUMMYFUNCTION("""COMPUTED_VALUE"""),"Real")</f>
        <v>Real</v>
      </c>
      <c r="G3779" s="8">
        <f t="shared" si="1"/>
        <v>4</v>
      </c>
      <c r="H3779" s="14">
        <f t="shared" si="2"/>
        <v>7</v>
      </c>
      <c r="I3779" s="15">
        <f t="shared" si="3"/>
        <v>11</v>
      </c>
    </row>
    <row r="3780">
      <c r="A3780" s="8" t="str">
        <f>IFERROR(__xludf.DUMMYFUNCTION("IF('(INGESTA)Datos_consumo_datadis'!A3780&lt;&gt;"""",SPLIT('(INGESTA)Datos_consumo_datadis'!A:A,"",""),"""")"),"ES0031408323131005HX0F")</f>
        <v>ES0031408323131005HX0F</v>
      </c>
      <c r="B3780" s="12">
        <f>IFERROR(__xludf.DUMMYFUNCTION("""COMPUTED_VALUE"""),45023.0)</f>
        <v>45023</v>
      </c>
      <c r="C3780" s="13">
        <f>IFERROR(__xludf.DUMMYFUNCTION("""COMPUTED_VALUE"""),0.5)</f>
        <v>0.5</v>
      </c>
      <c r="D3780" s="8">
        <f>IFERROR(__xludf.DUMMYFUNCTION("""COMPUTED_VALUE"""),0.64)</f>
        <v>0.64</v>
      </c>
      <c r="E3780" s="8" t="str">
        <f>IFERROR(__xludf.DUMMYFUNCTION("""COMPUTED_VALUE"""),"Real")</f>
        <v>Real</v>
      </c>
      <c r="G3780" s="8">
        <f t="shared" si="1"/>
        <v>4</v>
      </c>
      <c r="H3780" s="14">
        <f t="shared" si="2"/>
        <v>7</v>
      </c>
      <c r="I3780" s="15">
        <f t="shared" si="3"/>
        <v>12</v>
      </c>
    </row>
    <row r="3781">
      <c r="A3781" s="8" t="str">
        <f>IFERROR(__xludf.DUMMYFUNCTION("IF('(INGESTA)Datos_consumo_datadis'!A3781&lt;&gt;"""",SPLIT('(INGESTA)Datos_consumo_datadis'!A:A,"",""),"""")"),"ES0031408323131005HX0F")</f>
        <v>ES0031408323131005HX0F</v>
      </c>
      <c r="B3781" s="12">
        <f>IFERROR(__xludf.DUMMYFUNCTION("""COMPUTED_VALUE"""),45023.0)</f>
        <v>45023</v>
      </c>
      <c r="C3781" s="13">
        <f>IFERROR(__xludf.DUMMYFUNCTION("""COMPUTED_VALUE"""),0.5416666666666666)</f>
        <v>0.5416666667</v>
      </c>
      <c r="D3781" s="8">
        <f>IFERROR(__xludf.DUMMYFUNCTION("""COMPUTED_VALUE"""),0.979)</f>
        <v>0.979</v>
      </c>
      <c r="E3781" s="8" t="str">
        <f>IFERROR(__xludf.DUMMYFUNCTION("""COMPUTED_VALUE"""),"Real")</f>
        <v>Real</v>
      </c>
      <c r="G3781" s="8">
        <f t="shared" si="1"/>
        <v>4</v>
      </c>
      <c r="H3781" s="14">
        <f t="shared" si="2"/>
        <v>7</v>
      </c>
      <c r="I3781" s="15">
        <f t="shared" si="3"/>
        <v>13</v>
      </c>
    </row>
    <row r="3782">
      <c r="A3782" s="8" t="str">
        <f>IFERROR(__xludf.DUMMYFUNCTION("IF('(INGESTA)Datos_consumo_datadis'!A3782&lt;&gt;"""",SPLIT('(INGESTA)Datos_consumo_datadis'!A:A,"",""),"""")"),"ES0031408323131005HX0F")</f>
        <v>ES0031408323131005HX0F</v>
      </c>
      <c r="B3782" s="12">
        <f>IFERROR(__xludf.DUMMYFUNCTION("""COMPUTED_VALUE"""),45023.0)</f>
        <v>45023</v>
      </c>
      <c r="C3782" s="13">
        <f>IFERROR(__xludf.DUMMYFUNCTION("""COMPUTED_VALUE"""),0.5833333333333334)</f>
        <v>0.5833333333</v>
      </c>
      <c r="D3782" s="8">
        <f>IFERROR(__xludf.DUMMYFUNCTION("""COMPUTED_VALUE"""),1.221)</f>
        <v>1.221</v>
      </c>
      <c r="E3782" s="8" t="str">
        <f>IFERROR(__xludf.DUMMYFUNCTION("""COMPUTED_VALUE"""),"Real")</f>
        <v>Real</v>
      </c>
      <c r="G3782" s="8">
        <f t="shared" si="1"/>
        <v>4</v>
      </c>
      <c r="H3782" s="14">
        <f t="shared" si="2"/>
        <v>7</v>
      </c>
      <c r="I3782" s="15">
        <f t="shared" si="3"/>
        <v>14</v>
      </c>
    </row>
    <row r="3783">
      <c r="A3783" s="8" t="str">
        <f>IFERROR(__xludf.DUMMYFUNCTION("IF('(INGESTA)Datos_consumo_datadis'!A3783&lt;&gt;"""",SPLIT('(INGESTA)Datos_consumo_datadis'!A:A,"",""),"""")"),"ES0031408323131005HX0F")</f>
        <v>ES0031408323131005HX0F</v>
      </c>
      <c r="B3783" s="12">
        <f>IFERROR(__xludf.DUMMYFUNCTION("""COMPUTED_VALUE"""),45023.0)</f>
        <v>45023</v>
      </c>
      <c r="C3783" s="13">
        <f>IFERROR(__xludf.DUMMYFUNCTION("""COMPUTED_VALUE"""),0.625)</f>
        <v>0.625</v>
      </c>
      <c r="D3783" s="8">
        <f>IFERROR(__xludf.DUMMYFUNCTION("""COMPUTED_VALUE"""),0.312)</f>
        <v>0.312</v>
      </c>
      <c r="E3783" s="8" t="str">
        <f>IFERROR(__xludf.DUMMYFUNCTION("""COMPUTED_VALUE"""),"Real")</f>
        <v>Real</v>
      </c>
      <c r="G3783" s="8">
        <f t="shared" si="1"/>
        <v>4</v>
      </c>
      <c r="H3783" s="14">
        <f t="shared" si="2"/>
        <v>7</v>
      </c>
      <c r="I3783" s="15">
        <f t="shared" si="3"/>
        <v>15</v>
      </c>
    </row>
    <row r="3784">
      <c r="A3784" s="8" t="str">
        <f>IFERROR(__xludf.DUMMYFUNCTION("IF('(INGESTA)Datos_consumo_datadis'!A3784&lt;&gt;"""",SPLIT('(INGESTA)Datos_consumo_datadis'!A:A,"",""),"""")"),"ES0031408323131005HX0F")</f>
        <v>ES0031408323131005HX0F</v>
      </c>
      <c r="B3784" s="12">
        <f>IFERROR(__xludf.DUMMYFUNCTION("""COMPUTED_VALUE"""),45023.0)</f>
        <v>45023</v>
      </c>
      <c r="C3784" s="13">
        <f>IFERROR(__xludf.DUMMYFUNCTION("""COMPUTED_VALUE"""),0.6666666666666666)</f>
        <v>0.6666666667</v>
      </c>
      <c r="D3784" s="8">
        <f>IFERROR(__xludf.DUMMYFUNCTION("""COMPUTED_VALUE"""),0.058)</f>
        <v>0.058</v>
      </c>
      <c r="E3784" s="8" t="str">
        <f>IFERROR(__xludf.DUMMYFUNCTION("""COMPUTED_VALUE"""),"Real")</f>
        <v>Real</v>
      </c>
      <c r="G3784" s="8">
        <f t="shared" si="1"/>
        <v>4</v>
      </c>
      <c r="H3784" s="14">
        <f t="shared" si="2"/>
        <v>7</v>
      </c>
      <c r="I3784" s="15">
        <f t="shared" si="3"/>
        <v>16</v>
      </c>
    </row>
    <row r="3785">
      <c r="A3785" s="8" t="str">
        <f>IFERROR(__xludf.DUMMYFUNCTION("IF('(INGESTA)Datos_consumo_datadis'!A3785&lt;&gt;"""",SPLIT('(INGESTA)Datos_consumo_datadis'!A:A,"",""),"""")"),"ES0031408323131005HX0F")</f>
        <v>ES0031408323131005HX0F</v>
      </c>
      <c r="B3785" s="12">
        <f>IFERROR(__xludf.DUMMYFUNCTION("""COMPUTED_VALUE"""),45023.0)</f>
        <v>45023</v>
      </c>
      <c r="C3785" s="13">
        <f>IFERROR(__xludf.DUMMYFUNCTION("""COMPUTED_VALUE"""),0.7083333333333334)</f>
        <v>0.7083333333</v>
      </c>
      <c r="D3785" s="8">
        <f>IFERROR(__xludf.DUMMYFUNCTION("""COMPUTED_VALUE"""),0.806)</f>
        <v>0.806</v>
      </c>
      <c r="E3785" s="8" t="str">
        <f>IFERROR(__xludf.DUMMYFUNCTION("""COMPUTED_VALUE"""),"Real")</f>
        <v>Real</v>
      </c>
      <c r="G3785" s="8">
        <f t="shared" si="1"/>
        <v>4</v>
      </c>
      <c r="H3785" s="14">
        <f t="shared" si="2"/>
        <v>7</v>
      </c>
      <c r="I3785" s="15">
        <f t="shared" si="3"/>
        <v>17</v>
      </c>
    </row>
    <row r="3786">
      <c r="A3786" s="8" t="str">
        <f>IFERROR(__xludf.DUMMYFUNCTION("IF('(INGESTA)Datos_consumo_datadis'!A3786&lt;&gt;"""",SPLIT('(INGESTA)Datos_consumo_datadis'!A:A,"",""),"""")"),"ES0031408323131005HX0F")</f>
        <v>ES0031408323131005HX0F</v>
      </c>
      <c r="B3786" s="12">
        <f>IFERROR(__xludf.DUMMYFUNCTION("""COMPUTED_VALUE"""),45023.0)</f>
        <v>45023</v>
      </c>
      <c r="C3786" s="13">
        <f>IFERROR(__xludf.DUMMYFUNCTION("""COMPUTED_VALUE"""),0.75)</f>
        <v>0.75</v>
      </c>
      <c r="D3786" s="8">
        <f>IFERROR(__xludf.DUMMYFUNCTION("""COMPUTED_VALUE"""),0.029)</f>
        <v>0.029</v>
      </c>
      <c r="E3786" s="8" t="str">
        <f>IFERROR(__xludf.DUMMYFUNCTION("""COMPUTED_VALUE"""),"Real")</f>
        <v>Real</v>
      </c>
      <c r="G3786" s="8">
        <f t="shared" si="1"/>
        <v>4</v>
      </c>
      <c r="H3786" s="14">
        <f t="shared" si="2"/>
        <v>7</v>
      </c>
      <c r="I3786" s="15">
        <f t="shared" si="3"/>
        <v>18</v>
      </c>
    </row>
    <row r="3787">
      <c r="A3787" s="8" t="str">
        <f>IFERROR(__xludf.DUMMYFUNCTION("IF('(INGESTA)Datos_consumo_datadis'!A3787&lt;&gt;"""",SPLIT('(INGESTA)Datos_consumo_datadis'!A:A,"",""),"""")"),"ES0031408323131005HX0F")</f>
        <v>ES0031408323131005HX0F</v>
      </c>
      <c r="B3787" s="12">
        <f>IFERROR(__xludf.DUMMYFUNCTION("""COMPUTED_VALUE"""),45023.0)</f>
        <v>45023</v>
      </c>
      <c r="C3787" s="13">
        <f>IFERROR(__xludf.DUMMYFUNCTION("""COMPUTED_VALUE"""),0.7916666666666666)</f>
        <v>0.7916666667</v>
      </c>
      <c r="D3787" s="8">
        <f>IFERROR(__xludf.DUMMYFUNCTION("""COMPUTED_VALUE"""),0.104)</f>
        <v>0.104</v>
      </c>
      <c r="E3787" s="8" t="str">
        <f>IFERROR(__xludf.DUMMYFUNCTION("""COMPUTED_VALUE"""),"Real")</f>
        <v>Real</v>
      </c>
      <c r="G3787" s="8">
        <f t="shared" si="1"/>
        <v>4</v>
      </c>
      <c r="H3787" s="14">
        <f t="shared" si="2"/>
        <v>7</v>
      </c>
      <c r="I3787" s="15">
        <f t="shared" si="3"/>
        <v>19</v>
      </c>
    </row>
    <row r="3788">
      <c r="A3788" s="8" t="str">
        <f>IFERROR(__xludf.DUMMYFUNCTION("IF('(INGESTA)Datos_consumo_datadis'!A3788&lt;&gt;"""",SPLIT('(INGESTA)Datos_consumo_datadis'!A:A,"",""),"""")"),"ES0031408323131005HX0F")</f>
        <v>ES0031408323131005HX0F</v>
      </c>
      <c r="B3788" s="12">
        <f>IFERROR(__xludf.DUMMYFUNCTION("""COMPUTED_VALUE"""),45023.0)</f>
        <v>45023</v>
      </c>
      <c r="C3788" s="13">
        <f>IFERROR(__xludf.DUMMYFUNCTION("""COMPUTED_VALUE"""),0.8333333333333334)</f>
        <v>0.8333333333</v>
      </c>
      <c r="D3788" s="8">
        <f>IFERROR(__xludf.DUMMYFUNCTION("""COMPUTED_VALUE"""),0.055)</f>
        <v>0.055</v>
      </c>
      <c r="E3788" s="8" t="str">
        <f>IFERROR(__xludf.DUMMYFUNCTION("""COMPUTED_VALUE"""),"Real")</f>
        <v>Real</v>
      </c>
      <c r="G3788" s="8">
        <f t="shared" si="1"/>
        <v>4</v>
      </c>
      <c r="H3788" s="14">
        <f t="shared" si="2"/>
        <v>7</v>
      </c>
      <c r="I3788" s="15">
        <f t="shared" si="3"/>
        <v>20</v>
      </c>
    </row>
    <row r="3789">
      <c r="A3789" s="8" t="str">
        <f>IFERROR(__xludf.DUMMYFUNCTION("IF('(INGESTA)Datos_consumo_datadis'!A3789&lt;&gt;"""",SPLIT('(INGESTA)Datos_consumo_datadis'!A:A,"",""),"""")"),"ES0031408323131005HX0F")</f>
        <v>ES0031408323131005HX0F</v>
      </c>
      <c r="B3789" s="12">
        <f>IFERROR(__xludf.DUMMYFUNCTION("""COMPUTED_VALUE"""),45023.0)</f>
        <v>45023</v>
      </c>
      <c r="C3789" s="13">
        <f>IFERROR(__xludf.DUMMYFUNCTION("""COMPUTED_VALUE"""),0.875)</f>
        <v>0.875</v>
      </c>
      <c r="D3789" s="8">
        <f>IFERROR(__xludf.DUMMYFUNCTION("""COMPUTED_VALUE"""),0.017)</f>
        <v>0.017</v>
      </c>
      <c r="E3789" s="8" t="str">
        <f>IFERROR(__xludf.DUMMYFUNCTION("""COMPUTED_VALUE"""),"Real")</f>
        <v>Real</v>
      </c>
      <c r="G3789" s="8">
        <f t="shared" si="1"/>
        <v>4</v>
      </c>
      <c r="H3789" s="14">
        <f t="shared" si="2"/>
        <v>7</v>
      </c>
      <c r="I3789" s="15">
        <f t="shared" si="3"/>
        <v>21</v>
      </c>
    </row>
    <row r="3790">
      <c r="A3790" s="8" t="str">
        <f>IFERROR(__xludf.DUMMYFUNCTION("IF('(INGESTA)Datos_consumo_datadis'!A3790&lt;&gt;"""",SPLIT('(INGESTA)Datos_consumo_datadis'!A:A,"",""),"""")"),"ES0031408323131005HX0F")</f>
        <v>ES0031408323131005HX0F</v>
      </c>
      <c r="B3790" s="12">
        <f>IFERROR(__xludf.DUMMYFUNCTION("""COMPUTED_VALUE"""),45023.0)</f>
        <v>45023</v>
      </c>
      <c r="C3790" s="13">
        <f>IFERROR(__xludf.DUMMYFUNCTION("""COMPUTED_VALUE"""),0.9166666666666666)</f>
        <v>0.9166666667</v>
      </c>
      <c r="D3790" s="8">
        <f>IFERROR(__xludf.DUMMYFUNCTION("""COMPUTED_VALUE"""),2.185)</f>
        <v>2.185</v>
      </c>
      <c r="E3790" s="8" t="str">
        <f>IFERROR(__xludf.DUMMYFUNCTION("""COMPUTED_VALUE"""),"Real")</f>
        <v>Real</v>
      </c>
      <c r="G3790" s="8">
        <f t="shared" si="1"/>
        <v>4</v>
      </c>
      <c r="H3790" s="14">
        <f t="shared" si="2"/>
        <v>7</v>
      </c>
      <c r="I3790" s="15">
        <f t="shared" si="3"/>
        <v>22</v>
      </c>
    </row>
    <row r="3791">
      <c r="A3791" s="8" t="str">
        <f>IFERROR(__xludf.DUMMYFUNCTION("IF('(INGESTA)Datos_consumo_datadis'!A3791&lt;&gt;"""",SPLIT('(INGESTA)Datos_consumo_datadis'!A:A,"",""),"""")"),"ES0031408323131005HX0F")</f>
        <v>ES0031408323131005HX0F</v>
      </c>
      <c r="B3791" s="12">
        <f>IFERROR(__xludf.DUMMYFUNCTION("""COMPUTED_VALUE"""),45023.0)</f>
        <v>45023</v>
      </c>
      <c r="C3791" s="13">
        <f>IFERROR(__xludf.DUMMYFUNCTION("""COMPUTED_VALUE"""),0.9583333333333334)</f>
        <v>0.9583333333</v>
      </c>
      <c r="D3791" s="8">
        <f>IFERROR(__xludf.DUMMYFUNCTION("""COMPUTED_VALUE"""),1.374)</f>
        <v>1.374</v>
      </c>
      <c r="E3791" s="8" t="str">
        <f>IFERROR(__xludf.DUMMYFUNCTION("""COMPUTED_VALUE"""),"Real")</f>
        <v>Real</v>
      </c>
      <c r="G3791" s="8">
        <f t="shared" si="1"/>
        <v>4</v>
      </c>
      <c r="H3791" s="14">
        <f t="shared" si="2"/>
        <v>7</v>
      </c>
      <c r="I3791" s="15">
        <f t="shared" si="3"/>
        <v>23</v>
      </c>
    </row>
    <row r="3792">
      <c r="A3792" s="8" t="str">
        <f>IFERROR(__xludf.DUMMYFUNCTION("IF('(INGESTA)Datos_consumo_datadis'!A3792&lt;&gt;"""",SPLIT('(INGESTA)Datos_consumo_datadis'!A:A,"",""),"""")"),"ES0031408323131005HX0F")</f>
        <v>ES0031408323131005HX0F</v>
      </c>
      <c r="B3792" s="12">
        <f>IFERROR(__xludf.DUMMYFUNCTION("""COMPUTED_VALUE"""),45023.0)</f>
        <v>45023</v>
      </c>
      <c r="C3792" s="16">
        <f>IFERROR(__xludf.DUMMYFUNCTION("""COMPUTED_VALUE"""),1.0)</f>
        <v>1</v>
      </c>
      <c r="D3792" s="8">
        <f>IFERROR(__xludf.DUMMYFUNCTION("""COMPUTED_VALUE"""),1.88)</f>
        <v>1.88</v>
      </c>
      <c r="E3792" s="8" t="str">
        <f>IFERROR(__xludf.DUMMYFUNCTION("""COMPUTED_VALUE"""),"Real")</f>
        <v>Real</v>
      </c>
      <c r="G3792" s="8">
        <f t="shared" si="1"/>
        <v>4</v>
      </c>
      <c r="H3792" s="14">
        <f t="shared" si="2"/>
        <v>7</v>
      </c>
      <c r="I3792" s="15">
        <f t="shared" si="3"/>
        <v>0</v>
      </c>
    </row>
    <row r="3793">
      <c r="A3793" s="8" t="str">
        <f>IFERROR(__xludf.DUMMYFUNCTION("IF('(INGESTA)Datos_consumo_datadis'!A3793&lt;&gt;"""",SPLIT('(INGESTA)Datos_consumo_datadis'!A:A,"",""),"""")"),"ES0031408323131005HX0F")</f>
        <v>ES0031408323131005HX0F</v>
      </c>
      <c r="B3793" s="12">
        <f>IFERROR(__xludf.DUMMYFUNCTION("""COMPUTED_VALUE"""),45024.0)</f>
        <v>45024</v>
      </c>
      <c r="C3793" s="13">
        <f>IFERROR(__xludf.DUMMYFUNCTION("""COMPUTED_VALUE"""),0.041666666666666664)</f>
        <v>0.04166666667</v>
      </c>
      <c r="D3793" s="8">
        <f>IFERROR(__xludf.DUMMYFUNCTION("""COMPUTED_VALUE"""),0.791)</f>
        <v>0.791</v>
      </c>
      <c r="E3793" s="8" t="str">
        <f>IFERROR(__xludf.DUMMYFUNCTION("""COMPUTED_VALUE"""),"Real")</f>
        <v>Real</v>
      </c>
      <c r="G3793" s="8">
        <f t="shared" si="1"/>
        <v>4</v>
      </c>
      <c r="H3793" s="14">
        <f t="shared" si="2"/>
        <v>8</v>
      </c>
      <c r="I3793" s="15">
        <f t="shared" si="3"/>
        <v>1</v>
      </c>
    </row>
    <row r="3794">
      <c r="A3794" s="8" t="str">
        <f>IFERROR(__xludf.DUMMYFUNCTION("IF('(INGESTA)Datos_consumo_datadis'!A3794&lt;&gt;"""",SPLIT('(INGESTA)Datos_consumo_datadis'!A:A,"",""),"""")"),"ES0031408323131005HX0F")</f>
        <v>ES0031408323131005HX0F</v>
      </c>
      <c r="B3794" s="12">
        <f>IFERROR(__xludf.DUMMYFUNCTION("""COMPUTED_VALUE"""),45024.0)</f>
        <v>45024</v>
      </c>
      <c r="C3794" s="13">
        <f>IFERROR(__xludf.DUMMYFUNCTION("""COMPUTED_VALUE"""),0.08333333333333333)</f>
        <v>0.08333333333</v>
      </c>
      <c r="D3794" s="8">
        <f>IFERROR(__xludf.DUMMYFUNCTION("""COMPUTED_VALUE"""),0.208)</f>
        <v>0.208</v>
      </c>
      <c r="E3794" s="8" t="str">
        <f>IFERROR(__xludf.DUMMYFUNCTION("""COMPUTED_VALUE"""),"Real")</f>
        <v>Real</v>
      </c>
      <c r="G3794" s="8">
        <f t="shared" si="1"/>
        <v>4</v>
      </c>
      <c r="H3794" s="14">
        <f t="shared" si="2"/>
        <v>8</v>
      </c>
      <c r="I3794" s="15">
        <f t="shared" si="3"/>
        <v>2</v>
      </c>
    </row>
    <row r="3795">
      <c r="A3795" s="8" t="str">
        <f>IFERROR(__xludf.DUMMYFUNCTION("IF('(INGESTA)Datos_consumo_datadis'!A3795&lt;&gt;"""",SPLIT('(INGESTA)Datos_consumo_datadis'!A:A,"",""),"""")"),"ES0031408323131005HX0F")</f>
        <v>ES0031408323131005HX0F</v>
      </c>
      <c r="B3795" s="12">
        <f>IFERROR(__xludf.DUMMYFUNCTION("""COMPUTED_VALUE"""),45024.0)</f>
        <v>45024</v>
      </c>
      <c r="C3795" s="13">
        <f>IFERROR(__xludf.DUMMYFUNCTION("""COMPUTED_VALUE"""),0.125)</f>
        <v>0.125</v>
      </c>
      <c r="D3795" s="8">
        <f>IFERROR(__xludf.DUMMYFUNCTION("""COMPUTED_VALUE"""),0.186)</f>
        <v>0.186</v>
      </c>
      <c r="E3795" s="8" t="str">
        <f>IFERROR(__xludf.DUMMYFUNCTION("""COMPUTED_VALUE"""),"Real")</f>
        <v>Real</v>
      </c>
      <c r="G3795" s="8">
        <f t="shared" si="1"/>
        <v>4</v>
      </c>
      <c r="H3795" s="14">
        <f t="shared" si="2"/>
        <v>8</v>
      </c>
      <c r="I3795" s="15">
        <f t="shared" si="3"/>
        <v>3</v>
      </c>
    </row>
    <row r="3796">
      <c r="A3796" s="8" t="str">
        <f>IFERROR(__xludf.DUMMYFUNCTION("IF('(INGESTA)Datos_consumo_datadis'!A3796&lt;&gt;"""",SPLIT('(INGESTA)Datos_consumo_datadis'!A:A,"",""),"""")"),"ES0031408323131005HX0F")</f>
        <v>ES0031408323131005HX0F</v>
      </c>
      <c r="B3796" s="12">
        <f>IFERROR(__xludf.DUMMYFUNCTION("""COMPUTED_VALUE"""),45024.0)</f>
        <v>45024</v>
      </c>
      <c r="C3796" s="13">
        <f>IFERROR(__xludf.DUMMYFUNCTION("""COMPUTED_VALUE"""),0.16666666666666666)</f>
        <v>0.1666666667</v>
      </c>
      <c r="D3796" s="8">
        <f>IFERROR(__xludf.DUMMYFUNCTION("""COMPUTED_VALUE"""),0.059)</f>
        <v>0.059</v>
      </c>
      <c r="E3796" s="8" t="str">
        <f>IFERROR(__xludf.DUMMYFUNCTION("""COMPUTED_VALUE"""),"Real")</f>
        <v>Real</v>
      </c>
      <c r="G3796" s="8">
        <f t="shared" si="1"/>
        <v>4</v>
      </c>
      <c r="H3796" s="14">
        <f t="shared" si="2"/>
        <v>8</v>
      </c>
      <c r="I3796" s="15">
        <f t="shared" si="3"/>
        <v>4</v>
      </c>
    </row>
    <row r="3797">
      <c r="A3797" s="8" t="str">
        <f>IFERROR(__xludf.DUMMYFUNCTION("IF('(INGESTA)Datos_consumo_datadis'!A3797&lt;&gt;"""",SPLIT('(INGESTA)Datos_consumo_datadis'!A:A,"",""),"""")"),"ES0031408323131005HX0F")</f>
        <v>ES0031408323131005HX0F</v>
      </c>
      <c r="B3797" s="12">
        <f>IFERROR(__xludf.DUMMYFUNCTION("""COMPUTED_VALUE"""),45024.0)</f>
        <v>45024</v>
      </c>
      <c r="C3797" s="13">
        <f>IFERROR(__xludf.DUMMYFUNCTION("""COMPUTED_VALUE"""),0.20833333333333334)</f>
        <v>0.2083333333</v>
      </c>
      <c r="D3797" s="8">
        <f>IFERROR(__xludf.DUMMYFUNCTION("""COMPUTED_VALUE"""),0.282)</f>
        <v>0.282</v>
      </c>
      <c r="E3797" s="8" t="str">
        <f>IFERROR(__xludf.DUMMYFUNCTION("""COMPUTED_VALUE"""),"Real")</f>
        <v>Real</v>
      </c>
      <c r="G3797" s="8">
        <f t="shared" si="1"/>
        <v>4</v>
      </c>
      <c r="H3797" s="14">
        <f t="shared" si="2"/>
        <v>8</v>
      </c>
      <c r="I3797" s="15">
        <f t="shared" si="3"/>
        <v>5</v>
      </c>
    </row>
    <row r="3798">
      <c r="A3798" s="8" t="str">
        <f>IFERROR(__xludf.DUMMYFUNCTION("IF('(INGESTA)Datos_consumo_datadis'!A3798&lt;&gt;"""",SPLIT('(INGESTA)Datos_consumo_datadis'!A:A,"",""),"""")"),"ES0031408323131005HX0F")</f>
        <v>ES0031408323131005HX0F</v>
      </c>
      <c r="B3798" s="12">
        <f>IFERROR(__xludf.DUMMYFUNCTION("""COMPUTED_VALUE"""),45024.0)</f>
        <v>45024</v>
      </c>
      <c r="C3798" s="13">
        <f>IFERROR(__xludf.DUMMYFUNCTION("""COMPUTED_VALUE"""),0.25)</f>
        <v>0.25</v>
      </c>
      <c r="D3798" s="8">
        <f>IFERROR(__xludf.DUMMYFUNCTION("""COMPUTED_VALUE"""),0.062)</f>
        <v>0.062</v>
      </c>
      <c r="E3798" s="8" t="str">
        <f>IFERROR(__xludf.DUMMYFUNCTION("""COMPUTED_VALUE"""),"Real")</f>
        <v>Real</v>
      </c>
      <c r="G3798" s="8">
        <f t="shared" si="1"/>
        <v>4</v>
      </c>
      <c r="H3798" s="14">
        <f t="shared" si="2"/>
        <v>8</v>
      </c>
      <c r="I3798" s="15">
        <f t="shared" si="3"/>
        <v>6</v>
      </c>
    </row>
    <row r="3799">
      <c r="A3799" s="8" t="str">
        <f>IFERROR(__xludf.DUMMYFUNCTION("IF('(INGESTA)Datos_consumo_datadis'!A3799&lt;&gt;"""",SPLIT('(INGESTA)Datos_consumo_datadis'!A:A,"",""),"""")"),"ES0031408323131005HX0F")</f>
        <v>ES0031408323131005HX0F</v>
      </c>
      <c r="B3799" s="12">
        <f>IFERROR(__xludf.DUMMYFUNCTION("""COMPUTED_VALUE"""),45024.0)</f>
        <v>45024</v>
      </c>
      <c r="C3799" s="13">
        <f>IFERROR(__xludf.DUMMYFUNCTION("""COMPUTED_VALUE"""),0.2916666666666667)</f>
        <v>0.2916666667</v>
      </c>
      <c r="D3799" s="8">
        <f>IFERROR(__xludf.DUMMYFUNCTION("""COMPUTED_VALUE"""),0.098)</f>
        <v>0.098</v>
      </c>
      <c r="E3799" s="8" t="str">
        <f>IFERROR(__xludf.DUMMYFUNCTION("""COMPUTED_VALUE"""),"Real")</f>
        <v>Real</v>
      </c>
      <c r="G3799" s="8">
        <f t="shared" si="1"/>
        <v>4</v>
      </c>
      <c r="H3799" s="14">
        <f t="shared" si="2"/>
        <v>8</v>
      </c>
      <c r="I3799" s="15">
        <f t="shared" si="3"/>
        <v>7</v>
      </c>
    </row>
    <row r="3800">
      <c r="A3800" s="8" t="str">
        <f>IFERROR(__xludf.DUMMYFUNCTION("IF('(INGESTA)Datos_consumo_datadis'!A3800&lt;&gt;"""",SPLIT('(INGESTA)Datos_consumo_datadis'!A:A,"",""),"""")"),"ES0031408323131005HX0F")</f>
        <v>ES0031408323131005HX0F</v>
      </c>
      <c r="B3800" s="12">
        <f>IFERROR(__xludf.DUMMYFUNCTION("""COMPUTED_VALUE"""),45024.0)</f>
        <v>45024</v>
      </c>
      <c r="C3800" s="13">
        <f>IFERROR(__xludf.DUMMYFUNCTION("""COMPUTED_VALUE"""),0.3333333333333333)</f>
        <v>0.3333333333</v>
      </c>
      <c r="D3800" s="8">
        <f>IFERROR(__xludf.DUMMYFUNCTION("""COMPUTED_VALUE"""),0.057)</f>
        <v>0.057</v>
      </c>
      <c r="E3800" s="8" t="str">
        <f>IFERROR(__xludf.DUMMYFUNCTION("""COMPUTED_VALUE"""),"Real")</f>
        <v>Real</v>
      </c>
      <c r="G3800" s="8">
        <f t="shared" si="1"/>
        <v>4</v>
      </c>
      <c r="H3800" s="14">
        <f t="shared" si="2"/>
        <v>8</v>
      </c>
      <c r="I3800" s="15">
        <f t="shared" si="3"/>
        <v>8</v>
      </c>
    </row>
    <row r="3801">
      <c r="A3801" s="8" t="str">
        <f>IFERROR(__xludf.DUMMYFUNCTION("IF('(INGESTA)Datos_consumo_datadis'!A3801&lt;&gt;"""",SPLIT('(INGESTA)Datos_consumo_datadis'!A:A,"",""),"""")"),"ES0031408323131005HX0F")</f>
        <v>ES0031408323131005HX0F</v>
      </c>
      <c r="B3801" s="12">
        <f>IFERROR(__xludf.DUMMYFUNCTION("""COMPUTED_VALUE"""),45024.0)</f>
        <v>45024</v>
      </c>
      <c r="C3801" s="13">
        <f>IFERROR(__xludf.DUMMYFUNCTION("""COMPUTED_VALUE"""),0.375)</f>
        <v>0.375</v>
      </c>
      <c r="D3801" s="8">
        <f>IFERROR(__xludf.DUMMYFUNCTION("""COMPUTED_VALUE"""),0.016)</f>
        <v>0.016</v>
      </c>
      <c r="E3801" s="8" t="str">
        <f>IFERROR(__xludf.DUMMYFUNCTION("""COMPUTED_VALUE"""),"Real")</f>
        <v>Real</v>
      </c>
      <c r="G3801" s="8">
        <f t="shared" si="1"/>
        <v>4</v>
      </c>
      <c r="H3801" s="14">
        <f t="shared" si="2"/>
        <v>8</v>
      </c>
      <c r="I3801" s="15">
        <f t="shared" si="3"/>
        <v>9</v>
      </c>
    </row>
    <row r="3802">
      <c r="A3802" s="8" t="str">
        <f>IFERROR(__xludf.DUMMYFUNCTION("IF('(INGESTA)Datos_consumo_datadis'!A3802&lt;&gt;"""",SPLIT('(INGESTA)Datos_consumo_datadis'!A:A,"",""),"""")"),"ES0031408323131005HX0F")</f>
        <v>ES0031408323131005HX0F</v>
      </c>
      <c r="B3802" s="12">
        <f>IFERROR(__xludf.DUMMYFUNCTION("""COMPUTED_VALUE"""),45024.0)</f>
        <v>45024</v>
      </c>
      <c r="C3802" s="13">
        <f>IFERROR(__xludf.DUMMYFUNCTION("""COMPUTED_VALUE"""),0.4166666666666667)</f>
        <v>0.4166666667</v>
      </c>
      <c r="D3802" s="8">
        <f>IFERROR(__xludf.DUMMYFUNCTION("""COMPUTED_VALUE"""),0.096)</f>
        <v>0.096</v>
      </c>
      <c r="E3802" s="8" t="str">
        <f>IFERROR(__xludf.DUMMYFUNCTION("""COMPUTED_VALUE"""),"Real")</f>
        <v>Real</v>
      </c>
      <c r="G3802" s="8">
        <f t="shared" si="1"/>
        <v>4</v>
      </c>
      <c r="H3802" s="14">
        <f t="shared" si="2"/>
        <v>8</v>
      </c>
      <c r="I3802" s="15">
        <f t="shared" si="3"/>
        <v>10</v>
      </c>
    </row>
    <row r="3803">
      <c r="A3803" s="8" t="str">
        <f>IFERROR(__xludf.DUMMYFUNCTION("IF('(INGESTA)Datos_consumo_datadis'!A3803&lt;&gt;"""",SPLIT('(INGESTA)Datos_consumo_datadis'!A:A,"",""),"""")"),"ES0031408323131005HX0F")</f>
        <v>ES0031408323131005HX0F</v>
      </c>
      <c r="B3803" s="12">
        <f>IFERROR(__xludf.DUMMYFUNCTION("""COMPUTED_VALUE"""),45024.0)</f>
        <v>45024</v>
      </c>
      <c r="C3803" s="13">
        <f>IFERROR(__xludf.DUMMYFUNCTION("""COMPUTED_VALUE"""),0.4583333333333333)</f>
        <v>0.4583333333</v>
      </c>
      <c r="D3803" s="8">
        <f>IFERROR(__xludf.DUMMYFUNCTION("""COMPUTED_VALUE"""),0.475)</f>
        <v>0.475</v>
      </c>
      <c r="E3803" s="8" t="str">
        <f>IFERROR(__xludf.DUMMYFUNCTION("""COMPUTED_VALUE"""),"Real")</f>
        <v>Real</v>
      </c>
      <c r="G3803" s="8">
        <f t="shared" si="1"/>
        <v>4</v>
      </c>
      <c r="H3803" s="14">
        <f t="shared" si="2"/>
        <v>8</v>
      </c>
      <c r="I3803" s="15">
        <f t="shared" si="3"/>
        <v>11</v>
      </c>
    </row>
    <row r="3804">
      <c r="A3804" s="8" t="str">
        <f>IFERROR(__xludf.DUMMYFUNCTION("IF('(INGESTA)Datos_consumo_datadis'!A3804&lt;&gt;"""",SPLIT('(INGESTA)Datos_consumo_datadis'!A:A,"",""),"""")"),"ES0031408323131005HX0F")</f>
        <v>ES0031408323131005HX0F</v>
      </c>
      <c r="B3804" s="12">
        <f>IFERROR(__xludf.DUMMYFUNCTION("""COMPUTED_VALUE"""),45024.0)</f>
        <v>45024</v>
      </c>
      <c r="C3804" s="13">
        <f>IFERROR(__xludf.DUMMYFUNCTION("""COMPUTED_VALUE"""),0.5)</f>
        <v>0.5</v>
      </c>
      <c r="D3804" s="8">
        <f>IFERROR(__xludf.DUMMYFUNCTION("""COMPUTED_VALUE"""),0.265)</f>
        <v>0.265</v>
      </c>
      <c r="E3804" s="8" t="str">
        <f>IFERROR(__xludf.DUMMYFUNCTION("""COMPUTED_VALUE"""),"Real")</f>
        <v>Real</v>
      </c>
      <c r="G3804" s="8">
        <f t="shared" si="1"/>
        <v>4</v>
      </c>
      <c r="H3804" s="14">
        <f t="shared" si="2"/>
        <v>8</v>
      </c>
      <c r="I3804" s="15">
        <f t="shared" si="3"/>
        <v>12</v>
      </c>
    </row>
    <row r="3805">
      <c r="A3805" s="8" t="str">
        <f>IFERROR(__xludf.DUMMYFUNCTION("IF('(INGESTA)Datos_consumo_datadis'!A3805&lt;&gt;"""",SPLIT('(INGESTA)Datos_consumo_datadis'!A:A,"",""),"""")"),"ES0031408323131005HX0F")</f>
        <v>ES0031408323131005HX0F</v>
      </c>
      <c r="B3805" s="12">
        <f>IFERROR(__xludf.DUMMYFUNCTION("""COMPUTED_VALUE"""),45024.0)</f>
        <v>45024</v>
      </c>
      <c r="C3805" s="13">
        <f>IFERROR(__xludf.DUMMYFUNCTION("""COMPUTED_VALUE"""),0.5416666666666666)</f>
        <v>0.5416666667</v>
      </c>
      <c r="D3805" s="8">
        <f>IFERROR(__xludf.DUMMYFUNCTION("""COMPUTED_VALUE"""),0.081)</f>
        <v>0.081</v>
      </c>
      <c r="E3805" s="8" t="str">
        <f>IFERROR(__xludf.DUMMYFUNCTION("""COMPUTED_VALUE"""),"Real")</f>
        <v>Real</v>
      </c>
      <c r="G3805" s="8">
        <f t="shared" si="1"/>
        <v>4</v>
      </c>
      <c r="H3805" s="14">
        <f t="shared" si="2"/>
        <v>8</v>
      </c>
      <c r="I3805" s="15">
        <f t="shared" si="3"/>
        <v>13</v>
      </c>
    </row>
    <row r="3806">
      <c r="A3806" s="8" t="str">
        <f>IFERROR(__xludf.DUMMYFUNCTION("IF('(INGESTA)Datos_consumo_datadis'!A3806&lt;&gt;"""",SPLIT('(INGESTA)Datos_consumo_datadis'!A:A,"",""),"""")"),"ES0031408323131005HX0F")</f>
        <v>ES0031408323131005HX0F</v>
      </c>
      <c r="B3806" s="12">
        <f>IFERROR(__xludf.DUMMYFUNCTION("""COMPUTED_VALUE"""),45024.0)</f>
        <v>45024</v>
      </c>
      <c r="C3806" s="13">
        <f>IFERROR(__xludf.DUMMYFUNCTION("""COMPUTED_VALUE"""),0.5833333333333334)</f>
        <v>0.5833333333</v>
      </c>
      <c r="D3806" s="8">
        <f>IFERROR(__xludf.DUMMYFUNCTION("""COMPUTED_VALUE"""),0.059)</f>
        <v>0.059</v>
      </c>
      <c r="E3806" s="8" t="str">
        <f>IFERROR(__xludf.DUMMYFUNCTION("""COMPUTED_VALUE"""),"Real")</f>
        <v>Real</v>
      </c>
      <c r="G3806" s="8">
        <f t="shared" si="1"/>
        <v>4</v>
      </c>
      <c r="H3806" s="14">
        <f t="shared" si="2"/>
        <v>8</v>
      </c>
      <c r="I3806" s="15">
        <f t="shared" si="3"/>
        <v>14</v>
      </c>
    </row>
    <row r="3807">
      <c r="A3807" s="8" t="str">
        <f>IFERROR(__xludf.DUMMYFUNCTION("IF('(INGESTA)Datos_consumo_datadis'!A3807&lt;&gt;"""",SPLIT('(INGESTA)Datos_consumo_datadis'!A:A,"",""),"""")"),"ES0031408323131005HX0F")</f>
        <v>ES0031408323131005HX0F</v>
      </c>
      <c r="B3807" s="12">
        <f>IFERROR(__xludf.DUMMYFUNCTION("""COMPUTED_VALUE"""),45024.0)</f>
        <v>45024</v>
      </c>
      <c r="C3807" s="13">
        <f>IFERROR(__xludf.DUMMYFUNCTION("""COMPUTED_VALUE"""),0.625)</f>
        <v>0.625</v>
      </c>
      <c r="D3807" s="8">
        <f>IFERROR(__xludf.DUMMYFUNCTION("""COMPUTED_VALUE"""),0.282)</f>
        <v>0.282</v>
      </c>
      <c r="E3807" s="8" t="str">
        <f>IFERROR(__xludf.DUMMYFUNCTION("""COMPUTED_VALUE"""),"Real")</f>
        <v>Real</v>
      </c>
      <c r="G3807" s="8">
        <f t="shared" si="1"/>
        <v>4</v>
      </c>
      <c r="H3807" s="14">
        <f t="shared" si="2"/>
        <v>8</v>
      </c>
      <c r="I3807" s="15">
        <f t="shared" si="3"/>
        <v>15</v>
      </c>
    </row>
    <row r="3808">
      <c r="A3808" s="8" t="str">
        <f>IFERROR(__xludf.DUMMYFUNCTION("IF('(INGESTA)Datos_consumo_datadis'!A3808&lt;&gt;"""",SPLIT('(INGESTA)Datos_consumo_datadis'!A:A,"",""),"""")"),"ES0031408323131005HX0F")</f>
        <v>ES0031408323131005HX0F</v>
      </c>
      <c r="B3808" s="12">
        <f>IFERROR(__xludf.DUMMYFUNCTION("""COMPUTED_VALUE"""),45024.0)</f>
        <v>45024</v>
      </c>
      <c r="C3808" s="13">
        <f>IFERROR(__xludf.DUMMYFUNCTION("""COMPUTED_VALUE"""),0.6666666666666666)</f>
        <v>0.6666666667</v>
      </c>
      <c r="D3808" s="8">
        <f>IFERROR(__xludf.DUMMYFUNCTION("""COMPUTED_VALUE"""),0.055)</f>
        <v>0.055</v>
      </c>
      <c r="E3808" s="8" t="str">
        <f>IFERROR(__xludf.DUMMYFUNCTION("""COMPUTED_VALUE"""),"Real")</f>
        <v>Real</v>
      </c>
      <c r="G3808" s="8">
        <f t="shared" si="1"/>
        <v>4</v>
      </c>
      <c r="H3808" s="14">
        <f t="shared" si="2"/>
        <v>8</v>
      </c>
      <c r="I3808" s="15">
        <f t="shared" si="3"/>
        <v>16</v>
      </c>
    </row>
    <row r="3809">
      <c r="A3809" s="8" t="str">
        <f>IFERROR(__xludf.DUMMYFUNCTION("IF('(INGESTA)Datos_consumo_datadis'!A3809&lt;&gt;"""",SPLIT('(INGESTA)Datos_consumo_datadis'!A:A,"",""),"""")"),"ES0031408323131005HX0F")</f>
        <v>ES0031408323131005HX0F</v>
      </c>
      <c r="B3809" s="12">
        <f>IFERROR(__xludf.DUMMYFUNCTION("""COMPUTED_VALUE"""),45024.0)</f>
        <v>45024</v>
      </c>
      <c r="C3809" s="13">
        <f>IFERROR(__xludf.DUMMYFUNCTION("""COMPUTED_VALUE"""),0.7083333333333334)</f>
        <v>0.7083333333</v>
      </c>
      <c r="D3809" s="8">
        <f>IFERROR(__xludf.DUMMYFUNCTION("""COMPUTED_VALUE"""),0.061)</f>
        <v>0.061</v>
      </c>
      <c r="E3809" s="8" t="str">
        <f>IFERROR(__xludf.DUMMYFUNCTION("""COMPUTED_VALUE"""),"Real")</f>
        <v>Real</v>
      </c>
      <c r="G3809" s="8">
        <f t="shared" si="1"/>
        <v>4</v>
      </c>
      <c r="H3809" s="14">
        <f t="shared" si="2"/>
        <v>8</v>
      </c>
      <c r="I3809" s="15">
        <f t="shared" si="3"/>
        <v>17</v>
      </c>
    </row>
    <row r="3810">
      <c r="A3810" s="8" t="str">
        <f>IFERROR(__xludf.DUMMYFUNCTION("IF('(INGESTA)Datos_consumo_datadis'!A3810&lt;&gt;"""",SPLIT('(INGESTA)Datos_consumo_datadis'!A:A,"",""),"""")"),"ES0031408323131005HX0F")</f>
        <v>ES0031408323131005HX0F</v>
      </c>
      <c r="B3810" s="12">
        <f>IFERROR(__xludf.DUMMYFUNCTION("""COMPUTED_VALUE"""),45024.0)</f>
        <v>45024</v>
      </c>
      <c r="C3810" s="13">
        <f>IFERROR(__xludf.DUMMYFUNCTION("""COMPUTED_VALUE"""),0.75)</f>
        <v>0.75</v>
      </c>
      <c r="D3810" s="8">
        <f>IFERROR(__xludf.DUMMYFUNCTION("""COMPUTED_VALUE"""),0.047)</f>
        <v>0.047</v>
      </c>
      <c r="E3810" s="8" t="str">
        <f>IFERROR(__xludf.DUMMYFUNCTION("""COMPUTED_VALUE"""),"Real")</f>
        <v>Real</v>
      </c>
      <c r="G3810" s="8">
        <f t="shared" si="1"/>
        <v>4</v>
      </c>
      <c r="H3810" s="14">
        <f t="shared" si="2"/>
        <v>8</v>
      </c>
      <c r="I3810" s="15">
        <f t="shared" si="3"/>
        <v>18</v>
      </c>
    </row>
    <row r="3811">
      <c r="A3811" s="8" t="str">
        <f>IFERROR(__xludf.DUMMYFUNCTION("IF('(INGESTA)Datos_consumo_datadis'!A3811&lt;&gt;"""",SPLIT('(INGESTA)Datos_consumo_datadis'!A:A,"",""),"""")"),"ES0031408323131005HX0F")</f>
        <v>ES0031408323131005HX0F</v>
      </c>
      <c r="B3811" s="12">
        <f>IFERROR(__xludf.DUMMYFUNCTION("""COMPUTED_VALUE"""),45024.0)</f>
        <v>45024</v>
      </c>
      <c r="C3811" s="13">
        <f>IFERROR(__xludf.DUMMYFUNCTION("""COMPUTED_VALUE"""),0.7916666666666666)</f>
        <v>0.7916666667</v>
      </c>
      <c r="D3811" s="8">
        <f>IFERROR(__xludf.DUMMYFUNCTION("""COMPUTED_VALUE"""),0.029)</f>
        <v>0.029</v>
      </c>
      <c r="E3811" s="8" t="str">
        <f>IFERROR(__xludf.DUMMYFUNCTION("""COMPUTED_VALUE"""),"Real")</f>
        <v>Real</v>
      </c>
      <c r="G3811" s="8">
        <f t="shared" si="1"/>
        <v>4</v>
      </c>
      <c r="H3811" s="14">
        <f t="shared" si="2"/>
        <v>8</v>
      </c>
      <c r="I3811" s="15">
        <f t="shared" si="3"/>
        <v>19</v>
      </c>
    </row>
    <row r="3812">
      <c r="A3812" s="8" t="str">
        <f>IFERROR(__xludf.DUMMYFUNCTION("IF('(INGESTA)Datos_consumo_datadis'!A3812&lt;&gt;"""",SPLIT('(INGESTA)Datos_consumo_datadis'!A:A,"",""),"""")"),"ES0031408323131005HX0F")</f>
        <v>ES0031408323131005HX0F</v>
      </c>
      <c r="B3812" s="12">
        <f>IFERROR(__xludf.DUMMYFUNCTION("""COMPUTED_VALUE"""),45024.0)</f>
        <v>45024</v>
      </c>
      <c r="C3812" s="13">
        <f>IFERROR(__xludf.DUMMYFUNCTION("""COMPUTED_VALUE"""),0.8333333333333334)</f>
        <v>0.8333333333</v>
      </c>
      <c r="D3812" s="8">
        <f>IFERROR(__xludf.DUMMYFUNCTION("""COMPUTED_VALUE"""),0.087)</f>
        <v>0.087</v>
      </c>
      <c r="E3812" s="8" t="str">
        <f>IFERROR(__xludf.DUMMYFUNCTION("""COMPUTED_VALUE"""),"Real")</f>
        <v>Real</v>
      </c>
      <c r="G3812" s="8">
        <f t="shared" si="1"/>
        <v>4</v>
      </c>
      <c r="H3812" s="14">
        <f t="shared" si="2"/>
        <v>8</v>
      </c>
      <c r="I3812" s="15">
        <f t="shared" si="3"/>
        <v>20</v>
      </c>
    </row>
    <row r="3813">
      <c r="A3813" s="8" t="str">
        <f>IFERROR(__xludf.DUMMYFUNCTION("IF('(INGESTA)Datos_consumo_datadis'!A3813&lt;&gt;"""",SPLIT('(INGESTA)Datos_consumo_datadis'!A:A,"",""),"""")"),"ES0031408323131005HX0F")</f>
        <v>ES0031408323131005HX0F</v>
      </c>
      <c r="B3813" s="12">
        <f>IFERROR(__xludf.DUMMYFUNCTION("""COMPUTED_VALUE"""),45024.0)</f>
        <v>45024</v>
      </c>
      <c r="C3813" s="13">
        <f>IFERROR(__xludf.DUMMYFUNCTION("""COMPUTED_VALUE"""),0.875)</f>
        <v>0.875</v>
      </c>
      <c r="D3813" s="8">
        <f>IFERROR(__xludf.DUMMYFUNCTION("""COMPUTED_VALUE"""),0.304)</f>
        <v>0.304</v>
      </c>
      <c r="E3813" s="8" t="str">
        <f>IFERROR(__xludf.DUMMYFUNCTION("""COMPUTED_VALUE"""),"Real")</f>
        <v>Real</v>
      </c>
      <c r="G3813" s="8">
        <f t="shared" si="1"/>
        <v>4</v>
      </c>
      <c r="H3813" s="14">
        <f t="shared" si="2"/>
        <v>8</v>
      </c>
      <c r="I3813" s="15">
        <f t="shared" si="3"/>
        <v>21</v>
      </c>
    </row>
    <row r="3814">
      <c r="A3814" s="8" t="str">
        <f>IFERROR(__xludf.DUMMYFUNCTION("IF('(INGESTA)Datos_consumo_datadis'!A3814&lt;&gt;"""",SPLIT('(INGESTA)Datos_consumo_datadis'!A:A,"",""),"""")"),"ES0031408323131005HX0F")</f>
        <v>ES0031408323131005HX0F</v>
      </c>
      <c r="B3814" s="12">
        <f>IFERROR(__xludf.DUMMYFUNCTION("""COMPUTED_VALUE"""),45024.0)</f>
        <v>45024</v>
      </c>
      <c r="C3814" s="13">
        <f>IFERROR(__xludf.DUMMYFUNCTION("""COMPUTED_VALUE"""),0.9166666666666666)</f>
        <v>0.9166666667</v>
      </c>
      <c r="D3814" s="8">
        <f>IFERROR(__xludf.DUMMYFUNCTION("""COMPUTED_VALUE"""),1.201)</f>
        <v>1.201</v>
      </c>
      <c r="E3814" s="8" t="str">
        <f>IFERROR(__xludf.DUMMYFUNCTION("""COMPUTED_VALUE"""),"Real")</f>
        <v>Real</v>
      </c>
      <c r="G3814" s="8">
        <f t="shared" si="1"/>
        <v>4</v>
      </c>
      <c r="H3814" s="14">
        <f t="shared" si="2"/>
        <v>8</v>
      </c>
      <c r="I3814" s="15">
        <f t="shared" si="3"/>
        <v>22</v>
      </c>
    </row>
    <row r="3815">
      <c r="A3815" s="8" t="str">
        <f>IFERROR(__xludf.DUMMYFUNCTION("IF('(INGESTA)Datos_consumo_datadis'!A3815&lt;&gt;"""",SPLIT('(INGESTA)Datos_consumo_datadis'!A:A,"",""),"""")"),"ES0031408323131005HX0F")</f>
        <v>ES0031408323131005HX0F</v>
      </c>
      <c r="B3815" s="12">
        <f>IFERROR(__xludf.DUMMYFUNCTION("""COMPUTED_VALUE"""),45024.0)</f>
        <v>45024</v>
      </c>
      <c r="C3815" s="13">
        <f>IFERROR(__xludf.DUMMYFUNCTION("""COMPUTED_VALUE"""),0.9583333333333334)</f>
        <v>0.9583333333</v>
      </c>
      <c r="D3815" s="8">
        <f>IFERROR(__xludf.DUMMYFUNCTION("""COMPUTED_VALUE"""),1.692)</f>
        <v>1.692</v>
      </c>
      <c r="E3815" s="8" t="str">
        <f>IFERROR(__xludf.DUMMYFUNCTION("""COMPUTED_VALUE"""),"Real")</f>
        <v>Real</v>
      </c>
      <c r="G3815" s="8">
        <f t="shared" si="1"/>
        <v>4</v>
      </c>
      <c r="H3815" s="14">
        <f t="shared" si="2"/>
        <v>8</v>
      </c>
      <c r="I3815" s="15">
        <f t="shared" si="3"/>
        <v>23</v>
      </c>
    </row>
    <row r="3816">
      <c r="A3816" s="8" t="str">
        <f>IFERROR(__xludf.DUMMYFUNCTION("IF('(INGESTA)Datos_consumo_datadis'!A3816&lt;&gt;"""",SPLIT('(INGESTA)Datos_consumo_datadis'!A:A,"",""),"""")"),"ES0031408323131005HX0F")</f>
        <v>ES0031408323131005HX0F</v>
      </c>
      <c r="B3816" s="12">
        <f>IFERROR(__xludf.DUMMYFUNCTION("""COMPUTED_VALUE"""),45024.0)</f>
        <v>45024</v>
      </c>
      <c r="C3816" s="16">
        <f>IFERROR(__xludf.DUMMYFUNCTION("""COMPUTED_VALUE"""),1.0)</f>
        <v>1</v>
      </c>
      <c r="D3816" s="8">
        <f>IFERROR(__xludf.DUMMYFUNCTION("""COMPUTED_VALUE"""),3.048)</f>
        <v>3.048</v>
      </c>
      <c r="E3816" s="8" t="str">
        <f>IFERROR(__xludf.DUMMYFUNCTION("""COMPUTED_VALUE"""),"Real")</f>
        <v>Real</v>
      </c>
      <c r="G3816" s="8">
        <f t="shared" si="1"/>
        <v>4</v>
      </c>
      <c r="H3816" s="14">
        <f t="shared" si="2"/>
        <v>8</v>
      </c>
      <c r="I3816" s="15">
        <f t="shared" si="3"/>
        <v>0</v>
      </c>
    </row>
    <row r="3817">
      <c r="A3817" s="8" t="str">
        <f>IFERROR(__xludf.DUMMYFUNCTION("IF('(INGESTA)Datos_consumo_datadis'!A3817&lt;&gt;"""",SPLIT('(INGESTA)Datos_consumo_datadis'!A:A,"",""),"""")"),"ES0031408323131005HX0F")</f>
        <v>ES0031408323131005HX0F</v>
      </c>
      <c r="B3817" s="12">
        <f>IFERROR(__xludf.DUMMYFUNCTION("""COMPUTED_VALUE"""),45025.0)</f>
        <v>45025</v>
      </c>
      <c r="C3817" s="13">
        <f>IFERROR(__xludf.DUMMYFUNCTION("""COMPUTED_VALUE"""),0.041666666666666664)</f>
        <v>0.04166666667</v>
      </c>
      <c r="D3817" s="8">
        <f>IFERROR(__xludf.DUMMYFUNCTION("""COMPUTED_VALUE"""),2.322)</f>
        <v>2.322</v>
      </c>
      <c r="E3817" s="8" t="str">
        <f>IFERROR(__xludf.DUMMYFUNCTION("""COMPUTED_VALUE"""),"Real")</f>
        <v>Real</v>
      </c>
      <c r="G3817" s="8">
        <f t="shared" si="1"/>
        <v>4</v>
      </c>
      <c r="H3817" s="14">
        <f t="shared" si="2"/>
        <v>9</v>
      </c>
      <c r="I3817" s="15">
        <f t="shared" si="3"/>
        <v>1</v>
      </c>
    </row>
    <row r="3818">
      <c r="A3818" s="8" t="str">
        <f>IFERROR(__xludf.DUMMYFUNCTION("IF('(INGESTA)Datos_consumo_datadis'!A3818&lt;&gt;"""",SPLIT('(INGESTA)Datos_consumo_datadis'!A:A,"",""),"""")"),"ES0031408323131005HX0F")</f>
        <v>ES0031408323131005HX0F</v>
      </c>
      <c r="B3818" s="12">
        <f>IFERROR(__xludf.DUMMYFUNCTION("""COMPUTED_VALUE"""),45025.0)</f>
        <v>45025</v>
      </c>
      <c r="C3818" s="13">
        <f>IFERROR(__xludf.DUMMYFUNCTION("""COMPUTED_VALUE"""),0.08333333333333333)</f>
        <v>0.08333333333</v>
      </c>
      <c r="D3818" s="8">
        <f>IFERROR(__xludf.DUMMYFUNCTION("""COMPUTED_VALUE"""),0.321)</f>
        <v>0.321</v>
      </c>
      <c r="E3818" s="8" t="str">
        <f>IFERROR(__xludf.DUMMYFUNCTION("""COMPUTED_VALUE"""),"Real")</f>
        <v>Real</v>
      </c>
      <c r="G3818" s="8">
        <f t="shared" si="1"/>
        <v>4</v>
      </c>
      <c r="H3818" s="14">
        <f t="shared" si="2"/>
        <v>9</v>
      </c>
      <c r="I3818" s="15">
        <f t="shared" si="3"/>
        <v>2</v>
      </c>
    </row>
    <row r="3819">
      <c r="A3819" s="8" t="str">
        <f>IFERROR(__xludf.DUMMYFUNCTION("IF('(INGESTA)Datos_consumo_datadis'!A3819&lt;&gt;"""",SPLIT('(INGESTA)Datos_consumo_datadis'!A:A,"",""),"""")"),"ES0031408323131005HX0F")</f>
        <v>ES0031408323131005HX0F</v>
      </c>
      <c r="B3819" s="12">
        <f>IFERROR(__xludf.DUMMYFUNCTION("""COMPUTED_VALUE"""),45025.0)</f>
        <v>45025</v>
      </c>
      <c r="C3819" s="13">
        <f>IFERROR(__xludf.DUMMYFUNCTION("""COMPUTED_VALUE"""),0.125)</f>
        <v>0.125</v>
      </c>
      <c r="D3819" s="8">
        <f>IFERROR(__xludf.DUMMYFUNCTION("""COMPUTED_VALUE"""),0.237)</f>
        <v>0.237</v>
      </c>
      <c r="E3819" s="8" t="str">
        <f>IFERROR(__xludf.DUMMYFUNCTION("""COMPUTED_VALUE"""),"Real")</f>
        <v>Real</v>
      </c>
      <c r="G3819" s="8">
        <f t="shared" si="1"/>
        <v>4</v>
      </c>
      <c r="H3819" s="14">
        <f t="shared" si="2"/>
        <v>9</v>
      </c>
      <c r="I3819" s="15">
        <f t="shared" si="3"/>
        <v>3</v>
      </c>
    </row>
    <row r="3820">
      <c r="A3820" s="8" t="str">
        <f>IFERROR(__xludf.DUMMYFUNCTION("IF('(INGESTA)Datos_consumo_datadis'!A3820&lt;&gt;"""",SPLIT('(INGESTA)Datos_consumo_datadis'!A:A,"",""),"""")"),"ES0031408323131005HX0F")</f>
        <v>ES0031408323131005HX0F</v>
      </c>
      <c r="B3820" s="12">
        <f>IFERROR(__xludf.DUMMYFUNCTION("""COMPUTED_VALUE"""),45025.0)</f>
        <v>45025</v>
      </c>
      <c r="C3820" s="13">
        <f>IFERROR(__xludf.DUMMYFUNCTION("""COMPUTED_VALUE"""),0.16666666666666666)</f>
        <v>0.1666666667</v>
      </c>
      <c r="D3820" s="8">
        <f>IFERROR(__xludf.DUMMYFUNCTION("""COMPUTED_VALUE"""),0.065)</f>
        <v>0.065</v>
      </c>
      <c r="E3820" s="8" t="str">
        <f>IFERROR(__xludf.DUMMYFUNCTION("""COMPUTED_VALUE"""),"Real")</f>
        <v>Real</v>
      </c>
      <c r="G3820" s="8">
        <f t="shared" si="1"/>
        <v>4</v>
      </c>
      <c r="H3820" s="14">
        <f t="shared" si="2"/>
        <v>9</v>
      </c>
      <c r="I3820" s="15">
        <f t="shared" si="3"/>
        <v>4</v>
      </c>
    </row>
    <row r="3821">
      <c r="A3821" s="8" t="str">
        <f>IFERROR(__xludf.DUMMYFUNCTION("IF('(INGESTA)Datos_consumo_datadis'!A3821&lt;&gt;"""",SPLIT('(INGESTA)Datos_consumo_datadis'!A:A,"",""),"""")"),"ES0031408323131005HX0F")</f>
        <v>ES0031408323131005HX0F</v>
      </c>
      <c r="B3821" s="12">
        <f>IFERROR(__xludf.DUMMYFUNCTION("""COMPUTED_VALUE"""),45025.0)</f>
        <v>45025</v>
      </c>
      <c r="C3821" s="13">
        <f>IFERROR(__xludf.DUMMYFUNCTION("""COMPUTED_VALUE"""),0.20833333333333334)</f>
        <v>0.2083333333</v>
      </c>
      <c r="D3821" s="8">
        <f>IFERROR(__xludf.DUMMYFUNCTION("""COMPUTED_VALUE"""),0.021)</f>
        <v>0.021</v>
      </c>
      <c r="E3821" s="8" t="str">
        <f>IFERROR(__xludf.DUMMYFUNCTION("""COMPUTED_VALUE"""),"Real")</f>
        <v>Real</v>
      </c>
      <c r="G3821" s="8">
        <f t="shared" si="1"/>
        <v>4</v>
      </c>
      <c r="H3821" s="14">
        <f t="shared" si="2"/>
        <v>9</v>
      </c>
      <c r="I3821" s="15">
        <f t="shared" si="3"/>
        <v>5</v>
      </c>
    </row>
    <row r="3822">
      <c r="A3822" s="8" t="str">
        <f>IFERROR(__xludf.DUMMYFUNCTION("IF('(INGESTA)Datos_consumo_datadis'!A3822&lt;&gt;"""",SPLIT('(INGESTA)Datos_consumo_datadis'!A:A,"",""),"""")"),"ES0031408323131005HX0F")</f>
        <v>ES0031408323131005HX0F</v>
      </c>
      <c r="B3822" s="12">
        <f>IFERROR(__xludf.DUMMYFUNCTION("""COMPUTED_VALUE"""),45025.0)</f>
        <v>45025</v>
      </c>
      <c r="C3822" s="13">
        <f>IFERROR(__xludf.DUMMYFUNCTION("""COMPUTED_VALUE"""),0.25)</f>
        <v>0.25</v>
      </c>
      <c r="D3822" s="8">
        <f>IFERROR(__xludf.DUMMYFUNCTION("""COMPUTED_VALUE"""),0.322)</f>
        <v>0.322</v>
      </c>
      <c r="E3822" s="8" t="str">
        <f>IFERROR(__xludf.DUMMYFUNCTION("""COMPUTED_VALUE"""),"Real")</f>
        <v>Real</v>
      </c>
      <c r="G3822" s="8">
        <f t="shared" si="1"/>
        <v>4</v>
      </c>
      <c r="H3822" s="14">
        <f t="shared" si="2"/>
        <v>9</v>
      </c>
      <c r="I3822" s="15">
        <f t="shared" si="3"/>
        <v>6</v>
      </c>
    </row>
    <row r="3823">
      <c r="A3823" s="8" t="str">
        <f>IFERROR(__xludf.DUMMYFUNCTION("IF('(INGESTA)Datos_consumo_datadis'!A3823&lt;&gt;"""",SPLIT('(INGESTA)Datos_consumo_datadis'!A:A,"",""),"""")"),"ES0031408323131005HX0F")</f>
        <v>ES0031408323131005HX0F</v>
      </c>
      <c r="B3823" s="12">
        <f>IFERROR(__xludf.DUMMYFUNCTION("""COMPUTED_VALUE"""),45025.0)</f>
        <v>45025</v>
      </c>
      <c r="C3823" s="13">
        <f>IFERROR(__xludf.DUMMYFUNCTION("""COMPUTED_VALUE"""),0.2916666666666667)</f>
        <v>0.2916666667</v>
      </c>
      <c r="D3823" s="8">
        <f>IFERROR(__xludf.DUMMYFUNCTION("""COMPUTED_VALUE"""),0.06)</f>
        <v>0.06</v>
      </c>
      <c r="E3823" s="8" t="str">
        <f>IFERROR(__xludf.DUMMYFUNCTION("""COMPUTED_VALUE"""),"Real")</f>
        <v>Real</v>
      </c>
      <c r="G3823" s="8">
        <f t="shared" si="1"/>
        <v>4</v>
      </c>
      <c r="H3823" s="14">
        <f t="shared" si="2"/>
        <v>9</v>
      </c>
      <c r="I3823" s="15">
        <f t="shared" si="3"/>
        <v>7</v>
      </c>
    </row>
    <row r="3824">
      <c r="A3824" s="8" t="str">
        <f>IFERROR(__xludf.DUMMYFUNCTION("IF('(INGESTA)Datos_consumo_datadis'!A3824&lt;&gt;"""",SPLIT('(INGESTA)Datos_consumo_datadis'!A:A,"",""),"""")"),"ES0031408323131005HX0F")</f>
        <v>ES0031408323131005HX0F</v>
      </c>
      <c r="B3824" s="12">
        <f>IFERROR(__xludf.DUMMYFUNCTION("""COMPUTED_VALUE"""),45025.0)</f>
        <v>45025</v>
      </c>
      <c r="C3824" s="13">
        <f>IFERROR(__xludf.DUMMYFUNCTION("""COMPUTED_VALUE"""),0.3333333333333333)</f>
        <v>0.3333333333</v>
      </c>
      <c r="D3824" s="8">
        <f>IFERROR(__xludf.DUMMYFUNCTION("""COMPUTED_VALUE"""),0.053)</f>
        <v>0.053</v>
      </c>
      <c r="E3824" s="8" t="str">
        <f>IFERROR(__xludf.DUMMYFUNCTION("""COMPUTED_VALUE"""),"Real")</f>
        <v>Real</v>
      </c>
      <c r="G3824" s="8">
        <f t="shared" si="1"/>
        <v>4</v>
      </c>
      <c r="H3824" s="14">
        <f t="shared" si="2"/>
        <v>9</v>
      </c>
      <c r="I3824" s="15">
        <f t="shared" si="3"/>
        <v>8</v>
      </c>
    </row>
    <row r="3825">
      <c r="A3825" s="8" t="str">
        <f>IFERROR(__xludf.DUMMYFUNCTION("IF('(INGESTA)Datos_consumo_datadis'!A3825&lt;&gt;"""",SPLIT('(INGESTA)Datos_consumo_datadis'!A:A,"",""),"""")"),"ES0031408323131005HX0F")</f>
        <v>ES0031408323131005HX0F</v>
      </c>
      <c r="B3825" s="12">
        <f>IFERROR(__xludf.DUMMYFUNCTION("""COMPUTED_VALUE"""),45025.0)</f>
        <v>45025</v>
      </c>
      <c r="C3825" s="13">
        <f>IFERROR(__xludf.DUMMYFUNCTION("""COMPUTED_VALUE"""),0.375)</f>
        <v>0.375</v>
      </c>
      <c r="D3825" s="8">
        <f>IFERROR(__xludf.DUMMYFUNCTION("""COMPUTED_VALUE"""),0.022)</f>
        <v>0.022</v>
      </c>
      <c r="E3825" s="8" t="str">
        <f>IFERROR(__xludf.DUMMYFUNCTION("""COMPUTED_VALUE"""),"Real")</f>
        <v>Real</v>
      </c>
      <c r="G3825" s="8">
        <f t="shared" si="1"/>
        <v>4</v>
      </c>
      <c r="H3825" s="14">
        <f t="shared" si="2"/>
        <v>9</v>
      </c>
      <c r="I3825" s="15">
        <f t="shared" si="3"/>
        <v>9</v>
      </c>
    </row>
    <row r="3826">
      <c r="A3826" s="8" t="str">
        <f>IFERROR(__xludf.DUMMYFUNCTION("IF('(INGESTA)Datos_consumo_datadis'!A3826&lt;&gt;"""",SPLIT('(INGESTA)Datos_consumo_datadis'!A:A,"",""),"""")"),"ES0031408323131005HX0F")</f>
        <v>ES0031408323131005HX0F</v>
      </c>
      <c r="B3826" s="12">
        <f>IFERROR(__xludf.DUMMYFUNCTION("""COMPUTED_VALUE"""),45025.0)</f>
        <v>45025</v>
      </c>
      <c r="C3826" s="13">
        <f>IFERROR(__xludf.DUMMYFUNCTION("""COMPUTED_VALUE"""),0.4166666666666667)</f>
        <v>0.4166666667</v>
      </c>
      <c r="D3826" s="8">
        <f>IFERROR(__xludf.DUMMYFUNCTION("""COMPUTED_VALUE"""),0.107)</f>
        <v>0.107</v>
      </c>
      <c r="E3826" s="8" t="str">
        <f>IFERROR(__xludf.DUMMYFUNCTION("""COMPUTED_VALUE"""),"Real")</f>
        <v>Real</v>
      </c>
      <c r="G3826" s="8">
        <f t="shared" si="1"/>
        <v>4</v>
      </c>
      <c r="H3826" s="14">
        <f t="shared" si="2"/>
        <v>9</v>
      </c>
      <c r="I3826" s="15">
        <f t="shared" si="3"/>
        <v>10</v>
      </c>
    </row>
    <row r="3827">
      <c r="A3827" s="8" t="str">
        <f>IFERROR(__xludf.DUMMYFUNCTION("IF('(INGESTA)Datos_consumo_datadis'!A3827&lt;&gt;"""",SPLIT('(INGESTA)Datos_consumo_datadis'!A:A,"",""),"""")"),"ES0031408323131005HX0F")</f>
        <v>ES0031408323131005HX0F</v>
      </c>
      <c r="B3827" s="12">
        <f>IFERROR(__xludf.DUMMYFUNCTION("""COMPUTED_VALUE"""),45025.0)</f>
        <v>45025</v>
      </c>
      <c r="C3827" s="13">
        <f>IFERROR(__xludf.DUMMYFUNCTION("""COMPUTED_VALUE"""),0.4583333333333333)</f>
        <v>0.4583333333</v>
      </c>
      <c r="D3827" s="8">
        <f>IFERROR(__xludf.DUMMYFUNCTION("""COMPUTED_VALUE"""),0.524)</f>
        <v>0.524</v>
      </c>
      <c r="E3827" s="8" t="str">
        <f>IFERROR(__xludf.DUMMYFUNCTION("""COMPUTED_VALUE"""),"Real")</f>
        <v>Real</v>
      </c>
      <c r="G3827" s="8">
        <f t="shared" si="1"/>
        <v>4</v>
      </c>
      <c r="H3827" s="14">
        <f t="shared" si="2"/>
        <v>9</v>
      </c>
      <c r="I3827" s="15">
        <f t="shared" si="3"/>
        <v>11</v>
      </c>
    </row>
    <row r="3828">
      <c r="A3828" s="8" t="str">
        <f>IFERROR(__xludf.DUMMYFUNCTION("IF('(INGESTA)Datos_consumo_datadis'!A3828&lt;&gt;"""",SPLIT('(INGESTA)Datos_consumo_datadis'!A:A,"",""),"""")"),"ES0031408323131005HX0F")</f>
        <v>ES0031408323131005HX0F</v>
      </c>
      <c r="B3828" s="12">
        <f>IFERROR(__xludf.DUMMYFUNCTION("""COMPUTED_VALUE"""),45025.0)</f>
        <v>45025</v>
      </c>
      <c r="C3828" s="13">
        <f>IFERROR(__xludf.DUMMYFUNCTION("""COMPUTED_VALUE"""),0.5)</f>
        <v>0.5</v>
      </c>
      <c r="D3828" s="8">
        <f>IFERROR(__xludf.DUMMYFUNCTION("""COMPUTED_VALUE"""),1.005)</f>
        <v>1.005</v>
      </c>
      <c r="E3828" s="8" t="str">
        <f>IFERROR(__xludf.DUMMYFUNCTION("""COMPUTED_VALUE"""),"Real")</f>
        <v>Real</v>
      </c>
      <c r="G3828" s="8">
        <f t="shared" si="1"/>
        <v>4</v>
      </c>
      <c r="H3828" s="14">
        <f t="shared" si="2"/>
        <v>9</v>
      </c>
      <c r="I3828" s="15">
        <f t="shared" si="3"/>
        <v>12</v>
      </c>
    </row>
    <row r="3829">
      <c r="A3829" s="8" t="str">
        <f>IFERROR(__xludf.DUMMYFUNCTION("IF('(INGESTA)Datos_consumo_datadis'!A3829&lt;&gt;"""",SPLIT('(INGESTA)Datos_consumo_datadis'!A:A,"",""),"""")"),"ES0031408323131005HX0F")</f>
        <v>ES0031408323131005HX0F</v>
      </c>
      <c r="B3829" s="12">
        <f>IFERROR(__xludf.DUMMYFUNCTION("""COMPUTED_VALUE"""),45025.0)</f>
        <v>45025</v>
      </c>
      <c r="C3829" s="13">
        <f>IFERROR(__xludf.DUMMYFUNCTION("""COMPUTED_VALUE"""),0.5416666666666666)</f>
        <v>0.5416666667</v>
      </c>
      <c r="D3829" s="8">
        <f>IFERROR(__xludf.DUMMYFUNCTION("""COMPUTED_VALUE"""),0.445)</f>
        <v>0.445</v>
      </c>
      <c r="E3829" s="8" t="str">
        <f>IFERROR(__xludf.DUMMYFUNCTION("""COMPUTED_VALUE"""),"Real")</f>
        <v>Real</v>
      </c>
      <c r="G3829" s="8">
        <f t="shared" si="1"/>
        <v>4</v>
      </c>
      <c r="H3829" s="14">
        <f t="shared" si="2"/>
        <v>9</v>
      </c>
      <c r="I3829" s="15">
        <f t="shared" si="3"/>
        <v>13</v>
      </c>
    </row>
    <row r="3830">
      <c r="A3830" s="8" t="str">
        <f>IFERROR(__xludf.DUMMYFUNCTION("IF('(INGESTA)Datos_consumo_datadis'!A3830&lt;&gt;"""",SPLIT('(INGESTA)Datos_consumo_datadis'!A:A,"",""),"""")"),"ES0031408323131005HX0F")</f>
        <v>ES0031408323131005HX0F</v>
      </c>
      <c r="B3830" s="12">
        <f>IFERROR(__xludf.DUMMYFUNCTION("""COMPUTED_VALUE"""),45025.0)</f>
        <v>45025</v>
      </c>
      <c r="C3830" s="13">
        <f>IFERROR(__xludf.DUMMYFUNCTION("""COMPUTED_VALUE"""),0.5833333333333334)</f>
        <v>0.5833333333</v>
      </c>
      <c r="D3830" s="8">
        <f>IFERROR(__xludf.DUMMYFUNCTION("""COMPUTED_VALUE"""),0.108)</f>
        <v>0.108</v>
      </c>
      <c r="E3830" s="8" t="str">
        <f>IFERROR(__xludf.DUMMYFUNCTION("""COMPUTED_VALUE"""),"Real")</f>
        <v>Real</v>
      </c>
      <c r="G3830" s="8">
        <f t="shared" si="1"/>
        <v>4</v>
      </c>
      <c r="H3830" s="14">
        <f t="shared" si="2"/>
        <v>9</v>
      </c>
      <c r="I3830" s="15">
        <f t="shared" si="3"/>
        <v>14</v>
      </c>
    </row>
    <row r="3831">
      <c r="A3831" s="8" t="str">
        <f>IFERROR(__xludf.DUMMYFUNCTION("IF('(INGESTA)Datos_consumo_datadis'!A3831&lt;&gt;"""",SPLIT('(INGESTA)Datos_consumo_datadis'!A:A,"",""),"""")"),"ES0031408323131005HX0F")</f>
        <v>ES0031408323131005HX0F</v>
      </c>
      <c r="B3831" s="12">
        <f>IFERROR(__xludf.DUMMYFUNCTION("""COMPUTED_VALUE"""),45025.0)</f>
        <v>45025</v>
      </c>
      <c r="C3831" s="13">
        <f>IFERROR(__xludf.DUMMYFUNCTION("""COMPUTED_VALUE"""),0.625)</f>
        <v>0.625</v>
      </c>
      <c r="D3831" s="8">
        <f>IFERROR(__xludf.DUMMYFUNCTION("""COMPUTED_VALUE"""),0.042)</f>
        <v>0.042</v>
      </c>
      <c r="E3831" s="8" t="str">
        <f>IFERROR(__xludf.DUMMYFUNCTION("""COMPUTED_VALUE"""),"Real")</f>
        <v>Real</v>
      </c>
      <c r="G3831" s="8">
        <f t="shared" si="1"/>
        <v>4</v>
      </c>
      <c r="H3831" s="14">
        <f t="shared" si="2"/>
        <v>9</v>
      </c>
      <c r="I3831" s="15">
        <f t="shared" si="3"/>
        <v>15</v>
      </c>
    </row>
    <row r="3832">
      <c r="A3832" s="8" t="str">
        <f>IFERROR(__xludf.DUMMYFUNCTION("IF('(INGESTA)Datos_consumo_datadis'!A3832&lt;&gt;"""",SPLIT('(INGESTA)Datos_consumo_datadis'!A:A,"",""),"""")"),"ES0031408323131005HX0F")</f>
        <v>ES0031408323131005HX0F</v>
      </c>
      <c r="B3832" s="12">
        <f>IFERROR(__xludf.DUMMYFUNCTION("""COMPUTED_VALUE"""),45025.0)</f>
        <v>45025</v>
      </c>
      <c r="C3832" s="13">
        <f>IFERROR(__xludf.DUMMYFUNCTION("""COMPUTED_VALUE"""),0.6666666666666666)</f>
        <v>0.6666666667</v>
      </c>
      <c r="D3832" s="8">
        <f>IFERROR(__xludf.DUMMYFUNCTION("""COMPUTED_VALUE"""),0.36)</f>
        <v>0.36</v>
      </c>
      <c r="E3832" s="8" t="str">
        <f>IFERROR(__xludf.DUMMYFUNCTION("""COMPUTED_VALUE"""),"Real")</f>
        <v>Real</v>
      </c>
      <c r="G3832" s="8">
        <f t="shared" si="1"/>
        <v>4</v>
      </c>
      <c r="H3832" s="14">
        <f t="shared" si="2"/>
        <v>9</v>
      </c>
      <c r="I3832" s="15">
        <f t="shared" si="3"/>
        <v>16</v>
      </c>
    </row>
    <row r="3833">
      <c r="A3833" s="8" t="str">
        <f>IFERROR(__xludf.DUMMYFUNCTION("IF('(INGESTA)Datos_consumo_datadis'!A3833&lt;&gt;"""",SPLIT('(INGESTA)Datos_consumo_datadis'!A:A,"",""),"""")"),"ES0031408323131005HX0F")</f>
        <v>ES0031408323131005HX0F</v>
      </c>
      <c r="B3833" s="12">
        <f>IFERROR(__xludf.DUMMYFUNCTION("""COMPUTED_VALUE"""),45025.0)</f>
        <v>45025</v>
      </c>
      <c r="C3833" s="13">
        <f>IFERROR(__xludf.DUMMYFUNCTION("""COMPUTED_VALUE"""),0.7083333333333334)</f>
        <v>0.7083333333</v>
      </c>
      <c r="D3833" s="8">
        <f>IFERROR(__xludf.DUMMYFUNCTION("""COMPUTED_VALUE"""),0.028)</f>
        <v>0.028</v>
      </c>
      <c r="E3833" s="8" t="str">
        <f>IFERROR(__xludf.DUMMYFUNCTION("""COMPUTED_VALUE"""),"Real")</f>
        <v>Real</v>
      </c>
      <c r="G3833" s="8">
        <f t="shared" si="1"/>
        <v>4</v>
      </c>
      <c r="H3833" s="14">
        <f t="shared" si="2"/>
        <v>9</v>
      </c>
      <c r="I3833" s="15">
        <f t="shared" si="3"/>
        <v>17</v>
      </c>
    </row>
    <row r="3834">
      <c r="A3834" s="8" t="str">
        <f>IFERROR(__xludf.DUMMYFUNCTION("IF('(INGESTA)Datos_consumo_datadis'!A3834&lt;&gt;"""",SPLIT('(INGESTA)Datos_consumo_datadis'!A:A,"",""),"""")"),"ES0031408323131005HX0F")</f>
        <v>ES0031408323131005HX0F</v>
      </c>
      <c r="B3834" s="12">
        <f>IFERROR(__xludf.DUMMYFUNCTION("""COMPUTED_VALUE"""),45025.0)</f>
        <v>45025</v>
      </c>
      <c r="C3834" s="13">
        <f>IFERROR(__xludf.DUMMYFUNCTION("""COMPUTED_VALUE"""),0.75)</f>
        <v>0.75</v>
      </c>
      <c r="D3834" s="8">
        <f>IFERROR(__xludf.DUMMYFUNCTION("""COMPUTED_VALUE"""),0.078)</f>
        <v>0.078</v>
      </c>
      <c r="E3834" s="8" t="str">
        <f>IFERROR(__xludf.DUMMYFUNCTION("""COMPUTED_VALUE"""),"Real")</f>
        <v>Real</v>
      </c>
      <c r="G3834" s="8">
        <f t="shared" si="1"/>
        <v>4</v>
      </c>
      <c r="H3834" s="14">
        <f t="shared" si="2"/>
        <v>9</v>
      </c>
      <c r="I3834" s="15">
        <f t="shared" si="3"/>
        <v>18</v>
      </c>
    </row>
    <row r="3835">
      <c r="A3835" s="8" t="str">
        <f>IFERROR(__xludf.DUMMYFUNCTION("IF('(INGESTA)Datos_consumo_datadis'!A3835&lt;&gt;"""",SPLIT('(INGESTA)Datos_consumo_datadis'!A:A,"",""),"""")"),"ES0031408323131005HX0F")</f>
        <v>ES0031408323131005HX0F</v>
      </c>
      <c r="B3835" s="12">
        <f>IFERROR(__xludf.DUMMYFUNCTION("""COMPUTED_VALUE"""),45025.0)</f>
        <v>45025</v>
      </c>
      <c r="C3835" s="13">
        <f>IFERROR(__xludf.DUMMYFUNCTION("""COMPUTED_VALUE"""),0.7916666666666666)</f>
        <v>0.7916666667</v>
      </c>
      <c r="D3835" s="8">
        <f>IFERROR(__xludf.DUMMYFUNCTION("""COMPUTED_VALUE"""),0.046)</f>
        <v>0.046</v>
      </c>
      <c r="E3835" s="8" t="str">
        <f>IFERROR(__xludf.DUMMYFUNCTION("""COMPUTED_VALUE"""),"Real")</f>
        <v>Real</v>
      </c>
      <c r="G3835" s="8">
        <f t="shared" si="1"/>
        <v>4</v>
      </c>
      <c r="H3835" s="14">
        <f t="shared" si="2"/>
        <v>9</v>
      </c>
      <c r="I3835" s="15">
        <f t="shared" si="3"/>
        <v>19</v>
      </c>
    </row>
    <row r="3836">
      <c r="A3836" s="8" t="str">
        <f>IFERROR(__xludf.DUMMYFUNCTION("IF('(INGESTA)Datos_consumo_datadis'!A3836&lt;&gt;"""",SPLIT('(INGESTA)Datos_consumo_datadis'!A:A,"",""),"""")"),"ES0031408323131005HX0F")</f>
        <v>ES0031408323131005HX0F</v>
      </c>
      <c r="B3836" s="12">
        <f>IFERROR(__xludf.DUMMYFUNCTION("""COMPUTED_VALUE"""),45025.0)</f>
        <v>45025</v>
      </c>
      <c r="C3836" s="13">
        <f>IFERROR(__xludf.DUMMYFUNCTION("""COMPUTED_VALUE"""),0.8333333333333334)</f>
        <v>0.8333333333</v>
      </c>
      <c r="D3836" s="8">
        <f>IFERROR(__xludf.DUMMYFUNCTION("""COMPUTED_VALUE"""),0.056)</f>
        <v>0.056</v>
      </c>
      <c r="E3836" s="8" t="str">
        <f>IFERROR(__xludf.DUMMYFUNCTION("""COMPUTED_VALUE"""),"Real")</f>
        <v>Real</v>
      </c>
      <c r="G3836" s="8">
        <f t="shared" si="1"/>
        <v>4</v>
      </c>
      <c r="H3836" s="14">
        <f t="shared" si="2"/>
        <v>9</v>
      </c>
      <c r="I3836" s="15">
        <f t="shared" si="3"/>
        <v>20</v>
      </c>
    </row>
    <row r="3837">
      <c r="A3837" s="8" t="str">
        <f>IFERROR(__xludf.DUMMYFUNCTION("IF('(INGESTA)Datos_consumo_datadis'!A3837&lt;&gt;"""",SPLIT('(INGESTA)Datos_consumo_datadis'!A:A,"",""),"""")"),"ES0031408323131005HX0F")</f>
        <v>ES0031408323131005HX0F</v>
      </c>
      <c r="B3837" s="12">
        <f>IFERROR(__xludf.DUMMYFUNCTION("""COMPUTED_VALUE"""),45025.0)</f>
        <v>45025</v>
      </c>
      <c r="C3837" s="13">
        <f>IFERROR(__xludf.DUMMYFUNCTION("""COMPUTED_VALUE"""),0.875)</f>
        <v>0.875</v>
      </c>
      <c r="D3837" s="8">
        <f>IFERROR(__xludf.DUMMYFUNCTION("""COMPUTED_VALUE"""),0.017)</f>
        <v>0.017</v>
      </c>
      <c r="E3837" s="8" t="str">
        <f>IFERROR(__xludf.DUMMYFUNCTION("""COMPUTED_VALUE"""),"Real")</f>
        <v>Real</v>
      </c>
      <c r="G3837" s="8">
        <f t="shared" si="1"/>
        <v>4</v>
      </c>
      <c r="H3837" s="14">
        <f t="shared" si="2"/>
        <v>9</v>
      </c>
      <c r="I3837" s="15">
        <f t="shared" si="3"/>
        <v>21</v>
      </c>
    </row>
    <row r="3838">
      <c r="A3838" s="8" t="str">
        <f>IFERROR(__xludf.DUMMYFUNCTION("IF('(INGESTA)Datos_consumo_datadis'!A3838&lt;&gt;"""",SPLIT('(INGESTA)Datos_consumo_datadis'!A:A,"",""),"""")"),"ES0031408323131005HX0F")</f>
        <v>ES0031408323131005HX0F</v>
      </c>
      <c r="B3838" s="12">
        <f>IFERROR(__xludf.DUMMYFUNCTION("""COMPUTED_VALUE"""),45025.0)</f>
        <v>45025</v>
      </c>
      <c r="C3838" s="13">
        <f>IFERROR(__xludf.DUMMYFUNCTION("""COMPUTED_VALUE"""),0.9166666666666666)</f>
        <v>0.9166666667</v>
      </c>
      <c r="D3838" s="8">
        <f>IFERROR(__xludf.DUMMYFUNCTION("""COMPUTED_VALUE"""),0.348)</f>
        <v>0.348</v>
      </c>
      <c r="E3838" s="8" t="str">
        <f>IFERROR(__xludf.DUMMYFUNCTION("""COMPUTED_VALUE"""),"Real")</f>
        <v>Real</v>
      </c>
      <c r="G3838" s="8">
        <f t="shared" si="1"/>
        <v>4</v>
      </c>
      <c r="H3838" s="14">
        <f t="shared" si="2"/>
        <v>9</v>
      </c>
      <c r="I3838" s="15">
        <f t="shared" si="3"/>
        <v>22</v>
      </c>
    </row>
    <row r="3839">
      <c r="A3839" s="8" t="str">
        <f>IFERROR(__xludf.DUMMYFUNCTION("IF('(INGESTA)Datos_consumo_datadis'!A3839&lt;&gt;"""",SPLIT('(INGESTA)Datos_consumo_datadis'!A:A,"",""),"""")"),"ES0031408323131005HX0F")</f>
        <v>ES0031408323131005HX0F</v>
      </c>
      <c r="B3839" s="12">
        <f>IFERROR(__xludf.DUMMYFUNCTION("""COMPUTED_VALUE"""),45025.0)</f>
        <v>45025</v>
      </c>
      <c r="C3839" s="13">
        <f>IFERROR(__xludf.DUMMYFUNCTION("""COMPUTED_VALUE"""),0.9583333333333334)</f>
        <v>0.9583333333</v>
      </c>
      <c r="D3839" s="8">
        <f>IFERROR(__xludf.DUMMYFUNCTION("""COMPUTED_VALUE"""),0.054)</f>
        <v>0.054</v>
      </c>
      <c r="E3839" s="8" t="str">
        <f>IFERROR(__xludf.DUMMYFUNCTION("""COMPUTED_VALUE"""),"Real")</f>
        <v>Real</v>
      </c>
      <c r="G3839" s="8">
        <f t="shared" si="1"/>
        <v>4</v>
      </c>
      <c r="H3839" s="14">
        <f t="shared" si="2"/>
        <v>9</v>
      </c>
      <c r="I3839" s="15">
        <f t="shared" si="3"/>
        <v>23</v>
      </c>
    </row>
    <row r="3840">
      <c r="A3840" s="8" t="str">
        <f>IFERROR(__xludf.DUMMYFUNCTION("IF('(INGESTA)Datos_consumo_datadis'!A3840&lt;&gt;"""",SPLIT('(INGESTA)Datos_consumo_datadis'!A:A,"",""),"""")"),"ES0031408323131005HX0F")</f>
        <v>ES0031408323131005HX0F</v>
      </c>
      <c r="B3840" s="12">
        <f>IFERROR(__xludf.DUMMYFUNCTION("""COMPUTED_VALUE"""),45025.0)</f>
        <v>45025</v>
      </c>
      <c r="C3840" s="16">
        <f>IFERROR(__xludf.DUMMYFUNCTION("""COMPUTED_VALUE"""),1.0)</f>
        <v>1</v>
      </c>
      <c r="D3840" s="8">
        <f>IFERROR(__xludf.DUMMYFUNCTION("""COMPUTED_VALUE"""),0.15)</f>
        <v>0.15</v>
      </c>
      <c r="E3840" s="8" t="str">
        <f>IFERROR(__xludf.DUMMYFUNCTION("""COMPUTED_VALUE"""),"Real")</f>
        <v>Real</v>
      </c>
      <c r="G3840" s="8">
        <f t="shared" si="1"/>
        <v>4</v>
      </c>
      <c r="H3840" s="14">
        <f t="shared" si="2"/>
        <v>9</v>
      </c>
      <c r="I3840" s="15">
        <f t="shared" si="3"/>
        <v>0</v>
      </c>
    </row>
    <row r="3841">
      <c r="A3841" s="8" t="str">
        <f>IFERROR(__xludf.DUMMYFUNCTION("IF('(INGESTA)Datos_consumo_datadis'!A3841&lt;&gt;"""",SPLIT('(INGESTA)Datos_consumo_datadis'!A:A,"",""),"""")"),"ES0031408323131005HX0F")</f>
        <v>ES0031408323131005HX0F</v>
      </c>
      <c r="B3841" s="12">
        <f>IFERROR(__xludf.DUMMYFUNCTION("""COMPUTED_VALUE"""),45026.0)</f>
        <v>45026</v>
      </c>
      <c r="C3841" s="13">
        <f>IFERROR(__xludf.DUMMYFUNCTION("""COMPUTED_VALUE"""),0.041666666666666664)</f>
        <v>0.04166666667</v>
      </c>
      <c r="D3841" s="8">
        <f>IFERROR(__xludf.DUMMYFUNCTION("""COMPUTED_VALUE"""),0.567)</f>
        <v>0.567</v>
      </c>
      <c r="E3841" s="8" t="str">
        <f>IFERROR(__xludf.DUMMYFUNCTION("""COMPUTED_VALUE"""),"Real")</f>
        <v>Real</v>
      </c>
      <c r="G3841" s="8">
        <f t="shared" si="1"/>
        <v>4</v>
      </c>
      <c r="H3841" s="14">
        <f t="shared" si="2"/>
        <v>10</v>
      </c>
      <c r="I3841" s="15">
        <f t="shared" si="3"/>
        <v>1</v>
      </c>
    </row>
    <row r="3842">
      <c r="A3842" s="8" t="str">
        <f>IFERROR(__xludf.DUMMYFUNCTION("IF('(INGESTA)Datos_consumo_datadis'!A3842&lt;&gt;"""",SPLIT('(INGESTA)Datos_consumo_datadis'!A:A,"",""),"""")"),"ES0031408323131005HX0F")</f>
        <v>ES0031408323131005HX0F</v>
      </c>
      <c r="B3842" s="12">
        <f>IFERROR(__xludf.DUMMYFUNCTION("""COMPUTED_VALUE"""),45026.0)</f>
        <v>45026</v>
      </c>
      <c r="C3842" s="13">
        <f>IFERROR(__xludf.DUMMYFUNCTION("""COMPUTED_VALUE"""),0.08333333333333333)</f>
        <v>0.08333333333</v>
      </c>
      <c r="D3842" s="8">
        <f>IFERROR(__xludf.DUMMYFUNCTION("""COMPUTED_VALUE"""),0.052)</f>
        <v>0.052</v>
      </c>
      <c r="E3842" s="8" t="str">
        <f>IFERROR(__xludf.DUMMYFUNCTION("""COMPUTED_VALUE"""),"Real")</f>
        <v>Real</v>
      </c>
      <c r="G3842" s="8">
        <f t="shared" si="1"/>
        <v>4</v>
      </c>
      <c r="H3842" s="14">
        <f t="shared" si="2"/>
        <v>10</v>
      </c>
      <c r="I3842" s="15">
        <f t="shared" si="3"/>
        <v>2</v>
      </c>
    </row>
    <row r="3843">
      <c r="A3843" s="8" t="str">
        <f>IFERROR(__xludf.DUMMYFUNCTION("IF('(INGESTA)Datos_consumo_datadis'!A3843&lt;&gt;"""",SPLIT('(INGESTA)Datos_consumo_datadis'!A:A,"",""),"""")"),"ES0031408323131005HX0F")</f>
        <v>ES0031408323131005HX0F</v>
      </c>
      <c r="B3843" s="12">
        <f>IFERROR(__xludf.DUMMYFUNCTION("""COMPUTED_VALUE"""),45026.0)</f>
        <v>45026</v>
      </c>
      <c r="C3843" s="13">
        <f>IFERROR(__xludf.DUMMYFUNCTION("""COMPUTED_VALUE"""),0.125)</f>
        <v>0.125</v>
      </c>
      <c r="D3843" s="8">
        <f>IFERROR(__xludf.DUMMYFUNCTION("""COMPUTED_VALUE"""),0.347)</f>
        <v>0.347</v>
      </c>
      <c r="E3843" s="8" t="str">
        <f>IFERROR(__xludf.DUMMYFUNCTION("""COMPUTED_VALUE"""),"Real")</f>
        <v>Real</v>
      </c>
      <c r="G3843" s="8">
        <f t="shared" si="1"/>
        <v>4</v>
      </c>
      <c r="H3843" s="14">
        <f t="shared" si="2"/>
        <v>10</v>
      </c>
      <c r="I3843" s="15">
        <f t="shared" si="3"/>
        <v>3</v>
      </c>
    </row>
    <row r="3844">
      <c r="A3844" s="8" t="str">
        <f>IFERROR(__xludf.DUMMYFUNCTION("IF('(INGESTA)Datos_consumo_datadis'!A3844&lt;&gt;"""",SPLIT('(INGESTA)Datos_consumo_datadis'!A:A,"",""),"""")"),"ES0031408323131005HX0F")</f>
        <v>ES0031408323131005HX0F</v>
      </c>
      <c r="B3844" s="12">
        <f>IFERROR(__xludf.DUMMYFUNCTION("""COMPUTED_VALUE"""),45026.0)</f>
        <v>45026</v>
      </c>
      <c r="C3844" s="13">
        <f>IFERROR(__xludf.DUMMYFUNCTION("""COMPUTED_VALUE"""),0.16666666666666666)</f>
        <v>0.1666666667</v>
      </c>
      <c r="D3844" s="8">
        <f>IFERROR(__xludf.DUMMYFUNCTION("""COMPUTED_VALUE"""),0.044)</f>
        <v>0.044</v>
      </c>
      <c r="E3844" s="8" t="str">
        <f>IFERROR(__xludf.DUMMYFUNCTION("""COMPUTED_VALUE"""),"Real")</f>
        <v>Real</v>
      </c>
      <c r="G3844" s="8">
        <f t="shared" si="1"/>
        <v>4</v>
      </c>
      <c r="H3844" s="14">
        <f t="shared" si="2"/>
        <v>10</v>
      </c>
      <c r="I3844" s="15">
        <f t="shared" si="3"/>
        <v>4</v>
      </c>
    </row>
    <row r="3845">
      <c r="A3845" s="8" t="str">
        <f>IFERROR(__xludf.DUMMYFUNCTION("IF('(INGESTA)Datos_consumo_datadis'!A3845&lt;&gt;"""",SPLIT('(INGESTA)Datos_consumo_datadis'!A:A,"",""),"""")"),"ES0031408323131005HX0F")</f>
        <v>ES0031408323131005HX0F</v>
      </c>
      <c r="B3845" s="12">
        <f>IFERROR(__xludf.DUMMYFUNCTION("""COMPUTED_VALUE"""),45026.0)</f>
        <v>45026</v>
      </c>
      <c r="C3845" s="13">
        <f>IFERROR(__xludf.DUMMYFUNCTION("""COMPUTED_VALUE"""),0.20833333333333334)</f>
        <v>0.2083333333</v>
      </c>
      <c r="D3845" s="8">
        <f>IFERROR(__xludf.DUMMYFUNCTION("""COMPUTED_VALUE"""),0.142)</f>
        <v>0.142</v>
      </c>
      <c r="E3845" s="8" t="str">
        <f>IFERROR(__xludf.DUMMYFUNCTION("""COMPUTED_VALUE"""),"Real")</f>
        <v>Real</v>
      </c>
      <c r="G3845" s="8">
        <f t="shared" si="1"/>
        <v>4</v>
      </c>
      <c r="H3845" s="14">
        <f t="shared" si="2"/>
        <v>10</v>
      </c>
      <c r="I3845" s="15">
        <f t="shared" si="3"/>
        <v>5</v>
      </c>
    </row>
    <row r="3846">
      <c r="A3846" s="8" t="str">
        <f>IFERROR(__xludf.DUMMYFUNCTION("IF('(INGESTA)Datos_consumo_datadis'!A3846&lt;&gt;"""",SPLIT('(INGESTA)Datos_consumo_datadis'!A:A,"",""),"""")"),"ES0031408323131005HX0F")</f>
        <v>ES0031408323131005HX0F</v>
      </c>
      <c r="B3846" s="12">
        <f>IFERROR(__xludf.DUMMYFUNCTION("""COMPUTED_VALUE"""),45026.0)</f>
        <v>45026</v>
      </c>
      <c r="C3846" s="13">
        <f>IFERROR(__xludf.DUMMYFUNCTION("""COMPUTED_VALUE"""),0.25)</f>
        <v>0.25</v>
      </c>
      <c r="D3846" s="8">
        <f>IFERROR(__xludf.DUMMYFUNCTION("""COMPUTED_VALUE"""),0.146)</f>
        <v>0.146</v>
      </c>
      <c r="E3846" s="8" t="str">
        <f>IFERROR(__xludf.DUMMYFUNCTION("""COMPUTED_VALUE"""),"Real")</f>
        <v>Real</v>
      </c>
      <c r="G3846" s="8">
        <f t="shared" si="1"/>
        <v>4</v>
      </c>
      <c r="H3846" s="14">
        <f t="shared" si="2"/>
        <v>10</v>
      </c>
      <c r="I3846" s="15">
        <f t="shared" si="3"/>
        <v>6</v>
      </c>
    </row>
    <row r="3847">
      <c r="A3847" s="8" t="str">
        <f>IFERROR(__xludf.DUMMYFUNCTION("IF('(INGESTA)Datos_consumo_datadis'!A3847&lt;&gt;"""",SPLIT('(INGESTA)Datos_consumo_datadis'!A:A,"",""),"""")"),"ES0031408323131005HX0F")</f>
        <v>ES0031408323131005HX0F</v>
      </c>
      <c r="B3847" s="12">
        <f>IFERROR(__xludf.DUMMYFUNCTION("""COMPUTED_VALUE"""),45026.0)</f>
        <v>45026</v>
      </c>
      <c r="C3847" s="13">
        <f>IFERROR(__xludf.DUMMYFUNCTION("""COMPUTED_VALUE"""),0.2916666666666667)</f>
        <v>0.2916666667</v>
      </c>
      <c r="D3847" s="8">
        <f>IFERROR(__xludf.DUMMYFUNCTION("""COMPUTED_VALUE"""),0.437)</f>
        <v>0.437</v>
      </c>
      <c r="E3847" s="8" t="str">
        <f>IFERROR(__xludf.DUMMYFUNCTION("""COMPUTED_VALUE"""),"Real")</f>
        <v>Real</v>
      </c>
      <c r="G3847" s="8">
        <f t="shared" si="1"/>
        <v>4</v>
      </c>
      <c r="H3847" s="14">
        <f t="shared" si="2"/>
        <v>10</v>
      </c>
      <c r="I3847" s="15">
        <f t="shared" si="3"/>
        <v>7</v>
      </c>
    </row>
    <row r="3848">
      <c r="A3848" s="8" t="str">
        <f>IFERROR(__xludf.DUMMYFUNCTION("IF('(INGESTA)Datos_consumo_datadis'!A3848&lt;&gt;"""",SPLIT('(INGESTA)Datos_consumo_datadis'!A:A,"",""),"""")"),"ES0031408323131005HX0F")</f>
        <v>ES0031408323131005HX0F</v>
      </c>
      <c r="B3848" s="12">
        <f>IFERROR(__xludf.DUMMYFUNCTION("""COMPUTED_VALUE"""),45026.0)</f>
        <v>45026</v>
      </c>
      <c r="C3848" s="13">
        <f>IFERROR(__xludf.DUMMYFUNCTION("""COMPUTED_VALUE"""),0.3333333333333333)</f>
        <v>0.3333333333</v>
      </c>
      <c r="D3848" s="8">
        <f>IFERROR(__xludf.DUMMYFUNCTION("""COMPUTED_VALUE"""),1.37)</f>
        <v>1.37</v>
      </c>
      <c r="E3848" s="8" t="str">
        <f>IFERROR(__xludf.DUMMYFUNCTION("""COMPUTED_VALUE"""),"Real")</f>
        <v>Real</v>
      </c>
      <c r="G3848" s="8">
        <f t="shared" si="1"/>
        <v>4</v>
      </c>
      <c r="H3848" s="14">
        <f t="shared" si="2"/>
        <v>10</v>
      </c>
      <c r="I3848" s="15">
        <f t="shared" si="3"/>
        <v>8</v>
      </c>
    </row>
    <row r="3849">
      <c r="A3849" s="8" t="str">
        <f>IFERROR(__xludf.DUMMYFUNCTION("IF('(INGESTA)Datos_consumo_datadis'!A3849&lt;&gt;"""",SPLIT('(INGESTA)Datos_consumo_datadis'!A:A,"",""),"""")"),"ES0031408323131005HX0F")</f>
        <v>ES0031408323131005HX0F</v>
      </c>
      <c r="B3849" s="12">
        <f>IFERROR(__xludf.DUMMYFUNCTION("""COMPUTED_VALUE"""),45026.0)</f>
        <v>45026</v>
      </c>
      <c r="C3849" s="13">
        <f>IFERROR(__xludf.DUMMYFUNCTION("""COMPUTED_VALUE"""),0.375)</f>
        <v>0.375</v>
      </c>
      <c r="D3849" s="8">
        <f>IFERROR(__xludf.DUMMYFUNCTION("""COMPUTED_VALUE"""),0.058)</f>
        <v>0.058</v>
      </c>
      <c r="E3849" s="8" t="str">
        <f>IFERROR(__xludf.DUMMYFUNCTION("""COMPUTED_VALUE"""),"Real")</f>
        <v>Real</v>
      </c>
      <c r="G3849" s="8">
        <f t="shared" si="1"/>
        <v>4</v>
      </c>
      <c r="H3849" s="14">
        <f t="shared" si="2"/>
        <v>10</v>
      </c>
      <c r="I3849" s="15">
        <f t="shared" si="3"/>
        <v>9</v>
      </c>
    </row>
    <row r="3850">
      <c r="A3850" s="8" t="str">
        <f>IFERROR(__xludf.DUMMYFUNCTION("IF('(INGESTA)Datos_consumo_datadis'!A3850&lt;&gt;"""",SPLIT('(INGESTA)Datos_consumo_datadis'!A:A,"",""),"""")"),"ES0031408323131005HX0F")</f>
        <v>ES0031408323131005HX0F</v>
      </c>
      <c r="B3850" s="12">
        <f>IFERROR(__xludf.DUMMYFUNCTION("""COMPUTED_VALUE"""),45026.0)</f>
        <v>45026</v>
      </c>
      <c r="C3850" s="13">
        <f>IFERROR(__xludf.DUMMYFUNCTION("""COMPUTED_VALUE"""),0.4166666666666667)</f>
        <v>0.4166666667</v>
      </c>
      <c r="D3850" s="8">
        <f>IFERROR(__xludf.DUMMYFUNCTION("""COMPUTED_VALUE"""),0.035)</f>
        <v>0.035</v>
      </c>
      <c r="E3850" s="8" t="str">
        <f>IFERROR(__xludf.DUMMYFUNCTION("""COMPUTED_VALUE"""),"Real")</f>
        <v>Real</v>
      </c>
      <c r="G3850" s="8">
        <f t="shared" si="1"/>
        <v>4</v>
      </c>
      <c r="H3850" s="14">
        <f t="shared" si="2"/>
        <v>10</v>
      </c>
      <c r="I3850" s="15">
        <f t="shared" si="3"/>
        <v>10</v>
      </c>
    </row>
    <row r="3851">
      <c r="A3851" s="8" t="str">
        <f>IFERROR(__xludf.DUMMYFUNCTION("IF('(INGESTA)Datos_consumo_datadis'!A3851&lt;&gt;"""",SPLIT('(INGESTA)Datos_consumo_datadis'!A:A,"",""),"""")"),"ES0031408323131005HX0F")</f>
        <v>ES0031408323131005HX0F</v>
      </c>
      <c r="B3851" s="12">
        <f>IFERROR(__xludf.DUMMYFUNCTION("""COMPUTED_VALUE"""),45026.0)</f>
        <v>45026</v>
      </c>
      <c r="C3851" s="13">
        <f>IFERROR(__xludf.DUMMYFUNCTION("""COMPUTED_VALUE"""),0.4583333333333333)</f>
        <v>0.4583333333</v>
      </c>
      <c r="D3851" s="8">
        <f>IFERROR(__xludf.DUMMYFUNCTION("""COMPUTED_VALUE"""),0.069)</f>
        <v>0.069</v>
      </c>
      <c r="E3851" s="8" t="str">
        <f>IFERROR(__xludf.DUMMYFUNCTION("""COMPUTED_VALUE"""),"Real")</f>
        <v>Real</v>
      </c>
      <c r="G3851" s="8">
        <f t="shared" si="1"/>
        <v>4</v>
      </c>
      <c r="H3851" s="14">
        <f t="shared" si="2"/>
        <v>10</v>
      </c>
      <c r="I3851" s="15">
        <f t="shared" si="3"/>
        <v>11</v>
      </c>
    </row>
    <row r="3852">
      <c r="A3852" s="8" t="str">
        <f>IFERROR(__xludf.DUMMYFUNCTION("IF('(INGESTA)Datos_consumo_datadis'!A3852&lt;&gt;"""",SPLIT('(INGESTA)Datos_consumo_datadis'!A:A,"",""),"""")"),"ES0031408323131005HX0F")</f>
        <v>ES0031408323131005HX0F</v>
      </c>
      <c r="B3852" s="12">
        <f>IFERROR(__xludf.DUMMYFUNCTION("""COMPUTED_VALUE"""),45026.0)</f>
        <v>45026</v>
      </c>
      <c r="C3852" s="13">
        <f>IFERROR(__xludf.DUMMYFUNCTION("""COMPUTED_VALUE"""),0.5)</f>
        <v>0.5</v>
      </c>
      <c r="D3852" s="8">
        <f>IFERROR(__xludf.DUMMYFUNCTION("""COMPUTED_VALUE"""),0.062)</f>
        <v>0.062</v>
      </c>
      <c r="E3852" s="8" t="str">
        <f>IFERROR(__xludf.DUMMYFUNCTION("""COMPUTED_VALUE"""),"Real")</f>
        <v>Real</v>
      </c>
      <c r="G3852" s="8">
        <f t="shared" si="1"/>
        <v>4</v>
      </c>
      <c r="H3852" s="14">
        <f t="shared" si="2"/>
        <v>10</v>
      </c>
      <c r="I3852" s="15">
        <f t="shared" si="3"/>
        <v>12</v>
      </c>
    </row>
    <row r="3853">
      <c r="A3853" s="8" t="str">
        <f>IFERROR(__xludf.DUMMYFUNCTION("IF('(INGESTA)Datos_consumo_datadis'!A3853&lt;&gt;"""",SPLIT('(INGESTA)Datos_consumo_datadis'!A:A,"",""),"""")"),"ES0031408323131005HX0F")</f>
        <v>ES0031408323131005HX0F</v>
      </c>
      <c r="B3853" s="12">
        <f>IFERROR(__xludf.DUMMYFUNCTION("""COMPUTED_VALUE"""),45026.0)</f>
        <v>45026</v>
      </c>
      <c r="C3853" s="13">
        <f>IFERROR(__xludf.DUMMYFUNCTION("""COMPUTED_VALUE"""),0.5416666666666666)</f>
        <v>0.5416666667</v>
      </c>
      <c r="D3853" s="8">
        <f>IFERROR(__xludf.DUMMYFUNCTION("""COMPUTED_VALUE"""),0.284)</f>
        <v>0.284</v>
      </c>
      <c r="E3853" s="8" t="str">
        <f>IFERROR(__xludf.DUMMYFUNCTION("""COMPUTED_VALUE"""),"Real")</f>
        <v>Real</v>
      </c>
      <c r="G3853" s="8">
        <f t="shared" si="1"/>
        <v>4</v>
      </c>
      <c r="H3853" s="14">
        <f t="shared" si="2"/>
        <v>10</v>
      </c>
      <c r="I3853" s="15">
        <f t="shared" si="3"/>
        <v>13</v>
      </c>
    </row>
    <row r="3854">
      <c r="A3854" s="8" t="str">
        <f>IFERROR(__xludf.DUMMYFUNCTION("IF('(INGESTA)Datos_consumo_datadis'!A3854&lt;&gt;"""",SPLIT('(INGESTA)Datos_consumo_datadis'!A:A,"",""),"""")"),"ES0031408323131005HX0F")</f>
        <v>ES0031408323131005HX0F</v>
      </c>
      <c r="B3854" s="12">
        <f>IFERROR(__xludf.DUMMYFUNCTION("""COMPUTED_VALUE"""),45026.0)</f>
        <v>45026</v>
      </c>
      <c r="C3854" s="13">
        <f>IFERROR(__xludf.DUMMYFUNCTION("""COMPUTED_VALUE"""),0.5833333333333334)</f>
        <v>0.5833333333</v>
      </c>
      <c r="D3854" s="8">
        <f>IFERROR(__xludf.DUMMYFUNCTION("""COMPUTED_VALUE"""),0.068)</f>
        <v>0.068</v>
      </c>
      <c r="E3854" s="8" t="str">
        <f>IFERROR(__xludf.DUMMYFUNCTION("""COMPUTED_VALUE"""),"Real")</f>
        <v>Real</v>
      </c>
      <c r="G3854" s="8">
        <f t="shared" si="1"/>
        <v>4</v>
      </c>
      <c r="H3854" s="14">
        <f t="shared" si="2"/>
        <v>10</v>
      </c>
      <c r="I3854" s="15">
        <f t="shared" si="3"/>
        <v>14</v>
      </c>
    </row>
    <row r="3855">
      <c r="A3855" s="8" t="str">
        <f>IFERROR(__xludf.DUMMYFUNCTION("IF('(INGESTA)Datos_consumo_datadis'!A3855&lt;&gt;"""",SPLIT('(INGESTA)Datos_consumo_datadis'!A:A,"",""),"""")"),"ES0031408323131005HX0F")</f>
        <v>ES0031408323131005HX0F</v>
      </c>
      <c r="B3855" s="12">
        <f>IFERROR(__xludf.DUMMYFUNCTION("""COMPUTED_VALUE"""),45026.0)</f>
        <v>45026</v>
      </c>
      <c r="C3855" s="13">
        <f>IFERROR(__xludf.DUMMYFUNCTION("""COMPUTED_VALUE"""),0.625)</f>
        <v>0.625</v>
      </c>
      <c r="D3855" s="8">
        <f>IFERROR(__xludf.DUMMYFUNCTION("""COMPUTED_VALUE"""),0.068)</f>
        <v>0.068</v>
      </c>
      <c r="E3855" s="8" t="str">
        <f>IFERROR(__xludf.DUMMYFUNCTION("""COMPUTED_VALUE"""),"Real")</f>
        <v>Real</v>
      </c>
      <c r="G3855" s="8">
        <f t="shared" si="1"/>
        <v>4</v>
      </c>
      <c r="H3855" s="14">
        <f t="shared" si="2"/>
        <v>10</v>
      </c>
      <c r="I3855" s="15">
        <f t="shared" si="3"/>
        <v>15</v>
      </c>
    </row>
    <row r="3856">
      <c r="A3856" s="8" t="str">
        <f>IFERROR(__xludf.DUMMYFUNCTION("IF('(INGESTA)Datos_consumo_datadis'!A3856&lt;&gt;"""",SPLIT('(INGESTA)Datos_consumo_datadis'!A:A,"",""),"""")"),"ES0031408323131005HX0F")</f>
        <v>ES0031408323131005HX0F</v>
      </c>
      <c r="B3856" s="12">
        <f>IFERROR(__xludf.DUMMYFUNCTION("""COMPUTED_VALUE"""),45026.0)</f>
        <v>45026</v>
      </c>
      <c r="C3856" s="13">
        <f>IFERROR(__xludf.DUMMYFUNCTION("""COMPUTED_VALUE"""),0.6666666666666666)</f>
        <v>0.6666666667</v>
      </c>
      <c r="D3856" s="8">
        <f>IFERROR(__xludf.DUMMYFUNCTION("""COMPUTED_VALUE"""),0.018)</f>
        <v>0.018</v>
      </c>
      <c r="E3856" s="8" t="str">
        <f>IFERROR(__xludf.DUMMYFUNCTION("""COMPUTED_VALUE"""),"Real")</f>
        <v>Real</v>
      </c>
      <c r="G3856" s="8">
        <f t="shared" si="1"/>
        <v>4</v>
      </c>
      <c r="H3856" s="14">
        <f t="shared" si="2"/>
        <v>10</v>
      </c>
      <c r="I3856" s="15">
        <f t="shared" si="3"/>
        <v>16</v>
      </c>
    </row>
    <row r="3857">
      <c r="A3857" s="8" t="str">
        <f>IFERROR(__xludf.DUMMYFUNCTION("IF('(INGESTA)Datos_consumo_datadis'!A3857&lt;&gt;"""",SPLIT('(INGESTA)Datos_consumo_datadis'!A:A,"",""),"""")"),"ES0031408323131005HX0F")</f>
        <v>ES0031408323131005HX0F</v>
      </c>
      <c r="B3857" s="12">
        <f>IFERROR(__xludf.DUMMYFUNCTION("""COMPUTED_VALUE"""),45026.0)</f>
        <v>45026</v>
      </c>
      <c r="C3857" s="13">
        <f>IFERROR(__xludf.DUMMYFUNCTION("""COMPUTED_VALUE"""),0.7083333333333334)</f>
        <v>0.7083333333</v>
      </c>
      <c r="D3857" s="8">
        <f>IFERROR(__xludf.DUMMYFUNCTION("""COMPUTED_VALUE"""),0.072)</f>
        <v>0.072</v>
      </c>
      <c r="E3857" s="8" t="str">
        <f>IFERROR(__xludf.DUMMYFUNCTION("""COMPUTED_VALUE"""),"Real")</f>
        <v>Real</v>
      </c>
      <c r="G3857" s="8">
        <f t="shared" si="1"/>
        <v>4</v>
      </c>
      <c r="H3857" s="14">
        <f t="shared" si="2"/>
        <v>10</v>
      </c>
      <c r="I3857" s="15">
        <f t="shared" si="3"/>
        <v>17</v>
      </c>
    </row>
    <row r="3858">
      <c r="A3858" s="8" t="str">
        <f>IFERROR(__xludf.DUMMYFUNCTION("IF('(INGESTA)Datos_consumo_datadis'!A3858&lt;&gt;"""",SPLIT('(INGESTA)Datos_consumo_datadis'!A:A,"",""),"""")"),"ES0031408323131005HX0F")</f>
        <v>ES0031408323131005HX0F</v>
      </c>
      <c r="B3858" s="12">
        <f>IFERROR(__xludf.DUMMYFUNCTION("""COMPUTED_VALUE"""),45026.0)</f>
        <v>45026</v>
      </c>
      <c r="C3858" s="13">
        <f>IFERROR(__xludf.DUMMYFUNCTION("""COMPUTED_VALUE"""),0.75)</f>
        <v>0.75</v>
      </c>
      <c r="D3858" s="8">
        <f>IFERROR(__xludf.DUMMYFUNCTION("""COMPUTED_VALUE"""),0.064)</f>
        <v>0.064</v>
      </c>
      <c r="E3858" s="8" t="str">
        <f>IFERROR(__xludf.DUMMYFUNCTION("""COMPUTED_VALUE"""),"Real")</f>
        <v>Real</v>
      </c>
      <c r="G3858" s="8">
        <f t="shared" si="1"/>
        <v>4</v>
      </c>
      <c r="H3858" s="14">
        <f t="shared" si="2"/>
        <v>10</v>
      </c>
      <c r="I3858" s="15">
        <f t="shared" si="3"/>
        <v>18</v>
      </c>
    </row>
    <row r="3859">
      <c r="A3859" s="8" t="str">
        <f>IFERROR(__xludf.DUMMYFUNCTION("IF('(INGESTA)Datos_consumo_datadis'!A3859&lt;&gt;"""",SPLIT('(INGESTA)Datos_consumo_datadis'!A:A,"",""),"""")"),"ES0031408323131005HX0F")</f>
        <v>ES0031408323131005HX0F</v>
      </c>
      <c r="B3859" s="12">
        <f>IFERROR(__xludf.DUMMYFUNCTION("""COMPUTED_VALUE"""),45026.0)</f>
        <v>45026</v>
      </c>
      <c r="C3859" s="13">
        <f>IFERROR(__xludf.DUMMYFUNCTION("""COMPUTED_VALUE"""),0.7916666666666666)</f>
        <v>0.7916666667</v>
      </c>
      <c r="D3859" s="8">
        <f>IFERROR(__xludf.DUMMYFUNCTION("""COMPUTED_VALUE"""),0.297)</f>
        <v>0.297</v>
      </c>
      <c r="E3859" s="8" t="str">
        <f>IFERROR(__xludf.DUMMYFUNCTION("""COMPUTED_VALUE"""),"Real")</f>
        <v>Real</v>
      </c>
      <c r="G3859" s="8">
        <f t="shared" si="1"/>
        <v>4</v>
      </c>
      <c r="H3859" s="14">
        <f t="shared" si="2"/>
        <v>10</v>
      </c>
      <c r="I3859" s="15">
        <f t="shared" si="3"/>
        <v>19</v>
      </c>
    </row>
    <row r="3860">
      <c r="A3860" s="8" t="str">
        <f>IFERROR(__xludf.DUMMYFUNCTION("IF('(INGESTA)Datos_consumo_datadis'!A3860&lt;&gt;"""",SPLIT('(INGESTA)Datos_consumo_datadis'!A:A,"",""),"""")"),"ES0031408323131005HX0F")</f>
        <v>ES0031408323131005HX0F</v>
      </c>
      <c r="B3860" s="12">
        <f>IFERROR(__xludf.DUMMYFUNCTION("""COMPUTED_VALUE"""),45026.0)</f>
        <v>45026</v>
      </c>
      <c r="C3860" s="13">
        <f>IFERROR(__xludf.DUMMYFUNCTION("""COMPUTED_VALUE"""),0.8333333333333334)</f>
        <v>0.8333333333</v>
      </c>
      <c r="D3860" s="8">
        <f>IFERROR(__xludf.DUMMYFUNCTION("""COMPUTED_VALUE"""),0.09)</f>
        <v>0.09</v>
      </c>
      <c r="E3860" s="8" t="str">
        <f>IFERROR(__xludf.DUMMYFUNCTION("""COMPUTED_VALUE"""),"Real")</f>
        <v>Real</v>
      </c>
      <c r="G3860" s="8">
        <f t="shared" si="1"/>
        <v>4</v>
      </c>
      <c r="H3860" s="14">
        <f t="shared" si="2"/>
        <v>10</v>
      </c>
      <c r="I3860" s="15">
        <f t="shared" si="3"/>
        <v>20</v>
      </c>
    </row>
    <row r="3861">
      <c r="A3861" s="8" t="str">
        <f>IFERROR(__xludf.DUMMYFUNCTION("IF('(INGESTA)Datos_consumo_datadis'!A3861&lt;&gt;"""",SPLIT('(INGESTA)Datos_consumo_datadis'!A:A,"",""),"""")"),"ES0031408323131005HX0F")</f>
        <v>ES0031408323131005HX0F</v>
      </c>
      <c r="B3861" s="12">
        <f>IFERROR(__xludf.DUMMYFUNCTION("""COMPUTED_VALUE"""),45026.0)</f>
        <v>45026</v>
      </c>
      <c r="C3861" s="13">
        <f>IFERROR(__xludf.DUMMYFUNCTION("""COMPUTED_VALUE"""),0.875)</f>
        <v>0.875</v>
      </c>
      <c r="D3861" s="8">
        <f>IFERROR(__xludf.DUMMYFUNCTION("""COMPUTED_VALUE"""),2.319)</f>
        <v>2.319</v>
      </c>
      <c r="E3861" s="8" t="str">
        <f>IFERROR(__xludf.DUMMYFUNCTION("""COMPUTED_VALUE"""),"Real")</f>
        <v>Real</v>
      </c>
      <c r="G3861" s="8">
        <f t="shared" si="1"/>
        <v>4</v>
      </c>
      <c r="H3861" s="14">
        <f t="shared" si="2"/>
        <v>10</v>
      </c>
      <c r="I3861" s="15">
        <f t="shared" si="3"/>
        <v>21</v>
      </c>
    </row>
    <row r="3862">
      <c r="A3862" s="8" t="str">
        <f>IFERROR(__xludf.DUMMYFUNCTION("IF('(INGESTA)Datos_consumo_datadis'!A3862&lt;&gt;"""",SPLIT('(INGESTA)Datos_consumo_datadis'!A:A,"",""),"""")"),"ES0031408323131005HX0F")</f>
        <v>ES0031408323131005HX0F</v>
      </c>
      <c r="B3862" s="12">
        <f>IFERROR(__xludf.DUMMYFUNCTION("""COMPUTED_VALUE"""),45026.0)</f>
        <v>45026</v>
      </c>
      <c r="C3862" s="13">
        <f>IFERROR(__xludf.DUMMYFUNCTION("""COMPUTED_VALUE"""),0.9166666666666666)</f>
        <v>0.9166666667</v>
      </c>
      <c r="D3862" s="8">
        <f>IFERROR(__xludf.DUMMYFUNCTION("""COMPUTED_VALUE"""),1.193)</f>
        <v>1.193</v>
      </c>
      <c r="E3862" s="8" t="str">
        <f>IFERROR(__xludf.DUMMYFUNCTION("""COMPUTED_VALUE"""),"Real")</f>
        <v>Real</v>
      </c>
      <c r="G3862" s="8">
        <f t="shared" si="1"/>
        <v>4</v>
      </c>
      <c r="H3862" s="14">
        <f t="shared" si="2"/>
        <v>10</v>
      </c>
      <c r="I3862" s="15">
        <f t="shared" si="3"/>
        <v>22</v>
      </c>
    </row>
    <row r="3863">
      <c r="A3863" s="8" t="str">
        <f>IFERROR(__xludf.DUMMYFUNCTION("IF('(INGESTA)Datos_consumo_datadis'!A3863&lt;&gt;"""",SPLIT('(INGESTA)Datos_consumo_datadis'!A:A,"",""),"""")"),"ES0031408323131005HX0F")</f>
        <v>ES0031408323131005HX0F</v>
      </c>
      <c r="B3863" s="12">
        <f>IFERROR(__xludf.DUMMYFUNCTION("""COMPUTED_VALUE"""),45026.0)</f>
        <v>45026</v>
      </c>
      <c r="C3863" s="13">
        <f>IFERROR(__xludf.DUMMYFUNCTION("""COMPUTED_VALUE"""),0.9583333333333334)</f>
        <v>0.9583333333</v>
      </c>
      <c r="D3863" s="8">
        <f>IFERROR(__xludf.DUMMYFUNCTION("""COMPUTED_VALUE"""),0.516)</f>
        <v>0.516</v>
      </c>
      <c r="E3863" s="8" t="str">
        <f>IFERROR(__xludf.DUMMYFUNCTION("""COMPUTED_VALUE"""),"Real")</f>
        <v>Real</v>
      </c>
      <c r="G3863" s="8">
        <f t="shared" si="1"/>
        <v>4</v>
      </c>
      <c r="H3863" s="14">
        <f t="shared" si="2"/>
        <v>10</v>
      </c>
      <c r="I3863" s="15">
        <f t="shared" si="3"/>
        <v>23</v>
      </c>
    </row>
    <row r="3864">
      <c r="A3864" s="8" t="str">
        <f>IFERROR(__xludf.DUMMYFUNCTION("IF('(INGESTA)Datos_consumo_datadis'!A3864&lt;&gt;"""",SPLIT('(INGESTA)Datos_consumo_datadis'!A:A,"",""),"""")"),"ES0031408323131005HX0F")</f>
        <v>ES0031408323131005HX0F</v>
      </c>
      <c r="B3864" s="12">
        <f>IFERROR(__xludf.DUMMYFUNCTION("""COMPUTED_VALUE"""),45026.0)</f>
        <v>45026</v>
      </c>
      <c r="C3864" s="16">
        <f>IFERROR(__xludf.DUMMYFUNCTION("""COMPUTED_VALUE"""),1.0)</f>
        <v>1</v>
      </c>
      <c r="D3864" s="8">
        <f>IFERROR(__xludf.DUMMYFUNCTION("""COMPUTED_VALUE"""),1.194)</f>
        <v>1.194</v>
      </c>
      <c r="E3864" s="8" t="str">
        <f>IFERROR(__xludf.DUMMYFUNCTION("""COMPUTED_VALUE"""),"Real")</f>
        <v>Real</v>
      </c>
      <c r="G3864" s="8">
        <f t="shared" si="1"/>
        <v>4</v>
      </c>
      <c r="H3864" s="14">
        <f t="shared" si="2"/>
        <v>10</v>
      </c>
      <c r="I3864" s="15">
        <f t="shared" si="3"/>
        <v>0</v>
      </c>
    </row>
    <row r="3865">
      <c r="A3865" s="8" t="str">
        <f>IFERROR(__xludf.DUMMYFUNCTION("IF('(INGESTA)Datos_consumo_datadis'!A3865&lt;&gt;"""",SPLIT('(INGESTA)Datos_consumo_datadis'!A:A,"",""),"""")"),"ES0031408323131005HX0F")</f>
        <v>ES0031408323131005HX0F</v>
      </c>
      <c r="B3865" s="12">
        <f>IFERROR(__xludf.DUMMYFUNCTION("""COMPUTED_VALUE"""),45027.0)</f>
        <v>45027</v>
      </c>
      <c r="C3865" s="13">
        <f>IFERROR(__xludf.DUMMYFUNCTION("""COMPUTED_VALUE"""),0.041666666666666664)</f>
        <v>0.04166666667</v>
      </c>
      <c r="D3865" s="8">
        <f>IFERROR(__xludf.DUMMYFUNCTION("""COMPUTED_VALUE"""),0.083)</f>
        <v>0.083</v>
      </c>
      <c r="E3865" s="8" t="str">
        <f>IFERROR(__xludf.DUMMYFUNCTION("""COMPUTED_VALUE"""),"Real")</f>
        <v>Real</v>
      </c>
      <c r="G3865" s="8">
        <f t="shared" si="1"/>
        <v>4</v>
      </c>
      <c r="H3865" s="14">
        <f t="shared" si="2"/>
        <v>11</v>
      </c>
      <c r="I3865" s="15">
        <f t="shared" si="3"/>
        <v>1</v>
      </c>
    </row>
    <row r="3866">
      <c r="A3866" s="8" t="str">
        <f>IFERROR(__xludf.DUMMYFUNCTION("IF('(INGESTA)Datos_consumo_datadis'!A3866&lt;&gt;"""",SPLIT('(INGESTA)Datos_consumo_datadis'!A:A,"",""),"""")"),"ES0031408323131005HX0F")</f>
        <v>ES0031408323131005HX0F</v>
      </c>
      <c r="B3866" s="12">
        <f>IFERROR(__xludf.DUMMYFUNCTION("""COMPUTED_VALUE"""),45027.0)</f>
        <v>45027</v>
      </c>
      <c r="C3866" s="13">
        <f>IFERROR(__xludf.DUMMYFUNCTION("""COMPUTED_VALUE"""),0.08333333333333333)</f>
        <v>0.08333333333</v>
      </c>
      <c r="D3866" s="8">
        <f>IFERROR(__xludf.DUMMYFUNCTION("""COMPUTED_VALUE"""),0.291)</f>
        <v>0.291</v>
      </c>
      <c r="E3866" s="8" t="str">
        <f>IFERROR(__xludf.DUMMYFUNCTION("""COMPUTED_VALUE"""),"Real")</f>
        <v>Real</v>
      </c>
      <c r="G3866" s="8">
        <f t="shared" si="1"/>
        <v>4</v>
      </c>
      <c r="H3866" s="14">
        <f t="shared" si="2"/>
        <v>11</v>
      </c>
      <c r="I3866" s="15">
        <f t="shared" si="3"/>
        <v>2</v>
      </c>
    </row>
    <row r="3867">
      <c r="A3867" s="8" t="str">
        <f>IFERROR(__xludf.DUMMYFUNCTION("IF('(INGESTA)Datos_consumo_datadis'!A3867&lt;&gt;"""",SPLIT('(INGESTA)Datos_consumo_datadis'!A:A,"",""),"""")"),"ES0031408323131005HX0F")</f>
        <v>ES0031408323131005HX0F</v>
      </c>
      <c r="B3867" s="12">
        <f>IFERROR(__xludf.DUMMYFUNCTION("""COMPUTED_VALUE"""),45027.0)</f>
        <v>45027</v>
      </c>
      <c r="C3867" s="13">
        <f>IFERROR(__xludf.DUMMYFUNCTION("""COMPUTED_VALUE"""),0.125)</f>
        <v>0.125</v>
      </c>
      <c r="D3867" s="8">
        <f>IFERROR(__xludf.DUMMYFUNCTION("""COMPUTED_VALUE"""),0.145)</f>
        <v>0.145</v>
      </c>
      <c r="E3867" s="8" t="str">
        <f>IFERROR(__xludf.DUMMYFUNCTION("""COMPUTED_VALUE"""),"Real")</f>
        <v>Real</v>
      </c>
      <c r="G3867" s="8">
        <f t="shared" si="1"/>
        <v>4</v>
      </c>
      <c r="H3867" s="14">
        <f t="shared" si="2"/>
        <v>11</v>
      </c>
      <c r="I3867" s="15">
        <f t="shared" si="3"/>
        <v>3</v>
      </c>
    </row>
    <row r="3868">
      <c r="A3868" s="8" t="str">
        <f>IFERROR(__xludf.DUMMYFUNCTION("IF('(INGESTA)Datos_consumo_datadis'!A3868&lt;&gt;"""",SPLIT('(INGESTA)Datos_consumo_datadis'!A:A,"",""),"""")"),"ES0031408323131005HX0F")</f>
        <v>ES0031408323131005HX0F</v>
      </c>
      <c r="B3868" s="12">
        <f>IFERROR(__xludf.DUMMYFUNCTION("""COMPUTED_VALUE"""),45027.0)</f>
        <v>45027</v>
      </c>
      <c r="C3868" s="13">
        <f>IFERROR(__xludf.DUMMYFUNCTION("""COMPUTED_VALUE"""),0.16666666666666666)</f>
        <v>0.1666666667</v>
      </c>
      <c r="D3868" s="8">
        <f>IFERROR(__xludf.DUMMYFUNCTION("""COMPUTED_VALUE"""),0.066)</f>
        <v>0.066</v>
      </c>
      <c r="E3868" s="8" t="str">
        <f>IFERROR(__xludf.DUMMYFUNCTION("""COMPUTED_VALUE"""),"Real")</f>
        <v>Real</v>
      </c>
      <c r="G3868" s="8">
        <f t="shared" si="1"/>
        <v>4</v>
      </c>
      <c r="H3868" s="14">
        <f t="shared" si="2"/>
        <v>11</v>
      </c>
      <c r="I3868" s="15">
        <f t="shared" si="3"/>
        <v>4</v>
      </c>
    </row>
    <row r="3869">
      <c r="A3869" s="8" t="str">
        <f>IFERROR(__xludf.DUMMYFUNCTION("IF('(INGESTA)Datos_consumo_datadis'!A3869&lt;&gt;"""",SPLIT('(INGESTA)Datos_consumo_datadis'!A:A,"",""),"""")"),"ES0031408323131005HX0F")</f>
        <v>ES0031408323131005HX0F</v>
      </c>
      <c r="B3869" s="12">
        <f>IFERROR(__xludf.DUMMYFUNCTION("""COMPUTED_VALUE"""),45027.0)</f>
        <v>45027</v>
      </c>
      <c r="C3869" s="13">
        <f>IFERROR(__xludf.DUMMYFUNCTION("""COMPUTED_VALUE"""),0.20833333333333334)</f>
        <v>0.2083333333</v>
      </c>
      <c r="D3869" s="8">
        <f>IFERROR(__xludf.DUMMYFUNCTION("""COMPUTED_VALUE"""),0.027)</f>
        <v>0.027</v>
      </c>
      <c r="E3869" s="8" t="str">
        <f>IFERROR(__xludf.DUMMYFUNCTION("""COMPUTED_VALUE"""),"Real")</f>
        <v>Real</v>
      </c>
      <c r="G3869" s="8">
        <f t="shared" si="1"/>
        <v>4</v>
      </c>
      <c r="H3869" s="14">
        <f t="shared" si="2"/>
        <v>11</v>
      </c>
      <c r="I3869" s="15">
        <f t="shared" si="3"/>
        <v>5</v>
      </c>
    </row>
    <row r="3870">
      <c r="A3870" s="8" t="str">
        <f>IFERROR(__xludf.DUMMYFUNCTION("IF('(INGESTA)Datos_consumo_datadis'!A3870&lt;&gt;"""",SPLIT('(INGESTA)Datos_consumo_datadis'!A:A,"",""),"""")"),"ES0031408323131005HX0F")</f>
        <v>ES0031408323131005HX0F</v>
      </c>
      <c r="B3870" s="12">
        <f>IFERROR(__xludf.DUMMYFUNCTION("""COMPUTED_VALUE"""),45027.0)</f>
        <v>45027</v>
      </c>
      <c r="C3870" s="13">
        <f>IFERROR(__xludf.DUMMYFUNCTION("""COMPUTED_VALUE"""),0.25)</f>
        <v>0.25</v>
      </c>
      <c r="D3870" s="8">
        <f>IFERROR(__xludf.DUMMYFUNCTION("""COMPUTED_VALUE"""),0.168)</f>
        <v>0.168</v>
      </c>
      <c r="E3870" s="8" t="str">
        <f>IFERROR(__xludf.DUMMYFUNCTION("""COMPUTED_VALUE"""),"Real")</f>
        <v>Real</v>
      </c>
      <c r="G3870" s="8">
        <f t="shared" si="1"/>
        <v>4</v>
      </c>
      <c r="H3870" s="14">
        <f t="shared" si="2"/>
        <v>11</v>
      </c>
      <c r="I3870" s="15">
        <f t="shared" si="3"/>
        <v>6</v>
      </c>
    </row>
    <row r="3871">
      <c r="A3871" s="8" t="str">
        <f>IFERROR(__xludf.DUMMYFUNCTION("IF('(INGESTA)Datos_consumo_datadis'!A3871&lt;&gt;"""",SPLIT('(INGESTA)Datos_consumo_datadis'!A:A,"",""),"""")"),"ES0031408323131005HX0F")</f>
        <v>ES0031408323131005HX0F</v>
      </c>
      <c r="B3871" s="12">
        <f>IFERROR(__xludf.DUMMYFUNCTION("""COMPUTED_VALUE"""),45027.0)</f>
        <v>45027</v>
      </c>
      <c r="C3871" s="13">
        <f>IFERROR(__xludf.DUMMYFUNCTION("""COMPUTED_VALUE"""),0.2916666666666667)</f>
        <v>0.2916666667</v>
      </c>
      <c r="D3871" s="8">
        <f>IFERROR(__xludf.DUMMYFUNCTION("""COMPUTED_VALUE"""),0.063)</f>
        <v>0.063</v>
      </c>
      <c r="E3871" s="8" t="str">
        <f>IFERROR(__xludf.DUMMYFUNCTION("""COMPUTED_VALUE"""),"Real")</f>
        <v>Real</v>
      </c>
      <c r="G3871" s="8">
        <f t="shared" si="1"/>
        <v>4</v>
      </c>
      <c r="H3871" s="14">
        <f t="shared" si="2"/>
        <v>11</v>
      </c>
      <c r="I3871" s="15">
        <f t="shared" si="3"/>
        <v>7</v>
      </c>
    </row>
    <row r="3872">
      <c r="A3872" s="8" t="str">
        <f>IFERROR(__xludf.DUMMYFUNCTION("IF('(INGESTA)Datos_consumo_datadis'!A3872&lt;&gt;"""",SPLIT('(INGESTA)Datos_consumo_datadis'!A:A,"",""),"""")"),"ES0031408323131005HX0F")</f>
        <v>ES0031408323131005HX0F</v>
      </c>
      <c r="B3872" s="12">
        <f>IFERROR(__xludf.DUMMYFUNCTION("""COMPUTED_VALUE"""),45027.0)</f>
        <v>45027</v>
      </c>
      <c r="C3872" s="13">
        <f>IFERROR(__xludf.DUMMYFUNCTION("""COMPUTED_VALUE"""),0.3333333333333333)</f>
        <v>0.3333333333</v>
      </c>
      <c r="D3872" s="8">
        <f>IFERROR(__xludf.DUMMYFUNCTION("""COMPUTED_VALUE"""),0.345)</f>
        <v>0.345</v>
      </c>
      <c r="E3872" s="8" t="str">
        <f>IFERROR(__xludf.DUMMYFUNCTION("""COMPUTED_VALUE"""),"Real")</f>
        <v>Real</v>
      </c>
      <c r="G3872" s="8">
        <f t="shared" si="1"/>
        <v>4</v>
      </c>
      <c r="H3872" s="14">
        <f t="shared" si="2"/>
        <v>11</v>
      </c>
      <c r="I3872" s="15">
        <f t="shared" si="3"/>
        <v>8</v>
      </c>
    </row>
    <row r="3873">
      <c r="A3873" s="8" t="str">
        <f>IFERROR(__xludf.DUMMYFUNCTION("IF('(INGESTA)Datos_consumo_datadis'!A3873&lt;&gt;"""",SPLIT('(INGESTA)Datos_consumo_datadis'!A:A,"",""),"""")"),"ES0031408323131005HX0F")</f>
        <v>ES0031408323131005HX0F</v>
      </c>
      <c r="B3873" s="12">
        <f>IFERROR(__xludf.DUMMYFUNCTION("""COMPUTED_VALUE"""),45027.0)</f>
        <v>45027</v>
      </c>
      <c r="C3873" s="13">
        <f>IFERROR(__xludf.DUMMYFUNCTION("""COMPUTED_VALUE"""),0.375)</f>
        <v>0.375</v>
      </c>
      <c r="D3873" s="8">
        <f>IFERROR(__xludf.DUMMYFUNCTION("""COMPUTED_VALUE"""),0.07)</f>
        <v>0.07</v>
      </c>
      <c r="E3873" s="8" t="str">
        <f>IFERROR(__xludf.DUMMYFUNCTION("""COMPUTED_VALUE"""),"Real")</f>
        <v>Real</v>
      </c>
      <c r="G3873" s="8">
        <f t="shared" si="1"/>
        <v>4</v>
      </c>
      <c r="H3873" s="14">
        <f t="shared" si="2"/>
        <v>11</v>
      </c>
      <c r="I3873" s="15">
        <f t="shared" si="3"/>
        <v>9</v>
      </c>
    </row>
    <row r="3874">
      <c r="A3874" s="8" t="str">
        <f>IFERROR(__xludf.DUMMYFUNCTION("IF('(INGESTA)Datos_consumo_datadis'!A3874&lt;&gt;"""",SPLIT('(INGESTA)Datos_consumo_datadis'!A:A,"",""),"""")"),"ES0031408323131005HX0F")</f>
        <v>ES0031408323131005HX0F</v>
      </c>
      <c r="B3874" s="12">
        <f>IFERROR(__xludf.DUMMYFUNCTION("""COMPUTED_VALUE"""),45027.0)</f>
        <v>45027</v>
      </c>
      <c r="C3874" s="13">
        <f>IFERROR(__xludf.DUMMYFUNCTION("""COMPUTED_VALUE"""),0.4166666666666667)</f>
        <v>0.4166666667</v>
      </c>
      <c r="D3874" s="8">
        <f>IFERROR(__xludf.DUMMYFUNCTION("""COMPUTED_VALUE"""),0.159)</f>
        <v>0.159</v>
      </c>
      <c r="E3874" s="8" t="str">
        <f>IFERROR(__xludf.DUMMYFUNCTION("""COMPUTED_VALUE"""),"Real")</f>
        <v>Real</v>
      </c>
      <c r="G3874" s="8">
        <f t="shared" si="1"/>
        <v>4</v>
      </c>
      <c r="H3874" s="14">
        <f t="shared" si="2"/>
        <v>11</v>
      </c>
      <c r="I3874" s="15">
        <f t="shared" si="3"/>
        <v>10</v>
      </c>
    </row>
    <row r="3875">
      <c r="A3875" s="8" t="str">
        <f>IFERROR(__xludf.DUMMYFUNCTION("IF('(INGESTA)Datos_consumo_datadis'!A3875&lt;&gt;"""",SPLIT('(INGESTA)Datos_consumo_datadis'!A:A,"",""),"""")"),"ES0031408323131005HX0F")</f>
        <v>ES0031408323131005HX0F</v>
      </c>
      <c r="B3875" s="12">
        <f>IFERROR(__xludf.DUMMYFUNCTION("""COMPUTED_VALUE"""),45027.0)</f>
        <v>45027</v>
      </c>
      <c r="C3875" s="13">
        <f>IFERROR(__xludf.DUMMYFUNCTION("""COMPUTED_VALUE"""),0.4583333333333333)</f>
        <v>0.4583333333</v>
      </c>
      <c r="D3875" s="8">
        <f>IFERROR(__xludf.DUMMYFUNCTION("""COMPUTED_VALUE"""),0.57)</f>
        <v>0.57</v>
      </c>
      <c r="E3875" s="8" t="str">
        <f>IFERROR(__xludf.DUMMYFUNCTION("""COMPUTED_VALUE"""),"Real")</f>
        <v>Real</v>
      </c>
      <c r="G3875" s="8">
        <f t="shared" si="1"/>
        <v>4</v>
      </c>
      <c r="H3875" s="14">
        <f t="shared" si="2"/>
        <v>11</v>
      </c>
      <c r="I3875" s="15">
        <f t="shared" si="3"/>
        <v>11</v>
      </c>
    </row>
    <row r="3876">
      <c r="A3876" s="8" t="str">
        <f>IFERROR(__xludf.DUMMYFUNCTION("IF('(INGESTA)Datos_consumo_datadis'!A3876&lt;&gt;"""",SPLIT('(INGESTA)Datos_consumo_datadis'!A:A,"",""),"""")"),"ES0031408323131005HX0F")</f>
        <v>ES0031408323131005HX0F</v>
      </c>
      <c r="B3876" s="12">
        <f>IFERROR(__xludf.DUMMYFUNCTION("""COMPUTED_VALUE"""),45027.0)</f>
        <v>45027</v>
      </c>
      <c r="C3876" s="13">
        <f>IFERROR(__xludf.DUMMYFUNCTION("""COMPUTED_VALUE"""),0.5)</f>
        <v>0.5</v>
      </c>
      <c r="D3876" s="8">
        <f>IFERROR(__xludf.DUMMYFUNCTION("""COMPUTED_VALUE"""),0.367)</f>
        <v>0.367</v>
      </c>
      <c r="E3876" s="8" t="str">
        <f>IFERROR(__xludf.DUMMYFUNCTION("""COMPUTED_VALUE"""),"Real")</f>
        <v>Real</v>
      </c>
      <c r="G3876" s="8">
        <f t="shared" si="1"/>
        <v>4</v>
      </c>
      <c r="H3876" s="14">
        <f t="shared" si="2"/>
        <v>11</v>
      </c>
      <c r="I3876" s="15">
        <f t="shared" si="3"/>
        <v>12</v>
      </c>
    </row>
    <row r="3877">
      <c r="A3877" s="8" t="str">
        <f>IFERROR(__xludf.DUMMYFUNCTION("IF('(INGESTA)Datos_consumo_datadis'!A3877&lt;&gt;"""",SPLIT('(INGESTA)Datos_consumo_datadis'!A:A,"",""),"""")"),"ES0031408323131005HX0F")</f>
        <v>ES0031408323131005HX0F</v>
      </c>
      <c r="B3877" s="12">
        <f>IFERROR(__xludf.DUMMYFUNCTION("""COMPUTED_VALUE"""),45027.0)</f>
        <v>45027</v>
      </c>
      <c r="C3877" s="13">
        <f>IFERROR(__xludf.DUMMYFUNCTION("""COMPUTED_VALUE"""),0.5416666666666666)</f>
        <v>0.5416666667</v>
      </c>
      <c r="D3877" s="8">
        <f>IFERROR(__xludf.DUMMYFUNCTION("""COMPUTED_VALUE"""),0.103)</f>
        <v>0.103</v>
      </c>
      <c r="E3877" s="8" t="str">
        <f>IFERROR(__xludf.DUMMYFUNCTION("""COMPUTED_VALUE"""),"Real")</f>
        <v>Real</v>
      </c>
      <c r="G3877" s="8">
        <f t="shared" si="1"/>
        <v>4</v>
      </c>
      <c r="H3877" s="14">
        <f t="shared" si="2"/>
        <v>11</v>
      </c>
      <c r="I3877" s="15">
        <f t="shared" si="3"/>
        <v>13</v>
      </c>
    </row>
    <row r="3878">
      <c r="A3878" s="8" t="str">
        <f>IFERROR(__xludf.DUMMYFUNCTION("IF('(INGESTA)Datos_consumo_datadis'!A3878&lt;&gt;"""",SPLIT('(INGESTA)Datos_consumo_datadis'!A:A,"",""),"""")"),"ES0031408323131005HX0F")</f>
        <v>ES0031408323131005HX0F</v>
      </c>
      <c r="B3878" s="12">
        <f>IFERROR(__xludf.DUMMYFUNCTION("""COMPUTED_VALUE"""),45027.0)</f>
        <v>45027</v>
      </c>
      <c r="C3878" s="13">
        <f>IFERROR(__xludf.DUMMYFUNCTION("""COMPUTED_VALUE"""),0.5833333333333334)</f>
        <v>0.5833333333</v>
      </c>
      <c r="D3878" s="8">
        <f>IFERROR(__xludf.DUMMYFUNCTION("""COMPUTED_VALUE"""),1.808)</f>
        <v>1.808</v>
      </c>
      <c r="E3878" s="8" t="str">
        <f>IFERROR(__xludf.DUMMYFUNCTION("""COMPUTED_VALUE"""),"Real")</f>
        <v>Real</v>
      </c>
      <c r="G3878" s="8">
        <f t="shared" si="1"/>
        <v>4</v>
      </c>
      <c r="H3878" s="14">
        <f t="shared" si="2"/>
        <v>11</v>
      </c>
      <c r="I3878" s="15">
        <f t="shared" si="3"/>
        <v>14</v>
      </c>
    </row>
    <row r="3879">
      <c r="A3879" s="8" t="str">
        <f>IFERROR(__xludf.DUMMYFUNCTION("IF('(INGESTA)Datos_consumo_datadis'!A3879&lt;&gt;"""",SPLIT('(INGESTA)Datos_consumo_datadis'!A:A,"",""),"""")"),"ES0031408323131005HX0F")</f>
        <v>ES0031408323131005HX0F</v>
      </c>
      <c r="B3879" s="12">
        <f>IFERROR(__xludf.DUMMYFUNCTION("""COMPUTED_VALUE"""),45027.0)</f>
        <v>45027</v>
      </c>
      <c r="C3879" s="13">
        <f>IFERROR(__xludf.DUMMYFUNCTION("""COMPUTED_VALUE"""),0.625)</f>
        <v>0.625</v>
      </c>
      <c r="D3879" s="8">
        <f>IFERROR(__xludf.DUMMYFUNCTION("""COMPUTED_VALUE"""),0.936)</f>
        <v>0.936</v>
      </c>
      <c r="E3879" s="8" t="str">
        <f>IFERROR(__xludf.DUMMYFUNCTION("""COMPUTED_VALUE"""),"Real")</f>
        <v>Real</v>
      </c>
      <c r="G3879" s="8">
        <f t="shared" si="1"/>
        <v>4</v>
      </c>
      <c r="H3879" s="14">
        <f t="shared" si="2"/>
        <v>11</v>
      </c>
      <c r="I3879" s="15">
        <f t="shared" si="3"/>
        <v>15</v>
      </c>
    </row>
    <row r="3880">
      <c r="A3880" s="8" t="str">
        <f>IFERROR(__xludf.DUMMYFUNCTION("IF('(INGESTA)Datos_consumo_datadis'!A3880&lt;&gt;"""",SPLIT('(INGESTA)Datos_consumo_datadis'!A:A,"",""),"""")"),"ES0031408323131005HX0F")</f>
        <v>ES0031408323131005HX0F</v>
      </c>
      <c r="B3880" s="12">
        <f>IFERROR(__xludf.DUMMYFUNCTION("""COMPUTED_VALUE"""),45027.0)</f>
        <v>45027</v>
      </c>
      <c r="C3880" s="13">
        <f>IFERROR(__xludf.DUMMYFUNCTION("""COMPUTED_VALUE"""),0.6666666666666666)</f>
        <v>0.6666666667</v>
      </c>
      <c r="D3880" s="8">
        <f>IFERROR(__xludf.DUMMYFUNCTION("""COMPUTED_VALUE"""),0.938)</f>
        <v>0.938</v>
      </c>
      <c r="E3880" s="8" t="str">
        <f>IFERROR(__xludf.DUMMYFUNCTION("""COMPUTED_VALUE"""),"Real")</f>
        <v>Real</v>
      </c>
      <c r="G3880" s="8">
        <f t="shared" si="1"/>
        <v>4</v>
      </c>
      <c r="H3880" s="14">
        <f t="shared" si="2"/>
        <v>11</v>
      </c>
      <c r="I3880" s="15">
        <f t="shared" si="3"/>
        <v>16</v>
      </c>
    </row>
    <row r="3881">
      <c r="A3881" s="8" t="str">
        <f>IFERROR(__xludf.DUMMYFUNCTION("IF('(INGESTA)Datos_consumo_datadis'!A3881&lt;&gt;"""",SPLIT('(INGESTA)Datos_consumo_datadis'!A:A,"",""),"""")"),"ES0031408323131005HX0F")</f>
        <v>ES0031408323131005HX0F</v>
      </c>
      <c r="B3881" s="12">
        <f>IFERROR(__xludf.DUMMYFUNCTION("""COMPUTED_VALUE"""),45027.0)</f>
        <v>45027</v>
      </c>
      <c r="C3881" s="13">
        <f>IFERROR(__xludf.DUMMYFUNCTION("""COMPUTED_VALUE"""),0.7083333333333334)</f>
        <v>0.7083333333</v>
      </c>
      <c r="D3881" s="8">
        <f>IFERROR(__xludf.DUMMYFUNCTION("""COMPUTED_VALUE"""),0.06)</f>
        <v>0.06</v>
      </c>
      <c r="E3881" s="8" t="str">
        <f>IFERROR(__xludf.DUMMYFUNCTION("""COMPUTED_VALUE"""),"Real")</f>
        <v>Real</v>
      </c>
      <c r="G3881" s="8">
        <f t="shared" si="1"/>
        <v>4</v>
      </c>
      <c r="H3881" s="14">
        <f t="shared" si="2"/>
        <v>11</v>
      </c>
      <c r="I3881" s="15">
        <f t="shared" si="3"/>
        <v>17</v>
      </c>
    </row>
    <row r="3882">
      <c r="A3882" s="8" t="str">
        <f>IFERROR(__xludf.DUMMYFUNCTION("IF('(INGESTA)Datos_consumo_datadis'!A3882&lt;&gt;"""",SPLIT('(INGESTA)Datos_consumo_datadis'!A:A,"",""),"""")"),"ES0031408323131005HX0F")</f>
        <v>ES0031408323131005HX0F</v>
      </c>
      <c r="B3882" s="12">
        <f>IFERROR(__xludf.DUMMYFUNCTION("""COMPUTED_VALUE"""),45027.0)</f>
        <v>45027</v>
      </c>
      <c r="C3882" s="13">
        <f>IFERROR(__xludf.DUMMYFUNCTION("""COMPUTED_VALUE"""),0.75)</f>
        <v>0.75</v>
      </c>
      <c r="D3882" s="8">
        <f>IFERROR(__xludf.DUMMYFUNCTION("""COMPUTED_VALUE"""),0.05)</f>
        <v>0.05</v>
      </c>
      <c r="E3882" s="8" t="str">
        <f>IFERROR(__xludf.DUMMYFUNCTION("""COMPUTED_VALUE"""),"Real")</f>
        <v>Real</v>
      </c>
      <c r="G3882" s="8">
        <f t="shared" si="1"/>
        <v>4</v>
      </c>
      <c r="H3882" s="14">
        <f t="shared" si="2"/>
        <v>11</v>
      </c>
      <c r="I3882" s="15">
        <f t="shared" si="3"/>
        <v>18</v>
      </c>
    </row>
    <row r="3883">
      <c r="A3883" s="8" t="str">
        <f>IFERROR(__xludf.DUMMYFUNCTION("IF('(INGESTA)Datos_consumo_datadis'!A3883&lt;&gt;"""",SPLIT('(INGESTA)Datos_consumo_datadis'!A:A,"",""),"""")"),"ES0031408323131005HX0F")</f>
        <v>ES0031408323131005HX0F</v>
      </c>
      <c r="B3883" s="12">
        <f>IFERROR(__xludf.DUMMYFUNCTION("""COMPUTED_VALUE"""),45027.0)</f>
        <v>45027</v>
      </c>
      <c r="C3883" s="13">
        <f>IFERROR(__xludf.DUMMYFUNCTION("""COMPUTED_VALUE"""),0.7916666666666666)</f>
        <v>0.7916666667</v>
      </c>
      <c r="D3883" s="8">
        <f>IFERROR(__xludf.DUMMYFUNCTION("""COMPUTED_VALUE"""),0.045)</f>
        <v>0.045</v>
      </c>
      <c r="E3883" s="8" t="str">
        <f>IFERROR(__xludf.DUMMYFUNCTION("""COMPUTED_VALUE"""),"Real")</f>
        <v>Real</v>
      </c>
      <c r="G3883" s="8">
        <f t="shared" si="1"/>
        <v>4</v>
      </c>
      <c r="H3883" s="14">
        <f t="shared" si="2"/>
        <v>11</v>
      </c>
      <c r="I3883" s="15">
        <f t="shared" si="3"/>
        <v>19</v>
      </c>
    </row>
    <row r="3884">
      <c r="A3884" s="8" t="str">
        <f>IFERROR(__xludf.DUMMYFUNCTION("IF('(INGESTA)Datos_consumo_datadis'!A3884&lt;&gt;"""",SPLIT('(INGESTA)Datos_consumo_datadis'!A:A,"",""),"""")"),"ES0031408323131005HX0F")</f>
        <v>ES0031408323131005HX0F</v>
      </c>
      <c r="B3884" s="12">
        <f>IFERROR(__xludf.DUMMYFUNCTION("""COMPUTED_VALUE"""),45027.0)</f>
        <v>45027</v>
      </c>
      <c r="C3884" s="13">
        <f>IFERROR(__xludf.DUMMYFUNCTION("""COMPUTED_VALUE"""),0.8333333333333334)</f>
        <v>0.8333333333</v>
      </c>
      <c r="D3884" s="8">
        <f>IFERROR(__xludf.DUMMYFUNCTION("""COMPUTED_VALUE"""),0.074)</f>
        <v>0.074</v>
      </c>
      <c r="E3884" s="8" t="str">
        <f>IFERROR(__xludf.DUMMYFUNCTION("""COMPUTED_VALUE"""),"Real")</f>
        <v>Real</v>
      </c>
      <c r="G3884" s="8">
        <f t="shared" si="1"/>
        <v>4</v>
      </c>
      <c r="H3884" s="14">
        <f t="shared" si="2"/>
        <v>11</v>
      </c>
      <c r="I3884" s="15">
        <f t="shared" si="3"/>
        <v>20</v>
      </c>
    </row>
    <row r="3885">
      <c r="A3885" s="8" t="str">
        <f>IFERROR(__xludf.DUMMYFUNCTION("IF('(INGESTA)Datos_consumo_datadis'!A3885&lt;&gt;"""",SPLIT('(INGESTA)Datos_consumo_datadis'!A:A,"",""),"""")"),"ES0031408323131005HX0F")</f>
        <v>ES0031408323131005HX0F</v>
      </c>
      <c r="B3885" s="12">
        <f>IFERROR(__xludf.DUMMYFUNCTION("""COMPUTED_VALUE"""),45027.0)</f>
        <v>45027</v>
      </c>
      <c r="C3885" s="13">
        <f>IFERROR(__xludf.DUMMYFUNCTION("""COMPUTED_VALUE"""),0.875)</f>
        <v>0.875</v>
      </c>
      <c r="D3885" s="8">
        <f>IFERROR(__xludf.DUMMYFUNCTION("""COMPUTED_VALUE"""),0.296)</f>
        <v>0.296</v>
      </c>
      <c r="E3885" s="8" t="str">
        <f>IFERROR(__xludf.DUMMYFUNCTION("""COMPUTED_VALUE"""),"Real")</f>
        <v>Real</v>
      </c>
      <c r="G3885" s="8">
        <f t="shared" si="1"/>
        <v>4</v>
      </c>
      <c r="H3885" s="14">
        <f t="shared" si="2"/>
        <v>11</v>
      </c>
      <c r="I3885" s="15">
        <f t="shared" si="3"/>
        <v>21</v>
      </c>
    </row>
    <row r="3886">
      <c r="A3886" s="8" t="str">
        <f>IFERROR(__xludf.DUMMYFUNCTION("IF('(INGESTA)Datos_consumo_datadis'!A3886&lt;&gt;"""",SPLIT('(INGESTA)Datos_consumo_datadis'!A:A,"",""),"""")"),"ES0031408323131005HX0F")</f>
        <v>ES0031408323131005HX0F</v>
      </c>
      <c r="B3886" s="12">
        <f>IFERROR(__xludf.DUMMYFUNCTION("""COMPUTED_VALUE"""),45027.0)</f>
        <v>45027</v>
      </c>
      <c r="C3886" s="13">
        <f>IFERROR(__xludf.DUMMYFUNCTION("""COMPUTED_VALUE"""),0.9166666666666666)</f>
        <v>0.9166666667</v>
      </c>
      <c r="D3886" s="8">
        <f>IFERROR(__xludf.DUMMYFUNCTION("""COMPUTED_VALUE"""),0.055)</f>
        <v>0.055</v>
      </c>
      <c r="E3886" s="8" t="str">
        <f>IFERROR(__xludf.DUMMYFUNCTION("""COMPUTED_VALUE"""),"Real")</f>
        <v>Real</v>
      </c>
      <c r="G3886" s="8">
        <f t="shared" si="1"/>
        <v>4</v>
      </c>
      <c r="H3886" s="14">
        <f t="shared" si="2"/>
        <v>11</v>
      </c>
      <c r="I3886" s="15">
        <f t="shared" si="3"/>
        <v>22</v>
      </c>
    </row>
    <row r="3887">
      <c r="A3887" s="8" t="str">
        <f>IFERROR(__xludf.DUMMYFUNCTION("IF('(INGESTA)Datos_consumo_datadis'!A3887&lt;&gt;"""",SPLIT('(INGESTA)Datos_consumo_datadis'!A:A,"",""),"""")"),"ES0031408323131005HX0F")</f>
        <v>ES0031408323131005HX0F</v>
      </c>
      <c r="B3887" s="12">
        <f>IFERROR(__xludf.DUMMYFUNCTION("""COMPUTED_VALUE"""),45027.0)</f>
        <v>45027</v>
      </c>
      <c r="C3887" s="13">
        <f>IFERROR(__xludf.DUMMYFUNCTION("""COMPUTED_VALUE"""),0.9583333333333334)</f>
        <v>0.9583333333</v>
      </c>
      <c r="D3887" s="8">
        <f>IFERROR(__xludf.DUMMYFUNCTION("""COMPUTED_VALUE"""),1.166)</f>
        <v>1.166</v>
      </c>
      <c r="E3887" s="8" t="str">
        <f>IFERROR(__xludf.DUMMYFUNCTION("""COMPUTED_VALUE"""),"Real")</f>
        <v>Real</v>
      </c>
      <c r="G3887" s="8">
        <f t="shared" si="1"/>
        <v>4</v>
      </c>
      <c r="H3887" s="14">
        <f t="shared" si="2"/>
        <v>11</v>
      </c>
      <c r="I3887" s="15">
        <f t="shared" si="3"/>
        <v>23</v>
      </c>
    </row>
    <row r="3888">
      <c r="A3888" s="8" t="str">
        <f>IFERROR(__xludf.DUMMYFUNCTION("IF('(INGESTA)Datos_consumo_datadis'!A3888&lt;&gt;"""",SPLIT('(INGESTA)Datos_consumo_datadis'!A:A,"",""),"""")"),"ES0031408323131005HX0F")</f>
        <v>ES0031408323131005HX0F</v>
      </c>
      <c r="B3888" s="12">
        <f>IFERROR(__xludf.DUMMYFUNCTION("""COMPUTED_VALUE"""),45027.0)</f>
        <v>45027</v>
      </c>
      <c r="C3888" s="16">
        <f>IFERROR(__xludf.DUMMYFUNCTION("""COMPUTED_VALUE"""),1.0)</f>
        <v>1</v>
      </c>
      <c r="D3888" s="8">
        <f>IFERROR(__xludf.DUMMYFUNCTION("""COMPUTED_VALUE"""),1.519)</f>
        <v>1.519</v>
      </c>
      <c r="E3888" s="8" t="str">
        <f>IFERROR(__xludf.DUMMYFUNCTION("""COMPUTED_VALUE"""),"Real")</f>
        <v>Real</v>
      </c>
      <c r="G3888" s="8">
        <f t="shared" si="1"/>
        <v>4</v>
      </c>
      <c r="H3888" s="14">
        <f t="shared" si="2"/>
        <v>11</v>
      </c>
      <c r="I3888" s="15">
        <f t="shared" si="3"/>
        <v>0</v>
      </c>
    </row>
    <row r="3889">
      <c r="A3889" s="8" t="str">
        <f>IFERROR(__xludf.DUMMYFUNCTION("IF('(INGESTA)Datos_consumo_datadis'!A3889&lt;&gt;"""",SPLIT('(INGESTA)Datos_consumo_datadis'!A:A,"",""),"""")"),"ES0031408323131005HX0F")</f>
        <v>ES0031408323131005HX0F</v>
      </c>
      <c r="B3889" s="12">
        <f>IFERROR(__xludf.DUMMYFUNCTION("""COMPUTED_VALUE"""),45028.0)</f>
        <v>45028</v>
      </c>
      <c r="C3889" s="13">
        <f>IFERROR(__xludf.DUMMYFUNCTION("""COMPUTED_VALUE"""),0.041666666666666664)</f>
        <v>0.04166666667</v>
      </c>
      <c r="D3889" s="8">
        <f>IFERROR(__xludf.DUMMYFUNCTION("""COMPUTED_VALUE"""),1.35)</f>
        <v>1.35</v>
      </c>
      <c r="E3889" s="8" t="str">
        <f>IFERROR(__xludf.DUMMYFUNCTION("""COMPUTED_VALUE"""),"Real")</f>
        <v>Real</v>
      </c>
      <c r="G3889" s="8">
        <f t="shared" si="1"/>
        <v>4</v>
      </c>
      <c r="H3889" s="14">
        <f t="shared" si="2"/>
        <v>12</v>
      </c>
      <c r="I3889" s="15">
        <f t="shared" si="3"/>
        <v>1</v>
      </c>
    </row>
    <row r="3890">
      <c r="A3890" s="8" t="str">
        <f>IFERROR(__xludf.DUMMYFUNCTION("IF('(INGESTA)Datos_consumo_datadis'!A3890&lt;&gt;"""",SPLIT('(INGESTA)Datos_consumo_datadis'!A:A,"",""),"""")"),"ES0031408323131005HX0F")</f>
        <v>ES0031408323131005HX0F</v>
      </c>
      <c r="B3890" s="12">
        <f>IFERROR(__xludf.DUMMYFUNCTION("""COMPUTED_VALUE"""),45028.0)</f>
        <v>45028</v>
      </c>
      <c r="C3890" s="13">
        <f>IFERROR(__xludf.DUMMYFUNCTION("""COMPUTED_VALUE"""),0.08333333333333333)</f>
        <v>0.08333333333</v>
      </c>
      <c r="D3890" s="8">
        <f>IFERROR(__xludf.DUMMYFUNCTION("""COMPUTED_VALUE"""),0.956)</f>
        <v>0.956</v>
      </c>
      <c r="E3890" s="8" t="str">
        <f>IFERROR(__xludf.DUMMYFUNCTION("""COMPUTED_VALUE"""),"Real")</f>
        <v>Real</v>
      </c>
      <c r="G3890" s="8">
        <f t="shared" si="1"/>
        <v>4</v>
      </c>
      <c r="H3890" s="14">
        <f t="shared" si="2"/>
        <v>12</v>
      </c>
      <c r="I3890" s="15">
        <f t="shared" si="3"/>
        <v>2</v>
      </c>
    </row>
    <row r="3891">
      <c r="A3891" s="8" t="str">
        <f>IFERROR(__xludf.DUMMYFUNCTION("IF('(INGESTA)Datos_consumo_datadis'!A3891&lt;&gt;"""",SPLIT('(INGESTA)Datos_consumo_datadis'!A:A,"",""),"""")"),"ES0031408323131005HX0F")</f>
        <v>ES0031408323131005HX0F</v>
      </c>
      <c r="B3891" s="12">
        <f>IFERROR(__xludf.DUMMYFUNCTION("""COMPUTED_VALUE"""),45028.0)</f>
        <v>45028</v>
      </c>
      <c r="C3891" s="13">
        <f>IFERROR(__xludf.DUMMYFUNCTION("""COMPUTED_VALUE"""),0.125)</f>
        <v>0.125</v>
      </c>
      <c r="D3891" s="8">
        <f>IFERROR(__xludf.DUMMYFUNCTION("""COMPUTED_VALUE"""),0.697)</f>
        <v>0.697</v>
      </c>
      <c r="E3891" s="8" t="str">
        <f>IFERROR(__xludf.DUMMYFUNCTION("""COMPUTED_VALUE"""),"Real")</f>
        <v>Real</v>
      </c>
      <c r="G3891" s="8">
        <f t="shared" si="1"/>
        <v>4</v>
      </c>
      <c r="H3891" s="14">
        <f t="shared" si="2"/>
        <v>12</v>
      </c>
      <c r="I3891" s="15">
        <f t="shared" si="3"/>
        <v>3</v>
      </c>
    </row>
    <row r="3892">
      <c r="A3892" s="8" t="str">
        <f>IFERROR(__xludf.DUMMYFUNCTION("IF('(INGESTA)Datos_consumo_datadis'!A3892&lt;&gt;"""",SPLIT('(INGESTA)Datos_consumo_datadis'!A:A,"",""),"""")"),"ES0031408323131005HX0F")</f>
        <v>ES0031408323131005HX0F</v>
      </c>
      <c r="B3892" s="12">
        <f>IFERROR(__xludf.DUMMYFUNCTION("""COMPUTED_VALUE"""),45028.0)</f>
        <v>45028</v>
      </c>
      <c r="C3892" s="13">
        <f>IFERROR(__xludf.DUMMYFUNCTION("""COMPUTED_VALUE"""),0.16666666666666666)</f>
        <v>0.1666666667</v>
      </c>
      <c r="D3892" s="8">
        <f>IFERROR(__xludf.DUMMYFUNCTION("""COMPUTED_VALUE"""),1.096)</f>
        <v>1.096</v>
      </c>
      <c r="E3892" s="8" t="str">
        <f>IFERROR(__xludf.DUMMYFUNCTION("""COMPUTED_VALUE"""),"Real")</f>
        <v>Real</v>
      </c>
      <c r="G3892" s="8">
        <f t="shared" si="1"/>
        <v>4</v>
      </c>
      <c r="H3892" s="14">
        <f t="shared" si="2"/>
        <v>12</v>
      </c>
      <c r="I3892" s="15">
        <f t="shared" si="3"/>
        <v>4</v>
      </c>
    </row>
    <row r="3893">
      <c r="A3893" s="8" t="str">
        <f>IFERROR(__xludf.DUMMYFUNCTION("IF('(INGESTA)Datos_consumo_datadis'!A3893&lt;&gt;"""",SPLIT('(INGESTA)Datos_consumo_datadis'!A:A,"",""),"""")"),"ES0031408323131005HX0F")</f>
        <v>ES0031408323131005HX0F</v>
      </c>
      <c r="B3893" s="12">
        <f>IFERROR(__xludf.DUMMYFUNCTION("""COMPUTED_VALUE"""),45028.0)</f>
        <v>45028</v>
      </c>
      <c r="C3893" s="13">
        <f>IFERROR(__xludf.DUMMYFUNCTION("""COMPUTED_VALUE"""),0.20833333333333334)</f>
        <v>0.2083333333</v>
      </c>
      <c r="D3893" s="8">
        <f>IFERROR(__xludf.DUMMYFUNCTION("""COMPUTED_VALUE"""),0.744)</f>
        <v>0.744</v>
      </c>
      <c r="E3893" s="8" t="str">
        <f>IFERROR(__xludf.DUMMYFUNCTION("""COMPUTED_VALUE"""),"Real")</f>
        <v>Real</v>
      </c>
      <c r="G3893" s="8">
        <f t="shared" si="1"/>
        <v>4</v>
      </c>
      <c r="H3893" s="14">
        <f t="shared" si="2"/>
        <v>12</v>
      </c>
      <c r="I3893" s="15">
        <f t="shared" si="3"/>
        <v>5</v>
      </c>
    </row>
    <row r="3894">
      <c r="A3894" s="8" t="str">
        <f>IFERROR(__xludf.DUMMYFUNCTION("IF('(INGESTA)Datos_consumo_datadis'!A3894&lt;&gt;"""",SPLIT('(INGESTA)Datos_consumo_datadis'!A:A,"",""),"""")"),"ES0031408323131005HX0F")</f>
        <v>ES0031408323131005HX0F</v>
      </c>
      <c r="B3894" s="12">
        <f>IFERROR(__xludf.DUMMYFUNCTION("""COMPUTED_VALUE"""),45028.0)</f>
        <v>45028</v>
      </c>
      <c r="C3894" s="13">
        <f>IFERROR(__xludf.DUMMYFUNCTION("""COMPUTED_VALUE"""),0.25)</f>
        <v>0.25</v>
      </c>
      <c r="D3894" s="8">
        <f>IFERROR(__xludf.DUMMYFUNCTION("""COMPUTED_VALUE"""),0.85)</f>
        <v>0.85</v>
      </c>
      <c r="E3894" s="8" t="str">
        <f>IFERROR(__xludf.DUMMYFUNCTION("""COMPUTED_VALUE"""),"Real")</f>
        <v>Real</v>
      </c>
      <c r="G3894" s="8">
        <f t="shared" si="1"/>
        <v>4</v>
      </c>
      <c r="H3894" s="14">
        <f t="shared" si="2"/>
        <v>12</v>
      </c>
      <c r="I3894" s="15">
        <f t="shared" si="3"/>
        <v>6</v>
      </c>
    </row>
    <row r="3895">
      <c r="A3895" s="8" t="str">
        <f>IFERROR(__xludf.DUMMYFUNCTION("IF('(INGESTA)Datos_consumo_datadis'!A3895&lt;&gt;"""",SPLIT('(INGESTA)Datos_consumo_datadis'!A:A,"",""),"""")"),"ES0031408323131005HX0F")</f>
        <v>ES0031408323131005HX0F</v>
      </c>
      <c r="B3895" s="12">
        <f>IFERROR(__xludf.DUMMYFUNCTION("""COMPUTED_VALUE"""),45028.0)</f>
        <v>45028</v>
      </c>
      <c r="C3895" s="13">
        <f>IFERROR(__xludf.DUMMYFUNCTION("""COMPUTED_VALUE"""),0.2916666666666667)</f>
        <v>0.2916666667</v>
      </c>
      <c r="D3895" s="8">
        <f>IFERROR(__xludf.DUMMYFUNCTION("""COMPUTED_VALUE"""),0.778)</f>
        <v>0.778</v>
      </c>
      <c r="E3895" s="8" t="str">
        <f>IFERROR(__xludf.DUMMYFUNCTION("""COMPUTED_VALUE"""),"Real")</f>
        <v>Real</v>
      </c>
      <c r="G3895" s="8">
        <f t="shared" si="1"/>
        <v>4</v>
      </c>
      <c r="H3895" s="14">
        <f t="shared" si="2"/>
        <v>12</v>
      </c>
      <c r="I3895" s="15">
        <f t="shared" si="3"/>
        <v>7</v>
      </c>
    </row>
    <row r="3896">
      <c r="A3896" s="8" t="str">
        <f>IFERROR(__xludf.DUMMYFUNCTION("IF('(INGESTA)Datos_consumo_datadis'!A3896&lt;&gt;"""",SPLIT('(INGESTA)Datos_consumo_datadis'!A:A,"",""),"""")"),"ES0031408323131005HX0F")</f>
        <v>ES0031408323131005HX0F</v>
      </c>
      <c r="B3896" s="12">
        <f>IFERROR(__xludf.DUMMYFUNCTION("""COMPUTED_VALUE"""),45028.0)</f>
        <v>45028</v>
      </c>
      <c r="C3896" s="13">
        <f>IFERROR(__xludf.DUMMYFUNCTION("""COMPUTED_VALUE"""),0.3333333333333333)</f>
        <v>0.3333333333</v>
      </c>
      <c r="D3896" s="8">
        <f>IFERROR(__xludf.DUMMYFUNCTION("""COMPUTED_VALUE"""),0.954)</f>
        <v>0.954</v>
      </c>
      <c r="E3896" s="8" t="str">
        <f>IFERROR(__xludf.DUMMYFUNCTION("""COMPUTED_VALUE"""),"Real")</f>
        <v>Real</v>
      </c>
      <c r="G3896" s="8">
        <f t="shared" si="1"/>
        <v>4</v>
      </c>
      <c r="H3896" s="14">
        <f t="shared" si="2"/>
        <v>12</v>
      </c>
      <c r="I3896" s="15">
        <f t="shared" si="3"/>
        <v>8</v>
      </c>
    </row>
    <row r="3897">
      <c r="A3897" s="8" t="str">
        <f>IFERROR(__xludf.DUMMYFUNCTION("IF('(INGESTA)Datos_consumo_datadis'!A3897&lt;&gt;"""",SPLIT('(INGESTA)Datos_consumo_datadis'!A:A,"",""),"""")"),"ES0031408323131005HX0F")</f>
        <v>ES0031408323131005HX0F</v>
      </c>
      <c r="B3897" s="12">
        <f>IFERROR(__xludf.DUMMYFUNCTION("""COMPUTED_VALUE"""),45028.0)</f>
        <v>45028</v>
      </c>
      <c r="C3897" s="13">
        <f>IFERROR(__xludf.DUMMYFUNCTION("""COMPUTED_VALUE"""),0.375)</f>
        <v>0.375</v>
      </c>
      <c r="D3897" s="8">
        <f>IFERROR(__xludf.DUMMYFUNCTION("""COMPUTED_VALUE"""),0.638)</f>
        <v>0.638</v>
      </c>
      <c r="E3897" s="8" t="str">
        <f>IFERROR(__xludf.DUMMYFUNCTION("""COMPUTED_VALUE"""),"Real")</f>
        <v>Real</v>
      </c>
      <c r="G3897" s="8">
        <f t="shared" si="1"/>
        <v>4</v>
      </c>
      <c r="H3897" s="14">
        <f t="shared" si="2"/>
        <v>12</v>
      </c>
      <c r="I3897" s="15">
        <f t="shared" si="3"/>
        <v>9</v>
      </c>
    </row>
    <row r="3898">
      <c r="A3898" s="8" t="str">
        <f>IFERROR(__xludf.DUMMYFUNCTION("IF('(INGESTA)Datos_consumo_datadis'!A3898&lt;&gt;"""",SPLIT('(INGESTA)Datos_consumo_datadis'!A:A,"",""),"""")"),"ES0031408323131005HX0F")</f>
        <v>ES0031408323131005HX0F</v>
      </c>
      <c r="B3898" s="12">
        <f>IFERROR(__xludf.DUMMYFUNCTION("""COMPUTED_VALUE"""),45028.0)</f>
        <v>45028</v>
      </c>
      <c r="C3898" s="13">
        <f>IFERROR(__xludf.DUMMYFUNCTION("""COMPUTED_VALUE"""),0.4166666666666667)</f>
        <v>0.4166666667</v>
      </c>
      <c r="D3898" s="8">
        <f>IFERROR(__xludf.DUMMYFUNCTION("""COMPUTED_VALUE"""),0.626)</f>
        <v>0.626</v>
      </c>
      <c r="E3898" s="8" t="str">
        <f>IFERROR(__xludf.DUMMYFUNCTION("""COMPUTED_VALUE"""),"Real")</f>
        <v>Real</v>
      </c>
      <c r="G3898" s="8">
        <f t="shared" si="1"/>
        <v>4</v>
      </c>
      <c r="H3898" s="14">
        <f t="shared" si="2"/>
        <v>12</v>
      </c>
      <c r="I3898" s="15">
        <f t="shared" si="3"/>
        <v>10</v>
      </c>
    </row>
    <row r="3899">
      <c r="A3899" s="8" t="str">
        <f>IFERROR(__xludf.DUMMYFUNCTION("IF('(INGESTA)Datos_consumo_datadis'!A3899&lt;&gt;"""",SPLIT('(INGESTA)Datos_consumo_datadis'!A:A,"",""),"""")"),"ES0031408323131005HX0F")</f>
        <v>ES0031408323131005HX0F</v>
      </c>
      <c r="B3899" s="12">
        <f>IFERROR(__xludf.DUMMYFUNCTION("""COMPUTED_VALUE"""),45028.0)</f>
        <v>45028</v>
      </c>
      <c r="C3899" s="13">
        <f>IFERROR(__xludf.DUMMYFUNCTION("""COMPUTED_VALUE"""),0.4583333333333333)</f>
        <v>0.4583333333</v>
      </c>
      <c r="D3899" s="8">
        <f>IFERROR(__xludf.DUMMYFUNCTION("""COMPUTED_VALUE"""),0.382)</f>
        <v>0.382</v>
      </c>
      <c r="E3899" s="8" t="str">
        <f>IFERROR(__xludf.DUMMYFUNCTION("""COMPUTED_VALUE"""),"Real")</f>
        <v>Real</v>
      </c>
      <c r="G3899" s="8">
        <f t="shared" si="1"/>
        <v>4</v>
      </c>
      <c r="H3899" s="14">
        <f t="shared" si="2"/>
        <v>12</v>
      </c>
      <c r="I3899" s="15">
        <f t="shared" si="3"/>
        <v>11</v>
      </c>
    </row>
    <row r="3900">
      <c r="A3900" s="8" t="str">
        <f>IFERROR(__xludf.DUMMYFUNCTION("IF('(INGESTA)Datos_consumo_datadis'!A3900&lt;&gt;"""",SPLIT('(INGESTA)Datos_consumo_datadis'!A:A,"",""),"""")"),"ES0031408323131005HX0F")</f>
        <v>ES0031408323131005HX0F</v>
      </c>
      <c r="B3900" s="12">
        <f>IFERROR(__xludf.DUMMYFUNCTION("""COMPUTED_VALUE"""),45028.0)</f>
        <v>45028</v>
      </c>
      <c r="C3900" s="13">
        <f>IFERROR(__xludf.DUMMYFUNCTION("""COMPUTED_VALUE"""),0.5)</f>
        <v>0.5</v>
      </c>
      <c r="D3900" s="8">
        <f>IFERROR(__xludf.DUMMYFUNCTION("""COMPUTED_VALUE"""),0.966)</f>
        <v>0.966</v>
      </c>
      <c r="E3900" s="8" t="str">
        <f>IFERROR(__xludf.DUMMYFUNCTION("""COMPUTED_VALUE"""),"Real")</f>
        <v>Real</v>
      </c>
      <c r="G3900" s="8">
        <f t="shared" si="1"/>
        <v>4</v>
      </c>
      <c r="H3900" s="14">
        <f t="shared" si="2"/>
        <v>12</v>
      </c>
      <c r="I3900" s="15">
        <f t="shared" si="3"/>
        <v>12</v>
      </c>
    </row>
    <row r="3901">
      <c r="A3901" s="8" t="str">
        <f>IFERROR(__xludf.DUMMYFUNCTION("IF('(INGESTA)Datos_consumo_datadis'!A3901&lt;&gt;"""",SPLIT('(INGESTA)Datos_consumo_datadis'!A:A,"",""),"""")"),"ES0031408323131005HX0F")</f>
        <v>ES0031408323131005HX0F</v>
      </c>
      <c r="B3901" s="12">
        <f>IFERROR(__xludf.DUMMYFUNCTION("""COMPUTED_VALUE"""),45028.0)</f>
        <v>45028</v>
      </c>
      <c r="C3901" s="13">
        <f>IFERROR(__xludf.DUMMYFUNCTION("""COMPUTED_VALUE"""),0.5416666666666666)</f>
        <v>0.5416666667</v>
      </c>
      <c r="D3901" s="8">
        <f>IFERROR(__xludf.DUMMYFUNCTION("""COMPUTED_VALUE"""),0.109)</f>
        <v>0.109</v>
      </c>
      <c r="E3901" s="8" t="str">
        <f>IFERROR(__xludf.DUMMYFUNCTION("""COMPUTED_VALUE"""),"Real")</f>
        <v>Real</v>
      </c>
      <c r="G3901" s="8">
        <f t="shared" si="1"/>
        <v>4</v>
      </c>
      <c r="H3901" s="14">
        <f t="shared" si="2"/>
        <v>12</v>
      </c>
      <c r="I3901" s="15">
        <f t="shared" si="3"/>
        <v>13</v>
      </c>
    </row>
    <row r="3902">
      <c r="A3902" s="8" t="str">
        <f>IFERROR(__xludf.DUMMYFUNCTION("IF('(INGESTA)Datos_consumo_datadis'!A3902&lt;&gt;"""",SPLIT('(INGESTA)Datos_consumo_datadis'!A:A,"",""),"""")"),"ES0031408323131005HX0F")</f>
        <v>ES0031408323131005HX0F</v>
      </c>
      <c r="B3902" s="12">
        <f>IFERROR(__xludf.DUMMYFUNCTION("""COMPUTED_VALUE"""),45028.0)</f>
        <v>45028</v>
      </c>
      <c r="C3902" s="13">
        <f>IFERROR(__xludf.DUMMYFUNCTION("""COMPUTED_VALUE"""),0.5833333333333334)</f>
        <v>0.5833333333</v>
      </c>
      <c r="D3902" s="8">
        <f>IFERROR(__xludf.DUMMYFUNCTION("""COMPUTED_VALUE"""),0.041)</f>
        <v>0.041</v>
      </c>
      <c r="E3902" s="8" t="str">
        <f>IFERROR(__xludf.DUMMYFUNCTION("""COMPUTED_VALUE"""),"Real")</f>
        <v>Real</v>
      </c>
      <c r="G3902" s="8">
        <f t="shared" si="1"/>
        <v>4</v>
      </c>
      <c r="H3902" s="14">
        <f t="shared" si="2"/>
        <v>12</v>
      </c>
      <c r="I3902" s="15">
        <f t="shared" si="3"/>
        <v>14</v>
      </c>
    </row>
    <row r="3903">
      <c r="A3903" s="8" t="str">
        <f>IFERROR(__xludf.DUMMYFUNCTION("IF('(INGESTA)Datos_consumo_datadis'!A3903&lt;&gt;"""",SPLIT('(INGESTA)Datos_consumo_datadis'!A:A,"",""),"""")"),"ES0031408323131005HX0F")</f>
        <v>ES0031408323131005HX0F</v>
      </c>
      <c r="B3903" s="12">
        <f>IFERROR(__xludf.DUMMYFUNCTION("""COMPUTED_VALUE"""),45028.0)</f>
        <v>45028</v>
      </c>
      <c r="C3903" s="13">
        <f>IFERROR(__xludf.DUMMYFUNCTION("""COMPUTED_VALUE"""),0.625)</f>
        <v>0.625</v>
      </c>
      <c r="D3903" s="8">
        <f>IFERROR(__xludf.DUMMYFUNCTION("""COMPUTED_VALUE"""),0.06)</f>
        <v>0.06</v>
      </c>
      <c r="E3903" s="8" t="str">
        <f>IFERROR(__xludf.DUMMYFUNCTION("""COMPUTED_VALUE"""),"Real")</f>
        <v>Real</v>
      </c>
      <c r="G3903" s="8">
        <f t="shared" si="1"/>
        <v>4</v>
      </c>
      <c r="H3903" s="14">
        <f t="shared" si="2"/>
        <v>12</v>
      </c>
      <c r="I3903" s="15">
        <f t="shared" si="3"/>
        <v>15</v>
      </c>
    </row>
    <row r="3904">
      <c r="A3904" s="8" t="str">
        <f>IFERROR(__xludf.DUMMYFUNCTION("IF('(INGESTA)Datos_consumo_datadis'!A3904&lt;&gt;"""",SPLIT('(INGESTA)Datos_consumo_datadis'!A:A,"",""),"""")"),"ES0031408323131005HX0F")</f>
        <v>ES0031408323131005HX0F</v>
      </c>
      <c r="B3904" s="12">
        <f>IFERROR(__xludf.DUMMYFUNCTION("""COMPUTED_VALUE"""),45028.0)</f>
        <v>45028</v>
      </c>
      <c r="C3904" s="13">
        <f>IFERROR(__xludf.DUMMYFUNCTION("""COMPUTED_VALUE"""),0.6666666666666666)</f>
        <v>0.6666666667</v>
      </c>
      <c r="D3904" s="8">
        <f>IFERROR(__xludf.DUMMYFUNCTION("""COMPUTED_VALUE"""),0.129)</f>
        <v>0.129</v>
      </c>
      <c r="E3904" s="8" t="str">
        <f>IFERROR(__xludf.DUMMYFUNCTION("""COMPUTED_VALUE"""),"Real")</f>
        <v>Real</v>
      </c>
      <c r="G3904" s="8">
        <f t="shared" si="1"/>
        <v>4</v>
      </c>
      <c r="H3904" s="14">
        <f t="shared" si="2"/>
        <v>12</v>
      </c>
      <c r="I3904" s="15">
        <f t="shared" si="3"/>
        <v>16</v>
      </c>
    </row>
    <row r="3905">
      <c r="A3905" s="8" t="str">
        <f>IFERROR(__xludf.DUMMYFUNCTION("IF('(INGESTA)Datos_consumo_datadis'!A3905&lt;&gt;"""",SPLIT('(INGESTA)Datos_consumo_datadis'!A:A,"",""),"""")"),"ES0031408323131005HX0F")</f>
        <v>ES0031408323131005HX0F</v>
      </c>
      <c r="B3905" s="12">
        <f>IFERROR(__xludf.DUMMYFUNCTION("""COMPUTED_VALUE"""),45028.0)</f>
        <v>45028</v>
      </c>
      <c r="C3905" s="13">
        <f>IFERROR(__xludf.DUMMYFUNCTION("""COMPUTED_VALUE"""),0.7083333333333334)</f>
        <v>0.7083333333</v>
      </c>
      <c r="D3905" s="8">
        <f>IFERROR(__xludf.DUMMYFUNCTION("""COMPUTED_VALUE"""),0.225)</f>
        <v>0.225</v>
      </c>
      <c r="E3905" s="8" t="str">
        <f>IFERROR(__xludf.DUMMYFUNCTION("""COMPUTED_VALUE"""),"Real")</f>
        <v>Real</v>
      </c>
      <c r="G3905" s="8">
        <f t="shared" si="1"/>
        <v>4</v>
      </c>
      <c r="H3905" s="14">
        <f t="shared" si="2"/>
        <v>12</v>
      </c>
      <c r="I3905" s="15">
        <f t="shared" si="3"/>
        <v>17</v>
      </c>
    </row>
    <row r="3906">
      <c r="A3906" s="8" t="str">
        <f>IFERROR(__xludf.DUMMYFUNCTION("IF('(INGESTA)Datos_consumo_datadis'!A3906&lt;&gt;"""",SPLIT('(INGESTA)Datos_consumo_datadis'!A:A,"",""),"""")"),"ES0031408323131005HX0F")</f>
        <v>ES0031408323131005HX0F</v>
      </c>
      <c r="B3906" s="12">
        <f>IFERROR(__xludf.DUMMYFUNCTION("""COMPUTED_VALUE"""),45028.0)</f>
        <v>45028</v>
      </c>
      <c r="C3906" s="13">
        <f>IFERROR(__xludf.DUMMYFUNCTION("""COMPUTED_VALUE"""),0.75)</f>
        <v>0.75</v>
      </c>
      <c r="D3906" s="8">
        <f>IFERROR(__xludf.DUMMYFUNCTION("""COMPUTED_VALUE"""),0.077)</f>
        <v>0.077</v>
      </c>
      <c r="E3906" s="8" t="str">
        <f>IFERROR(__xludf.DUMMYFUNCTION("""COMPUTED_VALUE"""),"Real")</f>
        <v>Real</v>
      </c>
      <c r="G3906" s="8">
        <f t="shared" si="1"/>
        <v>4</v>
      </c>
      <c r="H3906" s="14">
        <f t="shared" si="2"/>
        <v>12</v>
      </c>
      <c r="I3906" s="15">
        <f t="shared" si="3"/>
        <v>18</v>
      </c>
    </row>
    <row r="3907">
      <c r="A3907" s="8" t="str">
        <f>IFERROR(__xludf.DUMMYFUNCTION("IF('(INGESTA)Datos_consumo_datadis'!A3907&lt;&gt;"""",SPLIT('(INGESTA)Datos_consumo_datadis'!A:A,"",""),"""")"),"ES0031408323131005HX0F")</f>
        <v>ES0031408323131005HX0F</v>
      </c>
      <c r="B3907" s="12">
        <f>IFERROR(__xludf.DUMMYFUNCTION("""COMPUTED_VALUE"""),45028.0)</f>
        <v>45028</v>
      </c>
      <c r="C3907" s="13">
        <f>IFERROR(__xludf.DUMMYFUNCTION("""COMPUTED_VALUE"""),0.7916666666666666)</f>
        <v>0.7916666667</v>
      </c>
      <c r="D3907" s="8">
        <f>IFERROR(__xludf.DUMMYFUNCTION("""COMPUTED_VALUE"""),0.064)</f>
        <v>0.064</v>
      </c>
      <c r="E3907" s="8" t="str">
        <f>IFERROR(__xludf.DUMMYFUNCTION("""COMPUTED_VALUE"""),"Real")</f>
        <v>Real</v>
      </c>
      <c r="G3907" s="8">
        <f t="shared" si="1"/>
        <v>4</v>
      </c>
      <c r="H3907" s="14">
        <f t="shared" si="2"/>
        <v>12</v>
      </c>
      <c r="I3907" s="15">
        <f t="shared" si="3"/>
        <v>19</v>
      </c>
    </row>
    <row r="3908">
      <c r="A3908" s="8" t="str">
        <f>IFERROR(__xludf.DUMMYFUNCTION("IF('(INGESTA)Datos_consumo_datadis'!A3908&lt;&gt;"""",SPLIT('(INGESTA)Datos_consumo_datadis'!A:A,"",""),"""")"),"ES0031408323131005HX0F")</f>
        <v>ES0031408323131005HX0F</v>
      </c>
      <c r="B3908" s="12">
        <f>IFERROR(__xludf.DUMMYFUNCTION("""COMPUTED_VALUE"""),45028.0)</f>
        <v>45028</v>
      </c>
      <c r="C3908" s="13">
        <f>IFERROR(__xludf.DUMMYFUNCTION("""COMPUTED_VALUE"""),0.8333333333333334)</f>
        <v>0.8333333333</v>
      </c>
      <c r="D3908" s="8">
        <f>IFERROR(__xludf.DUMMYFUNCTION("""COMPUTED_VALUE"""),0.017)</f>
        <v>0.017</v>
      </c>
      <c r="E3908" s="8" t="str">
        <f>IFERROR(__xludf.DUMMYFUNCTION("""COMPUTED_VALUE"""),"Real")</f>
        <v>Real</v>
      </c>
      <c r="G3908" s="8">
        <f t="shared" si="1"/>
        <v>4</v>
      </c>
      <c r="H3908" s="14">
        <f t="shared" si="2"/>
        <v>12</v>
      </c>
      <c r="I3908" s="15">
        <f t="shared" si="3"/>
        <v>20</v>
      </c>
    </row>
    <row r="3909">
      <c r="A3909" s="8" t="str">
        <f>IFERROR(__xludf.DUMMYFUNCTION("IF('(INGESTA)Datos_consumo_datadis'!A3909&lt;&gt;"""",SPLIT('(INGESTA)Datos_consumo_datadis'!A:A,"",""),"""")"),"ES0031408323131005HX0F")</f>
        <v>ES0031408323131005HX0F</v>
      </c>
      <c r="B3909" s="12">
        <f>IFERROR(__xludf.DUMMYFUNCTION("""COMPUTED_VALUE"""),45028.0)</f>
        <v>45028</v>
      </c>
      <c r="C3909" s="13">
        <f>IFERROR(__xludf.DUMMYFUNCTION("""COMPUTED_VALUE"""),0.875)</f>
        <v>0.875</v>
      </c>
      <c r="D3909" s="8">
        <f>IFERROR(__xludf.DUMMYFUNCTION("""COMPUTED_VALUE"""),0.087)</f>
        <v>0.087</v>
      </c>
      <c r="E3909" s="8" t="str">
        <f>IFERROR(__xludf.DUMMYFUNCTION("""COMPUTED_VALUE"""),"Real")</f>
        <v>Real</v>
      </c>
      <c r="G3909" s="8">
        <f t="shared" si="1"/>
        <v>4</v>
      </c>
      <c r="H3909" s="14">
        <f t="shared" si="2"/>
        <v>12</v>
      </c>
      <c r="I3909" s="15">
        <f t="shared" si="3"/>
        <v>21</v>
      </c>
    </row>
    <row r="3910">
      <c r="A3910" s="8" t="str">
        <f>IFERROR(__xludf.DUMMYFUNCTION("IF('(INGESTA)Datos_consumo_datadis'!A3910&lt;&gt;"""",SPLIT('(INGESTA)Datos_consumo_datadis'!A:A,"",""),"""")"),"ES0031408323131005HX0F")</f>
        <v>ES0031408323131005HX0F</v>
      </c>
      <c r="B3910" s="12">
        <f>IFERROR(__xludf.DUMMYFUNCTION("""COMPUTED_VALUE"""),45028.0)</f>
        <v>45028</v>
      </c>
      <c r="C3910" s="13">
        <f>IFERROR(__xludf.DUMMYFUNCTION("""COMPUTED_VALUE"""),0.9166666666666666)</f>
        <v>0.9166666667</v>
      </c>
      <c r="D3910" s="8">
        <f>IFERROR(__xludf.DUMMYFUNCTION("""COMPUTED_VALUE"""),0.053)</f>
        <v>0.053</v>
      </c>
      <c r="E3910" s="8" t="str">
        <f>IFERROR(__xludf.DUMMYFUNCTION("""COMPUTED_VALUE"""),"Real")</f>
        <v>Real</v>
      </c>
      <c r="G3910" s="8">
        <f t="shared" si="1"/>
        <v>4</v>
      </c>
      <c r="H3910" s="14">
        <f t="shared" si="2"/>
        <v>12</v>
      </c>
      <c r="I3910" s="15">
        <f t="shared" si="3"/>
        <v>22</v>
      </c>
    </row>
    <row r="3911">
      <c r="A3911" s="8" t="str">
        <f>IFERROR(__xludf.DUMMYFUNCTION("IF('(INGESTA)Datos_consumo_datadis'!A3911&lt;&gt;"""",SPLIT('(INGESTA)Datos_consumo_datadis'!A:A,"",""),"""")"),"ES0031408323131005HX0F")</f>
        <v>ES0031408323131005HX0F</v>
      </c>
      <c r="B3911" s="12">
        <f>IFERROR(__xludf.DUMMYFUNCTION("""COMPUTED_VALUE"""),45028.0)</f>
        <v>45028</v>
      </c>
      <c r="C3911" s="13">
        <f>IFERROR(__xludf.DUMMYFUNCTION("""COMPUTED_VALUE"""),0.9583333333333334)</f>
        <v>0.9583333333</v>
      </c>
      <c r="D3911" s="8">
        <f>IFERROR(__xludf.DUMMYFUNCTION("""COMPUTED_VALUE"""),0.388)</f>
        <v>0.388</v>
      </c>
      <c r="E3911" s="8" t="str">
        <f>IFERROR(__xludf.DUMMYFUNCTION("""COMPUTED_VALUE"""),"Real")</f>
        <v>Real</v>
      </c>
      <c r="G3911" s="8">
        <f t="shared" si="1"/>
        <v>4</v>
      </c>
      <c r="H3911" s="14">
        <f t="shared" si="2"/>
        <v>12</v>
      </c>
      <c r="I3911" s="15">
        <f t="shared" si="3"/>
        <v>23</v>
      </c>
    </row>
    <row r="3912">
      <c r="A3912" s="8" t="str">
        <f>IFERROR(__xludf.DUMMYFUNCTION("IF('(INGESTA)Datos_consumo_datadis'!A3912&lt;&gt;"""",SPLIT('(INGESTA)Datos_consumo_datadis'!A:A,"",""),"""")"),"ES0031408323131005HX0F")</f>
        <v>ES0031408323131005HX0F</v>
      </c>
      <c r="B3912" s="12">
        <f>IFERROR(__xludf.DUMMYFUNCTION("""COMPUTED_VALUE"""),45028.0)</f>
        <v>45028</v>
      </c>
      <c r="C3912" s="16">
        <f>IFERROR(__xludf.DUMMYFUNCTION("""COMPUTED_VALUE"""),1.0)</f>
        <v>1</v>
      </c>
      <c r="D3912" s="8">
        <f>IFERROR(__xludf.DUMMYFUNCTION("""COMPUTED_VALUE"""),1.004)</f>
        <v>1.004</v>
      </c>
      <c r="E3912" s="8" t="str">
        <f>IFERROR(__xludf.DUMMYFUNCTION("""COMPUTED_VALUE"""),"Real")</f>
        <v>Real</v>
      </c>
      <c r="G3912" s="8">
        <f t="shared" si="1"/>
        <v>4</v>
      </c>
      <c r="H3912" s="14">
        <f t="shared" si="2"/>
        <v>12</v>
      </c>
      <c r="I3912" s="15">
        <f t="shared" si="3"/>
        <v>0</v>
      </c>
    </row>
    <row r="3913">
      <c r="A3913" s="8" t="str">
        <f>IFERROR(__xludf.DUMMYFUNCTION("IF('(INGESTA)Datos_consumo_datadis'!A3913&lt;&gt;"""",SPLIT('(INGESTA)Datos_consumo_datadis'!A:A,"",""),"""")"),"ES0031408323131005HX0F")</f>
        <v>ES0031408323131005HX0F</v>
      </c>
      <c r="B3913" s="12">
        <f>IFERROR(__xludf.DUMMYFUNCTION("""COMPUTED_VALUE"""),45029.0)</f>
        <v>45029</v>
      </c>
      <c r="C3913" s="13">
        <f>IFERROR(__xludf.DUMMYFUNCTION("""COMPUTED_VALUE"""),0.041666666666666664)</f>
        <v>0.04166666667</v>
      </c>
      <c r="D3913" s="8">
        <f>IFERROR(__xludf.DUMMYFUNCTION("""COMPUTED_VALUE"""),0.142)</f>
        <v>0.142</v>
      </c>
      <c r="E3913" s="8" t="str">
        <f>IFERROR(__xludf.DUMMYFUNCTION("""COMPUTED_VALUE"""),"Real")</f>
        <v>Real</v>
      </c>
      <c r="G3913" s="8">
        <f t="shared" si="1"/>
        <v>4</v>
      </c>
      <c r="H3913" s="14">
        <f t="shared" si="2"/>
        <v>13</v>
      </c>
      <c r="I3913" s="15">
        <f t="shared" si="3"/>
        <v>1</v>
      </c>
    </row>
    <row r="3914">
      <c r="A3914" s="8" t="str">
        <f>IFERROR(__xludf.DUMMYFUNCTION("IF('(INGESTA)Datos_consumo_datadis'!A3914&lt;&gt;"""",SPLIT('(INGESTA)Datos_consumo_datadis'!A:A,"",""),"""")"),"ES0031408323131005HX0F")</f>
        <v>ES0031408323131005HX0F</v>
      </c>
      <c r="B3914" s="12">
        <f>IFERROR(__xludf.DUMMYFUNCTION("""COMPUTED_VALUE"""),45029.0)</f>
        <v>45029</v>
      </c>
      <c r="C3914" s="13">
        <f>IFERROR(__xludf.DUMMYFUNCTION("""COMPUTED_VALUE"""),0.08333333333333333)</f>
        <v>0.08333333333</v>
      </c>
      <c r="D3914" s="8">
        <f>IFERROR(__xludf.DUMMYFUNCTION("""COMPUTED_VALUE"""),0.045)</f>
        <v>0.045</v>
      </c>
      <c r="E3914" s="8" t="str">
        <f>IFERROR(__xludf.DUMMYFUNCTION("""COMPUTED_VALUE"""),"Real")</f>
        <v>Real</v>
      </c>
      <c r="G3914" s="8">
        <f t="shared" si="1"/>
        <v>4</v>
      </c>
      <c r="H3914" s="14">
        <f t="shared" si="2"/>
        <v>13</v>
      </c>
      <c r="I3914" s="15">
        <f t="shared" si="3"/>
        <v>2</v>
      </c>
    </row>
    <row r="3915">
      <c r="A3915" s="8" t="str">
        <f>IFERROR(__xludf.DUMMYFUNCTION("IF('(INGESTA)Datos_consumo_datadis'!A3915&lt;&gt;"""",SPLIT('(INGESTA)Datos_consumo_datadis'!A:A,"",""),"""")"),"ES0031408323131005HX0F")</f>
        <v>ES0031408323131005HX0F</v>
      </c>
      <c r="B3915" s="12">
        <f>IFERROR(__xludf.DUMMYFUNCTION("""COMPUTED_VALUE"""),45029.0)</f>
        <v>45029</v>
      </c>
      <c r="C3915" s="13">
        <f>IFERROR(__xludf.DUMMYFUNCTION("""COMPUTED_VALUE"""),0.125)</f>
        <v>0.125</v>
      </c>
      <c r="D3915" s="8">
        <f>IFERROR(__xludf.DUMMYFUNCTION("""COMPUTED_VALUE"""),0.156)</f>
        <v>0.156</v>
      </c>
      <c r="E3915" s="8" t="str">
        <f>IFERROR(__xludf.DUMMYFUNCTION("""COMPUTED_VALUE"""),"Real")</f>
        <v>Real</v>
      </c>
      <c r="G3915" s="8">
        <f t="shared" si="1"/>
        <v>4</v>
      </c>
      <c r="H3915" s="14">
        <f t="shared" si="2"/>
        <v>13</v>
      </c>
      <c r="I3915" s="15">
        <f t="shared" si="3"/>
        <v>3</v>
      </c>
    </row>
    <row r="3916">
      <c r="A3916" s="8" t="str">
        <f>IFERROR(__xludf.DUMMYFUNCTION("IF('(INGESTA)Datos_consumo_datadis'!A3916&lt;&gt;"""",SPLIT('(INGESTA)Datos_consumo_datadis'!A:A,"",""),"""")"),"ES0031408323131005HX0F")</f>
        <v>ES0031408323131005HX0F</v>
      </c>
      <c r="B3916" s="12">
        <f>IFERROR(__xludf.DUMMYFUNCTION("""COMPUTED_VALUE"""),45029.0)</f>
        <v>45029</v>
      </c>
      <c r="C3916" s="13">
        <f>IFERROR(__xludf.DUMMYFUNCTION("""COMPUTED_VALUE"""),0.16666666666666666)</f>
        <v>0.1666666667</v>
      </c>
      <c r="D3916" s="8">
        <f>IFERROR(__xludf.DUMMYFUNCTION("""COMPUTED_VALUE"""),0.29)</f>
        <v>0.29</v>
      </c>
      <c r="E3916" s="8" t="str">
        <f>IFERROR(__xludf.DUMMYFUNCTION("""COMPUTED_VALUE"""),"Real")</f>
        <v>Real</v>
      </c>
      <c r="G3916" s="8">
        <f t="shared" si="1"/>
        <v>4</v>
      </c>
      <c r="H3916" s="14">
        <f t="shared" si="2"/>
        <v>13</v>
      </c>
      <c r="I3916" s="15">
        <f t="shared" si="3"/>
        <v>4</v>
      </c>
    </row>
    <row r="3917">
      <c r="A3917" s="8" t="str">
        <f>IFERROR(__xludf.DUMMYFUNCTION("IF('(INGESTA)Datos_consumo_datadis'!A3917&lt;&gt;"""",SPLIT('(INGESTA)Datos_consumo_datadis'!A:A,"",""),"""")"),"ES0031408323131005HX0F")</f>
        <v>ES0031408323131005HX0F</v>
      </c>
      <c r="B3917" s="12">
        <f>IFERROR(__xludf.DUMMYFUNCTION("""COMPUTED_VALUE"""),45029.0)</f>
        <v>45029</v>
      </c>
      <c r="C3917" s="13">
        <f>IFERROR(__xludf.DUMMYFUNCTION("""COMPUTED_VALUE"""),0.20833333333333334)</f>
        <v>0.2083333333</v>
      </c>
      <c r="D3917" s="8">
        <f>IFERROR(__xludf.DUMMYFUNCTION("""COMPUTED_VALUE"""),0.045)</f>
        <v>0.045</v>
      </c>
      <c r="E3917" s="8" t="str">
        <f>IFERROR(__xludf.DUMMYFUNCTION("""COMPUTED_VALUE"""),"Real")</f>
        <v>Real</v>
      </c>
      <c r="G3917" s="8">
        <f t="shared" si="1"/>
        <v>4</v>
      </c>
      <c r="H3917" s="14">
        <f t="shared" si="2"/>
        <v>13</v>
      </c>
      <c r="I3917" s="15">
        <f t="shared" si="3"/>
        <v>5</v>
      </c>
    </row>
    <row r="3918">
      <c r="A3918" s="8" t="str">
        <f>IFERROR(__xludf.DUMMYFUNCTION("IF('(INGESTA)Datos_consumo_datadis'!A3918&lt;&gt;"""",SPLIT('(INGESTA)Datos_consumo_datadis'!A:A,"",""),"""")"),"ES0031408323131005HX0F")</f>
        <v>ES0031408323131005HX0F</v>
      </c>
      <c r="B3918" s="12">
        <f>IFERROR(__xludf.DUMMYFUNCTION("""COMPUTED_VALUE"""),45029.0)</f>
        <v>45029</v>
      </c>
      <c r="C3918" s="13">
        <f>IFERROR(__xludf.DUMMYFUNCTION("""COMPUTED_VALUE"""),0.25)</f>
        <v>0.25</v>
      </c>
      <c r="D3918" s="8">
        <f>IFERROR(__xludf.DUMMYFUNCTION("""COMPUTED_VALUE"""),0.087)</f>
        <v>0.087</v>
      </c>
      <c r="E3918" s="8" t="str">
        <f>IFERROR(__xludf.DUMMYFUNCTION("""COMPUTED_VALUE"""),"Real")</f>
        <v>Real</v>
      </c>
      <c r="G3918" s="8">
        <f t="shared" si="1"/>
        <v>4</v>
      </c>
      <c r="H3918" s="14">
        <f t="shared" si="2"/>
        <v>13</v>
      </c>
      <c r="I3918" s="15">
        <f t="shared" si="3"/>
        <v>6</v>
      </c>
    </row>
    <row r="3919">
      <c r="A3919" s="8" t="str">
        <f>IFERROR(__xludf.DUMMYFUNCTION("IF('(INGESTA)Datos_consumo_datadis'!A3919&lt;&gt;"""",SPLIT('(INGESTA)Datos_consumo_datadis'!A:A,"",""),"""")"),"ES0031408323131005HX0F")</f>
        <v>ES0031408323131005HX0F</v>
      </c>
      <c r="B3919" s="12">
        <f>IFERROR(__xludf.DUMMYFUNCTION("""COMPUTED_VALUE"""),45029.0)</f>
        <v>45029</v>
      </c>
      <c r="C3919" s="13">
        <f>IFERROR(__xludf.DUMMYFUNCTION("""COMPUTED_VALUE"""),0.2916666666666667)</f>
        <v>0.2916666667</v>
      </c>
      <c r="D3919" s="8">
        <f>IFERROR(__xludf.DUMMYFUNCTION("""COMPUTED_VALUE"""),0.086)</f>
        <v>0.086</v>
      </c>
      <c r="E3919" s="8" t="str">
        <f>IFERROR(__xludf.DUMMYFUNCTION("""COMPUTED_VALUE"""),"Real")</f>
        <v>Real</v>
      </c>
      <c r="G3919" s="8">
        <f t="shared" si="1"/>
        <v>4</v>
      </c>
      <c r="H3919" s="14">
        <f t="shared" si="2"/>
        <v>13</v>
      </c>
      <c r="I3919" s="15">
        <f t="shared" si="3"/>
        <v>7</v>
      </c>
    </row>
    <row r="3920">
      <c r="A3920" s="8" t="str">
        <f>IFERROR(__xludf.DUMMYFUNCTION("IF('(INGESTA)Datos_consumo_datadis'!A3920&lt;&gt;"""",SPLIT('(INGESTA)Datos_consumo_datadis'!A:A,"",""),"""")"),"ES0031408323131005HX0F")</f>
        <v>ES0031408323131005HX0F</v>
      </c>
      <c r="B3920" s="12">
        <f>IFERROR(__xludf.DUMMYFUNCTION("""COMPUTED_VALUE"""),45029.0)</f>
        <v>45029</v>
      </c>
      <c r="C3920" s="13">
        <f>IFERROR(__xludf.DUMMYFUNCTION("""COMPUTED_VALUE"""),0.3333333333333333)</f>
        <v>0.3333333333</v>
      </c>
      <c r="D3920" s="8">
        <f>IFERROR(__xludf.DUMMYFUNCTION("""COMPUTED_VALUE"""),0.955)</f>
        <v>0.955</v>
      </c>
      <c r="E3920" s="8" t="str">
        <f>IFERROR(__xludf.DUMMYFUNCTION("""COMPUTED_VALUE"""),"Real")</f>
        <v>Real</v>
      </c>
      <c r="G3920" s="8">
        <f t="shared" si="1"/>
        <v>4</v>
      </c>
      <c r="H3920" s="14">
        <f t="shared" si="2"/>
        <v>13</v>
      </c>
      <c r="I3920" s="15">
        <f t="shared" si="3"/>
        <v>8</v>
      </c>
    </row>
    <row r="3921">
      <c r="A3921" s="8" t="str">
        <f>IFERROR(__xludf.DUMMYFUNCTION("IF('(INGESTA)Datos_consumo_datadis'!A3921&lt;&gt;"""",SPLIT('(INGESTA)Datos_consumo_datadis'!A:A,"",""),"""")"),"ES0031408323131005HX0F")</f>
        <v>ES0031408323131005HX0F</v>
      </c>
      <c r="B3921" s="12">
        <f>IFERROR(__xludf.DUMMYFUNCTION("""COMPUTED_VALUE"""),45029.0)</f>
        <v>45029</v>
      </c>
      <c r="C3921" s="13">
        <f>IFERROR(__xludf.DUMMYFUNCTION("""COMPUTED_VALUE"""),0.375)</f>
        <v>0.375</v>
      </c>
      <c r="D3921" s="8">
        <f>IFERROR(__xludf.DUMMYFUNCTION("""COMPUTED_VALUE"""),0.158)</f>
        <v>0.158</v>
      </c>
      <c r="E3921" s="8" t="str">
        <f>IFERROR(__xludf.DUMMYFUNCTION("""COMPUTED_VALUE"""),"Real")</f>
        <v>Real</v>
      </c>
      <c r="G3921" s="8">
        <f t="shared" si="1"/>
        <v>4</v>
      </c>
      <c r="H3921" s="14">
        <f t="shared" si="2"/>
        <v>13</v>
      </c>
      <c r="I3921" s="15">
        <f t="shared" si="3"/>
        <v>9</v>
      </c>
    </row>
    <row r="3922">
      <c r="A3922" s="8" t="str">
        <f>IFERROR(__xludf.DUMMYFUNCTION("IF('(INGESTA)Datos_consumo_datadis'!A3922&lt;&gt;"""",SPLIT('(INGESTA)Datos_consumo_datadis'!A:A,"",""),"""")"),"ES0031408323131005HX0F")</f>
        <v>ES0031408323131005HX0F</v>
      </c>
      <c r="B3922" s="12">
        <f>IFERROR(__xludf.DUMMYFUNCTION("""COMPUTED_VALUE"""),45029.0)</f>
        <v>45029</v>
      </c>
      <c r="C3922" s="13">
        <f>IFERROR(__xludf.DUMMYFUNCTION("""COMPUTED_VALUE"""),0.4166666666666667)</f>
        <v>0.4166666667</v>
      </c>
      <c r="D3922" s="8">
        <f>IFERROR(__xludf.DUMMYFUNCTION("""COMPUTED_VALUE"""),0.51)</f>
        <v>0.51</v>
      </c>
      <c r="E3922" s="8" t="str">
        <f>IFERROR(__xludf.DUMMYFUNCTION("""COMPUTED_VALUE"""),"Real")</f>
        <v>Real</v>
      </c>
      <c r="G3922" s="8">
        <f t="shared" si="1"/>
        <v>4</v>
      </c>
      <c r="H3922" s="14">
        <f t="shared" si="2"/>
        <v>13</v>
      </c>
      <c r="I3922" s="15">
        <f t="shared" si="3"/>
        <v>10</v>
      </c>
    </row>
    <row r="3923">
      <c r="A3923" s="8" t="str">
        <f>IFERROR(__xludf.DUMMYFUNCTION("IF('(INGESTA)Datos_consumo_datadis'!A3923&lt;&gt;"""",SPLIT('(INGESTA)Datos_consumo_datadis'!A:A,"",""),"""")"),"ES0031408323131005HX0F")</f>
        <v>ES0031408323131005HX0F</v>
      </c>
      <c r="B3923" s="12">
        <f>IFERROR(__xludf.DUMMYFUNCTION("""COMPUTED_VALUE"""),45029.0)</f>
        <v>45029</v>
      </c>
      <c r="C3923" s="13">
        <f>IFERROR(__xludf.DUMMYFUNCTION("""COMPUTED_VALUE"""),0.4583333333333333)</f>
        <v>0.4583333333</v>
      </c>
      <c r="D3923" s="8">
        <f>IFERROR(__xludf.DUMMYFUNCTION("""COMPUTED_VALUE"""),1.605)</f>
        <v>1.605</v>
      </c>
      <c r="E3923" s="8" t="str">
        <f>IFERROR(__xludf.DUMMYFUNCTION("""COMPUTED_VALUE"""),"Real")</f>
        <v>Real</v>
      </c>
      <c r="G3923" s="8">
        <f t="shared" si="1"/>
        <v>4</v>
      </c>
      <c r="H3923" s="14">
        <f t="shared" si="2"/>
        <v>13</v>
      </c>
      <c r="I3923" s="15">
        <f t="shared" si="3"/>
        <v>11</v>
      </c>
    </row>
    <row r="3924">
      <c r="A3924" s="8" t="str">
        <f>IFERROR(__xludf.DUMMYFUNCTION("IF('(INGESTA)Datos_consumo_datadis'!A3924&lt;&gt;"""",SPLIT('(INGESTA)Datos_consumo_datadis'!A:A,"",""),"""")"),"ES0031408323131005HX0F")</f>
        <v>ES0031408323131005HX0F</v>
      </c>
      <c r="B3924" s="12">
        <f>IFERROR(__xludf.DUMMYFUNCTION("""COMPUTED_VALUE"""),45029.0)</f>
        <v>45029</v>
      </c>
      <c r="C3924" s="13">
        <f>IFERROR(__xludf.DUMMYFUNCTION("""COMPUTED_VALUE"""),0.5)</f>
        <v>0.5</v>
      </c>
      <c r="D3924" s="8">
        <f>IFERROR(__xludf.DUMMYFUNCTION("""COMPUTED_VALUE"""),0.114)</f>
        <v>0.114</v>
      </c>
      <c r="E3924" s="8" t="str">
        <f>IFERROR(__xludf.DUMMYFUNCTION("""COMPUTED_VALUE"""),"Real")</f>
        <v>Real</v>
      </c>
      <c r="G3924" s="8">
        <f t="shared" si="1"/>
        <v>4</v>
      </c>
      <c r="H3924" s="14">
        <f t="shared" si="2"/>
        <v>13</v>
      </c>
      <c r="I3924" s="15">
        <f t="shared" si="3"/>
        <v>12</v>
      </c>
    </row>
    <row r="3925">
      <c r="A3925" s="8" t="str">
        <f>IFERROR(__xludf.DUMMYFUNCTION("IF('(INGESTA)Datos_consumo_datadis'!A3925&lt;&gt;"""",SPLIT('(INGESTA)Datos_consumo_datadis'!A:A,"",""),"""")"),"ES0031408323131005HX0F")</f>
        <v>ES0031408323131005HX0F</v>
      </c>
      <c r="B3925" s="12">
        <f>IFERROR(__xludf.DUMMYFUNCTION("""COMPUTED_VALUE"""),45029.0)</f>
        <v>45029</v>
      </c>
      <c r="C3925" s="13">
        <f>IFERROR(__xludf.DUMMYFUNCTION("""COMPUTED_VALUE"""),0.5416666666666666)</f>
        <v>0.5416666667</v>
      </c>
      <c r="D3925" s="8">
        <f>IFERROR(__xludf.DUMMYFUNCTION("""COMPUTED_VALUE"""),0.059)</f>
        <v>0.059</v>
      </c>
      <c r="E3925" s="8" t="str">
        <f>IFERROR(__xludf.DUMMYFUNCTION("""COMPUTED_VALUE"""),"Real")</f>
        <v>Real</v>
      </c>
      <c r="G3925" s="8">
        <f t="shared" si="1"/>
        <v>4</v>
      </c>
      <c r="H3925" s="14">
        <f t="shared" si="2"/>
        <v>13</v>
      </c>
      <c r="I3925" s="15">
        <f t="shared" si="3"/>
        <v>13</v>
      </c>
    </row>
    <row r="3926">
      <c r="A3926" s="8" t="str">
        <f>IFERROR(__xludf.DUMMYFUNCTION("IF('(INGESTA)Datos_consumo_datadis'!A3926&lt;&gt;"""",SPLIT('(INGESTA)Datos_consumo_datadis'!A:A,"",""),"""")"),"ES0031408323131005HX0F")</f>
        <v>ES0031408323131005HX0F</v>
      </c>
      <c r="B3926" s="12">
        <f>IFERROR(__xludf.DUMMYFUNCTION("""COMPUTED_VALUE"""),45029.0)</f>
        <v>45029</v>
      </c>
      <c r="C3926" s="13">
        <f>IFERROR(__xludf.DUMMYFUNCTION("""COMPUTED_VALUE"""),0.5833333333333334)</f>
        <v>0.5833333333</v>
      </c>
      <c r="D3926" s="8">
        <f>IFERROR(__xludf.DUMMYFUNCTION("""COMPUTED_VALUE"""),0.342)</f>
        <v>0.342</v>
      </c>
      <c r="E3926" s="8" t="str">
        <f>IFERROR(__xludf.DUMMYFUNCTION("""COMPUTED_VALUE"""),"Real")</f>
        <v>Real</v>
      </c>
      <c r="G3926" s="8">
        <f t="shared" si="1"/>
        <v>4</v>
      </c>
      <c r="H3926" s="14">
        <f t="shared" si="2"/>
        <v>13</v>
      </c>
      <c r="I3926" s="15">
        <f t="shared" si="3"/>
        <v>14</v>
      </c>
    </row>
    <row r="3927">
      <c r="A3927" s="8" t="str">
        <f>IFERROR(__xludf.DUMMYFUNCTION("IF('(INGESTA)Datos_consumo_datadis'!A3927&lt;&gt;"""",SPLIT('(INGESTA)Datos_consumo_datadis'!A:A,"",""),"""")"),"ES0031408323131005HX0F")</f>
        <v>ES0031408323131005HX0F</v>
      </c>
      <c r="B3927" s="12">
        <f>IFERROR(__xludf.DUMMYFUNCTION("""COMPUTED_VALUE"""),45029.0)</f>
        <v>45029</v>
      </c>
      <c r="C3927" s="13">
        <f>IFERROR(__xludf.DUMMYFUNCTION("""COMPUTED_VALUE"""),0.625)</f>
        <v>0.625</v>
      </c>
      <c r="D3927" s="8">
        <f>IFERROR(__xludf.DUMMYFUNCTION("""COMPUTED_VALUE"""),0.127)</f>
        <v>0.127</v>
      </c>
      <c r="E3927" s="8" t="str">
        <f>IFERROR(__xludf.DUMMYFUNCTION("""COMPUTED_VALUE"""),"Real")</f>
        <v>Real</v>
      </c>
      <c r="G3927" s="8">
        <f t="shared" si="1"/>
        <v>4</v>
      </c>
      <c r="H3927" s="14">
        <f t="shared" si="2"/>
        <v>13</v>
      </c>
      <c r="I3927" s="15">
        <f t="shared" si="3"/>
        <v>15</v>
      </c>
    </row>
    <row r="3928">
      <c r="A3928" s="8" t="str">
        <f>IFERROR(__xludf.DUMMYFUNCTION("IF('(INGESTA)Datos_consumo_datadis'!A3928&lt;&gt;"""",SPLIT('(INGESTA)Datos_consumo_datadis'!A:A,"",""),"""")"),"ES0031408323131005HX0F")</f>
        <v>ES0031408323131005HX0F</v>
      </c>
      <c r="B3928" s="12">
        <f>IFERROR(__xludf.DUMMYFUNCTION("""COMPUTED_VALUE"""),45029.0)</f>
        <v>45029</v>
      </c>
      <c r="C3928" s="13">
        <f>IFERROR(__xludf.DUMMYFUNCTION("""COMPUTED_VALUE"""),0.6666666666666666)</f>
        <v>0.6666666667</v>
      </c>
      <c r="D3928" s="8">
        <f>IFERROR(__xludf.DUMMYFUNCTION("""COMPUTED_VALUE"""),0.084)</f>
        <v>0.084</v>
      </c>
      <c r="E3928" s="8" t="str">
        <f>IFERROR(__xludf.DUMMYFUNCTION("""COMPUTED_VALUE"""),"Real")</f>
        <v>Real</v>
      </c>
      <c r="G3928" s="8">
        <f t="shared" si="1"/>
        <v>4</v>
      </c>
      <c r="H3928" s="14">
        <f t="shared" si="2"/>
        <v>13</v>
      </c>
      <c r="I3928" s="15">
        <f t="shared" si="3"/>
        <v>16</v>
      </c>
    </row>
    <row r="3929">
      <c r="A3929" s="8" t="str">
        <f>IFERROR(__xludf.DUMMYFUNCTION("IF('(INGESTA)Datos_consumo_datadis'!A3929&lt;&gt;"""",SPLIT('(INGESTA)Datos_consumo_datadis'!A:A,"",""),"""")"),"ES0031408323131005HX0F")</f>
        <v>ES0031408323131005HX0F</v>
      </c>
      <c r="B3929" s="12">
        <f>IFERROR(__xludf.DUMMYFUNCTION("""COMPUTED_VALUE"""),45029.0)</f>
        <v>45029</v>
      </c>
      <c r="C3929" s="13">
        <f>IFERROR(__xludf.DUMMYFUNCTION("""COMPUTED_VALUE"""),0.7083333333333334)</f>
        <v>0.7083333333</v>
      </c>
      <c r="D3929" s="8">
        <f>IFERROR(__xludf.DUMMYFUNCTION("""COMPUTED_VALUE"""),0.036)</f>
        <v>0.036</v>
      </c>
      <c r="E3929" s="8" t="str">
        <f>IFERROR(__xludf.DUMMYFUNCTION("""COMPUTED_VALUE"""),"Real")</f>
        <v>Real</v>
      </c>
      <c r="G3929" s="8">
        <f t="shared" si="1"/>
        <v>4</v>
      </c>
      <c r="H3929" s="14">
        <f t="shared" si="2"/>
        <v>13</v>
      </c>
      <c r="I3929" s="15">
        <f t="shared" si="3"/>
        <v>17</v>
      </c>
    </row>
    <row r="3930">
      <c r="A3930" s="8" t="str">
        <f>IFERROR(__xludf.DUMMYFUNCTION("IF('(INGESTA)Datos_consumo_datadis'!A3930&lt;&gt;"""",SPLIT('(INGESTA)Datos_consumo_datadis'!A:A,"",""),"""")"),"ES0031408323131005HX0F")</f>
        <v>ES0031408323131005HX0F</v>
      </c>
      <c r="B3930" s="12">
        <f>IFERROR(__xludf.DUMMYFUNCTION("""COMPUTED_VALUE"""),45029.0)</f>
        <v>45029</v>
      </c>
      <c r="C3930" s="13">
        <f>IFERROR(__xludf.DUMMYFUNCTION("""COMPUTED_VALUE"""),0.75)</f>
        <v>0.75</v>
      </c>
      <c r="D3930" s="8">
        <f>IFERROR(__xludf.DUMMYFUNCTION("""COMPUTED_VALUE"""),0.043)</f>
        <v>0.043</v>
      </c>
      <c r="E3930" s="8" t="str">
        <f>IFERROR(__xludf.DUMMYFUNCTION("""COMPUTED_VALUE"""),"Real")</f>
        <v>Real</v>
      </c>
      <c r="G3930" s="8">
        <f t="shared" si="1"/>
        <v>4</v>
      </c>
      <c r="H3930" s="14">
        <f t="shared" si="2"/>
        <v>13</v>
      </c>
      <c r="I3930" s="15">
        <f t="shared" si="3"/>
        <v>18</v>
      </c>
    </row>
    <row r="3931">
      <c r="A3931" s="8" t="str">
        <f>IFERROR(__xludf.DUMMYFUNCTION("IF('(INGESTA)Datos_consumo_datadis'!A3931&lt;&gt;"""",SPLIT('(INGESTA)Datos_consumo_datadis'!A:A,"",""),"""")"),"ES0031408323131005HX0F")</f>
        <v>ES0031408323131005HX0F</v>
      </c>
      <c r="B3931" s="12">
        <f>IFERROR(__xludf.DUMMYFUNCTION("""COMPUTED_VALUE"""),45029.0)</f>
        <v>45029</v>
      </c>
      <c r="C3931" s="13">
        <f>IFERROR(__xludf.DUMMYFUNCTION("""COMPUTED_VALUE"""),0.7916666666666666)</f>
        <v>0.7916666667</v>
      </c>
      <c r="D3931" s="8">
        <f>IFERROR(__xludf.DUMMYFUNCTION("""COMPUTED_VALUE"""),0.081)</f>
        <v>0.081</v>
      </c>
      <c r="E3931" s="8" t="str">
        <f>IFERROR(__xludf.DUMMYFUNCTION("""COMPUTED_VALUE"""),"Real")</f>
        <v>Real</v>
      </c>
      <c r="G3931" s="8">
        <f t="shared" si="1"/>
        <v>4</v>
      </c>
      <c r="H3931" s="14">
        <f t="shared" si="2"/>
        <v>13</v>
      </c>
      <c r="I3931" s="15">
        <f t="shared" si="3"/>
        <v>19</v>
      </c>
    </row>
    <row r="3932">
      <c r="A3932" s="8" t="str">
        <f>IFERROR(__xludf.DUMMYFUNCTION("IF('(INGESTA)Datos_consumo_datadis'!A3932&lt;&gt;"""",SPLIT('(INGESTA)Datos_consumo_datadis'!A:A,"",""),"""")"),"ES0031408323131005HX0F")</f>
        <v>ES0031408323131005HX0F</v>
      </c>
      <c r="B3932" s="12">
        <f>IFERROR(__xludf.DUMMYFUNCTION("""COMPUTED_VALUE"""),45029.0)</f>
        <v>45029</v>
      </c>
      <c r="C3932" s="13">
        <f>IFERROR(__xludf.DUMMYFUNCTION("""COMPUTED_VALUE"""),0.8333333333333334)</f>
        <v>0.8333333333</v>
      </c>
      <c r="D3932" s="8">
        <f>IFERROR(__xludf.DUMMYFUNCTION("""COMPUTED_VALUE"""),0.289)</f>
        <v>0.289</v>
      </c>
      <c r="E3932" s="8" t="str">
        <f>IFERROR(__xludf.DUMMYFUNCTION("""COMPUTED_VALUE"""),"Real")</f>
        <v>Real</v>
      </c>
      <c r="G3932" s="8">
        <f t="shared" si="1"/>
        <v>4</v>
      </c>
      <c r="H3932" s="14">
        <f t="shared" si="2"/>
        <v>13</v>
      </c>
      <c r="I3932" s="15">
        <f t="shared" si="3"/>
        <v>20</v>
      </c>
    </row>
    <row r="3933">
      <c r="A3933" s="8" t="str">
        <f>IFERROR(__xludf.DUMMYFUNCTION("IF('(INGESTA)Datos_consumo_datadis'!A3933&lt;&gt;"""",SPLIT('(INGESTA)Datos_consumo_datadis'!A:A,"",""),"""")"),"ES0031408323131005HX0F")</f>
        <v>ES0031408323131005HX0F</v>
      </c>
      <c r="B3933" s="12">
        <f>IFERROR(__xludf.DUMMYFUNCTION("""COMPUTED_VALUE"""),45029.0)</f>
        <v>45029</v>
      </c>
      <c r="C3933" s="13">
        <f>IFERROR(__xludf.DUMMYFUNCTION("""COMPUTED_VALUE"""),0.875)</f>
        <v>0.875</v>
      </c>
      <c r="D3933" s="8">
        <f>IFERROR(__xludf.DUMMYFUNCTION("""COMPUTED_VALUE"""),0.042)</f>
        <v>0.042</v>
      </c>
      <c r="E3933" s="8" t="str">
        <f>IFERROR(__xludf.DUMMYFUNCTION("""COMPUTED_VALUE"""),"Real")</f>
        <v>Real</v>
      </c>
      <c r="G3933" s="8">
        <f t="shared" si="1"/>
        <v>4</v>
      </c>
      <c r="H3933" s="14">
        <f t="shared" si="2"/>
        <v>13</v>
      </c>
      <c r="I3933" s="15">
        <f t="shared" si="3"/>
        <v>21</v>
      </c>
    </row>
    <row r="3934">
      <c r="A3934" s="8" t="str">
        <f>IFERROR(__xludf.DUMMYFUNCTION("IF('(INGESTA)Datos_consumo_datadis'!A3934&lt;&gt;"""",SPLIT('(INGESTA)Datos_consumo_datadis'!A:A,"",""),"""")"),"ES0031408323131005HX0F")</f>
        <v>ES0031408323131005HX0F</v>
      </c>
      <c r="B3934" s="12">
        <f>IFERROR(__xludf.DUMMYFUNCTION("""COMPUTED_VALUE"""),45029.0)</f>
        <v>45029</v>
      </c>
      <c r="C3934" s="13">
        <f>IFERROR(__xludf.DUMMYFUNCTION("""COMPUTED_VALUE"""),0.9166666666666666)</f>
        <v>0.9166666667</v>
      </c>
      <c r="D3934" s="8">
        <f>IFERROR(__xludf.DUMMYFUNCTION("""COMPUTED_VALUE"""),0.077)</f>
        <v>0.077</v>
      </c>
      <c r="E3934" s="8" t="str">
        <f>IFERROR(__xludf.DUMMYFUNCTION("""COMPUTED_VALUE"""),"Real")</f>
        <v>Real</v>
      </c>
      <c r="G3934" s="8">
        <f t="shared" si="1"/>
        <v>4</v>
      </c>
      <c r="H3934" s="14">
        <f t="shared" si="2"/>
        <v>13</v>
      </c>
      <c r="I3934" s="15">
        <f t="shared" si="3"/>
        <v>22</v>
      </c>
    </row>
    <row r="3935">
      <c r="A3935" s="8" t="str">
        <f>IFERROR(__xludf.DUMMYFUNCTION("IF('(INGESTA)Datos_consumo_datadis'!A3935&lt;&gt;"""",SPLIT('(INGESTA)Datos_consumo_datadis'!A:A,"",""),"""")"),"ES0031408323131005HX0F")</f>
        <v>ES0031408323131005HX0F</v>
      </c>
      <c r="B3935" s="12">
        <f>IFERROR(__xludf.DUMMYFUNCTION("""COMPUTED_VALUE"""),45029.0)</f>
        <v>45029</v>
      </c>
      <c r="C3935" s="13">
        <f>IFERROR(__xludf.DUMMYFUNCTION("""COMPUTED_VALUE"""),0.9583333333333334)</f>
        <v>0.9583333333</v>
      </c>
      <c r="D3935" s="8">
        <f>IFERROR(__xludf.DUMMYFUNCTION("""COMPUTED_VALUE"""),0.043)</f>
        <v>0.043</v>
      </c>
      <c r="E3935" s="8" t="str">
        <f>IFERROR(__xludf.DUMMYFUNCTION("""COMPUTED_VALUE"""),"Real")</f>
        <v>Real</v>
      </c>
      <c r="G3935" s="8">
        <f t="shared" si="1"/>
        <v>4</v>
      </c>
      <c r="H3935" s="14">
        <f t="shared" si="2"/>
        <v>13</v>
      </c>
      <c r="I3935" s="15">
        <f t="shared" si="3"/>
        <v>23</v>
      </c>
    </row>
    <row r="3936">
      <c r="A3936" s="8" t="str">
        <f>IFERROR(__xludf.DUMMYFUNCTION("IF('(INGESTA)Datos_consumo_datadis'!A3936&lt;&gt;"""",SPLIT('(INGESTA)Datos_consumo_datadis'!A:A,"",""),"""")"),"ES0031408323131005HX0F")</f>
        <v>ES0031408323131005HX0F</v>
      </c>
      <c r="B3936" s="12">
        <f>IFERROR(__xludf.DUMMYFUNCTION("""COMPUTED_VALUE"""),45029.0)</f>
        <v>45029</v>
      </c>
      <c r="C3936" s="16">
        <f>IFERROR(__xludf.DUMMYFUNCTION("""COMPUTED_VALUE"""),1.0)</f>
        <v>1</v>
      </c>
      <c r="D3936" s="8">
        <f>IFERROR(__xludf.DUMMYFUNCTION("""COMPUTED_VALUE"""),0.211)</f>
        <v>0.211</v>
      </c>
      <c r="E3936" s="8" t="str">
        <f>IFERROR(__xludf.DUMMYFUNCTION("""COMPUTED_VALUE"""),"Real")</f>
        <v>Real</v>
      </c>
      <c r="G3936" s="8">
        <f t="shared" si="1"/>
        <v>4</v>
      </c>
      <c r="H3936" s="14">
        <f t="shared" si="2"/>
        <v>13</v>
      </c>
      <c r="I3936" s="15">
        <f t="shared" si="3"/>
        <v>0</v>
      </c>
    </row>
    <row r="3937">
      <c r="A3937" s="8" t="str">
        <f>IFERROR(__xludf.DUMMYFUNCTION("IF('(INGESTA)Datos_consumo_datadis'!A3937&lt;&gt;"""",SPLIT('(INGESTA)Datos_consumo_datadis'!A:A,"",""),"""")"),"ES0031408323131005HX0F")</f>
        <v>ES0031408323131005HX0F</v>
      </c>
      <c r="B3937" s="12">
        <f>IFERROR(__xludf.DUMMYFUNCTION("""COMPUTED_VALUE"""),45030.0)</f>
        <v>45030</v>
      </c>
      <c r="C3937" s="13">
        <f>IFERROR(__xludf.DUMMYFUNCTION("""COMPUTED_VALUE"""),0.041666666666666664)</f>
        <v>0.04166666667</v>
      </c>
      <c r="D3937" s="8">
        <f>IFERROR(__xludf.DUMMYFUNCTION("""COMPUTED_VALUE"""),0.459)</f>
        <v>0.459</v>
      </c>
      <c r="E3937" s="8" t="str">
        <f>IFERROR(__xludf.DUMMYFUNCTION("""COMPUTED_VALUE"""),"Real")</f>
        <v>Real</v>
      </c>
      <c r="G3937" s="8">
        <f t="shared" si="1"/>
        <v>4</v>
      </c>
      <c r="H3937" s="14">
        <f t="shared" si="2"/>
        <v>14</v>
      </c>
      <c r="I3937" s="15">
        <f t="shared" si="3"/>
        <v>1</v>
      </c>
    </row>
    <row r="3938">
      <c r="A3938" s="8" t="str">
        <f>IFERROR(__xludf.DUMMYFUNCTION("IF('(INGESTA)Datos_consumo_datadis'!A3938&lt;&gt;"""",SPLIT('(INGESTA)Datos_consumo_datadis'!A:A,"",""),"""")"),"ES0031408323131005HX0F")</f>
        <v>ES0031408323131005HX0F</v>
      </c>
      <c r="B3938" s="12">
        <f>IFERROR(__xludf.DUMMYFUNCTION("""COMPUTED_VALUE"""),45030.0)</f>
        <v>45030</v>
      </c>
      <c r="C3938" s="13">
        <f>IFERROR(__xludf.DUMMYFUNCTION("""COMPUTED_VALUE"""),0.08333333333333333)</f>
        <v>0.08333333333</v>
      </c>
      <c r="D3938" s="8">
        <f>IFERROR(__xludf.DUMMYFUNCTION("""COMPUTED_VALUE"""),0.06)</f>
        <v>0.06</v>
      </c>
      <c r="E3938" s="8" t="str">
        <f>IFERROR(__xludf.DUMMYFUNCTION("""COMPUTED_VALUE"""),"Real")</f>
        <v>Real</v>
      </c>
      <c r="G3938" s="8">
        <f t="shared" si="1"/>
        <v>4</v>
      </c>
      <c r="H3938" s="14">
        <f t="shared" si="2"/>
        <v>14</v>
      </c>
      <c r="I3938" s="15">
        <f t="shared" si="3"/>
        <v>2</v>
      </c>
    </row>
    <row r="3939">
      <c r="A3939" s="8" t="str">
        <f>IFERROR(__xludf.DUMMYFUNCTION("IF('(INGESTA)Datos_consumo_datadis'!A3939&lt;&gt;"""",SPLIT('(INGESTA)Datos_consumo_datadis'!A:A,"",""),"""")"),"ES0031408323131005HX0F")</f>
        <v>ES0031408323131005HX0F</v>
      </c>
      <c r="B3939" s="12">
        <f>IFERROR(__xludf.DUMMYFUNCTION("""COMPUTED_VALUE"""),45030.0)</f>
        <v>45030</v>
      </c>
      <c r="C3939" s="13">
        <f>IFERROR(__xludf.DUMMYFUNCTION("""COMPUTED_VALUE"""),0.125)</f>
        <v>0.125</v>
      </c>
      <c r="D3939" s="8">
        <f>IFERROR(__xludf.DUMMYFUNCTION("""COMPUTED_VALUE"""),0.062)</f>
        <v>0.062</v>
      </c>
      <c r="E3939" s="8" t="str">
        <f>IFERROR(__xludf.DUMMYFUNCTION("""COMPUTED_VALUE"""),"Real")</f>
        <v>Real</v>
      </c>
      <c r="G3939" s="8">
        <f t="shared" si="1"/>
        <v>4</v>
      </c>
      <c r="H3939" s="14">
        <f t="shared" si="2"/>
        <v>14</v>
      </c>
      <c r="I3939" s="15">
        <f t="shared" si="3"/>
        <v>3</v>
      </c>
    </row>
    <row r="3940">
      <c r="A3940" s="8" t="str">
        <f>IFERROR(__xludf.DUMMYFUNCTION("IF('(INGESTA)Datos_consumo_datadis'!A3940&lt;&gt;"""",SPLIT('(INGESTA)Datos_consumo_datadis'!A:A,"",""),"""")"),"ES0031408323131005HX0F")</f>
        <v>ES0031408323131005HX0F</v>
      </c>
      <c r="B3940" s="12">
        <f>IFERROR(__xludf.DUMMYFUNCTION("""COMPUTED_VALUE"""),45030.0)</f>
        <v>45030</v>
      </c>
      <c r="C3940" s="13">
        <f>IFERROR(__xludf.DUMMYFUNCTION("""COMPUTED_VALUE"""),0.16666666666666666)</f>
        <v>0.1666666667</v>
      </c>
      <c r="D3940" s="8">
        <f>IFERROR(__xludf.DUMMYFUNCTION("""COMPUTED_VALUE"""),0.084)</f>
        <v>0.084</v>
      </c>
      <c r="E3940" s="8" t="str">
        <f>IFERROR(__xludf.DUMMYFUNCTION("""COMPUTED_VALUE"""),"Real")</f>
        <v>Real</v>
      </c>
      <c r="G3940" s="8">
        <f t="shared" si="1"/>
        <v>4</v>
      </c>
      <c r="H3940" s="14">
        <f t="shared" si="2"/>
        <v>14</v>
      </c>
      <c r="I3940" s="15">
        <f t="shared" si="3"/>
        <v>4</v>
      </c>
    </row>
    <row r="3941">
      <c r="A3941" s="8" t="str">
        <f>IFERROR(__xludf.DUMMYFUNCTION("IF('(INGESTA)Datos_consumo_datadis'!A3941&lt;&gt;"""",SPLIT('(INGESTA)Datos_consumo_datadis'!A:A,"",""),"""")"),"ES0031408323131005HX0F")</f>
        <v>ES0031408323131005HX0F</v>
      </c>
      <c r="B3941" s="12">
        <f>IFERROR(__xludf.DUMMYFUNCTION("""COMPUTED_VALUE"""),45030.0)</f>
        <v>45030</v>
      </c>
      <c r="C3941" s="13">
        <f>IFERROR(__xludf.DUMMYFUNCTION("""COMPUTED_VALUE"""),0.20833333333333334)</f>
        <v>0.2083333333</v>
      </c>
      <c r="D3941" s="8">
        <f>IFERROR(__xludf.DUMMYFUNCTION("""COMPUTED_VALUE"""),0.049)</f>
        <v>0.049</v>
      </c>
      <c r="E3941" s="8" t="str">
        <f>IFERROR(__xludf.DUMMYFUNCTION("""COMPUTED_VALUE"""),"Real")</f>
        <v>Real</v>
      </c>
      <c r="G3941" s="8">
        <f t="shared" si="1"/>
        <v>4</v>
      </c>
      <c r="H3941" s="14">
        <f t="shared" si="2"/>
        <v>14</v>
      </c>
      <c r="I3941" s="15">
        <f t="shared" si="3"/>
        <v>5</v>
      </c>
    </row>
    <row r="3942">
      <c r="A3942" s="8" t="str">
        <f>IFERROR(__xludf.DUMMYFUNCTION("IF('(INGESTA)Datos_consumo_datadis'!A3942&lt;&gt;"""",SPLIT('(INGESTA)Datos_consumo_datadis'!A:A,"",""),"""")"),"ES0031408323131005HX0F")</f>
        <v>ES0031408323131005HX0F</v>
      </c>
      <c r="B3942" s="12">
        <f>IFERROR(__xludf.DUMMYFUNCTION("""COMPUTED_VALUE"""),45030.0)</f>
        <v>45030</v>
      </c>
      <c r="C3942" s="13">
        <f>IFERROR(__xludf.DUMMYFUNCTION("""COMPUTED_VALUE"""),0.25)</f>
        <v>0.25</v>
      </c>
      <c r="D3942" s="8">
        <f>IFERROR(__xludf.DUMMYFUNCTION("""COMPUTED_VALUE"""),0.339)</f>
        <v>0.339</v>
      </c>
      <c r="E3942" s="8" t="str">
        <f>IFERROR(__xludf.DUMMYFUNCTION("""COMPUTED_VALUE"""),"Real")</f>
        <v>Real</v>
      </c>
      <c r="G3942" s="8">
        <f t="shared" si="1"/>
        <v>4</v>
      </c>
      <c r="H3942" s="14">
        <f t="shared" si="2"/>
        <v>14</v>
      </c>
      <c r="I3942" s="15">
        <f t="shared" si="3"/>
        <v>6</v>
      </c>
    </row>
    <row r="3943">
      <c r="A3943" s="8" t="str">
        <f>IFERROR(__xludf.DUMMYFUNCTION("IF('(INGESTA)Datos_consumo_datadis'!A3943&lt;&gt;"""",SPLIT('(INGESTA)Datos_consumo_datadis'!A:A,"",""),"""")"),"ES0031408323131005HX0F")</f>
        <v>ES0031408323131005HX0F</v>
      </c>
      <c r="B3943" s="12">
        <f>IFERROR(__xludf.DUMMYFUNCTION("""COMPUTED_VALUE"""),45030.0)</f>
        <v>45030</v>
      </c>
      <c r="C3943" s="13">
        <f>IFERROR(__xludf.DUMMYFUNCTION("""COMPUTED_VALUE"""),0.2916666666666667)</f>
        <v>0.2916666667</v>
      </c>
      <c r="D3943" s="8">
        <f>IFERROR(__xludf.DUMMYFUNCTION("""COMPUTED_VALUE"""),0.095)</f>
        <v>0.095</v>
      </c>
      <c r="E3943" s="8" t="str">
        <f>IFERROR(__xludf.DUMMYFUNCTION("""COMPUTED_VALUE"""),"Real")</f>
        <v>Real</v>
      </c>
      <c r="G3943" s="8">
        <f t="shared" si="1"/>
        <v>4</v>
      </c>
      <c r="H3943" s="14">
        <f t="shared" si="2"/>
        <v>14</v>
      </c>
      <c r="I3943" s="15">
        <f t="shared" si="3"/>
        <v>7</v>
      </c>
    </row>
    <row r="3944">
      <c r="A3944" s="8" t="str">
        <f>IFERROR(__xludf.DUMMYFUNCTION("IF('(INGESTA)Datos_consumo_datadis'!A3944&lt;&gt;"""",SPLIT('(INGESTA)Datos_consumo_datadis'!A:A,"",""),"""")"),"ES0031408323131005HX0F")</f>
        <v>ES0031408323131005HX0F</v>
      </c>
      <c r="B3944" s="12">
        <f>IFERROR(__xludf.DUMMYFUNCTION("""COMPUTED_VALUE"""),45030.0)</f>
        <v>45030</v>
      </c>
      <c r="C3944" s="13">
        <f>IFERROR(__xludf.DUMMYFUNCTION("""COMPUTED_VALUE"""),0.3333333333333333)</f>
        <v>0.3333333333</v>
      </c>
      <c r="D3944" s="8">
        <f>IFERROR(__xludf.DUMMYFUNCTION("""COMPUTED_VALUE"""),0.62)</f>
        <v>0.62</v>
      </c>
      <c r="E3944" s="8" t="str">
        <f>IFERROR(__xludf.DUMMYFUNCTION("""COMPUTED_VALUE"""),"Real")</f>
        <v>Real</v>
      </c>
      <c r="G3944" s="8">
        <f t="shared" si="1"/>
        <v>4</v>
      </c>
      <c r="H3944" s="14">
        <f t="shared" si="2"/>
        <v>14</v>
      </c>
      <c r="I3944" s="15">
        <f t="shared" si="3"/>
        <v>8</v>
      </c>
    </row>
    <row r="3945">
      <c r="A3945" s="8" t="str">
        <f>IFERROR(__xludf.DUMMYFUNCTION("IF('(INGESTA)Datos_consumo_datadis'!A3945&lt;&gt;"""",SPLIT('(INGESTA)Datos_consumo_datadis'!A:A,"",""),"""")"),"ES0031408323131005HX0F")</f>
        <v>ES0031408323131005HX0F</v>
      </c>
      <c r="B3945" s="12">
        <f>IFERROR(__xludf.DUMMYFUNCTION("""COMPUTED_VALUE"""),45030.0)</f>
        <v>45030</v>
      </c>
      <c r="C3945" s="13">
        <f>IFERROR(__xludf.DUMMYFUNCTION("""COMPUTED_VALUE"""),0.375)</f>
        <v>0.375</v>
      </c>
      <c r="D3945" s="8">
        <f>IFERROR(__xludf.DUMMYFUNCTION("""COMPUTED_VALUE"""),0.057)</f>
        <v>0.057</v>
      </c>
      <c r="E3945" s="8" t="str">
        <f>IFERROR(__xludf.DUMMYFUNCTION("""COMPUTED_VALUE"""),"Real")</f>
        <v>Real</v>
      </c>
      <c r="G3945" s="8">
        <f t="shared" si="1"/>
        <v>4</v>
      </c>
      <c r="H3945" s="14">
        <f t="shared" si="2"/>
        <v>14</v>
      </c>
      <c r="I3945" s="15">
        <f t="shared" si="3"/>
        <v>9</v>
      </c>
    </row>
    <row r="3946">
      <c r="A3946" s="8" t="str">
        <f>IFERROR(__xludf.DUMMYFUNCTION("IF('(INGESTA)Datos_consumo_datadis'!A3946&lt;&gt;"""",SPLIT('(INGESTA)Datos_consumo_datadis'!A:A,"",""),"""")"),"ES0031408323131005HX0F")</f>
        <v>ES0031408323131005HX0F</v>
      </c>
      <c r="B3946" s="12">
        <f>IFERROR(__xludf.DUMMYFUNCTION("""COMPUTED_VALUE"""),45030.0)</f>
        <v>45030</v>
      </c>
      <c r="C3946" s="13">
        <f>IFERROR(__xludf.DUMMYFUNCTION("""COMPUTED_VALUE"""),0.4166666666666667)</f>
        <v>0.4166666667</v>
      </c>
      <c r="D3946" s="8">
        <f>IFERROR(__xludf.DUMMYFUNCTION("""COMPUTED_VALUE"""),0.062)</f>
        <v>0.062</v>
      </c>
      <c r="E3946" s="8" t="str">
        <f>IFERROR(__xludf.DUMMYFUNCTION("""COMPUTED_VALUE"""),"Real")</f>
        <v>Real</v>
      </c>
      <c r="G3946" s="8">
        <f t="shared" si="1"/>
        <v>4</v>
      </c>
      <c r="H3946" s="14">
        <f t="shared" si="2"/>
        <v>14</v>
      </c>
      <c r="I3946" s="15">
        <f t="shared" si="3"/>
        <v>10</v>
      </c>
    </row>
    <row r="3947">
      <c r="A3947" s="8" t="str">
        <f>IFERROR(__xludf.DUMMYFUNCTION("IF('(INGESTA)Datos_consumo_datadis'!A3947&lt;&gt;"""",SPLIT('(INGESTA)Datos_consumo_datadis'!A:A,"",""),"""")"),"ES0031408323131005HX0F")</f>
        <v>ES0031408323131005HX0F</v>
      </c>
      <c r="B3947" s="12">
        <f>IFERROR(__xludf.DUMMYFUNCTION("""COMPUTED_VALUE"""),45030.0)</f>
        <v>45030</v>
      </c>
      <c r="C3947" s="13">
        <f>IFERROR(__xludf.DUMMYFUNCTION("""COMPUTED_VALUE"""),0.4583333333333333)</f>
        <v>0.4583333333</v>
      </c>
      <c r="D3947" s="8">
        <f>IFERROR(__xludf.DUMMYFUNCTION("""COMPUTED_VALUE"""),0.107)</f>
        <v>0.107</v>
      </c>
      <c r="E3947" s="8" t="str">
        <f>IFERROR(__xludf.DUMMYFUNCTION("""COMPUTED_VALUE"""),"Real")</f>
        <v>Real</v>
      </c>
      <c r="G3947" s="8">
        <f t="shared" si="1"/>
        <v>4</v>
      </c>
      <c r="H3947" s="14">
        <f t="shared" si="2"/>
        <v>14</v>
      </c>
      <c r="I3947" s="15">
        <f t="shared" si="3"/>
        <v>11</v>
      </c>
    </row>
    <row r="3948">
      <c r="A3948" s="8" t="str">
        <f>IFERROR(__xludf.DUMMYFUNCTION("IF('(INGESTA)Datos_consumo_datadis'!A3948&lt;&gt;"""",SPLIT('(INGESTA)Datos_consumo_datadis'!A:A,"",""),"""")"),"ES0031408323131005HX0F")</f>
        <v>ES0031408323131005HX0F</v>
      </c>
      <c r="B3948" s="12">
        <f>IFERROR(__xludf.DUMMYFUNCTION("""COMPUTED_VALUE"""),45030.0)</f>
        <v>45030</v>
      </c>
      <c r="C3948" s="13">
        <f>IFERROR(__xludf.DUMMYFUNCTION("""COMPUTED_VALUE"""),0.5)</f>
        <v>0.5</v>
      </c>
      <c r="D3948" s="8">
        <f>IFERROR(__xludf.DUMMYFUNCTION("""COMPUTED_VALUE"""),0.159)</f>
        <v>0.159</v>
      </c>
      <c r="E3948" s="8" t="str">
        <f>IFERROR(__xludf.DUMMYFUNCTION("""COMPUTED_VALUE"""),"Real")</f>
        <v>Real</v>
      </c>
      <c r="G3948" s="8">
        <f t="shared" si="1"/>
        <v>4</v>
      </c>
      <c r="H3948" s="14">
        <f t="shared" si="2"/>
        <v>14</v>
      </c>
      <c r="I3948" s="15">
        <f t="shared" si="3"/>
        <v>12</v>
      </c>
    </row>
    <row r="3949">
      <c r="A3949" s="8" t="str">
        <f>IFERROR(__xludf.DUMMYFUNCTION("IF('(INGESTA)Datos_consumo_datadis'!A3949&lt;&gt;"""",SPLIT('(INGESTA)Datos_consumo_datadis'!A:A,"",""),"""")"),"ES0031408323131005HX0F")</f>
        <v>ES0031408323131005HX0F</v>
      </c>
      <c r="B3949" s="12">
        <f>IFERROR(__xludf.DUMMYFUNCTION("""COMPUTED_VALUE"""),45030.0)</f>
        <v>45030</v>
      </c>
      <c r="C3949" s="13">
        <f>IFERROR(__xludf.DUMMYFUNCTION("""COMPUTED_VALUE"""),0.5416666666666666)</f>
        <v>0.5416666667</v>
      </c>
      <c r="D3949" s="8">
        <f>IFERROR(__xludf.DUMMYFUNCTION("""COMPUTED_VALUE"""),0.744)</f>
        <v>0.744</v>
      </c>
      <c r="E3949" s="8" t="str">
        <f>IFERROR(__xludf.DUMMYFUNCTION("""COMPUTED_VALUE"""),"Real")</f>
        <v>Real</v>
      </c>
      <c r="G3949" s="8">
        <f t="shared" si="1"/>
        <v>4</v>
      </c>
      <c r="H3949" s="14">
        <f t="shared" si="2"/>
        <v>14</v>
      </c>
      <c r="I3949" s="15">
        <f t="shared" si="3"/>
        <v>13</v>
      </c>
    </row>
    <row r="3950">
      <c r="A3950" s="8" t="str">
        <f>IFERROR(__xludf.DUMMYFUNCTION("IF('(INGESTA)Datos_consumo_datadis'!A3950&lt;&gt;"""",SPLIT('(INGESTA)Datos_consumo_datadis'!A:A,"",""),"""")"),"ES0031408323131005HX0F")</f>
        <v>ES0031408323131005HX0F</v>
      </c>
      <c r="B3950" s="12">
        <f>IFERROR(__xludf.DUMMYFUNCTION("""COMPUTED_VALUE"""),45030.0)</f>
        <v>45030</v>
      </c>
      <c r="C3950" s="13">
        <f>IFERROR(__xludf.DUMMYFUNCTION("""COMPUTED_VALUE"""),0.5833333333333334)</f>
        <v>0.5833333333</v>
      </c>
      <c r="D3950" s="8">
        <f>IFERROR(__xludf.DUMMYFUNCTION("""COMPUTED_VALUE"""),0.086)</f>
        <v>0.086</v>
      </c>
      <c r="E3950" s="8" t="str">
        <f>IFERROR(__xludf.DUMMYFUNCTION("""COMPUTED_VALUE"""),"Real")</f>
        <v>Real</v>
      </c>
      <c r="G3950" s="8">
        <f t="shared" si="1"/>
        <v>4</v>
      </c>
      <c r="H3950" s="14">
        <f t="shared" si="2"/>
        <v>14</v>
      </c>
      <c r="I3950" s="15">
        <f t="shared" si="3"/>
        <v>14</v>
      </c>
    </row>
    <row r="3951">
      <c r="A3951" s="8" t="str">
        <f>IFERROR(__xludf.DUMMYFUNCTION("IF('(INGESTA)Datos_consumo_datadis'!A3951&lt;&gt;"""",SPLIT('(INGESTA)Datos_consumo_datadis'!A:A,"",""),"""")"),"ES0031408323131005HX0F")</f>
        <v>ES0031408323131005HX0F</v>
      </c>
      <c r="B3951" s="12">
        <f>IFERROR(__xludf.DUMMYFUNCTION("""COMPUTED_VALUE"""),45030.0)</f>
        <v>45030</v>
      </c>
      <c r="C3951" s="13">
        <f>IFERROR(__xludf.DUMMYFUNCTION("""COMPUTED_VALUE"""),0.625)</f>
        <v>0.625</v>
      </c>
      <c r="D3951" s="8">
        <f>IFERROR(__xludf.DUMMYFUNCTION("""COMPUTED_VALUE"""),0.273)</f>
        <v>0.273</v>
      </c>
      <c r="E3951" s="8" t="str">
        <f>IFERROR(__xludf.DUMMYFUNCTION("""COMPUTED_VALUE"""),"Real")</f>
        <v>Real</v>
      </c>
      <c r="G3951" s="8">
        <f t="shared" si="1"/>
        <v>4</v>
      </c>
      <c r="H3951" s="14">
        <f t="shared" si="2"/>
        <v>14</v>
      </c>
      <c r="I3951" s="15">
        <f t="shared" si="3"/>
        <v>15</v>
      </c>
    </row>
    <row r="3952">
      <c r="A3952" s="8" t="str">
        <f>IFERROR(__xludf.DUMMYFUNCTION("IF('(INGESTA)Datos_consumo_datadis'!A3952&lt;&gt;"""",SPLIT('(INGESTA)Datos_consumo_datadis'!A:A,"",""),"""")"),"ES0031408323131005HX0F")</f>
        <v>ES0031408323131005HX0F</v>
      </c>
      <c r="B3952" s="12">
        <f>IFERROR(__xludf.DUMMYFUNCTION("""COMPUTED_VALUE"""),45030.0)</f>
        <v>45030</v>
      </c>
      <c r="C3952" s="13">
        <f>IFERROR(__xludf.DUMMYFUNCTION("""COMPUTED_VALUE"""),0.6666666666666666)</f>
        <v>0.6666666667</v>
      </c>
      <c r="D3952" s="8">
        <f>IFERROR(__xludf.DUMMYFUNCTION("""COMPUTED_VALUE"""),0.119)</f>
        <v>0.119</v>
      </c>
      <c r="E3952" s="8" t="str">
        <f>IFERROR(__xludf.DUMMYFUNCTION("""COMPUTED_VALUE"""),"Real")</f>
        <v>Real</v>
      </c>
      <c r="G3952" s="8">
        <f t="shared" si="1"/>
        <v>4</v>
      </c>
      <c r="H3952" s="14">
        <f t="shared" si="2"/>
        <v>14</v>
      </c>
      <c r="I3952" s="15">
        <f t="shared" si="3"/>
        <v>16</v>
      </c>
    </row>
    <row r="3953">
      <c r="A3953" s="8" t="str">
        <f>IFERROR(__xludf.DUMMYFUNCTION("IF('(INGESTA)Datos_consumo_datadis'!A3953&lt;&gt;"""",SPLIT('(INGESTA)Datos_consumo_datadis'!A:A,"",""),"""")"),"ES0031408323131005HX0F")</f>
        <v>ES0031408323131005HX0F</v>
      </c>
      <c r="B3953" s="12">
        <f>IFERROR(__xludf.DUMMYFUNCTION("""COMPUTED_VALUE"""),45030.0)</f>
        <v>45030</v>
      </c>
      <c r="C3953" s="13">
        <f>IFERROR(__xludf.DUMMYFUNCTION("""COMPUTED_VALUE"""),0.7083333333333334)</f>
        <v>0.7083333333</v>
      </c>
      <c r="D3953" s="8">
        <f>IFERROR(__xludf.DUMMYFUNCTION("""COMPUTED_VALUE"""),0.048)</f>
        <v>0.048</v>
      </c>
      <c r="E3953" s="8" t="str">
        <f>IFERROR(__xludf.DUMMYFUNCTION("""COMPUTED_VALUE"""),"Real")</f>
        <v>Real</v>
      </c>
      <c r="G3953" s="8">
        <f t="shared" si="1"/>
        <v>4</v>
      </c>
      <c r="H3953" s="14">
        <f t="shared" si="2"/>
        <v>14</v>
      </c>
      <c r="I3953" s="15">
        <f t="shared" si="3"/>
        <v>17</v>
      </c>
    </row>
    <row r="3954">
      <c r="A3954" s="8" t="str">
        <f>IFERROR(__xludf.DUMMYFUNCTION("IF('(INGESTA)Datos_consumo_datadis'!A3954&lt;&gt;"""",SPLIT('(INGESTA)Datos_consumo_datadis'!A:A,"",""),"""")"),"ES0031408323131005HX0F")</f>
        <v>ES0031408323131005HX0F</v>
      </c>
      <c r="B3954" s="12">
        <f>IFERROR(__xludf.DUMMYFUNCTION("""COMPUTED_VALUE"""),45030.0)</f>
        <v>45030</v>
      </c>
      <c r="C3954" s="13">
        <f>IFERROR(__xludf.DUMMYFUNCTION("""COMPUTED_VALUE"""),0.75)</f>
        <v>0.75</v>
      </c>
      <c r="D3954" s="8">
        <f>IFERROR(__xludf.DUMMYFUNCTION("""COMPUTED_VALUE"""),0.027)</f>
        <v>0.027</v>
      </c>
      <c r="E3954" s="8" t="str">
        <f>IFERROR(__xludf.DUMMYFUNCTION("""COMPUTED_VALUE"""),"Real")</f>
        <v>Real</v>
      </c>
      <c r="G3954" s="8">
        <f t="shared" si="1"/>
        <v>4</v>
      </c>
      <c r="H3954" s="14">
        <f t="shared" si="2"/>
        <v>14</v>
      </c>
      <c r="I3954" s="15">
        <f t="shared" si="3"/>
        <v>18</v>
      </c>
    </row>
    <row r="3955">
      <c r="A3955" s="8" t="str">
        <f>IFERROR(__xludf.DUMMYFUNCTION("IF('(INGESTA)Datos_consumo_datadis'!A3955&lt;&gt;"""",SPLIT('(INGESTA)Datos_consumo_datadis'!A:A,"",""),"""")"),"ES0031408323131005HX0F")</f>
        <v>ES0031408323131005HX0F</v>
      </c>
      <c r="B3955" s="12">
        <f>IFERROR(__xludf.DUMMYFUNCTION("""COMPUTED_VALUE"""),45030.0)</f>
        <v>45030</v>
      </c>
      <c r="C3955" s="13">
        <f>IFERROR(__xludf.DUMMYFUNCTION("""COMPUTED_VALUE"""),0.7916666666666666)</f>
        <v>0.7916666667</v>
      </c>
      <c r="D3955" s="8">
        <f>IFERROR(__xludf.DUMMYFUNCTION("""COMPUTED_VALUE"""),0.118)</f>
        <v>0.118</v>
      </c>
      <c r="E3955" s="8" t="str">
        <f>IFERROR(__xludf.DUMMYFUNCTION("""COMPUTED_VALUE"""),"Real")</f>
        <v>Real</v>
      </c>
      <c r="G3955" s="8">
        <f t="shared" si="1"/>
        <v>4</v>
      </c>
      <c r="H3955" s="14">
        <f t="shared" si="2"/>
        <v>14</v>
      </c>
      <c r="I3955" s="15">
        <f t="shared" si="3"/>
        <v>19</v>
      </c>
    </row>
    <row r="3956">
      <c r="A3956" s="8" t="str">
        <f>IFERROR(__xludf.DUMMYFUNCTION("IF('(INGESTA)Datos_consumo_datadis'!A3956&lt;&gt;"""",SPLIT('(INGESTA)Datos_consumo_datadis'!A:A,"",""),"""")"),"ES0031408323131005HX0F")</f>
        <v>ES0031408323131005HX0F</v>
      </c>
      <c r="B3956" s="12">
        <f>IFERROR(__xludf.DUMMYFUNCTION("""COMPUTED_VALUE"""),45030.0)</f>
        <v>45030</v>
      </c>
      <c r="C3956" s="13">
        <f>IFERROR(__xludf.DUMMYFUNCTION("""COMPUTED_VALUE"""),0.8333333333333334)</f>
        <v>0.8333333333</v>
      </c>
      <c r="D3956" s="8">
        <f>IFERROR(__xludf.DUMMYFUNCTION("""COMPUTED_VALUE"""),0.076)</f>
        <v>0.076</v>
      </c>
      <c r="E3956" s="8" t="str">
        <f>IFERROR(__xludf.DUMMYFUNCTION("""COMPUTED_VALUE"""),"Real")</f>
        <v>Real</v>
      </c>
      <c r="G3956" s="8">
        <f t="shared" si="1"/>
        <v>4</v>
      </c>
      <c r="H3956" s="14">
        <f t="shared" si="2"/>
        <v>14</v>
      </c>
      <c r="I3956" s="15">
        <f t="shared" si="3"/>
        <v>20</v>
      </c>
    </row>
    <row r="3957">
      <c r="A3957" s="8" t="str">
        <f>IFERROR(__xludf.DUMMYFUNCTION("IF('(INGESTA)Datos_consumo_datadis'!A3957&lt;&gt;"""",SPLIT('(INGESTA)Datos_consumo_datadis'!A:A,"",""),"""")"),"ES0031408323131005HX0F")</f>
        <v>ES0031408323131005HX0F</v>
      </c>
      <c r="B3957" s="12">
        <f>IFERROR(__xludf.DUMMYFUNCTION("""COMPUTED_VALUE"""),45030.0)</f>
        <v>45030</v>
      </c>
      <c r="C3957" s="13">
        <f>IFERROR(__xludf.DUMMYFUNCTION("""COMPUTED_VALUE"""),0.875)</f>
        <v>0.875</v>
      </c>
      <c r="D3957" s="8">
        <f>IFERROR(__xludf.DUMMYFUNCTION("""COMPUTED_VALUE"""),0.291)</f>
        <v>0.291</v>
      </c>
      <c r="E3957" s="8" t="str">
        <f>IFERROR(__xludf.DUMMYFUNCTION("""COMPUTED_VALUE"""),"Real")</f>
        <v>Real</v>
      </c>
      <c r="G3957" s="8">
        <f t="shared" si="1"/>
        <v>4</v>
      </c>
      <c r="H3957" s="14">
        <f t="shared" si="2"/>
        <v>14</v>
      </c>
      <c r="I3957" s="15">
        <f t="shared" si="3"/>
        <v>21</v>
      </c>
    </row>
    <row r="3958">
      <c r="A3958" s="8" t="str">
        <f>IFERROR(__xludf.DUMMYFUNCTION("IF('(INGESTA)Datos_consumo_datadis'!A3958&lt;&gt;"""",SPLIT('(INGESTA)Datos_consumo_datadis'!A:A,"",""),"""")"),"ES0031408323131005HX0F")</f>
        <v>ES0031408323131005HX0F</v>
      </c>
      <c r="B3958" s="12">
        <f>IFERROR(__xludf.DUMMYFUNCTION("""COMPUTED_VALUE"""),45030.0)</f>
        <v>45030</v>
      </c>
      <c r="C3958" s="13">
        <f>IFERROR(__xludf.DUMMYFUNCTION("""COMPUTED_VALUE"""),0.9166666666666666)</f>
        <v>0.9166666667</v>
      </c>
      <c r="D3958" s="8">
        <f>IFERROR(__xludf.DUMMYFUNCTION("""COMPUTED_VALUE"""),0.05)</f>
        <v>0.05</v>
      </c>
      <c r="E3958" s="8" t="str">
        <f>IFERROR(__xludf.DUMMYFUNCTION("""COMPUTED_VALUE"""),"Real")</f>
        <v>Real</v>
      </c>
      <c r="G3958" s="8">
        <f t="shared" si="1"/>
        <v>4</v>
      </c>
      <c r="H3958" s="14">
        <f t="shared" si="2"/>
        <v>14</v>
      </c>
      <c r="I3958" s="15">
        <f t="shared" si="3"/>
        <v>22</v>
      </c>
    </row>
    <row r="3959">
      <c r="A3959" s="8" t="str">
        <f>IFERROR(__xludf.DUMMYFUNCTION("IF('(INGESTA)Datos_consumo_datadis'!A3959&lt;&gt;"""",SPLIT('(INGESTA)Datos_consumo_datadis'!A:A,"",""),"""")"),"ES0031408323131005HX0F")</f>
        <v>ES0031408323131005HX0F</v>
      </c>
      <c r="B3959" s="12">
        <f>IFERROR(__xludf.DUMMYFUNCTION("""COMPUTED_VALUE"""),45030.0)</f>
        <v>45030</v>
      </c>
      <c r="C3959" s="13">
        <f>IFERROR(__xludf.DUMMYFUNCTION("""COMPUTED_VALUE"""),0.9583333333333334)</f>
        <v>0.9583333333</v>
      </c>
      <c r="D3959" s="8">
        <f>IFERROR(__xludf.DUMMYFUNCTION("""COMPUTED_VALUE"""),0.076)</f>
        <v>0.076</v>
      </c>
      <c r="E3959" s="8" t="str">
        <f>IFERROR(__xludf.DUMMYFUNCTION("""COMPUTED_VALUE"""),"Real")</f>
        <v>Real</v>
      </c>
      <c r="G3959" s="8">
        <f t="shared" si="1"/>
        <v>4</v>
      </c>
      <c r="H3959" s="14">
        <f t="shared" si="2"/>
        <v>14</v>
      </c>
      <c r="I3959" s="15">
        <f t="shared" si="3"/>
        <v>23</v>
      </c>
    </row>
    <row r="3960">
      <c r="A3960" s="8" t="str">
        <f>IFERROR(__xludf.DUMMYFUNCTION("IF('(INGESTA)Datos_consumo_datadis'!A3960&lt;&gt;"""",SPLIT('(INGESTA)Datos_consumo_datadis'!A:A,"",""),"""")"),"ES0031408323131005HX0F")</f>
        <v>ES0031408323131005HX0F</v>
      </c>
      <c r="B3960" s="12">
        <f>IFERROR(__xludf.DUMMYFUNCTION("""COMPUTED_VALUE"""),45030.0)</f>
        <v>45030</v>
      </c>
      <c r="C3960" s="16">
        <f>IFERROR(__xludf.DUMMYFUNCTION("""COMPUTED_VALUE"""),1.0)</f>
        <v>1</v>
      </c>
      <c r="D3960" s="8">
        <f>IFERROR(__xludf.DUMMYFUNCTION("""COMPUTED_VALUE"""),1.198)</f>
        <v>1.198</v>
      </c>
      <c r="E3960" s="8" t="str">
        <f>IFERROR(__xludf.DUMMYFUNCTION("""COMPUTED_VALUE"""),"Real")</f>
        <v>Real</v>
      </c>
      <c r="G3960" s="8">
        <f t="shared" si="1"/>
        <v>4</v>
      </c>
      <c r="H3960" s="14">
        <f t="shared" si="2"/>
        <v>14</v>
      </c>
      <c r="I3960" s="15">
        <f t="shared" si="3"/>
        <v>0</v>
      </c>
    </row>
    <row r="3961">
      <c r="A3961" s="8" t="str">
        <f>IFERROR(__xludf.DUMMYFUNCTION("IF('(INGESTA)Datos_consumo_datadis'!A3961&lt;&gt;"""",SPLIT('(INGESTA)Datos_consumo_datadis'!A:A,"",""),"""")"),"ES0031408323131005HX0F")</f>
        <v>ES0031408323131005HX0F</v>
      </c>
      <c r="B3961" s="12">
        <f>IFERROR(__xludf.DUMMYFUNCTION("""COMPUTED_VALUE"""),45031.0)</f>
        <v>45031</v>
      </c>
      <c r="C3961" s="13">
        <f>IFERROR(__xludf.DUMMYFUNCTION("""COMPUTED_VALUE"""),0.041666666666666664)</f>
        <v>0.04166666667</v>
      </c>
      <c r="D3961" s="8">
        <f>IFERROR(__xludf.DUMMYFUNCTION("""COMPUTED_VALUE"""),1.286)</f>
        <v>1.286</v>
      </c>
      <c r="E3961" s="8" t="str">
        <f>IFERROR(__xludf.DUMMYFUNCTION("""COMPUTED_VALUE"""),"Real")</f>
        <v>Real</v>
      </c>
      <c r="G3961" s="8">
        <f t="shared" si="1"/>
        <v>4</v>
      </c>
      <c r="H3961" s="14">
        <f t="shared" si="2"/>
        <v>15</v>
      </c>
      <c r="I3961" s="15">
        <f t="shared" si="3"/>
        <v>1</v>
      </c>
    </row>
    <row r="3962">
      <c r="A3962" s="8" t="str">
        <f>IFERROR(__xludf.DUMMYFUNCTION("IF('(INGESTA)Datos_consumo_datadis'!A3962&lt;&gt;"""",SPLIT('(INGESTA)Datos_consumo_datadis'!A:A,"",""),"""")"),"ES0031408323131005HX0F")</f>
        <v>ES0031408323131005HX0F</v>
      </c>
      <c r="B3962" s="12">
        <f>IFERROR(__xludf.DUMMYFUNCTION("""COMPUTED_VALUE"""),45031.0)</f>
        <v>45031</v>
      </c>
      <c r="C3962" s="13">
        <f>IFERROR(__xludf.DUMMYFUNCTION("""COMPUTED_VALUE"""),0.08333333333333333)</f>
        <v>0.08333333333</v>
      </c>
      <c r="D3962" s="8">
        <f>IFERROR(__xludf.DUMMYFUNCTION("""COMPUTED_VALUE"""),0.303)</f>
        <v>0.303</v>
      </c>
      <c r="E3962" s="8" t="str">
        <f>IFERROR(__xludf.DUMMYFUNCTION("""COMPUTED_VALUE"""),"Real")</f>
        <v>Real</v>
      </c>
      <c r="G3962" s="8">
        <f t="shared" si="1"/>
        <v>4</v>
      </c>
      <c r="H3962" s="14">
        <f t="shared" si="2"/>
        <v>15</v>
      </c>
      <c r="I3962" s="15">
        <f t="shared" si="3"/>
        <v>2</v>
      </c>
    </row>
    <row r="3963">
      <c r="A3963" s="8" t="str">
        <f>IFERROR(__xludf.DUMMYFUNCTION("IF('(INGESTA)Datos_consumo_datadis'!A3963&lt;&gt;"""",SPLIT('(INGESTA)Datos_consumo_datadis'!A:A,"",""),"""")"),"ES0031408323131005HX0F")</f>
        <v>ES0031408323131005HX0F</v>
      </c>
      <c r="B3963" s="12">
        <f>IFERROR(__xludf.DUMMYFUNCTION("""COMPUTED_VALUE"""),45031.0)</f>
        <v>45031</v>
      </c>
      <c r="C3963" s="13">
        <f>IFERROR(__xludf.DUMMYFUNCTION("""COMPUTED_VALUE"""),0.125)</f>
        <v>0.125</v>
      </c>
      <c r="D3963" s="8">
        <f>IFERROR(__xludf.DUMMYFUNCTION("""COMPUTED_VALUE"""),0.021)</f>
        <v>0.021</v>
      </c>
      <c r="E3963" s="8" t="str">
        <f>IFERROR(__xludf.DUMMYFUNCTION("""COMPUTED_VALUE"""),"Real")</f>
        <v>Real</v>
      </c>
      <c r="G3963" s="8">
        <f t="shared" si="1"/>
        <v>4</v>
      </c>
      <c r="H3963" s="14">
        <f t="shared" si="2"/>
        <v>15</v>
      </c>
      <c r="I3963" s="15">
        <f t="shared" si="3"/>
        <v>3</v>
      </c>
    </row>
    <row r="3964">
      <c r="A3964" s="8" t="str">
        <f>IFERROR(__xludf.DUMMYFUNCTION("IF('(INGESTA)Datos_consumo_datadis'!A3964&lt;&gt;"""",SPLIT('(INGESTA)Datos_consumo_datadis'!A:A,"",""),"""")"),"ES0031408323131005HX0F")</f>
        <v>ES0031408323131005HX0F</v>
      </c>
      <c r="B3964" s="12">
        <f>IFERROR(__xludf.DUMMYFUNCTION("""COMPUTED_VALUE"""),45031.0)</f>
        <v>45031</v>
      </c>
      <c r="C3964" s="13">
        <f>IFERROR(__xludf.DUMMYFUNCTION("""COMPUTED_VALUE"""),0.16666666666666666)</f>
        <v>0.1666666667</v>
      </c>
      <c r="D3964" s="8">
        <f>IFERROR(__xludf.DUMMYFUNCTION("""COMPUTED_VALUE"""),0.069)</f>
        <v>0.069</v>
      </c>
      <c r="E3964" s="8" t="str">
        <f>IFERROR(__xludf.DUMMYFUNCTION("""COMPUTED_VALUE"""),"Real")</f>
        <v>Real</v>
      </c>
      <c r="G3964" s="8">
        <f t="shared" si="1"/>
        <v>4</v>
      </c>
      <c r="H3964" s="14">
        <f t="shared" si="2"/>
        <v>15</v>
      </c>
      <c r="I3964" s="15">
        <f t="shared" si="3"/>
        <v>4</v>
      </c>
    </row>
    <row r="3965">
      <c r="A3965" s="8" t="str">
        <f>IFERROR(__xludf.DUMMYFUNCTION("IF('(INGESTA)Datos_consumo_datadis'!A3965&lt;&gt;"""",SPLIT('(INGESTA)Datos_consumo_datadis'!A:A,"",""),"""")"),"ES0031408323131005HX0F")</f>
        <v>ES0031408323131005HX0F</v>
      </c>
      <c r="B3965" s="12">
        <f>IFERROR(__xludf.DUMMYFUNCTION("""COMPUTED_VALUE"""),45031.0)</f>
        <v>45031</v>
      </c>
      <c r="C3965" s="13">
        <f>IFERROR(__xludf.DUMMYFUNCTION("""COMPUTED_VALUE"""),0.20833333333333334)</f>
        <v>0.2083333333</v>
      </c>
      <c r="D3965" s="8">
        <f>IFERROR(__xludf.DUMMYFUNCTION("""COMPUTED_VALUE"""),0.069)</f>
        <v>0.069</v>
      </c>
      <c r="E3965" s="8" t="str">
        <f>IFERROR(__xludf.DUMMYFUNCTION("""COMPUTED_VALUE"""),"Real")</f>
        <v>Real</v>
      </c>
      <c r="G3965" s="8">
        <f t="shared" si="1"/>
        <v>4</v>
      </c>
      <c r="H3965" s="14">
        <f t="shared" si="2"/>
        <v>15</v>
      </c>
      <c r="I3965" s="15">
        <f t="shared" si="3"/>
        <v>5</v>
      </c>
    </row>
    <row r="3966">
      <c r="A3966" s="8" t="str">
        <f>IFERROR(__xludf.DUMMYFUNCTION("IF('(INGESTA)Datos_consumo_datadis'!A3966&lt;&gt;"""",SPLIT('(INGESTA)Datos_consumo_datadis'!A:A,"",""),"""")"),"ES0031408323131005HX0F")</f>
        <v>ES0031408323131005HX0F</v>
      </c>
      <c r="B3966" s="12">
        <f>IFERROR(__xludf.DUMMYFUNCTION("""COMPUTED_VALUE"""),45031.0)</f>
        <v>45031</v>
      </c>
      <c r="C3966" s="13">
        <f>IFERROR(__xludf.DUMMYFUNCTION("""COMPUTED_VALUE"""),0.25)</f>
        <v>0.25</v>
      </c>
      <c r="D3966" s="8">
        <f>IFERROR(__xludf.DUMMYFUNCTION("""COMPUTED_VALUE"""),0.029)</f>
        <v>0.029</v>
      </c>
      <c r="E3966" s="8" t="str">
        <f>IFERROR(__xludf.DUMMYFUNCTION("""COMPUTED_VALUE"""),"Real")</f>
        <v>Real</v>
      </c>
      <c r="G3966" s="8">
        <f t="shared" si="1"/>
        <v>4</v>
      </c>
      <c r="H3966" s="14">
        <f t="shared" si="2"/>
        <v>15</v>
      </c>
      <c r="I3966" s="15">
        <f t="shared" si="3"/>
        <v>6</v>
      </c>
    </row>
    <row r="3967">
      <c r="A3967" s="8" t="str">
        <f>IFERROR(__xludf.DUMMYFUNCTION("IF('(INGESTA)Datos_consumo_datadis'!A3967&lt;&gt;"""",SPLIT('(INGESTA)Datos_consumo_datadis'!A:A,"",""),"""")"),"ES0031408323131005HX0F")</f>
        <v>ES0031408323131005HX0F</v>
      </c>
      <c r="B3967" s="12">
        <f>IFERROR(__xludf.DUMMYFUNCTION("""COMPUTED_VALUE"""),45031.0)</f>
        <v>45031</v>
      </c>
      <c r="C3967" s="13">
        <f>IFERROR(__xludf.DUMMYFUNCTION("""COMPUTED_VALUE"""),0.2916666666666667)</f>
        <v>0.2916666667</v>
      </c>
      <c r="D3967" s="8">
        <f>IFERROR(__xludf.DUMMYFUNCTION("""COMPUTED_VALUE"""),0.328)</f>
        <v>0.328</v>
      </c>
      <c r="E3967" s="8" t="str">
        <f>IFERROR(__xludf.DUMMYFUNCTION("""COMPUTED_VALUE"""),"Real")</f>
        <v>Real</v>
      </c>
      <c r="G3967" s="8">
        <f t="shared" si="1"/>
        <v>4</v>
      </c>
      <c r="H3967" s="14">
        <f t="shared" si="2"/>
        <v>15</v>
      </c>
      <c r="I3967" s="15">
        <f t="shared" si="3"/>
        <v>7</v>
      </c>
    </row>
    <row r="3968">
      <c r="A3968" s="8" t="str">
        <f>IFERROR(__xludf.DUMMYFUNCTION("IF('(INGESTA)Datos_consumo_datadis'!A3968&lt;&gt;"""",SPLIT('(INGESTA)Datos_consumo_datadis'!A:A,"",""),"""")"),"ES0031408323131005HX0F")</f>
        <v>ES0031408323131005HX0F</v>
      </c>
      <c r="B3968" s="12">
        <f>IFERROR(__xludf.DUMMYFUNCTION("""COMPUTED_VALUE"""),45031.0)</f>
        <v>45031</v>
      </c>
      <c r="C3968" s="13">
        <f>IFERROR(__xludf.DUMMYFUNCTION("""COMPUTED_VALUE"""),0.3333333333333333)</f>
        <v>0.3333333333</v>
      </c>
      <c r="D3968" s="8">
        <f>IFERROR(__xludf.DUMMYFUNCTION("""COMPUTED_VALUE"""),0.069)</f>
        <v>0.069</v>
      </c>
      <c r="E3968" s="8" t="str">
        <f>IFERROR(__xludf.DUMMYFUNCTION("""COMPUTED_VALUE"""),"Real")</f>
        <v>Real</v>
      </c>
      <c r="G3968" s="8">
        <f t="shared" si="1"/>
        <v>4</v>
      </c>
      <c r="H3968" s="14">
        <f t="shared" si="2"/>
        <v>15</v>
      </c>
      <c r="I3968" s="15">
        <f t="shared" si="3"/>
        <v>8</v>
      </c>
    </row>
    <row r="3969">
      <c r="A3969" s="8" t="str">
        <f>IFERROR(__xludf.DUMMYFUNCTION("IF('(INGESTA)Datos_consumo_datadis'!A3969&lt;&gt;"""",SPLIT('(INGESTA)Datos_consumo_datadis'!A:A,"",""),"""")"),"ES0031408323131005HX0F")</f>
        <v>ES0031408323131005HX0F</v>
      </c>
      <c r="B3969" s="12">
        <f>IFERROR(__xludf.DUMMYFUNCTION("""COMPUTED_VALUE"""),45031.0)</f>
        <v>45031</v>
      </c>
      <c r="C3969" s="13">
        <f>IFERROR(__xludf.DUMMYFUNCTION("""COMPUTED_VALUE"""),0.375)</f>
        <v>0.375</v>
      </c>
      <c r="D3969" s="8">
        <f>IFERROR(__xludf.DUMMYFUNCTION("""COMPUTED_VALUE"""),0.079)</f>
        <v>0.079</v>
      </c>
      <c r="E3969" s="8" t="str">
        <f>IFERROR(__xludf.DUMMYFUNCTION("""COMPUTED_VALUE"""),"Real")</f>
        <v>Real</v>
      </c>
      <c r="G3969" s="8">
        <f t="shared" si="1"/>
        <v>4</v>
      </c>
      <c r="H3969" s="14">
        <f t="shared" si="2"/>
        <v>15</v>
      </c>
      <c r="I3969" s="15">
        <f t="shared" si="3"/>
        <v>9</v>
      </c>
    </row>
    <row r="3970">
      <c r="A3970" s="8" t="str">
        <f>IFERROR(__xludf.DUMMYFUNCTION("IF('(INGESTA)Datos_consumo_datadis'!A3970&lt;&gt;"""",SPLIT('(INGESTA)Datos_consumo_datadis'!A:A,"",""),"""")"),"ES0031408323131005HX0F")</f>
        <v>ES0031408323131005HX0F</v>
      </c>
      <c r="B3970" s="12">
        <f>IFERROR(__xludf.DUMMYFUNCTION("""COMPUTED_VALUE"""),45031.0)</f>
        <v>45031</v>
      </c>
      <c r="C3970" s="13">
        <f>IFERROR(__xludf.DUMMYFUNCTION("""COMPUTED_VALUE"""),0.4166666666666667)</f>
        <v>0.4166666667</v>
      </c>
      <c r="D3970" s="8">
        <f>IFERROR(__xludf.DUMMYFUNCTION("""COMPUTED_VALUE"""),0.058)</f>
        <v>0.058</v>
      </c>
      <c r="E3970" s="8" t="str">
        <f>IFERROR(__xludf.DUMMYFUNCTION("""COMPUTED_VALUE"""),"Real")</f>
        <v>Real</v>
      </c>
      <c r="G3970" s="8">
        <f t="shared" si="1"/>
        <v>4</v>
      </c>
      <c r="H3970" s="14">
        <f t="shared" si="2"/>
        <v>15</v>
      </c>
      <c r="I3970" s="15">
        <f t="shared" si="3"/>
        <v>10</v>
      </c>
    </row>
    <row r="3971">
      <c r="A3971" s="8" t="str">
        <f>IFERROR(__xludf.DUMMYFUNCTION("IF('(INGESTA)Datos_consumo_datadis'!A3971&lt;&gt;"""",SPLIT('(INGESTA)Datos_consumo_datadis'!A:A,"",""),"""")"),"ES0031408323131005HX0F")</f>
        <v>ES0031408323131005HX0F</v>
      </c>
      <c r="B3971" s="12">
        <f>IFERROR(__xludf.DUMMYFUNCTION("""COMPUTED_VALUE"""),45031.0)</f>
        <v>45031</v>
      </c>
      <c r="C3971" s="13">
        <f>IFERROR(__xludf.DUMMYFUNCTION("""COMPUTED_VALUE"""),0.4583333333333333)</f>
        <v>0.4583333333</v>
      </c>
      <c r="D3971" s="8">
        <f>IFERROR(__xludf.DUMMYFUNCTION("""COMPUTED_VALUE"""),0.063)</f>
        <v>0.063</v>
      </c>
      <c r="E3971" s="8" t="str">
        <f>IFERROR(__xludf.DUMMYFUNCTION("""COMPUTED_VALUE"""),"Real")</f>
        <v>Real</v>
      </c>
      <c r="G3971" s="8">
        <f t="shared" si="1"/>
        <v>4</v>
      </c>
      <c r="H3971" s="14">
        <f t="shared" si="2"/>
        <v>15</v>
      </c>
      <c r="I3971" s="15">
        <f t="shared" si="3"/>
        <v>11</v>
      </c>
    </row>
    <row r="3972">
      <c r="A3972" s="8" t="str">
        <f>IFERROR(__xludf.DUMMYFUNCTION("IF('(INGESTA)Datos_consumo_datadis'!A3972&lt;&gt;"""",SPLIT('(INGESTA)Datos_consumo_datadis'!A:A,"",""),"""")"),"ES0031408323131005HX0F")</f>
        <v>ES0031408323131005HX0F</v>
      </c>
      <c r="B3972" s="12">
        <f>IFERROR(__xludf.DUMMYFUNCTION("""COMPUTED_VALUE"""),45031.0)</f>
        <v>45031</v>
      </c>
      <c r="C3972" s="13">
        <f>IFERROR(__xludf.DUMMYFUNCTION("""COMPUTED_VALUE"""),0.5)</f>
        <v>0.5</v>
      </c>
      <c r="D3972" s="8">
        <f>IFERROR(__xludf.DUMMYFUNCTION("""COMPUTED_VALUE"""),0.316)</f>
        <v>0.316</v>
      </c>
      <c r="E3972" s="8" t="str">
        <f>IFERROR(__xludf.DUMMYFUNCTION("""COMPUTED_VALUE"""),"Real")</f>
        <v>Real</v>
      </c>
      <c r="G3972" s="8">
        <f t="shared" si="1"/>
        <v>4</v>
      </c>
      <c r="H3972" s="14">
        <f t="shared" si="2"/>
        <v>15</v>
      </c>
      <c r="I3972" s="15">
        <f t="shared" si="3"/>
        <v>12</v>
      </c>
    </row>
    <row r="3973">
      <c r="A3973" s="8" t="str">
        <f>IFERROR(__xludf.DUMMYFUNCTION("IF('(INGESTA)Datos_consumo_datadis'!A3973&lt;&gt;"""",SPLIT('(INGESTA)Datos_consumo_datadis'!A:A,"",""),"""")"),"ES0031408323131005HX0F")</f>
        <v>ES0031408323131005HX0F</v>
      </c>
      <c r="B3973" s="12">
        <f>IFERROR(__xludf.DUMMYFUNCTION("""COMPUTED_VALUE"""),45031.0)</f>
        <v>45031</v>
      </c>
      <c r="C3973" s="13">
        <f>IFERROR(__xludf.DUMMYFUNCTION("""COMPUTED_VALUE"""),0.5416666666666666)</f>
        <v>0.5416666667</v>
      </c>
      <c r="D3973" s="8">
        <f>IFERROR(__xludf.DUMMYFUNCTION("""COMPUTED_VALUE"""),0.041)</f>
        <v>0.041</v>
      </c>
      <c r="E3973" s="8" t="str">
        <f>IFERROR(__xludf.DUMMYFUNCTION("""COMPUTED_VALUE"""),"Real")</f>
        <v>Real</v>
      </c>
      <c r="G3973" s="8">
        <f t="shared" si="1"/>
        <v>4</v>
      </c>
      <c r="H3973" s="14">
        <f t="shared" si="2"/>
        <v>15</v>
      </c>
      <c r="I3973" s="15">
        <f t="shared" si="3"/>
        <v>13</v>
      </c>
    </row>
    <row r="3974">
      <c r="A3974" s="8" t="str">
        <f>IFERROR(__xludf.DUMMYFUNCTION("IF('(INGESTA)Datos_consumo_datadis'!A3974&lt;&gt;"""",SPLIT('(INGESTA)Datos_consumo_datadis'!A:A,"",""),"""")"),"ES0031408323131005HX0F")</f>
        <v>ES0031408323131005HX0F</v>
      </c>
      <c r="B3974" s="12">
        <f>IFERROR(__xludf.DUMMYFUNCTION("""COMPUTED_VALUE"""),45031.0)</f>
        <v>45031</v>
      </c>
      <c r="C3974" s="13">
        <f>IFERROR(__xludf.DUMMYFUNCTION("""COMPUTED_VALUE"""),0.5833333333333334)</f>
        <v>0.5833333333</v>
      </c>
      <c r="D3974" s="8">
        <f>IFERROR(__xludf.DUMMYFUNCTION("""COMPUTED_VALUE"""),0.071)</f>
        <v>0.071</v>
      </c>
      <c r="E3974" s="8" t="str">
        <f>IFERROR(__xludf.DUMMYFUNCTION("""COMPUTED_VALUE"""),"Real")</f>
        <v>Real</v>
      </c>
      <c r="G3974" s="8">
        <f t="shared" si="1"/>
        <v>4</v>
      </c>
      <c r="H3974" s="14">
        <f t="shared" si="2"/>
        <v>15</v>
      </c>
      <c r="I3974" s="15">
        <f t="shared" si="3"/>
        <v>14</v>
      </c>
    </row>
    <row r="3975">
      <c r="A3975" s="8" t="str">
        <f>IFERROR(__xludf.DUMMYFUNCTION("IF('(INGESTA)Datos_consumo_datadis'!A3975&lt;&gt;"""",SPLIT('(INGESTA)Datos_consumo_datadis'!A:A,"",""),"""")"),"ES0031408323131005HX0F")</f>
        <v>ES0031408323131005HX0F</v>
      </c>
      <c r="B3975" s="12">
        <f>IFERROR(__xludf.DUMMYFUNCTION("""COMPUTED_VALUE"""),45031.0)</f>
        <v>45031</v>
      </c>
      <c r="C3975" s="13">
        <f>IFERROR(__xludf.DUMMYFUNCTION("""COMPUTED_VALUE"""),0.625)</f>
        <v>0.625</v>
      </c>
      <c r="D3975" s="8">
        <f>IFERROR(__xludf.DUMMYFUNCTION("""COMPUTED_VALUE"""),0.192)</f>
        <v>0.192</v>
      </c>
      <c r="E3975" s="8" t="str">
        <f>IFERROR(__xludf.DUMMYFUNCTION("""COMPUTED_VALUE"""),"Real")</f>
        <v>Real</v>
      </c>
      <c r="G3975" s="8">
        <f t="shared" si="1"/>
        <v>4</v>
      </c>
      <c r="H3975" s="14">
        <f t="shared" si="2"/>
        <v>15</v>
      </c>
      <c r="I3975" s="15">
        <f t="shared" si="3"/>
        <v>15</v>
      </c>
    </row>
    <row r="3976">
      <c r="A3976" s="8" t="str">
        <f>IFERROR(__xludf.DUMMYFUNCTION("IF('(INGESTA)Datos_consumo_datadis'!A3976&lt;&gt;"""",SPLIT('(INGESTA)Datos_consumo_datadis'!A:A,"",""),"""")"),"ES0031408323131005HX0F")</f>
        <v>ES0031408323131005HX0F</v>
      </c>
      <c r="B3976" s="12">
        <f>IFERROR(__xludf.DUMMYFUNCTION("""COMPUTED_VALUE"""),45031.0)</f>
        <v>45031</v>
      </c>
      <c r="C3976" s="13">
        <f>IFERROR(__xludf.DUMMYFUNCTION("""COMPUTED_VALUE"""),0.6666666666666666)</f>
        <v>0.6666666667</v>
      </c>
      <c r="D3976" s="8">
        <f>IFERROR(__xludf.DUMMYFUNCTION("""COMPUTED_VALUE"""),0.168)</f>
        <v>0.168</v>
      </c>
      <c r="E3976" s="8" t="str">
        <f>IFERROR(__xludf.DUMMYFUNCTION("""COMPUTED_VALUE"""),"Real")</f>
        <v>Real</v>
      </c>
      <c r="G3976" s="8">
        <f t="shared" si="1"/>
        <v>4</v>
      </c>
      <c r="H3976" s="14">
        <f t="shared" si="2"/>
        <v>15</v>
      </c>
      <c r="I3976" s="15">
        <f t="shared" si="3"/>
        <v>16</v>
      </c>
    </row>
    <row r="3977">
      <c r="A3977" s="8" t="str">
        <f>IFERROR(__xludf.DUMMYFUNCTION("IF('(INGESTA)Datos_consumo_datadis'!A3977&lt;&gt;"""",SPLIT('(INGESTA)Datos_consumo_datadis'!A:A,"",""),"""")"),"ES0031408323131005HX0F")</f>
        <v>ES0031408323131005HX0F</v>
      </c>
      <c r="B3977" s="12">
        <f>IFERROR(__xludf.DUMMYFUNCTION("""COMPUTED_VALUE"""),45031.0)</f>
        <v>45031</v>
      </c>
      <c r="C3977" s="13">
        <f>IFERROR(__xludf.DUMMYFUNCTION("""COMPUTED_VALUE"""),0.7083333333333334)</f>
        <v>0.7083333333</v>
      </c>
      <c r="D3977" s="8">
        <f>IFERROR(__xludf.DUMMYFUNCTION("""COMPUTED_VALUE"""),0.061)</f>
        <v>0.061</v>
      </c>
      <c r="E3977" s="8" t="str">
        <f>IFERROR(__xludf.DUMMYFUNCTION("""COMPUTED_VALUE"""),"Real")</f>
        <v>Real</v>
      </c>
      <c r="G3977" s="8">
        <f t="shared" si="1"/>
        <v>4</v>
      </c>
      <c r="H3977" s="14">
        <f t="shared" si="2"/>
        <v>15</v>
      </c>
      <c r="I3977" s="15">
        <f t="shared" si="3"/>
        <v>17</v>
      </c>
    </row>
    <row r="3978">
      <c r="A3978" s="8" t="str">
        <f>IFERROR(__xludf.DUMMYFUNCTION("IF('(INGESTA)Datos_consumo_datadis'!A3978&lt;&gt;"""",SPLIT('(INGESTA)Datos_consumo_datadis'!A:A,"",""),"""")"),"ES0031408323131005HX0F")</f>
        <v>ES0031408323131005HX0F</v>
      </c>
      <c r="B3978" s="12">
        <f>IFERROR(__xludf.DUMMYFUNCTION("""COMPUTED_VALUE"""),45031.0)</f>
        <v>45031</v>
      </c>
      <c r="C3978" s="13">
        <f>IFERROR(__xludf.DUMMYFUNCTION("""COMPUTED_VALUE"""),0.75)</f>
        <v>0.75</v>
      </c>
      <c r="D3978" s="8">
        <f>IFERROR(__xludf.DUMMYFUNCTION("""COMPUTED_VALUE"""),0.325)</f>
        <v>0.325</v>
      </c>
      <c r="E3978" s="8" t="str">
        <f>IFERROR(__xludf.DUMMYFUNCTION("""COMPUTED_VALUE"""),"Real")</f>
        <v>Real</v>
      </c>
      <c r="G3978" s="8">
        <f t="shared" si="1"/>
        <v>4</v>
      </c>
      <c r="H3978" s="14">
        <f t="shared" si="2"/>
        <v>15</v>
      </c>
      <c r="I3978" s="15">
        <f t="shared" si="3"/>
        <v>18</v>
      </c>
    </row>
    <row r="3979">
      <c r="A3979" s="8" t="str">
        <f>IFERROR(__xludf.DUMMYFUNCTION("IF('(INGESTA)Datos_consumo_datadis'!A3979&lt;&gt;"""",SPLIT('(INGESTA)Datos_consumo_datadis'!A:A,"",""),"""")"),"ES0031408323131005HX0F")</f>
        <v>ES0031408323131005HX0F</v>
      </c>
      <c r="B3979" s="12">
        <f>IFERROR(__xludf.DUMMYFUNCTION("""COMPUTED_VALUE"""),45031.0)</f>
        <v>45031</v>
      </c>
      <c r="C3979" s="13">
        <f>IFERROR(__xludf.DUMMYFUNCTION("""COMPUTED_VALUE"""),0.7916666666666666)</f>
        <v>0.7916666667</v>
      </c>
      <c r="D3979" s="8">
        <f>IFERROR(__xludf.DUMMYFUNCTION("""COMPUTED_VALUE"""),0.111)</f>
        <v>0.111</v>
      </c>
      <c r="E3979" s="8" t="str">
        <f>IFERROR(__xludf.DUMMYFUNCTION("""COMPUTED_VALUE"""),"Real")</f>
        <v>Real</v>
      </c>
      <c r="G3979" s="8">
        <f t="shared" si="1"/>
        <v>4</v>
      </c>
      <c r="H3979" s="14">
        <f t="shared" si="2"/>
        <v>15</v>
      </c>
      <c r="I3979" s="15">
        <f t="shared" si="3"/>
        <v>19</v>
      </c>
    </row>
    <row r="3980">
      <c r="A3980" s="8" t="str">
        <f>IFERROR(__xludf.DUMMYFUNCTION("IF('(INGESTA)Datos_consumo_datadis'!A3980&lt;&gt;"""",SPLIT('(INGESTA)Datos_consumo_datadis'!A:A,"",""),"""")"),"ES0031408323131005HX0F")</f>
        <v>ES0031408323131005HX0F</v>
      </c>
      <c r="B3980" s="12">
        <f>IFERROR(__xludf.DUMMYFUNCTION("""COMPUTED_VALUE"""),45031.0)</f>
        <v>45031</v>
      </c>
      <c r="C3980" s="13">
        <f>IFERROR(__xludf.DUMMYFUNCTION("""COMPUTED_VALUE"""),0.8333333333333334)</f>
        <v>0.8333333333</v>
      </c>
      <c r="D3980" s="8">
        <f>IFERROR(__xludf.DUMMYFUNCTION("""COMPUTED_VALUE"""),0.922)</f>
        <v>0.922</v>
      </c>
      <c r="E3980" s="8" t="str">
        <f>IFERROR(__xludf.DUMMYFUNCTION("""COMPUTED_VALUE"""),"Real")</f>
        <v>Real</v>
      </c>
      <c r="G3980" s="8">
        <f t="shared" si="1"/>
        <v>4</v>
      </c>
      <c r="H3980" s="14">
        <f t="shared" si="2"/>
        <v>15</v>
      </c>
      <c r="I3980" s="15">
        <f t="shared" si="3"/>
        <v>20</v>
      </c>
    </row>
    <row r="3981">
      <c r="A3981" s="8" t="str">
        <f>IFERROR(__xludf.DUMMYFUNCTION("IF('(INGESTA)Datos_consumo_datadis'!A3981&lt;&gt;"""",SPLIT('(INGESTA)Datos_consumo_datadis'!A:A,"",""),"""")"),"ES0031408323131005HX0F")</f>
        <v>ES0031408323131005HX0F</v>
      </c>
      <c r="B3981" s="12">
        <f>IFERROR(__xludf.DUMMYFUNCTION("""COMPUTED_VALUE"""),45031.0)</f>
        <v>45031</v>
      </c>
      <c r="C3981" s="13">
        <f>IFERROR(__xludf.DUMMYFUNCTION("""COMPUTED_VALUE"""),0.875)</f>
        <v>0.875</v>
      </c>
      <c r="D3981" s="8">
        <f>IFERROR(__xludf.DUMMYFUNCTION("""COMPUTED_VALUE"""),1.794)</f>
        <v>1.794</v>
      </c>
      <c r="E3981" s="8" t="str">
        <f>IFERROR(__xludf.DUMMYFUNCTION("""COMPUTED_VALUE"""),"Real")</f>
        <v>Real</v>
      </c>
      <c r="G3981" s="8">
        <f t="shared" si="1"/>
        <v>4</v>
      </c>
      <c r="H3981" s="14">
        <f t="shared" si="2"/>
        <v>15</v>
      </c>
      <c r="I3981" s="15">
        <f t="shared" si="3"/>
        <v>21</v>
      </c>
    </row>
    <row r="3982">
      <c r="A3982" s="8" t="str">
        <f>IFERROR(__xludf.DUMMYFUNCTION("IF('(INGESTA)Datos_consumo_datadis'!A3982&lt;&gt;"""",SPLIT('(INGESTA)Datos_consumo_datadis'!A:A,"",""),"""")"),"ES0031408323131005HX0F")</f>
        <v>ES0031408323131005HX0F</v>
      </c>
      <c r="B3982" s="12">
        <f>IFERROR(__xludf.DUMMYFUNCTION("""COMPUTED_VALUE"""),45031.0)</f>
        <v>45031</v>
      </c>
      <c r="C3982" s="13">
        <f>IFERROR(__xludf.DUMMYFUNCTION("""COMPUTED_VALUE"""),0.9166666666666666)</f>
        <v>0.9166666667</v>
      </c>
      <c r="D3982" s="8">
        <f>IFERROR(__xludf.DUMMYFUNCTION("""COMPUTED_VALUE"""),0.179)</f>
        <v>0.179</v>
      </c>
      <c r="E3982" s="8" t="str">
        <f>IFERROR(__xludf.DUMMYFUNCTION("""COMPUTED_VALUE"""),"Real")</f>
        <v>Real</v>
      </c>
      <c r="G3982" s="8">
        <f t="shared" si="1"/>
        <v>4</v>
      </c>
      <c r="H3982" s="14">
        <f t="shared" si="2"/>
        <v>15</v>
      </c>
      <c r="I3982" s="15">
        <f t="shared" si="3"/>
        <v>22</v>
      </c>
    </row>
    <row r="3983">
      <c r="A3983" s="8" t="str">
        <f>IFERROR(__xludf.DUMMYFUNCTION("IF('(INGESTA)Datos_consumo_datadis'!A3983&lt;&gt;"""",SPLIT('(INGESTA)Datos_consumo_datadis'!A:A,"",""),"""")"),"ES0031408323131005HX0F")</f>
        <v>ES0031408323131005HX0F</v>
      </c>
      <c r="B3983" s="12">
        <f>IFERROR(__xludf.DUMMYFUNCTION("""COMPUTED_VALUE"""),45031.0)</f>
        <v>45031</v>
      </c>
      <c r="C3983" s="13">
        <f>IFERROR(__xludf.DUMMYFUNCTION("""COMPUTED_VALUE"""),0.9583333333333334)</f>
        <v>0.9583333333</v>
      </c>
      <c r="D3983" s="8">
        <f>IFERROR(__xludf.DUMMYFUNCTION("""COMPUTED_VALUE"""),0.091)</f>
        <v>0.091</v>
      </c>
      <c r="E3983" s="8" t="str">
        <f>IFERROR(__xludf.DUMMYFUNCTION("""COMPUTED_VALUE"""),"Real")</f>
        <v>Real</v>
      </c>
      <c r="G3983" s="8">
        <f t="shared" si="1"/>
        <v>4</v>
      </c>
      <c r="H3983" s="14">
        <f t="shared" si="2"/>
        <v>15</v>
      </c>
      <c r="I3983" s="15">
        <f t="shared" si="3"/>
        <v>23</v>
      </c>
    </row>
    <row r="3984">
      <c r="A3984" s="8" t="str">
        <f>IFERROR(__xludf.DUMMYFUNCTION("IF('(INGESTA)Datos_consumo_datadis'!A3984&lt;&gt;"""",SPLIT('(INGESTA)Datos_consumo_datadis'!A:A,"",""),"""")"),"ES0031408323131005HX0F")</f>
        <v>ES0031408323131005HX0F</v>
      </c>
      <c r="B3984" s="12">
        <f>IFERROR(__xludf.DUMMYFUNCTION("""COMPUTED_VALUE"""),45031.0)</f>
        <v>45031</v>
      </c>
      <c r="C3984" s="16">
        <f>IFERROR(__xludf.DUMMYFUNCTION("""COMPUTED_VALUE"""),1.0)</f>
        <v>1</v>
      </c>
      <c r="D3984" s="8">
        <f>IFERROR(__xludf.DUMMYFUNCTION("""COMPUTED_VALUE"""),0.079)</f>
        <v>0.079</v>
      </c>
      <c r="E3984" s="8" t="str">
        <f>IFERROR(__xludf.DUMMYFUNCTION("""COMPUTED_VALUE"""),"Real")</f>
        <v>Real</v>
      </c>
      <c r="G3984" s="8">
        <f t="shared" si="1"/>
        <v>4</v>
      </c>
      <c r="H3984" s="14">
        <f t="shared" si="2"/>
        <v>15</v>
      </c>
      <c r="I3984" s="15">
        <f t="shared" si="3"/>
        <v>0</v>
      </c>
    </row>
    <row r="3985">
      <c r="A3985" s="8" t="str">
        <f>IFERROR(__xludf.DUMMYFUNCTION("IF('(INGESTA)Datos_consumo_datadis'!A3985&lt;&gt;"""",SPLIT('(INGESTA)Datos_consumo_datadis'!A:A,"",""),"""")"),"ES0031408323131005HX0F")</f>
        <v>ES0031408323131005HX0F</v>
      </c>
      <c r="B3985" s="12">
        <f>IFERROR(__xludf.DUMMYFUNCTION("""COMPUTED_VALUE"""),45032.0)</f>
        <v>45032</v>
      </c>
      <c r="C3985" s="13">
        <f>IFERROR(__xludf.DUMMYFUNCTION("""COMPUTED_VALUE"""),0.041666666666666664)</f>
        <v>0.04166666667</v>
      </c>
      <c r="D3985" s="8">
        <f>IFERROR(__xludf.DUMMYFUNCTION("""COMPUTED_VALUE"""),0.038)</f>
        <v>0.038</v>
      </c>
      <c r="E3985" s="8" t="str">
        <f>IFERROR(__xludf.DUMMYFUNCTION("""COMPUTED_VALUE"""),"Real")</f>
        <v>Real</v>
      </c>
      <c r="G3985" s="8">
        <f t="shared" si="1"/>
        <v>4</v>
      </c>
      <c r="H3985" s="14">
        <f t="shared" si="2"/>
        <v>16</v>
      </c>
      <c r="I3985" s="15">
        <f t="shared" si="3"/>
        <v>1</v>
      </c>
    </row>
    <row r="3986">
      <c r="A3986" s="8" t="str">
        <f>IFERROR(__xludf.DUMMYFUNCTION("IF('(INGESTA)Datos_consumo_datadis'!A3986&lt;&gt;"""",SPLIT('(INGESTA)Datos_consumo_datadis'!A:A,"",""),"""")"),"ES0031408323131005HX0F")</f>
        <v>ES0031408323131005HX0F</v>
      </c>
      <c r="B3986" s="12">
        <f>IFERROR(__xludf.DUMMYFUNCTION("""COMPUTED_VALUE"""),45032.0)</f>
        <v>45032</v>
      </c>
      <c r="C3986" s="13">
        <f>IFERROR(__xludf.DUMMYFUNCTION("""COMPUTED_VALUE"""),0.08333333333333333)</f>
        <v>0.08333333333</v>
      </c>
      <c r="D3986" s="8">
        <f>IFERROR(__xludf.DUMMYFUNCTION("""COMPUTED_VALUE"""),0.339)</f>
        <v>0.339</v>
      </c>
      <c r="E3986" s="8" t="str">
        <f>IFERROR(__xludf.DUMMYFUNCTION("""COMPUTED_VALUE"""),"Real")</f>
        <v>Real</v>
      </c>
      <c r="G3986" s="8">
        <f t="shared" si="1"/>
        <v>4</v>
      </c>
      <c r="H3986" s="14">
        <f t="shared" si="2"/>
        <v>16</v>
      </c>
      <c r="I3986" s="15">
        <f t="shared" si="3"/>
        <v>2</v>
      </c>
    </row>
    <row r="3987">
      <c r="A3987" s="8" t="str">
        <f>IFERROR(__xludf.DUMMYFUNCTION("IF('(INGESTA)Datos_consumo_datadis'!A3987&lt;&gt;"""",SPLIT('(INGESTA)Datos_consumo_datadis'!A:A,"",""),"""")"),"ES0031408323131005HX0F")</f>
        <v>ES0031408323131005HX0F</v>
      </c>
      <c r="B3987" s="12">
        <f>IFERROR(__xludf.DUMMYFUNCTION("""COMPUTED_VALUE"""),45032.0)</f>
        <v>45032</v>
      </c>
      <c r="C3987" s="13">
        <f>IFERROR(__xludf.DUMMYFUNCTION("""COMPUTED_VALUE"""),0.125)</f>
        <v>0.125</v>
      </c>
      <c r="D3987" s="8">
        <f>IFERROR(__xludf.DUMMYFUNCTION("""COMPUTED_VALUE"""),0.097)</f>
        <v>0.097</v>
      </c>
      <c r="E3987" s="8" t="str">
        <f>IFERROR(__xludf.DUMMYFUNCTION("""COMPUTED_VALUE"""),"Real")</f>
        <v>Real</v>
      </c>
      <c r="G3987" s="8">
        <f t="shared" si="1"/>
        <v>4</v>
      </c>
      <c r="H3987" s="14">
        <f t="shared" si="2"/>
        <v>16</v>
      </c>
      <c r="I3987" s="15">
        <f t="shared" si="3"/>
        <v>3</v>
      </c>
    </row>
    <row r="3988">
      <c r="A3988" s="8" t="str">
        <f>IFERROR(__xludf.DUMMYFUNCTION("IF('(INGESTA)Datos_consumo_datadis'!A3988&lt;&gt;"""",SPLIT('(INGESTA)Datos_consumo_datadis'!A:A,"",""),"""")"),"ES0031408323131005HX0F")</f>
        <v>ES0031408323131005HX0F</v>
      </c>
      <c r="B3988" s="12">
        <f>IFERROR(__xludf.DUMMYFUNCTION("""COMPUTED_VALUE"""),45032.0)</f>
        <v>45032</v>
      </c>
      <c r="C3988" s="13">
        <f>IFERROR(__xludf.DUMMYFUNCTION("""COMPUTED_VALUE"""),0.16666666666666666)</f>
        <v>0.1666666667</v>
      </c>
      <c r="D3988" s="8">
        <f>IFERROR(__xludf.DUMMYFUNCTION("""COMPUTED_VALUE"""),0.047)</f>
        <v>0.047</v>
      </c>
      <c r="E3988" s="8" t="str">
        <f>IFERROR(__xludf.DUMMYFUNCTION("""COMPUTED_VALUE"""),"Real")</f>
        <v>Real</v>
      </c>
      <c r="G3988" s="8">
        <f t="shared" si="1"/>
        <v>4</v>
      </c>
      <c r="H3988" s="14">
        <f t="shared" si="2"/>
        <v>16</v>
      </c>
      <c r="I3988" s="15">
        <f t="shared" si="3"/>
        <v>4</v>
      </c>
    </row>
    <row r="3989">
      <c r="A3989" s="8" t="str">
        <f>IFERROR(__xludf.DUMMYFUNCTION("IF('(INGESTA)Datos_consumo_datadis'!A3989&lt;&gt;"""",SPLIT('(INGESTA)Datos_consumo_datadis'!A:A,"",""),"""")"),"ES0031408323131005HX0F")</f>
        <v>ES0031408323131005HX0F</v>
      </c>
      <c r="B3989" s="12">
        <f>IFERROR(__xludf.DUMMYFUNCTION("""COMPUTED_VALUE"""),45032.0)</f>
        <v>45032</v>
      </c>
      <c r="C3989" s="13">
        <f>IFERROR(__xludf.DUMMYFUNCTION("""COMPUTED_VALUE"""),0.20833333333333334)</f>
        <v>0.2083333333</v>
      </c>
      <c r="D3989" s="8">
        <f>IFERROR(__xludf.DUMMYFUNCTION("""COMPUTED_VALUE"""),0.046)</f>
        <v>0.046</v>
      </c>
      <c r="E3989" s="8" t="str">
        <f>IFERROR(__xludf.DUMMYFUNCTION("""COMPUTED_VALUE"""),"Real")</f>
        <v>Real</v>
      </c>
      <c r="G3989" s="8">
        <f t="shared" si="1"/>
        <v>4</v>
      </c>
      <c r="H3989" s="14">
        <f t="shared" si="2"/>
        <v>16</v>
      </c>
      <c r="I3989" s="15">
        <f t="shared" si="3"/>
        <v>5</v>
      </c>
    </row>
    <row r="3990">
      <c r="A3990" s="8" t="str">
        <f>IFERROR(__xludf.DUMMYFUNCTION("IF('(INGESTA)Datos_consumo_datadis'!A3990&lt;&gt;"""",SPLIT('(INGESTA)Datos_consumo_datadis'!A:A,"",""),"""")"),"ES0031408323131005HX0F")</f>
        <v>ES0031408323131005HX0F</v>
      </c>
      <c r="B3990" s="12">
        <f>IFERROR(__xludf.DUMMYFUNCTION("""COMPUTED_VALUE"""),45032.0)</f>
        <v>45032</v>
      </c>
      <c r="C3990" s="13">
        <f>IFERROR(__xludf.DUMMYFUNCTION("""COMPUTED_VALUE"""),0.25)</f>
        <v>0.25</v>
      </c>
      <c r="D3990" s="8">
        <f>IFERROR(__xludf.DUMMYFUNCTION("""COMPUTED_VALUE"""),0.077)</f>
        <v>0.077</v>
      </c>
      <c r="E3990" s="8" t="str">
        <f>IFERROR(__xludf.DUMMYFUNCTION("""COMPUTED_VALUE"""),"Real")</f>
        <v>Real</v>
      </c>
      <c r="G3990" s="8">
        <f t="shared" si="1"/>
        <v>4</v>
      </c>
      <c r="H3990" s="14">
        <f t="shared" si="2"/>
        <v>16</v>
      </c>
      <c r="I3990" s="15">
        <f t="shared" si="3"/>
        <v>6</v>
      </c>
    </row>
    <row r="3991">
      <c r="A3991" s="8" t="str">
        <f>IFERROR(__xludf.DUMMYFUNCTION("IF('(INGESTA)Datos_consumo_datadis'!A3991&lt;&gt;"""",SPLIT('(INGESTA)Datos_consumo_datadis'!A:A,"",""),"""")"),"ES0031408323131005HX0F")</f>
        <v>ES0031408323131005HX0F</v>
      </c>
      <c r="B3991" s="12">
        <f>IFERROR(__xludf.DUMMYFUNCTION("""COMPUTED_VALUE"""),45032.0)</f>
        <v>45032</v>
      </c>
      <c r="C3991" s="13">
        <f>IFERROR(__xludf.DUMMYFUNCTION("""COMPUTED_VALUE"""),0.2916666666666667)</f>
        <v>0.2916666667</v>
      </c>
      <c r="D3991" s="8">
        <f>IFERROR(__xludf.DUMMYFUNCTION("""COMPUTED_VALUE"""),0.268)</f>
        <v>0.268</v>
      </c>
      <c r="E3991" s="8" t="str">
        <f>IFERROR(__xludf.DUMMYFUNCTION("""COMPUTED_VALUE"""),"Real")</f>
        <v>Real</v>
      </c>
      <c r="G3991" s="8">
        <f t="shared" si="1"/>
        <v>4</v>
      </c>
      <c r="H3991" s="14">
        <f t="shared" si="2"/>
        <v>16</v>
      </c>
      <c r="I3991" s="15">
        <f t="shared" si="3"/>
        <v>7</v>
      </c>
    </row>
    <row r="3992">
      <c r="A3992" s="8" t="str">
        <f>IFERROR(__xludf.DUMMYFUNCTION("IF('(INGESTA)Datos_consumo_datadis'!A3992&lt;&gt;"""",SPLIT('(INGESTA)Datos_consumo_datadis'!A:A,"",""),"""")"),"ES0031408323131005HX0F")</f>
        <v>ES0031408323131005HX0F</v>
      </c>
      <c r="B3992" s="12">
        <f>IFERROR(__xludf.DUMMYFUNCTION("""COMPUTED_VALUE"""),45032.0)</f>
        <v>45032</v>
      </c>
      <c r="C3992" s="13">
        <f>IFERROR(__xludf.DUMMYFUNCTION("""COMPUTED_VALUE"""),0.3333333333333333)</f>
        <v>0.3333333333</v>
      </c>
      <c r="D3992" s="8">
        <f>IFERROR(__xludf.DUMMYFUNCTION("""COMPUTED_VALUE"""),0.073)</f>
        <v>0.073</v>
      </c>
      <c r="E3992" s="8" t="str">
        <f>IFERROR(__xludf.DUMMYFUNCTION("""COMPUTED_VALUE"""),"Real")</f>
        <v>Real</v>
      </c>
      <c r="G3992" s="8">
        <f t="shared" si="1"/>
        <v>4</v>
      </c>
      <c r="H3992" s="14">
        <f t="shared" si="2"/>
        <v>16</v>
      </c>
      <c r="I3992" s="15">
        <f t="shared" si="3"/>
        <v>8</v>
      </c>
    </row>
    <row r="3993">
      <c r="A3993" s="8" t="str">
        <f>IFERROR(__xludf.DUMMYFUNCTION("IF('(INGESTA)Datos_consumo_datadis'!A3993&lt;&gt;"""",SPLIT('(INGESTA)Datos_consumo_datadis'!A:A,"",""),"""")"),"ES0031408323131005HX0F")</f>
        <v>ES0031408323131005HX0F</v>
      </c>
      <c r="B3993" s="12">
        <f>IFERROR(__xludf.DUMMYFUNCTION("""COMPUTED_VALUE"""),45032.0)</f>
        <v>45032</v>
      </c>
      <c r="C3993" s="13">
        <f>IFERROR(__xludf.DUMMYFUNCTION("""COMPUTED_VALUE"""),0.375)</f>
        <v>0.375</v>
      </c>
      <c r="D3993" s="8">
        <f>IFERROR(__xludf.DUMMYFUNCTION("""COMPUTED_VALUE"""),0.083)</f>
        <v>0.083</v>
      </c>
      <c r="E3993" s="8" t="str">
        <f>IFERROR(__xludf.DUMMYFUNCTION("""COMPUTED_VALUE"""),"Real")</f>
        <v>Real</v>
      </c>
      <c r="G3993" s="8">
        <f t="shared" si="1"/>
        <v>4</v>
      </c>
      <c r="H3993" s="14">
        <f t="shared" si="2"/>
        <v>16</v>
      </c>
      <c r="I3993" s="15">
        <f t="shared" si="3"/>
        <v>9</v>
      </c>
    </row>
    <row r="3994">
      <c r="A3994" s="8" t="str">
        <f>IFERROR(__xludf.DUMMYFUNCTION("IF('(INGESTA)Datos_consumo_datadis'!A3994&lt;&gt;"""",SPLIT('(INGESTA)Datos_consumo_datadis'!A:A,"",""),"""")"),"ES0031408323131005HX0F")</f>
        <v>ES0031408323131005HX0F</v>
      </c>
      <c r="B3994" s="12">
        <f>IFERROR(__xludf.DUMMYFUNCTION("""COMPUTED_VALUE"""),45032.0)</f>
        <v>45032</v>
      </c>
      <c r="C3994" s="13">
        <f>IFERROR(__xludf.DUMMYFUNCTION("""COMPUTED_VALUE"""),0.4166666666666667)</f>
        <v>0.4166666667</v>
      </c>
      <c r="D3994" s="8">
        <f>IFERROR(__xludf.DUMMYFUNCTION("""COMPUTED_VALUE"""),0.066)</f>
        <v>0.066</v>
      </c>
      <c r="E3994" s="8" t="str">
        <f>IFERROR(__xludf.DUMMYFUNCTION("""COMPUTED_VALUE"""),"Real")</f>
        <v>Real</v>
      </c>
      <c r="G3994" s="8">
        <f t="shared" si="1"/>
        <v>4</v>
      </c>
      <c r="H3994" s="14">
        <f t="shared" si="2"/>
        <v>16</v>
      </c>
      <c r="I3994" s="15">
        <f t="shared" si="3"/>
        <v>10</v>
      </c>
    </row>
    <row r="3995">
      <c r="A3995" s="8" t="str">
        <f>IFERROR(__xludf.DUMMYFUNCTION("IF('(INGESTA)Datos_consumo_datadis'!A3995&lt;&gt;"""",SPLIT('(INGESTA)Datos_consumo_datadis'!A:A,"",""),"""")"),"ES0031408323131005HX0F")</f>
        <v>ES0031408323131005HX0F</v>
      </c>
      <c r="B3995" s="12">
        <f>IFERROR(__xludf.DUMMYFUNCTION("""COMPUTED_VALUE"""),45032.0)</f>
        <v>45032</v>
      </c>
      <c r="C3995" s="13">
        <f>IFERROR(__xludf.DUMMYFUNCTION("""COMPUTED_VALUE"""),0.4583333333333333)</f>
        <v>0.4583333333</v>
      </c>
      <c r="D3995" s="8">
        <f>IFERROR(__xludf.DUMMYFUNCTION("""COMPUTED_VALUE"""),0.037)</f>
        <v>0.037</v>
      </c>
      <c r="E3995" s="8" t="str">
        <f>IFERROR(__xludf.DUMMYFUNCTION("""COMPUTED_VALUE"""),"Real")</f>
        <v>Real</v>
      </c>
      <c r="G3995" s="8">
        <f t="shared" si="1"/>
        <v>4</v>
      </c>
      <c r="H3995" s="14">
        <f t="shared" si="2"/>
        <v>16</v>
      </c>
      <c r="I3995" s="15">
        <f t="shared" si="3"/>
        <v>11</v>
      </c>
    </row>
    <row r="3996">
      <c r="A3996" s="8" t="str">
        <f>IFERROR(__xludf.DUMMYFUNCTION("IF('(INGESTA)Datos_consumo_datadis'!A3996&lt;&gt;"""",SPLIT('(INGESTA)Datos_consumo_datadis'!A:A,"",""),"""")"),"ES0031408323131005HX0F")</f>
        <v>ES0031408323131005HX0F</v>
      </c>
      <c r="B3996" s="12">
        <f>IFERROR(__xludf.DUMMYFUNCTION("""COMPUTED_VALUE"""),45032.0)</f>
        <v>45032</v>
      </c>
      <c r="C3996" s="13">
        <f>IFERROR(__xludf.DUMMYFUNCTION("""COMPUTED_VALUE"""),0.5)</f>
        <v>0.5</v>
      </c>
      <c r="D3996" s="8">
        <f>IFERROR(__xludf.DUMMYFUNCTION("""COMPUTED_VALUE"""),0.457)</f>
        <v>0.457</v>
      </c>
      <c r="E3996" s="8" t="str">
        <f>IFERROR(__xludf.DUMMYFUNCTION("""COMPUTED_VALUE"""),"Real")</f>
        <v>Real</v>
      </c>
      <c r="G3996" s="8">
        <f t="shared" si="1"/>
        <v>4</v>
      </c>
      <c r="H3996" s="14">
        <f t="shared" si="2"/>
        <v>16</v>
      </c>
      <c r="I3996" s="15">
        <f t="shared" si="3"/>
        <v>12</v>
      </c>
    </row>
    <row r="3997">
      <c r="A3997" s="8" t="str">
        <f>IFERROR(__xludf.DUMMYFUNCTION("IF('(INGESTA)Datos_consumo_datadis'!A3997&lt;&gt;"""",SPLIT('(INGESTA)Datos_consumo_datadis'!A:A,"",""),"""")"),"ES0031408323131005HX0F")</f>
        <v>ES0031408323131005HX0F</v>
      </c>
      <c r="B3997" s="12">
        <f>IFERROR(__xludf.DUMMYFUNCTION("""COMPUTED_VALUE"""),45032.0)</f>
        <v>45032</v>
      </c>
      <c r="C3997" s="13">
        <f>IFERROR(__xludf.DUMMYFUNCTION("""COMPUTED_VALUE"""),0.5416666666666666)</f>
        <v>0.5416666667</v>
      </c>
      <c r="D3997" s="8">
        <f>IFERROR(__xludf.DUMMYFUNCTION("""COMPUTED_VALUE"""),0.138)</f>
        <v>0.138</v>
      </c>
      <c r="E3997" s="8" t="str">
        <f>IFERROR(__xludf.DUMMYFUNCTION("""COMPUTED_VALUE"""),"Real")</f>
        <v>Real</v>
      </c>
      <c r="G3997" s="8">
        <f t="shared" si="1"/>
        <v>4</v>
      </c>
      <c r="H3997" s="14">
        <f t="shared" si="2"/>
        <v>16</v>
      </c>
      <c r="I3997" s="15">
        <f t="shared" si="3"/>
        <v>13</v>
      </c>
    </row>
    <row r="3998">
      <c r="A3998" s="8" t="str">
        <f>IFERROR(__xludf.DUMMYFUNCTION("IF('(INGESTA)Datos_consumo_datadis'!A3998&lt;&gt;"""",SPLIT('(INGESTA)Datos_consumo_datadis'!A:A,"",""),"""")"),"ES0031408323131005HX0F")</f>
        <v>ES0031408323131005HX0F</v>
      </c>
      <c r="B3998" s="12">
        <f>IFERROR(__xludf.DUMMYFUNCTION("""COMPUTED_VALUE"""),45032.0)</f>
        <v>45032</v>
      </c>
      <c r="C3998" s="13">
        <f>IFERROR(__xludf.DUMMYFUNCTION("""COMPUTED_VALUE"""),0.5833333333333334)</f>
        <v>0.5833333333</v>
      </c>
      <c r="D3998" s="8">
        <f>IFERROR(__xludf.DUMMYFUNCTION("""COMPUTED_VALUE"""),1.437)</f>
        <v>1.437</v>
      </c>
      <c r="E3998" s="8" t="str">
        <f>IFERROR(__xludf.DUMMYFUNCTION("""COMPUTED_VALUE"""),"Real")</f>
        <v>Real</v>
      </c>
      <c r="G3998" s="8">
        <f t="shared" si="1"/>
        <v>4</v>
      </c>
      <c r="H3998" s="14">
        <f t="shared" si="2"/>
        <v>16</v>
      </c>
      <c r="I3998" s="15">
        <f t="shared" si="3"/>
        <v>14</v>
      </c>
    </row>
    <row r="3999">
      <c r="A3999" s="8" t="str">
        <f>IFERROR(__xludf.DUMMYFUNCTION("IF('(INGESTA)Datos_consumo_datadis'!A3999&lt;&gt;"""",SPLIT('(INGESTA)Datos_consumo_datadis'!A:A,"",""),"""")"),"ES0031408323131005HX0F")</f>
        <v>ES0031408323131005HX0F</v>
      </c>
      <c r="B3999" s="12">
        <f>IFERROR(__xludf.DUMMYFUNCTION("""COMPUTED_VALUE"""),45032.0)</f>
        <v>45032</v>
      </c>
      <c r="C3999" s="13">
        <f>IFERROR(__xludf.DUMMYFUNCTION("""COMPUTED_VALUE"""),0.625)</f>
        <v>0.625</v>
      </c>
      <c r="D3999" s="8">
        <f>IFERROR(__xludf.DUMMYFUNCTION("""COMPUTED_VALUE"""),0.11)</f>
        <v>0.11</v>
      </c>
      <c r="E3999" s="8" t="str">
        <f>IFERROR(__xludf.DUMMYFUNCTION("""COMPUTED_VALUE"""),"Real")</f>
        <v>Real</v>
      </c>
      <c r="G3999" s="8">
        <f t="shared" si="1"/>
        <v>4</v>
      </c>
      <c r="H3999" s="14">
        <f t="shared" si="2"/>
        <v>16</v>
      </c>
      <c r="I3999" s="15">
        <f t="shared" si="3"/>
        <v>15</v>
      </c>
    </row>
    <row r="4000">
      <c r="A4000" s="8" t="str">
        <f>IFERROR(__xludf.DUMMYFUNCTION("IF('(INGESTA)Datos_consumo_datadis'!A4000&lt;&gt;"""",SPLIT('(INGESTA)Datos_consumo_datadis'!A:A,"",""),"""")"),"ES0031408323131005HX0F")</f>
        <v>ES0031408323131005HX0F</v>
      </c>
      <c r="B4000" s="12">
        <f>IFERROR(__xludf.DUMMYFUNCTION("""COMPUTED_VALUE"""),45032.0)</f>
        <v>45032</v>
      </c>
      <c r="C4000" s="13">
        <f>IFERROR(__xludf.DUMMYFUNCTION("""COMPUTED_VALUE"""),0.6666666666666666)</f>
        <v>0.6666666667</v>
      </c>
      <c r="D4000" s="8">
        <f>IFERROR(__xludf.DUMMYFUNCTION("""COMPUTED_VALUE"""),0.047)</f>
        <v>0.047</v>
      </c>
      <c r="E4000" s="8" t="str">
        <f>IFERROR(__xludf.DUMMYFUNCTION("""COMPUTED_VALUE"""),"Real")</f>
        <v>Real</v>
      </c>
      <c r="G4000" s="8">
        <f t="shared" si="1"/>
        <v>4</v>
      </c>
      <c r="H4000" s="14">
        <f t="shared" si="2"/>
        <v>16</v>
      </c>
      <c r="I4000" s="15">
        <f t="shared" si="3"/>
        <v>16</v>
      </c>
    </row>
    <row r="4001">
      <c r="A4001" s="8" t="str">
        <f>IFERROR(__xludf.DUMMYFUNCTION("IF('(INGESTA)Datos_consumo_datadis'!A4001&lt;&gt;"""",SPLIT('(INGESTA)Datos_consumo_datadis'!A:A,"",""),"""")"),"ES0031408323131005HX0F")</f>
        <v>ES0031408323131005HX0F</v>
      </c>
      <c r="B4001" s="12">
        <f>IFERROR(__xludf.DUMMYFUNCTION("""COMPUTED_VALUE"""),45032.0)</f>
        <v>45032</v>
      </c>
      <c r="C4001" s="13">
        <f>IFERROR(__xludf.DUMMYFUNCTION("""COMPUTED_VALUE"""),0.7083333333333334)</f>
        <v>0.7083333333</v>
      </c>
      <c r="D4001" s="8">
        <f>IFERROR(__xludf.DUMMYFUNCTION("""COMPUTED_VALUE"""),0.079)</f>
        <v>0.079</v>
      </c>
      <c r="E4001" s="8" t="str">
        <f>IFERROR(__xludf.DUMMYFUNCTION("""COMPUTED_VALUE"""),"Real")</f>
        <v>Real</v>
      </c>
      <c r="G4001" s="8">
        <f t="shared" si="1"/>
        <v>4</v>
      </c>
      <c r="H4001" s="14">
        <f t="shared" si="2"/>
        <v>16</v>
      </c>
      <c r="I4001" s="15">
        <f t="shared" si="3"/>
        <v>17</v>
      </c>
    </row>
    <row r="4002">
      <c r="A4002" s="8" t="str">
        <f>IFERROR(__xludf.DUMMYFUNCTION("IF('(INGESTA)Datos_consumo_datadis'!A4002&lt;&gt;"""",SPLIT('(INGESTA)Datos_consumo_datadis'!A:A,"",""),"""")"),"ES0031408323131005HX0F")</f>
        <v>ES0031408323131005HX0F</v>
      </c>
      <c r="B4002" s="12">
        <f>IFERROR(__xludf.DUMMYFUNCTION("""COMPUTED_VALUE"""),45032.0)</f>
        <v>45032</v>
      </c>
      <c r="C4002" s="13">
        <f>IFERROR(__xludf.DUMMYFUNCTION("""COMPUTED_VALUE"""),0.75)</f>
        <v>0.75</v>
      </c>
      <c r="D4002" s="8">
        <f>IFERROR(__xludf.DUMMYFUNCTION("""COMPUTED_VALUE"""),0.018)</f>
        <v>0.018</v>
      </c>
      <c r="E4002" s="8" t="str">
        <f>IFERROR(__xludf.DUMMYFUNCTION("""COMPUTED_VALUE"""),"Real")</f>
        <v>Real</v>
      </c>
      <c r="G4002" s="8">
        <f t="shared" si="1"/>
        <v>4</v>
      </c>
      <c r="H4002" s="14">
        <f t="shared" si="2"/>
        <v>16</v>
      </c>
      <c r="I4002" s="15">
        <f t="shared" si="3"/>
        <v>18</v>
      </c>
    </row>
    <row r="4003">
      <c r="A4003" s="8" t="str">
        <f>IFERROR(__xludf.DUMMYFUNCTION("IF('(INGESTA)Datos_consumo_datadis'!A4003&lt;&gt;"""",SPLIT('(INGESTA)Datos_consumo_datadis'!A:A,"",""),"""")"),"ES0031408323131005HX0F")</f>
        <v>ES0031408323131005HX0F</v>
      </c>
      <c r="B4003" s="12">
        <f>IFERROR(__xludf.DUMMYFUNCTION("""COMPUTED_VALUE"""),45032.0)</f>
        <v>45032</v>
      </c>
      <c r="C4003" s="13">
        <f>IFERROR(__xludf.DUMMYFUNCTION("""COMPUTED_VALUE"""),0.7916666666666666)</f>
        <v>0.7916666667</v>
      </c>
      <c r="D4003" s="8">
        <f>IFERROR(__xludf.DUMMYFUNCTION("""COMPUTED_VALUE"""),0.355)</f>
        <v>0.355</v>
      </c>
      <c r="E4003" s="8" t="str">
        <f>IFERROR(__xludf.DUMMYFUNCTION("""COMPUTED_VALUE"""),"Real")</f>
        <v>Real</v>
      </c>
      <c r="G4003" s="8">
        <f t="shared" si="1"/>
        <v>4</v>
      </c>
      <c r="H4003" s="14">
        <f t="shared" si="2"/>
        <v>16</v>
      </c>
      <c r="I4003" s="15">
        <f t="shared" si="3"/>
        <v>19</v>
      </c>
    </row>
    <row r="4004">
      <c r="A4004" s="8" t="str">
        <f>IFERROR(__xludf.DUMMYFUNCTION("IF('(INGESTA)Datos_consumo_datadis'!A4004&lt;&gt;"""",SPLIT('(INGESTA)Datos_consumo_datadis'!A:A,"",""),"""")"),"ES0031408323131005HX0F")</f>
        <v>ES0031408323131005HX0F</v>
      </c>
      <c r="B4004" s="12">
        <f>IFERROR(__xludf.DUMMYFUNCTION("""COMPUTED_VALUE"""),45032.0)</f>
        <v>45032</v>
      </c>
      <c r="C4004" s="13">
        <f>IFERROR(__xludf.DUMMYFUNCTION("""COMPUTED_VALUE"""),0.8333333333333334)</f>
        <v>0.8333333333</v>
      </c>
      <c r="D4004" s="8">
        <f>IFERROR(__xludf.DUMMYFUNCTION("""COMPUTED_VALUE"""),1.192)</f>
        <v>1.192</v>
      </c>
      <c r="E4004" s="8" t="str">
        <f>IFERROR(__xludf.DUMMYFUNCTION("""COMPUTED_VALUE"""),"Real")</f>
        <v>Real</v>
      </c>
      <c r="G4004" s="8">
        <f t="shared" si="1"/>
        <v>4</v>
      </c>
      <c r="H4004" s="14">
        <f t="shared" si="2"/>
        <v>16</v>
      </c>
      <c r="I4004" s="15">
        <f t="shared" si="3"/>
        <v>20</v>
      </c>
    </row>
    <row r="4005">
      <c r="A4005" s="8" t="str">
        <f>IFERROR(__xludf.DUMMYFUNCTION("IF('(INGESTA)Datos_consumo_datadis'!A4005&lt;&gt;"""",SPLIT('(INGESTA)Datos_consumo_datadis'!A:A,"",""),"""")"),"ES0031408323131005HX0F")</f>
        <v>ES0031408323131005HX0F</v>
      </c>
      <c r="B4005" s="12">
        <f>IFERROR(__xludf.DUMMYFUNCTION("""COMPUTED_VALUE"""),45032.0)</f>
        <v>45032</v>
      </c>
      <c r="C4005" s="13">
        <f>IFERROR(__xludf.DUMMYFUNCTION("""COMPUTED_VALUE"""),0.875)</f>
        <v>0.875</v>
      </c>
      <c r="D4005" s="8">
        <f>IFERROR(__xludf.DUMMYFUNCTION("""COMPUTED_VALUE"""),0.134)</f>
        <v>0.134</v>
      </c>
      <c r="E4005" s="8" t="str">
        <f>IFERROR(__xludf.DUMMYFUNCTION("""COMPUTED_VALUE"""),"Real")</f>
        <v>Real</v>
      </c>
      <c r="G4005" s="8">
        <f t="shared" si="1"/>
        <v>4</v>
      </c>
      <c r="H4005" s="14">
        <f t="shared" si="2"/>
        <v>16</v>
      </c>
      <c r="I4005" s="15">
        <f t="shared" si="3"/>
        <v>21</v>
      </c>
    </row>
    <row r="4006">
      <c r="A4006" s="8" t="str">
        <f>IFERROR(__xludf.DUMMYFUNCTION("IF('(INGESTA)Datos_consumo_datadis'!A4006&lt;&gt;"""",SPLIT('(INGESTA)Datos_consumo_datadis'!A:A,"",""),"""")"),"ES0031408323131005HX0F")</f>
        <v>ES0031408323131005HX0F</v>
      </c>
      <c r="B4006" s="12">
        <f>IFERROR(__xludf.DUMMYFUNCTION("""COMPUTED_VALUE"""),45032.0)</f>
        <v>45032</v>
      </c>
      <c r="C4006" s="13">
        <f>IFERROR(__xludf.DUMMYFUNCTION("""COMPUTED_VALUE"""),0.9166666666666666)</f>
        <v>0.9166666667</v>
      </c>
      <c r="D4006" s="8">
        <f>IFERROR(__xludf.DUMMYFUNCTION("""COMPUTED_VALUE"""),0.725)</f>
        <v>0.725</v>
      </c>
      <c r="E4006" s="8" t="str">
        <f>IFERROR(__xludf.DUMMYFUNCTION("""COMPUTED_VALUE"""),"Real")</f>
        <v>Real</v>
      </c>
      <c r="G4006" s="8">
        <f t="shared" si="1"/>
        <v>4</v>
      </c>
      <c r="H4006" s="14">
        <f t="shared" si="2"/>
        <v>16</v>
      </c>
      <c r="I4006" s="15">
        <f t="shared" si="3"/>
        <v>22</v>
      </c>
    </row>
    <row r="4007">
      <c r="A4007" s="8" t="str">
        <f>IFERROR(__xludf.DUMMYFUNCTION("IF('(INGESTA)Datos_consumo_datadis'!A4007&lt;&gt;"""",SPLIT('(INGESTA)Datos_consumo_datadis'!A:A,"",""),"""")"),"ES0031408323131005HX0F")</f>
        <v>ES0031408323131005HX0F</v>
      </c>
      <c r="B4007" s="12">
        <f>IFERROR(__xludf.DUMMYFUNCTION("""COMPUTED_VALUE"""),45032.0)</f>
        <v>45032</v>
      </c>
      <c r="C4007" s="13">
        <f>IFERROR(__xludf.DUMMYFUNCTION("""COMPUTED_VALUE"""),0.9583333333333334)</f>
        <v>0.9583333333</v>
      </c>
      <c r="D4007" s="8">
        <f>IFERROR(__xludf.DUMMYFUNCTION("""COMPUTED_VALUE"""),1.281)</f>
        <v>1.281</v>
      </c>
      <c r="E4007" s="8" t="str">
        <f>IFERROR(__xludf.DUMMYFUNCTION("""COMPUTED_VALUE"""),"Real")</f>
        <v>Real</v>
      </c>
      <c r="G4007" s="8">
        <f t="shared" si="1"/>
        <v>4</v>
      </c>
      <c r="H4007" s="14">
        <f t="shared" si="2"/>
        <v>16</v>
      </c>
      <c r="I4007" s="15">
        <f t="shared" si="3"/>
        <v>23</v>
      </c>
    </row>
    <row r="4008">
      <c r="A4008" s="8" t="str">
        <f>IFERROR(__xludf.DUMMYFUNCTION("IF('(INGESTA)Datos_consumo_datadis'!A4008&lt;&gt;"""",SPLIT('(INGESTA)Datos_consumo_datadis'!A:A,"",""),"""")"),"ES0031408323131005HX0F")</f>
        <v>ES0031408323131005HX0F</v>
      </c>
      <c r="B4008" s="12">
        <f>IFERROR(__xludf.DUMMYFUNCTION("""COMPUTED_VALUE"""),45032.0)</f>
        <v>45032</v>
      </c>
      <c r="C4008" s="16">
        <f>IFERROR(__xludf.DUMMYFUNCTION("""COMPUTED_VALUE"""),1.0)</f>
        <v>1</v>
      </c>
      <c r="D4008" s="8">
        <f>IFERROR(__xludf.DUMMYFUNCTION("""COMPUTED_VALUE"""),0.698)</f>
        <v>0.698</v>
      </c>
      <c r="E4008" s="8" t="str">
        <f>IFERROR(__xludf.DUMMYFUNCTION("""COMPUTED_VALUE"""),"Real")</f>
        <v>Real</v>
      </c>
      <c r="G4008" s="8">
        <f t="shared" si="1"/>
        <v>4</v>
      </c>
      <c r="H4008" s="14">
        <f t="shared" si="2"/>
        <v>16</v>
      </c>
      <c r="I4008" s="15">
        <f t="shared" si="3"/>
        <v>0</v>
      </c>
    </row>
    <row r="4009">
      <c r="A4009" s="8" t="str">
        <f>IFERROR(__xludf.DUMMYFUNCTION("IF('(INGESTA)Datos_consumo_datadis'!A4009&lt;&gt;"""",SPLIT('(INGESTA)Datos_consumo_datadis'!A:A,"",""),"""")"),"ES0031408323131005HX0F")</f>
        <v>ES0031408323131005HX0F</v>
      </c>
      <c r="B4009" s="12">
        <f>IFERROR(__xludf.DUMMYFUNCTION("""COMPUTED_VALUE"""),45033.0)</f>
        <v>45033</v>
      </c>
      <c r="C4009" s="13">
        <f>IFERROR(__xludf.DUMMYFUNCTION("""COMPUTED_VALUE"""),0.041666666666666664)</f>
        <v>0.04166666667</v>
      </c>
      <c r="D4009" s="8">
        <f>IFERROR(__xludf.DUMMYFUNCTION("""COMPUTED_VALUE"""),0.099)</f>
        <v>0.099</v>
      </c>
      <c r="E4009" s="8" t="str">
        <f>IFERROR(__xludf.DUMMYFUNCTION("""COMPUTED_VALUE"""),"Real")</f>
        <v>Real</v>
      </c>
      <c r="G4009" s="8">
        <f t="shared" si="1"/>
        <v>4</v>
      </c>
      <c r="H4009" s="14">
        <f t="shared" si="2"/>
        <v>17</v>
      </c>
      <c r="I4009" s="15">
        <f t="shared" si="3"/>
        <v>1</v>
      </c>
    </row>
    <row r="4010">
      <c r="A4010" s="8" t="str">
        <f>IFERROR(__xludf.DUMMYFUNCTION("IF('(INGESTA)Datos_consumo_datadis'!A4010&lt;&gt;"""",SPLIT('(INGESTA)Datos_consumo_datadis'!A:A,"",""),"""")"),"ES0031408323131005HX0F")</f>
        <v>ES0031408323131005HX0F</v>
      </c>
      <c r="B4010" s="12">
        <f>IFERROR(__xludf.DUMMYFUNCTION("""COMPUTED_VALUE"""),45033.0)</f>
        <v>45033</v>
      </c>
      <c r="C4010" s="13">
        <f>IFERROR(__xludf.DUMMYFUNCTION("""COMPUTED_VALUE"""),0.08333333333333333)</f>
        <v>0.08333333333</v>
      </c>
      <c r="D4010" s="8">
        <f>IFERROR(__xludf.DUMMYFUNCTION("""COMPUTED_VALUE"""),0.122)</f>
        <v>0.122</v>
      </c>
      <c r="E4010" s="8" t="str">
        <f>IFERROR(__xludf.DUMMYFUNCTION("""COMPUTED_VALUE"""),"Real")</f>
        <v>Real</v>
      </c>
      <c r="G4010" s="8">
        <f t="shared" si="1"/>
        <v>4</v>
      </c>
      <c r="H4010" s="14">
        <f t="shared" si="2"/>
        <v>17</v>
      </c>
      <c r="I4010" s="15">
        <f t="shared" si="3"/>
        <v>2</v>
      </c>
    </row>
    <row r="4011">
      <c r="A4011" s="8" t="str">
        <f>IFERROR(__xludf.DUMMYFUNCTION("IF('(INGESTA)Datos_consumo_datadis'!A4011&lt;&gt;"""",SPLIT('(INGESTA)Datos_consumo_datadis'!A:A,"",""),"""")"),"ES0031408323131005HX0F")</f>
        <v>ES0031408323131005HX0F</v>
      </c>
      <c r="B4011" s="12">
        <f>IFERROR(__xludf.DUMMYFUNCTION("""COMPUTED_VALUE"""),45033.0)</f>
        <v>45033</v>
      </c>
      <c r="C4011" s="13">
        <f>IFERROR(__xludf.DUMMYFUNCTION("""COMPUTED_VALUE"""),0.125)</f>
        <v>0.125</v>
      </c>
      <c r="D4011" s="8">
        <f>IFERROR(__xludf.DUMMYFUNCTION("""COMPUTED_VALUE"""),0.085)</f>
        <v>0.085</v>
      </c>
      <c r="E4011" s="8" t="str">
        <f>IFERROR(__xludf.DUMMYFUNCTION("""COMPUTED_VALUE"""),"Real")</f>
        <v>Real</v>
      </c>
      <c r="G4011" s="8">
        <f t="shared" si="1"/>
        <v>4</v>
      </c>
      <c r="H4011" s="14">
        <f t="shared" si="2"/>
        <v>17</v>
      </c>
      <c r="I4011" s="15">
        <f t="shared" si="3"/>
        <v>3</v>
      </c>
    </row>
    <row r="4012">
      <c r="A4012" s="8" t="str">
        <f>IFERROR(__xludf.DUMMYFUNCTION("IF('(INGESTA)Datos_consumo_datadis'!A4012&lt;&gt;"""",SPLIT('(INGESTA)Datos_consumo_datadis'!A:A,"",""),"""")"),"ES0031408323131005HX0F")</f>
        <v>ES0031408323131005HX0F</v>
      </c>
      <c r="B4012" s="12">
        <f>IFERROR(__xludf.DUMMYFUNCTION("""COMPUTED_VALUE"""),45033.0)</f>
        <v>45033</v>
      </c>
      <c r="C4012" s="13">
        <f>IFERROR(__xludf.DUMMYFUNCTION("""COMPUTED_VALUE"""),0.16666666666666666)</f>
        <v>0.1666666667</v>
      </c>
      <c r="D4012" s="8">
        <f>IFERROR(__xludf.DUMMYFUNCTION("""COMPUTED_VALUE"""),0.052)</f>
        <v>0.052</v>
      </c>
      <c r="E4012" s="8" t="str">
        <f>IFERROR(__xludf.DUMMYFUNCTION("""COMPUTED_VALUE"""),"Real")</f>
        <v>Real</v>
      </c>
      <c r="G4012" s="8">
        <f t="shared" si="1"/>
        <v>4</v>
      </c>
      <c r="H4012" s="14">
        <f t="shared" si="2"/>
        <v>17</v>
      </c>
      <c r="I4012" s="15">
        <f t="shared" si="3"/>
        <v>4</v>
      </c>
    </row>
    <row r="4013">
      <c r="A4013" s="8" t="str">
        <f>IFERROR(__xludf.DUMMYFUNCTION("IF('(INGESTA)Datos_consumo_datadis'!A4013&lt;&gt;"""",SPLIT('(INGESTA)Datos_consumo_datadis'!A:A,"",""),"""")"),"ES0031408323131005HX0F")</f>
        <v>ES0031408323131005HX0F</v>
      </c>
      <c r="B4013" s="12">
        <f>IFERROR(__xludf.DUMMYFUNCTION("""COMPUTED_VALUE"""),45033.0)</f>
        <v>45033</v>
      </c>
      <c r="C4013" s="13">
        <f>IFERROR(__xludf.DUMMYFUNCTION("""COMPUTED_VALUE"""),0.20833333333333334)</f>
        <v>0.2083333333</v>
      </c>
      <c r="D4013" s="8">
        <f>IFERROR(__xludf.DUMMYFUNCTION("""COMPUTED_VALUE"""),0.027)</f>
        <v>0.027</v>
      </c>
      <c r="E4013" s="8" t="str">
        <f>IFERROR(__xludf.DUMMYFUNCTION("""COMPUTED_VALUE"""),"Real")</f>
        <v>Real</v>
      </c>
      <c r="G4013" s="8">
        <f t="shared" si="1"/>
        <v>4</v>
      </c>
      <c r="H4013" s="14">
        <f t="shared" si="2"/>
        <v>17</v>
      </c>
      <c r="I4013" s="15">
        <f t="shared" si="3"/>
        <v>5</v>
      </c>
    </row>
    <row r="4014">
      <c r="A4014" s="8" t="str">
        <f>IFERROR(__xludf.DUMMYFUNCTION("IF('(INGESTA)Datos_consumo_datadis'!A4014&lt;&gt;"""",SPLIT('(INGESTA)Datos_consumo_datadis'!A:A,"",""),"""")"),"ES0031408323131005HX0F")</f>
        <v>ES0031408323131005HX0F</v>
      </c>
      <c r="B4014" s="12">
        <f>IFERROR(__xludf.DUMMYFUNCTION("""COMPUTED_VALUE"""),45033.0)</f>
        <v>45033</v>
      </c>
      <c r="C4014" s="13">
        <f>IFERROR(__xludf.DUMMYFUNCTION("""COMPUTED_VALUE"""),0.25)</f>
        <v>0.25</v>
      </c>
      <c r="D4014" s="8">
        <f>IFERROR(__xludf.DUMMYFUNCTION("""COMPUTED_VALUE"""),0.191)</f>
        <v>0.191</v>
      </c>
      <c r="E4014" s="8" t="str">
        <f>IFERROR(__xludf.DUMMYFUNCTION("""COMPUTED_VALUE"""),"Real")</f>
        <v>Real</v>
      </c>
      <c r="G4014" s="8">
        <f t="shared" si="1"/>
        <v>4</v>
      </c>
      <c r="H4014" s="14">
        <f t="shared" si="2"/>
        <v>17</v>
      </c>
      <c r="I4014" s="15">
        <f t="shared" si="3"/>
        <v>6</v>
      </c>
    </row>
    <row r="4015">
      <c r="A4015" s="8" t="str">
        <f>IFERROR(__xludf.DUMMYFUNCTION("IF('(INGESTA)Datos_consumo_datadis'!A4015&lt;&gt;"""",SPLIT('(INGESTA)Datos_consumo_datadis'!A:A,"",""),"""")"),"ES0031408323131005HX0F")</f>
        <v>ES0031408323131005HX0F</v>
      </c>
      <c r="B4015" s="12">
        <f>IFERROR(__xludf.DUMMYFUNCTION("""COMPUTED_VALUE"""),45033.0)</f>
        <v>45033</v>
      </c>
      <c r="C4015" s="13">
        <f>IFERROR(__xludf.DUMMYFUNCTION("""COMPUTED_VALUE"""),0.2916666666666667)</f>
        <v>0.2916666667</v>
      </c>
      <c r="D4015" s="8">
        <f>IFERROR(__xludf.DUMMYFUNCTION("""COMPUTED_VALUE"""),0.238)</f>
        <v>0.238</v>
      </c>
      <c r="E4015" s="8" t="str">
        <f>IFERROR(__xludf.DUMMYFUNCTION("""COMPUTED_VALUE"""),"Real")</f>
        <v>Real</v>
      </c>
      <c r="G4015" s="8">
        <f t="shared" si="1"/>
        <v>4</v>
      </c>
      <c r="H4015" s="14">
        <f t="shared" si="2"/>
        <v>17</v>
      </c>
      <c r="I4015" s="15">
        <f t="shared" si="3"/>
        <v>7</v>
      </c>
    </row>
    <row r="4016">
      <c r="A4016" s="8" t="str">
        <f>IFERROR(__xludf.DUMMYFUNCTION("IF('(INGESTA)Datos_consumo_datadis'!A4016&lt;&gt;"""",SPLIT('(INGESTA)Datos_consumo_datadis'!A:A,"",""),"""")"),"ES0031408323131005HX0F")</f>
        <v>ES0031408323131005HX0F</v>
      </c>
      <c r="B4016" s="12">
        <f>IFERROR(__xludf.DUMMYFUNCTION("""COMPUTED_VALUE"""),45033.0)</f>
        <v>45033</v>
      </c>
      <c r="C4016" s="13">
        <f>IFERROR(__xludf.DUMMYFUNCTION("""COMPUTED_VALUE"""),0.3333333333333333)</f>
        <v>0.3333333333</v>
      </c>
      <c r="D4016" s="8">
        <f>IFERROR(__xludf.DUMMYFUNCTION("""COMPUTED_VALUE"""),0.076)</f>
        <v>0.076</v>
      </c>
      <c r="E4016" s="8" t="str">
        <f>IFERROR(__xludf.DUMMYFUNCTION("""COMPUTED_VALUE"""),"Real")</f>
        <v>Real</v>
      </c>
      <c r="G4016" s="8">
        <f t="shared" si="1"/>
        <v>4</v>
      </c>
      <c r="H4016" s="14">
        <f t="shared" si="2"/>
        <v>17</v>
      </c>
      <c r="I4016" s="15">
        <f t="shared" si="3"/>
        <v>8</v>
      </c>
    </row>
    <row r="4017">
      <c r="A4017" s="8" t="str">
        <f>IFERROR(__xludf.DUMMYFUNCTION("IF('(INGESTA)Datos_consumo_datadis'!A4017&lt;&gt;"""",SPLIT('(INGESTA)Datos_consumo_datadis'!A:A,"",""),"""")"),"ES0031408323131005HX0F")</f>
        <v>ES0031408323131005HX0F</v>
      </c>
      <c r="B4017" s="12">
        <f>IFERROR(__xludf.DUMMYFUNCTION("""COMPUTED_VALUE"""),45033.0)</f>
        <v>45033</v>
      </c>
      <c r="C4017" s="13">
        <f>IFERROR(__xludf.DUMMYFUNCTION("""COMPUTED_VALUE"""),0.375)</f>
        <v>0.375</v>
      </c>
      <c r="D4017" s="8">
        <f>IFERROR(__xludf.DUMMYFUNCTION("""COMPUTED_VALUE"""),0.06)</f>
        <v>0.06</v>
      </c>
      <c r="E4017" s="8" t="str">
        <f>IFERROR(__xludf.DUMMYFUNCTION("""COMPUTED_VALUE"""),"Real")</f>
        <v>Real</v>
      </c>
      <c r="G4017" s="8">
        <f t="shared" si="1"/>
        <v>4</v>
      </c>
      <c r="H4017" s="14">
        <f t="shared" si="2"/>
        <v>17</v>
      </c>
      <c r="I4017" s="15">
        <f t="shared" si="3"/>
        <v>9</v>
      </c>
    </row>
    <row r="4018">
      <c r="A4018" s="8" t="str">
        <f>IFERROR(__xludf.DUMMYFUNCTION("IF('(INGESTA)Datos_consumo_datadis'!A4018&lt;&gt;"""",SPLIT('(INGESTA)Datos_consumo_datadis'!A:A,"",""),"""")"),"ES0031408323131005HX0F")</f>
        <v>ES0031408323131005HX0F</v>
      </c>
      <c r="B4018" s="12">
        <f>IFERROR(__xludf.DUMMYFUNCTION("""COMPUTED_VALUE"""),45033.0)</f>
        <v>45033</v>
      </c>
      <c r="C4018" s="13">
        <f>IFERROR(__xludf.DUMMYFUNCTION("""COMPUTED_VALUE"""),0.4166666666666667)</f>
        <v>0.4166666667</v>
      </c>
      <c r="D4018" s="8">
        <f>IFERROR(__xludf.DUMMYFUNCTION("""COMPUTED_VALUE"""),0.07)</f>
        <v>0.07</v>
      </c>
      <c r="E4018" s="8" t="str">
        <f>IFERROR(__xludf.DUMMYFUNCTION("""COMPUTED_VALUE"""),"Real")</f>
        <v>Real</v>
      </c>
      <c r="G4018" s="8">
        <f t="shared" si="1"/>
        <v>4</v>
      </c>
      <c r="H4018" s="14">
        <f t="shared" si="2"/>
        <v>17</v>
      </c>
      <c r="I4018" s="15">
        <f t="shared" si="3"/>
        <v>10</v>
      </c>
    </row>
    <row r="4019">
      <c r="A4019" s="8" t="str">
        <f>IFERROR(__xludf.DUMMYFUNCTION("IF('(INGESTA)Datos_consumo_datadis'!A4019&lt;&gt;"""",SPLIT('(INGESTA)Datos_consumo_datadis'!A:A,"",""),"""")"),"ES0031408323131005HX0F")</f>
        <v>ES0031408323131005HX0F</v>
      </c>
      <c r="B4019" s="12">
        <f>IFERROR(__xludf.DUMMYFUNCTION("""COMPUTED_VALUE"""),45033.0)</f>
        <v>45033</v>
      </c>
      <c r="C4019" s="13">
        <f>IFERROR(__xludf.DUMMYFUNCTION("""COMPUTED_VALUE"""),0.4583333333333333)</f>
        <v>0.4583333333</v>
      </c>
      <c r="D4019" s="8">
        <f>IFERROR(__xludf.DUMMYFUNCTION("""COMPUTED_VALUE"""),0.461)</f>
        <v>0.461</v>
      </c>
      <c r="E4019" s="8" t="str">
        <f>IFERROR(__xludf.DUMMYFUNCTION("""COMPUTED_VALUE"""),"Real")</f>
        <v>Real</v>
      </c>
      <c r="G4019" s="8">
        <f t="shared" si="1"/>
        <v>4</v>
      </c>
      <c r="H4019" s="14">
        <f t="shared" si="2"/>
        <v>17</v>
      </c>
      <c r="I4019" s="15">
        <f t="shared" si="3"/>
        <v>11</v>
      </c>
    </row>
    <row r="4020">
      <c r="A4020" s="8" t="str">
        <f>IFERROR(__xludf.DUMMYFUNCTION("IF('(INGESTA)Datos_consumo_datadis'!A4020&lt;&gt;"""",SPLIT('(INGESTA)Datos_consumo_datadis'!A:A,"",""),"""")"),"ES0031408323131005HX0F")</f>
        <v>ES0031408323131005HX0F</v>
      </c>
      <c r="B4020" s="12">
        <f>IFERROR(__xludf.DUMMYFUNCTION("""COMPUTED_VALUE"""),45033.0)</f>
        <v>45033</v>
      </c>
      <c r="C4020" s="13">
        <f>IFERROR(__xludf.DUMMYFUNCTION("""COMPUTED_VALUE"""),0.5)</f>
        <v>0.5</v>
      </c>
      <c r="D4020" s="8">
        <f>IFERROR(__xludf.DUMMYFUNCTION("""COMPUTED_VALUE"""),1.096)</f>
        <v>1.096</v>
      </c>
      <c r="E4020" s="8" t="str">
        <f>IFERROR(__xludf.DUMMYFUNCTION("""COMPUTED_VALUE"""),"Real")</f>
        <v>Real</v>
      </c>
      <c r="G4020" s="8">
        <f t="shared" si="1"/>
        <v>4</v>
      </c>
      <c r="H4020" s="14">
        <f t="shared" si="2"/>
        <v>17</v>
      </c>
      <c r="I4020" s="15">
        <f t="shared" si="3"/>
        <v>12</v>
      </c>
    </row>
    <row r="4021">
      <c r="A4021" s="8" t="str">
        <f>IFERROR(__xludf.DUMMYFUNCTION("IF('(INGESTA)Datos_consumo_datadis'!A4021&lt;&gt;"""",SPLIT('(INGESTA)Datos_consumo_datadis'!A:A,"",""),"""")"),"ES0031408323131005HX0F")</f>
        <v>ES0031408323131005HX0F</v>
      </c>
      <c r="B4021" s="12">
        <f>IFERROR(__xludf.DUMMYFUNCTION("""COMPUTED_VALUE"""),45033.0)</f>
        <v>45033</v>
      </c>
      <c r="C4021" s="13">
        <f>IFERROR(__xludf.DUMMYFUNCTION("""COMPUTED_VALUE"""),0.5416666666666666)</f>
        <v>0.5416666667</v>
      </c>
      <c r="D4021" s="8">
        <f>IFERROR(__xludf.DUMMYFUNCTION("""COMPUTED_VALUE"""),0.642)</f>
        <v>0.642</v>
      </c>
      <c r="E4021" s="8" t="str">
        <f>IFERROR(__xludf.DUMMYFUNCTION("""COMPUTED_VALUE"""),"Real")</f>
        <v>Real</v>
      </c>
      <c r="G4021" s="8">
        <f t="shared" si="1"/>
        <v>4</v>
      </c>
      <c r="H4021" s="14">
        <f t="shared" si="2"/>
        <v>17</v>
      </c>
      <c r="I4021" s="15">
        <f t="shared" si="3"/>
        <v>13</v>
      </c>
    </row>
    <row r="4022">
      <c r="A4022" s="8" t="str">
        <f>IFERROR(__xludf.DUMMYFUNCTION("IF('(INGESTA)Datos_consumo_datadis'!A4022&lt;&gt;"""",SPLIT('(INGESTA)Datos_consumo_datadis'!A:A,"",""),"""")"),"ES0031408323131005HX0F")</f>
        <v>ES0031408323131005HX0F</v>
      </c>
      <c r="B4022" s="12">
        <f>IFERROR(__xludf.DUMMYFUNCTION("""COMPUTED_VALUE"""),45033.0)</f>
        <v>45033</v>
      </c>
      <c r="C4022" s="13">
        <f>IFERROR(__xludf.DUMMYFUNCTION("""COMPUTED_VALUE"""),0.5833333333333334)</f>
        <v>0.5833333333</v>
      </c>
      <c r="D4022" s="8">
        <f>IFERROR(__xludf.DUMMYFUNCTION("""COMPUTED_VALUE"""),0.488)</f>
        <v>0.488</v>
      </c>
      <c r="E4022" s="8" t="str">
        <f>IFERROR(__xludf.DUMMYFUNCTION("""COMPUTED_VALUE"""),"Real")</f>
        <v>Real</v>
      </c>
      <c r="G4022" s="8">
        <f t="shared" si="1"/>
        <v>4</v>
      </c>
      <c r="H4022" s="14">
        <f t="shared" si="2"/>
        <v>17</v>
      </c>
      <c r="I4022" s="15">
        <f t="shared" si="3"/>
        <v>14</v>
      </c>
    </row>
    <row r="4023">
      <c r="A4023" s="8" t="str">
        <f>IFERROR(__xludf.DUMMYFUNCTION("IF('(INGESTA)Datos_consumo_datadis'!A4023&lt;&gt;"""",SPLIT('(INGESTA)Datos_consumo_datadis'!A:A,"",""),"""")"),"ES0031408323131005HX0F")</f>
        <v>ES0031408323131005HX0F</v>
      </c>
      <c r="B4023" s="12">
        <f>IFERROR(__xludf.DUMMYFUNCTION("""COMPUTED_VALUE"""),45033.0)</f>
        <v>45033</v>
      </c>
      <c r="C4023" s="13">
        <f>IFERROR(__xludf.DUMMYFUNCTION("""COMPUTED_VALUE"""),0.625)</f>
        <v>0.625</v>
      </c>
      <c r="D4023" s="8">
        <f>IFERROR(__xludf.DUMMYFUNCTION("""COMPUTED_VALUE"""),0.254)</f>
        <v>0.254</v>
      </c>
      <c r="E4023" s="8" t="str">
        <f>IFERROR(__xludf.DUMMYFUNCTION("""COMPUTED_VALUE"""),"Real")</f>
        <v>Real</v>
      </c>
      <c r="G4023" s="8">
        <f t="shared" si="1"/>
        <v>4</v>
      </c>
      <c r="H4023" s="14">
        <f t="shared" si="2"/>
        <v>17</v>
      </c>
      <c r="I4023" s="15">
        <f t="shared" si="3"/>
        <v>15</v>
      </c>
    </row>
    <row r="4024">
      <c r="A4024" s="8" t="str">
        <f>IFERROR(__xludf.DUMMYFUNCTION("IF('(INGESTA)Datos_consumo_datadis'!A4024&lt;&gt;"""",SPLIT('(INGESTA)Datos_consumo_datadis'!A:A,"",""),"""")"),"ES0031408323131005HX0F")</f>
        <v>ES0031408323131005HX0F</v>
      </c>
      <c r="B4024" s="12">
        <f>IFERROR(__xludf.DUMMYFUNCTION("""COMPUTED_VALUE"""),45033.0)</f>
        <v>45033</v>
      </c>
      <c r="C4024" s="13">
        <f>IFERROR(__xludf.DUMMYFUNCTION("""COMPUTED_VALUE"""),0.6666666666666666)</f>
        <v>0.6666666667</v>
      </c>
      <c r="D4024" s="8">
        <f>IFERROR(__xludf.DUMMYFUNCTION("""COMPUTED_VALUE"""),0.018)</f>
        <v>0.018</v>
      </c>
      <c r="E4024" s="8" t="str">
        <f>IFERROR(__xludf.DUMMYFUNCTION("""COMPUTED_VALUE"""),"Real")</f>
        <v>Real</v>
      </c>
      <c r="G4024" s="8">
        <f t="shared" si="1"/>
        <v>4</v>
      </c>
      <c r="H4024" s="14">
        <f t="shared" si="2"/>
        <v>17</v>
      </c>
      <c r="I4024" s="15">
        <f t="shared" si="3"/>
        <v>16</v>
      </c>
    </row>
    <row r="4025">
      <c r="A4025" s="8" t="str">
        <f>IFERROR(__xludf.DUMMYFUNCTION("IF('(INGESTA)Datos_consumo_datadis'!A4025&lt;&gt;"""",SPLIT('(INGESTA)Datos_consumo_datadis'!A:A,"",""),"""")"),"ES0031408323131005HX0F")</f>
        <v>ES0031408323131005HX0F</v>
      </c>
      <c r="B4025" s="12">
        <f>IFERROR(__xludf.DUMMYFUNCTION("""COMPUTED_VALUE"""),45033.0)</f>
        <v>45033</v>
      </c>
      <c r="C4025" s="13">
        <f>IFERROR(__xludf.DUMMYFUNCTION("""COMPUTED_VALUE"""),0.7083333333333334)</f>
        <v>0.7083333333</v>
      </c>
      <c r="D4025" s="8">
        <f>IFERROR(__xludf.DUMMYFUNCTION("""COMPUTED_VALUE"""),0.083)</f>
        <v>0.083</v>
      </c>
      <c r="E4025" s="8" t="str">
        <f>IFERROR(__xludf.DUMMYFUNCTION("""COMPUTED_VALUE"""),"Real")</f>
        <v>Real</v>
      </c>
      <c r="G4025" s="8">
        <f t="shared" si="1"/>
        <v>4</v>
      </c>
      <c r="H4025" s="14">
        <f t="shared" si="2"/>
        <v>17</v>
      </c>
      <c r="I4025" s="15">
        <f t="shared" si="3"/>
        <v>17</v>
      </c>
    </row>
    <row r="4026">
      <c r="A4026" s="8" t="str">
        <f>IFERROR(__xludf.DUMMYFUNCTION("IF('(INGESTA)Datos_consumo_datadis'!A4026&lt;&gt;"""",SPLIT('(INGESTA)Datos_consumo_datadis'!A:A,"",""),"""")"),"ES0031408323131005HX0F")</f>
        <v>ES0031408323131005HX0F</v>
      </c>
      <c r="B4026" s="12">
        <f>IFERROR(__xludf.DUMMYFUNCTION("""COMPUTED_VALUE"""),45033.0)</f>
        <v>45033</v>
      </c>
      <c r="C4026" s="13">
        <f>IFERROR(__xludf.DUMMYFUNCTION("""COMPUTED_VALUE"""),0.75)</f>
        <v>0.75</v>
      </c>
      <c r="D4026" s="8">
        <f>IFERROR(__xludf.DUMMYFUNCTION("""COMPUTED_VALUE"""),0.085)</f>
        <v>0.085</v>
      </c>
      <c r="E4026" s="8" t="str">
        <f>IFERROR(__xludf.DUMMYFUNCTION("""COMPUTED_VALUE"""),"Real")</f>
        <v>Real</v>
      </c>
      <c r="G4026" s="8">
        <f t="shared" si="1"/>
        <v>4</v>
      </c>
      <c r="H4026" s="14">
        <f t="shared" si="2"/>
        <v>17</v>
      </c>
      <c r="I4026" s="15">
        <f t="shared" si="3"/>
        <v>18</v>
      </c>
    </row>
    <row r="4027">
      <c r="A4027" s="8" t="str">
        <f>IFERROR(__xludf.DUMMYFUNCTION("IF('(INGESTA)Datos_consumo_datadis'!A4027&lt;&gt;"""",SPLIT('(INGESTA)Datos_consumo_datadis'!A:A,"",""),"""")"),"ES0031408323131005HX0F")</f>
        <v>ES0031408323131005HX0F</v>
      </c>
      <c r="B4027" s="12">
        <f>IFERROR(__xludf.DUMMYFUNCTION("""COMPUTED_VALUE"""),45033.0)</f>
        <v>45033</v>
      </c>
      <c r="C4027" s="13">
        <f>IFERROR(__xludf.DUMMYFUNCTION("""COMPUTED_VALUE"""),0.7916666666666666)</f>
        <v>0.7916666667</v>
      </c>
      <c r="D4027" s="8">
        <f>IFERROR(__xludf.DUMMYFUNCTION("""COMPUTED_VALUE"""),0.326)</f>
        <v>0.326</v>
      </c>
      <c r="E4027" s="8" t="str">
        <f>IFERROR(__xludf.DUMMYFUNCTION("""COMPUTED_VALUE"""),"Real")</f>
        <v>Real</v>
      </c>
      <c r="G4027" s="8">
        <f t="shared" si="1"/>
        <v>4</v>
      </c>
      <c r="H4027" s="14">
        <f t="shared" si="2"/>
        <v>17</v>
      </c>
      <c r="I4027" s="15">
        <f t="shared" si="3"/>
        <v>19</v>
      </c>
    </row>
    <row r="4028">
      <c r="A4028" s="8" t="str">
        <f>IFERROR(__xludf.DUMMYFUNCTION("IF('(INGESTA)Datos_consumo_datadis'!A4028&lt;&gt;"""",SPLIT('(INGESTA)Datos_consumo_datadis'!A:A,"",""),"""")"),"ES0031408323131005HX0F")</f>
        <v>ES0031408323131005HX0F</v>
      </c>
      <c r="B4028" s="12">
        <f>IFERROR(__xludf.DUMMYFUNCTION("""COMPUTED_VALUE"""),45033.0)</f>
        <v>45033</v>
      </c>
      <c r="C4028" s="13">
        <f>IFERROR(__xludf.DUMMYFUNCTION("""COMPUTED_VALUE"""),0.8333333333333334)</f>
        <v>0.8333333333</v>
      </c>
      <c r="D4028" s="8">
        <f>IFERROR(__xludf.DUMMYFUNCTION("""COMPUTED_VALUE"""),0.059)</f>
        <v>0.059</v>
      </c>
      <c r="E4028" s="8" t="str">
        <f>IFERROR(__xludf.DUMMYFUNCTION("""COMPUTED_VALUE"""),"Real")</f>
        <v>Real</v>
      </c>
      <c r="G4028" s="8">
        <f t="shared" si="1"/>
        <v>4</v>
      </c>
      <c r="H4028" s="14">
        <f t="shared" si="2"/>
        <v>17</v>
      </c>
      <c r="I4028" s="15">
        <f t="shared" si="3"/>
        <v>20</v>
      </c>
    </row>
    <row r="4029">
      <c r="A4029" s="8" t="str">
        <f>IFERROR(__xludf.DUMMYFUNCTION("IF('(INGESTA)Datos_consumo_datadis'!A4029&lt;&gt;"""",SPLIT('(INGESTA)Datos_consumo_datadis'!A:A,"",""),"""")"),"ES0031408323131005HX0F")</f>
        <v>ES0031408323131005HX0F</v>
      </c>
      <c r="B4029" s="12">
        <f>IFERROR(__xludf.DUMMYFUNCTION("""COMPUTED_VALUE"""),45033.0)</f>
        <v>45033</v>
      </c>
      <c r="C4029" s="13">
        <f>IFERROR(__xludf.DUMMYFUNCTION("""COMPUTED_VALUE"""),0.875)</f>
        <v>0.875</v>
      </c>
      <c r="D4029" s="8">
        <f>IFERROR(__xludf.DUMMYFUNCTION("""COMPUTED_VALUE"""),0.693)</f>
        <v>0.693</v>
      </c>
      <c r="E4029" s="8" t="str">
        <f>IFERROR(__xludf.DUMMYFUNCTION("""COMPUTED_VALUE"""),"Real")</f>
        <v>Real</v>
      </c>
      <c r="G4029" s="8">
        <f t="shared" si="1"/>
        <v>4</v>
      </c>
      <c r="H4029" s="14">
        <f t="shared" si="2"/>
        <v>17</v>
      </c>
      <c r="I4029" s="15">
        <f t="shared" si="3"/>
        <v>21</v>
      </c>
    </row>
    <row r="4030">
      <c r="A4030" s="8" t="str">
        <f>IFERROR(__xludf.DUMMYFUNCTION("IF('(INGESTA)Datos_consumo_datadis'!A4030&lt;&gt;"""",SPLIT('(INGESTA)Datos_consumo_datadis'!A:A,"",""),"""")"),"ES0031408323131005HX0F")</f>
        <v>ES0031408323131005HX0F</v>
      </c>
      <c r="B4030" s="12">
        <f>IFERROR(__xludf.DUMMYFUNCTION("""COMPUTED_VALUE"""),45033.0)</f>
        <v>45033</v>
      </c>
      <c r="C4030" s="13">
        <f>IFERROR(__xludf.DUMMYFUNCTION("""COMPUTED_VALUE"""),0.9166666666666666)</f>
        <v>0.9166666667</v>
      </c>
      <c r="D4030" s="8">
        <f>IFERROR(__xludf.DUMMYFUNCTION("""COMPUTED_VALUE"""),1.543)</f>
        <v>1.543</v>
      </c>
      <c r="E4030" s="8" t="str">
        <f>IFERROR(__xludf.DUMMYFUNCTION("""COMPUTED_VALUE"""),"Real")</f>
        <v>Real</v>
      </c>
      <c r="G4030" s="8">
        <f t="shared" si="1"/>
        <v>4</v>
      </c>
      <c r="H4030" s="14">
        <f t="shared" si="2"/>
        <v>17</v>
      </c>
      <c r="I4030" s="15">
        <f t="shared" si="3"/>
        <v>22</v>
      </c>
    </row>
    <row r="4031">
      <c r="A4031" s="8" t="str">
        <f>IFERROR(__xludf.DUMMYFUNCTION("IF('(INGESTA)Datos_consumo_datadis'!A4031&lt;&gt;"""",SPLIT('(INGESTA)Datos_consumo_datadis'!A:A,"",""),"""")"),"ES0031408323131005HX0F")</f>
        <v>ES0031408323131005HX0F</v>
      </c>
      <c r="B4031" s="12">
        <f>IFERROR(__xludf.DUMMYFUNCTION("""COMPUTED_VALUE"""),45033.0)</f>
        <v>45033</v>
      </c>
      <c r="C4031" s="13">
        <f>IFERROR(__xludf.DUMMYFUNCTION("""COMPUTED_VALUE"""),0.9583333333333334)</f>
        <v>0.9583333333</v>
      </c>
      <c r="D4031" s="8">
        <f>IFERROR(__xludf.DUMMYFUNCTION("""COMPUTED_VALUE"""),2.323)</f>
        <v>2.323</v>
      </c>
      <c r="E4031" s="8" t="str">
        <f>IFERROR(__xludf.DUMMYFUNCTION("""COMPUTED_VALUE"""),"Real")</f>
        <v>Real</v>
      </c>
      <c r="G4031" s="8">
        <f t="shared" si="1"/>
        <v>4</v>
      </c>
      <c r="H4031" s="14">
        <f t="shared" si="2"/>
        <v>17</v>
      </c>
      <c r="I4031" s="15">
        <f t="shared" si="3"/>
        <v>23</v>
      </c>
    </row>
    <row r="4032">
      <c r="A4032" s="8" t="str">
        <f>IFERROR(__xludf.DUMMYFUNCTION("IF('(INGESTA)Datos_consumo_datadis'!A4032&lt;&gt;"""",SPLIT('(INGESTA)Datos_consumo_datadis'!A:A,"",""),"""")"),"ES0031408323131005HX0F")</f>
        <v>ES0031408323131005HX0F</v>
      </c>
      <c r="B4032" s="12">
        <f>IFERROR(__xludf.DUMMYFUNCTION("""COMPUTED_VALUE"""),45033.0)</f>
        <v>45033</v>
      </c>
      <c r="C4032" s="16">
        <f>IFERROR(__xludf.DUMMYFUNCTION("""COMPUTED_VALUE"""),1.0)</f>
        <v>1</v>
      </c>
      <c r="D4032" s="8">
        <f>IFERROR(__xludf.DUMMYFUNCTION("""COMPUTED_VALUE"""),1.859)</f>
        <v>1.859</v>
      </c>
      <c r="E4032" s="8" t="str">
        <f>IFERROR(__xludf.DUMMYFUNCTION("""COMPUTED_VALUE"""),"Real")</f>
        <v>Real</v>
      </c>
      <c r="G4032" s="8">
        <f t="shared" si="1"/>
        <v>4</v>
      </c>
      <c r="H4032" s="14">
        <f t="shared" si="2"/>
        <v>17</v>
      </c>
      <c r="I4032" s="15">
        <f t="shared" si="3"/>
        <v>0</v>
      </c>
    </row>
    <row r="4033">
      <c r="A4033" s="8" t="str">
        <f>IFERROR(__xludf.DUMMYFUNCTION("IF('(INGESTA)Datos_consumo_datadis'!A4033&lt;&gt;"""",SPLIT('(INGESTA)Datos_consumo_datadis'!A:A,"",""),"""")"),"ES0031408323131005HX0F")</f>
        <v>ES0031408323131005HX0F</v>
      </c>
      <c r="B4033" s="12">
        <f>IFERROR(__xludf.DUMMYFUNCTION("""COMPUTED_VALUE"""),45034.0)</f>
        <v>45034</v>
      </c>
      <c r="C4033" s="13">
        <f>IFERROR(__xludf.DUMMYFUNCTION("""COMPUTED_VALUE"""),0.041666666666666664)</f>
        <v>0.04166666667</v>
      </c>
      <c r="D4033" s="8">
        <f>IFERROR(__xludf.DUMMYFUNCTION("""COMPUTED_VALUE"""),0.166)</f>
        <v>0.166</v>
      </c>
      <c r="E4033" s="8" t="str">
        <f>IFERROR(__xludf.DUMMYFUNCTION("""COMPUTED_VALUE"""),"Real")</f>
        <v>Real</v>
      </c>
      <c r="G4033" s="8">
        <f t="shared" si="1"/>
        <v>4</v>
      </c>
      <c r="H4033" s="14">
        <f t="shared" si="2"/>
        <v>18</v>
      </c>
      <c r="I4033" s="15">
        <f t="shared" si="3"/>
        <v>1</v>
      </c>
    </row>
    <row r="4034">
      <c r="A4034" s="8" t="str">
        <f>IFERROR(__xludf.DUMMYFUNCTION("IF('(INGESTA)Datos_consumo_datadis'!A4034&lt;&gt;"""",SPLIT('(INGESTA)Datos_consumo_datadis'!A:A,"",""),"""")"),"ES0031408323131005HX0F")</f>
        <v>ES0031408323131005HX0F</v>
      </c>
      <c r="B4034" s="12">
        <f>IFERROR(__xludf.DUMMYFUNCTION("""COMPUTED_VALUE"""),45034.0)</f>
        <v>45034</v>
      </c>
      <c r="C4034" s="13">
        <f>IFERROR(__xludf.DUMMYFUNCTION("""COMPUTED_VALUE"""),0.08333333333333333)</f>
        <v>0.08333333333</v>
      </c>
      <c r="D4034" s="8">
        <f>IFERROR(__xludf.DUMMYFUNCTION("""COMPUTED_VALUE"""),0.022)</f>
        <v>0.022</v>
      </c>
      <c r="E4034" s="8" t="str">
        <f>IFERROR(__xludf.DUMMYFUNCTION("""COMPUTED_VALUE"""),"Real")</f>
        <v>Real</v>
      </c>
      <c r="G4034" s="8">
        <f t="shared" si="1"/>
        <v>4</v>
      </c>
      <c r="H4034" s="14">
        <f t="shared" si="2"/>
        <v>18</v>
      </c>
      <c r="I4034" s="15">
        <f t="shared" si="3"/>
        <v>2</v>
      </c>
    </row>
    <row r="4035">
      <c r="A4035" s="8" t="str">
        <f>IFERROR(__xludf.DUMMYFUNCTION("IF('(INGESTA)Datos_consumo_datadis'!A4035&lt;&gt;"""",SPLIT('(INGESTA)Datos_consumo_datadis'!A:A,"",""),"""")"),"ES0031408323131005HX0F")</f>
        <v>ES0031408323131005HX0F</v>
      </c>
      <c r="B4035" s="12">
        <f>IFERROR(__xludf.DUMMYFUNCTION("""COMPUTED_VALUE"""),45034.0)</f>
        <v>45034</v>
      </c>
      <c r="C4035" s="13">
        <f>IFERROR(__xludf.DUMMYFUNCTION("""COMPUTED_VALUE"""),0.125)</f>
        <v>0.125</v>
      </c>
      <c r="D4035" s="8">
        <f>IFERROR(__xludf.DUMMYFUNCTION("""COMPUTED_VALUE"""),0.131)</f>
        <v>0.131</v>
      </c>
      <c r="E4035" s="8" t="str">
        <f>IFERROR(__xludf.DUMMYFUNCTION("""COMPUTED_VALUE"""),"Real")</f>
        <v>Real</v>
      </c>
      <c r="G4035" s="8">
        <f t="shared" si="1"/>
        <v>4</v>
      </c>
      <c r="H4035" s="14">
        <f t="shared" si="2"/>
        <v>18</v>
      </c>
      <c r="I4035" s="15">
        <f t="shared" si="3"/>
        <v>3</v>
      </c>
    </row>
    <row r="4036">
      <c r="A4036" s="8" t="str">
        <f>IFERROR(__xludf.DUMMYFUNCTION("IF('(INGESTA)Datos_consumo_datadis'!A4036&lt;&gt;"""",SPLIT('(INGESTA)Datos_consumo_datadis'!A:A,"",""),"""")"),"ES0031408323131005HX0F")</f>
        <v>ES0031408323131005HX0F</v>
      </c>
      <c r="B4036" s="12">
        <f>IFERROR(__xludf.DUMMYFUNCTION("""COMPUTED_VALUE"""),45034.0)</f>
        <v>45034</v>
      </c>
      <c r="C4036" s="13">
        <f>IFERROR(__xludf.DUMMYFUNCTION("""COMPUTED_VALUE"""),0.16666666666666666)</f>
        <v>0.1666666667</v>
      </c>
      <c r="D4036" s="8">
        <f>IFERROR(__xludf.DUMMYFUNCTION("""COMPUTED_VALUE"""),0.06)</f>
        <v>0.06</v>
      </c>
      <c r="E4036" s="8" t="str">
        <f>IFERROR(__xludf.DUMMYFUNCTION("""COMPUTED_VALUE"""),"Real")</f>
        <v>Real</v>
      </c>
      <c r="G4036" s="8">
        <f t="shared" si="1"/>
        <v>4</v>
      </c>
      <c r="H4036" s="14">
        <f t="shared" si="2"/>
        <v>18</v>
      </c>
      <c r="I4036" s="15">
        <f t="shared" si="3"/>
        <v>4</v>
      </c>
    </row>
    <row r="4037">
      <c r="A4037" s="8" t="str">
        <f>IFERROR(__xludf.DUMMYFUNCTION("IF('(INGESTA)Datos_consumo_datadis'!A4037&lt;&gt;"""",SPLIT('(INGESTA)Datos_consumo_datadis'!A:A,"",""),"""")"),"ES0031408323131005HX0F")</f>
        <v>ES0031408323131005HX0F</v>
      </c>
      <c r="B4037" s="12">
        <f>IFERROR(__xludf.DUMMYFUNCTION("""COMPUTED_VALUE"""),45034.0)</f>
        <v>45034</v>
      </c>
      <c r="C4037" s="13">
        <f>IFERROR(__xludf.DUMMYFUNCTION("""COMPUTED_VALUE"""),0.20833333333333334)</f>
        <v>0.2083333333</v>
      </c>
      <c r="D4037" s="8">
        <f>IFERROR(__xludf.DUMMYFUNCTION("""COMPUTED_VALUE"""),0.264)</f>
        <v>0.264</v>
      </c>
      <c r="E4037" s="8" t="str">
        <f>IFERROR(__xludf.DUMMYFUNCTION("""COMPUTED_VALUE"""),"Real")</f>
        <v>Real</v>
      </c>
      <c r="G4037" s="8">
        <f t="shared" si="1"/>
        <v>4</v>
      </c>
      <c r="H4037" s="14">
        <f t="shared" si="2"/>
        <v>18</v>
      </c>
      <c r="I4037" s="15">
        <f t="shared" si="3"/>
        <v>5</v>
      </c>
    </row>
    <row r="4038">
      <c r="A4038" s="8" t="str">
        <f>IFERROR(__xludf.DUMMYFUNCTION("IF('(INGESTA)Datos_consumo_datadis'!A4038&lt;&gt;"""",SPLIT('(INGESTA)Datos_consumo_datadis'!A:A,"",""),"""")"),"ES0031408323131005HX0F")</f>
        <v>ES0031408323131005HX0F</v>
      </c>
      <c r="B4038" s="12">
        <f>IFERROR(__xludf.DUMMYFUNCTION("""COMPUTED_VALUE"""),45034.0)</f>
        <v>45034</v>
      </c>
      <c r="C4038" s="13">
        <f>IFERROR(__xludf.DUMMYFUNCTION("""COMPUTED_VALUE"""),0.25)</f>
        <v>0.25</v>
      </c>
      <c r="D4038" s="8">
        <f>IFERROR(__xludf.DUMMYFUNCTION("""COMPUTED_VALUE"""),0.1)</f>
        <v>0.1</v>
      </c>
      <c r="E4038" s="8" t="str">
        <f>IFERROR(__xludf.DUMMYFUNCTION("""COMPUTED_VALUE"""),"Real")</f>
        <v>Real</v>
      </c>
      <c r="G4038" s="8">
        <f t="shared" si="1"/>
        <v>4</v>
      </c>
      <c r="H4038" s="14">
        <f t="shared" si="2"/>
        <v>18</v>
      </c>
      <c r="I4038" s="15">
        <f t="shared" si="3"/>
        <v>6</v>
      </c>
    </row>
    <row r="4039">
      <c r="A4039" s="8" t="str">
        <f>IFERROR(__xludf.DUMMYFUNCTION("IF('(INGESTA)Datos_consumo_datadis'!A4039&lt;&gt;"""",SPLIT('(INGESTA)Datos_consumo_datadis'!A:A,"",""),"""")"),"ES0031408323131005HX0F")</f>
        <v>ES0031408323131005HX0F</v>
      </c>
      <c r="B4039" s="12">
        <f>IFERROR(__xludf.DUMMYFUNCTION("""COMPUTED_VALUE"""),45034.0)</f>
        <v>45034</v>
      </c>
      <c r="C4039" s="13">
        <f>IFERROR(__xludf.DUMMYFUNCTION("""COMPUTED_VALUE"""),0.2916666666666667)</f>
        <v>0.2916666667</v>
      </c>
      <c r="D4039" s="8">
        <f>IFERROR(__xludf.DUMMYFUNCTION("""COMPUTED_VALUE"""),0.076)</f>
        <v>0.076</v>
      </c>
      <c r="E4039" s="8" t="str">
        <f>IFERROR(__xludf.DUMMYFUNCTION("""COMPUTED_VALUE"""),"Real")</f>
        <v>Real</v>
      </c>
      <c r="G4039" s="8">
        <f t="shared" si="1"/>
        <v>4</v>
      </c>
      <c r="H4039" s="14">
        <f t="shared" si="2"/>
        <v>18</v>
      </c>
      <c r="I4039" s="15">
        <f t="shared" si="3"/>
        <v>7</v>
      </c>
    </row>
    <row r="4040">
      <c r="A4040" s="8" t="str">
        <f>IFERROR(__xludf.DUMMYFUNCTION("IF('(INGESTA)Datos_consumo_datadis'!A4040&lt;&gt;"""",SPLIT('(INGESTA)Datos_consumo_datadis'!A:A,"",""),"""")"),"ES0031408323131005HX0F")</f>
        <v>ES0031408323131005HX0F</v>
      </c>
      <c r="B4040" s="12">
        <f>IFERROR(__xludf.DUMMYFUNCTION("""COMPUTED_VALUE"""),45034.0)</f>
        <v>45034</v>
      </c>
      <c r="C4040" s="13">
        <f>IFERROR(__xludf.DUMMYFUNCTION("""COMPUTED_VALUE"""),0.3333333333333333)</f>
        <v>0.3333333333</v>
      </c>
      <c r="D4040" s="8">
        <f>IFERROR(__xludf.DUMMYFUNCTION("""COMPUTED_VALUE"""),0.381)</f>
        <v>0.381</v>
      </c>
      <c r="E4040" s="8" t="str">
        <f>IFERROR(__xludf.DUMMYFUNCTION("""COMPUTED_VALUE"""),"Real")</f>
        <v>Real</v>
      </c>
      <c r="G4040" s="8">
        <f t="shared" si="1"/>
        <v>4</v>
      </c>
      <c r="H4040" s="14">
        <f t="shared" si="2"/>
        <v>18</v>
      </c>
      <c r="I4040" s="15">
        <f t="shared" si="3"/>
        <v>8</v>
      </c>
    </row>
    <row r="4041">
      <c r="A4041" s="8" t="str">
        <f>IFERROR(__xludf.DUMMYFUNCTION("IF('(INGESTA)Datos_consumo_datadis'!A4041&lt;&gt;"""",SPLIT('(INGESTA)Datos_consumo_datadis'!A:A,"",""),"""")"),"ES0031408323131005HX0F")</f>
        <v>ES0031408323131005HX0F</v>
      </c>
      <c r="B4041" s="12">
        <f>IFERROR(__xludf.DUMMYFUNCTION("""COMPUTED_VALUE"""),45034.0)</f>
        <v>45034</v>
      </c>
      <c r="C4041" s="13">
        <f>IFERROR(__xludf.DUMMYFUNCTION("""COMPUTED_VALUE"""),0.375)</f>
        <v>0.375</v>
      </c>
      <c r="D4041" s="8">
        <f>IFERROR(__xludf.DUMMYFUNCTION("""COMPUTED_VALUE"""),0.112)</f>
        <v>0.112</v>
      </c>
      <c r="E4041" s="8" t="str">
        <f>IFERROR(__xludf.DUMMYFUNCTION("""COMPUTED_VALUE"""),"Real")</f>
        <v>Real</v>
      </c>
      <c r="G4041" s="8">
        <f t="shared" si="1"/>
        <v>4</v>
      </c>
      <c r="H4041" s="14">
        <f t="shared" si="2"/>
        <v>18</v>
      </c>
      <c r="I4041" s="15">
        <f t="shared" si="3"/>
        <v>9</v>
      </c>
    </row>
    <row r="4042">
      <c r="A4042" s="8" t="str">
        <f>IFERROR(__xludf.DUMMYFUNCTION("IF('(INGESTA)Datos_consumo_datadis'!A4042&lt;&gt;"""",SPLIT('(INGESTA)Datos_consumo_datadis'!A:A,"",""),"""")"),"ES0031408323131005HX0F")</f>
        <v>ES0031408323131005HX0F</v>
      </c>
      <c r="B4042" s="12">
        <f>IFERROR(__xludf.DUMMYFUNCTION("""COMPUTED_VALUE"""),45034.0)</f>
        <v>45034</v>
      </c>
      <c r="C4042" s="13">
        <f>IFERROR(__xludf.DUMMYFUNCTION("""COMPUTED_VALUE"""),0.4166666666666667)</f>
        <v>0.4166666667</v>
      </c>
      <c r="D4042" s="8">
        <f>IFERROR(__xludf.DUMMYFUNCTION("""COMPUTED_VALUE"""),0.06)</f>
        <v>0.06</v>
      </c>
      <c r="E4042" s="8" t="str">
        <f>IFERROR(__xludf.DUMMYFUNCTION("""COMPUTED_VALUE"""),"Real")</f>
        <v>Real</v>
      </c>
      <c r="G4042" s="8">
        <f t="shared" si="1"/>
        <v>4</v>
      </c>
      <c r="H4042" s="14">
        <f t="shared" si="2"/>
        <v>18</v>
      </c>
      <c r="I4042" s="15">
        <f t="shared" si="3"/>
        <v>10</v>
      </c>
    </row>
    <row r="4043">
      <c r="A4043" s="8" t="str">
        <f>IFERROR(__xludf.DUMMYFUNCTION("IF('(INGESTA)Datos_consumo_datadis'!A4043&lt;&gt;"""",SPLIT('(INGESTA)Datos_consumo_datadis'!A:A,"",""),"""")"),"ES0031408323131005HX0F")</f>
        <v>ES0031408323131005HX0F</v>
      </c>
      <c r="B4043" s="12">
        <f>IFERROR(__xludf.DUMMYFUNCTION("""COMPUTED_VALUE"""),45034.0)</f>
        <v>45034</v>
      </c>
      <c r="C4043" s="13">
        <f>IFERROR(__xludf.DUMMYFUNCTION("""COMPUTED_VALUE"""),0.4583333333333333)</f>
        <v>0.4583333333</v>
      </c>
      <c r="D4043" s="8">
        <f>IFERROR(__xludf.DUMMYFUNCTION("""COMPUTED_VALUE"""),0.016)</f>
        <v>0.016</v>
      </c>
      <c r="E4043" s="8" t="str">
        <f>IFERROR(__xludf.DUMMYFUNCTION("""COMPUTED_VALUE"""),"Real")</f>
        <v>Real</v>
      </c>
      <c r="G4043" s="8">
        <f t="shared" si="1"/>
        <v>4</v>
      </c>
      <c r="H4043" s="14">
        <f t="shared" si="2"/>
        <v>18</v>
      </c>
      <c r="I4043" s="15">
        <f t="shared" si="3"/>
        <v>11</v>
      </c>
    </row>
    <row r="4044">
      <c r="A4044" s="8" t="str">
        <f>IFERROR(__xludf.DUMMYFUNCTION("IF('(INGESTA)Datos_consumo_datadis'!A4044&lt;&gt;"""",SPLIT('(INGESTA)Datos_consumo_datadis'!A:A,"",""),"""")"),"ES0031408323131005HX0F")</f>
        <v>ES0031408323131005HX0F</v>
      </c>
      <c r="B4044" s="12">
        <f>IFERROR(__xludf.DUMMYFUNCTION("""COMPUTED_VALUE"""),45034.0)</f>
        <v>45034</v>
      </c>
      <c r="C4044" s="13">
        <f>IFERROR(__xludf.DUMMYFUNCTION("""COMPUTED_VALUE"""),0.5)</f>
        <v>0.5</v>
      </c>
      <c r="D4044" s="8">
        <f>IFERROR(__xludf.DUMMYFUNCTION("""COMPUTED_VALUE"""),0.072)</f>
        <v>0.072</v>
      </c>
      <c r="E4044" s="8" t="str">
        <f>IFERROR(__xludf.DUMMYFUNCTION("""COMPUTED_VALUE"""),"Real")</f>
        <v>Real</v>
      </c>
      <c r="G4044" s="8">
        <f t="shared" si="1"/>
        <v>4</v>
      </c>
      <c r="H4044" s="14">
        <f t="shared" si="2"/>
        <v>18</v>
      </c>
      <c r="I4044" s="15">
        <f t="shared" si="3"/>
        <v>12</v>
      </c>
    </row>
    <row r="4045">
      <c r="A4045" s="8" t="str">
        <f>IFERROR(__xludf.DUMMYFUNCTION("IF('(INGESTA)Datos_consumo_datadis'!A4045&lt;&gt;"""",SPLIT('(INGESTA)Datos_consumo_datadis'!A:A,"",""),"""")"),"ES0031408323131005HX0F")</f>
        <v>ES0031408323131005HX0F</v>
      </c>
      <c r="B4045" s="12">
        <f>IFERROR(__xludf.DUMMYFUNCTION("""COMPUTED_VALUE"""),45034.0)</f>
        <v>45034</v>
      </c>
      <c r="C4045" s="13">
        <f>IFERROR(__xludf.DUMMYFUNCTION("""COMPUTED_VALUE"""),0.5416666666666666)</f>
        <v>0.5416666667</v>
      </c>
      <c r="D4045" s="8">
        <f>IFERROR(__xludf.DUMMYFUNCTION("""COMPUTED_VALUE"""),0.07)</f>
        <v>0.07</v>
      </c>
      <c r="E4045" s="8" t="str">
        <f>IFERROR(__xludf.DUMMYFUNCTION("""COMPUTED_VALUE"""),"Real")</f>
        <v>Real</v>
      </c>
      <c r="G4045" s="8">
        <f t="shared" si="1"/>
        <v>4</v>
      </c>
      <c r="H4045" s="14">
        <f t="shared" si="2"/>
        <v>18</v>
      </c>
      <c r="I4045" s="15">
        <f t="shared" si="3"/>
        <v>13</v>
      </c>
    </row>
    <row r="4046">
      <c r="A4046" s="8" t="str">
        <f>IFERROR(__xludf.DUMMYFUNCTION("IF('(INGESTA)Datos_consumo_datadis'!A4046&lt;&gt;"""",SPLIT('(INGESTA)Datos_consumo_datadis'!A:A,"",""),"""")"),"ES0031408323131005HX0F")</f>
        <v>ES0031408323131005HX0F</v>
      </c>
      <c r="B4046" s="12">
        <f>IFERROR(__xludf.DUMMYFUNCTION("""COMPUTED_VALUE"""),45034.0)</f>
        <v>45034</v>
      </c>
      <c r="C4046" s="13">
        <f>IFERROR(__xludf.DUMMYFUNCTION("""COMPUTED_VALUE"""),0.5833333333333334)</f>
        <v>0.5833333333</v>
      </c>
      <c r="D4046" s="8">
        <f>IFERROR(__xludf.DUMMYFUNCTION("""COMPUTED_VALUE"""),0.271)</f>
        <v>0.271</v>
      </c>
      <c r="E4046" s="8" t="str">
        <f>IFERROR(__xludf.DUMMYFUNCTION("""COMPUTED_VALUE"""),"Real")</f>
        <v>Real</v>
      </c>
      <c r="G4046" s="8">
        <f t="shared" si="1"/>
        <v>4</v>
      </c>
      <c r="H4046" s="14">
        <f t="shared" si="2"/>
        <v>18</v>
      </c>
      <c r="I4046" s="15">
        <f t="shared" si="3"/>
        <v>14</v>
      </c>
    </row>
    <row r="4047">
      <c r="A4047" s="8" t="str">
        <f>IFERROR(__xludf.DUMMYFUNCTION("IF('(INGESTA)Datos_consumo_datadis'!A4047&lt;&gt;"""",SPLIT('(INGESTA)Datos_consumo_datadis'!A:A,"",""),"""")"),"ES0031408323131005HX0F")</f>
        <v>ES0031408323131005HX0F</v>
      </c>
      <c r="B4047" s="12">
        <f>IFERROR(__xludf.DUMMYFUNCTION("""COMPUTED_VALUE"""),45034.0)</f>
        <v>45034</v>
      </c>
      <c r="C4047" s="13">
        <f>IFERROR(__xludf.DUMMYFUNCTION("""COMPUTED_VALUE"""),0.625)</f>
        <v>0.625</v>
      </c>
      <c r="D4047" s="8">
        <f>IFERROR(__xludf.DUMMYFUNCTION("""COMPUTED_VALUE"""),0.056)</f>
        <v>0.056</v>
      </c>
      <c r="E4047" s="8" t="str">
        <f>IFERROR(__xludf.DUMMYFUNCTION("""COMPUTED_VALUE"""),"Real")</f>
        <v>Real</v>
      </c>
      <c r="G4047" s="8">
        <f t="shared" si="1"/>
        <v>4</v>
      </c>
      <c r="H4047" s="14">
        <f t="shared" si="2"/>
        <v>18</v>
      </c>
      <c r="I4047" s="15">
        <f t="shared" si="3"/>
        <v>15</v>
      </c>
    </row>
    <row r="4048">
      <c r="A4048" s="8" t="str">
        <f>IFERROR(__xludf.DUMMYFUNCTION("IF('(INGESTA)Datos_consumo_datadis'!A4048&lt;&gt;"""",SPLIT('(INGESTA)Datos_consumo_datadis'!A:A,"",""),"""")"),"ES0031408323131005HX0F")</f>
        <v>ES0031408323131005HX0F</v>
      </c>
      <c r="B4048" s="12">
        <f>IFERROR(__xludf.DUMMYFUNCTION("""COMPUTED_VALUE"""),45034.0)</f>
        <v>45034</v>
      </c>
      <c r="C4048" s="13">
        <f>IFERROR(__xludf.DUMMYFUNCTION("""COMPUTED_VALUE"""),0.6666666666666666)</f>
        <v>0.6666666667</v>
      </c>
      <c r="D4048" s="8">
        <f>IFERROR(__xludf.DUMMYFUNCTION("""COMPUTED_VALUE"""),0.199)</f>
        <v>0.199</v>
      </c>
      <c r="E4048" s="8" t="str">
        <f>IFERROR(__xludf.DUMMYFUNCTION("""COMPUTED_VALUE"""),"Real")</f>
        <v>Real</v>
      </c>
      <c r="G4048" s="8">
        <f t="shared" si="1"/>
        <v>4</v>
      </c>
      <c r="H4048" s="14">
        <f t="shared" si="2"/>
        <v>18</v>
      </c>
      <c r="I4048" s="15">
        <f t="shared" si="3"/>
        <v>16</v>
      </c>
    </row>
    <row r="4049">
      <c r="A4049" s="8" t="str">
        <f>IFERROR(__xludf.DUMMYFUNCTION("IF('(INGESTA)Datos_consumo_datadis'!A4049&lt;&gt;"""",SPLIT('(INGESTA)Datos_consumo_datadis'!A:A,"",""),"""")"),"ES0031408323131005HX0F")</f>
        <v>ES0031408323131005HX0F</v>
      </c>
      <c r="B4049" s="12">
        <f>IFERROR(__xludf.DUMMYFUNCTION("""COMPUTED_VALUE"""),45034.0)</f>
        <v>45034</v>
      </c>
      <c r="C4049" s="13">
        <f>IFERROR(__xludf.DUMMYFUNCTION("""COMPUTED_VALUE"""),0.7083333333333334)</f>
        <v>0.7083333333</v>
      </c>
      <c r="D4049" s="8">
        <f>IFERROR(__xludf.DUMMYFUNCTION("""COMPUTED_VALUE"""),0.347)</f>
        <v>0.347</v>
      </c>
      <c r="E4049" s="8" t="str">
        <f>IFERROR(__xludf.DUMMYFUNCTION("""COMPUTED_VALUE"""),"Real")</f>
        <v>Real</v>
      </c>
      <c r="G4049" s="8">
        <f t="shared" si="1"/>
        <v>4</v>
      </c>
      <c r="H4049" s="14">
        <f t="shared" si="2"/>
        <v>18</v>
      </c>
      <c r="I4049" s="15">
        <f t="shared" si="3"/>
        <v>17</v>
      </c>
    </row>
    <row r="4050">
      <c r="A4050" s="8" t="str">
        <f>IFERROR(__xludf.DUMMYFUNCTION("IF('(INGESTA)Datos_consumo_datadis'!A4050&lt;&gt;"""",SPLIT('(INGESTA)Datos_consumo_datadis'!A:A,"",""),"""")"),"ES0031408323131005HX0F")</f>
        <v>ES0031408323131005HX0F</v>
      </c>
      <c r="B4050" s="12">
        <f>IFERROR(__xludf.DUMMYFUNCTION("""COMPUTED_VALUE"""),45034.0)</f>
        <v>45034</v>
      </c>
      <c r="C4050" s="13">
        <f>IFERROR(__xludf.DUMMYFUNCTION("""COMPUTED_VALUE"""),0.75)</f>
        <v>0.75</v>
      </c>
      <c r="D4050" s="8">
        <f>IFERROR(__xludf.DUMMYFUNCTION("""COMPUTED_VALUE"""),0.42)</f>
        <v>0.42</v>
      </c>
      <c r="E4050" s="8" t="str">
        <f>IFERROR(__xludf.DUMMYFUNCTION("""COMPUTED_VALUE"""),"Real")</f>
        <v>Real</v>
      </c>
      <c r="G4050" s="8">
        <f t="shared" si="1"/>
        <v>4</v>
      </c>
      <c r="H4050" s="14">
        <f t="shared" si="2"/>
        <v>18</v>
      </c>
      <c r="I4050" s="15">
        <f t="shared" si="3"/>
        <v>18</v>
      </c>
    </row>
    <row r="4051">
      <c r="A4051" s="8" t="str">
        <f>IFERROR(__xludf.DUMMYFUNCTION("IF('(INGESTA)Datos_consumo_datadis'!A4051&lt;&gt;"""",SPLIT('(INGESTA)Datos_consumo_datadis'!A:A,"",""),"""")"),"ES0031408323131005HX0F")</f>
        <v>ES0031408323131005HX0F</v>
      </c>
      <c r="B4051" s="12">
        <f>IFERROR(__xludf.DUMMYFUNCTION("""COMPUTED_VALUE"""),45034.0)</f>
        <v>45034</v>
      </c>
      <c r="C4051" s="13">
        <f>IFERROR(__xludf.DUMMYFUNCTION("""COMPUTED_VALUE"""),0.7916666666666666)</f>
        <v>0.7916666667</v>
      </c>
      <c r="D4051" s="8">
        <f>IFERROR(__xludf.DUMMYFUNCTION("""COMPUTED_VALUE"""),0.635)</f>
        <v>0.635</v>
      </c>
      <c r="E4051" s="8" t="str">
        <f>IFERROR(__xludf.DUMMYFUNCTION("""COMPUTED_VALUE"""),"Real")</f>
        <v>Real</v>
      </c>
      <c r="G4051" s="8">
        <f t="shared" si="1"/>
        <v>4</v>
      </c>
      <c r="H4051" s="14">
        <f t="shared" si="2"/>
        <v>18</v>
      </c>
      <c r="I4051" s="15">
        <f t="shared" si="3"/>
        <v>19</v>
      </c>
    </row>
    <row r="4052">
      <c r="A4052" s="8" t="str">
        <f>IFERROR(__xludf.DUMMYFUNCTION("IF('(INGESTA)Datos_consumo_datadis'!A4052&lt;&gt;"""",SPLIT('(INGESTA)Datos_consumo_datadis'!A:A,"",""),"""")"),"ES0031408323131005HX0F")</f>
        <v>ES0031408323131005HX0F</v>
      </c>
      <c r="B4052" s="12">
        <f>IFERROR(__xludf.DUMMYFUNCTION("""COMPUTED_VALUE"""),45034.0)</f>
        <v>45034</v>
      </c>
      <c r="C4052" s="13">
        <f>IFERROR(__xludf.DUMMYFUNCTION("""COMPUTED_VALUE"""),0.8333333333333334)</f>
        <v>0.8333333333</v>
      </c>
      <c r="D4052" s="8">
        <f>IFERROR(__xludf.DUMMYFUNCTION("""COMPUTED_VALUE"""),1.043)</f>
        <v>1.043</v>
      </c>
      <c r="E4052" s="8" t="str">
        <f>IFERROR(__xludf.DUMMYFUNCTION("""COMPUTED_VALUE"""),"Real")</f>
        <v>Real</v>
      </c>
      <c r="G4052" s="8">
        <f t="shared" si="1"/>
        <v>4</v>
      </c>
      <c r="H4052" s="14">
        <f t="shared" si="2"/>
        <v>18</v>
      </c>
      <c r="I4052" s="15">
        <f t="shared" si="3"/>
        <v>20</v>
      </c>
    </row>
    <row r="4053">
      <c r="A4053" s="8" t="str">
        <f>IFERROR(__xludf.DUMMYFUNCTION("IF('(INGESTA)Datos_consumo_datadis'!A4053&lt;&gt;"""",SPLIT('(INGESTA)Datos_consumo_datadis'!A:A,"",""),"""")"),"ES0031408323131005HX0F")</f>
        <v>ES0031408323131005HX0F</v>
      </c>
      <c r="B4053" s="12">
        <f>IFERROR(__xludf.DUMMYFUNCTION("""COMPUTED_VALUE"""),45034.0)</f>
        <v>45034</v>
      </c>
      <c r="C4053" s="13">
        <f>IFERROR(__xludf.DUMMYFUNCTION("""COMPUTED_VALUE"""),0.875)</f>
        <v>0.875</v>
      </c>
      <c r="D4053" s="8">
        <f>IFERROR(__xludf.DUMMYFUNCTION("""COMPUTED_VALUE"""),0.038)</f>
        <v>0.038</v>
      </c>
      <c r="E4053" s="8" t="str">
        <f>IFERROR(__xludf.DUMMYFUNCTION("""COMPUTED_VALUE"""),"Real")</f>
        <v>Real</v>
      </c>
      <c r="G4053" s="8">
        <f t="shared" si="1"/>
        <v>4</v>
      </c>
      <c r="H4053" s="14">
        <f t="shared" si="2"/>
        <v>18</v>
      </c>
      <c r="I4053" s="15">
        <f t="shared" si="3"/>
        <v>21</v>
      </c>
    </row>
    <row r="4054">
      <c r="A4054" s="8" t="str">
        <f>IFERROR(__xludf.DUMMYFUNCTION("IF('(INGESTA)Datos_consumo_datadis'!A4054&lt;&gt;"""",SPLIT('(INGESTA)Datos_consumo_datadis'!A:A,"",""),"""")"),"ES0031408323131005HX0F")</f>
        <v>ES0031408323131005HX0F</v>
      </c>
      <c r="B4054" s="12">
        <f>IFERROR(__xludf.DUMMYFUNCTION("""COMPUTED_VALUE"""),45034.0)</f>
        <v>45034</v>
      </c>
      <c r="C4054" s="13">
        <f>IFERROR(__xludf.DUMMYFUNCTION("""COMPUTED_VALUE"""),0.9166666666666666)</f>
        <v>0.9166666667</v>
      </c>
      <c r="D4054" s="8">
        <f>IFERROR(__xludf.DUMMYFUNCTION("""COMPUTED_VALUE"""),0.547)</f>
        <v>0.547</v>
      </c>
      <c r="E4054" s="8" t="str">
        <f>IFERROR(__xludf.DUMMYFUNCTION("""COMPUTED_VALUE"""),"Real")</f>
        <v>Real</v>
      </c>
      <c r="G4054" s="8">
        <f t="shared" si="1"/>
        <v>4</v>
      </c>
      <c r="H4054" s="14">
        <f t="shared" si="2"/>
        <v>18</v>
      </c>
      <c r="I4054" s="15">
        <f t="shared" si="3"/>
        <v>22</v>
      </c>
    </row>
    <row r="4055">
      <c r="A4055" s="8" t="str">
        <f>IFERROR(__xludf.DUMMYFUNCTION("IF('(INGESTA)Datos_consumo_datadis'!A4055&lt;&gt;"""",SPLIT('(INGESTA)Datos_consumo_datadis'!A:A,"",""),"""")"),"ES0031408323131005HX0F")</f>
        <v>ES0031408323131005HX0F</v>
      </c>
      <c r="B4055" s="12">
        <f>IFERROR(__xludf.DUMMYFUNCTION("""COMPUTED_VALUE"""),45034.0)</f>
        <v>45034</v>
      </c>
      <c r="C4055" s="13">
        <f>IFERROR(__xludf.DUMMYFUNCTION("""COMPUTED_VALUE"""),0.9583333333333334)</f>
        <v>0.9583333333</v>
      </c>
      <c r="D4055" s="8">
        <f>IFERROR(__xludf.DUMMYFUNCTION("""COMPUTED_VALUE"""),1.403)</f>
        <v>1.403</v>
      </c>
      <c r="E4055" s="8" t="str">
        <f>IFERROR(__xludf.DUMMYFUNCTION("""COMPUTED_VALUE"""),"Real")</f>
        <v>Real</v>
      </c>
      <c r="G4055" s="8">
        <f t="shared" si="1"/>
        <v>4</v>
      </c>
      <c r="H4055" s="14">
        <f t="shared" si="2"/>
        <v>18</v>
      </c>
      <c r="I4055" s="15">
        <f t="shared" si="3"/>
        <v>23</v>
      </c>
    </row>
    <row r="4056">
      <c r="A4056" s="8" t="str">
        <f>IFERROR(__xludf.DUMMYFUNCTION("IF('(INGESTA)Datos_consumo_datadis'!A4056&lt;&gt;"""",SPLIT('(INGESTA)Datos_consumo_datadis'!A:A,"",""),"""")"),"ES0031408323131005HX0F")</f>
        <v>ES0031408323131005HX0F</v>
      </c>
      <c r="B4056" s="12">
        <f>IFERROR(__xludf.DUMMYFUNCTION("""COMPUTED_VALUE"""),45034.0)</f>
        <v>45034</v>
      </c>
      <c r="C4056" s="16">
        <f>IFERROR(__xludf.DUMMYFUNCTION("""COMPUTED_VALUE"""),1.0)</f>
        <v>1</v>
      </c>
      <c r="D4056" s="8">
        <f>IFERROR(__xludf.DUMMYFUNCTION("""COMPUTED_VALUE"""),0.714)</f>
        <v>0.714</v>
      </c>
      <c r="E4056" s="8" t="str">
        <f>IFERROR(__xludf.DUMMYFUNCTION("""COMPUTED_VALUE"""),"Real")</f>
        <v>Real</v>
      </c>
      <c r="G4056" s="8">
        <f t="shared" si="1"/>
        <v>4</v>
      </c>
      <c r="H4056" s="14">
        <f t="shared" si="2"/>
        <v>18</v>
      </c>
      <c r="I4056" s="15">
        <f t="shared" si="3"/>
        <v>0</v>
      </c>
    </row>
    <row r="4057">
      <c r="A4057" s="8" t="str">
        <f>IFERROR(__xludf.DUMMYFUNCTION("IF('(INGESTA)Datos_consumo_datadis'!A4057&lt;&gt;"""",SPLIT('(INGESTA)Datos_consumo_datadis'!A:A,"",""),"""")"),"ES0031408323131005HX0F")</f>
        <v>ES0031408323131005HX0F</v>
      </c>
      <c r="B4057" s="12">
        <f>IFERROR(__xludf.DUMMYFUNCTION("""COMPUTED_VALUE"""),45035.0)</f>
        <v>45035</v>
      </c>
      <c r="C4057" s="13">
        <f>IFERROR(__xludf.DUMMYFUNCTION("""COMPUTED_VALUE"""),0.041666666666666664)</f>
        <v>0.04166666667</v>
      </c>
      <c r="D4057" s="8">
        <f>IFERROR(__xludf.DUMMYFUNCTION("""COMPUTED_VALUE"""),0.358)</f>
        <v>0.358</v>
      </c>
      <c r="E4057" s="8" t="str">
        <f>IFERROR(__xludf.DUMMYFUNCTION("""COMPUTED_VALUE"""),"Real")</f>
        <v>Real</v>
      </c>
      <c r="G4057" s="8">
        <f t="shared" si="1"/>
        <v>4</v>
      </c>
      <c r="H4057" s="14">
        <f t="shared" si="2"/>
        <v>19</v>
      </c>
      <c r="I4057" s="15">
        <f t="shared" si="3"/>
        <v>1</v>
      </c>
    </row>
    <row r="4058">
      <c r="A4058" s="8" t="str">
        <f>IFERROR(__xludf.DUMMYFUNCTION("IF('(INGESTA)Datos_consumo_datadis'!A4058&lt;&gt;"""",SPLIT('(INGESTA)Datos_consumo_datadis'!A:A,"",""),"""")"),"ES0031408323131005HX0F")</f>
        <v>ES0031408323131005HX0F</v>
      </c>
      <c r="B4058" s="12">
        <f>IFERROR(__xludf.DUMMYFUNCTION("""COMPUTED_VALUE"""),45035.0)</f>
        <v>45035</v>
      </c>
      <c r="C4058" s="13">
        <f>IFERROR(__xludf.DUMMYFUNCTION("""COMPUTED_VALUE"""),0.08333333333333333)</f>
        <v>0.08333333333</v>
      </c>
      <c r="D4058" s="8">
        <f>IFERROR(__xludf.DUMMYFUNCTION("""COMPUTED_VALUE"""),0.023)</f>
        <v>0.023</v>
      </c>
      <c r="E4058" s="8" t="str">
        <f>IFERROR(__xludf.DUMMYFUNCTION("""COMPUTED_VALUE"""),"Real")</f>
        <v>Real</v>
      </c>
      <c r="G4058" s="8">
        <f t="shared" si="1"/>
        <v>4</v>
      </c>
      <c r="H4058" s="14">
        <f t="shared" si="2"/>
        <v>19</v>
      </c>
      <c r="I4058" s="15">
        <f t="shared" si="3"/>
        <v>2</v>
      </c>
    </row>
    <row r="4059">
      <c r="A4059" s="8" t="str">
        <f>IFERROR(__xludf.DUMMYFUNCTION("IF('(INGESTA)Datos_consumo_datadis'!A4059&lt;&gt;"""",SPLIT('(INGESTA)Datos_consumo_datadis'!A:A,"",""),"""")"),"ES0031408323131005HX0F")</f>
        <v>ES0031408323131005HX0F</v>
      </c>
      <c r="B4059" s="12">
        <f>IFERROR(__xludf.DUMMYFUNCTION("""COMPUTED_VALUE"""),45035.0)</f>
        <v>45035</v>
      </c>
      <c r="C4059" s="13">
        <f>IFERROR(__xludf.DUMMYFUNCTION("""COMPUTED_VALUE"""),0.125)</f>
        <v>0.125</v>
      </c>
      <c r="D4059" s="8">
        <f>IFERROR(__xludf.DUMMYFUNCTION("""COMPUTED_VALUE"""),0.054)</f>
        <v>0.054</v>
      </c>
      <c r="E4059" s="8" t="str">
        <f>IFERROR(__xludf.DUMMYFUNCTION("""COMPUTED_VALUE"""),"Real")</f>
        <v>Real</v>
      </c>
      <c r="G4059" s="8">
        <f t="shared" si="1"/>
        <v>4</v>
      </c>
      <c r="H4059" s="14">
        <f t="shared" si="2"/>
        <v>19</v>
      </c>
      <c r="I4059" s="15">
        <f t="shared" si="3"/>
        <v>3</v>
      </c>
    </row>
    <row r="4060">
      <c r="A4060" s="8" t="str">
        <f>IFERROR(__xludf.DUMMYFUNCTION("IF('(INGESTA)Datos_consumo_datadis'!A4060&lt;&gt;"""",SPLIT('(INGESTA)Datos_consumo_datadis'!A:A,"",""),"""")"),"ES0031408323131005HX0F")</f>
        <v>ES0031408323131005HX0F</v>
      </c>
      <c r="B4060" s="12">
        <f>IFERROR(__xludf.DUMMYFUNCTION("""COMPUTED_VALUE"""),45035.0)</f>
        <v>45035</v>
      </c>
      <c r="C4060" s="13">
        <f>IFERROR(__xludf.DUMMYFUNCTION("""COMPUTED_VALUE"""),0.16666666666666666)</f>
        <v>0.1666666667</v>
      </c>
      <c r="D4060" s="8">
        <f>IFERROR(__xludf.DUMMYFUNCTION("""COMPUTED_VALUE"""),0.134)</f>
        <v>0.134</v>
      </c>
      <c r="E4060" s="8" t="str">
        <f>IFERROR(__xludf.DUMMYFUNCTION("""COMPUTED_VALUE"""),"Real")</f>
        <v>Real</v>
      </c>
      <c r="G4060" s="8">
        <f t="shared" si="1"/>
        <v>4</v>
      </c>
      <c r="H4060" s="14">
        <f t="shared" si="2"/>
        <v>19</v>
      </c>
      <c r="I4060" s="15">
        <f t="shared" si="3"/>
        <v>4</v>
      </c>
    </row>
    <row r="4061">
      <c r="A4061" s="8" t="str">
        <f>IFERROR(__xludf.DUMMYFUNCTION("IF('(INGESTA)Datos_consumo_datadis'!A4061&lt;&gt;"""",SPLIT('(INGESTA)Datos_consumo_datadis'!A:A,"",""),"""")"),"ES0031408323131005HX0F")</f>
        <v>ES0031408323131005HX0F</v>
      </c>
      <c r="B4061" s="12">
        <f>IFERROR(__xludf.DUMMYFUNCTION("""COMPUTED_VALUE"""),45035.0)</f>
        <v>45035</v>
      </c>
      <c r="C4061" s="13">
        <f>IFERROR(__xludf.DUMMYFUNCTION("""COMPUTED_VALUE"""),0.20833333333333334)</f>
        <v>0.2083333333</v>
      </c>
      <c r="D4061" s="8">
        <f>IFERROR(__xludf.DUMMYFUNCTION("""COMPUTED_VALUE"""),0.062)</f>
        <v>0.062</v>
      </c>
      <c r="E4061" s="8" t="str">
        <f>IFERROR(__xludf.DUMMYFUNCTION("""COMPUTED_VALUE"""),"Real")</f>
        <v>Real</v>
      </c>
      <c r="G4061" s="8">
        <f t="shared" si="1"/>
        <v>4</v>
      </c>
      <c r="H4061" s="14">
        <f t="shared" si="2"/>
        <v>19</v>
      </c>
      <c r="I4061" s="15">
        <f t="shared" si="3"/>
        <v>5</v>
      </c>
    </row>
    <row r="4062">
      <c r="A4062" s="8" t="str">
        <f>IFERROR(__xludf.DUMMYFUNCTION("IF('(INGESTA)Datos_consumo_datadis'!A4062&lt;&gt;"""",SPLIT('(INGESTA)Datos_consumo_datadis'!A:A,"",""),"""")"),"ES0031408323131005HX0F")</f>
        <v>ES0031408323131005HX0F</v>
      </c>
      <c r="B4062" s="12">
        <f>IFERROR(__xludf.DUMMYFUNCTION("""COMPUTED_VALUE"""),45035.0)</f>
        <v>45035</v>
      </c>
      <c r="C4062" s="13">
        <f>IFERROR(__xludf.DUMMYFUNCTION("""COMPUTED_VALUE"""),0.25)</f>
        <v>0.25</v>
      </c>
      <c r="D4062" s="8">
        <f>IFERROR(__xludf.DUMMYFUNCTION("""COMPUTED_VALUE"""),0.125)</f>
        <v>0.125</v>
      </c>
      <c r="E4062" s="8" t="str">
        <f>IFERROR(__xludf.DUMMYFUNCTION("""COMPUTED_VALUE"""),"Real")</f>
        <v>Real</v>
      </c>
      <c r="G4062" s="8">
        <f t="shared" si="1"/>
        <v>4</v>
      </c>
      <c r="H4062" s="14">
        <f t="shared" si="2"/>
        <v>19</v>
      </c>
      <c r="I4062" s="15">
        <f t="shared" si="3"/>
        <v>6</v>
      </c>
    </row>
    <row r="4063">
      <c r="A4063" s="8" t="str">
        <f>IFERROR(__xludf.DUMMYFUNCTION("IF('(INGESTA)Datos_consumo_datadis'!A4063&lt;&gt;"""",SPLIT('(INGESTA)Datos_consumo_datadis'!A:A,"",""),"""")"),"ES0031408323131005HX0F")</f>
        <v>ES0031408323131005HX0F</v>
      </c>
      <c r="B4063" s="12">
        <f>IFERROR(__xludf.DUMMYFUNCTION("""COMPUTED_VALUE"""),45035.0)</f>
        <v>45035</v>
      </c>
      <c r="C4063" s="13">
        <f>IFERROR(__xludf.DUMMYFUNCTION("""COMPUTED_VALUE"""),0.2916666666666667)</f>
        <v>0.2916666667</v>
      </c>
      <c r="D4063" s="8">
        <f>IFERROR(__xludf.DUMMYFUNCTION("""COMPUTED_VALUE"""),0.355)</f>
        <v>0.355</v>
      </c>
      <c r="E4063" s="8" t="str">
        <f>IFERROR(__xludf.DUMMYFUNCTION("""COMPUTED_VALUE"""),"Real")</f>
        <v>Real</v>
      </c>
      <c r="G4063" s="8">
        <f t="shared" si="1"/>
        <v>4</v>
      </c>
      <c r="H4063" s="14">
        <f t="shared" si="2"/>
        <v>19</v>
      </c>
      <c r="I4063" s="15">
        <f t="shared" si="3"/>
        <v>7</v>
      </c>
    </row>
    <row r="4064">
      <c r="A4064" s="8" t="str">
        <f>IFERROR(__xludf.DUMMYFUNCTION("IF('(INGESTA)Datos_consumo_datadis'!A4064&lt;&gt;"""",SPLIT('(INGESTA)Datos_consumo_datadis'!A:A,"",""),"""")"),"ES0031408323131005HX0F")</f>
        <v>ES0031408323131005HX0F</v>
      </c>
      <c r="B4064" s="12">
        <f>IFERROR(__xludf.DUMMYFUNCTION("""COMPUTED_VALUE"""),45035.0)</f>
        <v>45035</v>
      </c>
      <c r="C4064" s="13">
        <f>IFERROR(__xludf.DUMMYFUNCTION("""COMPUTED_VALUE"""),0.3333333333333333)</f>
        <v>0.3333333333</v>
      </c>
      <c r="D4064" s="8">
        <f>IFERROR(__xludf.DUMMYFUNCTION("""COMPUTED_VALUE"""),0.072)</f>
        <v>0.072</v>
      </c>
      <c r="E4064" s="8" t="str">
        <f>IFERROR(__xludf.DUMMYFUNCTION("""COMPUTED_VALUE"""),"Real")</f>
        <v>Real</v>
      </c>
      <c r="G4064" s="8">
        <f t="shared" si="1"/>
        <v>4</v>
      </c>
      <c r="H4064" s="14">
        <f t="shared" si="2"/>
        <v>19</v>
      </c>
      <c r="I4064" s="15">
        <f t="shared" si="3"/>
        <v>8</v>
      </c>
    </row>
    <row r="4065">
      <c r="A4065" s="8" t="str">
        <f>IFERROR(__xludf.DUMMYFUNCTION("IF('(INGESTA)Datos_consumo_datadis'!A4065&lt;&gt;"""",SPLIT('(INGESTA)Datos_consumo_datadis'!A:A,"",""),"""")"),"ES0031408323131005HX0F")</f>
        <v>ES0031408323131005HX0F</v>
      </c>
      <c r="B4065" s="12">
        <f>IFERROR(__xludf.DUMMYFUNCTION("""COMPUTED_VALUE"""),45035.0)</f>
        <v>45035</v>
      </c>
      <c r="C4065" s="13">
        <f>IFERROR(__xludf.DUMMYFUNCTION("""COMPUTED_VALUE"""),0.375)</f>
        <v>0.375</v>
      </c>
      <c r="D4065" s="8">
        <f>IFERROR(__xludf.DUMMYFUNCTION("""COMPUTED_VALUE"""),0.088)</f>
        <v>0.088</v>
      </c>
      <c r="E4065" s="8" t="str">
        <f>IFERROR(__xludf.DUMMYFUNCTION("""COMPUTED_VALUE"""),"Real")</f>
        <v>Real</v>
      </c>
      <c r="G4065" s="8">
        <f t="shared" si="1"/>
        <v>4</v>
      </c>
      <c r="H4065" s="14">
        <f t="shared" si="2"/>
        <v>19</v>
      </c>
      <c r="I4065" s="15">
        <f t="shared" si="3"/>
        <v>9</v>
      </c>
    </row>
    <row r="4066">
      <c r="A4066" s="8" t="str">
        <f>IFERROR(__xludf.DUMMYFUNCTION("IF('(INGESTA)Datos_consumo_datadis'!A4066&lt;&gt;"""",SPLIT('(INGESTA)Datos_consumo_datadis'!A:A,"",""),"""")"),"ES0031408323131005HX0F")</f>
        <v>ES0031408323131005HX0F</v>
      </c>
      <c r="B4066" s="12">
        <f>IFERROR(__xludf.DUMMYFUNCTION("""COMPUTED_VALUE"""),45035.0)</f>
        <v>45035</v>
      </c>
      <c r="C4066" s="13">
        <f>IFERROR(__xludf.DUMMYFUNCTION("""COMPUTED_VALUE"""),0.4166666666666667)</f>
        <v>0.4166666667</v>
      </c>
      <c r="D4066" s="8">
        <f>IFERROR(__xludf.DUMMYFUNCTION("""COMPUTED_VALUE"""),0.492)</f>
        <v>0.492</v>
      </c>
      <c r="E4066" s="8" t="str">
        <f>IFERROR(__xludf.DUMMYFUNCTION("""COMPUTED_VALUE"""),"Real")</f>
        <v>Real</v>
      </c>
      <c r="G4066" s="8">
        <f t="shared" si="1"/>
        <v>4</v>
      </c>
      <c r="H4066" s="14">
        <f t="shared" si="2"/>
        <v>19</v>
      </c>
      <c r="I4066" s="15">
        <f t="shared" si="3"/>
        <v>10</v>
      </c>
    </row>
    <row r="4067">
      <c r="A4067" s="8" t="str">
        <f>IFERROR(__xludf.DUMMYFUNCTION("IF('(INGESTA)Datos_consumo_datadis'!A4067&lt;&gt;"""",SPLIT('(INGESTA)Datos_consumo_datadis'!A:A,"",""),"""")"),"ES0031408323131005HX0F")</f>
        <v>ES0031408323131005HX0F</v>
      </c>
      <c r="B4067" s="12">
        <f>IFERROR(__xludf.DUMMYFUNCTION("""COMPUTED_VALUE"""),45035.0)</f>
        <v>45035</v>
      </c>
      <c r="C4067" s="13">
        <f>IFERROR(__xludf.DUMMYFUNCTION("""COMPUTED_VALUE"""),0.4583333333333333)</f>
        <v>0.4583333333</v>
      </c>
      <c r="D4067" s="8">
        <f>IFERROR(__xludf.DUMMYFUNCTION("""COMPUTED_VALUE"""),0.062)</f>
        <v>0.062</v>
      </c>
      <c r="E4067" s="8" t="str">
        <f>IFERROR(__xludf.DUMMYFUNCTION("""COMPUTED_VALUE"""),"Real")</f>
        <v>Real</v>
      </c>
      <c r="G4067" s="8">
        <f t="shared" si="1"/>
        <v>4</v>
      </c>
      <c r="H4067" s="14">
        <f t="shared" si="2"/>
        <v>19</v>
      </c>
      <c r="I4067" s="15">
        <f t="shared" si="3"/>
        <v>11</v>
      </c>
    </row>
    <row r="4068">
      <c r="A4068" s="8" t="str">
        <f>IFERROR(__xludf.DUMMYFUNCTION("IF('(INGESTA)Datos_consumo_datadis'!A4068&lt;&gt;"""",SPLIT('(INGESTA)Datos_consumo_datadis'!A:A,"",""),"""")"),"ES0031408323131005HX0F")</f>
        <v>ES0031408323131005HX0F</v>
      </c>
      <c r="B4068" s="12">
        <f>IFERROR(__xludf.DUMMYFUNCTION("""COMPUTED_VALUE"""),45035.0)</f>
        <v>45035</v>
      </c>
      <c r="C4068" s="13">
        <f>IFERROR(__xludf.DUMMYFUNCTION("""COMPUTED_VALUE"""),0.5)</f>
        <v>0.5</v>
      </c>
      <c r="D4068" s="8">
        <f>IFERROR(__xludf.DUMMYFUNCTION("""COMPUTED_VALUE"""),0.068)</f>
        <v>0.068</v>
      </c>
      <c r="E4068" s="8" t="str">
        <f>IFERROR(__xludf.DUMMYFUNCTION("""COMPUTED_VALUE"""),"Real")</f>
        <v>Real</v>
      </c>
      <c r="G4068" s="8">
        <f t="shared" si="1"/>
        <v>4</v>
      </c>
      <c r="H4068" s="14">
        <f t="shared" si="2"/>
        <v>19</v>
      </c>
      <c r="I4068" s="15">
        <f t="shared" si="3"/>
        <v>12</v>
      </c>
    </row>
    <row r="4069">
      <c r="A4069" s="8" t="str">
        <f>IFERROR(__xludf.DUMMYFUNCTION("IF('(INGESTA)Datos_consumo_datadis'!A4069&lt;&gt;"""",SPLIT('(INGESTA)Datos_consumo_datadis'!A:A,"",""),"""")"),"ES0031408323131005HX0F")</f>
        <v>ES0031408323131005HX0F</v>
      </c>
      <c r="B4069" s="12">
        <f>IFERROR(__xludf.DUMMYFUNCTION("""COMPUTED_VALUE"""),45035.0)</f>
        <v>45035</v>
      </c>
      <c r="C4069" s="13">
        <f>IFERROR(__xludf.DUMMYFUNCTION("""COMPUTED_VALUE"""),0.5416666666666666)</f>
        <v>0.5416666667</v>
      </c>
      <c r="D4069" s="8">
        <f>IFERROR(__xludf.DUMMYFUNCTION("""COMPUTED_VALUE"""),0.018)</f>
        <v>0.018</v>
      </c>
      <c r="E4069" s="8" t="str">
        <f>IFERROR(__xludf.DUMMYFUNCTION("""COMPUTED_VALUE"""),"Real")</f>
        <v>Real</v>
      </c>
      <c r="G4069" s="8">
        <f t="shared" si="1"/>
        <v>4</v>
      </c>
      <c r="H4069" s="14">
        <f t="shared" si="2"/>
        <v>19</v>
      </c>
      <c r="I4069" s="15">
        <f t="shared" si="3"/>
        <v>13</v>
      </c>
    </row>
    <row r="4070">
      <c r="A4070" s="8" t="str">
        <f>IFERROR(__xludf.DUMMYFUNCTION("IF('(INGESTA)Datos_consumo_datadis'!A4070&lt;&gt;"""",SPLIT('(INGESTA)Datos_consumo_datadis'!A:A,"",""),"""")"),"ES0031408323131005HX0F")</f>
        <v>ES0031408323131005HX0F</v>
      </c>
      <c r="B4070" s="12">
        <f>IFERROR(__xludf.DUMMYFUNCTION("""COMPUTED_VALUE"""),45035.0)</f>
        <v>45035</v>
      </c>
      <c r="C4070" s="13">
        <f>IFERROR(__xludf.DUMMYFUNCTION("""COMPUTED_VALUE"""),0.5833333333333334)</f>
        <v>0.5833333333</v>
      </c>
      <c r="D4070" s="8">
        <f>IFERROR(__xludf.DUMMYFUNCTION("""COMPUTED_VALUE"""),0.355)</f>
        <v>0.355</v>
      </c>
      <c r="E4070" s="8" t="str">
        <f>IFERROR(__xludf.DUMMYFUNCTION("""COMPUTED_VALUE"""),"Real")</f>
        <v>Real</v>
      </c>
      <c r="G4070" s="8">
        <f t="shared" si="1"/>
        <v>4</v>
      </c>
      <c r="H4070" s="14">
        <f t="shared" si="2"/>
        <v>19</v>
      </c>
      <c r="I4070" s="15">
        <f t="shared" si="3"/>
        <v>14</v>
      </c>
    </row>
    <row r="4071">
      <c r="A4071" s="8" t="str">
        <f>IFERROR(__xludf.DUMMYFUNCTION("IF('(INGESTA)Datos_consumo_datadis'!A4071&lt;&gt;"""",SPLIT('(INGESTA)Datos_consumo_datadis'!A:A,"",""),"""")"),"ES0031408323131005HX0F")</f>
        <v>ES0031408323131005HX0F</v>
      </c>
      <c r="B4071" s="12">
        <f>IFERROR(__xludf.DUMMYFUNCTION("""COMPUTED_VALUE"""),45035.0)</f>
        <v>45035</v>
      </c>
      <c r="C4071" s="13">
        <f>IFERROR(__xludf.DUMMYFUNCTION("""COMPUTED_VALUE"""),0.625)</f>
        <v>0.625</v>
      </c>
      <c r="D4071" s="8">
        <f>IFERROR(__xludf.DUMMYFUNCTION("""COMPUTED_VALUE"""),0.056)</f>
        <v>0.056</v>
      </c>
      <c r="E4071" s="8" t="str">
        <f>IFERROR(__xludf.DUMMYFUNCTION("""COMPUTED_VALUE"""),"Real")</f>
        <v>Real</v>
      </c>
      <c r="G4071" s="8">
        <f t="shared" si="1"/>
        <v>4</v>
      </c>
      <c r="H4071" s="14">
        <f t="shared" si="2"/>
        <v>19</v>
      </c>
      <c r="I4071" s="15">
        <f t="shared" si="3"/>
        <v>15</v>
      </c>
    </row>
    <row r="4072">
      <c r="A4072" s="8" t="str">
        <f>IFERROR(__xludf.DUMMYFUNCTION("IF('(INGESTA)Datos_consumo_datadis'!A4072&lt;&gt;"""",SPLIT('(INGESTA)Datos_consumo_datadis'!A:A,"",""),"""")"),"ES0031408323131005HX0F")</f>
        <v>ES0031408323131005HX0F</v>
      </c>
      <c r="B4072" s="12">
        <f>IFERROR(__xludf.DUMMYFUNCTION("""COMPUTED_VALUE"""),45035.0)</f>
        <v>45035</v>
      </c>
      <c r="C4072" s="13">
        <f>IFERROR(__xludf.DUMMYFUNCTION("""COMPUTED_VALUE"""),0.6666666666666666)</f>
        <v>0.6666666667</v>
      </c>
      <c r="D4072" s="8">
        <f>IFERROR(__xludf.DUMMYFUNCTION("""COMPUTED_VALUE"""),0.587)</f>
        <v>0.587</v>
      </c>
      <c r="E4072" s="8" t="str">
        <f>IFERROR(__xludf.DUMMYFUNCTION("""COMPUTED_VALUE"""),"Real")</f>
        <v>Real</v>
      </c>
      <c r="G4072" s="8">
        <f t="shared" si="1"/>
        <v>4</v>
      </c>
      <c r="H4072" s="14">
        <f t="shared" si="2"/>
        <v>19</v>
      </c>
      <c r="I4072" s="15">
        <f t="shared" si="3"/>
        <v>16</v>
      </c>
    </row>
    <row r="4073">
      <c r="A4073" s="8" t="str">
        <f>IFERROR(__xludf.DUMMYFUNCTION("IF('(INGESTA)Datos_consumo_datadis'!A4073&lt;&gt;"""",SPLIT('(INGESTA)Datos_consumo_datadis'!A:A,"",""),"""")"),"ES0031408323131005HX0F")</f>
        <v>ES0031408323131005HX0F</v>
      </c>
      <c r="B4073" s="12">
        <f>IFERROR(__xludf.DUMMYFUNCTION("""COMPUTED_VALUE"""),45035.0)</f>
        <v>45035</v>
      </c>
      <c r="C4073" s="13">
        <f>IFERROR(__xludf.DUMMYFUNCTION("""COMPUTED_VALUE"""),0.7083333333333334)</f>
        <v>0.7083333333</v>
      </c>
      <c r="D4073" s="8">
        <f>IFERROR(__xludf.DUMMYFUNCTION("""COMPUTED_VALUE"""),0.111)</f>
        <v>0.111</v>
      </c>
      <c r="E4073" s="8" t="str">
        <f>IFERROR(__xludf.DUMMYFUNCTION("""COMPUTED_VALUE"""),"Real")</f>
        <v>Real</v>
      </c>
      <c r="G4073" s="8">
        <f t="shared" si="1"/>
        <v>4</v>
      </c>
      <c r="H4073" s="14">
        <f t="shared" si="2"/>
        <v>19</v>
      </c>
      <c r="I4073" s="15">
        <f t="shared" si="3"/>
        <v>17</v>
      </c>
    </row>
    <row r="4074">
      <c r="A4074" s="8" t="str">
        <f>IFERROR(__xludf.DUMMYFUNCTION("IF('(INGESTA)Datos_consumo_datadis'!A4074&lt;&gt;"""",SPLIT('(INGESTA)Datos_consumo_datadis'!A:A,"",""),"""")"),"ES0031408323131005HX0F")</f>
        <v>ES0031408323131005HX0F</v>
      </c>
      <c r="B4074" s="12">
        <f>IFERROR(__xludf.DUMMYFUNCTION("""COMPUTED_VALUE"""),45035.0)</f>
        <v>45035</v>
      </c>
      <c r="C4074" s="13">
        <f>IFERROR(__xludf.DUMMYFUNCTION("""COMPUTED_VALUE"""),0.75)</f>
        <v>0.75</v>
      </c>
      <c r="D4074" s="8">
        <f>IFERROR(__xludf.DUMMYFUNCTION("""COMPUTED_VALUE"""),0.074)</f>
        <v>0.074</v>
      </c>
      <c r="E4074" s="8" t="str">
        <f>IFERROR(__xludf.DUMMYFUNCTION("""COMPUTED_VALUE"""),"Real")</f>
        <v>Real</v>
      </c>
      <c r="G4074" s="8">
        <f t="shared" si="1"/>
        <v>4</v>
      </c>
      <c r="H4074" s="14">
        <f t="shared" si="2"/>
        <v>19</v>
      </c>
      <c r="I4074" s="15">
        <f t="shared" si="3"/>
        <v>18</v>
      </c>
    </row>
    <row r="4075">
      <c r="A4075" s="8" t="str">
        <f>IFERROR(__xludf.DUMMYFUNCTION("IF('(INGESTA)Datos_consumo_datadis'!A4075&lt;&gt;"""",SPLIT('(INGESTA)Datos_consumo_datadis'!A:A,"",""),"""")"),"ES0031408323131005HX0F")</f>
        <v>ES0031408323131005HX0F</v>
      </c>
      <c r="B4075" s="12">
        <f>IFERROR(__xludf.DUMMYFUNCTION("""COMPUTED_VALUE"""),45035.0)</f>
        <v>45035</v>
      </c>
      <c r="C4075" s="13">
        <f>IFERROR(__xludf.DUMMYFUNCTION("""COMPUTED_VALUE"""),0.7916666666666666)</f>
        <v>0.7916666667</v>
      </c>
      <c r="D4075" s="8">
        <f>IFERROR(__xludf.DUMMYFUNCTION("""COMPUTED_VALUE"""),0.288)</f>
        <v>0.288</v>
      </c>
      <c r="E4075" s="8" t="str">
        <f>IFERROR(__xludf.DUMMYFUNCTION("""COMPUTED_VALUE"""),"Real")</f>
        <v>Real</v>
      </c>
      <c r="G4075" s="8">
        <f t="shared" si="1"/>
        <v>4</v>
      </c>
      <c r="H4075" s="14">
        <f t="shared" si="2"/>
        <v>19</v>
      </c>
      <c r="I4075" s="15">
        <f t="shared" si="3"/>
        <v>19</v>
      </c>
    </row>
    <row r="4076">
      <c r="A4076" s="8" t="str">
        <f>IFERROR(__xludf.DUMMYFUNCTION("IF('(INGESTA)Datos_consumo_datadis'!A4076&lt;&gt;"""",SPLIT('(INGESTA)Datos_consumo_datadis'!A:A,"",""),"""")"),"ES0031408323131005HX0F")</f>
        <v>ES0031408323131005HX0F</v>
      </c>
      <c r="B4076" s="12">
        <f>IFERROR(__xludf.DUMMYFUNCTION("""COMPUTED_VALUE"""),45035.0)</f>
        <v>45035</v>
      </c>
      <c r="C4076" s="13">
        <f>IFERROR(__xludf.DUMMYFUNCTION("""COMPUTED_VALUE"""),0.8333333333333334)</f>
        <v>0.8333333333</v>
      </c>
      <c r="D4076" s="8">
        <f>IFERROR(__xludf.DUMMYFUNCTION("""COMPUTED_VALUE"""),0.061)</f>
        <v>0.061</v>
      </c>
      <c r="E4076" s="8" t="str">
        <f>IFERROR(__xludf.DUMMYFUNCTION("""COMPUTED_VALUE"""),"Real")</f>
        <v>Real</v>
      </c>
      <c r="G4076" s="8">
        <f t="shared" si="1"/>
        <v>4</v>
      </c>
      <c r="H4076" s="14">
        <f t="shared" si="2"/>
        <v>19</v>
      </c>
      <c r="I4076" s="15">
        <f t="shared" si="3"/>
        <v>20</v>
      </c>
    </row>
    <row r="4077">
      <c r="A4077" s="8" t="str">
        <f>IFERROR(__xludf.DUMMYFUNCTION("IF('(INGESTA)Datos_consumo_datadis'!A4077&lt;&gt;"""",SPLIT('(INGESTA)Datos_consumo_datadis'!A:A,"",""),"""")"),"ES0031408323131005HX0F")</f>
        <v>ES0031408323131005HX0F</v>
      </c>
      <c r="B4077" s="12">
        <f>IFERROR(__xludf.DUMMYFUNCTION("""COMPUTED_VALUE"""),45035.0)</f>
        <v>45035</v>
      </c>
      <c r="C4077" s="13">
        <f>IFERROR(__xludf.DUMMYFUNCTION("""COMPUTED_VALUE"""),0.875)</f>
        <v>0.875</v>
      </c>
      <c r="D4077" s="8">
        <f>IFERROR(__xludf.DUMMYFUNCTION("""COMPUTED_VALUE"""),0.273)</f>
        <v>0.273</v>
      </c>
      <c r="E4077" s="8" t="str">
        <f>IFERROR(__xludf.DUMMYFUNCTION("""COMPUTED_VALUE"""),"Real")</f>
        <v>Real</v>
      </c>
      <c r="G4077" s="8">
        <f t="shared" si="1"/>
        <v>4</v>
      </c>
      <c r="H4077" s="14">
        <f t="shared" si="2"/>
        <v>19</v>
      </c>
      <c r="I4077" s="15">
        <f t="shared" si="3"/>
        <v>21</v>
      </c>
    </row>
    <row r="4078">
      <c r="A4078" s="8" t="str">
        <f>IFERROR(__xludf.DUMMYFUNCTION("IF('(INGESTA)Datos_consumo_datadis'!A4078&lt;&gt;"""",SPLIT('(INGESTA)Datos_consumo_datadis'!A:A,"",""),"""")"),"ES0031408323131005HX0F")</f>
        <v>ES0031408323131005HX0F</v>
      </c>
      <c r="B4078" s="12">
        <f>IFERROR(__xludf.DUMMYFUNCTION("""COMPUTED_VALUE"""),45035.0)</f>
        <v>45035</v>
      </c>
      <c r="C4078" s="13">
        <f>IFERROR(__xludf.DUMMYFUNCTION("""COMPUTED_VALUE"""),0.9166666666666666)</f>
        <v>0.9166666667</v>
      </c>
      <c r="D4078" s="8">
        <f>IFERROR(__xludf.DUMMYFUNCTION("""COMPUTED_VALUE"""),1.556)</f>
        <v>1.556</v>
      </c>
      <c r="E4078" s="8" t="str">
        <f>IFERROR(__xludf.DUMMYFUNCTION("""COMPUTED_VALUE"""),"Real")</f>
        <v>Real</v>
      </c>
      <c r="G4078" s="8">
        <f t="shared" si="1"/>
        <v>4</v>
      </c>
      <c r="H4078" s="14">
        <f t="shared" si="2"/>
        <v>19</v>
      </c>
      <c r="I4078" s="15">
        <f t="shared" si="3"/>
        <v>22</v>
      </c>
    </row>
    <row r="4079">
      <c r="A4079" s="8" t="str">
        <f>IFERROR(__xludf.DUMMYFUNCTION("IF('(INGESTA)Datos_consumo_datadis'!A4079&lt;&gt;"""",SPLIT('(INGESTA)Datos_consumo_datadis'!A:A,"",""),"""")"),"ES0031408323131005HX0F")</f>
        <v>ES0031408323131005HX0F</v>
      </c>
      <c r="B4079" s="12">
        <f>IFERROR(__xludf.DUMMYFUNCTION("""COMPUTED_VALUE"""),45035.0)</f>
        <v>45035</v>
      </c>
      <c r="C4079" s="13">
        <f>IFERROR(__xludf.DUMMYFUNCTION("""COMPUTED_VALUE"""),0.9583333333333334)</f>
        <v>0.9583333333</v>
      </c>
      <c r="D4079" s="8">
        <f>IFERROR(__xludf.DUMMYFUNCTION("""COMPUTED_VALUE"""),2.66)</f>
        <v>2.66</v>
      </c>
      <c r="E4079" s="8" t="str">
        <f>IFERROR(__xludf.DUMMYFUNCTION("""COMPUTED_VALUE"""),"Real")</f>
        <v>Real</v>
      </c>
      <c r="G4079" s="8">
        <f t="shared" si="1"/>
        <v>4</v>
      </c>
      <c r="H4079" s="14">
        <f t="shared" si="2"/>
        <v>19</v>
      </c>
      <c r="I4079" s="15">
        <f t="shared" si="3"/>
        <v>23</v>
      </c>
    </row>
    <row r="4080">
      <c r="A4080" s="8" t="str">
        <f>IFERROR(__xludf.DUMMYFUNCTION("IF('(INGESTA)Datos_consumo_datadis'!A4080&lt;&gt;"""",SPLIT('(INGESTA)Datos_consumo_datadis'!A:A,"",""),"""")"),"ES0031408323131005HX0F")</f>
        <v>ES0031408323131005HX0F</v>
      </c>
      <c r="B4080" s="12">
        <f>IFERROR(__xludf.DUMMYFUNCTION("""COMPUTED_VALUE"""),45035.0)</f>
        <v>45035</v>
      </c>
      <c r="C4080" s="16">
        <f>IFERROR(__xludf.DUMMYFUNCTION("""COMPUTED_VALUE"""),1.0)</f>
        <v>1</v>
      </c>
      <c r="D4080" s="8">
        <f>IFERROR(__xludf.DUMMYFUNCTION("""COMPUTED_VALUE"""),1.154)</f>
        <v>1.154</v>
      </c>
      <c r="E4080" s="8" t="str">
        <f>IFERROR(__xludf.DUMMYFUNCTION("""COMPUTED_VALUE"""),"Real")</f>
        <v>Real</v>
      </c>
      <c r="G4080" s="8">
        <f t="shared" si="1"/>
        <v>4</v>
      </c>
      <c r="H4080" s="14">
        <f t="shared" si="2"/>
        <v>19</v>
      </c>
      <c r="I4080" s="15">
        <f t="shared" si="3"/>
        <v>0</v>
      </c>
    </row>
    <row r="4081">
      <c r="A4081" s="8" t="str">
        <f>IFERROR(__xludf.DUMMYFUNCTION("IF('(INGESTA)Datos_consumo_datadis'!A4081&lt;&gt;"""",SPLIT('(INGESTA)Datos_consumo_datadis'!A:A,"",""),"""")"),"ES0031408323131005HX0F")</f>
        <v>ES0031408323131005HX0F</v>
      </c>
      <c r="B4081" s="12">
        <f>IFERROR(__xludf.DUMMYFUNCTION("""COMPUTED_VALUE"""),45036.0)</f>
        <v>45036</v>
      </c>
      <c r="C4081" s="13">
        <f>IFERROR(__xludf.DUMMYFUNCTION("""COMPUTED_VALUE"""),0.041666666666666664)</f>
        <v>0.04166666667</v>
      </c>
      <c r="D4081" s="8">
        <f>IFERROR(__xludf.DUMMYFUNCTION("""COMPUTED_VALUE"""),0.114)</f>
        <v>0.114</v>
      </c>
      <c r="E4081" s="8" t="str">
        <f>IFERROR(__xludf.DUMMYFUNCTION("""COMPUTED_VALUE"""),"Real")</f>
        <v>Real</v>
      </c>
      <c r="G4081" s="8">
        <f t="shared" si="1"/>
        <v>4</v>
      </c>
      <c r="H4081" s="14">
        <f t="shared" si="2"/>
        <v>20</v>
      </c>
      <c r="I4081" s="15">
        <f t="shared" si="3"/>
        <v>1</v>
      </c>
    </row>
    <row r="4082">
      <c r="A4082" s="8" t="str">
        <f>IFERROR(__xludf.DUMMYFUNCTION("IF('(INGESTA)Datos_consumo_datadis'!A4082&lt;&gt;"""",SPLIT('(INGESTA)Datos_consumo_datadis'!A:A,"",""),"""")"),"ES0031408323131005HX0F")</f>
        <v>ES0031408323131005HX0F</v>
      </c>
      <c r="B4082" s="12">
        <f>IFERROR(__xludf.DUMMYFUNCTION("""COMPUTED_VALUE"""),45036.0)</f>
        <v>45036</v>
      </c>
      <c r="C4082" s="13">
        <f>IFERROR(__xludf.DUMMYFUNCTION("""COMPUTED_VALUE"""),0.08333333333333333)</f>
        <v>0.08333333333</v>
      </c>
      <c r="D4082" s="8">
        <f>IFERROR(__xludf.DUMMYFUNCTION("""COMPUTED_VALUE"""),0.072)</f>
        <v>0.072</v>
      </c>
      <c r="E4082" s="8" t="str">
        <f>IFERROR(__xludf.DUMMYFUNCTION("""COMPUTED_VALUE"""),"Real")</f>
        <v>Real</v>
      </c>
      <c r="G4082" s="8">
        <f t="shared" si="1"/>
        <v>4</v>
      </c>
      <c r="H4082" s="14">
        <f t="shared" si="2"/>
        <v>20</v>
      </c>
      <c r="I4082" s="15">
        <f t="shared" si="3"/>
        <v>2</v>
      </c>
    </row>
    <row r="4083">
      <c r="A4083" s="8" t="str">
        <f>IFERROR(__xludf.DUMMYFUNCTION("IF('(INGESTA)Datos_consumo_datadis'!A4083&lt;&gt;"""",SPLIT('(INGESTA)Datos_consumo_datadis'!A:A,"",""),"""")"),"ES0031408323131005HX0F")</f>
        <v>ES0031408323131005HX0F</v>
      </c>
      <c r="B4083" s="12">
        <f>IFERROR(__xludf.DUMMYFUNCTION("""COMPUTED_VALUE"""),45036.0)</f>
        <v>45036</v>
      </c>
      <c r="C4083" s="13">
        <f>IFERROR(__xludf.DUMMYFUNCTION("""COMPUTED_VALUE"""),0.125)</f>
        <v>0.125</v>
      </c>
      <c r="D4083" s="8">
        <f>IFERROR(__xludf.DUMMYFUNCTION("""COMPUTED_VALUE"""),0.04)</f>
        <v>0.04</v>
      </c>
      <c r="E4083" s="8" t="str">
        <f>IFERROR(__xludf.DUMMYFUNCTION("""COMPUTED_VALUE"""),"Real")</f>
        <v>Real</v>
      </c>
      <c r="G4083" s="8">
        <f t="shared" si="1"/>
        <v>4</v>
      </c>
      <c r="H4083" s="14">
        <f t="shared" si="2"/>
        <v>20</v>
      </c>
      <c r="I4083" s="15">
        <f t="shared" si="3"/>
        <v>3</v>
      </c>
    </row>
    <row r="4084">
      <c r="A4084" s="8" t="str">
        <f>IFERROR(__xludf.DUMMYFUNCTION("IF('(INGESTA)Datos_consumo_datadis'!A4084&lt;&gt;"""",SPLIT('(INGESTA)Datos_consumo_datadis'!A:A,"",""),"""")"),"ES0031408323131005HX0F")</f>
        <v>ES0031408323131005HX0F</v>
      </c>
      <c r="B4084" s="12">
        <f>IFERROR(__xludf.DUMMYFUNCTION("""COMPUTED_VALUE"""),45036.0)</f>
        <v>45036</v>
      </c>
      <c r="C4084" s="13">
        <f>IFERROR(__xludf.DUMMYFUNCTION("""COMPUTED_VALUE"""),0.16666666666666666)</f>
        <v>0.1666666667</v>
      </c>
      <c r="D4084" s="8">
        <f>IFERROR(__xludf.DUMMYFUNCTION("""COMPUTED_VALUE"""),0.327)</f>
        <v>0.327</v>
      </c>
      <c r="E4084" s="8" t="str">
        <f>IFERROR(__xludf.DUMMYFUNCTION("""COMPUTED_VALUE"""),"Real")</f>
        <v>Real</v>
      </c>
      <c r="G4084" s="8">
        <f t="shared" si="1"/>
        <v>4</v>
      </c>
      <c r="H4084" s="14">
        <f t="shared" si="2"/>
        <v>20</v>
      </c>
      <c r="I4084" s="15">
        <f t="shared" si="3"/>
        <v>4</v>
      </c>
    </row>
    <row r="4085">
      <c r="A4085" s="8" t="str">
        <f>IFERROR(__xludf.DUMMYFUNCTION("IF('(INGESTA)Datos_consumo_datadis'!A4085&lt;&gt;"""",SPLIT('(INGESTA)Datos_consumo_datadis'!A:A,"",""),"""")"),"ES0031408323131005HX0F")</f>
        <v>ES0031408323131005HX0F</v>
      </c>
      <c r="B4085" s="12">
        <f>IFERROR(__xludf.DUMMYFUNCTION("""COMPUTED_VALUE"""),45036.0)</f>
        <v>45036</v>
      </c>
      <c r="C4085" s="13">
        <f>IFERROR(__xludf.DUMMYFUNCTION("""COMPUTED_VALUE"""),0.20833333333333334)</f>
        <v>0.2083333333</v>
      </c>
      <c r="D4085" s="8">
        <f>IFERROR(__xludf.DUMMYFUNCTION("""COMPUTED_VALUE"""),0.074)</f>
        <v>0.074</v>
      </c>
      <c r="E4085" s="8" t="str">
        <f>IFERROR(__xludf.DUMMYFUNCTION("""COMPUTED_VALUE"""),"Real")</f>
        <v>Real</v>
      </c>
      <c r="G4085" s="8">
        <f t="shared" si="1"/>
        <v>4</v>
      </c>
      <c r="H4085" s="14">
        <f t="shared" si="2"/>
        <v>20</v>
      </c>
      <c r="I4085" s="15">
        <f t="shared" si="3"/>
        <v>5</v>
      </c>
    </row>
    <row r="4086">
      <c r="A4086" s="8" t="str">
        <f>IFERROR(__xludf.DUMMYFUNCTION("IF('(INGESTA)Datos_consumo_datadis'!A4086&lt;&gt;"""",SPLIT('(INGESTA)Datos_consumo_datadis'!A:A,"",""),"""")"),"ES0031408323131005HX0F")</f>
        <v>ES0031408323131005HX0F</v>
      </c>
      <c r="B4086" s="12">
        <f>IFERROR(__xludf.DUMMYFUNCTION("""COMPUTED_VALUE"""),45036.0)</f>
        <v>45036</v>
      </c>
      <c r="C4086" s="13">
        <f>IFERROR(__xludf.DUMMYFUNCTION("""COMPUTED_VALUE"""),0.25)</f>
        <v>0.25</v>
      </c>
      <c r="D4086" s="8">
        <f>IFERROR(__xludf.DUMMYFUNCTION("""COMPUTED_VALUE"""),0.043)</f>
        <v>0.043</v>
      </c>
      <c r="E4086" s="8" t="str">
        <f>IFERROR(__xludf.DUMMYFUNCTION("""COMPUTED_VALUE"""),"Real")</f>
        <v>Real</v>
      </c>
      <c r="G4086" s="8">
        <f t="shared" si="1"/>
        <v>4</v>
      </c>
      <c r="H4086" s="14">
        <f t="shared" si="2"/>
        <v>20</v>
      </c>
      <c r="I4086" s="15">
        <f t="shared" si="3"/>
        <v>6</v>
      </c>
    </row>
    <row r="4087">
      <c r="A4087" s="8" t="str">
        <f>IFERROR(__xludf.DUMMYFUNCTION("IF('(INGESTA)Datos_consumo_datadis'!A4087&lt;&gt;"""",SPLIT('(INGESTA)Datos_consumo_datadis'!A:A,"",""),"""")"),"ES0031408323131005HX0F")</f>
        <v>ES0031408323131005HX0F</v>
      </c>
      <c r="B4087" s="12">
        <f>IFERROR(__xludf.DUMMYFUNCTION("""COMPUTED_VALUE"""),45036.0)</f>
        <v>45036</v>
      </c>
      <c r="C4087" s="13">
        <f>IFERROR(__xludf.DUMMYFUNCTION("""COMPUTED_VALUE"""),0.2916666666666667)</f>
        <v>0.2916666667</v>
      </c>
      <c r="D4087" s="8">
        <f>IFERROR(__xludf.DUMMYFUNCTION("""COMPUTED_VALUE"""),0.045)</f>
        <v>0.045</v>
      </c>
      <c r="E4087" s="8" t="str">
        <f>IFERROR(__xludf.DUMMYFUNCTION("""COMPUTED_VALUE"""),"Real")</f>
        <v>Real</v>
      </c>
      <c r="G4087" s="8">
        <f t="shared" si="1"/>
        <v>4</v>
      </c>
      <c r="H4087" s="14">
        <f t="shared" si="2"/>
        <v>20</v>
      </c>
      <c r="I4087" s="15">
        <f t="shared" si="3"/>
        <v>7</v>
      </c>
    </row>
    <row r="4088">
      <c r="A4088" s="8" t="str">
        <f>IFERROR(__xludf.DUMMYFUNCTION("IF('(INGESTA)Datos_consumo_datadis'!A4088&lt;&gt;"""",SPLIT('(INGESTA)Datos_consumo_datadis'!A:A,"",""),"""")"),"ES0031408323131005HX0F")</f>
        <v>ES0031408323131005HX0F</v>
      </c>
      <c r="B4088" s="12">
        <f>IFERROR(__xludf.DUMMYFUNCTION("""COMPUTED_VALUE"""),45036.0)</f>
        <v>45036</v>
      </c>
      <c r="C4088" s="13">
        <f>IFERROR(__xludf.DUMMYFUNCTION("""COMPUTED_VALUE"""),0.3333333333333333)</f>
        <v>0.3333333333</v>
      </c>
      <c r="D4088" s="8">
        <f>IFERROR(__xludf.DUMMYFUNCTION("""COMPUTED_VALUE"""),0.175)</f>
        <v>0.175</v>
      </c>
      <c r="E4088" s="8" t="str">
        <f>IFERROR(__xludf.DUMMYFUNCTION("""COMPUTED_VALUE"""),"Real")</f>
        <v>Real</v>
      </c>
      <c r="G4088" s="8">
        <f t="shared" si="1"/>
        <v>4</v>
      </c>
      <c r="H4088" s="14">
        <f t="shared" si="2"/>
        <v>20</v>
      </c>
      <c r="I4088" s="15">
        <f t="shared" si="3"/>
        <v>8</v>
      </c>
    </row>
    <row r="4089">
      <c r="A4089" s="8" t="str">
        <f>IFERROR(__xludf.DUMMYFUNCTION("IF('(INGESTA)Datos_consumo_datadis'!A4089&lt;&gt;"""",SPLIT('(INGESTA)Datos_consumo_datadis'!A:A,"",""),"""")"),"ES0031408323131005HX0F")</f>
        <v>ES0031408323131005HX0F</v>
      </c>
      <c r="B4089" s="12">
        <f>IFERROR(__xludf.DUMMYFUNCTION("""COMPUTED_VALUE"""),45036.0)</f>
        <v>45036</v>
      </c>
      <c r="C4089" s="13">
        <f>IFERROR(__xludf.DUMMYFUNCTION("""COMPUTED_VALUE"""),0.375)</f>
        <v>0.375</v>
      </c>
      <c r="D4089" s="8">
        <f>IFERROR(__xludf.DUMMYFUNCTION("""COMPUTED_VALUE"""),0.3)</f>
        <v>0.3</v>
      </c>
      <c r="E4089" s="8" t="str">
        <f>IFERROR(__xludf.DUMMYFUNCTION("""COMPUTED_VALUE"""),"Real")</f>
        <v>Real</v>
      </c>
      <c r="G4089" s="8">
        <f t="shared" si="1"/>
        <v>4</v>
      </c>
      <c r="H4089" s="14">
        <f t="shared" si="2"/>
        <v>20</v>
      </c>
      <c r="I4089" s="15">
        <f t="shared" si="3"/>
        <v>9</v>
      </c>
    </row>
    <row r="4090">
      <c r="A4090" s="8" t="str">
        <f>IFERROR(__xludf.DUMMYFUNCTION("IF('(INGESTA)Datos_consumo_datadis'!A4090&lt;&gt;"""",SPLIT('(INGESTA)Datos_consumo_datadis'!A:A,"",""),"""")"),"ES0031408323131005HX0F")</f>
        <v>ES0031408323131005HX0F</v>
      </c>
      <c r="B4090" s="12">
        <f>IFERROR(__xludf.DUMMYFUNCTION("""COMPUTED_VALUE"""),45036.0)</f>
        <v>45036</v>
      </c>
      <c r="C4090" s="13">
        <f>IFERROR(__xludf.DUMMYFUNCTION("""COMPUTED_VALUE"""),0.4166666666666667)</f>
        <v>0.4166666667</v>
      </c>
      <c r="D4090" s="8">
        <f>IFERROR(__xludf.DUMMYFUNCTION("""COMPUTED_VALUE"""),0.032)</f>
        <v>0.032</v>
      </c>
      <c r="E4090" s="8" t="str">
        <f>IFERROR(__xludf.DUMMYFUNCTION("""COMPUTED_VALUE"""),"Real")</f>
        <v>Real</v>
      </c>
      <c r="G4090" s="8">
        <f t="shared" si="1"/>
        <v>4</v>
      </c>
      <c r="H4090" s="14">
        <f t="shared" si="2"/>
        <v>20</v>
      </c>
      <c r="I4090" s="15">
        <f t="shared" si="3"/>
        <v>10</v>
      </c>
    </row>
    <row r="4091">
      <c r="A4091" s="8" t="str">
        <f>IFERROR(__xludf.DUMMYFUNCTION("IF('(INGESTA)Datos_consumo_datadis'!A4091&lt;&gt;"""",SPLIT('(INGESTA)Datos_consumo_datadis'!A:A,"",""),"""")"),"ES0031408323131005HX0F")</f>
        <v>ES0031408323131005HX0F</v>
      </c>
      <c r="B4091" s="12">
        <f>IFERROR(__xludf.DUMMYFUNCTION("""COMPUTED_VALUE"""),45036.0)</f>
        <v>45036</v>
      </c>
      <c r="C4091" s="13">
        <f>IFERROR(__xludf.DUMMYFUNCTION("""COMPUTED_VALUE"""),0.4583333333333333)</f>
        <v>0.4583333333</v>
      </c>
      <c r="D4091" s="8">
        <f>IFERROR(__xludf.DUMMYFUNCTION("""COMPUTED_VALUE"""),0.046)</f>
        <v>0.046</v>
      </c>
      <c r="E4091" s="8" t="str">
        <f>IFERROR(__xludf.DUMMYFUNCTION("""COMPUTED_VALUE"""),"Real")</f>
        <v>Real</v>
      </c>
      <c r="G4091" s="8">
        <f t="shared" si="1"/>
        <v>4</v>
      </c>
      <c r="H4091" s="14">
        <f t="shared" si="2"/>
        <v>20</v>
      </c>
      <c r="I4091" s="15">
        <f t="shared" si="3"/>
        <v>11</v>
      </c>
    </row>
    <row r="4092">
      <c r="A4092" s="8" t="str">
        <f>IFERROR(__xludf.DUMMYFUNCTION("IF('(INGESTA)Datos_consumo_datadis'!A4092&lt;&gt;"""",SPLIT('(INGESTA)Datos_consumo_datadis'!A:A,"",""),"""")"),"ES0031408323131005HX0F")</f>
        <v>ES0031408323131005HX0F</v>
      </c>
      <c r="B4092" s="12">
        <f>IFERROR(__xludf.DUMMYFUNCTION("""COMPUTED_VALUE"""),45036.0)</f>
        <v>45036</v>
      </c>
      <c r="C4092" s="13">
        <f>IFERROR(__xludf.DUMMYFUNCTION("""COMPUTED_VALUE"""),0.5)</f>
        <v>0.5</v>
      </c>
      <c r="D4092" s="8">
        <f>IFERROR(__xludf.DUMMYFUNCTION("""COMPUTED_VALUE"""),0.073)</f>
        <v>0.073</v>
      </c>
      <c r="E4092" s="8" t="str">
        <f>IFERROR(__xludf.DUMMYFUNCTION("""COMPUTED_VALUE"""),"Real")</f>
        <v>Real</v>
      </c>
      <c r="G4092" s="8">
        <f t="shared" si="1"/>
        <v>4</v>
      </c>
      <c r="H4092" s="14">
        <f t="shared" si="2"/>
        <v>20</v>
      </c>
      <c r="I4092" s="15">
        <f t="shared" si="3"/>
        <v>12</v>
      </c>
    </row>
    <row r="4093">
      <c r="A4093" s="8" t="str">
        <f>IFERROR(__xludf.DUMMYFUNCTION("IF('(INGESTA)Datos_consumo_datadis'!A4093&lt;&gt;"""",SPLIT('(INGESTA)Datos_consumo_datadis'!A:A,"",""),"""")"),"ES0031408323131005HX0F")</f>
        <v>ES0031408323131005HX0F</v>
      </c>
      <c r="B4093" s="12">
        <f>IFERROR(__xludf.DUMMYFUNCTION("""COMPUTED_VALUE"""),45036.0)</f>
        <v>45036</v>
      </c>
      <c r="C4093" s="13">
        <f>IFERROR(__xludf.DUMMYFUNCTION("""COMPUTED_VALUE"""),0.5416666666666666)</f>
        <v>0.5416666667</v>
      </c>
      <c r="D4093" s="8">
        <f>IFERROR(__xludf.DUMMYFUNCTION("""COMPUTED_VALUE"""),0.051)</f>
        <v>0.051</v>
      </c>
      <c r="E4093" s="8" t="str">
        <f>IFERROR(__xludf.DUMMYFUNCTION("""COMPUTED_VALUE"""),"Real")</f>
        <v>Real</v>
      </c>
      <c r="G4093" s="8">
        <f t="shared" si="1"/>
        <v>4</v>
      </c>
      <c r="H4093" s="14">
        <f t="shared" si="2"/>
        <v>20</v>
      </c>
      <c r="I4093" s="15">
        <f t="shared" si="3"/>
        <v>13</v>
      </c>
    </row>
    <row r="4094">
      <c r="A4094" s="8" t="str">
        <f>IFERROR(__xludf.DUMMYFUNCTION("IF('(INGESTA)Datos_consumo_datadis'!A4094&lt;&gt;"""",SPLIT('(INGESTA)Datos_consumo_datadis'!A:A,"",""),"""")"),"ES0031408323131005HX0F")</f>
        <v>ES0031408323131005HX0F</v>
      </c>
      <c r="B4094" s="12">
        <f>IFERROR(__xludf.DUMMYFUNCTION("""COMPUTED_VALUE"""),45036.0)</f>
        <v>45036</v>
      </c>
      <c r="C4094" s="13">
        <f>IFERROR(__xludf.DUMMYFUNCTION("""COMPUTED_VALUE"""),0.5833333333333334)</f>
        <v>0.5833333333</v>
      </c>
      <c r="D4094" s="8">
        <f>IFERROR(__xludf.DUMMYFUNCTION("""COMPUTED_VALUE"""),0.018)</f>
        <v>0.018</v>
      </c>
      <c r="E4094" s="8" t="str">
        <f>IFERROR(__xludf.DUMMYFUNCTION("""COMPUTED_VALUE"""),"Real")</f>
        <v>Real</v>
      </c>
      <c r="G4094" s="8">
        <f t="shared" si="1"/>
        <v>4</v>
      </c>
      <c r="H4094" s="14">
        <f t="shared" si="2"/>
        <v>20</v>
      </c>
      <c r="I4094" s="15">
        <f t="shared" si="3"/>
        <v>14</v>
      </c>
    </row>
    <row r="4095">
      <c r="A4095" s="8" t="str">
        <f>IFERROR(__xludf.DUMMYFUNCTION("IF('(INGESTA)Datos_consumo_datadis'!A4095&lt;&gt;"""",SPLIT('(INGESTA)Datos_consumo_datadis'!A:A,"",""),"""")"),"ES0031408323131005HX0F")</f>
        <v>ES0031408323131005HX0F</v>
      </c>
      <c r="B4095" s="12">
        <f>IFERROR(__xludf.DUMMYFUNCTION("""COMPUTED_VALUE"""),45036.0)</f>
        <v>45036</v>
      </c>
      <c r="C4095" s="13">
        <f>IFERROR(__xludf.DUMMYFUNCTION("""COMPUTED_VALUE"""),0.625)</f>
        <v>0.625</v>
      </c>
      <c r="D4095" s="8">
        <f>IFERROR(__xludf.DUMMYFUNCTION("""COMPUTED_VALUE"""),0.354)</f>
        <v>0.354</v>
      </c>
      <c r="E4095" s="8" t="str">
        <f>IFERROR(__xludf.DUMMYFUNCTION("""COMPUTED_VALUE"""),"Real")</f>
        <v>Real</v>
      </c>
      <c r="G4095" s="8">
        <f t="shared" si="1"/>
        <v>4</v>
      </c>
      <c r="H4095" s="14">
        <f t="shared" si="2"/>
        <v>20</v>
      </c>
      <c r="I4095" s="15">
        <f t="shared" si="3"/>
        <v>15</v>
      </c>
    </row>
    <row r="4096">
      <c r="A4096" s="8" t="str">
        <f>IFERROR(__xludf.DUMMYFUNCTION("IF('(INGESTA)Datos_consumo_datadis'!A4096&lt;&gt;"""",SPLIT('(INGESTA)Datos_consumo_datadis'!A:A,"",""),"""")"),"ES0031408323131005HX0F")</f>
        <v>ES0031408323131005HX0F</v>
      </c>
      <c r="B4096" s="12">
        <f>IFERROR(__xludf.DUMMYFUNCTION("""COMPUTED_VALUE"""),45036.0)</f>
        <v>45036</v>
      </c>
      <c r="C4096" s="13">
        <f>IFERROR(__xludf.DUMMYFUNCTION("""COMPUTED_VALUE"""),0.6666666666666666)</f>
        <v>0.6666666667</v>
      </c>
      <c r="D4096" s="8">
        <f>IFERROR(__xludf.DUMMYFUNCTION("""COMPUTED_VALUE"""),0.053)</f>
        <v>0.053</v>
      </c>
      <c r="E4096" s="8" t="str">
        <f>IFERROR(__xludf.DUMMYFUNCTION("""COMPUTED_VALUE"""),"Real")</f>
        <v>Real</v>
      </c>
      <c r="G4096" s="8">
        <f t="shared" si="1"/>
        <v>4</v>
      </c>
      <c r="H4096" s="14">
        <f t="shared" si="2"/>
        <v>20</v>
      </c>
      <c r="I4096" s="15">
        <f t="shared" si="3"/>
        <v>16</v>
      </c>
    </row>
    <row r="4097">
      <c r="A4097" s="8" t="str">
        <f>IFERROR(__xludf.DUMMYFUNCTION("IF('(INGESTA)Datos_consumo_datadis'!A4097&lt;&gt;"""",SPLIT('(INGESTA)Datos_consumo_datadis'!A:A,"",""),"""")"),"ES0031408323131005HX0F")</f>
        <v>ES0031408323131005HX0F</v>
      </c>
      <c r="B4097" s="12">
        <f>IFERROR(__xludf.DUMMYFUNCTION("""COMPUTED_VALUE"""),45036.0)</f>
        <v>45036</v>
      </c>
      <c r="C4097" s="13">
        <f>IFERROR(__xludf.DUMMYFUNCTION("""COMPUTED_VALUE"""),0.7083333333333334)</f>
        <v>0.7083333333</v>
      </c>
      <c r="D4097" s="8">
        <f>IFERROR(__xludf.DUMMYFUNCTION("""COMPUTED_VALUE"""),0.017)</f>
        <v>0.017</v>
      </c>
      <c r="E4097" s="8" t="str">
        <f>IFERROR(__xludf.DUMMYFUNCTION("""COMPUTED_VALUE"""),"Real")</f>
        <v>Real</v>
      </c>
      <c r="G4097" s="8">
        <f t="shared" si="1"/>
        <v>4</v>
      </c>
      <c r="H4097" s="14">
        <f t="shared" si="2"/>
        <v>20</v>
      </c>
      <c r="I4097" s="15">
        <f t="shared" si="3"/>
        <v>17</v>
      </c>
    </row>
    <row r="4098">
      <c r="A4098" s="8" t="str">
        <f>IFERROR(__xludf.DUMMYFUNCTION("IF('(INGESTA)Datos_consumo_datadis'!A4098&lt;&gt;"""",SPLIT('(INGESTA)Datos_consumo_datadis'!A:A,"",""),"""")"),"ES0031408323131005HX0F")</f>
        <v>ES0031408323131005HX0F</v>
      </c>
      <c r="B4098" s="12">
        <f>IFERROR(__xludf.DUMMYFUNCTION("""COMPUTED_VALUE"""),45036.0)</f>
        <v>45036</v>
      </c>
      <c r="C4098" s="13">
        <f>IFERROR(__xludf.DUMMYFUNCTION("""COMPUTED_VALUE"""),0.75)</f>
        <v>0.75</v>
      </c>
      <c r="D4098" s="8">
        <f>IFERROR(__xludf.DUMMYFUNCTION("""COMPUTED_VALUE"""),0.084)</f>
        <v>0.084</v>
      </c>
      <c r="E4098" s="8" t="str">
        <f>IFERROR(__xludf.DUMMYFUNCTION("""COMPUTED_VALUE"""),"Real")</f>
        <v>Real</v>
      </c>
      <c r="G4098" s="8">
        <f t="shared" si="1"/>
        <v>4</v>
      </c>
      <c r="H4098" s="14">
        <f t="shared" si="2"/>
        <v>20</v>
      </c>
      <c r="I4098" s="15">
        <f t="shared" si="3"/>
        <v>18</v>
      </c>
    </row>
    <row r="4099">
      <c r="A4099" s="8" t="str">
        <f>IFERROR(__xludf.DUMMYFUNCTION("IF('(INGESTA)Datos_consumo_datadis'!A4099&lt;&gt;"""",SPLIT('(INGESTA)Datos_consumo_datadis'!A:A,"",""),"""")"),"ES0031408323131005HX0F")</f>
        <v>ES0031408323131005HX0F</v>
      </c>
      <c r="B4099" s="12">
        <f>IFERROR(__xludf.DUMMYFUNCTION("""COMPUTED_VALUE"""),45036.0)</f>
        <v>45036</v>
      </c>
      <c r="C4099" s="13">
        <f>IFERROR(__xludf.DUMMYFUNCTION("""COMPUTED_VALUE"""),0.7916666666666666)</f>
        <v>0.7916666667</v>
      </c>
      <c r="D4099" s="8">
        <f>IFERROR(__xludf.DUMMYFUNCTION("""COMPUTED_VALUE"""),0.341)</f>
        <v>0.341</v>
      </c>
      <c r="E4099" s="8" t="str">
        <f>IFERROR(__xludf.DUMMYFUNCTION("""COMPUTED_VALUE"""),"Real")</f>
        <v>Real</v>
      </c>
      <c r="G4099" s="8">
        <f t="shared" si="1"/>
        <v>4</v>
      </c>
      <c r="H4099" s="14">
        <f t="shared" si="2"/>
        <v>20</v>
      </c>
      <c r="I4099" s="15">
        <f t="shared" si="3"/>
        <v>19</v>
      </c>
    </row>
    <row r="4100">
      <c r="A4100" s="8" t="str">
        <f>IFERROR(__xludf.DUMMYFUNCTION("IF('(INGESTA)Datos_consumo_datadis'!A4100&lt;&gt;"""",SPLIT('(INGESTA)Datos_consumo_datadis'!A:A,"",""),"""")"),"ES0031408323131005HX0F")</f>
        <v>ES0031408323131005HX0F</v>
      </c>
      <c r="B4100" s="12">
        <f>IFERROR(__xludf.DUMMYFUNCTION("""COMPUTED_VALUE"""),45036.0)</f>
        <v>45036</v>
      </c>
      <c r="C4100" s="13">
        <f>IFERROR(__xludf.DUMMYFUNCTION("""COMPUTED_VALUE"""),0.8333333333333334)</f>
        <v>0.8333333333</v>
      </c>
      <c r="D4100" s="8">
        <f>IFERROR(__xludf.DUMMYFUNCTION("""COMPUTED_VALUE"""),0.197)</f>
        <v>0.197</v>
      </c>
      <c r="E4100" s="8" t="str">
        <f>IFERROR(__xludf.DUMMYFUNCTION("""COMPUTED_VALUE"""),"Real")</f>
        <v>Real</v>
      </c>
      <c r="G4100" s="8">
        <f t="shared" si="1"/>
        <v>4</v>
      </c>
      <c r="H4100" s="14">
        <f t="shared" si="2"/>
        <v>20</v>
      </c>
      <c r="I4100" s="15">
        <f t="shared" si="3"/>
        <v>20</v>
      </c>
    </row>
    <row r="4101">
      <c r="A4101" s="8" t="str">
        <f>IFERROR(__xludf.DUMMYFUNCTION("IF('(INGESTA)Datos_consumo_datadis'!A4101&lt;&gt;"""",SPLIT('(INGESTA)Datos_consumo_datadis'!A:A,"",""),"""")"),"ES0031408323131005HX0F")</f>
        <v>ES0031408323131005HX0F</v>
      </c>
      <c r="B4101" s="12">
        <f>IFERROR(__xludf.DUMMYFUNCTION("""COMPUTED_VALUE"""),45036.0)</f>
        <v>45036</v>
      </c>
      <c r="C4101" s="13">
        <f>IFERROR(__xludf.DUMMYFUNCTION("""COMPUTED_VALUE"""),0.875)</f>
        <v>0.875</v>
      </c>
      <c r="D4101" s="8">
        <f>IFERROR(__xludf.DUMMYFUNCTION("""COMPUTED_VALUE"""),0.404)</f>
        <v>0.404</v>
      </c>
      <c r="E4101" s="8" t="str">
        <f>IFERROR(__xludf.DUMMYFUNCTION("""COMPUTED_VALUE"""),"Real")</f>
        <v>Real</v>
      </c>
      <c r="G4101" s="8">
        <f t="shared" si="1"/>
        <v>4</v>
      </c>
      <c r="H4101" s="14">
        <f t="shared" si="2"/>
        <v>20</v>
      </c>
      <c r="I4101" s="15">
        <f t="shared" si="3"/>
        <v>21</v>
      </c>
    </row>
    <row r="4102">
      <c r="A4102" s="8" t="str">
        <f>IFERROR(__xludf.DUMMYFUNCTION("IF('(INGESTA)Datos_consumo_datadis'!A4102&lt;&gt;"""",SPLIT('(INGESTA)Datos_consumo_datadis'!A:A,"",""),"""")"),"ES0031408323131005HX0F")</f>
        <v>ES0031408323131005HX0F</v>
      </c>
      <c r="B4102" s="12">
        <f>IFERROR(__xludf.DUMMYFUNCTION("""COMPUTED_VALUE"""),45036.0)</f>
        <v>45036</v>
      </c>
      <c r="C4102" s="13">
        <f>IFERROR(__xludf.DUMMYFUNCTION("""COMPUTED_VALUE"""),0.9166666666666666)</f>
        <v>0.9166666667</v>
      </c>
      <c r="D4102" s="8">
        <f>IFERROR(__xludf.DUMMYFUNCTION("""COMPUTED_VALUE"""),1.166)</f>
        <v>1.166</v>
      </c>
      <c r="E4102" s="8" t="str">
        <f>IFERROR(__xludf.DUMMYFUNCTION("""COMPUTED_VALUE"""),"Real")</f>
        <v>Real</v>
      </c>
      <c r="G4102" s="8">
        <f t="shared" si="1"/>
        <v>4</v>
      </c>
      <c r="H4102" s="14">
        <f t="shared" si="2"/>
        <v>20</v>
      </c>
      <c r="I4102" s="15">
        <f t="shared" si="3"/>
        <v>22</v>
      </c>
    </row>
    <row r="4103">
      <c r="A4103" s="8" t="str">
        <f>IFERROR(__xludf.DUMMYFUNCTION("IF('(INGESTA)Datos_consumo_datadis'!A4103&lt;&gt;"""",SPLIT('(INGESTA)Datos_consumo_datadis'!A:A,"",""),"""")"),"ES0031408323131005HX0F")</f>
        <v>ES0031408323131005HX0F</v>
      </c>
      <c r="B4103" s="12">
        <f>IFERROR(__xludf.DUMMYFUNCTION("""COMPUTED_VALUE"""),45036.0)</f>
        <v>45036</v>
      </c>
      <c r="C4103" s="13">
        <f>IFERROR(__xludf.DUMMYFUNCTION("""COMPUTED_VALUE"""),0.9583333333333334)</f>
        <v>0.9583333333</v>
      </c>
      <c r="D4103" s="8">
        <f>IFERROR(__xludf.DUMMYFUNCTION("""COMPUTED_VALUE"""),1.698)</f>
        <v>1.698</v>
      </c>
      <c r="E4103" s="8" t="str">
        <f>IFERROR(__xludf.DUMMYFUNCTION("""COMPUTED_VALUE"""),"Real")</f>
        <v>Real</v>
      </c>
      <c r="G4103" s="8">
        <f t="shared" si="1"/>
        <v>4</v>
      </c>
      <c r="H4103" s="14">
        <f t="shared" si="2"/>
        <v>20</v>
      </c>
      <c r="I4103" s="15">
        <f t="shared" si="3"/>
        <v>23</v>
      </c>
    </row>
    <row r="4104">
      <c r="A4104" s="8" t="str">
        <f>IFERROR(__xludf.DUMMYFUNCTION("IF('(INGESTA)Datos_consumo_datadis'!A4104&lt;&gt;"""",SPLIT('(INGESTA)Datos_consumo_datadis'!A:A,"",""),"""")"),"ES0031408323131005HX0F")</f>
        <v>ES0031408323131005HX0F</v>
      </c>
      <c r="B4104" s="12">
        <f>IFERROR(__xludf.DUMMYFUNCTION("""COMPUTED_VALUE"""),45036.0)</f>
        <v>45036</v>
      </c>
      <c r="C4104" s="16">
        <f>IFERROR(__xludf.DUMMYFUNCTION("""COMPUTED_VALUE"""),1.0)</f>
        <v>1</v>
      </c>
      <c r="D4104" s="8">
        <f>IFERROR(__xludf.DUMMYFUNCTION("""COMPUTED_VALUE"""),0.666)</f>
        <v>0.666</v>
      </c>
      <c r="E4104" s="8" t="str">
        <f>IFERROR(__xludf.DUMMYFUNCTION("""COMPUTED_VALUE"""),"Real")</f>
        <v>Real</v>
      </c>
      <c r="G4104" s="8">
        <f t="shared" si="1"/>
        <v>4</v>
      </c>
      <c r="H4104" s="14">
        <f t="shared" si="2"/>
        <v>20</v>
      </c>
      <c r="I4104" s="15">
        <f t="shared" si="3"/>
        <v>0</v>
      </c>
    </row>
    <row r="4105">
      <c r="A4105" s="8" t="str">
        <f>IFERROR(__xludf.DUMMYFUNCTION("IF('(INGESTA)Datos_consumo_datadis'!A4105&lt;&gt;"""",SPLIT('(INGESTA)Datos_consumo_datadis'!A:A,"",""),"""")"),"ES0031408323131005HX0F")</f>
        <v>ES0031408323131005HX0F</v>
      </c>
      <c r="B4105" s="12">
        <f>IFERROR(__xludf.DUMMYFUNCTION("""COMPUTED_VALUE"""),45037.0)</f>
        <v>45037</v>
      </c>
      <c r="C4105" s="13">
        <f>IFERROR(__xludf.DUMMYFUNCTION("""COMPUTED_VALUE"""),0.041666666666666664)</f>
        <v>0.04166666667</v>
      </c>
      <c r="D4105" s="8">
        <f>IFERROR(__xludf.DUMMYFUNCTION("""COMPUTED_VALUE"""),0.087)</f>
        <v>0.087</v>
      </c>
      <c r="E4105" s="8" t="str">
        <f>IFERROR(__xludf.DUMMYFUNCTION("""COMPUTED_VALUE"""),"Real")</f>
        <v>Real</v>
      </c>
      <c r="G4105" s="8">
        <f t="shared" si="1"/>
        <v>4</v>
      </c>
      <c r="H4105" s="14">
        <f t="shared" si="2"/>
        <v>21</v>
      </c>
      <c r="I4105" s="15">
        <f t="shared" si="3"/>
        <v>1</v>
      </c>
    </row>
    <row r="4106">
      <c r="A4106" s="8" t="str">
        <f>IFERROR(__xludf.DUMMYFUNCTION("IF('(INGESTA)Datos_consumo_datadis'!A4106&lt;&gt;"""",SPLIT('(INGESTA)Datos_consumo_datadis'!A:A,"",""),"""")"),"ES0031408323131005HX0F")</f>
        <v>ES0031408323131005HX0F</v>
      </c>
      <c r="B4106" s="12">
        <f>IFERROR(__xludf.DUMMYFUNCTION("""COMPUTED_VALUE"""),45037.0)</f>
        <v>45037</v>
      </c>
      <c r="C4106" s="13">
        <f>IFERROR(__xludf.DUMMYFUNCTION("""COMPUTED_VALUE"""),0.08333333333333333)</f>
        <v>0.08333333333</v>
      </c>
      <c r="D4106" s="8">
        <f>IFERROR(__xludf.DUMMYFUNCTION("""COMPUTED_VALUE"""),0.083)</f>
        <v>0.083</v>
      </c>
      <c r="E4106" s="8" t="str">
        <f>IFERROR(__xludf.DUMMYFUNCTION("""COMPUTED_VALUE"""),"Real")</f>
        <v>Real</v>
      </c>
      <c r="G4106" s="8">
        <f t="shared" si="1"/>
        <v>4</v>
      </c>
      <c r="H4106" s="14">
        <f t="shared" si="2"/>
        <v>21</v>
      </c>
      <c r="I4106" s="15">
        <f t="shared" si="3"/>
        <v>2</v>
      </c>
    </row>
    <row r="4107">
      <c r="A4107" s="8" t="str">
        <f>IFERROR(__xludf.DUMMYFUNCTION("IF('(INGESTA)Datos_consumo_datadis'!A4107&lt;&gt;"""",SPLIT('(INGESTA)Datos_consumo_datadis'!A:A,"",""),"""")"),"ES0031408323131005HX0F")</f>
        <v>ES0031408323131005HX0F</v>
      </c>
      <c r="B4107" s="12">
        <f>IFERROR(__xludf.DUMMYFUNCTION("""COMPUTED_VALUE"""),45037.0)</f>
        <v>45037</v>
      </c>
      <c r="C4107" s="13">
        <f>IFERROR(__xludf.DUMMYFUNCTION("""COMPUTED_VALUE"""),0.125)</f>
        <v>0.125</v>
      </c>
      <c r="D4107" s="8">
        <f>IFERROR(__xludf.DUMMYFUNCTION("""COMPUTED_VALUE"""),0.061)</f>
        <v>0.061</v>
      </c>
      <c r="E4107" s="8" t="str">
        <f>IFERROR(__xludf.DUMMYFUNCTION("""COMPUTED_VALUE"""),"Real")</f>
        <v>Real</v>
      </c>
      <c r="G4107" s="8">
        <f t="shared" si="1"/>
        <v>4</v>
      </c>
      <c r="H4107" s="14">
        <f t="shared" si="2"/>
        <v>21</v>
      </c>
      <c r="I4107" s="15">
        <f t="shared" si="3"/>
        <v>3</v>
      </c>
    </row>
    <row r="4108">
      <c r="A4108" s="8" t="str">
        <f>IFERROR(__xludf.DUMMYFUNCTION("IF('(INGESTA)Datos_consumo_datadis'!A4108&lt;&gt;"""",SPLIT('(INGESTA)Datos_consumo_datadis'!A:A,"",""),"""")"),"ES0031408323131005HX0F")</f>
        <v>ES0031408323131005HX0F</v>
      </c>
      <c r="B4108" s="12">
        <f>IFERROR(__xludf.DUMMYFUNCTION("""COMPUTED_VALUE"""),45037.0)</f>
        <v>45037</v>
      </c>
      <c r="C4108" s="13">
        <f>IFERROR(__xludf.DUMMYFUNCTION("""COMPUTED_VALUE"""),0.16666666666666666)</f>
        <v>0.1666666667</v>
      </c>
      <c r="D4108" s="8">
        <f>IFERROR(__xludf.DUMMYFUNCTION("""COMPUTED_VALUE"""),0.323)</f>
        <v>0.323</v>
      </c>
      <c r="E4108" s="8" t="str">
        <f>IFERROR(__xludf.DUMMYFUNCTION("""COMPUTED_VALUE"""),"Real")</f>
        <v>Real</v>
      </c>
      <c r="G4108" s="8">
        <f t="shared" si="1"/>
        <v>4</v>
      </c>
      <c r="H4108" s="14">
        <f t="shared" si="2"/>
        <v>21</v>
      </c>
      <c r="I4108" s="15">
        <f t="shared" si="3"/>
        <v>4</v>
      </c>
    </row>
    <row r="4109">
      <c r="A4109" s="8" t="str">
        <f>IFERROR(__xludf.DUMMYFUNCTION("IF('(INGESTA)Datos_consumo_datadis'!A4109&lt;&gt;"""",SPLIT('(INGESTA)Datos_consumo_datadis'!A:A,"",""),"""")"),"ES0031408323131005HX0F")</f>
        <v>ES0031408323131005HX0F</v>
      </c>
      <c r="B4109" s="12">
        <f>IFERROR(__xludf.DUMMYFUNCTION("""COMPUTED_VALUE"""),45037.0)</f>
        <v>45037</v>
      </c>
      <c r="C4109" s="13">
        <f>IFERROR(__xludf.DUMMYFUNCTION("""COMPUTED_VALUE"""),0.20833333333333334)</f>
        <v>0.2083333333</v>
      </c>
      <c r="D4109" s="8">
        <f>IFERROR(__xludf.DUMMYFUNCTION("""COMPUTED_VALUE"""),0.117)</f>
        <v>0.117</v>
      </c>
      <c r="E4109" s="8" t="str">
        <f>IFERROR(__xludf.DUMMYFUNCTION("""COMPUTED_VALUE"""),"Real")</f>
        <v>Real</v>
      </c>
      <c r="G4109" s="8">
        <f t="shared" si="1"/>
        <v>4</v>
      </c>
      <c r="H4109" s="14">
        <f t="shared" si="2"/>
        <v>21</v>
      </c>
      <c r="I4109" s="15">
        <f t="shared" si="3"/>
        <v>5</v>
      </c>
    </row>
    <row r="4110">
      <c r="A4110" s="8" t="str">
        <f>IFERROR(__xludf.DUMMYFUNCTION("IF('(INGESTA)Datos_consumo_datadis'!A4110&lt;&gt;"""",SPLIT('(INGESTA)Datos_consumo_datadis'!A:A,"",""),"""")"),"ES0031408323131005HX0F")</f>
        <v>ES0031408323131005HX0F</v>
      </c>
      <c r="B4110" s="12">
        <f>IFERROR(__xludf.DUMMYFUNCTION("""COMPUTED_VALUE"""),45037.0)</f>
        <v>45037</v>
      </c>
      <c r="C4110" s="13">
        <f>IFERROR(__xludf.DUMMYFUNCTION("""COMPUTED_VALUE"""),0.25)</f>
        <v>0.25</v>
      </c>
      <c r="D4110" s="8">
        <f>IFERROR(__xludf.DUMMYFUNCTION("""COMPUTED_VALUE"""),0.076)</f>
        <v>0.076</v>
      </c>
      <c r="E4110" s="8" t="str">
        <f>IFERROR(__xludf.DUMMYFUNCTION("""COMPUTED_VALUE"""),"Real")</f>
        <v>Real</v>
      </c>
      <c r="G4110" s="8">
        <f t="shared" si="1"/>
        <v>4</v>
      </c>
      <c r="H4110" s="14">
        <f t="shared" si="2"/>
        <v>21</v>
      </c>
      <c r="I4110" s="15">
        <f t="shared" si="3"/>
        <v>6</v>
      </c>
    </row>
    <row r="4111">
      <c r="A4111" s="8" t="str">
        <f>IFERROR(__xludf.DUMMYFUNCTION("IF('(INGESTA)Datos_consumo_datadis'!A4111&lt;&gt;"""",SPLIT('(INGESTA)Datos_consumo_datadis'!A:A,"",""),"""")"),"ES0031408323131005HX0F")</f>
        <v>ES0031408323131005HX0F</v>
      </c>
      <c r="B4111" s="12">
        <f>IFERROR(__xludf.DUMMYFUNCTION("""COMPUTED_VALUE"""),45037.0)</f>
        <v>45037</v>
      </c>
      <c r="C4111" s="13">
        <f>IFERROR(__xludf.DUMMYFUNCTION("""COMPUTED_VALUE"""),0.2916666666666667)</f>
        <v>0.2916666667</v>
      </c>
      <c r="D4111" s="8">
        <f>IFERROR(__xludf.DUMMYFUNCTION("""COMPUTED_VALUE"""),0.018)</f>
        <v>0.018</v>
      </c>
      <c r="E4111" s="8" t="str">
        <f>IFERROR(__xludf.DUMMYFUNCTION("""COMPUTED_VALUE"""),"Real")</f>
        <v>Real</v>
      </c>
      <c r="G4111" s="8">
        <f t="shared" si="1"/>
        <v>4</v>
      </c>
      <c r="H4111" s="14">
        <f t="shared" si="2"/>
        <v>21</v>
      </c>
      <c r="I4111" s="15">
        <f t="shared" si="3"/>
        <v>7</v>
      </c>
    </row>
    <row r="4112">
      <c r="A4112" s="8" t="str">
        <f>IFERROR(__xludf.DUMMYFUNCTION("IF('(INGESTA)Datos_consumo_datadis'!A4112&lt;&gt;"""",SPLIT('(INGESTA)Datos_consumo_datadis'!A:A,"",""),"""")"),"ES0031408323131005HX0F")</f>
        <v>ES0031408323131005HX0F</v>
      </c>
      <c r="B4112" s="12">
        <f>IFERROR(__xludf.DUMMYFUNCTION("""COMPUTED_VALUE"""),45037.0)</f>
        <v>45037</v>
      </c>
      <c r="C4112" s="13">
        <f>IFERROR(__xludf.DUMMYFUNCTION("""COMPUTED_VALUE"""),0.3333333333333333)</f>
        <v>0.3333333333</v>
      </c>
      <c r="D4112" s="8">
        <f>IFERROR(__xludf.DUMMYFUNCTION("""COMPUTED_VALUE"""),0.165)</f>
        <v>0.165</v>
      </c>
      <c r="E4112" s="8" t="str">
        <f>IFERROR(__xludf.DUMMYFUNCTION("""COMPUTED_VALUE"""),"Real")</f>
        <v>Real</v>
      </c>
      <c r="G4112" s="8">
        <f t="shared" si="1"/>
        <v>4</v>
      </c>
      <c r="H4112" s="14">
        <f t="shared" si="2"/>
        <v>21</v>
      </c>
      <c r="I4112" s="15">
        <f t="shared" si="3"/>
        <v>8</v>
      </c>
    </row>
    <row r="4113">
      <c r="A4113" s="8" t="str">
        <f>IFERROR(__xludf.DUMMYFUNCTION("IF('(INGESTA)Datos_consumo_datadis'!A4113&lt;&gt;"""",SPLIT('(INGESTA)Datos_consumo_datadis'!A:A,"",""),"""")"),"ES0031408323131005HX0F")</f>
        <v>ES0031408323131005HX0F</v>
      </c>
      <c r="B4113" s="12">
        <f>IFERROR(__xludf.DUMMYFUNCTION("""COMPUTED_VALUE"""),45037.0)</f>
        <v>45037</v>
      </c>
      <c r="C4113" s="13">
        <f>IFERROR(__xludf.DUMMYFUNCTION("""COMPUTED_VALUE"""),0.375)</f>
        <v>0.375</v>
      </c>
      <c r="D4113" s="8">
        <f>IFERROR(__xludf.DUMMYFUNCTION("""COMPUTED_VALUE"""),0.087)</f>
        <v>0.087</v>
      </c>
      <c r="E4113" s="8" t="str">
        <f>IFERROR(__xludf.DUMMYFUNCTION("""COMPUTED_VALUE"""),"Real")</f>
        <v>Real</v>
      </c>
      <c r="G4113" s="8">
        <f t="shared" si="1"/>
        <v>4</v>
      </c>
      <c r="H4113" s="14">
        <f t="shared" si="2"/>
        <v>21</v>
      </c>
      <c r="I4113" s="15">
        <f t="shared" si="3"/>
        <v>9</v>
      </c>
    </row>
    <row r="4114">
      <c r="A4114" s="8" t="str">
        <f>IFERROR(__xludf.DUMMYFUNCTION("IF('(INGESTA)Datos_consumo_datadis'!A4114&lt;&gt;"""",SPLIT('(INGESTA)Datos_consumo_datadis'!A:A,"",""),"""")"),"ES0031408323131005HX0F")</f>
        <v>ES0031408323131005HX0F</v>
      </c>
      <c r="B4114" s="12">
        <f>IFERROR(__xludf.DUMMYFUNCTION("""COMPUTED_VALUE"""),45037.0)</f>
        <v>45037</v>
      </c>
      <c r="C4114" s="13">
        <f>IFERROR(__xludf.DUMMYFUNCTION("""COMPUTED_VALUE"""),0.4166666666666667)</f>
        <v>0.4166666667</v>
      </c>
      <c r="D4114" s="8">
        <f>IFERROR(__xludf.DUMMYFUNCTION("""COMPUTED_VALUE"""),0.325)</f>
        <v>0.325</v>
      </c>
      <c r="E4114" s="8" t="str">
        <f>IFERROR(__xludf.DUMMYFUNCTION("""COMPUTED_VALUE"""),"Real")</f>
        <v>Real</v>
      </c>
      <c r="G4114" s="8">
        <f t="shared" si="1"/>
        <v>4</v>
      </c>
      <c r="H4114" s="14">
        <f t="shared" si="2"/>
        <v>21</v>
      </c>
      <c r="I4114" s="15">
        <f t="shared" si="3"/>
        <v>10</v>
      </c>
    </row>
    <row r="4115">
      <c r="A4115" s="8" t="str">
        <f>IFERROR(__xludf.DUMMYFUNCTION("IF('(INGESTA)Datos_consumo_datadis'!A4115&lt;&gt;"""",SPLIT('(INGESTA)Datos_consumo_datadis'!A:A,"",""),"""")"),"ES0031408323131005HX0F")</f>
        <v>ES0031408323131005HX0F</v>
      </c>
      <c r="B4115" s="12">
        <f>IFERROR(__xludf.DUMMYFUNCTION("""COMPUTED_VALUE"""),45037.0)</f>
        <v>45037</v>
      </c>
      <c r="C4115" s="13">
        <f>IFERROR(__xludf.DUMMYFUNCTION("""COMPUTED_VALUE"""),0.4583333333333333)</f>
        <v>0.4583333333</v>
      </c>
      <c r="D4115" s="8">
        <f>IFERROR(__xludf.DUMMYFUNCTION("""COMPUTED_VALUE"""),0.049)</f>
        <v>0.049</v>
      </c>
      <c r="E4115" s="8" t="str">
        <f>IFERROR(__xludf.DUMMYFUNCTION("""COMPUTED_VALUE"""),"Real")</f>
        <v>Real</v>
      </c>
      <c r="G4115" s="8">
        <f t="shared" si="1"/>
        <v>4</v>
      </c>
      <c r="H4115" s="14">
        <f t="shared" si="2"/>
        <v>21</v>
      </c>
      <c r="I4115" s="15">
        <f t="shared" si="3"/>
        <v>11</v>
      </c>
    </row>
    <row r="4116">
      <c r="A4116" s="8" t="str">
        <f>IFERROR(__xludf.DUMMYFUNCTION("IF('(INGESTA)Datos_consumo_datadis'!A4116&lt;&gt;"""",SPLIT('(INGESTA)Datos_consumo_datadis'!A:A,"",""),"""")"),"ES0031408323131005HX0F")</f>
        <v>ES0031408323131005HX0F</v>
      </c>
      <c r="B4116" s="12">
        <f>IFERROR(__xludf.DUMMYFUNCTION("""COMPUTED_VALUE"""),45037.0)</f>
        <v>45037</v>
      </c>
      <c r="C4116" s="13">
        <f>IFERROR(__xludf.DUMMYFUNCTION("""COMPUTED_VALUE"""),0.5)</f>
        <v>0.5</v>
      </c>
      <c r="D4116" s="8">
        <f>IFERROR(__xludf.DUMMYFUNCTION("""COMPUTED_VALUE"""),0.679)</f>
        <v>0.679</v>
      </c>
      <c r="E4116" s="8" t="str">
        <f>IFERROR(__xludf.DUMMYFUNCTION("""COMPUTED_VALUE"""),"Real")</f>
        <v>Real</v>
      </c>
      <c r="G4116" s="8">
        <f t="shared" si="1"/>
        <v>4</v>
      </c>
      <c r="H4116" s="14">
        <f t="shared" si="2"/>
        <v>21</v>
      </c>
      <c r="I4116" s="15">
        <f t="shared" si="3"/>
        <v>12</v>
      </c>
    </row>
    <row r="4117">
      <c r="A4117" s="8" t="str">
        <f>IFERROR(__xludf.DUMMYFUNCTION("IF('(INGESTA)Datos_consumo_datadis'!A4117&lt;&gt;"""",SPLIT('(INGESTA)Datos_consumo_datadis'!A:A,"",""),"""")"),"ES0031408323131005HX0F")</f>
        <v>ES0031408323131005HX0F</v>
      </c>
      <c r="B4117" s="12">
        <f>IFERROR(__xludf.DUMMYFUNCTION("""COMPUTED_VALUE"""),45037.0)</f>
        <v>45037</v>
      </c>
      <c r="C4117" s="13">
        <f>IFERROR(__xludf.DUMMYFUNCTION("""COMPUTED_VALUE"""),0.5416666666666666)</f>
        <v>0.5416666667</v>
      </c>
      <c r="D4117" s="8">
        <f>IFERROR(__xludf.DUMMYFUNCTION("""COMPUTED_VALUE"""),1.173)</f>
        <v>1.173</v>
      </c>
      <c r="E4117" s="8" t="str">
        <f>IFERROR(__xludf.DUMMYFUNCTION("""COMPUTED_VALUE"""),"Real")</f>
        <v>Real</v>
      </c>
      <c r="G4117" s="8">
        <f t="shared" si="1"/>
        <v>4</v>
      </c>
      <c r="H4117" s="14">
        <f t="shared" si="2"/>
        <v>21</v>
      </c>
      <c r="I4117" s="15">
        <f t="shared" si="3"/>
        <v>13</v>
      </c>
    </row>
    <row r="4118">
      <c r="A4118" s="8" t="str">
        <f>IFERROR(__xludf.DUMMYFUNCTION("IF('(INGESTA)Datos_consumo_datadis'!A4118&lt;&gt;"""",SPLIT('(INGESTA)Datos_consumo_datadis'!A:A,"",""),"""")"),"ES0031408323131005HX0F")</f>
        <v>ES0031408323131005HX0F</v>
      </c>
      <c r="B4118" s="12">
        <f>IFERROR(__xludf.DUMMYFUNCTION("""COMPUTED_VALUE"""),45037.0)</f>
        <v>45037</v>
      </c>
      <c r="C4118" s="13">
        <f>IFERROR(__xludf.DUMMYFUNCTION("""COMPUTED_VALUE"""),0.5833333333333334)</f>
        <v>0.5833333333</v>
      </c>
      <c r="D4118" s="8">
        <f>IFERROR(__xludf.DUMMYFUNCTION("""COMPUTED_VALUE"""),1.717)</f>
        <v>1.717</v>
      </c>
      <c r="E4118" s="8" t="str">
        <f>IFERROR(__xludf.DUMMYFUNCTION("""COMPUTED_VALUE"""),"Real")</f>
        <v>Real</v>
      </c>
      <c r="G4118" s="8">
        <f t="shared" si="1"/>
        <v>4</v>
      </c>
      <c r="H4118" s="14">
        <f t="shared" si="2"/>
        <v>21</v>
      </c>
      <c r="I4118" s="15">
        <f t="shared" si="3"/>
        <v>14</v>
      </c>
    </row>
    <row r="4119">
      <c r="A4119" s="8" t="str">
        <f>IFERROR(__xludf.DUMMYFUNCTION("IF('(INGESTA)Datos_consumo_datadis'!A4119&lt;&gt;"""",SPLIT('(INGESTA)Datos_consumo_datadis'!A:A,"",""),"""")"),"ES0031408323131005HX0F")</f>
        <v>ES0031408323131005HX0F</v>
      </c>
      <c r="B4119" s="12">
        <f>IFERROR(__xludf.DUMMYFUNCTION("""COMPUTED_VALUE"""),45037.0)</f>
        <v>45037</v>
      </c>
      <c r="C4119" s="13">
        <f>IFERROR(__xludf.DUMMYFUNCTION("""COMPUTED_VALUE"""),0.625)</f>
        <v>0.625</v>
      </c>
      <c r="D4119" s="8">
        <f>IFERROR(__xludf.DUMMYFUNCTION("""COMPUTED_VALUE"""),0.111)</f>
        <v>0.111</v>
      </c>
      <c r="E4119" s="8" t="str">
        <f>IFERROR(__xludf.DUMMYFUNCTION("""COMPUTED_VALUE"""),"Real")</f>
        <v>Real</v>
      </c>
      <c r="G4119" s="8">
        <f t="shared" si="1"/>
        <v>4</v>
      </c>
      <c r="H4119" s="14">
        <f t="shared" si="2"/>
        <v>21</v>
      </c>
      <c r="I4119" s="15">
        <f t="shared" si="3"/>
        <v>15</v>
      </c>
    </row>
    <row r="4120">
      <c r="A4120" s="8" t="str">
        <f>IFERROR(__xludf.DUMMYFUNCTION("IF('(INGESTA)Datos_consumo_datadis'!A4120&lt;&gt;"""",SPLIT('(INGESTA)Datos_consumo_datadis'!A:A,"",""),"""")"),"ES0031408323131005HX0F")</f>
        <v>ES0031408323131005HX0F</v>
      </c>
      <c r="B4120" s="12">
        <f>IFERROR(__xludf.DUMMYFUNCTION("""COMPUTED_VALUE"""),45037.0)</f>
        <v>45037</v>
      </c>
      <c r="C4120" s="13">
        <f>IFERROR(__xludf.DUMMYFUNCTION("""COMPUTED_VALUE"""),0.6666666666666666)</f>
        <v>0.6666666667</v>
      </c>
      <c r="D4120" s="8">
        <f>IFERROR(__xludf.DUMMYFUNCTION("""COMPUTED_VALUE"""),0.025)</f>
        <v>0.025</v>
      </c>
      <c r="E4120" s="8" t="str">
        <f>IFERROR(__xludf.DUMMYFUNCTION("""COMPUTED_VALUE"""),"Real")</f>
        <v>Real</v>
      </c>
      <c r="G4120" s="8">
        <f t="shared" si="1"/>
        <v>4</v>
      </c>
      <c r="H4120" s="14">
        <f t="shared" si="2"/>
        <v>21</v>
      </c>
      <c r="I4120" s="15">
        <f t="shared" si="3"/>
        <v>16</v>
      </c>
    </row>
    <row r="4121">
      <c r="A4121" s="8" t="str">
        <f>IFERROR(__xludf.DUMMYFUNCTION("IF('(INGESTA)Datos_consumo_datadis'!A4121&lt;&gt;"""",SPLIT('(INGESTA)Datos_consumo_datadis'!A:A,"",""),"""")"),"ES0031408323131005HX0F")</f>
        <v>ES0031408323131005HX0F</v>
      </c>
      <c r="B4121" s="12">
        <f>IFERROR(__xludf.DUMMYFUNCTION("""COMPUTED_VALUE"""),45037.0)</f>
        <v>45037</v>
      </c>
      <c r="C4121" s="13">
        <f>IFERROR(__xludf.DUMMYFUNCTION("""COMPUTED_VALUE"""),0.7083333333333334)</f>
        <v>0.7083333333</v>
      </c>
      <c r="D4121" s="8">
        <f>IFERROR(__xludf.DUMMYFUNCTION("""COMPUTED_VALUE"""),0.083)</f>
        <v>0.083</v>
      </c>
      <c r="E4121" s="8" t="str">
        <f>IFERROR(__xludf.DUMMYFUNCTION("""COMPUTED_VALUE"""),"Real")</f>
        <v>Real</v>
      </c>
      <c r="G4121" s="8">
        <f t="shared" si="1"/>
        <v>4</v>
      </c>
      <c r="H4121" s="14">
        <f t="shared" si="2"/>
        <v>21</v>
      </c>
      <c r="I4121" s="15">
        <f t="shared" si="3"/>
        <v>17</v>
      </c>
    </row>
    <row r="4122">
      <c r="A4122" s="8" t="str">
        <f>IFERROR(__xludf.DUMMYFUNCTION("IF('(INGESTA)Datos_consumo_datadis'!A4122&lt;&gt;"""",SPLIT('(INGESTA)Datos_consumo_datadis'!A:A,"",""),"""")"),"ES0031408323131005HX0F")</f>
        <v>ES0031408323131005HX0F</v>
      </c>
      <c r="B4122" s="12">
        <f>IFERROR(__xludf.DUMMYFUNCTION("""COMPUTED_VALUE"""),45037.0)</f>
        <v>45037</v>
      </c>
      <c r="C4122" s="13">
        <f>IFERROR(__xludf.DUMMYFUNCTION("""COMPUTED_VALUE"""),0.75)</f>
        <v>0.75</v>
      </c>
      <c r="D4122" s="8">
        <f>IFERROR(__xludf.DUMMYFUNCTION("""COMPUTED_VALUE"""),0.072)</f>
        <v>0.072</v>
      </c>
      <c r="E4122" s="8" t="str">
        <f>IFERROR(__xludf.DUMMYFUNCTION("""COMPUTED_VALUE"""),"Real")</f>
        <v>Real</v>
      </c>
      <c r="G4122" s="8">
        <f t="shared" si="1"/>
        <v>4</v>
      </c>
      <c r="H4122" s="14">
        <f t="shared" si="2"/>
        <v>21</v>
      </c>
      <c r="I4122" s="15">
        <f t="shared" si="3"/>
        <v>18</v>
      </c>
    </row>
    <row r="4123">
      <c r="A4123" s="8" t="str">
        <f>IFERROR(__xludf.DUMMYFUNCTION("IF('(INGESTA)Datos_consumo_datadis'!A4123&lt;&gt;"""",SPLIT('(INGESTA)Datos_consumo_datadis'!A:A,"",""),"""")"),"ES0031408323131005HX0F")</f>
        <v>ES0031408323131005HX0F</v>
      </c>
      <c r="B4123" s="12">
        <f>IFERROR(__xludf.DUMMYFUNCTION("""COMPUTED_VALUE"""),45037.0)</f>
        <v>45037</v>
      </c>
      <c r="C4123" s="13">
        <f>IFERROR(__xludf.DUMMYFUNCTION("""COMPUTED_VALUE"""),0.7916666666666666)</f>
        <v>0.7916666667</v>
      </c>
      <c r="D4123" s="8">
        <f>IFERROR(__xludf.DUMMYFUNCTION("""COMPUTED_VALUE"""),0.338)</f>
        <v>0.338</v>
      </c>
      <c r="E4123" s="8" t="str">
        <f>IFERROR(__xludf.DUMMYFUNCTION("""COMPUTED_VALUE"""),"Real")</f>
        <v>Real</v>
      </c>
      <c r="G4123" s="8">
        <f t="shared" si="1"/>
        <v>4</v>
      </c>
      <c r="H4123" s="14">
        <f t="shared" si="2"/>
        <v>21</v>
      </c>
      <c r="I4123" s="15">
        <f t="shared" si="3"/>
        <v>19</v>
      </c>
    </row>
    <row r="4124">
      <c r="A4124" s="8" t="str">
        <f>IFERROR(__xludf.DUMMYFUNCTION("IF('(INGESTA)Datos_consumo_datadis'!A4124&lt;&gt;"""",SPLIT('(INGESTA)Datos_consumo_datadis'!A:A,"",""),"""")"),"ES0031408323131005HX0F")</f>
        <v>ES0031408323131005HX0F</v>
      </c>
      <c r="B4124" s="12">
        <f>IFERROR(__xludf.DUMMYFUNCTION("""COMPUTED_VALUE"""),45037.0)</f>
        <v>45037</v>
      </c>
      <c r="C4124" s="13">
        <f>IFERROR(__xludf.DUMMYFUNCTION("""COMPUTED_VALUE"""),0.8333333333333334)</f>
        <v>0.8333333333</v>
      </c>
      <c r="D4124" s="8">
        <f>IFERROR(__xludf.DUMMYFUNCTION("""COMPUTED_VALUE"""),0.141)</f>
        <v>0.141</v>
      </c>
      <c r="E4124" s="8" t="str">
        <f>IFERROR(__xludf.DUMMYFUNCTION("""COMPUTED_VALUE"""),"Real")</f>
        <v>Real</v>
      </c>
      <c r="G4124" s="8">
        <f t="shared" si="1"/>
        <v>4</v>
      </c>
      <c r="H4124" s="14">
        <f t="shared" si="2"/>
        <v>21</v>
      </c>
      <c r="I4124" s="15">
        <f t="shared" si="3"/>
        <v>20</v>
      </c>
    </row>
    <row r="4125">
      <c r="A4125" s="8" t="str">
        <f>IFERROR(__xludf.DUMMYFUNCTION("IF('(INGESTA)Datos_consumo_datadis'!A4125&lt;&gt;"""",SPLIT('(INGESTA)Datos_consumo_datadis'!A:A,"",""),"""")"),"ES0031408323131005HX0F")</f>
        <v>ES0031408323131005HX0F</v>
      </c>
      <c r="B4125" s="12">
        <f>IFERROR(__xludf.DUMMYFUNCTION("""COMPUTED_VALUE"""),45037.0)</f>
        <v>45037</v>
      </c>
      <c r="C4125" s="13">
        <f>IFERROR(__xludf.DUMMYFUNCTION("""COMPUTED_VALUE"""),0.875)</f>
        <v>0.875</v>
      </c>
      <c r="D4125" s="8">
        <f>IFERROR(__xludf.DUMMYFUNCTION("""COMPUTED_VALUE"""),0.207)</f>
        <v>0.207</v>
      </c>
      <c r="E4125" s="8" t="str">
        <f>IFERROR(__xludf.DUMMYFUNCTION("""COMPUTED_VALUE"""),"Real")</f>
        <v>Real</v>
      </c>
      <c r="G4125" s="8">
        <f t="shared" si="1"/>
        <v>4</v>
      </c>
      <c r="H4125" s="14">
        <f t="shared" si="2"/>
        <v>21</v>
      </c>
      <c r="I4125" s="15">
        <f t="shared" si="3"/>
        <v>21</v>
      </c>
    </row>
    <row r="4126">
      <c r="A4126" s="8" t="str">
        <f>IFERROR(__xludf.DUMMYFUNCTION("IF('(INGESTA)Datos_consumo_datadis'!A4126&lt;&gt;"""",SPLIT('(INGESTA)Datos_consumo_datadis'!A:A,"",""),"""")"),"ES0031408323131005HX0F")</f>
        <v>ES0031408323131005HX0F</v>
      </c>
      <c r="B4126" s="12">
        <f>IFERROR(__xludf.DUMMYFUNCTION("""COMPUTED_VALUE"""),45037.0)</f>
        <v>45037</v>
      </c>
      <c r="C4126" s="13">
        <f>IFERROR(__xludf.DUMMYFUNCTION("""COMPUTED_VALUE"""),0.9166666666666666)</f>
        <v>0.9166666667</v>
      </c>
      <c r="D4126" s="8">
        <f>IFERROR(__xludf.DUMMYFUNCTION("""COMPUTED_VALUE"""),0.089)</f>
        <v>0.089</v>
      </c>
      <c r="E4126" s="8" t="str">
        <f>IFERROR(__xludf.DUMMYFUNCTION("""COMPUTED_VALUE"""),"Real")</f>
        <v>Real</v>
      </c>
      <c r="G4126" s="8">
        <f t="shared" si="1"/>
        <v>4</v>
      </c>
      <c r="H4126" s="14">
        <f t="shared" si="2"/>
        <v>21</v>
      </c>
      <c r="I4126" s="15">
        <f t="shared" si="3"/>
        <v>22</v>
      </c>
    </row>
    <row r="4127">
      <c r="A4127" s="8" t="str">
        <f>IFERROR(__xludf.DUMMYFUNCTION("IF('(INGESTA)Datos_consumo_datadis'!A4127&lt;&gt;"""",SPLIT('(INGESTA)Datos_consumo_datadis'!A:A,"",""),"""")"),"ES0031408323131005HX0F")</f>
        <v>ES0031408323131005HX0F</v>
      </c>
      <c r="B4127" s="12">
        <f>IFERROR(__xludf.DUMMYFUNCTION("""COMPUTED_VALUE"""),45037.0)</f>
        <v>45037</v>
      </c>
      <c r="C4127" s="13">
        <f>IFERROR(__xludf.DUMMYFUNCTION("""COMPUTED_VALUE"""),0.9583333333333334)</f>
        <v>0.9583333333</v>
      </c>
      <c r="D4127" s="8">
        <f>IFERROR(__xludf.DUMMYFUNCTION("""COMPUTED_VALUE"""),0.916)</f>
        <v>0.916</v>
      </c>
      <c r="E4127" s="8" t="str">
        <f>IFERROR(__xludf.DUMMYFUNCTION("""COMPUTED_VALUE"""),"Real")</f>
        <v>Real</v>
      </c>
      <c r="G4127" s="8">
        <f t="shared" si="1"/>
        <v>4</v>
      </c>
      <c r="H4127" s="14">
        <f t="shared" si="2"/>
        <v>21</v>
      </c>
      <c r="I4127" s="15">
        <f t="shared" si="3"/>
        <v>23</v>
      </c>
    </row>
    <row r="4128">
      <c r="A4128" s="8" t="str">
        <f>IFERROR(__xludf.DUMMYFUNCTION("IF('(INGESTA)Datos_consumo_datadis'!A4128&lt;&gt;"""",SPLIT('(INGESTA)Datos_consumo_datadis'!A:A,"",""),"""")"),"ES0031408323131005HX0F")</f>
        <v>ES0031408323131005HX0F</v>
      </c>
      <c r="B4128" s="12">
        <f>IFERROR(__xludf.DUMMYFUNCTION("""COMPUTED_VALUE"""),45037.0)</f>
        <v>45037</v>
      </c>
      <c r="C4128" s="16">
        <f>IFERROR(__xludf.DUMMYFUNCTION("""COMPUTED_VALUE"""),1.0)</f>
        <v>1</v>
      </c>
      <c r="D4128" s="8">
        <f>IFERROR(__xludf.DUMMYFUNCTION("""COMPUTED_VALUE"""),1.435)</f>
        <v>1.435</v>
      </c>
      <c r="E4128" s="8" t="str">
        <f>IFERROR(__xludf.DUMMYFUNCTION("""COMPUTED_VALUE"""),"Real")</f>
        <v>Real</v>
      </c>
      <c r="G4128" s="8">
        <f t="shared" si="1"/>
        <v>4</v>
      </c>
      <c r="H4128" s="14">
        <f t="shared" si="2"/>
        <v>21</v>
      </c>
      <c r="I4128" s="15">
        <f t="shared" si="3"/>
        <v>0</v>
      </c>
    </row>
    <row r="4129">
      <c r="A4129" s="8" t="str">
        <f>IFERROR(__xludf.DUMMYFUNCTION("IF('(INGESTA)Datos_consumo_datadis'!A4129&lt;&gt;"""",SPLIT('(INGESTA)Datos_consumo_datadis'!A:A,"",""),"""")"),"ES0031408323131005HX0F")</f>
        <v>ES0031408323131005HX0F</v>
      </c>
      <c r="B4129" s="12">
        <f>IFERROR(__xludf.DUMMYFUNCTION("""COMPUTED_VALUE"""),45038.0)</f>
        <v>45038</v>
      </c>
      <c r="C4129" s="13">
        <f>IFERROR(__xludf.DUMMYFUNCTION("""COMPUTED_VALUE"""),0.041666666666666664)</f>
        <v>0.04166666667</v>
      </c>
      <c r="D4129" s="8">
        <f>IFERROR(__xludf.DUMMYFUNCTION("""COMPUTED_VALUE"""),0.294)</f>
        <v>0.294</v>
      </c>
      <c r="E4129" s="8" t="str">
        <f>IFERROR(__xludf.DUMMYFUNCTION("""COMPUTED_VALUE"""),"Real")</f>
        <v>Real</v>
      </c>
      <c r="G4129" s="8">
        <f t="shared" si="1"/>
        <v>4</v>
      </c>
      <c r="H4129" s="14">
        <f t="shared" si="2"/>
        <v>22</v>
      </c>
      <c r="I4129" s="15">
        <f t="shared" si="3"/>
        <v>1</v>
      </c>
    </row>
    <row r="4130">
      <c r="A4130" s="8" t="str">
        <f>IFERROR(__xludf.DUMMYFUNCTION("IF('(INGESTA)Datos_consumo_datadis'!A4130&lt;&gt;"""",SPLIT('(INGESTA)Datos_consumo_datadis'!A:A,"",""),"""")"),"ES0031408323131005HX0F")</f>
        <v>ES0031408323131005HX0F</v>
      </c>
      <c r="B4130" s="12">
        <f>IFERROR(__xludf.DUMMYFUNCTION("""COMPUTED_VALUE"""),45038.0)</f>
        <v>45038</v>
      </c>
      <c r="C4130" s="13">
        <f>IFERROR(__xludf.DUMMYFUNCTION("""COMPUTED_VALUE"""),0.08333333333333333)</f>
        <v>0.08333333333</v>
      </c>
      <c r="D4130" s="8">
        <f>IFERROR(__xludf.DUMMYFUNCTION("""COMPUTED_VALUE"""),0.068)</f>
        <v>0.068</v>
      </c>
      <c r="E4130" s="8" t="str">
        <f>IFERROR(__xludf.DUMMYFUNCTION("""COMPUTED_VALUE"""),"Real")</f>
        <v>Real</v>
      </c>
      <c r="G4130" s="8">
        <f t="shared" si="1"/>
        <v>4</v>
      </c>
      <c r="H4130" s="14">
        <f t="shared" si="2"/>
        <v>22</v>
      </c>
      <c r="I4130" s="15">
        <f t="shared" si="3"/>
        <v>2</v>
      </c>
    </row>
    <row r="4131">
      <c r="A4131" s="8" t="str">
        <f>IFERROR(__xludf.DUMMYFUNCTION("IF('(INGESTA)Datos_consumo_datadis'!A4131&lt;&gt;"""",SPLIT('(INGESTA)Datos_consumo_datadis'!A:A,"",""),"""")"),"ES0031408323131005HX0F")</f>
        <v>ES0031408323131005HX0F</v>
      </c>
      <c r="B4131" s="12">
        <f>IFERROR(__xludf.DUMMYFUNCTION("""COMPUTED_VALUE"""),45038.0)</f>
        <v>45038</v>
      </c>
      <c r="C4131" s="13">
        <f>IFERROR(__xludf.DUMMYFUNCTION("""COMPUTED_VALUE"""),0.125)</f>
        <v>0.125</v>
      </c>
      <c r="D4131" s="8">
        <f>IFERROR(__xludf.DUMMYFUNCTION("""COMPUTED_VALUE"""),0.039)</f>
        <v>0.039</v>
      </c>
      <c r="E4131" s="8" t="str">
        <f>IFERROR(__xludf.DUMMYFUNCTION("""COMPUTED_VALUE"""),"Real")</f>
        <v>Real</v>
      </c>
      <c r="G4131" s="8">
        <f t="shared" si="1"/>
        <v>4</v>
      </c>
      <c r="H4131" s="14">
        <f t="shared" si="2"/>
        <v>22</v>
      </c>
      <c r="I4131" s="15">
        <f t="shared" si="3"/>
        <v>3</v>
      </c>
    </row>
    <row r="4132">
      <c r="A4132" s="8" t="str">
        <f>IFERROR(__xludf.DUMMYFUNCTION("IF('(INGESTA)Datos_consumo_datadis'!A4132&lt;&gt;"""",SPLIT('(INGESTA)Datos_consumo_datadis'!A:A,"",""),"""")"),"ES0031408323131005HX0F")</f>
        <v>ES0031408323131005HX0F</v>
      </c>
      <c r="B4132" s="12">
        <f>IFERROR(__xludf.DUMMYFUNCTION("""COMPUTED_VALUE"""),45038.0)</f>
        <v>45038</v>
      </c>
      <c r="C4132" s="13">
        <f>IFERROR(__xludf.DUMMYFUNCTION("""COMPUTED_VALUE"""),0.16666666666666666)</f>
        <v>0.1666666667</v>
      </c>
      <c r="D4132" s="8">
        <f>IFERROR(__xludf.DUMMYFUNCTION("""COMPUTED_VALUE"""),0.098)</f>
        <v>0.098</v>
      </c>
      <c r="E4132" s="8" t="str">
        <f>IFERROR(__xludf.DUMMYFUNCTION("""COMPUTED_VALUE"""),"Real")</f>
        <v>Real</v>
      </c>
      <c r="G4132" s="8">
        <f t="shared" si="1"/>
        <v>4</v>
      </c>
      <c r="H4132" s="14">
        <f t="shared" si="2"/>
        <v>22</v>
      </c>
      <c r="I4132" s="15">
        <f t="shared" si="3"/>
        <v>4</v>
      </c>
    </row>
    <row r="4133">
      <c r="A4133" s="8" t="str">
        <f>IFERROR(__xludf.DUMMYFUNCTION("IF('(INGESTA)Datos_consumo_datadis'!A4133&lt;&gt;"""",SPLIT('(INGESTA)Datos_consumo_datadis'!A:A,"",""),"""")"),"ES0031408323131005HX0F")</f>
        <v>ES0031408323131005HX0F</v>
      </c>
      <c r="B4133" s="12">
        <f>IFERROR(__xludf.DUMMYFUNCTION("""COMPUTED_VALUE"""),45038.0)</f>
        <v>45038</v>
      </c>
      <c r="C4133" s="13">
        <f>IFERROR(__xludf.DUMMYFUNCTION("""COMPUTED_VALUE"""),0.20833333333333334)</f>
        <v>0.2083333333</v>
      </c>
      <c r="D4133" s="8">
        <f>IFERROR(__xludf.DUMMYFUNCTION("""COMPUTED_VALUE"""),0.118)</f>
        <v>0.118</v>
      </c>
      <c r="E4133" s="8" t="str">
        <f>IFERROR(__xludf.DUMMYFUNCTION("""COMPUTED_VALUE"""),"Real")</f>
        <v>Real</v>
      </c>
      <c r="G4133" s="8">
        <f t="shared" si="1"/>
        <v>4</v>
      </c>
      <c r="H4133" s="14">
        <f t="shared" si="2"/>
        <v>22</v>
      </c>
      <c r="I4133" s="15">
        <f t="shared" si="3"/>
        <v>5</v>
      </c>
    </row>
    <row r="4134">
      <c r="A4134" s="8" t="str">
        <f>IFERROR(__xludf.DUMMYFUNCTION("IF('(INGESTA)Datos_consumo_datadis'!A4134&lt;&gt;"""",SPLIT('(INGESTA)Datos_consumo_datadis'!A:A,"",""),"""")"),"ES0031408323131005HX0F")</f>
        <v>ES0031408323131005HX0F</v>
      </c>
      <c r="B4134" s="12">
        <f>IFERROR(__xludf.DUMMYFUNCTION("""COMPUTED_VALUE"""),45038.0)</f>
        <v>45038</v>
      </c>
      <c r="C4134" s="13">
        <f>IFERROR(__xludf.DUMMYFUNCTION("""COMPUTED_VALUE"""),0.25)</f>
        <v>0.25</v>
      </c>
      <c r="D4134" s="8">
        <f>IFERROR(__xludf.DUMMYFUNCTION("""COMPUTED_VALUE"""),0.326)</f>
        <v>0.326</v>
      </c>
      <c r="E4134" s="8" t="str">
        <f>IFERROR(__xludf.DUMMYFUNCTION("""COMPUTED_VALUE"""),"Real")</f>
        <v>Real</v>
      </c>
      <c r="G4134" s="8">
        <f t="shared" si="1"/>
        <v>4</v>
      </c>
      <c r="H4134" s="14">
        <f t="shared" si="2"/>
        <v>22</v>
      </c>
      <c r="I4134" s="15">
        <f t="shared" si="3"/>
        <v>6</v>
      </c>
    </row>
    <row r="4135">
      <c r="A4135" s="8" t="str">
        <f>IFERROR(__xludf.DUMMYFUNCTION("IF('(INGESTA)Datos_consumo_datadis'!A4135&lt;&gt;"""",SPLIT('(INGESTA)Datos_consumo_datadis'!A:A,"",""),"""")"),"ES0031408323131005HX0F")</f>
        <v>ES0031408323131005HX0F</v>
      </c>
      <c r="B4135" s="12">
        <f>IFERROR(__xludf.DUMMYFUNCTION("""COMPUTED_VALUE"""),45038.0)</f>
        <v>45038</v>
      </c>
      <c r="C4135" s="13">
        <f>IFERROR(__xludf.DUMMYFUNCTION("""COMPUTED_VALUE"""),0.2916666666666667)</f>
        <v>0.2916666667</v>
      </c>
      <c r="D4135" s="8">
        <f>IFERROR(__xludf.DUMMYFUNCTION("""COMPUTED_VALUE"""),0.482)</f>
        <v>0.482</v>
      </c>
      <c r="E4135" s="8" t="str">
        <f>IFERROR(__xludf.DUMMYFUNCTION("""COMPUTED_VALUE"""),"Real")</f>
        <v>Real</v>
      </c>
      <c r="G4135" s="8">
        <f t="shared" si="1"/>
        <v>4</v>
      </c>
      <c r="H4135" s="14">
        <f t="shared" si="2"/>
        <v>22</v>
      </c>
      <c r="I4135" s="15">
        <f t="shared" si="3"/>
        <v>7</v>
      </c>
    </row>
    <row r="4136">
      <c r="A4136" s="8" t="str">
        <f>IFERROR(__xludf.DUMMYFUNCTION("IF('(INGESTA)Datos_consumo_datadis'!A4136&lt;&gt;"""",SPLIT('(INGESTA)Datos_consumo_datadis'!A:A,"",""),"""")"),"ES0031408323131005HX0F")</f>
        <v>ES0031408323131005HX0F</v>
      </c>
      <c r="B4136" s="12">
        <f>IFERROR(__xludf.DUMMYFUNCTION("""COMPUTED_VALUE"""),45038.0)</f>
        <v>45038</v>
      </c>
      <c r="C4136" s="13">
        <f>IFERROR(__xludf.DUMMYFUNCTION("""COMPUTED_VALUE"""),0.3333333333333333)</f>
        <v>0.3333333333</v>
      </c>
      <c r="D4136" s="8">
        <f>IFERROR(__xludf.DUMMYFUNCTION("""COMPUTED_VALUE"""),0.059)</f>
        <v>0.059</v>
      </c>
      <c r="E4136" s="8" t="str">
        <f>IFERROR(__xludf.DUMMYFUNCTION("""COMPUTED_VALUE"""),"Real")</f>
        <v>Real</v>
      </c>
      <c r="G4136" s="8">
        <f t="shared" si="1"/>
        <v>4</v>
      </c>
      <c r="H4136" s="14">
        <f t="shared" si="2"/>
        <v>22</v>
      </c>
      <c r="I4136" s="15">
        <f t="shared" si="3"/>
        <v>8</v>
      </c>
    </row>
    <row r="4137">
      <c r="A4137" s="8" t="str">
        <f>IFERROR(__xludf.DUMMYFUNCTION("IF('(INGESTA)Datos_consumo_datadis'!A4137&lt;&gt;"""",SPLIT('(INGESTA)Datos_consumo_datadis'!A:A,"",""),"""")"),"ES0031408323131005HX0F")</f>
        <v>ES0031408323131005HX0F</v>
      </c>
      <c r="B4137" s="12">
        <f>IFERROR(__xludf.DUMMYFUNCTION("""COMPUTED_VALUE"""),45038.0)</f>
        <v>45038</v>
      </c>
      <c r="C4137" s="13">
        <f>IFERROR(__xludf.DUMMYFUNCTION("""COMPUTED_VALUE"""),0.375)</f>
        <v>0.375</v>
      </c>
      <c r="D4137" s="8">
        <f>IFERROR(__xludf.DUMMYFUNCTION("""COMPUTED_VALUE"""),0.074)</f>
        <v>0.074</v>
      </c>
      <c r="E4137" s="8" t="str">
        <f>IFERROR(__xludf.DUMMYFUNCTION("""COMPUTED_VALUE"""),"Real")</f>
        <v>Real</v>
      </c>
      <c r="G4137" s="8">
        <f t="shared" si="1"/>
        <v>4</v>
      </c>
      <c r="H4137" s="14">
        <f t="shared" si="2"/>
        <v>22</v>
      </c>
      <c r="I4137" s="15">
        <f t="shared" si="3"/>
        <v>9</v>
      </c>
    </row>
    <row r="4138">
      <c r="A4138" s="8" t="str">
        <f>IFERROR(__xludf.DUMMYFUNCTION("IF('(INGESTA)Datos_consumo_datadis'!A4138&lt;&gt;"""",SPLIT('(INGESTA)Datos_consumo_datadis'!A:A,"",""),"""")"),"ES0031408323131005HX0F")</f>
        <v>ES0031408323131005HX0F</v>
      </c>
      <c r="B4138" s="12">
        <f>IFERROR(__xludf.DUMMYFUNCTION("""COMPUTED_VALUE"""),45038.0)</f>
        <v>45038</v>
      </c>
      <c r="C4138" s="13">
        <f>IFERROR(__xludf.DUMMYFUNCTION("""COMPUTED_VALUE"""),0.4166666666666667)</f>
        <v>0.4166666667</v>
      </c>
      <c r="D4138" s="8">
        <f>IFERROR(__xludf.DUMMYFUNCTION("""COMPUTED_VALUE"""),0.085)</f>
        <v>0.085</v>
      </c>
      <c r="E4138" s="8" t="str">
        <f>IFERROR(__xludf.DUMMYFUNCTION("""COMPUTED_VALUE"""),"Real")</f>
        <v>Real</v>
      </c>
      <c r="G4138" s="8">
        <f t="shared" si="1"/>
        <v>4</v>
      </c>
      <c r="H4138" s="14">
        <f t="shared" si="2"/>
        <v>22</v>
      </c>
      <c r="I4138" s="15">
        <f t="shared" si="3"/>
        <v>10</v>
      </c>
    </row>
    <row r="4139">
      <c r="A4139" s="8" t="str">
        <f>IFERROR(__xludf.DUMMYFUNCTION("IF('(INGESTA)Datos_consumo_datadis'!A4139&lt;&gt;"""",SPLIT('(INGESTA)Datos_consumo_datadis'!A:A,"",""),"""")"),"ES0031408323131005HX0F")</f>
        <v>ES0031408323131005HX0F</v>
      </c>
      <c r="B4139" s="12">
        <f>IFERROR(__xludf.DUMMYFUNCTION("""COMPUTED_VALUE"""),45038.0)</f>
        <v>45038</v>
      </c>
      <c r="C4139" s="13">
        <f>IFERROR(__xludf.DUMMYFUNCTION("""COMPUTED_VALUE"""),0.4583333333333333)</f>
        <v>0.4583333333</v>
      </c>
      <c r="D4139" s="8">
        <f>IFERROR(__xludf.DUMMYFUNCTION("""COMPUTED_VALUE"""),0.101)</f>
        <v>0.101</v>
      </c>
      <c r="E4139" s="8" t="str">
        <f>IFERROR(__xludf.DUMMYFUNCTION("""COMPUTED_VALUE"""),"Real")</f>
        <v>Real</v>
      </c>
      <c r="G4139" s="8">
        <f t="shared" si="1"/>
        <v>4</v>
      </c>
      <c r="H4139" s="14">
        <f t="shared" si="2"/>
        <v>22</v>
      </c>
      <c r="I4139" s="15">
        <f t="shared" si="3"/>
        <v>11</v>
      </c>
    </row>
    <row r="4140">
      <c r="A4140" s="8" t="str">
        <f>IFERROR(__xludf.DUMMYFUNCTION("IF('(INGESTA)Datos_consumo_datadis'!A4140&lt;&gt;"""",SPLIT('(INGESTA)Datos_consumo_datadis'!A:A,"",""),"""")"),"ES0031408323131005HX0F")</f>
        <v>ES0031408323131005HX0F</v>
      </c>
      <c r="B4140" s="12">
        <f>IFERROR(__xludf.DUMMYFUNCTION("""COMPUTED_VALUE"""),45038.0)</f>
        <v>45038</v>
      </c>
      <c r="C4140" s="13">
        <f>IFERROR(__xludf.DUMMYFUNCTION("""COMPUTED_VALUE"""),0.5)</f>
        <v>0.5</v>
      </c>
      <c r="D4140" s="8">
        <f>IFERROR(__xludf.DUMMYFUNCTION("""COMPUTED_VALUE"""),0.275)</f>
        <v>0.275</v>
      </c>
      <c r="E4140" s="8" t="str">
        <f>IFERROR(__xludf.DUMMYFUNCTION("""COMPUTED_VALUE"""),"Real")</f>
        <v>Real</v>
      </c>
      <c r="G4140" s="8">
        <f t="shared" si="1"/>
        <v>4</v>
      </c>
      <c r="H4140" s="14">
        <f t="shared" si="2"/>
        <v>22</v>
      </c>
      <c r="I4140" s="15">
        <f t="shared" si="3"/>
        <v>12</v>
      </c>
    </row>
    <row r="4141">
      <c r="A4141" s="8" t="str">
        <f>IFERROR(__xludf.DUMMYFUNCTION("IF('(INGESTA)Datos_consumo_datadis'!A4141&lt;&gt;"""",SPLIT('(INGESTA)Datos_consumo_datadis'!A:A,"",""),"""")"),"ES0031408323131005HX0F")</f>
        <v>ES0031408323131005HX0F</v>
      </c>
      <c r="B4141" s="12">
        <f>IFERROR(__xludf.DUMMYFUNCTION("""COMPUTED_VALUE"""),45038.0)</f>
        <v>45038</v>
      </c>
      <c r="C4141" s="13">
        <f>IFERROR(__xludf.DUMMYFUNCTION("""COMPUTED_VALUE"""),0.5416666666666666)</f>
        <v>0.5416666667</v>
      </c>
      <c r="D4141" s="8">
        <f>IFERROR(__xludf.DUMMYFUNCTION("""COMPUTED_VALUE"""),0.056)</f>
        <v>0.056</v>
      </c>
      <c r="E4141" s="8" t="str">
        <f>IFERROR(__xludf.DUMMYFUNCTION("""COMPUTED_VALUE"""),"Real")</f>
        <v>Real</v>
      </c>
      <c r="G4141" s="8">
        <f t="shared" si="1"/>
        <v>4</v>
      </c>
      <c r="H4141" s="14">
        <f t="shared" si="2"/>
        <v>22</v>
      </c>
      <c r="I4141" s="15">
        <f t="shared" si="3"/>
        <v>13</v>
      </c>
    </row>
    <row r="4142">
      <c r="A4142" s="8" t="str">
        <f>IFERROR(__xludf.DUMMYFUNCTION("IF('(INGESTA)Datos_consumo_datadis'!A4142&lt;&gt;"""",SPLIT('(INGESTA)Datos_consumo_datadis'!A:A,"",""),"""")"),"ES0031408323131005HX0F")</f>
        <v>ES0031408323131005HX0F</v>
      </c>
      <c r="B4142" s="12">
        <f>IFERROR(__xludf.DUMMYFUNCTION("""COMPUTED_VALUE"""),45038.0)</f>
        <v>45038</v>
      </c>
      <c r="C4142" s="13">
        <f>IFERROR(__xludf.DUMMYFUNCTION("""COMPUTED_VALUE"""),0.5833333333333334)</f>
        <v>0.5833333333</v>
      </c>
      <c r="D4142" s="8">
        <f>IFERROR(__xludf.DUMMYFUNCTION("""COMPUTED_VALUE"""),0.016)</f>
        <v>0.016</v>
      </c>
      <c r="E4142" s="8" t="str">
        <f>IFERROR(__xludf.DUMMYFUNCTION("""COMPUTED_VALUE"""),"Real")</f>
        <v>Real</v>
      </c>
      <c r="G4142" s="8">
        <f t="shared" si="1"/>
        <v>4</v>
      </c>
      <c r="H4142" s="14">
        <f t="shared" si="2"/>
        <v>22</v>
      </c>
      <c r="I4142" s="15">
        <f t="shared" si="3"/>
        <v>14</v>
      </c>
    </row>
    <row r="4143">
      <c r="A4143" s="8" t="str">
        <f>IFERROR(__xludf.DUMMYFUNCTION("IF('(INGESTA)Datos_consumo_datadis'!A4143&lt;&gt;"""",SPLIT('(INGESTA)Datos_consumo_datadis'!A:A,"",""),"""")"),"ES0031408323131005HX0F")</f>
        <v>ES0031408323131005HX0F</v>
      </c>
      <c r="B4143" s="12">
        <f>IFERROR(__xludf.DUMMYFUNCTION("""COMPUTED_VALUE"""),45038.0)</f>
        <v>45038</v>
      </c>
      <c r="C4143" s="13">
        <f>IFERROR(__xludf.DUMMYFUNCTION("""COMPUTED_VALUE"""),0.625)</f>
        <v>0.625</v>
      </c>
      <c r="D4143" s="8">
        <f>IFERROR(__xludf.DUMMYFUNCTION("""COMPUTED_VALUE"""),0.066)</f>
        <v>0.066</v>
      </c>
      <c r="E4143" s="8" t="str">
        <f>IFERROR(__xludf.DUMMYFUNCTION("""COMPUTED_VALUE"""),"Real")</f>
        <v>Real</v>
      </c>
      <c r="G4143" s="8">
        <f t="shared" si="1"/>
        <v>4</v>
      </c>
      <c r="H4143" s="14">
        <f t="shared" si="2"/>
        <v>22</v>
      </c>
      <c r="I4143" s="15">
        <f t="shared" si="3"/>
        <v>15</v>
      </c>
    </row>
    <row r="4144">
      <c r="A4144" s="8" t="str">
        <f>IFERROR(__xludf.DUMMYFUNCTION("IF('(INGESTA)Datos_consumo_datadis'!A4144&lt;&gt;"""",SPLIT('(INGESTA)Datos_consumo_datadis'!A:A,"",""),"""")"),"ES0031408323131005HX0F")</f>
        <v>ES0031408323131005HX0F</v>
      </c>
      <c r="B4144" s="12">
        <f>IFERROR(__xludf.DUMMYFUNCTION("""COMPUTED_VALUE"""),45038.0)</f>
        <v>45038</v>
      </c>
      <c r="C4144" s="13">
        <f>IFERROR(__xludf.DUMMYFUNCTION("""COMPUTED_VALUE"""),0.6666666666666666)</f>
        <v>0.6666666667</v>
      </c>
      <c r="D4144" s="8">
        <f>IFERROR(__xludf.DUMMYFUNCTION("""COMPUTED_VALUE"""),0.067)</f>
        <v>0.067</v>
      </c>
      <c r="E4144" s="8" t="str">
        <f>IFERROR(__xludf.DUMMYFUNCTION("""COMPUTED_VALUE"""),"Real")</f>
        <v>Real</v>
      </c>
      <c r="G4144" s="8">
        <f t="shared" si="1"/>
        <v>4</v>
      </c>
      <c r="H4144" s="14">
        <f t="shared" si="2"/>
        <v>22</v>
      </c>
      <c r="I4144" s="15">
        <f t="shared" si="3"/>
        <v>16</v>
      </c>
    </row>
    <row r="4145">
      <c r="A4145" s="8" t="str">
        <f>IFERROR(__xludf.DUMMYFUNCTION("IF('(INGESTA)Datos_consumo_datadis'!A4145&lt;&gt;"""",SPLIT('(INGESTA)Datos_consumo_datadis'!A:A,"",""),"""")"),"ES0031408323131005HX0F")</f>
        <v>ES0031408323131005HX0F</v>
      </c>
      <c r="B4145" s="12">
        <f>IFERROR(__xludf.DUMMYFUNCTION("""COMPUTED_VALUE"""),45038.0)</f>
        <v>45038</v>
      </c>
      <c r="C4145" s="13">
        <f>IFERROR(__xludf.DUMMYFUNCTION("""COMPUTED_VALUE"""),0.7083333333333334)</f>
        <v>0.7083333333</v>
      </c>
      <c r="D4145" s="8">
        <f>IFERROR(__xludf.DUMMYFUNCTION("""COMPUTED_VALUE"""),0.05)</f>
        <v>0.05</v>
      </c>
      <c r="E4145" s="8" t="str">
        <f>IFERROR(__xludf.DUMMYFUNCTION("""COMPUTED_VALUE"""),"Real")</f>
        <v>Real</v>
      </c>
      <c r="G4145" s="8">
        <f t="shared" si="1"/>
        <v>4</v>
      </c>
      <c r="H4145" s="14">
        <f t="shared" si="2"/>
        <v>22</v>
      </c>
      <c r="I4145" s="15">
        <f t="shared" si="3"/>
        <v>17</v>
      </c>
    </row>
    <row r="4146">
      <c r="A4146" s="8" t="str">
        <f>IFERROR(__xludf.DUMMYFUNCTION("IF('(INGESTA)Datos_consumo_datadis'!A4146&lt;&gt;"""",SPLIT('(INGESTA)Datos_consumo_datadis'!A:A,"",""),"""")"),"ES0031408323131005HX0F")</f>
        <v>ES0031408323131005HX0F</v>
      </c>
      <c r="B4146" s="12">
        <f>IFERROR(__xludf.DUMMYFUNCTION("""COMPUTED_VALUE"""),45038.0)</f>
        <v>45038</v>
      </c>
      <c r="C4146" s="13">
        <f>IFERROR(__xludf.DUMMYFUNCTION("""COMPUTED_VALUE"""),0.75)</f>
        <v>0.75</v>
      </c>
      <c r="D4146" s="8">
        <f>IFERROR(__xludf.DUMMYFUNCTION("""COMPUTED_VALUE"""),0.267)</f>
        <v>0.267</v>
      </c>
      <c r="E4146" s="8" t="str">
        <f>IFERROR(__xludf.DUMMYFUNCTION("""COMPUTED_VALUE"""),"Real")</f>
        <v>Real</v>
      </c>
      <c r="G4146" s="8">
        <f t="shared" si="1"/>
        <v>4</v>
      </c>
      <c r="H4146" s="14">
        <f t="shared" si="2"/>
        <v>22</v>
      </c>
      <c r="I4146" s="15">
        <f t="shared" si="3"/>
        <v>18</v>
      </c>
    </row>
    <row r="4147">
      <c r="A4147" s="8" t="str">
        <f>IFERROR(__xludf.DUMMYFUNCTION("IF('(INGESTA)Datos_consumo_datadis'!A4147&lt;&gt;"""",SPLIT('(INGESTA)Datos_consumo_datadis'!A:A,"",""),"""")"),"ES0031408323131005HX0F")</f>
        <v>ES0031408323131005HX0F</v>
      </c>
      <c r="B4147" s="12">
        <f>IFERROR(__xludf.DUMMYFUNCTION("""COMPUTED_VALUE"""),45038.0)</f>
        <v>45038</v>
      </c>
      <c r="C4147" s="13">
        <f>IFERROR(__xludf.DUMMYFUNCTION("""COMPUTED_VALUE"""),0.7916666666666666)</f>
        <v>0.7916666667</v>
      </c>
      <c r="D4147" s="8">
        <f>IFERROR(__xludf.DUMMYFUNCTION("""COMPUTED_VALUE"""),0.111)</f>
        <v>0.111</v>
      </c>
      <c r="E4147" s="8" t="str">
        <f>IFERROR(__xludf.DUMMYFUNCTION("""COMPUTED_VALUE"""),"Real")</f>
        <v>Real</v>
      </c>
      <c r="G4147" s="8">
        <f t="shared" si="1"/>
        <v>4</v>
      </c>
      <c r="H4147" s="14">
        <f t="shared" si="2"/>
        <v>22</v>
      </c>
      <c r="I4147" s="15">
        <f t="shared" si="3"/>
        <v>19</v>
      </c>
    </row>
    <row r="4148">
      <c r="A4148" s="8" t="str">
        <f>IFERROR(__xludf.DUMMYFUNCTION("IF('(INGESTA)Datos_consumo_datadis'!A4148&lt;&gt;"""",SPLIT('(INGESTA)Datos_consumo_datadis'!A:A,"",""),"""")"),"ES0031408323131005HX0F")</f>
        <v>ES0031408323131005HX0F</v>
      </c>
      <c r="B4148" s="12">
        <f>IFERROR(__xludf.DUMMYFUNCTION("""COMPUTED_VALUE"""),45038.0)</f>
        <v>45038</v>
      </c>
      <c r="C4148" s="13">
        <f>IFERROR(__xludf.DUMMYFUNCTION("""COMPUTED_VALUE"""),0.8333333333333334)</f>
        <v>0.8333333333</v>
      </c>
      <c r="D4148" s="8">
        <f>IFERROR(__xludf.DUMMYFUNCTION("""COMPUTED_VALUE"""),0.052)</f>
        <v>0.052</v>
      </c>
      <c r="E4148" s="8" t="str">
        <f>IFERROR(__xludf.DUMMYFUNCTION("""COMPUTED_VALUE"""),"Real")</f>
        <v>Real</v>
      </c>
      <c r="G4148" s="8">
        <f t="shared" si="1"/>
        <v>4</v>
      </c>
      <c r="H4148" s="14">
        <f t="shared" si="2"/>
        <v>22</v>
      </c>
      <c r="I4148" s="15">
        <f t="shared" si="3"/>
        <v>20</v>
      </c>
    </row>
    <row r="4149">
      <c r="A4149" s="8" t="str">
        <f>IFERROR(__xludf.DUMMYFUNCTION("IF('(INGESTA)Datos_consumo_datadis'!A4149&lt;&gt;"""",SPLIT('(INGESTA)Datos_consumo_datadis'!A:A,"",""),"""")"),"ES0031408323131005HX0F")</f>
        <v>ES0031408323131005HX0F</v>
      </c>
      <c r="B4149" s="12">
        <f>IFERROR(__xludf.DUMMYFUNCTION("""COMPUTED_VALUE"""),45038.0)</f>
        <v>45038</v>
      </c>
      <c r="C4149" s="13">
        <f>IFERROR(__xludf.DUMMYFUNCTION("""COMPUTED_VALUE"""),0.875)</f>
        <v>0.875</v>
      </c>
      <c r="D4149" s="8">
        <f>IFERROR(__xludf.DUMMYFUNCTION("""COMPUTED_VALUE"""),0.016)</f>
        <v>0.016</v>
      </c>
      <c r="E4149" s="8" t="str">
        <f>IFERROR(__xludf.DUMMYFUNCTION("""COMPUTED_VALUE"""),"Real")</f>
        <v>Real</v>
      </c>
      <c r="G4149" s="8">
        <f t="shared" si="1"/>
        <v>4</v>
      </c>
      <c r="H4149" s="14">
        <f t="shared" si="2"/>
        <v>22</v>
      </c>
      <c r="I4149" s="15">
        <f t="shared" si="3"/>
        <v>21</v>
      </c>
    </row>
    <row r="4150">
      <c r="A4150" s="8" t="str">
        <f>IFERROR(__xludf.DUMMYFUNCTION("IF('(INGESTA)Datos_consumo_datadis'!A4150&lt;&gt;"""",SPLIT('(INGESTA)Datos_consumo_datadis'!A:A,"",""),"""")"),"ES0031408323131005HX0F")</f>
        <v>ES0031408323131005HX0F</v>
      </c>
      <c r="B4150" s="12">
        <f>IFERROR(__xludf.DUMMYFUNCTION("""COMPUTED_VALUE"""),45038.0)</f>
        <v>45038</v>
      </c>
      <c r="C4150" s="13">
        <f>IFERROR(__xludf.DUMMYFUNCTION("""COMPUTED_VALUE"""),0.9166666666666666)</f>
        <v>0.9166666667</v>
      </c>
      <c r="D4150" s="8">
        <f>IFERROR(__xludf.DUMMYFUNCTION("""COMPUTED_VALUE"""),0.073)</f>
        <v>0.073</v>
      </c>
      <c r="E4150" s="8" t="str">
        <f>IFERROR(__xludf.DUMMYFUNCTION("""COMPUTED_VALUE"""),"Real")</f>
        <v>Real</v>
      </c>
      <c r="G4150" s="8">
        <f t="shared" si="1"/>
        <v>4</v>
      </c>
      <c r="H4150" s="14">
        <f t="shared" si="2"/>
        <v>22</v>
      </c>
      <c r="I4150" s="15">
        <f t="shared" si="3"/>
        <v>22</v>
      </c>
    </row>
    <row r="4151">
      <c r="A4151" s="8" t="str">
        <f>IFERROR(__xludf.DUMMYFUNCTION("IF('(INGESTA)Datos_consumo_datadis'!A4151&lt;&gt;"""",SPLIT('(INGESTA)Datos_consumo_datadis'!A:A,"",""),"""")"),"ES0031408323131005HX0F")</f>
        <v>ES0031408323131005HX0F</v>
      </c>
      <c r="B4151" s="12">
        <f>IFERROR(__xludf.DUMMYFUNCTION("""COMPUTED_VALUE"""),45038.0)</f>
        <v>45038</v>
      </c>
      <c r="C4151" s="13">
        <f>IFERROR(__xludf.DUMMYFUNCTION("""COMPUTED_VALUE"""),0.9583333333333334)</f>
        <v>0.9583333333</v>
      </c>
      <c r="D4151" s="8">
        <f>IFERROR(__xludf.DUMMYFUNCTION("""COMPUTED_VALUE"""),0.075)</f>
        <v>0.075</v>
      </c>
      <c r="E4151" s="8" t="str">
        <f>IFERROR(__xludf.DUMMYFUNCTION("""COMPUTED_VALUE"""),"Real")</f>
        <v>Real</v>
      </c>
      <c r="G4151" s="8">
        <f t="shared" si="1"/>
        <v>4</v>
      </c>
      <c r="H4151" s="14">
        <f t="shared" si="2"/>
        <v>22</v>
      </c>
      <c r="I4151" s="15">
        <f t="shared" si="3"/>
        <v>23</v>
      </c>
    </row>
    <row r="4152">
      <c r="A4152" s="8" t="str">
        <f>IFERROR(__xludf.DUMMYFUNCTION("IF('(INGESTA)Datos_consumo_datadis'!A4152&lt;&gt;"""",SPLIT('(INGESTA)Datos_consumo_datadis'!A:A,"",""),"""")"),"ES0031408323131005HX0F")</f>
        <v>ES0031408323131005HX0F</v>
      </c>
      <c r="B4152" s="12">
        <f>IFERROR(__xludf.DUMMYFUNCTION("""COMPUTED_VALUE"""),45038.0)</f>
        <v>45038</v>
      </c>
      <c r="C4152" s="16">
        <f>IFERROR(__xludf.DUMMYFUNCTION("""COMPUTED_VALUE"""),1.0)</f>
        <v>1</v>
      </c>
      <c r="D4152" s="8">
        <f>IFERROR(__xludf.DUMMYFUNCTION("""COMPUTED_VALUE"""),2.374)</f>
        <v>2.374</v>
      </c>
      <c r="E4152" s="8" t="str">
        <f>IFERROR(__xludf.DUMMYFUNCTION("""COMPUTED_VALUE"""),"Real")</f>
        <v>Real</v>
      </c>
      <c r="G4152" s="8">
        <f t="shared" si="1"/>
        <v>4</v>
      </c>
      <c r="H4152" s="14">
        <f t="shared" si="2"/>
        <v>22</v>
      </c>
      <c r="I4152" s="15">
        <f t="shared" si="3"/>
        <v>0</v>
      </c>
    </row>
    <row r="4153">
      <c r="A4153" s="8" t="str">
        <f>IFERROR(__xludf.DUMMYFUNCTION("IF('(INGESTA)Datos_consumo_datadis'!A4153&lt;&gt;"""",SPLIT('(INGESTA)Datos_consumo_datadis'!A:A,"",""),"""")"),"ES0031408323131005HX0F")</f>
        <v>ES0031408323131005HX0F</v>
      </c>
      <c r="B4153" s="12">
        <f>IFERROR(__xludf.DUMMYFUNCTION("""COMPUTED_VALUE"""),45039.0)</f>
        <v>45039</v>
      </c>
      <c r="C4153" s="13">
        <f>IFERROR(__xludf.DUMMYFUNCTION("""COMPUTED_VALUE"""),0.041666666666666664)</f>
        <v>0.04166666667</v>
      </c>
      <c r="D4153" s="8">
        <f>IFERROR(__xludf.DUMMYFUNCTION("""COMPUTED_VALUE"""),2.291)</f>
        <v>2.291</v>
      </c>
      <c r="E4153" s="8" t="str">
        <f>IFERROR(__xludf.DUMMYFUNCTION("""COMPUTED_VALUE"""),"Real")</f>
        <v>Real</v>
      </c>
      <c r="G4153" s="8">
        <f t="shared" si="1"/>
        <v>4</v>
      </c>
      <c r="H4153" s="14">
        <f t="shared" si="2"/>
        <v>23</v>
      </c>
      <c r="I4153" s="15">
        <f t="shared" si="3"/>
        <v>1</v>
      </c>
    </row>
    <row r="4154">
      <c r="A4154" s="8" t="str">
        <f>IFERROR(__xludf.DUMMYFUNCTION("IF('(INGESTA)Datos_consumo_datadis'!A4154&lt;&gt;"""",SPLIT('(INGESTA)Datos_consumo_datadis'!A:A,"",""),"""")"),"ES0031408323131005HX0F")</f>
        <v>ES0031408323131005HX0F</v>
      </c>
      <c r="B4154" s="12">
        <f>IFERROR(__xludf.DUMMYFUNCTION("""COMPUTED_VALUE"""),45039.0)</f>
        <v>45039</v>
      </c>
      <c r="C4154" s="13">
        <f>IFERROR(__xludf.DUMMYFUNCTION("""COMPUTED_VALUE"""),0.08333333333333333)</f>
        <v>0.08333333333</v>
      </c>
      <c r="D4154" s="8">
        <f>IFERROR(__xludf.DUMMYFUNCTION("""COMPUTED_VALUE"""),0.303)</f>
        <v>0.303</v>
      </c>
      <c r="E4154" s="8" t="str">
        <f>IFERROR(__xludf.DUMMYFUNCTION("""COMPUTED_VALUE"""),"Real")</f>
        <v>Real</v>
      </c>
      <c r="G4154" s="8">
        <f t="shared" si="1"/>
        <v>4</v>
      </c>
      <c r="H4154" s="14">
        <f t="shared" si="2"/>
        <v>23</v>
      </c>
      <c r="I4154" s="15">
        <f t="shared" si="3"/>
        <v>2</v>
      </c>
    </row>
    <row r="4155">
      <c r="A4155" s="8" t="str">
        <f>IFERROR(__xludf.DUMMYFUNCTION("IF('(INGESTA)Datos_consumo_datadis'!A4155&lt;&gt;"""",SPLIT('(INGESTA)Datos_consumo_datadis'!A:A,"",""),"""")"),"ES0031408323131005HX0F")</f>
        <v>ES0031408323131005HX0F</v>
      </c>
      <c r="B4155" s="12">
        <f>IFERROR(__xludf.DUMMYFUNCTION("""COMPUTED_VALUE"""),45039.0)</f>
        <v>45039</v>
      </c>
      <c r="C4155" s="13">
        <f>IFERROR(__xludf.DUMMYFUNCTION("""COMPUTED_VALUE"""),0.125)</f>
        <v>0.125</v>
      </c>
      <c r="D4155" s="8">
        <f>IFERROR(__xludf.DUMMYFUNCTION("""COMPUTED_VALUE"""),0.064)</f>
        <v>0.064</v>
      </c>
      <c r="E4155" s="8" t="str">
        <f>IFERROR(__xludf.DUMMYFUNCTION("""COMPUTED_VALUE"""),"Real")</f>
        <v>Real</v>
      </c>
      <c r="G4155" s="8">
        <f t="shared" si="1"/>
        <v>4</v>
      </c>
      <c r="H4155" s="14">
        <f t="shared" si="2"/>
        <v>23</v>
      </c>
      <c r="I4155" s="15">
        <f t="shared" si="3"/>
        <v>3</v>
      </c>
    </row>
    <row r="4156">
      <c r="A4156" s="8" t="str">
        <f>IFERROR(__xludf.DUMMYFUNCTION("IF('(INGESTA)Datos_consumo_datadis'!A4156&lt;&gt;"""",SPLIT('(INGESTA)Datos_consumo_datadis'!A:A,"",""),"""")"),"ES0031408323131005HX0F")</f>
        <v>ES0031408323131005HX0F</v>
      </c>
      <c r="B4156" s="12">
        <f>IFERROR(__xludf.DUMMYFUNCTION("""COMPUTED_VALUE"""),45039.0)</f>
        <v>45039</v>
      </c>
      <c r="C4156" s="13">
        <f>IFERROR(__xludf.DUMMYFUNCTION("""COMPUTED_VALUE"""),0.16666666666666666)</f>
        <v>0.1666666667</v>
      </c>
      <c r="D4156" s="8">
        <f>IFERROR(__xludf.DUMMYFUNCTION("""COMPUTED_VALUE"""),0.042)</f>
        <v>0.042</v>
      </c>
      <c r="E4156" s="8" t="str">
        <f>IFERROR(__xludf.DUMMYFUNCTION("""COMPUTED_VALUE"""),"Real")</f>
        <v>Real</v>
      </c>
      <c r="G4156" s="8">
        <f t="shared" si="1"/>
        <v>4</v>
      </c>
      <c r="H4156" s="14">
        <f t="shared" si="2"/>
        <v>23</v>
      </c>
      <c r="I4156" s="15">
        <f t="shared" si="3"/>
        <v>4</v>
      </c>
    </row>
    <row r="4157">
      <c r="A4157" s="8" t="str">
        <f>IFERROR(__xludf.DUMMYFUNCTION("IF('(INGESTA)Datos_consumo_datadis'!A4157&lt;&gt;"""",SPLIT('(INGESTA)Datos_consumo_datadis'!A:A,"",""),"""")"),"ES0031408323131005HX0F")</f>
        <v>ES0031408323131005HX0F</v>
      </c>
      <c r="B4157" s="12">
        <f>IFERROR(__xludf.DUMMYFUNCTION("""COMPUTED_VALUE"""),45039.0)</f>
        <v>45039</v>
      </c>
      <c r="C4157" s="13">
        <f>IFERROR(__xludf.DUMMYFUNCTION("""COMPUTED_VALUE"""),0.20833333333333334)</f>
        <v>0.2083333333</v>
      </c>
      <c r="D4157" s="8">
        <f>IFERROR(__xludf.DUMMYFUNCTION("""COMPUTED_VALUE"""),0.032)</f>
        <v>0.032</v>
      </c>
      <c r="E4157" s="8" t="str">
        <f>IFERROR(__xludf.DUMMYFUNCTION("""COMPUTED_VALUE"""),"Real")</f>
        <v>Real</v>
      </c>
      <c r="G4157" s="8">
        <f t="shared" si="1"/>
        <v>4</v>
      </c>
      <c r="H4157" s="14">
        <f t="shared" si="2"/>
        <v>23</v>
      </c>
      <c r="I4157" s="15">
        <f t="shared" si="3"/>
        <v>5</v>
      </c>
    </row>
    <row r="4158">
      <c r="A4158" s="8" t="str">
        <f>IFERROR(__xludf.DUMMYFUNCTION("IF('(INGESTA)Datos_consumo_datadis'!A4158&lt;&gt;"""",SPLIT('(INGESTA)Datos_consumo_datadis'!A:A,"",""),"""")"),"ES0031408323131005HX0F")</f>
        <v>ES0031408323131005HX0F</v>
      </c>
      <c r="B4158" s="12">
        <f>IFERROR(__xludf.DUMMYFUNCTION("""COMPUTED_VALUE"""),45039.0)</f>
        <v>45039</v>
      </c>
      <c r="C4158" s="13">
        <f>IFERROR(__xludf.DUMMYFUNCTION("""COMPUTED_VALUE"""),0.25)</f>
        <v>0.25</v>
      </c>
      <c r="D4158" s="8">
        <f>IFERROR(__xludf.DUMMYFUNCTION("""COMPUTED_VALUE"""),0.124)</f>
        <v>0.124</v>
      </c>
      <c r="E4158" s="8" t="str">
        <f>IFERROR(__xludf.DUMMYFUNCTION("""COMPUTED_VALUE"""),"Real")</f>
        <v>Real</v>
      </c>
      <c r="G4158" s="8">
        <f t="shared" si="1"/>
        <v>4</v>
      </c>
      <c r="H4158" s="14">
        <f t="shared" si="2"/>
        <v>23</v>
      </c>
      <c r="I4158" s="15">
        <f t="shared" si="3"/>
        <v>6</v>
      </c>
    </row>
    <row r="4159">
      <c r="A4159" s="8" t="str">
        <f>IFERROR(__xludf.DUMMYFUNCTION("IF('(INGESTA)Datos_consumo_datadis'!A4159&lt;&gt;"""",SPLIT('(INGESTA)Datos_consumo_datadis'!A:A,"",""),"""")"),"ES0031408323131005HX0F")</f>
        <v>ES0031408323131005HX0F</v>
      </c>
      <c r="B4159" s="12">
        <f>IFERROR(__xludf.DUMMYFUNCTION("""COMPUTED_VALUE"""),45039.0)</f>
        <v>45039</v>
      </c>
      <c r="C4159" s="13">
        <f>IFERROR(__xludf.DUMMYFUNCTION("""COMPUTED_VALUE"""),0.2916666666666667)</f>
        <v>0.2916666667</v>
      </c>
      <c r="D4159" s="8">
        <f>IFERROR(__xludf.DUMMYFUNCTION("""COMPUTED_VALUE"""),0.385)</f>
        <v>0.385</v>
      </c>
      <c r="E4159" s="8" t="str">
        <f>IFERROR(__xludf.DUMMYFUNCTION("""COMPUTED_VALUE"""),"Real")</f>
        <v>Real</v>
      </c>
      <c r="G4159" s="8">
        <f t="shared" si="1"/>
        <v>4</v>
      </c>
      <c r="H4159" s="14">
        <f t="shared" si="2"/>
        <v>23</v>
      </c>
      <c r="I4159" s="15">
        <f t="shared" si="3"/>
        <v>7</v>
      </c>
    </row>
    <row r="4160">
      <c r="A4160" s="8" t="str">
        <f>IFERROR(__xludf.DUMMYFUNCTION("IF('(INGESTA)Datos_consumo_datadis'!A4160&lt;&gt;"""",SPLIT('(INGESTA)Datos_consumo_datadis'!A:A,"",""),"""")"),"ES0031408323131005HX0F")</f>
        <v>ES0031408323131005HX0F</v>
      </c>
      <c r="B4160" s="12">
        <f>IFERROR(__xludf.DUMMYFUNCTION("""COMPUTED_VALUE"""),45039.0)</f>
        <v>45039</v>
      </c>
      <c r="C4160" s="13">
        <f>IFERROR(__xludf.DUMMYFUNCTION("""COMPUTED_VALUE"""),0.3333333333333333)</f>
        <v>0.3333333333</v>
      </c>
      <c r="D4160" s="8">
        <f>IFERROR(__xludf.DUMMYFUNCTION("""COMPUTED_VALUE"""),0.066)</f>
        <v>0.066</v>
      </c>
      <c r="E4160" s="8" t="str">
        <f>IFERROR(__xludf.DUMMYFUNCTION("""COMPUTED_VALUE"""),"Real")</f>
        <v>Real</v>
      </c>
      <c r="G4160" s="8">
        <f t="shared" si="1"/>
        <v>4</v>
      </c>
      <c r="H4160" s="14">
        <f t="shared" si="2"/>
        <v>23</v>
      </c>
      <c r="I4160" s="15">
        <f t="shared" si="3"/>
        <v>8</v>
      </c>
    </row>
    <row r="4161">
      <c r="A4161" s="8" t="str">
        <f>IFERROR(__xludf.DUMMYFUNCTION("IF('(INGESTA)Datos_consumo_datadis'!A4161&lt;&gt;"""",SPLIT('(INGESTA)Datos_consumo_datadis'!A:A,"",""),"""")"),"ES0031408323131005HX0F")</f>
        <v>ES0031408323131005HX0F</v>
      </c>
      <c r="B4161" s="12">
        <f>IFERROR(__xludf.DUMMYFUNCTION("""COMPUTED_VALUE"""),45039.0)</f>
        <v>45039</v>
      </c>
      <c r="C4161" s="13">
        <f>IFERROR(__xludf.DUMMYFUNCTION("""COMPUTED_VALUE"""),0.375)</f>
        <v>0.375</v>
      </c>
      <c r="D4161" s="8">
        <f>IFERROR(__xludf.DUMMYFUNCTION("""COMPUTED_VALUE"""),0.016)</f>
        <v>0.016</v>
      </c>
      <c r="E4161" s="8" t="str">
        <f>IFERROR(__xludf.DUMMYFUNCTION("""COMPUTED_VALUE"""),"Real")</f>
        <v>Real</v>
      </c>
      <c r="G4161" s="8">
        <f t="shared" si="1"/>
        <v>4</v>
      </c>
      <c r="H4161" s="14">
        <f t="shared" si="2"/>
        <v>23</v>
      </c>
      <c r="I4161" s="15">
        <f t="shared" si="3"/>
        <v>9</v>
      </c>
    </row>
    <row r="4162">
      <c r="A4162" s="8" t="str">
        <f>IFERROR(__xludf.DUMMYFUNCTION("IF('(INGESTA)Datos_consumo_datadis'!A4162&lt;&gt;"""",SPLIT('(INGESTA)Datos_consumo_datadis'!A:A,"",""),"""")"),"ES0031408323131005HX0F")</f>
        <v>ES0031408323131005HX0F</v>
      </c>
      <c r="B4162" s="12">
        <f>IFERROR(__xludf.DUMMYFUNCTION("""COMPUTED_VALUE"""),45039.0)</f>
        <v>45039</v>
      </c>
      <c r="C4162" s="13">
        <f>IFERROR(__xludf.DUMMYFUNCTION("""COMPUTED_VALUE"""),0.4166666666666667)</f>
        <v>0.4166666667</v>
      </c>
      <c r="D4162" s="8">
        <f>IFERROR(__xludf.DUMMYFUNCTION("""COMPUTED_VALUE"""),0.106)</f>
        <v>0.106</v>
      </c>
      <c r="E4162" s="8" t="str">
        <f>IFERROR(__xludf.DUMMYFUNCTION("""COMPUTED_VALUE"""),"Real")</f>
        <v>Real</v>
      </c>
      <c r="G4162" s="8">
        <f t="shared" si="1"/>
        <v>4</v>
      </c>
      <c r="H4162" s="14">
        <f t="shared" si="2"/>
        <v>23</v>
      </c>
      <c r="I4162" s="15">
        <f t="shared" si="3"/>
        <v>10</v>
      </c>
    </row>
    <row r="4163">
      <c r="A4163" s="8" t="str">
        <f>IFERROR(__xludf.DUMMYFUNCTION("IF('(INGESTA)Datos_consumo_datadis'!A4163&lt;&gt;"""",SPLIT('(INGESTA)Datos_consumo_datadis'!A:A,"",""),"""")"),"ES0031408323131005HX0F")</f>
        <v>ES0031408323131005HX0F</v>
      </c>
      <c r="B4163" s="12">
        <f>IFERROR(__xludf.DUMMYFUNCTION("""COMPUTED_VALUE"""),45039.0)</f>
        <v>45039</v>
      </c>
      <c r="C4163" s="13">
        <f>IFERROR(__xludf.DUMMYFUNCTION("""COMPUTED_VALUE"""),0.4583333333333333)</f>
        <v>0.4583333333</v>
      </c>
      <c r="D4163" s="8">
        <f>IFERROR(__xludf.DUMMYFUNCTION("""COMPUTED_VALUE"""),0.899)</f>
        <v>0.899</v>
      </c>
      <c r="E4163" s="8" t="str">
        <f>IFERROR(__xludf.DUMMYFUNCTION("""COMPUTED_VALUE"""),"Real")</f>
        <v>Real</v>
      </c>
      <c r="G4163" s="8">
        <f t="shared" si="1"/>
        <v>4</v>
      </c>
      <c r="H4163" s="14">
        <f t="shared" si="2"/>
        <v>23</v>
      </c>
      <c r="I4163" s="15">
        <f t="shared" si="3"/>
        <v>11</v>
      </c>
    </row>
    <row r="4164">
      <c r="A4164" s="8" t="str">
        <f>IFERROR(__xludf.DUMMYFUNCTION("IF('(INGESTA)Datos_consumo_datadis'!A4164&lt;&gt;"""",SPLIT('(INGESTA)Datos_consumo_datadis'!A:A,"",""),"""")"),"ES0031408323131005HX0F")</f>
        <v>ES0031408323131005HX0F</v>
      </c>
      <c r="B4164" s="12">
        <f>IFERROR(__xludf.DUMMYFUNCTION("""COMPUTED_VALUE"""),45039.0)</f>
        <v>45039</v>
      </c>
      <c r="C4164" s="13">
        <f>IFERROR(__xludf.DUMMYFUNCTION("""COMPUTED_VALUE"""),0.5)</f>
        <v>0.5</v>
      </c>
      <c r="D4164" s="8">
        <f>IFERROR(__xludf.DUMMYFUNCTION("""COMPUTED_VALUE"""),0.086)</f>
        <v>0.086</v>
      </c>
      <c r="E4164" s="8" t="str">
        <f>IFERROR(__xludf.DUMMYFUNCTION("""COMPUTED_VALUE"""),"Real")</f>
        <v>Real</v>
      </c>
      <c r="G4164" s="8">
        <f t="shared" si="1"/>
        <v>4</v>
      </c>
      <c r="H4164" s="14">
        <f t="shared" si="2"/>
        <v>23</v>
      </c>
      <c r="I4164" s="15">
        <f t="shared" si="3"/>
        <v>12</v>
      </c>
    </row>
    <row r="4165">
      <c r="A4165" s="8" t="str">
        <f>IFERROR(__xludf.DUMMYFUNCTION("IF('(INGESTA)Datos_consumo_datadis'!A4165&lt;&gt;"""",SPLIT('(INGESTA)Datos_consumo_datadis'!A:A,"",""),"""")"),"ES0031408323131005HX0F")</f>
        <v>ES0031408323131005HX0F</v>
      </c>
      <c r="B4165" s="12">
        <f>IFERROR(__xludf.DUMMYFUNCTION("""COMPUTED_VALUE"""),45039.0)</f>
        <v>45039</v>
      </c>
      <c r="C4165" s="13">
        <f>IFERROR(__xludf.DUMMYFUNCTION("""COMPUTED_VALUE"""),0.5416666666666666)</f>
        <v>0.5416666667</v>
      </c>
      <c r="D4165" s="8">
        <f>IFERROR(__xludf.DUMMYFUNCTION("""COMPUTED_VALUE"""),0.039)</f>
        <v>0.039</v>
      </c>
      <c r="E4165" s="8" t="str">
        <f>IFERROR(__xludf.DUMMYFUNCTION("""COMPUTED_VALUE"""),"Real")</f>
        <v>Real</v>
      </c>
      <c r="G4165" s="8">
        <f t="shared" si="1"/>
        <v>4</v>
      </c>
      <c r="H4165" s="14">
        <f t="shared" si="2"/>
        <v>23</v>
      </c>
      <c r="I4165" s="15">
        <f t="shared" si="3"/>
        <v>13</v>
      </c>
    </row>
    <row r="4166">
      <c r="A4166" s="8" t="str">
        <f>IFERROR(__xludf.DUMMYFUNCTION("IF('(INGESTA)Datos_consumo_datadis'!A4166&lt;&gt;"""",SPLIT('(INGESTA)Datos_consumo_datadis'!A:A,"",""),"""")"),"ES0031408323131005HX0F")</f>
        <v>ES0031408323131005HX0F</v>
      </c>
      <c r="B4166" s="12">
        <f>IFERROR(__xludf.DUMMYFUNCTION("""COMPUTED_VALUE"""),45039.0)</f>
        <v>45039</v>
      </c>
      <c r="C4166" s="13">
        <f>IFERROR(__xludf.DUMMYFUNCTION("""COMPUTED_VALUE"""),0.5833333333333334)</f>
        <v>0.5833333333</v>
      </c>
      <c r="D4166" s="8">
        <f>IFERROR(__xludf.DUMMYFUNCTION("""COMPUTED_VALUE"""),0.076)</f>
        <v>0.076</v>
      </c>
      <c r="E4166" s="8" t="str">
        <f>IFERROR(__xludf.DUMMYFUNCTION("""COMPUTED_VALUE"""),"Real")</f>
        <v>Real</v>
      </c>
      <c r="G4166" s="8">
        <f t="shared" si="1"/>
        <v>4</v>
      </c>
      <c r="H4166" s="14">
        <f t="shared" si="2"/>
        <v>23</v>
      </c>
      <c r="I4166" s="15">
        <f t="shared" si="3"/>
        <v>14</v>
      </c>
    </row>
    <row r="4167">
      <c r="A4167" s="8" t="str">
        <f>IFERROR(__xludf.DUMMYFUNCTION("IF('(INGESTA)Datos_consumo_datadis'!A4167&lt;&gt;"""",SPLIT('(INGESTA)Datos_consumo_datadis'!A:A,"",""),"""")"),"ES0031408323131005HX0F")</f>
        <v>ES0031408323131005HX0F</v>
      </c>
      <c r="B4167" s="12">
        <f>IFERROR(__xludf.DUMMYFUNCTION("""COMPUTED_VALUE"""),45039.0)</f>
        <v>45039</v>
      </c>
      <c r="C4167" s="13">
        <f>IFERROR(__xludf.DUMMYFUNCTION("""COMPUTED_VALUE"""),0.625)</f>
        <v>0.625</v>
      </c>
      <c r="D4167" s="8">
        <f>IFERROR(__xludf.DUMMYFUNCTION("""COMPUTED_VALUE"""),0.094)</f>
        <v>0.094</v>
      </c>
      <c r="E4167" s="8" t="str">
        <f>IFERROR(__xludf.DUMMYFUNCTION("""COMPUTED_VALUE"""),"Real")</f>
        <v>Real</v>
      </c>
      <c r="G4167" s="8">
        <f t="shared" si="1"/>
        <v>4</v>
      </c>
      <c r="H4167" s="14">
        <f t="shared" si="2"/>
        <v>23</v>
      </c>
      <c r="I4167" s="15">
        <f t="shared" si="3"/>
        <v>15</v>
      </c>
    </row>
    <row r="4168">
      <c r="A4168" s="8" t="str">
        <f>IFERROR(__xludf.DUMMYFUNCTION("IF('(INGESTA)Datos_consumo_datadis'!A4168&lt;&gt;"""",SPLIT('(INGESTA)Datos_consumo_datadis'!A:A,"",""),"""")"),"ES0031408323131005HX0F")</f>
        <v>ES0031408323131005HX0F</v>
      </c>
      <c r="B4168" s="12">
        <f>IFERROR(__xludf.DUMMYFUNCTION("""COMPUTED_VALUE"""),45039.0)</f>
        <v>45039</v>
      </c>
      <c r="C4168" s="13">
        <f>IFERROR(__xludf.DUMMYFUNCTION("""COMPUTED_VALUE"""),0.6666666666666666)</f>
        <v>0.6666666667</v>
      </c>
      <c r="D4168" s="8">
        <f>IFERROR(__xludf.DUMMYFUNCTION("""COMPUTED_VALUE"""),0.347)</f>
        <v>0.347</v>
      </c>
      <c r="E4168" s="8" t="str">
        <f>IFERROR(__xludf.DUMMYFUNCTION("""COMPUTED_VALUE"""),"Real")</f>
        <v>Real</v>
      </c>
      <c r="G4168" s="8">
        <f t="shared" si="1"/>
        <v>4</v>
      </c>
      <c r="H4168" s="14">
        <f t="shared" si="2"/>
        <v>23</v>
      </c>
      <c r="I4168" s="15">
        <f t="shared" si="3"/>
        <v>16</v>
      </c>
    </row>
    <row r="4169">
      <c r="A4169" s="8" t="str">
        <f>IFERROR(__xludf.DUMMYFUNCTION("IF('(INGESTA)Datos_consumo_datadis'!A4169&lt;&gt;"""",SPLIT('(INGESTA)Datos_consumo_datadis'!A:A,"",""),"""")"),"ES0031408323131005HX0F")</f>
        <v>ES0031408323131005HX0F</v>
      </c>
      <c r="B4169" s="12">
        <f>IFERROR(__xludf.DUMMYFUNCTION("""COMPUTED_VALUE"""),45039.0)</f>
        <v>45039</v>
      </c>
      <c r="C4169" s="13">
        <f>IFERROR(__xludf.DUMMYFUNCTION("""COMPUTED_VALUE"""),0.7083333333333334)</f>
        <v>0.7083333333</v>
      </c>
      <c r="D4169" s="8">
        <f>IFERROR(__xludf.DUMMYFUNCTION("""COMPUTED_VALUE"""),0.038)</f>
        <v>0.038</v>
      </c>
      <c r="E4169" s="8" t="str">
        <f>IFERROR(__xludf.DUMMYFUNCTION("""COMPUTED_VALUE"""),"Real")</f>
        <v>Real</v>
      </c>
      <c r="G4169" s="8">
        <f t="shared" si="1"/>
        <v>4</v>
      </c>
      <c r="H4169" s="14">
        <f t="shared" si="2"/>
        <v>23</v>
      </c>
      <c r="I4169" s="15">
        <f t="shared" si="3"/>
        <v>17</v>
      </c>
    </row>
    <row r="4170">
      <c r="A4170" s="8" t="str">
        <f>IFERROR(__xludf.DUMMYFUNCTION("IF('(INGESTA)Datos_consumo_datadis'!A4170&lt;&gt;"""",SPLIT('(INGESTA)Datos_consumo_datadis'!A:A,"",""),"""")"),"ES0031408323131005HX0F")</f>
        <v>ES0031408323131005HX0F</v>
      </c>
      <c r="B4170" s="12">
        <f>IFERROR(__xludf.DUMMYFUNCTION("""COMPUTED_VALUE"""),45039.0)</f>
        <v>45039</v>
      </c>
      <c r="C4170" s="13">
        <f>IFERROR(__xludf.DUMMYFUNCTION("""COMPUTED_VALUE"""),0.75)</f>
        <v>0.75</v>
      </c>
      <c r="D4170" s="8">
        <f>IFERROR(__xludf.DUMMYFUNCTION("""COMPUTED_VALUE"""),0.199)</f>
        <v>0.199</v>
      </c>
      <c r="E4170" s="8" t="str">
        <f>IFERROR(__xludf.DUMMYFUNCTION("""COMPUTED_VALUE"""),"Real")</f>
        <v>Real</v>
      </c>
      <c r="G4170" s="8">
        <f t="shared" si="1"/>
        <v>4</v>
      </c>
      <c r="H4170" s="14">
        <f t="shared" si="2"/>
        <v>23</v>
      </c>
      <c r="I4170" s="15">
        <f t="shared" si="3"/>
        <v>18</v>
      </c>
    </row>
    <row r="4171">
      <c r="A4171" s="8" t="str">
        <f>IFERROR(__xludf.DUMMYFUNCTION("IF('(INGESTA)Datos_consumo_datadis'!A4171&lt;&gt;"""",SPLIT('(INGESTA)Datos_consumo_datadis'!A:A,"",""),"""")"),"ES0031408323131005HX0F")</f>
        <v>ES0031408323131005HX0F</v>
      </c>
      <c r="B4171" s="12">
        <f>IFERROR(__xludf.DUMMYFUNCTION("""COMPUTED_VALUE"""),45039.0)</f>
        <v>45039</v>
      </c>
      <c r="C4171" s="13">
        <f>IFERROR(__xludf.DUMMYFUNCTION("""COMPUTED_VALUE"""),0.7916666666666666)</f>
        <v>0.7916666667</v>
      </c>
      <c r="D4171" s="8">
        <f>IFERROR(__xludf.DUMMYFUNCTION("""COMPUTED_VALUE"""),0.205)</f>
        <v>0.205</v>
      </c>
      <c r="E4171" s="8" t="str">
        <f>IFERROR(__xludf.DUMMYFUNCTION("""COMPUTED_VALUE"""),"Real")</f>
        <v>Real</v>
      </c>
      <c r="G4171" s="8">
        <f t="shared" si="1"/>
        <v>4</v>
      </c>
      <c r="H4171" s="14">
        <f t="shared" si="2"/>
        <v>23</v>
      </c>
      <c r="I4171" s="15">
        <f t="shared" si="3"/>
        <v>19</v>
      </c>
    </row>
    <row r="4172">
      <c r="A4172" s="8" t="str">
        <f>IFERROR(__xludf.DUMMYFUNCTION("IF('(INGESTA)Datos_consumo_datadis'!A4172&lt;&gt;"""",SPLIT('(INGESTA)Datos_consumo_datadis'!A:A,"",""),"""")"),"ES0031408323131005HX0F")</f>
        <v>ES0031408323131005HX0F</v>
      </c>
      <c r="B4172" s="12">
        <f>IFERROR(__xludf.DUMMYFUNCTION("""COMPUTED_VALUE"""),45039.0)</f>
        <v>45039</v>
      </c>
      <c r="C4172" s="13">
        <f>IFERROR(__xludf.DUMMYFUNCTION("""COMPUTED_VALUE"""),0.8333333333333334)</f>
        <v>0.8333333333</v>
      </c>
      <c r="D4172" s="8">
        <f>IFERROR(__xludf.DUMMYFUNCTION("""COMPUTED_VALUE"""),0.891)</f>
        <v>0.891</v>
      </c>
      <c r="E4172" s="8" t="str">
        <f>IFERROR(__xludf.DUMMYFUNCTION("""COMPUTED_VALUE"""),"Real")</f>
        <v>Real</v>
      </c>
      <c r="G4172" s="8">
        <f t="shared" si="1"/>
        <v>4</v>
      </c>
      <c r="H4172" s="14">
        <f t="shared" si="2"/>
        <v>23</v>
      </c>
      <c r="I4172" s="15">
        <f t="shared" si="3"/>
        <v>20</v>
      </c>
    </row>
    <row r="4173">
      <c r="A4173" s="8" t="str">
        <f>IFERROR(__xludf.DUMMYFUNCTION("IF('(INGESTA)Datos_consumo_datadis'!A4173&lt;&gt;"""",SPLIT('(INGESTA)Datos_consumo_datadis'!A:A,"",""),"""")"),"ES0031408323131005HX0F")</f>
        <v>ES0031408323131005HX0F</v>
      </c>
      <c r="B4173" s="12">
        <f>IFERROR(__xludf.DUMMYFUNCTION("""COMPUTED_VALUE"""),45039.0)</f>
        <v>45039</v>
      </c>
      <c r="C4173" s="13">
        <f>IFERROR(__xludf.DUMMYFUNCTION("""COMPUTED_VALUE"""),0.875)</f>
        <v>0.875</v>
      </c>
      <c r="D4173" s="8">
        <f>IFERROR(__xludf.DUMMYFUNCTION("""COMPUTED_VALUE"""),0.171)</f>
        <v>0.171</v>
      </c>
      <c r="E4173" s="8" t="str">
        <f>IFERROR(__xludf.DUMMYFUNCTION("""COMPUTED_VALUE"""),"Real")</f>
        <v>Real</v>
      </c>
      <c r="G4173" s="8">
        <f t="shared" si="1"/>
        <v>4</v>
      </c>
      <c r="H4173" s="14">
        <f t="shared" si="2"/>
        <v>23</v>
      </c>
      <c r="I4173" s="15">
        <f t="shared" si="3"/>
        <v>21</v>
      </c>
    </row>
    <row r="4174">
      <c r="A4174" s="8" t="str">
        <f>IFERROR(__xludf.DUMMYFUNCTION("IF('(INGESTA)Datos_consumo_datadis'!A4174&lt;&gt;"""",SPLIT('(INGESTA)Datos_consumo_datadis'!A:A,"",""),"""")"),"ES0031408323131005HX0F")</f>
        <v>ES0031408323131005HX0F</v>
      </c>
      <c r="B4174" s="12">
        <f>IFERROR(__xludf.DUMMYFUNCTION("""COMPUTED_VALUE"""),45039.0)</f>
        <v>45039</v>
      </c>
      <c r="C4174" s="13">
        <f>IFERROR(__xludf.DUMMYFUNCTION("""COMPUTED_VALUE"""),0.9166666666666666)</f>
        <v>0.9166666667</v>
      </c>
      <c r="D4174" s="8">
        <f>IFERROR(__xludf.DUMMYFUNCTION("""COMPUTED_VALUE"""),1.845)</f>
        <v>1.845</v>
      </c>
      <c r="E4174" s="8" t="str">
        <f>IFERROR(__xludf.DUMMYFUNCTION("""COMPUTED_VALUE"""),"Real")</f>
        <v>Real</v>
      </c>
      <c r="G4174" s="8">
        <f t="shared" si="1"/>
        <v>4</v>
      </c>
      <c r="H4174" s="14">
        <f t="shared" si="2"/>
        <v>23</v>
      </c>
      <c r="I4174" s="15">
        <f t="shared" si="3"/>
        <v>22</v>
      </c>
    </row>
    <row r="4175">
      <c r="A4175" s="8" t="str">
        <f>IFERROR(__xludf.DUMMYFUNCTION("IF('(INGESTA)Datos_consumo_datadis'!A4175&lt;&gt;"""",SPLIT('(INGESTA)Datos_consumo_datadis'!A:A,"",""),"""")"),"ES0031408323131005HX0F")</f>
        <v>ES0031408323131005HX0F</v>
      </c>
      <c r="B4175" s="12">
        <f>IFERROR(__xludf.DUMMYFUNCTION("""COMPUTED_VALUE"""),45039.0)</f>
        <v>45039</v>
      </c>
      <c r="C4175" s="13">
        <f>IFERROR(__xludf.DUMMYFUNCTION("""COMPUTED_VALUE"""),0.9583333333333334)</f>
        <v>0.9583333333</v>
      </c>
      <c r="D4175" s="8">
        <f>IFERROR(__xludf.DUMMYFUNCTION("""COMPUTED_VALUE"""),2.658)</f>
        <v>2.658</v>
      </c>
      <c r="E4175" s="8" t="str">
        <f>IFERROR(__xludf.DUMMYFUNCTION("""COMPUTED_VALUE"""),"Real")</f>
        <v>Real</v>
      </c>
      <c r="G4175" s="8">
        <f t="shared" si="1"/>
        <v>4</v>
      </c>
      <c r="H4175" s="14">
        <f t="shared" si="2"/>
        <v>23</v>
      </c>
      <c r="I4175" s="15">
        <f t="shared" si="3"/>
        <v>23</v>
      </c>
    </row>
    <row r="4176">
      <c r="A4176" s="8" t="str">
        <f>IFERROR(__xludf.DUMMYFUNCTION("IF('(INGESTA)Datos_consumo_datadis'!A4176&lt;&gt;"""",SPLIT('(INGESTA)Datos_consumo_datadis'!A:A,"",""),"""")"),"ES0031408323131005HX0F")</f>
        <v>ES0031408323131005HX0F</v>
      </c>
      <c r="B4176" s="12">
        <f>IFERROR(__xludf.DUMMYFUNCTION("""COMPUTED_VALUE"""),45039.0)</f>
        <v>45039</v>
      </c>
      <c r="C4176" s="16">
        <f>IFERROR(__xludf.DUMMYFUNCTION("""COMPUTED_VALUE"""),1.0)</f>
        <v>1</v>
      </c>
      <c r="D4176" s="8">
        <f>IFERROR(__xludf.DUMMYFUNCTION("""COMPUTED_VALUE"""),1.336)</f>
        <v>1.336</v>
      </c>
      <c r="E4176" s="8" t="str">
        <f>IFERROR(__xludf.DUMMYFUNCTION("""COMPUTED_VALUE"""),"Real")</f>
        <v>Real</v>
      </c>
      <c r="G4176" s="8">
        <f t="shared" si="1"/>
        <v>4</v>
      </c>
      <c r="H4176" s="14">
        <f t="shared" si="2"/>
        <v>23</v>
      </c>
      <c r="I4176" s="15">
        <f t="shared" si="3"/>
        <v>0</v>
      </c>
    </row>
    <row r="4177">
      <c r="A4177" s="8" t="str">
        <f>IFERROR(__xludf.DUMMYFUNCTION("IF('(INGESTA)Datos_consumo_datadis'!A4177&lt;&gt;"""",SPLIT('(INGESTA)Datos_consumo_datadis'!A:A,"",""),"""")"),"ES0031408323131005HX0F")</f>
        <v>ES0031408323131005HX0F</v>
      </c>
      <c r="B4177" s="12">
        <f>IFERROR(__xludf.DUMMYFUNCTION("""COMPUTED_VALUE"""),45040.0)</f>
        <v>45040</v>
      </c>
      <c r="C4177" s="13">
        <f>IFERROR(__xludf.DUMMYFUNCTION("""COMPUTED_VALUE"""),0.041666666666666664)</f>
        <v>0.04166666667</v>
      </c>
      <c r="D4177" s="8">
        <f>IFERROR(__xludf.DUMMYFUNCTION("""COMPUTED_VALUE"""),0.092)</f>
        <v>0.092</v>
      </c>
      <c r="E4177" s="8" t="str">
        <f>IFERROR(__xludf.DUMMYFUNCTION("""COMPUTED_VALUE"""),"Real")</f>
        <v>Real</v>
      </c>
      <c r="G4177" s="8">
        <f t="shared" si="1"/>
        <v>4</v>
      </c>
      <c r="H4177" s="14">
        <f t="shared" si="2"/>
        <v>24</v>
      </c>
      <c r="I4177" s="15">
        <f t="shared" si="3"/>
        <v>1</v>
      </c>
    </row>
    <row r="4178">
      <c r="A4178" s="8" t="str">
        <f>IFERROR(__xludf.DUMMYFUNCTION("IF('(INGESTA)Datos_consumo_datadis'!A4178&lt;&gt;"""",SPLIT('(INGESTA)Datos_consumo_datadis'!A:A,"",""),"""")"),"ES0031408323131005HX0F")</f>
        <v>ES0031408323131005HX0F</v>
      </c>
      <c r="B4178" s="12">
        <f>IFERROR(__xludf.DUMMYFUNCTION("""COMPUTED_VALUE"""),45040.0)</f>
        <v>45040</v>
      </c>
      <c r="C4178" s="13">
        <f>IFERROR(__xludf.DUMMYFUNCTION("""COMPUTED_VALUE"""),0.08333333333333333)</f>
        <v>0.08333333333</v>
      </c>
      <c r="D4178" s="8">
        <f>IFERROR(__xludf.DUMMYFUNCTION("""COMPUTED_VALUE"""),0.037)</f>
        <v>0.037</v>
      </c>
      <c r="E4178" s="8" t="str">
        <f>IFERROR(__xludf.DUMMYFUNCTION("""COMPUTED_VALUE"""),"Real")</f>
        <v>Real</v>
      </c>
      <c r="G4178" s="8">
        <f t="shared" si="1"/>
        <v>4</v>
      </c>
      <c r="H4178" s="14">
        <f t="shared" si="2"/>
        <v>24</v>
      </c>
      <c r="I4178" s="15">
        <f t="shared" si="3"/>
        <v>2</v>
      </c>
    </row>
    <row r="4179">
      <c r="A4179" s="8" t="str">
        <f>IFERROR(__xludf.DUMMYFUNCTION("IF('(INGESTA)Datos_consumo_datadis'!A4179&lt;&gt;"""",SPLIT('(INGESTA)Datos_consumo_datadis'!A:A,"",""),"""")"),"ES0031408323131005HX0F")</f>
        <v>ES0031408323131005HX0F</v>
      </c>
      <c r="B4179" s="12">
        <f>IFERROR(__xludf.DUMMYFUNCTION("""COMPUTED_VALUE"""),45040.0)</f>
        <v>45040</v>
      </c>
      <c r="C4179" s="13">
        <f>IFERROR(__xludf.DUMMYFUNCTION("""COMPUTED_VALUE"""),0.125)</f>
        <v>0.125</v>
      </c>
      <c r="D4179" s="8">
        <f>IFERROR(__xludf.DUMMYFUNCTION("""COMPUTED_VALUE"""),0.121)</f>
        <v>0.121</v>
      </c>
      <c r="E4179" s="8" t="str">
        <f>IFERROR(__xludf.DUMMYFUNCTION("""COMPUTED_VALUE"""),"Real")</f>
        <v>Real</v>
      </c>
      <c r="G4179" s="8">
        <f t="shared" si="1"/>
        <v>4</v>
      </c>
      <c r="H4179" s="14">
        <f t="shared" si="2"/>
        <v>24</v>
      </c>
      <c r="I4179" s="15">
        <f t="shared" si="3"/>
        <v>3</v>
      </c>
    </row>
    <row r="4180">
      <c r="A4180" s="8" t="str">
        <f>IFERROR(__xludf.DUMMYFUNCTION("IF('(INGESTA)Datos_consumo_datadis'!A4180&lt;&gt;"""",SPLIT('(INGESTA)Datos_consumo_datadis'!A:A,"",""),"""")"),"ES0031408323131005HX0F")</f>
        <v>ES0031408323131005HX0F</v>
      </c>
      <c r="B4180" s="12">
        <f>IFERROR(__xludf.DUMMYFUNCTION("""COMPUTED_VALUE"""),45040.0)</f>
        <v>45040</v>
      </c>
      <c r="C4180" s="13">
        <f>IFERROR(__xludf.DUMMYFUNCTION("""COMPUTED_VALUE"""),0.16666666666666666)</f>
        <v>0.1666666667</v>
      </c>
      <c r="D4180" s="8">
        <f>IFERROR(__xludf.DUMMYFUNCTION("""COMPUTED_VALUE"""),0.085)</f>
        <v>0.085</v>
      </c>
      <c r="E4180" s="8" t="str">
        <f>IFERROR(__xludf.DUMMYFUNCTION("""COMPUTED_VALUE"""),"Real")</f>
        <v>Real</v>
      </c>
      <c r="G4180" s="8">
        <f t="shared" si="1"/>
        <v>4</v>
      </c>
      <c r="H4180" s="14">
        <f t="shared" si="2"/>
        <v>24</v>
      </c>
      <c r="I4180" s="15">
        <f t="shared" si="3"/>
        <v>4</v>
      </c>
    </row>
    <row r="4181">
      <c r="A4181" s="8" t="str">
        <f>IFERROR(__xludf.DUMMYFUNCTION("IF('(INGESTA)Datos_consumo_datadis'!A4181&lt;&gt;"""",SPLIT('(INGESTA)Datos_consumo_datadis'!A:A,"",""),"""")"),"ES0031408323131005HX0F")</f>
        <v>ES0031408323131005HX0F</v>
      </c>
      <c r="B4181" s="12">
        <f>IFERROR(__xludf.DUMMYFUNCTION("""COMPUTED_VALUE"""),45040.0)</f>
        <v>45040</v>
      </c>
      <c r="C4181" s="13">
        <f>IFERROR(__xludf.DUMMYFUNCTION("""COMPUTED_VALUE"""),0.20833333333333334)</f>
        <v>0.2083333333</v>
      </c>
      <c r="D4181" s="8">
        <f>IFERROR(__xludf.DUMMYFUNCTION("""COMPUTED_VALUE"""),0.284)</f>
        <v>0.284</v>
      </c>
      <c r="E4181" s="8" t="str">
        <f>IFERROR(__xludf.DUMMYFUNCTION("""COMPUTED_VALUE"""),"Real")</f>
        <v>Real</v>
      </c>
      <c r="G4181" s="8">
        <f t="shared" si="1"/>
        <v>4</v>
      </c>
      <c r="H4181" s="14">
        <f t="shared" si="2"/>
        <v>24</v>
      </c>
      <c r="I4181" s="15">
        <f t="shared" si="3"/>
        <v>5</v>
      </c>
    </row>
    <row r="4182">
      <c r="A4182" s="8" t="str">
        <f>IFERROR(__xludf.DUMMYFUNCTION("IF('(INGESTA)Datos_consumo_datadis'!A4182&lt;&gt;"""",SPLIT('(INGESTA)Datos_consumo_datadis'!A:A,"",""),"""")"),"ES0031408323131005HX0F")</f>
        <v>ES0031408323131005HX0F</v>
      </c>
      <c r="B4182" s="12">
        <f>IFERROR(__xludf.DUMMYFUNCTION("""COMPUTED_VALUE"""),45040.0)</f>
        <v>45040</v>
      </c>
      <c r="C4182" s="13">
        <f>IFERROR(__xludf.DUMMYFUNCTION("""COMPUTED_VALUE"""),0.25)</f>
        <v>0.25</v>
      </c>
      <c r="D4182" s="8">
        <f>IFERROR(__xludf.DUMMYFUNCTION("""COMPUTED_VALUE"""),0.07)</f>
        <v>0.07</v>
      </c>
      <c r="E4182" s="8" t="str">
        <f>IFERROR(__xludf.DUMMYFUNCTION("""COMPUTED_VALUE"""),"Real")</f>
        <v>Real</v>
      </c>
      <c r="G4182" s="8">
        <f t="shared" si="1"/>
        <v>4</v>
      </c>
      <c r="H4182" s="14">
        <f t="shared" si="2"/>
        <v>24</v>
      </c>
      <c r="I4182" s="15">
        <f t="shared" si="3"/>
        <v>6</v>
      </c>
    </row>
    <row r="4183">
      <c r="A4183" s="8" t="str">
        <f>IFERROR(__xludf.DUMMYFUNCTION("IF('(INGESTA)Datos_consumo_datadis'!A4183&lt;&gt;"""",SPLIT('(INGESTA)Datos_consumo_datadis'!A:A,"",""),"""")"),"ES0031408323131005HX0F")</f>
        <v>ES0031408323131005HX0F</v>
      </c>
      <c r="B4183" s="12">
        <f>IFERROR(__xludf.DUMMYFUNCTION("""COMPUTED_VALUE"""),45040.0)</f>
        <v>45040</v>
      </c>
      <c r="C4183" s="13">
        <f>IFERROR(__xludf.DUMMYFUNCTION("""COMPUTED_VALUE"""),0.2916666666666667)</f>
        <v>0.2916666667</v>
      </c>
      <c r="D4183" s="8">
        <f>IFERROR(__xludf.DUMMYFUNCTION("""COMPUTED_VALUE"""),0.125)</f>
        <v>0.125</v>
      </c>
      <c r="E4183" s="8" t="str">
        <f>IFERROR(__xludf.DUMMYFUNCTION("""COMPUTED_VALUE"""),"Real")</f>
        <v>Real</v>
      </c>
      <c r="G4183" s="8">
        <f t="shared" si="1"/>
        <v>4</v>
      </c>
      <c r="H4183" s="14">
        <f t="shared" si="2"/>
        <v>24</v>
      </c>
      <c r="I4183" s="15">
        <f t="shared" si="3"/>
        <v>7</v>
      </c>
    </row>
    <row r="4184">
      <c r="A4184" s="8" t="str">
        <f>IFERROR(__xludf.DUMMYFUNCTION("IF('(INGESTA)Datos_consumo_datadis'!A4184&lt;&gt;"""",SPLIT('(INGESTA)Datos_consumo_datadis'!A:A,"",""),"""")"),"ES0031408323131005HX0F")</f>
        <v>ES0031408323131005HX0F</v>
      </c>
      <c r="B4184" s="12">
        <f>IFERROR(__xludf.DUMMYFUNCTION("""COMPUTED_VALUE"""),45040.0)</f>
        <v>45040</v>
      </c>
      <c r="C4184" s="13">
        <f>IFERROR(__xludf.DUMMYFUNCTION("""COMPUTED_VALUE"""),0.3333333333333333)</f>
        <v>0.3333333333</v>
      </c>
      <c r="D4184" s="8">
        <f>IFERROR(__xludf.DUMMYFUNCTION("""COMPUTED_VALUE"""),0.209)</f>
        <v>0.209</v>
      </c>
      <c r="E4184" s="8" t="str">
        <f>IFERROR(__xludf.DUMMYFUNCTION("""COMPUTED_VALUE"""),"Real")</f>
        <v>Real</v>
      </c>
      <c r="G4184" s="8">
        <f t="shared" si="1"/>
        <v>4</v>
      </c>
      <c r="H4184" s="14">
        <f t="shared" si="2"/>
        <v>24</v>
      </c>
      <c r="I4184" s="15">
        <f t="shared" si="3"/>
        <v>8</v>
      </c>
    </row>
    <row r="4185">
      <c r="A4185" s="8" t="str">
        <f>IFERROR(__xludf.DUMMYFUNCTION("IF('(INGESTA)Datos_consumo_datadis'!A4185&lt;&gt;"""",SPLIT('(INGESTA)Datos_consumo_datadis'!A:A,"",""),"""")"),"ES0031408323131005HX0F")</f>
        <v>ES0031408323131005HX0F</v>
      </c>
      <c r="B4185" s="12">
        <f>IFERROR(__xludf.DUMMYFUNCTION("""COMPUTED_VALUE"""),45040.0)</f>
        <v>45040</v>
      </c>
      <c r="C4185" s="13">
        <f>IFERROR(__xludf.DUMMYFUNCTION("""COMPUTED_VALUE"""),0.375)</f>
        <v>0.375</v>
      </c>
      <c r="D4185" s="8">
        <f>IFERROR(__xludf.DUMMYFUNCTION("""COMPUTED_VALUE"""),0.068)</f>
        <v>0.068</v>
      </c>
      <c r="E4185" s="8" t="str">
        <f>IFERROR(__xludf.DUMMYFUNCTION("""COMPUTED_VALUE"""),"Real")</f>
        <v>Real</v>
      </c>
      <c r="G4185" s="8">
        <f t="shared" si="1"/>
        <v>4</v>
      </c>
      <c r="H4185" s="14">
        <f t="shared" si="2"/>
        <v>24</v>
      </c>
      <c r="I4185" s="15">
        <f t="shared" si="3"/>
        <v>9</v>
      </c>
    </row>
    <row r="4186">
      <c r="A4186" s="8" t="str">
        <f>IFERROR(__xludf.DUMMYFUNCTION("IF('(INGESTA)Datos_consumo_datadis'!A4186&lt;&gt;"""",SPLIT('(INGESTA)Datos_consumo_datadis'!A:A,"",""),"""")"),"ES0031408323131005HX0F")</f>
        <v>ES0031408323131005HX0F</v>
      </c>
      <c r="B4186" s="12">
        <f>IFERROR(__xludf.DUMMYFUNCTION("""COMPUTED_VALUE"""),45040.0)</f>
        <v>45040</v>
      </c>
      <c r="C4186" s="13">
        <f>IFERROR(__xludf.DUMMYFUNCTION("""COMPUTED_VALUE"""),0.4166666666666667)</f>
        <v>0.4166666667</v>
      </c>
      <c r="D4186" s="8">
        <f>IFERROR(__xludf.DUMMYFUNCTION("""COMPUTED_VALUE"""),0.616)</f>
        <v>0.616</v>
      </c>
      <c r="E4186" s="8" t="str">
        <f>IFERROR(__xludf.DUMMYFUNCTION("""COMPUTED_VALUE"""),"Real")</f>
        <v>Real</v>
      </c>
      <c r="G4186" s="8">
        <f t="shared" si="1"/>
        <v>4</v>
      </c>
      <c r="H4186" s="14">
        <f t="shared" si="2"/>
        <v>24</v>
      </c>
      <c r="I4186" s="15">
        <f t="shared" si="3"/>
        <v>10</v>
      </c>
    </row>
    <row r="4187">
      <c r="A4187" s="8" t="str">
        <f>IFERROR(__xludf.DUMMYFUNCTION("IF('(INGESTA)Datos_consumo_datadis'!A4187&lt;&gt;"""",SPLIT('(INGESTA)Datos_consumo_datadis'!A:A,"",""),"""")"),"ES0031408323131005HX0F")</f>
        <v>ES0031408323131005HX0F</v>
      </c>
      <c r="B4187" s="12">
        <f>IFERROR(__xludf.DUMMYFUNCTION("""COMPUTED_VALUE"""),45040.0)</f>
        <v>45040</v>
      </c>
      <c r="C4187" s="13">
        <f>IFERROR(__xludf.DUMMYFUNCTION("""COMPUTED_VALUE"""),0.4583333333333333)</f>
        <v>0.4583333333</v>
      </c>
      <c r="D4187" s="8">
        <f>IFERROR(__xludf.DUMMYFUNCTION("""COMPUTED_VALUE"""),0.556)</f>
        <v>0.556</v>
      </c>
      <c r="E4187" s="8" t="str">
        <f>IFERROR(__xludf.DUMMYFUNCTION("""COMPUTED_VALUE"""),"Real")</f>
        <v>Real</v>
      </c>
      <c r="G4187" s="8">
        <f t="shared" si="1"/>
        <v>4</v>
      </c>
      <c r="H4187" s="14">
        <f t="shared" si="2"/>
        <v>24</v>
      </c>
      <c r="I4187" s="15">
        <f t="shared" si="3"/>
        <v>11</v>
      </c>
    </row>
    <row r="4188">
      <c r="A4188" s="8" t="str">
        <f>IFERROR(__xludf.DUMMYFUNCTION("IF('(INGESTA)Datos_consumo_datadis'!A4188&lt;&gt;"""",SPLIT('(INGESTA)Datos_consumo_datadis'!A:A,"",""),"""")"),"ES0031408323131005HX0F")</f>
        <v>ES0031408323131005HX0F</v>
      </c>
      <c r="B4188" s="12">
        <f>IFERROR(__xludf.DUMMYFUNCTION("""COMPUTED_VALUE"""),45040.0)</f>
        <v>45040</v>
      </c>
      <c r="C4188" s="13">
        <f>IFERROR(__xludf.DUMMYFUNCTION("""COMPUTED_VALUE"""),0.5)</f>
        <v>0.5</v>
      </c>
      <c r="D4188" s="8">
        <f>IFERROR(__xludf.DUMMYFUNCTION("""COMPUTED_VALUE"""),0.48)</f>
        <v>0.48</v>
      </c>
      <c r="E4188" s="8" t="str">
        <f>IFERROR(__xludf.DUMMYFUNCTION("""COMPUTED_VALUE"""),"Real")</f>
        <v>Real</v>
      </c>
      <c r="G4188" s="8">
        <f t="shared" si="1"/>
        <v>4</v>
      </c>
      <c r="H4188" s="14">
        <f t="shared" si="2"/>
        <v>24</v>
      </c>
      <c r="I4188" s="15">
        <f t="shared" si="3"/>
        <v>12</v>
      </c>
    </row>
    <row r="4189">
      <c r="A4189" s="8" t="str">
        <f>IFERROR(__xludf.DUMMYFUNCTION("IF('(INGESTA)Datos_consumo_datadis'!A4189&lt;&gt;"""",SPLIT('(INGESTA)Datos_consumo_datadis'!A:A,"",""),"""")"),"ES0031408323131005HX0F")</f>
        <v>ES0031408323131005HX0F</v>
      </c>
      <c r="B4189" s="12">
        <f>IFERROR(__xludf.DUMMYFUNCTION("""COMPUTED_VALUE"""),45040.0)</f>
        <v>45040</v>
      </c>
      <c r="C4189" s="13">
        <f>IFERROR(__xludf.DUMMYFUNCTION("""COMPUTED_VALUE"""),0.5416666666666666)</f>
        <v>0.5416666667</v>
      </c>
      <c r="D4189" s="8">
        <f>IFERROR(__xludf.DUMMYFUNCTION("""COMPUTED_VALUE"""),0.04)</f>
        <v>0.04</v>
      </c>
      <c r="E4189" s="8" t="str">
        <f>IFERROR(__xludf.DUMMYFUNCTION("""COMPUTED_VALUE"""),"Real")</f>
        <v>Real</v>
      </c>
      <c r="G4189" s="8">
        <f t="shared" si="1"/>
        <v>4</v>
      </c>
      <c r="H4189" s="14">
        <f t="shared" si="2"/>
        <v>24</v>
      </c>
      <c r="I4189" s="15">
        <f t="shared" si="3"/>
        <v>13</v>
      </c>
    </row>
    <row r="4190">
      <c r="A4190" s="8" t="str">
        <f>IFERROR(__xludf.DUMMYFUNCTION("IF('(INGESTA)Datos_consumo_datadis'!A4190&lt;&gt;"""",SPLIT('(INGESTA)Datos_consumo_datadis'!A:A,"",""),"""")"),"ES0031408323131005HX0F")</f>
        <v>ES0031408323131005HX0F</v>
      </c>
      <c r="B4190" s="12">
        <f>IFERROR(__xludf.DUMMYFUNCTION("""COMPUTED_VALUE"""),45040.0)</f>
        <v>45040</v>
      </c>
      <c r="C4190" s="13">
        <f>IFERROR(__xludf.DUMMYFUNCTION("""COMPUTED_VALUE"""),0.5833333333333334)</f>
        <v>0.5833333333</v>
      </c>
      <c r="D4190" s="8">
        <f>IFERROR(__xludf.DUMMYFUNCTION("""COMPUTED_VALUE"""),0.063)</f>
        <v>0.063</v>
      </c>
      <c r="E4190" s="8" t="str">
        <f>IFERROR(__xludf.DUMMYFUNCTION("""COMPUTED_VALUE"""),"Real")</f>
        <v>Real</v>
      </c>
      <c r="G4190" s="8">
        <f t="shared" si="1"/>
        <v>4</v>
      </c>
      <c r="H4190" s="14">
        <f t="shared" si="2"/>
        <v>24</v>
      </c>
      <c r="I4190" s="15">
        <f t="shared" si="3"/>
        <v>14</v>
      </c>
    </row>
    <row r="4191">
      <c r="A4191" s="8" t="str">
        <f>IFERROR(__xludf.DUMMYFUNCTION("IF('(INGESTA)Datos_consumo_datadis'!A4191&lt;&gt;"""",SPLIT('(INGESTA)Datos_consumo_datadis'!A:A,"",""),"""")"),"ES0031408323131005HX0F")</f>
        <v>ES0031408323131005HX0F</v>
      </c>
      <c r="B4191" s="12">
        <f>IFERROR(__xludf.DUMMYFUNCTION("""COMPUTED_VALUE"""),45040.0)</f>
        <v>45040</v>
      </c>
      <c r="C4191" s="13">
        <f>IFERROR(__xludf.DUMMYFUNCTION("""COMPUTED_VALUE"""),0.625)</f>
        <v>0.625</v>
      </c>
      <c r="D4191" s="8">
        <f>IFERROR(__xludf.DUMMYFUNCTION("""COMPUTED_VALUE"""),0.073)</f>
        <v>0.073</v>
      </c>
      <c r="E4191" s="8" t="str">
        <f>IFERROR(__xludf.DUMMYFUNCTION("""COMPUTED_VALUE"""),"Real")</f>
        <v>Real</v>
      </c>
      <c r="G4191" s="8">
        <f t="shared" si="1"/>
        <v>4</v>
      </c>
      <c r="H4191" s="14">
        <f t="shared" si="2"/>
        <v>24</v>
      </c>
      <c r="I4191" s="15">
        <f t="shared" si="3"/>
        <v>15</v>
      </c>
    </row>
    <row r="4192">
      <c r="A4192" s="8" t="str">
        <f>IFERROR(__xludf.DUMMYFUNCTION("IF('(INGESTA)Datos_consumo_datadis'!A4192&lt;&gt;"""",SPLIT('(INGESTA)Datos_consumo_datadis'!A:A,"",""),"""")"),"ES0031408323131005HX0F")</f>
        <v>ES0031408323131005HX0F</v>
      </c>
      <c r="B4192" s="12">
        <f>IFERROR(__xludf.DUMMYFUNCTION("""COMPUTED_VALUE"""),45040.0)</f>
        <v>45040</v>
      </c>
      <c r="C4192" s="13">
        <f>IFERROR(__xludf.DUMMYFUNCTION("""COMPUTED_VALUE"""),0.6666666666666666)</f>
        <v>0.6666666667</v>
      </c>
      <c r="D4192" s="8">
        <f>IFERROR(__xludf.DUMMYFUNCTION("""COMPUTED_VALUE"""),0.058)</f>
        <v>0.058</v>
      </c>
      <c r="E4192" s="8" t="str">
        <f>IFERROR(__xludf.DUMMYFUNCTION("""COMPUTED_VALUE"""),"Real")</f>
        <v>Real</v>
      </c>
      <c r="G4192" s="8">
        <f t="shared" si="1"/>
        <v>4</v>
      </c>
      <c r="H4192" s="14">
        <f t="shared" si="2"/>
        <v>24</v>
      </c>
      <c r="I4192" s="15">
        <f t="shared" si="3"/>
        <v>16</v>
      </c>
    </row>
    <row r="4193">
      <c r="A4193" s="8" t="str">
        <f>IFERROR(__xludf.DUMMYFUNCTION("IF('(INGESTA)Datos_consumo_datadis'!A4193&lt;&gt;"""",SPLIT('(INGESTA)Datos_consumo_datadis'!A:A,"",""),"""")"),"ES0031408323131005HX0F")</f>
        <v>ES0031408323131005HX0F</v>
      </c>
      <c r="B4193" s="12">
        <f>IFERROR(__xludf.DUMMYFUNCTION("""COMPUTED_VALUE"""),45040.0)</f>
        <v>45040</v>
      </c>
      <c r="C4193" s="13">
        <f>IFERROR(__xludf.DUMMYFUNCTION("""COMPUTED_VALUE"""),0.7083333333333334)</f>
        <v>0.7083333333</v>
      </c>
      <c r="D4193" s="8">
        <f>IFERROR(__xludf.DUMMYFUNCTION("""COMPUTED_VALUE"""),0.275)</f>
        <v>0.275</v>
      </c>
      <c r="E4193" s="8" t="str">
        <f>IFERROR(__xludf.DUMMYFUNCTION("""COMPUTED_VALUE"""),"Real")</f>
        <v>Real</v>
      </c>
      <c r="G4193" s="8">
        <f t="shared" si="1"/>
        <v>4</v>
      </c>
      <c r="H4193" s="14">
        <f t="shared" si="2"/>
        <v>24</v>
      </c>
      <c r="I4193" s="15">
        <f t="shared" si="3"/>
        <v>17</v>
      </c>
    </row>
    <row r="4194">
      <c r="A4194" s="8" t="str">
        <f>IFERROR(__xludf.DUMMYFUNCTION("IF('(INGESTA)Datos_consumo_datadis'!A4194&lt;&gt;"""",SPLIT('(INGESTA)Datos_consumo_datadis'!A:A,"",""),"""")"),"ES0031408323131005HX0F")</f>
        <v>ES0031408323131005HX0F</v>
      </c>
      <c r="B4194" s="12">
        <f>IFERROR(__xludf.DUMMYFUNCTION("""COMPUTED_VALUE"""),45040.0)</f>
        <v>45040</v>
      </c>
      <c r="C4194" s="13">
        <f>IFERROR(__xludf.DUMMYFUNCTION("""COMPUTED_VALUE"""),0.75)</f>
        <v>0.75</v>
      </c>
      <c r="D4194" s="8">
        <f>IFERROR(__xludf.DUMMYFUNCTION("""COMPUTED_VALUE"""),0.113)</f>
        <v>0.113</v>
      </c>
      <c r="E4194" s="8" t="str">
        <f>IFERROR(__xludf.DUMMYFUNCTION("""COMPUTED_VALUE"""),"Real")</f>
        <v>Real</v>
      </c>
      <c r="G4194" s="8">
        <f t="shared" si="1"/>
        <v>4</v>
      </c>
      <c r="H4194" s="14">
        <f t="shared" si="2"/>
        <v>24</v>
      </c>
      <c r="I4194" s="15">
        <f t="shared" si="3"/>
        <v>18</v>
      </c>
    </row>
    <row r="4195">
      <c r="A4195" s="8" t="str">
        <f>IFERROR(__xludf.DUMMYFUNCTION("IF('(INGESTA)Datos_consumo_datadis'!A4195&lt;&gt;"""",SPLIT('(INGESTA)Datos_consumo_datadis'!A:A,"",""),"""")"),"ES0031408323131005HX0F")</f>
        <v>ES0031408323131005HX0F</v>
      </c>
      <c r="B4195" s="12">
        <f>IFERROR(__xludf.DUMMYFUNCTION("""COMPUTED_VALUE"""),45040.0)</f>
        <v>45040</v>
      </c>
      <c r="C4195" s="13">
        <f>IFERROR(__xludf.DUMMYFUNCTION("""COMPUTED_VALUE"""),0.7916666666666666)</f>
        <v>0.7916666667</v>
      </c>
      <c r="D4195" s="8">
        <f>IFERROR(__xludf.DUMMYFUNCTION("""COMPUTED_VALUE"""),0.059)</f>
        <v>0.059</v>
      </c>
      <c r="E4195" s="8" t="str">
        <f>IFERROR(__xludf.DUMMYFUNCTION("""COMPUTED_VALUE"""),"Real")</f>
        <v>Real</v>
      </c>
      <c r="G4195" s="8">
        <f t="shared" si="1"/>
        <v>4</v>
      </c>
      <c r="H4195" s="14">
        <f t="shared" si="2"/>
        <v>24</v>
      </c>
      <c r="I4195" s="15">
        <f t="shared" si="3"/>
        <v>19</v>
      </c>
    </row>
    <row r="4196">
      <c r="A4196" s="8" t="str">
        <f>IFERROR(__xludf.DUMMYFUNCTION("IF('(INGESTA)Datos_consumo_datadis'!A4196&lt;&gt;"""",SPLIT('(INGESTA)Datos_consumo_datadis'!A:A,"",""),"""")"),"ES0031408323131005HX0F")</f>
        <v>ES0031408323131005HX0F</v>
      </c>
      <c r="B4196" s="12">
        <f>IFERROR(__xludf.DUMMYFUNCTION("""COMPUTED_VALUE"""),45040.0)</f>
        <v>45040</v>
      </c>
      <c r="C4196" s="13">
        <f>IFERROR(__xludf.DUMMYFUNCTION("""COMPUTED_VALUE"""),0.8333333333333334)</f>
        <v>0.8333333333</v>
      </c>
      <c r="D4196" s="8">
        <f>IFERROR(__xludf.DUMMYFUNCTION("""COMPUTED_VALUE"""),0.019)</f>
        <v>0.019</v>
      </c>
      <c r="E4196" s="8" t="str">
        <f>IFERROR(__xludf.DUMMYFUNCTION("""COMPUTED_VALUE"""),"Real")</f>
        <v>Real</v>
      </c>
      <c r="G4196" s="8">
        <f t="shared" si="1"/>
        <v>4</v>
      </c>
      <c r="H4196" s="14">
        <f t="shared" si="2"/>
        <v>24</v>
      </c>
      <c r="I4196" s="15">
        <f t="shared" si="3"/>
        <v>20</v>
      </c>
    </row>
    <row r="4197">
      <c r="A4197" s="8" t="str">
        <f>IFERROR(__xludf.DUMMYFUNCTION("IF('(INGESTA)Datos_consumo_datadis'!A4197&lt;&gt;"""",SPLIT('(INGESTA)Datos_consumo_datadis'!A:A,"",""),"""")"),"ES0031408323131005HX0F")</f>
        <v>ES0031408323131005HX0F</v>
      </c>
      <c r="B4197" s="12">
        <f>IFERROR(__xludf.DUMMYFUNCTION("""COMPUTED_VALUE"""),45040.0)</f>
        <v>45040</v>
      </c>
      <c r="C4197" s="13">
        <f>IFERROR(__xludf.DUMMYFUNCTION("""COMPUTED_VALUE"""),0.875)</f>
        <v>0.875</v>
      </c>
      <c r="D4197" s="8">
        <f>IFERROR(__xludf.DUMMYFUNCTION("""COMPUTED_VALUE"""),0.079)</f>
        <v>0.079</v>
      </c>
      <c r="E4197" s="8" t="str">
        <f>IFERROR(__xludf.DUMMYFUNCTION("""COMPUTED_VALUE"""),"Real")</f>
        <v>Real</v>
      </c>
      <c r="G4197" s="8">
        <f t="shared" si="1"/>
        <v>4</v>
      </c>
      <c r="H4197" s="14">
        <f t="shared" si="2"/>
        <v>24</v>
      </c>
      <c r="I4197" s="15">
        <f t="shared" si="3"/>
        <v>21</v>
      </c>
    </row>
    <row r="4198">
      <c r="A4198" s="8" t="str">
        <f>IFERROR(__xludf.DUMMYFUNCTION("IF('(INGESTA)Datos_consumo_datadis'!A4198&lt;&gt;"""",SPLIT('(INGESTA)Datos_consumo_datadis'!A:A,"",""),"""")"),"ES0031408323131005HX0F")</f>
        <v>ES0031408323131005HX0F</v>
      </c>
      <c r="B4198" s="12">
        <f>IFERROR(__xludf.DUMMYFUNCTION("""COMPUTED_VALUE"""),45040.0)</f>
        <v>45040</v>
      </c>
      <c r="C4198" s="13">
        <f>IFERROR(__xludf.DUMMYFUNCTION("""COMPUTED_VALUE"""),0.9166666666666666)</f>
        <v>0.9166666667</v>
      </c>
      <c r="D4198" s="8">
        <f>IFERROR(__xludf.DUMMYFUNCTION("""COMPUTED_VALUE"""),0.072)</f>
        <v>0.072</v>
      </c>
      <c r="E4198" s="8" t="str">
        <f>IFERROR(__xludf.DUMMYFUNCTION("""COMPUTED_VALUE"""),"Real")</f>
        <v>Real</v>
      </c>
      <c r="G4198" s="8">
        <f t="shared" si="1"/>
        <v>4</v>
      </c>
      <c r="H4198" s="14">
        <f t="shared" si="2"/>
        <v>24</v>
      </c>
      <c r="I4198" s="15">
        <f t="shared" si="3"/>
        <v>22</v>
      </c>
    </row>
    <row r="4199">
      <c r="A4199" s="8" t="str">
        <f>IFERROR(__xludf.DUMMYFUNCTION("IF('(INGESTA)Datos_consumo_datadis'!A4199&lt;&gt;"""",SPLIT('(INGESTA)Datos_consumo_datadis'!A:A,"",""),"""")"),"ES0031408323131005HX0F")</f>
        <v>ES0031408323131005HX0F</v>
      </c>
      <c r="B4199" s="12">
        <f>IFERROR(__xludf.DUMMYFUNCTION("""COMPUTED_VALUE"""),45040.0)</f>
        <v>45040</v>
      </c>
      <c r="C4199" s="13">
        <f>IFERROR(__xludf.DUMMYFUNCTION("""COMPUTED_VALUE"""),0.9583333333333334)</f>
        <v>0.9583333333</v>
      </c>
      <c r="D4199" s="8">
        <f>IFERROR(__xludf.DUMMYFUNCTION("""COMPUTED_VALUE"""),0.04)</f>
        <v>0.04</v>
      </c>
      <c r="E4199" s="8" t="str">
        <f>IFERROR(__xludf.DUMMYFUNCTION("""COMPUTED_VALUE"""),"Real")</f>
        <v>Real</v>
      </c>
      <c r="G4199" s="8">
        <f t="shared" si="1"/>
        <v>4</v>
      </c>
      <c r="H4199" s="14">
        <f t="shared" si="2"/>
        <v>24</v>
      </c>
      <c r="I4199" s="15">
        <f t="shared" si="3"/>
        <v>23</v>
      </c>
    </row>
    <row r="4200">
      <c r="A4200" s="8" t="str">
        <f>IFERROR(__xludf.DUMMYFUNCTION("IF('(INGESTA)Datos_consumo_datadis'!A4200&lt;&gt;"""",SPLIT('(INGESTA)Datos_consumo_datadis'!A:A,"",""),"""")"),"ES0031408323131005HX0F")</f>
        <v>ES0031408323131005HX0F</v>
      </c>
      <c r="B4200" s="12">
        <f>IFERROR(__xludf.DUMMYFUNCTION("""COMPUTED_VALUE"""),45040.0)</f>
        <v>45040</v>
      </c>
      <c r="C4200" s="16">
        <f>IFERROR(__xludf.DUMMYFUNCTION("""COMPUTED_VALUE"""),1.0)</f>
        <v>1</v>
      </c>
      <c r="D4200" s="8">
        <f>IFERROR(__xludf.DUMMYFUNCTION("""COMPUTED_VALUE"""),0.331)</f>
        <v>0.331</v>
      </c>
      <c r="E4200" s="8" t="str">
        <f>IFERROR(__xludf.DUMMYFUNCTION("""COMPUTED_VALUE"""),"Real")</f>
        <v>Real</v>
      </c>
      <c r="G4200" s="8">
        <f t="shared" si="1"/>
        <v>4</v>
      </c>
      <c r="H4200" s="14">
        <f t="shared" si="2"/>
        <v>24</v>
      </c>
      <c r="I4200" s="15">
        <f t="shared" si="3"/>
        <v>0</v>
      </c>
    </row>
    <row r="4201">
      <c r="A4201" s="8" t="str">
        <f>IFERROR(__xludf.DUMMYFUNCTION("IF('(INGESTA)Datos_consumo_datadis'!A4201&lt;&gt;"""",SPLIT('(INGESTA)Datos_consumo_datadis'!A:A,"",""),"""")"),"ES0031408323131005HX0F")</f>
        <v>ES0031408323131005HX0F</v>
      </c>
      <c r="B4201" s="12">
        <f>IFERROR(__xludf.DUMMYFUNCTION("""COMPUTED_VALUE"""),45041.0)</f>
        <v>45041</v>
      </c>
      <c r="C4201" s="13">
        <f>IFERROR(__xludf.DUMMYFUNCTION("""COMPUTED_VALUE"""),0.041666666666666664)</f>
        <v>0.04166666667</v>
      </c>
      <c r="D4201" s="8">
        <f>IFERROR(__xludf.DUMMYFUNCTION("""COMPUTED_VALUE"""),0.116)</f>
        <v>0.116</v>
      </c>
      <c r="E4201" s="8" t="str">
        <f>IFERROR(__xludf.DUMMYFUNCTION("""COMPUTED_VALUE"""),"Real")</f>
        <v>Real</v>
      </c>
      <c r="G4201" s="8">
        <f t="shared" si="1"/>
        <v>4</v>
      </c>
      <c r="H4201" s="14">
        <f t="shared" si="2"/>
        <v>25</v>
      </c>
      <c r="I4201" s="15">
        <f t="shared" si="3"/>
        <v>1</v>
      </c>
    </row>
    <row r="4202">
      <c r="A4202" s="8" t="str">
        <f>IFERROR(__xludf.DUMMYFUNCTION("IF('(INGESTA)Datos_consumo_datadis'!A4202&lt;&gt;"""",SPLIT('(INGESTA)Datos_consumo_datadis'!A:A,"",""),"""")"),"ES0031408323131005HX0F")</f>
        <v>ES0031408323131005HX0F</v>
      </c>
      <c r="B4202" s="12">
        <f>IFERROR(__xludf.DUMMYFUNCTION("""COMPUTED_VALUE"""),45041.0)</f>
        <v>45041</v>
      </c>
      <c r="C4202" s="13">
        <f>IFERROR(__xludf.DUMMYFUNCTION("""COMPUTED_VALUE"""),0.08333333333333333)</f>
        <v>0.08333333333</v>
      </c>
      <c r="D4202" s="8">
        <f>IFERROR(__xludf.DUMMYFUNCTION("""COMPUTED_VALUE"""),0.079)</f>
        <v>0.079</v>
      </c>
      <c r="E4202" s="8" t="str">
        <f>IFERROR(__xludf.DUMMYFUNCTION("""COMPUTED_VALUE"""),"Real")</f>
        <v>Real</v>
      </c>
      <c r="G4202" s="8">
        <f t="shared" si="1"/>
        <v>4</v>
      </c>
      <c r="H4202" s="14">
        <f t="shared" si="2"/>
        <v>25</v>
      </c>
      <c r="I4202" s="15">
        <f t="shared" si="3"/>
        <v>2</v>
      </c>
    </row>
    <row r="4203">
      <c r="A4203" s="8" t="str">
        <f>IFERROR(__xludf.DUMMYFUNCTION("IF('(INGESTA)Datos_consumo_datadis'!A4203&lt;&gt;"""",SPLIT('(INGESTA)Datos_consumo_datadis'!A:A,"",""),"""")"),"ES0031408323131005HX0F")</f>
        <v>ES0031408323131005HX0F</v>
      </c>
      <c r="B4203" s="12">
        <f>IFERROR(__xludf.DUMMYFUNCTION("""COMPUTED_VALUE"""),45041.0)</f>
        <v>45041</v>
      </c>
      <c r="C4203" s="13">
        <f>IFERROR(__xludf.DUMMYFUNCTION("""COMPUTED_VALUE"""),0.125)</f>
        <v>0.125</v>
      </c>
      <c r="D4203" s="8">
        <f>IFERROR(__xludf.DUMMYFUNCTION("""COMPUTED_VALUE"""),0.051)</f>
        <v>0.051</v>
      </c>
      <c r="E4203" s="8" t="str">
        <f>IFERROR(__xludf.DUMMYFUNCTION("""COMPUTED_VALUE"""),"Real")</f>
        <v>Real</v>
      </c>
      <c r="G4203" s="8">
        <f t="shared" si="1"/>
        <v>4</v>
      </c>
      <c r="H4203" s="14">
        <f t="shared" si="2"/>
        <v>25</v>
      </c>
      <c r="I4203" s="15">
        <f t="shared" si="3"/>
        <v>3</v>
      </c>
    </row>
    <row r="4204">
      <c r="A4204" s="8" t="str">
        <f>IFERROR(__xludf.DUMMYFUNCTION("IF('(INGESTA)Datos_consumo_datadis'!A4204&lt;&gt;"""",SPLIT('(INGESTA)Datos_consumo_datadis'!A:A,"",""),"""")"),"ES0031408323131005HX0F")</f>
        <v>ES0031408323131005HX0F</v>
      </c>
      <c r="B4204" s="12">
        <f>IFERROR(__xludf.DUMMYFUNCTION("""COMPUTED_VALUE"""),45041.0)</f>
        <v>45041</v>
      </c>
      <c r="C4204" s="13">
        <f>IFERROR(__xludf.DUMMYFUNCTION("""COMPUTED_VALUE"""),0.16666666666666666)</f>
        <v>0.1666666667</v>
      </c>
      <c r="D4204" s="8">
        <f>IFERROR(__xludf.DUMMYFUNCTION("""COMPUTED_VALUE"""),0.397)</f>
        <v>0.397</v>
      </c>
      <c r="E4204" s="8" t="str">
        <f>IFERROR(__xludf.DUMMYFUNCTION("""COMPUTED_VALUE"""),"Real")</f>
        <v>Real</v>
      </c>
      <c r="G4204" s="8">
        <f t="shared" si="1"/>
        <v>4</v>
      </c>
      <c r="H4204" s="14">
        <f t="shared" si="2"/>
        <v>25</v>
      </c>
      <c r="I4204" s="15">
        <f t="shared" si="3"/>
        <v>4</v>
      </c>
    </row>
    <row r="4205">
      <c r="A4205" s="8" t="str">
        <f>IFERROR(__xludf.DUMMYFUNCTION("IF('(INGESTA)Datos_consumo_datadis'!A4205&lt;&gt;"""",SPLIT('(INGESTA)Datos_consumo_datadis'!A:A,"",""),"""")"),"ES0031408323131005HX0F")</f>
        <v>ES0031408323131005HX0F</v>
      </c>
      <c r="B4205" s="12">
        <f>IFERROR(__xludf.DUMMYFUNCTION("""COMPUTED_VALUE"""),45041.0)</f>
        <v>45041</v>
      </c>
      <c r="C4205" s="13">
        <f>IFERROR(__xludf.DUMMYFUNCTION("""COMPUTED_VALUE"""),0.20833333333333334)</f>
        <v>0.2083333333</v>
      </c>
      <c r="D4205" s="8">
        <f>IFERROR(__xludf.DUMMYFUNCTION("""COMPUTED_VALUE"""),0.068)</f>
        <v>0.068</v>
      </c>
      <c r="E4205" s="8" t="str">
        <f>IFERROR(__xludf.DUMMYFUNCTION("""COMPUTED_VALUE"""),"Real")</f>
        <v>Real</v>
      </c>
      <c r="G4205" s="8">
        <f t="shared" si="1"/>
        <v>4</v>
      </c>
      <c r="H4205" s="14">
        <f t="shared" si="2"/>
        <v>25</v>
      </c>
      <c r="I4205" s="15">
        <f t="shared" si="3"/>
        <v>5</v>
      </c>
    </row>
    <row r="4206">
      <c r="A4206" s="8" t="str">
        <f>IFERROR(__xludf.DUMMYFUNCTION("IF('(INGESTA)Datos_consumo_datadis'!A4206&lt;&gt;"""",SPLIT('(INGESTA)Datos_consumo_datadis'!A:A,"",""),"""")"),"ES0031408323131005HX0F")</f>
        <v>ES0031408323131005HX0F</v>
      </c>
      <c r="B4206" s="12">
        <f>IFERROR(__xludf.DUMMYFUNCTION("""COMPUTED_VALUE"""),45041.0)</f>
        <v>45041</v>
      </c>
      <c r="C4206" s="13">
        <f>IFERROR(__xludf.DUMMYFUNCTION("""COMPUTED_VALUE"""),0.25)</f>
        <v>0.25</v>
      </c>
      <c r="D4206" s="8">
        <f>IFERROR(__xludf.DUMMYFUNCTION("""COMPUTED_VALUE"""),0.023)</f>
        <v>0.023</v>
      </c>
      <c r="E4206" s="8" t="str">
        <f>IFERROR(__xludf.DUMMYFUNCTION("""COMPUTED_VALUE"""),"Real")</f>
        <v>Real</v>
      </c>
      <c r="G4206" s="8">
        <f t="shared" si="1"/>
        <v>4</v>
      </c>
      <c r="H4206" s="14">
        <f t="shared" si="2"/>
        <v>25</v>
      </c>
      <c r="I4206" s="15">
        <f t="shared" si="3"/>
        <v>6</v>
      </c>
    </row>
    <row r="4207">
      <c r="A4207" s="8" t="str">
        <f>IFERROR(__xludf.DUMMYFUNCTION("IF('(INGESTA)Datos_consumo_datadis'!A4207&lt;&gt;"""",SPLIT('(INGESTA)Datos_consumo_datadis'!A:A,"",""),"""")"),"ES0031408323131005HX0F")</f>
        <v>ES0031408323131005HX0F</v>
      </c>
      <c r="B4207" s="12">
        <f>IFERROR(__xludf.DUMMYFUNCTION("""COMPUTED_VALUE"""),45041.0)</f>
        <v>45041</v>
      </c>
      <c r="C4207" s="13">
        <f>IFERROR(__xludf.DUMMYFUNCTION("""COMPUTED_VALUE"""),0.2916666666666667)</f>
        <v>0.2916666667</v>
      </c>
      <c r="D4207" s="8">
        <f>IFERROR(__xludf.DUMMYFUNCTION("""COMPUTED_VALUE"""),0.073)</f>
        <v>0.073</v>
      </c>
      <c r="E4207" s="8" t="str">
        <f>IFERROR(__xludf.DUMMYFUNCTION("""COMPUTED_VALUE"""),"Real")</f>
        <v>Real</v>
      </c>
      <c r="G4207" s="8">
        <f t="shared" si="1"/>
        <v>4</v>
      </c>
      <c r="H4207" s="14">
        <f t="shared" si="2"/>
        <v>25</v>
      </c>
      <c r="I4207" s="15">
        <f t="shared" si="3"/>
        <v>7</v>
      </c>
    </row>
    <row r="4208">
      <c r="A4208" s="8" t="str">
        <f>IFERROR(__xludf.DUMMYFUNCTION("IF('(INGESTA)Datos_consumo_datadis'!A4208&lt;&gt;"""",SPLIT('(INGESTA)Datos_consumo_datadis'!A:A,"",""),"""")"),"ES0031408323131005HX0F")</f>
        <v>ES0031408323131005HX0F</v>
      </c>
      <c r="B4208" s="12">
        <f>IFERROR(__xludf.DUMMYFUNCTION("""COMPUTED_VALUE"""),45041.0)</f>
        <v>45041</v>
      </c>
      <c r="C4208" s="13">
        <f>IFERROR(__xludf.DUMMYFUNCTION("""COMPUTED_VALUE"""),0.3333333333333333)</f>
        <v>0.3333333333</v>
      </c>
      <c r="D4208" s="8">
        <f>IFERROR(__xludf.DUMMYFUNCTION("""COMPUTED_VALUE"""),1.08)</f>
        <v>1.08</v>
      </c>
      <c r="E4208" s="8" t="str">
        <f>IFERROR(__xludf.DUMMYFUNCTION("""COMPUTED_VALUE"""),"Real")</f>
        <v>Real</v>
      </c>
      <c r="G4208" s="8">
        <f t="shared" si="1"/>
        <v>4</v>
      </c>
      <c r="H4208" s="14">
        <f t="shared" si="2"/>
        <v>25</v>
      </c>
      <c r="I4208" s="15">
        <f t="shared" si="3"/>
        <v>8</v>
      </c>
    </row>
    <row r="4209">
      <c r="A4209" s="8" t="str">
        <f>IFERROR(__xludf.DUMMYFUNCTION("IF('(INGESTA)Datos_consumo_datadis'!A4209&lt;&gt;"""",SPLIT('(INGESTA)Datos_consumo_datadis'!A:A,"",""),"""")"),"ES0031408323131005HX0F")</f>
        <v>ES0031408323131005HX0F</v>
      </c>
      <c r="B4209" s="12">
        <f>IFERROR(__xludf.DUMMYFUNCTION("""COMPUTED_VALUE"""),45041.0)</f>
        <v>45041</v>
      </c>
      <c r="C4209" s="13">
        <f>IFERROR(__xludf.DUMMYFUNCTION("""COMPUTED_VALUE"""),0.375)</f>
        <v>0.375</v>
      </c>
      <c r="D4209" s="8">
        <f>IFERROR(__xludf.DUMMYFUNCTION("""COMPUTED_VALUE"""),0.117)</f>
        <v>0.117</v>
      </c>
      <c r="E4209" s="8" t="str">
        <f>IFERROR(__xludf.DUMMYFUNCTION("""COMPUTED_VALUE"""),"Real")</f>
        <v>Real</v>
      </c>
      <c r="G4209" s="8">
        <f t="shared" si="1"/>
        <v>4</v>
      </c>
      <c r="H4209" s="14">
        <f t="shared" si="2"/>
        <v>25</v>
      </c>
      <c r="I4209" s="15">
        <f t="shared" si="3"/>
        <v>9</v>
      </c>
    </row>
    <row r="4210">
      <c r="A4210" s="8" t="str">
        <f>IFERROR(__xludf.DUMMYFUNCTION("IF('(INGESTA)Datos_consumo_datadis'!A4210&lt;&gt;"""",SPLIT('(INGESTA)Datos_consumo_datadis'!A:A,"",""),"""")"),"ES0031408323131005HX0F")</f>
        <v>ES0031408323131005HX0F</v>
      </c>
      <c r="B4210" s="12">
        <f>IFERROR(__xludf.DUMMYFUNCTION("""COMPUTED_VALUE"""),45041.0)</f>
        <v>45041</v>
      </c>
      <c r="C4210" s="13">
        <f>IFERROR(__xludf.DUMMYFUNCTION("""COMPUTED_VALUE"""),0.4166666666666667)</f>
        <v>0.4166666667</v>
      </c>
      <c r="D4210" s="8">
        <f>IFERROR(__xludf.DUMMYFUNCTION("""COMPUTED_VALUE"""),0.076)</f>
        <v>0.076</v>
      </c>
      <c r="E4210" s="8" t="str">
        <f>IFERROR(__xludf.DUMMYFUNCTION("""COMPUTED_VALUE"""),"Real")</f>
        <v>Real</v>
      </c>
      <c r="G4210" s="8">
        <f t="shared" si="1"/>
        <v>4</v>
      </c>
      <c r="H4210" s="14">
        <f t="shared" si="2"/>
        <v>25</v>
      </c>
      <c r="I4210" s="15">
        <f t="shared" si="3"/>
        <v>10</v>
      </c>
    </row>
    <row r="4211">
      <c r="A4211" s="8" t="str">
        <f>IFERROR(__xludf.DUMMYFUNCTION("IF('(INGESTA)Datos_consumo_datadis'!A4211&lt;&gt;"""",SPLIT('(INGESTA)Datos_consumo_datadis'!A:A,"",""),"""")"),"ES0031408323131005HX0F")</f>
        <v>ES0031408323131005HX0F</v>
      </c>
      <c r="B4211" s="12">
        <f>IFERROR(__xludf.DUMMYFUNCTION("""COMPUTED_VALUE"""),45041.0)</f>
        <v>45041</v>
      </c>
      <c r="C4211" s="13">
        <f>IFERROR(__xludf.DUMMYFUNCTION("""COMPUTED_VALUE"""),0.4583333333333333)</f>
        <v>0.4583333333</v>
      </c>
      <c r="D4211" s="8">
        <f>IFERROR(__xludf.DUMMYFUNCTION("""COMPUTED_VALUE"""),0.017)</f>
        <v>0.017</v>
      </c>
      <c r="E4211" s="8" t="str">
        <f>IFERROR(__xludf.DUMMYFUNCTION("""COMPUTED_VALUE"""),"Real")</f>
        <v>Real</v>
      </c>
      <c r="G4211" s="8">
        <f t="shared" si="1"/>
        <v>4</v>
      </c>
      <c r="H4211" s="14">
        <f t="shared" si="2"/>
        <v>25</v>
      </c>
      <c r="I4211" s="15">
        <f t="shared" si="3"/>
        <v>11</v>
      </c>
    </row>
    <row r="4212">
      <c r="A4212" s="8" t="str">
        <f>IFERROR(__xludf.DUMMYFUNCTION("IF('(INGESTA)Datos_consumo_datadis'!A4212&lt;&gt;"""",SPLIT('(INGESTA)Datos_consumo_datadis'!A:A,"",""),"""")"),"ES0031408323131005HX0F")</f>
        <v>ES0031408323131005HX0F</v>
      </c>
      <c r="B4212" s="12">
        <f>IFERROR(__xludf.DUMMYFUNCTION("""COMPUTED_VALUE"""),45041.0)</f>
        <v>45041</v>
      </c>
      <c r="C4212" s="13">
        <f>IFERROR(__xludf.DUMMYFUNCTION("""COMPUTED_VALUE"""),0.5)</f>
        <v>0.5</v>
      </c>
      <c r="D4212" s="8">
        <f>IFERROR(__xludf.DUMMYFUNCTION("""COMPUTED_VALUE"""),0.422)</f>
        <v>0.422</v>
      </c>
      <c r="E4212" s="8" t="str">
        <f>IFERROR(__xludf.DUMMYFUNCTION("""COMPUTED_VALUE"""),"Real")</f>
        <v>Real</v>
      </c>
      <c r="G4212" s="8">
        <f t="shared" si="1"/>
        <v>4</v>
      </c>
      <c r="H4212" s="14">
        <f t="shared" si="2"/>
        <v>25</v>
      </c>
      <c r="I4212" s="15">
        <f t="shared" si="3"/>
        <v>12</v>
      </c>
    </row>
    <row r="4213">
      <c r="A4213" s="8" t="str">
        <f>IFERROR(__xludf.DUMMYFUNCTION("IF('(INGESTA)Datos_consumo_datadis'!A4213&lt;&gt;"""",SPLIT('(INGESTA)Datos_consumo_datadis'!A:A,"",""),"""")"),"ES0031408323131005HX0F")</f>
        <v>ES0031408323131005HX0F</v>
      </c>
      <c r="B4213" s="12">
        <f>IFERROR(__xludf.DUMMYFUNCTION("""COMPUTED_VALUE"""),45041.0)</f>
        <v>45041</v>
      </c>
      <c r="C4213" s="13">
        <f>IFERROR(__xludf.DUMMYFUNCTION("""COMPUTED_VALUE"""),0.5416666666666666)</f>
        <v>0.5416666667</v>
      </c>
      <c r="D4213" s="8">
        <f>IFERROR(__xludf.DUMMYFUNCTION("""COMPUTED_VALUE"""),0.805)</f>
        <v>0.805</v>
      </c>
      <c r="E4213" s="8" t="str">
        <f>IFERROR(__xludf.DUMMYFUNCTION("""COMPUTED_VALUE"""),"Real")</f>
        <v>Real</v>
      </c>
      <c r="G4213" s="8">
        <f t="shared" si="1"/>
        <v>4</v>
      </c>
      <c r="H4213" s="14">
        <f t="shared" si="2"/>
        <v>25</v>
      </c>
      <c r="I4213" s="15">
        <f t="shared" si="3"/>
        <v>13</v>
      </c>
    </row>
    <row r="4214">
      <c r="A4214" s="8" t="str">
        <f>IFERROR(__xludf.DUMMYFUNCTION("IF('(INGESTA)Datos_consumo_datadis'!A4214&lt;&gt;"""",SPLIT('(INGESTA)Datos_consumo_datadis'!A:A,"",""),"""")"),"ES0031408323131005HX0F")</f>
        <v>ES0031408323131005HX0F</v>
      </c>
      <c r="B4214" s="12">
        <f>IFERROR(__xludf.DUMMYFUNCTION("""COMPUTED_VALUE"""),45041.0)</f>
        <v>45041</v>
      </c>
      <c r="C4214" s="13">
        <f>IFERROR(__xludf.DUMMYFUNCTION("""COMPUTED_VALUE"""),0.5833333333333334)</f>
        <v>0.5833333333</v>
      </c>
      <c r="D4214" s="8">
        <f>IFERROR(__xludf.DUMMYFUNCTION("""COMPUTED_VALUE"""),1.101)</f>
        <v>1.101</v>
      </c>
      <c r="E4214" s="8" t="str">
        <f>IFERROR(__xludf.DUMMYFUNCTION("""COMPUTED_VALUE"""),"Real")</f>
        <v>Real</v>
      </c>
      <c r="G4214" s="8">
        <f t="shared" si="1"/>
        <v>4</v>
      </c>
      <c r="H4214" s="14">
        <f t="shared" si="2"/>
        <v>25</v>
      </c>
      <c r="I4214" s="15">
        <f t="shared" si="3"/>
        <v>14</v>
      </c>
    </row>
    <row r="4215">
      <c r="A4215" s="8" t="str">
        <f>IFERROR(__xludf.DUMMYFUNCTION("IF('(INGESTA)Datos_consumo_datadis'!A4215&lt;&gt;"""",SPLIT('(INGESTA)Datos_consumo_datadis'!A:A,"",""),"""")"),"ES0031408323131005HX0F")</f>
        <v>ES0031408323131005HX0F</v>
      </c>
      <c r="B4215" s="12">
        <f>IFERROR(__xludf.DUMMYFUNCTION("""COMPUTED_VALUE"""),45041.0)</f>
        <v>45041</v>
      </c>
      <c r="C4215" s="13">
        <f>IFERROR(__xludf.DUMMYFUNCTION("""COMPUTED_VALUE"""),0.625)</f>
        <v>0.625</v>
      </c>
      <c r="D4215" s="8">
        <f>IFERROR(__xludf.DUMMYFUNCTION("""COMPUTED_VALUE"""),0.067)</f>
        <v>0.067</v>
      </c>
      <c r="E4215" s="8" t="str">
        <f>IFERROR(__xludf.DUMMYFUNCTION("""COMPUTED_VALUE"""),"Real")</f>
        <v>Real</v>
      </c>
      <c r="G4215" s="8">
        <f t="shared" si="1"/>
        <v>4</v>
      </c>
      <c r="H4215" s="14">
        <f t="shared" si="2"/>
        <v>25</v>
      </c>
      <c r="I4215" s="15">
        <f t="shared" si="3"/>
        <v>15</v>
      </c>
    </row>
    <row r="4216">
      <c r="A4216" s="8" t="str">
        <f>IFERROR(__xludf.DUMMYFUNCTION("IF('(INGESTA)Datos_consumo_datadis'!A4216&lt;&gt;"""",SPLIT('(INGESTA)Datos_consumo_datadis'!A:A,"",""),"""")"),"ES0031408323131005HX0F")</f>
        <v>ES0031408323131005HX0F</v>
      </c>
      <c r="B4216" s="12">
        <f>IFERROR(__xludf.DUMMYFUNCTION("""COMPUTED_VALUE"""),45041.0)</f>
        <v>45041</v>
      </c>
      <c r="C4216" s="13">
        <f>IFERROR(__xludf.DUMMYFUNCTION("""COMPUTED_VALUE"""),0.6666666666666666)</f>
        <v>0.6666666667</v>
      </c>
      <c r="D4216" s="8">
        <f>IFERROR(__xludf.DUMMYFUNCTION("""COMPUTED_VALUE"""),0.061)</f>
        <v>0.061</v>
      </c>
      <c r="E4216" s="8" t="str">
        <f>IFERROR(__xludf.DUMMYFUNCTION("""COMPUTED_VALUE"""),"Real")</f>
        <v>Real</v>
      </c>
      <c r="G4216" s="8">
        <f t="shared" si="1"/>
        <v>4</v>
      </c>
      <c r="H4216" s="14">
        <f t="shared" si="2"/>
        <v>25</v>
      </c>
      <c r="I4216" s="15">
        <f t="shared" si="3"/>
        <v>16</v>
      </c>
    </row>
    <row r="4217">
      <c r="A4217" s="8" t="str">
        <f>IFERROR(__xludf.DUMMYFUNCTION("IF('(INGESTA)Datos_consumo_datadis'!A4217&lt;&gt;"""",SPLIT('(INGESTA)Datos_consumo_datadis'!A:A,"",""),"""")"),"ES0031408323131005HX0F")</f>
        <v>ES0031408323131005HX0F</v>
      </c>
      <c r="B4217" s="12">
        <f>IFERROR(__xludf.DUMMYFUNCTION("""COMPUTED_VALUE"""),45041.0)</f>
        <v>45041</v>
      </c>
      <c r="C4217" s="13">
        <f>IFERROR(__xludf.DUMMYFUNCTION("""COMPUTED_VALUE"""),0.7083333333333334)</f>
        <v>0.7083333333</v>
      </c>
      <c r="D4217" s="8">
        <f>IFERROR(__xludf.DUMMYFUNCTION("""COMPUTED_VALUE"""),0.373)</f>
        <v>0.373</v>
      </c>
      <c r="E4217" s="8" t="str">
        <f>IFERROR(__xludf.DUMMYFUNCTION("""COMPUTED_VALUE"""),"Real")</f>
        <v>Real</v>
      </c>
      <c r="G4217" s="8">
        <f t="shared" si="1"/>
        <v>4</v>
      </c>
      <c r="H4217" s="14">
        <f t="shared" si="2"/>
        <v>25</v>
      </c>
      <c r="I4217" s="15">
        <f t="shared" si="3"/>
        <v>17</v>
      </c>
    </row>
    <row r="4218">
      <c r="A4218" s="8" t="str">
        <f>IFERROR(__xludf.DUMMYFUNCTION("IF('(INGESTA)Datos_consumo_datadis'!A4218&lt;&gt;"""",SPLIT('(INGESTA)Datos_consumo_datadis'!A:A,"",""),"""")"),"ES0031408323131005HX0F")</f>
        <v>ES0031408323131005HX0F</v>
      </c>
      <c r="B4218" s="12">
        <f>IFERROR(__xludf.DUMMYFUNCTION("""COMPUTED_VALUE"""),45041.0)</f>
        <v>45041</v>
      </c>
      <c r="C4218" s="13">
        <f>IFERROR(__xludf.DUMMYFUNCTION("""COMPUTED_VALUE"""),0.75)</f>
        <v>0.75</v>
      </c>
      <c r="D4218" s="8">
        <f>IFERROR(__xludf.DUMMYFUNCTION("""COMPUTED_VALUE"""),0.062)</f>
        <v>0.062</v>
      </c>
      <c r="E4218" s="8" t="str">
        <f>IFERROR(__xludf.DUMMYFUNCTION("""COMPUTED_VALUE"""),"Real")</f>
        <v>Real</v>
      </c>
      <c r="G4218" s="8">
        <f t="shared" si="1"/>
        <v>4</v>
      </c>
      <c r="H4218" s="14">
        <f t="shared" si="2"/>
        <v>25</v>
      </c>
      <c r="I4218" s="15">
        <f t="shared" si="3"/>
        <v>18</v>
      </c>
    </row>
    <row r="4219">
      <c r="A4219" s="8" t="str">
        <f>IFERROR(__xludf.DUMMYFUNCTION("IF('(INGESTA)Datos_consumo_datadis'!A4219&lt;&gt;"""",SPLIT('(INGESTA)Datos_consumo_datadis'!A:A,"",""),"""")"),"ES0031408323131005HX0F")</f>
        <v>ES0031408323131005HX0F</v>
      </c>
      <c r="B4219" s="12">
        <f>IFERROR(__xludf.DUMMYFUNCTION("""COMPUTED_VALUE"""),45041.0)</f>
        <v>45041</v>
      </c>
      <c r="C4219" s="13">
        <f>IFERROR(__xludf.DUMMYFUNCTION("""COMPUTED_VALUE"""),0.7916666666666666)</f>
        <v>0.7916666667</v>
      </c>
      <c r="D4219" s="8">
        <f>IFERROR(__xludf.DUMMYFUNCTION("""COMPUTED_VALUE"""),0.018)</f>
        <v>0.018</v>
      </c>
      <c r="E4219" s="8" t="str">
        <f>IFERROR(__xludf.DUMMYFUNCTION("""COMPUTED_VALUE"""),"Real")</f>
        <v>Real</v>
      </c>
      <c r="G4219" s="8">
        <f t="shared" si="1"/>
        <v>4</v>
      </c>
      <c r="H4219" s="14">
        <f t="shared" si="2"/>
        <v>25</v>
      </c>
      <c r="I4219" s="15">
        <f t="shared" si="3"/>
        <v>19</v>
      </c>
    </row>
    <row r="4220">
      <c r="A4220" s="8" t="str">
        <f>IFERROR(__xludf.DUMMYFUNCTION("IF('(INGESTA)Datos_consumo_datadis'!A4220&lt;&gt;"""",SPLIT('(INGESTA)Datos_consumo_datadis'!A:A,"",""),"""")"),"ES0031408323131005HX0F")</f>
        <v>ES0031408323131005HX0F</v>
      </c>
      <c r="B4220" s="12">
        <f>IFERROR(__xludf.DUMMYFUNCTION("""COMPUTED_VALUE"""),45041.0)</f>
        <v>45041</v>
      </c>
      <c r="C4220" s="13">
        <f>IFERROR(__xludf.DUMMYFUNCTION("""COMPUTED_VALUE"""),0.8333333333333334)</f>
        <v>0.8333333333</v>
      </c>
      <c r="D4220" s="8">
        <f>IFERROR(__xludf.DUMMYFUNCTION("""COMPUTED_VALUE"""),0.098)</f>
        <v>0.098</v>
      </c>
      <c r="E4220" s="8" t="str">
        <f>IFERROR(__xludf.DUMMYFUNCTION("""COMPUTED_VALUE"""),"Real")</f>
        <v>Real</v>
      </c>
      <c r="G4220" s="8">
        <f t="shared" si="1"/>
        <v>4</v>
      </c>
      <c r="H4220" s="14">
        <f t="shared" si="2"/>
        <v>25</v>
      </c>
      <c r="I4220" s="15">
        <f t="shared" si="3"/>
        <v>20</v>
      </c>
    </row>
    <row r="4221">
      <c r="A4221" s="8" t="str">
        <f>IFERROR(__xludf.DUMMYFUNCTION("IF('(INGESTA)Datos_consumo_datadis'!A4221&lt;&gt;"""",SPLIT('(INGESTA)Datos_consumo_datadis'!A:A,"",""),"""")"),"ES0031408323131005HX0F")</f>
        <v>ES0031408323131005HX0F</v>
      </c>
      <c r="B4221" s="12">
        <f>IFERROR(__xludf.DUMMYFUNCTION("""COMPUTED_VALUE"""),45041.0)</f>
        <v>45041</v>
      </c>
      <c r="C4221" s="13">
        <f>IFERROR(__xludf.DUMMYFUNCTION("""COMPUTED_VALUE"""),0.875)</f>
        <v>0.875</v>
      </c>
      <c r="D4221" s="8">
        <f>IFERROR(__xludf.DUMMYFUNCTION("""COMPUTED_VALUE"""),0.927)</f>
        <v>0.927</v>
      </c>
      <c r="E4221" s="8" t="str">
        <f>IFERROR(__xludf.DUMMYFUNCTION("""COMPUTED_VALUE"""),"Real")</f>
        <v>Real</v>
      </c>
      <c r="G4221" s="8">
        <f t="shared" si="1"/>
        <v>4</v>
      </c>
      <c r="H4221" s="14">
        <f t="shared" si="2"/>
        <v>25</v>
      </c>
      <c r="I4221" s="15">
        <f t="shared" si="3"/>
        <v>21</v>
      </c>
    </row>
    <row r="4222">
      <c r="A4222" s="8" t="str">
        <f>IFERROR(__xludf.DUMMYFUNCTION("IF('(INGESTA)Datos_consumo_datadis'!A4222&lt;&gt;"""",SPLIT('(INGESTA)Datos_consumo_datadis'!A:A,"",""),"""")"),"ES0031408323131005HX0F")</f>
        <v>ES0031408323131005HX0F</v>
      </c>
      <c r="B4222" s="12">
        <f>IFERROR(__xludf.DUMMYFUNCTION("""COMPUTED_VALUE"""),45041.0)</f>
        <v>45041</v>
      </c>
      <c r="C4222" s="13">
        <f>IFERROR(__xludf.DUMMYFUNCTION("""COMPUTED_VALUE"""),0.9166666666666666)</f>
        <v>0.9166666667</v>
      </c>
      <c r="D4222" s="8">
        <f>IFERROR(__xludf.DUMMYFUNCTION("""COMPUTED_VALUE"""),2.458)</f>
        <v>2.458</v>
      </c>
      <c r="E4222" s="8" t="str">
        <f>IFERROR(__xludf.DUMMYFUNCTION("""COMPUTED_VALUE"""),"Real")</f>
        <v>Real</v>
      </c>
      <c r="G4222" s="8">
        <f t="shared" si="1"/>
        <v>4</v>
      </c>
      <c r="H4222" s="14">
        <f t="shared" si="2"/>
        <v>25</v>
      </c>
      <c r="I4222" s="15">
        <f t="shared" si="3"/>
        <v>22</v>
      </c>
    </row>
    <row r="4223">
      <c r="A4223" s="8" t="str">
        <f>IFERROR(__xludf.DUMMYFUNCTION("IF('(INGESTA)Datos_consumo_datadis'!A4223&lt;&gt;"""",SPLIT('(INGESTA)Datos_consumo_datadis'!A:A,"",""),"""")"),"ES0031408323131005HX0F")</f>
        <v>ES0031408323131005HX0F</v>
      </c>
      <c r="B4223" s="12">
        <f>IFERROR(__xludf.DUMMYFUNCTION("""COMPUTED_VALUE"""),45041.0)</f>
        <v>45041</v>
      </c>
      <c r="C4223" s="13">
        <f>IFERROR(__xludf.DUMMYFUNCTION("""COMPUTED_VALUE"""),0.9583333333333334)</f>
        <v>0.9583333333</v>
      </c>
      <c r="D4223" s="8">
        <f>IFERROR(__xludf.DUMMYFUNCTION("""COMPUTED_VALUE"""),1.305)</f>
        <v>1.305</v>
      </c>
      <c r="E4223" s="8" t="str">
        <f>IFERROR(__xludf.DUMMYFUNCTION("""COMPUTED_VALUE"""),"Real")</f>
        <v>Real</v>
      </c>
      <c r="G4223" s="8">
        <f t="shared" si="1"/>
        <v>4</v>
      </c>
      <c r="H4223" s="14">
        <f t="shared" si="2"/>
        <v>25</v>
      </c>
      <c r="I4223" s="15">
        <f t="shared" si="3"/>
        <v>23</v>
      </c>
    </row>
    <row r="4224">
      <c r="A4224" s="8" t="str">
        <f>IFERROR(__xludf.DUMMYFUNCTION("IF('(INGESTA)Datos_consumo_datadis'!A4224&lt;&gt;"""",SPLIT('(INGESTA)Datos_consumo_datadis'!A:A,"",""),"""")"),"ES0031408323131005HX0F")</f>
        <v>ES0031408323131005HX0F</v>
      </c>
      <c r="B4224" s="12">
        <f>IFERROR(__xludf.DUMMYFUNCTION("""COMPUTED_VALUE"""),45041.0)</f>
        <v>45041</v>
      </c>
      <c r="C4224" s="16">
        <f>IFERROR(__xludf.DUMMYFUNCTION("""COMPUTED_VALUE"""),1.0)</f>
        <v>1</v>
      </c>
      <c r="D4224" s="8">
        <f>IFERROR(__xludf.DUMMYFUNCTION("""COMPUTED_VALUE"""),0.863)</f>
        <v>0.863</v>
      </c>
      <c r="E4224" s="8" t="str">
        <f>IFERROR(__xludf.DUMMYFUNCTION("""COMPUTED_VALUE"""),"Real")</f>
        <v>Real</v>
      </c>
      <c r="G4224" s="8">
        <f t="shared" si="1"/>
        <v>4</v>
      </c>
      <c r="H4224" s="14">
        <f t="shared" si="2"/>
        <v>25</v>
      </c>
      <c r="I4224" s="15">
        <f t="shared" si="3"/>
        <v>0</v>
      </c>
    </row>
    <row r="4225">
      <c r="A4225" s="8" t="str">
        <f>IFERROR(__xludf.DUMMYFUNCTION("IF('(INGESTA)Datos_consumo_datadis'!A4225&lt;&gt;"""",SPLIT('(INGESTA)Datos_consumo_datadis'!A:A,"",""),"""")"),"ES0031408323131005HX0F")</f>
        <v>ES0031408323131005HX0F</v>
      </c>
      <c r="B4225" s="12">
        <f>IFERROR(__xludf.DUMMYFUNCTION("""COMPUTED_VALUE"""),45042.0)</f>
        <v>45042</v>
      </c>
      <c r="C4225" s="13">
        <f>IFERROR(__xludf.DUMMYFUNCTION("""COMPUTED_VALUE"""),0.041666666666666664)</f>
        <v>0.04166666667</v>
      </c>
      <c r="D4225" s="8">
        <f>IFERROR(__xludf.DUMMYFUNCTION("""COMPUTED_VALUE"""),0.084)</f>
        <v>0.084</v>
      </c>
      <c r="E4225" s="8" t="str">
        <f>IFERROR(__xludf.DUMMYFUNCTION("""COMPUTED_VALUE"""),"Real")</f>
        <v>Real</v>
      </c>
      <c r="G4225" s="8">
        <f t="shared" si="1"/>
        <v>4</v>
      </c>
      <c r="H4225" s="14">
        <f t="shared" si="2"/>
        <v>26</v>
      </c>
      <c r="I4225" s="15">
        <f t="shared" si="3"/>
        <v>1</v>
      </c>
    </row>
    <row r="4226">
      <c r="A4226" s="8" t="str">
        <f>IFERROR(__xludf.DUMMYFUNCTION("IF('(INGESTA)Datos_consumo_datadis'!A4226&lt;&gt;"""",SPLIT('(INGESTA)Datos_consumo_datadis'!A:A,"",""),"""")"),"ES0031408323131005HX0F")</f>
        <v>ES0031408323131005HX0F</v>
      </c>
      <c r="B4226" s="12">
        <f>IFERROR(__xludf.DUMMYFUNCTION("""COMPUTED_VALUE"""),45042.0)</f>
        <v>45042</v>
      </c>
      <c r="C4226" s="13">
        <f>IFERROR(__xludf.DUMMYFUNCTION("""COMPUTED_VALUE"""),0.08333333333333333)</f>
        <v>0.08333333333</v>
      </c>
      <c r="D4226" s="8">
        <f>IFERROR(__xludf.DUMMYFUNCTION("""COMPUTED_VALUE"""),0.084)</f>
        <v>0.084</v>
      </c>
      <c r="E4226" s="8" t="str">
        <f>IFERROR(__xludf.DUMMYFUNCTION("""COMPUTED_VALUE"""),"Real")</f>
        <v>Real</v>
      </c>
      <c r="G4226" s="8">
        <f t="shared" si="1"/>
        <v>4</v>
      </c>
      <c r="H4226" s="14">
        <f t="shared" si="2"/>
        <v>26</v>
      </c>
      <c r="I4226" s="15">
        <f t="shared" si="3"/>
        <v>2</v>
      </c>
    </row>
    <row r="4227">
      <c r="A4227" s="8" t="str">
        <f>IFERROR(__xludf.DUMMYFUNCTION("IF('(INGESTA)Datos_consumo_datadis'!A4227&lt;&gt;"""",SPLIT('(INGESTA)Datos_consumo_datadis'!A:A,"",""),"""")"),"ES0031408323131005HX0F")</f>
        <v>ES0031408323131005HX0F</v>
      </c>
      <c r="B4227" s="12">
        <f>IFERROR(__xludf.DUMMYFUNCTION("""COMPUTED_VALUE"""),45042.0)</f>
        <v>45042</v>
      </c>
      <c r="C4227" s="13">
        <f>IFERROR(__xludf.DUMMYFUNCTION("""COMPUTED_VALUE"""),0.125)</f>
        <v>0.125</v>
      </c>
      <c r="D4227" s="8">
        <f>IFERROR(__xludf.DUMMYFUNCTION("""COMPUTED_VALUE"""),0.041)</f>
        <v>0.041</v>
      </c>
      <c r="E4227" s="8" t="str">
        <f>IFERROR(__xludf.DUMMYFUNCTION("""COMPUTED_VALUE"""),"Real")</f>
        <v>Real</v>
      </c>
      <c r="G4227" s="8">
        <f t="shared" si="1"/>
        <v>4</v>
      </c>
      <c r="H4227" s="14">
        <f t="shared" si="2"/>
        <v>26</v>
      </c>
      <c r="I4227" s="15">
        <f t="shared" si="3"/>
        <v>3</v>
      </c>
    </row>
    <row r="4228">
      <c r="A4228" s="8" t="str">
        <f>IFERROR(__xludf.DUMMYFUNCTION("IF('(INGESTA)Datos_consumo_datadis'!A4228&lt;&gt;"""",SPLIT('(INGESTA)Datos_consumo_datadis'!A:A,"",""),"""")"),"ES0031408323131005HX0F")</f>
        <v>ES0031408323131005HX0F</v>
      </c>
      <c r="B4228" s="12">
        <f>IFERROR(__xludf.DUMMYFUNCTION("""COMPUTED_VALUE"""),45042.0)</f>
        <v>45042</v>
      </c>
      <c r="C4228" s="13">
        <f>IFERROR(__xludf.DUMMYFUNCTION("""COMPUTED_VALUE"""),0.16666666666666666)</f>
        <v>0.1666666667</v>
      </c>
      <c r="D4228" s="8">
        <f>IFERROR(__xludf.DUMMYFUNCTION("""COMPUTED_VALUE"""),0.069)</f>
        <v>0.069</v>
      </c>
      <c r="E4228" s="8" t="str">
        <f>IFERROR(__xludf.DUMMYFUNCTION("""COMPUTED_VALUE"""),"Real")</f>
        <v>Real</v>
      </c>
      <c r="G4228" s="8">
        <f t="shared" si="1"/>
        <v>4</v>
      </c>
      <c r="H4228" s="14">
        <f t="shared" si="2"/>
        <v>26</v>
      </c>
      <c r="I4228" s="15">
        <f t="shared" si="3"/>
        <v>4</v>
      </c>
    </row>
    <row r="4229">
      <c r="A4229" s="8" t="str">
        <f>IFERROR(__xludf.DUMMYFUNCTION("IF('(INGESTA)Datos_consumo_datadis'!A4229&lt;&gt;"""",SPLIT('(INGESTA)Datos_consumo_datadis'!A:A,"",""),"""")"),"ES0031408323131005HX0F")</f>
        <v>ES0031408323131005HX0F</v>
      </c>
      <c r="B4229" s="12">
        <f>IFERROR(__xludf.DUMMYFUNCTION("""COMPUTED_VALUE"""),45042.0)</f>
        <v>45042</v>
      </c>
      <c r="C4229" s="13">
        <f>IFERROR(__xludf.DUMMYFUNCTION("""COMPUTED_VALUE"""),0.20833333333333334)</f>
        <v>0.2083333333</v>
      </c>
      <c r="D4229" s="8">
        <f>IFERROR(__xludf.DUMMYFUNCTION("""COMPUTED_VALUE"""),0.339)</f>
        <v>0.339</v>
      </c>
      <c r="E4229" s="8" t="str">
        <f>IFERROR(__xludf.DUMMYFUNCTION("""COMPUTED_VALUE"""),"Real")</f>
        <v>Real</v>
      </c>
      <c r="G4229" s="8">
        <f t="shared" si="1"/>
        <v>4</v>
      </c>
      <c r="H4229" s="14">
        <f t="shared" si="2"/>
        <v>26</v>
      </c>
      <c r="I4229" s="15">
        <f t="shared" si="3"/>
        <v>5</v>
      </c>
    </row>
    <row r="4230">
      <c r="A4230" s="8" t="str">
        <f>IFERROR(__xludf.DUMMYFUNCTION("IF('(INGESTA)Datos_consumo_datadis'!A4230&lt;&gt;"""",SPLIT('(INGESTA)Datos_consumo_datadis'!A:A,"",""),"""")"),"ES0031408323131005HX0F")</f>
        <v>ES0031408323131005HX0F</v>
      </c>
      <c r="B4230" s="12">
        <f>IFERROR(__xludf.DUMMYFUNCTION("""COMPUTED_VALUE"""),45042.0)</f>
        <v>45042</v>
      </c>
      <c r="C4230" s="13">
        <f>IFERROR(__xludf.DUMMYFUNCTION("""COMPUTED_VALUE"""),0.25)</f>
        <v>0.25</v>
      </c>
      <c r="D4230" s="8">
        <f>IFERROR(__xludf.DUMMYFUNCTION("""COMPUTED_VALUE"""),0.1)</f>
        <v>0.1</v>
      </c>
      <c r="E4230" s="8" t="str">
        <f>IFERROR(__xludf.DUMMYFUNCTION("""COMPUTED_VALUE"""),"Real")</f>
        <v>Real</v>
      </c>
      <c r="G4230" s="8">
        <f t="shared" si="1"/>
        <v>4</v>
      </c>
      <c r="H4230" s="14">
        <f t="shared" si="2"/>
        <v>26</v>
      </c>
      <c r="I4230" s="15">
        <f t="shared" si="3"/>
        <v>6</v>
      </c>
    </row>
    <row r="4231">
      <c r="A4231" s="8" t="str">
        <f>IFERROR(__xludf.DUMMYFUNCTION("IF('(INGESTA)Datos_consumo_datadis'!A4231&lt;&gt;"""",SPLIT('(INGESTA)Datos_consumo_datadis'!A:A,"",""),"""")"),"ES0031408323131005HX0F")</f>
        <v>ES0031408323131005HX0F</v>
      </c>
      <c r="B4231" s="12">
        <f>IFERROR(__xludf.DUMMYFUNCTION("""COMPUTED_VALUE"""),45042.0)</f>
        <v>45042</v>
      </c>
      <c r="C4231" s="13">
        <f>IFERROR(__xludf.DUMMYFUNCTION("""COMPUTED_VALUE"""),0.2916666666666667)</f>
        <v>0.2916666667</v>
      </c>
      <c r="D4231" s="8">
        <f>IFERROR(__xludf.DUMMYFUNCTION("""COMPUTED_VALUE"""),0.048)</f>
        <v>0.048</v>
      </c>
      <c r="E4231" s="8" t="str">
        <f>IFERROR(__xludf.DUMMYFUNCTION("""COMPUTED_VALUE"""),"Real")</f>
        <v>Real</v>
      </c>
      <c r="G4231" s="8">
        <f t="shared" si="1"/>
        <v>4</v>
      </c>
      <c r="H4231" s="14">
        <f t="shared" si="2"/>
        <v>26</v>
      </c>
      <c r="I4231" s="15">
        <f t="shared" si="3"/>
        <v>7</v>
      </c>
    </row>
    <row r="4232">
      <c r="A4232" s="8" t="str">
        <f>IFERROR(__xludf.DUMMYFUNCTION("IF('(INGESTA)Datos_consumo_datadis'!A4232&lt;&gt;"""",SPLIT('(INGESTA)Datos_consumo_datadis'!A:A,"",""),"""")"),"ES0031408323131005HX0F")</f>
        <v>ES0031408323131005HX0F</v>
      </c>
      <c r="B4232" s="12">
        <f>IFERROR(__xludf.DUMMYFUNCTION("""COMPUTED_VALUE"""),45042.0)</f>
        <v>45042</v>
      </c>
      <c r="C4232" s="13">
        <f>IFERROR(__xludf.DUMMYFUNCTION("""COMPUTED_VALUE"""),0.3333333333333333)</f>
        <v>0.3333333333</v>
      </c>
      <c r="D4232" s="8">
        <f>IFERROR(__xludf.DUMMYFUNCTION("""COMPUTED_VALUE"""),0.518)</f>
        <v>0.518</v>
      </c>
      <c r="E4232" s="8" t="str">
        <f>IFERROR(__xludf.DUMMYFUNCTION("""COMPUTED_VALUE"""),"Real")</f>
        <v>Real</v>
      </c>
      <c r="G4232" s="8">
        <f t="shared" si="1"/>
        <v>4</v>
      </c>
      <c r="H4232" s="14">
        <f t="shared" si="2"/>
        <v>26</v>
      </c>
      <c r="I4232" s="15">
        <f t="shared" si="3"/>
        <v>8</v>
      </c>
    </row>
    <row r="4233">
      <c r="A4233" s="8" t="str">
        <f>IFERROR(__xludf.DUMMYFUNCTION("IF('(INGESTA)Datos_consumo_datadis'!A4233&lt;&gt;"""",SPLIT('(INGESTA)Datos_consumo_datadis'!A:A,"",""),"""")"),"ES0031408323131005HX0F")</f>
        <v>ES0031408323131005HX0F</v>
      </c>
      <c r="B4233" s="12">
        <f>IFERROR(__xludf.DUMMYFUNCTION("""COMPUTED_VALUE"""),45042.0)</f>
        <v>45042</v>
      </c>
      <c r="C4233" s="13">
        <f>IFERROR(__xludf.DUMMYFUNCTION("""COMPUTED_VALUE"""),0.375)</f>
        <v>0.375</v>
      </c>
      <c r="D4233" s="8">
        <f>IFERROR(__xludf.DUMMYFUNCTION("""COMPUTED_VALUE"""),0.365)</f>
        <v>0.365</v>
      </c>
      <c r="E4233" s="8" t="str">
        <f>IFERROR(__xludf.DUMMYFUNCTION("""COMPUTED_VALUE"""),"Real")</f>
        <v>Real</v>
      </c>
      <c r="G4233" s="8">
        <f t="shared" si="1"/>
        <v>4</v>
      </c>
      <c r="H4233" s="14">
        <f t="shared" si="2"/>
        <v>26</v>
      </c>
      <c r="I4233" s="15">
        <f t="shared" si="3"/>
        <v>9</v>
      </c>
    </row>
    <row r="4234">
      <c r="A4234" s="8" t="str">
        <f>IFERROR(__xludf.DUMMYFUNCTION("IF('(INGESTA)Datos_consumo_datadis'!A4234&lt;&gt;"""",SPLIT('(INGESTA)Datos_consumo_datadis'!A:A,"",""),"""")"),"ES0031408323131005HX0F")</f>
        <v>ES0031408323131005HX0F</v>
      </c>
      <c r="B4234" s="12">
        <f>IFERROR(__xludf.DUMMYFUNCTION("""COMPUTED_VALUE"""),45042.0)</f>
        <v>45042</v>
      </c>
      <c r="C4234" s="13">
        <f>IFERROR(__xludf.DUMMYFUNCTION("""COMPUTED_VALUE"""),0.4166666666666667)</f>
        <v>0.4166666667</v>
      </c>
      <c r="D4234" s="8">
        <f>IFERROR(__xludf.DUMMYFUNCTION("""COMPUTED_VALUE"""),0.062)</f>
        <v>0.062</v>
      </c>
      <c r="E4234" s="8" t="str">
        <f>IFERROR(__xludf.DUMMYFUNCTION("""COMPUTED_VALUE"""),"Real")</f>
        <v>Real</v>
      </c>
      <c r="G4234" s="8">
        <f t="shared" si="1"/>
        <v>4</v>
      </c>
      <c r="H4234" s="14">
        <f t="shared" si="2"/>
        <v>26</v>
      </c>
      <c r="I4234" s="15">
        <f t="shared" si="3"/>
        <v>10</v>
      </c>
    </row>
    <row r="4235">
      <c r="A4235" s="8" t="str">
        <f>IFERROR(__xludf.DUMMYFUNCTION("IF('(INGESTA)Datos_consumo_datadis'!A4235&lt;&gt;"""",SPLIT('(INGESTA)Datos_consumo_datadis'!A:A,"",""),"""")"),"ES0031408323131005HX0F")</f>
        <v>ES0031408323131005HX0F</v>
      </c>
      <c r="B4235" s="12">
        <f>IFERROR(__xludf.DUMMYFUNCTION("""COMPUTED_VALUE"""),45042.0)</f>
        <v>45042</v>
      </c>
      <c r="C4235" s="13">
        <f>IFERROR(__xludf.DUMMYFUNCTION("""COMPUTED_VALUE"""),0.4583333333333333)</f>
        <v>0.4583333333</v>
      </c>
      <c r="D4235" s="8">
        <f>IFERROR(__xludf.DUMMYFUNCTION("""COMPUTED_VALUE"""),0.175)</f>
        <v>0.175</v>
      </c>
      <c r="E4235" s="8" t="str">
        <f>IFERROR(__xludf.DUMMYFUNCTION("""COMPUTED_VALUE"""),"Real")</f>
        <v>Real</v>
      </c>
      <c r="G4235" s="8">
        <f t="shared" si="1"/>
        <v>4</v>
      </c>
      <c r="H4235" s="14">
        <f t="shared" si="2"/>
        <v>26</v>
      </c>
      <c r="I4235" s="15">
        <f t="shared" si="3"/>
        <v>11</v>
      </c>
    </row>
    <row r="4236">
      <c r="A4236" s="8" t="str">
        <f>IFERROR(__xludf.DUMMYFUNCTION("IF('(INGESTA)Datos_consumo_datadis'!A4236&lt;&gt;"""",SPLIT('(INGESTA)Datos_consumo_datadis'!A:A,"",""),"""")"),"ES0031408323131005HX0F")</f>
        <v>ES0031408323131005HX0F</v>
      </c>
      <c r="B4236" s="12">
        <f>IFERROR(__xludf.DUMMYFUNCTION("""COMPUTED_VALUE"""),45042.0)</f>
        <v>45042</v>
      </c>
      <c r="C4236" s="13">
        <f>IFERROR(__xludf.DUMMYFUNCTION("""COMPUTED_VALUE"""),0.5)</f>
        <v>0.5</v>
      </c>
      <c r="D4236" s="8">
        <f>IFERROR(__xludf.DUMMYFUNCTION("""COMPUTED_VALUE"""),0.401)</f>
        <v>0.401</v>
      </c>
      <c r="E4236" s="8" t="str">
        <f>IFERROR(__xludf.DUMMYFUNCTION("""COMPUTED_VALUE"""),"Real")</f>
        <v>Real</v>
      </c>
      <c r="G4236" s="8">
        <f t="shared" si="1"/>
        <v>4</v>
      </c>
      <c r="H4236" s="14">
        <f t="shared" si="2"/>
        <v>26</v>
      </c>
      <c r="I4236" s="15">
        <f t="shared" si="3"/>
        <v>12</v>
      </c>
    </row>
    <row r="4237">
      <c r="A4237" s="8" t="str">
        <f>IFERROR(__xludf.DUMMYFUNCTION("IF('(INGESTA)Datos_consumo_datadis'!A4237&lt;&gt;"""",SPLIT('(INGESTA)Datos_consumo_datadis'!A:A,"",""),"""")"),"ES0031408323131005HX0F")</f>
        <v>ES0031408323131005HX0F</v>
      </c>
      <c r="B4237" s="12">
        <f>IFERROR(__xludf.DUMMYFUNCTION("""COMPUTED_VALUE"""),45042.0)</f>
        <v>45042</v>
      </c>
      <c r="C4237" s="13">
        <f>IFERROR(__xludf.DUMMYFUNCTION("""COMPUTED_VALUE"""),0.5416666666666666)</f>
        <v>0.5416666667</v>
      </c>
      <c r="D4237" s="8">
        <f>IFERROR(__xludf.DUMMYFUNCTION("""COMPUTED_VALUE"""),0.038)</f>
        <v>0.038</v>
      </c>
      <c r="E4237" s="8" t="str">
        <f>IFERROR(__xludf.DUMMYFUNCTION("""COMPUTED_VALUE"""),"Real")</f>
        <v>Real</v>
      </c>
      <c r="G4237" s="8">
        <f t="shared" si="1"/>
        <v>4</v>
      </c>
      <c r="H4237" s="14">
        <f t="shared" si="2"/>
        <v>26</v>
      </c>
      <c r="I4237" s="15">
        <f t="shared" si="3"/>
        <v>13</v>
      </c>
    </row>
    <row r="4238">
      <c r="A4238" s="8" t="str">
        <f>IFERROR(__xludf.DUMMYFUNCTION("IF('(INGESTA)Datos_consumo_datadis'!A4238&lt;&gt;"""",SPLIT('(INGESTA)Datos_consumo_datadis'!A:A,"",""),"""")"),"ES0031408323131005HX0F")</f>
        <v>ES0031408323131005HX0F</v>
      </c>
      <c r="B4238" s="12">
        <f>IFERROR(__xludf.DUMMYFUNCTION("""COMPUTED_VALUE"""),45042.0)</f>
        <v>45042</v>
      </c>
      <c r="C4238" s="13">
        <f>IFERROR(__xludf.DUMMYFUNCTION("""COMPUTED_VALUE"""),0.5833333333333334)</f>
        <v>0.5833333333</v>
      </c>
      <c r="D4238" s="8">
        <f>IFERROR(__xludf.DUMMYFUNCTION("""COMPUTED_VALUE"""),0.047)</f>
        <v>0.047</v>
      </c>
      <c r="E4238" s="8" t="str">
        <f>IFERROR(__xludf.DUMMYFUNCTION("""COMPUTED_VALUE"""),"Real")</f>
        <v>Real</v>
      </c>
      <c r="G4238" s="8">
        <f t="shared" si="1"/>
        <v>4</v>
      </c>
      <c r="H4238" s="14">
        <f t="shared" si="2"/>
        <v>26</v>
      </c>
      <c r="I4238" s="15">
        <f t="shared" si="3"/>
        <v>14</v>
      </c>
    </row>
    <row r="4239">
      <c r="A4239" s="8" t="str">
        <f>IFERROR(__xludf.DUMMYFUNCTION("IF('(INGESTA)Datos_consumo_datadis'!A4239&lt;&gt;"""",SPLIT('(INGESTA)Datos_consumo_datadis'!A:A,"",""),"""")"),"ES0031408323131005HX0F")</f>
        <v>ES0031408323131005HX0F</v>
      </c>
      <c r="B4239" s="12">
        <f>IFERROR(__xludf.DUMMYFUNCTION("""COMPUTED_VALUE"""),45042.0)</f>
        <v>45042</v>
      </c>
      <c r="C4239" s="13">
        <f>IFERROR(__xludf.DUMMYFUNCTION("""COMPUTED_VALUE"""),0.625)</f>
        <v>0.625</v>
      </c>
      <c r="D4239" s="8">
        <f>IFERROR(__xludf.DUMMYFUNCTION("""COMPUTED_VALUE"""),0.233)</f>
        <v>0.233</v>
      </c>
      <c r="E4239" s="8" t="str">
        <f>IFERROR(__xludf.DUMMYFUNCTION("""COMPUTED_VALUE"""),"Real")</f>
        <v>Real</v>
      </c>
      <c r="G4239" s="8">
        <f t="shared" si="1"/>
        <v>4</v>
      </c>
      <c r="H4239" s="14">
        <f t="shared" si="2"/>
        <v>26</v>
      </c>
      <c r="I4239" s="15">
        <f t="shared" si="3"/>
        <v>15</v>
      </c>
    </row>
    <row r="4240">
      <c r="A4240" s="8" t="str">
        <f>IFERROR(__xludf.DUMMYFUNCTION("IF('(INGESTA)Datos_consumo_datadis'!A4240&lt;&gt;"""",SPLIT('(INGESTA)Datos_consumo_datadis'!A:A,"",""),"""")"),"ES0031408323131005HX0F")</f>
        <v>ES0031408323131005HX0F</v>
      </c>
      <c r="B4240" s="12">
        <f>IFERROR(__xludf.DUMMYFUNCTION("""COMPUTED_VALUE"""),45042.0)</f>
        <v>45042</v>
      </c>
      <c r="C4240" s="13">
        <f>IFERROR(__xludf.DUMMYFUNCTION("""COMPUTED_VALUE"""),0.6666666666666666)</f>
        <v>0.6666666667</v>
      </c>
      <c r="D4240" s="8">
        <f>IFERROR(__xludf.DUMMYFUNCTION("""COMPUTED_VALUE"""),0.753)</f>
        <v>0.753</v>
      </c>
      <c r="E4240" s="8" t="str">
        <f>IFERROR(__xludf.DUMMYFUNCTION("""COMPUTED_VALUE"""),"Real")</f>
        <v>Real</v>
      </c>
      <c r="G4240" s="8">
        <f t="shared" si="1"/>
        <v>4</v>
      </c>
      <c r="H4240" s="14">
        <f t="shared" si="2"/>
        <v>26</v>
      </c>
      <c r="I4240" s="15">
        <f t="shared" si="3"/>
        <v>16</v>
      </c>
    </row>
    <row r="4241">
      <c r="A4241" s="8" t="str">
        <f>IFERROR(__xludf.DUMMYFUNCTION("IF('(INGESTA)Datos_consumo_datadis'!A4241&lt;&gt;"""",SPLIT('(INGESTA)Datos_consumo_datadis'!A:A,"",""),"""")"),"ES0031408323131005HX0F")</f>
        <v>ES0031408323131005HX0F</v>
      </c>
      <c r="B4241" s="12">
        <f>IFERROR(__xludf.DUMMYFUNCTION("""COMPUTED_VALUE"""),45042.0)</f>
        <v>45042</v>
      </c>
      <c r="C4241" s="13">
        <f>IFERROR(__xludf.DUMMYFUNCTION("""COMPUTED_VALUE"""),0.7083333333333334)</f>
        <v>0.7083333333</v>
      </c>
      <c r="D4241" s="8">
        <f>IFERROR(__xludf.DUMMYFUNCTION("""COMPUTED_VALUE"""),0.036)</f>
        <v>0.036</v>
      </c>
      <c r="E4241" s="8" t="str">
        <f>IFERROR(__xludf.DUMMYFUNCTION("""COMPUTED_VALUE"""),"Real")</f>
        <v>Real</v>
      </c>
      <c r="G4241" s="8">
        <f t="shared" si="1"/>
        <v>4</v>
      </c>
      <c r="H4241" s="14">
        <f t="shared" si="2"/>
        <v>26</v>
      </c>
      <c r="I4241" s="15">
        <f t="shared" si="3"/>
        <v>17</v>
      </c>
    </row>
    <row r="4242">
      <c r="A4242" s="8" t="str">
        <f>IFERROR(__xludf.DUMMYFUNCTION("IF('(INGESTA)Datos_consumo_datadis'!A4242&lt;&gt;"""",SPLIT('(INGESTA)Datos_consumo_datadis'!A:A,"",""),"""")"),"ES0031408323131005HX0F")</f>
        <v>ES0031408323131005HX0F</v>
      </c>
      <c r="B4242" s="12">
        <f>IFERROR(__xludf.DUMMYFUNCTION("""COMPUTED_VALUE"""),45042.0)</f>
        <v>45042</v>
      </c>
      <c r="C4242" s="13">
        <f>IFERROR(__xludf.DUMMYFUNCTION("""COMPUTED_VALUE"""),0.75)</f>
        <v>0.75</v>
      </c>
      <c r="D4242" s="8">
        <f>IFERROR(__xludf.DUMMYFUNCTION("""COMPUTED_VALUE"""),0.112)</f>
        <v>0.112</v>
      </c>
      <c r="E4242" s="8" t="str">
        <f>IFERROR(__xludf.DUMMYFUNCTION("""COMPUTED_VALUE"""),"Real")</f>
        <v>Real</v>
      </c>
      <c r="G4242" s="8">
        <f t="shared" si="1"/>
        <v>4</v>
      </c>
      <c r="H4242" s="14">
        <f t="shared" si="2"/>
        <v>26</v>
      </c>
      <c r="I4242" s="15">
        <f t="shared" si="3"/>
        <v>18</v>
      </c>
    </row>
    <row r="4243">
      <c r="A4243" s="8" t="str">
        <f>IFERROR(__xludf.DUMMYFUNCTION("IF('(INGESTA)Datos_consumo_datadis'!A4243&lt;&gt;"""",SPLIT('(INGESTA)Datos_consumo_datadis'!A:A,"",""),"""")"),"ES0031408323131005HX0F")</f>
        <v>ES0031408323131005HX0F</v>
      </c>
      <c r="B4243" s="12">
        <f>IFERROR(__xludf.DUMMYFUNCTION("""COMPUTED_VALUE"""),45042.0)</f>
        <v>45042</v>
      </c>
      <c r="C4243" s="13">
        <f>IFERROR(__xludf.DUMMYFUNCTION("""COMPUTED_VALUE"""),0.7916666666666666)</f>
        <v>0.7916666667</v>
      </c>
      <c r="D4243" s="8">
        <f>IFERROR(__xludf.DUMMYFUNCTION("""COMPUTED_VALUE"""),0.079)</f>
        <v>0.079</v>
      </c>
      <c r="E4243" s="8" t="str">
        <f>IFERROR(__xludf.DUMMYFUNCTION("""COMPUTED_VALUE"""),"Real")</f>
        <v>Real</v>
      </c>
      <c r="G4243" s="8">
        <f t="shared" si="1"/>
        <v>4</v>
      </c>
      <c r="H4243" s="14">
        <f t="shared" si="2"/>
        <v>26</v>
      </c>
      <c r="I4243" s="15">
        <f t="shared" si="3"/>
        <v>19</v>
      </c>
    </row>
    <row r="4244">
      <c r="A4244" s="8" t="str">
        <f>IFERROR(__xludf.DUMMYFUNCTION("IF('(INGESTA)Datos_consumo_datadis'!A4244&lt;&gt;"""",SPLIT('(INGESTA)Datos_consumo_datadis'!A:A,"",""),"""")"),"ES0031408323131005HX0F")</f>
        <v>ES0031408323131005HX0F</v>
      </c>
      <c r="B4244" s="12">
        <f>IFERROR(__xludf.DUMMYFUNCTION("""COMPUTED_VALUE"""),45042.0)</f>
        <v>45042</v>
      </c>
      <c r="C4244" s="13">
        <f>IFERROR(__xludf.DUMMYFUNCTION("""COMPUTED_VALUE"""),0.8333333333333334)</f>
        <v>0.8333333333</v>
      </c>
      <c r="D4244" s="8">
        <f>IFERROR(__xludf.DUMMYFUNCTION("""COMPUTED_VALUE"""),0.025)</f>
        <v>0.025</v>
      </c>
      <c r="E4244" s="8" t="str">
        <f>IFERROR(__xludf.DUMMYFUNCTION("""COMPUTED_VALUE"""),"Real")</f>
        <v>Real</v>
      </c>
      <c r="G4244" s="8">
        <f t="shared" si="1"/>
        <v>4</v>
      </c>
      <c r="H4244" s="14">
        <f t="shared" si="2"/>
        <v>26</v>
      </c>
      <c r="I4244" s="15">
        <f t="shared" si="3"/>
        <v>20</v>
      </c>
    </row>
    <row r="4245">
      <c r="A4245" s="8" t="str">
        <f>IFERROR(__xludf.DUMMYFUNCTION("IF('(INGESTA)Datos_consumo_datadis'!A4245&lt;&gt;"""",SPLIT('(INGESTA)Datos_consumo_datadis'!A:A,"",""),"""")"),"ES0031408323131005HX0F")</f>
        <v>ES0031408323131005HX0F</v>
      </c>
      <c r="B4245" s="12">
        <f>IFERROR(__xludf.DUMMYFUNCTION("""COMPUTED_VALUE"""),45042.0)</f>
        <v>45042</v>
      </c>
      <c r="C4245" s="13">
        <f>IFERROR(__xludf.DUMMYFUNCTION("""COMPUTED_VALUE"""),0.875)</f>
        <v>0.875</v>
      </c>
      <c r="D4245" s="8">
        <f>IFERROR(__xludf.DUMMYFUNCTION("""COMPUTED_VALUE"""),0.323)</f>
        <v>0.323</v>
      </c>
      <c r="E4245" s="8" t="str">
        <f>IFERROR(__xludf.DUMMYFUNCTION("""COMPUTED_VALUE"""),"Real")</f>
        <v>Real</v>
      </c>
      <c r="G4245" s="8">
        <f t="shared" si="1"/>
        <v>4</v>
      </c>
      <c r="H4245" s="14">
        <f t="shared" si="2"/>
        <v>26</v>
      </c>
      <c r="I4245" s="15">
        <f t="shared" si="3"/>
        <v>21</v>
      </c>
    </row>
    <row r="4246">
      <c r="A4246" s="8" t="str">
        <f>IFERROR(__xludf.DUMMYFUNCTION("IF('(INGESTA)Datos_consumo_datadis'!A4246&lt;&gt;"""",SPLIT('(INGESTA)Datos_consumo_datadis'!A:A,"",""),"""")"),"ES0031408323131005HX0F")</f>
        <v>ES0031408323131005HX0F</v>
      </c>
      <c r="B4246" s="12">
        <f>IFERROR(__xludf.DUMMYFUNCTION("""COMPUTED_VALUE"""),45042.0)</f>
        <v>45042</v>
      </c>
      <c r="C4246" s="13">
        <f>IFERROR(__xludf.DUMMYFUNCTION("""COMPUTED_VALUE"""),0.9166666666666666)</f>
        <v>0.9166666667</v>
      </c>
      <c r="D4246" s="8">
        <f>IFERROR(__xludf.DUMMYFUNCTION("""COMPUTED_VALUE"""),0.078)</f>
        <v>0.078</v>
      </c>
      <c r="E4246" s="8" t="str">
        <f>IFERROR(__xludf.DUMMYFUNCTION("""COMPUTED_VALUE"""),"Real")</f>
        <v>Real</v>
      </c>
      <c r="G4246" s="8">
        <f t="shared" si="1"/>
        <v>4</v>
      </c>
      <c r="H4246" s="14">
        <f t="shared" si="2"/>
        <v>26</v>
      </c>
      <c r="I4246" s="15">
        <f t="shared" si="3"/>
        <v>22</v>
      </c>
    </row>
    <row r="4247">
      <c r="A4247" s="8" t="str">
        <f>IFERROR(__xludf.DUMMYFUNCTION("IF('(INGESTA)Datos_consumo_datadis'!A4247&lt;&gt;"""",SPLIT('(INGESTA)Datos_consumo_datadis'!A:A,"",""),"""")"),"ES0031408323131005HX0F")</f>
        <v>ES0031408323131005HX0F</v>
      </c>
      <c r="B4247" s="12">
        <f>IFERROR(__xludf.DUMMYFUNCTION("""COMPUTED_VALUE"""),45042.0)</f>
        <v>45042</v>
      </c>
      <c r="C4247" s="13">
        <f>IFERROR(__xludf.DUMMYFUNCTION("""COMPUTED_VALUE"""),0.9583333333333334)</f>
        <v>0.9583333333</v>
      </c>
      <c r="D4247" s="8">
        <f>IFERROR(__xludf.DUMMYFUNCTION("""COMPUTED_VALUE"""),0.077)</f>
        <v>0.077</v>
      </c>
      <c r="E4247" s="8" t="str">
        <f>IFERROR(__xludf.DUMMYFUNCTION("""COMPUTED_VALUE"""),"Real")</f>
        <v>Real</v>
      </c>
      <c r="G4247" s="8">
        <f t="shared" si="1"/>
        <v>4</v>
      </c>
      <c r="H4247" s="14">
        <f t="shared" si="2"/>
        <v>26</v>
      </c>
      <c r="I4247" s="15">
        <f t="shared" si="3"/>
        <v>23</v>
      </c>
    </row>
    <row r="4248">
      <c r="A4248" s="8" t="str">
        <f>IFERROR(__xludf.DUMMYFUNCTION("IF('(INGESTA)Datos_consumo_datadis'!A4248&lt;&gt;"""",SPLIT('(INGESTA)Datos_consumo_datadis'!A:A,"",""),"""")"),"ES0031408323131005HX0F")</f>
        <v>ES0031408323131005HX0F</v>
      </c>
      <c r="B4248" s="12">
        <f>IFERROR(__xludf.DUMMYFUNCTION("""COMPUTED_VALUE"""),45042.0)</f>
        <v>45042</v>
      </c>
      <c r="C4248" s="16">
        <f>IFERROR(__xludf.DUMMYFUNCTION("""COMPUTED_VALUE"""),1.0)</f>
        <v>1</v>
      </c>
      <c r="D4248" s="8">
        <f>IFERROR(__xludf.DUMMYFUNCTION("""COMPUTED_VALUE"""),0.105)</f>
        <v>0.105</v>
      </c>
      <c r="E4248" s="8" t="str">
        <f>IFERROR(__xludf.DUMMYFUNCTION("""COMPUTED_VALUE"""),"Real")</f>
        <v>Real</v>
      </c>
      <c r="G4248" s="8">
        <f t="shared" si="1"/>
        <v>4</v>
      </c>
      <c r="H4248" s="14">
        <f t="shared" si="2"/>
        <v>26</v>
      </c>
      <c r="I4248" s="15">
        <f t="shared" si="3"/>
        <v>0</v>
      </c>
    </row>
    <row r="4249">
      <c r="A4249" s="8" t="str">
        <f>IFERROR(__xludf.DUMMYFUNCTION("IF('(INGESTA)Datos_consumo_datadis'!A4249&lt;&gt;"""",SPLIT('(INGESTA)Datos_consumo_datadis'!A:A,"",""),"""")"),"ES0031408323131005HX0F")</f>
        <v>ES0031408323131005HX0F</v>
      </c>
      <c r="B4249" s="12">
        <f>IFERROR(__xludf.DUMMYFUNCTION("""COMPUTED_VALUE"""),45043.0)</f>
        <v>45043</v>
      </c>
      <c r="C4249" s="13">
        <f>IFERROR(__xludf.DUMMYFUNCTION("""COMPUTED_VALUE"""),0.041666666666666664)</f>
        <v>0.04166666667</v>
      </c>
      <c r="D4249" s="8">
        <f>IFERROR(__xludf.DUMMYFUNCTION("""COMPUTED_VALUE"""),0.102)</f>
        <v>0.102</v>
      </c>
      <c r="E4249" s="8" t="str">
        <f>IFERROR(__xludf.DUMMYFUNCTION("""COMPUTED_VALUE"""),"Real")</f>
        <v>Real</v>
      </c>
      <c r="G4249" s="8">
        <f t="shared" si="1"/>
        <v>4</v>
      </c>
      <c r="H4249" s="14">
        <f t="shared" si="2"/>
        <v>27</v>
      </c>
      <c r="I4249" s="15">
        <f t="shared" si="3"/>
        <v>1</v>
      </c>
    </row>
    <row r="4250">
      <c r="A4250" s="8" t="str">
        <f>IFERROR(__xludf.DUMMYFUNCTION("IF('(INGESTA)Datos_consumo_datadis'!A4250&lt;&gt;"""",SPLIT('(INGESTA)Datos_consumo_datadis'!A:A,"",""),"""")"),"ES0031408323131005HX0F")</f>
        <v>ES0031408323131005HX0F</v>
      </c>
      <c r="B4250" s="12">
        <f>IFERROR(__xludf.DUMMYFUNCTION("""COMPUTED_VALUE"""),45043.0)</f>
        <v>45043</v>
      </c>
      <c r="C4250" s="13">
        <f>IFERROR(__xludf.DUMMYFUNCTION("""COMPUTED_VALUE"""),0.08333333333333333)</f>
        <v>0.08333333333</v>
      </c>
      <c r="D4250" s="8">
        <f>IFERROR(__xludf.DUMMYFUNCTION("""COMPUTED_VALUE"""),0.081)</f>
        <v>0.081</v>
      </c>
      <c r="E4250" s="8" t="str">
        <f>IFERROR(__xludf.DUMMYFUNCTION("""COMPUTED_VALUE"""),"Real")</f>
        <v>Real</v>
      </c>
      <c r="G4250" s="8">
        <f t="shared" si="1"/>
        <v>4</v>
      </c>
      <c r="H4250" s="14">
        <f t="shared" si="2"/>
        <v>27</v>
      </c>
      <c r="I4250" s="15">
        <f t="shared" si="3"/>
        <v>2</v>
      </c>
    </row>
    <row r="4251">
      <c r="A4251" s="8" t="str">
        <f>IFERROR(__xludf.DUMMYFUNCTION("IF('(INGESTA)Datos_consumo_datadis'!A4251&lt;&gt;"""",SPLIT('(INGESTA)Datos_consumo_datadis'!A:A,"",""),"""")"),"ES0031408323131005HX0F")</f>
        <v>ES0031408323131005HX0F</v>
      </c>
      <c r="B4251" s="12">
        <f>IFERROR(__xludf.DUMMYFUNCTION("""COMPUTED_VALUE"""),45043.0)</f>
        <v>45043</v>
      </c>
      <c r="C4251" s="13">
        <f>IFERROR(__xludf.DUMMYFUNCTION("""COMPUTED_VALUE"""),0.125)</f>
        <v>0.125</v>
      </c>
      <c r="D4251" s="8">
        <f>IFERROR(__xludf.DUMMYFUNCTION("""COMPUTED_VALUE"""),0.316)</f>
        <v>0.316</v>
      </c>
      <c r="E4251" s="8" t="str">
        <f>IFERROR(__xludf.DUMMYFUNCTION("""COMPUTED_VALUE"""),"Real")</f>
        <v>Real</v>
      </c>
      <c r="G4251" s="8">
        <f t="shared" si="1"/>
        <v>4</v>
      </c>
      <c r="H4251" s="14">
        <f t="shared" si="2"/>
        <v>27</v>
      </c>
      <c r="I4251" s="15">
        <f t="shared" si="3"/>
        <v>3</v>
      </c>
    </row>
    <row r="4252">
      <c r="A4252" s="8" t="str">
        <f>IFERROR(__xludf.DUMMYFUNCTION("IF('(INGESTA)Datos_consumo_datadis'!A4252&lt;&gt;"""",SPLIT('(INGESTA)Datos_consumo_datadis'!A:A,"",""),"""")"),"ES0031408323131005HX0F")</f>
        <v>ES0031408323131005HX0F</v>
      </c>
      <c r="B4252" s="12">
        <f>IFERROR(__xludf.DUMMYFUNCTION("""COMPUTED_VALUE"""),45043.0)</f>
        <v>45043</v>
      </c>
      <c r="C4252" s="13">
        <f>IFERROR(__xludf.DUMMYFUNCTION("""COMPUTED_VALUE"""),0.16666666666666666)</f>
        <v>0.1666666667</v>
      </c>
      <c r="D4252" s="8">
        <f>IFERROR(__xludf.DUMMYFUNCTION("""COMPUTED_VALUE"""),0.073)</f>
        <v>0.073</v>
      </c>
      <c r="E4252" s="8" t="str">
        <f>IFERROR(__xludf.DUMMYFUNCTION("""COMPUTED_VALUE"""),"Real")</f>
        <v>Real</v>
      </c>
      <c r="G4252" s="8">
        <f t="shared" si="1"/>
        <v>4</v>
      </c>
      <c r="H4252" s="14">
        <f t="shared" si="2"/>
        <v>27</v>
      </c>
      <c r="I4252" s="15">
        <f t="shared" si="3"/>
        <v>4</v>
      </c>
    </row>
    <row r="4253">
      <c r="A4253" s="8" t="str">
        <f>IFERROR(__xludf.DUMMYFUNCTION("IF('(INGESTA)Datos_consumo_datadis'!A4253&lt;&gt;"""",SPLIT('(INGESTA)Datos_consumo_datadis'!A:A,"",""),"""")"),"ES0031408323131005HX0F")</f>
        <v>ES0031408323131005HX0F</v>
      </c>
      <c r="B4253" s="12">
        <f>IFERROR(__xludf.DUMMYFUNCTION("""COMPUTED_VALUE"""),45043.0)</f>
        <v>45043</v>
      </c>
      <c r="C4253" s="13">
        <f>IFERROR(__xludf.DUMMYFUNCTION("""COMPUTED_VALUE"""),0.20833333333333334)</f>
        <v>0.2083333333</v>
      </c>
      <c r="D4253" s="8">
        <f>IFERROR(__xludf.DUMMYFUNCTION("""COMPUTED_VALUE"""),0.07)</f>
        <v>0.07</v>
      </c>
      <c r="E4253" s="8" t="str">
        <f>IFERROR(__xludf.DUMMYFUNCTION("""COMPUTED_VALUE"""),"Real")</f>
        <v>Real</v>
      </c>
      <c r="G4253" s="8">
        <f t="shared" si="1"/>
        <v>4</v>
      </c>
      <c r="H4253" s="14">
        <f t="shared" si="2"/>
        <v>27</v>
      </c>
      <c r="I4253" s="15">
        <f t="shared" si="3"/>
        <v>5</v>
      </c>
    </row>
    <row r="4254">
      <c r="A4254" s="8" t="str">
        <f>IFERROR(__xludf.DUMMYFUNCTION("IF('(INGESTA)Datos_consumo_datadis'!A4254&lt;&gt;"""",SPLIT('(INGESTA)Datos_consumo_datadis'!A:A,"",""),"""")"),"ES0031408323131005HX0F")</f>
        <v>ES0031408323131005HX0F</v>
      </c>
      <c r="B4254" s="12">
        <f>IFERROR(__xludf.DUMMYFUNCTION("""COMPUTED_VALUE"""),45043.0)</f>
        <v>45043</v>
      </c>
      <c r="C4254" s="13">
        <f>IFERROR(__xludf.DUMMYFUNCTION("""COMPUTED_VALUE"""),0.25)</f>
        <v>0.25</v>
      </c>
      <c r="D4254" s="8">
        <f>IFERROR(__xludf.DUMMYFUNCTION("""COMPUTED_VALUE"""),0.059)</f>
        <v>0.059</v>
      </c>
      <c r="E4254" s="8" t="str">
        <f>IFERROR(__xludf.DUMMYFUNCTION("""COMPUTED_VALUE"""),"Real")</f>
        <v>Real</v>
      </c>
      <c r="G4254" s="8">
        <f t="shared" si="1"/>
        <v>4</v>
      </c>
      <c r="H4254" s="14">
        <f t="shared" si="2"/>
        <v>27</v>
      </c>
      <c r="I4254" s="15">
        <f t="shared" si="3"/>
        <v>6</v>
      </c>
    </row>
    <row r="4255">
      <c r="A4255" s="8" t="str">
        <f>IFERROR(__xludf.DUMMYFUNCTION("IF('(INGESTA)Datos_consumo_datadis'!A4255&lt;&gt;"""",SPLIT('(INGESTA)Datos_consumo_datadis'!A:A,"",""),"""")"),"ES0031408323131005HX0F")</f>
        <v>ES0031408323131005HX0F</v>
      </c>
      <c r="B4255" s="12">
        <f>IFERROR(__xludf.DUMMYFUNCTION("""COMPUTED_VALUE"""),45043.0)</f>
        <v>45043</v>
      </c>
      <c r="C4255" s="13">
        <f>IFERROR(__xludf.DUMMYFUNCTION("""COMPUTED_VALUE"""),0.2916666666666667)</f>
        <v>0.2916666667</v>
      </c>
      <c r="D4255" s="8">
        <f>IFERROR(__xludf.DUMMYFUNCTION("""COMPUTED_VALUE"""),0.022)</f>
        <v>0.022</v>
      </c>
      <c r="E4255" s="8" t="str">
        <f>IFERROR(__xludf.DUMMYFUNCTION("""COMPUTED_VALUE"""),"Real")</f>
        <v>Real</v>
      </c>
      <c r="G4255" s="8">
        <f t="shared" si="1"/>
        <v>4</v>
      </c>
      <c r="H4255" s="14">
        <f t="shared" si="2"/>
        <v>27</v>
      </c>
      <c r="I4255" s="15">
        <f t="shared" si="3"/>
        <v>7</v>
      </c>
    </row>
    <row r="4256">
      <c r="A4256" s="8" t="str">
        <f>IFERROR(__xludf.DUMMYFUNCTION("IF('(INGESTA)Datos_consumo_datadis'!A4256&lt;&gt;"""",SPLIT('(INGESTA)Datos_consumo_datadis'!A:A,"",""),"""")"),"ES0031408323131005HX0F")</f>
        <v>ES0031408323131005HX0F</v>
      </c>
      <c r="B4256" s="12">
        <f>IFERROR(__xludf.DUMMYFUNCTION("""COMPUTED_VALUE"""),45043.0)</f>
        <v>45043</v>
      </c>
      <c r="C4256" s="13">
        <f>IFERROR(__xludf.DUMMYFUNCTION("""COMPUTED_VALUE"""),0.3333333333333333)</f>
        <v>0.3333333333</v>
      </c>
      <c r="D4256" s="8">
        <f>IFERROR(__xludf.DUMMYFUNCTION("""COMPUTED_VALUE"""),0.127)</f>
        <v>0.127</v>
      </c>
      <c r="E4256" s="8" t="str">
        <f>IFERROR(__xludf.DUMMYFUNCTION("""COMPUTED_VALUE"""),"Real")</f>
        <v>Real</v>
      </c>
      <c r="G4256" s="8">
        <f t="shared" si="1"/>
        <v>4</v>
      </c>
      <c r="H4256" s="14">
        <f t="shared" si="2"/>
        <v>27</v>
      </c>
      <c r="I4256" s="15">
        <f t="shared" si="3"/>
        <v>8</v>
      </c>
    </row>
    <row r="4257">
      <c r="A4257" s="8" t="str">
        <f>IFERROR(__xludf.DUMMYFUNCTION("IF('(INGESTA)Datos_consumo_datadis'!A4257&lt;&gt;"""",SPLIT('(INGESTA)Datos_consumo_datadis'!A:A,"",""),"""")"),"ES0031408323131005HX0F")</f>
        <v>ES0031408323131005HX0F</v>
      </c>
      <c r="B4257" s="12">
        <f>IFERROR(__xludf.DUMMYFUNCTION("""COMPUTED_VALUE"""),45043.0)</f>
        <v>45043</v>
      </c>
      <c r="C4257" s="13">
        <f>IFERROR(__xludf.DUMMYFUNCTION("""COMPUTED_VALUE"""),0.375)</f>
        <v>0.375</v>
      </c>
      <c r="D4257" s="8">
        <f>IFERROR(__xludf.DUMMYFUNCTION("""COMPUTED_VALUE"""),0.423)</f>
        <v>0.423</v>
      </c>
      <c r="E4257" s="8" t="str">
        <f>IFERROR(__xludf.DUMMYFUNCTION("""COMPUTED_VALUE"""),"Real")</f>
        <v>Real</v>
      </c>
      <c r="G4257" s="8">
        <f t="shared" si="1"/>
        <v>4</v>
      </c>
      <c r="H4257" s="14">
        <f t="shared" si="2"/>
        <v>27</v>
      </c>
      <c r="I4257" s="15">
        <f t="shared" si="3"/>
        <v>9</v>
      </c>
    </row>
    <row r="4258">
      <c r="A4258" s="8" t="str">
        <f>IFERROR(__xludf.DUMMYFUNCTION("IF('(INGESTA)Datos_consumo_datadis'!A4258&lt;&gt;"""",SPLIT('(INGESTA)Datos_consumo_datadis'!A:A,"",""),"""")"),"ES0031408323131005HX0F")</f>
        <v>ES0031408323131005HX0F</v>
      </c>
      <c r="B4258" s="12">
        <f>IFERROR(__xludf.DUMMYFUNCTION("""COMPUTED_VALUE"""),45043.0)</f>
        <v>45043</v>
      </c>
      <c r="C4258" s="13">
        <f>IFERROR(__xludf.DUMMYFUNCTION("""COMPUTED_VALUE"""),0.4166666666666667)</f>
        <v>0.4166666667</v>
      </c>
      <c r="D4258" s="8">
        <f>IFERROR(__xludf.DUMMYFUNCTION("""COMPUTED_VALUE"""),0.073)</f>
        <v>0.073</v>
      </c>
      <c r="E4258" s="8" t="str">
        <f>IFERROR(__xludf.DUMMYFUNCTION("""COMPUTED_VALUE"""),"Real")</f>
        <v>Real</v>
      </c>
      <c r="G4258" s="8">
        <f t="shared" si="1"/>
        <v>4</v>
      </c>
      <c r="H4258" s="14">
        <f t="shared" si="2"/>
        <v>27</v>
      </c>
      <c r="I4258" s="15">
        <f t="shared" si="3"/>
        <v>10</v>
      </c>
    </row>
    <row r="4259">
      <c r="A4259" s="8" t="str">
        <f>IFERROR(__xludf.DUMMYFUNCTION("IF('(INGESTA)Datos_consumo_datadis'!A4259&lt;&gt;"""",SPLIT('(INGESTA)Datos_consumo_datadis'!A:A,"",""),"""")"),"ES0031408323131005HX0F")</f>
        <v>ES0031408323131005HX0F</v>
      </c>
      <c r="B4259" s="12">
        <f>IFERROR(__xludf.DUMMYFUNCTION("""COMPUTED_VALUE"""),45043.0)</f>
        <v>45043</v>
      </c>
      <c r="C4259" s="13">
        <f>IFERROR(__xludf.DUMMYFUNCTION("""COMPUTED_VALUE"""),0.4583333333333333)</f>
        <v>0.4583333333</v>
      </c>
      <c r="D4259" s="8">
        <f>IFERROR(__xludf.DUMMYFUNCTION("""COMPUTED_VALUE"""),0.269)</f>
        <v>0.269</v>
      </c>
      <c r="E4259" s="8" t="str">
        <f>IFERROR(__xludf.DUMMYFUNCTION("""COMPUTED_VALUE"""),"Real")</f>
        <v>Real</v>
      </c>
      <c r="G4259" s="8">
        <f t="shared" si="1"/>
        <v>4</v>
      </c>
      <c r="H4259" s="14">
        <f t="shared" si="2"/>
        <v>27</v>
      </c>
      <c r="I4259" s="15">
        <f t="shared" si="3"/>
        <v>11</v>
      </c>
    </row>
    <row r="4260">
      <c r="A4260" s="8" t="str">
        <f>IFERROR(__xludf.DUMMYFUNCTION("IF('(INGESTA)Datos_consumo_datadis'!A4260&lt;&gt;"""",SPLIT('(INGESTA)Datos_consumo_datadis'!A:A,"",""),"""")"),"ES0031408323131005HX0F")</f>
        <v>ES0031408323131005HX0F</v>
      </c>
      <c r="B4260" s="12">
        <f>IFERROR(__xludf.DUMMYFUNCTION("""COMPUTED_VALUE"""),45043.0)</f>
        <v>45043</v>
      </c>
      <c r="C4260" s="13">
        <f>IFERROR(__xludf.DUMMYFUNCTION("""COMPUTED_VALUE"""),0.5)</f>
        <v>0.5</v>
      </c>
      <c r="D4260" s="8">
        <f>IFERROR(__xludf.DUMMYFUNCTION("""COMPUTED_VALUE"""),1.334)</f>
        <v>1.334</v>
      </c>
      <c r="E4260" s="8" t="str">
        <f>IFERROR(__xludf.DUMMYFUNCTION("""COMPUTED_VALUE"""),"Real")</f>
        <v>Real</v>
      </c>
      <c r="G4260" s="8">
        <f t="shared" si="1"/>
        <v>4</v>
      </c>
      <c r="H4260" s="14">
        <f t="shared" si="2"/>
        <v>27</v>
      </c>
      <c r="I4260" s="15">
        <f t="shared" si="3"/>
        <v>12</v>
      </c>
    </row>
    <row r="4261">
      <c r="A4261" s="8" t="str">
        <f>IFERROR(__xludf.DUMMYFUNCTION("IF('(INGESTA)Datos_consumo_datadis'!A4261&lt;&gt;"""",SPLIT('(INGESTA)Datos_consumo_datadis'!A:A,"",""),"""")"),"ES0031408323131005HX0F")</f>
        <v>ES0031408323131005HX0F</v>
      </c>
      <c r="B4261" s="12">
        <f>IFERROR(__xludf.DUMMYFUNCTION("""COMPUTED_VALUE"""),45043.0)</f>
        <v>45043</v>
      </c>
      <c r="C4261" s="13">
        <f>IFERROR(__xludf.DUMMYFUNCTION("""COMPUTED_VALUE"""),0.5416666666666666)</f>
        <v>0.5416666667</v>
      </c>
      <c r="D4261" s="8">
        <f>IFERROR(__xludf.DUMMYFUNCTION("""COMPUTED_VALUE"""),2.269)</f>
        <v>2.269</v>
      </c>
      <c r="E4261" s="8" t="str">
        <f>IFERROR(__xludf.DUMMYFUNCTION("""COMPUTED_VALUE"""),"Real")</f>
        <v>Real</v>
      </c>
      <c r="G4261" s="8">
        <f t="shared" si="1"/>
        <v>4</v>
      </c>
      <c r="H4261" s="14">
        <f t="shared" si="2"/>
        <v>27</v>
      </c>
      <c r="I4261" s="15">
        <f t="shared" si="3"/>
        <v>13</v>
      </c>
    </row>
    <row r="4262">
      <c r="A4262" s="8" t="str">
        <f>IFERROR(__xludf.DUMMYFUNCTION("IF('(INGESTA)Datos_consumo_datadis'!A4262&lt;&gt;"""",SPLIT('(INGESTA)Datos_consumo_datadis'!A:A,"",""),"""")"),"ES0031408323131005HX0F")</f>
        <v>ES0031408323131005HX0F</v>
      </c>
      <c r="B4262" s="12">
        <f>IFERROR(__xludf.DUMMYFUNCTION("""COMPUTED_VALUE"""),45043.0)</f>
        <v>45043</v>
      </c>
      <c r="C4262" s="13">
        <f>IFERROR(__xludf.DUMMYFUNCTION("""COMPUTED_VALUE"""),0.5833333333333334)</f>
        <v>0.5833333333</v>
      </c>
      <c r="D4262" s="8">
        <f>IFERROR(__xludf.DUMMYFUNCTION("""COMPUTED_VALUE"""),0.039)</f>
        <v>0.039</v>
      </c>
      <c r="E4262" s="8" t="str">
        <f>IFERROR(__xludf.DUMMYFUNCTION("""COMPUTED_VALUE"""),"Real")</f>
        <v>Real</v>
      </c>
      <c r="G4262" s="8">
        <f t="shared" si="1"/>
        <v>4</v>
      </c>
      <c r="H4262" s="14">
        <f t="shared" si="2"/>
        <v>27</v>
      </c>
      <c r="I4262" s="15">
        <f t="shared" si="3"/>
        <v>14</v>
      </c>
    </row>
    <row r="4263">
      <c r="A4263" s="8" t="str">
        <f>IFERROR(__xludf.DUMMYFUNCTION("IF('(INGESTA)Datos_consumo_datadis'!A4263&lt;&gt;"""",SPLIT('(INGESTA)Datos_consumo_datadis'!A:A,"",""),"""")"),"ES0031408323131005HX0F")</f>
        <v>ES0031408323131005HX0F</v>
      </c>
      <c r="B4263" s="12">
        <f>IFERROR(__xludf.DUMMYFUNCTION("""COMPUTED_VALUE"""),45043.0)</f>
        <v>45043</v>
      </c>
      <c r="C4263" s="13">
        <f>IFERROR(__xludf.DUMMYFUNCTION("""COMPUTED_VALUE"""),0.625)</f>
        <v>0.625</v>
      </c>
      <c r="D4263" s="8">
        <f>IFERROR(__xludf.DUMMYFUNCTION("""COMPUTED_VALUE"""),0.075)</f>
        <v>0.075</v>
      </c>
      <c r="E4263" s="8" t="str">
        <f>IFERROR(__xludf.DUMMYFUNCTION("""COMPUTED_VALUE"""),"Real")</f>
        <v>Real</v>
      </c>
      <c r="G4263" s="8">
        <f t="shared" si="1"/>
        <v>4</v>
      </c>
      <c r="H4263" s="14">
        <f t="shared" si="2"/>
        <v>27</v>
      </c>
      <c r="I4263" s="15">
        <f t="shared" si="3"/>
        <v>15</v>
      </c>
    </row>
    <row r="4264">
      <c r="A4264" s="8" t="str">
        <f>IFERROR(__xludf.DUMMYFUNCTION("IF('(INGESTA)Datos_consumo_datadis'!A4264&lt;&gt;"""",SPLIT('(INGESTA)Datos_consumo_datadis'!A:A,"",""),"""")"),"ES0031408323131005HX0F")</f>
        <v>ES0031408323131005HX0F</v>
      </c>
      <c r="B4264" s="12">
        <f>IFERROR(__xludf.DUMMYFUNCTION("""COMPUTED_VALUE"""),45043.0)</f>
        <v>45043</v>
      </c>
      <c r="C4264" s="13">
        <f>IFERROR(__xludf.DUMMYFUNCTION("""COMPUTED_VALUE"""),0.6666666666666666)</f>
        <v>0.6666666667</v>
      </c>
      <c r="D4264" s="8">
        <f>IFERROR(__xludf.DUMMYFUNCTION("""COMPUTED_VALUE"""),0.074)</f>
        <v>0.074</v>
      </c>
      <c r="E4264" s="8" t="str">
        <f>IFERROR(__xludf.DUMMYFUNCTION("""COMPUTED_VALUE"""),"Real")</f>
        <v>Real</v>
      </c>
      <c r="G4264" s="8">
        <f t="shared" si="1"/>
        <v>4</v>
      </c>
      <c r="H4264" s="14">
        <f t="shared" si="2"/>
        <v>27</v>
      </c>
      <c r="I4264" s="15">
        <f t="shared" si="3"/>
        <v>16</v>
      </c>
    </row>
    <row r="4265">
      <c r="A4265" s="8" t="str">
        <f>IFERROR(__xludf.DUMMYFUNCTION("IF('(INGESTA)Datos_consumo_datadis'!A4265&lt;&gt;"""",SPLIT('(INGESTA)Datos_consumo_datadis'!A:A,"",""),"""")"),"ES0031408323131005HX0F")</f>
        <v>ES0031408323131005HX0F</v>
      </c>
      <c r="B4265" s="12">
        <f>IFERROR(__xludf.DUMMYFUNCTION("""COMPUTED_VALUE"""),45043.0)</f>
        <v>45043</v>
      </c>
      <c r="C4265" s="13">
        <f>IFERROR(__xludf.DUMMYFUNCTION("""COMPUTED_VALUE"""),0.7083333333333334)</f>
        <v>0.7083333333</v>
      </c>
      <c r="D4265" s="8">
        <f>IFERROR(__xludf.DUMMYFUNCTION("""COMPUTED_VALUE"""),0.053)</f>
        <v>0.053</v>
      </c>
      <c r="E4265" s="8" t="str">
        <f>IFERROR(__xludf.DUMMYFUNCTION("""COMPUTED_VALUE"""),"Real")</f>
        <v>Real</v>
      </c>
      <c r="G4265" s="8">
        <f t="shared" si="1"/>
        <v>4</v>
      </c>
      <c r="H4265" s="14">
        <f t="shared" si="2"/>
        <v>27</v>
      </c>
      <c r="I4265" s="15">
        <f t="shared" si="3"/>
        <v>17</v>
      </c>
    </row>
    <row r="4266">
      <c r="A4266" s="8" t="str">
        <f>IFERROR(__xludf.DUMMYFUNCTION("IF('(INGESTA)Datos_consumo_datadis'!A4266&lt;&gt;"""",SPLIT('(INGESTA)Datos_consumo_datadis'!A:A,"",""),"""")"),"ES0031408323131005HX0F")</f>
        <v>ES0031408323131005HX0F</v>
      </c>
      <c r="B4266" s="12">
        <f>IFERROR(__xludf.DUMMYFUNCTION("""COMPUTED_VALUE"""),45043.0)</f>
        <v>45043</v>
      </c>
      <c r="C4266" s="13">
        <f>IFERROR(__xludf.DUMMYFUNCTION("""COMPUTED_VALUE"""),0.75)</f>
        <v>0.75</v>
      </c>
      <c r="D4266" s="8">
        <f>IFERROR(__xludf.DUMMYFUNCTION("""COMPUTED_VALUE"""),0.038)</f>
        <v>0.038</v>
      </c>
      <c r="E4266" s="8" t="str">
        <f>IFERROR(__xludf.DUMMYFUNCTION("""COMPUTED_VALUE"""),"Real")</f>
        <v>Real</v>
      </c>
      <c r="G4266" s="8">
        <f t="shared" si="1"/>
        <v>4</v>
      </c>
      <c r="H4266" s="14">
        <f t="shared" si="2"/>
        <v>27</v>
      </c>
      <c r="I4266" s="15">
        <f t="shared" si="3"/>
        <v>18</v>
      </c>
    </row>
    <row r="4267">
      <c r="A4267" s="8" t="str">
        <f>IFERROR(__xludf.DUMMYFUNCTION("IF('(INGESTA)Datos_consumo_datadis'!A4267&lt;&gt;"""",SPLIT('(INGESTA)Datos_consumo_datadis'!A:A,"",""),"""")"),"ES0031408323131005HX0F")</f>
        <v>ES0031408323131005HX0F</v>
      </c>
      <c r="B4267" s="12">
        <f>IFERROR(__xludf.DUMMYFUNCTION("""COMPUTED_VALUE"""),45043.0)</f>
        <v>45043</v>
      </c>
      <c r="C4267" s="13">
        <f>IFERROR(__xludf.DUMMYFUNCTION("""COMPUTED_VALUE"""),0.7916666666666666)</f>
        <v>0.7916666667</v>
      </c>
      <c r="D4267" s="8">
        <f>IFERROR(__xludf.DUMMYFUNCTION("""COMPUTED_VALUE"""),0.368)</f>
        <v>0.368</v>
      </c>
      <c r="E4267" s="8" t="str">
        <f>IFERROR(__xludf.DUMMYFUNCTION("""COMPUTED_VALUE"""),"Real")</f>
        <v>Real</v>
      </c>
      <c r="G4267" s="8">
        <f t="shared" si="1"/>
        <v>4</v>
      </c>
      <c r="H4267" s="14">
        <f t="shared" si="2"/>
        <v>27</v>
      </c>
      <c r="I4267" s="15">
        <f t="shared" si="3"/>
        <v>19</v>
      </c>
    </row>
    <row r="4268">
      <c r="A4268" s="8" t="str">
        <f>IFERROR(__xludf.DUMMYFUNCTION("IF('(INGESTA)Datos_consumo_datadis'!A4268&lt;&gt;"""",SPLIT('(INGESTA)Datos_consumo_datadis'!A:A,"",""),"""")"),"ES0031408323131005HX0F")</f>
        <v>ES0031408323131005HX0F</v>
      </c>
      <c r="B4268" s="12">
        <f>IFERROR(__xludf.DUMMYFUNCTION("""COMPUTED_VALUE"""),45043.0)</f>
        <v>45043</v>
      </c>
      <c r="C4268" s="13">
        <f>IFERROR(__xludf.DUMMYFUNCTION("""COMPUTED_VALUE"""),0.8333333333333334)</f>
        <v>0.8333333333</v>
      </c>
      <c r="D4268" s="8">
        <f>IFERROR(__xludf.DUMMYFUNCTION("""COMPUTED_VALUE"""),0.055)</f>
        <v>0.055</v>
      </c>
      <c r="E4268" s="8" t="str">
        <f>IFERROR(__xludf.DUMMYFUNCTION("""COMPUTED_VALUE"""),"Real")</f>
        <v>Real</v>
      </c>
      <c r="G4268" s="8">
        <f t="shared" si="1"/>
        <v>4</v>
      </c>
      <c r="H4268" s="14">
        <f t="shared" si="2"/>
        <v>27</v>
      </c>
      <c r="I4268" s="15">
        <f t="shared" si="3"/>
        <v>20</v>
      </c>
    </row>
    <row r="4269">
      <c r="A4269" s="8" t="str">
        <f>IFERROR(__xludf.DUMMYFUNCTION("IF('(INGESTA)Datos_consumo_datadis'!A4269&lt;&gt;"""",SPLIT('(INGESTA)Datos_consumo_datadis'!A:A,"",""),"""")"),"ES0031408323131005HX0F")</f>
        <v>ES0031408323131005HX0F</v>
      </c>
      <c r="B4269" s="12">
        <f>IFERROR(__xludf.DUMMYFUNCTION("""COMPUTED_VALUE"""),45043.0)</f>
        <v>45043</v>
      </c>
      <c r="C4269" s="13">
        <f>IFERROR(__xludf.DUMMYFUNCTION("""COMPUTED_VALUE"""),0.875)</f>
        <v>0.875</v>
      </c>
      <c r="D4269" s="8">
        <f>IFERROR(__xludf.DUMMYFUNCTION("""COMPUTED_VALUE"""),0.017)</f>
        <v>0.017</v>
      </c>
      <c r="E4269" s="8" t="str">
        <f>IFERROR(__xludf.DUMMYFUNCTION("""COMPUTED_VALUE"""),"Real")</f>
        <v>Real</v>
      </c>
      <c r="G4269" s="8">
        <f t="shared" si="1"/>
        <v>4</v>
      </c>
      <c r="H4269" s="14">
        <f t="shared" si="2"/>
        <v>27</v>
      </c>
      <c r="I4269" s="15">
        <f t="shared" si="3"/>
        <v>21</v>
      </c>
    </row>
    <row r="4270">
      <c r="A4270" s="8" t="str">
        <f>IFERROR(__xludf.DUMMYFUNCTION("IF('(INGESTA)Datos_consumo_datadis'!A4270&lt;&gt;"""",SPLIT('(INGESTA)Datos_consumo_datadis'!A:A,"",""),"""")"),"ES0031408323131005HX0F")</f>
        <v>ES0031408323131005HX0F</v>
      </c>
      <c r="B4270" s="12">
        <f>IFERROR(__xludf.DUMMYFUNCTION("""COMPUTED_VALUE"""),45043.0)</f>
        <v>45043</v>
      </c>
      <c r="C4270" s="13">
        <f>IFERROR(__xludf.DUMMYFUNCTION("""COMPUTED_VALUE"""),0.9166666666666666)</f>
        <v>0.9166666667</v>
      </c>
      <c r="D4270" s="8">
        <f>IFERROR(__xludf.DUMMYFUNCTION("""COMPUTED_VALUE"""),0.106)</f>
        <v>0.106</v>
      </c>
      <c r="E4270" s="8" t="str">
        <f>IFERROR(__xludf.DUMMYFUNCTION("""COMPUTED_VALUE"""),"Real")</f>
        <v>Real</v>
      </c>
      <c r="G4270" s="8">
        <f t="shared" si="1"/>
        <v>4</v>
      </c>
      <c r="H4270" s="14">
        <f t="shared" si="2"/>
        <v>27</v>
      </c>
      <c r="I4270" s="15">
        <f t="shared" si="3"/>
        <v>22</v>
      </c>
    </row>
    <row r="4271">
      <c r="A4271" s="8" t="str">
        <f>IFERROR(__xludf.DUMMYFUNCTION("IF('(INGESTA)Datos_consumo_datadis'!A4271&lt;&gt;"""",SPLIT('(INGESTA)Datos_consumo_datadis'!A:A,"",""),"""")"),"ES0031408323131005HX0F")</f>
        <v>ES0031408323131005HX0F</v>
      </c>
      <c r="B4271" s="12">
        <f>IFERROR(__xludf.DUMMYFUNCTION("""COMPUTED_VALUE"""),45043.0)</f>
        <v>45043</v>
      </c>
      <c r="C4271" s="13">
        <f>IFERROR(__xludf.DUMMYFUNCTION("""COMPUTED_VALUE"""),0.9583333333333334)</f>
        <v>0.9583333333</v>
      </c>
      <c r="D4271" s="8">
        <f>IFERROR(__xludf.DUMMYFUNCTION("""COMPUTED_VALUE"""),0.066)</f>
        <v>0.066</v>
      </c>
      <c r="E4271" s="8" t="str">
        <f>IFERROR(__xludf.DUMMYFUNCTION("""COMPUTED_VALUE"""),"Real")</f>
        <v>Real</v>
      </c>
      <c r="G4271" s="8">
        <f t="shared" si="1"/>
        <v>4</v>
      </c>
      <c r="H4271" s="14">
        <f t="shared" si="2"/>
        <v>27</v>
      </c>
      <c r="I4271" s="15">
        <f t="shared" si="3"/>
        <v>23</v>
      </c>
    </row>
    <row r="4272">
      <c r="A4272" s="8" t="str">
        <f>IFERROR(__xludf.DUMMYFUNCTION("IF('(INGESTA)Datos_consumo_datadis'!A4272&lt;&gt;"""",SPLIT('(INGESTA)Datos_consumo_datadis'!A:A,"",""),"""")"),"ES0031408323131005HX0F")</f>
        <v>ES0031408323131005HX0F</v>
      </c>
      <c r="B4272" s="12">
        <f>IFERROR(__xludf.DUMMYFUNCTION("""COMPUTED_VALUE"""),45043.0)</f>
        <v>45043</v>
      </c>
      <c r="C4272" s="16">
        <f>IFERROR(__xludf.DUMMYFUNCTION("""COMPUTED_VALUE"""),1.0)</f>
        <v>1</v>
      </c>
      <c r="D4272" s="8">
        <f>IFERROR(__xludf.DUMMYFUNCTION("""COMPUTED_VALUE"""),0.129)</f>
        <v>0.129</v>
      </c>
      <c r="E4272" s="8" t="str">
        <f>IFERROR(__xludf.DUMMYFUNCTION("""COMPUTED_VALUE"""),"Real")</f>
        <v>Real</v>
      </c>
      <c r="G4272" s="8">
        <f t="shared" si="1"/>
        <v>4</v>
      </c>
      <c r="H4272" s="14">
        <f t="shared" si="2"/>
        <v>27</v>
      </c>
      <c r="I4272" s="15">
        <f t="shared" si="3"/>
        <v>0</v>
      </c>
    </row>
    <row r="4273">
      <c r="A4273" s="8" t="str">
        <f>IFERROR(__xludf.DUMMYFUNCTION("IF('(INGESTA)Datos_consumo_datadis'!A4273&lt;&gt;"""",SPLIT('(INGESTA)Datos_consumo_datadis'!A:A,"",""),"""")"),"ES0031408323131005HX0F")</f>
        <v>ES0031408323131005HX0F</v>
      </c>
      <c r="B4273" s="12">
        <f>IFERROR(__xludf.DUMMYFUNCTION("""COMPUTED_VALUE"""),45044.0)</f>
        <v>45044</v>
      </c>
      <c r="C4273" s="13">
        <f>IFERROR(__xludf.DUMMYFUNCTION("""COMPUTED_VALUE"""),0.041666666666666664)</f>
        <v>0.04166666667</v>
      </c>
      <c r="D4273" s="8">
        <f>IFERROR(__xludf.DUMMYFUNCTION("""COMPUTED_VALUE"""),0.655)</f>
        <v>0.655</v>
      </c>
      <c r="E4273" s="8" t="str">
        <f>IFERROR(__xludf.DUMMYFUNCTION("""COMPUTED_VALUE"""),"Real")</f>
        <v>Real</v>
      </c>
      <c r="G4273" s="8">
        <f t="shared" si="1"/>
        <v>4</v>
      </c>
      <c r="H4273" s="14">
        <f t="shared" si="2"/>
        <v>28</v>
      </c>
      <c r="I4273" s="15">
        <f t="shared" si="3"/>
        <v>1</v>
      </c>
    </row>
    <row r="4274">
      <c r="A4274" s="8" t="str">
        <f>IFERROR(__xludf.DUMMYFUNCTION("IF('(INGESTA)Datos_consumo_datadis'!A4274&lt;&gt;"""",SPLIT('(INGESTA)Datos_consumo_datadis'!A:A,"",""),"""")"),"ES0031408323131005HX0F")</f>
        <v>ES0031408323131005HX0F</v>
      </c>
      <c r="B4274" s="12">
        <f>IFERROR(__xludf.DUMMYFUNCTION("""COMPUTED_VALUE"""),45044.0)</f>
        <v>45044</v>
      </c>
      <c r="C4274" s="13">
        <f>IFERROR(__xludf.DUMMYFUNCTION("""COMPUTED_VALUE"""),0.08333333333333333)</f>
        <v>0.08333333333</v>
      </c>
      <c r="D4274" s="8">
        <f>IFERROR(__xludf.DUMMYFUNCTION("""COMPUTED_VALUE"""),0.296)</f>
        <v>0.296</v>
      </c>
      <c r="E4274" s="8" t="str">
        <f>IFERROR(__xludf.DUMMYFUNCTION("""COMPUTED_VALUE"""),"Real")</f>
        <v>Real</v>
      </c>
      <c r="G4274" s="8">
        <f t="shared" si="1"/>
        <v>4</v>
      </c>
      <c r="H4274" s="14">
        <f t="shared" si="2"/>
        <v>28</v>
      </c>
      <c r="I4274" s="15">
        <f t="shared" si="3"/>
        <v>2</v>
      </c>
    </row>
    <row r="4275">
      <c r="A4275" s="8" t="str">
        <f>IFERROR(__xludf.DUMMYFUNCTION("IF('(INGESTA)Datos_consumo_datadis'!A4275&lt;&gt;"""",SPLIT('(INGESTA)Datos_consumo_datadis'!A:A,"",""),"""")"),"ES0031408323131005HX0F")</f>
        <v>ES0031408323131005HX0F</v>
      </c>
      <c r="B4275" s="12">
        <f>IFERROR(__xludf.DUMMYFUNCTION("""COMPUTED_VALUE"""),45044.0)</f>
        <v>45044</v>
      </c>
      <c r="C4275" s="13">
        <f>IFERROR(__xludf.DUMMYFUNCTION("""COMPUTED_VALUE"""),0.125)</f>
        <v>0.125</v>
      </c>
      <c r="D4275" s="8">
        <f>IFERROR(__xludf.DUMMYFUNCTION("""COMPUTED_VALUE"""),0.303)</f>
        <v>0.303</v>
      </c>
      <c r="E4275" s="8" t="str">
        <f>IFERROR(__xludf.DUMMYFUNCTION("""COMPUTED_VALUE"""),"Real")</f>
        <v>Real</v>
      </c>
      <c r="G4275" s="8">
        <f t="shared" si="1"/>
        <v>4</v>
      </c>
      <c r="H4275" s="14">
        <f t="shared" si="2"/>
        <v>28</v>
      </c>
      <c r="I4275" s="15">
        <f t="shared" si="3"/>
        <v>3</v>
      </c>
    </row>
    <row r="4276">
      <c r="A4276" s="8" t="str">
        <f>IFERROR(__xludf.DUMMYFUNCTION("IF('(INGESTA)Datos_consumo_datadis'!A4276&lt;&gt;"""",SPLIT('(INGESTA)Datos_consumo_datadis'!A:A,"",""),"""")"),"ES0031408323131005HX0F")</f>
        <v>ES0031408323131005HX0F</v>
      </c>
      <c r="B4276" s="12">
        <f>IFERROR(__xludf.DUMMYFUNCTION("""COMPUTED_VALUE"""),45044.0)</f>
        <v>45044</v>
      </c>
      <c r="C4276" s="13">
        <f>IFERROR(__xludf.DUMMYFUNCTION("""COMPUTED_VALUE"""),0.16666666666666666)</f>
        <v>0.1666666667</v>
      </c>
      <c r="D4276" s="8">
        <f>IFERROR(__xludf.DUMMYFUNCTION("""COMPUTED_VALUE"""),0.037)</f>
        <v>0.037</v>
      </c>
      <c r="E4276" s="8" t="str">
        <f>IFERROR(__xludf.DUMMYFUNCTION("""COMPUTED_VALUE"""),"Real")</f>
        <v>Real</v>
      </c>
      <c r="G4276" s="8">
        <f t="shared" si="1"/>
        <v>4</v>
      </c>
      <c r="H4276" s="14">
        <f t="shared" si="2"/>
        <v>28</v>
      </c>
      <c r="I4276" s="15">
        <f t="shared" si="3"/>
        <v>4</v>
      </c>
    </row>
    <row r="4277">
      <c r="A4277" s="8" t="str">
        <f>IFERROR(__xludf.DUMMYFUNCTION("IF('(INGESTA)Datos_consumo_datadis'!A4277&lt;&gt;"""",SPLIT('(INGESTA)Datos_consumo_datadis'!A:A,"",""),"""")"),"ES0031408323131005HX0F")</f>
        <v>ES0031408323131005HX0F</v>
      </c>
      <c r="B4277" s="12">
        <f>IFERROR(__xludf.DUMMYFUNCTION("""COMPUTED_VALUE"""),45044.0)</f>
        <v>45044</v>
      </c>
      <c r="C4277" s="13">
        <f>IFERROR(__xludf.DUMMYFUNCTION("""COMPUTED_VALUE"""),0.20833333333333334)</f>
        <v>0.2083333333</v>
      </c>
      <c r="D4277" s="8">
        <f>IFERROR(__xludf.DUMMYFUNCTION("""COMPUTED_VALUE"""),0.09)</f>
        <v>0.09</v>
      </c>
      <c r="E4277" s="8" t="str">
        <f>IFERROR(__xludf.DUMMYFUNCTION("""COMPUTED_VALUE"""),"Real")</f>
        <v>Real</v>
      </c>
      <c r="G4277" s="8">
        <f t="shared" si="1"/>
        <v>4</v>
      </c>
      <c r="H4277" s="14">
        <f t="shared" si="2"/>
        <v>28</v>
      </c>
      <c r="I4277" s="15">
        <f t="shared" si="3"/>
        <v>5</v>
      </c>
    </row>
    <row r="4278">
      <c r="A4278" s="8" t="str">
        <f>IFERROR(__xludf.DUMMYFUNCTION("IF('(INGESTA)Datos_consumo_datadis'!A4278&lt;&gt;"""",SPLIT('(INGESTA)Datos_consumo_datadis'!A:A,"",""),"""")"),"ES0031408323131005HX0F")</f>
        <v>ES0031408323131005HX0F</v>
      </c>
      <c r="B4278" s="12">
        <f>IFERROR(__xludf.DUMMYFUNCTION("""COMPUTED_VALUE"""),45044.0)</f>
        <v>45044</v>
      </c>
      <c r="C4278" s="13">
        <f>IFERROR(__xludf.DUMMYFUNCTION("""COMPUTED_VALUE"""),0.25)</f>
        <v>0.25</v>
      </c>
      <c r="D4278" s="8">
        <f>IFERROR(__xludf.DUMMYFUNCTION("""COMPUTED_VALUE"""),0.294)</f>
        <v>0.294</v>
      </c>
      <c r="E4278" s="8" t="str">
        <f>IFERROR(__xludf.DUMMYFUNCTION("""COMPUTED_VALUE"""),"Real")</f>
        <v>Real</v>
      </c>
      <c r="G4278" s="8">
        <f t="shared" si="1"/>
        <v>4</v>
      </c>
      <c r="H4278" s="14">
        <f t="shared" si="2"/>
        <v>28</v>
      </c>
      <c r="I4278" s="15">
        <f t="shared" si="3"/>
        <v>6</v>
      </c>
    </row>
    <row r="4279">
      <c r="A4279" s="8" t="str">
        <f>IFERROR(__xludf.DUMMYFUNCTION("IF('(INGESTA)Datos_consumo_datadis'!A4279&lt;&gt;"""",SPLIT('(INGESTA)Datos_consumo_datadis'!A:A,"",""),"""")"),"ES0031408323131005HX0F")</f>
        <v>ES0031408323131005HX0F</v>
      </c>
      <c r="B4279" s="12">
        <f>IFERROR(__xludf.DUMMYFUNCTION("""COMPUTED_VALUE"""),45044.0)</f>
        <v>45044</v>
      </c>
      <c r="C4279" s="13">
        <f>IFERROR(__xludf.DUMMYFUNCTION("""COMPUTED_VALUE"""),0.2916666666666667)</f>
        <v>0.2916666667</v>
      </c>
      <c r="D4279" s="8">
        <f>IFERROR(__xludf.DUMMYFUNCTION("""COMPUTED_VALUE"""),0.092)</f>
        <v>0.092</v>
      </c>
      <c r="E4279" s="8" t="str">
        <f>IFERROR(__xludf.DUMMYFUNCTION("""COMPUTED_VALUE"""),"Real")</f>
        <v>Real</v>
      </c>
      <c r="G4279" s="8">
        <f t="shared" si="1"/>
        <v>4</v>
      </c>
      <c r="H4279" s="14">
        <f t="shared" si="2"/>
        <v>28</v>
      </c>
      <c r="I4279" s="15">
        <f t="shared" si="3"/>
        <v>7</v>
      </c>
    </row>
    <row r="4280">
      <c r="A4280" s="8" t="str">
        <f>IFERROR(__xludf.DUMMYFUNCTION("IF('(INGESTA)Datos_consumo_datadis'!A4280&lt;&gt;"""",SPLIT('(INGESTA)Datos_consumo_datadis'!A:A,"",""),"""")"),"ES0031408323131005HX0F")</f>
        <v>ES0031408323131005HX0F</v>
      </c>
      <c r="B4280" s="12">
        <f>IFERROR(__xludf.DUMMYFUNCTION("""COMPUTED_VALUE"""),45044.0)</f>
        <v>45044</v>
      </c>
      <c r="C4280" s="13">
        <f>IFERROR(__xludf.DUMMYFUNCTION("""COMPUTED_VALUE"""),0.3333333333333333)</f>
        <v>0.3333333333</v>
      </c>
      <c r="D4280" s="8">
        <f>IFERROR(__xludf.DUMMYFUNCTION("""COMPUTED_VALUE"""),0.114)</f>
        <v>0.114</v>
      </c>
      <c r="E4280" s="8" t="str">
        <f>IFERROR(__xludf.DUMMYFUNCTION("""COMPUTED_VALUE"""),"Real")</f>
        <v>Real</v>
      </c>
      <c r="G4280" s="8">
        <f t="shared" si="1"/>
        <v>4</v>
      </c>
      <c r="H4280" s="14">
        <f t="shared" si="2"/>
        <v>28</v>
      </c>
      <c r="I4280" s="15">
        <f t="shared" si="3"/>
        <v>8</v>
      </c>
    </row>
    <row r="4281">
      <c r="A4281" s="8" t="str">
        <f>IFERROR(__xludf.DUMMYFUNCTION("IF('(INGESTA)Datos_consumo_datadis'!A4281&lt;&gt;"""",SPLIT('(INGESTA)Datos_consumo_datadis'!A:A,"",""),"""")"),"ES0031408323131005HX0F")</f>
        <v>ES0031408323131005HX0F</v>
      </c>
      <c r="B4281" s="12">
        <f>IFERROR(__xludf.DUMMYFUNCTION("""COMPUTED_VALUE"""),45044.0)</f>
        <v>45044</v>
      </c>
      <c r="C4281" s="13">
        <f>IFERROR(__xludf.DUMMYFUNCTION("""COMPUTED_VALUE"""),0.375)</f>
        <v>0.375</v>
      </c>
      <c r="D4281" s="8">
        <f>IFERROR(__xludf.DUMMYFUNCTION("""COMPUTED_VALUE"""),1.149)</f>
        <v>1.149</v>
      </c>
      <c r="E4281" s="8" t="str">
        <f>IFERROR(__xludf.DUMMYFUNCTION("""COMPUTED_VALUE"""),"Real")</f>
        <v>Real</v>
      </c>
      <c r="G4281" s="8">
        <f t="shared" si="1"/>
        <v>4</v>
      </c>
      <c r="H4281" s="14">
        <f t="shared" si="2"/>
        <v>28</v>
      </c>
      <c r="I4281" s="15">
        <f t="shared" si="3"/>
        <v>9</v>
      </c>
    </row>
    <row r="4282">
      <c r="A4282" s="8" t="str">
        <f>IFERROR(__xludf.DUMMYFUNCTION("IF('(INGESTA)Datos_consumo_datadis'!A4282&lt;&gt;"""",SPLIT('(INGESTA)Datos_consumo_datadis'!A:A,"",""),"""")"),"ES0031408323131005HX0F")</f>
        <v>ES0031408323131005HX0F</v>
      </c>
      <c r="B4282" s="12">
        <f>IFERROR(__xludf.DUMMYFUNCTION("""COMPUTED_VALUE"""),45044.0)</f>
        <v>45044</v>
      </c>
      <c r="C4282" s="13">
        <f>IFERROR(__xludf.DUMMYFUNCTION("""COMPUTED_VALUE"""),0.4166666666666667)</f>
        <v>0.4166666667</v>
      </c>
      <c r="D4282" s="8">
        <f>IFERROR(__xludf.DUMMYFUNCTION("""COMPUTED_VALUE"""),0.82)</f>
        <v>0.82</v>
      </c>
      <c r="E4282" s="8" t="str">
        <f>IFERROR(__xludf.DUMMYFUNCTION("""COMPUTED_VALUE"""),"Real")</f>
        <v>Real</v>
      </c>
      <c r="G4282" s="8">
        <f t="shared" si="1"/>
        <v>4</v>
      </c>
      <c r="H4282" s="14">
        <f t="shared" si="2"/>
        <v>28</v>
      </c>
      <c r="I4282" s="15">
        <f t="shared" si="3"/>
        <v>10</v>
      </c>
    </row>
    <row r="4283">
      <c r="A4283" s="8" t="str">
        <f>IFERROR(__xludf.DUMMYFUNCTION("IF('(INGESTA)Datos_consumo_datadis'!A4283&lt;&gt;"""",SPLIT('(INGESTA)Datos_consumo_datadis'!A:A,"",""),"""")"),"ES0031408323131005HX0F")</f>
        <v>ES0031408323131005HX0F</v>
      </c>
      <c r="B4283" s="12">
        <f>IFERROR(__xludf.DUMMYFUNCTION("""COMPUTED_VALUE"""),45044.0)</f>
        <v>45044</v>
      </c>
      <c r="C4283" s="13">
        <f>IFERROR(__xludf.DUMMYFUNCTION("""COMPUTED_VALUE"""),0.4583333333333333)</f>
        <v>0.4583333333</v>
      </c>
      <c r="D4283" s="8">
        <f>IFERROR(__xludf.DUMMYFUNCTION("""COMPUTED_VALUE"""),0.537)</f>
        <v>0.537</v>
      </c>
      <c r="E4283" s="8" t="str">
        <f>IFERROR(__xludf.DUMMYFUNCTION("""COMPUTED_VALUE"""),"Real")</f>
        <v>Real</v>
      </c>
      <c r="G4283" s="8">
        <f t="shared" si="1"/>
        <v>4</v>
      </c>
      <c r="H4283" s="14">
        <f t="shared" si="2"/>
        <v>28</v>
      </c>
      <c r="I4283" s="15">
        <f t="shared" si="3"/>
        <v>11</v>
      </c>
    </row>
    <row r="4284">
      <c r="A4284" s="8" t="str">
        <f>IFERROR(__xludf.DUMMYFUNCTION("IF('(INGESTA)Datos_consumo_datadis'!A4284&lt;&gt;"""",SPLIT('(INGESTA)Datos_consumo_datadis'!A:A,"",""),"""")"),"ES0031408323131005HX0F")</f>
        <v>ES0031408323131005HX0F</v>
      </c>
      <c r="B4284" s="12">
        <f>IFERROR(__xludf.DUMMYFUNCTION("""COMPUTED_VALUE"""),45044.0)</f>
        <v>45044</v>
      </c>
      <c r="C4284" s="13">
        <f>IFERROR(__xludf.DUMMYFUNCTION("""COMPUTED_VALUE"""),0.5)</f>
        <v>0.5</v>
      </c>
      <c r="D4284" s="8">
        <f>IFERROR(__xludf.DUMMYFUNCTION("""COMPUTED_VALUE"""),0.439)</f>
        <v>0.439</v>
      </c>
      <c r="E4284" s="8" t="str">
        <f>IFERROR(__xludf.DUMMYFUNCTION("""COMPUTED_VALUE"""),"Real")</f>
        <v>Real</v>
      </c>
      <c r="G4284" s="8">
        <f t="shared" si="1"/>
        <v>4</v>
      </c>
      <c r="H4284" s="14">
        <f t="shared" si="2"/>
        <v>28</v>
      </c>
      <c r="I4284" s="15">
        <f t="shared" si="3"/>
        <v>12</v>
      </c>
    </row>
    <row r="4285">
      <c r="A4285" s="8" t="str">
        <f>IFERROR(__xludf.DUMMYFUNCTION("IF('(INGESTA)Datos_consumo_datadis'!A4285&lt;&gt;"""",SPLIT('(INGESTA)Datos_consumo_datadis'!A:A,"",""),"""")"),"ES0031408323131005HX0F")</f>
        <v>ES0031408323131005HX0F</v>
      </c>
      <c r="B4285" s="12">
        <f>IFERROR(__xludf.DUMMYFUNCTION("""COMPUTED_VALUE"""),45044.0)</f>
        <v>45044</v>
      </c>
      <c r="C4285" s="13">
        <f>IFERROR(__xludf.DUMMYFUNCTION("""COMPUTED_VALUE"""),0.5416666666666666)</f>
        <v>0.5416666667</v>
      </c>
      <c r="D4285" s="8">
        <f>IFERROR(__xludf.DUMMYFUNCTION("""COMPUTED_VALUE"""),0.253)</f>
        <v>0.253</v>
      </c>
      <c r="E4285" s="8" t="str">
        <f>IFERROR(__xludf.DUMMYFUNCTION("""COMPUTED_VALUE"""),"Real")</f>
        <v>Real</v>
      </c>
      <c r="G4285" s="8">
        <f t="shared" si="1"/>
        <v>4</v>
      </c>
      <c r="H4285" s="14">
        <f t="shared" si="2"/>
        <v>28</v>
      </c>
      <c r="I4285" s="15">
        <f t="shared" si="3"/>
        <v>13</v>
      </c>
    </row>
    <row r="4286">
      <c r="A4286" s="8" t="str">
        <f>IFERROR(__xludf.DUMMYFUNCTION("IF('(INGESTA)Datos_consumo_datadis'!A4286&lt;&gt;"""",SPLIT('(INGESTA)Datos_consumo_datadis'!A:A,"",""),"""")"),"ES0031408323131005HX0F")</f>
        <v>ES0031408323131005HX0F</v>
      </c>
      <c r="B4286" s="12">
        <f>IFERROR(__xludf.DUMMYFUNCTION("""COMPUTED_VALUE"""),45044.0)</f>
        <v>45044</v>
      </c>
      <c r="C4286" s="13">
        <f>IFERROR(__xludf.DUMMYFUNCTION("""COMPUTED_VALUE"""),0.5833333333333334)</f>
        <v>0.5833333333</v>
      </c>
      <c r="D4286" s="8">
        <f>IFERROR(__xludf.DUMMYFUNCTION("""COMPUTED_VALUE"""),0.384)</f>
        <v>0.384</v>
      </c>
      <c r="E4286" s="8" t="str">
        <f>IFERROR(__xludf.DUMMYFUNCTION("""COMPUTED_VALUE"""),"Real")</f>
        <v>Real</v>
      </c>
      <c r="G4286" s="8">
        <f t="shared" si="1"/>
        <v>4</v>
      </c>
      <c r="H4286" s="14">
        <f t="shared" si="2"/>
        <v>28</v>
      </c>
      <c r="I4286" s="15">
        <f t="shared" si="3"/>
        <v>14</v>
      </c>
    </row>
    <row r="4287">
      <c r="A4287" s="8" t="str">
        <f>IFERROR(__xludf.DUMMYFUNCTION("IF('(INGESTA)Datos_consumo_datadis'!A4287&lt;&gt;"""",SPLIT('(INGESTA)Datos_consumo_datadis'!A:A,"",""),"""")"),"ES0031408323131005HX0F")</f>
        <v>ES0031408323131005HX0F</v>
      </c>
      <c r="B4287" s="12">
        <f>IFERROR(__xludf.DUMMYFUNCTION("""COMPUTED_VALUE"""),45044.0)</f>
        <v>45044</v>
      </c>
      <c r="C4287" s="13">
        <f>IFERROR(__xludf.DUMMYFUNCTION("""COMPUTED_VALUE"""),0.625)</f>
        <v>0.625</v>
      </c>
      <c r="D4287" s="8">
        <f>IFERROR(__xludf.DUMMYFUNCTION("""COMPUTED_VALUE"""),0.109)</f>
        <v>0.109</v>
      </c>
      <c r="E4287" s="8" t="str">
        <f>IFERROR(__xludf.DUMMYFUNCTION("""COMPUTED_VALUE"""),"Real")</f>
        <v>Real</v>
      </c>
      <c r="G4287" s="8">
        <f t="shared" si="1"/>
        <v>4</v>
      </c>
      <c r="H4287" s="14">
        <f t="shared" si="2"/>
        <v>28</v>
      </c>
      <c r="I4287" s="15">
        <f t="shared" si="3"/>
        <v>15</v>
      </c>
    </row>
    <row r="4288">
      <c r="A4288" s="8" t="str">
        <f>IFERROR(__xludf.DUMMYFUNCTION("IF('(INGESTA)Datos_consumo_datadis'!A4288&lt;&gt;"""",SPLIT('(INGESTA)Datos_consumo_datadis'!A:A,"",""),"""")"),"ES0031408323131005HX0F")</f>
        <v>ES0031408323131005HX0F</v>
      </c>
      <c r="B4288" s="12">
        <f>IFERROR(__xludf.DUMMYFUNCTION("""COMPUTED_VALUE"""),45044.0)</f>
        <v>45044</v>
      </c>
      <c r="C4288" s="13">
        <f>IFERROR(__xludf.DUMMYFUNCTION("""COMPUTED_VALUE"""),0.6666666666666666)</f>
        <v>0.6666666667</v>
      </c>
      <c r="D4288" s="8">
        <f>IFERROR(__xludf.DUMMYFUNCTION("""COMPUTED_VALUE"""),0.049)</f>
        <v>0.049</v>
      </c>
      <c r="E4288" s="8" t="str">
        <f>IFERROR(__xludf.DUMMYFUNCTION("""COMPUTED_VALUE"""),"Real")</f>
        <v>Real</v>
      </c>
      <c r="G4288" s="8">
        <f t="shared" si="1"/>
        <v>4</v>
      </c>
      <c r="H4288" s="14">
        <f t="shared" si="2"/>
        <v>28</v>
      </c>
      <c r="I4288" s="15">
        <f t="shared" si="3"/>
        <v>16</v>
      </c>
    </row>
    <row r="4289">
      <c r="A4289" s="8" t="str">
        <f>IFERROR(__xludf.DUMMYFUNCTION("IF('(INGESTA)Datos_consumo_datadis'!A4289&lt;&gt;"""",SPLIT('(INGESTA)Datos_consumo_datadis'!A:A,"",""),"""")"),"ES0031408323131005HX0F")</f>
        <v>ES0031408323131005HX0F</v>
      </c>
      <c r="B4289" s="12">
        <f>IFERROR(__xludf.DUMMYFUNCTION("""COMPUTED_VALUE"""),45044.0)</f>
        <v>45044</v>
      </c>
      <c r="C4289" s="13">
        <f>IFERROR(__xludf.DUMMYFUNCTION("""COMPUTED_VALUE"""),0.7083333333333334)</f>
        <v>0.7083333333</v>
      </c>
      <c r="D4289" s="8">
        <f>IFERROR(__xludf.DUMMYFUNCTION("""COMPUTED_VALUE"""),0.082)</f>
        <v>0.082</v>
      </c>
      <c r="E4289" s="8" t="str">
        <f>IFERROR(__xludf.DUMMYFUNCTION("""COMPUTED_VALUE"""),"Real")</f>
        <v>Real</v>
      </c>
      <c r="G4289" s="8">
        <f t="shared" si="1"/>
        <v>4</v>
      </c>
      <c r="H4289" s="14">
        <f t="shared" si="2"/>
        <v>28</v>
      </c>
      <c r="I4289" s="15">
        <f t="shared" si="3"/>
        <v>17</v>
      </c>
    </row>
    <row r="4290">
      <c r="A4290" s="8" t="str">
        <f>IFERROR(__xludf.DUMMYFUNCTION("IF('(INGESTA)Datos_consumo_datadis'!A4290&lt;&gt;"""",SPLIT('(INGESTA)Datos_consumo_datadis'!A:A,"",""),"""")"),"ES0031408323131005HX0F")</f>
        <v>ES0031408323131005HX0F</v>
      </c>
      <c r="B4290" s="12">
        <f>IFERROR(__xludf.DUMMYFUNCTION("""COMPUTED_VALUE"""),45044.0)</f>
        <v>45044</v>
      </c>
      <c r="C4290" s="13">
        <f>IFERROR(__xludf.DUMMYFUNCTION("""COMPUTED_VALUE"""),0.75)</f>
        <v>0.75</v>
      </c>
      <c r="D4290" s="8">
        <f>IFERROR(__xludf.DUMMYFUNCTION("""COMPUTED_VALUE"""),0.046)</f>
        <v>0.046</v>
      </c>
      <c r="E4290" s="8" t="str">
        <f>IFERROR(__xludf.DUMMYFUNCTION("""COMPUTED_VALUE"""),"Real")</f>
        <v>Real</v>
      </c>
      <c r="G4290" s="8">
        <f t="shared" si="1"/>
        <v>4</v>
      </c>
      <c r="H4290" s="14">
        <f t="shared" si="2"/>
        <v>28</v>
      </c>
      <c r="I4290" s="15">
        <f t="shared" si="3"/>
        <v>18</v>
      </c>
    </row>
    <row r="4291">
      <c r="A4291" s="8" t="str">
        <f>IFERROR(__xludf.DUMMYFUNCTION("IF('(INGESTA)Datos_consumo_datadis'!A4291&lt;&gt;"""",SPLIT('(INGESTA)Datos_consumo_datadis'!A:A,"",""),"""")"),"ES0031408323131005HX0F")</f>
        <v>ES0031408323131005HX0F</v>
      </c>
      <c r="B4291" s="12">
        <f>IFERROR(__xludf.DUMMYFUNCTION("""COMPUTED_VALUE"""),45044.0)</f>
        <v>45044</v>
      </c>
      <c r="C4291" s="13">
        <f>IFERROR(__xludf.DUMMYFUNCTION("""COMPUTED_VALUE"""),0.7916666666666666)</f>
        <v>0.7916666667</v>
      </c>
      <c r="D4291" s="8">
        <f>IFERROR(__xludf.DUMMYFUNCTION("""COMPUTED_VALUE"""),0.054)</f>
        <v>0.054</v>
      </c>
      <c r="E4291" s="8" t="str">
        <f>IFERROR(__xludf.DUMMYFUNCTION("""COMPUTED_VALUE"""),"Real")</f>
        <v>Real</v>
      </c>
      <c r="G4291" s="8">
        <f t="shared" si="1"/>
        <v>4</v>
      </c>
      <c r="H4291" s="14">
        <f t="shared" si="2"/>
        <v>28</v>
      </c>
      <c r="I4291" s="15">
        <f t="shared" si="3"/>
        <v>19</v>
      </c>
    </row>
    <row r="4292">
      <c r="A4292" s="8" t="str">
        <f>IFERROR(__xludf.DUMMYFUNCTION("IF('(INGESTA)Datos_consumo_datadis'!A4292&lt;&gt;"""",SPLIT('(INGESTA)Datos_consumo_datadis'!A:A,"",""),"""")"),"ES0031408323131005HX0F")</f>
        <v>ES0031408323131005HX0F</v>
      </c>
      <c r="B4292" s="12">
        <f>IFERROR(__xludf.DUMMYFUNCTION("""COMPUTED_VALUE"""),45044.0)</f>
        <v>45044</v>
      </c>
      <c r="C4292" s="13">
        <f>IFERROR(__xludf.DUMMYFUNCTION("""COMPUTED_VALUE"""),0.8333333333333334)</f>
        <v>0.8333333333</v>
      </c>
      <c r="D4292" s="8">
        <f>IFERROR(__xludf.DUMMYFUNCTION("""COMPUTED_VALUE"""),0.087)</f>
        <v>0.087</v>
      </c>
      <c r="E4292" s="8" t="str">
        <f>IFERROR(__xludf.DUMMYFUNCTION("""COMPUTED_VALUE"""),"Real")</f>
        <v>Real</v>
      </c>
      <c r="G4292" s="8">
        <f t="shared" si="1"/>
        <v>4</v>
      </c>
      <c r="H4292" s="14">
        <f t="shared" si="2"/>
        <v>28</v>
      </c>
      <c r="I4292" s="15">
        <f t="shared" si="3"/>
        <v>20</v>
      </c>
    </row>
    <row r="4293">
      <c r="A4293" s="8" t="str">
        <f>IFERROR(__xludf.DUMMYFUNCTION("IF('(INGESTA)Datos_consumo_datadis'!A4293&lt;&gt;"""",SPLIT('(INGESTA)Datos_consumo_datadis'!A:A,"",""),"""")"),"ES0031408323131005HX0F")</f>
        <v>ES0031408323131005HX0F</v>
      </c>
      <c r="B4293" s="12">
        <f>IFERROR(__xludf.DUMMYFUNCTION("""COMPUTED_VALUE"""),45044.0)</f>
        <v>45044</v>
      </c>
      <c r="C4293" s="13">
        <f>IFERROR(__xludf.DUMMYFUNCTION("""COMPUTED_VALUE"""),0.875)</f>
        <v>0.875</v>
      </c>
      <c r="D4293" s="8">
        <f>IFERROR(__xludf.DUMMYFUNCTION("""COMPUTED_VALUE"""),0.353)</f>
        <v>0.353</v>
      </c>
      <c r="E4293" s="8" t="str">
        <f>IFERROR(__xludf.DUMMYFUNCTION("""COMPUTED_VALUE"""),"Real")</f>
        <v>Real</v>
      </c>
      <c r="G4293" s="8">
        <f t="shared" si="1"/>
        <v>4</v>
      </c>
      <c r="H4293" s="14">
        <f t="shared" si="2"/>
        <v>28</v>
      </c>
      <c r="I4293" s="15">
        <f t="shared" si="3"/>
        <v>21</v>
      </c>
    </row>
    <row r="4294">
      <c r="A4294" s="8" t="str">
        <f>IFERROR(__xludf.DUMMYFUNCTION("IF('(INGESTA)Datos_consumo_datadis'!A4294&lt;&gt;"""",SPLIT('(INGESTA)Datos_consumo_datadis'!A:A,"",""),"""")"),"ES0031408323131005HX0F")</f>
        <v>ES0031408323131005HX0F</v>
      </c>
      <c r="B4294" s="12">
        <f>IFERROR(__xludf.DUMMYFUNCTION("""COMPUTED_VALUE"""),45044.0)</f>
        <v>45044</v>
      </c>
      <c r="C4294" s="13">
        <f>IFERROR(__xludf.DUMMYFUNCTION("""COMPUTED_VALUE"""),0.9166666666666666)</f>
        <v>0.9166666667</v>
      </c>
      <c r="D4294" s="8">
        <f>IFERROR(__xludf.DUMMYFUNCTION("""COMPUTED_VALUE"""),0.021)</f>
        <v>0.021</v>
      </c>
      <c r="E4294" s="8" t="str">
        <f>IFERROR(__xludf.DUMMYFUNCTION("""COMPUTED_VALUE"""),"Real")</f>
        <v>Real</v>
      </c>
      <c r="G4294" s="8">
        <f t="shared" si="1"/>
        <v>4</v>
      </c>
      <c r="H4294" s="14">
        <f t="shared" si="2"/>
        <v>28</v>
      </c>
      <c r="I4294" s="15">
        <f t="shared" si="3"/>
        <v>22</v>
      </c>
    </row>
    <row r="4295">
      <c r="A4295" s="8" t="str">
        <f>IFERROR(__xludf.DUMMYFUNCTION("IF('(INGESTA)Datos_consumo_datadis'!A4295&lt;&gt;"""",SPLIT('(INGESTA)Datos_consumo_datadis'!A:A,"",""),"""")"),"ES0031408323131005HX0F")</f>
        <v>ES0031408323131005HX0F</v>
      </c>
      <c r="B4295" s="12">
        <f>IFERROR(__xludf.DUMMYFUNCTION("""COMPUTED_VALUE"""),45044.0)</f>
        <v>45044</v>
      </c>
      <c r="C4295" s="13">
        <f>IFERROR(__xludf.DUMMYFUNCTION("""COMPUTED_VALUE"""),0.9583333333333334)</f>
        <v>0.9583333333</v>
      </c>
      <c r="D4295" s="8">
        <f>IFERROR(__xludf.DUMMYFUNCTION("""COMPUTED_VALUE"""),0.067)</f>
        <v>0.067</v>
      </c>
      <c r="E4295" s="8" t="str">
        <f>IFERROR(__xludf.DUMMYFUNCTION("""COMPUTED_VALUE"""),"Real")</f>
        <v>Real</v>
      </c>
      <c r="G4295" s="8">
        <f t="shared" si="1"/>
        <v>4</v>
      </c>
      <c r="H4295" s="14">
        <f t="shared" si="2"/>
        <v>28</v>
      </c>
      <c r="I4295" s="15">
        <f t="shared" si="3"/>
        <v>23</v>
      </c>
    </row>
    <row r="4296">
      <c r="A4296" s="8" t="str">
        <f>IFERROR(__xludf.DUMMYFUNCTION("IF('(INGESTA)Datos_consumo_datadis'!A4296&lt;&gt;"""",SPLIT('(INGESTA)Datos_consumo_datadis'!A:A,"",""),"""")"),"ES0031408323131005HX0F")</f>
        <v>ES0031408323131005HX0F</v>
      </c>
      <c r="B4296" s="12">
        <f>IFERROR(__xludf.DUMMYFUNCTION("""COMPUTED_VALUE"""),45044.0)</f>
        <v>45044</v>
      </c>
      <c r="C4296" s="16">
        <f>IFERROR(__xludf.DUMMYFUNCTION("""COMPUTED_VALUE"""),1.0)</f>
        <v>1</v>
      </c>
      <c r="D4296" s="8">
        <f>IFERROR(__xludf.DUMMYFUNCTION("""COMPUTED_VALUE"""),0.242)</f>
        <v>0.242</v>
      </c>
      <c r="E4296" s="8" t="str">
        <f>IFERROR(__xludf.DUMMYFUNCTION("""COMPUTED_VALUE"""),"Real")</f>
        <v>Real</v>
      </c>
      <c r="G4296" s="8">
        <f t="shared" si="1"/>
        <v>4</v>
      </c>
      <c r="H4296" s="14">
        <f t="shared" si="2"/>
        <v>28</v>
      </c>
      <c r="I4296" s="15">
        <f t="shared" si="3"/>
        <v>0</v>
      </c>
    </row>
    <row r="4297">
      <c r="A4297" s="8" t="str">
        <f>IFERROR(__xludf.DUMMYFUNCTION("IF('(INGESTA)Datos_consumo_datadis'!A4297&lt;&gt;"""",SPLIT('(INGESTA)Datos_consumo_datadis'!A:A,"",""),"""")"),"ES0031408323131005HX0F")</f>
        <v>ES0031408323131005HX0F</v>
      </c>
      <c r="B4297" s="12">
        <f>IFERROR(__xludf.DUMMYFUNCTION("""COMPUTED_VALUE"""),45045.0)</f>
        <v>45045</v>
      </c>
      <c r="C4297" s="13">
        <f>IFERROR(__xludf.DUMMYFUNCTION("""COMPUTED_VALUE"""),0.041666666666666664)</f>
        <v>0.04166666667</v>
      </c>
      <c r="D4297" s="8">
        <f>IFERROR(__xludf.DUMMYFUNCTION("""COMPUTED_VALUE"""),0.448)</f>
        <v>0.448</v>
      </c>
      <c r="E4297" s="8" t="str">
        <f>IFERROR(__xludf.DUMMYFUNCTION("""COMPUTED_VALUE"""),"Real")</f>
        <v>Real</v>
      </c>
      <c r="G4297" s="8">
        <f t="shared" si="1"/>
        <v>4</v>
      </c>
      <c r="H4297" s="14">
        <f t="shared" si="2"/>
        <v>29</v>
      </c>
      <c r="I4297" s="15">
        <f t="shared" si="3"/>
        <v>1</v>
      </c>
    </row>
    <row r="4298">
      <c r="A4298" s="8" t="str">
        <f>IFERROR(__xludf.DUMMYFUNCTION("IF('(INGESTA)Datos_consumo_datadis'!A4298&lt;&gt;"""",SPLIT('(INGESTA)Datos_consumo_datadis'!A:A,"",""),"""")"),"ES0031408323131005HX0F")</f>
        <v>ES0031408323131005HX0F</v>
      </c>
      <c r="B4298" s="12">
        <f>IFERROR(__xludf.DUMMYFUNCTION("""COMPUTED_VALUE"""),45045.0)</f>
        <v>45045</v>
      </c>
      <c r="C4298" s="13">
        <f>IFERROR(__xludf.DUMMYFUNCTION("""COMPUTED_VALUE"""),0.08333333333333333)</f>
        <v>0.08333333333</v>
      </c>
      <c r="D4298" s="8">
        <f>IFERROR(__xludf.DUMMYFUNCTION("""COMPUTED_VALUE"""),0.183)</f>
        <v>0.183</v>
      </c>
      <c r="E4298" s="8" t="str">
        <f>IFERROR(__xludf.DUMMYFUNCTION("""COMPUTED_VALUE"""),"Real")</f>
        <v>Real</v>
      </c>
      <c r="G4298" s="8">
        <f t="shared" si="1"/>
        <v>4</v>
      </c>
      <c r="H4298" s="14">
        <f t="shared" si="2"/>
        <v>29</v>
      </c>
      <c r="I4298" s="15">
        <f t="shared" si="3"/>
        <v>2</v>
      </c>
    </row>
    <row r="4299">
      <c r="A4299" s="8" t="str">
        <f>IFERROR(__xludf.DUMMYFUNCTION("IF('(INGESTA)Datos_consumo_datadis'!A4299&lt;&gt;"""",SPLIT('(INGESTA)Datos_consumo_datadis'!A:A,"",""),"""")"),"ES0031408323131005HX0F")</f>
        <v>ES0031408323131005HX0F</v>
      </c>
      <c r="B4299" s="12">
        <f>IFERROR(__xludf.DUMMYFUNCTION("""COMPUTED_VALUE"""),45045.0)</f>
        <v>45045</v>
      </c>
      <c r="C4299" s="13">
        <f>IFERROR(__xludf.DUMMYFUNCTION("""COMPUTED_VALUE"""),0.125)</f>
        <v>0.125</v>
      </c>
      <c r="D4299" s="8">
        <f>IFERROR(__xludf.DUMMYFUNCTION("""COMPUTED_VALUE"""),0.217)</f>
        <v>0.217</v>
      </c>
      <c r="E4299" s="8" t="str">
        <f>IFERROR(__xludf.DUMMYFUNCTION("""COMPUTED_VALUE"""),"Real")</f>
        <v>Real</v>
      </c>
      <c r="G4299" s="8">
        <f t="shared" si="1"/>
        <v>4</v>
      </c>
      <c r="H4299" s="14">
        <f t="shared" si="2"/>
        <v>29</v>
      </c>
      <c r="I4299" s="15">
        <f t="shared" si="3"/>
        <v>3</v>
      </c>
    </row>
    <row r="4300">
      <c r="A4300" s="8" t="str">
        <f>IFERROR(__xludf.DUMMYFUNCTION("IF('(INGESTA)Datos_consumo_datadis'!A4300&lt;&gt;"""",SPLIT('(INGESTA)Datos_consumo_datadis'!A:A,"",""),"""")"),"ES0031408323131005HX0F")</f>
        <v>ES0031408323131005HX0F</v>
      </c>
      <c r="B4300" s="12">
        <f>IFERROR(__xludf.DUMMYFUNCTION("""COMPUTED_VALUE"""),45045.0)</f>
        <v>45045</v>
      </c>
      <c r="C4300" s="13">
        <f>IFERROR(__xludf.DUMMYFUNCTION("""COMPUTED_VALUE"""),0.16666666666666666)</f>
        <v>0.1666666667</v>
      </c>
      <c r="D4300" s="8">
        <f>IFERROR(__xludf.DUMMYFUNCTION("""COMPUTED_VALUE"""),0.468)</f>
        <v>0.468</v>
      </c>
      <c r="E4300" s="8" t="str">
        <f>IFERROR(__xludf.DUMMYFUNCTION("""COMPUTED_VALUE"""),"Real")</f>
        <v>Real</v>
      </c>
      <c r="G4300" s="8">
        <f t="shared" si="1"/>
        <v>4</v>
      </c>
      <c r="H4300" s="14">
        <f t="shared" si="2"/>
        <v>29</v>
      </c>
      <c r="I4300" s="15">
        <f t="shared" si="3"/>
        <v>4</v>
      </c>
    </row>
    <row r="4301">
      <c r="A4301" s="8" t="str">
        <f>IFERROR(__xludf.DUMMYFUNCTION("IF('(INGESTA)Datos_consumo_datadis'!A4301&lt;&gt;"""",SPLIT('(INGESTA)Datos_consumo_datadis'!A:A,"",""),"""")"),"ES0031408323131005HX0F")</f>
        <v>ES0031408323131005HX0F</v>
      </c>
      <c r="B4301" s="12">
        <f>IFERROR(__xludf.DUMMYFUNCTION("""COMPUTED_VALUE"""),45045.0)</f>
        <v>45045</v>
      </c>
      <c r="C4301" s="13">
        <f>IFERROR(__xludf.DUMMYFUNCTION("""COMPUTED_VALUE"""),0.20833333333333334)</f>
        <v>0.2083333333</v>
      </c>
      <c r="D4301" s="8">
        <f>IFERROR(__xludf.DUMMYFUNCTION("""COMPUTED_VALUE"""),0.088)</f>
        <v>0.088</v>
      </c>
      <c r="E4301" s="8" t="str">
        <f>IFERROR(__xludf.DUMMYFUNCTION("""COMPUTED_VALUE"""),"Real")</f>
        <v>Real</v>
      </c>
      <c r="G4301" s="8">
        <f t="shared" si="1"/>
        <v>4</v>
      </c>
      <c r="H4301" s="14">
        <f t="shared" si="2"/>
        <v>29</v>
      </c>
      <c r="I4301" s="15">
        <f t="shared" si="3"/>
        <v>5</v>
      </c>
    </row>
    <row r="4302">
      <c r="A4302" s="8" t="str">
        <f>IFERROR(__xludf.DUMMYFUNCTION("IF('(INGESTA)Datos_consumo_datadis'!A4302&lt;&gt;"""",SPLIT('(INGESTA)Datos_consumo_datadis'!A:A,"",""),"""")"),"ES0031408323131005HX0F")</f>
        <v>ES0031408323131005HX0F</v>
      </c>
      <c r="B4302" s="12">
        <f>IFERROR(__xludf.DUMMYFUNCTION("""COMPUTED_VALUE"""),45045.0)</f>
        <v>45045</v>
      </c>
      <c r="C4302" s="13">
        <f>IFERROR(__xludf.DUMMYFUNCTION("""COMPUTED_VALUE"""),0.25)</f>
        <v>0.25</v>
      </c>
      <c r="D4302" s="8">
        <f>IFERROR(__xludf.DUMMYFUNCTION("""COMPUTED_VALUE"""),0.056)</f>
        <v>0.056</v>
      </c>
      <c r="E4302" s="8" t="str">
        <f>IFERROR(__xludf.DUMMYFUNCTION("""COMPUTED_VALUE"""),"Real")</f>
        <v>Real</v>
      </c>
      <c r="G4302" s="8">
        <f t="shared" si="1"/>
        <v>4</v>
      </c>
      <c r="H4302" s="14">
        <f t="shared" si="2"/>
        <v>29</v>
      </c>
      <c r="I4302" s="15">
        <f t="shared" si="3"/>
        <v>6</v>
      </c>
    </row>
    <row r="4303">
      <c r="A4303" s="8" t="str">
        <f>IFERROR(__xludf.DUMMYFUNCTION("IF('(INGESTA)Datos_consumo_datadis'!A4303&lt;&gt;"""",SPLIT('(INGESTA)Datos_consumo_datadis'!A:A,"",""),"""")"),"ES0031408323131005HX0F")</f>
        <v>ES0031408323131005HX0F</v>
      </c>
      <c r="B4303" s="12">
        <f>IFERROR(__xludf.DUMMYFUNCTION("""COMPUTED_VALUE"""),45045.0)</f>
        <v>45045</v>
      </c>
      <c r="C4303" s="13">
        <f>IFERROR(__xludf.DUMMYFUNCTION("""COMPUTED_VALUE"""),0.2916666666666667)</f>
        <v>0.2916666667</v>
      </c>
      <c r="D4303" s="8">
        <f>IFERROR(__xludf.DUMMYFUNCTION("""COMPUTED_VALUE"""),0.017)</f>
        <v>0.017</v>
      </c>
      <c r="E4303" s="8" t="str">
        <f>IFERROR(__xludf.DUMMYFUNCTION("""COMPUTED_VALUE"""),"Real")</f>
        <v>Real</v>
      </c>
      <c r="G4303" s="8">
        <f t="shared" si="1"/>
        <v>4</v>
      </c>
      <c r="H4303" s="14">
        <f t="shared" si="2"/>
        <v>29</v>
      </c>
      <c r="I4303" s="15">
        <f t="shared" si="3"/>
        <v>7</v>
      </c>
    </row>
    <row r="4304">
      <c r="A4304" s="8" t="str">
        <f>IFERROR(__xludf.DUMMYFUNCTION("IF('(INGESTA)Datos_consumo_datadis'!A4304&lt;&gt;"""",SPLIT('(INGESTA)Datos_consumo_datadis'!A:A,"",""),"""")"),"ES0031408323131005HX0F")</f>
        <v>ES0031408323131005HX0F</v>
      </c>
      <c r="B4304" s="12">
        <f>IFERROR(__xludf.DUMMYFUNCTION("""COMPUTED_VALUE"""),45045.0)</f>
        <v>45045</v>
      </c>
      <c r="C4304" s="13">
        <f>IFERROR(__xludf.DUMMYFUNCTION("""COMPUTED_VALUE"""),0.3333333333333333)</f>
        <v>0.3333333333</v>
      </c>
      <c r="D4304" s="8">
        <f>IFERROR(__xludf.DUMMYFUNCTION("""COMPUTED_VALUE"""),0.108)</f>
        <v>0.108</v>
      </c>
      <c r="E4304" s="8" t="str">
        <f>IFERROR(__xludf.DUMMYFUNCTION("""COMPUTED_VALUE"""),"Real")</f>
        <v>Real</v>
      </c>
      <c r="G4304" s="8">
        <f t="shared" si="1"/>
        <v>4</v>
      </c>
      <c r="H4304" s="14">
        <f t="shared" si="2"/>
        <v>29</v>
      </c>
      <c r="I4304" s="15">
        <f t="shared" si="3"/>
        <v>8</v>
      </c>
    </row>
    <row r="4305">
      <c r="A4305" s="8" t="str">
        <f>IFERROR(__xludf.DUMMYFUNCTION("IF('(INGESTA)Datos_consumo_datadis'!A4305&lt;&gt;"""",SPLIT('(INGESTA)Datos_consumo_datadis'!A:A,"",""),"""")"),"ES0031408323131005HX0F")</f>
        <v>ES0031408323131005HX0F</v>
      </c>
      <c r="B4305" s="12">
        <f>IFERROR(__xludf.DUMMYFUNCTION("""COMPUTED_VALUE"""),45045.0)</f>
        <v>45045</v>
      </c>
      <c r="C4305" s="13">
        <f>IFERROR(__xludf.DUMMYFUNCTION("""COMPUTED_VALUE"""),0.375)</f>
        <v>0.375</v>
      </c>
      <c r="D4305" s="8">
        <f>IFERROR(__xludf.DUMMYFUNCTION("""COMPUTED_VALUE"""),0.071)</f>
        <v>0.071</v>
      </c>
      <c r="E4305" s="8" t="str">
        <f>IFERROR(__xludf.DUMMYFUNCTION("""COMPUTED_VALUE"""),"Real")</f>
        <v>Real</v>
      </c>
      <c r="G4305" s="8">
        <f t="shared" si="1"/>
        <v>4</v>
      </c>
      <c r="H4305" s="14">
        <f t="shared" si="2"/>
        <v>29</v>
      </c>
      <c r="I4305" s="15">
        <f t="shared" si="3"/>
        <v>9</v>
      </c>
    </row>
    <row r="4306">
      <c r="A4306" s="8" t="str">
        <f>IFERROR(__xludf.DUMMYFUNCTION("IF('(INGESTA)Datos_consumo_datadis'!A4306&lt;&gt;"""",SPLIT('(INGESTA)Datos_consumo_datadis'!A:A,"",""),"""")"),"ES0031408323131005HX0F")</f>
        <v>ES0031408323131005HX0F</v>
      </c>
      <c r="B4306" s="12">
        <f>IFERROR(__xludf.DUMMYFUNCTION("""COMPUTED_VALUE"""),45045.0)</f>
        <v>45045</v>
      </c>
      <c r="C4306" s="13">
        <f>IFERROR(__xludf.DUMMYFUNCTION("""COMPUTED_VALUE"""),0.4166666666666667)</f>
        <v>0.4166666667</v>
      </c>
      <c r="D4306" s="8">
        <f>IFERROR(__xludf.DUMMYFUNCTION("""COMPUTED_VALUE"""),0.119)</f>
        <v>0.119</v>
      </c>
      <c r="E4306" s="8" t="str">
        <f>IFERROR(__xludf.DUMMYFUNCTION("""COMPUTED_VALUE"""),"Real")</f>
        <v>Real</v>
      </c>
      <c r="G4306" s="8">
        <f t="shared" si="1"/>
        <v>4</v>
      </c>
      <c r="H4306" s="14">
        <f t="shared" si="2"/>
        <v>29</v>
      </c>
      <c r="I4306" s="15">
        <f t="shared" si="3"/>
        <v>10</v>
      </c>
    </row>
    <row r="4307">
      <c r="A4307" s="8" t="str">
        <f>IFERROR(__xludf.DUMMYFUNCTION("IF('(INGESTA)Datos_consumo_datadis'!A4307&lt;&gt;"""",SPLIT('(INGESTA)Datos_consumo_datadis'!A:A,"",""),"""")"),"ES0031408323131005HX0F")</f>
        <v>ES0031408323131005HX0F</v>
      </c>
      <c r="B4307" s="12">
        <f>IFERROR(__xludf.DUMMYFUNCTION("""COMPUTED_VALUE"""),45045.0)</f>
        <v>45045</v>
      </c>
      <c r="C4307" s="13">
        <f>IFERROR(__xludf.DUMMYFUNCTION("""COMPUTED_VALUE"""),0.4583333333333333)</f>
        <v>0.4583333333</v>
      </c>
      <c r="D4307" s="8">
        <f>IFERROR(__xludf.DUMMYFUNCTION("""COMPUTED_VALUE"""),0.536)</f>
        <v>0.536</v>
      </c>
      <c r="E4307" s="8" t="str">
        <f>IFERROR(__xludf.DUMMYFUNCTION("""COMPUTED_VALUE"""),"Real")</f>
        <v>Real</v>
      </c>
      <c r="G4307" s="8">
        <f t="shared" si="1"/>
        <v>4</v>
      </c>
      <c r="H4307" s="14">
        <f t="shared" si="2"/>
        <v>29</v>
      </c>
      <c r="I4307" s="15">
        <f t="shared" si="3"/>
        <v>11</v>
      </c>
    </row>
    <row r="4308">
      <c r="A4308" s="8" t="str">
        <f>IFERROR(__xludf.DUMMYFUNCTION("IF('(INGESTA)Datos_consumo_datadis'!A4308&lt;&gt;"""",SPLIT('(INGESTA)Datos_consumo_datadis'!A:A,"",""),"""")"),"ES0031408323131005HX0F")</f>
        <v>ES0031408323131005HX0F</v>
      </c>
      <c r="B4308" s="12">
        <f>IFERROR(__xludf.DUMMYFUNCTION("""COMPUTED_VALUE"""),45045.0)</f>
        <v>45045</v>
      </c>
      <c r="C4308" s="13">
        <f>IFERROR(__xludf.DUMMYFUNCTION("""COMPUTED_VALUE"""),0.5)</f>
        <v>0.5</v>
      </c>
      <c r="D4308" s="8">
        <f>IFERROR(__xludf.DUMMYFUNCTION("""COMPUTED_VALUE"""),0.536)</f>
        <v>0.536</v>
      </c>
      <c r="E4308" s="8" t="str">
        <f>IFERROR(__xludf.DUMMYFUNCTION("""COMPUTED_VALUE"""),"Real")</f>
        <v>Real</v>
      </c>
      <c r="G4308" s="8">
        <f t="shared" si="1"/>
        <v>4</v>
      </c>
      <c r="H4308" s="14">
        <f t="shared" si="2"/>
        <v>29</v>
      </c>
      <c r="I4308" s="15">
        <f t="shared" si="3"/>
        <v>12</v>
      </c>
    </row>
    <row r="4309">
      <c r="A4309" s="8" t="str">
        <f>IFERROR(__xludf.DUMMYFUNCTION("IF('(INGESTA)Datos_consumo_datadis'!A4309&lt;&gt;"""",SPLIT('(INGESTA)Datos_consumo_datadis'!A:A,"",""),"""")"),"ES0031408323131005HX0F")</f>
        <v>ES0031408323131005HX0F</v>
      </c>
      <c r="B4309" s="12">
        <f>IFERROR(__xludf.DUMMYFUNCTION("""COMPUTED_VALUE"""),45045.0)</f>
        <v>45045</v>
      </c>
      <c r="C4309" s="13">
        <f>IFERROR(__xludf.DUMMYFUNCTION("""COMPUTED_VALUE"""),0.5416666666666666)</f>
        <v>0.5416666667</v>
      </c>
      <c r="D4309" s="8">
        <f>IFERROR(__xludf.DUMMYFUNCTION("""COMPUTED_VALUE"""),2.187)</f>
        <v>2.187</v>
      </c>
      <c r="E4309" s="8" t="str">
        <f>IFERROR(__xludf.DUMMYFUNCTION("""COMPUTED_VALUE"""),"Real")</f>
        <v>Real</v>
      </c>
      <c r="G4309" s="8">
        <f t="shared" si="1"/>
        <v>4</v>
      </c>
      <c r="H4309" s="14">
        <f t="shared" si="2"/>
        <v>29</v>
      </c>
      <c r="I4309" s="15">
        <f t="shared" si="3"/>
        <v>13</v>
      </c>
    </row>
    <row r="4310">
      <c r="A4310" s="8" t="str">
        <f>IFERROR(__xludf.DUMMYFUNCTION("IF('(INGESTA)Datos_consumo_datadis'!A4310&lt;&gt;"""",SPLIT('(INGESTA)Datos_consumo_datadis'!A:A,"",""),"""")"),"ES0031408323131005HX0F")</f>
        <v>ES0031408323131005HX0F</v>
      </c>
      <c r="B4310" s="12">
        <f>IFERROR(__xludf.DUMMYFUNCTION("""COMPUTED_VALUE"""),45045.0)</f>
        <v>45045</v>
      </c>
      <c r="C4310" s="13">
        <f>IFERROR(__xludf.DUMMYFUNCTION("""COMPUTED_VALUE"""),0.5833333333333334)</f>
        <v>0.5833333333</v>
      </c>
      <c r="D4310" s="8">
        <f>IFERROR(__xludf.DUMMYFUNCTION("""COMPUTED_VALUE"""),1.236)</f>
        <v>1.236</v>
      </c>
      <c r="E4310" s="8" t="str">
        <f>IFERROR(__xludf.DUMMYFUNCTION("""COMPUTED_VALUE"""),"Real")</f>
        <v>Real</v>
      </c>
      <c r="G4310" s="8">
        <f t="shared" si="1"/>
        <v>4</v>
      </c>
      <c r="H4310" s="14">
        <f t="shared" si="2"/>
        <v>29</v>
      </c>
      <c r="I4310" s="15">
        <f t="shared" si="3"/>
        <v>14</v>
      </c>
    </row>
    <row r="4311">
      <c r="A4311" s="8" t="str">
        <f>IFERROR(__xludf.DUMMYFUNCTION("IF('(INGESTA)Datos_consumo_datadis'!A4311&lt;&gt;"""",SPLIT('(INGESTA)Datos_consumo_datadis'!A:A,"",""),"""")"),"ES0031408323131005HX0F")</f>
        <v>ES0031408323131005HX0F</v>
      </c>
      <c r="B4311" s="12">
        <f>IFERROR(__xludf.DUMMYFUNCTION("""COMPUTED_VALUE"""),45045.0)</f>
        <v>45045</v>
      </c>
      <c r="C4311" s="13">
        <f>IFERROR(__xludf.DUMMYFUNCTION("""COMPUTED_VALUE"""),0.625)</f>
        <v>0.625</v>
      </c>
      <c r="D4311" s="8">
        <f>IFERROR(__xludf.DUMMYFUNCTION("""COMPUTED_VALUE"""),0.021)</f>
        <v>0.021</v>
      </c>
      <c r="E4311" s="8" t="str">
        <f>IFERROR(__xludf.DUMMYFUNCTION("""COMPUTED_VALUE"""),"Real")</f>
        <v>Real</v>
      </c>
      <c r="G4311" s="8">
        <f t="shared" si="1"/>
        <v>4</v>
      </c>
      <c r="H4311" s="14">
        <f t="shared" si="2"/>
        <v>29</v>
      </c>
      <c r="I4311" s="15">
        <f t="shared" si="3"/>
        <v>15</v>
      </c>
    </row>
    <row r="4312">
      <c r="A4312" s="8" t="str">
        <f>IFERROR(__xludf.DUMMYFUNCTION("IF('(INGESTA)Datos_consumo_datadis'!A4312&lt;&gt;"""",SPLIT('(INGESTA)Datos_consumo_datadis'!A:A,"",""),"""")"),"ES0031408323131005HX0F")</f>
        <v>ES0031408323131005HX0F</v>
      </c>
      <c r="B4312" s="12">
        <f>IFERROR(__xludf.DUMMYFUNCTION("""COMPUTED_VALUE"""),45045.0)</f>
        <v>45045</v>
      </c>
      <c r="C4312" s="13">
        <f>IFERROR(__xludf.DUMMYFUNCTION("""COMPUTED_VALUE"""),0.6666666666666666)</f>
        <v>0.6666666667</v>
      </c>
      <c r="D4312" s="8">
        <f>IFERROR(__xludf.DUMMYFUNCTION("""COMPUTED_VALUE"""),0.057)</f>
        <v>0.057</v>
      </c>
      <c r="E4312" s="8" t="str">
        <f>IFERROR(__xludf.DUMMYFUNCTION("""COMPUTED_VALUE"""),"Real")</f>
        <v>Real</v>
      </c>
      <c r="G4312" s="8">
        <f t="shared" si="1"/>
        <v>4</v>
      </c>
      <c r="H4312" s="14">
        <f t="shared" si="2"/>
        <v>29</v>
      </c>
      <c r="I4312" s="15">
        <f t="shared" si="3"/>
        <v>16</v>
      </c>
    </row>
    <row r="4313">
      <c r="A4313" s="8" t="str">
        <f>IFERROR(__xludf.DUMMYFUNCTION("IF('(INGESTA)Datos_consumo_datadis'!A4313&lt;&gt;"""",SPLIT('(INGESTA)Datos_consumo_datadis'!A:A,"",""),"""")"),"ES0031408323131005HX0F")</f>
        <v>ES0031408323131005HX0F</v>
      </c>
      <c r="B4313" s="12">
        <f>IFERROR(__xludf.DUMMYFUNCTION("""COMPUTED_VALUE"""),45045.0)</f>
        <v>45045</v>
      </c>
      <c r="C4313" s="13">
        <f>IFERROR(__xludf.DUMMYFUNCTION("""COMPUTED_VALUE"""),0.7083333333333334)</f>
        <v>0.7083333333</v>
      </c>
      <c r="D4313" s="8">
        <f>IFERROR(__xludf.DUMMYFUNCTION("""COMPUTED_VALUE"""),0.068)</f>
        <v>0.068</v>
      </c>
      <c r="E4313" s="8" t="str">
        <f>IFERROR(__xludf.DUMMYFUNCTION("""COMPUTED_VALUE"""),"Real")</f>
        <v>Real</v>
      </c>
      <c r="G4313" s="8">
        <f t="shared" si="1"/>
        <v>4</v>
      </c>
      <c r="H4313" s="14">
        <f t="shared" si="2"/>
        <v>29</v>
      </c>
      <c r="I4313" s="15">
        <f t="shared" si="3"/>
        <v>17</v>
      </c>
    </row>
    <row r="4314">
      <c r="A4314" s="8" t="str">
        <f>IFERROR(__xludf.DUMMYFUNCTION("IF('(INGESTA)Datos_consumo_datadis'!A4314&lt;&gt;"""",SPLIT('(INGESTA)Datos_consumo_datadis'!A:A,"",""),"""")"),"ES0031408323131005HX0F")</f>
        <v>ES0031408323131005HX0F</v>
      </c>
      <c r="B4314" s="12">
        <f>IFERROR(__xludf.DUMMYFUNCTION("""COMPUTED_VALUE"""),45045.0)</f>
        <v>45045</v>
      </c>
      <c r="C4314" s="13">
        <f>IFERROR(__xludf.DUMMYFUNCTION("""COMPUTED_VALUE"""),0.75)</f>
        <v>0.75</v>
      </c>
      <c r="D4314" s="8">
        <f>IFERROR(__xludf.DUMMYFUNCTION("""COMPUTED_VALUE"""),0.061)</f>
        <v>0.061</v>
      </c>
      <c r="E4314" s="8" t="str">
        <f>IFERROR(__xludf.DUMMYFUNCTION("""COMPUTED_VALUE"""),"Real")</f>
        <v>Real</v>
      </c>
      <c r="G4314" s="8">
        <f t="shared" si="1"/>
        <v>4</v>
      </c>
      <c r="H4314" s="14">
        <f t="shared" si="2"/>
        <v>29</v>
      </c>
      <c r="I4314" s="15">
        <f t="shared" si="3"/>
        <v>18</v>
      </c>
    </row>
    <row r="4315">
      <c r="A4315" s="8" t="str">
        <f>IFERROR(__xludf.DUMMYFUNCTION("IF('(INGESTA)Datos_consumo_datadis'!A4315&lt;&gt;"""",SPLIT('(INGESTA)Datos_consumo_datadis'!A:A,"",""),"""")"),"ES0031408323131005HX0F")</f>
        <v>ES0031408323131005HX0F</v>
      </c>
      <c r="B4315" s="12">
        <f>IFERROR(__xludf.DUMMYFUNCTION("""COMPUTED_VALUE"""),45045.0)</f>
        <v>45045</v>
      </c>
      <c r="C4315" s="13">
        <f>IFERROR(__xludf.DUMMYFUNCTION("""COMPUTED_VALUE"""),0.7916666666666666)</f>
        <v>0.7916666667</v>
      </c>
      <c r="D4315" s="8">
        <f>IFERROR(__xludf.DUMMYFUNCTION("""COMPUTED_VALUE"""),0.023)</f>
        <v>0.023</v>
      </c>
      <c r="E4315" s="8" t="str">
        <f>IFERROR(__xludf.DUMMYFUNCTION("""COMPUTED_VALUE"""),"Real")</f>
        <v>Real</v>
      </c>
      <c r="G4315" s="8">
        <f t="shared" si="1"/>
        <v>4</v>
      </c>
      <c r="H4315" s="14">
        <f t="shared" si="2"/>
        <v>29</v>
      </c>
      <c r="I4315" s="15">
        <f t="shared" si="3"/>
        <v>19</v>
      </c>
    </row>
    <row r="4316">
      <c r="A4316" s="8" t="str">
        <f>IFERROR(__xludf.DUMMYFUNCTION("IF('(INGESTA)Datos_consumo_datadis'!A4316&lt;&gt;"""",SPLIT('(INGESTA)Datos_consumo_datadis'!A:A,"",""),"""")"),"ES0031408323131005HX0F")</f>
        <v>ES0031408323131005HX0F</v>
      </c>
      <c r="B4316" s="12">
        <f>IFERROR(__xludf.DUMMYFUNCTION("""COMPUTED_VALUE"""),45045.0)</f>
        <v>45045</v>
      </c>
      <c r="C4316" s="13">
        <f>IFERROR(__xludf.DUMMYFUNCTION("""COMPUTED_VALUE"""),0.8333333333333334)</f>
        <v>0.8333333333</v>
      </c>
      <c r="D4316" s="8">
        <f>IFERROR(__xludf.DUMMYFUNCTION("""COMPUTED_VALUE"""),0.381)</f>
        <v>0.381</v>
      </c>
      <c r="E4316" s="8" t="str">
        <f>IFERROR(__xludf.DUMMYFUNCTION("""COMPUTED_VALUE"""),"Real")</f>
        <v>Real</v>
      </c>
      <c r="G4316" s="8">
        <f t="shared" si="1"/>
        <v>4</v>
      </c>
      <c r="H4316" s="14">
        <f t="shared" si="2"/>
        <v>29</v>
      </c>
      <c r="I4316" s="15">
        <f t="shared" si="3"/>
        <v>20</v>
      </c>
    </row>
    <row r="4317">
      <c r="A4317" s="8" t="str">
        <f>IFERROR(__xludf.DUMMYFUNCTION("IF('(INGESTA)Datos_consumo_datadis'!A4317&lt;&gt;"""",SPLIT('(INGESTA)Datos_consumo_datadis'!A:A,"",""),"""")"),"ES0031408323131005HX0F")</f>
        <v>ES0031408323131005HX0F</v>
      </c>
      <c r="B4317" s="12">
        <f>IFERROR(__xludf.DUMMYFUNCTION("""COMPUTED_VALUE"""),45045.0)</f>
        <v>45045</v>
      </c>
      <c r="C4317" s="13">
        <f>IFERROR(__xludf.DUMMYFUNCTION("""COMPUTED_VALUE"""),0.875)</f>
        <v>0.875</v>
      </c>
      <c r="D4317" s="8">
        <f>IFERROR(__xludf.DUMMYFUNCTION("""COMPUTED_VALUE"""),0.065)</f>
        <v>0.065</v>
      </c>
      <c r="E4317" s="8" t="str">
        <f>IFERROR(__xludf.DUMMYFUNCTION("""COMPUTED_VALUE"""),"Real")</f>
        <v>Real</v>
      </c>
      <c r="G4317" s="8">
        <f t="shared" si="1"/>
        <v>4</v>
      </c>
      <c r="H4317" s="14">
        <f t="shared" si="2"/>
        <v>29</v>
      </c>
      <c r="I4317" s="15">
        <f t="shared" si="3"/>
        <v>21</v>
      </c>
    </row>
    <row r="4318">
      <c r="A4318" s="8" t="str">
        <f>IFERROR(__xludf.DUMMYFUNCTION("IF('(INGESTA)Datos_consumo_datadis'!A4318&lt;&gt;"""",SPLIT('(INGESTA)Datos_consumo_datadis'!A:A,"",""),"""")"),"ES0031408323131005HX0F")</f>
        <v>ES0031408323131005HX0F</v>
      </c>
      <c r="B4318" s="12">
        <f>IFERROR(__xludf.DUMMYFUNCTION("""COMPUTED_VALUE"""),45045.0)</f>
        <v>45045</v>
      </c>
      <c r="C4318" s="13">
        <f>IFERROR(__xludf.DUMMYFUNCTION("""COMPUTED_VALUE"""),0.9166666666666666)</f>
        <v>0.9166666667</v>
      </c>
      <c r="D4318" s="8">
        <f>IFERROR(__xludf.DUMMYFUNCTION("""COMPUTED_VALUE"""),0.017)</f>
        <v>0.017</v>
      </c>
      <c r="E4318" s="8" t="str">
        <f>IFERROR(__xludf.DUMMYFUNCTION("""COMPUTED_VALUE"""),"Real")</f>
        <v>Real</v>
      </c>
      <c r="G4318" s="8">
        <f t="shared" si="1"/>
        <v>4</v>
      </c>
      <c r="H4318" s="14">
        <f t="shared" si="2"/>
        <v>29</v>
      </c>
      <c r="I4318" s="15">
        <f t="shared" si="3"/>
        <v>22</v>
      </c>
    </row>
    <row r="4319">
      <c r="A4319" s="8" t="str">
        <f>IFERROR(__xludf.DUMMYFUNCTION("IF('(INGESTA)Datos_consumo_datadis'!A4319&lt;&gt;"""",SPLIT('(INGESTA)Datos_consumo_datadis'!A:A,"",""),"""")"),"ES0031408323131005HX0F")</f>
        <v>ES0031408323131005HX0F</v>
      </c>
      <c r="B4319" s="12">
        <f>IFERROR(__xludf.DUMMYFUNCTION("""COMPUTED_VALUE"""),45045.0)</f>
        <v>45045</v>
      </c>
      <c r="C4319" s="13">
        <f>IFERROR(__xludf.DUMMYFUNCTION("""COMPUTED_VALUE"""),0.9583333333333334)</f>
        <v>0.9583333333</v>
      </c>
      <c r="D4319" s="8">
        <f>IFERROR(__xludf.DUMMYFUNCTION("""COMPUTED_VALUE"""),0.183)</f>
        <v>0.183</v>
      </c>
      <c r="E4319" s="8" t="str">
        <f>IFERROR(__xludf.DUMMYFUNCTION("""COMPUTED_VALUE"""),"Real")</f>
        <v>Real</v>
      </c>
      <c r="G4319" s="8">
        <f t="shared" si="1"/>
        <v>4</v>
      </c>
      <c r="H4319" s="14">
        <f t="shared" si="2"/>
        <v>29</v>
      </c>
      <c r="I4319" s="15">
        <f t="shared" si="3"/>
        <v>23</v>
      </c>
    </row>
    <row r="4320">
      <c r="A4320" s="8" t="str">
        <f>IFERROR(__xludf.DUMMYFUNCTION("IF('(INGESTA)Datos_consumo_datadis'!A4320&lt;&gt;"""",SPLIT('(INGESTA)Datos_consumo_datadis'!A:A,"",""),"""")"),"ES0031408323131005HX0F")</f>
        <v>ES0031408323131005HX0F</v>
      </c>
      <c r="B4320" s="12">
        <f>IFERROR(__xludf.DUMMYFUNCTION("""COMPUTED_VALUE"""),45045.0)</f>
        <v>45045</v>
      </c>
      <c r="C4320" s="16">
        <f>IFERROR(__xludf.DUMMYFUNCTION("""COMPUTED_VALUE"""),1.0)</f>
        <v>1</v>
      </c>
      <c r="D4320" s="8">
        <f>IFERROR(__xludf.DUMMYFUNCTION("""COMPUTED_VALUE"""),0.803)</f>
        <v>0.803</v>
      </c>
      <c r="E4320" s="8" t="str">
        <f>IFERROR(__xludf.DUMMYFUNCTION("""COMPUTED_VALUE"""),"Real")</f>
        <v>Real</v>
      </c>
      <c r="G4320" s="8">
        <f t="shared" si="1"/>
        <v>4</v>
      </c>
      <c r="H4320" s="14">
        <f t="shared" si="2"/>
        <v>29</v>
      </c>
      <c r="I4320" s="15">
        <f t="shared" si="3"/>
        <v>0</v>
      </c>
    </row>
    <row r="4321">
      <c r="A4321" s="8" t="str">
        <f>IFERROR(__xludf.DUMMYFUNCTION("IF('(INGESTA)Datos_consumo_datadis'!A4321&lt;&gt;"""",SPLIT('(INGESTA)Datos_consumo_datadis'!A:A,"",""),"""")"),"ES0031408323131005HX0F")</f>
        <v>ES0031408323131005HX0F</v>
      </c>
      <c r="B4321" s="12">
        <f>IFERROR(__xludf.DUMMYFUNCTION("""COMPUTED_VALUE"""),45046.0)</f>
        <v>45046</v>
      </c>
      <c r="C4321" s="13">
        <f>IFERROR(__xludf.DUMMYFUNCTION("""COMPUTED_VALUE"""),0.041666666666666664)</f>
        <v>0.04166666667</v>
      </c>
      <c r="D4321" s="8">
        <f>IFERROR(__xludf.DUMMYFUNCTION("""COMPUTED_VALUE"""),0.145)</f>
        <v>0.145</v>
      </c>
      <c r="E4321" s="8" t="str">
        <f>IFERROR(__xludf.DUMMYFUNCTION("""COMPUTED_VALUE"""),"Real")</f>
        <v>Real</v>
      </c>
      <c r="G4321" s="8">
        <f t="shared" si="1"/>
        <v>4</v>
      </c>
      <c r="H4321" s="14">
        <f t="shared" si="2"/>
        <v>30</v>
      </c>
      <c r="I4321" s="15">
        <f t="shared" si="3"/>
        <v>1</v>
      </c>
    </row>
    <row r="4322">
      <c r="A4322" s="8" t="str">
        <f>IFERROR(__xludf.DUMMYFUNCTION("IF('(INGESTA)Datos_consumo_datadis'!A4322&lt;&gt;"""",SPLIT('(INGESTA)Datos_consumo_datadis'!A:A,"",""),"""")"),"ES0031408323131005HX0F")</f>
        <v>ES0031408323131005HX0F</v>
      </c>
      <c r="B4322" s="12">
        <f>IFERROR(__xludf.DUMMYFUNCTION("""COMPUTED_VALUE"""),45046.0)</f>
        <v>45046</v>
      </c>
      <c r="C4322" s="13">
        <f>IFERROR(__xludf.DUMMYFUNCTION("""COMPUTED_VALUE"""),0.08333333333333333)</f>
        <v>0.08333333333</v>
      </c>
      <c r="D4322" s="8">
        <f>IFERROR(__xludf.DUMMYFUNCTION("""COMPUTED_VALUE"""),0.141)</f>
        <v>0.141</v>
      </c>
      <c r="E4322" s="8" t="str">
        <f>IFERROR(__xludf.DUMMYFUNCTION("""COMPUTED_VALUE"""),"Real")</f>
        <v>Real</v>
      </c>
      <c r="G4322" s="8">
        <f t="shared" si="1"/>
        <v>4</v>
      </c>
      <c r="H4322" s="14">
        <f t="shared" si="2"/>
        <v>30</v>
      </c>
      <c r="I4322" s="15">
        <f t="shared" si="3"/>
        <v>2</v>
      </c>
    </row>
    <row r="4323">
      <c r="A4323" s="8" t="str">
        <f>IFERROR(__xludf.DUMMYFUNCTION("IF('(INGESTA)Datos_consumo_datadis'!A4323&lt;&gt;"""",SPLIT('(INGESTA)Datos_consumo_datadis'!A:A,"",""),"""")"),"ES0031408323131005HX0F")</f>
        <v>ES0031408323131005HX0F</v>
      </c>
      <c r="B4323" s="12">
        <f>IFERROR(__xludf.DUMMYFUNCTION("""COMPUTED_VALUE"""),45046.0)</f>
        <v>45046</v>
      </c>
      <c r="C4323" s="13">
        <f>IFERROR(__xludf.DUMMYFUNCTION("""COMPUTED_VALUE"""),0.125)</f>
        <v>0.125</v>
      </c>
      <c r="D4323" s="8">
        <f>IFERROR(__xludf.DUMMYFUNCTION("""COMPUTED_VALUE"""),0.146)</f>
        <v>0.146</v>
      </c>
      <c r="E4323" s="8" t="str">
        <f>IFERROR(__xludf.DUMMYFUNCTION("""COMPUTED_VALUE"""),"Real")</f>
        <v>Real</v>
      </c>
      <c r="G4323" s="8">
        <f t="shared" si="1"/>
        <v>4</v>
      </c>
      <c r="H4323" s="14">
        <f t="shared" si="2"/>
        <v>30</v>
      </c>
      <c r="I4323" s="15">
        <f t="shared" si="3"/>
        <v>3</v>
      </c>
    </row>
    <row r="4324">
      <c r="A4324" s="8" t="str">
        <f>IFERROR(__xludf.DUMMYFUNCTION("IF('(INGESTA)Datos_consumo_datadis'!A4324&lt;&gt;"""",SPLIT('(INGESTA)Datos_consumo_datadis'!A:A,"",""),"""")"),"ES0031408323131005HX0F")</f>
        <v>ES0031408323131005HX0F</v>
      </c>
      <c r="B4324" s="12">
        <f>IFERROR(__xludf.DUMMYFUNCTION("""COMPUTED_VALUE"""),45046.0)</f>
        <v>45046</v>
      </c>
      <c r="C4324" s="13">
        <f>IFERROR(__xludf.DUMMYFUNCTION("""COMPUTED_VALUE"""),0.16666666666666666)</f>
        <v>0.1666666667</v>
      </c>
      <c r="D4324" s="8">
        <f>IFERROR(__xludf.DUMMYFUNCTION("""COMPUTED_VALUE"""),0.364)</f>
        <v>0.364</v>
      </c>
      <c r="E4324" s="8" t="str">
        <f>IFERROR(__xludf.DUMMYFUNCTION("""COMPUTED_VALUE"""),"Real")</f>
        <v>Real</v>
      </c>
      <c r="G4324" s="8">
        <f t="shared" si="1"/>
        <v>4</v>
      </c>
      <c r="H4324" s="14">
        <f t="shared" si="2"/>
        <v>30</v>
      </c>
      <c r="I4324" s="15">
        <f t="shared" si="3"/>
        <v>4</v>
      </c>
    </row>
    <row r="4325">
      <c r="A4325" s="8" t="str">
        <f>IFERROR(__xludf.DUMMYFUNCTION("IF('(INGESTA)Datos_consumo_datadis'!A4325&lt;&gt;"""",SPLIT('(INGESTA)Datos_consumo_datadis'!A:A,"",""),"""")"),"ES0031408323131005HX0F")</f>
        <v>ES0031408323131005HX0F</v>
      </c>
      <c r="B4325" s="12">
        <f>IFERROR(__xludf.DUMMYFUNCTION("""COMPUTED_VALUE"""),45046.0)</f>
        <v>45046</v>
      </c>
      <c r="C4325" s="13">
        <f>IFERROR(__xludf.DUMMYFUNCTION("""COMPUTED_VALUE"""),0.20833333333333334)</f>
        <v>0.2083333333</v>
      </c>
      <c r="D4325" s="8">
        <f>IFERROR(__xludf.DUMMYFUNCTION("""COMPUTED_VALUE"""),0.03)</f>
        <v>0.03</v>
      </c>
      <c r="E4325" s="8" t="str">
        <f>IFERROR(__xludf.DUMMYFUNCTION("""COMPUTED_VALUE"""),"Real")</f>
        <v>Real</v>
      </c>
      <c r="G4325" s="8">
        <f t="shared" si="1"/>
        <v>4</v>
      </c>
      <c r="H4325" s="14">
        <f t="shared" si="2"/>
        <v>30</v>
      </c>
      <c r="I4325" s="15">
        <f t="shared" si="3"/>
        <v>5</v>
      </c>
    </row>
    <row r="4326">
      <c r="A4326" s="8" t="str">
        <f>IFERROR(__xludf.DUMMYFUNCTION("IF('(INGESTA)Datos_consumo_datadis'!A4326&lt;&gt;"""",SPLIT('(INGESTA)Datos_consumo_datadis'!A:A,"",""),"""")"),"ES0031408323131005HX0F")</f>
        <v>ES0031408323131005HX0F</v>
      </c>
      <c r="B4326" s="12">
        <f>IFERROR(__xludf.DUMMYFUNCTION("""COMPUTED_VALUE"""),45046.0)</f>
        <v>45046</v>
      </c>
      <c r="C4326" s="13">
        <f>IFERROR(__xludf.DUMMYFUNCTION("""COMPUTED_VALUE"""),0.25)</f>
        <v>0.25</v>
      </c>
      <c r="D4326" s="8">
        <f>IFERROR(__xludf.DUMMYFUNCTION("""COMPUTED_VALUE"""),0.117)</f>
        <v>0.117</v>
      </c>
      <c r="E4326" s="8" t="str">
        <f>IFERROR(__xludf.DUMMYFUNCTION("""COMPUTED_VALUE"""),"Real")</f>
        <v>Real</v>
      </c>
      <c r="G4326" s="8">
        <f t="shared" si="1"/>
        <v>4</v>
      </c>
      <c r="H4326" s="14">
        <f t="shared" si="2"/>
        <v>30</v>
      </c>
      <c r="I4326" s="15">
        <f t="shared" si="3"/>
        <v>6</v>
      </c>
    </row>
    <row r="4327">
      <c r="A4327" s="8" t="str">
        <f>IFERROR(__xludf.DUMMYFUNCTION("IF('(INGESTA)Datos_consumo_datadis'!A4327&lt;&gt;"""",SPLIT('(INGESTA)Datos_consumo_datadis'!A:A,"",""),"""")"),"ES0031408323131005HX0F")</f>
        <v>ES0031408323131005HX0F</v>
      </c>
      <c r="B4327" s="12">
        <f>IFERROR(__xludf.DUMMYFUNCTION("""COMPUTED_VALUE"""),45046.0)</f>
        <v>45046</v>
      </c>
      <c r="C4327" s="13">
        <f>IFERROR(__xludf.DUMMYFUNCTION("""COMPUTED_VALUE"""),0.2916666666666667)</f>
        <v>0.2916666667</v>
      </c>
      <c r="D4327" s="8">
        <f>IFERROR(__xludf.DUMMYFUNCTION("""COMPUTED_VALUE"""),0.09)</f>
        <v>0.09</v>
      </c>
      <c r="E4327" s="8" t="str">
        <f>IFERROR(__xludf.DUMMYFUNCTION("""COMPUTED_VALUE"""),"Real")</f>
        <v>Real</v>
      </c>
      <c r="G4327" s="8">
        <f t="shared" si="1"/>
        <v>4</v>
      </c>
      <c r="H4327" s="14">
        <f t="shared" si="2"/>
        <v>30</v>
      </c>
      <c r="I4327" s="15">
        <f t="shared" si="3"/>
        <v>7</v>
      </c>
    </row>
    <row r="4328">
      <c r="A4328" s="8" t="str">
        <f>IFERROR(__xludf.DUMMYFUNCTION("IF('(INGESTA)Datos_consumo_datadis'!A4328&lt;&gt;"""",SPLIT('(INGESTA)Datos_consumo_datadis'!A:A,"",""),"""")"),"ES0031408323131005HX0F")</f>
        <v>ES0031408323131005HX0F</v>
      </c>
      <c r="B4328" s="12">
        <f>IFERROR(__xludf.DUMMYFUNCTION("""COMPUTED_VALUE"""),45046.0)</f>
        <v>45046</v>
      </c>
      <c r="C4328" s="13">
        <f>IFERROR(__xludf.DUMMYFUNCTION("""COMPUTED_VALUE"""),0.3333333333333333)</f>
        <v>0.3333333333</v>
      </c>
      <c r="D4328" s="8">
        <f>IFERROR(__xludf.DUMMYFUNCTION("""COMPUTED_VALUE"""),0.024)</f>
        <v>0.024</v>
      </c>
      <c r="E4328" s="8" t="str">
        <f>IFERROR(__xludf.DUMMYFUNCTION("""COMPUTED_VALUE"""),"Real")</f>
        <v>Real</v>
      </c>
      <c r="G4328" s="8">
        <f t="shared" si="1"/>
        <v>4</v>
      </c>
      <c r="H4328" s="14">
        <f t="shared" si="2"/>
        <v>30</v>
      </c>
      <c r="I4328" s="15">
        <f t="shared" si="3"/>
        <v>8</v>
      </c>
    </row>
    <row r="4329">
      <c r="A4329" s="8" t="str">
        <f>IFERROR(__xludf.DUMMYFUNCTION("IF('(INGESTA)Datos_consumo_datadis'!A4329&lt;&gt;"""",SPLIT('(INGESTA)Datos_consumo_datadis'!A:A,"",""),"""")"),"ES0031408323131005HX0F")</f>
        <v>ES0031408323131005HX0F</v>
      </c>
      <c r="B4329" s="12">
        <f>IFERROR(__xludf.DUMMYFUNCTION("""COMPUTED_VALUE"""),45046.0)</f>
        <v>45046</v>
      </c>
      <c r="C4329" s="13">
        <f>IFERROR(__xludf.DUMMYFUNCTION("""COMPUTED_VALUE"""),0.375)</f>
        <v>0.375</v>
      </c>
      <c r="D4329" s="8">
        <f>IFERROR(__xludf.DUMMYFUNCTION("""COMPUTED_VALUE"""),0.096)</f>
        <v>0.096</v>
      </c>
      <c r="E4329" s="8" t="str">
        <f>IFERROR(__xludf.DUMMYFUNCTION("""COMPUTED_VALUE"""),"Real")</f>
        <v>Real</v>
      </c>
      <c r="G4329" s="8">
        <f t="shared" si="1"/>
        <v>4</v>
      </c>
      <c r="H4329" s="14">
        <f t="shared" si="2"/>
        <v>30</v>
      </c>
      <c r="I4329" s="15">
        <f t="shared" si="3"/>
        <v>9</v>
      </c>
    </row>
    <row r="4330">
      <c r="A4330" s="8" t="str">
        <f>IFERROR(__xludf.DUMMYFUNCTION("IF('(INGESTA)Datos_consumo_datadis'!A4330&lt;&gt;"""",SPLIT('(INGESTA)Datos_consumo_datadis'!A:A,"",""),"""")"),"ES0031408323131005HX0F")</f>
        <v>ES0031408323131005HX0F</v>
      </c>
      <c r="B4330" s="12">
        <f>IFERROR(__xludf.DUMMYFUNCTION("""COMPUTED_VALUE"""),45046.0)</f>
        <v>45046</v>
      </c>
      <c r="C4330" s="13">
        <f>IFERROR(__xludf.DUMMYFUNCTION("""COMPUTED_VALUE"""),0.4166666666666667)</f>
        <v>0.4166666667</v>
      </c>
      <c r="D4330" s="8">
        <f>IFERROR(__xludf.DUMMYFUNCTION("""COMPUTED_VALUE"""),0.348)</f>
        <v>0.348</v>
      </c>
      <c r="E4330" s="8" t="str">
        <f>IFERROR(__xludf.DUMMYFUNCTION("""COMPUTED_VALUE"""),"Real")</f>
        <v>Real</v>
      </c>
      <c r="G4330" s="8">
        <f t="shared" si="1"/>
        <v>4</v>
      </c>
      <c r="H4330" s="14">
        <f t="shared" si="2"/>
        <v>30</v>
      </c>
      <c r="I4330" s="15">
        <f t="shared" si="3"/>
        <v>10</v>
      </c>
    </row>
    <row r="4331">
      <c r="A4331" s="8" t="str">
        <f>IFERROR(__xludf.DUMMYFUNCTION("IF('(INGESTA)Datos_consumo_datadis'!A4331&lt;&gt;"""",SPLIT('(INGESTA)Datos_consumo_datadis'!A:A,"",""),"""")"),"ES0031408323131005HX0F")</f>
        <v>ES0031408323131005HX0F</v>
      </c>
      <c r="B4331" s="12">
        <f>IFERROR(__xludf.DUMMYFUNCTION("""COMPUTED_VALUE"""),45046.0)</f>
        <v>45046</v>
      </c>
      <c r="C4331" s="13">
        <f>IFERROR(__xludf.DUMMYFUNCTION("""COMPUTED_VALUE"""),0.4583333333333333)</f>
        <v>0.4583333333</v>
      </c>
      <c r="D4331" s="8">
        <f>IFERROR(__xludf.DUMMYFUNCTION("""COMPUTED_VALUE"""),0.128)</f>
        <v>0.128</v>
      </c>
      <c r="E4331" s="8" t="str">
        <f>IFERROR(__xludf.DUMMYFUNCTION("""COMPUTED_VALUE"""),"Real")</f>
        <v>Real</v>
      </c>
      <c r="G4331" s="8">
        <f t="shared" si="1"/>
        <v>4</v>
      </c>
      <c r="H4331" s="14">
        <f t="shared" si="2"/>
        <v>30</v>
      </c>
      <c r="I4331" s="15">
        <f t="shared" si="3"/>
        <v>11</v>
      </c>
    </row>
    <row r="4332">
      <c r="A4332" s="8" t="str">
        <f>IFERROR(__xludf.DUMMYFUNCTION("IF('(INGESTA)Datos_consumo_datadis'!A4332&lt;&gt;"""",SPLIT('(INGESTA)Datos_consumo_datadis'!A:A,"",""),"""")"),"ES0031408323131005HX0F")</f>
        <v>ES0031408323131005HX0F</v>
      </c>
      <c r="B4332" s="12">
        <f>IFERROR(__xludf.DUMMYFUNCTION("""COMPUTED_VALUE"""),45046.0)</f>
        <v>45046</v>
      </c>
      <c r="C4332" s="13">
        <f>IFERROR(__xludf.DUMMYFUNCTION("""COMPUTED_VALUE"""),0.5)</f>
        <v>0.5</v>
      </c>
      <c r="D4332" s="8">
        <f>IFERROR(__xludf.DUMMYFUNCTION("""COMPUTED_VALUE"""),0.367)</f>
        <v>0.367</v>
      </c>
      <c r="E4332" s="8" t="str">
        <f>IFERROR(__xludf.DUMMYFUNCTION("""COMPUTED_VALUE"""),"Real")</f>
        <v>Real</v>
      </c>
      <c r="G4332" s="8">
        <f t="shared" si="1"/>
        <v>4</v>
      </c>
      <c r="H4332" s="14">
        <f t="shared" si="2"/>
        <v>30</v>
      </c>
      <c r="I4332" s="15">
        <f t="shared" si="3"/>
        <v>12</v>
      </c>
    </row>
    <row r="4333">
      <c r="A4333" s="8" t="str">
        <f>IFERROR(__xludf.DUMMYFUNCTION("IF('(INGESTA)Datos_consumo_datadis'!A4333&lt;&gt;"""",SPLIT('(INGESTA)Datos_consumo_datadis'!A:A,"",""),"""")"),"ES0031408323131005HX0F")</f>
        <v>ES0031408323131005HX0F</v>
      </c>
      <c r="B4333" s="12">
        <f>IFERROR(__xludf.DUMMYFUNCTION("""COMPUTED_VALUE"""),45046.0)</f>
        <v>45046</v>
      </c>
      <c r="C4333" s="13">
        <f>IFERROR(__xludf.DUMMYFUNCTION("""COMPUTED_VALUE"""),0.5416666666666666)</f>
        <v>0.5416666667</v>
      </c>
      <c r="D4333" s="8">
        <f>IFERROR(__xludf.DUMMYFUNCTION("""COMPUTED_VALUE"""),0.755)</f>
        <v>0.755</v>
      </c>
      <c r="E4333" s="8" t="str">
        <f>IFERROR(__xludf.DUMMYFUNCTION("""COMPUTED_VALUE"""),"Real")</f>
        <v>Real</v>
      </c>
      <c r="G4333" s="8">
        <f t="shared" si="1"/>
        <v>4</v>
      </c>
      <c r="H4333" s="14">
        <f t="shared" si="2"/>
        <v>30</v>
      </c>
      <c r="I4333" s="15">
        <f t="shared" si="3"/>
        <v>13</v>
      </c>
    </row>
    <row r="4334">
      <c r="A4334" s="8" t="str">
        <f>IFERROR(__xludf.DUMMYFUNCTION("IF('(INGESTA)Datos_consumo_datadis'!A4334&lt;&gt;"""",SPLIT('(INGESTA)Datos_consumo_datadis'!A:A,"",""),"""")"),"ES0031408323131005HX0F")</f>
        <v>ES0031408323131005HX0F</v>
      </c>
      <c r="B4334" s="12">
        <f>IFERROR(__xludf.DUMMYFUNCTION("""COMPUTED_VALUE"""),45046.0)</f>
        <v>45046</v>
      </c>
      <c r="C4334" s="13">
        <f>IFERROR(__xludf.DUMMYFUNCTION("""COMPUTED_VALUE"""),0.5833333333333334)</f>
        <v>0.5833333333</v>
      </c>
      <c r="D4334" s="8">
        <f>IFERROR(__xludf.DUMMYFUNCTION("""COMPUTED_VALUE"""),0.554)</f>
        <v>0.554</v>
      </c>
      <c r="E4334" s="8" t="str">
        <f>IFERROR(__xludf.DUMMYFUNCTION("""COMPUTED_VALUE"""),"Real")</f>
        <v>Real</v>
      </c>
      <c r="G4334" s="8">
        <f t="shared" si="1"/>
        <v>4</v>
      </c>
      <c r="H4334" s="14">
        <f t="shared" si="2"/>
        <v>30</v>
      </c>
      <c r="I4334" s="15">
        <f t="shared" si="3"/>
        <v>14</v>
      </c>
    </row>
    <row r="4335">
      <c r="A4335" s="8" t="str">
        <f>IFERROR(__xludf.DUMMYFUNCTION("IF('(INGESTA)Datos_consumo_datadis'!A4335&lt;&gt;"""",SPLIT('(INGESTA)Datos_consumo_datadis'!A:A,"",""),"""")"),"ES0031408323131005HX0F")</f>
        <v>ES0031408323131005HX0F</v>
      </c>
      <c r="B4335" s="12">
        <f>IFERROR(__xludf.DUMMYFUNCTION("""COMPUTED_VALUE"""),45046.0)</f>
        <v>45046</v>
      </c>
      <c r="C4335" s="13">
        <f>IFERROR(__xludf.DUMMYFUNCTION("""COMPUTED_VALUE"""),0.625)</f>
        <v>0.625</v>
      </c>
      <c r="D4335" s="8">
        <f>IFERROR(__xludf.DUMMYFUNCTION("""COMPUTED_VALUE"""),0.675)</f>
        <v>0.675</v>
      </c>
      <c r="E4335" s="8" t="str">
        <f>IFERROR(__xludf.DUMMYFUNCTION("""COMPUTED_VALUE"""),"Real")</f>
        <v>Real</v>
      </c>
      <c r="G4335" s="8">
        <f t="shared" si="1"/>
        <v>4</v>
      </c>
      <c r="H4335" s="14">
        <f t="shared" si="2"/>
        <v>30</v>
      </c>
      <c r="I4335" s="15">
        <f t="shared" si="3"/>
        <v>15</v>
      </c>
    </row>
    <row r="4336">
      <c r="A4336" s="8" t="str">
        <f>IFERROR(__xludf.DUMMYFUNCTION("IF('(INGESTA)Datos_consumo_datadis'!A4336&lt;&gt;"""",SPLIT('(INGESTA)Datos_consumo_datadis'!A:A,"",""),"""")"),"ES0031408323131005HX0F")</f>
        <v>ES0031408323131005HX0F</v>
      </c>
      <c r="B4336" s="12">
        <f>IFERROR(__xludf.DUMMYFUNCTION("""COMPUTED_VALUE"""),45046.0)</f>
        <v>45046</v>
      </c>
      <c r="C4336" s="13">
        <f>IFERROR(__xludf.DUMMYFUNCTION("""COMPUTED_VALUE"""),0.6666666666666666)</f>
        <v>0.6666666667</v>
      </c>
      <c r="D4336" s="8">
        <f>IFERROR(__xludf.DUMMYFUNCTION("""COMPUTED_VALUE"""),0.162)</f>
        <v>0.162</v>
      </c>
      <c r="E4336" s="8" t="str">
        <f>IFERROR(__xludf.DUMMYFUNCTION("""COMPUTED_VALUE"""),"Real")</f>
        <v>Real</v>
      </c>
      <c r="G4336" s="8">
        <f t="shared" si="1"/>
        <v>4</v>
      </c>
      <c r="H4336" s="14">
        <f t="shared" si="2"/>
        <v>30</v>
      </c>
      <c r="I4336" s="15">
        <f t="shared" si="3"/>
        <v>16</v>
      </c>
    </row>
    <row r="4337">
      <c r="A4337" s="8" t="str">
        <f>IFERROR(__xludf.DUMMYFUNCTION("IF('(INGESTA)Datos_consumo_datadis'!A4337&lt;&gt;"""",SPLIT('(INGESTA)Datos_consumo_datadis'!A:A,"",""),"""")"),"ES0031408323131005HX0F")</f>
        <v>ES0031408323131005HX0F</v>
      </c>
      <c r="B4337" s="12">
        <f>IFERROR(__xludf.DUMMYFUNCTION("""COMPUTED_VALUE"""),45046.0)</f>
        <v>45046</v>
      </c>
      <c r="C4337" s="13">
        <f>IFERROR(__xludf.DUMMYFUNCTION("""COMPUTED_VALUE"""),0.7083333333333334)</f>
        <v>0.7083333333</v>
      </c>
      <c r="D4337" s="8">
        <f>IFERROR(__xludf.DUMMYFUNCTION("""COMPUTED_VALUE"""),0.054)</f>
        <v>0.054</v>
      </c>
      <c r="E4337" s="8" t="str">
        <f>IFERROR(__xludf.DUMMYFUNCTION("""COMPUTED_VALUE"""),"Real")</f>
        <v>Real</v>
      </c>
      <c r="G4337" s="8">
        <f t="shared" si="1"/>
        <v>4</v>
      </c>
      <c r="H4337" s="14">
        <f t="shared" si="2"/>
        <v>30</v>
      </c>
      <c r="I4337" s="15">
        <f t="shared" si="3"/>
        <v>17</v>
      </c>
    </row>
    <row r="4338">
      <c r="A4338" s="8" t="str">
        <f>IFERROR(__xludf.DUMMYFUNCTION("IF('(INGESTA)Datos_consumo_datadis'!A4338&lt;&gt;"""",SPLIT('(INGESTA)Datos_consumo_datadis'!A:A,"",""),"""")"),"ES0031408323131005HX0F")</f>
        <v>ES0031408323131005HX0F</v>
      </c>
      <c r="B4338" s="12">
        <f>IFERROR(__xludf.DUMMYFUNCTION("""COMPUTED_VALUE"""),45046.0)</f>
        <v>45046</v>
      </c>
      <c r="C4338" s="13">
        <f>IFERROR(__xludf.DUMMYFUNCTION("""COMPUTED_VALUE"""),0.75)</f>
        <v>0.75</v>
      </c>
      <c r="D4338" s="8">
        <f>IFERROR(__xludf.DUMMYFUNCTION("""COMPUTED_VALUE"""),0.665)</f>
        <v>0.665</v>
      </c>
      <c r="E4338" s="8" t="str">
        <f>IFERROR(__xludf.DUMMYFUNCTION("""COMPUTED_VALUE"""),"Real")</f>
        <v>Real</v>
      </c>
      <c r="G4338" s="8">
        <f t="shared" si="1"/>
        <v>4</v>
      </c>
      <c r="H4338" s="14">
        <f t="shared" si="2"/>
        <v>30</v>
      </c>
      <c r="I4338" s="15">
        <f t="shared" si="3"/>
        <v>18</v>
      </c>
    </row>
    <row r="4339">
      <c r="A4339" s="8" t="str">
        <f>IFERROR(__xludf.DUMMYFUNCTION("IF('(INGESTA)Datos_consumo_datadis'!A4339&lt;&gt;"""",SPLIT('(INGESTA)Datos_consumo_datadis'!A:A,"",""),"""")"),"ES0031408323131005HX0F")</f>
        <v>ES0031408323131005HX0F</v>
      </c>
      <c r="B4339" s="12">
        <f>IFERROR(__xludf.DUMMYFUNCTION("""COMPUTED_VALUE"""),45046.0)</f>
        <v>45046</v>
      </c>
      <c r="C4339" s="13">
        <f>IFERROR(__xludf.DUMMYFUNCTION("""COMPUTED_VALUE"""),0.7916666666666666)</f>
        <v>0.7916666667</v>
      </c>
      <c r="D4339" s="8">
        <f>IFERROR(__xludf.DUMMYFUNCTION("""COMPUTED_VALUE"""),0.121)</f>
        <v>0.121</v>
      </c>
      <c r="E4339" s="8" t="str">
        <f>IFERROR(__xludf.DUMMYFUNCTION("""COMPUTED_VALUE"""),"Real")</f>
        <v>Real</v>
      </c>
      <c r="G4339" s="8">
        <f t="shared" si="1"/>
        <v>4</v>
      </c>
      <c r="H4339" s="14">
        <f t="shared" si="2"/>
        <v>30</v>
      </c>
      <c r="I4339" s="15">
        <f t="shared" si="3"/>
        <v>19</v>
      </c>
    </row>
    <row r="4340">
      <c r="A4340" s="8" t="str">
        <f>IFERROR(__xludf.DUMMYFUNCTION("IF('(INGESTA)Datos_consumo_datadis'!A4340&lt;&gt;"""",SPLIT('(INGESTA)Datos_consumo_datadis'!A:A,"",""),"""")"),"ES0031408323131005HX0F")</f>
        <v>ES0031408323131005HX0F</v>
      </c>
      <c r="B4340" s="12">
        <f>IFERROR(__xludf.DUMMYFUNCTION("""COMPUTED_VALUE"""),45046.0)</f>
        <v>45046</v>
      </c>
      <c r="C4340" s="13">
        <f>IFERROR(__xludf.DUMMYFUNCTION("""COMPUTED_VALUE"""),0.8333333333333334)</f>
        <v>0.8333333333</v>
      </c>
      <c r="D4340" s="8">
        <f>IFERROR(__xludf.DUMMYFUNCTION("""COMPUTED_VALUE"""),0.061)</f>
        <v>0.061</v>
      </c>
      <c r="E4340" s="8" t="str">
        <f>IFERROR(__xludf.DUMMYFUNCTION("""COMPUTED_VALUE"""),"Real")</f>
        <v>Real</v>
      </c>
      <c r="G4340" s="8">
        <f t="shared" si="1"/>
        <v>4</v>
      </c>
      <c r="H4340" s="14">
        <f t="shared" si="2"/>
        <v>30</v>
      </c>
      <c r="I4340" s="15">
        <f t="shared" si="3"/>
        <v>20</v>
      </c>
    </row>
    <row r="4341">
      <c r="A4341" s="8" t="str">
        <f>IFERROR(__xludf.DUMMYFUNCTION("IF('(INGESTA)Datos_consumo_datadis'!A4341&lt;&gt;"""",SPLIT('(INGESTA)Datos_consumo_datadis'!A:A,"",""),"""")"),"ES0031408323131005HX0F")</f>
        <v>ES0031408323131005HX0F</v>
      </c>
      <c r="B4341" s="12">
        <f>IFERROR(__xludf.DUMMYFUNCTION("""COMPUTED_VALUE"""),45046.0)</f>
        <v>45046</v>
      </c>
      <c r="C4341" s="13">
        <f>IFERROR(__xludf.DUMMYFUNCTION("""COMPUTED_VALUE"""),0.875)</f>
        <v>0.875</v>
      </c>
      <c r="D4341" s="8">
        <f>IFERROR(__xludf.DUMMYFUNCTION("""COMPUTED_VALUE"""),0.345)</f>
        <v>0.345</v>
      </c>
      <c r="E4341" s="8" t="str">
        <f>IFERROR(__xludf.DUMMYFUNCTION("""COMPUTED_VALUE"""),"Real")</f>
        <v>Real</v>
      </c>
      <c r="G4341" s="8">
        <f t="shared" si="1"/>
        <v>4</v>
      </c>
      <c r="H4341" s="14">
        <f t="shared" si="2"/>
        <v>30</v>
      </c>
      <c r="I4341" s="15">
        <f t="shared" si="3"/>
        <v>21</v>
      </c>
    </row>
    <row r="4342">
      <c r="A4342" s="8" t="str">
        <f>IFERROR(__xludf.DUMMYFUNCTION("IF('(INGESTA)Datos_consumo_datadis'!A4342&lt;&gt;"""",SPLIT('(INGESTA)Datos_consumo_datadis'!A:A,"",""),"""")"),"ES0031408323131005HX0F")</f>
        <v>ES0031408323131005HX0F</v>
      </c>
      <c r="B4342" s="12">
        <f>IFERROR(__xludf.DUMMYFUNCTION("""COMPUTED_VALUE"""),45046.0)</f>
        <v>45046</v>
      </c>
      <c r="C4342" s="13">
        <f>IFERROR(__xludf.DUMMYFUNCTION("""COMPUTED_VALUE"""),0.9166666666666666)</f>
        <v>0.9166666667</v>
      </c>
      <c r="D4342" s="8">
        <f>IFERROR(__xludf.DUMMYFUNCTION("""COMPUTED_VALUE"""),0.897)</f>
        <v>0.897</v>
      </c>
      <c r="E4342" s="8" t="str">
        <f>IFERROR(__xludf.DUMMYFUNCTION("""COMPUTED_VALUE"""),"Real")</f>
        <v>Real</v>
      </c>
      <c r="G4342" s="8">
        <f t="shared" si="1"/>
        <v>4</v>
      </c>
      <c r="H4342" s="14">
        <f t="shared" si="2"/>
        <v>30</v>
      </c>
      <c r="I4342" s="15">
        <f t="shared" si="3"/>
        <v>22</v>
      </c>
    </row>
    <row r="4343">
      <c r="A4343" s="8" t="str">
        <f>IFERROR(__xludf.DUMMYFUNCTION("IF('(INGESTA)Datos_consumo_datadis'!A4343&lt;&gt;"""",SPLIT('(INGESTA)Datos_consumo_datadis'!A:A,"",""),"""")"),"ES0031408323131005HX0F")</f>
        <v>ES0031408323131005HX0F</v>
      </c>
      <c r="B4343" s="12">
        <f>IFERROR(__xludf.DUMMYFUNCTION("""COMPUTED_VALUE"""),45046.0)</f>
        <v>45046</v>
      </c>
      <c r="C4343" s="13">
        <f>IFERROR(__xludf.DUMMYFUNCTION("""COMPUTED_VALUE"""),0.9583333333333334)</f>
        <v>0.9583333333</v>
      </c>
      <c r="D4343" s="8">
        <f>IFERROR(__xludf.DUMMYFUNCTION("""COMPUTED_VALUE"""),0.649)</f>
        <v>0.649</v>
      </c>
      <c r="E4343" s="8" t="str">
        <f>IFERROR(__xludf.DUMMYFUNCTION("""COMPUTED_VALUE"""),"Real")</f>
        <v>Real</v>
      </c>
      <c r="G4343" s="8">
        <f t="shared" si="1"/>
        <v>4</v>
      </c>
      <c r="H4343" s="14">
        <f t="shared" si="2"/>
        <v>30</v>
      </c>
      <c r="I4343" s="15">
        <f t="shared" si="3"/>
        <v>23</v>
      </c>
    </row>
    <row r="4344">
      <c r="A4344" s="8" t="str">
        <f>IFERROR(__xludf.DUMMYFUNCTION("IF('(INGESTA)Datos_consumo_datadis'!A4344&lt;&gt;"""",SPLIT('(INGESTA)Datos_consumo_datadis'!A:A,"",""),"""")"),"ES0031408323131005HX0F")</f>
        <v>ES0031408323131005HX0F</v>
      </c>
      <c r="B4344" s="12">
        <f>IFERROR(__xludf.DUMMYFUNCTION("""COMPUTED_VALUE"""),45046.0)</f>
        <v>45046</v>
      </c>
      <c r="C4344" s="16">
        <f>IFERROR(__xludf.DUMMYFUNCTION("""COMPUTED_VALUE"""),1.0)</f>
        <v>1</v>
      </c>
      <c r="D4344" s="8">
        <f>IFERROR(__xludf.DUMMYFUNCTION("""COMPUTED_VALUE"""),0.109)</f>
        <v>0.109</v>
      </c>
      <c r="E4344" s="8" t="str">
        <f>IFERROR(__xludf.DUMMYFUNCTION("""COMPUTED_VALUE"""),"Real")</f>
        <v>Real</v>
      </c>
      <c r="G4344" s="8">
        <f t="shared" si="1"/>
        <v>4</v>
      </c>
      <c r="H4344" s="14">
        <f t="shared" si="2"/>
        <v>30</v>
      </c>
      <c r="I4344" s="15">
        <f t="shared" si="3"/>
        <v>0</v>
      </c>
    </row>
    <row r="4345">
      <c r="A4345" s="8" t="str">
        <f>IFERROR(__xludf.DUMMYFUNCTION("IF('(INGESTA)Datos_consumo_datadis'!A4345&lt;&gt;"""",SPLIT('(INGESTA)Datos_consumo_datadis'!A:A,"",""),"""")"),"ES0031408323131005HX0F")</f>
        <v>ES0031408323131005HX0F</v>
      </c>
      <c r="B4345" s="12">
        <f>IFERROR(__xludf.DUMMYFUNCTION("""COMPUTED_VALUE"""),45047.0)</f>
        <v>45047</v>
      </c>
      <c r="C4345" s="13">
        <f>IFERROR(__xludf.DUMMYFUNCTION("""COMPUTED_VALUE"""),0.041666666666666664)</f>
        <v>0.04166666667</v>
      </c>
      <c r="D4345" s="8">
        <f>IFERROR(__xludf.DUMMYFUNCTION("""COMPUTED_VALUE"""),0.087)</f>
        <v>0.087</v>
      </c>
      <c r="E4345" s="8" t="str">
        <f>IFERROR(__xludf.DUMMYFUNCTION("""COMPUTED_VALUE"""),"Real")</f>
        <v>Real</v>
      </c>
      <c r="G4345" s="8">
        <f t="shared" si="1"/>
        <v>5</v>
      </c>
      <c r="H4345" s="14">
        <f t="shared" si="2"/>
        <v>1</v>
      </c>
      <c r="I4345" s="15">
        <f t="shared" si="3"/>
        <v>1</v>
      </c>
    </row>
    <row r="4346">
      <c r="A4346" s="8" t="str">
        <f>IFERROR(__xludf.DUMMYFUNCTION("IF('(INGESTA)Datos_consumo_datadis'!A4346&lt;&gt;"""",SPLIT('(INGESTA)Datos_consumo_datadis'!A:A,"",""),"""")"),"ES0031408323131005HX0F")</f>
        <v>ES0031408323131005HX0F</v>
      </c>
      <c r="B4346" s="12">
        <f>IFERROR(__xludf.DUMMYFUNCTION("""COMPUTED_VALUE"""),45047.0)</f>
        <v>45047</v>
      </c>
      <c r="C4346" s="13">
        <f>IFERROR(__xludf.DUMMYFUNCTION("""COMPUTED_VALUE"""),0.08333333333333333)</f>
        <v>0.08333333333</v>
      </c>
      <c r="D4346" s="8">
        <f>IFERROR(__xludf.DUMMYFUNCTION("""COMPUTED_VALUE"""),0.036)</f>
        <v>0.036</v>
      </c>
      <c r="E4346" s="8" t="str">
        <f>IFERROR(__xludf.DUMMYFUNCTION("""COMPUTED_VALUE"""),"Real")</f>
        <v>Real</v>
      </c>
      <c r="G4346" s="8">
        <f t="shared" si="1"/>
        <v>5</v>
      </c>
      <c r="H4346" s="14">
        <f t="shared" si="2"/>
        <v>1</v>
      </c>
      <c r="I4346" s="15">
        <f t="shared" si="3"/>
        <v>2</v>
      </c>
    </row>
    <row r="4347">
      <c r="A4347" s="8" t="str">
        <f>IFERROR(__xludf.DUMMYFUNCTION("IF('(INGESTA)Datos_consumo_datadis'!A4347&lt;&gt;"""",SPLIT('(INGESTA)Datos_consumo_datadis'!A:A,"",""),"""")"),"ES0031408323131005HX0F")</f>
        <v>ES0031408323131005HX0F</v>
      </c>
      <c r="B4347" s="12">
        <f>IFERROR(__xludf.DUMMYFUNCTION("""COMPUTED_VALUE"""),45047.0)</f>
        <v>45047</v>
      </c>
      <c r="C4347" s="13">
        <f>IFERROR(__xludf.DUMMYFUNCTION("""COMPUTED_VALUE"""),0.125)</f>
        <v>0.125</v>
      </c>
      <c r="D4347" s="8">
        <f>IFERROR(__xludf.DUMMYFUNCTION("""COMPUTED_VALUE"""),0.144)</f>
        <v>0.144</v>
      </c>
      <c r="E4347" s="8" t="str">
        <f>IFERROR(__xludf.DUMMYFUNCTION("""COMPUTED_VALUE"""),"Real")</f>
        <v>Real</v>
      </c>
      <c r="G4347" s="8">
        <f t="shared" si="1"/>
        <v>5</v>
      </c>
      <c r="H4347" s="14">
        <f t="shared" si="2"/>
        <v>1</v>
      </c>
      <c r="I4347" s="15">
        <f t="shared" si="3"/>
        <v>3</v>
      </c>
    </row>
    <row r="4348">
      <c r="A4348" s="8" t="str">
        <f>IFERROR(__xludf.DUMMYFUNCTION("IF('(INGESTA)Datos_consumo_datadis'!A4348&lt;&gt;"""",SPLIT('(INGESTA)Datos_consumo_datadis'!A:A,"",""),"""")"),"ES0031408323131005HX0F")</f>
        <v>ES0031408323131005HX0F</v>
      </c>
      <c r="B4348" s="12">
        <f>IFERROR(__xludf.DUMMYFUNCTION("""COMPUTED_VALUE"""),45047.0)</f>
        <v>45047</v>
      </c>
      <c r="C4348" s="13">
        <f>IFERROR(__xludf.DUMMYFUNCTION("""COMPUTED_VALUE"""),0.16666666666666666)</f>
        <v>0.1666666667</v>
      </c>
      <c r="D4348" s="8">
        <f>IFERROR(__xludf.DUMMYFUNCTION("""COMPUTED_VALUE"""),0.326)</f>
        <v>0.326</v>
      </c>
      <c r="E4348" s="8" t="str">
        <f>IFERROR(__xludf.DUMMYFUNCTION("""COMPUTED_VALUE"""),"Real")</f>
        <v>Real</v>
      </c>
      <c r="G4348" s="8">
        <f t="shared" si="1"/>
        <v>5</v>
      </c>
      <c r="H4348" s="14">
        <f t="shared" si="2"/>
        <v>1</v>
      </c>
      <c r="I4348" s="15">
        <f t="shared" si="3"/>
        <v>4</v>
      </c>
    </row>
    <row r="4349">
      <c r="A4349" s="8" t="str">
        <f>IFERROR(__xludf.DUMMYFUNCTION("IF('(INGESTA)Datos_consumo_datadis'!A4349&lt;&gt;"""",SPLIT('(INGESTA)Datos_consumo_datadis'!A:A,"",""),"""")"),"ES0031408323131005HX0F")</f>
        <v>ES0031408323131005HX0F</v>
      </c>
      <c r="B4349" s="12">
        <f>IFERROR(__xludf.DUMMYFUNCTION("""COMPUTED_VALUE"""),45047.0)</f>
        <v>45047</v>
      </c>
      <c r="C4349" s="13">
        <f>IFERROR(__xludf.DUMMYFUNCTION("""COMPUTED_VALUE"""),0.20833333333333334)</f>
        <v>0.2083333333</v>
      </c>
      <c r="D4349" s="8">
        <f>IFERROR(__xludf.DUMMYFUNCTION("""COMPUTED_VALUE"""),0.085)</f>
        <v>0.085</v>
      </c>
      <c r="E4349" s="8" t="str">
        <f>IFERROR(__xludf.DUMMYFUNCTION("""COMPUTED_VALUE"""),"Real")</f>
        <v>Real</v>
      </c>
      <c r="G4349" s="8">
        <f t="shared" si="1"/>
        <v>5</v>
      </c>
      <c r="H4349" s="14">
        <f t="shared" si="2"/>
        <v>1</v>
      </c>
      <c r="I4349" s="15">
        <f t="shared" si="3"/>
        <v>5</v>
      </c>
    </row>
    <row r="4350">
      <c r="A4350" s="8" t="str">
        <f>IFERROR(__xludf.DUMMYFUNCTION("IF('(INGESTA)Datos_consumo_datadis'!A4350&lt;&gt;"""",SPLIT('(INGESTA)Datos_consumo_datadis'!A:A,"",""),"""")"),"ES0031408323131005HX0F")</f>
        <v>ES0031408323131005HX0F</v>
      </c>
      <c r="B4350" s="12">
        <f>IFERROR(__xludf.DUMMYFUNCTION("""COMPUTED_VALUE"""),45047.0)</f>
        <v>45047</v>
      </c>
      <c r="C4350" s="13">
        <f>IFERROR(__xludf.DUMMYFUNCTION("""COMPUTED_VALUE"""),0.25)</f>
        <v>0.25</v>
      </c>
      <c r="D4350" s="8">
        <f>IFERROR(__xludf.DUMMYFUNCTION("""COMPUTED_VALUE"""),0.024)</f>
        <v>0.024</v>
      </c>
      <c r="E4350" s="8" t="str">
        <f>IFERROR(__xludf.DUMMYFUNCTION("""COMPUTED_VALUE"""),"Real")</f>
        <v>Real</v>
      </c>
      <c r="G4350" s="8">
        <f t="shared" si="1"/>
        <v>5</v>
      </c>
      <c r="H4350" s="14">
        <f t="shared" si="2"/>
        <v>1</v>
      </c>
      <c r="I4350" s="15">
        <f t="shared" si="3"/>
        <v>6</v>
      </c>
    </row>
    <row r="4351">
      <c r="A4351" s="8" t="str">
        <f>IFERROR(__xludf.DUMMYFUNCTION("IF('(INGESTA)Datos_consumo_datadis'!A4351&lt;&gt;"""",SPLIT('(INGESTA)Datos_consumo_datadis'!A:A,"",""),"""")"),"ES0031408323131005HX0F")</f>
        <v>ES0031408323131005HX0F</v>
      </c>
      <c r="B4351" s="12">
        <f>IFERROR(__xludf.DUMMYFUNCTION("""COMPUTED_VALUE"""),45047.0)</f>
        <v>45047</v>
      </c>
      <c r="C4351" s="13">
        <f>IFERROR(__xludf.DUMMYFUNCTION("""COMPUTED_VALUE"""),0.2916666666666667)</f>
        <v>0.2916666667</v>
      </c>
      <c r="D4351" s="8">
        <f>IFERROR(__xludf.DUMMYFUNCTION("""COMPUTED_VALUE"""),0.112)</f>
        <v>0.112</v>
      </c>
      <c r="E4351" s="8" t="str">
        <f>IFERROR(__xludf.DUMMYFUNCTION("""COMPUTED_VALUE"""),"Real")</f>
        <v>Real</v>
      </c>
      <c r="G4351" s="8">
        <f t="shared" si="1"/>
        <v>5</v>
      </c>
      <c r="H4351" s="14">
        <f t="shared" si="2"/>
        <v>1</v>
      </c>
      <c r="I4351" s="15">
        <f t="shared" si="3"/>
        <v>7</v>
      </c>
    </row>
    <row r="4352">
      <c r="A4352" s="8" t="str">
        <f>IFERROR(__xludf.DUMMYFUNCTION("IF('(INGESTA)Datos_consumo_datadis'!A4352&lt;&gt;"""",SPLIT('(INGESTA)Datos_consumo_datadis'!A:A,"",""),"""")"),"ES0031408323131005HX0F")</f>
        <v>ES0031408323131005HX0F</v>
      </c>
      <c r="B4352" s="12">
        <f>IFERROR(__xludf.DUMMYFUNCTION("""COMPUTED_VALUE"""),45047.0)</f>
        <v>45047</v>
      </c>
      <c r="C4352" s="13">
        <f>IFERROR(__xludf.DUMMYFUNCTION("""COMPUTED_VALUE"""),0.3333333333333333)</f>
        <v>0.3333333333</v>
      </c>
      <c r="D4352" s="8">
        <f>IFERROR(__xludf.DUMMYFUNCTION("""COMPUTED_VALUE"""),0.067)</f>
        <v>0.067</v>
      </c>
      <c r="E4352" s="8" t="str">
        <f>IFERROR(__xludf.DUMMYFUNCTION("""COMPUTED_VALUE"""),"Real")</f>
        <v>Real</v>
      </c>
      <c r="G4352" s="8">
        <f t="shared" si="1"/>
        <v>5</v>
      </c>
      <c r="H4352" s="14">
        <f t="shared" si="2"/>
        <v>1</v>
      </c>
      <c r="I4352" s="15">
        <f t="shared" si="3"/>
        <v>8</v>
      </c>
    </row>
    <row r="4353">
      <c r="A4353" s="8" t="str">
        <f>IFERROR(__xludf.DUMMYFUNCTION("IF('(INGESTA)Datos_consumo_datadis'!A4353&lt;&gt;"""",SPLIT('(INGESTA)Datos_consumo_datadis'!A:A,"",""),"""")"),"ES0031408323131005HX0F")</f>
        <v>ES0031408323131005HX0F</v>
      </c>
      <c r="B4353" s="12">
        <f>IFERROR(__xludf.DUMMYFUNCTION("""COMPUTED_VALUE"""),45047.0)</f>
        <v>45047</v>
      </c>
      <c r="C4353" s="13">
        <f>IFERROR(__xludf.DUMMYFUNCTION("""COMPUTED_VALUE"""),0.375)</f>
        <v>0.375</v>
      </c>
      <c r="D4353" s="8">
        <f>IFERROR(__xludf.DUMMYFUNCTION("""COMPUTED_VALUE"""),0.063)</f>
        <v>0.063</v>
      </c>
      <c r="E4353" s="8" t="str">
        <f>IFERROR(__xludf.DUMMYFUNCTION("""COMPUTED_VALUE"""),"Real")</f>
        <v>Real</v>
      </c>
      <c r="G4353" s="8">
        <f t="shared" si="1"/>
        <v>5</v>
      </c>
      <c r="H4353" s="14">
        <f t="shared" si="2"/>
        <v>1</v>
      </c>
      <c r="I4353" s="15">
        <f t="shared" si="3"/>
        <v>9</v>
      </c>
    </row>
    <row r="4354">
      <c r="A4354" s="8" t="str">
        <f>IFERROR(__xludf.DUMMYFUNCTION("IF('(INGESTA)Datos_consumo_datadis'!A4354&lt;&gt;"""",SPLIT('(INGESTA)Datos_consumo_datadis'!A:A,"",""),"""")"),"ES0031408323131005HX0F")</f>
        <v>ES0031408323131005HX0F</v>
      </c>
      <c r="B4354" s="12">
        <f>IFERROR(__xludf.DUMMYFUNCTION("""COMPUTED_VALUE"""),45047.0)</f>
        <v>45047</v>
      </c>
      <c r="C4354" s="13">
        <f>IFERROR(__xludf.DUMMYFUNCTION("""COMPUTED_VALUE"""),0.4166666666666667)</f>
        <v>0.4166666667</v>
      </c>
      <c r="D4354" s="8">
        <f>IFERROR(__xludf.DUMMYFUNCTION("""COMPUTED_VALUE"""),0.028)</f>
        <v>0.028</v>
      </c>
      <c r="E4354" s="8" t="str">
        <f>IFERROR(__xludf.DUMMYFUNCTION("""COMPUTED_VALUE"""),"Real")</f>
        <v>Real</v>
      </c>
      <c r="G4354" s="8">
        <f t="shared" si="1"/>
        <v>5</v>
      </c>
      <c r="H4354" s="14">
        <f t="shared" si="2"/>
        <v>1</v>
      </c>
      <c r="I4354" s="15">
        <f t="shared" si="3"/>
        <v>10</v>
      </c>
    </row>
    <row r="4355">
      <c r="A4355" s="8" t="str">
        <f>IFERROR(__xludf.DUMMYFUNCTION("IF('(INGESTA)Datos_consumo_datadis'!A4355&lt;&gt;"""",SPLIT('(INGESTA)Datos_consumo_datadis'!A:A,"",""),"""")"),"ES0031408323131005HX0F")</f>
        <v>ES0031408323131005HX0F</v>
      </c>
      <c r="B4355" s="12">
        <f>IFERROR(__xludf.DUMMYFUNCTION("""COMPUTED_VALUE"""),45047.0)</f>
        <v>45047</v>
      </c>
      <c r="C4355" s="13">
        <f>IFERROR(__xludf.DUMMYFUNCTION("""COMPUTED_VALUE"""),0.4583333333333333)</f>
        <v>0.4583333333</v>
      </c>
      <c r="D4355" s="8">
        <f>IFERROR(__xludf.DUMMYFUNCTION("""COMPUTED_VALUE"""),0.305)</f>
        <v>0.305</v>
      </c>
      <c r="E4355" s="8" t="str">
        <f>IFERROR(__xludf.DUMMYFUNCTION("""COMPUTED_VALUE"""),"Real")</f>
        <v>Real</v>
      </c>
      <c r="G4355" s="8">
        <f t="shared" si="1"/>
        <v>5</v>
      </c>
      <c r="H4355" s="14">
        <f t="shared" si="2"/>
        <v>1</v>
      </c>
      <c r="I4355" s="15">
        <f t="shared" si="3"/>
        <v>11</v>
      </c>
    </row>
    <row r="4356">
      <c r="A4356" s="8" t="str">
        <f>IFERROR(__xludf.DUMMYFUNCTION("IF('(INGESTA)Datos_consumo_datadis'!A4356&lt;&gt;"""",SPLIT('(INGESTA)Datos_consumo_datadis'!A:A,"",""),"""")"),"ES0031408323131005HX0F")</f>
        <v>ES0031408323131005HX0F</v>
      </c>
      <c r="B4356" s="12">
        <f>IFERROR(__xludf.DUMMYFUNCTION("""COMPUTED_VALUE"""),45047.0)</f>
        <v>45047</v>
      </c>
      <c r="C4356" s="13">
        <f>IFERROR(__xludf.DUMMYFUNCTION("""COMPUTED_VALUE"""),0.5)</f>
        <v>0.5</v>
      </c>
      <c r="D4356" s="8">
        <f>IFERROR(__xludf.DUMMYFUNCTION("""COMPUTED_VALUE"""),0.229)</f>
        <v>0.229</v>
      </c>
      <c r="E4356" s="8" t="str">
        <f>IFERROR(__xludf.DUMMYFUNCTION("""COMPUTED_VALUE"""),"Real")</f>
        <v>Real</v>
      </c>
      <c r="G4356" s="8">
        <f t="shared" si="1"/>
        <v>5</v>
      </c>
      <c r="H4356" s="14">
        <f t="shared" si="2"/>
        <v>1</v>
      </c>
      <c r="I4356" s="15">
        <f t="shared" si="3"/>
        <v>12</v>
      </c>
    </row>
    <row r="4357">
      <c r="A4357" s="8" t="str">
        <f>IFERROR(__xludf.DUMMYFUNCTION("IF('(INGESTA)Datos_consumo_datadis'!A4357&lt;&gt;"""",SPLIT('(INGESTA)Datos_consumo_datadis'!A:A,"",""),"""")"),"ES0031408323131005HX0F")</f>
        <v>ES0031408323131005HX0F</v>
      </c>
      <c r="B4357" s="12">
        <f>IFERROR(__xludf.DUMMYFUNCTION("""COMPUTED_VALUE"""),45047.0)</f>
        <v>45047</v>
      </c>
      <c r="C4357" s="13">
        <f>IFERROR(__xludf.DUMMYFUNCTION("""COMPUTED_VALUE"""),0.5416666666666666)</f>
        <v>0.5416666667</v>
      </c>
      <c r="D4357" s="8">
        <f>IFERROR(__xludf.DUMMYFUNCTION("""COMPUTED_VALUE"""),0.08)</f>
        <v>0.08</v>
      </c>
      <c r="E4357" s="8" t="str">
        <f>IFERROR(__xludf.DUMMYFUNCTION("""COMPUTED_VALUE"""),"Real")</f>
        <v>Real</v>
      </c>
      <c r="G4357" s="8">
        <f t="shared" si="1"/>
        <v>5</v>
      </c>
      <c r="H4357" s="14">
        <f t="shared" si="2"/>
        <v>1</v>
      </c>
      <c r="I4357" s="15">
        <f t="shared" si="3"/>
        <v>13</v>
      </c>
    </row>
    <row r="4358">
      <c r="A4358" s="8" t="str">
        <f>IFERROR(__xludf.DUMMYFUNCTION("IF('(INGESTA)Datos_consumo_datadis'!A4358&lt;&gt;"""",SPLIT('(INGESTA)Datos_consumo_datadis'!A:A,"",""),"""")"),"ES0031408323131005HX0F")</f>
        <v>ES0031408323131005HX0F</v>
      </c>
      <c r="B4358" s="12">
        <f>IFERROR(__xludf.DUMMYFUNCTION("""COMPUTED_VALUE"""),45047.0)</f>
        <v>45047</v>
      </c>
      <c r="C4358" s="13">
        <f>IFERROR(__xludf.DUMMYFUNCTION("""COMPUTED_VALUE"""),0.5833333333333334)</f>
        <v>0.5833333333</v>
      </c>
      <c r="D4358" s="8">
        <f>IFERROR(__xludf.DUMMYFUNCTION("""COMPUTED_VALUE"""),0.475)</f>
        <v>0.475</v>
      </c>
      <c r="E4358" s="8" t="str">
        <f>IFERROR(__xludf.DUMMYFUNCTION("""COMPUTED_VALUE"""),"Real")</f>
        <v>Real</v>
      </c>
      <c r="G4358" s="8">
        <f t="shared" si="1"/>
        <v>5</v>
      </c>
      <c r="H4358" s="14">
        <f t="shared" si="2"/>
        <v>1</v>
      </c>
      <c r="I4358" s="15">
        <f t="shared" si="3"/>
        <v>14</v>
      </c>
    </row>
    <row r="4359">
      <c r="A4359" s="8" t="str">
        <f>IFERROR(__xludf.DUMMYFUNCTION("IF('(INGESTA)Datos_consumo_datadis'!A4359&lt;&gt;"""",SPLIT('(INGESTA)Datos_consumo_datadis'!A:A,"",""),"""")"),"ES0031408323131005HX0F")</f>
        <v>ES0031408323131005HX0F</v>
      </c>
      <c r="B4359" s="12">
        <f>IFERROR(__xludf.DUMMYFUNCTION("""COMPUTED_VALUE"""),45047.0)</f>
        <v>45047</v>
      </c>
      <c r="C4359" s="13">
        <f>IFERROR(__xludf.DUMMYFUNCTION("""COMPUTED_VALUE"""),0.625)</f>
        <v>0.625</v>
      </c>
      <c r="D4359" s="8">
        <f>IFERROR(__xludf.DUMMYFUNCTION("""COMPUTED_VALUE"""),0.656)</f>
        <v>0.656</v>
      </c>
      <c r="E4359" s="8" t="str">
        <f>IFERROR(__xludf.DUMMYFUNCTION("""COMPUTED_VALUE"""),"Real")</f>
        <v>Real</v>
      </c>
      <c r="G4359" s="8">
        <f t="shared" si="1"/>
        <v>5</v>
      </c>
      <c r="H4359" s="14">
        <f t="shared" si="2"/>
        <v>1</v>
      </c>
      <c r="I4359" s="15">
        <f t="shared" si="3"/>
        <v>15</v>
      </c>
    </row>
    <row r="4360">
      <c r="A4360" s="8" t="str">
        <f>IFERROR(__xludf.DUMMYFUNCTION("IF('(INGESTA)Datos_consumo_datadis'!A4360&lt;&gt;"""",SPLIT('(INGESTA)Datos_consumo_datadis'!A:A,"",""),"""")"),"ES0031408323131005HX0F")</f>
        <v>ES0031408323131005HX0F</v>
      </c>
      <c r="B4360" s="12">
        <f>IFERROR(__xludf.DUMMYFUNCTION("""COMPUTED_VALUE"""),45047.0)</f>
        <v>45047</v>
      </c>
      <c r="C4360" s="13">
        <f>IFERROR(__xludf.DUMMYFUNCTION("""COMPUTED_VALUE"""),0.6666666666666666)</f>
        <v>0.6666666667</v>
      </c>
      <c r="D4360" s="8">
        <f>IFERROR(__xludf.DUMMYFUNCTION("""COMPUTED_VALUE"""),0.521)</f>
        <v>0.521</v>
      </c>
      <c r="E4360" s="8" t="str">
        <f>IFERROR(__xludf.DUMMYFUNCTION("""COMPUTED_VALUE"""),"Real")</f>
        <v>Real</v>
      </c>
      <c r="G4360" s="8">
        <f t="shared" si="1"/>
        <v>5</v>
      </c>
      <c r="H4360" s="14">
        <f t="shared" si="2"/>
        <v>1</v>
      </c>
      <c r="I4360" s="15">
        <f t="shared" si="3"/>
        <v>16</v>
      </c>
    </row>
    <row r="4361">
      <c r="A4361" s="8" t="str">
        <f>IFERROR(__xludf.DUMMYFUNCTION("IF('(INGESTA)Datos_consumo_datadis'!A4361&lt;&gt;"""",SPLIT('(INGESTA)Datos_consumo_datadis'!A:A,"",""),"""")"),"ES0031408323131005HX0F")</f>
        <v>ES0031408323131005HX0F</v>
      </c>
      <c r="B4361" s="12">
        <f>IFERROR(__xludf.DUMMYFUNCTION("""COMPUTED_VALUE"""),45047.0)</f>
        <v>45047</v>
      </c>
      <c r="C4361" s="13">
        <f>IFERROR(__xludf.DUMMYFUNCTION("""COMPUTED_VALUE"""),0.7083333333333334)</f>
        <v>0.7083333333</v>
      </c>
      <c r="D4361" s="8">
        <f>IFERROR(__xludf.DUMMYFUNCTION("""COMPUTED_VALUE"""),0.045)</f>
        <v>0.045</v>
      </c>
      <c r="E4361" s="8" t="str">
        <f>IFERROR(__xludf.DUMMYFUNCTION("""COMPUTED_VALUE"""),"Real")</f>
        <v>Real</v>
      </c>
      <c r="G4361" s="8">
        <f t="shared" si="1"/>
        <v>5</v>
      </c>
      <c r="H4361" s="14">
        <f t="shared" si="2"/>
        <v>1</v>
      </c>
      <c r="I4361" s="15">
        <f t="shared" si="3"/>
        <v>17</v>
      </c>
    </row>
    <row r="4362">
      <c r="A4362" s="8" t="str">
        <f>IFERROR(__xludf.DUMMYFUNCTION("IF('(INGESTA)Datos_consumo_datadis'!A4362&lt;&gt;"""",SPLIT('(INGESTA)Datos_consumo_datadis'!A:A,"",""),"""")"),"ES0031408323131005HX0F")</f>
        <v>ES0031408323131005HX0F</v>
      </c>
      <c r="B4362" s="12">
        <f>IFERROR(__xludf.DUMMYFUNCTION("""COMPUTED_VALUE"""),45047.0)</f>
        <v>45047</v>
      </c>
      <c r="C4362" s="13">
        <f>IFERROR(__xludf.DUMMYFUNCTION("""COMPUTED_VALUE"""),0.75)</f>
        <v>0.75</v>
      </c>
      <c r="D4362" s="8">
        <f>IFERROR(__xludf.DUMMYFUNCTION("""COMPUTED_VALUE"""),0.31)</f>
        <v>0.31</v>
      </c>
      <c r="E4362" s="8" t="str">
        <f>IFERROR(__xludf.DUMMYFUNCTION("""COMPUTED_VALUE"""),"Real")</f>
        <v>Real</v>
      </c>
      <c r="G4362" s="8">
        <f t="shared" si="1"/>
        <v>5</v>
      </c>
      <c r="H4362" s="14">
        <f t="shared" si="2"/>
        <v>1</v>
      </c>
      <c r="I4362" s="15">
        <f t="shared" si="3"/>
        <v>18</v>
      </c>
    </row>
    <row r="4363">
      <c r="A4363" s="8" t="str">
        <f>IFERROR(__xludf.DUMMYFUNCTION("IF('(INGESTA)Datos_consumo_datadis'!A4363&lt;&gt;"""",SPLIT('(INGESTA)Datos_consumo_datadis'!A:A,"",""),"""")"),"ES0031408323131005HX0F")</f>
        <v>ES0031408323131005HX0F</v>
      </c>
      <c r="B4363" s="12">
        <f>IFERROR(__xludf.DUMMYFUNCTION("""COMPUTED_VALUE"""),45047.0)</f>
        <v>45047</v>
      </c>
      <c r="C4363" s="13">
        <f>IFERROR(__xludf.DUMMYFUNCTION("""COMPUTED_VALUE"""),0.7916666666666666)</f>
        <v>0.7916666667</v>
      </c>
      <c r="D4363" s="8">
        <f>IFERROR(__xludf.DUMMYFUNCTION("""COMPUTED_VALUE"""),0.196)</f>
        <v>0.196</v>
      </c>
      <c r="E4363" s="8" t="str">
        <f>IFERROR(__xludf.DUMMYFUNCTION("""COMPUTED_VALUE"""),"Real")</f>
        <v>Real</v>
      </c>
      <c r="G4363" s="8">
        <f t="shared" si="1"/>
        <v>5</v>
      </c>
      <c r="H4363" s="14">
        <f t="shared" si="2"/>
        <v>1</v>
      </c>
      <c r="I4363" s="15">
        <f t="shared" si="3"/>
        <v>19</v>
      </c>
    </row>
    <row r="4364">
      <c r="A4364" s="8" t="str">
        <f>IFERROR(__xludf.DUMMYFUNCTION("IF('(INGESTA)Datos_consumo_datadis'!A4364&lt;&gt;"""",SPLIT('(INGESTA)Datos_consumo_datadis'!A:A,"",""),"""")"),"ES0031408323131005HX0F")</f>
        <v>ES0031408323131005HX0F</v>
      </c>
      <c r="B4364" s="12">
        <f>IFERROR(__xludf.DUMMYFUNCTION("""COMPUTED_VALUE"""),45047.0)</f>
        <v>45047</v>
      </c>
      <c r="C4364" s="13">
        <f>IFERROR(__xludf.DUMMYFUNCTION("""COMPUTED_VALUE"""),0.8333333333333334)</f>
        <v>0.8333333333</v>
      </c>
      <c r="D4364" s="8">
        <f>IFERROR(__xludf.DUMMYFUNCTION("""COMPUTED_VALUE"""),0.368)</f>
        <v>0.368</v>
      </c>
      <c r="E4364" s="8" t="str">
        <f>IFERROR(__xludf.DUMMYFUNCTION("""COMPUTED_VALUE"""),"Real")</f>
        <v>Real</v>
      </c>
      <c r="G4364" s="8">
        <f t="shared" si="1"/>
        <v>5</v>
      </c>
      <c r="H4364" s="14">
        <f t="shared" si="2"/>
        <v>1</v>
      </c>
      <c r="I4364" s="15">
        <f t="shared" si="3"/>
        <v>20</v>
      </c>
    </row>
    <row r="4365">
      <c r="A4365" s="8" t="str">
        <f>IFERROR(__xludf.DUMMYFUNCTION("IF('(INGESTA)Datos_consumo_datadis'!A4365&lt;&gt;"""",SPLIT('(INGESTA)Datos_consumo_datadis'!A:A,"",""),"""")"),"ES0031408323131005HX0F")</f>
        <v>ES0031408323131005HX0F</v>
      </c>
      <c r="B4365" s="12">
        <f>IFERROR(__xludf.DUMMYFUNCTION("""COMPUTED_VALUE"""),45047.0)</f>
        <v>45047</v>
      </c>
      <c r="C4365" s="13">
        <f>IFERROR(__xludf.DUMMYFUNCTION("""COMPUTED_VALUE"""),0.875)</f>
        <v>0.875</v>
      </c>
      <c r="D4365" s="8">
        <f>IFERROR(__xludf.DUMMYFUNCTION("""COMPUTED_VALUE"""),1.135)</f>
        <v>1.135</v>
      </c>
      <c r="E4365" s="8" t="str">
        <f>IFERROR(__xludf.DUMMYFUNCTION("""COMPUTED_VALUE"""),"Real")</f>
        <v>Real</v>
      </c>
      <c r="G4365" s="8">
        <f t="shared" si="1"/>
        <v>5</v>
      </c>
      <c r="H4365" s="14">
        <f t="shared" si="2"/>
        <v>1</v>
      </c>
      <c r="I4365" s="15">
        <f t="shared" si="3"/>
        <v>21</v>
      </c>
    </row>
    <row r="4366">
      <c r="A4366" s="8" t="str">
        <f>IFERROR(__xludf.DUMMYFUNCTION("IF('(INGESTA)Datos_consumo_datadis'!A4366&lt;&gt;"""",SPLIT('(INGESTA)Datos_consumo_datadis'!A:A,"",""),"""")"),"ES0031408323131005HX0F")</f>
        <v>ES0031408323131005HX0F</v>
      </c>
      <c r="B4366" s="12">
        <f>IFERROR(__xludf.DUMMYFUNCTION("""COMPUTED_VALUE"""),45047.0)</f>
        <v>45047</v>
      </c>
      <c r="C4366" s="13">
        <f>IFERROR(__xludf.DUMMYFUNCTION("""COMPUTED_VALUE"""),0.9166666666666666)</f>
        <v>0.9166666667</v>
      </c>
      <c r="D4366" s="8">
        <f>IFERROR(__xludf.DUMMYFUNCTION("""COMPUTED_VALUE"""),1.949)</f>
        <v>1.949</v>
      </c>
      <c r="E4366" s="8" t="str">
        <f>IFERROR(__xludf.DUMMYFUNCTION("""COMPUTED_VALUE"""),"Real")</f>
        <v>Real</v>
      </c>
      <c r="G4366" s="8">
        <f t="shared" si="1"/>
        <v>5</v>
      </c>
      <c r="H4366" s="14">
        <f t="shared" si="2"/>
        <v>1</v>
      </c>
      <c r="I4366" s="15">
        <f t="shared" si="3"/>
        <v>22</v>
      </c>
    </row>
    <row r="4367">
      <c r="A4367" s="8" t="str">
        <f>IFERROR(__xludf.DUMMYFUNCTION("IF('(INGESTA)Datos_consumo_datadis'!A4367&lt;&gt;"""",SPLIT('(INGESTA)Datos_consumo_datadis'!A:A,"",""),"""")"),"ES0031408323131005HX0F")</f>
        <v>ES0031408323131005HX0F</v>
      </c>
      <c r="B4367" s="12">
        <f>IFERROR(__xludf.DUMMYFUNCTION("""COMPUTED_VALUE"""),45047.0)</f>
        <v>45047</v>
      </c>
      <c r="C4367" s="13">
        <f>IFERROR(__xludf.DUMMYFUNCTION("""COMPUTED_VALUE"""),0.9583333333333334)</f>
        <v>0.9583333333</v>
      </c>
      <c r="D4367" s="8">
        <f>IFERROR(__xludf.DUMMYFUNCTION("""COMPUTED_VALUE"""),0.667)</f>
        <v>0.667</v>
      </c>
      <c r="E4367" s="8" t="str">
        <f>IFERROR(__xludf.DUMMYFUNCTION("""COMPUTED_VALUE"""),"Real")</f>
        <v>Real</v>
      </c>
      <c r="G4367" s="8">
        <f t="shared" si="1"/>
        <v>5</v>
      </c>
      <c r="H4367" s="14">
        <f t="shared" si="2"/>
        <v>1</v>
      </c>
      <c r="I4367" s="15">
        <f t="shared" si="3"/>
        <v>23</v>
      </c>
    </row>
    <row r="4368">
      <c r="A4368" s="8" t="str">
        <f>IFERROR(__xludf.DUMMYFUNCTION("IF('(INGESTA)Datos_consumo_datadis'!A4368&lt;&gt;"""",SPLIT('(INGESTA)Datos_consumo_datadis'!A:A,"",""),"""")"),"ES0031408323131005HX0F")</f>
        <v>ES0031408323131005HX0F</v>
      </c>
      <c r="B4368" s="12">
        <f>IFERROR(__xludf.DUMMYFUNCTION("""COMPUTED_VALUE"""),45047.0)</f>
        <v>45047</v>
      </c>
      <c r="C4368" s="16">
        <f>IFERROR(__xludf.DUMMYFUNCTION("""COMPUTED_VALUE"""),1.0)</f>
        <v>1</v>
      </c>
      <c r="D4368" s="8">
        <f>IFERROR(__xludf.DUMMYFUNCTION("""COMPUTED_VALUE"""),0.278)</f>
        <v>0.278</v>
      </c>
      <c r="E4368" s="8" t="str">
        <f>IFERROR(__xludf.DUMMYFUNCTION("""COMPUTED_VALUE"""),"Real")</f>
        <v>Real</v>
      </c>
      <c r="G4368" s="8">
        <f t="shared" si="1"/>
        <v>5</v>
      </c>
      <c r="H4368" s="14">
        <f t="shared" si="2"/>
        <v>1</v>
      </c>
      <c r="I4368" s="15">
        <f t="shared" si="3"/>
        <v>0</v>
      </c>
    </row>
    <row r="4369">
      <c r="A4369" s="8" t="str">
        <f>IFERROR(__xludf.DUMMYFUNCTION("IF('(INGESTA)Datos_consumo_datadis'!A4369&lt;&gt;"""",SPLIT('(INGESTA)Datos_consumo_datadis'!A:A,"",""),"""")"),"ES0031408323131005HX0F")</f>
        <v>ES0031408323131005HX0F</v>
      </c>
      <c r="B4369" s="12">
        <f>IFERROR(__xludf.DUMMYFUNCTION("""COMPUTED_VALUE"""),45048.0)</f>
        <v>45048</v>
      </c>
      <c r="C4369" s="13">
        <f>IFERROR(__xludf.DUMMYFUNCTION("""COMPUTED_VALUE"""),0.041666666666666664)</f>
        <v>0.04166666667</v>
      </c>
      <c r="D4369" s="8">
        <f>IFERROR(__xludf.DUMMYFUNCTION("""COMPUTED_VALUE"""),0.131)</f>
        <v>0.131</v>
      </c>
      <c r="E4369" s="8" t="str">
        <f>IFERROR(__xludf.DUMMYFUNCTION("""COMPUTED_VALUE"""),"Real")</f>
        <v>Real</v>
      </c>
      <c r="G4369" s="8">
        <f t="shared" si="1"/>
        <v>5</v>
      </c>
      <c r="H4369" s="14">
        <f t="shared" si="2"/>
        <v>2</v>
      </c>
      <c r="I4369" s="15">
        <f t="shared" si="3"/>
        <v>1</v>
      </c>
    </row>
    <row r="4370">
      <c r="A4370" s="8" t="str">
        <f>IFERROR(__xludf.DUMMYFUNCTION("IF('(INGESTA)Datos_consumo_datadis'!A4370&lt;&gt;"""",SPLIT('(INGESTA)Datos_consumo_datadis'!A:A,"",""),"""")"),"ES0031408323131005HX0F")</f>
        <v>ES0031408323131005HX0F</v>
      </c>
      <c r="B4370" s="12">
        <f>IFERROR(__xludf.DUMMYFUNCTION("""COMPUTED_VALUE"""),45048.0)</f>
        <v>45048</v>
      </c>
      <c r="C4370" s="13">
        <f>IFERROR(__xludf.DUMMYFUNCTION("""COMPUTED_VALUE"""),0.08333333333333333)</f>
        <v>0.08333333333</v>
      </c>
      <c r="D4370" s="8">
        <f>IFERROR(__xludf.DUMMYFUNCTION("""COMPUTED_VALUE"""),0.032)</f>
        <v>0.032</v>
      </c>
      <c r="E4370" s="8" t="str">
        <f>IFERROR(__xludf.DUMMYFUNCTION("""COMPUTED_VALUE"""),"Real")</f>
        <v>Real</v>
      </c>
      <c r="G4370" s="8">
        <f t="shared" si="1"/>
        <v>5</v>
      </c>
      <c r="H4370" s="14">
        <f t="shared" si="2"/>
        <v>2</v>
      </c>
      <c r="I4370" s="15">
        <f t="shared" si="3"/>
        <v>2</v>
      </c>
    </row>
    <row r="4371">
      <c r="A4371" s="8" t="str">
        <f>IFERROR(__xludf.DUMMYFUNCTION("IF('(INGESTA)Datos_consumo_datadis'!A4371&lt;&gt;"""",SPLIT('(INGESTA)Datos_consumo_datadis'!A:A,"",""),"""")"),"ES0031408323131005HX0F")</f>
        <v>ES0031408323131005HX0F</v>
      </c>
      <c r="B4371" s="12">
        <f>IFERROR(__xludf.DUMMYFUNCTION("""COMPUTED_VALUE"""),45048.0)</f>
        <v>45048</v>
      </c>
      <c r="C4371" s="13">
        <f>IFERROR(__xludf.DUMMYFUNCTION("""COMPUTED_VALUE"""),0.125)</f>
        <v>0.125</v>
      </c>
      <c r="D4371" s="8">
        <f>IFERROR(__xludf.DUMMYFUNCTION("""COMPUTED_VALUE"""),0.118)</f>
        <v>0.118</v>
      </c>
      <c r="E4371" s="8" t="str">
        <f>IFERROR(__xludf.DUMMYFUNCTION("""COMPUTED_VALUE"""),"Real")</f>
        <v>Real</v>
      </c>
      <c r="G4371" s="8">
        <f t="shared" si="1"/>
        <v>5</v>
      </c>
      <c r="H4371" s="14">
        <f t="shared" si="2"/>
        <v>2</v>
      </c>
      <c r="I4371" s="15">
        <f t="shared" si="3"/>
        <v>3</v>
      </c>
    </row>
    <row r="4372">
      <c r="A4372" s="8" t="str">
        <f>IFERROR(__xludf.DUMMYFUNCTION("IF('(INGESTA)Datos_consumo_datadis'!A4372&lt;&gt;"""",SPLIT('(INGESTA)Datos_consumo_datadis'!A:A,"",""),"""")"),"ES0031408323131005HX0F")</f>
        <v>ES0031408323131005HX0F</v>
      </c>
      <c r="B4372" s="12">
        <f>IFERROR(__xludf.DUMMYFUNCTION("""COMPUTED_VALUE"""),45048.0)</f>
        <v>45048</v>
      </c>
      <c r="C4372" s="13">
        <f>IFERROR(__xludf.DUMMYFUNCTION("""COMPUTED_VALUE"""),0.16666666666666666)</f>
        <v>0.1666666667</v>
      </c>
      <c r="D4372" s="8">
        <f>IFERROR(__xludf.DUMMYFUNCTION("""COMPUTED_VALUE"""),0.351)</f>
        <v>0.351</v>
      </c>
      <c r="E4372" s="8" t="str">
        <f>IFERROR(__xludf.DUMMYFUNCTION("""COMPUTED_VALUE"""),"Real")</f>
        <v>Real</v>
      </c>
      <c r="G4372" s="8">
        <f t="shared" si="1"/>
        <v>5</v>
      </c>
      <c r="H4372" s="14">
        <f t="shared" si="2"/>
        <v>2</v>
      </c>
      <c r="I4372" s="15">
        <f t="shared" si="3"/>
        <v>4</v>
      </c>
    </row>
    <row r="4373">
      <c r="A4373" s="8" t="str">
        <f>IFERROR(__xludf.DUMMYFUNCTION("IF('(INGESTA)Datos_consumo_datadis'!A4373&lt;&gt;"""",SPLIT('(INGESTA)Datos_consumo_datadis'!A:A,"",""),"""")"),"ES0031408323131005HX0F")</f>
        <v>ES0031408323131005HX0F</v>
      </c>
      <c r="B4373" s="12">
        <f>IFERROR(__xludf.DUMMYFUNCTION("""COMPUTED_VALUE"""),45048.0)</f>
        <v>45048</v>
      </c>
      <c r="C4373" s="13">
        <f>IFERROR(__xludf.DUMMYFUNCTION("""COMPUTED_VALUE"""),0.20833333333333334)</f>
        <v>0.2083333333</v>
      </c>
      <c r="D4373" s="8">
        <f>IFERROR(__xludf.DUMMYFUNCTION("""COMPUTED_VALUE"""),0.056)</f>
        <v>0.056</v>
      </c>
      <c r="E4373" s="8" t="str">
        <f>IFERROR(__xludf.DUMMYFUNCTION("""COMPUTED_VALUE"""),"Real")</f>
        <v>Real</v>
      </c>
      <c r="G4373" s="8">
        <f t="shared" si="1"/>
        <v>5</v>
      </c>
      <c r="H4373" s="14">
        <f t="shared" si="2"/>
        <v>2</v>
      </c>
      <c r="I4373" s="15">
        <f t="shared" si="3"/>
        <v>5</v>
      </c>
    </row>
    <row r="4374">
      <c r="A4374" s="8" t="str">
        <f>IFERROR(__xludf.DUMMYFUNCTION("IF('(INGESTA)Datos_consumo_datadis'!A4374&lt;&gt;"""",SPLIT('(INGESTA)Datos_consumo_datadis'!A:A,"",""),"""")"),"ES0031408323131005HX0F")</f>
        <v>ES0031408323131005HX0F</v>
      </c>
      <c r="B4374" s="12">
        <f>IFERROR(__xludf.DUMMYFUNCTION("""COMPUTED_VALUE"""),45048.0)</f>
        <v>45048</v>
      </c>
      <c r="C4374" s="13">
        <f>IFERROR(__xludf.DUMMYFUNCTION("""COMPUTED_VALUE"""),0.25)</f>
        <v>0.25</v>
      </c>
      <c r="D4374" s="8">
        <f>IFERROR(__xludf.DUMMYFUNCTION("""COMPUTED_VALUE"""),0.037)</f>
        <v>0.037</v>
      </c>
      <c r="E4374" s="8" t="str">
        <f>IFERROR(__xludf.DUMMYFUNCTION("""COMPUTED_VALUE"""),"Real")</f>
        <v>Real</v>
      </c>
      <c r="G4374" s="8">
        <f t="shared" si="1"/>
        <v>5</v>
      </c>
      <c r="H4374" s="14">
        <f t="shared" si="2"/>
        <v>2</v>
      </c>
      <c r="I4374" s="15">
        <f t="shared" si="3"/>
        <v>6</v>
      </c>
    </row>
    <row r="4375">
      <c r="A4375" s="8" t="str">
        <f>IFERROR(__xludf.DUMMYFUNCTION("IF('(INGESTA)Datos_consumo_datadis'!A4375&lt;&gt;"""",SPLIT('(INGESTA)Datos_consumo_datadis'!A:A,"",""),"""")"),"ES0031408323131005HX0F")</f>
        <v>ES0031408323131005HX0F</v>
      </c>
      <c r="B4375" s="12">
        <f>IFERROR(__xludf.DUMMYFUNCTION("""COMPUTED_VALUE"""),45048.0)</f>
        <v>45048</v>
      </c>
      <c r="C4375" s="13">
        <f>IFERROR(__xludf.DUMMYFUNCTION("""COMPUTED_VALUE"""),0.2916666666666667)</f>
        <v>0.2916666667</v>
      </c>
      <c r="D4375" s="8">
        <f>IFERROR(__xludf.DUMMYFUNCTION("""COMPUTED_VALUE"""),0.108)</f>
        <v>0.108</v>
      </c>
      <c r="E4375" s="8" t="str">
        <f>IFERROR(__xludf.DUMMYFUNCTION("""COMPUTED_VALUE"""),"Real")</f>
        <v>Real</v>
      </c>
      <c r="G4375" s="8">
        <f t="shared" si="1"/>
        <v>5</v>
      </c>
      <c r="H4375" s="14">
        <f t="shared" si="2"/>
        <v>2</v>
      </c>
      <c r="I4375" s="15">
        <f t="shared" si="3"/>
        <v>7</v>
      </c>
    </row>
    <row r="4376">
      <c r="A4376" s="8" t="str">
        <f>IFERROR(__xludf.DUMMYFUNCTION("IF('(INGESTA)Datos_consumo_datadis'!A4376&lt;&gt;"""",SPLIT('(INGESTA)Datos_consumo_datadis'!A:A,"",""),"""")"),"ES0031408323131005HX0F")</f>
        <v>ES0031408323131005HX0F</v>
      </c>
      <c r="B4376" s="12">
        <f>IFERROR(__xludf.DUMMYFUNCTION("""COMPUTED_VALUE"""),45048.0)</f>
        <v>45048</v>
      </c>
      <c r="C4376" s="13">
        <f>IFERROR(__xludf.DUMMYFUNCTION("""COMPUTED_VALUE"""),0.3333333333333333)</f>
        <v>0.3333333333</v>
      </c>
      <c r="D4376" s="8">
        <f>IFERROR(__xludf.DUMMYFUNCTION("""COMPUTED_VALUE"""),0.135)</f>
        <v>0.135</v>
      </c>
      <c r="E4376" s="8" t="str">
        <f>IFERROR(__xludf.DUMMYFUNCTION("""COMPUTED_VALUE"""),"Real")</f>
        <v>Real</v>
      </c>
      <c r="G4376" s="8">
        <f t="shared" si="1"/>
        <v>5</v>
      </c>
      <c r="H4376" s="14">
        <f t="shared" si="2"/>
        <v>2</v>
      </c>
      <c r="I4376" s="15">
        <f t="shared" si="3"/>
        <v>8</v>
      </c>
    </row>
    <row r="4377">
      <c r="A4377" s="8" t="str">
        <f>IFERROR(__xludf.DUMMYFUNCTION("IF('(INGESTA)Datos_consumo_datadis'!A4377&lt;&gt;"""",SPLIT('(INGESTA)Datos_consumo_datadis'!A:A,"",""),"""")"),"ES0031408323131005HX0F")</f>
        <v>ES0031408323131005HX0F</v>
      </c>
      <c r="B4377" s="12">
        <f>IFERROR(__xludf.DUMMYFUNCTION("""COMPUTED_VALUE"""),45048.0)</f>
        <v>45048</v>
      </c>
      <c r="C4377" s="13">
        <f>IFERROR(__xludf.DUMMYFUNCTION("""COMPUTED_VALUE"""),0.375)</f>
        <v>0.375</v>
      </c>
      <c r="D4377" s="8">
        <f>IFERROR(__xludf.DUMMYFUNCTION("""COMPUTED_VALUE"""),0.069)</f>
        <v>0.069</v>
      </c>
      <c r="E4377" s="8" t="str">
        <f>IFERROR(__xludf.DUMMYFUNCTION("""COMPUTED_VALUE"""),"Real")</f>
        <v>Real</v>
      </c>
      <c r="G4377" s="8">
        <f t="shared" si="1"/>
        <v>5</v>
      </c>
      <c r="H4377" s="14">
        <f t="shared" si="2"/>
        <v>2</v>
      </c>
      <c r="I4377" s="15">
        <f t="shared" si="3"/>
        <v>9</v>
      </c>
    </row>
    <row r="4378">
      <c r="A4378" s="8" t="str">
        <f>IFERROR(__xludf.DUMMYFUNCTION("IF('(INGESTA)Datos_consumo_datadis'!A4378&lt;&gt;"""",SPLIT('(INGESTA)Datos_consumo_datadis'!A:A,"",""),"""")"),"ES0031408323131005HX0F")</f>
        <v>ES0031408323131005HX0F</v>
      </c>
      <c r="B4378" s="12">
        <f>IFERROR(__xludf.DUMMYFUNCTION("""COMPUTED_VALUE"""),45048.0)</f>
        <v>45048</v>
      </c>
      <c r="C4378" s="13">
        <f>IFERROR(__xludf.DUMMYFUNCTION("""COMPUTED_VALUE"""),0.4166666666666667)</f>
        <v>0.4166666667</v>
      </c>
      <c r="D4378" s="8">
        <f>IFERROR(__xludf.DUMMYFUNCTION("""COMPUTED_VALUE"""),0.075)</f>
        <v>0.075</v>
      </c>
      <c r="E4378" s="8" t="str">
        <f>IFERROR(__xludf.DUMMYFUNCTION("""COMPUTED_VALUE"""),"Real")</f>
        <v>Real</v>
      </c>
      <c r="G4378" s="8">
        <f t="shared" si="1"/>
        <v>5</v>
      </c>
      <c r="H4378" s="14">
        <f t="shared" si="2"/>
        <v>2</v>
      </c>
      <c r="I4378" s="15">
        <f t="shared" si="3"/>
        <v>10</v>
      </c>
    </row>
    <row r="4379">
      <c r="A4379" s="8" t="str">
        <f>IFERROR(__xludf.DUMMYFUNCTION("IF('(INGESTA)Datos_consumo_datadis'!A4379&lt;&gt;"""",SPLIT('(INGESTA)Datos_consumo_datadis'!A:A,"",""),"""")"),"ES0031408323131005HX0F")</f>
        <v>ES0031408323131005HX0F</v>
      </c>
      <c r="B4379" s="12">
        <f>IFERROR(__xludf.DUMMYFUNCTION("""COMPUTED_VALUE"""),45048.0)</f>
        <v>45048</v>
      </c>
      <c r="C4379" s="13">
        <f>IFERROR(__xludf.DUMMYFUNCTION("""COMPUTED_VALUE"""),0.4583333333333333)</f>
        <v>0.4583333333</v>
      </c>
      <c r="D4379" s="8">
        <f>IFERROR(__xludf.DUMMYFUNCTION("""COMPUTED_VALUE"""),0.088)</f>
        <v>0.088</v>
      </c>
      <c r="E4379" s="8" t="str">
        <f>IFERROR(__xludf.DUMMYFUNCTION("""COMPUTED_VALUE"""),"Real")</f>
        <v>Real</v>
      </c>
      <c r="G4379" s="8">
        <f t="shared" si="1"/>
        <v>5</v>
      </c>
      <c r="H4379" s="14">
        <f t="shared" si="2"/>
        <v>2</v>
      </c>
      <c r="I4379" s="15">
        <f t="shared" si="3"/>
        <v>11</v>
      </c>
    </row>
    <row r="4380">
      <c r="A4380" s="8" t="str">
        <f>IFERROR(__xludf.DUMMYFUNCTION("IF('(INGESTA)Datos_consumo_datadis'!A4380&lt;&gt;"""",SPLIT('(INGESTA)Datos_consumo_datadis'!A:A,"",""),"""")"),"ES0031408323131005HX0F")</f>
        <v>ES0031408323131005HX0F</v>
      </c>
      <c r="B4380" s="12">
        <f>IFERROR(__xludf.DUMMYFUNCTION("""COMPUTED_VALUE"""),45048.0)</f>
        <v>45048</v>
      </c>
      <c r="C4380" s="13">
        <f>IFERROR(__xludf.DUMMYFUNCTION("""COMPUTED_VALUE"""),0.5)</f>
        <v>0.5</v>
      </c>
      <c r="D4380" s="8">
        <f>IFERROR(__xludf.DUMMYFUNCTION("""COMPUTED_VALUE"""),0.328)</f>
        <v>0.328</v>
      </c>
      <c r="E4380" s="8" t="str">
        <f>IFERROR(__xludf.DUMMYFUNCTION("""COMPUTED_VALUE"""),"Real")</f>
        <v>Real</v>
      </c>
      <c r="G4380" s="8">
        <f t="shared" si="1"/>
        <v>5</v>
      </c>
      <c r="H4380" s="14">
        <f t="shared" si="2"/>
        <v>2</v>
      </c>
      <c r="I4380" s="15">
        <f t="shared" si="3"/>
        <v>12</v>
      </c>
    </row>
    <row r="4381">
      <c r="A4381" s="8" t="str">
        <f>IFERROR(__xludf.DUMMYFUNCTION("IF('(INGESTA)Datos_consumo_datadis'!A4381&lt;&gt;"""",SPLIT('(INGESTA)Datos_consumo_datadis'!A:A,"",""),"""")"),"ES0031408323131005HX0F")</f>
        <v>ES0031408323131005HX0F</v>
      </c>
      <c r="B4381" s="12">
        <f>IFERROR(__xludf.DUMMYFUNCTION("""COMPUTED_VALUE"""),45048.0)</f>
        <v>45048</v>
      </c>
      <c r="C4381" s="13">
        <f>IFERROR(__xludf.DUMMYFUNCTION("""COMPUTED_VALUE"""),0.5416666666666666)</f>
        <v>0.5416666667</v>
      </c>
      <c r="D4381" s="8">
        <f>IFERROR(__xludf.DUMMYFUNCTION("""COMPUTED_VALUE"""),0.03)</f>
        <v>0.03</v>
      </c>
      <c r="E4381" s="8" t="str">
        <f>IFERROR(__xludf.DUMMYFUNCTION("""COMPUTED_VALUE"""),"Real")</f>
        <v>Real</v>
      </c>
      <c r="G4381" s="8">
        <f t="shared" si="1"/>
        <v>5</v>
      </c>
      <c r="H4381" s="14">
        <f t="shared" si="2"/>
        <v>2</v>
      </c>
      <c r="I4381" s="15">
        <f t="shared" si="3"/>
        <v>13</v>
      </c>
    </row>
    <row r="4382">
      <c r="A4382" s="8" t="str">
        <f>IFERROR(__xludf.DUMMYFUNCTION("IF('(INGESTA)Datos_consumo_datadis'!A4382&lt;&gt;"""",SPLIT('(INGESTA)Datos_consumo_datadis'!A:A,"",""),"""")"),"ES0031408323131005HX0F")</f>
        <v>ES0031408323131005HX0F</v>
      </c>
      <c r="B4382" s="12">
        <f>IFERROR(__xludf.DUMMYFUNCTION("""COMPUTED_VALUE"""),45048.0)</f>
        <v>45048</v>
      </c>
      <c r="C4382" s="13">
        <f>IFERROR(__xludf.DUMMYFUNCTION("""COMPUTED_VALUE"""),0.5833333333333334)</f>
        <v>0.5833333333</v>
      </c>
      <c r="D4382" s="8">
        <f>IFERROR(__xludf.DUMMYFUNCTION("""COMPUTED_VALUE"""),0.064)</f>
        <v>0.064</v>
      </c>
      <c r="E4382" s="8" t="str">
        <f>IFERROR(__xludf.DUMMYFUNCTION("""COMPUTED_VALUE"""),"Real")</f>
        <v>Real</v>
      </c>
      <c r="G4382" s="8">
        <f t="shared" si="1"/>
        <v>5</v>
      </c>
      <c r="H4382" s="14">
        <f t="shared" si="2"/>
        <v>2</v>
      </c>
      <c r="I4382" s="15">
        <f t="shared" si="3"/>
        <v>14</v>
      </c>
    </row>
    <row r="4383">
      <c r="A4383" s="8" t="str">
        <f>IFERROR(__xludf.DUMMYFUNCTION("IF('(INGESTA)Datos_consumo_datadis'!A4383&lt;&gt;"""",SPLIT('(INGESTA)Datos_consumo_datadis'!A:A,"",""),"""")"),"ES0031408323131005HX0F")</f>
        <v>ES0031408323131005HX0F</v>
      </c>
      <c r="B4383" s="12">
        <f>IFERROR(__xludf.DUMMYFUNCTION("""COMPUTED_VALUE"""),45048.0)</f>
        <v>45048</v>
      </c>
      <c r="C4383" s="13">
        <f>IFERROR(__xludf.DUMMYFUNCTION("""COMPUTED_VALUE"""),0.625)</f>
        <v>0.625</v>
      </c>
      <c r="D4383" s="8">
        <f>IFERROR(__xludf.DUMMYFUNCTION("""COMPUTED_VALUE"""),0.085)</f>
        <v>0.085</v>
      </c>
      <c r="E4383" s="8" t="str">
        <f>IFERROR(__xludf.DUMMYFUNCTION("""COMPUTED_VALUE"""),"Real")</f>
        <v>Real</v>
      </c>
      <c r="G4383" s="8">
        <f t="shared" si="1"/>
        <v>5</v>
      </c>
      <c r="H4383" s="14">
        <f t="shared" si="2"/>
        <v>2</v>
      </c>
      <c r="I4383" s="15">
        <f t="shared" si="3"/>
        <v>15</v>
      </c>
    </row>
    <row r="4384">
      <c r="A4384" s="8" t="str">
        <f>IFERROR(__xludf.DUMMYFUNCTION("IF('(INGESTA)Datos_consumo_datadis'!A4384&lt;&gt;"""",SPLIT('(INGESTA)Datos_consumo_datadis'!A:A,"",""),"""")"),"ES0031408323131005HX0F")</f>
        <v>ES0031408323131005HX0F</v>
      </c>
      <c r="B4384" s="12">
        <f>IFERROR(__xludf.DUMMYFUNCTION("""COMPUTED_VALUE"""),45048.0)</f>
        <v>45048</v>
      </c>
      <c r="C4384" s="13">
        <f>IFERROR(__xludf.DUMMYFUNCTION("""COMPUTED_VALUE"""),0.6666666666666666)</f>
        <v>0.6666666667</v>
      </c>
      <c r="D4384" s="8">
        <f>IFERROR(__xludf.DUMMYFUNCTION("""COMPUTED_VALUE"""),0.096)</f>
        <v>0.096</v>
      </c>
      <c r="E4384" s="8" t="str">
        <f>IFERROR(__xludf.DUMMYFUNCTION("""COMPUTED_VALUE"""),"Real")</f>
        <v>Real</v>
      </c>
      <c r="G4384" s="8">
        <f t="shared" si="1"/>
        <v>5</v>
      </c>
      <c r="H4384" s="14">
        <f t="shared" si="2"/>
        <v>2</v>
      </c>
      <c r="I4384" s="15">
        <f t="shared" si="3"/>
        <v>16</v>
      </c>
    </row>
    <row r="4385">
      <c r="A4385" s="8" t="str">
        <f>IFERROR(__xludf.DUMMYFUNCTION("IF('(INGESTA)Datos_consumo_datadis'!A4385&lt;&gt;"""",SPLIT('(INGESTA)Datos_consumo_datadis'!A:A,"",""),"""")"),"ES0031408323131005HX0F")</f>
        <v>ES0031408323131005HX0F</v>
      </c>
      <c r="B4385" s="12">
        <f>IFERROR(__xludf.DUMMYFUNCTION("""COMPUTED_VALUE"""),45048.0)</f>
        <v>45048</v>
      </c>
      <c r="C4385" s="13">
        <f>IFERROR(__xludf.DUMMYFUNCTION("""COMPUTED_VALUE"""),0.7083333333333334)</f>
        <v>0.7083333333</v>
      </c>
      <c r="D4385" s="8">
        <f>IFERROR(__xludf.DUMMYFUNCTION("""COMPUTED_VALUE"""),0.039)</f>
        <v>0.039</v>
      </c>
      <c r="E4385" s="8" t="str">
        <f>IFERROR(__xludf.DUMMYFUNCTION("""COMPUTED_VALUE"""),"Real")</f>
        <v>Real</v>
      </c>
      <c r="G4385" s="8">
        <f t="shared" si="1"/>
        <v>5</v>
      </c>
      <c r="H4385" s="14">
        <f t="shared" si="2"/>
        <v>2</v>
      </c>
      <c r="I4385" s="15">
        <f t="shared" si="3"/>
        <v>17</v>
      </c>
    </row>
    <row r="4386">
      <c r="A4386" s="8" t="str">
        <f>IFERROR(__xludf.DUMMYFUNCTION("IF('(INGESTA)Datos_consumo_datadis'!A4386&lt;&gt;"""",SPLIT('(INGESTA)Datos_consumo_datadis'!A:A,"",""),"""")"),"ES0031408323131005HX0F")</f>
        <v>ES0031408323131005HX0F</v>
      </c>
      <c r="B4386" s="12">
        <f>IFERROR(__xludf.DUMMYFUNCTION("""COMPUTED_VALUE"""),45048.0)</f>
        <v>45048</v>
      </c>
      <c r="C4386" s="13">
        <f>IFERROR(__xludf.DUMMYFUNCTION("""COMPUTED_VALUE"""),0.75)</f>
        <v>0.75</v>
      </c>
      <c r="D4386" s="8">
        <f>IFERROR(__xludf.DUMMYFUNCTION("""COMPUTED_VALUE"""),0.115)</f>
        <v>0.115</v>
      </c>
      <c r="E4386" s="8" t="str">
        <f>IFERROR(__xludf.DUMMYFUNCTION("""COMPUTED_VALUE"""),"Real")</f>
        <v>Real</v>
      </c>
      <c r="G4386" s="8">
        <f t="shared" si="1"/>
        <v>5</v>
      </c>
      <c r="H4386" s="14">
        <f t="shared" si="2"/>
        <v>2</v>
      </c>
      <c r="I4386" s="15">
        <f t="shared" si="3"/>
        <v>18</v>
      </c>
    </row>
    <row r="4387">
      <c r="A4387" s="8" t="str">
        <f>IFERROR(__xludf.DUMMYFUNCTION("IF('(INGESTA)Datos_consumo_datadis'!A4387&lt;&gt;"""",SPLIT('(INGESTA)Datos_consumo_datadis'!A:A,"",""),"""")"),"ES0031408323131005HX0F")</f>
        <v>ES0031408323131005HX0F</v>
      </c>
      <c r="B4387" s="12">
        <f>IFERROR(__xludf.DUMMYFUNCTION("""COMPUTED_VALUE"""),45048.0)</f>
        <v>45048</v>
      </c>
      <c r="C4387" s="13">
        <f>IFERROR(__xludf.DUMMYFUNCTION("""COMPUTED_VALUE"""),0.7916666666666666)</f>
        <v>0.7916666667</v>
      </c>
      <c r="D4387" s="8">
        <f>IFERROR(__xludf.DUMMYFUNCTION("""COMPUTED_VALUE"""),0.335)</f>
        <v>0.335</v>
      </c>
      <c r="E4387" s="8" t="str">
        <f>IFERROR(__xludf.DUMMYFUNCTION("""COMPUTED_VALUE"""),"Real")</f>
        <v>Real</v>
      </c>
      <c r="G4387" s="8">
        <f t="shared" si="1"/>
        <v>5</v>
      </c>
      <c r="H4387" s="14">
        <f t="shared" si="2"/>
        <v>2</v>
      </c>
      <c r="I4387" s="15">
        <f t="shared" si="3"/>
        <v>19</v>
      </c>
    </row>
    <row r="4388">
      <c r="A4388" s="8" t="str">
        <f>IFERROR(__xludf.DUMMYFUNCTION("IF('(INGESTA)Datos_consumo_datadis'!A4388&lt;&gt;"""",SPLIT('(INGESTA)Datos_consumo_datadis'!A:A,"",""),"""")"),"ES0031408323131005HX0F")</f>
        <v>ES0031408323131005HX0F</v>
      </c>
      <c r="B4388" s="12">
        <f>IFERROR(__xludf.DUMMYFUNCTION("""COMPUTED_VALUE"""),45048.0)</f>
        <v>45048</v>
      </c>
      <c r="C4388" s="13">
        <f>IFERROR(__xludf.DUMMYFUNCTION("""COMPUTED_VALUE"""),0.8333333333333334)</f>
        <v>0.8333333333</v>
      </c>
      <c r="D4388" s="8">
        <f>IFERROR(__xludf.DUMMYFUNCTION("""COMPUTED_VALUE"""),0.033)</f>
        <v>0.033</v>
      </c>
      <c r="E4388" s="8" t="str">
        <f>IFERROR(__xludf.DUMMYFUNCTION("""COMPUTED_VALUE"""),"Real")</f>
        <v>Real</v>
      </c>
      <c r="G4388" s="8">
        <f t="shared" si="1"/>
        <v>5</v>
      </c>
      <c r="H4388" s="14">
        <f t="shared" si="2"/>
        <v>2</v>
      </c>
      <c r="I4388" s="15">
        <f t="shared" si="3"/>
        <v>20</v>
      </c>
    </row>
    <row r="4389">
      <c r="A4389" s="8" t="str">
        <f>IFERROR(__xludf.DUMMYFUNCTION("IF('(INGESTA)Datos_consumo_datadis'!A4389&lt;&gt;"""",SPLIT('(INGESTA)Datos_consumo_datadis'!A:A,"",""),"""")"),"ES0031408323131005HX0F")</f>
        <v>ES0031408323131005HX0F</v>
      </c>
      <c r="B4389" s="12">
        <f>IFERROR(__xludf.DUMMYFUNCTION("""COMPUTED_VALUE"""),45048.0)</f>
        <v>45048</v>
      </c>
      <c r="C4389" s="13">
        <f>IFERROR(__xludf.DUMMYFUNCTION("""COMPUTED_VALUE"""),0.875)</f>
        <v>0.875</v>
      </c>
      <c r="D4389" s="8">
        <f>IFERROR(__xludf.DUMMYFUNCTION("""COMPUTED_VALUE"""),0.051)</f>
        <v>0.051</v>
      </c>
      <c r="E4389" s="8" t="str">
        <f>IFERROR(__xludf.DUMMYFUNCTION("""COMPUTED_VALUE"""),"Real")</f>
        <v>Real</v>
      </c>
      <c r="G4389" s="8">
        <f t="shared" si="1"/>
        <v>5</v>
      </c>
      <c r="H4389" s="14">
        <f t="shared" si="2"/>
        <v>2</v>
      </c>
      <c r="I4389" s="15">
        <f t="shared" si="3"/>
        <v>21</v>
      </c>
    </row>
    <row r="4390">
      <c r="A4390" s="8" t="str">
        <f>IFERROR(__xludf.DUMMYFUNCTION("IF('(INGESTA)Datos_consumo_datadis'!A4390&lt;&gt;"""",SPLIT('(INGESTA)Datos_consumo_datadis'!A:A,"",""),"""")"),"ES0031408323131005HX0F")</f>
        <v>ES0031408323131005HX0F</v>
      </c>
      <c r="B4390" s="12">
        <f>IFERROR(__xludf.DUMMYFUNCTION("""COMPUTED_VALUE"""),45048.0)</f>
        <v>45048</v>
      </c>
      <c r="C4390" s="13">
        <f>IFERROR(__xludf.DUMMYFUNCTION("""COMPUTED_VALUE"""),0.9166666666666666)</f>
        <v>0.9166666667</v>
      </c>
      <c r="D4390" s="8">
        <f>IFERROR(__xludf.DUMMYFUNCTION("""COMPUTED_VALUE"""),0.391)</f>
        <v>0.391</v>
      </c>
      <c r="E4390" s="8" t="str">
        <f>IFERROR(__xludf.DUMMYFUNCTION("""COMPUTED_VALUE"""),"Real")</f>
        <v>Real</v>
      </c>
      <c r="G4390" s="8">
        <f t="shared" si="1"/>
        <v>5</v>
      </c>
      <c r="H4390" s="14">
        <f t="shared" si="2"/>
        <v>2</v>
      </c>
      <c r="I4390" s="15">
        <f t="shared" si="3"/>
        <v>22</v>
      </c>
    </row>
    <row r="4391">
      <c r="A4391" s="8" t="str">
        <f>IFERROR(__xludf.DUMMYFUNCTION("IF('(INGESTA)Datos_consumo_datadis'!A4391&lt;&gt;"""",SPLIT('(INGESTA)Datos_consumo_datadis'!A:A,"",""),"""")"),"ES0031408323131005HX0F")</f>
        <v>ES0031408323131005HX0F</v>
      </c>
      <c r="B4391" s="12">
        <f>IFERROR(__xludf.DUMMYFUNCTION("""COMPUTED_VALUE"""),45048.0)</f>
        <v>45048</v>
      </c>
      <c r="C4391" s="13">
        <f>IFERROR(__xludf.DUMMYFUNCTION("""COMPUTED_VALUE"""),0.9583333333333334)</f>
        <v>0.9583333333</v>
      </c>
      <c r="D4391" s="8">
        <f>IFERROR(__xludf.DUMMYFUNCTION("""COMPUTED_VALUE"""),1.506)</f>
        <v>1.506</v>
      </c>
      <c r="E4391" s="8" t="str">
        <f>IFERROR(__xludf.DUMMYFUNCTION("""COMPUTED_VALUE"""),"Real")</f>
        <v>Real</v>
      </c>
      <c r="G4391" s="8">
        <f t="shared" si="1"/>
        <v>5</v>
      </c>
      <c r="H4391" s="14">
        <f t="shared" si="2"/>
        <v>2</v>
      </c>
      <c r="I4391" s="15">
        <f t="shared" si="3"/>
        <v>23</v>
      </c>
    </row>
    <row r="4392">
      <c r="A4392" s="8" t="str">
        <f>IFERROR(__xludf.DUMMYFUNCTION("IF('(INGESTA)Datos_consumo_datadis'!A4392&lt;&gt;"""",SPLIT('(INGESTA)Datos_consumo_datadis'!A:A,"",""),"""")"),"ES0031408323131005HX0F")</f>
        <v>ES0031408323131005HX0F</v>
      </c>
      <c r="B4392" s="12">
        <f>IFERROR(__xludf.DUMMYFUNCTION("""COMPUTED_VALUE"""),45048.0)</f>
        <v>45048</v>
      </c>
      <c r="C4392" s="16">
        <f>IFERROR(__xludf.DUMMYFUNCTION("""COMPUTED_VALUE"""),1.0)</f>
        <v>1</v>
      </c>
      <c r="D4392" s="8">
        <f>IFERROR(__xludf.DUMMYFUNCTION("""COMPUTED_VALUE"""),0.448)</f>
        <v>0.448</v>
      </c>
      <c r="E4392" s="8" t="str">
        <f>IFERROR(__xludf.DUMMYFUNCTION("""COMPUTED_VALUE"""),"Real")</f>
        <v>Real</v>
      </c>
      <c r="G4392" s="8">
        <f t="shared" si="1"/>
        <v>5</v>
      </c>
      <c r="H4392" s="14">
        <f t="shared" si="2"/>
        <v>2</v>
      </c>
      <c r="I4392" s="15">
        <f t="shared" si="3"/>
        <v>0</v>
      </c>
    </row>
    <row r="4393">
      <c r="A4393" s="8" t="str">
        <f>IFERROR(__xludf.DUMMYFUNCTION("IF('(INGESTA)Datos_consumo_datadis'!A4393&lt;&gt;"""",SPLIT('(INGESTA)Datos_consumo_datadis'!A:A,"",""),"""")"),"ES0031408323131005HX0F")</f>
        <v>ES0031408323131005HX0F</v>
      </c>
      <c r="B4393" s="12">
        <f>IFERROR(__xludf.DUMMYFUNCTION("""COMPUTED_VALUE"""),45049.0)</f>
        <v>45049</v>
      </c>
      <c r="C4393" s="13">
        <f>IFERROR(__xludf.DUMMYFUNCTION("""COMPUTED_VALUE"""),0.041666666666666664)</f>
        <v>0.04166666667</v>
      </c>
      <c r="D4393" s="8">
        <f>IFERROR(__xludf.DUMMYFUNCTION("""COMPUTED_VALUE"""),0.045)</f>
        <v>0.045</v>
      </c>
      <c r="E4393" s="8" t="str">
        <f>IFERROR(__xludf.DUMMYFUNCTION("""COMPUTED_VALUE"""),"Real")</f>
        <v>Real</v>
      </c>
      <c r="G4393" s="8">
        <f t="shared" si="1"/>
        <v>5</v>
      </c>
      <c r="H4393" s="14">
        <f t="shared" si="2"/>
        <v>3</v>
      </c>
      <c r="I4393" s="15">
        <f t="shared" si="3"/>
        <v>1</v>
      </c>
    </row>
    <row r="4394">
      <c r="A4394" s="8" t="str">
        <f>IFERROR(__xludf.DUMMYFUNCTION("IF('(INGESTA)Datos_consumo_datadis'!A4394&lt;&gt;"""",SPLIT('(INGESTA)Datos_consumo_datadis'!A:A,"",""),"""")"),"ES0031408323131005HX0F")</f>
        <v>ES0031408323131005HX0F</v>
      </c>
      <c r="B4394" s="12">
        <f>IFERROR(__xludf.DUMMYFUNCTION("""COMPUTED_VALUE"""),45049.0)</f>
        <v>45049</v>
      </c>
      <c r="C4394" s="13">
        <f>IFERROR(__xludf.DUMMYFUNCTION("""COMPUTED_VALUE"""),0.08333333333333333)</f>
        <v>0.08333333333</v>
      </c>
      <c r="D4394" s="8">
        <f>IFERROR(__xludf.DUMMYFUNCTION("""COMPUTED_VALUE"""),0.085)</f>
        <v>0.085</v>
      </c>
      <c r="E4394" s="8" t="str">
        <f>IFERROR(__xludf.DUMMYFUNCTION("""COMPUTED_VALUE"""),"Real")</f>
        <v>Real</v>
      </c>
      <c r="G4394" s="8">
        <f t="shared" si="1"/>
        <v>5</v>
      </c>
      <c r="H4394" s="14">
        <f t="shared" si="2"/>
        <v>3</v>
      </c>
      <c r="I4394" s="15">
        <f t="shared" si="3"/>
        <v>2</v>
      </c>
    </row>
    <row r="4395">
      <c r="A4395" s="8" t="str">
        <f>IFERROR(__xludf.DUMMYFUNCTION("IF('(INGESTA)Datos_consumo_datadis'!A4395&lt;&gt;"""",SPLIT('(INGESTA)Datos_consumo_datadis'!A:A,"",""),"""")"),"ES0031408323131005HX0F")</f>
        <v>ES0031408323131005HX0F</v>
      </c>
      <c r="B4395" s="12">
        <f>IFERROR(__xludf.DUMMYFUNCTION("""COMPUTED_VALUE"""),45049.0)</f>
        <v>45049</v>
      </c>
      <c r="C4395" s="13">
        <f>IFERROR(__xludf.DUMMYFUNCTION("""COMPUTED_VALUE"""),0.125)</f>
        <v>0.125</v>
      </c>
      <c r="D4395" s="8">
        <f>IFERROR(__xludf.DUMMYFUNCTION("""COMPUTED_VALUE"""),0.293)</f>
        <v>0.293</v>
      </c>
      <c r="E4395" s="8" t="str">
        <f>IFERROR(__xludf.DUMMYFUNCTION("""COMPUTED_VALUE"""),"Real")</f>
        <v>Real</v>
      </c>
      <c r="G4395" s="8">
        <f t="shared" si="1"/>
        <v>5</v>
      </c>
      <c r="H4395" s="14">
        <f t="shared" si="2"/>
        <v>3</v>
      </c>
      <c r="I4395" s="15">
        <f t="shared" si="3"/>
        <v>3</v>
      </c>
    </row>
    <row r="4396">
      <c r="A4396" s="8" t="str">
        <f>IFERROR(__xludf.DUMMYFUNCTION("IF('(INGESTA)Datos_consumo_datadis'!A4396&lt;&gt;"""",SPLIT('(INGESTA)Datos_consumo_datadis'!A:A,"",""),"""")"),"ES0031408323131005HX0F")</f>
        <v>ES0031408323131005HX0F</v>
      </c>
      <c r="B4396" s="12">
        <f>IFERROR(__xludf.DUMMYFUNCTION("""COMPUTED_VALUE"""),45049.0)</f>
        <v>45049</v>
      </c>
      <c r="C4396" s="13">
        <f>IFERROR(__xludf.DUMMYFUNCTION("""COMPUTED_VALUE"""),0.16666666666666666)</f>
        <v>0.1666666667</v>
      </c>
      <c r="D4396" s="8">
        <f>IFERROR(__xludf.DUMMYFUNCTION("""COMPUTED_VALUE"""),0.121)</f>
        <v>0.121</v>
      </c>
      <c r="E4396" s="8" t="str">
        <f>IFERROR(__xludf.DUMMYFUNCTION("""COMPUTED_VALUE"""),"Real")</f>
        <v>Real</v>
      </c>
      <c r="G4396" s="8">
        <f t="shared" si="1"/>
        <v>5</v>
      </c>
      <c r="H4396" s="14">
        <f t="shared" si="2"/>
        <v>3</v>
      </c>
      <c r="I4396" s="15">
        <f t="shared" si="3"/>
        <v>4</v>
      </c>
    </row>
    <row r="4397">
      <c r="A4397" s="8" t="str">
        <f>IFERROR(__xludf.DUMMYFUNCTION("IF('(INGESTA)Datos_consumo_datadis'!A4397&lt;&gt;"""",SPLIT('(INGESTA)Datos_consumo_datadis'!A:A,"",""),"""")"),"ES0031408323131005HX0F")</f>
        <v>ES0031408323131005HX0F</v>
      </c>
      <c r="B4397" s="12">
        <f>IFERROR(__xludf.DUMMYFUNCTION("""COMPUTED_VALUE"""),45049.0)</f>
        <v>45049</v>
      </c>
      <c r="C4397" s="13">
        <f>IFERROR(__xludf.DUMMYFUNCTION("""COMPUTED_VALUE"""),0.20833333333333334)</f>
        <v>0.2083333333</v>
      </c>
      <c r="D4397" s="8">
        <f>IFERROR(__xludf.DUMMYFUNCTION("""COMPUTED_VALUE"""),0.061)</f>
        <v>0.061</v>
      </c>
      <c r="E4397" s="8" t="str">
        <f>IFERROR(__xludf.DUMMYFUNCTION("""COMPUTED_VALUE"""),"Real")</f>
        <v>Real</v>
      </c>
      <c r="G4397" s="8">
        <f t="shared" si="1"/>
        <v>5</v>
      </c>
      <c r="H4397" s="14">
        <f t="shared" si="2"/>
        <v>3</v>
      </c>
      <c r="I4397" s="15">
        <f t="shared" si="3"/>
        <v>5</v>
      </c>
    </row>
    <row r="4398">
      <c r="A4398" s="8" t="str">
        <f>IFERROR(__xludf.DUMMYFUNCTION("IF('(INGESTA)Datos_consumo_datadis'!A4398&lt;&gt;"""",SPLIT('(INGESTA)Datos_consumo_datadis'!A:A,"",""),"""")"),"ES0031408323131005HX0F")</f>
        <v>ES0031408323131005HX0F</v>
      </c>
      <c r="B4398" s="12">
        <f>IFERROR(__xludf.DUMMYFUNCTION("""COMPUTED_VALUE"""),45049.0)</f>
        <v>45049</v>
      </c>
      <c r="C4398" s="13">
        <f>IFERROR(__xludf.DUMMYFUNCTION("""COMPUTED_VALUE"""),0.25)</f>
        <v>0.25</v>
      </c>
      <c r="D4398" s="8">
        <f>IFERROR(__xludf.DUMMYFUNCTION("""COMPUTED_VALUE"""),0.026)</f>
        <v>0.026</v>
      </c>
      <c r="E4398" s="8" t="str">
        <f>IFERROR(__xludf.DUMMYFUNCTION("""COMPUTED_VALUE"""),"Real")</f>
        <v>Real</v>
      </c>
      <c r="G4398" s="8">
        <f t="shared" si="1"/>
        <v>5</v>
      </c>
      <c r="H4398" s="14">
        <f t="shared" si="2"/>
        <v>3</v>
      </c>
      <c r="I4398" s="15">
        <f t="shared" si="3"/>
        <v>6</v>
      </c>
    </row>
    <row r="4399">
      <c r="A4399" s="8" t="str">
        <f>IFERROR(__xludf.DUMMYFUNCTION("IF('(INGESTA)Datos_consumo_datadis'!A4399&lt;&gt;"""",SPLIT('(INGESTA)Datos_consumo_datadis'!A:A,"",""),"""")"),"ES0031408323131005HX0F")</f>
        <v>ES0031408323131005HX0F</v>
      </c>
      <c r="B4399" s="12">
        <f>IFERROR(__xludf.DUMMYFUNCTION("""COMPUTED_VALUE"""),45049.0)</f>
        <v>45049</v>
      </c>
      <c r="C4399" s="13">
        <f>IFERROR(__xludf.DUMMYFUNCTION("""COMPUTED_VALUE"""),0.2916666666666667)</f>
        <v>0.2916666667</v>
      </c>
      <c r="D4399" s="8">
        <f>IFERROR(__xludf.DUMMYFUNCTION("""COMPUTED_VALUE"""),0.089)</f>
        <v>0.089</v>
      </c>
      <c r="E4399" s="8" t="str">
        <f>IFERROR(__xludf.DUMMYFUNCTION("""COMPUTED_VALUE"""),"Real")</f>
        <v>Real</v>
      </c>
      <c r="G4399" s="8">
        <f t="shared" si="1"/>
        <v>5</v>
      </c>
      <c r="H4399" s="14">
        <f t="shared" si="2"/>
        <v>3</v>
      </c>
      <c r="I4399" s="15">
        <f t="shared" si="3"/>
        <v>7</v>
      </c>
    </row>
    <row r="4400">
      <c r="A4400" s="8" t="str">
        <f>IFERROR(__xludf.DUMMYFUNCTION("IF('(INGESTA)Datos_consumo_datadis'!A4400&lt;&gt;"""",SPLIT('(INGESTA)Datos_consumo_datadis'!A:A,"",""),"""")"),"ES0031408323131005HX0F")</f>
        <v>ES0031408323131005HX0F</v>
      </c>
      <c r="B4400" s="12">
        <f>IFERROR(__xludf.DUMMYFUNCTION("""COMPUTED_VALUE"""),45049.0)</f>
        <v>45049</v>
      </c>
      <c r="C4400" s="13">
        <f>IFERROR(__xludf.DUMMYFUNCTION("""COMPUTED_VALUE"""),0.3333333333333333)</f>
        <v>0.3333333333</v>
      </c>
      <c r="D4400" s="8">
        <f>IFERROR(__xludf.DUMMYFUNCTION("""COMPUTED_VALUE"""),0.324)</f>
        <v>0.324</v>
      </c>
      <c r="E4400" s="8" t="str">
        <f>IFERROR(__xludf.DUMMYFUNCTION("""COMPUTED_VALUE"""),"Real")</f>
        <v>Real</v>
      </c>
      <c r="G4400" s="8">
        <f t="shared" si="1"/>
        <v>5</v>
      </c>
      <c r="H4400" s="14">
        <f t="shared" si="2"/>
        <v>3</v>
      </c>
      <c r="I4400" s="15">
        <f t="shared" si="3"/>
        <v>8</v>
      </c>
    </row>
    <row r="4401">
      <c r="A4401" s="8" t="str">
        <f>IFERROR(__xludf.DUMMYFUNCTION("IF('(INGESTA)Datos_consumo_datadis'!A4401&lt;&gt;"""",SPLIT('(INGESTA)Datos_consumo_datadis'!A:A,"",""),"""")"),"ES0031408323131005HX0F")</f>
        <v>ES0031408323131005HX0F</v>
      </c>
      <c r="B4401" s="12">
        <f>IFERROR(__xludf.DUMMYFUNCTION("""COMPUTED_VALUE"""),45049.0)</f>
        <v>45049</v>
      </c>
      <c r="C4401" s="13">
        <f>IFERROR(__xludf.DUMMYFUNCTION("""COMPUTED_VALUE"""),0.375)</f>
        <v>0.375</v>
      </c>
      <c r="D4401" s="8">
        <f>IFERROR(__xludf.DUMMYFUNCTION("""COMPUTED_VALUE"""),0.064)</f>
        <v>0.064</v>
      </c>
      <c r="E4401" s="8" t="str">
        <f>IFERROR(__xludf.DUMMYFUNCTION("""COMPUTED_VALUE"""),"Real")</f>
        <v>Real</v>
      </c>
      <c r="G4401" s="8">
        <f t="shared" si="1"/>
        <v>5</v>
      </c>
      <c r="H4401" s="14">
        <f t="shared" si="2"/>
        <v>3</v>
      </c>
      <c r="I4401" s="15">
        <f t="shared" si="3"/>
        <v>9</v>
      </c>
    </row>
    <row r="4402">
      <c r="A4402" s="8" t="str">
        <f>IFERROR(__xludf.DUMMYFUNCTION("IF('(INGESTA)Datos_consumo_datadis'!A4402&lt;&gt;"""",SPLIT('(INGESTA)Datos_consumo_datadis'!A:A,"",""),"""")"),"ES0031408323131005HX0F")</f>
        <v>ES0031408323131005HX0F</v>
      </c>
      <c r="B4402" s="12">
        <f>IFERROR(__xludf.DUMMYFUNCTION("""COMPUTED_VALUE"""),45049.0)</f>
        <v>45049</v>
      </c>
      <c r="C4402" s="13">
        <f>IFERROR(__xludf.DUMMYFUNCTION("""COMPUTED_VALUE"""),0.4166666666666667)</f>
        <v>0.4166666667</v>
      </c>
      <c r="D4402" s="8">
        <f>IFERROR(__xludf.DUMMYFUNCTION("""COMPUTED_VALUE"""),0.28)</f>
        <v>0.28</v>
      </c>
      <c r="E4402" s="8" t="str">
        <f>IFERROR(__xludf.DUMMYFUNCTION("""COMPUTED_VALUE"""),"Real")</f>
        <v>Real</v>
      </c>
      <c r="G4402" s="8">
        <f t="shared" si="1"/>
        <v>5</v>
      </c>
      <c r="H4402" s="14">
        <f t="shared" si="2"/>
        <v>3</v>
      </c>
      <c r="I4402" s="15">
        <f t="shared" si="3"/>
        <v>10</v>
      </c>
    </row>
    <row r="4403">
      <c r="A4403" s="8" t="str">
        <f>IFERROR(__xludf.DUMMYFUNCTION("IF('(INGESTA)Datos_consumo_datadis'!A4403&lt;&gt;"""",SPLIT('(INGESTA)Datos_consumo_datadis'!A:A,"",""),"""")"),"ES0031408323131005HX0F")</f>
        <v>ES0031408323131005HX0F</v>
      </c>
      <c r="B4403" s="12">
        <f>IFERROR(__xludf.DUMMYFUNCTION("""COMPUTED_VALUE"""),45049.0)</f>
        <v>45049</v>
      </c>
      <c r="C4403" s="13">
        <f>IFERROR(__xludf.DUMMYFUNCTION("""COMPUTED_VALUE"""),0.4583333333333333)</f>
        <v>0.4583333333</v>
      </c>
      <c r="D4403" s="8">
        <f>IFERROR(__xludf.DUMMYFUNCTION("""COMPUTED_VALUE"""),0.095)</f>
        <v>0.095</v>
      </c>
      <c r="E4403" s="8" t="str">
        <f>IFERROR(__xludf.DUMMYFUNCTION("""COMPUTED_VALUE"""),"Real")</f>
        <v>Real</v>
      </c>
      <c r="G4403" s="8">
        <f t="shared" si="1"/>
        <v>5</v>
      </c>
      <c r="H4403" s="14">
        <f t="shared" si="2"/>
        <v>3</v>
      </c>
      <c r="I4403" s="15">
        <f t="shared" si="3"/>
        <v>11</v>
      </c>
    </row>
    <row r="4404">
      <c r="A4404" s="8" t="str">
        <f>IFERROR(__xludf.DUMMYFUNCTION("IF('(INGESTA)Datos_consumo_datadis'!A4404&lt;&gt;"""",SPLIT('(INGESTA)Datos_consumo_datadis'!A:A,"",""),"""")"),"ES0031408323131005HX0F")</f>
        <v>ES0031408323131005HX0F</v>
      </c>
      <c r="B4404" s="12">
        <f>IFERROR(__xludf.DUMMYFUNCTION("""COMPUTED_VALUE"""),45049.0)</f>
        <v>45049</v>
      </c>
      <c r="C4404" s="13">
        <f>IFERROR(__xludf.DUMMYFUNCTION("""COMPUTED_VALUE"""),0.5)</f>
        <v>0.5</v>
      </c>
      <c r="D4404" s="8">
        <f>IFERROR(__xludf.DUMMYFUNCTION("""COMPUTED_VALUE"""),0.067)</f>
        <v>0.067</v>
      </c>
      <c r="E4404" s="8" t="str">
        <f>IFERROR(__xludf.DUMMYFUNCTION("""COMPUTED_VALUE"""),"Real")</f>
        <v>Real</v>
      </c>
      <c r="G4404" s="8">
        <f t="shared" si="1"/>
        <v>5</v>
      </c>
      <c r="H4404" s="14">
        <f t="shared" si="2"/>
        <v>3</v>
      </c>
      <c r="I4404" s="15">
        <f t="shared" si="3"/>
        <v>12</v>
      </c>
    </row>
    <row r="4405">
      <c r="A4405" s="8" t="str">
        <f>IFERROR(__xludf.DUMMYFUNCTION("IF('(INGESTA)Datos_consumo_datadis'!A4405&lt;&gt;"""",SPLIT('(INGESTA)Datos_consumo_datadis'!A:A,"",""),"""")"),"ES0031408323131005HX0F")</f>
        <v>ES0031408323131005HX0F</v>
      </c>
      <c r="B4405" s="12">
        <f>IFERROR(__xludf.DUMMYFUNCTION("""COMPUTED_VALUE"""),45049.0)</f>
        <v>45049</v>
      </c>
      <c r="C4405" s="13">
        <f>IFERROR(__xludf.DUMMYFUNCTION("""COMPUTED_VALUE"""),0.5416666666666666)</f>
        <v>0.5416666667</v>
      </c>
      <c r="D4405" s="8">
        <f>IFERROR(__xludf.DUMMYFUNCTION("""COMPUTED_VALUE"""),0.028)</f>
        <v>0.028</v>
      </c>
      <c r="E4405" s="8" t="str">
        <f>IFERROR(__xludf.DUMMYFUNCTION("""COMPUTED_VALUE"""),"Real")</f>
        <v>Real</v>
      </c>
      <c r="G4405" s="8">
        <f t="shared" si="1"/>
        <v>5</v>
      </c>
      <c r="H4405" s="14">
        <f t="shared" si="2"/>
        <v>3</v>
      </c>
      <c r="I4405" s="15">
        <f t="shared" si="3"/>
        <v>13</v>
      </c>
    </row>
    <row r="4406">
      <c r="A4406" s="8" t="str">
        <f>IFERROR(__xludf.DUMMYFUNCTION("IF('(INGESTA)Datos_consumo_datadis'!A4406&lt;&gt;"""",SPLIT('(INGESTA)Datos_consumo_datadis'!A:A,"",""),"""")"),"ES0031408323131005HX0F")</f>
        <v>ES0031408323131005HX0F</v>
      </c>
      <c r="B4406" s="12">
        <f>IFERROR(__xludf.DUMMYFUNCTION("""COMPUTED_VALUE"""),45049.0)</f>
        <v>45049</v>
      </c>
      <c r="C4406" s="13">
        <f>IFERROR(__xludf.DUMMYFUNCTION("""COMPUTED_VALUE"""),0.5833333333333334)</f>
        <v>0.5833333333</v>
      </c>
      <c r="D4406" s="8">
        <f>IFERROR(__xludf.DUMMYFUNCTION("""COMPUTED_VALUE"""),0.068)</f>
        <v>0.068</v>
      </c>
      <c r="E4406" s="8" t="str">
        <f>IFERROR(__xludf.DUMMYFUNCTION("""COMPUTED_VALUE"""),"Real")</f>
        <v>Real</v>
      </c>
      <c r="G4406" s="8">
        <f t="shared" si="1"/>
        <v>5</v>
      </c>
      <c r="H4406" s="14">
        <f t="shared" si="2"/>
        <v>3</v>
      </c>
      <c r="I4406" s="15">
        <f t="shared" si="3"/>
        <v>14</v>
      </c>
    </row>
    <row r="4407">
      <c r="A4407" s="8" t="str">
        <f>IFERROR(__xludf.DUMMYFUNCTION("IF('(INGESTA)Datos_consumo_datadis'!A4407&lt;&gt;"""",SPLIT('(INGESTA)Datos_consumo_datadis'!A:A,"",""),"""")"),"ES0031408323131005HX0F")</f>
        <v>ES0031408323131005HX0F</v>
      </c>
      <c r="B4407" s="12">
        <f>IFERROR(__xludf.DUMMYFUNCTION("""COMPUTED_VALUE"""),45049.0)</f>
        <v>45049</v>
      </c>
      <c r="C4407" s="13">
        <f>IFERROR(__xludf.DUMMYFUNCTION("""COMPUTED_VALUE"""),0.625)</f>
        <v>0.625</v>
      </c>
      <c r="D4407" s="8">
        <f>IFERROR(__xludf.DUMMYFUNCTION("""COMPUTED_VALUE"""),0.126)</f>
        <v>0.126</v>
      </c>
      <c r="E4407" s="8" t="str">
        <f>IFERROR(__xludf.DUMMYFUNCTION("""COMPUTED_VALUE"""),"Real")</f>
        <v>Real</v>
      </c>
      <c r="G4407" s="8">
        <f t="shared" si="1"/>
        <v>5</v>
      </c>
      <c r="H4407" s="14">
        <f t="shared" si="2"/>
        <v>3</v>
      </c>
      <c r="I4407" s="15">
        <f t="shared" si="3"/>
        <v>15</v>
      </c>
    </row>
    <row r="4408">
      <c r="A4408" s="8" t="str">
        <f>IFERROR(__xludf.DUMMYFUNCTION("IF('(INGESTA)Datos_consumo_datadis'!A4408&lt;&gt;"""",SPLIT('(INGESTA)Datos_consumo_datadis'!A:A,"",""),"""")"),"ES0031408323131005HX0F")</f>
        <v>ES0031408323131005HX0F</v>
      </c>
      <c r="B4408" s="12">
        <f>IFERROR(__xludf.DUMMYFUNCTION("""COMPUTED_VALUE"""),45049.0)</f>
        <v>45049</v>
      </c>
      <c r="C4408" s="13">
        <f>IFERROR(__xludf.DUMMYFUNCTION("""COMPUTED_VALUE"""),0.6666666666666666)</f>
        <v>0.6666666667</v>
      </c>
      <c r="D4408" s="8">
        <f>IFERROR(__xludf.DUMMYFUNCTION("""COMPUTED_VALUE"""),0.099)</f>
        <v>0.099</v>
      </c>
      <c r="E4408" s="8" t="str">
        <f>IFERROR(__xludf.DUMMYFUNCTION("""COMPUTED_VALUE"""),"Real")</f>
        <v>Real</v>
      </c>
      <c r="G4408" s="8">
        <f t="shared" si="1"/>
        <v>5</v>
      </c>
      <c r="H4408" s="14">
        <f t="shared" si="2"/>
        <v>3</v>
      </c>
      <c r="I4408" s="15">
        <f t="shared" si="3"/>
        <v>16</v>
      </c>
    </row>
    <row r="4409">
      <c r="A4409" s="8" t="str">
        <f>IFERROR(__xludf.DUMMYFUNCTION("IF('(INGESTA)Datos_consumo_datadis'!A4409&lt;&gt;"""",SPLIT('(INGESTA)Datos_consumo_datadis'!A:A,"",""),"""")"),"ES0031408323131005HX0F")</f>
        <v>ES0031408323131005HX0F</v>
      </c>
      <c r="B4409" s="12">
        <f>IFERROR(__xludf.DUMMYFUNCTION("""COMPUTED_VALUE"""),45049.0)</f>
        <v>45049</v>
      </c>
      <c r="C4409" s="13">
        <f>IFERROR(__xludf.DUMMYFUNCTION("""COMPUTED_VALUE"""),0.7083333333333334)</f>
        <v>0.7083333333</v>
      </c>
      <c r="D4409" s="8">
        <f>IFERROR(__xludf.DUMMYFUNCTION("""COMPUTED_VALUE"""),0.214)</f>
        <v>0.214</v>
      </c>
      <c r="E4409" s="8" t="str">
        <f>IFERROR(__xludf.DUMMYFUNCTION("""COMPUTED_VALUE"""),"Real")</f>
        <v>Real</v>
      </c>
      <c r="G4409" s="8">
        <f t="shared" si="1"/>
        <v>5</v>
      </c>
      <c r="H4409" s="14">
        <f t="shared" si="2"/>
        <v>3</v>
      </c>
      <c r="I4409" s="15">
        <f t="shared" si="3"/>
        <v>17</v>
      </c>
    </row>
    <row r="4410">
      <c r="A4410" s="8" t="str">
        <f>IFERROR(__xludf.DUMMYFUNCTION("IF('(INGESTA)Datos_consumo_datadis'!A4410&lt;&gt;"""",SPLIT('(INGESTA)Datos_consumo_datadis'!A:A,"",""),"""")"),"ES0031408323131005HX0F")</f>
        <v>ES0031408323131005HX0F</v>
      </c>
      <c r="B4410" s="12">
        <f>IFERROR(__xludf.DUMMYFUNCTION("""COMPUTED_VALUE"""),45049.0)</f>
        <v>45049</v>
      </c>
      <c r="C4410" s="13">
        <f>IFERROR(__xludf.DUMMYFUNCTION("""COMPUTED_VALUE"""),0.75)</f>
        <v>0.75</v>
      </c>
      <c r="D4410" s="8">
        <f>IFERROR(__xludf.DUMMYFUNCTION("""COMPUTED_VALUE"""),0.137)</f>
        <v>0.137</v>
      </c>
      <c r="E4410" s="8" t="str">
        <f>IFERROR(__xludf.DUMMYFUNCTION("""COMPUTED_VALUE"""),"Real")</f>
        <v>Real</v>
      </c>
      <c r="G4410" s="8">
        <f t="shared" si="1"/>
        <v>5</v>
      </c>
      <c r="H4410" s="14">
        <f t="shared" si="2"/>
        <v>3</v>
      </c>
      <c r="I4410" s="15">
        <f t="shared" si="3"/>
        <v>18</v>
      </c>
    </row>
    <row r="4411">
      <c r="A4411" s="8" t="str">
        <f>IFERROR(__xludf.DUMMYFUNCTION("IF('(INGESTA)Datos_consumo_datadis'!A4411&lt;&gt;"""",SPLIT('(INGESTA)Datos_consumo_datadis'!A:A,"",""),"""")"),"ES0031408323131005HX0F")</f>
        <v>ES0031408323131005HX0F</v>
      </c>
      <c r="B4411" s="12">
        <f>IFERROR(__xludf.DUMMYFUNCTION("""COMPUTED_VALUE"""),45049.0)</f>
        <v>45049</v>
      </c>
      <c r="C4411" s="13">
        <f>IFERROR(__xludf.DUMMYFUNCTION("""COMPUTED_VALUE"""),0.7916666666666666)</f>
        <v>0.7916666667</v>
      </c>
      <c r="D4411" s="8">
        <f>IFERROR(__xludf.DUMMYFUNCTION("""COMPUTED_VALUE"""),0.108)</f>
        <v>0.108</v>
      </c>
      <c r="E4411" s="8" t="str">
        <f>IFERROR(__xludf.DUMMYFUNCTION("""COMPUTED_VALUE"""),"Real")</f>
        <v>Real</v>
      </c>
      <c r="G4411" s="8">
        <f t="shared" si="1"/>
        <v>5</v>
      </c>
      <c r="H4411" s="14">
        <f t="shared" si="2"/>
        <v>3</v>
      </c>
      <c r="I4411" s="15">
        <f t="shared" si="3"/>
        <v>19</v>
      </c>
    </row>
    <row r="4412">
      <c r="A4412" s="8" t="str">
        <f>IFERROR(__xludf.DUMMYFUNCTION("IF('(INGESTA)Datos_consumo_datadis'!A4412&lt;&gt;"""",SPLIT('(INGESTA)Datos_consumo_datadis'!A:A,"",""),"""")"),"ES0031408323131005HX0F")</f>
        <v>ES0031408323131005HX0F</v>
      </c>
      <c r="B4412" s="12">
        <f>IFERROR(__xludf.DUMMYFUNCTION("""COMPUTED_VALUE"""),45049.0)</f>
        <v>45049</v>
      </c>
      <c r="C4412" s="13">
        <f>IFERROR(__xludf.DUMMYFUNCTION("""COMPUTED_VALUE"""),0.8333333333333334)</f>
        <v>0.8333333333</v>
      </c>
      <c r="D4412" s="8">
        <f>IFERROR(__xludf.DUMMYFUNCTION("""COMPUTED_VALUE"""),0.074)</f>
        <v>0.074</v>
      </c>
      <c r="E4412" s="8" t="str">
        <f>IFERROR(__xludf.DUMMYFUNCTION("""COMPUTED_VALUE"""),"Real")</f>
        <v>Real</v>
      </c>
      <c r="G4412" s="8">
        <f t="shared" si="1"/>
        <v>5</v>
      </c>
      <c r="H4412" s="14">
        <f t="shared" si="2"/>
        <v>3</v>
      </c>
      <c r="I4412" s="15">
        <f t="shared" si="3"/>
        <v>20</v>
      </c>
    </row>
    <row r="4413">
      <c r="A4413" s="8" t="str">
        <f>IFERROR(__xludf.DUMMYFUNCTION("IF('(INGESTA)Datos_consumo_datadis'!A4413&lt;&gt;"""",SPLIT('(INGESTA)Datos_consumo_datadis'!A:A,"",""),"""")"),"ES0031408323131005HX0F")</f>
        <v>ES0031408323131005HX0F</v>
      </c>
      <c r="B4413" s="12">
        <f>IFERROR(__xludf.DUMMYFUNCTION("""COMPUTED_VALUE"""),45049.0)</f>
        <v>45049</v>
      </c>
      <c r="C4413" s="13">
        <f>IFERROR(__xludf.DUMMYFUNCTION("""COMPUTED_VALUE"""),0.875)</f>
        <v>0.875</v>
      </c>
      <c r="D4413" s="8">
        <f>IFERROR(__xludf.DUMMYFUNCTION("""COMPUTED_VALUE"""),0.017)</f>
        <v>0.017</v>
      </c>
      <c r="E4413" s="8" t="str">
        <f>IFERROR(__xludf.DUMMYFUNCTION("""COMPUTED_VALUE"""),"Real")</f>
        <v>Real</v>
      </c>
      <c r="G4413" s="8">
        <f t="shared" si="1"/>
        <v>5</v>
      </c>
      <c r="H4413" s="14">
        <f t="shared" si="2"/>
        <v>3</v>
      </c>
      <c r="I4413" s="15">
        <f t="shared" si="3"/>
        <v>21</v>
      </c>
    </row>
    <row r="4414">
      <c r="A4414" s="8" t="str">
        <f>IFERROR(__xludf.DUMMYFUNCTION("IF('(INGESTA)Datos_consumo_datadis'!A4414&lt;&gt;"""",SPLIT('(INGESTA)Datos_consumo_datadis'!A:A,"",""),"""")"),"ES0031408323131005HX0F")</f>
        <v>ES0031408323131005HX0F</v>
      </c>
      <c r="B4414" s="12">
        <f>IFERROR(__xludf.DUMMYFUNCTION("""COMPUTED_VALUE"""),45049.0)</f>
        <v>45049</v>
      </c>
      <c r="C4414" s="13">
        <f>IFERROR(__xludf.DUMMYFUNCTION("""COMPUTED_VALUE"""),0.9166666666666666)</f>
        <v>0.9166666667</v>
      </c>
      <c r="D4414" s="8">
        <f>IFERROR(__xludf.DUMMYFUNCTION("""COMPUTED_VALUE"""),0.489)</f>
        <v>0.489</v>
      </c>
      <c r="E4414" s="8" t="str">
        <f>IFERROR(__xludf.DUMMYFUNCTION("""COMPUTED_VALUE"""),"Real")</f>
        <v>Real</v>
      </c>
      <c r="G4414" s="8">
        <f t="shared" si="1"/>
        <v>5</v>
      </c>
      <c r="H4414" s="14">
        <f t="shared" si="2"/>
        <v>3</v>
      </c>
      <c r="I4414" s="15">
        <f t="shared" si="3"/>
        <v>22</v>
      </c>
    </row>
    <row r="4415">
      <c r="A4415" s="8" t="str">
        <f>IFERROR(__xludf.DUMMYFUNCTION("IF('(INGESTA)Datos_consumo_datadis'!A4415&lt;&gt;"""",SPLIT('(INGESTA)Datos_consumo_datadis'!A:A,"",""),"""")"),"ES0031408323131005HX0F")</f>
        <v>ES0031408323131005HX0F</v>
      </c>
      <c r="B4415" s="12">
        <f>IFERROR(__xludf.DUMMYFUNCTION("""COMPUTED_VALUE"""),45049.0)</f>
        <v>45049</v>
      </c>
      <c r="C4415" s="13">
        <f>IFERROR(__xludf.DUMMYFUNCTION("""COMPUTED_VALUE"""),0.9583333333333334)</f>
        <v>0.9583333333</v>
      </c>
      <c r="D4415" s="8">
        <f>IFERROR(__xludf.DUMMYFUNCTION("""COMPUTED_VALUE"""),1.672)</f>
        <v>1.672</v>
      </c>
      <c r="E4415" s="8" t="str">
        <f>IFERROR(__xludf.DUMMYFUNCTION("""COMPUTED_VALUE"""),"Real")</f>
        <v>Real</v>
      </c>
      <c r="G4415" s="8">
        <f t="shared" si="1"/>
        <v>5</v>
      </c>
      <c r="H4415" s="14">
        <f t="shared" si="2"/>
        <v>3</v>
      </c>
      <c r="I4415" s="15">
        <f t="shared" si="3"/>
        <v>23</v>
      </c>
    </row>
    <row r="4416">
      <c r="A4416" s="8" t="str">
        <f>IFERROR(__xludf.DUMMYFUNCTION("IF('(INGESTA)Datos_consumo_datadis'!A4416&lt;&gt;"""",SPLIT('(INGESTA)Datos_consumo_datadis'!A:A,"",""),"""")"),"ES0031408323131005HX0F")</f>
        <v>ES0031408323131005HX0F</v>
      </c>
      <c r="B4416" s="12">
        <f>IFERROR(__xludf.DUMMYFUNCTION("""COMPUTED_VALUE"""),45049.0)</f>
        <v>45049</v>
      </c>
      <c r="C4416" s="16">
        <f>IFERROR(__xludf.DUMMYFUNCTION("""COMPUTED_VALUE"""),1.0)</f>
        <v>1</v>
      </c>
      <c r="D4416" s="8">
        <f>IFERROR(__xludf.DUMMYFUNCTION("""COMPUTED_VALUE"""),1.569)</f>
        <v>1.569</v>
      </c>
      <c r="E4416" s="8" t="str">
        <f>IFERROR(__xludf.DUMMYFUNCTION("""COMPUTED_VALUE"""),"Real")</f>
        <v>Real</v>
      </c>
      <c r="G4416" s="8">
        <f t="shared" si="1"/>
        <v>5</v>
      </c>
      <c r="H4416" s="14">
        <f t="shared" si="2"/>
        <v>3</v>
      </c>
      <c r="I4416" s="15">
        <f t="shared" si="3"/>
        <v>0</v>
      </c>
    </row>
    <row r="4417">
      <c r="A4417" s="8" t="str">
        <f>IFERROR(__xludf.DUMMYFUNCTION("IF('(INGESTA)Datos_consumo_datadis'!A4417&lt;&gt;"""",SPLIT('(INGESTA)Datos_consumo_datadis'!A:A,"",""),"""")"),"ES0031408323131005HX0F")</f>
        <v>ES0031408323131005HX0F</v>
      </c>
      <c r="B4417" s="12">
        <f>IFERROR(__xludf.DUMMYFUNCTION("""COMPUTED_VALUE"""),45050.0)</f>
        <v>45050</v>
      </c>
      <c r="C4417" s="13">
        <f>IFERROR(__xludf.DUMMYFUNCTION("""COMPUTED_VALUE"""),0.041666666666666664)</f>
        <v>0.04166666667</v>
      </c>
      <c r="D4417" s="8">
        <f>IFERROR(__xludf.DUMMYFUNCTION("""COMPUTED_VALUE"""),0.124)</f>
        <v>0.124</v>
      </c>
      <c r="E4417" s="8" t="str">
        <f>IFERROR(__xludf.DUMMYFUNCTION("""COMPUTED_VALUE"""),"Real")</f>
        <v>Real</v>
      </c>
      <c r="G4417" s="8">
        <f t="shared" si="1"/>
        <v>5</v>
      </c>
      <c r="H4417" s="14">
        <f t="shared" si="2"/>
        <v>4</v>
      </c>
      <c r="I4417" s="15">
        <f t="shared" si="3"/>
        <v>1</v>
      </c>
    </row>
    <row r="4418">
      <c r="A4418" s="8" t="str">
        <f>IFERROR(__xludf.DUMMYFUNCTION("IF('(INGESTA)Datos_consumo_datadis'!A4418&lt;&gt;"""",SPLIT('(INGESTA)Datos_consumo_datadis'!A:A,"",""),"""")"),"ES0031408323131005HX0F")</f>
        <v>ES0031408323131005HX0F</v>
      </c>
      <c r="B4418" s="12">
        <f>IFERROR(__xludf.DUMMYFUNCTION("""COMPUTED_VALUE"""),45050.0)</f>
        <v>45050</v>
      </c>
      <c r="C4418" s="13">
        <f>IFERROR(__xludf.DUMMYFUNCTION("""COMPUTED_VALUE"""),0.08333333333333333)</f>
        <v>0.08333333333</v>
      </c>
      <c r="D4418" s="8">
        <f>IFERROR(__xludf.DUMMYFUNCTION("""COMPUTED_VALUE"""),0.035)</f>
        <v>0.035</v>
      </c>
      <c r="E4418" s="8" t="str">
        <f>IFERROR(__xludf.DUMMYFUNCTION("""COMPUTED_VALUE"""),"Real")</f>
        <v>Real</v>
      </c>
      <c r="G4418" s="8">
        <f t="shared" si="1"/>
        <v>5</v>
      </c>
      <c r="H4418" s="14">
        <f t="shared" si="2"/>
        <v>4</v>
      </c>
      <c r="I4418" s="15">
        <f t="shared" si="3"/>
        <v>2</v>
      </c>
    </row>
    <row r="4419">
      <c r="A4419" s="8" t="str">
        <f>IFERROR(__xludf.DUMMYFUNCTION("IF('(INGESTA)Datos_consumo_datadis'!A4419&lt;&gt;"""",SPLIT('(INGESTA)Datos_consumo_datadis'!A:A,"",""),"""")"),"ES0031408323131005HX0F")</f>
        <v>ES0031408323131005HX0F</v>
      </c>
      <c r="B4419" s="12">
        <f>IFERROR(__xludf.DUMMYFUNCTION("""COMPUTED_VALUE"""),45050.0)</f>
        <v>45050</v>
      </c>
      <c r="C4419" s="13">
        <f>IFERROR(__xludf.DUMMYFUNCTION("""COMPUTED_VALUE"""),0.125)</f>
        <v>0.125</v>
      </c>
      <c r="D4419" s="8">
        <f>IFERROR(__xludf.DUMMYFUNCTION("""COMPUTED_VALUE"""),0.119)</f>
        <v>0.119</v>
      </c>
      <c r="E4419" s="8" t="str">
        <f>IFERROR(__xludf.DUMMYFUNCTION("""COMPUTED_VALUE"""),"Real")</f>
        <v>Real</v>
      </c>
      <c r="G4419" s="8">
        <f t="shared" si="1"/>
        <v>5</v>
      </c>
      <c r="H4419" s="14">
        <f t="shared" si="2"/>
        <v>4</v>
      </c>
      <c r="I4419" s="15">
        <f t="shared" si="3"/>
        <v>3</v>
      </c>
    </row>
    <row r="4420">
      <c r="A4420" s="8" t="str">
        <f>IFERROR(__xludf.DUMMYFUNCTION("IF('(INGESTA)Datos_consumo_datadis'!A4420&lt;&gt;"""",SPLIT('(INGESTA)Datos_consumo_datadis'!A:A,"",""),"""")"),"ES0031408323131005HX0F")</f>
        <v>ES0031408323131005HX0F</v>
      </c>
      <c r="B4420" s="12">
        <f>IFERROR(__xludf.DUMMYFUNCTION("""COMPUTED_VALUE"""),45050.0)</f>
        <v>45050</v>
      </c>
      <c r="C4420" s="13">
        <f>IFERROR(__xludf.DUMMYFUNCTION("""COMPUTED_VALUE"""),0.16666666666666666)</f>
        <v>0.1666666667</v>
      </c>
      <c r="D4420" s="8">
        <f>IFERROR(__xludf.DUMMYFUNCTION("""COMPUTED_VALUE"""),0.341)</f>
        <v>0.341</v>
      </c>
      <c r="E4420" s="8" t="str">
        <f>IFERROR(__xludf.DUMMYFUNCTION("""COMPUTED_VALUE"""),"Real")</f>
        <v>Real</v>
      </c>
      <c r="G4420" s="8">
        <f t="shared" si="1"/>
        <v>5</v>
      </c>
      <c r="H4420" s="14">
        <f t="shared" si="2"/>
        <v>4</v>
      </c>
      <c r="I4420" s="15">
        <f t="shared" si="3"/>
        <v>4</v>
      </c>
    </row>
    <row r="4421">
      <c r="A4421" s="8" t="str">
        <f>IFERROR(__xludf.DUMMYFUNCTION("IF('(INGESTA)Datos_consumo_datadis'!A4421&lt;&gt;"""",SPLIT('(INGESTA)Datos_consumo_datadis'!A:A,"",""),"""")"),"ES0031408323131005HX0F")</f>
        <v>ES0031408323131005HX0F</v>
      </c>
      <c r="B4421" s="12">
        <f>IFERROR(__xludf.DUMMYFUNCTION("""COMPUTED_VALUE"""),45050.0)</f>
        <v>45050</v>
      </c>
      <c r="C4421" s="13">
        <f>IFERROR(__xludf.DUMMYFUNCTION("""COMPUTED_VALUE"""),0.20833333333333334)</f>
        <v>0.2083333333</v>
      </c>
      <c r="D4421" s="8">
        <f>IFERROR(__xludf.DUMMYFUNCTION("""COMPUTED_VALUE"""),0.027)</f>
        <v>0.027</v>
      </c>
      <c r="E4421" s="8" t="str">
        <f>IFERROR(__xludf.DUMMYFUNCTION("""COMPUTED_VALUE"""),"Real")</f>
        <v>Real</v>
      </c>
      <c r="G4421" s="8">
        <f t="shared" si="1"/>
        <v>5</v>
      </c>
      <c r="H4421" s="14">
        <f t="shared" si="2"/>
        <v>4</v>
      </c>
      <c r="I4421" s="15">
        <f t="shared" si="3"/>
        <v>5</v>
      </c>
    </row>
    <row r="4422">
      <c r="A4422" s="8" t="str">
        <f>IFERROR(__xludf.DUMMYFUNCTION("IF('(INGESTA)Datos_consumo_datadis'!A4422&lt;&gt;"""",SPLIT('(INGESTA)Datos_consumo_datadis'!A:A,"",""),"""")"),"ES0031408323131005HX0F")</f>
        <v>ES0031408323131005HX0F</v>
      </c>
      <c r="B4422" s="12">
        <f>IFERROR(__xludf.DUMMYFUNCTION("""COMPUTED_VALUE"""),45050.0)</f>
        <v>45050</v>
      </c>
      <c r="C4422" s="13">
        <f>IFERROR(__xludf.DUMMYFUNCTION("""COMPUTED_VALUE"""),0.25)</f>
        <v>0.25</v>
      </c>
      <c r="D4422" s="8">
        <f>IFERROR(__xludf.DUMMYFUNCTION("""COMPUTED_VALUE"""),0.079)</f>
        <v>0.079</v>
      </c>
      <c r="E4422" s="8" t="str">
        <f>IFERROR(__xludf.DUMMYFUNCTION("""COMPUTED_VALUE"""),"Real")</f>
        <v>Real</v>
      </c>
      <c r="G4422" s="8">
        <f t="shared" si="1"/>
        <v>5</v>
      </c>
      <c r="H4422" s="14">
        <f t="shared" si="2"/>
        <v>4</v>
      </c>
      <c r="I4422" s="15">
        <f t="shared" si="3"/>
        <v>6</v>
      </c>
    </row>
    <row r="4423">
      <c r="A4423" s="8" t="str">
        <f>IFERROR(__xludf.DUMMYFUNCTION("IF('(INGESTA)Datos_consumo_datadis'!A4423&lt;&gt;"""",SPLIT('(INGESTA)Datos_consumo_datadis'!A:A,"",""),"""")"),"ES0031408323131005HX0F")</f>
        <v>ES0031408323131005HX0F</v>
      </c>
      <c r="B4423" s="12">
        <f>IFERROR(__xludf.DUMMYFUNCTION("""COMPUTED_VALUE"""),45050.0)</f>
        <v>45050</v>
      </c>
      <c r="C4423" s="13">
        <f>IFERROR(__xludf.DUMMYFUNCTION("""COMPUTED_VALUE"""),0.2916666666666667)</f>
        <v>0.2916666667</v>
      </c>
      <c r="D4423" s="8">
        <f>IFERROR(__xludf.DUMMYFUNCTION("""COMPUTED_VALUE"""),0.071)</f>
        <v>0.071</v>
      </c>
      <c r="E4423" s="8" t="str">
        <f>IFERROR(__xludf.DUMMYFUNCTION("""COMPUTED_VALUE"""),"Real")</f>
        <v>Real</v>
      </c>
      <c r="G4423" s="8">
        <f t="shared" si="1"/>
        <v>5</v>
      </c>
      <c r="H4423" s="14">
        <f t="shared" si="2"/>
        <v>4</v>
      </c>
      <c r="I4423" s="15">
        <f t="shared" si="3"/>
        <v>7</v>
      </c>
    </row>
    <row r="4424">
      <c r="A4424" s="8" t="str">
        <f>IFERROR(__xludf.DUMMYFUNCTION("IF('(INGESTA)Datos_consumo_datadis'!A4424&lt;&gt;"""",SPLIT('(INGESTA)Datos_consumo_datadis'!A:A,"",""),"""")"),"ES0031408323131005HX0F")</f>
        <v>ES0031408323131005HX0F</v>
      </c>
      <c r="B4424" s="12">
        <f>IFERROR(__xludf.DUMMYFUNCTION("""COMPUTED_VALUE"""),45050.0)</f>
        <v>45050</v>
      </c>
      <c r="C4424" s="13">
        <f>IFERROR(__xludf.DUMMYFUNCTION("""COMPUTED_VALUE"""),0.3333333333333333)</f>
        <v>0.3333333333</v>
      </c>
      <c r="D4424" s="8">
        <f>IFERROR(__xludf.DUMMYFUNCTION("""COMPUTED_VALUE"""),0.204)</f>
        <v>0.204</v>
      </c>
      <c r="E4424" s="8" t="str">
        <f>IFERROR(__xludf.DUMMYFUNCTION("""COMPUTED_VALUE"""),"Real")</f>
        <v>Real</v>
      </c>
      <c r="G4424" s="8">
        <f t="shared" si="1"/>
        <v>5</v>
      </c>
      <c r="H4424" s="14">
        <f t="shared" si="2"/>
        <v>4</v>
      </c>
      <c r="I4424" s="15">
        <f t="shared" si="3"/>
        <v>8</v>
      </c>
    </row>
    <row r="4425">
      <c r="A4425" s="8" t="str">
        <f>IFERROR(__xludf.DUMMYFUNCTION("IF('(INGESTA)Datos_consumo_datadis'!A4425&lt;&gt;"""",SPLIT('(INGESTA)Datos_consumo_datadis'!A:A,"",""),"""")"),"ES0031408323131005HX0F")</f>
        <v>ES0031408323131005HX0F</v>
      </c>
      <c r="B4425" s="12">
        <f>IFERROR(__xludf.DUMMYFUNCTION("""COMPUTED_VALUE"""),45050.0)</f>
        <v>45050</v>
      </c>
      <c r="C4425" s="13">
        <f>IFERROR(__xludf.DUMMYFUNCTION("""COMPUTED_VALUE"""),0.375)</f>
        <v>0.375</v>
      </c>
      <c r="D4425" s="8">
        <f>IFERROR(__xludf.DUMMYFUNCTION("""COMPUTED_VALUE"""),0.371)</f>
        <v>0.371</v>
      </c>
      <c r="E4425" s="8" t="str">
        <f>IFERROR(__xludf.DUMMYFUNCTION("""COMPUTED_VALUE"""),"Real")</f>
        <v>Real</v>
      </c>
      <c r="G4425" s="8">
        <f t="shared" si="1"/>
        <v>5</v>
      </c>
      <c r="H4425" s="14">
        <f t="shared" si="2"/>
        <v>4</v>
      </c>
      <c r="I4425" s="15">
        <f t="shared" si="3"/>
        <v>9</v>
      </c>
    </row>
    <row r="4426">
      <c r="A4426" s="8" t="str">
        <f>IFERROR(__xludf.DUMMYFUNCTION("IF('(INGESTA)Datos_consumo_datadis'!A4426&lt;&gt;"""",SPLIT('(INGESTA)Datos_consumo_datadis'!A:A,"",""),"""")"),"ES0031408323131005HX0F")</f>
        <v>ES0031408323131005HX0F</v>
      </c>
      <c r="B4426" s="12">
        <f>IFERROR(__xludf.DUMMYFUNCTION("""COMPUTED_VALUE"""),45050.0)</f>
        <v>45050</v>
      </c>
      <c r="C4426" s="13">
        <f>IFERROR(__xludf.DUMMYFUNCTION("""COMPUTED_VALUE"""),0.4166666666666667)</f>
        <v>0.4166666667</v>
      </c>
      <c r="D4426" s="8">
        <f>IFERROR(__xludf.DUMMYFUNCTION("""COMPUTED_VALUE"""),0.06)</f>
        <v>0.06</v>
      </c>
      <c r="E4426" s="8" t="str">
        <f>IFERROR(__xludf.DUMMYFUNCTION("""COMPUTED_VALUE"""),"Real")</f>
        <v>Real</v>
      </c>
      <c r="G4426" s="8">
        <f t="shared" si="1"/>
        <v>5</v>
      </c>
      <c r="H4426" s="14">
        <f t="shared" si="2"/>
        <v>4</v>
      </c>
      <c r="I4426" s="15">
        <f t="shared" si="3"/>
        <v>10</v>
      </c>
    </row>
    <row r="4427">
      <c r="A4427" s="8" t="str">
        <f>IFERROR(__xludf.DUMMYFUNCTION("IF('(INGESTA)Datos_consumo_datadis'!A4427&lt;&gt;"""",SPLIT('(INGESTA)Datos_consumo_datadis'!A:A,"",""),"""")"),"ES0031408323131005HX0F")</f>
        <v>ES0031408323131005HX0F</v>
      </c>
      <c r="B4427" s="12">
        <f>IFERROR(__xludf.DUMMYFUNCTION("""COMPUTED_VALUE"""),45050.0)</f>
        <v>45050</v>
      </c>
      <c r="C4427" s="13">
        <f>IFERROR(__xludf.DUMMYFUNCTION("""COMPUTED_VALUE"""),0.4583333333333333)</f>
        <v>0.4583333333</v>
      </c>
      <c r="D4427" s="8">
        <f>IFERROR(__xludf.DUMMYFUNCTION("""COMPUTED_VALUE"""),0.018)</f>
        <v>0.018</v>
      </c>
      <c r="E4427" s="8" t="str">
        <f>IFERROR(__xludf.DUMMYFUNCTION("""COMPUTED_VALUE"""),"Real")</f>
        <v>Real</v>
      </c>
      <c r="G4427" s="8">
        <f t="shared" si="1"/>
        <v>5</v>
      </c>
      <c r="H4427" s="14">
        <f t="shared" si="2"/>
        <v>4</v>
      </c>
      <c r="I4427" s="15">
        <f t="shared" si="3"/>
        <v>11</v>
      </c>
    </row>
    <row r="4428">
      <c r="A4428" s="8" t="str">
        <f>IFERROR(__xludf.DUMMYFUNCTION("IF('(INGESTA)Datos_consumo_datadis'!A4428&lt;&gt;"""",SPLIT('(INGESTA)Datos_consumo_datadis'!A:A,"",""),"""")"),"ES0031408323131005HX0F")</f>
        <v>ES0031408323131005HX0F</v>
      </c>
      <c r="B4428" s="12">
        <f>IFERROR(__xludf.DUMMYFUNCTION("""COMPUTED_VALUE"""),45050.0)</f>
        <v>45050</v>
      </c>
      <c r="C4428" s="13">
        <f>IFERROR(__xludf.DUMMYFUNCTION("""COMPUTED_VALUE"""),0.5)</f>
        <v>0.5</v>
      </c>
      <c r="D4428" s="8">
        <f>IFERROR(__xludf.DUMMYFUNCTION("""COMPUTED_VALUE"""),0.088)</f>
        <v>0.088</v>
      </c>
      <c r="E4428" s="8" t="str">
        <f>IFERROR(__xludf.DUMMYFUNCTION("""COMPUTED_VALUE"""),"Real")</f>
        <v>Real</v>
      </c>
      <c r="G4428" s="8">
        <f t="shared" si="1"/>
        <v>5</v>
      </c>
      <c r="H4428" s="14">
        <f t="shared" si="2"/>
        <v>4</v>
      </c>
      <c r="I4428" s="15">
        <f t="shared" si="3"/>
        <v>12</v>
      </c>
    </row>
    <row r="4429">
      <c r="A4429" s="8" t="str">
        <f>IFERROR(__xludf.DUMMYFUNCTION("IF('(INGESTA)Datos_consumo_datadis'!A4429&lt;&gt;"""",SPLIT('(INGESTA)Datos_consumo_datadis'!A:A,"",""),"""")"),"ES0031408323131005HX0F")</f>
        <v>ES0031408323131005HX0F</v>
      </c>
      <c r="B4429" s="12">
        <f>IFERROR(__xludf.DUMMYFUNCTION("""COMPUTED_VALUE"""),45050.0)</f>
        <v>45050</v>
      </c>
      <c r="C4429" s="13">
        <f>IFERROR(__xludf.DUMMYFUNCTION("""COMPUTED_VALUE"""),0.5416666666666666)</f>
        <v>0.5416666667</v>
      </c>
      <c r="D4429" s="8">
        <f>IFERROR(__xludf.DUMMYFUNCTION("""COMPUTED_VALUE"""),0.054)</f>
        <v>0.054</v>
      </c>
      <c r="E4429" s="8" t="str">
        <f>IFERROR(__xludf.DUMMYFUNCTION("""COMPUTED_VALUE"""),"Real")</f>
        <v>Real</v>
      </c>
      <c r="G4429" s="8">
        <f t="shared" si="1"/>
        <v>5</v>
      </c>
      <c r="H4429" s="14">
        <f t="shared" si="2"/>
        <v>4</v>
      </c>
      <c r="I4429" s="15">
        <f t="shared" si="3"/>
        <v>13</v>
      </c>
    </row>
    <row r="4430">
      <c r="A4430" s="8" t="str">
        <f>IFERROR(__xludf.DUMMYFUNCTION("IF('(INGESTA)Datos_consumo_datadis'!A4430&lt;&gt;"""",SPLIT('(INGESTA)Datos_consumo_datadis'!A:A,"",""),"""")"),"ES0031408323131005HX0F")</f>
        <v>ES0031408323131005HX0F</v>
      </c>
      <c r="B4430" s="12">
        <f>IFERROR(__xludf.DUMMYFUNCTION("""COMPUTED_VALUE"""),45050.0)</f>
        <v>45050</v>
      </c>
      <c r="C4430" s="13">
        <f>IFERROR(__xludf.DUMMYFUNCTION("""COMPUTED_VALUE"""),0.5833333333333334)</f>
        <v>0.5833333333</v>
      </c>
      <c r="D4430" s="8">
        <f>IFERROR(__xludf.DUMMYFUNCTION("""COMPUTED_VALUE"""),0.054)</f>
        <v>0.054</v>
      </c>
      <c r="E4430" s="8" t="str">
        <f>IFERROR(__xludf.DUMMYFUNCTION("""COMPUTED_VALUE"""),"Real")</f>
        <v>Real</v>
      </c>
      <c r="G4430" s="8">
        <f t="shared" si="1"/>
        <v>5</v>
      </c>
      <c r="H4430" s="14">
        <f t="shared" si="2"/>
        <v>4</v>
      </c>
      <c r="I4430" s="15">
        <f t="shared" si="3"/>
        <v>14</v>
      </c>
    </row>
    <row r="4431">
      <c r="A4431" s="8" t="str">
        <f>IFERROR(__xludf.DUMMYFUNCTION("IF('(INGESTA)Datos_consumo_datadis'!A4431&lt;&gt;"""",SPLIT('(INGESTA)Datos_consumo_datadis'!A:A,"",""),"""")"),"ES0031408323131005HX0F")</f>
        <v>ES0031408323131005HX0F</v>
      </c>
      <c r="B4431" s="12">
        <f>IFERROR(__xludf.DUMMYFUNCTION("""COMPUTED_VALUE"""),45050.0)</f>
        <v>45050</v>
      </c>
      <c r="C4431" s="13">
        <f>IFERROR(__xludf.DUMMYFUNCTION("""COMPUTED_VALUE"""),0.625)</f>
        <v>0.625</v>
      </c>
      <c r="D4431" s="8">
        <f>IFERROR(__xludf.DUMMYFUNCTION("""COMPUTED_VALUE"""),0.124)</f>
        <v>0.124</v>
      </c>
      <c r="E4431" s="8" t="str">
        <f>IFERROR(__xludf.DUMMYFUNCTION("""COMPUTED_VALUE"""),"Real")</f>
        <v>Real</v>
      </c>
      <c r="G4431" s="8">
        <f t="shared" si="1"/>
        <v>5</v>
      </c>
      <c r="H4431" s="14">
        <f t="shared" si="2"/>
        <v>4</v>
      </c>
      <c r="I4431" s="15">
        <f t="shared" si="3"/>
        <v>15</v>
      </c>
    </row>
    <row r="4432">
      <c r="A4432" s="8" t="str">
        <f>IFERROR(__xludf.DUMMYFUNCTION("IF('(INGESTA)Datos_consumo_datadis'!A4432&lt;&gt;"""",SPLIT('(INGESTA)Datos_consumo_datadis'!A:A,"",""),"""")"),"ES0031408323131005HX0F")</f>
        <v>ES0031408323131005HX0F</v>
      </c>
      <c r="B4432" s="12">
        <f>IFERROR(__xludf.DUMMYFUNCTION("""COMPUTED_VALUE"""),45050.0)</f>
        <v>45050</v>
      </c>
      <c r="C4432" s="13">
        <f>IFERROR(__xludf.DUMMYFUNCTION("""COMPUTED_VALUE"""),0.6666666666666666)</f>
        <v>0.6666666667</v>
      </c>
      <c r="D4432" s="8">
        <f>IFERROR(__xludf.DUMMYFUNCTION("""COMPUTED_VALUE"""),0.353)</f>
        <v>0.353</v>
      </c>
      <c r="E4432" s="8" t="str">
        <f>IFERROR(__xludf.DUMMYFUNCTION("""COMPUTED_VALUE"""),"Real")</f>
        <v>Real</v>
      </c>
      <c r="G4432" s="8">
        <f t="shared" si="1"/>
        <v>5</v>
      </c>
      <c r="H4432" s="14">
        <f t="shared" si="2"/>
        <v>4</v>
      </c>
      <c r="I4432" s="15">
        <f t="shared" si="3"/>
        <v>16</v>
      </c>
    </row>
    <row r="4433">
      <c r="A4433" s="8" t="str">
        <f>IFERROR(__xludf.DUMMYFUNCTION("IF('(INGESTA)Datos_consumo_datadis'!A4433&lt;&gt;"""",SPLIT('(INGESTA)Datos_consumo_datadis'!A:A,"",""),"""")"),"ES0031408323131005HX0F")</f>
        <v>ES0031408323131005HX0F</v>
      </c>
      <c r="B4433" s="12">
        <f>IFERROR(__xludf.DUMMYFUNCTION("""COMPUTED_VALUE"""),45050.0)</f>
        <v>45050</v>
      </c>
      <c r="C4433" s="13">
        <f>IFERROR(__xludf.DUMMYFUNCTION("""COMPUTED_VALUE"""),0.7083333333333334)</f>
        <v>0.7083333333</v>
      </c>
      <c r="D4433" s="8">
        <f>IFERROR(__xludf.DUMMYFUNCTION("""COMPUTED_VALUE"""),0.046)</f>
        <v>0.046</v>
      </c>
      <c r="E4433" s="8" t="str">
        <f>IFERROR(__xludf.DUMMYFUNCTION("""COMPUTED_VALUE"""),"Real")</f>
        <v>Real</v>
      </c>
      <c r="G4433" s="8">
        <f t="shared" si="1"/>
        <v>5</v>
      </c>
      <c r="H4433" s="14">
        <f t="shared" si="2"/>
        <v>4</v>
      </c>
      <c r="I4433" s="15">
        <f t="shared" si="3"/>
        <v>17</v>
      </c>
    </row>
    <row r="4434">
      <c r="A4434" s="8" t="str">
        <f>IFERROR(__xludf.DUMMYFUNCTION("IF('(INGESTA)Datos_consumo_datadis'!A4434&lt;&gt;"""",SPLIT('(INGESTA)Datos_consumo_datadis'!A:A,"",""),"""")"),"ES0031408323131005HX0F")</f>
        <v>ES0031408323131005HX0F</v>
      </c>
      <c r="B4434" s="12">
        <f>IFERROR(__xludf.DUMMYFUNCTION("""COMPUTED_VALUE"""),45050.0)</f>
        <v>45050</v>
      </c>
      <c r="C4434" s="13">
        <f>IFERROR(__xludf.DUMMYFUNCTION("""COMPUTED_VALUE"""),0.75)</f>
        <v>0.75</v>
      </c>
      <c r="D4434" s="8">
        <f>IFERROR(__xludf.DUMMYFUNCTION("""COMPUTED_VALUE"""),0.345)</f>
        <v>0.345</v>
      </c>
      <c r="E4434" s="8" t="str">
        <f>IFERROR(__xludf.DUMMYFUNCTION("""COMPUTED_VALUE"""),"Real")</f>
        <v>Real</v>
      </c>
      <c r="G4434" s="8">
        <f t="shared" si="1"/>
        <v>5</v>
      </c>
      <c r="H4434" s="14">
        <f t="shared" si="2"/>
        <v>4</v>
      </c>
      <c r="I4434" s="15">
        <f t="shared" si="3"/>
        <v>18</v>
      </c>
    </row>
    <row r="4435">
      <c r="A4435" s="8" t="str">
        <f>IFERROR(__xludf.DUMMYFUNCTION("IF('(INGESTA)Datos_consumo_datadis'!A4435&lt;&gt;"""",SPLIT('(INGESTA)Datos_consumo_datadis'!A:A,"",""),"""")"),"ES0031408323131005HX0F")</f>
        <v>ES0031408323131005HX0F</v>
      </c>
      <c r="B4435" s="12">
        <f>IFERROR(__xludf.DUMMYFUNCTION("""COMPUTED_VALUE"""),45050.0)</f>
        <v>45050</v>
      </c>
      <c r="C4435" s="13">
        <f>IFERROR(__xludf.DUMMYFUNCTION("""COMPUTED_VALUE"""),0.7916666666666666)</f>
        <v>0.7916666667</v>
      </c>
      <c r="D4435" s="8">
        <f>IFERROR(__xludf.DUMMYFUNCTION("""COMPUTED_VALUE"""),0.92)</f>
        <v>0.92</v>
      </c>
      <c r="E4435" s="8" t="str">
        <f>IFERROR(__xludf.DUMMYFUNCTION("""COMPUTED_VALUE"""),"Real")</f>
        <v>Real</v>
      </c>
      <c r="G4435" s="8">
        <f t="shared" si="1"/>
        <v>5</v>
      </c>
      <c r="H4435" s="14">
        <f t="shared" si="2"/>
        <v>4</v>
      </c>
      <c r="I4435" s="15">
        <f t="shared" si="3"/>
        <v>19</v>
      </c>
    </row>
    <row r="4436">
      <c r="A4436" s="8" t="str">
        <f>IFERROR(__xludf.DUMMYFUNCTION("IF('(INGESTA)Datos_consumo_datadis'!A4436&lt;&gt;"""",SPLIT('(INGESTA)Datos_consumo_datadis'!A:A,"",""),"""")"),"ES0031408323131005HX0F")</f>
        <v>ES0031408323131005HX0F</v>
      </c>
      <c r="B4436" s="12">
        <f>IFERROR(__xludf.DUMMYFUNCTION("""COMPUTED_VALUE"""),45050.0)</f>
        <v>45050</v>
      </c>
      <c r="C4436" s="13">
        <f>IFERROR(__xludf.DUMMYFUNCTION("""COMPUTED_VALUE"""),0.8333333333333334)</f>
        <v>0.8333333333</v>
      </c>
      <c r="D4436" s="8">
        <f>IFERROR(__xludf.DUMMYFUNCTION("""COMPUTED_VALUE"""),0.14)</f>
        <v>0.14</v>
      </c>
      <c r="E4436" s="8" t="str">
        <f>IFERROR(__xludf.DUMMYFUNCTION("""COMPUTED_VALUE"""),"Real")</f>
        <v>Real</v>
      </c>
      <c r="G4436" s="8">
        <f t="shared" si="1"/>
        <v>5</v>
      </c>
      <c r="H4436" s="14">
        <f t="shared" si="2"/>
        <v>4</v>
      </c>
      <c r="I4436" s="15">
        <f t="shared" si="3"/>
        <v>20</v>
      </c>
    </row>
    <row r="4437">
      <c r="A4437" s="8" t="str">
        <f>IFERROR(__xludf.DUMMYFUNCTION("IF('(INGESTA)Datos_consumo_datadis'!A4437&lt;&gt;"""",SPLIT('(INGESTA)Datos_consumo_datadis'!A:A,"",""),"""")"),"ES0031408323131005HX0F")</f>
        <v>ES0031408323131005HX0F</v>
      </c>
      <c r="B4437" s="12">
        <f>IFERROR(__xludf.DUMMYFUNCTION("""COMPUTED_VALUE"""),45050.0)</f>
        <v>45050</v>
      </c>
      <c r="C4437" s="13">
        <f>IFERROR(__xludf.DUMMYFUNCTION("""COMPUTED_VALUE"""),0.875)</f>
        <v>0.875</v>
      </c>
      <c r="D4437" s="8">
        <f>IFERROR(__xludf.DUMMYFUNCTION("""COMPUTED_VALUE"""),0.129)</f>
        <v>0.129</v>
      </c>
      <c r="E4437" s="8" t="str">
        <f>IFERROR(__xludf.DUMMYFUNCTION("""COMPUTED_VALUE"""),"Real")</f>
        <v>Real</v>
      </c>
      <c r="G4437" s="8">
        <f t="shared" si="1"/>
        <v>5</v>
      </c>
      <c r="H4437" s="14">
        <f t="shared" si="2"/>
        <v>4</v>
      </c>
      <c r="I4437" s="15">
        <f t="shared" si="3"/>
        <v>21</v>
      </c>
    </row>
    <row r="4438">
      <c r="A4438" s="8" t="str">
        <f>IFERROR(__xludf.DUMMYFUNCTION("IF('(INGESTA)Datos_consumo_datadis'!A4438&lt;&gt;"""",SPLIT('(INGESTA)Datos_consumo_datadis'!A:A,"",""),"""")"),"ES0031408323131005HX0F")</f>
        <v>ES0031408323131005HX0F</v>
      </c>
      <c r="B4438" s="12">
        <f>IFERROR(__xludf.DUMMYFUNCTION("""COMPUTED_VALUE"""),45050.0)</f>
        <v>45050</v>
      </c>
      <c r="C4438" s="13">
        <f>IFERROR(__xludf.DUMMYFUNCTION("""COMPUTED_VALUE"""),0.9166666666666666)</f>
        <v>0.9166666667</v>
      </c>
      <c r="D4438" s="8">
        <f>IFERROR(__xludf.DUMMYFUNCTION("""COMPUTED_VALUE"""),0.16)</f>
        <v>0.16</v>
      </c>
      <c r="E4438" s="8" t="str">
        <f>IFERROR(__xludf.DUMMYFUNCTION("""COMPUTED_VALUE"""),"Real")</f>
        <v>Real</v>
      </c>
      <c r="G4438" s="8">
        <f t="shared" si="1"/>
        <v>5</v>
      </c>
      <c r="H4438" s="14">
        <f t="shared" si="2"/>
        <v>4</v>
      </c>
      <c r="I4438" s="15">
        <f t="shared" si="3"/>
        <v>22</v>
      </c>
    </row>
    <row r="4439">
      <c r="A4439" s="8" t="str">
        <f>IFERROR(__xludf.DUMMYFUNCTION("IF('(INGESTA)Datos_consumo_datadis'!A4439&lt;&gt;"""",SPLIT('(INGESTA)Datos_consumo_datadis'!A:A,"",""),"""")"),"ES0031408323131005HX0F")</f>
        <v>ES0031408323131005HX0F</v>
      </c>
      <c r="B4439" s="12">
        <f>IFERROR(__xludf.DUMMYFUNCTION("""COMPUTED_VALUE"""),45050.0)</f>
        <v>45050</v>
      </c>
      <c r="C4439" s="13">
        <f>IFERROR(__xludf.DUMMYFUNCTION("""COMPUTED_VALUE"""),0.9583333333333334)</f>
        <v>0.9583333333</v>
      </c>
      <c r="D4439" s="8">
        <f>IFERROR(__xludf.DUMMYFUNCTION("""COMPUTED_VALUE"""),0.527)</f>
        <v>0.527</v>
      </c>
      <c r="E4439" s="8" t="str">
        <f>IFERROR(__xludf.DUMMYFUNCTION("""COMPUTED_VALUE"""),"Real")</f>
        <v>Real</v>
      </c>
      <c r="G4439" s="8">
        <f t="shared" si="1"/>
        <v>5</v>
      </c>
      <c r="H4439" s="14">
        <f t="shared" si="2"/>
        <v>4</v>
      </c>
      <c r="I4439" s="15">
        <f t="shared" si="3"/>
        <v>23</v>
      </c>
    </row>
    <row r="4440">
      <c r="A4440" s="8" t="str">
        <f>IFERROR(__xludf.DUMMYFUNCTION("IF('(INGESTA)Datos_consumo_datadis'!A4440&lt;&gt;"""",SPLIT('(INGESTA)Datos_consumo_datadis'!A:A,"",""),"""")"),"ES0031408323131005HX0F")</f>
        <v>ES0031408323131005HX0F</v>
      </c>
      <c r="B4440" s="12">
        <f>IFERROR(__xludf.DUMMYFUNCTION("""COMPUTED_VALUE"""),45050.0)</f>
        <v>45050</v>
      </c>
      <c r="C4440" s="16">
        <f>IFERROR(__xludf.DUMMYFUNCTION("""COMPUTED_VALUE"""),1.0)</f>
        <v>1</v>
      </c>
      <c r="D4440" s="8">
        <f>IFERROR(__xludf.DUMMYFUNCTION("""COMPUTED_VALUE"""),0.534)</f>
        <v>0.534</v>
      </c>
      <c r="E4440" s="8" t="str">
        <f>IFERROR(__xludf.DUMMYFUNCTION("""COMPUTED_VALUE"""),"Real")</f>
        <v>Real</v>
      </c>
      <c r="G4440" s="8">
        <f t="shared" si="1"/>
        <v>5</v>
      </c>
      <c r="H4440" s="14">
        <f t="shared" si="2"/>
        <v>4</v>
      </c>
      <c r="I4440" s="15">
        <f t="shared" si="3"/>
        <v>0</v>
      </c>
    </row>
    <row r="4441">
      <c r="A4441" s="8" t="str">
        <f>IFERROR(__xludf.DUMMYFUNCTION("IF('(INGESTA)Datos_consumo_datadis'!A4441&lt;&gt;"""",SPLIT('(INGESTA)Datos_consumo_datadis'!A:A,"",""),"""")"),"ES0031408323131005HX0F")</f>
        <v>ES0031408323131005HX0F</v>
      </c>
      <c r="B4441" s="12">
        <f>IFERROR(__xludf.DUMMYFUNCTION("""COMPUTED_VALUE"""),45051.0)</f>
        <v>45051</v>
      </c>
      <c r="C4441" s="13">
        <f>IFERROR(__xludf.DUMMYFUNCTION("""COMPUTED_VALUE"""),0.041666666666666664)</f>
        <v>0.04166666667</v>
      </c>
      <c r="D4441" s="8">
        <f>IFERROR(__xludf.DUMMYFUNCTION("""COMPUTED_VALUE"""),0.373)</f>
        <v>0.373</v>
      </c>
      <c r="E4441" s="8" t="str">
        <f>IFERROR(__xludf.DUMMYFUNCTION("""COMPUTED_VALUE"""),"Real")</f>
        <v>Real</v>
      </c>
      <c r="G4441" s="8">
        <f t="shared" si="1"/>
        <v>5</v>
      </c>
      <c r="H4441" s="14">
        <f t="shared" si="2"/>
        <v>5</v>
      </c>
      <c r="I4441" s="15">
        <f t="shared" si="3"/>
        <v>1</v>
      </c>
    </row>
    <row r="4442">
      <c r="A4442" s="8" t="str">
        <f>IFERROR(__xludf.DUMMYFUNCTION("IF('(INGESTA)Datos_consumo_datadis'!A4442&lt;&gt;"""",SPLIT('(INGESTA)Datos_consumo_datadis'!A:A,"",""),"""")"),"ES0031408323131005HX0F")</f>
        <v>ES0031408323131005HX0F</v>
      </c>
      <c r="B4442" s="12">
        <f>IFERROR(__xludf.DUMMYFUNCTION("""COMPUTED_VALUE"""),45051.0)</f>
        <v>45051</v>
      </c>
      <c r="C4442" s="13">
        <f>IFERROR(__xludf.DUMMYFUNCTION("""COMPUTED_VALUE"""),0.08333333333333333)</f>
        <v>0.08333333333</v>
      </c>
      <c r="D4442" s="8">
        <f>IFERROR(__xludf.DUMMYFUNCTION("""COMPUTED_VALUE"""),0.081)</f>
        <v>0.081</v>
      </c>
      <c r="E4442" s="8" t="str">
        <f>IFERROR(__xludf.DUMMYFUNCTION("""COMPUTED_VALUE"""),"Real")</f>
        <v>Real</v>
      </c>
      <c r="G4442" s="8">
        <f t="shared" si="1"/>
        <v>5</v>
      </c>
      <c r="H4442" s="14">
        <f t="shared" si="2"/>
        <v>5</v>
      </c>
      <c r="I4442" s="15">
        <f t="shared" si="3"/>
        <v>2</v>
      </c>
    </row>
    <row r="4443">
      <c r="A4443" s="8" t="str">
        <f>IFERROR(__xludf.DUMMYFUNCTION("IF('(INGESTA)Datos_consumo_datadis'!A4443&lt;&gt;"""",SPLIT('(INGESTA)Datos_consumo_datadis'!A:A,"",""),"""")"),"ES0031408323131005HX0F")</f>
        <v>ES0031408323131005HX0F</v>
      </c>
      <c r="B4443" s="12">
        <f>IFERROR(__xludf.DUMMYFUNCTION("""COMPUTED_VALUE"""),45051.0)</f>
        <v>45051</v>
      </c>
      <c r="C4443" s="13">
        <f>IFERROR(__xludf.DUMMYFUNCTION("""COMPUTED_VALUE"""),0.125)</f>
        <v>0.125</v>
      </c>
      <c r="D4443" s="8">
        <f>IFERROR(__xludf.DUMMYFUNCTION("""COMPUTED_VALUE"""),0.047)</f>
        <v>0.047</v>
      </c>
      <c r="E4443" s="8" t="str">
        <f>IFERROR(__xludf.DUMMYFUNCTION("""COMPUTED_VALUE"""),"Real")</f>
        <v>Real</v>
      </c>
      <c r="G4443" s="8">
        <f t="shared" si="1"/>
        <v>5</v>
      </c>
      <c r="H4443" s="14">
        <f t="shared" si="2"/>
        <v>5</v>
      </c>
      <c r="I4443" s="15">
        <f t="shared" si="3"/>
        <v>3</v>
      </c>
    </row>
    <row r="4444">
      <c r="A4444" s="8" t="str">
        <f>IFERROR(__xludf.DUMMYFUNCTION("IF('(INGESTA)Datos_consumo_datadis'!A4444&lt;&gt;"""",SPLIT('(INGESTA)Datos_consumo_datadis'!A:A,"",""),"""")"),"ES0031408323131005HX0F")</f>
        <v>ES0031408323131005HX0F</v>
      </c>
      <c r="B4444" s="12">
        <f>IFERROR(__xludf.DUMMYFUNCTION("""COMPUTED_VALUE"""),45051.0)</f>
        <v>45051</v>
      </c>
      <c r="C4444" s="13">
        <f>IFERROR(__xludf.DUMMYFUNCTION("""COMPUTED_VALUE"""),0.16666666666666666)</f>
        <v>0.1666666667</v>
      </c>
      <c r="D4444" s="8">
        <f>IFERROR(__xludf.DUMMYFUNCTION("""COMPUTED_VALUE"""),0.394)</f>
        <v>0.394</v>
      </c>
      <c r="E4444" s="8" t="str">
        <f>IFERROR(__xludf.DUMMYFUNCTION("""COMPUTED_VALUE"""),"Real")</f>
        <v>Real</v>
      </c>
      <c r="G4444" s="8">
        <f t="shared" si="1"/>
        <v>5</v>
      </c>
      <c r="H4444" s="14">
        <f t="shared" si="2"/>
        <v>5</v>
      </c>
      <c r="I4444" s="15">
        <f t="shared" si="3"/>
        <v>4</v>
      </c>
    </row>
    <row r="4445">
      <c r="A4445" s="8" t="str">
        <f>IFERROR(__xludf.DUMMYFUNCTION("IF('(INGESTA)Datos_consumo_datadis'!A4445&lt;&gt;"""",SPLIT('(INGESTA)Datos_consumo_datadis'!A:A,"",""),"""")"),"ES0031408323131005HX0F")</f>
        <v>ES0031408323131005HX0F</v>
      </c>
      <c r="B4445" s="12">
        <f>IFERROR(__xludf.DUMMYFUNCTION("""COMPUTED_VALUE"""),45051.0)</f>
        <v>45051</v>
      </c>
      <c r="C4445" s="13">
        <f>IFERROR(__xludf.DUMMYFUNCTION("""COMPUTED_VALUE"""),0.20833333333333334)</f>
        <v>0.2083333333</v>
      </c>
      <c r="D4445" s="8">
        <f>IFERROR(__xludf.DUMMYFUNCTION("""COMPUTED_VALUE"""),0.061)</f>
        <v>0.061</v>
      </c>
      <c r="E4445" s="8" t="str">
        <f>IFERROR(__xludf.DUMMYFUNCTION("""COMPUTED_VALUE"""),"Real")</f>
        <v>Real</v>
      </c>
      <c r="G4445" s="8">
        <f t="shared" si="1"/>
        <v>5</v>
      </c>
      <c r="H4445" s="14">
        <f t="shared" si="2"/>
        <v>5</v>
      </c>
      <c r="I4445" s="15">
        <f t="shared" si="3"/>
        <v>5</v>
      </c>
    </row>
    <row r="4446">
      <c r="A4446" s="8" t="str">
        <f>IFERROR(__xludf.DUMMYFUNCTION("IF('(INGESTA)Datos_consumo_datadis'!A4446&lt;&gt;"""",SPLIT('(INGESTA)Datos_consumo_datadis'!A:A,"",""),"""")"),"ES0031408323131005HX0F")</f>
        <v>ES0031408323131005HX0F</v>
      </c>
      <c r="B4446" s="12">
        <f>IFERROR(__xludf.DUMMYFUNCTION("""COMPUTED_VALUE"""),45051.0)</f>
        <v>45051</v>
      </c>
      <c r="C4446" s="13">
        <f>IFERROR(__xludf.DUMMYFUNCTION("""COMPUTED_VALUE"""),0.25)</f>
        <v>0.25</v>
      </c>
      <c r="D4446" s="8">
        <f>IFERROR(__xludf.DUMMYFUNCTION("""COMPUTED_VALUE"""),0.033)</f>
        <v>0.033</v>
      </c>
      <c r="E4446" s="8" t="str">
        <f>IFERROR(__xludf.DUMMYFUNCTION("""COMPUTED_VALUE"""),"Real")</f>
        <v>Real</v>
      </c>
      <c r="G4446" s="8">
        <f t="shared" si="1"/>
        <v>5</v>
      </c>
      <c r="H4446" s="14">
        <f t="shared" si="2"/>
        <v>5</v>
      </c>
      <c r="I4446" s="15">
        <f t="shared" si="3"/>
        <v>6</v>
      </c>
    </row>
    <row r="4447">
      <c r="A4447" s="8" t="str">
        <f>IFERROR(__xludf.DUMMYFUNCTION("IF('(INGESTA)Datos_consumo_datadis'!A4447&lt;&gt;"""",SPLIT('(INGESTA)Datos_consumo_datadis'!A:A,"",""),"""")"),"ES0031408323131005HX0F")</f>
        <v>ES0031408323131005HX0F</v>
      </c>
      <c r="B4447" s="12">
        <f>IFERROR(__xludf.DUMMYFUNCTION("""COMPUTED_VALUE"""),45051.0)</f>
        <v>45051</v>
      </c>
      <c r="C4447" s="13">
        <f>IFERROR(__xludf.DUMMYFUNCTION("""COMPUTED_VALUE"""),0.2916666666666667)</f>
        <v>0.2916666667</v>
      </c>
      <c r="D4447" s="8">
        <f>IFERROR(__xludf.DUMMYFUNCTION("""COMPUTED_VALUE"""),0.085)</f>
        <v>0.085</v>
      </c>
      <c r="E4447" s="8" t="str">
        <f>IFERROR(__xludf.DUMMYFUNCTION("""COMPUTED_VALUE"""),"Real")</f>
        <v>Real</v>
      </c>
      <c r="G4447" s="8">
        <f t="shared" si="1"/>
        <v>5</v>
      </c>
      <c r="H4447" s="14">
        <f t="shared" si="2"/>
        <v>5</v>
      </c>
      <c r="I4447" s="15">
        <f t="shared" si="3"/>
        <v>7</v>
      </c>
    </row>
    <row r="4448">
      <c r="A4448" s="8" t="str">
        <f>IFERROR(__xludf.DUMMYFUNCTION("IF('(INGESTA)Datos_consumo_datadis'!A4448&lt;&gt;"""",SPLIT('(INGESTA)Datos_consumo_datadis'!A:A,"",""),"""")"),"ES0031408323131005HX0F")</f>
        <v>ES0031408323131005HX0F</v>
      </c>
      <c r="B4448" s="12">
        <f>IFERROR(__xludf.DUMMYFUNCTION("""COMPUTED_VALUE"""),45051.0)</f>
        <v>45051</v>
      </c>
      <c r="C4448" s="13">
        <f>IFERROR(__xludf.DUMMYFUNCTION("""COMPUTED_VALUE"""),0.3333333333333333)</f>
        <v>0.3333333333</v>
      </c>
      <c r="D4448" s="8">
        <f>IFERROR(__xludf.DUMMYFUNCTION("""COMPUTED_VALUE"""),0.167)</f>
        <v>0.167</v>
      </c>
      <c r="E4448" s="8" t="str">
        <f>IFERROR(__xludf.DUMMYFUNCTION("""COMPUTED_VALUE"""),"Real")</f>
        <v>Real</v>
      </c>
      <c r="G4448" s="8">
        <f t="shared" si="1"/>
        <v>5</v>
      </c>
      <c r="H4448" s="14">
        <f t="shared" si="2"/>
        <v>5</v>
      </c>
      <c r="I4448" s="15">
        <f t="shared" si="3"/>
        <v>8</v>
      </c>
    </row>
    <row r="4449">
      <c r="A4449" s="8" t="str">
        <f>IFERROR(__xludf.DUMMYFUNCTION("IF('(INGESTA)Datos_consumo_datadis'!A4449&lt;&gt;"""",SPLIT('(INGESTA)Datos_consumo_datadis'!A:A,"",""),"""")"),"ES0031408323131005HX0F")</f>
        <v>ES0031408323131005HX0F</v>
      </c>
      <c r="B4449" s="12">
        <f>IFERROR(__xludf.DUMMYFUNCTION("""COMPUTED_VALUE"""),45051.0)</f>
        <v>45051</v>
      </c>
      <c r="C4449" s="13">
        <f>IFERROR(__xludf.DUMMYFUNCTION("""COMPUTED_VALUE"""),0.375)</f>
        <v>0.375</v>
      </c>
      <c r="D4449" s="8">
        <f>IFERROR(__xludf.DUMMYFUNCTION("""COMPUTED_VALUE"""),0.617)</f>
        <v>0.617</v>
      </c>
      <c r="E4449" s="8" t="str">
        <f>IFERROR(__xludf.DUMMYFUNCTION("""COMPUTED_VALUE"""),"Real")</f>
        <v>Real</v>
      </c>
      <c r="G4449" s="8">
        <f t="shared" si="1"/>
        <v>5</v>
      </c>
      <c r="H4449" s="14">
        <f t="shared" si="2"/>
        <v>5</v>
      </c>
      <c r="I4449" s="15">
        <f t="shared" si="3"/>
        <v>9</v>
      </c>
    </row>
    <row r="4450">
      <c r="A4450" s="8" t="str">
        <f>IFERROR(__xludf.DUMMYFUNCTION("IF('(INGESTA)Datos_consumo_datadis'!A4450&lt;&gt;"""",SPLIT('(INGESTA)Datos_consumo_datadis'!A:A,"",""),"""")"),"ES0031408323131005HX0F")</f>
        <v>ES0031408323131005HX0F</v>
      </c>
      <c r="B4450" s="12">
        <f>IFERROR(__xludf.DUMMYFUNCTION("""COMPUTED_VALUE"""),45051.0)</f>
        <v>45051</v>
      </c>
      <c r="C4450" s="13">
        <f>IFERROR(__xludf.DUMMYFUNCTION("""COMPUTED_VALUE"""),0.4166666666666667)</f>
        <v>0.4166666667</v>
      </c>
      <c r="D4450" s="8">
        <f>IFERROR(__xludf.DUMMYFUNCTION("""COMPUTED_VALUE"""),0.147)</f>
        <v>0.147</v>
      </c>
      <c r="E4450" s="8" t="str">
        <f>IFERROR(__xludf.DUMMYFUNCTION("""COMPUTED_VALUE"""),"Real")</f>
        <v>Real</v>
      </c>
      <c r="G4450" s="8">
        <f t="shared" si="1"/>
        <v>5</v>
      </c>
      <c r="H4450" s="14">
        <f t="shared" si="2"/>
        <v>5</v>
      </c>
      <c r="I4450" s="15">
        <f t="shared" si="3"/>
        <v>10</v>
      </c>
    </row>
    <row r="4451">
      <c r="A4451" s="8" t="str">
        <f>IFERROR(__xludf.DUMMYFUNCTION("IF('(INGESTA)Datos_consumo_datadis'!A4451&lt;&gt;"""",SPLIT('(INGESTA)Datos_consumo_datadis'!A:A,"",""),"""")"),"ES0031408323131005HX0F")</f>
        <v>ES0031408323131005HX0F</v>
      </c>
      <c r="B4451" s="12">
        <f>IFERROR(__xludf.DUMMYFUNCTION("""COMPUTED_VALUE"""),45051.0)</f>
        <v>45051</v>
      </c>
      <c r="C4451" s="13">
        <f>IFERROR(__xludf.DUMMYFUNCTION("""COMPUTED_VALUE"""),0.4583333333333333)</f>
        <v>0.4583333333</v>
      </c>
      <c r="D4451" s="8">
        <f>IFERROR(__xludf.DUMMYFUNCTION("""COMPUTED_VALUE"""),0.058)</f>
        <v>0.058</v>
      </c>
      <c r="E4451" s="8" t="str">
        <f>IFERROR(__xludf.DUMMYFUNCTION("""COMPUTED_VALUE"""),"Real")</f>
        <v>Real</v>
      </c>
      <c r="G4451" s="8">
        <f t="shared" si="1"/>
        <v>5</v>
      </c>
      <c r="H4451" s="14">
        <f t="shared" si="2"/>
        <v>5</v>
      </c>
      <c r="I4451" s="15">
        <f t="shared" si="3"/>
        <v>11</v>
      </c>
    </row>
    <row r="4452">
      <c r="A4452" s="8" t="str">
        <f>IFERROR(__xludf.DUMMYFUNCTION("IF('(INGESTA)Datos_consumo_datadis'!A4452&lt;&gt;"""",SPLIT('(INGESTA)Datos_consumo_datadis'!A:A,"",""),"""")"),"ES0031408323131005HX0F")</f>
        <v>ES0031408323131005HX0F</v>
      </c>
      <c r="B4452" s="12">
        <f>IFERROR(__xludf.DUMMYFUNCTION("""COMPUTED_VALUE"""),45051.0)</f>
        <v>45051</v>
      </c>
      <c r="C4452" s="13">
        <f>IFERROR(__xludf.DUMMYFUNCTION("""COMPUTED_VALUE"""),0.5)</f>
        <v>0.5</v>
      </c>
      <c r="D4452" s="8">
        <f>IFERROR(__xludf.DUMMYFUNCTION("""COMPUTED_VALUE"""),0.056)</f>
        <v>0.056</v>
      </c>
      <c r="E4452" s="8" t="str">
        <f>IFERROR(__xludf.DUMMYFUNCTION("""COMPUTED_VALUE"""),"Real")</f>
        <v>Real</v>
      </c>
      <c r="G4452" s="8">
        <f t="shared" si="1"/>
        <v>5</v>
      </c>
      <c r="H4452" s="14">
        <f t="shared" si="2"/>
        <v>5</v>
      </c>
      <c r="I4452" s="15">
        <f t="shared" si="3"/>
        <v>12</v>
      </c>
    </row>
    <row r="4453">
      <c r="A4453" s="8" t="str">
        <f>IFERROR(__xludf.DUMMYFUNCTION("IF('(INGESTA)Datos_consumo_datadis'!A4453&lt;&gt;"""",SPLIT('(INGESTA)Datos_consumo_datadis'!A:A,"",""),"""")"),"ES0031408323131005HX0F")</f>
        <v>ES0031408323131005HX0F</v>
      </c>
      <c r="B4453" s="12">
        <f>IFERROR(__xludf.DUMMYFUNCTION("""COMPUTED_VALUE"""),45051.0)</f>
        <v>45051</v>
      </c>
      <c r="C4453" s="13">
        <f>IFERROR(__xludf.DUMMYFUNCTION("""COMPUTED_VALUE"""),0.5416666666666666)</f>
        <v>0.5416666667</v>
      </c>
      <c r="D4453" s="8">
        <f>IFERROR(__xludf.DUMMYFUNCTION("""COMPUTED_VALUE"""),0.081)</f>
        <v>0.081</v>
      </c>
      <c r="E4453" s="8" t="str">
        <f>IFERROR(__xludf.DUMMYFUNCTION("""COMPUTED_VALUE"""),"Real")</f>
        <v>Real</v>
      </c>
      <c r="G4453" s="8">
        <f t="shared" si="1"/>
        <v>5</v>
      </c>
      <c r="H4453" s="14">
        <f t="shared" si="2"/>
        <v>5</v>
      </c>
      <c r="I4453" s="15">
        <f t="shared" si="3"/>
        <v>13</v>
      </c>
    </row>
    <row r="4454">
      <c r="A4454" s="8" t="str">
        <f>IFERROR(__xludf.DUMMYFUNCTION("IF('(INGESTA)Datos_consumo_datadis'!A4454&lt;&gt;"""",SPLIT('(INGESTA)Datos_consumo_datadis'!A:A,"",""),"""")"),"ES0031408323131005HX0F")</f>
        <v>ES0031408323131005HX0F</v>
      </c>
      <c r="B4454" s="12">
        <f>IFERROR(__xludf.DUMMYFUNCTION("""COMPUTED_VALUE"""),45051.0)</f>
        <v>45051</v>
      </c>
      <c r="C4454" s="13">
        <f>IFERROR(__xludf.DUMMYFUNCTION("""COMPUTED_VALUE"""),0.5833333333333334)</f>
        <v>0.5833333333</v>
      </c>
      <c r="D4454" s="8">
        <f>IFERROR(__xludf.DUMMYFUNCTION("""COMPUTED_VALUE"""),0.046)</f>
        <v>0.046</v>
      </c>
      <c r="E4454" s="8" t="str">
        <f>IFERROR(__xludf.DUMMYFUNCTION("""COMPUTED_VALUE"""),"Real")</f>
        <v>Real</v>
      </c>
      <c r="G4454" s="8">
        <f t="shared" si="1"/>
        <v>5</v>
      </c>
      <c r="H4454" s="14">
        <f t="shared" si="2"/>
        <v>5</v>
      </c>
      <c r="I4454" s="15">
        <f t="shared" si="3"/>
        <v>14</v>
      </c>
    </row>
    <row r="4455">
      <c r="A4455" s="8" t="str">
        <f>IFERROR(__xludf.DUMMYFUNCTION("IF('(INGESTA)Datos_consumo_datadis'!A4455&lt;&gt;"""",SPLIT('(INGESTA)Datos_consumo_datadis'!A:A,"",""),"""")"),"ES0031408323131005HX0F")</f>
        <v>ES0031408323131005HX0F</v>
      </c>
      <c r="B4455" s="12">
        <f>IFERROR(__xludf.DUMMYFUNCTION("""COMPUTED_VALUE"""),45051.0)</f>
        <v>45051</v>
      </c>
      <c r="C4455" s="13">
        <f>IFERROR(__xludf.DUMMYFUNCTION("""COMPUTED_VALUE"""),0.625)</f>
        <v>0.625</v>
      </c>
      <c r="D4455" s="8">
        <f>IFERROR(__xludf.DUMMYFUNCTION("""COMPUTED_VALUE"""),0.314)</f>
        <v>0.314</v>
      </c>
      <c r="E4455" s="8" t="str">
        <f>IFERROR(__xludf.DUMMYFUNCTION("""COMPUTED_VALUE"""),"Real")</f>
        <v>Real</v>
      </c>
      <c r="G4455" s="8">
        <f t="shared" si="1"/>
        <v>5</v>
      </c>
      <c r="H4455" s="14">
        <f t="shared" si="2"/>
        <v>5</v>
      </c>
      <c r="I4455" s="15">
        <f t="shared" si="3"/>
        <v>15</v>
      </c>
    </row>
    <row r="4456">
      <c r="A4456" s="8" t="str">
        <f>IFERROR(__xludf.DUMMYFUNCTION("IF('(INGESTA)Datos_consumo_datadis'!A4456&lt;&gt;"""",SPLIT('(INGESTA)Datos_consumo_datadis'!A:A,"",""),"""")"),"ES0031408323131005HX0F")</f>
        <v>ES0031408323131005HX0F</v>
      </c>
      <c r="B4456" s="12">
        <f>IFERROR(__xludf.DUMMYFUNCTION("""COMPUTED_VALUE"""),45051.0)</f>
        <v>45051</v>
      </c>
      <c r="C4456" s="13">
        <f>IFERROR(__xludf.DUMMYFUNCTION("""COMPUTED_VALUE"""),0.6666666666666666)</f>
        <v>0.6666666667</v>
      </c>
      <c r="D4456" s="8">
        <f>IFERROR(__xludf.DUMMYFUNCTION("""COMPUTED_VALUE"""),0.091)</f>
        <v>0.091</v>
      </c>
      <c r="E4456" s="8" t="str">
        <f>IFERROR(__xludf.DUMMYFUNCTION("""COMPUTED_VALUE"""),"Real")</f>
        <v>Real</v>
      </c>
      <c r="G4456" s="8">
        <f t="shared" si="1"/>
        <v>5</v>
      </c>
      <c r="H4456" s="14">
        <f t="shared" si="2"/>
        <v>5</v>
      </c>
      <c r="I4456" s="15">
        <f t="shared" si="3"/>
        <v>16</v>
      </c>
    </row>
    <row r="4457">
      <c r="A4457" s="8" t="str">
        <f>IFERROR(__xludf.DUMMYFUNCTION("IF('(INGESTA)Datos_consumo_datadis'!A4457&lt;&gt;"""",SPLIT('(INGESTA)Datos_consumo_datadis'!A:A,"",""),"""")"),"ES0031408323131005HX0F")</f>
        <v>ES0031408323131005HX0F</v>
      </c>
      <c r="B4457" s="12">
        <f>IFERROR(__xludf.DUMMYFUNCTION("""COMPUTED_VALUE"""),45051.0)</f>
        <v>45051</v>
      </c>
      <c r="C4457" s="13">
        <f>IFERROR(__xludf.DUMMYFUNCTION("""COMPUTED_VALUE"""),0.7083333333333334)</f>
        <v>0.7083333333</v>
      </c>
      <c r="D4457" s="8">
        <f>IFERROR(__xludf.DUMMYFUNCTION("""COMPUTED_VALUE"""),0.112)</f>
        <v>0.112</v>
      </c>
      <c r="E4457" s="8" t="str">
        <f>IFERROR(__xludf.DUMMYFUNCTION("""COMPUTED_VALUE"""),"Real")</f>
        <v>Real</v>
      </c>
      <c r="G4457" s="8">
        <f t="shared" si="1"/>
        <v>5</v>
      </c>
      <c r="H4457" s="14">
        <f t="shared" si="2"/>
        <v>5</v>
      </c>
      <c r="I4457" s="15">
        <f t="shared" si="3"/>
        <v>17</v>
      </c>
    </row>
    <row r="4458">
      <c r="A4458" s="8" t="str">
        <f>IFERROR(__xludf.DUMMYFUNCTION("IF('(INGESTA)Datos_consumo_datadis'!A4458&lt;&gt;"""",SPLIT('(INGESTA)Datos_consumo_datadis'!A:A,"",""),"""")"),"ES0031408323131005HX0F")</f>
        <v>ES0031408323131005HX0F</v>
      </c>
      <c r="B4458" s="12">
        <f>IFERROR(__xludf.DUMMYFUNCTION("""COMPUTED_VALUE"""),45051.0)</f>
        <v>45051</v>
      </c>
      <c r="C4458" s="13">
        <f>IFERROR(__xludf.DUMMYFUNCTION("""COMPUTED_VALUE"""),0.75)</f>
        <v>0.75</v>
      </c>
      <c r="D4458" s="8">
        <f>IFERROR(__xludf.DUMMYFUNCTION("""COMPUTED_VALUE"""),0.057)</f>
        <v>0.057</v>
      </c>
      <c r="E4458" s="8" t="str">
        <f>IFERROR(__xludf.DUMMYFUNCTION("""COMPUTED_VALUE"""),"Real")</f>
        <v>Real</v>
      </c>
      <c r="G4458" s="8">
        <f t="shared" si="1"/>
        <v>5</v>
      </c>
      <c r="H4458" s="14">
        <f t="shared" si="2"/>
        <v>5</v>
      </c>
      <c r="I4458" s="15">
        <f t="shared" si="3"/>
        <v>18</v>
      </c>
    </row>
    <row r="4459">
      <c r="A4459" s="8" t="str">
        <f>IFERROR(__xludf.DUMMYFUNCTION("IF('(INGESTA)Datos_consumo_datadis'!A4459&lt;&gt;"""",SPLIT('(INGESTA)Datos_consumo_datadis'!A:A,"",""),"""")"),"ES0031408323131005HX0F")</f>
        <v>ES0031408323131005HX0F</v>
      </c>
      <c r="B4459" s="12">
        <f>IFERROR(__xludf.DUMMYFUNCTION("""COMPUTED_VALUE"""),45051.0)</f>
        <v>45051</v>
      </c>
      <c r="C4459" s="13">
        <f>IFERROR(__xludf.DUMMYFUNCTION("""COMPUTED_VALUE"""),0.7916666666666666)</f>
        <v>0.7916666667</v>
      </c>
      <c r="D4459" s="8">
        <f>IFERROR(__xludf.DUMMYFUNCTION("""COMPUTED_VALUE"""),1.319)</f>
        <v>1.319</v>
      </c>
      <c r="E4459" s="8" t="str">
        <f>IFERROR(__xludf.DUMMYFUNCTION("""COMPUTED_VALUE"""),"Real")</f>
        <v>Real</v>
      </c>
      <c r="G4459" s="8">
        <f t="shared" si="1"/>
        <v>5</v>
      </c>
      <c r="H4459" s="14">
        <f t="shared" si="2"/>
        <v>5</v>
      </c>
      <c r="I4459" s="15">
        <f t="shared" si="3"/>
        <v>19</v>
      </c>
    </row>
    <row r="4460">
      <c r="A4460" s="8" t="str">
        <f>IFERROR(__xludf.DUMMYFUNCTION("IF('(INGESTA)Datos_consumo_datadis'!A4460&lt;&gt;"""",SPLIT('(INGESTA)Datos_consumo_datadis'!A:A,"",""),"""")"),"ES0031408323131005HX0F")</f>
        <v>ES0031408323131005HX0F</v>
      </c>
      <c r="B4460" s="12">
        <f>IFERROR(__xludf.DUMMYFUNCTION("""COMPUTED_VALUE"""),45051.0)</f>
        <v>45051</v>
      </c>
      <c r="C4460" s="13">
        <f>IFERROR(__xludf.DUMMYFUNCTION("""COMPUTED_VALUE"""),0.8333333333333334)</f>
        <v>0.8333333333</v>
      </c>
      <c r="D4460" s="8">
        <f>IFERROR(__xludf.DUMMYFUNCTION("""COMPUTED_VALUE"""),0.311)</f>
        <v>0.311</v>
      </c>
      <c r="E4460" s="8" t="str">
        <f>IFERROR(__xludf.DUMMYFUNCTION("""COMPUTED_VALUE"""),"Real")</f>
        <v>Real</v>
      </c>
      <c r="G4460" s="8">
        <f t="shared" si="1"/>
        <v>5</v>
      </c>
      <c r="H4460" s="14">
        <f t="shared" si="2"/>
        <v>5</v>
      </c>
      <c r="I4460" s="15">
        <f t="shared" si="3"/>
        <v>20</v>
      </c>
    </row>
    <row r="4461">
      <c r="A4461" s="8" t="str">
        <f>IFERROR(__xludf.DUMMYFUNCTION("IF('(INGESTA)Datos_consumo_datadis'!A4461&lt;&gt;"""",SPLIT('(INGESTA)Datos_consumo_datadis'!A:A,"",""),"""")"),"ES0031408323131005HX0F")</f>
        <v>ES0031408323131005HX0F</v>
      </c>
      <c r="B4461" s="12">
        <f>IFERROR(__xludf.DUMMYFUNCTION("""COMPUTED_VALUE"""),45051.0)</f>
        <v>45051</v>
      </c>
      <c r="C4461" s="13">
        <f>IFERROR(__xludf.DUMMYFUNCTION("""COMPUTED_VALUE"""),0.875)</f>
        <v>0.875</v>
      </c>
      <c r="D4461" s="8">
        <f>IFERROR(__xludf.DUMMYFUNCTION("""COMPUTED_VALUE"""),0.141)</f>
        <v>0.141</v>
      </c>
      <c r="E4461" s="8" t="str">
        <f>IFERROR(__xludf.DUMMYFUNCTION("""COMPUTED_VALUE"""),"Real")</f>
        <v>Real</v>
      </c>
      <c r="G4461" s="8">
        <f t="shared" si="1"/>
        <v>5</v>
      </c>
      <c r="H4461" s="14">
        <f t="shared" si="2"/>
        <v>5</v>
      </c>
      <c r="I4461" s="15">
        <f t="shared" si="3"/>
        <v>21</v>
      </c>
    </row>
    <row r="4462">
      <c r="A4462" s="8" t="str">
        <f>IFERROR(__xludf.DUMMYFUNCTION("IF('(INGESTA)Datos_consumo_datadis'!A4462&lt;&gt;"""",SPLIT('(INGESTA)Datos_consumo_datadis'!A:A,"",""),"""")"),"ES0031408323131005HX0F")</f>
        <v>ES0031408323131005HX0F</v>
      </c>
      <c r="B4462" s="12">
        <f>IFERROR(__xludf.DUMMYFUNCTION("""COMPUTED_VALUE"""),45051.0)</f>
        <v>45051</v>
      </c>
      <c r="C4462" s="13">
        <f>IFERROR(__xludf.DUMMYFUNCTION("""COMPUTED_VALUE"""),0.9166666666666666)</f>
        <v>0.9166666667</v>
      </c>
      <c r="D4462" s="8">
        <f>IFERROR(__xludf.DUMMYFUNCTION("""COMPUTED_VALUE"""),0.805)</f>
        <v>0.805</v>
      </c>
      <c r="E4462" s="8" t="str">
        <f>IFERROR(__xludf.DUMMYFUNCTION("""COMPUTED_VALUE"""),"Real")</f>
        <v>Real</v>
      </c>
      <c r="G4462" s="8">
        <f t="shared" si="1"/>
        <v>5</v>
      </c>
      <c r="H4462" s="14">
        <f t="shared" si="2"/>
        <v>5</v>
      </c>
      <c r="I4462" s="15">
        <f t="shared" si="3"/>
        <v>22</v>
      </c>
    </row>
    <row r="4463">
      <c r="A4463" s="8" t="str">
        <f>IFERROR(__xludf.DUMMYFUNCTION("IF('(INGESTA)Datos_consumo_datadis'!A4463&lt;&gt;"""",SPLIT('(INGESTA)Datos_consumo_datadis'!A:A,"",""),"""")"),"ES0031408323131005HX0F")</f>
        <v>ES0031408323131005HX0F</v>
      </c>
      <c r="B4463" s="12">
        <f>IFERROR(__xludf.DUMMYFUNCTION("""COMPUTED_VALUE"""),45051.0)</f>
        <v>45051</v>
      </c>
      <c r="C4463" s="13">
        <f>IFERROR(__xludf.DUMMYFUNCTION("""COMPUTED_VALUE"""),0.9583333333333334)</f>
        <v>0.9583333333</v>
      </c>
      <c r="D4463" s="8">
        <f>IFERROR(__xludf.DUMMYFUNCTION("""COMPUTED_VALUE"""),0.93)</f>
        <v>0.93</v>
      </c>
      <c r="E4463" s="8" t="str">
        <f>IFERROR(__xludf.DUMMYFUNCTION("""COMPUTED_VALUE"""),"Real")</f>
        <v>Real</v>
      </c>
      <c r="G4463" s="8">
        <f t="shared" si="1"/>
        <v>5</v>
      </c>
      <c r="H4463" s="14">
        <f t="shared" si="2"/>
        <v>5</v>
      </c>
      <c r="I4463" s="15">
        <f t="shared" si="3"/>
        <v>23</v>
      </c>
    </row>
    <row r="4464">
      <c r="A4464" s="8" t="str">
        <f>IFERROR(__xludf.DUMMYFUNCTION("IF('(INGESTA)Datos_consumo_datadis'!A4464&lt;&gt;"""",SPLIT('(INGESTA)Datos_consumo_datadis'!A:A,"",""),"""")"),"ES0031408323131005HX0F")</f>
        <v>ES0031408323131005HX0F</v>
      </c>
      <c r="B4464" s="12">
        <f>IFERROR(__xludf.DUMMYFUNCTION("""COMPUTED_VALUE"""),45051.0)</f>
        <v>45051</v>
      </c>
      <c r="C4464" s="16">
        <f>IFERROR(__xludf.DUMMYFUNCTION("""COMPUTED_VALUE"""),1.0)</f>
        <v>1</v>
      </c>
      <c r="D4464" s="8">
        <f>IFERROR(__xludf.DUMMYFUNCTION("""COMPUTED_VALUE"""),0.145)</f>
        <v>0.145</v>
      </c>
      <c r="E4464" s="8" t="str">
        <f>IFERROR(__xludf.DUMMYFUNCTION("""COMPUTED_VALUE"""),"Real")</f>
        <v>Real</v>
      </c>
      <c r="G4464" s="8">
        <f t="shared" si="1"/>
        <v>5</v>
      </c>
      <c r="H4464" s="14">
        <f t="shared" si="2"/>
        <v>5</v>
      </c>
      <c r="I4464" s="15">
        <f t="shared" si="3"/>
        <v>0</v>
      </c>
    </row>
    <row r="4465">
      <c r="A4465" s="8" t="str">
        <f>IFERROR(__xludf.DUMMYFUNCTION("IF('(INGESTA)Datos_consumo_datadis'!A4465&lt;&gt;"""",SPLIT('(INGESTA)Datos_consumo_datadis'!A:A,"",""),"""")"),"ES0031408323131005HX0F")</f>
        <v>ES0031408323131005HX0F</v>
      </c>
      <c r="B4465" s="12">
        <f>IFERROR(__xludf.DUMMYFUNCTION("""COMPUTED_VALUE"""),45052.0)</f>
        <v>45052</v>
      </c>
      <c r="C4465" s="13">
        <f>IFERROR(__xludf.DUMMYFUNCTION("""COMPUTED_VALUE"""),0.041666666666666664)</f>
        <v>0.04166666667</v>
      </c>
      <c r="D4465" s="8">
        <f>IFERROR(__xludf.DUMMYFUNCTION("""COMPUTED_VALUE"""),0.115)</f>
        <v>0.115</v>
      </c>
      <c r="E4465" s="8" t="str">
        <f>IFERROR(__xludf.DUMMYFUNCTION("""COMPUTED_VALUE"""),"Real")</f>
        <v>Real</v>
      </c>
      <c r="G4465" s="8">
        <f t="shared" si="1"/>
        <v>5</v>
      </c>
      <c r="H4465" s="14">
        <f t="shared" si="2"/>
        <v>6</v>
      </c>
      <c r="I4465" s="15">
        <f t="shared" si="3"/>
        <v>1</v>
      </c>
    </row>
    <row r="4466">
      <c r="A4466" s="8" t="str">
        <f>IFERROR(__xludf.DUMMYFUNCTION("IF('(INGESTA)Datos_consumo_datadis'!A4466&lt;&gt;"""",SPLIT('(INGESTA)Datos_consumo_datadis'!A:A,"",""),"""")"),"ES0031408323131005HX0F")</f>
        <v>ES0031408323131005HX0F</v>
      </c>
      <c r="B4466" s="12">
        <f>IFERROR(__xludf.DUMMYFUNCTION("""COMPUTED_VALUE"""),45052.0)</f>
        <v>45052</v>
      </c>
      <c r="C4466" s="13">
        <f>IFERROR(__xludf.DUMMYFUNCTION("""COMPUTED_VALUE"""),0.08333333333333333)</f>
        <v>0.08333333333</v>
      </c>
      <c r="D4466" s="8">
        <f>IFERROR(__xludf.DUMMYFUNCTION("""COMPUTED_VALUE"""),0.061)</f>
        <v>0.061</v>
      </c>
      <c r="E4466" s="8" t="str">
        <f>IFERROR(__xludf.DUMMYFUNCTION("""COMPUTED_VALUE"""),"Real")</f>
        <v>Real</v>
      </c>
      <c r="G4466" s="8">
        <f t="shared" si="1"/>
        <v>5</v>
      </c>
      <c r="H4466" s="14">
        <f t="shared" si="2"/>
        <v>6</v>
      </c>
      <c r="I4466" s="15">
        <f t="shared" si="3"/>
        <v>2</v>
      </c>
    </row>
    <row r="4467">
      <c r="A4467" s="8" t="str">
        <f>IFERROR(__xludf.DUMMYFUNCTION("IF('(INGESTA)Datos_consumo_datadis'!A4467&lt;&gt;"""",SPLIT('(INGESTA)Datos_consumo_datadis'!A:A,"",""),"""")"),"ES0031408323131005HX0F")</f>
        <v>ES0031408323131005HX0F</v>
      </c>
      <c r="B4467" s="12">
        <f>IFERROR(__xludf.DUMMYFUNCTION("""COMPUTED_VALUE"""),45052.0)</f>
        <v>45052</v>
      </c>
      <c r="C4467" s="13">
        <f>IFERROR(__xludf.DUMMYFUNCTION("""COMPUTED_VALUE"""),0.125)</f>
        <v>0.125</v>
      </c>
      <c r="D4467" s="8">
        <f>IFERROR(__xludf.DUMMYFUNCTION("""COMPUTED_VALUE"""),0.038)</f>
        <v>0.038</v>
      </c>
      <c r="E4467" s="8" t="str">
        <f>IFERROR(__xludf.DUMMYFUNCTION("""COMPUTED_VALUE"""),"Real")</f>
        <v>Real</v>
      </c>
      <c r="G4467" s="8">
        <f t="shared" si="1"/>
        <v>5</v>
      </c>
      <c r="H4467" s="14">
        <f t="shared" si="2"/>
        <v>6</v>
      </c>
      <c r="I4467" s="15">
        <f t="shared" si="3"/>
        <v>3</v>
      </c>
    </row>
    <row r="4468">
      <c r="A4468" s="8" t="str">
        <f>IFERROR(__xludf.DUMMYFUNCTION("IF('(INGESTA)Datos_consumo_datadis'!A4468&lt;&gt;"""",SPLIT('(INGESTA)Datos_consumo_datadis'!A:A,"",""),"""")"),"ES0031408323131005HX0F")</f>
        <v>ES0031408323131005HX0F</v>
      </c>
      <c r="B4468" s="12">
        <f>IFERROR(__xludf.DUMMYFUNCTION("""COMPUTED_VALUE"""),45052.0)</f>
        <v>45052</v>
      </c>
      <c r="C4468" s="13">
        <f>IFERROR(__xludf.DUMMYFUNCTION("""COMPUTED_VALUE"""),0.16666666666666666)</f>
        <v>0.1666666667</v>
      </c>
      <c r="D4468" s="8">
        <f>IFERROR(__xludf.DUMMYFUNCTION("""COMPUTED_VALUE"""),0.106)</f>
        <v>0.106</v>
      </c>
      <c r="E4468" s="8" t="str">
        <f>IFERROR(__xludf.DUMMYFUNCTION("""COMPUTED_VALUE"""),"Real")</f>
        <v>Real</v>
      </c>
      <c r="G4468" s="8">
        <f t="shared" si="1"/>
        <v>5</v>
      </c>
      <c r="H4468" s="14">
        <f t="shared" si="2"/>
        <v>6</v>
      </c>
      <c r="I4468" s="15">
        <f t="shared" si="3"/>
        <v>4</v>
      </c>
    </row>
    <row r="4469">
      <c r="A4469" s="8" t="str">
        <f>IFERROR(__xludf.DUMMYFUNCTION("IF('(INGESTA)Datos_consumo_datadis'!A4469&lt;&gt;"""",SPLIT('(INGESTA)Datos_consumo_datadis'!A:A,"",""),"""")"),"ES0031408323131005HX0F")</f>
        <v>ES0031408323131005HX0F</v>
      </c>
      <c r="B4469" s="12">
        <f>IFERROR(__xludf.DUMMYFUNCTION("""COMPUTED_VALUE"""),45052.0)</f>
        <v>45052</v>
      </c>
      <c r="C4469" s="13">
        <f>IFERROR(__xludf.DUMMYFUNCTION("""COMPUTED_VALUE"""),0.20833333333333334)</f>
        <v>0.2083333333</v>
      </c>
      <c r="D4469" s="8">
        <f>IFERROR(__xludf.DUMMYFUNCTION("""COMPUTED_VALUE"""),0.133)</f>
        <v>0.133</v>
      </c>
      <c r="E4469" s="8" t="str">
        <f>IFERROR(__xludf.DUMMYFUNCTION("""COMPUTED_VALUE"""),"Real")</f>
        <v>Real</v>
      </c>
      <c r="G4469" s="8">
        <f t="shared" si="1"/>
        <v>5</v>
      </c>
      <c r="H4469" s="14">
        <f t="shared" si="2"/>
        <v>6</v>
      </c>
      <c r="I4469" s="15">
        <f t="shared" si="3"/>
        <v>5</v>
      </c>
    </row>
    <row r="4470">
      <c r="A4470" s="8" t="str">
        <f>IFERROR(__xludf.DUMMYFUNCTION("IF('(INGESTA)Datos_consumo_datadis'!A4470&lt;&gt;"""",SPLIT('(INGESTA)Datos_consumo_datadis'!A:A,"",""),"""")"),"ES0031408323131005HX0F")</f>
        <v>ES0031408323131005HX0F</v>
      </c>
      <c r="B4470" s="12">
        <f>IFERROR(__xludf.DUMMYFUNCTION("""COMPUTED_VALUE"""),45052.0)</f>
        <v>45052</v>
      </c>
      <c r="C4470" s="13">
        <f>IFERROR(__xludf.DUMMYFUNCTION("""COMPUTED_VALUE"""),0.25)</f>
        <v>0.25</v>
      </c>
      <c r="D4470" s="8">
        <f>IFERROR(__xludf.DUMMYFUNCTION("""COMPUTED_VALUE"""),0.228)</f>
        <v>0.228</v>
      </c>
      <c r="E4470" s="8" t="str">
        <f>IFERROR(__xludf.DUMMYFUNCTION("""COMPUTED_VALUE"""),"Real")</f>
        <v>Real</v>
      </c>
      <c r="G4470" s="8">
        <f t="shared" si="1"/>
        <v>5</v>
      </c>
      <c r="H4470" s="14">
        <f t="shared" si="2"/>
        <v>6</v>
      </c>
      <c r="I4470" s="15">
        <f t="shared" si="3"/>
        <v>6</v>
      </c>
    </row>
    <row r="4471">
      <c r="A4471" s="8" t="str">
        <f>IFERROR(__xludf.DUMMYFUNCTION("IF('(INGESTA)Datos_consumo_datadis'!A4471&lt;&gt;"""",SPLIT('(INGESTA)Datos_consumo_datadis'!A:A,"",""),"""")"),"ES0031408323131005HX0F")</f>
        <v>ES0031408323131005HX0F</v>
      </c>
      <c r="B4471" s="12">
        <f>IFERROR(__xludf.DUMMYFUNCTION("""COMPUTED_VALUE"""),45052.0)</f>
        <v>45052</v>
      </c>
      <c r="C4471" s="13">
        <f>IFERROR(__xludf.DUMMYFUNCTION("""COMPUTED_VALUE"""),0.2916666666666667)</f>
        <v>0.2916666667</v>
      </c>
      <c r="D4471" s="8">
        <f>IFERROR(__xludf.DUMMYFUNCTION("""COMPUTED_VALUE"""),0.227)</f>
        <v>0.227</v>
      </c>
      <c r="E4471" s="8" t="str">
        <f>IFERROR(__xludf.DUMMYFUNCTION("""COMPUTED_VALUE"""),"Real")</f>
        <v>Real</v>
      </c>
      <c r="G4471" s="8">
        <f t="shared" si="1"/>
        <v>5</v>
      </c>
      <c r="H4471" s="14">
        <f t="shared" si="2"/>
        <v>6</v>
      </c>
      <c r="I4471" s="15">
        <f t="shared" si="3"/>
        <v>7</v>
      </c>
    </row>
    <row r="4472">
      <c r="A4472" s="8" t="str">
        <f>IFERROR(__xludf.DUMMYFUNCTION("IF('(INGESTA)Datos_consumo_datadis'!A4472&lt;&gt;"""",SPLIT('(INGESTA)Datos_consumo_datadis'!A:A,"",""),"""")"),"ES0031408323131005HX0F")</f>
        <v>ES0031408323131005HX0F</v>
      </c>
      <c r="B4472" s="12">
        <f>IFERROR(__xludf.DUMMYFUNCTION("""COMPUTED_VALUE"""),45052.0)</f>
        <v>45052</v>
      </c>
      <c r="C4472" s="13">
        <f>IFERROR(__xludf.DUMMYFUNCTION("""COMPUTED_VALUE"""),0.3333333333333333)</f>
        <v>0.3333333333</v>
      </c>
      <c r="D4472" s="8">
        <f>IFERROR(__xludf.DUMMYFUNCTION("""COMPUTED_VALUE"""),0.291)</f>
        <v>0.291</v>
      </c>
      <c r="E4472" s="8" t="str">
        <f>IFERROR(__xludf.DUMMYFUNCTION("""COMPUTED_VALUE"""),"Real")</f>
        <v>Real</v>
      </c>
      <c r="G4472" s="8">
        <f t="shared" si="1"/>
        <v>5</v>
      </c>
      <c r="H4472" s="14">
        <f t="shared" si="2"/>
        <v>6</v>
      </c>
      <c r="I4472" s="15">
        <f t="shared" si="3"/>
        <v>8</v>
      </c>
    </row>
    <row r="4473">
      <c r="A4473" s="8" t="str">
        <f>IFERROR(__xludf.DUMMYFUNCTION("IF('(INGESTA)Datos_consumo_datadis'!A4473&lt;&gt;"""",SPLIT('(INGESTA)Datos_consumo_datadis'!A:A,"",""),"""")"),"ES0031408323131005HX0F")</f>
        <v>ES0031408323131005HX0F</v>
      </c>
      <c r="B4473" s="12">
        <f>IFERROR(__xludf.DUMMYFUNCTION("""COMPUTED_VALUE"""),45052.0)</f>
        <v>45052</v>
      </c>
      <c r="C4473" s="13">
        <f>IFERROR(__xludf.DUMMYFUNCTION("""COMPUTED_VALUE"""),0.375)</f>
        <v>0.375</v>
      </c>
      <c r="D4473" s="8">
        <f>IFERROR(__xludf.DUMMYFUNCTION("""COMPUTED_VALUE"""),0.021)</f>
        <v>0.021</v>
      </c>
      <c r="E4473" s="8" t="str">
        <f>IFERROR(__xludf.DUMMYFUNCTION("""COMPUTED_VALUE"""),"Real")</f>
        <v>Real</v>
      </c>
      <c r="G4473" s="8">
        <f t="shared" si="1"/>
        <v>5</v>
      </c>
      <c r="H4473" s="14">
        <f t="shared" si="2"/>
        <v>6</v>
      </c>
      <c r="I4473" s="15">
        <f t="shared" si="3"/>
        <v>9</v>
      </c>
    </row>
    <row r="4474">
      <c r="A4474" s="8" t="str">
        <f>IFERROR(__xludf.DUMMYFUNCTION("IF('(INGESTA)Datos_consumo_datadis'!A4474&lt;&gt;"""",SPLIT('(INGESTA)Datos_consumo_datadis'!A:A,"",""),"""")"),"ES0031408323131005HX0F")</f>
        <v>ES0031408323131005HX0F</v>
      </c>
      <c r="B4474" s="12">
        <f>IFERROR(__xludf.DUMMYFUNCTION("""COMPUTED_VALUE"""),45052.0)</f>
        <v>45052</v>
      </c>
      <c r="C4474" s="13">
        <f>IFERROR(__xludf.DUMMYFUNCTION("""COMPUTED_VALUE"""),0.4166666666666667)</f>
        <v>0.4166666667</v>
      </c>
      <c r="D4474" s="8">
        <f>IFERROR(__xludf.DUMMYFUNCTION("""COMPUTED_VALUE"""),0.099)</f>
        <v>0.099</v>
      </c>
      <c r="E4474" s="8" t="str">
        <f>IFERROR(__xludf.DUMMYFUNCTION("""COMPUTED_VALUE"""),"Real")</f>
        <v>Real</v>
      </c>
      <c r="G4474" s="8">
        <f t="shared" si="1"/>
        <v>5</v>
      </c>
      <c r="H4474" s="14">
        <f t="shared" si="2"/>
        <v>6</v>
      </c>
      <c r="I4474" s="15">
        <f t="shared" si="3"/>
        <v>10</v>
      </c>
    </row>
    <row r="4475">
      <c r="A4475" s="8" t="str">
        <f>IFERROR(__xludf.DUMMYFUNCTION("IF('(INGESTA)Datos_consumo_datadis'!A4475&lt;&gt;"""",SPLIT('(INGESTA)Datos_consumo_datadis'!A:A,"",""),"""")"),"ES0031408323131005HX0F")</f>
        <v>ES0031408323131005HX0F</v>
      </c>
      <c r="B4475" s="12">
        <f>IFERROR(__xludf.DUMMYFUNCTION("""COMPUTED_VALUE"""),45052.0)</f>
        <v>45052</v>
      </c>
      <c r="C4475" s="13">
        <f>IFERROR(__xludf.DUMMYFUNCTION("""COMPUTED_VALUE"""),0.4583333333333333)</f>
        <v>0.4583333333</v>
      </c>
      <c r="D4475" s="8">
        <f>IFERROR(__xludf.DUMMYFUNCTION("""COMPUTED_VALUE"""),0.054)</f>
        <v>0.054</v>
      </c>
      <c r="E4475" s="8" t="str">
        <f>IFERROR(__xludf.DUMMYFUNCTION("""COMPUTED_VALUE"""),"Real")</f>
        <v>Real</v>
      </c>
      <c r="G4475" s="8">
        <f t="shared" si="1"/>
        <v>5</v>
      </c>
      <c r="H4475" s="14">
        <f t="shared" si="2"/>
        <v>6</v>
      </c>
      <c r="I4475" s="15">
        <f t="shared" si="3"/>
        <v>11</v>
      </c>
    </row>
    <row r="4476">
      <c r="A4476" s="8" t="str">
        <f>IFERROR(__xludf.DUMMYFUNCTION("IF('(INGESTA)Datos_consumo_datadis'!A4476&lt;&gt;"""",SPLIT('(INGESTA)Datos_consumo_datadis'!A:A,"",""),"""")"),"ES0031408323131005HX0F")</f>
        <v>ES0031408323131005HX0F</v>
      </c>
      <c r="B4476" s="12">
        <f>IFERROR(__xludf.DUMMYFUNCTION("""COMPUTED_VALUE"""),45052.0)</f>
        <v>45052</v>
      </c>
      <c r="C4476" s="13">
        <f>IFERROR(__xludf.DUMMYFUNCTION("""COMPUTED_VALUE"""),0.5)</f>
        <v>0.5</v>
      </c>
      <c r="D4476" s="8">
        <f>IFERROR(__xludf.DUMMYFUNCTION("""COMPUTED_VALUE"""),0.037)</f>
        <v>0.037</v>
      </c>
      <c r="E4476" s="8" t="str">
        <f>IFERROR(__xludf.DUMMYFUNCTION("""COMPUTED_VALUE"""),"Real")</f>
        <v>Real</v>
      </c>
      <c r="G4476" s="8">
        <f t="shared" si="1"/>
        <v>5</v>
      </c>
      <c r="H4476" s="14">
        <f t="shared" si="2"/>
        <v>6</v>
      </c>
      <c r="I4476" s="15">
        <f t="shared" si="3"/>
        <v>12</v>
      </c>
    </row>
    <row r="4477">
      <c r="A4477" s="8" t="str">
        <f>IFERROR(__xludf.DUMMYFUNCTION("IF('(INGESTA)Datos_consumo_datadis'!A4477&lt;&gt;"""",SPLIT('(INGESTA)Datos_consumo_datadis'!A:A,"",""),"""")"),"ES0031408323131005HX0F")</f>
        <v>ES0031408323131005HX0F</v>
      </c>
      <c r="B4477" s="12">
        <f>IFERROR(__xludf.DUMMYFUNCTION("""COMPUTED_VALUE"""),45052.0)</f>
        <v>45052</v>
      </c>
      <c r="C4477" s="13">
        <f>IFERROR(__xludf.DUMMYFUNCTION("""COMPUTED_VALUE"""),0.5416666666666666)</f>
        <v>0.5416666667</v>
      </c>
      <c r="D4477" s="8">
        <f>IFERROR(__xludf.DUMMYFUNCTION("""COMPUTED_VALUE"""),0.084)</f>
        <v>0.084</v>
      </c>
      <c r="E4477" s="8" t="str">
        <f>IFERROR(__xludf.DUMMYFUNCTION("""COMPUTED_VALUE"""),"Real")</f>
        <v>Real</v>
      </c>
      <c r="G4477" s="8">
        <f t="shared" si="1"/>
        <v>5</v>
      </c>
      <c r="H4477" s="14">
        <f t="shared" si="2"/>
        <v>6</v>
      </c>
      <c r="I4477" s="15">
        <f t="shared" si="3"/>
        <v>13</v>
      </c>
    </row>
    <row r="4478">
      <c r="A4478" s="8" t="str">
        <f>IFERROR(__xludf.DUMMYFUNCTION("IF('(INGESTA)Datos_consumo_datadis'!A4478&lt;&gt;"""",SPLIT('(INGESTA)Datos_consumo_datadis'!A:A,"",""),"""")"),"ES0031408323131005HX0F")</f>
        <v>ES0031408323131005HX0F</v>
      </c>
      <c r="B4478" s="12">
        <f>IFERROR(__xludf.DUMMYFUNCTION("""COMPUTED_VALUE"""),45052.0)</f>
        <v>45052</v>
      </c>
      <c r="C4478" s="13">
        <f>IFERROR(__xludf.DUMMYFUNCTION("""COMPUTED_VALUE"""),0.5833333333333334)</f>
        <v>0.5833333333</v>
      </c>
      <c r="D4478" s="8">
        <f>IFERROR(__xludf.DUMMYFUNCTION("""COMPUTED_VALUE"""),0.317)</f>
        <v>0.317</v>
      </c>
      <c r="E4478" s="8" t="str">
        <f>IFERROR(__xludf.DUMMYFUNCTION("""COMPUTED_VALUE"""),"Real")</f>
        <v>Real</v>
      </c>
      <c r="G4478" s="8">
        <f t="shared" si="1"/>
        <v>5</v>
      </c>
      <c r="H4478" s="14">
        <f t="shared" si="2"/>
        <v>6</v>
      </c>
      <c r="I4478" s="15">
        <f t="shared" si="3"/>
        <v>14</v>
      </c>
    </row>
    <row r="4479">
      <c r="A4479" s="8" t="str">
        <f>IFERROR(__xludf.DUMMYFUNCTION("IF('(INGESTA)Datos_consumo_datadis'!A4479&lt;&gt;"""",SPLIT('(INGESTA)Datos_consumo_datadis'!A:A,"",""),"""")"),"ES0031408323131005HX0F")</f>
        <v>ES0031408323131005HX0F</v>
      </c>
      <c r="B4479" s="12">
        <f>IFERROR(__xludf.DUMMYFUNCTION("""COMPUTED_VALUE"""),45052.0)</f>
        <v>45052</v>
      </c>
      <c r="C4479" s="13">
        <f>IFERROR(__xludf.DUMMYFUNCTION("""COMPUTED_VALUE"""),0.625)</f>
        <v>0.625</v>
      </c>
      <c r="D4479" s="8">
        <f>IFERROR(__xludf.DUMMYFUNCTION("""COMPUTED_VALUE"""),0.046)</f>
        <v>0.046</v>
      </c>
      <c r="E4479" s="8" t="str">
        <f>IFERROR(__xludf.DUMMYFUNCTION("""COMPUTED_VALUE"""),"Real")</f>
        <v>Real</v>
      </c>
      <c r="G4479" s="8">
        <f t="shared" si="1"/>
        <v>5</v>
      </c>
      <c r="H4479" s="14">
        <f t="shared" si="2"/>
        <v>6</v>
      </c>
      <c r="I4479" s="15">
        <f t="shared" si="3"/>
        <v>15</v>
      </c>
    </row>
    <row r="4480">
      <c r="A4480" s="8" t="str">
        <f>IFERROR(__xludf.DUMMYFUNCTION("IF('(INGESTA)Datos_consumo_datadis'!A4480&lt;&gt;"""",SPLIT('(INGESTA)Datos_consumo_datadis'!A:A,"",""),"""")"),"ES0031408323131005HX0F")</f>
        <v>ES0031408323131005HX0F</v>
      </c>
      <c r="B4480" s="12">
        <f>IFERROR(__xludf.DUMMYFUNCTION("""COMPUTED_VALUE"""),45052.0)</f>
        <v>45052</v>
      </c>
      <c r="C4480" s="13">
        <f>IFERROR(__xludf.DUMMYFUNCTION("""COMPUTED_VALUE"""),0.6666666666666666)</f>
        <v>0.6666666667</v>
      </c>
      <c r="D4480" s="8">
        <f>IFERROR(__xludf.DUMMYFUNCTION("""COMPUTED_VALUE"""),0.085)</f>
        <v>0.085</v>
      </c>
      <c r="E4480" s="8" t="str">
        <f>IFERROR(__xludf.DUMMYFUNCTION("""COMPUTED_VALUE"""),"Real")</f>
        <v>Real</v>
      </c>
      <c r="G4480" s="8">
        <f t="shared" si="1"/>
        <v>5</v>
      </c>
      <c r="H4480" s="14">
        <f t="shared" si="2"/>
        <v>6</v>
      </c>
      <c r="I4480" s="15">
        <f t="shared" si="3"/>
        <v>16</v>
      </c>
    </row>
    <row r="4481">
      <c r="A4481" s="8" t="str">
        <f>IFERROR(__xludf.DUMMYFUNCTION("IF('(INGESTA)Datos_consumo_datadis'!A4481&lt;&gt;"""",SPLIT('(INGESTA)Datos_consumo_datadis'!A:A,"",""),"""")"),"ES0031408323131005HX0F")</f>
        <v>ES0031408323131005HX0F</v>
      </c>
      <c r="B4481" s="12">
        <f>IFERROR(__xludf.DUMMYFUNCTION("""COMPUTED_VALUE"""),45052.0)</f>
        <v>45052</v>
      </c>
      <c r="C4481" s="13">
        <f>IFERROR(__xludf.DUMMYFUNCTION("""COMPUTED_VALUE"""),0.7083333333333334)</f>
        <v>0.7083333333</v>
      </c>
      <c r="D4481" s="8">
        <f>IFERROR(__xludf.DUMMYFUNCTION("""COMPUTED_VALUE"""),0.053)</f>
        <v>0.053</v>
      </c>
      <c r="E4481" s="8" t="str">
        <f>IFERROR(__xludf.DUMMYFUNCTION("""COMPUTED_VALUE"""),"Real")</f>
        <v>Real</v>
      </c>
      <c r="G4481" s="8">
        <f t="shared" si="1"/>
        <v>5</v>
      </c>
      <c r="H4481" s="14">
        <f t="shared" si="2"/>
        <v>6</v>
      </c>
      <c r="I4481" s="15">
        <f t="shared" si="3"/>
        <v>17</v>
      </c>
    </row>
    <row r="4482">
      <c r="A4482" s="8" t="str">
        <f>IFERROR(__xludf.DUMMYFUNCTION("IF('(INGESTA)Datos_consumo_datadis'!A4482&lt;&gt;"""",SPLIT('(INGESTA)Datos_consumo_datadis'!A:A,"",""),"""")"),"ES0031408323131005HX0F")</f>
        <v>ES0031408323131005HX0F</v>
      </c>
      <c r="B4482" s="12">
        <f>IFERROR(__xludf.DUMMYFUNCTION("""COMPUTED_VALUE"""),45052.0)</f>
        <v>45052</v>
      </c>
      <c r="C4482" s="13">
        <f>IFERROR(__xludf.DUMMYFUNCTION("""COMPUTED_VALUE"""),0.75)</f>
        <v>0.75</v>
      </c>
      <c r="D4482" s="8">
        <f>IFERROR(__xludf.DUMMYFUNCTION("""COMPUTED_VALUE"""),0.057)</f>
        <v>0.057</v>
      </c>
      <c r="E4482" s="8" t="str">
        <f>IFERROR(__xludf.DUMMYFUNCTION("""COMPUTED_VALUE"""),"Real")</f>
        <v>Real</v>
      </c>
      <c r="G4482" s="8">
        <f t="shared" si="1"/>
        <v>5</v>
      </c>
      <c r="H4482" s="14">
        <f t="shared" si="2"/>
        <v>6</v>
      </c>
      <c r="I4482" s="15">
        <f t="shared" si="3"/>
        <v>18</v>
      </c>
    </row>
    <row r="4483">
      <c r="A4483" s="8" t="str">
        <f>IFERROR(__xludf.DUMMYFUNCTION("IF('(INGESTA)Datos_consumo_datadis'!A4483&lt;&gt;"""",SPLIT('(INGESTA)Datos_consumo_datadis'!A:A,"",""),"""")"),"ES0031408323131005HX0F")</f>
        <v>ES0031408323131005HX0F</v>
      </c>
      <c r="B4483" s="12">
        <f>IFERROR(__xludf.DUMMYFUNCTION("""COMPUTED_VALUE"""),45052.0)</f>
        <v>45052</v>
      </c>
      <c r="C4483" s="13">
        <f>IFERROR(__xludf.DUMMYFUNCTION("""COMPUTED_VALUE"""),0.7916666666666666)</f>
        <v>0.7916666667</v>
      </c>
      <c r="D4483" s="8">
        <f>IFERROR(__xludf.DUMMYFUNCTION("""COMPUTED_VALUE"""),0.485)</f>
        <v>0.485</v>
      </c>
      <c r="E4483" s="8" t="str">
        <f>IFERROR(__xludf.DUMMYFUNCTION("""COMPUTED_VALUE"""),"Real")</f>
        <v>Real</v>
      </c>
      <c r="G4483" s="8">
        <f t="shared" si="1"/>
        <v>5</v>
      </c>
      <c r="H4483" s="14">
        <f t="shared" si="2"/>
        <v>6</v>
      </c>
      <c r="I4483" s="15">
        <f t="shared" si="3"/>
        <v>19</v>
      </c>
    </row>
    <row r="4484">
      <c r="A4484" s="8" t="str">
        <f>IFERROR(__xludf.DUMMYFUNCTION("IF('(INGESTA)Datos_consumo_datadis'!A4484&lt;&gt;"""",SPLIT('(INGESTA)Datos_consumo_datadis'!A:A,"",""),"""")"),"ES0031408323131005HX0F")</f>
        <v>ES0031408323131005HX0F</v>
      </c>
      <c r="B4484" s="12">
        <f>IFERROR(__xludf.DUMMYFUNCTION("""COMPUTED_VALUE"""),45052.0)</f>
        <v>45052</v>
      </c>
      <c r="C4484" s="13">
        <f>IFERROR(__xludf.DUMMYFUNCTION("""COMPUTED_VALUE"""),0.8333333333333334)</f>
        <v>0.8333333333</v>
      </c>
      <c r="D4484" s="8">
        <f>IFERROR(__xludf.DUMMYFUNCTION("""COMPUTED_VALUE"""),0.18)</f>
        <v>0.18</v>
      </c>
      <c r="E4484" s="8" t="str">
        <f>IFERROR(__xludf.DUMMYFUNCTION("""COMPUTED_VALUE"""),"Real")</f>
        <v>Real</v>
      </c>
      <c r="G4484" s="8">
        <f t="shared" si="1"/>
        <v>5</v>
      </c>
      <c r="H4484" s="14">
        <f t="shared" si="2"/>
        <v>6</v>
      </c>
      <c r="I4484" s="15">
        <f t="shared" si="3"/>
        <v>20</v>
      </c>
    </row>
    <row r="4485">
      <c r="A4485" s="8" t="str">
        <f>IFERROR(__xludf.DUMMYFUNCTION("IF('(INGESTA)Datos_consumo_datadis'!A4485&lt;&gt;"""",SPLIT('(INGESTA)Datos_consumo_datadis'!A:A,"",""),"""")"),"ES0031408323131005HX0F")</f>
        <v>ES0031408323131005HX0F</v>
      </c>
      <c r="B4485" s="12">
        <f>IFERROR(__xludf.DUMMYFUNCTION("""COMPUTED_VALUE"""),45052.0)</f>
        <v>45052</v>
      </c>
      <c r="C4485" s="13">
        <f>IFERROR(__xludf.DUMMYFUNCTION("""COMPUTED_VALUE"""),0.875)</f>
        <v>0.875</v>
      </c>
      <c r="D4485" s="8">
        <f>IFERROR(__xludf.DUMMYFUNCTION("""COMPUTED_VALUE"""),0.079)</f>
        <v>0.079</v>
      </c>
      <c r="E4485" s="8" t="str">
        <f>IFERROR(__xludf.DUMMYFUNCTION("""COMPUTED_VALUE"""),"Real")</f>
        <v>Real</v>
      </c>
      <c r="G4485" s="8">
        <f t="shared" si="1"/>
        <v>5</v>
      </c>
      <c r="H4485" s="14">
        <f t="shared" si="2"/>
        <v>6</v>
      </c>
      <c r="I4485" s="15">
        <f t="shared" si="3"/>
        <v>21</v>
      </c>
    </row>
    <row r="4486">
      <c r="A4486" s="8" t="str">
        <f>IFERROR(__xludf.DUMMYFUNCTION("IF('(INGESTA)Datos_consumo_datadis'!A4486&lt;&gt;"""",SPLIT('(INGESTA)Datos_consumo_datadis'!A:A,"",""),"""")"),"ES0031408323131005HX0F")</f>
        <v>ES0031408323131005HX0F</v>
      </c>
      <c r="B4486" s="12">
        <f>IFERROR(__xludf.DUMMYFUNCTION("""COMPUTED_VALUE"""),45052.0)</f>
        <v>45052</v>
      </c>
      <c r="C4486" s="13">
        <f>IFERROR(__xludf.DUMMYFUNCTION("""COMPUTED_VALUE"""),0.9166666666666666)</f>
        <v>0.9166666667</v>
      </c>
      <c r="D4486" s="8">
        <f>IFERROR(__xludf.DUMMYFUNCTION("""COMPUTED_VALUE"""),0.088)</f>
        <v>0.088</v>
      </c>
      <c r="E4486" s="8" t="str">
        <f>IFERROR(__xludf.DUMMYFUNCTION("""COMPUTED_VALUE"""),"Real")</f>
        <v>Real</v>
      </c>
      <c r="G4486" s="8">
        <f t="shared" si="1"/>
        <v>5</v>
      </c>
      <c r="H4486" s="14">
        <f t="shared" si="2"/>
        <v>6</v>
      </c>
      <c r="I4486" s="15">
        <f t="shared" si="3"/>
        <v>22</v>
      </c>
    </row>
    <row r="4487">
      <c r="A4487" s="8" t="str">
        <f>IFERROR(__xludf.DUMMYFUNCTION("IF('(INGESTA)Datos_consumo_datadis'!A4487&lt;&gt;"""",SPLIT('(INGESTA)Datos_consumo_datadis'!A:A,"",""),"""")"),"ES0031408323131005HX0F")</f>
        <v>ES0031408323131005HX0F</v>
      </c>
      <c r="B4487" s="12">
        <f>IFERROR(__xludf.DUMMYFUNCTION("""COMPUTED_VALUE"""),45052.0)</f>
        <v>45052</v>
      </c>
      <c r="C4487" s="13">
        <f>IFERROR(__xludf.DUMMYFUNCTION("""COMPUTED_VALUE"""),0.9583333333333334)</f>
        <v>0.9583333333</v>
      </c>
      <c r="D4487" s="8">
        <f>IFERROR(__xludf.DUMMYFUNCTION("""COMPUTED_VALUE"""),1.79)</f>
        <v>1.79</v>
      </c>
      <c r="E4487" s="8" t="str">
        <f>IFERROR(__xludf.DUMMYFUNCTION("""COMPUTED_VALUE"""),"Real")</f>
        <v>Real</v>
      </c>
      <c r="G4487" s="8">
        <f t="shared" si="1"/>
        <v>5</v>
      </c>
      <c r="H4487" s="14">
        <f t="shared" si="2"/>
        <v>6</v>
      </c>
      <c r="I4487" s="15">
        <f t="shared" si="3"/>
        <v>23</v>
      </c>
    </row>
    <row r="4488">
      <c r="A4488" s="8" t="str">
        <f>IFERROR(__xludf.DUMMYFUNCTION("IF('(INGESTA)Datos_consumo_datadis'!A4488&lt;&gt;"""",SPLIT('(INGESTA)Datos_consumo_datadis'!A:A,"",""),"""")"),"ES0031408323131005HX0F")</f>
        <v>ES0031408323131005HX0F</v>
      </c>
      <c r="B4488" s="12">
        <f>IFERROR(__xludf.DUMMYFUNCTION("""COMPUTED_VALUE"""),45052.0)</f>
        <v>45052</v>
      </c>
      <c r="C4488" s="16">
        <f>IFERROR(__xludf.DUMMYFUNCTION("""COMPUTED_VALUE"""),1.0)</f>
        <v>1</v>
      </c>
      <c r="D4488" s="8">
        <f>IFERROR(__xludf.DUMMYFUNCTION("""COMPUTED_VALUE"""),1.808)</f>
        <v>1.808</v>
      </c>
      <c r="E4488" s="8" t="str">
        <f>IFERROR(__xludf.DUMMYFUNCTION("""COMPUTED_VALUE"""),"Real")</f>
        <v>Real</v>
      </c>
      <c r="G4488" s="8">
        <f t="shared" si="1"/>
        <v>5</v>
      </c>
      <c r="H4488" s="14">
        <f t="shared" si="2"/>
        <v>6</v>
      </c>
      <c r="I4488" s="15">
        <f t="shared" si="3"/>
        <v>0</v>
      </c>
    </row>
    <row r="4489">
      <c r="A4489" s="8" t="str">
        <f>IFERROR(__xludf.DUMMYFUNCTION("IF('(INGESTA)Datos_consumo_datadis'!A4489&lt;&gt;"""",SPLIT('(INGESTA)Datos_consumo_datadis'!A:A,"",""),"""")"),"ES0031408323131005HX0F")</f>
        <v>ES0031408323131005HX0F</v>
      </c>
      <c r="B4489" s="12">
        <f>IFERROR(__xludf.DUMMYFUNCTION("""COMPUTED_VALUE"""),45053.0)</f>
        <v>45053</v>
      </c>
      <c r="C4489" s="13">
        <f>IFERROR(__xludf.DUMMYFUNCTION("""COMPUTED_VALUE"""),0.041666666666666664)</f>
        <v>0.04166666667</v>
      </c>
      <c r="D4489" s="8">
        <f>IFERROR(__xludf.DUMMYFUNCTION("""COMPUTED_VALUE"""),0.351)</f>
        <v>0.351</v>
      </c>
      <c r="E4489" s="8" t="str">
        <f>IFERROR(__xludf.DUMMYFUNCTION("""COMPUTED_VALUE"""),"Real")</f>
        <v>Real</v>
      </c>
      <c r="G4489" s="8">
        <f t="shared" si="1"/>
        <v>5</v>
      </c>
      <c r="H4489" s="14">
        <f t="shared" si="2"/>
        <v>7</v>
      </c>
      <c r="I4489" s="15">
        <f t="shared" si="3"/>
        <v>1</v>
      </c>
    </row>
    <row r="4490">
      <c r="A4490" s="8" t="str">
        <f>IFERROR(__xludf.DUMMYFUNCTION("IF('(INGESTA)Datos_consumo_datadis'!A4490&lt;&gt;"""",SPLIT('(INGESTA)Datos_consumo_datadis'!A:A,"",""),"""")"),"ES0031408323131005HX0F")</f>
        <v>ES0031408323131005HX0F</v>
      </c>
      <c r="B4490" s="12">
        <f>IFERROR(__xludf.DUMMYFUNCTION("""COMPUTED_VALUE"""),45053.0)</f>
        <v>45053</v>
      </c>
      <c r="C4490" s="13">
        <f>IFERROR(__xludf.DUMMYFUNCTION("""COMPUTED_VALUE"""),0.08333333333333333)</f>
        <v>0.08333333333</v>
      </c>
      <c r="D4490" s="8">
        <f>IFERROR(__xludf.DUMMYFUNCTION("""COMPUTED_VALUE"""),0.276)</f>
        <v>0.276</v>
      </c>
      <c r="E4490" s="8" t="str">
        <f>IFERROR(__xludf.DUMMYFUNCTION("""COMPUTED_VALUE"""),"Real")</f>
        <v>Real</v>
      </c>
      <c r="G4490" s="8">
        <f t="shared" si="1"/>
        <v>5</v>
      </c>
      <c r="H4490" s="14">
        <f t="shared" si="2"/>
        <v>7</v>
      </c>
      <c r="I4490" s="15">
        <f t="shared" si="3"/>
        <v>2</v>
      </c>
    </row>
    <row r="4491">
      <c r="A4491" s="8" t="str">
        <f>IFERROR(__xludf.DUMMYFUNCTION("IF('(INGESTA)Datos_consumo_datadis'!A4491&lt;&gt;"""",SPLIT('(INGESTA)Datos_consumo_datadis'!A:A,"",""),"""")"),"ES0031408323131005HX0F")</f>
        <v>ES0031408323131005HX0F</v>
      </c>
      <c r="B4491" s="12">
        <f>IFERROR(__xludf.DUMMYFUNCTION("""COMPUTED_VALUE"""),45053.0)</f>
        <v>45053</v>
      </c>
      <c r="C4491" s="13">
        <f>IFERROR(__xludf.DUMMYFUNCTION("""COMPUTED_VALUE"""),0.125)</f>
        <v>0.125</v>
      </c>
      <c r="D4491" s="8">
        <f>IFERROR(__xludf.DUMMYFUNCTION("""COMPUTED_VALUE"""),0.081)</f>
        <v>0.081</v>
      </c>
      <c r="E4491" s="8" t="str">
        <f>IFERROR(__xludf.DUMMYFUNCTION("""COMPUTED_VALUE"""),"Real")</f>
        <v>Real</v>
      </c>
      <c r="G4491" s="8">
        <f t="shared" si="1"/>
        <v>5</v>
      </c>
      <c r="H4491" s="14">
        <f t="shared" si="2"/>
        <v>7</v>
      </c>
      <c r="I4491" s="15">
        <f t="shared" si="3"/>
        <v>3</v>
      </c>
    </row>
    <row r="4492">
      <c r="A4492" s="8" t="str">
        <f>IFERROR(__xludf.DUMMYFUNCTION("IF('(INGESTA)Datos_consumo_datadis'!A4492&lt;&gt;"""",SPLIT('(INGESTA)Datos_consumo_datadis'!A:A,"",""),"""")"),"ES0031408323131005HX0F")</f>
        <v>ES0031408323131005HX0F</v>
      </c>
      <c r="B4492" s="12">
        <f>IFERROR(__xludf.DUMMYFUNCTION("""COMPUTED_VALUE"""),45053.0)</f>
        <v>45053</v>
      </c>
      <c r="C4492" s="13">
        <f>IFERROR(__xludf.DUMMYFUNCTION("""COMPUTED_VALUE"""),0.16666666666666666)</f>
        <v>0.1666666667</v>
      </c>
      <c r="D4492" s="8">
        <f>IFERROR(__xludf.DUMMYFUNCTION("""COMPUTED_VALUE"""),0.095)</f>
        <v>0.095</v>
      </c>
      <c r="E4492" s="8" t="str">
        <f>IFERROR(__xludf.DUMMYFUNCTION("""COMPUTED_VALUE"""),"Real")</f>
        <v>Real</v>
      </c>
      <c r="G4492" s="8">
        <f t="shared" si="1"/>
        <v>5</v>
      </c>
      <c r="H4492" s="14">
        <f t="shared" si="2"/>
        <v>7</v>
      </c>
      <c r="I4492" s="15">
        <f t="shared" si="3"/>
        <v>4</v>
      </c>
    </row>
    <row r="4493">
      <c r="A4493" s="8" t="str">
        <f>IFERROR(__xludf.DUMMYFUNCTION("IF('(INGESTA)Datos_consumo_datadis'!A4493&lt;&gt;"""",SPLIT('(INGESTA)Datos_consumo_datadis'!A:A,"",""),"""")"),"ES0031408323131005HX0F")</f>
        <v>ES0031408323131005HX0F</v>
      </c>
      <c r="B4493" s="12">
        <f>IFERROR(__xludf.DUMMYFUNCTION("""COMPUTED_VALUE"""),45053.0)</f>
        <v>45053</v>
      </c>
      <c r="C4493" s="13">
        <f>IFERROR(__xludf.DUMMYFUNCTION("""COMPUTED_VALUE"""),0.20833333333333334)</f>
        <v>0.2083333333</v>
      </c>
      <c r="D4493" s="8">
        <f>IFERROR(__xludf.DUMMYFUNCTION("""COMPUTED_VALUE"""),0.063)</f>
        <v>0.063</v>
      </c>
      <c r="E4493" s="8" t="str">
        <f>IFERROR(__xludf.DUMMYFUNCTION("""COMPUTED_VALUE"""),"Real")</f>
        <v>Real</v>
      </c>
      <c r="G4493" s="8">
        <f t="shared" si="1"/>
        <v>5</v>
      </c>
      <c r="H4493" s="14">
        <f t="shared" si="2"/>
        <v>7</v>
      </c>
      <c r="I4493" s="15">
        <f t="shared" si="3"/>
        <v>5</v>
      </c>
    </row>
    <row r="4494">
      <c r="A4494" s="8" t="str">
        <f>IFERROR(__xludf.DUMMYFUNCTION("IF('(INGESTA)Datos_consumo_datadis'!A4494&lt;&gt;"""",SPLIT('(INGESTA)Datos_consumo_datadis'!A:A,"",""),"""")"),"ES0031408323131005HX0F")</f>
        <v>ES0031408323131005HX0F</v>
      </c>
      <c r="B4494" s="12">
        <f>IFERROR(__xludf.DUMMYFUNCTION("""COMPUTED_VALUE"""),45053.0)</f>
        <v>45053</v>
      </c>
      <c r="C4494" s="13">
        <f>IFERROR(__xludf.DUMMYFUNCTION("""COMPUTED_VALUE"""),0.25)</f>
        <v>0.25</v>
      </c>
      <c r="D4494" s="8">
        <f>IFERROR(__xludf.DUMMYFUNCTION("""COMPUTED_VALUE"""),0.294)</f>
        <v>0.294</v>
      </c>
      <c r="E4494" s="8" t="str">
        <f>IFERROR(__xludf.DUMMYFUNCTION("""COMPUTED_VALUE"""),"Real")</f>
        <v>Real</v>
      </c>
      <c r="G4494" s="8">
        <f t="shared" si="1"/>
        <v>5</v>
      </c>
      <c r="H4494" s="14">
        <f t="shared" si="2"/>
        <v>7</v>
      </c>
      <c r="I4494" s="15">
        <f t="shared" si="3"/>
        <v>6</v>
      </c>
    </row>
    <row r="4495">
      <c r="A4495" s="8" t="str">
        <f>IFERROR(__xludf.DUMMYFUNCTION("IF('(INGESTA)Datos_consumo_datadis'!A4495&lt;&gt;"""",SPLIT('(INGESTA)Datos_consumo_datadis'!A:A,"",""),"""")"),"ES0031408323131005HX0F")</f>
        <v>ES0031408323131005HX0F</v>
      </c>
      <c r="B4495" s="12">
        <f>IFERROR(__xludf.DUMMYFUNCTION("""COMPUTED_VALUE"""),45053.0)</f>
        <v>45053</v>
      </c>
      <c r="C4495" s="13">
        <f>IFERROR(__xludf.DUMMYFUNCTION("""COMPUTED_VALUE"""),0.2916666666666667)</f>
        <v>0.2916666667</v>
      </c>
      <c r="D4495" s="8">
        <f>IFERROR(__xludf.DUMMYFUNCTION("""COMPUTED_VALUE"""),0.101)</f>
        <v>0.101</v>
      </c>
      <c r="E4495" s="8" t="str">
        <f>IFERROR(__xludf.DUMMYFUNCTION("""COMPUTED_VALUE"""),"Real")</f>
        <v>Real</v>
      </c>
      <c r="G4495" s="8">
        <f t="shared" si="1"/>
        <v>5</v>
      </c>
      <c r="H4495" s="14">
        <f t="shared" si="2"/>
        <v>7</v>
      </c>
      <c r="I4495" s="15">
        <f t="shared" si="3"/>
        <v>7</v>
      </c>
    </row>
    <row r="4496">
      <c r="A4496" s="8" t="str">
        <f>IFERROR(__xludf.DUMMYFUNCTION("IF('(INGESTA)Datos_consumo_datadis'!A4496&lt;&gt;"""",SPLIT('(INGESTA)Datos_consumo_datadis'!A:A,"",""),"""")"),"ES0031408323131005HX0F")</f>
        <v>ES0031408323131005HX0F</v>
      </c>
      <c r="B4496" s="12">
        <f>IFERROR(__xludf.DUMMYFUNCTION("""COMPUTED_VALUE"""),45053.0)</f>
        <v>45053</v>
      </c>
      <c r="C4496" s="13">
        <f>IFERROR(__xludf.DUMMYFUNCTION("""COMPUTED_VALUE"""),0.3333333333333333)</f>
        <v>0.3333333333</v>
      </c>
      <c r="D4496" s="8">
        <f>IFERROR(__xludf.DUMMYFUNCTION("""COMPUTED_VALUE"""),0.058)</f>
        <v>0.058</v>
      </c>
      <c r="E4496" s="8" t="str">
        <f>IFERROR(__xludf.DUMMYFUNCTION("""COMPUTED_VALUE"""),"Real")</f>
        <v>Real</v>
      </c>
      <c r="G4496" s="8">
        <f t="shared" si="1"/>
        <v>5</v>
      </c>
      <c r="H4496" s="14">
        <f t="shared" si="2"/>
        <v>7</v>
      </c>
      <c r="I4496" s="15">
        <f t="shared" si="3"/>
        <v>8</v>
      </c>
    </row>
    <row r="4497">
      <c r="A4497" s="8" t="str">
        <f>IFERROR(__xludf.DUMMYFUNCTION("IF('(INGESTA)Datos_consumo_datadis'!A4497&lt;&gt;"""",SPLIT('(INGESTA)Datos_consumo_datadis'!A:A,"",""),"""")"),"ES0031408323131005HX0F")</f>
        <v>ES0031408323131005HX0F</v>
      </c>
      <c r="B4497" s="12">
        <f>IFERROR(__xludf.DUMMYFUNCTION("""COMPUTED_VALUE"""),45053.0)</f>
        <v>45053</v>
      </c>
      <c r="C4497" s="13">
        <f>IFERROR(__xludf.DUMMYFUNCTION("""COMPUTED_VALUE"""),0.375)</f>
        <v>0.375</v>
      </c>
      <c r="D4497" s="8">
        <f>IFERROR(__xludf.DUMMYFUNCTION("""COMPUTED_VALUE"""),0.043)</f>
        <v>0.043</v>
      </c>
      <c r="E4497" s="8" t="str">
        <f>IFERROR(__xludf.DUMMYFUNCTION("""COMPUTED_VALUE"""),"Real")</f>
        <v>Real</v>
      </c>
      <c r="G4497" s="8">
        <f t="shared" si="1"/>
        <v>5</v>
      </c>
      <c r="H4497" s="14">
        <f t="shared" si="2"/>
        <v>7</v>
      </c>
      <c r="I4497" s="15">
        <f t="shared" si="3"/>
        <v>9</v>
      </c>
    </row>
    <row r="4498">
      <c r="A4498" s="8" t="str">
        <f>IFERROR(__xludf.DUMMYFUNCTION("IF('(INGESTA)Datos_consumo_datadis'!A4498&lt;&gt;"""",SPLIT('(INGESTA)Datos_consumo_datadis'!A:A,"",""),"""")"),"ES0031408323131005HX0F")</f>
        <v>ES0031408323131005HX0F</v>
      </c>
      <c r="B4498" s="12">
        <f>IFERROR(__xludf.DUMMYFUNCTION("""COMPUTED_VALUE"""),45053.0)</f>
        <v>45053</v>
      </c>
      <c r="C4498" s="13">
        <f>IFERROR(__xludf.DUMMYFUNCTION("""COMPUTED_VALUE"""),0.4166666666666667)</f>
        <v>0.4166666667</v>
      </c>
      <c r="D4498" s="8">
        <f>IFERROR(__xludf.DUMMYFUNCTION("""COMPUTED_VALUE"""),0.383)</f>
        <v>0.383</v>
      </c>
      <c r="E4498" s="8" t="str">
        <f>IFERROR(__xludf.DUMMYFUNCTION("""COMPUTED_VALUE"""),"Real")</f>
        <v>Real</v>
      </c>
      <c r="G4498" s="8">
        <f t="shared" si="1"/>
        <v>5</v>
      </c>
      <c r="H4498" s="14">
        <f t="shared" si="2"/>
        <v>7</v>
      </c>
      <c r="I4498" s="15">
        <f t="shared" si="3"/>
        <v>10</v>
      </c>
    </row>
    <row r="4499">
      <c r="A4499" s="8" t="str">
        <f>IFERROR(__xludf.DUMMYFUNCTION("IF('(INGESTA)Datos_consumo_datadis'!A4499&lt;&gt;"""",SPLIT('(INGESTA)Datos_consumo_datadis'!A:A,"",""),"""")"),"ES0031408323131005HX0F")</f>
        <v>ES0031408323131005HX0F</v>
      </c>
      <c r="B4499" s="12">
        <f>IFERROR(__xludf.DUMMYFUNCTION("""COMPUTED_VALUE"""),45053.0)</f>
        <v>45053</v>
      </c>
      <c r="C4499" s="13">
        <f>IFERROR(__xludf.DUMMYFUNCTION("""COMPUTED_VALUE"""),0.4583333333333333)</f>
        <v>0.4583333333</v>
      </c>
      <c r="D4499" s="8">
        <f>IFERROR(__xludf.DUMMYFUNCTION("""COMPUTED_VALUE"""),1.785)</f>
        <v>1.785</v>
      </c>
      <c r="E4499" s="8" t="str">
        <f>IFERROR(__xludf.DUMMYFUNCTION("""COMPUTED_VALUE"""),"Real")</f>
        <v>Real</v>
      </c>
      <c r="G4499" s="8">
        <f t="shared" si="1"/>
        <v>5</v>
      </c>
      <c r="H4499" s="14">
        <f t="shared" si="2"/>
        <v>7</v>
      </c>
      <c r="I4499" s="15">
        <f t="shared" si="3"/>
        <v>11</v>
      </c>
    </row>
    <row r="4500">
      <c r="A4500" s="8" t="str">
        <f>IFERROR(__xludf.DUMMYFUNCTION("IF('(INGESTA)Datos_consumo_datadis'!A4500&lt;&gt;"""",SPLIT('(INGESTA)Datos_consumo_datadis'!A:A,"",""),"""")"),"ES0031408323131005HX0F")</f>
        <v>ES0031408323131005HX0F</v>
      </c>
      <c r="B4500" s="12">
        <f>IFERROR(__xludf.DUMMYFUNCTION("""COMPUTED_VALUE"""),45053.0)</f>
        <v>45053</v>
      </c>
      <c r="C4500" s="13">
        <f>IFERROR(__xludf.DUMMYFUNCTION("""COMPUTED_VALUE"""),0.5)</f>
        <v>0.5</v>
      </c>
      <c r="D4500" s="8">
        <f>IFERROR(__xludf.DUMMYFUNCTION("""COMPUTED_VALUE"""),1.035)</f>
        <v>1.035</v>
      </c>
      <c r="E4500" s="8" t="str">
        <f>IFERROR(__xludf.DUMMYFUNCTION("""COMPUTED_VALUE"""),"Real")</f>
        <v>Real</v>
      </c>
      <c r="G4500" s="8">
        <f t="shared" si="1"/>
        <v>5</v>
      </c>
      <c r="H4500" s="14">
        <f t="shared" si="2"/>
        <v>7</v>
      </c>
      <c r="I4500" s="15">
        <f t="shared" si="3"/>
        <v>12</v>
      </c>
    </row>
    <row r="4501">
      <c r="A4501" s="8" t="str">
        <f>IFERROR(__xludf.DUMMYFUNCTION("IF('(INGESTA)Datos_consumo_datadis'!A4501&lt;&gt;"""",SPLIT('(INGESTA)Datos_consumo_datadis'!A:A,"",""),"""")"),"ES0031408323131005HX0F")</f>
        <v>ES0031408323131005HX0F</v>
      </c>
      <c r="B4501" s="12">
        <f>IFERROR(__xludf.DUMMYFUNCTION("""COMPUTED_VALUE"""),45053.0)</f>
        <v>45053</v>
      </c>
      <c r="C4501" s="13">
        <f>IFERROR(__xludf.DUMMYFUNCTION("""COMPUTED_VALUE"""),0.5416666666666666)</f>
        <v>0.5416666667</v>
      </c>
      <c r="D4501" s="8">
        <f>IFERROR(__xludf.DUMMYFUNCTION("""COMPUTED_VALUE"""),0.119)</f>
        <v>0.119</v>
      </c>
      <c r="E4501" s="8" t="str">
        <f>IFERROR(__xludf.DUMMYFUNCTION("""COMPUTED_VALUE"""),"Real")</f>
        <v>Real</v>
      </c>
      <c r="G4501" s="8">
        <f t="shared" si="1"/>
        <v>5</v>
      </c>
      <c r="H4501" s="14">
        <f t="shared" si="2"/>
        <v>7</v>
      </c>
      <c r="I4501" s="15">
        <f t="shared" si="3"/>
        <v>13</v>
      </c>
    </row>
    <row r="4502">
      <c r="A4502" s="8" t="str">
        <f>IFERROR(__xludf.DUMMYFUNCTION("IF('(INGESTA)Datos_consumo_datadis'!A4502&lt;&gt;"""",SPLIT('(INGESTA)Datos_consumo_datadis'!A:A,"",""),"""")"),"ES0031408323131005HX0F")</f>
        <v>ES0031408323131005HX0F</v>
      </c>
      <c r="B4502" s="12">
        <f>IFERROR(__xludf.DUMMYFUNCTION("""COMPUTED_VALUE"""),45053.0)</f>
        <v>45053</v>
      </c>
      <c r="C4502" s="13">
        <f>IFERROR(__xludf.DUMMYFUNCTION("""COMPUTED_VALUE"""),0.5833333333333334)</f>
        <v>0.5833333333</v>
      </c>
      <c r="D4502" s="8">
        <f>IFERROR(__xludf.DUMMYFUNCTION("""COMPUTED_VALUE"""),0.018)</f>
        <v>0.018</v>
      </c>
      <c r="E4502" s="8" t="str">
        <f>IFERROR(__xludf.DUMMYFUNCTION("""COMPUTED_VALUE"""),"Real")</f>
        <v>Real</v>
      </c>
      <c r="G4502" s="8">
        <f t="shared" si="1"/>
        <v>5</v>
      </c>
      <c r="H4502" s="14">
        <f t="shared" si="2"/>
        <v>7</v>
      </c>
      <c r="I4502" s="15">
        <f t="shared" si="3"/>
        <v>14</v>
      </c>
    </row>
    <row r="4503">
      <c r="A4503" s="8" t="str">
        <f>IFERROR(__xludf.DUMMYFUNCTION("IF('(INGESTA)Datos_consumo_datadis'!A4503&lt;&gt;"""",SPLIT('(INGESTA)Datos_consumo_datadis'!A:A,"",""),"""")"),"ES0031408323131005HX0F")</f>
        <v>ES0031408323131005HX0F</v>
      </c>
      <c r="B4503" s="12">
        <f>IFERROR(__xludf.DUMMYFUNCTION("""COMPUTED_VALUE"""),45053.0)</f>
        <v>45053</v>
      </c>
      <c r="C4503" s="13">
        <f>IFERROR(__xludf.DUMMYFUNCTION("""COMPUTED_VALUE"""),0.625)</f>
        <v>0.625</v>
      </c>
      <c r="D4503" s="8">
        <f>IFERROR(__xludf.DUMMYFUNCTION("""COMPUTED_VALUE"""),0.334)</f>
        <v>0.334</v>
      </c>
      <c r="E4503" s="8" t="str">
        <f>IFERROR(__xludf.DUMMYFUNCTION("""COMPUTED_VALUE"""),"Real")</f>
        <v>Real</v>
      </c>
      <c r="G4503" s="8">
        <f t="shared" si="1"/>
        <v>5</v>
      </c>
      <c r="H4503" s="14">
        <f t="shared" si="2"/>
        <v>7</v>
      </c>
      <c r="I4503" s="15">
        <f t="shared" si="3"/>
        <v>15</v>
      </c>
    </row>
    <row r="4504">
      <c r="A4504" s="8" t="str">
        <f>IFERROR(__xludf.DUMMYFUNCTION("IF('(INGESTA)Datos_consumo_datadis'!A4504&lt;&gt;"""",SPLIT('(INGESTA)Datos_consumo_datadis'!A:A,"",""),"""")"),"ES0031408323131005HX0F")</f>
        <v>ES0031408323131005HX0F</v>
      </c>
      <c r="B4504" s="12">
        <f>IFERROR(__xludf.DUMMYFUNCTION("""COMPUTED_VALUE"""),45053.0)</f>
        <v>45053</v>
      </c>
      <c r="C4504" s="13">
        <f>IFERROR(__xludf.DUMMYFUNCTION("""COMPUTED_VALUE"""),0.6666666666666666)</f>
        <v>0.6666666667</v>
      </c>
      <c r="D4504" s="8">
        <f>IFERROR(__xludf.DUMMYFUNCTION("""COMPUTED_VALUE"""),0.058)</f>
        <v>0.058</v>
      </c>
      <c r="E4504" s="8" t="str">
        <f>IFERROR(__xludf.DUMMYFUNCTION("""COMPUTED_VALUE"""),"Real")</f>
        <v>Real</v>
      </c>
      <c r="G4504" s="8">
        <f t="shared" si="1"/>
        <v>5</v>
      </c>
      <c r="H4504" s="14">
        <f t="shared" si="2"/>
        <v>7</v>
      </c>
      <c r="I4504" s="15">
        <f t="shared" si="3"/>
        <v>16</v>
      </c>
    </row>
    <row r="4505">
      <c r="A4505" s="8" t="str">
        <f>IFERROR(__xludf.DUMMYFUNCTION("IF('(INGESTA)Datos_consumo_datadis'!A4505&lt;&gt;"""",SPLIT('(INGESTA)Datos_consumo_datadis'!A:A,"",""),"""")"),"ES0031408323131005HX0F")</f>
        <v>ES0031408323131005HX0F</v>
      </c>
      <c r="B4505" s="12">
        <f>IFERROR(__xludf.DUMMYFUNCTION("""COMPUTED_VALUE"""),45053.0)</f>
        <v>45053</v>
      </c>
      <c r="C4505" s="13">
        <f>IFERROR(__xludf.DUMMYFUNCTION("""COMPUTED_VALUE"""),0.7083333333333334)</f>
        <v>0.7083333333</v>
      </c>
      <c r="D4505" s="8">
        <f>IFERROR(__xludf.DUMMYFUNCTION("""COMPUTED_VALUE"""),0.028)</f>
        <v>0.028</v>
      </c>
      <c r="E4505" s="8" t="str">
        <f>IFERROR(__xludf.DUMMYFUNCTION("""COMPUTED_VALUE"""),"Real")</f>
        <v>Real</v>
      </c>
      <c r="G4505" s="8">
        <f t="shared" si="1"/>
        <v>5</v>
      </c>
      <c r="H4505" s="14">
        <f t="shared" si="2"/>
        <v>7</v>
      </c>
      <c r="I4505" s="15">
        <f t="shared" si="3"/>
        <v>17</v>
      </c>
    </row>
    <row r="4506">
      <c r="A4506" s="8" t="str">
        <f>IFERROR(__xludf.DUMMYFUNCTION("IF('(INGESTA)Datos_consumo_datadis'!A4506&lt;&gt;"""",SPLIT('(INGESTA)Datos_consumo_datadis'!A:A,"",""),"""")"),"ES0031408323131005HX0F")</f>
        <v>ES0031408323131005HX0F</v>
      </c>
      <c r="B4506" s="12">
        <f>IFERROR(__xludf.DUMMYFUNCTION("""COMPUTED_VALUE"""),45053.0)</f>
        <v>45053</v>
      </c>
      <c r="C4506" s="13">
        <f>IFERROR(__xludf.DUMMYFUNCTION("""COMPUTED_VALUE"""),0.75)</f>
        <v>0.75</v>
      </c>
      <c r="D4506" s="8">
        <f>IFERROR(__xludf.DUMMYFUNCTION("""COMPUTED_VALUE"""),0.091)</f>
        <v>0.091</v>
      </c>
      <c r="E4506" s="8" t="str">
        <f>IFERROR(__xludf.DUMMYFUNCTION("""COMPUTED_VALUE"""),"Real")</f>
        <v>Real</v>
      </c>
      <c r="G4506" s="8">
        <f t="shared" si="1"/>
        <v>5</v>
      </c>
      <c r="H4506" s="14">
        <f t="shared" si="2"/>
        <v>7</v>
      </c>
      <c r="I4506" s="15">
        <f t="shared" si="3"/>
        <v>18</v>
      </c>
    </row>
    <row r="4507">
      <c r="A4507" s="8" t="str">
        <f>IFERROR(__xludf.DUMMYFUNCTION("IF('(INGESTA)Datos_consumo_datadis'!A4507&lt;&gt;"""",SPLIT('(INGESTA)Datos_consumo_datadis'!A:A,"",""),"""")"),"ES0031408323131005HX0F")</f>
        <v>ES0031408323131005HX0F</v>
      </c>
      <c r="B4507" s="12">
        <f>IFERROR(__xludf.DUMMYFUNCTION("""COMPUTED_VALUE"""),45053.0)</f>
        <v>45053</v>
      </c>
      <c r="C4507" s="13">
        <f>IFERROR(__xludf.DUMMYFUNCTION("""COMPUTED_VALUE"""),0.7916666666666666)</f>
        <v>0.7916666667</v>
      </c>
      <c r="D4507" s="8">
        <f>IFERROR(__xludf.DUMMYFUNCTION("""COMPUTED_VALUE"""),0.058)</f>
        <v>0.058</v>
      </c>
      <c r="E4507" s="8" t="str">
        <f>IFERROR(__xludf.DUMMYFUNCTION("""COMPUTED_VALUE"""),"Real")</f>
        <v>Real</v>
      </c>
      <c r="G4507" s="8">
        <f t="shared" si="1"/>
        <v>5</v>
      </c>
      <c r="H4507" s="14">
        <f t="shared" si="2"/>
        <v>7</v>
      </c>
      <c r="I4507" s="15">
        <f t="shared" si="3"/>
        <v>19</v>
      </c>
    </row>
    <row r="4508">
      <c r="A4508" s="8" t="str">
        <f>IFERROR(__xludf.DUMMYFUNCTION("IF('(INGESTA)Datos_consumo_datadis'!A4508&lt;&gt;"""",SPLIT('(INGESTA)Datos_consumo_datadis'!A:A,"",""),"""")"),"ES0031408323131005HX0F")</f>
        <v>ES0031408323131005HX0F</v>
      </c>
      <c r="B4508" s="12">
        <f>IFERROR(__xludf.DUMMYFUNCTION("""COMPUTED_VALUE"""),45053.0)</f>
        <v>45053</v>
      </c>
      <c r="C4508" s="13">
        <f>IFERROR(__xludf.DUMMYFUNCTION("""COMPUTED_VALUE"""),0.8333333333333334)</f>
        <v>0.8333333333</v>
      </c>
      <c r="D4508" s="8">
        <f>IFERROR(__xludf.DUMMYFUNCTION("""COMPUTED_VALUE"""),0.044)</f>
        <v>0.044</v>
      </c>
      <c r="E4508" s="8" t="str">
        <f>IFERROR(__xludf.DUMMYFUNCTION("""COMPUTED_VALUE"""),"Real")</f>
        <v>Real</v>
      </c>
      <c r="G4508" s="8">
        <f t="shared" si="1"/>
        <v>5</v>
      </c>
      <c r="H4508" s="14">
        <f t="shared" si="2"/>
        <v>7</v>
      </c>
      <c r="I4508" s="15">
        <f t="shared" si="3"/>
        <v>20</v>
      </c>
    </row>
    <row r="4509">
      <c r="A4509" s="8" t="str">
        <f>IFERROR(__xludf.DUMMYFUNCTION("IF('(INGESTA)Datos_consumo_datadis'!A4509&lt;&gt;"""",SPLIT('(INGESTA)Datos_consumo_datadis'!A:A,"",""),"""")"),"ES0031408323131005HX0F")</f>
        <v>ES0031408323131005HX0F</v>
      </c>
      <c r="B4509" s="12">
        <f>IFERROR(__xludf.DUMMYFUNCTION("""COMPUTED_VALUE"""),45053.0)</f>
        <v>45053</v>
      </c>
      <c r="C4509" s="13">
        <f>IFERROR(__xludf.DUMMYFUNCTION("""COMPUTED_VALUE"""),0.875)</f>
        <v>0.875</v>
      </c>
      <c r="D4509" s="8">
        <f>IFERROR(__xludf.DUMMYFUNCTION("""COMPUTED_VALUE"""),0.528)</f>
        <v>0.528</v>
      </c>
      <c r="E4509" s="8" t="str">
        <f>IFERROR(__xludf.DUMMYFUNCTION("""COMPUTED_VALUE"""),"Real")</f>
        <v>Real</v>
      </c>
      <c r="G4509" s="8">
        <f t="shared" si="1"/>
        <v>5</v>
      </c>
      <c r="H4509" s="14">
        <f t="shared" si="2"/>
        <v>7</v>
      </c>
      <c r="I4509" s="15">
        <f t="shared" si="3"/>
        <v>21</v>
      </c>
    </row>
    <row r="4510">
      <c r="A4510" s="8" t="str">
        <f>IFERROR(__xludf.DUMMYFUNCTION("IF('(INGESTA)Datos_consumo_datadis'!A4510&lt;&gt;"""",SPLIT('(INGESTA)Datos_consumo_datadis'!A:A,"",""),"""")"),"ES0031408323131005HX0F")</f>
        <v>ES0031408323131005HX0F</v>
      </c>
      <c r="B4510" s="12">
        <f>IFERROR(__xludf.DUMMYFUNCTION("""COMPUTED_VALUE"""),45053.0)</f>
        <v>45053</v>
      </c>
      <c r="C4510" s="13">
        <f>IFERROR(__xludf.DUMMYFUNCTION("""COMPUTED_VALUE"""),0.9166666666666666)</f>
        <v>0.9166666667</v>
      </c>
      <c r="D4510" s="8">
        <f>IFERROR(__xludf.DUMMYFUNCTION("""COMPUTED_VALUE"""),0.766)</f>
        <v>0.766</v>
      </c>
      <c r="E4510" s="8" t="str">
        <f>IFERROR(__xludf.DUMMYFUNCTION("""COMPUTED_VALUE"""),"Real")</f>
        <v>Real</v>
      </c>
      <c r="G4510" s="8">
        <f t="shared" si="1"/>
        <v>5</v>
      </c>
      <c r="H4510" s="14">
        <f t="shared" si="2"/>
        <v>7</v>
      </c>
      <c r="I4510" s="15">
        <f t="shared" si="3"/>
        <v>22</v>
      </c>
    </row>
    <row r="4511">
      <c r="A4511" s="8" t="str">
        <f>IFERROR(__xludf.DUMMYFUNCTION("IF('(INGESTA)Datos_consumo_datadis'!A4511&lt;&gt;"""",SPLIT('(INGESTA)Datos_consumo_datadis'!A:A,"",""),"""")"),"ES0031408323131005HX0F")</f>
        <v>ES0031408323131005HX0F</v>
      </c>
      <c r="B4511" s="12">
        <f>IFERROR(__xludf.DUMMYFUNCTION("""COMPUTED_VALUE"""),45053.0)</f>
        <v>45053</v>
      </c>
      <c r="C4511" s="13">
        <f>IFERROR(__xludf.DUMMYFUNCTION("""COMPUTED_VALUE"""),0.9583333333333334)</f>
        <v>0.9583333333</v>
      </c>
      <c r="D4511" s="8">
        <f>IFERROR(__xludf.DUMMYFUNCTION("""COMPUTED_VALUE"""),0.31)</f>
        <v>0.31</v>
      </c>
      <c r="E4511" s="8" t="str">
        <f>IFERROR(__xludf.DUMMYFUNCTION("""COMPUTED_VALUE"""),"Real")</f>
        <v>Real</v>
      </c>
      <c r="G4511" s="8">
        <f t="shared" si="1"/>
        <v>5</v>
      </c>
      <c r="H4511" s="14">
        <f t="shared" si="2"/>
        <v>7</v>
      </c>
      <c r="I4511" s="15">
        <f t="shared" si="3"/>
        <v>23</v>
      </c>
    </row>
    <row r="4512">
      <c r="A4512" s="8" t="str">
        <f>IFERROR(__xludf.DUMMYFUNCTION("IF('(INGESTA)Datos_consumo_datadis'!A4512&lt;&gt;"""",SPLIT('(INGESTA)Datos_consumo_datadis'!A:A,"",""),"""")"),"ES0031408323131005HX0F")</f>
        <v>ES0031408323131005HX0F</v>
      </c>
      <c r="B4512" s="12">
        <f>IFERROR(__xludf.DUMMYFUNCTION("""COMPUTED_VALUE"""),45053.0)</f>
        <v>45053</v>
      </c>
      <c r="C4512" s="16">
        <f>IFERROR(__xludf.DUMMYFUNCTION("""COMPUTED_VALUE"""),1.0)</f>
        <v>1</v>
      </c>
      <c r="D4512" s="8">
        <f>IFERROR(__xludf.DUMMYFUNCTION("""COMPUTED_VALUE"""),0.175)</f>
        <v>0.175</v>
      </c>
      <c r="E4512" s="8" t="str">
        <f>IFERROR(__xludf.DUMMYFUNCTION("""COMPUTED_VALUE"""),"Real")</f>
        <v>Real</v>
      </c>
      <c r="G4512" s="8">
        <f t="shared" si="1"/>
        <v>5</v>
      </c>
      <c r="H4512" s="14">
        <f t="shared" si="2"/>
        <v>7</v>
      </c>
      <c r="I4512" s="15">
        <f t="shared" si="3"/>
        <v>0</v>
      </c>
    </row>
    <row r="4513">
      <c r="A4513" s="8" t="str">
        <f>IFERROR(__xludf.DUMMYFUNCTION("IF('(INGESTA)Datos_consumo_datadis'!A4513&lt;&gt;"""",SPLIT('(INGESTA)Datos_consumo_datadis'!A:A,"",""),"""")"),"ES0031408323131005HX0F")</f>
        <v>ES0031408323131005HX0F</v>
      </c>
      <c r="B4513" s="12">
        <f>IFERROR(__xludf.DUMMYFUNCTION("""COMPUTED_VALUE"""),45054.0)</f>
        <v>45054</v>
      </c>
      <c r="C4513" s="13">
        <f>IFERROR(__xludf.DUMMYFUNCTION("""COMPUTED_VALUE"""),0.041666666666666664)</f>
        <v>0.04166666667</v>
      </c>
      <c r="D4513" s="8">
        <f>IFERROR(__xludf.DUMMYFUNCTION("""COMPUTED_VALUE"""),0.095)</f>
        <v>0.095</v>
      </c>
      <c r="E4513" s="8" t="str">
        <f>IFERROR(__xludf.DUMMYFUNCTION("""COMPUTED_VALUE"""),"Real")</f>
        <v>Real</v>
      </c>
      <c r="G4513" s="8">
        <f t="shared" si="1"/>
        <v>5</v>
      </c>
      <c r="H4513" s="14">
        <f t="shared" si="2"/>
        <v>8</v>
      </c>
      <c r="I4513" s="15">
        <f t="shared" si="3"/>
        <v>1</v>
      </c>
    </row>
    <row r="4514">
      <c r="A4514" s="8" t="str">
        <f>IFERROR(__xludf.DUMMYFUNCTION("IF('(INGESTA)Datos_consumo_datadis'!A4514&lt;&gt;"""",SPLIT('(INGESTA)Datos_consumo_datadis'!A:A,"",""),"""")"),"ES0031408323131005HX0F")</f>
        <v>ES0031408323131005HX0F</v>
      </c>
      <c r="B4514" s="12">
        <f>IFERROR(__xludf.DUMMYFUNCTION("""COMPUTED_VALUE"""),45054.0)</f>
        <v>45054</v>
      </c>
      <c r="C4514" s="13">
        <f>IFERROR(__xludf.DUMMYFUNCTION("""COMPUTED_VALUE"""),0.08333333333333333)</f>
        <v>0.08333333333</v>
      </c>
      <c r="D4514" s="8">
        <f>IFERROR(__xludf.DUMMYFUNCTION("""COMPUTED_VALUE"""),0.122)</f>
        <v>0.122</v>
      </c>
      <c r="E4514" s="8" t="str">
        <f>IFERROR(__xludf.DUMMYFUNCTION("""COMPUTED_VALUE"""),"Real")</f>
        <v>Real</v>
      </c>
      <c r="G4514" s="8">
        <f t="shared" si="1"/>
        <v>5</v>
      </c>
      <c r="H4514" s="14">
        <f t="shared" si="2"/>
        <v>8</v>
      </c>
      <c r="I4514" s="15">
        <f t="shared" si="3"/>
        <v>2</v>
      </c>
    </row>
    <row r="4515">
      <c r="A4515" s="8" t="str">
        <f>IFERROR(__xludf.DUMMYFUNCTION("IF('(INGESTA)Datos_consumo_datadis'!A4515&lt;&gt;"""",SPLIT('(INGESTA)Datos_consumo_datadis'!A:A,"",""),"""")"),"ES0031408323131005HX0F")</f>
        <v>ES0031408323131005HX0F</v>
      </c>
      <c r="B4515" s="12">
        <f>IFERROR(__xludf.DUMMYFUNCTION("""COMPUTED_VALUE"""),45054.0)</f>
        <v>45054</v>
      </c>
      <c r="C4515" s="13">
        <f>IFERROR(__xludf.DUMMYFUNCTION("""COMPUTED_VALUE"""),0.125)</f>
        <v>0.125</v>
      </c>
      <c r="D4515" s="8">
        <f>IFERROR(__xludf.DUMMYFUNCTION("""COMPUTED_VALUE"""),0.372)</f>
        <v>0.372</v>
      </c>
      <c r="E4515" s="8" t="str">
        <f>IFERROR(__xludf.DUMMYFUNCTION("""COMPUTED_VALUE"""),"Real")</f>
        <v>Real</v>
      </c>
      <c r="G4515" s="8">
        <f t="shared" si="1"/>
        <v>5</v>
      </c>
      <c r="H4515" s="14">
        <f t="shared" si="2"/>
        <v>8</v>
      </c>
      <c r="I4515" s="15">
        <f t="shared" si="3"/>
        <v>3</v>
      </c>
    </row>
    <row r="4516">
      <c r="A4516" s="8" t="str">
        <f>IFERROR(__xludf.DUMMYFUNCTION("IF('(INGESTA)Datos_consumo_datadis'!A4516&lt;&gt;"""",SPLIT('(INGESTA)Datos_consumo_datadis'!A:A,"",""),"""")"),"ES0031408323131005HX0F")</f>
        <v>ES0031408323131005HX0F</v>
      </c>
      <c r="B4516" s="12">
        <f>IFERROR(__xludf.DUMMYFUNCTION("""COMPUTED_VALUE"""),45054.0)</f>
        <v>45054</v>
      </c>
      <c r="C4516" s="13">
        <f>IFERROR(__xludf.DUMMYFUNCTION("""COMPUTED_VALUE"""),0.16666666666666666)</f>
        <v>0.1666666667</v>
      </c>
      <c r="D4516" s="8">
        <f>IFERROR(__xludf.DUMMYFUNCTION("""COMPUTED_VALUE"""),0.028)</f>
        <v>0.028</v>
      </c>
      <c r="E4516" s="8" t="str">
        <f>IFERROR(__xludf.DUMMYFUNCTION("""COMPUTED_VALUE"""),"Real")</f>
        <v>Real</v>
      </c>
      <c r="G4516" s="8">
        <f t="shared" si="1"/>
        <v>5</v>
      </c>
      <c r="H4516" s="14">
        <f t="shared" si="2"/>
        <v>8</v>
      </c>
      <c r="I4516" s="15">
        <f t="shared" si="3"/>
        <v>4</v>
      </c>
    </row>
    <row r="4517">
      <c r="A4517" s="8" t="str">
        <f>IFERROR(__xludf.DUMMYFUNCTION("IF('(INGESTA)Datos_consumo_datadis'!A4517&lt;&gt;"""",SPLIT('(INGESTA)Datos_consumo_datadis'!A:A,"",""),"""")"),"ES0031408323131005HX0F")</f>
        <v>ES0031408323131005HX0F</v>
      </c>
      <c r="B4517" s="12">
        <f>IFERROR(__xludf.DUMMYFUNCTION("""COMPUTED_VALUE"""),45054.0)</f>
        <v>45054</v>
      </c>
      <c r="C4517" s="13">
        <f>IFERROR(__xludf.DUMMYFUNCTION("""COMPUTED_VALUE"""),0.20833333333333334)</f>
        <v>0.2083333333</v>
      </c>
      <c r="D4517" s="8">
        <f>IFERROR(__xludf.DUMMYFUNCTION("""COMPUTED_VALUE"""),0.095)</f>
        <v>0.095</v>
      </c>
      <c r="E4517" s="8" t="str">
        <f>IFERROR(__xludf.DUMMYFUNCTION("""COMPUTED_VALUE"""),"Real")</f>
        <v>Real</v>
      </c>
      <c r="G4517" s="8">
        <f t="shared" si="1"/>
        <v>5</v>
      </c>
      <c r="H4517" s="14">
        <f t="shared" si="2"/>
        <v>8</v>
      </c>
      <c r="I4517" s="15">
        <f t="shared" si="3"/>
        <v>5</v>
      </c>
    </row>
    <row r="4518">
      <c r="A4518" s="8" t="str">
        <f>IFERROR(__xludf.DUMMYFUNCTION("IF('(INGESTA)Datos_consumo_datadis'!A4518&lt;&gt;"""",SPLIT('(INGESTA)Datos_consumo_datadis'!A:A,"",""),"""")"),"ES0031408323131005HX0F")</f>
        <v>ES0031408323131005HX0F</v>
      </c>
      <c r="B4518" s="12">
        <f>IFERROR(__xludf.DUMMYFUNCTION("""COMPUTED_VALUE"""),45054.0)</f>
        <v>45054</v>
      </c>
      <c r="C4518" s="13">
        <f>IFERROR(__xludf.DUMMYFUNCTION("""COMPUTED_VALUE"""),0.25)</f>
        <v>0.25</v>
      </c>
      <c r="D4518" s="8">
        <f>IFERROR(__xludf.DUMMYFUNCTION("""COMPUTED_VALUE"""),0.069)</f>
        <v>0.069</v>
      </c>
      <c r="E4518" s="8" t="str">
        <f>IFERROR(__xludf.DUMMYFUNCTION("""COMPUTED_VALUE"""),"Real")</f>
        <v>Real</v>
      </c>
      <c r="G4518" s="8">
        <f t="shared" si="1"/>
        <v>5</v>
      </c>
      <c r="H4518" s="14">
        <f t="shared" si="2"/>
        <v>8</v>
      </c>
      <c r="I4518" s="15">
        <f t="shared" si="3"/>
        <v>6</v>
      </c>
    </row>
    <row r="4519">
      <c r="A4519" s="8" t="str">
        <f>IFERROR(__xludf.DUMMYFUNCTION("IF('(INGESTA)Datos_consumo_datadis'!A4519&lt;&gt;"""",SPLIT('(INGESTA)Datos_consumo_datadis'!A:A,"",""),"""")"),"ES0031408323131005HX0F")</f>
        <v>ES0031408323131005HX0F</v>
      </c>
      <c r="B4519" s="12">
        <f>IFERROR(__xludf.DUMMYFUNCTION("""COMPUTED_VALUE"""),45054.0)</f>
        <v>45054</v>
      </c>
      <c r="C4519" s="13">
        <f>IFERROR(__xludf.DUMMYFUNCTION("""COMPUTED_VALUE"""),0.2916666666666667)</f>
        <v>0.2916666667</v>
      </c>
      <c r="D4519" s="8">
        <f>IFERROR(__xludf.DUMMYFUNCTION("""COMPUTED_VALUE"""),0.019)</f>
        <v>0.019</v>
      </c>
      <c r="E4519" s="8" t="str">
        <f>IFERROR(__xludf.DUMMYFUNCTION("""COMPUTED_VALUE"""),"Real")</f>
        <v>Real</v>
      </c>
      <c r="G4519" s="8">
        <f t="shared" si="1"/>
        <v>5</v>
      </c>
      <c r="H4519" s="14">
        <f t="shared" si="2"/>
        <v>8</v>
      </c>
      <c r="I4519" s="15">
        <f t="shared" si="3"/>
        <v>7</v>
      </c>
    </row>
    <row r="4520">
      <c r="A4520" s="8" t="str">
        <f>IFERROR(__xludf.DUMMYFUNCTION("IF('(INGESTA)Datos_consumo_datadis'!A4520&lt;&gt;"""",SPLIT('(INGESTA)Datos_consumo_datadis'!A:A,"",""),"""")"),"ES0031408323131005HX0F")</f>
        <v>ES0031408323131005HX0F</v>
      </c>
      <c r="B4520" s="12">
        <f>IFERROR(__xludf.DUMMYFUNCTION("""COMPUTED_VALUE"""),45054.0)</f>
        <v>45054</v>
      </c>
      <c r="C4520" s="13">
        <f>IFERROR(__xludf.DUMMYFUNCTION("""COMPUTED_VALUE"""),0.3333333333333333)</f>
        <v>0.3333333333</v>
      </c>
      <c r="D4520" s="8">
        <f>IFERROR(__xludf.DUMMYFUNCTION("""COMPUTED_VALUE"""),0.102)</f>
        <v>0.102</v>
      </c>
      <c r="E4520" s="8" t="str">
        <f>IFERROR(__xludf.DUMMYFUNCTION("""COMPUTED_VALUE"""),"Real")</f>
        <v>Real</v>
      </c>
      <c r="G4520" s="8">
        <f t="shared" si="1"/>
        <v>5</v>
      </c>
      <c r="H4520" s="14">
        <f t="shared" si="2"/>
        <v>8</v>
      </c>
      <c r="I4520" s="15">
        <f t="shared" si="3"/>
        <v>8</v>
      </c>
    </row>
    <row r="4521">
      <c r="A4521" s="8" t="str">
        <f>IFERROR(__xludf.DUMMYFUNCTION("IF('(INGESTA)Datos_consumo_datadis'!A4521&lt;&gt;"""",SPLIT('(INGESTA)Datos_consumo_datadis'!A:A,"",""),"""")"),"ES0031408323131005HX0F")</f>
        <v>ES0031408323131005HX0F</v>
      </c>
      <c r="B4521" s="12">
        <f>IFERROR(__xludf.DUMMYFUNCTION("""COMPUTED_VALUE"""),45054.0)</f>
        <v>45054</v>
      </c>
      <c r="C4521" s="13">
        <f>IFERROR(__xludf.DUMMYFUNCTION("""COMPUTED_VALUE"""),0.375)</f>
        <v>0.375</v>
      </c>
      <c r="D4521" s="8">
        <f>IFERROR(__xludf.DUMMYFUNCTION("""COMPUTED_VALUE"""),0.058)</f>
        <v>0.058</v>
      </c>
      <c r="E4521" s="8" t="str">
        <f>IFERROR(__xludf.DUMMYFUNCTION("""COMPUTED_VALUE"""),"Real")</f>
        <v>Real</v>
      </c>
      <c r="G4521" s="8">
        <f t="shared" si="1"/>
        <v>5</v>
      </c>
      <c r="H4521" s="14">
        <f t="shared" si="2"/>
        <v>8</v>
      </c>
      <c r="I4521" s="15">
        <f t="shared" si="3"/>
        <v>9</v>
      </c>
    </row>
    <row r="4522">
      <c r="A4522" s="8" t="str">
        <f>IFERROR(__xludf.DUMMYFUNCTION("IF('(INGESTA)Datos_consumo_datadis'!A4522&lt;&gt;"""",SPLIT('(INGESTA)Datos_consumo_datadis'!A:A,"",""),"""")"),"ES0031408323131005HX0F")</f>
        <v>ES0031408323131005HX0F</v>
      </c>
      <c r="B4522" s="12">
        <f>IFERROR(__xludf.DUMMYFUNCTION("""COMPUTED_VALUE"""),45054.0)</f>
        <v>45054</v>
      </c>
      <c r="C4522" s="13">
        <f>IFERROR(__xludf.DUMMYFUNCTION("""COMPUTED_VALUE"""),0.4166666666666667)</f>
        <v>0.4166666667</v>
      </c>
      <c r="D4522" s="8">
        <f>IFERROR(__xludf.DUMMYFUNCTION("""COMPUTED_VALUE"""),0.331)</f>
        <v>0.331</v>
      </c>
      <c r="E4522" s="8" t="str">
        <f>IFERROR(__xludf.DUMMYFUNCTION("""COMPUTED_VALUE"""),"Real")</f>
        <v>Real</v>
      </c>
      <c r="G4522" s="8">
        <f t="shared" si="1"/>
        <v>5</v>
      </c>
      <c r="H4522" s="14">
        <f t="shared" si="2"/>
        <v>8</v>
      </c>
      <c r="I4522" s="15">
        <f t="shared" si="3"/>
        <v>10</v>
      </c>
    </row>
    <row r="4523">
      <c r="A4523" s="8" t="str">
        <f>IFERROR(__xludf.DUMMYFUNCTION("IF('(INGESTA)Datos_consumo_datadis'!A4523&lt;&gt;"""",SPLIT('(INGESTA)Datos_consumo_datadis'!A:A,"",""),"""")"),"ES0031408323131005HX0F")</f>
        <v>ES0031408323131005HX0F</v>
      </c>
      <c r="B4523" s="12">
        <f>IFERROR(__xludf.DUMMYFUNCTION("""COMPUTED_VALUE"""),45054.0)</f>
        <v>45054</v>
      </c>
      <c r="C4523" s="13">
        <f>IFERROR(__xludf.DUMMYFUNCTION("""COMPUTED_VALUE"""),0.4583333333333333)</f>
        <v>0.4583333333</v>
      </c>
      <c r="D4523" s="8">
        <f>IFERROR(__xludf.DUMMYFUNCTION("""COMPUTED_VALUE"""),0.123)</f>
        <v>0.123</v>
      </c>
      <c r="E4523" s="8" t="str">
        <f>IFERROR(__xludf.DUMMYFUNCTION("""COMPUTED_VALUE"""),"Real")</f>
        <v>Real</v>
      </c>
      <c r="G4523" s="8">
        <f t="shared" si="1"/>
        <v>5</v>
      </c>
      <c r="H4523" s="14">
        <f t="shared" si="2"/>
        <v>8</v>
      </c>
      <c r="I4523" s="15">
        <f t="shared" si="3"/>
        <v>11</v>
      </c>
    </row>
    <row r="4524">
      <c r="A4524" s="8" t="str">
        <f>IFERROR(__xludf.DUMMYFUNCTION("IF('(INGESTA)Datos_consumo_datadis'!A4524&lt;&gt;"""",SPLIT('(INGESTA)Datos_consumo_datadis'!A:A,"",""),"""")"),"ES0031408323131005HX0F")</f>
        <v>ES0031408323131005HX0F</v>
      </c>
      <c r="B4524" s="12">
        <f>IFERROR(__xludf.DUMMYFUNCTION("""COMPUTED_VALUE"""),45054.0)</f>
        <v>45054</v>
      </c>
      <c r="C4524" s="13">
        <f>IFERROR(__xludf.DUMMYFUNCTION("""COMPUTED_VALUE"""),0.5)</f>
        <v>0.5</v>
      </c>
      <c r="D4524" s="8">
        <f>IFERROR(__xludf.DUMMYFUNCTION("""COMPUTED_VALUE"""),0.198)</f>
        <v>0.198</v>
      </c>
      <c r="E4524" s="8" t="str">
        <f>IFERROR(__xludf.DUMMYFUNCTION("""COMPUTED_VALUE"""),"Real")</f>
        <v>Real</v>
      </c>
      <c r="G4524" s="8">
        <f t="shared" si="1"/>
        <v>5</v>
      </c>
      <c r="H4524" s="14">
        <f t="shared" si="2"/>
        <v>8</v>
      </c>
      <c r="I4524" s="15">
        <f t="shared" si="3"/>
        <v>12</v>
      </c>
    </row>
    <row r="4525">
      <c r="A4525" s="8" t="str">
        <f>IFERROR(__xludf.DUMMYFUNCTION("IF('(INGESTA)Datos_consumo_datadis'!A4525&lt;&gt;"""",SPLIT('(INGESTA)Datos_consumo_datadis'!A:A,"",""),"""")"),"ES0031408323131005HX0F")</f>
        <v>ES0031408323131005HX0F</v>
      </c>
      <c r="B4525" s="12">
        <f>IFERROR(__xludf.DUMMYFUNCTION("""COMPUTED_VALUE"""),45054.0)</f>
        <v>45054</v>
      </c>
      <c r="C4525" s="13">
        <f>IFERROR(__xludf.DUMMYFUNCTION("""COMPUTED_VALUE"""),0.5416666666666666)</f>
        <v>0.5416666667</v>
      </c>
      <c r="D4525" s="8">
        <f>IFERROR(__xludf.DUMMYFUNCTION("""COMPUTED_VALUE"""),0.632)</f>
        <v>0.632</v>
      </c>
      <c r="E4525" s="8" t="str">
        <f>IFERROR(__xludf.DUMMYFUNCTION("""COMPUTED_VALUE"""),"Real")</f>
        <v>Real</v>
      </c>
      <c r="G4525" s="8">
        <f t="shared" si="1"/>
        <v>5</v>
      </c>
      <c r="H4525" s="14">
        <f t="shared" si="2"/>
        <v>8</v>
      </c>
      <c r="I4525" s="15">
        <f t="shared" si="3"/>
        <v>13</v>
      </c>
    </row>
    <row r="4526">
      <c r="A4526" s="8" t="str">
        <f>IFERROR(__xludf.DUMMYFUNCTION("IF('(INGESTA)Datos_consumo_datadis'!A4526&lt;&gt;"""",SPLIT('(INGESTA)Datos_consumo_datadis'!A:A,"",""),"""")"),"ES0031408323131005HX0F")</f>
        <v>ES0031408323131005HX0F</v>
      </c>
      <c r="B4526" s="12">
        <f>IFERROR(__xludf.DUMMYFUNCTION("""COMPUTED_VALUE"""),45054.0)</f>
        <v>45054</v>
      </c>
      <c r="C4526" s="13">
        <f>IFERROR(__xludf.DUMMYFUNCTION("""COMPUTED_VALUE"""),0.5833333333333334)</f>
        <v>0.5833333333</v>
      </c>
      <c r="D4526" s="8">
        <f>IFERROR(__xludf.DUMMYFUNCTION("""COMPUTED_VALUE"""),1.001)</f>
        <v>1.001</v>
      </c>
      <c r="E4526" s="8" t="str">
        <f>IFERROR(__xludf.DUMMYFUNCTION("""COMPUTED_VALUE"""),"Real")</f>
        <v>Real</v>
      </c>
      <c r="G4526" s="8">
        <f t="shared" si="1"/>
        <v>5</v>
      </c>
      <c r="H4526" s="14">
        <f t="shared" si="2"/>
        <v>8</v>
      </c>
      <c r="I4526" s="15">
        <f t="shared" si="3"/>
        <v>14</v>
      </c>
    </row>
    <row r="4527">
      <c r="A4527" s="8" t="str">
        <f>IFERROR(__xludf.DUMMYFUNCTION("IF('(INGESTA)Datos_consumo_datadis'!A4527&lt;&gt;"""",SPLIT('(INGESTA)Datos_consumo_datadis'!A:A,"",""),"""")"),"ES0031408323131005HX0F")</f>
        <v>ES0031408323131005HX0F</v>
      </c>
      <c r="B4527" s="12">
        <f>IFERROR(__xludf.DUMMYFUNCTION("""COMPUTED_VALUE"""),45054.0)</f>
        <v>45054</v>
      </c>
      <c r="C4527" s="13">
        <f>IFERROR(__xludf.DUMMYFUNCTION("""COMPUTED_VALUE"""),0.625)</f>
        <v>0.625</v>
      </c>
      <c r="D4527" s="8">
        <f>IFERROR(__xludf.DUMMYFUNCTION("""COMPUTED_VALUE"""),0.68)</f>
        <v>0.68</v>
      </c>
      <c r="E4527" s="8" t="str">
        <f>IFERROR(__xludf.DUMMYFUNCTION("""COMPUTED_VALUE"""),"Real")</f>
        <v>Real</v>
      </c>
      <c r="G4527" s="8">
        <f t="shared" si="1"/>
        <v>5</v>
      </c>
      <c r="H4527" s="14">
        <f t="shared" si="2"/>
        <v>8</v>
      </c>
      <c r="I4527" s="15">
        <f t="shared" si="3"/>
        <v>15</v>
      </c>
    </row>
    <row r="4528">
      <c r="A4528" s="8" t="str">
        <f>IFERROR(__xludf.DUMMYFUNCTION("IF('(INGESTA)Datos_consumo_datadis'!A4528&lt;&gt;"""",SPLIT('(INGESTA)Datos_consumo_datadis'!A:A,"",""),"""")"),"ES0031408323131005HX0F")</f>
        <v>ES0031408323131005HX0F</v>
      </c>
      <c r="B4528" s="12">
        <f>IFERROR(__xludf.DUMMYFUNCTION("""COMPUTED_VALUE"""),45054.0)</f>
        <v>45054</v>
      </c>
      <c r="C4528" s="13">
        <f>IFERROR(__xludf.DUMMYFUNCTION("""COMPUTED_VALUE"""),0.6666666666666666)</f>
        <v>0.6666666667</v>
      </c>
      <c r="D4528" s="8">
        <f>IFERROR(__xludf.DUMMYFUNCTION("""COMPUTED_VALUE"""),0.783)</f>
        <v>0.783</v>
      </c>
      <c r="E4528" s="8" t="str">
        <f>IFERROR(__xludf.DUMMYFUNCTION("""COMPUTED_VALUE"""),"Real")</f>
        <v>Real</v>
      </c>
      <c r="G4528" s="8">
        <f t="shared" si="1"/>
        <v>5</v>
      </c>
      <c r="H4528" s="14">
        <f t="shared" si="2"/>
        <v>8</v>
      </c>
      <c r="I4528" s="15">
        <f t="shared" si="3"/>
        <v>16</v>
      </c>
    </row>
    <row r="4529">
      <c r="A4529" s="8" t="str">
        <f>IFERROR(__xludf.DUMMYFUNCTION("IF('(INGESTA)Datos_consumo_datadis'!A4529&lt;&gt;"""",SPLIT('(INGESTA)Datos_consumo_datadis'!A:A,"",""),"""")"),"ES0031408323131005HX0F")</f>
        <v>ES0031408323131005HX0F</v>
      </c>
      <c r="B4529" s="12">
        <f>IFERROR(__xludf.DUMMYFUNCTION("""COMPUTED_VALUE"""),45054.0)</f>
        <v>45054</v>
      </c>
      <c r="C4529" s="13">
        <f>IFERROR(__xludf.DUMMYFUNCTION("""COMPUTED_VALUE"""),0.7083333333333334)</f>
        <v>0.7083333333</v>
      </c>
      <c r="D4529" s="8">
        <f>IFERROR(__xludf.DUMMYFUNCTION("""COMPUTED_VALUE"""),0.073)</f>
        <v>0.073</v>
      </c>
      <c r="E4529" s="8" t="str">
        <f>IFERROR(__xludf.DUMMYFUNCTION("""COMPUTED_VALUE"""),"Real")</f>
        <v>Real</v>
      </c>
      <c r="G4529" s="8">
        <f t="shared" si="1"/>
        <v>5</v>
      </c>
      <c r="H4529" s="14">
        <f t="shared" si="2"/>
        <v>8</v>
      </c>
      <c r="I4529" s="15">
        <f t="shared" si="3"/>
        <v>17</v>
      </c>
    </row>
    <row r="4530">
      <c r="A4530" s="8" t="str">
        <f>IFERROR(__xludf.DUMMYFUNCTION("IF('(INGESTA)Datos_consumo_datadis'!A4530&lt;&gt;"""",SPLIT('(INGESTA)Datos_consumo_datadis'!A:A,"",""),"""")"),"ES0031408323131005HX0F")</f>
        <v>ES0031408323131005HX0F</v>
      </c>
      <c r="B4530" s="12">
        <f>IFERROR(__xludf.DUMMYFUNCTION("""COMPUTED_VALUE"""),45054.0)</f>
        <v>45054</v>
      </c>
      <c r="C4530" s="13">
        <f>IFERROR(__xludf.DUMMYFUNCTION("""COMPUTED_VALUE"""),0.75)</f>
        <v>0.75</v>
      </c>
      <c r="D4530" s="8">
        <f>IFERROR(__xludf.DUMMYFUNCTION("""COMPUTED_VALUE"""),0.032)</f>
        <v>0.032</v>
      </c>
      <c r="E4530" s="8" t="str">
        <f>IFERROR(__xludf.DUMMYFUNCTION("""COMPUTED_VALUE"""),"Real")</f>
        <v>Real</v>
      </c>
      <c r="G4530" s="8">
        <f t="shared" si="1"/>
        <v>5</v>
      </c>
      <c r="H4530" s="14">
        <f t="shared" si="2"/>
        <v>8</v>
      </c>
      <c r="I4530" s="15">
        <f t="shared" si="3"/>
        <v>18</v>
      </c>
    </row>
    <row r="4531">
      <c r="A4531" s="8" t="str">
        <f>IFERROR(__xludf.DUMMYFUNCTION("IF('(INGESTA)Datos_consumo_datadis'!A4531&lt;&gt;"""",SPLIT('(INGESTA)Datos_consumo_datadis'!A:A,"",""),"""")"),"ES0031408323131005HX0F")</f>
        <v>ES0031408323131005HX0F</v>
      </c>
      <c r="B4531" s="12">
        <f>IFERROR(__xludf.DUMMYFUNCTION("""COMPUTED_VALUE"""),45054.0)</f>
        <v>45054</v>
      </c>
      <c r="C4531" s="13">
        <f>IFERROR(__xludf.DUMMYFUNCTION("""COMPUTED_VALUE"""),0.7916666666666666)</f>
        <v>0.7916666667</v>
      </c>
      <c r="D4531" s="8">
        <f>IFERROR(__xludf.DUMMYFUNCTION("""COMPUTED_VALUE"""),0.355)</f>
        <v>0.355</v>
      </c>
      <c r="E4531" s="8" t="str">
        <f>IFERROR(__xludf.DUMMYFUNCTION("""COMPUTED_VALUE"""),"Real")</f>
        <v>Real</v>
      </c>
      <c r="G4531" s="8">
        <f t="shared" si="1"/>
        <v>5</v>
      </c>
      <c r="H4531" s="14">
        <f t="shared" si="2"/>
        <v>8</v>
      </c>
      <c r="I4531" s="15">
        <f t="shared" si="3"/>
        <v>19</v>
      </c>
    </row>
    <row r="4532">
      <c r="A4532" s="8" t="str">
        <f>IFERROR(__xludf.DUMMYFUNCTION("IF('(INGESTA)Datos_consumo_datadis'!A4532&lt;&gt;"""",SPLIT('(INGESTA)Datos_consumo_datadis'!A:A,"",""),"""")"),"ES0031408323131005HX0F")</f>
        <v>ES0031408323131005HX0F</v>
      </c>
      <c r="B4532" s="12">
        <f>IFERROR(__xludf.DUMMYFUNCTION("""COMPUTED_VALUE"""),45054.0)</f>
        <v>45054</v>
      </c>
      <c r="C4532" s="13">
        <f>IFERROR(__xludf.DUMMYFUNCTION("""COMPUTED_VALUE"""),0.8333333333333334)</f>
        <v>0.8333333333</v>
      </c>
      <c r="D4532" s="8">
        <f>IFERROR(__xludf.DUMMYFUNCTION("""COMPUTED_VALUE"""),0.061)</f>
        <v>0.061</v>
      </c>
      <c r="E4532" s="8" t="str">
        <f>IFERROR(__xludf.DUMMYFUNCTION("""COMPUTED_VALUE"""),"Real")</f>
        <v>Real</v>
      </c>
      <c r="G4532" s="8">
        <f t="shared" si="1"/>
        <v>5</v>
      </c>
      <c r="H4532" s="14">
        <f t="shared" si="2"/>
        <v>8</v>
      </c>
      <c r="I4532" s="15">
        <f t="shared" si="3"/>
        <v>20</v>
      </c>
    </row>
    <row r="4533">
      <c r="A4533" s="8" t="str">
        <f>IFERROR(__xludf.DUMMYFUNCTION("IF('(INGESTA)Datos_consumo_datadis'!A4533&lt;&gt;"""",SPLIT('(INGESTA)Datos_consumo_datadis'!A:A,"",""),"""")"),"ES0031408323131005HX0F")</f>
        <v>ES0031408323131005HX0F</v>
      </c>
      <c r="B4533" s="12">
        <f>IFERROR(__xludf.DUMMYFUNCTION("""COMPUTED_VALUE"""),45054.0)</f>
        <v>45054</v>
      </c>
      <c r="C4533" s="13">
        <f>IFERROR(__xludf.DUMMYFUNCTION("""COMPUTED_VALUE"""),0.875)</f>
        <v>0.875</v>
      </c>
      <c r="D4533" s="8">
        <f>IFERROR(__xludf.DUMMYFUNCTION("""COMPUTED_VALUE"""),0.017)</f>
        <v>0.017</v>
      </c>
      <c r="E4533" s="8" t="str">
        <f>IFERROR(__xludf.DUMMYFUNCTION("""COMPUTED_VALUE"""),"Real")</f>
        <v>Real</v>
      </c>
      <c r="G4533" s="8">
        <f t="shared" si="1"/>
        <v>5</v>
      </c>
      <c r="H4533" s="14">
        <f t="shared" si="2"/>
        <v>8</v>
      </c>
      <c r="I4533" s="15">
        <f t="shared" si="3"/>
        <v>21</v>
      </c>
    </row>
    <row r="4534">
      <c r="A4534" s="8" t="str">
        <f>IFERROR(__xludf.DUMMYFUNCTION("IF('(INGESTA)Datos_consumo_datadis'!A4534&lt;&gt;"""",SPLIT('(INGESTA)Datos_consumo_datadis'!A:A,"",""),"""")"),"ES0031408323131005HX0F")</f>
        <v>ES0031408323131005HX0F</v>
      </c>
      <c r="B4534" s="12">
        <f>IFERROR(__xludf.DUMMYFUNCTION("""COMPUTED_VALUE"""),45054.0)</f>
        <v>45054</v>
      </c>
      <c r="C4534" s="13">
        <f>IFERROR(__xludf.DUMMYFUNCTION("""COMPUTED_VALUE"""),0.9166666666666666)</f>
        <v>0.9166666667</v>
      </c>
      <c r="D4534" s="8">
        <f>IFERROR(__xludf.DUMMYFUNCTION("""COMPUTED_VALUE"""),0.112)</f>
        <v>0.112</v>
      </c>
      <c r="E4534" s="8" t="str">
        <f>IFERROR(__xludf.DUMMYFUNCTION("""COMPUTED_VALUE"""),"Real")</f>
        <v>Real</v>
      </c>
      <c r="G4534" s="8">
        <f t="shared" si="1"/>
        <v>5</v>
      </c>
      <c r="H4534" s="14">
        <f t="shared" si="2"/>
        <v>8</v>
      </c>
      <c r="I4534" s="15">
        <f t="shared" si="3"/>
        <v>22</v>
      </c>
    </row>
    <row r="4535">
      <c r="A4535" s="8" t="str">
        <f>IFERROR(__xludf.DUMMYFUNCTION("IF('(INGESTA)Datos_consumo_datadis'!A4535&lt;&gt;"""",SPLIT('(INGESTA)Datos_consumo_datadis'!A:A,"",""),"""")"),"ES0031408323131005HX0F")</f>
        <v>ES0031408323131005HX0F</v>
      </c>
      <c r="B4535" s="12">
        <f>IFERROR(__xludf.DUMMYFUNCTION("""COMPUTED_VALUE"""),45054.0)</f>
        <v>45054</v>
      </c>
      <c r="C4535" s="13">
        <f>IFERROR(__xludf.DUMMYFUNCTION("""COMPUTED_VALUE"""),0.9583333333333334)</f>
        <v>0.9583333333</v>
      </c>
      <c r="D4535" s="8">
        <f>IFERROR(__xludf.DUMMYFUNCTION("""COMPUTED_VALUE"""),0.093)</f>
        <v>0.093</v>
      </c>
      <c r="E4535" s="8" t="str">
        <f>IFERROR(__xludf.DUMMYFUNCTION("""COMPUTED_VALUE"""),"Real")</f>
        <v>Real</v>
      </c>
      <c r="G4535" s="8">
        <f t="shared" si="1"/>
        <v>5</v>
      </c>
      <c r="H4535" s="14">
        <f t="shared" si="2"/>
        <v>8</v>
      </c>
      <c r="I4535" s="15">
        <f t="shared" si="3"/>
        <v>23</v>
      </c>
    </row>
    <row r="4536">
      <c r="A4536" s="8" t="str">
        <f>IFERROR(__xludf.DUMMYFUNCTION("IF('(INGESTA)Datos_consumo_datadis'!A4536&lt;&gt;"""",SPLIT('(INGESTA)Datos_consumo_datadis'!A:A,"",""),"""")"),"ES0031408323131005HX0F")</f>
        <v>ES0031408323131005HX0F</v>
      </c>
      <c r="B4536" s="12">
        <f>IFERROR(__xludf.DUMMYFUNCTION("""COMPUTED_VALUE"""),45054.0)</f>
        <v>45054</v>
      </c>
      <c r="C4536" s="16">
        <f>IFERROR(__xludf.DUMMYFUNCTION("""COMPUTED_VALUE"""),1.0)</f>
        <v>1</v>
      </c>
      <c r="D4536" s="8">
        <f>IFERROR(__xludf.DUMMYFUNCTION("""COMPUTED_VALUE"""),0.218)</f>
        <v>0.218</v>
      </c>
      <c r="E4536" s="8" t="str">
        <f>IFERROR(__xludf.DUMMYFUNCTION("""COMPUTED_VALUE"""),"Real")</f>
        <v>Real</v>
      </c>
      <c r="G4536" s="8">
        <f t="shared" si="1"/>
        <v>5</v>
      </c>
      <c r="H4536" s="14">
        <f t="shared" si="2"/>
        <v>8</v>
      </c>
      <c r="I4536" s="15">
        <f t="shared" si="3"/>
        <v>0</v>
      </c>
    </row>
    <row r="4537">
      <c r="A4537" s="8" t="str">
        <f>IFERROR(__xludf.DUMMYFUNCTION("IF('(INGESTA)Datos_consumo_datadis'!A4537&lt;&gt;"""",SPLIT('(INGESTA)Datos_consumo_datadis'!A:A,"",""),"""")"),"ES0031408323131005HX0F")</f>
        <v>ES0031408323131005HX0F</v>
      </c>
      <c r="B4537" s="12">
        <f>IFERROR(__xludf.DUMMYFUNCTION("""COMPUTED_VALUE"""),45055.0)</f>
        <v>45055</v>
      </c>
      <c r="C4537" s="13">
        <f>IFERROR(__xludf.DUMMYFUNCTION("""COMPUTED_VALUE"""),0.041666666666666664)</f>
        <v>0.04166666667</v>
      </c>
      <c r="D4537" s="8">
        <f>IFERROR(__xludf.DUMMYFUNCTION("""COMPUTED_VALUE"""),0.43)</f>
        <v>0.43</v>
      </c>
      <c r="E4537" s="8" t="str">
        <f>IFERROR(__xludf.DUMMYFUNCTION("""COMPUTED_VALUE"""),"Real")</f>
        <v>Real</v>
      </c>
      <c r="G4537" s="8">
        <f t="shared" si="1"/>
        <v>5</v>
      </c>
      <c r="H4537" s="14">
        <f t="shared" si="2"/>
        <v>9</v>
      </c>
      <c r="I4537" s="15">
        <f t="shared" si="3"/>
        <v>1</v>
      </c>
    </row>
    <row r="4538">
      <c r="A4538" s="8" t="str">
        <f>IFERROR(__xludf.DUMMYFUNCTION("IF('(INGESTA)Datos_consumo_datadis'!A4538&lt;&gt;"""",SPLIT('(INGESTA)Datos_consumo_datadis'!A:A,"",""),"""")"),"ES0031408323131005HX0F")</f>
        <v>ES0031408323131005HX0F</v>
      </c>
      <c r="B4538" s="12">
        <f>IFERROR(__xludf.DUMMYFUNCTION("""COMPUTED_VALUE"""),45055.0)</f>
        <v>45055</v>
      </c>
      <c r="C4538" s="13">
        <f>IFERROR(__xludf.DUMMYFUNCTION("""COMPUTED_VALUE"""),0.08333333333333333)</f>
        <v>0.08333333333</v>
      </c>
      <c r="D4538" s="8">
        <f>IFERROR(__xludf.DUMMYFUNCTION("""COMPUTED_VALUE"""),0.136)</f>
        <v>0.136</v>
      </c>
      <c r="E4538" s="8" t="str">
        <f>IFERROR(__xludf.DUMMYFUNCTION("""COMPUTED_VALUE"""),"Real")</f>
        <v>Real</v>
      </c>
      <c r="G4538" s="8">
        <f t="shared" si="1"/>
        <v>5</v>
      </c>
      <c r="H4538" s="14">
        <f t="shared" si="2"/>
        <v>9</v>
      </c>
      <c r="I4538" s="15">
        <f t="shared" si="3"/>
        <v>2</v>
      </c>
    </row>
    <row r="4539">
      <c r="A4539" s="8" t="str">
        <f>IFERROR(__xludf.DUMMYFUNCTION("IF('(INGESTA)Datos_consumo_datadis'!A4539&lt;&gt;"""",SPLIT('(INGESTA)Datos_consumo_datadis'!A:A,"",""),"""")"),"ES0031408323131005HX0F")</f>
        <v>ES0031408323131005HX0F</v>
      </c>
      <c r="B4539" s="12">
        <f>IFERROR(__xludf.DUMMYFUNCTION("""COMPUTED_VALUE"""),45055.0)</f>
        <v>45055</v>
      </c>
      <c r="C4539" s="13">
        <f>IFERROR(__xludf.DUMMYFUNCTION("""COMPUTED_VALUE"""),0.125)</f>
        <v>0.125</v>
      </c>
      <c r="D4539" s="8">
        <f>IFERROR(__xludf.DUMMYFUNCTION("""COMPUTED_VALUE"""),0.138)</f>
        <v>0.138</v>
      </c>
      <c r="E4539" s="8" t="str">
        <f>IFERROR(__xludf.DUMMYFUNCTION("""COMPUTED_VALUE"""),"Real")</f>
        <v>Real</v>
      </c>
      <c r="G4539" s="8">
        <f t="shared" si="1"/>
        <v>5</v>
      </c>
      <c r="H4539" s="14">
        <f t="shared" si="2"/>
        <v>9</v>
      </c>
      <c r="I4539" s="15">
        <f t="shared" si="3"/>
        <v>3</v>
      </c>
    </row>
    <row r="4540">
      <c r="A4540" s="8" t="str">
        <f>IFERROR(__xludf.DUMMYFUNCTION("IF('(INGESTA)Datos_consumo_datadis'!A4540&lt;&gt;"""",SPLIT('(INGESTA)Datos_consumo_datadis'!A:A,"",""),"""")"),"ES0031408323131005HX0F")</f>
        <v>ES0031408323131005HX0F</v>
      </c>
      <c r="B4540" s="12">
        <f>IFERROR(__xludf.DUMMYFUNCTION("""COMPUTED_VALUE"""),45055.0)</f>
        <v>45055</v>
      </c>
      <c r="C4540" s="13">
        <f>IFERROR(__xludf.DUMMYFUNCTION("""COMPUTED_VALUE"""),0.16666666666666666)</f>
        <v>0.1666666667</v>
      </c>
      <c r="D4540" s="8">
        <f>IFERROR(__xludf.DUMMYFUNCTION("""COMPUTED_VALUE"""),0.119)</f>
        <v>0.119</v>
      </c>
      <c r="E4540" s="8" t="str">
        <f>IFERROR(__xludf.DUMMYFUNCTION("""COMPUTED_VALUE"""),"Real")</f>
        <v>Real</v>
      </c>
      <c r="G4540" s="8">
        <f t="shared" si="1"/>
        <v>5</v>
      </c>
      <c r="H4540" s="14">
        <f t="shared" si="2"/>
        <v>9</v>
      </c>
      <c r="I4540" s="15">
        <f t="shared" si="3"/>
        <v>4</v>
      </c>
    </row>
    <row r="4541">
      <c r="A4541" s="8" t="str">
        <f>IFERROR(__xludf.DUMMYFUNCTION("IF('(INGESTA)Datos_consumo_datadis'!A4541&lt;&gt;"""",SPLIT('(INGESTA)Datos_consumo_datadis'!A:A,"",""),"""")"),"ES0031408323131005HX0F")</f>
        <v>ES0031408323131005HX0F</v>
      </c>
      <c r="B4541" s="12">
        <f>IFERROR(__xludf.DUMMYFUNCTION("""COMPUTED_VALUE"""),45055.0)</f>
        <v>45055</v>
      </c>
      <c r="C4541" s="13">
        <f>IFERROR(__xludf.DUMMYFUNCTION("""COMPUTED_VALUE"""),0.20833333333333334)</f>
        <v>0.2083333333</v>
      </c>
      <c r="D4541" s="8">
        <f>IFERROR(__xludf.DUMMYFUNCTION("""COMPUTED_VALUE"""),0.038)</f>
        <v>0.038</v>
      </c>
      <c r="E4541" s="8" t="str">
        <f>IFERROR(__xludf.DUMMYFUNCTION("""COMPUTED_VALUE"""),"Real")</f>
        <v>Real</v>
      </c>
      <c r="G4541" s="8">
        <f t="shared" si="1"/>
        <v>5</v>
      </c>
      <c r="H4541" s="14">
        <f t="shared" si="2"/>
        <v>9</v>
      </c>
      <c r="I4541" s="15">
        <f t="shared" si="3"/>
        <v>5</v>
      </c>
    </row>
    <row r="4542">
      <c r="A4542" s="8" t="str">
        <f>IFERROR(__xludf.DUMMYFUNCTION("IF('(INGESTA)Datos_consumo_datadis'!A4542&lt;&gt;"""",SPLIT('(INGESTA)Datos_consumo_datadis'!A:A,"",""),"""")"),"ES0031408323131005HX0F")</f>
        <v>ES0031408323131005HX0F</v>
      </c>
      <c r="B4542" s="12">
        <f>IFERROR(__xludf.DUMMYFUNCTION("""COMPUTED_VALUE"""),45055.0)</f>
        <v>45055</v>
      </c>
      <c r="C4542" s="13">
        <f>IFERROR(__xludf.DUMMYFUNCTION("""COMPUTED_VALUE"""),0.25)</f>
        <v>0.25</v>
      </c>
      <c r="D4542" s="8">
        <f>IFERROR(__xludf.DUMMYFUNCTION("""COMPUTED_VALUE"""),0.073)</f>
        <v>0.073</v>
      </c>
      <c r="E4542" s="8" t="str">
        <f>IFERROR(__xludf.DUMMYFUNCTION("""COMPUTED_VALUE"""),"Real")</f>
        <v>Real</v>
      </c>
      <c r="G4542" s="8">
        <f t="shared" si="1"/>
        <v>5</v>
      </c>
      <c r="H4542" s="14">
        <f t="shared" si="2"/>
        <v>9</v>
      </c>
      <c r="I4542" s="15">
        <f t="shared" si="3"/>
        <v>6</v>
      </c>
    </row>
    <row r="4543">
      <c r="A4543" s="8" t="str">
        <f>IFERROR(__xludf.DUMMYFUNCTION("IF('(INGESTA)Datos_consumo_datadis'!A4543&lt;&gt;"""",SPLIT('(INGESTA)Datos_consumo_datadis'!A:A,"",""),"""")"),"ES0031408323131005HX0F")</f>
        <v>ES0031408323131005HX0F</v>
      </c>
      <c r="B4543" s="12">
        <f>IFERROR(__xludf.DUMMYFUNCTION("""COMPUTED_VALUE"""),45055.0)</f>
        <v>45055</v>
      </c>
      <c r="C4543" s="13">
        <f>IFERROR(__xludf.DUMMYFUNCTION("""COMPUTED_VALUE"""),0.2916666666666667)</f>
        <v>0.2916666667</v>
      </c>
      <c r="D4543" s="8">
        <f>IFERROR(__xludf.DUMMYFUNCTION("""COMPUTED_VALUE"""),0.242)</f>
        <v>0.242</v>
      </c>
      <c r="E4543" s="8" t="str">
        <f>IFERROR(__xludf.DUMMYFUNCTION("""COMPUTED_VALUE"""),"Real")</f>
        <v>Real</v>
      </c>
      <c r="G4543" s="8">
        <f t="shared" si="1"/>
        <v>5</v>
      </c>
      <c r="H4543" s="14">
        <f t="shared" si="2"/>
        <v>9</v>
      </c>
      <c r="I4543" s="15">
        <f t="shared" si="3"/>
        <v>7</v>
      </c>
    </row>
    <row r="4544">
      <c r="A4544" s="8" t="str">
        <f>IFERROR(__xludf.DUMMYFUNCTION("IF('(INGESTA)Datos_consumo_datadis'!A4544&lt;&gt;"""",SPLIT('(INGESTA)Datos_consumo_datadis'!A:A,"",""),"""")"),"ES0031408323131005HX0F")</f>
        <v>ES0031408323131005HX0F</v>
      </c>
      <c r="B4544" s="12">
        <f>IFERROR(__xludf.DUMMYFUNCTION("""COMPUTED_VALUE"""),45055.0)</f>
        <v>45055</v>
      </c>
      <c r="C4544" s="13">
        <f>IFERROR(__xludf.DUMMYFUNCTION("""COMPUTED_VALUE"""),0.3333333333333333)</f>
        <v>0.3333333333</v>
      </c>
      <c r="D4544" s="8">
        <f>IFERROR(__xludf.DUMMYFUNCTION("""COMPUTED_VALUE"""),0.914)</f>
        <v>0.914</v>
      </c>
      <c r="E4544" s="8" t="str">
        <f>IFERROR(__xludf.DUMMYFUNCTION("""COMPUTED_VALUE"""),"Real")</f>
        <v>Real</v>
      </c>
      <c r="G4544" s="8">
        <f t="shared" si="1"/>
        <v>5</v>
      </c>
      <c r="H4544" s="14">
        <f t="shared" si="2"/>
        <v>9</v>
      </c>
      <c r="I4544" s="15">
        <f t="shared" si="3"/>
        <v>8</v>
      </c>
    </row>
    <row r="4545">
      <c r="A4545" s="8" t="str">
        <f>IFERROR(__xludf.DUMMYFUNCTION("IF('(INGESTA)Datos_consumo_datadis'!A4545&lt;&gt;"""",SPLIT('(INGESTA)Datos_consumo_datadis'!A:A,"",""),"""")"),"ES0031408323131005HX0F")</f>
        <v>ES0031408323131005HX0F</v>
      </c>
      <c r="B4545" s="12">
        <f>IFERROR(__xludf.DUMMYFUNCTION("""COMPUTED_VALUE"""),45055.0)</f>
        <v>45055</v>
      </c>
      <c r="C4545" s="13">
        <f>IFERROR(__xludf.DUMMYFUNCTION("""COMPUTED_VALUE"""),0.375)</f>
        <v>0.375</v>
      </c>
      <c r="D4545" s="8">
        <f>IFERROR(__xludf.DUMMYFUNCTION("""COMPUTED_VALUE"""),0.101)</f>
        <v>0.101</v>
      </c>
      <c r="E4545" s="8" t="str">
        <f>IFERROR(__xludf.DUMMYFUNCTION("""COMPUTED_VALUE"""),"Real")</f>
        <v>Real</v>
      </c>
      <c r="G4545" s="8">
        <f t="shared" si="1"/>
        <v>5</v>
      </c>
      <c r="H4545" s="14">
        <f t="shared" si="2"/>
        <v>9</v>
      </c>
      <c r="I4545" s="15">
        <f t="shared" si="3"/>
        <v>9</v>
      </c>
    </row>
    <row r="4546">
      <c r="A4546" s="8" t="str">
        <f>IFERROR(__xludf.DUMMYFUNCTION("IF('(INGESTA)Datos_consumo_datadis'!A4546&lt;&gt;"""",SPLIT('(INGESTA)Datos_consumo_datadis'!A:A,"",""),"""")"),"ES0031408323131005HX0F")</f>
        <v>ES0031408323131005HX0F</v>
      </c>
      <c r="B4546" s="12">
        <f>IFERROR(__xludf.DUMMYFUNCTION("""COMPUTED_VALUE"""),45055.0)</f>
        <v>45055</v>
      </c>
      <c r="C4546" s="13">
        <f>IFERROR(__xludf.DUMMYFUNCTION("""COMPUTED_VALUE"""),0.4166666666666667)</f>
        <v>0.4166666667</v>
      </c>
      <c r="D4546" s="8">
        <f>IFERROR(__xludf.DUMMYFUNCTION("""COMPUTED_VALUE"""),0.063)</f>
        <v>0.063</v>
      </c>
      <c r="E4546" s="8" t="str">
        <f>IFERROR(__xludf.DUMMYFUNCTION("""COMPUTED_VALUE"""),"Real")</f>
        <v>Real</v>
      </c>
      <c r="G4546" s="8">
        <f t="shared" si="1"/>
        <v>5</v>
      </c>
      <c r="H4546" s="14">
        <f t="shared" si="2"/>
        <v>9</v>
      </c>
      <c r="I4546" s="15">
        <f t="shared" si="3"/>
        <v>10</v>
      </c>
    </row>
    <row r="4547">
      <c r="A4547" s="8" t="str">
        <f>IFERROR(__xludf.DUMMYFUNCTION("IF('(INGESTA)Datos_consumo_datadis'!A4547&lt;&gt;"""",SPLIT('(INGESTA)Datos_consumo_datadis'!A:A,"",""),"""")"),"ES0031408323131005HX0F")</f>
        <v>ES0031408323131005HX0F</v>
      </c>
      <c r="B4547" s="12">
        <f>IFERROR(__xludf.DUMMYFUNCTION("""COMPUTED_VALUE"""),45055.0)</f>
        <v>45055</v>
      </c>
      <c r="C4547" s="13">
        <f>IFERROR(__xludf.DUMMYFUNCTION("""COMPUTED_VALUE"""),0.4583333333333333)</f>
        <v>0.4583333333</v>
      </c>
      <c r="D4547" s="8">
        <f>IFERROR(__xludf.DUMMYFUNCTION("""COMPUTED_VALUE"""),0.082)</f>
        <v>0.082</v>
      </c>
      <c r="E4547" s="8" t="str">
        <f>IFERROR(__xludf.DUMMYFUNCTION("""COMPUTED_VALUE"""),"Real")</f>
        <v>Real</v>
      </c>
      <c r="G4547" s="8">
        <f t="shared" si="1"/>
        <v>5</v>
      </c>
      <c r="H4547" s="14">
        <f t="shared" si="2"/>
        <v>9</v>
      </c>
      <c r="I4547" s="15">
        <f t="shared" si="3"/>
        <v>11</v>
      </c>
    </row>
    <row r="4548">
      <c r="A4548" s="8" t="str">
        <f>IFERROR(__xludf.DUMMYFUNCTION("IF('(INGESTA)Datos_consumo_datadis'!A4548&lt;&gt;"""",SPLIT('(INGESTA)Datos_consumo_datadis'!A:A,"",""),"""")"),"ES0031408323131005HX0F")</f>
        <v>ES0031408323131005HX0F</v>
      </c>
      <c r="B4548" s="12">
        <f>IFERROR(__xludf.DUMMYFUNCTION("""COMPUTED_VALUE"""),45055.0)</f>
        <v>45055</v>
      </c>
      <c r="C4548" s="13">
        <f>IFERROR(__xludf.DUMMYFUNCTION("""COMPUTED_VALUE"""),0.5)</f>
        <v>0.5</v>
      </c>
      <c r="D4548" s="8">
        <f>IFERROR(__xludf.DUMMYFUNCTION("""COMPUTED_VALUE"""),0.681)</f>
        <v>0.681</v>
      </c>
      <c r="E4548" s="8" t="str">
        <f>IFERROR(__xludf.DUMMYFUNCTION("""COMPUTED_VALUE"""),"Real")</f>
        <v>Real</v>
      </c>
      <c r="G4548" s="8">
        <f t="shared" si="1"/>
        <v>5</v>
      </c>
      <c r="H4548" s="14">
        <f t="shared" si="2"/>
        <v>9</v>
      </c>
      <c r="I4548" s="15">
        <f t="shared" si="3"/>
        <v>12</v>
      </c>
    </row>
    <row r="4549">
      <c r="A4549" s="8" t="str">
        <f>IFERROR(__xludf.DUMMYFUNCTION("IF('(INGESTA)Datos_consumo_datadis'!A4549&lt;&gt;"""",SPLIT('(INGESTA)Datos_consumo_datadis'!A:A,"",""),"""")"),"ES0031408323131005HX0F")</f>
        <v>ES0031408323131005HX0F</v>
      </c>
      <c r="B4549" s="12">
        <f>IFERROR(__xludf.DUMMYFUNCTION("""COMPUTED_VALUE"""),45055.0)</f>
        <v>45055</v>
      </c>
      <c r="C4549" s="13">
        <f>IFERROR(__xludf.DUMMYFUNCTION("""COMPUTED_VALUE"""),0.5416666666666666)</f>
        <v>0.5416666667</v>
      </c>
      <c r="D4549" s="8">
        <f>IFERROR(__xludf.DUMMYFUNCTION("""COMPUTED_VALUE"""),1.432)</f>
        <v>1.432</v>
      </c>
      <c r="E4549" s="8" t="str">
        <f>IFERROR(__xludf.DUMMYFUNCTION("""COMPUTED_VALUE"""),"Real")</f>
        <v>Real</v>
      </c>
      <c r="G4549" s="8">
        <f t="shared" si="1"/>
        <v>5</v>
      </c>
      <c r="H4549" s="14">
        <f t="shared" si="2"/>
        <v>9</v>
      </c>
      <c r="I4549" s="15">
        <f t="shared" si="3"/>
        <v>13</v>
      </c>
    </row>
    <row r="4550">
      <c r="A4550" s="8" t="str">
        <f>IFERROR(__xludf.DUMMYFUNCTION("IF('(INGESTA)Datos_consumo_datadis'!A4550&lt;&gt;"""",SPLIT('(INGESTA)Datos_consumo_datadis'!A:A,"",""),"""")"),"ES0031408323131005HX0F")</f>
        <v>ES0031408323131005HX0F</v>
      </c>
      <c r="B4550" s="12">
        <f>IFERROR(__xludf.DUMMYFUNCTION("""COMPUTED_VALUE"""),45055.0)</f>
        <v>45055</v>
      </c>
      <c r="C4550" s="13">
        <f>IFERROR(__xludf.DUMMYFUNCTION("""COMPUTED_VALUE"""),0.5833333333333334)</f>
        <v>0.5833333333</v>
      </c>
      <c r="D4550" s="8">
        <f>IFERROR(__xludf.DUMMYFUNCTION("""COMPUTED_VALUE"""),0.789)</f>
        <v>0.789</v>
      </c>
      <c r="E4550" s="8" t="str">
        <f>IFERROR(__xludf.DUMMYFUNCTION("""COMPUTED_VALUE"""),"Real")</f>
        <v>Real</v>
      </c>
      <c r="G4550" s="8">
        <f t="shared" si="1"/>
        <v>5</v>
      </c>
      <c r="H4550" s="14">
        <f t="shared" si="2"/>
        <v>9</v>
      </c>
      <c r="I4550" s="15">
        <f t="shared" si="3"/>
        <v>14</v>
      </c>
    </row>
    <row r="4551">
      <c r="A4551" s="8" t="str">
        <f>IFERROR(__xludf.DUMMYFUNCTION("IF('(INGESTA)Datos_consumo_datadis'!A4551&lt;&gt;"""",SPLIT('(INGESTA)Datos_consumo_datadis'!A:A,"",""),"""")"),"ES0031408323131005HX0F")</f>
        <v>ES0031408323131005HX0F</v>
      </c>
      <c r="B4551" s="12">
        <f>IFERROR(__xludf.DUMMYFUNCTION("""COMPUTED_VALUE"""),45055.0)</f>
        <v>45055</v>
      </c>
      <c r="C4551" s="13">
        <f>IFERROR(__xludf.DUMMYFUNCTION("""COMPUTED_VALUE"""),0.625)</f>
        <v>0.625</v>
      </c>
      <c r="D4551" s="8">
        <f>IFERROR(__xludf.DUMMYFUNCTION("""COMPUTED_VALUE"""),0.108)</f>
        <v>0.108</v>
      </c>
      <c r="E4551" s="8" t="str">
        <f>IFERROR(__xludf.DUMMYFUNCTION("""COMPUTED_VALUE"""),"Real")</f>
        <v>Real</v>
      </c>
      <c r="G4551" s="8">
        <f t="shared" si="1"/>
        <v>5</v>
      </c>
      <c r="H4551" s="14">
        <f t="shared" si="2"/>
        <v>9</v>
      </c>
      <c r="I4551" s="15">
        <f t="shared" si="3"/>
        <v>15</v>
      </c>
    </row>
    <row r="4552">
      <c r="A4552" s="8" t="str">
        <f>IFERROR(__xludf.DUMMYFUNCTION("IF('(INGESTA)Datos_consumo_datadis'!A4552&lt;&gt;"""",SPLIT('(INGESTA)Datos_consumo_datadis'!A:A,"",""),"""")"),"ES0031408323131005HX0F")</f>
        <v>ES0031408323131005HX0F</v>
      </c>
      <c r="B4552" s="12">
        <f>IFERROR(__xludf.DUMMYFUNCTION("""COMPUTED_VALUE"""),45055.0)</f>
        <v>45055</v>
      </c>
      <c r="C4552" s="13">
        <f>IFERROR(__xludf.DUMMYFUNCTION("""COMPUTED_VALUE"""),0.6666666666666666)</f>
        <v>0.6666666667</v>
      </c>
      <c r="D4552" s="8">
        <f>IFERROR(__xludf.DUMMYFUNCTION("""COMPUTED_VALUE"""),0.056)</f>
        <v>0.056</v>
      </c>
      <c r="E4552" s="8" t="str">
        <f>IFERROR(__xludf.DUMMYFUNCTION("""COMPUTED_VALUE"""),"Real")</f>
        <v>Real</v>
      </c>
      <c r="G4552" s="8">
        <f t="shared" si="1"/>
        <v>5</v>
      </c>
      <c r="H4552" s="14">
        <f t="shared" si="2"/>
        <v>9</v>
      </c>
      <c r="I4552" s="15">
        <f t="shared" si="3"/>
        <v>16</v>
      </c>
    </row>
    <row r="4553">
      <c r="A4553" s="8" t="str">
        <f>IFERROR(__xludf.DUMMYFUNCTION("IF('(INGESTA)Datos_consumo_datadis'!A4553&lt;&gt;"""",SPLIT('(INGESTA)Datos_consumo_datadis'!A:A,"",""),"""")"),"ES0031408323131005HX0F")</f>
        <v>ES0031408323131005HX0F</v>
      </c>
      <c r="B4553" s="12">
        <f>IFERROR(__xludf.DUMMYFUNCTION("""COMPUTED_VALUE"""),45055.0)</f>
        <v>45055</v>
      </c>
      <c r="C4553" s="13">
        <f>IFERROR(__xludf.DUMMYFUNCTION("""COMPUTED_VALUE"""),0.7083333333333334)</f>
        <v>0.7083333333</v>
      </c>
      <c r="D4553" s="8">
        <f>IFERROR(__xludf.DUMMYFUNCTION("""COMPUTED_VALUE"""),0.365)</f>
        <v>0.365</v>
      </c>
      <c r="E4553" s="8" t="str">
        <f>IFERROR(__xludf.DUMMYFUNCTION("""COMPUTED_VALUE"""),"Real")</f>
        <v>Real</v>
      </c>
      <c r="G4553" s="8">
        <f t="shared" si="1"/>
        <v>5</v>
      </c>
      <c r="H4553" s="14">
        <f t="shared" si="2"/>
        <v>9</v>
      </c>
      <c r="I4553" s="15">
        <f t="shared" si="3"/>
        <v>17</v>
      </c>
    </row>
    <row r="4554">
      <c r="A4554" s="8" t="str">
        <f>IFERROR(__xludf.DUMMYFUNCTION("IF('(INGESTA)Datos_consumo_datadis'!A4554&lt;&gt;"""",SPLIT('(INGESTA)Datos_consumo_datadis'!A:A,"",""),"""")"),"ES0031408323131005HX0F")</f>
        <v>ES0031408323131005HX0F</v>
      </c>
      <c r="B4554" s="12">
        <f>IFERROR(__xludf.DUMMYFUNCTION("""COMPUTED_VALUE"""),45055.0)</f>
        <v>45055</v>
      </c>
      <c r="C4554" s="13">
        <f>IFERROR(__xludf.DUMMYFUNCTION("""COMPUTED_VALUE"""),0.75)</f>
        <v>0.75</v>
      </c>
      <c r="D4554" s="8">
        <f>IFERROR(__xludf.DUMMYFUNCTION("""COMPUTED_VALUE"""),0.118)</f>
        <v>0.118</v>
      </c>
      <c r="E4554" s="8" t="str">
        <f>IFERROR(__xludf.DUMMYFUNCTION("""COMPUTED_VALUE"""),"Real")</f>
        <v>Real</v>
      </c>
      <c r="G4554" s="8">
        <f t="shared" si="1"/>
        <v>5</v>
      </c>
      <c r="H4554" s="14">
        <f t="shared" si="2"/>
        <v>9</v>
      </c>
      <c r="I4554" s="15">
        <f t="shared" si="3"/>
        <v>18</v>
      </c>
    </row>
    <row r="4555">
      <c r="A4555" s="8" t="str">
        <f>IFERROR(__xludf.DUMMYFUNCTION("IF('(INGESTA)Datos_consumo_datadis'!A4555&lt;&gt;"""",SPLIT('(INGESTA)Datos_consumo_datadis'!A:A,"",""),"""")"),"ES0031408323131005HX0F")</f>
        <v>ES0031408323131005HX0F</v>
      </c>
      <c r="B4555" s="12">
        <f>IFERROR(__xludf.DUMMYFUNCTION("""COMPUTED_VALUE"""),45055.0)</f>
        <v>45055</v>
      </c>
      <c r="C4555" s="13">
        <f>IFERROR(__xludf.DUMMYFUNCTION("""COMPUTED_VALUE"""),0.7916666666666666)</f>
        <v>0.7916666667</v>
      </c>
      <c r="D4555" s="8">
        <f>IFERROR(__xludf.DUMMYFUNCTION("""COMPUTED_VALUE"""),0.091)</f>
        <v>0.091</v>
      </c>
      <c r="E4555" s="8" t="str">
        <f>IFERROR(__xludf.DUMMYFUNCTION("""COMPUTED_VALUE"""),"Real")</f>
        <v>Real</v>
      </c>
      <c r="G4555" s="8">
        <f t="shared" si="1"/>
        <v>5</v>
      </c>
      <c r="H4555" s="14">
        <f t="shared" si="2"/>
        <v>9</v>
      </c>
      <c r="I4555" s="15">
        <f t="shared" si="3"/>
        <v>19</v>
      </c>
    </row>
    <row r="4556">
      <c r="A4556" s="8" t="str">
        <f>IFERROR(__xludf.DUMMYFUNCTION("IF('(INGESTA)Datos_consumo_datadis'!A4556&lt;&gt;"""",SPLIT('(INGESTA)Datos_consumo_datadis'!A:A,"",""),"""")"),"ES0031408323131005HX0F")</f>
        <v>ES0031408323131005HX0F</v>
      </c>
      <c r="B4556" s="12">
        <f>IFERROR(__xludf.DUMMYFUNCTION("""COMPUTED_VALUE"""),45055.0)</f>
        <v>45055</v>
      </c>
      <c r="C4556" s="13">
        <f>IFERROR(__xludf.DUMMYFUNCTION("""COMPUTED_VALUE"""),0.8333333333333334)</f>
        <v>0.8333333333</v>
      </c>
      <c r="D4556" s="8">
        <f>IFERROR(__xludf.DUMMYFUNCTION("""COMPUTED_VALUE"""),0.03)</f>
        <v>0.03</v>
      </c>
      <c r="E4556" s="8" t="str">
        <f>IFERROR(__xludf.DUMMYFUNCTION("""COMPUTED_VALUE"""),"Real")</f>
        <v>Real</v>
      </c>
      <c r="G4556" s="8">
        <f t="shared" si="1"/>
        <v>5</v>
      </c>
      <c r="H4556" s="14">
        <f t="shared" si="2"/>
        <v>9</v>
      </c>
      <c r="I4556" s="15">
        <f t="shared" si="3"/>
        <v>20</v>
      </c>
    </row>
    <row r="4557">
      <c r="A4557" s="8" t="str">
        <f>IFERROR(__xludf.DUMMYFUNCTION("IF('(INGESTA)Datos_consumo_datadis'!A4557&lt;&gt;"""",SPLIT('(INGESTA)Datos_consumo_datadis'!A:A,"",""),"""")"),"ES0031408323131005HX0F")</f>
        <v>ES0031408323131005HX0F</v>
      </c>
      <c r="B4557" s="12">
        <f>IFERROR(__xludf.DUMMYFUNCTION("""COMPUTED_VALUE"""),45055.0)</f>
        <v>45055</v>
      </c>
      <c r="C4557" s="13">
        <f>IFERROR(__xludf.DUMMYFUNCTION("""COMPUTED_VALUE"""),0.875)</f>
        <v>0.875</v>
      </c>
      <c r="D4557" s="8">
        <f>IFERROR(__xludf.DUMMYFUNCTION("""COMPUTED_VALUE"""),0.072)</f>
        <v>0.072</v>
      </c>
      <c r="E4557" s="8" t="str">
        <f>IFERROR(__xludf.DUMMYFUNCTION("""COMPUTED_VALUE"""),"Real")</f>
        <v>Real</v>
      </c>
      <c r="G4557" s="8">
        <f t="shared" si="1"/>
        <v>5</v>
      </c>
      <c r="H4557" s="14">
        <f t="shared" si="2"/>
        <v>9</v>
      </c>
      <c r="I4557" s="15">
        <f t="shared" si="3"/>
        <v>21</v>
      </c>
    </row>
    <row r="4558">
      <c r="A4558" s="8" t="str">
        <f>IFERROR(__xludf.DUMMYFUNCTION("IF('(INGESTA)Datos_consumo_datadis'!A4558&lt;&gt;"""",SPLIT('(INGESTA)Datos_consumo_datadis'!A:A,"",""),"""")"),"ES0031408323131005HX0F")</f>
        <v>ES0031408323131005HX0F</v>
      </c>
      <c r="B4558" s="12">
        <f>IFERROR(__xludf.DUMMYFUNCTION("""COMPUTED_VALUE"""),45055.0)</f>
        <v>45055</v>
      </c>
      <c r="C4558" s="13">
        <f>IFERROR(__xludf.DUMMYFUNCTION("""COMPUTED_VALUE"""),0.9166666666666666)</f>
        <v>0.9166666667</v>
      </c>
      <c r="D4558" s="8">
        <f>IFERROR(__xludf.DUMMYFUNCTION("""COMPUTED_VALUE"""),0.087)</f>
        <v>0.087</v>
      </c>
      <c r="E4558" s="8" t="str">
        <f>IFERROR(__xludf.DUMMYFUNCTION("""COMPUTED_VALUE"""),"Real")</f>
        <v>Real</v>
      </c>
      <c r="G4558" s="8">
        <f t="shared" si="1"/>
        <v>5</v>
      </c>
      <c r="H4558" s="14">
        <f t="shared" si="2"/>
        <v>9</v>
      </c>
      <c r="I4558" s="15">
        <f t="shared" si="3"/>
        <v>22</v>
      </c>
    </row>
    <row r="4559">
      <c r="A4559" s="8" t="str">
        <f>IFERROR(__xludf.DUMMYFUNCTION("IF('(INGESTA)Datos_consumo_datadis'!A4559&lt;&gt;"""",SPLIT('(INGESTA)Datos_consumo_datadis'!A:A,"",""),"""")"),"ES0031408323131005HX0F")</f>
        <v>ES0031408323131005HX0F</v>
      </c>
      <c r="B4559" s="12">
        <f>IFERROR(__xludf.DUMMYFUNCTION("""COMPUTED_VALUE"""),45055.0)</f>
        <v>45055</v>
      </c>
      <c r="C4559" s="13">
        <f>IFERROR(__xludf.DUMMYFUNCTION("""COMPUTED_VALUE"""),0.9583333333333334)</f>
        <v>0.9583333333</v>
      </c>
      <c r="D4559" s="8">
        <f>IFERROR(__xludf.DUMMYFUNCTION("""COMPUTED_VALUE"""),0.044)</f>
        <v>0.044</v>
      </c>
      <c r="E4559" s="8" t="str">
        <f>IFERROR(__xludf.DUMMYFUNCTION("""COMPUTED_VALUE"""),"Real")</f>
        <v>Real</v>
      </c>
      <c r="G4559" s="8">
        <f t="shared" si="1"/>
        <v>5</v>
      </c>
      <c r="H4559" s="14">
        <f t="shared" si="2"/>
        <v>9</v>
      </c>
      <c r="I4559" s="15">
        <f t="shared" si="3"/>
        <v>23</v>
      </c>
    </row>
    <row r="4560">
      <c r="A4560" s="8" t="str">
        <f>IFERROR(__xludf.DUMMYFUNCTION("IF('(INGESTA)Datos_consumo_datadis'!A4560&lt;&gt;"""",SPLIT('(INGESTA)Datos_consumo_datadis'!A:A,"",""),"""")"),"ES0031408323131005HX0F")</f>
        <v>ES0031408323131005HX0F</v>
      </c>
      <c r="B4560" s="12">
        <f>IFERROR(__xludf.DUMMYFUNCTION("""COMPUTED_VALUE"""),45055.0)</f>
        <v>45055</v>
      </c>
      <c r="C4560" s="16">
        <f>IFERROR(__xludf.DUMMYFUNCTION("""COMPUTED_VALUE"""),1.0)</f>
        <v>1</v>
      </c>
      <c r="D4560" s="8">
        <f>IFERROR(__xludf.DUMMYFUNCTION("""COMPUTED_VALUE"""),0.399)</f>
        <v>0.399</v>
      </c>
      <c r="E4560" s="8" t="str">
        <f>IFERROR(__xludf.DUMMYFUNCTION("""COMPUTED_VALUE"""),"Real")</f>
        <v>Real</v>
      </c>
      <c r="G4560" s="8">
        <f t="shared" si="1"/>
        <v>5</v>
      </c>
      <c r="H4560" s="14">
        <f t="shared" si="2"/>
        <v>9</v>
      </c>
      <c r="I4560" s="15">
        <f t="shared" si="3"/>
        <v>0</v>
      </c>
    </row>
    <row r="4561">
      <c r="A4561" s="8" t="str">
        <f>IFERROR(__xludf.DUMMYFUNCTION("IF('(INGESTA)Datos_consumo_datadis'!A4561&lt;&gt;"""",SPLIT('(INGESTA)Datos_consumo_datadis'!A:A,"",""),"""")"),"ES0031408323131005HX0F")</f>
        <v>ES0031408323131005HX0F</v>
      </c>
      <c r="B4561" s="12">
        <f>IFERROR(__xludf.DUMMYFUNCTION("""COMPUTED_VALUE"""),45056.0)</f>
        <v>45056</v>
      </c>
      <c r="C4561" s="13">
        <f>IFERROR(__xludf.DUMMYFUNCTION("""COMPUTED_VALUE"""),0.041666666666666664)</f>
        <v>0.04166666667</v>
      </c>
      <c r="D4561" s="8">
        <f>IFERROR(__xludf.DUMMYFUNCTION("""COMPUTED_VALUE"""),0.108)</f>
        <v>0.108</v>
      </c>
      <c r="E4561" s="8" t="str">
        <f>IFERROR(__xludf.DUMMYFUNCTION("""COMPUTED_VALUE"""),"Real")</f>
        <v>Real</v>
      </c>
      <c r="G4561" s="8">
        <f t="shared" si="1"/>
        <v>5</v>
      </c>
      <c r="H4561" s="14">
        <f t="shared" si="2"/>
        <v>10</v>
      </c>
      <c r="I4561" s="15">
        <f t="shared" si="3"/>
        <v>1</v>
      </c>
    </row>
    <row r="4562">
      <c r="A4562" s="8" t="str">
        <f>IFERROR(__xludf.DUMMYFUNCTION("IF('(INGESTA)Datos_consumo_datadis'!A4562&lt;&gt;"""",SPLIT('(INGESTA)Datos_consumo_datadis'!A:A,"",""),"""")"),"ES0031408323131005HX0F")</f>
        <v>ES0031408323131005HX0F</v>
      </c>
      <c r="B4562" s="12">
        <f>IFERROR(__xludf.DUMMYFUNCTION("""COMPUTED_VALUE"""),45056.0)</f>
        <v>45056</v>
      </c>
      <c r="C4562" s="13">
        <f>IFERROR(__xludf.DUMMYFUNCTION("""COMPUTED_VALUE"""),0.08333333333333333)</f>
        <v>0.08333333333</v>
      </c>
      <c r="D4562" s="8">
        <f>IFERROR(__xludf.DUMMYFUNCTION("""COMPUTED_VALUE"""),0.079)</f>
        <v>0.079</v>
      </c>
      <c r="E4562" s="8" t="str">
        <f>IFERROR(__xludf.DUMMYFUNCTION("""COMPUTED_VALUE"""),"Real")</f>
        <v>Real</v>
      </c>
      <c r="G4562" s="8">
        <f t="shared" si="1"/>
        <v>5</v>
      </c>
      <c r="H4562" s="14">
        <f t="shared" si="2"/>
        <v>10</v>
      </c>
      <c r="I4562" s="15">
        <f t="shared" si="3"/>
        <v>2</v>
      </c>
    </row>
    <row r="4563">
      <c r="A4563" s="8" t="str">
        <f>IFERROR(__xludf.DUMMYFUNCTION("IF('(INGESTA)Datos_consumo_datadis'!A4563&lt;&gt;"""",SPLIT('(INGESTA)Datos_consumo_datadis'!A:A,"",""),"""")"),"ES0031408323131005HX0F")</f>
        <v>ES0031408323131005HX0F</v>
      </c>
      <c r="B4563" s="12">
        <f>IFERROR(__xludf.DUMMYFUNCTION("""COMPUTED_VALUE"""),45056.0)</f>
        <v>45056</v>
      </c>
      <c r="C4563" s="13">
        <f>IFERROR(__xludf.DUMMYFUNCTION("""COMPUTED_VALUE"""),0.125)</f>
        <v>0.125</v>
      </c>
      <c r="D4563" s="8">
        <f>IFERROR(__xludf.DUMMYFUNCTION("""COMPUTED_VALUE"""),0.045)</f>
        <v>0.045</v>
      </c>
      <c r="E4563" s="8" t="str">
        <f>IFERROR(__xludf.DUMMYFUNCTION("""COMPUTED_VALUE"""),"Real")</f>
        <v>Real</v>
      </c>
      <c r="G4563" s="8">
        <f t="shared" si="1"/>
        <v>5</v>
      </c>
      <c r="H4563" s="14">
        <f t="shared" si="2"/>
        <v>10</v>
      </c>
      <c r="I4563" s="15">
        <f t="shared" si="3"/>
        <v>3</v>
      </c>
    </row>
    <row r="4564">
      <c r="A4564" s="8" t="str">
        <f>IFERROR(__xludf.DUMMYFUNCTION("IF('(INGESTA)Datos_consumo_datadis'!A4564&lt;&gt;"""",SPLIT('(INGESTA)Datos_consumo_datadis'!A:A,"",""),"""")"),"ES0031408323131005HX0F")</f>
        <v>ES0031408323131005HX0F</v>
      </c>
      <c r="B4564" s="12">
        <f>IFERROR(__xludf.DUMMYFUNCTION("""COMPUTED_VALUE"""),45056.0)</f>
        <v>45056</v>
      </c>
      <c r="C4564" s="13">
        <f>IFERROR(__xludf.DUMMYFUNCTION("""COMPUTED_VALUE"""),0.16666666666666666)</f>
        <v>0.1666666667</v>
      </c>
      <c r="D4564" s="8">
        <f>IFERROR(__xludf.DUMMYFUNCTION("""COMPUTED_VALUE"""),0.114)</f>
        <v>0.114</v>
      </c>
      <c r="E4564" s="8" t="str">
        <f>IFERROR(__xludf.DUMMYFUNCTION("""COMPUTED_VALUE"""),"Real")</f>
        <v>Real</v>
      </c>
      <c r="G4564" s="8">
        <f t="shared" si="1"/>
        <v>5</v>
      </c>
      <c r="H4564" s="14">
        <f t="shared" si="2"/>
        <v>10</v>
      </c>
      <c r="I4564" s="15">
        <f t="shared" si="3"/>
        <v>4</v>
      </c>
    </row>
    <row r="4565">
      <c r="A4565" s="8" t="str">
        <f>IFERROR(__xludf.DUMMYFUNCTION("IF('(INGESTA)Datos_consumo_datadis'!A4565&lt;&gt;"""",SPLIT('(INGESTA)Datos_consumo_datadis'!A:A,"",""),"""")"),"ES0031408323131005HX0F")</f>
        <v>ES0031408323131005HX0F</v>
      </c>
      <c r="B4565" s="12">
        <f>IFERROR(__xludf.DUMMYFUNCTION("""COMPUTED_VALUE"""),45056.0)</f>
        <v>45056</v>
      </c>
      <c r="C4565" s="13">
        <f>IFERROR(__xludf.DUMMYFUNCTION("""COMPUTED_VALUE"""),0.20833333333333334)</f>
        <v>0.2083333333</v>
      </c>
      <c r="D4565" s="8">
        <f>IFERROR(__xludf.DUMMYFUNCTION("""COMPUTED_VALUE"""),0.057)</f>
        <v>0.057</v>
      </c>
      <c r="E4565" s="8" t="str">
        <f>IFERROR(__xludf.DUMMYFUNCTION("""COMPUTED_VALUE"""),"Real")</f>
        <v>Real</v>
      </c>
      <c r="G4565" s="8">
        <f t="shared" si="1"/>
        <v>5</v>
      </c>
      <c r="H4565" s="14">
        <f t="shared" si="2"/>
        <v>10</v>
      </c>
      <c r="I4565" s="15">
        <f t="shared" si="3"/>
        <v>5</v>
      </c>
    </row>
    <row r="4566">
      <c r="A4566" s="8" t="str">
        <f>IFERROR(__xludf.DUMMYFUNCTION("IF('(INGESTA)Datos_consumo_datadis'!A4566&lt;&gt;"""",SPLIT('(INGESTA)Datos_consumo_datadis'!A:A,"",""),"""")"),"ES0031408323131005HX0F")</f>
        <v>ES0031408323131005HX0F</v>
      </c>
      <c r="B4566" s="12">
        <f>IFERROR(__xludf.DUMMYFUNCTION("""COMPUTED_VALUE"""),45056.0)</f>
        <v>45056</v>
      </c>
      <c r="C4566" s="13">
        <f>IFERROR(__xludf.DUMMYFUNCTION("""COMPUTED_VALUE"""),0.25)</f>
        <v>0.25</v>
      </c>
      <c r="D4566" s="8">
        <f>IFERROR(__xludf.DUMMYFUNCTION("""COMPUTED_VALUE"""),0.024)</f>
        <v>0.024</v>
      </c>
      <c r="E4566" s="8" t="str">
        <f>IFERROR(__xludf.DUMMYFUNCTION("""COMPUTED_VALUE"""),"Real")</f>
        <v>Real</v>
      </c>
      <c r="G4566" s="8">
        <f t="shared" si="1"/>
        <v>5</v>
      </c>
      <c r="H4566" s="14">
        <f t="shared" si="2"/>
        <v>10</v>
      </c>
      <c r="I4566" s="15">
        <f t="shared" si="3"/>
        <v>6</v>
      </c>
    </row>
    <row r="4567">
      <c r="A4567" s="8" t="str">
        <f>IFERROR(__xludf.DUMMYFUNCTION("IF('(INGESTA)Datos_consumo_datadis'!A4567&lt;&gt;"""",SPLIT('(INGESTA)Datos_consumo_datadis'!A:A,"",""),"""")"),"ES0031408323131005HX0F")</f>
        <v>ES0031408323131005HX0F</v>
      </c>
      <c r="B4567" s="12">
        <f>IFERROR(__xludf.DUMMYFUNCTION("""COMPUTED_VALUE"""),45056.0)</f>
        <v>45056</v>
      </c>
      <c r="C4567" s="13">
        <f>IFERROR(__xludf.DUMMYFUNCTION("""COMPUTED_VALUE"""),0.2916666666666667)</f>
        <v>0.2916666667</v>
      </c>
      <c r="D4567" s="8">
        <f>IFERROR(__xludf.DUMMYFUNCTION("""COMPUTED_VALUE"""),0.421)</f>
        <v>0.421</v>
      </c>
      <c r="E4567" s="8" t="str">
        <f>IFERROR(__xludf.DUMMYFUNCTION("""COMPUTED_VALUE"""),"Real")</f>
        <v>Real</v>
      </c>
      <c r="G4567" s="8">
        <f t="shared" si="1"/>
        <v>5</v>
      </c>
      <c r="H4567" s="14">
        <f t="shared" si="2"/>
        <v>10</v>
      </c>
      <c r="I4567" s="15">
        <f t="shared" si="3"/>
        <v>7</v>
      </c>
    </row>
    <row r="4568">
      <c r="A4568" s="8" t="str">
        <f>IFERROR(__xludf.DUMMYFUNCTION("IF('(INGESTA)Datos_consumo_datadis'!A4568&lt;&gt;"""",SPLIT('(INGESTA)Datos_consumo_datadis'!A:A,"",""),"""")"),"ES0031408323131005HX0F")</f>
        <v>ES0031408323131005HX0F</v>
      </c>
      <c r="B4568" s="12">
        <f>IFERROR(__xludf.DUMMYFUNCTION("""COMPUTED_VALUE"""),45056.0)</f>
        <v>45056</v>
      </c>
      <c r="C4568" s="13">
        <f>IFERROR(__xludf.DUMMYFUNCTION("""COMPUTED_VALUE"""),0.3333333333333333)</f>
        <v>0.3333333333</v>
      </c>
      <c r="D4568" s="8">
        <f>IFERROR(__xludf.DUMMYFUNCTION("""COMPUTED_VALUE"""),0.689)</f>
        <v>0.689</v>
      </c>
      <c r="E4568" s="8" t="str">
        <f>IFERROR(__xludf.DUMMYFUNCTION("""COMPUTED_VALUE"""),"Real")</f>
        <v>Real</v>
      </c>
      <c r="G4568" s="8">
        <f t="shared" si="1"/>
        <v>5</v>
      </c>
      <c r="H4568" s="14">
        <f t="shared" si="2"/>
        <v>10</v>
      </c>
      <c r="I4568" s="15">
        <f t="shared" si="3"/>
        <v>8</v>
      </c>
    </row>
    <row r="4569">
      <c r="A4569" s="8" t="str">
        <f>IFERROR(__xludf.DUMMYFUNCTION("IF('(INGESTA)Datos_consumo_datadis'!A4569&lt;&gt;"""",SPLIT('(INGESTA)Datos_consumo_datadis'!A:A,"",""),"""")"),"ES0031408323131005HX0F")</f>
        <v>ES0031408323131005HX0F</v>
      </c>
      <c r="B4569" s="12">
        <f>IFERROR(__xludf.DUMMYFUNCTION("""COMPUTED_VALUE"""),45056.0)</f>
        <v>45056</v>
      </c>
      <c r="C4569" s="13">
        <f>IFERROR(__xludf.DUMMYFUNCTION("""COMPUTED_VALUE"""),0.375)</f>
        <v>0.375</v>
      </c>
      <c r="D4569" s="8">
        <f>IFERROR(__xludf.DUMMYFUNCTION("""COMPUTED_VALUE"""),0.048)</f>
        <v>0.048</v>
      </c>
      <c r="E4569" s="8" t="str">
        <f>IFERROR(__xludf.DUMMYFUNCTION("""COMPUTED_VALUE"""),"Real")</f>
        <v>Real</v>
      </c>
      <c r="G4569" s="8">
        <f t="shared" si="1"/>
        <v>5</v>
      </c>
      <c r="H4569" s="14">
        <f t="shared" si="2"/>
        <v>10</v>
      </c>
      <c r="I4569" s="15">
        <f t="shared" si="3"/>
        <v>9</v>
      </c>
    </row>
    <row r="4570">
      <c r="A4570" s="8" t="str">
        <f>IFERROR(__xludf.DUMMYFUNCTION("IF('(INGESTA)Datos_consumo_datadis'!A4570&lt;&gt;"""",SPLIT('(INGESTA)Datos_consumo_datadis'!A:A,"",""),"""")"),"ES0031408323131005HX0F")</f>
        <v>ES0031408323131005HX0F</v>
      </c>
      <c r="B4570" s="12">
        <f>IFERROR(__xludf.DUMMYFUNCTION("""COMPUTED_VALUE"""),45056.0)</f>
        <v>45056</v>
      </c>
      <c r="C4570" s="13">
        <f>IFERROR(__xludf.DUMMYFUNCTION("""COMPUTED_VALUE"""),0.4166666666666667)</f>
        <v>0.4166666667</v>
      </c>
      <c r="D4570" s="8">
        <f>IFERROR(__xludf.DUMMYFUNCTION("""COMPUTED_VALUE"""),0.113)</f>
        <v>0.113</v>
      </c>
      <c r="E4570" s="8" t="str">
        <f>IFERROR(__xludf.DUMMYFUNCTION("""COMPUTED_VALUE"""),"Real")</f>
        <v>Real</v>
      </c>
      <c r="G4570" s="8">
        <f t="shared" si="1"/>
        <v>5</v>
      </c>
      <c r="H4570" s="14">
        <f t="shared" si="2"/>
        <v>10</v>
      </c>
      <c r="I4570" s="15">
        <f t="shared" si="3"/>
        <v>10</v>
      </c>
    </row>
    <row r="4571">
      <c r="A4571" s="8" t="str">
        <f>IFERROR(__xludf.DUMMYFUNCTION("IF('(INGESTA)Datos_consumo_datadis'!A4571&lt;&gt;"""",SPLIT('(INGESTA)Datos_consumo_datadis'!A:A,"",""),"""")"),"ES0031408323131005HX0F")</f>
        <v>ES0031408323131005HX0F</v>
      </c>
      <c r="B4571" s="12">
        <f>IFERROR(__xludf.DUMMYFUNCTION("""COMPUTED_VALUE"""),45056.0)</f>
        <v>45056</v>
      </c>
      <c r="C4571" s="13">
        <f>IFERROR(__xludf.DUMMYFUNCTION("""COMPUTED_VALUE"""),0.4583333333333333)</f>
        <v>0.4583333333</v>
      </c>
      <c r="D4571" s="8">
        <f>IFERROR(__xludf.DUMMYFUNCTION("""COMPUTED_VALUE"""),0.2)</f>
        <v>0.2</v>
      </c>
      <c r="E4571" s="8" t="str">
        <f>IFERROR(__xludf.DUMMYFUNCTION("""COMPUTED_VALUE"""),"Real")</f>
        <v>Real</v>
      </c>
      <c r="G4571" s="8">
        <f t="shared" si="1"/>
        <v>5</v>
      </c>
      <c r="H4571" s="14">
        <f t="shared" si="2"/>
        <v>10</v>
      </c>
      <c r="I4571" s="15">
        <f t="shared" si="3"/>
        <v>11</v>
      </c>
    </row>
    <row r="4572">
      <c r="A4572" s="8" t="str">
        <f>IFERROR(__xludf.DUMMYFUNCTION("IF('(INGESTA)Datos_consumo_datadis'!A4572&lt;&gt;"""",SPLIT('(INGESTA)Datos_consumo_datadis'!A:A,"",""),"""")"),"ES0031408323131005HX0F")</f>
        <v>ES0031408323131005HX0F</v>
      </c>
      <c r="B4572" s="12">
        <f>IFERROR(__xludf.DUMMYFUNCTION("""COMPUTED_VALUE"""),45056.0)</f>
        <v>45056</v>
      </c>
      <c r="C4572" s="13">
        <f>IFERROR(__xludf.DUMMYFUNCTION("""COMPUTED_VALUE"""),0.5)</f>
        <v>0.5</v>
      </c>
      <c r="D4572" s="8">
        <f>IFERROR(__xludf.DUMMYFUNCTION("""COMPUTED_VALUE"""),0.63)</f>
        <v>0.63</v>
      </c>
      <c r="E4572" s="8" t="str">
        <f>IFERROR(__xludf.DUMMYFUNCTION("""COMPUTED_VALUE"""),"Real")</f>
        <v>Real</v>
      </c>
      <c r="G4572" s="8">
        <f t="shared" si="1"/>
        <v>5</v>
      </c>
      <c r="H4572" s="14">
        <f t="shared" si="2"/>
        <v>10</v>
      </c>
      <c r="I4572" s="15">
        <f t="shared" si="3"/>
        <v>12</v>
      </c>
    </row>
    <row r="4573">
      <c r="A4573" s="8" t="str">
        <f>IFERROR(__xludf.DUMMYFUNCTION("IF('(INGESTA)Datos_consumo_datadis'!A4573&lt;&gt;"""",SPLIT('(INGESTA)Datos_consumo_datadis'!A:A,"",""),"""")"),"ES0031408323131005HX0F")</f>
        <v>ES0031408323131005HX0F</v>
      </c>
      <c r="B4573" s="12">
        <f>IFERROR(__xludf.DUMMYFUNCTION("""COMPUTED_VALUE"""),45056.0)</f>
        <v>45056</v>
      </c>
      <c r="C4573" s="13">
        <f>IFERROR(__xludf.DUMMYFUNCTION("""COMPUTED_VALUE"""),0.5416666666666666)</f>
        <v>0.5416666667</v>
      </c>
      <c r="D4573" s="8">
        <f>IFERROR(__xludf.DUMMYFUNCTION("""COMPUTED_VALUE"""),0.267)</f>
        <v>0.267</v>
      </c>
      <c r="E4573" s="8" t="str">
        <f>IFERROR(__xludf.DUMMYFUNCTION("""COMPUTED_VALUE"""),"Real")</f>
        <v>Real</v>
      </c>
      <c r="G4573" s="8">
        <f t="shared" si="1"/>
        <v>5</v>
      </c>
      <c r="H4573" s="14">
        <f t="shared" si="2"/>
        <v>10</v>
      </c>
      <c r="I4573" s="15">
        <f t="shared" si="3"/>
        <v>13</v>
      </c>
    </row>
    <row r="4574">
      <c r="A4574" s="8" t="str">
        <f>IFERROR(__xludf.DUMMYFUNCTION("IF('(INGESTA)Datos_consumo_datadis'!A4574&lt;&gt;"""",SPLIT('(INGESTA)Datos_consumo_datadis'!A:A,"",""),"""")"),"ES0031408323131005HX0F")</f>
        <v>ES0031408323131005HX0F</v>
      </c>
      <c r="B4574" s="12">
        <f>IFERROR(__xludf.DUMMYFUNCTION("""COMPUTED_VALUE"""),45056.0)</f>
        <v>45056</v>
      </c>
      <c r="C4574" s="13">
        <f>IFERROR(__xludf.DUMMYFUNCTION("""COMPUTED_VALUE"""),0.5833333333333334)</f>
        <v>0.5833333333</v>
      </c>
      <c r="D4574" s="8">
        <f>IFERROR(__xludf.DUMMYFUNCTION("""COMPUTED_VALUE"""),0.064)</f>
        <v>0.064</v>
      </c>
      <c r="E4574" s="8" t="str">
        <f>IFERROR(__xludf.DUMMYFUNCTION("""COMPUTED_VALUE"""),"Real")</f>
        <v>Real</v>
      </c>
      <c r="G4574" s="8">
        <f t="shared" si="1"/>
        <v>5</v>
      </c>
      <c r="H4574" s="14">
        <f t="shared" si="2"/>
        <v>10</v>
      </c>
      <c r="I4574" s="15">
        <f t="shared" si="3"/>
        <v>14</v>
      </c>
    </row>
    <row r="4575">
      <c r="A4575" s="8" t="str">
        <f>IFERROR(__xludf.DUMMYFUNCTION("IF('(INGESTA)Datos_consumo_datadis'!A4575&lt;&gt;"""",SPLIT('(INGESTA)Datos_consumo_datadis'!A:A,"",""),"""")"),"ES0031408323131005HX0F")</f>
        <v>ES0031408323131005HX0F</v>
      </c>
      <c r="B4575" s="12">
        <f>IFERROR(__xludf.DUMMYFUNCTION("""COMPUTED_VALUE"""),45056.0)</f>
        <v>45056</v>
      </c>
      <c r="C4575" s="13">
        <f>IFERROR(__xludf.DUMMYFUNCTION("""COMPUTED_VALUE"""),0.625)</f>
        <v>0.625</v>
      </c>
      <c r="D4575" s="8">
        <f>IFERROR(__xludf.DUMMYFUNCTION("""COMPUTED_VALUE"""),0.099)</f>
        <v>0.099</v>
      </c>
      <c r="E4575" s="8" t="str">
        <f>IFERROR(__xludf.DUMMYFUNCTION("""COMPUTED_VALUE"""),"Real")</f>
        <v>Real</v>
      </c>
      <c r="G4575" s="8">
        <f t="shared" si="1"/>
        <v>5</v>
      </c>
      <c r="H4575" s="14">
        <f t="shared" si="2"/>
        <v>10</v>
      </c>
      <c r="I4575" s="15">
        <f t="shared" si="3"/>
        <v>15</v>
      </c>
    </row>
    <row r="4576">
      <c r="A4576" s="8" t="str">
        <f>IFERROR(__xludf.DUMMYFUNCTION("IF('(INGESTA)Datos_consumo_datadis'!A4576&lt;&gt;"""",SPLIT('(INGESTA)Datos_consumo_datadis'!A:A,"",""),"""")"),"ES0031408323131005HX0F")</f>
        <v>ES0031408323131005HX0F</v>
      </c>
      <c r="B4576" s="12">
        <f>IFERROR(__xludf.DUMMYFUNCTION("""COMPUTED_VALUE"""),45056.0)</f>
        <v>45056</v>
      </c>
      <c r="C4576" s="13">
        <f>IFERROR(__xludf.DUMMYFUNCTION("""COMPUTED_VALUE"""),0.6666666666666666)</f>
        <v>0.6666666667</v>
      </c>
      <c r="D4576" s="8">
        <f>IFERROR(__xludf.DUMMYFUNCTION("""COMPUTED_VALUE"""),0.098)</f>
        <v>0.098</v>
      </c>
      <c r="E4576" s="8" t="str">
        <f>IFERROR(__xludf.DUMMYFUNCTION("""COMPUTED_VALUE"""),"Real")</f>
        <v>Real</v>
      </c>
      <c r="G4576" s="8">
        <f t="shared" si="1"/>
        <v>5</v>
      </c>
      <c r="H4576" s="14">
        <f t="shared" si="2"/>
        <v>10</v>
      </c>
      <c r="I4576" s="15">
        <f t="shared" si="3"/>
        <v>16</v>
      </c>
    </row>
    <row r="4577">
      <c r="A4577" s="8" t="str">
        <f>IFERROR(__xludf.DUMMYFUNCTION("IF('(INGESTA)Datos_consumo_datadis'!A4577&lt;&gt;"""",SPLIT('(INGESTA)Datos_consumo_datadis'!A:A,"",""),"""")"),"ES0031408323131005HX0F")</f>
        <v>ES0031408323131005HX0F</v>
      </c>
      <c r="B4577" s="12">
        <f>IFERROR(__xludf.DUMMYFUNCTION("""COMPUTED_VALUE"""),45056.0)</f>
        <v>45056</v>
      </c>
      <c r="C4577" s="13">
        <f>IFERROR(__xludf.DUMMYFUNCTION("""COMPUTED_VALUE"""),0.7083333333333334)</f>
        <v>0.7083333333</v>
      </c>
      <c r="D4577" s="8">
        <f>IFERROR(__xludf.DUMMYFUNCTION("""COMPUTED_VALUE"""),0.356)</f>
        <v>0.356</v>
      </c>
      <c r="E4577" s="8" t="str">
        <f>IFERROR(__xludf.DUMMYFUNCTION("""COMPUTED_VALUE"""),"Real")</f>
        <v>Real</v>
      </c>
      <c r="G4577" s="8">
        <f t="shared" si="1"/>
        <v>5</v>
      </c>
      <c r="H4577" s="14">
        <f t="shared" si="2"/>
        <v>10</v>
      </c>
      <c r="I4577" s="15">
        <f t="shared" si="3"/>
        <v>17</v>
      </c>
    </row>
    <row r="4578">
      <c r="A4578" s="8" t="str">
        <f>IFERROR(__xludf.DUMMYFUNCTION("IF('(INGESTA)Datos_consumo_datadis'!A4578&lt;&gt;"""",SPLIT('(INGESTA)Datos_consumo_datadis'!A:A,"",""),"""")"),"ES0031408323131005HX0F")</f>
        <v>ES0031408323131005HX0F</v>
      </c>
      <c r="B4578" s="12">
        <f>IFERROR(__xludf.DUMMYFUNCTION("""COMPUTED_VALUE"""),45056.0)</f>
        <v>45056</v>
      </c>
      <c r="C4578" s="13">
        <f>IFERROR(__xludf.DUMMYFUNCTION("""COMPUTED_VALUE"""),0.75)</f>
        <v>0.75</v>
      </c>
      <c r="D4578" s="8">
        <f>IFERROR(__xludf.DUMMYFUNCTION("""COMPUTED_VALUE"""),0.038)</f>
        <v>0.038</v>
      </c>
      <c r="E4578" s="8" t="str">
        <f>IFERROR(__xludf.DUMMYFUNCTION("""COMPUTED_VALUE"""),"Real")</f>
        <v>Real</v>
      </c>
      <c r="G4578" s="8">
        <f t="shared" si="1"/>
        <v>5</v>
      </c>
      <c r="H4578" s="14">
        <f t="shared" si="2"/>
        <v>10</v>
      </c>
      <c r="I4578" s="15">
        <f t="shared" si="3"/>
        <v>18</v>
      </c>
    </row>
    <row r="4579">
      <c r="A4579" s="8" t="str">
        <f>IFERROR(__xludf.DUMMYFUNCTION("IF('(INGESTA)Datos_consumo_datadis'!A4579&lt;&gt;"""",SPLIT('(INGESTA)Datos_consumo_datadis'!A:A,"",""),"""")"),"ES0031408323131005HX0F")</f>
        <v>ES0031408323131005HX0F</v>
      </c>
      <c r="B4579" s="12">
        <f>IFERROR(__xludf.DUMMYFUNCTION("""COMPUTED_VALUE"""),45056.0)</f>
        <v>45056</v>
      </c>
      <c r="C4579" s="13">
        <f>IFERROR(__xludf.DUMMYFUNCTION("""COMPUTED_VALUE"""),0.7916666666666666)</f>
        <v>0.7916666667</v>
      </c>
      <c r="D4579" s="8">
        <f>IFERROR(__xludf.DUMMYFUNCTION("""COMPUTED_VALUE"""),0.073)</f>
        <v>0.073</v>
      </c>
      <c r="E4579" s="8" t="str">
        <f>IFERROR(__xludf.DUMMYFUNCTION("""COMPUTED_VALUE"""),"Real")</f>
        <v>Real</v>
      </c>
      <c r="G4579" s="8">
        <f t="shared" si="1"/>
        <v>5</v>
      </c>
      <c r="H4579" s="14">
        <f t="shared" si="2"/>
        <v>10</v>
      </c>
      <c r="I4579" s="15">
        <f t="shared" si="3"/>
        <v>19</v>
      </c>
    </row>
    <row r="4580">
      <c r="A4580" s="8" t="str">
        <f>IFERROR(__xludf.DUMMYFUNCTION("IF('(INGESTA)Datos_consumo_datadis'!A4580&lt;&gt;"""",SPLIT('(INGESTA)Datos_consumo_datadis'!A:A,"",""),"""")"),"ES0031408323131005HX0F")</f>
        <v>ES0031408323131005HX0F</v>
      </c>
      <c r="B4580" s="12">
        <f>IFERROR(__xludf.DUMMYFUNCTION("""COMPUTED_VALUE"""),45056.0)</f>
        <v>45056</v>
      </c>
      <c r="C4580" s="13">
        <f>IFERROR(__xludf.DUMMYFUNCTION("""COMPUTED_VALUE"""),0.8333333333333334)</f>
        <v>0.8333333333</v>
      </c>
      <c r="D4580" s="8">
        <f>IFERROR(__xludf.DUMMYFUNCTION("""COMPUTED_VALUE"""),0.085)</f>
        <v>0.085</v>
      </c>
      <c r="E4580" s="8" t="str">
        <f>IFERROR(__xludf.DUMMYFUNCTION("""COMPUTED_VALUE"""),"Real")</f>
        <v>Real</v>
      </c>
      <c r="G4580" s="8">
        <f t="shared" si="1"/>
        <v>5</v>
      </c>
      <c r="H4580" s="14">
        <f t="shared" si="2"/>
        <v>10</v>
      </c>
      <c r="I4580" s="15">
        <f t="shared" si="3"/>
        <v>20</v>
      </c>
    </row>
    <row r="4581">
      <c r="A4581" s="8" t="str">
        <f>IFERROR(__xludf.DUMMYFUNCTION("IF('(INGESTA)Datos_consumo_datadis'!A4581&lt;&gt;"""",SPLIT('(INGESTA)Datos_consumo_datadis'!A:A,"",""),"""")"),"ES0031408323131005HX0F")</f>
        <v>ES0031408323131005HX0F</v>
      </c>
      <c r="B4581" s="12">
        <f>IFERROR(__xludf.DUMMYFUNCTION("""COMPUTED_VALUE"""),45056.0)</f>
        <v>45056</v>
      </c>
      <c r="C4581" s="13">
        <f>IFERROR(__xludf.DUMMYFUNCTION("""COMPUTED_VALUE"""),0.875)</f>
        <v>0.875</v>
      </c>
      <c r="D4581" s="8">
        <f>IFERROR(__xludf.DUMMYFUNCTION("""COMPUTED_VALUE"""),0.016)</f>
        <v>0.016</v>
      </c>
      <c r="E4581" s="8" t="str">
        <f>IFERROR(__xludf.DUMMYFUNCTION("""COMPUTED_VALUE"""),"Real")</f>
        <v>Real</v>
      </c>
      <c r="G4581" s="8">
        <f t="shared" si="1"/>
        <v>5</v>
      </c>
      <c r="H4581" s="14">
        <f t="shared" si="2"/>
        <v>10</v>
      </c>
      <c r="I4581" s="15">
        <f t="shared" si="3"/>
        <v>21</v>
      </c>
    </row>
    <row r="4582">
      <c r="A4582" s="8" t="str">
        <f>IFERROR(__xludf.DUMMYFUNCTION("IF('(INGESTA)Datos_consumo_datadis'!A4582&lt;&gt;"""",SPLIT('(INGESTA)Datos_consumo_datadis'!A:A,"",""),"""")"),"ES0031408323131005HX0F")</f>
        <v>ES0031408323131005HX0F</v>
      </c>
      <c r="B4582" s="12">
        <f>IFERROR(__xludf.DUMMYFUNCTION("""COMPUTED_VALUE"""),45056.0)</f>
        <v>45056</v>
      </c>
      <c r="C4582" s="13">
        <f>IFERROR(__xludf.DUMMYFUNCTION("""COMPUTED_VALUE"""),0.9166666666666666)</f>
        <v>0.9166666667</v>
      </c>
      <c r="D4582" s="8">
        <f>IFERROR(__xludf.DUMMYFUNCTION("""COMPUTED_VALUE"""),0.095)</f>
        <v>0.095</v>
      </c>
      <c r="E4582" s="8" t="str">
        <f>IFERROR(__xludf.DUMMYFUNCTION("""COMPUTED_VALUE"""),"Real")</f>
        <v>Real</v>
      </c>
      <c r="G4582" s="8">
        <f t="shared" si="1"/>
        <v>5</v>
      </c>
      <c r="H4582" s="14">
        <f t="shared" si="2"/>
        <v>10</v>
      </c>
      <c r="I4582" s="15">
        <f t="shared" si="3"/>
        <v>22</v>
      </c>
    </row>
    <row r="4583">
      <c r="A4583" s="8" t="str">
        <f>IFERROR(__xludf.DUMMYFUNCTION("IF('(INGESTA)Datos_consumo_datadis'!A4583&lt;&gt;"""",SPLIT('(INGESTA)Datos_consumo_datadis'!A:A,"",""),"""")"),"ES0031408323131005HX0F")</f>
        <v>ES0031408323131005HX0F</v>
      </c>
      <c r="B4583" s="12">
        <f>IFERROR(__xludf.DUMMYFUNCTION("""COMPUTED_VALUE"""),45056.0)</f>
        <v>45056</v>
      </c>
      <c r="C4583" s="13">
        <f>IFERROR(__xludf.DUMMYFUNCTION("""COMPUTED_VALUE"""),0.9583333333333334)</f>
        <v>0.9583333333</v>
      </c>
      <c r="D4583" s="8">
        <f>IFERROR(__xludf.DUMMYFUNCTION("""COMPUTED_VALUE"""),0.12)</f>
        <v>0.12</v>
      </c>
      <c r="E4583" s="8" t="str">
        <f>IFERROR(__xludf.DUMMYFUNCTION("""COMPUTED_VALUE"""),"Real")</f>
        <v>Real</v>
      </c>
      <c r="G4583" s="8">
        <f t="shared" si="1"/>
        <v>5</v>
      </c>
      <c r="H4583" s="14">
        <f t="shared" si="2"/>
        <v>10</v>
      </c>
      <c r="I4583" s="15">
        <f t="shared" si="3"/>
        <v>23</v>
      </c>
    </row>
    <row r="4584">
      <c r="A4584" s="8" t="str">
        <f>IFERROR(__xludf.DUMMYFUNCTION("IF('(INGESTA)Datos_consumo_datadis'!A4584&lt;&gt;"""",SPLIT('(INGESTA)Datos_consumo_datadis'!A:A,"",""),"""")"),"ES0031408323131005HX0F")</f>
        <v>ES0031408323131005HX0F</v>
      </c>
      <c r="B4584" s="12">
        <f>IFERROR(__xludf.DUMMYFUNCTION("""COMPUTED_VALUE"""),45056.0)</f>
        <v>45056</v>
      </c>
      <c r="C4584" s="16">
        <f>IFERROR(__xludf.DUMMYFUNCTION("""COMPUTED_VALUE"""),1.0)</f>
        <v>1</v>
      </c>
      <c r="D4584" s="8">
        <f>IFERROR(__xludf.DUMMYFUNCTION("""COMPUTED_VALUE"""),0.493)</f>
        <v>0.493</v>
      </c>
      <c r="E4584" s="8" t="str">
        <f>IFERROR(__xludf.DUMMYFUNCTION("""COMPUTED_VALUE"""),"Real")</f>
        <v>Real</v>
      </c>
      <c r="G4584" s="8">
        <f t="shared" si="1"/>
        <v>5</v>
      </c>
      <c r="H4584" s="14">
        <f t="shared" si="2"/>
        <v>10</v>
      </c>
      <c r="I4584" s="15">
        <f t="shared" si="3"/>
        <v>0</v>
      </c>
    </row>
    <row r="4585">
      <c r="A4585" s="8" t="str">
        <f>IFERROR(__xludf.DUMMYFUNCTION("IF('(INGESTA)Datos_consumo_datadis'!A4585&lt;&gt;"""",SPLIT('(INGESTA)Datos_consumo_datadis'!A:A,"",""),"""")"),"ES0031408323131005HX0F")</f>
        <v>ES0031408323131005HX0F</v>
      </c>
      <c r="B4585" s="12">
        <f>IFERROR(__xludf.DUMMYFUNCTION("""COMPUTED_VALUE"""),45057.0)</f>
        <v>45057</v>
      </c>
      <c r="C4585" s="13">
        <f>IFERROR(__xludf.DUMMYFUNCTION("""COMPUTED_VALUE"""),0.041666666666666664)</f>
        <v>0.04166666667</v>
      </c>
      <c r="D4585" s="8">
        <f>IFERROR(__xludf.DUMMYFUNCTION("""COMPUTED_VALUE"""),0.121)</f>
        <v>0.121</v>
      </c>
      <c r="E4585" s="8" t="str">
        <f>IFERROR(__xludf.DUMMYFUNCTION("""COMPUTED_VALUE"""),"Real")</f>
        <v>Real</v>
      </c>
      <c r="G4585" s="8">
        <f t="shared" si="1"/>
        <v>5</v>
      </c>
      <c r="H4585" s="14">
        <f t="shared" si="2"/>
        <v>11</v>
      </c>
      <c r="I4585" s="15">
        <f t="shared" si="3"/>
        <v>1</v>
      </c>
    </row>
    <row r="4586">
      <c r="A4586" s="8" t="str">
        <f>IFERROR(__xludf.DUMMYFUNCTION("IF('(INGESTA)Datos_consumo_datadis'!A4586&lt;&gt;"""",SPLIT('(INGESTA)Datos_consumo_datadis'!A:A,"",""),"""")"),"ES0031408323131005HX0F")</f>
        <v>ES0031408323131005HX0F</v>
      </c>
      <c r="B4586" s="12">
        <f>IFERROR(__xludf.DUMMYFUNCTION("""COMPUTED_VALUE"""),45057.0)</f>
        <v>45057</v>
      </c>
      <c r="C4586" s="13">
        <f>IFERROR(__xludf.DUMMYFUNCTION("""COMPUTED_VALUE"""),0.08333333333333333)</f>
        <v>0.08333333333</v>
      </c>
      <c r="D4586" s="8">
        <f>IFERROR(__xludf.DUMMYFUNCTION("""COMPUTED_VALUE"""),0.074)</f>
        <v>0.074</v>
      </c>
      <c r="E4586" s="8" t="str">
        <f>IFERROR(__xludf.DUMMYFUNCTION("""COMPUTED_VALUE"""),"Real")</f>
        <v>Real</v>
      </c>
      <c r="G4586" s="8">
        <f t="shared" si="1"/>
        <v>5</v>
      </c>
      <c r="H4586" s="14">
        <f t="shared" si="2"/>
        <v>11</v>
      </c>
      <c r="I4586" s="15">
        <f t="shared" si="3"/>
        <v>2</v>
      </c>
    </row>
    <row r="4587">
      <c r="A4587" s="8" t="str">
        <f>IFERROR(__xludf.DUMMYFUNCTION("IF('(INGESTA)Datos_consumo_datadis'!A4587&lt;&gt;"""",SPLIT('(INGESTA)Datos_consumo_datadis'!A:A,"",""),"""")"),"ES0031408323131005HX0F")</f>
        <v>ES0031408323131005HX0F</v>
      </c>
      <c r="B4587" s="12">
        <f>IFERROR(__xludf.DUMMYFUNCTION("""COMPUTED_VALUE"""),45057.0)</f>
        <v>45057</v>
      </c>
      <c r="C4587" s="13">
        <f>IFERROR(__xludf.DUMMYFUNCTION("""COMPUTED_VALUE"""),0.125)</f>
        <v>0.125</v>
      </c>
      <c r="D4587" s="8">
        <f>IFERROR(__xludf.DUMMYFUNCTION("""COMPUTED_VALUE"""),0.061)</f>
        <v>0.061</v>
      </c>
      <c r="E4587" s="8" t="str">
        <f>IFERROR(__xludf.DUMMYFUNCTION("""COMPUTED_VALUE"""),"Real")</f>
        <v>Real</v>
      </c>
      <c r="G4587" s="8">
        <f t="shared" si="1"/>
        <v>5</v>
      </c>
      <c r="H4587" s="14">
        <f t="shared" si="2"/>
        <v>11</v>
      </c>
      <c r="I4587" s="15">
        <f t="shared" si="3"/>
        <v>3</v>
      </c>
    </row>
    <row r="4588">
      <c r="A4588" s="8" t="str">
        <f>IFERROR(__xludf.DUMMYFUNCTION("IF('(INGESTA)Datos_consumo_datadis'!A4588&lt;&gt;"""",SPLIT('(INGESTA)Datos_consumo_datadis'!A:A,"",""),"""")"),"ES0031408323131005HX0F")</f>
        <v>ES0031408323131005HX0F</v>
      </c>
      <c r="B4588" s="12">
        <f>IFERROR(__xludf.DUMMYFUNCTION("""COMPUTED_VALUE"""),45057.0)</f>
        <v>45057</v>
      </c>
      <c r="C4588" s="13">
        <f>IFERROR(__xludf.DUMMYFUNCTION("""COMPUTED_VALUE"""),0.16666666666666666)</f>
        <v>0.1666666667</v>
      </c>
      <c r="D4588" s="8">
        <f>IFERROR(__xludf.DUMMYFUNCTION("""COMPUTED_VALUE"""),0.358)</f>
        <v>0.358</v>
      </c>
      <c r="E4588" s="8" t="str">
        <f>IFERROR(__xludf.DUMMYFUNCTION("""COMPUTED_VALUE"""),"Real")</f>
        <v>Real</v>
      </c>
      <c r="G4588" s="8">
        <f t="shared" si="1"/>
        <v>5</v>
      </c>
      <c r="H4588" s="14">
        <f t="shared" si="2"/>
        <v>11</v>
      </c>
      <c r="I4588" s="15">
        <f t="shared" si="3"/>
        <v>4</v>
      </c>
    </row>
    <row r="4589">
      <c r="A4589" s="8" t="str">
        <f>IFERROR(__xludf.DUMMYFUNCTION("IF('(INGESTA)Datos_consumo_datadis'!A4589&lt;&gt;"""",SPLIT('(INGESTA)Datos_consumo_datadis'!A:A,"",""),"""")"),"ES0031408323131005HX0F")</f>
        <v>ES0031408323131005HX0F</v>
      </c>
      <c r="B4589" s="12">
        <f>IFERROR(__xludf.DUMMYFUNCTION("""COMPUTED_VALUE"""),45057.0)</f>
        <v>45057</v>
      </c>
      <c r="C4589" s="13">
        <f>IFERROR(__xludf.DUMMYFUNCTION("""COMPUTED_VALUE"""),0.20833333333333334)</f>
        <v>0.2083333333</v>
      </c>
      <c r="D4589" s="8">
        <f>IFERROR(__xludf.DUMMYFUNCTION("""COMPUTED_VALUE"""),0.058)</f>
        <v>0.058</v>
      </c>
      <c r="E4589" s="8" t="str">
        <f>IFERROR(__xludf.DUMMYFUNCTION("""COMPUTED_VALUE"""),"Real")</f>
        <v>Real</v>
      </c>
      <c r="G4589" s="8">
        <f t="shared" si="1"/>
        <v>5</v>
      </c>
      <c r="H4589" s="14">
        <f t="shared" si="2"/>
        <v>11</v>
      </c>
      <c r="I4589" s="15">
        <f t="shared" si="3"/>
        <v>5</v>
      </c>
    </row>
    <row r="4590">
      <c r="A4590" s="8" t="str">
        <f>IFERROR(__xludf.DUMMYFUNCTION("IF('(INGESTA)Datos_consumo_datadis'!A4590&lt;&gt;"""",SPLIT('(INGESTA)Datos_consumo_datadis'!A:A,"",""),"""")"),"ES0031408323131005HX0F")</f>
        <v>ES0031408323131005HX0F</v>
      </c>
      <c r="B4590" s="12">
        <f>IFERROR(__xludf.DUMMYFUNCTION("""COMPUTED_VALUE"""),45057.0)</f>
        <v>45057</v>
      </c>
      <c r="C4590" s="13">
        <f>IFERROR(__xludf.DUMMYFUNCTION("""COMPUTED_VALUE"""),0.25)</f>
        <v>0.25</v>
      </c>
      <c r="D4590" s="8">
        <f>IFERROR(__xludf.DUMMYFUNCTION("""COMPUTED_VALUE"""),0.037)</f>
        <v>0.037</v>
      </c>
      <c r="E4590" s="8" t="str">
        <f>IFERROR(__xludf.DUMMYFUNCTION("""COMPUTED_VALUE"""),"Real")</f>
        <v>Real</v>
      </c>
      <c r="G4590" s="8">
        <f t="shared" si="1"/>
        <v>5</v>
      </c>
      <c r="H4590" s="14">
        <f t="shared" si="2"/>
        <v>11</v>
      </c>
      <c r="I4590" s="15">
        <f t="shared" si="3"/>
        <v>6</v>
      </c>
    </row>
    <row r="4591">
      <c r="A4591" s="8" t="str">
        <f>IFERROR(__xludf.DUMMYFUNCTION("IF('(INGESTA)Datos_consumo_datadis'!A4591&lt;&gt;"""",SPLIT('(INGESTA)Datos_consumo_datadis'!A:A,"",""),"""")"),"ES0031408323131005HX0F")</f>
        <v>ES0031408323131005HX0F</v>
      </c>
      <c r="B4591" s="12">
        <f>IFERROR(__xludf.DUMMYFUNCTION("""COMPUTED_VALUE"""),45057.0)</f>
        <v>45057</v>
      </c>
      <c r="C4591" s="13">
        <f>IFERROR(__xludf.DUMMYFUNCTION("""COMPUTED_VALUE"""),0.2916666666666667)</f>
        <v>0.2916666667</v>
      </c>
      <c r="D4591" s="8">
        <f>IFERROR(__xludf.DUMMYFUNCTION("""COMPUTED_VALUE"""),0.105)</f>
        <v>0.105</v>
      </c>
      <c r="E4591" s="8" t="str">
        <f>IFERROR(__xludf.DUMMYFUNCTION("""COMPUTED_VALUE"""),"Real")</f>
        <v>Real</v>
      </c>
      <c r="G4591" s="8">
        <f t="shared" si="1"/>
        <v>5</v>
      </c>
      <c r="H4591" s="14">
        <f t="shared" si="2"/>
        <v>11</v>
      </c>
      <c r="I4591" s="15">
        <f t="shared" si="3"/>
        <v>7</v>
      </c>
    </row>
    <row r="4592">
      <c r="A4592" s="8" t="str">
        <f>IFERROR(__xludf.DUMMYFUNCTION("IF('(INGESTA)Datos_consumo_datadis'!A4592&lt;&gt;"""",SPLIT('(INGESTA)Datos_consumo_datadis'!A:A,"",""),"""")"),"ES0031408323131005HX0F")</f>
        <v>ES0031408323131005HX0F</v>
      </c>
      <c r="B4592" s="12">
        <f>IFERROR(__xludf.DUMMYFUNCTION("""COMPUTED_VALUE"""),45057.0)</f>
        <v>45057</v>
      </c>
      <c r="C4592" s="13">
        <f>IFERROR(__xludf.DUMMYFUNCTION("""COMPUTED_VALUE"""),0.3333333333333333)</f>
        <v>0.3333333333</v>
      </c>
      <c r="D4592" s="8">
        <f>IFERROR(__xludf.DUMMYFUNCTION("""COMPUTED_VALUE"""),0.572)</f>
        <v>0.572</v>
      </c>
      <c r="E4592" s="8" t="str">
        <f>IFERROR(__xludf.DUMMYFUNCTION("""COMPUTED_VALUE"""),"Real")</f>
        <v>Real</v>
      </c>
      <c r="G4592" s="8">
        <f t="shared" si="1"/>
        <v>5</v>
      </c>
      <c r="H4592" s="14">
        <f t="shared" si="2"/>
        <v>11</v>
      </c>
      <c r="I4592" s="15">
        <f t="shared" si="3"/>
        <v>8</v>
      </c>
    </row>
    <row r="4593">
      <c r="A4593" s="8" t="str">
        <f>IFERROR(__xludf.DUMMYFUNCTION("IF('(INGESTA)Datos_consumo_datadis'!A4593&lt;&gt;"""",SPLIT('(INGESTA)Datos_consumo_datadis'!A:A,"",""),"""")"),"ES0031408323131005HX0F")</f>
        <v>ES0031408323131005HX0F</v>
      </c>
      <c r="B4593" s="12">
        <f>IFERROR(__xludf.DUMMYFUNCTION("""COMPUTED_VALUE"""),45057.0)</f>
        <v>45057</v>
      </c>
      <c r="C4593" s="13">
        <f>IFERROR(__xludf.DUMMYFUNCTION("""COMPUTED_VALUE"""),0.375)</f>
        <v>0.375</v>
      </c>
      <c r="D4593" s="8">
        <f>IFERROR(__xludf.DUMMYFUNCTION("""COMPUTED_VALUE"""),0.089)</f>
        <v>0.089</v>
      </c>
      <c r="E4593" s="8" t="str">
        <f>IFERROR(__xludf.DUMMYFUNCTION("""COMPUTED_VALUE"""),"Real")</f>
        <v>Real</v>
      </c>
      <c r="G4593" s="8">
        <f t="shared" si="1"/>
        <v>5</v>
      </c>
      <c r="H4593" s="14">
        <f t="shared" si="2"/>
        <v>11</v>
      </c>
      <c r="I4593" s="15">
        <f t="shared" si="3"/>
        <v>9</v>
      </c>
    </row>
    <row r="4594">
      <c r="A4594" s="8" t="str">
        <f>IFERROR(__xludf.DUMMYFUNCTION("IF('(INGESTA)Datos_consumo_datadis'!A4594&lt;&gt;"""",SPLIT('(INGESTA)Datos_consumo_datadis'!A:A,"",""),"""")"),"ES0031408323131005HX0F")</f>
        <v>ES0031408323131005HX0F</v>
      </c>
      <c r="B4594" s="12">
        <f>IFERROR(__xludf.DUMMYFUNCTION("""COMPUTED_VALUE"""),45057.0)</f>
        <v>45057</v>
      </c>
      <c r="C4594" s="13">
        <f>IFERROR(__xludf.DUMMYFUNCTION("""COMPUTED_VALUE"""),0.4166666666666667)</f>
        <v>0.4166666667</v>
      </c>
      <c r="D4594" s="8">
        <f>IFERROR(__xludf.DUMMYFUNCTION("""COMPUTED_VALUE"""),0.071)</f>
        <v>0.071</v>
      </c>
      <c r="E4594" s="8" t="str">
        <f>IFERROR(__xludf.DUMMYFUNCTION("""COMPUTED_VALUE"""),"Real")</f>
        <v>Real</v>
      </c>
      <c r="G4594" s="8">
        <f t="shared" si="1"/>
        <v>5</v>
      </c>
      <c r="H4594" s="14">
        <f t="shared" si="2"/>
        <v>11</v>
      </c>
      <c r="I4594" s="15">
        <f t="shared" si="3"/>
        <v>10</v>
      </c>
    </row>
    <row r="4595">
      <c r="A4595" s="8" t="str">
        <f>IFERROR(__xludf.DUMMYFUNCTION("IF('(INGESTA)Datos_consumo_datadis'!A4595&lt;&gt;"""",SPLIT('(INGESTA)Datos_consumo_datadis'!A:A,"",""),"""")"),"ES0031408323131005HX0F")</f>
        <v>ES0031408323131005HX0F</v>
      </c>
      <c r="B4595" s="12">
        <f>IFERROR(__xludf.DUMMYFUNCTION("""COMPUTED_VALUE"""),45057.0)</f>
        <v>45057</v>
      </c>
      <c r="C4595" s="13">
        <f>IFERROR(__xludf.DUMMYFUNCTION("""COMPUTED_VALUE"""),0.4583333333333333)</f>
        <v>0.4583333333</v>
      </c>
      <c r="D4595" s="8">
        <f>IFERROR(__xludf.DUMMYFUNCTION("""COMPUTED_VALUE"""),0.017)</f>
        <v>0.017</v>
      </c>
      <c r="E4595" s="8" t="str">
        <f>IFERROR(__xludf.DUMMYFUNCTION("""COMPUTED_VALUE"""),"Real")</f>
        <v>Real</v>
      </c>
      <c r="G4595" s="8">
        <f t="shared" si="1"/>
        <v>5</v>
      </c>
      <c r="H4595" s="14">
        <f t="shared" si="2"/>
        <v>11</v>
      </c>
      <c r="I4595" s="15">
        <f t="shared" si="3"/>
        <v>11</v>
      </c>
    </row>
    <row r="4596">
      <c r="A4596" s="8" t="str">
        <f>IFERROR(__xludf.DUMMYFUNCTION("IF('(INGESTA)Datos_consumo_datadis'!A4596&lt;&gt;"""",SPLIT('(INGESTA)Datos_consumo_datadis'!A:A,"",""),"""")"),"ES0031408323131005HX0F")</f>
        <v>ES0031408323131005HX0F</v>
      </c>
      <c r="B4596" s="12">
        <f>IFERROR(__xludf.DUMMYFUNCTION("""COMPUTED_VALUE"""),45057.0)</f>
        <v>45057</v>
      </c>
      <c r="C4596" s="13">
        <f>IFERROR(__xludf.DUMMYFUNCTION("""COMPUTED_VALUE"""),0.5)</f>
        <v>0.5</v>
      </c>
      <c r="D4596" s="8">
        <f>IFERROR(__xludf.DUMMYFUNCTION("""COMPUTED_VALUE"""),0.099)</f>
        <v>0.099</v>
      </c>
      <c r="E4596" s="8" t="str">
        <f>IFERROR(__xludf.DUMMYFUNCTION("""COMPUTED_VALUE"""),"Real")</f>
        <v>Real</v>
      </c>
      <c r="G4596" s="8">
        <f t="shared" si="1"/>
        <v>5</v>
      </c>
      <c r="H4596" s="14">
        <f t="shared" si="2"/>
        <v>11</v>
      </c>
      <c r="I4596" s="15">
        <f t="shared" si="3"/>
        <v>12</v>
      </c>
    </row>
    <row r="4597">
      <c r="A4597" s="8" t="str">
        <f>IFERROR(__xludf.DUMMYFUNCTION("IF('(INGESTA)Datos_consumo_datadis'!A4597&lt;&gt;"""",SPLIT('(INGESTA)Datos_consumo_datadis'!A:A,"",""),"""")"),"ES0031408323131005HX0F")</f>
        <v>ES0031408323131005HX0F</v>
      </c>
      <c r="B4597" s="12">
        <f>IFERROR(__xludf.DUMMYFUNCTION("""COMPUTED_VALUE"""),45057.0)</f>
        <v>45057</v>
      </c>
      <c r="C4597" s="13">
        <f>IFERROR(__xludf.DUMMYFUNCTION("""COMPUTED_VALUE"""),0.5416666666666666)</f>
        <v>0.5416666667</v>
      </c>
      <c r="D4597" s="8">
        <f>IFERROR(__xludf.DUMMYFUNCTION("""COMPUTED_VALUE"""),0.796)</f>
        <v>0.796</v>
      </c>
      <c r="E4597" s="8" t="str">
        <f>IFERROR(__xludf.DUMMYFUNCTION("""COMPUTED_VALUE"""),"Real")</f>
        <v>Real</v>
      </c>
      <c r="G4597" s="8">
        <f t="shared" si="1"/>
        <v>5</v>
      </c>
      <c r="H4597" s="14">
        <f t="shared" si="2"/>
        <v>11</v>
      </c>
      <c r="I4597" s="15">
        <f t="shared" si="3"/>
        <v>13</v>
      </c>
    </row>
    <row r="4598">
      <c r="A4598" s="8" t="str">
        <f>IFERROR(__xludf.DUMMYFUNCTION("IF('(INGESTA)Datos_consumo_datadis'!A4598&lt;&gt;"""",SPLIT('(INGESTA)Datos_consumo_datadis'!A:A,"",""),"""")"),"ES0031408323131005HX0F")</f>
        <v>ES0031408323131005HX0F</v>
      </c>
      <c r="B4598" s="12">
        <f>IFERROR(__xludf.DUMMYFUNCTION("""COMPUTED_VALUE"""),45057.0)</f>
        <v>45057</v>
      </c>
      <c r="C4598" s="13">
        <f>IFERROR(__xludf.DUMMYFUNCTION("""COMPUTED_VALUE"""),0.5833333333333334)</f>
        <v>0.5833333333</v>
      </c>
      <c r="D4598" s="8">
        <f>IFERROR(__xludf.DUMMYFUNCTION("""COMPUTED_VALUE"""),0.565)</f>
        <v>0.565</v>
      </c>
      <c r="E4598" s="8" t="str">
        <f>IFERROR(__xludf.DUMMYFUNCTION("""COMPUTED_VALUE"""),"Real")</f>
        <v>Real</v>
      </c>
      <c r="G4598" s="8">
        <f t="shared" si="1"/>
        <v>5</v>
      </c>
      <c r="H4598" s="14">
        <f t="shared" si="2"/>
        <v>11</v>
      </c>
      <c r="I4598" s="15">
        <f t="shared" si="3"/>
        <v>14</v>
      </c>
    </row>
    <row r="4599">
      <c r="A4599" s="8" t="str">
        <f>IFERROR(__xludf.DUMMYFUNCTION("IF('(INGESTA)Datos_consumo_datadis'!A4599&lt;&gt;"""",SPLIT('(INGESTA)Datos_consumo_datadis'!A:A,"",""),"""")"),"ES0031408323131005HX0F")</f>
        <v>ES0031408323131005HX0F</v>
      </c>
      <c r="B4599" s="12">
        <f>IFERROR(__xludf.DUMMYFUNCTION("""COMPUTED_VALUE"""),45057.0)</f>
        <v>45057</v>
      </c>
      <c r="C4599" s="13">
        <f>IFERROR(__xludf.DUMMYFUNCTION("""COMPUTED_VALUE"""),0.625)</f>
        <v>0.625</v>
      </c>
      <c r="D4599" s="8">
        <f>IFERROR(__xludf.DUMMYFUNCTION("""COMPUTED_VALUE"""),0.712)</f>
        <v>0.712</v>
      </c>
      <c r="E4599" s="8" t="str">
        <f>IFERROR(__xludf.DUMMYFUNCTION("""COMPUTED_VALUE"""),"Real")</f>
        <v>Real</v>
      </c>
      <c r="G4599" s="8">
        <f t="shared" si="1"/>
        <v>5</v>
      </c>
      <c r="H4599" s="14">
        <f t="shared" si="2"/>
        <v>11</v>
      </c>
      <c r="I4599" s="15">
        <f t="shared" si="3"/>
        <v>15</v>
      </c>
    </row>
    <row r="4600">
      <c r="A4600" s="8" t="str">
        <f>IFERROR(__xludf.DUMMYFUNCTION("IF('(INGESTA)Datos_consumo_datadis'!A4600&lt;&gt;"""",SPLIT('(INGESTA)Datos_consumo_datadis'!A:A,"",""),"""")"),"ES0031408323131005HX0F")</f>
        <v>ES0031408323131005HX0F</v>
      </c>
      <c r="B4600" s="12">
        <f>IFERROR(__xludf.DUMMYFUNCTION("""COMPUTED_VALUE"""),45057.0)</f>
        <v>45057</v>
      </c>
      <c r="C4600" s="13">
        <f>IFERROR(__xludf.DUMMYFUNCTION("""COMPUTED_VALUE"""),0.6666666666666666)</f>
        <v>0.6666666667</v>
      </c>
      <c r="D4600" s="8">
        <f>IFERROR(__xludf.DUMMYFUNCTION("""COMPUTED_VALUE"""),0.119)</f>
        <v>0.119</v>
      </c>
      <c r="E4600" s="8" t="str">
        <f>IFERROR(__xludf.DUMMYFUNCTION("""COMPUTED_VALUE"""),"Real")</f>
        <v>Real</v>
      </c>
      <c r="G4600" s="8">
        <f t="shared" si="1"/>
        <v>5</v>
      </c>
      <c r="H4600" s="14">
        <f t="shared" si="2"/>
        <v>11</v>
      </c>
      <c r="I4600" s="15">
        <f t="shared" si="3"/>
        <v>16</v>
      </c>
    </row>
    <row r="4601">
      <c r="A4601" s="8" t="str">
        <f>IFERROR(__xludf.DUMMYFUNCTION("IF('(INGESTA)Datos_consumo_datadis'!A4601&lt;&gt;"""",SPLIT('(INGESTA)Datos_consumo_datadis'!A:A,"",""),"""")"),"ES0031408323131005HX0F")</f>
        <v>ES0031408323131005HX0F</v>
      </c>
      <c r="B4601" s="12">
        <f>IFERROR(__xludf.DUMMYFUNCTION("""COMPUTED_VALUE"""),45057.0)</f>
        <v>45057</v>
      </c>
      <c r="C4601" s="13">
        <f>IFERROR(__xludf.DUMMYFUNCTION("""COMPUTED_VALUE"""),0.7083333333333334)</f>
        <v>0.7083333333</v>
      </c>
      <c r="D4601" s="8">
        <f>IFERROR(__xludf.DUMMYFUNCTION("""COMPUTED_VALUE"""),0.117)</f>
        <v>0.117</v>
      </c>
      <c r="E4601" s="8" t="str">
        <f>IFERROR(__xludf.DUMMYFUNCTION("""COMPUTED_VALUE"""),"Real")</f>
        <v>Real</v>
      </c>
      <c r="G4601" s="8">
        <f t="shared" si="1"/>
        <v>5</v>
      </c>
      <c r="H4601" s="14">
        <f t="shared" si="2"/>
        <v>11</v>
      </c>
      <c r="I4601" s="15">
        <f t="shared" si="3"/>
        <v>17</v>
      </c>
    </row>
    <row r="4602">
      <c r="A4602" s="8" t="str">
        <f>IFERROR(__xludf.DUMMYFUNCTION("IF('(INGESTA)Datos_consumo_datadis'!A4602&lt;&gt;"""",SPLIT('(INGESTA)Datos_consumo_datadis'!A:A,"",""),"""")"),"ES0031408323131005HX0F")</f>
        <v>ES0031408323131005HX0F</v>
      </c>
      <c r="B4602" s="12">
        <f>IFERROR(__xludf.DUMMYFUNCTION("""COMPUTED_VALUE"""),45057.0)</f>
        <v>45057</v>
      </c>
      <c r="C4602" s="13">
        <f>IFERROR(__xludf.DUMMYFUNCTION("""COMPUTED_VALUE"""),0.75)</f>
        <v>0.75</v>
      </c>
      <c r="D4602" s="8">
        <f>IFERROR(__xludf.DUMMYFUNCTION("""COMPUTED_VALUE"""),0.324)</f>
        <v>0.324</v>
      </c>
      <c r="E4602" s="8" t="str">
        <f>IFERROR(__xludf.DUMMYFUNCTION("""COMPUTED_VALUE"""),"Real")</f>
        <v>Real</v>
      </c>
      <c r="G4602" s="8">
        <f t="shared" si="1"/>
        <v>5</v>
      </c>
      <c r="H4602" s="14">
        <f t="shared" si="2"/>
        <v>11</v>
      </c>
      <c r="I4602" s="15">
        <f t="shared" si="3"/>
        <v>18</v>
      </c>
    </row>
    <row r="4603">
      <c r="A4603" s="8" t="str">
        <f>IFERROR(__xludf.DUMMYFUNCTION("IF('(INGESTA)Datos_consumo_datadis'!A4603&lt;&gt;"""",SPLIT('(INGESTA)Datos_consumo_datadis'!A:A,"",""),"""")"),"ES0031408323131005HX0F")</f>
        <v>ES0031408323131005HX0F</v>
      </c>
      <c r="B4603" s="12">
        <f>IFERROR(__xludf.DUMMYFUNCTION("""COMPUTED_VALUE"""),45057.0)</f>
        <v>45057</v>
      </c>
      <c r="C4603" s="13">
        <f>IFERROR(__xludf.DUMMYFUNCTION("""COMPUTED_VALUE"""),0.7916666666666666)</f>
        <v>0.7916666667</v>
      </c>
      <c r="D4603" s="8">
        <f>IFERROR(__xludf.DUMMYFUNCTION("""COMPUTED_VALUE"""),0.139)</f>
        <v>0.139</v>
      </c>
      <c r="E4603" s="8" t="str">
        <f>IFERROR(__xludf.DUMMYFUNCTION("""COMPUTED_VALUE"""),"Real")</f>
        <v>Real</v>
      </c>
      <c r="G4603" s="8">
        <f t="shared" si="1"/>
        <v>5</v>
      </c>
      <c r="H4603" s="14">
        <f t="shared" si="2"/>
        <v>11</v>
      </c>
      <c r="I4603" s="15">
        <f t="shared" si="3"/>
        <v>19</v>
      </c>
    </row>
    <row r="4604">
      <c r="A4604" s="8" t="str">
        <f>IFERROR(__xludf.DUMMYFUNCTION("IF('(INGESTA)Datos_consumo_datadis'!A4604&lt;&gt;"""",SPLIT('(INGESTA)Datos_consumo_datadis'!A:A,"",""),"""")"),"ES0031408323131005HX0F")</f>
        <v>ES0031408323131005HX0F</v>
      </c>
      <c r="B4604" s="12">
        <f>IFERROR(__xludf.DUMMYFUNCTION("""COMPUTED_VALUE"""),45057.0)</f>
        <v>45057</v>
      </c>
      <c r="C4604" s="13">
        <f>IFERROR(__xludf.DUMMYFUNCTION("""COMPUTED_VALUE"""),0.8333333333333334)</f>
        <v>0.8333333333</v>
      </c>
      <c r="D4604" s="8">
        <f>IFERROR(__xludf.DUMMYFUNCTION("""COMPUTED_VALUE"""),1.623)</f>
        <v>1.623</v>
      </c>
      <c r="E4604" s="8" t="str">
        <f>IFERROR(__xludf.DUMMYFUNCTION("""COMPUTED_VALUE"""),"Real")</f>
        <v>Real</v>
      </c>
      <c r="G4604" s="8">
        <f t="shared" si="1"/>
        <v>5</v>
      </c>
      <c r="H4604" s="14">
        <f t="shared" si="2"/>
        <v>11</v>
      </c>
      <c r="I4604" s="15">
        <f t="shared" si="3"/>
        <v>20</v>
      </c>
    </row>
    <row r="4605">
      <c r="A4605" s="8" t="str">
        <f>IFERROR(__xludf.DUMMYFUNCTION("IF('(INGESTA)Datos_consumo_datadis'!A4605&lt;&gt;"""",SPLIT('(INGESTA)Datos_consumo_datadis'!A:A,"",""),"""")"),"ES0031408323131005HX0F")</f>
        <v>ES0031408323131005HX0F</v>
      </c>
      <c r="B4605" s="12">
        <f>IFERROR(__xludf.DUMMYFUNCTION("""COMPUTED_VALUE"""),45057.0)</f>
        <v>45057</v>
      </c>
      <c r="C4605" s="13">
        <f>IFERROR(__xludf.DUMMYFUNCTION("""COMPUTED_VALUE"""),0.875)</f>
        <v>0.875</v>
      </c>
      <c r="D4605" s="8">
        <f>IFERROR(__xludf.DUMMYFUNCTION("""COMPUTED_VALUE"""),0.152)</f>
        <v>0.152</v>
      </c>
      <c r="E4605" s="8" t="str">
        <f>IFERROR(__xludf.DUMMYFUNCTION("""COMPUTED_VALUE"""),"Real")</f>
        <v>Real</v>
      </c>
      <c r="G4605" s="8">
        <f t="shared" si="1"/>
        <v>5</v>
      </c>
      <c r="H4605" s="14">
        <f t="shared" si="2"/>
        <v>11</v>
      </c>
      <c r="I4605" s="15">
        <f t="shared" si="3"/>
        <v>21</v>
      </c>
    </row>
    <row r="4606">
      <c r="A4606" s="8" t="str">
        <f>IFERROR(__xludf.DUMMYFUNCTION("IF('(INGESTA)Datos_consumo_datadis'!A4606&lt;&gt;"""",SPLIT('(INGESTA)Datos_consumo_datadis'!A:A,"",""),"""")"),"ES0031408323131005HX0F")</f>
        <v>ES0031408323131005HX0F</v>
      </c>
      <c r="B4606" s="12">
        <f>IFERROR(__xludf.DUMMYFUNCTION("""COMPUTED_VALUE"""),45057.0)</f>
        <v>45057</v>
      </c>
      <c r="C4606" s="13">
        <f>IFERROR(__xludf.DUMMYFUNCTION("""COMPUTED_VALUE"""),0.9166666666666666)</f>
        <v>0.9166666667</v>
      </c>
      <c r="D4606" s="8">
        <f>IFERROR(__xludf.DUMMYFUNCTION("""COMPUTED_VALUE"""),1.326)</f>
        <v>1.326</v>
      </c>
      <c r="E4606" s="8" t="str">
        <f>IFERROR(__xludf.DUMMYFUNCTION("""COMPUTED_VALUE"""),"Real")</f>
        <v>Real</v>
      </c>
      <c r="G4606" s="8">
        <f t="shared" si="1"/>
        <v>5</v>
      </c>
      <c r="H4606" s="14">
        <f t="shared" si="2"/>
        <v>11</v>
      </c>
      <c r="I4606" s="15">
        <f t="shared" si="3"/>
        <v>22</v>
      </c>
    </row>
    <row r="4607">
      <c r="A4607" s="8" t="str">
        <f>IFERROR(__xludf.DUMMYFUNCTION("IF('(INGESTA)Datos_consumo_datadis'!A4607&lt;&gt;"""",SPLIT('(INGESTA)Datos_consumo_datadis'!A:A,"",""),"""")"),"ES0031408323131005HX0F")</f>
        <v>ES0031408323131005HX0F</v>
      </c>
      <c r="B4607" s="12">
        <f>IFERROR(__xludf.DUMMYFUNCTION("""COMPUTED_VALUE"""),45057.0)</f>
        <v>45057</v>
      </c>
      <c r="C4607" s="13">
        <f>IFERROR(__xludf.DUMMYFUNCTION("""COMPUTED_VALUE"""),0.9583333333333334)</f>
        <v>0.9583333333</v>
      </c>
      <c r="D4607" s="8">
        <f>IFERROR(__xludf.DUMMYFUNCTION("""COMPUTED_VALUE"""),0.391)</f>
        <v>0.391</v>
      </c>
      <c r="E4607" s="8" t="str">
        <f>IFERROR(__xludf.DUMMYFUNCTION("""COMPUTED_VALUE"""),"Real")</f>
        <v>Real</v>
      </c>
      <c r="G4607" s="8">
        <f t="shared" si="1"/>
        <v>5</v>
      </c>
      <c r="H4607" s="14">
        <f t="shared" si="2"/>
        <v>11</v>
      </c>
      <c r="I4607" s="15">
        <f t="shared" si="3"/>
        <v>23</v>
      </c>
    </row>
    <row r="4608">
      <c r="A4608" s="8" t="str">
        <f>IFERROR(__xludf.DUMMYFUNCTION("IF('(INGESTA)Datos_consumo_datadis'!A4608&lt;&gt;"""",SPLIT('(INGESTA)Datos_consumo_datadis'!A:A,"",""),"""")"),"ES0031408323131005HX0F")</f>
        <v>ES0031408323131005HX0F</v>
      </c>
      <c r="B4608" s="12">
        <f>IFERROR(__xludf.DUMMYFUNCTION("""COMPUTED_VALUE"""),45057.0)</f>
        <v>45057</v>
      </c>
      <c r="C4608" s="16">
        <f>IFERROR(__xludf.DUMMYFUNCTION("""COMPUTED_VALUE"""),1.0)</f>
        <v>1</v>
      </c>
      <c r="D4608" s="8">
        <f>IFERROR(__xludf.DUMMYFUNCTION("""COMPUTED_VALUE"""),0.109)</f>
        <v>0.109</v>
      </c>
      <c r="E4608" s="8" t="str">
        <f>IFERROR(__xludf.DUMMYFUNCTION("""COMPUTED_VALUE"""),"Real")</f>
        <v>Real</v>
      </c>
      <c r="G4608" s="8">
        <f t="shared" si="1"/>
        <v>5</v>
      </c>
      <c r="H4608" s="14">
        <f t="shared" si="2"/>
        <v>11</v>
      </c>
      <c r="I4608" s="15">
        <f t="shared" si="3"/>
        <v>0</v>
      </c>
    </row>
    <row r="4609">
      <c r="A4609" s="8" t="str">
        <f>IFERROR(__xludf.DUMMYFUNCTION("IF('(INGESTA)Datos_consumo_datadis'!A4609&lt;&gt;"""",SPLIT('(INGESTA)Datos_consumo_datadis'!A:A,"",""),"""")"),"ES0031408323131005HX0F")</f>
        <v>ES0031408323131005HX0F</v>
      </c>
      <c r="B4609" s="12">
        <f>IFERROR(__xludf.DUMMYFUNCTION("""COMPUTED_VALUE"""),45058.0)</f>
        <v>45058</v>
      </c>
      <c r="C4609" s="13">
        <f>IFERROR(__xludf.DUMMYFUNCTION("""COMPUTED_VALUE"""),0.041666666666666664)</f>
        <v>0.04166666667</v>
      </c>
      <c r="D4609" s="8">
        <f>IFERROR(__xludf.DUMMYFUNCTION("""COMPUTED_VALUE"""),0.066)</f>
        <v>0.066</v>
      </c>
      <c r="E4609" s="8" t="str">
        <f>IFERROR(__xludf.DUMMYFUNCTION("""COMPUTED_VALUE"""),"Real")</f>
        <v>Real</v>
      </c>
      <c r="G4609" s="8">
        <f t="shared" si="1"/>
        <v>5</v>
      </c>
      <c r="H4609" s="14">
        <f t="shared" si="2"/>
        <v>12</v>
      </c>
      <c r="I4609" s="15">
        <f t="shared" si="3"/>
        <v>1</v>
      </c>
    </row>
    <row r="4610">
      <c r="A4610" s="8" t="str">
        <f>IFERROR(__xludf.DUMMYFUNCTION("IF('(INGESTA)Datos_consumo_datadis'!A4610&lt;&gt;"""",SPLIT('(INGESTA)Datos_consumo_datadis'!A:A,"",""),"""")"),"ES0031408323131005HX0F")</f>
        <v>ES0031408323131005HX0F</v>
      </c>
      <c r="B4610" s="12">
        <f>IFERROR(__xludf.DUMMYFUNCTION("""COMPUTED_VALUE"""),45058.0)</f>
        <v>45058</v>
      </c>
      <c r="C4610" s="13">
        <f>IFERROR(__xludf.DUMMYFUNCTION("""COMPUTED_VALUE"""),0.08333333333333333)</f>
        <v>0.08333333333</v>
      </c>
      <c r="D4610" s="8">
        <f>IFERROR(__xludf.DUMMYFUNCTION("""COMPUTED_VALUE"""),0.09)</f>
        <v>0.09</v>
      </c>
      <c r="E4610" s="8" t="str">
        <f>IFERROR(__xludf.DUMMYFUNCTION("""COMPUTED_VALUE"""),"Real")</f>
        <v>Real</v>
      </c>
      <c r="G4610" s="8">
        <f t="shared" si="1"/>
        <v>5</v>
      </c>
      <c r="H4610" s="14">
        <f t="shared" si="2"/>
        <v>12</v>
      </c>
      <c r="I4610" s="15">
        <f t="shared" si="3"/>
        <v>2</v>
      </c>
    </row>
    <row r="4611">
      <c r="A4611" s="8" t="str">
        <f>IFERROR(__xludf.DUMMYFUNCTION("IF('(INGESTA)Datos_consumo_datadis'!A4611&lt;&gt;"""",SPLIT('(INGESTA)Datos_consumo_datadis'!A:A,"",""),"""")"),"ES0031408323131005HX0F")</f>
        <v>ES0031408323131005HX0F</v>
      </c>
      <c r="B4611" s="12">
        <f>IFERROR(__xludf.DUMMYFUNCTION("""COMPUTED_VALUE"""),45058.0)</f>
        <v>45058</v>
      </c>
      <c r="C4611" s="13">
        <f>IFERROR(__xludf.DUMMYFUNCTION("""COMPUTED_VALUE"""),0.125)</f>
        <v>0.125</v>
      </c>
      <c r="D4611" s="8">
        <f>IFERROR(__xludf.DUMMYFUNCTION("""COMPUTED_VALUE"""),0.105)</f>
        <v>0.105</v>
      </c>
      <c r="E4611" s="8" t="str">
        <f>IFERROR(__xludf.DUMMYFUNCTION("""COMPUTED_VALUE"""),"Real")</f>
        <v>Real</v>
      </c>
      <c r="G4611" s="8">
        <f t="shared" si="1"/>
        <v>5</v>
      </c>
      <c r="H4611" s="14">
        <f t="shared" si="2"/>
        <v>12</v>
      </c>
      <c r="I4611" s="15">
        <f t="shared" si="3"/>
        <v>3</v>
      </c>
    </row>
    <row r="4612">
      <c r="A4612" s="8" t="str">
        <f>IFERROR(__xludf.DUMMYFUNCTION("IF('(INGESTA)Datos_consumo_datadis'!A4612&lt;&gt;"""",SPLIT('(INGESTA)Datos_consumo_datadis'!A:A,"",""),"""")"),"ES0031408323131005HX0F")</f>
        <v>ES0031408323131005HX0F</v>
      </c>
      <c r="B4612" s="12">
        <f>IFERROR(__xludf.DUMMYFUNCTION("""COMPUTED_VALUE"""),45058.0)</f>
        <v>45058</v>
      </c>
      <c r="C4612" s="13">
        <f>IFERROR(__xludf.DUMMYFUNCTION("""COMPUTED_VALUE"""),0.16666666666666666)</f>
        <v>0.1666666667</v>
      </c>
      <c r="D4612" s="8">
        <f>IFERROR(__xludf.DUMMYFUNCTION("""COMPUTED_VALUE"""),0.302)</f>
        <v>0.302</v>
      </c>
      <c r="E4612" s="8" t="str">
        <f>IFERROR(__xludf.DUMMYFUNCTION("""COMPUTED_VALUE"""),"Real")</f>
        <v>Real</v>
      </c>
      <c r="G4612" s="8">
        <f t="shared" si="1"/>
        <v>5</v>
      </c>
      <c r="H4612" s="14">
        <f t="shared" si="2"/>
        <v>12</v>
      </c>
      <c r="I4612" s="15">
        <f t="shared" si="3"/>
        <v>4</v>
      </c>
    </row>
    <row r="4613">
      <c r="A4613" s="8" t="str">
        <f>IFERROR(__xludf.DUMMYFUNCTION("IF('(INGESTA)Datos_consumo_datadis'!A4613&lt;&gt;"""",SPLIT('(INGESTA)Datos_consumo_datadis'!A:A,"",""),"""")"),"ES0031408323131005HX0F")</f>
        <v>ES0031408323131005HX0F</v>
      </c>
      <c r="B4613" s="12">
        <f>IFERROR(__xludf.DUMMYFUNCTION("""COMPUTED_VALUE"""),45058.0)</f>
        <v>45058</v>
      </c>
      <c r="C4613" s="13">
        <f>IFERROR(__xludf.DUMMYFUNCTION("""COMPUTED_VALUE"""),0.20833333333333334)</f>
        <v>0.2083333333</v>
      </c>
      <c r="D4613" s="8">
        <f>IFERROR(__xludf.DUMMYFUNCTION("""COMPUTED_VALUE"""),0.074)</f>
        <v>0.074</v>
      </c>
      <c r="E4613" s="8" t="str">
        <f>IFERROR(__xludf.DUMMYFUNCTION("""COMPUTED_VALUE"""),"Real")</f>
        <v>Real</v>
      </c>
      <c r="G4613" s="8">
        <f t="shared" si="1"/>
        <v>5</v>
      </c>
      <c r="H4613" s="14">
        <f t="shared" si="2"/>
        <v>12</v>
      </c>
      <c r="I4613" s="15">
        <f t="shared" si="3"/>
        <v>5</v>
      </c>
    </row>
    <row r="4614">
      <c r="A4614" s="8" t="str">
        <f>IFERROR(__xludf.DUMMYFUNCTION("IF('(INGESTA)Datos_consumo_datadis'!A4614&lt;&gt;"""",SPLIT('(INGESTA)Datos_consumo_datadis'!A:A,"",""),"""")"),"ES0031408323131005HX0F")</f>
        <v>ES0031408323131005HX0F</v>
      </c>
      <c r="B4614" s="12">
        <f>IFERROR(__xludf.DUMMYFUNCTION("""COMPUTED_VALUE"""),45058.0)</f>
        <v>45058</v>
      </c>
      <c r="C4614" s="13">
        <f>IFERROR(__xludf.DUMMYFUNCTION("""COMPUTED_VALUE"""),0.25)</f>
        <v>0.25</v>
      </c>
      <c r="D4614" s="8">
        <f>IFERROR(__xludf.DUMMYFUNCTION("""COMPUTED_VALUE"""),0.082)</f>
        <v>0.082</v>
      </c>
      <c r="E4614" s="8" t="str">
        <f>IFERROR(__xludf.DUMMYFUNCTION("""COMPUTED_VALUE"""),"Real")</f>
        <v>Real</v>
      </c>
      <c r="G4614" s="8">
        <f t="shared" si="1"/>
        <v>5</v>
      </c>
      <c r="H4614" s="14">
        <f t="shared" si="2"/>
        <v>12</v>
      </c>
      <c r="I4614" s="15">
        <f t="shared" si="3"/>
        <v>6</v>
      </c>
    </row>
    <row r="4615">
      <c r="A4615" s="8" t="str">
        <f>IFERROR(__xludf.DUMMYFUNCTION("IF('(INGESTA)Datos_consumo_datadis'!A4615&lt;&gt;"""",SPLIT('(INGESTA)Datos_consumo_datadis'!A:A,"",""),"""")"),"ES0031408323131005HX0F")</f>
        <v>ES0031408323131005HX0F</v>
      </c>
      <c r="B4615" s="12">
        <f>IFERROR(__xludf.DUMMYFUNCTION("""COMPUTED_VALUE"""),45058.0)</f>
        <v>45058</v>
      </c>
      <c r="C4615" s="13">
        <f>IFERROR(__xludf.DUMMYFUNCTION("""COMPUTED_VALUE"""),0.2916666666666667)</f>
        <v>0.2916666667</v>
      </c>
      <c r="D4615" s="8">
        <f>IFERROR(__xludf.DUMMYFUNCTION("""COMPUTED_VALUE"""),0.02)</f>
        <v>0.02</v>
      </c>
      <c r="E4615" s="8" t="str">
        <f>IFERROR(__xludf.DUMMYFUNCTION("""COMPUTED_VALUE"""),"Real")</f>
        <v>Real</v>
      </c>
      <c r="G4615" s="8">
        <f t="shared" si="1"/>
        <v>5</v>
      </c>
      <c r="H4615" s="14">
        <f t="shared" si="2"/>
        <v>12</v>
      </c>
      <c r="I4615" s="15">
        <f t="shared" si="3"/>
        <v>7</v>
      </c>
    </row>
    <row r="4616">
      <c r="A4616" s="8" t="str">
        <f>IFERROR(__xludf.DUMMYFUNCTION("IF('(INGESTA)Datos_consumo_datadis'!A4616&lt;&gt;"""",SPLIT('(INGESTA)Datos_consumo_datadis'!A:A,"",""),"""")"),"ES0031408323131005HX0F")</f>
        <v>ES0031408323131005HX0F</v>
      </c>
      <c r="B4616" s="12">
        <f>IFERROR(__xludf.DUMMYFUNCTION("""COMPUTED_VALUE"""),45058.0)</f>
        <v>45058</v>
      </c>
      <c r="C4616" s="13">
        <f>IFERROR(__xludf.DUMMYFUNCTION("""COMPUTED_VALUE"""),0.3333333333333333)</f>
        <v>0.3333333333</v>
      </c>
      <c r="D4616" s="8">
        <f>IFERROR(__xludf.DUMMYFUNCTION("""COMPUTED_VALUE"""),0.178)</f>
        <v>0.178</v>
      </c>
      <c r="E4616" s="8" t="str">
        <f>IFERROR(__xludf.DUMMYFUNCTION("""COMPUTED_VALUE"""),"Real")</f>
        <v>Real</v>
      </c>
      <c r="G4616" s="8">
        <f t="shared" si="1"/>
        <v>5</v>
      </c>
      <c r="H4616" s="14">
        <f t="shared" si="2"/>
        <v>12</v>
      </c>
      <c r="I4616" s="15">
        <f t="shared" si="3"/>
        <v>8</v>
      </c>
    </row>
    <row r="4617">
      <c r="A4617" s="8" t="str">
        <f>IFERROR(__xludf.DUMMYFUNCTION("IF('(INGESTA)Datos_consumo_datadis'!A4617&lt;&gt;"""",SPLIT('(INGESTA)Datos_consumo_datadis'!A:A,"",""),"""")"),"ES0031408323131005HX0F")</f>
        <v>ES0031408323131005HX0F</v>
      </c>
      <c r="B4617" s="12">
        <f>IFERROR(__xludf.DUMMYFUNCTION("""COMPUTED_VALUE"""),45058.0)</f>
        <v>45058</v>
      </c>
      <c r="C4617" s="13">
        <f>IFERROR(__xludf.DUMMYFUNCTION("""COMPUTED_VALUE"""),0.375)</f>
        <v>0.375</v>
      </c>
      <c r="D4617" s="8">
        <f>IFERROR(__xludf.DUMMYFUNCTION("""COMPUTED_VALUE"""),0.067)</f>
        <v>0.067</v>
      </c>
      <c r="E4617" s="8" t="str">
        <f>IFERROR(__xludf.DUMMYFUNCTION("""COMPUTED_VALUE"""),"Real")</f>
        <v>Real</v>
      </c>
      <c r="G4617" s="8">
        <f t="shared" si="1"/>
        <v>5</v>
      </c>
      <c r="H4617" s="14">
        <f t="shared" si="2"/>
        <v>12</v>
      </c>
      <c r="I4617" s="15">
        <f t="shared" si="3"/>
        <v>9</v>
      </c>
    </row>
    <row r="4618">
      <c r="A4618" s="8" t="str">
        <f>IFERROR(__xludf.DUMMYFUNCTION("IF('(INGESTA)Datos_consumo_datadis'!A4618&lt;&gt;"""",SPLIT('(INGESTA)Datos_consumo_datadis'!A:A,"",""),"""")"),"ES0031408323131005HX0F")</f>
        <v>ES0031408323131005HX0F</v>
      </c>
      <c r="B4618" s="12">
        <f>IFERROR(__xludf.DUMMYFUNCTION("""COMPUTED_VALUE"""),45058.0)</f>
        <v>45058</v>
      </c>
      <c r="C4618" s="13">
        <f>IFERROR(__xludf.DUMMYFUNCTION("""COMPUTED_VALUE"""),0.4166666666666667)</f>
        <v>0.4166666667</v>
      </c>
      <c r="D4618" s="8">
        <f>IFERROR(__xludf.DUMMYFUNCTION("""COMPUTED_VALUE"""),0.386)</f>
        <v>0.386</v>
      </c>
      <c r="E4618" s="8" t="str">
        <f>IFERROR(__xludf.DUMMYFUNCTION("""COMPUTED_VALUE"""),"Estimada")</f>
        <v>Estimada</v>
      </c>
      <c r="G4618" s="8">
        <f t="shared" si="1"/>
        <v>5</v>
      </c>
      <c r="H4618" s="14">
        <f t="shared" si="2"/>
        <v>12</v>
      </c>
      <c r="I4618" s="15">
        <f t="shared" si="3"/>
        <v>10</v>
      </c>
    </row>
    <row r="4619">
      <c r="A4619" s="8" t="str">
        <f>IFERROR(__xludf.DUMMYFUNCTION("IF('(INGESTA)Datos_consumo_datadis'!A4619&lt;&gt;"""",SPLIT('(INGESTA)Datos_consumo_datadis'!A:A,"",""),"""")"),"ES0031408323131005HX0F")</f>
        <v>ES0031408323131005HX0F</v>
      </c>
      <c r="B4619" s="12">
        <f>IFERROR(__xludf.DUMMYFUNCTION("""COMPUTED_VALUE"""),45058.0)</f>
        <v>45058</v>
      </c>
      <c r="C4619" s="13">
        <f>IFERROR(__xludf.DUMMYFUNCTION("""COMPUTED_VALUE"""),0.4583333333333333)</f>
        <v>0.4583333333</v>
      </c>
      <c r="D4619" s="8">
        <f>IFERROR(__xludf.DUMMYFUNCTION("""COMPUTED_VALUE"""),0.173)</f>
        <v>0.173</v>
      </c>
      <c r="E4619" s="8" t="str">
        <f>IFERROR(__xludf.DUMMYFUNCTION("""COMPUTED_VALUE"""),"Estimada")</f>
        <v>Estimada</v>
      </c>
      <c r="G4619" s="8">
        <f t="shared" si="1"/>
        <v>5</v>
      </c>
      <c r="H4619" s="14">
        <f t="shared" si="2"/>
        <v>12</v>
      </c>
      <c r="I4619" s="15">
        <f t="shared" si="3"/>
        <v>11</v>
      </c>
    </row>
    <row r="4620">
      <c r="A4620" s="8" t="str">
        <f>IFERROR(__xludf.DUMMYFUNCTION("IF('(INGESTA)Datos_consumo_datadis'!A4620&lt;&gt;"""",SPLIT('(INGESTA)Datos_consumo_datadis'!A:A,"",""),"""")"),"ES0031408323131005HX0F")</f>
        <v>ES0031408323131005HX0F</v>
      </c>
      <c r="B4620" s="12">
        <f>IFERROR(__xludf.DUMMYFUNCTION("""COMPUTED_VALUE"""),45058.0)</f>
        <v>45058</v>
      </c>
      <c r="C4620" s="13">
        <f>IFERROR(__xludf.DUMMYFUNCTION("""COMPUTED_VALUE"""),0.5)</f>
        <v>0.5</v>
      </c>
      <c r="D4620" s="8">
        <f>IFERROR(__xludf.DUMMYFUNCTION("""COMPUTED_VALUE"""),0.176)</f>
        <v>0.176</v>
      </c>
      <c r="E4620" s="8" t="str">
        <f>IFERROR(__xludf.DUMMYFUNCTION("""COMPUTED_VALUE"""),"Estimada")</f>
        <v>Estimada</v>
      </c>
      <c r="G4620" s="8">
        <f t="shared" si="1"/>
        <v>5</v>
      </c>
      <c r="H4620" s="14">
        <f t="shared" si="2"/>
        <v>12</v>
      </c>
      <c r="I4620" s="15">
        <f t="shared" si="3"/>
        <v>12</v>
      </c>
    </row>
    <row r="4621">
      <c r="A4621" s="8" t="str">
        <f>IFERROR(__xludf.DUMMYFUNCTION("IF('(INGESTA)Datos_consumo_datadis'!A4621&lt;&gt;"""",SPLIT('(INGESTA)Datos_consumo_datadis'!A:A,"",""),"""")"),"ES0031408323131005HX0F")</f>
        <v>ES0031408323131005HX0F</v>
      </c>
      <c r="B4621" s="12">
        <f>IFERROR(__xludf.DUMMYFUNCTION("""COMPUTED_VALUE"""),45058.0)</f>
        <v>45058</v>
      </c>
      <c r="C4621" s="13">
        <f>IFERROR(__xludf.DUMMYFUNCTION("""COMPUTED_VALUE"""),0.5416666666666666)</f>
        <v>0.5416666667</v>
      </c>
      <c r="D4621" s="8">
        <f>IFERROR(__xludf.DUMMYFUNCTION("""COMPUTED_VALUE"""),0.181)</f>
        <v>0.181</v>
      </c>
      <c r="E4621" s="8" t="str">
        <f>IFERROR(__xludf.DUMMYFUNCTION("""COMPUTED_VALUE"""),"Estimada")</f>
        <v>Estimada</v>
      </c>
      <c r="G4621" s="8">
        <f t="shared" si="1"/>
        <v>5</v>
      </c>
      <c r="H4621" s="14">
        <f t="shared" si="2"/>
        <v>12</v>
      </c>
      <c r="I4621" s="15">
        <f t="shared" si="3"/>
        <v>13</v>
      </c>
    </row>
    <row r="4622">
      <c r="A4622" s="8" t="str">
        <f>IFERROR(__xludf.DUMMYFUNCTION("IF('(INGESTA)Datos_consumo_datadis'!A4622&lt;&gt;"""",SPLIT('(INGESTA)Datos_consumo_datadis'!A:A,"",""),"""")"),"ES0031408323131005HX0F")</f>
        <v>ES0031408323131005HX0F</v>
      </c>
      <c r="B4622" s="12">
        <f>IFERROR(__xludf.DUMMYFUNCTION("""COMPUTED_VALUE"""),45058.0)</f>
        <v>45058</v>
      </c>
      <c r="C4622" s="13">
        <f>IFERROR(__xludf.DUMMYFUNCTION("""COMPUTED_VALUE"""),0.5833333333333334)</f>
        <v>0.5833333333</v>
      </c>
      <c r="D4622" s="8">
        <f>IFERROR(__xludf.DUMMYFUNCTION("""COMPUTED_VALUE"""),0.191)</f>
        <v>0.191</v>
      </c>
      <c r="E4622" s="8" t="str">
        <f>IFERROR(__xludf.DUMMYFUNCTION("""COMPUTED_VALUE"""),"Estimada")</f>
        <v>Estimada</v>
      </c>
      <c r="G4622" s="8">
        <f t="shared" si="1"/>
        <v>5</v>
      </c>
      <c r="H4622" s="14">
        <f t="shared" si="2"/>
        <v>12</v>
      </c>
      <c r="I4622" s="15">
        <f t="shared" si="3"/>
        <v>14</v>
      </c>
    </row>
    <row r="4623">
      <c r="A4623" s="8" t="str">
        <f>IFERROR(__xludf.DUMMYFUNCTION("IF('(INGESTA)Datos_consumo_datadis'!A4623&lt;&gt;"""",SPLIT('(INGESTA)Datos_consumo_datadis'!A:A,"",""),"""")"),"ES0031408323131005HX0F")</f>
        <v>ES0031408323131005HX0F</v>
      </c>
      <c r="B4623" s="12">
        <f>IFERROR(__xludf.DUMMYFUNCTION("""COMPUTED_VALUE"""),45058.0)</f>
        <v>45058</v>
      </c>
      <c r="C4623" s="13">
        <f>IFERROR(__xludf.DUMMYFUNCTION("""COMPUTED_VALUE"""),0.625)</f>
        <v>0.625</v>
      </c>
      <c r="D4623" s="8">
        <f>IFERROR(__xludf.DUMMYFUNCTION("""COMPUTED_VALUE"""),0.444)</f>
        <v>0.444</v>
      </c>
      <c r="E4623" s="8" t="str">
        <f>IFERROR(__xludf.DUMMYFUNCTION("""COMPUTED_VALUE"""),"Estimada")</f>
        <v>Estimada</v>
      </c>
      <c r="G4623" s="8">
        <f t="shared" si="1"/>
        <v>5</v>
      </c>
      <c r="H4623" s="14">
        <f t="shared" si="2"/>
        <v>12</v>
      </c>
      <c r="I4623" s="15">
        <f t="shared" si="3"/>
        <v>15</v>
      </c>
    </row>
    <row r="4624">
      <c r="A4624" s="8" t="str">
        <f>IFERROR(__xludf.DUMMYFUNCTION("IF('(INGESTA)Datos_consumo_datadis'!A4624&lt;&gt;"""",SPLIT('(INGESTA)Datos_consumo_datadis'!A:A,"",""),"""")"),"ES0031408323131005HX0F")</f>
        <v>ES0031408323131005HX0F</v>
      </c>
      <c r="B4624" s="12">
        <f>IFERROR(__xludf.DUMMYFUNCTION("""COMPUTED_VALUE"""),45058.0)</f>
        <v>45058</v>
      </c>
      <c r="C4624" s="13">
        <f>IFERROR(__xludf.DUMMYFUNCTION("""COMPUTED_VALUE"""),0.6666666666666666)</f>
        <v>0.6666666667</v>
      </c>
      <c r="D4624" s="8">
        <f>IFERROR(__xludf.DUMMYFUNCTION("""COMPUTED_VALUE"""),0.41)</f>
        <v>0.41</v>
      </c>
      <c r="E4624" s="8" t="str">
        <f>IFERROR(__xludf.DUMMYFUNCTION("""COMPUTED_VALUE"""),"Estimada")</f>
        <v>Estimada</v>
      </c>
      <c r="G4624" s="8">
        <f t="shared" si="1"/>
        <v>5</v>
      </c>
      <c r="H4624" s="14">
        <f t="shared" si="2"/>
        <v>12</v>
      </c>
      <c r="I4624" s="15">
        <f t="shared" si="3"/>
        <v>16</v>
      </c>
    </row>
    <row r="4625">
      <c r="A4625" s="8" t="str">
        <f>IFERROR(__xludf.DUMMYFUNCTION("IF('(INGESTA)Datos_consumo_datadis'!A4625&lt;&gt;"""",SPLIT('(INGESTA)Datos_consumo_datadis'!A:A,"",""),"""")"),"ES0031408323131005HX0F")</f>
        <v>ES0031408323131005HX0F</v>
      </c>
      <c r="B4625" s="12">
        <f>IFERROR(__xludf.DUMMYFUNCTION("""COMPUTED_VALUE"""),45058.0)</f>
        <v>45058</v>
      </c>
      <c r="C4625" s="13">
        <f>IFERROR(__xludf.DUMMYFUNCTION("""COMPUTED_VALUE"""),0.7083333333333334)</f>
        <v>0.7083333333</v>
      </c>
      <c r="D4625" s="8">
        <f>IFERROR(__xludf.DUMMYFUNCTION("""COMPUTED_VALUE"""),0.388)</f>
        <v>0.388</v>
      </c>
      <c r="E4625" s="8" t="str">
        <f>IFERROR(__xludf.DUMMYFUNCTION("""COMPUTED_VALUE"""),"Estimada")</f>
        <v>Estimada</v>
      </c>
      <c r="G4625" s="8">
        <f t="shared" si="1"/>
        <v>5</v>
      </c>
      <c r="H4625" s="14">
        <f t="shared" si="2"/>
        <v>12</v>
      </c>
      <c r="I4625" s="15">
        <f t="shared" si="3"/>
        <v>17</v>
      </c>
    </row>
    <row r="4626">
      <c r="A4626" s="8" t="str">
        <f>IFERROR(__xludf.DUMMYFUNCTION("IF('(INGESTA)Datos_consumo_datadis'!A4626&lt;&gt;"""",SPLIT('(INGESTA)Datos_consumo_datadis'!A:A,"",""),"""")"),"ES0031408323131005HX0F")</f>
        <v>ES0031408323131005HX0F</v>
      </c>
      <c r="B4626" s="12">
        <f>IFERROR(__xludf.DUMMYFUNCTION("""COMPUTED_VALUE"""),45058.0)</f>
        <v>45058</v>
      </c>
      <c r="C4626" s="13">
        <f>IFERROR(__xludf.DUMMYFUNCTION("""COMPUTED_VALUE"""),0.75)</f>
        <v>0.75</v>
      </c>
      <c r="D4626" s="8">
        <f>IFERROR(__xludf.DUMMYFUNCTION("""COMPUTED_VALUE"""),0.388)</f>
        <v>0.388</v>
      </c>
      <c r="E4626" s="8" t="str">
        <f>IFERROR(__xludf.DUMMYFUNCTION("""COMPUTED_VALUE"""),"Estimada")</f>
        <v>Estimada</v>
      </c>
      <c r="G4626" s="8">
        <f t="shared" si="1"/>
        <v>5</v>
      </c>
      <c r="H4626" s="14">
        <f t="shared" si="2"/>
        <v>12</v>
      </c>
      <c r="I4626" s="15">
        <f t="shared" si="3"/>
        <v>18</v>
      </c>
    </row>
    <row r="4627">
      <c r="A4627" s="8" t="str">
        <f>IFERROR(__xludf.DUMMYFUNCTION("IF('(INGESTA)Datos_consumo_datadis'!A4627&lt;&gt;"""",SPLIT('(INGESTA)Datos_consumo_datadis'!A:A,"",""),"""")"),"ES0031408323131005HX0F")</f>
        <v>ES0031408323131005HX0F</v>
      </c>
      <c r="B4627" s="12">
        <f>IFERROR(__xludf.DUMMYFUNCTION("""COMPUTED_VALUE"""),45058.0)</f>
        <v>45058</v>
      </c>
      <c r="C4627" s="13">
        <f>IFERROR(__xludf.DUMMYFUNCTION("""COMPUTED_VALUE"""),0.7916666666666666)</f>
        <v>0.7916666667</v>
      </c>
      <c r="D4627" s="8">
        <f>IFERROR(__xludf.DUMMYFUNCTION("""COMPUTED_VALUE"""),0.167)</f>
        <v>0.167</v>
      </c>
      <c r="E4627" s="8" t="str">
        <f>IFERROR(__xludf.DUMMYFUNCTION("""COMPUTED_VALUE"""),"Estimada")</f>
        <v>Estimada</v>
      </c>
      <c r="G4627" s="8">
        <f t="shared" si="1"/>
        <v>5</v>
      </c>
      <c r="H4627" s="14">
        <f t="shared" si="2"/>
        <v>12</v>
      </c>
      <c r="I4627" s="15">
        <f t="shared" si="3"/>
        <v>19</v>
      </c>
    </row>
    <row r="4628">
      <c r="A4628" s="8" t="str">
        <f>IFERROR(__xludf.DUMMYFUNCTION("IF('(INGESTA)Datos_consumo_datadis'!A4628&lt;&gt;"""",SPLIT('(INGESTA)Datos_consumo_datadis'!A:A,"",""),"""")"),"ES0031408323131005HX0F")</f>
        <v>ES0031408323131005HX0F</v>
      </c>
      <c r="B4628" s="12">
        <f>IFERROR(__xludf.DUMMYFUNCTION("""COMPUTED_VALUE"""),45058.0)</f>
        <v>45058</v>
      </c>
      <c r="C4628" s="13">
        <f>IFERROR(__xludf.DUMMYFUNCTION("""COMPUTED_VALUE"""),0.8333333333333334)</f>
        <v>0.8333333333</v>
      </c>
      <c r="D4628" s="8">
        <f>IFERROR(__xludf.DUMMYFUNCTION("""COMPUTED_VALUE"""),0.17)</f>
        <v>0.17</v>
      </c>
      <c r="E4628" s="8" t="str">
        <f>IFERROR(__xludf.DUMMYFUNCTION("""COMPUTED_VALUE"""),"Estimada")</f>
        <v>Estimada</v>
      </c>
      <c r="G4628" s="8">
        <f t="shared" si="1"/>
        <v>5</v>
      </c>
      <c r="H4628" s="14">
        <f t="shared" si="2"/>
        <v>12</v>
      </c>
      <c r="I4628" s="15">
        <f t="shared" si="3"/>
        <v>20</v>
      </c>
    </row>
    <row r="4629">
      <c r="A4629" s="8" t="str">
        <f>IFERROR(__xludf.DUMMYFUNCTION("IF('(INGESTA)Datos_consumo_datadis'!A4629&lt;&gt;"""",SPLIT('(INGESTA)Datos_consumo_datadis'!A:A,"",""),"""")"),"ES0031408323131005HX0F")</f>
        <v>ES0031408323131005HX0F</v>
      </c>
      <c r="B4629" s="12">
        <f>IFERROR(__xludf.DUMMYFUNCTION("""COMPUTED_VALUE"""),45058.0)</f>
        <v>45058</v>
      </c>
      <c r="C4629" s="13">
        <f>IFERROR(__xludf.DUMMYFUNCTION("""COMPUTED_VALUE"""),0.875)</f>
        <v>0.875</v>
      </c>
      <c r="D4629" s="8">
        <f>IFERROR(__xludf.DUMMYFUNCTION("""COMPUTED_VALUE"""),0.181)</f>
        <v>0.181</v>
      </c>
      <c r="E4629" s="8" t="str">
        <f>IFERROR(__xludf.DUMMYFUNCTION("""COMPUTED_VALUE"""),"Estimada")</f>
        <v>Estimada</v>
      </c>
      <c r="G4629" s="8">
        <f t="shared" si="1"/>
        <v>5</v>
      </c>
      <c r="H4629" s="14">
        <f t="shared" si="2"/>
        <v>12</v>
      </c>
      <c r="I4629" s="15">
        <f t="shared" si="3"/>
        <v>21</v>
      </c>
    </row>
    <row r="4630">
      <c r="A4630" s="8" t="str">
        <f>IFERROR(__xludf.DUMMYFUNCTION("IF('(INGESTA)Datos_consumo_datadis'!A4630&lt;&gt;"""",SPLIT('(INGESTA)Datos_consumo_datadis'!A:A,"",""),"""")"),"ES0031408323131005HX0F")</f>
        <v>ES0031408323131005HX0F</v>
      </c>
      <c r="B4630" s="12">
        <f>IFERROR(__xludf.DUMMYFUNCTION("""COMPUTED_VALUE"""),45058.0)</f>
        <v>45058</v>
      </c>
      <c r="C4630" s="13">
        <f>IFERROR(__xludf.DUMMYFUNCTION("""COMPUTED_VALUE"""),0.9166666666666666)</f>
        <v>0.9166666667</v>
      </c>
      <c r="D4630" s="8">
        <f>IFERROR(__xludf.DUMMYFUNCTION("""COMPUTED_VALUE"""),0.211)</f>
        <v>0.211</v>
      </c>
      <c r="E4630" s="8" t="str">
        <f>IFERROR(__xludf.DUMMYFUNCTION("""COMPUTED_VALUE"""),"Estimada")</f>
        <v>Estimada</v>
      </c>
      <c r="G4630" s="8">
        <f t="shared" si="1"/>
        <v>5</v>
      </c>
      <c r="H4630" s="14">
        <f t="shared" si="2"/>
        <v>12</v>
      </c>
      <c r="I4630" s="15">
        <f t="shared" si="3"/>
        <v>22</v>
      </c>
    </row>
    <row r="4631">
      <c r="A4631" s="8" t="str">
        <f>IFERROR(__xludf.DUMMYFUNCTION("IF('(INGESTA)Datos_consumo_datadis'!A4631&lt;&gt;"""",SPLIT('(INGESTA)Datos_consumo_datadis'!A:A,"",""),"""")"),"ES0031408323131005HX0F")</f>
        <v>ES0031408323131005HX0F</v>
      </c>
      <c r="B4631" s="12">
        <f>IFERROR(__xludf.DUMMYFUNCTION("""COMPUTED_VALUE"""),45058.0)</f>
        <v>45058</v>
      </c>
      <c r="C4631" s="13">
        <f>IFERROR(__xludf.DUMMYFUNCTION("""COMPUTED_VALUE"""),0.9583333333333334)</f>
        <v>0.9583333333</v>
      </c>
      <c r="D4631" s="8">
        <f>IFERROR(__xludf.DUMMYFUNCTION("""COMPUTED_VALUE"""),0.488)</f>
        <v>0.488</v>
      </c>
      <c r="E4631" s="8" t="str">
        <f>IFERROR(__xludf.DUMMYFUNCTION("""COMPUTED_VALUE"""),"Estimada")</f>
        <v>Estimada</v>
      </c>
      <c r="G4631" s="8">
        <f t="shared" si="1"/>
        <v>5</v>
      </c>
      <c r="H4631" s="14">
        <f t="shared" si="2"/>
        <v>12</v>
      </c>
      <c r="I4631" s="15">
        <f t="shared" si="3"/>
        <v>23</v>
      </c>
    </row>
    <row r="4632">
      <c r="A4632" s="8" t="str">
        <f>IFERROR(__xludf.DUMMYFUNCTION("IF('(INGESTA)Datos_consumo_datadis'!A4632&lt;&gt;"""",SPLIT('(INGESTA)Datos_consumo_datadis'!A:A,"",""),"""")"),"ES0031408323131005HX0F")</f>
        <v>ES0031408323131005HX0F</v>
      </c>
      <c r="B4632" s="12">
        <f>IFERROR(__xludf.DUMMYFUNCTION("""COMPUTED_VALUE"""),45058.0)</f>
        <v>45058</v>
      </c>
      <c r="C4632" s="16">
        <f>IFERROR(__xludf.DUMMYFUNCTION("""COMPUTED_VALUE"""),1.0)</f>
        <v>1</v>
      </c>
      <c r="D4632" s="8">
        <f>IFERROR(__xludf.DUMMYFUNCTION("""COMPUTED_VALUE"""),0.424)</f>
        <v>0.424</v>
      </c>
      <c r="E4632" s="8" t="str">
        <f>IFERROR(__xludf.DUMMYFUNCTION("""COMPUTED_VALUE"""),"Estimada")</f>
        <v>Estimada</v>
      </c>
      <c r="G4632" s="8">
        <f t="shared" si="1"/>
        <v>5</v>
      </c>
      <c r="H4632" s="14">
        <f t="shared" si="2"/>
        <v>12</v>
      </c>
      <c r="I4632" s="15">
        <f t="shared" si="3"/>
        <v>0</v>
      </c>
    </row>
    <row r="4633">
      <c r="A4633" s="8" t="str">
        <f>IFERROR(__xludf.DUMMYFUNCTION("IF('(INGESTA)Datos_consumo_datadis'!A4633&lt;&gt;"""",SPLIT('(INGESTA)Datos_consumo_datadis'!A:A,"",""),"""")"),"ES0031408323131005HX0F")</f>
        <v>ES0031408323131005HX0F</v>
      </c>
      <c r="B4633" s="12">
        <f>IFERROR(__xludf.DUMMYFUNCTION("""COMPUTED_VALUE"""),45059.0)</f>
        <v>45059</v>
      </c>
      <c r="C4633" s="13">
        <f>IFERROR(__xludf.DUMMYFUNCTION("""COMPUTED_VALUE"""),0.041666666666666664)</f>
        <v>0.04166666667</v>
      </c>
      <c r="D4633" s="8">
        <f>IFERROR(__xludf.DUMMYFUNCTION("""COMPUTED_VALUE"""),0.262)</f>
        <v>0.262</v>
      </c>
      <c r="E4633" s="8" t="str">
        <f>IFERROR(__xludf.DUMMYFUNCTION("""COMPUTED_VALUE"""),"Estimada")</f>
        <v>Estimada</v>
      </c>
      <c r="G4633" s="8">
        <f t="shared" si="1"/>
        <v>5</v>
      </c>
      <c r="H4633" s="14">
        <f t="shared" si="2"/>
        <v>13</v>
      </c>
      <c r="I4633" s="15">
        <f t="shared" si="3"/>
        <v>1</v>
      </c>
    </row>
    <row r="4634">
      <c r="A4634" s="8" t="str">
        <f>IFERROR(__xludf.DUMMYFUNCTION("IF('(INGESTA)Datos_consumo_datadis'!A4634&lt;&gt;"""",SPLIT('(INGESTA)Datos_consumo_datadis'!A:A,"",""),"""")"),"ES0031408323131005HX0F")</f>
        <v>ES0031408323131005HX0F</v>
      </c>
      <c r="B4634" s="12">
        <f>IFERROR(__xludf.DUMMYFUNCTION("""COMPUTED_VALUE"""),45059.0)</f>
        <v>45059</v>
      </c>
      <c r="C4634" s="13">
        <f>IFERROR(__xludf.DUMMYFUNCTION("""COMPUTED_VALUE"""),0.08333333333333333)</f>
        <v>0.08333333333</v>
      </c>
      <c r="D4634" s="8">
        <f>IFERROR(__xludf.DUMMYFUNCTION("""COMPUTED_VALUE"""),0.22)</f>
        <v>0.22</v>
      </c>
      <c r="E4634" s="8" t="str">
        <f>IFERROR(__xludf.DUMMYFUNCTION("""COMPUTED_VALUE"""),"Estimada")</f>
        <v>Estimada</v>
      </c>
      <c r="G4634" s="8">
        <f t="shared" si="1"/>
        <v>5</v>
      </c>
      <c r="H4634" s="14">
        <f t="shared" si="2"/>
        <v>13</v>
      </c>
      <c r="I4634" s="15">
        <f t="shared" si="3"/>
        <v>2</v>
      </c>
    </row>
    <row r="4635">
      <c r="A4635" s="8" t="str">
        <f>IFERROR(__xludf.DUMMYFUNCTION("IF('(INGESTA)Datos_consumo_datadis'!A4635&lt;&gt;"""",SPLIT('(INGESTA)Datos_consumo_datadis'!A:A,"",""),"""")"),"ES0031408323131005HX0F")</f>
        <v>ES0031408323131005HX0F</v>
      </c>
      <c r="B4635" s="12">
        <f>IFERROR(__xludf.DUMMYFUNCTION("""COMPUTED_VALUE"""),45059.0)</f>
        <v>45059</v>
      </c>
      <c r="C4635" s="13">
        <f>IFERROR(__xludf.DUMMYFUNCTION("""COMPUTED_VALUE"""),0.125)</f>
        <v>0.125</v>
      </c>
      <c r="D4635" s="8">
        <f>IFERROR(__xludf.DUMMYFUNCTION("""COMPUTED_VALUE"""),0.193)</f>
        <v>0.193</v>
      </c>
      <c r="E4635" s="8" t="str">
        <f>IFERROR(__xludf.DUMMYFUNCTION("""COMPUTED_VALUE"""),"Estimada")</f>
        <v>Estimada</v>
      </c>
      <c r="G4635" s="8">
        <f t="shared" si="1"/>
        <v>5</v>
      </c>
      <c r="H4635" s="14">
        <f t="shared" si="2"/>
        <v>13</v>
      </c>
      <c r="I4635" s="15">
        <f t="shared" si="3"/>
        <v>3</v>
      </c>
    </row>
    <row r="4636">
      <c r="A4636" s="8" t="str">
        <f>IFERROR(__xludf.DUMMYFUNCTION("IF('(INGESTA)Datos_consumo_datadis'!A4636&lt;&gt;"""",SPLIT('(INGESTA)Datos_consumo_datadis'!A:A,"",""),"""")"),"ES0031408323131005HX0F")</f>
        <v>ES0031408323131005HX0F</v>
      </c>
      <c r="B4636" s="12">
        <f>IFERROR(__xludf.DUMMYFUNCTION("""COMPUTED_VALUE"""),45059.0)</f>
        <v>45059</v>
      </c>
      <c r="C4636" s="13">
        <f>IFERROR(__xludf.DUMMYFUNCTION("""COMPUTED_VALUE"""),0.16666666666666666)</f>
        <v>0.1666666667</v>
      </c>
      <c r="D4636" s="8">
        <f>IFERROR(__xludf.DUMMYFUNCTION("""COMPUTED_VALUE"""),0.18)</f>
        <v>0.18</v>
      </c>
      <c r="E4636" s="8" t="str">
        <f>IFERROR(__xludf.DUMMYFUNCTION("""COMPUTED_VALUE"""),"Estimada")</f>
        <v>Estimada</v>
      </c>
      <c r="G4636" s="8">
        <f t="shared" si="1"/>
        <v>5</v>
      </c>
      <c r="H4636" s="14">
        <f t="shared" si="2"/>
        <v>13</v>
      </c>
      <c r="I4636" s="15">
        <f t="shared" si="3"/>
        <v>4</v>
      </c>
    </row>
    <row r="4637">
      <c r="A4637" s="8" t="str">
        <f>IFERROR(__xludf.DUMMYFUNCTION("IF('(INGESTA)Datos_consumo_datadis'!A4637&lt;&gt;"""",SPLIT('(INGESTA)Datos_consumo_datadis'!A:A,"",""),"""")"),"ES0031408323131005HX0F")</f>
        <v>ES0031408323131005HX0F</v>
      </c>
      <c r="B4637" s="12">
        <f>IFERROR(__xludf.DUMMYFUNCTION("""COMPUTED_VALUE"""),45059.0)</f>
        <v>45059</v>
      </c>
      <c r="C4637" s="13">
        <f>IFERROR(__xludf.DUMMYFUNCTION("""COMPUTED_VALUE"""),0.20833333333333334)</f>
        <v>0.2083333333</v>
      </c>
      <c r="D4637" s="8">
        <f>IFERROR(__xludf.DUMMYFUNCTION("""COMPUTED_VALUE"""),0.173)</f>
        <v>0.173</v>
      </c>
      <c r="E4637" s="8" t="str">
        <f>IFERROR(__xludf.DUMMYFUNCTION("""COMPUTED_VALUE"""),"Estimada")</f>
        <v>Estimada</v>
      </c>
      <c r="G4637" s="8">
        <f t="shared" si="1"/>
        <v>5</v>
      </c>
      <c r="H4637" s="14">
        <f t="shared" si="2"/>
        <v>13</v>
      </c>
      <c r="I4637" s="15">
        <f t="shared" si="3"/>
        <v>5</v>
      </c>
    </row>
    <row r="4638">
      <c r="A4638" s="8" t="str">
        <f>IFERROR(__xludf.DUMMYFUNCTION("IF('(INGESTA)Datos_consumo_datadis'!A4638&lt;&gt;"""",SPLIT('(INGESTA)Datos_consumo_datadis'!A:A,"",""),"""")"),"ES0031408323131005HX0F")</f>
        <v>ES0031408323131005HX0F</v>
      </c>
      <c r="B4638" s="12">
        <f>IFERROR(__xludf.DUMMYFUNCTION("""COMPUTED_VALUE"""),45059.0)</f>
        <v>45059</v>
      </c>
      <c r="C4638" s="13">
        <f>IFERROR(__xludf.DUMMYFUNCTION("""COMPUTED_VALUE"""),0.25)</f>
        <v>0.25</v>
      </c>
      <c r="D4638" s="8">
        <f>IFERROR(__xludf.DUMMYFUNCTION("""COMPUTED_VALUE"""),0.173)</f>
        <v>0.173</v>
      </c>
      <c r="E4638" s="8" t="str">
        <f>IFERROR(__xludf.DUMMYFUNCTION("""COMPUTED_VALUE"""),"Estimada")</f>
        <v>Estimada</v>
      </c>
      <c r="G4638" s="8">
        <f t="shared" si="1"/>
        <v>5</v>
      </c>
      <c r="H4638" s="14">
        <f t="shared" si="2"/>
        <v>13</v>
      </c>
      <c r="I4638" s="15">
        <f t="shared" si="3"/>
        <v>6</v>
      </c>
    </row>
    <row r="4639">
      <c r="A4639" s="8" t="str">
        <f>IFERROR(__xludf.DUMMYFUNCTION("IF('(INGESTA)Datos_consumo_datadis'!A4639&lt;&gt;"""",SPLIT('(INGESTA)Datos_consumo_datadis'!A:A,"",""),"""")"),"ES0031408323131005HX0F")</f>
        <v>ES0031408323131005HX0F</v>
      </c>
      <c r="B4639" s="12">
        <f>IFERROR(__xludf.DUMMYFUNCTION("""COMPUTED_VALUE"""),45059.0)</f>
        <v>45059</v>
      </c>
      <c r="C4639" s="13">
        <f>IFERROR(__xludf.DUMMYFUNCTION("""COMPUTED_VALUE"""),0.2916666666666667)</f>
        <v>0.2916666667</v>
      </c>
      <c r="D4639" s="8">
        <f>IFERROR(__xludf.DUMMYFUNCTION("""COMPUTED_VALUE"""),0.176)</f>
        <v>0.176</v>
      </c>
      <c r="E4639" s="8" t="str">
        <f>IFERROR(__xludf.DUMMYFUNCTION("""COMPUTED_VALUE"""),"Estimada")</f>
        <v>Estimada</v>
      </c>
      <c r="G4639" s="8">
        <f t="shared" si="1"/>
        <v>5</v>
      </c>
      <c r="H4639" s="14">
        <f t="shared" si="2"/>
        <v>13</v>
      </c>
      <c r="I4639" s="15">
        <f t="shared" si="3"/>
        <v>7</v>
      </c>
    </row>
    <row r="4640">
      <c r="A4640" s="8" t="str">
        <f>IFERROR(__xludf.DUMMYFUNCTION("IF('(INGESTA)Datos_consumo_datadis'!A4640&lt;&gt;"""",SPLIT('(INGESTA)Datos_consumo_datadis'!A:A,"",""),"""")"),"ES0031408323131005HX0F")</f>
        <v>ES0031408323131005HX0F</v>
      </c>
      <c r="B4640" s="12">
        <f>IFERROR(__xludf.DUMMYFUNCTION("""COMPUTED_VALUE"""),45059.0)</f>
        <v>45059</v>
      </c>
      <c r="C4640" s="13">
        <f>IFERROR(__xludf.DUMMYFUNCTION("""COMPUTED_VALUE"""),0.3333333333333333)</f>
        <v>0.3333333333</v>
      </c>
      <c r="D4640" s="8">
        <f>IFERROR(__xludf.DUMMYFUNCTION("""COMPUTED_VALUE"""),0.182)</f>
        <v>0.182</v>
      </c>
      <c r="E4640" s="8" t="str">
        <f>IFERROR(__xludf.DUMMYFUNCTION("""COMPUTED_VALUE"""),"Estimada")</f>
        <v>Estimada</v>
      </c>
      <c r="G4640" s="8">
        <f t="shared" si="1"/>
        <v>5</v>
      </c>
      <c r="H4640" s="14">
        <f t="shared" si="2"/>
        <v>13</v>
      </c>
      <c r="I4640" s="15">
        <f t="shared" si="3"/>
        <v>8</v>
      </c>
    </row>
    <row r="4641">
      <c r="A4641" s="8" t="str">
        <f>IFERROR(__xludf.DUMMYFUNCTION("IF('(INGESTA)Datos_consumo_datadis'!A4641&lt;&gt;"""",SPLIT('(INGESTA)Datos_consumo_datadis'!A:A,"",""),"""")"),"ES0031408323131005HX0F")</f>
        <v>ES0031408323131005HX0F</v>
      </c>
      <c r="B4641" s="12">
        <f>IFERROR(__xludf.DUMMYFUNCTION("""COMPUTED_VALUE"""),45059.0)</f>
        <v>45059</v>
      </c>
      <c r="C4641" s="13">
        <f>IFERROR(__xludf.DUMMYFUNCTION("""COMPUTED_VALUE"""),0.375)</f>
        <v>0.375</v>
      </c>
      <c r="D4641" s="8">
        <f>IFERROR(__xludf.DUMMYFUNCTION("""COMPUTED_VALUE"""),0.229)</f>
        <v>0.229</v>
      </c>
      <c r="E4641" s="8" t="str">
        <f>IFERROR(__xludf.DUMMYFUNCTION("""COMPUTED_VALUE"""),"Estimada")</f>
        <v>Estimada</v>
      </c>
      <c r="G4641" s="8">
        <f t="shared" si="1"/>
        <v>5</v>
      </c>
      <c r="H4641" s="14">
        <f t="shared" si="2"/>
        <v>13</v>
      </c>
      <c r="I4641" s="15">
        <f t="shared" si="3"/>
        <v>9</v>
      </c>
    </row>
    <row r="4642">
      <c r="A4642" s="8" t="str">
        <f>IFERROR(__xludf.DUMMYFUNCTION("IF('(INGESTA)Datos_consumo_datadis'!A4642&lt;&gt;"""",SPLIT('(INGESTA)Datos_consumo_datadis'!A:A,"",""),"""")"),"ES0031408323131005HX0F")</f>
        <v>ES0031408323131005HX0F</v>
      </c>
      <c r="B4642" s="12">
        <f>IFERROR(__xludf.DUMMYFUNCTION("""COMPUTED_VALUE"""),45059.0)</f>
        <v>45059</v>
      </c>
      <c r="C4642" s="13">
        <f>IFERROR(__xludf.DUMMYFUNCTION("""COMPUTED_VALUE"""),0.4166666666666667)</f>
        <v>0.4166666667</v>
      </c>
      <c r="D4642" s="8">
        <f>IFERROR(__xludf.DUMMYFUNCTION("""COMPUTED_VALUE"""),0.286)</f>
        <v>0.286</v>
      </c>
      <c r="E4642" s="8" t="str">
        <f>IFERROR(__xludf.DUMMYFUNCTION("""COMPUTED_VALUE"""),"Estimada")</f>
        <v>Estimada</v>
      </c>
      <c r="G4642" s="8">
        <f t="shared" si="1"/>
        <v>5</v>
      </c>
      <c r="H4642" s="14">
        <f t="shared" si="2"/>
        <v>13</v>
      </c>
      <c r="I4642" s="15">
        <f t="shared" si="3"/>
        <v>10</v>
      </c>
    </row>
    <row r="4643">
      <c r="A4643" s="8" t="str">
        <f>IFERROR(__xludf.DUMMYFUNCTION("IF('(INGESTA)Datos_consumo_datadis'!A4643&lt;&gt;"""",SPLIT('(INGESTA)Datos_consumo_datadis'!A:A,"",""),"""")"),"ES0031408323131005HX0F")</f>
        <v>ES0031408323131005HX0F</v>
      </c>
      <c r="B4643" s="12">
        <f>IFERROR(__xludf.DUMMYFUNCTION("""COMPUTED_VALUE"""),45059.0)</f>
        <v>45059</v>
      </c>
      <c r="C4643" s="13">
        <f>IFERROR(__xludf.DUMMYFUNCTION("""COMPUTED_VALUE"""),0.4583333333333333)</f>
        <v>0.4583333333</v>
      </c>
      <c r="D4643" s="8">
        <f>IFERROR(__xludf.DUMMYFUNCTION("""COMPUTED_VALUE"""),0.321)</f>
        <v>0.321</v>
      </c>
      <c r="E4643" s="8" t="str">
        <f>IFERROR(__xludf.DUMMYFUNCTION("""COMPUTED_VALUE"""),"Estimada")</f>
        <v>Estimada</v>
      </c>
      <c r="G4643" s="8">
        <f t="shared" si="1"/>
        <v>5</v>
      </c>
      <c r="H4643" s="14">
        <f t="shared" si="2"/>
        <v>13</v>
      </c>
      <c r="I4643" s="15">
        <f t="shared" si="3"/>
        <v>11</v>
      </c>
    </row>
    <row r="4644">
      <c r="A4644" s="8" t="str">
        <f>IFERROR(__xludf.DUMMYFUNCTION("IF('(INGESTA)Datos_consumo_datadis'!A4644&lt;&gt;"""",SPLIT('(INGESTA)Datos_consumo_datadis'!A:A,"",""),"""")"),"ES0031408323131005HX0F")</f>
        <v>ES0031408323131005HX0F</v>
      </c>
      <c r="B4644" s="12">
        <f>IFERROR(__xludf.DUMMYFUNCTION("""COMPUTED_VALUE"""),45059.0)</f>
        <v>45059</v>
      </c>
      <c r="C4644" s="13">
        <f>IFERROR(__xludf.DUMMYFUNCTION("""COMPUTED_VALUE"""),0.5)</f>
        <v>0.5</v>
      </c>
      <c r="D4644" s="8">
        <f>IFERROR(__xludf.DUMMYFUNCTION("""COMPUTED_VALUE"""),0.329)</f>
        <v>0.329</v>
      </c>
      <c r="E4644" s="8" t="str">
        <f>IFERROR(__xludf.DUMMYFUNCTION("""COMPUTED_VALUE"""),"Estimada")</f>
        <v>Estimada</v>
      </c>
      <c r="G4644" s="8">
        <f t="shared" si="1"/>
        <v>5</v>
      </c>
      <c r="H4644" s="14">
        <f t="shared" si="2"/>
        <v>13</v>
      </c>
      <c r="I4644" s="15">
        <f t="shared" si="3"/>
        <v>12</v>
      </c>
    </row>
    <row r="4645">
      <c r="A4645" s="8" t="str">
        <f>IFERROR(__xludf.DUMMYFUNCTION("IF('(INGESTA)Datos_consumo_datadis'!A4645&lt;&gt;"""",SPLIT('(INGESTA)Datos_consumo_datadis'!A:A,"",""),"""")"),"ES0031408323131005HX0F")</f>
        <v>ES0031408323131005HX0F</v>
      </c>
      <c r="B4645" s="12">
        <f>IFERROR(__xludf.DUMMYFUNCTION("""COMPUTED_VALUE"""),45059.0)</f>
        <v>45059</v>
      </c>
      <c r="C4645" s="13">
        <f>IFERROR(__xludf.DUMMYFUNCTION("""COMPUTED_VALUE"""),0.5416666666666666)</f>
        <v>0.5416666667</v>
      </c>
      <c r="D4645" s="8">
        <f>IFERROR(__xludf.DUMMYFUNCTION("""COMPUTED_VALUE"""),0.332)</f>
        <v>0.332</v>
      </c>
      <c r="E4645" s="8" t="str">
        <f>IFERROR(__xludf.DUMMYFUNCTION("""COMPUTED_VALUE"""),"Estimada")</f>
        <v>Estimada</v>
      </c>
      <c r="G4645" s="8">
        <f t="shared" si="1"/>
        <v>5</v>
      </c>
      <c r="H4645" s="14">
        <f t="shared" si="2"/>
        <v>13</v>
      </c>
      <c r="I4645" s="15">
        <f t="shared" si="3"/>
        <v>13</v>
      </c>
    </row>
    <row r="4646">
      <c r="A4646" s="8" t="str">
        <f>IFERROR(__xludf.DUMMYFUNCTION("IF('(INGESTA)Datos_consumo_datadis'!A4646&lt;&gt;"""",SPLIT('(INGESTA)Datos_consumo_datadis'!A:A,"",""),"""")"),"ES0031408323131005HX0F")</f>
        <v>ES0031408323131005HX0F</v>
      </c>
      <c r="B4646" s="12">
        <f>IFERROR(__xludf.DUMMYFUNCTION("""COMPUTED_VALUE"""),45059.0)</f>
        <v>45059</v>
      </c>
      <c r="C4646" s="13">
        <f>IFERROR(__xludf.DUMMYFUNCTION("""COMPUTED_VALUE"""),0.5833333333333334)</f>
        <v>0.5833333333</v>
      </c>
      <c r="D4646" s="8">
        <f>IFERROR(__xludf.DUMMYFUNCTION("""COMPUTED_VALUE"""),0.351)</f>
        <v>0.351</v>
      </c>
      <c r="E4646" s="8" t="str">
        <f>IFERROR(__xludf.DUMMYFUNCTION("""COMPUTED_VALUE"""),"Estimada")</f>
        <v>Estimada</v>
      </c>
      <c r="G4646" s="8">
        <f t="shared" si="1"/>
        <v>5</v>
      </c>
      <c r="H4646" s="14">
        <f t="shared" si="2"/>
        <v>13</v>
      </c>
      <c r="I4646" s="15">
        <f t="shared" si="3"/>
        <v>14</v>
      </c>
    </row>
    <row r="4647">
      <c r="A4647" s="8" t="str">
        <f>IFERROR(__xludf.DUMMYFUNCTION("IF('(INGESTA)Datos_consumo_datadis'!A4647&lt;&gt;"""",SPLIT('(INGESTA)Datos_consumo_datadis'!A:A,"",""),"""")"),"ES0031408323131005HX0F")</f>
        <v>ES0031408323131005HX0F</v>
      </c>
      <c r="B4647" s="12">
        <f>IFERROR(__xludf.DUMMYFUNCTION("""COMPUTED_VALUE"""),45059.0)</f>
        <v>45059</v>
      </c>
      <c r="C4647" s="13">
        <f>IFERROR(__xludf.DUMMYFUNCTION("""COMPUTED_VALUE"""),0.625)</f>
        <v>0.625</v>
      </c>
      <c r="D4647" s="8">
        <f>IFERROR(__xludf.DUMMYFUNCTION("""COMPUTED_VALUE"""),0.344)</f>
        <v>0.344</v>
      </c>
      <c r="E4647" s="8" t="str">
        <f>IFERROR(__xludf.DUMMYFUNCTION("""COMPUTED_VALUE"""),"Estimada")</f>
        <v>Estimada</v>
      </c>
      <c r="G4647" s="8">
        <f t="shared" si="1"/>
        <v>5</v>
      </c>
      <c r="H4647" s="14">
        <f t="shared" si="2"/>
        <v>13</v>
      </c>
      <c r="I4647" s="15">
        <f t="shared" si="3"/>
        <v>15</v>
      </c>
    </row>
    <row r="4648">
      <c r="A4648" s="8" t="str">
        <f>IFERROR(__xludf.DUMMYFUNCTION("IF('(INGESTA)Datos_consumo_datadis'!A4648&lt;&gt;"""",SPLIT('(INGESTA)Datos_consumo_datadis'!A:A,"",""),"""")"),"ES0031408323131005HX0F")</f>
        <v>ES0031408323131005HX0F</v>
      </c>
      <c r="B4648" s="12">
        <f>IFERROR(__xludf.DUMMYFUNCTION("""COMPUTED_VALUE"""),45059.0)</f>
        <v>45059</v>
      </c>
      <c r="C4648" s="13">
        <f>IFERROR(__xludf.DUMMYFUNCTION("""COMPUTED_VALUE"""),0.6666666666666666)</f>
        <v>0.6666666667</v>
      </c>
      <c r="D4648" s="8">
        <f>IFERROR(__xludf.DUMMYFUNCTION("""COMPUTED_VALUE"""),0.301)</f>
        <v>0.301</v>
      </c>
      <c r="E4648" s="8" t="str">
        <f>IFERROR(__xludf.DUMMYFUNCTION("""COMPUTED_VALUE"""),"Estimada")</f>
        <v>Estimada</v>
      </c>
      <c r="G4648" s="8">
        <f t="shared" si="1"/>
        <v>5</v>
      </c>
      <c r="H4648" s="14">
        <f t="shared" si="2"/>
        <v>13</v>
      </c>
      <c r="I4648" s="15">
        <f t="shared" si="3"/>
        <v>16</v>
      </c>
    </row>
    <row r="4649">
      <c r="A4649" s="8" t="str">
        <f>IFERROR(__xludf.DUMMYFUNCTION("IF('(INGESTA)Datos_consumo_datadis'!A4649&lt;&gt;"""",SPLIT('(INGESTA)Datos_consumo_datadis'!A:A,"",""),"""")"),"ES0031408323131005HX0F")</f>
        <v>ES0031408323131005HX0F</v>
      </c>
      <c r="B4649" s="12">
        <f>IFERROR(__xludf.DUMMYFUNCTION("""COMPUTED_VALUE"""),45059.0)</f>
        <v>45059</v>
      </c>
      <c r="C4649" s="13">
        <f>IFERROR(__xludf.DUMMYFUNCTION("""COMPUTED_VALUE"""),0.7083333333333334)</f>
        <v>0.7083333333</v>
      </c>
      <c r="D4649" s="8">
        <f>IFERROR(__xludf.DUMMYFUNCTION("""COMPUTED_VALUE"""),0.274)</f>
        <v>0.274</v>
      </c>
      <c r="E4649" s="8" t="str">
        <f>IFERROR(__xludf.DUMMYFUNCTION("""COMPUTED_VALUE"""),"Estimada")</f>
        <v>Estimada</v>
      </c>
      <c r="G4649" s="8">
        <f t="shared" si="1"/>
        <v>5</v>
      </c>
      <c r="H4649" s="14">
        <f t="shared" si="2"/>
        <v>13</v>
      </c>
      <c r="I4649" s="15">
        <f t="shared" si="3"/>
        <v>17</v>
      </c>
    </row>
    <row r="4650">
      <c r="A4650" s="8" t="str">
        <f>IFERROR(__xludf.DUMMYFUNCTION("IF('(INGESTA)Datos_consumo_datadis'!A4650&lt;&gt;"""",SPLIT('(INGESTA)Datos_consumo_datadis'!A:A,"",""),"""")"),"ES0031408323131005HX0F")</f>
        <v>ES0031408323131005HX0F</v>
      </c>
      <c r="B4650" s="12">
        <f>IFERROR(__xludf.DUMMYFUNCTION("""COMPUTED_VALUE"""),45059.0)</f>
        <v>45059</v>
      </c>
      <c r="C4650" s="13">
        <f>IFERROR(__xludf.DUMMYFUNCTION("""COMPUTED_VALUE"""),0.75)</f>
        <v>0.75</v>
      </c>
      <c r="D4650" s="8">
        <f>IFERROR(__xludf.DUMMYFUNCTION("""COMPUTED_VALUE"""),0.266)</f>
        <v>0.266</v>
      </c>
      <c r="E4650" s="8" t="str">
        <f>IFERROR(__xludf.DUMMYFUNCTION("""COMPUTED_VALUE"""),"Estimada")</f>
        <v>Estimada</v>
      </c>
      <c r="G4650" s="8">
        <f t="shared" si="1"/>
        <v>5</v>
      </c>
      <c r="H4650" s="14">
        <f t="shared" si="2"/>
        <v>13</v>
      </c>
      <c r="I4650" s="15">
        <f t="shared" si="3"/>
        <v>18</v>
      </c>
    </row>
    <row r="4651">
      <c r="A4651" s="8" t="str">
        <f>IFERROR(__xludf.DUMMYFUNCTION("IF('(INGESTA)Datos_consumo_datadis'!A4651&lt;&gt;"""",SPLIT('(INGESTA)Datos_consumo_datadis'!A:A,"",""),"""")"),"ES0031408323131005HX0F")</f>
        <v>ES0031408323131005HX0F</v>
      </c>
      <c r="B4651" s="12">
        <f>IFERROR(__xludf.DUMMYFUNCTION("""COMPUTED_VALUE"""),45059.0)</f>
        <v>45059</v>
      </c>
      <c r="C4651" s="13">
        <f>IFERROR(__xludf.DUMMYFUNCTION("""COMPUTED_VALUE"""),0.7916666666666666)</f>
        <v>0.7916666667</v>
      </c>
      <c r="D4651" s="8">
        <f>IFERROR(__xludf.DUMMYFUNCTION("""COMPUTED_VALUE"""),0.266)</f>
        <v>0.266</v>
      </c>
      <c r="E4651" s="8" t="str">
        <f>IFERROR(__xludf.DUMMYFUNCTION("""COMPUTED_VALUE"""),"Estimada")</f>
        <v>Estimada</v>
      </c>
      <c r="G4651" s="8">
        <f t="shared" si="1"/>
        <v>5</v>
      </c>
      <c r="H4651" s="14">
        <f t="shared" si="2"/>
        <v>13</v>
      </c>
      <c r="I4651" s="15">
        <f t="shared" si="3"/>
        <v>19</v>
      </c>
    </row>
    <row r="4652">
      <c r="A4652" s="8" t="str">
        <f>IFERROR(__xludf.DUMMYFUNCTION("IF('(INGESTA)Datos_consumo_datadis'!A4652&lt;&gt;"""",SPLIT('(INGESTA)Datos_consumo_datadis'!A:A,"",""),"""")"),"ES0031408323131005HX0F")</f>
        <v>ES0031408323131005HX0F</v>
      </c>
      <c r="B4652" s="12">
        <f>IFERROR(__xludf.DUMMYFUNCTION("""COMPUTED_VALUE"""),45059.0)</f>
        <v>45059</v>
      </c>
      <c r="C4652" s="13">
        <f>IFERROR(__xludf.DUMMYFUNCTION("""COMPUTED_VALUE"""),0.8333333333333334)</f>
        <v>0.8333333333</v>
      </c>
      <c r="D4652" s="8">
        <f>IFERROR(__xludf.DUMMYFUNCTION("""COMPUTED_VALUE"""),0.27)</f>
        <v>0.27</v>
      </c>
      <c r="E4652" s="8" t="str">
        <f>IFERROR(__xludf.DUMMYFUNCTION("""COMPUTED_VALUE"""),"Estimada")</f>
        <v>Estimada</v>
      </c>
      <c r="G4652" s="8">
        <f t="shared" si="1"/>
        <v>5</v>
      </c>
      <c r="H4652" s="14">
        <f t="shared" si="2"/>
        <v>13</v>
      </c>
      <c r="I4652" s="15">
        <f t="shared" si="3"/>
        <v>20</v>
      </c>
    </row>
    <row r="4653">
      <c r="A4653" s="8" t="str">
        <f>IFERROR(__xludf.DUMMYFUNCTION("IF('(INGESTA)Datos_consumo_datadis'!A4653&lt;&gt;"""",SPLIT('(INGESTA)Datos_consumo_datadis'!A:A,"",""),"""")"),"ES0031408323131005HX0F")</f>
        <v>ES0031408323131005HX0F</v>
      </c>
      <c r="B4653" s="12">
        <f>IFERROR(__xludf.DUMMYFUNCTION("""COMPUTED_VALUE"""),45059.0)</f>
        <v>45059</v>
      </c>
      <c r="C4653" s="13">
        <f>IFERROR(__xludf.DUMMYFUNCTION("""COMPUTED_VALUE"""),0.875)</f>
        <v>0.875</v>
      </c>
      <c r="D4653" s="8">
        <f>IFERROR(__xludf.DUMMYFUNCTION("""COMPUTED_VALUE"""),0.291)</f>
        <v>0.291</v>
      </c>
      <c r="E4653" s="8" t="str">
        <f>IFERROR(__xludf.DUMMYFUNCTION("""COMPUTED_VALUE"""),"Estimada")</f>
        <v>Estimada</v>
      </c>
      <c r="G4653" s="8">
        <f t="shared" si="1"/>
        <v>5</v>
      </c>
      <c r="H4653" s="14">
        <f t="shared" si="2"/>
        <v>13</v>
      </c>
      <c r="I4653" s="15">
        <f t="shared" si="3"/>
        <v>21</v>
      </c>
    </row>
    <row r="4654">
      <c r="A4654" s="8" t="str">
        <f>IFERROR(__xludf.DUMMYFUNCTION("IF('(INGESTA)Datos_consumo_datadis'!A4654&lt;&gt;"""",SPLIT('(INGESTA)Datos_consumo_datadis'!A:A,"",""),"""")"),"ES0031408323131005HX0F")</f>
        <v>ES0031408323131005HX0F</v>
      </c>
      <c r="B4654" s="12">
        <f>IFERROR(__xludf.DUMMYFUNCTION("""COMPUTED_VALUE"""),45059.0)</f>
        <v>45059</v>
      </c>
      <c r="C4654" s="13">
        <f>IFERROR(__xludf.DUMMYFUNCTION("""COMPUTED_VALUE"""),0.9166666666666666)</f>
        <v>0.9166666667</v>
      </c>
      <c r="D4654" s="8">
        <f>IFERROR(__xludf.DUMMYFUNCTION("""COMPUTED_VALUE"""),0.346)</f>
        <v>0.346</v>
      </c>
      <c r="E4654" s="8" t="str">
        <f>IFERROR(__xludf.DUMMYFUNCTION("""COMPUTED_VALUE"""),"Estimada")</f>
        <v>Estimada</v>
      </c>
      <c r="G4654" s="8">
        <f t="shared" si="1"/>
        <v>5</v>
      </c>
      <c r="H4654" s="14">
        <f t="shared" si="2"/>
        <v>13</v>
      </c>
      <c r="I4654" s="15">
        <f t="shared" si="3"/>
        <v>22</v>
      </c>
    </row>
    <row r="4655">
      <c r="A4655" s="8" t="str">
        <f>IFERROR(__xludf.DUMMYFUNCTION("IF('(INGESTA)Datos_consumo_datadis'!A4655&lt;&gt;"""",SPLIT('(INGESTA)Datos_consumo_datadis'!A:A,"",""),"""")"),"ES0031408323131005HX0F")</f>
        <v>ES0031408323131005HX0F</v>
      </c>
      <c r="B4655" s="12">
        <f>IFERROR(__xludf.DUMMYFUNCTION("""COMPUTED_VALUE"""),45059.0)</f>
        <v>45059</v>
      </c>
      <c r="C4655" s="13">
        <f>IFERROR(__xludf.DUMMYFUNCTION("""COMPUTED_VALUE"""),0.9583333333333334)</f>
        <v>0.9583333333</v>
      </c>
      <c r="D4655" s="8">
        <f>IFERROR(__xludf.DUMMYFUNCTION("""COMPUTED_VALUE"""),0.349)</f>
        <v>0.349</v>
      </c>
      <c r="E4655" s="8" t="str">
        <f>IFERROR(__xludf.DUMMYFUNCTION("""COMPUTED_VALUE"""),"Estimada")</f>
        <v>Estimada</v>
      </c>
      <c r="G4655" s="8">
        <f t="shared" si="1"/>
        <v>5</v>
      </c>
      <c r="H4655" s="14">
        <f t="shared" si="2"/>
        <v>13</v>
      </c>
      <c r="I4655" s="15">
        <f t="shared" si="3"/>
        <v>23</v>
      </c>
    </row>
    <row r="4656">
      <c r="A4656" s="8" t="str">
        <f>IFERROR(__xludf.DUMMYFUNCTION("IF('(INGESTA)Datos_consumo_datadis'!A4656&lt;&gt;"""",SPLIT('(INGESTA)Datos_consumo_datadis'!A:A,"",""),"""")"),"ES0031408323131005HX0F")</f>
        <v>ES0031408323131005HX0F</v>
      </c>
      <c r="B4656" s="12">
        <f>IFERROR(__xludf.DUMMYFUNCTION("""COMPUTED_VALUE"""),45059.0)</f>
        <v>45059</v>
      </c>
      <c r="C4656" s="16">
        <f>IFERROR(__xludf.DUMMYFUNCTION("""COMPUTED_VALUE"""),1.0)</f>
        <v>1</v>
      </c>
      <c r="D4656" s="8">
        <f>IFERROR(__xludf.DUMMYFUNCTION("""COMPUTED_VALUE"""),0.308)</f>
        <v>0.308</v>
      </c>
      <c r="E4656" s="8" t="str">
        <f>IFERROR(__xludf.DUMMYFUNCTION("""COMPUTED_VALUE"""),"Estimada")</f>
        <v>Estimada</v>
      </c>
      <c r="G4656" s="8">
        <f t="shared" si="1"/>
        <v>5</v>
      </c>
      <c r="H4656" s="14">
        <f t="shared" si="2"/>
        <v>13</v>
      </c>
      <c r="I4656" s="15">
        <f t="shared" si="3"/>
        <v>0</v>
      </c>
    </row>
    <row r="4657">
      <c r="A4657" s="8" t="str">
        <f>IFERROR(__xludf.DUMMYFUNCTION("IF('(INGESTA)Datos_consumo_datadis'!A4657&lt;&gt;"""",SPLIT('(INGESTA)Datos_consumo_datadis'!A:A,"",""),"""")"),"ES0031408323131005HX0F")</f>
        <v>ES0031408323131005HX0F</v>
      </c>
      <c r="B4657" s="12">
        <f>IFERROR(__xludf.DUMMYFUNCTION("""COMPUTED_VALUE"""),45060.0)</f>
        <v>45060</v>
      </c>
      <c r="C4657" s="13">
        <f>IFERROR(__xludf.DUMMYFUNCTION("""COMPUTED_VALUE"""),0.041666666666666664)</f>
        <v>0.04166666667</v>
      </c>
      <c r="D4657" s="8">
        <f>IFERROR(__xludf.DUMMYFUNCTION("""COMPUTED_VALUE"""),0.267)</f>
        <v>0.267</v>
      </c>
      <c r="E4657" s="8" t="str">
        <f>IFERROR(__xludf.DUMMYFUNCTION("""COMPUTED_VALUE"""),"Estimada")</f>
        <v>Estimada</v>
      </c>
      <c r="G4657" s="8">
        <f t="shared" si="1"/>
        <v>5</v>
      </c>
      <c r="H4657" s="14">
        <f t="shared" si="2"/>
        <v>14</v>
      </c>
      <c r="I4657" s="15">
        <f t="shared" si="3"/>
        <v>1</v>
      </c>
    </row>
    <row r="4658">
      <c r="A4658" s="8" t="str">
        <f>IFERROR(__xludf.DUMMYFUNCTION("IF('(INGESTA)Datos_consumo_datadis'!A4658&lt;&gt;"""",SPLIT('(INGESTA)Datos_consumo_datadis'!A:A,"",""),"""")"),"ES0031408323131005HX0F")</f>
        <v>ES0031408323131005HX0F</v>
      </c>
      <c r="B4658" s="12">
        <f>IFERROR(__xludf.DUMMYFUNCTION("""COMPUTED_VALUE"""),45060.0)</f>
        <v>45060</v>
      </c>
      <c r="C4658" s="13">
        <f>IFERROR(__xludf.DUMMYFUNCTION("""COMPUTED_VALUE"""),0.08333333333333333)</f>
        <v>0.08333333333</v>
      </c>
      <c r="D4658" s="8">
        <f>IFERROR(__xludf.DUMMYFUNCTION("""COMPUTED_VALUE"""),0.226)</f>
        <v>0.226</v>
      </c>
      <c r="E4658" s="8" t="str">
        <f>IFERROR(__xludf.DUMMYFUNCTION("""COMPUTED_VALUE"""),"Estimada")</f>
        <v>Estimada</v>
      </c>
      <c r="G4658" s="8">
        <f t="shared" si="1"/>
        <v>5</v>
      </c>
      <c r="H4658" s="14">
        <f t="shared" si="2"/>
        <v>14</v>
      </c>
      <c r="I4658" s="15">
        <f t="shared" si="3"/>
        <v>2</v>
      </c>
    </row>
    <row r="4659">
      <c r="A4659" s="8" t="str">
        <f>IFERROR(__xludf.DUMMYFUNCTION("IF('(INGESTA)Datos_consumo_datadis'!A4659&lt;&gt;"""",SPLIT('(INGESTA)Datos_consumo_datadis'!A:A,"",""),"""")"),"ES0031408323131005HX0F")</f>
        <v>ES0031408323131005HX0F</v>
      </c>
      <c r="B4659" s="12">
        <f>IFERROR(__xludf.DUMMYFUNCTION("""COMPUTED_VALUE"""),45060.0)</f>
        <v>45060</v>
      </c>
      <c r="C4659" s="13">
        <f>IFERROR(__xludf.DUMMYFUNCTION("""COMPUTED_VALUE"""),0.125)</f>
        <v>0.125</v>
      </c>
      <c r="D4659" s="8">
        <f>IFERROR(__xludf.DUMMYFUNCTION("""COMPUTED_VALUE"""),0.197)</f>
        <v>0.197</v>
      </c>
      <c r="E4659" s="8" t="str">
        <f>IFERROR(__xludf.DUMMYFUNCTION("""COMPUTED_VALUE"""),"Estimada")</f>
        <v>Estimada</v>
      </c>
      <c r="G4659" s="8">
        <f t="shared" si="1"/>
        <v>5</v>
      </c>
      <c r="H4659" s="14">
        <f t="shared" si="2"/>
        <v>14</v>
      </c>
      <c r="I4659" s="15">
        <f t="shared" si="3"/>
        <v>3</v>
      </c>
    </row>
    <row r="4660">
      <c r="A4660" s="8" t="str">
        <f>IFERROR(__xludf.DUMMYFUNCTION("IF('(INGESTA)Datos_consumo_datadis'!A4660&lt;&gt;"""",SPLIT('(INGESTA)Datos_consumo_datadis'!A:A,"",""),"""")"),"ES0031408323131005HX0F")</f>
        <v>ES0031408323131005HX0F</v>
      </c>
      <c r="B4660" s="12">
        <f>IFERROR(__xludf.DUMMYFUNCTION("""COMPUTED_VALUE"""),45060.0)</f>
        <v>45060</v>
      </c>
      <c r="C4660" s="13">
        <f>IFERROR(__xludf.DUMMYFUNCTION("""COMPUTED_VALUE"""),0.16666666666666666)</f>
        <v>0.1666666667</v>
      </c>
      <c r="D4660" s="8">
        <f>IFERROR(__xludf.DUMMYFUNCTION("""COMPUTED_VALUE"""),0.182)</f>
        <v>0.182</v>
      </c>
      <c r="E4660" s="8" t="str">
        <f>IFERROR(__xludf.DUMMYFUNCTION("""COMPUTED_VALUE"""),"Estimada")</f>
        <v>Estimada</v>
      </c>
      <c r="G4660" s="8">
        <f t="shared" si="1"/>
        <v>5</v>
      </c>
      <c r="H4660" s="14">
        <f t="shared" si="2"/>
        <v>14</v>
      </c>
      <c r="I4660" s="15">
        <f t="shared" si="3"/>
        <v>4</v>
      </c>
    </row>
    <row r="4661">
      <c r="A4661" s="8" t="str">
        <f>IFERROR(__xludf.DUMMYFUNCTION("IF('(INGESTA)Datos_consumo_datadis'!A4661&lt;&gt;"""",SPLIT('(INGESTA)Datos_consumo_datadis'!A:A,"",""),"""")"),"ES0031408323131005HX0F")</f>
        <v>ES0031408323131005HX0F</v>
      </c>
      <c r="B4661" s="12">
        <f>IFERROR(__xludf.DUMMYFUNCTION("""COMPUTED_VALUE"""),45060.0)</f>
        <v>45060</v>
      </c>
      <c r="C4661" s="13">
        <f>IFERROR(__xludf.DUMMYFUNCTION("""COMPUTED_VALUE"""),0.20833333333333334)</f>
        <v>0.2083333333</v>
      </c>
      <c r="D4661" s="8">
        <f>IFERROR(__xludf.DUMMYFUNCTION("""COMPUTED_VALUE"""),0.174)</f>
        <v>0.174</v>
      </c>
      <c r="E4661" s="8" t="str">
        <f>IFERROR(__xludf.DUMMYFUNCTION("""COMPUTED_VALUE"""),"Estimada")</f>
        <v>Estimada</v>
      </c>
      <c r="G4661" s="8">
        <f t="shared" si="1"/>
        <v>5</v>
      </c>
      <c r="H4661" s="14">
        <f t="shared" si="2"/>
        <v>14</v>
      </c>
      <c r="I4661" s="15">
        <f t="shared" si="3"/>
        <v>5</v>
      </c>
    </row>
    <row r="4662">
      <c r="A4662" s="8" t="str">
        <f>IFERROR(__xludf.DUMMYFUNCTION("IF('(INGESTA)Datos_consumo_datadis'!A4662&lt;&gt;"""",SPLIT('(INGESTA)Datos_consumo_datadis'!A:A,"",""),"""")"),"ES0031408323131005HX0F")</f>
        <v>ES0031408323131005HX0F</v>
      </c>
      <c r="B4662" s="12">
        <f>IFERROR(__xludf.DUMMYFUNCTION("""COMPUTED_VALUE"""),45060.0)</f>
        <v>45060</v>
      </c>
      <c r="C4662" s="13">
        <f>IFERROR(__xludf.DUMMYFUNCTION("""COMPUTED_VALUE"""),0.25)</f>
        <v>0.25</v>
      </c>
      <c r="D4662" s="8">
        <f>IFERROR(__xludf.DUMMYFUNCTION("""COMPUTED_VALUE"""),0.173)</f>
        <v>0.173</v>
      </c>
      <c r="E4662" s="8" t="str">
        <f>IFERROR(__xludf.DUMMYFUNCTION("""COMPUTED_VALUE"""),"Estimada")</f>
        <v>Estimada</v>
      </c>
      <c r="G4662" s="8">
        <f t="shared" si="1"/>
        <v>5</v>
      </c>
      <c r="H4662" s="14">
        <f t="shared" si="2"/>
        <v>14</v>
      </c>
      <c r="I4662" s="15">
        <f t="shared" si="3"/>
        <v>6</v>
      </c>
    </row>
    <row r="4663">
      <c r="A4663" s="8" t="str">
        <f>IFERROR(__xludf.DUMMYFUNCTION("IF('(INGESTA)Datos_consumo_datadis'!A4663&lt;&gt;"""",SPLIT('(INGESTA)Datos_consumo_datadis'!A:A,"",""),"""")"),"ES0031408323131005HX0F")</f>
        <v>ES0031408323131005HX0F</v>
      </c>
      <c r="B4663" s="12">
        <f>IFERROR(__xludf.DUMMYFUNCTION("""COMPUTED_VALUE"""),45060.0)</f>
        <v>45060</v>
      </c>
      <c r="C4663" s="13">
        <f>IFERROR(__xludf.DUMMYFUNCTION("""COMPUTED_VALUE"""),0.2916666666666667)</f>
        <v>0.2916666667</v>
      </c>
      <c r="D4663" s="8">
        <f>IFERROR(__xludf.DUMMYFUNCTION("""COMPUTED_VALUE"""),0.172)</f>
        <v>0.172</v>
      </c>
      <c r="E4663" s="8" t="str">
        <f>IFERROR(__xludf.DUMMYFUNCTION("""COMPUTED_VALUE"""),"Estimada")</f>
        <v>Estimada</v>
      </c>
      <c r="G4663" s="8">
        <f t="shared" si="1"/>
        <v>5</v>
      </c>
      <c r="H4663" s="14">
        <f t="shared" si="2"/>
        <v>14</v>
      </c>
      <c r="I4663" s="15">
        <f t="shared" si="3"/>
        <v>7</v>
      </c>
    </row>
    <row r="4664">
      <c r="A4664" s="8" t="str">
        <f>IFERROR(__xludf.DUMMYFUNCTION("IF('(INGESTA)Datos_consumo_datadis'!A4664&lt;&gt;"""",SPLIT('(INGESTA)Datos_consumo_datadis'!A:A,"",""),"""")"),"ES0031408323131005HX0F")</f>
        <v>ES0031408323131005HX0F</v>
      </c>
      <c r="B4664" s="12">
        <f>IFERROR(__xludf.DUMMYFUNCTION("""COMPUTED_VALUE"""),45060.0)</f>
        <v>45060</v>
      </c>
      <c r="C4664" s="13">
        <f>IFERROR(__xludf.DUMMYFUNCTION("""COMPUTED_VALUE"""),0.3333333333333333)</f>
        <v>0.3333333333</v>
      </c>
      <c r="D4664" s="8">
        <f>IFERROR(__xludf.DUMMYFUNCTION("""COMPUTED_VALUE"""),0.172)</f>
        <v>0.172</v>
      </c>
      <c r="E4664" s="8" t="str">
        <f>IFERROR(__xludf.DUMMYFUNCTION("""COMPUTED_VALUE"""),"Estimada")</f>
        <v>Estimada</v>
      </c>
      <c r="G4664" s="8">
        <f t="shared" si="1"/>
        <v>5</v>
      </c>
      <c r="H4664" s="14">
        <f t="shared" si="2"/>
        <v>14</v>
      </c>
      <c r="I4664" s="15">
        <f t="shared" si="3"/>
        <v>8</v>
      </c>
    </row>
    <row r="4665">
      <c r="A4665" s="8" t="str">
        <f>IFERROR(__xludf.DUMMYFUNCTION("IF('(INGESTA)Datos_consumo_datadis'!A4665&lt;&gt;"""",SPLIT('(INGESTA)Datos_consumo_datadis'!A:A,"",""),"""")"),"ES0031408323131005HX0F")</f>
        <v>ES0031408323131005HX0F</v>
      </c>
      <c r="B4665" s="12">
        <f>IFERROR(__xludf.DUMMYFUNCTION("""COMPUTED_VALUE"""),45060.0)</f>
        <v>45060</v>
      </c>
      <c r="C4665" s="13">
        <f>IFERROR(__xludf.DUMMYFUNCTION("""COMPUTED_VALUE"""),0.375)</f>
        <v>0.375</v>
      </c>
      <c r="D4665" s="8">
        <f>IFERROR(__xludf.DUMMYFUNCTION("""COMPUTED_VALUE"""),0.209)</f>
        <v>0.209</v>
      </c>
      <c r="E4665" s="8" t="str">
        <f>IFERROR(__xludf.DUMMYFUNCTION("""COMPUTED_VALUE"""),"Estimada")</f>
        <v>Estimada</v>
      </c>
      <c r="G4665" s="8">
        <f t="shared" si="1"/>
        <v>5</v>
      </c>
      <c r="H4665" s="14">
        <f t="shared" si="2"/>
        <v>14</v>
      </c>
      <c r="I4665" s="15">
        <f t="shared" si="3"/>
        <v>9</v>
      </c>
    </row>
    <row r="4666">
      <c r="A4666" s="8" t="str">
        <f>IFERROR(__xludf.DUMMYFUNCTION("IF('(INGESTA)Datos_consumo_datadis'!A4666&lt;&gt;"""",SPLIT('(INGESTA)Datos_consumo_datadis'!A:A,"",""),"""")"),"ES0031408323131005HX0F")</f>
        <v>ES0031408323131005HX0F</v>
      </c>
      <c r="B4666" s="12">
        <f>IFERROR(__xludf.DUMMYFUNCTION("""COMPUTED_VALUE"""),45060.0)</f>
        <v>45060</v>
      </c>
      <c r="C4666" s="13">
        <f>IFERROR(__xludf.DUMMYFUNCTION("""COMPUTED_VALUE"""),0.4166666666666667)</f>
        <v>0.4166666667</v>
      </c>
      <c r="D4666" s="8">
        <f>IFERROR(__xludf.DUMMYFUNCTION("""COMPUTED_VALUE"""),0.266)</f>
        <v>0.266</v>
      </c>
      <c r="E4666" s="8" t="str">
        <f>IFERROR(__xludf.DUMMYFUNCTION("""COMPUTED_VALUE"""),"Estimada")</f>
        <v>Estimada</v>
      </c>
      <c r="G4666" s="8">
        <f t="shared" si="1"/>
        <v>5</v>
      </c>
      <c r="H4666" s="14">
        <f t="shared" si="2"/>
        <v>14</v>
      </c>
      <c r="I4666" s="15">
        <f t="shared" si="3"/>
        <v>10</v>
      </c>
    </row>
    <row r="4667">
      <c r="A4667" s="8" t="str">
        <f>IFERROR(__xludf.DUMMYFUNCTION("IF('(INGESTA)Datos_consumo_datadis'!A4667&lt;&gt;"""",SPLIT('(INGESTA)Datos_consumo_datadis'!A:A,"",""),"""")"),"ES0031408323131005HX0F")</f>
        <v>ES0031408323131005HX0F</v>
      </c>
      <c r="B4667" s="12">
        <f>IFERROR(__xludf.DUMMYFUNCTION("""COMPUTED_VALUE"""),45060.0)</f>
        <v>45060</v>
      </c>
      <c r="C4667" s="13">
        <f>IFERROR(__xludf.DUMMYFUNCTION("""COMPUTED_VALUE"""),0.4583333333333333)</f>
        <v>0.4583333333</v>
      </c>
      <c r="D4667" s="8">
        <f>IFERROR(__xludf.DUMMYFUNCTION("""COMPUTED_VALUE"""),0.311)</f>
        <v>0.311</v>
      </c>
      <c r="E4667" s="8" t="str">
        <f>IFERROR(__xludf.DUMMYFUNCTION("""COMPUTED_VALUE"""),"Estimada")</f>
        <v>Estimada</v>
      </c>
      <c r="G4667" s="8">
        <f t="shared" si="1"/>
        <v>5</v>
      </c>
      <c r="H4667" s="14">
        <f t="shared" si="2"/>
        <v>14</v>
      </c>
      <c r="I4667" s="15">
        <f t="shared" si="3"/>
        <v>11</v>
      </c>
    </row>
    <row r="4668">
      <c r="A4668" s="8" t="str">
        <f>IFERROR(__xludf.DUMMYFUNCTION("IF('(INGESTA)Datos_consumo_datadis'!A4668&lt;&gt;"""",SPLIT('(INGESTA)Datos_consumo_datadis'!A:A,"",""),"""")"),"ES0031408323131005HX0F")</f>
        <v>ES0031408323131005HX0F</v>
      </c>
      <c r="B4668" s="12">
        <f>IFERROR(__xludf.DUMMYFUNCTION("""COMPUTED_VALUE"""),45060.0)</f>
        <v>45060</v>
      </c>
      <c r="C4668" s="13">
        <f>IFERROR(__xludf.DUMMYFUNCTION("""COMPUTED_VALUE"""),0.5)</f>
        <v>0.5</v>
      </c>
      <c r="D4668" s="8">
        <f>IFERROR(__xludf.DUMMYFUNCTION("""COMPUTED_VALUE"""),0.329)</f>
        <v>0.329</v>
      </c>
      <c r="E4668" s="8" t="str">
        <f>IFERROR(__xludf.DUMMYFUNCTION("""COMPUTED_VALUE"""),"Estimada")</f>
        <v>Estimada</v>
      </c>
      <c r="G4668" s="8">
        <f t="shared" si="1"/>
        <v>5</v>
      </c>
      <c r="H4668" s="14">
        <f t="shared" si="2"/>
        <v>14</v>
      </c>
      <c r="I4668" s="15">
        <f t="shared" si="3"/>
        <v>12</v>
      </c>
    </row>
    <row r="4669">
      <c r="A4669" s="8" t="str">
        <f>IFERROR(__xludf.DUMMYFUNCTION("IF('(INGESTA)Datos_consumo_datadis'!A4669&lt;&gt;"""",SPLIT('(INGESTA)Datos_consumo_datadis'!A:A,"",""),"""")"),"ES0031408323131005HX0F")</f>
        <v>ES0031408323131005HX0F</v>
      </c>
      <c r="B4669" s="12">
        <f>IFERROR(__xludf.DUMMYFUNCTION("""COMPUTED_VALUE"""),45060.0)</f>
        <v>45060</v>
      </c>
      <c r="C4669" s="13">
        <f>IFERROR(__xludf.DUMMYFUNCTION("""COMPUTED_VALUE"""),0.5416666666666666)</f>
        <v>0.5416666667</v>
      </c>
      <c r="D4669" s="8">
        <f>IFERROR(__xludf.DUMMYFUNCTION("""COMPUTED_VALUE"""),0.334)</f>
        <v>0.334</v>
      </c>
      <c r="E4669" s="8" t="str">
        <f>IFERROR(__xludf.DUMMYFUNCTION("""COMPUTED_VALUE"""),"Estimada")</f>
        <v>Estimada</v>
      </c>
      <c r="G4669" s="8">
        <f t="shared" si="1"/>
        <v>5</v>
      </c>
      <c r="H4669" s="14">
        <f t="shared" si="2"/>
        <v>14</v>
      </c>
      <c r="I4669" s="15">
        <f t="shared" si="3"/>
        <v>13</v>
      </c>
    </row>
    <row r="4670">
      <c r="A4670" s="8" t="str">
        <f>IFERROR(__xludf.DUMMYFUNCTION("IF('(INGESTA)Datos_consumo_datadis'!A4670&lt;&gt;"""",SPLIT('(INGESTA)Datos_consumo_datadis'!A:A,"",""),"""")"),"ES0031408323131005HX0F")</f>
        <v>ES0031408323131005HX0F</v>
      </c>
      <c r="B4670" s="12">
        <f>IFERROR(__xludf.DUMMYFUNCTION("""COMPUTED_VALUE"""),45060.0)</f>
        <v>45060</v>
      </c>
      <c r="C4670" s="13">
        <f>IFERROR(__xludf.DUMMYFUNCTION("""COMPUTED_VALUE"""),0.5833333333333334)</f>
        <v>0.5833333333</v>
      </c>
      <c r="D4670" s="8">
        <f>IFERROR(__xludf.DUMMYFUNCTION("""COMPUTED_VALUE"""),0.349)</f>
        <v>0.349</v>
      </c>
      <c r="E4670" s="8" t="str">
        <f>IFERROR(__xludf.DUMMYFUNCTION("""COMPUTED_VALUE"""),"Estimada")</f>
        <v>Estimada</v>
      </c>
      <c r="G4670" s="8">
        <f t="shared" si="1"/>
        <v>5</v>
      </c>
      <c r="H4670" s="14">
        <f t="shared" si="2"/>
        <v>14</v>
      </c>
      <c r="I4670" s="15">
        <f t="shared" si="3"/>
        <v>14</v>
      </c>
    </row>
    <row r="4671">
      <c r="A4671" s="8" t="str">
        <f>IFERROR(__xludf.DUMMYFUNCTION("IF('(INGESTA)Datos_consumo_datadis'!A4671&lt;&gt;"""",SPLIT('(INGESTA)Datos_consumo_datadis'!A:A,"",""),"""")"),"ES0031408323131005HX0F")</f>
        <v>ES0031408323131005HX0F</v>
      </c>
      <c r="B4671" s="12">
        <f>IFERROR(__xludf.DUMMYFUNCTION("""COMPUTED_VALUE"""),45060.0)</f>
        <v>45060</v>
      </c>
      <c r="C4671" s="13">
        <f>IFERROR(__xludf.DUMMYFUNCTION("""COMPUTED_VALUE"""),0.625)</f>
        <v>0.625</v>
      </c>
      <c r="D4671" s="8">
        <f>IFERROR(__xludf.DUMMYFUNCTION("""COMPUTED_VALUE"""),0.341)</f>
        <v>0.341</v>
      </c>
      <c r="E4671" s="8" t="str">
        <f>IFERROR(__xludf.DUMMYFUNCTION("""COMPUTED_VALUE"""),"Estimada")</f>
        <v>Estimada</v>
      </c>
      <c r="G4671" s="8">
        <f t="shared" si="1"/>
        <v>5</v>
      </c>
      <c r="H4671" s="14">
        <f t="shared" si="2"/>
        <v>14</v>
      </c>
      <c r="I4671" s="15">
        <f t="shared" si="3"/>
        <v>15</v>
      </c>
    </row>
    <row r="4672">
      <c r="A4672" s="8" t="str">
        <f>IFERROR(__xludf.DUMMYFUNCTION("IF('(INGESTA)Datos_consumo_datadis'!A4672&lt;&gt;"""",SPLIT('(INGESTA)Datos_consumo_datadis'!A:A,"",""),"""")"),"ES0031408323131005HX0F")</f>
        <v>ES0031408323131005HX0F</v>
      </c>
      <c r="B4672" s="12">
        <f>IFERROR(__xludf.DUMMYFUNCTION("""COMPUTED_VALUE"""),45060.0)</f>
        <v>45060</v>
      </c>
      <c r="C4672" s="13">
        <f>IFERROR(__xludf.DUMMYFUNCTION("""COMPUTED_VALUE"""),0.6666666666666666)</f>
        <v>0.6666666667</v>
      </c>
      <c r="D4672" s="8">
        <f>IFERROR(__xludf.DUMMYFUNCTION("""COMPUTED_VALUE"""),0.296)</f>
        <v>0.296</v>
      </c>
      <c r="E4672" s="8" t="str">
        <f>IFERROR(__xludf.DUMMYFUNCTION("""COMPUTED_VALUE"""),"Estimada")</f>
        <v>Estimada</v>
      </c>
      <c r="G4672" s="8">
        <f t="shared" si="1"/>
        <v>5</v>
      </c>
      <c r="H4672" s="14">
        <f t="shared" si="2"/>
        <v>14</v>
      </c>
      <c r="I4672" s="15">
        <f t="shared" si="3"/>
        <v>16</v>
      </c>
    </row>
    <row r="4673">
      <c r="A4673" s="8" t="str">
        <f>IFERROR(__xludf.DUMMYFUNCTION("IF('(INGESTA)Datos_consumo_datadis'!A4673&lt;&gt;"""",SPLIT('(INGESTA)Datos_consumo_datadis'!A:A,"",""),"""")"),"ES0031408323131005HX0F")</f>
        <v>ES0031408323131005HX0F</v>
      </c>
      <c r="B4673" s="12">
        <f>IFERROR(__xludf.DUMMYFUNCTION("""COMPUTED_VALUE"""),45060.0)</f>
        <v>45060</v>
      </c>
      <c r="C4673" s="13">
        <f>IFERROR(__xludf.DUMMYFUNCTION("""COMPUTED_VALUE"""),0.7083333333333334)</f>
        <v>0.7083333333</v>
      </c>
      <c r="D4673" s="8">
        <f>IFERROR(__xludf.DUMMYFUNCTION("""COMPUTED_VALUE"""),0.27)</f>
        <v>0.27</v>
      </c>
      <c r="E4673" s="8" t="str">
        <f>IFERROR(__xludf.DUMMYFUNCTION("""COMPUTED_VALUE"""),"Estimada")</f>
        <v>Estimada</v>
      </c>
      <c r="G4673" s="8">
        <f t="shared" si="1"/>
        <v>5</v>
      </c>
      <c r="H4673" s="14">
        <f t="shared" si="2"/>
        <v>14</v>
      </c>
      <c r="I4673" s="15">
        <f t="shared" si="3"/>
        <v>17</v>
      </c>
    </row>
    <row r="4674">
      <c r="A4674" s="8" t="str">
        <f>IFERROR(__xludf.DUMMYFUNCTION("IF('(INGESTA)Datos_consumo_datadis'!A4674&lt;&gt;"""",SPLIT('(INGESTA)Datos_consumo_datadis'!A:A,"",""),"""")"),"ES0031408323131005HX0F")</f>
        <v>ES0031408323131005HX0F</v>
      </c>
      <c r="B4674" s="12">
        <f>IFERROR(__xludf.DUMMYFUNCTION("""COMPUTED_VALUE"""),45060.0)</f>
        <v>45060</v>
      </c>
      <c r="C4674" s="13">
        <f>IFERROR(__xludf.DUMMYFUNCTION("""COMPUTED_VALUE"""),0.75)</f>
        <v>0.75</v>
      </c>
      <c r="D4674" s="8">
        <f>IFERROR(__xludf.DUMMYFUNCTION("""COMPUTED_VALUE"""),0.263)</f>
        <v>0.263</v>
      </c>
      <c r="E4674" s="8" t="str">
        <f>IFERROR(__xludf.DUMMYFUNCTION("""COMPUTED_VALUE"""),"Estimada")</f>
        <v>Estimada</v>
      </c>
      <c r="G4674" s="8">
        <f t="shared" si="1"/>
        <v>5</v>
      </c>
      <c r="H4674" s="14">
        <f t="shared" si="2"/>
        <v>14</v>
      </c>
      <c r="I4674" s="15">
        <f t="shared" si="3"/>
        <v>18</v>
      </c>
    </row>
    <row r="4675">
      <c r="A4675" s="8" t="str">
        <f>IFERROR(__xludf.DUMMYFUNCTION("IF('(INGESTA)Datos_consumo_datadis'!A4675&lt;&gt;"""",SPLIT('(INGESTA)Datos_consumo_datadis'!A:A,"",""),"""")"),"ES0031408323131005HX0F")</f>
        <v>ES0031408323131005HX0F</v>
      </c>
      <c r="B4675" s="12">
        <f>IFERROR(__xludf.DUMMYFUNCTION("""COMPUTED_VALUE"""),45060.0)</f>
        <v>45060</v>
      </c>
      <c r="C4675" s="13">
        <f>IFERROR(__xludf.DUMMYFUNCTION("""COMPUTED_VALUE"""),0.7916666666666666)</f>
        <v>0.7916666667</v>
      </c>
      <c r="D4675" s="8">
        <f>IFERROR(__xludf.DUMMYFUNCTION("""COMPUTED_VALUE"""),0.268)</f>
        <v>0.268</v>
      </c>
      <c r="E4675" s="8" t="str">
        <f>IFERROR(__xludf.DUMMYFUNCTION("""COMPUTED_VALUE"""),"Estimada")</f>
        <v>Estimada</v>
      </c>
      <c r="G4675" s="8">
        <f t="shared" si="1"/>
        <v>5</v>
      </c>
      <c r="H4675" s="14">
        <f t="shared" si="2"/>
        <v>14</v>
      </c>
      <c r="I4675" s="15">
        <f t="shared" si="3"/>
        <v>19</v>
      </c>
    </row>
    <row r="4676">
      <c r="A4676" s="8" t="str">
        <f>IFERROR(__xludf.DUMMYFUNCTION("IF('(INGESTA)Datos_consumo_datadis'!A4676&lt;&gt;"""",SPLIT('(INGESTA)Datos_consumo_datadis'!A:A,"",""),"""")"),"ES0031408323131005HX0F")</f>
        <v>ES0031408323131005HX0F</v>
      </c>
      <c r="B4676" s="12">
        <f>IFERROR(__xludf.DUMMYFUNCTION("""COMPUTED_VALUE"""),45060.0)</f>
        <v>45060</v>
      </c>
      <c r="C4676" s="13">
        <f>IFERROR(__xludf.DUMMYFUNCTION("""COMPUTED_VALUE"""),0.8333333333333334)</f>
        <v>0.8333333333</v>
      </c>
      <c r="D4676" s="8">
        <f>IFERROR(__xludf.DUMMYFUNCTION("""COMPUTED_VALUE"""),0.282)</f>
        <v>0.282</v>
      </c>
      <c r="E4676" s="8" t="str">
        <f>IFERROR(__xludf.DUMMYFUNCTION("""COMPUTED_VALUE"""),"Estimada")</f>
        <v>Estimada</v>
      </c>
      <c r="G4676" s="8">
        <f t="shared" si="1"/>
        <v>5</v>
      </c>
      <c r="H4676" s="14">
        <f t="shared" si="2"/>
        <v>14</v>
      </c>
      <c r="I4676" s="15">
        <f t="shared" si="3"/>
        <v>20</v>
      </c>
    </row>
    <row r="4677">
      <c r="A4677" s="8" t="str">
        <f>IFERROR(__xludf.DUMMYFUNCTION("IF('(INGESTA)Datos_consumo_datadis'!A4677&lt;&gt;"""",SPLIT('(INGESTA)Datos_consumo_datadis'!A:A,"",""),"""")"),"ES0031408323131005HX0F")</f>
        <v>ES0031408323131005HX0F</v>
      </c>
      <c r="B4677" s="12">
        <f>IFERROR(__xludf.DUMMYFUNCTION("""COMPUTED_VALUE"""),45060.0)</f>
        <v>45060</v>
      </c>
      <c r="C4677" s="13">
        <f>IFERROR(__xludf.DUMMYFUNCTION("""COMPUTED_VALUE"""),0.875)</f>
        <v>0.875</v>
      </c>
      <c r="D4677" s="8">
        <f>IFERROR(__xludf.DUMMYFUNCTION("""COMPUTED_VALUE"""),0.315)</f>
        <v>0.315</v>
      </c>
      <c r="E4677" s="8" t="str">
        <f>IFERROR(__xludf.DUMMYFUNCTION("""COMPUTED_VALUE"""),"Estimada")</f>
        <v>Estimada</v>
      </c>
      <c r="G4677" s="8">
        <f t="shared" si="1"/>
        <v>5</v>
      </c>
      <c r="H4677" s="14">
        <f t="shared" si="2"/>
        <v>14</v>
      </c>
      <c r="I4677" s="15">
        <f t="shared" si="3"/>
        <v>21</v>
      </c>
    </row>
    <row r="4678">
      <c r="A4678" s="8" t="str">
        <f>IFERROR(__xludf.DUMMYFUNCTION("IF('(INGESTA)Datos_consumo_datadis'!A4678&lt;&gt;"""",SPLIT('(INGESTA)Datos_consumo_datadis'!A:A,"",""),"""")"),"ES0031408323131005HX0F")</f>
        <v>ES0031408323131005HX0F</v>
      </c>
      <c r="B4678" s="12">
        <f>IFERROR(__xludf.DUMMYFUNCTION("""COMPUTED_VALUE"""),45060.0)</f>
        <v>45060</v>
      </c>
      <c r="C4678" s="13">
        <f>IFERROR(__xludf.DUMMYFUNCTION("""COMPUTED_VALUE"""),0.9166666666666666)</f>
        <v>0.9166666667</v>
      </c>
      <c r="D4678" s="8">
        <f>IFERROR(__xludf.DUMMYFUNCTION("""COMPUTED_VALUE"""),0.374)</f>
        <v>0.374</v>
      </c>
      <c r="E4678" s="8" t="str">
        <f>IFERROR(__xludf.DUMMYFUNCTION("""COMPUTED_VALUE"""),"Estimada")</f>
        <v>Estimada</v>
      </c>
      <c r="G4678" s="8">
        <f t="shared" si="1"/>
        <v>5</v>
      </c>
      <c r="H4678" s="14">
        <f t="shared" si="2"/>
        <v>14</v>
      </c>
      <c r="I4678" s="15">
        <f t="shared" si="3"/>
        <v>22</v>
      </c>
    </row>
    <row r="4679">
      <c r="A4679" s="8" t="str">
        <f>IFERROR(__xludf.DUMMYFUNCTION("IF('(INGESTA)Datos_consumo_datadis'!A4679&lt;&gt;"""",SPLIT('(INGESTA)Datos_consumo_datadis'!A:A,"",""),"""")"),"ES0031408323131005HX0F")</f>
        <v>ES0031408323131005HX0F</v>
      </c>
      <c r="B4679" s="12">
        <f>IFERROR(__xludf.DUMMYFUNCTION("""COMPUTED_VALUE"""),45060.0)</f>
        <v>45060</v>
      </c>
      <c r="C4679" s="13">
        <f>IFERROR(__xludf.DUMMYFUNCTION("""COMPUTED_VALUE"""),0.9583333333333334)</f>
        <v>0.9583333333</v>
      </c>
      <c r="D4679" s="8">
        <f>IFERROR(__xludf.DUMMYFUNCTION("""COMPUTED_VALUE"""),0.367)</f>
        <v>0.367</v>
      </c>
      <c r="E4679" s="8" t="str">
        <f>IFERROR(__xludf.DUMMYFUNCTION("""COMPUTED_VALUE"""),"Estimada")</f>
        <v>Estimada</v>
      </c>
      <c r="G4679" s="8">
        <f t="shared" si="1"/>
        <v>5</v>
      </c>
      <c r="H4679" s="14">
        <f t="shared" si="2"/>
        <v>14</v>
      </c>
      <c r="I4679" s="15">
        <f t="shared" si="3"/>
        <v>23</v>
      </c>
    </row>
    <row r="4680">
      <c r="A4680" s="8" t="str">
        <f>IFERROR(__xludf.DUMMYFUNCTION("IF('(INGESTA)Datos_consumo_datadis'!A4680&lt;&gt;"""",SPLIT('(INGESTA)Datos_consumo_datadis'!A:A,"",""),"""")"),"ES0031408323131005HX0F")</f>
        <v>ES0031408323131005HX0F</v>
      </c>
      <c r="B4680" s="12">
        <f>IFERROR(__xludf.DUMMYFUNCTION("""COMPUTED_VALUE"""),45060.0)</f>
        <v>45060</v>
      </c>
      <c r="C4680" s="16">
        <f>IFERROR(__xludf.DUMMYFUNCTION("""COMPUTED_VALUE"""),1.0)</f>
        <v>1</v>
      </c>
      <c r="D4680" s="8">
        <f>IFERROR(__xludf.DUMMYFUNCTION("""COMPUTED_VALUE"""),0.311)</f>
        <v>0.311</v>
      </c>
      <c r="E4680" s="8" t="str">
        <f>IFERROR(__xludf.DUMMYFUNCTION("""COMPUTED_VALUE"""),"Estimada")</f>
        <v>Estimada</v>
      </c>
      <c r="G4680" s="8">
        <f t="shared" si="1"/>
        <v>5</v>
      </c>
      <c r="H4680" s="14">
        <f t="shared" si="2"/>
        <v>14</v>
      </c>
      <c r="I4680" s="15">
        <f t="shared" si="3"/>
        <v>0</v>
      </c>
    </row>
    <row r="4681">
      <c r="A4681" s="8" t="str">
        <f>IFERROR(__xludf.DUMMYFUNCTION("IF('(INGESTA)Datos_consumo_datadis'!A4681&lt;&gt;"""",SPLIT('(INGESTA)Datos_consumo_datadis'!A:A,"",""),"""")"),"ES0031408323131005HX0F")</f>
        <v>ES0031408323131005HX0F</v>
      </c>
      <c r="B4681" s="12">
        <f>IFERROR(__xludf.DUMMYFUNCTION("""COMPUTED_VALUE"""),45061.0)</f>
        <v>45061</v>
      </c>
      <c r="C4681" s="13">
        <f>IFERROR(__xludf.DUMMYFUNCTION("""COMPUTED_VALUE"""),0.041666666666666664)</f>
        <v>0.04166666667</v>
      </c>
      <c r="D4681" s="8">
        <f>IFERROR(__xludf.DUMMYFUNCTION("""COMPUTED_VALUE"""),0.248)</f>
        <v>0.248</v>
      </c>
      <c r="E4681" s="8" t="str">
        <f>IFERROR(__xludf.DUMMYFUNCTION("""COMPUTED_VALUE"""),"Estimada")</f>
        <v>Estimada</v>
      </c>
      <c r="G4681" s="8">
        <f t="shared" si="1"/>
        <v>5</v>
      </c>
      <c r="H4681" s="14">
        <f t="shared" si="2"/>
        <v>15</v>
      </c>
      <c r="I4681" s="15">
        <f t="shared" si="3"/>
        <v>1</v>
      </c>
    </row>
    <row r="4682">
      <c r="A4682" s="8" t="str">
        <f>IFERROR(__xludf.DUMMYFUNCTION("IF('(INGESTA)Datos_consumo_datadis'!A4682&lt;&gt;"""",SPLIT('(INGESTA)Datos_consumo_datadis'!A:A,"",""),"""")"),"ES0031408323131005HX0F")</f>
        <v>ES0031408323131005HX0F</v>
      </c>
      <c r="B4682" s="12">
        <f>IFERROR(__xludf.DUMMYFUNCTION("""COMPUTED_VALUE"""),45061.0)</f>
        <v>45061</v>
      </c>
      <c r="C4682" s="13">
        <f>IFERROR(__xludf.DUMMYFUNCTION("""COMPUTED_VALUE"""),0.08333333333333333)</f>
        <v>0.08333333333</v>
      </c>
      <c r="D4682" s="8">
        <f>IFERROR(__xludf.DUMMYFUNCTION("""COMPUTED_VALUE"""),0.206)</f>
        <v>0.206</v>
      </c>
      <c r="E4682" s="8" t="str">
        <f>IFERROR(__xludf.DUMMYFUNCTION("""COMPUTED_VALUE"""),"Estimada")</f>
        <v>Estimada</v>
      </c>
      <c r="G4682" s="8">
        <f t="shared" si="1"/>
        <v>5</v>
      </c>
      <c r="H4682" s="14">
        <f t="shared" si="2"/>
        <v>15</v>
      </c>
      <c r="I4682" s="15">
        <f t="shared" si="3"/>
        <v>2</v>
      </c>
    </row>
    <row r="4683">
      <c r="A4683" s="8" t="str">
        <f>IFERROR(__xludf.DUMMYFUNCTION("IF('(INGESTA)Datos_consumo_datadis'!A4683&lt;&gt;"""",SPLIT('(INGESTA)Datos_consumo_datadis'!A:A,"",""),"""")"),"ES0031408323131005HX0F")</f>
        <v>ES0031408323131005HX0F</v>
      </c>
      <c r="B4683" s="12">
        <f>IFERROR(__xludf.DUMMYFUNCTION("""COMPUTED_VALUE"""),45061.0)</f>
        <v>45061</v>
      </c>
      <c r="C4683" s="13">
        <f>IFERROR(__xludf.DUMMYFUNCTION("""COMPUTED_VALUE"""),0.125)</f>
        <v>0.125</v>
      </c>
      <c r="D4683" s="8">
        <f>IFERROR(__xludf.DUMMYFUNCTION("""COMPUTED_VALUE"""),0.183)</f>
        <v>0.183</v>
      </c>
      <c r="E4683" s="8" t="str">
        <f>IFERROR(__xludf.DUMMYFUNCTION("""COMPUTED_VALUE"""),"Estimada")</f>
        <v>Estimada</v>
      </c>
      <c r="G4683" s="8">
        <f t="shared" si="1"/>
        <v>5</v>
      </c>
      <c r="H4683" s="14">
        <f t="shared" si="2"/>
        <v>15</v>
      </c>
      <c r="I4683" s="15">
        <f t="shared" si="3"/>
        <v>3</v>
      </c>
    </row>
    <row r="4684">
      <c r="A4684" s="8" t="str">
        <f>IFERROR(__xludf.DUMMYFUNCTION("IF('(INGESTA)Datos_consumo_datadis'!A4684&lt;&gt;"""",SPLIT('(INGESTA)Datos_consumo_datadis'!A:A,"",""),"""")"),"ES0031408323131005HX0F")</f>
        <v>ES0031408323131005HX0F</v>
      </c>
      <c r="B4684" s="12">
        <f>IFERROR(__xludf.DUMMYFUNCTION("""COMPUTED_VALUE"""),45061.0)</f>
        <v>45061</v>
      </c>
      <c r="C4684" s="13">
        <f>IFERROR(__xludf.DUMMYFUNCTION("""COMPUTED_VALUE"""),0.16666666666666666)</f>
        <v>0.1666666667</v>
      </c>
      <c r="D4684" s="8">
        <f>IFERROR(__xludf.DUMMYFUNCTION("""COMPUTED_VALUE"""),0.173)</f>
        <v>0.173</v>
      </c>
      <c r="E4684" s="8" t="str">
        <f>IFERROR(__xludf.DUMMYFUNCTION("""COMPUTED_VALUE"""),"Estimada")</f>
        <v>Estimada</v>
      </c>
      <c r="G4684" s="8">
        <f t="shared" si="1"/>
        <v>5</v>
      </c>
      <c r="H4684" s="14">
        <f t="shared" si="2"/>
        <v>15</v>
      </c>
      <c r="I4684" s="15">
        <f t="shared" si="3"/>
        <v>4</v>
      </c>
    </row>
    <row r="4685">
      <c r="A4685" s="8" t="str">
        <f>IFERROR(__xludf.DUMMYFUNCTION("IF('(INGESTA)Datos_consumo_datadis'!A4685&lt;&gt;"""",SPLIT('(INGESTA)Datos_consumo_datadis'!A:A,"",""),"""")"),"ES0031408323131005HX0F")</f>
        <v>ES0031408323131005HX0F</v>
      </c>
      <c r="B4685" s="12">
        <f>IFERROR(__xludf.DUMMYFUNCTION("""COMPUTED_VALUE"""),45061.0)</f>
        <v>45061</v>
      </c>
      <c r="C4685" s="13">
        <f>IFERROR(__xludf.DUMMYFUNCTION("""COMPUTED_VALUE"""),0.20833333333333334)</f>
        <v>0.2083333333</v>
      </c>
      <c r="D4685" s="8">
        <f>IFERROR(__xludf.DUMMYFUNCTION("""COMPUTED_VALUE"""),0.169)</f>
        <v>0.169</v>
      </c>
      <c r="E4685" s="8" t="str">
        <f>IFERROR(__xludf.DUMMYFUNCTION("""COMPUTED_VALUE"""),"Estimada")</f>
        <v>Estimada</v>
      </c>
      <c r="G4685" s="8">
        <f t="shared" si="1"/>
        <v>5</v>
      </c>
      <c r="H4685" s="14">
        <f t="shared" si="2"/>
        <v>15</v>
      </c>
      <c r="I4685" s="15">
        <f t="shared" si="3"/>
        <v>5</v>
      </c>
    </row>
    <row r="4686">
      <c r="A4686" s="8" t="str">
        <f>IFERROR(__xludf.DUMMYFUNCTION("IF('(INGESTA)Datos_consumo_datadis'!A4686&lt;&gt;"""",SPLIT('(INGESTA)Datos_consumo_datadis'!A:A,"",""),"""")"),"ES0031408323131005HX0F")</f>
        <v>ES0031408323131005HX0F</v>
      </c>
      <c r="B4686" s="12">
        <f>IFERROR(__xludf.DUMMYFUNCTION("""COMPUTED_VALUE"""),45061.0)</f>
        <v>45061</v>
      </c>
      <c r="C4686" s="13">
        <f>IFERROR(__xludf.DUMMYFUNCTION("""COMPUTED_VALUE"""),0.25)</f>
        <v>0.25</v>
      </c>
      <c r="D4686" s="8">
        <f>IFERROR(__xludf.DUMMYFUNCTION("""COMPUTED_VALUE"""),0.173)</f>
        <v>0.173</v>
      </c>
      <c r="E4686" s="8" t="str">
        <f>IFERROR(__xludf.DUMMYFUNCTION("""COMPUTED_VALUE"""),"Estimada")</f>
        <v>Estimada</v>
      </c>
      <c r="G4686" s="8">
        <f t="shared" si="1"/>
        <v>5</v>
      </c>
      <c r="H4686" s="14">
        <f t="shared" si="2"/>
        <v>15</v>
      </c>
      <c r="I4686" s="15">
        <f t="shared" si="3"/>
        <v>6</v>
      </c>
    </row>
    <row r="4687">
      <c r="A4687" s="8" t="str">
        <f>IFERROR(__xludf.DUMMYFUNCTION("IF('(INGESTA)Datos_consumo_datadis'!A4687&lt;&gt;"""",SPLIT('(INGESTA)Datos_consumo_datadis'!A:A,"",""),"""")"),"ES0031408323131005HX0F")</f>
        <v>ES0031408323131005HX0F</v>
      </c>
      <c r="B4687" s="12">
        <f>IFERROR(__xludf.DUMMYFUNCTION("""COMPUTED_VALUE"""),45061.0)</f>
        <v>45061</v>
      </c>
      <c r="C4687" s="13">
        <f>IFERROR(__xludf.DUMMYFUNCTION("""COMPUTED_VALUE"""),0.2916666666666667)</f>
        <v>0.2916666667</v>
      </c>
      <c r="D4687" s="8">
        <f>IFERROR(__xludf.DUMMYFUNCTION("""COMPUTED_VALUE"""),0.188)</f>
        <v>0.188</v>
      </c>
      <c r="E4687" s="8" t="str">
        <f>IFERROR(__xludf.DUMMYFUNCTION("""COMPUTED_VALUE"""),"Estimada")</f>
        <v>Estimada</v>
      </c>
      <c r="G4687" s="8">
        <f t="shared" si="1"/>
        <v>5</v>
      </c>
      <c r="H4687" s="14">
        <f t="shared" si="2"/>
        <v>15</v>
      </c>
      <c r="I4687" s="15">
        <f t="shared" si="3"/>
        <v>7</v>
      </c>
    </row>
    <row r="4688">
      <c r="A4688" s="8" t="str">
        <f>IFERROR(__xludf.DUMMYFUNCTION("IF('(INGESTA)Datos_consumo_datadis'!A4688&lt;&gt;"""",SPLIT('(INGESTA)Datos_consumo_datadis'!A:A,"",""),"""")"),"ES0031408323131005HX0F")</f>
        <v>ES0031408323131005HX0F</v>
      </c>
      <c r="B4688" s="12">
        <f>IFERROR(__xludf.DUMMYFUNCTION("""COMPUTED_VALUE"""),45061.0)</f>
        <v>45061</v>
      </c>
      <c r="C4688" s="13">
        <f>IFERROR(__xludf.DUMMYFUNCTION("""COMPUTED_VALUE"""),0.3333333333333333)</f>
        <v>0.3333333333</v>
      </c>
      <c r="D4688" s="8">
        <f>IFERROR(__xludf.DUMMYFUNCTION("""COMPUTED_VALUE"""),0.222)</f>
        <v>0.222</v>
      </c>
      <c r="E4688" s="8" t="str">
        <f>IFERROR(__xludf.DUMMYFUNCTION("""COMPUTED_VALUE"""),"Estimada")</f>
        <v>Estimada</v>
      </c>
      <c r="G4688" s="8">
        <f t="shared" si="1"/>
        <v>5</v>
      </c>
      <c r="H4688" s="14">
        <f t="shared" si="2"/>
        <v>15</v>
      </c>
      <c r="I4688" s="15">
        <f t="shared" si="3"/>
        <v>8</v>
      </c>
    </row>
    <row r="4689">
      <c r="A4689" s="8" t="str">
        <f>IFERROR(__xludf.DUMMYFUNCTION("IF('(INGESTA)Datos_consumo_datadis'!A4689&lt;&gt;"""",SPLIT('(INGESTA)Datos_consumo_datadis'!A:A,"",""),"""")"),"ES0031408323131005HX0F")</f>
        <v>ES0031408323131005HX0F</v>
      </c>
      <c r="B4689" s="12">
        <f>IFERROR(__xludf.DUMMYFUNCTION("""COMPUTED_VALUE"""),45061.0)</f>
        <v>45061</v>
      </c>
      <c r="C4689" s="13">
        <f>IFERROR(__xludf.DUMMYFUNCTION("""COMPUTED_VALUE"""),0.375)</f>
        <v>0.375</v>
      </c>
      <c r="D4689" s="8">
        <f>IFERROR(__xludf.DUMMYFUNCTION("""COMPUTED_VALUE"""),0.245)</f>
        <v>0.245</v>
      </c>
      <c r="E4689" s="8" t="str">
        <f>IFERROR(__xludf.DUMMYFUNCTION("""COMPUTED_VALUE"""),"Estimada")</f>
        <v>Estimada</v>
      </c>
      <c r="G4689" s="8">
        <f t="shared" si="1"/>
        <v>5</v>
      </c>
      <c r="H4689" s="14">
        <f t="shared" si="2"/>
        <v>15</v>
      </c>
      <c r="I4689" s="15">
        <f t="shared" si="3"/>
        <v>9</v>
      </c>
    </row>
    <row r="4690">
      <c r="A4690" s="8" t="str">
        <f>IFERROR(__xludf.DUMMYFUNCTION("IF('(INGESTA)Datos_consumo_datadis'!A4690&lt;&gt;"""",SPLIT('(INGESTA)Datos_consumo_datadis'!A:A,"",""),"""")"),"ES0031408323131005HX0F")</f>
        <v>ES0031408323131005HX0F</v>
      </c>
      <c r="B4690" s="12">
        <f>IFERROR(__xludf.DUMMYFUNCTION("""COMPUTED_VALUE"""),45061.0)</f>
        <v>45061</v>
      </c>
      <c r="C4690" s="13">
        <f>IFERROR(__xludf.DUMMYFUNCTION("""COMPUTED_VALUE"""),0.4166666666666667)</f>
        <v>0.4166666667</v>
      </c>
      <c r="D4690" s="8">
        <f>IFERROR(__xludf.DUMMYFUNCTION("""COMPUTED_VALUE"""),0.265)</f>
        <v>0.265</v>
      </c>
      <c r="E4690" s="8" t="str">
        <f>IFERROR(__xludf.DUMMYFUNCTION("""COMPUTED_VALUE"""),"Estimada")</f>
        <v>Estimada</v>
      </c>
      <c r="G4690" s="8">
        <f t="shared" si="1"/>
        <v>5</v>
      </c>
      <c r="H4690" s="14">
        <f t="shared" si="2"/>
        <v>15</v>
      </c>
      <c r="I4690" s="15">
        <f t="shared" si="3"/>
        <v>10</v>
      </c>
    </row>
    <row r="4691">
      <c r="A4691" s="8" t="str">
        <f>IFERROR(__xludf.DUMMYFUNCTION("IF('(INGESTA)Datos_consumo_datadis'!A4691&lt;&gt;"""",SPLIT('(INGESTA)Datos_consumo_datadis'!A:A,"",""),"""")"),"ES0031408323131005HX0F")</f>
        <v>ES0031408323131005HX0F</v>
      </c>
      <c r="B4691" s="12">
        <f>IFERROR(__xludf.DUMMYFUNCTION("""COMPUTED_VALUE"""),45061.0)</f>
        <v>45061</v>
      </c>
      <c r="C4691" s="13">
        <f>IFERROR(__xludf.DUMMYFUNCTION("""COMPUTED_VALUE"""),0.4583333333333333)</f>
        <v>0.4583333333</v>
      </c>
      <c r="D4691" s="8">
        <f>IFERROR(__xludf.DUMMYFUNCTION("""COMPUTED_VALUE"""),0.295)</f>
        <v>0.295</v>
      </c>
      <c r="E4691" s="8" t="str">
        <f>IFERROR(__xludf.DUMMYFUNCTION("""COMPUTED_VALUE"""),"Estimada")</f>
        <v>Estimada</v>
      </c>
      <c r="G4691" s="8">
        <f t="shared" si="1"/>
        <v>5</v>
      </c>
      <c r="H4691" s="14">
        <f t="shared" si="2"/>
        <v>15</v>
      </c>
      <c r="I4691" s="15">
        <f t="shared" si="3"/>
        <v>11</v>
      </c>
    </row>
    <row r="4692">
      <c r="A4692" s="8" t="str">
        <f>IFERROR(__xludf.DUMMYFUNCTION("IF('(INGESTA)Datos_consumo_datadis'!A4692&lt;&gt;"""",SPLIT('(INGESTA)Datos_consumo_datadis'!A:A,"",""),"""")"),"ES0031408323131005HX0F")</f>
        <v>ES0031408323131005HX0F</v>
      </c>
      <c r="B4692" s="12">
        <f>IFERROR(__xludf.DUMMYFUNCTION("""COMPUTED_VALUE"""),45061.0)</f>
        <v>45061</v>
      </c>
      <c r="C4692" s="13">
        <f>IFERROR(__xludf.DUMMYFUNCTION("""COMPUTED_VALUE"""),0.5)</f>
        <v>0.5</v>
      </c>
      <c r="D4692" s="8">
        <f>IFERROR(__xludf.DUMMYFUNCTION("""COMPUTED_VALUE"""),0.302)</f>
        <v>0.302</v>
      </c>
      <c r="E4692" s="8" t="str">
        <f>IFERROR(__xludf.DUMMYFUNCTION("""COMPUTED_VALUE"""),"Estimada")</f>
        <v>Estimada</v>
      </c>
      <c r="G4692" s="8">
        <f t="shared" si="1"/>
        <v>5</v>
      </c>
      <c r="H4692" s="14">
        <f t="shared" si="2"/>
        <v>15</v>
      </c>
      <c r="I4692" s="15">
        <f t="shared" si="3"/>
        <v>12</v>
      </c>
    </row>
    <row r="4693">
      <c r="A4693" s="8" t="str">
        <f>IFERROR(__xludf.DUMMYFUNCTION("IF('(INGESTA)Datos_consumo_datadis'!A4693&lt;&gt;"""",SPLIT('(INGESTA)Datos_consumo_datadis'!A:A,"",""),"""")"),"ES0031408323131005HX0F")</f>
        <v>ES0031408323131005HX0F</v>
      </c>
      <c r="B4693" s="12">
        <f>IFERROR(__xludf.DUMMYFUNCTION("""COMPUTED_VALUE"""),45061.0)</f>
        <v>45061</v>
      </c>
      <c r="C4693" s="13">
        <f>IFERROR(__xludf.DUMMYFUNCTION("""COMPUTED_VALUE"""),0.5416666666666666)</f>
        <v>0.5416666667</v>
      </c>
      <c r="D4693" s="8">
        <f>IFERROR(__xludf.DUMMYFUNCTION("""COMPUTED_VALUE"""),0.313)</f>
        <v>0.313</v>
      </c>
      <c r="E4693" s="8" t="str">
        <f>IFERROR(__xludf.DUMMYFUNCTION("""COMPUTED_VALUE"""),"Estimada")</f>
        <v>Estimada</v>
      </c>
      <c r="G4693" s="8">
        <f t="shared" si="1"/>
        <v>5</v>
      </c>
      <c r="H4693" s="14">
        <f t="shared" si="2"/>
        <v>15</v>
      </c>
      <c r="I4693" s="15">
        <f t="shared" si="3"/>
        <v>13</v>
      </c>
    </row>
    <row r="4694">
      <c r="A4694" s="8" t="str">
        <f>IFERROR(__xludf.DUMMYFUNCTION("IF('(INGESTA)Datos_consumo_datadis'!A4694&lt;&gt;"""",SPLIT('(INGESTA)Datos_consumo_datadis'!A:A,"",""),"""")"),"ES0031408323131005HX0F")</f>
        <v>ES0031408323131005HX0F</v>
      </c>
      <c r="B4694" s="12">
        <f>IFERROR(__xludf.DUMMYFUNCTION("""COMPUTED_VALUE"""),45061.0)</f>
        <v>45061</v>
      </c>
      <c r="C4694" s="13">
        <f>IFERROR(__xludf.DUMMYFUNCTION("""COMPUTED_VALUE"""),0.5833333333333334)</f>
        <v>0.5833333333</v>
      </c>
      <c r="D4694" s="8">
        <f>IFERROR(__xludf.DUMMYFUNCTION("""COMPUTED_VALUE"""),0.332)</f>
        <v>0.332</v>
      </c>
      <c r="E4694" s="8" t="str">
        <f>IFERROR(__xludf.DUMMYFUNCTION("""COMPUTED_VALUE"""),"Estimada")</f>
        <v>Estimada</v>
      </c>
      <c r="G4694" s="8">
        <f t="shared" si="1"/>
        <v>5</v>
      </c>
      <c r="H4694" s="14">
        <f t="shared" si="2"/>
        <v>15</v>
      </c>
      <c r="I4694" s="15">
        <f t="shared" si="3"/>
        <v>14</v>
      </c>
    </row>
    <row r="4695">
      <c r="A4695" s="8" t="str">
        <f>IFERROR(__xludf.DUMMYFUNCTION("IF('(INGESTA)Datos_consumo_datadis'!A4695&lt;&gt;"""",SPLIT('(INGESTA)Datos_consumo_datadis'!A:A,"",""),"""")"),"ES0031408323131005HX0F")</f>
        <v>ES0031408323131005HX0F</v>
      </c>
      <c r="B4695" s="12">
        <f>IFERROR(__xludf.DUMMYFUNCTION("""COMPUTED_VALUE"""),45061.0)</f>
        <v>45061</v>
      </c>
      <c r="C4695" s="13">
        <f>IFERROR(__xludf.DUMMYFUNCTION("""COMPUTED_VALUE"""),0.625)</f>
        <v>0.625</v>
      </c>
      <c r="D4695" s="8">
        <f>IFERROR(__xludf.DUMMYFUNCTION("""COMPUTED_VALUE"""),0.312)</f>
        <v>0.312</v>
      </c>
      <c r="E4695" s="8" t="str">
        <f>IFERROR(__xludf.DUMMYFUNCTION("""COMPUTED_VALUE"""),"Estimada")</f>
        <v>Estimada</v>
      </c>
      <c r="G4695" s="8">
        <f t="shared" si="1"/>
        <v>5</v>
      </c>
      <c r="H4695" s="14">
        <f t="shared" si="2"/>
        <v>15</v>
      </c>
      <c r="I4695" s="15">
        <f t="shared" si="3"/>
        <v>15</v>
      </c>
    </row>
    <row r="4696">
      <c r="A4696" s="8" t="str">
        <f>IFERROR(__xludf.DUMMYFUNCTION("IF('(INGESTA)Datos_consumo_datadis'!A4696&lt;&gt;"""",SPLIT('(INGESTA)Datos_consumo_datadis'!A:A,"",""),"""")"),"ES0031408323131005HX0F")</f>
        <v>ES0031408323131005HX0F</v>
      </c>
      <c r="B4696" s="12">
        <f>IFERROR(__xludf.DUMMYFUNCTION("""COMPUTED_VALUE"""),45061.0)</f>
        <v>45061</v>
      </c>
      <c r="C4696" s="13">
        <f>IFERROR(__xludf.DUMMYFUNCTION("""COMPUTED_VALUE"""),0.6666666666666666)</f>
        <v>0.6666666667</v>
      </c>
      <c r="D4696" s="8">
        <f>IFERROR(__xludf.DUMMYFUNCTION("""COMPUTED_VALUE"""),0.284)</f>
        <v>0.284</v>
      </c>
      <c r="E4696" s="8" t="str">
        <f>IFERROR(__xludf.DUMMYFUNCTION("""COMPUTED_VALUE"""),"Estimada")</f>
        <v>Estimada</v>
      </c>
      <c r="G4696" s="8">
        <f t="shared" si="1"/>
        <v>5</v>
      </c>
      <c r="H4696" s="14">
        <f t="shared" si="2"/>
        <v>15</v>
      </c>
      <c r="I4696" s="15">
        <f t="shared" si="3"/>
        <v>16</v>
      </c>
    </row>
    <row r="4697">
      <c r="A4697" s="8" t="str">
        <f>IFERROR(__xludf.DUMMYFUNCTION("IF('(INGESTA)Datos_consumo_datadis'!A4697&lt;&gt;"""",SPLIT('(INGESTA)Datos_consumo_datadis'!A:A,"",""),"""")"),"ES0031408323131005HX0F")</f>
        <v>ES0031408323131005HX0F</v>
      </c>
      <c r="B4697" s="12">
        <f>IFERROR(__xludf.DUMMYFUNCTION("""COMPUTED_VALUE"""),45061.0)</f>
        <v>45061</v>
      </c>
      <c r="C4697" s="13">
        <f>IFERROR(__xludf.DUMMYFUNCTION("""COMPUTED_VALUE"""),0.7083333333333334)</f>
        <v>0.7083333333</v>
      </c>
      <c r="D4697" s="8">
        <f>IFERROR(__xludf.DUMMYFUNCTION("""COMPUTED_VALUE"""),0.267)</f>
        <v>0.267</v>
      </c>
      <c r="E4697" s="8" t="str">
        <f>IFERROR(__xludf.DUMMYFUNCTION("""COMPUTED_VALUE"""),"Estimada")</f>
        <v>Estimada</v>
      </c>
      <c r="G4697" s="8">
        <f t="shared" si="1"/>
        <v>5</v>
      </c>
      <c r="H4697" s="14">
        <f t="shared" si="2"/>
        <v>15</v>
      </c>
      <c r="I4697" s="15">
        <f t="shared" si="3"/>
        <v>17</v>
      </c>
    </row>
    <row r="4698">
      <c r="A4698" s="8" t="str">
        <f>IFERROR(__xludf.DUMMYFUNCTION("IF('(INGESTA)Datos_consumo_datadis'!A4698&lt;&gt;"""",SPLIT('(INGESTA)Datos_consumo_datadis'!A:A,"",""),"""")"),"ES0031408323131005HX0F")</f>
        <v>ES0031408323131005HX0F</v>
      </c>
      <c r="B4698" s="12">
        <f>IFERROR(__xludf.DUMMYFUNCTION("""COMPUTED_VALUE"""),45061.0)</f>
        <v>45061</v>
      </c>
      <c r="C4698" s="13">
        <f>IFERROR(__xludf.DUMMYFUNCTION("""COMPUTED_VALUE"""),0.75)</f>
        <v>0.75</v>
      </c>
      <c r="D4698" s="8">
        <f>IFERROR(__xludf.DUMMYFUNCTION("""COMPUTED_VALUE"""),0.266)</f>
        <v>0.266</v>
      </c>
      <c r="E4698" s="8" t="str">
        <f>IFERROR(__xludf.DUMMYFUNCTION("""COMPUTED_VALUE"""),"Estimada")</f>
        <v>Estimada</v>
      </c>
      <c r="G4698" s="8">
        <f t="shared" si="1"/>
        <v>5</v>
      </c>
      <c r="H4698" s="14">
        <f t="shared" si="2"/>
        <v>15</v>
      </c>
      <c r="I4698" s="15">
        <f t="shared" si="3"/>
        <v>18</v>
      </c>
    </row>
    <row r="4699">
      <c r="A4699" s="8" t="str">
        <f>IFERROR(__xludf.DUMMYFUNCTION("IF('(INGESTA)Datos_consumo_datadis'!A4699&lt;&gt;"""",SPLIT('(INGESTA)Datos_consumo_datadis'!A:A,"",""),"""")"),"ES0031408323131005HX0F")</f>
        <v>ES0031408323131005HX0F</v>
      </c>
      <c r="B4699" s="12">
        <f>IFERROR(__xludf.DUMMYFUNCTION("""COMPUTED_VALUE"""),45061.0)</f>
        <v>45061</v>
      </c>
      <c r="C4699" s="13">
        <f>IFERROR(__xludf.DUMMYFUNCTION("""COMPUTED_VALUE"""),0.7916666666666666)</f>
        <v>0.7916666667</v>
      </c>
      <c r="D4699" s="8">
        <f>IFERROR(__xludf.DUMMYFUNCTION("""COMPUTED_VALUE"""),0.285)</f>
        <v>0.285</v>
      </c>
      <c r="E4699" s="8" t="str">
        <f>IFERROR(__xludf.DUMMYFUNCTION("""COMPUTED_VALUE"""),"Estimada")</f>
        <v>Estimada</v>
      </c>
      <c r="G4699" s="8">
        <f t="shared" si="1"/>
        <v>5</v>
      </c>
      <c r="H4699" s="14">
        <f t="shared" si="2"/>
        <v>15</v>
      </c>
      <c r="I4699" s="15">
        <f t="shared" si="3"/>
        <v>19</v>
      </c>
    </row>
    <row r="4700">
      <c r="A4700" s="8" t="str">
        <f>IFERROR(__xludf.DUMMYFUNCTION("IF('(INGESTA)Datos_consumo_datadis'!A4700&lt;&gt;"""",SPLIT('(INGESTA)Datos_consumo_datadis'!A:A,"",""),"""")"),"ES0031408323131005HX0F")</f>
        <v>ES0031408323131005HX0F</v>
      </c>
      <c r="B4700" s="12">
        <f>IFERROR(__xludf.DUMMYFUNCTION("""COMPUTED_VALUE"""),45061.0)</f>
        <v>45061</v>
      </c>
      <c r="C4700" s="13">
        <f>IFERROR(__xludf.DUMMYFUNCTION("""COMPUTED_VALUE"""),0.8333333333333334)</f>
        <v>0.8333333333</v>
      </c>
      <c r="D4700" s="8">
        <f>IFERROR(__xludf.DUMMYFUNCTION("""COMPUTED_VALUE"""),0.299)</f>
        <v>0.299</v>
      </c>
      <c r="E4700" s="8" t="str">
        <f>IFERROR(__xludf.DUMMYFUNCTION("""COMPUTED_VALUE"""),"Estimada")</f>
        <v>Estimada</v>
      </c>
      <c r="G4700" s="8">
        <f t="shared" si="1"/>
        <v>5</v>
      </c>
      <c r="H4700" s="14">
        <f t="shared" si="2"/>
        <v>15</v>
      </c>
      <c r="I4700" s="15">
        <f t="shared" si="3"/>
        <v>20</v>
      </c>
    </row>
    <row r="4701">
      <c r="A4701" s="8" t="str">
        <f>IFERROR(__xludf.DUMMYFUNCTION("IF('(INGESTA)Datos_consumo_datadis'!A4701&lt;&gt;"""",SPLIT('(INGESTA)Datos_consumo_datadis'!A:A,"",""),"""")"),"ES0031408323131005HX0F")</f>
        <v>ES0031408323131005HX0F</v>
      </c>
      <c r="B4701" s="12">
        <f>IFERROR(__xludf.DUMMYFUNCTION("""COMPUTED_VALUE"""),45061.0)</f>
        <v>45061</v>
      </c>
      <c r="C4701" s="13">
        <f>IFERROR(__xludf.DUMMYFUNCTION("""COMPUTED_VALUE"""),0.875)</f>
        <v>0.875</v>
      </c>
      <c r="D4701" s="8">
        <f>IFERROR(__xludf.DUMMYFUNCTION("""COMPUTED_VALUE"""),0.335)</f>
        <v>0.335</v>
      </c>
      <c r="E4701" s="8" t="str">
        <f>IFERROR(__xludf.DUMMYFUNCTION("""COMPUTED_VALUE"""),"Estimada")</f>
        <v>Estimada</v>
      </c>
      <c r="G4701" s="8">
        <f t="shared" si="1"/>
        <v>5</v>
      </c>
      <c r="H4701" s="14">
        <f t="shared" si="2"/>
        <v>15</v>
      </c>
      <c r="I4701" s="15">
        <f t="shared" si="3"/>
        <v>21</v>
      </c>
    </row>
    <row r="4702">
      <c r="A4702" s="8" t="str">
        <f>IFERROR(__xludf.DUMMYFUNCTION("IF('(INGESTA)Datos_consumo_datadis'!A4702&lt;&gt;"""",SPLIT('(INGESTA)Datos_consumo_datadis'!A:A,"",""),"""")"),"ES0031408323131005HX0F")</f>
        <v>ES0031408323131005HX0F</v>
      </c>
      <c r="B4702" s="12">
        <f>IFERROR(__xludf.DUMMYFUNCTION("""COMPUTED_VALUE"""),45061.0)</f>
        <v>45061</v>
      </c>
      <c r="C4702" s="13">
        <f>IFERROR(__xludf.DUMMYFUNCTION("""COMPUTED_VALUE"""),0.9166666666666666)</f>
        <v>0.9166666667</v>
      </c>
      <c r="D4702" s="8">
        <f>IFERROR(__xludf.DUMMYFUNCTION("""COMPUTED_VALUE"""),0.387)</f>
        <v>0.387</v>
      </c>
      <c r="E4702" s="8" t="str">
        <f>IFERROR(__xludf.DUMMYFUNCTION("""COMPUTED_VALUE"""),"Estimada")</f>
        <v>Estimada</v>
      </c>
      <c r="G4702" s="8">
        <f t="shared" si="1"/>
        <v>5</v>
      </c>
      <c r="H4702" s="14">
        <f t="shared" si="2"/>
        <v>15</v>
      </c>
      <c r="I4702" s="15">
        <f t="shared" si="3"/>
        <v>22</v>
      </c>
    </row>
    <row r="4703">
      <c r="A4703" s="8" t="str">
        <f>IFERROR(__xludf.DUMMYFUNCTION("IF('(INGESTA)Datos_consumo_datadis'!A4703&lt;&gt;"""",SPLIT('(INGESTA)Datos_consumo_datadis'!A:A,"",""),"""")"),"ES0031408323131005HX0F")</f>
        <v>ES0031408323131005HX0F</v>
      </c>
      <c r="B4703" s="12">
        <f>IFERROR(__xludf.DUMMYFUNCTION("""COMPUTED_VALUE"""),45061.0)</f>
        <v>45061</v>
      </c>
      <c r="C4703" s="13">
        <f>IFERROR(__xludf.DUMMYFUNCTION("""COMPUTED_VALUE"""),0.9583333333333334)</f>
        <v>0.9583333333</v>
      </c>
      <c r="D4703" s="8">
        <f>IFERROR(__xludf.DUMMYFUNCTION("""COMPUTED_VALUE"""),0.353)</f>
        <v>0.353</v>
      </c>
      <c r="E4703" s="8" t="str">
        <f>IFERROR(__xludf.DUMMYFUNCTION("""COMPUTED_VALUE"""),"Estimada")</f>
        <v>Estimada</v>
      </c>
      <c r="G4703" s="8">
        <f t="shared" si="1"/>
        <v>5</v>
      </c>
      <c r="H4703" s="14">
        <f t="shared" si="2"/>
        <v>15</v>
      </c>
      <c r="I4703" s="15">
        <f t="shared" si="3"/>
        <v>23</v>
      </c>
    </row>
    <row r="4704">
      <c r="A4704" s="8" t="str">
        <f>IFERROR(__xludf.DUMMYFUNCTION("IF('(INGESTA)Datos_consumo_datadis'!A4704&lt;&gt;"""",SPLIT('(INGESTA)Datos_consumo_datadis'!A:A,"",""),"""")"),"ES0031408323131005HX0F")</f>
        <v>ES0031408323131005HX0F</v>
      </c>
      <c r="B4704" s="12">
        <f>IFERROR(__xludf.DUMMYFUNCTION("""COMPUTED_VALUE"""),45061.0)</f>
        <v>45061</v>
      </c>
      <c r="C4704" s="16">
        <f>IFERROR(__xludf.DUMMYFUNCTION("""COMPUTED_VALUE"""),1.0)</f>
        <v>1</v>
      </c>
      <c r="D4704" s="8">
        <f>IFERROR(__xludf.DUMMYFUNCTION("""COMPUTED_VALUE"""),0.29)</f>
        <v>0.29</v>
      </c>
      <c r="E4704" s="8" t="str">
        <f>IFERROR(__xludf.DUMMYFUNCTION("""COMPUTED_VALUE"""),"Estimada")</f>
        <v>Estimada</v>
      </c>
      <c r="G4704" s="8">
        <f t="shared" si="1"/>
        <v>5</v>
      </c>
      <c r="H4704" s="14">
        <f t="shared" si="2"/>
        <v>15</v>
      </c>
      <c r="I4704" s="15">
        <f t="shared" si="3"/>
        <v>0</v>
      </c>
    </row>
    <row r="4705">
      <c r="A4705" s="8" t="str">
        <f>IFERROR(__xludf.DUMMYFUNCTION("IF('(INGESTA)Datos_consumo_datadis'!A4705&lt;&gt;"""",SPLIT('(INGESTA)Datos_consumo_datadis'!A:A,"",""),"""")"),"ES0031408323131005HX0F")</f>
        <v>ES0031408323131005HX0F</v>
      </c>
      <c r="B4705" s="12">
        <f>IFERROR(__xludf.DUMMYFUNCTION("""COMPUTED_VALUE"""),45062.0)</f>
        <v>45062</v>
      </c>
      <c r="C4705" s="13">
        <f>IFERROR(__xludf.DUMMYFUNCTION("""COMPUTED_VALUE"""),0.041666666666666664)</f>
        <v>0.04166666667</v>
      </c>
      <c r="D4705" s="8">
        <f>IFERROR(__xludf.DUMMYFUNCTION("""COMPUTED_VALUE"""),0.245)</f>
        <v>0.245</v>
      </c>
      <c r="E4705" s="8" t="str">
        <f>IFERROR(__xludf.DUMMYFUNCTION("""COMPUTED_VALUE"""),"Estimada")</f>
        <v>Estimada</v>
      </c>
      <c r="G4705" s="8">
        <f t="shared" si="1"/>
        <v>5</v>
      </c>
      <c r="H4705" s="14">
        <f t="shared" si="2"/>
        <v>16</v>
      </c>
      <c r="I4705" s="15">
        <f t="shared" si="3"/>
        <v>1</v>
      </c>
    </row>
    <row r="4706">
      <c r="A4706" s="8" t="str">
        <f>IFERROR(__xludf.DUMMYFUNCTION("IF('(INGESTA)Datos_consumo_datadis'!A4706&lt;&gt;"""",SPLIT('(INGESTA)Datos_consumo_datadis'!A:A,"",""),"""")"),"ES0031408323131005HX0F")</f>
        <v>ES0031408323131005HX0F</v>
      </c>
      <c r="B4706" s="12">
        <f>IFERROR(__xludf.DUMMYFUNCTION("""COMPUTED_VALUE"""),45062.0)</f>
        <v>45062</v>
      </c>
      <c r="C4706" s="13">
        <f>IFERROR(__xludf.DUMMYFUNCTION("""COMPUTED_VALUE"""),0.08333333333333333)</f>
        <v>0.08333333333</v>
      </c>
      <c r="D4706" s="8">
        <f>IFERROR(__xludf.DUMMYFUNCTION("""COMPUTED_VALUE"""),0.204)</f>
        <v>0.204</v>
      </c>
      <c r="E4706" s="8" t="str">
        <f>IFERROR(__xludf.DUMMYFUNCTION("""COMPUTED_VALUE"""),"Estimada")</f>
        <v>Estimada</v>
      </c>
      <c r="G4706" s="8">
        <f t="shared" si="1"/>
        <v>5</v>
      </c>
      <c r="H4706" s="14">
        <f t="shared" si="2"/>
        <v>16</v>
      </c>
      <c r="I4706" s="15">
        <f t="shared" si="3"/>
        <v>2</v>
      </c>
    </row>
    <row r="4707">
      <c r="A4707" s="8" t="str">
        <f>IFERROR(__xludf.DUMMYFUNCTION("IF('(INGESTA)Datos_consumo_datadis'!A4707&lt;&gt;"""",SPLIT('(INGESTA)Datos_consumo_datadis'!A:A,"",""),"""")"),"ES0031408323131005HX0F")</f>
        <v>ES0031408323131005HX0F</v>
      </c>
      <c r="B4707" s="12">
        <f>IFERROR(__xludf.DUMMYFUNCTION("""COMPUTED_VALUE"""),45062.0)</f>
        <v>45062</v>
      </c>
      <c r="C4707" s="13">
        <f>IFERROR(__xludf.DUMMYFUNCTION("""COMPUTED_VALUE"""),0.125)</f>
        <v>0.125</v>
      </c>
      <c r="D4707" s="8">
        <f>IFERROR(__xludf.DUMMYFUNCTION("""COMPUTED_VALUE"""),0.182)</f>
        <v>0.182</v>
      </c>
      <c r="E4707" s="8" t="str">
        <f>IFERROR(__xludf.DUMMYFUNCTION("""COMPUTED_VALUE"""),"Estimada")</f>
        <v>Estimada</v>
      </c>
      <c r="G4707" s="8">
        <f t="shared" si="1"/>
        <v>5</v>
      </c>
      <c r="H4707" s="14">
        <f t="shared" si="2"/>
        <v>16</v>
      </c>
      <c r="I4707" s="15">
        <f t="shared" si="3"/>
        <v>3</v>
      </c>
    </row>
    <row r="4708">
      <c r="A4708" s="8" t="str">
        <f>IFERROR(__xludf.DUMMYFUNCTION("IF('(INGESTA)Datos_consumo_datadis'!A4708&lt;&gt;"""",SPLIT('(INGESTA)Datos_consumo_datadis'!A:A,"",""),"""")"),"ES0031408323131005HX0F")</f>
        <v>ES0031408323131005HX0F</v>
      </c>
      <c r="B4708" s="12">
        <f>IFERROR(__xludf.DUMMYFUNCTION("""COMPUTED_VALUE"""),45062.0)</f>
        <v>45062</v>
      </c>
      <c r="C4708" s="13">
        <f>IFERROR(__xludf.DUMMYFUNCTION("""COMPUTED_VALUE"""),0.16666666666666666)</f>
        <v>0.1666666667</v>
      </c>
      <c r="D4708" s="8">
        <f>IFERROR(__xludf.DUMMYFUNCTION("""COMPUTED_VALUE"""),0.172)</f>
        <v>0.172</v>
      </c>
      <c r="E4708" s="8" t="str">
        <f>IFERROR(__xludf.DUMMYFUNCTION("""COMPUTED_VALUE"""),"Estimada")</f>
        <v>Estimada</v>
      </c>
      <c r="G4708" s="8">
        <f t="shared" si="1"/>
        <v>5</v>
      </c>
      <c r="H4708" s="14">
        <f t="shared" si="2"/>
        <v>16</v>
      </c>
      <c r="I4708" s="15">
        <f t="shared" si="3"/>
        <v>4</v>
      </c>
    </row>
    <row r="4709">
      <c r="A4709" s="8" t="str">
        <f>IFERROR(__xludf.DUMMYFUNCTION("IF('(INGESTA)Datos_consumo_datadis'!A4709&lt;&gt;"""",SPLIT('(INGESTA)Datos_consumo_datadis'!A:A,"",""),"""")"),"ES0031408323131005HX0F")</f>
        <v>ES0031408323131005HX0F</v>
      </c>
      <c r="B4709" s="12">
        <f>IFERROR(__xludf.DUMMYFUNCTION("""COMPUTED_VALUE"""),45062.0)</f>
        <v>45062</v>
      </c>
      <c r="C4709" s="13">
        <f>IFERROR(__xludf.DUMMYFUNCTION("""COMPUTED_VALUE"""),0.20833333333333334)</f>
        <v>0.2083333333</v>
      </c>
      <c r="D4709" s="8">
        <f>IFERROR(__xludf.DUMMYFUNCTION("""COMPUTED_VALUE"""),0.169)</f>
        <v>0.169</v>
      </c>
      <c r="E4709" s="8" t="str">
        <f>IFERROR(__xludf.DUMMYFUNCTION("""COMPUTED_VALUE"""),"Estimada")</f>
        <v>Estimada</v>
      </c>
      <c r="G4709" s="8">
        <f t="shared" si="1"/>
        <v>5</v>
      </c>
      <c r="H4709" s="14">
        <f t="shared" si="2"/>
        <v>16</v>
      </c>
      <c r="I4709" s="15">
        <f t="shared" si="3"/>
        <v>5</v>
      </c>
    </row>
    <row r="4710">
      <c r="A4710" s="8" t="str">
        <f>IFERROR(__xludf.DUMMYFUNCTION("IF('(INGESTA)Datos_consumo_datadis'!A4710&lt;&gt;"""",SPLIT('(INGESTA)Datos_consumo_datadis'!A:A,"",""),"""")"),"ES0031408323131005HX0F")</f>
        <v>ES0031408323131005HX0F</v>
      </c>
      <c r="B4710" s="12">
        <f>IFERROR(__xludf.DUMMYFUNCTION("""COMPUTED_VALUE"""),45062.0)</f>
        <v>45062</v>
      </c>
      <c r="C4710" s="13">
        <f>IFERROR(__xludf.DUMMYFUNCTION("""COMPUTED_VALUE"""),0.25)</f>
        <v>0.25</v>
      </c>
      <c r="D4710" s="8">
        <f>IFERROR(__xludf.DUMMYFUNCTION("""COMPUTED_VALUE"""),0.173)</f>
        <v>0.173</v>
      </c>
      <c r="E4710" s="8" t="str">
        <f>IFERROR(__xludf.DUMMYFUNCTION("""COMPUTED_VALUE"""),"Estimada")</f>
        <v>Estimada</v>
      </c>
      <c r="G4710" s="8">
        <f t="shared" si="1"/>
        <v>5</v>
      </c>
      <c r="H4710" s="14">
        <f t="shared" si="2"/>
        <v>16</v>
      </c>
      <c r="I4710" s="15">
        <f t="shared" si="3"/>
        <v>6</v>
      </c>
    </row>
    <row r="4711">
      <c r="A4711" s="8" t="str">
        <f>IFERROR(__xludf.DUMMYFUNCTION("IF('(INGESTA)Datos_consumo_datadis'!A4711&lt;&gt;"""",SPLIT('(INGESTA)Datos_consumo_datadis'!A:A,"",""),"""")"),"ES0031408323131005HX0F")</f>
        <v>ES0031408323131005HX0F</v>
      </c>
      <c r="B4711" s="12">
        <f>IFERROR(__xludf.DUMMYFUNCTION("""COMPUTED_VALUE"""),45062.0)</f>
        <v>45062</v>
      </c>
      <c r="C4711" s="13">
        <f>IFERROR(__xludf.DUMMYFUNCTION("""COMPUTED_VALUE"""),0.2916666666666667)</f>
        <v>0.2916666667</v>
      </c>
      <c r="D4711" s="8">
        <f>IFERROR(__xludf.DUMMYFUNCTION("""COMPUTED_VALUE"""),0.19)</f>
        <v>0.19</v>
      </c>
      <c r="E4711" s="8" t="str">
        <f>IFERROR(__xludf.DUMMYFUNCTION("""COMPUTED_VALUE"""),"Estimada")</f>
        <v>Estimada</v>
      </c>
      <c r="G4711" s="8">
        <f t="shared" si="1"/>
        <v>5</v>
      </c>
      <c r="H4711" s="14">
        <f t="shared" si="2"/>
        <v>16</v>
      </c>
      <c r="I4711" s="15">
        <f t="shared" si="3"/>
        <v>7</v>
      </c>
    </row>
    <row r="4712">
      <c r="A4712" s="8" t="str">
        <f>IFERROR(__xludf.DUMMYFUNCTION("IF('(INGESTA)Datos_consumo_datadis'!A4712&lt;&gt;"""",SPLIT('(INGESTA)Datos_consumo_datadis'!A:A,"",""),"""")"),"ES0031408323131005HX0F")</f>
        <v>ES0031408323131005HX0F</v>
      </c>
      <c r="B4712" s="12">
        <f>IFERROR(__xludf.DUMMYFUNCTION("""COMPUTED_VALUE"""),45062.0)</f>
        <v>45062</v>
      </c>
      <c r="C4712" s="13">
        <f>IFERROR(__xludf.DUMMYFUNCTION("""COMPUTED_VALUE"""),0.3333333333333333)</f>
        <v>0.3333333333</v>
      </c>
      <c r="D4712" s="8">
        <f>IFERROR(__xludf.DUMMYFUNCTION("""COMPUTED_VALUE"""),0.227)</f>
        <v>0.227</v>
      </c>
      <c r="E4712" s="8" t="str">
        <f>IFERROR(__xludf.DUMMYFUNCTION("""COMPUTED_VALUE"""),"Estimada")</f>
        <v>Estimada</v>
      </c>
      <c r="G4712" s="8">
        <f t="shared" si="1"/>
        <v>5</v>
      </c>
      <c r="H4712" s="14">
        <f t="shared" si="2"/>
        <v>16</v>
      </c>
      <c r="I4712" s="15">
        <f t="shared" si="3"/>
        <v>8</v>
      </c>
    </row>
    <row r="4713">
      <c r="A4713" s="8" t="str">
        <f>IFERROR(__xludf.DUMMYFUNCTION("IF('(INGESTA)Datos_consumo_datadis'!A4713&lt;&gt;"""",SPLIT('(INGESTA)Datos_consumo_datadis'!A:A,"",""),"""")"),"ES0031408323131005HX0F")</f>
        <v>ES0031408323131005HX0F</v>
      </c>
      <c r="B4713" s="12">
        <f>IFERROR(__xludf.DUMMYFUNCTION("""COMPUTED_VALUE"""),45062.0)</f>
        <v>45062</v>
      </c>
      <c r="C4713" s="13">
        <f>IFERROR(__xludf.DUMMYFUNCTION("""COMPUTED_VALUE"""),0.375)</f>
        <v>0.375</v>
      </c>
      <c r="D4713" s="8">
        <f>IFERROR(__xludf.DUMMYFUNCTION("""COMPUTED_VALUE"""),0.251)</f>
        <v>0.251</v>
      </c>
      <c r="E4713" s="8" t="str">
        <f>IFERROR(__xludf.DUMMYFUNCTION("""COMPUTED_VALUE"""),"Estimada")</f>
        <v>Estimada</v>
      </c>
      <c r="G4713" s="8">
        <f t="shared" si="1"/>
        <v>5</v>
      </c>
      <c r="H4713" s="14">
        <f t="shared" si="2"/>
        <v>16</v>
      </c>
      <c r="I4713" s="15">
        <f t="shared" si="3"/>
        <v>9</v>
      </c>
    </row>
    <row r="4714">
      <c r="A4714" s="8" t="str">
        <f>IFERROR(__xludf.DUMMYFUNCTION("IF('(INGESTA)Datos_consumo_datadis'!A4714&lt;&gt;"""",SPLIT('(INGESTA)Datos_consumo_datadis'!A:A,"",""),"""")"),"ES0031408323131005HX0F")</f>
        <v>ES0031408323131005HX0F</v>
      </c>
      <c r="B4714" s="12">
        <f>IFERROR(__xludf.DUMMYFUNCTION("""COMPUTED_VALUE"""),45062.0)</f>
        <v>45062</v>
      </c>
      <c r="C4714" s="13">
        <f>IFERROR(__xludf.DUMMYFUNCTION("""COMPUTED_VALUE"""),0.4166666666666667)</f>
        <v>0.4166666667</v>
      </c>
      <c r="D4714" s="8">
        <f>IFERROR(__xludf.DUMMYFUNCTION("""COMPUTED_VALUE"""),0.266)</f>
        <v>0.266</v>
      </c>
      <c r="E4714" s="8" t="str">
        <f>IFERROR(__xludf.DUMMYFUNCTION("""COMPUTED_VALUE"""),"Estimada")</f>
        <v>Estimada</v>
      </c>
      <c r="G4714" s="8">
        <f t="shared" si="1"/>
        <v>5</v>
      </c>
      <c r="H4714" s="14">
        <f t="shared" si="2"/>
        <v>16</v>
      </c>
      <c r="I4714" s="15">
        <f t="shared" si="3"/>
        <v>10</v>
      </c>
    </row>
    <row r="4715">
      <c r="A4715" s="8" t="str">
        <f>IFERROR(__xludf.DUMMYFUNCTION("IF('(INGESTA)Datos_consumo_datadis'!A4715&lt;&gt;"""",SPLIT('(INGESTA)Datos_consumo_datadis'!A:A,"",""),"""")"),"ES0031408323131005HX0F")</f>
        <v>ES0031408323131005HX0F</v>
      </c>
      <c r="B4715" s="12">
        <f>IFERROR(__xludf.DUMMYFUNCTION("""COMPUTED_VALUE"""),45062.0)</f>
        <v>45062</v>
      </c>
      <c r="C4715" s="13">
        <f>IFERROR(__xludf.DUMMYFUNCTION("""COMPUTED_VALUE"""),0.4583333333333333)</f>
        <v>0.4583333333</v>
      </c>
      <c r="D4715" s="8">
        <f>IFERROR(__xludf.DUMMYFUNCTION("""COMPUTED_VALUE"""),0.293)</f>
        <v>0.293</v>
      </c>
      <c r="E4715" s="8" t="str">
        <f>IFERROR(__xludf.DUMMYFUNCTION("""COMPUTED_VALUE"""),"Estimada")</f>
        <v>Estimada</v>
      </c>
      <c r="G4715" s="8">
        <f t="shared" si="1"/>
        <v>5</v>
      </c>
      <c r="H4715" s="14">
        <f t="shared" si="2"/>
        <v>16</v>
      </c>
      <c r="I4715" s="15">
        <f t="shared" si="3"/>
        <v>11</v>
      </c>
    </row>
    <row r="4716">
      <c r="A4716" s="8" t="str">
        <f>IFERROR(__xludf.DUMMYFUNCTION("IF('(INGESTA)Datos_consumo_datadis'!A4716&lt;&gt;"""",SPLIT('(INGESTA)Datos_consumo_datadis'!A:A,"",""),"""")"),"ES0031408323131005HX0F")</f>
        <v>ES0031408323131005HX0F</v>
      </c>
      <c r="B4716" s="12">
        <f>IFERROR(__xludf.DUMMYFUNCTION("""COMPUTED_VALUE"""),45062.0)</f>
        <v>45062</v>
      </c>
      <c r="C4716" s="13">
        <f>IFERROR(__xludf.DUMMYFUNCTION("""COMPUTED_VALUE"""),0.5)</f>
        <v>0.5</v>
      </c>
      <c r="D4716" s="8">
        <f>IFERROR(__xludf.DUMMYFUNCTION("""COMPUTED_VALUE"""),0.298)</f>
        <v>0.298</v>
      </c>
      <c r="E4716" s="8" t="str">
        <f>IFERROR(__xludf.DUMMYFUNCTION("""COMPUTED_VALUE"""),"Estimada")</f>
        <v>Estimada</v>
      </c>
      <c r="G4716" s="8">
        <f t="shared" si="1"/>
        <v>5</v>
      </c>
      <c r="H4716" s="14">
        <f t="shared" si="2"/>
        <v>16</v>
      </c>
      <c r="I4716" s="15">
        <f t="shared" si="3"/>
        <v>12</v>
      </c>
    </row>
    <row r="4717">
      <c r="A4717" s="8" t="str">
        <f>IFERROR(__xludf.DUMMYFUNCTION("IF('(INGESTA)Datos_consumo_datadis'!A4717&lt;&gt;"""",SPLIT('(INGESTA)Datos_consumo_datadis'!A:A,"",""),"""")"),"ES0031408323131005HX0F")</f>
        <v>ES0031408323131005HX0F</v>
      </c>
      <c r="B4717" s="12">
        <f>IFERROR(__xludf.DUMMYFUNCTION("""COMPUTED_VALUE"""),45062.0)</f>
        <v>45062</v>
      </c>
      <c r="C4717" s="13">
        <f>IFERROR(__xludf.DUMMYFUNCTION("""COMPUTED_VALUE"""),0.5416666666666666)</f>
        <v>0.5416666667</v>
      </c>
      <c r="D4717" s="8">
        <f>IFERROR(__xludf.DUMMYFUNCTION("""COMPUTED_VALUE"""),0.309)</f>
        <v>0.309</v>
      </c>
      <c r="E4717" s="8" t="str">
        <f>IFERROR(__xludf.DUMMYFUNCTION("""COMPUTED_VALUE"""),"Estimada")</f>
        <v>Estimada</v>
      </c>
      <c r="G4717" s="8">
        <f t="shared" si="1"/>
        <v>5</v>
      </c>
      <c r="H4717" s="14">
        <f t="shared" si="2"/>
        <v>16</v>
      </c>
      <c r="I4717" s="15">
        <f t="shared" si="3"/>
        <v>13</v>
      </c>
    </row>
    <row r="4718">
      <c r="A4718" s="8" t="str">
        <f>IFERROR(__xludf.DUMMYFUNCTION("IF('(INGESTA)Datos_consumo_datadis'!A4718&lt;&gt;"""",SPLIT('(INGESTA)Datos_consumo_datadis'!A:A,"",""),"""")"),"ES0031408323131005HX0F")</f>
        <v>ES0031408323131005HX0F</v>
      </c>
      <c r="B4718" s="12">
        <f>IFERROR(__xludf.DUMMYFUNCTION("""COMPUTED_VALUE"""),45062.0)</f>
        <v>45062</v>
      </c>
      <c r="C4718" s="13">
        <f>IFERROR(__xludf.DUMMYFUNCTION("""COMPUTED_VALUE"""),0.5833333333333334)</f>
        <v>0.5833333333</v>
      </c>
      <c r="D4718" s="8">
        <f>IFERROR(__xludf.DUMMYFUNCTION("""COMPUTED_VALUE"""),0.328)</f>
        <v>0.328</v>
      </c>
      <c r="E4718" s="8" t="str">
        <f>IFERROR(__xludf.DUMMYFUNCTION("""COMPUTED_VALUE"""),"Estimada")</f>
        <v>Estimada</v>
      </c>
      <c r="G4718" s="8">
        <f t="shared" si="1"/>
        <v>5</v>
      </c>
      <c r="H4718" s="14">
        <f t="shared" si="2"/>
        <v>16</v>
      </c>
      <c r="I4718" s="15">
        <f t="shared" si="3"/>
        <v>14</v>
      </c>
    </row>
    <row r="4719">
      <c r="A4719" s="8" t="str">
        <f>IFERROR(__xludf.DUMMYFUNCTION("IF('(INGESTA)Datos_consumo_datadis'!A4719&lt;&gt;"""",SPLIT('(INGESTA)Datos_consumo_datadis'!A:A,"",""),"""")"),"ES0031408323131005HX0F")</f>
        <v>ES0031408323131005HX0F</v>
      </c>
      <c r="B4719" s="12">
        <f>IFERROR(__xludf.DUMMYFUNCTION("""COMPUTED_VALUE"""),45062.0)</f>
        <v>45062</v>
      </c>
      <c r="C4719" s="13">
        <f>IFERROR(__xludf.DUMMYFUNCTION("""COMPUTED_VALUE"""),0.625)</f>
        <v>0.625</v>
      </c>
      <c r="D4719" s="8">
        <f>IFERROR(__xludf.DUMMYFUNCTION("""COMPUTED_VALUE"""),0.308)</f>
        <v>0.308</v>
      </c>
      <c r="E4719" s="8" t="str">
        <f>IFERROR(__xludf.DUMMYFUNCTION("""COMPUTED_VALUE"""),"Estimada")</f>
        <v>Estimada</v>
      </c>
      <c r="G4719" s="8">
        <f t="shared" si="1"/>
        <v>5</v>
      </c>
      <c r="H4719" s="14">
        <f t="shared" si="2"/>
        <v>16</v>
      </c>
      <c r="I4719" s="15">
        <f t="shared" si="3"/>
        <v>15</v>
      </c>
    </row>
    <row r="4720">
      <c r="A4720" s="8" t="str">
        <f>IFERROR(__xludf.DUMMYFUNCTION("IF('(INGESTA)Datos_consumo_datadis'!A4720&lt;&gt;"""",SPLIT('(INGESTA)Datos_consumo_datadis'!A:A,"",""),"""")"),"ES0031408323131005HX0F")</f>
        <v>ES0031408323131005HX0F</v>
      </c>
      <c r="B4720" s="12">
        <f>IFERROR(__xludf.DUMMYFUNCTION("""COMPUTED_VALUE"""),45062.0)</f>
        <v>45062</v>
      </c>
      <c r="C4720" s="13">
        <f>IFERROR(__xludf.DUMMYFUNCTION("""COMPUTED_VALUE"""),0.6666666666666666)</f>
        <v>0.6666666667</v>
      </c>
      <c r="D4720" s="8">
        <f>IFERROR(__xludf.DUMMYFUNCTION("""COMPUTED_VALUE"""),0.282)</f>
        <v>0.282</v>
      </c>
      <c r="E4720" s="8" t="str">
        <f>IFERROR(__xludf.DUMMYFUNCTION("""COMPUTED_VALUE"""),"Estimada")</f>
        <v>Estimada</v>
      </c>
      <c r="G4720" s="8">
        <f t="shared" si="1"/>
        <v>5</v>
      </c>
      <c r="H4720" s="14">
        <f t="shared" si="2"/>
        <v>16</v>
      </c>
      <c r="I4720" s="15">
        <f t="shared" si="3"/>
        <v>16</v>
      </c>
    </row>
    <row r="4721">
      <c r="A4721" s="8" t="str">
        <f>IFERROR(__xludf.DUMMYFUNCTION("IF('(INGESTA)Datos_consumo_datadis'!A4721&lt;&gt;"""",SPLIT('(INGESTA)Datos_consumo_datadis'!A:A,"",""),"""")"),"ES0031408323131005HX0F")</f>
        <v>ES0031408323131005HX0F</v>
      </c>
      <c r="B4721" s="12">
        <f>IFERROR(__xludf.DUMMYFUNCTION("""COMPUTED_VALUE"""),45062.0)</f>
        <v>45062</v>
      </c>
      <c r="C4721" s="13">
        <f>IFERROR(__xludf.DUMMYFUNCTION("""COMPUTED_VALUE"""),0.7083333333333334)</f>
        <v>0.7083333333</v>
      </c>
      <c r="D4721" s="8">
        <f>IFERROR(__xludf.DUMMYFUNCTION("""COMPUTED_VALUE"""),0.266)</f>
        <v>0.266</v>
      </c>
      <c r="E4721" s="8" t="str">
        <f>IFERROR(__xludf.DUMMYFUNCTION("""COMPUTED_VALUE"""),"Estimada")</f>
        <v>Estimada</v>
      </c>
      <c r="G4721" s="8">
        <f t="shared" si="1"/>
        <v>5</v>
      </c>
      <c r="H4721" s="14">
        <f t="shared" si="2"/>
        <v>16</v>
      </c>
      <c r="I4721" s="15">
        <f t="shared" si="3"/>
        <v>17</v>
      </c>
    </row>
    <row r="4722">
      <c r="A4722" s="8" t="str">
        <f>IFERROR(__xludf.DUMMYFUNCTION("IF('(INGESTA)Datos_consumo_datadis'!A4722&lt;&gt;"""",SPLIT('(INGESTA)Datos_consumo_datadis'!A:A,"",""),"""")"),"ES0031408323131005HX0F")</f>
        <v>ES0031408323131005HX0F</v>
      </c>
      <c r="B4722" s="12">
        <f>IFERROR(__xludf.DUMMYFUNCTION("""COMPUTED_VALUE"""),45062.0)</f>
        <v>45062</v>
      </c>
      <c r="C4722" s="13">
        <f>IFERROR(__xludf.DUMMYFUNCTION("""COMPUTED_VALUE"""),0.75)</f>
        <v>0.75</v>
      </c>
      <c r="D4722" s="8">
        <f>IFERROR(__xludf.DUMMYFUNCTION("""COMPUTED_VALUE"""),0.267)</f>
        <v>0.267</v>
      </c>
      <c r="E4722" s="8" t="str">
        <f>IFERROR(__xludf.DUMMYFUNCTION("""COMPUTED_VALUE"""),"Estimada")</f>
        <v>Estimada</v>
      </c>
      <c r="G4722" s="8">
        <f t="shared" si="1"/>
        <v>5</v>
      </c>
      <c r="H4722" s="14">
        <f t="shared" si="2"/>
        <v>16</v>
      </c>
      <c r="I4722" s="15">
        <f t="shared" si="3"/>
        <v>18</v>
      </c>
    </row>
    <row r="4723">
      <c r="A4723" s="8" t="str">
        <f>IFERROR(__xludf.DUMMYFUNCTION("IF('(INGESTA)Datos_consumo_datadis'!A4723&lt;&gt;"""",SPLIT('(INGESTA)Datos_consumo_datadis'!A:A,"",""),"""")"),"ES0031408323131005HX0F")</f>
        <v>ES0031408323131005HX0F</v>
      </c>
      <c r="B4723" s="12">
        <f>IFERROR(__xludf.DUMMYFUNCTION("""COMPUTED_VALUE"""),45062.0)</f>
        <v>45062</v>
      </c>
      <c r="C4723" s="13">
        <f>IFERROR(__xludf.DUMMYFUNCTION("""COMPUTED_VALUE"""),0.7916666666666666)</f>
        <v>0.7916666667</v>
      </c>
      <c r="D4723" s="8">
        <f>IFERROR(__xludf.DUMMYFUNCTION("""COMPUTED_VALUE"""),0.286)</f>
        <v>0.286</v>
      </c>
      <c r="E4723" s="8" t="str">
        <f>IFERROR(__xludf.DUMMYFUNCTION("""COMPUTED_VALUE"""),"Estimada")</f>
        <v>Estimada</v>
      </c>
      <c r="G4723" s="8">
        <f t="shared" si="1"/>
        <v>5</v>
      </c>
      <c r="H4723" s="14">
        <f t="shared" si="2"/>
        <v>16</v>
      </c>
      <c r="I4723" s="15">
        <f t="shared" si="3"/>
        <v>19</v>
      </c>
    </row>
    <row r="4724">
      <c r="A4724" s="8" t="str">
        <f>IFERROR(__xludf.DUMMYFUNCTION("IF('(INGESTA)Datos_consumo_datadis'!A4724&lt;&gt;"""",SPLIT('(INGESTA)Datos_consumo_datadis'!A:A,"",""),"""")"),"ES0031408323131005HX0F")</f>
        <v>ES0031408323131005HX0F</v>
      </c>
      <c r="B4724" s="12">
        <f>IFERROR(__xludf.DUMMYFUNCTION("""COMPUTED_VALUE"""),45062.0)</f>
        <v>45062</v>
      </c>
      <c r="C4724" s="13">
        <f>IFERROR(__xludf.DUMMYFUNCTION("""COMPUTED_VALUE"""),0.8333333333333334)</f>
        <v>0.8333333333</v>
      </c>
      <c r="D4724" s="8">
        <f>IFERROR(__xludf.DUMMYFUNCTION("""COMPUTED_VALUE"""),0.3)</f>
        <v>0.3</v>
      </c>
      <c r="E4724" s="8" t="str">
        <f>IFERROR(__xludf.DUMMYFUNCTION("""COMPUTED_VALUE"""),"Estimada")</f>
        <v>Estimada</v>
      </c>
      <c r="G4724" s="8">
        <f t="shared" si="1"/>
        <v>5</v>
      </c>
      <c r="H4724" s="14">
        <f t="shared" si="2"/>
        <v>16</v>
      </c>
      <c r="I4724" s="15">
        <f t="shared" si="3"/>
        <v>20</v>
      </c>
    </row>
    <row r="4725">
      <c r="A4725" s="8" t="str">
        <f>IFERROR(__xludf.DUMMYFUNCTION("IF('(INGESTA)Datos_consumo_datadis'!A4725&lt;&gt;"""",SPLIT('(INGESTA)Datos_consumo_datadis'!A:A,"",""),"""")"),"ES0031408323131005HX0F")</f>
        <v>ES0031408323131005HX0F</v>
      </c>
      <c r="B4725" s="12">
        <f>IFERROR(__xludf.DUMMYFUNCTION("""COMPUTED_VALUE"""),45062.0)</f>
        <v>45062</v>
      </c>
      <c r="C4725" s="13">
        <f>IFERROR(__xludf.DUMMYFUNCTION("""COMPUTED_VALUE"""),0.875)</f>
        <v>0.875</v>
      </c>
      <c r="D4725" s="8">
        <f>IFERROR(__xludf.DUMMYFUNCTION("""COMPUTED_VALUE"""),0.334)</f>
        <v>0.334</v>
      </c>
      <c r="E4725" s="8" t="str">
        <f>IFERROR(__xludf.DUMMYFUNCTION("""COMPUTED_VALUE"""),"Estimada")</f>
        <v>Estimada</v>
      </c>
      <c r="G4725" s="8">
        <f t="shared" si="1"/>
        <v>5</v>
      </c>
      <c r="H4725" s="14">
        <f t="shared" si="2"/>
        <v>16</v>
      </c>
      <c r="I4725" s="15">
        <f t="shared" si="3"/>
        <v>21</v>
      </c>
    </row>
    <row r="4726">
      <c r="A4726" s="8" t="str">
        <f>IFERROR(__xludf.DUMMYFUNCTION("IF('(INGESTA)Datos_consumo_datadis'!A4726&lt;&gt;"""",SPLIT('(INGESTA)Datos_consumo_datadis'!A:A,"",""),"""")"),"ES0031408323131005HX0F")</f>
        <v>ES0031408323131005HX0F</v>
      </c>
      <c r="B4726" s="12">
        <f>IFERROR(__xludf.DUMMYFUNCTION("""COMPUTED_VALUE"""),45062.0)</f>
        <v>45062</v>
      </c>
      <c r="C4726" s="13">
        <f>IFERROR(__xludf.DUMMYFUNCTION("""COMPUTED_VALUE"""),0.9166666666666666)</f>
        <v>0.9166666667</v>
      </c>
      <c r="D4726" s="8">
        <f>IFERROR(__xludf.DUMMYFUNCTION("""COMPUTED_VALUE"""),0.385)</f>
        <v>0.385</v>
      </c>
      <c r="E4726" s="8" t="str">
        <f>IFERROR(__xludf.DUMMYFUNCTION("""COMPUTED_VALUE"""),"Estimada")</f>
        <v>Estimada</v>
      </c>
      <c r="G4726" s="8">
        <f t="shared" si="1"/>
        <v>5</v>
      </c>
      <c r="H4726" s="14">
        <f t="shared" si="2"/>
        <v>16</v>
      </c>
      <c r="I4726" s="15">
        <f t="shared" si="3"/>
        <v>22</v>
      </c>
    </row>
    <row r="4727">
      <c r="A4727" s="8" t="str">
        <f>IFERROR(__xludf.DUMMYFUNCTION("IF('(INGESTA)Datos_consumo_datadis'!A4727&lt;&gt;"""",SPLIT('(INGESTA)Datos_consumo_datadis'!A:A,"",""),"""")"),"ES0031408323131005HX0F")</f>
        <v>ES0031408323131005HX0F</v>
      </c>
      <c r="B4727" s="12">
        <f>IFERROR(__xludf.DUMMYFUNCTION("""COMPUTED_VALUE"""),45062.0)</f>
        <v>45062</v>
      </c>
      <c r="C4727" s="13">
        <f>IFERROR(__xludf.DUMMYFUNCTION("""COMPUTED_VALUE"""),0.9583333333333334)</f>
        <v>0.9583333333</v>
      </c>
      <c r="D4727" s="8">
        <f>IFERROR(__xludf.DUMMYFUNCTION("""COMPUTED_VALUE"""),0.353)</f>
        <v>0.353</v>
      </c>
      <c r="E4727" s="8" t="str">
        <f>IFERROR(__xludf.DUMMYFUNCTION("""COMPUTED_VALUE"""),"Estimada")</f>
        <v>Estimada</v>
      </c>
      <c r="G4727" s="8">
        <f t="shared" si="1"/>
        <v>5</v>
      </c>
      <c r="H4727" s="14">
        <f t="shared" si="2"/>
        <v>16</v>
      </c>
      <c r="I4727" s="15">
        <f t="shared" si="3"/>
        <v>23</v>
      </c>
    </row>
    <row r="4728">
      <c r="A4728" s="8" t="str">
        <f>IFERROR(__xludf.DUMMYFUNCTION("IF('(INGESTA)Datos_consumo_datadis'!A4728&lt;&gt;"""",SPLIT('(INGESTA)Datos_consumo_datadis'!A:A,"",""),"""")"),"ES0031408323131005HX0F")</f>
        <v>ES0031408323131005HX0F</v>
      </c>
      <c r="B4728" s="12">
        <f>IFERROR(__xludf.DUMMYFUNCTION("""COMPUTED_VALUE"""),45062.0)</f>
        <v>45062</v>
      </c>
      <c r="C4728" s="16">
        <f>IFERROR(__xludf.DUMMYFUNCTION("""COMPUTED_VALUE"""),1.0)</f>
        <v>1</v>
      </c>
      <c r="D4728" s="8">
        <f>IFERROR(__xludf.DUMMYFUNCTION("""COMPUTED_VALUE"""),0.292)</f>
        <v>0.292</v>
      </c>
      <c r="E4728" s="8" t="str">
        <f>IFERROR(__xludf.DUMMYFUNCTION("""COMPUTED_VALUE"""),"Estimada")</f>
        <v>Estimada</v>
      </c>
      <c r="G4728" s="8">
        <f t="shared" si="1"/>
        <v>5</v>
      </c>
      <c r="H4728" s="14">
        <f t="shared" si="2"/>
        <v>16</v>
      </c>
      <c r="I4728" s="15">
        <f t="shared" si="3"/>
        <v>0</v>
      </c>
    </row>
    <row r="4729">
      <c r="A4729" s="8" t="str">
        <f>IFERROR(__xludf.DUMMYFUNCTION("IF('(INGESTA)Datos_consumo_datadis'!A4729&lt;&gt;"""",SPLIT('(INGESTA)Datos_consumo_datadis'!A:A,"",""),"""")"),"ES0031408323131005HX0F")</f>
        <v>ES0031408323131005HX0F</v>
      </c>
      <c r="B4729" s="12">
        <f>IFERROR(__xludf.DUMMYFUNCTION("""COMPUTED_VALUE"""),45063.0)</f>
        <v>45063</v>
      </c>
      <c r="C4729" s="13">
        <f>IFERROR(__xludf.DUMMYFUNCTION("""COMPUTED_VALUE"""),0.041666666666666664)</f>
        <v>0.04166666667</v>
      </c>
      <c r="D4729" s="8">
        <f>IFERROR(__xludf.DUMMYFUNCTION("""COMPUTED_VALUE"""),0.248)</f>
        <v>0.248</v>
      </c>
      <c r="E4729" s="8" t="str">
        <f>IFERROR(__xludf.DUMMYFUNCTION("""COMPUTED_VALUE"""),"Estimada")</f>
        <v>Estimada</v>
      </c>
      <c r="G4729" s="8">
        <f t="shared" si="1"/>
        <v>5</v>
      </c>
      <c r="H4729" s="14">
        <f t="shared" si="2"/>
        <v>17</v>
      </c>
      <c r="I4729" s="15">
        <f t="shared" si="3"/>
        <v>1</v>
      </c>
    </row>
    <row r="4730">
      <c r="A4730" s="8" t="str">
        <f>IFERROR(__xludf.DUMMYFUNCTION("IF('(INGESTA)Datos_consumo_datadis'!A4730&lt;&gt;"""",SPLIT('(INGESTA)Datos_consumo_datadis'!A:A,"",""),"""")"),"ES0031408323131005HX0F")</f>
        <v>ES0031408323131005HX0F</v>
      </c>
      <c r="B4730" s="12">
        <f>IFERROR(__xludf.DUMMYFUNCTION("""COMPUTED_VALUE"""),45063.0)</f>
        <v>45063</v>
      </c>
      <c r="C4730" s="13">
        <f>IFERROR(__xludf.DUMMYFUNCTION("""COMPUTED_VALUE"""),0.08333333333333333)</f>
        <v>0.08333333333</v>
      </c>
      <c r="D4730" s="8">
        <f>IFERROR(__xludf.DUMMYFUNCTION("""COMPUTED_VALUE"""),0.206)</f>
        <v>0.206</v>
      </c>
      <c r="E4730" s="8" t="str">
        <f>IFERROR(__xludf.DUMMYFUNCTION("""COMPUTED_VALUE"""),"Estimada")</f>
        <v>Estimada</v>
      </c>
      <c r="G4730" s="8">
        <f t="shared" si="1"/>
        <v>5</v>
      </c>
      <c r="H4730" s="14">
        <f t="shared" si="2"/>
        <v>17</v>
      </c>
      <c r="I4730" s="15">
        <f t="shared" si="3"/>
        <v>2</v>
      </c>
    </row>
    <row r="4731">
      <c r="A4731" s="8" t="str">
        <f>IFERROR(__xludf.DUMMYFUNCTION("IF('(INGESTA)Datos_consumo_datadis'!A4731&lt;&gt;"""",SPLIT('(INGESTA)Datos_consumo_datadis'!A:A,"",""),"""")"),"ES0031408323131005HX0F")</f>
        <v>ES0031408323131005HX0F</v>
      </c>
      <c r="B4731" s="12">
        <f>IFERROR(__xludf.DUMMYFUNCTION("""COMPUTED_VALUE"""),45063.0)</f>
        <v>45063</v>
      </c>
      <c r="C4731" s="13">
        <f>IFERROR(__xludf.DUMMYFUNCTION("""COMPUTED_VALUE"""),0.125)</f>
        <v>0.125</v>
      </c>
      <c r="D4731" s="8">
        <f>IFERROR(__xludf.DUMMYFUNCTION("""COMPUTED_VALUE"""),0.184)</f>
        <v>0.184</v>
      </c>
      <c r="E4731" s="8" t="str">
        <f>IFERROR(__xludf.DUMMYFUNCTION("""COMPUTED_VALUE"""),"Estimada")</f>
        <v>Estimada</v>
      </c>
      <c r="G4731" s="8">
        <f t="shared" si="1"/>
        <v>5</v>
      </c>
      <c r="H4731" s="14">
        <f t="shared" si="2"/>
        <v>17</v>
      </c>
      <c r="I4731" s="15">
        <f t="shared" si="3"/>
        <v>3</v>
      </c>
    </row>
    <row r="4732">
      <c r="A4732" s="8" t="str">
        <f>IFERROR(__xludf.DUMMYFUNCTION("IF('(INGESTA)Datos_consumo_datadis'!A4732&lt;&gt;"""",SPLIT('(INGESTA)Datos_consumo_datadis'!A:A,"",""),"""")"),"ES0031408323131005HX0F")</f>
        <v>ES0031408323131005HX0F</v>
      </c>
      <c r="B4732" s="12">
        <f>IFERROR(__xludf.DUMMYFUNCTION("""COMPUTED_VALUE"""),45063.0)</f>
        <v>45063</v>
      </c>
      <c r="C4732" s="13">
        <f>IFERROR(__xludf.DUMMYFUNCTION("""COMPUTED_VALUE"""),0.16666666666666666)</f>
        <v>0.1666666667</v>
      </c>
      <c r="D4732" s="8">
        <f>IFERROR(__xludf.DUMMYFUNCTION("""COMPUTED_VALUE"""),0.174)</f>
        <v>0.174</v>
      </c>
      <c r="E4732" s="8" t="str">
        <f>IFERROR(__xludf.DUMMYFUNCTION("""COMPUTED_VALUE"""),"Estimada")</f>
        <v>Estimada</v>
      </c>
      <c r="G4732" s="8">
        <f t="shared" si="1"/>
        <v>5</v>
      </c>
      <c r="H4732" s="14">
        <f t="shared" si="2"/>
        <v>17</v>
      </c>
      <c r="I4732" s="15">
        <f t="shared" si="3"/>
        <v>4</v>
      </c>
    </row>
    <row r="4733">
      <c r="A4733" s="8" t="str">
        <f>IFERROR(__xludf.DUMMYFUNCTION("IF('(INGESTA)Datos_consumo_datadis'!A4733&lt;&gt;"""",SPLIT('(INGESTA)Datos_consumo_datadis'!A:A,"",""),"""")"),"ES0031408323131005HX0F")</f>
        <v>ES0031408323131005HX0F</v>
      </c>
      <c r="B4733" s="12">
        <f>IFERROR(__xludf.DUMMYFUNCTION("""COMPUTED_VALUE"""),45063.0)</f>
        <v>45063</v>
      </c>
      <c r="C4733" s="13">
        <f>IFERROR(__xludf.DUMMYFUNCTION("""COMPUTED_VALUE"""),0.20833333333333334)</f>
        <v>0.2083333333</v>
      </c>
      <c r="D4733" s="8">
        <f>IFERROR(__xludf.DUMMYFUNCTION("""COMPUTED_VALUE"""),0.171)</f>
        <v>0.171</v>
      </c>
      <c r="E4733" s="8" t="str">
        <f>IFERROR(__xludf.DUMMYFUNCTION("""COMPUTED_VALUE"""),"Estimada")</f>
        <v>Estimada</v>
      </c>
      <c r="G4733" s="8">
        <f t="shared" si="1"/>
        <v>5</v>
      </c>
      <c r="H4733" s="14">
        <f t="shared" si="2"/>
        <v>17</v>
      </c>
      <c r="I4733" s="15">
        <f t="shared" si="3"/>
        <v>5</v>
      </c>
    </row>
    <row r="4734">
      <c r="A4734" s="8" t="str">
        <f>IFERROR(__xludf.DUMMYFUNCTION("IF('(INGESTA)Datos_consumo_datadis'!A4734&lt;&gt;"""",SPLIT('(INGESTA)Datos_consumo_datadis'!A:A,"",""),"""")"),"ES0031408323131005HX0F")</f>
        <v>ES0031408323131005HX0F</v>
      </c>
      <c r="B4734" s="12">
        <f>IFERROR(__xludf.DUMMYFUNCTION("""COMPUTED_VALUE"""),45063.0)</f>
        <v>45063</v>
      </c>
      <c r="C4734" s="13">
        <f>IFERROR(__xludf.DUMMYFUNCTION("""COMPUTED_VALUE"""),0.25)</f>
        <v>0.25</v>
      </c>
      <c r="D4734" s="8">
        <f>IFERROR(__xludf.DUMMYFUNCTION("""COMPUTED_VALUE"""),0.175)</f>
        <v>0.175</v>
      </c>
      <c r="E4734" s="8" t="str">
        <f>IFERROR(__xludf.DUMMYFUNCTION("""COMPUTED_VALUE"""),"Estimada")</f>
        <v>Estimada</v>
      </c>
      <c r="G4734" s="8">
        <f t="shared" si="1"/>
        <v>5</v>
      </c>
      <c r="H4734" s="14">
        <f t="shared" si="2"/>
        <v>17</v>
      </c>
      <c r="I4734" s="15">
        <f t="shared" si="3"/>
        <v>6</v>
      </c>
    </row>
    <row r="4735">
      <c r="A4735" s="8" t="str">
        <f>IFERROR(__xludf.DUMMYFUNCTION("IF('(INGESTA)Datos_consumo_datadis'!A4735&lt;&gt;"""",SPLIT('(INGESTA)Datos_consumo_datadis'!A:A,"",""),"""")"),"ES0031408323131005HX0F")</f>
        <v>ES0031408323131005HX0F</v>
      </c>
      <c r="B4735" s="12">
        <f>IFERROR(__xludf.DUMMYFUNCTION("""COMPUTED_VALUE"""),45063.0)</f>
        <v>45063</v>
      </c>
      <c r="C4735" s="13">
        <f>IFERROR(__xludf.DUMMYFUNCTION("""COMPUTED_VALUE"""),0.2916666666666667)</f>
        <v>0.2916666667</v>
      </c>
      <c r="D4735" s="8">
        <f>IFERROR(__xludf.DUMMYFUNCTION("""COMPUTED_VALUE"""),0.192)</f>
        <v>0.192</v>
      </c>
      <c r="E4735" s="8" t="str">
        <f>IFERROR(__xludf.DUMMYFUNCTION("""COMPUTED_VALUE"""),"Estimada")</f>
        <v>Estimada</v>
      </c>
      <c r="G4735" s="8">
        <f t="shared" si="1"/>
        <v>5</v>
      </c>
      <c r="H4735" s="14">
        <f t="shared" si="2"/>
        <v>17</v>
      </c>
      <c r="I4735" s="15">
        <f t="shared" si="3"/>
        <v>7</v>
      </c>
    </row>
    <row r="4736">
      <c r="A4736" s="8" t="str">
        <f>IFERROR(__xludf.DUMMYFUNCTION("IF('(INGESTA)Datos_consumo_datadis'!A4736&lt;&gt;"""",SPLIT('(INGESTA)Datos_consumo_datadis'!A:A,"",""),"""")"),"ES0031408323131005HX0F")</f>
        <v>ES0031408323131005HX0F</v>
      </c>
      <c r="B4736" s="12">
        <f>IFERROR(__xludf.DUMMYFUNCTION("""COMPUTED_VALUE"""),45063.0)</f>
        <v>45063</v>
      </c>
      <c r="C4736" s="13">
        <f>IFERROR(__xludf.DUMMYFUNCTION("""COMPUTED_VALUE"""),0.3333333333333333)</f>
        <v>0.3333333333</v>
      </c>
      <c r="D4736" s="8">
        <f>IFERROR(__xludf.DUMMYFUNCTION("""COMPUTED_VALUE"""),0.229)</f>
        <v>0.229</v>
      </c>
      <c r="E4736" s="8" t="str">
        <f>IFERROR(__xludf.DUMMYFUNCTION("""COMPUTED_VALUE"""),"Estimada")</f>
        <v>Estimada</v>
      </c>
      <c r="G4736" s="8">
        <f t="shared" si="1"/>
        <v>5</v>
      </c>
      <c r="H4736" s="14">
        <f t="shared" si="2"/>
        <v>17</v>
      </c>
      <c r="I4736" s="15">
        <f t="shared" si="3"/>
        <v>8</v>
      </c>
    </row>
    <row r="4737">
      <c r="A4737" s="8" t="str">
        <f>IFERROR(__xludf.DUMMYFUNCTION("IF('(INGESTA)Datos_consumo_datadis'!A4737&lt;&gt;"""",SPLIT('(INGESTA)Datos_consumo_datadis'!A:A,"",""),"""")"),"ES0031408323131005HX0F")</f>
        <v>ES0031408323131005HX0F</v>
      </c>
      <c r="B4737" s="12">
        <f>IFERROR(__xludf.DUMMYFUNCTION("""COMPUTED_VALUE"""),45063.0)</f>
        <v>45063</v>
      </c>
      <c r="C4737" s="13">
        <f>IFERROR(__xludf.DUMMYFUNCTION("""COMPUTED_VALUE"""),0.375)</f>
        <v>0.375</v>
      </c>
      <c r="D4737" s="8">
        <f>IFERROR(__xludf.DUMMYFUNCTION("""COMPUTED_VALUE"""),0.253)</f>
        <v>0.253</v>
      </c>
      <c r="E4737" s="8" t="str">
        <f>IFERROR(__xludf.DUMMYFUNCTION("""COMPUTED_VALUE"""),"Estimada")</f>
        <v>Estimada</v>
      </c>
      <c r="G4737" s="8">
        <f t="shared" si="1"/>
        <v>5</v>
      </c>
      <c r="H4737" s="14">
        <f t="shared" si="2"/>
        <v>17</v>
      </c>
      <c r="I4737" s="15">
        <f t="shared" si="3"/>
        <v>9</v>
      </c>
    </row>
    <row r="4738">
      <c r="A4738" s="8" t="str">
        <f>IFERROR(__xludf.DUMMYFUNCTION("IF('(INGESTA)Datos_consumo_datadis'!A4738&lt;&gt;"""",SPLIT('(INGESTA)Datos_consumo_datadis'!A:A,"",""),"""")"),"ES0031408323131005HX0F")</f>
        <v>ES0031408323131005HX0F</v>
      </c>
      <c r="B4738" s="12">
        <f>IFERROR(__xludf.DUMMYFUNCTION("""COMPUTED_VALUE"""),45063.0)</f>
        <v>45063</v>
      </c>
      <c r="C4738" s="13">
        <f>IFERROR(__xludf.DUMMYFUNCTION("""COMPUTED_VALUE"""),0.4166666666666667)</f>
        <v>0.4166666667</v>
      </c>
      <c r="D4738" s="8">
        <f>IFERROR(__xludf.DUMMYFUNCTION("""COMPUTED_VALUE"""),0.268)</f>
        <v>0.268</v>
      </c>
      <c r="E4738" s="8" t="str">
        <f>IFERROR(__xludf.DUMMYFUNCTION("""COMPUTED_VALUE"""),"Estimada")</f>
        <v>Estimada</v>
      </c>
      <c r="G4738" s="8">
        <f t="shared" si="1"/>
        <v>5</v>
      </c>
      <c r="H4738" s="14">
        <f t="shared" si="2"/>
        <v>17</v>
      </c>
      <c r="I4738" s="15">
        <f t="shared" si="3"/>
        <v>10</v>
      </c>
    </row>
    <row r="4739">
      <c r="A4739" s="8" t="str">
        <f>IFERROR(__xludf.DUMMYFUNCTION("IF('(INGESTA)Datos_consumo_datadis'!A4739&lt;&gt;"""",SPLIT('(INGESTA)Datos_consumo_datadis'!A:A,"",""),"""")"),"ES0031408323131005HX0F")</f>
        <v>ES0031408323131005HX0F</v>
      </c>
      <c r="B4739" s="12">
        <f>IFERROR(__xludf.DUMMYFUNCTION("""COMPUTED_VALUE"""),45063.0)</f>
        <v>45063</v>
      </c>
      <c r="C4739" s="13">
        <f>IFERROR(__xludf.DUMMYFUNCTION("""COMPUTED_VALUE"""),0.4583333333333333)</f>
        <v>0.4583333333</v>
      </c>
      <c r="D4739" s="8">
        <f>IFERROR(__xludf.DUMMYFUNCTION("""COMPUTED_VALUE"""),0.295)</f>
        <v>0.295</v>
      </c>
      <c r="E4739" s="8" t="str">
        <f>IFERROR(__xludf.DUMMYFUNCTION("""COMPUTED_VALUE"""),"Estimada")</f>
        <v>Estimada</v>
      </c>
      <c r="G4739" s="8">
        <f t="shared" si="1"/>
        <v>5</v>
      </c>
      <c r="H4739" s="14">
        <f t="shared" si="2"/>
        <v>17</v>
      </c>
      <c r="I4739" s="15">
        <f t="shared" si="3"/>
        <v>11</v>
      </c>
    </row>
    <row r="4740">
      <c r="A4740" s="8" t="str">
        <f>IFERROR(__xludf.DUMMYFUNCTION("IF('(INGESTA)Datos_consumo_datadis'!A4740&lt;&gt;"""",SPLIT('(INGESTA)Datos_consumo_datadis'!A:A,"",""),"""")"),"ES0031408323131005HX0F")</f>
        <v>ES0031408323131005HX0F</v>
      </c>
      <c r="B4740" s="12">
        <f>IFERROR(__xludf.DUMMYFUNCTION("""COMPUTED_VALUE"""),45063.0)</f>
        <v>45063</v>
      </c>
      <c r="C4740" s="13">
        <f>IFERROR(__xludf.DUMMYFUNCTION("""COMPUTED_VALUE"""),0.5)</f>
        <v>0.5</v>
      </c>
      <c r="D4740" s="8">
        <f>IFERROR(__xludf.DUMMYFUNCTION("""COMPUTED_VALUE"""),0.3)</f>
        <v>0.3</v>
      </c>
      <c r="E4740" s="8" t="str">
        <f>IFERROR(__xludf.DUMMYFUNCTION("""COMPUTED_VALUE"""),"Estimada")</f>
        <v>Estimada</v>
      </c>
      <c r="G4740" s="8">
        <f t="shared" si="1"/>
        <v>5</v>
      </c>
      <c r="H4740" s="14">
        <f t="shared" si="2"/>
        <v>17</v>
      </c>
      <c r="I4740" s="15">
        <f t="shared" si="3"/>
        <v>12</v>
      </c>
    </row>
    <row r="4741">
      <c r="A4741" s="8" t="str">
        <f>IFERROR(__xludf.DUMMYFUNCTION("IF('(INGESTA)Datos_consumo_datadis'!A4741&lt;&gt;"""",SPLIT('(INGESTA)Datos_consumo_datadis'!A:A,"",""),"""")"),"ES0031408323131005HX0F")</f>
        <v>ES0031408323131005HX0F</v>
      </c>
      <c r="B4741" s="12">
        <f>IFERROR(__xludf.DUMMYFUNCTION("""COMPUTED_VALUE"""),45063.0)</f>
        <v>45063</v>
      </c>
      <c r="C4741" s="13">
        <f>IFERROR(__xludf.DUMMYFUNCTION("""COMPUTED_VALUE"""),0.5416666666666666)</f>
        <v>0.5416666667</v>
      </c>
      <c r="D4741" s="8">
        <f>IFERROR(__xludf.DUMMYFUNCTION("""COMPUTED_VALUE"""),0.311)</f>
        <v>0.311</v>
      </c>
      <c r="E4741" s="8" t="str">
        <f>IFERROR(__xludf.DUMMYFUNCTION("""COMPUTED_VALUE"""),"Estimada")</f>
        <v>Estimada</v>
      </c>
      <c r="G4741" s="8">
        <f t="shared" si="1"/>
        <v>5</v>
      </c>
      <c r="H4741" s="14">
        <f t="shared" si="2"/>
        <v>17</v>
      </c>
      <c r="I4741" s="15">
        <f t="shared" si="3"/>
        <v>13</v>
      </c>
    </row>
    <row r="4742">
      <c r="A4742" s="8" t="str">
        <f>IFERROR(__xludf.DUMMYFUNCTION("IF('(INGESTA)Datos_consumo_datadis'!A4742&lt;&gt;"""",SPLIT('(INGESTA)Datos_consumo_datadis'!A:A,"",""),"""")"),"ES0031408323131005HX0F")</f>
        <v>ES0031408323131005HX0F</v>
      </c>
      <c r="B4742" s="12">
        <f>IFERROR(__xludf.DUMMYFUNCTION("""COMPUTED_VALUE"""),45063.0)</f>
        <v>45063</v>
      </c>
      <c r="C4742" s="13">
        <f>IFERROR(__xludf.DUMMYFUNCTION("""COMPUTED_VALUE"""),0.5833333333333334)</f>
        <v>0.5833333333</v>
      </c>
      <c r="D4742" s="8">
        <f>IFERROR(__xludf.DUMMYFUNCTION("""COMPUTED_VALUE"""),0.331)</f>
        <v>0.331</v>
      </c>
      <c r="E4742" s="8" t="str">
        <f>IFERROR(__xludf.DUMMYFUNCTION("""COMPUTED_VALUE"""),"Estimada")</f>
        <v>Estimada</v>
      </c>
      <c r="G4742" s="8">
        <f t="shared" si="1"/>
        <v>5</v>
      </c>
      <c r="H4742" s="14">
        <f t="shared" si="2"/>
        <v>17</v>
      </c>
      <c r="I4742" s="15">
        <f t="shared" si="3"/>
        <v>14</v>
      </c>
    </row>
    <row r="4743">
      <c r="A4743" s="8" t="str">
        <f>IFERROR(__xludf.DUMMYFUNCTION("IF('(INGESTA)Datos_consumo_datadis'!A4743&lt;&gt;"""",SPLIT('(INGESTA)Datos_consumo_datadis'!A:A,"",""),"""")"),"ES0031408323131005HX0F")</f>
        <v>ES0031408323131005HX0F</v>
      </c>
      <c r="B4743" s="12">
        <f>IFERROR(__xludf.DUMMYFUNCTION("""COMPUTED_VALUE"""),45063.0)</f>
        <v>45063</v>
      </c>
      <c r="C4743" s="13">
        <f>IFERROR(__xludf.DUMMYFUNCTION("""COMPUTED_VALUE"""),0.625)</f>
        <v>0.625</v>
      </c>
      <c r="D4743" s="8">
        <f>IFERROR(__xludf.DUMMYFUNCTION("""COMPUTED_VALUE"""),0.311)</f>
        <v>0.311</v>
      </c>
      <c r="E4743" s="8" t="str">
        <f>IFERROR(__xludf.DUMMYFUNCTION("""COMPUTED_VALUE"""),"Estimada")</f>
        <v>Estimada</v>
      </c>
      <c r="G4743" s="8">
        <f t="shared" si="1"/>
        <v>5</v>
      </c>
      <c r="H4743" s="14">
        <f t="shared" si="2"/>
        <v>17</v>
      </c>
      <c r="I4743" s="15">
        <f t="shared" si="3"/>
        <v>15</v>
      </c>
    </row>
    <row r="4744">
      <c r="A4744" s="8" t="str">
        <f>IFERROR(__xludf.DUMMYFUNCTION("IF('(INGESTA)Datos_consumo_datadis'!A4744&lt;&gt;"""",SPLIT('(INGESTA)Datos_consumo_datadis'!A:A,"",""),"""")"),"ES0031408323131005HX0F")</f>
        <v>ES0031408323131005HX0F</v>
      </c>
      <c r="B4744" s="12">
        <f>IFERROR(__xludf.DUMMYFUNCTION("""COMPUTED_VALUE"""),45063.0)</f>
        <v>45063</v>
      </c>
      <c r="C4744" s="13">
        <f>IFERROR(__xludf.DUMMYFUNCTION("""COMPUTED_VALUE"""),0.6666666666666666)</f>
        <v>0.6666666667</v>
      </c>
      <c r="D4744" s="8">
        <f>IFERROR(__xludf.DUMMYFUNCTION("""COMPUTED_VALUE"""),0.285)</f>
        <v>0.285</v>
      </c>
      <c r="E4744" s="8" t="str">
        <f>IFERROR(__xludf.DUMMYFUNCTION("""COMPUTED_VALUE"""),"Estimada")</f>
        <v>Estimada</v>
      </c>
      <c r="G4744" s="8">
        <f t="shared" si="1"/>
        <v>5</v>
      </c>
      <c r="H4744" s="14">
        <f t="shared" si="2"/>
        <v>17</v>
      </c>
      <c r="I4744" s="15">
        <f t="shared" si="3"/>
        <v>16</v>
      </c>
    </row>
    <row r="4745">
      <c r="A4745" s="8" t="str">
        <f>IFERROR(__xludf.DUMMYFUNCTION("IF('(INGESTA)Datos_consumo_datadis'!A4745&lt;&gt;"""",SPLIT('(INGESTA)Datos_consumo_datadis'!A:A,"",""),"""")"),"ES0031408323131005HX0F")</f>
        <v>ES0031408323131005HX0F</v>
      </c>
      <c r="B4745" s="12">
        <f>IFERROR(__xludf.DUMMYFUNCTION("""COMPUTED_VALUE"""),45063.0)</f>
        <v>45063</v>
      </c>
      <c r="C4745" s="13">
        <f>IFERROR(__xludf.DUMMYFUNCTION("""COMPUTED_VALUE"""),0.7083333333333334)</f>
        <v>0.7083333333</v>
      </c>
      <c r="D4745" s="8">
        <f>IFERROR(__xludf.DUMMYFUNCTION("""COMPUTED_VALUE"""),0.269)</f>
        <v>0.269</v>
      </c>
      <c r="E4745" s="8" t="str">
        <f>IFERROR(__xludf.DUMMYFUNCTION("""COMPUTED_VALUE"""),"Estimada")</f>
        <v>Estimada</v>
      </c>
      <c r="G4745" s="8">
        <f t="shared" si="1"/>
        <v>5</v>
      </c>
      <c r="H4745" s="14">
        <f t="shared" si="2"/>
        <v>17</v>
      </c>
      <c r="I4745" s="15">
        <f t="shared" si="3"/>
        <v>17</v>
      </c>
    </row>
    <row r="4746">
      <c r="A4746" s="8" t="str">
        <f>IFERROR(__xludf.DUMMYFUNCTION("IF('(INGESTA)Datos_consumo_datadis'!A4746&lt;&gt;"""",SPLIT('(INGESTA)Datos_consumo_datadis'!A:A,"",""),"""")"),"ES0031408323131005HX0F")</f>
        <v>ES0031408323131005HX0F</v>
      </c>
      <c r="B4746" s="12">
        <f>IFERROR(__xludf.DUMMYFUNCTION("""COMPUTED_VALUE"""),45063.0)</f>
        <v>45063</v>
      </c>
      <c r="C4746" s="13">
        <f>IFERROR(__xludf.DUMMYFUNCTION("""COMPUTED_VALUE"""),0.75)</f>
        <v>0.75</v>
      </c>
      <c r="D4746" s="8">
        <f>IFERROR(__xludf.DUMMYFUNCTION("""COMPUTED_VALUE"""),0.269)</f>
        <v>0.269</v>
      </c>
      <c r="E4746" s="8" t="str">
        <f>IFERROR(__xludf.DUMMYFUNCTION("""COMPUTED_VALUE"""),"Estimada")</f>
        <v>Estimada</v>
      </c>
      <c r="G4746" s="8">
        <f t="shared" si="1"/>
        <v>5</v>
      </c>
      <c r="H4746" s="14">
        <f t="shared" si="2"/>
        <v>17</v>
      </c>
      <c r="I4746" s="15">
        <f t="shared" si="3"/>
        <v>18</v>
      </c>
    </row>
    <row r="4747">
      <c r="A4747" s="8" t="str">
        <f>IFERROR(__xludf.DUMMYFUNCTION("IF('(INGESTA)Datos_consumo_datadis'!A4747&lt;&gt;"""",SPLIT('(INGESTA)Datos_consumo_datadis'!A:A,"",""),"""")"),"ES0031408323131005HX0F")</f>
        <v>ES0031408323131005HX0F</v>
      </c>
      <c r="B4747" s="12">
        <f>IFERROR(__xludf.DUMMYFUNCTION("""COMPUTED_VALUE"""),45063.0)</f>
        <v>45063</v>
      </c>
      <c r="C4747" s="13">
        <f>IFERROR(__xludf.DUMMYFUNCTION("""COMPUTED_VALUE"""),0.7916666666666666)</f>
        <v>0.7916666667</v>
      </c>
      <c r="D4747" s="8">
        <f>IFERROR(__xludf.DUMMYFUNCTION("""COMPUTED_VALUE"""),0.288)</f>
        <v>0.288</v>
      </c>
      <c r="E4747" s="8" t="str">
        <f>IFERROR(__xludf.DUMMYFUNCTION("""COMPUTED_VALUE"""),"Estimada")</f>
        <v>Estimada</v>
      </c>
      <c r="G4747" s="8">
        <f t="shared" si="1"/>
        <v>5</v>
      </c>
      <c r="H4747" s="14">
        <f t="shared" si="2"/>
        <v>17</v>
      </c>
      <c r="I4747" s="15">
        <f t="shared" si="3"/>
        <v>19</v>
      </c>
    </row>
    <row r="4748">
      <c r="A4748" s="8" t="str">
        <f>IFERROR(__xludf.DUMMYFUNCTION("IF('(INGESTA)Datos_consumo_datadis'!A4748&lt;&gt;"""",SPLIT('(INGESTA)Datos_consumo_datadis'!A:A,"",""),"""")"),"ES0031408323131005HX0F")</f>
        <v>ES0031408323131005HX0F</v>
      </c>
      <c r="B4748" s="12">
        <f>IFERROR(__xludf.DUMMYFUNCTION("""COMPUTED_VALUE"""),45063.0)</f>
        <v>45063</v>
      </c>
      <c r="C4748" s="13">
        <f>IFERROR(__xludf.DUMMYFUNCTION("""COMPUTED_VALUE"""),0.8333333333333334)</f>
        <v>0.8333333333</v>
      </c>
      <c r="D4748" s="8">
        <f>IFERROR(__xludf.DUMMYFUNCTION("""COMPUTED_VALUE"""),0.302)</f>
        <v>0.302</v>
      </c>
      <c r="E4748" s="8" t="str">
        <f>IFERROR(__xludf.DUMMYFUNCTION("""COMPUTED_VALUE"""),"Estimada")</f>
        <v>Estimada</v>
      </c>
      <c r="G4748" s="8">
        <f t="shared" si="1"/>
        <v>5</v>
      </c>
      <c r="H4748" s="14">
        <f t="shared" si="2"/>
        <v>17</v>
      </c>
      <c r="I4748" s="15">
        <f t="shared" si="3"/>
        <v>20</v>
      </c>
    </row>
    <row r="4749">
      <c r="A4749" s="8" t="str">
        <f>IFERROR(__xludf.DUMMYFUNCTION("IF('(INGESTA)Datos_consumo_datadis'!A4749&lt;&gt;"""",SPLIT('(INGESTA)Datos_consumo_datadis'!A:A,"",""),"""")"),"ES0031408323131005HX0F")</f>
        <v>ES0031408323131005HX0F</v>
      </c>
      <c r="B4749" s="12">
        <f>IFERROR(__xludf.DUMMYFUNCTION("""COMPUTED_VALUE"""),45063.0)</f>
        <v>45063</v>
      </c>
      <c r="C4749" s="13">
        <f>IFERROR(__xludf.DUMMYFUNCTION("""COMPUTED_VALUE"""),0.875)</f>
        <v>0.875</v>
      </c>
      <c r="D4749" s="8">
        <f>IFERROR(__xludf.DUMMYFUNCTION("""COMPUTED_VALUE"""),0.335)</f>
        <v>0.335</v>
      </c>
      <c r="E4749" s="8" t="str">
        <f>IFERROR(__xludf.DUMMYFUNCTION("""COMPUTED_VALUE"""),"Estimada")</f>
        <v>Estimada</v>
      </c>
      <c r="G4749" s="8">
        <f t="shared" si="1"/>
        <v>5</v>
      </c>
      <c r="H4749" s="14">
        <f t="shared" si="2"/>
        <v>17</v>
      </c>
      <c r="I4749" s="15">
        <f t="shared" si="3"/>
        <v>21</v>
      </c>
    </row>
    <row r="4750">
      <c r="A4750" s="8" t="str">
        <f>IFERROR(__xludf.DUMMYFUNCTION("IF('(INGESTA)Datos_consumo_datadis'!A4750&lt;&gt;"""",SPLIT('(INGESTA)Datos_consumo_datadis'!A:A,"",""),"""")"),"ES0031408323131005HX0F")</f>
        <v>ES0031408323131005HX0F</v>
      </c>
      <c r="B4750" s="12">
        <f>IFERROR(__xludf.DUMMYFUNCTION("""COMPUTED_VALUE"""),45063.0)</f>
        <v>45063</v>
      </c>
      <c r="C4750" s="13">
        <f>IFERROR(__xludf.DUMMYFUNCTION("""COMPUTED_VALUE"""),0.9166666666666666)</f>
        <v>0.9166666667</v>
      </c>
      <c r="D4750" s="8">
        <f>IFERROR(__xludf.DUMMYFUNCTION("""COMPUTED_VALUE"""),0.386)</f>
        <v>0.386</v>
      </c>
      <c r="E4750" s="8" t="str">
        <f>IFERROR(__xludf.DUMMYFUNCTION("""COMPUTED_VALUE"""),"Estimada")</f>
        <v>Estimada</v>
      </c>
      <c r="G4750" s="8">
        <f t="shared" si="1"/>
        <v>5</v>
      </c>
      <c r="H4750" s="14">
        <f t="shared" si="2"/>
        <v>17</v>
      </c>
      <c r="I4750" s="15">
        <f t="shared" si="3"/>
        <v>22</v>
      </c>
    </row>
    <row r="4751">
      <c r="A4751" s="8" t="str">
        <f>IFERROR(__xludf.DUMMYFUNCTION("IF('(INGESTA)Datos_consumo_datadis'!A4751&lt;&gt;"""",SPLIT('(INGESTA)Datos_consumo_datadis'!A:A,"",""),"""")"),"ES0031408323131005HX0F")</f>
        <v>ES0031408323131005HX0F</v>
      </c>
      <c r="B4751" s="12">
        <f>IFERROR(__xludf.DUMMYFUNCTION("""COMPUTED_VALUE"""),45063.0)</f>
        <v>45063</v>
      </c>
      <c r="C4751" s="13">
        <f>IFERROR(__xludf.DUMMYFUNCTION("""COMPUTED_VALUE"""),0.9583333333333334)</f>
        <v>0.9583333333</v>
      </c>
      <c r="D4751" s="8">
        <f>IFERROR(__xludf.DUMMYFUNCTION("""COMPUTED_VALUE"""),0.353)</f>
        <v>0.353</v>
      </c>
      <c r="E4751" s="8" t="str">
        <f>IFERROR(__xludf.DUMMYFUNCTION("""COMPUTED_VALUE"""),"Estimada")</f>
        <v>Estimada</v>
      </c>
      <c r="G4751" s="8">
        <f t="shared" si="1"/>
        <v>5</v>
      </c>
      <c r="H4751" s="14">
        <f t="shared" si="2"/>
        <v>17</v>
      </c>
      <c r="I4751" s="15">
        <f t="shared" si="3"/>
        <v>23</v>
      </c>
    </row>
    <row r="4752">
      <c r="A4752" s="8" t="str">
        <f>IFERROR(__xludf.DUMMYFUNCTION("IF('(INGESTA)Datos_consumo_datadis'!A4752&lt;&gt;"""",SPLIT('(INGESTA)Datos_consumo_datadis'!A:A,"",""),"""")"),"ES0031408323131005HX0F")</f>
        <v>ES0031408323131005HX0F</v>
      </c>
      <c r="B4752" s="12">
        <f>IFERROR(__xludf.DUMMYFUNCTION("""COMPUTED_VALUE"""),45063.0)</f>
        <v>45063</v>
      </c>
      <c r="C4752" s="16">
        <f>IFERROR(__xludf.DUMMYFUNCTION("""COMPUTED_VALUE"""),1.0)</f>
        <v>1</v>
      </c>
      <c r="D4752" s="8">
        <f>IFERROR(__xludf.DUMMYFUNCTION("""COMPUTED_VALUE"""),0.293)</f>
        <v>0.293</v>
      </c>
      <c r="E4752" s="8" t="str">
        <f>IFERROR(__xludf.DUMMYFUNCTION("""COMPUTED_VALUE"""),"Estimada")</f>
        <v>Estimada</v>
      </c>
      <c r="G4752" s="8">
        <f t="shared" si="1"/>
        <v>5</v>
      </c>
      <c r="H4752" s="14">
        <f t="shared" si="2"/>
        <v>17</v>
      </c>
      <c r="I4752" s="15">
        <f t="shared" si="3"/>
        <v>0</v>
      </c>
    </row>
    <row r="4753">
      <c r="A4753" s="8" t="str">
        <f>IFERROR(__xludf.DUMMYFUNCTION("IF('(INGESTA)Datos_consumo_datadis'!A4753&lt;&gt;"""",SPLIT('(INGESTA)Datos_consumo_datadis'!A:A,"",""),"""")"),"ES0031408323131005HX0F")</f>
        <v>ES0031408323131005HX0F</v>
      </c>
      <c r="B4753" s="12">
        <f>IFERROR(__xludf.DUMMYFUNCTION("""COMPUTED_VALUE"""),45064.0)</f>
        <v>45064</v>
      </c>
      <c r="C4753" s="13">
        <f>IFERROR(__xludf.DUMMYFUNCTION("""COMPUTED_VALUE"""),0.041666666666666664)</f>
        <v>0.04166666667</v>
      </c>
      <c r="D4753" s="8">
        <f>IFERROR(__xludf.DUMMYFUNCTION("""COMPUTED_VALUE"""),0.25)</f>
        <v>0.25</v>
      </c>
      <c r="E4753" s="8" t="str">
        <f>IFERROR(__xludf.DUMMYFUNCTION("""COMPUTED_VALUE"""),"Estimada")</f>
        <v>Estimada</v>
      </c>
      <c r="G4753" s="8">
        <f t="shared" si="1"/>
        <v>5</v>
      </c>
      <c r="H4753" s="14">
        <f t="shared" si="2"/>
        <v>18</v>
      </c>
      <c r="I4753" s="15">
        <f t="shared" si="3"/>
        <v>1</v>
      </c>
    </row>
    <row r="4754">
      <c r="A4754" s="8" t="str">
        <f>IFERROR(__xludf.DUMMYFUNCTION("IF('(INGESTA)Datos_consumo_datadis'!A4754&lt;&gt;"""",SPLIT('(INGESTA)Datos_consumo_datadis'!A:A,"",""),"""")"),"ES0031408323131005HX0F")</f>
        <v>ES0031408323131005HX0F</v>
      </c>
      <c r="B4754" s="12">
        <f>IFERROR(__xludf.DUMMYFUNCTION("""COMPUTED_VALUE"""),45064.0)</f>
        <v>45064</v>
      </c>
      <c r="C4754" s="13">
        <f>IFERROR(__xludf.DUMMYFUNCTION("""COMPUTED_VALUE"""),0.08333333333333333)</f>
        <v>0.08333333333</v>
      </c>
      <c r="D4754" s="8">
        <f>IFERROR(__xludf.DUMMYFUNCTION("""COMPUTED_VALUE"""),0.207)</f>
        <v>0.207</v>
      </c>
      <c r="E4754" s="8" t="str">
        <f>IFERROR(__xludf.DUMMYFUNCTION("""COMPUTED_VALUE"""),"Estimada")</f>
        <v>Estimada</v>
      </c>
      <c r="G4754" s="8">
        <f t="shared" si="1"/>
        <v>5</v>
      </c>
      <c r="H4754" s="14">
        <f t="shared" si="2"/>
        <v>18</v>
      </c>
      <c r="I4754" s="15">
        <f t="shared" si="3"/>
        <v>2</v>
      </c>
    </row>
    <row r="4755">
      <c r="A4755" s="8" t="str">
        <f>IFERROR(__xludf.DUMMYFUNCTION("IF('(INGESTA)Datos_consumo_datadis'!A4755&lt;&gt;"""",SPLIT('(INGESTA)Datos_consumo_datadis'!A:A,"",""),"""")"),"ES0031408323131005HX0F")</f>
        <v>ES0031408323131005HX0F</v>
      </c>
      <c r="B4755" s="12">
        <f>IFERROR(__xludf.DUMMYFUNCTION("""COMPUTED_VALUE"""),45064.0)</f>
        <v>45064</v>
      </c>
      <c r="C4755" s="13">
        <f>IFERROR(__xludf.DUMMYFUNCTION("""COMPUTED_VALUE"""),0.125)</f>
        <v>0.125</v>
      </c>
      <c r="D4755" s="8">
        <f>IFERROR(__xludf.DUMMYFUNCTION("""COMPUTED_VALUE"""),0.185)</f>
        <v>0.185</v>
      </c>
      <c r="E4755" s="8" t="str">
        <f>IFERROR(__xludf.DUMMYFUNCTION("""COMPUTED_VALUE"""),"Estimada")</f>
        <v>Estimada</v>
      </c>
      <c r="G4755" s="8">
        <f t="shared" si="1"/>
        <v>5</v>
      </c>
      <c r="H4755" s="14">
        <f t="shared" si="2"/>
        <v>18</v>
      </c>
      <c r="I4755" s="15">
        <f t="shared" si="3"/>
        <v>3</v>
      </c>
    </row>
    <row r="4756">
      <c r="A4756" s="8" t="str">
        <f>IFERROR(__xludf.DUMMYFUNCTION("IF('(INGESTA)Datos_consumo_datadis'!A4756&lt;&gt;"""",SPLIT('(INGESTA)Datos_consumo_datadis'!A:A,"",""),"""")"),"ES0031408323131005HX0F")</f>
        <v>ES0031408323131005HX0F</v>
      </c>
      <c r="B4756" s="12">
        <f>IFERROR(__xludf.DUMMYFUNCTION("""COMPUTED_VALUE"""),45064.0)</f>
        <v>45064</v>
      </c>
      <c r="C4756" s="13">
        <f>IFERROR(__xludf.DUMMYFUNCTION("""COMPUTED_VALUE"""),0.16666666666666666)</f>
        <v>0.1666666667</v>
      </c>
      <c r="D4756" s="8">
        <f>IFERROR(__xludf.DUMMYFUNCTION("""COMPUTED_VALUE"""),0.175)</f>
        <v>0.175</v>
      </c>
      <c r="E4756" s="8" t="str">
        <f>IFERROR(__xludf.DUMMYFUNCTION("""COMPUTED_VALUE"""),"Estimada")</f>
        <v>Estimada</v>
      </c>
      <c r="G4756" s="8">
        <f t="shared" si="1"/>
        <v>5</v>
      </c>
      <c r="H4756" s="14">
        <f t="shared" si="2"/>
        <v>18</v>
      </c>
      <c r="I4756" s="15">
        <f t="shared" si="3"/>
        <v>4</v>
      </c>
    </row>
    <row r="4757">
      <c r="A4757" s="8" t="str">
        <f>IFERROR(__xludf.DUMMYFUNCTION("IF('(INGESTA)Datos_consumo_datadis'!A4757&lt;&gt;"""",SPLIT('(INGESTA)Datos_consumo_datadis'!A:A,"",""),"""")"),"ES0031408323131005HX0F")</f>
        <v>ES0031408323131005HX0F</v>
      </c>
      <c r="B4757" s="12">
        <f>IFERROR(__xludf.DUMMYFUNCTION("""COMPUTED_VALUE"""),45064.0)</f>
        <v>45064</v>
      </c>
      <c r="C4757" s="13">
        <f>IFERROR(__xludf.DUMMYFUNCTION("""COMPUTED_VALUE"""),0.20833333333333334)</f>
        <v>0.2083333333</v>
      </c>
      <c r="D4757" s="8">
        <f>IFERROR(__xludf.DUMMYFUNCTION("""COMPUTED_VALUE"""),0.171)</f>
        <v>0.171</v>
      </c>
      <c r="E4757" s="8" t="str">
        <f>IFERROR(__xludf.DUMMYFUNCTION("""COMPUTED_VALUE"""),"Estimada")</f>
        <v>Estimada</v>
      </c>
      <c r="G4757" s="8">
        <f t="shared" si="1"/>
        <v>5</v>
      </c>
      <c r="H4757" s="14">
        <f t="shared" si="2"/>
        <v>18</v>
      </c>
      <c r="I4757" s="15">
        <f t="shared" si="3"/>
        <v>5</v>
      </c>
    </row>
    <row r="4758">
      <c r="A4758" s="8" t="str">
        <f>IFERROR(__xludf.DUMMYFUNCTION("IF('(INGESTA)Datos_consumo_datadis'!A4758&lt;&gt;"""",SPLIT('(INGESTA)Datos_consumo_datadis'!A:A,"",""),"""")"),"ES0031408323131005HX0F")</f>
        <v>ES0031408323131005HX0F</v>
      </c>
      <c r="B4758" s="12">
        <f>IFERROR(__xludf.DUMMYFUNCTION("""COMPUTED_VALUE"""),45064.0)</f>
        <v>45064</v>
      </c>
      <c r="C4758" s="13">
        <f>IFERROR(__xludf.DUMMYFUNCTION("""COMPUTED_VALUE"""),0.25)</f>
        <v>0.25</v>
      </c>
      <c r="D4758" s="8">
        <f>IFERROR(__xludf.DUMMYFUNCTION("""COMPUTED_VALUE"""),0.175)</f>
        <v>0.175</v>
      </c>
      <c r="E4758" s="8" t="str">
        <f>IFERROR(__xludf.DUMMYFUNCTION("""COMPUTED_VALUE"""),"Estimada")</f>
        <v>Estimada</v>
      </c>
      <c r="G4758" s="8">
        <f t="shared" si="1"/>
        <v>5</v>
      </c>
      <c r="H4758" s="14">
        <f t="shared" si="2"/>
        <v>18</v>
      </c>
      <c r="I4758" s="15">
        <f t="shared" si="3"/>
        <v>6</v>
      </c>
    </row>
    <row r="4759">
      <c r="A4759" s="8" t="str">
        <f>IFERROR(__xludf.DUMMYFUNCTION("IF('(INGESTA)Datos_consumo_datadis'!A4759&lt;&gt;"""",SPLIT('(INGESTA)Datos_consumo_datadis'!A:A,"",""),"""")"),"ES0031408323131005HX0F")</f>
        <v>ES0031408323131005HX0F</v>
      </c>
      <c r="B4759" s="12">
        <f>IFERROR(__xludf.DUMMYFUNCTION("""COMPUTED_VALUE"""),45064.0)</f>
        <v>45064</v>
      </c>
      <c r="C4759" s="13">
        <f>IFERROR(__xludf.DUMMYFUNCTION("""COMPUTED_VALUE"""),0.2916666666666667)</f>
        <v>0.2916666667</v>
      </c>
      <c r="D4759" s="8">
        <f>IFERROR(__xludf.DUMMYFUNCTION("""COMPUTED_VALUE"""),0.192)</f>
        <v>0.192</v>
      </c>
      <c r="E4759" s="8" t="str">
        <f>IFERROR(__xludf.DUMMYFUNCTION("""COMPUTED_VALUE"""),"Estimada")</f>
        <v>Estimada</v>
      </c>
      <c r="G4759" s="8">
        <f t="shared" si="1"/>
        <v>5</v>
      </c>
      <c r="H4759" s="14">
        <f t="shared" si="2"/>
        <v>18</v>
      </c>
      <c r="I4759" s="15">
        <f t="shared" si="3"/>
        <v>7</v>
      </c>
    </row>
    <row r="4760">
      <c r="A4760" s="8" t="str">
        <f>IFERROR(__xludf.DUMMYFUNCTION("IF('(INGESTA)Datos_consumo_datadis'!A4760&lt;&gt;"""",SPLIT('(INGESTA)Datos_consumo_datadis'!A:A,"",""),"""")"),"ES0031408323131005HX0F")</f>
        <v>ES0031408323131005HX0F</v>
      </c>
      <c r="B4760" s="12">
        <f>IFERROR(__xludf.DUMMYFUNCTION("""COMPUTED_VALUE"""),45064.0)</f>
        <v>45064</v>
      </c>
      <c r="C4760" s="13">
        <f>IFERROR(__xludf.DUMMYFUNCTION("""COMPUTED_VALUE"""),0.3333333333333333)</f>
        <v>0.3333333333</v>
      </c>
      <c r="D4760" s="8">
        <f>IFERROR(__xludf.DUMMYFUNCTION("""COMPUTED_VALUE"""),0.229)</f>
        <v>0.229</v>
      </c>
      <c r="E4760" s="8" t="str">
        <f>IFERROR(__xludf.DUMMYFUNCTION("""COMPUTED_VALUE"""),"Estimada")</f>
        <v>Estimada</v>
      </c>
      <c r="G4760" s="8">
        <f t="shared" si="1"/>
        <v>5</v>
      </c>
      <c r="H4760" s="14">
        <f t="shared" si="2"/>
        <v>18</v>
      </c>
      <c r="I4760" s="15">
        <f t="shared" si="3"/>
        <v>8</v>
      </c>
    </row>
    <row r="4761">
      <c r="A4761" s="8" t="str">
        <f>IFERROR(__xludf.DUMMYFUNCTION("IF('(INGESTA)Datos_consumo_datadis'!A4761&lt;&gt;"""",SPLIT('(INGESTA)Datos_consumo_datadis'!A:A,"",""),"""")"),"ES0031408323131005HX0F")</f>
        <v>ES0031408323131005HX0F</v>
      </c>
      <c r="B4761" s="12">
        <f>IFERROR(__xludf.DUMMYFUNCTION("""COMPUTED_VALUE"""),45064.0)</f>
        <v>45064</v>
      </c>
      <c r="C4761" s="13">
        <f>IFERROR(__xludf.DUMMYFUNCTION("""COMPUTED_VALUE"""),0.375)</f>
        <v>0.375</v>
      </c>
      <c r="D4761" s="8">
        <f>IFERROR(__xludf.DUMMYFUNCTION("""COMPUTED_VALUE"""),0.253)</f>
        <v>0.253</v>
      </c>
      <c r="E4761" s="8" t="str">
        <f>IFERROR(__xludf.DUMMYFUNCTION("""COMPUTED_VALUE"""),"Estimada")</f>
        <v>Estimada</v>
      </c>
      <c r="G4761" s="8">
        <f t="shared" si="1"/>
        <v>5</v>
      </c>
      <c r="H4761" s="14">
        <f t="shared" si="2"/>
        <v>18</v>
      </c>
      <c r="I4761" s="15">
        <f t="shared" si="3"/>
        <v>9</v>
      </c>
    </row>
    <row r="4762">
      <c r="A4762" s="8" t="str">
        <f>IFERROR(__xludf.DUMMYFUNCTION("IF('(INGESTA)Datos_consumo_datadis'!A4762&lt;&gt;"""",SPLIT('(INGESTA)Datos_consumo_datadis'!A:A,"",""),"""")"),"ES0031408323131005HX0F")</f>
        <v>ES0031408323131005HX0F</v>
      </c>
      <c r="B4762" s="12">
        <f>IFERROR(__xludf.DUMMYFUNCTION("""COMPUTED_VALUE"""),45064.0)</f>
        <v>45064</v>
      </c>
      <c r="C4762" s="13">
        <f>IFERROR(__xludf.DUMMYFUNCTION("""COMPUTED_VALUE"""),0.4166666666666667)</f>
        <v>0.4166666667</v>
      </c>
      <c r="D4762" s="8">
        <f>IFERROR(__xludf.DUMMYFUNCTION("""COMPUTED_VALUE"""),0.268)</f>
        <v>0.268</v>
      </c>
      <c r="E4762" s="8" t="str">
        <f>IFERROR(__xludf.DUMMYFUNCTION("""COMPUTED_VALUE"""),"Estimada")</f>
        <v>Estimada</v>
      </c>
      <c r="G4762" s="8">
        <f t="shared" si="1"/>
        <v>5</v>
      </c>
      <c r="H4762" s="14">
        <f t="shared" si="2"/>
        <v>18</v>
      </c>
      <c r="I4762" s="15">
        <f t="shared" si="3"/>
        <v>10</v>
      </c>
    </row>
    <row r="4763">
      <c r="A4763" s="8" t="str">
        <f>IFERROR(__xludf.DUMMYFUNCTION("IF('(INGESTA)Datos_consumo_datadis'!A4763&lt;&gt;"""",SPLIT('(INGESTA)Datos_consumo_datadis'!A:A,"",""),"""")"),"ES0031408323131005HX0F")</f>
        <v>ES0031408323131005HX0F</v>
      </c>
      <c r="B4763" s="12">
        <f>IFERROR(__xludf.DUMMYFUNCTION("""COMPUTED_VALUE"""),45064.0)</f>
        <v>45064</v>
      </c>
      <c r="C4763" s="13">
        <f>IFERROR(__xludf.DUMMYFUNCTION("""COMPUTED_VALUE"""),0.4583333333333333)</f>
        <v>0.4583333333</v>
      </c>
      <c r="D4763" s="8">
        <f>IFERROR(__xludf.DUMMYFUNCTION("""COMPUTED_VALUE"""),0.295)</f>
        <v>0.295</v>
      </c>
      <c r="E4763" s="8" t="str">
        <f>IFERROR(__xludf.DUMMYFUNCTION("""COMPUTED_VALUE"""),"Estimada")</f>
        <v>Estimada</v>
      </c>
      <c r="G4763" s="8">
        <f t="shared" si="1"/>
        <v>5</v>
      </c>
      <c r="H4763" s="14">
        <f t="shared" si="2"/>
        <v>18</v>
      </c>
      <c r="I4763" s="15">
        <f t="shared" si="3"/>
        <v>11</v>
      </c>
    </row>
    <row r="4764">
      <c r="A4764" s="8" t="str">
        <f>IFERROR(__xludf.DUMMYFUNCTION("IF('(INGESTA)Datos_consumo_datadis'!A4764&lt;&gt;"""",SPLIT('(INGESTA)Datos_consumo_datadis'!A:A,"",""),"""")"),"ES0031408323131005HX0F")</f>
        <v>ES0031408323131005HX0F</v>
      </c>
      <c r="B4764" s="12">
        <f>IFERROR(__xludf.DUMMYFUNCTION("""COMPUTED_VALUE"""),45064.0)</f>
        <v>45064</v>
      </c>
      <c r="C4764" s="13">
        <f>IFERROR(__xludf.DUMMYFUNCTION("""COMPUTED_VALUE"""),0.5)</f>
        <v>0.5</v>
      </c>
      <c r="D4764" s="8">
        <f>IFERROR(__xludf.DUMMYFUNCTION("""COMPUTED_VALUE"""),0.301)</f>
        <v>0.301</v>
      </c>
      <c r="E4764" s="8" t="str">
        <f>IFERROR(__xludf.DUMMYFUNCTION("""COMPUTED_VALUE"""),"Estimada")</f>
        <v>Estimada</v>
      </c>
      <c r="G4764" s="8">
        <f t="shared" si="1"/>
        <v>5</v>
      </c>
      <c r="H4764" s="14">
        <f t="shared" si="2"/>
        <v>18</v>
      </c>
      <c r="I4764" s="15">
        <f t="shared" si="3"/>
        <v>12</v>
      </c>
    </row>
    <row r="4765">
      <c r="A4765" s="8" t="str">
        <f>IFERROR(__xludf.DUMMYFUNCTION("IF('(INGESTA)Datos_consumo_datadis'!A4765&lt;&gt;"""",SPLIT('(INGESTA)Datos_consumo_datadis'!A:A,"",""),"""")"),"ES0031408323131005HX0F")</f>
        <v>ES0031408323131005HX0F</v>
      </c>
      <c r="B4765" s="12">
        <f>IFERROR(__xludf.DUMMYFUNCTION("""COMPUTED_VALUE"""),45064.0)</f>
        <v>45064</v>
      </c>
      <c r="C4765" s="13">
        <f>IFERROR(__xludf.DUMMYFUNCTION("""COMPUTED_VALUE"""),0.5416666666666666)</f>
        <v>0.5416666667</v>
      </c>
      <c r="D4765" s="8">
        <f>IFERROR(__xludf.DUMMYFUNCTION("""COMPUTED_VALUE"""),0.311)</f>
        <v>0.311</v>
      </c>
      <c r="E4765" s="8" t="str">
        <f>IFERROR(__xludf.DUMMYFUNCTION("""COMPUTED_VALUE"""),"Estimada")</f>
        <v>Estimada</v>
      </c>
      <c r="G4765" s="8">
        <f t="shared" si="1"/>
        <v>5</v>
      </c>
      <c r="H4765" s="14">
        <f t="shared" si="2"/>
        <v>18</v>
      </c>
      <c r="I4765" s="15">
        <f t="shared" si="3"/>
        <v>13</v>
      </c>
    </row>
    <row r="4766">
      <c r="A4766" s="8" t="str">
        <f>IFERROR(__xludf.DUMMYFUNCTION("IF('(INGESTA)Datos_consumo_datadis'!A4766&lt;&gt;"""",SPLIT('(INGESTA)Datos_consumo_datadis'!A:A,"",""),"""")"),"ES0031408323131005HX0F")</f>
        <v>ES0031408323131005HX0F</v>
      </c>
      <c r="B4766" s="12">
        <f>IFERROR(__xludf.DUMMYFUNCTION("""COMPUTED_VALUE"""),45064.0)</f>
        <v>45064</v>
      </c>
      <c r="C4766" s="13">
        <f>IFERROR(__xludf.DUMMYFUNCTION("""COMPUTED_VALUE"""),0.5833333333333334)</f>
        <v>0.5833333333</v>
      </c>
      <c r="D4766" s="8">
        <f>IFERROR(__xludf.DUMMYFUNCTION("""COMPUTED_VALUE"""),0.331)</f>
        <v>0.331</v>
      </c>
      <c r="E4766" s="8" t="str">
        <f>IFERROR(__xludf.DUMMYFUNCTION("""COMPUTED_VALUE"""),"Estimada")</f>
        <v>Estimada</v>
      </c>
      <c r="G4766" s="8">
        <f t="shared" si="1"/>
        <v>5</v>
      </c>
      <c r="H4766" s="14">
        <f t="shared" si="2"/>
        <v>18</v>
      </c>
      <c r="I4766" s="15">
        <f t="shared" si="3"/>
        <v>14</v>
      </c>
    </row>
    <row r="4767">
      <c r="A4767" s="8" t="str">
        <f>IFERROR(__xludf.DUMMYFUNCTION("IF('(INGESTA)Datos_consumo_datadis'!A4767&lt;&gt;"""",SPLIT('(INGESTA)Datos_consumo_datadis'!A:A,"",""),"""")"),"ES0031408323131005HX0F")</f>
        <v>ES0031408323131005HX0F</v>
      </c>
      <c r="B4767" s="12">
        <f>IFERROR(__xludf.DUMMYFUNCTION("""COMPUTED_VALUE"""),45064.0)</f>
        <v>45064</v>
      </c>
      <c r="C4767" s="13">
        <f>IFERROR(__xludf.DUMMYFUNCTION("""COMPUTED_VALUE"""),0.625)</f>
        <v>0.625</v>
      </c>
      <c r="D4767" s="8">
        <f>IFERROR(__xludf.DUMMYFUNCTION("""COMPUTED_VALUE"""),0.311)</f>
        <v>0.311</v>
      </c>
      <c r="E4767" s="8" t="str">
        <f>IFERROR(__xludf.DUMMYFUNCTION("""COMPUTED_VALUE"""),"Estimada")</f>
        <v>Estimada</v>
      </c>
      <c r="G4767" s="8">
        <f t="shared" si="1"/>
        <v>5</v>
      </c>
      <c r="H4767" s="14">
        <f t="shared" si="2"/>
        <v>18</v>
      </c>
      <c r="I4767" s="15">
        <f t="shared" si="3"/>
        <v>15</v>
      </c>
    </row>
    <row r="4768">
      <c r="A4768" s="8" t="str">
        <f>IFERROR(__xludf.DUMMYFUNCTION("IF('(INGESTA)Datos_consumo_datadis'!A4768&lt;&gt;"""",SPLIT('(INGESTA)Datos_consumo_datadis'!A:A,"",""),"""")"),"ES0031408323131005HX0F")</f>
        <v>ES0031408323131005HX0F</v>
      </c>
      <c r="B4768" s="12">
        <f>IFERROR(__xludf.DUMMYFUNCTION("""COMPUTED_VALUE"""),45064.0)</f>
        <v>45064</v>
      </c>
      <c r="C4768" s="13">
        <f>IFERROR(__xludf.DUMMYFUNCTION("""COMPUTED_VALUE"""),0.6666666666666666)</f>
        <v>0.6666666667</v>
      </c>
      <c r="D4768" s="8">
        <f>IFERROR(__xludf.DUMMYFUNCTION("""COMPUTED_VALUE"""),0.285)</f>
        <v>0.285</v>
      </c>
      <c r="E4768" s="8" t="str">
        <f>IFERROR(__xludf.DUMMYFUNCTION("""COMPUTED_VALUE"""),"Estimada")</f>
        <v>Estimada</v>
      </c>
      <c r="G4768" s="8">
        <f t="shared" si="1"/>
        <v>5</v>
      </c>
      <c r="H4768" s="14">
        <f t="shared" si="2"/>
        <v>18</v>
      </c>
      <c r="I4768" s="15">
        <f t="shared" si="3"/>
        <v>16</v>
      </c>
    </row>
    <row r="4769">
      <c r="A4769" s="8" t="str">
        <f>IFERROR(__xludf.DUMMYFUNCTION("IF('(INGESTA)Datos_consumo_datadis'!A4769&lt;&gt;"""",SPLIT('(INGESTA)Datos_consumo_datadis'!A:A,"",""),"""")"),"ES0031408323131005HX0F")</f>
        <v>ES0031408323131005HX0F</v>
      </c>
      <c r="B4769" s="12">
        <f>IFERROR(__xludf.DUMMYFUNCTION("""COMPUTED_VALUE"""),45064.0)</f>
        <v>45064</v>
      </c>
      <c r="C4769" s="13">
        <f>IFERROR(__xludf.DUMMYFUNCTION("""COMPUTED_VALUE"""),0.7083333333333334)</f>
        <v>0.7083333333</v>
      </c>
      <c r="D4769" s="8">
        <f>IFERROR(__xludf.DUMMYFUNCTION("""COMPUTED_VALUE"""),0.269)</f>
        <v>0.269</v>
      </c>
      <c r="E4769" s="8" t="str">
        <f>IFERROR(__xludf.DUMMYFUNCTION("""COMPUTED_VALUE"""),"Estimada")</f>
        <v>Estimada</v>
      </c>
      <c r="G4769" s="8">
        <f t="shared" si="1"/>
        <v>5</v>
      </c>
      <c r="H4769" s="14">
        <f t="shared" si="2"/>
        <v>18</v>
      </c>
      <c r="I4769" s="15">
        <f t="shared" si="3"/>
        <v>17</v>
      </c>
    </row>
    <row r="4770">
      <c r="A4770" s="8" t="str">
        <f>IFERROR(__xludf.DUMMYFUNCTION("IF('(INGESTA)Datos_consumo_datadis'!A4770&lt;&gt;"""",SPLIT('(INGESTA)Datos_consumo_datadis'!A:A,"",""),"""")"),"ES0031408323131005HX0F")</f>
        <v>ES0031408323131005HX0F</v>
      </c>
      <c r="B4770" s="12">
        <f>IFERROR(__xludf.DUMMYFUNCTION("""COMPUTED_VALUE"""),45064.0)</f>
        <v>45064</v>
      </c>
      <c r="C4770" s="13">
        <f>IFERROR(__xludf.DUMMYFUNCTION("""COMPUTED_VALUE"""),0.75)</f>
        <v>0.75</v>
      </c>
      <c r="D4770" s="8">
        <f>IFERROR(__xludf.DUMMYFUNCTION("""COMPUTED_VALUE"""),0.27)</f>
        <v>0.27</v>
      </c>
      <c r="E4770" s="8" t="str">
        <f>IFERROR(__xludf.DUMMYFUNCTION("""COMPUTED_VALUE"""),"Estimada")</f>
        <v>Estimada</v>
      </c>
      <c r="G4770" s="8">
        <f t="shared" si="1"/>
        <v>5</v>
      </c>
      <c r="H4770" s="14">
        <f t="shared" si="2"/>
        <v>18</v>
      </c>
      <c r="I4770" s="15">
        <f t="shared" si="3"/>
        <v>18</v>
      </c>
    </row>
    <row r="4771">
      <c r="A4771" s="8" t="str">
        <f>IFERROR(__xludf.DUMMYFUNCTION("IF('(INGESTA)Datos_consumo_datadis'!A4771&lt;&gt;"""",SPLIT('(INGESTA)Datos_consumo_datadis'!A:A,"",""),"""")"),"ES0031408323131005HX0F")</f>
        <v>ES0031408323131005HX0F</v>
      </c>
      <c r="B4771" s="12">
        <f>IFERROR(__xludf.DUMMYFUNCTION("""COMPUTED_VALUE"""),45064.0)</f>
        <v>45064</v>
      </c>
      <c r="C4771" s="13">
        <f>IFERROR(__xludf.DUMMYFUNCTION("""COMPUTED_VALUE"""),0.7916666666666666)</f>
        <v>0.7916666667</v>
      </c>
      <c r="D4771" s="8">
        <f>IFERROR(__xludf.DUMMYFUNCTION("""COMPUTED_VALUE"""),0.289)</f>
        <v>0.289</v>
      </c>
      <c r="E4771" s="8" t="str">
        <f>IFERROR(__xludf.DUMMYFUNCTION("""COMPUTED_VALUE"""),"Estimada")</f>
        <v>Estimada</v>
      </c>
      <c r="G4771" s="8">
        <f t="shared" si="1"/>
        <v>5</v>
      </c>
      <c r="H4771" s="14">
        <f t="shared" si="2"/>
        <v>18</v>
      </c>
      <c r="I4771" s="15">
        <f t="shared" si="3"/>
        <v>19</v>
      </c>
    </row>
    <row r="4772">
      <c r="A4772" s="8" t="str">
        <f>IFERROR(__xludf.DUMMYFUNCTION("IF('(INGESTA)Datos_consumo_datadis'!A4772&lt;&gt;"""",SPLIT('(INGESTA)Datos_consumo_datadis'!A:A,"",""),"""")"),"ES0031408323131005HX0F")</f>
        <v>ES0031408323131005HX0F</v>
      </c>
      <c r="B4772" s="12">
        <f>IFERROR(__xludf.DUMMYFUNCTION("""COMPUTED_VALUE"""),45064.0)</f>
        <v>45064</v>
      </c>
      <c r="C4772" s="13">
        <f>IFERROR(__xludf.DUMMYFUNCTION("""COMPUTED_VALUE"""),0.8333333333333334)</f>
        <v>0.8333333333</v>
      </c>
      <c r="D4772" s="8">
        <f>IFERROR(__xludf.DUMMYFUNCTION("""COMPUTED_VALUE"""),0.303)</f>
        <v>0.303</v>
      </c>
      <c r="E4772" s="8" t="str">
        <f>IFERROR(__xludf.DUMMYFUNCTION("""COMPUTED_VALUE"""),"Estimada")</f>
        <v>Estimada</v>
      </c>
      <c r="G4772" s="8">
        <f t="shared" si="1"/>
        <v>5</v>
      </c>
      <c r="H4772" s="14">
        <f t="shared" si="2"/>
        <v>18</v>
      </c>
      <c r="I4772" s="15">
        <f t="shared" si="3"/>
        <v>20</v>
      </c>
    </row>
    <row r="4773">
      <c r="A4773" s="8" t="str">
        <f>IFERROR(__xludf.DUMMYFUNCTION("IF('(INGESTA)Datos_consumo_datadis'!A4773&lt;&gt;"""",SPLIT('(INGESTA)Datos_consumo_datadis'!A:A,"",""),"""")"),"ES0031408323131005HX0F")</f>
        <v>ES0031408323131005HX0F</v>
      </c>
      <c r="B4773" s="12">
        <f>IFERROR(__xludf.DUMMYFUNCTION("""COMPUTED_VALUE"""),45064.0)</f>
        <v>45064</v>
      </c>
      <c r="C4773" s="13">
        <f>IFERROR(__xludf.DUMMYFUNCTION("""COMPUTED_VALUE"""),0.875)</f>
        <v>0.875</v>
      </c>
      <c r="D4773" s="8">
        <f>IFERROR(__xludf.DUMMYFUNCTION("""COMPUTED_VALUE"""),0.337)</f>
        <v>0.337</v>
      </c>
      <c r="E4773" s="8" t="str">
        <f>IFERROR(__xludf.DUMMYFUNCTION("""COMPUTED_VALUE"""),"Estimada")</f>
        <v>Estimada</v>
      </c>
      <c r="G4773" s="8">
        <f t="shared" si="1"/>
        <v>5</v>
      </c>
      <c r="H4773" s="14">
        <f t="shared" si="2"/>
        <v>18</v>
      </c>
      <c r="I4773" s="15">
        <f t="shared" si="3"/>
        <v>21</v>
      </c>
    </row>
    <row r="4774">
      <c r="A4774" s="8" t="str">
        <f>IFERROR(__xludf.DUMMYFUNCTION("IF('(INGESTA)Datos_consumo_datadis'!A4774&lt;&gt;"""",SPLIT('(INGESTA)Datos_consumo_datadis'!A:A,"",""),"""")"),"ES0031408323131005HX0F")</f>
        <v>ES0031408323131005HX0F</v>
      </c>
      <c r="B4774" s="12">
        <f>IFERROR(__xludf.DUMMYFUNCTION("""COMPUTED_VALUE"""),45064.0)</f>
        <v>45064</v>
      </c>
      <c r="C4774" s="13">
        <f>IFERROR(__xludf.DUMMYFUNCTION("""COMPUTED_VALUE"""),0.9166666666666666)</f>
        <v>0.9166666667</v>
      </c>
      <c r="D4774" s="8">
        <f>IFERROR(__xludf.DUMMYFUNCTION("""COMPUTED_VALUE"""),0.388)</f>
        <v>0.388</v>
      </c>
      <c r="E4774" s="8" t="str">
        <f>IFERROR(__xludf.DUMMYFUNCTION("""COMPUTED_VALUE"""),"Estimada")</f>
        <v>Estimada</v>
      </c>
      <c r="G4774" s="8">
        <f t="shared" si="1"/>
        <v>5</v>
      </c>
      <c r="H4774" s="14">
        <f t="shared" si="2"/>
        <v>18</v>
      </c>
      <c r="I4774" s="15">
        <f t="shared" si="3"/>
        <v>22</v>
      </c>
    </row>
    <row r="4775">
      <c r="A4775" s="8" t="str">
        <f>IFERROR(__xludf.DUMMYFUNCTION("IF('(INGESTA)Datos_consumo_datadis'!A4775&lt;&gt;"""",SPLIT('(INGESTA)Datos_consumo_datadis'!A:A,"",""),"""")"),"ES0031408323131005HX0F")</f>
        <v>ES0031408323131005HX0F</v>
      </c>
      <c r="B4775" s="12">
        <f>IFERROR(__xludf.DUMMYFUNCTION("""COMPUTED_VALUE"""),45064.0)</f>
        <v>45064</v>
      </c>
      <c r="C4775" s="13">
        <f>IFERROR(__xludf.DUMMYFUNCTION("""COMPUTED_VALUE"""),0.9583333333333334)</f>
        <v>0.9583333333</v>
      </c>
      <c r="D4775" s="8">
        <f>IFERROR(__xludf.DUMMYFUNCTION("""COMPUTED_VALUE"""),0.355)</f>
        <v>0.355</v>
      </c>
      <c r="E4775" s="8" t="str">
        <f>IFERROR(__xludf.DUMMYFUNCTION("""COMPUTED_VALUE"""),"Estimada")</f>
        <v>Estimada</v>
      </c>
      <c r="G4775" s="8">
        <f t="shared" si="1"/>
        <v>5</v>
      </c>
      <c r="H4775" s="14">
        <f t="shared" si="2"/>
        <v>18</v>
      </c>
      <c r="I4775" s="15">
        <f t="shared" si="3"/>
        <v>23</v>
      </c>
    </row>
    <row r="4776">
      <c r="A4776" s="8" t="str">
        <f>IFERROR(__xludf.DUMMYFUNCTION("IF('(INGESTA)Datos_consumo_datadis'!A4776&lt;&gt;"""",SPLIT('(INGESTA)Datos_consumo_datadis'!A:A,"",""),"""")"),"ES0031408323131005HX0F")</f>
        <v>ES0031408323131005HX0F</v>
      </c>
      <c r="B4776" s="12">
        <f>IFERROR(__xludf.DUMMYFUNCTION("""COMPUTED_VALUE"""),45064.0)</f>
        <v>45064</v>
      </c>
      <c r="C4776" s="16">
        <f>IFERROR(__xludf.DUMMYFUNCTION("""COMPUTED_VALUE"""),1.0)</f>
        <v>1</v>
      </c>
      <c r="D4776" s="8">
        <f>IFERROR(__xludf.DUMMYFUNCTION("""COMPUTED_VALUE"""),0.294)</f>
        <v>0.294</v>
      </c>
      <c r="E4776" s="8" t="str">
        <f>IFERROR(__xludf.DUMMYFUNCTION("""COMPUTED_VALUE"""),"Estimada")</f>
        <v>Estimada</v>
      </c>
      <c r="G4776" s="8">
        <f t="shared" si="1"/>
        <v>5</v>
      </c>
      <c r="H4776" s="14">
        <f t="shared" si="2"/>
        <v>18</v>
      </c>
      <c r="I4776" s="15">
        <f t="shared" si="3"/>
        <v>0</v>
      </c>
    </row>
    <row r="4777">
      <c r="A4777" s="8" t="str">
        <f>IFERROR(__xludf.DUMMYFUNCTION("IF('(INGESTA)Datos_consumo_datadis'!A4777&lt;&gt;"""",SPLIT('(INGESTA)Datos_consumo_datadis'!A:A,"",""),"""")"),"ES0031408323131005HX0F")</f>
        <v>ES0031408323131005HX0F</v>
      </c>
      <c r="B4777" s="12">
        <f>IFERROR(__xludf.DUMMYFUNCTION("""COMPUTED_VALUE"""),45065.0)</f>
        <v>45065</v>
      </c>
      <c r="C4777" s="13">
        <f>IFERROR(__xludf.DUMMYFUNCTION("""COMPUTED_VALUE"""),0.041666666666666664)</f>
        <v>0.04166666667</v>
      </c>
      <c r="D4777" s="8">
        <f>IFERROR(__xludf.DUMMYFUNCTION("""COMPUTED_VALUE"""),0.251)</f>
        <v>0.251</v>
      </c>
      <c r="E4777" s="8" t="str">
        <f>IFERROR(__xludf.DUMMYFUNCTION("""COMPUTED_VALUE"""),"Estimada")</f>
        <v>Estimada</v>
      </c>
      <c r="G4777" s="8">
        <f t="shared" si="1"/>
        <v>5</v>
      </c>
      <c r="H4777" s="14">
        <f t="shared" si="2"/>
        <v>19</v>
      </c>
      <c r="I4777" s="15">
        <f t="shared" si="3"/>
        <v>1</v>
      </c>
    </row>
    <row r="4778">
      <c r="A4778" s="8" t="str">
        <f>IFERROR(__xludf.DUMMYFUNCTION("IF('(INGESTA)Datos_consumo_datadis'!A4778&lt;&gt;"""",SPLIT('(INGESTA)Datos_consumo_datadis'!A:A,"",""),"""")"),"ES0031408323131005HX0F")</f>
        <v>ES0031408323131005HX0F</v>
      </c>
      <c r="B4778" s="12">
        <f>IFERROR(__xludf.DUMMYFUNCTION("""COMPUTED_VALUE"""),45065.0)</f>
        <v>45065</v>
      </c>
      <c r="C4778" s="13">
        <f>IFERROR(__xludf.DUMMYFUNCTION("""COMPUTED_VALUE"""),0.08333333333333333)</f>
        <v>0.08333333333</v>
      </c>
      <c r="D4778" s="8">
        <f>IFERROR(__xludf.DUMMYFUNCTION("""COMPUTED_VALUE"""),0.209)</f>
        <v>0.209</v>
      </c>
      <c r="E4778" s="8" t="str">
        <f>IFERROR(__xludf.DUMMYFUNCTION("""COMPUTED_VALUE"""),"Estimada")</f>
        <v>Estimada</v>
      </c>
      <c r="G4778" s="8">
        <f t="shared" si="1"/>
        <v>5</v>
      </c>
      <c r="H4778" s="14">
        <f t="shared" si="2"/>
        <v>19</v>
      </c>
      <c r="I4778" s="15">
        <f t="shared" si="3"/>
        <v>2</v>
      </c>
    </row>
    <row r="4779">
      <c r="A4779" s="8" t="str">
        <f>IFERROR(__xludf.DUMMYFUNCTION("IF('(INGESTA)Datos_consumo_datadis'!A4779&lt;&gt;"""",SPLIT('(INGESTA)Datos_consumo_datadis'!A:A,"",""),"""")"),"ES0031408323131005HX0F")</f>
        <v>ES0031408323131005HX0F</v>
      </c>
      <c r="B4779" s="12">
        <f>IFERROR(__xludf.DUMMYFUNCTION("""COMPUTED_VALUE"""),45065.0)</f>
        <v>45065</v>
      </c>
      <c r="C4779" s="13">
        <f>IFERROR(__xludf.DUMMYFUNCTION("""COMPUTED_VALUE"""),0.125)</f>
        <v>0.125</v>
      </c>
      <c r="D4779" s="8">
        <f>IFERROR(__xludf.DUMMYFUNCTION("""COMPUTED_VALUE"""),0.185)</f>
        <v>0.185</v>
      </c>
      <c r="E4779" s="8" t="str">
        <f>IFERROR(__xludf.DUMMYFUNCTION("""COMPUTED_VALUE"""),"Estimada")</f>
        <v>Estimada</v>
      </c>
      <c r="G4779" s="8">
        <f t="shared" si="1"/>
        <v>5</v>
      </c>
      <c r="H4779" s="14">
        <f t="shared" si="2"/>
        <v>19</v>
      </c>
      <c r="I4779" s="15">
        <f t="shared" si="3"/>
        <v>3</v>
      </c>
    </row>
    <row r="4780">
      <c r="A4780" s="8" t="str">
        <f>IFERROR(__xludf.DUMMYFUNCTION("IF('(INGESTA)Datos_consumo_datadis'!A4780&lt;&gt;"""",SPLIT('(INGESTA)Datos_consumo_datadis'!A:A,"",""),"""")"),"ES0031408323131005HX0F")</f>
        <v>ES0031408323131005HX0F</v>
      </c>
      <c r="B4780" s="12">
        <f>IFERROR(__xludf.DUMMYFUNCTION("""COMPUTED_VALUE"""),45065.0)</f>
        <v>45065</v>
      </c>
      <c r="C4780" s="13">
        <f>IFERROR(__xludf.DUMMYFUNCTION("""COMPUTED_VALUE"""),0.16666666666666666)</f>
        <v>0.1666666667</v>
      </c>
      <c r="D4780" s="8">
        <f>IFERROR(__xludf.DUMMYFUNCTION("""COMPUTED_VALUE"""),0.175)</f>
        <v>0.175</v>
      </c>
      <c r="E4780" s="8" t="str">
        <f>IFERROR(__xludf.DUMMYFUNCTION("""COMPUTED_VALUE"""),"Estimada")</f>
        <v>Estimada</v>
      </c>
      <c r="G4780" s="8">
        <f t="shared" si="1"/>
        <v>5</v>
      </c>
      <c r="H4780" s="14">
        <f t="shared" si="2"/>
        <v>19</v>
      </c>
      <c r="I4780" s="15">
        <f t="shared" si="3"/>
        <v>4</v>
      </c>
    </row>
    <row r="4781">
      <c r="A4781" s="8" t="str">
        <f>IFERROR(__xludf.DUMMYFUNCTION("IF('(INGESTA)Datos_consumo_datadis'!A4781&lt;&gt;"""",SPLIT('(INGESTA)Datos_consumo_datadis'!A:A,"",""),"""")"),"ES0031408323131005HX0F")</f>
        <v>ES0031408323131005HX0F</v>
      </c>
      <c r="B4781" s="12">
        <f>IFERROR(__xludf.DUMMYFUNCTION("""COMPUTED_VALUE"""),45065.0)</f>
        <v>45065</v>
      </c>
      <c r="C4781" s="13">
        <f>IFERROR(__xludf.DUMMYFUNCTION("""COMPUTED_VALUE"""),0.20833333333333334)</f>
        <v>0.2083333333</v>
      </c>
      <c r="D4781" s="8">
        <f>IFERROR(__xludf.DUMMYFUNCTION("""COMPUTED_VALUE"""),0.171)</f>
        <v>0.171</v>
      </c>
      <c r="E4781" s="8" t="str">
        <f>IFERROR(__xludf.DUMMYFUNCTION("""COMPUTED_VALUE"""),"Estimada")</f>
        <v>Estimada</v>
      </c>
      <c r="G4781" s="8">
        <f t="shared" si="1"/>
        <v>5</v>
      </c>
      <c r="H4781" s="14">
        <f t="shared" si="2"/>
        <v>19</v>
      </c>
      <c r="I4781" s="15">
        <f t="shared" si="3"/>
        <v>5</v>
      </c>
    </row>
    <row r="4782">
      <c r="A4782" s="8" t="str">
        <f>IFERROR(__xludf.DUMMYFUNCTION("IF('(INGESTA)Datos_consumo_datadis'!A4782&lt;&gt;"""",SPLIT('(INGESTA)Datos_consumo_datadis'!A:A,"",""),"""")"),"ES0031408323131005HX0F")</f>
        <v>ES0031408323131005HX0F</v>
      </c>
      <c r="B4782" s="12">
        <f>IFERROR(__xludf.DUMMYFUNCTION("""COMPUTED_VALUE"""),45065.0)</f>
        <v>45065</v>
      </c>
      <c r="C4782" s="13">
        <f>IFERROR(__xludf.DUMMYFUNCTION("""COMPUTED_VALUE"""),0.25)</f>
        <v>0.25</v>
      </c>
      <c r="D4782" s="8">
        <f>IFERROR(__xludf.DUMMYFUNCTION("""COMPUTED_VALUE"""),0.175)</f>
        <v>0.175</v>
      </c>
      <c r="E4782" s="8" t="str">
        <f>IFERROR(__xludf.DUMMYFUNCTION("""COMPUTED_VALUE"""),"Estimada")</f>
        <v>Estimada</v>
      </c>
      <c r="G4782" s="8">
        <f t="shared" si="1"/>
        <v>5</v>
      </c>
      <c r="H4782" s="14">
        <f t="shared" si="2"/>
        <v>19</v>
      </c>
      <c r="I4782" s="15">
        <f t="shared" si="3"/>
        <v>6</v>
      </c>
    </row>
    <row r="4783">
      <c r="A4783" s="8" t="str">
        <f>IFERROR(__xludf.DUMMYFUNCTION("IF('(INGESTA)Datos_consumo_datadis'!A4783&lt;&gt;"""",SPLIT('(INGESTA)Datos_consumo_datadis'!A:A,"",""),"""")"),"ES0031408323131005HX0F")</f>
        <v>ES0031408323131005HX0F</v>
      </c>
      <c r="B4783" s="12">
        <f>IFERROR(__xludf.DUMMYFUNCTION("""COMPUTED_VALUE"""),45065.0)</f>
        <v>45065</v>
      </c>
      <c r="C4783" s="13">
        <f>IFERROR(__xludf.DUMMYFUNCTION("""COMPUTED_VALUE"""),0.2916666666666667)</f>
        <v>0.2916666667</v>
      </c>
      <c r="D4783" s="8">
        <f>IFERROR(__xludf.DUMMYFUNCTION("""COMPUTED_VALUE"""),0.192)</f>
        <v>0.192</v>
      </c>
      <c r="E4783" s="8" t="str">
        <f>IFERROR(__xludf.DUMMYFUNCTION("""COMPUTED_VALUE"""),"Estimada")</f>
        <v>Estimada</v>
      </c>
      <c r="G4783" s="8">
        <f t="shared" si="1"/>
        <v>5</v>
      </c>
      <c r="H4783" s="14">
        <f t="shared" si="2"/>
        <v>19</v>
      </c>
      <c r="I4783" s="15">
        <f t="shared" si="3"/>
        <v>7</v>
      </c>
    </row>
    <row r="4784">
      <c r="A4784" s="8" t="str">
        <f>IFERROR(__xludf.DUMMYFUNCTION("IF('(INGESTA)Datos_consumo_datadis'!A4784&lt;&gt;"""",SPLIT('(INGESTA)Datos_consumo_datadis'!A:A,"",""),"""")"),"ES0031408323131005HX0F")</f>
        <v>ES0031408323131005HX0F</v>
      </c>
      <c r="B4784" s="12">
        <f>IFERROR(__xludf.DUMMYFUNCTION("""COMPUTED_VALUE"""),45065.0)</f>
        <v>45065</v>
      </c>
      <c r="C4784" s="13">
        <f>IFERROR(__xludf.DUMMYFUNCTION("""COMPUTED_VALUE"""),0.3333333333333333)</f>
        <v>0.3333333333</v>
      </c>
      <c r="D4784" s="8">
        <f>IFERROR(__xludf.DUMMYFUNCTION("""COMPUTED_VALUE"""),0.229)</f>
        <v>0.229</v>
      </c>
      <c r="E4784" s="8" t="str">
        <f>IFERROR(__xludf.DUMMYFUNCTION("""COMPUTED_VALUE"""),"Estimada")</f>
        <v>Estimada</v>
      </c>
      <c r="G4784" s="8">
        <f t="shared" si="1"/>
        <v>5</v>
      </c>
      <c r="H4784" s="14">
        <f t="shared" si="2"/>
        <v>19</v>
      </c>
      <c r="I4784" s="15">
        <f t="shared" si="3"/>
        <v>8</v>
      </c>
    </row>
    <row r="4785">
      <c r="A4785" s="8" t="str">
        <f>IFERROR(__xludf.DUMMYFUNCTION("IF('(INGESTA)Datos_consumo_datadis'!A4785&lt;&gt;"""",SPLIT('(INGESTA)Datos_consumo_datadis'!A:A,"",""),"""")"),"ES0031408323131005HX0F")</f>
        <v>ES0031408323131005HX0F</v>
      </c>
      <c r="B4785" s="12">
        <f>IFERROR(__xludf.DUMMYFUNCTION("""COMPUTED_VALUE"""),45065.0)</f>
        <v>45065</v>
      </c>
      <c r="C4785" s="13">
        <f>IFERROR(__xludf.DUMMYFUNCTION("""COMPUTED_VALUE"""),0.375)</f>
        <v>0.375</v>
      </c>
      <c r="D4785" s="8">
        <f>IFERROR(__xludf.DUMMYFUNCTION("""COMPUTED_VALUE"""),0.254)</f>
        <v>0.254</v>
      </c>
      <c r="E4785" s="8" t="str">
        <f>IFERROR(__xludf.DUMMYFUNCTION("""COMPUTED_VALUE"""),"Estimada")</f>
        <v>Estimada</v>
      </c>
      <c r="G4785" s="8">
        <f t="shared" si="1"/>
        <v>5</v>
      </c>
      <c r="H4785" s="14">
        <f t="shared" si="2"/>
        <v>19</v>
      </c>
      <c r="I4785" s="15">
        <f t="shared" si="3"/>
        <v>9</v>
      </c>
    </row>
    <row r="4786">
      <c r="A4786" s="8" t="str">
        <f>IFERROR(__xludf.DUMMYFUNCTION("IF('(INGESTA)Datos_consumo_datadis'!A4786&lt;&gt;"""",SPLIT('(INGESTA)Datos_consumo_datadis'!A:A,"",""),"""")"),"ES0031408323131005HX0F")</f>
        <v>ES0031408323131005HX0F</v>
      </c>
      <c r="B4786" s="12">
        <f>IFERROR(__xludf.DUMMYFUNCTION("""COMPUTED_VALUE"""),45065.0)</f>
        <v>45065</v>
      </c>
      <c r="C4786" s="13">
        <f>IFERROR(__xludf.DUMMYFUNCTION("""COMPUTED_VALUE"""),0.4166666666666667)</f>
        <v>0.4166666667</v>
      </c>
      <c r="D4786" s="8">
        <f>IFERROR(__xludf.DUMMYFUNCTION("""COMPUTED_VALUE"""),0.271)</f>
        <v>0.271</v>
      </c>
      <c r="E4786" s="8" t="str">
        <f>IFERROR(__xludf.DUMMYFUNCTION("""COMPUTED_VALUE"""),"Estimada")</f>
        <v>Estimada</v>
      </c>
      <c r="G4786" s="8">
        <f t="shared" si="1"/>
        <v>5</v>
      </c>
      <c r="H4786" s="14">
        <f t="shared" si="2"/>
        <v>19</v>
      </c>
      <c r="I4786" s="15">
        <f t="shared" si="3"/>
        <v>10</v>
      </c>
    </row>
    <row r="4787">
      <c r="A4787" s="8" t="str">
        <f>IFERROR(__xludf.DUMMYFUNCTION("IF('(INGESTA)Datos_consumo_datadis'!A4787&lt;&gt;"""",SPLIT('(INGESTA)Datos_consumo_datadis'!A:A,"",""),"""")"),"ES0031408323131005HX0F")</f>
        <v>ES0031408323131005HX0F</v>
      </c>
      <c r="B4787" s="12">
        <f>IFERROR(__xludf.DUMMYFUNCTION("""COMPUTED_VALUE"""),45065.0)</f>
        <v>45065</v>
      </c>
      <c r="C4787" s="13">
        <f>IFERROR(__xludf.DUMMYFUNCTION("""COMPUTED_VALUE"""),0.4583333333333333)</f>
        <v>0.4583333333</v>
      </c>
      <c r="D4787" s="8">
        <f>IFERROR(__xludf.DUMMYFUNCTION("""COMPUTED_VALUE"""),0.299)</f>
        <v>0.299</v>
      </c>
      <c r="E4787" s="8" t="str">
        <f>IFERROR(__xludf.DUMMYFUNCTION("""COMPUTED_VALUE"""),"Estimada")</f>
        <v>Estimada</v>
      </c>
      <c r="G4787" s="8">
        <f t="shared" si="1"/>
        <v>5</v>
      </c>
      <c r="H4787" s="14">
        <f t="shared" si="2"/>
        <v>19</v>
      </c>
      <c r="I4787" s="15">
        <f t="shared" si="3"/>
        <v>11</v>
      </c>
    </row>
    <row r="4788">
      <c r="A4788" s="8" t="str">
        <f>IFERROR(__xludf.DUMMYFUNCTION("IF('(INGESTA)Datos_consumo_datadis'!A4788&lt;&gt;"""",SPLIT('(INGESTA)Datos_consumo_datadis'!A:A,"",""),"""")"),"ES0031408323131005HX0F")</f>
        <v>ES0031408323131005HX0F</v>
      </c>
      <c r="B4788" s="12">
        <f>IFERROR(__xludf.DUMMYFUNCTION("""COMPUTED_VALUE"""),45065.0)</f>
        <v>45065</v>
      </c>
      <c r="C4788" s="13">
        <f>IFERROR(__xludf.DUMMYFUNCTION("""COMPUTED_VALUE"""),0.5)</f>
        <v>0.5</v>
      </c>
      <c r="D4788" s="8">
        <f>IFERROR(__xludf.DUMMYFUNCTION("""COMPUTED_VALUE"""),0.303)</f>
        <v>0.303</v>
      </c>
      <c r="E4788" s="8" t="str">
        <f>IFERROR(__xludf.DUMMYFUNCTION("""COMPUTED_VALUE"""),"Estimada")</f>
        <v>Estimada</v>
      </c>
      <c r="G4788" s="8">
        <f t="shared" si="1"/>
        <v>5</v>
      </c>
      <c r="H4788" s="14">
        <f t="shared" si="2"/>
        <v>19</v>
      </c>
      <c r="I4788" s="15">
        <f t="shared" si="3"/>
        <v>12</v>
      </c>
    </row>
    <row r="4789">
      <c r="A4789" s="8" t="str">
        <f>IFERROR(__xludf.DUMMYFUNCTION("IF('(INGESTA)Datos_consumo_datadis'!A4789&lt;&gt;"""",SPLIT('(INGESTA)Datos_consumo_datadis'!A:A,"",""),"""")"),"ES0031408323131005HX0F")</f>
        <v>ES0031408323131005HX0F</v>
      </c>
      <c r="B4789" s="12">
        <f>IFERROR(__xludf.DUMMYFUNCTION("""COMPUTED_VALUE"""),45065.0)</f>
        <v>45065</v>
      </c>
      <c r="C4789" s="13">
        <f>IFERROR(__xludf.DUMMYFUNCTION("""COMPUTED_VALUE"""),0.5416666666666666)</f>
        <v>0.5416666667</v>
      </c>
      <c r="D4789" s="8">
        <f>IFERROR(__xludf.DUMMYFUNCTION("""COMPUTED_VALUE"""),0.313)</f>
        <v>0.313</v>
      </c>
      <c r="E4789" s="8" t="str">
        <f>IFERROR(__xludf.DUMMYFUNCTION("""COMPUTED_VALUE"""),"Estimada")</f>
        <v>Estimada</v>
      </c>
      <c r="G4789" s="8">
        <f t="shared" si="1"/>
        <v>5</v>
      </c>
      <c r="H4789" s="14">
        <f t="shared" si="2"/>
        <v>19</v>
      </c>
      <c r="I4789" s="15">
        <f t="shared" si="3"/>
        <v>13</v>
      </c>
    </row>
    <row r="4790">
      <c r="A4790" s="8" t="str">
        <f>IFERROR(__xludf.DUMMYFUNCTION("IF('(INGESTA)Datos_consumo_datadis'!A4790&lt;&gt;"""",SPLIT('(INGESTA)Datos_consumo_datadis'!A:A,"",""),"""")"),"ES0031408323131005HX0F")</f>
        <v>ES0031408323131005HX0F</v>
      </c>
      <c r="B4790" s="12">
        <f>IFERROR(__xludf.DUMMYFUNCTION("""COMPUTED_VALUE"""),45065.0)</f>
        <v>45065</v>
      </c>
      <c r="C4790" s="13">
        <f>IFERROR(__xludf.DUMMYFUNCTION("""COMPUTED_VALUE"""),0.5833333333333334)</f>
        <v>0.5833333333</v>
      </c>
      <c r="D4790" s="8">
        <f>IFERROR(__xludf.DUMMYFUNCTION("""COMPUTED_VALUE"""),0.33)</f>
        <v>0.33</v>
      </c>
      <c r="E4790" s="8" t="str">
        <f>IFERROR(__xludf.DUMMYFUNCTION("""COMPUTED_VALUE"""),"Estimada")</f>
        <v>Estimada</v>
      </c>
      <c r="G4790" s="8">
        <f t="shared" si="1"/>
        <v>5</v>
      </c>
      <c r="H4790" s="14">
        <f t="shared" si="2"/>
        <v>19</v>
      </c>
      <c r="I4790" s="15">
        <f t="shared" si="3"/>
        <v>14</v>
      </c>
    </row>
    <row r="4791">
      <c r="A4791" s="8" t="str">
        <f>IFERROR(__xludf.DUMMYFUNCTION("IF('(INGESTA)Datos_consumo_datadis'!A4791&lt;&gt;"""",SPLIT('(INGESTA)Datos_consumo_datadis'!A:A,"",""),"""")"),"ES0031408323131005HX0F")</f>
        <v>ES0031408323131005HX0F</v>
      </c>
      <c r="B4791" s="12">
        <f>IFERROR(__xludf.DUMMYFUNCTION("""COMPUTED_VALUE"""),45065.0)</f>
        <v>45065</v>
      </c>
      <c r="C4791" s="13">
        <f>IFERROR(__xludf.DUMMYFUNCTION("""COMPUTED_VALUE"""),0.625)</f>
        <v>0.625</v>
      </c>
      <c r="D4791" s="8">
        <f>IFERROR(__xludf.DUMMYFUNCTION("""COMPUTED_VALUE"""),0.313)</f>
        <v>0.313</v>
      </c>
      <c r="E4791" s="8" t="str">
        <f>IFERROR(__xludf.DUMMYFUNCTION("""COMPUTED_VALUE"""),"Estimada")</f>
        <v>Estimada</v>
      </c>
      <c r="G4791" s="8">
        <f t="shared" si="1"/>
        <v>5</v>
      </c>
      <c r="H4791" s="14">
        <f t="shared" si="2"/>
        <v>19</v>
      </c>
      <c r="I4791" s="15">
        <f t="shared" si="3"/>
        <v>15</v>
      </c>
    </row>
    <row r="4792">
      <c r="A4792" s="8" t="str">
        <f>IFERROR(__xludf.DUMMYFUNCTION("IF('(INGESTA)Datos_consumo_datadis'!A4792&lt;&gt;"""",SPLIT('(INGESTA)Datos_consumo_datadis'!A:A,"",""),"""")"),"ES0031408323131005HX0F")</f>
        <v>ES0031408323131005HX0F</v>
      </c>
      <c r="B4792" s="12">
        <f>IFERROR(__xludf.DUMMYFUNCTION("""COMPUTED_VALUE"""),45065.0)</f>
        <v>45065</v>
      </c>
      <c r="C4792" s="13">
        <f>IFERROR(__xludf.DUMMYFUNCTION("""COMPUTED_VALUE"""),0.6666666666666666)</f>
        <v>0.6666666667</v>
      </c>
      <c r="D4792" s="8">
        <f>IFERROR(__xludf.DUMMYFUNCTION("""COMPUTED_VALUE"""),0.288)</f>
        <v>0.288</v>
      </c>
      <c r="E4792" s="8" t="str">
        <f>IFERROR(__xludf.DUMMYFUNCTION("""COMPUTED_VALUE"""),"Estimada")</f>
        <v>Estimada</v>
      </c>
      <c r="G4792" s="8">
        <f t="shared" si="1"/>
        <v>5</v>
      </c>
      <c r="H4792" s="14">
        <f t="shared" si="2"/>
        <v>19</v>
      </c>
      <c r="I4792" s="15">
        <f t="shared" si="3"/>
        <v>16</v>
      </c>
    </row>
    <row r="4793">
      <c r="A4793" s="8" t="str">
        <f>IFERROR(__xludf.DUMMYFUNCTION("IF('(INGESTA)Datos_consumo_datadis'!A4793&lt;&gt;"""",SPLIT('(INGESTA)Datos_consumo_datadis'!A:A,"",""),"""")"),"ES0031408323131005HX0F")</f>
        <v>ES0031408323131005HX0F</v>
      </c>
      <c r="B4793" s="12">
        <f>IFERROR(__xludf.DUMMYFUNCTION("""COMPUTED_VALUE"""),45065.0)</f>
        <v>45065</v>
      </c>
      <c r="C4793" s="13">
        <f>IFERROR(__xludf.DUMMYFUNCTION("""COMPUTED_VALUE"""),0.7083333333333334)</f>
        <v>0.7083333333</v>
      </c>
      <c r="D4793" s="8">
        <f>IFERROR(__xludf.DUMMYFUNCTION("""COMPUTED_VALUE"""),0.273)</f>
        <v>0.273</v>
      </c>
      <c r="E4793" s="8" t="str">
        <f>IFERROR(__xludf.DUMMYFUNCTION("""COMPUTED_VALUE"""),"Estimada")</f>
        <v>Estimada</v>
      </c>
      <c r="G4793" s="8">
        <f t="shared" si="1"/>
        <v>5</v>
      </c>
      <c r="H4793" s="14">
        <f t="shared" si="2"/>
        <v>19</v>
      </c>
      <c r="I4793" s="15">
        <f t="shared" si="3"/>
        <v>17</v>
      </c>
    </row>
    <row r="4794">
      <c r="A4794" s="8" t="str">
        <f>IFERROR(__xludf.DUMMYFUNCTION("IF('(INGESTA)Datos_consumo_datadis'!A4794&lt;&gt;"""",SPLIT('(INGESTA)Datos_consumo_datadis'!A:A,"",""),"""")"),"ES0031408323131005HX0F")</f>
        <v>ES0031408323131005HX0F</v>
      </c>
      <c r="B4794" s="12">
        <f>IFERROR(__xludf.DUMMYFUNCTION("""COMPUTED_VALUE"""),45065.0)</f>
        <v>45065</v>
      </c>
      <c r="C4794" s="13">
        <f>IFERROR(__xludf.DUMMYFUNCTION("""COMPUTED_VALUE"""),0.75)</f>
        <v>0.75</v>
      </c>
      <c r="D4794" s="8">
        <f>IFERROR(__xludf.DUMMYFUNCTION("""COMPUTED_VALUE"""),0.272)</f>
        <v>0.272</v>
      </c>
      <c r="E4794" s="8" t="str">
        <f>IFERROR(__xludf.DUMMYFUNCTION("""COMPUTED_VALUE"""),"Estimada")</f>
        <v>Estimada</v>
      </c>
      <c r="G4794" s="8">
        <f t="shared" si="1"/>
        <v>5</v>
      </c>
      <c r="H4794" s="14">
        <f t="shared" si="2"/>
        <v>19</v>
      </c>
      <c r="I4794" s="15">
        <f t="shared" si="3"/>
        <v>18</v>
      </c>
    </row>
    <row r="4795">
      <c r="A4795" s="8" t="str">
        <f>IFERROR(__xludf.DUMMYFUNCTION("IF('(INGESTA)Datos_consumo_datadis'!A4795&lt;&gt;"""",SPLIT('(INGESTA)Datos_consumo_datadis'!A:A,"",""),"""")"),"ES0031408323131005HX0F")</f>
        <v>ES0031408323131005HX0F</v>
      </c>
      <c r="B4795" s="12">
        <f>IFERROR(__xludf.DUMMYFUNCTION("""COMPUTED_VALUE"""),45065.0)</f>
        <v>45065</v>
      </c>
      <c r="C4795" s="13">
        <f>IFERROR(__xludf.DUMMYFUNCTION("""COMPUTED_VALUE"""),0.7916666666666666)</f>
        <v>0.7916666667</v>
      </c>
      <c r="D4795" s="8">
        <f>IFERROR(__xludf.DUMMYFUNCTION("""COMPUTED_VALUE"""),0.287)</f>
        <v>0.287</v>
      </c>
      <c r="E4795" s="8" t="str">
        <f>IFERROR(__xludf.DUMMYFUNCTION("""COMPUTED_VALUE"""),"Estimada")</f>
        <v>Estimada</v>
      </c>
      <c r="G4795" s="8">
        <f t="shared" si="1"/>
        <v>5</v>
      </c>
      <c r="H4795" s="14">
        <f t="shared" si="2"/>
        <v>19</v>
      </c>
      <c r="I4795" s="15">
        <f t="shared" si="3"/>
        <v>19</v>
      </c>
    </row>
    <row r="4796">
      <c r="A4796" s="8" t="str">
        <f>IFERROR(__xludf.DUMMYFUNCTION("IF('(INGESTA)Datos_consumo_datadis'!A4796&lt;&gt;"""",SPLIT('(INGESTA)Datos_consumo_datadis'!A:A,"",""),"""")"),"ES0031408323131005HX0F")</f>
        <v>ES0031408323131005HX0F</v>
      </c>
      <c r="B4796" s="12">
        <f>IFERROR(__xludf.DUMMYFUNCTION("""COMPUTED_VALUE"""),45065.0)</f>
        <v>45065</v>
      </c>
      <c r="C4796" s="13">
        <f>IFERROR(__xludf.DUMMYFUNCTION("""COMPUTED_VALUE"""),0.8333333333333334)</f>
        <v>0.8333333333</v>
      </c>
      <c r="D4796" s="8">
        <f>IFERROR(__xludf.DUMMYFUNCTION("""COMPUTED_VALUE"""),0.292)</f>
        <v>0.292</v>
      </c>
      <c r="E4796" s="8" t="str">
        <f>IFERROR(__xludf.DUMMYFUNCTION("""COMPUTED_VALUE"""),"Estimada")</f>
        <v>Estimada</v>
      </c>
      <c r="G4796" s="8">
        <f t="shared" si="1"/>
        <v>5</v>
      </c>
      <c r="H4796" s="14">
        <f t="shared" si="2"/>
        <v>19</v>
      </c>
      <c r="I4796" s="15">
        <f t="shared" si="3"/>
        <v>20</v>
      </c>
    </row>
    <row r="4797">
      <c r="A4797" s="8" t="str">
        <f>IFERROR(__xludf.DUMMYFUNCTION("IF('(INGESTA)Datos_consumo_datadis'!A4797&lt;&gt;"""",SPLIT('(INGESTA)Datos_consumo_datadis'!A:A,"",""),"""")"),"ES0031408323131005HX0F")</f>
        <v>ES0031408323131005HX0F</v>
      </c>
      <c r="B4797" s="12">
        <f>IFERROR(__xludf.DUMMYFUNCTION("""COMPUTED_VALUE"""),45065.0)</f>
        <v>45065</v>
      </c>
      <c r="C4797" s="13">
        <f>IFERROR(__xludf.DUMMYFUNCTION("""COMPUTED_VALUE"""),0.875)</f>
        <v>0.875</v>
      </c>
      <c r="D4797" s="8">
        <f>IFERROR(__xludf.DUMMYFUNCTION("""COMPUTED_VALUE"""),0.311)</f>
        <v>0.311</v>
      </c>
      <c r="E4797" s="8" t="str">
        <f>IFERROR(__xludf.DUMMYFUNCTION("""COMPUTED_VALUE"""),"Estimada")</f>
        <v>Estimada</v>
      </c>
      <c r="G4797" s="8">
        <f t="shared" si="1"/>
        <v>5</v>
      </c>
      <c r="H4797" s="14">
        <f t="shared" si="2"/>
        <v>19</v>
      </c>
      <c r="I4797" s="15">
        <f t="shared" si="3"/>
        <v>21</v>
      </c>
    </row>
    <row r="4798">
      <c r="A4798" s="8" t="str">
        <f>IFERROR(__xludf.DUMMYFUNCTION("IF('(INGESTA)Datos_consumo_datadis'!A4798&lt;&gt;"""",SPLIT('(INGESTA)Datos_consumo_datadis'!A:A,"",""),"""")"),"ES0031408323131005HX0F")</f>
        <v>ES0031408323131005HX0F</v>
      </c>
      <c r="B4798" s="12">
        <f>IFERROR(__xludf.DUMMYFUNCTION("""COMPUTED_VALUE"""),45065.0)</f>
        <v>45065</v>
      </c>
      <c r="C4798" s="13">
        <f>IFERROR(__xludf.DUMMYFUNCTION("""COMPUTED_VALUE"""),0.9166666666666666)</f>
        <v>0.9166666667</v>
      </c>
      <c r="D4798" s="8">
        <f>IFERROR(__xludf.DUMMYFUNCTION("""COMPUTED_VALUE"""),0.361)</f>
        <v>0.361</v>
      </c>
      <c r="E4798" s="8" t="str">
        <f>IFERROR(__xludf.DUMMYFUNCTION("""COMPUTED_VALUE"""),"Estimada")</f>
        <v>Estimada</v>
      </c>
      <c r="G4798" s="8">
        <f t="shared" si="1"/>
        <v>5</v>
      </c>
      <c r="H4798" s="14">
        <f t="shared" si="2"/>
        <v>19</v>
      </c>
      <c r="I4798" s="15">
        <f t="shared" si="3"/>
        <v>22</v>
      </c>
    </row>
    <row r="4799">
      <c r="A4799" s="8" t="str">
        <f>IFERROR(__xludf.DUMMYFUNCTION("IF('(INGESTA)Datos_consumo_datadis'!A4799&lt;&gt;"""",SPLIT('(INGESTA)Datos_consumo_datadis'!A:A,"",""),"""")"),"ES0031408323131005HX0F")</f>
        <v>ES0031408323131005HX0F</v>
      </c>
      <c r="B4799" s="12">
        <f>IFERROR(__xludf.DUMMYFUNCTION("""COMPUTED_VALUE"""),45065.0)</f>
        <v>45065</v>
      </c>
      <c r="C4799" s="13">
        <f>IFERROR(__xludf.DUMMYFUNCTION("""COMPUTED_VALUE"""),0.9583333333333334)</f>
        <v>0.9583333333</v>
      </c>
      <c r="D4799" s="8">
        <f>IFERROR(__xludf.DUMMYFUNCTION("""COMPUTED_VALUE"""),0.343)</f>
        <v>0.343</v>
      </c>
      <c r="E4799" s="8" t="str">
        <f>IFERROR(__xludf.DUMMYFUNCTION("""COMPUTED_VALUE"""),"Estimada")</f>
        <v>Estimada</v>
      </c>
      <c r="G4799" s="8">
        <f t="shared" si="1"/>
        <v>5</v>
      </c>
      <c r="H4799" s="14">
        <f t="shared" si="2"/>
        <v>19</v>
      </c>
      <c r="I4799" s="15">
        <f t="shared" si="3"/>
        <v>23</v>
      </c>
    </row>
    <row r="4800">
      <c r="A4800" s="8" t="str">
        <f>IFERROR(__xludf.DUMMYFUNCTION("IF('(INGESTA)Datos_consumo_datadis'!A4800&lt;&gt;"""",SPLIT('(INGESTA)Datos_consumo_datadis'!A:A,"",""),"""")"),"ES0031408323131005HX0F")</f>
        <v>ES0031408323131005HX0F</v>
      </c>
      <c r="B4800" s="12">
        <f>IFERROR(__xludf.DUMMYFUNCTION("""COMPUTED_VALUE"""),45065.0)</f>
        <v>45065</v>
      </c>
      <c r="C4800" s="16">
        <f>IFERROR(__xludf.DUMMYFUNCTION("""COMPUTED_VALUE"""),1.0)</f>
        <v>1</v>
      </c>
      <c r="D4800" s="8">
        <f>IFERROR(__xludf.DUMMYFUNCTION("""COMPUTED_VALUE"""),0.298)</f>
        <v>0.298</v>
      </c>
      <c r="E4800" s="8" t="str">
        <f>IFERROR(__xludf.DUMMYFUNCTION("""COMPUTED_VALUE"""),"Estimada")</f>
        <v>Estimada</v>
      </c>
      <c r="G4800" s="8">
        <f t="shared" si="1"/>
        <v>5</v>
      </c>
      <c r="H4800" s="14">
        <f t="shared" si="2"/>
        <v>19</v>
      </c>
      <c r="I4800" s="15">
        <f t="shared" si="3"/>
        <v>0</v>
      </c>
    </row>
    <row r="4801">
      <c r="A4801" s="8" t="str">
        <f>IFERROR(__xludf.DUMMYFUNCTION("IF('(INGESTA)Datos_consumo_datadis'!A4801&lt;&gt;"""",SPLIT('(INGESTA)Datos_consumo_datadis'!A:A,"",""),"""")"),"ES0031408323131005HX0F")</f>
        <v>ES0031408323131005HX0F</v>
      </c>
      <c r="B4801" s="12">
        <f>IFERROR(__xludf.DUMMYFUNCTION("""COMPUTED_VALUE"""),45066.0)</f>
        <v>45066</v>
      </c>
      <c r="C4801" s="13">
        <f>IFERROR(__xludf.DUMMYFUNCTION("""COMPUTED_VALUE"""),0.041666666666666664)</f>
        <v>0.04166666667</v>
      </c>
      <c r="D4801" s="8">
        <f>IFERROR(__xludf.DUMMYFUNCTION("""COMPUTED_VALUE"""),0.263)</f>
        <v>0.263</v>
      </c>
      <c r="E4801" s="8" t="str">
        <f>IFERROR(__xludf.DUMMYFUNCTION("""COMPUTED_VALUE"""),"Estimada")</f>
        <v>Estimada</v>
      </c>
      <c r="G4801" s="8">
        <f t="shared" si="1"/>
        <v>5</v>
      </c>
      <c r="H4801" s="14">
        <f t="shared" si="2"/>
        <v>20</v>
      </c>
      <c r="I4801" s="15">
        <f t="shared" si="3"/>
        <v>1</v>
      </c>
    </row>
    <row r="4802">
      <c r="A4802" s="8" t="str">
        <f>IFERROR(__xludf.DUMMYFUNCTION("IF('(INGESTA)Datos_consumo_datadis'!A4802&lt;&gt;"""",SPLIT('(INGESTA)Datos_consumo_datadis'!A:A,"",""),"""")"),"ES0031408323131005HX0F")</f>
        <v>ES0031408323131005HX0F</v>
      </c>
      <c r="B4802" s="12">
        <f>IFERROR(__xludf.DUMMYFUNCTION("""COMPUTED_VALUE"""),45066.0)</f>
        <v>45066</v>
      </c>
      <c r="C4802" s="13">
        <f>IFERROR(__xludf.DUMMYFUNCTION("""COMPUTED_VALUE"""),0.08333333333333333)</f>
        <v>0.08333333333</v>
      </c>
      <c r="D4802" s="8">
        <f>IFERROR(__xludf.DUMMYFUNCTION("""COMPUTED_VALUE"""),0.221)</f>
        <v>0.221</v>
      </c>
      <c r="E4802" s="8" t="str">
        <f>IFERROR(__xludf.DUMMYFUNCTION("""COMPUTED_VALUE"""),"Estimada")</f>
        <v>Estimada</v>
      </c>
      <c r="G4802" s="8">
        <f t="shared" si="1"/>
        <v>5</v>
      </c>
      <c r="H4802" s="14">
        <f t="shared" si="2"/>
        <v>20</v>
      </c>
      <c r="I4802" s="15">
        <f t="shared" si="3"/>
        <v>2</v>
      </c>
    </row>
    <row r="4803">
      <c r="A4803" s="8" t="str">
        <f>IFERROR(__xludf.DUMMYFUNCTION("IF('(INGESTA)Datos_consumo_datadis'!A4803&lt;&gt;"""",SPLIT('(INGESTA)Datos_consumo_datadis'!A:A,"",""),"""")"),"ES0031408323131005HX0F")</f>
        <v>ES0031408323131005HX0F</v>
      </c>
      <c r="B4803" s="12">
        <f>IFERROR(__xludf.DUMMYFUNCTION("""COMPUTED_VALUE"""),45066.0)</f>
        <v>45066</v>
      </c>
      <c r="C4803" s="13">
        <f>IFERROR(__xludf.DUMMYFUNCTION("""COMPUTED_VALUE"""),0.125)</f>
        <v>0.125</v>
      </c>
      <c r="D4803" s="8">
        <f>IFERROR(__xludf.DUMMYFUNCTION("""COMPUTED_VALUE"""),0.194)</f>
        <v>0.194</v>
      </c>
      <c r="E4803" s="8" t="str">
        <f>IFERROR(__xludf.DUMMYFUNCTION("""COMPUTED_VALUE"""),"Estimada")</f>
        <v>Estimada</v>
      </c>
      <c r="G4803" s="8">
        <f t="shared" si="1"/>
        <v>5</v>
      </c>
      <c r="H4803" s="14">
        <f t="shared" si="2"/>
        <v>20</v>
      </c>
      <c r="I4803" s="15">
        <f t="shared" si="3"/>
        <v>3</v>
      </c>
    </row>
    <row r="4804">
      <c r="A4804" s="8" t="str">
        <f>IFERROR(__xludf.DUMMYFUNCTION("IF('(INGESTA)Datos_consumo_datadis'!A4804&lt;&gt;"""",SPLIT('(INGESTA)Datos_consumo_datadis'!A:A,"",""),"""")"),"ES0031408323131005HX0F")</f>
        <v>ES0031408323131005HX0F</v>
      </c>
      <c r="B4804" s="12">
        <f>IFERROR(__xludf.DUMMYFUNCTION("""COMPUTED_VALUE"""),45066.0)</f>
        <v>45066</v>
      </c>
      <c r="C4804" s="13">
        <f>IFERROR(__xludf.DUMMYFUNCTION("""COMPUTED_VALUE"""),0.16666666666666666)</f>
        <v>0.1666666667</v>
      </c>
      <c r="D4804" s="8">
        <f>IFERROR(__xludf.DUMMYFUNCTION("""COMPUTED_VALUE"""),0.18)</f>
        <v>0.18</v>
      </c>
      <c r="E4804" s="8" t="str">
        <f>IFERROR(__xludf.DUMMYFUNCTION("""COMPUTED_VALUE"""),"Estimada")</f>
        <v>Estimada</v>
      </c>
      <c r="G4804" s="8">
        <f t="shared" si="1"/>
        <v>5</v>
      </c>
      <c r="H4804" s="14">
        <f t="shared" si="2"/>
        <v>20</v>
      </c>
      <c r="I4804" s="15">
        <f t="shared" si="3"/>
        <v>4</v>
      </c>
    </row>
    <row r="4805">
      <c r="A4805" s="8" t="str">
        <f>IFERROR(__xludf.DUMMYFUNCTION("IF('(INGESTA)Datos_consumo_datadis'!A4805&lt;&gt;"""",SPLIT('(INGESTA)Datos_consumo_datadis'!A:A,"",""),"""")"),"ES0031408323131005HX0F")</f>
        <v>ES0031408323131005HX0F</v>
      </c>
      <c r="B4805" s="12">
        <f>IFERROR(__xludf.DUMMYFUNCTION("""COMPUTED_VALUE"""),45066.0)</f>
        <v>45066</v>
      </c>
      <c r="C4805" s="13">
        <f>IFERROR(__xludf.DUMMYFUNCTION("""COMPUTED_VALUE"""),0.20833333333333334)</f>
        <v>0.2083333333</v>
      </c>
      <c r="D4805" s="8">
        <f>IFERROR(__xludf.DUMMYFUNCTION("""COMPUTED_VALUE"""),0.174)</f>
        <v>0.174</v>
      </c>
      <c r="E4805" s="8" t="str">
        <f>IFERROR(__xludf.DUMMYFUNCTION("""COMPUTED_VALUE"""),"Estimada")</f>
        <v>Estimada</v>
      </c>
      <c r="G4805" s="8">
        <f t="shared" si="1"/>
        <v>5</v>
      </c>
      <c r="H4805" s="14">
        <f t="shared" si="2"/>
        <v>20</v>
      </c>
      <c r="I4805" s="15">
        <f t="shared" si="3"/>
        <v>5</v>
      </c>
    </row>
    <row r="4806">
      <c r="A4806" s="8" t="str">
        <f>IFERROR(__xludf.DUMMYFUNCTION("IF('(INGESTA)Datos_consumo_datadis'!A4806&lt;&gt;"""",SPLIT('(INGESTA)Datos_consumo_datadis'!A:A,"",""),"""")"),"ES0031408323131005HX0F")</f>
        <v>ES0031408323131005HX0F</v>
      </c>
      <c r="B4806" s="12">
        <f>IFERROR(__xludf.DUMMYFUNCTION("""COMPUTED_VALUE"""),45066.0)</f>
        <v>45066</v>
      </c>
      <c r="C4806" s="13">
        <f>IFERROR(__xludf.DUMMYFUNCTION("""COMPUTED_VALUE"""),0.25)</f>
        <v>0.25</v>
      </c>
      <c r="D4806" s="8">
        <f>IFERROR(__xludf.DUMMYFUNCTION("""COMPUTED_VALUE"""),0.173)</f>
        <v>0.173</v>
      </c>
      <c r="E4806" s="8" t="str">
        <f>IFERROR(__xludf.DUMMYFUNCTION("""COMPUTED_VALUE"""),"Estimada")</f>
        <v>Estimada</v>
      </c>
      <c r="G4806" s="8">
        <f t="shared" si="1"/>
        <v>5</v>
      </c>
      <c r="H4806" s="14">
        <f t="shared" si="2"/>
        <v>20</v>
      </c>
      <c r="I4806" s="15">
        <f t="shared" si="3"/>
        <v>6</v>
      </c>
    </row>
    <row r="4807">
      <c r="A4807" s="8" t="str">
        <f>IFERROR(__xludf.DUMMYFUNCTION("IF('(INGESTA)Datos_consumo_datadis'!A4807&lt;&gt;"""",SPLIT('(INGESTA)Datos_consumo_datadis'!A:A,"",""),"""")"),"ES0031408323131005HX0F")</f>
        <v>ES0031408323131005HX0F</v>
      </c>
      <c r="B4807" s="12">
        <f>IFERROR(__xludf.DUMMYFUNCTION("""COMPUTED_VALUE"""),45066.0)</f>
        <v>45066</v>
      </c>
      <c r="C4807" s="13">
        <f>IFERROR(__xludf.DUMMYFUNCTION("""COMPUTED_VALUE"""),0.2916666666666667)</f>
        <v>0.2916666667</v>
      </c>
      <c r="D4807" s="8">
        <f>IFERROR(__xludf.DUMMYFUNCTION("""COMPUTED_VALUE"""),0.175)</f>
        <v>0.175</v>
      </c>
      <c r="E4807" s="8" t="str">
        <f>IFERROR(__xludf.DUMMYFUNCTION("""COMPUTED_VALUE"""),"Estimada")</f>
        <v>Estimada</v>
      </c>
      <c r="G4807" s="8">
        <f t="shared" si="1"/>
        <v>5</v>
      </c>
      <c r="H4807" s="14">
        <f t="shared" si="2"/>
        <v>20</v>
      </c>
      <c r="I4807" s="15">
        <f t="shared" si="3"/>
        <v>7</v>
      </c>
    </row>
    <row r="4808">
      <c r="A4808" s="8" t="str">
        <f>IFERROR(__xludf.DUMMYFUNCTION("IF('(INGESTA)Datos_consumo_datadis'!A4808&lt;&gt;"""",SPLIT('(INGESTA)Datos_consumo_datadis'!A:A,"",""),"""")"),"ES0031408323131005HX0F")</f>
        <v>ES0031408323131005HX0F</v>
      </c>
      <c r="B4808" s="12">
        <f>IFERROR(__xludf.DUMMYFUNCTION("""COMPUTED_VALUE"""),45066.0)</f>
        <v>45066</v>
      </c>
      <c r="C4808" s="13">
        <f>IFERROR(__xludf.DUMMYFUNCTION("""COMPUTED_VALUE"""),0.3333333333333333)</f>
        <v>0.3333333333</v>
      </c>
      <c r="D4808" s="8">
        <f>IFERROR(__xludf.DUMMYFUNCTION("""COMPUTED_VALUE"""),0.182)</f>
        <v>0.182</v>
      </c>
      <c r="E4808" s="8" t="str">
        <f>IFERROR(__xludf.DUMMYFUNCTION("""COMPUTED_VALUE"""),"Estimada")</f>
        <v>Estimada</v>
      </c>
      <c r="G4808" s="8">
        <f t="shared" si="1"/>
        <v>5</v>
      </c>
      <c r="H4808" s="14">
        <f t="shared" si="2"/>
        <v>20</v>
      </c>
      <c r="I4808" s="15">
        <f t="shared" si="3"/>
        <v>8</v>
      </c>
    </row>
    <row r="4809">
      <c r="A4809" s="8" t="str">
        <f>IFERROR(__xludf.DUMMYFUNCTION("IF('(INGESTA)Datos_consumo_datadis'!A4809&lt;&gt;"""",SPLIT('(INGESTA)Datos_consumo_datadis'!A:A,"",""),"""")"),"ES0031408323131005HX0F")</f>
        <v>ES0031408323131005HX0F</v>
      </c>
      <c r="B4809" s="12">
        <f>IFERROR(__xludf.DUMMYFUNCTION("""COMPUTED_VALUE"""),45066.0)</f>
        <v>45066</v>
      </c>
      <c r="C4809" s="13">
        <f>IFERROR(__xludf.DUMMYFUNCTION("""COMPUTED_VALUE"""),0.375)</f>
        <v>0.375</v>
      </c>
      <c r="D4809" s="8">
        <f>IFERROR(__xludf.DUMMYFUNCTION("""COMPUTED_VALUE"""),0.229)</f>
        <v>0.229</v>
      </c>
      <c r="E4809" s="8" t="str">
        <f>IFERROR(__xludf.DUMMYFUNCTION("""COMPUTED_VALUE"""),"Estimada")</f>
        <v>Estimada</v>
      </c>
      <c r="G4809" s="8">
        <f t="shared" si="1"/>
        <v>5</v>
      </c>
      <c r="H4809" s="14">
        <f t="shared" si="2"/>
        <v>20</v>
      </c>
      <c r="I4809" s="15">
        <f t="shared" si="3"/>
        <v>9</v>
      </c>
    </row>
    <row r="4810">
      <c r="A4810" s="8" t="str">
        <f>IFERROR(__xludf.DUMMYFUNCTION("IF('(INGESTA)Datos_consumo_datadis'!A4810&lt;&gt;"""",SPLIT('(INGESTA)Datos_consumo_datadis'!A:A,"",""),"""")"),"ES0031408323131005HX0F")</f>
        <v>ES0031408323131005HX0F</v>
      </c>
      <c r="B4810" s="12">
        <f>IFERROR(__xludf.DUMMYFUNCTION("""COMPUTED_VALUE"""),45066.0)</f>
        <v>45066</v>
      </c>
      <c r="C4810" s="13">
        <f>IFERROR(__xludf.DUMMYFUNCTION("""COMPUTED_VALUE"""),0.4166666666666667)</f>
        <v>0.4166666667</v>
      </c>
      <c r="D4810" s="8">
        <f>IFERROR(__xludf.DUMMYFUNCTION("""COMPUTED_VALUE"""),0.285)</f>
        <v>0.285</v>
      </c>
      <c r="E4810" s="8" t="str">
        <f>IFERROR(__xludf.DUMMYFUNCTION("""COMPUTED_VALUE"""),"Estimada")</f>
        <v>Estimada</v>
      </c>
      <c r="G4810" s="8">
        <f t="shared" si="1"/>
        <v>5</v>
      </c>
      <c r="H4810" s="14">
        <f t="shared" si="2"/>
        <v>20</v>
      </c>
      <c r="I4810" s="15">
        <f t="shared" si="3"/>
        <v>10</v>
      </c>
    </row>
    <row r="4811">
      <c r="A4811" s="8" t="str">
        <f>IFERROR(__xludf.DUMMYFUNCTION("IF('(INGESTA)Datos_consumo_datadis'!A4811&lt;&gt;"""",SPLIT('(INGESTA)Datos_consumo_datadis'!A:A,"",""),"""")"),"ES0031408323131005HX0F")</f>
        <v>ES0031408323131005HX0F</v>
      </c>
      <c r="B4811" s="12">
        <f>IFERROR(__xludf.DUMMYFUNCTION("""COMPUTED_VALUE"""),45066.0)</f>
        <v>45066</v>
      </c>
      <c r="C4811" s="13">
        <f>IFERROR(__xludf.DUMMYFUNCTION("""COMPUTED_VALUE"""),0.4583333333333333)</f>
        <v>0.4583333333</v>
      </c>
      <c r="D4811" s="8">
        <f>IFERROR(__xludf.DUMMYFUNCTION("""COMPUTED_VALUE"""),0.32)</f>
        <v>0.32</v>
      </c>
      <c r="E4811" s="8" t="str">
        <f>IFERROR(__xludf.DUMMYFUNCTION("""COMPUTED_VALUE"""),"Estimada")</f>
        <v>Estimada</v>
      </c>
      <c r="G4811" s="8">
        <f t="shared" si="1"/>
        <v>5</v>
      </c>
      <c r="H4811" s="14">
        <f t="shared" si="2"/>
        <v>20</v>
      </c>
      <c r="I4811" s="15">
        <f t="shared" si="3"/>
        <v>11</v>
      </c>
    </row>
    <row r="4812">
      <c r="A4812" s="8" t="str">
        <f>IFERROR(__xludf.DUMMYFUNCTION("IF('(INGESTA)Datos_consumo_datadis'!A4812&lt;&gt;"""",SPLIT('(INGESTA)Datos_consumo_datadis'!A:A,"",""),"""")"),"ES0031408323131005HX0F")</f>
        <v>ES0031408323131005HX0F</v>
      </c>
      <c r="B4812" s="12">
        <f>IFERROR(__xludf.DUMMYFUNCTION("""COMPUTED_VALUE"""),45066.0)</f>
        <v>45066</v>
      </c>
      <c r="C4812" s="13">
        <f>IFERROR(__xludf.DUMMYFUNCTION("""COMPUTED_VALUE"""),0.5)</f>
        <v>0.5</v>
      </c>
      <c r="D4812" s="8">
        <f>IFERROR(__xludf.DUMMYFUNCTION("""COMPUTED_VALUE"""),0.328)</f>
        <v>0.328</v>
      </c>
      <c r="E4812" s="8" t="str">
        <f>IFERROR(__xludf.DUMMYFUNCTION("""COMPUTED_VALUE"""),"Estimada")</f>
        <v>Estimada</v>
      </c>
      <c r="G4812" s="8">
        <f t="shared" si="1"/>
        <v>5</v>
      </c>
      <c r="H4812" s="14">
        <f t="shared" si="2"/>
        <v>20</v>
      </c>
      <c r="I4812" s="15">
        <f t="shared" si="3"/>
        <v>12</v>
      </c>
    </row>
    <row r="4813">
      <c r="A4813" s="8" t="str">
        <f>IFERROR(__xludf.DUMMYFUNCTION("IF('(INGESTA)Datos_consumo_datadis'!A4813&lt;&gt;"""",SPLIT('(INGESTA)Datos_consumo_datadis'!A:A,"",""),"""")"),"ES0031408323131005HX0F")</f>
        <v>ES0031408323131005HX0F</v>
      </c>
      <c r="B4813" s="12">
        <f>IFERROR(__xludf.DUMMYFUNCTION("""COMPUTED_VALUE"""),45066.0)</f>
        <v>45066</v>
      </c>
      <c r="C4813" s="13">
        <f>IFERROR(__xludf.DUMMYFUNCTION("""COMPUTED_VALUE"""),0.5416666666666666)</f>
        <v>0.5416666667</v>
      </c>
      <c r="D4813" s="8">
        <f>IFERROR(__xludf.DUMMYFUNCTION("""COMPUTED_VALUE"""),0.332)</f>
        <v>0.332</v>
      </c>
      <c r="E4813" s="8" t="str">
        <f>IFERROR(__xludf.DUMMYFUNCTION("""COMPUTED_VALUE"""),"Estimada")</f>
        <v>Estimada</v>
      </c>
      <c r="G4813" s="8">
        <f t="shared" si="1"/>
        <v>5</v>
      </c>
      <c r="H4813" s="14">
        <f t="shared" si="2"/>
        <v>20</v>
      </c>
      <c r="I4813" s="15">
        <f t="shared" si="3"/>
        <v>13</v>
      </c>
    </row>
    <row r="4814">
      <c r="A4814" s="8" t="str">
        <f>IFERROR(__xludf.DUMMYFUNCTION("IF('(INGESTA)Datos_consumo_datadis'!A4814&lt;&gt;"""",SPLIT('(INGESTA)Datos_consumo_datadis'!A:A,"",""),"""")"),"ES0031408323131005HX0F")</f>
        <v>ES0031408323131005HX0F</v>
      </c>
      <c r="B4814" s="12">
        <f>IFERROR(__xludf.DUMMYFUNCTION("""COMPUTED_VALUE"""),45066.0)</f>
        <v>45066</v>
      </c>
      <c r="C4814" s="13">
        <f>IFERROR(__xludf.DUMMYFUNCTION("""COMPUTED_VALUE"""),0.5833333333333334)</f>
        <v>0.5833333333</v>
      </c>
      <c r="D4814" s="8">
        <f>IFERROR(__xludf.DUMMYFUNCTION("""COMPUTED_VALUE"""),0.35)</f>
        <v>0.35</v>
      </c>
      <c r="E4814" s="8" t="str">
        <f>IFERROR(__xludf.DUMMYFUNCTION("""COMPUTED_VALUE"""),"Estimada")</f>
        <v>Estimada</v>
      </c>
      <c r="G4814" s="8">
        <f t="shared" si="1"/>
        <v>5</v>
      </c>
      <c r="H4814" s="14">
        <f t="shared" si="2"/>
        <v>20</v>
      </c>
      <c r="I4814" s="15">
        <f t="shared" si="3"/>
        <v>14</v>
      </c>
    </row>
    <row r="4815">
      <c r="A4815" s="8" t="str">
        <f>IFERROR(__xludf.DUMMYFUNCTION("IF('(INGESTA)Datos_consumo_datadis'!A4815&lt;&gt;"""",SPLIT('(INGESTA)Datos_consumo_datadis'!A:A,"",""),"""")"),"ES0031408323131005HX0F")</f>
        <v>ES0031408323131005HX0F</v>
      </c>
      <c r="B4815" s="12">
        <f>IFERROR(__xludf.DUMMYFUNCTION("""COMPUTED_VALUE"""),45066.0)</f>
        <v>45066</v>
      </c>
      <c r="C4815" s="13">
        <f>IFERROR(__xludf.DUMMYFUNCTION("""COMPUTED_VALUE"""),0.625)</f>
        <v>0.625</v>
      </c>
      <c r="D4815" s="8">
        <f>IFERROR(__xludf.DUMMYFUNCTION("""COMPUTED_VALUE"""),0.344)</f>
        <v>0.344</v>
      </c>
      <c r="E4815" s="8" t="str">
        <f>IFERROR(__xludf.DUMMYFUNCTION("""COMPUTED_VALUE"""),"Estimada")</f>
        <v>Estimada</v>
      </c>
      <c r="G4815" s="8">
        <f t="shared" si="1"/>
        <v>5</v>
      </c>
      <c r="H4815" s="14">
        <f t="shared" si="2"/>
        <v>20</v>
      </c>
      <c r="I4815" s="15">
        <f t="shared" si="3"/>
        <v>15</v>
      </c>
    </row>
    <row r="4816">
      <c r="A4816" s="8" t="str">
        <f>IFERROR(__xludf.DUMMYFUNCTION("IF('(INGESTA)Datos_consumo_datadis'!A4816&lt;&gt;"""",SPLIT('(INGESTA)Datos_consumo_datadis'!A:A,"",""),"""")"),"ES0031408323131005HX0F")</f>
        <v>ES0031408323131005HX0F</v>
      </c>
      <c r="B4816" s="12">
        <f>IFERROR(__xludf.DUMMYFUNCTION("""COMPUTED_VALUE"""),45066.0)</f>
        <v>45066</v>
      </c>
      <c r="C4816" s="13">
        <f>IFERROR(__xludf.DUMMYFUNCTION("""COMPUTED_VALUE"""),0.6666666666666666)</f>
        <v>0.6666666667</v>
      </c>
      <c r="D4816" s="8">
        <f>IFERROR(__xludf.DUMMYFUNCTION("""COMPUTED_VALUE"""),0.301)</f>
        <v>0.301</v>
      </c>
      <c r="E4816" s="8" t="str">
        <f>IFERROR(__xludf.DUMMYFUNCTION("""COMPUTED_VALUE"""),"Estimada")</f>
        <v>Estimada</v>
      </c>
      <c r="G4816" s="8">
        <f t="shared" si="1"/>
        <v>5</v>
      </c>
      <c r="H4816" s="14">
        <f t="shared" si="2"/>
        <v>20</v>
      </c>
      <c r="I4816" s="15">
        <f t="shared" si="3"/>
        <v>16</v>
      </c>
    </row>
    <row r="4817">
      <c r="A4817" s="8" t="str">
        <f>IFERROR(__xludf.DUMMYFUNCTION("IF('(INGESTA)Datos_consumo_datadis'!A4817&lt;&gt;"""",SPLIT('(INGESTA)Datos_consumo_datadis'!A:A,"",""),"""")"),"ES0031408323131005HX0F")</f>
        <v>ES0031408323131005HX0F</v>
      </c>
      <c r="B4817" s="12">
        <f>IFERROR(__xludf.DUMMYFUNCTION("""COMPUTED_VALUE"""),45066.0)</f>
        <v>45066</v>
      </c>
      <c r="C4817" s="13">
        <f>IFERROR(__xludf.DUMMYFUNCTION("""COMPUTED_VALUE"""),0.7083333333333334)</f>
        <v>0.7083333333</v>
      </c>
      <c r="D4817" s="8">
        <f>IFERROR(__xludf.DUMMYFUNCTION("""COMPUTED_VALUE"""),0.275)</f>
        <v>0.275</v>
      </c>
      <c r="E4817" s="8" t="str">
        <f>IFERROR(__xludf.DUMMYFUNCTION("""COMPUTED_VALUE"""),"Estimada")</f>
        <v>Estimada</v>
      </c>
      <c r="G4817" s="8">
        <f t="shared" si="1"/>
        <v>5</v>
      </c>
      <c r="H4817" s="14">
        <f t="shared" si="2"/>
        <v>20</v>
      </c>
      <c r="I4817" s="15">
        <f t="shared" si="3"/>
        <v>17</v>
      </c>
    </row>
    <row r="4818">
      <c r="A4818" s="8" t="str">
        <f>IFERROR(__xludf.DUMMYFUNCTION("IF('(INGESTA)Datos_consumo_datadis'!A4818&lt;&gt;"""",SPLIT('(INGESTA)Datos_consumo_datadis'!A:A,"",""),"""")"),"ES0031408323131005HX0F")</f>
        <v>ES0031408323131005HX0F</v>
      </c>
      <c r="B4818" s="12">
        <f>IFERROR(__xludf.DUMMYFUNCTION("""COMPUTED_VALUE"""),45066.0)</f>
        <v>45066</v>
      </c>
      <c r="C4818" s="13">
        <f>IFERROR(__xludf.DUMMYFUNCTION("""COMPUTED_VALUE"""),0.75)</f>
        <v>0.75</v>
      </c>
      <c r="D4818" s="8">
        <f>IFERROR(__xludf.DUMMYFUNCTION("""COMPUTED_VALUE"""),0.267)</f>
        <v>0.267</v>
      </c>
      <c r="E4818" s="8" t="str">
        <f>IFERROR(__xludf.DUMMYFUNCTION("""COMPUTED_VALUE"""),"Estimada")</f>
        <v>Estimada</v>
      </c>
      <c r="G4818" s="8">
        <f t="shared" si="1"/>
        <v>5</v>
      </c>
      <c r="H4818" s="14">
        <f t="shared" si="2"/>
        <v>20</v>
      </c>
      <c r="I4818" s="15">
        <f t="shared" si="3"/>
        <v>18</v>
      </c>
    </row>
    <row r="4819">
      <c r="A4819" s="8" t="str">
        <f>IFERROR(__xludf.DUMMYFUNCTION("IF('(INGESTA)Datos_consumo_datadis'!A4819&lt;&gt;"""",SPLIT('(INGESTA)Datos_consumo_datadis'!A:A,"",""),"""")"),"ES0031408323131005HX0F")</f>
        <v>ES0031408323131005HX0F</v>
      </c>
      <c r="B4819" s="12">
        <f>IFERROR(__xludf.DUMMYFUNCTION("""COMPUTED_VALUE"""),45066.0)</f>
        <v>45066</v>
      </c>
      <c r="C4819" s="13">
        <f>IFERROR(__xludf.DUMMYFUNCTION("""COMPUTED_VALUE"""),0.7916666666666666)</f>
        <v>0.7916666667</v>
      </c>
      <c r="D4819" s="8">
        <f>IFERROR(__xludf.DUMMYFUNCTION("""COMPUTED_VALUE"""),0.267)</f>
        <v>0.267</v>
      </c>
      <c r="E4819" s="8" t="str">
        <f>IFERROR(__xludf.DUMMYFUNCTION("""COMPUTED_VALUE"""),"Estimada")</f>
        <v>Estimada</v>
      </c>
      <c r="G4819" s="8">
        <f t="shared" si="1"/>
        <v>5</v>
      </c>
      <c r="H4819" s="14">
        <f t="shared" si="2"/>
        <v>20</v>
      </c>
      <c r="I4819" s="15">
        <f t="shared" si="3"/>
        <v>19</v>
      </c>
    </row>
    <row r="4820">
      <c r="A4820" s="8" t="str">
        <f>IFERROR(__xludf.DUMMYFUNCTION("IF('(INGESTA)Datos_consumo_datadis'!A4820&lt;&gt;"""",SPLIT('(INGESTA)Datos_consumo_datadis'!A:A,"",""),"""")"),"ES0031408323131005HX0F")</f>
        <v>ES0031408323131005HX0F</v>
      </c>
      <c r="B4820" s="12">
        <f>IFERROR(__xludf.DUMMYFUNCTION("""COMPUTED_VALUE"""),45066.0)</f>
        <v>45066</v>
      </c>
      <c r="C4820" s="13">
        <f>IFERROR(__xludf.DUMMYFUNCTION("""COMPUTED_VALUE"""),0.8333333333333334)</f>
        <v>0.8333333333</v>
      </c>
      <c r="D4820" s="8">
        <f>IFERROR(__xludf.DUMMYFUNCTION("""COMPUTED_VALUE"""),0.271)</f>
        <v>0.271</v>
      </c>
      <c r="E4820" s="8" t="str">
        <f>IFERROR(__xludf.DUMMYFUNCTION("""COMPUTED_VALUE"""),"Estimada")</f>
        <v>Estimada</v>
      </c>
      <c r="G4820" s="8">
        <f t="shared" si="1"/>
        <v>5</v>
      </c>
      <c r="H4820" s="14">
        <f t="shared" si="2"/>
        <v>20</v>
      </c>
      <c r="I4820" s="15">
        <f t="shared" si="3"/>
        <v>20</v>
      </c>
    </row>
    <row r="4821">
      <c r="A4821" s="8" t="str">
        <f>IFERROR(__xludf.DUMMYFUNCTION("IF('(INGESTA)Datos_consumo_datadis'!A4821&lt;&gt;"""",SPLIT('(INGESTA)Datos_consumo_datadis'!A:A,"",""),"""")"),"ES0031408323131005HX0F")</f>
        <v>ES0031408323131005HX0F</v>
      </c>
      <c r="B4821" s="12">
        <f>IFERROR(__xludf.DUMMYFUNCTION("""COMPUTED_VALUE"""),45066.0)</f>
        <v>45066</v>
      </c>
      <c r="C4821" s="13">
        <f>IFERROR(__xludf.DUMMYFUNCTION("""COMPUTED_VALUE"""),0.875)</f>
        <v>0.875</v>
      </c>
      <c r="D4821" s="8">
        <f>IFERROR(__xludf.DUMMYFUNCTION("""COMPUTED_VALUE"""),0.291)</f>
        <v>0.291</v>
      </c>
      <c r="E4821" s="8" t="str">
        <f>IFERROR(__xludf.DUMMYFUNCTION("""COMPUTED_VALUE"""),"Estimada")</f>
        <v>Estimada</v>
      </c>
      <c r="G4821" s="8">
        <f t="shared" si="1"/>
        <v>5</v>
      </c>
      <c r="H4821" s="14">
        <f t="shared" si="2"/>
        <v>20</v>
      </c>
      <c r="I4821" s="15">
        <f t="shared" si="3"/>
        <v>21</v>
      </c>
    </row>
    <row r="4822">
      <c r="A4822" s="8" t="str">
        <f>IFERROR(__xludf.DUMMYFUNCTION("IF('(INGESTA)Datos_consumo_datadis'!A4822&lt;&gt;"""",SPLIT('(INGESTA)Datos_consumo_datadis'!A:A,"",""),"""")"),"ES0031408323131005HX0F")</f>
        <v>ES0031408323131005HX0F</v>
      </c>
      <c r="B4822" s="12">
        <f>IFERROR(__xludf.DUMMYFUNCTION("""COMPUTED_VALUE"""),45066.0)</f>
        <v>45066</v>
      </c>
      <c r="C4822" s="13">
        <f>IFERROR(__xludf.DUMMYFUNCTION("""COMPUTED_VALUE"""),0.9166666666666666)</f>
        <v>0.9166666667</v>
      </c>
      <c r="D4822" s="8">
        <f>IFERROR(__xludf.DUMMYFUNCTION("""COMPUTED_VALUE"""),0.344)</f>
        <v>0.344</v>
      </c>
      <c r="E4822" s="8" t="str">
        <f>IFERROR(__xludf.DUMMYFUNCTION("""COMPUTED_VALUE"""),"Estimada")</f>
        <v>Estimada</v>
      </c>
      <c r="G4822" s="8">
        <f t="shared" si="1"/>
        <v>5</v>
      </c>
      <c r="H4822" s="14">
        <f t="shared" si="2"/>
        <v>20</v>
      </c>
      <c r="I4822" s="15">
        <f t="shared" si="3"/>
        <v>22</v>
      </c>
    </row>
    <row r="4823">
      <c r="A4823" s="8" t="str">
        <f>IFERROR(__xludf.DUMMYFUNCTION("IF('(INGESTA)Datos_consumo_datadis'!A4823&lt;&gt;"""",SPLIT('(INGESTA)Datos_consumo_datadis'!A:A,"",""),"""")"),"ES0031408323131005HX0F")</f>
        <v>ES0031408323131005HX0F</v>
      </c>
      <c r="B4823" s="12">
        <f>IFERROR(__xludf.DUMMYFUNCTION("""COMPUTED_VALUE"""),45066.0)</f>
        <v>45066</v>
      </c>
      <c r="C4823" s="13">
        <f>IFERROR(__xludf.DUMMYFUNCTION("""COMPUTED_VALUE"""),0.9583333333333334)</f>
        <v>0.9583333333</v>
      </c>
      <c r="D4823" s="8">
        <f>IFERROR(__xludf.DUMMYFUNCTION("""COMPUTED_VALUE"""),0.35)</f>
        <v>0.35</v>
      </c>
      <c r="E4823" s="8" t="str">
        <f>IFERROR(__xludf.DUMMYFUNCTION("""COMPUTED_VALUE"""),"Estimada")</f>
        <v>Estimada</v>
      </c>
      <c r="G4823" s="8">
        <f t="shared" si="1"/>
        <v>5</v>
      </c>
      <c r="H4823" s="14">
        <f t="shared" si="2"/>
        <v>20</v>
      </c>
      <c r="I4823" s="15">
        <f t="shared" si="3"/>
        <v>23</v>
      </c>
    </row>
    <row r="4824">
      <c r="A4824" s="8" t="str">
        <f>IFERROR(__xludf.DUMMYFUNCTION("IF('(INGESTA)Datos_consumo_datadis'!A4824&lt;&gt;"""",SPLIT('(INGESTA)Datos_consumo_datadis'!A:A,"",""),"""")"),"ES0031408323131005HX0F")</f>
        <v>ES0031408323131005HX0F</v>
      </c>
      <c r="B4824" s="12">
        <f>IFERROR(__xludf.DUMMYFUNCTION("""COMPUTED_VALUE"""),45066.0)</f>
        <v>45066</v>
      </c>
      <c r="C4824" s="16">
        <f>IFERROR(__xludf.DUMMYFUNCTION("""COMPUTED_VALUE"""),1.0)</f>
        <v>1</v>
      </c>
      <c r="D4824" s="8">
        <f>IFERROR(__xludf.DUMMYFUNCTION("""COMPUTED_VALUE"""),0.309)</f>
        <v>0.309</v>
      </c>
      <c r="E4824" s="8" t="str">
        <f>IFERROR(__xludf.DUMMYFUNCTION("""COMPUTED_VALUE"""),"Estimada")</f>
        <v>Estimada</v>
      </c>
      <c r="G4824" s="8">
        <f t="shared" si="1"/>
        <v>5</v>
      </c>
      <c r="H4824" s="14">
        <f t="shared" si="2"/>
        <v>20</v>
      </c>
      <c r="I4824" s="15">
        <f t="shared" si="3"/>
        <v>0</v>
      </c>
    </row>
    <row r="4825">
      <c r="A4825" s="8" t="str">
        <f>IFERROR(__xludf.DUMMYFUNCTION("IF('(INGESTA)Datos_consumo_datadis'!A4825&lt;&gt;"""",SPLIT('(INGESTA)Datos_consumo_datadis'!A:A,"",""),"""")"),"ES0031408323131005HX0F")</f>
        <v>ES0031408323131005HX0F</v>
      </c>
      <c r="B4825" s="12">
        <f>IFERROR(__xludf.DUMMYFUNCTION("""COMPUTED_VALUE"""),45067.0)</f>
        <v>45067</v>
      </c>
      <c r="C4825" s="13">
        <f>IFERROR(__xludf.DUMMYFUNCTION("""COMPUTED_VALUE"""),0.041666666666666664)</f>
        <v>0.04166666667</v>
      </c>
      <c r="D4825" s="8">
        <f>IFERROR(__xludf.DUMMYFUNCTION("""COMPUTED_VALUE"""),0.268)</f>
        <v>0.268</v>
      </c>
      <c r="E4825" s="8" t="str">
        <f>IFERROR(__xludf.DUMMYFUNCTION("""COMPUTED_VALUE"""),"Estimada")</f>
        <v>Estimada</v>
      </c>
      <c r="G4825" s="8">
        <f t="shared" si="1"/>
        <v>5</v>
      </c>
      <c r="H4825" s="14">
        <f t="shared" si="2"/>
        <v>21</v>
      </c>
      <c r="I4825" s="15">
        <f t="shared" si="3"/>
        <v>1</v>
      </c>
    </row>
    <row r="4826">
      <c r="A4826" s="8" t="str">
        <f>IFERROR(__xludf.DUMMYFUNCTION("IF('(INGESTA)Datos_consumo_datadis'!A4826&lt;&gt;"""",SPLIT('(INGESTA)Datos_consumo_datadis'!A:A,"",""),"""")"),"ES0031408323131005HX0F")</f>
        <v>ES0031408323131005HX0F</v>
      </c>
      <c r="B4826" s="12">
        <f>IFERROR(__xludf.DUMMYFUNCTION("""COMPUTED_VALUE"""),45067.0)</f>
        <v>45067</v>
      </c>
      <c r="C4826" s="13">
        <f>IFERROR(__xludf.DUMMYFUNCTION("""COMPUTED_VALUE"""),0.08333333333333333)</f>
        <v>0.08333333333</v>
      </c>
      <c r="D4826" s="8">
        <f>IFERROR(__xludf.DUMMYFUNCTION("""COMPUTED_VALUE"""),0.228)</f>
        <v>0.228</v>
      </c>
      <c r="E4826" s="8" t="str">
        <f>IFERROR(__xludf.DUMMYFUNCTION("""COMPUTED_VALUE"""),"Estimada")</f>
        <v>Estimada</v>
      </c>
      <c r="G4826" s="8">
        <f t="shared" si="1"/>
        <v>5</v>
      </c>
      <c r="H4826" s="14">
        <f t="shared" si="2"/>
        <v>21</v>
      </c>
      <c r="I4826" s="15">
        <f t="shared" si="3"/>
        <v>2</v>
      </c>
    </row>
    <row r="4827">
      <c r="A4827" s="8" t="str">
        <f>IFERROR(__xludf.DUMMYFUNCTION("IF('(INGESTA)Datos_consumo_datadis'!A4827&lt;&gt;"""",SPLIT('(INGESTA)Datos_consumo_datadis'!A:A,"",""),"""")"),"ES0031408323131005HX0F")</f>
        <v>ES0031408323131005HX0F</v>
      </c>
      <c r="B4827" s="12">
        <f>IFERROR(__xludf.DUMMYFUNCTION("""COMPUTED_VALUE"""),45067.0)</f>
        <v>45067</v>
      </c>
      <c r="C4827" s="13">
        <f>IFERROR(__xludf.DUMMYFUNCTION("""COMPUTED_VALUE"""),0.125)</f>
        <v>0.125</v>
      </c>
      <c r="D4827" s="8">
        <f>IFERROR(__xludf.DUMMYFUNCTION("""COMPUTED_VALUE"""),0.199)</f>
        <v>0.199</v>
      </c>
      <c r="E4827" s="8" t="str">
        <f>IFERROR(__xludf.DUMMYFUNCTION("""COMPUTED_VALUE"""),"Estimada")</f>
        <v>Estimada</v>
      </c>
      <c r="G4827" s="8">
        <f t="shared" si="1"/>
        <v>5</v>
      </c>
      <c r="H4827" s="14">
        <f t="shared" si="2"/>
        <v>21</v>
      </c>
      <c r="I4827" s="15">
        <f t="shared" si="3"/>
        <v>3</v>
      </c>
    </row>
    <row r="4828">
      <c r="A4828" s="8" t="str">
        <f>IFERROR(__xludf.DUMMYFUNCTION("IF('(INGESTA)Datos_consumo_datadis'!A4828&lt;&gt;"""",SPLIT('(INGESTA)Datos_consumo_datadis'!A:A,"",""),"""")"),"ES0031408323131005HX0F")</f>
        <v>ES0031408323131005HX0F</v>
      </c>
      <c r="B4828" s="12">
        <f>IFERROR(__xludf.DUMMYFUNCTION("""COMPUTED_VALUE"""),45067.0)</f>
        <v>45067</v>
      </c>
      <c r="C4828" s="13">
        <f>IFERROR(__xludf.DUMMYFUNCTION("""COMPUTED_VALUE"""),0.16666666666666666)</f>
        <v>0.1666666667</v>
      </c>
      <c r="D4828" s="8">
        <f>IFERROR(__xludf.DUMMYFUNCTION("""COMPUTED_VALUE"""),0.184)</f>
        <v>0.184</v>
      </c>
      <c r="E4828" s="8" t="str">
        <f>IFERROR(__xludf.DUMMYFUNCTION("""COMPUTED_VALUE"""),"Estimada")</f>
        <v>Estimada</v>
      </c>
      <c r="G4828" s="8">
        <f t="shared" si="1"/>
        <v>5</v>
      </c>
      <c r="H4828" s="14">
        <f t="shared" si="2"/>
        <v>21</v>
      </c>
      <c r="I4828" s="15">
        <f t="shared" si="3"/>
        <v>4</v>
      </c>
    </row>
    <row r="4829">
      <c r="A4829" s="8" t="str">
        <f>IFERROR(__xludf.DUMMYFUNCTION("IF('(INGESTA)Datos_consumo_datadis'!A4829&lt;&gt;"""",SPLIT('(INGESTA)Datos_consumo_datadis'!A:A,"",""),"""")"),"ES0031408323131005HX0F")</f>
        <v>ES0031408323131005HX0F</v>
      </c>
      <c r="B4829" s="12">
        <f>IFERROR(__xludf.DUMMYFUNCTION("""COMPUTED_VALUE"""),45067.0)</f>
        <v>45067</v>
      </c>
      <c r="C4829" s="13">
        <f>IFERROR(__xludf.DUMMYFUNCTION("""COMPUTED_VALUE"""),0.20833333333333334)</f>
        <v>0.2083333333</v>
      </c>
      <c r="D4829" s="8">
        <f>IFERROR(__xludf.DUMMYFUNCTION("""COMPUTED_VALUE"""),0.177)</f>
        <v>0.177</v>
      </c>
      <c r="E4829" s="8" t="str">
        <f>IFERROR(__xludf.DUMMYFUNCTION("""COMPUTED_VALUE"""),"Estimada")</f>
        <v>Estimada</v>
      </c>
      <c r="G4829" s="8">
        <f t="shared" si="1"/>
        <v>5</v>
      </c>
      <c r="H4829" s="14">
        <f t="shared" si="2"/>
        <v>21</v>
      </c>
      <c r="I4829" s="15">
        <f t="shared" si="3"/>
        <v>5</v>
      </c>
    </row>
    <row r="4830">
      <c r="A4830" s="8" t="str">
        <f>IFERROR(__xludf.DUMMYFUNCTION("IF('(INGESTA)Datos_consumo_datadis'!A4830&lt;&gt;"""",SPLIT('(INGESTA)Datos_consumo_datadis'!A:A,"",""),"""")"),"ES0031408323131005HX0F")</f>
        <v>ES0031408323131005HX0F</v>
      </c>
      <c r="B4830" s="12">
        <f>IFERROR(__xludf.DUMMYFUNCTION("""COMPUTED_VALUE"""),45067.0)</f>
        <v>45067</v>
      </c>
      <c r="C4830" s="13">
        <f>IFERROR(__xludf.DUMMYFUNCTION("""COMPUTED_VALUE"""),0.25)</f>
        <v>0.25</v>
      </c>
      <c r="D4830" s="8">
        <f>IFERROR(__xludf.DUMMYFUNCTION("""COMPUTED_VALUE"""),0.175)</f>
        <v>0.175</v>
      </c>
      <c r="E4830" s="8" t="str">
        <f>IFERROR(__xludf.DUMMYFUNCTION("""COMPUTED_VALUE"""),"Estimada")</f>
        <v>Estimada</v>
      </c>
      <c r="G4830" s="8">
        <f t="shared" si="1"/>
        <v>5</v>
      </c>
      <c r="H4830" s="14">
        <f t="shared" si="2"/>
        <v>21</v>
      </c>
      <c r="I4830" s="15">
        <f t="shared" si="3"/>
        <v>6</v>
      </c>
    </row>
    <row r="4831">
      <c r="A4831" s="8" t="str">
        <f>IFERROR(__xludf.DUMMYFUNCTION("IF('(INGESTA)Datos_consumo_datadis'!A4831&lt;&gt;"""",SPLIT('(INGESTA)Datos_consumo_datadis'!A:A,"",""),"""")"),"ES0031408323131005HX0F")</f>
        <v>ES0031408323131005HX0F</v>
      </c>
      <c r="B4831" s="12">
        <f>IFERROR(__xludf.DUMMYFUNCTION("""COMPUTED_VALUE"""),45067.0)</f>
        <v>45067</v>
      </c>
      <c r="C4831" s="13">
        <f>IFERROR(__xludf.DUMMYFUNCTION("""COMPUTED_VALUE"""),0.2916666666666667)</f>
        <v>0.2916666667</v>
      </c>
      <c r="D4831" s="8">
        <f>IFERROR(__xludf.DUMMYFUNCTION("""COMPUTED_VALUE"""),0.173)</f>
        <v>0.173</v>
      </c>
      <c r="E4831" s="8" t="str">
        <f>IFERROR(__xludf.DUMMYFUNCTION("""COMPUTED_VALUE"""),"Estimada")</f>
        <v>Estimada</v>
      </c>
      <c r="G4831" s="8">
        <f t="shared" si="1"/>
        <v>5</v>
      </c>
      <c r="H4831" s="14">
        <f t="shared" si="2"/>
        <v>21</v>
      </c>
      <c r="I4831" s="15">
        <f t="shared" si="3"/>
        <v>7</v>
      </c>
    </row>
    <row r="4832">
      <c r="A4832" s="8" t="str">
        <f>IFERROR(__xludf.DUMMYFUNCTION("IF('(INGESTA)Datos_consumo_datadis'!A4832&lt;&gt;"""",SPLIT('(INGESTA)Datos_consumo_datadis'!A:A,"",""),"""")"),"ES0031408323131005HX0F")</f>
        <v>ES0031408323131005HX0F</v>
      </c>
      <c r="B4832" s="12">
        <f>IFERROR(__xludf.DUMMYFUNCTION("""COMPUTED_VALUE"""),45067.0)</f>
        <v>45067</v>
      </c>
      <c r="C4832" s="13">
        <f>IFERROR(__xludf.DUMMYFUNCTION("""COMPUTED_VALUE"""),0.3333333333333333)</f>
        <v>0.3333333333</v>
      </c>
      <c r="D4832" s="8">
        <f>IFERROR(__xludf.DUMMYFUNCTION("""COMPUTED_VALUE"""),0.173)</f>
        <v>0.173</v>
      </c>
      <c r="E4832" s="8" t="str">
        <f>IFERROR(__xludf.DUMMYFUNCTION("""COMPUTED_VALUE"""),"Estimada")</f>
        <v>Estimada</v>
      </c>
      <c r="G4832" s="8">
        <f t="shared" si="1"/>
        <v>5</v>
      </c>
      <c r="H4832" s="14">
        <f t="shared" si="2"/>
        <v>21</v>
      </c>
      <c r="I4832" s="15">
        <f t="shared" si="3"/>
        <v>8</v>
      </c>
    </row>
    <row r="4833">
      <c r="A4833" s="8" t="str">
        <f>IFERROR(__xludf.DUMMYFUNCTION("IF('(INGESTA)Datos_consumo_datadis'!A4833&lt;&gt;"""",SPLIT('(INGESTA)Datos_consumo_datadis'!A:A,"",""),"""")"),"ES0031408323131005HX0F")</f>
        <v>ES0031408323131005HX0F</v>
      </c>
      <c r="B4833" s="12">
        <f>IFERROR(__xludf.DUMMYFUNCTION("""COMPUTED_VALUE"""),45067.0)</f>
        <v>45067</v>
      </c>
      <c r="C4833" s="13">
        <f>IFERROR(__xludf.DUMMYFUNCTION("""COMPUTED_VALUE"""),0.375)</f>
        <v>0.375</v>
      </c>
      <c r="D4833" s="8">
        <f>IFERROR(__xludf.DUMMYFUNCTION("""COMPUTED_VALUE"""),0.211)</f>
        <v>0.211</v>
      </c>
      <c r="E4833" s="8" t="str">
        <f>IFERROR(__xludf.DUMMYFUNCTION("""COMPUTED_VALUE"""),"Estimada")</f>
        <v>Estimada</v>
      </c>
      <c r="G4833" s="8">
        <f t="shared" si="1"/>
        <v>5</v>
      </c>
      <c r="H4833" s="14">
        <f t="shared" si="2"/>
        <v>21</v>
      </c>
      <c r="I4833" s="15">
        <f t="shared" si="3"/>
        <v>9</v>
      </c>
    </row>
    <row r="4834">
      <c r="A4834" s="8" t="str">
        <f>IFERROR(__xludf.DUMMYFUNCTION("IF('(INGESTA)Datos_consumo_datadis'!A4834&lt;&gt;"""",SPLIT('(INGESTA)Datos_consumo_datadis'!A:A,"",""),"""")"),"ES0031408323131005HX0F")</f>
        <v>ES0031408323131005HX0F</v>
      </c>
      <c r="B4834" s="12">
        <f>IFERROR(__xludf.DUMMYFUNCTION("""COMPUTED_VALUE"""),45067.0)</f>
        <v>45067</v>
      </c>
      <c r="C4834" s="13">
        <f>IFERROR(__xludf.DUMMYFUNCTION("""COMPUTED_VALUE"""),0.4166666666666667)</f>
        <v>0.4166666667</v>
      </c>
      <c r="D4834" s="8">
        <f>IFERROR(__xludf.DUMMYFUNCTION("""COMPUTED_VALUE"""),0.267)</f>
        <v>0.267</v>
      </c>
      <c r="E4834" s="8" t="str">
        <f>IFERROR(__xludf.DUMMYFUNCTION("""COMPUTED_VALUE"""),"Estimada")</f>
        <v>Estimada</v>
      </c>
      <c r="G4834" s="8">
        <f t="shared" si="1"/>
        <v>5</v>
      </c>
      <c r="H4834" s="14">
        <f t="shared" si="2"/>
        <v>21</v>
      </c>
      <c r="I4834" s="15">
        <f t="shared" si="3"/>
        <v>10</v>
      </c>
    </row>
    <row r="4835">
      <c r="A4835" s="8" t="str">
        <f>IFERROR(__xludf.DUMMYFUNCTION("IF('(INGESTA)Datos_consumo_datadis'!A4835&lt;&gt;"""",SPLIT('(INGESTA)Datos_consumo_datadis'!A:A,"",""),"""")"),"ES0031408323131005HX0F")</f>
        <v>ES0031408323131005HX0F</v>
      </c>
      <c r="B4835" s="12">
        <f>IFERROR(__xludf.DUMMYFUNCTION("""COMPUTED_VALUE"""),45067.0)</f>
        <v>45067</v>
      </c>
      <c r="C4835" s="13">
        <f>IFERROR(__xludf.DUMMYFUNCTION("""COMPUTED_VALUE"""),0.4583333333333333)</f>
        <v>0.4583333333</v>
      </c>
      <c r="D4835" s="8">
        <f>IFERROR(__xludf.DUMMYFUNCTION("""COMPUTED_VALUE"""),0.312)</f>
        <v>0.312</v>
      </c>
      <c r="E4835" s="8" t="str">
        <f>IFERROR(__xludf.DUMMYFUNCTION("""COMPUTED_VALUE"""),"Estimada")</f>
        <v>Estimada</v>
      </c>
      <c r="G4835" s="8">
        <f t="shared" si="1"/>
        <v>5</v>
      </c>
      <c r="H4835" s="14">
        <f t="shared" si="2"/>
        <v>21</v>
      </c>
      <c r="I4835" s="15">
        <f t="shared" si="3"/>
        <v>11</v>
      </c>
    </row>
    <row r="4836">
      <c r="A4836" s="8" t="str">
        <f>IFERROR(__xludf.DUMMYFUNCTION("IF('(INGESTA)Datos_consumo_datadis'!A4836&lt;&gt;"""",SPLIT('(INGESTA)Datos_consumo_datadis'!A:A,"",""),"""")"),"ES0031408323131005HX0F")</f>
        <v>ES0031408323131005HX0F</v>
      </c>
      <c r="B4836" s="12">
        <f>IFERROR(__xludf.DUMMYFUNCTION("""COMPUTED_VALUE"""),45067.0)</f>
        <v>45067</v>
      </c>
      <c r="C4836" s="13">
        <f>IFERROR(__xludf.DUMMYFUNCTION("""COMPUTED_VALUE"""),0.5)</f>
        <v>0.5</v>
      </c>
      <c r="D4836" s="8">
        <f>IFERROR(__xludf.DUMMYFUNCTION("""COMPUTED_VALUE"""),0.33)</f>
        <v>0.33</v>
      </c>
      <c r="E4836" s="8" t="str">
        <f>IFERROR(__xludf.DUMMYFUNCTION("""COMPUTED_VALUE"""),"Estimada")</f>
        <v>Estimada</v>
      </c>
      <c r="G4836" s="8">
        <f t="shared" si="1"/>
        <v>5</v>
      </c>
      <c r="H4836" s="14">
        <f t="shared" si="2"/>
        <v>21</v>
      </c>
      <c r="I4836" s="15">
        <f t="shared" si="3"/>
        <v>12</v>
      </c>
    </row>
    <row r="4837">
      <c r="A4837" s="8" t="str">
        <f>IFERROR(__xludf.DUMMYFUNCTION("IF('(INGESTA)Datos_consumo_datadis'!A4837&lt;&gt;"""",SPLIT('(INGESTA)Datos_consumo_datadis'!A:A,"",""),"""")"),"ES0031408323131005HX0F")</f>
        <v>ES0031408323131005HX0F</v>
      </c>
      <c r="B4837" s="12">
        <f>IFERROR(__xludf.DUMMYFUNCTION("""COMPUTED_VALUE"""),45067.0)</f>
        <v>45067</v>
      </c>
      <c r="C4837" s="13">
        <f>IFERROR(__xludf.DUMMYFUNCTION("""COMPUTED_VALUE"""),0.5416666666666666)</f>
        <v>0.5416666667</v>
      </c>
      <c r="D4837" s="8">
        <f>IFERROR(__xludf.DUMMYFUNCTION("""COMPUTED_VALUE"""),0.336)</f>
        <v>0.336</v>
      </c>
      <c r="E4837" s="8" t="str">
        <f>IFERROR(__xludf.DUMMYFUNCTION("""COMPUTED_VALUE"""),"Estimada")</f>
        <v>Estimada</v>
      </c>
      <c r="G4837" s="8">
        <f t="shared" si="1"/>
        <v>5</v>
      </c>
      <c r="H4837" s="14">
        <f t="shared" si="2"/>
        <v>21</v>
      </c>
      <c r="I4837" s="15">
        <f t="shared" si="3"/>
        <v>13</v>
      </c>
    </row>
    <row r="4838">
      <c r="A4838" s="8" t="str">
        <f>IFERROR(__xludf.DUMMYFUNCTION("IF('(INGESTA)Datos_consumo_datadis'!A4838&lt;&gt;"""",SPLIT('(INGESTA)Datos_consumo_datadis'!A:A,"",""),"""")"),"ES0031408323131005HX0F")</f>
        <v>ES0031408323131005HX0F</v>
      </c>
      <c r="B4838" s="12">
        <f>IFERROR(__xludf.DUMMYFUNCTION("""COMPUTED_VALUE"""),45067.0)</f>
        <v>45067</v>
      </c>
      <c r="C4838" s="13">
        <f>IFERROR(__xludf.DUMMYFUNCTION("""COMPUTED_VALUE"""),0.5833333333333334)</f>
        <v>0.5833333333</v>
      </c>
      <c r="D4838" s="8">
        <f>IFERROR(__xludf.DUMMYFUNCTION("""COMPUTED_VALUE"""),0.351)</f>
        <v>0.351</v>
      </c>
      <c r="E4838" s="8" t="str">
        <f>IFERROR(__xludf.DUMMYFUNCTION("""COMPUTED_VALUE"""),"Estimada")</f>
        <v>Estimada</v>
      </c>
      <c r="G4838" s="8">
        <f t="shared" si="1"/>
        <v>5</v>
      </c>
      <c r="H4838" s="14">
        <f t="shared" si="2"/>
        <v>21</v>
      </c>
      <c r="I4838" s="15">
        <f t="shared" si="3"/>
        <v>14</v>
      </c>
    </row>
    <row r="4839">
      <c r="A4839" s="8" t="str">
        <f>IFERROR(__xludf.DUMMYFUNCTION("IF('(INGESTA)Datos_consumo_datadis'!A4839&lt;&gt;"""",SPLIT('(INGESTA)Datos_consumo_datadis'!A:A,"",""),"""")"),"ES0031408323131005HX0F")</f>
        <v>ES0031408323131005HX0F</v>
      </c>
      <c r="B4839" s="12">
        <f>IFERROR(__xludf.DUMMYFUNCTION("""COMPUTED_VALUE"""),45067.0)</f>
        <v>45067</v>
      </c>
      <c r="C4839" s="13">
        <f>IFERROR(__xludf.DUMMYFUNCTION("""COMPUTED_VALUE"""),0.625)</f>
        <v>0.625</v>
      </c>
      <c r="D4839" s="8">
        <f>IFERROR(__xludf.DUMMYFUNCTION("""COMPUTED_VALUE"""),0.344)</f>
        <v>0.344</v>
      </c>
      <c r="E4839" s="8" t="str">
        <f>IFERROR(__xludf.DUMMYFUNCTION("""COMPUTED_VALUE"""),"Estimada")</f>
        <v>Estimada</v>
      </c>
      <c r="G4839" s="8">
        <f t="shared" si="1"/>
        <v>5</v>
      </c>
      <c r="H4839" s="14">
        <f t="shared" si="2"/>
        <v>21</v>
      </c>
      <c r="I4839" s="15">
        <f t="shared" si="3"/>
        <v>15</v>
      </c>
    </row>
    <row r="4840">
      <c r="A4840" s="8" t="str">
        <f>IFERROR(__xludf.DUMMYFUNCTION("IF('(INGESTA)Datos_consumo_datadis'!A4840&lt;&gt;"""",SPLIT('(INGESTA)Datos_consumo_datadis'!A:A,"",""),"""")"),"ES0031408323131005HX0F")</f>
        <v>ES0031408323131005HX0F</v>
      </c>
      <c r="B4840" s="12">
        <f>IFERROR(__xludf.DUMMYFUNCTION("""COMPUTED_VALUE"""),45067.0)</f>
        <v>45067</v>
      </c>
      <c r="C4840" s="13">
        <f>IFERROR(__xludf.DUMMYFUNCTION("""COMPUTED_VALUE"""),0.6666666666666666)</f>
        <v>0.6666666667</v>
      </c>
      <c r="D4840" s="8">
        <f>IFERROR(__xludf.DUMMYFUNCTION("""COMPUTED_VALUE"""),0.298)</f>
        <v>0.298</v>
      </c>
      <c r="E4840" s="8" t="str">
        <f>IFERROR(__xludf.DUMMYFUNCTION("""COMPUTED_VALUE"""),"Estimada")</f>
        <v>Estimada</v>
      </c>
      <c r="G4840" s="8">
        <f t="shared" si="1"/>
        <v>5</v>
      </c>
      <c r="H4840" s="14">
        <f t="shared" si="2"/>
        <v>21</v>
      </c>
      <c r="I4840" s="15">
        <f t="shared" si="3"/>
        <v>16</v>
      </c>
    </row>
    <row r="4841">
      <c r="A4841" s="8" t="str">
        <f>IFERROR(__xludf.DUMMYFUNCTION("IF('(INGESTA)Datos_consumo_datadis'!A4841&lt;&gt;"""",SPLIT('(INGESTA)Datos_consumo_datadis'!A:A,"",""),"""")"),"ES0031408323131005HX0F")</f>
        <v>ES0031408323131005HX0F</v>
      </c>
      <c r="B4841" s="12">
        <f>IFERROR(__xludf.DUMMYFUNCTION("""COMPUTED_VALUE"""),45067.0)</f>
        <v>45067</v>
      </c>
      <c r="C4841" s="13">
        <f>IFERROR(__xludf.DUMMYFUNCTION("""COMPUTED_VALUE"""),0.7083333333333334)</f>
        <v>0.7083333333</v>
      </c>
      <c r="D4841" s="8">
        <f>IFERROR(__xludf.DUMMYFUNCTION("""COMPUTED_VALUE"""),0.272)</f>
        <v>0.272</v>
      </c>
      <c r="E4841" s="8" t="str">
        <f>IFERROR(__xludf.DUMMYFUNCTION("""COMPUTED_VALUE"""),"Estimada")</f>
        <v>Estimada</v>
      </c>
      <c r="G4841" s="8">
        <f t="shared" si="1"/>
        <v>5</v>
      </c>
      <c r="H4841" s="14">
        <f t="shared" si="2"/>
        <v>21</v>
      </c>
      <c r="I4841" s="15">
        <f t="shared" si="3"/>
        <v>17</v>
      </c>
    </row>
    <row r="4842">
      <c r="A4842" s="8" t="str">
        <f>IFERROR(__xludf.DUMMYFUNCTION("IF('(INGESTA)Datos_consumo_datadis'!A4842&lt;&gt;"""",SPLIT('(INGESTA)Datos_consumo_datadis'!A:A,"",""),"""")"),"ES0031408323131005HX0F")</f>
        <v>ES0031408323131005HX0F</v>
      </c>
      <c r="B4842" s="12">
        <f>IFERROR(__xludf.DUMMYFUNCTION("""COMPUTED_VALUE"""),45067.0)</f>
        <v>45067</v>
      </c>
      <c r="C4842" s="13">
        <f>IFERROR(__xludf.DUMMYFUNCTION("""COMPUTED_VALUE"""),0.75)</f>
        <v>0.75</v>
      </c>
      <c r="D4842" s="8">
        <f>IFERROR(__xludf.DUMMYFUNCTION("""COMPUTED_VALUE"""),0.265)</f>
        <v>0.265</v>
      </c>
      <c r="E4842" s="8" t="str">
        <f>IFERROR(__xludf.DUMMYFUNCTION("""COMPUTED_VALUE"""),"Estimada")</f>
        <v>Estimada</v>
      </c>
      <c r="G4842" s="8">
        <f t="shared" si="1"/>
        <v>5</v>
      </c>
      <c r="H4842" s="14">
        <f t="shared" si="2"/>
        <v>21</v>
      </c>
      <c r="I4842" s="15">
        <f t="shared" si="3"/>
        <v>18</v>
      </c>
    </row>
    <row r="4843">
      <c r="A4843" s="8" t="str">
        <f>IFERROR(__xludf.DUMMYFUNCTION("IF('(INGESTA)Datos_consumo_datadis'!A4843&lt;&gt;"""",SPLIT('(INGESTA)Datos_consumo_datadis'!A:A,"",""),"""")"),"ES0031408323131005HX0F")</f>
        <v>ES0031408323131005HX0F</v>
      </c>
      <c r="B4843" s="12">
        <f>IFERROR(__xludf.DUMMYFUNCTION("""COMPUTED_VALUE"""),45067.0)</f>
        <v>45067</v>
      </c>
      <c r="C4843" s="13">
        <f>IFERROR(__xludf.DUMMYFUNCTION("""COMPUTED_VALUE"""),0.7916666666666666)</f>
        <v>0.7916666667</v>
      </c>
      <c r="D4843" s="8">
        <f>IFERROR(__xludf.DUMMYFUNCTION("""COMPUTED_VALUE"""),0.271)</f>
        <v>0.271</v>
      </c>
      <c r="E4843" s="8" t="str">
        <f>IFERROR(__xludf.DUMMYFUNCTION("""COMPUTED_VALUE"""),"Estimada")</f>
        <v>Estimada</v>
      </c>
      <c r="G4843" s="8">
        <f t="shared" si="1"/>
        <v>5</v>
      </c>
      <c r="H4843" s="14">
        <f t="shared" si="2"/>
        <v>21</v>
      </c>
      <c r="I4843" s="15">
        <f t="shared" si="3"/>
        <v>19</v>
      </c>
    </row>
    <row r="4844">
      <c r="A4844" s="8" t="str">
        <f>IFERROR(__xludf.DUMMYFUNCTION("IF('(INGESTA)Datos_consumo_datadis'!A4844&lt;&gt;"""",SPLIT('(INGESTA)Datos_consumo_datadis'!A:A,"",""),"""")"),"ES0031408323131005HX0F")</f>
        <v>ES0031408323131005HX0F</v>
      </c>
      <c r="B4844" s="12">
        <f>IFERROR(__xludf.DUMMYFUNCTION("""COMPUTED_VALUE"""),45067.0)</f>
        <v>45067</v>
      </c>
      <c r="C4844" s="13">
        <f>IFERROR(__xludf.DUMMYFUNCTION("""COMPUTED_VALUE"""),0.8333333333333334)</f>
        <v>0.8333333333</v>
      </c>
      <c r="D4844" s="8">
        <f>IFERROR(__xludf.DUMMYFUNCTION("""COMPUTED_VALUE"""),0.284)</f>
        <v>0.284</v>
      </c>
      <c r="E4844" s="8" t="str">
        <f>IFERROR(__xludf.DUMMYFUNCTION("""COMPUTED_VALUE"""),"Estimada")</f>
        <v>Estimada</v>
      </c>
      <c r="G4844" s="8">
        <f t="shared" si="1"/>
        <v>5</v>
      </c>
      <c r="H4844" s="14">
        <f t="shared" si="2"/>
        <v>21</v>
      </c>
      <c r="I4844" s="15">
        <f t="shared" si="3"/>
        <v>20</v>
      </c>
    </row>
    <row r="4845">
      <c r="A4845" s="8" t="str">
        <f>IFERROR(__xludf.DUMMYFUNCTION("IF('(INGESTA)Datos_consumo_datadis'!A4845&lt;&gt;"""",SPLIT('(INGESTA)Datos_consumo_datadis'!A:A,"",""),"""")"),"ES0031408323131005HX0F")</f>
        <v>ES0031408323131005HX0F</v>
      </c>
      <c r="B4845" s="12">
        <f>IFERROR(__xludf.DUMMYFUNCTION("""COMPUTED_VALUE"""),45067.0)</f>
        <v>45067</v>
      </c>
      <c r="C4845" s="13">
        <f>IFERROR(__xludf.DUMMYFUNCTION("""COMPUTED_VALUE"""),0.875)</f>
        <v>0.875</v>
      </c>
      <c r="D4845" s="8">
        <f>IFERROR(__xludf.DUMMYFUNCTION("""COMPUTED_VALUE"""),0.317)</f>
        <v>0.317</v>
      </c>
      <c r="E4845" s="8" t="str">
        <f>IFERROR(__xludf.DUMMYFUNCTION("""COMPUTED_VALUE"""),"Estimada")</f>
        <v>Estimada</v>
      </c>
      <c r="G4845" s="8">
        <f t="shared" si="1"/>
        <v>5</v>
      </c>
      <c r="H4845" s="14">
        <f t="shared" si="2"/>
        <v>21</v>
      </c>
      <c r="I4845" s="15">
        <f t="shared" si="3"/>
        <v>21</v>
      </c>
    </row>
    <row r="4846">
      <c r="A4846" s="8" t="str">
        <f>IFERROR(__xludf.DUMMYFUNCTION("IF('(INGESTA)Datos_consumo_datadis'!A4846&lt;&gt;"""",SPLIT('(INGESTA)Datos_consumo_datadis'!A:A,"",""),"""")"),"ES0031408323131005HX0F")</f>
        <v>ES0031408323131005HX0F</v>
      </c>
      <c r="B4846" s="12">
        <f>IFERROR(__xludf.DUMMYFUNCTION("""COMPUTED_VALUE"""),45067.0)</f>
        <v>45067</v>
      </c>
      <c r="C4846" s="13">
        <f>IFERROR(__xludf.DUMMYFUNCTION("""COMPUTED_VALUE"""),0.9166666666666666)</f>
        <v>0.9166666667</v>
      </c>
      <c r="D4846" s="8">
        <f>IFERROR(__xludf.DUMMYFUNCTION("""COMPUTED_VALUE"""),0.372)</f>
        <v>0.372</v>
      </c>
      <c r="E4846" s="8" t="str">
        <f>IFERROR(__xludf.DUMMYFUNCTION("""COMPUTED_VALUE"""),"Estimada")</f>
        <v>Estimada</v>
      </c>
      <c r="G4846" s="8">
        <f t="shared" si="1"/>
        <v>5</v>
      </c>
      <c r="H4846" s="14">
        <f t="shared" si="2"/>
        <v>21</v>
      </c>
      <c r="I4846" s="15">
        <f t="shared" si="3"/>
        <v>22</v>
      </c>
    </row>
    <row r="4847">
      <c r="A4847" s="8" t="str">
        <f>IFERROR(__xludf.DUMMYFUNCTION("IF('(INGESTA)Datos_consumo_datadis'!A4847&lt;&gt;"""",SPLIT('(INGESTA)Datos_consumo_datadis'!A:A,"",""),"""")"),"ES0031408323131005HX0F")</f>
        <v>ES0031408323131005HX0F</v>
      </c>
      <c r="B4847" s="12">
        <f>IFERROR(__xludf.DUMMYFUNCTION("""COMPUTED_VALUE"""),45067.0)</f>
        <v>45067</v>
      </c>
      <c r="C4847" s="13">
        <f>IFERROR(__xludf.DUMMYFUNCTION("""COMPUTED_VALUE"""),0.9583333333333334)</f>
        <v>0.9583333333</v>
      </c>
      <c r="D4847" s="8">
        <f>IFERROR(__xludf.DUMMYFUNCTION("""COMPUTED_VALUE"""),0.368)</f>
        <v>0.368</v>
      </c>
      <c r="E4847" s="8" t="str">
        <f>IFERROR(__xludf.DUMMYFUNCTION("""COMPUTED_VALUE"""),"Estimada")</f>
        <v>Estimada</v>
      </c>
      <c r="G4847" s="8">
        <f t="shared" si="1"/>
        <v>5</v>
      </c>
      <c r="H4847" s="14">
        <f t="shared" si="2"/>
        <v>21</v>
      </c>
      <c r="I4847" s="15">
        <f t="shared" si="3"/>
        <v>23</v>
      </c>
    </row>
    <row r="4848">
      <c r="A4848" s="8" t="str">
        <f>IFERROR(__xludf.DUMMYFUNCTION("IF('(INGESTA)Datos_consumo_datadis'!A4848&lt;&gt;"""",SPLIT('(INGESTA)Datos_consumo_datadis'!A:A,"",""),"""")"),"ES0031408323131005HX0F")</f>
        <v>ES0031408323131005HX0F</v>
      </c>
      <c r="B4848" s="12">
        <f>IFERROR(__xludf.DUMMYFUNCTION("""COMPUTED_VALUE"""),45067.0)</f>
        <v>45067</v>
      </c>
      <c r="C4848" s="16">
        <f>IFERROR(__xludf.DUMMYFUNCTION("""COMPUTED_VALUE"""),1.0)</f>
        <v>1</v>
      </c>
      <c r="D4848" s="8">
        <f>IFERROR(__xludf.DUMMYFUNCTION("""COMPUTED_VALUE"""),0.312)</f>
        <v>0.312</v>
      </c>
      <c r="E4848" s="8" t="str">
        <f>IFERROR(__xludf.DUMMYFUNCTION("""COMPUTED_VALUE"""),"Estimada")</f>
        <v>Estimada</v>
      </c>
      <c r="G4848" s="8">
        <f t="shared" si="1"/>
        <v>5</v>
      </c>
      <c r="H4848" s="14">
        <f t="shared" si="2"/>
        <v>21</v>
      </c>
      <c r="I4848" s="15">
        <f t="shared" si="3"/>
        <v>0</v>
      </c>
    </row>
    <row r="4849">
      <c r="A4849" s="8" t="str">
        <f>IFERROR(__xludf.DUMMYFUNCTION("IF('(INGESTA)Datos_consumo_datadis'!A4849&lt;&gt;"""",SPLIT('(INGESTA)Datos_consumo_datadis'!A:A,"",""),"""")"),"ES0031408323131005HX0F")</f>
        <v>ES0031408323131005HX0F</v>
      </c>
      <c r="B4849" s="12">
        <f>IFERROR(__xludf.DUMMYFUNCTION("""COMPUTED_VALUE"""),45068.0)</f>
        <v>45068</v>
      </c>
      <c r="C4849" s="13">
        <f>IFERROR(__xludf.DUMMYFUNCTION("""COMPUTED_VALUE"""),0.041666666666666664)</f>
        <v>0.04166666667</v>
      </c>
      <c r="D4849" s="8">
        <f>IFERROR(__xludf.DUMMYFUNCTION("""COMPUTED_VALUE"""),0.249)</f>
        <v>0.249</v>
      </c>
      <c r="E4849" s="8" t="str">
        <f>IFERROR(__xludf.DUMMYFUNCTION("""COMPUTED_VALUE"""),"Estimada")</f>
        <v>Estimada</v>
      </c>
      <c r="G4849" s="8">
        <f t="shared" si="1"/>
        <v>5</v>
      </c>
      <c r="H4849" s="14">
        <f t="shared" si="2"/>
        <v>22</v>
      </c>
      <c r="I4849" s="15">
        <f t="shared" si="3"/>
        <v>1</v>
      </c>
    </row>
    <row r="4850">
      <c r="A4850" s="8" t="str">
        <f>IFERROR(__xludf.DUMMYFUNCTION("IF('(INGESTA)Datos_consumo_datadis'!A4850&lt;&gt;"""",SPLIT('(INGESTA)Datos_consumo_datadis'!A:A,"",""),"""")"),"ES0031408323131005HX0F")</f>
        <v>ES0031408323131005HX0F</v>
      </c>
      <c r="B4850" s="12">
        <f>IFERROR(__xludf.DUMMYFUNCTION("""COMPUTED_VALUE"""),45068.0)</f>
        <v>45068</v>
      </c>
      <c r="C4850" s="13">
        <f>IFERROR(__xludf.DUMMYFUNCTION("""COMPUTED_VALUE"""),0.08333333333333333)</f>
        <v>0.08333333333</v>
      </c>
      <c r="D4850" s="8">
        <f>IFERROR(__xludf.DUMMYFUNCTION("""COMPUTED_VALUE"""),0.208)</f>
        <v>0.208</v>
      </c>
      <c r="E4850" s="8" t="str">
        <f>IFERROR(__xludf.DUMMYFUNCTION("""COMPUTED_VALUE"""),"Estimada")</f>
        <v>Estimada</v>
      </c>
      <c r="G4850" s="8">
        <f t="shared" si="1"/>
        <v>5</v>
      </c>
      <c r="H4850" s="14">
        <f t="shared" si="2"/>
        <v>22</v>
      </c>
      <c r="I4850" s="15">
        <f t="shared" si="3"/>
        <v>2</v>
      </c>
    </row>
    <row r="4851">
      <c r="A4851" s="8" t="str">
        <f>IFERROR(__xludf.DUMMYFUNCTION("IF('(INGESTA)Datos_consumo_datadis'!A4851&lt;&gt;"""",SPLIT('(INGESTA)Datos_consumo_datadis'!A:A,"",""),"""")"),"ES0031408323131005HX0F")</f>
        <v>ES0031408323131005HX0F</v>
      </c>
      <c r="B4851" s="12">
        <f>IFERROR(__xludf.DUMMYFUNCTION("""COMPUTED_VALUE"""),45068.0)</f>
        <v>45068</v>
      </c>
      <c r="C4851" s="13">
        <f>IFERROR(__xludf.DUMMYFUNCTION("""COMPUTED_VALUE"""),0.125)</f>
        <v>0.125</v>
      </c>
      <c r="D4851" s="8">
        <f>IFERROR(__xludf.DUMMYFUNCTION("""COMPUTED_VALUE"""),0.185)</f>
        <v>0.185</v>
      </c>
      <c r="E4851" s="8" t="str">
        <f>IFERROR(__xludf.DUMMYFUNCTION("""COMPUTED_VALUE"""),"Estimada")</f>
        <v>Estimada</v>
      </c>
      <c r="G4851" s="8">
        <f t="shared" si="1"/>
        <v>5</v>
      </c>
      <c r="H4851" s="14">
        <f t="shared" si="2"/>
        <v>22</v>
      </c>
      <c r="I4851" s="15">
        <f t="shared" si="3"/>
        <v>3</v>
      </c>
    </row>
    <row r="4852">
      <c r="A4852" s="8" t="str">
        <f>IFERROR(__xludf.DUMMYFUNCTION("IF('(INGESTA)Datos_consumo_datadis'!A4852&lt;&gt;"""",SPLIT('(INGESTA)Datos_consumo_datadis'!A:A,"",""),"""")"),"ES0031408323131005HX0F")</f>
        <v>ES0031408323131005HX0F</v>
      </c>
      <c r="B4852" s="12">
        <f>IFERROR(__xludf.DUMMYFUNCTION("""COMPUTED_VALUE"""),45068.0)</f>
        <v>45068</v>
      </c>
      <c r="C4852" s="13">
        <f>IFERROR(__xludf.DUMMYFUNCTION("""COMPUTED_VALUE"""),0.16666666666666666)</f>
        <v>0.1666666667</v>
      </c>
      <c r="D4852" s="8">
        <f>IFERROR(__xludf.DUMMYFUNCTION("""COMPUTED_VALUE"""),0.174)</f>
        <v>0.174</v>
      </c>
      <c r="E4852" s="8" t="str">
        <f>IFERROR(__xludf.DUMMYFUNCTION("""COMPUTED_VALUE"""),"Estimada")</f>
        <v>Estimada</v>
      </c>
      <c r="G4852" s="8">
        <f t="shared" si="1"/>
        <v>5</v>
      </c>
      <c r="H4852" s="14">
        <f t="shared" si="2"/>
        <v>22</v>
      </c>
      <c r="I4852" s="15">
        <f t="shared" si="3"/>
        <v>4</v>
      </c>
    </row>
    <row r="4853">
      <c r="A4853" s="8" t="str">
        <f>IFERROR(__xludf.DUMMYFUNCTION("IF('(INGESTA)Datos_consumo_datadis'!A4853&lt;&gt;"""",SPLIT('(INGESTA)Datos_consumo_datadis'!A:A,"",""),"""")"),"ES0031408323131005HX0F")</f>
        <v>ES0031408323131005HX0F</v>
      </c>
      <c r="B4853" s="12">
        <f>IFERROR(__xludf.DUMMYFUNCTION("""COMPUTED_VALUE"""),45068.0)</f>
        <v>45068</v>
      </c>
      <c r="C4853" s="13">
        <f>IFERROR(__xludf.DUMMYFUNCTION("""COMPUTED_VALUE"""),0.20833333333333334)</f>
        <v>0.2083333333</v>
      </c>
      <c r="D4853" s="8">
        <f>IFERROR(__xludf.DUMMYFUNCTION("""COMPUTED_VALUE"""),0.17)</f>
        <v>0.17</v>
      </c>
      <c r="E4853" s="8" t="str">
        <f>IFERROR(__xludf.DUMMYFUNCTION("""COMPUTED_VALUE"""),"Estimada")</f>
        <v>Estimada</v>
      </c>
      <c r="G4853" s="8">
        <f t="shared" si="1"/>
        <v>5</v>
      </c>
      <c r="H4853" s="14">
        <f t="shared" si="2"/>
        <v>22</v>
      </c>
      <c r="I4853" s="15">
        <f t="shared" si="3"/>
        <v>5</v>
      </c>
    </row>
    <row r="4854">
      <c r="A4854" s="8" t="str">
        <f>IFERROR(__xludf.DUMMYFUNCTION("IF('(INGESTA)Datos_consumo_datadis'!A4854&lt;&gt;"""",SPLIT('(INGESTA)Datos_consumo_datadis'!A:A,"",""),"""")"),"ES0031408323131005HX0F")</f>
        <v>ES0031408323131005HX0F</v>
      </c>
      <c r="B4854" s="12">
        <f>IFERROR(__xludf.DUMMYFUNCTION("""COMPUTED_VALUE"""),45068.0)</f>
        <v>45068</v>
      </c>
      <c r="C4854" s="13">
        <f>IFERROR(__xludf.DUMMYFUNCTION("""COMPUTED_VALUE"""),0.25)</f>
        <v>0.25</v>
      </c>
      <c r="D4854" s="8">
        <f>IFERROR(__xludf.DUMMYFUNCTION("""COMPUTED_VALUE"""),0.174)</f>
        <v>0.174</v>
      </c>
      <c r="E4854" s="8" t="str">
        <f>IFERROR(__xludf.DUMMYFUNCTION("""COMPUTED_VALUE"""),"Estimada")</f>
        <v>Estimada</v>
      </c>
      <c r="G4854" s="8">
        <f t="shared" si="1"/>
        <v>5</v>
      </c>
      <c r="H4854" s="14">
        <f t="shared" si="2"/>
        <v>22</v>
      </c>
      <c r="I4854" s="15">
        <f t="shared" si="3"/>
        <v>6</v>
      </c>
    </row>
    <row r="4855">
      <c r="A4855" s="8" t="str">
        <f>IFERROR(__xludf.DUMMYFUNCTION("IF('(INGESTA)Datos_consumo_datadis'!A4855&lt;&gt;"""",SPLIT('(INGESTA)Datos_consumo_datadis'!A:A,"",""),"""")"),"ES0031408323131005HX0F")</f>
        <v>ES0031408323131005HX0F</v>
      </c>
      <c r="B4855" s="12">
        <f>IFERROR(__xludf.DUMMYFUNCTION("""COMPUTED_VALUE"""),45068.0)</f>
        <v>45068</v>
      </c>
      <c r="C4855" s="13">
        <f>IFERROR(__xludf.DUMMYFUNCTION("""COMPUTED_VALUE"""),0.2916666666666667)</f>
        <v>0.2916666667</v>
      </c>
      <c r="D4855" s="8">
        <f>IFERROR(__xludf.DUMMYFUNCTION("""COMPUTED_VALUE"""),0.189)</f>
        <v>0.189</v>
      </c>
      <c r="E4855" s="8" t="str">
        <f>IFERROR(__xludf.DUMMYFUNCTION("""COMPUTED_VALUE"""),"Estimada")</f>
        <v>Estimada</v>
      </c>
      <c r="G4855" s="8">
        <f t="shared" si="1"/>
        <v>5</v>
      </c>
      <c r="H4855" s="14">
        <f t="shared" si="2"/>
        <v>22</v>
      </c>
      <c r="I4855" s="15">
        <f t="shared" si="3"/>
        <v>7</v>
      </c>
    </row>
    <row r="4856">
      <c r="A4856" s="8" t="str">
        <f>IFERROR(__xludf.DUMMYFUNCTION("IF('(INGESTA)Datos_consumo_datadis'!A4856&lt;&gt;"""",SPLIT('(INGESTA)Datos_consumo_datadis'!A:A,"",""),"""")"),"ES0031408323131005HX0F")</f>
        <v>ES0031408323131005HX0F</v>
      </c>
      <c r="B4856" s="12">
        <f>IFERROR(__xludf.DUMMYFUNCTION("""COMPUTED_VALUE"""),45068.0)</f>
        <v>45068</v>
      </c>
      <c r="C4856" s="13">
        <f>IFERROR(__xludf.DUMMYFUNCTION("""COMPUTED_VALUE"""),0.3333333333333333)</f>
        <v>0.3333333333</v>
      </c>
      <c r="D4856" s="8">
        <f>IFERROR(__xludf.DUMMYFUNCTION("""COMPUTED_VALUE"""),0.224)</f>
        <v>0.224</v>
      </c>
      <c r="E4856" s="8" t="str">
        <f>IFERROR(__xludf.DUMMYFUNCTION("""COMPUTED_VALUE"""),"Estimada")</f>
        <v>Estimada</v>
      </c>
      <c r="G4856" s="8">
        <f t="shared" si="1"/>
        <v>5</v>
      </c>
      <c r="H4856" s="14">
        <f t="shared" si="2"/>
        <v>22</v>
      </c>
      <c r="I4856" s="15">
        <f t="shared" si="3"/>
        <v>8</v>
      </c>
    </row>
    <row r="4857">
      <c r="A4857" s="8" t="str">
        <f>IFERROR(__xludf.DUMMYFUNCTION("IF('(INGESTA)Datos_consumo_datadis'!A4857&lt;&gt;"""",SPLIT('(INGESTA)Datos_consumo_datadis'!A:A,"",""),"""")"),"ES0031408323131005HX0F")</f>
        <v>ES0031408323131005HX0F</v>
      </c>
      <c r="B4857" s="12">
        <f>IFERROR(__xludf.DUMMYFUNCTION("""COMPUTED_VALUE"""),45068.0)</f>
        <v>45068</v>
      </c>
      <c r="C4857" s="13">
        <f>IFERROR(__xludf.DUMMYFUNCTION("""COMPUTED_VALUE"""),0.375)</f>
        <v>0.375</v>
      </c>
      <c r="D4857" s="8">
        <f>IFERROR(__xludf.DUMMYFUNCTION("""COMPUTED_VALUE"""),0.248)</f>
        <v>0.248</v>
      </c>
      <c r="E4857" s="8" t="str">
        <f>IFERROR(__xludf.DUMMYFUNCTION("""COMPUTED_VALUE"""),"Estimada")</f>
        <v>Estimada</v>
      </c>
      <c r="G4857" s="8">
        <f t="shared" si="1"/>
        <v>5</v>
      </c>
      <c r="H4857" s="14">
        <f t="shared" si="2"/>
        <v>22</v>
      </c>
      <c r="I4857" s="15">
        <f t="shared" si="3"/>
        <v>9</v>
      </c>
    </row>
    <row r="4858">
      <c r="A4858" s="8" t="str">
        <f>IFERROR(__xludf.DUMMYFUNCTION("IF('(INGESTA)Datos_consumo_datadis'!A4858&lt;&gt;"""",SPLIT('(INGESTA)Datos_consumo_datadis'!A:A,"",""),"""")"),"ES0031408323131005HX0F")</f>
        <v>ES0031408323131005HX0F</v>
      </c>
      <c r="B4858" s="12">
        <f>IFERROR(__xludf.DUMMYFUNCTION("""COMPUTED_VALUE"""),45068.0)</f>
        <v>45068</v>
      </c>
      <c r="C4858" s="13">
        <f>IFERROR(__xludf.DUMMYFUNCTION("""COMPUTED_VALUE"""),0.4166666666666667)</f>
        <v>0.4166666667</v>
      </c>
      <c r="D4858" s="8">
        <f>IFERROR(__xludf.DUMMYFUNCTION("""COMPUTED_VALUE"""),0.268)</f>
        <v>0.268</v>
      </c>
      <c r="E4858" s="8" t="str">
        <f>IFERROR(__xludf.DUMMYFUNCTION("""COMPUTED_VALUE"""),"Estimada")</f>
        <v>Estimada</v>
      </c>
      <c r="G4858" s="8">
        <f t="shared" si="1"/>
        <v>5</v>
      </c>
      <c r="H4858" s="14">
        <f t="shared" si="2"/>
        <v>22</v>
      </c>
      <c r="I4858" s="15">
        <f t="shared" si="3"/>
        <v>10</v>
      </c>
    </row>
    <row r="4859">
      <c r="A4859" s="8" t="str">
        <f>IFERROR(__xludf.DUMMYFUNCTION("IF('(INGESTA)Datos_consumo_datadis'!A4859&lt;&gt;"""",SPLIT('(INGESTA)Datos_consumo_datadis'!A:A,"",""),"""")"),"ES0031408323131005HX0F")</f>
        <v>ES0031408323131005HX0F</v>
      </c>
      <c r="B4859" s="12">
        <f>IFERROR(__xludf.DUMMYFUNCTION("""COMPUTED_VALUE"""),45068.0)</f>
        <v>45068</v>
      </c>
      <c r="C4859" s="13">
        <f>IFERROR(__xludf.DUMMYFUNCTION("""COMPUTED_VALUE"""),0.4583333333333333)</f>
        <v>0.4583333333</v>
      </c>
      <c r="D4859" s="8">
        <f>IFERROR(__xludf.DUMMYFUNCTION("""COMPUTED_VALUE"""),0.299)</f>
        <v>0.299</v>
      </c>
      <c r="E4859" s="8" t="str">
        <f>IFERROR(__xludf.DUMMYFUNCTION("""COMPUTED_VALUE"""),"Estimada")</f>
        <v>Estimada</v>
      </c>
      <c r="G4859" s="8">
        <f t="shared" si="1"/>
        <v>5</v>
      </c>
      <c r="H4859" s="14">
        <f t="shared" si="2"/>
        <v>22</v>
      </c>
      <c r="I4859" s="15">
        <f t="shared" si="3"/>
        <v>11</v>
      </c>
    </row>
    <row r="4860">
      <c r="A4860" s="8" t="str">
        <f>IFERROR(__xludf.DUMMYFUNCTION("IF('(INGESTA)Datos_consumo_datadis'!A4860&lt;&gt;"""",SPLIT('(INGESTA)Datos_consumo_datadis'!A:A,"",""),"""")"),"ES0031408323131005HX0F")</f>
        <v>ES0031408323131005HX0F</v>
      </c>
      <c r="B4860" s="12">
        <f>IFERROR(__xludf.DUMMYFUNCTION("""COMPUTED_VALUE"""),45068.0)</f>
        <v>45068</v>
      </c>
      <c r="C4860" s="13">
        <f>IFERROR(__xludf.DUMMYFUNCTION("""COMPUTED_VALUE"""),0.5)</f>
        <v>0.5</v>
      </c>
      <c r="D4860" s="8">
        <f>IFERROR(__xludf.DUMMYFUNCTION("""COMPUTED_VALUE"""),0.306)</f>
        <v>0.306</v>
      </c>
      <c r="E4860" s="8" t="str">
        <f>IFERROR(__xludf.DUMMYFUNCTION("""COMPUTED_VALUE"""),"Estimada")</f>
        <v>Estimada</v>
      </c>
      <c r="G4860" s="8">
        <f t="shared" si="1"/>
        <v>5</v>
      </c>
      <c r="H4860" s="14">
        <f t="shared" si="2"/>
        <v>22</v>
      </c>
      <c r="I4860" s="15">
        <f t="shared" si="3"/>
        <v>12</v>
      </c>
    </row>
    <row r="4861">
      <c r="A4861" s="8" t="str">
        <f>IFERROR(__xludf.DUMMYFUNCTION("IF('(INGESTA)Datos_consumo_datadis'!A4861&lt;&gt;"""",SPLIT('(INGESTA)Datos_consumo_datadis'!A:A,"",""),"""")"),"ES0031408323131005HX0F")</f>
        <v>ES0031408323131005HX0F</v>
      </c>
      <c r="B4861" s="12">
        <f>IFERROR(__xludf.DUMMYFUNCTION("""COMPUTED_VALUE"""),45068.0)</f>
        <v>45068</v>
      </c>
      <c r="C4861" s="13">
        <f>IFERROR(__xludf.DUMMYFUNCTION("""COMPUTED_VALUE"""),0.5416666666666666)</f>
        <v>0.5416666667</v>
      </c>
      <c r="D4861" s="8">
        <f>IFERROR(__xludf.DUMMYFUNCTION("""COMPUTED_VALUE"""),0.317)</f>
        <v>0.317</v>
      </c>
      <c r="E4861" s="8" t="str">
        <f>IFERROR(__xludf.DUMMYFUNCTION("""COMPUTED_VALUE"""),"Estimada")</f>
        <v>Estimada</v>
      </c>
      <c r="G4861" s="8">
        <f t="shared" si="1"/>
        <v>5</v>
      </c>
      <c r="H4861" s="14">
        <f t="shared" si="2"/>
        <v>22</v>
      </c>
      <c r="I4861" s="15">
        <f t="shared" si="3"/>
        <v>13</v>
      </c>
    </row>
    <row r="4862">
      <c r="A4862" s="8" t="str">
        <f>IFERROR(__xludf.DUMMYFUNCTION("IF('(INGESTA)Datos_consumo_datadis'!A4862&lt;&gt;"""",SPLIT('(INGESTA)Datos_consumo_datadis'!A:A,"",""),"""")"),"ES0031408323131005HX0F")</f>
        <v>ES0031408323131005HX0F</v>
      </c>
      <c r="B4862" s="12">
        <f>IFERROR(__xludf.DUMMYFUNCTION("""COMPUTED_VALUE"""),45068.0)</f>
        <v>45068</v>
      </c>
      <c r="C4862" s="13">
        <f>IFERROR(__xludf.DUMMYFUNCTION("""COMPUTED_VALUE"""),0.5833333333333334)</f>
        <v>0.5833333333</v>
      </c>
      <c r="D4862" s="8">
        <f>IFERROR(__xludf.DUMMYFUNCTION("""COMPUTED_VALUE"""),0.337)</f>
        <v>0.337</v>
      </c>
      <c r="E4862" s="8" t="str">
        <f>IFERROR(__xludf.DUMMYFUNCTION("""COMPUTED_VALUE"""),"Estimada")</f>
        <v>Estimada</v>
      </c>
      <c r="G4862" s="8">
        <f t="shared" si="1"/>
        <v>5</v>
      </c>
      <c r="H4862" s="14">
        <f t="shared" si="2"/>
        <v>22</v>
      </c>
      <c r="I4862" s="15">
        <f t="shared" si="3"/>
        <v>14</v>
      </c>
    </row>
    <row r="4863">
      <c r="A4863" s="8" t="str">
        <f>IFERROR(__xludf.DUMMYFUNCTION("IF('(INGESTA)Datos_consumo_datadis'!A4863&lt;&gt;"""",SPLIT('(INGESTA)Datos_consumo_datadis'!A:A,"",""),"""")"),"ES0031408323131005HX0F")</f>
        <v>ES0031408323131005HX0F</v>
      </c>
      <c r="B4863" s="12">
        <f>IFERROR(__xludf.DUMMYFUNCTION("""COMPUTED_VALUE"""),45068.0)</f>
        <v>45068</v>
      </c>
      <c r="C4863" s="13">
        <f>IFERROR(__xludf.DUMMYFUNCTION("""COMPUTED_VALUE"""),0.625)</f>
        <v>0.625</v>
      </c>
      <c r="D4863" s="8">
        <f>IFERROR(__xludf.DUMMYFUNCTION("""COMPUTED_VALUE"""),0.317)</f>
        <v>0.317</v>
      </c>
      <c r="E4863" s="8" t="str">
        <f>IFERROR(__xludf.DUMMYFUNCTION("""COMPUTED_VALUE"""),"Estimada")</f>
        <v>Estimada</v>
      </c>
      <c r="G4863" s="8">
        <f t="shared" si="1"/>
        <v>5</v>
      </c>
      <c r="H4863" s="14">
        <f t="shared" si="2"/>
        <v>22</v>
      </c>
      <c r="I4863" s="15">
        <f t="shared" si="3"/>
        <v>15</v>
      </c>
    </row>
    <row r="4864">
      <c r="A4864" s="8" t="str">
        <f>IFERROR(__xludf.DUMMYFUNCTION("IF('(INGESTA)Datos_consumo_datadis'!A4864&lt;&gt;"""",SPLIT('(INGESTA)Datos_consumo_datadis'!A:A,"",""),"""")"),"ES0031408323131005HX0F")</f>
        <v>ES0031408323131005HX0F</v>
      </c>
      <c r="B4864" s="12">
        <f>IFERROR(__xludf.DUMMYFUNCTION("""COMPUTED_VALUE"""),45068.0)</f>
        <v>45068</v>
      </c>
      <c r="C4864" s="13">
        <f>IFERROR(__xludf.DUMMYFUNCTION("""COMPUTED_VALUE"""),0.6666666666666666)</f>
        <v>0.6666666667</v>
      </c>
      <c r="D4864" s="8">
        <f>IFERROR(__xludf.DUMMYFUNCTION("""COMPUTED_VALUE"""),0.289)</f>
        <v>0.289</v>
      </c>
      <c r="E4864" s="8" t="str">
        <f>IFERROR(__xludf.DUMMYFUNCTION("""COMPUTED_VALUE"""),"Estimada")</f>
        <v>Estimada</v>
      </c>
      <c r="G4864" s="8">
        <f t="shared" si="1"/>
        <v>5</v>
      </c>
      <c r="H4864" s="14">
        <f t="shared" si="2"/>
        <v>22</v>
      </c>
      <c r="I4864" s="15">
        <f t="shared" si="3"/>
        <v>16</v>
      </c>
    </row>
    <row r="4865">
      <c r="A4865" s="8" t="str">
        <f>IFERROR(__xludf.DUMMYFUNCTION("IF('(INGESTA)Datos_consumo_datadis'!A4865&lt;&gt;"""",SPLIT('(INGESTA)Datos_consumo_datadis'!A:A,"",""),"""")"),"ES0031408323131005HX0F")</f>
        <v>ES0031408323131005HX0F</v>
      </c>
      <c r="B4865" s="12">
        <f>IFERROR(__xludf.DUMMYFUNCTION("""COMPUTED_VALUE"""),45068.0)</f>
        <v>45068</v>
      </c>
      <c r="C4865" s="13">
        <f>IFERROR(__xludf.DUMMYFUNCTION("""COMPUTED_VALUE"""),0.7083333333333334)</f>
        <v>0.7083333333</v>
      </c>
      <c r="D4865" s="8">
        <f>IFERROR(__xludf.DUMMYFUNCTION("""COMPUTED_VALUE"""),0.272)</f>
        <v>0.272</v>
      </c>
      <c r="E4865" s="8" t="str">
        <f>IFERROR(__xludf.DUMMYFUNCTION("""COMPUTED_VALUE"""),"Estimada")</f>
        <v>Estimada</v>
      </c>
      <c r="G4865" s="8">
        <f t="shared" si="1"/>
        <v>5</v>
      </c>
      <c r="H4865" s="14">
        <f t="shared" si="2"/>
        <v>22</v>
      </c>
      <c r="I4865" s="15">
        <f t="shared" si="3"/>
        <v>17</v>
      </c>
    </row>
    <row r="4866">
      <c r="A4866" s="8" t="str">
        <f>IFERROR(__xludf.DUMMYFUNCTION("IF('(INGESTA)Datos_consumo_datadis'!A4866&lt;&gt;"""",SPLIT('(INGESTA)Datos_consumo_datadis'!A:A,"",""),"""")"),"ES0031408323131005HX0F")</f>
        <v>ES0031408323131005HX0F</v>
      </c>
      <c r="B4866" s="12">
        <f>IFERROR(__xludf.DUMMYFUNCTION("""COMPUTED_VALUE"""),45068.0)</f>
        <v>45068</v>
      </c>
      <c r="C4866" s="13">
        <f>IFERROR(__xludf.DUMMYFUNCTION("""COMPUTED_VALUE"""),0.75)</f>
        <v>0.75</v>
      </c>
      <c r="D4866" s="8">
        <f>IFERROR(__xludf.DUMMYFUNCTION("""COMPUTED_VALUE"""),0.272)</f>
        <v>0.272</v>
      </c>
      <c r="E4866" s="8" t="str">
        <f>IFERROR(__xludf.DUMMYFUNCTION("""COMPUTED_VALUE"""),"Estimada")</f>
        <v>Estimada</v>
      </c>
      <c r="G4866" s="8">
        <f t="shared" si="1"/>
        <v>5</v>
      </c>
      <c r="H4866" s="14">
        <f t="shared" si="2"/>
        <v>22</v>
      </c>
      <c r="I4866" s="15">
        <f t="shared" si="3"/>
        <v>18</v>
      </c>
    </row>
    <row r="4867">
      <c r="A4867" s="8" t="str">
        <f>IFERROR(__xludf.DUMMYFUNCTION("IF('(INGESTA)Datos_consumo_datadis'!A4867&lt;&gt;"""",SPLIT('(INGESTA)Datos_consumo_datadis'!A:A,"",""),"""")"),"ES0031408323131005HX0F")</f>
        <v>ES0031408323131005HX0F</v>
      </c>
      <c r="B4867" s="12">
        <f>IFERROR(__xludf.DUMMYFUNCTION("""COMPUTED_VALUE"""),45068.0)</f>
        <v>45068</v>
      </c>
      <c r="C4867" s="13">
        <f>IFERROR(__xludf.DUMMYFUNCTION("""COMPUTED_VALUE"""),0.7916666666666666)</f>
        <v>0.7916666667</v>
      </c>
      <c r="D4867" s="8">
        <f>IFERROR(__xludf.DUMMYFUNCTION("""COMPUTED_VALUE"""),0.291)</f>
        <v>0.291</v>
      </c>
      <c r="E4867" s="8" t="str">
        <f>IFERROR(__xludf.DUMMYFUNCTION("""COMPUTED_VALUE"""),"Estimada")</f>
        <v>Estimada</v>
      </c>
      <c r="G4867" s="8">
        <f t="shared" si="1"/>
        <v>5</v>
      </c>
      <c r="H4867" s="14">
        <f t="shared" si="2"/>
        <v>22</v>
      </c>
      <c r="I4867" s="15">
        <f t="shared" si="3"/>
        <v>19</v>
      </c>
    </row>
    <row r="4868">
      <c r="A4868" s="8" t="str">
        <f>IFERROR(__xludf.DUMMYFUNCTION("IF('(INGESTA)Datos_consumo_datadis'!A4868&lt;&gt;"""",SPLIT('(INGESTA)Datos_consumo_datadis'!A:A,"",""),"""")"),"ES0031408323131005HX0F")</f>
        <v>ES0031408323131005HX0F</v>
      </c>
      <c r="B4868" s="12">
        <f>IFERROR(__xludf.DUMMYFUNCTION("""COMPUTED_VALUE"""),45068.0)</f>
        <v>45068</v>
      </c>
      <c r="C4868" s="13">
        <f>IFERROR(__xludf.DUMMYFUNCTION("""COMPUTED_VALUE"""),0.8333333333333334)</f>
        <v>0.8333333333</v>
      </c>
      <c r="D4868" s="8">
        <f>IFERROR(__xludf.DUMMYFUNCTION("""COMPUTED_VALUE"""),0.305)</f>
        <v>0.305</v>
      </c>
      <c r="E4868" s="8" t="str">
        <f>IFERROR(__xludf.DUMMYFUNCTION("""COMPUTED_VALUE"""),"Estimada")</f>
        <v>Estimada</v>
      </c>
      <c r="G4868" s="8">
        <f t="shared" si="1"/>
        <v>5</v>
      </c>
      <c r="H4868" s="14">
        <f t="shared" si="2"/>
        <v>22</v>
      </c>
      <c r="I4868" s="15">
        <f t="shared" si="3"/>
        <v>20</v>
      </c>
    </row>
    <row r="4869">
      <c r="A4869" s="8" t="str">
        <f>IFERROR(__xludf.DUMMYFUNCTION("IF('(INGESTA)Datos_consumo_datadis'!A4869&lt;&gt;"""",SPLIT('(INGESTA)Datos_consumo_datadis'!A:A,"",""),"""")"),"ES0031408323131005HX0F")</f>
        <v>ES0031408323131005HX0F</v>
      </c>
      <c r="B4869" s="12">
        <f>IFERROR(__xludf.DUMMYFUNCTION("""COMPUTED_VALUE"""),45068.0)</f>
        <v>45068</v>
      </c>
      <c r="C4869" s="13">
        <f>IFERROR(__xludf.DUMMYFUNCTION("""COMPUTED_VALUE"""),0.875)</f>
        <v>0.875</v>
      </c>
      <c r="D4869" s="8">
        <f>IFERROR(__xludf.DUMMYFUNCTION("""COMPUTED_VALUE"""),0.339)</f>
        <v>0.339</v>
      </c>
      <c r="E4869" s="8" t="str">
        <f>IFERROR(__xludf.DUMMYFUNCTION("""COMPUTED_VALUE"""),"Estimada")</f>
        <v>Estimada</v>
      </c>
      <c r="G4869" s="8">
        <f t="shared" si="1"/>
        <v>5</v>
      </c>
      <c r="H4869" s="14">
        <f t="shared" si="2"/>
        <v>22</v>
      </c>
      <c r="I4869" s="15">
        <f t="shared" si="3"/>
        <v>21</v>
      </c>
    </row>
    <row r="4870">
      <c r="A4870" s="8" t="str">
        <f>IFERROR(__xludf.DUMMYFUNCTION("IF('(INGESTA)Datos_consumo_datadis'!A4870&lt;&gt;"""",SPLIT('(INGESTA)Datos_consumo_datadis'!A:A,"",""),"""")"),"ES0031408323131005HX0F")</f>
        <v>ES0031408323131005HX0F</v>
      </c>
      <c r="B4870" s="12">
        <f>IFERROR(__xludf.DUMMYFUNCTION("""COMPUTED_VALUE"""),45068.0)</f>
        <v>45068</v>
      </c>
      <c r="C4870" s="13">
        <f>IFERROR(__xludf.DUMMYFUNCTION("""COMPUTED_VALUE"""),0.9166666666666666)</f>
        <v>0.9166666667</v>
      </c>
      <c r="D4870" s="8">
        <f>IFERROR(__xludf.DUMMYFUNCTION("""COMPUTED_VALUE"""),0.388)</f>
        <v>0.388</v>
      </c>
      <c r="E4870" s="8" t="str">
        <f>IFERROR(__xludf.DUMMYFUNCTION("""COMPUTED_VALUE"""),"Estimada")</f>
        <v>Estimada</v>
      </c>
      <c r="G4870" s="8">
        <f t="shared" si="1"/>
        <v>5</v>
      </c>
      <c r="H4870" s="14">
        <f t="shared" si="2"/>
        <v>22</v>
      </c>
      <c r="I4870" s="15">
        <f t="shared" si="3"/>
        <v>22</v>
      </c>
    </row>
    <row r="4871">
      <c r="A4871" s="8" t="str">
        <f>IFERROR(__xludf.DUMMYFUNCTION("IF('(INGESTA)Datos_consumo_datadis'!A4871&lt;&gt;"""",SPLIT('(INGESTA)Datos_consumo_datadis'!A:A,"",""),"""")"),"ES0031408323131005HX0F")</f>
        <v>ES0031408323131005HX0F</v>
      </c>
      <c r="B4871" s="12">
        <f>IFERROR(__xludf.DUMMYFUNCTION("""COMPUTED_VALUE"""),45068.0)</f>
        <v>45068</v>
      </c>
      <c r="C4871" s="13">
        <f>IFERROR(__xludf.DUMMYFUNCTION("""COMPUTED_VALUE"""),0.9583333333333334)</f>
        <v>0.9583333333</v>
      </c>
      <c r="D4871" s="8">
        <f>IFERROR(__xludf.DUMMYFUNCTION("""COMPUTED_VALUE"""),0.355)</f>
        <v>0.355</v>
      </c>
      <c r="E4871" s="8" t="str">
        <f>IFERROR(__xludf.DUMMYFUNCTION("""COMPUTED_VALUE"""),"Estimada")</f>
        <v>Estimada</v>
      </c>
      <c r="G4871" s="8">
        <f t="shared" si="1"/>
        <v>5</v>
      </c>
      <c r="H4871" s="14">
        <f t="shared" si="2"/>
        <v>22</v>
      </c>
      <c r="I4871" s="15">
        <f t="shared" si="3"/>
        <v>23</v>
      </c>
    </row>
    <row r="4872">
      <c r="A4872" s="8" t="str">
        <f>IFERROR(__xludf.DUMMYFUNCTION("IF('(INGESTA)Datos_consumo_datadis'!A4872&lt;&gt;"""",SPLIT('(INGESTA)Datos_consumo_datadis'!A:A,"",""),"""")"),"ES0031408323131005HX0F")</f>
        <v>ES0031408323131005HX0F</v>
      </c>
      <c r="B4872" s="12">
        <f>IFERROR(__xludf.DUMMYFUNCTION("""COMPUTED_VALUE"""),45068.0)</f>
        <v>45068</v>
      </c>
      <c r="C4872" s="16">
        <f>IFERROR(__xludf.DUMMYFUNCTION("""COMPUTED_VALUE"""),1.0)</f>
        <v>1</v>
      </c>
      <c r="D4872" s="8">
        <f>IFERROR(__xludf.DUMMYFUNCTION("""COMPUTED_VALUE"""),0.292)</f>
        <v>0.292</v>
      </c>
      <c r="E4872" s="8" t="str">
        <f>IFERROR(__xludf.DUMMYFUNCTION("""COMPUTED_VALUE"""),"Estimada")</f>
        <v>Estimada</v>
      </c>
      <c r="G4872" s="8">
        <f t="shared" si="1"/>
        <v>5</v>
      </c>
      <c r="H4872" s="14">
        <f t="shared" si="2"/>
        <v>22</v>
      </c>
      <c r="I4872" s="15">
        <f t="shared" si="3"/>
        <v>0</v>
      </c>
    </row>
    <row r="4873">
      <c r="A4873" s="8" t="str">
        <f>IFERROR(__xludf.DUMMYFUNCTION("IF('(INGESTA)Datos_consumo_datadis'!A4873&lt;&gt;"""",SPLIT('(INGESTA)Datos_consumo_datadis'!A:A,"",""),"""")"),"ES0031408323131005HX0F")</f>
        <v>ES0031408323131005HX0F</v>
      </c>
      <c r="B4873" s="12">
        <f>IFERROR(__xludf.DUMMYFUNCTION("""COMPUTED_VALUE"""),45069.0)</f>
        <v>45069</v>
      </c>
      <c r="C4873" s="13">
        <f>IFERROR(__xludf.DUMMYFUNCTION("""COMPUTED_VALUE"""),0.041666666666666664)</f>
        <v>0.04166666667</v>
      </c>
      <c r="D4873" s="8">
        <f>IFERROR(__xludf.DUMMYFUNCTION("""COMPUTED_VALUE"""),0.246)</f>
        <v>0.246</v>
      </c>
      <c r="E4873" s="8" t="str">
        <f>IFERROR(__xludf.DUMMYFUNCTION("""COMPUTED_VALUE"""),"Estimada")</f>
        <v>Estimada</v>
      </c>
      <c r="G4873" s="8">
        <f t="shared" si="1"/>
        <v>5</v>
      </c>
      <c r="H4873" s="14">
        <f t="shared" si="2"/>
        <v>23</v>
      </c>
      <c r="I4873" s="15">
        <f t="shared" si="3"/>
        <v>1</v>
      </c>
    </row>
    <row r="4874">
      <c r="A4874" s="8" t="str">
        <f>IFERROR(__xludf.DUMMYFUNCTION("IF('(INGESTA)Datos_consumo_datadis'!A4874&lt;&gt;"""",SPLIT('(INGESTA)Datos_consumo_datadis'!A:A,"",""),"""")"),"ES0031408323131005HX0F")</f>
        <v>ES0031408323131005HX0F</v>
      </c>
      <c r="B4874" s="12">
        <f>IFERROR(__xludf.DUMMYFUNCTION("""COMPUTED_VALUE"""),45069.0)</f>
        <v>45069</v>
      </c>
      <c r="C4874" s="13">
        <f>IFERROR(__xludf.DUMMYFUNCTION("""COMPUTED_VALUE"""),0.08333333333333333)</f>
        <v>0.08333333333</v>
      </c>
      <c r="D4874" s="8">
        <f>IFERROR(__xludf.DUMMYFUNCTION("""COMPUTED_VALUE"""),0.205)</f>
        <v>0.205</v>
      </c>
      <c r="E4874" s="8" t="str">
        <f>IFERROR(__xludf.DUMMYFUNCTION("""COMPUTED_VALUE"""),"Estimada")</f>
        <v>Estimada</v>
      </c>
      <c r="G4874" s="8">
        <f t="shared" si="1"/>
        <v>5</v>
      </c>
      <c r="H4874" s="14">
        <f t="shared" si="2"/>
        <v>23</v>
      </c>
      <c r="I4874" s="15">
        <f t="shared" si="3"/>
        <v>2</v>
      </c>
    </row>
    <row r="4875">
      <c r="A4875" s="8" t="str">
        <f>IFERROR(__xludf.DUMMYFUNCTION("IF('(INGESTA)Datos_consumo_datadis'!A4875&lt;&gt;"""",SPLIT('(INGESTA)Datos_consumo_datadis'!A:A,"",""),"""")"),"ES0031408323131005HX0F")</f>
        <v>ES0031408323131005HX0F</v>
      </c>
      <c r="B4875" s="12">
        <f>IFERROR(__xludf.DUMMYFUNCTION("""COMPUTED_VALUE"""),45069.0)</f>
        <v>45069</v>
      </c>
      <c r="C4875" s="13">
        <f>IFERROR(__xludf.DUMMYFUNCTION("""COMPUTED_VALUE"""),0.125)</f>
        <v>0.125</v>
      </c>
      <c r="D4875" s="8">
        <f>IFERROR(__xludf.DUMMYFUNCTION("""COMPUTED_VALUE"""),0.183)</f>
        <v>0.183</v>
      </c>
      <c r="E4875" s="8" t="str">
        <f>IFERROR(__xludf.DUMMYFUNCTION("""COMPUTED_VALUE"""),"Estimada")</f>
        <v>Estimada</v>
      </c>
      <c r="G4875" s="8">
        <f t="shared" si="1"/>
        <v>5</v>
      </c>
      <c r="H4875" s="14">
        <f t="shared" si="2"/>
        <v>23</v>
      </c>
      <c r="I4875" s="15">
        <f t="shared" si="3"/>
        <v>3</v>
      </c>
    </row>
    <row r="4876">
      <c r="A4876" s="8" t="str">
        <f>IFERROR(__xludf.DUMMYFUNCTION("IF('(INGESTA)Datos_consumo_datadis'!A4876&lt;&gt;"""",SPLIT('(INGESTA)Datos_consumo_datadis'!A:A,"",""),"""")"),"ES0031408323131005HX0F")</f>
        <v>ES0031408323131005HX0F</v>
      </c>
      <c r="B4876" s="12">
        <f>IFERROR(__xludf.DUMMYFUNCTION("""COMPUTED_VALUE"""),45069.0)</f>
        <v>45069</v>
      </c>
      <c r="C4876" s="13">
        <f>IFERROR(__xludf.DUMMYFUNCTION("""COMPUTED_VALUE"""),0.16666666666666666)</f>
        <v>0.1666666667</v>
      </c>
      <c r="D4876" s="8">
        <f>IFERROR(__xludf.DUMMYFUNCTION("""COMPUTED_VALUE"""),0.173)</f>
        <v>0.173</v>
      </c>
      <c r="E4876" s="8" t="str">
        <f>IFERROR(__xludf.DUMMYFUNCTION("""COMPUTED_VALUE"""),"Estimada")</f>
        <v>Estimada</v>
      </c>
      <c r="G4876" s="8">
        <f t="shared" si="1"/>
        <v>5</v>
      </c>
      <c r="H4876" s="14">
        <f t="shared" si="2"/>
        <v>23</v>
      </c>
      <c r="I4876" s="15">
        <f t="shared" si="3"/>
        <v>4</v>
      </c>
    </row>
    <row r="4877">
      <c r="A4877" s="8" t="str">
        <f>IFERROR(__xludf.DUMMYFUNCTION("IF('(INGESTA)Datos_consumo_datadis'!A4877&lt;&gt;"""",SPLIT('(INGESTA)Datos_consumo_datadis'!A:A,"",""),"""")"),"ES0031408323131005HX0F")</f>
        <v>ES0031408323131005HX0F</v>
      </c>
      <c r="B4877" s="12">
        <f>IFERROR(__xludf.DUMMYFUNCTION("""COMPUTED_VALUE"""),45069.0)</f>
        <v>45069</v>
      </c>
      <c r="C4877" s="13">
        <f>IFERROR(__xludf.DUMMYFUNCTION("""COMPUTED_VALUE"""),0.20833333333333334)</f>
        <v>0.2083333333</v>
      </c>
      <c r="D4877" s="8">
        <f>IFERROR(__xludf.DUMMYFUNCTION("""COMPUTED_VALUE"""),0.17)</f>
        <v>0.17</v>
      </c>
      <c r="E4877" s="8" t="str">
        <f>IFERROR(__xludf.DUMMYFUNCTION("""COMPUTED_VALUE"""),"Estimada")</f>
        <v>Estimada</v>
      </c>
      <c r="G4877" s="8">
        <f t="shared" si="1"/>
        <v>5</v>
      </c>
      <c r="H4877" s="14">
        <f t="shared" si="2"/>
        <v>23</v>
      </c>
      <c r="I4877" s="15">
        <f t="shared" si="3"/>
        <v>5</v>
      </c>
    </row>
    <row r="4878">
      <c r="A4878" s="8" t="str">
        <f>IFERROR(__xludf.DUMMYFUNCTION("IF('(INGESTA)Datos_consumo_datadis'!A4878&lt;&gt;"""",SPLIT('(INGESTA)Datos_consumo_datadis'!A:A,"",""),"""")"),"ES0031408323131005HX0F")</f>
        <v>ES0031408323131005HX0F</v>
      </c>
      <c r="B4878" s="12">
        <f>IFERROR(__xludf.DUMMYFUNCTION("""COMPUTED_VALUE"""),45069.0)</f>
        <v>45069</v>
      </c>
      <c r="C4878" s="13">
        <f>IFERROR(__xludf.DUMMYFUNCTION("""COMPUTED_VALUE"""),0.25)</f>
        <v>0.25</v>
      </c>
      <c r="D4878" s="8">
        <f>IFERROR(__xludf.DUMMYFUNCTION("""COMPUTED_VALUE"""),0.174)</f>
        <v>0.174</v>
      </c>
      <c r="E4878" s="8" t="str">
        <f>IFERROR(__xludf.DUMMYFUNCTION("""COMPUTED_VALUE"""),"Estimada")</f>
        <v>Estimada</v>
      </c>
      <c r="G4878" s="8">
        <f t="shared" si="1"/>
        <v>5</v>
      </c>
      <c r="H4878" s="14">
        <f t="shared" si="2"/>
        <v>23</v>
      </c>
      <c r="I4878" s="15">
        <f t="shared" si="3"/>
        <v>6</v>
      </c>
    </row>
    <row r="4879">
      <c r="A4879" s="8" t="str">
        <f>IFERROR(__xludf.DUMMYFUNCTION("IF('(INGESTA)Datos_consumo_datadis'!A4879&lt;&gt;"""",SPLIT('(INGESTA)Datos_consumo_datadis'!A:A,"",""),"""")"),"ES0031408323131005HX0F")</f>
        <v>ES0031408323131005HX0F</v>
      </c>
      <c r="B4879" s="12">
        <f>IFERROR(__xludf.DUMMYFUNCTION("""COMPUTED_VALUE"""),45069.0)</f>
        <v>45069</v>
      </c>
      <c r="C4879" s="13">
        <f>IFERROR(__xludf.DUMMYFUNCTION("""COMPUTED_VALUE"""),0.2916666666666667)</f>
        <v>0.2916666667</v>
      </c>
      <c r="D4879" s="8">
        <f>IFERROR(__xludf.DUMMYFUNCTION("""COMPUTED_VALUE"""),0.191)</f>
        <v>0.191</v>
      </c>
      <c r="E4879" s="8" t="str">
        <f>IFERROR(__xludf.DUMMYFUNCTION("""COMPUTED_VALUE"""),"Estimada")</f>
        <v>Estimada</v>
      </c>
      <c r="G4879" s="8">
        <f t="shared" si="1"/>
        <v>5</v>
      </c>
      <c r="H4879" s="14">
        <f t="shared" si="2"/>
        <v>23</v>
      </c>
      <c r="I4879" s="15">
        <f t="shared" si="3"/>
        <v>7</v>
      </c>
    </row>
    <row r="4880">
      <c r="A4880" s="8" t="str">
        <f>IFERROR(__xludf.DUMMYFUNCTION("IF('(INGESTA)Datos_consumo_datadis'!A4880&lt;&gt;"""",SPLIT('(INGESTA)Datos_consumo_datadis'!A:A,"",""),"""")"),"ES0031408323131005HX0F")</f>
        <v>ES0031408323131005HX0F</v>
      </c>
      <c r="B4880" s="12">
        <f>IFERROR(__xludf.DUMMYFUNCTION("""COMPUTED_VALUE"""),45069.0)</f>
        <v>45069</v>
      </c>
      <c r="C4880" s="13">
        <f>IFERROR(__xludf.DUMMYFUNCTION("""COMPUTED_VALUE"""),0.3333333333333333)</f>
        <v>0.3333333333</v>
      </c>
      <c r="D4880" s="8">
        <f>IFERROR(__xludf.DUMMYFUNCTION("""COMPUTED_VALUE"""),0.229)</f>
        <v>0.229</v>
      </c>
      <c r="E4880" s="8" t="str">
        <f>IFERROR(__xludf.DUMMYFUNCTION("""COMPUTED_VALUE"""),"Estimada")</f>
        <v>Estimada</v>
      </c>
      <c r="G4880" s="8">
        <f t="shared" si="1"/>
        <v>5</v>
      </c>
      <c r="H4880" s="14">
        <f t="shared" si="2"/>
        <v>23</v>
      </c>
      <c r="I4880" s="15">
        <f t="shared" si="3"/>
        <v>8</v>
      </c>
    </row>
    <row r="4881">
      <c r="A4881" s="8" t="str">
        <f>IFERROR(__xludf.DUMMYFUNCTION("IF('(INGESTA)Datos_consumo_datadis'!A4881&lt;&gt;"""",SPLIT('(INGESTA)Datos_consumo_datadis'!A:A,"",""),"""")"),"ES0031408323131005HX0F")</f>
        <v>ES0031408323131005HX0F</v>
      </c>
      <c r="B4881" s="12">
        <f>IFERROR(__xludf.DUMMYFUNCTION("""COMPUTED_VALUE"""),45069.0)</f>
        <v>45069</v>
      </c>
      <c r="C4881" s="13">
        <f>IFERROR(__xludf.DUMMYFUNCTION("""COMPUTED_VALUE"""),0.375)</f>
        <v>0.375</v>
      </c>
      <c r="D4881" s="8">
        <f>IFERROR(__xludf.DUMMYFUNCTION("""COMPUTED_VALUE"""),0.254)</f>
        <v>0.254</v>
      </c>
      <c r="E4881" s="8" t="str">
        <f>IFERROR(__xludf.DUMMYFUNCTION("""COMPUTED_VALUE"""),"Estimada")</f>
        <v>Estimada</v>
      </c>
      <c r="G4881" s="8">
        <f t="shared" si="1"/>
        <v>5</v>
      </c>
      <c r="H4881" s="14">
        <f t="shared" si="2"/>
        <v>23</v>
      </c>
      <c r="I4881" s="15">
        <f t="shared" si="3"/>
        <v>9</v>
      </c>
    </row>
    <row r="4882">
      <c r="A4882" s="8" t="str">
        <f>IFERROR(__xludf.DUMMYFUNCTION("IF('(INGESTA)Datos_consumo_datadis'!A4882&lt;&gt;"""",SPLIT('(INGESTA)Datos_consumo_datadis'!A:A,"",""),"""")"),"ES0031408323131005HX0F")</f>
        <v>ES0031408323131005HX0F</v>
      </c>
      <c r="B4882" s="12">
        <f>IFERROR(__xludf.DUMMYFUNCTION("""COMPUTED_VALUE"""),45069.0)</f>
        <v>45069</v>
      </c>
      <c r="C4882" s="13">
        <f>IFERROR(__xludf.DUMMYFUNCTION("""COMPUTED_VALUE"""),0.4166666666666667)</f>
        <v>0.4166666667</v>
      </c>
      <c r="D4882" s="8">
        <f>IFERROR(__xludf.DUMMYFUNCTION("""COMPUTED_VALUE"""),0.269)</f>
        <v>0.269</v>
      </c>
      <c r="E4882" s="8" t="str">
        <f>IFERROR(__xludf.DUMMYFUNCTION("""COMPUTED_VALUE"""),"Estimada")</f>
        <v>Estimada</v>
      </c>
      <c r="G4882" s="8">
        <f t="shared" si="1"/>
        <v>5</v>
      </c>
      <c r="H4882" s="14">
        <f t="shared" si="2"/>
        <v>23</v>
      </c>
      <c r="I4882" s="15">
        <f t="shared" si="3"/>
        <v>10</v>
      </c>
    </row>
    <row r="4883">
      <c r="A4883" s="8" t="str">
        <f>IFERROR(__xludf.DUMMYFUNCTION("IF('(INGESTA)Datos_consumo_datadis'!A4883&lt;&gt;"""",SPLIT('(INGESTA)Datos_consumo_datadis'!A:A,"",""),"""")"),"ES0031408323131005HX0F")</f>
        <v>ES0031408323131005HX0F</v>
      </c>
      <c r="B4883" s="12">
        <f>IFERROR(__xludf.DUMMYFUNCTION("""COMPUTED_VALUE"""),45069.0)</f>
        <v>45069</v>
      </c>
      <c r="C4883" s="13">
        <f>IFERROR(__xludf.DUMMYFUNCTION("""COMPUTED_VALUE"""),0.4583333333333333)</f>
        <v>0.4583333333</v>
      </c>
      <c r="D4883" s="8">
        <f>IFERROR(__xludf.DUMMYFUNCTION("""COMPUTED_VALUE"""),0.296)</f>
        <v>0.296</v>
      </c>
      <c r="E4883" s="8" t="str">
        <f>IFERROR(__xludf.DUMMYFUNCTION("""COMPUTED_VALUE"""),"Estimada")</f>
        <v>Estimada</v>
      </c>
      <c r="G4883" s="8">
        <f t="shared" si="1"/>
        <v>5</v>
      </c>
      <c r="H4883" s="14">
        <f t="shared" si="2"/>
        <v>23</v>
      </c>
      <c r="I4883" s="15">
        <f t="shared" si="3"/>
        <v>11</v>
      </c>
    </row>
    <row r="4884">
      <c r="A4884" s="8" t="str">
        <f>IFERROR(__xludf.DUMMYFUNCTION("IF('(INGESTA)Datos_consumo_datadis'!A4884&lt;&gt;"""",SPLIT('(INGESTA)Datos_consumo_datadis'!A:A,"",""),"""")"),"ES0031408323131005HX0F")</f>
        <v>ES0031408323131005HX0F</v>
      </c>
      <c r="B4884" s="12">
        <f>IFERROR(__xludf.DUMMYFUNCTION("""COMPUTED_VALUE"""),45069.0)</f>
        <v>45069</v>
      </c>
      <c r="C4884" s="13">
        <f>IFERROR(__xludf.DUMMYFUNCTION("""COMPUTED_VALUE"""),0.5)</f>
        <v>0.5</v>
      </c>
      <c r="D4884" s="8">
        <f>IFERROR(__xludf.DUMMYFUNCTION("""COMPUTED_VALUE"""),0.302)</f>
        <v>0.302</v>
      </c>
      <c r="E4884" s="8" t="str">
        <f>IFERROR(__xludf.DUMMYFUNCTION("""COMPUTED_VALUE"""),"Estimada")</f>
        <v>Estimada</v>
      </c>
      <c r="G4884" s="8">
        <f t="shared" si="1"/>
        <v>5</v>
      </c>
      <c r="H4884" s="14">
        <f t="shared" si="2"/>
        <v>23</v>
      </c>
      <c r="I4884" s="15">
        <f t="shared" si="3"/>
        <v>12</v>
      </c>
    </row>
    <row r="4885">
      <c r="A4885" s="8" t="str">
        <f>IFERROR(__xludf.DUMMYFUNCTION("IF('(INGESTA)Datos_consumo_datadis'!A4885&lt;&gt;"""",SPLIT('(INGESTA)Datos_consumo_datadis'!A:A,"",""),"""")"),"ES0031408323131005HX0F")</f>
        <v>ES0031408323131005HX0F</v>
      </c>
      <c r="B4885" s="12">
        <f>IFERROR(__xludf.DUMMYFUNCTION("""COMPUTED_VALUE"""),45069.0)</f>
        <v>45069</v>
      </c>
      <c r="C4885" s="13">
        <f>IFERROR(__xludf.DUMMYFUNCTION("""COMPUTED_VALUE"""),0.5416666666666666)</f>
        <v>0.5416666667</v>
      </c>
      <c r="D4885" s="8">
        <f>IFERROR(__xludf.DUMMYFUNCTION("""COMPUTED_VALUE"""),0.313)</f>
        <v>0.313</v>
      </c>
      <c r="E4885" s="8" t="str">
        <f>IFERROR(__xludf.DUMMYFUNCTION("""COMPUTED_VALUE"""),"Estimada")</f>
        <v>Estimada</v>
      </c>
      <c r="G4885" s="8">
        <f t="shared" si="1"/>
        <v>5</v>
      </c>
      <c r="H4885" s="14">
        <f t="shared" si="2"/>
        <v>23</v>
      </c>
      <c r="I4885" s="15">
        <f t="shared" si="3"/>
        <v>13</v>
      </c>
    </row>
    <row r="4886">
      <c r="A4886" s="8" t="str">
        <f>IFERROR(__xludf.DUMMYFUNCTION("IF('(INGESTA)Datos_consumo_datadis'!A4886&lt;&gt;"""",SPLIT('(INGESTA)Datos_consumo_datadis'!A:A,"",""),"""")"),"ES0031408323131005HX0F")</f>
        <v>ES0031408323131005HX0F</v>
      </c>
      <c r="B4886" s="12">
        <f>IFERROR(__xludf.DUMMYFUNCTION("""COMPUTED_VALUE"""),45069.0)</f>
        <v>45069</v>
      </c>
      <c r="C4886" s="13">
        <f>IFERROR(__xludf.DUMMYFUNCTION("""COMPUTED_VALUE"""),0.5833333333333334)</f>
        <v>0.5833333333</v>
      </c>
      <c r="D4886" s="8">
        <f>IFERROR(__xludf.DUMMYFUNCTION("""COMPUTED_VALUE"""),0.332)</f>
        <v>0.332</v>
      </c>
      <c r="E4886" s="8" t="str">
        <f>IFERROR(__xludf.DUMMYFUNCTION("""COMPUTED_VALUE"""),"Estimada")</f>
        <v>Estimada</v>
      </c>
      <c r="G4886" s="8">
        <f t="shared" si="1"/>
        <v>5</v>
      </c>
      <c r="H4886" s="14">
        <f t="shared" si="2"/>
        <v>23</v>
      </c>
      <c r="I4886" s="15">
        <f t="shared" si="3"/>
        <v>14</v>
      </c>
    </row>
    <row r="4887">
      <c r="A4887" s="8" t="str">
        <f>IFERROR(__xludf.DUMMYFUNCTION("IF('(INGESTA)Datos_consumo_datadis'!A4887&lt;&gt;"""",SPLIT('(INGESTA)Datos_consumo_datadis'!A:A,"",""),"""")"),"ES0031408323131005HX0F")</f>
        <v>ES0031408323131005HX0F</v>
      </c>
      <c r="B4887" s="12">
        <f>IFERROR(__xludf.DUMMYFUNCTION("""COMPUTED_VALUE"""),45069.0)</f>
        <v>45069</v>
      </c>
      <c r="C4887" s="13">
        <f>IFERROR(__xludf.DUMMYFUNCTION("""COMPUTED_VALUE"""),0.625)</f>
        <v>0.625</v>
      </c>
      <c r="D4887" s="8">
        <f>IFERROR(__xludf.DUMMYFUNCTION("""COMPUTED_VALUE"""),0.312)</f>
        <v>0.312</v>
      </c>
      <c r="E4887" s="8" t="str">
        <f>IFERROR(__xludf.DUMMYFUNCTION("""COMPUTED_VALUE"""),"Estimada")</f>
        <v>Estimada</v>
      </c>
      <c r="G4887" s="8">
        <f t="shared" si="1"/>
        <v>5</v>
      </c>
      <c r="H4887" s="14">
        <f t="shared" si="2"/>
        <v>23</v>
      </c>
      <c r="I4887" s="15">
        <f t="shared" si="3"/>
        <v>15</v>
      </c>
    </row>
    <row r="4888">
      <c r="A4888" s="8" t="str">
        <f>IFERROR(__xludf.DUMMYFUNCTION("IF('(INGESTA)Datos_consumo_datadis'!A4888&lt;&gt;"""",SPLIT('(INGESTA)Datos_consumo_datadis'!A:A,"",""),"""")"),"ES0031408323131005HX0F")</f>
        <v>ES0031408323131005HX0F</v>
      </c>
      <c r="B4888" s="12">
        <f>IFERROR(__xludf.DUMMYFUNCTION("""COMPUTED_VALUE"""),45069.0)</f>
        <v>45069</v>
      </c>
      <c r="C4888" s="13">
        <f>IFERROR(__xludf.DUMMYFUNCTION("""COMPUTED_VALUE"""),0.6666666666666666)</f>
        <v>0.6666666667</v>
      </c>
      <c r="D4888" s="8">
        <f>IFERROR(__xludf.DUMMYFUNCTION("""COMPUTED_VALUE"""),0.285)</f>
        <v>0.285</v>
      </c>
      <c r="E4888" s="8" t="str">
        <f>IFERROR(__xludf.DUMMYFUNCTION("""COMPUTED_VALUE"""),"Estimada")</f>
        <v>Estimada</v>
      </c>
      <c r="G4888" s="8">
        <f t="shared" si="1"/>
        <v>5</v>
      </c>
      <c r="H4888" s="14">
        <f t="shared" si="2"/>
        <v>23</v>
      </c>
      <c r="I4888" s="15">
        <f t="shared" si="3"/>
        <v>16</v>
      </c>
    </row>
    <row r="4889">
      <c r="A4889" s="8" t="str">
        <f>IFERROR(__xludf.DUMMYFUNCTION("IF('(INGESTA)Datos_consumo_datadis'!A4889&lt;&gt;"""",SPLIT('(INGESTA)Datos_consumo_datadis'!A:A,"",""),"""")"),"ES0031408323131005HX0F")</f>
        <v>ES0031408323131005HX0F</v>
      </c>
      <c r="B4889" s="12">
        <f>IFERROR(__xludf.DUMMYFUNCTION("""COMPUTED_VALUE"""),45069.0)</f>
        <v>45069</v>
      </c>
      <c r="C4889" s="13">
        <f>IFERROR(__xludf.DUMMYFUNCTION("""COMPUTED_VALUE"""),0.7083333333333334)</f>
        <v>0.7083333333</v>
      </c>
      <c r="D4889" s="8">
        <f>IFERROR(__xludf.DUMMYFUNCTION("""COMPUTED_VALUE"""),0.27)</f>
        <v>0.27</v>
      </c>
      <c r="E4889" s="8" t="str">
        <f>IFERROR(__xludf.DUMMYFUNCTION("""COMPUTED_VALUE"""),"Estimada")</f>
        <v>Estimada</v>
      </c>
      <c r="G4889" s="8">
        <f t="shared" si="1"/>
        <v>5</v>
      </c>
      <c r="H4889" s="14">
        <f t="shared" si="2"/>
        <v>23</v>
      </c>
      <c r="I4889" s="15">
        <f t="shared" si="3"/>
        <v>17</v>
      </c>
    </row>
    <row r="4890">
      <c r="A4890" s="8" t="str">
        <f>IFERROR(__xludf.DUMMYFUNCTION("IF('(INGESTA)Datos_consumo_datadis'!A4890&lt;&gt;"""",SPLIT('(INGESTA)Datos_consumo_datadis'!A:A,"",""),"""")"),"ES0031408323131005HX0F")</f>
        <v>ES0031408323131005HX0F</v>
      </c>
      <c r="B4890" s="12">
        <f>IFERROR(__xludf.DUMMYFUNCTION("""COMPUTED_VALUE"""),45069.0)</f>
        <v>45069</v>
      </c>
      <c r="C4890" s="13">
        <f>IFERROR(__xludf.DUMMYFUNCTION("""COMPUTED_VALUE"""),0.75)</f>
        <v>0.75</v>
      </c>
      <c r="D4890" s="8">
        <f>IFERROR(__xludf.DUMMYFUNCTION("""COMPUTED_VALUE"""),0.271)</f>
        <v>0.271</v>
      </c>
      <c r="E4890" s="8" t="str">
        <f>IFERROR(__xludf.DUMMYFUNCTION("""COMPUTED_VALUE"""),"Estimada")</f>
        <v>Estimada</v>
      </c>
      <c r="G4890" s="8">
        <f t="shared" si="1"/>
        <v>5</v>
      </c>
      <c r="H4890" s="14">
        <f t="shared" si="2"/>
        <v>23</v>
      </c>
      <c r="I4890" s="15">
        <f t="shared" si="3"/>
        <v>18</v>
      </c>
    </row>
    <row r="4891">
      <c r="A4891" s="8" t="str">
        <f>IFERROR(__xludf.DUMMYFUNCTION("IF('(INGESTA)Datos_consumo_datadis'!A4891&lt;&gt;"""",SPLIT('(INGESTA)Datos_consumo_datadis'!A:A,"",""),"""")"),"ES0031408323131005HX0F")</f>
        <v>ES0031408323131005HX0F</v>
      </c>
      <c r="B4891" s="12">
        <f>IFERROR(__xludf.DUMMYFUNCTION("""COMPUTED_VALUE"""),45069.0)</f>
        <v>45069</v>
      </c>
      <c r="C4891" s="13">
        <f>IFERROR(__xludf.DUMMYFUNCTION("""COMPUTED_VALUE"""),0.7916666666666666)</f>
        <v>0.7916666667</v>
      </c>
      <c r="D4891" s="8">
        <f>IFERROR(__xludf.DUMMYFUNCTION("""COMPUTED_VALUE"""),0.289)</f>
        <v>0.289</v>
      </c>
      <c r="E4891" s="8" t="str">
        <f>IFERROR(__xludf.DUMMYFUNCTION("""COMPUTED_VALUE"""),"Estimada")</f>
        <v>Estimada</v>
      </c>
      <c r="G4891" s="8">
        <f t="shared" si="1"/>
        <v>5</v>
      </c>
      <c r="H4891" s="14">
        <f t="shared" si="2"/>
        <v>23</v>
      </c>
      <c r="I4891" s="15">
        <f t="shared" si="3"/>
        <v>19</v>
      </c>
    </row>
    <row r="4892">
      <c r="A4892" s="8" t="str">
        <f>IFERROR(__xludf.DUMMYFUNCTION("IF('(INGESTA)Datos_consumo_datadis'!A4892&lt;&gt;"""",SPLIT('(INGESTA)Datos_consumo_datadis'!A:A,"",""),"""")"),"ES0031408323131005HX0F")</f>
        <v>ES0031408323131005HX0F</v>
      </c>
      <c r="B4892" s="12">
        <f>IFERROR(__xludf.DUMMYFUNCTION("""COMPUTED_VALUE"""),45069.0)</f>
        <v>45069</v>
      </c>
      <c r="C4892" s="13">
        <f>IFERROR(__xludf.DUMMYFUNCTION("""COMPUTED_VALUE"""),0.8333333333333334)</f>
        <v>0.8333333333</v>
      </c>
      <c r="D4892" s="8">
        <f>IFERROR(__xludf.DUMMYFUNCTION("""COMPUTED_VALUE"""),0.302)</f>
        <v>0.302</v>
      </c>
      <c r="E4892" s="8" t="str">
        <f>IFERROR(__xludf.DUMMYFUNCTION("""COMPUTED_VALUE"""),"Estimada")</f>
        <v>Estimada</v>
      </c>
      <c r="G4892" s="8">
        <f t="shared" si="1"/>
        <v>5</v>
      </c>
      <c r="H4892" s="14">
        <f t="shared" si="2"/>
        <v>23</v>
      </c>
      <c r="I4892" s="15">
        <f t="shared" si="3"/>
        <v>20</v>
      </c>
    </row>
    <row r="4893">
      <c r="A4893" s="8" t="str">
        <f>IFERROR(__xludf.DUMMYFUNCTION("IF('(INGESTA)Datos_consumo_datadis'!A4893&lt;&gt;"""",SPLIT('(INGESTA)Datos_consumo_datadis'!A:A,"",""),"""")"),"ES0031408323131005HX0F")</f>
        <v>ES0031408323131005HX0F</v>
      </c>
      <c r="B4893" s="12">
        <f>IFERROR(__xludf.DUMMYFUNCTION("""COMPUTED_VALUE"""),45069.0)</f>
        <v>45069</v>
      </c>
      <c r="C4893" s="13">
        <f>IFERROR(__xludf.DUMMYFUNCTION("""COMPUTED_VALUE"""),0.875)</f>
        <v>0.875</v>
      </c>
      <c r="D4893" s="8">
        <f>IFERROR(__xludf.DUMMYFUNCTION("""COMPUTED_VALUE"""),0.335)</f>
        <v>0.335</v>
      </c>
      <c r="E4893" s="8" t="str">
        <f>IFERROR(__xludf.DUMMYFUNCTION("""COMPUTED_VALUE"""),"Estimada")</f>
        <v>Estimada</v>
      </c>
      <c r="G4893" s="8">
        <f t="shared" si="1"/>
        <v>5</v>
      </c>
      <c r="H4893" s="14">
        <f t="shared" si="2"/>
        <v>23</v>
      </c>
      <c r="I4893" s="15">
        <f t="shared" si="3"/>
        <v>21</v>
      </c>
    </row>
    <row r="4894">
      <c r="A4894" s="8" t="str">
        <f>IFERROR(__xludf.DUMMYFUNCTION("IF('(INGESTA)Datos_consumo_datadis'!A4894&lt;&gt;"""",SPLIT('(INGESTA)Datos_consumo_datadis'!A:A,"",""),"""")"),"ES0031408323131005HX0F")</f>
        <v>ES0031408323131005HX0F</v>
      </c>
      <c r="B4894" s="12">
        <f>IFERROR(__xludf.DUMMYFUNCTION("""COMPUTED_VALUE"""),45069.0)</f>
        <v>45069</v>
      </c>
      <c r="C4894" s="13">
        <f>IFERROR(__xludf.DUMMYFUNCTION("""COMPUTED_VALUE"""),0.9166666666666666)</f>
        <v>0.9166666667</v>
      </c>
      <c r="D4894" s="8">
        <f>IFERROR(__xludf.DUMMYFUNCTION("""COMPUTED_VALUE"""),0.383)</f>
        <v>0.383</v>
      </c>
      <c r="E4894" s="8" t="str">
        <f>IFERROR(__xludf.DUMMYFUNCTION("""COMPUTED_VALUE"""),"Estimada")</f>
        <v>Estimada</v>
      </c>
      <c r="G4894" s="8">
        <f t="shared" si="1"/>
        <v>5</v>
      </c>
      <c r="H4894" s="14">
        <f t="shared" si="2"/>
        <v>23</v>
      </c>
      <c r="I4894" s="15">
        <f t="shared" si="3"/>
        <v>22</v>
      </c>
    </row>
    <row r="4895">
      <c r="A4895" s="8" t="str">
        <f>IFERROR(__xludf.DUMMYFUNCTION("IF('(INGESTA)Datos_consumo_datadis'!A4895&lt;&gt;"""",SPLIT('(INGESTA)Datos_consumo_datadis'!A:A,"",""),"""")"),"ES0031408323131005HX0F")</f>
        <v>ES0031408323131005HX0F</v>
      </c>
      <c r="B4895" s="12">
        <f>IFERROR(__xludf.DUMMYFUNCTION("""COMPUTED_VALUE"""),45069.0)</f>
        <v>45069</v>
      </c>
      <c r="C4895" s="13">
        <f>IFERROR(__xludf.DUMMYFUNCTION("""COMPUTED_VALUE"""),0.9583333333333334)</f>
        <v>0.9583333333</v>
      </c>
      <c r="D4895" s="8">
        <f>IFERROR(__xludf.DUMMYFUNCTION("""COMPUTED_VALUE"""),0.354)</f>
        <v>0.354</v>
      </c>
      <c r="E4895" s="8" t="str">
        <f>IFERROR(__xludf.DUMMYFUNCTION("""COMPUTED_VALUE"""),"Estimada")</f>
        <v>Estimada</v>
      </c>
      <c r="G4895" s="8">
        <f t="shared" si="1"/>
        <v>5</v>
      </c>
      <c r="H4895" s="14">
        <f t="shared" si="2"/>
        <v>23</v>
      </c>
      <c r="I4895" s="15">
        <f t="shared" si="3"/>
        <v>23</v>
      </c>
    </row>
    <row r="4896">
      <c r="A4896" s="8" t="str">
        <f>IFERROR(__xludf.DUMMYFUNCTION("IF('(INGESTA)Datos_consumo_datadis'!A4896&lt;&gt;"""",SPLIT('(INGESTA)Datos_consumo_datadis'!A:A,"",""),"""")"),"ES0031408323131005HX0F")</f>
        <v>ES0031408323131005HX0F</v>
      </c>
      <c r="B4896" s="12">
        <f>IFERROR(__xludf.DUMMYFUNCTION("""COMPUTED_VALUE"""),45069.0)</f>
        <v>45069</v>
      </c>
      <c r="C4896" s="16">
        <f>IFERROR(__xludf.DUMMYFUNCTION("""COMPUTED_VALUE"""),1.0)</f>
        <v>1</v>
      </c>
      <c r="D4896" s="8">
        <f>IFERROR(__xludf.DUMMYFUNCTION("""COMPUTED_VALUE"""),0.293)</f>
        <v>0.293</v>
      </c>
      <c r="E4896" s="8" t="str">
        <f>IFERROR(__xludf.DUMMYFUNCTION("""COMPUTED_VALUE"""),"Estimada")</f>
        <v>Estimada</v>
      </c>
      <c r="G4896" s="8">
        <f t="shared" si="1"/>
        <v>5</v>
      </c>
      <c r="H4896" s="14">
        <f t="shared" si="2"/>
        <v>23</v>
      </c>
      <c r="I4896" s="15">
        <f t="shared" si="3"/>
        <v>0</v>
      </c>
    </row>
    <row r="4897">
      <c r="A4897" s="8" t="str">
        <f>IFERROR(__xludf.DUMMYFUNCTION("IF('(INGESTA)Datos_consumo_datadis'!A4897&lt;&gt;"""",SPLIT('(INGESTA)Datos_consumo_datadis'!A:A,"",""),"""")"),"ES0031408323131005HX0F")</f>
        <v>ES0031408323131005HX0F</v>
      </c>
      <c r="B4897" s="12">
        <f>IFERROR(__xludf.DUMMYFUNCTION("""COMPUTED_VALUE"""),45070.0)</f>
        <v>45070</v>
      </c>
      <c r="C4897" s="13">
        <f>IFERROR(__xludf.DUMMYFUNCTION("""COMPUTED_VALUE"""),0.041666666666666664)</f>
        <v>0.04166666667</v>
      </c>
      <c r="D4897" s="8">
        <f>IFERROR(__xludf.DUMMYFUNCTION("""COMPUTED_VALUE"""),0.248)</f>
        <v>0.248</v>
      </c>
      <c r="E4897" s="8" t="str">
        <f>IFERROR(__xludf.DUMMYFUNCTION("""COMPUTED_VALUE"""),"Estimada")</f>
        <v>Estimada</v>
      </c>
      <c r="G4897" s="8">
        <f t="shared" si="1"/>
        <v>5</v>
      </c>
      <c r="H4897" s="14">
        <f t="shared" si="2"/>
        <v>24</v>
      </c>
      <c r="I4897" s="15">
        <f t="shared" si="3"/>
        <v>1</v>
      </c>
    </row>
    <row r="4898">
      <c r="A4898" s="8" t="str">
        <f>IFERROR(__xludf.DUMMYFUNCTION("IF('(INGESTA)Datos_consumo_datadis'!A4898&lt;&gt;"""",SPLIT('(INGESTA)Datos_consumo_datadis'!A:A,"",""),"""")"),"ES0031408323131005HX0F")</f>
        <v>ES0031408323131005HX0F</v>
      </c>
      <c r="B4898" s="12">
        <f>IFERROR(__xludf.DUMMYFUNCTION("""COMPUTED_VALUE"""),45070.0)</f>
        <v>45070</v>
      </c>
      <c r="C4898" s="13">
        <f>IFERROR(__xludf.DUMMYFUNCTION("""COMPUTED_VALUE"""),0.08333333333333333)</f>
        <v>0.08333333333</v>
      </c>
      <c r="D4898" s="8">
        <f>IFERROR(__xludf.DUMMYFUNCTION("""COMPUTED_VALUE"""),0.206)</f>
        <v>0.206</v>
      </c>
      <c r="E4898" s="8" t="str">
        <f>IFERROR(__xludf.DUMMYFUNCTION("""COMPUTED_VALUE"""),"Estimada")</f>
        <v>Estimada</v>
      </c>
      <c r="G4898" s="8">
        <f t="shared" si="1"/>
        <v>5</v>
      </c>
      <c r="H4898" s="14">
        <f t="shared" si="2"/>
        <v>24</v>
      </c>
      <c r="I4898" s="15">
        <f t="shared" si="3"/>
        <v>2</v>
      </c>
    </row>
    <row r="4899">
      <c r="A4899" s="8" t="str">
        <f>IFERROR(__xludf.DUMMYFUNCTION("IF('(INGESTA)Datos_consumo_datadis'!A4899&lt;&gt;"""",SPLIT('(INGESTA)Datos_consumo_datadis'!A:A,"",""),"""")"),"ES0031408323131005HX0F")</f>
        <v>ES0031408323131005HX0F</v>
      </c>
      <c r="B4899" s="12">
        <f>IFERROR(__xludf.DUMMYFUNCTION("""COMPUTED_VALUE"""),45070.0)</f>
        <v>45070</v>
      </c>
      <c r="C4899" s="13">
        <f>IFERROR(__xludf.DUMMYFUNCTION("""COMPUTED_VALUE"""),0.125)</f>
        <v>0.125</v>
      </c>
      <c r="D4899" s="8">
        <f>IFERROR(__xludf.DUMMYFUNCTION("""COMPUTED_VALUE"""),0.184)</f>
        <v>0.184</v>
      </c>
      <c r="E4899" s="8" t="str">
        <f>IFERROR(__xludf.DUMMYFUNCTION("""COMPUTED_VALUE"""),"Estimada")</f>
        <v>Estimada</v>
      </c>
      <c r="G4899" s="8">
        <f t="shared" si="1"/>
        <v>5</v>
      </c>
      <c r="H4899" s="14">
        <f t="shared" si="2"/>
        <v>24</v>
      </c>
      <c r="I4899" s="15">
        <f t="shared" si="3"/>
        <v>3</v>
      </c>
    </row>
    <row r="4900">
      <c r="A4900" s="8" t="str">
        <f>IFERROR(__xludf.DUMMYFUNCTION("IF('(INGESTA)Datos_consumo_datadis'!A4900&lt;&gt;"""",SPLIT('(INGESTA)Datos_consumo_datadis'!A:A,"",""),"""")"),"ES0031408323131005HX0F")</f>
        <v>ES0031408323131005HX0F</v>
      </c>
      <c r="B4900" s="12">
        <f>IFERROR(__xludf.DUMMYFUNCTION("""COMPUTED_VALUE"""),45070.0)</f>
        <v>45070</v>
      </c>
      <c r="C4900" s="13">
        <f>IFERROR(__xludf.DUMMYFUNCTION("""COMPUTED_VALUE"""),0.16666666666666666)</f>
        <v>0.1666666667</v>
      </c>
      <c r="D4900" s="8">
        <f>IFERROR(__xludf.DUMMYFUNCTION("""COMPUTED_VALUE"""),0.174)</f>
        <v>0.174</v>
      </c>
      <c r="E4900" s="8" t="str">
        <f>IFERROR(__xludf.DUMMYFUNCTION("""COMPUTED_VALUE"""),"Estimada")</f>
        <v>Estimada</v>
      </c>
      <c r="G4900" s="8">
        <f t="shared" si="1"/>
        <v>5</v>
      </c>
      <c r="H4900" s="14">
        <f t="shared" si="2"/>
        <v>24</v>
      </c>
      <c r="I4900" s="15">
        <f t="shared" si="3"/>
        <v>4</v>
      </c>
    </row>
    <row r="4901">
      <c r="A4901" s="8" t="str">
        <f>IFERROR(__xludf.DUMMYFUNCTION("IF('(INGESTA)Datos_consumo_datadis'!A4901&lt;&gt;"""",SPLIT('(INGESTA)Datos_consumo_datadis'!A:A,"",""),"""")"),"ES0031408323131005HX0F")</f>
        <v>ES0031408323131005HX0F</v>
      </c>
      <c r="B4901" s="12">
        <f>IFERROR(__xludf.DUMMYFUNCTION("""COMPUTED_VALUE"""),45070.0)</f>
        <v>45070</v>
      </c>
      <c r="C4901" s="13">
        <f>IFERROR(__xludf.DUMMYFUNCTION("""COMPUTED_VALUE"""),0.20833333333333334)</f>
        <v>0.2083333333</v>
      </c>
      <c r="D4901" s="8">
        <f>IFERROR(__xludf.DUMMYFUNCTION("""COMPUTED_VALUE"""),0.171)</f>
        <v>0.171</v>
      </c>
      <c r="E4901" s="8" t="str">
        <f>IFERROR(__xludf.DUMMYFUNCTION("""COMPUTED_VALUE"""),"Estimada")</f>
        <v>Estimada</v>
      </c>
      <c r="G4901" s="8">
        <f t="shared" si="1"/>
        <v>5</v>
      </c>
      <c r="H4901" s="14">
        <f t="shared" si="2"/>
        <v>24</v>
      </c>
      <c r="I4901" s="15">
        <f t="shared" si="3"/>
        <v>5</v>
      </c>
    </row>
    <row r="4902">
      <c r="A4902" s="8" t="str">
        <f>IFERROR(__xludf.DUMMYFUNCTION("IF('(INGESTA)Datos_consumo_datadis'!A4902&lt;&gt;"""",SPLIT('(INGESTA)Datos_consumo_datadis'!A:A,"",""),"""")"),"ES0031408323131005HX0F")</f>
        <v>ES0031408323131005HX0F</v>
      </c>
      <c r="B4902" s="12">
        <f>IFERROR(__xludf.DUMMYFUNCTION("""COMPUTED_VALUE"""),45070.0)</f>
        <v>45070</v>
      </c>
      <c r="C4902" s="13">
        <f>IFERROR(__xludf.DUMMYFUNCTION("""COMPUTED_VALUE"""),0.25)</f>
        <v>0.25</v>
      </c>
      <c r="D4902" s="8">
        <f>IFERROR(__xludf.DUMMYFUNCTION("""COMPUTED_VALUE"""),0.175)</f>
        <v>0.175</v>
      </c>
      <c r="E4902" s="8" t="str">
        <f>IFERROR(__xludf.DUMMYFUNCTION("""COMPUTED_VALUE"""),"Estimada")</f>
        <v>Estimada</v>
      </c>
      <c r="G4902" s="8">
        <f t="shared" si="1"/>
        <v>5</v>
      </c>
      <c r="H4902" s="14">
        <f t="shared" si="2"/>
        <v>24</v>
      </c>
      <c r="I4902" s="15">
        <f t="shared" si="3"/>
        <v>6</v>
      </c>
    </row>
    <row r="4903">
      <c r="A4903" s="8" t="str">
        <f>IFERROR(__xludf.DUMMYFUNCTION("IF('(INGESTA)Datos_consumo_datadis'!A4903&lt;&gt;"""",SPLIT('(INGESTA)Datos_consumo_datadis'!A:A,"",""),"""")"),"ES0031408323131005HX0F")</f>
        <v>ES0031408323131005HX0F</v>
      </c>
      <c r="B4903" s="12">
        <f>IFERROR(__xludf.DUMMYFUNCTION("""COMPUTED_VALUE"""),45070.0)</f>
        <v>45070</v>
      </c>
      <c r="C4903" s="13">
        <f>IFERROR(__xludf.DUMMYFUNCTION("""COMPUTED_VALUE"""),0.2916666666666667)</f>
        <v>0.2916666667</v>
      </c>
      <c r="D4903" s="8">
        <f>IFERROR(__xludf.DUMMYFUNCTION("""COMPUTED_VALUE"""),0.192)</f>
        <v>0.192</v>
      </c>
      <c r="E4903" s="8" t="str">
        <f>IFERROR(__xludf.DUMMYFUNCTION("""COMPUTED_VALUE"""),"Estimada")</f>
        <v>Estimada</v>
      </c>
      <c r="G4903" s="8">
        <f t="shared" si="1"/>
        <v>5</v>
      </c>
      <c r="H4903" s="14">
        <f t="shared" si="2"/>
        <v>24</v>
      </c>
      <c r="I4903" s="15">
        <f t="shared" si="3"/>
        <v>7</v>
      </c>
    </row>
    <row r="4904">
      <c r="A4904" s="8" t="str">
        <f>IFERROR(__xludf.DUMMYFUNCTION("IF('(INGESTA)Datos_consumo_datadis'!A4904&lt;&gt;"""",SPLIT('(INGESTA)Datos_consumo_datadis'!A:A,"",""),"""")"),"ES0031408323131005HX0F")</f>
        <v>ES0031408323131005HX0F</v>
      </c>
      <c r="B4904" s="12">
        <f>IFERROR(__xludf.DUMMYFUNCTION("""COMPUTED_VALUE"""),45070.0)</f>
        <v>45070</v>
      </c>
      <c r="C4904" s="13">
        <f>IFERROR(__xludf.DUMMYFUNCTION("""COMPUTED_VALUE"""),0.3333333333333333)</f>
        <v>0.3333333333</v>
      </c>
      <c r="D4904" s="8">
        <f>IFERROR(__xludf.DUMMYFUNCTION("""COMPUTED_VALUE"""),0.23)</f>
        <v>0.23</v>
      </c>
      <c r="E4904" s="8" t="str">
        <f>IFERROR(__xludf.DUMMYFUNCTION("""COMPUTED_VALUE"""),"Estimada")</f>
        <v>Estimada</v>
      </c>
      <c r="G4904" s="8">
        <f t="shared" si="1"/>
        <v>5</v>
      </c>
      <c r="H4904" s="14">
        <f t="shared" si="2"/>
        <v>24</v>
      </c>
      <c r="I4904" s="15">
        <f t="shared" si="3"/>
        <v>8</v>
      </c>
    </row>
    <row r="4905">
      <c r="A4905" s="8" t="str">
        <f>IFERROR(__xludf.DUMMYFUNCTION("IF('(INGESTA)Datos_consumo_datadis'!A4905&lt;&gt;"""",SPLIT('(INGESTA)Datos_consumo_datadis'!A:A,"",""),"""")"),"ES0031408323131005HX0F")</f>
        <v>ES0031408323131005HX0F</v>
      </c>
      <c r="B4905" s="12">
        <f>IFERROR(__xludf.DUMMYFUNCTION("""COMPUTED_VALUE"""),45070.0)</f>
        <v>45070</v>
      </c>
      <c r="C4905" s="13">
        <f>IFERROR(__xludf.DUMMYFUNCTION("""COMPUTED_VALUE"""),0.375)</f>
        <v>0.375</v>
      </c>
      <c r="D4905" s="8">
        <f>IFERROR(__xludf.DUMMYFUNCTION("""COMPUTED_VALUE"""),0.254)</f>
        <v>0.254</v>
      </c>
      <c r="E4905" s="8" t="str">
        <f>IFERROR(__xludf.DUMMYFUNCTION("""COMPUTED_VALUE"""),"Estimada")</f>
        <v>Estimada</v>
      </c>
      <c r="G4905" s="8">
        <f t="shared" si="1"/>
        <v>5</v>
      </c>
      <c r="H4905" s="14">
        <f t="shared" si="2"/>
        <v>24</v>
      </c>
      <c r="I4905" s="15">
        <f t="shared" si="3"/>
        <v>9</v>
      </c>
    </row>
    <row r="4906">
      <c r="A4906" s="8" t="str">
        <f>IFERROR(__xludf.DUMMYFUNCTION("IF('(INGESTA)Datos_consumo_datadis'!A4906&lt;&gt;"""",SPLIT('(INGESTA)Datos_consumo_datadis'!A:A,"",""),"""")"),"ES0031408323131005HX0F")</f>
        <v>ES0031408323131005HX0F</v>
      </c>
      <c r="B4906" s="12">
        <f>IFERROR(__xludf.DUMMYFUNCTION("""COMPUTED_VALUE"""),45070.0)</f>
        <v>45070</v>
      </c>
      <c r="C4906" s="13">
        <f>IFERROR(__xludf.DUMMYFUNCTION("""COMPUTED_VALUE"""),0.4166666666666667)</f>
        <v>0.4166666667</v>
      </c>
      <c r="D4906" s="8">
        <f>IFERROR(__xludf.DUMMYFUNCTION("""COMPUTED_VALUE"""),0.269)</f>
        <v>0.269</v>
      </c>
      <c r="E4906" s="8" t="str">
        <f>IFERROR(__xludf.DUMMYFUNCTION("""COMPUTED_VALUE"""),"Estimada")</f>
        <v>Estimada</v>
      </c>
      <c r="G4906" s="8">
        <f t="shared" si="1"/>
        <v>5</v>
      </c>
      <c r="H4906" s="14">
        <f t="shared" si="2"/>
        <v>24</v>
      </c>
      <c r="I4906" s="15">
        <f t="shared" si="3"/>
        <v>10</v>
      </c>
    </row>
    <row r="4907">
      <c r="A4907" s="8" t="str">
        <f>IFERROR(__xludf.DUMMYFUNCTION("IF('(INGESTA)Datos_consumo_datadis'!A4907&lt;&gt;"""",SPLIT('(INGESTA)Datos_consumo_datadis'!A:A,"",""),"""")"),"ES0031408323131005HX0F")</f>
        <v>ES0031408323131005HX0F</v>
      </c>
      <c r="B4907" s="12">
        <f>IFERROR(__xludf.DUMMYFUNCTION("""COMPUTED_VALUE"""),45070.0)</f>
        <v>45070</v>
      </c>
      <c r="C4907" s="13">
        <f>IFERROR(__xludf.DUMMYFUNCTION("""COMPUTED_VALUE"""),0.4583333333333333)</f>
        <v>0.4583333333</v>
      </c>
      <c r="D4907" s="8">
        <f>IFERROR(__xludf.DUMMYFUNCTION("""COMPUTED_VALUE"""),0.296)</f>
        <v>0.296</v>
      </c>
      <c r="E4907" s="8" t="str">
        <f>IFERROR(__xludf.DUMMYFUNCTION("""COMPUTED_VALUE"""),"Estimada")</f>
        <v>Estimada</v>
      </c>
      <c r="G4907" s="8">
        <f t="shared" si="1"/>
        <v>5</v>
      </c>
      <c r="H4907" s="14">
        <f t="shared" si="2"/>
        <v>24</v>
      </c>
      <c r="I4907" s="15">
        <f t="shared" si="3"/>
        <v>11</v>
      </c>
    </row>
    <row r="4908">
      <c r="A4908" s="8" t="str">
        <f>IFERROR(__xludf.DUMMYFUNCTION("IF('(INGESTA)Datos_consumo_datadis'!A4908&lt;&gt;"""",SPLIT('(INGESTA)Datos_consumo_datadis'!A:A,"",""),"""")"),"ES0031408323131005HX0F")</f>
        <v>ES0031408323131005HX0F</v>
      </c>
      <c r="B4908" s="12">
        <f>IFERROR(__xludf.DUMMYFUNCTION("""COMPUTED_VALUE"""),45070.0)</f>
        <v>45070</v>
      </c>
      <c r="C4908" s="13">
        <f>IFERROR(__xludf.DUMMYFUNCTION("""COMPUTED_VALUE"""),0.5)</f>
        <v>0.5</v>
      </c>
      <c r="D4908" s="8">
        <f>IFERROR(__xludf.DUMMYFUNCTION("""COMPUTED_VALUE"""),0.301)</f>
        <v>0.301</v>
      </c>
      <c r="E4908" s="8" t="str">
        <f>IFERROR(__xludf.DUMMYFUNCTION("""COMPUTED_VALUE"""),"Estimada")</f>
        <v>Estimada</v>
      </c>
      <c r="G4908" s="8">
        <f t="shared" si="1"/>
        <v>5</v>
      </c>
      <c r="H4908" s="14">
        <f t="shared" si="2"/>
        <v>24</v>
      </c>
      <c r="I4908" s="15">
        <f t="shared" si="3"/>
        <v>12</v>
      </c>
    </row>
    <row r="4909">
      <c r="A4909" s="8" t="str">
        <f>IFERROR(__xludf.DUMMYFUNCTION("IF('(INGESTA)Datos_consumo_datadis'!A4909&lt;&gt;"""",SPLIT('(INGESTA)Datos_consumo_datadis'!A:A,"",""),"""")"),"ES0031408323131005HX0F")</f>
        <v>ES0031408323131005HX0F</v>
      </c>
      <c r="B4909" s="12">
        <f>IFERROR(__xludf.DUMMYFUNCTION("""COMPUTED_VALUE"""),45070.0)</f>
        <v>45070</v>
      </c>
      <c r="C4909" s="13">
        <f>IFERROR(__xludf.DUMMYFUNCTION("""COMPUTED_VALUE"""),0.5416666666666666)</f>
        <v>0.5416666667</v>
      </c>
      <c r="D4909" s="8">
        <f>IFERROR(__xludf.DUMMYFUNCTION("""COMPUTED_VALUE"""),0.313)</f>
        <v>0.313</v>
      </c>
      <c r="E4909" s="8" t="str">
        <f>IFERROR(__xludf.DUMMYFUNCTION("""COMPUTED_VALUE"""),"Estimada")</f>
        <v>Estimada</v>
      </c>
      <c r="G4909" s="8">
        <f t="shared" si="1"/>
        <v>5</v>
      </c>
      <c r="H4909" s="14">
        <f t="shared" si="2"/>
        <v>24</v>
      </c>
      <c r="I4909" s="15">
        <f t="shared" si="3"/>
        <v>13</v>
      </c>
    </row>
    <row r="4910">
      <c r="A4910" s="8" t="str">
        <f>IFERROR(__xludf.DUMMYFUNCTION("IF('(INGESTA)Datos_consumo_datadis'!A4910&lt;&gt;"""",SPLIT('(INGESTA)Datos_consumo_datadis'!A:A,"",""),"""")"),"ES0031408323131005HX0F")</f>
        <v>ES0031408323131005HX0F</v>
      </c>
      <c r="B4910" s="12">
        <f>IFERROR(__xludf.DUMMYFUNCTION("""COMPUTED_VALUE"""),45070.0)</f>
        <v>45070</v>
      </c>
      <c r="C4910" s="13">
        <f>IFERROR(__xludf.DUMMYFUNCTION("""COMPUTED_VALUE"""),0.5833333333333334)</f>
        <v>0.5833333333</v>
      </c>
      <c r="D4910" s="8">
        <f>IFERROR(__xludf.DUMMYFUNCTION("""COMPUTED_VALUE"""),0.332)</f>
        <v>0.332</v>
      </c>
      <c r="E4910" s="8" t="str">
        <f>IFERROR(__xludf.DUMMYFUNCTION("""COMPUTED_VALUE"""),"Estimada")</f>
        <v>Estimada</v>
      </c>
      <c r="G4910" s="8">
        <f t="shared" si="1"/>
        <v>5</v>
      </c>
      <c r="H4910" s="14">
        <f t="shared" si="2"/>
        <v>24</v>
      </c>
      <c r="I4910" s="15">
        <f t="shared" si="3"/>
        <v>14</v>
      </c>
    </row>
    <row r="4911">
      <c r="A4911" s="8" t="str">
        <f>IFERROR(__xludf.DUMMYFUNCTION("IF('(INGESTA)Datos_consumo_datadis'!A4911&lt;&gt;"""",SPLIT('(INGESTA)Datos_consumo_datadis'!A:A,"",""),"""")"),"ES0031408323131005HX0F")</f>
        <v>ES0031408323131005HX0F</v>
      </c>
      <c r="B4911" s="12">
        <f>IFERROR(__xludf.DUMMYFUNCTION("""COMPUTED_VALUE"""),45070.0)</f>
        <v>45070</v>
      </c>
      <c r="C4911" s="13">
        <f>IFERROR(__xludf.DUMMYFUNCTION("""COMPUTED_VALUE"""),0.625)</f>
        <v>0.625</v>
      </c>
      <c r="D4911" s="8">
        <f>IFERROR(__xludf.DUMMYFUNCTION("""COMPUTED_VALUE"""),0.312)</f>
        <v>0.312</v>
      </c>
      <c r="E4911" s="8" t="str">
        <f>IFERROR(__xludf.DUMMYFUNCTION("""COMPUTED_VALUE"""),"Estimada")</f>
        <v>Estimada</v>
      </c>
      <c r="G4911" s="8">
        <f t="shared" si="1"/>
        <v>5</v>
      </c>
      <c r="H4911" s="14">
        <f t="shared" si="2"/>
        <v>24</v>
      </c>
      <c r="I4911" s="15">
        <f t="shared" si="3"/>
        <v>15</v>
      </c>
    </row>
    <row r="4912">
      <c r="A4912" s="8" t="str">
        <f>IFERROR(__xludf.DUMMYFUNCTION("IF('(INGESTA)Datos_consumo_datadis'!A4912&lt;&gt;"""",SPLIT('(INGESTA)Datos_consumo_datadis'!A:A,"",""),"""")"),"ES0031408323131005HX0F")</f>
        <v>ES0031408323131005HX0F</v>
      </c>
      <c r="B4912" s="12">
        <f>IFERROR(__xludf.DUMMYFUNCTION("""COMPUTED_VALUE"""),45070.0)</f>
        <v>45070</v>
      </c>
      <c r="C4912" s="13">
        <f>IFERROR(__xludf.DUMMYFUNCTION("""COMPUTED_VALUE"""),0.6666666666666666)</f>
        <v>0.6666666667</v>
      </c>
      <c r="D4912" s="8">
        <f>IFERROR(__xludf.DUMMYFUNCTION("""COMPUTED_VALUE"""),0.285)</f>
        <v>0.285</v>
      </c>
      <c r="E4912" s="8" t="str">
        <f>IFERROR(__xludf.DUMMYFUNCTION("""COMPUTED_VALUE"""),"Estimada")</f>
        <v>Estimada</v>
      </c>
      <c r="G4912" s="8">
        <f t="shared" si="1"/>
        <v>5</v>
      </c>
      <c r="H4912" s="14">
        <f t="shared" si="2"/>
        <v>24</v>
      </c>
      <c r="I4912" s="15">
        <f t="shared" si="3"/>
        <v>16</v>
      </c>
    </row>
    <row r="4913">
      <c r="A4913" s="8" t="str">
        <f>IFERROR(__xludf.DUMMYFUNCTION("IF('(INGESTA)Datos_consumo_datadis'!A4913&lt;&gt;"""",SPLIT('(INGESTA)Datos_consumo_datadis'!A:A,"",""),"""")"),"ES0031408323131005HX0F")</f>
        <v>ES0031408323131005HX0F</v>
      </c>
      <c r="B4913" s="12">
        <f>IFERROR(__xludf.DUMMYFUNCTION("""COMPUTED_VALUE"""),45070.0)</f>
        <v>45070</v>
      </c>
      <c r="C4913" s="13">
        <f>IFERROR(__xludf.DUMMYFUNCTION("""COMPUTED_VALUE"""),0.7083333333333334)</f>
        <v>0.7083333333</v>
      </c>
      <c r="D4913" s="8">
        <f>IFERROR(__xludf.DUMMYFUNCTION("""COMPUTED_VALUE"""),0.27)</f>
        <v>0.27</v>
      </c>
      <c r="E4913" s="8" t="str">
        <f>IFERROR(__xludf.DUMMYFUNCTION("""COMPUTED_VALUE"""),"Estimada")</f>
        <v>Estimada</v>
      </c>
      <c r="G4913" s="8">
        <f t="shared" si="1"/>
        <v>5</v>
      </c>
      <c r="H4913" s="14">
        <f t="shared" si="2"/>
        <v>24</v>
      </c>
      <c r="I4913" s="15">
        <f t="shared" si="3"/>
        <v>17</v>
      </c>
    </row>
    <row r="4914">
      <c r="A4914" s="8" t="str">
        <f>IFERROR(__xludf.DUMMYFUNCTION("IF('(INGESTA)Datos_consumo_datadis'!A4914&lt;&gt;"""",SPLIT('(INGESTA)Datos_consumo_datadis'!A:A,"",""),"""")"),"ES0031408323131005HX0F")</f>
        <v>ES0031408323131005HX0F</v>
      </c>
      <c r="B4914" s="12">
        <f>IFERROR(__xludf.DUMMYFUNCTION("""COMPUTED_VALUE"""),45070.0)</f>
        <v>45070</v>
      </c>
      <c r="C4914" s="13">
        <f>IFERROR(__xludf.DUMMYFUNCTION("""COMPUTED_VALUE"""),0.75)</f>
        <v>0.75</v>
      </c>
      <c r="D4914" s="8">
        <f>IFERROR(__xludf.DUMMYFUNCTION("""COMPUTED_VALUE"""),0.271)</f>
        <v>0.271</v>
      </c>
      <c r="E4914" s="8" t="str">
        <f>IFERROR(__xludf.DUMMYFUNCTION("""COMPUTED_VALUE"""),"Estimada")</f>
        <v>Estimada</v>
      </c>
      <c r="G4914" s="8">
        <f t="shared" si="1"/>
        <v>5</v>
      </c>
      <c r="H4914" s="14">
        <f t="shared" si="2"/>
        <v>24</v>
      </c>
      <c r="I4914" s="15">
        <f t="shared" si="3"/>
        <v>18</v>
      </c>
    </row>
    <row r="4915">
      <c r="A4915" s="8" t="str">
        <f>IFERROR(__xludf.DUMMYFUNCTION("IF('(INGESTA)Datos_consumo_datadis'!A4915&lt;&gt;"""",SPLIT('(INGESTA)Datos_consumo_datadis'!A:A,"",""),"""")"),"ES0031408323131005HX0F")</f>
        <v>ES0031408323131005HX0F</v>
      </c>
      <c r="B4915" s="12">
        <f>IFERROR(__xludf.DUMMYFUNCTION("""COMPUTED_VALUE"""),45070.0)</f>
        <v>45070</v>
      </c>
      <c r="C4915" s="13">
        <f>IFERROR(__xludf.DUMMYFUNCTION("""COMPUTED_VALUE"""),0.7916666666666666)</f>
        <v>0.7916666667</v>
      </c>
      <c r="D4915" s="8">
        <f>IFERROR(__xludf.DUMMYFUNCTION("""COMPUTED_VALUE"""),0.289)</f>
        <v>0.289</v>
      </c>
      <c r="E4915" s="8" t="str">
        <f>IFERROR(__xludf.DUMMYFUNCTION("""COMPUTED_VALUE"""),"Estimada")</f>
        <v>Estimada</v>
      </c>
      <c r="G4915" s="8">
        <f t="shared" si="1"/>
        <v>5</v>
      </c>
      <c r="H4915" s="14">
        <f t="shared" si="2"/>
        <v>24</v>
      </c>
      <c r="I4915" s="15">
        <f t="shared" si="3"/>
        <v>19</v>
      </c>
    </row>
    <row r="4916">
      <c r="A4916" s="8" t="str">
        <f>IFERROR(__xludf.DUMMYFUNCTION("IF('(INGESTA)Datos_consumo_datadis'!A4916&lt;&gt;"""",SPLIT('(INGESTA)Datos_consumo_datadis'!A:A,"",""),"""")"),"ES0031408323131005HX0F")</f>
        <v>ES0031408323131005HX0F</v>
      </c>
      <c r="B4916" s="12">
        <f>IFERROR(__xludf.DUMMYFUNCTION("""COMPUTED_VALUE"""),45070.0)</f>
        <v>45070</v>
      </c>
      <c r="C4916" s="13">
        <f>IFERROR(__xludf.DUMMYFUNCTION("""COMPUTED_VALUE"""),0.8333333333333334)</f>
        <v>0.8333333333</v>
      </c>
      <c r="D4916" s="8">
        <f>IFERROR(__xludf.DUMMYFUNCTION("""COMPUTED_VALUE"""),0.303)</f>
        <v>0.303</v>
      </c>
      <c r="E4916" s="8" t="str">
        <f>IFERROR(__xludf.DUMMYFUNCTION("""COMPUTED_VALUE"""),"Estimada")</f>
        <v>Estimada</v>
      </c>
      <c r="G4916" s="8">
        <f t="shared" si="1"/>
        <v>5</v>
      </c>
      <c r="H4916" s="14">
        <f t="shared" si="2"/>
        <v>24</v>
      </c>
      <c r="I4916" s="15">
        <f t="shared" si="3"/>
        <v>20</v>
      </c>
    </row>
    <row r="4917">
      <c r="A4917" s="8" t="str">
        <f>IFERROR(__xludf.DUMMYFUNCTION("IF('(INGESTA)Datos_consumo_datadis'!A4917&lt;&gt;"""",SPLIT('(INGESTA)Datos_consumo_datadis'!A:A,"",""),"""")"),"ES0031408323131005HX0F")</f>
        <v>ES0031408323131005HX0F</v>
      </c>
      <c r="B4917" s="12">
        <f>IFERROR(__xludf.DUMMYFUNCTION("""COMPUTED_VALUE"""),45070.0)</f>
        <v>45070</v>
      </c>
      <c r="C4917" s="13">
        <f>IFERROR(__xludf.DUMMYFUNCTION("""COMPUTED_VALUE"""),0.875)</f>
        <v>0.875</v>
      </c>
      <c r="D4917" s="8">
        <f>IFERROR(__xludf.DUMMYFUNCTION("""COMPUTED_VALUE"""),0.336)</f>
        <v>0.336</v>
      </c>
      <c r="E4917" s="8" t="str">
        <f>IFERROR(__xludf.DUMMYFUNCTION("""COMPUTED_VALUE"""),"Estimada")</f>
        <v>Estimada</v>
      </c>
      <c r="G4917" s="8">
        <f t="shared" si="1"/>
        <v>5</v>
      </c>
      <c r="H4917" s="14">
        <f t="shared" si="2"/>
        <v>24</v>
      </c>
      <c r="I4917" s="15">
        <f t="shared" si="3"/>
        <v>21</v>
      </c>
    </row>
    <row r="4918">
      <c r="A4918" s="8" t="str">
        <f>IFERROR(__xludf.DUMMYFUNCTION("IF('(INGESTA)Datos_consumo_datadis'!A4918&lt;&gt;"""",SPLIT('(INGESTA)Datos_consumo_datadis'!A:A,"",""),"""")"),"ES0031408323131005HX0F")</f>
        <v>ES0031408323131005HX0F</v>
      </c>
      <c r="B4918" s="12">
        <f>IFERROR(__xludf.DUMMYFUNCTION("""COMPUTED_VALUE"""),45070.0)</f>
        <v>45070</v>
      </c>
      <c r="C4918" s="13">
        <f>IFERROR(__xludf.DUMMYFUNCTION("""COMPUTED_VALUE"""),0.9166666666666666)</f>
        <v>0.9166666667</v>
      </c>
      <c r="D4918" s="8">
        <f>IFERROR(__xludf.DUMMYFUNCTION("""COMPUTED_VALUE"""),0.384)</f>
        <v>0.384</v>
      </c>
      <c r="E4918" s="8" t="str">
        <f>IFERROR(__xludf.DUMMYFUNCTION("""COMPUTED_VALUE"""),"Estimada")</f>
        <v>Estimada</v>
      </c>
      <c r="G4918" s="8">
        <f t="shared" si="1"/>
        <v>5</v>
      </c>
      <c r="H4918" s="14">
        <f t="shared" si="2"/>
        <v>24</v>
      </c>
      <c r="I4918" s="15">
        <f t="shared" si="3"/>
        <v>22</v>
      </c>
    </row>
    <row r="4919">
      <c r="A4919" s="8" t="str">
        <f>IFERROR(__xludf.DUMMYFUNCTION("IF('(INGESTA)Datos_consumo_datadis'!A4919&lt;&gt;"""",SPLIT('(INGESTA)Datos_consumo_datadis'!A:A,"",""),"""")"),"ES0031408323131005HX0F")</f>
        <v>ES0031408323131005HX0F</v>
      </c>
      <c r="B4919" s="12">
        <f>IFERROR(__xludf.DUMMYFUNCTION("""COMPUTED_VALUE"""),45070.0)</f>
        <v>45070</v>
      </c>
      <c r="C4919" s="13">
        <f>IFERROR(__xludf.DUMMYFUNCTION("""COMPUTED_VALUE"""),0.9583333333333334)</f>
        <v>0.9583333333</v>
      </c>
      <c r="D4919" s="8">
        <f>IFERROR(__xludf.DUMMYFUNCTION("""COMPUTED_VALUE"""),0.354)</f>
        <v>0.354</v>
      </c>
      <c r="E4919" s="8" t="str">
        <f>IFERROR(__xludf.DUMMYFUNCTION("""COMPUTED_VALUE"""),"Estimada")</f>
        <v>Estimada</v>
      </c>
      <c r="G4919" s="8">
        <f t="shared" si="1"/>
        <v>5</v>
      </c>
      <c r="H4919" s="14">
        <f t="shared" si="2"/>
        <v>24</v>
      </c>
      <c r="I4919" s="15">
        <f t="shared" si="3"/>
        <v>23</v>
      </c>
    </row>
    <row r="4920">
      <c r="A4920" s="8" t="str">
        <f>IFERROR(__xludf.DUMMYFUNCTION("IF('(INGESTA)Datos_consumo_datadis'!A4920&lt;&gt;"""",SPLIT('(INGESTA)Datos_consumo_datadis'!A:A,"",""),"""")"),"ES0031408323131005HX0F")</f>
        <v>ES0031408323131005HX0F</v>
      </c>
      <c r="B4920" s="12">
        <f>IFERROR(__xludf.DUMMYFUNCTION("""COMPUTED_VALUE"""),45070.0)</f>
        <v>45070</v>
      </c>
      <c r="C4920" s="16">
        <f>IFERROR(__xludf.DUMMYFUNCTION("""COMPUTED_VALUE"""),1.0)</f>
        <v>1</v>
      </c>
      <c r="D4920" s="8">
        <f>IFERROR(__xludf.DUMMYFUNCTION("""COMPUTED_VALUE"""),0.294)</f>
        <v>0.294</v>
      </c>
      <c r="E4920" s="8" t="str">
        <f>IFERROR(__xludf.DUMMYFUNCTION("""COMPUTED_VALUE"""),"Estimada")</f>
        <v>Estimada</v>
      </c>
      <c r="G4920" s="8">
        <f t="shared" si="1"/>
        <v>5</v>
      </c>
      <c r="H4920" s="14">
        <f t="shared" si="2"/>
        <v>24</v>
      </c>
      <c r="I4920" s="15">
        <f t="shared" si="3"/>
        <v>0</v>
      </c>
    </row>
    <row r="4921">
      <c r="A4921" s="8" t="str">
        <f>IFERROR(__xludf.DUMMYFUNCTION("IF('(INGESTA)Datos_consumo_datadis'!A4921&lt;&gt;"""",SPLIT('(INGESTA)Datos_consumo_datadis'!A:A,"",""),"""")"),"ES0031408323131005HX0F")</f>
        <v>ES0031408323131005HX0F</v>
      </c>
      <c r="B4921" s="12">
        <f>IFERROR(__xludf.DUMMYFUNCTION("""COMPUTED_VALUE"""),45071.0)</f>
        <v>45071</v>
      </c>
      <c r="C4921" s="13">
        <f>IFERROR(__xludf.DUMMYFUNCTION("""COMPUTED_VALUE"""),0.041666666666666664)</f>
        <v>0.04166666667</v>
      </c>
      <c r="D4921" s="8">
        <f>IFERROR(__xludf.DUMMYFUNCTION("""COMPUTED_VALUE"""),0.185)</f>
        <v>0.185</v>
      </c>
      <c r="E4921" s="8" t="str">
        <f>IFERROR(__xludf.DUMMYFUNCTION("""COMPUTED_VALUE"""),"Estimada")</f>
        <v>Estimada</v>
      </c>
      <c r="G4921" s="8">
        <f t="shared" si="1"/>
        <v>5</v>
      </c>
      <c r="H4921" s="14">
        <f t="shared" si="2"/>
        <v>25</v>
      </c>
      <c r="I4921" s="15">
        <f t="shared" si="3"/>
        <v>1</v>
      </c>
    </row>
    <row r="4922">
      <c r="A4922" s="8" t="str">
        <f>IFERROR(__xludf.DUMMYFUNCTION("IF('(INGESTA)Datos_consumo_datadis'!A4922&lt;&gt;"""",SPLIT('(INGESTA)Datos_consumo_datadis'!A:A,"",""),"""")"),"ES0031408323131005HX0F")</f>
        <v>ES0031408323131005HX0F</v>
      </c>
      <c r="B4922" s="12">
        <f>IFERROR(__xludf.DUMMYFUNCTION("""COMPUTED_VALUE"""),45071.0)</f>
        <v>45071</v>
      </c>
      <c r="C4922" s="13">
        <f>IFERROR(__xludf.DUMMYFUNCTION("""COMPUTED_VALUE"""),0.08333333333333333)</f>
        <v>0.08333333333</v>
      </c>
      <c r="D4922" s="8">
        <f>IFERROR(__xludf.DUMMYFUNCTION("""COMPUTED_VALUE"""),0.153)</f>
        <v>0.153</v>
      </c>
      <c r="E4922" s="8" t="str">
        <f>IFERROR(__xludf.DUMMYFUNCTION("""COMPUTED_VALUE"""),"Estimada")</f>
        <v>Estimada</v>
      </c>
      <c r="G4922" s="8">
        <f t="shared" si="1"/>
        <v>5</v>
      </c>
      <c r="H4922" s="14">
        <f t="shared" si="2"/>
        <v>25</v>
      </c>
      <c r="I4922" s="15">
        <f t="shared" si="3"/>
        <v>2</v>
      </c>
    </row>
    <row r="4923">
      <c r="A4923" s="8" t="str">
        <f>IFERROR(__xludf.DUMMYFUNCTION("IF('(INGESTA)Datos_consumo_datadis'!A4923&lt;&gt;"""",SPLIT('(INGESTA)Datos_consumo_datadis'!A:A,"",""),"""")"),"ES0031408323131005HX0F")</f>
        <v>ES0031408323131005HX0F</v>
      </c>
      <c r="B4923" s="12">
        <f>IFERROR(__xludf.DUMMYFUNCTION("""COMPUTED_VALUE"""),45071.0)</f>
        <v>45071</v>
      </c>
      <c r="C4923" s="13">
        <f>IFERROR(__xludf.DUMMYFUNCTION("""COMPUTED_VALUE"""),0.125)</f>
        <v>0.125</v>
      </c>
      <c r="D4923" s="8">
        <f>IFERROR(__xludf.DUMMYFUNCTION("""COMPUTED_VALUE"""),0.137)</f>
        <v>0.137</v>
      </c>
      <c r="E4923" s="8" t="str">
        <f>IFERROR(__xludf.DUMMYFUNCTION("""COMPUTED_VALUE"""),"Estimada")</f>
        <v>Estimada</v>
      </c>
      <c r="G4923" s="8">
        <f t="shared" si="1"/>
        <v>5</v>
      </c>
      <c r="H4923" s="14">
        <f t="shared" si="2"/>
        <v>25</v>
      </c>
      <c r="I4923" s="15">
        <f t="shared" si="3"/>
        <v>3</v>
      </c>
    </row>
    <row r="4924">
      <c r="A4924" s="8" t="str">
        <f>IFERROR(__xludf.DUMMYFUNCTION("IF('(INGESTA)Datos_consumo_datadis'!A4924&lt;&gt;"""",SPLIT('(INGESTA)Datos_consumo_datadis'!A:A,"",""),"""")"),"ES0031408323131005HX0F")</f>
        <v>ES0031408323131005HX0F</v>
      </c>
      <c r="B4924" s="12">
        <f>IFERROR(__xludf.DUMMYFUNCTION("""COMPUTED_VALUE"""),45071.0)</f>
        <v>45071</v>
      </c>
      <c r="C4924" s="13">
        <f>IFERROR(__xludf.DUMMYFUNCTION("""COMPUTED_VALUE"""),0.16666666666666666)</f>
        <v>0.1666666667</v>
      </c>
      <c r="D4924" s="8">
        <f>IFERROR(__xludf.DUMMYFUNCTION("""COMPUTED_VALUE"""),0.129)</f>
        <v>0.129</v>
      </c>
      <c r="E4924" s="8" t="str">
        <f>IFERROR(__xludf.DUMMYFUNCTION("""COMPUTED_VALUE"""),"Estimada")</f>
        <v>Estimada</v>
      </c>
      <c r="G4924" s="8">
        <f t="shared" si="1"/>
        <v>5</v>
      </c>
      <c r="H4924" s="14">
        <f t="shared" si="2"/>
        <v>25</v>
      </c>
      <c r="I4924" s="15">
        <f t="shared" si="3"/>
        <v>4</v>
      </c>
    </row>
    <row r="4925">
      <c r="A4925" s="8" t="str">
        <f>IFERROR(__xludf.DUMMYFUNCTION("IF('(INGESTA)Datos_consumo_datadis'!A4925&lt;&gt;"""",SPLIT('(INGESTA)Datos_consumo_datadis'!A:A,"",""),"""")"),"ES0031408323131005HX0F")</f>
        <v>ES0031408323131005HX0F</v>
      </c>
      <c r="B4925" s="12">
        <f>IFERROR(__xludf.DUMMYFUNCTION("""COMPUTED_VALUE"""),45071.0)</f>
        <v>45071</v>
      </c>
      <c r="C4925" s="13">
        <f>IFERROR(__xludf.DUMMYFUNCTION("""COMPUTED_VALUE"""),0.20833333333333334)</f>
        <v>0.2083333333</v>
      </c>
      <c r="D4925" s="8">
        <f>IFERROR(__xludf.DUMMYFUNCTION("""COMPUTED_VALUE"""),0.127)</f>
        <v>0.127</v>
      </c>
      <c r="E4925" s="8" t="str">
        <f>IFERROR(__xludf.DUMMYFUNCTION("""COMPUTED_VALUE"""),"Estimada")</f>
        <v>Estimada</v>
      </c>
      <c r="G4925" s="8">
        <f t="shared" si="1"/>
        <v>5</v>
      </c>
      <c r="H4925" s="14">
        <f t="shared" si="2"/>
        <v>25</v>
      </c>
      <c r="I4925" s="15">
        <f t="shared" si="3"/>
        <v>5</v>
      </c>
    </row>
    <row r="4926">
      <c r="A4926" s="8" t="str">
        <f>IFERROR(__xludf.DUMMYFUNCTION("IF('(INGESTA)Datos_consumo_datadis'!A4926&lt;&gt;"""",SPLIT('(INGESTA)Datos_consumo_datadis'!A:A,"",""),"""")"),"ES0031408323131005HX0F")</f>
        <v>ES0031408323131005HX0F</v>
      </c>
      <c r="B4926" s="12">
        <f>IFERROR(__xludf.DUMMYFUNCTION("""COMPUTED_VALUE"""),45071.0)</f>
        <v>45071</v>
      </c>
      <c r="C4926" s="13">
        <f>IFERROR(__xludf.DUMMYFUNCTION("""COMPUTED_VALUE"""),0.25)</f>
        <v>0.25</v>
      </c>
      <c r="D4926" s="8">
        <f>IFERROR(__xludf.DUMMYFUNCTION("""COMPUTED_VALUE"""),0.129)</f>
        <v>0.129</v>
      </c>
      <c r="E4926" s="8" t="str">
        <f>IFERROR(__xludf.DUMMYFUNCTION("""COMPUTED_VALUE"""),"Estimada")</f>
        <v>Estimada</v>
      </c>
      <c r="G4926" s="8">
        <f t="shared" si="1"/>
        <v>5</v>
      </c>
      <c r="H4926" s="14">
        <f t="shared" si="2"/>
        <v>25</v>
      </c>
      <c r="I4926" s="15">
        <f t="shared" si="3"/>
        <v>6</v>
      </c>
    </row>
    <row r="4927">
      <c r="A4927" s="8" t="str">
        <f>IFERROR(__xludf.DUMMYFUNCTION("IF('(INGESTA)Datos_consumo_datadis'!A4927&lt;&gt;"""",SPLIT('(INGESTA)Datos_consumo_datadis'!A:A,"",""),"""")"),"ES0031408323131005HX0F")</f>
        <v>ES0031408323131005HX0F</v>
      </c>
      <c r="B4927" s="12">
        <f>IFERROR(__xludf.DUMMYFUNCTION("""COMPUTED_VALUE"""),45071.0)</f>
        <v>45071</v>
      </c>
      <c r="C4927" s="13">
        <f>IFERROR(__xludf.DUMMYFUNCTION("""COMPUTED_VALUE"""),0.2916666666666667)</f>
        <v>0.2916666667</v>
      </c>
      <c r="D4927" s="8">
        <f>IFERROR(__xludf.DUMMYFUNCTION("""COMPUTED_VALUE"""),0.141)</f>
        <v>0.141</v>
      </c>
      <c r="E4927" s="8" t="str">
        <f>IFERROR(__xludf.DUMMYFUNCTION("""COMPUTED_VALUE"""),"Estimada")</f>
        <v>Estimada</v>
      </c>
      <c r="G4927" s="8">
        <f t="shared" si="1"/>
        <v>5</v>
      </c>
      <c r="H4927" s="14">
        <f t="shared" si="2"/>
        <v>25</v>
      </c>
      <c r="I4927" s="15">
        <f t="shared" si="3"/>
        <v>7</v>
      </c>
    </row>
    <row r="4928">
      <c r="A4928" s="8" t="str">
        <f>IFERROR(__xludf.DUMMYFUNCTION("IF('(INGESTA)Datos_consumo_datadis'!A4928&lt;&gt;"""",SPLIT('(INGESTA)Datos_consumo_datadis'!A:A,"",""),"""")"),"ES0031408323131005HX0F")</f>
        <v>ES0031408323131005HX0F</v>
      </c>
      <c r="B4928" s="12">
        <f>IFERROR(__xludf.DUMMYFUNCTION("""COMPUTED_VALUE"""),45071.0)</f>
        <v>45071</v>
      </c>
      <c r="C4928" s="13">
        <f>IFERROR(__xludf.DUMMYFUNCTION("""COMPUTED_VALUE"""),0.3333333333333333)</f>
        <v>0.3333333333</v>
      </c>
      <c r="D4928" s="8">
        <f>IFERROR(__xludf.DUMMYFUNCTION("""COMPUTED_VALUE"""),0.456)</f>
        <v>0.456</v>
      </c>
      <c r="E4928" s="8" t="str">
        <f>IFERROR(__xludf.DUMMYFUNCTION("""COMPUTED_VALUE"""),"Real")</f>
        <v>Real</v>
      </c>
      <c r="G4928" s="8">
        <f t="shared" si="1"/>
        <v>5</v>
      </c>
      <c r="H4928" s="14">
        <f t="shared" si="2"/>
        <v>25</v>
      </c>
      <c r="I4928" s="15">
        <f t="shared" si="3"/>
        <v>8</v>
      </c>
    </row>
    <row r="4929">
      <c r="A4929" s="8" t="str">
        <f>IFERROR(__xludf.DUMMYFUNCTION("IF('(INGESTA)Datos_consumo_datadis'!A4929&lt;&gt;"""",SPLIT('(INGESTA)Datos_consumo_datadis'!A:A,"",""),"""")"),"ES0031408323131005HX0F")</f>
        <v>ES0031408323131005HX0F</v>
      </c>
      <c r="B4929" s="12">
        <f>IFERROR(__xludf.DUMMYFUNCTION("""COMPUTED_VALUE"""),45071.0)</f>
        <v>45071</v>
      </c>
      <c r="C4929" s="13">
        <f>IFERROR(__xludf.DUMMYFUNCTION("""COMPUTED_VALUE"""),0.375)</f>
        <v>0.375</v>
      </c>
      <c r="D4929" s="8">
        <f>IFERROR(__xludf.DUMMYFUNCTION("""COMPUTED_VALUE"""),0.218)</f>
        <v>0.218</v>
      </c>
      <c r="E4929" s="8" t="str">
        <f>IFERROR(__xludf.DUMMYFUNCTION("""COMPUTED_VALUE"""),"Real")</f>
        <v>Real</v>
      </c>
      <c r="G4929" s="8">
        <f t="shared" si="1"/>
        <v>5</v>
      </c>
      <c r="H4929" s="14">
        <f t="shared" si="2"/>
        <v>25</v>
      </c>
      <c r="I4929" s="15">
        <f t="shared" si="3"/>
        <v>9</v>
      </c>
    </row>
    <row r="4930">
      <c r="A4930" s="8" t="str">
        <f>IFERROR(__xludf.DUMMYFUNCTION("IF('(INGESTA)Datos_consumo_datadis'!A4930&lt;&gt;"""",SPLIT('(INGESTA)Datos_consumo_datadis'!A:A,"",""),"""")"),"ES0031408323131005HX0F")</f>
        <v>ES0031408323131005HX0F</v>
      </c>
      <c r="B4930" s="12">
        <f>IFERROR(__xludf.DUMMYFUNCTION("""COMPUTED_VALUE"""),45071.0)</f>
        <v>45071</v>
      </c>
      <c r="C4930" s="13">
        <f>IFERROR(__xludf.DUMMYFUNCTION("""COMPUTED_VALUE"""),0.4166666666666667)</f>
        <v>0.4166666667</v>
      </c>
      <c r="D4930" s="8">
        <f>IFERROR(__xludf.DUMMYFUNCTION("""COMPUTED_VALUE"""),0.091)</f>
        <v>0.091</v>
      </c>
      <c r="E4930" s="8" t="str">
        <f>IFERROR(__xludf.DUMMYFUNCTION("""COMPUTED_VALUE"""),"Real")</f>
        <v>Real</v>
      </c>
      <c r="G4930" s="8">
        <f t="shared" si="1"/>
        <v>5</v>
      </c>
      <c r="H4930" s="14">
        <f t="shared" si="2"/>
        <v>25</v>
      </c>
      <c r="I4930" s="15">
        <f t="shared" si="3"/>
        <v>10</v>
      </c>
    </row>
    <row r="4931">
      <c r="A4931" s="8" t="str">
        <f>IFERROR(__xludf.DUMMYFUNCTION("IF('(INGESTA)Datos_consumo_datadis'!A4931&lt;&gt;"""",SPLIT('(INGESTA)Datos_consumo_datadis'!A:A,"",""),"""")"),"ES0031408323131005HX0F")</f>
        <v>ES0031408323131005HX0F</v>
      </c>
      <c r="B4931" s="12">
        <f>IFERROR(__xludf.DUMMYFUNCTION("""COMPUTED_VALUE"""),45071.0)</f>
        <v>45071</v>
      </c>
      <c r="C4931" s="13">
        <f>IFERROR(__xludf.DUMMYFUNCTION("""COMPUTED_VALUE"""),0.4583333333333333)</f>
        <v>0.4583333333</v>
      </c>
      <c r="D4931" s="8">
        <f>IFERROR(__xludf.DUMMYFUNCTION("""COMPUTED_VALUE"""),0.111)</f>
        <v>0.111</v>
      </c>
      <c r="E4931" s="8" t="str">
        <f>IFERROR(__xludf.DUMMYFUNCTION("""COMPUTED_VALUE"""),"Real")</f>
        <v>Real</v>
      </c>
      <c r="G4931" s="8">
        <f t="shared" si="1"/>
        <v>5</v>
      </c>
      <c r="H4931" s="14">
        <f t="shared" si="2"/>
        <v>25</v>
      </c>
      <c r="I4931" s="15">
        <f t="shared" si="3"/>
        <v>11</v>
      </c>
    </row>
    <row r="4932">
      <c r="A4932" s="8" t="str">
        <f>IFERROR(__xludf.DUMMYFUNCTION("IF('(INGESTA)Datos_consumo_datadis'!A4932&lt;&gt;"""",SPLIT('(INGESTA)Datos_consumo_datadis'!A:A,"",""),"""")"),"ES0031408323131005HX0F")</f>
        <v>ES0031408323131005HX0F</v>
      </c>
      <c r="B4932" s="12">
        <f>IFERROR(__xludf.DUMMYFUNCTION("""COMPUTED_VALUE"""),45071.0)</f>
        <v>45071</v>
      </c>
      <c r="C4932" s="13">
        <f>IFERROR(__xludf.DUMMYFUNCTION("""COMPUTED_VALUE"""),0.5)</f>
        <v>0.5</v>
      </c>
      <c r="D4932" s="8">
        <f>IFERROR(__xludf.DUMMYFUNCTION("""COMPUTED_VALUE"""),0.117)</f>
        <v>0.117</v>
      </c>
      <c r="E4932" s="8" t="str">
        <f>IFERROR(__xludf.DUMMYFUNCTION("""COMPUTED_VALUE"""),"Real")</f>
        <v>Real</v>
      </c>
      <c r="G4932" s="8">
        <f t="shared" si="1"/>
        <v>5</v>
      </c>
      <c r="H4932" s="14">
        <f t="shared" si="2"/>
        <v>25</v>
      </c>
      <c r="I4932" s="15">
        <f t="shared" si="3"/>
        <v>12</v>
      </c>
    </row>
    <row r="4933">
      <c r="A4933" s="8" t="str">
        <f>IFERROR(__xludf.DUMMYFUNCTION("IF('(INGESTA)Datos_consumo_datadis'!A4933&lt;&gt;"""",SPLIT('(INGESTA)Datos_consumo_datadis'!A:A,"",""),"""")"),"ES0031408323131005HX0F")</f>
        <v>ES0031408323131005HX0F</v>
      </c>
      <c r="B4933" s="12">
        <f>IFERROR(__xludf.DUMMYFUNCTION("""COMPUTED_VALUE"""),45071.0)</f>
        <v>45071</v>
      </c>
      <c r="C4933" s="13">
        <f>IFERROR(__xludf.DUMMYFUNCTION("""COMPUTED_VALUE"""),0.5416666666666666)</f>
        <v>0.5416666667</v>
      </c>
      <c r="D4933" s="8">
        <f>IFERROR(__xludf.DUMMYFUNCTION("""COMPUTED_VALUE"""),0.108)</f>
        <v>0.108</v>
      </c>
      <c r="E4933" s="8" t="str">
        <f>IFERROR(__xludf.DUMMYFUNCTION("""COMPUTED_VALUE"""),"Real")</f>
        <v>Real</v>
      </c>
      <c r="G4933" s="8">
        <f t="shared" si="1"/>
        <v>5</v>
      </c>
      <c r="H4933" s="14">
        <f t="shared" si="2"/>
        <v>25</v>
      </c>
      <c r="I4933" s="15">
        <f t="shared" si="3"/>
        <v>13</v>
      </c>
    </row>
    <row r="4934">
      <c r="A4934" s="8" t="str">
        <f>IFERROR(__xludf.DUMMYFUNCTION("IF('(INGESTA)Datos_consumo_datadis'!A4934&lt;&gt;"""",SPLIT('(INGESTA)Datos_consumo_datadis'!A:A,"",""),"""")"),"ES0031408323131005HX0F")</f>
        <v>ES0031408323131005HX0F</v>
      </c>
      <c r="B4934" s="12">
        <f>IFERROR(__xludf.DUMMYFUNCTION("""COMPUTED_VALUE"""),45071.0)</f>
        <v>45071</v>
      </c>
      <c r="C4934" s="13">
        <f>IFERROR(__xludf.DUMMYFUNCTION("""COMPUTED_VALUE"""),0.5833333333333334)</f>
        <v>0.5833333333</v>
      </c>
      <c r="D4934" s="8">
        <f>IFERROR(__xludf.DUMMYFUNCTION("""COMPUTED_VALUE"""),0.933)</f>
        <v>0.933</v>
      </c>
      <c r="E4934" s="8" t="str">
        <f>IFERROR(__xludf.DUMMYFUNCTION("""COMPUTED_VALUE"""),"Real")</f>
        <v>Real</v>
      </c>
      <c r="G4934" s="8">
        <f t="shared" si="1"/>
        <v>5</v>
      </c>
      <c r="H4934" s="14">
        <f t="shared" si="2"/>
        <v>25</v>
      </c>
      <c r="I4934" s="15">
        <f t="shared" si="3"/>
        <v>14</v>
      </c>
    </row>
    <row r="4935">
      <c r="A4935" s="8" t="str">
        <f>IFERROR(__xludf.DUMMYFUNCTION("IF('(INGESTA)Datos_consumo_datadis'!A4935&lt;&gt;"""",SPLIT('(INGESTA)Datos_consumo_datadis'!A:A,"",""),"""")"),"ES0031408323131005HX0F")</f>
        <v>ES0031408323131005HX0F</v>
      </c>
      <c r="B4935" s="12">
        <f>IFERROR(__xludf.DUMMYFUNCTION("""COMPUTED_VALUE"""),45071.0)</f>
        <v>45071</v>
      </c>
      <c r="C4935" s="13">
        <f>IFERROR(__xludf.DUMMYFUNCTION("""COMPUTED_VALUE"""),0.625)</f>
        <v>0.625</v>
      </c>
      <c r="D4935" s="8">
        <f>IFERROR(__xludf.DUMMYFUNCTION("""COMPUTED_VALUE"""),1.424)</f>
        <v>1.424</v>
      </c>
      <c r="E4935" s="8" t="str">
        <f>IFERROR(__xludf.DUMMYFUNCTION("""COMPUTED_VALUE"""),"Real")</f>
        <v>Real</v>
      </c>
      <c r="G4935" s="8">
        <f t="shared" si="1"/>
        <v>5</v>
      </c>
      <c r="H4935" s="14">
        <f t="shared" si="2"/>
        <v>25</v>
      </c>
      <c r="I4935" s="15">
        <f t="shared" si="3"/>
        <v>15</v>
      </c>
    </row>
    <row r="4936">
      <c r="A4936" s="8" t="str">
        <f>IFERROR(__xludf.DUMMYFUNCTION("IF('(INGESTA)Datos_consumo_datadis'!A4936&lt;&gt;"""",SPLIT('(INGESTA)Datos_consumo_datadis'!A:A,"",""),"""")"),"ES0031408323131005HX0F")</f>
        <v>ES0031408323131005HX0F</v>
      </c>
      <c r="B4936" s="12">
        <f>IFERROR(__xludf.DUMMYFUNCTION("""COMPUTED_VALUE"""),45071.0)</f>
        <v>45071</v>
      </c>
      <c r="C4936" s="13">
        <f>IFERROR(__xludf.DUMMYFUNCTION("""COMPUTED_VALUE"""),0.6666666666666666)</f>
        <v>0.6666666667</v>
      </c>
      <c r="D4936" s="8">
        <f>IFERROR(__xludf.DUMMYFUNCTION("""COMPUTED_VALUE"""),0.109)</f>
        <v>0.109</v>
      </c>
      <c r="E4936" s="8" t="str">
        <f>IFERROR(__xludf.DUMMYFUNCTION("""COMPUTED_VALUE"""),"Real")</f>
        <v>Real</v>
      </c>
      <c r="G4936" s="8">
        <f t="shared" si="1"/>
        <v>5</v>
      </c>
      <c r="H4936" s="14">
        <f t="shared" si="2"/>
        <v>25</v>
      </c>
      <c r="I4936" s="15">
        <f t="shared" si="3"/>
        <v>16</v>
      </c>
    </row>
    <row r="4937">
      <c r="A4937" s="8" t="str">
        <f>IFERROR(__xludf.DUMMYFUNCTION("IF('(INGESTA)Datos_consumo_datadis'!A4937&lt;&gt;"""",SPLIT('(INGESTA)Datos_consumo_datadis'!A:A,"",""),"""")"),"ES0031408323131005HX0F")</f>
        <v>ES0031408323131005HX0F</v>
      </c>
      <c r="B4937" s="12">
        <f>IFERROR(__xludf.DUMMYFUNCTION("""COMPUTED_VALUE"""),45071.0)</f>
        <v>45071</v>
      </c>
      <c r="C4937" s="13">
        <f>IFERROR(__xludf.DUMMYFUNCTION("""COMPUTED_VALUE"""),0.7083333333333334)</f>
        <v>0.7083333333</v>
      </c>
      <c r="D4937" s="8">
        <f>IFERROR(__xludf.DUMMYFUNCTION("""COMPUTED_VALUE"""),0.297)</f>
        <v>0.297</v>
      </c>
      <c r="E4937" s="8" t="str">
        <f>IFERROR(__xludf.DUMMYFUNCTION("""COMPUTED_VALUE"""),"Real")</f>
        <v>Real</v>
      </c>
      <c r="G4937" s="8">
        <f t="shared" si="1"/>
        <v>5</v>
      </c>
      <c r="H4937" s="14">
        <f t="shared" si="2"/>
        <v>25</v>
      </c>
      <c r="I4937" s="15">
        <f t="shared" si="3"/>
        <v>17</v>
      </c>
    </row>
    <row r="4938">
      <c r="A4938" s="8" t="str">
        <f>IFERROR(__xludf.DUMMYFUNCTION("IF('(INGESTA)Datos_consumo_datadis'!A4938&lt;&gt;"""",SPLIT('(INGESTA)Datos_consumo_datadis'!A:A,"",""),"""")"),"ES0031408323131005HX0F")</f>
        <v>ES0031408323131005HX0F</v>
      </c>
      <c r="B4938" s="12">
        <f>IFERROR(__xludf.DUMMYFUNCTION("""COMPUTED_VALUE"""),45071.0)</f>
        <v>45071</v>
      </c>
      <c r="C4938" s="13">
        <f>IFERROR(__xludf.DUMMYFUNCTION("""COMPUTED_VALUE"""),0.75)</f>
        <v>0.75</v>
      </c>
      <c r="D4938" s="8">
        <f>IFERROR(__xludf.DUMMYFUNCTION("""COMPUTED_VALUE"""),0.08)</f>
        <v>0.08</v>
      </c>
      <c r="E4938" s="8" t="str">
        <f>IFERROR(__xludf.DUMMYFUNCTION("""COMPUTED_VALUE"""),"Real")</f>
        <v>Real</v>
      </c>
      <c r="G4938" s="8">
        <f t="shared" si="1"/>
        <v>5</v>
      </c>
      <c r="H4938" s="14">
        <f t="shared" si="2"/>
        <v>25</v>
      </c>
      <c r="I4938" s="15">
        <f t="shared" si="3"/>
        <v>18</v>
      </c>
    </row>
    <row r="4939">
      <c r="A4939" s="8" t="str">
        <f>IFERROR(__xludf.DUMMYFUNCTION("IF('(INGESTA)Datos_consumo_datadis'!A4939&lt;&gt;"""",SPLIT('(INGESTA)Datos_consumo_datadis'!A:A,"",""),"""")"),"ES0031408323131005HX0F")</f>
        <v>ES0031408323131005HX0F</v>
      </c>
      <c r="B4939" s="12">
        <f>IFERROR(__xludf.DUMMYFUNCTION("""COMPUTED_VALUE"""),45071.0)</f>
        <v>45071</v>
      </c>
      <c r="C4939" s="13">
        <f>IFERROR(__xludf.DUMMYFUNCTION("""COMPUTED_VALUE"""),0.7916666666666666)</f>
        <v>0.7916666667</v>
      </c>
      <c r="D4939" s="8">
        <f>IFERROR(__xludf.DUMMYFUNCTION("""COMPUTED_VALUE"""),0.06)</f>
        <v>0.06</v>
      </c>
      <c r="E4939" s="8" t="str">
        <f>IFERROR(__xludf.DUMMYFUNCTION("""COMPUTED_VALUE"""),"Real")</f>
        <v>Real</v>
      </c>
      <c r="G4939" s="8">
        <f t="shared" si="1"/>
        <v>5</v>
      </c>
      <c r="H4939" s="14">
        <f t="shared" si="2"/>
        <v>25</v>
      </c>
      <c r="I4939" s="15">
        <f t="shared" si="3"/>
        <v>19</v>
      </c>
    </row>
    <row r="4940">
      <c r="A4940" s="8" t="str">
        <f>IFERROR(__xludf.DUMMYFUNCTION("IF('(INGESTA)Datos_consumo_datadis'!A4940&lt;&gt;"""",SPLIT('(INGESTA)Datos_consumo_datadis'!A:A,"",""),"""")"),"ES0031408323131005HX0F")</f>
        <v>ES0031408323131005HX0F</v>
      </c>
      <c r="B4940" s="12">
        <f>IFERROR(__xludf.DUMMYFUNCTION("""COMPUTED_VALUE"""),45071.0)</f>
        <v>45071</v>
      </c>
      <c r="C4940" s="13">
        <f>IFERROR(__xludf.DUMMYFUNCTION("""COMPUTED_VALUE"""),0.8333333333333334)</f>
        <v>0.8333333333</v>
      </c>
      <c r="D4940" s="8">
        <f>IFERROR(__xludf.DUMMYFUNCTION("""COMPUTED_VALUE"""),0.078)</f>
        <v>0.078</v>
      </c>
      <c r="E4940" s="8" t="str">
        <f>IFERROR(__xludf.DUMMYFUNCTION("""COMPUTED_VALUE"""),"Real")</f>
        <v>Real</v>
      </c>
      <c r="G4940" s="8">
        <f t="shared" si="1"/>
        <v>5</v>
      </c>
      <c r="H4940" s="14">
        <f t="shared" si="2"/>
        <v>25</v>
      </c>
      <c r="I4940" s="15">
        <f t="shared" si="3"/>
        <v>20</v>
      </c>
    </row>
    <row r="4941">
      <c r="A4941" s="8" t="str">
        <f>IFERROR(__xludf.DUMMYFUNCTION("IF('(INGESTA)Datos_consumo_datadis'!A4941&lt;&gt;"""",SPLIT('(INGESTA)Datos_consumo_datadis'!A:A,"",""),"""")"),"ES0031408323131005HX0F")</f>
        <v>ES0031408323131005HX0F</v>
      </c>
      <c r="B4941" s="12">
        <f>IFERROR(__xludf.DUMMYFUNCTION("""COMPUTED_VALUE"""),45071.0)</f>
        <v>45071</v>
      </c>
      <c r="C4941" s="13">
        <f>IFERROR(__xludf.DUMMYFUNCTION("""COMPUTED_VALUE"""),0.875)</f>
        <v>0.875</v>
      </c>
      <c r="D4941" s="8">
        <f>IFERROR(__xludf.DUMMYFUNCTION("""COMPUTED_VALUE"""),0.018)</f>
        <v>0.018</v>
      </c>
      <c r="E4941" s="8" t="str">
        <f>IFERROR(__xludf.DUMMYFUNCTION("""COMPUTED_VALUE"""),"Real")</f>
        <v>Real</v>
      </c>
      <c r="G4941" s="8">
        <f t="shared" si="1"/>
        <v>5</v>
      </c>
      <c r="H4941" s="14">
        <f t="shared" si="2"/>
        <v>25</v>
      </c>
      <c r="I4941" s="15">
        <f t="shared" si="3"/>
        <v>21</v>
      </c>
    </row>
    <row r="4942">
      <c r="A4942" s="8" t="str">
        <f>IFERROR(__xludf.DUMMYFUNCTION("IF('(INGESTA)Datos_consumo_datadis'!A4942&lt;&gt;"""",SPLIT('(INGESTA)Datos_consumo_datadis'!A:A,"",""),"""")"),"ES0031408323131005HX0F")</f>
        <v>ES0031408323131005HX0F</v>
      </c>
      <c r="B4942" s="12">
        <f>IFERROR(__xludf.DUMMYFUNCTION("""COMPUTED_VALUE"""),45071.0)</f>
        <v>45071</v>
      </c>
      <c r="C4942" s="13">
        <f>IFERROR(__xludf.DUMMYFUNCTION("""COMPUTED_VALUE"""),0.9166666666666666)</f>
        <v>0.9166666667</v>
      </c>
      <c r="D4942" s="8">
        <f>IFERROR(__xludf.DUMMYFUNCTION("""COMPUTED_VALUE"""),0.088)</f>
        <v>0.088</v>
      </c>
      <c r="E4942" s="8" t="str">
        <f>IFERROR(__xludf.DUMMYFUNCTION("""COMPUTED_VALUE"""),"Real")</f>
        <v>Real</v>
      </c>
      <c r="G4942" s="8">
        <f t="shared" si="1"/>
        <v>5</v>
      </c>
      <c r="H4942" s="14">
        <f t="shared" si="2"/>
        <v>25</v>
      </c>
      <c r="I4942" s="15">
        <f t="shared" si="3"/>
        <v>22</v>
      </c>
    </row>
    <row r="4943">
      <c r="A4943" s="8" t="str">
        <f>IFERROR(__xludf.DUMMYFUNCTION("IF('(INGESTA)Datos_consumo_datadis'!A4943&lt;&gt;"""",SPLIT('(INGESTA)Datos_consumo_datadis'!A:A,"",""),"""")"),"ES0031408323131005HX0F")</f>
        <v>ES0031408323131005HX0F</v>
      </c>
      <c r="B4943" s="12">
        <f>IFERROR(__xludf.DUMMYFUNCTION("""COMPUTED_VALUE"""),45071.0)</f>
        <v>45071</v>
      </c>
      <c r="C4943" s="13">
        <f>IFERROR(__xludf.DUMMYFUNCTION("""COMPUTED_VALUE"""),0.9583333333333334)</f>
        <v>0.9583333333</v>
      </c>
      <c r="D4943" s="8">
        <f>IFERROR(__xludf.DUMMYFUNCTION("""COMPUTED_VALUE"""),0.36)</f>
        <v>0.36</v>
      </c>
      <c r="E4943" s="8" t="str">
        <f>IFERROR(__xludf.DUMMYFUNCTION("""COMPUTED_VALUE"""),"Real")</f>
        <v>Real</v>
      </c>
      <c r="G4943" s="8">
        <f t="shared" si="1"/>
        <v>5</v>
      </c>
      <c r="H4943" s="14">
        <f t="shared" si="2"/>
        <v>25</v>
      </c>
      <c r="I4943" s="15">
        <f t="shared" si="3"/>
        <v>23</v>
      </c>
    </row>
    <row r="4944">
      <c r="A4944" s="8" t="str">
        <f>IFERROR(__xludf.DUMMYFUNCTION("IF('(INGESTA)Datos_consumo_datadis'!A4944&lt;&gt;"""",SPLIT('(INGESTA)Datos_consumo_datadis'!A:A,"",""),"""")"),"ES0031408323131005HX0F")</f>
        <v>ES0031408323131005HX0F</v>
      </c>
      <c r="B4944" s="12">
        <f>IFERROR(__xludf.DUMMYFUNCTION("""COMPUTED_VALUE"""),45071.0)</f>
        <v>45071</v>
      </c>
      <c r="C4944" s="16">
        <f>IFERROR(__xludf.DUMMYFUNCTION("""COMPUTED_VALUE"""),1.0)</f>
        <v>1</v>
      </c>
      <c r="D4944" s="8">
        <f>IFERROR(__xludf.DUMMYFUNCTION("""COMPUTED_VALUE"""),0.687)</f>
        <v>0.687</v>
      </c>
      <c r="E4944" s="8" t="str">
        <f>IFERROR(__xludf.DUMMYFUNCTION("""COMPUTED_VALUE"""),"Real")</f>
        <v>Real</v>
      </c>
      <c r="G4944" s="8">
        <f t="shared" si="1"/>
        <v>5</v>
      </c>
      <c r="H4944" s="14">
        <f t="shared" si="2"/>
        <v>25</v>
      </c>
      <c r="I4944" s="15">
        <f t="shared" si="3"/>
        <v>0</v>
      </c>
    </row>
    <row r="4945">
      <c r="A4945" s="8" t="str">
        <f>IFERROR(__xludf.DUMMYFUNCTION("IF('(INGESTA)Datos_consumo_datadis'!A4945&lt;&gt;"""",SPLIT('(INGESTA)Datos_consumo_datadis'!A:A,"",""),"""")"),"ES0031408323131005HX0F")</f>
        <v>ES0031408323131005HX0F</v>
      </c>
      <c r="B4945" s="12">
        <f>IFERROR(__xludf.DUMMYFUNCTION("""COMPUTED_VALUE"""),45072.0)</f>
        <v>45072</v>
      </c>
      <c r="C4945" s="13">
        <f>IFERROR(__xludf.DUMMYFUNCTION("""COMPUTED_VALUE"""),0.041666666666666664)</f>
        <v>0.04166666667</v>
      </c>
      <c r="D4945" s="8">
        <f>IFERROR(__xludf.DUMMYFUNCTION("""COMPUTED_VALUE"""),0.123)</f>
        <v>0.123</v>
      </c>
      <c r="E4945" s="8" t="str">
        <f>IFERROR(__xludf.DUMMYFUNCTION("""COMPUTED_VALUE"""),"Real")</f>
        <v>Real</v>
      </c>
      <c r="G4945" s="8">
        <f t="shared" si="1"/>
        <v>5</v>
      </c>
      <c r="H4945" s="14">
        <f t="shared" si="2"/>
        <v>26</v>
      </c>
      <c r="I4945" s="15">
        <f t="shared" si="3"/>
        <v>1</v>
      </c>
    </row>
    <row r="4946">
      <c r="A4946" s="8" t="str">
        <f>IFERROR(__xludf.DUMMYFUNCTION("IF('(INGESTA)Datos_consumo_datadis'!A4946&lt;&gt;"""",SPLIT('(INGESTA)Datos_consumo_datadis'!A:A,"",""),"""")"),"ES0031408323131005HX0F")</f>
        <v>ES0031408323131005HX0F</v>
      </c>
      <c r="B4946" s="12">
        <f>IFERROR(__xludf.DUMMYFUNCTION("""COMPUTED_VALUE"""),45072.0)</f>
        <v>45072</v>
      </c>
      <c r="C4946" s="13">
        <f>IFERROR(__xludf.DUMMYFUNCTION("""COMPUTED_VALUE"""),0.08333333333333333)</f>
        <v>0.08333333333</v>
      </c>
      <c r="D4946" s="8">
        <f>IFERROR(__xludf.DUMMYFUNCTION("""COMPUTED_VALUE"""),0.117)</f>
        <v>0.117</v>
      </c>
      <c r="E4946" s="8" t="str">
        <f>IFERROR(__xludf.DUMMYFUNCTION("""COMPUTED_VALUE"""),"Real")</f>
        <v>Real</v>
      </c>
      <c r="G4946" s="8">
        <f t="shared" si="1"/>
        <v>5</v>
      </c>
      <c r="H4946" s="14">
        <f t="shared" si="2"/>
        <v>26</v>
      </c>
      <c r="I4946" s="15">
        <f t="shared" si="3"/>
        <v>2</v>
      </c>
    </row>
    <row r="4947">
      <c r="A4947" s="8" t="str">
        <f>IFERROR(__xludf.DUMMYFUNCTION("IF('(INGESTA)Datos_consumo_datadis'!A4947&lt;&gt;"""",SPLIT('(INGESTA)Datos_consumo_datadis'!A:A,"",""),"""")"),"ES0031408323131005HX0F")</f>
        <v>ES0031408323131005HX0F</v>
      </c>
      <c r="B4947" s="12">
        <f>IFERROR(__xludf.DUMMYFUNCTION("""COMPUTED_VALUE"""),45072.0)</f>
        <v>45072</v>
      </c>
      <c r="C4947" s="13">
        <f>IFERROR(__xludf.DUMMYFUNCTION("""COMPUTED_VALUE"""),0.125)</f>
        <v>0.125</v>
      </c>
      <c r="D4947" s="8">
        <f>IFERROR(__xludf.DUMMYFUNCTION("""COMPUTED_VALUE"""),0.091)</f>
        <v>0.091</v>
      </c>
      <c r="E4947" s="8" t="str">
        <f>IFERROR(__xludf.DUMMYFUNCTION("""COMPUTED_VALUE"""),"Real")</f>
        <v>Real</v>
      </c>
      <c r="G4947" s="8">
        <f t="shared" si="1"/>
        <v>5</v>
      </c>
      <c r="H4947" s="14">
        <f t="shared" si="2"/>
        <v>26</v>
      </c>
      <c r="I4947" s="15">
        <f t="shared" si="3"/>
        <v>3</v>
      </c>
    </row>
    <row r="4948">
      <c r="A4948" s="8" t="str">
        <f>IFERROR(__xludf.DUMMYFUNCTION("IF('(INGESTA)Datos_consumo_datadis'!A4948&lt;&gt;"""",SPLIT('(INGESTA)Datos_consumo_datadis'!A:A,"",""),"""")"),"ES0031408323131005HX0F")</f>
        <v>ES0031408323131005HX0F</v>
      </c>
      <c r="B4948" s="12">
        <f>IFERROR(__xludf.DUMMYFUNCTION("""COMPUTED_VALUE"""),45072.0)</f>
        <v>45072</v>
      </c>
      <c r="C4948" s="13">
        <f>IFERROR(__xludf.DUMMYFUNCTION("""COMPUTED_VALUE"""),0.16666666666666666)</f>
        <v>0.1666666667</v>
      </c>
      <c r="D4948" s="8">
        <f>IFERROR(__xludf.DUMMYFUNCTION("""COMPUTED_VALUE"""),0.027)</f>
        <v>0.027</v>
      </c>
      <c r="E4948" s="8" t="str">
        <f>IFERROR(__xludf.DUMMYFUNCTION("""COMPUTED_VALUE"""),"Real")</f>
        <v>Real</v>
      </c>
      <c r="G4948" s="8">
        <f t="shared" si="1"/>
        <v>5</v>
      </c>
      <c r="H4948" s="14">
        <f t="shared" si="2"/>
        <v>26</v>
      </c>
      <c r="I4948" s="15">
        <f t="shared" si="3"/>
        <v>4</v>
      </c>
    </row>
    <row r="4949">
      <c r="A4949" s="8" t="str">
        <f>IFERROR(__xludf.DUMMYFUNCTION("IF('(INGESTA)Datos_consumo_datadis'!A4949&lt;&gt;"""",SPLIT('(INGESTA)Datos_consumo_datadis'!A:A,"",""),"""")"),"ES0031408323131005HX0F")</f>
        <v>ES0031408323131005HX0F</v>
      </c>
      <c r="B4949" s="12">
        <f>IFERROR(__xludf.DUMMYFUNCTION("""COMPUTED_VALUE"""),45072.0)</f>
        <v>45072</v>
      </c>
      <c r="C4949" s="13">
        <f>IFERROR(__xludf.DUMMYFUNCTION("""COMPUTED_VALUE"""),0.20833333333333334)</f>
        <v>0.2083333333</v>
      </c>
      <c r="D4949" s="8">
        <f>IFERROR(__xludf.DUMMYFUNCTION("""COMPUTED_VALUE"""),0.346)</f>
        <v>0.346</v>
      </c>
      <c r="E4949" s="8" t="str">
        <f>IFERROR(__xludf.DUMMYFUNCTION("""COMPUTED_VALUE"""),"Real")</f>
        <v>Real</v>
      </c>
      <c r="G4949" s="8">
        <f t="shared" si="1"/>
        <v>5</v>
      </c>
      <c r="H4949" s="14">
        <f t="shared" si="2"/>
        <v>26</v>
      </c>
      <c r="I4949" s="15">
        <f t="shared" si="3"/>
        <v>5</v>
      </c>
    </row>
    <row r="4950">
      <c r="A4950" s="8" t="str">
        <f>IFERROR(__xludf.DUMMYFUNCTION("IF('(INGESTA)Datos_consumo_datadis'!A4950&lt;&gt;"""",SPLIT('(INGESTA)Datos_consumo_datadis'!A:A,"",""),"""")"),"ES0031408323131005HX0F")</f>
        <v>ES0031408323131005HX0F</v>
      </c>
      <c r="B4950" s="12">
        <f>IFERROR(__xludf.DUMMYFUNCTION("""COMPUTED_VALUE"""),45072.0)</f>
        <v>45072</v>
      </c>
      <c r="C4950" s="13">
        <f>IFERROR(__xludf.DUMMYFUNCTION("""COMPUTED_VALUE"""),0.25)</f>
        <v>0.25</v>
      </c>
      <c r="D4950" s="8">
        <f>IFERROR(__xludf.DUMMYFUNCTION("""COMPUTED_VALUE"""),0.076)</f>
        <v>0.076</v>
      </c>
      <c r="E4950" s="8" t="str">
        <f>IFERROR(__xludf.DUMMYFUNCTION("""COMPUTED_VALUE"""),"Real")</f>
        <v>Real</v>
      </c>
      <c r="G4950" s="8">
        <f t="shared" si="1"/>
        <v>5</v>
      </c>
      <c r="H4950" s="14">
        <f t="shared" si="2"/>
        <v>26</v>
      </c>
      <c r="I4950" s="15">
        <f t="shared" si="3"/>
        <v>6</v>
      </c>
    </row>
    <row r="4951">
      <c r="A4951" s="8" t="str">
        <f>IFERROR(__xludf.DUMMYFUNCTION("IF('(INGESTA)Datos_consumo_datadis'!A4951&lt;&gt;"""",SPLIT('(INGESTA)Datos_consumo_datadis'!A:A,"",""),"""")"),"ES0031408323131005HX0F")</f>
        <v>ES0031408323131005HX0F</v>
      </c>
      <c r="B4951" s="12">
        <f>IFERROR(__xludf.DUMMYFUNCTION("""COMPUTED_VALUE"""),45072.0)</f>
        <v>45072</v>
      </c>
      <c r="C4951" s="13">
        <f>IFERROR(__xludf.DUMMYFUNCTION("""COMPUTED_VALUE"""),0.2916666666666667)</f>
        <v>0.2916666667</v>
      </c>
      <c r="D4951" s="8">
        <f>IFERROR(__xludf.DUMMYFUNCTION("""COMPUTED_VALUE"""),0.039)</f>
        <v>0.039</v>
      </c>
      <c r="E4951" s="8" t="str">
        <f>IFERROR(__xludf.DUMMYFUNCTION("""COMPUTED_VALUE"""),"Real")</f>
        <v>Real</v>
      </c>
      <c r="G4951" s="8">
        <f t="shared" si="1"/>
        <v>5</v>
      </c>
      <c r="H4951" s="14">
        <f t="shared" si="2"/>
        <v>26</v>
      </c>
      <c r="I4951" s="15">
        <f t="shared" si="3"/>
        <v>7</v>
      </c>
    </row>
    <row r="4952">
      <c r="A4952" s="8" t="str">
        <f>IFERROR(__xludf.DUMMYFUNCTION("IF('(INGESTA)Datos_consumo_datadis'!A4952&lt;&gt;"""",SPLIT('(INGESTA)Datos_consumo_datadis'!A:A,"",""),"""")"),"ES0031408323131005HX0F")</f>
        <v>ES0031408323131005HX0F</v>
      </c>
      <c r="B4952" s="12">
        <f>IFERROR(__xludf.DUMMYFUNCTION("""COMPUTED_VALUE"""),45072.0)</f>
        <v>45072</v>
      </c>
      <c r="C4952" s="13">
        <f>IFERROR(__xludf.DUMMYFUNCTION("""COMPUTED_VALUE"""),0.3333333333333333)</f>
        <v>0.3333333333</v>
      </c>
      <c r="D4952" s="8">
        <f>IFERROR(__xludf.DUMMYFUNCTION("""COMPUTED_VALUE"""),0.138)</f>
        <v>0.138</v>
      </c>
      <c r="E4952" s="8" t="str">
        <f>IFERROR(__xludf.DUMMYFUNCTION("""COMPUTED_VALUE"""),"Real")</f>
        <v>Real</v>
      </c>
      <c r="G4952" s="8">
        <f t="shared" si="1"/>
        <v>5</v>
      </c>
      <c r="H4952" s="14">
        <f t="shared" si="2"/>
        <v>26</v>
      </c>
      <c r="I4952" s="15">
        <f t="shared" si="3"/>
        <v>8</v>
      </c>
    </row>
    <row r="4953">
      <c r="A4953" s="8" t="str">
        <f>IFERROR(__xludf.DUMMYFUNCTION("IF('(INGESTA)Datos_consumo_datadis'!A4953&lt;&gt;"""",SPLIT('(INGESTA)Datos_consumo_datadis'!A:A,"",""),"""")"),"ES0031408323131005HX0F")</f>
        <v>ES0031408323131005HX0F</v>
      </c>
      <c r="B4953" s="12">
        <f>IFERROR(__xludf.DUMMYFUNCTION("""COMPUTED_VALUE"""),45072.0)</f>
        <v>45072</v>
      </c>
      <c r="C4953" s="13">
        <f>IFERROR(__xludf.DUMMYFUNCTION("""COMPUTED_VALUE"""),0.375)</f>
        <v>0.375</v>
      </c>
      <c r="D4953" s="8">
        <f>IFERROR(__xludf.DUMMYFUNCTION("""COMPUTED_VALUE"""),0.358)</f>
        <v>0.358</v>
      </c>
      <c r="E4953" s="8" t="str">
        <f>IFERROR(__xludf.DUMMYFUNCTION("""COMPUTED_VALUE"""),"Real")</f>
        <v>Real</v>
      </c>
      <c r="G4953" s="8">
        <f t="shared" si="1"/>
        <v>5</v>
      </c>
      <c r="H4953" s="14">
        <f t="shared" si="2"/>
        <v>26</v>
      </c>
      <c r="I4953" s="15">
        <f t="shared" si="3"/>
        <v>9</v>
      </c>
    </row>
    <row r="4954">
      <c r="A4954" s="8" t="str">
        <f>IFERROR(__xludf.DUMMYFUNCTION("IF('(INGESTA)Datos_consumo_datadis'!A4954&lt;&gt;"""",SPLIT('(INGESTA)Datos_consumo_datadis'!A:A,"",""),"""")"),"ES0031408323131005HX0F")</f>
        <v>ES0031408323131005HX0F</v>
      </c>
      <c r="B4954" s="12">
        <f>IFERROR(__xludf.DUMMYFUNCTION("""COMPUTED_VALUE"""),45072.0)</f>
        <v>45072</v>
      </c>
      <c r="C4954" s="13">
        <f>IFERROR(__xludf.DUMMYFUNCTION("""COMPUTED_VALUE"""),0.4166666666666667)</f>
        <v>0.4166666667</v>
      </c>
      <c r="D4954" s="8">
        <f>IFERROR(__xludf.DUMMYFUNCTION("""COMPUTED_VALUE"""),0.581)</f>
        <v>0.581</v>
      </c>
      <c r="E4954" s="8" t="str">
        <f>IFERROR(__xludf.DUMMYFUNCTION("""COMPUTED_VALUE"""),"Real")</f>
        <v>Real</v>
      </c>
      <c r="G4954" s="8">
        <f t="shared" si="1"/>
        <v>5</v>
      </c>
      <c r="H4954" s="14">
        <f t="shared" si="2"/>
        <v>26</v>
      </c>
      <c r="I4954" s="15">
        <f t="shared" si="3"/>
        <v>10</v>
      </c>
    </row>
    <row r="4955">
      <c r="A4955" s="8" t="str">
        <f>IFERROR(__xludf.DUMMYFUNCTION("IF('(INGESTA)Datos_consumo_datadis'!A4955&lt;&gt;"""",SPLIT('(INGESTA)Datos_consumo_datadis'!A:A,"",""),"""")"),"ES0031408323131005HX0F")</f>
        <v>ES0031408323131005HX0F</v>
      </c>
      <c r="B4955" s="12">
        <f>IFERROR(__xludf.DUMMYFUNCTION("""COMPUTED_VALUE"""),45072.0)</f>
        <v>45072</v>
      </c>
      <c r="C4955" s="13">
        <f>IFERROR(__xludf.DUMMYFUNCTION("""COMPUTED_VALUE"""),0.4583333333333333)</f>
        <v>0.4583333333</v>
      </c>
      <c r="D4955" s="8">
        <f>IFERROR(__xludf.DUMMYFUNCTION("""COMPUTED_VALUE"""),0.128)</f>
        <v>0.128</v>
      </c>
      <c r="E4955" s="8" t="str">
        <f>IFERROR(__xludf.DUMMYFUNCTION("""COMPUTED_VALUE"""),"Real")</f>
        <v>Real</v>
      </c>
      <c r="G4955" s="8">
        <f t="shared" si="1"/>
        <v>5</v>
      </c>
      <c r="H4955" s="14">
        <f t="shared" si="2"/>
        <v>26</v>
      </c>
      <c r="I4955" s="15">
        <f t="shared" si="3"/>
        <v>11</v>
      </c>
    </row>
    <row r="4956">
      <c r="A4956" s="8" t="str">
        <f>IFERROR(__xludf.DUMMYFUNCTION("IF('(INGESTA)Datos_consumo_datadis'!A4956&lt;&gt;"""",SPLIT('(INGESTA)Datos_consumo_datadis'!A:A,"",""),"""")"),"ES0031408323131005HX0F")</f>
        <v>ES0031408323131005HX0F</v>
      </c>
      <c r="B4956" s="12">
        <f>IFERROR(__xludf.DUMMYFUNCTION("""COMPUTED_VALUE"""),45072.0)</f>
        <v>45072</v>
      </c>
      <c r="C4956" s="13">
        <f>IFERROR(__xludf.DUMMYFUNCTION("""COMPUTED_VALUE"""),0.5)</f>
        <v>0.5</v>
      </c>
      <c r="D4956" s="8">
        <f>IFERROR(__xludf.DUMMYFUNCTION("""COMPUTED_VALUE"""),0.412)</f>
        <v>0.412</v>
      </c>
      <c r="E4956" s="8" t="str">
        <f>IFERROR(__xludf.DUMMYFUNCTION("""COMPUTED_VALUE"""),"Real")</f>
        <v>Real</v>
      </c>
      <c r="G4956" s="8">
        <f t="shared" si="1"/>
        <v>5</v>
      </c>
      <c r="H4956" s="14">
        <f t="shared" si="2"/>
        <v>26</v>
      </c>
      <c r="I4956" s="15">
        <f t="shared" si="3"/>
        <v>12</v>
      </c>
    </row>
    <row r="4957">
      <c r="A4957" s="8" t="str">
        <f>IFERROR(__xludf.DUMMYFUNCTION("IF('(INGESTA)Datos_consumo_datadis'!A4957&lt;&gt;"""",SPLIT('(INGESTA)Datos_consumo_datadis'!A:A,"",""),"""")"),"ES0031408323131005HX0F")</f>
        <v>ES0031408323131005HX0F</v>
      </c>
      <c r="B4957" s="12">
        <f>IFERROR(__xludf.DUMMYFUNCTION("""COMPUTED_VALUE"""),45072.0)</f>
        <v>45072</v>
      </c>
      <c r="C4957" s="13">
        <f>IFERROR(__xludf.DUMMYFUNCTION("""COMPUTED_VALUE"""),0.5416666666666666)</f>
        <v>0.5416666667</v>
      </c>
      <c r="D4957" s="8">
        <f>IFERROR(__xludf.DUMMYFUNCTION("""COMPUTED_VALUE"""),2.006)</f>
        <v>2.006</v>
      </c>
      <c r="E4957" s="8" t="str">
        <f>IFERROR(__xludf.DUMMYFUNCTION("""COMPUTED_VALUE"""),"Real")</f>
        <v>Real</v>
      </c>
      <c r="G4957" s="8">
        <f t="shared" si="1"/>
        <v>5</v>
      </c>
      <c r="H4957" s="14">
        <f t="shared" si="2"/>
        <v>26</v>
      </c>
      <c r="I4957" s="15">
        <f t="shared" si="3"/>
        <v>13</v>
      </c>
    </row>
    <row r="4958">
      <c r="A4958" s="8" t="str">
        <f>IFERROR(__xludf.DUMMYFUNCTION("IF('(INGESTA)Datos_consumo_datadis'!A4958&lt;&gt;"""",SPLIT('(INGESTA)Datos_consumo_datadis'!A:A,"",""),"""")"),"ES0031408323131005HX0F")</f>
        <v>ES0031408323131005HX0F</v>
      </c>
      <c r="B4958" s="12">
        <f>IFERROR(__xludf.DUMMYFUNCTION("""COMPUTED_VALUE"""),45072.0)</f>
        <v>45072</v>
      </c>
      <c r="C4958" s="13">
        <f>IFERROR(__xludf.DUMMYFUNCTION("""COMPUTED_VALUE"""),0.5833333333333334)</f>
        <v>0.5833333333</v>
      </c>
      <c r="D4958" s="8">
        <f>IFERROR(__xludf.DUMMYFUNCTION("""COMPUTED_VALUE"""),0.073)</f>
        <v>0.073</v>
      </c>
      <c r="E4958" s="8" t="str">
        <f>IFERROR(__xludf.DUMMYFUNCTION("""COMPUTED_VALUE"""),"Real")</f>
        <v>Real</v>
      </c>
      <c r="G4958" s="8">
        <f t="shared" si="1"/>
        <v>5</v>
      </c>
      <c r="H4958" s="14">
        <f t="shared" si="2"/>
        <v>26</v>
      </c>
      <c r="I4958" s="15">
        <f t="shared" si="3"/>
        <v>14</v>
      </c>
    </row>
    <row r="4959">
      <c r="A4959" s="8" t="str">
        <f>IFERROR(__xludf.DUMMYFUNCTION("IF('(INGESTA)Datos_consumo_datadis'!A4959&lt;&gt;"""",SPLIT('(INGESTA)Datos_consumo_datadis'!A:A,"",""),"""")"),"ES0031408323131005HX0F")</f>
        <v>ES0031408323131005HX0F</v>
      </c>
      <c r="B4959" s="12">
        <f>IFERROR(__xludf.DUMMYFUNCTION("""COMPUTED_VALUE"""),45072.0)</f>
        <v>45072</v>
      </c>
      <c r="C4959" s="13">
        <f>IFERROR(__xludf.DUMMYFUNCTION("""COMPUTED_VALUE"""),0.625)</f>
        <v>0.625</v>
      </c>
      <c r="D4959" s="8">
        <f>IFERROR(__xludf.DUMMYFUNCTION("""COMPUTED_VALUE"""),0.073)</f>
        <v>0.073</v>
      </c>
      <c r="E4959" s="8" t="str">
        <f>IFERROR(__xludf.DUMMYFUNCTION("""COMPUTED_VALUE"""),"Real")</f>
        <v>Real</v>
      </c>
      <c r="G4959" s="8">
        <f t="shared" si="1"/>
        <v>5</v>
      </c>
      <c r="H4959" s="14">
        <f t="shared" si="2"/>
        <v>26</v>
      </c>
      <c r="I4959" s="15">
        <f t="shared" si="3"/>
        <v>15</v>
      </c>
    </row>
    <row r="4960">
      <c r="A4960" s="8" t="str">
        <f>IFERROR(__xludf.DUMMYFUNCTION("IF('(INGESTA)Datos_consumo_datadis'!A4960&lt;&gt;"""",SPLIT('(INGESTA)Datos_consumo_datadis'!A:A,"",""),"""")"),"ES0031408323131005HX0F")</f>
        <v>ES0031408323131005HX0F</v>
      </c>
      <c r="B4960" s="12">
        <f>IFERROR(__xludf.DUMMYFUNCTION("""COMPUTED_VALUE"""),45072.0)</f>
        <v>45072</v>
      </c>
      <c r="C4960" s="13">
        <f>IFERROR(__xludf.DUMMYFUNCTION("""COMPUTED_VALUE"""),0.6666666666666666)</f>
        <v>0.6666666667</v>
      </c>
      <c r="D4960" s="8">
        <f>IFERROR(__xludf.DUMMYFUNCTION("""COMPUTED_VALUE"""),0.065)</f>
        <v>0.065</v>
      </c>
      <c r="E4960" s="8" t="str">
        <f>IFERROR(__xludf.DUMMYFUNCTION("""COMPUTED_VALUE"""),"Real")</f>
        <v>Real</v>
      </c>
      <c r="G4960" s="8">
        <f t="shared" si="1"/>
        <v>5</v>
      </c>
      <c r="H4960" s="14">
        <f t="shared" si="2"/>
        <v>26</v>
      </c>
      <c r="I4960" s="15">
        <f t="shared" si="3"/>
        <v>16</v>
      </c>
    </row>
    <row r="4961">
      <c r="A4961" s="8" t="str">
        <f>IFERROR(__xludf.DUMMYFUNCTION("IF('(INGESTA)Datos_consumo_datadis'!A4961&lt;&gt;"""",SPLIT('(INGESTA)Datos_consumo_datadis'!A:A,"",""),"""")"),"ES0031408323131005HX0F")</f>
        <v>ES0031408323131005HX0F</v>
      </c>
      <c r="B4961" s="12">
        <f>IFERROR(__xludf.DUMMYFUNCTION("""COMPUTED_VALUE"""),45072.0)</f>
        <v>45072</v>
      </c>
      <c r="C4961" s="13">
        <f>IFERROR(__xludf.DUMMYFUNCTION("""COMPUTED_VALUE"""),0.7083333333333334)</f>
        <v>0.7083333333</v>
      </c>
      <c r="D4961" s="8">
        <f>IFERROR(__xludf.DUMMYFUNCTION("""COMPUTED_VALUE"""),0.044)</f>
        <v>0.044</v>
      </c>
      <c r="E4961" s="8" t="str">
        <f>IFERROR(__xludf.DUMMYFUNCTION("""COMPUTED_VALUE"""),"Real")</f>
        <v>Real</v>
      </c>
      <c r="G4961" s="8">
        <f t="shared" si="1"/>
        <v>5</v>
      </c>
      <c r="H4961" s="14">
        <f t="shared" si="2"/>
        <v>26</v>
      </c>
      <c r="I4961" s="15">
        <f t="shared" si="3"/>
        <v>17</v>
      </c>
    </row>
    <row r="4962">
      <c r="A4962" s="8" t="str">
        <f>IFERROR(__xludf.DUMMYFUNCTION("IF('(INGESTA)Datos_consumo_datadis'!A4962&lt;&gt;"""",SPLIT('(INGESTA)Datos_consumo_datadis'!A:A,"",""),"""")"),"ES0031408323131005HX0F")</f>
        <v>ES0031408323131005HX0F</v>
      </c>
      <c r="B4962" s="12">
        <f>IFERROR(__xludf.DUMMYFUNCTION("""COMPUTED_VALUE"""),45072.0)</f>
        <v>45072</v>
      </c>
      <c r="C4962" s="13">
        <f>IFERROR(__xludf.DUMMYFUNCTION("""COMPUTED_VALUE"""),0.75)</f>
        <v>0.75</v>
      </c>
      <c r="D4962" s="8">
        <f>IFERROR(__xludf.DUMMYFUNCTION("""COMPUTED_VALUE"""),0.048)</f>
        <v>0.048</v>
      </c>
      <c r="E4962" s="8" t="str">
        <f>IFERROR(__xludf.DUMMYFUNCTION("""COMPUTED_VALUE"""),"Real")</f>
        <v>Real</v>
      </c>
      <c r="G4962" s="8">
        <f t="shared" si="1"/>
        <v>5</v>
      </c>
      <c r="H4962" s="14">
        <f t="shared" si="2"/>
        <v>26</v>
      </c>
      <c r="I4962" s="15">
        <f t="shared" si="3"/>
        <v>18</v>
      </c>
    </row>
    <row r="4963">
      <c r="A4963" s="8" t="str">
        <f>IFERROR(__xludf.DUMMYFUNCTION("IF('(INGESTA)Datos_consumo_datadis'!A4963&lt;&gt;"""",SPLIT('(INGESTA)Datos_consumo_datadis'!A:A,"",""),"""")"),"ES0031408323131005HX0F")</f>
        <v>ES0031408323131005HX0F</v>
      </c>
      <c r="B4963" s="12">
        <f>IFERROR(__xludf.DUMMYFUNCTION("""COMPUTED_VALUE"""),45072.0)</f>
        <v>45072</v>
      </c>
      <c r="C4963" s="13">
        <f>IFERROR(__xludf.DUMMYFUNCTION("""COMPUTED_VALUE"""),0.7916666666666666)</f>
        <v>0.7916666667</v>
      </c>
      <c r="D4963" s="8">
        <f>IFERROR(__xludf.DUMMYFUNCTION("""COMPUTED_VALUE"""),0.37)</f>
        <v>0.37</v>
      </c>
      <c r="E4963" s="8" t="str">
        <f>IFERROR(__xludf.DUMMYFUNCTION("""COMPUTED_VALUE"""),"Real")</f>
        <v>Real</v>
      </c>
      <c r="G4963" s="8">
        <f t="shared" si="1"/>
        <v>5</v>
      </c>
      <c r="H4963" s="14">
        <f t="shared" si="2"/>
        <v>26</v>
      </c>
      <c r="I4963" s="15">
        <f t="shared" si="3"/>
        <v>19</v>
      </c>
    </row>
    <row r="4964">
      <c r="A4964" s="8" t="str">
        <f>IFERROR(__xludf.DUMMYFUNCTION("IF('(INGESTA)Datos_consumo_datadis'!A4964&lt;&gt;"""",SPLIT('(INGESTA)Datos_consumo_datadis'!A:A,"",""),"""")"),"ES0031408323131005HX0F")</f>
        <v>ES0031408323131005HX0F</v>
      </c>
      <c r="B4964" s="12">
        <f>IFERROR(__xludf.DUMMYFUNCTION("""COMPUTED_VALUE"""),45072.0)</f>
        <v>45072</v>
      </c>
      <c r="C4964" s="13">
        <f>IFERROR(__xludf.DUMMYFUNCTION("""COMPUTED_VALUE"""),0.8333333333333334)</f>
        <v>0.8333333333</v>
      </c>
      <c r="D4964" s="8">
        <f>IFERROR(__xludf.DUMMYFUNCTION("""COMPUTED_VALUE"""),0.05)</f>
        <v>0.05</v>
      </c>
      <c r="E4964" s="8" t="str">
        <f>IFERROR(__xludf.DUMMYFUNCTION("""COMPUTED_VALUE"""),"Real")</f>
        <v>Real</v>
      </c>
      <c r="G4964" s="8">
        <f t="shared" si="1"/>
        <v>5</v>
      </c>
      <c r="H4964" s="14">
        <f t="shared" si="2"/>
        <v>26</v>
      </c>
      <c r="I4964" s="15">
        <f t="shared" si="3"/>
        <v>20</v>
      </c>
    </row>
    <row r="4965">
      <c r="A4965" s="8" t="str">
        <f>IFERROR(__xludf.DUMMYFUNCTION("IF('(INGESTA)Datos_consumo_datadis'!A4965&lt;&gt;"""",SPLIT('(INGESTA)Datos_consumo_datadis'!A:A,"",""),"""")"),"ES0031408323131005HX0F")</f>
        <v>ES0031408323131005HX0F</v>
      </c>
      <c r="B4965" s="12">
        <f>IFERROR(__xludf.DUMMYFUNCTION("""COMPUTED_VALUE"""),45072.0)</f>
        <v>45072</v>
      </c>
      <c r="C4965" s="13">
        <f>IFERROR(__xludf.DUMMYFUNCTION("""COMPUTED_VALUE"""),0.875)</f>
        <v>0.875</v>
      </c>
      <c r="D4965" s="8">
        <f>IFERROR(__xludf.DUMMYFUNCTION("""COMPUTED_VALUE"""),0.036)</f>
        <v>0.036</v>
      </c>
      <c r="E4965" s="8" t="str">
        <f>IFERROR(__xludf.DUMMYFUNCTION("""COMPUTED_VALUE"""),"Real")</f>
        <v>Real</v>
      </c>
      <c r="G4965" s="8">
        <f t="shared" si="1"/>
        <v>5</v>
      </c>
      <c r="H4965" s="14">
        <f t="shared" si="2"/>
        <v>26</v>
      </c>
      <c r="I4965" s="15">
        <f t="shared" si="3"/>
        <v>21</v>
      </c>
    </row>
    <row r="4966">
      <c r="A4966" s="8" t="str">
        <f>IFERROR(__xludf.DUMMYFUNCTION("IF('(INGESTA)Datos_consumo_datadis'!A4966&lt;&gt;"""",SPLIT('(INGESTA)Datos_consumo_datadis'!A:A,"",""),"""")"),"ES0031408323131005HX0F")</f>
        <v>ES0031408323131005HX0F</v>
      </c>
      <c r="B4966" s="12">
        <f>IFERROR(__xludf.DUMMYFUNCTION("""COMPUTED_VALUE"""),45072.0)</f>
        <v>45072</v>
      </c>
      <c r="C4966" s="13">
        <f>IFERROR(__xludf.DUMMYFUNCTION("""COMPUTED_VALUE"""),0.9166666666666666)</f>
        <v>0.9166666667</v>
      </c>
      <c r="D4966" s="8">
        <f>IFERROR(__xludf.DUMMYFUNCTION("""COMPUTED_VALUE"""),0.094)</f>
        <v>0.094</v>
      </c>
      <c r="E4966" s="8" t="str">
        <f>IFERROR(__xludf.DUMMYFUNCTION("""COMPUTED_VALUE"""),"Real")</f>
        <v>Real</v>
      </c>
      <c r="G4966" s="8">
        <f t="shared" si="1"/>
        <v>5</v>
      </c>
      <c r="H4966" s="14">
        <f t="shared" si="2"/>
        <v>26</v>
      </c>
      <c r="I4966" s="15">
        <f t="shared" si="3"/>
        <v>22</v>
      </c>
    </row>
    <row r="4967">
      <c r="A4967" s="8" t="str">
        <f>IFERROR(__xludf.DUMMYFUNCTION("IF('(INGESTA)Datos_consumo_datadis'!A4967&lt;&gt;"""",SPLIT('(INGESTA)Datos_consumo_datadis'!A:A,"",""),"""")"),"ES0031408323131005HX0F")</f>
        <v>ES0031408323131005HX0F</v>
      </c>
      <c r="B4967" s="12">
        <f>IFERROR(__xludf.DUMMYFUNCTION("""COMPUTED_VALUE"""),45072.0)</f>
        <v>45072</v>
      </c>
      <c r="C4967" s="13">
        <f>IFERROR(__xludf.DUMMYFUNCTION("""COMPUTED_VALUE"""),0.9583333333333334)</f>
        <v>0.9583333333</v>
      </c>
      <c r="D4967" s="8">
        <f>IFERROR(__xludf.DUMMYFUNCTION("""COMPUTED_VALUE"""),0.089)</f>
        <v>0.089</v>
      </c>
      <c r="E4967" s="8" t="str">
        <f>IFERROR(__xludf.DUMMYFUNCTION("""COMPUTED_VALUE"""),"Real")</f>
        <v>Real</v>
      </c>
      <c r="G4967" s="8">
        <f t="shared" si="1"/>
        <v>5</v>
      </c>
      <c r="H4967" s="14">
        <f t="shared" si="2"/>
        <v>26</v>
      </c>
      <c r="I4967" s="15">
        <f t="shared" si="3"/>
        <v>23</v>
      </c>
    </row>
    <row r="4968">
      <c r="A4968" s="8" t="str">
        <f>IFERROR(__xludf.DUMMYFUNCTION("IF('(INGESTA)Datos_consumo_datadis'!A4968&lt;&gt;"""",SPLIT('(INGESTA)Datos_consumo_datadis'!A:A,"",""),"""")"),"ES0031408323131005HX0F")</f>
        <v>ES0031408323131005HX0F</v>
      </c>
      <c r="B4968" s="12">
        <f>IFERROR(__xludf.DUMMYFUNCTION("""COMPUTED_VALUE"""),45072.0)</f>
        <v>45072</v>
      </c>
      <c r="C4968" s="16">
        <f>IFERROR(__xludf.DUMMYFUNCTION("""COMPUTED_VALUE"""),1.0)</f>
        <v>1</v>
      </c>
      <c r="D4968" s="8">
        <f>IFERROR(__xludf.DUMMYFUNCTION("""COMPUTED_VALUE"""),0.49)</f>
        <v>0.49</v>
      </c>
      <c r="E4968" s="8" t="str">
        <f>IFERROR(__xludf.DUMMYFUNCTION("""COMPUTED_VALUE"""),"Real")</f>
        <v>Real</v>
      </c>
      <c r="G4968" s="8">
        <f t="shared" si="1"/>
        <v>5</v>
      </c>
      <c r="H4968" s="14">
        <f t="shared" si="2"/>
        <v>26</v>
      </c>
      <c r="I4968" s="15">
        <f t="shared" si="3"/>
        <v>0</v>
      </c>
    </row>
    <row r="4969">
      <c r="A4969" s="8" t="str">
        <f>IFERROR(__xludf.DUMMYFUNCTION("IF('(INGESTA)Datos_consumo_datadis'!A4969&lt;&gt;"""",SPLIT('(INGESTA)Datos_consumo_datadis'!A:A,"",""),"""")"),"ES0031408323131005HX0F")</f>
        <v>ES0031408323131005HX0F</v>
      </c>
      <c r="B4969" s="12">
        <f>IFERROR(__xludf.DUMMYFUNCTION("""COMPUTED_VALUE"""),45073.0)</f>
        <v>45073</v>
      </c>
      <c r="C4969" s="13">
        <f>IFERROR(__xludf.DUMMYFUNCTION("""COMPUTED_VALUE"""),0.041666666666666664)</f>
        <v>0.04166666667</v>
      </c>
      <c r="D4969" s="8">
        <f>IFERROR(__xludf.DUMMYFUNCTION("""COMPUTED_VALUE"""),0.39)</f>
        <v>0.39</v>
      </c>
      <c r="E4969" s="8" t="str">
        <f>IFERROR(__xludf.DUMMYFUNCTION("""COMPUTED_VALUE"""),"Real")</f>
        <v>Real</v>
      </c>
      <c r="G4969" s="8">
        <f t="shared" si="1"/>
        <v>5</v>
      </c>
      <c r="H4969" s="14">
        <f t="shared" si="2"/>
        <v>27</v>
      </c>
      <c r="I4969" s="15">
        <f t="shared" si="3"/>
        <v>1</v>
      </c>
    </row>
    <row r="4970">
      <c r="A4970" s="8" t="str">
        <f>IFERROR(__xludf.DUMMYFUNCTION("IF('(INGESTA)Datos_consumo_datadis'!A4970&lt;&gt;"""",SPLIT('(INGESTA)Datos_consumo_datadis'!A:A,"",""),"""")"),"ES0031408323131005HX0F")</f>
        <v>ES0031408323131005HX0F</v>
      </c>
      <c r="B4970" s="12">
        <f>IFERROR(__xludf.DUMMYFUNCTION("""COMPUTED_VALUE"""),45073.0)</f>
        <v>45073</v>
      </c>
      <c r="C4970" s="13">
        <f>IFERROR(__xludf.DUMMYFUNCTION("""COMPUTED_VALUE"""),0.08333333333333333)</f>
        <v>0.08333333333</v>
      </c>
      <c r="D4970" s="8">
        <f>IFERROR(__xludf.DUMMYFUNCTION("""COMPUTED_VALUE"""),1.58)</f>
        <v>1.58</v>
      </c>
      <c r="E4970" s="8" t="str">
        <f>IFERROR(__xludf.DUMMYFUNCTION("""COMPUTED_VALUE"""),"Real")</f>
        <v>Real</v>
      </c>
      <c r="G4970" s="8">
        <f t="shared" si="1"/>
        <v>5</v>
      </c>
      <c r="H4970" s="14">
        <f t="shared" si="2"/>
        <v>27</v>
      </c>
      <c r="I4970" s="15">
        <f t="shared" si="3"/>
        <v>2</v>
      </c>
    </row>
    <row r="4971">
      <c r="A4971" s="8" t="str">
        <f>IFERROR(__xludf.DUMMYFUNCTION("IF('(INGESTA)Datos_consumo_datadis'!A4971&lt;&gt;"""",SPLIT('(INGESTA)Datos_consumo_datadis'!A:A,"",""),"""")"),"ES0031408323131005HX0F")</f>
        <v>ES0031408323131005HX0F</v>
      </c>
      <c r="B4971" s="12">
        <f>IFERROR(__xludf.DUMMYFUNCTION("""COMPUTED_VALUE"""),45073.0)</f>
        <v>45073</v>
      </c>
      <c r="C4971" s="13">
        <f>IFERROR(__xludf.DUMMYFUNCTION("""COMPUTED_VALUE"""),0.125)</f>
        <v>0.125</v>
      </c>
      <c r="D4971" s="8">
        <f>IFERROR(__xludf.DUMMYFUNCTION("""COMPUTED_VALUE"""),0.083)</f>
        <v>0.083</v>
      </c>
      <c r="E4971" s="8" t="str">
        <f>IFERROR(__xludf.DUMMYFUNCTION("""COMPUTED_VALUE"""),"Real")</f>
        <v>Real</v>
      </c>
      <c r="G4971" s="8">
        <f t="shared" si="1"/>
        <v>5</v>
      </c>
      <c r="H4971" s="14">
        <f t="shared" si="2"/>
        <v>27</v>
      </c>
      <c r="I4971" s="15">
        <f t="shared" si="3"/>
        <v>3</v>
      </c>
    </row>
    <row r="4972">
      <c r="A4972" s="8" t="str">
        <f>IFERROR(__xludf.DUMMYFUNCTION("IF('(INGESTA)Datos_consumo_datadis'!A4972&lt;&gt;"""",SPLIT('(INGESTA)Datos_consumo_datadis'!A:A,"",""),"""")"),"ES0031408323131005HX0F")</f>
        <v>ES0031408323131005HX0F</v>
      </c>
      <c r="B4972" s="12">
        <f>IFERROR(__xludf.DUMMYFUNCTION("""COMPUTED_VALUE"""),45073.0)</f>
        <v>45073</v>
      </c>
      <c r="C4972" s="13">
        <f>IFERROR(__xludf.DUMMYFUNCTION("""COMPUTED_VALUE"""),0.16666666666666666)</f>
        <v>0.1666666667</v>
      </c>
      <c r="D4972" s="8">
        <f>IFERROR(__xludf.DUMMYFUNCTION("""COMPUTED_VALUE"""),0.065)</f>
        <v>0.065</v>
      </c>
      <c r="E4972" s="8" t="str">
        <f>IFERROR(__xludf.DUMMYFUNCTION("""COMPUTED_VALUE"""),"Real")</f>
        <v>Real</v>
      </c>
      <c r="G4972" s="8">
        <f t="shared" si="1"/>
        <v>5</v>
      </c>
      <c r="H4972" s="14">
        <f t="shared" si="2"/>
        <v>27</v>
      </c>
      <c r="I4972" s="15">
        <f t="shared" si="3"/>
        <v>4</v>
      </c>
    </row>
    <row r="4973">
      <c r="A4973" s="8" t="str">
        <f>IFERROR(__xludf.DUMMYFUNCTION("IF('(INGESTA)Datos_consumo_datadis'!A4973&lt;&gt;"""",SPLIT('(INGESTA)Datos_consumo_datadis'!A:A,"",""),"""")"),"ES0031408323131005HX0F")</f>
        <v>ES0031408323131005HX0F</v>
      </c>
      <c r="B4973" s="12">
        <f>IFERROR(__xludf.DUMMYFUNCTION("""COMPUTED_VALUE"""),45073.0)</f>
        <v>45073</v>
      </c>
      <c r="C4973" s="13">
        <f>IFERROR(__xludf.DUMMYFUNCTION("""COMPUTED_VALUE"""),0.20833333333333334)</f>
        <v>0.2083333333</v>
      </c>
      <c r="D4973" s="8">
        <f>IFERROR(__xludf.DUMMYFUNCTION("""COMPUTED_VALUE"""),0.087)</f>
        <v>0.087</v>
      </c>
      <c r="E4973" s="8" t="str">
        <f>IFERROR(__xludf.DUMMYFUNCTION("""COMPUTED_VALUE"""),"Real")</f>
        <v>Real</v>
      </c>
      <c r="G4973" s="8">
        <f t="shared" si="1"/>
        <v>5</v>
      </c>
      <c r="H4973" s="14">
        <f t="shared" si="2"/>
        <v>27</v>
      </c>
      <c r="I4973" s="15">
        <f t="shared" si="3"/>
        <v>5</v>
      </c>
    </row>
    <row r="4974">
      <c r="A4974" s="8" t="str">
        <f>IFERROR(__xludf.DUMMYFUNCTION("IF('(INGESTA)Datos_consumo_datadis'!A4974&lt;&gt;"""",SPLIT('(INGESTA)Datos_consumo_datadis'!A:A,"",""),"""")"),"ES0031408323131005HX0F")</f>
        <v>ES0031408323131005HX0F</v>
      </c>
      <c r="B4974" s="12">
        <f>IFERROR(__xludf.DUMMYFUNCTION("""COMPUTED_VALUE"""),45073.0)</f>
        <v>45073</v>
      </c>
      <c r="C4974" s="13">
        <f>IFERROR(__xludf.DUMMYFUNCTION("""COMPUTED_VALUE"""),0.25)</f>
        <v>0.25</v>
      </c>
      <c r="D4974" s="8">
        <f>IFERROR(__xludf.DUMMYFUNCTION("""COMPUTED_VALUE"""),0.054)</f>
        <v>0.054</v>
      </c>
      <c r="E4974" s="8" t="str">
        <f>IFERROR(__xludf.DUMMYFUNCTION("""COMPUTED_VALUE"""),"Real")</f>
        <v>Real</v>
      </c>
      <c r="G4974" s="8">
        <f t="shared" si="1"/>
        <v>5</v>
      </c>
      <c r="H4974" s="14">
        <f t="shared" si="2"/>
        <v>27</v>
      </c>
      <c r="I4974" s="15">
        <f t="shared" si="3"/>
        <v>6</v>
      </c>
    </row>
    <row r="4975">
      <c r="A4975" s="8" t="str">
        <f>IFERROR(__xludf.DUMMYFUNCTION("IF('(INGESTA)Datos_consumo_datadis'!A4975&lt;&gt;"""",SPLIT('(INGESTA)Datos_consumo_datadis'!A:A,"",""),"""")"),"ES0031408323131005HX0F")</f>
        <v>ES0031408323131005HX0F</v>
      </c>
      <c r="B4975" s="12">
        <f>IFERROR(__xludf.DUMMYFUNCTION("""COMPUTED_VALUE"""),45073.0)</f>
        <v>45073</v>
      </c>
      <c r="C4975" s="13">
        <f>IFERROR(__xludf.DUMMYFUNCTION("""COMPUTED_VALUE"""),0.2916666666666667)</f>
        <v>0.2916666667</v>
      </c>
      <c r="D4975" s="8">
        <f>IFERROR(__xludf.DUMMYFUNCTION("""COMPUTED_VALUE"""),0.062)</f>
        <v>0.062</v>
      </c>
      <c r="E4975" s="8" t="str">
        <f>IFERROR(__xludf.DUMMYFUNCTION("""COMPUTED_VALUE"""),"Real")</f>
        <v>Real</v>
      </c>
      <c r="G4975" s="8">
        <f t="shared" si="1"/>
        <v>5</v>
      </c>
      <c r="H4975" s="14">
        <f t="shared" si="2"/>
        <v>27</v>
      </c>
      <c r="I4975" s="15">
        <f t="shared" si="3"/>
        <v>7</v>
      </c>
    </row>
    <row r="4976">
      <c r="A4976" s="8" t="str">
        <f>IFERROR(__xludf.DUMMYFUNCTION("IF('(INGESTA)Datos_consumo_datadis'!A4976&lt;&gt;"""",SPLIT('(INGESTA)Datos_consumo_datadis'!A:A,"",""),"""")"),"ES0031408323131005HX0F")</f>
        <v>ES0031408323131005HX0F</v>
      </c>
      <c r="B4976" s="12">
        <f>IFERROR(__xludf.DUMMYFUNCTION("""COMPUTED_VALUE"""),45073.0)</f>
        <v>45073</v>
      </c>
      <c r="C4976" s="13">
        <f>IFERROR(__xludf.DUMMYFUNCTION("""COMPUTED_VALUE"""),0.3333333333333333)</f>
        <v>0.3333333333</v>
      </c>
      <c r="D4976" s="8">
        <f>IFERROR(__xludf.DUMMYFUNCTION("""COMPUTED_VALUE"""),0.369)</f>
        <v>0.369</v>
      </c>
      <c r="E4976" s="8" t="str">
        <f>IFERROR(__xludf.DUMMYFUNCTION("""COMPUTED_VALUE"""),"Real")</f>
        <v>Real</v>
      </c>
      <c r="G4976" s="8">
        <f t="shared" si="1"/>
        <v>5</v>
      </c>
      <c r="H4976" s="14">
        <f t="shared" si="2"/>
        <v>27</v>
      </c>
      <c r="I4976" s="15">
        <f t="shared" si="3"/>
        <v>8</v>
      </c>
    </row>
    <row r="4977">
      <c r="A4977" s="8" t="str">
        <f>IFERROR(__xludf.DUMMYFUNCTION("IF('(INGESTA)Datos_consumo_datadis'!A4977&lt;&gt;"""",SPLIT('(INGESTA)Datos_consumo_datadis'!A:A,"",""),"""")"),"ES0031408323131005HX0F")</f>
        <v>ES0031408323131005HX0F</v>
      </c>
      <c r="B4977" s="12">
        <f>IFERROR(__xludf.DUMMYFUNCTION("""COMPUTED_VALUE"""),45073.0)</f>
        <v>45073</v>
      </c>
      <c r="C4977" s="13">
        <f>IFERROR(__xludf.DUMMYFUNCTION("""COMPUTED_VALUE"""),0.375)</f>
        <v>0.375</v>
      </c>
      <c r="D4977" s="8">
        <f>IFERROR(__xludf.DUMMYFUNCTION("""COMPUTED_VALUE"""),0.531)</f>
        <v>0.531</v>
      </c>
      <c r="E4977" s="8" t="str">
        <f>IFERROR(__xludf.DUMMYFUNCTION("""COMPUTED_VALUE"""),"Real")</f>
        <v>Real</v>
      </c>
      <c r="G4977" s="8">
        <f t="shared" si="1"/>
        <v>5</v>
      </c>
      <c r="H4977" s="14">
        <f t="shared" si="2"/>
        <v>27</v>
      </c>
      <c r="I4977" s="15">
        <f t="shared" si="3"/>
        <v>9</v>
      </c>
    </row>
    <row r="4978">
      <c r="A4978" s="8" t="str">
        <f>IFERROR(__xludf.DUMMYFUNCTION("IF('(INGESTA)Datos_consumo_datadis'!A4978&lt;&gt;"""",SPLIT('(INGESTA)Datos_consumo_datadis'!A:A,"",""),"""")"),"ES0031408323131005HX0F")</f>
        <v>ES0031408323131005HX0F</v>
      </c>
      <c r="B4978" s="12">
        <f>IFERROR(__xludf.DUMMYFUNCTION("""COMPUTED_VALUE"""),45073.0)</f>
        <v>45073</v>
      </c>
      <c r="C4978" s="13">
        <f>IFERROR(__xludf.DUMMYFUNCTION("""COMPUTED_VALUE"""),0.4166666666666667)</f>
        <v>0.4166666667</v>
      </c>
      <c r="D4978" s="8">
        <f>IFERROR(__xludf.DUMMYFUNCTION("""COMPUTED_VALUE"""),0.025)</f>
        <v>0.025</v>
      </c>
      <c r="E4978" s="8" t="str">
        <f>IFERROR(__xludf.DUMMYFUNCTION("""COMPUTED_VALUE"""),"Real")</f>
        <v>Real</v>
      </c>
      <c r="G4978" s="8">
        <f t="shared" si="1"/>
        <v>5</v>
      </c>
      <c r="H4978" s="14">
        <f t="shared" si="2"/>
        <v>27</v>
      </c>
      <c r="I4978" s="15">
        <f t="shared" si="3"/>
        <v>10</v>
      </c>
    </row>
    <row r="4979">
      <c r="A4979" s="8" t="str">
        <f>IFERROR(__xludf.DUMMYFUNCTION("IF('(INGESTA)Datos_consumo_datadis'!A4979&lt;&gt;"""",SPLIT('(INGESTA)Datos_consumo_datadis'!A:A,"",""),"""")"),"ES0031408323131005HX0F")</f>
        <v>ES0031408323131005HX0F</v>
      </c>
      <c r="B4979" s="12">
        <f>IFERROR(__xludf.DUMMYFUNCTION("""COMPUTED_VALUE"""),45073.0)</f>
        <v>45073</v>
      </c>
      <c r="C4979" s="13">
        <f>IFERROR(__xludf.DUMMYFUNCTION("""COMPUTED_VALUE"""),0.4583333333333333)</f>
        <v>0.4583333333</v>
      </c>
      <c r="D4979" s="8">
        <f>IFERROR(__xludf.DUMMYFUNCTION("""COMPUTED_VALUE"""),0.175)</f>
        <v>0.175</v>
      </c>
      <c r="E4979" s="8" t="str">
        <f>IFERROR(__xludf.DUMMYFUNCTION("""COMPUTED_VALUE"""),"Real")</f>
        <v>Real</v>
      </c>
      <c r="G4979" s="8">
        <f t="shared" si="1"/>
        <v>5</v>
      </c>
      <c r="H4979" s="14">
        <f t="shared" si="2"/>
        <v>27</v>
      </c>
      <c r="I4979" s="15">
        <f t="shared" si="3"/>
        <v>11</v>
      </c>
    </row>
    <row r="4980">
      <c r="A4980" s="8" t="str">
        <f>IFERROR(__xludf.DUMMYFUNCTION("IF('(INGESTA)Datos_consumo_datadis'!A4980&lt;&gt;"""",SPLIT('(INGESTA)Datos_consumo_datadis'!A:A,"",""),"""")"),"ES0031408323131005HX0F")</f>
        <v>ES0031408323131005HX0F</v>
      </c>
      <c r="B4980" s="12">
        <f>IFERROR(__xludf.DUMMYFUNCTION("""COMPUTED_VALUE"""),45073.0)</f>
        <v>45073</v>
      </c>
      <c r="C4980" s="13">
        <f>IFERROR(__xludf.DUMMYFUNCTION("""COMPUTED_VALUE"""),0.5)</f>
        <v>0.5</v>
      </c>
      <c r="D4980" s="8">
        <f>IFERROR(__xludf.DUMMYFUNCTION("""COMPUTED_VALUE"""),0.29)</f>
        <v>0.29</v>
      </c>
      <c r="E4980" s="8" t="str">
        <f>IFERROR(__xludf.DUMMYFUNCTION("""COMPUTED_VALUE"""),"Real")</f>
        <v>Real</v>
      </c>
      <c r="G4980" s="8">
        <f t="shared" si="1"/>
        <v>5</v>
      </c>
      <c r="H4980" s="14">
        <f t="shared" si="2"/>
        <v>27</v>
      </c>
      <c r="I4980" s="15">
        <f t="shared" si="3"/>
        <v>12</v>
      </c>
    </row>
    <row r="4981">
      <c r="A4981" s="8" t="str">
        <f>IFERROR(__xludf.DUMMYFUNCTION("IF('(INGESTA)Datos_consumo_datadis'!A4981&lt;&gt;"""",SPLIT('(INGESTA)Datos_consumo_datadis'!A:A,"",""),"""")"),"ES0031408323131005HX0F")</f>
        <v>ES0031408323131005HX0F</v>
      </c>
      <c r="B4981" s="12">
        <f>IFERROR(__xludf.DUMMYFUNCTION("""COMPUTED_VALUE"""),45073.0)</f>
        <v>45073</v>
      </c>
      <c r="C4981" s="13">
        <f>IFERROR(__xludf.DUMMYFUNCTION("""COMPUTED_VALUE"""),0.5416666666666666)</f>
        <v>0.5416666667</v>
      </c>
      <c r="D4981" s="8">
        <f>IFERROR(__xludf.DUMMYFUNCTION("""COMPUTED_VALUE"""),0.049)</f>
        <v>0.049</v>
      </c>
      <c r="E4981" s="8" t="str">
        <f>IFERROR(__xludf.DUMMYFUNCTION("""COMPUTED_VALUE"""),"Real")</f>
        <v>Real</v>
      </c>
      <c r="G4981" s="8">
        <f t="shared" si="1"/>
        <v>5</v>
      </c>
      <c r="H4981" s="14">
        <f t="shared" si="2"/>
        <v>27</v>
      </c>
      <c r="I4981" s="15">
        <f t="shared" si="3"/>
        <v>13</v>
      </c>
    </row>
    <row r="4982">
      <c r="A4982" s="8" t="str">
        <f>IFERROR(__xludf.DUMMYFUNCTION("IF('(INGESTA)Datos_consumo_datadis'!A4982&lt;&gt;"""",SPLIT('(INGESTA)Datos_consumo_datadis'!A:A,"",""),"""")"),"ES0031408323131005HX0F")</f>
        <v>ES0031408323131005HX0F</v>
      </c>
      <c r="B4982" s="12">
        <f>IFERROR(__xludf.DUMMYFUNCTION("""COMPUTED_VALUE"""),45073.0)</f>
        <v>45073</v>
      </c>
      <c r="C4982" s="13">
        <f>IFERROR(__xludf.DUMMYFUNCTION("""COMPUTED_VALUE"""),0.5833333333333334)</f>
        <v>0.5833333333</v>
      </c>
      <c r="D4982" s="8">
        <f>IFERROR(__xludf.DUMMYFUNCTION("""COMPUTED_VALUE"""),0.667)</f>
        <v>0.667</v>
      </c>
      <c r="E4982" s="8" t="str">
        <f>IFERROR(__xludf.DUMMYFUNCTION("""COMPUTED_VALUE"""),"Real")</f>
        <v>Real</v>
      </c>
      <c r="G4982" s="8">
        <f t="shared" si="1"/>
        <v>5</v>
      </c>
      <c r="H4982" s="14">
        <f t="shared" si="2"/>
        <v>27</v>
      </c>
      <c r="I4982" s="15">
        <f t="shared" si="3"/>
        <v>14</v>
      </c>
    </row>
    <row r="4983">
      <c r="A4983" s="8" t="str">
        <f>IFERROR(__xludf.DUMMYFUNCTION("IF('(INGESTA)Datos_consumo_datadis'!A4983&lt;&gt;"""",SPLIT('(INGESTA)Datos_consumo_datadis'!A:A,"",""),"""")"),"ES0031408323131005HX0F")</f>
        <v>ES0031408323131005HX0F</v>
      </c>
      <c r="B4983" s="12">
        <f>IFERROR(__xludf.DUMMYFUNCTION("""COMPUTED_VALUE"""),45073.0)</f>
        <v>45073</v>
      </c>
      <c r="C4983" s="13">
        <f>IFERROR(__xludf.DUMMYFUNCTION("""COMPUTED_VALUE"""),0.625)</f>
        <v>0.625</v>
      </c>
      <c r="D4983" s="8">
        <f>IFERROR(__xludf.DUMMYFUNCTION("""COMPUTED_VALUE"""),0.163)</f>
        <v>0.163</v>
      </c>
      <c r="E4983" s="8" t="str">
        <f>IFERROR(__xludf.DUMMYFUNCTION("""COMPUTED_VALUE"""),"Real")</f>
        <v>Real</v>
      </c>
      <c r="G4983" s="8">
        <f t="shared" si="1"/>
        <v>5</v>
      </c>
      <c r="H4983" s="14">
        <f t="shared" si="2"/>
        <v>27</v>
      </c>
      <c r="I4983" s="15">
        <f t="shared" si="3"/>
        <v>15</v>
      </c>
    </row>
    <row r="4984">
      <c r="A4984" s="8" t="str">
        <f>IFERROR(__xludf.DUMMYFUNCTION("IF('(INGESTA)Datos_consumo_datadis'!A4984&lt;&gt;"""",SPLIT('(INGESTA)Datos_consumo_datadis'!A:A,"",""),"""")"),"ES0031408323131005HX0F")</f>
        <v>ES0031408323131005HX0F</v>
      </c>
      <c r="B4984" s="12">
        <f>IFERROR(__xludf.DUMMYFUNCTION("""COMPUTED_VALUE"""),45073.0)</f>
        <v>45073</v>
      </c>
      <c r="C4984" s="13">
        <f>IFERROR(__xludf.DUMMYFUNCTION("""COMPUTED_VALUE"""),0.6666666666666666)</f>
        <v>0.6666666667</v>
      </c>
      <c r="D4984" s="8">
        <f>IFERROR(__xludf.DUMMYFUNCTION("""COMPUTED_VALUE"""),0.114)</f>
        <v>0.114</v>
      </c>
      <c r="E4984" s="8" t="str">
        <f>IFERROR(__xludf.DUMMYFUNCTION("""COMPUTED_VALUE"""),"Real")</f>
        <v>Real</v>
      </c>
      <c r="G4984" s="8">
        <f t="shared" si="1"/>
        <v>5</v>
      </c>
      <c r="H4984" s="14">
        <f t="shared" si="2"/>
        <v>27</v>
      </c>
      <c r="I4984" s="15">
        <f t="shared" si="3"/>
        <v>16</v>
      </c>
    </row>
    <row r="4985">
      <c r="A4985" s="8" t="str">
        <f>IFERROR(__xludf.DUMMYFUNCTION("IF('(INGESTA)Datos_consumo_datadis'!A4985&lt;&gt;"""",SPLIT('(INGESTA)Datos_consumo_datadis'!A:A,"",""),"""")"),"ES0031408323131005HX0F")</f>
        <v>ES0031408323131005HX0F</v>
      </c>
      <c r="B4985" s="12">
        <f>IFERROR(__xludf.DUMMYFUNCTION("""COMPUTED_VALUE"""),45073.0)</f>
        <v>45073</v>
      </c>
      <c r="C4985" s="13">
        <f>IFERROR(__xludf.DUMMYFUNCTION("""COMPUTED_VALUE"""),0.7083333333333334)</f>
        <v>0.7083333333</v>
      </c>
      <c r="D4985" s="8">
        <f>IFERROR(__xludf.DUMMYFUNCTION("""COMPUTED_VALUE"""),0.177)</f>
        <v>0.177</v>
      </c>
      <c r="E4985" s="8" t="str">
        <f>IFERROR(__xludf.DUMMYFUNCTION("""COMPUTED_VALUE"""),"Real")</f>
        <v>Real</v>
      </c>
      <c r="G4985" s="8">
        <f t="shared" si="1"/>
        <v>5</v>
      </c>
      <c r="H4985" s="14">
        <f t="shared" si="2"/>
        <v>27</v>
      </c>
      <c r="I4985" s="15">
        <f t="shared" si="3"/>
        <v>17</v>
      </c>
    </row>
    <row r="4986">
      <c r="A4986" s="8" t="str">
        <f>IFERROR(__xludf.DUMMYFUNCTION("IF('(INGESTA)Datos_consumo_datadis'!A4986&lt;&gt;"""",SPLIT('(INGESTA)Datos_consumo_datadis'!A:A,"",""),"""")"),"ES0031408323131005HX0F")</f>
        <v>ES0031408323131005HX0F</v>
      </c>
      <c r="B4986" s="12">
        <f>IFERROR(__xludf.DUMMYFUNCTION("""COMPUTED_VALUE"""),45073.0)</f>
        <v>45073</v>
      </c>
      <c r="C4986" s="13">
        <f>IFERROR(__xludf.DUMMYFUNCTION("""COMPUTED_VALUE"""),0.75)</f>
        <v>0.75</v>
      </c>
      <c r="D4986" s="8">
        <f>IFERROR(__xludf.DUMMYFUNCTION("""COMPUTED_VALUE"""),0.075)</f>
        <v>0.075</v>
      </c>
      <c r="E4986" s="8" t="str">
        <f>IFERROR(__xludf.DUMMYFUNCTION("""COMPUTED_VALUE"""),"Real")</f>
        <v>Real</v>
      </c>
      <c r="G4986" s="8">
        <f t="shared" si="1"/>
        <v>5</v>
      </c>
      <c r="H4986" s="14">
        <f t="shared" si="2"/>
        <v>27</v>
      </c>
      <c r="I4986" s="15">
        <f t="shared" si="3"/>
        <v>18</v>
      </c>
    </row>
    <row r="4987">
      <c r="A4987" s="8" t="str">
        <f>IFERROR(__xludf.DUMMYFUNCTION("IF('(INGESTA)Datos_consumo_datadis'!A4987&lt;&gt;"""",SPLIT('(INGESTA)Datos_consumo_datadis'!A:A,"",""),"""")"),"ES0031408323131005HX0F")</f>
        <v>ES0031408323131005HX0F</v>
      </c>
      <c r="B4987" s="12">
        <f>IFERROR(__xludf.DUMMYFUNCTION("""COMPUTED_VALUE"""),45073.0)</f>
        <v>45073</v>
      </c>
      <c r="C4987" s="13">
        <f>IFERROR(__xludf.DUMMYFUNCTION("""COMPUTED_VALUE"""),0.7916666666666666)</f>
        <v>0.7916666667</v>
      </c>
      <c r="D4987" s="8">
        <f>IFERROR(__xludf.DUMMYFUNCTION("""COMPUTED_VALUE"""),0.023)</f>
        <v>0.023</v>
      </c>
      <c r="E4987" s="8" t="str">
        <f>IFERROR(__xludf.DUMMYFUNCTION("""COMPUTED_VALUE"""),"Real")</f>
        <v>Real</v>
      </c>
      <c r="G4987" s="8">
        <f t="shared" si="1"/>
        <v>5</v>
      </c>
      <c r="H4987" s="14">
        <f t="shared" si="2"/>
        <v>27</v>
      </c>
      <c r="I4987" s="15">
        <f t="shared" si="3"/>
        <v>19</v>
      </c>
    </row>
    <row r="4988">
      <c r="A4988" s="8" t="str">
        <f>IFERROR(__xludf.DUMMYFUNCTION("IF('(INGESTA)Datos_consumo_datadis'!A4988&lt;&gt;"""",SPLIT('(INGESTA)Datos_consumo_datadis'!A:A,"",""),"""")"),"ES0031408323131005HX0F")</f>
        <v>ES0031408323131005HX0F</v>
      </c>
      <c r="B4988" s="12">
        <f>IFERROR(__xludf.DUMMYFUNCTION("""COMPUTED_VALUE"""),45073.0)</f>
        <v>45073</v>
      </c>
      <c r="C4988" s="13">
        <f>IFERROR(__xludf.DUMMYFUNCTION("""COMPUTED_VALUE"""),0.8333333333333334)</f>
        <v>0.8333333333</v>
      </c>
      <c r="D4988" s="8">
        <f>IFERROR(__xludf.DUMMYFUNCTION("""COMPUTED_VALUE"""),0.074)</f>
        <v>0.074</v>
      </c>
      <c r="E4988" s="8" t="str">
        <f>IFERROR(__xludf.DUMMYFUNCTION("""COMPUTED_VALUE"""),"Real")</f>
        <v>Real</v>
      </c>
      <c r="G4988" s="8">
        <f t="shared" si="1"/>
        <v>5</v>
      </c>
      <c r="H4988" s="14">
        <f t="shared" si="2"/>
        <v>27</v>
      </c>
      <c r="I4988" s="15">
        <f t="shared" si="3"/>
        <v>20</v>
      </c>
    </row>
    <row r="4989">
      <c r="A4989" s="8" t="str">
        <f>IFERROR(__xludf.DUMMYFUNCTION("IF('(INGESTA)Datos_consumo_datadis'!A4989&lt;&gt;"""",SPLIT('(INGESTA)Datos_consumo_datadis'!A:A,"",""),"""")"),"ES0031408323131005HX0F")</f>
        <v>ES0031408323131005HX0F</v>
      </c>
      <c r="B4989" s="12">
        <f>IFERROR(__xludf.DUMMYFUNCTION("""COMPUTED_VALUE"""),45073.0)</f>
        <v>45073</v>
      </c>
      <c r="C4989" s="13">
        <f>IFERROR(__xludf.DUMMYFUNCTION("""COMPUTED_VALUE"""),0.875)</f>
        <v>0.875</v>
      </c>
      <c r="D4989" s="8">
        <f>IFERROR(__xludf.DUMMYFUNCTION("""COMPUTED_VALUE"""),0.357)</f>
        <v>0.357</v>
      </c>
      <c r="E4989" s="8" t="str">
        <f>IFERROR(__xludf.DUMMYFUNCTION("""COMPUTED_VALUE"""),"Real")</f>
        <v>Real</v>
      </c>
      <c r="G4989" s="8">
        <f t="shared" si="1"/>
        <v>5</v>
      </c>
      <c r="H4989" s="14">
        <f t="shared" si="2"/>
        <v>27</v>
      </c>
      <c r="I4989" s="15">
        <f t="shared" si="3"/>
        <v>21</v>
      </c>
    </row>
    <row r="4990">
      <c r="A4990" s="8" t="str">
        <f>IFERROR(__xludf.DUMMYFUNCTION("IF('(INGESTA)Datos_consumo_datadis'!A4990&lt;&gt;"""",SPLIT('(INGESTA)Datos_consumo_datadis'!A:A,"",""),"""")"),"ES0031408323131005HX0F")</f>
        <v>ES0031408323131005HX0F</v>
      </c>
      <c r="B4990" s="12">
        <f>IFERROR(__xludf.DUMMYFUNCTION("""COMPUTED_VALUE"""),45073.0)</f>
        <v>45073</v>
      </c>
      <c r="C4990" s="13">
        <f>IFERROR(__xludf.DUMMYFUNCTION("""COMPUTED_VALUE"""),0.9166666666666666)</f>
        <v>0.9166666667</v>
      </c>
      <c r="D4990" s="8">
        <f>IFERROR(__xludf.DUMMYFUNCTION("""COMPUTED_VALUE"""),0.034)</f>
        <v>0.034</v>
      </c>
      <c r="E4990" s="8" t="str">
        <f>IFERROR(__xludf.DUMMYFUNCTION("""COMPUTED_VALUE"""),"Real")</f>
        <v>Real</v>
      </c>
      <c r="G4990" s="8">
        <f t="shared" si="1"/>
        <v>5</v>
      </c>
      <c r="H4990" s="14">
        <f t="shared" si="2"/>
        <v>27</v>
      </c>
      <c r="I4990" s="15">
        <f t="shared" si="3"/>
        <v>22</v>
      </c>
    </row>
    <row r="4991">
      <c r="A4991" s="8" t="str">
        <f>IFERROR(__xludf.DUMMYFUNCTION("IF('(INGESTA)Datos_consumo_datadis'!A4991&lt;&gt;"""",SPLIT('(INGESTA)Datos_consumo_datadis'!A:A,"",""),"""")"),"ES0031408323131005HX0F")</f>
        <v>ES0031408323131005HX0F</v>
      </c>
      <c r="B4991" s="12">
        <f>IFERROR(__xludf.DUMMYFUNCTION("""COMPUTED_VALUE"""),45073.0)</f>
        <v>45073</v>
      </c>
      <c r="C4991" s="13">
        <f>IFERROR(__xludf.DUMMYFUNCTION("""COMPUTED_VALUE"""),0.9583333333333334)</f>
        <v>0.9583333333</v>
      </c>
      <c r="D4991" s="8">
        <f>IFERROR(__xludf.DUMMYFUNCTION("""COMPUTED_VALUE"""),0.22)</f>
        <v>0.22</v>
      </c>
      <c r="E4991" s="8" t="str">
        <f>IFERROR(__xludf.DUMMYFUNCTION("""COMPUTED_VALUE"""),"Real")</f>
        <v>Real</v>
      </c>
      <c r="G4991" s="8">
        <f t="shared" si="1"/>
        <v>5</v>
      </c>
      <c r="H4991" s="14">
        <f t="shared" si="2"/>
        <v>27</v>
      </c>
      <c r="I4991" s="15">
        <f t="shared" si="3"/>
        <v>23</v>
      </c>
    </row>
    <row r="4992">
      <c r="A4992" s="8" t="str">
        <f>IFERROR(__xludf.DUMMYFUNCTION("IF('(INGESTA)Datos_consumo_datadis'!A4992&lt;&gt;"""",SPLIT('(INGESTA)Datos_consumo_datadis'!A:A,"",""),"""")"),"ES0031408323131005HX0F")</f>
        <v>ES0031408323131005HX0F</v>
      </c>
      <c r="B4992" s="12">
        <f>IFERROR(__xludf.DUMMYFUNCTION("""COMPUTED_VALUE"""),45073.0)</f>
        <v>45073</v>
      </c>
      <c r="C4992" s="16">
        <f>IFERROR(__xludf.DUMMYFUNCTION("""COMPUTED_VALUE"""),1.0)</f>
        <v>1</v>
      </c>
      <c r="D4992" s="8">
        <f>IFERROR(__xludf.DUMMYFUNCTION("""COMPUTED_VALUE"""),0.706)</f>
        <v>0.706</v>
      </c>
      <c r="E4992" s="8" t="str">
        <f>IFERROR(__xludf.DUMMYFUNCTION("""COMPUTED_VALUE"""),"Real")</f>
        <v>Real</v>
      </c>
      <c r="G4992" s="8">
        <f t="shared" si="1"/>
        <v>5</v>
      </c>
      <c r="H4992" s="14">
        <f t="shared" si="2"/>
        <v>27</v>
      </c>
      <c r="I4992" s="15">
        <f t="shared" si="3"/>
        <v>0</v>
      </c>
    </row>
    <row r="4993">
      <c r="A4993" s="8" t="str">
        <f>IFERROR(__xludf.DUMMYFUNCTION("IF('(INGESTA)Datos_consumo_datadis'!A4993&lt;&gt;"""",SPLIT('(INGESTA)Datos_consumo_datadis'!A:A,"",""),"""")"),"ES0031408323131005HX0F")</f>
        <v>ES0031408323131005HX0F</v>
      </c>
      <c r="B4993" s="12">
        <f>IFERROR(__xludf.DUMMYFUNCTION("""COMPUTED_VALUE"""),45074.0)</f>
        <v>45074</v>
      </c>
      <c r="C4993" s="13">
        <f>IFERROR(__xludf.DUMMYFUNCTION("""COMPUTED_VALUE"""),0.041666666666666664)</f>
        <v>0.04166666667</v>
      </c>
      <c r="D4993" s="8">
        <f>IFERROR(__xludf.DUMMYFUNCTION("""COMPUTED_VALUE"""),0.102)</f>
        <v>0.102</v>
      </c>
      <c r="E4993" s="8" t="str">
        <f>IFERROR(__xludf.DUMMYFUNCTION("""COMPUTED_VALUE"""),"Real")</f>
        <v>Real</v>
      </c>
      <c r="G4993" s="8">
        <f t="shared" si="1"/>
        <v>5</v>
      </c>
      <c r="H4993" s="14">
        <f t="shared" si="2"/>
        <v>28</v>
      </c>
      <c r="I4993" s="15">
        <f t="shared" si="3"/>
        <v>1</v>
      </c>
    </row>
    <row r="4994">
      <c r="A4994" s="8" t="str">
        <f>IFERROR(__xludf.DUMMYFUNCTION("IF('(INGESTA)Datos_consumo_datadis'!A4994&lt;&gt;"""",SPLIT('(INGESTA)Datos_consumo_datadis'!A:A,"",""),"""")"),"ES0031408323131005HX0F")</f>
        <v>ES0031408323131005HX0F</v>
      </c>
      <c r="B4994" s="12">
        <f>IFERROR(__xludf.DUMMYFUNCTION("""COMPUTED_VALUE"""),45074.0)</f>
        <v>45074</v>
      </c>
      <c r="C4994" s="13">
        <f>IFERROR(__xludf.DUMMYFUNCTION("""COMPUTED_VALUE"""),0.08333333333333333)</f>
        <v>0.08333333333</v>
      </c>
      <c r="D4994" s="8">
        <f>IFERROR(__xludf.DUMMYFUNCTION("""COMPUTED_VALUE"""),0.115)</f>
        <v>0.115</v>
      </c>
      <c r="E4994" s="8" t="str">
        <f>IFERROR(__xludf.DUMMYFUNCTION("""COMPUTED_VALUE"""),"Real")</f>
        <v>Real</v>
      </c>
      <c r="G4994" s="8">
        <f t="shared" si="1"/>
        <v>5</v>
      </c>
      <c r="H4994" s="14">
        <f t="shared" si="2"/>
        <v>28</v>
      </c>
      <c r="I4994" s="15">
        <f t="shared" si="3"/>
        <v>2</v>
      </c>
    </row>
    <row r="4995">
      <c r="A4995" s="8" t="str">
        <f>IFERROR(__xludf.DUMMYFUNCTION("IF('(INGESTA)Datos_consumo_datadis'!A4995&lt;&gt;"""",SPLIT('(INGESTA)Datos_consumo_datadis'!A:A,"",""),"""")"),"ES0031408323131005HX0F")</f>
        <v>ES0031408323131005HX0F</v>
      </c>
      <c r="B4995" s="12">
        <f>IFERROR(__xludf.DUMMYFUNCTION("""COMPUTED_VALUE"""),45074.0)</f>
        <v>45074</v>
      </c>
      <c r="C4995" s="13">
        <f>IFERROR(__xludf.DUMMYFUNCTION("""COMPUTED_VALUE"""),0.125)</f>
        <v>0.125</v>
      </c>
      <c r="D4995" s="8">
        <f>IFERROR(__xludf.DUMMYFUNCTION("""COMPUTED_VALUE"""),0.118)</f>
        <v>0.118</v>
      </c>
      <c r="E4995" s="8" t="str">
        <f>IFERROR(__xludf.DUMMYFUNCTION("""COMPUTED_VALUE"""),"Real")</f>
        <v>Real</v>
      </c>
      <c r="G4995" s="8">
        <f t="shared" si="1"/>
        <v>5</v>
      </c>
      <c r="H4995" s="14">
        <f t="shared" si="2"/>
        <v>28</v>
      </c>
      <c r="I4995" s="15">
        <f t="shared" si="3"/>
        <v>3</v>
      </c>
    </row>
    <row r="4996">
      <c r="A4996" s="8" t="str">
        <f>IFERROR(__xludf.DUMMYFUNCTION("IF('(INGESTA)Datos_consumo_datadis'!A4996&lt;&gt;"""",SPLIT('(INGESTA)Datos_consumo_datadis'!A:A,"",""),"""")"),"ES0031408323131005HX0F")</f>
        <v>ES0031408323131005HX0F</v>
      </c>
      <c r="B4996" s="12">
        <f>IFERROR(__xludf.DUMMYFUNCTION("""COMPUTED_VALUE"""),45074.0)</f>
        <v>45074</v>
      </c>
      <c r="C4996" s="13">
        <f>IFERROR(__xludf.DUMMYFUNCTION("""COMPUTED_VALUE"""),0.16666666666666666)</f>
        <v>0.1666666667</v>
      </c>
      <c r="D4996" s="8">
        <f>IFERROR(__xludf.DUMMYFUNCTION("""COMPUTED_VALUE"""),0.047)</f>
        <v>0.047</v>
      </c>
      <c r="E4996" s="8" t="str">
        <f>IFERROR(__xludf.DUMMYFUNCTION("""COMPUTED_VALUE"""),"Real")</f>
        <v>Real</v>
      </c>
      <c r="G4996" s="8">
        <f t="shared" si="1"/>
        <v>5</v>
      </c>
      <c r="H4996" s="14">
        <f t="shared" si="2"/>
        <v>28</v>
      </c>
      <c r="I4996" s="15">
        <f t="shared" si="3"/>
        <v>4</v>
      </c>
    </row>
    <row r="4997">
      <c r="A4997" s="8" t="str">
        <f>IFERROR(__xludf.DUMMYFUNCTION("IF('(INGESTA)Datos_consumo_datadis'!A4997&lt;&gt;"""",SPLIT('(INGESTA)Datos_consumo_datadis'!A:A,"",""),"""")"),"ES0031408323131005HX0F")</f>
        <v>ES0031408323131005HX0F</v>
      </c>
      <c r="B4997" s="12">
        <f>IFERROR(__xludf.DUMMYFUNCTION("""COMPUTED_VALUE"""),45074.0)</f>
        <v>45074</v>
      </c>
      <c r="C4997" s="13">
        <f>IFERROR(__xludf.DUMMYFUNCTION("""COMPUTED_VALUE"""),0.20833333333333334)</f>
        <v>0.2083333333</v>
      </c>
      <c r="D4997" s="8">
        <f>IFERROR(__xludf.DUMMYFUNCTION("""COMPUTED_VALUE"""),0.32)</f>
        <v>0.32</v>
      </c>
      <c r="E4997" s="8" t="str">
        <f>IFERROR(__xludf.DUMMYFUNCTION("""COMPUTED_VALUE"""),"Real")</f>
        <v>Real</v>
      </c>
      <c r="G4997" s="8">
        <f t="shared" si="1"/>
        <v>5</v>
      </c>
      <c r="H4997" s="14">
        <f t="shared" si="2"/>
        <v>28</v>
      </c>
      <c r="I4997" s="15">
        <f t="shared" si="3"/>
        <v>5</v>
      </c>
    </row>
    <row r="4998">
      <c r="A4998" s="8" t="str">
        <f>IFERROR(__xludf.DUMMYFUNCTION("IF('(INGESTA)Datos_consumo_datadis'!A4998&lt;&gt;"""",SPLIT('(INGESTA)Datos_consumo_datadis'!A:A,"",""),"""")"),"ES0031408323131005HX0F")</f>
        <v>ES0031408323131005HX0F</v>
      </c>
      <c r="B4998" s="12">
        <f>IFERROR(__xludf.DUMMYFUNCTION("""COMPUTED_VALUE"""),45074.0)</f>
        <v>45074</v>
      </c>
      <c r="C4998" s="13">
        <f>IFERROR(__xludf.DUMMYFUNCTION("""COMPUTED_VALUE"""),0.25)</f>
        <v>0.25</v>
      </c>
      <c r="D4998" s="8">
        <f>IFERROR(__xludf.DUMMYFUNCTION("""COMPUTED_VALUE"""),0.086)</f>
        <v>0.086</v>
      </c>
      <c r="E4998" s="8" t="str">
        <f>IFERROR(__xludf.DUMMYFUNCTION("""COMPUTED_VALUE"""),"Real")</f>
        <v>Real</v>
      </c>
      <c r="G4998" s="8">
        <f t="shared" si="1"/>
        <v>5</v>
      </c>
      <c r="H4998" s="14">
        <f t="shared" si="2"/>
        <v>28</v>
      </c>
      <c r="I4998" s="15">
        <f t="shared" si="3"/>
        <v>6</v>
      </c>
    </row>
    <row r="4999">
      <c r="A4999" s="8" t="str">
        <f>IFERROR(__xludf.DUMMYFUNCTION("IF('(INGESTA)Datos_consumo_datadis'!A4999&lt;&gt;"""",SPLIT('(INGESTA)Datos_consumo_datadis'!A:A,"",""),"""")"),"ES0031408323131005HX0F")</f>
        <v>ES0031408323131005HX0F</v>
      </c>
      <c r="B4999" s="12">
        <f>IFERROR(__xludf.DUMMYFUNCTION("""COMPUTED_VALUE"""),45074.0)</f>
        <v>45074</v>
      </c>
      <c r="C4999" s="13">
        <f>IFERROR(__xludf.DUMMYFUNCTION("""COMPUTED_VALUE"""),0.2916666666666667)</f>
        <v>0.2916666667</v>
      </c>
      <c r="D4999" s="8">
        <f>IFERROR(__xludf.DUMMYFUNCTION("""COMPUTED_VALUE"""),0.042)</f>
        <v>0.042</v>
      </c>
      <c r="E4999" s="8" t="str">
        <f>IFERROR(__xludf.DUMMYFUNCTION("""COMPUTED_VALUE"""),"Real")</f>
        <v>Real</v>
      </c>
      <c r="G4999" s="8">
        <f t="shared" si="1"/>
        <v>5</v>
      </c>
      <c r="H4999" s="14">
        <f t="shared" si="2"/>
        <v>28</v>
      </c>
      <c r="I4999" s="15">
        <f t="shared" si="3"/>
        <v>7</v>
      </c>
    </row>
    <row r="5000">
      <c r="A5000" s="8" t="str">
        <f>IFERROR(__xludf.DUMMYFUNCTION("IF('(INGESTA)Datos_consumo_datadis'!A5000&lt;&gt;"""",SPLIT('(INGESTA)Datos_consumo_datadis'!A:A,"",""),"""")"),"ES0031408323131005HX0F")</f>
        <v>ES0031408323131005HX0F</v>
      </c>
      <c r="B5000" s="12">
        <f>IFERROR(__xludf.DUMMYFUNCTION("""COMPUTED_VALUE"""),45074.0)</f>
        <v>45074</v>
      </c>
      <c r="C5000" s="13">
        <f>IFERROR(__xludf.DUMMYFUNCTION("""COMPUTED_VALUE"""),0.3333333333333333)</f>
        <v>0.3333333333</v>
      </c>
      <c r="D5000" s="8">
        <f>IFERROR(__xludf.DUMMYFUNCTION("""COMPUTED_VALUE"""),0.054)</f>
        <v>0.054</v>
      </c>
      <c r="E5000" s="8" t="str">
        <f>IFERROR(__xludf.DUMMYFUNCTION("""COMPUTED_VALUE"""),"Real")</f>
        <v>Real</v>
      </c>
      <c r="G5000" s="8">
        <f t="shared" si="1"/>
        <v>5</v>
      </c>
      <c r="H5000" s="14">
        <f t="shared" si="2"/>
        <v>28</v>
      </c>
      <c r="I5000" s="15">
        <f t="shared" si="3"/>
        <v>8</v>
      </c>
    </row>
    <row r="5001">
      <c r="A5001" s="8" t="str">
        <f>IFERROR(__xludf.DUMMYFUNCTION("IF('(INGESTA)Datos_consumo_datadis'!A5001&lt;&gt;"""",SPLIT('(INGESTA)Datos_consumo_datadis'!A:A,"",""),"""")"),"ES0031408323131005HX0F")</f>
        <v>ES0031408323131005HX0F</v>
      </c>
      <c r="B5001" s="12">
        <f>IFERROR(__xludf.DUMMYFUNCTION("""COMPUTED_VALUE"""),45074.0)</f>
        <v>45074</v>
      </c>
      <c r="C5001" s="13">
        <f>IFERROR(__xludf.DUMMYFUNCTION("""COMPUTED_VALUE"""),0.375)</f>
        <v>0.375</v>
      </c>
      <c r="D5001" s="8">
        <f>IFERROR(__xludf.DUMMYFUNCTION("""COMPUTED_VALUE"""),0.742)</f>
        <v>0.742</v>
      </c>
      <c r="E5001" s="8" t="str">
        <f>IFERROR(__xludf.DUMMYFUNCTION("""COMPUTED_VALUE"""),"Real")</f>
        <v>Real</v>
      </c>
      <c r="G5001" s="8">
        <f t="shared" si="1"/>
        <v>5</v>
      </c>
      <c r="H5001" s="14">
        <f t="shared" si="2"/>
        <v>28</v>
      </c>
      <c r="I5001" s="15">
        <f t="shared" si="3"/>
        <v>9</v>
      </c>
    </row>
    <row r="5002">
      <c r="A5002" s="8" t="str">
        <f>IFERROR(__xludf.DUMMYFUNCTION("IF('(INGESTA)Datos_consumo_datadis'!A5002&lt;&gt;"""",SPLIT('(INGESTA)Datos_consumo_datadis'!A:A,"",""),"""")"),"ES0031408323131005HX0F")</f>
        <v>ES0031408323131005HX0F</v>
      </c>
      <c r="B5002" s="12">
        <f>IFERROR(__xludf.DUMMYFUNCTION("""COMPUTED_VALUE"""),45074.0)</f>
        <v>45074</v>
      </c>
      <c r="C5002" s="13">
        <f>IFERROR(__xludf.DUMMYFUNCTION("""COMPUTED_VALUE"""),0.4166666666666667)</f>
        <v>0.4166666667</v>
      </c>
      <c r="D5002" s="8">
        <f>IFERROR(__xludf.DUMMYFUNCTION("""COMPUTED_VALUE"""),0.272)</f>
        <v>0.272</v>
      </c>
      <c r="E5002" s="8" t="str">
        <f>IFERROR(__xludf.DUMMYFUNCTION("""COMPUTED_VALUE"""),"Real")</f>
        <v>Real</v>
      </c>
      <c r="G5002" s="8">
        <f t="shared" si="1"/>
        <v>5</v>
      </c>
      <c r="H5002" s="14">
        <f t="shared" si="2"/>
        <v>28</v>
      </c>
      <c r="I5002" s="15">
        <f t="shared" si="3"/>
        <v>10</v>
      </c>
    </row>
    <row r="5003">
      <c r="A5003" s="8" t="str">
        <f>IFERROR(__xludf.DUMMYFUNCTION("IF('(INGESTA)Datos_consumo_datadis'!A5003&lt;&gt;"""",SPLIT('(INGESTA)Datos_consumo_datadis'!A:A,"",""),"""")"),"ES0031408323131005HX0F")</f>
        <v>ES0031408323131005HX0F</v>
      </c>
      <c r="B5003" s="12">
        <f>IFERROR(__xludf.DUMMYFUNCTION("""COMPUTED_VALUE"""),45074.0)</f>
        <v>45074</v>
      </c>
      <c r="C5003" s="13">
        <f>IFERROR(__xludf.DUMMYFUNCTION("""COMPUTED_VALUE"""),0.4583333333333333)</f>
        <v>0.4583333333</v>
      </c>
      <c r="D5003" s="8">
        <f>IFERROR(__xludf.DUMMYFUNCTION("""COMPUTED_VALUE"""),0.017)</f>
        <v>0.017</v>
      </c>
      <c r="E5003" s="8" t="str">
        <f>IFERROR(__xludf.DUMMYFUNCTION("""COMPUTED_VALUE"""),"Real")</f>
        <v>Real</v>
      </c>
      <c r="G5003" s="8">
        <f t="shared" si="1"/>
        <v>5</v>
      </c>
      <c r="H5003" s="14">
        <f t="shared" si="2"/>
        <v>28</v>
      </c>
      <c r="I5003" s="15">
        <f t="shared" si="3"/>
        <v>11</v>
      </c>
    </row>
    <row r="5004">
      <c r="A5004" s="8" t="str">
        <f>IFERROR(__xludf.DUMMYFUNCTION("IF('(INGESTA)Datos_consumo_datadis'!A5004&lt;&gt;"""",SPLIT('(INGESTA)Datos_consumo_datadis'!A:A,"",""),"""")"),"ES0031408323131005HX0F")</f>
        <v>ES0031408323131005HX0F</v>
      </c>
      <c r="B5004" s="12">
        <f>IFERROR(__xludf.DUMMYFUNCTION("""COMPUTED_VALUE"""),45074.0)</f>
        <v>45074</v>
      </c>
      <c r="C5004" s="13">
        <f>IFERROR(__xludf.DUMMYFUNCTION("""COMPUTED_VALUE"""),0.5)</f>
        <v>0.5</v>
      </c>
      <c r="D5004" s="8">
        <f>IFERROR(__xludf.DUMMYFUNCTION("""COMPUTED_VALUE"""),0.105)</f>
        <v>0.105</v>
      </c>
      <c r="E5004" s="8" t="str">
        <f>IFERROR(__xludf.DUMMYFUNCTION("""COMPUTED_VALUE"""),"Real")</f>
        <v>Real</v>
      </c>
      <c r="G5004" s="8">
        <f t="shared" si="1"/>
        <v>5</v>
      </c>
      <c r="H5004" s="14">
        <f t="shared" si="2"/>
        <v>28</v>
      </c>
      <c r="I5004" s="15">
        <f t="shared" si="3"/>
        <v>12</v>
      </c>
    </row>
    <row r="5005">
      <c r="A5005" s="8" t="str">
        <f>IFERROR(__xludf.DUMMYFUNCTION("IF('(INGESTA)Datos_consumo_datadis'!A5005&lt;&gt;"""",SPLIT('(INGESTA)Datos_consumo_datadis'!A:A,"",""),"""")"),"ES0031408323131005HX0F")</f>
        <v>ES0031408323131005HX0F</v>
      </c>
      <c r="B5005" s="12">
        <f>IFERROR(__xludf.DUMMYFUNCTION("""COMPUTED_VALUE"""),45074.0)</f>
        <v>45074</v>
      </c>
      <c r="C5005" s="13">
        <f>IFERROR(__xludf.DUMMYFUNCTION("""COMPUTED_VALUE"""),0.5416666666666666)</f>
        <v>0.5416666667</v>
      </c>
      <c r="D5005" s="8">
        <f>IFERROR(__xludf.DUMMYFUNCTION("""COMPUTED_VALUE"""),0.325)</f>
        <v>0.325</v>
      </c>
      <c r="E5005" s="8" t="str">
        <f>IFERROR(__xludf.DUMMYFUNCTION("""COMPUTED_VALUE"""),"Real")</f>
        <v>Real</v>
      </c>
      <c r="G5005" s="8">
        <f t="shared" si="1"/>
        <v>5</v>
      </c>
      <c r="H5005" s="14">
        <f t="shared" si="2"/>
        <v>28</v>
      </c>
      <c r="I5005" s="15">
        <f t="shared" si="3"/>
        <v>13</v>
      </c>
    </row>
    <row r="5006">
      <c r="A5006" s="8" t="str">
        <f>IFERROR(__xludf.DUMMYFUNCTION("IF('(INGESTA)Datos_consumo_datadis'!A5006&lt;&gt;"""",SPLIT('(INGESTA)Datos_consumo_datadis'!A:A,"",""),"""")"),"ES0031408323131005HX0F")</f>
        <v>ES0031408323131005HX0F</v>
      </c>
      <c r="B5006" s="12">
        <f>IFERROR(__xludf.DUMMYFUNCTION("""COMPUTED_VALUE"""),45074.0)</f>
        <v>45074</v>
      </c>
      <c r="C5006" s="13">
        <f>IFERROR(__xludf.DUMMYFUNCTION("""COMPUTED_VALUE"""),0.5833333333333334)</f>
        <v>0.5833333333</v>
      </c>
      <c r="D5006" s="8">
        <f>IFERROR(__xludf.DUMMYFUNCTION("""COMPUTED_VALUE"""),0.017)</f>
        <v>0.017</v>
      </c>
      <c r="E5006" s="8" t="str">
        <f>IFERROR(__xludf.DUMMYFUNCTION("""COMPUTED_VALUE"""),"Real")</f>
        <v>Real</v>
      </c>
      <c r="G5006" s="8">
        <f t="shared" si="1"/>
        <v>5</v>
      </c>
      <c r="H5006" s="14">
        <f t="shared" si="2"/>
        <v>28</v>
      </c>
      <c r="I5006" s="15">
        <f t="shared" si="3"/>
        <v>14</v>
      </c>
    </row>
    <row r="5007">
      <c r="A5007" s="8" t="str">
        <f>IFERROR(__xludf.DUMMYFUNCTION("IF('(INGESTA)Datos_consumo_datadis'!A5007&lt;&gt;"""",SPLIT('(INGESTA)Datos_consumo_datadis'!A:A,"",""),"""")"),"ES0031408323131005HX0F")</f>
        <v>ES0031408323131005HX0F</v>
      </c>
      <c r="B5007" s="12">
        <f>IFERROR(__xludf.DUMMYFUNCTION("""COMPUTED_VALUE"""),45074.0)</f>
        <v>45074</v>
      </c>
      <c r="C5007" s="13">
        <f>IFERROR(__xludf.DUMMYFUNCTION("""COMPUTED_VALUE"""),0.625)</f>
        <v>0.625</v>
      </c>
      <c r="D5007" s="8">
        <f>IFERROR(__xludf.DUMMYFUNCTION("""COMPUTED_VALUE"""),0.102)</f>
        <v>0.102</v>
      </c>
      <c r="E5007" s="8" t="str">
        <f>IFERROR(__xludf.DUMMYFUNCTION("""COMPUTED_VALUE"""),"Real")</f>
        <v>Real</v>
      </c>
      <c r="G5007" s="8">
        <f t="shared" si="1"/>
        <v>5</v>
      </c>
      <c r="H5007" s="14">
        <f t="shared" si="2"/>
        <v>28</v>
      </c>
      <c r="I5007" s="15">
        <f t="shared" si="3"/>
        <v>15</v>
      </c>
    </row>
    <row r="5008">
      <c r="A5008" s="8" t="str">
        <f>IFERROR(__xludf.DUMMYFUNCTION("IF('(INGESTA)Datos_consumo_datadis'!A5008&lt;&gt;"""",SPLIT('(INGESTA)Datos_consumo_datadis'!A:A,"",""),"""")"),"ES0031408323131005HX0F")</f>
        <v>ES0031408323131005HX0F</v>
      </c>
      <c r="B5008" s="12">
        <f>IFERROR(__xludf.DUMMYFUNCTION("""COMPUTED_VALUE"""),45074.0)</f>
        <v>45074</v>
      </c>
      <c r="C5008" s="13">
        <f>IFERROR(__xludf.DUMMYFUNCTION("""COMPUTED_VALUE"""),0.6666666666666666)</f>
        <v>0.6666666667</v>
      </c>
      <c r="D5008" s="8">
        <f>IFERROR(__xludf.DUMMYFUNCTION("""COMPUTED_VALUE"""),0.061)</f>
        <v>0.061</v>
      </c>
      <c r="E5008" s="8" t="str">
        <f>IFERROR(__xludf.DUMMYFUNCTION("""COMPUTED_VALUE"""),"Real")</f>
        <v>Real</v>
      </c>
      <c r="G5008" s="8">
        <f t="shared" si="1"/>
        <v>5</v>
      </c>
      <c r="H5008" s="14">
        <f t="shared" si="2"/>
        <v>28</v>
      </c>
      <c r="I5008" s="15">
        <f t="shared" si="3"/>
        <v>16</v>
      </c>
    </row>
    <row r="5009">
      <c r="A5009" s="8" t="str">
        <f>IFERROR(__xludf.DUMMYFUNCTION("IF('(INGESTA)Datos_consumo_datadis'!A5009&lt;&gt;"""",SPLIT('(INGESTA)Datos_consumo_datadis'!A:A,"",""),"""")"),"ES0031408323131005HX0F")</f>
        <v>ES0031408323131005HX0F</v>
      </c>
      <c r="B5009" s="12">
        <f>IFERROR(__xludf.DUMMYFUNCTION("""COMPUTED_VALUE"""),45074.0)</f>
        <v>45074</v>
      </c>
      <c r="C5009" s="13">
        <f>IFERROR(__xludf.DUMMYFUNCTION("""COMPUTED_VALUE"""),0.7083333333333334)</f>
        <v>0.7083333333</v>
      </c>
      <c r="D5009" s="8">
        <f>IFERROR(__xludf.DUMMYFUNCTION("""COMPUTED_VALUE"""),0.017)</f>
        <v>0.017</v>
      </c>
      <c r="E5009" s="8" t="str">
        <f>IFERROR(__xludf.DUMMYFUNCTION("""COMPUTED_VALUE"""),"Real")</f>
        <v>Real</v>
      </c>
      <c r="G5009" s="8">
        <f t="shared" si="1"/>
        <v>5</v>
      </c>
      <c r="H5009" s="14">
        <f t="shared" si="2"/>
        <v>28</v>
      </c>
      <c r="I5009" s="15">
        <f t="shared" si="3"/>
        <v>17</v>
      </c>
    </row>
    <row r="5010">
      <c r="A5010" s="8" t="str">
        <f>IFERROR(__xludf.DUMMYFUNCTION("IF('(INGESTA)Datos_consumo_datadis'!A5010&lt;&gt;"""",SPLIT('(INGESTA)Datos_consumo_datadis'!A:A,"",""),"""")"),"ES0031408323131005HX0F")</f>
        <v>ES0031408323131005HX0F</v>
      </c>
      <c r="B5010" s="12">
        <f>IFERROR(__xludf.DUMMYFUNCTION("""COMPUTED_VALUE"""),45074.0)</f>
        <v>45074</v>
      </c>
      <c r="C5010" s="13">
        <f>IFERROR(__xludf.DUMMYFUNCTION("""COMPUTED_VALUE"""),0.75)</f>
        <v>0.75</v>
      </c>
      <c r="D5010" s="8">
        <f>IFERROR(__xludf.DUMMYFUNCTION("""COMPUTED_VALUE"""),0.099)</f>
        <v>0.099</v>
      </c>
      <c r="E5010" s="8" t="str">
        <f>IFERROR(__xludf.DUMMYFUNCTION("""COMPUTED_VALUE"""),"Real")</f>
        <v>Real</v>
      </c>
      <c r="G5010" s="8">
        <f t="shared" si="1"/>
        <v>5</v>
      </c>
      <c r="H5010" s="14">
        <f t="shared" si="2"/>
        <v>28</v>
      </c>
      <c r="I5010" s="15">
        <f t="shared" si="3"/>
        <v>18</v>
      </c>
    </row>
    <row r="5011">
      <c r="A5011" s="8" t="str">
        <f>IFERROR(__xludf.DUMMYFUNCTION("IF('(INGESTA)Datos_consumo_datadis'!A5011&lt;&gt;"""",SPLIT('(INGESTA)Datos_consumo_datadis'!A:A,"",""),"""")"),"ES0031408323131005HX0F")</f>
        <v>ES0031408323131005HX0F</v>
      </c>
      <c r="B5011" s="12">
        <f>IFERROR(__xludf.DUMMYFUNCTION("""COMPUTED_VALUE"""),45074.0)</f>
        <v>45074</v>
      </c>
      <c r="C5011" s="13">
        <f>IFERROR(__xludf.DUMMYFUNCTION("""COMPUTED_VALUE"""),0.7916666666666666)</f>
        <v>0.7916666667</v>
      </c>
      <c r="D5011" s="8">
        <f>IFERROR(__xludf.DUMMYFUNCTION("""COMPUTED_VALUE"""),0.064)</f>
        <v>0.064</v>
      </c>
      <c r="E5011" s="8" t="str">
        <f>IFERROR(__xludf.DUMMYFUNCTION("""COMPUTED_VALUE"""),"Real")</f>
        <v>Real</v>
      </c>
      <c r="G5011" s="8">
        <f t="shared" si="1"/>
        <v>5</v>
      </c>
      <c r="H5011" s="14">
        <f t="shared" si="2"/>
        <v>28</v>
      </c>
      <c r="I5011" s="15">
        <f t="shared" si="3"/>
        <v>19</v>
      </c>
    </row>
    <row r="5012">
      <c r="A5012" s="8" t="str">
        <f>IFERROR(__xludf.DUMMYFUNCTION("IF('(INGESTA)Datos_consumo_datadis'!A5012&lt;&gt;"""",SPLIT('(INGESTA)Datos_consumo_datadis'!A:A,"",""),"""")"),"ES0031408323131005HX0F")</f>
        <v>ES0031408323131005HX0F</v>
      </c>
      <c r="B5012" s="12">
        <f>IFERROR(__xludf.DUMMYFUNCTION("""COMPUTED_VALUE"""),45074.0)</f>
        <v>45074</v>
      </c>
      <c r="C5012" s="13">
        <f>IFERROR(__xludf.DUMMYFUNCTION("""COMPUTED_VALUE"""),0.8333333333333334)</f>
        <v>0.8333333333</v>
      </c>
      <c r="D5012" s="8">
        <f>IFERROR(__xludf.DUMMYFUNCTION("""COMPUTED_VALUE"""),0.279)</f>
        <v>0.279</v>
      </c>
      <c r="E5012" s="8" t="str">
        <f>IFERROR(__xludf.DUMMYFUNCTION("""COMPUTED_VALUE"""),"Real")</f>
        <v>Real</v>
      </c>
      <c r="G5012" s="8">
        <f t="shared" si="1"/>
        <v>5</v>
      </c>
      <c r="H5012" s="14">
        <f t="shared" si="2"/>
        <v>28</v>
      </c>
      <c r="I5012" s="15">
        <f t="shared" si="3"/>
        <v>20</v>
      </c>
    </row>
    <row r="5013">
      <c r="A5013" s="8" t="str">
        <f>IFERROR(__xludf.DUMMYFUNCTION("IF('(INGESTA)Datos_consumo_datadis'!A5013&lt;&gt;"""",SPLIT('(INGESTA)Datos_consumo_datadis'!A:A,"",""),"""")"),"ES0031408323131005HX0F")</f>
        <v>ES0031408323131005HX0F</v>
      </c>
      <c r="B5013" s="12">
        <f>IFERROR(__xludf.DUMMYFUNCTION("""COMPUTED_VALUE"""),45074.0)</f>
        <v>45074</v>
      </c>
      <c r="C5013" s="13">
        <f>IFERROR(__xludf.DUMMYFUNCTION("""COMPUTED_VALUE"""),0.875)</f>
        <v>0.875</v>
      </c>
      <c r="D5013" s="8">
        <f>IFERROR(__xludf.DUMMYFUNCTION("""COMPUTED_VALUE"""),0.096)</f>
        <v>0.096</v>
      </c>
      <c r="E5013" s="8" t="str">
        <f>IFERROR(__xludf.DUMMYFUNCTION("""COMPUTED_VALUE"""),"Real")</f>
        <v>Real</v>
      </c>
      <c r="G5013" s="8">
        <f t="shared" si="1"/>
        <v>5</v>
      </c>
      <c r="H5013" s="14">
        <f t="shared" si="2"/>
        <v>28</v>
      </c>
      <c r="I5013" s="15">
        <f t="shared" si="3"/>
        <v>21</v>
      </c>
    </row>
    <row r="5014">
      <c r="A5014" s="8" t="str">
        <f>IFERROR(__xludf.DUMMYFUNCTION("IF('(INGESTA)Datos_consumo_datadis'!A5014&lt;&gt;"""",SPLIT('(INGESTA)Datos_consumo_datadis'!A:A,"",""),"""")"),"ES0031408323131005HX0F")</f>
        <v>ES0031408323131005HX0F</v>
      </c>
      <c r="B5014" s="12">
        <f>IFERROR(__xludf.DUMMYFUNCTION("""COMPUTED_VALUE"""),45074.0)</f>
        <v>45074</v>
      </c>
      <c r="C5014" s="13">
        <f>IFERROR(__xludf.DUMMYFUNCTION("""COMPUTED_VALUE"""),0.9166666666666666)</f>
        <v>0.9166666667</v>
      </c>
      <c r="D5014" s="8">
        <f>IFERROR(__xludf.DUMMYFUNCTION("""COMPUTED_VALUE"""),0.093)</f>
        <v>0.093</v>
      </c>
      <c r="E5014" s="8" t="str">
        <f>IFERROR(__xludf.DUMMYFUNCTION("""COMPUTED_VALUE"""),"Real")</f>
        <v>Real</v>
      </c>
      <c r="G5014" s="8">
        <f t="shared" si="1"/>
        <v>5</v>
      </c>
      <c r="H5014" s="14">
        <f t="shared" si="2"/>
        <v>28</v>
      </c>
      <c r="I5014" s="15">
        <f t="shared" si="3"/>
        <v>22</v>
      </c>
    </row>
    <row r="5015">
      <c r="A5015" s="8" t="str">
        <f>IFERROR(__xludf.DUMMYFUNCTION("IF('(INGESTA)Datos_consumo_datadis'!A5015&lt;&gt;"""",SPLIT('(INGESTA)Datos_consumo_datadis'!A:A,"",""),"""")"),"ES0031408323131005HX0F")</f>
        <v>ES0031408323131005HX0F</v>
      </c>
      <c r="B5015" s="12">
        <f>IFERROR(__xludf.DUMMYFUNCTION("""COMPUTED_VALUE"""),45074.0)</f>
        <v>45074</v>
      </c>
      <c r="C5015" s="13">
        <f>IFERROR(__xludf.DUMMYFUNCTION("""COMPUTED_VALUE"""),0.9583333333333334)</f>
        <v>0.9583333333</v>
      </c>
      <c r="D5015" s="8">
        <f>IFERROR(__xludf.DUMMYFUNCTION("""COMPUTED_VALUE"""),0.358)</f>
        <v>0.358</v>
      </c>
      <c r="E5015" s="8" t="str">
        <f>IFERROR(__xludf.DUMMYFUNCTION("""COMPUTED_VALUE"""),"Real")</f>
        <v>Real</v>
      </c>
      <c r="G5015" s="8">
        <f t="shared" si="1"/>
        <v>5</v>
      </c>
      <c r="H5015" s="14">
        <f t="shared" si="2"/>
        <v>28</v>
      </c>
      <c r="I5015" s="15">
        <f t="shared" si="3"/>
        <v>23</v>
      </c>
    </row>
    <row r="5016">
      <c r="A5016" s="8" t="str">
        <f>IFERROR(__xludf.DUMMYFUNCTION("IF('(INGESTA)Datos_consumo_datadis'!A5016&lt;&gt;"""",SPLIT('(INGESTA)Datos_consumo_datadis'!A:A,"",""),"""")"),"ES0031408323131005HX0F")</f>
        <v>ES0031408323131005HX0F</v>
      </c>
      <c r="B5016" s="12">
        <f>IFERROR(__xludf.DUMMYFUNCTION("""COMPUTED_VALUE"""),45074.0)</f>
        <v>45074</v>
      </c>
      <c r="C5016" s="16">
        <f>IFERROR(__xludf.DUMMYFUNCTION("""COMPUTED_VALUE"""),1.0)</f>
        <v>1</v>
      </c>
      <c r="D5016" s="8">
        <f>IFERROR(__xludf.DUMMYFUNCTION("""COMPUTED_VALUE"""),0.329)</f>
        <v>0.329</v>
      </c>
      <c r="E5016" s="8" t="str">
        <f>IFERROR(__xludf.DUMMYFUNCTION("""COMPUTED_VALUE"""),"Real")</f>
        <v>Real</v>
      </c>
      <c r="G5016" s="8">
        <f t="shared" si="1"/>
        <v>5</v>
      </c>
      <c r="H5016" s="14">
        <f t="shared" si="2"/>
        <v>28</v>
      </c>
      <c r="I5016" s="15">
        <f t="shared" si="3"/>
        <v>0</v>
      </c>
    </row>
    <row r="5017">
      <c r="A5017" s="8" t="str">
        <f>IFERROR(__xludf.DUMMYFUNCTION("IF('(INGESTA)Datos_consumo_datadis'!A5017&lt;&gt;"""",SPLIT('(INGESTA)Datos_consumo_datadis'!A:A,"",""),"""")"),"ES0031408323131005HX0F")</f>
        <v>ES0031408323131005HX0F</v>
      </c>
      <c r="B5017" s="12">
        <f>IFERROR(__xludf.DUMMYFUNCTION("""COMPUTED_VALUE"""),45075.0)</f>
        <v>45075</v>
      </c>
      <c r="C5017" s="13">
        <f>IFERROR(__xludf.DUMMYFUNCTION("""COMPUTED_VALUE"""),0.041666666666666664)</f>
        <v>0.04166666667</v>
      </c>
      <c r="D5017" s="8">
        <f>IFERROR(__xludf.DUMMYFUNCTION("""COMPUTED_VALUE"""),0.728)</f>
        <v>0.728</v>
      </c>
      <c r="E5017" s="8" t="str">
        <f>IFERROR(__xludf.DUMMYFUNCTION("""COMPUTED_VALUE"""),"Real")</f>
        <v>Real</v>
      </c>
      <c r="G5017" s="8">
        <f t="shared" si="1"/>
        <v>5</v>
      </c>
      <c r="H5017" s="14">
        <f t="shared" si="2"/>
        <v>29</v>
      </c>
      <c r="I5017" s="15">
        <f t="shared" si="3"/>
        <v>1</v>
      </c>
    </row>
    <row r="5018">
      <c r="A5018" s="8" t="str">
        <f>IFERROR(__xludf.DUMMYFUNCTION("IF('(INGESTA)Datos_consumo_datadis'!A5018&lt;&gt;"""",SPLIT('(INGESTA)Datos_consumo_datadis'!A:A,"",""),"""")"),"ES0031408323131005HX0F")</f>
        <v>ES0031408323131005HX0F</v>
      </c>
      <c r="B5018" s="12">
        <f>IFERROR(__xludf.DUMMYFUNCTION("""COMPUTED_VALUE"""),45075.0)</f>
        <v>45075</v>
      </c>
      <c r="C5018" s="13">
        <f>IFERROR(__xludf.DUMMYFUNCTION("""COMPUTED_VALUE"""),0.08333333333333333)</f>
        <v>0.08333333333</v>
      </c>
      <c r="D5018" s="8">
        <f>IFERROR(__xludf.DUMMYFUNCTION("""COMPUTED_VALUE"""),0.099)</f>
        <v>0.099</v>
      </c>
      <c r="E5018" s="8" t="str">
        <f>IFERROR(__xludf.DUMMYFUNCTION("""COMPUTED_VALUE"""),"Real")</f>
        <v>Real</v>
      </c>
      <c r="G5018" s="8">
        <f t="shared" si="1"/>
        <v>5</v>
      </c>
      <c r="H5018" s="14">
        <f t="shared" si="2"/>
        <v>29</v>
      </c>
      <c r="I5018" s="15">
        <f t="shared" si="3"/>
        <v>2</v>
      </c>
    </row>
    <row r="5019">
      <c r="A5019" s="8" t="str">
        <f>IFERROR(__xludf.DUMMYFUNCTION("IF('(INGESTA)Datos_consumo_datadis'!A5019&lt;&gt;"""",SPLIT('(INGESTA)Datos_consumo_datadis'!A:A,"",""),"""")"),"ES0031408323131005HX0F")</f>
        <v>ES0031408323131005HX0F</v>
      </c>
      <c r="B5019" s="12">
        <f>IFERROR(__xludf.DUMMYFUNCTION("""COMPUTED_VALUE"""),45075.0)</f>
        <v>45075</v>
      </c>
      <c r="C5019" s="13">
        <f>IFERROR(__xludf.DUMMYFUNCTION("""COMPUTED_VALUE"""),0.125)</f>
        <v>0.125</v>
      </c>
      <c r="D5019" s="8">
        <f>IFERROR(__xludf.DUMMYFUNCTION("""COMPUTED_VALUE"""),0.11)</f>
        <v>0.11</v>
      </c>
      <c r="E5019" s="8" t="str">
        <f>IFERROR(__xludf.DUMMYFUNCTION("""COMPUTED_VALUE"""),"Real")</f>
        <v>Real</v>
      </c>
      <c r="G5019" s="8">
        <f t="shared" si="1"/>
        <v>5</v>
      </c>
      <c r="H5019" s="14">
        <f t="shared" si="2"/>
        <v>29</v>
      </c>
      <c r="I5019" s="15">
        <f t="shared" si="3"/>
        <v>3</v>
      </c>
    </row>
    <row r="5020">
      <c r="A5020" s="8" t="str">
        <f>IFERROR(__xludf.DUMMYFUNCTION("IF('(INGESTA)Datos_consumo_datadis'!A5020&lt;&gt;"""",SPLIT('(INGESTA)Datos_consumo_datadis'!A:A,"",""),"""")"),"ES0031408323131005HX0F")</f>
        <v>ES0031408323131005HX0F</v>
      </c>
      <c r="B5020" s="12">
        <f>IFERROR(__xludf.DUMMYFUNCTION("""COMPUTED_VALUE"""),45075.0)</f>
        <v>45075</v>
      </c>
      <c r="C5020" s="13">
        <f>IFERROR(__xludf.DUMMYFUNCTION("""COMPUTED_VALUE"""),0.16666666666666666)</f>
        <v>0.1666666667</v>
      </c>
      <c r="D5020" s="8">
        <f>IFERROR(__xludf.DUMMYFUNCTION("""COMPUTED_VALUE"""),0.114)</f>
        <v>0.114</v>
      </c>
      <c r="E5020" s="8" t="str">
        <f>IFERROR(__xludf.DUMMYFUNCTION("""COMPUTED_VALUE"""),"Real")</f>
        <v>Real</v>
      </c>
      <c r="G5020" s="8">
        <f t="shared" si="1"/>
        <v>5</v>
      </c>
      <c r="H5020" s="14">
        <f t="shared" si="2"/>
        <v>29</v>
      </c>
      <c r="I5020" s="15">
        <f t="shared" si="3"/>
        <v>4</v>
      </c>
    </row>
    <row r="5021">
      <c r="A5021" s="8" t="str">
        <f>IFERROR(__xludf.DUMMYFUNCTION("IF('(INGESTA)Datos_consumo_datadis'!A5021&lt;&gt;"""",SPLIT('(INGESTA)Datos_consumo_datadis'!A:A,"",""),"""")"),"ES0031408323131005HX0F")</f>
        <v>ES0031408323131005HX0F</v>
      </c>
      <c r="B5021" s="12">
        <f>IFERROR(__xludf.DUMMYFUNCTION("""COMPUTED_VALUE"""),45075.0)</f>
        <v>45075</v>
      </c>
      <c r="C5021" s="13">
        <f>IFERROR(__xludf.DUMMYFUNCTION("""COMPUTED_VALUE"""),0.20833333333333334)</f>
        <v>0.2083333333</v>
      </c>
      <c r="D5021" s="8">
        <f>IFERROR(__xludf.DUMMYFUNCTION("""COMPUTED_VALUE"""),0.315)</f>
        <v>0.315</v>
      </c>
      <c r="E5021" s="8" t="str">
        <f>IFERROR(__xludf.DUMMYFUNCTION("""COMPUTED_VALUE"""),"Real")</f>
        <v>Real</v>
      </c>
      <c r="G5021" s="8">
        <f t="shared" si="1"/>
        <v>5</v>
      </c>
      <c r="H5021" s="14">
        <f t="shared" si="2"/>
        <v>29</v>
      </c>
      <c r="I5021" s="15">
        <f t="shared" si="3"/>
        <v>5</v>
      </c>
    </row>
    <row r="5022">
      <c r="A5022" s="8" t="str">
        <f>IFERROR(__xludf.DUMMYFUNCTION("IF('(INGESTA)Datos_consumo_datadis'!A5022&lt;&gt;"""",SPLIT('(INGESTA)Datos_consumo_datadis'!A:A,"",""),"""")"),"ES0031408323131005HX0F")</f>
        <v>ES0031408323131005HX0F</v>
      </c>
      <c r="B5022" s="12">
        <f>IFERROR(__xludf.DUMMYFUNCTION("""COMPUTED_VALUE"""),45075.0)</f>
        <v>45075</v>
      </c>
      <c r="C5022" s="13">
        <f>IFERROR(__xludf.DUMMYFUNCTION("""COMPUTED_VALUE"""),0.25)</f>
        <v>0.25</v>
      </c>
      <c r="D5022" s="8">
        <f>IFERROR(__xludf.DUMMYFUNCTION("""COMPUTED_VALUE"""),0.032)</f>
        <v>0.032</v>
      </c>
      <c r="E5022" s="8" t="str">
        <f>IFERROR(__xludf.DUMMYFUNCTION("""COMPUTED_VALUE"""),"Real")</f>
        <v>Real</v>
      </c>
      <c r="G5022" s="8">
        <f t="shared" si="1"/>
        <v>5</v>
      </c>
      <c r="H5022" s="14">
        <f t="shared" si="2"/>
        <v>29</v>
      </c>
      <c r="I5022" s="15">
        <f t="shared" si="3"/>
        <v>6</v>
      </c>
    </row>
    <row r="5023">
      <c r="A5023" s="8" t="str">
        <f>IFERROR(__xludf.DUMMYFUNCTION("IF('(INGESTA)Datos_consumo_datadis'!A5023&lt;&gt;"""",SPLIT('(INGESTA)Datos_consumo_datadis'!A:A,"",""),"""")"),"ES0031408323131005HX0F")</f>
        <v>ES0031408323131005HX0F</v>
      </c>
      <c r="B5023" s="12">
        <f>IFERROR(__xludf.DUMMYFUNCTION("""COMPUTED_VALUE"""),45075.0)</f>
        <v>45075</v>
      </c>
      <c r="C5023" s="13">
        <f>IFERROR(__xludf.DUMMYFUNCTION("""COMPUTED_VALUE"""),0.2916666666666667)</f>
        <v>0.2916666667</v>
      </c>
      <c r="D5023" s="8">
        <f>IFERROR(__xludf.DUMMYFUNCTION("""COMPUTED_VALUE"""),0.115)</f>
        <v>0.115</v>
      </c>
      <c r="E5023" s="8" t="str">
        <f>IFERROR(__xludf.DUMMYFUNCTION("""COMPUTED_VALUE"""),"Real")</f>
        <v>Real</v>
      </c>
      <c r="G5023" s="8">
        <f t="shared" si="1"/>
        <v>5</v>
      </c>
      <c r="H5023" s="14">
        <f t="shared" si="2"/>
        <v>29</v>
      </c>
      <c r="I5023" s="15">
        <f t="shared" si="3"/>
        <v>7</v>
      </c>
    </row>
    <row r="5024">
      <c r="A5024" s="8" t="str">
        <f>IFERROR(__xludf.DUMMYFUNCTION("IF('(INGESTA)Datos_consumo_datadis'!A5024&lt;&gt;"""",SPLIT('(INGESTA)Datos_consumo_datadis'!A:A,"",""),"""")"),"ES0031408323131005HX0F")</f>
        <v>ES0031408323131005HX0F</v>
      </c>
      <c r="B5024" s="12">
        <f>IFERROR(__xludf.DUMMYFUNCTION("""COMPUTED_VALUE"""),45075.0)</f>
        <v>45075</v>
      </c>
      <c r="C5024" s="13">
        <f>IFERROR(__xludf.DUMMYFUNCTION("""COMPUTED_VALUE"""),0.3333333333333333)</f>
        <v>0.3333333333</v>
      </c>
      <c r="D5024" s="8">
        <f>IFERROR(__xludf.DUMMYFUNCTION("""COMPUTED_VALUE"""),0.125)</f>
        <v>0.125</v>
      </c>
      <c r="E5024" s="8" t="str">
        <f>IFERROR(__xludf.DUMMYFUNCTION("""COMPUTED_VALUE"""),"Real")</f>
        <v>Real</v>
      </c>
      <c r="G5024" s="8">
        <f t="shared" si="1"/>
        <v>5</v>
      </c>
      <c r="H5024" s="14">
        <f t="shared" si="2"/>
        <v>29</v>
      </c>
      <c r="I5024" s="15">
        <f t="shared" si="3"/>
        <v>8</v>
      </c>
    </row>
    <row r="5025">
      <c r="A5025" s="8" t="str">
        <f>IFERROR(__xludf.DUMMYFUNCTION("IF('(INGESTA)Datos_consumo_datadis'!A5025&lt;&gt;"""",SPLIT('(INGESTA)Datos_consumo_datadis'!A:A,"",""),"""")"),"ES0031408323131005HX0F")</f>
        <v>ES0031408323131005HX0F</v>
      </c>
      <c r="B5025" s="12">
        <f>IFERROR(__xludf.DUMMYFUNCTION("""COMPUTED_VALUE"""),45075.0)</f>
        <v>45075</v>
      </c>
      <c r="C5025" s="13">
        <f>IFERROR(__xludf.DUMMYFUNCTION("""COMPUTED_VALUE"""),0.375)</f>
        <v>0.375</v>
      </c>
      <c r="D5025" s="8">
        <f>IFERROR(__xludf.DUMMYFUNCTION("""COMPUTED_VALUE"""),0.481)</f>
        <v>0.481</v>
      </c>
      <c r="E5025" s="8" t="str">
        <f>IFERROR(__xludf.DUMMYFUNCTION("""COMPUTED_VALUE"""),"Real")</f>
        <v>Real</v>
      </c>
      <c r="G5025" s="8">
        <f t="shared" si="1"/>
        <v>5</v>
      </c>
      <c r="H5025" s="14">
        <f t="shared" si="2"/>
        <v>29</v>
      </c>
      <c r="I5025" s="15">
        <f t="shared" si="3"/>
        <v>9</v>
      </c>
    </row>
    <row r="5026">
      <c r="A5026" s="8" t="str">
        <f>IFERROR(__xludf.DUMMYFUNCTION("IF('(INGESTA)Datos_consumo_datadis'!A5026&lt;&gt;"""",SPLIT('(INGESTA)Datos_consumo_datadis'!A:A,"",""),"""")"),"ES0031408323131005HX0F")</f>
        <v>ES0031408323131005HX0F</v>
      </c>
      <c r="B5026" s="12">
        <f>IFERROR(__xludf.DUMMYFUNCTION("""COMPUTED_VALUE"""),45075.0)</f>
        <v>45075</v>
      </c>
      <c r="C5026" s="13">
        <f>IFERROR(__xludf.DUMMYFUNCTION("""COMPUTED_VALUE"""),0.4166666666666667)</f>
        <v>0.4166666667</v>
      </c>
      <c r="D5026" s="8">
        <f>IFERROR(__xludf.DUMMYFUNCTION("""COMPUTED_VALUE"""),0.477)</f>
        <v>0.477</v>
      </c>
      <c r="E5026" s="8" t="str">
        <f>IFERROR(__xludf.DUMMYFUNCTION("""COMPUTED_VALUE"""),"Real")</f>
        <v>Real</v>
      </c>
      <c r="G5026" s="8">
        <f t="shared" si="1"/>
        <v>5</v>
      </c>
      <c r="H5026" s="14">
        <f t="shared" si="2"/>
        <v>29</v>
      </c>
      <c r="I5026" s="15">
        <f t="shared" si="3"/>
        <v>10</v>
      </c>
    </row>
    <row r="5027">
      <c r="A5027" s="8" t="str">
        <f>IFERROR(__xludf.DUMMYFUNCTION("IF('(INGESTA)Datos_consumo_datadis'!A5027&lt;&gt;"""",SPLIT('(INGESTA)Datos_consumo_datadis'!A:A,"",""),"""")"),"ES0031408323131005HX0F")</f>
        <v>ES0031408323131005HX0F</v>
      </c>
      <c r="B5027" s="12">
        <f>IFERROR(__xludf.DUMMYFUNCTION("""COMPUTED_VALUE"""),45075.0)</f>
        <v>45075</v>
      </c>
      <c r="C5027" s="13">
        <f>IFERROR(__xludf.DUMMYFUNCTION("""COMPUTED_VALUE"""),0.4583333333333333)</f>
        <v>0.4583333333</v>
      </c>
      <c r="D5027" s="8">
        <f>IFERROR(__xludf.DUMMYFUNCTION("""COMPUTED_VALUE"""),0.426)</f>
        <v>0.426</v>
      </c>
      <c r="E5027" s="8" t="str">
        <f>IFERROR(__xludf.DUMMYFUNCTION("""COMPUTED_VALUE"""),"Real")</f>
        <v>Real</v>
      </c>
      <c r="G5027" s="8">
        <f t="shared" si="1"/>
        <v>5</v>
      </c>
      <c r="H5027" s="14">
        <f t="shared" si="2"/>
        <v>29</v>
      </c>
      <c r="I5027" s="15">
        <f t="shared" si="3"/>
        <v>11</v>
      </c>
    </row>
    <row r="5028">
      <c r="A5028" s="8" t="str">
        <f>IFERROR(__xludf.DUMMYFUNCTION("IF('(INGESTA)Datos_consumo_datadis'!A5028&lt;&gt;"""",SPLIT('(INGESTA)Datos_consumo_datadis'!A:A,"",""),"""")"),"ES0031408323131005HX0F")</f>
        <v>ES0031408323131005HX0F</v>
      </c>
      <c r="B5028" s="12">
        <f>IFERROR(__xludf.DUMMYFUNCTION("""COMPUTED_VALUE"""),45075.0)</f>
        <v>45075</v>
      </c>
      <c r="C5028" s="13">
        <f>IFERROR(__xludf.DUMMYFUNCTION("""COMPUTED_VALUE"""),0.5)</f>
        <v>0.5</v>
      </c>
      <c r="D5028" s="8">
        <f>IFERROR(__xludf.DUMMYFUNCTION("""COMPUTED_VALUE"""),2.096)</f>
        <v>2.096</v>
      </c>
      <c r="E5028" s="8" t="str">
        <f>IFERROR(__xludf.DUMMYFUNCTION("""COMPUTED_VALUE"""),"Real")</f>
        <v>Real</v>
      </c>
      <c r="G5028" s="8">
        <f t="shared" si="1"/>
        <v>5</v>
      </c>
      <c r="H5028" s="14">
        <f t="shared" si="2"/>
        <v>29</v>
      </c>
      <c r="I5028" s="15">
        <f t="shared" si="3"/>
        <v>12</v>
      </c>
    </row>
    <row r="5029">
      <c r="A5029" s="8" t="str">
        <f>IFERROR(__xludf.DUMMYFUNCTION("IF('(INGESTA)Datos_consumo_datadis'!A5029&lt;&gt;"""",SPLIT('(INGESTA)Datos_consumo_datadis'!A:A,"",""),"""")"),"ES0031408323131005HX0F")</f>
        <v>ES0031408323131005HX0F</v>
      </c>
      <c r="B5029" s="12">
        <f>IFERROR(__xludf.DUMMYFUNCTION("""COMPUTED_VALUE"""),45075.0)</f>
        <v>45075</v>
      </c>
      <c r="C5029" s="13">
        <f>IFERROR(__xludf.DUMMYFUNCTION("""COMPUTED_VALUE"""),0.5416666666666666)</f>
        <v>0.5416666667</v>
      </c>
      <c r="D5029" s="8">
        <f>IFERROR(__xludf.DUMMYFUNCTION("""COMPUTED_VALUE"""),0.612)</f>
        <v>0.612</v>
      </c>
      <c r="E5029" s="8" t="str">
        <f>IFERROR(__xludf.DUMMYFUNCTION("""COMPUTED_VALUE"""),"Real")</f>
        <v>Real</v>
      </c>
      <c r="G5029" s="8">
        <f t="shared" si="1"/>
        <v>5</v>
      </c>
      <c r="H5029" s="14">
        <f t="shared" si="2"/>
        <v>29</v>
      </c>
      <c r="I5029" s="15">
        <f t="shared" si="3"/>
        <v>13</v>
      </c>
    </row>
    <row r="5030">
      <c r="A5030" s="8" t="str">
        <f>IFERROR(__xludf.DUMMYFUNCTION("IF('(INGESTA)Datos_consumo_datadis'!A5030&lt;&gt;"""",SPLIT('(INGESTA)Datos_consumo_datadis'!A:A,"",""),"""")"),"ES0031408323131005HX0F")</f>
        <v>ES0031408323131005HX0F</v>
      </c>
      <c r="B5030" s="12">
        <f>IFERROR(__xludf.DUMMYFUNCTION("""COMPUTED_VALUE"""),45075.0)</f>
        <v>45075</v>
      </c>
      <c r="C5030" s="13">
        <f>IFERROR(__xludf.DUMMYFUNCTION("""COMPUTED_VALUE"""),0.5833333333333334)</f>
        <v>0.5833333333</v>
      </c>
      <c r="D5030" s="8">
        <f>IFERROR(__xludf.DUMMYFUNCTION("""COMPUTED_VALUE"""),0.107)</f>
        <v>0.107</v>
      </c>
      <c r="E5030" s="8" t="str">
        <f>IFERROR(__xludf.DUMMYFUNCTION("""COMPUTED_VALUE"""),"Real")</f>
        <v>Real</v>
      </c>
      <c r="G5030" s="8">
        <f t="shared" si="1"/>
        <v>5</v>
      </c>
      <c r="H5030" s="14">
        <f t="shared" si="2"/>
        <v>29</v>
      </c>
      <c r="I5030" s="15">
        <f t="shared" si="3"/>
        <v>14</v>
      </c>
    </row>
    <row r="5031">
      <c r="A5031" s="8" t="str">
        <f>IFERROR(__xludf.DUMMYFUNCTION("IF('(INGESTA)Datos_consumo_datadis'!A5031&lt;&gt;"""",SPLIT('(INGESTA)Datos_consumo_datadis'!A:A,"",""),"""")"),"ES0031408323131005HX0F")</f>
        <v>ES0031408323131005HX0F</v>
      </c>
      <c r="B5031" s="12">
        <f>IFERROR(__xludf.DUMMYFUNCTION("""COMPUTED_VALUE"""),45075.0)</f>
        <v>45075</v>
      </c>
      <c r="C5031" s="13">
        <f>IFERROR(__xludf.DUMMYFUNCTION("""COMPUTED_VALUE"""),0.625)</f>
        <v>0.625</v>
      </c>
      <c r="D5031" s="8">
        <f>IFERROR(__xludf.DUMMYFUNCTION("""COMPUTED_VALUE"""),0.062)</f>
        <v>0.062</v>
      </c>
      <c r="E5031" s="8" t="str">
        <f>IFERROR(__xludf.DUMMYFUNCTION("""COMPUTED_VALUE"""),"Real")</f>
        <v>Real</v>
      </c>
      <c r="G5031" s="8">
        <f t="shared" si="1"/>
        <v>5</v>
      </c>
      <c r="H5031" s="14">
        <f t="shared" si="2"/>
        <v>29</v>
      </c>
      <c r="I5031" s="15">
        <f t="shared" si="3"/>
        <v>15</v>
      </c>
    </row>
    <row r="5032">
      <c r="A5032" s="8" t="str">
        <f>IFERROR(__xludf.DUMMYFUNCTION("IF('(INGESTA)Datos_consumo_datadis'!A5032&lt;&gt;"""",SPLIT('(INGESTA)Datos_consumo_datadis'!A:A,"",""),"""")"),"ES0031408323131005HX0F")</f>
        <v>ES0031408323131005HX0F</v>
      </c>
      <c r="B5032" s="12">
        <f>IFERROR(__xludf.DUMMYFUNCTION("""COMPUTED_VALUE"""),45075.0)</f>
        <v>45075</v>
      </c>
      <c r="C5032" s="13">
        <f>IFERROR(__xludf.DUMMYFUNCTION("""COMPUTED_VALUE"""),0.6666666666666666)</f>
        <v>0.6666666667</v>
      </c>
      <c r="D5032" s="8">
        <f>IFERROR(__xludf.DUMMYFUNCTION("""COMPUTED_VALUE"""),0.015)</f>
        <v>0.015</v>
      </c>
      <c r="E5032" s="8" t="str">
        <f>IFERROR(__xludf.DUMMYFUNCTION("""COMPUTED_VALUE"""),"Real")</f>
        <v>Real</v>
      </c>
      <c r="G5032" s="8">
        <f t="shared" si="1"/>
        <v>5</v>
      </c>
      <c r="H5032" s="14">
        <f t="shared" si="2"/>
        <v>29</v>
      </c>
      <c r="I5032" s="15">
        <f t="shared" si="3"/>
        <v>16</v>
      </c>
    </row>
    <row r="5033">
      <c r="A5033" s="8" t="str">
        <f>IFERROR(__xludf.DUMMYFUNCTION("IF('(INGESTA)Datos_consumo_datadis'!A5033&lt;&gt;"""",SPLIT('(INGESTA)Datos_consumo_datadis'!A:A,"",""),"""")"),"ES0031408323131005HX0F")</f>
        <v>ES0031408323131005HX0F</v>
      </c>
      <c r="B5033" s="12">
        <f>IFERROR(__xludf.DUMMYFUNCTION("""COMPUTED_VALUE"""),45075.0)</f>
        <v>45075</v>
      </c>
      <c r="C5033" s="13">
        <f>IFERROR(__xludf.DUMMYFUNCTION("""COMPUTED_VALUE"""),0.7083333333333334)</f>
        <v>0.7083333333</v>
      </c>
      <c r="D5033" s="8">
        <f>IFERROR(__xludf.DUMMYFUNCTION("""COMPUTED_VALUE"""),0.082)</f>
        <v>0.082</v>
      </c>
      <c r="E5033" s="8" t="str">
        <f>IFERROR(__xludf.DUMMYFUNCTION("""COMPUTED_VALUE"""),"Real")</f>
        <v>Real</v>
      </c>
      <c r="G5033" s="8">
        <f t="shared" si="1"/>
        <v>5</v>
      </c>
      <c r="H5033" s="14">
        <f t="shared" si="2"/>
        <v>29</v>
      </c>
      <c r="I5033" s="15">
        <f t="shared" si="3"/>
        <v>17</v>
      </c>
    </row>
    <row r="5034">
      <c r="A5034" s="8" t="str">
        <f>IFERROR(__xludf.DUMMYFUNCTION("IF('(INGESTA)Datos_consumo_datadis'!A5034&lt;&gt;"""",SPLIT('(INGESTA)Datos_consumo_datadis'!A:A,"",""),"""")"),"ES0031408323131005HX0F")</f>
        <v>ES0031408323131005HX0F</v>
      </c>
      <c r="B5034" s="12">
        <f>IFERROR(__xludf.DUMMYFUNCTION("""COMPUTED_VALUE"""),45075.0)</f>
        <v>45075</v>
      </c>
      <c r="C5034" s="13">
        <f>IFERROR(__xludf.DUMMYFUNCTION("""COMPUTED_VALUE"""),0.75)</f>
        <v>0.75</v>
      </c>
      <c r="D5034" s="8">
        <f>IFERROR(__xludf.DUMMYFUNCTION("""COMPUTED_VALUE"""),0.326)</f>
        <v>0.326</v>
      </c>
      <c r="E5034" s="8" t="str">
        <f>IFERROR(__xludf.DUMMYFUNCTION("""COMPUTED_VALUE"""),"Real")</f>
        <v>Real</v>
      </c>
      <c r="G5034" s="8">
        <f t="shared" si="1"/>
        <v>5</v>
      </c>
      <c r="H5034" s="14">
        <f t="shared" si="2"/>
        <v>29</v>
      </c>
      <c r="I5034" s="15">
        <f t="shared" si="3"/>
        <v>18</v>
      </c>
    </row>
    <row r="5035">
      <c r="A5035" s="8" t="str">
        <f>IFERROR(__xludf.DUMMYFUNCTION("IF('(INGESTA)Datos_consumo_datadis'!A5035&lt;&gt;"""",SPLIT('(INGESTA)Datos_consumo_datadis'!A:A,"",""),"""")"),"ES0031408323131005HX0F")</f>
        <v>ES0031408323131005HX0F</v>
      </c>
      <c r="B5035" s="12">
        <f>IFERROR(__xludf.DUMMYFUNCTION("""COMPUTED_VALUE"""),45075.0)</f>
        <v>45075</v>
      </c>
      <c r="C5035" s="13">
        <f>IFERROR(__xludf.DUMMYFUNCTION("""COMPUTED_VALUE"""),0.7916666666666666)</f>
        <v>0.7916666667</v>
      </c>
      <c r="D5035" s="8">
        <f>IFERROR(__xludf.DUMMYFUNCTION("""COMPUTED_VALUE"""),0.05)</f>
        <v>0.05</v>
      </c>
      <c r="E5035" s="8" t="str">
        <f>IFERROR(__xludf.DUMMYFUNCTION("""COMPUTED_VALUE"""),"Real")</f>
        <v>Real</v>
      </c>
      <c r="G5035" s="8">
        <f t="shared" si="1"/>
        <v>5</v>
      </c>
      <c r="H5035" s="14">
        <f t="shared" si="2"/>
        <v>29</v>
      </c>
      <c r="I5035" s="15">
        <f t="shared" si="3"/>
        <v>19</v>
      </c>
    </row>
    <row r="5036">
      <c r="A5036" s="8" t="str">
        <f>IFERROR(__xludf.DUMMYFUNCTION("IF('(INGESTA)Datos_consumo_datadis'!A5036&lt;&gt;"""",SPLIT('(INGESTA)Datos_consumo_datadis'!A:A,"",""),"""")"),"ES0031408323131005HX0F")</f>
        <v>ES0031408323131005HX0F</v>
      </c>
      <c r="B5036" s="12">
        <f>IFERROR(__xludf.DUMMYFUNCTION("""COMPUTED_VALUE"""),45075.0)</f>
        <v>45075</v>
      </c>
      <c r="C5036" s="13">
        <f>IFERROR(__xludf.DUMMYFUNCTION("""COMPUTED_VALUE"""),0.8333333333333334)</f>
        <v>0.8333333333</v>
      </c>
      <c r="D5036" s="8">
        <f>IFERROR(__xludf.DUMMYFUNCTION("""COMPUTED_VALUE"""),0.119)</f>
        <v>0.119</v>
      </c>
      <c r="E5036" s="8" t="str">
        <f>IFERROR(__xludf.DUMMYFUNCTION("""COMPUTED_VALUE"""),"Real")</f>
        <v>Real</v>
      </c>
      <c r="G5036" s="8">
        <f t="shared" si="1"/>
        <v>5</v>
      </c>
      <c r="H5036" s="14">
        <f t="shared" si="2"/>
        <v>29</v>
      </c>
      <c r="I5036" s="15">
        <f t="shared" si="3"/>
        <v>20</v>
      </c>
    </row>
    <row r="5037">
      <c r="A5037" s="8" t="str">
        <f>IFERROR(__xludf.DUMMYFUNCTION("IF('(INGESTA)Datos_consumo_datadis'!A5037&lt;&gt;"""",SPLIT('(INGESTA)Datos_consumo_datadis'!A:A,"",""),"""")"),"ES0031408323131005HX0F")</f>
        <v>ES0031408323131005HX0F</v>
      </c>
      <c r="B5037" s="12">
        <f>IFERROR(__xludf.DUMMYFUNCTION("""COMPUTED_VALUE"""),45075.0)</f>
        <v>45075</v>
      </c>
      <c r="C5037" s="13">
        <f>IFERROR(__xludf.DUMMYFUNCTION("""COMPUTED_VALUE"""),0.875)</f>
        <v>0.875</v>
      </c>
      <c r="D5037" s="8">
        <f>IFERROR(__xludf.DUMMYFUNCTION("""COMPUTED_VALUE"""),0.089)</f>
        <v>0.089</v>
      </c>
      <c r="E5037" s="8" t="str">
        <f>IFERROR(__xludf.DUMMYFUNCTION("""COMPUTED_VALUE"""),"Real")</f>
        <v>Real</v>
      </c>
      <c r="G5037" s="8">
        <f t="shared" si="1"/>
        <v>5</v>
      </c>
      <c r="H5037" s="14">
        <f t="shared" si="2"/>
        <v>29</v>
      </c>
      <c r="I5037" s="15">
        <f t="shared" si="3"/>
        <v>21</v>
      </c>
    </row>
    <row r="5038">
      <c r="A5038" s="8" t="str">
        <f>IFERROR(__xludf.DUMMYFUNCTION("IF('(INGESTA)Datos_consumo_datadis'!A5038&lt;&gt;"""",SPLIT('(INGESTA)Datos_consumo_datadis'!A:A,"",""),"""")"),"ES0031408323131005HX0F")</f>
        <v>ES0031408323131005HX0F</v>
      </c>
      <c r="B5038" s="12">
        <f>IFERROR(__xludf.DUMMYFUNCTION("""COMPUTED_VALUE"""),45075.0)</f>
        <v>45075</v>
      </c>
      <c r="C5038" s="13">
        <f>IFERROR(__xludf.DUMMYFUNCTION("""COMPUTED_VALUE"""),0.9166666666666666)</f>
        <v>0.9166666667</v>
      </c>
      <c r="D5038" s="8">
        <f>IFERROR(__xludf.DUMMYFUNCTION("""COMPUTED_VALUE"""),0.053)</f>
        <v>0.053</v>
      </c>
      <c r="E5038" s="8" t="str">
        <f>IFERROR(__xludf.DUMMYFUNCTION("""COMPUTED_VALUE"""),"Real")</f>
        <v>Real</v>
      </c>
      <c r="G5038" s="8">
        <f t="shared" si="1"/>
        <v>5</v>
      </c>
      <c r="H5038" s="14">
        <f t="shared" si="2"/>
        <v>29</v>
      </c>
      <c r="I5038" s="15">
        <f t="shared" si="3"/>
        <v>22</v>
      </c>
    </row>
    <row r="5039">
      <c r="A5039" s="8" t="str">
        <f>IFERROR(__xludf.DUMMYFUNCTION("IF('(INGESTA)Datos_consumo_datadis'!A5039&lt;&gt;"""",SPLIT('(INGESTA)Datos_consumo_datadis'!A:A,"",""),"""")"),"ES0031408323131005HX0F")</f>
        <v>ES0031408323131005HX0F</v>
      </c>
      <c r="B5039" s="12">
        <f>IFERROR(__xludf.DUMMYFUNCTION("""COMPUTED_VALUE"""),45075.0)</f>
        <v>45075</v>
      </c>
      <c r="C5039" s="13">
        <f>IFERROR(__xludf.DUMMYFUNCTION("""COMPUTED_VALUE"""),0.9583333333333334)</f>
        <v>0.9583333333</v>
      </c>
      <c r="D5039" s="8">
        <f>IFERROR(__xludf.DUMMYFUNCTION("""COMPUTED_VALUE"""),0.815)</f>
        <v>0.815</v>
      </c>
      <c r="E5039" s="8" t="str">
        <f>IFERROR(__xludf.DUMMYFUNCTION("""COMPUTED_VALUE"""),"Real")</f>
        <v>Real</v>
      </c>
      <c r="G5039" s="8">
        <f t="shared" si="1"/>
        <v>5</v>
      </c>
      <c r="H5039" s="14">
        <f t="shared" si="2"/>
        <v>29</v>
      </c>
      <c r="I5039" s="15">
        <f t="shared" si="3"/>
        <v>23</v>
      </c>
    </row>
    <row r="5040">
      <c r="A5040" s="8" t="str">
        <f>IFERROR(__xludf.DUMMYFUNCTION("IF('(INGESTA)Datos_consumo_datadis'!A5040&lt;&gt;"""",SPLIT('(INGESTA)Datos_consumo_datadis'!A:A,"",""),"""")"),"ES0031408323131005HX0F")</f>
        <v>ES0031408323131005HX0F</v>
      </c>
      <c r="B5040" s="12">
        <f>IFERROR(__xludf.DUMMYFUNCTION("""COMPUTED_VALUE"""),45075.0)</f>
        <v>45075</v>
      </c>
      <c r="C5040" s="16">
        <f>IFERROR(__xludf.DUMMYFUNCTION("""COMPUTED_VALUE"""),1.0)</f>
        <v>1</v>
      </c>
      <c r="D5040" s="8">
        <f>IFERROR(__xludf.DUMMYFUNCTION("""COMPUTED_VALUE"""),1.017)</f>
        <v>1.017</v>
      </c>
      <c r="E5040" s="8" t="str">
        <f>IFERROR(__xludf.DUMMYFUNCTION("""COMPUTED_VALUE"""),"Real")</f>
        <v>Real</v>
      </c>
      <c r="G5040" s="8">
        <f t="shared" si="1"/>
        <v>5</v>
      </c>
      <c r="H5040" s="14">
        <f t="shared" si="2"/>
        <v>29</v>
      </c>
      <c r="I5040" s="15">
        <f t="shared" si="3"/>
        <v>0</v>
      </c>
    </row>
    <row r="5041">
      <c r="A5041" s="8" t="str">
        <f>IFERROR(__xludf.DUMMYFUNCTION("IF('(INGESTA)Datos_consumo_datadis'!A5041&lt;&gt;"""",SPLIT('(INGESTA)Datos_consumo_datadis'!A:A,"",""),"""")"),"ES0031408323131005HX0F")</f>
        <v>ES0031408323131005HX0F</v>
      </c>
      <c r="B5041" s="12">
        <f>IFERROR(__xludf.DUMMYFUNCTION("""COMPUTED_VALUE"""),45076.0)</f>
        <v>45076</v>
      </c>
      <c r="C5041" s="13">
        <f>IFERROR(__xludf.DUMMYFUNCTION("""COMPUTED_VALUE"""),0.041666666666666664)</f>
        <v>0.04166666667</v>
      </c>
      <c r="D5041" s="8">
        <f>IFERROR(__xludf.DUMMYFUNCTION("""COMPUTED_VALUE"""),0.588)</f>
        <v>0.588</v>
      </c>
      <c r="E5041" s="8" t="str">
        <f>IFERROR(__xludf.DUMMYFUNCTION("""COMPUTED_VALUE"""),"Real")</f>
        <v>Real</v>
      </c>
      <c r="G5041" s="8">
        <f t="shared" si="1"/>
        <v>5</v>
      </c>
      <c r="H5041" s="14">
        <f t="shared" si="2"/>
        <v>30</v>
      </c>
      <c r="I5041" s="15">
        <f t="shared" si="3"/>
        <v>1</v>
      </c>
    </row>
    <row r="5042">
      <c r="A5042" s="8" t="str">
        <f>IFERROR(__xludf.DUMMYFUNCTION("IF('(INGESTA)Datos_consumo_datadis'!A5042&lt;&gt;"""",SPLIT('(INGESTA)Datos_consumo_datadis'!A:A,"",""),"""")"),"ES0031408323131005HX0F")</f>
        <v>ES0031408323131005HX0F</v>
      </c>
      <c r="B5042" s="12">
        <f>IFERROR(__xludf.DUMMYFUNCTION("""COMPUTED_VALUE"""),45076.0)</f>
        <v>45076</v>
      </c>
      <c r="C5042" s="13">
        <f>IFERROR(__xludf.DUMMYFUNCTION("""COMPUTED_VALUE"""),0.08333333333333333)</f>
        <v>0.08333333333</v>
      </c>
      <c r="D5042" s="8">
        <f>IFERROR(__xludf.DUMMYFUNCTION("""COMPUTED_VALUE"""),0.106)</f>
        <v>0.106</v>
      </c>
      <c r="E5042" s="8" t="str">
        <f>IFERROR(__xludf.DUMMYFUNCTION("""COMPUTED_VALUE"""),"Real")</f>
        <v>Real</v>
      </c>
      <c r="G5042" s="8">
        <f t="shared" si="1"/>
        <v>5</v>
      </c>
      <c r="H5042" s="14">
        <f t="shared" si="2"/>
        <v>30</v>
      </c>
      <c r="I5042" s="15">
        <f t="shared" si="3"/>
        <v>2</v>
      </c>
    </row>
    <row r="5043">
      <c r="A5043" s="8" t="str">
        <f>IFERROR(__xludf.DUMMYFUNCTION("IF('(INGESTA)Datos_consumo_datadis'!A5043&lt;&gt;"""",SPLIT('(INGESTA)Datos_consumo_datadis'!A:A,"",""),"""")"),"ES0031408323131005HX0F")</f>
        <v>ES0031408323131005HX0F</v>
      </c>
      <c r="B5043" s="12">
        <f>IFERROR(__xludf.DUMMYFUNCTION("""COMPUTED_VALUE"""),45076.0)</f>
        <v>45076</v>
      </c>
      <c r="C5043" s="13">
        <f>IFERROR(__xludf.DUMMYFUNCTION("""COMPUTED_VALUE"""),0.125)</f>
        <v>0.125</v>
      </c>
      <c r="D5043" s="8">
        <f>IFERROR(__xludf.DUMMYFUNCTION("""COMPUTED_VALUE"""),0.028)</f>
        <v>0.028</v>
      </c>
      <c r="E5043" s="8" t="str">
        <f>IFERROR(__xludf.DUMMYFUNCTION("""COMPUTED_VALUE"""),"Real")</f>
        <v>Real</v>
      </c>
      <c r="G5043" s="8">
        <f t="shared" si="1"/>
        <v>5</v>
      </c>
      <c r="H5043" s="14">
        <f t="shared" si="2"/>
        <v>30</v>
      </c>
      <c r="I5043" s="15">
        <f t="shared" si="3"/>
        <v>3</v>
      </c>
    </row>
    <row r="5044">
      <c r="A5044" s="8" t="str">
        <f>IFERROR(__xludf.DUMMYFUNCTION("IF('(INGESTA)Datos_consumo_datadis'!A5044&lt;&gt;"""",SPLIT('(INGESTA)Datos_consumo_datadis'!A:A,"",""),"""")"),"ES0031408323131005HX0F")</f>
        <v>ES0031408323131005HX0F</v>
      </c>
      <c r="B5044" s="12">
        <f>IFERROR(__xludf.DUMMYFUNCTION("""COMPUTED_VALUE"""),45076.0)</f>
        <v>45076</v>
      </c>
      <c r="C5044" s="13">
        <f>IFERROR(__xludf.DUMMYFUNCTION("""COMPUTED_VALUE"""),0.16666666666666666)</f>
        <v>0.1666666667</v>
      </c>
      <c r="D5044" s="8">
        <f>IFERROR(__xludf.DUMMYFUNCTION("""COMPUTED_VALUE"""),0.11)</f>
        <v>0.11</v>
      </c>
      <c r="E5044" s="8" t="str">
        <f>IFERROR(__xludf.DUMMYFUNCTION("""COMPUTED_VALUE"""),"Real")</f>
        <v>Real</v>
      </c>
      <c r="G5044" s="8">
        <f t="shared" si="1"/>
        <v>5</v>
      </c>
      <c r="H5044" s="14">
        <f t="shared" si="2"/>
        <v>30</v>
      </c>
      <c r="I5044" s="15">
        <f t="shared" si="3"/>
        <v>4</v>
      </c>
    </row>
    <row r="5045">
      <c r="A5045" s="8" t="str">
        <f>IFERROR(__xludf.DUMMYFUNCTION("IF('(INGESTA)Datos_consumo_datadis'!A5045&lt;&gt;"""",SPLIT('(INGESTA)Datos_consumo_datadis'!A:A,"",""),"""")"),"ES0031408323131005HX0F")</f>
        <v>ES0031408323131005HX0F</v>
      </c>
      <c r="B5045" s="12">
        <f>IFERROR(__xludf.DUMMYFUNCTION("""COMPUTED_VALUE"""),45076.0)</f>
        <v>45076</v>
      </c>
      <c r="C5045" s="13">
        <f>IFERROR(__xludf.DUMMYFUNCTION("""COMPUTED_VALUE"""),0.20833333333333334)</f>
        <v>0.2083333333</v>
      </c>
      <c r="D5045" s="8">
        <f>IFERROR(__xludf.DUMMYFUNCTION("""COMPUTED_VALUE"""),0.052)</f>
        <v>0.052</v>
      </c>
      <c r="E5045" s="8" t="str">
        <f>IFERROR(__xludf.DUMMYFUNCTION("""COMPUTED_VALUE"""),"Real")</f>
        <v>Real</v>
      </c>
      <c r="G5045" s="8">
        <f t="shared" si="1"/>
        <v>5</v>
      </c>
      <c r="H5045" s="14">
        <f t="shared" si="2"/>
        <v>30</v>
      </c>
      <c r="I5045" s="15">
        <f t="shared" si="3"/>
        <v>5</v>
      </c>
    </row>
    <row r="5046">
      <c r="A5046" s="8" t="str">
        <f>IFERROR(__xludf.DUMMYFUNCTION("IF('(INGESTA)Datos_consumo_datadis'!A5046&lt;&gt;"""",SPLIT('(INGESTA)Datos_consumo_datadis'!A:A,"",""),"""")"),"ES0031408323131005HX0F")</f>
        <v>ES0031408323131005HX0F</v>
      </c>
      <c r="B5046" s="12">
        <f>IFERROR(__xludf.DUMMYFUNCTION("""COMPUTED_VALUE"""),45076.0)</f>
        <v>45076</v>
      </c>
      <c r="C5046" s="13">
        <f>IFERROR(__xludf.DUMMYFUNCTION("""COMPUTED_VALUE"""),0.25)</f>
        <v>0.25</v>
      </c>
      <c r="D5046" s="8">
        <f>IFERROR(__xludf.DUMMYFUNCTION("""COMPUTED_VALUE"""),0.295)</f>
        <v>0.295</v>
      </c>
      <c r="E5046" s="8" t="str">
        <f>IFERROR(__xludf.DUMMYFUNCTION("""COMPUTED_VALUE"""),"Real")</f>
        <v>Real</v>
      </c>
      <c r="G5046" s="8">
        <f t="shared" si="1"/>
        <v>5</v>
      </c>
      <c r="H5046" s="14">
        <f t="shared" si="2"/>
        <v>30</v>
      </c>
      <c r="I5046" s="15">
        <f t="shared" si="3"/>
        <v>6</v>
      </c>
    </row>
    <row r="5047">
      <c r="A5047" s="8" t="str">
        <f>IFERROR(__xludf.DUMMYFUNCTION("IF('(INGESTA)Datos_consumo_datadis'!A5047&lt;&gt;"""",SPLIT('(INGESTA)Datos_consumo_datadis'!A:A,"",""),"""")"),"ES0031408323131005HX0F")</f>
        <v>ES0031408323131005HX0F</v>
      </c>
      <c r="B5047" s="12">
        <f>IFERROR(__xludf.DUMMYFUNCTION("""COMPUTED_VALUE"""),45076.0)</f>
        <v>45076</v>
      </c>
      <c r="C5047" s="13">
        <f>IFERROR(__xludf.DUMMYFUNCTION("""COMPUTED_VALUE"""),0.2916666666666667)</f>
        <v>0.2916666667</v>
      </c>
      <c r="D5047" s="8">
        <f>IFERROR(__xludf.DUMMYFUNCTION("""COMPUTED_VALUE"""),0.371)</f>
        <v>0.371</v>
      </c>
      <c r="E5047" s="8" t="str">
        <f>IFERROR(__xludf.DUMMYFUNCTION("""COMPUTED_VALUE"""),"Real")</f>
        <v>Real</v>
      </c>
      <c r="G5047" s="8">
        <f t="shared" si="1"/>
        <v>5</v>
      </c>
      <c r="H5047" s="14">
        <f t="shared" si="2"/>
        <v>30</v>
      </c>
      <c r="I5047" s="15">
        <f t="shared" si="3"/>
        <v>7</v>
      </c>
    </row>
    <row r="5048">
      <c r="A5048" s="8" t="str">
        <f>IFERROR(__xludf.DUMMYFUNCTION("IF('(INGESTA)Datos_consumo_datadis'!A5048&lt;&gt;"""",SPLIT('(INGESTA)Datos_consumo_datadis'!A:A,"",""),"""")"),"ES0031408323131005HX0F")</f>
        <v>ES0031408323131005HX0F</v>
      </c>
      <c r="B5048" s="12">
        <f>IFERROR(__xludf.DUMMYFUNCTION("""COMPUTED_VALUE"""),45076.0)</f>
        <v>45076</v>
      </c>
      <c r="C5048" s="13">
        <f>IFERROR(__xludf.DUMMYFUNCTION("""COMPUTED_VALUE"""),0.3333333333333333)</f>
        <v>0.3333333333</v>
      </c>
      <c r="D5048" s="8">
        <f>IFERROR(__xludf.DUMMYFUNCTION("""COMPUTED_VALUE"""),0.291)</f>
        <v>0.291</v>
      </c>
      <c r="E5048" s="8" t="str">
        <f>IFERROR(__xludf.DUMMYFUNCTION("""COMPUTED_VALUE"""),"Real")</f>
        <v>Real</v>
      </c>
      <c r="G5048" s="8">
        <f t="shared" si="1"/>
        <v>5</v>
      </c>
      <c r="H5048" s="14">
        <f t="shared" si="2"/>
        <v>30</v>
      </c>
      <c r="I5048" s="15">
        <f t="shared" si="3"/>
        <v>8</v>
      </c>
    </row>
    <row r="5049">
      <c r="A5049" s="8" t="str">
        <f>IFERROR(__xludf.DUMMYFUNCTION("IF('(INGESTA)Datos_consumo_datadis'!A5049&lt;&gt;"""",SPLIT('(INGESTA)Datos_consumo_datadis'!A:A,"",""),"""")"),"ES0031408323131005HX0F")</f>
        <v>ES0031408323131005HX0F</v>
      </c>
      <c r="B5049" s="12">
        <f>IFERROR(__xludf.DUMMYFUNCTION("""COMPUTED_VALUE"""),45076.0)</f>
        <v>45076</v>
      </c>
      <c r="C5049" s="13">
        <f>IFERROR(__xludf.DUMMYFUNCTION("""COMPUTED_VALUE"""),0.375)</f>
        <v>0.375</v>
      </c>
      <c r="D5049" s="8">
        <f>IFERROR(__xludf.DUMMYFUNCTION("""COMPUTED_VALUE"""),0.351)</f>
        <v>0.351</v>
      </c>
      <c r="E5049" s="8" t="str">
        <f>IFERROR(__xludf.DUMMYFUNCTION("""COMPUTED_VALUE"""),"Real")</f>
        <v>Real</v>
      </c>
      <c r="G5049" s="8">
        <f t="shared" si="1"/>
        <v>5</v>
      </c>
      <c r="H5049" s="14">
        <f t="shared" si="2"/>
        <v>30</v>
      </c>
      <c r="I5049" s="15">
        <f t="shared" si="3"/>
        <v>9</v>
      </c>
    </row>
    <row r="5050">
      <c r="A5050" s="8" t="str">
        <f>IFERROR(__xludf.DUMMYFUNCTION("IF('(INGESTA)Datos_consumo_datadis'!A5050&lt;&gt;"""",SPLIT('(INGESTA)Datos_consumo_datadis'!A:A,"",""),"""")"),"ES0031408323131005HX0F")</f>
        <v>ES0031408323131005HX0F</v>
      </c>
      <c r="B5050" s="12">
        <f>IFERROR(__xludf.DUMMYFUNCTION("""COMPUTED_VALUE"""),45076.0)</f>
        <v>45076</v>
      </c>
      <c r="C5050" s="13">
        <f>IFERROR(__xludf.DUMMYFUNCTION("""COMPUTED_VALUE"""),0.4166666666666667)</f>
        <v>0.4166666667</v>
      </c>
      <c r="D5050" s="8">
        <f>IFERROR(__xludf.DUMMYFUNCTION("""COMPUTED_VALUE"""),0.074)</f>
        <v>0.074</v>
      </c>
      <c r="E5050" s="8" t="str">
        <f>IFERROR(__xludf.DUMMYFUNCTION("""COMPUTED_VALUE"""),"Real")</f>
        <v>Real</v>
      </c>
      <c r="G5050" s="8">
        <f t="shared" si="1"/>
        <v>5</v>
      </c>
      <c r="H5050" s="14">
        <f t="shared" si="2"/>
        <v>30</v>
      </c>
      <c r="I5050" s="15">
        <f t="shared" si="3"/>
        <v>10</v>
      </c>
    </row>
    <row r="5051">
      <c r="A5051" s="8" t="str">
        <f>IFERROR(__xludf.DUMMYFUNCTION("IF('(INGESTA)Datos_consumo_datadis'!A5051&lt;&gt;"""",SPLIT('(INGESTA)Datos_consumo_datadis'!A:A,"",""),"""")"),"ES0031408323131005HX0F")</f>
        <v>ES0031408323131005HX0F</v>
      </c>
      <c r="B5051" s="12">
        <f>IFERROR(__xludf.DUMMYFUNCTION("""COMPUTED_VALUE"""),45076.0)</f>
        <v>45076</v>
      </c>
      <c r="C5051" s="13">
        <f>IFERROR(__xludf.DUMMYFUNCTION("""COMPUTED_VALUE"""),0.4583333333333333)</f>
        <v>0.4583333333</v>
      </c>
      <c r="D5051" s="8">
        <f>IFERROR(__xludf.DUMMYFUNCTION("""COMPUTED_VALUE"""),0.053)</f>
        <v>0.053</v>
      </c>
      <c r="E5051" s="8" t="str">
        <f>IFERROR(__xludf.DUMMYFUNCTION("""COMPUTED_VALUE"""),"Real")</f>
        <v>Real</v>
      </c>
      <c r="G5051" s="8">
        <f t="shared" si="1"/>
        <v>5</v>
      </c>
      <c r="H5051" s="14">
        <f t="shared" si="2"/>
        <v>30</v>
      </c>
      <c r="I5051" s="15">
        <f t="shared" si="3"/>
        <v>11</v>
      </c>
    </row>
    <row r="5052">
      <c r="A5052" s="8" t="str">
        <f>IFERROR(__xludf.DUMMYFUNCTION("IF('(INGESTA)Datos_consumo_datadis'!A5052&lt;&gt;"""",SPLIT('(INGESTA)Datos_consumo_datadis'!A:A,"",""),"""")"),"ES0031408323131005HX0F")</f>
        <v>ES0031408323131005HX0F</v>
      </c>
      <c r="B5052" s="12">
        <f>IFERROR(__xludf.DUMMYFUNCTION("""COMPUTED_VALUE"""),45076.0)</f>
        <v>45076</v>
      </c>
      <c r="C5052" s="13">
        <f>IFERROR(__xludf.DUMMYFUNCTION("""COMPUTED_VALUE"""),0.5)</f>
        <v>0.5</v>
      </c>
      <c r="D5052" s="8">
        <f>IFERROR(__xludf.DUMMYFUNCTION("""COMPUTED_VALUE"""),0.063)</f>
        <v>0.063</v>
      </c>
      <c r="E5052" s="8" t="str">
        <f>IFERROR(__xludf.DUMMYFUNCTION("""COMPUTED_VALUE"""),"Real")</f>
        <v>Real</v>
      </c>
      <c r="G5052" s="8">
        <f t="shared" si="1"/>
        <v>5</v>
      </c>
      <c r="H5052" s="14">
        <f t="shared" si="2"/>
        <v>30</v>
      </c>
      <c r="I5052" s="15">
        <f t="shared" si="3"/>
        <v>12</v>
      </c>
    </row>
    <row r="5053">
      <c r="A5053" s="8" t="str">
        <f>IFERROR(__xludf.DUMMYFUNCTION("IF('(INGESTA)Datos_consumo_datadis'!A5053&lt;&gt;"""",SPLIT('(INGESTA)Datos_consumo_datadis'!A:A,"",""),"""")"),"ES0031408323131005HX0F")</f>
        <v>ES0031408323131005HX0F</v>
      </c>
      <c r="B5053" s="12">
        <f>IFERROR(__xludf.DUMMYFUNCTION("""COMPUTED_VALUE"""),45076.0)</f>
        <v>45076</v>
      </c>
      <c r="C5053" s="13">
        <f>IFERROR(__xludf.DUMMYFUNCTION("""COMPUTED_VALUE"""),0.5416666666666666)</f>
        <v>0.5416666667</v>
      </c>
      <c r="D5053" s="8">
        <f>IFERROR(__xludf.DUMMYFUNCTION("""COMPUTED_VALUE"""),0.064)</f>
        <v>0.064</v>
      </c>
      <c r="E5053" s="8" t="str">
        <f>IFERROR(__xludf.DUMMYFUNCTION("""COMPUTED_VALUE"""),"Real")</f>
        <v>Real</v>
      </c>
      <c r="G5053" s="8">
        <f t="shared" si="1"/>
        <v>5</v>
      </c>
      <c r="H5053" s="14">
        <f t="shared" si="2"/>
        <v>30</v>
      </c>
      <c r="I5053" s="15">
        <f t="shared" si="3"/>
        <v>13</v>
      </c>
    </row>
    <row r="5054">
      <c r="A5054" s="8" t="str">
        <f>IFERROR(__xludf.DUMMYFUNCTION("IF('(INGESTA)Datos_consumo_datadis'!A5054&lt;&gt;"""",SPLIT('(INGESTA)Datos_consumo_datadis'!A:A,"",""),"""")"),"ES0031408323131005HX0F")</f>
        <v>ES0031408323131005HX0F</v>
      </c>
      <c r="B5054" s="12">
        <f>IFERROR(__xludf.DUMMYFUNCTION("""COMPUTED_VALUE"""),45076.0)</f>
        <v>45076</v>
      </c>
      <c r="C5054" s="13">
        <f>IFERROR(__xludf.DUMMYFUNCTION("""COMPUTED_VALUE"""),0.5833333333333334)</f>
        <v>0.5833333333</v>
      </c>
      <c r="D5054" s="8">
        <f>IFERROR(__xludf.DUMMYFUNCTION("""COMPUTED_VALUE"""),0.04)</f>
        <v>0.04</v>
      </c>
      <c r="E5054" s="8" t="str">
        <f>IFERROR(__xludf.DUMMYFUNCTION("""COMPUTED_VALUE"""),"Real")</f>
        <v>Real</v>
      </c>
      <c r="G5054" s="8">
        <f t="shared" si="1"/>
        <v>5</v>
      </c>
      <c r="H5054" s="14">
        <f t="shared" si="2"/>
        <v>30</v>
      </c>
      <c r="I5054" s="15">
        <f t="shared" si="3"/>
        <v>14</v>
      </c>
    </row>
    <row r="5055">
      <c r="A5055" s="8" t="str">
        <f>IFERROR(__xludf.DUMMYFUNCTION("IF('(INGESTA)Datos_consumo_datadis'!A5055&lt;&gt;"""",SPLIT('(INGESTA)Datos_consumo_datadis'!A:A,"",""),"""")"),"ES0031408323131005HX0F")</f>
        <v>ES0031408323131005HX0F</v>
      </c>
      <c r="B5055" s="12">
        <f>IFERROR(__xludf.DUMMYFUNCTION("""COMPUTED_VALUE"""),45076.0)</f>
        <v>45076</v>
      </c>
      <c r="C5055" s="13">
        <f>IFERROR(__xludf.DUMMYFUNCTION("""COMPUTED_VALUE"""),0.625)</f>
        <v>0.625</v>
      </c>
      <c r="D5055" s="8">
        <f>IFERROR(__xludf.DUMMYFUNCTION("""COMPUTED_VALUE"""),0.349)</f>
        <v>0.349</v>
      </c>
      <c r="E5055" s="8" t="str">
        <f>IFERROR(__xludf.DUMMYFUNCTION("""COMPUTED_VALUE"""),"Real")</f>
        <v>Real</v>
      </c>
      <c r="G5055" s="8">
        <f t="shared" si="1"/>
        <v>5</v>
      </c>
      <c r="H5055" s="14">
        <f t="shared" si="2"/>
        <v>30</v>
      </c>
      <c r="I5055" s="15">
        <f t="shared" si="3"/>
        <v>15</v>
      </c>
    </row>
    <row r="5056">
      <c r="A5056" s="8" t="str">
        <f>IFERROR(__xludf.DUMMYFUNCTION("IF('(INGESTA)Datos_consumo_datadis'!A5056&lt;&gt;"""",SPLIT('(INGESTA)Datos_consumo_datadis'!A:A,"",""),"""")"),"ES0031408323131005HX0F")</f>
        <v>ES0031408323131005HX0F</v>
      </c>
      <c r="B5056" s="12">
        <f>IFERROR(__xludf.DUMMYFUNCTION("""COMPUTED_VALUE"""),45076.0)</f>
        <v>45076</v>
      </c>
      <c r="C5056" s="13">
        <f>IFERROR(__xludf.DUMMYFUNCTION("""COMPUTED_VALUE"""),0.6666666666666666)</f>
        <v>0.6666666667</v>
      </c>
      <c r="D5056" s="8">
        <f>IFERROR(__xludf.DUMMYFUNCTION("""COMPUTED_VALUE"""),0.064)</f>
        <v>0.064</v>
      </c>
      <c r="E5056" s="8" t="str">
        <f>IFERROR(__xludf.DUMMYFUNCTION("""COMPUTED_VALUE"""),"Real")</f>
        <v>Real</v>
      </c>
      <c r="G5056" s="8">
        <f t="shared" si="1"/>
        <v>5</v>
      </c>
      <c r="H5056" s="14">
        <f t="shared" si="2"/>
        <v>30</v>
      </c>
      <c r="I5056" s="15">
        <f t="shared" si="3"/>
        <v>16</v>
      </c>
    </row>
    <row r="5057">
      <c r="A5057" s="8" t="str">
        <f>IFERROR(__xludf.DUMMYFUNCTION("IF('(INGESTA)Datos_consumo_datadis'!A5057&lt;&gt;"""",SPLIT('(INGESTA)Datos_consumo_datadis'!A:A,"",""),"""")"),"ES0031408323131005HX0F")</f>
        <v>ES0031408323131005HX0F</v>
      </c>
      <c r="B5057" s="12">
        <f>IFERROR(__xludf.DUMMYFUNCTION("""COMPUTED_VALUE"""),45076.0)</f>
        <v>45076</v>
      </c>
      <c r="C5057" s="13">
        <f>IFERROR(__xludf.DUMMYFUNCTION("""COMPUTED_VALUE"""),0.7083333333333334)</f>
        <v>0.7083333333</v>
      </c>
      <c r="D5057" s="8">
        <f>IFERROR(__xludf.DUMMYFUNCTION("""COMPUTED_VALUE"""),0.022)</f>
        <v>0.022</v>
      </c>
      <c r="E5057" s="8" t="str">
        <f>IFERROR(__xludf.DUMMYFUNCTION("""COMPUTED_VALUE"""),"Real")</f>
        <v>Real</v>
      </c>
      <c r="G5057" s="8">
        <f t="shared" si="1"/>
        <v>5</v>
      </c>
      <c r="H5057" s="14">
        <f t="shared" si="2"/>
        <v>30</v>
      </c>
      <c r="I5057" s="15">
        <f t="shared" si="3"/>
        <v>17</v>
      </c>
    </row>
    <row r="5058">
      <c r="A5058" s="8" t="str">
        <f>IFERROR(__xludf.DUMMYFUNCTION("IF('(INGESTA)Datos_consumo_datadis'!A5058&lt;&gt;"""",SPLIT('(INGESTA)Datos_consumo_datadis'!A:A,"",""),"""")"),"ES0031408323131005HX0F")</f>
        <v>ES0031408323131005HX0F</v>
      </c>
      <c r="B5058" s="12">
        <f>IFERROR(__xludf.DUMMYFUNCTION("""COMPUTED_VALUE"""),45076.0)</f>
        <v>45076</v>
      </c>
      <c r="C5058" s="13">
        <f>IFERROR(__xludf.DUMMYFUNCTION("""COMPUTED_VALUE"""),0.75)</f>
        <v>0.75</v>
      </c>
      <c r="D5058" s="8">
        <f>IFERROR(__xludf.DUMMYFUNCTION("""COMPUTED_VALUE"""),0.101)</f>
        <v>0.101</v>
      </c>
      <c r="E5058" s="8" t="str">
        <f>IFERROR(__xludf.DUMMYFUNCTION("""COMPUTED_VALUE"""),"Real")</f>
        <v>Real</v>
      </c>
      <c r="G5058" s="8">
        <f t="shared" si="1"/>
        <v>5</v>
      </c>
      <c r="H5058" s="14">
        <f t="shared" si="2"/>
        <v>30</v>
      </c>
      <c r="I5058" s="15">
        <f t="shared" si="3"/>
        <v>18</v>
      </c>
    </row>
    <row r="5059">
      <c r="A5059" s="8" t="str">
        <f>IFERROR(__xludf.DUMMYFUNCTION("IF('(INGESTA)Datos_consumo_datadis'!A5059&lt;&gt;"""",SPLIT('(INGESTA)Datos_consumo_datadis'!A:A,"",""),"""")"),"ES0031408323131005HX0F")</f>
        <v>ES0031408323131005HX0F</v>
      </c>
      <c r="B5059" s="12">
        <f>IFERROR(__xludf.DUMMYFUNCTION("""COMPUTED_VALUE"""),45076.0)</f>
        <v>45076</v>
      </c>
      <c r="C5059" s="13">
        <f>IFERROR(__xludf.DUMMYFUNCTION("""COMPUTED_VALUE"""),0.7916666666666666)</f>
        <v>0.7916666667</v>
      </c>
      <c r="D5059" s="8">
        <f>IFERROR(__xludf.DUMMYFUNCTION("""COMPUTED_VALUE"""),0.064)</f>
        <v>0.064</v>
      </c>
      <c r="E5059" s="8" t="str">
        <f>IFERROR(__xludf.DUMMYFUNCTION("""COMPUTED_VALUE"""),"Real")</f>
        <v>Real</v>
      </c>
      <c r="G5059" s="8">
        <f t="shared" si="1"/>
        <v>5</v>
      </c>
      <c r="H5059" s="14">
        <f t="shared" si="2"/>
        <v>30</v>
      </c>
      <c r="I5059" s="15">
        <f t="shared" si="3"/>
        <v>19</v>
      </c>
    </row>
    <row r="5060">
      <c r="A5060" s="8" t="str">
        <f>IFERROR(__xludf.DUMMYFUNCTION("IF('(INGESTA)Datos_consumo_datadis'!A5060&lt;&gt;"""",SPLIT('(INGESTA)Datos_consumo_datadis'!A:A,"",""),"""")"),"ES0031408323131005HX0F")</f>
        <v>ES0031408323131005HX0F</v>
      </c>
      <c r="B5060" s="12">
        <f>IFERROR(__xludf.DUMMYFUNCTION("""COMPUTED_VALUE"""),45076.0)</f>
        <v>45076</v>
      </c>
      <c r="C5060" s="13">
        <f>IFERROR(__xludf.DUMMYFUNCTION("""COMPUTED_VALUE"""),0.8333333333333334)</f>
        <v>0.8333333333</v>
      </c>
      <c r="D5060" s="8">
        <f>IFERROR(__xludf.DUMMYFUNCTION("""COMPUTED_VALUE"""),0.024)</f>
        <v>0.024</v>
      </c>
      <c r="E5060" s="8" t="str">
        <f>IFERROR(__xludf.DUMMYFUNCTION("""COMPUTED_VALUE"""),"Real")</f>
        <v>Real</v>
      </c>
      <c r="G5060" s="8">
        <f t="shared" si="1"/>
        <v>5</v>
      </c>
      <c r="H5060" s="14">
        <f t="shared" si="2"/>
        <v>30</v>
      </c>
      <c r="I5060" s="15">
        <f t="shared" si="3"/>
        <v>20</v>
      </c>
    </row>
    <row r="5061">
      <c r="A5061" s="8" t="str">
        <f>IFERROR(__xludf.DUMMYFUNCTION("IF('(INGESTA)Datos_consumo_datadis'!A5061&lt;&gt;"""",SPLIT('(INGESTA)Datos_consumo_datadis'!A:A,"",""),"""")"),"ES0031408323131005HX0F")</f>
        <v>ES0031408323131005HX0F</v>
      </c>
      <c r="B5061" s="12">
        <f>IFERROR(__xludf.DUMMYFUNCTION("""COMPUTED_VALUE"""),45076.0)</f>
        <v>45076</v>
      </c>
      <c r="C5061" s="13">
        <f>IFERROR(__xludf.DUMMYFUNCTION("""COMPUTED_VALUE"""),0.875)</f>
        <v>0.875</v>
      </c>
      <c r="D5061" s="8">
        <f>IFERROR(__xludf.DUMMYFUNCTION("""COMPUTED_VALUE"""),0.096)</f>
        <v>0.096</v>
      </c>
      <c r="E5061" s="8" t="str">
        <f>IFERROR(__xludf.DUMMYFUNCTION("""COMPUTED_VALUE"""),"Real")</f>
        <v>Real</v>
      </c>
      <c r="G5061" s="8">
        <f t="shared" si="1"/>
        <v>5</v>
      </c>
      <c r="H5061" s="14">
        <f t="shared" si="2"/>
        <v>30</v>
      </c>
      <c r="I5061" s="15">
        <f t="shared" si="3"/>
        <v>21</v>
      </c>
    </row>
    <row r="5062">
      <c r="A5062" s="8" t="str">
        <f>IFERROR(__xludf.DUMMYFUNCTION("IF('(INGESTA)Datos_consumo_datadis'!A5062&lt;&gt;"""",SPLIT('(INGESTA)Datos_consumo_datadis'!A:A,"",""),"""")"),"ES0031408323131005HX0F")</f>
        <v>ES0031408323131005HX0F</v>
      </c>
      <c r="B5062" s="12">
        <f>IFERROR(__xludf.DUMMYFUNCTION("""COMPUTED_VALUE"""),45076.0)</f>
        <v>45076</v>
      </c>
      <c r="C5062" s="13">
        <f>IFERROR(__xludf.DUMMYFUNCTION("""COMPUTED_VALUE"""),0.9166666666666666)</f>
        <v>0.9166666667</v>
      </c>
      <c r="D5062" s="8">
        <f>IFERROR(__xludf.DUMMYFUNCTION("""COMPUTED_VALUE"""),0.053)</f>
        <v>0.053</v>
      </c>
      <c r="E5062" s="8" t="str">
        <f>IFERROR(__xludf.DUMMYFUNCTION("""COMPUTED_VALUE"""),"Real")</f>
        <v>Real</v>
      </c>
      <c r="G5062" s="8">
        <f t="shared" si="1"/>
        <v>5</v>
      </c>
      <c r="H5062" s="14">
        <f t="shared" si="2"/>
        <v>30</v>
      </c>
      <c r="I5062" s="15">
        <f t="shared" si="3"/>
        <v>22</v>
      </c>
    </row>
    <row r="5063">
      <c r="A5063" s="8" t="str">
        <f>IFERROR(__xludf.DUMMYFUNCTION("IF('(INGESTA)Datos_consumo_datadis'!A5063&lt;&gt;"""",SPLIT('(INGESTA)Datos_consumo_datadis'!A:A,"",""),"""")"),"ES0031408323131005HX0F")</f>
        <v>ES0031408323131005HX0F</v>
      </c>
      <c r="B5063" s="12">
        <f>IFERROR(__xludf.DUMMYFUNCTION("""COMPUTED_VALUE"""),45076.0)</f>
        <v>45076</v>
      </c>
      <c r="C5063" s="13">
        <f>IFERROR(__xludf.DUMMYFUNCTION("""COMPUTED_VALUE"""),0.9583333333333334)</f>
        <v>0.9583333333</v>
      </c>
      <c r="D5063" s="8">
        <f>IFERROR(__xludf.DUMMYFUNCTION("""COMPUTED_VALUE"""),0.341)</f>
        <v>0.341</v>
      </c>
      <c r="E5063" s="8" t="str">
        <f>IFERROR(__xludf.DUMMYFUNCTION("""COMPUTED_VALUE"""),"Real")</f>
        <v>Real</v>
      </c>
      <c r="G5063" s="8">
        <f t="shared" si="1"/>
        <v>5</v>
      </c>
      <c r="H5063" s="14">
        <f t="shared" si="2"/>
        <v>30</v>
      </c>
      <c r="I5063" s="15">
        <f t="shared" si="3"/>
        <v>23</v>
      </c>
    </row>
    <row r="5064">
      <c r="A5064" s="8" t="str">
        <f>IFERROR(__xludf.DUMMYFUNCTION("IF('(INGESTA)Datos_consumo_datadis'!A5064&lt;&gt;"""",SPLIT('(INGESTA)Datos_consumo_datadis'!A:A,"",""),"""")"),"ES0031408323131005HX0F")</f>
        <v>ES0031408323131005HX0F</v>
      </c>
      <c r="B5064" s="12">
        <f>IFERROR(__xludf.DUMMYFUNCTION("""COMPUTED_VALUE"""),45076.0)</f>
        <v>45076</v>
      </c>
      <c r="C5064" s="16">
        <f>IFERROR(__xludf.DUMMYFUNCTION("""COMPUTED_VALUE"""),1.0)</f>
        <v>1</v>
      </c>
      <c r="D5064" s="8">
        <f>IFERROR(__xludf.DUMMYFUNCTION("""COMPUTED_VALUE"""),0.123)</f>
        <v>0.123</v>
      </c>
      <c r="E5064" s="8" t="str">
        <f>IFERROR(__xludf.DUMMYFUNCTION("""COMPUTED_VALUE"""),"Real")</f>
        <v>Real</v>
      </c>
      <c r="G5064" s="8">
        <f t="shared" si="1"/>
        <v>5</v>
      </c>
      <c r="H5064" s="14">
        <f t="shared" si="2"/>
        <v>30</v>
      </c>
      <c r="I5064" s="15">
        <f t="shared" si="3"/>
        <v>0</v>
      </c>
    </row>
    <row r="5065">
      <c r="A5065" s="8" t="str">
        <f>IFERROR(__xludf.DUMMYFUNCTION("IF('(INGESTA)Datos_consumo_datadis'!A5065&lt;&gt;"""",SPLIT('(INGESTA)Datos_consumo_datadis'!A:A,"",""),"""")"),"ES0031408323131005HX0F")</f>
        <v>ES0031408323131005HX0F</v>
      </c>
      <c r="B5065" s="12">
        <f>IFERROR(__xludf.DUMMYFUNCTION("""COMPUTED_VALUE"""),45077.0)</f>
        <v>45077</v>
      </c>
      <c r="C5065" s="13">
        <f>IFERROR(__xludf.DUMMYFUNCTION("""COMPUTED_VALUE"""),0.041666666666666664)</f>
        <v>0.04166666667</v>
      </c>
      <c r="D5065" s="8">
        <f>IFERROR(__xludf.DUMMYFUNCTION("""COMPUTED_VALUE"""),0.117)</f>
        <v>0.117</v>
      </c>
      <c r="E5065" s="8" t="str">
        <f>IFERROR(__xludf.DUMMYFUNCTION("""COMPUTED_VALUE"""),"Real")</f>
        <v>Real</v>
      </c>
      <c r="G5065" s="8">
        <f t="shared" si="1"/>
        <v>5</v>
      </c>
      <c r="H5065" s="14">
        <f t="shared" si="2"/>
        <v>31</v>
      </c>
      <c r="I5065" s="15">
        <f t="shared" si="3"/>
        <v>1</v>
      </c>
    </row>
    <row r="5066">
      <c r="A5066" s="8" t="str">
        <f>IFERROR(__xludf.DUMMYFUNCTION("IF('(INGESTA)Datos_consumo_datadis'!A5066&lt;&gt;"""",SPLIT('(INGESTA)Datos_consumo_datadis'!A:A,"",""),"""")"),"ES0031408323131005HX0F")</f>
        <v>ES0031408323131005HX0F</v>
      </c>
      <c r="B5066" s="12">
        <f>IFERROR(__xludf.DUMMYFUNCTION("""COMPUTED_VALUE"""),45077.0)</f>
        <v>45077</v>
      </c>
      <c r="C5066" s="13">
        <f>IFERROR(__xludf.DUMMYFUNCTION("""COMPUTED_VALUE"""),0.08333333333333333)</f>
        <v>0.08333333333</v>
      </c>
      <c r="D5066" s="8">
        <f>IFERROR(__xludf.DUMMYFUNCTION("""COMPUTED_VALUE"""),0.057)</f>
        <v>0.057</v>
      </c>
      <c r="E5066" s="8" t="str">
        <f>IFERROR(__xludf.DUMMYFUNCTION("""COMPUTED_VALUE"""),"Real")</f>
        <v>Real</v>
      </c>
      <c r="G5066" s="8">
        <f t="shared" si="1"/>
        <v>5</v>
      </c>
      <c r="H5066" s="14">
        <f t="shared" si="2"/>
        <v>31</v>
      </c>
      <c r="I5066" s="15">
        <f t="shared" si="3"/>
        <v>2</v>
      </c>
    </row>
    <row r="5067">
      <c r="A5067" s="8" t="str">
        <f>IFERROR(__xludf.DUMMYFUNCTION("IF('(INGESTA)Datos_consumo_datadis'!A5067&lt;&gt;"""",SPLIT('(INGESTA)Datos_consumo_datadis'!A:A,"",""),"""")"),"ES0031408323131005HX0F")</f>
        <v>ES0031408323131005HX0F</v>
      </c>
      <c r="B5067" s="12">
        <f>IFERROR(__xludf.DUMMYFUNCTION("""COMPUTED_VALUE"""),45077.0)</f>
        <v>45077</v>
      </c>
      <c r="C5067" s="13">
        <f>IFERROR(__xludf.DUMMYFUNCTION("""COMPUTED_VALUE"""),0.125)</f>
        <v>0.125</v>
      </c>
      <c r="D5067" s="8">
        <f>IFERROR(__xludf.DUMMYFUNCTION("""COMPUTED_VALUE"""),0.082)</f>
        <v>0.082</v>
      </c>
      <c r="E5067" s="8" t="str">
        <f>IFERROR(__xludf.DUMMYFUNCTION("""COMPUTED_VALUE"""),"Real")</f>
        <v>Real</v>
      </c>
      <c r="G5067" s="8">
        <f t="shared" si="1"/>
        <v>5</v>
      </c>
      <c r="H5067" s="14">
        <f t="shared" si="2"/>
        <v>31</v>
      </c>
      <c r="I5067" s="15">
        <f t="shared" si="3"/>
        <v>3</v>
      </c>
    </row>
    <row r="5068">
      <c r="A5068" s="8" t="str">
        <f>IFERROR(__xludf.DUMMYFUNCTION("IF('(INGESTA)Datos_consumo_datadis'!A5068&lt;&gt;"""",SPLIT('(INGESTA)Datos_consumo_datadis'!A:A,"",""),"""")"),"ES0031408323131005HX0F")</f>
        <v>ES0031408323131005HX0F</v>
      </c>
      <c r="B5068" s="12">
        <f>IFERROR(__xludf.DUMMYFUNCTION("""COMPUTED_VALUE"""),45077.0)</f>
        <v>45077</v>
      </c>
      <c r="C5068" s="13">
        <f>IFERROR(__xludf.DUMMYFUNCTION("""COMPUTED_VALUE"""),0.16666666666666666)</f>
        <v>0.1666666667</v>
      </c>
      <c r="D5068" s="8">
        <f>IFERROR(__xludf.DUMMYFUNCTION("""COMPUTED_VALUE"""),0.075)</f>
        <v>0.075</v>
      </c>
      <c r="E5068" s="8" t="str">
        <f>IFERROR(__xludf.DUMMYFUNCTION("""COMPUTED_VALUE"""),"Real")</f>
        <v>Real</v>
      </c>
      <c r="G5068" s="8">
        <f t="shared" si="1"/>
        <v>5</v>
      </c>
      <c r="H5068" s="14">
        <f t="shared" si="2"/>
        <v>31</v>
      </c>
      <c r="I5068" s="15">
        <f t="shared" si="3"/>
        <v>4</v>
      </c>
    </row>
    <row r="5069">
      <c r="A5069" s="8" t="str">
        <f>IFERROR(__xludf.DUMMYFUNCTION("IF('(INGESTA)Datos_consumo_datadis'!A5069&lt;&gt;"""",SPLIT('(INGESTA)Datos_consumo_datadis'!A:A,"",""),"""")"),"ES0031408323131005HX0F")</f>
        <v>ES0031408323131005HX0F</v>
      </c>
      <c r="B5069" s="12">
        <f>IFERROR(__xludf.DUMMYFUNCTION("""COMPUTED_VALUE"""),45077.0)</f>
        <v>45077</v>
      </c>
      <c r="C5069" s="13">
        <f>IFERROR(__xludf.DUMMYFUNCTION("""COMPUTED_VALUE"""),0.20833333333333334)</f>
        <v>0.2083333333</v>
      </c>
      <c r="D5069" s="8">
        <f>IFERROR(__xludf.DUMMYFUNCTION("""COMPUTED_VALUE"""),0.05)</f>
        <v>0.05</v>
      </c>
      <c r="E5069" s="8" t="str">
        <f>IFERROR(__xludf.DUMMYFUNCTION("""COMPUTED_VALUE"""),"Real")</f>
        <v>Real</v>
      </c>
      <c r="G5069" s="8">
        <f t="shared" si="1"/>
        <v>5</v>
      </c>
      <c r="H5069" s="14">
        <f t="shared" si="2"/>
        <v>31</v>
      </c>
      <c r="I5069" s="15">
        <f t="shared" si="3"/>
        <v>5</v>
      </c>
    </row>
    <row r="5070">
      <c r="A5070" s="8" t="str">
        <f>IFERROR(__xludf.DUMMYFUNCTION("IF('(INGESTA)Datos_consumo_datadis'!A5070&lt;&gt;"""",SPLIT('(INGESTA)Datos_consumo_datadis'!A:A,"",""),"""")"),"ES0031408323131005HX0F")</f>
        <v>ES0031408323131005HX0F</v>
      </c>
      <c r="B5070" s="12">
        <f>IFERROR(__xludf.DUMMYFUNCTION("""COMPUTED_VALUE"""),45077.0)</f>
        <v>45077</v>
      </c>
      <c r="C5070" s="13">
        <f>IFERROR(__xludf.DUMMYFUNCTION("""COMPUTED_VALUE"""),0.25)</f>
        <v>0.25</v>
      </c>
      <c r="D5070" s="8">
        <f>IFERROR(__xludf.DUMMYFUNCTION("""COMPUTED_VALUE"""),0.38)</f>
        <v>0.38</v>
      </c>
      <c r="E5070" s="8" t="str">
        <f>IFERROR(__xludf.DUMMYFUNCTION("""COMPUTED_VALUE"""),"Real")</f>
        <v>Real</v>
      </c>
      <c r="G5070" s="8">
        <f t="shared" si="1"/>
        <v>5</v>
      </c>
      <c r="H5070" s="14">
        <f t="shared" si="2"/>
        <v>31</v>
      </c>
      <c r="I5070" s="15">
        <f t="shared" si="3"/>
        <v>6</v>
      </c>
    </row>
    <row r="5071">
      <c r="A5071" s="8" t="str">
        <f>IFERROR(__xludf.DUMMYFUNCTION("IF('(INGESTA)Datos_consumo_datadis'!A5071&lt;&gt;"""",SPLIT('(INGESTA)Datos_consumo_datadis'!A:A,"",""),"""")"),"ES0031408323131005HX0F")</f>
        <v>ES0031408323131005HX0F</v>
      </c>
      <c r="B5071" s="12">
        <f>IFERROR(__xludf.DUMMYFUNCTION("""COMPUTED_VALUE"""),45077.0)</f>
        <v>45077</v>
      </c>
      <c r="C5071" s="13">
        <f>IFERROR(__xludf.DUMMYFUNCTION("""COMPUTED_VALUE"""),0.2916666666666667)</f>
        <v>0.2916666667</v>
      </c>
      <c r="D5071" s="8">
        <f>IFERROR(__xludf.DUMMYFUNCTION("""COMPUTED_VALUE"""),0.066)</f>
        <v>0.066</v>
      </c>
      <c r="E5071" s="8" t="str">
        <f>IFERROR(__xludf.DUMMYFUNCTION("""COMPUTED_VALUE"""),"Real")</f>
        <v>Real</v>
      </c>
      <c r="G5071" s="8">
        <f t="shared" si="1"/>
        <v>5</v>
      </c>
      <c r="H5071" s="14">
        <f t="shared" si="2"/>
        <v>31</v>
      </c>
      <c r="I5071" s="15">
        <f t="shared" si="3"/>
        <v>7</v>
      </c>
    </row>
    <row r="5072">
      <c r="A5072" s="8" t="str">
        <f>IFERROR(__xludf.DUMMYFUNCTION("IF('(INGESTA)Datos_consumo_datadis'!A5072&lt;&gt;"""",SPLIT('(INGESTA)Datos_consumo_datadis'!A:A,"",""),"""")"),"ES0031408323131005HX0F")</f>
        <v>ES0031408323131005HX0F</v>
      </c>
      <c r="B5072" s="12">
        <f>IFERROR(__xludf.DUMMYFUNCTION("""COMPUTED_VALUE"""),45077.0)</f>
        <v>45077</v>
      </c>
      <c r="C5072" s="13">
        <f>IFERROR(__xludf.DUMMYFUNCTION("""COMPUTED_VALUE"""),0.3333333333333333)</f>
        <v>0.3333333333</v>
      </c>
      <c r="D5072" s="8">
        <f>IFERROR(__xludf.DUMMYFUNCTION("""COMPUTED_VALUE"""),0.031)</f>
        <v>0.031</v>
      </c>
      <c r="E5072" s="8" t="str">
        <f>IFERROR(__xludf.DUMMYFUNCTION("""COMPUTED_VALUE"""),"Real")</f>
        <v>Real</v>
      </c>
      <c r="G5072" s="8">
        <f t="shared" si="1"/>
        <v>5</v>
      </c>
      <c r="H5072" s="14">
        <f t="shared" si="2"/>
        <v>31</v>
      </c>
      <c r="I5072" s="15">
        <f t="shared" si="3"/>
        <v>8</v>
      </c>
    </row>
    <row r="5073">
      <c r="A5073" s="8" t="str">
        <f>IFERROR(__xludf.DUMMYFUNCTION("IF('(INGESTA)Datos_consumo_datadis'!A5073&lt;&gt;"""",SPLIT('(INGESTA)Datos_consumo_datadis'!A:A,"",""),"""")"),"ES0031408323131005HX0F")</f>
        <v>ES0031408323131005HX0F</v>
      </c>
      <c r="B5073" s="12">
        <f>IFERROR(__xludf.DUMMYFUNCTION("""COMPUTED_VALUE"""),45077.0)</f>
        <v>45077</v>
      </c>
      <c r="C5073" s="13">
        <f>IFERROR(__xludf.DUMMYFUNCTION("""COMPUTED_VALUE"""),0.375)</f>
        <v>0.375</v>
      </c>
      <c r="D5073" s="8">
        <f>IFERROR(__xludf.DUMMYFUNCTION("""COMPUTED_VALUE"""),0.092)</f>
        <v>0.092</v>
      </c>
      <c r="E5073" s="8" t="str">
        <f>IFERROR(__xludf.DUMMYFUNCTION("""COMPUTED_VALUE"""),"Real")</f>
        <v>Real</v>
      </c>
      <c r="G5073" s="8">
        <f t="shared" si="1"/>
        <v>5</v>
      </c>
      <c r="H5073" s="14">
        <f t="shared" si="2"/>
        <v>31</v>
      </c>
      <c r="I5073" s="15">
        <f t="shared" si="3"/>
        <v>9</v>
      </c>
    </row>
    <row r="5074">
      <c r="A5074" s="8" t="str">
        <f>IFERROR(__xludf.DUMMYFUNCTION("IF('(INGESTA)Datos_consumo_datadis'!A5074&lt;&gt;"""",SPLIT('(INGESTA)Datos_consumo_datadis'!A:A,"",""),"""")"),"ES0031408323131005HX0F")</f>
        <v>ES0031408323131005HX0F</v>
      </c>
      <c r="B5074" s="12">
        <f>IFERROR(__xludf.DUMMYFUNCTION("""COMPUTED_VALUE"""),45077.0)</f>
        <v>45077</v>
      </c>
      <c r="C5074" s="13">
        <f>IFERROR(__xludf.DUMMYFUNCTION("""COMPUTED_VALUE"""),0.4166666666666667)</f>
        <v>0.4166666667</v>
      </c>
      <c r="D5074" s="8">
        <f>IFERROR(__xludf.DUMMYFUNCTION("""COMPUTED_VALUE"""),0.062)</f>
        <v>0.062</v>
      </c>
      <c r="E5074" s="8" t="str">
        <f>IFERROR(__xludf.DUMMYFUNCTION("""COMPUTED_VALUE"""),"Real")</f>
        <v>Real</v>
      </c>
      <c r="G5074" s="8">
        <f t="shared" si="1"/>
        <v>5</v>
      </c>
      <c r="H5074" s="14">
        <f t="shared" si="2"/>
        <v>31</v>
      </c>
      <c r="I5074" s="15">
        <f t="shared" si="3"/>
        <v>10</v>
      </c>
    </row>
    <row r="5075">
      <c r="A5075" s="8" t="str">
        <f>IFERROR(__xludf.DUMMYFUNCTION("IF('(INGESTA)Datos_consumo_datadis'!A5075&lt;&gt;"""",SPLIT('(INGESTA)Datos_consumo_datadis'!A:A,"",""),"""")"),"ES0031408323131005HX0F")</f>
        <v>ES0031408323131005HX0F</v>
      </c>
      <c r="B5075" s="12">
        <f>IFERROR(__xludf.DUMMYFUNCTION("""COMPUTED_VALUE"""),45077.0)</f>
        <v>45077</v>
      </c>
      <c r="C5075" s="13">
        <f>IFERROR(__xludf.DUMMYFUNCTION("""COMPUTED_VALUE"""),0.4583333333333333)</f>
        <v>0.4583333333</v>
      </c>
      <c r="D5075" s="8">
        <f>IFERROR(__xludf.DUMMYFUNCTION("""COMPUTED_VALUE"""),0.015)</f>
        <v>0.015</v>
      </c>
      <c r="E5075" s="8" t="str">
        <f>IFERROR(__xludf.DUMMYFUNCTION("""COMPUTED_VALUE"""),"Real")</f>
        <v>Real</v>
      </c>
      <c r="G5075" s="8">
        <f t="shared" si="1"/>
        <v>5</v>
      </c>
      <c r="H5075" s="14">
        <f t="shared" si="2"/>
        <v>31</v>
      </c>
      <c r="I5075" s="15">
        <f t="shared" si="3"/>
        <v>11</v>
      </c>
    </row>
    <row r="5076">
      <c r="A5076" s="8" t="str">
        <f>IFERROR(__xludf.DUMMYFUNCTION("IF('(INGESTA)Datos_consumo_datadis'!A5076&lt;&gt;"""",SPLIT('(INGESTA)Datos_consumo_datadis'!A:A,"",""),"""")"),"ES0031408323131005HX0F")</f>
        <v>ES0031408323131005HX0F</v>
      </c>
      <c r="B5076" s="12">
        <f>IFERROR(__xludf.DUMMYFUNCTION("""COMPUTED_VALUE"""),45077.0)</f>
        <v>45077</v>
      </c>
      <c r="C5076" s="13">
        <f>IFERROR(__xludf.DUMMYFUNCTION("""COMPUTED_VALUE"""),0.5)</f>
        <v>0.5</v>
      </c>
      <c r="D5076" s="8">
        <f>IFERROR(__xludf.DUMMYFUNCTION("""COMPUTED_VALUE"""),0.101)</f>
        <v>0.101</v>
      </c>
      <c r="E5076" s="8" t="str">
        <f>IFERROR(__xludf.DUMMYFUNCTION("""COMPUTED_VALUE"""),"Real")</f>
        <v>Real</v>
      </c>
      <c r="G5076" s="8">
        <f t="shared" si="1"/>
        <v>5</v>
      </c>
      <c r="H5076" s="14">
        <f t="shared" si="2"/>
        <v>31</v>
      </c>
      <c r="I5076" s="15">
        <f t="shared" si="3"/>
        <v>12</v>
      </c>
    </row>
    <row r="5077">
      <c r="A5077" s="8" t="str">
        <f>IFERROR(__xludf.DUMMYFUNCTION("IF('(INGESTA)Datos_consumo_datadis'!A5077&lt;&gt;"""",SPLIT('(INGESTA)Datos_consumo_datadis'!A:A,"",""),"""")"),"ES0031408323131005HX0F")</f>
        <v>ES0031408323131005HX0F</v>
      </c>
      <c r="B5077" s="12">
        <f>IFERROR(__xludf.DUMMYFUNCTION("""COMPUTED_VALUE"""),45077.0)</f>
        <v>45077</v>
      </c>
      <c r="C5077" s="13">
        <f>IFERROR(__xludf.DUMMYFUNCTION("""COMPUTED_VALUE"""),0.5416666666666666)</f>
        <v>0.5416666667</v>
      </c>
      <c r="D5077" s="8">
        <f>IFERROR(__xludf.DUMMYFUNCTION("""COMPUTED_VALUE"""),0.051)</f>
        <v>0.051</v>
      </c>
      <c r="E5077" s="8" t="str">
        <f>IFERROR(__xludf.DUMMYFUNCTION("""COMPUTED_VALUE"""),"Real")</f>
        <v>Real</v>
      </c>
      <c r="G5077" s="8">
        <f t="shared" si="1"/>
        <v>5</v>
      </c>
      <c r="H5077" s="14">
        <f t="shared" si="2"/>
        <v>31</v>
      </c>
      <c r="I5077" s="15">
        <f t="shared" si="3"/>
        <v>13</v>
      </c>
    </row>
    <row r="5078">
      <c r="A5078" s="8" t="str">
        <f>IFERROR(__xludf.DUMMYFUNCTION("IF('(INGESTA)Datos_consumo_datadis'!A5078&lt;&gt;"""",SPLIT('(INGESTA)Datos_consumo_datadis'!A:A,"",""),"""")"),"ES0031408323131005HX0F")</f>
        <v>ES0031408323131005HX0F</v>
      </c>
      <c r="B5078" s="12">
        <f>IFERROR(__xludf.DUMMYFUNCTION("""COMPUTED_VALUE"""),45077.0)</f>
        <v>45077</v>
      </c>
      <c r="C5078" s="13">
        <f>IFERROR(__xludf.DUMMYFUNCTION("""COMPUTED_VALUE"""),0.5833333333333334)</f>
        <v>0.5833333333</v>
      </c>
      <c r="D5078" s="8">
        <f>IFERROR(__xludf.DUMMYFUNCTION("""COMPUTED_VALUE"""),0.339)</f>
        <v>0.339</v>
      </c>
      <c r="E5078" s="8" t="str">
        <f>IFERROR(__xludf.DUMMYFUNCTION("""COMPUTED_VALUE"""),"Real")</f>
        <v>Real</v>
      </c>
      <c r="G5078" s="8">
        <f t="shared" si="1"/>
        <v>5</v>
      </c>
      <c r="H5078" s="14">
        <f t="shared" si="2"/>
        <v>31</v>
      </c>
      <c r="I5078" s="15">
        <f t="shared" si="3"/>
        <v>14</v>
      </c>
    </row>
    <row r="5079">
      <c r="A5079" s="8" t="str">
        <f>IFERROR(__xludf.DUMMYFUNCTION("IF('(INGESTA)Datos_consumo_datadis'!A5079&lt;&gt;"""",SPLIT('(INGESTA)Datos_consumo_datadis'!A:A,"",""),"""")"),"ES0031408323131005HX0F")</f>
        <v>ES0031408323131005HX0F</v>
      </c>
      <c r="B5079" s="12">
        <f>IFERROR(__xludf.DUMMYFUNCTION("""COMPUTED_VALUE"""),45077.0)</f>
        <v>45077</v>
      </c>
      <c r="C5079" s="13">
        <f>IFERROR(__xludf.DUMMYFUNCTION("""COMPUTED_VALUE"""),0.625)</f>
        <v>0.625</v>
      </c>
      <c r="D5079" s="8">
        <f>IFERROR(__xludf.DUMMYFUNCTION("""COMPUTED_VALUE"""),0.079)</f>
        <v>0.079</v>
      </c>
      <c r="E5079" s="8" t="str">
        <f>IFERROR(__xludf.DUMMYFUNCTION("""COMPUTED_VALUE"""),"Real")</f>
        <v>Real</v>
      </c>
      <c r="G5079" s="8">
        <f t="shared" si="1"/>
        <v>5</v>
      </c>
      <c r="H5079" s="14">
        <f t="shared" si="2"/>
        <v>31</v>
      </c>
      <c r="I5079" s="15">
        <f t="shared" si="3"/>
        <v>15</v>
      </c>
    </row>
    <row r="5080">
      <c r="A5080" s="8" t="str">
        <f>IFERROR(__xludf.DUMMYFUNCTION("IF('(INGESTA)Datos_consumo_datadis'!A5080&lt;&gt;"""",SPLIT('(INGESTA)Datos_consumo_datadis'!A:A,"",""),"""")"),"ES0031408323131005HX0F")</f>
        <v>ES0031408323131005HX0F</v>
      </c>
      <c r="B5080" s="12">
        <f>IFERROR(__xludf.DUMMYFUNCTION("""COMPUTED_VALUE"""),45077.0)</f>
        <v>45077</v>
      </c>
      <c r="C5080" s="13">
        <f>IFERROR(__xludf.DUMMYFUNCTION("""COMPUTED_VALUE"""),0.6666666666666666)</f>
        <v>0.6666666667</v>
      </c>
      <c r="D5080" s="8">
        <f>IFERROR(__xludf.DUMMYFUNCTION("""COMPUTED_VALUE"""),0.051)</f>
        <v>0.051</v>
      </c>
      <c r="E5080" s="8" t="str">
        <f>IFERROR(__xludf.DUMMYFUNCTION("""COMPUTED_VALUE"""),"Real")</f>
        <v>Real</v>
      </c>
      <c r="G5080" s="8">
        <f t="shared" si="1"/>
        <v>5</v>
      </c>
      <c r="H5080" s="14">
        <f t="shared" si="2"/>
        <v>31</v>
      </c>
      <c r="I5080" s="15">
        <f t="shared" si="3"/>
        <v>16</v>
      </c>
    </row>
    <row r="5081">
      <c r="A5081" s="8" t="str">
        <f>IFERROR(__xludf.DUMMYFUNCTION("IF('(INGESTA)Datos_consumo_datadis'!A5081&lt;&gt;"""",SPLIT('(INGESTA)Datos_consumo_datadis'!A:A,"",""),"""")"),"ES0031408323131005HX0F")</f>
        <v>ES0031408323131005HX0F</v>
      </c>
      <c r="B5081" s="12">
        <f>IFERROR(__xludf.DUMMYFUNCTION("""COMPUTED_VALUE"""),45077.0)</f>
        <v>45077</v>
      </c>
      <c r="C5081" s="13">
        <f>IFERROR(__xludf.DUMMYFUNCTION("""COMPUTED_VALUE"""),0.7083333333333334)</f>
        <v>0.7083333333</v>
      </c>
      <c r="D5081" s="8">
        <f>IFERROR(__xludf.DUMMYFUNCTION("""COMPUTED_VALUE"""),0.059)</f>
        <v>0.059</v>
      </c>
      <c r="E5081" s="8" t="str">
        <f>IFERROR(__xludf.DUMMYFUNCTION("""COMPUTED_VALUE"""),"Real")</f>
        <v>Real</v>
      </c>
      <c r="G5081" s="8">
        <f t="shared" si="1"/>
        <v>5</v>
      </c>
      <c r="H5081" s="14">
        <f t="shared" si="2"/>
        <v>31</v>
      </c>
      <c r="I5081" s="15">
        <f t="shared" si="3"/>
        <v>17</v>
      </c>
    </row>
    <row r="5082">
      <c r="A5082" s="8" t="str">
        <f>IFERROR(__xludf.DUMMYFUNCTION("IF('(INGESTA)Datos_consumo_datadis'!A5082&lt;&gt;"""",SPLIT('(INGESTA)Datos_consumo_datadis'!A:A,"",""),"""")"),"ES0031408323131005HX0F")</f>
        <v>ES0031408323131005HX0F</v>
      </c>
      <c r="B5082" s="12">
        <f>IFERROR(__xludf.DUMMYFUNCTION("""COMPUTED_VALUE"""),45077.0)</f>
        <v>45077</v>
      </c>
      <c r="C5082" s="13">
        <f>IFERROR(__xludf.DUMMYFUNCTION("""COMPUTED_VALUE"""),0.75)</f>
        <v>0.75</v>
      </c>
      <c r="D5082" s="8">
        <f>IFERROR(__xludf.DUMMYFUNCTION("""COMPUTED_VALUE"""),0.067)</f>
        <v>0.067</v>
      </c>
      <c r="E5082" s="8" t="str">
        <f>IFERROR(__xludf.DUMMYFUNCTION("""COMPUTED_VALUE"""),"Real")</f>
        <v>Real</v>
      </c>
      <c r="G5082" s="8">
        <f t="shared" si="1"/>
        <v>5</v>
      </c>
      <c r="H5082" s="14">
        <f t="shared" si="2"/>
        <v>31</v>
      </c>
      <c r="I5082" s="15">
        <f t="shared" si="3"/>
        <v>18</v>
      </c>
    </row>
    <row r="5083">
      <c r="A5083" s="8" t="str">
        <f>IFERROR(__xludf.DUMMYFUNCTION("IF('(INGESTA)Datos_consumo_datadis'!A5083&lt;&gt;"""",SPLIT('(INGESTA)Datos_consumo_datadis'!A:A,"",""),"""")"),"ES0031408323131005HX0F")</f>
        <v>ES0031408323131005HX0F</v>
      </c>
      <c r="B5083" s="12">
        <f>IFERROR(__xludf.DUMMYFUNCTION("""COMPUTED_VALUE"""),45077.0)</f>
        <v>45077</v>
      </c>
      <c r="C5083" s="13">
        <f>IFERROR(__xludf.DUMMYFUNCTION("""COMPUTED_VALUE"""),0.7916666666666666)</f>
        <v>0.7916666667</v>
      </c>
      <c r="D5083" s="8">
        <f>IFERROR(__xludf.DUMMYFUNCTION("""COMPUTED_VALUE"""),0.043)</f>
        <v>0.043</v>
      </c>
      <c r="E5083" s="8" t="str">
        <f>IFERROR(__xludf.DUMMYFUNCTION("""COMPUTED_VALUE"""),"Real")</f>
        <v>Real</v>
      </c>
      <c r="G5083" s="8">
        <f t="shared" si="1"/>
        <v>5</v>
      </c>
      <c r="H5083" s="14">
        <f t="shared" si="2"/>
        <v>31</v>
      </c>
      <c r="I5083" s="15">
        <f t="shared" si="3"/>
        <v>19</v>
      </c>
    </row>
    <row r="5084">
      <c r="A5084" s="8" t="str">
        <f>IFERROR(__xludf.DUMMYFUNCTION("IF('(INGESTA)Datos_consumo_datadis'!A5084&lt;&gt;"""",SPLIT('(INGESTA)Datos_consumo_datadis'!A:A,"",""),"""")"),"ES0031408323131005HX0F")</f>
        <v>ES0031408323131005HX0F</v>
      </c>
      <c r="B5084" s="12">
        <f>IFERROR(__xludf.DUMMYFUNCTION("""COMPUTED_VALUE"""),45077.0)</f>
        <v>45077</v>
      </c>
      <c r="C5084" s="13">
        <f>IFERROR(__xludf.DUMMYFUNCTION("""COMPUTED_VALUE"""),0.8333333333333334)</f>
        <v>0.8333333333</v>
      </c>
      <c r="D5084" s="8">
        <f>IFERROR(__xludf.DUMMYFUNCTION("""COMPUTED_VALUE"""),0.081)</f>
        <v>0.081</v>
      </c>
      <c r="E5084" s="8" t="str">
        <f>IFERROR(__xludf.DUMMYFUNCTION("""COMPUTED_VALUE"""),"Real")</f>
        <v>Real</v>
      </c>
      <c r="G5084" s="8">
        <f t="shared" si="1"/>
        <v>5</v>
      </c>
      <c r="H5084" s="14">
        <f t="shared" si="2"/>
        <v>31</v>
      </c>
      <c r="I5084" s="15">
        <f t="shared" si="3"/>
        <v>20</v>
      </c>
    </row>
    <row r="5085">
      <c r="A5085" s="8" t="str">
        <f>IFERROR(__xludf.DUMMYFUNCTION("IF('(INGESTA)Datos_consumo_datadis'!A5085&lt;&gt;"""",SPLIT('(INGESTA)Datos_consumo_datadis'!A:A,"",""),"""")"),"ES0031408323131005HX0F")</f>
        <v>ES0031408323131005HX0F</v>
      </c>
      <c r="B5085" s="12">
        <f>IFERROR(__xludf.DUMMYFUNCTION("""COMPUTED_VALUE"""),45077.0)</f>
        <v>45077</v>
      </c>
      <c r="C5085" s="13">
        <f>IFERROR(__xludf.DUMMYFUNCTION("""COMPUTED_VALUE"""),0.875)</f>
        <v>0.875</v>
      </c>
      <c r="D5085" s="8">
        <f>IFERROR(__xludf.DUMMYFUNCTION("""COMPUTED_VALUE"""),0.372)</f>
        <v>0.372</v>
      </c>
      <c r="E5085" s="8" t="str">
        <f>IFERROR(__xludf.DUMMYFUNCTION("""COMPUTED_VALUE"""),"Real")</f>
        <v>Real</v>
      </c>
      <c r="G5085" s="8">
        <f t="shared" si="1"/>
        <v>5</v>
      </c>
      <c r="H5085" s="14">
        <f t="shared" si="2"/>
        <v>31</v>
      </c>
      <c r="I5085" s="15">
        <f t="shared" si="3"/>
        <v>21</v>
      </c>
    </row>
    <row r="5086">
      <c r="A5086" s="8" t="str">
        <f>IFERROR(__xludf.DUMMYFUNCTION("IF('(INGESTA)Datos_consumo_datadis'!A5086&lt;&gt;"""",SPLIT('(INGESTA)Datos_consumo_datadis'!A:A,"",""),"""")"),"ES0031408323131005HX0F")</f>
        <v>ES0031408323131005HX0F</v>
      </c>
      <c r="B5086" s="12">
        <f>IFERROR(__xludf.DUMMYFUNCTION("""COMPUTED_VALUE"""),45077.0)</f>
        <v>45077</v>
      </c>
      <c r="C5086" s="13">
        <f>IFERROR(__xludf.DUMMYFUNCTION("""COMPUTED_VALUE"""),0.9166666666666666)</f>
        <v>0.9166666667</v>
      </c>
      <c r="D5086" s="8">
        <f>IFERROR(__xludf.DUMMYFUNCTION("""COMPUTED_VALUE"""),0.023)</f>
        <v>0.023</v>
      </c>
      <c r="E5086" s="8" t="str">
        <f>IFERROR(__xludf.DUMMYFUNCTION("""COMPUTED_VALUE"""),"Real")</f>
        <v>Real</v>
      </c>
      <c r="G5086" s="8">
        <f t="shared" si="1"/>
        <v>5</v>
      </c>
      <c r="H5086" s="14">
        <f t="shared" si="2"/>
        <v>31</v>
      </c>
      <c r="I5086" s="15">
        <f t="shared" si="3"/>
        <v>22</v>
      </c>
    </row>
    <row r="5087">
      <c r="A5087" s="8" t="str">
        <f>IFERROR(__xludf.DUMMYFUNCTION("IF('(INGESTA)Datos_consumo_datadis'!A5087&lt;&gt;"""",SPLIT('(INGESTA)Datos_consumo_datadis'!A:A,"",""),"""")"),"ES0031408323131005HX0F")</f>
        <v>ES0031408323131005HX0F</v>
      </c>
      <c r="B5087" s="12">
        <f>IFERROR(__xludf.DUMMYFUNCTION("""COMPUTED_VALUE"""),45077.0)</f>
        <v>45077</v>
      </c>
      <c r="C5087" s="13">
        <f>IFERROR(__xludf.DUMMYFUNCTION("""COMPUTED_VALUE"""),0.9583333333333334)</f>
        <v>0.9583333333</v>
      </c>
      <c r="D5087" s="8">
        <f>IFERROR(__xludf.DUMMYFUNCTION("""COMPUTED_VALUE"""),0.063)</f>
        <v>0.063</v>
      </c>
      <c r="E5087" s="8" t="str">
        <f>IFERROR(__xludf.DUMMYFUNCTION("""COMPUTED_VALUE"""),"Real")</f>
        <v>Real</v>
      </c>
      <c r="G5087" s="8">
        <f t="shared" si="1"/>
        <v>5</v>
      </c>
      <c r="H5087" s="14">
        <f t="shared" si="2"/>
        <v>31</v>
      </c>
      <c r="I5087" s="15">
        <f t="shared" si="3"/>
        <v>23</v>
      </c>
    </row>
    <row r="5088">
      <c r="A5088" s="8" t="str">
        <f>IFERROR(__xludf.DUMMYFUNCTION("IF('(INGESTA)Datos_consumo_datadis'!A5088&lt;&gt;"""",SPLIT('(INGESTA)Datos_consumo_datadis'!A:A,"",""),"""")"),"ES0031408323131005HX0F")</f>
        <v>ES0031408323131005HX0F</v>
      </c>
      <c r="B5088" s="12">
        <f>IFERROR(__xludf.DUMMYFUNCTION("""COMPUTED_VALUE"""),45077.0)</f>
        <v>45077</v>
      </c>
      <c r="C5088" s="16">
        <f>IFERROR(__xludf.DUMMYFUNCTION("""COMPUTED_VALUE"""),1.0)</f>
        <v>1</v>
      </c>
      <c r="D5088" s="8">
        <f>IFERROR(__xludf.DUMMYFUNCTION("""COMPUTED_VALUE"""),0.067)</f>
        <v>0.067</v>
      </c>
      <c r="E5088" s="8" t="str">
        <f>IFERROR(__xludf.DUMMYFUNCTION("""COMPUTED_VALUE"""),"Real")</f>
        <v>Real</v>
      </c>
      <c r="G5088" s="8">
        <f t="shared" si="1"/>
        <v>5</v>
      </c>
      <c r="H5088" s="14">
        <f t="shared" si="2"/>
        <v>31</v>
      </c>
      <c r="I5088" s="15">
        <f t="shared" si="3"/>
        <v>0</v>
      </c>
    </row>
    <row r="5089">
      <c r="A5089" s="8" t="str">
        <f>IFERROR(__xludf.DUMMYFUNCTION("IF('(INGESTA)Datos_consumo_datadis'!A5089&lt;&gt;"""",SPLIT('(INGESTA)Datos_consumo_datadis'!A:A,"",""),"""")"),"ES0031408323131005HX0F")</f>
        <v>ES0031408323131005HX0F</v>
      </c>
      <c r="B5089" s="12">
        <f>IFERROR(__xludf.DUMMYFUNCTION("""COMPUTED_VALUE"""),45078.0)</f>
        <v>45078</v>
      </c>
      <c r="C5089" s="13">
        <f>IFERROR(__xludf.DUMMYFUNCTION("""COMPUTED_VALUE"""),0.041666666666666664)</f>
        <v>0.04166666667</v>
      </c>
      <c r="D5089" s="8">
        <f>IFERROR(__xludf.DUMMYFUNCTION("""COMPUTED_VALUE"""),0.069)</f>
        <v>0.069</v>
      </c>
      <c r="E5089" s="8" t="str">
        <f>IFERROR(__xludf.DUMMYFUNCTION("""COMPUTED_VALUE"""),"Real")</f>
        <v>Real</v>
      </c>
      <c r="G5089" s="8">
        <f t="shared" si="1"/>
        <v>6</v>
      </c>
      <c r="H5089" s="14">
        <f t="shared" si="2"/>
        <v>1</v>
      </c>
      <c r="I5089" s="15">
        <f t="shared" si="3"/>
        <v>1</v>
      </c>
    </row>
    <row r="5090">
      <c r="A5090" s="8" t="str">
        <f>IFERROR(__xludf.DUMMYFUNCTION("IF('(INGESTA)Datos_consumo_datadis'!A5090&lt;&gt;"""",SPLIT('(INGESTA)Datos_consumo_datadis'!A:A,"",""),"""")"),"ES0031408323131005HX0F")</f>
        <v>ES0031408323131005HX0F</v>
      </c>
      <c r="B5090" s="12">
        <f>IFERROR(__xludf.DUMMYFUNCTION("""COMPUTED_VALUE"""),45078.0)</f>
        <v>45078</v>
      </c>
      <c r="C5090" s="13">
        <f>IFERROR(__xludf.DUMMYFUNCTION("""COMPUTED_VALUE"""),0.08333333333333333)</f>
        <v>0.08333333333</v>
      </c>
      <c r="D5090" s="8">
        <f>IFERROR(__xludf.DUMMYFUNCTION("""COMPUTED_VALUE"""),0.01)</f>
        <v>0.01</v>
      </c>
      <c r="E5090" s="8" t="str">
        <f>IFERROR(__xludf.DUMMYFUNCTION("""COMPUTED_VALUE"""),"Real")</f>
        <v>Real</v>
      </c>
      <c r="G5090" s="8">
        <f t="shared" si="1"/>
        <v>6</v>
      </c>
      <c r="H5090" s="14">
        <f t="shared" si="2"/>
        <v>1</v>
      </c>
      <c r="I5090" s="15">
        <f t="shared" si="3"/>
        <v>2</v>
      </c>
    </row>
    <row r="5091">
      <c r="A5091" s="8" t="str">
        <f>IFERROR(__xludf.DUMMYFUNCTION("IF('(INGESTA)Datos_consumo_datadis'!A5091&lt;&gt;"""",SPLIT('(INGESTA)Datos_consumo_datadis'!A:A,"",""),"""")"),"ES0031408323131005HX0F")</f>
        <v>ES0031408323131005HX0F</v>
      </c>
      <c r="B5091" s="12">
        <f>IFERROR(__xludf.DUMMYFUNCTION("""COMPUTED_VALUE"""),45078.0)</f>
        <v>45078</v>
      </c>
      <c r="C5091" s="13">
        <f>IFERROR(__xludf.DUMMYFUNCTION("""COMPUTED_VALUE"""),0.125)</f>
        <v>0.125</v>
      </c>
      <c r="D5091" s="8">
        <f>IFERROR(__xludf.DUMMYFUNCTION("""COMPUTED_VALUE"""),0.051)</f>
        <v>0.051</v>
      </c>
      <c r="E5091" s="8" t="str">
        <f>IFERROR(__xludf.DUMMYFUNCTION("""COMPUTED_VALUE"""),"Real")</f>
        <v>Real</v>
      </c>
      <c r="G5091" s="8">
        <f t="shared" si="1"/>
        <v>6</v>
      </c>
      <c r="H5091" s="14">
        <f t="shared" si="2"/>
        <v>1</v>
      </c>
      <c r="I5091" s="15">
        <f t="shared" si="3"/>
        <v>3</v>
      </c>
    </row>
    <row r="5092">
      <c r="A5092" s="8" t="str">
        <f>IFERROR(__xludf.DUMMYFUNCTION("IF('(INGESTA)Datos_consumo_datadis'!A5092&lt;&gt;"""",SPLIT('(INGESTA)Datos_consumo_datadis'!A:A,"",""),"""")"),"ES0031408323131005HX0F")</f>
        <v>ES0031408323131005HX0F</v>
      </c>
      <c r="B5092" s="12">
        <f>IFERROR(__xludf.DUMMYFUNCTION("""COMPUTED_VALUE"""),45078.0)</f>
        <v>45078</v>
      </c>
      <c r="C5092" s="13">
        <f>IFERROR(__xludf.DUMMYFUNCTION("""COMPUTED_VALUE"""),0.16666666666666666)</f>
        <v>0.1666666667</v>
      </c>
      <c r="D5092" s="8">
        <f>IFERROR(__xludf.DUMMYFUNCTION("""COMPUTED_VALUE"""),0.186)</f>
        <v>0.186</v>
      </c>
      <c r="E5092" s="8" t="str">
        <f>IFERROR(__xludf.DUMMYFUNCTION("""COMPUTED_VALUE"""),"Real")</f>
        <v>Real</v>
      </c>
      <c r="G5092" s="8">
        <f t="shared" si="1"/>
        <v>6</v>
      </c>
      <c r="H5092" s="14">
        <f t="shared" si="2"/>
        <v>1</v>
      </c>
      <c r="I5092" s="15">
        <f t="shared" si="3"/>
        <v>4</v>
      </c>
    </row>
    <row r="5093">
      <c r="A5093" s="8" t="str">
        <f>IFERROR(__xludf.DUMMYFUNCTION("IF('(INGESTA)Datos_consumo_datadis'!A5093&lt;&gt;"""",SPLIT('(INGESTA)Datos_consumo_datadis'!A:A,"",""),"""")"),"ES0031408323131005HX0F")</f>
        <v>ES0031408323131005HX0F</v>
      </c>
      <c r="B5093" s="12">
        <f>IFERROR(__xludf.DUMMYFUNCTION("""COMPUTED_VALUE"""),45078.0)</f>
        <v>45078</v>
      </c>
      <c r="C5093" s="13">
        <f>IFERROR(__xludf.DUMMYFUNCTION("""COMPUTED_VALUE"""),0.20833333333333334)</f>
        <v>0.2083333333</v>
      </c>
      <c r="D5093" s="8">
        <f>IFERROR(__xludf.DUMMYFUNCTION("""COMPUTED_VALUE"""),0.289)</f>
        <v>0.289</v>
      </c>
      <c r="E5093" s="8" t="str">
        <f>IFERROR(__xludf.DUMMYFUNCTION("""COMPUTED_VALUE"""),"Real")</f>
        <v>Real</v>
      </c>
      <c r="G5093" s="8">
        <f t="shared" si="1"/>
        <v>6</v>
      </c>
      <c r="H5093" s="14">
        <f t="shared" si="2"/>
        <v>1</v>
      </c>
      <c r="I5093" s="15">
        <f t="shared" si="3"/>
        <v>5</v>
      </c>
    </row>
    <row r="5094">
      <c r="A5094" s="8" t="str">
        <f>IFERROR(__xludf.DUMMYFUNCTION("IF('(INGESTA)Datos_consumo_datadis'!A5094&lt;&gt;"""",SPLIT('(INGESTA)Datos_consumo_datadis'!A:A,"",""),"""")"),"ES0031408323131005HX0F")</f>
        <v>ES0031408323131005HX0F</v>
      </c>
      <c r="B5094" s="12">
        <f>IFERROR(__xludf.DUMMYFUNCTION("""COMPUTED_VALUE"""),45078.0)</f>
        <v>45078</v>
      </c>
      <c r="C5094" s="13">
        <f>IFERROR(__xludf.DUMMYFUNCTION("""COMPUTED_VALUE"""),0.25)</f>
        <v>0.25</v>
      </c>
      <c r="D5094" s="8">
        <f>IFERROR(__xludf.DUMMYFUNCTION("""COMPUTED_VALUE"""),0.042)</f>
        <v>0.042</v>
      </c>
      <c r="E5094" s="8" t="str">
        <f>IFERROR(__xludf.DUMMYFUNCTION("""COMPUTED_VALUE"""),"Real")</f>
        <v>Real</v>
      </c>
      <c r="G5094" s="8">
        <f t="shared" si="1"/>
        <v>6</v>
      </c>
      <c r="H5094" s="14">
        <f t="shared" si="2"/>
        <v>1</v>
      </c>
      <c r="I5094" s="15">
        <f t="shared" si="3"/>
        <v>6</v>
      </c>
    </row>
    <row r="5095">
      <c r="A5095" s="8" t="str">
        <f>IFERROR(__xludf.DUMMYFUNCTION("IF('(INGESTA)Datos_consumo_datadis'!A5095&lt;&gt;"""",SPLIT('(INGESTA)Datos_consumo_datadis'!A:A,"",""),"""")"),"ES0031408323131005HX0F")</f>
        <v>ES0031408323131005HX0F</v>
      </c>
      <c r="B5095" s="12">
        <f>IFERROR(__xludf.DUMMYFUNCTION("""COMPUTED_VALUE"""),45078.0)</f>
        <v>45078</v>
      </c>
      <c r="C5095" s="13">
        <f>IFERROR(__xludf.DUMMYFUNCTION("""COMPUTED_VALUE"""),0.2916666666666667)</f>
        <v>0.2916666667</v>
      </c>
      <c r="D5095" s="8">
        <f>IFERROR(__xludf.DUMMYFUNCTION("""COMPUTED_VALUE"""),0.01)</f>
        <v>0.01</v>
      </c>
      <c r="E5095" s="8" t="str">
        <f>IFERROR(__xludf.DUMMYFUNCTION("""COMPUTED_VALUE"""),"Real")</f>
        <v>Real</v>
      </c>
      <c r="G5095" s="8">
        <f t="shared" si="1"/>
        <v>6</v>
      </c>
      <c r="H5095" s="14">
        <f t="shared" si="2"/>
        <v>1</v>
      </c>
      <c r="I5095" s="15">
        <f t="shared" si="3"/>
        <v>7</v>
      </c>
    </row>
    <row r="5096">
      <c r="A5096" s="8" t="str">
        <f>IFERROR(__xludf.DUMMYFUNCTION("IF('(INGESTA)Datos_consumo_datadis'!A5096&lt;&gt;"""",SPLIT('(INGESTA)Datos_consumo_datadis'!A:A,"",""),"""")"),"ES0031408323131005HX0F")</f>
        <v>ES0031408323131005HX0F</v>
      </c>
      <c r="B5096" s="12">
        <f>IFERROR(__xludf.DUMMYFUNCTION("""COMPUTED_VALUE"""),45078.0)</f>
        <v>45078</v>
      </c>
      <c r="C5096" s="13">
        <f>IFERROR(__xludf.DUMMYFUNCTION("""COMPUTED_VALUE"""),0.3333333333333333)</f>
        <v>0.3333333333</v>
      </c>
      <c r="D5096" s="8">
        <f>IFERROR(__xludf.DUMMYFUNCTION("""COMPUTED_VALUE"""),0.093)</f>
        <v>0.093</v>
      </c>
      <c r="E5096" s="8" t="str">
        <f>IFERROR(__xludf.DUMMYFUNCTION("""COMPUTED_VALUE"""),"Real")</f>
        <v>Real</v>
      </c>
      <c r="G5096" s="8">
        <f t="shared" si="1"/>
        <v>6</v>
      </c>
      <c r="H5096" s="14">
        <f t="shared" si="2"/>
        <v>1</v>
      </c>
      <c r="I5096" s="15">
        <f t="shared" si="3"/>
        <v>8</v>
      </c>
    </row>
    <row r="5097">
      <c r="A5097" s="8" t="str">
        <f>IFERROR(__xludf.DUMMYFUNCTION("IF('(INGESTA)Datos_consumo_datadis'!A5097&lt;&gt;"""",SPLIT('(INGESTA)Datos_consumo_datadis'!A:A,"",""),"""")"),"ES0031408323131005HX0F")</f>
        <v>ES0031408323131005HX0F</v>
      </c>
      <c r="B5097" s="12">
        <f>IFERROR(__xludf.DUMMYFUNCTION("""COMPUTED_VALUE"""),45078.0)</f>
        <v>45078</v>
      </c>
      <c r="C5097" s="13">
        <f>IFERROR(__xludf.DUMMYFUNCTION("""COMPUTED_VALUE"""),0.375)</f>
        <v>0.375</v>
      </c>
      <c r="D5097" s="8">
        <f>IFERROR(__xludf.DUMMYFUNCTION("""COMPUTED_VALUE"""),0.068)</f>
        <v>0.068</v>
      </c>
      <c r="E5097" s="8" t="str">
        <f>IFERROR(__xludf.DUMMYFUNCTION("""COMPUTED_VALUE"""),"Real")</f>
        <v>Real</v>
      </c>
      <c r="G5097" s="8">
        <f t="shared" si="1"/>
        <v>6</v>
      </c>
      <c r="H5097" s="14">
        <f t="shared" si="2"/>
        <v>1</v>
      </c>
      <c r="I5097" s="15">
        <f t="shared" si="3"/>
        <v>9</v>
      </c>
    </row>
    <row r="5098">
      <c r="A5098" s="8" t="str">
        <f>IFERROR(__xludf.DUMMYFUNCTION("IF('(INGESTA)Datos_consumo_datadis'!A5098&lt;&gt;"""",SPLIT('(INGESTA)Datos_consumo_datadis'!A:A,"",""),"""")"),"ES0031408323131005HX0F")</f>
        <v>ES0031408323131005HX0F</v>
      </c>
      <c r="B5098" s="12">
        <f>IFERROR(__xludf.DUMMYFUNCTION("""COMPUTED_VALUE"""),45078.0)</f>
        <v>45078</v>
      </c>
      <c r="C5098" s="13">
        <f>IFERROR(__xludf.DUMMYFUNCTION("""COMPUTED_VALUE"""),0.4166666666666667)</f>
        <v>0.4166666667</v>
      </c>
      <c r="D5098" s="8">
        <f>IFERROR(__xludf.DUMMYFUNCTION("""COMPUTED_VALUE"""),0.049)</f>
        <v>0.049</v>
      </c>
      <c r="E5098" s="8" t="str">
        <f>IFERROR(__xludf.DUMMYFUNCTION("""COMPUTED_VALUE"""),"Real")</f>
        <v>Real</v>
      </c>
      <c r="G5098" s="8">
        <f t="shared" si="1"/>
        <v>6</v>
      </c>
      <c r="H5098" s="14">
        <f t="shared" si="2"/>
        <v>1</v>
      </c>
      <c r="I5098" s="15">
        <f t="shared" si="3"/>
        <v>10</v>
      </c>
    </row>
    <row r="5099">
      <c r="A5099" s="8" t="str">
        <f>IFERROR(__xludf.DUMMYFUNCTION("IF('(INGESTA)Datos_consumo_datadis'!A5099&lt;&gt;"""",SPLIT('(INGESTA)Datos_consumo_datadis'!A:A,"",""),"""")"),"ES0031408323131005HX0F")</f>
        <v>ES0031408323131005HX0F</v>
      </c>
      <c r="B5099" s="12">
        <f>IFERROR(__xludf.DUMMYFUNCTION("""COMPUTED_VALUE"""),45078.0)</f>
        <v>45078</v>
      </c>
      <c r="C5099" s="13">
        <f>IFERROR(__xludf.DUMMYFUNCTION("""COMPUTED_VALUE"""),0.4583333333333333)</f>
        <v>0.4583333333</v>
      </c>
      <c r="D5099" s="8">
        <f>IFERROR(__xludf.DUMMYFUNCTION("""COMPUTED_VALUE"""),0.01)</f>
        <v>0.01</v>
      </c>
      <c r="E5099" s="8" t="str">
        <f>IFERROR(__xludf.DUMMYFUNCTION("""COMPUTED_VALUE"""),"Real")</f>
        <v>Real</v>
      </c>
      <c r="G5099" s="8">
        <f t="shared" si="1"/>
        <v>6</v>
      </c>
      <c r="H5099" s="14">
        <f t="shared" si="2"/>
        <v>1</v>
      </c>
      <c r="I5099" s="15">
        <f t="shared" si="3"/>
        <v>11</v>
      </c>
    </row>
    <row r="5100">
      <c r="A5100" s="8" t="str">
        <f>IFERROR(__xludf.DUMMYFUNCTION("IF('(INGESTA)Datos_consumo_datadis'!A5100&lt;&gt;"""",SPLIT('(INGESTA)Datos_consumo_datadis'!A:A,"",""),"""")"),"ES0031408323131005HX0F")</f>
        <v>ES0031408323131005HX0F</v>
      </c>
      <c r="B5100" s="12">
        <f>IFERROR(__xludf.DUMMYFUNCTION("""COMPUTED_VALUE"""),45078.0)</f>
        <v>45078</v>
      </c>
      <c r="C5100" s="13">
        <f>IFERROR(__xludf.DUMMYFUNCTION("""COMPUTED_VALUE"""),0.5)</f>
        <v>0.5</v>
      </c>
      <c r="D5100" s="8">
        <f>IFERROR(__xludf.DUMMYFUNCTION("""COMPUTED_VALUE"""),0.365)</f>
        <v>0.365</v>
      </c>
      <c r="E5100" s="8" t="str">
        <f>IFERROR(__xludf.DUMMYFUNCTION("""COMPUTED_VALUE"""),"Real")</f>
        <v>Real</v>
      </c>
      <c r="G5100" s="8">
        <f t="shared" si="1"/>
        <v>6</v>
      </c>
      <c r="H5100" s="14">
        <f t="shared" si="2"/>
        <v>1</v>
      </c>
      <c r="I5100" s="15">
        <f t="shared" si="3"/>
        <v>12</v>
      </c>
    </row>
    <row r="5101">
      <c r="A5101" s="8" t="str">
        <f>IFERROR(__xludf.DUMMYFUNCTION("IF('(INGESTA)Datos_consumo_datadis'!A5101&lt;&gt;"""",SPLIT('(INGESTA)Datos_consumo_datadis'!A:A,"",""),"""")"),"ES0031408323131005HX0F")</f>
        <v>ES0031408323131005HX0F</v>
      </c>
      <c r="B5101" s="12">
        <f>IFERROR(__xludf.DUMMYFUNCTION("""COMPUTED_VALUE"""),45078.0)</f>
        <v>45078</v>
      </c>
      <c r="C5101" s="13">
        <f>IFERROR(__xludf.DUMMYFUNCTION("""COMPUTED_VALUE"""),0.5416666666666666)</f>
        <v>0.5416666667</v>
      </c>
      <c r="D5101" s="8">
        <f>IFERROR(__xludf.DUMMYFUNCTION("""COMPUTED_VALUE"""),0.086)</f>
        <v>0.086</v>
      </c>
      <c r="E5101" s="8" t="str">
        <f>IFERROR(__xludf.DUMMYFUNCTION("""COMPUTED_VALUE"""),"Real")</f>
        <v>Real</v>
      </c>
      <c r="G5101" s="8">
        <f t="shared" si="1"/>
        <v>6</v>
      </c>
      <c r="H5101" s="14">
        <f t="shared" si="2"/>
        <v>1</v>
      </c>
      <c r="I5101" s="15">
        <f t="shared" si="3"/>
        <v>13</v>
      </c>
    </row>
    <row r="5102">
      <c r="A5102" s="8" t="str">
        <f>IFERROR(__xludf.DUMMYFUNCTION("IF('(INGESTA)Datos_consumo_datadis'!A5102&lt;&gt;"""",SPLIT('(INGESTA)Datos_consumo_datadis'!A:A,"",""),"""")"),"ES0031408323131005HX0F")</f>
        <v>ES0031408323131005HX0F</v>
      </c>
      <c r="B5102" s="12">
        <f>IFERROR(__xludf.DUMMYFUNCTION("""COMPUTED_VALUE"""),45078.0)</f>
        <v>45078</v>
      </c>
      <c r="C5102" s="13">
        <f>IFERROR(__xludf.DUMMYFUNCTION("""COMPUTED_VALUE"""),0.5833333333333334)</f>
        <v>0.5833333333</v>
      </c>
      <c r="D5102" s="8">
        <f>IFERROR(__xludf.DUMMYFUNCTION("""COMPUTED_VALUE"""),0.059)</f>
        <v>0.059</v>
      </c>
      <c r="E5102" s="8" t="str">
        <f>IFERROR(__xludf.DUMMYFUNCTION("""COMPUTED_VALUE"""),"Real")</f>
        <v>Real</v>
      </c>
      <c r="G5102" s="8">
        <f t="shared" si="1"/>
        <v>6</v>
      </c>
      <c r="H5102" s="14">
        <f t="shared" si="2"/>
        <v>1</v>
      </c>
      <c r="I5102" s="15">
        <f t="shared" si="3"/>
        <v>14</v>
      </c>
    </row>
    <row r="5103">
      <c r="A5103" s="8" t="str">
        <f>IFERROR(__xludf.DUMMYFUNCTION("IF('(INGESTA)Datos_consumo_datadis'!A5103&lt;&gt;"""",SPLIT('(INGESTA)Datos_consumo_datadis'!A:A,"",""),"""")"),"ES0031408323131005HX0F")</f>
        <v>ES0031408323131005HX0F</v>
      </c>
      <c r="B5103" s="12">
        <f>IFERROR(__xludf.DUMMYFUNCTION("""COMPUTED_VALUE"""),45078.0)</f>
        <v>45078</v>
      </c>
      <c r="C5103" s="13">
        <f>IFERROR(__xludf.DUMMYFUNCTION("""COMPUTED_VALUE"""),0.625)</f>
        <v>0.625</v>
      </c>
      <c r="D5103" s="8">
        <f>IFERROR(__xludf.DUMMYFUNCTION("""COMPUTED_VALUE"""),0.02)</f>
        <v>0.02</v>
      </c>
      <c r="E5103" s="8" t="str">
        <f>IFERROR(__xludf.DUMMYFUNCTION("""COMPUTED_VALUE"""),"Real")</f>
        <v>Real</v>
      </c>
      <c r="G5103" s="8">
        <f t="shared" si="1"/>
        <v>6</v>
      </c>
      <c r="H5103" s="14">
        <f t="shared" si="2"/>
        <v>1</v>
      </c>
      <c r="I5103" s="15">
        <f t="shared" si="3"/>
        <v>15</v>
      </c>
    </row>
    <row r="5104">
      <c r="A5104" s="8" t="str">
        <f>IFERROR(__xludf.DUMMYFUNCTION("IF('(INGESTA)Datos_consumo_datadis'!A5104&lt;&gt;"""",SPLIT('(INGESTA)Datos_consumo_datadis'!A:A,"",""),"""")"),"ES0031408323131005HX0F")</f>
        <v>ES0031408323131005HX0F</v>
      </c>
      <c r="B5104" s="12">
        <f>IFERROR(__xludf.DUMMYFUNCTION("""COMPUTED_VALUE"""),45078.0)</f>
        <v>45078</v>
      </c>
      <c r="C5104" s="13">
        <f>IFERROR(__xludf.DUMMYFUNCTION("""COMPUTED_VALUE"""),0.6666666666666666)</f>
        <v>0.6666666667</v>
      </c>
      <c r="D5104" s="8">
        <f>IFERROR(__xludf.DUMMYFUNCTION("""COMPUTED_VALUE"""),0.015)</f>
        <v>0.015</v>
      </c>
      <c r="E5104" s="8" t="str">
        <f>IFERROR(__xludf.DUMMYFUNCTION("""COMPUTED_VALUE"""),"Real")</f>
        <v>Real</v>
      </c>
      <c r="G5104" s="8">
        <f t="shared" si="1"/>
        <v>6</v>
      </c>
      <c r="H5104" s="14">
        <f t="shared" si="2"/>
        <v>1</v>
      </c>
      <c r="I5104" s="15">
        <f t="shared" si="3"/>
        <v>16</v>
      </c>
    </row>
    <row r="5105">
      <c r="A5105" s="8" t="str">
        <f>IFERROR(__xludf.DUMMYFUNCTION("IF('(INGESTA)Datos_consumo_datadis'!A5105&lt;&gt;"""",SPLIT('(INGESTA)Datos_consumo_datadis'!A:A,"",""),"""")"),"ES0031408323131005HX0F")</f>
        <v>ES0031408323131005HX0F</v>
      </c>
      <c r="B5105" s="12">
        <f>IFERROR(__xludf.DUMMYFUNCTION("""COMPUTED_VALUE"""),45078.0)</f>
        <v>45078</v>
      </c>
      <c r="C5105" s="13">
        <f>IFERROR(__xludf.DUMMYFUNCTION("""COMPUTED_VALUE"""),0.7083333333333334)</f>
        <v>0.7083333333</v>
      </c>
      <c r="D5105" s="8">
        <f>IFERROR(__xludf.DUMMYFUNCTION("""COMPUTED_VALUE"""),0.113)</f>
        <v>0.113</v>
      </c>
      <c r="E5105" s="8" t="str">
        <f>IFERROR(__xludf.DUMMYFUNCTION("""COMPUTED_VALUE"""),"Real")</f>
        <v>Real</v>
      </c>
      <c r="G5105" s="8">
        <f t="shared" si="1"/>
        <v>6</v>
      </c>
      <c r="H5105" s="14">
        <f t="shared" si="2"/>
        <v>1</v>
      </c>
      <c r="I5105" s="15">
        <f t="shared" si="3"/>
        <v>17</v>
      </c>
    </row>
    <row r="5106">
      <c r="A5106" s="8" t="str">
        <f>IFERROR(__xludf.DUMMYFUNCTION("IF('(INGESTA)Datos_consumo_datadis'!A5106&lt;&gt;"""",SPLIT('(INGESTA)Datos_consumo_datadis'!A:A,"",""),"""")"),"ES0031408323131005HX0F")</f>
        <v>ES0031408323131005HX0F</v>
      </c>
      <c r="B5106" s="12">
        <f>IFERROR(__xludf.DUMMYFUNCTION("""COMPUTED_VALUE"""),45078.0)</f>
        <v>45078</v>
      </c>
      <c r="C5106" s="13">
        <f>IFERROR(__xludf.DUMMYFUNCTION("""COMPUTED_VALUE"""),0.75)</f>
        <v>0.75</v>
      </c>
      <c r="D5106" s="8">
        <f>IFERROR(__xludf.DUMMYFUNCTION("""COMPUTED_VALUE"""),0.048)</f>
        <v>0.048</v>
      </c>
      <c r="E5106" s="8" t="str">
        <f>IFERROR(__xludf.DUMMYFUNCTION("""COMPUTED_VALUE"""),"Real")</f>
        <v>Real</v>
      </c>
      <c r="G5106" s="8">
        <f t="shared" si="1"/>
        <v>6</v>
      </c>
      <c r="H5106" s="14">
        <f t="shared" si="2"/>
        <v>1</v>
      </c>
      <c r="I5106" s="15">
        <f t="shared" si="3"/>
        <v>18</v>
      </c>
    </row>
    <row r="5107">
      <c r="A5107" s="8" t="str">
        <f>IFERROR(__xludf.DUMMYFUNCTION("IF('(INGESTA)Datos_consumo_datadis'!A5107&lt;&gt;"""",SPLIT('(INGESTA)Datos_consumo_datadis'!A:A,"",""),"""")"),"ES0031408323131005HX0F")</f>
        <v>ES0031408323131005HX0F</v>
      </c>
      <c r="B5107" s="12">
        <f>IFERROR(__xludf.DUMMYFUNCTION("""COMPUTED_VALUE"""),45078.0)</f>
        <v>45078</v>
      </c>
      <c r="C5107" s="13">
        <f>IFERROR(__xludf.DUMMYFUNCTION("""COMPUTED_VALUE"""),0.7916666666666666)</f>
        <v>0.7916666667</v>
      </c>
      <c r="D5107" s="8">
        <f>IFERROR(__xludf.DUMMYFUNCTION("""COMPUTED_VALUE"""),0.043)</f>
        <v>0.043</v>
      </c>
      <c r="E5107" s="8" t="str">
        <f>IFERROR(__xludf.DUMMYFUNCTION("""COMPUTED_VALUE"""),"Real")</f>
        <v>Real</v>
      </c>
      <c r="G5107" s="8">
        <f t="shared" si="1"/>
        <v>6</v>
      </c>
      <c r="H5107" s="14">
        <f t="shared" si="2"/>
        <v>1</v>
      </c>
      <c r="I5107" s="15">
        <f t="shared" si="3"/>
        <v>19</v>
      </c>
    </row>
    <row r="5108">
      <c r="A5108" s="8" t="str">
        <f>IFERROR(__xludf.DUMMYFUNCTION("IF('(INGESTA)Datos_consumo_datadis'!A5108&lt;&gt;"""",SPLIT('(INGESTA)Datos_consumo_datadis'!A:A,"",""),"""")"),"ES0031408323131005HX0F")</f>
        <v>ES0031408323131005HX0F</v>
      </c>
      <c r="B5108" s="12">
        <f>IFERROR(__xludf.DUMMYFUNCTION("""COMPUTED_VALUE"""),45078.0)</f>
        <v>45078</v>
      </c>
      <c r="C5108" s="13">
        <f>IFERROR(__xludf.DUMMYFUNCTION("""COMPUTED_VALUE"""),0.8333333333333334)</f>
        <v>0.8333333333</v>
      </c>
      <c r="D5108" s="8">
        <f>IFERROR(__xludf.DUMMYFUNCTION("""COMPUTED_VALUE"""),0.315)</f>
        <v>0.315</v>
      </c>
      <c r="E5108" s="8" t="str">
        <f>IFERROR(__xludf.DUMMYFUNCTION("""COMPUTED_VALUE"""),"Real")</f>
        <v>Real</v>
      </c>
      <c r="G5108" s="8">
        <f t="shared" si="1"/>
        <v>6</v>
      </c>
      <c r="H5108" s="14">
        <f t="shared" si="2"/>
        <v>1</v>
      </c>
      <c r="I5108" s="15">
        <f t="shared" si="3"/>
        <v>20</v>
      </c>
    </row>
    <row r="5109">
      <c r="A5109" s="8" t="str">
        <f>IFERROR(__xludf.DUMMYFUNCTION("IF('(INGESTA)Datos_consumo_datadis'!A5109&lt;&gt;"""",SPLIT('(INGESTA)Datos_consumo_datadis'!A:A,"",""),"""")"),"ES0031408323131005HX0F")</f>
        <v>ES0031408323131005HX0F</v>
      </c>
      <c r="B5109" s="12">
        <f>IFERROR(__xludf.DUMMYFUNCTION("""COMPUTED_VALUE"""),45078.0)</f>
        <v>45078</v>
      </c>
      <c r="C5109" s="13">
        <f>IFERROR(__xludf.DUMMYFUNCTION("""COMPUTED_VALUE"""),0.875)</f>
        <v>0.875</v>
      </c>
      <c r="D5109" s="8">
        <f>IFERROR(__xludf.DUMMYFUNCTION("""COMPUTED_VALUE"""),0.083)</f>
        <v>0.083</v>
      </c>
      <c r="E5109" s="8" t="str">
        <f>IFERROR(__xludf.DUMMYFUNCTION("""COMPUTED_VALUE"""),"Real")</f>
        <v>Real</v>
      </c>
      <c r="G5109" s="8">
        <f t="shared" si="1"/>
        <v>6</v>
      </c>
      <c r="H5109" s="14">
        <f t="shared" si="2"/>
        <v>1</v>
      </c>
      <c r="I5109" s="15">
        <f t="shared" si="3"/>
        <v>21</v>
      </c>
    </row>
    <row r="5110">
      <c r="A5110" s="8" t="str">
        <f>IFERROR(__xludf.DUMMYFUNCTION("IF('(INGESTA)Datos_consumo_datadis'!A5110&lt;&gt;"""",SPLIT('(INGESTA)Datos_consumo_datadis'!A:A,"",""),"""")"),"ES0031408323131005HX0F")</f>
        <v>ES0031408323131005HX0F</v>
      </c>
      <c r="B5110" s="12">
        <f>IFERROR(__xludf.DUMMYFUNCTION("""COMPUTED_VALUE"""),45078.0)</f>
        <v>45078</v>
      </c>
      <c r="C5110" s="13">
        <f>IFERROR(__xludf.DUMMYFUNCTION("""COMPUTED_VALUE"""),0.9166666666666666)</f>
        <v>0.9166666667</v>
      </c>
      <c r="D5110" s="8">
        <f>IFERROR(__xludf.DUMMYFUNCTION("""COMPUTED_VALUE"""),0.07)</f>
        <v>0.07</v>
      </c>
      <c r="E5110" s="8" t="str">
        <f>IFERROR(__xludf.DUMMYFUNCTION("""COMPUTED_VALUE"""),"Real")</f>
        <v>Real</v>
      </c>
      <c r="G5110" s="8">
        <f t="shared" si="1"/>
        <v>6</v>
      </c>
      <c r="H5110" s="14">
        <f t="shared" si="2"/>
        <v>1</v>
      </c>
      <c r="I5110" s="15">
        <f t="shared" si="3"/>
        <v>22</v>
      </c>
    </row>
    <row r="5111">
      <c r="A5111" s="8" t="str">
        <f>IFERROR(__xludf.DUMMYFUNCTION("IF('(INGESTA)Datos_consumo_datadis'!A5111&lt;&gt;"""",SPLIT('(INGESTA)Datos_consumo_datadis'!A:A,"",""),"""")"),"ES0031408323131005HX0F")</f>
        <v>ES0031408323131005HX0F</v>
      </c>
      <c r="B5111" s="12">
        <f>IFERROR(__xludf.DUMMYFUNCTION("""COMPUTED_VALUE"""),45078.0)</f>
        <v>45078</v>
      </c>
      <c r="C5111" s="13">
        <f>IFERROR(__xludf.DUMMYFUNCTION("""COMPUTED_VALUE"""),0.9583333333333334)</f>
        <v>0.9583333333</v>
      </c>
      <c r="D5111" s="8">
        <f>IFERROR(__xludf.DUMMYFUNCTION("""COMPUTED_VALUE"""),0.055)</f>
        <v>0.055</v>
      </c>
      <c r="E5111" s="8" t="str">
        <f>IFERROR(__xludf.DUMMYFUNCTION("""COMPUTED_VALUE"""),"Real")</f>
        <v>Real</v>
      </c>
      <c r="G5111" s="8">
        <f t="shared" si="1"/>
        <v>6</v>
      </c>
      <c r="H5111" s="14">
        <f t="shared" si="2"/>
        <v>1</v>
      </c>
      <c r="I5111" s="15">
        <f t="shared" si="3"/>
        <v>23</v>
      </c>
    </row>
    <row r="5112">
      <c r="A5112" s="8" t="str">
        <f>IFERROR(__xludf.DUMMYFUNCTION("IF('(INGESTA)Datos_consumo_datadis'!A5112&lt;&gt;"""",SPLIT('(INGESTA)Datos_consumo_datadis'!A:A,"",""),"""")"),"ES0031408323131005HX0F")</f>
        <v>ES0031408323131005HX0F</v>
      </c>
      <c r="B5112" s="12">
        <f>IFERROR(__xludf.DUMMYFUNCTION("""COMPUTED_VALUE"""),45078.0)</f>
        <v>45078</v>
      </c>
      <c r="C5112" s="16">
        <f>IFERROR(__xludf.DUMMYFUNCTION("""COMPUTED_VALUE"""),1.0)</f>
        <v>1</v>
      </c>
      <c r="D5112" s="8">
        <f>IFERROR(__xludf.DUMMYFUNCTION("""COMPUTED_VALUE"""),0.009)</f>
        <v>0.009</v>
      </c>
      <c r="E5112" s="8" t="str">
        <f>IFERROR(__xludf.DUMMYFUNCTION("""COMPUTED_VALUE"""),"Real")</f>
        <v>Real</v>
      </c>
      <c r="G5112" s="8">
        <f t="shared" si="1"/>
        <v>6</v>
      </c>
      <c r="H5112" s="14">
        <f t="shared" si="2"/>
        <v>1</v>
      </c>
      <c r="I5112" s="15">
        <f t="shared" si="3"/>
        <v>0</v>
      </c>
    </row>
    <row r="5113">
      <c r="A5113" s="8" t="str">
        <f>IFERROR(__xludf.DUMMYFUNCTION("IF('(INGESTA)Datos_consumo_datadis'!A5113&lt;&gt;"""",SPLIT('(INGESTA)Datos_consumo_datadis'!A:A,"",""),"""")"),"ES0031408323131005HX0F")</f>
        <v>ES0031408323131005HX0F</v>
      </c>
      <c r="B5113" s="12">
        <f>IFERROR(__xludf.DUMMYFUNCTION("""COMPUTED_VALUE"""),45079.0)</f>
        <v>45079</v>
      </c>
      <c r="C5113" s="13">
        <f>IFERROR(__xludf.DUMMYFUNCTION("""COMPUTED_VALUE"""),0.041666666666666664)</f>
        <v>0.04166666667</v>
      </c>
      <c r="D5113" s="8">
        <f>IFERROR(__xludf.DUMMYFUNCTION("""COMPUTED_VALUE"""),0.052)</f>
        <v>0.052</v>
      </c>
      <c r="E5113" s="8" t="str">
        <f>IFERROR(__xludf.DUMMYFUNCTION("""COMPUTED_VALUE"""),"Real")</f>
        <v>Real</v>
      </c>
      <c r="G5113" s="8">
        <f t="shared" si="1"/>
        <v>6</v>
      </c>
      <c r="H5113" s="14">
        <f t="shared" si="2"/>
        <v>2</v>
      </c>
      <c r="I5113" s="15">
        <f t="shared" si="3"/>
        <v>1</v>
      </c>
    </row>
    <row r="5114">
      <c r="A5114" s="8" t="str">
        <f>IFERROR(__xludf.DUMMYFUNCTION("IF('(INGESTA)Datos_consumo_datadis'!A5114&lt;&gt;"""",SPLIT('(INGESTA)Datos_consumo_datadis'!A:A,"",""),"""")"),"ES0031408323131005HX0F")</f>
        <v>ES0031408323131005HX0F</v>
      </c>
      <c r="B5114" s="12">
        <f>IFERROR(__xludf.DUMMYFUNCTION("""COMPUTED_VALUE"""),45079.0)</f>
        <v>45079</v>
      </c>
      <c r="C5114" s="13">
        <f>IFERROR(__xludf.DUMMYFUNCTION("""COMPUTED_VALUE"""),0.08333333333333333)</f>
        <v>0.08333333333</v>
      </c>
      <c r="D5114" s="8">
        <f>IFERROR(__xludf.DUMMYFUNCTION("""COMPUTED_VALUE"""),0.09)</f>
        <v>0.09</v>
      </c>
      <c r="E5114" s="8" t="str">
        <f>IFERROR(__xludf.DUMMYFUNCTION("""COMPUTED_VALUE"""),"Real")</f>
        <v>Real</v>
      </c>
      <c r="G5114" s="8">
        <f t="shared" si="1"/>
        <v>6</v>
      </c>
      <c r="H5114" s="14">
        <f t="shared" si="2"/>
        <v>2</v>
      </c>
      <c r="I5114" s="15">
        <f t="shared" si="3"/>
        <v>2</v>
      </c>
    </row>
    <row r="5115">
      <c r="A5115" s="8" t="str">
        <f>IFERROR(__xludf.DUMMYFUNCTION("IF('(INGESTA)Datos_consumo_datadis'!A5115&lt;&gt;"""",SPLIT('(INGESTA)Datos_consumo_datadis'!A:A,"",""),"""")"),"ES0031408323131005HX0F")</f>
        <v>ES0031408323131005HX0F</v>
      </c>
      <c r="B5115" s="12">
        <f>IFERROR(__xludf.DUMMYFUNCTION("""COMPUTED_VALUE"""),45079.0)</f>
        <v>45079</v>
      </c>
      <c r="C5115" s="13">
        <f>IFERROR(__xludf.DUMMYFUNCTION("""COMPUTED_VALUE"""),0.125)</f>
        <v>0.125</v>
      </c>
      <c r="D5115" s="8">
        <f>IFERROR(__xludf.DUMMYFUNCTION("""COMPUTED_VALUE"""),0.376)</f>
        <v>0.376</v>
      </c>
      <c r="E5115" s="8" t="str">
        <f>IFERROR(__xludf.DUMMYFUNCTION("""COMPUTED_VALUE"""),"Real")</f>
        <v>Real</v>
      </c>
      <c r="G5115" s="8">
        <f t="shared" si="1"/>
        <v>6</v>
      </c>
      <c r="H5115" s="14">
        <f t="shared" si="2"/>
        <v>2</v>
      </c>
      <c r="I5115" s="15">
        <f t="shared" si="3"/>
        <v>3</v>
      </c>
    </row>
    <row r="5116">
      <c r="A5116" s="8" t="str">
        <f>IFERROR(__xludf.DUMMYFUNCTION("IF('(INGESTA)Datos_consumo_datadis'!A5116&lt;&gt;"""",SPLIT('(INGESTA)Datos_consumo_datadis'!A:A,"",""),"""")"),"ES0031408323131005HX0F")</f>
        <v>ES0031408323131005HX0F</v>
      </c>
      <c r="B5116" s="12">
        <f>IFERROR(__xludf.DUMMYFUNCTION("""COMPUTED_VALUE"""),45079.0)</f>
        <v>45079</v>
      </c>
      <c r="C5116" s="13">
        <f>IFERROR(__xludf.DUMMYFUNCTION("""COMPUTED_VALUE"""),0.16666666666666666)</f>
        <v>0.1666666667</v>
      </c>
      <c r="D5116" s="8">
        <f>IFERROR(__xludf.DUMMYFUNCTION("""COMPUTED_VALUE"""),0.029)</f>
        <v>0.029</v>
      </c>
      <c r="E5116" s="8" t="str">
        <f>IFERROR(__xludf.DUMMYFUNCTION("""COMPUTED_VALUE"""),"Real")</f>
        <v>Real</v>
      </c>
      <c r="G5116" s="8">
        <f t="shared" si="1"/>
        <v>6</v>
      </c>
      <c r="H5116" s="14">
        <f t="shared" si="2"/>
        <v>2</v>
      </c>
      <c r="I5116" s="15">
        <f t="shared" si="3"/>
        <v>4</v>
      </c>
    </row>
    <row r="5117">
      <c r="A5117" s="8" t="str">
        <f>IFERROR(__xludf.DUMMYFUNCTION("IF('(INGESTA)Datos_consumo_datadis'!A5117&lt;&gt;"""",SPLIT('(INGESTA)Datos_consumo_datadis'!A:A,"",""),"""")"),"ES0031408323131005HX0F")</f>
        <v>ES0031408323131005HX0F</v>
      </c>
      <c r="B5117" s="12">
        <f>IFERROR(__xludf.DUMMYFUNCTION("""COMPUTED_VALUE"""),45079.0)</f>
        <v>45079</v>
      </c>
      <c r="C5117" s="13">
        <f>IFERROR(__xludf.DUMMYFUNCTION("""COMPUTED_VALUE"""),0.20833333333333334)</f>
        <v>0.2083333333</v>
      </c>
      <c r="D5117" s="8">
        <f>IFERROR(__xludf.DUMMYFUNCTION("""COMPUTED_VALUE"""),0.043)</f>
        <v>0.043</v>
      </c>
      <c r="E5117" s="8" t="str">
        <f>IFERROR(__xludf.DUMMYFUNCTION("""COMPUTED_VALUE"""),"Real")</f>
        <v>Real</v>
      </c>
      <c r="G5117" s="8">
        <f t="shared" si="1"/>
        <v>6</v>
      </c>
      <c r="H5117" s="14">
        <f t="shared" si="2"/>
        <v>2</v>
      </c>
      <c r="I5117" s="15">
        <f t="shared" si="3"/>
        <v>5</v>
      </c>
    </row>
    <row r="5118">
      <c r="A5118" s="8" t="str">
        <f>IFERROR(__xludf.DUMMYFUNCTION("IF('(INGESTA)Datos_consumo_datadis'!A5118&lt;&gt;"""",SPLIT('(INGESTA)Datos_consumo_datadis'!A:A,"",""),"""")"),"ES0031408323131005HX0F")</f>
        <v>ES0031408323131005HX0F</v>
      </c>
      <c r="B5118" s="12">
        <f>IFERROR(__xludf.DUMMYFUNCTION("""COMPUTED_VALUE"""),45079.0)</f>
        <v>45079</v>
      </c>
      <c r="C5118" s="13">
        <f>IFERROR(__xludf.DUMMYFUNCTION("""COMPUTED_VALUE"""),0.25)</f>
        <v>0.25</v>
      </c>
      <c r="D5118" s="8">
        <f>IFERROR(__xludf.DUMMYFUNCTION("""COMPUTED_VALUE"""),0.114)</f>
        <v>0.114</v>
      </c>
      <c r="E5118" s="8" t="str">
        <f>IFERROR(__xludf.DUMMYFUNCTION("""COMPUTED_VALUE"""),"Real")</f>
        <v>Real</v>
      </c>
      <c r="G5118" s="8">
        <f t="shared" si="1"/>
        <v>6</v>
      </c>
      <c r="H5118" s="14">
        <f t="shared" si="2"/>
        <v>2</v>
      </c>
      <c r="I5118" s="15">
        <f t="shared" si="3"/>
        <v>6</v>
      </c>
    </row>
    <row r="5119">
      <c r="A5119" s="8" t="str">
        <f>IFERROR(__xludf.DUMMYFUNCTION("IF('(INGESTA)Datos_consumo_datadis'!A5119&lt;&gt;"""",SPLIT('(INGESTA)Datos_consumo_datadis'!A:A,"",""),"""")"),"ES0031408323131005HX0F")</f>
        <v>ES0031408323131005HX0F</v>
      </c>
      <c r="B5119" s="12">
        <f>IFERROR(__xludf.DUMMYFUNCTION("""COMPUTED_VALUE"""),45079.0)</f>
        <v>45079</v>
      </c>
      <c r="C5119" s="13">
        <f>IFERROR(__xludf.DUMMYFUNCTION("""COMPUTED_VALUE"""),0.2916666666666667)</f>
        <v>0.2916666667</v>
      </c>
      <c r="D5119" s="8">
        <f>IFERROR(__xludf.DUMMYFUNCTION("""COMPUTED_VALUE"""),0.043)</f>
        <v>0.043</v>
      </c>
      <c r="E5119" s="8" t="str">
        <f>IFERROR(__xludf.DUMMYFUNCTION("""COMPUTED_VALUE"""),"Real")</f>
        <v>Real</v>
      </c>
      <c r="G5119" s="8">
        <f t="shared" si="1"/>
        <v>6</v>
      </c>
      <c r="H5119" s="14">
        <f t="shared" si="2"/>
        <v>2</v>
      </c>
      <c r="I5119" s="15">
        <f t="shared" si="3"/>
        <v>7</v>
      </c>
    </row>
    <row r="5120">
      <c r="A5120" s="8" t="str">
        <f>IFERROR(__xludf.DUMMYFUNCTION("IF('(INGESTA)Datos_consumo_datadis'!A5120&lt;&gt;"""",SPLIT('(INGESTA)Datos_consumo_datadis'!A:A,"",""),"""")"),"ES0031408323131005HX0F")</f>
        <v>ES0031408323131005HX0F</v>
      </c>
      <c r="B5120" s="12">
        <f>IFERROR(__xludf.DUMMYFUNCTION("""COMPUTED_VALUE"""),45079.0)</f>
        <v>45079</v>
      </c>
      <c r="C5120" s="13">
        <f>IFERROR(__xludf.DUMMYFUNCTION("""COMPUTED_VALUE"""),0.3333333333333333)</f>
        <v>0.3333333333</v>
      </c>
      <c r="D5120" s="8">
        <f>IFERROR(__xludf.DUMMYFUNCTION("""COMPUTED_VALUE"""),0.042)</f>
        <v>0.042</v>
      </c>
      <c r="E5120" s="8" t="str">
        <f>IFERROR(__xludf.DUMMYFUNCTION("""COMPUTED_VALUE"""),"Real")</f>
        <v>Real</v>
      </c>
      <c r="G5120" s="8">
        <f t="shared" si="1"/>
        <v>6</v>
      </c>
      <c r="H5120" s="14">
        <f t="shared" si="2"/>
        <v>2</v>
      </c>
      <c r="I5120" s="15">
        <f t="shared" si="3"/>
        <v>8</v>
      </c>
    </row>
    <row r="5121">
      <c r="A5121" s="8" t="str">
        <f>IFERROR(__xludf.DUMMYFUNCTION("IF('(INGESTA)Datos_consumo_datadis'!A5121&lt;&gt;"""",SPLIT('(INGESTA)Datos_consumo_datadis'!A:A,"",""),"""")"),"ES0031408323131005HX0F")</f>
        <v>ES0031408323131005HX0F</v>
      </c>
      <c r="B5121" s="12">
        <f>IFERROR(__xludf.DUMMYFUNCTION("""COMPUTED_VALUE"""),45079.0)</f>
        <v>45079</v>
      </c>
      <c r="C5121" s="13">
        <f>IFERROR(__xludf.DUMMYFUNCTION("""COMPUTED_VALUE"""),0.375)</f>
        <v>0.375</v>
      </c>
      <c r="D5121" s="8">
        <f>IFERROR(__xludf.DUMMYFUNCTION("""COMPUTED_VALUE"""),0.009)</f>
        <v>0.009</v>
      </c>
      <c r="E5121" s="8" t="str">
        <f>IFERROR(__xludf.DUMMYFUNCTION("""COMPUTED_VALUE"""),"Real")</f>
        <v>Real</v>
      </c>
      <c r="G5121" s="8">
        <f t="shared" si="1"/>
        <v>6</v>
      </c>
      <c r="H5121" s="14">
        <f t="shared" si="2"/>
        <v>2</v>
      </c>
      <c r="I5121" s="15">
        <f t="shared" si="3"/>
        <v>9</v>
      </c>
    </row>
    <row r="5122">
      <c r="A5122" s="8" t="str">
        <f>IFERROR(__xludf.DUMMYFUNCTION("IF('(INGESTA)Datos_consumo_datadis'!A5122&lt;&gt;"""",SPLIT('(INGESTA)Datos_consumo_datadis'!A:A,"",""),"""")"),"ES0031408323131005HX0F")</f>
        <v>ES0031408323131005HX0F</v>
      </c>
      <c r="B5122" s="12">
        <f>IFERROR(__xludf.DUMMYFUNCTION("""COMPUTED_VALUE"""),45079.0)</f>
        <v>45079</v>
      </c>
      <c r="C5122" s="13">
        <f>IFERROR(__xludf.DUMMYFUNCTION("""COMPUTED_VALUE"""),0.4166666666666667)</f>
        <v>0.4166666667</v>
      </c>
      <c r="D5122" s="8">
        <f>IFERROR(__xludf.DUMMYFUNCTION("""COMPUTED_VALUE"""),0.421)</f>
        <v>0.421</v>
      </c>
      <c r="E5122" s="8" t="str">
        <f>IFERROR(__xludf.DUMMYFUNCTION("""COMPUTED_VALUE"""),"Real")</f>
        <v>Real</v>
      </c>
      <c r="G5122" s="8">
        <f t="shared" si="1"/>
        <v>6</v>
      </c>
      <c r="H5122" s="14">
        <f t="shared" si="2"/>
        <v>2</v>
      </c>
      <c r="I5122" s="15">
        <f t="shared" si="3"/>
        <v>10</v>
      </c>
    </row>
    <row r="5123">
      <c r="A5123" s="8" t="str">
        <f>IFERROR(__xludf.DUMMYFUNCTION("IF('(INGESTA)Datos_consumo_datadis'!A5123&lt;&gt;"""",SPLIT('(INGESTA)Datos_consumo_datadis'!A:A,"",""),"""")"),"ES0031408323131005HX0F")</f>
        <v>ES0031408323131005HX0F</v>
      </c>
      <c r="B5123" s="12">
        <f>IFERROR(__xludf.DUMMYFUNCTION("""COMPUTED_VALUE"""),45079.0)</f>
        <v>45079</v>
      </c>
      <c r="C5123" s="13">
        <f>IFERROR(__xludf.DUMMYFUNCTION("""COMPUTED_VALUE"""),0.4583333333333333)</f>
        <v>0.4583333333</v>
      </c>
      <c r="D5123" s="8">
        <f>IFERROR(__xludf.DUMMYFUNCTION("""COMPUTED_VALUE"""),0.07)</f>
        <v>0.07</v>
      </c>
      <c r="E5123" s="8" t="str">
        <f>IFERROR(__xludf.DUMMYFUNCTION("""COMPUTED_VALUE"""),"Real")</f>
        <v>Real</v>
      </c>
      <c r="G5123" s="8">
        <f t="shared" si="1"/>
        <v>6</v>
      </c>
      <c r="H5123" s="14">
        <f t="shared" si="2"/>
        <v>2</v>
      </c>
      <c r="I5123" s="15">
        <f t="shared" si="3"/>
        <v>11</v>
      </c>
    </row>
    <row r="5124">
      <c r="A5124" s="8" t="str">
        <f>IFERROR(__xludf.DUMMYFUNCTION("IF('(INGESTA)Datos_consumo_datadis'!A5124&lt;&gt;"""",SPLIT('(INGESTA)Datos_consumo_datadis'!A:A,"",""),"""")"),"ES0031408323131005HX0F")</f>
        <v>ES0031408323131005HX0F</v>
      </c>
      <c r="B5124" s="12">
        <f>IFERROR(__xludf.DUMMYFUNCTION("""COMPUTED_VALUE"""),45079.0)</f>
        <v>45079</v>
      </c>
      <c r="C5124" s="13">
        <f>IFERROR(__xludf.DUMMYFUNCTION("""COMPUTED_VALUE"""),0.5)</f>
        <v>0.5</v>
      </c>
      <c r="D5124" s="8">
        <f>IFERROR(__xludf.DUMMYFUNCTION("""COMPUTED_VALUE"""),0.043)</f>
        <v>0.043</v>
      </c>
      <c r="E5124" s="8" t="str">
        <f>IFERROR(__xludf.DUMMYFUNCTION("""COMPUTED_VALUE"""),"Real")</f>
        <v>Real</v>
      </c>
      <c r="G5124" s="8">
        <f t="shared" si="1"/>
        <v>6</v>
      </c>
      <c r="H5124" s="14">
        <f t="shared" si="2"/>
        <v>2</v>
      </c>
      <c r="I5124" s="15">
        <f t="shared" si="3"/>
        <v>12</v>
      </c>
    </row>
    <row r="5125">
      <c r="A5125" s="8" t="str">
        <f>IFERROR(__xludf.DUMMYFUNCTION("IF('(INGESTA)Datos_consumo_datadis'!A5125&lt;&gt;"""",SPLIT('(INGESTA)Datos_consumo_datadis'!A:A,"",""),"""")"),"ES0031408323131005HX0F")</f>
        <v>ES0031408323131005HX0F</v>
      </c>
      <c r="B5125" s="12">
        <f>IFERROR(__xludf.DUMMYFUNCTION("""COMPUTED_VALUE"""),45079.0)</f>
        <v>45079</v>
      </c>
      <c r="C5125" s="13">
        <f>IFERROR(__xludf.DUMMYFUNCTION("""COMPUTED_VALUE"""),0.5416666666666666)</f>
        <v>0.5416666667</v>
      </c>
      <c r="D5125" s="8">
        <f>IFERROR(__xludf.DUMMYFUNCTION("""COMPUTED_VALUE"""),0.01)</f>
        <v>0.01</v>
      </c>
      <c r="E5125" s="8" t="str">
        <f>IFERROR(__xludf.DUMMYFUNCTION("""COMPUTED_VALUE"""),"Real")</f>
        <v>Real</v>
      </c>
      <c r="G5125" s="8">
        <f t="shared" si="1"/>
        <v>6</v>
      </c>
      <c r="H5125" s="14">
        <f t="shared" si="2"/>
        <v>2</v>
      </c>
      <c r="I5125" s="15">
        <f t="shared" si="3"/>
        <v>13</v>
      </c>
    </row>
    <row r="5126">
      <c r="A5126" s="8" t="str">
        <f>IFERROR(__xludf.DUMMYFUNCTION("IF('(INGESTA)Datos_consumo_datadis'!A5126&lt;&gt;"""",SPLIT('(INGESTA)Datos_consumo_datadis'!A:A,"",""),"""")"),"ES0031408323131005HX0F")</f>
        <v>ES0031408323131005HX0F</v>
      </c>
      <c r="B5126" s="12">
        <f>IFERROR(__xludf.DUMMYFUNCTION("""COMPUTED_VALUE"""),45079.0)</f>
        <v>45079</v>
      </c>
      <c r="C5126" s="13">
        <f>IFERROR(__xludf.DUMMYFUNCTION("""COMPUTED_VALUE"""),0.5833333333333334)</f>
        <v>0.5833333333</v>
      </c>
      <c r="D5126" s="8">
        <f>IFERROR(__xludf.DUMMYFUNCTION("""COMPUTED_VALUE"""),0.063)</f>
        <v>0.063</v>
      </c>
      <c r="E5126" s="8" t="str">
        <f>IFERROR(__xludf.DUMMYFUNCTION("""COMPUTED_VALUE"""),"Real")</f>
        <v>Real</v>
      </c>
      <c r="G5126" s="8">
        <f t="shared" si="1"/>
        <v>6</v>
      </c>
      <c r="H5126" s="14">
        <f t="shared" si="2"/>
        <v>2</v>
      </c>
      <c r="I5126" s="15">
        <f t="shared" si="3"/>
        <v>14</v>
      </c>
    </row>
    <row r="5127">
      <c r="A5127" s="8" t="str">
        <f>IFERROR(__xludf.DUMMYFUNCTION("IF('(INGESTA)Datos_consumo_datadis'!A5127&lt;&gt;"""",SPLIT('(INGESTA)Datos_consumo_datadis'!A:A,"",""),"""")"),"ES0031408323131005HX0F")</f>
        <v>ES0031408323131005HX0F</v>
      </c>
      <c r="B5127" s="12">
        <f>IFERROR(__xludf.DUMMYFUNCTION("""COMPUTED_VALUE"""),45079.0)</f>
        <v>45079</v>
      </c>
      <c r="C5127" s="13">
        <f>IFERROR(__xludf.DUMMYFUNCTION("""COMPUTED_VALUE"""),0.625)</f>
        <v>0.625</v>
      </c>
      <c r="D5127" s="8">
        <f>IFERROR(__xludf.DUMMYFUNCTION("""COMPUTED_VALUE"""),0.078)</f>
        <v>0.078</v>
      </c>
      <c r="E5127" s="8" t="str">
        <f>IFERROR(__xludf.DUMMYFUNCTION("""COMPUTED_VALUE"""),"Real")</f>
        <v>Real</v>
      </c>
      <c r="G5127" s="8">
        <f t="shared" si="1"/>
        <v>6</v>
      </c>
      <c r="H5127" s="14">
        <f t="shared" si="2"/>
        <v>2</v>
      </c>
      <c r="I5127" s="15">
        <f t="shared" si="3"/>
        <v>15</v>
      </c>
    </row>
    <row r="5128">
      <c r="A5128" s="8" t="str">
        <f>IFERROR(__xludf.DUMMYFUNCTION("IF('(INGESTA)Datos_consumo_datadis'!A5128&lt;&gt;"""",SPLIT('(INGESTA)Datos_consumo_datadis'!A:A,"",""),"""")"),"ES0031408323131005HX0F")</f>
        <v>ES0031408323131005HX0F</v>
      </c>
      <c r="B5128" s="12">
        <f>IFERROR(__xludf.DUMMYFUNCTION("""COMPUTED_VALUE"""),45079.0)</f>
        <v>45079</v>
      </c>
      <c r="C5128" s="13">
        <f>IFERROR(__xludf.DUMMYFUNCTION("""COMPUTED_VALUE"""),0.6666666666666666)</f>
        <v>0.6666666667</v>
      </c>
      <c r="D5128" s="8">
        <f>IFERROR(__xludf.DUMMYFUNCTION("""COMPUTED_VALUE"""),0.068)</f>
        <v>0.068</v>
      </c>
      <c r="E5128" s="8" t="str">
        <f>IFERROR(__xludf.DUMMYFUNCTION("""COMPUTED_VALUE"""),"Real")</f>
        <v>Real</v>
      </c>
      <c r="G5128" s="8">
        <f t="shared" si="1"/>
        <v>6</v>
      </c>
      <c r="H5128" s="14">
        <f t="shared" si="2"/>
        <v>2</v>
      </c>
      <c r="I5128" s="15">
        <f t="shared" si="3"/>
        <v>16</v>
      </c>
    </row>
    <row r="5129">
      <c r="A5129" s="8" t="str">
        <f>IFERROR(__xludf.DUMMYFUNCTION("IF('(INGESTA)Datos_consumo_datadis'!A5129&lt;&gt;"""",SPLIT('(INGESTA)Datos_consumo_datadis'!A:A,"",""),"""")"),"ES0031408323131005HX0F")</f>
        <v>ES0031408323131005HX0F</v>
      </c>
      <c r="B5129" s="12">
        <f>IFERROR(__xludf.DUMMYFUNCTION("""COMPUTED_VALUE"""),45079.0)</f>
        <v>45079</v>
      </c>
      <c r="C5129" s="13">
        <f>IFERROR(__xludf.DUMMYFUNCTION("""COMPUTED_VALUE"""),0.7083333333333334)</f>
        <v>0.7083333333</v>
      </c>
      <c r="D5129" s="8">
        <f>IFERROR(__xludf.DUMMYFUNCTION("""COMPUTED_VALUE"""),0.01)</f>
        <v>0.01</v>
      </c>
      <c r="E5129" s="8" t="str">
        <f>IFERROR(__xludf.DUMMYFUNCTION("""COMPUTED_VALUE"""),"Real")</f>
        <v>Real</v>
      </c>
      <c r="G5129" s="8">
        <f t="shared" si="1"/>
        <v>6</v>
      </c>
      <c r="H5129" s="14">
        <f t="shared" si="2"/>
        <v>2</v>
      </c>
      <c r="I5129" s="15">
        <f t="shared" si="3"/>
        <v>17</v>
      </c>
    </row>
    <row r="5130">
      <c r="A5130" s="8" t="str">
        <f>IFERROR(__xludf.DUMMYFUNCTION("IF('(INGESTA)Datos_consumo_datadis'!A5130&lt;&gt;"""",SPLIT('(INGESTA)Datos_consumo_datadis'!A:A,"",""),"""")"),"ES0031408323131005HX0F")</f>
        <v>ES0031408323131005HX0F</v>
      </c>
      <c r="B5130" s="12">
        <f>IFERROR(__xludf.DUMMYFUNCTION("""COMPUTED_VALUE"""),45079.0)</f>
        <v>45079</v>
      </c>
      <c r="C5130" s="13">
        <f>IFERROR(__xludf.DUMMYFUNCTION("""COMPUTED_VALUE"""),0.75)</f>
        <v>0.75</v>
      </c>
      <c r="D5130" s="8">
        <f>IFERROR(__xludf.DUMMYFUNCTION("""COMPUTED_VALUE"""),0.359)</f>
        <v>0.359</v>
      </c>
      <c r="E5130" s="8" t="str">
        <f>IFERROR(__xludf.DUMMYFUNCTION("""COMPUTED_VALUE"""),"Real")</f>
        <v>Real</v>
      </c>
      <c r="G5130" s="8">
        <f t="shared" si="1"/>
        <v>6</v>
      </c>
      <c r="H5130" s="14">
        <f t="shared" si="2"/>
        <v>2</v>
      </c>
      <c r="I5130" s="15">
        <f t="shared" si="3"/>
        <v>18</v>
      </c>
    </row>
    <row r="5131">
      <c r="A5131" s="8" t="str">
        <f>IFERROR(__xludf.DUMMYFUNCTION("IF('(INGESTA)Datos_consumo_datadis'!A5131&lt;&gt;"""",SPLIT('(INGESTA)Datos_consumo_datadis'!A:A,"",""),"""")"),"ES0031408323131005HX0F")</f>
        <v>ES0031408323131005HX0F</v>
      </c>
      <c r="B5131" s="12">
        <f>IFERROR(__xludf.DUMMYFUNCTION("""COMPUTED_VALUE"""),45079.0)</f>
        <v>45079</v>
      </c>
      <c r="C5131" s="13">
        <f>IFERROR(__xludf.DUMMYFUNCTION("""COMPUTED_VALUE"""),0.7916666666666666)</f>
        <v>0.7916666667</v>
      </c>
      <c r="D5131" s="8">
        <f>IFERROR(__xludf.DUMMYFUNCTION("""COMPUTED_VALUE"""),0.112)</f>
        <v>0.112</v>
      </c>
      <c r="E5131" s="8" t="str">
        <f>IFERROR(__xludf.DUMMYFUNCTION("""COMPUTED_VALUE"""),"Real")</f>
        <v>Real</v>
      </c>
      <c r="G5131" s="8">
        <f t="shared" si="1"/>
        <v>6</v>
      </c>
      <c r="H5131" s="14">
        <f t="shared" si="2"/>
        <v>2</v>
      </c>
      <c r="I5131" s="15">
        <f t="shared" si="3"/>
        <v>19</v>
      </c>
    </row>
    <row r="5132">
      <c r="A5132" s="8" t="str">
        <f>IFERROR(__xludf.DUMMYFUNCTION("IF('(INGESTA)Datos_consumo_datadis'!A5132&lt;&gt;"""",SPLIT('(INGESTA)Datos_consumo_datadis'!A:A,"",""),"""")"),"ES0031408323131005HX0F")</f>
        <v>ES0031408323131005HX0F</v>
      </c>
      <c r="B5132" s="12">
        <f>IFERROR(__xludf.DUMMYFUNCTION("""COMPUTED_VALUE"""),45079.0)</f>
        <v>45079</v>
      </c>
      <c r="C5132" s="13">
        <f>IFERROR(__xludf.DUMMYFUNCTION("""COMPUTED_VALUE"""),0.8333333333333334)</f>
        <v>0.8333333333</v>
      </c>
      <c r="D5132" s="8">
        <f>IFERROR(__xludf.DUMMYFUNCTION("""COMPUTED_VALUE"""),0.037)</f>
        <v>0.037</v>
      </c>
      <c r="E5132" s="8" t="str">
        <f>IFERROR(__xludf.DUMMYFUNCTION("""COMPUTED_VALUE"""),"Real")</f>
        <v>Real</v>
      </c>
      <c r="G5132" s="8">
        <f t="shared" si="1"/>
        <v>6</v>
      </c>
      <c r="H5132" s="14">
        <f t="shared" si="2"/>
        <v>2</v>
      </c>
      <c r="I5132" s="15">
        <f t="shared" si="3"/>
        <v>20</v>
      </c>
    </row>
    <row r="5133">
      <c r="A5133" s="8" t="str">
        <f>IFERROR(__xludf.DUMMYFUNCTION("IF('(INGESTA)Datos_consumo_datadis'!A5133&lt;&gt;"""",SPLIT('(INGESTA)Datos_consumo_datadis'!A:A,"",""),"""")"),"ES0031408323131005HX0F")</f>
        <v>ES0031408323131005HX0F</v>
      </c>
      <c r="B5133" s="12">
        <f>IFERROR(__xludf.DUMMYFUNCTION("""COMPUTED_VALUE"""),45079.0)</f>
        <v>45079</v>
      </c>
      <c r="C5133" s="13">
        <f>IFERROR(__xludf.DUMMYFUNCTION("""COMPUTED_VALUE"""),0.875)</f>
        <v>0.875</v>
      </c>
      <c r="D5133" s="8">
        <f>IFERROR(__xludf.DUMMYFUNCTION("""COMPUTED_VALUE"""),0.04)</f>
        <v>0.04</v>
      </c>
      <c r="E5133" s="8" t="str">
        <f>IFERROR(__xludf.DUMMYFUNCTION("""COMPUTED_VALUE"""),"Real")</f>
        <v>Real</v>
      </c>
      <c r="G5133" s="8">
        <f t="shared" si="1"/>
        <v>6</v>
      </c>
      <c r="H5133" s="14">
        <f t="shared" si="2"/>
        <v>2</v>
      </c>
      <c r="I5133" s="15">
        <f t="shared" si="3"/>
        <v>21</v>
      </c>
    </row>
    <row r="5134">
      <c r="A5134" s="8" t="str">
        <f>IFERROR(__xludf.DUMMYFUNCTION("IF('(INGESTA)Datos_consumo_datadis'!A5134&lt;&gt;"""",SPLIT('(INGESTA)Datos_consumo_datadis'!A:A,"",""),"""")"),"ES0031408323131005HX0F")</f>
        <v>ES0031408323131005HX0F</v>
      </c>
      <c r="B5134" s="12">
        <f>IFERROR(__xludf.DUMMYFUNCTION("""COMPUTED_VALUE"""),45079.0)</f>
        <v>45079</v>
      </c>
      <c r="C5134" s="13">
        <f>IFERROR(__xludf.DUMMYFUNCTION("""COMPUTED_VALUE"""),0.9166666666666666)</f>
        <v>0.9166666667</v>
      </c>
      <c r="D5134" s="8">
        <f>IFERROR(__xludf.DUMMYFUNCTION("""COMPUTED_VALUE"""),0.01)</f>
        <v>0.01</v>
      </c>
      <c r="E5134" s="8" t="str">
        <f>IFERROR(__xludf.DUMMYFUNCTION("""COMPUTED_VALUE"""),"Real")</f>
        <v>Real</v>
      </c>
      <c r="G5134" s="8">
        <f t="shared" si="1"/>
        <v>6</v>
      </c>
      <c r="H5134" s="14">
        <f t="shared" si="2"/>
        <v>2</v>
      </c>
      <c r="I5134" s="15">
        <f t="shared" si="3"/>
        <v>22</v>
      </c>
    </row>
    <row r="5135">
      <c r="A5135" s="8" t="str">
        <f>IFERROR(__xludf.DUMMYFUNCTION("IF('(INGESTA)Datos_consumo_datadis'!A5135&lt;&gt;"""",SPLIT('(INGESTA)Datos_consumo_datadis'!A:A,"",""),"""")"),"ES0031408323131005HX0F")</f>
        <v>ES0031408323131005HX0F</v>
      </c>
      <c r="B5135" s="12">
        <f>IFERROR(__xludf.DUMMYFUNCTION("""COMPUTED_VALUE"""),45079.0)</f>
        <v>45079</v>
      </c>
      <c r="C5135" s="13">
        <f>IFERROR(__xludf.DUMMYFUNCTION("""COMPUTED_VALUE"""),0.9583333333333334)</f>
        <v>0.9583333333</v>
      </c>
      <c r="D5135" s="8">
        <f>IFERROR(__xludf.DUMMYFUNCTION("""COMPUTED_VALUE"""),0.102)</f>
        <v>0.102</v>
      </c>
      <c r="E5135" s="8" t="str">
        <f>IFERROR(__xludf.DUMMYFUNCTION("""COMPUTED_VALUE"""),"Real")</f>
        <v>Real</v>
      </c>
      <c r="G5135" s="8">
        <f t="shared" si="1"/>
        <v>6</v>
      </c>
      <c r="H5135" s="14">
        <f t="shared" si="2"/>
        <v>2</v>
      </c>
      <c r="I5135" s="15">
        <f t="shared" si="3"/>
        <v>23</v>
      </c>
    </row>
    <row r="5136">
      <c r="A5136" s="8" t="str">
        <f>IFERROR(__xludf.DUMMYFUNCTION("IF('(INGESTA)Datos_consumo_datadis'!A5136&lt;&gt;"""",SPLIT('(INGESTA)Datos_consumo_datadis'!A:A,"",""),"""")"),"ES0031408323131005HX0F")</f>
        <v>ES0031408323131005HX0F</v>
      </c>
      <c r="B5136" s="12">
        <f>IFERROR(__xludf.DUMMYFUNCTION("""COMPUTED_VALUE"""),45079.0)</f>
        <v>45079</v>
      </c>
      <c r="C5136" s="16">
        <f>IFERROR(__xludf.DUMMYFUNCTION("""COMPUTED_VALUE"""),1.0)</f>
        <v>1</v>
      </c>
      <c r="D5136" s="8">
        <f>IFERROR(__xludf.DUMMYFUNCTION("""COMPUTED_VALUE"""),0.067)</f>
        <v>0.067</v>
      </c>
      <c r="E5136" s="8" t="str">
        <f>IFERROR(__xludf.DUMMYFUNCTION("""COMPUTED_VALUE"""),"Real")</f>
        <v>Real</v>
      </c>
      <c r="G5136" s="8">
        <f t="shared" si="1"/>
        <v>6</v>
      </c>
      <c r="H5136" s="14">
        <f t="shared" si="2"/>
        <v>2</v>
      </c>
      <c r="I5136" s="15">
        <f t="shared" si="3"/>
        <v>0</v>
      </c>
    </row>
    <row r="5137">
      <c r="A5137" s="8" t="str">
        <f>IFERROR(__xludf.DUMMYFUNCTION("IF('(INGESTA)Datos_consumo_datadis'!A5137&lt;&gt;"""",SPLIT('(INGESTA)Datos_consumo_datadis'!A:A,"",""),"""")"),"ES0031408323131005HX0F")</f>
        <v>ES0031408323131005HX0F</v>
      </c>
      <c r="B5137" s="12">
        <f>IFERROR(__xludf.DUMMYFUNCTION("""COMPUTED_VALUE"""),45080.0)</f>
        <v>45080</v>
      </c>
      <c r="C5137" s="13">
        <f>IFERROR(__xludf.DUMMYFUNCTION("""COMPUTED_VALUE"""),0.041666666666666664)</f>
        <v>0.04166666667</v>
      </c>
      <c r="D5137" s="8">
        <f>IFERROR(__xludf.DUMMYFUNCTION("""COMPUTED_VALUE"""),0.041)</f>
        <v>0.041</v>
      </c>
      <c r="E5137" s="8" t="str">
        <f>IFERROR(__xludf.DUMMYFUNCTION("""COMPUTED_VALUE"""),"Real")</f>
        <v>Real</v>
      </c>
      <c r="G5137" s="8">
        <f t="shared" si="1"/>
        <v>6</v>
      </c>
      <c r="H5137" s="14">
        <f t="shared" si="2"/>
        <v>3</v>
      </c>
      <c r="I5137" s="15">
        <f t="shared" si="3"/>
        <v>1</v>
      </c>
    </row>
    <row r="5138">
      <c r="A5138" s="8" t="str">
        <f>IFERROR(__xludf.DUMMYFUNCTION("IF('(INGESTA)Datos_consumo_datadis'!A5138&lt;&gt;"""",SPLIT('(INGESTA)Datos_consumo_datadis'!A:A,"",""),"""")"),"ES0031408323131005HX0F")</f>
        <v>ES0031408323131005HX0F</v>
      </c>
      <c r="B5138" s="12">
        <f>IFERROR(__xludf.DUMMYFUNCTION("""COMPUTED_VALUE"""),45080.0)</f>
        <v>45080</v>
      </c>
      <c r="C5138" s="13">
        <f>IFERROR(__xludf.DUMMYFUNCTION("""COMPUTED_VALUE"""),0.08333333333333333)</f>
        <v>0.08333333333</v>
      </c>
      <c r="D5138" s="8">
        <f>IFERROR(__xludf.DUMMYFUNCTION("""COMPUTED_VALUE"""),0.329)</f>
        <v>0.329</v>
      </c>
      <c r="E5138" s="8" t="str">
        <f>IFERROR(__xludf.DUMMYFUNCTION("""COMPUTED_VALUE"""),"Real")</f>
        <v>Real</v>
      </c>
      <c r="G5138" s="8">
        <f t="shared" si="1"/>
        <v>6</v>
      </c>
      <c r="H5138" s="14">
        <f t="shared" si="2"/>
        <v>3</v>
      </c>
      <c r="I5138" s="15">
        <f t="shared" si="3"/>
        <v>2</v>
      </c>
    </row>
    <row r="5139">
      <c r="A5139" s="8" t="str">
        <f>IFERROR(__xludf.DUMMYFUNCTION("IF('(INGESTA)Datos_consumo_datadis'!A5139&lt;&gt;"""",SPLIT('(INGESTA)Datos_consumo_datadis'!A:A,"",""),"""")"),"ES0031408323131005HX0F")</f>
        <v>ES0031408323131005HX0F</v>
      </c>
      <c r="B5139" s="12">
        <f>IFERROR(__xludf.DUMMYFUNCTION("""COMPUTED_VALUE"""),45080.0)</f>
        <v>45080</v>
      </c>
      <c r="C5139" s="13">
        <f>IFERROR(__xludf.DUMMYFUNCTION("""COMPUTED_VALUE"""),0.125)</f>
        <v>0.125</v>
      </c>
      <c r="D5139" s="8">
        <f>IFERROR(__xludf.DUMMYFUNCTION("""COMPUTED_VALUE"""),0.09)</f>
        <v>0.09</v>
      </c>
      <c r="E5139" s="8" t="str">
        <f>IFERROR(__xludf.DUMMYFUNCTION("""COMPUTED_VALUE"""),"Real")</f>
        <v>Real</v>
      </c>
      <c r="G5139" s="8">
        <f t="shared" si="1"/>
        <v>6</v>
      </c>
      <c r="H5139" s="14">
        <f t="shared" si="2"/>
        <v>3</v>
      </c>
      <c r="I5139" s="15">
        <f t="shared" si="3"/>
        <v>3</v>
      </c>
    </row>
    <row r="5140">
      <c r="A5140" s="8" t="str">
        <f>IFERROR(__xludf.DUMMYFUNCTION("IF('(INGESTA)Datos_consumo_datadis'!A5140&lt;&gt;"""",SPLIT('(INGESTA)Datos_consumo_datadis'!A:A,"",""),"""")"),"ES0031408323131005HX0F")</f>
        <v>ES0031408323131005HX0F</v>
      </c>
      <c r="B5140" s="12">
        <f>IFERROR(__xludf.DUMMYFUNCTION("""COMPUTED_VALUE"""),45080.0)</f>
        <v>45080</v>
      </c>
      <c r="C5140" s="13">
        <f>IFERROR(__xludf.DUMMYFUNCTION("""COMPUTED_VALUE"""),0.16666666666666666)</f>
        <v>0.1666666667</v>
      </c>
      <c r="D5140" s="8">
        <f>IFERROR(__xludf.DUMMYFUNCTION("""COMPUTED_VALUE"""),0.081)</f>
        <v>0.081</v>
      </c>
      <c r="E5140" s="8" t="str">
        <f>IFERROR(__xludf.DUMMYFUNCTION("""COMPUTED_VALUE"""),"Real")</f>
        <v>Real</v>
      </c>
      <c r="G5140" s="8">
        <f t="shared" si="1"/>
        <v>6</v>
      </c>
      <c r="H5140" s="14">
        <f t="shared" si="2"/>
        <v>3</v>
      </c>
      <c r="I5140" s="15">
        <f t="shared" si="3"/>
        <v>4</v>
      </c>
    </row>
    <row r="5141">
      <c r="A5141" s="8" t="str">
        <f>IFERROR(__xludf.DUMMYFUNCTION("IF('(INGESTA)Datos_consumo_datadis'!A5141&lt;&gt;"""",SPLIT('(INGESTA)Datos_consumo_datadis'!A:A,"",""),"""")"),"ES0031408323131005HX0F")</f>
        <v>ES0031408323131005HX0F</v>
      </c>
      <c r="B5141" s="12">
        <f>IFERROR(__xludf.DUMMYFUNCTION("""COMPUTED_VALUE"""),45080.0)</f>
        <v>45080</v>
      </c>
      <c r="C5141" s="13">
        <f>IFERROR(__xludf.DUMMYFUNCTION("""COMPUTED_VALUE"""),0.20833333333333334)</f>
        <v>0.2083333333</v>
      </c>
      <c r="D5141" s="8">
        <f>IFERROR(__xludf.DUMMYFUNCTION("""COMPUTED_VALUE"""),0.069)</f>
        <v>0.069</v>
      </c>
      <c r="E5141" s="8" t="str">
        <f>IFERROR(__xludf.DUMMYFUNCTION("""COMPUTED_VALUE"""),"Real")</f>
        <v>Real</v>
      </c>
      <c r="G5141" s="8">
        <f t="shared" si="1"/>
        <v>6</v>
      </c>
      <c r="H5141" s="14">
        <f t="shared" si="2"/>
        <v>3</v>
      </c>
      <c r="I5141" s="15">
        <f t="shared" si="3"/>
        <v>5</v>
      </c>
    </row>
    <row r="5142">
      <c r="A5142" s="8" t="str">
        <f>IFERROR(__xludf.DUMMYFUNCTION("IF('(INGESTA)Datos_consumo_datadis'!A5142&lt;&gt;"""",SPLIT('(INGESTA)Datos_consumo_datadis'!A:A,"",""),"""")"),"ES0031408323131005HX0F")</f>
        <v>ES0031408323131005HX0F</v>
      </c>
      <c r="B5142" s="12">
        <f>IFERROR(__xludf.DUMMYFUNCTION("""COMPUTED_VALUE"""),45080.0)</f>
        <v>45080</v>
      </c>
      <c r="C5142" s="13">
        <f>IFERROR(__xludf.DUMMYFUNCTION("""COMPUTED_VALUE"""),0.25)</f>
        <v>0.25</v>
      </c>
      <c r="D5142" s="8">
        <f>IFERROR(__xludf.DUMMYFUNCTION("""COMPUTED_VALUE"""),0.011)</f>
        <v>0.011</v>
      </c>
      <c r="E5142" s="8" t="str">
        <f>IFERROR(__xludf.DUMMYFUNCTION("""COMPUTED_VALUE"""),"Real")</f>
        <v>Real</v>
      </c>
      <c r="G5142" s="8">
        <f t="shared" si="1"/>
        <v>6</v>
      </c>
      <c r="H5142" s="14">
        <f t="shared" si="2"/>
        <v>3</v>
      </c>
      <c r="I5142" s="15">
        <f t="shared" si="3"/>
        <v>6</v>
      </c>
    </row>
    <row r="5143">
      <c r="A5143" s="8" t="str">
        <f>IFERROR(__xludf.DUMMYFUNCTION("IF('(INGESTA)Datos_consumo_datadis'!A5143&lt;&gt;"""",SPLIT('(INGESTA)Datos_consumo_datadis'!A:A,"",""),"""")"),"ES0031408323131005HX0F")</f>
        <v>ES0031408323131005HX0F</v>
      </c>
      <c r="B5143" s="12">
        <f>IFERROR(__xludf.DUMMYFUNCTION("""COMPUTED_VALUE"""),45080.0)</f>
        <v>45080</v>
      </c>
      <c r="C5143" s="13">
        <f>IFERROR(__xludf.DUMMYFUNCTION("""COMPUTED_VALUE"""),0.2916666666666667)</f>
        <v>0.2916666667</v>
      </c>
      <c r="D5143" s="8">
        <f>IFERROR(__xludf.DUMMYFUNCTION("""COMPUTED_VALUE"""),0.03)</f>
        <v>0.03</v>
      </c>
      <c r="E5143" s="8" t="str">
        <f>IFERROR(__xludf.DUMMYFUNCTION("""COMPUTED_VALUE"""),"Real")</f>
        <v>Real</v>
      </c>
      <c r="G5143" s="8">
        <f t="shared" si="1"/>
        <v>6</v>
      </c>
      <c r="H5143" s="14">
        <f t="shared" si="2"/>
        <v>3</v>
      </c>
      <c r="I5143" s="15">
        <f t="shared" si="3"/>
        <v>7</v>
      </c>
    </row>
    <row r="5144">
      <c r="A5144" s="8" t="str">
        <f>IFERROR(__xludf.DUMMYFUNCTION("IF('(INGESTA)Datos_consumo_datadis'!A5144&lt;&gt;"""",SPLIT('(INGESTA)Datos_consumo_datadis'!A:A,"",""),"""")"),"ES0031408323131005HX0F")</f>
        <v>ES0031408323131005HX0F</v>
      </c>
      <c r="B5144" s="12">
        <f>IFERROR(__xludf.DUMMYFUNCTION("""COMPUTED_VALUE"""),45080.0)</f>
        <v>45080</v>
      </c>
      <c r="C5144" s="13">
        <f>IFERROR(__xludf.DUMMYFUNCTION("""COMPUTED_VALUE"""),0.3333333333333333)</f>
        <v>0.3333333333</v>
      </c>
      <c r="D5144" s="8">
        <f>IFERROR(__xludf.DUMMYFUNCTION("""COMPUTED_VALUE"""),0.112)</f>
        <v>0.112</v>
      </c>
      <c r="E5144" s="8" t="str">
        <f>IFERROR(__xludf.DUMMYFUNCTION("""COMPUTED_VALUE"""),"Real")</f>
        <v>Real</v>
      </c>
      <c r="G5144" s="8">
        <f t="shared" si="1"/>
        <v>6</v>
      </c>
      <c r="H5144" s="14">
        <f t="shared" si="2"/>
        <v>3</v>
      </c>
      <c r="I5144" s="15">
        <f t="shared" si="3"/>
        <v>8</v>
      </c>
    </row>
    <row r="5145">
      <c r="A5145" s="8" t="str">
        <f>IFERROR(__xludf.DUMMYFUNCTION("IF('(INGESTA)Datos_consumo_datadis'!A5145&lt;&gt;"""",SPLIT('(INGESTA)Datos_consumo_datadis'!A:A,"",""),"""")"),"ES0031408323131005HX0F")</f>
        <v>ES0031408323131005HX0F</v>
      </c>
      <c r="B5145" s="12">
        <f>IFERROR(__xludf.DUMMYFUNCTION("""COMPUTED_VALUE"""),45080.0)</f>
        <v>45080</v>
      </c>
      <c r="C5145" s="13">
        <f>IFERROR(__xludf.DUMMYFUNCTION("""COMPUTED_VALUE"""),0.375)</f>
        <v>0.375</v>
      </c>
      <c r="D5145" s="8">
        <f>IFERROR(__xludf.DUMMYFUNCTION("""COMPUTED_VALUE"""),0.035)</f>
        <v>0.035</v>
      </c>
      <c r="E5145" s="8" t="str">
        <f>IFERROR(__xludf.DUMMYFUNCTION("""COMPUTED_VALUE"""),"Real")</f>
        <v>Real</v>
      </c>
      <c r="G5145" s="8">
        <f t="shared" si="1"/>
        <v>6</v>
      </c>
      <c r="H5145" s="14">
        <f t="shared" si="2"/>
        <v>3</v>
      </c>
      <c r="I5145" s="15">
        <f t="shared" si="3"/>
        <v>9</v>
      </c>
    </row>
    <row r="5146">
      <c r="A5146" s="8" t="str">
        <f>IFERROR(__xludf.DUMMYFUNCTION("IF('(INGESTA)Datos_consumo_datadis'!A5146&lt;&gt;"""",SPLIT('(INGESTA)Datos_consumo_datadis'!A:A,"",""),"""")"),"ES0031408323131005HX0F")</f>
        <v>ES0031408323131005HX0F</v>
      </c>
      <c r="B5146" s="12">
        <f>IFERROR(__xludf.DUMMYFUNCTION("""COMPUTED_VALUE"""),45080.0)</f>
        <v>45080</v>
      </c>
      <c r="C5146" s="13">
        <f>IFERROR(__xludf.DUMMYFUNCTION("""COMPUTED_VALUE"""),0.4166666666666667)</f>
        <v>0.4166666667</v>
      </c>
      <c r="D5146" s="8">
        <f>IFERROR(__xludf.DUMMYFUNCTION("""COMPUTED_VALUE"""),0.339)</f>
        <v>0.339</v>
      </c>
      <c r="E5146" s="8" t="str">
        <f>IFERROR(__xludf.DUMMYFUNCTION("""COMPUTED_VALUE"""),"Real")</f>
        <v>Real</v>
      </c>
      <c r="G5146" s="8">
        <f t="shared" si="1"/>
        <v>6</v>
      </c>
      <c r="H5146" s="14">
        <f t="shared" si="2"/>
        <v>3</v>
      </c>
      <c r="I5146" s="15">
        <f t="shared" si="3"/>
        <v>10</v>
      </c>
    </row>
    <row r="5147">
      <c r="A5147" s="8" t="str">
        <f>IFERROR(__xludf.DUMMYFUNCTION("IF('(INGESTA)Datos_consumo_datadis'!A5147&lt;&gt;"""",SPLIT('(INGESTA)Datos_consumo_datadis'!A:A,"",""),"""")"),"ES0031408323131005HX0F")</f>
        <v>ES0031408323131005HX0F</v>
      </c>
      <c r="B5147" s="12">
        <f>IFERROR(__xludf.DUMMYFUNCTION("""COMPUTED_VALUE"""),45080.0)</f>
        <v>45080</v>
      </c>
      <c r="C5147" s="13">
        <f>IFERROR(__xludf.DUMMYFUNCTION("""COMPUTED_VALUE"""),0.4583333333333333)</f>
        <v>0.4583333333</v>
      </c>
      <c r="D5147" s="8">
        <f>IFERROR(__xludf.DUMMYFUNCTION("""COMPUTED_VALUE"""),0.01)</f>
        <v>0.01</v>
      </c>
      <c r="E5147" s="8" t="str">
        <f>IFERROR(__xludf.DUMMYFUNCTION("""COMPUTED_VALUE"""),"Real")</f>
        <v>Real</v>
      </c>
      <c r="G5147" s="8">
        <f t="shared" si="1"/>
        <v>6</v>
      </c>
      <c r="H5147" s="14">
        <f t="shared" si="2"/>
        <v>3</v>
      </c>
      <c r="I5147" s="15">
        <f t="shared" si="3"/>
        <v>11</v>
      </c>
    </row>
    <row r="5148">
      <c r="A5148" s="8" t="str">
        <f>IFERROR(__xludf.DUMMYFUNCTION("IF('(INGESTA)Datos_consumo_datadis'!A5148&lt;&gt;"""",SPLIT('(INGESTA)Datos_consumo_datadis'!A:A,"",""),"""")"),"ES0031408323131005HX0F")</f>
        <v>ES0031408323131005HX0F</v>
      </c>
      <c r="B5148" s="12">
        <f>IFERROR(__xludf.DUMMYFUNCTION("""COMPUTED_VALUE"""),45080.0)</f>
        <v>45080</v>
      </c>
      <c r="C5148" s="13">
        <f>IFERROR(__xludf.DUMMYFUNCTION("""COMPUTED_VALUE"""),0.5)</f>
        <v>0.5</v>
      </c>
      <c r="D5148" s="8">
        <f>IFERROR(__xludf.DUMMYFUNCTION("""COMPUTED_VALUE"""),0.096)</f>
        <v>0.096</v>
      </c>
      <c r="E5148" s="8" t="str">
        <f>IFERROR(__xludf.DUMMYFUNCTION("""COMPUTED_VALUE"""),"Real")</f>
        <v>Real</v>
      </c>
      <c r="G5148" s="8">
        <f t="shared" si="1"/>
        <v>6</v>
      </c>
      <c r="H5148" s="14">
        <f t="shared" si="2"/>
        <v>3</v>
      </c>
      <c r="I5148" s="15">
        <f t="shared" si="3"/>
        <v>12</v>
      </c>
    </row>
    <row r="5149">
      <c r="A5149" s="8" t="str">
        <f>IFERROR(__xludf.DUMMYFUNCTION("IF('(INGESTA)Datos_consumo_datadis'!A5149&lt;&gt;"""",SPLIT('(INGESTA)Datos_consumo_datadis'!A:A,"",""),"""")"),"ES0031408323131005HX0F")</f>
        <v>ES0031408323131005HX0F</v>
      </c>
      <c r="B5149" s="12">
        <f>IFERROR(__xludf.DUMMYFUNCTION("""COMPUTED_VALUE"""),45080.0)</f>
        <v>45080</v>
      </c>
      <c r="C5149" s="13">
        <f>IFERROR(__xludf.DUMMYFUNCTION("""COMPUTED_VALUE"""),0.5416666666666666)</f>
        <v>0.5416666667</v>
      </c>
      <c r="D5149" s="8">
        <f>IFERROR(__xludf.DUMMYFUNCTION("""COMPUTED_VALUE"""),0.068)</f>
        <v>0.068</v>
      </c>
      <c r="E5149" s="8" t="str">
        <f>IFERROR(__xludf.DUMMYFUNCTION("""COMPUTED_VALUE"""),"Real")</f>
        <v>Real</v>
      </c>
      <c r="G5149" s="8">
        <f t="shared" si="1"/>
        <v>6</v>
      </c>
      <c r="H5149" s="14">
        <f t="shared" si="2"/>
        <v>3</v>
      </c>
      <c r="I5149" s="15">
        <f t="shared" si="3"/>
        <v>13</v>
      </c>
    </row>
    <row r="5150">
      <c r="A5150" s="8" t="str">
        <f>IFERROR(__xludf.DUMMYFUNCTION("IF('(INGESTA)Datos_consumo_datadis'!A5150&lt;&gt;"""",SPLIT('(INGESTA)Datos_consumo_datadis'!A:A,"",""),"""")"),"ES0031408323131005HX0F")</f>
        <v>ES0031408323131005HX0F</v>
      </c>
      <c r="B5150" s="12">
        <f>IFERROR(__xludf.DUMMYFUNCTION("""COMPUTED_VALUE"""),45080.0)</f>
        <v>45080</v>
      </c>
      <c r="C5150" s="13">
        <f>IFERROR(__xludf.DUMMYFUNCTION("""COMPUTED_VALUE"""),0.5833333333333334)</f>
        <v>0.5833333333</v>
      </c>
      <c r="D5150" s="8">
        <f>IFERROR(__xludf.DUMMYFUNCTION("""COMPUTED_VALUE"""),0.046)</f>
        <v>0.046</v>
      </c>
      <c r="E5150" s="8" t="str">
        <f>IFERROR(__xludf.DUMMYFUNCTION("""COMPUTED_VALUE"""),"Real")</f>
        <v>Real</v>
      </c>
      <c r="G5150" s="8">
        <f t="shared" si="1"/>
        <v>6</v>
      </c>
      <c r="H5150" s="14">
        <f t="shared" si="2"/>
        <v>3</v>
      </c>
      <c r="I5150" s="15">
        <f t="shared" si="3"/>
        <v>14</v>
      </c>
    </row>
    <row r="5151">
      <c r="A5151" s="8" t="str">
        <f>IFERROR(__xludf.DUMMYFUNCTION("IF('(INGESTA)Datos_consumo_datadis'!A5151&lt;&gt;"""",SPLIT('(INGESTA)Datos_consumo_datadis'!A:A,"",""),"""")"),"ES0031408323131005HX0F")</f>
        <v>ES0031408323131005HX0F</v>
      </c>
      <c r="B5151" s="12">
        <f>IFERROR(__xludf.DUMMYFUNCTION("""COMPUTED_VALUE"""),45080.0)</f>
        <v>45080</v>
      </c>
      <c r="C5151" s="13">
        <f>IFERROR(__xludf.DUMMYFUNCTION("""COMPUTED_VALUE"""),0.625)</f>
        <v>0.625</v>
      </c>
      <c r="D5151" s="8">
        <f>IFERROR(__xludf.DUMMYFUNCTION("""COMPUTED_VALUE"""),0.009)</f>
        <v>0.009</v>
      </c>
      <c r="E5151" s="8" t="str">
        <f>IFERROR(__xludf.DUMMYFUNCTION("""COMPUTED_VALUE"""),"Real")</f>
        <v>Real</v>
      </c>
      <c r="G5151" s="8">
        <f t="shared" si="1"/>
        <v>6</v>
      </c>
      <c r="H5151" s="14">
        <f t="shared" si="2"/>
        <v>3</v>
      </c>
      <c r="I5151" s="15">
        <f t="shared" si="3"/>
        <v>15</v>
      </c>
    </row>
    <row r="5152">
      <c r="A5152" s="8" t="str">
        <f>IFERROR(__xludf.DUMMYFUNCTION("IF('(INGESTA)Datos_consumo_datadis'!A5152&lt;&gt;"""",SPLIT('(INGESTA)Datos_consumo_datadis'!A:A,"",""),"""")"),"ES0031408323131005HX0F")</f>
        <v>ES0031408323131005HX0F</v>
      </c>
      <c r="B5152" s="12">
        <f>IFERROR(__xludf.DUMMYFUNCTION("""COMPUTED_VALUE"""),45080.0)</f>
        <v>45080</v>
      </c>
      <c r="C5152" s="13">
        <f>IFERROR(__xludf.DUMMYFUNCTION("""COMPUTED_VALUE"""),0.6666666666666666)</f>
        <v>0.6666666667</v>
      </c>
      <c r="D5152" s="8">
        <f>IFERROR(__xludf.DUMMYFUNCTION("""COMPUTED_VALUE"""),0.064)</f>
        <v>0.064</v>
      </c>
      <c r="E5152" s="8" t="str">
        <f>IFERROR(__xludf.DUMMYFUNCTION("""COMPUTED_VALUE"""),"Real")</f>
        <v>Real</v>
      </c>
      <c r="G5152" s="8">
        <f t="shared" si="1"/>
        <v>6</v>
      </c>
      <c r="H5152" s="14">
        <f t="shared" si="2"/>
        <v>3</v>
      </c>
      <c r="I5152" s="15">
        <f t="shared" si="3"/>
        <v>16</v>
      </c>
    </row>
    <row r="5153">
      <c r="A5153" s="8" t="str">
        <f>IFERROR(__xludf.DUMMYFUNCTION("IF('(INGESTA)Datos_consumo_datadis'!A5153&lt;&gt;"""",SPLIT('(INGESTA)Datos_consumo_datadis'!A:A,"",""),"""")"),"ES0031408323131005HX0F")</f>
        <v>ES0031408323131005HX0F</v>
      </c>
      <c r="B5153" s="12">
        <f>IFERROR(__xludf.DUMMYFUNCTION("""COMPUTED_VALUE"""),45080.0)</f>
        <v>45080</v>
      </c>
      <c r="C5153" s="13">
        <f>IFERROR(__xludf.DUMMYFUNCTION("""COMPUTED_VALUE"""),0.7083333333333334)</f>
        <v>0.7083333333</v>
      </c>
      <c r="D5153" s="8">
        <f>IFERROR(__xludf.DUMMYFUNCTION("""COMPUTED_VALUE"""),0.393)</f>
        <v>0.393</v>
      </c>
      <c r="E5153" s="8" t="str">
        <f>IFERROR(__xludf.DUMMYFUNCTION("""COMPUTED_VALUE"""),"Real")</f>
        <v>Real</v>
      </c>
      <c r="G5153" s="8">
        <f t="shared" si="1"/>
        <v>6</v>
      </c>
      <c r="H5153" s="14">
        <f t="shared" si="2"/>
        <v>3</v>
      </c>
      <c r="I5153" s="15">
        <f t="shared" si="3"/>
        <v>17</v>
      </c>
    </row>
    <row r="5154">
      <c r="A5154" s="8" t="str">
        <f>IFERROR(__xludf.DUMMYFUNCTION("IF('(INGESTA)Datos_consumo_datadis'!A5154&lt;&gt;"""",SPLIT('(INGESTA)Datos_consumo_datadis'!A:A,"",""),"""")"),"ES0031408323131005HX0F")</f>
        <v>ES0031408323131005HX0F</v>
      </c>
      <c r="B5154" s="12">
        <f>IFERROR(__xludf.DUMMYFUNCTION("""COMPUTED_VALUE"""),45080.0)</f>
        <v>45080</v>
      </c>
      <c r="C5154" s="13">
        <f>IFERROR(__xludf.DUMMYFUNCTION("""COMPUTED_VALUE"""),0.75)</f>
        <v>0.75</v>
      </c>
      <c r="D5154" s="8">
        <f>IFERROR(__xludf.DUMMYFUNCTION("""COMPUTED_VALUE"""),0.067)</f>
        <v>0.067</v>
      </c>
      <c r="E5154" s="8" t="str">
        <f>IFERROR(__xludf.DUMMYFUNCTION("""COMPUTED_VALUE"""),"Real")</f>
        <v>Real</v>
      </c>
      <c r="G5154" s="8">
        <f t="shared" si="1"/>
        <v>6</v>
      </c>
      <c r="H5154" s="14">
        <f t="shared" si="2"/>
        <v>3</v>
      </c>
      <c r="I5154" s="15">
        <f t="shared" si="3"/>
        <v>18</v>
      </c>
    </row>
    <row r="5155">
      <c r="A5155" s="8" t="str">
        <f>IFERROR(__xludf.DUMMYFUNCTION("IF('(INGESTA)Datos_consumo_datadis'!A5155&lt;&gt;"""",SPLIT('(INGESTA)Datos_consumo_datadis'!A:A,"",""),"""")"),"ES0031408323131005HX0F")</f>
        <v>ES0031408323131005HX0F</v>
      </c>
      <c r="B5155" s="12">
        <f>IFERROR(__xludf.DUMMYFUNCTION("""COMPUTED_VALUE"""),45080.0)</f>
        <v>45080</v>
      </c>
      <c r="C5155" s="13">
        <f>IFERROR(__xludf.DUMMYFUNCTION("""COMPUTED_VALUE"""),0.7916666666666666)</f>
        <v>0.7916666667</v>
      </c>
      <c r="D5155" s="8">
        <f>IFERROR(__xludf.DUMMYFUNCTION("""COMPUTED_VALUE"""),0.011)</f>
        <v>0.011</v>
      </c>
      <c r="E5155" s="8" t="str">
        <f>IFERROR(__xludf.DUMMYFUNCTION("""COMPUTED_VALUE"""),"Real")</f>
        <v>Real</v>
      </c>
      <c r="G5155" s="8">
        <f t="shared" si="1"/>
        <v>6</v>
      </c>
      <c r="H5155" s="14">
        <f t="shared" si="2"/>
        <v>3</v>
      </c>
      <c r="I5155" s="15">
        <f t="shared" si="3"/>
        <v>19</v>
      </c>
    </row>
    <row r="5156">
      <c r="A5156" s="8" t="str">
        <f>IFERROR(__xludf.DUMMYFUNCTION("IF('(INGESTA)Datos_consumo_datadis'!A5156&lt;&gt;"""",SPLIT('(INGESTA)Datos_consumo_datadis'!A:A,"",""),"""")"),"ES0031408323131005HX0F")</f>
        <v>ES0031408323131005HX0F</v>
      </c>
      <c r="B5156" s="12">
        <f>IFERROR(__xludf.DUMMYFUNCTION("""COMPUTED_VALUE"""),45080.0)</f>
        <v>45080</v>
      </c>
      <c r="C5156" s="13">
        <f>IFERROR(__xludf.DUMMYFUNCTION("""COMPUTED_VALUE"""),0.8333333333333334)</f>
        <v>0.8333333333</v>
      </c>
      <c r="D5156" s="8">
        <f>IFERROR(__xludf.DUMMYFUNCTION("""COMPUTED_VALUE"""),0.03)</f>
        <v>0.03</v>
      </c>
      <c r="E5156" s="8" t="str">
        <f>IFERROR(__xludf.DUMMYFUNCTION("""COMPUTED_VALUE"""),"Real")</f>
        <v>Real</v>
      </c>
      <c r="G5156" s="8">
        <f t="shared" si="1"/>
        <v>6</v>
      </c>
      <c r="H5156" s="14">
        <f t="shared" si="2"/>
        <v>3</v>
      </c>
      <c r="I5156" s="15">
        <f t="shared" si="3"/>
        <v>20</v>
      </c>
    </row>
    <row r="5157">
      <c r="A5157" s="8" t="str">
        <f>IFERROR(__xludf.DUMMYFUNCTION("IF('(INGESTA)Datos_consumo_datadis'!A5157&lt;&gt;"""",SPLIT('(INGESTA)Datos_consumo_datadis'!A:A,"",""),"""")"),"ES0031408323131005HX0F")</f>
        <v>ES0031408323131005HX0F</v>
      </c>
      <c r="B5157" s="12">
        <f>IFERROR(__xludf.DUMMYFUNCTION("""COMPUTED_VALUE"""),45080.0)</f>
        <v>45080</v>
      </c>
      <c r="C5157" s="13">
        <f>IFERROR(__xludf.DUMMYFUNCTION("""COMPUTED_VALUE"""),0.875)</f>
        <v>0.875</v>
      </c>
      <c r="D5157" s="8">
        <f>IFERROR(__xludf.DUMMYFUNCTION("""COMPUTED_VALUE"""),0.113)</f>
        <v>0.113</v>
      </c>
      <c r="E5157" s="8" t="str">
        <f>IFERROR(__xludf.DUMMYFUNCTION("""COMPUTED_VALUE"""),"Real")</f>
        <v>Real</v>
      </c>
      <c r="G5157" s="8">
        <f t="shared" si="1"/>
        <v>6</v>
      </c>
      <c r="H5157" s="14">
        <f t="shared" si="2"/>
        <v>3</v>
      </c>
      <c r="I5157" s="15">
        <f t="shared" si="3"/>
        <v>21</v>
      </c>
    </row>
    <row r="5158">
      <c r="A5158" s="8" t="str">
        <f>IFERROR(__xludf.DUMMYFUNCTION("IF('(INGESTA)Datos_consumo_datadis'!A5158&lt;&gt;"""",SPLIT('(INGESTA)Datos_consumo_datadis'!A:A,"",""),"""")"),"ES0031408323131005HX0F")</f>
        <v>ES0031408323131005HX0F</v>
      </c>
      <c r="B5158" s="12">
        <f>IFERROR(__xludf.DUMMYFUNCTION("""COMPUTED_VALUE"""),45080.0)</f>
        <v>45080</v>
      </c>
      <c r="C5158" s="13">
        <f>IFERROR(__xludf.DUMMYFUNCTION("""COMPUTED_VALUE"""),0.9166666666666666)</f>
        <v>0.9166666667</v>
      </c>
      <c r="D5158" s="8">
        <f>IFERROR(__xludf.DUMMYFUNCTION("""COMPUTED_VALUE"""),0.037)</f>
        <v>0.037</v>
      </c>
      <c r="E5158" s="8" t="str">
        <f>IFERROR(__xludf.DUMMYFUNCTION("""COMPUTED_VALUE"""),"Real")</f>
        <v>Real</v>
      </c>
      <c r="G5158" s="8">
        <f t="shared" si="1"/>
        <v>6</v>
      </c>
      <c r="H5158" s="14">
        <f t="shared" si="2"/>
        <v>3</v>
      </c>
      <c r="I5158" s="15">
        <f t="shared" si="3"/>
        <v>22</v>
      </c>
    </row>
    <row r="5159">
      <c r="A5159" s="8" t="str">
        <f>IFERROR(__xludf.DUMMYFUNCTION("IF('(INGESTA)Datos_consumo_datadis'!A5159&lt;&gt;"""",SPLIT('(INGESTA)Datos_consumo_datadis'!A:A,"",""),"""")"),"ES0031408323131005HX0F")</f>
        <v>ES0031408323131005HX0F</v>
      </c>
      <c r="B5159" s="12">
        <f>IFERROR(__xludf.DUMMYFUNCTION("""COMPUTED_VALUE"""),45080.0)</f>
        <v>45080</v>
      </c>
      <c r="C5159" s="13">
        <f>IFERROR(__xludf.DUMMYFUNCTION("""COMPUTED_VALUE"""),0.9583333333333334)</f>
        <v>0.9583333333</v>
      </c>
      <c r="D5159" s="8">
        <f>IFERROR(__xludf.DUMMYFUNCTION("""COMPUTED_VALUE"""),0.042)</f>
        <v>0.042</v>
      </c>
      <c r="E5159" s="8" t="str">
        <f>IFERROR(__xludf.DUMMYFUNCTION("""COMPUTED_VALUE"""),"Real")</f>
        <v>Real</v>
      </c>
      <c r="G5159" s="8">
        <f t="shared" si="1"/>
        <v>6</v>
      </c>
      <c r="H5159" s="14">
        <f t="shared" si="2"/>
        <v>3</v>
      </c>
      <c r="I5159" s="15">
        <f t="shared" si="3"/>
        <v>23</v>
      </c>
    </row>
    <row r="5160">
      <c r="A5160" s="8" t="str">
        <f>IFERROR(__xludf.DUMMYFUNCTION("IF('(INGESTA)Datos_consumo_datadis'!A5160&lt;&gt;"""",SPLIT('(INGESTA)Datos_consumo_datadis'!A:A,"",""),"""")"),"ES0031408323131005HX0F")</f>
        <v>ES0031408323131005HX0F</v>
      </c>
      <c r="B5160" s="12">
        <f>IFERROR(__xludf.DUMMYFUNCTION("""COMPUTED_VALUE"""),45080.0)</f>
        <v>45080</v>
      </c>
      <c r="C5160" s="16">
        <f>IFERROR(__xludf.DUMMYFUNCTION("""COMPUTED_VALUE"""),1.0)</f>
        <v>1</v>
      </c>
      <c r="D5160" s="8">
        <f>IFERROR(__xludf.DUMMYFUNCTION("""COMPUTED_VALUE"""),0.202)</f>
        <v>0.202</v>
      </c>
      <c r="E5160" s="8" t="str">
        <f>IFERROR(__xludf.DUMMYFUNCTION("""COMPUTED_VALUE"""),"Real")</f>
        <v>Real</v>
      </c>
      <c r="G5160" s="8">
        <f t="shared" si="1"/>
        <v>6</v>
      </c>
      <c r="H5160" s="14">
        <f t="shared" si="2"/>
        <v>3</v>
      </c>
      <c r="I5160" s="15">
        <f t="shared" si="3"/>
        <v>0</v>
      </c>
    </row>
    <row r="5161">
      <c r="A5161" s="8" t="str">
        <f>IFERROR(__xludf.DUMMYFUNCTION("IF('(INGESTA)Datos_consumo_datadis'!A5161&lt;&gt;"""",SPLIT('(INGESTA)Datos_consumo_datadis'!A:A,"",""),"""")"),"ES0031408323131005HX0F")</f>
        <v>ES0031408323131005HX0F</v>
      </c>
      <c r="B5161" s="12">
        <f>IFERROR(__xludf.DUMMYFUNCTION("""COMPUTED_VALUE"""),45081.0)</f>
        <v>45081</v>
      </c>
      <c r="C5161" s="13">
        <f>IFERROR(__xludf.DUMMYFUNCTION("""COMPUTED_VALUE"""),0.041666666666666664)</f>
        <v>0.04166666667</v>
      </c>
      <c r="D5161" s="8">
        <f>IFERROR(__xludf.DUMMYFUNCTION("""COMPUTED_VALUE"""),0.198)</f>
        <v>0.198</v>
      </c>
      <c r="E5161" s="8" t="str">
        <f>IFERROR(__xludf.DUMMYFUNCTION("""COMPUTED_VALUE"""),"Real")</f>
        <v>Real</v>
      </c>
      <c r="G5161" s="8">
        <f t="shared" si="1"/>
        <v>6</v>
      </c>
      <c r="H5161" s="14">
        <f t="shared" si="2"/>
        <v>4</v>
      </c>
      <c r="I5161" s="15">
        <f t="shared" si="3"/>
        <v>1</v>
      </c>
    </row>
    <row r="5162">
      <c r="A5162" s="8" t="str">
        <f>IFERROR(__xludf.DUMMYFUNCTION("IF('(INGESTA)Datos_consumo_datadis'!A5162&lt;&gt;"""",SPLIT('(INGESTA)Datos_consumo_datadis'!A:A,"",""),"""")"),"ES0031408323131005HX0F")</f>
        <v>ES0031408323131005HX0F</v>
      </c>
      <c r="B5162" s="12">
        <f>IFERROR(__xludf.DUMMYFUNCTION("""COMPUTED_VALUE"""),45081.0)</f>
        <v>45081</v>
      </c>
      <c r="C5162" s="13">
        <f>IFERROR(__xludf.DUMMYFUNCTION("""COMPUTED_VALUE"""),0.08333333333333333)</f>
        <v>0.08333333333</v>
      </c>
      <c r="D5162" s="8">
        <f>IFERROR(__xludf.DUMMYFUNCTION("""COMPUTED_VALUE"""),0.068)</f>
        <v>0.068</v>
      </c>
      <c r="E5162" s="8" t="str">
        <f>IFERROR(__xludf.DUMMYFUNCTION("""COMPUTED_VALUE"""),"Real")</f>
        <v>Real</v>
      </c>
      <c r="G5162" s="8">
        <f t="shared" si="1"/>
        <v>6</v>
      </c>
      <c r="H5162" s="14">
        <f t="shared" si="2"/>
        <v>4</v>
      </c>
      <c r="I5162" s="15">
        <f t="shared" si="3"/>
        <v>2</v>
      </c>
    </row>
    <row r="5163">
      <c r="A5163" s="8" t="str">
        <f>IFERROR(__xludf.DUMMYFUNCTION("IF('(INGESTA)Datos_consumo_datadis'!A5163&lt;&gt;"""",SPLIT('(INGESTA)Datos_consumo_datadis'!A:A,"",""),"""")"),"ES0031408323131005HX0F")</f>
        <v>ES0031408323131005HX0F</v>
      </c>
      <c r="B5163" s="12">
        <f>IFERROR(__xludf.DUMMYFUNCTION("""COMPUTED_VALUE"""),45081.0)</f>
        <v>45081</v>
      </c>
      <c r="C5163" s="13">
        <f>IFERROR(__xludf.DUMMYFUNCTION("""COMPUTED_VALUE"""),0.125)</f>
        <v>0.125</v>
      </c>
      <c r="D5163" s="8">
        <f>IFERROR(__xludf.DUMMYFUNCTION("""COMPUTED_VALUE"""),0.065)</f>
        <v>0.065</v>
      </c>
      <c r="E5163" s="8" t="str">
        <f>IFERROR(__xludf.DUMMYFUNCTION("""COMPUTED_VALUE"""),"Real")</f>
        <v>Real</v>
      </c>
      <c r="G5163" s="8">
        <f t="shared" si="1"/>
        <v>6</v>
      </c>
      <c r="H5163" s="14">
        <f t="shared" si="2"/>
        <v>4</v>
      </c>
      <c r="I5163" s="15">
        <f t="shared" si="3"/>
        <v>3</v>
      </c>
    </row>
    <row r="5164">
      <c r="A5164" s="8" t="str">
        <f>IFERROR(__xludf.DUMMYFUNCTION("IF('(INGESTA)Datos_consumo_datadis'!A5164&lt;&gt;"""",SPLIT('(INGESTA)Datos_consumo_datadis'!A:A,"",""),"""")"),"ES0031408323131005HX0F")</f>
        <v>ES0031408323131005HX0F</v>
      </c>
      <c r="B5164" s="12">
        <f>IFERROR(__xludf.DUMMYFUNCTION("""COMPUTED_VALUE"""),45081.0)</f>
        <v>45081</v>
      </c>
      <c r="C5164" s="13">
        <f>IFERROR(__xludf.DUMMYFUNCTION("""COMPUTED_VALUE"""),0.16666666666666666)</f>
        <v>0.1666666667</v>
      </c>
      <c r="D5164" s="8">
        <f>IFERROR(__xludf.DUMMYFUNCTION("""COMPUTED_VALUE"""),0.017)</f>
        <v>0.017</v>
      </c>
      <c r="E5164" s="8" t="str">
        <f>IFERROR(__xludf.DUMMYFUNCTION("""COMPUTED_VALUE"""),"Real")</f>
        <v>Real</v>
      </c>
      <c r="G5164" s="8">
        <f t="shared" si="1"/>
        <v>6</v>
      </c>
      <c r="H5164" s="14">
        <f t="shared" si="2"/>
        <v>4</v>
      </c>
      <c r="I5164" s="15">
        <f t="shared" si="3"/>
        <v>4</v>
      </c>
    </row>
    <row r="5165">
      <c r="A5165" s="8" t="str">
        <f>IFERROR(__xludf.DUMMYFUNCTION("IF('(INGESTA)Datos_consumo_datadis'!A5165&lt;&gt;"""",SPLIT('(INGESTA)Datos_consumo_datadis'!A:A,"",""),"""")"),"ES0031408323131005HX0F")</f>
        <v>ES0031408323131005HX0F</v>
      </c>
      <c r="B5165" s="12">
        <f>IFERROR(__xludf.DUMMYFUNCTION("""COMPUTED_VALUE"""),45081.0)</f>
        <v>45081</v>
      </c>
      <c r="C5165" s="13">
        <f>IFERROR(__xludf.DUMMYFUNCTION("""COMPUTED_VALUE"""),0.20833333333333334)</f>
        <v>0.2083333333</v>
      </c>
      <c r="D5165" s="8">
        <f>IFERROR(__xludf.DUMMYFUNCTION("""COMPUTED_VALUE"""),0.068)</f>
        <v>0.068</v>
      </c>
      <c r="E5165" s="8" t="str">
        <f>IFERROR(__xludf.DUMMYFUNCTION("""COMPUTED_VALUE"""),"Real")</f>
        <v>Real</v>
      </c>
      <c r="G5165" s="8">
        <f t="shared" si="1"/>
        <v>6</v>
      </c>
      <c r="H5165" s="14">
        <f t="shared" si="2"/>
        <v>4</v>
      </c>
      <c r="I5165" s="15">
        <f t="shared" si="3"/>
        <v>5</v>
      </c>
    </row>
    <row r="5166">
      <c r="A5166" s="8" t="str">
        <f>IFERROR(__xludf.DUMMYFUNCTION("IF('(INGESTA)Datos_consumo_datadis'!A5166&lt;&gt;"""",SPLIT('(INGESTA)Datos_consumo_datadis'!A:A,"",""),"""")"),"ES0031408323131005HX0F")</f>
        <v>ES0031408323131005HX0F</v>
      </c>
      <c r="B5166" s="12">
        <f>IFERROR(__xludf.DUMMYFUNCTION("""COMPUTED_VALUE"""),45081.0)</f>
        <v>45081</v>
      </c>
      <c r="C5166" s="13">
        <f>IFERROR(__xludf.DUMMYFUNCTION("""COMPUTED_VALUE"""),0.25)</f>
        <v>0.25</v>
      </c>
      <c r="D5166" s="8">
        <f>IFERROR(__xludf.DUMMYFUNCTION("""COMPUTED_VALUE"""),0.075)</f>
        <v>0.075</v>
      </c>
      <c r="E5166" s="8" t="str">
        <f>IFERROR(__xludf.DUMMYFUNCTION("""COMPUTED_VALUE"""),"Real")</f>
        <v>Real</v>
      </c>
      <c r="G5166" s="8">
        <f t="shared" si="1"/>
        <v>6</v>
      </c>
      <c r="H5166" s="14">
        <f t="shared" si="2"/>
        <v>4</v>
      </c>
      <c r="I5166" s="15">
        <f t="shared" si="3"/>
        <v>6</v>
      </c>
    </row>
    <row r="5167">
      <c r="A5167" s="8" t="str">
        <f>IFERROR(__xludf.DUMMYFUNCTION("IF('(INGESTA)Datos_consumo_datadis'!A5167&lt;&gt;"""",SPLIT('(INGESTA)Datos_consumo_datadis'!A:A,"",""),"""")"),"ES0031408323131005HX0F")</f>
        <v>ES0031408323131005HX0F</v>
      </c>
      <c r="B5167" s="12">
        <f>IFERROR(__xludf.DUMMYFUNCTION("""COMPUTED_VALUE"""),45081.0)</f>
        <v>45081</v>
      </c>
      <c r="C5167" s="13">
        <f>IFERROR(__xludf.DUMMYFUNCTION("""COMPUTED_VALUE"""),0.2916666666666667)</f>
        <v>0.2916666667</v>
      </c>
      <c r="D5167" s="8">
        <f>IFERROR(__xludf.DUMMYFUNCTION("""COMPUTED_VALUE"""),0.067)</f>
        <v>0.067</v>
      </c>
      <c r="E5167" s="8" t="str">
        <f>IFERROR(__xludf.DUMMYFUNCTION("""COMPUTED_VALUE"""),"Real")</f>
        <v>Real</v>
      </c>
      <c r="G5167" s="8">
        <f t="shared" si="1"/>
        <v>6</v>
      </c>
      <c r="H5167" s="14">
        <f t="shared" si="2"/>
        <v>4</v>
      </c>
      <c r="I5167" s="15">
        <f t="shared" si="3"/>
        <v>7</v>
      </c>
    </row>
    <row r="5168">
      <c r="A5168" s="8" t="str">
        <f>IFERROR(__xludf.DUMMYFUNCTION("IF('(INGESTA)Datos_consumo_datadis'!A5168&lt;&gt;"""",SPLIT('(INGESTA)Datos_consumo_datadis'!A:A,"",""),"""")"),"ES0031408323131005HX0F")</f>
        <v>ES0031408323131005HX0F</v>
      </c>
      <c r="B5168" s="12">
        <f>IFERROR(__xludf.DUMMYFUNCTION("""COMPUTED_VALUE"""),45081.0)</f>
        <v>45081</v>
      </c>
      <c r="C5168" s="13">
        <f>IFERROR(__xludf.DUMMYFUNCTION("""COMPUTED_VALUE"""),0.3333333333333333)</f>
        <v>0.3333333333</v>
      </c>
      <c r="D5168" s="8">
        <f>IFERROR(__xludf.DUMMYFUNCTION("""COMPUTED_VALUE"""),0.321)</f>
        <v>0.321</v>
      </c>
      <c r="E5168" s="8" t="str">
        <f>IFERROR(__xludf.DUMMYFUNCTION("""COMPUTED_VALUE"""),"Real")</f>
        <v>Real</v>
      </c>
      <c r="G5168" s="8">
        <f t="shared" si="1"/>
        <v>6</v>
      </c>
      <c r="H5168" s="14">
        <f t="shared" si="2"/>
        <v>4</v>
      </c>
      <c r="I5168" s="15">
        <f t="shared" si="3"/>
        <v>8</v>
      </c>
    </row>
    <row r="5169">
      <c r="A5169" s="8" t="str">
        <f>IFERROR(__xludf.DUMMYFUNCTION("IF('(INGESTA)Datos_consumo_datadis'!A5169&lt;&gt;"""",SPLIT('(INGESTA)Datos_consumo_datadis'!A:A,"",""),"""")"),"ES0031408323131005HX0F")</f>
        <v>ES0031408323131005HX0F</v>
      </c>
      <c r="B5169" s="12">
        <f>IFERROR(__xludf.DUMMYFUNCTION("""COMPUTED_VALUE"""),45081.0)</f>
        <v>45081</v>
      </c>
      <c r="C5169" s="13">
        <f>IFERROR(__xludf.DUMMYFUNCTION("""COMPUTED_VALUE"""),0.375)</f>
        <v>0.375</v>
      </c>
      <c r="D5169" s="8">
        <f>IFERROR(__xludf.DUMMYFUNCTION("""COMPUTED_VALUE"""),0.034)</f>
        <v>0.034</v>
      </c>
      <c r="E5169" s="8" t="str">
        <f>IFERROR(__xludf.DUMMYFUNCTION("""COMPUTED_VALUE"""),"Real")</f>
        <v>Real</v>
      </c>
      <c r="G5169" s="8">
        <f t="shared" si="1"/>
        <v>6</v>
      </c>
      <c r="H5169" s="14">
        <f t="shared" si="2"/>
        <v>4</v>
      </c>
      <c r="I5169" s="15">
        <f t="shared" si="3"/>
        <v>9</v>
      </c>
    </row>
    <row r="5170">
      <c r="A5170" s="8" t="str">
        <f>IFERROR(__xludf.DUMMYFUNCTION("IF('(INGESTA)Datos_consumo_datadis'!A5170&lt;&gt;"""",SPLIT('(INGESTA)Datos_consumo_datadis'!A:A,"",""),"""")"),"ES0031408323131005HX0F")</f>
        <v>ES0031408323131005HX0F</v>
      </c>
      <c r="B5170" s="12">
        <f>IFERROR(__xludf.DUMMYFUNCTION("""COMPUTED_VALUE"""),45081.0)</f>
        <v>45081</v>
      </c>
      <c r="C5170" s="13">
        <f>IFERROR(__xludf.DUMMYFUNCTION("""COMPUTED_VALUE"""),0.4166666666666667)</f>
        <v>0.4166666667</v>
      </c>
      <c r="D5170" s="8">
        <f>IFERROR(__xludf.DUMMYFUNCTION("""COMPUTED_VALUE"""),0.11)</f>
        <v>0.11</v>
      </c>
      <c r="E5170" s="8" t="str">
        <f>IFERROR(__xludf.DUMMYFUNCTION("""COMPUTED_VALUE"""),"Real")</f>
        <v>Real</v>
      </c>
      <c r="G5170" s="8">
        <f t="shared" si="1"/>
        <v>6</v>
      </c>
      <c r="H5170" s="14">
        <f t="shared" si="2"/>
        <v>4</v>
      </c>
      <c r="I5170" s="15">
        <f t="shared" si="3"/>
        <v>10</v>
      </c>
    </row>
    <row r="5171">
      <c r="A5171" s="8" t="str">
        <f>IFERROR(__xludf.DUMMYFUNCTION("IF('(INGESTA)Datos_consumo_datadis'!A5171&lt;&gt;"""",SPLIT('(INGESTA)Datos_consumo_datadis'!A:A,"",""),"""")"),"ES0031408323131005HX0F")</f>
        <v>ES0031408323131005HX0F</v>
      </c>
      <c r="B5171" s="12">
        <f>IFERROR(__xludf.DUMMYFUNCTION("""COMPUTED_VALUE"""),45081.0)</f>
        <v>45081</v>
      </c>
      <c r="C5171" s="13">
        <f>IFERROR(__xludf.DUMMYFUNCTION("""COMPUTED_VALUE"""),0.4583333333333333)</f>
        <v>0.4583333333</v>
      </c>
      <c r="D5171" s="8">
        <f>IFERROR(__xludf.DUMMYFUNCTION("""COMPUTED_VALUE"""),0.071)</f>
        <v>0.071</v>
      </c>
      <c r="E5171" s="8" t="str">
        <f>IFERROR(__xludf.DUMMYFUNCTION("""COMPUTED_VALUE"""),"Real")</f>
        <v>Real</v>
      </c>
      <c r="G5171" s="8">
        <f t="shared" si="1"/>
        <v>6</v>
      </c>
      <c r="H5171" s="14">
        <f t="shared" si="2"/>
        <v>4</v>
      </c>
      <c r="I5171" s="15">
        <f t="shared" si="3"/>
        <v>11</v>
      </c>
    </row>
    <row r="5172">
      <c r="A5172" s="8" t="str">
        <f>IFERROR(__xludf.DUMMYFUNCTION("IF('(INGESTA)Datos_consumo_datadis'!A5172&lt;&gt;"""",SPLIT('(INGESTA)Datos_consumo_datadis'!A:A,"",""),"""")"),"ES0031408323131005HX0F")</f>
        <v>ES0031408323131005HX0F</v>
      </c>
      <c r="B5172" s="12">
        <f>IFERROR(__xludf.DUMMYFUNCTION("""COMPUTED_VALUE"""),45081.0)</f>
        <v>45081</v>
      </c>
      <c r="C5172" s="13">
        <f>IFERROR(__xludf.DUMMYFUNCTION("""COMPUTED_VALUE"""),0.5)</f>
        <v>0.5</v>
      </c>
      <c r="D5172" s="8">
        <f>IFERROR(__xludf.DUMMYFUNCTION("""COMPUTED_VALUE"""),0.041)</f>
        <v>0.041</v>
      </c>
      <c r="E5172" s="8" t="str">
        <f>IFERROR(__xludf.DUMMYFUNCTION("""COMPUTED_VALUE"""),"Real")</f>
        <v>Real</v>
      </c>
      <c r="G5172" s="8">
        <f t="shared" si="1"/>
        <v>6</v>
      </c>
      <c r="H5172" s="14">
        <f t="shared" si="2"/>
        <v>4</v>
      </c>
      <c r="I5172" s="15">
        <f t="shared" si="3"/>
        <v>12</v>
      </c>
    </row>
    <row r="5173">
      <c r="A5173" s="8" t="str">
        <f>IFERROR(__xludf.DUMMYFUNCTION("IF('(INGESTA)Datos_consumo_datadis'!A5173&lt;&gt;"""",SPLIT('(INGESTA)Datos_consumo_datadis'!A:A,"",""),"""")"),"ES0031408323131005HX0F")</f>
        <v>ES0031408323131005HX0F</v>
      </c>
      <c r="B5173" s="12">
        <f>IFERROR(__xludf.DUMMYFUNCTION("""COMPUTED_VALUE"""),45081.0)</f>
        <v>45081</v>
      </c>
      <c r="C5173" s="13">
        <f>IFERROR(__xludf.DUMMYFUNCTION("""COMPUTED_VALUE"""),0.5416666666666666)</f>
        <v>0.5416666667</v>
      </c>
      <c r="D5173" s="8">
        <f>IFERROR(__xludf.DUMMYFUNCTION("""COMPUTED_VALUE"""),0.01)</f>
        <v>0.01</v>
      </c>
      <c r="E5173" s="8" t="str">
        <f>IFERROR(__xludf.DUMMYFUNCTION("""COMPUTED_VALUE"""),"Real")</f>
        <v>Real</v>
      </c>
      <c r="G5173" s="8">
        <f t="shared" si="1"/>
        <v>6</v>
      </c>
      <c r="H5173" s="14">
        <f t="shared" si="2"/>
        <v>4</v>
      </c>
      <c r="I5173" s="15">
        <f t="shared" si="3"/>
        <v>13</v>
      </c>
    </row>
    <row r="5174">
      <c r="A5174" s="8" t="str">
        <f>IFERROR(__xludf.DUMMYFUNCTION("IF('(INGESTA)Datos_consumo_datadis'!A5174&lt;&gt;"""",SPLIT('(INGESTA)Datos_consumo_datadis'!A:A,"",""),"""")"),"ES0031408323131005HX0F")</f>
        <v>ES0031408323131005HX0F</v>
      </c>
      <c r="B5174" s="12">
        <f>IFERROR(__xludf.DUMMYFUNCTION("""COMPUTED_VALUE"""),45081.0)</f>
        <v>45081</v>
      </c>
      <c r="C5174" s="13">
        <f>IFERROR(__xludf.DUMMYFUNCTION("""COMPUTED_VALUE"""),0.5833333333333334)</f>
        <v>0.5833333333</v>
      </c>
      <c r="D5174" s="8">
        <f>IFERROR(__xludf.DUMMYFUNCTION("""COMPUTED_VALUE"""),0.083)</f>
        <v>0.083</v>
      </c>
      <c r="E5174" s="8" t="str">
        <f>IFERROR(__xludf.DUMMYFUNCTION("""COMPUTED_VALUE"""),"Real")</f>
        <v>Real</v>
      </c>
      <c r="G5174" s="8">
        <f t="shared" si="1"/>
        <v>6</v>
      </c>
      <c r="H5174" s="14">
        <f t="shared" si="2"/>
        <v>4</v>
      </c>
      <c r="I5174" s="15">
        <f t="shared" si="3"/>
        <v>14</v>
      </c>
    </row>
    <row r="5175">
      <c r="A5175" s="8" t="str">
        <f>IFERROR(__xludf.DUMMYFUNCTION("IF('(INGESTA)Datos_consumo_datadis'!A5175&lt;&gt;"""",SPLIT('(INGESTA)Datos_consumo_datadis'!A:A,"",""),"""")"),"ES0031408323131005HX0F")</f>
        <v>ES0031408323131005HX0F</v>
      </c>
      <c r="B5175" s="12">
        <f>IFERROR(__xludf.DUMMYFUNCTION("""COMPUTED_VALUE"""),45081.0)</f>
        <v>45081</v>
      </c>
      <c r="C5175" s="13">
        <f>IFERROR(__xludf.DUMMYFUNCTION("""COMPUTED_VALUE"""),0.625)</f>
        <v>0.625</v>
      </c>
      <c r="D5175" s="8">
        <f>IFERROR(__xludf.DUMMYFUNCTION("""COMPUTED_VALUE"""),0.393)</f>
        <v>0.393</v>
      </c>
      <c r="E5175" s="8" t="str">
        <f>IFERROR(__xludf.DUMMYFUNCTION("""COMPUTED_VALUE"""),"Real")</f>
        <v>Real</v>
      </c>
      <c r="G5175" s="8">
        <f t="shared" si="1"/>
        <v>6</v>
      </c>
      <c r="H5175" s="14">
        <f t="shared" si="2"/>
        <v>4</v>
      </c>
      <c r="I5175" s="15">
        <f t="shared" si="3"/>
        <v>15</v>
      </c>
    </row>
    <row r="5176">
      <c r="A5176" s="8" t="str">
        <f>IFERROR(__xludf.DUMMYFUNCTION("IF('(INGESTA)Datos_consumo_datadis'!A5176&lt;&gt;"""",SPLIT('(INGESTA)Datos_consumo_datadis'!A:A,"",""),"""")"),"ES0031408323131005HX0F")</f>
        <v>ES0031408323131005HX0F</v>
      </c>
      <c r="B5176" s="12">
        <f>IFERROR(__xludf.DUMMYFUNCTION("""COMPUTED_VALUE"""),45081.0)</f>
        <v>45081</v>
      </c>
      <c r="C5176" s="13">
        <f>IFERROR(__xludf.DUMMYFUNCTION("""COMPUTED_VALUE"""),0.6666666666666666)</f>
        <v>0.6666666667</v>
      </c>
      <c r="D5176" s="8">
        <f>IFERROR(__xludf.DUMMYFUNCTION("""COMPUTED_VALUE"""),0.059)</f>
        <v>0.059</v>
      </c>
      <c r="E5176" s="8" t="str">
        <f>IFERROR(__xludf.DUMMYFUNCTION("""COMPUTED_VALUE"""),"Real")</f>
        <v>Real</v>
      </c>
      <c r="G5176" s="8">
        <f t="shared" si="1"/>
        <v>6</v>
      </c>
      <c r="H5176" s="14">
        <f t="shared" si="2"/>
        <v>4</v>
      </c>
      <c r="I5176" s="15">
        <f t="shared" si="3"/>
        <v>16</v>
      </c>
    </row>
    <row r="5177">
      <c r="A5177" s="8" t="str">
        <f>IFERROR(__xludf.DUMMYFUNCTION("IF('(INGESTA)Datos_consumo_datadis'!A5177&lt;&gt;"""",SPLIT('(INGESTA)Datos_consumo_datadis'!A:A,"",""),"""")"),"ES0031408323131005HX0F")</f>
        <v>ES0031408323131005HX0F</v>
      </c>
      <c r="B5177" s="12">
        <f>IFERROR(__xludf.DUMMYFUNCTION("""COMPUTED_VALUE"""),45081.0)</f>
        <v>45081</v>
      </c>
      <c r="C5177" s="13">
        <f>IFERROR(__xludf.DUMMYFUNCTION("""COMPUTED_VALUE"""),0.7083333333333334)</f>
        <v>0.7083333333</v>
      </c>
      <c r="D5177" s="8">
        <f>IFERROR(__xludf.DUMMYFUNCTION("""COMPUTED_VALUE"""),0.01)</f>
        <v>0.01</v>
      </c>
      <c r="E5177" s="8" t="str">
        <f>IFERROR(__xludf.DUMMYFUNCTION("""COMPUTED_VALUE"""),"Real")</f>
        <v>Real</v>
      </c>
      <c r="G5177" s="8">
        <f t="shared" si="1"/>
        <v>6</v>
      </c>
      <c r="H5177" s="14">
        <f t="shared" si="2"/>
        <v>4</v>
      </c>
      <c r="I5177" s="15">
        <f t="shared" si="3"/>
        <v>17</v>
      </c>
    </row>
    <row r="5178">
      <c r="A5178" s="8" t="str">
        <f>IFERROR(__xludf.DUMMYFUNCTION("IF('(INGESTA)Datos_consumo_datadis'!A5178&lt;&gt;"""",SPLIT('(INGESTA)Datos_consumo_datadis'!A:A,"",""),"""")"),"ES0031408323131005HX0F")</f>
        <v>ES0031408323131005HX0F</v>
      </c>
      <c r="B5178" s="12">
        <f>IFERROR(__xludf.DUMMYFUNCTION("""COMPUTED_VALUE"""),45081.0)</f>
        <v>45081</v>
      </c>
      <c r="C5178" s="13">
        <f>IFERROR(__xludf.DUMMYFUNCTION("""COMPUTED_VALUE"""),0.75)</f>
        <v>0.75</v>
      </c>
      <c r="D5178" s="8">
        <f>IFERROR(__xludf.DUMMYFUNCTION("""COMPUTED_VALUE"""),0.05)</f>
        <v>0.05</v>
      </c>
      <c r="E5178" s="8" t="str">
        <f>IFERROR(__xludf.DUMMYFUNCTION("""COMPUTED_VALUE"""),"Real")</f>
        <v>Real</v>
      </c>
      <c r="G5178" s="8">
        <f t="shared" si="1"/>
        <v>6</v>
      </c>
      <c r="H5178" s="14">
        <f t="shared" si="2"/>
        <v>4</v>
      </c>
      <c r="I5178" s="15">
        <f t="shared" si="3"/>
        <v>18</v>
      </c>
    </row>
    <row r="5179">
      <c r="A5179" s="8" t="str">
        <f>IFERROR(__xludf.DUMMYFUNCTION("IF('(INGESTA)Datos_consumo_datadis'!A5179&lt;&gt;"""",SPLIT('(INGESTA)Datos_consumo_datadis'!A:A,"",""),"""")"),"ES0031408323131005HX0F")</f>
        <v>ES0031408323131005HX0F</v>
      </c>
      <c r="B5179" s="12">
        <f>IFERROR(__xludf.DUMMYFUNCTION("""COMPUTED_VALUE"""),45081.0)</f>
        <v>45081</v>
      </c>
      <c r="C5179" s="13">
        <f>IFERROR(__xludf.DUMMYFUNCTION("""COMPUTED_VALUE"""),0.7916666666666666)</f>
        <v>0.7916666667</v>
      </c>
      <c r="D5179" s="8">
        <f>IFERROR(__xludf.DUMMYFUNCTION("""COMPUTED_VALUE"""),0.096)</f>
        <v>0.096</v>
      </c>
      <c r="E5179" s="8" t="str">
        <f>IFERROR(__xludf.DUMMYFUNCTION("""COMPUTED_VALUE"""),"Real")</f>
        <v>Real</v>
      </c>
      <c r="G5179" s="8">
        <f t="shared" si="1"/>
        <v>6</v>
      </c>
      <c r="H5179" s="14">
        <f t="shared" si="2"/>
        <v>4</v>
      </c>
      <c r="I5179" s="15">
        <f t="shared" si="3"/>
        <v>19</v>
      </c>
    </row>
    <row r="5180">
      <c r="A5180" s="8" t="str">
        <f>IFERROR(__xludf.DUMMYFUNCTION("IF('(INGESTA)Datos_consumo_datadis'!A5180&lt;&gt;"""",SPLIT('(INGESTA)Datos_consumo_datadis'!A:A,"",""),"""")"),"ES0031408323131005HX0F")</f>
        <v>ES0031408323131005HX0F</v>
      </c>
      <c r="B5180" s="12">
        <f>IFERROR(__xludf.DUMMYFUNCTION("""COMPUTED_VALUE"""),45081.0)</f>
        <v>45081</v>
      </c>
      <c r="C5180" s="13">
        <f>IFERROR(__xludf.DUMMYFUNCTION("""COMPUTED_VALUE"""),0.8333333333333334)</f>
        <v>0.8333333333</v>
      </c>
      <c r="D5180" s="8">
        <f>IFERROR(__xludf.DUMMYFUNCTION("""COMPUTED_VALUE"""),0.055)</f>
        <v>0.055</v>
      </c>
      <c r="E5180" s="8" t="str">
        <f>IFERROR(__xludf.DUMMYFUNCTION("""COMPUTED_VALUE"""),"Real")</f>
        <v>Real</v>
      </c>
      <c r="G5180" s="8">
        <f t="shared" si="1"/>
        <v>6</v>
      </c>
      <c r="H5180" s="14">
        <f t="shared" si="2"/>
        <v>4</v>
      </c>
      <c r="I5180" s="15">
        <f t="shared" si="3"/>
        <v>20</v>
      </c>
    </row>
    <row r="5181">
      <c r="A5181" s="8" t="str">
        <f>IFERROR(__xludf.DUMMYFUNCTION("IF('(INGESTA)Datos_consumo_datadis'!A5181&lt;&gt;"""",SPLIT('(INGESTA)Datos_consumo_datadis'!A:A,"",""),"""")"),"ES0031408323131005HX0F")</f>
        <v>ES0031408323131005HX0F</v>
      </c>
      <c r="B5181" s="12">
        <f>IFERROR(__xludf.DUMMYFUNCTION("""COMPUTED_VALUE"""),45081.0)</f>
        <v>45081</v>
      </c>
      <c r="C5181" s="13">
        <f>IFERROR(__xludf.DUMMYFUNCTION("""COMPUTED_VALUE"""),0.875)</f>
        <v>0.875</v>
      </c>
      <c r="D5181" s="8">
        <f>IFERROR(__xludf.DUMMYFUNCTION("""COMPUTED_VALUE"""),0.025)</f>
        <v>0.025</v>
      </c>
      <c r="E5181" s="8" t="str">
        <f>IFERROR(__xludf.DUMMYFUNCTION("""COMPUTED_VALUE"""),"Real")</f>
        <v>Real</v>
      </c>
      <c r="G5181" s="8">
        <f t="shared" si="1"/>
        <v>6</v>
      </c>
      <c r="H5181" s="14">
        <f t="shared" si="2"/>
        <v>4</v>
      </c>
      <c r="I5181" s="15">
        <f t="shared" si="3"/>
        <v>21</v>
      </c>
    </row>
    <row r="5182">
      <c r="A5182" s="8" t="str">
        <f>IFERROR(__xludf.DUMMYFUNCTION("IF('(INGESTA)Datos_consumo_datadis'!A5182&lt;&gt;"""",SPLIT('(INGESTA)Datos_consumo_datadis'!A:A,"",""),"""")"),"ES0031408323131005HX0F")</f>
        <v>ES0031408323131005HX0F</v>
      </c>
      <c r="B5182" s="12">
        <f>IFERROR(__xludf.DUMMYFUNCTION("""COMPUTED_VALUE"""),45081.0)</f>
        <v>45081</v>
      </c>
      <c r="C5182" s="13">
        <f>IFERROR(__xludf.DUMMYFUNCTION("""COMPUTED_VALUE"""),0.9166666666666666)</f>
        <v>0.9166666667</v>
      </c>
      <c r="D5182" s="8">
        <f>IFERROR(__xludf.DUMMYFUNCTION("""COMPUTED_VALUE"""),0.017)</f>
        <v>0.017</v>
      </c>
      <c r="E5182" s="8" t="str">
        <f>IFERROR(__xludf.DUMMYFUNCTION("""COMPUTED_VALUE"""),"Real")</f>
        <v>Real</v>
      </c>
      <c r="G5182" s="8">
        <f t="shared" si="1"/>
        <v>6</v>
      </c>
      <c r="H5182" s="14">
        <f t="shared" si="2"/>
        <v>4</v>
      </c>
      <c r="I5182" s="15">
        <f t="shared" si="3"/>
        <v>22</v>
      </c>
    </row>
    <row r="5183">
      <c r="A5183" s="8" t="str">
        <f>IFERROR(__xludf.DUMMYFUNCTION("IF('(INGESTA)Datos_consumo_datadis'!A5183&lt;&gt;"""",SPLIT('(INGESTA)Datos_consumo_datadis'!A:A,"",""),"""")"),"ES0031408323131005HX0F")</f>
        <v>ES0031408323131005HX0F</v>
      </c>
      <c r="B5183" s="12">
        <f>IFERROR(__xludf.DUMMYFUNCTION("""COMPUTED_VALUE"""),45081.0)</f>
        <v>45081</v>
      </c>
      <c r="C5183" s="13">
        <f>IFERROR(__xludf.DUMMYFUNCTION("""COMPUTED_VALUE"""),0.9583333333333334)</f>
        <v>0.9583333333</v>
      </c>
      <c r="D5183" s="8">
        <f>IFERROR(__xludf.DUMMYFUNCTION("""COMPUTED_VALUE"""),0.421)</f>
        <v>0.421</v>
      </c>
      <c r="E5183" s="8" t="str">
        <f>IFERROR(__xludf.DUMMYFUNCTION("""COMPUTED_VALUE"""),"Real")</f>
        <v>Real</v>
      </c>
      <c r="G5183" s="8">
        <f t="shared" si="1"/>
        <v>6</v>
      </c>
      <c r="H5183" s="14">
        <f t="shared" si="2"/>
        <v>4</v>
      </c>
      <c r="I5183" s="15">
        <f t="shared" si="3"/>
        <v>23</v>
      </c>
    </row>
    <row r="5184">
      <c r="A5184" s="8" t="str">
        <f>IFERROR(__xludf.DUMMYFUNCTION("IF('(INGESTA)Datos_consumo_datadis'!A5184&lt;&gt;"""",SPLIT('(INGESTA)Datos_consumo_datadis'!A:A,"",""),"""")"),"ES0031408323131005HX0F")</f>
        <v>ES0031408323131005HX0F</v>
      </c>
      <c r="B5184" s="12">
        <f>IFERROR(__xludf.DUMMYFUNCTION("""COMPUTED_VALUE"""),45081.0)</f>
        <v>45081</v>
      </c>
      <c r="C5184" s="16">
        <f>IFERROR(__xludf.DUMMYFUNCTION("""COMPUTED_VALUE"""),1.0)</f>
        <v>1</v>
      </c>
      <c r="D5184" s="8">
        <f>IFERROR(__xludf.DUMMYFUNCTION("""COMPUTED_VALUE"""),0.053)</f>
        <v>0.053</v>
      </c>
      <c r="E5184" s="8" t="str">
        <f>IFERROR(__xludf.DUMMYFUNCTION("""COMPUTED_VALUE"""),"Real")</f>
        <v>Real</v>
      </c>
      <c r="G5184" s="8">
        <f t="shared" si="1"/>
        <v>6</v>
      </c>
      <c r="H5184" s="14">
        <f t="shared" si="2"/>
        <v>4</v>
      </c>
      <c r="I5184" s="15">
        <f t="shared" si="3"/>
        <v>0</v>
      </c>
    </row>
    <row r="5185">
      <c r="A5185" s="8" t="str">
        <f>IFERROR(__xludf.DUMMYFUNCTION("IF('(INGESTA)Datos_consumo_datadis'!A5185&lt;&gt;"""",SPLIT('(INGESTA)Datos_consumo_datadis'!A:A,"",""),"""")"),"ES0031408323131005HX0F")</f>
        <v>ES0031408323131005HX0F</v>
      </c>
      <c r="B5185" s="12">
        <f>IFERROR(__xludf.DUMMYFUNCTION("""COMPUTED_VALUE"""),45082.0)</f>
        <v>45082</v>
      </c>
      <c r="C5185" s="13">
        <f>IFERROR(__xludf.DUMMYFUNCTION("""COMPUTED_VALUE"""),0.041666666666666664)</f>
        <v>0.04166666667</v>
      </c>
      <c r="D5185" s="8">
        <f>IFERROR(__xludf.DUMMYFUNCTION("""COMPUTED_VALUE"""),0.043)</f>
        <v>0.043</v>
      </c>
      <c r="E5185" s="8" t="str">
        <f>IFERROR(__xludf.DUMMYFUNCTION("""COMPUTED_VALUE"""),"Real")</f>
        <v>Real</v>
      </c>
      <c r="G5185" s="8">
        <f t="shared" si="1"/>
        <v>6</v>
      </c>
      <c r="H5185" s="14">
        <f t="shared" si="2"/>
        <v>5</v>
      </c>
      <c r="I5185" s="15">
        <f t="shared" si="3"/>
        <v>1</v>
      </c>
    </row>
    <row r="5186">
      <c r="A5186" s="8" t="str">
        <f>IFERROR(__xludf.DUMMYFUNCTION("IF('(INGESTA)Datos_consumo_datadis'!A5186&lt;&gt;"""",SPLIT('(INGESTA)Datos_consumo_datadis'!A:A,"",""),"""")"),"ES0031408323131005HX0F")</f>
        <v>ES0031408323131005HX0F</v>
      </c>
      <c r="B5186" s="12">
        <f>IFERROR(__xludf.DUMMYFUNCTION("""COMPUTED_VALUE"""),45082.0)</f>
        <v>45082</v>
      </c>
      <c r="C5186" s="13">
        <f>IFERROR(__xludf.DUMMYFUNCTION("""COMPUTED_VALUE"""),0.08333333333333333)</f>
        <v>0.08333333333</v>
      </c>
      <c r="D5186" s="8">
        <f>IFERROR(__xludf.DUMMYFUNCTION("""COMPUTED_VALUE"""),0.01)</f>
        <v>0.01</v>
      </c>
      <c r="E5186" s="8" t="str">
        <f>IFERROR(__xludf.DUMMYFUNCTION("""COMPUTED_VALUE"""),"Real")</f>
        <v>Real</v>
      </c>
      <c r="G5186" s="8">
        <f t="shared" si="1"/>
        <v>6</v>
      </c>
      <c r="H5186" s="14">
        <f t="shared" si="2"/>
        <v>5</v>
      </c>
      <c r="I5186" s="15">
        <f t="shared" si="3"/>
        <v>2</v>
      </c>
    </row>
    <row r="5187">
      <c r="A5187" s="8" t="str">
        <f>IFERROR(__xludf.DUMMYFUNCTION("IF('(INGESTA)Datos_consumo_datadis'!A5187&lt;&gt;"""",SPLIT('(INGESTA)Datos_consumo_datadis'!A:A,"",""),"""")"),"ES0031408323131005HX0F")</f>
        <v>ES0031408323131005HX0F</v>
      </c>
      <c r="B5187" s="12">
        <f>IFERROR(__xludf.DUMMYFUNCTION("""COMPUTED_VALUE"""),45082.0)</f>
        <v>45082</v>
      </c>
      <c r="C5187" s="13">
        <f>IFERROR(__xludf.DUMMYFUNCTION("""COMPUTED_VALUE"""),0.125)</f>
        <v>0.125</v>
      </c>
      <c r="D5187" s="8">
        <f>IFERROR(__xludf.DUMMYFUNCTION("""COMPUTED_VALUE"""),0.112)</f>
        <v>0.112</v>
      </c>
      <c r="E5187" s="8" t="str">
        <f>IFERROR(__xludf.DUMMYFUNCTION("""COMPUTED_VALUE"""),"Real")</f>
        <v>Real</v>
      </c>
      <c r="G5187" s="8">
        <f t="shared" si="1"/>
        <v>6</v>
      </c>
      <c r="H5187" s="14">
        <f t="shared" si="2"/>
        <v>5</v>
      </c>
      <c r="I5187" s="15">
        <f t="shared" si="3"/>
        <v>3</v>
      </c>
    </row>
    <row r="5188">
      <c r="A5188" s="8" t="str">
        <f>IFERROR(__xludf.DUMMYFUNCTION("IF('(INGESTA)Datos_consumo_datadis'!A5188&lt;&gt;"""",SPLIT('(INGESTA)Datos_consumo_datadis'!A:A,"",""),"""")"),"ES0031408323131005HX0F")</f>
        <v>ES0031408323131005HX0F</v>
      </c>
      <c r="B5188" s="12">
        <f>IFERROR(__xludf.DUMMYFUNCTION("""COMPUTED_VALUE"""),45082.0)</f>
        <v>45082</v>
      </c>
      <c r="C5188" s="13">
        <f>IFERROR(__xludf.DUMMYFUNCTION("""COMPUTED_VALUE"""),0.16666666666666666)</f>
        <v>0.1666666667</v>
      </c>
      <c r="D5188" s="8">
        <f>IFERROR(__xludf.DUMMYFUNCTION("""COMPUTED_VALUE"""),0.081)</f>
        <v>0.081</v>
      </c>
      <c r="E5188" s="8" t="str">
        <f>IFERROR(__xludf.DUMMYFUNCTION("""COMPUTED_VALUE"""),"Real")</f>
        <v>Real</v>
      </c>
      <c r="G5188" s="8">
        <f t="shared" si="1"/>
        <v>6</v>
      </c>
      <c r="H5188" s="14">
        <f t="shared" si="2"/>
        <v>5</v>
      </c>
      <c r="I5188" s="15">
        <f t="shared" si="3"/>
        <v>4</v>
      </c>
    </row>
    <row r="5189">
      <c r="A5189" s="8" t="str">
        <f>IFERROR(__xludf.DUMMYFUNCTION("IF('(INGESTA)Datos_consumo_datadis'!A5189&lt;&gt;"""",SPLIT('(INGESTA)Datos_consumo_datadis'!A:A,"",""),"""")"),"ES0031408323131005HX0F")</f>
        <v>ES0031408323131005HX0F</v>
      </c>
      <c r="B5189" s="12">
        <f>IFERROR(__xludf.DUMMYFUNCTION("""COMPUTED_VALUE"""),45082.0)</f>
        <v>45082</v>
      </c>
      <c r="C5189" s="13">
        <f>IFERROR(__xludf.DUMMYFUNCTION("""COMPUTED_VALUE"""),0.20833333333333334)</f>
        <v>0.2083333333</v>
      </c>
      <c r="D5189" s="8">
        <f>IFERROR(__xludf.DUMMYFUNCTION("""COMPUTED_VALUE"""),0.054)</f>
        <v>0.054</v>
      </c>
      <c r="E5189" s="8" t="str">
        <f>IFERROR(__xludf.DUMMYFUNCTION("""COMPUTED_VALUE"""),"Real")</f>
        <v>Real</v>
      </c>
      <c r="G5189" s="8">
        <f t="shared" si="1"/>
        <v>6</v>
      </c>
      <c r="H5189" s="14">
        <f t="shared" si="2"/>
        <v>5</v>
      </c>
      <c r="I5189" s="15">
        <f t="shared" si="3"/>
        <v>5</v>
      </c>
    </row>
    <row r="5190">
      <c r="A5190" s="8" t="str">
        <f>IFERROR(__xludf.DUMMYFUNCTION("IF('(INGESTA)Datos_consumo_datadis'!A5190&lt;&gt;"""",SPLIT('(INGESTA)Datos_consumo_datadis'!A:A,"",""),"""")"),"ES0031408323131005HX0F")</f>
        <v>ES0031408323131005HX0F</v>
      </c>
      <c r="B5190" s="12">
        <f>IFERROR(__xludf.DUMMYFUNCTION("""COMPUTED_VALUE"""),45082.0)</f>
        <v>45082</v>
      </c>
      <c r="C5190" s="13">
        <f>IFERROR(__xludf.DUMMYFUNCTION("""COMPUTED_VALUE"""),0.25)</f>
        <v>0.25</v>
      </c>
      <c r="D5190" s="8">
        <f>IFERROR(__xludf.DUMMYFUNCTION("""COMPUTED_VALUE"""),0.319)</f>
        <v>0.319</v>
      </c>
      <c r="E5190" s="8" t="str">
        <f>IFERROR(__xludf.DUMMYFUNCTION("""COMPUTED_VALUE"""),"Real")</f>
        <v>Real</v>
      </c>
      <c r="G5190" s="8">
        <f t="shared" si="1"/>
        <v>6</v>
      </c>
      <c r="H5190" s="14">
        <f t="shared" si="2"/>
        <v>5</v>
      </c>
      <c r="I5190" s="15">
        <f t="shared" si="3"/>
        <v>6</v>
      </c>
    </row>
    <row r="5191">
      <c r="A5191" s="8" t="str">
        <f>IFERROR(__xludf.DUMMYFUNCTION("IF('(INGESTA)Datos_consumo_datadis'!A5191&lt;&gt;"""",SPLIT('(INGESTA)Datos_consumo_datadis'!A:A,"",""),"""")"),"ES0031408323131005HX0F")</f>
        <v>ES0031408323131005HX0F</v>
      </c>
      <c r="B5191" s="12">
        <f>IFERROR(__xludf.DUMMYFUNCTION("""COMPUTED_VALUE"""),45082.0)</f>
        <v>45082</v>
      </c>
      <c r="C5191" s="13">
        <f>IFERROR(__xludf.DUMMYFUNCTION("""COMPUTED_VALUE"""),0.2916666666666667)</f>
        <v>0.2916666667</v>
      </c>
      <c r="D5191" s="8">
        <f>IFERROR(__xludf.DUMMYFUNCTION("""COMPUTED_VALUE"""),0.06)</f>
        <v>0.06</v>
      </c>
      <c r="E5191" s="8" t="str">
        <f>IFERROR(__xludf.DUMMYFUNCTION("""COMPUTED_VALUE"""),"Real")</f>
        <v>Real</v>
      </c>
      <c r="G5191" s="8">
        <f t="shared" si="1"/>
        <v>6</v>
      </c>
      <c r="H5191" s="14">
        <f t="shared" si="2"/>
        <v>5</v>
      </c>
      <c r="I5191" s="15">
        <f t="shared" si="3"/>
        <v>7</v>
      </c>
    </row>
    <row r="5192">
      <c r="A5192" s="8" t="str">
        <f>IFERROR(__xludf.DUMMYFUNCTION("IF('(INGESTA)Datos_consumo_datadis'!A5192&lt;&gt;"""",SPLIT('(INGESTA)Datos_consumo_datadis'!A:A,"",""),"""")"),"ES0031408323131005HX0F")</f>
        <v>ES0031408323131005HX0F</v>
      </c>
      <c r="B5192" s="12">
        <f>IFERROR(__xludf.DUMMYFUNCTION("""COMPUTED_VALUE"""),45082.0)</f>
        <v>45082</v>
      </c>
      <c r="C5192" s="13">
        <f>IFERROR(__xludf.DUMMYFUNCTION("""COMPUTED_VALUE"""),0.3333333333333333)</f>
        <v>0.3333333333</v>
      </c>
      <c r="D5192" s="8">
        <f>IFERROR(__xludf.DUMMYFUNCTION("""COMPUTED_VALUE"""),0.086)</f>
        <v>0.086</v>
      </c>
      <c r="E5192" s="8" t="str">
        <f>IFERROR(__xludf.DUMMYFUNCTION("""COMPUTED_VALUE"""),"Real")</f>
        <v>Real</v>
      </c>
      <c r="G5192" s="8">
        <f t="shared" si="1"/>
        <v>6</v>
      </c>
      <c r="H5192" s="14">
        <f t="shared" si="2"/>
        <v>5</v>
      </c>
      <c r="I5192" s="15">
        <f t="shared" si="3"/>
        <v>8</v>
      </c>
    </row>
    <row r="5193">
      <c r="A5193" s="8" t="str">
        <f>IFERROR(__xludf.DUMMYFUNCTION("IF('(INGESTA)Datos_consumo_datadis'!A5193&lt;&gt;"""",SPLIT('(INGESTA)Datos_consumo_datadis'!A:A,"",""),"""")"),"ES0031408323131005HX0F")</f>
        <v>ES0031408323131005HX0F</v>
      </c>
      <c r="B5193" s="12">
        <f>IFERROR(__xludf.DUMMYFUNCTION("""COMPUTED_VALUE"""),45082.0)</f>
        <v>45082</v>
      </c>
      <c r="C5193" s="13">
        <f>IFERROR(__xludf.DUMMYFUNCTION("""COMPUTED_VALUE"""),0.375)</f>
        <v>0.375</v>
      </c>
      <c r="D5193" s="8">
        <f>IFERROR(__xludf.DUMMYFUNCTION("""COMPUTED_VALUE"""),0.062)</f>
        <v>0.062</v>
      </c>
      <c r="E5193" s="8" t="str">
        <f>IFERROR(__xludf.DUMMYFUNCTION("""COMPUTED_VALUE"""),"Real")</f>
        <v>Real</v>
      </c>
      <c r="G5193" s="8">
        <f t="shared" si="1"/>
        <v>6</v>
      </c>
      <c r="H5193" s="14">
        <f t="shared" si="2"/>
        <v>5</v>
      </c>
      <c r="I5193" s="15">
        <f t="shared" si="3"/>
        <v>9</v>
      </c>
    </row>
    <row r="5194">
      <c r="A5194" s="8" t="str">
        <f>IFERROR(__xludf.DUMMYFUNCTION("IF('(INGESTA)Datos_consumo_datadis'!A5194&lt;&gt;"""",SPLIT('(INGESTA)Datos_consumo_datadis'!A:A,"",""),"""")"),"ES0031408323131005HX0F")</f>
        <v>ES0031408323131005HX0F</v>
      </c>
      <c r="B5194" s="12">
        <f>IFERROR(__xludf.DUMMYFUNCTION("""COMPUTED_VALUE"""),45082.0)</f>
        <v>45082</v>
      </c>
      <c r="C5194" s="13">
        <f>IFERROR(__xludf.DUMMYFUNCTION("""COMPUTED_VALUE"""),0.4166666666666667)</f>
        <v>0.4166666667</v>
      </c>
      <c r="D5194" s="8">
        <f>IFERROR(__xludf.DUMMYFUNCTION("""COMPUTED_VALUE"""),0.016)</f>
        <v>0.016</v>
      </c>
      <c r="E5194" s="8" t="str">
        <f>IFERROR(__xludf.DUMMYFUNCTION("""COMPUTED_VALUE"""),"Real")</f>
        <v>Real</v>
      </c>
      <c r="G5194" s="8">
        <f t="shared" si="1"/>
        <v>6</v>
      </c>
      <c r="H5194" s="14">
        <f t="shared" si="2"/>
        <v>5</v>
      </c>
      <c r="I5194" s="15">
        <f t="shared" si="3"/>
        <v>10</v>
      </c>
    </row>
    <row r="5195">
      <c r="A5195" s="8" t="str">
        <f>IFERROR(__xludf.DUMMYFUNCTION("IF('(INGESTA)Datos_consumo_datadis'!A5195&lt;&gt;"""",SPLIT('(INGESTA)Datos_consumo_datadis'!A:A,"",""),"""")"),"ES0031408323131005HX0F")</f>
        <v>ES0031408323131005HX0F</v>
      </c>
      <c r="B5195" s="12">
        <f>IFERROR(__xludf.DUMMYFUNCTION("""COMPUTED_VALUE"""),45082.0)</f>
        <v>45082</v>
      </c>
      <c r="C5195" s="13">
        <f>IFERROR(__xludf.DUMMYFUNCTION("""COMPUTED_VALUE"""),0.4583333333333333)</f>
        <v>0.4583333333</v>
      </c>
      <c r="D5195" s="8">
        <f>IFERROR(__xludf.DUMMYFUNCTION("""COMPUTED_VALUE"""),0.028)</f>
        <v>0.028</v>
      </c>
      <c r="E5195" s="8" t="str">
        <f>IFERROR(__xludf.DUMMYFUNCTION("""COMPUTED_VALUE"""),"Real")</f>
        <v>Real</v>
      </c>
      <c r="G5195" s="8">
        <f t="shared" si="1"/>
        <v>6</v>
      </c>
      <c r="H5195" s="14">
        <f t="shared" si="2"/>
        <v>5</v>
      </c>
      <c r="I5195" s="15">
        <f t="shared" si="3"/>
        <v>11</v>
      </c>
    </row>
    <row r="5196">
      <c r="A5196" s="8" t="str">
        <f>IFERROR(__xludf.DUMMYFUNCTION("IF('(INGESTA)Datos_consumo_datadis'!A5196&lt;&gt;"""",SPLIT('(INGESTA)Datos_consumo_datadis'!A:A,"",""),"""")"),"ES0031408323131005HX0F")</f>
        <v>ES0031408323131005HX0F</v>
      </c>
      <c r="B5196" s="12">
        <f>IFERROR(__xludf.DUMMYFUNCTION("""COMPUTED_VALUE"""),45082.0)</f>
        <v>45082</v>
      </c>
      <c r="C5196" s="13">
        <f>IFERROR(__xludf.DUMMYFUNCTION("""COMPUTED_VALUE"""),0.5)</f>
        <v>0.5</v>
      </c>
      <c r="D5196" s="8">
        <f>IFERROR(__xludf.DUMMYFUNCTION("""COMPUTED_VALUE"""),0.113)</f>
        <v>0.113</v>
      </c>
      <c r="E5196" s="8" t="str">
        <f>IFERROR(__xludf.DUMMYFUNCTION("""COMPUTED_VALUE"""),"Real")</f>
        <v>Real</v>
      </c>
      <c r="G5196" s="8">
        <f t="shared" si="1"/>
        <v>6</v>
      </c>
      <c r="H5196" s="14">
        <f t="shared" si="2"/>
        <v>5</v>
      </c>
      <c r="I5196" s="15">
        <f t="shared" si="3"/>
        <v>12</v>
      </c>
    </row>
    <row r="5197">
      <c r="A5197" s="8" t="str">
        <f>IFERROR(__xludf.DUMMYFUNCTION("IF('(INGESTA)Datos_consumo_datadis'!A5197&lt;&gt;"""",SPLIT('(INGESTA)Datos_consumo_datadis'!A:A,"",""),"""")"),"ES0031408323131005HX0F")</f>
        <v>ES0031408323131005HX0F</v>
      </c>
      <c r="B5197" s="12">
        <f>IFERROR(__xludf.DUMMYFUNCTION("""COMPUTED_VALUE"""),45082.0)</f>
        <v>45082</v>
      </c>
      <c r="C5197" s="13">
        <f>IFERROR(__xludf.DUMMYFUNCTION("""COMPUTED_VALUE"""),0.5416666666666666)</f>
        <v>0.5416666667</v>
      </c>
      <c r="D5197" s="8">
        <f>IFERROR(__xludf.DUMMYFUNCTION("""COMPUTED_VALUE"""),0.041)</f>
        <v>0.041</v>
      </c>
      <c r="E5197" s="8" t="str">
        <f>IFERROR(__xludf.DUMMYFUNCTION("""COMPUTED_VALUE"""),"Real")</f>
        <v>Real</v>
      </c>
      <c r="G5197" s="8">
        <f t="shared" si="1"/>
        <v>6</v>
      </c>
      <c r="H5197" s="14">
        <f t="shared" si="2"/>
        <v>5</v>
      </c>
      <c r="I5197" s="15">
        <f t="shared" si="3"/>
        <v>13</v>
      </c>
    </row>
    <row r="5198">
      <c r="A5198" s="8" t="str">
        <f>IFERROR(__xludf.DUMMYFUNCTION("IF('(INGESTA)Datos_consumo_datadis'!A5198&lt;&gt;"""",SPLIT('(INGESTA)Datos_consumo_datadis'!A:A,"",""),"""")"),"ES0031408323131005HX0F")</f>
        <v>ES0031408323131005HX0F</v>
      </c>
      <c r="B5198" s="12">
        <f>IFERROR(__xludf.DUMMYFUNCTION("""COMPUTED_VALUE"""),45082.0)</f>
        <v>45082</v>
      </c>
      <c r="C5198" s="13">
        <f>IFERROR(__xludf.DUMMYFUNCTION("""COMPUTED_VALUE"""),0.5833333333333334)</f>
        <v>0.5833333333</v>
      </c>
      <c r="D5198" s="8">
        <f>IFERROR(__xludf.DUMMYFUNCTION("""COMPUTED_VALUE"""),0.347)</f>
        <v>0.347</v>
      </c>
      <c r="E5198" s="8" t="str">
        <f>IFERROR(__xludf.DUMMYFUNCTION("""COMPUTED_VALUE"""),"Real")</f>
        <v>Real</v>
      </c>
      <c r="G5198" s="8">
        <f t="shared" si="1"/>
        <v>6</v>
      </c>
      <c r="H5198" s="14">
        <f t="shared" si="2"/>
        <v>5</v>
      </c>
      <c r="I5198" s="15">
        <f t="shared" si="3"/>
        <v>14</v>
      </c>
    </row>
    <row r="5199">
      <c r="A5199" s="8" t="str">
        <f>IFERROR(__xludf.DUMMYFUNCTION("IF('(INGESTA)Datos_consumo_datadis'!A5199&lt;&gt;"""",SPLIT('(INGESTA)Datos_consumo_datadis'!A:A,"",""),"""")"),"ES0031408323131005HX0F")</f>
        <v>ES0031408323131005HX0F</v>
      </c>
      <c r="B5199" s="12">
        <f>IFERROR(__xludf.DUMMYFUNCTION("""COMPUTED_VALUE"""),45082.0)</f>
        <v>45082</v>
      </c>
      <c r="C5199" s="13">
        <f>IFERROR(__xludf.DUMMYFUNCTION("""COMPUTED_VALUE"""),0.625)</f>
        <v>0.625</v>
      </c>
      <c r="D5199" s="8">
        <f>IFERROR(__xludf.DUMMYFUNCTION("""COMPUTED_VALUE"""),0.01)</f>
        <v>0.01</v>
      </c>
      <c r="E5199" s="8" t="str">
        <f>IFERROR(__xludf.DUMMYFUNCTION("""COMPUTED_VALUE"""),"Real")</f>
        <v>Real</v>
      </c>
      <c r="G5199" s="8">
        <f t="shared" si="1"/>
        <v>6</v>
      </c>
      <c r="H5199" s="14">
        <f t="shared" si="2"/>
        <v>5</v>
      </c>
      <c r="I5199" s="15">
        <f t="shared" si="3"/>
        <v>15</v>
      </c>
    </row>
    <row r="5200">
      <c r="A5200" s="8" t="str">
        <f>IFERROR(__xludf.DUMMYFUNCTION("IF('(INGESTA)Datos_consumo_datadis'!A5200&lt;&gt;"""",SPLIT('(INGESTA)Datos_consumo_datadis'!A:A,"",""),"""")"),"ES0031408323131005HX0F")</f>
        <v>ES0031408323131005HX0F</v>
      </c>
      <c r="B5200" s="12">
        <f>IFERROR(__xludf.DUMMYFUNCTION("""COMPUTED_VALUE"""),45082.0)</f>
        <v>45082</v>
      </c>
      <c r="C5200" s="13">
        <f>IFERROR(__xludf.DUMMYFUNCTION("""COMPUTED_VALUE"""),0.6666666666666666)</f>
        <v>0.6666666667</v>
      </c>
      <c r="D5200" s="8">
        <f>IFERROR(__xludf.DUMMYFUNCTION("""COMPUTED_VALUE"""),0.101)</f>
        <v>0.101</v>
      </c>
      <c r="E5200" s="8" t="str">
        <f>IFERROR(__xludf.DUMMYFUNCTION("""COMPUTED_VALUE"""),"Real")</f>
        <v>Real</v>
      </c>
      <c r="G5200" s="8">
        <f t="shared" si="1"/>
        <v>6</v>
      </c>
      <c r="H5200" s="14">
        <f t="shared" si="2"/>
        <v>5</v>
      </c>
      <c r="I5200" s="15">
        <f t="shared" si="3"/>
        <v>16</v>
      </c>
    </row>
    <row r="5201">
      <c r="A5201" s="8" t="str">
        <f>IFERROR(__xludf.DUMMYFUNCTION("IF('(INGESTA)Datos_consumo_datadis'!A5201&lt;&gt;"""",SPLIT('(INGESTA)Datos_consumo_datadis'!A:A,"",""),"""")"),"ES0031408323131005HX0F")</f>
        <v>ES0031408323131005HX0F</v>
      </c>
      <c r="B5201" s="12">
        <f>IFERROR(__xludf.DUMMYFUNCTION("""COMPUTED_VALUE"""),45082.0)</f>
        <v>45082</v>
      </c>
      <c r="C5201" s="13">
        <f>IFERROR(__xludf.DUMMYFUNCTION("""COMPUTED_VALUE"""),0.7083333333333334)</f>
        <v>0.7083333333</v>
      </c>
      <c r="D5201" s="8">
        <f>IFERROR(__xludf.DUMMYFUNCTION("""COMPUTED_VALUE"""),0.071)</f>
        <v>0.071</v>
      </c>
      <c r="E5201" s="8" t="str">
        <f>IFERROR(__xludf.DUMMYFUNCTION("""COMPUTED_VALUE"""),"Real")</f>
        <v>Real</v>
      </c>
      <c r="G5201" s="8">
        <f t="shared" si="1"/>
        <v>6</v>
      </c>
      <c r="H5201" s="14">
        <f t="shared" si="2"/>
        <v>5</v>
      </c>
      <c r="I5201" s="15">
        <f t="shared" si="3"/>
        <v>17</v>
      </c>
    </row>
    <row r="5202">
      <c r="A5202" s="8" t="str">
        <f>IFERROR(__xludf.DUMMYFUNCTION("IF('(INGESTA)Datos_consumo_datadis'!A5202&lt;&gt;"""",SPLIT('(INGESTA)Datos_consumo_datadis'!A:A,"",""),"""")"),"ES0031408323131005HX0F")</f>
        <v>ES0031408323131005HX0F</v>
      </c>
      <c r="B5202" s="12">
        <f>IFERROR(__xludf.DUMMYFUNCTION("""COMPUTED_VALUE"""),45082.0)</f>
        <v>45082</v>
      </c>
      <c r="C5202" s="13">
        <f>IFERROR(__xludf.DUMMYFUNCTION("""COMPUTED_VALUE"""),0.75)</f>
        <v>0.75</v>
      </c>
      <c r="D5202" s="8">
        <f>IFERROR(__xludf.DUMMYFUNCTION("""COMPUTED_VALUE"""),0.045)</f>
        <v>0.045</v>
      </c>
      <c r="E5202" s="8" t="str">
        <f>IFERROR(__xludf.DUMMYFUNCTION("""COMPUTED_VALUE"""),"Real")</f>
        <v>Real</v>
      </c>
      <c r="G5202" s="8">
        <f t="shared" si="1"/>
        <v>6</v>
      </c>
      <c r="H5202" s="14">
        <f t="shared" si="2"/>
        <v>5</v>
      </c>
      <c r="I5202" s="15">
        <f t="shared" si="3"/>
        <v>18</v>
      </c>
    </row>
    <row r="5203">
      <c r="A5203" s="8" t="str">
        <f>IFERROR(__xludf.DUMMYFUNCTION("IF('(INGESTA)Datos_consumo_datadis'!A5203&lt;&gt;"""",SPLIT('(INGESTA)Datos_consumo_datadis'!A:A,"",""),"""")"),"ES0031408323131005HX0F")</f>
        <v>ES0031408323131005HX0F</v>
      </c>
      <c r="B5203" s="12">
        <f>IFERROR(__xludf.DUMMYFUNCTION("""COMPUTED_VALUE"""),45082.0)</f>
        <v>45082</v>
      </c>
      <c r="C5203" s="13">
        <f>IFERROR(__xludf.DUMMYFUNCTION("""COMPUTED_VALUE"""),0.7916666666666666)</f>
        <v>0.7916666667</v>
      </c>
      <c r="D5203" s="8">
        <f>IFERROR(__xludf.DUMMYFUNCTION("""COMPUTED_VALUE"""),0.01)</f>
        <v>0.01</v>
      </c>
      <c r="E5203" s="8" t="str">
        <f>IFERROR(__xludf.DUMMYFUNCTION("""COMPUTED_VALUE"""),"Real")</f>
        <v>Real</v>
      </c>
      <c r="G5203" s="8">
        <f t="shared" si="1"/>
        <v>6</v>
      </c>
      <c r="H5203" s="14">
        <f t="shared" si="2"/>
        <v>5</v>
      </c>
      <c r="I5203" s="15">
        <f t="shared" si="3"/>
        <v>19</v>
      </c>
    </row>
    <row r="5204">
      <c r="A5204" s="8" t="str">
        <f>IFERROR(__xludf.DUMMYFUNCTION("IF('(INGESTA)Datos_consumo_datadis'!A5204&lt;&gt;"""",SPLIT('(INGESTA)Datos_consumo_datadis'!A:A,"",""),"""")"),"ES0031408323131005HX0F")</f>
        <v>ES0031408323131005HX0F</v>
      </c>
      <c r="B5204" s="12">
        <f>IFERROR(__xludf.DUMMYFUNCTION("""COMPUTED_VALUE"""),45082.0)</f>
        <v>45082</v>
      </c>
      <c r="C5204" s="13">
        <f>IFERROR(__xludf.DUMMYFUNCTION("""COMPUTED_VALUE"""),0.8333333333333334)</f>
        <v>0.8333333333</v>
      </c>
      <c r="D5204" s="8">
        <f>IFERROR(__xludf.DUMMYFUNCTION("""COMPUTED_VALUE"""),0.07)</f>
        <v>0.07</v>
      </c>
      <c r="E5204" s="8" t="str">
        <f>IFERROR(__xludf.DUMMYFUNCTION("""COMPUTED_VALUE"""),"Real")</f>
        <v>Real</v>
      </c>
      <c r="G5204" s="8">
        <f t="shared" si="1"/>
        <v>6</v>
      </c>
      <c r="H5204" s="14">
        <f t="shared" si="2"/>
        <v>5</v>
      </c>
      <c r="I5204" s="15">
        <f t="shared" si="3"/>
        <v>20</v>
      </c>
    </row>
    <row r="5205">
      <c r="A5205" s="8" t="str">
        <f>IFERROR(__xludf.DUMMYFUNCTION("IF('(INGESTA)Datos_consumo_datadis'!A5205&lt;&gt;"""",SPLIT('(INGESTA)Datos_consumo_datadis'!A:A,"",""),"""")"),"ES0031408323131005HX0F")</f>
        <v>ES0031408323131005HX0F</v>
      </c>
      <c r="B5205" s="12">
        <f>IFERROR(__xludf.DUMMYFUNCTION("""COMPUTED_VALUE"""),45082.0)</f>
        <v>45082</v>
      </c>
      <c r="C5205" s="13">
        <f>IFERROR(__xludf.DUMMYFUNCTION("""COMPUTED_VALUE"""),0.875)</f>
        <v>0.875</v>
      </c>
      <c r="D5205" s="8">
        <f>IFERROR(__xludf.DUMMYFUNCTION("""COMPUTED_VALUE"""),0.167)</f>
        <v>0.167</v>
      </c>
      <c r="E5205" s="8" t="str">
        <f>IFERROR(__xludf.DUMMYFUNCTION("""COMPUTED_VALUE"""),"Real")</f>
        <v>Real</v>
      </c>
      <c r="G5205" s="8">
        <f t="shared" si="1"/>
        <v>6</v>
      </c>
      <c r="H5205" s="14">
        <f t="shared" si="2"/>
        <v>5</v>
      </c>
      <c r="I5205" s="15">
        <f t="shared" si="3"/>
        <v>21</v>
      </c>
    </row>
    <row r="5206">
      <c r="A5206" s="8" t="str">
        <f>IFERROR(__xludf.DUMMYFUNCTION("IF('(INGESTA)Datos_consumo_datadis'!A5206&lt;&gt;"""",SPLIT('(INGESTA)Datos_consumo_datadis'!A:A,"",""),"""")"),"ES0031408323131005HX0F")</f>
        <v>ES0031408323131005HX0F</v>
      </c>
      <c r="B5206" s="12">
        <f>IFERROR(__xludf.DUMMYFUNCTION("""COMPUTED_VALUE"""),45082.0)</f>
        <v>45082</v>
      </c>
      <c r="C5206" s="13">
        <f>IFERROR(__xludf.DUMMYFUNCTION("""COMPUTED_VALUE"""),0.9166666666666666)</f>
        <v>0.9166666667</v>
      </c>
      <c r="D5206" s="8">
        <f>IFERROR(__xludf.DUMMYFUNCTION("""COMPUTED_VALUE"""),0.294)</f>
        <v>0.294</v>
      </c>
      <c r="E5206" s="8" t="str">
        <f>IFERROR(__xludf.DUMMYFUNCTION("""COMPUTED_VALUE"""),"Real")</f>
        <v>Real</v>
      </c>
      <c r="G5206" s="8">
        <f t="shared" si="1"/>
        <v>6</v>
      </c>
      <c r="H5206" s="14">
        <f t="shared" si="2"/>
        <v>5</v>
      </c>
      <c r="I5206" s="15">
        <f t="shared" si="3"/>
        <v>22</v>
      </c>
    </row>
    <row r="5207">
      <c r="A5207" s="8" t="str">
        <f>IFERROR(__xludf.DUMMYFUNCTION("IF('(INGESTA)Datos_consumo_datadis'!A5207&lt;&gt;"""",SPLIT('(INGESTA)Datos_consumo_datadis'!A:A,"",""),"""")"),"ES0031408323131005HX0F")</f>
        <v>ES0031408323131005HX0F</v>
      </c>
      <c r="B5207" s="12">
        <f>IFERROR(__xludf.DUMMYFUNCTION("""COMPUTED_VALUE"""),45082.0)</f>
        <v>45082</v>
      </c>
      <c r="C5207" s="13">
        <f>IFERROR(__xludf.DUMMYFUNCTION("""COMPUTED_VALUE"""),0.9583333333333334)</f>
        <v>0.9583333333</v>
      </c>
      <c r="D5207" s="8">
        <f>IFERROR(__xludf.DUMMYFUNCTION("""COMPUTED_VALUE"""),0.027)</f>
        <v>0.027</v>
      </c>
      <c r="E5207" s="8" t="str">
        <f>IFERROR(__xludf.DUMMYFUNCTION("""COMPUTED_VALUE"""),"Real")</f>
        <v>Real</v>
      </c>
      <c r="G5207" s="8">
        <f t="shared" si="1"/>
        <v>6</v>
      </c>
      <c r="H5207" s="14">
        <f t="shared" si="2"/>
        <v>5</v>
      </c>
      <c r="I5207" s="15">
        <f t="shared" si="3"/>
        <v>23</v>
      </c>
    </row>
    <row r="5208">
      <c r="A5208" s="8" t="str">
        <f>IFERROR(__xludf.DUMMYFUNCTION("IF('(INGESTA)Datos_consumo_datadis'!A5208&lt;&gt;"""",SPLIT('(INGESTA)Datos_consumo_datadis'!A:A,"",""),"""")"),"ES0031408323131005HX0F")</f>
        <v>ES0031408323131005HX0F</v>
      </c>
      <c r="B5208" s="12">
        <f>IFERROR(__xludf.DUMMYFUNCTION("""COMPUTED_VALUE"""),45082.0)</f>
        <v>45082</v>
      </c>
      <c r="C5208" s="16">
        <f>IFERROR(__xludf.DUMMYFUNCTION("""COMPUTED_VALUE"""),1.0)</f>
        <v>1</v>
      </c>
      <c r="D5208" s="8">
        <f>IFERROR(__xludf.DUMMYFUNCTION("""COMPUTED_VALUE"""),0.014)</f>
        <v>0.014</v>
      </c>
      <c r="E5208" s="8" t="str">
        <f>IFERROR(__xludf.DUMMYFUNCTION("""COMPUTED_VALUE"""),"Real")</f>
        <v>Real</v>
      </c>
      <c r="G5208" s="8">
        <f t="shared" si="1"/>
        <v>6</v>
      </c>
      <c r="H5208" s="14">
        <f t="shared" si="2"/>
        <v>5</v>
      </c>
      <c r="I5208" s="15">
        <f t="shared" si="3"/>
        <v>0</v>
      </c>
    </row>
    <row r="5209">
      <c r="A5209" s="8" t="str">
        <f>IFERROR(__xludf.DUMMYFUNCTION("IF('(INGESTA)Datos_consumo_datadis'!A5209&lt;&gt;"""",SPLIT('(INGESTA)Datos_consumo_datadis'!A:A,"",""),"""")"),"ES0031408323131005HX0F")</f>
        <v>ES0031408323131005HX0F</v>
      </c>
      <c r="B5209" s="12">
        <f>IFERROR(__xludf.DUMMYFUNCTION("""COMPUTED_VALUE"""),45083.0)</f>
        <v>45083</v>
      </c>
      <c r="C5209" s="13">
        <f>IFERROR(__xludf.DUMMYFUNCTION("""COMPUTED_VALUE"""),0.041666666666666664)</f>
        <v>0.04166666667</v>
      </c>
      <c r="D5209" s="8">
        <f>IFERROR(__xludf.DUMMYFUNCTION("""COMPUTED_VALUE"""),0.115)</f>
        <v>0.115</v>
      </c>
      <c r="E5209" s="8" t="str">
        <f>IFERROR(__xludf.DUMMYFUNCTION("""COMPUTED_VALUE"""),"Real")</f>
        <v>Real</v>
      </c>
      <c r="G5209" s="8">
        <f t="shared" si="1"/>
        <v>6</v>
      </c>
      <c r="H5209" s="14">
        <f t="shared" si="2"/>
        <v>6</v>
      </c>
      <c r="I5209" s="15">
        <f t="shared" si="3"/>
        <v>1</v>
      </c>
    </row>
    <row r="5210">
      <c r="A5210" s="8" t="str">
        <f>IFERROR(__xludf.DUMMYFUNCTION("IF('(INGESTA)Datos_consumo_datadis'!A5210&lt;&gt;"""",SPLIT('(INGESTA)Datos_consumo_datadis'!A:A,"",""),"""")"),"ES0031408323131005HX0F")</f>
        <v>ES0031408323131005HX0F</v>
      </c>
      <c r="B5210" s="12">
        <f>IFERROR(__xludf.DUMMYFUNCTION("""COMPUTED_VALUE"""),45083.0)</f>
        <v>45083</v>
      </c>
      <c r="C5210" s="13">
        <f>IFERROR(__xludf.DUMMYFUNCTION("""COMPUTED_VALUE"""),0.08333333333333333)</f>
        <v>0.08333333333</v>
      </c>
      <c r="D5210" s="8">
        <f>IFERROR(__xludf.DUMMYFUNCTION("""COMPUTED_VALUE"""),0.067)</f>
        <v>0.067</v>
      </c>
      <c r="E5210" s="8" t="str">
        <f>IFERROR(__xludf.DUMMYFUNCTION("""COMPUTED_VALUE"""),"Real")</f>
        <v>Real</v>
      </c>
      <c r="G5210" s="8">
        <f t="shared" si="1"/>
        <v>6</v>
      </c>
      <c r="H5210" s="14">
        <f t="shared" si="2"/>
        <v>6</v>
      </c>
      <c r="I5210" s="15">
        <f t="shared" si="3"/>
        <v>2</v>
      </c>
    </row>
    <row r="5211">
      <c r="A5211" s="8" t="str">
        <f>IFERROR(__xludf.DUMMYFUNCTION("IF('(INGESTA)Datos_consumo_datadis'!A5211&lt;&gt;"""",SPLIT('(INGESTA)Datos_consumo_datadis'!A:A,"",""),"""")"),"ES0031408323131005HX0F")</f>
        <v>ES0031408323131005HX0F</v>
      </c>
      <c r="B5211" s="12">
        <f>IFERROR(__xludf.DUMMYFUNCTION("""COMPUTED_VALUE"""),45083.0)</f>
        <v>45083</v>
      </c>
      <c r="C5211" s="13">
        <f>IFERROR(__xludf.DUMMYFUNCTION("""COMPUTED_VALUE"""),0.125)</f>
        <v>0.125</v>
      </c>
      <c r="D5211" s="8">
        <f>IFERROR(__xludf.DUMMYFUNCTION("""COMPUTED_VALUE"""),0.065)</f>
        <v>0.065</v>
      </c>
      <c r="E5211" s="8" t="str">
        <f>IFERROR(__xludf.DUMMYFUNCTION("""COMPUTED_VALUE"""),"Real")</f>
        <v>Real</v>
      </c>
      <c r="G5211" s="8">
        <f t="shared" si="1"/>
        <v>6</v>
      </c>
      <c r="H5211" s="14">
        <f t="shared" si="2"/>
        <v>6</v>
      </c>
      <c r="I5211" s="15">
        <f t="shared" si="3"/>
        <v>3</v>
      </c>
    </row>
    <row r="5212">
      <c r="A5212" s="8" t="str">
        <f>IFERROR(__xludf.DUMMYFUNCTION("IF('(INGESTA)Datos_consumo_datadis'!A5212&lt;&gt;"""",SPLIT('(INGESTA)Datos_consumo_datadis'!A:A,"",""),"""")"),"ES0031408323131005HX0F")</f>
        <v>ES0031408323131005HX0F</v>
      </c>
      <c r="B5212" s="12">
        <f>IFERROR(__xludf.DUMMYFUNCTION("""COMPUTED_VALUE"""),45083.0)</f>
        <v>45083</v>
      </c>
      <c r="C5212" s="13">
        <f>IFERROR(__xludf.DUMMYFUNCTION("""COMPUTED_VALUE"""),0.16666666666666666)</f>
        <v>0.1666666667</v>
      </c>
      <c r="D5212" s="8">
        <f>IFERROR(__xludf.DUMMYFUNCTION("""COMPUTED_VALUE"""),0.02)</f>
        <v>0.02</v>
      </c>
      <c r="E5212" s="8" t="str">
        <f>IFERROR(__xludf.DUMMYFUNCTION("""COMPUTED_VALUE"""),"Real")</f>
        <v>Real</v>
      </c>
      <c r="G5212" s="8">
        <f t="shared" si="1"/>
        <v>6</v>
      </c>
      <c r="H5212" s="14">
        <f t="shared" si="2"/>
        <v>6</v>
      </c>
      <c r="I5212" s="15">
        <f t="shared" si="3"/>
        <v>4</v>
      </c>
    </row>
    <row r="5213">
      <c r="A5213" s="8" t="str">
        <f>IFERROR(__xludf.DUMMYFUNCTION("IF('(INGESTA)Datos_consumo_datadis'!A5213&lt;&gt;"""",SPLIT('(INGESTA)Datos_consumo_datadis'!A:A,"",""),"""")"),"ES0031408323131005HX0F")</f>
        <v>ES0031408323131005HX0F</v>
      </c>
      <c r="B5213" s="12">
        <f>IFERROR(__xludf.DUMMYFUNCTION("""COMPUTED_VALUE"""),45083.0)</f>
        <v>45083</v>
      </c>
      <c r="C5213" s="13">
        <f>IFERROR(__xludf.DUMMYFUNCTION("""COMPUTED_VALUE"""),0.20833333333333334)</f>
        <v>0.2083333333</v>
      </c>
      <c r="D5213" s="8">
        <f>IFERROR(__xludf.DUMMYFUNCTION("""COMPUTED_VALUE"""),0.393)</f>
        <v>0.393</v>
      </c>
      <c r="E5213" s="8" t="str">
        <f>IFERROR(__xludf.DUMMYFUNCTION("""COMPUTED_VALUE"""),"Real")</f>
        <v>Real</v>
      </c>
      <c r="G5213" s="8">
        <f t="shared" si="1"/>
        <v>6</v>
      </c>
      <c r="H5213" s="14">
        <f t="shared" si="2"/>
        <v>6</v>
      </c>
      <c r="I5213" s="15">
        <f t="shared" si="3"/>
        <v>5</v>
      </c>
    </row>
    <row r="5214">
      <c r="A5214" s="8" t="str">
        <f>IFERROR(__xludf.DUMMYFUNCTION("IF('(INGESTA)Datos_consumo_datadis'!A5214&lt;&gt;"""",SPLIT('(INGESTA)Datos_consumo_datadis'!A:A,"",""),"""")"),"ES0031408323131005HX0F")</f>
        <v>ES0031408323131005HX0F</v>
      </c>
      <c r="B5214" s="12">
        <f>IFERROR(__xludf.DUMMYFUNCTION("""COMPUTED_VALUE"""),45083.0)</f>
        <v>45083</v>
      </c>
      <c r="C5214" s="13">
        <f>IFERROR(__xludf.DUMMYFUNCTION("""COMPUTED_VALUE"""),0.25)</f>
        <v>0.25</v>
      </c>
      <c r="D5214" s="8">
        <f>IFERROR(__xludf.DUMMYFUNCTION("""COMPUTED_VALUE"""),0.081)</f>
        <v>0.081</v>
      </c>
      <c r="E5214" s="8" t="str">
        <f>IFERROR(__xludf.DUMMYFUNCTION("""COMPUTED_VALUE"""),"Real")</f>
        <v>Real</v>
      </c>
      <c r="G5214" s="8">
        <f t="shared" si="1"/>
        <v>6</v>
      </c>
      <c r="H5214" s="14">
        <f t="shared" si="2"/>
        <v>6</v>
      </c>
      <c r="I5214" s="15">
        <f t="shared" si="3"/>
        <v>6</v>
      </c>
    </row>
    <row r="5215">
      <c r="A5215" s="8" t="str">
        <f>IFERROR(__xludf.DUMMYFUNCTION("IF('(INGESTA)Datos_consumo_datadis'!A5215&lt;&gt;"""",SPLIT('(INGESTA)Datos_consumo_datadis'!A:A,"",""),"""")"),"ES0031408323131005HX0F")</f>
        <v>ES0031408323131005HX0F</v>
      </c>
      <c r="B5215" s="12">
        <f>IFERROR(__xludf.DUMMYFUNCTION("""COMPUTED_VALUE"""),45083.0)</f>
        <v>45083</v>
      </c>
      <c r="C5215" s="13">
        <f>IFERROR(__xludf.DUMMYFUNCTION("""COMPUTED_VALUE"""),0.2916666666666667)</f>
        <v>0.2916666667</v>
      </c>
      <c r="D5215" s="8">
        <f>IFERROR(__xludf.DUMMYFUNCTION("""COMPUTED_VALUE"""),0.069)</f>
        <v>0.069</v>
      </c>
      <c r="E5215" s="8" t="str">
        <f>IFERROR(__xludf.DUMMYFUNCTION("""COMPUTED_VALUE"""),"Real")</f>
        <v>Real</v>
      </c>
      <c r="G5215" s="8">
        <f t="shared" si="1"/>
        <v>6</v>
      </c>
      <c r="H5215" s="14">
        <f t="shared" si="2"/>
        <v>6</v>
      </c>
      <c r="I5215" s="15">
        <f t="shared" si="3"/>
        <v>7</v>
      </c>
    </row>
    <row r="5216">
      <c r="A5216" s="8" t="str">
        <f>IFERROR(__xludf.DUMMYFUNCTION("IF('(INGESTA)Datos_consumo_datadis'!A5216&lt;&gt;"""",SPLIT('(INGESTA)Datos_consumo_datadis'!A:A,"",""),"""")"),"ES0031408323131005HX0F")</f>
        <v>ES0031408323131005HX0F</v>
      </c>
      <c r="B5216" s="12">
        <f>IFERROR(__xludf.DUMMYFUNCTION("""COMPUTED_VALUE"""),45083.0)</f>
        <v>45083</v>
      </c>
      <c r="C5216" s="13">
        <f>IFERROR(__xludf.DUMMYFUNCTION("""COMPUTED_VALUE"""),0.3333333333333333)</f>
        <v>0.3333333333</v>
      </c>
      <c r="D5216" s="8">
        <f>IFERROR(__xludf.DUMMYFUNCTION("""COMPUTED_VALUE"""),0.01)</f>
        <v>0.01</v>
      </c>
      <c r="E5216" s="8" t="str">
        <f>IFERROR(__xludf.DUMMYFUNCTION("""COMPUTED_VALUE"""),"Real")</f>
        <v>Real</v>
      </c>
      <c r="G5216" s="8">
        <f t="shared" si="1"/>
        <v>6</v>
      </c>
      <c r="H5216" s="14">
        <f t="shared" si="2"/>
        <v>6</v>
      </c>
      <c r="I5216" s="15">
        <f t="shared" si="3"/>
        <v>8</v>
      </c>
    </row>
    <row r="5217">
      <c r="A5217" s="8" t="str">
        <f>IFERROR(__xludf.DUMMYFUNCTION("IF('(INGESTA)Datos_consumo_datadis'!A5217&lt;&gt;"""",SPLIT('(INGESTA)Datos_consumo_datadis'!A:A,"",""),"""")"),"ES0031408323131005HX0F")</f>
        <v>ES0031408323131005HX0F</v>
      </c>
      <c r="B5217" s="12">
        <f>IFERROR(__xludf.DUMMYFUNCTION("""COMPUTED_VALUE"""),45083.0)</f>
        <v>45083</v>
      </c>
      <c r="C5217" s="13">
        <f>IFERROR(__xludf.DUMMYFUNCTION("""COMPUTED_VALUE"""),0.375)</f>
        <v>0.375</v>
      </c>
      <c r="D5217" s="8">
        <f>IFERROR(__xludf.DUMMYFUNCTION("""COMPUTED_VALUE"""),0.037)</f>
        <v>0.037</v>
      </c>
      <c r="E5217" s="8" t="str">
        <f>IFERROR(__xludf.DUMMYFUNCTION("""COMPUTED_VALUE"""),"Real")</f>
        <v>Real</v>
      </c>
      <c r="G5217" s="8">
        <f t="shared" si="1"/>
        <v>6</v>
      </c>
      <c r="H5217" s="14">
        <f t="shared" si="2"/>
        <v>6</v>
      </c>
      <c r="I5217" s="15">
        <f t="shared" si="3"/>
        <v>9</v>
      </c>
    </row>
    <row r="5218">
      <c r="A5218" s="8" t="str">
        <f>IFERROR(__xludf.DUMMYFUNCTION("IF('(INGESTA)Datos_consumo_datadis'!A5218&lt;&gt;"""",SPLIT('(INGESTA)Datos_consumo_datadis'!A:A,"",""),"""")"),"ES0031408323131005HX0F")</f>
        <v>ES0031408323131005HX0F</v>
      </c>
      <c r="B5218" s="12">
        <f>IFERROR(__xludf.DUMMYFUNCTION("""COMPUTED_VALUE"""),45083.0)</f>
        <v>45083</v>
      </c>
      <c r="C5218" s="13">
        <f>IFERROR(__xludf.DUMMYFUNCTION("""COMPUTED_VALUE"""),0.4166666666666667)</f>
        <v>0.4166666667</v>
      </c>
      <c r="D5218" s="8">
        <f>IFERROR(__xludf.DUMMYFUNCTION("""COMPUTED_VALUE"""),0.112)</f>
        <v>0.112</v>
      </c>
      <c r="E5218" s="8" t="str">
        <f>IFERROR(__xludf.DUMMYFUNCTION("""COMPUTED_VALUE"""),"Real")</f>
        <v>Real</v>
      </c>
      <c r="G5218" s="8">
        <f t="shared" si="1"/>
        <v>6</v>
      </c>
      <c r="H5218" s="14">
        <f t="shared" si="2"/>
        <v>6</v>
      </c>
      <c r="I5218" s="15">
        <f t="shared" si="3"/>
        <v>10</v>
      </c>
    </row>
    <row r="5219">
      <c r="A5219" s="8" t="str">
        <f>IFERROR(__xludf.DUMMYFUNCTION("IF('(INGESTA)Datos_consumo_datadis'!A5219&lt;&gt;"""",SPLIT('(INGESTA)Datos_consumo_datadis'!A:A,"",""),"""")"),"ES0031408323131005HX0F")</f>
        <v>ES0031408323131005HX0F</v>
      </c>
      <c r="B5219" s="12">
        <f>IFERROR(__xludf.DUMMYFUNCTION("""COMPUTED_VALUE"""),45083.0)</f>
        <v>45083</v>
      </c>
      <c r="C5219" s="13">
        <f>IFERROR(__xludf.DUMMYFUNCTION("""COMPUTED_VALUE"""),0.4583333333333333)</f>
        <v>0.4583333333</v>
      </c>
      <c r="D5219" s="8">
        <f>IFERROR(__xludf.DUMMYFUNCTION("""COMPUTED_VALUE"""),0.045)</f>
        <v>0.045</v>
      </c>
      <c r="E5219" s="8" t="str">
        <f>IFERROR(__xludf.DUMMYFUNCTION("""COMPUTED_VALUE"""),"Real")</f>
        <v>Real</v>
      </c>
      <c r="G5219" s="8">
        <f t="shared" si="1"/>
        <v>6</v>
      </c>
      <c r="H5219" s="14">
        <f t="shared" si="2"/>
        <v>6</v>
      </c>
      <c r="I5219" s="15">
        <f t="shared" si="3"/>
        <v>11</v>
      </c>
    </row>
    <row r="5220">
      <c r="A5220" s="8" t="str">
        <f>IFERROR(__xludf.DUMMYFUNCTION("IF('(INGESTA)Datos_consumo_datadis'!A5220&lt;&gt;"""",SPLIT('(INGESTA)Datos_consumo_datadis'!A:A,"",""),"""")"),"ES0031408323131005HX0F")</f>
        <v>ES0031408323131005HX0F</v>
      </c>
      <c r="B5220" s="12">
        <f>IFERROR(__xludf.DUMMYFUNCTION("""COMPUTED_VALUE"""),45083.0)</f>
        <v>45083</v>
      </c>
      <c r="C5220" s="13">
        <f>IFERROR(__xludf.DUMMYFUNCTION("""COMPUTED_VALUE"""),0.5)</f>
        <v>0.5</v>
      </c>
      <c r="D5220" s="8">
        <f>IFERROR(__xludf.DUMMYFUNCTION("""COMPUTED_VALUE"""),0.044)</f>
        <v>0.044</v>
      </c>
      <c r="E5220" s="8" t="str">
        <f>IFERROR(__xludf.DUMMYFUNCTION("""COMPUTED_VALUE"""),"Real")</f>
        <v>Real</v>
      </c>
      <c r="G5220" s="8">
        <f t="shared" si="1"/>
        <v>6</v>
      </c>
      <c r="H5220" s="14">
        <f t="shared" si="2"/>
        <v>6</v>
      </c>
      <c r="I5220" s="15">
        <f t="shared" si="3"/>
        <v>12</v>
      </c>
    </row>
    <row r="5221">
      <c r="A5221" s="8" t="str">
        <f>IFERROR(__xludf.DUMMYFUNCTION("IF('(INGESTA)Datos_consumo_datadis'!A5221&lt;&gt;"""",SPLIT('(INGESTA)Datos_consumo_datadis'!A:A,"",""),"""")"),"ES0031408323131005HX0F")</f>
        <v>ES0031408323131005HX0F</v>
      </c>
      <c r="B5221" s="12">
        <f>IFERROR(__xludf.DUMMYFUNCTION("""COMPUTED_VALUE"""),45083.0)</f>
        <v>45083</v>
      </c>
      <c r="C5221" s="13">
        <f>IFERROR(__xludf.DUMMYFUNCTION("""COMPUTED_VALUE"""),0.5416666666666666)</f>
        <v>0.5416666667</v>
      </c>
      <c r="D5221" s="8">
        <f>IFERROR(__xludf.DUMMYFUNCTION("""COMPUTED_VALUE"""),0.316)</f>
        <v>0.316</v>
      </c>
      <c r="E5221" s="8" t="str">
        <f>IFERROR(__xludf.DUMMYFUNCTION("""COMPUTED_VALUE"""),"Real")</f>
        <v>Real</v>
      </c>
      <c r="G5221" s="8">
        <f t="shared" si="1"/>
        <v>6</v>
      </c>
      <c r="H5221" s="14">
        <f t="shared" si="2"/>
        <v>6</v>
      </c>
      <c r="I5221" s="15">
        <f t="shared" si="3"/>
        <v>13</v>
      </c>
    </row>
    <row r="5222">
      <c r="A5222" s="8" t="str">
        <f>IFERROR(__xludf.DUMMYFUNCTION("IF('(INGESTA)Datos_consumo_datadis'!A5222&lt;&gt;"""",SPLIT('(INGESTA)Datos_consumo_datadis'!A:A,"",""),"""")"),"ES0031408323131005HX0F")</f>
        <v>ES0031408323131005HX0F</v>
      </c>
      <c r="B5222" s="12">
        <f>IFERROR(__xludf.DUMMYFUNCTION("""COMPUTED_VALUE"""),45083.0)</f>
        <v>45083</v>
      </c>
      <c r="C5222" s="13">
        <f>IFERROR(__xludf.DUMMYFUNCTION("""COMPUTED_VALUE"""),0.5833333333333334)</f>
        <v>0.5833333333</v>
      </c>
      <c r="D5222" s="8">
        <f>IFERROR(__xludf.DUMMYFUNCTION("""COMPUTED_VALUE"""),0.092)</f>
        <v>0.092</v>
      </c>
      <c r="E5222" s="8" t="str">
        <f>IFERROR(__xludf.DUMMYFUNCTION("""COMPUTED_VALUE"""),"Real")</f>
        <v>Real</v>
      </c>
      <c r="G5222" s="8">
        <f t="shared" si="1"/>
        <v>6</v>
      </c>
      <c r="H5222" s="14">
        <f t="shared" si="2"/>
        <v>6</v>
      </c>
      <c r="I5222" s="15">
        <f t="shared" si="3"/>
        <v>14</v>
      </c>
    </row>
    <row r="5223">
      <c r="A5223" s="8" t="str">
        <f>IFERROR(__xludf.DUMMYFUNCTION("IF('(INGESTA)Datos_consumo_datadis'!A5223&lt;&gt;"""",SPLIT('(INGESTA)Datos_consumo_datadis'!A:A,"",""),"""")"),"ES0031408323131005HX0F")</f>
        <v>ES0031408323131005HX0F</v>
      </c>
      <c r="B5223" s="12">
        <f>IFERROR(__xludf.DUMMYFUNCTION("""COMPUTED_VALUE"""),45083.0)</f>
        <v>45083</v>
      </c>
      <c r="C5223" s="13">
        <f>IFERROR(__xludf.DUMMYFUNCTION("""COMPUTED_VALUE"""),0.625)</f>
        <v>0.625</v>
      </c>
      <c r="D5223" s="8">
        <f>IFERROR(__xludf.DUMMYFUNCTION("""COMPUTED_VALUE"""),0.092)</f>
        <v>0.092</v>
      </c>
      <c r="E5223" s="8" t="str">
        <f>IFERROR(__xludf.DUMMYFUNCTION("""COMPUTED_VALUE"""),"Real")</f>
        <v>Real</v>
      </c>
      <c r="G5223" s="8">
        <f t="shared" si="1"/>
        <v>6</v>
      </c>
      <c r="H5223" s="14">
        <f t="shared" si="2"/>
        <v>6</v>
      </c>
      <c r="I5223" s="15">
        <f t="shared" si="3"/>
        <v>15</v>
      </c>
    </row>
    <row r="5224">
      <c r="A5224" s="8" t="str">
        <f>IFERROR(__xludf.DUMMYFUNCTION("IF('(INGESTA)Datos_consumo_datadis'!A5224&lt;&gt;"""",SPLIT('(INGESTA)Datos_consumo_datadis'!A:A,"",""),"""")"),"ES0031408323131005HX0F")</f>
        <v>ES0031408323131005HX0F</v>
      </c>
      <c r="B5224" s="12">
        <f>IFERROR(__xludf.DUMMYFUNCTION("""COMPUTED_VALUE"""),45083.0)</f>
        <v>45083</v>
      </c>
      <c r="C5224" s="13">
        <f>IFERROR(__xludf.DUMMYFUNCTION("""COMPUTED_VALUE"""),0.6666666666666666)</f>
        <v>0.6666666667</v>
      </c>
      <c r="D5224" s="8">
        <f>IFERROR(__xludf.DUMMYFUNCTION("""COMPUTED_VALUE"""),0.065)</f>
        <v>0.065</v>
      </c>
      <c r="E5224" s="8" t="str">
        <f>IFERROR(__xludf.DUMMYFUNCTION("""COMPUTED_VALUE"""),"Real")</f>
        <v>Real</v>
      </c>
      <c r="G5224" s="8">
        <f t="shared" si="1"/>
        <v>6</v>
      </c>
      <c r="H5224" s="14">
        <f t="shared" si="2"/>
        <v>6</v>
      </c>
      <c r="I5224" s="15">
        <f t="shared" si="3"/>
        <v>16</v>
      </c>
    </row>
    <row r="5225">
      <c r="A5225" s="8" t="str">
        <f>IFERROR(__xludf.DUMMYFUNCTION("IF('(INGESTA)Datos_consumo_datadis'!A5225&lt;&gt;"""",SPLIT('(INGESTA)Datos_consumo_datadis'!A:A,"",""),"""")"),"ES0031408323131005HX0F")</f>
        <v>ES0031408323131005HX0F</v>
      </c>
      <c r="B5225" s="12">
        <f>IFERROR(__xludf.DUMMYFUNCTION("""COMPUTED_VALUE"""),45083.0)</f>
        <v>45083</v>
      </c>
      <c r="C5225" s="13">
        <f>IFERROR(__xludf.DUMMYFUNCTION("""COMPUTED_VALUE"""),0.7083333333333334)</f>
        <v>0.7083333333</v>
      </c>
      <c r="D5225" s="8">
        <f>IFERROR(__xludf.DUMMYFUNCTION("""COMPUTED_VALUE"""),0.035)</f>
        <v>0.035</v>
      </c>
      <c r="E5225" s="8" t="str">
        <f>IFERROR(__xludf.DUMMYFUNCTION("""COMPUTED_VALUE"""),"Real")</f>
        <v>Real</v>
      </c>
      <c r="G5225" s="8">
        <f t="shared" si="1"/>
        <v>6</v>
      </c>
      <c r="H5225" s="14">
        <f t="shared" si="2"/>
        <v>6</v>
      </c>
      <c r="I5225" s="15">
        <f t="shared" si="3"/>
        <v>17</v>
      </c>
    </row>
    <row r="5226">
      <c r="A5226" s="8" t="str">
        <f>IFERROR(__xludf.DUMMYFUNCTION("IF('(INGESTA)Datos_consumo_datadis'!A5226&lt;&gt;"""",SPLIT('(INGESTA)Datos_consumo_datadis'!A:A,"",""),"""")"),"ES0031408323131005HX0F")</f>
        <v>ES0031408323131005HX0F</v>
      </c>
      <c r="B5226" s="12">
        <f>IFERROR(__xludf.DUMMYFUNCTION("""COMPUTED_VALUE"""),45083.0)</f>
        <v>45083</v>
      </c>
      <c r="C5226" s="13">
        <f>IFERROR(__xludf.DUMMYFUNCTION("""COMPUTED_VALUE"""),0.75)</f>
        <v>0.75</v>
      </c>
      <c r="D5226" s="8">
        <f>IFERROR(__xludf.DUMMYFUNCTION("""COMPUTED_VALUE"""),0.014)</f>
        <v>0.014</v>
      </c>
      <c r="E5226" s="8" t="str">
        <f>IFERROR(__xludf.DUMMYFUNCTION("""COMPUTED_VALUE"""),"Real")</f>
        <v>Real</v>
      </c>
      <c r="G5226" s="8">
        <f t="shared" si="1"/>
        <v>6</v>
      </c>
      <c r="H5226" s="14">
        <f t="shared" si="2"/>
        <v>6</v>
      </c>
      <c r="I5226" s="15">
        <f t="shared" si="3"/>
        <v>18</v>
      </c>
    </row>
    <row r="5227">
      <c r="A5227" s="8" t="str">
        <f>IFERROR(__xludf.DUMMYFUNCTION("IF('(INGESTA)Datos_consumo_datadis'!A5227&lt;&gt;"""",SPLIT('(INGESTA)Datos_consumo_datadis'!A:A,"",""),"""")"),"ES0031408323131005HX0F")</f>
        <v>ES0031408323131005HX0F</v>
      </c>
      <c r="B5227" s="12">
        <f>IFERROR(__xludf.DUMMYFUNCTION("""COMPUTED_VALUE"""),45083.0)</f>
        <v>45083</v>
      </c>
      <c r="C5227" s="13">
        <f>IFERROR(__xludf.DUMMYFUNCTION("""COMPUTED_VALUE"""),0.7916666666666666)</f>
        <v>0.7916666667</v>
      </c>
      <c r="D5227" s="8">
        <f>IFERROR(__xludf.DUMMYFUNCTION("""COMPUTED_VALUE"""),0.114)</f>
        <v>0.114</v>
      </c>
      <c r="E5227" s="8" t="str">
        <f>IFERROR(__xludf.DUMMYFUNCTION("""COMPUTED_VALUE"""),"Real")</f>
        <v>Real</v>
      </c>
      <c r="G5227" s="8">
        <f t="shared" si="1"/>
        <v>6</v>
      </c>
      <c r="H5227" s="14">
        <f t="shared" si="2"/>
        <v>6</v>
      </c>
      <c r="I5227" s="15">
        <f t="shared" si="3"/>
        <v>19</v>
      </c>
    </row>
    <row r="5228">
      <c r="A5228" s="8" t="str">
        <f>IFERROR(__xludf.DUMMYFUNCTION("IF('(INGESTA)Datos_consumo_datadis'!A5228&lt;&gt;"""",SPLIT('(INGESTA)Datos_consumo_datadis'!A:A,"",""),"""")"),"ES0031408323131005HX0F")</f>
        <v>ES0031408323131005HX0F</v>
      </c>
      <c r="B5228" s="12">
        <f>IFERROR(__xludf.DUMMYFUNCTION("""COMPUTED_VALUE"""),45083.0)</f>
        <v>45083</v>
      </c>
      <c r="C5228" s="13">
        <f>IFERROR(__xludf.DUMMYFUNCTION("""COMPUTED_VALUE"""),0.8333333333333334)</f>
        <v>0.8333333333</v>
      </c>
      <c r="D5228" s="8">
        <f>IFERROR(__xludf.DUMMYFUNCTION("""COMPUTED_VALUE"""),0.063)</f>
        <v>0.063</v>
      </c>
      <c r="E5228" s="8" t="str">
        <f>IFERROR(__xludf.DUMMYFUNCTION("""COMPUTED_VALUE"""),"Real")</f>
        <v>Real</v>
      </c>
      <c r="G5228" s="8">
        <f t="shared" si="1"/>
        <v>6</v>
      </c>
      <c r="H5228" s="14">
        <f t="shared" si="2"/>
        <v>6</v>
      </c>
      <c r="I5228" s="15">
        <f t="shared" si="3"/>
        <v>20</v>
      </c>
    </row>
    <row r="5229">
      <c r="A5229" s="8" t="str">
        <f>IFERROR(__xludf.DUMMYFUNCTION("IF('(INGESTA)Datos_consumo_datadis'!A5229&lt;&gt;"""",SPLIT('(INGESTA)Datos_consumo_datadis'!A:A,"",""),"""")"),"ES0031408323131005HX0F")</f>
        <v>ES0031408323131005HX0F</v>
      </c>
      <c r="B5229" s="12">
        <f>IFERROR(__xludf.DUMMYFUNCTION("""COMPUTED_VALUE"""),45083.0)</f>
        <v>45083</v>
      </c>
      <c r="C5229" s="13">
        <f>IFERROR(__xludf.DUMMYFUNCTION("""COMPUTED_VALUE"""),0.875)</f>
        <v>0.875</v>
      </c>
      <c r="D5229" s="8">
        <f>IFERROR(__xludf.DUMMYFUNCTION("""COMPUTED_VALUE"""),0.355)</f>
        <v>0.355</v>
      </c>
      <c r="E5229" s="8" t="str">
        <f>IFERROR(__xludf.DUMMYFUNCTION("""COMPUTED_VALUE"""),"Real")</f>
        <v>Real</v>
      </c>
      <c r="G5229" s="8">
        <f t="shared" si="1"/>
        <v>6</v>
      </c>
      <c r="H5229" s="14">
        <f t="shared" si="2"/>
        <v>6</v>
      </c>
      <c r="I5229" s="15">
        <f t="shared" si="3"/>
        <v>21</v>
      </c>
    </row>
    <row r="5230">
      <c r="A5230" s="8" t="str">
        <f>IFERROR(__xludf.DUMMYFUNCTION("IF('(INGESTA)Datos_consumo_datadis'!A5230&lt;&gt;"""",SPLIT('(INGESTA)Datos_consumo_datadis'!A:A,"",""),"""")"),"ES0031408323131005HX0F")</f>
        <v>ES0031408323131005HX0F</v>
      </c>
      <c r="B5230" s="12">
        <f>IFERROR(__xludf.DUMMYFUNCTION("""COMPUTED_VALUE"""),45083.0)</f>
        <v>45083</v>
      </c>
      <c r="C5230" s="13">
        <f>IFERROR(__xludf.DUMMYFUNCTION("""COMPUTED_VALUE"""),0.9166666666666666)</f>
        <v>0.9166666667</v>
      </c>
      <c r="D5230" s="8">
        <f>IFERROR(__xludf.DUMMYFUNCTION("""COMPUTED_VALUE"""),0.009)</f>
        <v>0.009</v>
      </c>
      <c r="E5230" s="8" t="str">
        <f>IFERROR(__xludf.DUMMYFUNCTION("""COMPUTED_VALUE"""),"Real")</f>
        <v>Real</v>
      </c>
      <c r="G5230" s="8">
        <f t="shared" si="1"/>
        <v>6</v>
      </c>
      <c r="H5230" s="14">
        <f t="shared" si="2"/>
        <v>6</v>
      </c>
      <c r="I5230" s="15">
        <f t="shared" si="3"/>
        <v>22</v>
      </c>
    </row>
    <row r="5231">
      <c r="A5231" s="8" t="str">
        <f>IFERROR(__xludf.DUMMYFUNCTION("IF('(INGESTA)Datos_consumo_datadis'!A5231&lt;&gt;"""",SPLIT('(INGESTA)Datos_consumo_datadis'!A:A,"",""),"""")"),"ES0031408323131005HX0F")</f>
        <v>ES0031408323131005HX0F</v>
      </c>
      <c r="B5231" s="12">
        <f>IFERROR(__xludf.DUMMYFUNCTION("""COMPUTED_VALUE"""),45083.0)</f>
        <v>45083</v>
      </c>
      <c r="C5231" s="13">
        <f>IFERROR(__xludf.DUMMYFUNCTION("""COMPUTED_VALUE"""),0.9583333333333334)</f>
        <v>0.9583333333</v>
      </c>
      <c r="D5231" s="8">
        <f>IFERROR(__xludf.DUMMYFUNCTION("""COMPUTED_VALUE"""),0.08)</f>
        <v>0.08</v>
      </c>
      <c r="E5231" s="8" t="str">
        <f>IFERROR(__xludf.DUMMYFUNCTION("""COMPUTED_VALUE"""),"Real")</f>
        <v>Real</v>
      </c>
      <c r="G5231" s="8">
        <f t="shared" si="1"/>
        <v>6</v>
      </c>
      <c r="H5231" s="14">
        <f t="shared" si="2"/>
        <v>6</v>
      </c>
      <c r="I5231" s="15">
        <f t="shared" si="3"/>
        <v>23</v>
      </c>
    </row>
    <row r="5232">
      <c r="A5232" s="8" t="str">
        <f>IFERROR(__xludf.DUMMYFUNCTION("IF('(INGESTA)Datos_consumo_datadis'!A5232&lt;&gt;"""",SPLIT('(INGESTA)Datos_consumo_datadis'!A:A,"",""),"""")"),"ES0031408323131005HX0F")</f>
        <v>ES0031408323131005HX0F</v>
      </c>
      <c r="B5232" s="12">
        <f>IFERROR(__xludf.DUMMYFUNCTION("""COMPUTED_VALUE"""),45083.0)</f>
        <v>45083</v>
      </c>
      <c r="C5232" s="16">
        <f>IFERROR(__xludf.DUMMYFUNCTION("""COMPUTED_VALUE"""),1.0)</f>
        <v>1</v>
      </c>
      <c r="D5232" s="8">
        <f>IFERROR(__xludf.DUMMYFUNCTION("""COMPUTED_VALUE"""),0.074)</f>
        <v>0.074</v>
      </c>
      <c r="E5232" s="8" t="str">
        <f>IFERROR(__xludf.DUMMYFUNCTION("""COMPUTED_VALUE"""),"Real")</f>
        <v>Real</v>
      </c>
      <c r="G5232" s="8">
        <f t="shared" si="1"/>
        <v>6</v>
      </c>
      <c r="H5232" s="14">
        <f t="shared" si="2"/>
        <v>6</v>
      </c>
      <c r="I5232" s="15">
        <f t="shared" si="3"/>
        <v>0</v>
      </c>
    </row>
    <row r="5233">
      <c r="A5233" s="8" t="str">
        <f>IFERROR(__xludf.DUMMYFUNCTION("IF('(INGESTA)Datos_consumo_datadis'!A5233&lt;&gt;"""",SPLIT('(INGESTA)Datos_consumo_datadis'!A:A,"",""),"""")"),"ES0031408323131005HX0F")</f>
        <v>ES0031408323131005HX0F</v>
      </c>
      <c r="B5233" s="12">
        <f>IFERROR(__xludf.DUMMYFUNCTION("""COMPUTED_VALUE"""),45084.0)</f>
        <v>45084</v>
      </c>
      <c r="C5233" s="13">
        <f>IFERROR(__xludf.DUMMYFUNCTION("""COMPUTED_VALUE"""),0.041666666666666664)</f>
        <v>0.04166666667</v>
      </c>
      <c r="D5233" s="8">
        <f>IFERROR(__xludf.DUMMYFUNCTION("""COMPUTED_VALUE"""),0.075)</f>
        <v>0.075</v>
      </c>
      <c r="E5233" s="8" t="str">
        <f>IFERROR(__xludf.DUMMYFUNCTION("""COMPUTED_VALUE"""),"Real")</f>
        <v>Real</v>
      </c>
      <c r="G5233" s="8">
        <f t="shared" si="1"/>
        <v>6</v>
      </c>
      <c r="H5233" s="14">
        <f t="shared" si="2"/>
        <v>7</v>
      </c>
      <c r="I5233" s="15">
        <f t="shared" si="3"/>
        <v>1</v>
      </c>
    </row>
    <row r="5234">
      <c r="A5234" s="8" t="str">
        <f>IFERROR(__xludf.DUMMYFUNCTION("IF('(INGESTA)Datos_consumo_datadis'!A5234&lt;&gt;"""",SPLIT('(INGESTA)Datos_consumo_datadis'!A:A,"",""),"""")"),"ES0031408323131005HX0F")</f>
        <v>ES0031408323131005HX0F</v>
      </c>
      <c r="B5234" s="12">
        <f>IFERROR(__xludf.DUMMYFUNCTION("""COMPUTED_VALUE"""),45084.0)</f>
        <v>45084</v>
      </c>
      <c r="C5234" s="13">
        <f>IFERROR(__xludf.DUMMYFUNCTION("""COMPUTED_VALUE"""),0.08333333333333333)</f>
        <v>0.08333333333</v>
      </c>
      <c r="D5234" s="8">
        <f>IFERROR(__xludf.DUMMYFUNCTION("""COMPUTED_VALUE"""),0.01)</f>
        <v>0.01</v>
      </c>
      <c r="E5234" s="8" t="str">
        <f>IFERROR(__xludf.DUMMYFUNCTION("""COMPUTED_VALUE"""),"Real")</f>
        <v>Real</v>
      </c>
      <c r="G5234" s="8">
        <f t="shared" si="1"/>
        <v>6</v>
      </c>
      <c r="H5234" s="14">
        <f t="shared" si="2"/>
        <v>7</v>
      </c>
      <c r="I5234" s="15">
        <f t="shared" si="3"/>
        <v>2</v>
      </c>
    </row>
    <row r="5235">
      <c r="A5235" s="8" t="str">
        <f>IFERROR(__xludf.DUMMYFUNCTION("IF('(INGESTA)Datos_consumo_datadis'!A5235&lt;&gt;"""",SPLIT('(INGESTA)Datos_consumo_datadis'!A:A,"",""),"""")"),"ES0031408323131005HX0F")</f>
        <v>ES0031408323131005HX0F</v>
      </c>
      <c r="B5235" s="12">
        <f>IFERROR(__xludf.DUMMYFUNCTION("""COMPUTED_VALUE"""),45084.0)</f>
        <v>45084</v>
      </c>
      <c r="C5235" s="13">
        <f>IFERROR(__xludf.DUMMYFUNCTION("""COMPUTED_VALUE"""),0.125)</f>
        <v>0.125</v>
      </c>
      <c r="D5235" s="8">
        <f>IFERROR(__xludf.DUMMYFUNCTION("""COMPUTED_VALUE"""),0.06)</f>
        <v>0.06</v>
      </c>
      <c r="E5235" s="8" t="str">
        <f>IFERROR(__xludf.DUMMYFUNCTION("""COMPUTED_VALUE"""),"Real")</f>
        <v>Real</v>
      </c>
      <c r="G5235" s="8">
        <f t="shared" si="1"/>
        <v>6</v>
      </c>
      <c r="H5235" s="14">
        <f t="shared" si="2"/>
        <v>7</v>
      </c>
      <c r="I5235" s="15">
        <f t="shared" si="3"/>
        <v>3</v>
      </c>
    </row>
    <row r="5236">
      <c r="A5236" s="8" t="str">
        <f>IFERROR(__xludf.DUMMYFUNCTION("IF('(INGESTA)Datos_consumo_datadis'!A5236&lt;&gt;"""",SPLIT('(INGESTA)Datos_consumo_datadis'!A:A,"",""),"""")"),"ES0031408323131005HX0F")</f>
        <v>ES0031408323131005HX0F</v>
      </c>
      <c r="B5236" s="12">
        <f>IFERROR(__xludf.DUMMYFUNCTION("""COMPUTED_VALUE"""),45084.0)</f>
        <v>45084</v>
      </c>
      <c r="C5236" s="13">
        <f>IFERROR(__xludf.DUMMYFUNCTION("""COMPUTED_VALUE"""),0.16666666666666666)</f>
        <v>0.1666666667</v>
      </c>
      <c r="D5236" s="8">
        <f>IFERROR(__xludf.DUMMYFUNCTION("""COMPUTED_VALUE"""),0.122)</f>
        <v>0.122</v>
      </c>
      <c r="E5236" s="8" t="str">
        <f>IFERROR(__xludf.DUMMYFUNCTION("""COMPUTED_VALUE"""),"Real")</f>
        <v>Real</v>
      </c>
      <c r="G5236" s="8">
        <f t="shared" si="1"/>
        <v>6</v>
      </c>
      <c r="H5236" s="14">
        <f t="shared" si="2"/>
        <v>7</v>
      </c>
      <c r="I5236" s="15">
        <f t="shared" si="3"/>
        <v>4</v>
      </c>
    </row>
    <row r="5237">
      <c r="A5237" s="8" t="str">
        <f>IFERROR(__xludf.DUMMYFUNCTION("IF('(INGESTA)Datos_consumo_datadis'!A5237&lt;&gt;"""",SPLIT('(INGESTA)Datos_consumo_datadis'!A:A,"",""),"""")"),"ES0031408323131005HX0F")</f>
        <v>ES0031408323131005HX0F</v>
      </c>
      <c r="B5237" s="12">
        <f>IFERROR(__xludf.DUMMYFUNCTION("""COMPUTED_VALUE"""),45084.0)</f>
        <v>45084</v>
      </c>
      <c r="C5237" s="13">
        <f>IFERROR(__xludf.DUMMYFUNCTION("""COMPUTED_VALUE"""),0.20833333333333334)</f>
        <v>0.2083333333</v>
      </c>
      <c r="D5237" s="8">
        <f>IFERROR(__xludf.DUMMYFUNCTION("""COMPUTED_VALUE"""),0.356)</f>
        <v>0.356</v>
      </c>
      <c r="E5237" s="8" t="str">
        <f>IFERROR(__xludf.DUMMYFUNCTION("""COMPUTED_VALUE"""),"Real")</f>
        <v>Real</v>
      </c>
      <c r="G5237" s="8">
        <f t="shared" si="1"/>
        <v>6</v>
      </c>
      <c r="H5237" s="14">
        <f t="shared" si="2"/>
        <v>7</v>
      </c>
      <c r="I5237" s="15">
        <f t="shared" si="3"/>
        <v>5</v>
      </c>
    </row>
    <row r="5238">
      <c r="A5238" s="8" t="str">
        <f>IFERROR(__xludf.DUMMYFUNCTION("IF('(INGESTA)Datos_consumo_datadis'!A5238&lt;&gt;"""",SPLIT('(INGESTA)Datos_consumo_datadis'!A:A,"",""),"""")"),"ES0031408323131005HX0F")</f>
        <v>ES0031408323131005HX0F</v>
      </c>
      <c r="B5238" s="12">
        <f>IFERROR(__xludf.DUMMYFUNCTION("""COMPUTED_VALUE"""),45084.0)</f>
        <v>45084</v>
      </c>
      <c r="C5238" s="13">
        <f>IFERROR(__xludf.DUMMYFUNCTION("""COMPUTED_VALUE"""),0.25)</f>
        <v>0.25</v>
      </c>
      <c r="D5238" s="8">
        <f>IFERROR(__xludf.DUMMYFUNCTION("""COMPUTED_VALUE"""),0.045)</f>
        <v>0.045</v>
      </c>
      <c r="E5238" s="8" t="str">
        <f>IFERROR(__xludf.DUMMYFUNCTION("""COMPUTED_VALUE"""),"Real")</f>
        <v>Real</v>
      </c>
      <c r="G5238" s="8">
        <f t="shared" si="1"/>
        <v>6</v>
      </c>
      <c r="H5238" s="14">
        <f t="shared" si="2"/>
        <v>7</v>
      </c>
      <c r="I5238" s="15">
        <f t="shared" si="3"/>
        <v>6</v>
      </c>
    </row>
    <row r="5239">
      <c r="A5239" s="8" t="str">
        <f>IFERROR(__xludf.DUMMYFUNCTION("IF('(INGESTA)Datos_consumo_datadis'!A5239&lt;&gt;"""",SPLIT('(INGESTA)Datos_consumo_datadis'!A:A,"",""),"""")"),"ES0031408323131005HX0F")</f>
        <v>ES0031408323131005HX0F</v>
      </c>
      <c r="B5239" s="12">
        <f>IFERROR(__xludf.DUMMYFUNCTION("""COMPUTED_VALUE"""),45084.0)</f>
        <v>45084</v>
      </c>
      <c r="C5239" s="13">
        <f>IFERROR(__xludf.DUMMYFUNCTION("""COMPUTED_VALUE"""),0.2916666666666667)</f>
        <v>0.2916666667</v>
      </c>
      <c r="D5239" s="8">
        <f>IFERROR(__xludf.DUMMYFUNCTION("""COMPUTED_VALUE"""),0.01)</f>
        <v>0.01</v>
      </c>
      <c r="E5239" s="8" t="str">
        <f>IFERROR(__xludf.DUMMYFUNCTION("""COMPUTED_VALUE"""),"Real")</f>
        <v>Real</v>
      </c>
      <c r="G5239" s="8">
        <f t="shared" si="1"/>
        <v>6</v>
      </c>
      <c r="H5239" s="14">
        <f t="shared" si="2"/>
        <v>7</v>
      </c>
      <c r="I5239" s="15">
        <f t="shared" si="3"/>
        <v>7</v>
      </c>
    </row>
    <row r="5240">
      <c r="A5240" s="8" t="str">
        <f>IFERROR(__xludf.DUMMYFUNCTION("IF('(INGESTA)Datos_consumo_datadis'!A5240&lt;&gt;"""",SPLIT('(INGESTA)Datos_consumo_datadis'!A:A,"",""),"""")"),"ES0031408323131005HX0F")</f>
        <v>ES0031408323131005HX0F</v>
      </c>
      <c r="B5240" s="12">
        <f>IFERROR(__xludf.DUMMYFUNCTION("""COMPUTED_VALUE"""),45084.0)</f>
        <v>45084</v>
      </c>
      <c r="C5240" s="13">
        <f>IFERROR(__xludf.DUMMYFUNCTION("""COMPUTED_VALUE"""),0.3333333333333333)</f>
        <v>0.3333333333</v>
      </c>
      <c r="D5240" s="8">
        <f>IFERROR(__xludf.DUMMYFUNCTION("""COMPUTED_VALUE"""),0.101)</f>
        <v>0.101</v>
      </c>
      <c r="E5240" s="8" t="str">
        <f>IFERROR(__xludf.DUMMYFUNCTION("""COMPUTED_VALUE"""),"Real")</f>
        <v>Real</v>
      </c>
      <c r="G5240" s="8">
        <f t="shared" si="1"/>
        <v>6</v>
      </c>
      <c r="H5240" s="14">
        <f t="shared" si="2"/>
        <v>7</v>
      </c>
      <c r="I5240" s="15">
        <f t="shared" si="3"/>
        <v>8</v>
      </c>
    </row>
    <row r="5241">
      <c r="A5241" s="8" t="str">
        <f>IFERROR(__xludf.DUMMYFUNCTION("IF('(INGESTA)Datos_consumo_datadis'!A5241&lt;&gt;"""",SPLIT('(INGESTA)Datos_consumo_datadis'!A:A,"",""),"""")"),"ES0031408323131005HX0F")</f>
        <v>ES0031408323131005HX0F</v>
      </c>
      <c r="B5241" s="12">
        <f>IFERROR(__xludf.DUMMYFUNCTION("""COMPUTED_VALUE"""),45084.0)</f>
        <v>45084</v>
      </c>
      <c r="C5241" s="13">
        <f>IFERROR(__xludf.DUMMYFUNCTION("""COMPUTED_VALUE"""),0.375)</f>
        <v>0.375</v>
      </c>
      <c r="D5241" s="8">
        <f>IFERROR(__xludf.DUMMYFUNCTION("""COMPUTED_VALUE"""),0.071)</f>
        <v>0.071</v>
      </c>
      <c r="E5241" s="8" t="str">
        <f>IFERROR(__xludf.DUMMYFUNCTION("""COMPUTED_VALUE"""),"Real")</f>
        <v>Real</v>
      </c>
      <c r="G5241" s="8">
        <f t="shared" si="1"/>
        <v>6</v>
      </c>
      <c r="H5241" s="14">
        <f t="shared" si="2"/>
        <v>7</v>
      </c>
      <c r="I5241" s="15">
        <f t="shared" si="3"/>
        <v>9</v>
      </c>
    </row>
    <row r="5242">
      <c r="A5242" s="8" t="str">
        <f>IFERROR(__xludf.DUMMYFUNCTION("IF('(INGESTA)Datos_consumo_datadis'!A5242&lt;&gt;"""",SPLIT('(INGESTA)Datos_consumo_datadis'!A:A,"",""),"""")"),"ES0031408323131005HX0F")</f>
        <v>ES0031408323131005HX0F</v>
      </c>
      <c r="B5242" s="12">
        <f>IFERROR(__xludf.DUMMYFUNCTION("""COMPUTED_VALUE"""),45084.0)</f>
        <v>45084</v>
      </c>
      <c r="C5242" s="13">
        <f>IFERROR(__xludf.DUMMYFUNCTION("""COMPUTED_VALUE"""),0.4166666666666667)</f>
        <v>0.4166666667</v>
      </c>
      <c r="D5242" s="8">
        <f>IFERROR(__xludf.DUMMYFUNCTION("""COMPUTED_VALUE"""),0.058)</f>
        <v>0.058</v>
      </c>
      <c r="E5242" s="8" t="str">
        <f>IFERROR(__xludf.DUMMYFUNCTION("""COMPUTED_VALUE"""),"Real")</f>
        <v>Real</v>
      </c>
      <c r="G5242" s="8">
        <f t="shared" si="1"/>
        <v>6</v>
      </c>
      <c r="H5242" s="14">
        <f t="shared" si="2"/>
        <v>7</v>
      </c>
      <c r="I5242" s="15">
        <f t="shared" si="3"/>
        <v>10</v>
      </c>
    </row>
    <row r="5243">
      <c r="A5243" s="8" t="str">
        <f>IFERROR(__xludf.DUMMYFUNCTION("IF('(INGESTA)Datos_consumo_datadis'!A5243&lt;&gt;"""",SPLIT('(INGESTA)Datos_consumo_datadis'!A:A,"",""),"""")"),"ES0031408323131005HX0F")</f>
        <v>ES0031408323131005HX0F</v>
      </c>
      <c r="B5243" s="12">
        <f>IFERROR(__xludf.DUMMYFUNCTION("""COMPUTED_VALUE"""),45084.0)</f>
        <v>45084</v>
      </c>
      <c r="C5243" s="13">
        <f>IFERROR(__xludf.DUMMYFUNCTION("""COMPUTED_VALUE"""),0.4583333333333333)</f>
        <v>0.4583333333</v>
      </c>
      <c r="D5243" s="8">
        <f>IFERROR(__xludf.DUMMYFUNCTION("""COMPUTED_VALUE"""),0.009)</f>
        <v>0.009</v>
      </c>
      <c r="E5243" s="8" t="str">
        <f>IFERROR(__xludf.DUMMYFUNCTION("""COMPUTED_VALUE"""),"Real")</f>
        <v>Real</v>
      </c>
      <c r="G5243" s="8">
        <f t="shared" si="1"/>
        <v>6</v>
      </c>
      <c r="H5243" s="14">
        <f t="shared" si="2"/>
        <v>7</v>
      </c>
      <c r="I5243" s="15">
        <f t="shared" si="3"/>
        <v>11</v>
      </c>
    </row>
    <row r="5244">
      <c r="A5244" s="8" t="str">
        <f>IFERROR(__xludf.DUMMYFUNCTION("IF('(INGESTA)Datos_consumo_datadis'!A5244&lt;&gt;"""",SPLIT('(INGESTA)Datos_consumo_datadis'!A:A,"",""),"""")"),"ES0031408323131005HX0F")</f>
        <v>ES0031408323131005HX0F</v>
      </c>
      <c r="B5244" s="12">
        <f>IFERROR(__xludf.DUMMYFUNCTION("""COMPUTED_VALUE"""),45084.0)</f>
        <v>45084</v>
      </c>
      <c r="C5244" s="13">
        <f>IFERROR(__xludf.DUMMYFUNCTION("""COMPUTED_VALUE"""),0.5)</f>
        <v>0.5</v>
      </c>
      <c r="D5244" s="8">
        <f>IFERROR(__xludf.DUMMYFUNCTION("""COMPUTED_VALUE"""),0.059)</f>
        <v>0.059</v>
      </c>
      <c r="E5244" s="8" t="str">
        <f>IFERROR(__xludf.DUMMYFUNCTION("""COMPUTED_VALUE"""),"Real")</f>
        <v>Real</v>
      </c>
      <c r="G5244" s="8">
        <f t="shared" si="1"/>
        <v>6</v>
      </c>
      <c r="H5244" s="14">
        <f t="shared" si="2"/>
        <v>7</v>
      </c>
      <c r="I5244" s="15">
        <f t="shared" si="3"/>
        <v>12</v>
      </c>
    </row>
    <row r="5245">
      <c r="A5245" s="8" t="str">
        <f>IFERROR(__xludf.DUMMYFUNCTION("IF('(INGESTA)Datos_consumo_datadis'!A5245&lt;&gt;"""",SPLIT('(INGESTA)Datos_consumo_datadis'!A:A,"",""),"""")"),"ES0031408323131005HX0F")</f>
        <v>ES0031408323131005HX0F</v>
      </c>
      <c r="B5245" s="12">
        <f>IFERROR(__xludf.DUMMYFUNCTION("""COMPUTED_VALUE"""),45084.0)</f>
        <v>45084</v>
      </c>
      <c r="C5245" s="13">
        <f>IFERROR(__xludf.DUMMYFUNCTION("""COMPUTED_VALUE"""),0.5416666666666666)</f>
        <v>0.5416666667</v>
      </c>
      <c r="D5245" s="8">
        <f>IFERROR(__xludf.DUMMYFUNCTION("""COMPUTED_VALUE"""),0.404)</f>
        <v>0.404</v>
      </c>
      <c r="E5245" s="8" t="str">
        <f>IFERROR(__xludf.DUMMYFUNCTION("""COMPUTED_VALUE"""),"Real")</f>
        <v>Real</v>
      </c>
      <c r="G5245" s="8">
        <f t="shared" si="1"/>
        <v>6</v>
      </c>
      <c r="H5245" s="14">
        <f t="shared" si="2"/>
        <v>7</v>
      </c>
      <c r="I5245" s="15">
        <f t="shared" si="3"/>
        <v>13</v>
      </c>
    </row>
    <row r="5246">
      <c r="A5246" s="8" t="str">
        <f>IFERROR(__xludf.DUMMYFUNCTION("IF('(INGESTA)Datos_consumo_datadis'!A5246&lt;&gt;"""",SPLIT('(INGESTA)Datos_consumo_datadis'!A:A,"",""),"""")"),"ES0031408323131005HX0F")</f>
        <v>ES0031408323131005HX0F</v>
      </c>
      <c r="B5246" s="12">
        <f>IFERROR(__xludf.DUMMYFUNCTION("""COMPUTED_VALUE"""),45084.0)</f>
        <v>45084</v>
      </c>
      <c r="C5246" s="13">
        <f>IFERROR(__xludf.DUMMYFUNCTION("""COMPUTED_VALUE"""),0.5833333333333334)</f>
        <v>0.5833333333</v>
      </c>
      <c r="D5246" s="8">
        <f>IFERROR(__xludf.DUMMYFUNCTION("""COMPUTED_VALUE"""),0.058)</f>
        <v>0.058</v>
      </c>
      <c r="E5246" s="8" t="str">
        <f>IFERROR(__xludf.DUMMYFUNCTION("""COMPUTED_VALUE"""),"Real")</f>
        <v>Real</v>
      </c>
      <c r="G5246" s="8">
        <f t="shared" si="1"/>
        <v>6</v>
      </c>
      <c r="H5246" s="14">
        <f t="shared" si="2"/>
        <v>7</v>
      </c>
      <c r="I5246" s="15">
        <f t="shared" si="3"/>
        <v>14</v>
      </c>
    </row>
    <row r="5247">
      <c r="A5247" s="8" t="str">
        <f>IFERROR(__xludf.DUMMYFUNCTION("IF('(INGESTA)Datos_consumo_datadis'!A5247&lt;&gt;"""",SPLIT('(INGESTA)Datos_consumo_datadis'!A:A,"",""),"""")"),"ES0031408323131005HX0F")</f>
        <v>ES0031408323131005HX0F</v>
      </c>
      <c r="B5247" s="12">
        <f>IFERROR(__xludf.DUMMYFUNCTION("""COMPUTED_VALUE"""),45084.0)</f>
        <v>45084</v>
      </c>
      <c r="C5247" s="13">
        <f>IFERROR(__xludf.DUMMYFUNCTION("""COMPUTED_VALUE"""),0.625)</f>
        <v>0.625</v>
      </c>
      <c r="D5247" s="8">
        <f>IFERROR(__xludf.DUMMYFUNCTION("""COMPUTED_VALUE"""),0.028)</f>
        <v>0.028</v>
      </c>
      <c r="E5247" s="8" t="str">
        <f>IFERROR(__xludf.DUMMYFUNCTION("""COMPUTED_VALUE"""),"Real")</f>
        <v>Real</v>
      </c>
      <c r="G5247" s="8">
        <f t="shared" si="1"/>
        <v>6</v>
      </c>
      <c r="H5247" s="14">
        <f t="shared" si="2"/>
        <v>7</v>
      </c>
      <c r="I5247" s="15">
        <f t="shared" si="3"/>
        <v>15</v>
      </c>
    </row>
    <row r="5248">
      <c r="A5248" s="8" t="str">
        <f>IFERROR(__xludf.DUMMYFUNCTION("IF('(INGESTA)Datos_consumo_datadis'!A5248&lt;&gt;"""",SPLIT('(INGESTA)Datos_consumo_datadis'!A:A,"",""),"""")"),"ES0031408323131005HX0F")</f>
        <v>ES0031408323131005HX0F</v>
      </c>
      <c r="B5248" s="12">
        <f>IFERROR(__xludf.DUMMYFUNCTION("""COMPUTED_VALUE"""),45084.0)</f>
        <v>45084</v>
      </c>
      <c r="C5248" s="13">
        <f>IFERROR(__xludf.DUMMYFUNCTION("""COMPUTED_VALUE"""),0.6666666666666666)</f>
        <v>0.6666666667</v>
      </c>
      <c r="D5248" s="8">
        <f>IFERROR(__xludf.DUMMYFUNCTION("""COMPUTED_VALUE"""),0.017)</f>
        <v>0.017</v>
      </c>
      <c r="E5248" s="8" t="str">
        <f>IFERROR(__xludf.DUMMYFUNCTION("""COMPUTED_VALUE"""),"Real")</f>
        <v>Real</v>
      </c>
      <c r="G5248" s="8">
        <f t="shared" si="1"/>
        <v>6</v>
      </c>
      <c r="H5248" s="14">
        <f t="shared" si="2"/>
        <v>7</v>
      </c>
      <c r="I5248" s="15">
        <f t="shared" si="3"/>
        <v>16</v>
      </c>
    </row>
    <row r="5249">
      <c r="A5249" s="8" t="str">
        <f>IFERROR(__xludf.DUMMYFUNCTION("IF('(INGESTA)Datos_consumo_datadis'!A5249&lt;&gt;"""",SPLIT('(INGESTA)Datos_consumo_datadis'!A:A,"",""),"""")"),"ES0031408323131005HX0F")</f>
        <v>ES0031408323131005HX0F</v>
      </c>
      <c r="B5249" s="12">
        <f>IFERROR(__xludf.DUMMYFUNCTION("""COMPUTED_VALUE"""),45084.0)</f>
        <v>45084</v>
      </c>
      <c r="C5249" s="13">
        <f>IFERROR(__xludf.DUMMYFUNCTION("""COMPUTED_VALUE"""),0.7083333333333334)</f>
        <v>0.7083333333</v>
      </c>
      <c r="D5249" s="8">
        <f>IFERROR(__xludf.DUMMYFUNCTION("""COMPUTED_VALUE"""),0.115)</f>
        <v>0.115</v>
      </c>
      <c r="E5249" s="8" t="str">
        <f>IFERROR(__xludf.DUMMYFUNCTION("""COMPUTED_VALUE"""),"Real")</f>
        <v>Real</v>
      </c>
      <c r="G5249" s="8">
        <f t="shared" si="1"/>
        <v>6</v>
      </c>
      <c r="H5249" s="14">
        <f t="shared" si="2"/>
        <v>7</v>
      </c>
      <c r="I5249" s="15">
        <f t="shared" si="3"/>
        <v>17</v>
      </c>
    </row>
    <row r="5250">
      <c r="A5250" s="8" t="str">
        <f>IFERROR(__xludf.DUMMYFUNCTION("IF('(INGESTA)Datos_consumo_datadis'!A5250&lt;&gt;"""",SPLIT('(INGESTA)Datos_consumo_datadis'!A:A,"",""),"""")"),"ES0031408323131005HX0F")</f>
        <v>ES0031408323131005HX0F</v>
      </c>
      <c r="B5250" s="12">
        <f>IFERROR(__xludf.DUMMYFUNCTION("""COMPUTED_VALUE"""),45084.0)</f>
        <v>45084</v>
      </c>
      <c r="C5250" s="13">
        <f>IFERROR(__xludf.DUMMYFUNCTION("""COMPUTED_VALUE"""),0.75)</f>
        <v>0.75</v>
      </c>
      <c r="D5250" s="8">
        <f>IFERROR(__xludf.DUMMYFUNCTION("""COMPUTED_VALUE"""),0.061)</f>
        <v>0.061</v>
      </c>
      <c r="E5250" s="8" t="str">
        <f>IFERROR(__xludf.DUMMYFUNCTION("""COMPUTED_VALUE"""),"Real")</f>
        <v>Real</v>
      </c>
      <c r="G5250" s="8">
        <f t="shared" si="1"/>
        <v>6</v>
      </c>
      <c r="H5250" s="14">
        <f t="shared" si="2"/>
        <v>7</v>
      </c>
      <c r="I5250" s="15">
        <f t="shared" si="3"/>
        <v>18</v>
      </c>
    </row>
    <row r="5251">
      <c r="A5251" s="8" t="str">
        <f>IFERROR(__xludf.DUMMYFUNCTION("IF('(INGESTA)Datos_consumo_datadis'!A5251&lt;&gt;"""",SPLIT('(INGESTA)Datos_consumo_datadis'!A:A,"",""),"""")"),"ES0031408323131005HX0F")</f>
        <v>ES0031408323131005HX0F</v>
      </c>
      <c r="B5251" s="12">
        <f>IFERROR(__xludf.DUMMYFUNCTION("""COMPUTED_VALUE"""),45084.0)</f>
        <v>45084</v>
      </c>
      <c r="C5251" s="13">
        <f>IFERROR(__xludf.DUMMYFUNCTION("""COMPUTED_VALUE"""),0.7916666666666666)</f>
        <v>0.7916666667</v>
      </c>
      <c r="D5251" s="8">
        <f>IFERROR(__xludf.DUMMYFUNCTION("""COMPUTED_VALUE"""),0.044)</f>
        <v>0.044</v>
      </c>
      <c r="E5251" s="8" t="str">
        <f>IFERROR(__xludf.DUMMYFUNCTION("""COMPUTED_VALUE"""),"Real")</f>
        <v>Real</v>
      </c>
      <c r="G5251" s="8">
        <f t="shared" si="1"/>
        <v>6</v>
      </c>
      <c r="H5251" s="14">
        <f t="shared" si="2"/>
        <v>7</v>
      </c>
      <c r="I5251" s="15">
        <f t="shared" si="3"/>
        <v>19</v>
      </c>
    </row>
    <row r="5252">
      <c r="A5252" s="8" t="str">
        <f>IFERROR(__xludf.DUMMYFUNCTION("IF('(INGESTA)Datos_consumo_datadis'!A5252&lt;&gt;"""",SPLIT('(INGESTA)Datos_consumo_datadis'!A:A,"",""),"""")"),"ES0031408323131005HX0F")</f>
        <v>ES0031408323131005HX0F</v>
      </c>
      <c r="B5252" s="12">
        <f>IFERROR(__xludf.DUMMYFUNCTION("""COMPUTED_VALUE"""),45084.0)</f>
        <v>45084</v>
      </c>
      <c r="C5252" s="13">
        <f>IFERROR(__xludf.DUMMYFUNCTION("""COMPUTED_VALUE"""),0.8333333333333334)</f>
        <v>0.8333333333</v>
      </c>
      <c r="D5252" s="8">
        <f>IFERROR(__xludf.DUMMYFUNCTION("""COMPUTED_VALUE"""),0.009)</f>
        <v>0.009</v>
      </c>
      <c r="E5252" s="8" t="str">
        <f>IFERROR(__xludf.DUMMYFUNCTION("""COMPUTED_VALUE"""),"Real")</f>
        <v>Real</v>
      </c>
      <c r="G5252" s="8">
        <f t="shared" si="1"/>
        <v>6</v>
      </c>
      <c r="H5252" s="14">
        <f t="shared" si="2"/>
        <v>7</v>
      </c>
      <c r="I5252" s="15">
        <f t="shared" si="3"/>
        <v>20</v>
      </c>
    </row>
    <row r="5253">
      <c r="A5253" s="8" t="str">
        <f>IFERROR(__xludf.DUMMYFUNCTION("IF('(INGESTA)Datos_consumo_datadis'!A5253&lt;&gt;"""",SPLIT('(INGESTA)Datos_consumo_datadis'!A:A,"",""),"""")"),"ES0031408323131005HX0F")</f>
        <v>ES0031408323131005HX0F</v>
      </c>
      <c r="B5253" s="12">
        <f>IFERROR(__xludf.DUMMYFUNCTION("""COMPUTED_VALUE"""),45084.0)</f>
        <v>45084</v>
      </c>
      <c r="C5253" s="13">
        <f>IFERROR(__xludf.DUMMYFUNCTION("""COMPUTED_VALUE"""),0.875)</f>
        <v>0.875</v>
      </c>
      <c r="D5253" s="8">
        <f>IFERROR(__xludf.DUMMYFUNCTION("""COMPUTED_VALUE"""),0.412)</f>
        <v>0.412</v>
      </c>
      <c r="E5253" s="8" t="str">
        <f>IFERROR(__xludf.DUMMYFUNCTION("""COMPUTED_VALUE"""),"Real")</f>
        <v>Real</v>
      </c>
      <c r="G5253" s="8">
        <f t="shared" si="1"/>
        <v>6</v>
      </c>
      <c r="H5253" s="14">
        <f t="shared" si="2"/>
        <v>7</v>
      </c>
      <c r="I5253" s="15">
        <f t="shared" si="3"/>
        <v>21</v>
      </c>
    </row>
    <row r="5254">
      <c r="A5254" s="8" t="str">
        <f>IFERROR(__xludf.DUMMYFUNCTION("IF('(INGESTA)Datos_consumo_datadis'!A5254&lt;&gt;"""",SPLIT('(INGESTA)Datos_consumo_datadis'!A:A,"",""),"""")"),"ES0031408323131005HX0F")</f>
        <v>ES0031408323131005HX0F</v>
      </c>
      <c r="B5254" s="12">
        <f>IFERROR(__xludf.DUMMYFUNCTION("""COMPUTED_VALUE"""),45084.0)</f>
        <v>45084</v>
      </c>
      <c r="C5254" s="13">
        <f>IFERROR(__xludf.DUMMYFUNCTION("""COMPUTED_VALUE"""),0.9166666666666666)</f>
        <v>0.9166666667</v>
      </c>
      <c r="D5254" s="8">
        <f>IFERROR(__xludf.DUMMYFUNCTION("""COMPUTED_VALUE"""),0.072)</f>
        <v>0.072</v>
      </c>
      <c r="E5254" s="8" t="str">
        <f>IFERROR(__xludf.DUMMYFUNCTION("""COMPUTED_VALUE"""),"Real")</f>
        <v>Real</v>
      </c>
      <c r="G5254" s="8">
        <f t="shared" si="1"/>
        <v>6</v>
      </c>
      <c r="H5254" s="14">
        <f t="shared" si="2"/>
        <v>7</v>
      </c>
      <c r="I5254" s="15">
        <f t="shared" si="3"/>
        <v>22</v>
      </c>
    </row>
    <row r="5255">
      <c r="A5255" s="8" t="str">
        <f>IFERROR(__xludf.DUMMYFUNCTION("IF('(INGESTA)Datos_consumo_datadis'!A5255&lt;&gt;"""",SPLIT('(INGESTA)Datos_consumo_datadis'!A:A,"",""),"""")"),"ES0031408323131005HX0F")</f>
        <v>ES0031408323131005HX0F</v>
      </c>
      <c r="B5255" s="12">
        <f>IFERROR(__xludf.DUMMYFUNCTION("""COMPUTED_VALUE"""),45084.0)</f>
        <v>45084</v>
      </c>
      <c r="C5255" s="13">
        <f>IFERROR(__xludf.DUMMYFUNCTION("""COMPUTED_VALUE"""),0.9583333333333334)</f>
        <v>0.9583333333</v>
      </c>
      <c r="D5255" s="8">
        <f>IFERROR(__xludf.DUMMYFUNCTION("""COMPUTED_VALUE"""),0.067)</f>
        <v>0.067</v>
      </c>
      <c r="E5255" s="8" t="str">
        <f>IFERROR(__xludf.DUMMYFUNCTION("""COMPUTED_VALUE"""),"Real")</f>
        <v>Real</v>
      </c>
      <c r="G5255" s="8">
        <f t="shared" si="1"/>
        <v>6</v>
      </c>
      <c r="H5255" s="14">
        <f t="shared" si="2"/>
        <v>7</v>
      </c>
      <c r="I5255" s="15">
        <f t="shared" si="3"/>
        <v>23</v>
      </c>
    </row>
    <row r="5256">
      <c r="A5256" s="8" t="str">
        <f>IFERROR(__xludf.DUMMYFUNCTION("IF('(INGESTA)Datos_consumo_datadis'!A5256&lt;&gt;"""",SPLIT('(INGESTA)Datos_consumo_datadis'!A:A,"",""),"""")"),"ES0031408323131005HX0F")</f>
        <v>ES0031408323131005HX0F</v>
      </c>
      <c r="B5256" s="12">
        <f>IFERROR(__xludf.DUMMYFUNCTION("""COMPUTED_VALUE"""),45084.0)</f>
        <v>45084</v>
      </c>
      <c r="C5256" s="16">
        <f>IFERROR(__xludf.DUMMYFUNCTION("""COMPUTED_VALUE"""),1.0)</f>
        <v>1</v>
      </c>
      <c r="D5256" s="8">
        <f>IFERROR(__xludf.DUMMYFUNCTION("""COMPUTED_VALUE"""),0.01)</f>
        <v>0.01</v>
      </c>
      <c r="E5256" s="8" t="str">
        <f>IFERROR(__xludf.DUMMYFUNCTION("""COMPUTED_VALUE"""),"Real")</f>
        <v>Real</v>
      </c>
      <c r="G5256" s="8">
        <f t="shared" si="1"/>
        <v>6</v>
      </c>
      <c r="H5256" s="14">
        <f t="shared" si="2"/>
        <v>7</v>
      </c>
      <c r="I5256" s="15">
        <f t="shared" si="3"/>
        <v>0</v>
      </c>
    </row>
    <row r="5257">
      <c r="A5257" s="8" t="str">
        <f>IFERROR(__xludf.DUMMYFUNCTION("IF('(INGESTA)Datos_consumo_datadis'!A5257&lt;&gt;"""",SPLIT('(INGESTA)Datos_consumo_datadis'!A:A,"",""),"""")"),"ES0031408323131005HX0F")</f>
        <v>ES0031408323131005HX0F</v>
      </c>
      <c r="B5257" s="12">
        <f>IFERROR(__xludf.DUMMYFUNCTION("""COMPUTED_VALUE"""),45085.0)</f>
        <v>45085</v>
      </c>
      <c r="C5257" s="13">
        <f>IFERROR(__xludf.DUMMYFUNCTION("""COMPUTED_VALUE"""),0.041666666666666664)</f>
        <v>0.04166666667</v>
      </c>
      <c r="D5257" s="8">
        <f>IFERROR(__xludf.DUMMYFUNCTION("""COMPUTED_VALUE"""),0.051)</f>
        <v>0.051</v>
      </c>
      <c r="E5257" s="8" t="str">
        <f>IFERROR(__xludf.DUMMYFUNCTION("""COMPUTED_VALUE"""),"Real")</f>
        <v>Real</v>
      </c>
      <c r="G5257" s="8">
        <f t="shared" si="1"/>
        <v>6</v>
      </c>
      <c r="H5257" s="14">
        <f t="shared" si="2"/>
        <v>8</v>
      </c>
      <c r="I5257" s="15">
        <f t="shared" si="3"/>
        <v>1</v>
      </c>
    </row>
    <row r="5258">
      <c r="A5258" s="8" t="str">
        <f>IFERROR(__xludf.DUMMYFUNCTION("IF('(INGESTA)Datos_consumo_datadis'!A5258&lt;&gt;"""",SPLIT('(INGESTA)Datos_consumo_datadis'!A:A,"",""),"""")"),"ES0031408323131005HX0F")</f>
        <v>ES0031408323131005HX0F</v>
      </c>
      <c r="B5258" s="12">
        <f>IFERROR(__xludf.DUMMYFUNCTION("""COMPUTED_VALUE"""),45085.0)</f>
        <v>45085</v>
      </c>
      <c r="C5258" s="13">
        <f>IFERROR(__xludf.DUMMYFUNCTION("""COMPUTED_VALUE"""),0.08333333333333333)</f>
        <v>0.08333333333</v>
      </c>
      <c r="D5258" s="8">
        <f>IFERROR(__xludf.DUMMYFUNCTION("""COMPUTED_VALUE"""),0.104)</f>
        <v>0.104</v>
      </c>
      <c r="E5258" s="8" t="str">
        <f>IFERROR(__xludf.DUMMYFUNCTION("""COMPUTED_VALUE"""),"Real")</f>
        <v>Real</v>
      </c>
      <c r="G5258" s="8">
        <f t="shared" si="1"/>
        <v>6</v>
      </c>
      <c r="H5258" s="14">
        <f t="shared" si="2"/>
        <v>8</v>
      </c>
      <c r="I5258" s="15">
        <f t="shared" si="3"/>
        <v>2</v>
      </c>
    </row>
    <row r="5259">
      <c r="A5259" s="8" t="str">
        <f>IFERROR(__xludf.DUMMYFUNCTION("IF('(INGESTA)Datos_consumo_datadis'!A5259&lt;&gt;"""",SPLIT('(INGESTA)Datos_consumo_datadis'!A:A,"",""),"""")"),"ES0031408323131005HX0F")</f>
        <v>ES0031408323131005HX0F</v>
      </c>
      <c r="B5259" s="12">
        <f>IFERROR(__xludf.DUMMYFUNCTION("""COMPUTED_VALUE"""),45085.0)</f>
        <v>45085</v>
      </c>
      <c r="C5259" s="13">
        <f>IFERROR(__xludf.DUMMYFUNCTION("""COMPUTED_VALUE"""),0.125)</f>
        <v>0.125</v>
      </c>
      <c r="D5259" s="8">
        <f>IFERROR(__xludf.DUMMYFUNCTION("""COMPUTED_VALUE"""),0.073)</f>
        <v>0.073</v>
      </c>
      <c r="E5259" s="8" t="str">
        <f>IFERROR(__xludf.DUMMYFUNCTION("""COMPUTED_VALUE"""),"Real")</f>
        <v>Real</v>
      </c>
      <c r="G5259" s="8">
        <f t="shared" si="1"/>
        <v>6</v>
      </c>
      <c r="H5259" s="14">
        <f t="shared" si="2"/>
        <v>8</v>
      </c>
      <c r="I5259" s="15">
        <f t="shared" si="3"/>
        <v>3</v>
      </c>
    </row>
    <row r="5260">
      <c r="A5260" s="8" t="str">
        <f>IFERROR(__xludf.DUMMYFUNCTION("IF('(INGESTA)Datos_consumo_datadis'!A5260&lt;&gt;"""",SPLIT('(INGESTA)Datos_consumo_datadis'!A:A,"",""),"""")"),"ES0031408323131005HX0F")</f>
        <v>ES0031408323131005HX0F</v>
      </c>
      <c r="B5260" s="12">
        <f>IFERROR(__xludf.DUMMYFUNCTION("""COMPUTED_VALUE"""),45085.0)</f>
        <v>45085</v>
      </c>
      <c r="C5260" s="13">
        <f>IFERROR(__xludf.DUMMYFUNCTION("""COMPUTED_VALUE"""),0.16666666666666666)</f>
        <v>0.1666666667</v>
      </c>
      <c r="D5260" s="8">
        <f>IFERROR(__xludf.DUMMYFUNCTION("""COMPUTED_VALUE"""),0.037)</f>
        <v>0.037</v>
      </c>
      <c r="E5260" s="8" t="str">
        <f>IFERROR(__xludf.DUMMYFUNCTION("""COMPUTED_VALUE"""),"Real")</f>
        <v>Real</v>
      </c>
      <c r="G5260" s="8">
        <f t="shared" si="1"/>
        <v>6</v>
      </c>
      <c r="H5260" s="14">
        <f t="shared" si="2"/>
        <v>8</v>
      </c>
      <c r="I5260" s="15">
        <f t="shared" si="3"/>
        <v>4</v>
      </c>
    </row>
    <row r="5261">
      <c r="A5261" s="8" t="str">
        <f>IFERROR(__xludf.DUMMYFUNCTION("IF('(INGESTA)Datos_consumo_datadis'!A5261&lt;&gt;"""",SPLIT('(INGESTA)Datos_consumo_datadis'!A:A,"",""),"""")"),"ES0031408323131005HX0F")</f>
        <v>ES0031408323131005HX0F</v>
      </c>
      <c r="B5261" s="12">
        <f>IFERROR(__xludf.DUMMYFUNCTION("""COMPUTED_VALUE"""),45085.0)</f>
        <v>45085</v>
      </c>
      <c r="C5261" s="13">
        <f>IFERROR(__xludf.DUMMYFUNCTION("""COMPUTED_VALUE"""),0.20833333333333334)</f>
        <v>0.2083333333</v>
      </c>
      <c r="D5261" s="8">
        <f>IFERROR(__xludf.DUMMYFUNCTION("""COMPUTED_VALUE"""),0.323)</f>
        <v>0.323</v>
      </c>
      <c r="E5261" s="8" t="str">
        <f>IFERROR(__xludf.DUMMYFUNCTION("""COMPUTED_VALUE"""),"Real")</f>
        <v>Real</v>
      </c>
      <c r="G5261" s="8">
        <f t="shared" si="1"/>
        <v>6</v>
      </c>
      <c r="H5261" s="14">
        <f t="shared" si="2"/>
        <v>8</v>
      </c>
      <c r="I5261" s="15">
        <f t="shared" si="3"/>
        <v>5</v>
      </c>
    </row>
    <row r="5262">
      <c r="A5262" s="8" t="str">
        <f>IFERROR(__xludf.DUMMYFUNCTION("IF('(INGESTA)Datos_consumo_datadis'!A5262&lt;&gt;"""",SPLIT('(INGESTA)Datos_consumo_datadis'!A:A,"",""),"""")"),"ES0031408323131005HX0F")</f>
        <v>ES0031408323131005HX0F</v>
      </c>
      <c r="B5262" s="12">
        <f>IFERROR(__xludf.DUMMYFUNCTION("""COMPUTED_VALUE"""),45085.0)</f>
        <v>45085</v>
      </c>
      <c r="C5262" s="13">
        <f>IFERROR(__xludf.DUMMYFUNCTION("""COMPUTED_VALUE"""),0.25)</f>
        <v>0.25</v>
      </c>
      <c r="D5262" s="8">
        <f>IFERROR(__xludf.DUMMYFUNCTION("""COMPUTED_VALUE"""),0.115)</f>
        <v>0.115</v>
      </c>
      <c r="E5262" s="8" t="str">
        <f>IFERROR(__xludf.DUMMYFUNCTION("""COMPUTED_VALUE"""),"Real")</f>
        <v>Real</v>
      </c>
      <c r="G5262" s="8">
        <f t="shared" si="1"/>
        <v>6</v>
      </c>
      <c r="H5262" s="14">
        <f t="shared" si="2"/>
        <v>8</v>
      </c>
      <c r="I5262" s="15">
        <f t="shared" si="3"/>
        <v>6</v>
      </c>
    </row>
    <row r="5263">
      <c r="A5263" s="8" t="str">
        <f>IFERROR(__xludf.DUMMYFUNCTION("IF('(INGESTA)Datos_consumo_datadis'!A5263&lt;&gt;"""",SPLIT('(INGESTA)Datos_consumo_datadis'!A:A,"",""),"""")"),"ES0031408323131005HX0F")</f>
        <v>ES0031408323131005HX0F</v>
      </c>
      <c r="B5263" s="12">
        <f>IFERROR(__xludf.DUMMYFUNCTION("""COMPUTED_VALUE"""),45085.0)</f>
        <v>45085</v>
      </c>
      <c r="C5263" s="13">
        <f>IFERROR(__xludf.DUMMYFUNCTION("""COMPUTED_VALUE"""),0.2916666666666667)</f>
        <v>0.2916666667</v>
      </c>
      <c r="D5263" s="8">
        <f>IFERROR(__xludf.DUMMYFUNCTION("""COMPUTED_VALUE"""),0.065)</f>
        <v>0.065</v>
      </c>
      <c r="E5263" s="8" t="str">
        <f>IFERROR(__xludf.DUMMYFUNCTION("""COMPUTED_VALUE"""),"Real")</f>
        <v>Real</v>
      </c>
      <c r="G5263" s="8">
        <f t="shared" si="1"/>
        <v>6</v>
      </c>
      <c r="H5263" s="14">
        <f t="shared" si="2"/>
        <v>8</v>
      </c>
      <c r="I5263" s="15">
        <f t="shared" si="3"/>
        <v>7</v>
      </c>
    </row>
    <row r="5264">
      <c r="A5264" s="8" t="str">
        <f>IFERROR(__xludf.DUMMYFUNCTION("IF('(INGESTA)Datos_consumo_datadis'!A5264&lt;&gt;"""",SPLIT('(INGESTA)Datos_consumo_datadis'!A:A,"",""),"""")"),"ES0031408323131005HX0F")</f>
        <v>ES0031408323131005HX0F</v>
      </c>
      <c r="B5264" s="12">
        <f>IFERROR(__xludf.DUMMYFUNCTION("""COMPUTED_VALUE"""),45085.0)</f>
        <v>45085</v>
      </c>
      <c r="C5264" s="13">
        <f>IFERROR(__xludf.DUMMYFUNCTION("""COMPUTED_VALUE"""),0.3333333333333333)</f>
        <v>0.3333333333</v>
      </c>
      <c r="D5264" s="8">
        <f>IFERROR(__xludf.DUMMYFUNCTION("""COMPUTED_VALUE"""),0.044)</f>
        <v>0.044</v>
      </c>
      <c r="E5264" s="8" t="str">
        <f>IFERROR(__xludf.DUMMYFUNCTION("""COMPUTED_VALUE"""),"Real")</f>
        <v>Real</v>
      </c>
      <c r="G5264" s="8">
        <f t="shared" si="1"/>
        <v>6</v>
      </c>
      <c r="H5264" s="14">
        <f t="shared" si="2"/>
        <v>8</v>
      </c>
      <c r="I5264" s="15">
        <f t="shared" si="3"/>
        <v>8</v>
      </c>
    </row>
    <row r="5265">
      <c r="A5265" s="8" t="str">
        <f>IFERROR(__xludf.DUMMYFUNCTION("IF('(INGESTA)Datos_consumo_datadis'!A5265&lt;&gt;"""",SPLIT('(INGESTA)Datos_consumo_datadis'!A:A,"",""),"""")"),"ES0031408323131005HX0F")</f>
        <v>ES0031408323131005HX0F</v>
      </c>
      <c r="B5265" s="12">
        <f>IFERROR(__xludf.DUMMYFUNCTION("""COMPUTED_VALUE"""),45085.0)</f>
        <v>45085</v>
      </c>
      <c r="C5265" s="13">
        <f>IFERROR(__xludf.DUMMYFUNCTION("""COMPUTED_VALUE"""),0.375)</f>
        <v>0.375</v>
      </c>
      <c r="D5265" s="8">
        <f>IFERROR(__xludf.DUMMYFUNCTION("""COMPUTED_VALUE"""),0.01)</f>
        <v>0.01</v>
      </c>
      <c r="E5265" s="8" t="str">
        <f>IFERROR(__xludf.DUMMYFUNCTION("""COMPUTED_VALUE"""),"Real")</f>
        <v>Real</v>
      </c>
      <c r="G5265" s="8">
        <f t="shared" si="1"/>
        <v>6</v>
      </c>
      <c r="H5265" s="14">
        <f t="shared" si="2"/>
        <v>8</v>
      </c>
      <c r="I5265" s="15">
        <f t="shared" si="3"/>
        <v>9</v>
      </c>
    </row>
    <row r="5266">
      <c r="A5266" s="8" t="str">
        <f>IFERROR(__xludf.DUMMYFUNCTION("IF('(INGESTA)Datos_consumo_datadis'!A5266&lt;&gt;"""",SPLIT('(INGESTA)Datos_consumo_datadis'!A:A,"",""),"""")"),"ES0031408323131005HX0F")</f>
        <v>ES0031408323131005HX0F</v>
      </c>
      <c r="B5266" s="12">
        <f>IFERROR(__xludf.DUMMYFUNCTION("""COMPUTED_VALUE"""),45085.0)</f>
        <v>45085</v>
      </c>
      <c r="C5266" s="13">
        <f>IFERROR(__xludf.DUMMYFUNCTION("""COMPUTED_VALUE"""),0.4166666666666667)</f>
        <v>0.4166666667</v>
      </c>
      <c r="D5266" s="8">
        <f>IFERROR(__xludf.DUMMYFUNCTION("""COMPUTED_VALUE"""),0.077)</f>
        <v>0.077</v>
      </c>
      <c r="E5266" s="8" t="str">
        <f>IFERROR(__xludf.DUMMYFUNCTION("""COMPUTED_VALUE"""),"Real")</f>
        <v>Real</v>
      </c>
      <c r="G5266" s="8">
        <f t="shared" si="1"/>
        <v>6</v>
      </c>
      <c r="H5266" s="14">
        <f t="shared" si="2"/>
        <v>8</v>
      </c>
      <c r="I5266" s="15">
        <f t="shared" si="3"/>
        <v>10</v>
      </c>
    </row>
    <row r="5267">
      <c r="A5267" s="8" t="str">
        <f>IFERROR(__xludf.DUMMYFUNCTION("IF('(INGESTA)Datos_consumo_datadis'!A5267&lt;&gt;"""",SPLIT('(INGESTA)Datos_consumo_datadis'!A:A,"",""),"""")"),"ES0031408323131005HX0F")</f>
        <v>ES0031408323131005HX0F</v>
      </c>
      <c r="B5267" s="12">
        <f>IFERROR(__xludf.DUMMYFUNCTION("""COMPUTED_VALUE"""),45085.0)</f>
        <v>45085</v>
      </c>
      <c r="C5267" s="13">
        <f>IFERROR(__xludf.DUMMYFUNCTION("""COMPUTED_VALUE"""),0.4583333333333333)</f>
        <v>0.4583333333</v>
      </c>
      <c r="D5267" s="8">
        <f>IFERROR(__xludf.DUMMYFUNCTION("""COMPUTED_VALUE"""),0.073)</f>
        <v>0.073</v>
      </c>
      <c r="E5267" s="8" t="str">
        <f>IFERROR(__xludf.DUMMYFUNCTION("""COMPUTED_VALUE"""),"Real")</f>
        <v>Real</v>
      </c>
      <c r="G5267" s="8">
        <f t="shared" si="1"/>
        <v>6</v>
      </c>
      <c r="H5267" s="14">
        <f t="shared" si="2"/>
        <v>8</v>
      </c>
      <c r="I5267" s="15">
        <f t="shared" si="3"/>
        <v>11</v>
      </c>
    </row>
    <row r="5268">
      <c r="A5268" s="8" t="str">
        <f>IFERROR(__xludf.DUMMYFUNCTION("IF('(INGESTA)Datos_consumo_datadis'!A5268&lt;&gt;"""",SPLIT('(INGESTA)Datos_consumo_datadis'!A:A,"",""),"""")"),"ES0031408323131005HX0F")</f>
        <v>ES0031408323131005HX0F</v>
      </c>
      <c r="B5268" s="12">
        <f>IFERROR(__xludf.DUMMYFUNCTION("""COMPUTED_VALUE"""),45085.0)</f>
        <v>45085</v>
      </c>
      <c r="C5268" s="13">
        <f>IFERROR(__xludf.DUMMYFUNCTION("""COMPUTED_VALUE"""),0.5)</f>
        <v>0.5</v>
      </c>
      <c r="D5268" s="8">
        <f>IFERROR(__xludf.DUMMYFUNCTION("""COMPUTED_VALUE"""),0.126)</f>
        <v>0.126</v>
      </c>
      <c r="E5268" s="8" t="str">
        <f>IFERROR(__xludf.DUMMYFUNCTION("""COMPUTED_VALUE"""),"Real")</f>
        <v>Real</v>
      </c>
      <c r="G5268" s="8">
        <f t="shared" si="1"/>
        <v>6</v>
      </c>
      <c r="H5268" s="14">
        <f t="shared" si="2"/>
        <v>8</v>
      </c>
      <c r="I5268" s="15">
        <f t="shared" si="3"/>
        <v>12</v>
      </c>
    </row>
    <row r="5269">
      <c r="A5269" s="8" t="str">
        <f>IFERROR(__xludf.DUMMYFUNCTION("IF('(INGESTA)Datos_consumo_datadis'!A5269&lt;&gt;"""",SPLIT('(INGESTA)Datos_consumo_datadis'!A:A,"",""),"""")"),"ES0031408323131005HX0F")</f>
        <v>ES0031408323131005HX0F</v>
      </c>
      <c r="B5269" s="12">
        <f>IFERROR(__xludf.DUMMYFUNCTION("""COMPUTED_VALUE"""),45085.0)</f>
        <v>45085</v>
      </c>
      <c r="C5269" s="13">
        <f>IFERROR(__xludf.DUMMYFUNCTION("""COMPUTED_VALUE"""),0.5416666666666666)</f>
        <v>0.5416666667</v>
      </c>
      <c r="D5269" s="8">
        <f>IFERROR(__xludf.DUMMYFUNCTION("""COMPUTED_VALUE"""),0.378)</f>
        <v>0.378</v>
      </c>
      <c r="E5269" s="8" t="str">
        <f>IFERROR(__xludf.DUMMYFUNCTION("""COMPUTED_VALUE"""),"Real")</f>
        <v>Real</v>
      </c>
      <c r="G5269" s="8">
        <f t="shared" si="1"/>
        <v>6</v>
      </c>
      <c r="H5269" s="14">
        <f t="shared" si="2"/>
        <v>8</v>
      </c>
      <c r="I5269" s="15">
        <f t="shared" si="3"/>
        <v>13</v>
      </c>
    </row>
    <row r="5270">
      <c r="A5270" s="8" t="str">
        <f>IFERROR(__xludf.DUMMYFUNCTION("IF('(INGESTA)Datos_consumo_datadis'!A5270&lt;&gt;"""",SPLIT('(INGESTA)Datos_consumo_datadis'!A:A,"",""),"""")"),"ES0031408323131005HX0F")</f>
        <v>ES0031408323131005HX0F</v>
      </c>
      <c r="B5270" s="12">
        <f>IFERROR(__xludf.DUMMYFUNCTION("""COMPUTED_VALUE"""),45085.0)</f>
        <v>45085</v>
      </c>
      <c r="C5270" s="13">
        <f>IFERROR(__xludf.DUMMYFUNCTION("""COMPUTED_VALUE"""),0.5833333333333334)</f>
        <v>0.5833333333</v>
      </c>
      <c r="D5270" s="8">
        <f>IFERROR(__xludf.DUMMYFUNCTION("""COMPUTED_VALUE"""),0.108)</f>
        <v>0.108</v>
      </c>
      <c r="E5270" s="8" t="str">
        <f>IFERROR(__xludf.DUMMYFUNCTION("""COMPUTED_VALUE"""),"Real")</f>
        <v>Real</v>
      </c>
      <c r="G5270" s="8">
        <f t="shared" si="1"/>
        <v>6</v>
      </c>
      <c r="H5270" s="14">
        <f t="shared" si="2"/>
        <v>8</v>
      </c>
      <c r="I5270" s="15">
        <f t="shared" si="3"/>
        <v>14</v>
      </c>
    </row>
    <row r="5271">
      <c r="A5271" s="8" t="str">
        <f>IFERROR(__xludf.DUMMYFUNCTION("IF('(INGESTA)Datos_consumo_datadis'!A5271&lt;&gt;"""",SPLIT('(INGESTA)Datos_consumo_datadis'!A:A,"",""),"""")"),"ES0031408323131005HX0F")</f>
        <v>ES0031408323131005HX0F</v>
      </c>
      <c r="B5271" s="12">
        <f>IFERROR(__xludf.DUMMYFUNCTION("""COMPUTED_VALUE"""),45085.0)</f>
        <v>45085</v>
      </c>
      <c r="C5271" s="13">
        <f>IFERROR(__xludf.DUMMYFUNCTION("""COMPUTED_VALUE"""),0.625)</f>
        <v>0.625</v>
      </c>
      <c r="D5271" s="8">
        <f>IFERROR(__xludf.DUMMYFUNCTION("""COMPUTED_VALUE"""),0.222)</f>
        <v>0.222</v>
      </c>
      <c r="E5271" s="8" t="str">
        <f>IFERROR(__xludf.DUMMYFUNCTION("""COMPUTED_VALUE"""),"Real")</f>
        <v>Real</v>
      </c>
      <c r="G5271" s="8">
        <f t="shared" si="1"/>
        <v>6</v>
      </c>
      <c r="H5271" s="14">
        <f t="shared" si="2"/>
        <v>8</v>
      </c>
      <c r="I5271" s="15">
        <f t="shared" si="3"/>
        <v>15</v>
      </c>
    </row>
    <row r="5272">
      <c r="A5272" s="8" t="str">
        <f>IFERROR(__xludf.DUMMYFUNCTION("IF('(INGESTA)Datos_consumo_datadis'!A5272&lt;&gt;"""",SPLIT('(INGESTA)Datos_consumo_datadis'!A:A,"",""),"""")"),"ES0031408323131005HX0F")</f>
        <v>ES0031408323131005HX0F</v>
      </c>
      <c r="B5272" s="12">
        <f>IFERROR(__xludf.DUMMYFUNCTION("""COMPUTED_VALUE"""),45085.0)</f>
        <v>45085</v>
      </c>
      <c r="C5272" s="13">
        <f>IFERROR(__xludf.DUMMYFUNCTION("""COMPUTED_VALUE"""),0.6666666666666666)</f>
        <v>0.6666666667</v>
      </c>
      <c r="D5272" s="8">
        <f>IFERROR(__xludf.DUMMYFUNCTION("""COMPUTED_VALUE"""),0.203)</f>
        <v>0.203</v>
      </c>
      <c r="E5272" s="8" t="str">
        <f>IFERROR(__xludf.DUMMYFUNCTION("""COMPUTED_VALUE"""),"Real")</f>
        <v>Real</v>
      </c>
      <c r="G5272" s="8">
        <f t="shared" si="1"/>
        <v>6</v>
      </c>
      <c r="H5272" s="14">
        <f t="shared" si="2"/>
        <v>8</v>
      </c>
      <c r="I5272" s="15">
        <f t="shared" si="3"/>
        <v>16</v>
      </c>
    </row>
    <row r="5273">
      <c r="A5273" s="8" t="str">
        <f>IFERROR(__xludf.DUMMYFUNCTION("IF('(INGESTA)Datos_consumo_datadis'!A5273&lt;&gt;"""",SPLIT('(INGESTA)Datos_consumo_datadis'!A:A,"",""),"""")"),"ES0031408323131005HX0F")</f>
        <v>ES0031408323131005HX0F</v>
      </c>
      <c r="B5273" s="12">
        <f>IFERROR(__xludf.DUMMYFUNCTION("""COMPUTED_VALUE"""),45085.0)</f>
        <v>45085</v>
      </c>
      <c r="C5273" s="13">
        <f>IFERROR(__xludf.DUMMYFUNCTION("""COMPUTED_VALUE"""),0.7083333333333334)</f>
        <v>0.7083333333</v>
      </c>
      <c r="D5273" s="8">
        <f>IFERROR(__xludf.DUMMYFUNCTION("""COMPUTED_VALUE"""),0.633)</f>
        <v>0.633</v>
      </c>
      <c r="E5273" s="8" t="str">
        <f>IFERROR(__xludf.DUMMYFUNCTION("""COMPUTED_VALUE"""),"Real")</f>
        <v>Real</v>
      </c>
      <c r="G5273" s="8">
        <f t="shared" si="1"/>
        <v>6</v>
      </c>
      <c r="H5273" s="14">
        <f t="shared" si="2"/>
        <v>8</v>
      </c>
      <c r="I5273" s="15">
        <f t="shared" si="3"/>
        <v>17</v>
      </c>
    </row>
    <row r="5274">
      <c r="A5274" s="8" t="str">
        <f>IFERROR(__xludf.DUMMYFUNCTION("IF('(INGESTA)Datos_consumo_datadis'!A5274&lt;&gt;"""",SPLIT('(INGESTA)Datos_consumo_datadis'!A:A,"",""),"""")"),"ES0031408323131005HX0F")</f>
        <v>ES0031408323131005HX0F</v>
      </c>
      <c r="B5274" s="12">
        <f>IFERROR(__xludf.DUMMYFUNCTION("""COMPUTED_VALUE"""),45085.0)</f>
        <v>45085</v>
      </c>
      <c r="C5274" s="13">
        <f>IFERROR(__xludf.DUMMYFUNCTION("""COMPUTED_VALUE"""),0.75)</f>
        <v>0.75</v>
      </c>
      <c r="D5274" s="8">
        <f>IFERROR(__xludf.DUMMYFUNCTION("""COMPUTED_VALUE"""),0.194)</f>
        <v>0.194</v>
      </c>
      <c r="E5274" s="8" t="str">
        <f>IFERROR(__xludf.DUMMYFUNCTION("""COMPUTED_VALUE"""),"Real")</f>
        <v>Real</v>
      </c>
      <c r="G5274" s="8">
        <f t="shared" si="1"/>
        <v>6</v>
      </c>
      <c r="H5274" s="14">
        <f t="shared" si="2"/>
        <v>8</v>
      </c>
      <c r="I5274" s="15">
        <f t="shared" si="3"/>
        <v>18</v>
      </c>
    </row>
    <row r="5275">
      <c r="A5275" s="8" t="str">
        <f>IFERROR(__xludf.DUMMYFUNCTION("IF('(INGESTA)Datos_consumo_datadis'!A5275&lt;&gt;"""",SPLIT('(INGESTA)Datos_consumo_datadis'!A:A,"",""),"""")"),"ES0031408323131005HX0F")</f>
        <v>ES0031408323131005HX0F</v>
      </c>
      <c r="B5275" s="12">
        <f>IFERROR(__xludf.DUMMYFUNCTION("""COMPUTED_VALUE"""),45085.0)</f>
        <v>45085</v>
      </c>
      <c r="C5275" s="13">
        <f>IFERROR(__xludf.DUMMYFUNCTION("""COMPUTED_VALUE"""),0.7916666666666666)</f>
        <v>0.7916666667</v>
      </c>
      <c r="D5275" s="8">
        <f>IFERROR(__xludf.DUMMYFUNCTION("""COMPUTED_VALUE"""),0.061)</f>
        <v>0.061</v>
      </c>
      <c r="E5275" s="8" t="str">
        <f>IFERROR(__xludf.DUMMYFUNCTION("""COMPUTED_VALUE"""),"Real")</f>
        <v>Real</v>
      </c>
      <c r="G5275" s="8">
        <f t="shared" si="1"/>
        <v>6</v>
      </c>
      <c r="H5275" s="14">
        <f t="shared" si="2"/>
        <v>8</v>
      </c>
      <c r="I5275" s="15">
        <f t="shared" si="3"/>
        <v>19</v>
      </c>
    </row>
    <row r="5276">
      <c r="A5276" s="8" t="str">
        <f>IFERROR(__xludf.DUMMYFUNCTION("IF('(INGESTA)Datos_consumo_datadis'!A5276&lt;&gt;"""",SPLIT('(INGESTA)Datos_consumo_datadis'!A:A,"",""),"""")"),"ES0031408323131005HX0F")</f>
        <v>ES0031408323131005HX0F</v>
      </c>
      <c r="B5276" s="12">
        <f>IFERROR(__xludf.DUMMYFUNCTION("""COMPUTED_VALUE"""),45085.0)</f>
        <v>45085</v>
      </c>
      <c r="C5276" s="13">
        <f>IFERROR(__xludf.DUMMYFUNCTION("""COMPUTED_VALUE"""),0.8333333333333334)</f>
        <v>0.8333333333</v>
      </c>
      <c r="D5276" s="8">
        <f>IFERROR(__xludf.DUMMYFUNCTION("""COMPUTED_VALUE"""),0.045)</f>
        <v>0.045</v>
      </c>
      <c r="E5276" s="8" t="str">
        <f>IFERROR(__xludf.DUMMYFUNCTION("""COMPUTED_VALUE"""),"Real")</f>
        <v>Real</v>
      </c>
      <c r="G5276" s="8">
        <f t="shared" si="1"/>
        <v>6</v>
      </c>
      <c r="H5276" s="14">
        <f t="shared" si="2"/>
        <v>8</v>
      </c>
      <c r="I5276" s="15">
        <f t="shared" si="3"/>
        <v>20</v>
      </c>
    </row>
    <row r="5277">
      <c r="A5277" s="8" t="str">
        <f>IFERROR(__xludf.DUMMYFUNCTION("IF('(INGESTA)Datos_consumo_datadis'!A5277&lt;&gt;"""",SPLIT('(INGESTA)Datos_consumo_datadis'!A:A,"",""),"""")"),"ES0031408323131005HX0F")</f>
        <v>ES0031408323131005HX0F</v>
      </c>
      <c r="B5277" s="12">
        <f>IFERROR(__xludf.DUMMYFUNCTION("""COMPUTED_VALUE"""),45085.0)</f>
        <v>45085</v>
      </c>
      <c r="C5277" s="13">
        <f>IFERROR(__xludf.DUMMYFUNCTION("""COMPUTED_VALUE"""),0.875)</f>
        <v>0.875</v>
      </c>
      <c r="D5277" s="8">
        <f>IFERROR(__xludf.DUMMYFUNCTION("""COMPUTED_VALUE"""),0.27)</f>
        <v>0.27</v>
      </c>
      <c r="E5277" s="8" t="str">
        <f>IFERROR(__xludf.DUMMYFUNCTION("""COMPUTED_VALUE"""),"Real")</f>
        <v>Real</v>
      </c>
      <c r="G5277" s="8">
        <f t="shared" si="1"/>
        <v>6</v>
      </c>
      <c r="H5277" s="14">
        <f t="shared" si="2"/>
        <v>8</v>
      </c>
      <c r="I5277" s="15">
        <f t="shared" si="3"/>
        <v>21</v>
      </c>
    </row>
    <row r="5278">
      <c r="A5278" s="8" t="str">
        <f>IFERROR(__xludf.DUMMYFUNCTION("IF('(INGESTA)Datos_consumo_datadis'!A5278&lt;&gt;"""",SPLIT('(INGESTA)Datos_consumo_datadis'!A:A,"",""),"""")"),"ES0031408323131005HX0F")</f>
        <v>ES0031408323131005HX0F</v>
      </c>
      <c r="B5278" s="12">
        <f>IFERROR(__xludf.DUMMYFUNCTION("""COMPUTED_VALUE"""),45085.0)</f>
        <v>45085</v>
      </c>
      <c r="C5278" s="13">
        <f>IFERROR(__xludf.DUMMYFUNCTION("""COMPUTED_VALUE"""),0.9166666666666666)</f>
        <v>0.9166666667</v>
      </c>
      <c r="D5278" s="8">
        <f>IFERROR(__xludf.DUMMYFUNCTION("""COMPUTED_VALUE"""),0.272)</f>
        <v>0.272</v>
      </c>
      <c r="E5278" s="8" t="str">
        <f>IFERROR(__xludf.DUMMYFUNCTION("""COMPUTED_VALUE"""),"Real")</f>
        <v>Real</v>
      </c>
      <c r="G5278" s="8">
        <f t="shared" si="1"/>
        <v>6</v>
      </c>
      <c r="H5278" s="14">
        <f t="shared" si="2"/>
        <v>8</v>
      </c>
      <c r="I5278" s="15">
        <f t="shared" si="3"/>
        <v>22</v>
      </c>
    </row>
    <row r="5279">
      <c r="A5279" s="8" t="str">
        <f>IFERROR(__xludf.DUMMYFUNCTION("IF('(INGESTA)Datos_consumo_datadis'!A5279&lt;&gt;"""",SPLIT('(INGESTA)Datos_consumo_datadis'!A:A,"",""),"""")"),"ES0031408323131005HX0F")</f>
        <v>ES0031408323131005HX0F</v>
      </c>
      <c r="B5279" s="12">
        <f>IFERROR(__xludf.DUMMYFUNCTION("""COMPUTED_VALUE"""),45085.0)</f>
        <v>45085</v>
      </c>
      <c r="C5279" s="13">
        <f>IFERROR(__xludf.DUMMYFUNCTION("""COMPUTED_VALUE"""),0.9583333333333334)</f>
        <v>0.9583333333</v>
      </c>
      <c r="D5279" s="8">
        <f>IFERROR(__xludf.DUMMYFUNCTION("""COMPUTED_VALUE"""),0.586)</f>
        <v>0.586</v>
      </c>
      <c r="E5279" s="8" t="str">
        <f>IFERROR(__xludf.DUMMYFUNCTION("""COMPUTED_VALUE"""),"Real")</f>
        <v>Real</v>
      </c>
      <c r="G5279" s="8">
        <f t="shared" si="1"/>
        <v>6</v>
      </c>
      <c r="H5279" s="14">
        <f t="shared" si="2"/>
        <v>8</v>
      </c>
      <c r="I5279" s="15">
        <f t="shared" si="3"/>
        <v>23</v>
      </c>
    </row>
    <row r="5280">
      <c r="A5280" s="8" t="str">
        <f>IFERROR(__xludf.DUMMYFUNCTION("IF('(INGESTA)Datos_consumo_datadis'!A5280&lt;&gt;"""",SPLIT('(INGESTA)Datos_consumo_datadis'!A:A,"",""),"""")"),"ES0031408323131005HX0F")</f>
        <v>ES0031408323131005HX0F</v>
      </c>
      <c r="B5280" s="12">
        <f>IFERROR(__xludf.DUMMYFUNCTION("""COMPUTED_VALUE"""),45085.0)</f>
        <v>45085</v>
      </c>
      <c r="C5280" s="16">
        <f>IFERROR(__xludf.DUMMYFUNCTION("""COMPUTED_VALUE"""),1.0)</f>
        <v>1</v>
      </c>
      <c r="D5280" s="8">
        <f>IFERROR(__xludf.DUMMYFUNCTION("""COMPUTED_VALUE"""),0.367)</f>
        <v>0.367</v>
      </c>
      <c r="E5280" s="8" t="str">
        <f>IFERROR(__xludf.DUMMYFUNCTION("""COMPUTED_VALUE"""),"Real")</f>
        <v>Real</v>
      </c>
      <c r="G5280" s="8">
        <f t="shared" si="1"/>
        <v>6</v>
      </c>
      <c r="H5280" s="14">
        <f t="shared" si="2"/>
        <v>8</v>
      </c>
      <c r="I5280" s="15">
        <f t="shared" si="3"/>
        <v>0</v>
      </c>
    </row>
    <row r="5281">
      <c r="A5281" s="8" t="str">
        <f>IFERROR(__xludf.DUMMYFUNCTION("IF('(INGESTA)Datos_consumo_datadis'!A5281&lt;&gt;"""",SPLIT('(INGESTA)Datos_consumo_datadis'!A:A,"",""),"""")"),"ES0031408323131005HX0F")</f>
        <v>ES0031408323131005HX0F</v>
      </c>
      <c r="B5281" s="12">
        <f>IFERROR(__xludf.DUMMYFUNCTION("""COMPUTED_VALUE"""),45086.0)</f>
        <v>45086</v>
      </c>
      <c r="C5281" s="13">
        <f>IFERROR(__xludf.DUMMYFUNCTION("""COMPUTED_VALUE"""),0.041666666666666664)</f>
        <v>0.04166666667</v>
      </c>
      <c r="D5281" s="8">
        <f>IFERROR(__xludf.DUMMYFUNCTION("""COMPUTED_VALUE"""),0.325)</f>
        <v>0.325</v>
      </c>
      <c r="E5281" s="8" t="str">
        <f>IFERROR(__xludf.DUMMYFUNCTION("""COMPUTED_VALUE"""),"Real")</f>
        <v>Real</v>
      </c>
      <c r="G5281" s="8">
        <f t="shared" si="1"/>
        <v>6</v>
      </c>
      <c r="H5281" s="14">
        <f t="shared" si="2"/>
        <v>9</v>
      </c>
      <c r="I5281" s="15">
        <f t="shared" si="3"/>
        <v>1</v>
      </c>
    </row>
    <row r="5282">
      <c r="A5282" s="8" t="str">
        <f>IFERROR(__xludf.DUMMYFUNCTION("IF('(INGESTA)Datos_consumo_datadis'!A5282&lt;&gt;"""",SPLIT('(INGESTA)Datos_consumo_datadis'!A:A,"",""),"""")"),"ES0031408323131005HX0F")</f>
        <v>ES0031408323131005HX0F</v>
      </c>
      <c r="B5282" s="12">
        <f>IFERROR(__xludf.DUMMYFUNCTION("""COMPUTED_VALUE"""),45086.0)</f>
        <v>45086</v>
      </c>
      <c r="C5282" s="13">
        <f>IFERROR(__xludf.DUMMYFUNCTION("""COMPUTED_VALUE"""),0.08333333333333333)</f>
        <v>0.08333333333</v>
      </c>
      <c r="D5282" s="8">
        <f>IFERROR(__xludf.DUMMYFUNCTION("""COMPUTED_VALUE"""),0.319)</f>
        <v>0.319</v>
      </c>
      <c r="E5282" s="8" t="str">
        <f>IFERROR(__xludf.DUMMYFUNCTION("""COMPUTED_VALUE"""),"Real")</f>
        <v>Real</v>
      </c>
      <c r="G5282" s="8">
        <f t="shared" si="1"/>
        <v>6</v>
      </c>
      <c r="H5282" s="14">
        <f t="shared" si="2"/>
        <v>9</v>
      </c>
      <c r="I5282" s="15">
        <f t="shared" si="3"/>
        <v>2</v>
      </c>
    </row>
    <row r="5283">
      <c r="A5283" s="8" t="str">
        <f>IFERROR(__xludf.DUMMYFUNCTION("IF('(INGESTA)Datos_consumo_datadis'!A5283&lt;&gt;"""",SPLIT('(INGESTA)Datos_consumo_datadis'!A:A,"",""),"""")"),"ES0031408323131005HX0F")</f>
        <v>ES0031408323131005HX0F</v>
      </c>
      <c r="B5283" s="12">
        <f>IFERROR(__xludf.DUMMYFUNCTION("""COMPUTED_VALUE"""),45086.0)</f>
        <v>45086</v>
      </c>
      <c r="C5283" s="13">
        <f>IFERROR(__xludf.DUMMYFUNCTION("""COMPUTED_VALUE"""),0.125)</f>
        <v>0.125</v>
      </c>
      <c r="D5283" s="8">
        <f>IFERROR(__xludf.DUMMYFUNCTION("""COMPUTED_VALUE"""),0.296)</f>
        <v>0.296</v>
      </c>
      <c r="E5283" s="8" t="str">
        <f>IFERROR(__xludf.DUMMYFUNCTION("""COMPUTED_VALUE"""),"Real")</f>
        <v>Real</v>
      </c>
      <c r="G5283" s="8">
        <f t="shared" si="1"/>
        <v>6</v>
      </c>
      <c r="H5283" s="14">
        <f t="shared" si="2"/>
        <v>9</v>
      </c>
      <c r="I5283" s="15">
        <f t="shared" si="3"/>
        <v>3</v>
      </c>
    </row>
    <row r="5284">
      <c r="A5284" s="8" t="str">
        <f>IFERROR(__xludf.DUMMYFUNCTION("IF('(INGESTA)Datos_consumo_datadis'!A5284&lt;&gt;"""",SPLIT('(INGESTA)Datos_consumo_datadis'!A:A,"",""),"""")"),"ES0031408323131005HX0F")</f>
        <v>ES0031408323131005HX0F</v>
      </c>
      <c r="B5284" s="12">
        <f>IFERROR(__xludf.DUMMYFUNCTION("""COMPUTED_VALUE"""),45086.0)</f>
        <v>45086</v>
      </c>
      <c r="C5284" s="13">
        <f>IFERROR(__xludf.DUMMYFUNCTION("""COMPUTED_VALUE"""),0.16666666666666666)</f>
        <v>0.1666666667</v>
      </c>
      <c r="D5284" s="8">
        <f>IFERROR(__xludf.DUMMYFUNCTION("""COMPUTED_VALUE"""),0.253)</f>
        <v>0.253</v>
      </c>
      <c r="E5284" s="8" t="str">
        <f>IFERROR(__xludf.DUMMYFUNCTION("""COMPUTED_VALUE"""),"Real")</f>
        <v>Real</v>
      </c>
      <c r="G5284" s="8">
        <f t="shared" si="1"/>
        <v>6</v>
      </c>
      <c r="H5284" s="14">
        <f t="shared" si="2"/>
        <v>9</v>
      </c>
      <c r="I5284" s="15">
        <f t="shared" si="3"/>
        <v>4</v>
      </c>
    </row>
    <row r="5285">
      <c r="A5285" s="8" t="str">
        <f>IFERROR(__xludf.DUMMYFUNCTION("IF('(INGESTA)Datos_consumo_datadis'!A5285&lt;&gt;"""",SPLIT('(INGESTA)Datos_consumo_datadis'!A:A,"",""),"""")"),"ES0031408323131005HX0F")</f>
        <v>ES0031408323131005HX0F</v>
      </c>
      <c r="B5285" s="12">
        <f>IFERROR(__xludf.DUMMYFUNCTION("""COMPUTED_VALUE"""),45086.0)</f>
        <v>45086</v>
      </c>
      <c r="C5285" s="13">
        <f>IFERROR(__xludf.DUMMYFUNCTION("""COMPUTED_VALUE"""),0.20833333333333334)</f>
        <v>0.2083333333</v>
      </c>
      <c r="D5285" s="8">
        <f>IFERROR(__xludf.DUMMYFUNCTION("""COMPUTED_VALUE"""),0.131)</f>
        <v>0.131</v>
      </c>
      <c r="E5285" s="8" t="str">
        <f>IFERROR(__xludf.DUMMYFUNCTION("""COMPUTED_VALUE"""),"Real")</f>
        <v>Real</v>
      </c>
      <c r="G5285" s="8">
        <f t="shared" si="1"/>
        <v>6</v>
      </c>
      <c r="H5285" s="14">
        <f t="shared" si="2"/>
        <v>9</v>
      </c>
      <c r="I5285" s="15">
        <f t="shared" si="3"/>
        <v>5</v>
      </c>
    </row>
    <row r="5286">
      <c r="A5286" s="8" t="str">
        <f>IFERROR(__xludf.DUMMYFUNCTION("IF('(INGESTA)Datos_consumo_datadis'!A5286&lt;&gt;"""",SPLIT('(INGESTA)Datos_consumo_datadis'!A:A,"",""),"""")"),"ES0031408323131005HX0F")</f>
        <v>ES0031408323131005HX0F</v>
      </c>
      <c r="B5286" s="12">
        <f>IFERROR(__xludf.DUMMYFUNCTION("""COMPUTED_VALUE"""),45086.0)</f>
        <v>45086</v>
      </c>
      <c r="C5286" s="13">
        <f>IFERROR(__xludf.DUMMYFUNCTION("""COMPUTED_VALUE"""),0.25)</f>
        <v>0.25</v>
      </c>
      <c r="D5286" s="8">
        <f>IFERROR(__xludf.DUMMYFUNCTION("""COMPUTED_VALUE"""),0.098)</f>
        <v>0.098</v>
      </c>
      <c r="E5286" s="8" t="str">
        <f>IFERROR(__xludf.DUMMYFUNCTION("""COMPUTED_VALUE"""),"Real")</f>
        <v>Real</v>
      </c>
      <c r="G5286" s="8">
        <f t="shared" si="1"/>
        <v>6</v>
      </c>
      <c r="H5286" s="14">
        <f t="shared" si="2"/>
        <v>9</v>
      </c>
      <c r="I5286" s="15">
        <f t="shared" si="3"/>
        <v>6</v>
      </c>
    </row>
    <row r="5287">
      <c r="A5287" s="8" t="str">
        <f>IFERROR(__xludf.DUMMYFUNCTION("IF('(INGESTA)Datos_consumo_datadis'!A5287&lt;&gt;"""",SPLIT('(INGESTA)Datos_consumo_datadis'!A:A,"",""),"""")"),"ES0031408323131005HX0F")</f>
        <v>ES0031408323131005HX0F</v>
      </c>
      <c r="B5287" s="12">
        <f>IFERROR(__xludf.DUMMYFUNCTION("""COMPUTED_VALUE"""),45086.0)</f>
        <v>45086</v>
      </c>
      <c r="C5287" s="13">
        <f>IFERROR(__xludf.DUMMYFUNCTION("""COMPUTED_VALUE"""),0.2916666666666667)</f>
        <v>0.2916666667</v>
      </c>
      <c r="D5287" s="8">
        <f>IFERROR(__xludf.DUMMYFUNCTION("""COMPUTED_VALUE"""),0.336)</f>
        <v>0.336</v>
      </c>
      <c r="E5287" s="8" t="str">
        <f>IFERROR(__xludf.DUMMYFUNCTION("""COMPUTED_VALUE"""),"Real")</f>
        <v>Real</v>
      </c>
      <c r="G5287" s="8">
        <f t="shared" si="1"/>
        <v>6</v>
      </c>
      <c r="H5287" s="14">
        <f t="shared" si="2"/>
        <v>9</v>
      </c>
      <c r="I5287" s="15">
        <f t="shared" si="3"/>
        <v>7</v>
      </c>
    </row>
    <row r="5288">
      <c r="A5288" s="8" t="str">
        <f>IFERROR(__xludf.DUMMYFUNCTION("IF('(INGESTA)Datos_consumo_datadis'!A5288&lt;&gt;"""",SPLIT('(INGESTA)Datos_consumo_datadis'!A:A,"",""),"""")"),"ES0031408323131005HX0F")</f>
        <v>ES0031408323131005HX0F</v>
      </c>
      <c r="B5288" s="12">
        <f>IFERROR(__xludf.DUMMYFUNCTION("""COMPUTED_VALUE"""),45086.0)</f>
        <v>45086</v>
      </c>
      <c r="C5288" s="13">
        <f>IFERROR(__xludf.DUMMYFUNCTION("""COMPUTED_VALUE"""),0.3333333333333333)</f>
        <v>0.3333333333</v>
      </c>
      <c r="D5288" s="8">
        <f>IFERROR(__xludf.DUMMYFUNCTION("""COMPUTED_VALUE"""),0.116)</f>
        <v>0.116</v>
      </c>
      <c r="E5288" s="8" t="str">
        <f>IFERROR(__xludf.DUMMYFUNCTION("""COMPUTED_VALUE"""),"Real")</f>
        <v>Real</v>
      </c>
      <c r="G5288" s="8">
        <f t="shared" si="1"/>
        <v>6</v>
      </c>
      <c r="H5288" s="14">
        <f t="shared" si="2"/>
        <v>9</v>
      </c>
      <c r="I5288" s="15">
        <f t="shared" si="3"/>
        <v>8</v>
      </c>
    </row>
    <row r="5289">
      <c r="A5289" s="8" t="str">
        <f>IFERROR(__xludf.DUMMYFUNCTION("IF('(INGESTA)Datos_consumo_datadis'!A5289&lt;&gt;"""",SPLIT('(INGESTA)Datos_consumo_datadis'!A:A,"",""),"""")"),"ES0031408323131005HX0F")</f>
        <v>ES0031408323131005HX0F</v>
      </c>
      <c r="B5289" s="12">
        <f>IFERROR(__xludf.DUMMYFUNCTION("""COMPUTED_VALUE"""),45086.0)</f>
        <v>45086</v>
      </c>
      <c r="C5289" s="13">
        <f>IFERROR(__xludf.DUMMYFUNCTION("""COMPUTED_VALUE"""),0.375)</f>
        <v>0.375</v>
      </c>
      <c r="D5289" s="8">
        <f>IFERROR(__xludf.DUMMYFUNCTION("""COMPUTED_VALUE"""),0.101)</f>
        <v>0.101</v>
      </c>
      <c r="E5289" s="8" t="str">
        <f>IFERROR(__xludf.DUMMYFUNCTION("""COMPUTED_VALUE"""),"Real")</f>
        <v>Real</v>
      </c>
      <c r="G5289" s="8">
        <f t="shared" si="1"/>
        <v>6</v>
      </c>
      <c r="H5289" s="14">
        <f t="shared" si="2"/>
        <v>9</v>
      </c>
      <c r="I5289" s="15">
        <f t="shared" si="3"/>
        <v>9</v>
      </c>
    </row>
    <row r="5290">
      <c r="A5290" s="8" t="str">
        <f>IFERROR(__xludf.DUMMYFUNCTION("IF('(INGESTA)Datos_consumo_datadis'!A5290&lt;&gt;"""",SPLIT('(INGESTA)Datos_consumo_datadis'!A:A,"",""),"""")"),"ES0031408323131005HX0F")</f>
        <v>ES0031408323131005HX0F</v>
      </c>
      <c r="B5290" s="12">
        <f>IFERROR(__xludf.DUMMYFUNCTION("""COMPUTED_VALUE"""),45086.0)</f>
        <v>45086</v>
      </c>
      <c r="C5290" s="13">
        <f>IFERROR(__xludf.DUMMYFUNCTION("""COMPUTED_VALUE"""),0.4166666666666667)</f>
        <v>0.4166666667</v>
      </c>
      <c r="D5290" s="8">
        <f>IFERROR(__xludf.DUMMYFUNCTION("""COMPUTED_VALUE"""),0.271)</f>
        <v>0.271</v>
      </c>
      <c r="E5290" s="8" t="str">
        <f>IFERROR(__xludf.DUMMYFUNCTION("""COMPUTED_VALUE"""),"Real")</f>
        <v>Real</v>
      </c>
      <c r="G5290" s="8">
        <f t="shared" si="1"/>
        <v>6</v>
      </c>
      <c r="H5290" s="14">
        <f t="shared" si="2"/>
        <v>9</v>
      </c>
      <c r="I5290" s="15">
        <f t="shared" si="3"/>
        <v>10</v>
      </c>
    </row>
    <row r="5291">
      <c r="A5291" s="8" t="str">
        <f>IFERROR(__xludf.DUMMYFUNCTION("IF('(INGESTA)Datos_consumo_datadis'!A5291&lt;&gt;"""",SPLIT('(INGESTA)Datos_consumo_datadis'!A:A,"",""),"""")"),"ES0031408323131005HX0F")</f>
        <v>ES0031408323131005HX0F</v>
      </c>
      <c r="B5291" s="12">
        <f>IFERROR(__xludf.DUMMYFUNCTION("""COMPUTED_VALUE"""),45086.0)</f>
        <v>45086</v>
      </c>
      <c r="C5291" s="13">
        <f>IFERROR(__xludf.DUMMYFUNCTION("""COMPUTED_VALUE"""),0.4583333333333333)</f>
        <v>0.4583333333</v>
      </c>
      <c r="D5291" s="8">
        <f>IFERROR(__xludf.DUMMYFUNCTION("""COMPUTED_VALUE"""),0.126)</f>
        <v>0.126</v>
      </c>
      <c r="E5291" s="8" t="str">
        <f>IFERROR(__xludf.DUMMYFUNCTION("""COMPUTED_VALUE"""),"Real")</f>
        <v>Real</v>
      </c>
      <c r="G5291" s="8">
        <f t="shared" si="1"/>
        <v>6</v>
      </c>
      <c r="H5291" s="14">
        <f t="shared" si="2"/>
        <v>9</v>
      </c>
      <c r="I5291" s="15">
        <f t="shared" si="3"/>
        <v>11</v>
      </c>
    </row>
    <row r="5292">
      <c r="A5292" s="8" t="str">
        <f>IFERROR(__xludf.DUMMYFUNCTION("IF('(INGESTA)Datos_consumo_datadis'!A5292&lt;&gt;"""",SPLIT('(INGESTA)Datos_consumo_datadis'!A:A,"",""),"""")"),"ES0031408323131005HX0F")</f>
        <v>ES0031408323131005HX0F</v>
      </c>
      <c r="B5292" s="12">
        <f>IFERROR(__xludf.DUMMYFUNCTION("""COMPUTED_VALUE"""),45086.0)</f>
        <v>45086</v>
      </c>
      <c r="C5292" s="13">
        <f>IFERROR(__xludf.DUMMYFUNCTION("""COMPUTED_VALUE"""),0.5)</f>
        <v>0.5</v>
      </c>
      <c r="D5292" s="8">
        <f>IFERROR(__xludf.DUMMYFUNCTION("""COMPUTED_VALUE"""),0.404)</f>
        <v>0.404</v>
      </c>
      <c r="E5292" s="8" t="str">
        <f>IFERROR(__xludf.DUMMYFUNCTION("""COMPUTED_VALUE"""),"Real")</f>
        <v>Real</v>
      </c>
      <c r="G5292" s="8">
        <f t="shared" si="1"/>
        <v>6</v>
      </c>
      <c r="H5292" s="14">
        <f t="shared" si="2"/>
        <v>9</v>
      </c>
      <c r="I5292" s="15">
        <f t="shared" si="3"/>
        <v>12</v>
      </c>
    </row>
    <row r="5293">
      <c r="A5293" s="8" t="str">
        <f>IFERROR(__xludf.DUMMYFUNCTION("IF('(INGESTA)Datos_consumo_datadis'!A5293&lt;&gt;"""",SPLIT('(INGESTA)Datos_consumo_datadis'!A:A,"",""),"""")"),"ES0031408323131005HX0F")</f>
        <v>ES0031408323131005HX0F</v>
      </c>
      <c r="B5293" s="12">
        <f>IFERROR(__xludf.DUMMYFUNCTION("""COMPUTED_VALUE"""),45086.0)</f>
        <v>45086</v>
      </c>
      <c r="C5293" s="13">
        <f>IFERROR(__xludf.DUMMYFUNCTION("""COMPUTED_VALUE"""),0.5416666666666666)</f>
        <v>0.5416666667</v>
      </c>
      <c r="D5293" s="8">
        <f>IFERROR(__xludf.DUMMYFUNCTION("""COMPUTED_VALUE"""),0.101)</f>
        <v>0.101</v>
      </c>
      <c r="E5293" s="8" t="str">
        <f>IFERROR(__xludf.DUMMYFUNCTION("""COMPUTED_VALUE"""),"Real")</f>
        <v>Real</v>
      </c>
      <c r="G5293" s="8">
        <f t="shared" si="1"/>
        <v>6</v>
      </c>
      <c r="H5293" s="14">
        <f t="shared" si="2"/>
        <v>9</v>
      </c>
      <c r="I5293" s="15">
        <f t="shared" si="3"/>
        <v>13</v>
      </c>
    </row>
    <row r="5294">
      <c r="A5294" s="8" t="str">
        <f>IFERROR(__xludf.DUMMYFUNCTION("IF('(INGESTA)Datos_consumo_datadis'!A5294&lt;&gt;"""",SPLIT('(INGESTA)Datos_consumo_datadis'!A:A,"",""),"""")"),"ES0031408323131005HX0F")</f>
        <v>ES0031408323131005HX0F</v>
      </c>
      <c r="B5294" s="12">
        <f>IFERROR(__xludf.DUMMYFUNCTION("""COMPUTED_VALUE"""),45086.0)</f>
        <v>45086</v>
      </c>
      <c r="C5294" s="13">
        <f>IFERROR(__xludf.DUMMYFUNCTION("""COMPUTED_VALUE"""),0.5833333333333334)</f>
        <v>0.5833333333</v>
      </c>
      <c r="D5294" s="8">
        <f>IFERROR(__xludf.DUMMYFUNCTION("""COMPUTED_VALUE"""),0.122)</f>
        <v>0.122</v>
      </c>
      <c r="E5294" s="8" t="str">
        <f>IFERROR(__xludf.DUMMYFUNCTION("""COMPUTED_VALUE"""),"Real")</f>
        <v>Real</v>
      </c>
      <c r="G5294" s="8">
        <f t="shared" si="1"/>
        <v>6</v>
      </c>
      <c r="H5294" s="14">
        <f t="shared" si="2"/>
        <v>9</v>
      </c>
      <c r="I5294" s="15">
        <f t="shared" si="3"/>
        <v>14</v>
      </c>
    </row>
    <row r="5295">
      <c r="A5295" s="8" t="str">
        <f>IFERROR(__xludf.DUMMYFUNCTION("IF('(INGESTA)Datos_consumo_datadis'!A5295&lt;&gt;"""",SPLIT('(INGESTA)Datos_consumo_datadis'!A:A,"",""),"""")"),"ES0031408323131005HX0F")</f>
        <v>ES0031408323131005HX0F</v>
      </c>
      <c r="B5295" s="12">
        <f>IFERROR(__xludf.DUMMYFUNCTION("""COMPUTED_VALUE"""),45086.0)</f>
        <v>45086</v>
      </c>
      <c r="C5295" s="13">
        <f>IFERROR(__xludf.DUMMYFUNCTION("""COMPUTED_VALUE"""),0.625)</f>
        <v>0.625</v>
      </c>
      <c r="D5295" s="8">
        <f>IFERROR(__xludf.DUMMYFUNCTION("""COMPUTED_VALUE"""),0.128)</f>
        <v>0.128</v>
      </c>
      <c r="E5295" s="8" t="str">
        <f>IFERROR(__xludf.DUMMYFUNCTION("""COMPUTED_VALUE"""),"Real")</f>
        <v>Real</v>
      </c>
      <c r="G5295" s="8">
        <f t="shared" si="1"/>
        <v>6</v>
      </c>
      <c r="H5295" s="14">
        <f t="shared" si="2"/>
        <v>9</v>
      </c>
      <c r="I5295" s="15">
        <f t="shared" si="3"/>
        <v>15</v>
      </c>
    </row>
    <row r="5296">
      <c r="A5296" s="8" t="str">
        <f>IFERROR(__xludf.DUMMYFUNCTION("IF('(INGESTA)Datos_consumo_datadis'!A5296&lt;&gt;"""",SPLIT('(INGESTA)Datos_consumo_datadis'!A:A,"",""),"""")"),"ES0031408323131005HX0F")</f>
        <v>ES0031408323131005HX0F</v>
      </c>
      <c r="B5296" s="12">
        <f>IFERROR(__xludf.DUMMYFUNCTION("""COMPUTED_VALUE"""),45086.0)</f>
        <v>45086</v>
      </c>
      <c r="C5296" s="13">
        <f>IFERROR(__xludf.DUMMYFUNCTION("""COMPUTED_VALUE"""),0.6666666666666666)</f>
        <v>0.6666666667</v>
      </c>
      <c r="D5296" s="8">
        <f>IFERROR(__xludf.DUMMYFUNCTION("""COMPUTED_VALUE"""),0.105)</f>
        <v>0.105</v>
      </c>
      <c r="E5296" s="8" t="str">
        <f>IFERROR(__xludf.DUMMYFUNCTION("""COMPUTED_VALUE"""),"Real")</f>
        <v>Real</v>
      </c>
      <c r="G5296" s="8">
        <f t="shared" si="1"/>
        <v>6</v>
      </c>
      <c r="H5296" s="14">
        <f t="shared" si="2"/>
        <v>9</v>
      </c>
      <c r="I5296" s="15">
        <f t="shared" si="3"/>
        <v>16</v>
      </c>
    </row>
    <row r="5297">
      <c r="A5297" s="8" t="str">
        <f>IFERROR(__xludf.DUMMYFUNCTION("IF('(INGESTA)Datos_consumo_datadis'!A5297&lt;&gt;"""",SPLIT('(INGESTA)Datos_consumo_datadis'!A:A,"",""),"""")"),"ES0031408323131005HX0F")</f>
        <v>ES0031408323131005HX0F</v>
      </c>
      <c r="B5297" s="12">
        <f>IFERROR(__xludf.DUMMYFUNCTION("""COMPUTED_VALUE"""),45086.0)</f>
        <v>45086</v>
      </c>
      <c r="C5297" s="13">
        <f>IFERROR(__xludf.DUMMYFUNCTION("""COMPUTED_VALUE"""),0.7083333333333334)</f>
        <v>0.7083333333</v>
      </c>
      <c r="D5297" s="8">
        <f>IFERROR(__xludf.DUMMYFUNCTION("""COMPUTED_VALUE"""),0.047)</f>
        <v>0.047</v>
      </c>
      <c r="E5297" s="8" t="str">
        <f>IFERROR(__xludf.DUMMYFUNCTION("""COMPUTED_VALUE"""),"Real")</f>
        <v>Real</v>
      </c>
      <c r="G5297" s="8">
        <f t="shared" si="1"/>
        <v>6</v>
      </c>
      <c r="H5297" s="14">
        <f t="shared" si="2"/>
        <v>9</v>
      </c>
      <c r="I5297" s="15">
        <f t="shared" si="3"/>
        <v>17</v>
      </c>
    </row>
    <row r="5298">
      <c r="A5298" s="8" t="str">
        <f>IFERROR(__xludf.DUMMYFUNCTION("IF('(INGESTA)Datos_consumo_datadis'!A5298&lt;&gt;"""",SPLIT('(INGESTA)Datos_consumo_datadis'!A:A,"",""),"""")"),"ES0031408323131005HX0F")</f>
        <v>ES0031408323131005HX0F</v>
      </c>
      <c r="B5298" s="12">
        <f>IFERROR(__xludf.DUMMYFUNCTION("""COMPUTED_VALUE"""),45086.0)</f>
        <v>45086</v>
      </c>
      <c r="C5298" s="13">
        <f>IFERROR(__xludf.DUMMYFUNCTION("""COMPUTED_VALUE"""),0.75)</f>
        <v>0.75</v>
      </c>
      <c r="D5298" s="8">
        <f>IFERROR(__xludf.DUMMYFUNCTION("""COMPUTED_VALUE"""),0.121)</f>
        <v>0.121</v>
      </c>
      <c r="E5298" s="8" t="str">
        <f>IFERROR(__xludf.DUMMYFUNCTION("""COMPUTED_VALUE"""),"Real")</f>
        <v>Real</v>
      </c>
      <c r="G5298" s="8">
        <f t="shared" si="1"/>
        <v>6</v>
      </c>
      <c r="H5298" s="14">
        <f t="shared" si="2"/>
        <v>9</v>
      </c>
      <c r="I5298" s="15">
        <f t="shared" si="3"/>
        <v>18</v>
      </c>
    </row>
    <row r="5299">
      <c r="A5299" s="8" t="str">
        <f>IFERROR(__xludf.DUMMYFUNCTION("IF('(INGESTA)Datos_consumo_datadis'!A5299&lt;&gt;"""",SPLIT('(INGESTA)Datos_consumo_datadis'!A:A,"",""),"""")"),"ES0031408323131005HX0F")</f>
        <v>ES0031408323131005HX0F</v>
      </c>
      <c r="B5299" s="12">
        <f>IFERROR(__xludf.DUMMYFUNCTION("""COMPUTED_VALUE"""),45086.0)</f>
        <v>45086</v>
      </c>
      <c r="C5299" s="13">
        <f>IFERROR(__xludf.DUMMYFUNCTION("""COMPUTED_VALUE"""),0.7916666666666666)</f>
        <v>0.7916666667</v>
      </c>
      <c r="D5299" s="8">
        <f>IFERROR(__xludf.DUMMYFUNCTION("""COMPUTED_VALUE"""),0.803)</f>
        <v>0.803</v>
      </c>
      <c r="E5299" s="8" t="str">
        <f>IFERROR(__xludf.DUMMYFUNCTION("""COMPUTED_VALUE"""),"Real")</f>
        <v>Real</v>
      </c>
      <c r="G5299" s="8">
        <f t="shared" si="1"/>
        <v>6</v>
      </c>
      <c r="H5299" s="14">
        <f t="shared" si="2"/>
        <v>9</v>
      </c>
      <c r="I5299" s="15">
        <f t="shared" si="3"/>
        <v>19</v>
      </c>
    </row>
    <row r="5300">
      <c r="A5300" s="8" t="str">
        <f>IFERROR(__xludf.DUMMYFUNCTION("IF('(INGESTA)Datos_consumo_datadis'!A5300&lt;&gt;"""",SPLIT('(INGESTA)Datos_consumo_datadis'!A:A,"",""),"""")"),"ES0031408323131005HX0F")</f>
        <v>ES0031408323131005HX0F</v>
      </c>
      <c r="B5300" s="12">
        <f>IFERROR(__xludf.DUMMYFUNCTION("""COMPUTED_VALUE"""),45086.0)</f>
        <v>45086</v>
      </c>
      <c r="C5300" s="13">
        <f>IFERROR(__xludf.DUMMYFUNCTION("""COMPUTED_VALUE"""),0.8333333333333334)</f>
        <v>0.8333333333</v>
      </c>
      <c r="D5300" s="8">
        <f>IFERROR(__xludf.DUMMYFUNCTION("""COMPUTED_VALUE"""),0.945)</f>
        <v>0.945</v>
      </c>
      <c r="E5300" s="8" t="str">
        <f>IFERROR(__xludf.DUMMYFUNCTION("""COMPUTED_VALUE"""),"Real")</f>
        <v>Real</v>
      </c>
      <c r="G5300" s="8">
        <f t="shared" si="1"/>
        <v>6</v>
      </c>
      <c r="H5300" s="14">
        <f t="shared" si="2"/>
        <v>9</v>
      </c>
      <c r="I5300" s="15">
        <f t="shared" si="3"/>
        <v>20</v>
      </c>
    </row>
    <row r="5301">
      <c r="A5301" s="8" t="str">
        <f>IFERROR(__xludf.DUMMYFUNCTION("IF('(INGESTA)Datos_consumo_datadis'!A5301&lt;&gt;"""",SPLIT('(INGESTA)Datos_consumo_datadis'!A:A,"",""),"""")"),"ES0031408323131005HX0F")</f>
        <v>ES0031408323131005HX0F</v>
      </c>
      <c r="B5301" s="12">
        <f>IFERROR(__xludf.DUMMYFUNCTION("""COMPUTED_VALUE"""),45086.0)</f>
        <v>45086</v>
      </c>
      <c r="C5301" s="13">
        <f>IFERROR(__xludf.DUMMYFUNCTION("""COMPUTED_VALUE"""),0.875)</f>
        <v>0.875</v>
      </c>
      <c r="D5301" s="8">
        <f>IFERROR(__xludf.DUMMYFUNCTION("""COMPUTED_VALUE"""),0.275)</f>
        <v>0.275</v>
      </c>
      <c r="E5301" s="8" t="str">
        <f>IFERROR(__xludf.DUMMYFUNCTION("""COMPUTED_VALUE"""),"Real")</f>
        <v>Real</v>
      </c>
      <c r="G5301" s="8">
        <f t="shared" si="1"/>
        <v>6</v>
      </c>
      <c r="H5301" s="14">
        <f t="shared" si="2"/>
        <v>9</v>
      </c>
      <c r="I5301" s="15">
        <f t="shared" si="3"/>
        <v>21</v>
      </c>
    </row>
    <row r="5302">
      <c r="A5302" s="8" t="str">
        <f>IFERROR(__xludf.DUMMYFUNCTION("IF('(INGESTA)Datos_consumo_datadis'!A5302&lt;&gt;"""",SPLIT('(INGESTA)Datos_consumo_datadis'!A:A,"",""),"""")"),"ES0031408323131005HX0F")</f>
        <v>ES0031408323131005HX0F</v>
      </c>
      <c r="B5302" s="12">
        <f>IFERROR(__xludf.DUMMYFUNCTION("""COMPUTED_VALUE"""),45086.0)</f>
        <v>45086</v>
      </c>
      <c r="C5302" s="13">
        <f>IFERROR(__xludf.DUMMYFUNCTION("""COMPUTED_VALUE"""),0.9166666666666666)</f>
        <v>0.9166666667</v>
      </c>
      <c r="D5302" s="8">
        <f>IFERROR(__xludf.DUMMYFUNCTION("""COMPUTED_VALUE"""),0.121)</f>
        <v>0.121</v>
      </c>
      <c r="E5302" s="8" t="str">
        <f>IFERROR(__xludf.DUMMYFUNCTION("""COMPUTED_VALUE"""),"Real")</f>
        <v>Real</v>
      </c>
      <c r="G5302" s="8">
        <f t="shared" si="1"/>
        <v>6</v>
      </c>
      <c r="H5302" s="14">
        <f t="shared" si="2"/>
        <v>9</v>
      </c>
      <c r="I5302" s="15">
        <f t="shared" si="3"/>
        <v>22</v>
      </c>
    </row>
    <row r="5303">
      <c r="A5303" s="8" t="str">
        <f>IFERROR(__xludf.DUMMYFUNCTION("IF('(INGESTA)Datos_consumo_datadis'!A5303&lt;&gt;"""",SPLIT('(INGESTA)Datos_consumo_datadis'!A:A,"",""),"""")"),"ES0031408323131005HX0F")</f>
        <v>ES0031408323131005HX0F</v>
      </c>
      <c r="B5303" s="12">
        <f>IFERROR(__xludf.DUMMYFUNCTION("""COMPUTED_VALUE"""),45086.0)</f>
        <v>45086</v>
      </c>
      <c r="C5303" s="13">
        <f>IFERROR(__xludf.DUMMYFUNCTION("""COMPUTED_VALUE"""),0.9583333333333334)</f>
        <v>0.9583333333</v>
      </c>
      <c r="D5303" s="8">
        <f>IFERROR(__xludf.DUMMYFUNCTION("""COMPUTED_VALUE"""),0.295)</f>
        <v>0.295</v>
      </c>
      <c r="E5303" s="8" t="str">
        <f>IFERROR(__xludf.DUMMYFUNCTION("""COMPUTED_VALUE"""),"Real")</f>
        <v>Real</v>
      </c>
      <c r="G5303" s="8">
        <f t="shared" si="1"/>
        <v>6</v>
      </c>
      <c r="H5303" s="14">
        <f t="shared" si="2"/>
        <v>9</v>
      </c>
      <c r="I5303" s="15">
        <f t="shared" si="3"/>
        <v>23</v>
      </c>
    </row>
    <row r="5304">
      <c r="A5304" s="8" t="str">
        <f>IFERROR(__xludf.DUMMYFUNCTION("IF('(INGESTA)Datos_consumo_datadis'!A5304&lt;&gt;"""",SPLIT('(INGESTA)Datos_consumo_datadis'!A:A,"",""),"""")"),"ES0031408323131005HX0F")</f>
        <v>ES0031408323131005HX0F</v>
      </c>
      <c r="B5304" s="12">
        <f>IFERROR(__xludf.DUMMYFUNCTION("""COMPUTED_VALUE"""),45086.0)</f>
        <v>45086</v>
      </c>
      <c r="C5304" s="16">
        <f>IFERROR(__xludf.DUMMYFUNCTION("""COMPUTED_VALUE"""),1.0)</f>
        <v>1</v>
      </c>
      <c r="D5304" s="8">
        <f>IFERROR(__xludf.DUMMYFUNCTION("""COMPUTED_VALUE"""),0.367)</f>
        <v>0.367</v>
      </c>
      <c r="E5304" s="8" t="str">
        <f>IFERROR(__xludf.DUMMYFUNCTION("""COMPUTED_VALUE"""),"Real")</f>
        <v>Real</v>
      </c>
      <c r="G5304" s="8">
        <f t="shared" si="1"/>
        <v>6</v>
      </c>
      <c r="H5304" s="14">
        <f t="shared" si="2"/>
        <v>9</v>
      </c>
      <c r="I5304" s="15">
        <f t="shared" si="3"/>
        <v>0</v>
      </c>
    </row>
    <row r="5305">
      <c r="A5305" s="8" t="str">
        <f>IFERROR(__xludf.DUMMYFUNCTION("IF('(INGESTA)Datos_consumo_datadis'!A5305&lt;&gt;"""",SPLIT('(INGESTA)Datos_consumo_datadis'!A:A,"",""),"""")"),"ES0031408323131005HX0F")</f>
        <v>ES0031408323131005HX0F</v>
      </c>
      <c r="B5305" s="12">
        <f>IFERROR(__xludf.DUMMYFUNCTION("""COMPUTED_VALUE"""),45087.0)</f>
        <v>45087</v>
      </c>
      <c r="C5305" s="13">
        <f>IFERROR(__xludf.DUMMYFUNCTION("""COMPUTED_VALUE"""),0.041666666666666664)</f>
        <v>0.04166666667</v>
      </c>
      <c r="D5305" s="8">
        <f>IFERROR(__xludf.DUMMYFUNCTION("""COMPUTED_VALUE"""),0.144)</f>
        <v>0.144</v>
      </c>
      <c r="E5305" s="8" t="str">
        <f>IFERROR(__xludf.DUMMYFUNCTION("""COMPUTED_VALUE"""),"Real")</f>
        <v>Real</v>
      </c>
      <c r="G5305" s="8">
        <f t="shared" si="1"/>
        <v>6</v>
      </c>
      <c r="H5305" s="14">
        <f t="shared" si="2"/>
        <v>10</v>
      </c>
      <c r="I5305" s="15">
        <f t="shared" si="3"/>
        <v>1</v>
      </c>
    </row>
    <row r="5306">
      <c r="A5306" s="8" t="str">
        <f>IFERROR(__xludf.DUMMYFUNCTION("IF('(INGESTA)Datos_consumo_datadis'!A5306&lt;&gt;"""",SPLIT('(INGESTA)Datos_consumo_datadis'!A:A,"",""),"""")"),"ES0031408323131005HX0F")</f>
        <v>ES0031408323131005HX0F</v>
      </c>
      <c r="B5306" s="12">
        <f>IFERROR(__xludf.DUMMYFUNCTION("""COMPUTED_VALUE"""),45087.0)</f>
        <v>45087</v>
      </c>
      <c r="C5306" s="13">
        <f>IFERROR(__xludf.DUMMYFUNCTION("""COMPUTED_VALUE"""),0.08333333333333333)</f>
        <v>0.08333333333</v>
      </c>
      <c r="D5306" s="8">
        <f>IFERROR(__xludf.DUMMYFUNCTION("""COMPUTED_VALUE"""),0.098)</f>
        <v>0.098</v>
      </c>
      <c r="E5306" s="8" t="str">
        <f>IFERROR(__xludf.DUMMYFUNCTION("""COMPUTED_VALUE"""),"Real")</f>
        <v>Real</v>
      </c>
      <c r="G5306" s="8">
        <f t="shared" si="1"/>
        <v>6</v>
      </c>
      <c r="H5306" s="14">
        <f t="shared" si="2"/>
        <v>10</v>
      </c>
      <c r="I5306" s="15">
        <f t="shared" si="3"/>
        <v>2</v>
      </c>
    </row>
    <row r="5307">
      <c r="A5307" s="8" t="str">
        <f>IFERROR(__xludf.DUMMYFUNCTION("IF('(INGESTA)Datos_consumo_datadis'!A5307&lt;&gt;"""",SPLIT('(INGESTA)Datos_consumo_datadis'!A:A,"",""),"""")"),"ES0031408323131005HX0F")</f>
        <v>ES0031408323131005HX0F</v>
      </c>
      <c r="B5307" s="12">
        <f>IFERROR(__xludf.DUMMYFUNCTION("""COMPUTED_VALUE"""),45087.0)</f>
        <v>45087</v>
      </c>
      <c r="C5307" s="13">
        <f>IFERROR(__xludf.DUMMYFUNCTION("""COMPUTED_VALUE"""),0.125)</f>
        <v>0.125</v>
      </c>
      <c r="D5307" s="8">
        <f>IFERROR(__xludf.DUMMYFUNCTION("""COMPUTED_VALUE"""),0.025)</f>
        <v>0.025</v>
      </c>
      <c r="E5307" s="8" t="str">
        <f>IFERROR(__xludf.DUMMYFUNCTION("""COMPUTED_VALUE"""),"Real")</f>
        <v>Real</v>
      </c>
      <c r="G5307" s="8">
        <f t="shared" si="1"/>
        <v>6</v>
      </c>
      <c r="H5307" s="14">
        <f t="shared" si="2"/>
        <v>10</v>
      </c>
      <c r="I5307" s="15">
        <f t="shared" si="3"/>
        <v>3</v>
      </c>
    </row>
    <row r="5308">
      <c r="A5308" s="8" t="str">
        <f>IFERROR(__xludf.DUMMYFUNCTION("IF('(INGESTA)Datos_consumo_datadis'!A5308&lt;&gt;"""",SPLIT('(INGESTA)Datos_consumo_datadis'!A:A,"",""),"""")"),"ES0031408323131005HX0F")</f>
        <v>ES0031408323131005HX0F</v>
      </c>
      <c r="B5308" s="12">
        <f>IFERROR(__xludf.DUMMYFUNCTION("""COMPUTED_VALUE"""),45087.0)</f>
        <v>45087</v>
      </c>
      <c r="C5308" s="13">
        <f>IFERROR(__xludf.DUMMYFUNCTION("""COMPUTED_VALUE"""),0.16666666666666666)</f>
        <v>0.1666666667</v>
      </c>
      <c r="D5308" s="8">
        <f>IFERROR(__xludf.DUMMYFUNCTION("""COMPUTED_VALUE"""),0.1)</f>
        <v>0.1</v>
      </c>
      <c r="E5308" s="8" t="str">
        <f>IFERROR(__xludf.DUMMYFUNCTION("""COMPUTED_VALUE"""),"Real")</f>
        <v>Real</v>
      </c>
      <c r="G5308" s="8">
        <f t="shared" si="1"/>
        <v>6</v>
      </c>
      <c r="H5308" s="14">
        <f t="shared" si="2"/>
        <v>10</v>
      </c>
      <c r="I5308" s="15">
        <f t="shared" si="3"/>
        <v>4</v>
      </c>
    </row>
    <row r="5309">
      <c r="A5309" s="8" t="str">
        <f>IFERROR(__xludf.DUMMYFUNCTION("IF('(INGESTA)Datos_consumo_datadis'!A5309&lt;&gt;"""",SPLIT('(INGESTA)Datos_consumo_datadis'!A:A,"",""),"""")"),"ES0031408323131005HX0F")</f>
        <v>ES0031408323131005HX0F</v>
      </c>
      <c r="B5309" s="12">
        <f>IFERROR(__xludf.DUMMYFUNCTION("""COMPUTED_VALUE"""),45087.0)</f>
        <v>45087</v>
      </c>
      <c r="C5309" s="13">
        <f>IFERROR(__xludf.DUMMYFUNCTION("""COMPUTED_VALUE"""),0.20833333333333334)</f>
        <v>0.2083333333</v>
      </c>
      <c r="D5309" s="8">
        <f>IFERROR(__xludf.DUMMYFUNCTION("""COMPUTED_VALUE"""),0.392)</f>
        <v>0.392</v>
      </c>
      <c r="E5309" s="8" t="str">
        <f>IFERROR(__xludf.DUMMYFUNCTION("""COMPUTED_VALUE"""),"Real")</f>
        <v>Real</v>
      </c>
      <c r="G5309" s="8">
        <f t="shared" si="1"/>
        <v>6</v>
      </c>
      <c r="H5309" s="14">
        <f t="shared" si="2"/>
        <v>10</v>
      </c>
      <c r="I5309" s="15">
        <f t="shared" si="3"/>
        <v>5</v>
      </c>
    </row>
    <row r="5310">
      <c r="A5310" s="8" t="str">
        <f>IFERROR(__xludf.DUMMYFUNCTION("IF('(INGESTA)Datos_consumo_datadis'!A5310&lt;&gt;"""",SPLIT('(INGESTA)Datos_consumo_datadis'!A:A,"",""),"""")"),"ES0031408323131005HX0F")</f>
        <v>ES0031408323131005HX0F</v>
      </c>
      <c r="B5310" s="12">
        <f>IFERROR(__xludf.DUMMYFUNCTION("""COMPUTED_VALUE"""),45087.0)</f>
        <v>45087</v>
      </c>
      <c r="C5310" s="13">
        <f>IFERROR(__xludf.DUMMYFUNCTION("""COMPUTED_VALUE"""),0.25)</f>
        <v>0.25</v>
      </c>
      <c r="D5310" s="8">
        <f>IFERROR(__xludf.DUMMYFUNCTION("""COMPUTED_VALUE"""),0.058)</f>
        <v>0.058</v>
      </c>
      <c r="E5310" s="8" t="str">
        <f>IFERROR(__xludf.DUMMYFUNCTION("""COMPUTED_VALUE"""),"Real")</f>
        <v>Real</v>
      </c>
      <c r="G5310" s="8">
        <f t="shared" si="1"/>
        <v>6</v>
      </c>
      <c r="H5310" s="14">
        <f t="shared" si="2"/>
        <v>10</v>
      </c>
      <c r="I5310" s="15">
        <f t="shared" si="3"/>
        <v>6</v>
      </c>
    </row>
    <row r="5311">
      <c r="A5311" s="8" t="str">
        <f>IFERROR(__xludf.DUMMYFUNCTION("IF('(INGESTA)Datos_consumo_datadis'!A5311&lt;&gt;"""",SPLIT('(INGESTA)Datos_consumo_datadis'!A:A,"",""),"""")"),"ES0031408323131005HX0F")</f>
        <v>ES0031408323131005HX0F</v>
      </c>
      <c r="B5311" s="12">
        <f>IFERROR(__xludf.DUMMYFUNCTION("""COMPUTED_VALUE"""),45087.0)</f>
        <v>45087</v>
      </c>
      <c r="C5311" s="13">
        <f>IFERROR(__xludf.DUMMYFUNCTION("""COMPUTED_VALUE"""),0.2916666666666667)</f>
        <v>0.2916666667</v>
      </c>
      <c r="D5311" s="8">
        <f>IFERROR(__xludf.DUMMYFUNCTION("""COMPUTED_VALUE"""),0.083)</f>
        <v>0.083</v>
      </c>
      <c r="E5311" s="8" t="str">
        <f>IFERROR(__xludf.DUMMYFUNCTION("""COMPUTED_VALUE"""),"Real")</f>
        <v>Real</v>
      </c>
      <c r="G5311" s="8">
        <f t="shared" si="1"/>
        <v>6</v>
      </c>
      <c r="H5311" s="14">
        <f t="shared" si="2"/>
        <v>10</v>
      </c>
      <c r="I5311" s="15">
        <f t="shared" si="3"/>
        <v>7</v>
      </c>
    </row>
    <row r="5312">
      <c r="A5312" s="8" t="str">
        <f>IFERROR(__xludf.DUMMYFUNCTION("IF('(INGESTA)Datos_consumo_datadis'!A5312&lt;&gt;"""",SPLIT('(INGESTA)Datos_consumo_datadis'!A:A,"",""),"""")"),"ES0031408323131005HX0F")</f>
        <v>ES0031408323131005HX0F</v>
      </c>
      <c r="B5312" s="12">
        <f>IFERROR(__xludf.DUMMYFUNCTION("""COMPUTED_VALUE"""),45087.0)</f>
        <v>45087</v>
      </c>
      <c r="C5312" s="13">
        <f>IFERROR(__xludf.DUMMYFUNCTION("""COMPUTED_VALUE"""),0.3333333333333333)</f>
        <v>0.3333333333</v>
      </c>
      <c r="D5312" s="8">
        <f>IFERROR(__xludf.DUMMYFUNCTION("""COMPUTED_VALUE"""),0.089)</f>
        <v>0.089</v>
      </c>
      <c r="E5312" s="8" t="str">
        <f>IFERROR(__xludf.DUMMYFUNCTION("""COMPUTED_VALUE"""),"Real")</f>
        <v>Real</v>
      </c>
      <c r="G5312" s="8">
        <f t="shared" si="1"/>
        <v>6</v>
      </c>
      <c r="H5312" s="14">
        <f t="shared" si="2"/>
        <v>10</v>
      </c>
      <c r="I5312" s="15">
        <f t="shared" si="3"/>
        <v>8</v>
      </c>
    </row>
    <row r="5313">
      <c r="A5313" s="8" t="str">
        <f>IFERROR(__xludf.DUMMYFUNCTION("IF('(INGESTA)Datos_consumo_datadis'!A5313&lt;&gt;"""",SPLIT('(INGESTA)Datos_consumo_datadis'!A:A,"",""),"""")"),"ES0031408323131005HX0F")</f>
        <v>ES0031408323131005HX0F</v>
      </c>
      <c r="B5313" s="12">
        <f>IFERROR(__xludf.DUMMYFUNCTION("""COMPUTED_VALUE"""),45087.0)</f>
        <v>45087</v>
      </c>
      <c r="C5313" s="13">
        <f>IFERROR(__xludf.DUMMYFUNCTION("""COMPUTED_VALUE"""),0.375)</f>
        <v>0.375</v>
      </c>
      <c r="D5313" s="8">
        <f>IFERROR(__xludf.DUMMYFUNCTION("""COMPUTED_VALUE"""),0.195)</f>
        <v>0.195</v>
      </c>
      <c r="E5313" s="8" t="str">
        <f>IFERROR(__xludf.DUMMYFUNCTION("""COMPUTED_VALUE"""),"Real")</f>
        <v>Real</v>
      </c>
      <c r="G5313" s="8">
        <f t="shared" si="1"/>
        <v>6</v>
      </c>
      <c r="H5313" s="14">
        <f t="shared" si="2"/>
        <v>10</v>
      </c>
      <c r="I5313" s="15">
        <f t="shared" si="3"/>
        <v>9</v>
      </c>
    </row>
    <row r="5314">
      <c r="A5314" s="8" t="str">
        <f>IFERROR(__xludf.DUMMYFUNCTION("IF('(INGESTA)Datos_consumo_datadis'!A5314&lt;&gt;"""",SPLIT('(INGESTA)Datos_consumo_datadis'!A:A,"",""),"""")"),"ES0031408323131005HX0F")</f>
        <v>ES0031408323131005HX0F</v>
      </c>
      <c r="B5314" s="12">
        <f>IFERROR(__xludf.DUMMYFUNCTION("""COMPUTED_VALUE"""),45087.0)</f>
        <v>45087</v>
      </c>
      <c r="C5314" s="13">
        <f>IFERROR(__xludf.DUMMYFUNCTION("""COMPUTED_VALUE"""),0.4166666666666667)</f>
        <v>0.4166666667</v>
      </c>
      <c r="D5314" s="8">
        <f>IFERROR(__xludf.DUMMYFUNCTION("""COMPUTED_VALUE"""),0.118)</f>
        <v>0.118</v>
      </c>
      <c r="E5314" s="8" t="str">
        <f>IFERROR(__xludf.DUMMYFUNCTION("""COMPUTED_VALUE"""),"Real")</f>
        <v>Real</v>
      </c>
      <c r="G5314" s="8">
        <f t="shared" si="1"/>
        <v>6</v>
      </c>
      <c r="H5314" s="14">
        <f t="shared" si="2"/>
        <v>10</v>
      </c>
      <c r="I5314" s="15">
        <f t="shared" si="3"/>
        <v>10</v>
      </c>
    </row>
    <row r="5315">
      <c r="A5315" s="8" t="str">
        <f>IFERROR(__xludf.DUMMYFUNCTION("IF('(INGESTA)Datos_consumo_datadis'!A5315&lt;&gt;"""",SPLIT('(INGESTA)Datos_consumo_datadis'!A:A,"",""),"""")"),"ES0031408323131005HX0F")</f>
        <v>ES0031408323131005HX0F</v>
      </c>
      <c r="B5315" s="12">
        <f>IFERROR(__xludf.DUMMYFUNCTION("""COMPUTED_VALUE"""),45087.0)</f>
        <v>45087</v>
      </c>
      <c r="C5315" s="13">
        <f>IFERROR(__xludf.DUMMYFUNCTION("""COMPUTED_VALUE"""),0.4583333333333333)</f>
        <v>0.4583333333</v>
      </c>
      <c r="D5315" s="8">
        <f>IFERROR(__xludf.DUMMYFUNCTION("""COMPUTED_VALUE"""),0.078)</f>
        <v>0.078</v>
      </c>
      <c r="E5315" s="8" t="str">
        <f>IFERROR(__xludf.DUMMYFUNCTION("""COMPUTED_VALUE"""),"Real")</f>
        <v>Real</v>
      </c>
      <c r="G5315" s="8">
        <f t="shared" si="1"/>
        <v>6</v>
      </c>
      <c r="H5315" s="14">
        <f t="shared" si="2"/>
        <v>10</v>
      </c>
      <c r="I5315" s="15">
        <f t="shared" si="3"/>
        <v>11</v>
      </c>
    </row>
    <row r="5316">
      <c r="A5316" s="8" t="str">
        <f>IFERROR(__xludf.DUMMYFUNCTION("IF('(INGESTA)Datos_consumo_datadis'!A5316&lt;&gt;"""",SPLIT('(INGESTA)Datos_consumo_datadis'!A:A,"",""),"""")"),"ES0031408323131005HX0F")</f>
        <v>ES0031408323131005HX0F</v>
      </c>
      <c r="B5316" s="12">
        <f>IFERROR(__xludf.DUMMYFUNCTION("""COMPUTED_VALUE"""),45087.0)</f>
        <v>45087</v>
      </c>
      <c r="C5316" s="13">
        <f>IFERROR(__xludf.DUMMYFUNCTION("""COMPUTED_VALUE"""),0.5)</f>
        <v>0.5</v>
      </c>
      <c r="D5316" s="8">
        <f>IFERROR(__xludf.DUMMYFUNCTION("""COMPUTED_VALUE"""),0.145)</f>
        <v>0.145</v>
      </c>
      <c r="E5316" s="8" t="str">
        <f>IFERROR(__xludf.DUMMYFUNCTION("""COMPUTED_VALUE"""),"Real")</f>
        <v>Real</v>
      </c>
      <c r="G5316" s="8">
        <f t="shared" si="1"/>
        <v>6</v>
      </c>
      <c r="H5316" s="14">
        <f t="shared" si="2"/>
        <v>10</v>
      </c>
      <c r="I5316" s="15">
        <f t="shared" si="3"/>
        <v>12</v>
      </c>
    </row>
    <row r="5317">
      <c r="A5317" s="8" t="str">
        <f>IFERROR(__xludf.DUMMYFUNCTION("IF('(INGESTA)Datos_consumo_datadis'!A5317&lt;&gt;"""",SPLIT('(INGESTA)Datos_consumo_datadis'!A:A,"",""),"""")"),"ES0031408323131005HX0F")</f>
        <v>ES0031408323131005HX0F</v>
      </c>
      <c r="B5317" s="12">
        <f>IFERROR(__xludf.DUMMYFUNCTION("""COMPUTED_VALUE"""),45087.0)</f>
        <v>45087</v>
      </c>
      <c r="C5317" s="13">
        <f>IFERROR(__xludf.DUMMYFUNCTION("""COMPUTED_VALUE"""),0.5416666666666666)</f>
        <v>0.5416666667</v>
      </c>
      <c r="D5317" s="8">
        <f>IFERROR(__xludf.DUMMYFUNCTION("""COMPUTED_VALUE"""),0.448)</f>
        <v>0.448</v>
      </c>
      <c r="E5317" s="8" t="str">
        <f>IFERROR(__xludf.DUMMYFUNCTION("""COMPUTED_VALUE"""),"Real")</f>
        <v>Real</v>
      </c>
      <c r="G5317" s="8">
        <f t="shared" si="1"/>
        <v>6</v>
      </c>
      <c r="H5317" s="14">
        <f t="shared" si="2"/>
        <v>10</v>
      </c>
      <c r="I5317" s="15">
        <f t="shared" si="3"/>
        <v>13</v>
      </c>
    </row>
    <row r="5318">
      <c r="A5318" s="8" t="str">
        <f>IFERROR(__xludf.DUMMYFUNCTION("IF('(INGESTA)Datos_consumo_datadis'!A5318&lt;&gt;"""",SPLIT('(INGESTA)Datos_consumo_datadis'!A:A,"",""),"""")"),"ES0031408323131005HX0F")</f>
        <v>ES0031408323131005HX0F</v>
      </c>
      <c r="B5318" s="12">
        <f>IFERROR(__xludf.DUMMYFUNCTION("""COMPUTED_VALUE"""),45087.0)</f>
        <v>45087</v>
      </c>
      <c r="C5318" s="13">
        <f>IFERROR(__xludf.DUMMYFUNCTION("""COMPUTED_VALUE"""),0.5833333333333334)</f>
        <v>0.5833333333</v>
      </c>
      <c r="D5318" s="8">
        <f>IFERROR(__xludf.DUMMYFUNCTION("""COMPUTED_VALUE"""),0.237)</f>
        <v>0.237</v>
      </c>
      <c r="E5318" s="8" t="str">
        <f>IFERROR(__xludf.DUMMYFUNCTION("""COMPUTED_VALUE"""),"Real")</f>
        <v>Real</v>
      </c>
      <c r="G5318" s="8">
        <f t="shared" si="1"/>
        <v>6</v>
      </c>
      <c r="H5318" s="14">
        <f t="shared" si="2"/>
        <v>10</v>
      </c>
      <c r="I5318" s="15">
        <f t="shared" si="3"/>
        <v>14</v>
      </c>
    </row>
    <row r="5319">
      <c r="A5319" s="8" t="str">
        <f>IFERROR(__xludf.DUMMYFUNCTION("IF('(INGESTA)Datos_consumo_datadis'!A5319&lt;&gt;"""",SPLIT('(INGESTA)Datos_consumo_datadis'!A:A,"",""),"""")"),"ES0031408323131005HX0F")</f>
        <v>ES0031408323131005HX0F</v>
      </c>
      <c r="B5319" s="12">
        <f>IFERROR(__xludf.DUMMYFUNCTION("""COMPUTED_VALUE"""),45087.0)</f>
        <v>45087</v>
      </c>
      <c r="C5319" s="13">
        <f>IFERROR(__xludf.DUMMYFUNCTION("""COMPUTED_VALUE"""),0.625)</f>
        <v>0.625</v>
      </c>
      <c r="D5319" s="8">
        <f>IFERROR(__xludf.DUMMYFUNCTION("""COMPUTED_VALUE"""),0.123)</f>
        <v>0.123</v>
      </c>
      <c r="E5319" s="8" t="str">
        <f>IFERROR(__xludf.DUMMYFUNCTION("""COMPUTED_VALUE"""),"Real")</f>
        <v>Real</v>
      </c>
      <c r="G5319" s="8">
        <f t="shared" si="1"/>
        <v>6</v>
      </c>
      <c r="H5319" s="14">
        <f t="shared" si="2"/>
        <v>10</v>
      </c>
      <c r="I5319" s="15">
        <f t="shared" si="3"/>
        <v>15</v>
      </c>
    </row>
    <row r="5320">
      <c r="A5320" s="8" t="str">
        <f>IFERROR(__xludf.DUMMYFUNCTION("IF('(INGESTA)Datos_consumo_datadis'!A5320&lt;&gt;"""",SPLIT('(INGESTA)Datos_consumo_datadis'!A:A,"",""),"""")"),"ES0031408323131005HX0F")</f>
        <v>ES0031408323131005HX0F</v>
      </c>
      <c r="B5320" s="12">
        <f>IFERROR(__xludf.DUMMYFUNCTION("""COMPUTED_VALUE"""),45087.0)</f>
        <v>45087</v>
      </c>
      <c r="C5320" s="13">
        <f>IFERROR(__xludf.DUMMYFUNCTION("""COMPUTED_VALUE"""),0.6666666666666666)</f>
        <v>0.6666666667</v>
      </c>
      <c r="D5320" s="8">
        <f>IFERROR(__xludf.DUMMYFUNCTION("""COMPUTED_VALUE"""),0.021)</f>
        <v>0.021</v>
      </c>
      <c r="E5320" s="8" t="str">
        <f>IFERROR(__xludf.DUMMYFUNCTION("""COMPUTED_VALUE"""),"Real")</f>
        <v>Real</v>
      </c>
      <c r="G5320" s="8">
        <f t="shared" si="1"/>
        <v>6</v>
      </c>
      <c r="H5320" s="14">
        <f t="shared" si="2"/>
        <v>10</v>
      </c>
      <c r="I5320" s="15">
        <f t="shared" si="3"/>
        <v>16</v>
      </c>
    </row>
    <row r="5321">
      <c r="A5321" s="8" t="str">
        <f>IFERROR(__xludf.DUMMYFUNCTION("IF('(INGESTA)Datos_consumo_datadis'!A5321&lt;&gt;"""",SPLIT('(INGESTA)Datos_consumo_datadis'!A:A,"",""),"""")"),"ES0031408323131005HX0F")</f>
        <v>ES0031408323131005HX0F</v>
      </c>
      <c r="B5321" s="12">
        <f>IFERROR(__xludf.DUMMYFUNCTION("""COMPUTED_VALUE"""),45087.0)</f>
        <v>45087</v>
      </c>
      <c r="C5321" s="13">
        <f>IFERROR(__xludf.DUMMYFUNCTION("""COMPUTED_VALUE"""),0.7083333333333334)</f>
        <v>0.7083333333</v>
      </c>
      <c r="D5321" s="8">
        <f>IFERROR(__xludf.DUMMYFUNCTION("""COMPUTED_VALUE"""),0.124)</f>
        <v>0.124</v>
      </c>
      <c r="E5321" s="8" t="str">
        <f>IFERROR(__xludf.DUMMYFUNCTION("""COMPUTED_VALUE"""),"Real")</f>
        <v>Real</v>
      </c>
      <c r="G5321" s="8">
        <f t="shared" si="1"/>
        <v>6</v>
      </c>
      <c r="H5321" s="14">
        <f t="shared" si="2"/>
        <v>10</v>
      </c>
      <c r="I5321" s="15">
        <f t="shared" si="3"/>
        <v>17</v>
      </c>
    </row>
    <row r="5322">
      <c r="A5322" s="8" t="str">
        <f>IFERROR(__xludf.DUMMYFUNCTION("IF('(INGESTA)Datos_consumo_datadis'!A5322&lt;&gt;"""",SPLIT('(INGESTA)Datos_consumo_datadis'!A:A,"",""),"""")"),"ES0031408323131005HX0F")</f>
        <v>ES0031408323131005HX0F</v>
      </c>
      <c r="B5322" s="12">
        <f>IFERROR(__xludf.DUMMYFUNCTION("""COMPUTED_VALUE"""),45087.0)</f>
        <v>45087</v>
      </c>
      <c r="C5322" s="13">
        <f>IFERROR(__xludf.DUMMYFUNCTION("""COMPUTED_VALUE"""),0.75)</f>
        <v>0.75</v>
      </c>
      <c r="D5322" s="8">
        <f>IFERROR(__xludf.DUMMYFUNCTION("""COMPUTED_VALUE"""),0.207)</f>
        <v>0.207</v>
      </c>
      <c r="E5322" s="8" t="str">
        <f>IFERROR(__xludf.DUMMYFUNCTION("""COMPUTED_VALUE"""),"Real")</f>
        <v>Real</v>
      </c>
      <c r="G5322" s="8">
        <f t="shared" si="1"/>
        <v>6</v>
      </c>
      <c r="H5322" s="14">
        <f t="shared" si="2"/>
        <v>10</v>
      </c>
      <c r="I5322" s="15">
        <f t="shared" si="3"/>
        <v>18</v>
      </c>
    </row>
    <row r="5323">
      <c r="A5323" s="8" t="str">
        <f>IFERROR(__xludf.DUMMYFUNCTION("IF('(INGESTA)Datos_consumo_datadis'!A5323&lt;&gt;"""",SPLIT('(INGESTA)Datos_consumo_datadis'!A:A,"",""),"""")"),"ES0031408323131005HX0F")</f>
        <v>ES0031408323131005HX0F</v>
      </c>
      <c r="B5323" s="12">
        <f>IFERROR(__xludf.DUMMYFUNCTION("""COMPUTED_VALUE"""),45087.0)</f>
        <v>45087</v>
      </c>
      <c r="C5323" s="13">
        <f>IFERROR(__xludf.DUMMYFUNCTION("""COMPUTED_VALUE"""),0.7916666666666666)</f>
        <v>0.7916666667</v>
      </c>
      <c r="D5323" s="8">
        <f>IFERROR(__xludf.DUMMYFUNCTION("""COMPUTED_VALUE"""),1.499)</f>
        <v>1.499</v>
      </c>
      <c r="E5323" s="8" t="str">
        <f>IFERROR(__xludf.DUMMYFUNCTION("""COMPUTED_VALUE"""),"Real")</f>
        <v>Real</v>
      </c>
      <c r="G5323" s="8">
        <f t="shared" si="1"/>
        <v>6</v>
      </c>
      <c r="H5323" s="14">
        <f t="shared" si="2"/>
        <v>10</v>
      </c>
      <c r="I5323" s="15">
        <f t="shared" si="3"/>
        <v>19</v>
      </c>
    </row>
    <row r="5324">
      <c r="A5324" s="8" t="str">
        <f>IFERROR(__xludf.DUMMYFUNCTION("IF('(INGESTA)Datos_consumo_datadis'!A5324&lt;&gt;"""",SPLIT('(INGESTA)Datos_consumo_datadis'!A:A,"",""),"""")"),"ES0031408323131005HX0F")</f>
        <v>ES0031408323131005HX0F</v>
      </c>
      <c r="B5324" s="12">
        <f>IFERROR(__xludf.DUMMYFUNCTION("""COMPUTED_VALUE"""),45087.0)</f>
        <v>45087</v>
      </c>
      <c r="C5324" s="13">
        <f>IFERROR(__xludf.DUMMYFUNCTION("""COMPUTED_VALUE"""),0.8333333333333334)</f>
        <v>0.8333333333</v>
      </c>
      <c r="D5324" s="8">
        <f>IFERROR(__xludf.DUMMYFUNCTION("""COMPUTED_VALUE"""),1.165)</f>
        <v>1.165</v>
      </c>
      <c r="E5324" s="8" t="str">
        <f>IFERROR(__xludf.DUMMYFUNCTION("""COMPUTED_VALUE"""),"Real")</f>
        <v>Real</v>
      </c>
      <c r="G5324" s="8">
        <f t="shared" si="1"/>
        <v>6</v>
      </c>
      <c r="H5324" s="14">
        <f t="shared" si="2"/>
        <v>10</v>
      </c>
      <c r="I5324" s="15">
        <f t="shared" si="3"/>
        <v>20</v>
      </c>
    </row>
    <row r="5325">
      <c r="A5325" s="8" t="str">
        <f>IFERROR(__xludf.DUMMYFUNCTION("IF('(INGESTA)Datos_consumo_datadis'!A5325&lt;&gt;"""",SPLIT('(INGESTA)Datos_consumo_datadis'!A:A,"",""),"""")"),"ES0031408323131005HX0F")</f>
        <v>ES0031408323131005HX0F</v>
      </c>
      <c r="B5325" s="12">
        <f>IFERROR(__xludf.DUMMYFUNCTION("""COMPUTED_VALUE"""),45087.0)</f>
        <v>45087</v>
      </c>
      <c r="C5325" s="13">
        <f>IFERROR(__xludf.DUMMYFUNCTION("""COMPUTED_VALUE"""),0.875)</f>
        <v>0.875</v>
      </c>
      <c r="D5325" s="8">
        <f>IFERROR(__xludf.DUMMYFUNCTION("""COMPUTED_VALUE"""),0.092)</f>
        <v>0.092</v>
      </c>
      <c r="E5325" s="8" t="str">
        <f>IFERROR(__xludf.DUMMYFUNCTION("""COMPUTED_VALUE"""),"Real")</f>
        <v>Real</v>
      </c>
      <c r="G5325" s="8">
        <f t="shared" si="1"/>
        <v>6</v>
      </c>
      <c r="H5325" s="14">
        <f t="shared" si="2"/>
        <v>10</v>
      </c>
      <c r="I5325" s="15">
        <f t="shared" si="3"/>
        <v>21</v>
      </c>
    </row>
    <row r="5326">
      <c r="A5326" s="8" t="str">
        <f>IFERROR(__xludf.DUMMYFUNCTION("IF('(INGESTA)Datos_consumo_datadis'!A5326&lt;&gt;"""",SPLIT('(INGESTA)Datos_consumo_datadis'!A:A,"",""),"""")"),"ES0031408323131005HX0F")</f>
        <v>ES0031408323131005HX0F</v>
      </c>
      <c r="B5326" s="12">
        <f>IFERROR(__xludf.DUMMYFUNCTION("""COMPUTED_VALUE"""),45087.0)</f>
        <v>45087</v>
      </c>
      <c r="C5326" s="13">
        <f>IFERROR(__xludf.DUMMYFUNCTION("""COMPUTED_VALUE"""),0.9166666666666666)</f>
        <v>0.9166666667</v>
      </c>
      <c r="D5326" s="8">
        <f>IFERROR(__xludf.DUMMYFUNCTION("""COMPUTED_VALUE"""),0.085)</f>
        <v>0.085</v>
      </c>
      <c r="E5326" s="8" t="str">
        <f>IFERROR(__xludf.DUMMYFUNCTION("""COMPUTED_VALUE"""),"Real")</f>
        <v>Real</v>
      </c>
      <c r="G5326" s="8">
        <f t="shared" si="1"/>
        <v>6</v>
      </c>
      <c r="H5326" s="14">
        <f t="shared" si="2"/>
        <v>10</v>
      </c>
      <c r="I5326" s="15">
        <f t="shared" si="3"/>
        <v>22</v>
      </c>
    </row>
    <row r="5327">
      <c r="A5327" s="8" t="str">
        <f>IFERROR(__xludf.DUMMYFUNCTION("IF('(INGESTA)Datos_consumo_datadis'!A5327&lt;&gt;"""",SPLIT('(INGESTA)Datos_consumo_datadis'!A:A,"",""),"""")"),"ES0031408323131005HX0F")</f>
        <v>ES0031408323131005HX0F</v>
      </c>
      <c r="B5327" s="12">
        <f>IFERROR(__xludf.DUMMYFUNCTION("""COMPUTED_VALUE"""),45087.0)</f>
        <v>45087</v>
      </c>
      <c r="C5327" s="13">
        <f>IFERROR(__xludf.DUMMYFUNCTION("""COMPUTED_VALUE"""),0.9583333333333334)</f>
        <v>0.9583333333</v>
      </c>
      <c r="D5327" s="8">
        <f>IFERROR(__xludf.DUMMYFUNCTION("""COMPUTED_VALUE"""),0.038)</f>
        <v>0.038</v>
      </c>
      <c r="E5327" s="8" t="str">
        <f>IFERROR(__xludf.DUMMYFUNCTION("""COMPUTED_VALUE"""),"Real")</f>
        <v>Real</v>
      </c>
      <c r="G5327" s="8">
        <f t="shared" si="1"/>
        <v>6</v>
      </c>
      <c r="H5327" s="14">
        <f t="shared" si="2"/>
        <v>10</v>
      </c>
      <c r="I5327" s="15">
        <f t="shared" si="3"/>
        <v>23</v>
      </c>
    </row>
    <row r="5328">
      <c r="A5328" s="8" t="str">
        <f>IFERROR(__xludf.DUMMYFUNCTION("IF('(INGESTA)Datos_consumo_datadis'!A5328&lt;&gt;"""",SPLIT('(INGESTA)Datos_consumo_datadis'!A:A,"",""),"""")"),"ES0031408323131005HX0F")</f>
        <v>ES0031408323131005HX0F</v>
      </c>
      <c r="B5328" s="12">
        <f>IFERROR(__xludf.DUMMYFUNCTION("""COMPUTED_VALUE"""),45087.0)</f>
        <v>45087</v>
      </c>
      <c r="C5328" s="16">
        <f>IFERROR(__xludf.DUMMYFUNCTION("""COMPUTED_VALUE"""),1.0)</f>
        <v>1</v>
      </c>
      <c r="D5328" s="8">
        <f>IFERROR(__xludf.DUMMYFUNCTION("""COMPUTED_VALUE"""),0.166)</f>
        <v>0.166</v>
      </c>
      <c r="E5328" s="8" t="str">
        <f>IFERROR(__xludf.DUMMYFUNCTION("""COMPUTED_VALUE"""),"Real")</f>
        <v>Real</v>
      </c>
      <c r="G5328" s="8">
        <f t="shared" si="1"/>
        <v>6</v>
      </c>
      <c r="H5328" s="14">
        <f t="shared" si="2"/>
        <v>10</v>
      </c>
      <c r="I5328" s="15">
        <f t="shared" si="3"/>
        <v>0</v>
      </c>
    </row>
    <row r="5329">
      <c r="A5329" s="8" t="str">
        <f>IFERROR(__xludf.DUMMYFUNCTION("IF('(INGESTA)Datos_consumo_datadis'!A5329&lt;&gt;"""",SPLIT('(INGESTA)Datos_consumo_datadis'!A:A,"",""),"""")"),"ES0031408323131005HX0F")</f>
        <v>ES0031408323131005HX0F</v>
      </c>
      <c r="B5329" s="12">
        <f>IFERROR(__xludf.DUMMYFUNCTION("""COMPUTED_VALUE"""),45088.0)</f>
        <v>45088</v>
      </c>
      <c r="C5329" s="13">
        <f>IFERROR(__xludf.DUMMYFUNCTION("""COMPUTED_VALUE"""),0.041666666666666664)</f>
        <v>0.04166666667</v>
      </c>
      <c r="D5329" s="8">
        <f>IFERROR(__xludf.DUMMYFUNCTION("""COMPUTED_VALUE"""),0.132)</f>
        <v>0.132</v>
      </c>
      <c r="E5329" s="8" t="str">
        <f>IFERROR(__xludf.DUMMYFUNCTION("""COMPUTED_VALUE"""),"Real")</f>
        <v>Real</v>
      </c>
      <c r="G5329" s="8">
        <f t="shared" si="1"/>
        <v>6</v>
      </c>
      <c r="H5329" s="14">
        <f t="shared" si="2"/>
        <v>11</v>
      </c>
      <c r="I5329" s="15">
        <f t="shared" si="3"/>
        <v>1</v>
      </c>
    </row>
    <row r="5330">
      <c r="A5330" s="8" t="str">
        <f>IFERROR(__xludf.DUMMYFUNCTION("IF('(INGESTA)Datos_consumo_datadis'!A5330&lt;&gt;"""",SPLIT('(INGESTA)Datos_consumo_datadis'!A:A,"",""),"""")"),"ES0031408323131005HX0F")</f>
        <v>ES0031408323131005HX0F</v>
      </c>
      <c r="B5330" s="12">
        <f>IFERROR(__xludf.DUMMYFUNCTION("""COMPUTED_VALUE"""),45088.0)</f>
        <v>45088</v>
      </c>
      <c r="C5330" s="13">
        <f>IFERROR(__xludf.DUMMYFUNCTION("""COMPUTED_VALUE"""),0.08333333333333333)</f>
        <v>0.08333333333</v>
      </c>
      <c r="D5330" s="8">
        <f>IFERROR(__xludf.DUMMYFUNCTION("""COMPUTED_VALUE"""),0.348)</f>
        <v>0.348</v>
      </c>
      <c r="E5330" s="8" t="str">
        <f>IFERROR(__xludf.DUMMYFUNCTION("""COMPUTED_VALUE"""),"Real")</f>
        <v>Real</v>
      </c>
      <c r="G5330" s="8">
        <f t="shared" si="1"/>
        <v>6</v>
      </c>
      <c r="H5330" s="14">
        <f t="shared" si="2"/>
        <v>11</v>
      </c>
      <c r="I5330" s="15">
        <f t="shared" si="3"/>
        <v>2</v>
      </c>
    </row>
    <row r="5331">
      <c r="A5331" s="8" t="str">
        <f>IFERROR(__xludf.DUMMYFUNCTION("IF('(INGESTA)Datos_consumo_datadis'!A5331&lt;&gt;"""",SPLIT('(INGESTA)Datos_consumo_datadis'!A:A,"",""),"""")"),"ES0031408323131005HX0F")</f>
        <v>ES0031408323131005HX0F</v>
      </c>
      <c r="B5331" s="12">
        <f>IFERROR(__xludf.DUMMYFUNCTION("""COMPUTED_VALUE"""),45088.0)</f>
        <v>45088</v>
      </c>
      <c r="C5331" s="13">
        <f>IFERROR(__xludf.DUMMYFUNCTION("""COMPUTED_VALUE"""),0.125)</f>
        <v>0.125</v>
      </c>
      <c r="D5331" s="8">
        <f>IFERROR(__xludf.DUMMYFUNCTION("""COMPUTED_VALUE"""),0.07)</f>
        <v>0.07</v>
      </c>
      <c r="E5331" s="8" t="str">
        <f>IFERROR(__xludf.DUMMYFUNCTION("""COMPUTED_VALUE"""),"Real")</f>
        <v>Real</v>
      </c>
      <c r="G5331" s="8">
        <f t="shared" si="1"/>
        <v>6</v>
      </c>
      <c r="H5331" s="14">
        <f t="shared" si="2"/>
        <v>11</v>
      </c>
      <c r="I5331" s="15">
        <f t="shared" si="3"/>
        <v>3</v>
      </c>
    </row>
    <row r="5332">
      <c r="A5332" s="8" t="str">
        <f>IFERROR(__xludf.DUMMYFUNCTION("IF('(INGESTA)Datos_consumo_datadis'!A5332&lt;&gt;"""",SPLIT('(INGESTA)Datos_consumo_datadis'!A:A,"",""),"""")"),"ES0031408323131005HX0F")</f>
        <v>ES0031408323131005HX0F</v>
      </c>
      <c r="B5332" s="12">
        <f>IFERROR(__xludf.DUMMYFUNCTION("""COMPUTED_VALUE"""),45088.0)</f>
        <v>45088</v>
      </c>
      <c r="C5332" s="13">
        <f>IFERROR(__xludf.DUMMYFUNCTION("""COMPUTED_VALUE"""),0.16666666666666666)</f>
        <v>0.1666666667</v>
      </c>
      <c r="D5332" s="8">
        <f>IFERROR(__xludf.DUMMYFUNCTION("""COMPUTED_VALUE"""),0.101)</f>
        <v>0.101</v>
      </c>
      <c r="E5332" s="8" t="str">
        <f>IFERROR(__xludf.DUMMYFUNCTION("""COMPUTED_VALUE"""),"Real")</f>
        <v>Real</v>
      </c>
      <c r="G5332" s="8">
        <f t="shared" si="1"/>
        <v>6</v>
      </c>
      <c r="H5332" s="14">
        <f t="shared" si="2"/>
        <v>11</v>
      </c>
      <c r="I5332" s="15">
        <f t="shared" si="3"/>
        <v>4</v>
      </c>
    </row>
    <row r="5333">
      <c r="A5333" s="8" t="str">
        <f>IFERROR(__xludf.DUMMYFUNCTION("IF('(INGESTA)Datos_consumo_datadis'!A5333&lt;&gt;"""",SPLIT('(INGESTA)Datos_consumo_datadis'!A:A,"",""),"""")"),"ES0031408323131005HX0F")</f>
        <v>ES0031408323131005HX0F</v>
      </c>
      <c r="B5333" s="12">
        <f>IFERROR(__xludf.DUMMYFUNCTION("""COMPUTED_VALUE"""),45088.0)</f>
        <v>45088</v>
      </c>
      <c r="C5333" s="13">
        <f>IFERROR(__xludf.DUMMYFUNCTION("""COMPUTED_VALUE"""),0.20833333333333334)</f>
        <v>0.2083333333</v>
      </c>
      <c r="D5333" s="8">
        <f>IFERROR(__xludf.DUMMYFUNCTION("""COMPUTED_VALUE"""),0.084)</f>
        <v>0.084</v>
      </c>
      <c r="E5333" s="8" t="str">
        <f>IFERROR(__xludf.DUMMYFUNCTION("""COMPUTED_VALUE"""),"Real")</f>
        <v>Real</v>
      </c>
      <c r="G5333" s="8">
        <f t="shared" si="1"/>
        <v>6</v>
      </c>
      <c r="H5333" s="14">
        <f t="shared" si="2"/>
        <v>11</v>
      </c>
      <c r="I5333" s="15">
        <f t="shared" si="3"/>
        <v>5</v>
      </c>
    </row>
    <row r="5334">
      <c r="A5334" s="8" t="str">
        <f>IFERROR(__xludf.DUMMYFUNCTION("IF('(INGESTA)Datos_consumo_datadis'!A5334&lt;&gt;"""",SPLIT('(INGESTA)Datos_consumo_datadis'!A:A,"",""),"""")"),"ES0031408323131005HX0F")</f>
        <v>ES0031408323131005HX0F</v>
      </c>
      <c r="B5334" s="12">
        <f>IFERROR(__xludf.DUMMYFUNCTION("""COMPUTED_VALUE"""),45088.0)</f>
        <v>45088</v>
      </c>
      <c r="C5334" s="13">
        <f>IFERROR(__xludf.DUMMYFUNCTION("""COMPUTED_VALUE"""),0.25)</f>
        <v>0.25</v>
      </c>
      <c r="D5334" s="8">
        <f>IFERROR(__xludf.DUMMYFUNCTION("""COMPUTED_VALUE"""),0.051)</f>
        <v>0.051</v>
      </c>
      <c r="E5334" s="8" t="str">
        <f>IFERROR(__xludf.DUMMYFUNCTION("""COMPUTED_VALUE"""),"Real")</f>
        <v>Real</v>
      </c>
      <c r="G5334" s="8">
        <f t="shared" si="1"/>
        <v>6</v>
      </c>
      <c r="H5334" s="14">
        <f t="shared" si="2"/>
        <v>11</v>
      </c>
      <c r="I5334" s="15">
        <f t="shared" si="3"/>
        <v>6</v>
      </c>
    </row>
    <row r="5335">
      <c r="A5335" s="8" t="str">
        <f>IFERROR(__xludf.DUMMYFUNCTION("IF('(INGESTA)Datos_consumo_datadis'!A5335&lt;&gt;"""",SPLIT('(INGESTA)Datos_consumo_datadis'!A:A,"",""),"""")"),"ES0031408323131005HX0F")</f>
        <v>ES0031408323131005HX0F</v>
      </c>
      <c r="B5335" s="12">
        <f>IFERROR(__xludf.DUMMYFUNCTION("""COMPUTED_VALUE"""),45088.0)</f>
        <v>45088</v>
      </c>
      <c r="C5335" s="13">
        <f>IFERROR(__xludf.DUMMYFUNCTION("""COMPUTED_VALUE"""),0.2916666666666667)</f>
        <v>0.2916666667</v>
      </c>
      <c r="D5335" s="8">
        <f>IFERROR(__xludf.DUMMYFUNCTION("""COMPUTED_VALUE"""),0.089)</f>
        <v>0.089</v>
      </c>
      <c r="E5335" s="8" t="str">
        <f>IFERROR(__xludf.DUMMYFUNCTION("""COMPUTED_VALUE"""),"Real")</f>
        <v>Real</v>
      </c>
      <c r="G5335" s="8">
        <f t="shared" si="1"/>
        <v>6</v>
      </c>
      <c r="H5335" s="14">
        <f t="shared" si="2"/>
        <v>11</v>
      </c>
      <c r="I5335" s="15">
        <f t="shared" si="3"/>
        <v>7</v>
      </c>
    </row>
    <row r="5336">
      <c r="A5336" s="8" t="str">
        <f>IFERROR(__xludf.DUMMYFUNCTION("IF('(INGESTA)Datos_consumo_datadis'!A5336&lt;&gt;"""",SPLIT('(INGESTA)Datos_consumo_datadis'!A:A,"",""),"""")"),"ES0031408323131005HX0F")</f>
        <v>ES0031408323131005HX0F</v>
      </c>
      <c r="B5336" s="12">
        <f>IFERROR(__xludf.DUMMYFUNCTION("""COMPUTED_VALUE"""),45088.0)</f>
        <v>45088</v>
      </c>
      <c r="C5336" s="13">
        <f>IFERROR(__xludf.DUMMYFUNCTION("""COMPUTED_VALUE"""),0.3333333333333333)</f>
        <v>0.3333333333</v>
      </c>
      <c r="D5336" s="8">
        <f>IFERROR(__xludf.DUMMYFUNCTION("""COMPUTED_VALUE"""),0.11)</f>
        <v>0.11</v>
      </c>
      <c r="E5336" s="8" t="str">
        <f>IFERROR(__xludf.DUMMYFUNCTION("""COMPUTED_VALUE"""),"Real")</f>
        <v>Real</v>
      </c>
      <c r="G5336" s="8">
        <f t="shared" si="1"/>
        <v>6</v>
      </c>
      <c r="H5336" s="14">
        <f t="shared" si="2"/>
        <v>11</v>
      </c>
      <c r="I5336" s="15">
        <f t="shared" si="3"/>
        <v>8</v>
      </c>
    </row>
    <row r="5337">
      <c r="A5337" s="8" t="str">
        <f>IFERROR(__xludf.DUMMYFUNCTION("IF('(INGESTA)Datos_consumo_datadis'!A5337&lt;&gt;"""",SPLIT('(INGESTA)Datos_consumo_datadis'!A:A,"",""),"""")"),"ES0031408323131005HX0F")</f>
        <v>ES0031408323131005HX0F</v>
      </c>
      <c r="B5337" s="12">
        <f>IFERROR(__xludf.DUMMYFUNCTION("""COMPUTED_VALUE"""),45088.0)</f>
        <v>45088</v>
      </c>
      <c r="C5337" s="13">
        <f>IFERROR(__xludf.DUMMYFUNCTION("""COMPUTED_VALUE"""),0.375)</f>
        <v>0.375</v>
      </c>
      <c r="D5337" s="8">
        <f>IFERROR(__xludf.DUMMYFUNCTION("""COMPUTED_VALUE"""),0.1)</f>
        <v>0.1</v>
      </c>
      <c r="E5337" s="8" t="str">
        <f>IFERROR(__xludf.DUMMYFUNCTION("""COMPUTED_VALUE"""),"Real")</f>
        <v>Real</v>
      </c>
      <c r="G5337" s="8">
        <f t="shared" si="1"/>
        <v>6</v>
      </c>
      <c r="H5337" s="14">
        <f t="shared" si="2"/>
        <v>11</v>
      </c>
      <c r="I5337" s="15">
        <f t="shared" si="3"/>
        <v>9</v>
      </c>
    </row>
    <row r="5338">
      <c r="A5338" s="8" t="str">
        <f>IFERROR(__xludf.DUMMYFUNCTION("IF('(INGESTA)Datos_consumo_datadis'!A5338&lt;&gt;"""",SPLIT('(INGESTA)Datos_consumo_datadis'!A:A,"",""),"""")"),"ES0031408323131005HX0F")</f>
        <v>ES0031408323131005HX0F</v>
      </c>
      <c r="B5338" s="12">
        <f>IFERROR(__xludf.DUMMYFUNCTION("""COMPUTED_VALUE"""),45088.0)</f>
        <v>45088</v>
      </c>
      <c r="C5338" s="13">
        <f>IFERROR(__xludf.DUMMYFUNCTION("""COMPUTED_VALUE"""),0.4166666666666667)</f>
        <v>0.4166666667</v>
      </c>
      <c r="D5338" s="8">
        <f>IFERROR(__xludf.DUMMYFUNCTION("""COMPUTED_VALUE"""),0.102)</f>
        <v>0.102</v>
      </c>
      <c r="E5338" s="8" t="str">
        <f>IFERROR(__xludf.DUMMYFUNCTION("""COMPUTED_VALUE"""),"Real")</f>
        <v>Real</v>
      </c>
      <c r="G5338" s="8">
        <f t="shared" si="1"/>
        <v>6</v>
      </c>
      <c r="H5338" s="14">
        <f t="shared" si="2"/>
        <v>11</v>
      </c>
      <c r="I5338" s="15">
        <f t="shared" si="3"/>
        <v>10</v>
      </c>
    </row>
    <row r="5339">
      <c r="A5339" s="8" t="str">
        <f>IFERROR(__xludf.DUMMYFUNCTION("IF('(INGESTA)Datos_consumo_datadis'!A5339&lt;&gt;"""",SPLIT('(INGESTA)Datos_consumo_datadis'!A:A,"",""),"""")"),"ES0031408323131005HX0F")</f>
        <v>ES0031408323131005HX0F</v>
      </c>
      <c r="B5339" s="12">
        <f>IFERROR(__xludf.DUMMYFUNCTION("""COMPUTED_VALUE"""),45088.0)</f>
        <v>45088</v>
      </c>
      <c r="C5339" s="13">
        <f>IFERROR(__xludf.DUMMYFUNCTION("""COMPUTED_VALUE"""),0.4583333333333333)</f>
        <v>0.4583333333</v>
      </c>
      <c r="D5339" s="8">
        <f>IFERROR(__xludf.DUMMYFUNCTION("""COMPUTED_VALUE"""),0.421)</f>
        <v>0.421</v>
      </c>
      <c r="E5339" s="8" t="str">
        <f>IFERROR(__xludf.DUMMYFUNCTION("""COMPUTED_VALUE"""),"Real")</f>
        <v>Real</v>
      </c>
      <c r="G5339" s="8">
        <f t="shared" si="1"/>
        <v>6</v>
      </c>
      <c r="H5339" s="14">
        <f t="shared" si="2"/>
        <v>11</v>
      </c>
      <c r="I5339" s="15">
        <f t="shared" si="3"/>
        <v>11</v>
      </c>
    </row>
    <row r="5340">
      <c r="A5340" s="8" t="str">
        <f>IFERROR(__xludf.DUMMYFUNCTION("IF('(INGESTA)Datos_consumo_datadis'!A5340&lt;&gt;"""",SPLIT('(INGESTA)Datos_consumo_datadis'!A:A,"",""),"""")"),"ES0031408323131005HX0F")</f>
        <v>ES0031408323131005HX0F</v>
      </c>
      <c r="B5340" s="12">
        <f>IFERROR(__xludf.DUMMYFUNCTION("""COMPUTED_VALUE"""),45088.0)</f>
        <v>45088</v>
      </c>
      <c r="C5340" s="13">
        <f>IFERROR(__xludf.DUMMYFUNCTION("""COMPUTED_VALUE"""),0.5)</f>
        <v>0.5</v>
      </c>
      <c r="D5340" s="8">
        <f>IFERROR(__xludf.DUMMYFUNCTION("""COMPUTED_VALUE"""),0.591)</f>
        <v>0.591</v>
      </c>
      <c r="E5340" s="8" t="str">
        <f>IFERROR(__xludf.DUMMYFUNCTION("""COMPUTED_VALUE"""),"Real")</f>
        <v>Real</v>
      </c>
      <c r="G5340" s="8">
        <f t="shared" si="1"/>
        <v>6</v>
      </c>
      <c r="H5340" s="14">
        <f t="shared" si="2"/>
        <v>11</v>
      </c>
      <c r="I5340" s="15">
        <f t="shared" si="3"/>
        <v>12</v>
      </c>
    </row>
    <row r="5341">
      <c r="A5341" s="8" t="str">
        <f>IFERROR(__xludf.DUMMYFUNCTION("IF('(INGESTA)Datos_consumo_datadis'!A5341&lt;&gt;"""",SPLIT('(INGESTA)Datos_consumo_datadis'!A:A,"",""),"""")"),"ES0031408323131005HX0F")</f>
        <v>ES0031408323131005HX0F</v>
      </c>
      <c r="B5341" s="12">
        <f>IFERROR(__xludf.DUMMYFUNCTION("""COMPUTED_VALUE"""),45088.0)</f>
        <v>45088</v>
      </c>
      <c r="C5341" s="13">
        <f>IFERROR(__xludf.DUMMYFUNCTION("""COMPUTED_VALUE"""),0.5416666666666666)</f>
        <v>0.5416666667</v>
      </c>
      <c r="D5341" s="8">
        <f>IFERROR(__xludf.DUMMYFUNCTION("""COMPUTED_VALUE"""),0.499)</f>
        <v>0.499</v>
      </c>
      <c r="E5341" s="8" t="str">
        <f>IFERROR(__xludf.DUMMYFUNCTION("""COMPUTED_VALUE"""),"Real")</f>
        <v>Real</v>
      </c>
      <c r="G5341" s="8">
        <f t="shared" si="1"/>
        <v>6</v>
      </c>
      <c r="H5341" s="14">
        <f t="shared" si="2"/>
        <v>11</v>
      </c>
      <c r="I5341" s="15">
        <f t="shared" si="3"/>
        <v>13</v>
      </c>
    </row>
    <row r="5342">
      <c r="A5342" s="8" t="str">
        <f>IFERROR(__xludf.DUMMYFUNCTION("IF('(INGESTA)Datos_consumo_datadis'!A5342&lt;&gt;"""",SPLIT('(INGESTA)Datos_consumo_datadis'!A:A,"",""),"""")"),"ES0031408323131005HX0F")</f>
        <v>ES0031408323131005HX0F</v>
      </c>
      <c r="B5342" s="12">
        <f>IFERROR(__xludf.DUMMYFUNCTION("""COMPUTED_VALUE"""),45088.0)</f>
        <v>45088</v>
      </c>
      <c r="C5342" s="13">
        <f>IFERROR(__xludf.DUMMYFUNCTION("""COMPUTED_VALUE"""),0.5833333333333334)</f>
        <v>0.5833333333</v>
      </c>
      <c r="D5342" s="8">
        <f>IFERROR(__xludf.DUMMYFUNCTION("""COMPUTED_VALUE"""),0.088)</f>
        <v>0.088</v>
      </c>
      <c r="E5342" s="8" t="str">
        <f>IFERROR(__xludf.DUMMYFUNCTION("""COMPUTED_VALUE"""),"Real")</f>
        <v>Real</v>
      </c>
      <c r="G5342" s="8">
        <f t="shared" si="1"/>
        <v>6</v>
      </c>
      <c r="H5342" s="14">
        <f t="shared" si="2"/>
        <v>11</v>
      </c>
      <c r="I5342" s="15">
        <f t="shared" si="3"/>
        <v>14</v>
      </c>
    </row>
    <row r="5343">
      <c r="A5343" s="8" t="str">
        <f>IFERROR(__xludf.DUMMYFUNCTION("IF('(INGESTA)Datos_consumo_datadis'!A5343&lt;&gt;"""",SPLIT('(INGESTA)Datos_consumo_datadis'!A:A,"",""),"""")"),"ES0031408323131005HX0F")</f>
        <v>ES0031408323131005HX0F</v>
      </c>
      <c r="B5343" s="12">
        <f>IFERROR(__xludf.DUMMYFUNCTION("""COMPUTED_VALUE"""),45088.0)</f>
        <v>45088</v>
      </c>
      <c r="C5343" s="13">
        <f>IFERROR(__xludf.DUMMYFUNCTION("""COMPUTED_VALUE"""),0.625)</f>
        <v>0.625</v>
      </c>
      <c r="D5343" s="8">
        <f>IFERROR(__xludf.DUMMYFUNCTION("""COMPUTED_VALUE"""),0.047)</f>
        <v>0.047</v>
      </c>
      <c r="E5343" s="8" t="str">
        <f>IFERROR(__xludf.DUMMYFUNCTION("""COMPUTED_VALUE"""),"Real")</f>
        <v>Real</v>
      </c>
      <c r="G5343" s="8">
        <f t="shared" si="1"/>
        <v>6</v>
      </c>
      <c r="H5343" s="14">
        <f t="shared" si="2"/>
        <v>11</v>
      </c>
      <c r="I5343" s="15">
        <f t="shared" si="3"/>
        <v>15</v>
      </c>
    </row>
    <row r="5344">
      <c r="A5344" s="8" t="str">
        <f>IFERROR(__xludf.DUMMYFUNCTION("IF('(INGESTA)Datos_consumo_datadis'!A5344&lt;&gt;"""",SPLIT('(INGESTA)Datos_consumo_datadis'!A:A,"",""),"""")"),"ES0031408323131005HX0F")</f>
        <v>ES0031408323131005HX0F</v>
      </c>
      <c r="B5344" s="12">
        <f>IFERROR(__xludf.DUMMYFUNCTION("""COMPUTED_VALUE"""),45088.0)</f>
        <v>45088</v>
      </c>
      <c r="C5344" s="13">
        <f>IFERROR(__xludf.DUMMYFUNCTION("""COMPUTED_VALUE"""),0.6666666666666666)</f>
        <v>0.6666666667</v>
      </c>
      <c r="D5344" s="8">
        <f>IFERROR(__xludf.DUMMYFUNCTION("""COMPUTED_VALUE"""),0.329)</f>
        <v>0.329</v>
      </c>
      <c r="E5344" s="8" t="str">
        <f>IFERROR(__xludf.DUMMYFUNCTION("""COMPUTED_VALUE"""),"Real")</f>
        <v>Real</v>
      </c>
      <c r="G5344" s="8">
        <f t="shared" si="1"/>
        <v>6</v>
      </c>
      <c r="H5344" s="14">
        <f t="shared" si="2"/>
        <v>11</v>
      </c>
      <c r="I5344" s="15">
        <f t="shared" si="3"/>
        <v>16</v>
      </c>
    </row>
    <row r="5345">
      <c r="A5345" s="8" t="str">
        <f>IFERROR(__xludf.DUMMYFUNCTION("IF('(INGESTA)Datos_consumo_datadis'!A5345&lt;&gt;"""",SPLIT('(INGESTA)Datos_consumo_datadis'!A:A,"",""),"""")"),"ES0031408323131005HX0F")</f>
        <v>ES0031408323131005HX0F</v>
      </c>
      <c r="B5345" s="12">
        <f>IFERROR(__xludf.DUMMYFUNCTION("""COMPUTED_VALUE"""),45088.0)</f>
        <v>45088</v>
      </c>
      <c r="C5345" s="13">
        <f>IFERROR(__xludf.DUMMYFUNCTION("""COMPUTED_VALUE"""),0.7083333333333334)</f>
        <v>0.7083333333</v>
      </c>
      <c r="D5345" s="8">
        <f>IFERROR(__xludf.DUMMYFUNCTION("""COMPUTED_VALUE"""),0.453)</f>
        <v>0.453</v>
      </c>
      <c r="E5345" s="8" t="str">
        <f>IFERROR(__xludf.DUMMYFUNCTION("""COMPUTED_VALUE"""),"Real")</f>
        <v>Real</v>
      </c>
      <c r="G5345" s="8">
        <f t="shared" si="1"/>
        <v>6</v>
      </c>
      <c r="H5345" s="14">
        <f t="shared" si="2"/>
        <v>11</v>
      </c>
      <c r="I5345" s="15">
        <f t="shared" si="3"/>
        <v>17</v>
      </c>
    </row>
    <row r="5346">
      <c r="A5346" s="8" t="str">
        <f>IFERROR(__xludf.DUMMYFUNCTION("IF('(INGESTA)Datos_consumo_datadis'!A5346&lt;&gt;"""",SPLIT('(INGESTA)Datos_consumo_datadis'!A:A,"",""),"""")"),"ES0031408323131005HX0F")</f>
        <v>ES0031408323131005HX0F</v>
      </c>
      <c r="B5346" s="12">
        <f>IFERROR(__xludf.DUMMYFUNCTION("""COMPUTED_VALUE"""),45088.0)</f>
        <v>45088</v>
      </c>
      <c r="C5346" s="13">
        <f>IFERROR(__xludf.DUMMYFUNCTION("""COMPUTED_VALUE"""),0.75)</f>
        <v>0.75</v>
      </c>
      <c r="D5346" s="8">
        <f>IFERROR(__xludf.DUMMYFUNCTION("""COMPUTED_VALUE"""),0.113)</f>
        <v>0.113</v>
      </c>
      <c r="E5346" s="8" t="str">
        <f>IFERROR(__xludf.DUMMYFUNCTION("""COMPUTED_VALUE"""),"Real")</f>
        <v>Real</v>
      </c>
      <c r="G5346" s="8">
        <f t="shared" si="1"/>
        <v>6</v>
      </c>
      <c r="H5346" s="14">
        <f t="shared" si="2"/>
        <v>11</v>
      </c>
      <c r="I5346" s="15">
        <f t="shared" si="3"/>
        <v>18</v>
      </c>
    </row>
    <row r="5347">
      <c r="A5347" s="8" t="str">
        <f>IFERROR(__xludf.DUMMYFUNCTION("IF('(INGESTA)Datos_consumo_datadis'!A5347&lt;&gt;"""",SPLIT('(INGESTA)Datos_consumo_datadis'!A:A,"",""),"""")"),"ES0031408323131005HX0F")</f>
        <v>ES0031408323131005HX0F</v>
      </c>
      <c r="B5347" s="12">
        <f>IFERROR(__xludf.DUMMYFUNCTION("""COMPUTED_VALUE"""),45088.0)</f>
        <v>45088</v>
      </c>
      <c r="C5347" s="13">
        <f>IFERROR(__xludf.DUMMYFUNCTION("""COMPUTED_VALUE"""),0.7916666666666666)</f>
        <v>0.7916666667</v>
      </c>
      <c r="D5347" s="8">
        <f>IFERROR(__xludf.DUMMYFUNCTION("""COMPUTED_VALUE"""),0.392)</f>
        <v>0.392</v>
      </c>
      <c r="E5347" s="8" t="str">
        <f>IFERROR(__xludf.DUMMYFUNCTION("""COMPUTED_VALUE"""),"Real")</f>
        <v>Real</v>
      </c>
      <c r="G5347" s="8">
        <f t="shared" si="1"/>
        <v>6</v>
      </c>
      <c r="H5347" s="14">
        <f t="shared" si="2"/>
        <v>11</v>
      </c>
      <c r="I5347" s="15">
        <f t="shared" si="3"/>
        <v>19</v>
      </c>
    </row>
    <row r="5348">
      <c r="A5348" s="8" t="str">
        <f>IFERROR(__xludf.DUMMYFUNCTION("IF('(INGESTA)Datos_consumo_datadis'!A5348&lt;&gt;"""",SPLIT('(INGESTA)Datos_consumo_datadis'!A:A,"",""),"""")"),"ES0031408323131005HX0F")</f>
        <v>ES0031408323131005HX0F</v>
      </c>
      <c r="B5348" s="12">
        <f>IFERROR(__xludf.DUMMYFUNCTION("""COMPUTED_VALUE"""),45088.0)</f>
        <v>45088</v>
      </c>
      <c r="C5348" s="13">
        <f>IFERROR(__xludf.DUMMYFUNCTION("""COMPUTED_VALUE"""),0.8333333333333334)</f>
        <v>0.8333333333</v>
      </c>
      <c r="D5348" s="8">
        <f>IFERROR(__xludf.DUMMYFUNCTION("""COMPUTED_VALUE"""),0.06)</f>
        <v>0.06</v>
      </c>
      <c r="E5348" s="8" t="str">
        <f>IFERROR(__xludf.DUMMYFUNCTION("""COMPUTED_VALUE"""),"Real")</f>
        <v>Real</v>
      </c>
      <c r="G5348" s="8">
        <f t="shared" si="1"/>
        <v>6</v>
      </c>
      <c r="H5348" s="14">
        <f t="shared" si="2"/>
        <v>11</v>
      </c>
      <c r="I5348" s="15">
        <f t="shared" si="3"/>
        <v>20</v>
      </c>
    </row>
    <row r="5349">
      <c r="A5349" s="8" t="str">
        <f>IFERROR(__xludf.DUMMYFUNCTION("IF('(INGESTA)Datos_consumo_datadis'!A5349&lt;&gt;"""",SPLIT('(INGESTA)Datos_consumo_datadis'!A:A,"",""),"""")"),"ES0031408323131005HX0F")</f>
        <v>ES0031408323131005HX0F</v>
      </c>
      <c r="B5349" s="12">
        <f>IFERROR(__xludf.DUMMYFUNCTION("""COMPUTED_VALUE"""),45088.0)</f>
        <v>45088</v>
      </c>
      <c r="C5349" s="13">
        <f>IFERROR(__xludf.DUMMYFUNCTION("""COMPUTED_VALUE"""),0.875)</f>
        <v>0.875</v>
      </c>
      <c r="D5349" s="8">
        <f>IFERROR(__xludf.DUMMYFUNCTION("""COMPUTED_VALUE"""),0.069)</f>
        <v>0.069</v>
      </c>
      <c r="E5349" s="8" t="str">
        <f>IFERROR(__xludf.DUMMYFUNCTION("""COMPUTED_VALUE"""),"Real")</f>
        <v>Real</v>
      </c>
      <c r="G5349" s="8">
        <f t="shared" si="1"/>
        <v>6</v>
      </c>
      <c r="H5349" s="14">
        <f t="shared" si="2"/>
        <v>11</v>
      </c>
      <c r="I5349" s="15">
        <f t="shared" si="3"/>
        <v>21</v>
      </c>
    </row>
    <row r="5350">
      <c r="A5350" s="8" t="str">
        <f>IFERROR(__xludf.DUMMYFUNCTION("IF('(INGESTA)Datos_consumo_datadis'!A5350&lt;&gt;"""",SPLIT('(INGESTA)Datos_consumo_datadis'!A:A,"",""),"""")"),"ES0031408323131005HX0F")</f>
        <v>ES0031408323131005HX0F</v>
      </c>
      <c r="B5350" s="12">
        <f>IFERROR(__xludf.DUMMYFUNCTION("""COMPUTED_VALUE"""),45088.0)</f>
        <v>45088</v>
      </c>
      <c r="C5350" s="13">
        <f>IFERROR(__xludf.DUMMYFUNCTION("""COMPUTED_VALUE"""),0.9166666666666666)</f>
        <v>0.9166666667</v>
      </c>
      <c r="D5350" s="8">
        <f>IFERROR(__xludf.DUMMYFUNCTION("""COMPUTED_VALUE"""),0.114)</f>
        <v>0.114</v>
      </c>
      <c r="E5350" s="8" t="str">
        <f>IFERROR(__xludf.DUMMYFUNCTION("""COMPUTED_VALUE"""),"Real")</f>
        <v>Real</v>
      </c>
      <c r="G5350" s="8">
        <f t="shared" si="1"/>
        <v>6</v>
      </c>
      <c r="H5350" s="14">
        <f t="shared" si="2"/>
        <v>11</v>
      </c>
      <c r="I5350" s="15">
        <f t="shared" si="3"/>
        <v>22</v>
      </c>
    </row>
    <row r="5351">
      <c r="A5351" s="8" t="str">
        <f>IFERROR(__xludf.DUMMYFUNCTION("IF('(INGESTA)Datos_consumo_datadis'!A5351&lt;&gt;"""",SPLIT('(INGESTA)Datos_consumo_datadis'!A:A,"",""),"""")"),"ES0031408323131005HX0F")</f>
        <v>ES0031408323131005HX0F</v>
      </c>
      <c r="B5351" s="12">
        <f>IFERROR(__xludf.DUMMYFUNCTION("""COMPUTED_VALUE"""),45088.0)</f>
        <v>45088</v>
      </c>
      <c r="C5351" s="13">
        <f>IFERROR(__xludf.DUMMYFUNCTION("""COMPUTED_VALUE"""),0.9583333333333334)</f>
        <v>0.9583333333</v>
      </c>
      <c r="D5351" s="8">
        <f>IFERROR(__xludf.DUMMYFUNCTION("""COMPUTED_VALUE"""),0.086)</f>
        <v>0.086</v>
      </c>
      <c r="E5351" s="8" t="str">
        <f>IFERROR(__xludf.DUMMYFUNCTION("""COMPUTED_VALUE"""),"Real")</f>
        <v>Real</v>
      </c>
      <c r="G5351" s="8">
        <f t="shared" si="1"/>
        <v>6</v>
      </c>
      <c r="H5351" s="14">
        <f t="shared" si="2"/>
        <v>11</v>
      </c>
      <c r="I5351" s="15">
        <f t="shared" si="3"/>
        <v>23</v>
      </c>
    </row>
    <row r="5352">
      <c r="A5352" s="8" t="str">
        <f>IFERROR(__xludf.DUMMYFUNCTION("IF('(INGESTA)Datos_consumo_datadis'!A5352&lt;&gt;"""",SPLIT('(INGESTA)Datos_consumo_datadis'!A:A,"",""),"""")"),"ES0031408323131005HX0F")</f>
        <v>ES0031408323131005HX0F</v>
      </c>
      <c r="B5352" s="12">
        <f>IFERROR(__xludf.DUMMYFUNCTION("""COMPUTED_VALUE"""),45088.0)</f>
        <v>45088</v>
      </c>
      <c r="C5352" s="16">
        <f>IFERROR(__xludf.DUMMYFUNCTION("""COMPUTED_VALUE"""),1.0)</f>
        <v>1</v>
      </c>
      <c r="D5352" s="8">
        <f>IFERROR(__xludf.DUMMYFUNCTION("""COMPUTED_VALUE"""),0.022)</f>
        <v>0.022</v>
      </c>
      <c r="E5352" s="8" t="str">
        <f>IFERROR(__xludf.DUMMYFUNCTION("""COMPUTED_VALUE"""),"Real")</f>
        <v>Real</v>
      </c>
      <c r="G5352" s="8">
        <f t="shared" si="1"/>
        <v>6</v>
      </c>
      <c r="H5352" s="14">
        <f t="shared" si="2"/>
        <v>11</v>
      </c>
      <c r="I5352" s="15">
        <f t="shared" si="3"/>
        <v>0</v>
      </c>
    </row>
    <row r="5353">
      <c r="A5353" s="8" t="str">
        <f>IFERROR(__xludf.DUMMYFUNCTION("IF('(INGESTA)Datos_consumo_datadis'!A5353&lt;&gt;"""",SPLIT('(INGESTA)Datos_consumo_datadis'!A:A,"",""),"""")"),"ES0031408323131005HX0F")</f>
        <v>ES0031408323131005HX0F</v>
      </c>
      <c r="B5353" s="12">
        <f>IFERROR(__xludf.DUMMYFUNCTION("""COMPUTED_VALUE"""),45089.0)</f>
        <v>45089</v>
      </c>
      <c r="C5353" s="13">
        <f>IFERROR(__xludf.DUMMYFUNCTION("""COMPUTED_VALUE"""),0.041666666666666664)</f>
        <v>0.04166666667</v>
      </c>
      <c r="D5353" s="8">
        <f>IFERROR(__xludf.DUMMYFUNCTION("""COMPUTED_VALUE"""),0.115)</f>
        <v>0.115</v>
      </c>
      <c r="E5353" s="8" t="str">
        <f>IFERROR(__xludf.DUMMYFUNCTION("""COMPUTED_VALUE"""),"Real")</f>
        <v>Real</v>
      </c>
      <c r="G5353" s="8">
        <f t="shared" si="1"/>
        <v>6</v>
      </c>
      <c r="H5353" s="14">
        <f t="shared" si="2"/>
        <v>12</v>
      </c>
      <c r="I5353" s="15">
        <f t="shared" si="3"/>
        <v>1</v>
      </c>
    </row>
    <row r="5354">
      <c r="A5354" s="8" t="str">
        <f>IFERROR(__xludf.DUMMYFUNCTION("IF('(INGESTA)Datos_consumo_datadis'!A5354&lt;&gt;"""",SPLIT('(INGESTA)Datos_consumo_datadis'!A:A,"",""),"""")"),"ES0031408323131005HX0F")</f>
        <v>ES0031408323131005HX0F</v>
      </c>
      <c r="B5354" s="12">
        <f>IFERROR(__xludf.DUMMYFUNCTION("""COMPUTED_VALUE"""),45089.0)</f>
        <v>45089</v>
      </c>
      <c r="C5354" s="13">
        <f>IFERROR(__xludf.DUMMYFUNCTION("""COMPUTED_VALUE"""),0.08333333333333333)</f>
        <v>0.08333333333</v>
      </c>
      <c r="D5354" s="8">
        <f>IFERROR(__xludf.DUMMYFUNCTION("""COMPUTED_VALUE"""),0.082)</f>
        <v>0.082</v>
      </c>
      <c r="E5354" s="8" t="str">
        <f>IFERROR(__xludf.DUMMYFUNCTION("""COMPUTED_VALUE"""),"Real")</f>
        <v>Real</v>
      </c>
      <c r="G5354" s="8">
        <f t="shared" si="1"/>
        <v>6</v>
      </c>
      <c r="H5354" s="14">
        <f t="shared" si="2"/>
        <v>12</v>
      </c>
      <c r="I5354" s="15">
        <f t="shared" si="3"/>
        <v>2</v>
      </c>
    </row>
    <row r="5355">
      <c r="A5355" s="8" t="str">
        <f>IFERROR(__xludf.DUMMYFUNCTION("IF('(INGESTA)Datos_consumo_datadis'!A5355&lt;&gt;"""",SPLIT('(INGESTA)Datos_consumo_datadis'!A:A,"",""),"""")"),"ES0031408323131005HX0F")</f>
        <v>ES0031408323131005HX0F</v>
      </c>
      <c r="B5355" s="12">
        <f>IFERROR(__xludf.DUMMYFUNCTION("""COMPUTED_VALUE"""),45089.0)</f>
        <v>45089</v>
      </c>
      <c r="C5355" s="13">
        <f>IFERROR(__xludf.DUMMYFUNCTION("""COMPUTED_VALUE"""),0.125)</f>
        <v>0.125</v>
      </c>
      <c r="D5355" s="8">
        <f>IFERROR(__xludf.DUMMYFUNCTION("""COMPUTED_VALUE"""),0.154)</f>
        <v>0.154</v>
      </c>
      <c r="E5355" s="8" t="str">
        <f>IFERROR(__xludf.DUMMYFUNCTION("""COMPUTED_VALUE"""),"Real")</f>
        <v>Real</v>
      </c>
      <c r="G5355" s="8">
        <f t="shared" si="1"/>
        <v>6</v>
      </c>
      <c r="H5355" s="14">
        <f t="shared" si="2"/>
        <v>12</v>
      </c>
      <c r="I5355" s="15">
        <f t="shared" si="3"/>
        <v>3</v>
      </c>
    </row>
    <row r="5356">
      <c r="A5356" s="8" t="str">
        <f>IFERROR(__xludf.DUMMYFUNCTION("IF('(INGESTA)Datos_consumo_datadis'!A5356&lt;&gt;"""",SPLIT('(INGESTA)Datos_consumo_datadis'!A:A,"",""),"""")"),"ES0031408323131005HX0F")</f>
        <v>ES0031408323131005HX0F</v>
      </c>
      <c r="B5356" s="12">
        <f>IFERROR(__xludf.DUMMYFUNCTION("""COMPUTED_VALUE"""),45089.0)</f>
        <v>45089</v>
      </c>
      <c r="C5356" s="13">
        <f>IFERROR(__xludf.DUMMYFUNCTION("""COMPUTED_VALUE"""),0.16666666666666666)</f>
        <v>0.1666666667</v>
      </c>
      <c r="D5356" s="8">
        <f>IFERROR(__xludf.DUMMYFUNCTION("""COMPUTED_VALUE"""),0.306)</f>
        <v>0.306</v>
      </c>
      <c r="E5356" s="8" t="str">
        <f>IFERROR(__xludf.DUMMYFUNCTION("""COMPUTED_VALUE"""),"Real")</f>
        <v>Real</v>
      </c>
      <c r="G5356" s="8">
        <f t="shared" si="1"/>
        <v>6</v>
      </c>
      <c r="H5356" s="14">
        <f t="shared" si="2"/>
        <v>12</v>
      </c>
      <c r="I5356" s="15">
        <f t="shared" si="3"/>
        <v>4</v>
      </c>
    </row>
    <row r="5357">
      <c r="A5357" s="8" t="str">
        <f>IFERROR(__xludf.DUMMYFUNCTION("IF('(INGESTA)Datos_consumo_datadis'!A5357&lt;&gt;"""",SPLIT('(INGESTA)Datos_consumo_datadis'!A:A,"",""),"""")"),"ES0031408323131005HX0F")</f>
        <v>ES0031408323131005HX0F</v>
      </c>
      <c r="B5357" s="12">
        <f>IFERROR(__xludf.DUMMYFUNCTION("""COMPUTED_VALUE"""),45089.0)</f>
        <v>45089</v>
      </c>
      <c r="C5357" s="13">
        <f>IFERROR(__xludf.DUMMYFUNCTION("""COMPUTED_VALUE"""),0.20833333333333334)</f>
        <v>0.2083333333</v>
      </c>
      <c r="D5357" s="8">
        <f>IFERROR(__xludf.DUMMYFUNCTION("""COMPUTED_VALUE"""),0.085)</f>
        <v>0.085</v>
      </c>
      <c r="E5357" s="8" t="str">
        <f>IFERROR(__xludf.DUMMYFUNCTION("""COMPUTED_VALUE"""),"Real")</f>
        <v>Real</v>
      </c>
      <c r="G5357" s="8">
        <f t="shared" si="1"/>
        <v>6</v>
      </c>
      <c r="H5357" s="14">
        <f t="shared" si="2"/>
        <v>12</v>
      </c>
      <c r="I5357" s="15">
        <f t="shared" si="3"/>
        <v>5</v>
      </c>
    </row>
    <row r="5358">
      <c r="A5358" s="8" t="str">
        <f>IFERROR(__xludf.DUMMYFUNCTION("IF('(INGESTA)Datos_consumo_datadis'!A5358&lt;&gt;"""",SPLIT('(INGESTA)Datos_consumo_datadis'!A:A,"",""),"""")"),"ES0031408323131005HX0F")</f>
        <v>ES0031408323131005HX0F</v>
      </c>
      <c r="B5358" s="12">
        <f>IFERROR(__xludf.DUMMYFUNCTION("""COMPUTED_VALUE"""),45089.0)</f>
        <v>45089</v>
      </c>
      <c r="C5358" s="13">
        <f>IFERROR(__xludf.DUMMYFUNCTION("""COMPUTED_VALUE"""),0.25)</f>
        <v>0.25</v>
      </c>
      <c r="D5358" s="8">
        <f>IFERROR(__xludf.DUMMYFUNCTION("""COMPUTED_VALUE"""),0.079)</f>
        <v>0.079</v>
      </c>
      <c r="E5358" s="8" t="str">
        <f>IFERROR(__xludf.DUMMYFUNCTION("""COMPUTED_VALUE"""),"Real")</f>
        <v>Real</v>
      </c>
      <c r="G5358" s="8">
        <f t="shared" si="1"/>
        <v>6</v>
      </c>
      <c r="H5358" s="14">
        <f t="shared" si="2"/>
        <v>12</v>
      </c>
      <c r="I5358" s="15">
        <f t="shared" si="3"/>
        <v>6</v>
      </c>
    </row>
    <row r="5359">
      <c r="A5359" s="8" t="str">
        <f>IFERROR(__xludf.DUMMYFUNCTION("IF('(INGESTA)Datos_consumo_datadis'!A5359&lt;&gt;"""",SPLIT('(INGESTA)Datos_consumo_datadis'!A:A,"",""),"""")"),"ES0031408323131005HX0F")</f>
        <v>ES0031408323131005HX0F</v>
      </c>
      <c r="B5359" s="12">
        <f>IFERROR(__xludf.DUMMYFUNCTION("""COMPUTED_VALUE"""),45089.0)</f>
        <v>45089</v>
      </c>
      <c r="C5359" s="13">
        <f>IFERROR(__xludf.DUMMYFUNCTION("""COMPUTED_VALUE"""),0.2916666666666667)</f>
        <v>0.2916666667</v>
      </c>
      <c r="D5359" s="8">
        <f>IFERROR(__xludf.DUMMYFUNCTION("""COMPUTED_VALUE"""),0.118)</f>
        <v>0.118</v>
      </c>
      <c r="E5359" s="8" t="str">
        <f>IFERROR(__xludf.DUMMYFUNCTION("""COMPUTED_VALUE"""),"Real")</f>
        <v>Real</v>
      </c>
      <c r="G5359" s="8">
        <f t="shared" si="1"/>
        <v>6</v>
      </c>
      <c r="H5359" s="14">
        <f t="shared" si="2"/>
        <v>12</v>
      </c>
      <c r="I5359" s="15">
        <f t="shared" si="3"/>
        <v>7</v>
      </c>
    </row>
    <row r="5360">
      <c r="A5360" s="8" t="str">
        <f>IFERROR(__xludf.DUMMYFUNCTION("IF('(INGESTA)Datos_consumo_datadis'!A5360&lt;&gt;"""",SPLIT('(INGESTA)Datos_consumo_datadis'!A:A,"",""),"""")"),"ES0031408323131005HX0F")</f>
        <v>ES0031408323131005HX0F</v>
      </c>
      <c r="B5360" s="12">
        <f>IFERROR(__xludf.DUMMYFUNCTION("""COMPUTED_VALUE"""),45089.0)</f>
        <v>45089</v>
      </c>
      <c r="C5360" s="13">
        <f>IFERROR(__xludf.DUMMYFUNCTION("""COMPUTED_VALUE"""),0.3333333333333333)</f>
        <v>0.3333333333</v>
      </c>
      <c r="D5360" s="8">
        <f>IFERROR(__xludf.DUMMYFUNCTION("""COMPUTED_VALUE"""),0.09)</f>
        <v>0.09</v>
      </c>
      <c r="E5360" s="8" t="str">
        <f>IFERROR(__xludf.DUMMYFUNCTION("""COMPUTED_VALUE"""),"Real")</f>
        <v>Real</v>
      </c>
      <c r="G5360" s="8">
        <f t="shared" si="1"/>
        <v>6</v>
      </c>
      <c r="H5360" s="14">
        <f t="shared" si="2"/>
        <v>12</v>
      </c>
      <c r="I5360" s="15">
        <f t="shared" si="3"/>
        <v>8</v>
      </c>
    </row>
    <row r="5361">
      <c r="A5361" s="8" t="str">
        <f>IFERROR(__xludf.DUMMYFUNCTION("IF('(INGESTA)Datos_consumo_datadis'!A5361&lt;&gt;"""",SPLIT('(INGESTA)Datos_consumo_datadis'!A:A,"",""),"""")"),"ES0031408323131005HX0F")</f>
        <v>ES0031408323131005HX0F</v>
      </c>
      <c r="B5361" s="12">
        <f>IFERROR(__xludf.DUMMYFUNCTION("""COMPUTED_VALUE"""),45089.0)</f>
        <v>45089</v>
      </c>
      <c r="C5361" s="13">
        <f>IFERROR(__xludf.DUMMYFUNCTION("""COMPUTED_VALUE"""),0.375)</f>
        <v>0.375</v>
      </c>
      <c r="D5361" s="8">
        <f>IFERROR(__xludf.DUMMYFUNCTION("""COMPUTED_VALUE"""),0.019)</f>
        <v>0.019</v>
      </c>
      <c r="E5361" s="8" t="str">
        <f>IFERROR(__xludf.DUMMYFUNCTION("""COMPUTED_VALUE"""),"Real")</f>
        <v>Real</v>
      </c>
      <c r="G5361" s="8">
        <f t="shared" si="1"/>
        <v>6</v>
      </c>
      <c r="H5361" s="14">
        <f t="shared" si="2"/>
        <v>12</v>
      </c>
      <c r="I5361" s="15">
        <f t="shared" si="3"/>
        <v>9</v>
      </c>
    </row>
    <row r="5362">
      <c r="A5362" s="8" t="str">
        <f>IFERROR(__xludf.DUMMYFUNCTION("IF('(INGESTA)Datos_consumo_datadis'!A5362&lt;&gt;"""",SPLIT('(INGESTA)Datos_consumo_datadis'!A:A,"",""),"""")"),"ES0031408323131005HX0F")</f>
        <v>ES0031408323131005HX0F</v>
      </c>
      <c r="B5362" s="12">
        <f>IFERROR(__xludf.DUMMYFUNCTION("""COMPUTED_VALUE"""),45089.0)</f>
        <v>45089</v>
      </c>
      <c r="C5362" s="13">
        <f>IFERROR(__xludf.DUMMYFUNCTION("""COMPUTED_VALUE"""),0.4166666666666667)</f>
        <v>0.4166666667</v>
      </c>
      <c r="D5362" s="8">
        <f>IFERROR(__xludf.DUMMYFUNCTION("""COMPUTED_VALUE"""),0.103)</f>
        <v>0.103</v>
      </c>
      <c r="E5362" s="8" t="str">
        <f>IFERROR(__xludf.DUMMYFUNCTION("""COMPUTED_VALUE"""),"Real")</f>
        <v>Real</v>
      </c>
      <c r="G5362" s="8">
        <f t="shared" si="1"/>
        <v>6</v>
      </c>
      <c r="H5362" s="14">
        <f t="shared" si="2"/>
        <v>12</v>
      </c>
      <c r="I5362" s="15">
        <f t="shared" si="3"/>
        <v>10</v>
      </c>
    </row>
    <row r="5363">
      <c r="A5363" s="8" t="str">
        <f>IFERROR(__xludf.DUMMYFUNCTION("IF('(INGESTA)Datos_consumo_datadis'!A5363&lt;&gt;"""",SPLIT('(INGESTA)Datos_consumo_datadis'!A:A,"",""),"""")"),"ES0031408323131005HX0F")</f>
        <v>ES0031408323131005HX0F</v>
      </c>
      <c r="B5363" s="12">
        <f>IFERROR(__xludf.DUMMYFUNCTION("""COMPUTED_VALUE"""),45089.0)</f>
        <v>45089</v>
      </c>
      <c r="C5363" s="13">
        <f>IFERROR(__xludf.DUMMYFUNCTION("""COMPUTED_VALUE"""),0.4583333333333333)</f>
        <v>0.4583333333</v>
      </c>
      <c r="D5363" s="8">
        <f>IFERROR(__xludf.DUMMYFUNCTION("""COMPUTED_VALUE"""),0.08)</f>
        <v>0.08</v>
      </c>
      <c r="E5363" s="8" t="str">
        <f>IFERROR(__xludf.DUMMYFUNCTION("""COMPUTED_VALUE"""),"Real")</f>
        <v>Real</v>
      </c>
      <c r="G5363" s="8">
        <f t="shared" si="1"/>
        <v>6</v>
      </c>
      <c r="H5363" s="14">
        <f t="shared" si="2"/>
        <v>12</v>
      </c>
      <c r="I5363" s="15">
        <f t="shared" si="3"/>
        <v>11</v>
      </c>
    </row>
    <row r="5364">
      <c r="A5364" s="8" t="str">
        <f>IFERROR(__xludf.DUMMYFUNCTION("IF('(INGESTA)Datos_consumo_datadis'!A5364&lt;&gt;"""",SPLIT('(INGESTA)Datos_consumo_datadis'!A:A,"",""),"""")"),"ES0031408323131005HX0F")</f>
        <v>ES0031408323131005HX0F</v>
      </c>
      <c r="B5364" s="12">
        <f>IFERROR(__xludf.DUMMYFUNCTION("""COMPUTED_VALUE"""),45089.0)</f>
        <v>45089</v>
      </c>
      <c r="C5364" s="13">
        <f>IFERROR(__xludf.DUMMYFUNCTION("""COMPUTED_VALUE"""),0.5)</f>
        <v>0.5</v>
      </c>
      <c r="D5364" s="8">
        <f>IFERROR(__xludf.DUMMYFUNCTION("""COMPUTED_VALUE"""),0.368)</f>
        <v>0.368</v>
      </c>
      <c r="E5364" s="8" t="str">
        <f>IFERROR(__xludf.DUMMYFUNCTION("""COMPUTED_VALUE"""),"Real")</f>
        <v>Real</v>
      </c>
      <c r="G5364" s="8">
        <f t="shared" si="1"/>
        <v>6</v>
      </c>
      <c r="H5364" s="14">
        <f t="shared" si="2"/>
        <v>12</v>
      </c>
      <c r="I5364" s="15">
        <f t="shared" si="3"/>
        <v>12</v>
      </c>
    </row>
    <row r="5365">
      <c r="A5365" s="8" t="str">
        <f>IFERROR(__xludf.DUMMYFUNCTION("IF('(INGESTA)Datos_consumo_datadis'!A5365&lt;&gt;"""",SPLIT('(INGESTA)Datos_consumo_datadis'!A:A,"",""),"""")"),"ES0031408323131005HX0F")</f>
        <v>ES0031408323131005HX0F</v>
      </c>
      <c r="B5365" s="12">
        <f>IFERROR(__xludf.DUMMYFUNCTION("""COMPUTED_VALUE"""),45089.0)</f>
        <v>45089</v>
      </c>
      <c r="C5365" s="13">
        <f>IFERROR(__xludf.DUMMYFUNCTION("""COMPUTED_VALUE"""),0.5416666666666666)</f>
        <v>0.5416666667</v>
      </c>
      <c r="D5365" s="8">
        <f>IFERROR(__xludf.DUMMYFUNCTION("""COMPUTED_VALUE"""),0.101)</f>
        <v>0.101</v>
      </c>
      <c r="E5365" s="8" t="str">
        <f>IFERROR(__xludf.DUMMYFUNCTION("""COMPUTED_VALUE"""),"Real")</f>
        <v>Real</v>
      </c>
      <c r="G5365" s="8">
        <f t="shared" si="1"/>
        <v>6</v>
      </c>
      <c r="H5365" s="14">
        <f t="shared" si="2"/>
        <v>12</v>
      </c>
      <c r="I5365" s="15">
        <f t="shared" si="3"/>
        <v>13</v>
      </c>
    </row>
    <row r="5366">
      <c r="A5366" s="8" t="str">
        <f>IFERROR(__xludf.DUMMYFUNCTION("IF('(INGESTA)Datos_consumo_datadis'!A5366&lt;&gt;"""",SPLIT('(INGESTA)Datos_consumo_datadis'!A:A,"",""),"""")"),"ES0031408323131005HX0F")</f>
        <v>ES0031408323131005HX0F</v>
      </c>
      <c r="B5366" s="12">
        <f>IFERROR(__xludf.DUMMYFUNCTION("""COMPUTED_VALUE"""),45089.0)</f>
        <v>45089</v>
      </c>
      <c r="C5366" s="13">
        <f>IFERROR(__xludf.DUMMYFUNCTION("""COMPUTED_VALUE"""),0.5833333333333334)</f>
        <v>0.5833333333</v>
      </c>
      <c r="D5366" s="8">
        <f>IFERROR(__xludf.DUMMYFUNCTION("""COMPUTED_VALUE"""),0.078)</f>
        <v>0.078</v>
      </c>
      <c r="E5366" s="8" t="str">
        <f>IFERROR(__xludf.DUMMYFUNCTION("""COMPUTED_VALUE"""),"Real")</f>
        <v>Real</v>
      </c>
      <c r="G5366" s="8">
        <f t="shared" si="1"/>
        <v>6</v>
      </c>
      <c r="H5366" s="14">
        <f t="shared" si="2"/>
        <v>12</v>
      </c>
      <c r="I5366" s="15">
        <f t="shared" si="3"/>
        <v>14</v>
      </c>
    </row>
    <row r="5367">
      <c r="A5367" s="8" t="str">
        <f>IFERROR(__xludf.DUMMYFUNCTION("IF('(INGESTA)Datos_consumo_datadis'!A5367&lt;&gt;"""",SPLIT('(INGESTA)Datos_consumo_datadis'!A:A,"",""),"""")"),"ES0031408323131005HX0F")</f>
        <v>ES0031408323131005HX0F</v>
      </c>
      <c r="B5367" s="12">
        <f>IFERROR(__xludf.DUMMYFUNCTION("""COMPUTED_VALUE"""),45089.0)</f>
        <v>45089</v>
      </c>
      <c r="C5367" s="13">
        <f>IFERROR(__xludf.DUMMYFUNCTION("""COMPUTED_VALUE"""),0.625)</f>
        <v>0.625</v>
      </c>
      <c r="D5367" s="8">
        <f>IFERROR(__xludf.DUMMYFUNCTION("""COMPUTED_VALUE"""),0.024)</f>
        <v>0.024</v>
      </c>
      <c r="E5367" s="8" t="str">
        <f>IFERROR(__xludf.DUMMYFUNCTION("""COMPUTED_VALUE"""),"Real")</f>
        <v>Real</v>
      </c>
      <c r="G5367" s="8">
        <f t="shared" si="1"/>
        <v>6</v>
      </c>
      <c r="H5367" s="14">
        <f t="shared" si="2"/>
        <v>12</v>
      </c>
      <c r="I5367" s="15">
        <f t="shared" si="3"/>
        <v>15</v>
      </c>
    </row>
    <row r="5368">
      <c r="A5368" s="8" t="str">
        <f>IFERROR(__xludf.DUMMYFUNCTION("IF('(INGESTA)Datos_consumo_datadis'!A5368&lt;&gt;"""",SPLIT('(INGESTA)Datos_consumo_datadis'!A:A,"",""),"""")"),"ES0031408323131005HX0F")</f>
        <v>ES0031408323131005HX0F</v>
      </c>
      <c r="B5368" s="12">
        <f>IFERROR(__xludf.DUMMYFUNCTION("""COMPUTED_VALUE"""),45089.0)</f>
        <v>45089</v>
      </c>
      <c r="C5368" s="13">
        <f>IFERROR(__xludf.DUMMYFUNCTION("""COMPUTED_VALUE"""),0.6666666666666666)</f>
        <v>0.6666666667</v>
      </c>
      <c r="D5368" s="8">
        <f>IFERROR(__xludf.DUMMYFUNCTION("""COMPUTED_VALUE"""),0.102)</f>
        <v>0.102</v>
      </c>
      <c r="E5368" s="8" t="str">
        <f>IFERROR(__xludf.DUMMYFUNCTION("""COMPUTED_VALUE"""),"Real")</f>
        <v>Real</v>
      </c>
      <c r="G5368" s="8">
        <f t="shared" si="1"/>
        <v>6</v>
      </c>
      <c r="H5368" s="14">
        <f t="shared" si="2"/>
        <v>12</v>
      </c>
      <c r="I5368" s="15">
        <f t="shared" si="3"/>
        <v>16</v>
      </c>
    </row>
    <row r="5369">
      <c r="A5369" s="8" t="str">
        <f>IFERROR(__xludf.DUMMYFUNCTION("IF('(INGESTA)Datos_consumo_datadis'!A5369&lt;&gt;"""",SPLIT('(INGESTA)Datos_consumo_datadis'!A:A,"",""),"""")"),"ES0031408323131005HX0F")</f>
        <v>ES0031408323131005HX0F</v>
      </c>
      <c r="B5369" s="12">
        <f>IFERROR(__xludf.DUMMYFUNCTION("""COMPUTED_VALUE"""),45089.0)</f>
        <v>45089</v>
      </c>
      <c r="C5369" s="13">
        <f>IFERROR(__xludf.DUMMYFUNCTION("""COMPUTED_VALUE"""),0.7083333333333334)</f>
        <v>0.7083333333</v>
      </c>
      <c r="D5369" s="8">
        <f>IFERROR(__xludf.DUMMYFUNCTION("""COMPUTED_VALUE"""),0.079)</f>
        <v>0.079</v>
      </c>
      <c r="E5369" s="8" t="str">
        <f>IFERROR(__xludf.DUMMYFUNCTION("""COMPUTED_VALUE"""),"Real")</f>
        <v>Real</v>
      </c>
      <c r="G5369" s="8">
        <f t="shared" si="1"/>
        <v>6</v>
      </c>
      <c r="H5369" s="14">
        <f t="shared" si="2"/>
        <v>12</v>
      </c>
      <c r="I5369" s="15">
        <f t="shared" si="3"/>
        <v>17</v>
      </c>
    </row>
    <row r="5370">
      <c r="A5370" s="8" t="str">
        <f>IFERROR(__xludf.DUMMYFUNCTION("IF('(INGESTA)Datos_consumo_datadis'!A5370&lt;&gt;"""",SPLIT('(INGESTA)Datos_consumo_datadis'!A:A,"",""),"""")"),"ES0031408323131005HX0F")</f>
        <v>ES0031408323131005HX0F</v>
      </c>
      <c r="B5370" s="12">
        <f>IFERROR(__xludf.DUMMYFUNCTION("""COMPUTED_VALUE"""),45089.0)</f>
        <v>45089</v>
      </c>
      <c r="C5370" s="13">
        <f>IFERROR(__xludf.DUMMYFUNCTION("""COMPUTED_VALUE"""),0.75)</f>
        <v>0.75</v>
      </c>
      <c r="D5370" s="8">
        <f>IFERROR(__xludf.DUMMYFUNCTION("""COMPUTED_VALUE"""),0.024)</f>
        <v>0.024</v>
      </c>
      <c r="E5370" s="8" t="str">
        <f>IFERROR(__xludf.DUMMYFUNCTION("""COMPUTED_VALUE"""),"Real")</f>
        <v>Real</v>
      </c>
      <c r="G5370" s="8">
        <f t="shared" si="1"/>
        <v>6</v>
      </c>
      <c r="H5370" s="14">
        <f t="shared" si="2"/>
        <v>12</v>
      </c>
      <c r="I5370" s="15">
        <f t="shared" si="3"/>
        <v>18</v>
      </c>
    </row>
    <row r="5371">
      <c r="A5371" s="8" t="str">
        <f>IFERROR(__xludf.DUMMYFUNCTION("IF('(INGESTA)Datos_consumo_datadis'!A5371&lt;&gt;"""",SPLIT('(INGESTA)Datos_consumo_datadis'!A:A,"",""),"""")"),"ES0031408323131005HX0F")</f>
        <v>ES0031408323131005HX0F</v>
      </c>
      <c r="B5371" s="12">
        <f>IFERROR(__xludf.DUMMYFUNCTION("""COMPUTED_VALUE"""),45089.0)</f>
        <v>45089</v>
      </c>
      <c r="C5371" s="13">
        <f>IFERROR(__xludf.DUMMYFUNCTION("""COMPUTED_VALUE"""),0.7916666666666666)</f>
        <v>0.7916666667</v>
      </c>
      <c r="D5371" s="8">
        <f>IFERROR(__xludf.DUMMYFUNCTION("""COMPUTED_VALUE"""),0.101)</f>
        <v>0.101</v>
      </c>
      <c r="E5371" s="8" t="str">
        <f>IFERROR(__xludf.DUMMYFUNCTION("""COMPUTED_VALUE"""),"Real")</f>
        <v>Real</v>
      </c>
      <c r="G5371" s="8">
        <f t="shared" si="1"/>
        <v>6</v>
      </c>
      <c r="H5371" s="14">
        <f t="shared" si="2"/>
        <v>12</v>
      </c>
      <c r="I5371" s="15">
        <f t="shared" si="3"/>
        <v>19</v>
      </c>
    </row>
    <row r="5372">
      <c r="A5372" s="8" t="str">
        <f>IFERROR(__xludf.DUMMYFUNCTION("IF('(INGESTA)Datos_consumo_datadis'!A5372&lt;&gt;"""",SPLIT('(INGESTA)Datos_consumo_datadis'!A:A,"",""),"""")"),"ES0031408323131005HX0F")</f>
        <v>ES0031408323131005HX0F</v>
      </c>
      <c r="B5372" s="12">
        <f>IFERROR(__xludf.DUMMYFUNCTION("""COMPUTED_VALUE"""),45089.0)</f>
        <v>45089</v>
      </c>
      <c r="C5372" s="13">
        <f>IFERROR(__xludf.DUMMYFUNCTION("""COMPUTED_VALUE"""),0.8333333333333334)</f>
        <v>0.8333333333</v>
      </c>
      <c r="D5372" s="8">
        <f>IFERROR(__xludf.DUMMYFUNCTION("""COMPUTED_VALUE"""),0.177)</f>
        <v>0.177</v>
      </c>
      <c r="E5372" s="8" t="str">
        <f>IFERROR(__xludf.DUMMYFUNCTION("""COMPUTED_VALUE"""),"Real")</f>
        <v>Real</v>
      </c>
      <c r="G5372" s="8">
        <f t="shared" si="1"/>
        <v>6</v>
      </c>
      <c r="H5372" s="14">
        <f t="shared" si="2"/>
        <v>12</v>
      </c>
      <c r="I5372" s="15">
        <f t="shared" si="3"/>
        <v>20</v>
      </c>
    </row>
    <row r="5373">
      <c r="A5373" s="8" t="str">
        <f>IFERROR(__xludf.DUMMYFUNCTION("IF('(INGESTA)Datos_consumo_datadis'!A5373&lt;&gt;"""",SPLIT('(INGESTA)Datos_consumo_datadis'!A:A,"",""),"""")"),"ES0031408323131005HX0F")</f>
        <v>ES0031408323131005HX0F</v>
      </c>
      <c r="B5373" s="12">
        <f>IFERROR(__xludf.DUMMYFUNCTION("""COMPUTED_VALUE"""),45089.0)</f>
        <v>45089</v>
      </c>
      <c r="C5373" s="13">
        <f>IFERROR(__xludf.DUMMYFUNCTION("""COMPUTED_VALUE"""),0.875)</f>
        <v>0.875</v>
      </c>
      <c r="D5373" s="8">
        <f>IFERROR(__xludf.DUMMYFUNCTION("""COMPUTED_VALUE"""),0.265)</f>
        <v>0.265</v>
      </c>
      <c r="E5373" s="8" t="str">
        <f>IFERROR(__xludf.DUMMYFUNCTION("""COMPUTED_VALUE"""),"Real")</f>
        <v>Real</v>
      </c>
      <c r="G5373" s="8">
        <f t="shared" si="1"/>
        <v>6</v>
      </c>
      <c r="H5373" s="14">
        <f t="shared" si="2"/>
        <v>12</v>
      </c>
      <c r="I5373" s="15">
        <f t="shared" si="3"/>
        <v>21</v>
      </c>
    </row>
    <row r="5374">
      <c r="A5374" s="8" t="str">
        <f>IFERROR(__xludf.DUMMYFUNCTION("IF('(INGESTA)Datos_consumo_datadis'!A5374&lt;&gt;"""",SPLIT('(INGESTA)Datos_consumo_datadis'!A:A,"",""),"""")"),"ES0031408323131005HX0F")</f>
        <v>ES0031408323131005HX0F</v>
      </c>
      <c r="B5374" s="12">
        <f>IFERROR(__xludf.DUMMYFUNCTION("""COMPUTED_VALUE"""),45089.0)</f>
        <v>45089</v>
      </c>
      <c r="C5374" s="13">
        <f>IFERROR(__xludf.DUMMYFUNCTION("""COMPUTED_VALUE"""),0.9166666666666666)</f>
        <v>0.9166666667</v>
      </c>
      <c r="D5374" s="8">
        <f>IFERROR(__xludf.DUMMYFUNCTION("""COMPUTED_VALUE"""),0.01)</f>
        <v>0.01</v>
      </c>
      <c r="E5374" s="8" t="str">
        <f>IFERROR(__xludf.DUMMYFUNCTION("""COMPUTED_VALUE"""),"Real")</f>
        <v>Real</v>
      </c>
      <c r="G5374" s="8">
        <f t="shared" si="1"/>
        <v>6</v>
      </c>
      <c r="H5374" s="14">
        <f t="shared" si="2"/>
        <v>12</v>
      </c>
      <c r="I5374" s="15">
        <f t="shared" si="3"/>
        <v>22</v>
      </c>
    </row>
    <row r="5375">
      <c r="A5375" s="8" t="str">
        <f>IFERROR(__xludf.DUMMYFUNCTION("IF('(INGESTA)Datos_consumo_datadis'!A5375&lt;&gt;"""",SPLIT('(INGESTA)Datos_consumo_datadis'!A:A,"",""),"""")"),"ES0031408323131005HX0F")</f>
        <v>ES0031408323131005HX0F</v>
      </c>
      <c r="B5375" s="12">
        <f>IFERROR(__xludf.DUMMYFUNCTION("""COMPUTED_VALUE"""),45089.0)</f>
        <v>45089</v>
      </c>
      <c r="C5375" s="13">
        <f>IFERROR(__xludf.DUMMYFUNCTION("""COMPUTED_VALUE"""),0.9583333333333334)</f>
        <v>0.9583333333</v>
      </c>
      <c r="D5375" s="8">
        <f>IFERROR(__xludf.DUMMYFUNCTION("""COMPUTED_VALUE"""),0.073)</f>
        <v>0.073</v>
      </c>
      <c r="E5375" s="8" t="str">
        <f>IFERROR(__xludf.DUMMYFUNCTION("""COMPUTED_VALUE"""),"Real")</f>
        <v>Real</v>
      </c>
      <c r="G5375" s="8">
        <f t="shared" si="1"/>
        <v>6</v>
      </c>
      <c r="H5375" s="14">
        <f t="shared" si="2"/>
        <v>12</v>
      </c>
      <c r="I5375" s="15">
        <f t="shared" si="3"/>
        <v>23</v>
      </c>
    </row>
    <row r="5376">
      <c r="A5376" s="8" t="str">
        <f>IFERROR(__xludf.DUMMYFUNCTION("IF('(INGESTA)Datos_consumo_datadis'!A5376&lt;&gt;"""",SPLIT('(INGESTA)Datos_consumo_datadis'!A:A,"",""),"""")"),"ES0031408323131005HX0F")</f>
        <v>ES0031408323131005HX0F</v>
      </c>
      <c r="B5376" s="12">
        <f>IFERROR(__xludf.DUMMYFUNCTION("""COMPUTED_VALUE"""),45089.0)</f>
        <v>45089</v>
      </c>
      <c r="C5376" s="16">
        <f>IFERROR(__xludf.DUMMYFUNCTION("""COMPUTED_VALUE"""),1.0)</f>
        <v>1</v>
      </c>
      <c r="D5376" s="8">
        <f>IFERROR(__xludf.DUMMYFUNCTION("""COMPUTED_VALUE"""),0.097)</f>
        <v>0.097</v>
      </c>
      <c r="E5376" s="8" t="str">
        <f>IFERROR(__xludf.DUMMYFUNCTION("""COMPUTED_VALUE"""),"Real")</f>
        <v>Real</v>
      </c>
      <c r="G5376" s="8">
        <f t="shared" si="1"/>
        <v>6</v>
      </c>
      <c r="H5376" s="14">
        <f t="shared" si="2"/>
        <v>12</v>
      </c>
      <c r="I5376" s="15">
        <f t="shared" si="3"/>
        <v>0</v>
      </c>
    </row>
    <row r="5377">
      <c r="A5377" s="8" t="str">
        <f>IFERROR(__xludf.DUMMYFUNCTION("IF('(INGESTA)Datos_consumo_datadis'!A5377&lt;&gt;"""",SPLIT('(INGESTA)Datos_consumo_datadis'!A:A,"",""),"""")"),"ES0031408323131005HX0F")</f>
        <v>ES0031408323131005HX0F</v>
      </c>
      <c r="B5377" s="12">
        <f>IFERROR(__xludf.DUMMYFUNCTION("""COMPUTED_VALUE"""),45090.0)</f>
        <v>45090</v>
      </c>
      <c r="C5377" s="13">
        <f>IFERROR(__xludf.DUMMYFUNCTION("""COMPUTED_VALUE"""),0.041666666666666664)</f>
        <v>0.04166666667</v>
      </c>
      <c r="D5377" s="8">
        <f>IFERROR(__xludf.DUMMYFUNCTION("""COMPUTED_VALUE"""),0.068)</f>
        <v>0.068</v>
      </c>
      <c r="E5377" s="8" t="str">
        <f>IFERROR(__xludf.DUMMYFUNCTION("""COMPUTED_VALUE"""),"Real")</f>
        <v>Real</v>
      </c>
      <c r="G5377" s="8">
        <f t="shared" si="1"/>
        <v>6</v>
      </c>
      <c r="H5377" s="14">
        <f t="shared" si="2"/>
        <v>13</v>
      </c>
      <c r="I5377" s="15">
        <f t="shared" si="3"/>
        <v>1</v>
      </c>
    </row>
    <row r="5378">
      <c r="A5378" s="8" t="str">
        <f>IFERROR(__xludf.DUMMYFUNCTION("IF('(INGESTA)Datos_consumo_datadis'!A5378&lt;&gt;"""",SPLIT('(INGESTA)Datos_consumo_datadis'!A:A,"",""),"""")"),"ES0031408323131005HX0F")</f>
        <v>ES0031408323131005HX0F</v>
      </c>
      <c r="B5378" s="12">
        <f>IFERROR(__xludf.DUMMYFUNCTION("""COMPUTED_VALUE"""),45090.0)</f>
        <v>45090</v>
      </c>
      <c r="C5378" s="13">
        <f>IFERROR(__xludf.DUMMYFUNCTION("""COMPUTED_VALUE"""),0.08333333333333333)</f>
        <v>0.08333333333</v>
      </c>
      <c r="D5378" s="8">
        <f>IFERROR(__xludf.DUMMYFUNCTION("""COMPUTED_VALUE"""),0.029)</f>
        <v>0.029</v>
      </c>
      <c r="E5378" s="8" t="str">
        <f>IFERROR(__xludf.DUMMYFUNCTION("""COMPUTED_VALUE"""),"Real")</f>
        <v>Real</v>
      </c>
      <c r="G5378" s="8">
        <f t="shared" si="1"/>
        <v>6</v>
      </c>
      <c r="H5378" s="14">
        <f t="shared" si="2"/>
        <v>13</v>
      </c>
      <c r="I5378" s="15">
        <f t="shared" si="3"/>
        <v>2</v>
      </c>
    </row>
    <row r="5379">
      <c r="A5379" s="8" t="str">
        <f>IFERROR(__xludf.DUMMYFUNCTION("IF('(INGESTA)Datos_consumo_datadis'!A5379&lt;&gt;"""",SPLIT('(INGESTA)Datos_consumo_datadis'!A:A,"",""),"""")"),"ES0031408323131005HX0F")</f>
        <v>ES0031408323131005HX0F</v>
      </c>
      <c r="B5379" s="12">
        <f>IFERROR(__xludf.DUMMYFUNCTION("""COMPUTED_VALUE"""),45090.0)</f>
        <v>45090</v>
      </c>
      <c r="C5379" s="13">
        <f>IFERROR(__xludf.DUMMYFUNCTION("""COMPUTED_VALUE"""),0.125)</f>
        <v>0.125</v>
      </c>
      <c r="D5379" s="8">
        <f>IFERROR(__xludf.DUMMYFUNCTION("""COMPUTED_VALUE"""),0.043)</f>
        <v>0.043</v>
      </c>
      <c r="E5379" s="8" t="str">
        <f>IFERROR(__xludf.DUMMYFUNCTION("""COMPUTED_VALUE"""),"Real")</f>
        <v>Real</v>
      </c>
      <c r="G5379" s="8">
        <f t="shared" si="1"/>
        <v>6</v>
      </c>
      <c r="H5379" s="14">
        <f t="shared" si="2"/>
        <v>13</v>
      </c>
      <c r="I5379" s="15">
        <f t="shared" si="3"/>
        <v>3</v>
      </c>
    </row>
    <row r="5380">
      <c r="A5380" s="8" t="str">
        <f>IFERROR(__xludf.DUMMYFUNCTION("IF('(INGESTA)Datos_consumo_datadis'!A5380&lt;&gt;"""",SPLIT('(INGESTA)Datos_consumo_datadis'!A:A,"",""),"""")"),"ES0031408323131005HX0F")</f>
        <v>ES0031408323131005HX0F</v>
      </c>
      <c r="B5380" s="12">
        <f>IFERROR(__xludf.DUMMYFUNCTION("""COMPUTED_VALUE"""),45090.0)</f>
        <v>45090</v>
      </c>
      <c r="C5380" s="13">
        <f>IFERROR(__xludf.DUMMYFUNCTION("""COMPUTED_VALUE"""),0.16666666666666666)</f>
        <v>0.1666666667</v>
      </c>
      <c r="D5380" s="8">
        <f>IFERROR(__xludf.DUMMYFUNCTION("""COMPUTED_VALUE"""),0.126)</f>
        <v>0.126</v>
      </c>
      <c r="E5380" s="8" t="str">
        <f>IFERROR(__xludf.DUMMYFUNCTION("""COMPUTED_VALUE"""),"Real")</f>
        <v>Real</v>
      </c>
      <c r="G5380" s="8">
        <f t="shared" si="1"/>
        <v>6</v>
      </c>
      <c r="H5380" s="14">
        <f t="shared" si="2"/>
        <v>13</v>
      </c>
      <c r="I5380" s="15">
        <f t="shared" si="3"/>
        <v>4</v>
      </c>
    </row>
    <row r="5381">
      <c r="A5381" s="8" t="str">
        <f>IFERROR(__xludf.DUMMYFUNCTION("IF('(INGESTA)Datos_consumo_datadis'!A5381&lt;&gt;"""",SPLIT('(INGESTA)Datos_consumo_datadis'!A:A,"",""),"""")"),"ES0031408323131005HX0F")</f>
        <v>ES0031408323131005HX0F</v>
      </c>
      <c r="B5381" s="12">
        <f>IFERROR(__xludf.DUMMYFUNCTION("""COMPUTED_VALUE"""),45090.0)</f>
        <v>45090</v>
      </c>
      <c r="C5381" s="13">
        <f>IFERROR(__xludf.DUMMYFUNCTION("""COMPUTED_VALUE"""),0.20833333333333334)</f>
        <v>0.2083333333</v>
      </c>
      <c r="D5381" s="8">
        <f>IFERROR(__xludf.DUMMYFUNCTION("""COMPUTED_VALUE"""),0.378)</f>
        <v>0.378</v>
      </c>
      <c r="E5381" s="8" t="str">
        <f>IFERROR(__xludf.DUMMYFUNCTION("""COMPUTED_VALUE"""),"Real")</f>
        <v>Real</v>
      </c>
      <c r="G5381" s="8">
        <f t="shared" si="1"/>
        <v>6</v>
      </c>
      <c r="H5381" s="14">
        <f t="shared" si="2"/>
        <v>13</v>
      </c>
      <c r="I5381" s="15">
        <f t="shared" si="3"/>
        <v>5</v>
      </c>
    </row>
    <row r="5382">
      <c r="A5382" s="8" t="str">
        <f>IFERROR(__xludf.DUMMYFUNCTION("IF('(INGESTA)Datos_consumo_datadis'!A5382&lt;&gt;"""",SPLIT('(INGESTA)Datos_consumo_datadis'!A:A,"",""),"""")"),"ES0031408323131005HX0F")</f>
        <v>ES0031408323131005HX0F</v>
      </c>
      <c r="B5382" s="12">
        <f>IFERROR(__xludf.DUMMYFUNCTION("""COMPUTED_VALUE"""),45090.0)</f>
        <v>45090</v>
      </c>
      <c r="C5382" s="13">
        <f>IFERROR(__xludf.DUMMYFUNCTION("""COMPUTED_VALUE"""),0.25)</f>
        <v>0.25</v>
      </c>
      <c r="D5382" s="8">
        <f>IFERROR(__xludf.DUMMYFUNCTION("""COMPUTED_VALUE"""),0.051)</f>
        <v>0.051</v>
      </c>
      <c r="E5382" s="8" t="str">
        <f>IFERROR(__xludf.DUMMYFUNCTION("""COMPUTED_VALUE"""),"Real")</f>
        <v>Real</v>
      </c>
      <c r="G5382" s="8">
        <f t="shared" si="1"/>
        <v>6</v>
      </c>
      <c r="H5382" s="14">
        <f t="shared" si="2"/>
        <v>13</v>
      </c>
      <c r="I5382" s="15">
        <f t="shared" si="3"/>
        <v>6</v>
      </c>
    </row>
    <row r="5383">
      <c r="A5383" s="8" t="str">
        <f>IFERROR(__xludf.DUMMYFUNCTION("IF('(INGESTA)Datos_consumo_datadis'!A5383&lt;&gt;"""",SPLIT('(INGESTA)Datos_consumo_datadis'!A:A,"",""),"""")"),"ES0031408323131005HX0F")</f>
        <v>ES0031408323131005HX0F</v>
      </c>
      <c r="B5383" s="12">
        <f>IFERROR(__xludf.DUMMYFUNCTION("""COMPUTED_VALUE"""),45090.0)</f>
        <v>45090</v>
      </c>
      <c r="C5383" s="13">
        <f>IFERROR(__xludf.DUMMYFUNCTION("""COMPUTED_VALUE"""),0.2916666666666667)</f>
        <v>0.2916666667</v>
      </c>
      <c r="D5383" s="8">
        <f>IFERROR(__xludf.DUMMYFUNCTION("""COMPUTED_VALUE"""),0.01)</f>
        <v>0.01</v>
      </c>
      <c r="E5383" s="8" t="str">
        <f>IFERROR(__xludf.DUMMYFUNCTION("""COMPUTED_VALUE"""),"Real")</f>
        <v>Real</v>
      </c>
      <c r="G5383" s="8">
        <f t="shared" si="1"/>
        <v>6</v>
      </c>
      <c r="H5383" s="14">
        <f t="shared" si="2"/>
        <v>13</v>
      </c>
      <c r="I5383" s="15">
        <f t="shared" si="3"/>
        <v>7</v>
      </c>
    </row>
    <row r="5384">
      <c r="A5384" s="8" t="str">
        <f>IFERROR(__xludf.DUMMYFUNCTION("IF('(INGESTA)Datos_consumo_datadis'!A5384&lt;&gt;"""",SPLIT('(INGESTA)Datos_consumo_datadis'!A:A,"",""),"""")"),"ES0031408323131005HX0F")</f>
        <v>ES0031408323131005HX0F</v>
      </c>
      <c r="B5384" s="12">
        <f>IFERROR(__xludf.DUMMYFUNCTION("""COMPUTED_VALUE"""),45090.0)</f>
        <v>45090</v>
      </c>
      <c r="C5384" s="13">
        <f>IFERROR(__xludf.DUMMYFUNCTION("""COMPUTED_VALUE"""),0.3333333333333333)</f>
        <v>0.3333333333</v>
      </c>
      <c r="D5384" s="8">
        <f>IFERROR(__xludf.DUMMYFUNCTION("""COMPUTED_VALUE"""),0.08)</f>
        <v>0.08</v>
      </c>
      <c r="E5384" s="8" t="str">
        <f>IFERROR(__xludf.DUMMYFUNCTION("""COMPUTED_VALUE"""),"Real")</f>
        <v>Real</v>
      </c>
      <c r="G5384" s="8">
        <f t="shared" si="1"/>
        <v>6</v>
      </c>
      <c r="H5384" s="14">
        <f t="shared" si="2"/>
        <v>13</v>
      </c>
      <c r="I5384" s="15">
        <f t="shared" si="3"/>
        <v>8</v>
      </c>
    </row>
    <row r="5385">
      <c r="A5385" s="8" t="str">
        <f>IFERROR(__xludf.DUMMYFUNCTION("IF('(INGESTA)Datos_consumo_datadis'!A5385&lt;&gt;"""",SPLIT('(INGESTA)Datos_consumo_datadis'!A:A,"",""),"""")"),"ES0031408323131005HX0F")</f>
        <v>ES0031408323131005HX0F</v>
      </c>
      <c r="B5385" s="12">
        <f>IFERROR(__xludf.DUMMYFUNCTION("""COMPUTED_VALUE"""),45090.0)</f>
        <v>45090</v>
      </c>
      <c r="C5385" s="13">
        <f>IFERROR(__xludf.DUMMYFUNCTION("""COMPUTED_VALUE"""),0.375)</f>
        <v>0.375</v>
      </c>
      <c r="D5385" s="8">
        <f>IFERROR(__xludf.DUMMYFUNCTION("""COMPUTED_VALUE"""),0.092)</f>
        <v>0.092</v>
      </c>
      <c r="E5385" s="8" t="str">
        <f>IFERROR(__xludf.DUMMYFUNCTION("""COMPUTED_VALUE"""),"Real")</f>
        <v>Real</v>
      </c>
      <c r="G5385" s="8">
        <f t="shared" si="1"/>
        <v>6</v>
      </c>
      <c r="H5385" s="14">
        <f t="shared" si="2"/>
        <v>13</v>
      </c>
      <c r="I5385" s="15">
        <f t="shared" si="3"/>
        <v>9</v>
      </c>
    </row>
    <row r="5386">
      <c r="A5386" s="8" t="str">
        <f>IFERROR(__xludf.DUMMYFUNCTION("IF('(INGESTA)Datos_consumo_datadis'!A5386&lt;&gt;"""",SPLIT('(INGESTA)Datos_consumo_datadis'!A:A,"",""),"""")"),"ES0031408323131005HX0F")</f>
        <v>ES0031408323131005HX0F</v>
      </c>
      <c r="B5386" s="12">
        <f>IFERROR(__xludf.DUMMYFUNCTION("""COMPUTED_VALUE"""),45090.0)</f>
        <v>45090</v>
      </c>
      <c r="C5386" s="13">
        <f>IFERROR(__xludf.DUMMYFUNCTION("""COMPUTED_VALUE"""),0.4166666666666667)</f>
        <v>0.4166666667</v>
      </c>
      <c r="D5386" s="8">
        <f>IFERROR(__xludf.DUMMYFUNCTION("""COMPUTED_VALUE"""),0.07)</f>
        <v>0.07</v>
      </c>
      <c r="E5386" s="8" t="str">
        <f>IFERROR(__xludf.DUMMYFUNCTION("""COMPUTED_VALUE"""),"Real")</f>
        <v>Real</v>
      </c>
      <c r="G5386" s="8">
        <f t="shared" si="1"/>
        <v>6</v>
      </c>
      <c r="H5386" s="14">
        <f t="shared" si="2"/>
        <v>13</v>
      </c>
      <c r="I5386" s="15">
        <f t="shared" si="3"/>
        <v>10</v>
      </c>
    </row>
    <row r="5387">
      <c r="A5387" s="8" t="str">
        <f>IFERROR(__xludf.DUMMYFUNCTION("IF('(INGESTA)Datos_consumo_datadis'!A5387&lt;&gt;"""",SPLIT('(INGESTA)Datos_consumo_datadis'!A:A,"",""),"""")"),"ES0031408323131005HX0F")</f>
        <v>ES0031408323131005HX0F</v>
      </c>
      <c r="B5387" s="12">
        <f>IFERROR(__xludf.DUMMYFUNCTION("""COMPUTED_VALUE"""),45090.0)</f>
        <v>45090</v>
      </c>
      <c r="C5387" s="13">
        <f>IFERROR(__xludf.DUMMYFUNCTION("""COMPUTED_VALUE"""),0.4583333333333333)</f>
        <v>0.4583333333</v>
      </c>
      <c r="D5387" s="8">
        <f>IFERROR(__xludf.DUMMYFUNCTION("""COMPUTED_VALUE"""),0.025)</f>
        <v>0.025</v>
      </c>
      <c r="E5387" s="8" t="str">
        <f>IFERROR(__xludf.DUMMYFUNCTION("""COMPUTED_VALUE"""),"Real")</f>
        <v>Real</v>
      </c>
      <c r="G5387" s="8">
        <f t="shared" si="1"/>
        <v>6</v>
      </c>
      <c r="H5387" s="14">
        <f t="shared" si="2"/>
        <v>13</v>
      </c>
      <c r="I5387" s="15">
        <f t="shared" si="3"/>
        <v>11</v>
      </c>
    </row>
    <row r="5388">
      <c r="A5388" s="8" t="str">
        <f>IFERROR(__xludf.DUMMYFUNCTION("IF('(INGESTA)Datos_consumo_datadis'!A5388&lt;&gt;"""",SPLIT('(INGESTA)Datos_consumo_datadis'!A:A,"",""),"""")"),"ES0031408323131005HX0F")</f>
        <v>ES0031408323131005HX0F</v>
      </c>
      <c r="B5388" s="12">
        <f>IFERROR(__xludf.DUMMYFUNCTION("""COMPUTED_VALUE"""),45090.0)</f>
        <v>45090</v>
      </c>
      <c r="C5388" s="13">
        <f>IFERROR(__xludf.DUMMYFUNCTION("""COMPUTED_VALUE"""),0.5)</f>
        <v>0.5</v>
      </c>
      <c r="D5388" s="8">
        <f>IFERROR(__xludf.DUMMYFUNCTION("""COMPUTED_VALUE"""),0.026)</f>
        <v>0.026</v>
      </c>
      <c r="E5388" s="8" t="str">
        <f>IFERROR(__xludf.DUMMYFUNCTION("""COMPUTED_VALUE"""),"Real")</f>
        <v>Real</v>
      </c>
      <c r="G5388" s="8">
        <f t="shared" si="1"/>
        <v>6</v>
      </c>
      <c r="H5388" s="14">
        <f t="shared" si="2"/>
        <v>13</v>
      </c>
      <c r="I5388" s="15">
        <f t="shared" si="3"/>
        <v>12</v>
      </c>
    </row>
    <row r="5389">
      <c r="A5389" s="8" t="str">
        <f>IFERROR(__xludf.DUMMYFUNCTION("IF('(INGESTA)Datos_consumo_datadis'!A5389&lt;&gt;"""",SPLIT('(INGESTA)Datos_consumo_datadis'!A:A,"",""),"""")"),"ES0031408323131005HX0F")</f>
        <v>ES0031408323131005HX0F</v>
      </c>
      <c r="B5389" s="12">
        <f>IFERROR(__xludf.DUMMYFUNCTION("""COMPUTED_VALUE"""),45090.0)</f>
        <v>45090</v>
      </c>
      <c r="C5389" s="13">
        <f>IFERROR(__xludf.DUMMYFUNCTION("""COMPUTED_VALUE"""),0.5416666666666666)</f>
        <v>0.5416666667</v>
      </c>
      <c r="D5389" s="8">
        <f>IFERROR(__xludf.DUMMYFUNCTION("""COMPUTED_VALUE"""),0.414)</f>
        <v>0.414</v>
      </c>
      <c r="E5389" s="8" t="str">
        <f>IFERROR(__xludf.DUMMYFUNCTION("""COMPUTED_VALUE"""),"Real")</f>
        <v>Real</v>
      </c>
      <c r="G5389" s="8">
        <f t="shared" si="1"/>
        <v>6</v>
      </c>
      <c r="H5389" s="14">
        <f t="shared" si="2"/>
        <v>13</v>
      </c>
      <c r="I5389" s="15">
        <f t="shared" si="3"/>
        <v>13</v>
      </c>
    </row>
    <row r="5390">
      <c r="A5390" s="8" t="str">
        <f>IFERROR(__xludf.DUMMYFUNCTION("IF('(INGESTA)Datos_consumo_datadis'!A5390&lt;&gt;"""",SPLIT('(INGESTA)Datos_consumo_datadis'!A:A,"",""),"""")"),"ES0031408323131005HX0F")</f>
        <v>ES0031408323131005HX0F</v>
      </c>
      <c r="B5390" s="12">
        <f>IFERROR(__xludf.DUMMYFUNCTION("""COMPUTED_VALUE"""),45090.0)</f>
        <v>45090</v>
      </c>
      <c r="C5390" s="13">
        <f>IFERROR(__xludf.DUMMYFUNCTION("""COMPUTED_VALUE"""),0.5833333333333334)</f>
        <v>0.5833333333</v>
      </c>
      <c r="D5390" s="8">
        <f>IFERROR(__xludf.DUMMYFUNCTION("""COMPUTED_VALUE"""),0.077)</f>
        <v>0.077</v>
      </c>
      <c r="E5390" s="8" t="str">
        <f>IFERROR(__xludf.DUMMYFUNCTION("""COMPUTED_VALUE"""),"Real")</f>
        <v>Real</v>
      </c>
      <c r="G5390" s="8">
        <f t="shared" si="1"/>
        <v>6</v>
      </c>
      <c r="H5390" s="14">
        <f t="shared" si="2"/>
        <v>13</v>
      </c>
      <c r="I5390" s="15">
        <f t="shared" si="3"/>
        <v>14</v>
      </c>
    </row>
    <row r="5391">
      <c r="A5391" s="8" t="str">
        <f>IFERROR(__xludf.DUMMYFUNCTION("IF('(INGESTA)Datos_consumo_datadis'!A5391&lt;&gt;"""",SPLIT('(INGESTA)Datos_consumo_datadis'!A:A,"",""),"""")"),"ES0031408323131005HX0F")</f>
        <v>ES0031408323131005HX0F</v>
      </c>
      <c r="B5391" s="12">
        <f>IFERROR(__xludf.DUMMYFUNCTION("""COMPUTED_VALUE"""),45090.0)</f>
        <v>45090</v>
      </c>
      <c r="C5391" s="13">
        <f>IFERROR(__xludf.DUMMYFUNCTION("""COMPUTED_VALUE"""),0.625)</f>
        <v>0.625</v>
      </c>
      <c r="D5391" s="8">
        <f>IFERROR(__xludf.DUMMYFUNCTION("""COMPUTED_VALUE"""),0.049)</f>
        <v>0.049</v>
      </c>
      <c r="E5391" s="8" t="str">
        <f>IFERROR(__xludf.DUMMYFUNCTION("""COMPUTED_VALUE"""),"Real")</f>
        <v>Real</v>
      </c>
      <c r="G5391" s="8">
        <f t="shared" si="1"/>
        <v>6</v>
      </c>
      <c r="H5391" s="14">
        <f t="shared" si="2"/>
        <v>13</v>
      </c>
      <c r="I5391" s="15">
        <f t="shared" si="3"/>
        <v>15</v>
      </c>
    </row>
    <row r="5392">
      <c r="A5392" s="8" t="str">
        <f>IFERROR(__xludf.DUMMYFUNCTION("IF('(INGESTA)Datos_consumo_datadis'!A5392&lt;&gt;"""",SPLIT('(INGESTA)Datos_consumo_datadis'!A:A,"",""),"""")"),"ES0031408323131005HX0F")</f>
        <v>ES0031408323131005HX0F</v>
      </c>
      <c r="B5392" s="12">
        <f>IFERROR(__xludf.DUMMYFUNCTION("""COMPUTED_VALUE"""),45090.0)</f>
        <v>45090</v>
      </c>
      <c r="C5392" s="13">
        <f>IFERROR(__xludf.DUMMYFUNCTION("""COMPUTED_VALUE"""),0.6666666666666666)</f>
        <v>0.6666666667</v>
      </c>
      <c r="D5392" s="8">
        <f>IFERROR(__xludf.DUMMYFUNCTION("""COMPUTED_VALUE"""),0.01)</f>
        <v>0.01</v>
      </c>
      <c r="E5392" s="8" t="str">
        <f>IFERROR(__xludf.DUMMYFUNCTION("""COMPUTED_VALUE"""),"Real")</f>
        <v>Real</v>
      </c>
      <c r="G5392" s="8">
        <f t="shared" si="1"/>
        <v>6</v>
      </c>
      <c r="H5392" s="14">
        <f t="shared" si="2"/>
        <v>13</v>
      </c>
      <c r="I5392" s="15">
        <f t="shared" si="3"/>
        <v>16</v>
      </c>
    </row>
    <row r="5393">
      <c r="A5393" s="8" t="str">
        <f>IFERROR(__xludf.DUMMYFUNCTION("IF('(INGESTA)Datos_consumo_datadis'!A5393&lt;&gt;"""",SPLIT('(INGESTA)Datos_consumo_datadis'!A:A,"",""),"""")"),"ES0031408323131005HX0F")</f>
        <v>ES0031408323131005HX0F</v>
      </c>
      <c r="B5393" s="12">
        <f>IFERROR(__xludf.DUMMYFUNCTION("""COMPUTED_VALUE"""),45090.0)</f>
        <v>45090</v>
      </c>
      <c r="C5393" s="13">
        <f>IFERROR(__xludf.DUMMYFUNCTION("""COMPUTED_VALUE"""),0.7083333333333334)</f>
        <v>0.7083333333</v>
      </c>
      <c r="D5393" s="8">
        <f>IFERROR(__xludf.DUMMYFUNCTION("""COMPUTED_VALUE"""),0.082)</f>
        <v>0.082</v>
      </c>
      <c r="E5393" s="8" t="str">
        <f>IFERROR(__xludf.DUMMYFUNCTION("""COMPUTED_VALUE"""),"Real")</f>
        <v>Real</v>
      </c>
      <c r="G5393" s="8">
        <f t="shared" si="1"/>
        <v>6</v>
      </c>
      <c r="H5393" s="14">
        <f t="shared" si="2"/>
        <v>13</v>
      </c>
      <c r="I5393" s="15">
        <f t="shared" si="3"/>
        <v>17</v>
      </c>
    </row>
    <row r="5394">
      <c r="A5394" s="8" t="str">
        <f>IFERROR(__xludf.DUMMYFUNCTION("IF('(INGESTA)Datos_consumo_datadis'!A5394&lt;&gt;"""",SPLIT('(INGESTA)Datos_consumo_datadis'!A:A,"",""),"""")"),"ES0031408323131005HX0F")</f>
        <v>ES0031408323131005HX0F</v>
      </c>
      <c r="B5394" s="12">
        <f>IFERROR(__xludf.DUMMYFUNCTION("""COMPUTED_VALUE"""),45090.0)</f>
        <v>45090</v>
      </c>
      <c r="C5394" s="13">
        <f>IFERROR(__xludf.DUMMYFUNCTION("""COMPUTED_VALUE"""),0.75)</f>
        <v>0.75</v>
      </c>
      <c r="D5394" s="8">
        <f>IFERROR(__xludf.DUMMYFUNCTION("""COMPUTED_VALUE"""),0.091)</f>
        <v>0.091</v>
      </c>
      <c r="E5394" s="8" t="str">
        <f>IFERROR(__xludf.DUMMYFUNCTION("""COMPUTED_VALUE"""),"Real")</f>
        <v>Real</v>
      </c>
      <c r="G5394" s="8">
        <f t="shared" si="1"/>
        <v>6</v>
      </c>
      <c r="H5394" s="14">
        <f t="shared" si="2"/>
        <v>13</v>
      </c>
      <c r="I5394" s="15">
        <f t="shared" si="3"/>
        <v>18</v>
      </c>
    </row>
    <row r="5395">
      <c r="A5395" s="8" t="str">
        <f>IFERROR(__xludf.DUMMYFUNCTION("IF('(INGESTA)Datos_consumo_datadis'!A5395&lt;&gt;"""",SPLIT('(INGESTA)Datos_consumo_datadis'!A:A,"",""),"""")"),"ES0031408323131005HX0F")</f>
        <v>ES0031408323131005HX0F</v>
      </c>
      <c r="B5395" s="12">
        <f>IFERROR(__xludf.DUMMYFUNCTION("""COMPUTED_VALUE"""),45090.0)</f>
        <v>45090</v>
      </c>
      <c r="C5395" s="13">
        <f>IFERROR(__xludf.DUMMYFUNCTION("""COMPUTED_VALUE"""),0.7916666666666666)</f>
        <v>0.7916666667</v>
      </c>
      <c r="D5395" s="8">
        <f>IFERROR(__xludf.DUMMYFUNCTION("""COMPUTED_VALUE"""),0.075)</f>
        <v>0.075</v>
      </c>
      <c r="E5395" s="8" t="str">
        <f>IFERROR(__xludf.DUMMYFUNCTION("""COMPUTED_VALUE"""),"Real")</f>
        <v>Real</v>
      </c>
      <c r="G5395" s="8">
        <f t="shared" si="1"/>
        <v>6</v>
      </c>
      <c r="H5395" s="14">
        <f t="shared" si="2"/>
        <v>13</v>
      </c>
      <c r="I5395" s="15">
        <f t="shared" si="3"/>
        <v>19</v>
      </c>
    </row>
    <row r="5396">
      <c r="A5396" s="8" t="str">
        <f>IFERROR(__xludf.DUMMYFUNCTION("IF('(INGESTA)Datos_consumo_datadis'!A5396&lt;&gt;"""",SPLIT('(INGESTA)Datos_consumo_datadis'!A:A,"",""),"""")"),"ES0031408323131005HX0F")</f>
        <v>ES0031408323131005HX0F</v>
      </c>
      <c r="B5396" s="12">
        <f>IFERROR(__xludf.DUMMYFUNCTION("""COMPUTED_VALUE"""),45090.0)</f>
        <v>45090</v>
      </c>
      <c r="C5396" s="13">
        <f>IFERROR(__xludf.DUMMYFUNCTION("""COMPUTED_VALUE"""),0.8333333333333334)</f>
        <v>0.8333333333</v>
      </c>
      <c r="D5396" s="8">
        <f>IFERROR(__xludf.DUMMYFUNCTION("""COMPUTED_VALUE"""),0.018)</f>
        <v>0.018</v>
      </c>
      <c r="E5396" s="8" t="str">
        <f>IFERROR(__xludf.DUMMYFUNCTION("""COMPUTED_VALUE"""),"Real")</f>
        <v>Real</v>
      </c>
      <c r="G5396" s="8">
        <f t="shared" si="1"/>
        <v>6</v>
      </c>
      <c r="H5396" s="14">
        <f t="shared" si="2"/>
        <v>13</v>
      </c>
      <c r="I5396" s="15">
        <f t="shared" si="3"/>
        <v>20</v>
      </c>
    </row>
    <row r="5397">
      <c r="A5397" s="8" t="str">
        <f>IFERROR(__xludf.DUMMYFUNCTION("IF('(INGESTA)Datos_consumo_datadis'!A5397&lt;&gt;"""",SPLIT('(INGESTA)Datos_consumo_datadis'!A:A,"",""),"""")"),"ES0031408323131005HX0F")</f>
        <v>ES0031408323131005HX0F</v>
      </c>
      <c r="B5397" s="12">
        <f>IFERROR(__xludf.DUMMYFUNCTION("""COMPUTED_VALUE"""),45090.0)</f>
        <v>45090</v>
      </c>
      <c r="C5397" s="13">
        <f>IFERROR(__xludf.DUMMYFUNCTION("""COMPUTED_VALUE"""),0.875)</f>
        <v>0.875</v>
      </c>
      <c r="D5397" s="8">
        <f>IFERROR(__xludf.DUMMYFUNCTION("""COMPUTED_VALUE"""),0.343)</f>
        <v>0.343</v>
      </c>
      <c r="E5397" s="8" t="str">
        <f>IFERROR(__xludf.DUMMYFUNCTION("""COMPUTED_VALUE"""),"Real")</f>
        <v>Real</v>
      </c>
      <c r="G5397" s="8">
        <f t="shared" si="1"/>
        <v>6</v>
      </c>
      <c r="H5397" s="14">
        <f t="shared" si="2"/>
        <v>13</v>
      </c>
      <c r="I5397" s="15">
        <f t="shared" si="3"/>
        <v>21</v>
      </c>
    </row>
    <row r="5398">
      <c r="A5398" s="8" t="str">
        <f>IFERROR(__xludf.DUMMYFUNCTION("IF('(INGESTA)Datos_consumo_datadis'!A5398&lt;&gt;"""",SPLIT('(INGESTA)Datos_consumo_datadis'!A:A,"",""),"""")"),"ES0031408323131005HX0F")</f>
        <v>ES0031408323131005HX0F</v>
      </c>
      <c r="B5398" s="12">
        <f>IFERROR(__xludf.DUMMYFUNCTION("""COMPUTED_VALUE"""),45090.0)</f>
        <v>45090</v>
      </c>
      <c r="C5398" s="13">
        <f>IFERROR(__xludf.DUMMYFUNCTION("""COMPUTED_VALUE"""),0.9166666666666666)</f>
        <v>0.9166666667</v>
      </c>
      <c r="D5398" s="8">
        <f>IFERROR(__xludf.DUMMYFUNCTION("""COMPUTED_VALUE"""),0.115)</f>
        <v>0.115</v>
      </c>
      <c r="E5398" s="8" t="str">
        <f>IFERROR(__xludf.DUMMYFUNCTION("""COMPUTED_VALUE"""),"Real")</f>
        <v>Real</v>
      </c>
      <c r="G5398" s="8">
        <f t="shared" si="1"/>
        <v>6</v>
      </c>
      <c r="H5398" s="14">
        <f t="shared" si="2"/>
        <v>13</v>
      </c>
      <c r="I5398" s="15">
        <f t="shared" si="3"/>
        <v>22</v>
      </c>
    </row>
    <row r="5399">
      <c r="A5399" s="8" t="str">
        <f>IFERROR(__xludf.DUMMYFUNCTION("IF('(INGESTA)Datos_consumo_datadis'!A5399&lt;&gt;"""",SPLIT('(INGESTA)Datos_consumo_datadis'!A:A,"",""),"""")"),"ES0031408323131005HX0F")</f>
        <v>ES0031408323131005HX0F</v>
      </c>
      <c r="B5399" s="12">
        <f>IFERROR(__xludf.DUMMYFUNCTION("""COMPUTED_VALUE"""),45090.0)</f>
        <v>45090</v>
      </c>
      <c r="C5399" s="13">
        <f>IFERROR(__xludf.DUMMYFUNCTION("""COMPUTED_VALUE"""),0.9583333333333334)</f>
        <v>0.9583333333</v>
      </c>
      <c r="D5399" s="8">
        <f>IFERROR(__xludf.DUMMYFUNCTION("""COMPUTED_VALUE"""),0.078)</f>
        <v>0.078</v>
      </c>
      <c r="E5399" s="8" t="str">
        <f>IFERROR(__xludf.DUMMYFUNCTION("""COMPUTED_VALUE"""),"Real")</f>
        <v>Real</v>
      </c>
      <c r="G5399" s="8">
        <f t="shared" si="1"/>
        <v>6</v>
      </c>
      <c r="H5399" s="14">
        <f t="shared" si="2"/>
        <v>13</v>
      </c>
      <c r="I5399" s="15">
        <f t="shared" si="3"/>
        <v>23</v>
      </c>
    </row>
    <row r="5400">
      <c r="A5400" s="8" t="str">
        <f>IFERROR(__xludf.DUMMYFUNCTION("IF('(INGESTA)Datos_consumo_datadis'!A5400&lt;&gt;"""",SPLIT('(INGESTA)Datos_consumo_datadis'!A:A,"",""),"""")"),"ES0031408323131005HX0F")</f>
        <v>ES0031408323131005HX0F</v>
      </c>
      <c r="B5400" s="12">
        <f>IFERROR(__xludf.DUMMYFUNCTION("""COMPUTED_VALUE"""),45090.0)</f>
        <v>45090</v>
      </c>
      <c r="C5400" s="16">
        <f>IFERROR(__xludf.DUMMYFUNCTION("""COMPUTED_VALUE"""),1.0)</f>
        <v>1</v>
      </c>
      <c r="D5400" s="8">
        <f>IFERROR(__xludf.DUMMYFUNCTION("""COMPUTED_VALUE"""),0.041)</f>
        <v>0.041</v>
      </c>
      <c r="E5400" s="8" t="str">
        <f>IFERROR(__xludf.DUMMYFUNCTION("""COMPUTED_VALUE"""),"Real")</f>
        <v>Real</v>
      </c>
      <c r="G5400" s="8">
        <f t="shared" si="1"/>
        <v>6</v>
      </c>
      <c r="H5400" s="14">
        <f t="shared" si="2"/>
        <v>13</v>
      </c>
      <c r="I5400" s="15">
        <f t="shared" si="3"/>
        <v>0</v>
      </c>
    </row>
    <row r="5401">
      <c r="A5401" s="8" t="str">
        <f>IFERROR(__xludf.DUMMYFUNCTION("IF('(INGESTA)Datos_consumo_datadis'!A5401&lt;&gt;"""",SPLIT('(INGESTA)Datos_consumo_datadis'!A:A,"",""),"""")"),"ES0031408323131005HX0F")</f>
        <v>ES0031408323131005HX0F</v>
      </c>
      <c r="B5401" s="12">
        <f>IFERROR(__xludf.DUMMYFUNCTION("""COMPUTED_VALUE"""),45091.0)</f>
        <v>45091</v>
      </c>
      <c r="C5401" s="13">
        <f>IFERROR(__xludf.DUMMYFUNCTION("""COMPUTED_VALUE"""),0.041666666666666664)</f>
        <v>0.04166666667</v>
      </c>
      <c r="D5401" s="8">
        <f>IFERROR(__xludf.DUMMYFUNCTION("""COMPUTED_VALUE"""),0.01)</f>
        <v>0.01</v>
      </c>
      <c r="E5401" s="8" t="str">
        <f>IFERROR(__xludf.DUMMYFUNCTION("""COMPUTED_VALUE"""),"Real")</f>
        <v>Real</v>
      </c>
      <c r="G5401" s="8">
        <f t="shared" si="1"/>
        <v>6</v>
      </c>
      <c r="H5401" s="14">
        <f t="shared" si="2"/>
        <v>14</v>
      </c>
      <c r="I5401" s="15">
        <f t="shared" si="3"/>
        <v>1</v>
      </c>
    </row>
    <row r="5402">
      <c r="A5402" s="8" t="str">
        <f>IFERROR(__xludf.DUMMYFUNCTION("IF('(INGESTA)Datos_consumo_datadis'!A5402&lt;&gt;"""",SPLIT('(INGESTA)Datos_consumo_datadis'!A:A,"",""),"""")"),"ES0031408323131005HX0F")</f>
        <v>ES0031408323131005HX0F</v>
      </c>
      <c r="B5402" s="12">
        <f>IFERROR(__xludf.DUMMYFUNCTION("""COMPUTED_VALUE"""),45091.0)</f>
        <v>45091</v>
      </c>
      <c r="C5402" s="13">
        <f>IFERROR(__xludf.DUMMYFUNCTION("""COMPUTED_VALUE"""),0.08333333333333333)</f>
        <v>0.08333333333</v>
      </c>
      <c r="D5402" s="8">
        <f>IFERROR(__xludf.DUMMYFUNCTION("""COMPUTED_VALUE"""),0.09)</f>
        <v>0.09</v>
      </c>
      <c r="E5402" s="8" t="str">
        <f>IFERROR(__xludf.DUMMYFUNCTION("""COMPUTED_VALUE"""),"Real")</f>
        <v>Real</v>
      </c>
      <c r="G5402" s="8">
        <f t="shared" si="1"/>
        <v>6</v>
      </c>
      <c r="H5402" s="14">
        <f t="shared" si="2"/>
        <v>14</v>
      </c>
      <c r="I5402" s="15">
        <f t="shared" si="3"/>
        <v>2</v>
      </c>
    </row>
    <row r="5403">
      <c r="A5403" s="8" t="str">
        <f>IFERROR(__xludf.DUMMYFUNCTION("IF('(INGESTA)Datos_consumo_datadis'!A5403&lt;&gt;"""",SPLIT('(INGESTA)Datos_consumo_datadis'!A:A,"",""),"""")"),"ES0031408323131005HX0F")</f>
        <v>ES0031408323131005HX0F</v>
      </c>
      <c r="B5403" s="12">
        <f>IFERROR(__xludf.DUMMYFUNCTION("""COMPUTED_VALUE"""),45091.0)</f>
        <v>45091</v>
      </c>
      <c r="C5403" s="13">
        <f>IFERROR(__xludf.DUMMYFUNCTION("""COMPUTED_VALUE"""),0.125)</f>
        <v>0.125</v>
      </c>
      <c r="D5403" s="8">
        <f>IFERROR(__xludf.DUMMYFUNCTION("""COMPUTED_VALUE"""),0.103)</f>
        <v>0.103</v>
      </c>
      <c r="E5403" s="8" t="str">
        <f>IFERROR(__xludf.DUMMYFUNCTION("""COMPUTED_VALUE"""),"Real")</f>
        <v>Real</v>
      </c>
      <c r="G5403" s="8">
        <f t="shared" si="1"/>
        <v>6</v>
      </c>
      <c r="H5403" s="14">
        <f t="shared" si="2"/>
        <v>14</v>
      </c>
      <c r="I5403" s="15">
        <f t="shared" si="3"/>
        <v>3</v>
      </c>
    </row>
    <row r="5404">
      <c r="A5404" s="8" t="str">
        <f>IFERROR(__xludf.DUMMYFUNCTION("IF('(INGESTA)Datos_consumo_datadis'!A5404&lt;&gt;"""",SPLIT('(INGESTA)Datos_consumo_datadis'!A:A,"",""),"""")"),"ES0031408323131005HX0F")</f>
        <v>ES0031408323131005HX0F</v>
      </c>
      <c r="B5404" s="12">
        <f>IFERROR(__xludf.DUMMYFUNCTION("""COMPUTED_VALUE"""),45091.0)</f>
        <v>45091</v>
      </c>
      <c r="C5404" s="13">
        <f>IFERROR(__xludf.DUMMYFUNCTION("""COMPUTED_VALUE"""),0.16666666666666666)</f>
        <v>0.1666666667</v>
      </c>
      <c r="D5404" s="8">
        <f>IFERROR(__xludf.DUMMYFUNCTION("""COMPUTED_VALUE"""),0.087)</f>
        <v>0.087</v>
      </c>
      <c r="E5404" s="8" t="str">
        <f>IFERROR(__xludf.DUMMYFUNCTION("""COMPUTED_VALUE"""),"Real")</f>
        <v>Real</v>
      </c>
      <c r="G5404" s="8">
        <f t="shared" si="1"/>
        <v>6</v>
      </c>
      <c r="H5404" s="14">
        <f t="shared" si="2"/>
        <v>14</v>
      </c>
      <c r="I5404" s="15">
        <f t="shared" si="3"/>
        <v>4</v>
      </c>
    </row>
    <row r="5405">
      <c r="A5405" s="8" t="str">
        <f>IFERROR(__xludf.DUMMYFUNCTION("IF('(INGESTA)Datos_consumo_datadis'!A5405&lt;&gt;"""",SPLIT('(INGESTA)Datos_consumo_datadis'!A:A,"",""),"""")"),"ES0031408323131005HX0F")</f>
        <v>ES0031408323131005HX0F</v>
      </c>
      <c r="B5405" s="12">
        <f>IFERROR(__xludf.DUMMYFUNCTION("""COMPUTED_VALUE"""),45091.0)</f>
        <v>45091</v>
      </c>
      <c r="C5405" s="13">
        <f>IFERROR(__xludf.DUMMYFUNCTION("""COMPUTED_VALUE"""),0.20833333333333334)</f>
        <v>0.2083333333</v>
      </c>
      <c r="D5405" s="8">
        <f>IFERROR(__xludf.DUMMYFUNCTION("""COMPUTED_VALUE"""),0.334)</f>
        <v>0.334</v>
      </c>
      <c r="E5405" s="8" t="str">
        <f>IFERROR(__xludf.DUMMYFUNCTION("""COMPUTED_VALUE"""),"Real")</f>
        <v>Real</v>
      </c>
      <c r="G5405" s="8">
        <f t="shared" si="1"/>
        <v>6</v>
      </c>
      <c r="H5405" s="14">
        <f t="shared" si="2"/>
        <v>14</v>
      </c>
      <c r="I5405" s="15">
        <f t="shared" si="3"/>
        <v>5</v>
      </c>
    </row>
    <row r="5406">
      <c r="A5406" s="8" t="str">
        <f>IFERROR(__xludf.DUMMYFUNCTION("IF('(INGESTA)Datos_consumo_datadis'!A5406&lt;&gt;"""",SPLIT('(INGESTA)Datos_consumo_datadis'!A:A,"",""),"""")"),"ES0031408323131005HX0F")</f>
        <v>ES0031408323131005HX0F</v>
      </c>
      <c r="B5406" s="12">
        <f>IFERROR(__xludf.DUMMYFUNCTION("""COMPUTED_VALUE"""),45091.0)</f>
        <v>45091</v>
      </c>
      <c r="C5406" s="13">
        <f>IFERROR(__xludf.DUMMYFUNCTION("""COMPUTED_VALUE"""),0.25)</f>
        <v>0.25</v>
      </c>
      <c r="D5406" s="8">
        <f>IFERROR(__xludf.DUMMYFUNCTION("""COMPUTED_VALUE"""),0.038)</f>
        <v>0.038</v>
      </c>
      <c r="E5406" s="8" t="str">
        <f>IFERROR(__xludf.DUMMYFUNCTION("""COMPUTED_VALUE"""),"Real")</f>
        <v>Real</v>
      </c>
      <c r="G5406" s="8">
        <f t="shared" si="1"/>
        <v>6</v>
      </c>
      <c r="H5406" s="14">
        <f t="shared" si="2"/>
        <v>14</v>
      </c>
      <c r="I5406" s="15">
        <f t="shared" si="3"/>
        <v>6</v>
      </c>
    </row>
    <row r="5407">
      <c r="A5407" s="8" t="str">
        <f>IFERROR(__xludf.DUMMYFUNCTION("IF('(INGESTA)Datos_consumo_datadis'!A5407&lt;&gt;"""",SPLIT('(INGESTA)Datos_consumo_datadis'!A:A,"",""),"""")"),"ES0031408323131005HX0F")</f>
        <v>ES0031408323131005HX0F</v>
      </c>
      <c r="B5407" s="12">
        <f>IFERROR(__xludf.DUMMYFUNCTION("""COMPUTED_VALUE"""),45091.0)</f>
        <v>45091</v>
      </c>
      <c r="C5407" s="13">
        <f>IFERROR(__xludf.DUMMYFUNCTION("""COMPUTED_VALUE"""),0.2916666666666667)</f>
        <v>0.2916666667</v>
      </c>
      <c r="D5407" s="8">
        <f>IFERROR(__xludf.DUMMYFUNCTION("""COMPUTED_VALUE"""),0.113)</f>
        <v>0.113</v>
      </c>
      <c r="E5407" s="8" t="str">
        <f>IFERROR(__xludf.DUMMYFUNCTION("""COMPUTED_VALUE"""),"Real")</f>
        <v>Real</v>
      </c>
      <c r="G5407" s="8">
        <f t="shared" si="1"/>
        <v>6</v>
      </c>
      <c r="H5407" s="14">
        <f t="shared" si="2"/>
        <v>14</v>
      </c>
      <c r="I5407" s="15">
        <f t="shared" si="3"/>
        <v>7</v>
      </c>
    </row>
    <row r="5408">
      <c r="A5408" s="8" t="str">
        <f>IFERROR(__xludf.DUMMYFUNCTION("IF('(INGESTA)Datos_consumo_datadis'!A5408&lt;&gt;"""",SPLIT('(INGESTA)Datos_consumo_datadis'!A:A,"",""),"""")"),"ES0031408323131005HX0F")</f>
        <v>ES0031408323131005HX0F</v>
      </c>
      <c r="B5408" s="12">
        <f>IFERROR(__xludf.DUMMYFUNCTION("""COMPUTED_VALUE"""),45091.0)</f>
        <v>45091</v>
      </c>
      <c r="C5408" s="13">
        <f>IFERROR(__xludf.DUMMYFUNCTION("""COMPUTED_VALUE"""),0.3333333333333333)</f>
        <v>0.3333333333</v>
      </c>
      <c r="D5408" s="8">
        <f>IFERROR(__xludf.DUMMYFUNCTION("""COMPUTED_VALUE"""),0.07)</f>
        <v>0.07</v>
      </c>
      <c r="E5408" s="8" t="str">
        <f>IFERROR(__xludf.DUMMYFUNCTION("""COMPUTED_VALUE"""),"Real")</f>
        <v>Real</v>
      </c>
      <c r="G5408" s="8">
        <f t="shared" si="1"/>
        <v>6</v>
      </c>
      <c r="H5408" s="14">
        <f t="shared" si="2"/>
        <v>14</v>
      </c>
      <c r="I5408" s="15">
        <f t="shared" si="3"/>
        <v>8</v>
      </c>
    </row>
    <row r="5409">
      <c r="A5409" s="8" t="str">
        <f>IFERROR(__xludf.DUMMYFUNCTION("IF('(INGESTA)Datos_consumo_datadis'!A5409&lt;&gt;"""",SPLIT('(INGESTA)Datos_consumo_datadis'!A:A,"",""),"""")"),"ES0031408323131005HX0F")</f>
        <v>ES0031408323131005HX0F</v>
      </c>
      <c r="B5409" s="12">
        <f>IFERROR(__xludf.DUMMYFUNCTION("""COMPUTED_VALUE"""),45091.0)</f>
        <v>45091</v>
      </c>
      <c r="C5409" s="13">
        <f>IFERROR(__xludf.DUMMYFUNCTION("""COMPUTED_VALUE"""),0.375)</f>
        <v>0.375</v>
      </c>
      <c r="D5409" s="8">
        <f>IFERROR(__xludf.DUMMYFUNCTION("""COMPUTED_VALUE"""),0.041)</f>
        <v>0.041</v>
      </c>
      <c r="E5409" s="8" t="str">
        <f>IFERROR(__xludf.DUMMYFUNCTION("""COMPUTED_VALUE"""),"Real")</f>
        <v>Real</v>
      </c>
      <c r="G5409" s="8">
        <f t="shared" si="1"/>
        <v>6</v>
      </c>
      <c r="H5409" s="14">
        <f t="shared" si="2"/>
        <v>14</v>
      </c>
      <c r="I5409" s="15">
        <f t="shared" si="3"/>
        <v>9</v>
      </c>
    </row>
    <row r="5410">
      <c r="A5410" s="8" t="str">
        <f>IFERROR(__xludf.DUMMYFUNCTION("IF('(INGESTA)Datos_consumo_datadis'!A5410&lt;&gt;"""",SPLIT('(INGESTA)Datos_consumo_datadis'!A:A,"",""),"""")"),"ES0031408323131005HX0F")</f>
        <v>ES0031408323131005HX0F</v>
      </c>
      <c r="B5410" s="12">
        <f>IFERROR(__xludf.DUMMYFUNCTION("""COMPUTED_VALUE"""),45091.0)</f>
        <v>45091</v>
      </c>
      <c r="C5410" s="13">
        <f>IFERROR(__xludf.DUMMYFUNCTION("""COMPUTED_VALUE"""),0.4166666666666667)</f>
        <v>0.4166666667</v>
      </c>
      <c r="D5410" s="8">
        <f>IFERROR(__xludf.DUMMYFUNCTION("""COMPUTED_VALUE"""),0.01)</f>
        <v>0.01</v>
      </c>
      <c r="E5410" s="8" t="str">
        <f>IFERROR(__xludf.DUMMYFUNCTION("""COMPUTED_VALUE"""),"Real")</f>
        <v>Real</v>
      </c>
      <c r="G5410" s="8">
        <f t="shared" si="1"/>
        <v>6</v>
      </c>
      <c r="H5410" s="14">
        <f t="shared" si="2"/>
        <v>14</v>
      </c>
      <c r="I5410" s="15">
        <f t="shared" si="3"/>
        <v>10</v>
      </c>
    </row>
    <row r="5411">
      <c r="A5411" s="8" t="str">
        <f>IFERROR(__xludf.DUMMYFUNCTION("IF('(INGESTA)Datos_consumo_datadis'!A5411&lt;&gt;"""",SPLIT('(INGESTA)Datos_consumo_datadis'!A:A,"",""),"""")"),"ES0031408323131005HX0F")</f>
        <v>ES0031408323131005HX0F</v>
      </c>
      <c r="B5411" s="12">
        <f>IFERROR(__xludf.DUMMYFUNCTION("""COMPUTED_VALUE"""),45091.0)</f>
        <v>45091</v>
      </c>
      <c r="C5411" s="13">
        <f>IFERROR(__xludf.DUMMYFUNCTION("""COMPUTED_VALUE"""),0.4583333333333333)</f>
        <v>0.4583333333</v>
      </c>
      <c r="D5411" s="8">
        <f>IFERROR(__xludf.DUMMYFUNCTION("""COMPUTED_VALUE"""),0.113)</f>
        <v>0.113</v>
      </c>
      <c r="E5411" s="8" t="str">
        <f>IFERROR(__xludf.DUMMYFUNCTION("""COMPUTED_VALUE"""),"Real")</f>
        <v>Real</v>
      </c>
      <c r="G5411" s="8">
        <f t="shared" si="1"/>
        <v>6</v>
      </c>
      <c r="H5411" s="14">
        <f t="shared" si="2"/>
        <v>14</v>
      </c>
      <c r="I5411" s="15">
        <f t="shared" si="3"/>
        <v>11</v>
      </c>
    </row>
    <row r="5412">
      <c r="A5412" s="8" t="str">
        <f>IFERROR(__xludf.DUMMYFUNCTION("IF('(INGESTA)Datos_consumo_datadis'!A5412&lt;&gt;"""",SPLIT('(INGESTA)Datos_consumo_datadis'!A:A,"",""),"""")"),"ES0031408323131005HX0F")</f>
        <v>ES0031408323131005HX0F</v>
      </c>
      <c r="B5412" s="12">
        <f>IFERROR(__xludf.DUMMYFUNCTION("""COMPUTED_VALUE"""),45091.0)</f>
        <v>45091</v>
      </c>
      <c r="C5412" s="13">
        <f>IFERROR(__xludf.DUMMYFUNCTION("""COMPUTED_VALUE"""),0.5)</f>
        <v>0.5</v>
      </c>
      <c r="D5412" s="8">
        <f>IFERROR(__xludf.DUMMYFUNCTION("""COMPUTED_VALUE"""),0.082)</f>
        <v>0.082</v>
      </c>
      <c r="E5412" s="8" t="str">
        <f>IFERROR(__xludf.DUMMYFUNCTION("""COMPUTED_VALUE"""),"Real")</f>
        <v>Real</v>
      </c>
      <c r="G5412" s="8">
        <f t="shared" si="1"/>
        <v>6</v>
      </c>
      <c r="H5412" s="14">
        <f t="shared" si="2"/>
        <v>14</v>
      </c>
      <c r="I5412" s="15">
        <f t="shared" si="3"/>
        <v>12</v>
      </c>
    </row>
    <row r="5413">
      <c r="A5413" s="8" t="str">
        <f>IFERROR(__xludf.DUMMYFUNCTION("IF('(INGESTA)Datos_consumo_datadis'!A5413&lt;&gt;"""",SPLIT('(INGESTA)Datos_consumo_datadis'!A:A,"",""),"""")"),"ES0031408323131005HX0F")</f>
        <v>ES0031408323131005HX0F</v>
      </c>
      <c r="B5413" s="12">
        <f>IFERROR(__xludf.DUMMYFUNCTION("""COMPUTED_VALUE"""),45091.0)</f>
        <v>45091</v>
      </c>
      <c r="C5413" s="13">
        <f>IFERROR(__xludf.DUMMYFUNCTION("""COMPUTED_VALUE"""),0.5416666666666666)</f>
        <v>0.5416666667</v>
      </c>
      <c r="D5413" s="8">
        <f>IFERROR(__xludf.DUMMYFUNCTION("""COMPUTED_VALUE"""),0.081)</f>
        <v>0.081</v>
      </c>
      <c r="E5413" s="8" t="str">
        <f>IFERROR(__xludf.DUMMYFUNCTION("""COMPUTED_VALUE"""),"Real")</f>
        <v>Real</v>
      </c>
      <c r="G5413" s="8">
        <f t="shared" si="1"/>
        <v>6</v>
      </c>
      <c r="H5413" s="14">
        <f t="shared" si="2"/>
        <v>14</v>
      </c>
      <c r="I5413" s="15">
        <f t="shared" si="3"/>
        <v>13</v>
      </c>
    </row>
    <row r="5414">
      <c r="A5414" s="8" t="str">
        <f>IFERROR(__xludf.DUMMYFUNCTION("IF('(INGESTA)Datos_consumo_datadis'!A5414&lt;&gt;"""",SPLIT('(INGESTA)Datos_consumo_datadis'!A:A,"",""),"""")"),"ES0031408323131005HX0F")</f>
        <v>ES0031408323131005HX0F</v>
      </c>
      <c r="B5414" s="12">
        <f>IFERROR(__xludf.DUMMYFUNCTION("""COMPUTED_VALUE"""),45091.0)</f>
        <v>45091</v>
      </c>
      <c r="C5414" s="13">
        <f>IFERROR(__xludf.DUMMYFUNCTION("""COMPUTED_VALUE"""),0.5833333333333334)</f>
        <v>0.5833333333</v>
      </c>
      <c r="D5414" s="8">
        <f>IFERROR(__xludf.DUMMYFUNCTION("""COMPUTED_VALUE"""),0.322)</f>
        <v>0.322</v>
      </c>
      <c r="E5414" s="8" t="str">
        <f>IFERROR(__xludf.DUMMYFUNCTION("""COMPUTED_VALUE"""),"Real")</f>
        <v>Real</v>
      </c>
      <c r="G5414" s="8">
        <f t="shared" si="1"/>
        <v>6</v>
      </c>
      <c r="H5414" s="14">
        <f t="shared" si="2"/>
        <v>14</v>
      </c>
      <c r="I5414" s="15">
        <f t="shared" si="3"/>
        <v>14</v>
      </c>
    </row>
    <row r="5415">
      <c r="A5415" s="8" t="str">
        <f>IFERROR(__xludf.DUMMYFUNCTION("IF('(INGESTA)Datos_consumo_datadis'!A5415&lt;&gt;"""",SPLIT('(INGESTA)Datos_consumo_datadis'!A:A,"",""),"""")"),"ES0031408323131005HX0F")</f>
        <v>ES0031408323131005HX0F</v>
      </c>
      <c r="B5415" s="12">
        <f>IFERROR(__xludf.DUMMYFUNCTION("""COMPUTED_VALUE"""),45091.0)</f>
        <v>45091</v>
      </c>
      <c r="C5415" s="13">
        <f>IFERROR(__xludf.DUMMYFUNCTION("""COMPUTED_VALUE"""),0.625)</f>
        <v>0.625</v>
      </c>
      <c r="D5415" s="8">
        <f>IFERROR(__xludf.DUMMYFUNCTION("""COMPUTED_VALUE"""),0.041)</f>
        <v>0.041</v>
      </c>
      <c r="E5415" s="8" t="str">
        <f>IFERROR(__xludf.DUMMYFUNCTION("""COMPUTED_VALUE"""),"Real")</f>
        <v>Real</v>
      </c>
      <c r="G5415" s="8">
        <f t="shared" si="1"/>
        <v>6</v>
      </c>
      <c r="H5415" s="14">
        <f t="shared" si="2"/>
        <v>14</v>
      </c>
      <c r="I5415" s="15">
        <f t="shared" si="3"/>
        <v>15</v>
      </c>
    </row>
    <row r="5416">
      <c r="A5416" s="8" t="str">
        <f>IFERROR(__xludf.DUMMYFUNCTION("IF('(INGESTA)Datos_consumo_datadis'!A5416&lt;&gt;"""",SPLIT('(INGESTA)Datos_consumo_datadis'!A:A,"",""),"""")"),"ES0031408323131005HX0F")</f>
        <v>ES0031408323131005HX0F</v>
      </c>
      <c r="B5416" s="12">
        <f>IFERROR(__xludf.DUMMYFUNCTION("""COMPUTED_VALUE"""),45091.0)</f>
        <v>45091</v>
      </c>
      <c r="C5416" s="13">
        <f>IFERROR(__xludf.DUMMYFUNCTION("""COMPUTED_VALUE"""),0.6666666666666666)</f>
        <v>0.6666666667</v>
      </c>
      <c r="D5416" s="8">
        <f>IFERROR(__xludf.DUMMYFUNCTION("""COMPUTED_VALUE"""),0.114)</f>
        <v>0.114</v>
      </c>
      <c r="E5416" s="8" t="str">
        <f>IFERROR(__xludf.DUMMYFUNCTION("""COMPUTED_VALUE"""),"Real")</f>
        <v>Real</v>
      </c>
      <c r="G5416" s="8">
        <f t="shared" si="1"/>
        <v>6</v>
      </c>
      <c r="H5416" s="14">
        <f t="shared" si="2"/>
        <v>14</v>
      </c>
      <c r="I5416" s="15">
        <f t="shared" si="3"/>
        <v>16</v>
      </c>
    </row>
    <row r="5417">
      <c r="A5417" s="8" t="str">
        <f>IFERROR(__xludf.DUMMYFUNCTION("IF('(INGESTA)Datos_consumo_datadis'!A5417&lt;&gt;"""",SPLIT('(INGESTA)Datos_consumo_datadis'!A:A,"",""),"""")"),"ES0031408323131005HX0F")</f>
        <v>ES0031408323131005HX0F</v>
      </c>
      <c r="B5417" s="12">
        <f>IFERROR(__xludf.DUMMYFUNCTION("""COMPUTED_VALUE"""),45091.0)</f>
        <v>45091</v>
      </c>
      <c r="C5417" s="13">
        <f>IFERROR(__xludf.DUMMYFUNCTION("""COMPUTED_VALUE"""),0.7083333333333334)</f>
        <v>0.7083333333</v>
      </c>
      <c r="D5417" s="8">
        <f>IFERROR(__xludf.DUMMYFUNCTION("""COMPUTED_VALUE"""),0.067)</f>
        <v>0.067</v>
      </c>
      <c r="E5417" s="8" t="str">
        <f>IFERROR(__xludf.DUMMYFUNCTION("""COMPUTED_VALUE"""),"Real")</f>
        <v>Real</v>
      </c>
      <c r="G5417" s="8">
        <f t="shared" si="1"/>
        <v>6</v>
      </c>
      <c r="H5417" s="14">
        <f t="shared" si="2"/>
        <v>14</v>
      </c>
      <c r="I5417" s="15">
        <f t="shared" si="3"/>
        <v>17</v>
      </c>
    </row>
    <row r="5418">
      <c r="A5418" s="8" t="str">
        <f>IFERROR(__xludf.DUMMYFUNCTION("IF('(INGESTA)Datos_consumo_datadis'!A5418&lt;&gt;"""",SPLIT('(INGESTA)Datos_consumo_datadis'!A:A,"",""),"""")"),"ES0031408323131005HX0F")</f>
        <v>ES0031408323131005HX0F</v>
      </c>
      <c r="B5418" s="12">
        <f>IFERROR(__xludf.DUMMYFUNCTION("""COMPUTED_VALUE"""),45091.0)</f>
        <v>45091</v>
      </c>
      <c r="C5418" s="13">
        <f>IFERROR(__xludf.DUMMYFUNCTION("""COMPUTED_VALUE"""),0.75)</f>
        <v>0.75</v>
      </c>
      <c r="D5418" s="8">
        <f>IFERROR(__xludf.DUMMYFUNCTION("""COMPUTED_VALUE"""),0.044)</f>
        <v>0.044</v>
      </c>
      <c r="E5418" s="8" t="str">
        <f>IFERROR(__xludf.DUMMYFUNCTION("""COMPUTED_VALUE"""),"Real")</f>
        <v>Real</v>
      </c>
      <c r="G5418" s="8">
        <f t="shared" si="1"/>
        <v>6</v>
      </c>
      <c r="H5418" s="14">
        <f t="shared" si="2"/>
        <v>14</v>
      </c>
      <c r="I5418" s="15">
        <f t="shared" si="3"/>
        <v>18</v>
      </c>
    </row>
    <row r="5419">
      <c r="A5419" s="8" t="str">
        <f>IFERROR(__xludf.DUMMYFUNCTION("IF('(INGESTA)Datos_consumo_datadis'!A5419&lt;&gt;"""",SPLIT('(INGESTA)Datos_consumo_datadis'!A:A,"",""),"""")"),"ES0031408323131005HX0F")</f>
        <v>ES0031408323131005HX0F</v>
      </c>
      <c r="B5419" s="12">
        <f>IFERROR(__xludf.DUMMYFUNCTION("""COMPUTED_VALUE"""),45091.0)</f>
        <v>45091</v>
      </c>
      <c r="C5419" s="13">
        <f>IFERROR(__xludf.DUMMYFUNCTION("""COMPUTED_VALUE"""),0.7916666666666666)</f>
        <v>0.7916666667</v>
      </c>
      <c r="D5419" s="8">
        <f>IFERROR(__xludf.DUMMYFUNCTION("""COMPUTED_VALUE"""),0.01)</f>
        <v>0.01</v>
      </c>
      <c r="E5419" s="8" t="str">
        <f>IFERROR(__xludf.DUMMYFUNCTION("""COMPUTED_VALUE"""),"Real")</f>
        <v>Real</v>
      </c>
      <c r="G5419" s="8">
        <f t="shared" si="1"/>
        <v>6</v>
      </c>
      <c r="H5419" s="14">
        <f t="shared" si="2"/>
        <v>14</v>
      </c>
      <c r="I5419" s="15">
        <f t="shared" si="3"/>
        <v>19</v>
      </c>
    </row>
    <row r="5420">
      <c r="A5420" s="8" t="str">
        <f>IFERROR(__xludf.DUMMYFUNCTION("IF('(INGESTA)Datos_consumo_datadis'!A5420&lt;&gt;"""",SPLIT('(INGESTA)Datos_consumo_datadis'!A:A,"",""),"""")"),"ES0031408323131005HX0F")</f>
        <v>ES0031408323131005HX0F</v>
      </c>
      <c r="B5420" s="12">
        <f>IFERROR(__xludf.DUMMYFUNCTION("""COMPUTED_VALUE"""),45091.0)</f>
        <v>45091</v>
      </c>
      <c r="C5420" s="13">
        <f>IFERROR(__xludf.DUMMYFUNCTION("""COMPUTED_VALUE"""),0.8333333333333334)</f>
        <v>0.8333333333</v>
      </c>
      <c r="D5420" s="8">
        <f>IFERROR(__xludf.DUMMYFUNCTION("""COMPUTED_VALUE"""),0.094)</f>
        <v>0.094</v>
      </c>
      <c r="E5420" s="8" t="str">
        <f>IFERROR(__xludf.DUMMYFUNCTION("""COMPUTED_VALUE"""),"Real")</f>
        <v>Real</v>
      </c>
      <c r="G5420" s="8">
        <f t="shared" si="1"/>
        <v>6</v>
      </c>
      <c r="H5420" s="14">
        <f t="shared" si="2"/>
        <v>14</v>
      </c>
      <c r="I5420" s="15">
        <f t="shared" si="3"/>
        <v>20</v>
      </c>
    </row>
    <row r="5421">
      <c r="A5421" s="8" t="str">
        <f>IFERROR(__xludf.DUMMYFUNCTION("IF('(INGESTA)Datos_consumo_datadis'!A5421&lt;&gt;"""",SPLIT('(INGESTA)Datos_consumo_datadis'!A:A,"",""),"""")"),"ES0031408323131005HX0F")</f>
        <v>ES0031408323131005HX0F</v>
      </c>
      <c r="B5421" s="12">
        <f>IFERROR(__xludf.DUMMYFUNCTION("""COMPUTED_VALUE"""),45091.0)</f>
        <v>45091</v>
      </c>
      <c r="C5421" s="13">
        <f>IFERROR(__xludf.DUMMYFUNCTION("""COMPUTED_VALUE"""),0.875)</f>
        <v>0.875</v>
      </c>
      <c r="D5421" s="8">
        <f>IFERROR(__xludf.DUMMYFUNCTION("""COMPUTED_VALUE"""),0.077)</f>
        <v>0.077</v>
      </c>
      <c r="E5421" s="8" t="str">
        <f>IFERROR(__xludf.DUMMYFUNCTION("""COMPUTED_VALUE"""),"Real")</f>
        <v>Real</v>
      </c>
      <c r="G5421" s="8">
        <f t="shared" si="1"/>
        <v>6</v>
      </c>
      <c r="H5421" s="14">
        <f t="shared" si="2"/>
        <v>14</v>
      </c>
      <c r="I5421" s="15">
        <f t="shared" si="3"/>
        <v>21</v>
      </c>
    </row>
    <row r="5422">
      <c r="A5422" s="8" t="str">
        <f>IFERROR(__xludf.DUMMYFUNCTION("IF('(INGESTA)Datos_consumo_datadis'!A5422&lt;&gt;"""",SPLIT('(INGESTA)Datos_consumo_datadis'!A:A,"",""),"""")"),"ES0031408323131005HX0F")</f>
        <v>ES0031408323131005HX0F</v>
      </c>
      <c r="B5422" s="12">
        <f>IFERROR(__xludf.DUMMYFUNCTION("""COMPUTED_VALUE"""),45091.0)</f>
        <v>45091</v>
      </c>
      <c r="C5422" s="13">
        <f>IFERROR(__xludf.DUMMYFUNCTION("""COMPUTED_VALUE"""),0.9166666666666666)</f>
        <v>0.9166666667</v>
      </c>
      <c r="D5422" s="8">
        <f>IFERROR(__xludf.DUMMYFUNCTION("""COMPUTED_VALUE"""),0.41)</f>
        <v>0.41</v>
      </c>
      <c r="E5422" s="8" t="str">
        <f>IFERROR(__xludf.DUMMYFUNCTION("""COMPUTED_VALUE"""),"Real")</f>
        <v>Real</v>
      </c>
      <c r="G5422" s="8">
        <f t="shared" si="1"/>
        <v>6</v>
      </c>
      <c r="H5422" s="14">
        <f t="shared" si="2"/>
        <v>14</v>
      </c>
      <c r="I5422" s="15">
        <f t="shared" si="3"/>
        <v>22</v>
      </c>
    </row>
    <row r="5423">
      <c r="A5423" s="8" t="str">
        <f>IFERROR(__xludf.DUMMYFUNCTION("IF('(INGESTA)Datos_consumo_datadis'!A5423&lt;&gt;"""",SPLIT('(INGESTA)Datos_consumo_datadis'!A:A,"",""),"""")"),"ES0031408323131005HX0F")</f>
        <v>ES0031408323131005HX0F</v>
      </c>
      <c r="B5423" s="12">
        <f>IFERROR(__xludf.DUMMYFUNCTION("""COMPUTED_VALUE"""),45091.0)</f>
        <v>45091</v>
      </c>
      <c r="C5423" s="13">
        <f>IFERROR(__xludf.DUMMYFUNCTION("""COMPUTED_VALUE"""),0.9583333333333334)</f>
        <v>0.9583333333</v>
      </c>
      <c r="D5423" s="8">
        <f>IFERROR(__xludf.DUMMYFUNCTION("""COMPUTED_VALUE"""),0.01)</f>
        <v>0.01</v>
      </c>
      <c r="E5423" s="8" t="str">
        <f>IFERROR(__xludf.DUMMYFUNCTION("""COMPUTED_VALUE"""),"Real")</f>
        <v>Real</v>
      </c>
      <c r="G5423" s="8">
        <f t="shared" si="1"/>
        <v>6</v>
      </c>
      <c r="H5423" s="14">
        <f t="shared" si="2"/>
        <v>14</v>
      </c>
      <c r="I5423" s="15">
        <f t="shared" si="3"/>
        <v>23</v>
      </c>
    </row>
    <row r="5424">
      <c r="A5424" s="8" t="str">
        <f>IFERROR(__xludf.DUMMYFUNCTION("IF('(INGESTA)Datos_consumo_datadis'!A5424&lt;&gt;"""",SPLIT('(INGESTA)Datos_consumo_datadis'!A:A,"",""),"""")"),"ES0031408323131005HX0F")</f>
        <v>ES0031408323131005HX0F</v>
      </c>
      <c r="B5424" s="12">
        <f>IFERROR(__xludf.DUMMYFUNCTION("""COMPUTED_VALUE"""),45091.0)</f>
        <v>45091</v>
      </c>
      <c r="C5424" s="16">
        <f>IFERROR(__xludf.DUMMYFUNCTION("""COMPUTED_VALUE"""),1.0)</f>
        <v>1</v>
      </c>
      <c r="D5424" s="8">
        <f>IFERROR(__xludf.DUMMYFUNCTION("""COMPUTED_VALUE"""),0.048)</f>
        <v>0.048</v>
      </c>
      <c r="E5424" s="8" t="str">
        <f>IFERROR(__xludf.DUMMYFUNCTION("""COMPUTED_VALUE"""),"Real")</f>
        <v>Real</v>
      </c>
      <c r="G5424" s="8">
        <f t="shared" si="1"/>
        <v>6</v>
      </c>
      <c r="H5424" s="14">
        <f t="shared" si="2"/>
        <v>14</v>
      </c>
      <c r="I5424" s="15">
        <f t="shared" si="3"/>
        <v>0</v>
      </c>
    </row>
    <row r="5425">
      <c r="A5425" s="8" t="str">
        <f>IFERROR(__xludf.DUMMYFUNCTION("IF('(INGESTA)Datos_consumo_datadis'!A5425&lt;&gt;"""",SPLIT('(INGESTA)Datos_consumo_datadis'!A:A,"",""),"""")"),"ES0031408323131005HX0F")</f>
        <v>ES0031408323131005HX0F</v>
      </c>
      <c r="B5425" s="12">
        <f>IFERROR(__xludf.DUMMYFUNCTION("""COMPUTED_VALUE"""),45092.0)</f>
        <v>45092</v>
      </c>
      <c r="C5425" s="13">
        <f>IFERROR(__xludf.DUMMYFUNCTION("""COMPUTED_VALUE"""),0.041666666666666664)</f>
        <v>0.04166666667</v>
      </c>
      <c r="D5425" s="8">
        <f>IFERROR(__xludf.DUMMYFUNCTION("""COMPUTED_VALUE"""),0.113)</f>
        <v>0.113</v>
      </c>
      <c r="E5425" s="8" t="str">
        <f>IFERROR(__xludf.DUMMYFUNCTION("""COMPUTED_VALUE"""),"Real")</f>
        <v>Real</v>
      </c>
      <c r="G5425" s="8">
        <f t="shared" si="1"/>
        <v>6</v>
      </c>
      <c r="H5425" s="14">
        <f t="shared" si="2"/>
        <v>15</v>
      </c>
      <c r="I5425" s="15">
        <f t="shared" si="3"/>
        <v>1</v>
      </c>
    </row>
    <row r="5426">
      <c r="A5426" s="8" t="str">
        <f>IFERROR(__xludf.DUMMYFUNCTION("IF('(INGESTA)Datos_consumo_datadis'!A5426&lt;&gt;"""",SPLIT('(INGESTA)Datos_consumo_datadis'!A:A,"",""),"""")"),"ES0031408323131005HX0F")</f>
        <v>ES0031408323131005HX0F</v>
      </c>
      <c r="B5426" s="12">
        <f>IFERROR(__xludf.DUMMYFUNCTION("""COMPUTED_VALUE"""),45092.0)</f>
        <v>45092</v>
      </c>
      <c r="C5426" s="13">
        <f>IFERROR(__xludf.DUMMYFUNCTION("""COMPUTED_VALUE"""),0.08333333333333333)</f>
        <v>0.08333333333</v>
      </c>
      <c r="D5426" s="8">
        <f>IFERROR(__xludf.DUMMYFUNCTION("""COMPUTED_VALUE"""),0.062)</f>
        <v>0.062</v>
      </c>
      <c r="E5426" s="8" t="str">
        <f>IFERROR(__xludf.DUMMYFUNCTION("""COMPUTED_VALUE"""),"Real")</f>
        <v>Real</v>
      </c>
      <c r="G5426" s="8">
        <f t="shared" si="1"/>
        <v>6</v>
      </c>
      <c r="H5426" s="14">
        <f t="shared" si="2"/>
        <v>15</v>
      </c>
      <c r="I5426" s="15">
        <f t="shared" si="3"/>
        <v>2</v>
      </c>
    </row>
    <row r="5427">
      <c r="A5427" s="8" t="str">
        <f>IFERROR(__xludf.DUMMYFUNCTION("IF('(INGESTA)Datos_consumo_datadis'!A5427&lt;&gt;"""",SPLIT('(INGESTA)Datos_consumo_datadis'!A:A,"",""),"""")"),"ES0031408323131005HX0F")</f>
        <v>ES0031408323131005HX0F</v>
      </c>
      <c r="B5427" s="12">
        <f>IFERROR(__xludf.DUMMYFUNCTION("""COMPUTED_VALUE"""),45092.0)</f>
        <v>45092</v>
      </c>
      <c r="C5427" s="13">
        <f>IFERROR(__xludf.DUMMYFUNCTION("""COMPUTED_VALUE"""),0.125)</f>
        <v>0.125</v>
      </c>
      <c r="D5427" s="8">
        <f>IFERROR(__xludf.DUMMYFUNCTION("""COMPUTED_VALUE"""),0.06)</f>
        <v>0.06</v>
      </c>
      <c r="E5427" s="8" t="str">
        <f>IFERROR(__xludf.DUMMYFUNCTION("""COMPUTED_VALUE"""),"Real")</f>
        <v>Real</v>
      </c>
      <c r="G5427" s="8">
        <f t="shared" si="1"/>
        <v>6</v>
      </c>
      <c r="H5427" s="14">
        <f t="shared" si="2"/>
        <v>15</v>
      </c>
      <c r="I5427" s="15">
        <f t="shared" si="3"/>
        <v>3</v>
      </c>
    </row>
    <row r="5428">
      <c r="A5428" s="8" t="str">
        <f>IFERROR(__xludf.DUMMYFUNCTION("IF('(INGESTA)Datos_consumo_datadis'!A5428&lt;&gt;"""",SPLIT('(INGESTA)Datos_consumo_datadis'!A:A,"",""),"""")"),"ES0031408323131005HX0F")</f>
        <v>ES0031408323131005HX0F</v>
      </c>
      <c r="B5428" s="12">
        <f>IFERROR(__xludf.DUMMYFUNCTION("""COMPUTED_VALUE"""),45092.0)</f>
        <v>45092</v>
      </c>
      <c r="C5428" s="13">
        <f>IFERROR(__xludf.DUMMYFUNCTION("""COMPUTED_VALUE"""),0.16666666666666666)</f>
        <v>0.1666666667</v>
      </c>
      <c r="D5428" s="8">
        <f>IFERROR(__xludf.DUMMYFUNCTION("""COMPUTED_VALUE"""),0.017)</f>
        <v>0.017</v>
      </c>
      <c r="E5428" s="8" t="str">
        <f>IFERROR(__xludf.DUMMYFUNCTION("""COMPUTED_VALUE"""),"Real")</f>
        <v>Real</v>
      </c>
      <c r="G5428" s="8">
        <f t="shared" si="1"/>
        <v>6</v>
      </c>
      <c r="H5428" s="14">
        <f t="shared" si="2"/>
        <v>15</v>
      </c>
      <c r="I5428" s="15">
        <f t="shared" si="3"/>
        <v>4</v>
      </c>
    </row>
    <row r="5429">
      <c r="A5429" s="8" t="str">
        <f>IFERROR(__xludf.DUMMYFUNCTION("IF('(INGESTA)Datos_consumo_datadis'!A5429&lt;&gt;"""",SPLIT('(INGESTA)Datos_consumo_datadis'!A:A,"",""),"""")"),"ES0031408323131005HX0F")</f>
        <v>ES0031408323131005HX0F</v>
      </c>
      <c r="B5429" s="12">
        <f>IFERROR(__xludf.DUMMYFUNCTION("""COMPUTED_VALUE"""),45092.0)</f>
        <v>45092</v>
      </c>
      <c r="C5429" s="13">
        <f>IFERROR(__xludf.DUMMYFUNCTION("""COMPUTED_VALUE"""),0.20833333333333334)</f>
        <v>0.2083333333</v>
      </c>
      <c r="D5429" s="8">
        <f>IFERROR(__xludf.DUMMYFUNCTION("""COMPUTED_VALUE"""),0.107)</f>
        <v>0.107</v>
      </c>
      <c r="E5429" s="8" t="str">
        <f>IFERROR(__xludf.DUMMYFUNCTION("""COMPUTED_VALUE"""),"Real")</f>
        <v>Real</v>
      </c>
      <c r="G5429" s="8">
        <f t="shared" si="1"/>
        <v>6</v>
      </c>
      <c r="H5429" s="14">
        <f t="shared" si="2"/>
        <v>15</v>
      </c>
      <c r="I5429" s="15">
        <f t="shared" si="3"/>
        <v>5</v>
      </c>
    </row>
    <row r="5430">
      <c r="A5430" s="8" t="str">
        <f>IFERROR(__xludf.DUMMYFUNCTION("IF('(INGESTA)Datos_consumo_datadis'!A5430&lt;&gt;"""",SPLIT('(INGESTA)Datos_consumo_datadis'!A:A,"",""),"""")"),"ES0031408323131005HX0F")</f>
        <v>ES0031408323131005HX0F</v>
      </c>
      <c r="B5430" s="12">
        <f>IFERROR(__xludf.DUMMYFUNCTION("""COMPUTED_VALUE"""),45092.0)</f>
        <v>45092</v>
      </c>
      <c r="C5430" s="13">
        <f>IFERROR(__xludf.DUMMYFUNCTION("""COMPUTED_VALUE"""),0.25)</f>
        <v>0.25</v>
      </c>
      <c r="D5430" s="8">
        <f>IFERROR(__xludf.DUMMYFUNCTION("""COMPUTED_VALUE"""),0.198)</f>
        <v>0.198</v>
      </c>
      <c r="E5430" s="8" t="str">
        <f>IFERROR(__xludf.DUMMYFUNCTION("""COMPUTED_VALUE"""),"Real")</f>
        <v>Real</v>
      </c>
      <c r="G5430" s="8">
        <f t="shared" si="1"/>
        <v>6</v>
      </c>
      <c r="H5430" s="14">
        <f t="shared" si="2"/>
        <v>15</v>
      </c>
      <c r="I5430" s="15">
        <f t="shared" si="3"/>
        <v>6</v>
      </c>
    </row>
    <row r="5431">
      <c r="A5431" s="8" t="str">
        <f>IFERROR(__xludf.DUMMYFUNCTION("IF('(INGESTA)Datos_consumo_datadis'!A5431&lt;&gt;"""",SPLIT('(INGESTA)Datos_consumo_datadis'!A:A,"",""),"""")"),"ES0031408323131005HX0F")</f>
        <v>ES0031408323131005HX0F</v>
      </c>
      <c r="B5431" s="12">
        <f>IFERROR(__xludf.DUMMYFUNCTION("""COMPUTED_VALUE"""),45092.0)</f>
        <v>45092</v>
      </c>
      <c r="C5431" s="13">
        <f>IFERROR(__xludf.DUMMYFUNCTION("""COMPUTED_VALUE"""),0.2916666666666667)</f>
        <v>0.2916666667</v>
      </c>
      <c r="D5431" s="8">
        <f>IFERROR(__xludf.DUMMYFUNCTION("""COMPUTED_VALUE"""),0.367)</f>
        <v>0.367</v>
      </c>
      <c r="E5431" s="8" t="str">
        <f>IFERROR(__xludf.DUMMYFUNCTION("""COMPUTED_VALUE"""),"Real")</f>
        <v>Real</v>
      </c>
      <c r="G5431" s="8">
        <f t="shared" si="1"/>
        <v>6</v>
      </c>
      <c r="H5431" s="14">
        <f t="shared" si="2"/>
        <v>15</v>
      </c>
      <c r="I5431" s="15">
        <f t="shared" si="3"/>
        <v>7</v>
      </c>
    </row>
    <row r="5432">
      <c r="A5432" s="8" t="str">
        <f>IFERROR(__xludf.DUMMYFUNCTION("IF('(INGESTA)Datos_consumo_datadis'!A5432&lt;&gt;"""",SPLIT('(INGESTA)Datos_consumo_datadis'!A:A,"",""),"""")"),"ES0031408323131005HX0F")</f>
        <v>ES0031408323131005HX0F</v>
      </c>
      <c r="B5432" s="12">
        <f>IFERROR(__xludf.DUMMYFUNCTION("""COMPUTED_VALUE"""),45092.0)</f>
        <v>45092</v>
      </c>
      <c r="C5432" s="13">
        <f>IFERROR(__xludf.DUMMYFUNCTION("""COMPUTED_VALUE"""),0.3333333333333333)</f>
        <v>0.3333333333</v>
      </c>
      <c r="D5432" s="8">
        <f>IFERROR(__xludf.DUMMYFUNCTION("""COMPUTED_VALUE"""),0.01)</f>
        <v>0.01</v>
      </c>
      <c r="E5432" s="8" t="str">
        <f>IFERROR(__xludf.DUMMYFUNCTION("""COMPUTED_VALUE"""),"Real")</f>
        <v>Real</v>
      </c>
      <c r="G5432" s="8">
        <f t="shared" si="1"/>
        <v>6</v>
      </c>
      <c r="H5432" s="14">
        <f t="shared" si="2"/>
        <v>15</v>
      </c>
      <c r="I5432" s="15">
        <f t="shared" si="3"/>
        <v>8</v>
      </c>
    </row>
    <row r="5433">
      <c r="A5433" s="8" t="str">
        <f>IFERROR(__xludf.DUMMYFUNCTION("IF('(INGESTA)Datos_consumo_datadis'!A5433&lt;&gt;"""",SPLIT('(INGESTA)Datos_consumo_datadis'!A:A,"",""),"""")"),"ES0031408323131005HX0F")</f>
        <v>ES0031408323131005HX0F</v>
      </c>
      <c r="B5433" s="12">
        <f>IFERROR(__xludf.DUMMYFUNCTION("""COMPUTED_VALUE"""),45092.0)</f>
        <v>45092</v>
      </c>
      <c r="C5433" s="13">
        <f>IFERROR(__xludf.DUMMYFUNCTION("""COMPUTED_VALUE"""),0.375)</f>
        <v>0.375</v>
      </c>
      <c r="D5433" s="8">
        <f>IFERROR(__xludf.DUMMYFUNCTION("""COMPUTED_VALUE"""),0.059)</f>
        <v>0.059</v>
      </c>
      <c r="E5433" s="8" t="str">
        <f>IFERROR(__xludf.DUMMYFUNCTION("""COMPUTED_VALUE"""),"Real")</f>
        <v>Real</v>
      </c>
      <c r="G5433" s="8">
        <f t="shared" si="1"/>
        <v>6</v>
      </c>
      <c r="H5433" s="14">
        <f t="shared" si="2"/>
        <v>15</v>
      </c>
      <c r="I5433" s="15">
        <f t="shared" si="3"/>
        <v>9</v>
      </c>
    </row>
    <row r="5434">
      <c r="A5434" s="8" t="str">
        <f>IFERROR(__xludf.DUMMYFUNCTION("IF('(INGESTA)Datos_consumo_datadis'!A5434&lt;&gt;"""",SPLIT('(INGESTA)Datos_consumo_datadis'!A:A,"",""),"""")"),"ES0031408323131005HX0F")</f>
        <v>ES0031408323131005HX0F</v>
      </c>
      <c r="B5434" s="12">
        <f>IFERROR(__xludf.DUMMYFUNCTION("""COMPUTED_VALUE"""),45092.0)</f>
        <v>45092</v>
      </c>
      <c r="C5434" s="13">
        <f>IFERROR(__xludf.DUMMYFUNCTION("""COMPUTED_VALUE"""),0.4166666666666667)</f>
        <v>0.4166666667</v>
      </c>
      <c r="D5434" s="8">
        <f>IFERROR(__xludf.DUMMYFUNCTION("""COMPUTED_VALUE"""),0.108)</f>
        <v>0.108</v>
      </c>
      <c r="E5434" s="8" t="str">
        <f>IFERROR(__xludf.DUMMYFUNCTION("""COMPUTED_VALUE"""),"Real")</f>
        <v>Real</v>
      </c>
      <c r="G5434" s="8">
        <f t="shared" si="1"/>
        <v>6</v>
      </c>
      <c r="H5434" s="14">
        <f t="shared" si="2"/>
        <v>15</v>
      </c>
      <c r="I5434" s="15">
        <f t="shared" si="3"/>
        <v>10</v>
      </c>
    </row>
    <row r="5435">
      <c r="A5435" s="8" t="str">
        <f>IFERROR(__xludf.DUMMYFUNCTION("IF('(INGESTA)Datos_consumo_datadis'!A5435&lt;&gt;"""",SPLIT('(INGESTA)Datos_consumo_datadis'!A:A,"",""),"""")"),"ES0031408323131005HX0F")</f>
        <v>ES0031408323131005HX0F</v>
      </c>
      <c r="B5435" s="12">
        <f>IFERROR(__xludf.DUMMYFUNCTION("""COMPUTED_VALUE"""),45092.0)</f>
        <v>45092</v>
      </c>
      <c r="C5435" s="13">
        <f>IFERROR(__xludf.DUMMYFUNCTION("""COMPUTED_VALUE"""),0.4583333333333333)</f>
        <v>0.4583333333</v>
      </c>
      <c r="D5435" s="8">
        <f>IFERROR(__xludf.DUMMYFUNCTION("""COMPUTED_VALUE"""),0.056)</f>
        <v>0.056</v>
      </c>
      <c r="E5435" s="8" t="str">
        <f>IFERROR(__xludf.DUMMYFUNCTION("""COMPUTED_VALUE"""),"Real")</f>
        <v>Real</v>
      </c>
      <c r="G5435" s="8">
        <f t="shared" si="1"/>
        <v>6</v>
      </c>
      <c r="H5435" s="14">
        <f t="shared" si="2"/>
        <v>15</v>
      </c>
      <c r="I5435" s="15">
        <f t="shared" si="3"/>
        <v>11</v>
      </c>
    </row>
    <row r="5436">
      <c r="A5436" s="8" t="str">
        <f>IFERROR(__xludf.DUMMYFUNCTION("IF('(INGESTA)Datos_consumo_datadis'!A5436&lt;&gt;"""",SPLIT('(INGESTA)Datos_consumo_datadis'!A:A,"",""),"""")"),"ES0031408323131005HX0F")</f>
        <v>ES0031408323131005HX0F</v>
      </c>
      <c r="B5436" s="12">
        <f>IFERROR(__xludf.DUMMYFUNCTION("""COMPUTED_VALUE"""),45092.0)</f>
        <v>45092</v>
      </c>
      <c r="C5436" s="13">
        <f>IFERROR(__xludf.DUMMYFUNCTION("""COMPUTED_VALUE"""),0.5)</f>
        <v>0.5</v>
      </c>
      <c r="D5436" s="8">
        <f>IFERROR(__xludf.DUMMYFUNCTION("""COMPUTED_VALUE"""),0.036)</f>
        <v>0.036</v>
      </c>
      <c r="E5436" s="8" t="str">
        <f>IFERROR(__xludf.DUMMYFUNCTION("""COMPUTED_VALUE"""),"Real")</f>
        <v>Real</v>
      </c>
      <c r="G5436" s="8">
        <f t="shared" si="1"/>
        <v>6</v>
      </c>
      <c r="H5436" s="14">
        <f t="shared" si="2"/>
        <v>15</v>
      </c>
      <c r="I5436" s="15">
        <f t="shared" si="3"/>
        <v>12</v>
      </c>
    </row>
    <row r="5437">
      <c r="A5437" s="8" t="str">
        <f>IFERROR(__xludf.DUMMYFUNCTION("IF('(INGESTA)Datos_consumo_datadis'!A5437&lt;&gt;"""",SPLIT('(INGESTA)Datos_consumo_datadis'!A:A,"",""),"""")"),"ES0031408323131005HX0F")</f>
        <v>ES0031408323131005HX0F</v>
      </c>
      <c r="B5437" s="12">
        <f>IFERROR(__xludf.DUMMYFUNCTION("""COMPUTED_VALUE"""),45092.0)</f>
        <v>45092</v>
      </c>
      <c r="C5437" s="13">
        <f>IFERROR(__xludf.DUMMYFUNCTION("""COMPUTED_VALUE"""),0.5416666666666666)</f>
        <v>0.5416666667</v>
      </c>
      <c r="D5437" s="8">
        <f>IFERROR(__xludf.DUMMYFUNCTION("""COMPUTED_VALUE"""),0.014)</f>
        <v>0.014</v>
      </c>
      <c r="E5437" s="8" t="str">
        <f>IFERROR(__xludf.DUMMYFUNCTION("""COMPUTED_VALUE"""),"Real")</f>
        <v>Real</v>
      </c>
      <c r="G5437" s="8">
        <f t="shared" si="1"/>
        <v>6</v>
      </c>
      <c r="H5437" s="14">
        <f t="shared" si="2"/>
        <v>15</v>
      </c>
      <c r="I5437" s="15">
        <f t="shared" si="3"/>
        <v>13</v>
      </c>
    </row>
    <row r="5438">
      <c r="A5438" s="8" t="str">
        <f>IFERROR(__xludf.DUMMYFUNCTION("IF('(INGESTA)Datos_consumo_datadis'!A5438&lt;&gt;"""",SPLIT('(INGESTA)Datos_consumo_datadis'!A:A,"",""),"""")"),"ES0031408323131005HX0F")</f>
        <v>ES0031408323131005HX0F</v>
      </c>
      <c r="B5438" s="12">
        <f>IFERROR(__xludf.DUMMYFUNCTION("""COMPUTED_VALUE"""),45092.0)</f>
        <v>45092</v>
      </c>
      <c r="C5438" s="13">
        <f>IFERROR(__xludf.DUMMYFUNCTION("""COMPUTED_VALUE"""),0.5833333333333334)</f>
        <v>0.5833333333</v>
      </c>
      <c r="D5438" s="8">
        <f>IFERROR(__xludf.DUMMYFUNCTION("""COMPUTED_VALUE"""),0.115)</f>
        <v>0.115</v>
      </c>
      <c r="E5438" s="8" t="str">
        <f>IFERROR(__xludf.DUMMYFUNCTION("""COMPUTED_VALUE"""),"Real")</f>
        <v>Real</v>
      </c>
      <c r="G5438" s="8">
        <f t="shared" si="1"/>
        <v>6</v>
      </c>
      <c r="H5438" s="14">
        <f t="shared" si="2"/>
        <v>15</v>
      </c>
      <c r="I5438" s="15">
        <f t="shared" si="3"/>
        <v>14</v>
      </c>
    </row>
    <row r="5439">
      <c r="A5439" s="8" t="str">
        <f>IFERROR(__xludf.DUMMYFUNCTION("IF('(INGESTA)Datos_consumo_datadis'!A5439&lt;&gt;"""",SPLIT('(INGESTA)Datos_consumo_datadis'!A:A,"",""),"""")"),"ES0031408323131005HX0F")</f>
        <v>ES0031408323131005HX0F</v>
      </c>
      <c r="B5439" s="12">
        <f>IFERROR(__xludf.DUMMYFUNCTION("""COMPUTED_VALUE"""),45092.0)</f>
        <v>45092</v>
      </c>
      <c r="C5439" s="13">
        <f>IFERROR(__xludf.DUMMYFUNCTION("""COMPUTED_VALUE"""),0.625)</f>
        <v>0.625</v>
      </c>
      <c r="D5439" s="8">
        <f>IFERROR(__xludf.DUMMYFUNCTION("""COMPUTED_VALUE"""),0.075)</f>
        <v>0.075</v>
      </c>
      <c r="E5439" s="8" t="str">
        <f>IFERROR(__xludf.DUMMYFUNCTION("""COMPUTED_VALUE"""),"Real")</f>
        <v>Real</v>
      </c>
      <c r="G5439" s="8">
        <f t="shared" si="1"/>
        <v>6</v>
      </c>
      <c r="H5439" s="14">
        <f t="shared" si="2"/>
        <v>15</v>
      </c>
      <c r="I5439" s="15">
        <f t="shared" si="3"/>
        <v>15</v>
      </c>
    </row>
    <row r="5440">
      <c r="A5440" s="8" t="str">
        <f>IFERROR(__xludf.DUMMYFUNCTION("IF('(INGESTA)Datos_consumo_datadis'!A5440&lt;&gt;"""",SPLIT('(INGESTA)Datos_consumo_datadis'!A:A,"",""),"""")"),"ES0031408323131005HX0F")</f>
        <v>ES0031408323131005HX0F</v>
      </c>
      <c r="B5440" s="12">
        <f>IFERROR(__xludf.DUMMYFUNCTION("""COMPUTED_VALUE"""),45092.0)</f>
        <v>45092</v>
      </c>
      <c r="C5440" s="13">
        <f>IFERROR(__xludf.DUMMYFUNCTION("""COMPUTED_VALUE"""),0.6666666666666666)</f>
        <v>0.6666666667</v>
      </c>
      <c r="D5440" s="8">
        <f>IFERROR(__xludf.DUMMYFUNCTION("""COMPUTED_VALUE"""),0.052)</f>
        <v>0.052</v>
      </c>
      <c r="E5440" s="8" t="str">
        <f>IFERROR(__xludf.DUMMYFUNCTION("""COMPUTED_VALUE"""),"Real")</f>
        <v>Real</v>
      </c>
      <c r="G5440" s="8">
        <f t="shared" si="1"/>
        <v>6</v>
      </c>
      <c r="H5440" s="14">
        <f t="shared" si="2"/>
        <v>15</v>
      </c>
      <c r="I5440" s="15">
        <f t="shared" si="3"/>
        <v>16</v>
      </c>
    </row>
    <row r="5441">
      <c r="A5441" s="8" t="str">
        <f>IFERROR(__xludf.DUMMYFUNCTION("IF('(INGESTA)Datos_consumo_datadis'!A5441&lt;&gt;"""",SPLIT('(INGESTA)Datos_consumo_datadis'!A:A,"",""),"""")"),"ES0031408323131005HX0F")</f>
        <v>ES0031408323131005HX0F</v>
      </c>
      <c r="B5441" s="12">
        <f>IFERROR(__xludf.DUMMYFUNCTION("""COMPUTED_VALUE"""),45092.0)</f>
        <v>45092</v>
      </c>
      <c r="C5441" s="13">
        <f>IFERROR(__xludf.DUMMYFUNCTION("""COMPUTED_VALUE"""),0.7083333333333334)</f>
        <v>0.7083333333</v>
      </c>
      <c r="D5441" s="8">
        <f>IFERROR(__xludf.DUMMYFUNCTION("""COMPUTED_VALUE"""),0.31)</f>
        <v>0.31</v>
      </c>
      <c r="E5441" s="8" t="str">
        <f>IFERROR(__xludf.DUMMYFUNCTION("""COMPUTED_VALUE"""),"Real")</f>
        <v>Real</v>
      </c>
      <c r="G5441" s="8">
        <f t="shared" si="1"/>
        <v>6</v>
      </c>
      <c r="H5441" s="14">
        <f t="shared" si="2"/>
        <v>15</v>
      </c>
      <c r="I5441" s="15">
        <f t="shared" si="3"/>
        <v>17</v>
      </c>
    </row>
    <row r="5442">
      <c r="A5442" s="8" t="str">
        <f>IFERROR(__xludf.DUMMYFUNCTION("IF('(INGESTA)Datos_consumo_datadis'!A5442&lt;&gt;"""",SPLIT('(INGESTA)Datos_consumo_datadis'!A:A,"",""),"""")"),"ES0031408323131005HX0F")</f>
        <v>ES0031408323131005HX0F</v>
      </c>
      <c r="B5442" s="12">
        <f>IFERROR(__xludf.DUMMYFUNCTION("""COMPUTED_VALUE"""),45092.0)</f>
        <v>45092</v>
      </c>
      <c r="C5442" s="13">
        <f>IFERROR(__xludf.DUMMYFUNCTION("""COMPUTED_VALUE"""),0.75)</f>
        <v>0.75</v>
      </c>
      <c r="D5442" s="8">
        <f>IFERROR(__xludf.DUMMYFUNCTION("""COMPUTED_VALUE"""),0.078)</f>
        <v>0.078</v>
      </c>
      <c r="E5442" s="8" t="str">
        <f>IFERROR(__xludf.DUMMYFUNCTION("""COMPUTED_VALUE"""),"Real")</f>
        <v>Real</v>
      </c>
      <c r="G5442" s="8">
        <f t="shared" si="1"/>
        <v>6</v>
      </c>
      <c r="H5442" s="14">
        <f t="shared" si="2"/>
        <v>15</v>
      </c>
      <c r="I5442" s="15">
        <f t="shared" si="3"/>
        <v>18</v>
      </c>
    </row>
    <row r="5443">
      <c r="A5443" s="8" t="str">
        <f>IFERROR(__xludf.DUMMYFUNCTION("IF('(INGESTA)Datos_consumo_datadis'!A5443&lt;&gt;"""",SPLIT('(INGESTA)Datos_consumo_datadis'!A:A,"",""),"""")"),"ES0031408323131005HX0F")</f>
        <v>ES0031408323131005HX0F</v>
      </c>
      <c r="B5443" s="12">
        <f>IFERROR(__xludf.DUMMYFUNCTION("""COMPUTED_VALUE"""),45092.0)</f>
        <v>45092</v>
      </c>
      <c r="C5443" s="13">
        <f>IFERROR(__xludf.DUMMYFUNCTION("""COMPUTED_VALUE"""),0.7916666666666666)</f>
        <v>0.7916666667</v>
      </c>
      <c r="D5443" s="8">
        <f>IFERROR(__xludf.DUMMYFUNCTION("""COMPUTED_VALUE"""),0.09)</f>
        <v>0.09</v>
      </c>
      <c r="E5443" s="8" t="str">
        <f>IFERROR(__xludf.DUMMYFUNCTION("""COMPUTED_VALUE"""),"Real")</f>
        <v>Real</v>
      </c>
      <c r="G5443" s="8">
        <f t="shared" si="1"/>
        <v>6</v>
      </c>
      <c r="H5443" s="14">
        <f t="shared" si="2"/>
        <v>15</v>
      </c>
      <c r="I5443" s="15">
        <f t="shared" si="3"/>
        <v>19</v>
      </c>
    </row>
    <row r="5444">
      <c r="A5444" s="8" t="str">
        <f>IFERROR(__xludf.DUMMYFUNCTION("IF('(INGESTA)Datos_consumo_datadis'!A5444&lt;&gt;"""",SPLIT('(INGESTA)Datos_consumo_datadis'!A:A,"",""),"""")"),"ES0031408323131005HX0F")</f>
        <v>ES0031408323131005HX0F</v>
      </c>
      <c r="B5444" s="12">
        <f>IFERROR(__xludf.DUMMYFUNCTION("""COMPUTED_VALUE"""),45092.0)</f>
        <v>45092</v>
      </c>
      <c r="C5444" s="13">
        <f>IFERROR(__xludf.DUMMYFUNCTION("""COMPUTED_VALUE"""),0.8333333333333334)</f>
        <v>0.8333333333</v>
      </c>
      <c r="D5444" s="8">
        <f>IFERROR(__xludf.DUMMYFUNCTION("""COMPUTED_VALUE"""),0.07)</f>
        <v>0.07</v>
      </c>
      <c r="E5444" s="8" t="str">
        <f>IFERROR(__xludf.DUMMYFUNCTION("""COMPUTED_VALUE"""),"Real")</f>
        <v>Real</v>
      </c>
      <c r="G5444" s="8">
        <f t="shared" si="1"/>
        <v>6</v>
      </c>
      <c r="H5444" s="14">
        <f t="shared" si="2"/>
        <v>15</v>
      </c>
      <c r="I5444" s="15">
        <f t="shared" si="3"/>
        <v>20</v>
      </c>
    </row>
    <row r="5445">
      <c r="A5445" s="8" t="str">
        <f>IFERROR(__xludf.DUMMYFUNCTION("IF('(INGESTA)Datos_consumo_datadis'!A5445&lt;&gt;"""",SPLIT('(INGESTA)Datos_consumo_datadis'!A:A,"",""),"""")"),"ES0031408323131005HX0F")</f>
        <v>ES0031408323131005HX0F</v>
      </c>
      <c r="B5445" s="12">
        <f>IFERROR(__xludf.DUMMYFUNCTION("""COMPUTED_VALUE"""),45092.0)</f>
        <v>45092</v>
      </c>
      <c r="C5445" s="13">
        <f>IFERROR(__xludf.DUMMYFUNCTION("""COMPUTED_VALUE"""),0.875)</f>
        <v>0.875</v>
      </c>
      <c r="D5445" s="8">
        <f>IFERROR(__xludf.DUMMYFUNCTION("""COMPUTED_VALUE"""),0.023)</f>
        <v>0.023</v>
      </c>
      <c r="E5445" s="8" t="str">
        <f>IFERROR(__xludf.DUMMYFUNCTION("""COMPUTED_VALUE"""),"Real")</f>
        <v>Real</v>
      </c>
      <c r="G5445" s="8">
        <f t="shared" si="1"/>
        <v>6</v>
      </c>
      <c r="H5445" s="14">
        <f t="shared" si="2"/>
        <v>15</v>
      </c>
      <c r="I5445" s="15">
        <f t="shared" si="3"/>
        <v>21</v>
      </c>
    </row>
    <row r="5446">
      <c r="A5446" s="8" t="str">
        <f>IFERROR(__xludf.DUMMYFUNCTION("IF('(INGESTA)Datos_consumo_datadis'!A5446&lt;&gt;"""",SPLIT('(INGESTA)Datos_consumo_datadis'!A:A,"",""),"""")"),"ES0031408323131005HX0F")</f>
        <v>ES0031408323131005HX0F</v>
      </c>
      <c r="B5446" s="12">
        <f>IFERROR(__xludf.DUMMYFUNCTION("""COMPUTED_VALUE"""),45092.0)</f>
        <v>45092</v>
      </c>
      <c r="C5446" s="13">
        <f>IFERROR(__xludf.DUMMYFUNCTION("""COMPUTED_VALUE"""),0.9166666666666666)</f>
        <v>0.9166666667</v>
      </c>
      <c r="D5446" s="8">
        <f>IFERROR(__xludf.DUMMYFUNCTION("""COMPUTED_VALUE"""),0.027)</f>
        <v>0.027</v>
      </c>
      <c r="E5446" s="8" t="str">
        <f>IFERROR(__xludf.DUMMYFUNCTION("""COMPUTED_VALUE"""),"Real")</f>
        <v>Real</v>
      </c>
      <c r="G5446" s="8">
        <f t="shared" si="1"/>
        <v>6</v>
      </c>
      <c r="H5446" s="14">
        <f t="shared" si="2"/>
        <v>15</v>
      </c>
      <c r="I5446" s="15">
        <f t="shared" si="3"/>
        <v>22</v>
      </c>
    </row>
    <row r="5447">
      <c r="A5447" s="8" t="str">
        <f>IFERROR(__xludf.DUMMYFUNCTION("IF('(INGESTA)Datos_consumo_datadis'!A5447&lt;&gt;"""",SPLIT('(INGESTA)Datos_consumo_datadis'!A:A,"",""),"""")"),"ES0031408323131005HX0F")</f>
        <v>ES0031408323131005HX0F</v>
      </c>
      <c r="B5447" s="12">
        <f>IFERROR(__xludf.DUMMYFUNCTION("""COMPUTED_VALUE"""),45092.0)</f>
        <v>45092</v>
      </c>
      <c r="C5447" s="13">
        <f>IFERROR(__xludf.DUMMYFUNCTION("""COMPUTED_VALUE"""),0.9583333333333334)</f>
        <v>0.9583333333</v>
      </c>
      <c r="D5447" s="8">
        <f>IFERROR(__xludf.DUMMYFUNCTION("""COMPUTED_VALUE"""),0.115)</f>
        <v>0.115</v>
      </c>
      <c r="E5447" s="8" t="str">
        <f>IFERROR(__xludf.DUMMYFUNCTION("""COMPUTED_VALUE"""),"Real")</f>
        <v>Real</v>
      </c>
      <c r="G5447" s="8">
        <f t="shared" si="1"/>
        <v>6</v>
      </c>
      <c r="H5447" s="14">
        <f t="shared" si="2"/>
        <v>15</v>
      </c>
      <c r="I5447" s="15">
        <f t="shared" si="3"/>
        <v>23</v>
      </c>
    </row>
    <row r="5448">
      <c r="A5448" s="8" t="str">
        <f>IFERROR(__xludf.DUMMYFUNCTION("IF('(INGESTA)Datos_consumo_datadis'!A5448&lt;&gt;"""",SPLIT('(INGESTA)Datos_consumo_datadis'!A:A,"",""),"""")"),"ES0031408323131005HX0F")</f>
        <v>ES0031408323131005HX0F</v>
      </c>
      <c r="B5448" s="12">
        <f>IFERROR(__xludf.DUMMYFUNCTION("""COMPUTED_VALUE"""),45092.0)</f>
        <v>45092</v>
      </c>
      <c r="C5448" s="16">
        <f>IFERROR(__xludf.DUMMYFUNCTION("""COMPUTED_VALUE"""),1.0)</f>
        <v>1</v>
      </c>
      <c r="D5448" s="8">
        <f>IFERROR(__xludf.DUMMYFUNCTION("""COMPUTED_VALUE"""),0.076)</f>
        <v>0.076</v>
      </c>
      <c r="E5448" s="8" t="str">
        <f>IFERROR(__xludf.DUMMYFUNCTION("""COMPUTED_VALUE"""),"Real")</f>
        <v>Real</v>
      </c>
      <c r="G5448" s="8">
        <f t="shared" si="1"/>
        <v>6</v>
      </c>
      <c r="H5448" s="14">
        <f t="shared" si="2"/>
        <v>15</v>
      </c>
      <c r="I5448" s="15">
        <f t="shared" si="3"/>
        <v>0</v>
      </c>
    </row>
    <row r="5449">
      <c r="A5449" s="8" t="str">
        <f>IFERROR(__xludf.DUMMYFUNCTION("IF('(INGESTA)Datos_consumo_datadis'!A5449&lt;&gt;"""",SPLIT('(INGESTA)Datos_consumo_datadis'!A:A,"",""),"""")"),"ES0031408323131005HX0F")</f>
        <v>ES0031408323131005HX0F</v>
      </c>
      <c r="B5449" s="12">
        <f>IFERROR(__xludf.DUMMYFUNCTION("""COMPUTED_VALUE"""),45093.0)</f>
        <v>45093</v>
      </c>
      <c r="C5449" s="13">
        <f>IFERROR(__xludf.DUMMYFUNCTION("""COMPUTED_VALUE"""),0.041666666666666664)</f>
        <v>0.04166666667</v>
      </c>
      <c r="D5449" s="8">
        <f>IFERROR(__xludf.DUMMYFUNCTION("""COMPUTED_VALUE"""),0.363)</f>
        <v>0.363</v>
      </c>
      <c r="E5449" s="8" t="str">
        <f>IFERROR(__xludf.DUMMYFUNCTION("""COMPUTED_VALUE"""),"Real")</f>
        <v>Real</v>
      </c>
      <c r="G5449" s="8">
        <f t="shared" si="1"/>
        <v>6</v>
      </c>
      <c r="H5449" s="14">
        <f t="shared" si="2"/>
        <v>16</v>
      </c>
      <c r="I5449" s="15">
        <f t="shared" si="3"/>
        <v>1</v>
      </c>
    </row>
    <row r="5450">
      <c r="A5450" s="8" t="str">
        <f>IFERROR(__xludf.DUMMYFUNCTION("IF('(INGESTA)Datos_consumo_datadis'!A5450&lt;&gt;"""",SPLIT('(INGESTA)Datos_consumo_datadis'!A:A,"",""),"""")"),"ES0031408323131005HX0F")</f>
        <v>ES0031408323131005HX0F</v>
      </c>
      <c r="B5450" s="12">
        <f>IFERROR(__xludf.DUMMYFUNCTION("""COMPUTED_VALUE"""),45093.0)</f>
        <v>45093</v>
      </c>
      <c r="C5450" s="13">
        <f>IFERROR(__xludf.DUMMYFUNCTION("""COMPUTED_VALUE"""),0.08333333333333333)</f>
        <v>0.08333333333</v>
      </c>
      <c r="D5450" s="8">
        <f>IFERROR(__xludf.DUMMYFUNCTION("""COMPUTED_VALUE"""),0.01)</f>
        <v>0.01</v>
      </c>
      <c r="E5450" s="8" t="str">
        <f>IFERROR(__xludf.DUMMYFUNCTION("""COMPUTED_VALUE"""),"Real")</f>
        <v>Real</v>
      </c>
      <c r="G5450" s="8">
        <f t="shared" si="1"/>
        <v>6</v>
      </c>
      <c r="H5450" s="14">
        <f t="shared" si="2"/>
        <v>16</v>
      </c>
      <c r="I5450" s="15">
        <f t="shared" si="3"/>
        <v>2</v>
      </c>
    </row>
    <row r="5451">
      <c r="A5451" s="8" t="str">
        <f>IFERROR(__xludf.DUMMYFUNCTION("IF('(INGESTA)Datos_consumo_datadis'!A5451&lt;&gt;"""",SPLIT('(INGESTA)Datos_consumo_datadis'!A:A,"",""),"""")"),"ES0031408323131005HX0F")</f>
        <v>ES0031408323131005HX0F</v>
      </c>
      <c r="B5451" s="12">
        <f>IFERROR(__xludf.DUMMYFUNCTION("""COMPUTED_VALUE"""),45093.0)</f>
        <v>45093</v>
      </c>
      <c r="C5451" s="13">
        <f>IFERROR(__xludf.DUMMYFUNCTION("""COMPUTED_VALUE"""),0.125)</f>
        <v>0.125</v>
      </c>
      <c r="D5451" s="8">
        <f>IFERROR(__xludf.DUMMYFUNCTION("""COMPUTED_VALUE"""),0.107)</f>
        <v>0.107</v>
      </c>
      <c r="E5451" s="8" t="str">
        <f>IFERROR(__xludf.DUMMYFUNCTION("""COMPUTED_VALUE"""),"Real")</f>
        <v>Real</v>
      </c>
      <c r="G5451" s="8">
        <f t="shared" si="1"/>
        <v>6</v>
      </c>
      <c r="H5451" s="14">
        <f t="shared" si="2"/>
        <v>16</v>
      </c>
      <c r="I5451" s="15">
        <f t="shared" si="3"/>
        <v>3</v>
      </c>
    </row>
    <row r="5452">
      <c r="A5452" s="8" t="str">
        <f>IFERROR(__xludf.DUMMYFUNCTION("IF('(INGESTA)Datos_consumo_datadis'!A5452&lt;&gt;"""",SPLIT('(INGESTA)Datos_consumo_datadis'!A:A,"",""),"""")"),"ES0031408323131005HX0F")</f>
        <v>ES0031408323131005HX0F</v>
      </c>
      <c r="B5452" s="12">
        <f>IFERROR(__xludf.DUMMYFUNCTION("""COMPUTED_VALUE"""),45093.0)</f>
        <v>45093</v>
      </c>
      <c r="C5452" s="13">
        <f>IFERROR(__xludf.DUMMYFUNCTION("""COMPUTED_VALUE"""),0.16666666666666666)</f>
        <v>0.1666666667</v>
      </c>
      <c r="D5452" s="8">
        <f>IFERROR(__xludf.DUMMYFUNCTION("""COMPUTED_VALUE"""),0.09)</f>
        <v>0.09</v>
      </c>
      <c r="E5452" s="8" t="str">
        <f>IFERROR(__xludf.DUMMYFUNCTION("""COMPUTED_VALUE"""),"Real")</f>
        <v>Real</v>
      </c>
      <c r="G5452" s="8">
        <f t="shared" si="1"/>
        <v>6</v>
      </c>
      <c r="H5452" s="14">
        <f t="shared" si="2"/>
        <v>16</v>
      </c>
      <c r="I5452" s="15">
        <f t="shared" si="3"/>
        <v>4</v>
      </c>
    </row>
    <row r="5453">
      <c r="A5453" s="8" t="str">
        <f>IFERROR(__xludf.DUMMYFUNCTION("IF('(INGESTA)Datos_consumo_datadis'!A5453&lt;&gt;"""",SPLIT('(INGESTA)Datos_consumo_datadis'!A:A,"",""),"""")"),"ES0031408323131005HX0F")</f>
        <v>ES0031408323131005HX0F</v>
      </c>
      <c r="B5453" s="12">
        <f>IFERROR(__xludf.DUMMYFUNCTION("""COMPUTED_VALUE"""),45093.0)</f>
        <v>45093</v>
      </c>
      <c r="C5453" s="13">
        <f>IFERROR(__xludf.DUMMYFUNCTION("""COMPUTED_VALUE"""),0.20833333333333334)</f>
        <v>0.2083333333</v>
      </c>
      <c r="D5453" s="8">
        <f>IFERROR(__xludf.DUMMYFUNCTION("""COMPUTED_VALUE"""),0.079)</f>
        <v>0.079</v>
      </c>
      <c r="E5453" s="8" t="str">
        <f>IFERROR(__xludf.DUMMYFUNCTION("""COMPUTED_VALUE"""),"Real")</f>
        <v>Real</v>
      </c>
      <c r="G5453" s="8">
        <f t="shared" si="1"/>
        <v>6</v>
      </c>
      <c r="H5453" s="14">
        <f t="shared" si="2"/>
        <v>16</v>
      </c>
      <c r="I5453" s="15">
        <f t="shared" si="3"/>
        <v>5</v>
      </c>
    </row>
    <row r="5454">
      <c r="A5454" s="8" t="str">
        <f>IFERROR(__xludf.DUMMYFUNCTION("IF('(INGESTA)Datos_consumo_datadis'!A5454&lt;&gt;"""",SPLIT('(INGESTA)Datos_consumo_datadis'!A:A,"",""),"""")"),"ES0031408323131005HX0F")</f>
        <v>ES0031408323131005HX0F</v>
      </c>
      <c r="B5454" s="12">
        <f>IFERROR(__xludf.DUMMYFUNCTION("""COMPUTED_VALUE"""),45093.0)</f>
        <v>45093</v>
      </c>
      <c r="C5454" s="13">
        <f>IFERROR(__xludf.DUMMYFUNCTION("""COMPUTED_VALUE"""),0.25)</f>
        <v>0.25</v>
      </c>
      <c r="D5454" s="8">
        <f>IFERROR(__xludf.DUMMYFUNCTION("""COMPUTED_VALUE"""),0.011)</f>
        <v>0.011</v>
      </c>
      <c r="E5454" s="8" t="str">
        <f>IFERROR(__xludf.DUMMYFUNCTION("""COMPUTED_VALUE"""),"Real")</f>
        <v>Real</v>
      </c>
      <c r="G5454" s="8">
        <f t="shared" si="1"/>
        <v>6</v>
      </c>
      <c r="H5454" s="14">
        <f t="shared" si="2"/>
        <v>16</v>
      </c>
      <c r="I5454" s="15">
        <f t="shared" si="3"/>
        <v>6</v>
      </c>
    </row>
    <row r="5455">
      <c r="A5455" s="8" t="str">
        <f>IFERROR(__xludf.DUMMYFUNCTION("IF('(INGESTA)Datos_consumo_datadis'!A5455&lt;&gt;"""",SPLIT('(INGESTA)Datos_consumo_datadis'!A:A,"",""),"""")"),"ES0031408323131005HX0F")</f>
        <v>ES0031408323131005HX0F</v>
      </c>
      <c r="B5455" s="12">
        <f>IFERROR(__xludf.DUMMYFUNCTION("""COMPUTED_VALUE"""),45093.0)</f>
        <v>45093</v>
      </c>
      <c r="C5455" s="13">
        <f>IFERROR(__xludf.DUMMYFUNCTION("""COMPUTED_VALUE"""),0.2916666666666667)</f>
        <v>0.2916666667</v>
      </c>
      <c r="D5455" s="8">
        <f>IFERROR(__xludf.DUMMYFUNCTION("""COMPUTED_VALUE"""),0.04)</f>
        <v>0.04</v>
      </c>
      <c r="E5455" s="8" t="str">
        <f>IFERROR(__xludf.DUMMYFUNCTION("""COMPUTED_VALUE"""),"Real")</f>
        <v>Real</v>
      </c>
      <c r="G5455" s="8">
        <f t="shared" si="1"/>
        <v>6</v>
      </c>
      <c r="H5455" s="14">
        <f t="shared" si="2"/>
        <v>16</v>
      </c>
      <c r="I5455" s="15">
        <f t="shared" si="3"/>
        <v>7</v>
      </c>
    </row>
    <row r="5456">
      <c r="A5456" s="8" t="str">
        <f>IFERROR(__xludf.DUMMYFUNCTION("IF('(INGESTA)Datos_consumo_datadis'!A5456&lt;&gt;"""",SPLIT('(INGESTA)Datos_consumo_datadis'!A:A,"",""),"""")"),"ES0031408323131005HX0F")</f>
        <v>ES0031408323131005HX0F</v>
      </c>
      <c r="B5456" s="12">
        <f>IFERROR(__xludf.DUMMYFUNCTION("""COMPUTED_VALUE"""),45093.0)</f>
        <v>45093</v>
      </c>
      <c r="C5456" s="13">
        <f>IFERROR(__xludf.DUMMYFUNCTION("""COMPUTED_VALUE"""),0.3333333333333333)</f>
        <v>0.3333333333</v>
      </c>
      <c r="D5456" s="8">
        <f>IFERROR(__xludf.DUMMYFUNCTION("""COMPUTED_VALUE"""),0.113)</f>
        <v>0.113</v>
      </c>
      <c r="E5456" s="8" t="str">
        <f>IFERROR(__xludf.DUMMYFUNCTION("""COMPUTED_VALUE"""),"Real")</f>
        <v>Real</v>
      </c>
      <c r="G5456" s="8">
        <f t="shared" si="1"/>
        <v>6</v>
      </c>
      <c r="H5456" s="14">
        <f t="shared" si="2"/>
        <v>16</v>
      </c>
      <c r="I5456" s="15">
        <f t="shared" si="3"/>
        <v>8</v>
      </c>
    </row>
    <row r="5457">
      <c r="A5457" s="8" t="str">
        <f>IFERROR(__xludf.DUMMYFUNCTION("IF('(INGESTA)Datos_consumo_datadis'!A5457&lt;&gt;"""",SPLIT('(INGESTA)Datos_consumo_datadis'!A:A,"",""),"""")"),"ES0031408323131005HX0F")</f>
        <v>ES0031408323131005HX0F</v>
      </c>
      <c r="B5457" s="12">
        <f>IFERROR(__xludf.DUMMYFUNCTION("""COMPUTED_VALUE"""),45093.0)</f>
        <v>45093</v>
      </c>
      <c r="C5457" s="13">
        <f>IFERROR(__xludf.DUMMYFUNCTION("""COMPUTED_VALUE"""),0.375)</f>
        <v>0.375</v>
      </c>
      <c r="D5457" s="8">
        <f>IFERROR(__xludf.DUMMYFUNCTION("""COMPUTED_VALUE"""),0.066)</f>
        <v>0.066</v>
      </c>
      <c r="E5457" s="8" t="str">
        <f>IFERROR(__xludf.DUMMYFUNCTION("""COMPUTED_VALUE"""),"Real")</f>
        <v>Real</v>
      </c>
      <c r="G5457" s="8">
        <f t="shared" si="1"/>
        <v>6</v>
      </c>
      <c r="H5457" s="14">
        <f t="shared" si="2"/>
        <v>16</v>
      </c>
      <c r="I5457" s="15">
        <f t="shared" si="3"/>
        <v>9</v>
      </c>
    </row>
    <row r="5458">
      <c r="A5458" s="8" t="str">
        <f>IFERROR(__xludf.DUMMYFUNCTION("IF('(INGESTA)Datos_consumo_datadis'!A5458&lt;&gt;"""",SPLIT('(INGESTA)Datos_consumo_datadis'!A:A,"",""),"""")"),"ES0031408323131005HX0F")</f>
        <v>ES0031408323131005HX0F</v>
      </c>
      <c r="B5458" s="12">
        <f>IFERROR(__xludf.DUMMYFUNCTION("""COMPUTED_VALUE"""),45093.0)</f>
        <v>45093</v>
      </c>
      <c r="C5458" s="13">
        <f>IFERROR(__xludf.DUMMYFUNCTION("""COMPUTED_VALUE"""),0.4166666666666667)</f>
        <v>0.4166666667</v>
      </c>
      <c r="D5458" s="8">
        <f>IFERROR(__xludf.DUMMYFUNCTION("""COMPUTED_VALUE"""),0.353)</f>
        <v>0.353</v>
      </c>
      <c r="E5458" s="8" t="str">
        <f>IFERROR(__xludf.DUMMYFUNCTION("""COMPUTED_VALUE"""),"Real")</f>
        <v>Real</v>
      </c>
      <c r="G5458" s="8">
        <f t="shared" si="1"/>
        <v>6</v>
      </c>
      <c r="H5458" s="14">
        <f t="shared" si="2"/>
        <v>16</v>
      </c>
      <c r="I5458" s="15">
        <f t="shared" si="3"/>
        <v>10</v>
      </c>
    </row>
    <row r="5459">
      <c r="A5459" s="8" t="str">
        <f>IFERROR(__xludf.DUMMYFUNCTION("IF('(INGESTA)Datos_consumo_datadis'!A5459&lt;&gt;"""",SPLIT('(INGESTA)Datos_consumo_datadis'!A:A,"",""),"""")"),"ES0031408323131005HX0F")</f>
        <v>ES0031408323131005HX0F</v>
      </c>
      <c r="B5459" s="12">
        <f>IFERROR(__xludf.DUMMYFUNCTION("""COMPUTED_VALUE"""),45093.0)</f>
        <v>45093</v>
      </c>
      <c r="C5459" s="13">
        <f>IFERROR(__xludf.DUMMYFUNCTION("""COMPUTED_VALUE"""),0.4583333333333333)</f>
        <v>0.4583333333</v>
      </c>
      <c r="D5459" s="8">
        <f>IFERROR(__xludf.DUMMYFUNCTION("""COMPUTED_VALUE"""),0.01)</f>
        <v>0.01</v>
      </c>
      <c r="E5459" s="8" t="str">
        <f>IFERROR(__xludf.DUMMYFUNCTION("""COMPUTED_VALUE"""),"Real")</f>
        <v>Real</v>
      </c>
      <c r="G5459" s="8">
        <f t="shared" si="1"/>
        <v>6</v>
      </c>
      <c r="H5459" s="14">
        <f t="shared" si="2"/>
        <v>16</v>
      </c>
      <c r="I5459" s="15">
        <f t="shared" si="3"/>
        <v>11</v>
      </c>
    </row>
    <row r="5460">
      <c r="A5460" s="8" t="str">
        <f>IFERROR(__xludf.DUMMYFUNCTION("IF('(INGESTA)Datos_consumo_datadis'!A5460&lt;&gt;"""",SPLIT('(INGESTA)Datos_consumo_datadis'!A:A,"",""),"""")"),"ES0031408323131005HX0F")</f>
        <v>ES0031408323131005HX0F</v>
      </c>
      <c r="B5460" s="12">
        <f>IFERROR(__xludf.DUMMYFUNCTION("""COMPUTED_VALUE"""),45093.0)</f>
        <v>45093</v>
      </c>
      <c r="C5460" s="13">
        <f>IFERROR(__xludf.DUMMYFUNCTION("""COMPUTED_VALUE"""),0.5)</f>
        <v>0.5</v>
      </c>
      <c r="D5460" s="8">
        <f>IFERROR(__xludf.DUMMYFUNCTION("""COMPUTED_VALUE"""),0.099)</f>
        <v>0.099</v>
      </c>
      <c r="E5460" s="8" t="str">
        <f>IFERROR(__xludf.DUMMYFUNCTION("""COMPUTED_VALUE"""),"Real")</f>
        <v>Real</v>
      </c>
      <c r="G5460" s="8">
        <f t="shared" si="1"/>
        <v>6</v>
      </c>
      <c r="H5460" s="14">
        <f t="shared" si="2"/>
        <v>16</v>
      </c>
      <c r="I5460" s="15">
        <f t="shared" si="3"/>
        <v>12</v>
      </c>
    </row>
    <row r="5461">
      <c r="A5461" s="8" t="str">
        <f>IFERROR(__xludf.DUMMYFUNCTION("IF('(INGESTA)Datos_consumo_datadis'!A5461&lt;&gt;"""",SPLIT('(INGESTA)Datos_consumo_datadis'!A:A,"",""),"""")"),"ES0031408323131005HX0F")</f>
        <v>ES0031408323131005HX0F</v>
      </c>
      <c r="B5461" s="12">
        <f>IFERROR(__xludf.DUMMYFUNCTION("""COMPUTED_VALUE"""),45093.0)</f>
        <v>45093</v>
      </c>
      <c r="C5461" s="13">
        <f>IFERROR(__xludf.DUMMYFUNCTION("""COMPUTED_VALUE"""),0.5416666666666666)</f>
        <v>0.5416666667</v>
      </c>
      <c r="D5461" s="8">
        <f>IFERROR(__xludf.DUMMYFUNCTION("""COMPUTED_VALUE"""),0.075)</f>
        <v>0.075</v>
      </c>
      <c r="E5461" s="8" t="str">
        <f>IFERROR(__xludf.DUMMYFUNCTION("""COMPUTED_VALUE"""),"Real")</f>
        <v>Real</v>
      </c>
      <c r="G5461" s="8">
        <f t="shared" si="1"/>
        <v>6</v>
      </c>
      <c r="H5461" s="14">
        <f t="shared" si="2"/>
        <v>16</v>
      </c>
      <c r="I5461" s="15">
        <f t="shared" si="3"/>
        <v>13</v>
      </c>
    </row>
    <row r="5462">
      <c r="A5462" s="8" t="str">
        <f>IFERROR(__xludf.DUMMYFUNCTION("IF('(INGESTA)Datos_consumo_datadis'!A5462&lt;&gt;"""",SPLIT('(INGESTA)Datos_consumo_datadis'!A:A,"",""),"""")"),"ES0031408323131005HX0F")</f>
        <v>ES0031408323131005HX0F</v>
      </c>
      <c r="B5462" s="12">
        <f>IFERROR(__xludf.DUMMYFUNCTION("""COMPUTED_VALUE"""),45093.0)</f>
        <v>45093</v>
      </c>
      <c r="C5462" s="13">
        <f>IFERROR(__xludf.DUMMYFUNCTION("""COMPUTED_VALUE"""),0.5833333333333334)</f>
        <v>0.5833333333</v>
      </c>
      <c r="D5462" s="8">
        <f>IFERROR(__xludf.DUMMYFUNCTION("""COMPUTED_VALUE"""),0.072)</f>
        <v>0.072</v>
      </c>
      <c r="E5462" s="8" t="str">
        <f>IFERROR(__xludf.DUMMYFUNCTION("""COMPUTED_VALUE"""),"Real")</f>
        <v>Real</v>
      </c>
      <c r="G5462" s="8">
        <f t="shared" si="1"/>
        <v>6</v>
      </c>
      <c r="H5462" s="14">
        <f t="shared" si="2"/>
        <v>16</v>
      </c>
      <c r="I5462" s="15">
        <f t="shared" si="3"/>
        <v>14</v>
      </c>
    </row>
    <row r="5463">
      <c r="A5463" s="8" t="str">
        <f>IFERROR(__xludf.DUMMYFUNCTION("IF('(INGESTA)Datos_consumo_datadis'!A5463&lt;&gt;"""",SPLIT('(INGESTA)Datos_consumo_datadis'!A:A,"",""),"""")"),"ES0031408323131005HX0F")</f>
        <v>ES0031408323131005HX0F</v>
      </c>
      <c r="B5463" s="12">
        <f>IFERROR(__xludf.DUMMYFUNCTION("""COMPUTED_VALUE"""),45093.0)</f>
        <v>45093</v>
      </c>
      <c r="C5463" s="13">
        <f>IFERROR(__xludf.DUMMYFUNCTION("""COMPUTED_VALUE"""),0.625)</f>
        <v>0.625</v>
      </c>
      <c r="D5463" s="8">
        <f>IFERROR(__xludf.DUMMYFUNCTION("""COMPUTED_VALUE"""),0.023)</f>
        <v>0.023</v>
      </c>
      <c r="E5463" s="8" t="str">
        <f>IFERROR(__xludf.DUMMYFUNCTION("""COMPUTED_VALUE"""),"Real")</f>
        <v>Real</v>
      </c>
      <c r="G5463" s="8">
        <f t="shared" si="1"/>
        <v>6</v>
      </c>
      <c r="H5463" s="14">
        <f t="shared" si="2"/>
        <v>16</v>
      </c>
      <c r="I5463" s="15">
        <f t="shared" si="3"/>
        <v>15</v>
      </c>
    </row>
    <row r="5464">
      <c r="A5464" s="8" t="str">
        <f>IFERROR(__xludf.DUMMYFUNCTION("IF('(INGESTA)Datos_consumo_datadis'!A5464&lt;&gt;"""",SPLIT('(INGESTA)Datos_consumo_datadis'!A:A,"",""),"""")"),"ES0031408323131005HX0F")</f>
        <v>ES0031408323131005HX0F</v>
      </c>
      <c r="B5464" s="12">
        <f>IFERROR(__xludf.DUMMYFUNCTION("""COMPUTED_VALUE"""),45093.0)</f>
        <v>45093</v>
      </c>
      <c r="C5464" s="13">
        <f>IFERROR(__xludf.DUMMYFUNCTION("""COMPUTED_VALUE"""),0.6666666666666666)</f>
        <v>0.6666666667</v>
      </c>
      <c r="D5464" s="8">
        <f>IFERROR(__xludf.DUMMYFUNCTION("""COMPUTED_VALUE"""),0.073)</f>
        <v>0.073</v>
      </c>
      <c r="E5464" s="8" t="str">
        <f>IFERROR(__xludf.DUMMYFUNCTION("""COMPUTED_VALUE"""),"Real")</f>
        <v>Real</v>
      </c>
      <c r="G5464" s="8">
        <f t="shared" si="1"/>
        <v>6</v>
      </c>
      <c r="H5464" s="14">
        <f t="shared" si="2"/>
        <v>16</v>
      </c>
      <c r="I5464" s="15">
        <f t="shared" si="3"/>
        <v>16</v>
      </c>
    </row>
    <row r="5465">
      <c r="A5465" s="8" t="str">
        <f>IFERROR(__xludf.DUMMYFUNCTION("IF('(INGESTA)Datos_consumo_datadis'!A5465&lt;&gt;"""",SPLIT('(INGESTA)Datos_consumo_datadis'!A:A,"",""),"""")"),"ES0031408323131005HX0F")</f>
        <v>ES0031408323131005HX0F</v>
      </c>
      <c r="B5465" s="12">
        <f>IFERROR(__xludf.DUMMYFUNCTION("""COMPUTED_VALUE"""),45093.0)</f>
        <v>45093</v>
      </c>
      <c r="C5465" s="13">
        <f>IFERROR(__xludf.DUMMYFUNCTION("""COMPUTED_VALUE"""),0.7083333333333334)</f>
        <v>0.7083333333</v>
      </c>
      <c r="D5465" s="8">
        <f>IFERROR(__xludf.DUMMYFUNCTION("""COMPUTED_VALUE"""),0.105)</f>
        <v>0.105</v>
      </c>
      <c r="E5465" s="8" t="str">
        <f>IFERROR(__xludf.DUMMYFUNCTION("""COMPUTED_VALUE"""),"Real")</f>
        <v>Real</v>
      </c>
      <c r="G5465" s="8">
        <f t="shared" si="1"/>
        <v>6</v>
      </c>
      <c r="H5465" s="14">
        <f t="shared" si="2"/>
        <v>16</v>
      </c>
      <c r="I5465" s="15">
        <f t="shared" si="3"/>
        <v>17</v>
      </c>
    </row>
    <row r="5466">
      <c r="A5466" s="8" t="str">
        <f>IFERROR(__xludf.DUMMYFUNCTION("IF('(INGESTA)Datos_consumo_datadis'!A5466&lt;&gt;"""",SPLIT('(INGESTA)Datos_consumo_datadis'!A:A,"",""),"""")"),"ES0031408323131005HX0F")</f>
        <v>ES0031408323131005HX0F</v>
      </c>
      <c r="B5466" s="12">
        <f>IFERROR(__xludf.DUMMYFUNCTION("""COMPUTED_VALUE"""),45093.0)</f>
        <v>45093</v>
      </c>
      <c r="C5466" s="13">
        <f>IFERROR(__xludf.DUMMYFUNCTION("""COMPUTED_VALUE"""),0.75)</f>
        <v>0.75</v>
      </c>
      <c r="D5466" s="8">
        <f>IFERROR(__xludf.DUMMYFUNCTION("""COMPUTED_VALUE"""),0.37)</f>
        <v>0.37</v>
      </c>
      <c r="E5466" s="8" t="str">
        <f>IFERROR(__xludf.DUMMYFUNCTION("""COMPUTED_VALUE"""),"Real")</f>
        <v>Real</v>
      </c>
      <c r="G5466" s="8">
        <f t="shared" si="1"/>
        <v>6</v>
      </c>
      <c r="H5466" s="14">
        <f t="shared" si="2"/>
        <v>16</v>
      </c>
      <c r="I5466" s="15">
        <f t="shared" si="3"/>
        <v>18</v>
      </c>
    </row>
    <row r="5467">
      <c r="A5467" s="8" t="str">
        <f>IFERROR(__xludf.DUMMYFUNCTION("IF('(INGESTA)Datos_consumo_datadis'!A5467&lt;&gt;"""",SPLIT('(INGESTA)Datos_consumo_datadis'!A:A,"",""),"""")"),"ES0031408323131005HX0F")</f>
        <v>ES0031408323131005HX0F</v>
      </c>
      <c r="B5467" s="12">
        <f>IFERROR(__xludf.DUMMYFUNCTION("""COMPUTED_VALUE"""),45093.0)</f>
        <v>45093</v>
      </c>
      <c r="C5467" s="13">
        <f>IFERROR(__xludf.DUMMYFUNCTION("""COMPUTED_VALUE"""),0.7916666666666666)</f>
        <v>0.7916666667</v>
      </c>
      <c r="D5467" s="8">
        <f>IFERROR(__xludf.DUMMYFUNCTION("""COMPUTED_VALUE"""),0.033)</f>
        <v>0.033</v>
      </c>
      <c r="E5467" s="8" t="str">
        <f>IFERROR(__xludf.DUMMYFUNCTION("""COMPUTED_VALUE"""),"Real")</f>
        <v>Real</v>
      </c>
      <c r="G5467" s="8">
        <f t="shared" si="1"/>
        <v>6</v>
      </c>
      <c r="H5467" s="14">
        <f t="shared" si="2"/>
        <v>16</v>
      </c>
      <c r="I5467" s="15">
        <f t="shared" si="3"/>
        <v>19</v>
      </c>
    </row>
    <row r="5468">
      <c r="A5468" s="8" t="str">
        <f>IFERROR(__xludf.DUMMYFUNCTION("IF('(INGESTA)Datos_consumo_datadis'!A5468&lt;&gt;"""",SPLIT('(INGESTA)Datos_consumo_datadis'!A:A,"",""),"""")"),"ES0031408323131005HX0F")</f>
        <v>ES0031408323131005HX0F</v>
      </c>
      <c r="B5468" s="12">
        <f>IFERROR(__xludf.DUMMYFUNCTION("""COMPUTED_VALUE"""),45093.0)</f>
        <v>45093</v>
      </c>
      <c r="C5468" s="13">
        <f>IFERROR(__xludf.DUMMYFUNCTION("""COMPUTED_VALUE"""),0.8333333333333334)</f>
        <v>0.8333333333</v>
      </c>
      <c r="D5468" s="8">
        <f>IFERROR(__xludf.DUMMYFUNCTION("""COMPUTED_VALUE"""),0.018)</f>
        <v>0.018</v>
      </c>
      <c r="E5468" s="8" t="str">
        <f>IFERROR(__xludf.DUMMYFUNCTION("""COMPUTED_VALUE"""),"Real")</f>
        <v>Real</v>
      </c>
      <c r="G5468" s="8">
        <f t="shared" si="1"/>
        <v>6</v>
      </c>
      <c r="H5468" s="14">
        <f t="shared" si="2"/>
        <v>16</v>
      </c>
      <c r="I5468" s="15">
        <f t="shared" si="3"/>
        <v>20</v>
      </c>
    </row>
    <row r="5469">
      <c r="A5469" s="8" t="str">
        <f>IFERROR(__xludf.DUMMYFUNCTION("IF('(INGESTA)Datos_consumo_datadis'!A5469&lt;&gt;"""",SPLIT('(INGESTA)Datos_consumo_datadis'!A:A,"",""),"""")"),"ES0031408323131005HX0F")</f>
        <v>ES0031408323131005HX0F</v>
      </c>
      <c r="B5469" s="12">
        <f>IFERROR(__xludf.DUMMYFUNCTION("""COMPUTED_VALUE"""),45093.0)</f>
        <v>45093</v>
      </c>
      <c r="C5469" s="13">
        <f>IFERROR(__xludf.DUMMYFUNCTION("""COMPUTED_VALUE"""),0.875)</f>
        <v>0.875</v>
      </c>
      <c r="D5469" s="8">
        <f>IFERROR(__xludf.DUMMYFUNCTION("""COMPUTED_VALUE"""),0.116)</f>
        <v>0.116</v>
      </c>
      <c r="E5469" s="8" t="str">
        <f>IFERROR(__xludf.DUMMYFUNCTION("""COMPUTED_VALUE"""),"Real")</f>
        <v>Real</v>
      </c>
      <c r="G5469" s="8">
        <f t="shared" si="1"/>
        <v>6</v>
      </c>
      <c r="H5469" s="14">
        <f t="shared" si="2"/>
        <v>16</v>
      </c>
      <c r="I5469" s="15">
        <f t="shared" si="3"/>
        <v>21</v>
      </c>
    </row>
    <row r="5470">
      <c r="A5470" s="8" t="str">
        <f>IFERROR(__xludf.DUMMYFUNCTION("IF('(INGESTA)Datos_consumo_datadis'!A5470&lt;&gt;"""",SPLIT('(INGESTA)Datos_consumo_datadis'!A:A,"",""),"""")"),"ES0031408323131005HX0F")</f>
        <v>ES0031408323131005HX0F</v>
      </c>
      <c r="B5470" s="12">
        <f>IFERROR(__xludf.DUMMYFUNCTION("""COMPUTED_VALUE"""),45093.0)</f>
        <v>45093</v>
      </c>
      <c r="C5470" s="13">
        <f>IFERROR(__xludf.DUMMYFUNCTION("""COMPUTED_VALUE"""),0.9166666666666666)</f>
        <v>0.9166666667</v>
      </c>
      <c r="D5470" s="8">
        <f>IFERROR(__xludf.DUMMYFUNCTION("""COMPUTED_VALUE"""),0.075)</f>
        <v>0.075</v>
      </c>
      <c r="E5470" s="8" t="str">
        <f>IFERROR(__xludf.DUMMYFUNCTION("""COMPUTED_VALUE"""),"Real")</f>
        <v>Real</v>
      </c>
      <c r="G5470" s="8">
        <f t="shared" si="1"/>
        <v>6</v>
      </c>
      <c r="H5470" s="14">
        <f t="shared" si="2"/>
        <v>16</v>
      </c>
      <c r="I5470" s="15">
        <f t="shared" si="3"/>
        <v>22</v>
      </c>
    </row>
    <row r="5471">
      <c r="A5471" s="8" t="str">
        <f>IFERROR(__xludf.DUMMYFUNCTION("IF('(INGESTA)Datos_consumo_datadis'!A5471&lt;&gt;"""",SPLIT('(INGESTA)Datos_consumo_datadis'!A:A,"",""),"""")"),"ES0031408323131005HX0F")</f>
        <v>ES0031408323131005HX0F</v>
      </c>
      <c r="B5471" s="12">
        <f>IFERROR(__xludf.DUMMYFUNCTION("""COMPUTED_VALUE"""),45093.0)</f>
        <v>45093</v>
      </c>
      <c r="C5471" s="13">
        <f>IFERROR(__xludf.DUMMYFUNCTION("""COMPUTED_VALUE"""),0.9583333333333334)</f>
        <v>0.9583333333</v>
      </c>
      <c r="D5471" s="8">
        <f>IFERROR(__xludf.DUMMYFUNCTION("""COMPUTED_VALUE"""),0.057)</f>
        <v>0.057</v>
      </c>
      <c r="E5471" s="8" t="str">
        <f>IFERROR(__xludf.DUMMYFUNCTION("""COMPUTED_VALUE"""),"Real")</f>
        <v>Real</v>
      </c>
      <c r="G5471" s="8">
        <f t="shared" si="1"/>
        <v>6</v>
      </c>
      <c r="H5471" s="14">
        <f t="shared" si="2"/>
        <v>16</v>
      </c>
      <c r="I5471" s="15">
        <f t="shared" si="3"/>
        <v>23</v>
      </c>
    </row>
    <row r="5472">
      <c r="A5472" s="8" t="str">
        <f>IFERROR(__xludf.DUMMYFUNCTION("IF('(INGESTA)Datos_consumo_datadis'!A5472&lt;&gt;"""",SPLIT('(INGESTA)Datos_consumo_datadis'!A:A,"",""),"""")"),"ES0031408323131005HX0F")</f>
        <v>ES0031408323131005HX0F</v>
      </c>
      <c r="B5472" s="12">
        <f>IFERROR(__xludf.DUMMYFUNCTION("""COMPUTED_VALUE"""),45093.0)</f>
        <v>45093</v>
      </c>
      <c r="C5472" s="16">
        <f>IFERROR(__xludf.DUMMYFUNCTION("""COMPUTED_VALUE"""),1.0)</f>
        <v>1</v>
      </c>
      <c r="D5472" s="8">
        <f>IFERROR(__xludf.DUMMYFUNCTION("""COMPUTED_VALUE"""),0.01)</f>
        <v>0.01</v>
      </c>
      <c r="E5472" s="8" t="str">
        <f>IFERROR(__xludf.DUMMYFUNCTION("""COMPUTED_VALUE"""),"Real")</f>
        <v>Real</v>
      </c>
      <c r="G5472" s="8">
        <f t="shared" si="1"/>
        <v>6</v>
      </c>
      <c r="H5472" s="14">
        <f t="shared" si="2"/>
        <v>16</v>
      </c>
      <c r="I5472" s="15">
        <f t="shared" si="3"/>
        <v>0</v>
      </c>
    </row>
    <row r="5473">
      <c r="A5473" s="8" t="str">
        <f>IFERROR(__xludf.DUMMYFUNCTION("IF('(INGESTA)Datos_consumo_datadis'!A5473&lt;&gt;"""",SPLIT('(INGESTA)Datos_consumo_datadis'!A:A,"",""),"""")"),"ES0031408323131005HX0F")</f>
        <v>ES0031408323131005HX0F</v>
      </c>
      <c r="B5473" s="12">
        <f>IFERROR(__xludf.DUMMYFUNCTION("""COMPUTED_VALUE"""),45094.0)</f>
        <v>45094</v>
      </c>
      <c r="C5473" s="13">
        <f>IFERROR(__xludf.DUMMYFUNCTION("""COMPUTED_VALUE"""),0.041666666666666664)</f>
        <v>0.04166666667</v>
      </c>
      <c r="D5473" s="8">
        <f>IFERROR(__xludf.DUMMYFUNCTION("""COMPUTED_VALUE"""),0.075)</f>
        <v>0.075</v>
      </c>
      <c r="E5473" s="8" t="str">
        <f>IFERROR(__xludf.DUMMYFUNCTION("""COMPUTED_VALUE"""),"Real")</f>
        <v>Real</v>
      </c>
      <c r="G5473" s="8">
        <f t="shared" si="1"/>
        <v>6</v>
      </c>
      <c r="H5473" s="14">
        <f t="shared" si="2"/>
        <v>17</v>
      </c>
      <c r="I5473" s="15">
        <f t="shared" si="3"/>
        <v>1</v>
      </c>
    </row>
    <row r="5474">
      <c r="A5474" s="8" t="str">
        <f>IFERROR(__xludf.DUMMYFUNCTION("IF('(INGESTA)Datos_consumo_datadis'!A5474&lt;&gt;"""",SPLIT('(INGESTA)Datos_consumo_datadis'!A:A,"",""),"""")"),"ES0031408323131005HX0F")</f>
        <v>ES0031408323131005HX0F</v>
      </c>
      <c r="B5474" s="12">
        <f>IFERROR(__xludf.DUMMYFUNCTION("""COMPUTED_VALUE"""),45094.0)</f>
        <v>45094</v>
      </c>
      <c r="C5474" s="13">
        <f>IFERROR(__xludf.DUMMYFUNCTION("""COMPUTED_VALUE"""),0.08333333333333333)</f>
        <v>0.08333333333</v>
      </c>
      <c r="D5474" s="8">
        <f>IFERROR(__xludf.DUMMYFUNCTION("""COMPUTED_VALUE"""),0.186)</f>
        <v>0.186</v>
      </c>
      <c r="E5474" s="8" t="str">
        <f>IFERROR(__xludf.DUMMYFUNCTION("""COMPUTED_VALUE"""),"Real")</f>
        <v>Real</v>
      </c>
      <c r="G5474" s="8">
        <f t="shared" si="1"/>
        <v>6</v>
      </c>
      <c r="H5474" s="14">
        <f t="shared" si="2"/>
        <v>17</v>
      </c>
      <c r="I5474" s="15">
        <f t="shared" si="3"/>
        <v>2</v>
      </c>
    </row>
    <row r="5475">
      <c r="A5475" s="8" t="str">
        <f>IFERROR(__xludf.DUMMYFUNCTION("IF('(INGESTA)Datos_consumo_datadis'!A5475&lt;&gt;"""",SPLIT('(INGESTA)Datos_consumo_datadis'!A:A,"",""),"""")"),"ES0031408323131005HX0F")</f>
        <v>ES0031408323131005HX0F</v>
      </c>
      <c r="B5475" s="12">
        <f>IFERROR(__xludf.DUMMYFUNCTION("""COMPUTED_VALUE"""),45094.0)</f>
        <v>45094</v>
      </c>
      <c r="C5475" s="13">
        <f>IFERROR(__xludf.DUMMYFUNCTION("""COMPUTED_VALUE"""),0.125)</f>
        <v>0.125</v>
      </c>
      <c r="D5475" s="8">
        <f>IFERROR(__xludf.DUMMYFUNCTION("""COMPUTED_VALUE"""),0.289)</f>
        <v>0.289</v>
      </c>
      <c r="E5475" s="8" t="str">
        <f>IFERROR(__xludf.DUMMYFUNCTION("""COMPUTED_VALUE"""),"Real")</f>
        <v>Real</v>
      </c>
      <c r="G5475" s="8">
        <f t="shared" si="1"/>
        <v>6</v>
      </c>
      <c r="H5475" s="14">
        <f t="shared" si="2"/>
        <v>17</v>
      </c>
      <c r="I5475" s="15">
        <f t="shared" si="3"/>
        <v>3</v>
      </c>
    </row>
    <row r="5476">
      <c r="A5476" s="8" t="str">
        <f>IFERROR(__xludf.DUMMYFUNCTION("IF('(INGESTA)Datos_consumo_datadis'!A5476&lt;&gt;"""",SPLIT('(INGESTA)Datos_consumo_datadis'!A:A,"",""),"""")"),"ES0031408323131005HX0F")</f>
        <v>ES0031408323131005HX0F</v>
      </c>
      <c r="B5476" s="12">
        <f>IFERROR(__xludf.DUMMYFUNCTION("""COMPUTED_VALUE"""),45094.0)</f>
        <v>45094</v>
      </c>
      <c r="C5476" s="13">
        <f>IFERROR(__xludf.DUMMYFUNCTION("""COMPUTED_VALUE"""),0.16666666666666666)</f>
        <v>0.1666666667</v>
      </c>
      <c r="D5476" s="8">
        <f>IFERROR(__xludf.DUMMYFUNCTION("""COMPUTED_VALUE"""),0.034)</f>
        <v>0.034</v>
      </c>
      <c r="E5476" s="8" t="str">
        <f>IFERROR(__xludf.DUMMYFUNCTION("""COMPUTED_VALUE"""),"Real")</f>
        <v>Real</v>
      </c>
      <c r="G5476" s="8">
        <f t="shared" si="1"/>
        <v>6</v>
      </c>
      <c r="H5476" s="14">
        <f t="shared" si="2"/>
        <v>17</v>
      </c>
      <c r="I5476" s="15">
        <f t="shared" si="3"/>
        <v>4</v>
      </c>
    </row>
    <row r="5477">
      <c r="A5477" s="8" t="str">
        <f>IFERROR(__xludf.DUMMYFUNCTION("IF('(INGESTA)Datos_consumo_datadis'!A5477&lt;&gt;"""",SPLIT('(INGESTA)Datos_consumo_datadis'!A:A,"",""),"""")"),"ES0031408323131005HX0F")</f>
        <v>ES0031408323131005HX0F</v>
      </c>
      <c r="B5477" s="12">
        <f>IFERROR(__xludf.DUMMYFUNCTION("""COMPUTED_VALUE"""),45094.0)</f>
        <v>45094</v>
      </c>
      <c r="C5477" s="13">
        <f>IFERROR(__xludf.DUMMYFUNCTION("""COMPUTED_VALUE"""),0.20833333333333334)</f>
        <v>0.2083333333</v>
      </c>
      <c r="D5477" s="8">
        <f>IFERROR(__xludf.DUMMYFUNCTION("""COMPUTED_VALUE"""),0.026)</f>
        <v>0.026</v>
      </c>
      <c r="E5477" s="8" t="str">
        <f>IFERROR(__xludf.DUMMYFUNCTION("""COMPUTED_VALUE"""),"Real")</f>
        <v>Real</v>
      </c>
      <c r="G5477" s="8">
        <f t="shared" si="1"/>
        <v>6</v>
      </c>
      <c r="H5477" s="14">
        <f t="shared" si="2"/>
        <v>17</v>
      </c>
      <c r="I5477" s="15">
        <f t="shared" si="3"/>
        <v>5</v>
      </c>
    </row>
    <row r="5478">
      <c r="A5478" s="8" t="str">
        <f>IFERROR(__xludf.DUMMYFUNCTION("IF('(INGESTA)Datos_consumo_datadis'!A5478&lt;&gt;"""",SPLIT('(INGESTA)Datos_consumo_datadis'!A:A,"",""),"""")"),"ES0031408323131005HX0F")</f>
        <v>ES0031408323131005HX0F</v>
      </c>
      <c r="B5478" s="12">
        <f>IFERROR(__xludf.DUMMYFUNCTION("""COMPUTED_VALUE"""),45094.0)</f>
        <v>45094</v>
      </c>
      <c r="C5478" s="13">
        <f>IFERROR(__xludf.DUMMYFUNCTION("""COMPUTED_VALUE"""),0.25)</f>
        <v>0.25</v>
      </c>
      <c r="D5478" s="8">
        <f>IFERROR(__xludf.DUMMYFUNCTION("""COMPUTED_VALUE"""),0.115)</f>
        <v>0.115</v>
      </c>
      <c r="E5478" s="8" t="str">
        <f>IFERROR(__xludf.DUMMYFUNCTION("""COMPUTED_VALUE"""),"Real")</f>
        <v>Real</v>
      </c>
      <c r="G5478" s="8">
        <f t="shared" si="1"/>
        <v>6</v>
      </c>
      <c r="H5478" s="14">
        <f t="shared" si="2"/>
        <v>17</v>
      </c>
      <c r="I5478" s="15">
        <f t="shared" si="3"/>
        <v>6</v>
      </c>
    </row>
    <row r="5479">
      <c r="A5479" s="8" t="str">
        <f>IFERROR(__xludf.DUMMYFUNCTION("IF('(INGESTA)Datos_consumo_datadis'!A5479&lt;&gt;"""",SPLIT('(INGESTA)Datos_consumo_datadis'!A:A,"",""),"""")"),"ES0031408323131005HX0F")</f>
        <v>ES0031408323131005HX0F</v>
      </c>
      <c r="B5479" s="12">
        <f>IFERROR(__xludf.DUMMYFUNCTION("""COMPUTED_VALUE"""),45094.0)</f>
        <v>45094</v>
      </c>
      <c r="C5479" s="13">
        <f>IFERROR(__xludf.DUMMYFUNCTION("""COMPUTED_VALUE"""),0.2916666666666667)</f>
        <v>0.2916666667</v>
      </c>
      <c r="D5479" s="8">
        <f>IFERROR(__xludf.DUMMYFUNCTION("""COMPUTED_VALUE"""),0.076)</f>
        <v>0.076</v>
      </c>
      <c r="E5479" s="8" t="str">
        <f>IFERROR(__xludf.DUMMYFUNCTION("""COMPUTED_VALUE"""),"Real")</f>
        <v>Real</v>
      </c>
      <c r="G5479" s="8">
        <f t="shared" si="1"/>
        <v>6</v>
      </c>
      <c r="H5479" s="14">
        <f t="shared" si="2"/>
        <v>17</v>
      </c>
      <c r="I5479" s="15">
        <f t="shared" si="3"/>
        <v>7</v>
      </c>
    </row>
    <row r="5480">
      <c r="A5480" s="8" t="str">
        <f>IFERROR(__xludf.DUMMYFUNCTION("IF('(INGESTA)Datos_consumo_datadis'!A5480&lt;&gt;"""",SPLIT('(INGESTA)Datos_consumo_datadis'!A:A,"",""),"""")"),"ES0031408323131005HX0F")</f>
        <v>ES0031408323131005HX0F</v>
      </c>
      <c r="B5480" s="12">
        <f>IFERROR(__xludf.DUMMYFUNCTION("""COMPUTED_VALUE"""),45094.0)</f>
        <v>45094</v>
      </c>
      <c r="C5480" s="13">
        <f>IFERROR(__xludf.DUMMYFUNCTION("""COMPUTED_VALUE"""),0.3333333333333333)</f>
        <v>0.3333333333</v>
      </c>
      <c r="D5480" s="8">
        <f>IFERROR(__xludf.DUMMYFUNCTION("""COMPUTED_VALUE"""),0.048)</f>
        <v>0.048</v>
      </c>
      <c r="E5480" s="8" t="str">
        <f>IFERROR(__xludf.DUMMYFUNCTION("""COMPUTED_VALUE"""),"Real")</f>
        <v>Real</v>
      </c>
      <c r="G5480" s="8">
        <f t="shared" si="1"/>
        <v>6</v>
      </c>
      <c r="H5480" s="14">
        <f t="shared" si="2"/>
        <v>17</v>
      </c>
      <c r="I5480" s="15">
        <f t="shared" si="3"/>
        <v>8</v>
      </c>
    </row>
    <row r="5481">
      <c r="A5481" s="8" t="str">
        <f>IFERROR(__xludf.DUMMYFUNCTION("IF('(INGESTA)Datos_consumo_datadis'!A5481&lt;&gt;"""",SPLIT('(INGESTA)Datos_consumo_datadis'!A:A,"",""),"""")"),"ES0031408323131005HX0F")</f>
        <v>ES0031408323131005HX0F</v>
      </c>
      <c r="B5481" s="12">
        <f>IFERROR(__xludf.DUMMYFUNCTION("""COMPUTED_VALUE"""),45094.0)</f>
        <v>45094</v>
      </c>
      <c r="C5481" s="13">
        <f>IFERROR(__xludf.DUMMYFUNCTION("""COMPUTED_VALUE"""),0.375)</f>
        <v>0.375</v>
      </c>
      <c r="D5481" s="8">
        <f>IFERROR(__xludf.DUMMYFUNCTION("""COMPUTED_VALUE"""),0.01)</f>
        <v>0.01</v>
      </c>
      <c r="E5481" s="8" t="str">
        <f>IFERROR(__xludf.DUMMYFUNCTION("""COMPUTED_VALUE"""),"Real")</f>
        <v>Real</v>
      </c>
      <c r="G5481" s="8">
        <f t="shared" si="1"/>
        <v>6</v>
      </c>
      <c r="H5481" s="14">
        <f t="shared" si="2"/>
        <v>17</v>
      </c>
      <c r="I5481" s="15">
        <f t="shared" si="3"/>
        <v>9</v>
      </c>
    </row>
    <row r="5482">
      <c r="A5482" s="8" t="str">
        <f>IFERROR(__xludf.DUMMYFUNCTION("IF('(INGESTA)Datos_consumo_datadis'!A5482&lt;&gt;"""",SPLIT('(INGESTA)Datos_consumo_datadis'!A:A,"",""),"""")"),"ES0031408323131005HX0F")</f>
        <v>ES0031408323131005HX0F</v>
      </c>
      <c r="B5482" s="12">
        <f>IFERROR(__xludf.DUMMYFUNCTION("""COMPUTED_VALUE"""),45094.0)</f>
        <v>45094</v>
      </c>
      <c r="C5482" s="13">
        <f>IFERROR(__xludf.DUMMYFUNCTION("""COMPUTED_VALUE"""),0.4166666666666667)</f>
        <v>0.4166666667</v>
      </c>
      <c r="D5482" s="8">
        <f>IFERROR(__xludf.DUMMYFUNCTION("""COMPUTED_VALUE"""),0.358)</f>
        <v>0.358</v>
      </c>
      <c r="E5482" s="8" t="str">
        <f>IFERROR(__xludf.DUMMYFUNCTION("""COMPUTED_VALUE"""),"Real")</f>
        <v>Real</v>
      </c>
      <c r="G5482" s="8">
        <f t="shared" si="1"/>
        <v>6</v>
      </c>
      <c r="H5482" s="14">
        <f t="shared" si="2"/>
        <v>17</v>
      </c>
      <c r="I5482" s="15">
        <f t="shared" si="3"/>
        <v>10</v>
      </c>
    </row>
    <row r="5483">
      <c r="A5483" s="8" t="str">
        <f>IFERROR(__xludf.DUMMYFUNCTION("IF('(INGESTA)Datos_consumo_datadis'!A5483&lt;&gt;"""",SPLIT('(INGESTA)Datos_consumo_datadis'!A:A,"",""),"""")"),"ES0031408323131005HX0F")</f>
        <v>ES0031408323131005HX0F</v>
      </c>
      <c r="B5483" s="12">
        <f>IFERROR(__xludf.DUMMYFUNCTION("""COMPUTED_VALUE"""),45094.0)</f>
        <v>45094</v>
      </c>
      <c r="C5483" s="13">
        <f>IFERROR(__xludf.DUMMYFUNCTION("""COMPUTED_VALUE"""),0.4583333333333333)</f>
        <v>0.4583333333</v>
      </c>
      <c r="D5483" s="8">
        <f>IFERROR(__xludf.DUMMYFUNCTION("""COMPUTED_VALUE"""),0.089)</f>
        <v>0.089</v>
      </c>
      <c r="E5483" s="8" t="str">
        <f>IFERROR(__xludf.DUMMYFUNCTION("""COMPUTED_VALUE"""),"Real")</f>
        <v>Real</v>
      </c>
      <c r="G5483" s="8">
        <f t="shared" si="1"/>
        <v>6</v>
      </c>
      <c r="H5483" s="14">
        <f t="shared" si="2"/>
        <v>17</v>
      </c>
      <c r="I5483" s="15">
        <f t="shared" si="3"/>
        <v>11</v>
      </c>
    </row>
    <row r="5484">
      <c r="A5484" s="8" t="str">
        <f>IFERROR(__xludf.DUMMYFUNCTION("IF('(INGESTA)Datos_consumo_datadis'!A5484&lt;&gt;"""",SPLIT('(INGESTA)Datos_consumo_datadis'!A:A,"",""),"""")"),"ES0031408323131005HX0F")</f>
        <v>ES0031408323131005HX0F</v>
      </c>
      <c r="B5484" s="12">
        <f>IFERROR(__xludf.DUMMYFUNCTION("""COMPUTED_VALUE"""),45094.0)</f>
        <v>45094</v>
      </c>
      <c r="C5484" s="13">
        <f>IFERROR(__xludf.DUMMYFUNCTION("""COMPUTED_VALUE"""),0.5)</f>
        <v>0.5</v>
      </c>
      <c r="D5484" s="8">
        <f>IFERROR(__xludf.DUMMYFUNCTION("""COMPUTED_VALUE"""),0.075)</f>
        <v>0.075</v>
      </c>
      <c r="E5484" s="8" t="str">
        <f>IFERROR(__xludf.DUMMYFUNCTION("""COMPUTED_VALUE"""),"Real")</f>
        <v>Real</v>
      </c>
      <c r="G5484" s="8">
        <f t="shared" si="1"/>
        <v>6</v>
      </c>
      <c r="H5484" s="14">
        <f t="shared" si="2"/>
        <v>17</v>
      </c>
      <c r="I5484" s="15">
        <f t="shared" si="3"/>
        <v>12</v>
      </c>
    </row>
    <row r="5485">
      <c r="A5485" s="8" t="str">
        <f>IFERROR(__xludf.DUMMYFUNCTION("IF('(INGESTA)Datos_consumo_datadis'!A5485&lt;&gt;"""",SPLIT('(INGESTA)Datos_consumo_datadis'!A:A,"",""),"""")"),"ES0031408323131005HX0F")</f>
        <v>ES0031408323131005HX0F</v>
      </c>
      <c r="B5485" s="12">
        <f>IFERROR(__xludf.DUMMYFUNCTION("""COMPUTED_VALUE"""),45094.0)</f>
        <v>45094</v>
      </c>
      <c r="C5485" s="13">
        <f>IFERROR(__xludf.DUMMYFUNCTION("""COMPUTED_VALUE"""),0.5416666666666666)</f>
        <v>0.5416666667</v>
      </c>
      <c r="D5485" s="8">
        <f>IFERROR(__xludf.DUMMYFUNCTION("""COMPUTED_VALUE"""),0.018)</f>
        <v>0.018</v>
      </c>
      <c r="E5485" s="8" t="str">
        <f>IFERROR(__xludf.DUMMYFUNCTION("""COMPUTED_VALUE"""),"Real")</f>
        <v>Real</v>
      </c>
      <c r="G5485" s="8">
        <f t="shared" si="1"/>
        <v>6</v>
      </c>
      <c r="H5485" s="14">
        <f t="shared" si="2"/>
        <v>17</v>
      </c>
      <c r="I5485" s="15">
        <f t="shared" si="3"/>
        <v>13</v>
      </c>
    </row>
    <row r="5486">
      <c r="A5486" s="8" t="str">
        <f>IFERROR(__xludf.DUMMYFUNCTION("IF('(INGESTA)Datos_consumo_datadis'!A5486&lt;&gt;"""",SPLIT('(INGESTA)Datos_consumo_datadis'!A:A,"",""),"""")"),"ES0031408323131005HX0F")</f>
        <v>ES0031408323131005HX0F</v>
      </c>
      <c r="B5486" s="12">
        <f>IFERROR(__xludf.DUMMYFUNCTION("""COMPUTED_VALUE"""),45094.0)</f>
        <v>45094</v>
      </c>
      <c r="C5486" s="13">
        <f>IFERROR(__xludf.DUMMYFUNCTION("""COMPUTED_VALUE"""),0.5833333333333334)</f>
        <v>0.5833333333</v>
      </c>
      <c r="D5486" s="8">
        <f>IFERROR(__xludf.DUMMYFUNCTION("""COMPUTED_VALUE"""),0.036)</f>
        <v>0.036</v>
      </c>
      <c r="E5486" s="8" t="str">
        <f>IFERROR(__xludf.DUMMYFUNCTION("""COMPUTED_VALUE"""),"Real")</f>
        <v>Real</v>
      </c>
      <c r="G5486" s="8">
        <f t="shared" si="1"/>
        <v>6</v>
      </c>
      <c r="H5486" s="14">
        <f t="shared" si="2"/>
        <v>17</v>
      </c>
      <c r="I5486" s="15">
        <f t="shared" si="3"/>
        <v>14</v>
      </c>
    </row>
    <row r="5487">
      <c r="A5487" s="8" t="str">
        <f>IFERROR(__xludf.DUMMYFUNCTION("IF('(INGESTA)Datos_consumo_datadis'!A5487&lt;&gt;"""",SPLIT('(INGESTA)Datos_consumo_datadis'!A:A,"",""),"""")"),"ES0031408323131005HX0F")</f>
        <v>ES0031408323131005HX0F</v>
      </c>
      <c r="B5487" s="12">
        <f>IFERROR(__xludf.DUMMYFUNCTION("""COMPUTED_VALUE"""),45094.0)</f>
        <v>45094</v>
      </c>
      <c r="C5487" s="13">
        <f>IFERROR(__xludf.DUMMYFUNCTION("""COMPUTED_VALUE"""),0.625)</f>
        <v>0.625</v>
      </c>
      <c r="D5487" s="8">
        <f>IFERROR(__xludf.DUMMYFUNCTION("""COMPUTED_VALUE"""),0.113)</f>
        <v>0.113</v>
      </c>
      <c r="E5487" s="8" t="str">
        <f>IFERROR(__xludf.DUMMYFUNCTION("""COMPUTED_VALUE"""),"Real")</f>
        <v>Real</v>
      </c>
      <c r="G5487" s="8">
        <f t="shared" si="1"/>
        <v>6</v>
      </c>
      <c r="H5487" s="14">
        <f t="shared" si="2"/>
        <v>17</v>
      </c>
      <c r="I5487" s="15">
        <f t="shared" si="3"/>
        <v>15</v>
      </c>
    </row>
    <row r="5488">
      <c r="A5488" s="8" t="str">
        <f>IFERROR(__xludf.DUMMYFUNCTION("IF('(INGESTA)Datos_consumo_datadis'!A5488&lt;&gt;"""",SPLIT('(INGESTA)Datos_consumo_datadis'!A:A,"",""),"""")"),"ES0031408323131005HX0F")</f>
        <v>ES0031408323131005HX0F</v>
      </c>
      <c r="B5488" s="12">
        <f>IFERROR(__xludf.DUMMYFUNCTION("""COMPUTED_VALUE"""),45094.0)</f>
        <v>45094</v>
      </c>
      <c r="C5488" s="13">
        <f>IFERROR(__xludf.DUMMYFUNCTION("""COMPUTED_VALUE"""),0.6666666666666666)</f>
        <v>0.6666666667</v>
      </c>
      <c r="D5488" s="8">
        <f>IFERROR(__xludf.DUMMYFUNCTION("""COMPUTED_VALUE"""),0.077)</f>
        <v>0.077</v>
      </c>
      <c r="E5488" s="8" t="str">
        <f>IFERROR(__xludf.DUMMYFUNCTION("""COMPUTED_VALUE"""),"Real")</f>
        <v>Real</v>
      </c>
      <c r="G5488" s="8">
        <f t="shared" si="1"/>
        <v>6</v>
      </c>
      <c r="H5488" s="14">
        <f t="shared" si="2"/>
        <v>17</v>
      </c>
      <c r="I5488" s="15">
        <f t="shared" si="3"/>
        <v>16</v>
      </c>
    </row>
    <row r="5489">
      <c r="A5489" s="8" t="str">
        <f>IFERROR(__xludf.DUMMYFUNCTION("IF('(INGESTA)Datos_consumo_datadis'!A5489&lt;&gt;"""",SPLIT('(INGESTA)Datos_consumo_datadis'!A:A,"",""),"""")"),"ES0031408323131005HX0F")</f>
        <v>ES0031408323131005HX0F</v>
      </c>
      <c r="B5489" s="12">
        <f>IFERROR(__xludf.DUMMYFUNCTION("""COMPUTED_VALUE"""),45094.0)</f>
        <v>45094</v>
      </c>
      <c r="C5489" s="13">
        <f>IFERROR(__xludf.DUMMYFUNCTION("""COMPUTED_VALUE"""),0.7083333333333334)</f>
        <v>0.7083333333</v>
      </c>
      <c r="D5489" s="8">
        <f>IFERROR(__xludf.DUMMYFUNCTION("""COMPUTED_VALUE"""),0.041)</f>
        <v>0.041</v>
      </c>
      <c r="E5489" s="8" t="str">
        <f>IFERROR(__xludf.DUMMYFUNCTION("""COMPUTED_VALUE"""),"Real")</f>
        <v>Real</v>
      </c>
      <c r="G5489" s="8">
        <f t="shared" si="1"/>
        <v>6</v>
      </c>
      <c r="H5489" s="14">
        <f t="shared" si="2"/>
        <v>17</v>
      </c>
      <c r="I5489" s="15">
        <f t="shared" si="3"/>
        <v>17</v>
      </c>
    </row>
    <row r="5490">
      <c r="A5490" s="8" t="str">
        <f>IFERROR(__xludf.DUMMYFUNCTION("IF('(INGESTA)Datos_consumo_datadis'!A5490&lt;&gt;"""",SPLIT('(INGESTA)Datos_consumo_datadis'!A:A,"",""),"""")"),"ES0031408323131005HX0F")</f>
        <v>ES0031408323131005HX0F</v>
      </c>
      <c r="B5490" s="12">
        <f>IFERROR(__xludf.DUMMYFUNCTION("""COMPUTED_VALUE"""),45094.0)</f>
        <v>45094</v>
      </c>
      <c r="C5490" s="13">
        <f>IFERROR(__xludf.DUMMYFUNCTION("""COMPUTED_VALUE"""),0.75)</f>
        <v>0.75</v>
      </c>
      <c r="D5490" s="8">
        <f>IFERROR(__xludf.DUMMYFUNCTION("""COMPUTED_VALUE"""),0.305)</f>
        <v>0.305</v>
      </c>
      <c r="E5490" s="8" t="str">
        <f>IFERROR(__xludf.DUMMYFUNCTION("""COMPUTED_VALUE"""),"Real")</f>
        <v>Real</v>
      </c>
      <c r="G5490" s="8">
        <f t="shared" si="1"/>
        <v>6</v>
      </c>
      <c r="H5490" s="14">
        <f t="shared" si="2"/>
        <v>17</v>
      </c>
      <c r="I5490" s="15">
        <f t="shared" si="3"/>
        <v>18</v>
      </c>
    </row>
    <row r="5491">
      <c r="A5491" s="8" t="str">
        <f>IFERROR(__xludf.DUMMYFUNCTION("IF('(INGESTA)Datos_consumo_datadis'!A5491&lt;&gt;"""",SPLIT('(INGESTA)Datos_consumo_datadis'!A:A,"",""),"""")"),"ES0031408323131005HX0F")</f>
        <v>ES0031408323131005HX0F</v>
      </c>
      <c r="B5491" s="12">
        <f>IFERROR(__xludf.DUMMYFUNCTION("""COMPUTED_VALUE"""),45094.0)</f>
        <v>45094</v>
      </c>
      <c r="C5491" s="13">
        <f>IFERROR(__xludf.DUMMYFUNCTION("""COMPUTED_VALUE"""),0.7916666666666666)</f>
        <v>0.7916666667</v>
      </c>
      <c r="D5491" s="8">
        <f>IFERROR(__xludf.DUMMYFUNCTION("""COMPUTED_VALUE"""),0.09)</f>
        <v>0.09</v>
      </c>
      <c r="E5491" s="8" t="str">
        <f>IFERROR(__xludf.DUMMYFUNCTION("""COMPUTED_VALUE"""),"Real")</f>
        <v>Real</v>
      </c>
      <c r="G5491" s="8">
        <f t="shared" si="1"/>
        <v>6</v>
      </c>
      <c r="H5491" s="14">
        <f t="shared" si="2"/>
        <v>17</v>
      </c>
      <c r="I5491" s="15">
        <f t="shared" si="3"/>
        <v>19</v>
      </c>
    </row>
    <row r="5492">
      <c r="A5492" s="8" t="str">
        <f>IFERROR(__xludf.DUMMYFUNCTION("IF('(INGESTA)Datos_consumo_datadis'!A5492&lt;&gt;"""",SPLIT('(INGESTA)Datos_consumo_datadis'!A:A,"",""),"""")"),"ES0031408323131005HX0F")</f>
        <v>ES0031408323131005HX0F</v>
      </c>
      <c r="B5492" s="12">
        <f>IFERROR(__xludf.DUMMYFUNCTION("""COMPUTED_VALUE"""),45094.0)</f>
        <v>45094</v>
      </c>
      <c r="C5492" s="13">
        <f>IFERROR(__xludf.DUMMYFUNCTION("""COMPUTED_VALUE"""),0.8333333333333334)</f>
        <v>0.8333333333</v>
      </c>
      <c r="D5492" s="8">
        <f>IFERROR(__xludf.DUMMYFUNCTION("""COMPUTED_VALUE"""),0.086)</f>
        <v>0.086</v>
      </c>
      <c r="E5492" s="8" t="str">
        <f>IFERROR(__xludf.DUMMYFUNCTION("""COMPUTED_VALUE"""),"Real")</f>
        <v>Real</v>
      </c>
      <c r="G5492" s="8">
        <f t="shared" si="1"/>
        <v>6</v>
      </c>
      <c r="H5492" s="14">
        <f t="shared" si="2"/>
        <v>17</v>
      </c>
      <c r="I5492" s="15">
        <f t="shared" si="3"/>
        <v>20</v>
      </c>
    </row>
    <row r="5493">
      <c r="A5493" s="8" t="str">
        <f>IFERROR(__xludf.DUMMYFUNCTION("IF('(INGESTA)Datos_consumo_datadis'!A5493&lt;&gt;"""",SPLIT('(INGESTA)Datos_consumo_datadis'!A:A,"",""),"""")"),"ES0031408323131005HX0F")</f>
        <v>ES0031408323131005HX0F</v>
      </c>
      <c r="B5493" s="12">
        <f>IFERROR(__xludf.DUMMYFUNCTION("""COMPUTED_VALUE"""),45094.0)</f>
        <v>45094</v>
      </c>
      <c r="C5493" s="13">
        <f>IFERROR(__xludf.DUMMYFUNCTION("""COMPUTED_VALUE"""),0.875)</f>
        <v>0.875</v>
      </c>
      <c r="D5493" s="8">
        <f>IFERROR(__xludf.DUMMYFUNCTION("""COMPUTED_VALUE"""),0.079)</f>
        <v>0.079</v>
      </c>
      <c r="E5493" s="8" t="str">
        <f>IFERROR(__xludf.DUMMYFUNCTION("""COMPUTED_VALUE"""),"Real")</f>
        <v>Real</v>
      </c>
      <c r="G5493" s="8">
        <f t="shared" si="1"/>
        <v>6</v>
      </c>
      <c r="H5493" s="14">
        <f t="shared" si="2"/>
        <v>17</v>
      </c>
      <c r="I5493" s="15">
        <f t="shared" si="3"/>
        <v>21</v>
      </c>
    </row>
    <row r="5494">
      <c r="A5494" s="8" t="str">
        <f>IFERROR(__xludf.DUMMYFUNCTION("IF('(INGESTA)Datos_consumo_datadis'!A5494&lt;&gt;"""",SPLIT('(INGESTA)Datos_consumo_datadis'!A:A,"",""),"""")"),"ES0031408323131005HX0F")</f>
        <v>ES0031408323131005HX0F</v>
      </c>
      <c r="B5494" s="12">
        <f>IFERROR(__xludf.DUMMYFUNCTION("""COMPUTED_VALUE"""),45094.0)</f>
        <v>45094</v>
      </c>
      <c r="C5494" s="13">
        <f>IFERROR(__xludf.DUMMYFUNCTION("""COMPUTED_VALUE"""),0.9166666666666666)</f>
        <v>0.9166666667</v>
      </c>
      <c r="D5494" s="8">
        <f>IFERROR(__xludf.DUMMYFUNCTION("""COMPUTED_VALUE"""),0.017)</f>
        <v>0.017</v>
      </c>
      <c r="E5494" s="8" t="str">
        <f>IFERROR(__xludf.DUMMYFUNCTION("""COMPUTED_VALUE"""),"Real")</f>
        <v>Real</v>
      </c>
      <c r="G5494" s="8">
        <f t="shared" si="1"/>
        <v>6</v>
      </c>
      <c r="H5494" s="14">
        <f t="shared" si="2"/>
        <v>17</v>
      </c>
      <c r="I5494" s="15">
        <f t="shared" si="3"/>
        <v>22</v>
      </c>
    </row>
    <row r="5495">
      <c r="A5495" s="8" t="str">
        <f>IFERROR(__xludf.DUMMYFUNCTION("IF('(INGESTA)Datos_consumo_datadis'!A5495&lt;&gt;"""",SPLIT('(INGESTA)Datos_consumo_datadis'!A:A,"",""),"""")"),"ES0031408323131005HX0F")</f>
        <v>ES0031408323131005HX0F</v>
      </c>
      <c r="B5495" s="12">
        <f>IFERROR(__xludf.DUMMYFUNCTION("""COMPUTED_VALUE"""),45094.0)</f>
        <v>45094</v>
      </c>
      <c r="C5495" s="13">
        <f>IFERROR(__xludf.DUMMYFUNCTION("""COMPUTED_VALUE"""),0.9583333333333334)</f>
        <v>0.9583333333</v>
      </c>
      <c r="D5495" s="8">
        <f>IFERROR(__xludf.DUMMYFUNCTION("""COMPUTED_VALUE"""),0.036)</f>
        <v>0.036</v>
      </c>
      <c r="E5495" s="8" t="str">
        <f>IFERROR(__xludf.DUMMYFUNCTION("""COMPUTED_VALUE"""),"Real")</f>
        <v>Real</v>
      </c>
      <c r="G5495" s="8">
        <f t="shared" si="1"/>
        <v>6</v>
      </c>
      <c r="H5495" s="14">
        <f t="shared" si="2"/>
        <v>17</v>
      </c>
      <c r="I5495" s="15">
        <f t="shared" si="3"/>
        <v>23</v>
      </c>
    </row>
    <row r="5496">
      <c r="A5496" s="8" t="str">
        <f>IFERROR(__xludf.DUMMYFUNCTION("IF('(INGESTA)Datos_consumo_datadis'!A5496&lt;&gt;"""",SPLIT('(INGESTA)Datos_consumo_datadis'!A:A,"",""),"""")"),"ES0031408323131005HX0F")</f>
        <v>ES0031408323131005HX0F</v>
      </c>
      <c r="B5496" s="12">
        <f>IFERROR(__xludf.DUMMYFUNCTION("""COMPUTED_VALUE"""),45094.0)</f>
        <v>45094</v>
      </c>
      <c r="C5496" s="16">
        <f>IFERROR(__xludf.DUMMYFUNCTION("""COMPUTED_VALUE"""),1.0)</f>
        <v>1</v>
      </c>
      <c r="D5496" s="8">
        <f>IFERROR(__xludf.DUMMYFUNCTION("""COMPUTED_VALUE"""),0.114)</f>
        <v>0.114</v>
      </c>
      <c r="E5496" s="8" t="str">
        <f>IFERROR(__xludf.DUMMYFUNCTION("""COMPUTED_VALUE"""),"Real")</f>
        <v>Real</v>
      </c>
      <c r="G5496" s="8">
        <f t="shared" si="1"/>
        <v>6</v>
      </c>
      <c r="H5496" s="14">
        <f t="shared" si="2"/>
        <v>17</v>
      </c>
      <c r="I5496" s="15">
        <f t="shared" si="3"/>
        <v>0</v>
      </c>
    </row>
    <row r="5497">
      <c r="A5497" s="8" t="str">
        <f>IFERROR(__xludf.DUMMYFUNCTION("IF('(INGESTA)Datos_consumo_datadis'!A5497&lt;&gt;"""",SPLIT('(INGESTA)Datos_consumo_datadis'!A:A,"",""),"""")"),"ES0031408323131005HX0F")</f>
        <v>ES0031408323131005HX0F</v>
      </c>
      <c r="B5497" s="12">
        <f>IFERROR(__xludf.DUMMYFUNCTION("""COMPUTED_VALUE"""),45095.0)</f>
        <v>45095</v>
      </c>
      <c r="C5497" s="13">
        <f>IFERROR(__xludf.DUMMYFUNCTION("""COMPUTED_VALUE"""),0.041666666666666664)</f>
        <v>0.04166666667</v>
      </c>
      <c r="D5497" s="8">
        <f>IFERROR(__xludf.DUMMYFUNCTION("""COMPUTED_VALUE"""),0.079)</f>
        <v>0.079</v>
      </c>
      <c r="E5497" s="8" t="str">
        <f>IFERROR(__xludf.DUMMYFUNCTION("""COMPUTED_VALUE"""),"Real")</f>
        <v>Real</v>
      </c>
      <c r="G5497" s="8">
        <f t="shared" si="1"/>
        <v>6</v>
      </c>
      <c r="H5497" s="14">
        <f t="shared" si="2"/>
        <v>18</v>
      </c>
      <c r="I5497" s="15">
        <f t="shared" si="3"/>
        <v>1</v>
      </c>
    </row>
    <row r="5498">
      <c r="A5498" s="8" t="str">
        <f>IFERROR(__xludf.DUMMYFUNCTION("IF('(INGESTA)Datos_consumo_datadis'!A5498&lt;&gt;"""",SPLIT('(INGESTA)Datos_consumo_datadis'!A:A,"",""),"""")"),"ES0031408323131005HX0F")</f>
        <v>ES0031408323131005HX0F</v>
      </c>
      <c r="B5498" s="12">
        <f>IFERROR(__xludf.DUMMYFUNCTION("""COMPUTED_VALUE"""),45095.0)</f>
        <v>45095</v>
      </c>
      <c r="C5498" s="13">
        <f>IFERROR(__xludf.DUMMYFUNCTION("""COMPUTED_VALUE"""),0.08333333333333333)</f>
        <v>0.08333333333</v>
      </c>
      <c r="D5498" s="8">
        <f>IFERROR(__xludf.DUMMYFUNCTION("""COMPUTED_VALUE"""),0.343)</f>
        <v>0.343</v>
      </c>
      <c r="E5498" s="8" t="str">
        <f>IFERROR(__xludf.DUMMYFUNCTION("""COMPUTED_VALUE"""),"Real")</f>
        <v>Real</v>
      </c>
      <c r="G5498" s="8">
        <f t="shared" si="1"/>
        <v>6</v>
      </c>
      <c r="H5498" s="14">
        <f t="shared" si="2"/>
        <v>18</v>
      </c>
      <c r="I5498" s="15">
        <f t="shared" si="3"/>
        <v>2</v>
      </c>
    </row>
    <row r="5499">
      <c r="A5499" s="8" t="str">
        <f>IFERROR(__xludf.DUMMYFUNCTION("IF('(INGESTA)Datos_consumo_datadis'!A5499&lt;&gt;"""",SPLIT('(INGESTA)Datos_consumo_datadis'!A:A,"",""),"""")"),"ES0031408323131005HX0F")</f>
        <v>ES0031408323131005HX0F</v>
      </c>
      <c r="B5499" s="12">
        <f>IFERROR(__xludf.DUMMYFUNCTION("""COMPUTED_VALUE"""),45095.0)</f>
        <v>45095</v>
      </c>
      <c r="C5499" s="13">
        <f>IFERROR(__xludf.DUMMYFUNCTION("""COMPUTED_VALUE"""),0.125)</f>
        <v>0.125</v>
      </c>
      <c r="D5499" s="8">
        <f>IFERROR(__xludf.DUMMYFUNCTION("""COMPUTED_VALUE"""),0.03)</f>
        <v>0.03</v>
      </c>
      <c r="E5499" s="8" t="str">
        <f>IFERROR(__xludf.DUMMYFUNCTION("""COMPUTED_VALUE"""),"Real")</f>
        <v>Real</v>
      </c>
      <c r="G5499" s="8">
        <f t="shared" si="1"/>
        <v>6</v>
      </c>
      <c r="H5499" s="14">
        <f t="shared" si="2"/>
        <v>18</v>
      </c>
      <c r="I5499" s="15">
        <f t="shared" si="3"/>
        <v>3</v>
      </c>
    </row>
    <row r="5500">
      <c r="A5500" s="8" t="str">
        <f>IFERROR(__xludf.DUMMYFUNCTION("IF('(INGESTA)Datos_consumo_datadis'!A5500&lt;&gt;"""",SPLIT('(INGESTA)Datos_consumo_datadis'!A:A,"",""),"""")"),"ES0031408323131005HX0F")</f>
        <v>ES0031408323131005HX0F</v>
      </c>
      <c r="B5500" s="12">
        <f>IFERROR(__xludf.DUMMYFUNCTION("""COMPUTED_VALUE"""),45095.0)</f>
        <v>45095</v>
      </c>
      <c r="C5500" s="13">
        <f>IFERROR(__xludf.DUMMYFUNCTION("""COMPUTED_VALUE"""),0.16666666666666666)</f>
        <v>0.1666666667</v>
      </c>
      <c r="D5500" s="8">
        <f>IFERROR(__xludf.DUMMYFUNCTION("""COMPUTED_VALUE"""),0.1)</f>
        <v>0.1</v>
      </c>
      <c r="E5500" s="8" t="str">
        <f>IFERROR(__xludf.DUMMYFUNCTION("""COMPUTED_VALUE"""),"Real")</f>
        <v>Real</v>
      </c>
      <c r="G5500" s="8">
        <f t="shared" si="1"/>
        <v>6</v>
      </c>
      <c r="H5500" s="14">
        <f t="shared" si="2"/>
        <v>18</v>
      </c>
      <c r="I5500" s="15">
        <f t="shared" si="3"/>
        <v>4</v>
      </c>
    </row>
    <row r="5501">
      <c r="A5501" s="8" t="str">
        <f>IFERROR(__xludf.DUMMYFUNCTION("IF('(INGESTA)Datos_consumo_datadis'!A5501&lt;&gt;"""",SPLIT('(INGESTA)Datos_consumo_datadis'!A:A,"",""),"""")"),"ES0031408323131005HX0F")</f>
        <v>ES0031408323131005HX0F</v>
      </c>
      <c r="B5501" s="12">
        <f>IFERROR(__xludf.DUMMYFUNCTION("""COMPUTED_VALUE"""),45095.0)</f>
        <v>45095</v>
      </c>
      <c r="C5501" s="13">
        <f>IFERROR(__xludf.DUMMYFUNCTION("""COMPUTED_VALUE"""),0.20833333333333334)</f>
        <v>0.2083333333</v>
      </c>
      <c r="D5501" s="8">
        <f>IFERROR(__xludf.DUMMYFUNCTION("""COMPUTED_VALUE"""),0.084)</f>
        <v>0.084</v>
      </c>
      <c r="E5501" s="8" t="str">
        <f>IFERROR(__xludf.DUMMYFUNCTION("""COMPUTED_VALUE"""),"Real")</f>
        <v>Real</v>
      </c>
      <c r="G5501" s="8">
        <f t="shared" si="1"/>
        <v>6</v>
      </c>
      <c r="H5501" s="14">
        <f t="shared" si="2"/>
        <v>18</v>
      </c>
      <c r="I5501" s="15">
        <f t="shared" si="3"/>
        <v>5</v>
      </c>
    </row>
    <row r="5502">
      <c r="A5502" s="8" t="str">
        <f>IFERROR(__xludf.DUMMYFUNCTION("IF('(INGESTA)Datos_consumo_datadis'!A5502&lt;&gt;"""",SPLIT('(INGESTA)Datos_consumo_datadis'!A:A,"",""),"""")"),"ES0031408323131005HX0F")</f>
        <v>ES0031408323131005HX0F</v>
      </c>
      <c r="B5502" s="12">
        <f>IFERROR(__xludf.DUMMYFUNCTION("""COMPUTED_VALUE"""),45095.0)</f>
        <v>45095</v>
      </c>
      <c r="C5502" s="13">
        <f>IFERROR(__xludf.DUMMYFUNCTION("""COMPUTED_VALUE"""),0.25)</f>
        <v>0.25</v>
      </c>
      <c r="D5502" s="8">
        <f>IFERROR(__xludf.DUMMYFUNCTION("""COMPUTED_VALUE"""),0.081)</f>
        <v>0.081</v>
      </c>
      <c r="E5502" s="8" t="str">
        <f>IFERROR(__xludf.DUMMYFUNCTION("""COMPUTED_VALUE"""),"Real")</f>
        <v>Real</v>
      </c>
      <c r="G5502" s="8">
        <f t="shared" si="1"/>
        <v>6</v>
      </c>
      <c r="H5502" s="14">
        <f t="shared" si="2"/>
        <v>18</v>
      </c>
      <c r="I5502" s="15">
        <f t="shared" si="3"/>
        <v>6</v>
      </c>
    </row>
    <row r="5503">
      <c r="A5503" s="8" t="str">
        <f>IFERROR(__xludf.DUMMYFUNCTION("IF('(INGESTA)Datos_consumo_datadis'!A5503&lt;&gt;"""",SPLIT('(INGESTA)Datos_consumo_datadis'!A:A,"",""),"""")"),"ES0031408323131005HX0F")</f>
        <v>ES0031408323131005HX0F</v>
      </c>
      <c r="B5503" s="12">
        <f>IFERROR(__xludf.DUMMYFUNCTION("""COMPUTED_VALUE"""),45095.0)</f>
        <v>45095</v>
      </c>
      <c r="C5503" s="13">
        <f>IFERROR(__xludf.DUMMYFUNCTION("""COMPUTED_VALUE"""),0.2916666666666667)</f>
        <v>0.2916666667</v>
      </c>
      <c r="D5503" s="8">
        <f>IFERROR(__xludf.DUMMYFUNCTION("""COMPUTED_VALUE"""),0.016)</f>
        <v>0.016</v>
      </c>
      <c r="E5503" s="8" t="str">
        <f>IFERROR(__xludf.DUMMYFUNCTION("""COMPUTED_VALUE"""),"Real")</f>
        <v>Real</v>
      </c>
      <c r="G5503" s="8">
        <f t="shared" si="1"/>
        <v>6</v>
      </c>
      <c r="H5503" s="14">
        <f t="shared" si="2"/>
        <v>18</v>
      </c>
      <c r="I5503" s="15">
        <f t="shared" si="3"/>
        <v>7</v>
      </c>
    </row>
    <row r="5504">
      <c r="A5504" s="8" t="str">
        <f>IFERROR(__xludf.DUMMYFUNCTION("IF('(INGESTA)Datos_consumo_datadis'!A5504&lt;&gt;"""",SPLIT('(INGESTA)Datos_consumo_datadis'!A:A,"",""),"""")"),"ES0031408323131005HX0F")</f>
        <v>ES0031408323131005HX0F</v>
      </c>
      <c r="B5504" s="12">
        <f>IFERROR(__xludf.DUMMYFUNCTION("""COMPUTED_VALUE"""),45095.0)</f>
        <v>45095</v>
      </c>
      <c r="C5504" s="13">
        <f>IFERROR(__xludf.DUMMYFUNCTION("""COMPUTED_VALUE"""),0.3333333333333333)</f>
        <v>0.3333333333</v>
      </c>
      <c r="D5504" s="8">
        <f>IFERROR(__xludf.DUMMYFUNCTION("""COMPUTED_VALUE"""),0.037)</f>
        <v>0.037</v>
      </c>
      <c r="E5504" s="8" t="str">
        <f>IFERROR(__xludf.DUMMYFUNCTION("""COMPUTED_VALUE"""),"Real")</f>
        <v>Real</v>
      </c>
      <c r="G5504" s="8">
        <f t="shared" si="1"/>
        <v>6</v>
      </c>
      <c r="H5504" s="14">
        <f t="shared" si="2"/>
        <v>18</v>
      </c>
      <c r="I5504" s="15">
        <f t="shared" si="3"/>
        <v>8</v>
      </c>
    </row>
    <row r="5505">
      <c r="A5505" s="8" t="str">
        <f>IFERROR(__xludf.DUMMYFUNCTION("IF('(INGESTA)Datos_consumo_datadis'!A5505&lt;&gt;"""",SPLIT('(INGESTA)Datos_consumo_datadis'!A:A,"",""),"""")"),"ES0031408323131005HX0F")</f>
        <v>ES0031408323131005HX0F</v>
      </c>
      <c r="B5505" s="12">
        <f>IFERROR(__xludf.DUMMYFUNCTION("""COMPUTED_VALUE"""),45095.0)</f>
        <v>45095</v>
      </c>
      <c r="C5505" s="13">
        <f>IFERROR(__xludf.DUMMYFUNCTION("""COMPUTED_VALUE"""),0.375)</f>
        <v>0.375</v>
      </c>
      <c r="D5505" s="8">
        <f>IFERROR(__xludf.DUMMYFUNCTION("""COMPUTED_VALUE"""),0.114)</f>
        <v>0.114</v>
      </c>
      <c r="E5505" s="8" t="str">
        <f>IFERROR(__xludf.DUMMYFUNCTION("""COMPUTED_VALUE"""),"Real")</f>
        <v>Real</v>
      </c>
      <c r="G5505" s="8">
        <f t="shared" si="1"/>
        <v>6</v>
      </c>
      <c r="H5505" s="14">
        <f t="shared" si="2"/>
        <v>18</v>
      </c>
      <c r="I5505" s="15">
        <f t="shared" si="3"/>
        <v>9</v>
      </c>
    </row>
    <row r="5506">
      <c r="A5506" s="8" t="str">
        <f>IFERROR(__xludf.DUMMYFUNCTION("IF('(INGESTA)Datos_consumo_datadis'!A5506&lt;&gt;"""",SPLIT('(INGESTA)Datos_consumo_datadis'!A:A,"",""),"""")"),"ES0031408323131005HX0F")</f>
        <v>ES0031408323131005HX0F</v>
      </c>
      <c r="B5506" s="12">
        <f>IFERROR(__xludf.DUMMYFUNCTION("""COMPUTED_VALUE"""),45095.0)</f>
        <v>45095</v>
      </c>
      <c r="C5506" s="13">
        <f>IFERROR(__xludf.DUMMYFUNCTION("""COMPUTED_VALUE"""),0.4166666666666667)</f>
        <v>0.4166666667</v>
      </c>
      <c r="D5506" s="8">
        <f>IFERROR(__xludf.DUMMYFUNCTION("""COMPUTED_VALUE"""),0.353)</f>
        <v>0.353</v>
      </c>
      <c r="E5506" s="8" t="str">
        <f>IFERROR(__xludf.DUMMYFUNCTION("""COMPUTED_VALUE"""),"Real")</f>
        <v>Real</v>
      </c>
      <c r="G5506" s="8">
        <f t="shared" si="1"/>
        <v>6</v>
      </c>
      <c r="H5506" s="14">
        <f t="shared" si="2"/>
        <v>18</v>
      </c>
      <c r="I5506" s="15">
        <f t="shared" si="3"/>
        <v>10</v>
      </c>
    </row>
    <row r="5507">
      <c r="A5507" s="8" t="str">
        <f>IFERROR(__xludf.DUMMYFUNCTION("IF('(INGESTA)Datos_consumo_datadis'!A5507&lt;&gt;"""",SPLIT('(INGESTA)Datos_consumo_datadis'!A:A,"",""),"""")"),"ES0031408323131005HX0F")</f>
        <v>ES0031408323131005HX0F</v>
      </c>
      <c r="B5507" s="12">
        <f>IFERROR(__xludf.DUMMYFUNCTION("""COMPUTED_VALUE"""),45095.0)</f>
        <v>45095</v>
      </c>
      <c r="C5507" s="13">
        <f>IFERROR(__xludf.DUMMYFUNCTION("""COMPUTED_VALUE"""),0.4583333333333333)</f>
        <v>0.4583333333</v>
      </c>
      <c r="D5507" s="8">
        <f>IFERROR(__xludf.DUMMYFUNCTION("""COMPUTED_VALUE"""),0.041)</f>
        <v>0.041</v>
      </c>
      <c r="E5507" s="8" t="str">
        <f>IFERROR(__xludf.DUMMYFUNCTION("""COMPUTED_VALUE"""),"Real")</f>
        <v>Real</v>
      </c>
      <c r="G5507" s="8">
        <f t="shared" si="1"/>
        <v>6</v>
      </c>
      <c r="H5507" s="14">
        <f t="shared" si="2"/>
        <v>18</v>
      </c>
      <c r="I5507" s="15">
        <f t="shared" si="3"/>
        <v>11</v>
      </c>
    </row>
    <row r="5508">
      <c r="A5508" s="8" t="str">
        <f>IFERROR(__xludf.DUMMYFUNCTION("IF('(INGESTA)Datos_consumo_datadis'!A5508&lt;&gt;"""",SPLIT('(INGESTA)Datos_consumo_datadis'!A:A,"",""),"""")"),"ES0031408323131005HX0F")</f>
        <v>ES0031408323131005HX0F</v>
      </c>
      <c r="B5508" s="12">
        <f>IFERROR(__xludf.DUMMYFUNCTION("""COMPUTED_VALUE"""),45095.0)</f>
        <v>45095</v>
      </c>
      <c r="C5508" s="13">
        <f>IFERROR(__xludf.DUMMYFUNCTION("""COMPUTED_VALUE"""),0.5)</f>
        <v>0.5</v>
      </c>
      <c r="D5508" s="8">
        <f>IFERROR(__xludf.DUMMYFUNCTION("""COMPUTED_VALUE"""),0.01)</f>
        <v>0.01</v>
      </c>
      <c r="E5508" s="8" t="str">
        <f>IFERROR(__xludf.DUMMYFUNCTION("""COMPUTED_VALUE"""),"Real")</f>
        <v>Real</v>
      </c>
      <c r="G5508" s="8">
        <f t="shared" si="1"/>
        <v>6</v>
      </c>
      <c r="H5508" s="14">
        <f t="shared" si="2"/>
        <v>18</v>
      </c>
      <c r="I5508" s="15">
        <f t="shared" si="3"/>
        <v>12</v>
      </c>
    </row>
    <row r="5509">
      <c r="A5509" s="8" t="str">
        <f>IFERROR(__xludf.DUMMYFUNCTION("IF('(INGESTA)Datos_consumo_datadis'!A5509&lt;&gt;"""",SPLIT('(INGESTA)Datos_consumo_datadis'!A:A,"",""),"""")"),"ES0031408323131005HX0F")</f>
        <v>ES0031408323131005HX0F</v>
      </c>
      <c r="B5509" s="12">
        <f>IFERROR(__xludf.DUMMYFUNCTION("""COMPUTED_VALUE"""),45095.0)</f>
        <v>45095</v>
      </c>
      <c r="C5509" s="13">
        <f>IFERROR(__xludf.DUMMYFUNCTION("""COMPUTED_VALUE"""),0.5416666666666666)</f>
        <v>0.5416666667</v>
      </c>
      <c r="D5509" s="8">
        <f>IFERROR(__xludf.DUMMYFUNCTION("""COMPUTED_VALUE"""),0.091)</f>
        <v>0.091</v>
      </c>
      <c r="E5509" s="8" t="str">
        <f>IFERROR(__xludf.DUMMYFUNCTION("""COMPUTED_VALUE"""),"Real")</f>
        <v>Real</v>
      </c>
      <c r="G5509" s="8">
        <f t="shared" si="1"/>
        <v>6</v>
      </c>
      <c r="H5509" s="14">
        <f t="shared" si="2"/>
        <v>18</v>
      </c>
      <c r="I5509" s="15">
        <f t="shared" si="3"/>
        <v>13</v>
      </c>
    </row>
    <row r="5510">
      <c r="A5510" s="8" t="str">
        <f>IFERROR(__xludf.DUMMYFUNCTION("IF('(INGESTA)Datos_consumo_datadis'!A5510&lt;&gt;"""",SPLIT('(INGESTA)Datos_consumo_datadis'!A:A,"",""),"""")"),"ES0031408323131005HX0F")</f>
        <v>ES0031408323131005HX0F</v>
      </c>
      <c r="B5510" s="12">
        <f>IFERROR(__xludf.DUMMYFUNCTION("""COMPUTED_VALUE"""),45095.0)</f>
        <v>45095</v>
      </c>
      <c r="C5510" s="13">
        <f>IFERROR(__xludf.DUMMYFUNCTION("""COMPUTED_VALUE"""),0.5833333333333334)</f>
        <v>0.5833333333</v>
      </c>
      <c r="D5510" s="8">
        <f>IFERROR(__xludf.DUMMYFUNCTION("""COMPUTED_VALUE"""),0.084)</f>
        <v>0.084</v>
      </c>
      <c r="E5510" s="8" t="str">
        <f>IFERROR(__xludf.DUMMYFUNCTION("""COMPUTED_VALUE"""),"Real")</f>
        <v>Real</v>
      </c>
      <c r="G5510" s="8">
        <f t="shared" si="1"/>
        <v>6</v>
      </c>
      <c r="H5510" s="14">
        <f t="shared" si="2"/>
        <v>18</v>
      </c>
      <c r="I5510" s="15">
        <f t="shared" si="3"/>
        <v>14</v>
      </c>
    </row>
    <row r="5511">
      <c r="A5511" s="8" t="str">
        <f>IFERROR(__xludf.DUMMYFUNCTION("IF('(INGESTA)Datos_consumo_datadis'!A5511&lt;&gt;"""",SPLIT('(INGESTA)Datos_consumo_datadis'!A:A,"",""),"""")"),"ES0031408323131005HX0F")</f>
        <v>ES0031408323131005HX0F</v>
      </c>
      <c r="B5511" s="12">
        <f>IFERROR(__xludf.DUMMYFUNCTION("""COMPUTED_VALUE"""),45095.0)</f>
        <v>45095</v>
      </c>
      <c r="C5511" s="13">
        <f>IFERROR(__xludf.DUMMYFUNCTION("""COMPUTED_VALUE"""),0.625)</f>
        <v>0.625</v>
      </c>
      <c r="D5511" s="8">
        <f>IFERROR(__xludf.DUMMYFUNCTION("""COMPUTED_VALUE"""),0.078)</f>
        <v>0.078</v>
      </c>
      <c r="E5511" s="8" t="str">
        <f>IFERROR(__xludf.DUMMYFUNCTION("""COMPUTED_VALUE"""),"Real")</f>
        <v>Real</v>
      </c>
      <c r="G5511" s="8">
        <f t="shared" si="1"/>
        <v>6</v>
      </c>
      <c r="H5511" s="14">
        <f t="shared" si="2"/>
        <v>18</v>
      </c>
      <c r="I5511" s="15">
        <f t="shared" si="3"/>
        <v>15</v>
      </c>
    </row>
    <row r="5512">
      <c r="A5512" s="8" t="str">
        <f>IFERROR(__xludf.DUMMYFUNCTION("IF('(INGESTA)Datos_consumo_datadis'!A5512&lt;&gt;"""",SPLIT('(INGESTA)Datos_consumo_datadis'!A:A,"",""),"""")"),"ES0031408323131005HX0F")</f>
        <v>ES0031408323131005HX0F</v>
      </c>
      <c r="B5512" s="12">
        <f>IFERROR(__xludf.DUMMYFUNCTION("""COMPUTED_VALUE"""),45095.0)</f>
        <v>45095</v>
      </c>
      <c r="C5512" s="13">
        <f>IFERROR(__xludf.DUMMYFUNCTION("""COMPUTED_VALUE"""),0.6666666666666666)</f>
        <v>0.6666666667</v>
      </c>
      <c r="D5512" s="8">
        <f>IFERROR(__xludf.DUMMYFUNCTION("""COMPUTED_VALUE"""),0.016)</f>
        <v>0.016</v>
      </c>
      <c r="E5512" s="8" t="str">
        <f>IFERROR(__xludf.DUMMYFUNCTION("""COMPUTED_VALUE"""),"Real")</f>
        <v>Real</v>
      </c>
      <c r="G5512" s="8">
        <f t="shared" si="1"/>
        <v>6</v>
      </c>
      <c r="H5512" s="14">
        <f t="shared" si="2"/>
        <v>18</v>
      </c>
      <c r="I5512" s="15">
        <f t="shared" si="3"/>
        <v>16</v>
      </c>
    </row>
    <row r="5513">
      <c r="A5513" s="8" t="str">
        <f>IFERROR(__xludf.DUMMYFUNCTION("IF('(INGESTA)Datos_consumo_datadis'!A5513&lt;&gt;"""",SPLIT('(INGESTA)Datos_consumo_datadis'!A:A,"",""),"""")"),"ES0031408323131005HX0F")</f>
        <v>ES0031408323131005HX0F</v>
      </c>
      <c r="B5513" s="12">
        <f>IFERROR(__xludf.DUMMYFUNCTION("""COMPUTED_VALUE"""),45095.0)</f>
        <v>45095</v>
      </c>
      <c r="C5513" s="13">
        <f>IFERROR(__xludf.DUMMYFUNCTION("""COMPUTED_VALUE"""),0.7083333333333334)</f>
        <v>0.7083333333</v>
      </c>
      <c r="D5513" s="8">
        <f>IFERROR(__xludf.DUMMYFUNCTION("""COMPUTED_VALUE"""),0.137)</f>
        <v>0.137</v>
      </c>
      <c r="E5513" s="8" t="str">
        <f>IFERROR(__xludf.DUMMYFUNCTION("""COMPUTED_VALUE"""),"Real")</f>
        <v>Real</v>
      </c>
      <c r="G5513" s="8">
        <f t="shared" si="1"/>
        <v>6</v>
      </c>
      <c r="H5513" s="14">
        <f t="shared" si="2"/>
        <v>18</v>
      </c>
      <c r="I5513" s="15">
        <f t="shared" si="3"/>
        <v>17</v>
      </c>
    </row>
    <row r="5514">
      <c r="A5514" s="8" t="str">
        <f>IFERROR(__xludf.DUMMYFUNCTION("IF('(INGESTA)Datos_consumo_datadis'!A5514&lt;&gt;"""",SPLIT('(INGESTA)Datos_consumo_datadis'!A:A,"",""),"""")"),"ES0031408323131005HX0F")</f>
        <v>ES0031408323131005HX0F</v>
      </c>
      <c r="B5514" s="12">
        <f>IFERROR(__xludf.DUMMYFUNCTION("""COMPUTED_VALUE"""),45095.0)</f>
        <v>45095</v>
      </c>
      <c r="C5514" s="13">
        <f>IFERROR(__xludf.DUMMYFUNCTION("""COMPUTED_VALUE"""),0.75)</f>
        <v>0.75</v>
      </c>
      <c r="D5514" s="8">
        <f>IFERROR(__xludf.DUMMYFUNCTION("""COMPUTED_VALUE"""),0.323)</f>
        <v>0.323</v>
      </c>
      <c r="E5514" s="8" t="str">
        <f>IFERROR(__xludf.DUMMYFUNCTION("""COMPUTED_VALUE"""),"Real")</f>
        <v>Real</v>
      </c>
      <c r="G5514" s="8">
        <f t="shared" si="1"/>
        <v>6</v>
      </c>
      <c r="H5514" s="14">
        <f t="shared" si="2"/>
        <v>18</v>
      </c>
      <c r="I5514" s="15">
        <f t="shared" si="3"/>
        <v>18</v>
      </c>
    </row>
    <row r="5515">
      <c r="A5515" s="8" t="str">
        <f>IFERROR(__xludf.DUMMYFUNCTION("IF('(INGESTA)Datos_consumo_datadis'!A5515&lt;&gt;"""",SPLIT('(INGESTA)Datos_consumo_datadis'!A:A,"",""),"""")"),"ES0031408323131005HX0F")</f>
        <v>ES0031408323131005HX0F</v>
      </c>
      <c r="B5515" s="12">
        <f>IFERROR(__xludf.DUMMYFUNCTION("""COMPUTED_VALUE"""),45095.0)</f>
        <v>45095</v>
      </c>
      <c r="C5515" s="13">
        <f>IFERROR(__xludf.DUMMYFUNCTION("""COMPUTED_VALUE"""),0.7916666666666666)</f>
        <v>0.7916666667</v>
      </c>
      <c r="D5515" s="8">
        <f>IFERROR(__xludf.DUMMYFUNCTION("""COMPUTED_VALUE"""),0.075)</f>
        <v>0.075</v>
      </c>
      <c r="E5515" s="8" t="str">
        <f>IFERROR(__xludf.DUMMYFUNCTION("""COMPUTED_VALUE"""),"Real")</f>
        <v>Real</v>
      </c>
      <c r="G5515" s="8">
        <f t="shared" si="1"/>
        <v>6</v>
      </c>
      <c r="H5515" s="14">
        <f t="shared" si="2"/>
        <v>18</v>
      </c>
      <c r="I5515" s="15">
        <f t="shared" si="3"/>
        <v>19</v>
      </c>
    </row>
    <row r="5516">
      <c r="A5516" s="8" t="str">
        <f>IFERROR(__xludf.DUMMYFUNCTION("IF('(INGESTA)Datos_consumo_datadis'!A5516&lt;&gt;"""",SPLIT('(INGESTA)Datos_consumo_datadis'!A:A,"",""),"""")"),"ES0031408323131005HX0F")</f>
        <v>ES0031408323131005HX0F</v>
      </c>
      <c r="B5516" s="12">
        <f>IFERROR(__xludf.DUMMYFUNCTION("""COMPUTED_VALUE"""),45095.0)</f>
        <v>45095</v>
      </c>
      <c r="C5516" s="13">
        <f>IFERROR(__xludf.DUMMYFUNCTION("""COMPUTED_VALUE"""),0.8333333333333334)</f>
        <v>0.8333333333</v>
      </c>
      <c r="D5516" s="8">
        <f>IFERROR(__xludf.DUMMYFUNCTION("""COMPUTED_VALUE"""),0.06)</f>
        <v>0.06</v>
      </c>
      <c r="E5516" s="8" t="str">
        <f>IFERROR(__xludf.DUMMYFUNCTION("""COMPUTED_VALUE"""),"Real")</f>
        <v>Real</v>
      </c>
      <c r="G5516" s="8">
        <f t="shared" si="1"/>
        <v>6</v>
      </c>
      <c r="H5516" s="14">
        <f t="shared" si="2"/>
        <v>18</v>
      </c>
      <c r="I5516" s="15">
        <f t="shared" si="3"/>
        <v>20</v>
      </c>
    </row>
    <row r="5517">
      <c r="A5517" s="8" t="str">
        <f>IFERROR(__xludf.DUMMYFUNCTION("IF('(INGESTA)Datos_consumo_datadis'!A5517&lt;&gt;"""",SPLIT('(INGESTA)Datos_consumo_datadis'!A:A,"",""),"""")"),"ES0031408323131005HX0F")</f>
        <v>ES0031408323131005HX0F</v>
      </c>
      <c r="B5517" s="12">
        <f>IFERROR(__xludf.DUMMYFUNCTION("""COMPUTED_VALUE"""),45095.0)</f>
        <v>45095</v>
      </c>
      <c r="C5517" s="13">
        <f>IFERROR(__xludf.DUMMYFUNCTION("""COMPUTED_VALUE"""),0.875)</f>
        <v>0.875</v>
      </c>
      <c r="D5517" s="8">
        <f>IFERROR(__xludf.DUMMYFUNCTION("""COMPUTED_VALUE"""),0.01)</f>
        <v>0.01</v>
      </c>
      <c r="E5517" s="8" t="str">
        <f>IFERROR(__xludf.DUMMYFUNCTION("""COMPUTED_VALUE"""),"Real")</f>
        <v>Real</v>
      </c>
      <c r="G5517" s="8">
        <f t="shared" si="1"/>
        <v>6</v>
      </c>
      <c r="H5517" s="14">
        <f t="shared" si="2"/>
        <v>18</v>
      </c>
      <c r="I5517" s="15">
        <f t="shared" si="3"/>
        <v>21</v>
      </c>
    </row>
    <row r="5518">
      <c r="A5518" s="8" t="str">
        <f>IFERROR(__xludf.DUMMYFUNCTION("IF('(INGESTA)Datos_consumo_datadis'!A5518&lt;&gt;"""",SPLIT('(INGESTA)Datos_consumo_datadis'!A:A,"",""),"""")"),"ES0031408323131005HX0F")</f>
        <v>ES0031408323131005HX0F</v>
      </c>
      <c r="B5518" s="12">
        <f>IFERROR(__xludf.DUMMYFUNCTION("""COMPUTED_VALUE"""),45095.0)</f>
        <v>45095</v>
      </c>
      <c r="C5518" s="13">
        <f>IFERROR(__xludf.DUMMYFUNCTION("""COMPUTED_VALUE"""),0.9166666666666666)</f>
        <v>0.9166666667</v>
      </c>
      <c r="D5518" s="8">
        <f>IFERROR(__xludf.DUMMYFUNCTION("""COMPUTED_VALUE"""),0.095)</f>
        <v>0.095</v>
      </c>
      <c r="E5518" s="8" t="str">
        <f>IFERROR(__xludf.DUMMYFUNCTION("""COMPUTED_VALUE"""),"Real")</f>
        <v>Real</v>
      </c>
      <c r="G5518" s="8">
        <f t="shared" si="1"/>
        <v>6</v>
      </c>
      <c r="H5518" s="14">
        <f t="shared" si="2"/>
        <v>18</v>
      </c>
      <c r="I5518" s="15">
        <f t="shared" si="3"/>
        <v>22</v>
      </c>
    </row>
    <row r="5519">
      <c r="A5519" s="8" t="str">
        <f>IFERROR(__xludf.DUMMYFUNCTION("IF('(INGESTA)Datos_consumo_datadis'!A5519&lt;&gt;"""",SPLIT('(INGESTA)Datos_consumo_datadis'!A:A,"",""),"""")"),"ES0031408323131005HX0F")</f>
        <v>ES0031408323131005HX0F</v>
      </c>
      <c r="B5519" s="12">
        <f>IFERROR(__xludf.DUMMYFUNCTION("""COMPUTED_VALUE"""),45095.0)</f>
        <v>45095</v>
      </c>
      <c r="C5519" s="13">
        <f>IFERROR(__xludf.DUMMYFUNCTION("""COMPUTED_VALUE"""),0.9583333333333334)</f>
        <v>0.9583333333</v>
      </c>
      <c r="D5519" s="8">
        <f>IFERROR(__xludf.DUMMYFUNCTION("""COMPUTED_VALUE"""),0.088)</f>
        <v>0.088</v>
      </c>
      <c r="E5519" s="8" t="str">
        <f>IFERROR(__xludf.DUMMYFUNCTION("""COMPUTED_VALUE"""),"Real")</f>
        <v>Real</v>
      </c>
      <c r="G5519" s="8">
        <f t="shared" si="1"/>
        <v>6</v>
      </c>
      <c r="H5519" s="14">
        <f t="shared" si="2"/>
        <v>18</v>
      </c>
      <c r="I5519" s="15">
        <f t="shared" si="3"/>
        <v>23</v>
      </c>
    </row>
    <row r="5520">
      <c r="A5520" s="8" t="str">
        <f>IFERROR(__xludf.DUMMYFUNCTION("IF('(INGESTA)Datos_consumo_datadis'!A5520&lt;&gt;"""",SPLIT('(INGESTA)Datos_consumo_datadis'!A:A,"",""),"""")"),"ES0031408323131005HX0F")</f>
        <v>ES0031408323131005HX0F</v>
      </c>
      <c r="B5520" s="12">
        <f>IFERROR(__xludf.DUMMYFUNCTION("""COMPUTED_VALUE"""),45095.0)</f>
        <v>45095</v>
      </c>
      <c r="C5520" s="16">
        <f>IFERROR(__xludf.DUMMYFUNCTION("""COMPUTED_VALUE"""),1.0)</f>
        <v>1</v>
      </c>
      <c r="D5520" s="8">
        <f>IFERROR(__xludf.DUMMYFUNCTION("""COMPUTED_VALUE"""),0.077)</f>
        <v>0.077</v>
      </c>
      <c r="E5520" s="8" t="str">
        <f>IFERROR(__xludf.DUMMYFUNCTION("""COMPUTED_VALUE"""),"Real")</f>
        <v>Real</v>
      </c>
      <c r="G5520" s="8">
        <f t="shared" si="1"/>
        <v>6</v>
      </c>
      <c r="H5520" s="14">
        <f t="shared" si="2"/>
        <v>18</v>
      </c>
      <c r="I5520" s="15">
        <f t="shared" si="3"/>
        <v>0</v>
      </c>
    </row>
    <row r="5521">
      <c r="A5521" s="8" t="str">
        <f>IFERROR(__xludf.DUMMYFUNCTION("IF('(INGESTA)Datos_consumo_datadis'!A5521&lt;&gt;"""",SPLIT('(INGESTA)Datos_consumo_datadis'!A:A,"",""),"""")"),"ES0031408323131005HX0F")</f>
        <v>ES0031408323131005HX0F</v>
      </c>
      <c r="B5521" s="12">
        <f>IFERROR(__xludf.DUMMYFUNCTION("""COMPUTED_VALUE"""),45096.0)</f>
        <v>45096</v>
      </c>
      <c r="C5521" s="13">
        <f>IFERROR(__xludf.DUMMYFUNCTION("""COMPUTED_VALUE"""),0.041666666666666664)</f>
        <v>0.04166666667</v>
      </c>
      <c r="D5521" s="8">
        <f>IFERROR(__xludf.DUMMYFUNCTION("""COMPUTED_VALUE"""),0.017)</f>
        <v>0.017</v>
      </c>
      <c r="E5521" s="8" t="str">
        <f>IFERROR(__xludf.DUMMYFUNCTION("""COMPUTED_VALUE"""),"Real")</f>
        <v>Real</v>
      </c>
      <c r="G5521" s="8">
        <f t="shared" si="1"/>
        <v>6</v>
      </c>
      <c r="H5521" s="14">
        <f t="shared" si="2"/>
        <v>19</v>
      </c>
      <c r="I5521" s="15">
        <f t="shared" si="3"/>
        <v>1</v>
      </c>
    </row>
    <row r="5522">
      <c r="A5522" s="8" t="str">
        <f>IFERROR(__xludf.DUMMYFUNCTION("IF('(INGESTA)Datos_consumo_datadis'!A5522&lt;&gt;"""",SPLIT('(INGESTA)Datos_consumo_datadis'!A:A,"",""),"""")"),"ES0031408323131005HX0F")</f>
        <v>ES0031408323131005HX0F</v>
      </c>
      <c r="B5522" s="12">
        <f>IFERROR(__xludf.DUMMYFUNCTION("""COMPUTED_VALUE"""),45096.0)</f>
        <v>45096</v>
      </c>
      <c r="C5522" s="13">
        <f>IFERROR(__xludf.DUMMYFUNCTION("""COMPUTED_VALUE"""),0.08333333333333333)</f>
        <v>0.08333333333</v>
      </c>
      <c r="D5522" s="8">
        <f>IFERROR(__xludf.DUMMYFUNCTION("""COMPUTED_VALUE"""),0.324)</f>
        <v>0.324</v>
      </c>
      <c r="E5522" s="8" t="str">
        <f>IFERROR(__xludf.DUMMYFUNCTION("""COMPUTED_VALUE"""),"Real")</f>
        <v>Real</v>
      </c>
      <c r="G5522" s="8">
        <f t="shared" si="1"/>
        <v>6</v>
      </c>
      <c r="H5522" s="14">
        <f t="shared" si="2"/>
        <v>19</v>
      </c>
      <c r="I5522" s="15">
        <f t="shared" si="3"/>
        <v>2</v>
      </c>
    </row>
    <row r="5523">
      <c r="A5523" s="8" t="str">
        <f>IFERROR(__xludf.DUMMYFUNCTION("IF('(INGESTA)Datos_consumo_datadis'!A5523&lt;&gt;"""",SPLIT('(INGESTA)Datos_consumo_datadis'!A:A,"",""),"""")"),"ES0031408323131005HX0F")</f>
        <v>ES0031408323131005HX0F</v>
      </c>
      <c r="B5523" s="12">
        <f>IFERROR(__xludf.DUMMYFUNCTION("""COMPUTED_VALUE"""),45096.0)</f>
        <v>45096</v>
      </c>
      <c r="C5523" s="13">
        <f>IFERROR(__xludf.DUMMYFUNCTION("""COMPUTED_VALUE"""),0.125)</f>
        <v>0.125</v>
      </c>
      <c r="D5523" s="8">
        <f>IFERROR(__xludf.DUMMYFUNCTION("""COMPUTED_VALUE"""),0.135)</f>
        <v>0.135</v>
      </c>
      <c r="E5523" s="8" t="str">
        <f>IFERROR(__xludf.DUMMYFUNCTION("""COMPUTED_VALUE"""),"Real")</f>
        <v>Real</v>
      </c>
      <c r="G5523" s="8">
        <f t="shared" si="1"/>
        <v>6</v>
      </c>
      <c r="H5523" s="14">
        <f t="shared" si="2"/>
        <v>19</v>
      </c>
      <c r="I5523" s="15">
        <f t="shared" si="3"/>
        <v>3</v>
      </c>
    </row>
    <row r="5524">
      <c r="A5524" s="8" t="str">
        <f>IFERROR(__xludf.DUMMYFUNCTION("IF('(INGESTA)Datos_consumo_datadis'!A5524&lt;&gt;"""",SPLIT('(INGESTA)Datos_consumo_datadis'!A:A,"",""),"""")"),"ES0031408323131005HX0F")</f>
        <v>ES0031408323131005HX0F</v>
      </c>
      <c r="B5524" s="12">
        <f>IFERROR(__xludf.DUMMYFUNCTION("""COMPUTED_VALUE"""),45096.0)</f>
        <v>45096</v>
      </c>
      <c r="C5524" s="13">
        <f>IFERROR(__xludf.DUMMYFUNCTION("""COMPUTED_VALUE"""),0.16666666666666666)</f>
        <v>0.1666666667</v>
      </c>
      <c r="D5524" s="8">
        <f>IFERROR(__xludf.DUMMYFUNCTION("""COMPUTED_VALUE"""),0.083)</f>
        <v>0.083</v>
      </c>
      <c r="E5524" s="8" t="str">
        <f>IFERROR(__xludf.DUMMYFUNCTION("""COMPUTED_VALUE"""),"Real")</f>
        <v>Real</v>
      </c>
      <c r="G5524" s="8">
        <f t="shared" si="1"/>
        <v>6</v>
      </c>
      <c r="H5524" s="14">
        <f t="shared" si="2"/>
        <v>19</v>
      </c>
      <c r="I5524" s="15">
        <f t="shared" si="3"/>
        <v>4</v>
      </c>
    </row>
    <row r="5525">
      <c r="A5525" s="8" t="str">
        <f>IFERROR(__xludf.DUMMYFUNCTION("IF('(INGESTA)Datos_consumo_datadis'!A5525&lt;&gt;"""",SPLIT('(INGESTA)Datos_consumo_datadis'!A:A,"",""),"""")"),"ES0031408323131005HX0F")</f>
        <v>ES0031408323131005HX0F</v>
      </c>
      <c r="B5525" s="12">
        <f>IFERROR(__xludf.DUMMYFUNCTION("""COMPUTED_VALUE"""),45096.0)</f>
        <v>45096</v>
      </c>
      <c r="C5525" s="13">
        <f>IFERROR(__xludf.DUMMYFUNCTION("""COMPUTED_VALUE"""),0.20833333333333334)</f>
        <v>0.2083333333</v>
      </c>
      <c r="D5525" s="8">
        <f>IFERROR(__xludf.DUMMYFUNCTION("""COMPUTED_VALUE"""),0.045)</f>
        <v>0.045</v>
      </c>
      <c r="E5525" s="8" t="str">
        <f>IFERROR(__xludf.DUMMYFUNCTION("""COMPUTED_VALUE"""),"Real")</f>
        <v>Real</v>
      </c>
      <c r="G5525" s="8">
        <f t="shared" si="1"/>
        <v>6</v>
      </c>
      <c r="H5525" s="14">
        <f t="shared" si="2"/>
        <v>19</v>
      </c>
      <c r="I5525" s="15">
        <f t="shared" si="3"/>
        <v>5</v>
      </c>
    </row>
    <row r="5526">
      <c r="A5526" s="8" t="str">
        <f>IFERROR(__xludf.DUMMYFUNCTION("IF('(INGESTA)Datos_consumo_datadis'!A5526&lt;&gt;"""",SPLIT('(INGESTA)Datos_consumo_datadis'!A:A,"",""),"""")"),"ES0031408323131005HX0F")</f>
        <v>ES0031408323131005HX0F</v>
      </c>
      <c r="B5526" s="12">
        <f>IFERROR(__xludf.DUMMYFUNCTION("""COMPUTED_VALUE"""),45096.0)</f>
        <v>45096</v>
      </c>
      <c r="C5526" s="13">
        <f>IFERROR(__xludf.DUMMYFUNCTION("""COMPUTED_VALUE"""),0.25)</f>
        <v>0.25</v>
      </c>
      <c r="D5526" s="8">
        <f>IFERROR(__xludf.DUMMYFUNCTION("""COMPUTED_VALUE"""),0.01)</f>
        <v>0.01</v>
      </c>
      <c r="E5526" s="8" t="str">
        <f>IFERROR(__xludf.DUMMYFUNCTION("""COMPUTED_VALUE"""),"Real")</f>
        <v>Real</v>
      </c>
      <c r="G5526" s="8">
        <f t="shared" si="1"/>
        <v>6</v>
      </c>
      <c r="H5526" s="14">
        <f t="shared" si="2"/>
        <v>19</v>
      </c>
      <c r="I5526" s="15">
        <f t="shared" si="3"/>
        <v>6</v>
      </c>
    </row>
    <row r="5527">
      <c r="A5527" s="8" t="str">
        <f>IFERROR(__xludf.DUMMYFUNCTION("IF('(INGESTA)Datos_consumo_datadis'!A5527&lt;&gt;"""",SPLIT('(INGESTA)Datos_consumo_datadis'!A:A,"",""),"""")"),"ES0031408323131005HX0F")</f>
        <v>ES0031408323131005HX0F</v>
      </c>
      <c r="B5527" s="12">
        <f>IFERROR(__xludf.DUMMYFUNCTION("""COMPUTED_VALUE"""),45096.0)</f>
        <v>45096</v>
      </c>
      <c r="C5527" s="13">
        <f>IFERROR(__xludf.DUMMYFUNCTION("""COMPUTED_VALUE"""),0.2916666666666667)</f>
        <v>0.2916666667</v>
      </c>
      <c r="D5527" s="8">
        <f>IFERROR(__xludf.DUMMYFUNCTION("""COMPUTED_VALUE"""),0.083)</f>
        <v>0.083</v>
      </c>
      <c r="E5527" s="8" t="str">
        <f>IFERROR(__xludf.DUMMYFUNCTION("""COMPUTED_VALUE"""),"Real")</f>
        <v>Real</v>
      </c>
      <c r="G5527" s="8">
        <f t="shared" si="1"/>
        <v>6</v>
      </c>
      <c r="H5527" s="14">
        <f t="shared" si="2"/>
        <v>19</v>
      </c>
      <c r="I5527" s="15">
        <f t="shared" si="3"/>
        <v>7</v>
      </c>
    </row>
    <row r="5528">
      <c r="A5528" s="8" t="str">
        <f>IFERROR(__xludf.DUMMYFUNCTION("IF('(INGESTA)Datos_consumo_datadis'!A5528&lt;&gt;"""",SPLIT('(INGESTA)Datos_consumo_datadis'!A:A,"",""),"""")"),"ES0031408323131005HX0F")</f>
        <v>ES0031408323131005HX0F</v>
      </c>
      <c r="B5528" s="12">
        <f>IFERROR(__xludf.DUMMYFUNCTION("""COMPUTED_VALUE"""),45096.0)</f>
        <v>45096</v>
      </c>
      <c r="C5528" s="13">
        <f>IFERROR(__xludf.DUMMYFUNCTION("""COMPUTED_VALUE"""),0.3333333333333333)</f>
        <v>0.3333333333</v>
      </c>
      <c r="D5528" s="8">
        <f>IFERROR(__xludf.DUMMYFUNCTION("""COMPUTED_VALUE"""),0.088)</f>
        <v>0.088</v>
      </c>
      <c r="E5528" s="8" t="str">
        <f>IFERROR(__xludf.DUMMYFUNCTION("""COMPUTED_VALUE"""),"Real")</f>
        <v>Real</v>
      </c>
      <c r="G5528" s="8">
        <f t="shared" si="1"/>
        <v>6</v>
      </c>
      <c r="H5528" s="14">
        <f t="shared" si="2"/>
        <v>19</v>
      </c>
      <c r="I5528" s="15">
        <f t="shared" si="3"/>
        <v>8</v>
      </c>
    </row>
    <row r="5529">
      <c r="A5529" s="8" t="str">
        <f>IFERROR(__xludf.DUMMYFUNCTION("IF('(INGESTA)Datos_consumo_datadis'!A5529&lt;&gt;"""",SPLIT('(INGESTA)Datos_consumo_datadis'!A:A,"",""),"""")"),"ES0031408323131005HX0F")</f>
        <v>ES0031408323131005HX0F</v>
      </c>
      <c r="B5529" s="12">
        <f>IFERROR(__xludf.DUMMYFUNCTION("""COMPUTED_VALUE"""),45096.0)</f>
        <v>45096</v>
      </c>
      <c r="C5529" s="13">
        <f>IFERROR(__xludf.DUMMYFUNCTION("""COMPUTED_VALUE"""),0.375)</f>
        <v>0.375</v>
      </c>
      <c r="D5529" s="8">
        <f>IFERROR(__xludf.DUMMYFUNCTION("""COMPUTED_VALUE"""),0.073)</f>
        <v>0.073</v>
      </c>
      <c r="E5529" s="8" t="str">
        <f>IFERROR(__xludf.DUMMYFUNCTION("""COMPUTED_VALUE"""),"Real")</f>
        <v>Real</v>
      </c>
      <c r="G5529" s="8">
        <f t="shared" si="1"/>
        <v>6</v>
      </c>
      <c r="H5529" s="14">
        <f t="shared" si="2"/>
        <v>19</v>
      </c>
      <c r="I5529" s="15">
        <f t="shared" si="3"/>
        <v>9</v>
      </c>
    </row>
    <row r="5530">
      <c r="A5530" s="8" t="str">
        <f>IFERROR(__xludf.DUMMYFUNCTION("IF('(INGESTA)Datos_consumo_datadis'!A5530&lt;&gt;"""",SPLIT('(INGESTA)Datos_consumo_datadis'!A:A,"",""),"""")"),"ES0031408323131005HX0F")</f>
        <v>ES0031408323131005HX0F</v>
      </c>
      <c r="B5530" s="12">
        <f>IFERROR(__xludf.DUMMYFUNCTION("""COMPUTED_VALUE"""),45096.0)</f>
        <v>45096</v>
      </c>
      <c r="C5530" s="13">
        <f>IFERROR(__xludf.DUMMYFUNCTION("""COMPUTED_VALUE"""),0.4166666666666667)</f>
        <v>0.4166666667</v>
      </c>
      <c r="D5530" s="8">
        <f>IFERROR(__xludf.DUMMYFUNCTION("""COMPUTED_VALUE"""),0.311)</f>
        <v>0.311</v>
      </c>
      <c r="E5530" s="8" t="str">
        <f>IFERROR(__xludf.DUMMYFUNCTION("""COMPUTED_VALUE"""),"Real")</f>
        <v>Real</v>
      </c>
      <c r="G5530" s="8">
        <f t="shared" si="1"/>
        <v>6</v>
      </c>
      <c r="H5530" s="14">
        <f t="shared" si="2"/>
        <v>19</v>
      </c>
      <c r="I5530" s="15">
        <f t="shared" si="3"/>
        <v>10</v>
      </c>
    </row>
    <row r="5531">
      <c r="A5531" s="8" t="str">
        <f>IFERROR(__xludf.DUMMYFUNCTION("IF('(INGESTA)Datos_consumo_datadis'!A5531&lt;&gt;"""",SPLIT('(INGESTA)Datos_consumo_datadis'!A:A,"",""),"""")"),"ES0031408323131005HX0F")</f>
        <v>ES0031408323131005HX0F</v>
      </c>
      <c r="B5531" s="12">
        <f>IFERROR(__xludf.DUMMYFUNCTION("""COMPUTED_VALUE"""),45096.0)</f>
        <v>45096</v>
      </c>
      <c r="C5531" s="13">
        <f>IFERROR(__xludf.DUMMYFUNCTION("""COMPUTED_VALUE"""),0.4583333333333333)</f>
        <v>0.4583333333</v>
      </c>
      <c r="D5531" s="8">
        <f>IFERROR(__xludf.DUMMYFUNCTION("""COMPUTED_VALUE"""),0.031)</f>
        <v>0.031</v>
      </c>
      <c r="E5531" s="8" t="str">
        <f>IFERROR(__xludf.DUMMYFUNCTION("""COMPUTED_VALUE"""),"Real")</f>
        <v>Real</v>
      </c>
      <c r="G5531" s="8">
        <f t="shared" si="1"/>
        <v>6</v>
      </c>
      <c r="H5531" s="14">
        <f t="shared" si="2"/>
        <v>19</v>
      </c>
      <c r="I5531" s="15">
        <f t="shared" si="3"/>
        <v>11</v>
      </c>
    </row>
    <row r="5532">
      <c r="A5532" s="8" t="str">
        <f>IFERROR(__xludf.DUMMYFUNCTION("IF('(INGESTA)Datos_consumo_datadis'!A5532&lt;&gt;"""",SPLIT('(INGESTA)Datos_consumo_datadis'!A:A,"",""),"""")"),"ES0031408323131005HX0F")</f>
        <v>ES0031408323131005HX0F</v>
      </c>
      <c r="B5532" s="12">
        <f>IFERROR(__xludf.DUMMYFUNCTION("""COMPUTED_VALUE"""),45096.0)</f>
        <v>45096</v>
      </c>
      <c r="C5532" s="13">
        <f>IFERROR(__xludf.DUMMYFUNCTION("""COMPUTED_VALUE"""),0.5)</f>
        <v>0.5</v>
      </c>
      <c r="D5532" s="8">
        <f>IFERROR(__xludf.DUMMYFUNCTION("""COMPUTED_VALUE"""),0.114)</f>
        <v>0.114</v>
      </c>
      <c r="E5532" s="8" t="str">
        <f>IFERROR(__xludf.DUMMYFUNCTION("""COMPUTED_VALUE"""),"Real")</f>
        <v>Real</v>
      </c>
      <c r="G5532" s="8">
        <f t="shared" si="1"/>
        <v>6</v>
      </c>
      <c r="H5532" s="14">
        <f t="shared" si="2"/>
        <v>19</v>
      </c>
      <c r="I5532" s="15">
        <f t="shared" si="3"/>
        <v>12</v>
      </c>
    </row>
    <row r="5533">
      <c r="A5533" s="8" t="str">
        <f>IFERROR(__xludf.DUMMYFUNCTION("IF('(INGESTA)Datos_consumo_datadis'!A5533&lt;&gt;"""",SPLIT('(INGESTA)Datos_consumo_datadis'!A:A,"",""),"""")"),"ES0031408323131005HX0F")</f>
        <v>ES0031408323131005HX0F</v>
      </c>
      <c r="B5533" s="12">
        <f>IFERROR(__xludf.DUMMYFUNCTION("""COMPUTED_VALUE"""),45096.0)</f>
        <v>45096</v>
      </c>
      <c r="C5533" s="13">
        <f>IFERROR(__xludf.DUMMYFUNCTION("""COMPUTED_VALUE"""),0.5416666666666666)</f>
        <v>0.5416666667</v>
      </c>
      <c r="D5533" s="8">
        <f>IFERROR(__xludf.DUMMYFUNCTION("""COMPUTED_VALUE"""),0.075)</f>
        <v>0.075</v>
      </c>
      <c r="E5533" s="8" t="str">
        <f>IFERROR(__xludf.DUMMYFUNCTION("""COMPUTED_VALUE"""),"Real")</f>
        <v>Real</v>
      </c>
      <c r="G5533" s="8">
        <f t="shared" si="1"/>
        <v>6</v>
      </c>
      <c r="H5533" s="14">
        <f t="shared" si="2"/>
        <v>19</v>
      </c>
      <c r="I5533" s="15">
        <f t="shared" si="3"/>
        <v>13</v>
      </c>
    </row>
    <row r="5534">
      <c r="A5534" s="8" t="str">
        <f>IFERROR(__xludf.DUMMYFUNCTION("IF('(INGESTA)Datos_consumo_datadis'!A5534&lt;&gt;"""",SPLIT('(INGESTA)Datos_consumo_datadis'!A:A,"",""),"""")"),"ES0031408323131005HX0F")</f>
        <v>ES0031408323131005HX0F</v>
      </c>
      <c r="B5534" s="12">
        <f>IFERROR(__xludf.DUMMYFUNCTION("""COMPUTED_VALUE"""),45096.0)</f>
        <v>45096</v>
      </c>
      <c r="C5534" s="13">
        <f>IFERROR(__xludf.DUMMYFUNCTION("""COMPUTED_VALUE"""),0.5833333333333334)</f>
        <v>0.5833333333</v>
      </c>
      <c r="D5534" s="8">
        <f>IFERROR(__xludf.DUMMYFUNCTION("""COMPUTED_VALUE"""),0.042)</f>
        <v>0.042</v>
      </c>
      <c r="E5534" s="8" t="str">
        <f>IFERROR(__xludf.DUMMYFUNCTION("""COMPUTED_VALUE"""),"Real")</f>
        <v>Real</v>
      </c>
      <c r="G5534" s="8">
        <f t="shared" si="1"/>
        <v>6</v>
      </c>
      <c r="H5534" s="14">
        <f t="shared" si="2"/>
        <v>19</v>
      </c>
      <c r="I5534" s="15">
        <f t="shared" si="3"/>
        <v>14</v>
      </c>
    </row>
    <row r="5535">
      <c r="A5535" s="8" t="str">
        <f>IFERROR(__xludf.DUMMYFUNCTION("IF('(INGESTA)Datos_consumo_datadis'!A5535&lt;&gt;"""",SPLIT('(INGESTA)Datos_consumo_datadis'!A:A,"",""),"""")"),"ES0031408323131005HX0F")</f>
        <v>ES0031408323131005HX0F</v>
      </c>
      <c r="B5535" s="12">
        <f>IFERROR(__xludf.DUMMYFUNCTION("""COMPUTED_VALUE"""),45096.0)</f>
        <v>45096</v>
      </c>
      <c r="C5535" s="13">
        <f>IFERROR(__xludf.DUMMYFUNCTION("""COMPUTED_VALUE"""),0.625)</f>
        <v>0.625</v>
      </c>
      <c r="D5535" s="8">
        <f>IFERROR(__xludf.DUMMYFUNCTION("""COMPUTED_VALUE"""),0.01)</f>
        <v>0.01</v>
      </c>
      <c r="E5535" s="8" t="str">
        <f>IFERROR(__xludf.DUMMYFUNCTION("""COMPUTED_VALUE"""),"Real")</f>
        <v>Real</v>
      </c>
      <c r="G5535" s="8">
        <f t="shared" si="1"/>
        <v>6</v>
      </c>
      <c r="H5535" s="14">
        <f t="shared" si="2"/>
        <v>19</v>
      </c>
      <c r="I5535" s="15">
        <f t="shared" si="3"/>
        <v>15</v>
      </c>
    </row>
    <row r="5536">
      <c r="A5536" s="8" t="str">
        <f>IFERROR(__xludf.DUMMYFUNCTION("IF('(INGESTA)Datos_consumo_datadis'!A5536&lt;&gt;"""",SPLIT('(INGESTA)Datos_consumo_datadis'!A:A,"",""),"""")"),"ES0031408323131005HX0F")</f>
        <v>ES0031408323131005HX0F</v>
      </c>
      <c r="B5536" s="12">
        <f>IFERROR(__xludf.DUMMYFUNCTION("""COMPUTED_VALUE"""),45096.0)</f>
        <v>45096</v>
      </c>
      <c r="C5536" s="13">
        <f>IFERROR(__xludf.DUMMYFUNCTION("""COMPUTED_VALUE"""),0.6666666666666666)</f>
        <v>0.6666666667</v>
      </c>
      <c r="D5536" s="8">
        <f>IFERROR(__xludf.DUMMYFUNCTION("""COMPUTED_VALUE"""),0.088)</f>
        <v>0.088</v>
      </c>
      <c r="E5536" s="8" t="str">
        <f>IFERROR(__xludf.DUMMYFUNCTION("""COMPUTED_VALUE"""),"Real")</f>
        <v>Real</v>
      </c>
      <c r="G5536" s="8">
        <f t="shared" si="1"/>
        <v>6</v>
      </c>
      <c r="H5536" s="14">
        <f t="shared" si="2"/>
        <v>19</v>
      </c>
      <c r="I5536" s="15">
        <f t="shared" si="3"/>
        <v>16</v>
      </c>
    </row>
    <row r="5537">
      <c r="A5537" s="8" t="str">
        <f>IFERROR(__xludf.DUMMYFUNCTION("IF('(INGESTA)Datos_consumo_datadis'!A5537&lt;&gt;"""",SPLIT('(INGESTA)Datos_consumo_datadis'!A:A,"",""),"""")"),"ES0031408323131005HX0F")</f>
        <v>ES0031408323131005HX0F</v>
      </c>
      <c r="B5537" s="12">
        <f>IFERROR(__xludf.DUMMYFUNCTION("""COMPUTED_VALUE"""),45096.0)</f>
        <v>45096</v>
      </c>
      <c r="C5537" s="13">
        <f>IFERROR(__xludf.DUMMYFUNCTION("""COMPUTED_VALUE"""),0.7083333333333334)</f>
        <v>0.7083333333</v>
      </c>
      <c r="D5537" s="8">
        <f>IFERROR(__xludf.DUMMYFUNCTION("""COMPUTED_VALUE"""),0.189)</f>
        <v>0.189</v>
      </c>
      <c r="E5537" s="8" t="str">
        <f>IFERROR(__xludf.DUMMYFUNCTION("""COMPUTED_VALUE"""),"Real")</f>
        <v>Real</v>
      </c>
      <c r="G5537" s="8">
        <f t="shared" si="1"/>
        <v>6</v>
      </c>
      <c r="H5537" s="14">
        <f t="shared" si="2"/>
        <v>19</v>
      </c>
      <c r="I5537" s="15">
        <f t="shared" si="3"/>
        <v>17</v>
      </c>
    </row>
    <row r="5538">
      <c r="A5538" s="8" t="str">
        <f>IFERROR(__xludf.DUMMYFUNCTION("IF('(INGESTA)Datos_consumo_datadis'!A5538&lt;&gt;"""",SPLIT('(INGESTA)Datos_consumo_datadis'!A:A,"",""),"""")"),"ES0031408323131005HX0F")</f>
        <v>ES0031408323131005HX0F</v>
      </c>
      <c r="B5538" s="12">
        <f>IFERROR(__xludf.DUMMYFUNCTION("""COMPUTED_VALUE"""),45096.0)</f>
        <v>45096</v>
      </c>
      <c r="C5538" s="13">
        <f>IFERROR(__xludf.DUMMYFUNCTION("""COMPUTED_VALUE"""),0.75)</f>
        <v>0.75</v>
      </c>
      <c r="D5538" s="8">
        <f>IFERROR(__xludf.DUMMYFUNCTION("""COMPUTED_VALUE"""),0.273)</f>
        <v>0.273</v>
      </c>
      <c r="E5538" s="8" t="str">
        <f>IFERROR(__xludf.DUMMYFUNCTION("""COMPUTED_VALUE"""),"Real")</f>
        <v>Real</v>
      </c>
      <c r="G5538" s="8">
        <f t="shared" si="1"/>
        <v>6</v>
      </c>
      <c r="H5538" s="14">
        <f t="shared" si="2"/>
        <v>19</v>
      </c>
      <c r="I5538" s="15">
        <f t="shared" si="3"/>
        <v>18</v>
      </c>
    </row>
    <row r="5539">
      <c r="A5539" s="8" t="str">
        <f>IFERROR(__xludf.DUMMYFUNCTION("IF('(INGESTA)Datos_consumo_datadis'!A5539&lt;&gt;"""",SPLIT('(INGESTA)Datos_consumo_datadis'!A:A,"",""),"""")"),"ES0031408323131005HX0F")</f>
        <v>ES0031408323131005HX0F</v>
      </c>
      <c r="B5539" s="12">
        <f>IFERROR(__xludf.DUMMYFUNCTION("""COMPUTED_VALUE"""),45096.0)</f>
        <v>45096</v>
      </c>
      <c r="C5539" s="13">
        <f>IFERROR(__xludf.DUMMYFUNCTION("""COMPUTED_VALUE"""),0.7916666666666666)</f>
        <v>0.7916666667</v>
      </c>
      <c r="D5539" s="8">
        <f>IFERROR(__xludf.DUMMYFUNCTION("""COMPUTED_VALUE"""),0.018)</f>
        <v>0.018</v>
      </c>
      <c r="E5539" s="8" t="str">
        <f>IFERROR(__xludf.DUMMYFUNCTION("""COMPUTED_VALUE"""),"Real")</f>
        <v>Real</v>
      </c>
      <c r="G5539" s="8">
        <f t="shared" si="1"/>
        <v>6</v>
      </c>
      <c r="H5539" s="14">
        <f t="shared" si="2"/>
        <v>19</v>
      </c>
      <c r="I5539" s="15">
        <f t="shared" si="3"/>
        <v>19</v>
      </c>
    </row>
    <row r="5540">
      <c r="A5540" s="8" t="str">
        <f>IFERROR(__xludf.DUMMYFUNCTION("IF('(INGESTA)Datos_consumo_datadis'!A5540&lt;&gt;"""",SPLIT('(INGESTA)Datos_consumo_datadis'!A:A,"",""),"""")"),"ES0031408323131005HX0F")</f>
        <v>ES0031408323131005HX0F</v>
      </c>
      <c r="B5540" s="12">
        <f>IFERROR(__xludf.DUMMYFUNCTION("""COMPUTED_VALUE"""),45096.0)</f>
        <v>45096</v>
      </c>
      <c r="C5540" s="13">
        <f>IFERROR(__xludf.DUMMYFUNCTION("""COMPUTED_VALUE"""),0.8333333333333334)</f>
        <v>0.8333333333</v>
      </c>
      <c r="D5540" s="8">
        <f>IFERROR(__xludf.DUMMYFUNCTION("""COMPUTED_VALUE"""),0.032)</f>
        <v>0.032</v>
      </c>
      <c r="E5540" s="8" t="str">
        <f>IFERROR(__xludf.DUMMYFUNCTION("""COMPUTED_VALUE"""),"Real")</f>
        <v>Real</v>
      </c>
      <c r="G5540" s="8">
        <f t="shared" si="1"/>
        <v>6</v>
      </c>
      <c r="H5540" s="14">
        <f t="shared" si="2"/>
        <v>19</v>
      </c>
      <c r="I5540" s="15">
        <f t="shared" si="3"/>
        <v>20</v>
      </c>
    </row>
    <row r="5541">
      <c r="A5541" s="8" t="str">
        <f>IFERROR(__xludf.DUMMYFUNCTION("IF('(INGESTA)Datos_consumo_datadis'!A5541&lt;&gt;"""",SPLIT('(INGESTA)Datos_consumo_datadis'!A:A,"",""),"""")"),"ES0031408323131005HX0F")</f>
        <v>ES0031408323131005HX0F</v>
      </c>
      <c r="B5541" s="12">
        <f>IFERROR(__xludf.DUMMYFUNCTION("""COMPUTED_VALUE"""),45096.0)</f>
        <v>45096</v>
      </c>
      <c r="C5541" s="13">
        <f>IFERROR(__xludf.DUMMYFUNCTION("""COMPUTED_VALUE"""),0.875)</f>
        <v>0.875</v>
      </c>
      <c r="D5541" s="8">
        <f>IFERROR(__xludf.DUMMYFUNCTION("""COMPUTED_VALUE"""),0.114)</f>
        <v>0.114</v>
      </c>
      <c r="E5541" s="8" t="str">
        <f>IFERROR(__xludf.DUMMYFUNCTION("""COMPUTED_VALUE"""),"Real")</f>
        <v>Real</v>
      </c>
      <c r="G5541" s="8">
        <f t="shared" si="1"/>
        <v>6</v>
      </c>
      <c r="H5541" s="14">
        <f t="shared" si="2"/>
        <v>19</v>
      </c>
      <c r="I5541" s="15">
        <f t="shared" si="3"/>
        <v>21</v>
      </c>
    </row>
    <row r="5542">
      <c r="A5542" s="8" t="str">
        <f>IFERROR(__xludf.DUMMYFUNCTION("IF('(INGESTA)Datos_consumo_datadis'!A5542&lt;&gt;"""",SPLIT('(INGESTA)Datos_consumo_datadis'!A:A,"",""),"""")"),"ES0031408323131005HX0F")</f>
        <v>ES0031408323131005HX0F</v>
      </c>
      <c r="B5542" s="12">
        <f>IFERROR(__xludf.DUMMYFUNCTION("""COMPUTED_VALUE"""),45096.0)</f>
        <v>45096</v>
      </c>
      <c r="C5542" s="13">
        <f>IFERROR(__xludf.DUMMYFUNCTION("""COMPUTED_VALUE"""),0.9166666666666666)</f>
        <v>0.9166666667</v>
      </c>
      <c r="D5542" s="8">
        <f>IFERROR(__xludf.DUMMYFUNCTION("""COMPUTED_VALUE"""),0.074)</f>
        <v>0.074</v>
      </c>
      <c r="E5542" s="8" t="str">
        <f>IFERROR(__xludf.DUMMYFUNCTION("""COMPUTED_VALUE"""),"Real")</f>
        <v>Real</v>
      </c>
      <c r="G5542" s="8">
        <f t="shared" si="1"/>
        <v>6</v>
      </c>
      <c r="H5542" s="14">
        <f t="shared" si="2"/>
        <v>19</v>
      </c>
      <c r="I5542" s="15">
        <f t="shared" si="3"/>
        <v>22</v>
      </c>
    </row>
    <row r="5543">
      <c r="A5543" s="8" t="str">
        <f>IFERROR(__xludf.DUMMYFUNCTION("IF('(INGESTA)Datos_consumo_datadis'!A5543&lt;&gt;"""",SPLIT('(INGESTA)Datos_consumo_datadis'!A:A,"",""),"""")"),"ES0031408323131005HX0F")</f>
        <v>ES0031408323131005HX0F</v>
      </c>
      <c r="B5543" s="12">
        <f>IFERROR(__xludf.DUMMYFUNCTION("""COMPUTED_VALUE"""),45096.0)</f>
        <v>45096</v>
      </c>
      <c r="C5543" s="13">
        <f>IFERROR(__xludf.DUMMYFUNCTION("""COMPUTED_VALUE"""),0.9583333333333334)</f>
        <v>0.9583333333</v>
      </c>
      <c r="D5543" s="8">
        <f>IFERROR(__xludf.DUMMYFUNCTION("""COMPUTED_VALUE"""),0.052)</f>
        <v>0.052</v>
      </c>
      <c r="E5543" s="8" t="str">
        <f>IFERROR(__xludf.DUMMYFUNCTION("""COMPUTED_VALUE"""),"Real")</f>
        <v>Real</v>
      </c>
      <c r="G5543" s="8">
        <f t="shared" si="1"/>
        <v>6</v>
      </c>
      <c r="H5543" s="14">
        <f t="shared" si="2"/>
        <v>19</v>
      </c>
      <c r="I5543" s="15">
        <f t="shared" si="3"/>
        <v>23</v>
      </c>
    </row>
    <row r="5544">
      <c r="A5544" s="8" t="str">
        <f>IFERROR(__xludf.DUMMYFUNCTION("IF('(INGESTA)Datos_consumo_datadis'!A5544&lt;&gt;"""",SPLIT('(INGESTA)Datos_consumo_datadis'!A:A,"",""),"""")"),"ES0031408323131005HX0F")</f>
        <v>ES0031408323131005HX0F</v>
      </c>
      <c r="B5544" s="12">
        <f>IFERROR(__xludf.DUMMYFUNCTION("""COMPUTED_VALUE"""),45096.0)</f>
        <v>45096</v>
      </c>
      <c r="C5544" s="16">
        <f>IFERROR(__xludf.DUMMYFUNCTION("""COMPUTED_VALUE"""),1.0)</f>
        <v>1</v>
      </c>
      <c r="D5544" s="8">
        <f>IFERROR(__xludf.DUMMYFUNCTION("""COMPUTED_VALUE"""),0.01)</f>
        <v>0.01</v>
      </c>
      <c r="E5544" s="8" t="str">
        <f>IFERROR(__xludf.DUMMYFUNCTION("""COMPUTED_VALUE"""),"Real")</f>
        <v>Real</v>
      </c>
      <c r="G5544" s="8">
        <f t="shared" si="1"/>
        <v>6</v>
      </c>
      <c r="H5544" s="14">
        <f t="shared" si="2"/>
        <v>19</v>
      </c>
      <c r="I5544" s="15">
        <f t="shared" si="3"/>
        <v>0</v>
      </c>
    </row>
    <row r="5545">
      <c r="A5545" s="8" t="str">
        <f>IFERROR(__xludf.DUMMYFUNCTION("IF('(INGESTA)Datos_consumo_datadis'!A5545&lt;&gt;"""",SPLIT('(INGESTA)Datos_consumo_datadis'!A:A,"",""),"""")"),"ES0031408323131005HX0F")</f>
        <v>ES0031408323131005HX0F</v>
      </c>
      <c r="B5545" s="12">
        <f>IFERROR(__xludf.DUMMYFUNCTION("""COMPUTED_VALUE"""),45097.0)</f>
        <v>45097</v>
      </c>
      <c r="C5545" s="13">
        <f>IFERROR(__xludf.DUMMYFUNCTION("""COMPUTED_VALUE"""),0.041666666666666664)</f>
        <v>0.04166666667</v>
      </c>
      <c r="D5545" s="8">
        <f>IFERROR(__xludf.DUMMYFUNCTION("""COMPUTED_VALUE"""),0.076)</f>
        <v>0.076</v>
      </c>
      <c r="E5545" s="8" t="str">
        <f>IFERROR(__xludf.DUMMYFUNCTION("""COMPUTED_VALUE"""),"Real")</f>
        <v>Real</v>
      </c>
      <c r="G5545" s="8">
        <f t="shared" si="1"/>
        <v>6</v>
      </c>
      <c r="H5545" s="14">
        <f t="shared" si="2"/>
        <v>20</v>
      </c>
      <c r="I5545" s="15">
        <f t="shared" si="3"/>
        <v>1</v>
      </c>
    </row>
    <row r="5546">
      <c r="A5546" s="8" t="str">
        <f>IFERROR(__xludf.DUMMYFUNCTION("IF('(INGESTA)Datos_consumo_datadis'!A5546&lt;&gt;"""",SPLIT('(INGESTA)Datos_consumo_datadis'!A:A,"",""),"""")"),"ES0031408323131005HX0F")</f>
        <v>ES0031408323131005HX0F</v>
      </c>
      <c r="B5546" s="12">
        <f>IFERROR(__xludf.DUMMYFUNCTION("""COMPUTED_VALUE"""),45097.0)</f>
        <v>45097</v>
      </c>
      <c r="C5546" s="13">
        <f>IFERROR(__xludf.DUMMYFUNCTION("""COMPUTED_VALUE"""),0.08333333333333333)</f>
        <v>0.08333333333</v>
      </c>
      <c r="D5546" s="8">
        <f>IFERROR(__xludf.DUMMYFUNCTION("""COMPUTED_VALUE"""),0.398)</f>
        <v>0.398</v>
      </c>
      <c r="E5546" s="8" t="str">
        <f>IFERROR(__xludf.DUMMYFUNCTION("""COMPUTED_VALUE"""),"Real")</f>
        <v>Real</v>
      </c>
      <c r="G5546" s="8">
        <f t="shared" si="1"/>
        <v>6</v>
      </c>
      <c r="H5546" s="14">
        <f t="shared" si="2"/>
        <v>20</v>
      </c>
      <c r="I5546" s="15">
        <f t="shared" si="3"/>
        <v>2</v>
      </c>
    </row>
    <row r="5547">
      <c r="A5547" s="8" t="str">
        <f>IFERROR(__xludf.DUMMYFUNCTION("IF('(INGESTA)Datos_consumo_datadis'!A5547&lt;&gt;"""",SPLIT('(INGESTA)Datos_consumo_datadis'!A:A,"",""),"""")"),"ES0031408323131005HX0F")</f>
        <v>ES0031408323131005HX0F</v>
      </c>
      <c r="B5547" s="12">
        <f>IFERROR(__xludf.DUMMYFUNCTION("""COMPUTED_VALUE"""),45097.0)</f>
        <v>45097</v>
      </c>
      <c r="C5547" s="13">
        <f>IFERROR(__xludf.DUMMYFUNCTION("""COMPUTED_VALUE"""),0.125)</f>
        <v>0.125</v>
      </c>
      <c r="D5547" s="8">
        <f>IFERROR(__xludf.DUMMYFUNCTION("""COMPUTED_VALUE"""),0.084)</f>
        <v>0.084</v>
      </c>
      <c r="E5547" s="8" t="str">
        <f>IFERROR(__xludf.DUMMYFUNCTION("""COMPUTED_VALUE"""),"Real")</f>
        <v>Real</v>
      </c>
      <c r="G5547" s="8">
        <f t="shared" si="1"/>
        <v>6</v>
      </c>
      <c r="H5547" s="14">
        <f t="shared" si="2"/>
        <v>20</v>
      </c>
      <c r="I5547" s="15">
        <f t="shared" si="3"/>
        <v>3</v>
      </c>
    </row>
    <row r="5548">
      <c r="A5548" s="8" t="str">
        <f>IFERROR(__xludf.DUMMYFUNCTION("IF('(INGESTA)Datos_consumo_datadis'!A5548&lt;&gt;"""",SPLIT('(INGESTA)Datos_consumo_datadis'!A:A,"",""),"""")"),"ES0031408323131005HX0F")</f>
        <v>ES0031408323131005HX0F</v>
      </c>
      <c r="B5548" s="12">
        <f>IFERROR(__xludf.DUMMYFUNCTION("""COMPUTED_VALUE"""),45097.0)</f>
        <v>45097</v>
      </c>
      <c r="C5548" s="13">
        <f>IFERROR(__xludf.DUMMYFUNCTION("""COMPUTED_VALUE"""),0.16666666666666666)</f>
        <v>0.1666666667</v>
      </c>
      <c r="D5548" s="8">
        <f>IFERROR(__xludf.DUMMYFUNCTION("""COMPUTED_VALUE"""),0.039)</f>
        <v>0.039</v>
      </c>
      <c r="E5548" s="8" t="str">
        <f>IFERROR(__xludf.DUMMYFUNCTION("""COMPUTED_VALUE"""),"Real")</f>
        <v>Real</v>
      </c>
      <c r="G5548" s="8">
        <f t="shared" si="1"/>
        <v>6</v>
      </c>
      <c r="H5548" s="14">
        <f t="shared" si="2"/>
        <v>20</v>
      </c>
      <c r="I5548" s="15">
        <f t="shared" si="3"/>
        <v>4</v>
      </c>
    </row>
    <row r="5549">
      <c r="A5549" s="8" t="str">
        <f>IFERROR(__xludf.DUMMYFUNCTION("IF('(INGESTA)Datos_consumo_datadis'!A5549&lt;&gt;"""",SPLIT('(INGESTA)Datos_consumo_datadis'!A:A,"",""),"""")"),"ES0031408323131005HX0F")</f>
        <v>ES0031408323131005HX0F</v>
      </c>
      <c r="B5549" s="12">
        <f>IFERROR(__xludf.DUMMYFUNCTION("""COMPUTED_VALUE"""),45097.0)</f>
        <v>45097</v>
      </c>
      <c r="C5549" s="13">
        <f>IFERROR(__xludf.DUMMYFUNCTION("""COMPUTED_VALUE"""),0.20833333333333334)</f>
        <v>0.2083333333</v>
      </c>
      <c r="D5549" s="8">
        <f>IFERROR(__xludf.DUMMYFUNCTION("""COMPUTED_VALUE"""),0.017)</f>
        <v>0.017</v>
      </c>
      <c r="E5549" s="8" t="str">
        <f>IFERROR(__xludf.DUMMYFUNCTION("""COMPUTED_VALUE"""),"Real")</f>
        <v>Real</v>
      </c>
      <c r="G5549" s="8">
        <f t="shared" si="1"/>
        <v>6</v>
      </c>
      <c r="H5549" s="14">
        <f t="shared" si="2"/>
        <v>20</v>
      </c>
      <c r="I5549" s="15">
        <f t="shared" si="3"/>
        <v>5</v>
      </c>
    </row>
    <row r="5550">
      <c r="A5550" s="8" t="str">
        <f>IFERROR(__xludf.DUMMYFUNCTION("IF('(INGESTA)Datos_consumo_datadis'!A5550&lt;&gt;"""",SPLIT('(INGESTA)Datos_consumo_datadis'!A:A,"",""),"""")"),"ES0031408323131005HX0F")</f>
        <v>ES0031408323131005HX0F</v>
      </c>
      <c r="B5550" s="12">
        <f>IFERROR(__xludf.DUMMYFUNCTION("""COMPUTED_VALUE"""),45097.0)</f>
        <v>45097</v>
      </c>
      <c r="C5550" s="13">
        <f>IFERROR(__xludf.DUMMYFUNCTION("""COMPUTED_VALUE"""),0.25)</f>
        <v>0.25</v>
      </c>
      <c r="D5550" s="8">
        <f>IFERROR(__xludf.DUMMYFUNCTION("""COMPUTED_VALUE"""),0.116)</f>
        <v>0.116</v>
      </c>
      <c r="E5550" s="8" t="str">
        <f>IFERROR(__xludf.DUMMYFUNCTION("""COMPUTED_VALUE"""),"Real")</f>
        <v>Real</v>
      </c>
      <c r="G5550" s="8">
        <f t="shared" si="1"/>
        <v>6</v>
      </c>
      <c r="H5550" s="14">
        <f t="shared" si="2"/>
        <v>20</v>
      </c>
      <c r="I5550" s="15">
        <f t="shared" si="3"/>
        <v>6</v>
      </c>
    </row>
    <row r="5551">
      <c r="A5551" s="8" t="str">
        <f>IFERROR(__xludf.DUMMYFUNCTION("IF('(INGESTA)Datos_consumo_datadis'!A5551&lt;&gt;"""",SPLIT('(INGESTA)Datos_consumo_datadis'!A:A,"",""),"""")"),"ES0031408323131005HX0F")</f>
        <v>ES0031408323131005HX0F</v>
      </c>
      <c r="B5551" s="12">
        <f>IFERROR(__xludf.DUMMYFUNCTION("""COMPUTED_VALUE"""),45097.0)</f>
        <v>45097</v>
      </c>
      <c r="C5551" s="13">
        <f>IFERROR(__xludf.DUMMYFUNCTION("""COMPUTED_VALUE"""),0.2916666666666667)</f>
        <v>0.2916666667</v>
      </c>
      <c r="D5551" s="8">
        <f>IFERROR(__xludf.DUMMYFUNCTION("""COMPUTED_VALUE"""),0.074)</f>
        <v>0.074</v>
      </c>
      <c r="E5551" s="8" t="str">
        <f>IFERROR(__xludf.DUMMYFUNCTION("""COMPUTED_VALUE"""),"Real")</f>
        <v>Real</v>
      </c>
      <c r="G5551" s="8">
        <f t="shared" si="1"/>
        <v>6</v>
      </c>
      <c r="H5551" s="14">
        <f t="shared" si="2"/>
        <v>20</v>
      </c>
      <c r="I5551" s="15">
        <f t="shared" si="3"/>
        <v>7</v>
      </c>
    </row>
    <row r="5552">
      <c r="A5552" s="8" t="str">
        <f>IFERROR(__xludf.DUMMYFUNCTION("IF('(INGESTA)Datos_consumo_datadis'!A5552&lt;&gt;"""",SPLIT('(INGESTA)Datos_consumo_datadis'!A:A,"",""),"""")"),"ES0031408323131005HX0F")</f>
        <v>ES0031408323131005HX0F</v>
      </c>
      <c r="B5552" s="12">
        <f>IFERROR(__xludf.DUMMYFUNCTION("""COMPUTED_VALUE"""),45097.0)</f>
        <v>45097</v>
      </c>
      <c r="C5552" s="13">
        <f>IFERROR(__xludf.DUMMYFUNCTION("""COMPUTED_VALUE"""),0.3333333333333333)</f>
        <v>0.3333333333</v>
      </c>
      <c r="D5552" s="8">
        <f>IFERROR(__xludf.DUMMYFUNCTION("""COMPUTED_VALUE"""),0.063)</f>
        <v>0.063</v>
      </c>
      <c r="E5552" s="8" t="str">
        <f>IFERROR(__xludf.DUMMYFUNCTION("""COMPUTED_VALUE"""),"Real")</f>
        <v>Real</v>
      </c>
      <c r="G5552" s="8">
        <f t="shared" si="1"/>
        <v>6</v>
      </c>
      <c r="H5552" s="14">
        <f t="shared" si="2"/>
        <v>20</v>
      </c>
      <c r="I5552" s="15">
        <f t="shared" si="3"/>
        <v>8</v>
      </c>
    </row>
    <row r="5553">
      <c r="A5553" s="8" t="str">
        <f>IFERROR(__xludf.DUMMYFUNCTION("IF('(INGESTA)Datos_consumo_datadis'!A5553&lt;&gt;"""",SPLIT('(INGESTA)Datos_consumo_datadis'!A:A,"",""),"""")"),"ES0031408323131005HX0F")</f>
        <v>ES0031408323131005HX0F</v>
      </c>
      <c r="B5553" s="12">
        <f>IFERROR(__xludf.DUMMYFUNCTION("""COMPUTED_VALUE"""),45097.0)</f>
        <v>45097</v>
      </c>
      <c r="C5553" s="13">
        <f>IFERROR(__xludf.DUMMYFUNCTION("""COMPUTED_VALUE"""),0.375)</f>
        <v>0.375</v>
      </c>
      <c r="D5553" s="8">
        <f>IFERROR(__xludf.DUMMYFUNCTION("""COMPUTED_VALUE"""),0.01)</f>
        <v>0.01</v>
      </c>
      <c r="E5553" s="8" t="str">
        <f>IFERROR(__xludf.DUMMYFUNCTION("""COMPUTED_VALUE"""),"Real")</f>
        <v>Real</v>
      </c>
      <c r="G5553" s="8">
        <f t="shared" si="1"/>
        <v>6</v>
      </c>
      <c r="H5553" s="14">
        <f t="shared" si="2"/>
        <v>20</v>
      </c>
      <c r="I5553" s="15">
        <f t="shared" si="3"/>
        <v>9</v>
      </c>
    </row>
    <row r="5554">
      <c r="A5554" s="8" t="str">
        <f>IFERROR(__xludf.DUMMYFUNCTION("IF('(INGESTA)Datos_consumo_datadis'!A5554&lt;&gt;"""",SPLIT('(INGESTA)Datos_consumo_datadis'!A:A,"",""),"""")"),"ES0031408323131005HX0F")</f>
        <v>ES0031408323131005HX0F</v>
      </c>
      <c r="B5554" s="12">
        <f>IFERROR(__xludf.DUMMYFUNCTION("""COMPUTED_VALUE"""),45097.0)</f>
        <v>45097</v>
      </c>
      <c r="C5554" s="13">
        <f>IFERROR(__xludf.DUMMYFUNCTION("""COMPUTED_VALUE"""),0.4166666666666667)</f>
        <v>0.4166666667</v>
      </c>
      <c r="D5554" s="8">
        <f>IFERROR(__xludf.DUMMYFUNCTION("""COMPUTED_VALUE"""),0.349)</f>
        <v>0.349</v>
      </c>
      <c r="E5554" s="8" t="str">
        <f>IFERROR(__xludf.DUMMYFUNCTION("""COMPUTED_VALUE"""),"Real")</f>
        <v>Real</v>
      </c>
      <c r="G5554" s="8">
        <f t="shared" si="1"/>
        <v>6</v>
      </c>
      <c r="H5554" s="14">
        <f t="shared" si="2"/>
        <v>20</v>
      </c>
      <c r="I5554" s="15">
        <f t="shared" si="3"/>
        <v>10</v>
      </c>
    </row>
    <row r="5555">
      <c r="A5555" s="8" t="str">
        <f>IFERROR(__xludf.DUMMYFUNCTION("IF('(INGESTA)Datos_consumo_datadis'!A5555&lt;&gt;"""",SPLIT('(INGESTA)Datos_consumo_datadis'!A:A,"",""),"""")"),"ES0031408323131005HX0F")</f>
        <v>ES0031408323131005HX0F</v>
      </c>
      <c r="B5555" s="12">
        <f>IFERROR(__xludf.DUMMYFUNCTION("""COMPUTED_VALUE"""),45097.0)</f>
        <v>45097</v>
      </c>
      <c r="C5555" s="13">
        <f>IFERROR(__xludf.DUMMYFUNCTION("""COMPUTED_VALUE"""),0.4583333333333333)</f>
        <v>0.4583333333</v>
      </c>
      <c r="D5555" s="8">
        <f>IFERROR(__xludf.DUMMYFUNCTION("""COMPUTED_VALUE"""),0.109)</f>
        <v>0.109</v>
      </c>
      <c r="E5555" s="8" t="str">
        <f>IFERROR(__xludf.DUMMYFUNCTION("""COMPUTED_VALUE"""),"Real")</f>
        <v>Real</v>
      </c>
      <c r="G5555" s="8">
        <f t="shared" si="1"/>
        <v>6</v>
      </c>
      <c r="H5555" s="14">
        <f t="shared" si="2"/>
        <v>20</v>
      </c>
      <c r="I5555" s="15">
        <f t="shared" si="3"/>
        <v>11</v>
      </c>
    </row>
    <row r="5556">
      <c r="A5556" s="8" t="str">
        <f>IFERROR(__xludf.DUMMYFUNCTION("IF('(INGESTA)Datos_consumo_datadis'!A5556&lt;&gt;"""",SPLIT('(INGESTA)Datos_consumo_datadis'!A:A,"",""),"""")"),"ES0031408323131005HX0F")</f>
        <v>ES0031408323131005HX0F</v>
      </c>
      <c r="B5556" s="12">
        <f>IFERROR(__xludf.DUMMYFUNCTION("""COMPUTED_VALUE"""),45097.0)</f>
        <v>45097</v>
      </c>
      <c r="C5556" s="13">
        <f>IFERROR(__xludf.DUMMYFUNCTION("""COMPUTED_VALUE"""),0.5)</f>
        <v>0.5</v>
      </c>
      <c r="D5556" s="8">
        <f>IFERROR(__xludf.DUMMYFUNCTION("""COMPUTED_VALUE"""),0.054)</f>
        <v>0.054</v>
      </c>
      <c r="E5556" s="8" t="str">
        <f>IFERROR(__xludf.DUMMYFUNCTION("""COMPUTED_VALUE"""),"Real")</f>
        <v>Real</v>
      </c>
      <c r="G5556" s="8">
        <f t="shared" si="1"/>
        <v>6</v>
      </c>
      <c r="H5556" s="14">
        <f t="shared" si="2"/>
        <v>20</v>
      </c>
      <c r="I5556" s="15">
        <f t="shared" si="3"/>
        <v>12</v>
      </c>
    </row>
    <row r="5557">
      <c r="A5557" s="8" t="str">
        <f>IFERROR(__xludf.DUMMYFUNCTION("IF('(INGESTA)Datos_consumo_datadis'!A5557&lt;&gt;"""",SPLIT('(INGESTA)Datos_consumo_datadis'!A:A,"",""),"""")"),"ES0031408323131005HX0F")</f>
        <v>ES0031408323131005HX0F</v>
      </c>
      <c r="B5557" s="12">
        <f>IFERROR(__xludf.DUMMYFUNCTION("""COMPUTED_VALUE"""),45097.0)</f>
        <v>45097</v>
      </c>
      <c r="C5557" s="13">
        <f>IFERROR(__xludf.DUMMYFUNCTION("""COMPUTED_VALUE"""),0.5416666666666666)</f>
        <v>0.5416666667</v>
      </c>
      <c r="D5557" s="8">
        <f>IFERROR(__xludf.DUMMYFUNCTION("""COMPUTED_VALUE"""),0.04)</f>
        <v>0.04</v>
      </c>
      <c r="E5557" s="8" t="str">
        <f>IFERROR(__xludf.DUMMYFUNCTION("""COMPUTED_VALUE"""),"Real")</f>
        <v>Real</v>
      </c>
      <c r="G5557" s="8">
        <f t="shared" si="1"/>
        <v>6</v>
      </c>
      <c r="H5557" s="14">
        <f t="shared" si="2"/>
        <v>20</v>
      </c>
      <c r="I5557" s="15">
        <f t="shared" si="3"/>
        <v>13</v>
      </c>
    </row>
    <row r="5558">
      <c r="A5558" s="8" t="str">
        <f>IFERROR(__xludf.DUMMYFUNCTION("IF('(INGESTA)Datos_consumo_datadis'!A5558&lt;&gt;"""",SPLIT('(INGESTA)Datos_consumo_datadis'!A:A,"",""),"""")"),"ES0031408323131005HX0F")</f>
        <v>ES0031408323131005HX0F</v>
      </c>
      <c r="B5558" s="12">
        <f>IFERROR(__xludf.DUMMYFUNCTION("""COMPUTED_VALUE"""),45097.0)</f>
        <v>45097</v>
      </c>
      <c r="C5558" s="13">
        <f>IFERROR(__xludf.DUMMYFUNCTION("""COMPUTED_VALUE"""),0.5833333333333334)</f>
        <v>0.5833333333</v>
      </c>
      <c r="D5558" s="8">
        <f>IFERROR(__xludf.DUMMYFUNCTION("""COMPUTED_VALUE"""),0.01)</f>
        <v>0.01</v>
      </c>
      <c r="E5558" s="8" t="str">
        <f>IFERROR(__xludf.DUMMYFUNCTION("""COMPUTED_VALUE"""),"Real")</f>
        <v>Real</v>
      </c>
      <c r="G5558" s="8">
        <f t="shared" si="1"/>
        <v>6</v>
      </c>
      <c r="H5558" s="14">
        <f t="shared" si="2"/>
        <v>20</v>
      </c>
      <c r="I5558" s="15">
        <f t="shared" si="3"/>
        <v>14</v>
      </c>
    </row>
    <row r="5559">
      <c r="A5559" s="8" t="str">
        <f>IFERROR(__xludf.DUMMYFUNCTION("IF('(INGESTA)Datos_consumo_datadis'!A5559&lt;&gt;"""",SPLIT('(INGESTA)Datos_consumo_datadis'!A:A,"",""),"""")"),"ES0031408323131005HX0F")</f>
        <v>ES0031408323131005HX0F</v>
      </c>
      <c r="B5559" s="12">
        <f>IFERROR(__xludf.DUMMYFUNCTION("""COMPUTED_VALUE"""),45097.0)</f>
        <v>45097</v>
      </c>
      <c r="C5559" s="13">
        <f>IFERROR(__xludf.DUMMYFUNCTION("""COMPUTED_VALUE"""),0.625)</f>
        <v>0.625</v>
      </c>
      <c r="D5559" s="8">
        <f>IFERROR(__xludf.DUMMYFUNCTION("""COMPUTED_VALUE"""),0.114)</f>
        <v>0.114</v>
      </c>
      <c r="E5559" s="8" t="str">
        <f>IFERROR(__xludf.DUMMYFUNCTION("""COMPUTED_VALUE"""),"Real")</f>
        <v>Real</v>
      </c>
      <c r="G5559" s="8">
        <f t="shared" si="1"/>
        <v>6</v>
      </c>
      <c r="H5559" s="14">
        <f t="shared" si="2"/>
        <v>20</v>
      </c>
      <c r="I5559" s="15">
        <f t="shared" si="3"/>
        <v>15</v>
      </c>
    </row>
    <row r="5560">
      <c r="A5560" s="8" t="str">
        <f>IFERROR(__xludf.DUMMYFUNCTION("IF('(INGESTA)Datos_consumo_datadis'!A5560&lt;&gt;"""",SPLIT('(INGESTA)Datos_consumo_datadis'!A:A,"",""),"""")"),"ES0031408323131005HX0F")</f>
        <v>ES0031408323131005HX0F</v>
      </c>
      <c r="B5560" s="12">
        <f>IFERROR(__xludf.DUMMYFUNCTION("""COMPUTED_VALUE"""),45097.0)</f>
        <v>45097</v>
      </c>
      <c r="C5560" s="13">
        <f>IFERROR(__xludf.DUMMYFUNCTION("""COMPUTED_VALUE"""),0.6666666666666666)</f>
        <v>0.6666666667</v>
      </c>
      <c r="D5560" s="8">
        <f>IFERROR(__xludf.DUMMYFUNCTION("""COMPUTED_VALUE"""),0.075)</f>
        <v>0.075</v>
      </c>
      <c r="E5560" s="8" t="str">
        <f>IFERROR(__xludf.DUMMYFUNCTION("""COMPUTED_VALUE"""),"Real")</f>
        <v>Real</v>
      </c>
      <c r="G5560" s="8">
        <f t="shared" si="1"/>
        <v>6</v>
      </c>
      <c r="H5560" s="14">
        <f t="shared" si="2"/>
        <v>20</v>
      </c>
      <c r="I5560" s="15">
        <f t="shared" si="3"/>
        <v>16</v>
      </c>
    </row>
    <row r="5561">
      <c r="A5561" s="8" t="str">
        <f>IFERROR(__xludf.DUMMYFUNCTION("IF('(INGESTA)Datos_consumo_datadis'!A5561&lt;&gt;"""",SPLIT('(INGESTA)Datos_consumo_datadis'!A:A,"",""),"""")"),"ES0031408323131005HX0F")</f>
        <v>ES0031408323131005HX0F</v>
      </c>
      <c r="B5561" s="12">
        <f>IFERROR(__xludf.DUMMYFUNCTION("""COMPUTED_VALUE"""),45097.0)</f>
        <v>45097</v>
      </c>
      <c r="C5561" s="13">
        <f>IFERROR(__xludf.DUMMYFUNCTION("""COMPUTED_VALUE"""),0.7083333333333334)</f>
        <v>0.7083333333</v>
      </c>
      <c r="D5561" s="8">
        <f>IFERROR(__xludf.DUMMYFUNCTION("""COMPUTED_VALUE"""),0.125)</f>
        <v>0.125</v>
      </c>
      <c r="E5561" s="8" t="str">
        <f>IFERROR(__xludf.DUMMYFUNCTION("""COMPUTED_VALUE"""),"Real")</f>
        <v>Real</v>
      </c>
      <c r="G5561" s="8">
        <f t="shared" si="1"/>
        <v>6</v>
      </c>
      <c r="H5561" s="14">
        <f t="shared" si="2"/>
        <v>20</v>
      </c>
      <c r="I5561" s="15">
        <f t="shared" si="3"/>
        <v>17</v>
      </c>
    </row>
    <row r="5562">
      <c r="A5562" s="8" t="str">
        <f>IFERROR(__xludf.DUMMYFUNCTION("IF('(INGESTA)Datos_consumo_datadis'!A5562&lt;&gt;"""",SPLIT('(INGESTA)Datos_consumo_datadis'!A:A,"",""),"""")"),"ES0031408323131005HX0F")</f>
        <v>ES0031408323131005HX0F</v>
      </c>
      <c r="B5562" s="12">
        <f>IFERROR(__xludf.DUMMYFUNCTION("""COMPUTED_VALUE"""),45097.0)</f>
        <v>45097</v>
      </c>
      <c r="C5562" s="13">
        <f>IFERROR(__xludf.DUMMYFUNCTION("""COMPUTED_VALUE"""),0.75)</f>
        <v>0.75</v>
      </c>
      <c r="D5562" s="8">
        <f>IFERROR(__xludf.DUMMYFUNCTION("""COMPUTED_VALUE"""),0.239)</f>
        <v>0.239</v>
      </c>
      <c r="E5562" s="8" t="str">
        <f>IFERROR(__xludf.DUMMYFUNCTION("""COMPUTED_VALUE"""),"Real")</f>
        <v>Real</v>
      </c>
      <c r="G5562" s="8">
        <f t="shared" si="1"/>
        <v>6</v>
      </c>
      <c r="H5562" s="14">
        <f t="shared" si="2"/>
        <v>20</v>
      </c>
      <c r="I5562" s="15">
        <f t="shared" si="3"/>
        <v>18</v>
      </c>
    </row>
    <row r="5563">
      <c r="A5563" s="8" t="str">
        <f>IFERROR(__xludf.DUMMYFUNCTION("IF('(INGESTA)Datos_consumo_datadis'!A5563&lt;&gt;"""",SPLIT('(INGESTA)Datos_consumo_datadis'!A:A,"",""),"""")"),"ES0031408323131005HX0F")</f>
        <v>ES0031408323131005HX0F</v>
      </c>
      <c r="B5563" s="12">
        <f>IFERROR(__xludf.DUMMYFUNCTION("""COMPUTED_VALUE"""),45097.0)</f>
        <v>45097</v>
      </c>
      <c r="C5563" s="13">
        <f>IFERROR(__xludf.DUMMYFUNCTION("""COMPUTED_VALUE"""),0.7916666666666666)</f>
        <v>0.7916666667</v>
      </c>
      <c r="D5563" s="8">
        <f>IFERROR(__xludf.DUMMYFUNCTION("""COMPUTED_VALUE"""),0.056)</f>
        <v>0.056</v>
      </c>
      <c r="E5563" s="8" t="str">
        <f>IFERROR(__xludf.DUMMYFUNCTION("""COMPUTED_VALUE"""),"Real")</f>
        <v>Real</v>
      </c>
      <c r="G5563" s="8">
        <f t="shared" si="1"/>
        <v>6</v>
      </c>
      <c r="H5563" s="14">
        <f t="shared" si="2"/>
        <v>20</v>
      </c>
      <c r="I5563" s="15">
        <f t="shared" si="3"/>
        <v>19</v>
      </c>
    </row>
    <row r="5564">
      <c r="A5564" s="8" t="str">
        <f>IFERROR(__xludf.DUMMYFUNCTION("IF('(INGESTA)Datos_consumo_datadis'!A5564&lt;&gt;"""",SPLIT('(INGESTA)Datos_consumo_datadis'!A:A,"",""),"""")"),"ES0031408323131005HX0F")</f>
        <v>ES0031408323131005HX0F</v>
      </c>
      <c r="B5564" s="12">
        <f>IFERROR(__xludf.DUMMYFUNCTION("""COMPUTED_VALUE"""),45097.0)</f>
        <v>45097</v>
      </c>
      <c r="C5564" s="13">
        <f>IFERROR(__xludf.DUMMYFUNCTION("""COMPUTED_VALUE"""),0.8333333333333334)</f>
        <v>0.8333333333</v>
      </c>
      <c r="D5564" s="8">
        <f>IFERROR(__xludf.DUMMYFUNCTION("""COMPUTED_VALUE"""),0.113)</f>
        <v>0.113</v>
      </c>
      <c r="E5564" s="8" t="str">
        <f>IFERROR(__xludf.DUMMYFUNCTION("""COMPUTED_VALUE"""),"Real")</f>
        <v>Real</v>
      </c>
      <c r="G5564" s="8">
        <f t="shared" si="1"/>
        <v>6</v>
      </c>
      <c r="H5564" s="14">
        <f t="shared" si="2"/>
        <v>20</v>
      </c>
      <c r="I5564" s="15">
        <f t="shared" si="3"/>
        <v>20</v>
      </c>
    </row>
    <row r="5565">
      <c r="A5565" s="8" t="str">
        <f>IFERROR(__xludf.DUMMYFUNCTION("IF('(INGESTA)Datos_consumo_datadis'!A5565&lt;&gt;"""",SPLIT('(INGESTA)Datos_consumo_datadis'!A:A,"",""),"""")"),"ES0031408323131005HX0F")</f>
        <v>ES0031408323131005HX0F</v>
      </c>
      <c r="B5565" s="12">
        <f>IFERROR(__xludf.DUMMYFUNCTION("""COMPUTED_VALUE"""),45097.0)</f>
        <v>45097</v>
      </c>
      <c r="C5565" s="13">
        <f>IFERROR(__xludf.DUMMYFUNCTION("""COMPUTED_VALUE"""),0.875)</f>
        <v>0.875</v>
      </c>
      <c r="D5565" s="8">
        <f>IFERROR(__xludf.DUMMYFUNCTION("""COMPUTED_VALUE"""),0.058)</f>
        <v>0.058</v>
      </c>
      <c r="E5565" s="8" t="str">
        <f>IFERROR(__xludf.DUMMYFUNCTION("""COMPUTED_VALUE"""),"Real")</f>
        <v>Real</v>
      </c>
      <c r="G5565" s="8">
        <f t="shared" si="1"/>
        <v>6</v>
      </c>
      <c r="H5565" s="14">
        <f t="shared" si="2"/>
        <v>20</v>
      </c>
      <c r="I5565" s="15">
        <f t="shared" si="3"/>
        <v>21</v>
      </c>
    </row>
    <row r="5566">
      <c r="A5566" s="8" t="str">
        <f>IFERROR(__xludf.DUMMYFUNCTION("IF('(INGESTA)Datos_consumo_datadis'!A5566&lt;&gt;"""",SPLIT('(INGESTA)Datos_consumo_datadis'!A:A,"",""),"""")"),"ES0031408323131005HX0F")</f>
        <v>ES0031408323131005HX0F</v>
      </c>
      <c r="B5566" s="12">
        <f>IFERROR(__xludf.DUMMYFUNCTION("""COMPUTED_VALUE"""),45097.0)</f>
        <v>45097</v>
      </c>
      <c r="C5566" s="13">
        <f>IFERROR(__xludf.DUMMYFUNCTION("""COMPUTED_VALUE"""),0.9166666666666666)</f>
        <v>0.9166666667</v>
      </c>
      <c r="D5566" s="8">
        <f>IFERROR(__xludf.DUMMYFUNCTION("""COMPUTED_VALUE"""),0.043)</f>
        <v>0.043</v>
      </c>
      <c r="E5566" s="8" t="str">
        <f>IFERROR(__xludf.DUMMYFUNCTION("""COMPUTED_VALUE"""),"Real")</f>
        <v>Real</v>
      </c>
      <c r="G5566" s="8">
        <f t="shared" si="1"/>
        <v>6</v>
      </c>
      <c r="H5566" s="14">
        <f t="shared" si="2"/>
        <v>20</v>
      </c>
      <c r="I5566" s="15">
        <f t="shared" si="3"/>
        <v>22</v>
      </c>
    </row>
    <row r="5567">
      <c r="A5567" s="8" t="str">
        <f>IFERROR(__xludf.DUMMYFUNCTION("IF('(INGESTA)Datos_consumo_datadis'!A5567&lt;&gt;"""",SPLIT('(INGESTA)Datos_consumo_datadis'!A:A,"",""),"""")"),"ES0031408323131005HX0F")</f>
        <v>ES0031408323131005HX0F</v>
      </c>
      <c r="B5567" s="12">
        <f>IFERROR(__xludf.DUMMYFUNCTION("""COMPUTED_VALUE"""),45097.0)</f>
        <v>45097</v>
      </c>
      <c r="C5567" s="13">
        <f>IFERROR(__xludf.DUMMYFUNCTION("""COMPUTED_VALUE"""),0.9583333333333334)</f>
        <v>0.9583333333</v>
      </c>
      <c r="D5567" s="8">
        <f>IFERROR(__xludf.DUMMYFUNCTION("""COMPUTED_VALUE"""),0.01)</f>
        <v>0.01</v>
      </c>
      <c r="E5567" s="8" t="str">
        <f>IFERROR(__xludf.DUMMYFUNCTION("""COMPUTED_VALUE"""),"Real")</f>
        <v>Real</v>
      </c>
      <c r="G5567" s="8">
        <f t="shared" si="1"/>
        <v>6</v>
      </c>
      <c r="H5567" s="14">
        <f t="shared" si="2"/>
        <v>20</v>
      </c>
      <c r="I5567" s="15">
        <f t="shared" si="3"/>
        <v>23</v>
      </c>
    </row>
    <row r="5568">
      <c r="A5568" s="8" t="str">
        <f>IFERROR(__xludf.DUMMYFUNCTION("IF('(INGESTA)Datos_consumo_datadis'!A5568&lt;&gt;"""",SPLIT('(INGESTA)Datos_consumo_datadis'!A:A,"",""),"""")"),"ES0031408323131005HX0F")</f>
        <v>ES0031408323131005HX0F</v>
      </c>
      <c r="B5568" s="12">
        <f>IFERROR(__xludf.DUMMYFUNCTION("""COMPUTED_VALUE"""),45097.0)</f>
        <v>45097</v>
      </c>
      <c r="C5568" s="16">
        <f>IFERROR(__xludf.DUMMYFUNCTION("""COMPUTED_VALUE"""),1.0)</f>
        <v>1</v>
      </c>
      <c r="D5568" s="8">
        <f>IFERROR(__xludf.DUMMYFUNCTION("""COMPUTED_VALUE"""),0.105)</f>
        <v>0.105</v>
      </c>
      <c r="E5568" s="8" t="str">
        <f>IFERROR(__xludf.DUMMYFUNCTION("""COMPUTED_VALUE"""),"Real")</f>
        <v>Real</v>
      </c>
      <c r="G5568" s="8">
        <f t="shared" si="1"/>
        <v>6</v>
      </c>
      <c r="H5568" s="14">
        <f t="shared" si="2"/>
        <v>20</v>
      </c>
      <c r="I5568" s="15">
        <f t="shared" si="3"/>
        <v>0</v>
      </c>
    </row>
    <row r="5569">
      <c r="A5569" s="8" t="str">
        <f>IFERROR(__xludf.DUMMYFUNCTION("IF('(INGESTA)Datos_consumo_datadis'!A5569&lt;&gt;"""",SPLIT('(INGESTA)Datos_consumo_datadis'!A:A,"",""),"""")"),"ES0031408323131005HX0F")</f>
        <v>ES0031408323131005HX0F</v>
      </c>
      <c r="B5569" s="12">
        <f>IFERROR(__xludf.DUMMYFUNCTION("""COMPUTED_VALUE"""),45098.0)</f>
        <v>45098</v>
      </c>
      <c r="C5569" s="13">
        <f>IFERROR(__xludf.DUMMYFUNCTION("""COMPUTED_VALUE"""),0.041666666666666664)</f>
        <v>0.04166666667</v>
      </c>
      <c r="D5569" s="8">
        <f>IFERROR(__xludf.DUMMYFUNCTION("""COMPUTED_VALUE"""),0.378)</f>
        <v>0.378</v>
      </c>
      <c r="E5569" s="8" t="str">
        <f>IFERROR(__xludf.DUMMYFUNCTION("""COMPUTED_VALUE"""),"Real")</f>
        <v>Real</v>
      </c>
      <c r="G5569" s="8">
        <f t="shared" si="1"/>
        <v>6</v>
      </c>
      <c r="H5569" s="14">
        <f t="shared" si="2"/>
        <v>21</v>
      </c>
      <c r="I5569" s="15">
        <f t="shared" si="3"/>
        <v>1</v>
      </c>
    </row>
    <row r="5570">
      <c r="A5570" s="8" t="str">
        <f>IFERROR(__xludf.DUMMYFUNCTION("IF('(INGESTA)Datos_consumo_datadis'!A5570&lt;&gt;"""",SPLIT('(INGESTA)Datos_consumo_datadis'!A:A,"",""),"""")"),"ES0031408323131005HX0F")</f>
        <v>ES0031408323131005HX0F</v>
      </c>
      <c r="B5570" s="12">
        <f>IFERROR(__xludf.DUMMYFUNCTION("""COMPUTED_VALUE"""),45098.0)</f>
        <v>45098</v>
      </c>
      <c r="C5570" s="13">
        <f>IFERROR(__xludf.DUMMYFUNCTION("""COMPUTED_VALUE"""),0.08333333333333333)</f>
        <v>0.08333333333</v>
      </c>
      <c r="D5570" s="8">
        <f>IFERROR(__xludf.DUMMYFUNCTION("""COMPUTED_VALUE"""),0.089)</f>
        <v>0.089</v>
      </c>
      <c r="E5570" s="8" t="str">
        <f>IFERROR(__xludf.DUMMYFUNCTION("""COMPUTED_VALUE"""),"Real")</f>
        <v>Real</v>
      </c>
      <c r="G5570" s="8">
        <f t="shared" si="1"/>
        <v>6</v>
      </c>
      <c r="H5570" s="14">
        <f t="shared" si="2"/>
        <v>21</v>
      </c>
      <c r="I5570" s="15">
        <f t="shared" si="3"/>
        <v>2</v>
      </c>
    </row>
    <row r="5571">
      <c r="A5571" s="8" t="str">
        <f>IFERROR(__xludf.DUMMYFUNCTION("IF('(INGESTA)Datos_consumo_datadis'!A5571&lt;&gt;"""",SPLIT('(INGESTA)Datos_consumo_datadis'!A:A,"",""),"""")"),"ES0031408323131005HX0F")</f>
        <v>ES0031408323131005HX0F</v>
      </c>
      <c r="B5571" s="12">
        <f>IFERROR(__xludf.DUMMYFUNCTION("""COMPUTED_VALUE"""),45098.0)</f>
        <v>45098</v>
      </c>
      <c r="C5571" s="13">
        <f>IFERROR(__xludf.DUMMYFUNCTION("""COMPUTED_VALUE"""),0.125)</f>
        <v>0.125</v>
      </c>
      <c r="D5571" s="8">
        <f>IFERROR(__xludf.DUMMYFUNCTION("""COMPUTED_VALUE"""),0.079)</f>
        <v>0.079</v>
      </c>
      <c r="E5571" s="8" t="str">
        <f>IFERROR(__xludf.DUMMYFUNCTION("""COMPUTED_VALUE"""),"Real")</f>
        <v>Real</v>
      </c>
      <c r="G5571" s="8">
        <f t="shared" si="1"/>
        <v>6</v>
      </c>
      <c r="H5571" s="14">
        <f t="shared" si="2"/>
        <v>21</v>
      </c>
      <c r="I5571" s="15">
        <f t="shared" si="3"/>
        <v>3</v>
      </c>
    </row>
    <row r="5572">
      <c r="A5572" s="8" t="str">
        <f>IFERROR(__xludf.DUMMYFUNCTION("IF('(INGESTA)Datos_consumo_datadis'!A5572&lt;&gt;"""",SPLIT('(INGESTA)Datos_consumo_datadis'!A:A,"",""),"""")"),"ES0031408323131005HX0F")</f>
        <v>ES0031408323131005HX0F</v>
      </c>
      <c r="B5572" s="12">
        <f>IFERROR(__xludf.DUMMYFUNCTION("""COMPUTED_VALUE"""),45098.0)</f>
        <v>45098</v>
      </c>
      <c r="C5572" s="13">
        <f>IFERROR(__xludf.DUMMYFUNCTION("""COMPUTED_VALUE"""),0.16666666666666666)</f>
        <v>0.1666666667</v>
      </c>
      <c r="D5572" s="8">
        <f>IFERROR(__xludf.DUMMYFUNCTION("""COMPUTED_VALUE"""),0.016)</f>
        <v>0.016</v>
      </c>
      <c r="E5572" s="8" t="str">
        <f>IFERROR(__xludf.DUMMYFUNCTION("""COMPUTED_VALUE"""),"Real")</f>
        <v>Real</v>
      </c>
      <c r="G5572" s="8">
        <f t="shared" si="1"/>
        <v>6</v>
      </c>
      <c r="H5572" s="14">
        <f t="shared" si="2"/>
        <v>21</v>
      </c>
      <c r="I5572" s="15">
        <f t="shared" si="3"/>
        <v>4</v>
      </c>
    </row>
    <row r="5573">
      <c r="A5573" s="8" t="str">
        <f>IFERROR(__xludf.DUMMYFUNCTION("IF('(INGESTA)Datos_consumo_datadis'!A5573&lt;&gt;"""",SPLIT('(INGESTA)Datos_consumo_datadis'!A:A,"",""),"""")"),"ES0031408323131005HX0F")</f>
        <v>ES0031408323131005HX0F</v>
      </c>
      <c r="B5573" s="12">
        <f>IFERROR(__xludf.DUMMYFUNCTION("""COMPUTED_VALUE"""),45098.0)</f>
        <v>45098</v>
      </c>
      <c r="C5573" s="13">
        <f>IFERROR(__xludf.DUMMYFUNCTION("""COMPUTED_VALUE"""),0.20833333333333334)</f>
        <v>0.2083333333</v>
      </c>
      <c r="D5573" s="8">
        <f>IFERROR(__xludf.DUMMYFUNCTION("""COMPUTED_VALUE"""),0.066)</f>
        <v>0.066</v>
      </c>
      <c r="E5573" s="8" t="str">
        <f>IFERROR(__xludf.DUMMYFUNCTION("""COMPUTED_VALUE"""),"Real")</f>
        <v>Real</v>
      </c>
      <c r="G5573" s="8">
        <f t="shared" si="1"/>
        <v>6</v>
      </c>
      <c r="H5573" s="14">
        <f t="shared" si="2"/>
        <v>21</v>
      </c>
      <c r="I5573" s="15">
        <f t="shared" si="3"/>
        <v>5</v>
      </c>
    </row>
    <row r="5574">
      <c r="A5574" s="8" t="str">
        <f>IFERROR(__xludf.DUMMYFUNCTION("IF('(INGESTA)Datos_consumo_datadis'!A5574&lt;&gt;"""",SPLIT('(INGESTA)Datos_consumo_datadis'!A:A,"",""),"""")"),"ES0031408323131005HX0F")</f>
        <v>ES0031408323131005HX0F</v>
      </c>
      <c r="B5574" s="12">
        <f>IFERROR(__xludf.DUMMYFUNCTION("""COMPUTED_VALUE"""),45098.0)</f>
        <v>45098</v>
      </c>
      <c r="C5574" s="13">
        <f>IFERROR(__xludf.DUMMYFUNCTION("""COMPUTED_VALUE"""),0.25)</f>
        <v>0.25</v>
      </c>
      <c r="D5574" s="8">
        <f>IFERROR(__xludf.DUMMYFUNCTION("""COMPUTED_VALUE"""),0.108)</f>
        <v>0.108</v>
      </c>
      <c r="E5574" s="8" t="str">
        <f>IFERROR(__xludf.DUMMYFUNCTION("""COMPUTED_VALUE"""),"Real")</f>
        <v>Real</v>
      </c>
      <c r="G5574" s="8">
        <f t="shared" si="1"/>
        <v>6</v>
      </c>
      <c r="H5574" s="14">
        <f t="shared" si="2"/>
        <v>21</v>
      </c>
      <c r="I5574" s="15">
        <f t="shared" si="3"/>
        <v>6</v>
      </c>
    </row>
    <row r="5575">
      <c r="A5575" s="8" t="str">
        <f>IFERROR(__xludf.DUMMYFUNCTION("IF('(INGESTA)Datos_consumo_datadis'!A5575&lt;&gt;"""",SPLIT('(INGESTA)Datos_consumo_datadis'!A:A,"",""),"""")"),"ES0031408323131005HX0F")</f>
        <v>ES0031408323131005HX0F</v>
      </c>
      <c r="B5575" s="12">
        <f>IFERROR(__xludf.DUMMYFUNCTION("""COMPUTED_VALUE"""),45098.0)</f>
        <v>45098</v>
      </c>
      <c r="C5575" s="13">
        <f>IFERROR(__xludf.DUMMYFUNCTION("""COMPUTED_VALUE"""),0.2916666666666667)</f>
        <v>0.2916666667</v>
      </c>
      <c r="D5575" s="8">
        <f>IFERROR(__xludf.DUMMYFUNCTION("""COMPUTED_VALUE"""),0.056)</f>
        <v>0.056</v>
      </c>
      <c r="E5575" s="8" t="str">
        <f>IFERROR(__xludf.DUMMYFUNCTION("""COMPUTED_VALUE"""),"Real")</f>
        <v>Real</v>
      </c>
      <c r="G5575" s="8">
        <f t="shared" si="1"/>
        <v>6</v>
      </c>
      <c r="H5575" s="14">
        <f t="shared" si="2"/>
        <v>21</v>
      </c>
      <c r="I5575" s="15">
        <f t="shared" si="3"/>
        <v>7</v>
      </c>
    </row>
    <row r="5576">
      <c r="A5576" s="8" t="str">
        <f>IFERROR(__xludf.DUMMYFUNCTION("IF('(INGESTA)Datos_consumo_datadis'!A5576&lt;&gt;"""",SPLIT('(INGESTA)Datos_consumo_datadis'!A:A,"",""),"""")"),"ES0031408323131005HX0F")</f>
        <v>ES0031408323131005HX0F</v>
      </c>
      <c r="B5576" s="12">
        <f>IFERROR(__xludf.DUMMYFUNCTION("""COMPUTED_VALUE"""),45098.0)</f>
        <v>45098</v>
      </c>
      <c r="C5576" s="13">
        <f>IFERROR(__xludf.DUMMYFUNCTION("""COMPUTED_VALUE"""),0.3333333333333333)</f>
        <v>0.3333333333</v>
      </c>
      <c r="D5576" s="8">
        <f>IFERROR(__xludf.DUMMYFUNCTION("""COMPUTED_VALUE"""),0.04)</f>
        <v>0.04</v>
      </c>
      <c r="E5576" s="8" t="str">
        <f>IFERROR(__xludf.DUMMYFUNCTION("""COMPUTED_VALUE"""),"Real")</f>
        <v>Real</v>
      </c>
      <c r="G5576" s="8">
        <f t="shared" si="1"/>
        <v>6</v>
      </c>
      <c r="H5576" s="14">
        <f t="shared" si="2"/>
        <v>21</v>
      </c>
      <c r="I5576" s="15">
        <f t="shared" si="3"/>
        <v>8</v>
      </c>
    </row>
    <row r="5577">
      <c r="A5577" s="8" t="str">
        <f>IFERROR(__xludf.DUMMYFUNCTION("IF('(INGESTA)Datos_consumo_datadis'!A5577&lt;&gt;"""",SPLIT('(INGESTA)Datos_consumo_datadis'!A:A,"",""),"""")"),"ES0031408323131005HX0F")</f>
        <v>ES0031408323131005HX0F</v>
      </c>
      <c r="B5577" s="12">
        <f>IFERROR(__xludf.DUMMYFUNCTION("""COMPUTED_VALUE"""),45098.0)</f>
        <v>45098</v>
      </c>
      <c r="C5577" s="13">
        <f>IFERROR(__xludf.DUMMYFUNCTION("""COMPUTED_VALUE"""),0.375)</f>
        <v>0.375</v>
      </c>
      <c r="D5577" s="8">
        <f>IFERROR(__xludf.DUMMYFUNCTION("""COMPUTED_VALUE"""),0.324)</f>
        <v>0.324</v>
      </c>
      <c r="E5577" s="8" t="str">
        <f>IFERROR(__xludf.DUMMYFUNCTION("""COMPUTED_VALUE"""),"Real")</f>
        <v>Real</v>
      </c>
      <c r="G5577" s="8">
        <f t="shared" si="1"/>
        <v>6</v>
      </c>
      <c r="H5577" s="14">
        <f t="shared" si="2"/>
        <v>21</v>
      </c>
      <c r="I5577" s="15">
        <f t="shared" si="3"/>
        <v>9</v>
      </c>
    </row>
    <row r="5578">
      <c r="A5578" s="8" t="str">
        <f>IFERROR(__xludf.DUMMYFUNCTION("IF('(INGESTA)Datos_consumo_datadis'!A5578&lt;&gt;"""",SPLIT('(INGESTA)Datos_consumo_datadis'!A:A,"",""),"""")"),"ES0031408323131005HX0F")</f>
        <v>ES0031408323131005HX0F</v>
      </c>
      <c r="B5578" s="12">
        <f>IFERROR(__xludf.DUMMYFUNCTION("""COMPUTED_VALUE"""),45098.0)</f>
        <v>45098</v>
      </c>
      <c r="C5578" s="13">
        <f>IFERROR(__xludf.DUMMYFUNCTION("""COMPUTED_VALUE"""),0.4166666666666667)</f>
        <v>0.4166666667</v>
      </c>
      <c r="D5578" s="8">
        <f>IFERROR(__xludf.DUMMYFUNCTION("""COMPUTED_VALUE"""),0.115)</f>
        <v>0.115</v>
      </c>
      <c r="E5578" s="8" t="str">
        <f>IFERROR(__xludf.DUMMYFUNCTION("""COMPUTED_VALUE"""),"Real")</f>
        <v>Real</v>
      </c>
      <c r="G5578" s="8">
        <f t="shared" si="1"/>
        <v>6</v>
      </c>
      <c r="H5578" s="14">
        <f t="shared" si="2"/>
        <v>21</v>
      </c>
      <c r="I5578" s="15">
        <f t="shared" si="3"/>
        <v>10</v>
      </c>
    </row>
    <row r="5579">
      <c r="A5579" s="8" t="str">
        <f>IFERROR(__xludf.DUMMYFUNCTION("IF('(INGESTA)Datos_consumo_datadis'!A5579&lt;&gt;"""",SPLIT('(INGESTA)Datos_consumo_datadis'!A:A,"",""),"""")"),"ES0031408323131005HX0F")</f>
        <v>ES0031408323131005HX0F</v>
      </c>
      <c r="B5579" s="12">
        <f>IFERROR(__xludf.DUMMYFUNCTION("""COMPUTED_VALUE"""),45098.0)</f>
        <v>45098</v>
      </c>
      <c r="C5579" s="13">
        <f>IFERROR(__xludf.DUMMYFUNCTION("""COMPUTED_VALUE"""),0.4583333333333333)</f>
        <v>0.4583333333</v>
      </c>
      <c r="D5579" s="8">
        <f>IFERROR(__xludf.DUMMYFUNCTION("""COMPUTED_VALUE"""),0.075)</f>
        <v>0.075</v>
      </c>
      <c r="E5579" s="8" t="str">
        <f>IFERROR(__xludf.DUMMYFUNCTION("""COMPUTED_VALUE"""),"Real")</f>
        <v>Real</v>
      </c>
      <c r="G5579" s="8">
        <f t="shared" si="1"/>
        <v>6</v>
      </c>
      <c r="H5579" s="14">
        <f t="shared" si="2"/>
        <v>21</v>
      </c>
      <c r="I5579" s="15">
        <f t="shared" si="3"/>
        <v>11</v>
      </c>
    </row>
    <row r="5580">
      <c r="A5580" s="8" t="str">
        <f>IFERROR(__xludf.DUMMYFUNCTION("IF('(INGESTA)Datos_consumo_datadis'!A5580&lt;&gt;"""",SPLIT('(INGESTA)Datos_consumo_datadis'!A:A,"",""),"""")"),"ES0031408323131005HX0F")</f>
        <v>ES0031408323131005HX0F</v>
      </c>
      <c r="B5580" s="12">
        <f>IFERROR(__xludf.DUMMYFUNCTION("""COMPUTED_VALUE"""),45098.0)</f>
        <v>45098</v>
      </c>
      <c r="C5580" s="13">
        <f>IFERROR(__xludf.DUMMYFUNCTION("""COMPUTED_VALUE"""),0.5)</f>
        <v>0.5</v>
      </c>
      <c r="D5580" s="8">
        <f>IFERROR(__xludf.DUMMYFUNCTION("""COMPUTED_VALUE"""),0.069)</f>
        <v>0.069</v>
      </c>
      <c r="E5580" s="8" t="str">
        <f>IFERROR(__xludf.DUMMYFUNCTION("""COMPUTED_VALUE"""),"Real")</f>
        <v>Real</v>
      </c>
      <c r="G5580" s="8">
        <f t="shared" si="1"/>
        <v>6</v>
      </c>
      <c r="H5580" s="14">
        <f t="shared" si="2"/>
        <v>21</v>
      </c>
      <c r="I5580" s="15">
        <f t="shared" si="3"/>
        <v>12</v>
      </c>
    </row>
    <row r="5581">
      <c r="A5581" s="8" t="str">
        <f>IFERROR(__xludf.DUMMYFUNCTION("IF('(INGESTA)Datos_consumo_datadis'!A5581&lt;&gt;"""",SPLIT('(INGESTA)Datos_consumo_datadis'!A:A,"",""),"""")"),"ES0031408323131005HX0F")</f>
        <v>ES0031408323131005HX0F</v>
      </c>
      <c r="B5581" s="12">
        <f>IFERROR(__xludf.DUMMYFUNCTION("""COMPUTED_VALUE"""),45098.0)</f>
        <v>45098</v>
      </c>
      <c r="C5581" s="13">
        <f>IFERROR(__xludf.DUMMYFUNCTION("""COMPUTED_VALUE"""),0.5416666666666666)</f>
        <v>0.5416666667</v>
      </c>
      <c r="D5581" s="8">
        <f>IFERROR(__xludf.DUMMYFUNCTION("""COMPUTED_VALUE"""),0.01)</f>
        <v>0.01</v>
      </c>
      <c r="E5581" s="8" t="str">
        <f>IFERROR(__xludf.DUMMYFUNCTION("""COMPUTED_VALUE"""),"Real")</f>
        <v>Real</v>
      </c>
      <c r="G5581" s="8">
        <f t="shared" si="1"/>
        <v>6</v>
      </c>
      <c r="H5581" s="14">
        <f t="shared" si="2"/>
        <v>21</v>
      </c>
      <c r="I5581" s="15">
        <f t="shared" si="3"/>
        <v>13</v>
      </c>
    </row>
    <row r="5582">
      <c r="A5582" s="8" t="str">
        <f>IFERROR(__xludf.DUMMYFUNCTION("IF('(INGESTA)Datos_consumo_datadis'!A5582&lt;&gt;"""",SPLIT('(INGESTA)Datos_consumo_datadis'!A:A,"",""),"""")"),"ES0031408323131005HX0F")</f>
        <v>ES0031408323131005HX0F</v>
      </c>
      <c r="B5582" s="12">
        <f>IFERROR(__xludf.DUMMYFUNCTION("""COMPUTED_VALUE"""),45098.0)</f>
        <v>45098</v>
      </c>
      <c r="C5582" s="13">
        <f>IFERROR(__xludf.DUMMYFUNCTION("""COMPUTED_VALUE"""),0.5833333333333334)</f>
        <v>0.5833333333</v>
      </c>
      <c r="D5582" s="8">
        <f>IFERROR(__xludf.DUMMYFUNCTION("""COMPUTED_VALUE"""),0.063)</f>
        <v>0.063</v>
      </c>
      <c r="E5582" s="8" t="str">
        <f>IFERROR(__xludf.DUMMYFUNCTION("""COMPUTED_VALUE"""),"Real")</f>
        <v>Real</v>
      </c>
      <c r="G5582" s="8">
        <f t="shared" si="1"/>
        <v>6</v>
      </c>
      <c r="H5582" s="14">
        <f t="shared" si="2"/>
        <v>21</v>
      </c>
      <c r="I5582" s="15">
        <f t="shared" si="3"/>
        <v>14</v>
      </c>
    </row>
    <row r="5583">
      <c r="A5583" s="8" t="str">
        <f>IFERROR(__xludf.DUMMYFUNCTION("IF('(INGESTA)Datos_consumo_datadis'!A5583&lt;&gt;"""",SPLIT('(INGESTA)Datos_consumo_datadis'!A:A,"",""),"""")"),"ES0031408323131005HX0F")</f>
        <v>ES0031408323131005HX0F</v>
      </c>
      <c r="B5583" s="12">
        <f>IFERROR(__xludf.DUMMYFUNCTION("""COMPUTED_VALUE"""),45098.0)</f>
        <v>45098</v>
      </c>
      <c r="C5583" s="13">
        <f>IFERROR(__xludf.DUMMYFUNCTION("""COMPUTED_VALUE"""),0.625)</f>
        <v>0.625</v>
      </c>
      <c r="D5583" s="8">
        <f>IFERROR(__xludf.DUMMYFUNCTION("""COMPUTED_VALUE"""),0.112)</f>
        <v>0.112</v>
      </c>
      <c r="E5583" s="8" t="str">
        <f>IFERROR(__xludf.DUMMYFUNCTION("""COMPUTED_VALUE"""),"Real")</f>
        <v>Real</v>
      </c>
      <c r="G5583" s="8">
        <f t="shared" si="1"/>
        <v>6</v>
      </c>
      <c r="H5583" s="14">
        <f t="shared" si="2"/>
        <v>21</v>
      </c>
      <c r="I5583" s="15">
        <f t="shared" si="3"/>
        <v>15</v>
      </c>
    </row>
    <row r="5584">
      <c r="A5584" s="8" t="str">
        <f>IFERROR(__xludf.DUMMYFUNCTION("IF('(INGESTA)Datos_consumo_datadis'!A5584&lt;&gt;"""",SPLIT('(INGESTA)Datos_consumo_datadis'!A:A,"",""),"""")"),"ES0031408323131005HX0F")</f>
        <v>ES0031408323131005HX0F</v>
      </c>
      <c r="B5584" s="12">
        <f>IFERROR(__xludf.DUMMYFUNCTION("""COMPUTED_VALUE"""),45098.0)</f>
        <v>45098</v>
      </c>
      <c r="C5584" s="13">
        <f>IFERROR(__xludf.DUMMYFUNCTION("""COMPUTED_VALUE"""),0.6666666666666666)</f>
        <v>0.6666666667</v>
      </c>
      <c r="D5584" s="8">
        <f>IFERROR(__xludf.DUMMYFUNCTION("""COMPUTED_VALUE"""),0.055)</f>
        <v>0.055</v>
      </c>
      <c r="E5584" s="8" t="str">
        <f>IFERROR(__xludf.DUMMYFUNCTION("""COMPUTED_VALUE"""),"Real")</f>
        <v>Real</v>
      </c>
      <c r="G5584" s="8">
        <f t="shared" si="1"/>
        <v>6</v>
      </c>
      <c r="H5584" s="14">
        <f t="shared" si="2"/>
        <v>21</v>
      </c>
      <c r="I5584" s="15">
        <f t="shared" si="3"/>
        <v>16</v>
      </c>
    </row>
    <row r="5585">
      <c r="A5585" s="8" t="str">
        <f>IFERROR(__xludf.DUMMYFUNCTION("IF('(INGESTA)Datos_consumo_datadis'!A5585&lt;&gt;"""",SPLIT('(INGESTA)Datos_consumo_datadis'!A:A,"",""),"""")"),"ES0031408323131005HX0F")</f>
        <v>ES0031408323131005HX0F</v>
      </c>
      <c r="B5585" s="12">
        <f>IFERROR(__xludf.DUMMYFUNCTION("""COMPUTED_VALUE"""),45098.0)</f>
        <v>45098</v>
      </c>
      <c r="C5585" s="13">
        <f>IFERROR(__xludf.DUMMYFUNCTION("""COMPUTED_VALUE"""),0.7083333333333334)</f>
        <v>0.7083333333</v>
      </c>
      <c r="D5585" s="8">
        <f>IFERROR(__xludf.DUMMYFUNCTION("""COMPUTED_VALUE"""),0.114)</f>
        <v>0.114</v>
      </c>
      <c r="E5585" s="8" t="str">
        <f>IFERROR(__xludf.DUMMYFUNCTION("""COMPUTED_VALUE"""),"Real")</f>
        <v>Real</v>
      </c>
      <c r="G5585" s="8">
        <f t="shared" si="1"/>
        <v>6</v>
      </c>
      <c r="H5585" s="14">
        <f t="shared" si="2"/>
        <v>21</v>
      </c>
      <c r="I5585" s="15">
        <f t="shared" si="3"/>
        <v>17</v>
      </c>
    </row>
    <row r="5586">
      <c r="A5586" s="8" t="str">
        <f>IFERROR(__xludf.DUMMYFUNCTION("IF('(INGESTA)Datos_consumo_datadis'!A5586&lt;&gt;"""",SPLIT('(INGESTA)Datos_consumo_datadis'!A:A,"",""),"""")"),"ES0031408323131005HX0F")</f>
        <v>ES0031408323131005HX0F</v>
      </c>
      <c r="B5586" s="12">
        <f>IFERROR(__xludf.DUMMYFUNCTION("""COMPUTED_VALUE"""),45098.0)</f>
        <v>45098</v>
      </c>
      <c r="C5586" s="13">
        <f>IFERROR(__xludf.DUMMYFUNCTION("""COMPUTED_VALUE"""),0.75)</f>
        <v>0.75</v>
      </c>
      <c r="D5586" s="8">
        <f>IFERROR(__xludf.DUMMYFUNCTION("""COMPUTED_VALUE"""),0.25)</f>
        <v>0.25</v>
      </c>
      <c r="E5586" s="8" t="str">
        <f>IFERROR(__xludf.DUMMYFUNCTION("""COMPUTED_VALUE"""),"Real")</f>
        <v>Real</v>
      </c>
      <c r="G5586" s="8">
        <f t="shared" si="1"/>
        <v>6</v>
      </c>
      <c r="H5586" s="14">
        <f t="shared" si="2"/>
        <v>21</v>
      </c>
      <c r="I5586" s="15">
        <f t="shared" si="3"/>
        <v>18</v>
      </c>
    </row>
    <row r="5587">
      <c r="A5587" s="8" t="str">
        <f>IFERROR(__xludf.DUMMYFUNCTION("IF('(INGESTA)Datos_consumo_datadis'!A5587&lt;&gt;"""",SPLIT('(INGESTA)Datos_consumo_datadis'!A:A,"",""),"""")"),"ES0031408323131005HX0F")</f>
        <v>ES0031408323131005HX0F</v>
      </c>
      <c r="B5587" s="12">
        <f>IFERROR(__xludf.DUMMYFUNCTION("""COMPUTED_VALUE"""),45098.0)</f>
        <v>45098</v>
      </c>
      <c r="C5587" s="13">
        <f>IFERROR(__xludf.DUMMYFUNCTION("""COMPUTED_VALUE"""),0.7916666666666666)</f>
        <v>0.7916666667</v>
      </c>
      <c r="D5587" s="8">
        <f>IFERROR(__xludf.DUMMYFUNCTION("""COMPUTED_VALUE"""),0.106)</f>
        <v>0.106</v>
      </c>
      <c r="E5587" s="8" t="str">
        <f>IFERROR(__xludf.DUMMYFUNCTION("""COMPUTED_VALUE"""),"Real")</f>
        <v>Real</v>
      </c>
      <c r="G5587" s="8">
        <f t="shared" si="1"/>
        <v>6</v>
      </c>
      <c r="H5587" s="14">
        <f t="shared" si="2"/>
        <v>21</v>
      </c>
      <c r="I5587" s="15">
        <f t="shared" si="3"/>
        <v>19</v>
      </c>
    </row>
    <row r="5588">
      <c r="A5588" s="8" t="str">
        <f>IFERROR(__xludf.DUMMYFUNCTION("IF('(INGESTA)Datos_consumo_datadis'!A5588&lt;&gt;"""",SPLIT('(INGESTA)Datos_consumo_datadis'!A:A,"",""),"""")"),"ES0031408323131005HX0F")</f>
        <v>ES0031408323131005HX0F</v>
      </c>
      <c r="B5588" s="12">
        <f>IFERROR(__xludf.DUMMYFUNCTION("""COMPUTED_VALUE"""),45098.0)</f>
        <v>45098</v>
      </c>
      <c r="C5588" s="13">
        <f>IFERROR(__xludf.DUMMYFUNCTION("""COMPUTED_VALUE"""),0.8333333333333334)</f>
        <v>0.8333333333</v>
      </c>
      <c r="D5588" s="8">
        <f>IFERROR(__xludf.DUMMYFUNCTION("""COMPUTED_VALUE"""),0.076)</f>
        <v>0.076</v>
      </c>
      <c r="E5588" s="8" t="str">
        <f>IFERROR(__xludf.DUMMYFUNCTION("""COMPUTED_VALUE"""),"Real")</f>
        <v>Real</v>
      </c>
      <c r="G5588" s="8">
        <f t="shared" si="1"/>
        <v>6</v>
      </c>
      <c r="H5588" s="14">
        <f t="shared" si="2"/>
        <v>21</v>
      </c>
      <c r="I5588" s="15">
        <f t="shared" si="3"/>
        <v>20</v>
      </c>
    </row>
    <row r="5589">
      <c r="A5589" s="8" t="str">
        <f>IFERROR(__xludf.DUMMYFUNCTION("IF('(INGESTA)Datos_consumo_datadis'!A5589&lt;&gt;"""",SPLIT('(INGESTA)Datos_consumo_datadis'!A:A,"",""),"""")"),"ES0031408323131005HX0F")</f>
        <v>ES0031408323131005HX0F</v>
      </c>
      <c r="B5589" s="12">
        <f>IFERROR(__xludf.DUMMYFUNCTION("""COMPUTED_VALUE"""),45098.0)</f>
        <v>45098</v>
      </c>
      <c r="C5589" s="13">
        <f>IFERROR(__xludf.DUMMYFUNCTION("""COMPUTED_VALUE"""),0.875)</f>
        <v>0.875</v>
      </c>
      <c r="D5589" s="8">
        <f>IFERROR(__xludf.DUMMYFUNCTION("""COMPUTED_VALUE"""),0.084)</f>
        <v>0.084</v>
      </c>
      <c r="E5589" s="8" t="str">
        <f>IFERROR(__xludf.DUMMYFUNCTION("""COMPUTED_VALUE"""),"Real")</f>
        <v>Real</v>
      </c>
      <c r="G5589" s="8">
        <f t="shared" si="1"/>
        <v>6</v>
      </c>
      <c r="H5589" s="14">
        <f t="shared" si="2"/>
        <v>21</v>
      </c>
      <c r="I5589" s="15">
        <f t="shared" si="3"/>
        <v>21</v>
      </c>
    </row>
    <row r="5590">
      <c r="A5590" s="8" t="str">
        <f>IFERROR(__xludf.DUMMYFUNCTION("IF('(INGESTA)Datos_consumo_datadis'!A5590&lt;&gt;"""",SPLIT('(INGESTA)Datos_consumo_datadis'!A:A,"",""),"""")"),"ES0031408323131005HX0F")</f>
        <v>ES0031408323131005HX0F</v>
      </c>
      <c r="B5590" s="12">
        <f>IFERROR(__xludf.DUMMYFUNCTION("""COMPUTED_VALUE"""),45098.0)</f>
        <v>45098</v>
      </c>
      <c r="C5590" s="13">
        <f>IFERROR(__xludf.DUMMYFUNCTION("""COMPUTED_VALUE"""),0.9166666666666666)</f>
        <v>0.9166666667</v>
      </c>
      <c r="D5590" s="8">
        <f>IFERROR(__xludf.DUMMYFUNCTION("""COMPUTED_VALUE"""),0.01)</f>
        <v>0.01</v>
      </c>
      <c r="E5590" s="8" t="str">
        <f>IFERROR(__xludf.DUMMYFUNCTION("""COMPUTED_VALUE"""),"Real")</f>
        <v>Real</v>
      </c>
      <c r="G5590" s="8">
        <f t="shared" si="1"/>
        <v>6</v>
      </c>
      <c r="H5590" s="14">
        <f t="shared" si="2"/>
        <v>21</v>
      </c>
      <c r="I5590" s="15">
        <f t="shared" si="3"/>
        <v>22</v>
      </c>
    </row>
    <row r="5591">
      <c r="A5591" s="8" t="str">
        <f>IFERROR(__xludf.DUMMYFUNCTION("IF('(INGESTA)Datos_consumo_datadis'!A5591&lt;&gt;"""",SPLIT('(INGESTA)Datos_consumo_datadis'!A:A,"",""),"""")"),"ES0031408323131005HX0F")</f>
        <v>ES0031408323131005HX0F</v>
      </c>
      <c r="B5591" s="12">
        <f>IFERROR(__xludf.DUMMYFUNCTION("""COMPUTED_VALUE"""),45098.0)</f>
        <v>45098</v>
      </c>
      <c r="C5591" s="13">
        <f>IFERROR(__xludf.DUMMYFUNCTION("""COMPUTED_VALUE"""),0.9583333333333334)</f>
        <v>0.9583333333</v>
      </c>
      <c r="D5591" s="8">
        <f>IFERROR(__xludf.DUMMYFUNCTION("""COMPUTED_VALUE"""),0.045)</f>
        <v>0.045</v>
      </c>
      <c r="E5591" s="8" t="str">
        <f>IFERROR(__xludf.DUMMYFUNCTION("""COMPUTED_VALUE"""),"Real")</f>
        <v>Real</v>
      </c>
      <c r="G5591" s="8">
        <f t="shared" si="1"/>
        <v>6</v>
      </c>
      <c r="H5591" s="14">
        <f t="shared" si="2"/>
        <v>21</v>
      </c>
      <c r="I5591" s="15">
        <f t="shared" si="3"/>
        <v>23</v>
      </c>
    </row>
    <row r="5592">
      <c r="A5592" s="8" t="str">
        <f>IFERROR(__xludf.DUMMYFUNCTION("IF('(INGESTA)Datos_consumo_datadis'!A5592&lt;&gt;"""",SPLIT('(INGESTA)Datos_consumo_datadis'!A:A,"",""),"""")"),"ES0031408323131005HX0F")</f>
        <v>ES0031408323131005HX0F</v>
      </c>
      <c r="B5592" s="12">
        <f>IFERROR(__xludf.DUMMYFUNCTION("""COMPUTED_VALUE"""),45098.0)</f>
        <v>45098</v>
      </c>
      <c r="C5592" s="16">
        <f>IFERROR(__xludf.DUMMYFUNCTION("""COMPUTED_VALUE"""),1.0)</f>
        <v>1</v>
      </c>
      <c r="D5592" s="8">
        <f>IFERROR(__xludf.DUMMYFUNCTION("""COMPUTED_VALUE"""),0.114)</f>
        <v>0.114</v>
      </c>
      <c r="E5592" s="8" t="str">
        <f>IFERROR(__xludf.DUMMYFUNCTION("""COMPUTED_VALUE"""),"Real")</f>
        <v>Real</v>
      </c>
      <c r="G5592" s="8">
        <f t="shared" si="1"/>
        <v>6</v>
      </c>
      <c r="H5592" s="14">
        <f t="shared" si="2"/>
        <v>21</v>
      </c>
      <c r="I5592" s="15">
        <f t="shared" si="3"/>
        <v>0</v>
      </c>
    </row>
    <row r="5593">
      <c r="A5593" s="8" t="str">
        <f>IFERROR(__xludf.DUMMYFUNCTION("IF('(INGESTA)Datos_consumo_datadis'!A5593&lt;&gt;"""",SPLIT('(INGESTA)Datos_consumo_datadis'!A:A,"",""),"""")"),"ES0031408323131005HX0F")</f>
        <v>ES0031408323131005HX0F</v>
      </c>
      <c r="B5593" s="12">
        <f>IFERROR(__xludf.DUMMYFUNCTION("""COMPUTED_VALUE"""),45099.0)</f>
        <v>45099</v>
      </c>
      <c r="C5593" s="13">
        <f>IFERROR(__xludf.DUMMYFUNCTION("""COMPUTED_VALUE"""),0.041666666666666664)</f>
        <v>0.04166666667</v>
      </c>
      <c r="D5593" s="8">
        <f>IFERROR(__xludf.DUMMYFUNCTION("""COMPUTED_VALUE"""),0.071)</f>
        <v>0.071</v>
      </c>
      <c r="E5593" s="8" t="str">
        <f>IFERROR(__xludf.DUMMYFUNCTION("""COMPUTED_VALUE"""),"Real")</f>
        <v>Real</v>
      </c>
      <c r="G5593" s="8">
        <f t="shared" si="1"/>
        <v>6</v>
      </c>
      <c r="H5593" s="14">
        <f t="shared" si="2"/>
        <v>22</v>
      </c>
      <c r="I5593" s="15">
        <f t="shared" si="3"/>
        <v>1</v>
      </c>
    </row>
    <row r="5594">
      <c r="A5594" s="8" t="str">
        <f>IFERROR(__xludf.DUMMYFUNCTION("IF('(INGESTA)Datos_consumo_datadis'!A5594&lt;&gt;"""",SPLIT('(INGESTA)Datos_consumo_datadis'!A:A,"",""),"""")"),"ES0031408323131005HX0F")</f>
        <v>ES0031408323131005HX0F</v>
      </c>
      <c r="B5594" s="12">
        <f>IFERROR(__xludf.DUMMYFUNCTION("""COMPUTED_VALUE"""),45099.0)</f>
        <v>45099</v>
      </c>
      <c r="C5594" s="13">
        <f>IFERROR(__xludf.DUMMYFUNCTION("""COMPUTED_VALUE"""),0.08333333333333333)</f>
        <v>0.08333333333</v>
      </c>
      <c r="D5594" s="8">
        <f>IFERROR(__xludf.DUMMYFUNCTION("""COMPUTED_VALUE"""),0.346)</f>
        <v>0.346</v>
      </c>
      <c r="E5594" s="8" t="str">
        <f>IFERROR(__xludf.DUMMYFUNCTION("""COMPUTED_VALUE"""),"Real")</f>
        <v>Real</v>
      </c>
      <c r="G5594" s="8">
        <f t="shared" si="1"/>
        <v>6</v>
      </c>
      <c r="H5594" s="14">
        <f t="shared" si="2"/>
        <v>22</v>
      </c>
      <c r="I5594" s="15">
        <f t="shared" si="3"/>
        <v>2</v>
      </c>
    </row>
    <row r="5595">
      <c r="A5595" s="8" t="str">
        <f>IFERROR(__xludf.DUMMYFUNCTION("IF('(INGESTA)Datos_consumo_datadis'!A5595&lt;&gt;"""",SPLIT('(INGESTA)Datos_consumo_datadis'!A:A,"",""),"""")"),"ES0031408323131005HX0F")</f>
        <v>ES0031408323131005HX0F</v>
      </c>
      <c r="B5595" s="12">
        <f>IFERROR(__xludf.DUMMYFUNCTION("""COMPUTED_VALUE"""),45099.0)</f>
        <v>45099</v>
      </c>
      <c r="C5595" s="13">
        <f>IFERROR(__xludf.DUMMYFUNCTION("""COMPUTED_VALUE"""),0.125)</f>
        <v>0.125</v>
      </c>
      <c r="D5595" s="8">
        <f>IFERROR(__xludf.DUMMYFUNCTION("""COMPUTED_VALUE"""),0.03)</f>
        <v>0.03</v>
      </c>
      <c r="E5595" s="8" t="str">
        <f>IFERROR(__xludf.DUMMYFUNCTION("""COMPUTED_VALUE"""),"Real")</f>
        <v>Real</v>
      </c>
      <c r="G5595" s="8">
        <f t="shared" si="1"/>
        <v>6</v>
      </c>
      <c r="H5595" s="14">
        <f t="shared" si="2"/>
        <v>22</v>
      </c>
      <c r="I5595" s="15">
        <f t="shared" si="3"/>
        <v>3</v>
      </c>
    </row>
    <row r="5596">
      <c r="A5596" s="8" t="str">
        <f>IFERROR(__xludf.DUMMYFUNCTION("IF('(INGESTA)Datos_consumo_datadis'!A5596&lt;&gt;"""",SPLIT('(INGESTA)Datos_consumo_datadis'!A:A,"",""),"""")"),"ES0031408323131005HX0F")</f>
        <v>ES0031408323131005HX0F</v>
      </c>
      <c r="B5596" s="12">
        <f>IFERROR(__xludf.DUMMYFUNCTION("""COMPUTED_VALUE"""),45099.0)</f>
        <v>45099</v>
      </c>
      <c r="C5596" s="13">
        <f>IFERROR(__xludf.DUMMYFUNCTION("""COMPUTED_VALUE"""),0.16666666666666666)</f>
        <v>0.1666666667</v>
      </c>
      <c r="D5596" s="8">
        <f>IFERROR(__xludf.DUMMYFUNCTION("""COMPUTED_VALUE"""),0.098)</f>
        <v>0.098</v>
      </c>
      <c r="E5596" s="8" t="str">
        <f>IFERROR(__xludf.DUMMYFUNCTION("""COMPUTED_VALUE"""),"Real")</f>
        <v>Real</v>
      </c>
      <c r="G5596" s="8">
        <f t="shared" si="1"/>
        <v>6</v>
      </c>
      <c r="H5596" s="14">
        <f t="shared" si="2"/>
        <v>22</v>
      </c>
      <c r="I5596" s="15">
        <f t="shared" si="3"/>
        <v>4</v>
      </c>
    </row>
    <row r="5597">
      <c r="A5597" s="8" t="str">
        <f>IFERROR(__xludf.DUMMYFUNCTION("IF('(INGESTA)Datos_consumo_datadis'!A5597&lt;&gt;"""",SPLIT('(INGESTA)Datos_consumo_datadis'!A:A,"",""),"""")"),"ES0031408323131005HX0F")</f>
        <v>ES0031408323131005HX0F</v>
      </c>
      <c r="B5597" s="12">
        <f>IFERROR(__xludf.DUMMYFUNCTION("""COMPUTED_VALUE"""),45099.0)</f>
        <v>45099</v>
      </c>
      <c r="C5597" s="13">
        <f>IFERROR(__xludf.DUMMYFUNCTION("""COMPUTED_VALUE"""),0.20833333333333334)</f>
        <v>0.2083333333</v>
      </c>
      <c r="D5597" s="8">
        <f>IFERROR(__xludf.DUMMYFUNCTION("""COMPUTED_VALUE"""),0.088)</f>
        <v>0.088</v>
      </c>
      <c r="E5597" s="8" t="str">
        <f>IFERROR(__xludf.DUMMYFUNCTION("""COMPUTED_VALUE"""),"Real")</f>
        <v>Real</v>
      </c>
      <c r="G5597" s="8">
        <f t="shared" si="1"/>
        <v>6</v>
      </c>
      <c r="H5597" s="14">
        <f t="shared" si="2"/>
        <v>22</v>
      </c>
      <c r="I5597" s="15">
        <f t="shared" si="3"/>
        <v>5</v>
      </c>
    </row>
    <row r="5598">
      <c r="A5598" s="8" t="str">
        <f>IFERROR(__xludf.DUMMYFUNCTION("IF('(INGESTA)Datos_consumo_datadis'!A5598&lt;&gt;"""",SPLIT('(INGESTA)Datos_consumo_datadis'!A:A,"",""),"""")"),"ES0031408323131005HX0F")</f>
        <v>ES0031408323131005HX0F</v>
      </c>
      <c r="B5598" s="12">
        <f>IFERROR(__xludf.DUMMYFUNCTION("""COMPUTED_VALUE"""),45099.0)</f>
        <v>45099</v>
      </c>
      <c r="C5598" s="13">
        <f>IFERROR(__xludf.DUMMYFUNCTION("""COMPUTED_VALUE"""),0.25)</f>
        <v>0.25</v>
      </c>
      <c r="D5598" s="8">
        <f>IFERROR(__xludf.DUMMYFUNCTION("""COMPUTED_VALUE"""),0.076)</f>
        <v>0.076</v>
      </c>
      <c r="E5598" s="8" t="str">
        <f>IFERROR(__xludf.DUMMYFUNCTION("""COMPUTED_VALUE"""),"Real")</f>
        <v>Real</v>
      </c>
      <c r="G5598" s="8">
        <f t="shared" si="1"/>
        <v>6</v>
      </c>
      <c r="H5598" s="14">
        <f t="shared" si="2"/>
        <v>22</v>
      </c>
      <c r="I5598" s="15">
        <f t="shared" si="3"/>
        <v>6</v>
      </c>
    </row>
    <row r="5599">
      <c r="A5599" s="8" t="str">
        <f>IFERROR(__xludf.DUMMYFUNCTION("IF('(INGESTA)Datos_consumo_datadis'!A5599&lt;&gt;"""",SPLIT('(INGESTA)Datos_consumo_datadis'!A:A,"",""),"""")"),"ES0031408323131005HX0F")</f>
        <v>ES0031408323131005HX0F</v>
      </c>
      <c r="B5599" s="12">
        <f>IFERROR(__xludf.DUMMYFUNCTION("""COMPUTED_VALUE"""),45099.0)</f>
        <v>45099</v>
      </c>
      <c r="C5599" s="13">
        <f>IFERROR(__xludf.DUMMYFUNCTION("""COMPUTED_VALUE"""),0.2916666666666667)</f>
        <v>0.2916666667</v>
      </c>
      <c r="D5599" s="8">
        <f>IFERROR(__xludf.DUMMYFUNCTION("""COMPUTED_VALUE"""),0.023)</f>
        <v>0.023</v>
      </c>
      <c r="E5599" s="8" t="str">
        <f>IFERROR(__xludf.DUMMYFUNCTION("""COMPUTED_VALUE"""),"Real")</f>
        <v>Real</v>
      </c>
      <c r="G5599" s="8">
        <f t="shared" si="1"/>
        <v>6</v>
      </c>
      <c r="H5599" s="14">
        <f t="shared" si="2"/>
        <v>22</v>
      </c>
      <c r="I5599" s="15">
        <f t="shared" si="3"/>
        <v>7</v>
      </c>
    </row>
    <row r="5600">
      <c r="A5600" s="8" t="str">
        <f>IFERROR(__xludf.DUMMYFUNCTION("IF('(INGESTA)Datos_consumo_datadis'!A5600&lt;&gt;"""",SPLIT('(INGESTA)Datos_consumo_datadis'!A:A,"",""),"""")"),"ES0031408323131005HX0F")</f>
        <v>ES0031408323131005HX0F</v>
      </c>
      <c r="B5600" s="12">
        <f>IFERROR(__xludf.DUMMYFUNCTION("""COMPUTED_VALUE"""),45099.0)</f>
        <v>45099</v>
      </c>
      <c r="C5600" s="13">
        <f>IFERROR(__xludf.DUMMYFUNCTION("""COMPUTED_VALUE"""),0.3333333333333333)</f>
        <v>0.3333333333</v>
      </c>
      <c r="D5600" s="8">
        <f>IFERROR(__xludf.DUMMYFUNCTION("""COMPUTED_VALUE"""),0.027)</f>
        <v>0.027</v>
      </c>
      <c r="E5600" s="8" t="str">
        <f>IFERROR(__xludf.DUMMYFUNCTION("""COMPUTED_VALUE"""),"Real")</f>
        <v>Real</v>
      </c>
      <c r="G5600" s="8">
        <f t="shared" si="1"/>
        <v>6</v>
      </c>
      <c r="H5600" s="14">
        <f t="shared" si="2"/>
        <v>22</v>
      </c>
      <c r="I5600" s="15">
        <f t="shared" si="3"/>
        <v>8</v>
      </c>
    </row>
    <row r="5601">
      <c r="A5601" s="8" t="str">
        <f>IFERROR(__xludf.DUMMYFUNCTION("IF('(INGESTA)Datos_consumo_datadis'!A5601&lt;&gt;"""",SPLIT('(INGESTA)Datos_consumo_datadis'!A:A,"",""),"""")"),"ES0031408323131005HX0F")</f>
        <v>ES0031408323131005HX0F</v>
      </c>
      <c r="B5601" s="12">
        <f>IFERROR(__xludf.DUMMYFUNCTION("""COMPUTED_VALUE"""),45099.0)</f>
        <v>45099</v>
      </c>
      <c r="C5601" s="13">
        <f>IFERROR(__xludf.DUMMYFUNCTION("""COMPUTED_VALUE"""),0.375)</f>
        <v>0.375</v>
      </c>
      <c r="D5601" s="8">
        <f>IFERROR(__xludf.DUMMYFUNCTION("""COMPUTED_VALUE"""),0.115)</f>
        <v>0.115</v>
      </c>
      <c r="E5601" s="8" t="str">
        <f>IFERROR(__xludf.DUMMYFUNCTION("""COMPUTED_VALUE"""),"Real")</f>
        <v>Real</v>
      </c>
      <c r="G5601" s="8">
        <f t="shared" si="1"/>
        <v>6</v>
      </c>
      <c r="H5601" s="14">
        <f t="shared" si="2"/>
        <v>22</v>
      </c>
      <c r="I5601" s="15">
        <f t="shared" si="3"/>
        <v>9</v>
      </c>
    </row>
    <row r="5602">
      <c r="A5602" s="8" t="str">
        <f>IFERROR(__xludf.DUMMYFUNCTION("IF('(INGESTA)Datos_consumo_datadis'!A5602&lt;&gt;"""",SPLIT('(INGESTA)Datos_consumo_datadis'!A:A,"",""),"""")"),"ES0031408323131005HX0F")</f>
        <v>ES0031408323131005HX0F</v>
      </c>
      <c r="B5602" s="12">
        <f>IFERROR(__xludf.DUMMYFUNCTION("""COMPUTED_VALUE"""),45099.0)</f>
        <v>45099</v>
      </c>
      <c r="C5602" s="13">
        <f>IFERROR(__xludf.DUMMYFUNCTION("""COMPUTED_VALUE"""),0.4166666666666667)</f>
        <v>0.4166666667</v>
      </c>
      <c r="D5602" s="8">
        <f>IFERROR(__xludf.DUMMYFUNCTION("""COMPUTED_VALUE"""),0.368)</f>
        <v>0.368</v>
      </c>
      <c r="E5602" s="8" t="str">
        <f>IFERROR(__xludf.DUMMYFUNCTION("""COMPUTED_VALUE"""),"Real")</f>
        <v>Real</v>
      </c>
      <c r="G5602" s="8">
        <f t="shared" si="1"/>
        <v>6</v>
      </c>
      <c r="H5602" s="14">
        <f t="shared" si="2"/>
        <v>22</v>
      </c>
      <c r="I5602" s="15">
        <f t="shared" si="3"/>
        <v>10</v>
      </c>
    </row>
    <row r="5603">
      <c r="A5603" s="8" t="str">
        <f>IFERROR(__xludf.DUMMYFUNCTION("IF('(INGESTA)Datos_consumo_datadis'!A5603&lt;&gt;"""",SPLIT('(INGESTA)Datos_consumo_datadis'!A:A,"",""),"""")"),"ES0031408323131005HX0F")</f>
        <v>ES0031408323131005HX0F</v>
      </c>
      <c r="B5603" s="12">
        <f>IFERROR(__xludf.DUMMYFUNCTION("""COMPUTED_VALUE"""),45099.0)</f>
        <v>45099</v>
      </c>
      <c r="C5603" s="13">
        <f>IFERROR(__xludf.DUMMYFUNCTION("""COMPUTED_VALUE"""),0.4583333333333333)</f>
        <v>0.4583333333</v>
      </c>
      <c r="D5603" s="8">
        <f>IFERROR(__xludf.DUMMYFUNCTION("""COMPUTED_VALUE"""),0.058)</f>
        <v>0.058</v>
      </c>
      <c r="E5603" s="8" t="str">
        <f>IFERROR(__xludf.DUMMYFUNCTION("""COMPUTED_VALUE"""),"Real")</f>
        <v>Real</v>
      </c>
      <c r="G5603" s="8">
        <f t="shared" si="1"/>
        <v>6</v>
      </c>
      <c r="H5603" s="14">
        <f t="shared" si="2"/>
        <v>22</v>
      </c>
      <c r="I5603" s="15">
        <f t="shared" si="3"/>
        <v>11</v>
      </c>
    </row>
    <row r="5604">
      <c r="A5604" s="8" t="str">
        <f>IFERROR(__xludf.DUMMYFUNCTION("IF('(INGESTA)Datos_consumo_datadis'!A5604&lt;&gt;"""",SPLIT('(INGESTA)Datos_consumo_datadis'!A:A,"",""),"""")"),"ES0031408323131005HX0F")</f>
        <v>ES0031408323131005HX0F</v>
      </c>
      <c r="B5604" s="12">
        <f>IFERROR(__xludf.DUMMYFUNCTION("""COMPUTED_VALUE"""),45099.0)</f>
        <v>45099</v>
      </c>
      <c r="C5604" s="13">
        <f>IFERROR(__xludf.DUMMYFUNCTION("""COMPUTED_VALUE"""),0.5)</f>
        <v>0.5</v>
      </c>
      <c r="D5604" s="8">
        <f>IFERROR(__xludf.DUMMYFUNCTION("""COMPUTED_VALUE"""),0.01)</f>
        <v>0.01</v>
      </c>
      <c r="E5604" s="8" t="str">
        <f>IFERROR(__xludf.DUMMYFUNCTION("""COMPUTED_VALUE"""),"Real")</f>
        <v>Real</v>
      </c>
      <c r="G5604" s="8">
        <f t="shared" si="1"/>
        <v>6</v>
      </c>
      <c r="H5604" s="14">
        <f t="shared" si="2"/>
        <v>22</v>
      </c>
      <c r="I5604" s="15">
        <f t="shared" si="3"/>
        <v>12</v>
      </c>
    </row>
    <row r="5605">
      <c r="A5605" s="8" t="str">
        <f>IFERROR(__xludf.DUMMYFUNCTION("IF('(INGESTA)Datos_consumo_datadis'!A5605&lt;&gt;"""",SPLIT('(INGESTA)Datos_consumo_datadis'!A:A,"",""),"""")"),"ES0031408323131005HX0F")</f>
        <v>ES0031408323131005HX0F</v>
      </c>
      <c r="B5605" s="12">
        <f>IFERROR(__xludf.DUMMYFUNCTION("""COMPUTED_VALUE"""),45099.0)</f>
        <v>45099</v>
      </c>
      <c r="C5605" s="13">
        <f>IFERROR(__xludf.DUMMYFUNCTION("""COMPUTED_VALUE"""),0.5416666666666666)</f>
        <v>0.5416666667</v>
      </c>
      <c r="D5605" s="8">
        <f>IFERROR(__xludf.DUMMYFUNCTION("""COMPUTED_VALUE"""),0.072)</f>
        <v>0.072</v>
      </c>
      <c r="E5605" s="8" t="str">
        <f>IFERROR(__xludf.DUMMYFUNCTION("""COMPUTED_VALUE"""),"Real")</f>
        <v>Real</v>
      </c>
      <c r="G5605" s="8">
        <f t="shared" si="1"/>
        <v>6</v>
      </c>
      <c r="H5605" s="14">
        <f t="shared" si="2"/>
        <v>22</v>
      </c>
      <c r="I5605" s="15">
        <f t="shared" si="3"/>
        <v>13</v>
      </c>
    </row>
    <row r="5606">
      <c r="A5606" s="8" t="str">
        <f>IFERROR(__xludf.DUMMYFUNCTION("IF('(INGESTA)Datos_consumo_datadis'!A5606&lt;&gt;"""",SPLIT('(INGESTA)Datos_consumo_datadis'!A:A,"",""),"""")"),"ES0031408323131005HX0F")</f>
        <v>ES0031408323131005HX0F</v>
      </c>
      <c r="B5606" s="12">
        <f>IFERROR(__xludf.DUMMYFUNCTION("""COMPUTED_VALUE"""),45099.0)</f>
        <v>45099</v>
      </c>
      <c r="C5606" s="13">
        <f>IFERROR(__xludf.DUMMYFUNCTION("""COMPUTED_VALUE"""),0.5833333333333334)</f>
        <v>0.5833333333</v>
      </c>
      <c r="D5606" s="8">
        <f>IFERROR(__xludf.DUMMYFUNCTION("""COMPUTED_VALUE"""),0.106)</f>
        <v>0.106</v>
      </c>
      <c r="E5606" s="8" t="str">
        <f>IFERROR(__xludf.DUMMYFUNCTION("""COMPUTED_VALUE"""),"Real")</f>
        <v>Real</v>
      </c>
      <c r="G5606" s="8">
        <f t="shared" si="1"/>
        <v>6</v>
      </c>
      <c r="H5606" s="14">
        <f t="shared" si="2"/>
        <v>22</v>
      </c>
      <c r="I5606" s="15">
        <f t="shared" si="3"/>
        <v>14</v>
      </c>
    </row>
    <row r="5607">
      <c r="A5607" s="8" t="str">
        <f>IFERROR(__xludf.DUMMYFUNCTION("IF('(INGESTA)Datos_consumo_datadis'!A5607&lt;&gt;"""",SPLIT('(INGESTA)Datos_consumo_datadis'!A:A,"",""),"""")"),"ES0031408323131005HX0F")</f>
        <v>ES0031408323131005HX0F</v>
      </c>
      <c r="B5607" s="12">
        <f>IFERROR(__xludf.DUMMYFUNCTION("""COMPUTED_VALUE"""),45099.0)</f>
        <v>45099</v>
      </c>
      <c r="C5607" s="13">
        <f>IFERROR(__xludf.DUMMYFUNCTION("""COMPUTED_VALUE"""),0.625)</f>
        <v>0.625</v>
      </c>
      <c r="D5607" s="8">
        <f>IFERROR(__xludf.DUMMYFUNCTION("""COMPUTED_VALUE"""),0.059)</f>
        <v>0.059</v>
      </c>
      <c r="E5607" s="8" t="str">
        <f>IFERROR(__xludf.DUMMYFUNCTION("""COMPUTED_VALUE"""),"Real")</f>
        <v>Real</v>
      </c>
      <c r="G5607" s="8">
        <f t="shared" si="1"/>
        <v>6</v>
      </c>
      <c r="H5607" s="14">
        <f t="shared" si="2"/>
        <v>22</v>
      </c>
      <c r="I5607" s="15">
        <f t="shared" si="3"/>
        <v>15</v>
      </c>
    </row>
    <row r="5608">
      <c r="A5608" s="8" t="str">
        <f>IFERROR(__xludf.DUMMYFUNCTION("IF('(INGESTA)Datos_consumo_datadis'!A5608&lt;&gt;"""",SPLIT('(INGESTA)Datos_consumo_datadis'!A:A,"",""),"""")"),"ES0031408323131005HX0F")</f>
        <v>ES0031408323131005HX0F</v>
      </c>
      <c r="B5608" s="12">
        <f>IFERROR(__xludf.DUMMYFUNCTION("""COMPUTED_VALUE"""),45099.0)</f>
        <v>45099</v>
      </c>
      <c r="C5608" s="13">
        <f>IFERROR(__xludf.DUMMYFUNCTION("""COMPUTED_VALUE"""),0.6666666666666666)</f>
        <v>0.6666666667</v>
      </c>
      <c r="D5608" s="8">
        <f>IFERROR(__xludf.DUMMYFUNCTION("""COMPUTED_VALUE"""),0.037)</f>
        <v>0.037</v>
      </c>
      <c r="E5608" s="8" t="str">
        <f>IFERROR(__xludf.DUMMYFUNCTION("""COMPUTED_VALUE"""),"Real")</f>
        <v>Real</v>
      </c>
      <c r="G5608" s="8">
        <f t="shared" si="1"/>
        <v>6</v>
      </c>
      <c r="H5608" s="14">
        <f t="shared" si="2"/>
        <v>22</v>
      </c>
      <c r="I5608" s="15">
        <f t="shared" si="3"/>
        <v>16</v>
      </c>
    </row>
    <row r="5609">
      <c r="A5609" s="8" t="str">
        <f>IFERROR(__xludf.DUMMYFUNCTION("IF('(INGESTA)Datos_consumo_datadis'!A5609&lt;&gt;"""",SPLIT('(INGESTA)Datos_consumo_datadis'!A:A,"",""),"""")"),"ES0031408323131005HX0F")</f>
        <v>ES0031408323131005HX0F</v>
      </c>
      <c r="B5609" s="12">
        <f>IFERROR(__xludf.DUMMYFUNCTION("""COMPUTED_VALUE"""),45099.0)</f>
        <v>45099</v>
      </c>
      <c r="C5609" s="13">
        <f>IFERROR(__xludf.DUMMYFUNCTION("""COMPUTED_VALUE"""),0.7083333333333334)</f>
        <v>0.7083333333</v>
      </c>
      <c r="D5609" s="8">
        <f>IFERROR(__xludf.DUMMYFUNCTION("""COMPUTED_VALUE"""),0.013)</f>
        <v>0.013</v>
      </c>
      <c r="E5609" s="8" t="str">
        <f>IFERROR(__xludf.DUMMYFUNCTION("""COMPUTED_VALUE"""),"Real")</f>
        <v>Real</v>
      </c>
      <c r="G5609" s="8">
        <f t="shared" si="1"/>
        <v>6</v>
      </c>
      <c r="H5609" s="14">
        <f t="shared" si="2"/>
        <v>22</v>
      </c>
      <c r="I5609" s="15">
        <f t="shared" si="3"/>
        <v>17</v>
      </c>
    </row>
    <row r="5610">
      <c r="A5610" s="8" t="str">
        <f>IFERROR(__xludf.DUMMYFUNCTION("IF('(INGESTA)Datos_consumo_datadis'!A5610&lt;&gt;"""",SPLIT('(INGESTA)Datos_consumo_datadis'!A:A,"",""),"""")"),"ES0031408323131005HX0F")</f>
        <v>ES0031408323131005HX0F</v>
      </c>
      <c r="B5610" s="12">
        <f>IFERROR(__xludf.DUMMYFUNCTION("""COMPUTED_VALUE"""),45099.0)</f>
        <v>45099</v>
      </c>
      <c r="C5610" s="13">
        <f>IFERROR(__xludf.DUMMYFUNCTION("""COMPUTED_VALUE"""),0.75)</f>
        <v>0.75</v>
      </c>
      <c r="D5610" s="8">
        <f>IFERROR(__xludf.DUMMYFUNCTION("""COMPUTED_VALUE"""),0.392)</f>
        <v>0.392</v>
      </c>
      <c r="E5610" s="8" t="str">
        <f>IFERROR(__xludf.DUMMYFUNCTION("""COMPUTED_VALUE"""),"Real")</f>
        <v>Real</v>
      </c>
      <c r="G5610" s="8">
        <f t="shared" si="1"/>
        <v>6</v>
      </c>
      <c r="H5610" s="14">
        <f t="shared" si="2"/>
        <v>22</v>
      </c>
      <c r="I5610" s="15">
        <f t="shared" si="3"/>
        <v>18</v>
      </c>
    </row>
    <row r="5611">
      <c r="A5611" s="8" t="str">
        <f>IFERROR(__xludf.DUMMYFUNCTION("IF('(INGESTA)Datos_consumo_datadis'!A5611&lt;&gt;"""",SPLIT('(INGESTA)Datos_consumo_datadis'!A:A,"",""),"""")"),"ES0031408323131005HX0F")</f>
        <v>ES0031408323131005HX0F</v>
      </c>
      <c r="B5611" s="12">
        <f>IFERROR(__xludf.DUMMYFUNCTION("""COMPUTED_VALUE"""),45099.0)</f>
        <v>45099</v>
      </c>
      <c r="C5611" s="13">
        <f>IFERROR(__xludf.DUMMYFUNCTION("""COMPUTED_VALUE"""),0.7916666666666666)</f>
        <v>0.7916666667</v>
      </c>
      <c r="D5611" s="8">
        <f>IFERROR(__xludf.DUMMYFUNCTION("""COMPUTED_VALUE"""),0.077)</f>
        <v>0.077</v>
      </c>
      <c r="E5611" s="8" t="str">
        <f>IFERROR(__xludf.DUMMYFUNCTION("""COMPUTED_VALUE"""),"Real")</f>
        <v>Real</v>
      </c>
      <c r="G5611" s="8">
        <f t="shared" si="1"/>
        <v>6</v>
      </c>
      <c r="H5611" s="14">
        <f t="shared" si="2"/>
        <v>22</v>
      </c>
      <c r="I5611" s="15">
        <f t="shared" si="3"/>
        <v>19</v>
      </c>
    </row>
    <row r="5612">
      <c r="A5612" s="8" t="str">
        <f>IFERROR(__xludf.DUMMYFUNCTION("IF('(INGESTA)Datos_consumo_datadis'!A5612&lt;&gt;"""",SPLIT('(INGESTA)Datos_consumo_datadis'!A:A,"",""),"""")"),"ES0031408323131005HX0F")</f>
        <v>ES0031408323131005HX0F</v>
      </c>
      <c r="B5612" s="12">
        <f>IFERROR(__xludf.DUMMYFUNCTION("""COMPUTED_VALUE"""),45099.0)</f>
        <v>45099</v>
      </c>
      <c r="C5612" s="13">
        <f>IFERROR(__xludf.DUMMYFUNCTION("""COMPUTED_VALUE"""),0.8333333333333334)</f>
        <v>0.8333333333</v>
      </c>
      <c r="D5612" s="8">
        <f>IFERROR(__xludf.DUMMYFUNCTION("""COMPUTED_VALUE"""),0.075)</f>
        <v>0.075</v>
      </c>
      <c r="E5612" s="8" t="str">
        <f>IFERROR(__xludf.DUMMYFUNCTION("""COMPUTED_VALUE"""),"Real")</f>
        <v>Real</v>
      </c>
      <c r="G5612" s="8">
        <f t="shared" si="1"/>
        <v>6</v>
      </c>
      <c r="H5612" s="14">
        <f t="shared" si="2"/>
        <v>22</v>
      </c>
      <c r="I5612" s="15">
        <f t="shared" si="3"/>
        <v>20</v>
      </c>
    </row>
    <row r="5613">
      <c r="A5613" s="8" t="str">
        <f>IFERROR(__xludf.DUMMYFUNCTION("IF('(INGESTA)Datos_consumo_datadis'!A5613&lt;&gt;"""",SPLIT('(INGESTA)Datos_consumo_datadis'!A:A,"",""),"""")"),"ES0031408323131005HX0F")</f>
        <v>ES0031408323131005HX0F</v>
      </c>
      <c r="B5613" s="12">
        <f>IFERROR(__xludf.DUMMYFUNCTION("""COMPUTED_VALUE"""),45099.0)</f>
        <v>45099</v>
      </c>
      <c r="C5613" s="13">
        <f>IFERROR(__xludf.DUMMYFUNCTION("""COMPUTED_VALUE"""),0.875)</f>
        <v>0.875</v>
      </c>
      <c r="D5613" s="8">
        <f>IFERROR(__xludf.DUMMYFUNCTION("""COMPUTED_VALUE"""),0.01)</f>
        <v>0.01</v>
      </c>
      <c r="E5613" s="8" t="str">
        <f>IFERROR(__xludf.DUMMYFUNCTION("""COMPUTED_VALUE"""),"Real")</f>
        <v>Real</v>
      </c>
      <c r="G5613" s="8">
        <f t="shared" si="1"/>
        <v>6</v>
      </c>
      <c r="H5613" s="14">
        <f t="shared" si="2"/>
        <v>22</v>
      </c>
      <c r="I5613" s="15">
        <f t="shared" si="3"/>
        <v>21</v>
      </c>
    </row>
    <row r="5614">
      <c r="A5614" s="8" t="str">
        <f>IFERROR(__xludf.DUMMYFUNCTION("IF('(INGESTA)Datos_consumo_datadis'!A5614&lt;&gt;"""",SPLIT('(INGESTA)Datos_consumo_datadis'!A:A,"",""),"""")"),"ES0031408323131005HX0F")</f>
        <v>ES0031408323131005HX0F</v>
      </c>
      <c r="B5614" s="12">
        <f>IFERROR(__xludf.DUMMYFUNCTION("""COMPUTED_VALUE"""),45099.0)</f>
        <v>45099</v>
      </c>
      <c r="C5614" s="13">
        <f>IFERROR(__xludf.DUMMYFUNCTION("""COMPUTED_VALUE"""),0.9166666666666666)</f>
        <v>0.9166666667</v>
      </c>
      <c r="D5614" s="8">
        <f>IFERROR(__xludf.DUMMYFUNCTION("""COMPUTED_VALUE"""),0.056)</f>
        <v>0.056</v>
      </c>
      <c r="E5614" s="8" t="str">
        <f>IFERROR(__xludf.DUMMYFUNCTION("""COMPUTED_VALUE"""),"Real")</f>
        <v>Real</v>
      </c>
      <c r="G5614" s="8">
        <f t="shared" si="1"/>
        <v>6</v>
      </c>
      <c r="H5614" s="14">
        <f t="shared" si="2"/>
        <v>22</v>
      </c>
      <c r="I5614" s="15">
        <f t="shared" si="3"/>
        <v>22</v>
      </c>
    </row>
    <row r="5615">
      <c r="A5615" s="8" t="str">
        <f>IFERROR(__xludf.DUMMYFUNCTION("IF('(INGESTA)Datos_consumo_datadis'!A5615&lt;&gt;"""",SPLIT('(INGESTA)Datos_consumo_datadis'!A:A,"",""),"""")"),"ES0031408323131005HX0F")</f>
        <v>ES0031408323131005HX0F</v>
      </c>
      <c r="B5615" s="12">
        <f>IFERROR(__xludf.DUMMYFUNCTION("""COMPUTED_VALUE"""),45099.0)</f>
        <v>45099</v>
      </c>
      <c r="C5615" s="13">
        <f>IFERROR(__xludf.DUMMYFUNCTION("""COMPUTED_VALUE"""),0.9583333333333334)</f>
        <v>0.9583333333</v>
      </c>
      <c r="D5615" s="8">
        <f>IFERROR(__xludf.DUMMYFUNCTION("""COMPUTED_VALUE"""),0.113)</f>
        <v>0.113</v>
      </c>
      <c r="E5615" s="8" t="str">
        <f>IFERROR(__xludf.DUMMYFUNCTION("""COMPUTED_VALUE"""),"Real")</f>
        <v>Real</v>
      </c>
      <c r="G5615" s="8">
        <f t="shared" si="1"/>
        <v>6</v>
      </c>
      <c r="H5615" s="14">
        <f t="shared" si="2"/>
        <v>22</v>
      </c>
      <c r="I5615" s="15">
        <f t="shared" si="3"/>
        <v>23</v>
      </c>
    </row>
    <row r="5616">
      <c r="A5616" s="8" t="str">
        <f>IFERROR(__xludf.DUMMYFUNCTION("IF('(INGESTA)Datos_consumo_datadis'!A5616&lt;&gt;"""",SPLIT('(INGESTA)Datos_consumo_datadis'!A:A,"",""),"""")"),"ES0031408323131005HX0F")</f>
        <v>ES0031408323131005HX0F</v>
      </c>
      <c r="B5616" s="12">
        <f>IFERROR(__xludf.DUMMYFUNCTION("""COMPUTED_VALUE"""),45099.0)</f>
        <v>45099</v>
      </c>
      <c r="C5616" s="16">
        <f>IFERROR(__xludf.DUMMYFUNCTION("""COMPUTED_VALUE"""),1.0)</f>
        <v>1</v>
      </c>
      <c r="D5616" s="8">
        <f>IFERROR(__xludf.DUMMYFUNCTION("""COMPUTED_VALUE"""),0.066)</f>
        <v>0.066</v>
      </c>
      <c r="E5616" s="8" t="str">
        <f>IFERROR(__xludf.DUMMYFUNCTION("""COMPUTED_VALUE"""),"Real")</f>
        <v>Real</v>
      </c>
      <c r="G5616" s="8">
        <f t="shared" si="1"/>
        <v>6</v>
      </c>
      <c r="H5616" s="14">
        <f t="shared" si="2"/>
        <v>22</v>
      </c>
      <c r="I5616" s="15">
        <f t="shared" si="3"/>
        <v>0</v>
      </c>
    </row>
    <row r="5617">
      <c r="A5617" s="8" t="str">
        <f>IFERROR(__xludf.DUMMYFUNCTION("IF('(INGESTA)Datos_consumo_datadis'!A5617&lt;&gt;"""",SPLIT('(INGESTA)Datos_consumo_datadis'!A:A,"",""),"""")"),"ES0031408323131005HX0F")</f>
        <v>ES0031408323131005HX0F</v>
      </c>
      <c r="B5617" s="12">
        <f>IFERROR(__xludf.DUMMYFUNCTION("""COMPUTED_VALUE"""),45100.0)</f>
        <v>45100</v>
      </c>
      <c r="C5617" s="13">
        <f>IFERROR(__xludf.DUMMYFUNCTION("""COMPUTED_VALUE"""),0.041666666666666664)</f>
        <v>0.04166666667</v>
      </c>
      <c r="D5617" s="8">
        <f>IFERROR(__xludf.DUMMYFUNCTION("""COMPUTED_VALUE"""),0.047)</f>
        <v>0.047</v>
      </c>
      <c r="E5617" s="8" t="str">
        <f>IFERROR(__xludf.DUMMYFUNCTION("""COMPUTED_VALUE"""),"Real")</f>
        <v>Real</v>
      </c>
      <c r="G5617" s="8">
        <f t="shared" si="1"/>
        <v>6</v>
      </c>
      <c r="H5617" s="14">
        <f t="shared" si="2"/>
        <v>23</v>
      </c>
      <c r="I5617" s="15">
        <f t="shared" si="3"/>
        <v>1</v>
      </c>
    </row>
    <row r="5618">
      <c r="A5618" s="8" t="str">
        <f>IFERROR(__xludf.DUMMYFUNCTION("IF('(INGESTA)Datos_consumo_datadis'!A5618&lt;&gt;"""",SPLIT('(INGESTA)Datos_consumo_datadis'!A:A,"",""),"""")"),"ES0031408323131005HX0F")</f>
        <v>ES0031408323131005HX0F</v>
      </c>
      <c r="B5618" s="12">
        <f>IFERROR(__xludf.DUMMYFUNCTION("""COMPUTED_VALUE"""),45100.0)</f>
        <v>45100</v>
      </c>
      <c r="C5618" s="13">
        <f>IFERROR(__xludf.DUMMYFUNCTION("""COMPUTED_VALUE"""),0.08333333333333333)</f>
        <v>0.08333333333</v>
      </c>
      <c r="D5618" s="8">
        <f>IFERROR(__xludf.DUMMYFUNCTION("""COMPUTED_VALUE"""),0.286)</f>
        <v>0.286</v>
      </c>
      <c r="E5618" s="8" t="str">
        <f>IFERROR(__xludf.DUMMYFUNCTION("""COMPUTED_VALUE"""),"Real")</f>
        <v>Real</v>
      </c>
      <c r="G5618" s="8">
        <f t="shared" si="1"/>
        <v>6</v>
      </c>
      <c r="H5618" s="14">
        <f t="shared" si="2"/>
        <v>23</v>
      </c>
      <c r="I5618" s="15">
        <f t="shared" si="3"/>
        <v>2</v>
      </c>
    </row>
    <row r="5619">
      <c r="A5619" s="8" t="str">
        <f>IFERROR(__xludf.DUMMYFUNCTION("IF('(INGESTA)Datos_consumo_datadis'!A5619&lt;&gt;"""",SPLIT('(INGESTA)Datos_consumo_datadis'!A:A,"",""),"""")"),"ES0031408323131005HX0F")</f>
        <v>ES0031408323131005HX0F</v>
      </c>
      <c r="B5619" s="12">
        <f>IFERROR(__xludf.DUMMYFUNCTION("""COMPUTED_VALUE"""),45100.0)</f>
        <v>45100</v>
      </c>
      <c r="C5619" s="13">
        <f>IFERROR(__xludf.DUMMYFUNCTION("""COMPUTED_VALUE"""),0.125)</f>
        <v>0.125</v>
      </c>
      <c r="D5619" s="8">
        <f>IFERROR(__xludf.DUMMYFUNCTION("""COMPUTED_VALUE"""),0.121)</f>
        <v>0.121</v>
      </c>
      <c r="E5619" s="8" t="str">
        <f>IFERROR(__xludf.DUMMYFUNCTION("""COMPUTED_VALUE"""),"Real")</f>
        <v>Real</v>
      </c>
      <c r="G5619" s="8">
        <f t="shared" si="1"/>
        <v>6</v>
      </c>
      <c r="H5619" s="14">
        <f t="shared" si="2"/>
        <v>23</v>
      </c>
      <c r="I5619" s="15">
        <f t="shared" si="3"/>
        <v>3</v>
      </c>
    </row>
    <row r="5620">
      <c r="A5620" s="8" t="str">
        <f>IFERROR(__xludf.DUMMYFUNCTION("IF('(INGESTA)Datos_consumo_datadis'!A5620&lt;&gt;"""",SPLIT('(INGESTA)Datos_consumo_datadis'!A:A,"",""),"""")"),"ES0031408323131005HX0F")</f>
        <v>ES0031408323131005HX0F</v>
      </c>
      <c r="B5620" s="12">
        <f>IFERROR(__xludf.DUMMYFUNCTION("""COMPUTED_VALUE"""),45100.0)</f>
        <v>45100</v>
      </c>
      <c r="C5620" s="13">
        <f>IFERROR(__xludf.DUMMYFUNCTION("""COMPUTED_VALUE"""),0.16666666666666666)</f>
        <v>0.1666666667</v>
      </c>
      <c r="D5620" s="8">
        <f>IFERROR(__xludf.DUMMYFUNCTION("""COMPUTED_VALUE"""),0.092)</f>
        <v>0.092</v>
      </c>
      <c r="E5620" s="8" t="str">
        <f>IFERROR(__xludf.DUMMYFUNCTION("""COMPUTED_VALUE"""),"Real")</f>
        <v>Real</v>
      </c>
      <c r="G5620" s="8">
        <f t="shared" si="1"/>
        <v>6</v>
      </c>
      <c r="H5620" s="14">
        <f t="shared" si="2"/>
        <v>23</v>
      </c>
      <c r="I5620" s="15">
        <f t="shared" si="3"/>
        <v>4</v>
      </c>
    </row>
    <row r="5621">
      <c r="A5621" s="8" t="str">
        <f>IFERROR(__xludf.DUMMYFUNCTION("IF('(INGESTA)Datos_consumo_datadis'!A5621&lt;&gt;"""",SPLIT('(INGESTA)Datos_consumo_datadis'!A:A,"",""),"""")"),"ES0031408323131005HX0F")</f>
        <v>ES0031408323131005HX0F</v>
      </c>
      <c r="B5621" s="12">
        <f>IFERROR(__xludf.DUMMYFUNCTION("""COMPUTED_VALUE"""),45100.0)</f>
        <v>45100</v>
      </c>
      <c r="C5621" s="13">
        <f>IFERROR(__xludf.DUMMYFUNCTION("""COMPUTED_VALUE"""),0.20833333333333334)</f>
        <v>0.2083333333</v>
      </c>
      <c r="D5621" s="8">
        <f>IFERROR(__xludf.DUMMYFUNCTION("""COMPUTED_VALUE"""),0.084)</f>
        <v>0.084</v>
      </c>
      <c r="E5621" s="8" t="str">
        <f>IFERROR(__xludf.DUMMYFUNCTION("""COMPUTED_VALUE"""),"Real")</f>
        <v>Real</v>
      </c>
      <c r="G5621" s="8">
        <f t="shared" si="1"/>
        <v>6</v>
      </c>
      <c r="H5621" s="14">
        <f t="shared" si="2"/>
        <v>23</v>
      </c>
      <c r="I5621" s="15">
        <f t="shared" si="3"/>
        <v>5</v>
      </c>
    </row>
    <row r="5622">
      <c r="A5622" s="8" t="str">
        <f>IFERROR(__xludf.DUMMYFUNCTION("IF('(INGESTA)Datos_consumo_datadis'!A5622&lt;&gt;"""",SPLIT('(INGESTA)Datos_consumo_datadis'!A:A,"",""),"""")"),"ES0031408323131005HX0F")</f>
        <v>ES0031408323131005HX0F</v>
      </c>
      <c r="B5622" s="12">
        <f>IFERROR(__xludf.DUMMYFUNCTION("""COMPUTED_VALUE"""),45100.0)</f>
        <v>45100</v>
      </c>
      <c r="C5622" s="13">
        <f>IFERROR(__xludf.DUMMYFUNCTION("""COMPUTED_VALUE"""),0.25)</f>
        <v>0.25</v>
      </c>
      <c r="D5622" s="8">
        <f>IFERROR(__xludf.DUMMYFUNCTION("""COMPUTED_VALUE"""),0.03)</f>
        <v>0.03</v>
      </c>
      <c r="E5622" s="8" t="str">
        <f>IFERROR(__xludf.DUMMYFUNCTION("""COMPUTED_VALUE"""),"Real")</f>
        <v>Real</v>
      </c>
      <c r="G5622" s="8">
        <f t="shared" si="1"/>
        <v>6</v>
      </c>
      <c r="H5622" s="14">
        <f t="shared" si="2"/>
        <v>23</v>
      </c>
      <c r="I5622" s="15">
        <f t="shared" si="3"/>
        <v>6</v>
      </c>
    </row>
    <row r="5623">
      <c r="A5623" s="8" t="str">
        <f>IFERROR(__xludf.DUMMYFUNCTION("IF('(INGESTA)Datos_consumo_datadis'!A5623&lt;&gt;"""",SPLIT('(INGESTA)Datos_consumo_datadis'!A:A,"",""),"""")"),"ES0031408323131005HX0F")</f>
        <v>ES0031408323131005HX0F</v>
      </c>
      <c r="B5623" s="12">
        <f>IFERROR(__xludf.DUMMYFUNCTION("""COMPUTED_VALUE"""),45100.0)</f>
        <v>45100</v>
      </c>
      <c r="C5623" s="13">
        <f>IFERROR(__xludf.DUMMYFUNCTION("""COMPUTED_VALUE"""),0.2916666666666667)</f>
        <v>0.2916666667</v>
      </c>
      <c r="D5623" s="8">
        <f>IFERROR(__xludf.DUMMYFUNCTION("""COMPUTED_VALUE"""),0.051)</f>
        <v>0.051</v>
      </c>
      <c r="E5623" s="8" t="str">
        <f>IFERROR(__xludf.DUMMYFUNCTION("""COMPUTED_VALUE"""),"Real")</f>
        <v>Real</v>
      </c>
      <c r="G5623" s="8">
        <f t="shared" si="1"/>
        <v>6</v>
      </c>
      <c r="H5623" s="14">
        <f t="shared" si="2"/>
        <v>23</v>
      </c>
      <c r="I5623" s="15">
        <f t="shared" si="3"/>
        <v>7</v>
      </c>
    </row>
    <row r="5624">
      <c r="A5624" s="8" t="str">
        <f>IFERROR(__xludf.DUMMYFUNCTION("IF('(INGESTA)Datos_consumo_datadis'!A5624&lt;&gt;"""",SPLIT('(INGESTA)Datos_consumo_datadis'!A:A,"",""),"""")"),"ES0031408323131005HX0F")</f>
        <v>ES0031408323131005HX0F</v>
      </c>
      <c r="B5624" s="12">
        <f>IFERROR(__xludf.DUMMYFUNCTION("""COMPUTED_VALUE"""),45100.0)</f>
        <v>45100</v>
      </c>
      <c r="C5624" s="13">
        <f>IFERROR(__xludf.DUMMYFUNCTION("""COMPUTED_VALUE"""),0.3333333333333333)</f>
        <v>0.3333333333</v>
      </c>
      <c r="D5624" s="8">
        <f>IFERROR(__xludf.DUMMYFUNCTION("""COMPUTED_VALUE"""),0.115)</f>
        <v>0.115</v>
      </c>
      <c r="E5624" s="8" t="str">
        <f>IFERROR(__xludf.DUMMYFUNCTION("""COMPUTED_VALUE"""),"Real")</f>
        <v>Real</v>
      </c>
      <c r="G5624" s="8">
        <f t="shared" si="1"/>
        <v>6</v>
      </c>
      <c r="H5624" s="14">
        <f t="shared" si="2"/>
        <v>23</v>
      </c>
      <c r="I5624" s="15">
        <f t="shared" si="3"/>
        <v>8</v>
      </c>
    </row>
    <row r="5625">
      <c r="A5625" s="8" t="str">
        <f>IFERROR(__xludf.DUMMYFUNCTION("IF('(INGESTA)Datos_consumo_datadis'!A5625&lt;&gt;"""",SPLIT('(INGESTA)Datos_consumo_datadis'!A:A,"",""),"""")"),"ES0031408323131005HX0F")</f>
        <v>ES0031408323131005HX0F</v>
      </c>
      <c r="B5625" s="12">
        <f>IFERROR(__xludf.DUMMYFUNCTION("""COMPUTED_VALUE"""),45100.0)</f>
        <v>45100</v>
      </c>
      <c r="C5625" s="13">
        <f>IFERROR(__xludf.DUMMYFUNCTION("""COMPUTED_VALUE"""),0.375)</f>
        <v>0.375</v>
      </c>
      <c r="D5625" s="8">
        <f>IFERROR(__xludf.DUMMYFUNCTION("""COMPUTED_VALUE"""),0.079)</f>
        <v>0.079</v>
      </c>
      <c r="E5625" s="8" t="str">
        <f>IFERROR(__xludf.DUMMYFUNCTION("""COMPUTED_VALUE"""),"Real")</f>
        <v>Real</v>
      </c>
      <c r="G5625" s="8">
        <f t="shared" si="1"/>
        <v>6</v>
      </c>
      <c r="H5625" s="14">
        <f t="shared" si="2"/>
        <v>23</v>
      </c>
      <c r="I5625" s="15">
        <f t="shared" si="3"/>
        <v>9</v>
      </c>
    </row>
    <row r="5626">
      <c r="A5626" s="8" t="str">
        <f>IFERROR(__xludf.DUMMYFUNCTION("IF('(INGESTA)Datos_consumo_datadis'!A5626&lt;&gt;"""",SPLIT('(INGESTA)Datos_consumo_datadis'!A:A,"",""),"""")"),"ES0031408323131005HX0F")</f>
        <v>ES0031408323131005HX0F</v>
      </c>
      <c r="B5626" s="12">
        <f>IFERROR(__xludf.DUMMYFUNCTION("""COMPUTED_VALUE"""),45100.0)</f>
        <v>45100</v>
      </c>
      <c r="C5626" s="13">
        <f>IFERROR(__xludf.DUMMYFUNCTION("""COMPUTED_VALUE"""),0.4166666666666667)</f>
        <v>0.4166666667</v>
      </c>
      <c r="D5626" s="8">
        <f>IFERROR(__xludf.DUMMYFUNCTION("""COMPUTED_VALUE"""),0.327)</f>
        <v>0.327</v>
      </c>
      <c r="E5626" s="8" t="str">
        <f>IFERROR(__xludf.DUMMYFUNCTION("""COMPUTED_VALUE"""),"Real")</f>
        <v>Real</v>
      </c>
      <c r="G5626" s="8">
        <f t="shared" si="1"/>
        <v>6</v>
      </c>
      <c r="H5626" s="14">
        <f t="shared" si="2"/>
        <v>23</v>
      </c>
      <c r="I5626" s="15">
        <f t="shared" si="3"/>
        <v>10</v>
      </c>
    </row>
    <row r="5627">
      <c r="A5627" s="8" t="str">
        <f>IFERROR(__xludf.DUMMYFUNCTION("IF('(INGESTA)Datos_consumo_datadis'!A5627&lt;&gt;"""",SPLIT('(INGESTA)Datos_consumo_datadis'!A:A,"",""),"""")"),"ES0031408323131005HX0F")</f>
        <v>ES0031408323131005HX0F</v>
      </c>
      <c r="B5627" s="12">
        <f>IFERROR(__xludf.DUMMYFUNCTION("""COMPUTED_VALUE"""),45100.0)</f>
        <v>45100</v>
      </c>
      <c r="C5627" s="13">
        <f>IFERROR(__xludf.DUMMYFUNCTION("""COMPUTED_VALUE"""),0.4583333333333333)</f>
        <v>0.4583333333</v>
      </c>
      <c r="D5627" s="8">
        <f>IFERROR(__xludf.DUMMYFUNCTION("""COMPUTED_VALUE"""),0.01)</f>
        <v>0.01</v>
      </c>
      <c r="E5627" s="8" t="str">
        <f>IFERROR(__xludf.DUMMYFUNCTION("""COMPUTED_VALUE"""),"Real")</f>
        <v>Real</v>
      </c>
      <c r="G5627" s="8">
        <f t="shared" si="1"/>
        <v>6</v>
      </c>
      <c r="H5627" s="14">
        <f t="shared" si="2"/>
        <v>23</v>
      </c>
      <c r="I5627" s="15">
        <f t="shared" si="3"/>
        <v>11</v>
      </c>
    </row>
    <row r="5628">
      <c r="A5628" s="8" t="str">
        <f>IFERROR(__xludf.DUMMYFUNCTION("IF('(INGESTA)Datos_consumo_datadis'!A5628&lt;&gt;"""",SPLIT('(INGESTA)Datos_consumo_datadis'!A:A,"",""),"""")"),"ES0031408323131005HX0F")</f>
        <v>ES0031408323131005HX0F</v>
      </c>
      <c r="B5628" s="12">
        <f>IFERROR(__xludf.DUMMYFUNCTION("""COMPUTED_VALUE"""),45100.0)</f>
        <v>45100</v>
      </c>
      <c r="C5628" s="13">
        <f>IFERROR(__xludf.DUMMYFUNCTION("""COMPUTED_VALUE"""),0.5)</f>
        <v>0.5</v>
      </c>
      <c r="D5628" s="8">
        <f>IFERROR(__xludf.DUMMYFUNCTION("""COMPUTED_VALUE"""),0.092)</f>
        <v>0.092</v>
      </c>
      <c r="E5628" s="8" t="str">
        <f>IFERROR(__xludf.DUMMYFUNCTION("""COMPUTED_VALUE"""),"Real")</f>
        <v>Real</v>
      </c>
      <c r="G5628" s="8">
        <f t="shared" si="1"/>
        <v>6</v>
      </c>
      <c r="H5628" s="14">
        <f t="shared" si="2"/>
        <v>23</v>
      </c>
      <c r="I5628" s="15">
        <f t="shared" si="3"/>
        <v>12</v>
      </c>
    </row>
    <row r="5629">
      <c r="A5629" s="8" t="str">
        <f>IFERROR(__xludf.DUMMYFUNCTION("IF('(INGESTA)Datos_consumo_datadis'!A5629&lt;&gt;"""",SPLIT('(INGESTA)Datos_consumo_datadis'!A:A,"",""),"""")"),"ES0031408323131005HX0F")</f>
        <v>ES0031408323131005HX0F</v>
      </c>
      <c r="B5629" s="12">
        <f>IFERROR(__xludf.DUMMYFUNCTION("""COMPUTED_VALUE"""),45100.0)</f>
        <v>45100</v>
      </c>
      <c r="C5629" s="13">
        <f>IFERROR(__xludf.DUMMYFUNCTION("""COMPUTED_VALUE"""),0.5416666666666666)</f>
        <v>0.5416666667</v>
      </c>
      <c r="D5629" s="8">
        <f>IFERROR(__xludf.DUMMYFUNCTION("""COMPUTED_VALUE"""),0.09)</f>
        <v>0.09</v>
      </c>
      <c r="E5629" s="8" t="str">
        <f>IFERROR(__xludf.DUMMYFUNCTION("""COMPUTED_VALUE"""),"Real")</f>
        <v>Real</v>
      </c>
      <c r="G5629" s="8">
        <f t="shared" si="1"/>
        <v>6</v>
      </c>
      <c r="H5629" s="14">
        <f t="shared" si="2"/>
        <v>23</v>
      </c>
      <c r="I5629" s="15">
        <f t="shared" si="3"/>
        <v>13</v>
      </c>
    </row>
    <row r="5630">
      <c r="A5630" s="8" t="str">
        <f>IFERROR(__xludf.DUMMYFUNCTION("IF('(INGESTA)Datos_consumo_datadis'!A5630&lt;&gt;"""",SPLIT('(INGESTA)Datos_consumo_datadis'!A:A,"",""),"""")"),"ES0031408323131005HX0F")</f>
        <v>ES0031408323131005HX0F</v>
      </c>
      <c r="B5630" s="12">
        <f>IFERROR(__xludf.DUMMYFUNCTION("""COMPUTED_VALUE"""),45100.0)</f>
        <v>45100</v>
      </c>
      <c r="C5630" s="13">
        <f>IFERROR(__xludf.DUMMYFUNCTION("""COMPUTED_VALUE"""),0.5833333333333334)</f>
        <v>0.5833333333</v>
      </c>
      <c r="D5630" s="8">
        <f>IFERROR(__xludf.DUMMYFUNCTION("""COMPUTED_VALUE"""),0.076)</f>
        <v>0.076</v>
      </c>
      <c r="E5630" s="8" t="str">
        <f>IFERROR(__xludf.DUMMYFUNCTION("""COMPUTED_VALUE"""),"Real")</f>
        <v>Real</v>
      </c>
      <c r="G5630" s="8">
        <f t="shared" si="1"/>
        <v>6</v>
      </c>
      <c r="H5630" s="14">
        <f t="shared" si="2"/>
        <v>23</v>
      </c>
      <c r="I5630" s="15">
        <f t="shared" si="3"/>
        <v>14</v>
      </c>
    </row>
    <row r="5631">
      <c r="A5631" s="8" t="str">
        <f>IFERROR(__xludf.DUMMYFUNCTION("IF('(INGESTA)Datos_consumo_datadis'!A5631&lt;&gt;"""",SPLIT('(INGESTA)Datos_consumo_datadis'!A:A,"",""),"""")"),"ES0031408323131005HX0F")</f>
        <v>ES0031408323131005HX0F</v>
      </c>
      <c r="B5631" s="12">
        <f>IFERROR(__xludf.DUMMYFUNCTION("""COMPUTED_VALUE"""),45100.0)</f>
        <v>45100</v>
      </c>
      <c r="C5631" s="13">
        <f>IFERROR(__xludf.DUMMYFUNCTION("""COMPUTED_VALUE"""),0.625)</f>
        <v>0.625</v>
      </c>
      <c r="D5631" s="8">
        <f>IFERROR(__xludf.DUMMYFUNCTION("""COMPUTED_VALUE"""),0.024)</f>
        <v>0.024</v>
      </c>
      <c r="E5631" s="8" t="str">
        <f>IFERROR(__xludf.DUMMYFUNCTION("""COMPUTED_VALUE"""),"Real")</f>
        <v>Real</v>
      </c>
      <c r="G5631" s="8">
        <f t="shared" si="1"/>
        <v>6</v>
      </c>
      <c r="H5631" s="14">
        <f t="shared" si="2"/>
        <v>23</v>
      </c>
      <c r="I5631" s="15">
        <f t="shared" si="3"/>
        <v>15</v>
      </c>
    </row>
    <row r="5632">
      <c r="A5632" s="8" t="str">
        <f>IFERROR(__xludf.DUMMYFUNCTION("IF('(INGESTA)Datos_consumo_datadis'!A5632&lt;&gt;"""",SPLIT('(INGESTA)Datos_consumo_datadis'!A:A,"",""),"""")"),"ES0031408323131005HX0F")</f>
        <v>ES0031408323131005HX0F</v>
      </c>
      <c r="B5632" s="12">
        <f>IFERROR(__xludf.DUMMYFUNCTION("""COMPUTED_VALUE"""),45100.0)</f>
        <v>45100</v>
      </c>
      <c r="C5632" s="13">
        <f>IFERROR(__xludf.DUMMYFUNCTION("""COMPUTED_VALUE"""),0.6666666666666666)</f>
        <v>0.6666666667</v>
      </c>
      <c r="D5632" s="8">
        <f>IFERROR(__xludf.DUMMYFUNCTION("""COMPUTED_VALUE"""),0.029)</f>
        <v>0.029</v>
      </c>
      <c r="E5632" s="8" t="str">
        <f>IFERROR(__xludf.DUMMYFUNCTION("""COMPUTED_VALUE"""),"Real")</f>
        <v>Real</v>
      </c>
      <c r="G5632" s="8">
        <f t="shared" si="1"/>
        <v>6</v>
      </c>
      <c r="H5632" s="14">
        <f t="shared" si="2"/>
        <v>23</v>
      </c>
      <c r="I5632" s="15">
        <f t="shared" si="3"/>
        <v>16</v>
      </c>
    </row>
    <row r="5633">
      <c r="A5633" s="8" t="str">
        <f>IFERROR(__xludf.DUMMYFUNCTION("IF('(INGESTA)Datos_consumo_datadis'!A5633&lt;&gt;"""",SPLIT('(INGESTA)Datos_consumo_datadis'!A:A,"",""),"""")"),"ES0031408323131005HX0F")</f>
        <v>ES0031408323131005HX0F</v>
      </c>
      <c r="B5633" s="12">
        <f>IFERROR(__xludf.DUMMYFUNCTION("""COMPUTED_VALUE"""),45100.0)</f>
        <v>45100</v>
      </c>
      <c r="C5633" s="13">
        <f>IFERROR(__xludf.DUMMYFUNCTION("""COMPUTED_VALUE"""),0.7083333333333334)</f>
        <v>0.7083333333</v>
      </c>
      <c r="D5633" s="8">
        <f>IFERROR(__xludf.DUMMYFUNCTION("""COMPUTED_VALUE"""),0.116)</f>
        <v>0.116</v>
      </c>
      <c r="E5633" s="8" t="str">
        <f>IFERROR(__xludf.DUMMYFUNCTION("""COMPUTED_VALUE"""),"Real")</f>
        <v>Real</v>
      </c>
      <c r="G5633" s="8">
        <f t="shared" si="1"/>
        <v>6</v>
      </c>
      <c r="H5633" s="14">
        <f t="shared" si="2"/>
        <v>23</v>
      </c>
      <c r="I5633" s="15">
        <f t="shared" si="3"/>
        <v>17</v>
      </c>
    </row>
    <row r="5634">
      <c r="A5634" s="8" t="str">
        <f>IFERROR(__xludf.DUMMYFUNCTION("IF('(INGESTA)Datos_consumo_datadis'!A5634&lt;&gt;"""",SPLIT('(INGESTA)Datos_consumo_datadis'!A:A,"",""),"""")"),"ES0031408323131005HX0F")</f>
        <v>ES0031408323131005HX0F</v>
      </c>
      <c r="B5634" s="12">
        <f>IFERROR(__xludf.DUMMYFUNCTION("""COMPUTED_VALUE"""),45100.0)</f>
        <v>45100</v>
      </c>
      <c r="C5634" s="13">
        <f>IFERROR(__xludf.DUMMYFUNCTION("""COMPUTED_VALUE"""),0.75)</f>
        <v>0.75</v>
      </c>
      <c r="D5634" s="8">
        <f>IFERROR(__xludf.DUMMYFUNCTION("""COMPUTED_VALUE"""),0.402)</f>
        <v>0.402</v>
      </c>
      <c r="E5634" s="8" t="str">
        <f>IFERROR(__xludf.DUMMYFUNCTION("""COMPUTED_VALUE"""),"Real")</f>
        <v>Real</v>
      </c>
      <c r="G5634" s="8">
        <f t="shared" si="1"/>
        <v>6</v>
      </c>
      <c r="H5634" s="14">
        <f t="shared" si="2"/>
        <v>23</v>
      </c>
      <c r="I5634" s="15">
        <f t="shared" si="3"/>
        <v>18</v>
      </c>
    </row>
    <row r="5635">
      <c r="A5635" s="8" t="str">
        <f>IFERROR(__xludf.DUMMYFUNCTION("IF('(INGESTA)Datos_consumo_datadis'!A5635&lt;&gt;"""",SPLIT('(INGESTA)Datos_consumo_datadis'!A:A,"",""),"""")"),"ES0031408323131005HX0F")</f>
        <v>ES0031408323131005HX0F</v>
      </c>
      <c r="B5635" s="12">
        <f>IFERROR(__xludf.DUMMYFUNCTION("""COMPUTED_VALUE"""),45100.0)</f>
        <v>45100</v>
      </c>
      <c r="C5635" s="13">
        <f>IFERROR(__xludf.DUMMYFUNCTION("""COMPUTED_VALUE"""),0.7916666666666666)</f>
        <v>0.7916666667</v>
      </c>
      <c r="D5635" s="8">
        <f>IFERROR(__xludf.DUMMYFUNCTION("""COMPUTED_VALUE"""),0.135)</f>
        <v>0.135</v>
      </c>
      <c r="E5635" s="8" t="str">
        <f>IFERROR(__xludf.DUMMYFUNCTION("""COMPUTED_VALUE"""),"Real")</f>
        <v>Real</v>
      </c>
      <c r="G5635" s="8">
        <f t="shared" si="1"/>
        <v>6</v>
      </c>
      <c r="H5635" s="14">
        <f t="shared" si="2"/>
        <v>23</v>
      </c>
      <c r="I5635" s="15">
        <f t="shared" si="3"/>
        <v>19</v>
      </c>
    </row>
    <row r="5636">
      <c r="A5636" s="8" t="str">
        <f>IFERROR(__xludf.DUMMYFUNCTION("IF('(INGESTA)Datos_consumo_datadis'!A5636&lt;&gt;"""",SPLIT('(INGESTA)Datos_consumo_datadis'!A:A,"",""),"""")"),"ES0031408323131005HX0F")</f>
        <v>ES0031408323131005HX0F</v>
      </c>
      <c r="B5636" s="12">
        <f>IFERROR(__xludf.DUMMYFUNCTION("""COMPUTED_VALUE"""),45100.0)</f>
        <v>45100</v>
      </c>
      <c r="C5636" s="13">
        <f>IFERROR(__xludf.DUMMYFUNCTION("""COMPUTED_VALUE"""),0.8333333333333334)</f>
        <v>0.8333333333</v>
      </c>
      <c r="D5636" s="8">
        <f>IFERROR(__xludf.DUMMYFUNCTION("""COMPUTED_VALUE"""),0.043)</f>
        <v>0.043</v>
      </c>
      <c r="E5636" s="8" t="str">
        <f>IFERROR(__xludf.DUMMYFUNCTION("""COMPUTED_VALUE"""),"Real")</f>
        <v>Real</v>
      </c>
      <c r="G5636" s="8">
        <f t="shared" si="1"/>
        <v>6</v>
      </c>
      <c r="H5636" s="14">
        <f t="shared" si="2"/>
        <v>23</v>
      </c>
      <c r="I5636" s="15">
        <f t="shared" si="3"/>
        <v>20</v>
      </c>
    </row>
    <row r="5637">
      <c r="A5637" s="8" t="str">
        <f>IFERROR(__xludf.DUMMYFUNCTION("IF('(INGESTA)Datos_consumo_datadis'!A5637&lt;&gt;"""",SPLIT('(INGESTA)Datos_consumo_datadis'!A:A,"",""),"""")"),"ES0031408323131005HX0F")</f>
        <v>ES0031408323131005HX0F</v>
      </c>
      <c r="B5637" s="12">
        <f>IFERROR(__xludf.DUMMYFUNCTION("""COMPUTED_VALUE"""),45100.0)</f>
        <v>45100</v>
      </c>
      <c r="C5637" s="13">
        <f>IFERROR(__xludf.DUMMYFUNCTION("""COMPUTED_VALUE"""),0.875)</f>
        <v>0.875</v>
      </c>
      <c r="D5637" s="8">
        <f>IFERROR(__xludf.DUMMYFUNCTION("""COMPUTED_VALUE"""),0.722)</f>
        <v>0.722</v>
      </c>
      <c r="E5637" s="8" t="str">
        <f>IFERROR(__xludf.DUMMYFUNCTION("""COMPUTED_VALUE"""),"Real")</f>
        <v>Real</v>
      </c>
      <c r="G5637" s="8">
        <f t="shared" si="1"/>
        <v>6</v>
      </c>
      <c r="H5637" s="14">
        <f t="shared" si="2"/>
        <v>23</v>
      </c>
      <c r="I5637" s="15">
        <f t="shared" si="3"/>
        <v>21</v>
      </c>
    </row>
    <row r="5638">
      <c r="A5638" s="8" t="str">
        <f>IFERROR(__xludf.DUMMYFUNCTION("IF('(INGESTA)Datos_consumo_datadis'!A5638&lt;&gt;"""",SPLIT('(INGESTA)Datos_consumo_datadis'!A:A,"",""),"""")"),"ES0031408323131005HX0F")</f>
        <v>ES0031408323131005HX0F</v>
      </c>
      <c r="B5638" s="12">
        <f>IFERROR(__xludf.DUMMYFUNCTION("""COMPUTED_VALUE"""),45100.0)</f>
        <v>45100</v>
      </c>
      <c r="C5638" s="13">
        <f>IFERROR(__xludf.DUMMYFUNCTION("""COMPUTED_VALUE"""),0.9166666666666666)</f>
        <v>0.9166666667</v>
      </c>
      <c r="D5638" s="8">
        <f>IFERROR(__xludf.DUMMYFUNCTION("""COMPUTED_VALUE"""),0.491)</f>
        <v>0.491</v>
      </c>
      <c r="E5638" s="8" t="str">
        <f>IFERROR(__xludf.DUMMYFUNCTION("""COMPUTED_VALUE"""),"Real")</f>
        <v>Real</v>
      </c>
      <c r="G5638" s="8">
        <f t="shared" si="1"/>
        <v>6</v>
      </c>
      <c r="H5638" s="14">
        <f t="shared" si="2"/>
        <v>23</v>
      </c>
      <c r="I5638" s="15">
        <f t="shared" si="3"/>
        <v>22</v>
      </c>
    </row>
    <row r="5639">
      <c r="A5639" s="8" t="str">
        <f>IFERROR(__xludf.DUMMYFUNCTION("IF('(INGESTA)Datos_consumo_datadis'!A5639&lt;&gt;"""",SPLIT('(INGESTA)Datos_consumo_datadis'!A:A,"",""),"""")"),"ES0031408323131005HX0F")</f>
        <v>ES0031408323131005HX0F</v>
      </c>
      <c r="B5639" s="12">
        <f>IFERROR(__xludf.DUMMYFUNCTION("""COMPUTED_VALUE"""),45100.0)</f>
        <v>45100</v>
      </c>
      <c r="C5639" s="13">
        <f>IFERROR(__xludf.DUMMYFUNCTION("""COMPUTED_VALUE"""),0.9583333333333334)</f>
        <v>0.9583333333</v>
      </c>
      <c r="D5639" s="8">
        <f>IFERROR(__xludf.DUMMYFUNCTION("""COMPUTED_VALUE"""),0.127)</f>
        <v>0.127</v>
      </c>
      <c r="E5639" s="8" t="str">
        <f>IFERROR(__xludf.DUMMYFUNCTION("""COMPUTED_VALUE"""),"Real")</f>
        <v>Real</v>
      </c>
      <c r="G5639" s="8">
        <f t="shared" si="1"/>
        <v>6</v>
      </c>
      <c r="H5639" s="14">
        <f t="shared" si="2"/>
        <v>23</v>
      </c>
      <c r="I5639" s="15">
        <f t="shared" si="3"/>
        <v>23</v>
      </c>
    </row>
    <row r="5640">
      <c r="A5640" s="8" t="str">
        <f>IFERROR(__xludf.DUMMYFUNCTION("IF('(INGESTA)Datos_consumo_datadis'!A5640&lt;&gt;"""",SPLIT('(INGESTA)Datos_consumo_datadis'!A:A,"",""),"""")"),"ES0031408323131005HX0F")</f>
        <v>ES0031408323131005HX0F</v>
      </c>
      <c r="B5640" s="12">
        <f>IFERROR(__xludf.DUMMYFUNCTION("""COMPUTED_VALUE"""),45100.0)</f>
        <v>45100</v>
      </c>
      <c r="C5640" s="16">
        <f>IFERROR(__xludf.DUMMYFUNCTION("""COMPUTED_VALUE"""),1.0)</f>
        <v>1</v>
      </c>
      <c r="D5640" s="8">
        <f>IFERROR(__xludf.DUMMYFUNCTION("""COMPUTED_VALUE"""),0.125)</f>
        <v>0.125</v>
      </c>
      <c r="E5640" s="8" t="str">
        <f>IFERROR(__xludf.DUMMYFUNCTION("""COMPUTED_VALUE"""),"Real")</f>
        <v>Real</v>
      </c>
      <c r="G5640" s="8">
        <f t="shared" si="1"/>
        <v>6</v>
      </c>
      <c r="H5640" s="14">
        <f t="shared" si="2"/>
        <v>23</v>
      </c>
      <c r="I5640" s="15">
        <f t="shared" si="3"/>
        <v>0</v>
      </c>
    </row>
    <row r="5641">
      <c r="A5641" s="8" t="str">
        <f>IFERROR(__xludf.DUMMYFUNCTION("IF('(INGESTA)Datos_consumo_datadis'!A5641&lt;&gt;"""",SPLIT('(INGESTA)Datos_consumo_datadis'!A:A,"",""),"""")"),"ES0031408323131005HX0F")</f>
        <v>ES0031408323131005HX0F</v>
      </c>
      <c r="B5641" s="12">
        <f>IFERROR(__xludf.DUMMYFUNCTION("""COMPUTED_VALUE"""),45101.0)</f>
        <v>45101</v>
      </c>
      <c r="C5641" s="13">
        <f>IFERROR(__xludf.DUMMYFUNCTION("""COMPUTED_VALUE"""),0.041666666666666664)</f>
        <v>0.04166666667</v>
      </c>
      <c r="D5641" s="8">
        <f>IFERROR(__xludf.DUMMYFUNCTION("""COMPUTED_VALUE"""),0.235)</f>
        <v>0.235</v>
      </c>
      <c r="E5641" s="8" t="str">
        <f>IFERROR(__xludf.DUMMYFUNCTION("""COMPUTED_VALUE"""),"Real")</f>
        <v>Real</v>
      </c>
      <c r="G5641" s="8">
        <f t="shared" si="1"/>
        <v>6</v>
      </c>
      <c r="H5641" s="14">
        <f t="shared" si="2"/>
        <v>24</v>
      </c>
      <c r="I5641" s="15">
        <f t="shared" si="3"/>
        <v>1</v>
      </c>
    </row>
    <row r="5642">
      <c r="A5642" s="8" t="str">
        <f>IFERROR(__xludf.DUMMYFUNCTION("IF('(INGESTA)Datos_consumo_datadis'!A5642&lt;&gt;"""",SPLIT('(INGESTA)Datos_consumo_datadis'!A:A,"",""),"""")"),"ES0031408323131005HX0F")</f>
        <v>ES0031408323131005HX0F</v>
      </c>
      <c r="B5642" s="12">
        <f>IFERROR(__xludf.DUMMYFUNCTION("""COMPUTED_VALUE"""),45101.0)</f>
        <v>45101</v>
      </c>
      <c r="C5642" s="13">
        <f>IFERROR(__xludf.DUMMYFUNCTION("""COMPUTED_VALUE"""),0.08333333333333333)</f>
        <v>0.08333333333</v>
      </c>
      <c r="D5642" s="8">
        <f>IFERROR(__xludf.DUMMYFUNCTION("""COMPUTED_VALUE"""),0.315)</f>
        <v>0.315</v>
      </c>
      <c r="E5642" s="8" t="str">
        <f>IFERROR(__xludf.DUMMYFUNCTION("""COMPUTED_VALUE"""),"Real")</f>
        <v>Real</v>
      </c>
      <c r="G5642" s="8">
        <f t="shared" si="1"/>
        <v>6</v>
      </c>
      <c r="H5642" s="14">
        <f t="shared" si="2"/>
        <v>24</v>
      </c>
      <c r="I5642" s="15">
        <f t="shared" si="3"/>
        <v>2</v>
      </c>
    </row>
    <row r="5643">
      <c r="A5643" s="8" t="str">
        <f>IFERROR(__xludf.DUMMYFUNCTION("IF('(INGESTA)Datos_consumo_datadis'!A5643&lt;&gt;"""",SPLIT('(INGESTA)Datos_consumo_datadis'!A:A,"",""),"""")"),"ES0031408323131005HX0F")</f>
        <v>ES0031408323131005HX0F</v>
      </c>
      <c r="B5643" s="12">
        <f>IFERROR(__xludf.DUMMYFUNCTION("""COMPUTED_VALUE"""),45101.0)</f>
        <v>45101</v>
      </c>
      <c r="C5643" s="13">
        <f>IFERROR(__xludf.DUMMYFUNCTION("""COMPUTED_VALUE"""),0.125)</f>
        <v>0.125</v>
      </c>
      <c r="D5643" s="8">
        <f>IFERROR(__xludf.DUMMYFUNCTION("""COMPUTED_VALUE"""),0.151)</f>
        <v>0.151</v>
      </c>
      <c r="E5643" s="8" t="str">
        <f>IFERROR(__xludf.DUMMYFUNCTION("""COMPUTED_VALUE"""),"Real")</f>
        <v>Real</v>
      </c>
      <c r="G5643" s="8">
        <f t="shared" si="1"/>
        <v>6</v>
      </c>
      <c r="H5643" s="14">
        <f t="shared" si="2"/>
        <v>24</v>
      </c>
      <c r="I5643" s="15">
        <f t="shared" si="3"/>
        <v>3</v>
      </c>
    </row>
    <row r="5644">
      <c r="A5644" s="8" t="str">
        <f>IFERROR(__xludf.DUMMYFUNCTION("IF('(INGESTA)Datos_consumo_datadis'!A5644&lt;&gt;"""",SPLIT('(INGESTA)Datos_consumo_datadis'!A:A,"",""),"""")"),"ES0031408323131005HX0F")</f>
        <v>ES0031408323131005HX0F</v>
      </c>
      <c r="B5644" s="12">
        <f>IFERROR(__xludf.DUMMYFUNCTION("""COMPUTED_VALUE"""),45101.0)</f>
        <v>45101</v>
      </c>
      <c r="C5644" s="13">
        <f>IFERROR(__xludf.DUMMYFUNCTION("""COMPUTED_VALUE"""),0.16666666666666666)</f>
        <v>0.1666666667</v>
      </c>
      <c r="D5644" s="8">
        <f>IFERROR(__xludf.DUMMYFUNCTION("""COMPUTED_VALUE"""),0.393)</f>
        <v>0.393</v>
      </c>
      <c r="E5644" s="8" t="str">
        <f>IFERROR(__xludf.DUMMYFUNCTION("""COMPUTED_VALUE"""),"Real")</f>
        <v>Real</v>
      </c>
      <c r="G5644" s="8">
        <f t="shared" si="1"/>
        <v>6</v>
      </c>
      <c r="H5644" s="14">
        <f t="shared" si="2"/>
        <v>24</v>
      </c>
      <c r="I5644" s="15">
        <f t="shared" si="3"/>
        <v>4</v>
      </c>
    </row>
    <row r="5645">
      <c r="A5645" s="8" t="str">
        <f>IFERROR(__xludf.DUMMYFUNCTION("IF('(INGESTA)Datos_consumo_datadis'!A5645&lt;&gt;"""",SPLIT('(INGESTA)Datos_consumo_datadis'!A:A,"",""),"""")"),"ES0031408323131005HX0F")</f>
        <v>ES0031408323131005HX0F</v>
      </c>
      <c r="B5645" s="12">
        <f>IFERROR(__xludf.DUMMYFUNCTION("""COMPUTED_VALUE"""),45101.0)</f>
        <v>45101</v>
      </c>
      <c r="C5645" s="13">
        <f>IFERROR(__xludf.DUMMYFUNCTION("""COMPUTED_VALUE"""),0.20833333333333334)</f>
        <v>0.2083333333</v>
      </c>
      <c r="D5645" s="8">
        <f>IFERROR(__xludf.DUMMYFUNCTION("""COMPUTED_VALUE"""),0.098)</f>
        <v>0.098</v>
      </c>
      <c r="E5645" s="8" t="str">
        <f>IFERROR(__xludf.DUMMYFUNCTION("""COMPUTED_VALUE"""),"Real")</f>
        <v>Real</v>
      </c>
      <c r="G5645" s="8">
        <f t="shared" si="1"/>
        <v>6</v>
      </c>
      <c r="H5645" s="14">
        <f t="shared" si="2"/>
        <v>24</v>
      </c>
      <c r="I5645" s="15">
        <f t="shared" si="3"/>
        <v>5</v>
      </c>
    </row>
    <row r="5646">
      <c r="A5646" s="8" t="str">
        <f>IFERROR(__xludf.DUMMYFUNCTION("IF('(INGESTA)Datos_consumo_datadis'!A5646&lt;&gt;"""",SPLIT('(INGESTA)Datos_consumo_datadis'!A:A,"",""),"""")"),"ES0031408323131005HX0F")</f>
        <v>ES0031408323131005HX0F</v>
      </c>
      <c r="B5646" s="12">
        <f>IFERROR(__xludf.DUMMYFUNCTION("""COMPUTED_VALUE"""),45101.0)</f>
        <v>45101</v>
      </c>
      <c r="C5646" s="13">
        <f>IFERROR(__xludf.DUMMYFUNCTION("""COMPUTED_VALUE"""),0.25)</f>
        <v>0.25</v>
      </c>
      <c r="D5646" s="8">
        <f>IFERROR(__xludf.DUMMYFUNCTION("""COMPUTED_VALUE"""),0.054)</f>
        <v>0.054</v>
      </c>
      <c r="E5646" s="8" t="str">
        <f>IFERROR(__xludf.DUMMYFUNCTION("""COMPUTED_VALUE"""),"Real")</f>
        <v>Real</v>
      </c>
      <c r="G5646" s="8">
        <f t="shared" si="1"/>
        <v>6</v>
      </c>
      <c r="H5646" s="14">
        <f t="shared" si="2"/>
        <v>24</v>
      </c>
      <c r="I5646" s="15">
        <f t="shared" si="3"/>
        <v>6</v>
      </c>
    </row>
    <row r="5647">
      <c r="A5647" s="8" t="str">
        <f>IFERROR(__xludf.DUMMYFUNCTION("IF('(INGESTA)Datos_consumo_datadis'!A5647&lt;&gt;"""",SPLIT('(INGESTA)Datos_consumo_datadis'!A:A,"",""),"""")"),"ES0031408323131005HX0F")</f>
        <v>ES0031408323131005HX0F</v>
      </c>
      <c r="B5647" s="12">
        <f>IFERROR(__xludf.DUMMYFUNCTION("""COMPUTED_VALUE"""),45101.0)</f>
        <v>45101</v>
      </c>
      <c r="C5647" s="13">
        <f>IFERROR(__xludf.DUMMYFUNCTION("""COMPUTED_VALUE"""),0.2916666666666667)</f>
        <v>0.2916666667</v>
      </c>
      <c r="D5647" s="8">
        <f>IFERROR(__xludf.DUMMYFUNCTION("""COMPUTED_VALUE"""),0.111)</f>
        <v>0.111</v>
      </c>
      <c r="E5647" s="8" t="str">
        <f>IFERROR(__xludf.DUMMYFUNCTION("""COMPUTED_VALUE"""),"Real")</f>
        <v>Real</v>
      </c>
      <c r="G5647" s="8">
        <f t="shared" si="1"/>
        <v>6</v>
      </c>
      <c r="H5647" s="14">
        <f t="shared" si="2"/>
        <v>24</v>
      </c>
      <c r="I5647" s="15">
        <f t="shared" si="3"/>
        <v>7</v>
      </c>
    </row>
    <row r="5648">
      <c r="A5648" s="8" t="str">
        <f>IFERROR(__xludf.DUMMYFUNCTION("IF('(INGESTA)Datos_consumo_datadis'!A5648&lt;&gt;"""",SPLIT('(INGESTA)Datos_consumo_datadis'!A:A,"",""),"""")"),"ES0031408323131005HX0F")</f>
        <v>ES0031408323131005HX0F</v>
      </c>
      <c r="B5648" s="12">
        <f>IFERROR(__xludf.DUMMYFUNCTION("""COMPUTED_VALUE"""),45101.0)</f>
        <v>45101</v>
      </c>
      <c r="C5648" s="13">
        <f>IFERROR(__xludf.DUMMYFUNCTION("""COMPUTED_VALUE"""),0.3333333333333333)</f>
        <v>0.3333333333</v>
      </c>
      <c r="D5648" s="8">
        <f>IFERROR(__xludf.DUMMYFUNCTION("""COMPUTED_VALUE"""),0.125)</f>
        <v>0.125</v>
      </c>
      <c r="E5648" s="8" t="str">
        <f>IFERROR(__xludf.DUMMYFUNCTION("""COMPUTED_VALUE"""),"Real")</f>
        <v>Real</v>
      </c>
      <c r="G5648" s="8">
        <f t="shared" si="1"/>
        <v>6</v>
      </c>
      <c r="H5648" s="14">
        <f t="shared" si="2"/>
        <v>24</v>
      </c>
      <c r="I5648" s="15">
        <f t="shared" si="3"/>
        <v>8</v>
      </c>
    </row>
    <row r="5649">
      <c r="A5649" s="8" t="str">
        <f>IFERROR(__xludf.DUMMYFUNCTION("IF('(INGESTA)Datos_consumo_datadis'!A5649&lt;&gt;"""",SPLIT('(INGESTA)Datos_consumo_datadis'!A:A,"",""),"""")"),"ES0031408323131005HX0F")</f>
        <v>ES0031408323131005HX0F</v>
      </c>
      <c r="B5649" s="12">
        <f>IFERROR(__xludf.DUMMYFUNCTION("""COMPUTED_VALUE"""),45101.0)</f>
        <v>45101</v>
      </c>
      <c r="C5649" s="13">
        <f>IFERROR(__xludf.DUMMYFUNCTION("""COMPUTED_VALUE"""),0.375)</f>
        <v>0.375</v>
      </c>
      <c r="D5649" s="8">
        <f>IFERROR(__xludf.DUMMYFUNCTION("""COMPUTED_VALUE"""),0.226)</f>
        <v>0.226</v>
      </c>
      <c r="E5649" s="8" t="str">
        <f>IFERROR(__xludf.DUMMYFUNCTION("""COMPUTED_VALUE"""),"Real")</f>
        <v>Real</v>
      </c>
      <c r="G5649" s="8">
        <f t="shared" si="1"/>
        <v>6</v>
      </c>
      <c r="H5649" s="14">
        <f t="shared" si="2"/>
        <v>24</v>
      </c>
      <c r="I5649" s="15">
        <f t="shared" si="3"/>
        <v>9</v>
      </c>
    </row>
    <row r="5650">
      <c r="A5650" s="8" t="str">
        <f>IFERROR(__xludf.DUMMYFUNCTION("IF('(INGESTA)Datos_consumo_datadis'!A5650&lt;&gt;"""",SPLIT('(INGESTA)Datos_consumo_datadis'!A:A,"",""),"""")"),"ES0031408323131005HX0F")</f>
        <v>ES0031408323131005HX0F</v>
      </c>
      <c r="B5650" s="12">
        <f>IFERROR(__xludf.DUMMYFUNCTION("""COMPUTED_VALUE"""),45101.0)</f>
        <v>45101</v>
      </c>
      <c r="C5650" s="13">
        <f>IFERROR(__xludf.DUMMYFUNCTION("""COMPUTED_VALUE"""),0.4166666666666667)</f>
        <v>0.4166666667</v>
      </c>
      <c r="D5650" s="8">
        <f>IFERROR(__xludf.DUMMYFUNCTION("""COMPUTED_VALUE"""),0.113)</f>
        <v>0.113</v>
      </c>
      <c r="E5650" s="8" t="str">
        <f>IFERROR(__xludf.DUMMYFUNCTION("""COMPUTED_VALUE"""),"Real")</f>
        <v>Real</v>
      </c>
      <c r="G5650" s="8">
        <f t="shared" si="1"/>
        <v>6</v>
      </c>
      <c r="H5650" s="14">
        <f t="shared" si="2"/>
        <v>24</v>
      </c>
      <c r="I5650" s="15">
        <f t="shared" si="3"/>
        <v>10</v>
      </c>
    </row>
    <row r="5651">
      <c r="A5651" s="8" t="str">
        <f>IFERROR(__xludf.DUMMYFUNCTION("IF('(INGESTA)Datos_consumo_datadis'!A5651&lt;&gt;"""",SPLIT('(INGESTA)Datos_consumo_datadis'!A:A,"",""),"""")"),"ES0031408323131005HX0F")</f>
        <v>ES0031408323131005HX0F</v>
      </c>
      <c r="B5651" s="12">
        <f>IFERROR(__xludf.DUMMYFUNCTION("""COMPUTED_VALUE"""),45101.0)</f>
        <v>45101</v>
      </c>
      <c r="C5651" s="13">
        <f>IFERROR(__xludf.DUMMYFUNCTION("""COMPUTED_VALUE"""),0.4583333333333333)</f>
        <v>0.4583333333</v>
      </c>
      <c r="D5651" s="8">
        <f>IFERROR(__xludf.DUMMYFUNCTION("""COMPUTED_VALUE"""),0.092)</f>
        <v>0.092</v>
      </c>
      <c r="E5651" s="8" t="str">
        <f>IFERROR(__xludf.DUMMYFUNCTION("""COMPUTED_VALUE"""),"Real")</f>
        <v>Real</v>
      </c>
      <c r="G5651" s="8">
        <f t="shared" si="1"/>
        <v>6</v>
      </c>
      <c r="H5651" s="14">
        <f t="shared" si="2"/>
        <v>24</v>
      </c>
      <c r="I5651" s="15">
        <f t="shared" si="3"/>
        <v>11</v>
      </c>
    </row>
    <row r="5652">
      <c r="A5652" s="8" t="str">
        <f>IFERROR(__xludf.DUMMYFUNCTION("IF('(INGESTA)Datos_consumo_datadis'!A5652&lt;&gt;"""",SPLIT('(INGESTA)Datos_consumo_datadis'!A:A,"",""),"""")"),"ES0031408323131005HX0F")</f>
        <v>ES0031408323131005HX0F</v>
      </c>
      <c r="B5652" s="12">
        <f>IFERROR(__xludf.DUMMYFUNCTION("""COMPUTED_VALUE"""),45101.0)</f>
        <v>45101</v>
      </c>
      <c r="C5652" s="13">
        <f>IFERROR(__xludf.DUMMYFUNCTION("""COMPUTED_VALUE"""),0.5)</f>
        <v>0.5</v>
      </c>
      <c r="D5652" s="8">
        <f>IFERROR(__xludf.DUMMYFUNCTION("""COMPUTED_VALUE"""),0.158)</f>
        <v>0.158</v>
      </c>
      <c r="E5652" s="8" t="str">
        <f>IFERROR(__xludf.DUMMYFUNCTION("""COMPUTED_VALUE"""),"Real")</f>
        <v>Real</v>
      </c>
      <c r="G5652" s="8">
        <f t="shared" si="1"/>
        <v>6</v>
      </c>
      <c r="H5652" s="14">
        <f t="shared" si="2"/>
        <v>24</v>
      </c>
      <c r="I5652" s="15">
        <f t="shared" si="3"/>
        <v>12</v>
      </c>
    </row>
    <row r="5653">
      <c r="A5653" s="8" t="str">
        <f>IFERROR(__xludf.DUMMYFUNCTION("IF('(INGESTA)Datos_consumo_datadis'!A5653&lt;&gt;"""",SPLIT('(INGESTA)Datos_consumo_datadis'!A:A,"",""),"""")"),"ES0031408323131005HX0F")</f>
        <v>ES0031408323131005HX0F</v>
      </c>
      <c r="B5653" s="12">
        <f>IFERROR(__xludf.DUMMYFUNCTION("""COMPUTED_VALUE"""),45101.0)</f>
        <v>45101</v>
      </c>
      <c r="C5653" s="13">
        <f>IFERROR(__xludf.DUMMYFUNCTION("""COMPUTED_VALUE"""),0.5416666666666666)</f>
        <v>0.5416666667</v>
      </c>
      <c r="D5653" s="8">
        <f>IFERROR(__xludf.DUMMYFUNCTION("""COMPUTED_VALUE"""),0.127)</f>
        <v>0.127</v>
      </c>
      <c r="E5653" s="8" t="str">
        <f>IFERROR(__xludf.DUMMYFUNCTION("""COMPUTED_VALUE"""),"Real")</f>
        <v>Real</v>
      </c>
      <c r="G5653" s="8">
        <f t="shared" si="1"/>
        <v>6</v>
      </c>
      <c r="H5653" s="14">
        <f t="shared" si="2"/>
        <v>24</v>
      </c>
      <c r="I5653" s="15">
        <f t="shared" si="3"/>
        <v>13</v>
      </c>
    </row>
    <row r="5654">
      <c r="A5654" s="8" t="str">
        <f>IFERROR(__xludf.DUMMYFUNCTION("IF('(INGESTA)Datos_consumo_datadis'!A5654&lt;&gt;"""",SPLIT('(INGESTA)Datos_consumo_datadis'!A:A,"",""),"""")"),"ES0031408323131005HX0F")</f>
        <v>ES0031408323131005HX0F</v>
      </c>
      <c r="B5654" s="12">
        <f>IFERROR(__xludf.DUMMYFUNCTION("""COMPUTED_VALUE"""),45101.0)</f>
        <v>45101</v>
      </c>
      <c r="C5654" s="13">
        <f>IFERROR(__xludf.DUMMYFUNCTION("""COMPUTED_VALUE"""),0.5833333333333334)</f>
        <v>0.5833333333</v>
      </c>
      <c r="D5654" s="8">
        <f>IFERROR(__xludf.DUMMYFUNCTION("""COMPUTED_VALUE"""),0.409)</f>
        <v>0.409</v>
      </c>
      <c r="E5654" s="8" t="str">
        <f>IFERROR(__xludf.DUMMYFUNCTION("""COMPUTED_VALUE"""),"Real")</f>
        <v>Real</v>
      </c>
      <c r="G5654" s="8">
        <f t="shared" si="1"/>
        <v>6</v>
      </c>
      <c r="H5654" s="14">
        <f t="shared" si="2"/>
        <v>24</v>
      </c>
      <c r="I5654" s="15">
        <f t="shared" si="3"/>
        <v>14</v>
      </c>
    </row>
    <row r="5655">
      <c r="A5655" s="8" t="str">
        <f>IFERROR(__xludf.DUMMYFUNCTION("IF('(INGESTA)Datos_consumo_datadis'!A5655&lt;&gt;"""",SPLIT('(INGESTA)Datos_consumo_datadis'!A:A,"",""),"""")"),"ES0031408323131005HX0F")</f>
        <v>ES0031408323131005HX0F</v>
      </c>
      <c r="B5655" s="12">
        <f>IFERROR(__xludf.DUMMYFUNCTION("""COMPUTED_VALUE"""),45101.0)</f>
        <v>45101</v>
      </c>
      <c r="C5655" s="13">
        <f>IFERROR(__xludf.DUMMYFUNCTION("""COMPUTED_VALUE"""),0.625)</f>
        <v>0.625</v>
      </c>
      <c r="D5655" s="8">
        <f>IFERROR(__xludf.DUMMYFUNCTION("""COMPUTED_VALUE"""),0.124)</f>
        <v>0.124</v>
      </c>
      <c r="E5655" s="8" t="str">
        <f>IFERROR(__xludf.DUMMYFUNCTION("""COMPUTED_VALUE"""),"Real")</f>
        <v>Real</v>
      </c>
      <c r="G5655" s="8">
        <f t="shared" si="1"/>
        <v>6</v>
      </c>
      <c r="H5655" s="14">
        <f t="shared" si="2"/>
        <v>24</v>
      </c>
      <c r="I5655" s="15">
        <f t="shared" si="3"/>
        <v>15</v>
      </c>
    </row>
    <row r="5656">
      <c r="A5656" s="8" t="str">
        <f>IFERROR(__xludf.DUMMYFUNCTION("IF('(INGESTA)Datos_consumo_datadis'!A5656&lt;&gt;"""",SPLIT('(INGESTA)Datos_consumo_datadis'!A:A,"",""),"""")"),"ES0031408323131005HX0F")</f>
        <v>ES0031408323131005HX0F</v>
      </c>
      <c r="B5656" s="12">
        <f>IFERROR(__xludf.DUMMYFUNCTION("""COMPUTED_VALUE"""),45101.0)</f>
        <v>45101</v>
      </c>
      <c r="C5656" s="13">
        <f>IFERROR(__xludf.DUMMYFUNCTION("""COMPUTED_VALUE"""),0.6666666666666666)</f>
        <v>0.6666666667</v>
      </c>
      <c r="D5656" s="8">
        <f>IFERROR(__xludf.DUMMYFUNCTION("""COMPUTED_VALUE"""),0.103)</f>
        <v>0.103</v>
      </c>
      <c r="E5656" s="8" t="str">
        <f>IFERROR(__xludf.DUMMYFUNCTION("""COMPUTED_VALUE"""),"Real")</f>
        <v>Real</v>
      </c>
      <c r="G5656" s="8">
        <f t="shared" si="1"/>
        <v>6</v>
      </c>
      <c r="H5656" s="14">
        <f t="shared" si="2"/>
        <v>24</v>
      </c>
      <c r="I5656" s="15">
        <f t="shared" si="3"/>
        <v>16</v>
      </c>
    </row>
    <row r="5657">
      <c r="A5657" s="8" t="str">
        <f>IFERROR(__xludf.DUMMYFUNCTION("IF('(INGESTA)Datos_consumo_datadis'!A5657&lt;&gt;"""",SPLIT('(INGESTA)Datos_consumo_datadis'!A:A,"",""),"""")"),"ES0031408323131005HX0F")</f>
        <v>ES0031408323131005HX0F</v>
      </c>
      <c r="B5657" s="12">
        <f>IFERROR(__xludf.DUMMYFUNCTION("""COMPUTED_VALUE"""),45101.0)</f>
        <v>45101</v>
      </c>
      <c r="C5657" s="13">
        <f>IFERROR(__xludf.DUMMYFUNCTION("""COMPUTED_VALUE"""),0.7083333333333334)</f>
        <v>0.7083333333</v>
      </c>
      <c r="D5657" s="8">
        <f>IFERROR(__xludf.DUMMYFUNCTION("""COMPUTED_VALUE"""),0.078)</f>
        <v>0.078</v>
      </c>
      <c r="E5657" s="8" t="str">
        <f>IFERROR(__xludf.DUMMYFUNCTION("""COMPUTED_VALUE"""),"Real")</f>
        <v>Real</v>
      </c>
      <c r="G5657" s="8">
        <f t="shared" si="1"/>
        <v>6</v>
      </c>
      <c r="H5657" s="14">
        <f t="shared" si="2"/>
        <v>24</v>
      </c>
      <c r="I5657" s="15">
        <f t="shared" si="3"/>
        <v>17</v>
      </c>
    </row>
    <row r="5658">
      <c r="A5658" s="8" t="str">
        <f>IFERROR(__xludf.DUMMYFUNCTION("IF('(INGESTA)Datos_consumo_datadis'!A5658&lt;&gt;"""",SPLIT('(INGESTA)Datos_consumo_datadis'!A:A,"",""),"""")"),"ES0031408323131005HX0F")</f>
        <v>ES0031408323131005HX0F</v>
      </c>
      <c r="B5658" s="12">
        <f>IFERROR(__xludf.DUMMYFUNCTION("""COMPUTED_VALUE"""),45101.0)</f>
        <v>45101</v>
      </c>
      <c r="C5658" s="13">
        <f>IFERROR(__xludf.DUMMYFUNCTION("""COMPUTED_VALUE"""),0.75)</f>
        <v>0.75</v>
      </c>
      <c r="D5658" s="8">
        <f>IFERROR(__xludf.DUMMYFUNCTION("""COMPUTED_VALUE"""),0.133)</f>
        <v>0.133</v>
      </c>
      <c r="E5658" s="8" t="str">
        <f>IFERROR(__xludf.DUMMYFUNCTION("""COMPUTED_VALUE"""),"Real")</f>
        <v>Real</v>
      </c>
      <c r="G5658" s="8">
        <f t="shared" si="1"/>
        <v>6</v>
      </c>
      <c r="H5658" s="14">
        <f t="shared" si="2"/>
        <v>24</v>
      </c>
      <c r="I5658" s="15">
        <f t="shared" si="3"/>
        <v>18</v>
      </c>
    </row>
    <row r="5659">
      <c r="A5659" s="8" t="str">
        <f>IFERROR(__xludf.DUMMYFUNCTION("IF('(INGESTA)Datos_consumo_datadis'!A5659&lt;&gt;"""",SPLIT('(INGESTA)Datos_consumo_datadis'!A:A,"",""),"""")"),"ES0031408323131005HX0F")</f>
        <v>ES0031408323131005HX0F</v>
      </c>
      <c r="B5659" s="12">
        <f>IFERROR(__xludf.DUMMYFUNCTION("""COMPUTED_VALUE"""),45101.0)</f>
        <v>45101</v>
      </c>
      <c r="C5659" s="13">
        <f>IFERROR(__xludf.DUMMYFUNCTION("""COMPUTED_VALUE"""),0.7916666666666666)</f>
        <v>0.7916666667</v>
      </c>
      <c r="D5659" s="8">
        <f>IFERROR(__xludf.DUMMYFUNCTION("""COMPUTED_VALUE"""),0.117)</f>
        <v>0.117</v>
      </c>
      <c r="E5659" s="8" t="str">
        <f>IFERROR(__xludf.DUMMYFUNCTION("""COMPUTED_VALUE"""),"Real")</f>
        <v>Real</v>
      </c>
      <c r="G5659" s="8">
        <f t="shared" si="1"/>
        <v>6</v>
      </c>
      <c r="H5659" s="14">
        <f t="shared" si="2"/>
        <v>24</v>
      </c>
      <c r="I5659" s="15">
        <f t="shared" si="3"/>
        <v>19</v>
      </c>
    </row>
    <row r="5660">
      <c r="A5660" s="8" t="str">
        <f>IFERROR(__xludf.DUMMYFUNCTION("IF('(INGESTA)Datos_consumo_datadis'!A5660&lt;&gt;"""",SPLIT('(INGESTA)Datos_consumo_datadis'!A:A,"",""),"""")"),"ES0031408323131005HX0F")</f>
        <v>ES0031408323131005HX0F</v>
      </c>
      <c r="B5660" s="12">
        <f>IFERROR(__xludf.DUMMYFUNCTION("""COMPUTED_VALUE"""),45101.0)</f>
        <v>45101</v>
      </c>
      <c r="C5660" s="13">
        <f>IFERROR(__xludf.DUMMYFUNCTION("""COMPUTED_VALUE"""),0.8333333333333334)</f>
        <v>0.8333333333</v>
      </c>
      <c r="D5660" s="8">
        <f>IFERROR(__xludf.DUMMYFUNCTION("""COMPUTED_VALUE"""),1.147)</f>
        <v>1.147</v>
      </c>
      <c r="E5660" s="8" t="str">
        <f>IFERROR(__xludf.DUMMYFUNCTION("""COMPUTED_VALUE"""),"Real")</f>
        <v>Real</v>
      </c>
      <c r="G5660" s="8">
        <f t="shared" si="1"/>
        <v>6</v>
      </c>
      <c r="H5660" s="14">
        <f t="shared" si="2"/>
        <v>24</v>
      </c>
      <c r="I5660" s="15">
        <f t="shared" si="3"/>
        <v>20</v>
      </c>
    </row>
    <row r="5661">
      <c r="A5661" s="8" t="str">
        <f>IFERROR(__xludf.DUMMYFUNCTION("IF('(INGESTA)Datos_consumo_datadis'!A5661&lt;&gt;"""",SPLIT('(INGESTA)Datos_consumo_datadis'!A:A,"",""),"""")"),"ES0031408323131005HX0F")</f>
        <v>ES0031408323131005HX0F</v>
      </c>
      <c r="B5661" s="12">
        <f>IFERROR(__xludf.DUMMYFUNCTION("""COMPUTED_VALUE"""),45101.0)</f>
        <v>45101</v>
      </c>
      <c r="C5661" s="13">
        <f>IFERROR(__xludf.DUMMYFUNCTION("""COMPUTED_VALUE"""),0.875)</f>
        <v>0.875</v>
      </c>
      <c r="D5661" s="8">
        <f>IFERROR(__xludf.DUMMYFUNCTION("""COMPUTED_VALUE"""),0.825)</f>
        <v>0.825</v>
      </c>
      <c r="E5661" s="8" t="str">
        <f>IFERROR(__xludf.DUMMYFUNCTION("""COMPUTED_VALUE"""),"Real")</f>
        <v>Real</v>
      </c>
      <c r="G5661" s="8">
        <f t="shared" si="1"/>
        <v>6</v>
      </c>
      <c r="H5661" s="14">
        <f t="shared" si="2"/>
        <v>24</v>
      </c>
      <c r="I5661" s="15">
        <f t="shared" si="3"/>
        <v>21</v>
      </c>
    </row>
    <row r="5662">
      <c r="A5662" s="8" t="str">
        <f>IFERROR(__xludf.DUMMYFUNCTION("IF('(INGESTA)Datos_consumo_datadis'!A5662&lt;&gt;"""",SPLIT('(INGESTA)Datos_consumo_datadis'!A:A,"",""),"""")"),"ES0031408323131005HX0F")</f>
        <v>ES0031408323131005HX0F</v>
      </c>
      <c r="B5662" s="12">
        <f>IFERROR(__xludf.DUMMYFUNCTION("""COMPUTED_VALUE"""),45101.0)</f>
        <v>45101</v>
      </c>
      <c r="C5662" s="13">
        <f>IFERROR(__xludf.DUMMYFUNCTION("""COMPUTED_VALUE"""),0.9166666666666666)</f>
        <v>0.9166666667</v>
      </c>
      <c r="D5662" s="8">
        <f>IFERROR(__xludf.DUMMYFUNCTION("""COMPUTED_VALUE"""),0.132)</f>
        <v>0.132</v>
      </c>
      <c r="E5662" s="8" t="str">
        <f>IFERROR(__xludf.DUMMYFUNCTION("""COMPUTED_VALUE"""),"Real")</f>
        <v>Real</v>
      </c>
      <c r="G5662" s="8">
        <f t="shared" si="1"/>
        <v>6</v>
      </c>
      <c r="H5662" s="14">
        <f t="shared" si="2"/>
        <v>24</v>
      </c>
      <c r="I5662" s="15">
        <f t="shared" si="3"/>
        <v>22</v>
      </c>
    </row>
    <row r="5663">
      <c r="A5663" s="8" t="str">
        <f>IFERROR(__xludf.DUMMYFUNCTION("IF('(INGESTA)Datos_consumo_datadis'!A5663&lt;&gt;"""",SPLIT('(INGESTA)Datos_consumo_datadis'!A:A,"",""),"""")"),"ES0031408323131005HX0F")</f>
        <v>ES0031408323131005HX0F</v>
      </c>
      <c r="B5663" s="12">
        <f>IFERROR(__xludf.DUMMYFUNCTION("""COMPUTED_VALUE"""),45101.0)</f>
        <v>45101</v>
      </c>
      <c r="C5663" s="13">
        <f>IFERROR(__xludf.DUMMYFUNCTION("""COMPUTED_VALUE"""),0.9583333333333334)</f>
        <v>0.9583333333</v>
      </c>
      <c r="D5663" s="8">
        <f>IFERROR(__xludf.DUMMYFUNCTION("""COMPUTED_VALUE"""),0.105)</f>
        <v>0.105</v>
      </c>
      <c r="E5663" s="8" t="str">
        <f>IFERROR(__xludf.DUMMYFUNCTION("""COMPUTED_VALUE"""),"Real")</f>
        <v>Real</v>
      </c>
      <c r="G5663" s="8">
        <f t="shared" si="1"/>
        <v>6</v>
      </c>
      <c r="H5663" s="14">
        <f t="shared" si="2"/>
        <v>24</v>
      </c>
      <c r="I5663" s="15">
        <f t="shared" si="3"/>
        <v>23</v>
      </c>
    </row>
    <row r="5664">
      <c r="A5664" s="8" t="str">
        <f>IFERROR(__xludf.DUMMYFUNCTION("IF('(INGESTA)Datos_consumo_datadis'!A5664&lt;&gt;"""",SPLIT('(INGESTA)Datos_consumo_datadis'!A:A,"",""),"""")"),"ES0031408323131005HX0F")</f>
        <v>ES0031408323131005HX0F</v>
      </c>
      <c r="B5664" s="12">
        <f>IFERROR(__xludf.DUMMYFUNCTION("""COMPUTED_VALUE"""),45101.0)</f>
        <v>45101</v>
      </c>
      <c r="C5664" s="16">
        <f>IFERROR(__xludf.DUMMYFUNCTION("""COMPUTED_VALUE"""),1.0)</f>
        <v>1</v>
      </c>
      <c r="D5664" s="8">
        <f>IFERROR(__xludf.DUMMYFUNCTION("""COMPUTED_VALUE"""),0.033)</f>
        <v>0.033</v>
      </c>
      <c r="E5664" s="8" t="str">
        <f>IFERROR(__xludf.DUMMYFUNCTION("""COMPUTED_VALUE"""),"Real")</f>
        <v>Real</v>
      </c>
      <c r="G5664" s="8">
        <f t="shared" si="1"/>
        <v>6</v>
      </c>
      <c r="H5664" s="14">
        <f t="shared" si="2"/>
        <v>24</v>
      </c>
      <c r="I5664" s="15">
        <f t="shared" si="3"/>
        <v>0</v>
      </c>
    </row>
    <row r="5665">
      <c r="A5665" s="8" t="str">
        <f>IFERROR(__xludf.DUMMYFUNCTION("IF('(INGESTA)Datos_consumo_datadis'!A5665&lt;&gt;"""",SPLIT('(INGESTA)Datos_consumo_datadis'!A:A,"",""),"""")"),"ES0031408323131005HX0F")</f>
        <v>ES0031408323131005HX0F</v>
      </c>
      <c r="B5665" s="12">
        <f>IFERROR(__xludf.DUMMYFUNCTION("""COMPUTED_VALUE"""),45102.0)</f>
        <v>45102</v>
      </c>
      <c r="C5665" s="13">
        <f>IFERROR(__xludf.DUMMYFUNCTION("""COMPUTED_VALUE"""),0.041666666666666664)</f>
        <v>0.04166666667</v>
      </c>
      <c r="D5665" s="8">
        <f>IFERROR(__xludf.DUMMYFUNCTION("""COMPUTED_VALUE"""),2.132)</f>
        <v>2.132</v>
      </c>
      <c r="E5665" s="8" t="str">
        <f>IFERROR(__xludf.DUMMYFUNCTION("""COMPUTED_VALUE"""),"Real")</f>
        <v>Real</v>
      </c>
      <c r="G5665" s="8">
        <f t="shared" si="1"/>
        <v>6</v>
      </c>
      <c r="H5665" s="14">
        <f t="shared" si="2"/>
        <v>25</v>
      </c>
      <c r="I5665" s="15">
        <f t="shared" si="3"/>
        <v>1</v>
      </c>
    </row>
    <row r="5666">
      <c r="A5666" s="8" t="str">
        <f>IFERROR(__xludf.DUMMYFUNCTION("IF('(INGESTA)Datos_consumo_datadis'!A5666&lt;&gt;"""",SPLIT('(INGESTA)Datos_consumo_datadis'!A:A,"",""),"""")"),"ES0031408323131005HX0F")</f>
        <v>ES0031408323131005HX0F</v>
      </c>
      <c r="B5666" s="12">
        <f>IFERROR(__xludf.DUMMYFUNCTION("""COMPUTED_VALUE"""),45102.0)</f>
        <v>45102</v>
      </c>
      <c r="C5666" s="13">
        <f>IFERROR(__xludf.DUMMYFUNCTION("""COMPUTED_VALUE"""),0.08333333333333333)</f>
        <v>0.08333333333</v>
      </c>
      <c r="D5666" s="8">
        <f>IFERROR(__xludf.DUMMYFUNCTION("""COMPUTED_VALUE"""),0.576)</f>
        <v>0.576</v>
      </c>
      <c r="E5666" s="8" t="str">
        <f>IFERROR(__xludf.DUMMYFUNCTION("""COMPUTED_VALUE"""),"Real")</f>
        <v>Real</v>
      </c>
      <c r="G5666" s="8">
        <f t="shared" si="1"/>
        <v>6</v>
      </c>
      <c r="H5666" s="14">
        <f t="shared" si="2"/>
        <v>25</v>
      </c>
      <c r="I5666" s="15">
        <f t="shared" si="3"/>
        <v>2</v>
      </c>
    </row>
    <row r="5667">
      <c r="A5667" s="8" t="str">
        <f>IFERROR(__xludf.DUMMYFUNCTION("IF('(INGESTA)Datos_consumo_datadis'!A5667&lt;&gt;"""",SPLIT('(INGESTA)Datos_consumo_datadis'!A:A,"",""),"""")"),"ES0031408323131005HX0F")</f>
        <v>ES0031408323131005HX0F</v>
      </c>
      <c r="B5667" s="12">
        <f>IFERROR(__xludf.DUMMYFUNCTION("""COMPUTED_VALUE"""),45102.0)</f>
        <v>45102</v>
      </c>
      <c r="C5667" s="13">
        <f>IFERROR(__xludf.DUMMYFUNCTION("""COMPUTED_VALUE"""),0.125)</f>
        <v>0.125</v>
      </c>
      <c r="D5667" s="8">
        <f>IFERROR(__xludf.DUMMYFUNCTION("""COMPUTED_VALUE"""),0.068)</f>
        <v>0.068</v>
      </c>
      <c r="E5667" s="8" t="str">
        <f>IFERROR(__xludf.DUMMYFUNCTION("""COMPUTED_VALUE"""),"Real")</f>
        <v>Real</v>
      </c>
      <c r="G5667" s="8">
        <f t="shared" si="1"/>
        <v>6</v>
      </c>
      <c r="H5667" s="14">
        <f t="shared" si="2"/>
        <v>25</v>
      </c>
      <c r="I5667" s="15">
        <f t="shared" si="3"/>
        <v>3</v>
      </c>
    </row>
    <row r="5668">
      <c r="A5668" s="8" t="str">
        <f>IFERROR(__xludf.DUMMYFUNCTION("IF('(INGESTA)Datos_consumo_datadis'!A5668&lt;&gt;"""",SPLIT('(INGESTA)Datos_consumo_datadis'!A:A,"",""),"""")"),"ES0031408323131005HX0F")</f>
        <v>ES0031408323131005HX0F</v>
      </c>
      <c r="B5668" s="12">
        <f>IFERROR(__xludf.DUMMYFUNCTION("""COMPUTED_VALUE"""),45102.0)</f>
        <v>45102</v>
      </c>
      <c r="C5668" s="13">
        <f>IFERROR(__xludf.DUMMYFUNCTION("""COMPUTED_VALUE"""),0.16666666666666666)</f>
        <v>0.1666666667</v>
      </c>
      <c r="D5668" s="8">
        <f>IFERROR(__xludf.DUMMYFUNCTION("""COMPUTED_VALUE"""),0.113)</f>
        <v>0.113</v>
      </c>
      <c r="E5668" s="8" t="str">
        <f>IFERROR(__xludf.DUMMYFUNCTION("""COMPUTED_VALUE"""),"Real")</f>
        <v>Real</v>
      </c>
      <c r="G5668" s="8">
        <f t="shared" si="1"/>
        <v>6</v>
      </c>
      <c r="H5668" s="14">
        <f t="shared" si="2"/>
        <v>25</v>
      </c>
      <c r="I5668" s="15">
        <f t="shared" si="3"/>
        <v>4</v>
      </c>
    </row>
    <row r="5669">
      <c r="A5669" s="8" t="str">
        <f>IFERROR(__xludf.DUMMYFUNCTION("IF('(INGESTA)Datos_consumo_datadis'!A5669&lt;&gt;"""",SPLIT('(INGESTA)Datos_consumo_datadis'!A:A,"",""),"""")"),"ES0031408323131005HX0F")</f>
        <v>ES0031408323131005HX0F</v>
      </c>
      <c r="B5669" s="12">
        <f>IFERROR(__xludf.DUMMYFUNCTION("""COMPUTED_VALUE"""),45102.0)</f>
        <v>45102</v>
      </c>
      <c r="C5669" s="13">
        <f>IFERROR(__xludf.DUMMYFUNCTION("""COMPUTED_VALUE"""),0.20833333333333334)</f>
        <v>0.2083333333</v>
      </c>
      <c r="D5669" s="8">
        <f>IFERROR(__xludf.DUMMYFUNCTION("""COMPUTED_VALUE"""),0.099)</f>
        <v>0.099</v>
      </c>
      <c r="E5669" s="8" t="str">
        <f>IFERROR(__xludf.DUMMYFUNCTION("""COMPUTED_VALUE"""),"Real")</f>
        <v>Real</v>
      </c>
      <c r="G5669" s="8">
        <f t="shared" si="1"/>
        <v>6</v>
      </c>
      <c r="H5669" s="14">
        <f t="shared" si="2"/>
        <v>25</v>
      </c>
      <c r="I5669" s="15">
        <f t="shared" si="3"/>
        <v>5</v>
      </c>
    </row>
    <row r="5670">
      <c r="A5670" s="8" t="str">
        <f>IFERROR(__xludf.DUMMYFUNCTION("IF('(INGESTA)Datos_consumo_datadis'!A5670&lt;&gt;"""",SPLIT('(INGESTA)Datos_consumo_datadis'!A:A,"",""),"""")"),"ES0031408323131005HX0F")</f>
        <v>ES0031408323131005HX0F</v>
      </c>
      <c r="B5670" s="12">
        <f>IFERROR(__xludf.DUMMYFUNCTION("""COMPUTED_VALUE"""),45102.0)</f>
        <v>45102</v>
      </c>
      <c r="C5670" s="13">
        <f>IFERROR(__xludf.DUMMYFUNCTION("""COMPUTED_VALUE"""),0.25)</f>
        <v>0.25</v>
      </c>
      <c r="D5670" s="8">
        <f>IFERROR(__xludf.DUMMYFUNCTION("""COMPUTED_VALUE"""),0.038)</f>
        <v>0.038</v>
      </c>
      <c r="E5670" s="8" t="str">
        <f>IFERROR(__xludf.DUMMYFUNCTION("""COMPUTED_VALUE"""),"Real")</f>
        <v>Real</v>
      </c>
      <c r="G5670" s="8">
        <f t="shared" si="1"/>
        <v>6</v>
      </c>
      <c r="H5670" s="14">
        <f t="shared" si="2"/>
        <v>25</v>
      </c>
      <c r="I5670" s="15">
        <f t="shared" si="3"/>
        <v>6</v>
      </c>
    </row>
    <row r="5671">
      <c r="A5671" s="8" t="str">
        <f>IFERROR(__xludf.DUMMYFUNCTION("IF('(INGESTA)Datos_consumo_datadis'!A5671&lt;&gt;"""",SPLIT('(INGESTA)Datos_consumo_datadis'!A:A,"",""),"""")"),"ES0031408323131005HX0F")</f>
        <v>ES0031408323131005HX0F</v>
      </c>
      <c r="B5671" s="12">
        <f>IFERROR(__xludf.DUMMYFUNCTION("""COMPUTED_VALUE"""),45102.0)</f>
        <v>45102</v>
      </c>
      <c r="C5671" s="13">
        <f>IFERROR(__xludf.DUMMYFUNCTION("""COMPUTED_VALUE"""),0.2916666666666667)</f>
        <v>0.2916666667</v>
      </c>
      <c r="D5671" s="8">
        <f>IFERROR(__xludf.DUMMYFUNCTION("""COMPUTED_VALUE"""),0.124)</f>
        <v>0.124</v>
      </c>
      <c r="E5671" s="8" t="str">
        <f>IFERROR(__xludf.DUMMYFUNCTION("""COMPUTED_VALUE"""),"Real")</f>
        <v>Real</v>
      </c>
      <c r="G5671" s="8">
        <f t="shared" si="1"/>
        <v>6</v>
      </c>
      <c r="H5671" s="14">
        <f t="shared" si="2"/>
        <v>25</v>
      </c>
      <c r="I5671" s="15">
        <f t="shared" si="3"/>
        <v>7</v>
      </c>
    </row>
    <row r="5672">
      <c r="A5672" s="8" t="str">
        <f>IFERROR(__xludf.DUMMYFUNCTION("IF('(INGESTA)Datos_consumo_datadis'!A5672&lt;&gt;"""",SPLIT('(INGESTA)Datos_consumo_datadis'!A:A,"",""),"""")"),"ES0031408323131005HX0F")</f>
        <v>ES0031408323131005HX0F</v>
      </c>
      <c r="B5672" s="12">
        <f>IFERROR(__xludf.DUMMYFUNCTION("""COMPUTED_VALUE"""),45102.0)</f>
        <v>45102</v>
      </c>
      <c r="C5672" s="13">
        <f>IFERROR(__xludf.DUMMYFUNCTION("""COMPUTED_VALUE"""),0.3333333333333333)</f>
        <v>0.3333333333</v>
      </c>
      <c r="D5672" s="8">
        <f>IFERROR(__xludf.DUMMYFUNCTION("""COMPUTED_VALUE"""),0.143)</f>
        <v>0.143</v>
      </c>
      <c r="E5672" s="8" t="str">
        <f>IFERROR(__xludf.DUMMYFUNCTION("""COMPUTED_VALUE"""),"Real")</f>
        <v>Real</v>
      </c>
      <c r="G5672" s="8">
        <f t="shared" si="1"/>
        <v>6</v>
      </c>
      <c r="H5672" s="14">
        <f t="shared" si="2"/>
        <v>25</v>
      </c>
      <c r="I5672" s="15">
        <f t="shared" si="3"/>
        <v>8</v>
      </c>
    </row>
    <row r="5673">
      <c r="A5673" s="8" t="str">
        <f>IFERROR(__xludf.DUMMYFUNCTION("IF('(INGESTA)Datos_consumo_datadis'!A5673&lt;&gt;"""",SPLIT('(INGESTA)Datos_consumo_datadis'!A:A,"",""),"""")"),"ES0031408323131005HX0F")</f>
        <v>ES0031408323131005HX0F</v>
      </c>
      <c r="B5673" s="12">
        <f>IFERROR(__xludf.DUMMYFUNCTION("""COMPUTED_VALUE"""),45102.0)</f>
        <v>45102</v>
      </c>
      <c r="C5673" s="13">
        <f>IFERROR(__xludf.DUMMYFUNCTION("""COMPUTED_VALUE"""),0.375)</f>
        <v>0.375</v>
      </c>
      <c r="D5673" s="8">
        <f>IFERROR(__xludf.DUMMYFUNCTION("""COMPUTED_VALUE"""),0.085)</f>
        <v>0.085</v>
      </c>
      <c r="E5673" s="8" t="str">
        <f>IFERROR(__xludf.DUMMYFUNCTION("""COMPUTED_VALUE"""),"Real")</f>
        <v>Real</v>
      </c>
      <c r="G5673" s="8">
        <f t="shared" si="1"/>
        <v>6</v>
      </c>
      <c r="H5673" s="14">
        <f t="shared" si="2"/>
        <v>25</v>
      </c>
      <c r="I5673" s="15">
        <f t="shared" si="3"/>
        <v>9</v>
      </c>
    </row>
    <row r="5674">
      <c r="A5674" s="8" t="str">
        <f>IFERROR(__xludf.DUMMYFUNCTION("IF('(INGESTA)Datos_consumo_datadis'!A5674&lt;&gt;"""",SPLIT('(INGESTA)Datos_consumo_datadis'!A:A,"",""),"""")"),"ES0031408323131005HX0F")</f>
        <v>ES0031408323131005HX0F</v>
      </c>
      <c r="B5674" s="12">
        <f>IFERROR(__xludf.DUMMYFUNCTION("""COMPUTED_VALUE"""),45102.0)</f>
        <v>45102</v>
      </c>
      <c r="C5674" s="13">
        <f>IFERROR(__xludf.DUMMYFUNCTION("""COMPUTED_VALUE"""),0.4166666666666667)</f>
        <v>0.4166666667</v>
      </c>
      <c r="D5674" s="8">
        <f>IFERROR(__xludf.DUMMYFUNCTION("""COMPUTED_VALUE"""),0.153)</f>
        <v>0.153</v>
      </c>
      <c r="E5674" s="8" t="str">
        <f>IFERROR(__xludf.DUMMYFUNCTION("""COMPUTED_VALUE"""),"Real")</f>
        <v>Real</v>
      </c>
      <c r="G5674" s="8">
        <f t="shared" si="1"/>
        <v>6</v>
      </c>
      <c r="H5674" s="14">
        <f t="shared" si="2"/>
        <v>25</v>
      </c>
      <c r="I5674" s="15">
        <f t="shared" si="3"/>
        <v>10</v>
      </c>
    </row>
    <row r="5675">
      <c r="A5675" s="8" t="str">
        <f>IFERROR(__xludf.DUMMYFUNCTION("IF('(INGESTA)Datos_consumo_datadis'!A5675&lt;&gt;"""",SPLIT('(INGESTA)Datos_consumo_datadis'!A:A,"",""),"""")"),"ES0031408323131005HX0F")</f>
        <v>ES0031408323131005HX0F</v>
      </c>
      <c r="B5675" s="12">
        <f>IFERROR(__xludf.DUMMYFUNCTION("""COMPUTED_VALUE"""),45102.0)</f>
        <v>45102</v>
      </c>
      <c r="C5675" s="13">
        <f>IFERROR(__xludf.DUMMYFUNCTION("""COMPUTED_VALUE"""),0.4583333333333333)</f>
        <v>0.4583333333</v>
      </c>
      <c r="D5675" s="8">
        <f>IFERROR(__xludf.DUMMYFUNCTION("""COMPUTED_VALUE"""),0.58)</f>
        <v>0.58</v>
      </c>
      <c r="E5675" s="8" t="str">
        <f>IFERROR(__xludf.DUMMYFUNCTION("""COMPUTED_VALUE"""),"Real")</f>
        <v>Real</v>
      </c>
      <c r="G5675" s="8">
        <f t="shared" si="1"/>
        <v>6</v>
      </c>
      <c r="H5675" s="14">
        <f t="shared" si="2"/>
        <v>25</v>
      </c>
      <c r="I5675" s="15">
        <f t="shared" si="3"/>
        <v>11</v>
      </c>
    </row>
    <row r="5676">
      <c r="A5676" s="8" t="str">
        <f>IFERROR(__xludf.DUMMYFUNCTION("IF('(INGESTA)Datos_consumo_datadis'!A5676&lt;&gt;"""",SPLIT('(INGESTA)Datos_consumo_datadis'!A:A,"",""),"""")"),"ES0031408323131005HX0F")</f>
        <v>ES0031408323131005HX0F</v>
      </c>
      <c r="B5676" s="12">
        <f>IFERROR(__xludf.DUMMYFUNCTION("""COMPUTED_VALUE"""),45102.0)</f>
        <v>45102</v>
      </c>
      <c r="C5676" s="13">
        <f>IFERROR(__xludf.DUMMYFUNCTION("""COMPUTED_VALUE"""),0.5)</f>
        <v>0.5</v>
      </c>
      <c r="D5676" s="8">
        <f>IFERROR(__xludf.DUMMYFUNCTION("""COMPUTED_VALUE"""),0.094)</f>
        <v>0.094</v>
      </c>
      <c r="E5676" s="8" t="str">
        <f>IFERROR(__xludf.DUMMYFUNCTION("""COMPUTED_VALUE"""),"Real")</f>
        <v>Real</v>
      </c>
      <c r="G5676" s="8">
        <f t="shared" si="1"/>
        <v>6</v>
      </c>
      <c r="H5676" s="14">
        <f t="shared" si="2"/>
        <v>25</v>
      </c>
      <c r="I5676" s="15">
        <f t="shared" si="3"/>
        <v>12</v>
      </c>
    </row>
    <row r="5677">
      <c r="A5677" s="8" t="str">
        <f>IFERROR(__xludf.DUMMYFUNCTION("IF('(INGESTA)Datos_consumo_datadis'!A5677&lt;&gt;"""",SPLIT('(INGESTA)Datos_consumo_datadis'!A:A,"",""),"""")"),"ES0031408323131005HX0F")</f>
        <v>ES0031408323131005HX0F</v>
      </c>
      <c r="B5677" s="12">
        <f>IFERROR(__xludf.DUMMYFUNCTION("""COMPUTED_VALUE"""),45102.0)</f>
        <v>45102</v>
      </c>
      <c r="C5677" s="13">
        <f>IFERROR(__xludf.DUMMYFUNCTION("""COMPUTED_VALUE"""),0.5416666666666666)</f>
        <v>0.5416666667</v>
      </c>
      <c r="D5677" s="8">
        <f>IFERROR(__xludf.DUMMYFUNCTION("""COMPUTED_VALUE"""),0.132)</f>
        <v>0.132</v>
      </c>
      <c r="E5677" s="8" t="str">
        <f>IFERROR(__xludf.DUMMYFUNCTION("""COMPUTED_VALUE"""),"Real")</f>
        <v>Real</v>
      </c>
      <c r="G5677" s="8">
        <f t="shared" si="1"/>
        <v>6</v>
      </c>
      <c r="H5677" s="14">
        <f t="shared" si="2"/>
        <v>25</v>
      </c>
      <c r="I5677" s="15">
        <f t="shared" si="3"/>
        <v>13</v>
      </c>
    </row>
    <row r="5678">
      <c r="A5678" s="8" t="str">
        <f>IFERROR(__xludf.DUMMYFUNCTION("IF('(INGESTA)Datos_consumo_datadis'!A5678&lt;&gt;"""",SPLIT('(INGESTA)Datos_consumo_datadis'!A:A,"",""),"""")"),"ES0031408323131005HX0F")</f>
        <v>ES0031408323131005HX0F</v>
      </c>
      <c r="B5678" s="12">
        <f>IFERROR(__xludf.DUMMYFUNCTION("""COMPUTED_VALUE"""),45102.0)</f>
        <v>45102</v>
      </c>
      <c r="C5678" s="13">
        <f>IFERROR(__xludf.DUMMYFUNCTION("""COMPUTED_VALUE"""),0.5833333333333334)</f>
        <v>0.5833333333</v>
      </c>
      <c r="D5678" s="8">
        <f>IFERROR(__xludf.DUMMYFUNCTION("""COMPUTED_VALUE"""),0.206)</f>
        <v>0.206</v>
      </c>
      <c r="E5678" s="8" t="str">
        <f>IFERROR(__xludf.DUMMYFUNCTION("""COMPUTED_VALUE"""),"Real")</f>
        <v>Real</v>
      </c>
      <c r="G5678" s="8">
        <f t="shared" si="1"/>
        <v>6</v>
      </c>
      <c r="H5678" s="14">
        <f t="shared" si="2"/>
        <v>25</v>
      </c>
      <c r="I5678" s="15">
        <f t="shared" si="3"/>
        <v>14</v>
      </c>
    </row>
    <row r="5679">
      <c r="A5679" s="8" t="str">
        <f>IFERROR(__xludf.DUMMYFUNCTION("IF('(INGESTA)Datos_consumo_datadis'!A5679&lt;&gt;"""",SPLIT('(INGESTA)Datos_consumo_datadis'!A:A,"",""),"""")"),"ES0031408323131005HX0F")</f>
        <v>ES0031408323131005HX0F</v>
      </c>
      <c r="B5679" s="12">
        <f>IFERROR(__xludf.DUMMYFUNCTION("""COMPUTED_VALUE"""),45102.0)</f>
        <v>45102</v>
      </c>
      <c r="C5679" s="13">
        <f>IFERROR(__xludf.DUMMYFUNCTION("""COMPUTED_VALUE"""),0.625)</f>
        <v>0.625</v>
      </c>
      <c r="D5679" s="8">
        <f>IFERROR(__xludf.DUMMYFUNCTION("""COMPUTED_VALUE"""),1.215)</f>
        <v>1.215</v>
      </c>
      <c r="E5679" s="8" t="str">
        <f>IFERROR(__xludf.DUMMYFUNCTION("""COMPUTED_VALUE"""),"Real")</f>
        <v>Real</v>
      </c>
      <c r="G5679" s="8">
        <f t="shared" si="1"/>
        <v>6</v>
      </c>
      <c r="H5679" s="14">
        <f t="shared" si="2"/>
        <v>25</v>
      </c>
      <c r="I5679" s="15">
        <f t="shared" si="3"/>
        <v>15</v>
      </c>
    </row>
    <row r="5680">
      <c r="A5680" s="8" t="str">
        <f>IFERROR(__xludf.DUMMYFUNCTION("IF('(INGESTA)Datos_consumo_datadis'!A5680&lt;&gt;"""",SPLIT('(INGESTA)Datos_consumo_datadis'!A:A,"",""),"""")"),"ES0031408323131005HX0F")</f>
        <v>ES0031408323131005HX0F</v>
      </c>
      <c r="B5680" s="12">
        <f>IFERROR(__xludf.DUMMYFUNCTION("""COMPUTED_VALUE"""),45102.0)</f>
        <v>45102</v>
      </c>
      <c r="C5680" s="13">
        <f>IFERROR(__xludf.DUMMYFUNCTION("""COMPUTED_VALUE"""),0.6666666666666666)</f>
        <v>0.6666666667</v>
      </c>
      <c r="D5680" s="8">
        <f>IFERROR(__xludf.DUMMYFUNCTION("""COMPUTED_VALUE"""),0.091)</f>
        <v>0.091</v>
      </c>
      <c r="E5680" s="8" t="str">
        <f>IFERROR(__xludf.DUMMYFUNCTION("""COMPUTED_VALUE"""),"Real")</f>
        <v>Real</v>
      </c>
      <c r="G5680" s="8">
        <f t="shared" si="1"/>
        <v>6</v>
      </c>
      <c r="H5680" s="14">
        <f t="shared" si="2"/>
        <v>25</v>
      </c>
      <c r="I5680" s="15">
        <f t="shared" si="3"/>
        <v>16</v>
      </c>
    </row>
    <row r="5681">
      <c r="A5681" s="8" t="str">
        <f>IFERROR(__xludf.DUMMYFUNCTION("IF('(INGESTA)Datos_consumo_datadis'!A5681&lt;&gt;"""",SPLIT('(INGESTA)Datos_consumo_datadis'!A:A,"",""),"""")"),"ES0031408323131005HX0F")</f>
        <v>ES0031408323131005HX0F</v>
      </c>
      <c r="B5681" s="12">
        <f>IFERROR(__xludf.DUMMYFUNCTION("""COMPUTED_VALUE"""),45102.0)</f>
        <v>45102</v>
      </c>
      <c r="C5681" s="13">
        <f>IFERROR(__xludf.DUMMYFUNCTION("""COMPUTED_VALUE"""),0.7083333333333334)</f>
        <v>0.7083333333</v>
      </c>
      <c r="D5681" s="8">
        <f>IFERROR(__xludf.DUMMYFUNCTION("""COMPUTED_VALUE"""),0.033)</f>
        <v>0.033</v>
      </c>
      <c r="E5681" s="8" t="str">
        <f>IFERROR(__xludf.DUMMYFUNCTION("""COMPUTED_VALUE"""),"Real")</f>
        <v>Real</v>
      </c>
      <c r="G5681" s="8">
        <f t="shared" si="1"/>
        <v>6</v>
      </c>
      <c r="H5681" s="14">
        <f t="shared" si="2"/>
        <v>25</v>
      </c>
      <c r="I5681" s="15">
        <f t="shared" si="3"/>
        <v>17</v>
      </c>
    </row>
    <row r="5682">
      <c r="A5682" s="8" t="str">
        <f>IFERROR(__xludf.DUMMYFUNCTION("IF('(INGESTA)Datos_consumo_datadis'!A5682&lt;&gt;"""",SPLIT('(INGESTA)Datos_consumo_datadis'!A:A,"",""),"""")"),"ES0031408323131005HX0F")</f>
        <v>ES0031408323131005HX0F</v>
      </c>
      <c r="B5682" s="12">
        <f>IFERROR(__xludf.DUMMYFUNCTION("""COMPUTED_VALUE"""),45102.0)</f>
        <v>45102</v>
      </c>
      <c r="C5682" s="13">
        <f>IFERROR(__xludf.DUMMYFUNCTION("""COMPUTED_VALUE"""),0.75)</f>
        <v>0.75</v>
      </c>
      <c r="D5682" s="8">
        <f>IFERROR(__xludf.DUMMYFUNCTION("""COMPUTED_VALUE"""),0.089)</f>
        <v>0.089</v>
      </c>
      <c r="E5682" s="8" t="str">
        <f>IFERROR(__xludf.DUMMYFUNCTION("""COMPUTED_VALUE"""),"Real")</f>
        <v>Real</v>
      </c>
      <c r="G5682" s="8">
        <f t="shared" si="1"/>
        <v>6</v>
      </c>
      <c r="H5682" s="14">
        <f t="shared" si="2"/>
        <v>25</v>
      </c>
      <c r="I5682" s="15">
        <f t="shared" si="3"/>
        <v>18</v>
      </c>
    </row>
    <row r="5683">
      <c r="A5683" s="8" t="str">
        <f>IFERROR(__xludf.DUMMYFUNCTION("IF('(INGESTA)Datos_consumo_datadis'!A5683&lt;&gt;"""",SPLIT('(INGESTA)Datos_consumo_datadis'!A:A,"",""),"""")"),"ES0031408323131005HX0F")</f>
        <v>ES0031408323131005HX0F</v>
      </c>
      <c r="B5683" s="12">
        <f>IFERROR(__xludf.DUMMYFUNCTION("""COMPUTED_VALUE"""),45102.0)</f>
        <v>45102</v>
      </c>
      <c r="C5683" s="13">
        <f>IFERROR(__xludf.DUMMYFUNCTION("""COMPUTED_VALUE"""),0.7916666666666666)</f>
        <v>0.7916666667</v>
      </c>
      <c r="D5683" s="8">
        <f>IFERROR(__xludf.DUMMYFUNCTION("""COMPUTED_VALUE"""),0.092)</f>
        <v>0.092</v>
      </c>
      <c r="E5683" s="8" t="str">
        <f>IFERROR(__xludf.DUMMYFUNCTION("""COMPUTED_VALUE"""),"Real")</f>
        <v>Real</v>
      </c>
      <c r="G5683" s="8">
        <f t="shared" si="1"/>
        <v>6</v>
      </c>
      <c r="H5683" s="14">
        <f t="shared" si="2"/>
        <v>25</v>
      </c>
      <c r="I5683" s="15">
        <f t="shared" si="3"/>
        <v>19</v>
      </c>
    </row>
    <row r="5684">
      <c r="A5684" s="8" t="str">
        <f>IFERROR(__xludf.DUMMYFUNCTION("IF('(INGESTA)Datos_consumo_datadis'!A5684&lt;&gt;"""",SPLIT('(INGESTA)Datos_consumo_datadis'!A:A,"",""),"""")"),"ES0031408323131005HX0F")</f>
        <v>ES0031408323131005HX0F</v>
      </c>
      <c r="B5684" s="12">
        <f>IFERROR(__xludf.DUMMYFUNCTION("""COMPUTED_VALUE"""),45102.0)</f>
        <v>45102</v>
      </c>
      <c r="C5684" s="13">
        <f>IFERROR(__xludf.DUMMYFUNCTION("""COMPUTED_VALUE"""),0.8333333333333334)</f>
        <v>0.8333333333</v>
      </c>
      <c r="D5684" s="8">
        <f>IFERROR(__xludf.DUMMYFUNCTION("""COMPUTED_VALUE"""),0.054)</f>
        <v>0.054</v>
      </c>
      <c r="E5684" s="8" t="str">
        <f>IFERROR(__xludf.DUMMYFUNCTION("""COMPUTED_VALUE"""),"Real")</f>
        <v>Real</v>
      </c>
      <c r="G5684" s="8">
        <f t="shared" si="1"/>
        <v>6</v>
      </c>
      <c r="H5684" s="14">
        <f t="shared" si="2"/>
        <v>25</v>
      </c>
      <c r="I5684" s="15">
        <f t="shared" si="3"/>
        <v>20</v>
      </c>
    </row>
    <row r="5685">
      <c r="A5685" s="8" t="str">
        <f>IFERROR(__xludf.DUMMYFUNCTION("IF('(INGESTA)Datos_consumo_datadis'!A5685&lt;&gt;"""",SPLIT('(INGESTA)Datos_consumo_datadis'!A:A,"",""),"""")"),"ES0031408323131005HX0F")</f>
        <v>ES0031408323131005HX0F</v>
      </c>
      <c r="B5685" s="12">
        <f>IFERROR(__xludf.DUMMYFUNCTION("""COMPUTED_VALUE"""),45102.0)</f>
        <v>45102</v>
      </c>
      <c r="C5685" s="13">
        <f>IFERROR(__xludf.DUMMYFUNCTION("""COMPUTED_VALUE"""),0.875)</f>
        <v>0.875</v>
      </c>
      <c r="D5685" s="8">
        <f>IFERROR(__xludf.DUMMYFUNCTION("""COMPUTED_VALUE"""),0.34)</f>
        <v>0.34</v>
      </c>
      <c r="E5685" s="8" t="str">
        <f>IFERROR(__xludf.DUMMYFUNCTION("""COMPUTED_VALUE"""),"Real")</f>
        <v>Real</v>
      </c>
      <c r="G5685" s="8">
        <f t="shared" si="1"/>
        <v>6</v>
      </c>
      <c r="H5685" s="14">
        <f t="shared" si="2"/>
        <v>25</v>
      </c>
      <c r="I5685" s="15">
        <f t="shared" si="3"/>
        <v>21</v>
      </c>
    </row>
    <row r="5686">
      <c r="A5686" s="8" t="str">
        <f>IFERROR(__xludf.DUMMYFUNCTION("IF('(INGESTA)Datos_consumo_datadis'!A5686&lt;&gt;"""",SPLIT('(INGESTA)Datos_consumo_datadis'!A:A,"",""),"""")"),"ES0031408323131005HX0F")</f>
        <v>ES0031408323131005HX0F</v>
      </c>
      <c r="B5686" s="12">
        <f>IFERROR(__xludf.DUMMYFUNCTION("""COMPUTED_VALUE"""),45102.0)</f>
        <v>45102</v>
      </c>
      <c r="C5686" s="13">
        <f>IFERROR(__xludf.DUMMYFUNCTION("""COMPUTED_VALUE"""),0.9166666666666666)</f>
        <v>0.9166666667</v>
      </c>
      <c r="D5686" s="8">
        <f>IFERROR(__xludf.DUMMYFUNCTION("""COMPUTED_VALUE"""),0.091)</f>
        <v>0.091</v>
      </c>
      <c r="E5686" s="8" t="str">
        <f>IFERROR(__xludf.DUMMYFUNCTION("""COMPUTED_VALUE"""),"Real")</f>
        <v>Real</v>
      </c>
      <c r="G5686" s="8">
        <f t="shared" si="1"/>
        <v>6</v>
      </c>
      <c r="H5686" s="14">
        <f t="shared" si="2"/>
        <v>25</v>
      </c>
      <c r="I5686" s="15">
        <f t="shared" si="3"/>
        <v>22</v>
      </c>
    </row>
    <row r="5687">
      <c r="A5687" s="8" t="str">
        <f>IFERROR(__xludf.DUMMYFUNCTION("IF('(INGESTA)Datos_consumo_datadis'!A5687&lt;&gt;"""",SPLIT('(INGESTA)Datos_consumo_datadis'!A:A,"",""),"""")"),"ES0031408323131005HX0F")</f>
        <v>ES0031408323131005HX0F</v>
      </c>
      <c r="B5687" s="12">
        <f>IFERROR(__xludf.DUMMYFUNCTION("""COMPUTED_VALUE"""),45102.0)</f>
        <v>45102</v>
      </c>
      <c r="C5687" s="13">
        <f>IFERROR(__xludf.DUMMYFUNCTION("""COMPUTED_VALUE"""),0.9583333333333334)</f>
        <v>0.9583333333</v>
      </c>
      <c r="D5687" s="8">
        <f>IFERROR(__xludf.DUMMYFUNCTION("""COMPUTED_VALUE"""),0.052)</f>
        <v>0.052</v>
      </c>
      <c r="E5687" s="8" t="str">
        <f>IFERROR(__xludf.DUMMYFUNCTION("""COMPUTED_VALUE"""),"Real")</f>
        <v>Real</v>
      </c>
      <c r="G5687" s="8">
        <f t="shared" si="1"/>
        <v>6</v>
      </c>
      <c r="H5687" s="14">
        <f t="shared" si="2"/>
        <v>25</v>
      </c>
      <c r="I5687" s="15">
        <f t="shared" si="3"/>
        <v>23</v>
      </c>
    </row>
    <row r="5688">
      <c r="A5688" s="8" t="str">
        <f>IFERROR(__xludf.DUMMYFUNCTION("IF('(INGESTA)Datos_consumo_datadis'!A5688&lt;&gt;"""",SPLIT('(INGESTA)Datos_consumo_datadis'!A:A,"",""),"""")"),"ES0031408323131005HX0F")</f>
        <v>ES0031408323131005HX0F</v>
      </c>
      <c r="B5688" s="12">
        <f>IFERROR(__xludf.DUMMYFUNCTION("""COMPUTED_VALUE"""),45102.0)</f>
        <v>45102</v>
      </c>
      <c r="C5688" s="16">
        <f>IFERROR(__xludf.DUMMYFUNCTION("""COMPUTED_VALUE"""),1.0)</f>
        <v>1</v>
      </c>
      <c r="D5688" s="8">
        <f>IFERROR(__xludf.DUMMYFUNCTION("""COMPUTED_VALUE"""),0.075)</f>
        <v>0.075</v>
      </c>
      <c r="E5688" s="8" t="str">
        <f>IFERROR(__xludf.DUMMYFUNCTION("""COMPUTED_VALUE"""),"Real")</f>
        <v>Real</v>
      </c>
      <c r="G5688" s="8">
        <f t="shared" si="1"/>
        <v>6</v>
      </c>
      <c r="H5688" s="14">
        <f t="shared" si="2"/>
        <v>25</v>
      </c>
      <c r="I5688" s="15">
        <f t="shared" si="3"/>
        <v>0</v>
      </c>
    </row>
    <row r="5689">
      <c r="A5689" s="8" t="str">
        <f>IFERROR(__xludf.DUMMYFUNCTION("IF('(INGESTA)Datos_consumo_datadis'!A5689&lt;&gt;"""",SPLIT('(INGESTA)Datos_consumo_datadis'!A:A,"",""),"""")"),"ES0031408323131005HX0F")</f>
        <v>ES0031408323131005HX0F</v>
      </c>
      <c r="B5689" s="12">
        <f>IFERROR(__xludf.DUMMYFUNCTION("""COMPUTED_VALUE"""),45103.0)</f>
        <v>45103</v>
      </c>
      <c r="C5689" s="13">
        <f>IFERROR(__xludf.DUMMYFUNCTION("""COMPUTED_VALUE"""),0.041666666666666664)</f>
        <v>0.04166666667</v>
      </c>
      <c r="D5689" s="8">
        <f>IFERROR(__xludf.DUMMYFUNCTION("""COMPUTED_VALUE"""),0.092)</f>
        <v>0.092</v>
      </c>
      <c r="E5689" s="8" t="str">
        <f>IFERROR(__xludf.DUMMYFUNCTION("""COMPUTED_VALUE"""),"Real")</f>
        <v>Real</v>
      </c>
      <c r="G5689" s="8">
        <f t="shared" si="1"/>
        <v>6</v>
      </c>
      <c r="H5689" s="14">
        <f t="shared" si="2"/>
        <v>26</v>
      </c>
      <c r="I5689" s="15">
        <f t="shared" si="3"/>
        <v>1</v>
      </c>
    </row>
    <row r="5690">
      <c r="A5690" s="8" t="str">
        <f>IFERROR(__xludf.DUMMYFUNCTION("IF('(INGESTA)Datos_consumo_datadis'!A5690&lt;&gt;"""",SPLIT('(INGESTA)Datos_consumo_datadis'!A:A,"",""),"""")"),"ES0031408323131005HX0F")</f>
        <v>ES0031408323131005HX0F</v>
      </c>
      <c r="B5690" s="12">
        <f>IFERROR(__xludf.DUMMYFUNCTION("""COMPUTED_VALUE"""),45103.0)</f>
        <v>45103</v>
      </c>
      <c r="C5690" s="13">
        <f>IFERROR(__xludf.DUMMYFUNCTION("""COMPUTED_VALUE"""),0.08333333333333333)</f>
        <v>0.08333333333</v>
      </c>
      <c r="D5690" s="8">
        <f>IFERROR(__xludf.DUMMYFUNCTION("""COMPUTED_VALUE"""),0.05)</f>
        <v>0.05</v>
      </c>
      <c r="E5690" s="8" t="str">
        <f>IFERROR(__xludf.DUMMYFUNCTION("""COMPUTED_VALUE"""),"Real")</f>
        <v>Real</v>
      </c>
      <c r="G5690" s="8">
        <f t="shared" si="1"/>
        <v>6</v>
      </c>
      <c r="H5690" s="14">
        <f t="shared" si="2"/>
        <v>26</v>
      </c>
      <c r="I5690" s="15">
        <f t="shared" si="3"/>
        <v>2</v>
      </c>
    </row>
    <row r="5691">
      <c r="A5691" s="8" t="str">
        <f>IFERROR(__xludf.DUMMYFUNCTION("IF('(INGESTA)Datos_consumo_datadis'!A5691&lt;&gt;"""",SPLIT('(INGESTA)Datos_consumo_datadis'!A:A,"",""),"""")"),"ES0031408323131005HX0F")</f>
        <v>ES0031408323131005HX0F</v>
      </c>
      <c r="B5691" s="12">
        <f>IFERROR(__xludf.DUMMYFUNCTION("""COMPUTED_VALUE"""),45103.0)</f>
        <v>45103</v>
      </c>
      <c r="C5691" s="13">
        <f>IFERROR(__xludf.DUMMYFUNCTION("""COMPUTED_VALUE"""),0.125)</f>
        <v>0.125</v>
      </c>
      <c r="D5691" s="8">
        <f>IFERROR(__xludf.DUMMYFUNCTION("""COMPUTED_VALUE"""),0.099)</f>
        <v>0.099</v>
      </c>
      <c r="E5691" s="8" t="str">
        <f>IFERROR(__xludf.DUMMYFUNCTION("""COMPUTED_VALUE"""),"Real")</f>
        <v>Real</v>
      </c>
      <c r="G5691" s="8">
        <f t="shared" si="1"/>
        <v>6</v>
      </c>
      <c r="H5691" s="14">
        <f t="shared" si="2"/>
        <v>26</v>
      </c>
      <c r="I5691" s="15">
        <f t="shared" si="3"/>
        <v>3</v>
      </c>
    </row>
    <row r="5692">
      <c r="A5692" s="8" t="str">
        <f>IFERROR(__xludf.DUMMYFUNCTION("IF('(INGESTA)Datos_consumo_datadis'!A5692&lt;&gt;"""",SPLIT('(INGESTA)Datos_consumo_datadis'!A:A,"",""),"""")"),"ES0031408323131005HX0F")</f>
        <v>ES0031408323131005HX0F</v>
      </c>
      <c r="B5692" s="12">
        <f>IFERROR(__xludf.DUMMYFUNCTION("""COMPUTED_VALUE"""),45103.0)</f>
        <v>45103</v>
      </c>
      <c r="C5692" s="13">
        <f>IFERROR(__xludf.DUMMYFUNCTION("""COMPUTED_VALUE"""),0.16666666666666666)</f>
        <v>0.1666666667</v>
      </c>
      <c r="D5692" s="8">
        <f>IFERROR(__xludf.DUMMYFUNCTION("""COMPUTED_VALUE"""),0.097)</f>
        <v>0.097</v>
      </c>
      <c r="E5692" s="8" t="str">
        <f>IFERROR(__xludf.DUMMYFUNCTION("""COMPUTED_VALUE"""),"Real")</f>
        <v>Real</v>
      </c>
      <c r="G5692" s="8">
        <f t="shared" si="1"/>
        <v>6</v>
      </c>
      <c r="H5692" s="14">
        <f t="shared" si="2"/>
        <v>26</v>
      </c>
      <c r="I5692" s="15">
        <f t="shared" si="3"/>
        <v>4</v>
      </c>
    </row>
    <row r="5693">
      <c r="A5693" s="8" t="str">
        <f>IFERROR(__xludf.DUMMYFUNCTION("IF('(INGESTA)Datos_consumo_datadis'!A5693&lt;&gt;"""",SPLIT('(INGESTA)Datos_consumo_datadis'!A:A,"",""),"""")"),"ES0031408323131005HX0F")</f>
        <v>ES0031408323131005HX0F</v>
      </c>
      <c r="B5693" s="12">
        <f>IFERROR(__xludf.DUMMYFUNCTION("""COMPUTED_VALUE"""),45103.0)</f>
        <v>45103</v>
      </c>
      <c r="C5693" s="13">
        <f>IFERROR(__xludf.DUMMYFUNCTION("""COMPUTED_VALUE"""),0.20833333333333334)</f>
        <v>0.2083333333</v>
      </c>
      <c r="D5693" s="8">
        <f>IFERROR(__xludf.DUMMYFUNCTION("""COMPUTED_VALUE"""),0.099)</f>
        <v>0.099</v>
      </c>
      <c r="E5693" s="8" t="str">
        <f>IFERROR(__xludf.DUMMYFUNCTION("""COMPUTED_VALUE"""),"Real")</f>
        <v>Real</v>
      </c>
      <c r="G5693" s="8">
        <f t="shared" si="1"/>
        <v>6</v>
      </c>
      <c r="H5693" s="14">
        <f t="shared" si="2"/>
        <v>26</v>
      </c>
      <c r="I5693" s="15">
        <f t="shared" si="3"/>
        <v>5</v>
      </c>
    </row>
    <row r="5694">
      <c r="A5694" s="8" t="str">
        <f>IFERROR(__xludf.DUMMYFUNCTION("IF('(INGESTA)Datos_consumo_datadis'!A5694&lt;&gt;"""",SPLIT('(INGESTA)Datos_consumo_datadis'!A:A,"",""),"""")"),"ES0031408323131005HX0F")</f>
        <v>ES0031408323131005HX0F</v>
      </c>
      <c r="B5694" s="12">
        <f>IFERROR(__xludf.DUMMYFUNCTION("""COMPUTED_VALUE"""),45103.0)</f>
        <v>45103</v>
      </c>
      <c r="C5694" s="13">
        <f>IFERROR(__xludf.DUMMYFUNCTION("""COMPUTED_VALUE"""),0.25)</f>
        <v>0.25</v>
      </c>
      <c r="D5694" s="8">
        <f>IFERROR(__xludf.DUMMYFUNCTION("""COMPUTED_VALUE"""),0.39)</f>
        <v>0.39</v>
      </c>
      <c r="E5694" s="8" t="str">
        <f>IFERROR(__xludf.DUMMYFUNCTION("""COMPUTED_VALUE"""),"Real")</f>
        <v>Real</v>
      </c>
      <c r="G5694" s="8">
        <f t="shared" si="1"/>
        <v>6</v>
      </c>
      <c r="H5694" s="14">
        <f t="shared" si="2"/>
        <v>26</v>
      </c>
      <c r="I5694" s="15">
        <f t="shared" si="3"/>
        <v>6</v>
      </c>
    </row>
    <row r="5695">
      <c r="A5695" s="8" t="str">
        <f>IFERROR(__xludf.DUMMYFUNCTION("IF('(INGESTA)Datos_consumo_datadis'!A5695&lt;&gt;"""",SPLIT('(INGESTA)Datos_consumo_datadis'!A:A,"",""),"""")"),"ES0031408323131005HX0F")</f>
        <v>ES0031408323131005HX0F</v>
      </c>
      <c r="B5695" s="12">
        <f>IFERROR(__xludf.DUMMYFUNCTION("""COMPUTED_VALUE"""),45103.0)</f>
        <v>45103</v>
      </c>
      <c r="C5695" s="13">
        <f>IFERROR(__xludf.DUMMYFUNCTION("""COMPUTED_VALUE"""),0.2916666666666667)</f>
        <v>0.2916666667</v>
      </c>
      <c r="D5695" s="8">
        <f>IFERROR(__xludf.DUMMYFUNCTION("""COMPUTED_VALUE"""),0.114)</f>
        <v>0.114</v>
      </c>
      <c r="E5695" s="8" t="str">
        <f>IFERROR(__xludf.DUMMYFUNCTION("""COMPUTED_VALUE"""),"Real")</f>
        <v>Real</v>
      </c>
      <c r="G5695" s="8">
        <f t="shared" si="1"/>
        <v>6</v>
      </c>
      <c r="H5695" s="14">
        <f t="shared" si="2"/>
        <v>26</v>
      </c>
      <c r="I5695" s="15">
        <f t="shared" si="3"/>
        <v>7</v>
      </c>
    </row>
    <row r="5696">
      <c r="A5696" s="8" t="str">
        <f>IFERROR(__xludf.DUMMYFUNCTION("IF('(INGESTA)Datos_consumo_datadis'!A5696&lt;&gt;"""",SPLIT('(INGESTA)Datos_consumo_datadis'!A:A,"",""),"""")"),"ES0031408323131005HX0F")</f>
        <v>ES0031408323131005HX0F</v>
      </c>
      <c r="B5696" s="12">
        <f>IFERROR(__xludf.DUMMYFUNCTION("""COMPUTED_VALUE"""),45103.0)</f>
        <v>45103</v>
      </c>
      <c r="C5696" s="13">
        <f>IFERROR(__xludf.DUMMYFUNCTION("""COMPUTED_VALUE"""),0.3333333333333333)</f>
        <v>0.3333333333</v>
      </c>
      <c r="D5696" s="8">
        <f>IFERROR(__xludf.DUMMYFUNCTION("""COMPUTED_VALUE"""),0.086)</f>
        <v>0.086</v>
      </c>
      <c r="E5696" s="8" t="str">
        <f>IFERROR(__xludf.DUMMYFUNCTION("""COMPUTED_VALUE"""),"Real")</f>
        <v>Real</v>
      </c>
      <c r="G5696" s="8">
        <f t="shared" si="1"/>
        <v>6</v>
      </c>
      <c r="H5696" s="14">
        <f t="shared" si="2"/>
        <v>26</v>
      </c>
      <c r="I5696" s="15">
        <f t="shared" si="3"/>
        <v>8</v>
      </c>
    </row>
    <row r="5697">
      <c r="A5697" s="8" t="str">
        <f>IFERROR(__xludf.DUMMYFUNCTION("IF('(INGESTA)Datos_consumo_datadis'!A5697&lt;&gt;"""",SPLIT('(INGESTA)Datos_consumo_datadis'!A:A,"",""),"""")"),"ES0031408323131005HX0F")</f>
        <v>ES0031408323131005HX0F</v>
      </c>
      <c r="B5697" s="12">
        <f>IFERROR(__xludf.DUMMYFUNCTION("""COMPUTED_VALUE"""),45103.0)</f>
        <v>45103</v>
      </c>
      <c r="C5697" s="13">
        <f>IFERROR(__xludf.DUMMYFUNCTION("""COMPUTED_VALUE"""),0.375)</f>
        <v>0.375</v>
      </c>
      <c r="D5697" s="8">
        <f>IFERROR(__xludf.DUMMYFUNCTION("""COMPUTED_VALUE"""),0.016)</f>
        <v>0.016</v>
      </c>
      <c r="E5697" s="8" t="str">
        <f>IFERROR(__xludf.DUMMYFUNCTION("""COMPUTED_VALUE"""),"Real")</f>
        <v>Real</v>
      </c>
      <c r="G5697" s="8">
        <f t="shared" si="1"/>
        <v>6</v>
      </c>
      <c r="H5697" s="14">
        <f t="shared" si="2"/>
        <v>26</v>
      </c>
      <c r="I5697" s="15">
        <f t="shared" si="3"/>
        <v>9</v>
      </c>
    </row>
    <row r="5698">
      <c r="A5698" s="8" t="str">
        <f>IFERROR(__xludf.DUMMYFUNCTION("IF('(INGESTA)Datos_consumo_datadis'!A5698&lt;&gt;"""",SPLIT('(INGESTA)Datos_consumo_datadis'!A:A,"",""),"""")"),"ES0031408323131005HX0F")</f>
        <v>ES0031408323131005HX0F</v>
      </c>
      <c r="B5698" s="12">
        <f>IFERROR(__xludf.DUMMYFUNCTION("""COMPUTED_VALUE"""),45103.0)</f>
        <v>45103</v>
      </c>
      <c r="C5698" s="13">
        <f>IFERROR(__xludf.DUMMYFUNCTION("""COMPUTED_VALUE"""),0.4166666666666667)</f>
        <v>0.4166666667</v>
      </c>
      <c r="D5698" s="8">
        <f>IFERROR(__xludf.DUMMYFUNCTION("""COMPUTED_VALUE"""),0.115)</f>
        <v>0.115</v>
      </c>
      <c r="E5698" s="8" t="str">
        <f>IFERROR(__xludf.DUMMYFUNCTION("""COMPUTED_VALUE"""),"Real")</f>
        <v>Real</v>
      </c>
      <c r="G5698" s="8">
        <f t="shared" si="1"/>
        <v>6</v>
      </c>
      <c r="H5698" s="14">
        <f t="shared" si="2"/>
        <v>26</v>
      </c>
      <c r="I5698" s="15">
        <f t="shared" si="3"/>
        <v>10</v>
      </c>
    </row>
    <row r="5699">
      <c r="A5699" s="8" t="str">
        <f>IFERROR(__xludf.DUMMYFUNCTION("IF('(INGESTA)Datos_consumo_datadis'!A5699&lt;&gt;"""",SPLIT('(INGESTA)Datos_consumo_datadis'!A:A,"",""),"""")"),"ES0031408323131005HX0F")</f>
        <v>ES0031408323131005HX0F</v>
      </c>
      <c r="B5699" s="12">
        <f>IFERROR(__xludf.DUMMYFUNCTION("""COMPUTED_VALUE"""),45103.0)</f>
        <v>45103</v>
      </c>
      <c r="C5699" s="13">
        <f>IFERROR(__xludf.DUMMYFUNCTION("""COMPUTED_VALUE"""),0.4583333333333333)</f>
        <v>0.4583333333</v>
      </c>
      <c r="D5699" s="8">
        <f>IFERROR(__xludf.DUMMYFUNCTION("""COMPUTED_VALUE"""),0.082)</f>
        <v>0.082</v>
      </c>
      <c r="E5699" s="8" t="str">
        <f>IFERROR(__xludf.DUMMYFUNCTION("""COMPUTED_VALUE"""),"Real")</f>
        <v>Real</v>
      </c>
      <c r="G5699" s="8">
        <f t="shared" si="1"/>
        <v>6</v>
      </c>
      <c r="H5699" s="14">
        <f t="shared" si="2"/>
        <v>26</v>
      </c>
      <c r="I5699" s="15">
        <f t="shared" si="3"/>
        <v>11</v>
      </c>
    </row>
    <row r="5700">
      <c r="A5700" s="8" t="str">
        <f>IFERROR(__xludf.DUMMYFUNCTION("IF('(INGESTA)Datos_consumo_datadis'!A5700&lt;&gt;"""",SPLIT('(INGESTA)Datos_consumo_datadis'!A:A,"",""),"""")"),"ES0031408323131005HX0F")</f>
        <v>ES0031408323131005HX0F</v>
      </c>
      <c r="B5700" s="12">
        <f>IFERROR(__xludf.DUMMYFUNCTION("""COMPUTED_VALUE"""),45103.0)</f>
        <v>45103</v>
      </c>
      <c r="C5700" s="13">
        <f>IFERROR(__xludf.DUMMYFUNCTION("""COMPUTED_VALUE"""),0.5)</f>
        <v>0.5</v>
      </c>
      <c r="D5700" s="8">
        <f>IFERROR(__xludf.DUMMYFUNCTION("""COMPUTED_VALUE"""),0.022)</f>
        <v>0.022</v>
      </c>
      <c r="E5700" s="8" t="str">
        <f>IFERROR(__xludf.DUMMYFUNCTION("""COMPUTED_VALUE"""),"Real")</f>
        <v>Real</v>
      </c>
      <c r="G5700" s="8">
        <f t="shared" si="1"/>
        <v>6</v>
      </c>
      <c r="H5700" s="14">
        <f t="shared" si="2"/>
        <v>26</v>
      </c>
      <c r="I5700" s="15">
        <f t="shared" si="3"/>
        <v>12</v>
      </c>
    </row>
    <row r="5701">
      <c r="A5701" s="8" t="str">
        <f>IFERROR(__xludf.DUMMYFUNCTION("IF('(INGESTA)Datos_consumo_datadis'!A5701&lt;&gt;"""",SPLIT('(INGESTA)Datos_consumo_datadis'!A:A,"",""),"""")"),"ES0031408323131005HX0F")</f>
        <v>ES0031408323131005HX0F</v>
      </c>
      <c r="B5701" s="12">
        <f>IFERROR(__xludf.DUMMYFUNCTION("""COMPUTED_VALUE"""),45103.0)</f>
        <v>45103</v>
      </c>
      <c r="C5701" s="13">
        <f>IFERROR(__xludf.DUMMYFUNCTION("""COMPUTED_VALUE"""),0.5416666666666666)</f>
        <v>0.5416666667</v>
      </c>
      <c r="D5701" s="8">
        <f>IFERROR(__xludf.DUMMYFUNCTION("""COMPUTED_VALUE"""),0.114)</f>
        <v>0.114</v>
      </c>
      <c r="E5701" s="8" t="str">
        <f>IFERROR(__xludf.DUMMYFUNCTION("""COMPUTED_VALUE"""),"Real")</f>
        <v>Real</v>
      </c>
      <c r="G5701" s="8">
        <f t="shared" si="1"/>
        <v>6</v>
      </c>
      <c r="H5701" s="14">
        <f t="shared" si="2"/>
        <v>26</v>
      </c>
      <c r="I5701" s="15">
        <f t="shared" si="3"/>
        <v>13</v>
      </c>
    </row>
    <row r="5702">
      <c r="A5702" s="8" t="str">
        <f>IFERROR(__xludf.DUMMYFUNCTION("IF('(INGESTA)Datos_consumo_datadis'!A5702&lt;&gt;"""",SPLIT('(INGESTA)Datos_consumo_datadis'!A:A,"",""),"""")"),"ES0031408323131005HX0F")</f>
        <v>ES0031408323131005HX0F</v>
      </c>
      <c r="B5702" s="12">
        <f>IFERROR(__xludf.DUMMYFUNCTION("""COMPUTED_VALUE"""),45103.0)</f>
        <v>45103</v>
      </c>
      <c r="C5702" s="13">
        <f>IFERROR(__xludf.DUMMYFUNCTION("""COMPUTED_VALUE"""),0.5833333333333334)</f>
        <v>0.5833333333</v>
      </c>
      <c r="D5702" s="8">
        <f>IFERROR(__xludf.DUMMYFUNCTION("""COMPUTED_VALUE"""),0.08)</f>
        <v>0.08</v>
      </c>
      <c r="E5702" s="8" t="str">
        <f>IFERROR(__xludf.DUMMYFUNCTION("""COMPUTED_VALUE"""),"Real")</f>
        <v>Real</v>
      </c>
      <c r="G5702" s="8">
        <f t="shared" si="1"/>
        <v>6</v>
      </c>
      <c r="H5702" s="14">
        <f t="shared" si="2"/>
        <v>26</v>
      </c>
      <c r="I5702" s="15">
        <f t="shared" si="3"/>
        <v>14</v>
      </c>
    </row>
    <row r="5703">
      <c r="A5703" s="8" t="str">
        <f>IFERROR(__xludf.DUMMYFUNCTION("IF('(INGESTA)Datos_consumo_datadis'!A5703&lt;&gt;"""",SPLIT('(INGESTA)Datos_consumo_datadis'!A:A,"",""),"""")"),"ES0031408323131005HX0F")</f>
        <v>ES0031408323131005HX0F</v>
      </c>
      <c r="B5703" s="12">
        <f>IFERROR(__xludf.DUMMYFUNCTION("""COMPUTED_VALUE"""),45103.0)</f>
        <v>45103</v>
      </c>
      <c r="C5703" s="13">
        <f>IFERROR(__xludf.DUMMYFUNCTION("""COMPUTED_VALUE"""),0.625)</f>
        <v>0.625</v>
      </c>
      <c r="D5703" s="8">
        <f>IFERROR(__xludf.DUMMYFUNCTION("""COMPUTED_VALUE"""),0.324)</f>
        <v>0.324</v>
      </c>
      <c r="E5703" s="8" t="str">
        <f>IFERROR(__xludf.DUMMYFUNCTION("""COMPUTED_VALUE"""),"Real")</f>
        <v>Real</v>
      </c>
      <c r="G5703" s="8">
        <f t="shared" si="1"/>
        <v>6</v>
      </c>
      <c r="H5703" s="14">
        <f t="shared" si="2"/>
        <v>26</v>
      </c>
      <c r="I5703" s="15">
        <f t="shared" si="3"/>
        <v>15</v>
      </c>
    </row>
    <row r="5704">
      <c r="A5704" s="8" t="str">
        <f>IFERROR(__xludf.DUMMYFUNCTION("IF('(INGESTA)Datos_consumo_datadis'!A5704&lt;&gt;"""",SPLIT('(INGESTA)Datos_consumo_datadis'!A:A,"",""),"""")"),"ES0031408323131005HX0F")</f>
        <v>ES0031408323131005HX0F</v>
      </c>
      <c r="B5704" s="12">
        <f>IFERROR(__xludf.DUMMYFUNCTION("""COMPUTED_VALUE"""),45103.0)</f>
        <v>45103</v>
      </c>
      <c r="C5704" s="13">
        <f>IFERROR(__xludf.DUMMYFUNCTION("""COMPUTED_VALUE"""),0.6666666666666666)</f>
        <v>0.6666666667</v>
      </c>
      <c r="D5704" s="8">
        <f>IFERROR(__xludf.DUMMYFUNCTION("""COMPUTED_VALUE"""),0.114)</f>
        <v>0.114</v>
      </c>
      <c r="E5704" s="8" t="str">
        <f>IFERROR(__xludf.DUMMYFUNCTION("""COMPUTED_VALUE"""),"Real")</f>
        <v>Real</v>
      </c>
      <c r="G5704" s="8">
        <f t="shared" si="1"/>
        <v>6</v>
      </c>
      <c r="H5704" s="14">
        <f t="shared" si="2"/>
        <v>26</v>
      </c>
      <c r="I5704" s="15">
        <f t="shared" si="3"/>
        <v>16</v>
      </c>
    </row>
    <row r="5705">
      <c r="A5705" s="8" t="str">
        <f>IFERROR(__xludf.DUMMYFUNCTION("IF('(INGESTA)Datos_consumo_datadis'!A5705&lt;&gt;"""",SPLIT('(INGESTA)Datos_consumo_datadis'!A:A,"",""),"""")"),"ES0031408323131005HX0F")</f>
        <v>ES0031408323131005HX0F</v>
      </c>
      <c r="B5705" s="12">
        <f>IFERROR(__xludf.DUMMYFUNCTION("""COMPUTED_VALUE"""),45103.0)</f>
        <v>45103</v>
      </c>
      <c r="C5705" s="13">
        <f>IFERROR(__xludf.DUMMYFUNCTION("""COMPUTED_VALUE"""),0.7083333333333334)</f>
        <v>0.7083333333</v>
      </c>
      <c r="D5705" s="8">
        <f>IFERROR(__xludf.DUMMYFUNCTION("""COMPUTED_VALUE"""),0.076)</f>
        <v>0.076</v>
      </c>
      <c r="E5705" s="8" t="str">
        <f>IFERROR(__xludf.DUMMYFUNCTION("""COMPUTED_VALUE"""),"Real")</f>
        <v>Real</v>
      </c>
      <c r="G5705" s="8">
        <f t="shared" si="1"/>
        <v>6</v>
      </c>
      <c r="H5705" s="14">
        <f t="shared" si="2"/>
        <v>26</v>
      </c>
      <c r="I5705" s="15">
        <f t="shared" si="3"/>
        <v>17</v>
      </c>
    </row>
    <row r="5706">
      <c r="A5706" s="8" t="str">
        <f>IFERROR(__xludf.DUMMYFUNCTION("IF('(INGESTA)Datos_consumo_datadis'!A5706&lt;&gt;"""",SPLIT('(INGESTA)Datos_consumo_datadis'!A:A,"",""),"""")"),"ES0031408323131005HX0F")</f>
        <v>ES0031408323131005HX0F</v>
      </c>
      <c r="B5706" s="12">
        <f>IFERROR(__xludf.DUMMYFUNCTION("""COMPUTED_VALUE"""),45103.0)</f>
        <v>45103</v>
      </c>
      <c r="C5706" s="13">
        <f>IFERROR(__xludf.DUMMYFUNCTION("""COMPUTED_VALUE"""),0.75)</f>
        <v>0.75</v>
      </c>
      <c r="D5706" s="8">
        <f>IFERROR(__xludf.DUMMYFUNCTION("""COMPUTED_VALUE"""),0.029)</f>
        <v>0.029</v>
      </c>
      <c r="E5706" s="8" t="str">
        <f>IFERROR(__xludf.DUMMYFUNCTION("""COMPUTED_VALUE"""),"Real")</f>
        <v>Real</v>
      </c>
      <c r="G5706" s="8">
        <f t="shared" si="1"/>
        <v>6</v>
      </c>
      <c r="H5706" s="14">
        <f t="shared" si="2"/>
        <v>26</v>
      </c>
      <c r="I5706" s="15">
        <f t="shared" si="3"/>
        <v>18</v>
      </c>
    </row>
    <row r="5707">
      <c r="A5707" s="8" t="str">
        <f>IFERROR(__xludf.DUMMYFUNCTION("IF('(INGESTA)Datos_consumo_datadis'!A5707&lt;&gt;"""",SPLIT('(INGESTA)Datos_consumo_datadis'!A:A,"",""),"""")"),"ES0031408323131005HX0F")</f>
        <v>ES0031408323131005HX0F</v>
      </c>
      <c r="B5707" s="12">
        <f>IFERROR(__xludf.DUMMYFUNCTION("""COMPUTED_VALUE"""),45103.0)</f>
        <v>45103</v>
      </c>
      <c r="C5707" s="13">
        <f>IFERROR(__xludf.DUMMYFUNCTION("""COMPUTED_VALUE"""),0.7916666666666666)</f>
        <v>0.7916666667</v>
      </c>
      <c r="D5707" s="8">
        <f>IFERROR(__xludf.DUMMYFUNCTION("""COMPUTED_VALUE"""),0.114)</f>
        <v>0.114</v>
      </c>
      <c r="E5707" s="8" t="str">
        <f>IFERROR(__xludf.DUMMYFUNCTION("""COMPUTED_VALUE"""),"Real")</f>
        <v>Real</v>
      </c>
      <c r="G5707" s="8">
        <f t="shared" si="1"/>
        <v>6</v>
      </c>
      <c r="H5707" s="14">
        <f t="shared" si="2"/>
        <v>26</v>
      </c>
      <c r="I5707" s="15">
        <f t="shared" si="3"/>
        <v>19</v>
      </c>
    </row>
    <row r="5708">
      <c r="A5708" s="8" t="str">
        <f>IFERROR(__xludf.DUMMYFUNCTION("IF('(INGESTA)Datos_consumo_datadis'!A5708&lt;&gt;"""",SPLIT('(INGESTA)Datos_consumo_datadis'!A:A,"",""),"""")"),"ES0031408323131005HX0F")</f>
        <v>ES0031408323131005HX0F</v>
      </c>
      <c r="B5708" s="12">
        <f>IFERROR(__xludf.DUMMYFUNCTION("""COMPUTED_VALUE"""),45103.0)</f>
        <v>45103</v>
      </c>
      <c r="C5708" s="13">
        <f>IFERROR(__xludf.DUMMYFUNCTION("""COMPUTED_VALUE"""),0.8333333333333334)</f>
        <v>0.8333333333</v>
      </c>
      <c r="D5708" s="8">
        <f>IFERROR(__xludf.DUMMYFUNCTION("""COMPUTED_VALUE"""),0.07)</f>
        <v>0.07</v>
      </c>
      <c r="E5708" s="8" t="str">
        <f>IFERROR(__xludf.DUMMYFUNCTION("""COMPUTED_VALUE"""),"Real")</f>
        <v>Real</v>
      </c>
      <c r="G5708" s="8">
        <f t="shared" si="1"/>
        <v>6</v>
      </c>
      <c r="H5708" s="14">
        <f t="shared" si="2"/>
        <v>26</v>
      </c>
      <c r="I5708" s="15">
        <f t="shared" si="3"/>
        <v>20</v>
      </c>
    </row>
    <row r="5709">
      <c r="A5709" s="8" t="str">
        <f>IFERROR(__xludf.DUMMYFUNCTION("IF('(INGESTA)Datos_consumo_datadis'!A5709&lt;&gt;"""",SPLIT('(INGESTA)Datos_consumo_datadis'!A:A,"",""),"""")"),"ES0031408323131005HX0F")</f>
        <v>ES0031408323131005HX0F</v>
      </c>
      <c r="B5709" s="12">
        <f>IFERROR(__xludf.DUMMYFUNCTION("""COMPUTED_VALUE"""),45103.0)</f>
        <v>45103</v>
      </c>
      <c r="C5709" s="13">
        <f>IFERROR(__xludf.DUMMYFUNCTION("""COMPUTED_VALUE"""),0.875)</f>
        <v>0.875</v>
      </c>
      <c r="D5709" s="8">
        <f>IFERROR(__xludf.DUMMYFUNCTION("""COMPUTED_VALUE"""),0.048)</f>
        <v>0.048</v>
      </c>
      <c r="E5709" s="8" t="str">
        <f>IFERROR(__xludf.DUMMYFUNCTION("""COMPUTED_VALUE"""),"Real")</f>
        <v>Real</v>
      </c>
      <c r="G5709" s="8">
        <f t="shared" si="1"/>
        <v>6</v>
      </c>
      <c r="H5709" s="14">
        <f t="shared" si="2"/>
        <v>26</v>
      </c>
      <c r="I5709" s="15">
        <f t="shared" si="3"/>
        <v>21</v>
      </c>
    </row>
    <row r="5710">
      <c r="A5710" s="8" t="str">
        <f>IFERROR(__xludf.DUMMYFUNCTION("IF('(INGESTA)Datos_consumo_datadis'!A5710&lt;&gt;"""",SPLIT('(INGESTA)Datos_consumo_datadis'!A:A,"",""),"""")"),"ES0031408323131005HX0F")</f>
        <v>ES0031408323131005HX0F</v>
      </c>
      <c r="B5710" s="12">
        <f>IFERROR(__xludf.DUMMYFUNCTION("""COMPUTED_VALUE"""),45103.0)</f>
        <v>45103</v>
      </c>
      <c r="C5710" s="13">
        <f>IFERROR(__xludf.DUMMYFUNCTION("""COMPUTED_VALUE"""),0.9166666666666666)</f>
        <v>0.9166666667</v>
      </c>
      <c r="D5710" s="8">
        <f>IFERROR(__xludf.DUMMYFUNCTION("""COMPUTED_VALUE"""),0.01)</f>
        <v>0.01</v>
      </c>
      <c r="E5710" s="8" t="str">
        <f>IFERROR(__xludf.DUMMYFUNCTION("""COMPUTED_VALUE"""),"Real")</f>
        <v>Real</v>
      </c>
      <c r="G5710" s="8">
        <f t="shared" si="1"/>
        <v>6</v>
      </c>
      <c r="H5710" s="14">
        <f t="shared" si="2"/>
        <v>26</v>
      </c>
      <c r="I5710" s="15">
        <f t="shared" si="3"/>
        <v>22</v>
      </c>
    </row>
    <row r="5711">
      <c r="A5711" s="8" t="str">
        <f>IFERROR(__xludf.DUMMYFUNCTION("IF('(INGESTA)Datos_consumo_datadis'!A5711&lt;&gt;"""",SPLIT('(INGESTA)Datos_consumo_datadis'!A:A,"",""),"""")"),"ES0031408323131005HX0F")</f>
        <v>ES0031408323131005HX0F</v>
      </c>
      <c r="B5711" s="12">
        <f>IFERROR(__xludf.DUMMYFUNCTION("""COMPUTED_VALUE"""),45103.0)</f>
        <v>45103</v>
      </c>
      <c r="C5711" s="13">
        <f>IFERROR(__xludf.DUMMYFUNCTION("""COMPUTED_VALUE"""),0.9583333333333334)</f>
        <v>0.9583333333</v>
      </c>
      <c r="D5711" s="8">
        <f>IFERROR(__xludf.DUMMYFUNCTION("""COMPUTED_VALUE"""),0.402)</f>
        <v>0.402</v>
      </c>
      <c r="E5711" s="8" t="str">
        <f>IFERROR(__xludf.DUMMYFUNCTION("""COMPUTED_VALUE"""),"Real")</f>
        <v>Real</v>
      </c>
      <c r="G5711" s="8">
        <f t="shared" si="1"/>
        <v>6</v>
      </c>
      <c r="H5711" s="14">
        <f t="shared" si="2"/>
        <v>26</v>
      </c>
      <c r="I5711" s="15">
        <f t="shared" si="3"/>
        <v>23</v>
      </c>
    </row>
    <row r="5712">
      <c r="A5712" s="8" t="str">
        <f>IFERROR(__xludf.DUMMYFUNCTION("IF('(INGESTA)Datos_consumo_datadis'!A5712&lt;&gt;"""",SPLIT('(INGESTA)Datos_consumo_datadis'!A:A,"",""),"""")"),"ES0031408323131005HX0F")</f>
        <v>ES0031408323131005HX0F</v>
      </c>
      <c r="B5712" s="12">
        <f>IFERROR(__xludf.DUMMYFUNCTION("""COMPUTED_VALUE"""),45103.0)</f>
        <v>45103</v>
      </c>
      <c r="C5712" s="16">
        <f>IFERROR(__xludf.DUMMYFUNCTION("""COMPUTED_VALUE"""),1.0)</f>
        <v>1</v>
      </c>
      <c r="D5712" s="8">
        <f>IFERROR(__xludf.DUMMYFUNCTION("""COMPUTED_VALUE"""),0.09)</f>
        <v>0.09</v>
      </c>
      <c r="E5712" s="8" t="str">
        <f>IFERROR(__xludf.DUMMYFUNCTION("""COMPUTED_VALUE"""),"Real")</f>
        <v>Real</v>
      </c>
      <c r="G5712" s="8">
        <f t="shared" si="1"/>
        <v>6</v>
      </c>
      <c r="H5712" s="14">
        <f t="shared" si="2"/>
        <v>26</v>
      </c>
      <c r="I5712" s="15">
        <f t="shared" si="3"/>
        <v>0</v>
      </c>
    </row>
    <row r="5713">
      <c r="A5713" s="8" t="str">
        <f>IFERROR(__xludf.DUMMYFUNCTION("IF('(INGESTA)Datos_consumo_datadis'!A5713&lt;&gt;"""",SPLIT('(INGESTA)Datos_consumo_datadis'!A:A,"",""),"""")"),"ES0031408323131005HX0F")</f>
        <v>ES0031408323131005HX0F</v>
      </c>
      <c r="B5713" s="12">
        <f>IFERROR(__xludf.DUMMYFUNCTION("""COMPUTED_VALUE"""),45104.0)</f>
        <v>45104</v>
      </c>
      <c r="C5713" s="13">
        <f>IFERROR(__xludf.DUMMYFUNCTION("""COMPUTED_VALUE"""),0.041666666666666664)</f>
        <v>0.04166666667</v>
      </c>
      <c r="D5713" s="8">
        <f>IFERROR(__xludf.DUMMYFUNCTION("""COMPUTED_VALUE"""),0.089)</f>
        <v>0.089</v>
      </c>
      <c r="E5713" s="8" t="str">
        <f>IFERROR(__xludf.DUMMYFUNCTION("""COMPUTED_VALUE"""),"Real")</f>
        <v>Real</v>
      </c>
      <c r="G5713" s="8">
        <f t="shared" si="1"/>
        <v>6</v>
      </c>
      <c r="H5713" s="14">
        <f t="shared" si="2"/>
        <v>27</v>
      </c>
      <c r="I5713" s="15">
        <f t="shared" si="3"/>
        <v>1</v>
      </c>
    </row>
    <row r="5714">
      <c r="A5714" s="8" t="str">
        <f>IFERROR(__xludf.DUMMYFUNCTION("IF('(INGESTA)Datos_consumo_datadis'!A5714&lt;&gt;"""",SPLIT('(INGESTA)Datos_consumo_datadis'!A:A,"",""),"""")"),"ES0031408323131005HX0F")</f>
        <v>ES0031408323131005HX0F</v>
      </c>
      <c r="B5714" s="12">
        <f>IFERROR(__xludf.DUMMYFUNCTION("""COMPUTED_VALUE"""),45104.0)</f>
        <v>45104</v>
      </c>
      <c r="C5714" s="13">
        <f>IFERROR(__xludf.DUMMYFUNCTION("""COMPUTED_VALUE"""),0.08333333333333333)</f>
        <v>0.08333333333</v>
      </c>
      <c r="D5714" s="8">
        <f>IFERROR(__xludf.DUMMYFUNCTION("""COMPUTED_VALUE"""),0.011)</f>
        <v>0.011</v>
      </c>
      <c r="E5714" s="8" t="str">
        <f>IFERROR(__xludf.DUMMYFUNCTION("""COMPUTED_VALUE"""),"Real")</f>
        <v>Real</v>
      </c>
      <c r="G5714" s="8">
        <f t="shared" si="1"/>
        <v>6</v>
      </c>
      <c r="H5714" s="14">
        <f t="shared" si="2"/>
        <v>27</v>
      </c>
      <c r="I5714" s="15">
        <f t="shared" si="3"/>
        <v>2</v>
      </c>
    </row>
    <row r="5715">
      <c r="A5715" s="8" t="str">
        <f>IFERROR(__xludf.DUMMYFUNCTION("IF('(INGESTA)Datos_consumo_datadis'!A5715&lt;&gt;"""",SPLIT('(INGESTA)Datos_consumo_datadis'!A:A,"",""),"""")"),"ES0031408323131005HX0F")</f>
        <v>ES0031408323131005HX0F</v>
      </c>
      <c r="B5715" s="12">
        <f>IFERROR(__xludf.DUMMYFUNCTION("""COMPUTED_VALUE"""),45104.0)</f>
        <v>45104</v>
      </c>
      <c r="C5715" s="13">
        <f>IFERROR(__xludf.DUMMYFUNCTION("""COMPUTED_VALUE"""),0.125)</f>
        <v>0.125</v>
      </c>
      <c r="D5715" s="8">
        <f>IFERROR(__xludf.DUMMYFUNCTION("""COMPUTED_VALUE"""),0.069)</f>
        <v>0.069</v>
      </c>
      <c r="E5715" s="8" t="str">
        <f>IFERROR(__xludf.DUMMYFUNCTION("""COMPUTED_VALUE"""),"Real")</f>
        <v>Real</v>
      </c>
      <c r="G5715" s="8">
        <f t="shared" si="1"/>
        <v>6</v>
      </c>
      <c r="H5715" s="14">
        <f t="shared" si="2"/>
        <v>27</v>
      </c>
      <c r="I5715" s="15">
        <f t="shared" si="3"/>
        <v>3</v>
      </c>
    </row>
    <row r="5716">
      <c r="A5716" s="8" t="str">
        <f>IFERROR(__xludf.DUMMYFUNCTION("IF('(INGESTA)Datos_consumo_datadis'!A5716&lt;&gt;"""",SPLIT('(INGESTA)Datos_consumo_datadis'!A:A,"",""),"""")"),"ES0031408323131005HX0F")</f>
        <v>ES0031408323131005HX0F</v>
      </c>
      <c r="B5716" s="12">
        <f>IFERROR(__xludf.DUMMYFUNCTION("""COMPUTED_VALUE"""),45104.0)</f>
        <v>45104</v>
      </c>
      <c r="C5716" s="13">
        <f>IFERROR(__xludf.DUMMYFUNCTION("""COMPUTED_VALUE"""),0.16666666666666666)</f>
        <v>0.1666666667</v>
      </c>
      <c r="D5716" s="8">
        <f>IFERROR(__xludf.DUMMYFUNCTION("""COMPUTED_VALUE"""),0.121)</f>
        <v>0.121</v>
      </c>
      <c r="E5716" s="8" t="str">
        <f>IFERROR(__xludf.DUMMYFUNCTION("""COMPUTED_VALUE"""),"Real")</f>
        <v>Real</v>
      </c>
      <c r="G5716" s="8">
        <f t="shared" si="1"/>
        <v>6</v>
      </c>
      <c r="H5716" s="14">
        <f t="shared" si="2"/>
        <v>27</v>
      </c>
      <c r="I5716" s="15">
        <f t="shared" si="3"/>
        <v>4</v>
      </c>
    </row>
    <row r="5717">
      <c r="A5717" s="8" t="str">
        <f>IFERROR(__xludf.DUMMYFUNCTION("IF('(INGESTA)Datos_consumo_datadis'!A5717&lt;&gt;"""",SPLIT('(INGESTA)Datos_consumo_datadis'!A:A,"",""),"""")"),"ES0031408323131005HX0F")</f>
        <v>ES0031408323131005HX0F</v>
      </c>
      <c r="B5717" s="12">
        <f>IFERROR(__xludf.DUMMYFUNCTION("""COMPUTED_VALUE"""),45104.0)</f>
        <v>45104</v>
      </c>
      <c r="C5717" s="13">
        <f>IFERROR(__xludf.DUMMYFUNCTION("""COMPUTED_VALUE"""),0.20833333333333334)</f>
        <v>0.2083333333</v>
      </c>
      <c r="D5717" s="8">
        <f>IFERROR(__xludf.DUMMYFUNCTION("""COMPUTED_VALUE"""),0.088)</f>
        <v>0.088</v>
      </c>
      <c r="E5717" s="8" t="str">
        <f>IFERROR(__xludf.DUMMYFUNCTION("""COMPUTED_VALUE"""),"Real")</f>
        <v>Real</v>
      </c>
      <c r="G5717" s="8">
        <f t="shared" si="1"/>
        <v>6</v>
      </c>
      <c r="H5717" s="14">
        <f t="shared" si="2"/>
        <v>27</v>
      </c>
      <c r="I5717" s="15">
        <f t="shared" si="3"/>
        <v>5</v>
      </c>
    </row>
    <row r="5718">
      <c r="A5718" s="8" t="str">
        <f>IFERROR(__xludf.DUMMYFUNCTION("IF('(INGESTA)Datos_consumo_datadis'!A5718&lt;&gt;"""",SPLIT('(INGESTA)Datos_consumo_datadis'!A:A,"",""),"""")"),"ES0031408323131005HX0F")</f>
        <v>ES0031408323131005HX0F</v>
      </c>
      <c r="B5718" s="12">
        <f>IFERROR(__xludf.DUMMYFUNCTION("""COMPUTED_VALUE"""),45104.0)</f>
        <v>45104</v>
      </c>
      <c r="C5718" s="13">
        <f>IFERROR(__xludf.DUMMYFUNCTION("""COMPUTED_VALUE"""),0.25)</f>
        <v>0.25</v>
      </c>
      <c r="D5718" s="8">
        <f>IFERROR(__xludf.DUMMYFUNCTION("""COMPUTED_VALUE"""),0.051)</f>
        <v>0.051</v>
      </c>
      <c r="E5718" s="8" t="str">
        <f>IFERROR(__xludf.DUMMYFUNCTION("""COMPUTED_VALUE"""),"Real")</f>
        <v>Real</v>
      </c>
      <c r="G5718" s="8">
        <f t="shared" si="1"/>
        <v>6</v>
      </c>
      <c r="H5718" s="14">
        <f t="shared" si="2"/>
        <v>27</v>
      </c>
      <c r="I5718" s="15">
        <f t="shared" si="3"/>
        <v>6</v>
      </c>
    </row>
    <row r="5719">
      <c r="A5719" s="8" t="str">
        <f>IFERROR(__xludf.DUMMYFUNCTION("IF('(INGESTA)Datos_consumo_datadis'!A5719&lt;&gt;"""",SPLIT('(INGESTA)Datos_consumo_datadis'!A:A,"",""),"""")"),"ES0031408323131005HX0F")</f>
        <v>ES0031408323131005HX0F</v>
      </c>
      <c r="B5719" s="12">
        <f>IFERROR(__xludf.DUMMYFUNCTION("""COMPUTED_VALUE"""),45104.0)</f>
        <v>45104</v>
      </c>
      <c r="C5719" s="13">
        <f>IFERROR(__xludf.DUMMYFUNCTION("""COMPUTED_VALUE"""),0.2916666666666667)</f>
        <v>0.2916666667</v>
      </c>
      <c r="D5719" s="8">
        <f>IFERROR(__xludf.DUMMYFUNCTION("""COMPUTED_VALUE"""),0.009)</f>
        <v>0.009</v>
      </c>
      <c r="E5719" s="8" t="str">
        <f>IFERROR(__xludf.DUMMYFUNCTION("""COMPUTED_VALUE"""),"Real")</f>
        <v>Real</v>
      </c>
      <c r="G5719" s="8">
        <f t="shared" si="1"/>
        <v>6</v>
      </c>
      <c r="H5719" s="14">
        <f t="shared" si="2"/>
        <v>27</v>
      </c>
      <c r="I5719" s="15">
        <f t="shared" si="3"/>
        <v>7</v>
      </c>
    </row>
    <row r="5720">
      <c r="A5720" s="8" t="str">
        <f>IFERROR(__xludf.DUMMYFUNCTION("IF('(INGESTA)Datos_consumo_datadis'!A5720&lt;&gt;"""",SPLIT('(INGESTA)Datos_consumo_datadis'!A:A,"",""),"""")"),"ES0031408323131005HX0F")</f>
        <v>ES0031408323131005HX0F</v>
      </c>
      <c r="B5720" s="12">
        <f>IFERROR(__xludf.DUMMYFUNCTION("""COMPUTED_VALUE"""),45104.0)</f>
        <v>45104</v>
      </c>
      <c r="C5720" s="13">
        <f>IFERROR(__xludf.DUMMYFUNCTION("""COMPUTED_VALUE"""),0.3333333333333333)</f>
        <v>0.3333333333</v>
      </c>
      <c r="D5720" s="8">
        <f>IFERROR(__xludf.DUMMYFUNCTION("""COMPUTED_VALUE"""),0.389)</f>
        <v>0.389</v>
      </c>
      <c r="E5720" s="8" t="str">
        <f>IFERROR(__xludf.DUMMYFUNCTION("""COMPUTED_VALUE"""),"Real")</f>
        <v>Real</v>
      </c>
      <c r="G5720" s="8">
        <f t="shared" si="1"/>
        <v>6</v>
      </c>
      <c r="H5720" s="14">
        <f t="shared" si="2"/>
        <v>27</v>
      </c>
      <c r="I5720" s="15">
        <f t="shared" si="3"/>
        <v>8</v>
      </c>
    </row>
    <row r="5721">
      <c r="A5721" s="8" t="str">
        <f>IFERROR(__xludf.DUMMYFUNCTION("IF('(INGESTA)Datos_consumo_datadis'!A5721&lt;&gt;"""",SPLIT('(INGESTA)Datos_consumo_datadis'!A:A,"",""),"""")"),"ES0031408323131005HX0F")</f>
        <v>ES0031408323131005HX0F</v>
      </c>
      <c r="B5721" s="12">
        <f>IFERROR(__xludf.DUMMYFUNCTION("""COMPUTED_VALUE"""),45104.0)</f>
        <v>45104</v>
      </c>
      <c r="C5721" s="13">
        <f>IFERROR(__xludf.DUMMYFUNCTION("""COMPUTED_VALUE"""),0.375)</f>
        <v>0.375</v>
      </c>
      <c r="D5721" s="8">
        <f>IFERROR(__xludf.DUMMYFUNCTION("""COMPUTED_VALUE"""),0.09)</f>
        <v>0.09</v>
      </c>
      <c r="E5721" s="8" t="str">
        <f>IFERROR(__xludf.DUMMYFUNCTION("""COMPUTED_VALUE"""),"Real")</f>
        <v>Real</v>
      </c>
      <c r="G5721" s="8">
        <f t="shared" si="1"/>
        <v>6</v>
      </c>
      <c r="H5721" s="14">
        <f t="shared" si="2"/>
        <v>27</v>
      </c>
      <c r="I5721" s="15">
        <f t="shared" si="3"/>
        <v>9</v>
      </c>
    </row>
    <row r="5722">
      <c r="A5722" s="8" t="str">
        <f>IFERROR(__xludf.DUMMYFUNCTION("IF('(INGESTA)Datos_consumo_datadis'!A5722&lt;&gt;"""",SPLIT('(INGESTA)Datos_consumo_datadis'!A:A,"",""),"""")"),"ES0031408323131005HX0F")</f>
        <v>ES0031408323131005HX0F</v>
      </c>
      <c r="B5722" s="12">
        <f>IFERROR(__xludf.DUMMYFUNCTION("""COMPUTED_VALUE"""),45104.0)</f>
        <v>45104</v>
      </c>
      <c r="C5722" s="13">
        <f>IFERROR(__xludf.DUMMYFUNCTION("""COMPUTED_VALUE"""),0.4166666666666667)</f>
        <v>0.4166666667</v>
      </c>
      <c r="D5722" s="8">
        <f>IFERROR(__xludf.DUMMYFUNCTION("""COMPUTED_VALUE"""),0.089)</f>
        <v>0.089</v>
      </c>
      <c r="E5722" s="8" t="str">
        <f>IFERROR(__xludf.DUMMYFUNCTION("""COMPUTED_VALUE"""),"Real")</f>
        <v>Real</v>
      </c>
      <c r="G5722" s="8">
        <f t="shared" si="1"/>
        <v>6</v>
      </c>
      <c r="H5722" s="14">
        <f t="shared" si="2"/>
        <v>27</v>
      </c>
      <c r="I5722" s="15">
        <f t="shared" si="3"/>
        <v>10</v>
      </c>
    </row>
    <row r="5723">
      <c r="A5723" s="8" t="str">
        <f>IFERROR(__xludf.DUMMYFUNCTION("IF('(INGESTA)Datos_consumo_datadis'!A5723&lt;&gt;"""",SPLIT('(INGESTA)Datos_consumo_datadis'!A:A,"",""),"""")"),"ES0031408323131005HX0F")</f>
        <v>ES0031408323131005HX0F</v>
      </c>
      <c r="B5723" s="12">
        <f>IFERROR(__xludf.DUMMYFUNCTION("""COMPUTED_VALUE"""),45104.0)</f>
        <v>45104</v>
      </c>
      <c r="C5723" s="13">
        <f>IFERROR(__xludf.DUMMYFUNCTION("""COMPUTED_VALUE"""),0.4583333333333333)</f>
        <v>0.4583333333</v>
      </c>
      <c r="D5723" s="8">
        <f>IFERROR(__xludf.DUMMYFUNCTION("""COMPUTED_VALUE"""),0.028)</f>
        <v>0.028</v>
      </c>
      <c r="E5723" s="8" t="str">
        <f>IFERROR(__xludf.DUMMYFUNCTION("""COMPUTED_VALUE"""),"Real")</f>
        <v>Real</v>
      </c>
      <c r="G5723" s="8">
        <f t="shared" si="1"/>
        <v>6</v>
      </c>
      <c r="H5723" s="14">
        <f t="shared" si="2"/>
        <v>27</v>
      </c>
      <c r="I5723" s="15">
        <f t="shared" si="3"/>
        <v>11</v>
      </c>
    </row>
    <row r="5724">
      <c r="A5724" s="8" t="str">
        <f>IFERROR(__xludf.DUMMYFUNCTION("IF('(INGESTA)Datos_consumo_datadis'!A5724&lt;&gt;"""",SPLIT('(INGESTA)Datos_consumo_datadis'!A:A,"",""),"""")"),"ES0031408323131005HX0F")</f>
        <v>ES0031408323131005HX0F</v>
      </c>
      <c r="B5724" s="12">
        <f>IFERROR(__xludf.DUMMYFUNCTION("""COMPUTED_VALUE"""),45104.0)</f>
        <v>45104</v>
      </c>
      <c r="C5724" s="13">
        <f>IFERROR(__xludf.DUMMYFUNCTION("""COMPUTED_VALUE"""),0.5)</f>
        <v>0.5</v>
      </c>
      <c r="D5724" s="8">
        <f>IFERROR(__xludf.DUMMYFUNCTION("""COMPUTED_VALUE"""),0.029)</f>
        <v>0.029</v>
      </c>
      <c r="E5724" s="8" t="str">
        <f>IFERROR(__xludf.DUMMYFUNCTION("""COMPUTED_VALUE"""),"Real")</f>
        <v>Real</v>
      </c>
      <c r="G5724" s="8">
        <f t="shared" si="1"/>
        <v>6</v>
      </c>
      <c r="H5724" s="14">
        <f t="shared" si="2"/>
        <v>27</v>
      </c>
      <c r="I5724" s="15">
        <f t="shared" si="3"/>
        <v>12</v>
      </c>
    </row>
    <row r="5725">
      <c r="A5725" s="8" t="str">
        <f>IFERROR(__xludf.DUMMYFUNCTION("IF('(INGESTA)Datos_consumo_datadis'!A5725&lt;&gt;"""",SPLIT('(INGESTA)Datos_consumo_datadis'!A:A,"",""),"""")"),"ES0031408323131005HX0F")</f>
        <v>ES0031408323131005HX0F</v>
      </c>
      <c r="B5725" s="12">
        <f>IFERROR(__xludf.DUMMYFUNCTION("""COMPUTED_VALUE"""),45104.0)</f>
        <v>45104</v>
      </c>
      <c r="C5725" s="13">
        <f>IFERROR(__xludf.DUMMYFUNCTION("""COMPUTED_VALUE"""),0.5416666666666666)</f>
        <v>0.5416666667</v>
      </c>
      <c r="D5725" s="8">
        <f>IFERROR(__xludf.DUMMYFUNCTION("""COMPUTED_VALUE"""),0.116)</f>
        <v>0.116</v>
      </c>
      <c r="E5725" s="8" t="str">
        <f>IFERROR(__xludf.DUMMYFUNCTION("""COMPUTED_VALUE"""),"Real")</f>
        <v>Real</v>
      </c>
      <c r="G5725" s="8">
        <f t="shared" si="1"/>
        <v>6</v>
      </c>
      <c r="H5725" s="14">
        <f t="shared" si="2"/>
        <v>27</v>
      </c>
      <c r="I5725" s="15">
        <f t="shared" si="3"/>
        <v>13</v>
      </c>
    </row>
    <row r="5726">
      <c r="A5726" s="8" t="str">
        <f>IFERROR(__xludf.DUMMYFUNCTION("IF('(INGESTA)Datos_consumo_datadis'!A5726&lt;&gt;"""",SPLIT('(INGESTA)Datos_consumo_datadis'!A:A,"",""),"""")"),"ES0031408323131005HX0F")</f>
        <v>ES0031408323131005HX0F</v>
      </c>
      <c r="B5726" s="12">
        <f>IFERROR(__xludf.DUMMYFUNCTION("""COMPUTED_VALUE"""),45104.0)</f>
        <v>45104</v>
      </c>
      <c r="C5726" s="13">
        <f>IFERROR(__xludf.DUMMYFUNCTION("""COMPUTED_VALUE"""),0.5833333333333334)</f>
        <v>0.5833333333</v>
      </c>
      <c r="D5726" s="8">
        <f>IFERROR(__xludf.DUMMYFUNCTION("""COMPUTED_VALUE"""),0.09)</f>
        <v>0.09</v>
      </c>
      <c r="E5726" s="8" t="str">
        <f>IFERROR(__xludf.DUMMYFUNCTION("""COMPUTED_VALUE"""),"Real")</f>
        <v>Real</v>
      </c>
      <c r="G5726" s="8">
        <f t="shared" si="1"/>
        <v>6</v>
      </c>
      <c r="H5726" s="14">
        <f t="shared" si="2"/>
        <v>27</v>
      </c>
      <c r="I5726" s="15">
        <f t="shared" si="3"/>
        <v>14</v>
      </c>
    </row>
    <row r="5727">
      <c r="A5727" s="8" t="str">
        <f>IFERROR(__xludf.DUMMYFUNCTION("IF('(INGESTA)Datos_consumo_datadis'!A5727&lt;&gt;"""",SPLIT('(INGESTA)Datos_consumo_datadis'!A:A,"",""),"""")"),"ES0031408323131005HX0F")</f>
        <v>ES0031408323131005HX0F</v>
      </c>
      <c r="B5727" s="12">
        <f>IFERROR(__xludf.DUMMYFUNCTION("""COMPUTED_VALUE"""),45104.0)</f>
        <v>45104</v>
      </c>
      <c r="C5727" s="13">
        <f>IFERROR(__xludf.DUMMYFUNCTION("""COMPUTED_VALUE"""),0.625)</f>
        <v>0.625</v>
      </c>
      <c r="D5727" s="8">
        <f>IFERROR(__xludf.DUMMYFUNCTION("""COMPUTED_VALUE"""),0.069)</f>
        <v>0.069</v>
      </c>
      <c r="E5727" s="8" t="str">
        <f>IFERROR(__xludf.DUMMYFUNCTION("""COMPUTED_VALUE"""),"Real")</f>
        <v>Real</v>
      </c>
      <c r="G5727" s="8">
        <f t="shared" si="1"/>
        <v>6</v>
      </c>
      <c r="H5727" s="14">
        <f t="shared" si="2"/>
        <v>27</v>
      </c>
      <c r="I5727" s="15">
        <f t="shared" si="3"/>
        <v>15</v>
      </c>
    </row>
    <row r="5728">
      <c r="A5728" s="8" t="str">
        <f>IFERROR(__xludf.DUMMYFUNCTION("IF('(INGESTA)Datos_consumo_datadis'!A5728&lt;&gt;"""",SPLIT('(INGESTA)Datos_consumo_datadis'!A:A,"",""),"""")"),"ES0031408323131005HX0F")</f>
        <v>ES0031408323131005HX0F</v>
      </c>
      <c r="B5728" s="12">
        <f>IFERROR(__xludf.DUMMYFUNCTION("""COMPUTED_VALUE"""),45104.0)</f>
        <v>45104</v>
      </c>
      <c r="C5728" s="13">
        <f>IFERROR(__xludf.DUMMYFUNCTION("""COMPUTED_VALUE"""),0.6666666666666666)</f>
        <v>0.6666666667</v>
      </c>
      <c r="D5728" s="8">
        <f>IFERROR(__xludf.DUMMYFUNCTION("""COMPUTED_VALUE"""),0.009)</f>
        <v>0.009</v>
      </c>
      <c r="E5728" s="8" t="str">
        <f>IFERROR(__xludf.DUMMYFUNCTION("""COMPUTED_VALUE"""),"Real")</f>
        <v>Real</v>
      </c>
      <c r="G5728" s="8">
        <f t="shared" si="1"/>
        <v>6</v>
      </c>
      <c r="H5728" s="14">
        <f t="shared" si="2"/>
        <v>27</v>
      </c>
      <c r="I5728" s="15">
        <f t="shared" si="3"/>
        <v>16</v>
      </c>
    </row>
    <row r="5729">
      <c r="A5729" s="8" t="str">
        <f>IFERROR(__xludf.DUMMYFUNCTION("IF('(INGESTA)Datos_consumo_datadis'!A5729&lt;&gt;"""",SPLIT('(INGESTA)Datos_consumo_datadis'!A:A,"",""),"""")"),"ES0031408323131005HX0F")</f>
        <v>ES0031408323131005HX0F</v>
      </c>
      <c r="B5729" s="12">
        <f>IFERROR(__xludf.DUMMYFUNCTION("""COMPUTED_VALUE"""),45104.0)</f>
        <v>45104</v>
      </c>
      <c r="C5729" s="13">
        <f>IFERROR(__xludf.DUMMYFUNCTION("""COMPUTED_VALUE"""),0.7083333333333334)</f>
        <v>0.7083333333</v>
      </c>
      <c r="D5729" s="8">
        <f>IFERROR(__xludf.DUMMYFUNCTION("""COMPUTED_VALUE"""),0.37)</f>
        <v>0.37</v>
      </c>
      <c r="E5729" s="8" t="str">
        <f>IFERROR(__xludf.DUMMYFUNCTION("""COMPUTED_VALUE"""),"Real")</f>
        <v>Real</v>
      </c>
      <c r="G5729" s="8">
        <f t="shared" si="1"/>
        <v>6</v>
      </c>
      <c r="H5729" s="14">
        <f t="shared" si="2"/>
        <v>27</v>
      </c>
      <c r="I5729" s="15">
        <f t="shared" si="3"/>
        <v>17</v>
      </c>
    </row>
    <row r="5730">
      <c r="A5730" s="8" t="str">
        <f>IFERROR(__xludf.DUMMYFUNCTION("IF('(INGESTA)Datos_consumo_datadis'!A5730&lt;&gt;"""",SPLIT('(INGESTA)Datos_consumo_datadis'!A:A,"",""),"""")"),"ES0031408323131005HX0F")</f>
        <v>ES0031408323131005HX0F</v>
      </c>
      <c r="B5730" s="12">
        <f>IFERROR(__xludf.DUMMYFUNCTION("""COMPUTED_VALUE"""),45104.0)</f>
        <v>45104</v>
      </c>
      <c r="C5730" s="13">
        <f>IFERROR(__xludf.DUMMYFUNCTION("""COMPUTED_VALUE"""),0.75)</f>
        <v>0.75</v>
      </c>
      <c r="D5730" s="8">
        <f>IFERROR(__xludf.DUMMYFUNCTION("""COMPUTED_VALUE"""),0.112)</f>
        <v>0.112</v>
      </c>
      <c r="E5730" s="8" t="str">
        <f>IFERROR(__xludf.DUMMYFUNCTION("""COMPUTED_VALUE"""),"Real")</f>
        <v>Real</v>
      </c>
      <c r="G5730" s="8">
        <f t="shared" si="1"/>
        <v>6</v>
      </c>
      <c r="H5730" s="14">
        <f t="shared" si="2"/>
        <v>27</v>
      </c>
      <c r="I5730" s="15">
        <f t="shared" si="3"/>
        <v>18</v>
      </c>
    </row>
    <row r="5731">
      <c r="A5731" s="8" t="str">
        <f>IFERROR(__xludf.DUMMYFUNCTION("IF('(INGESTA)Datos_consumo_datadis'!A5731&lt;&gt;"""",SPLIT('(INGESTA)Datos_consumo_datadis'!A:A,"",""),"""")"),"ES0031408323131005HX0F")</f>
        <v>ES0031408323131005HX0F</v>
      </c>
      <c r="B5731" s="12">
        <f>IFERROR(__xludf.DUMMYFUNCTION("""COMPUTED_VALUE"""),45104.0)</f>
        <v>45104</v>
      </c>
      <c r="C5731" s="13">
        <f>IFERROR(__xludf.DUMMYFUNCTION("""COMPUTED_VALUE"""),0.7916666666666666)</f>
        <v>0.7916666667</v>
      </c>
      <c r="D5731" s="8">
        <f>IFERROR(__xludf.DUMMYFUNCTION("""COMPUTED_VALUE"""),0.073)</f>
        <v>0.073</v>
      </c>
      <c r="E5731" s="8" t="str">
        <f>IFERROR(__xludf.DUMMYFUNCTION("""COMPUTED_VALUE"""),"Real")</f>
        <v>Real</v>
      </c>
      <c r="G5731" s="8">
        <f t="shared" si="1"/>
        <v>6</v>
      </c>
      <c r="H5731" s="14">
        <f t="shared" si="2"/>
        <v>27</v>
      </c>
      <c r="I5731" s="15">
        <f t="shared" si="3"/>
        <v>19</v>
      </c>
    </row>
    <row r="5732">
      <c r="A5732" s="8" t="str">
        <f>IFERROR(__xludf.DUMMYFUNCTION("IF('(INGESTA)Datos_consumo_datadis'!A5732&lt;&gt;"""",SPLIT('(INGESTA)Datos_consumo_datadis'!A:A,"",""),"""")"),"ES0031408323131005HX0F")</f>
        <v>ES0031408323131005HX0F</v>
      </c>
      <c r="B5732" s="12">
        <f>IFERROR(__xludf.DUMMYFUNCTION("""COMPUTED_VALUE"""),45104.0)</f>
        <v>45104</v>
      </c>
      <c r="C5732" s="13">
        <f>IFERROR(__xludf.DUMMYFUNCTION("""COMPUTED_VALUE"""),0.8333333333333334)</f>
        <v>0.8333333333</v>
      </c>
      <c r="D5732" s="8">
        <f>IFERROR(__xludf.DUMMYFUNCTION("""COMPUTED_VALUE"""),0.054)</f>
        <v>0.054</v>
      </c>
      <c r="E5732" s="8" t="str">
        <f>IFERROR(__xludf.DUMMYFUNCTION("""COMPUTED_VALUE"""),"Real")</f>
        <v>Real</v>
      </c>
      <c r="G5732" s="8">
        <f t="shared" si="1"/>
        <v>6</v>
      </c>
      <c r="H5732" s="14">
        <f t="shared" si="2"/>
        <v>27</v>
      </c>
      <c r="I5732" s="15">
        <f t="shared" si="3"/>
        <v>20</v>
      </c>
    </row>
    <row r="5733">
      <c r="A5733" s="8" t="str">
        <f>IFERROR(__xludf.DUMMYFUNCTION("IF('(INGESTA)Datos_consumo_datadis'!A5733&lt;&gt;"""",SPLIT('(INGESTA)Datos_consumo_datadis'!A:A,"",""),"""")"),"ES0031408323131005HX0F")</f>
        <v>ES0031408323131005HX0F</v>
      </c>
      <c r="B5733" s="12">
        <f>IFERROR(__xludf.DUMMYFUNCTION("""COMPUTED_VALUE"""),45104.0)</f>
        <v>45104</v>
      </c>
      <c r="C5733" s="13">
        <f>IFERROR(__xludf.DUMMYFUNCTION("""COMPUTED_VALUE"""),0.875)</f>
        <v>0.875</v>
      </c>
      <c r="D5733" s="8">
        <f>IFERROR(__xludf.DUMMYFUNCTION("""COMPUTED_VALUE"""),0.009)</f>
        <v>0.009</v>
      </c>
      <c r="E5733" s="8" t="str">
        <f>IFERROR(__xludf.DUMMYFUNCTION("""COMPUTED_VALUE"""),"Real")</f>
        <v>Real</v>
      </c>
      <c r="G5733" s="8">
        <f t="shared" si="1"/>
        <v>6</v>
      </c>
      <c r="H5733" s="14">
        <f t="shared" si="2"/>
        <v>27</v>
      </c>
      <c r="I5733" s="15">
        <f t="shared" si="3"/>
        <v>21</v>
      </c>
    </row>
    <row r="5734">
      <c r="A5734" s="8" t="str">
        <f>IFERROR(__xludf.DUMMYFUNCTION("IF('(INGESTA)Datos_consumo_datadis'!A5734&lt;&gt;"""",SPLIT('(INGESTA)Datos_consumo_datadis'!A:A,"",""),"""")"),"ES0031408323131005HX0F")</f>
        <v>ES0031408323131005HX0F</v>
      </c>
      <c r="B5734" s="12">
        <f>IFERROR(__xludf.DUMMYFUNCTION("""COMPUTED_VALUE"""),45104.0)</f>
        <v>45104</v>
      </c>
      <c r="C5734" s="13">
        <f>IFERROR(__xludf.DUMMYFUNCTION("""COMPUTED_VALUE"""),0.9166666666666666)</f>
        <v>0.9166666667</v>
      </c>
      <c r="D5734" s="8">
        <f>IFERROR(__xludf.DUMMYFUNCTION("""COMPUTED_VALUE"""),0.102)</f>
        <v>0.102</v>
      </c>
      <c r="E5734" s="8" t="str">
        <f>IFERROR(__xludf.DUMMYFUNCTION("""COMPUTED_VALUE"""),"Real")</f>
        <v>Real</v>
      </c>
      <c r="G5734" s="8">
        <f t="shared" si="1"/>
        <v>6</v>
      </c>
      <c r="H5734" s="14">
        <f t="shared" si="2"/>
        <v>27</v>
      </c>
      <c r="I5734" s="15">
        <f t="shared" si="3"/>
        <v>22</v>
      </c>
    </row>
    <row r="5735">
      <c r="A5735" s="8" t="str">
        <f>IFERROR(__xludf.DUMMYFUNCTION("IF('(INGESTA)Datos_consumo_datadis'!A5735&lt;&gt;"""",SPLIT('(INGESTA)Datos_consumo_datadis'!A:A,"",""),"""")"),"ES0031408323131005HX0F")</f>
        <v>ES0031408323131005HX0F</v>
      </c>
      <c r="B5735" s="12">
        <f>IFERROR(__xludf.DUMMYFUNCTION("""COMPUTED_VALUE"""),45104.0)</f>
        <v>45104</v>
      </c>
      <c r="C5735" s="13">
        <f>IFERROR(__xludf.DUMMYFUNCTION("""COMPUTED_VALUE"""),0.9583333333333334)</f>
        <v>0.9583333333</v>
      </c>
      <c r="D5735" s="8">
        <f>IFERROR(__xludf.DUMMYFUNCTION("""COMPUTED_VALUE"""),0.09)</f>
        <v>0.09</v>
      </c>
      <c r="E5735" s="8" t="str">
        <f>IFERROR(__xludf.DUMMYFUNCTION("""COMPUTED_VALUE"""),"Real")</f>
        <v>Real</v>
      </c>
      <c r="G5735" s="8">
        <f t="shared" si="1"/>
        <v>6</v>
      </c>
      <c r="H5735" s="14">
        <f t="shared" si="2"/>
        <v>27</v>
      </c>
      <c r="I5735" s="15">
        <f t="shared" si="3"/>
        <v>23</v>
      </c>
    </row>
    <row r="5736">
      <c r="A5736" s="8" t="str">
        <f>IFERROR(__xludf.DUMMYFUNCTION("IF('(INGESTA)Datos_consumo_datadis'!A5736&lt;&gt;"""",SPLIT('(INGESTA)Datos_consumo_datadis'!A:A,"",""),"""")"),"ES0031408323131005HX0F")</f>
        <v>ES0031408323131005HX0F</v>
      </c>
      <c r="B5736" s="12">
        <f>IFERROR(__xludf.DUMMYFUNCTION("""COMPUTED_VALUE"""),45104.0)</f>
        <v>45104</v>
      </c>
      <c r="C5736" s="16">
        <f>IFERROR(__xludf.DUMMYFUNCTION("""COMPUTED_VALUE"""),1.0)</f>
        <v>1</v>
      </c>
      <c r="D5736" s="8">
        <f>IFERROR(__xludf.DUMMYFUNCTION("""COMPUTED_VALUE"""),0.089)</f>
        <v>0.089</v>
      </c>
      <c r="E5736" s="8" t="str">
        <f>IFERROR(__xludf.DUMMYFUNCTION("""COMPUTED_VALUE"""),"Real")</f>
        <v>Real</v>
      </c>
      <c r="G5736" s="8">
        <f t="shared" si="1"/>
        <v>6</v>
      </c>
      <c r="H5736" s="14">
        <f t="shared" si="2"/>
        <v>27</v>
      </c>
      <c r="I5736" s="15">
        <f t="shared" si="3"/>
        <v>0</v>
      </c>
    </row>
    <row r="5737">
      <c r="A5737" s="8" t="str">
        <f>IFERROR(__xludf.DUMMYFUNCTION("IF('(INGESTA)Datos_consumo_datadis'!A5737&lt;&gt;"""",SPLIT('(INGESTA)Datos_consumo_datadis'!A:A,"",""),"""")"),"ES0031408323131005HX0F")</f>
        <v>ES0031408323131005HX0F</v>
      </c>
      <c r="B5737" s="12">
        <f>IFERROR(__xludf.DUMMYFUNCTION("""COMPUTED_VALUE"""),45105.0)</f>
        <v>45105</v>
      </c>
      <c r="C5737" s="13">
        <f>IFERROR(__xludf.DUMMYFUNCTION("""COMPUTED_VALUE"""),0.041666666666666664)</f>
        <v>0.04166666667</v>
      </c>
      <c r="D5737" s="8">
        <f>IFERROR(__xludf.DUMMYFUNCTION("""COMPUTED_VALUE"""),0.03)</f>
        <v>0.03</v>
      </c>
      <c r="E5737" s="8" t="str">
        <f>IFERROR(__xludf.DUMMYFUNCTION("""COMPUTED_VALUE"""),"Real")</f>
        <v>Real</v>
      </c>
      <c r="G5737" s="8">
        <f t="shared" si="1"/>
        <v>6</v>
      </c>
      <c r="H5737" s="14">
        <f t="shared" si="2"/>
        <v>28</v>
      </c>
      <c r="I5737" s="15">
        <f t="shared" si="3"/>
        <v>1</v>
      </c>
    </row>
    <row r="5738">
      <c r="A5738" s="8" t="str">
        <f>IFERROR(__xludf.DUMMYFUNCTION("IF('(INGESTA)Datos_consumo_datadis'!A5738&lt;&gt;"""",SPLIT('(INGESTA)Datos_consumo_datadis'!A:A,"",""),"""")"),"ES0031408323131005HX0F")</f>
        <v>ES0031408323131005HX0F</v>
      </c>
      <c r="B5738" s="12">
        <f>IFERROR(__xludf.DUMMYFUNCTION("""COMPUTED_VALUE"""),45105.0)</f>
        <v>45105</v>
      </c>
      <c r="C5738" s="13">
        <f>IFERROR(__xludf.DUMMYFUNCTION("""COMPUTED_VALUE"""),0.08333333333333333)</f>
        <v>0.08333333333</v>
      </c>
      <c r="D5738" s="8">
        <f>IFERROR(__xludf.DUMMYFUNCTION("""COMPUTED_VALUE"""),0.351)</f>
        <v>0.351</v>
      </c>
      <c r="E5738" s="8" t="str">
        <f>IFERROR(__xludf.DUMMYFUNCTION("""COMPUTED_VALUE"""),"Real")</f>
        <v>Real</v>
      </c>
      <c r="G5738" s="8">
        <f t="shared" si="1"/>
        <v>6</v>
      </c>
      <c r="H5738" s="14">
        <f t="shared" si="2"/>
        <v>28</v>
      </c>
      <c r="I5738" s="15">
        <f t="shared" si="3"/>
        <v>2</v>
      </c>
    </row>
    <row r="5739">
      <c r="A5739" s="8" t="str">
        <f>IFERROR(__xludf.DUMMYFUNCTION("IF('(INGESTA)Datos_consumo_datadis'!A5739&lt;&gt;"""",SPLIT('(INGESTA)Datos_consumo_datadis'!A:A,"",""),"""")"),"ES0031408323131005HX0F")</f>
        <v>ES0031408323131005HX0F</v>
      </c>
      <c r="B5739" s="12">
        <f>IFERROR(__xludf.DUMMYFUNCTION("""COMPUTED_VALUE"""),45105.0)</f>
        <v>45105</v>
      </c>
      <c r="C5739" s="13">
        <f>IFERROR(__xludf.DUMMYFUNCTION("""COMPUTED_VALUE"""),0.125)</f>
        <v>0.125</v>
      </c>
      <c r="D5739" s="8">
        <f>IFERROR(__xludf.DUMMYFUNCTION("""COMPUTED_VALUE"""),0.137)</f>
        <v>0.137</v>
      </c>
      <c r="E5739" s="8" t="str">
        <f>IFERROR(__xludf.DUMMYFUNCTION("""COMPUTED_VALUE"""),"Real")</f>
        <v>Real</v>
      </c>
      <c r="G5739" s="8">
        <f t="shared" si="1"/>
        <v>6</v>
      </c>
      <c r="H5739" s="14">
        <f t="shared" si="2"/>
        <v>28</v>
      </c>
      <c r="I5739" s="15">
        <f t="shared" si="3"/>
        <v>3</v>
      </c>
    </row>
    <row r="5740">
      <c r="A5740" s="8" t="str">
        <f>IFERROR(__xludf.DUMMYFUNCTION("IF('(INGESTA)Datos_consumo_datadis'!A5740&lt;&gt;"""",SPLIT('(INGESTA)Datos_consumo_datadis'!A:A,"",""),"""")"),"ES0031408323131005HX0F")</f>
        <v>ES0031408323131005HX0F</v>
      </c>
      <c r="B5740" s="12">
        <f>IFERROR(__xludf.DUMMYFUNCTION("""COMPUTED_VALUE"""),45105.0)</f>
        <v>45105</v>
      </c>
      <c r="C5740" s="13">
        <f>IFERROR(__xludf.DUMMYFUNCTION("""COMPUTED_VALUE"""),0.16666666666666666)</f>
        <v>0.1666666667</v>
      </c>
      <c r="D5740" s="8">
        <f>IFERROR(__xludf.DUMMYFUNCTION("""COMPUTED_VALUE"""),0.1)</f>
        <v>0.1</v>
      </c>
      <c r="E5740" s="8" t="str">
        <f>IFERROR(__xludf.DUMMYFUNCTION("""COMPUTED_VALUE"""),"Real")</f>
        <v>Real</v>
      </c>
      <c r="G5740" s="8">
        <f t="shared" si="1"/>
        <v>6</v>
      </c>
      <c r="H5740" s="14">
        <f t="shared" si="2"/>
        <v>28</v>
      </c>
      <c r="I5740" s="15">
        <f t="shared" si="3"/>
        <v>4</v>
      </c>
    </row>
    <row r="5741">
      <c r="A5741" s="8" t="str">
        <f>IFERROR(__xludf.DUMMYFUNCTION("IF('(INGESTA)Datos_consumo_datadis'!A5741&lt;&gt;"""",SPLIT('(INGESTA)Datos_consumo_datadis'!A:A,"",""),"""")"),"ES0031408323131005HX0F")</f>
        <v>ES0031408323131005HX0F</v>
      </c>
      <c r="B5741" s="12">
        <f>IFERROR(__xludf.DUMMYFUNCTION("""COMPUTED_VALUE"""),45105.0)</f>
        <v>45105</v>
      </c>
      <c r="C5741" s="13">
        <f>IFERROR(__xludf.DUMMYFUNCTION("""COMPUTED_VALUE"""),0.20833333333333334)</f>
        <v>0.2083333333</v>
      </c>
      <c r="D5741" s="8">
        <f>IFERROR(__xludf.DUMMYFUNCTION("""COMPUTED_VALUE"""),0.074)</f>
        <v>0.074</v>
      </c>
      <c r="E5741" s="8" t="str">
        <f>IFERROR(__xludf.DUMMYFUNCTION("""COMPUTED_VALUE"""),"Real")</f>
        <v>Real</v>
      </c>
      <c r="G5741" s="8">
        <f t="shared" si="1"/>
        <v>6</v>
      </c>
      <c r="H5741" s="14">
        <f t="shared" si="2"/>
        <v>28</v>
      </c>
      <c r="I5741" s="15">
        <f t="shared" si="3"/>
        <v>5</v>
      </c>
    </row>
    <row r="5742">
      <c r="A5742" s="8" t="str">
        <f>IFERROR(__xludf.DUMMYFUNCTION("IF('(INGESTA)Datos_consumo_datadis'!A5742&lt;&gt;"""",SPLIT('(INGESTA)Datos_consumo_datadis'!A:A,"",""),"""")"),"ES0031408323131005HX0F")</f>
        <v>ES0031408323131005HX0F</v>
      </c>
      <c r="B5742" s="12">
        <f>IFERROR(__xludf.DUMMYFUNCTION("""COMPUTED_VALUE"""),45105.0)</f>
        <v>45105</v>
      </c>
      <c r="C5742" s="13">
        <f>IFERROR(__xludf.DUMMYFUNCTION("""COMPUTED_VALUE"""),0.25)</f>
        <v>0.25</v>
      </c>
      <c r="D5742" s="8">
        <f>IFERROR(__xludf.DUMMYFUNCTION("""COMPUTED_VALUE"""),0.009)</f>
        <v>0.009</v>
      </c>
      <c r="E5742" s="8" t="str">
        <f>IFERROR(__xludf.DUMMYFUNCTION("""COMPUTED_VALUE"""),"Real")</f>
        <v>Real</v>
      </c>
      <c r="G5742" s="8">
        <f t="shared" si="1"/>
        <v>6</v>
      </c>
      <c r="H5742" s="14">
        <f t="shared" si="2"/>
        <v>28</v>
      </c>
      <c r="I5742" s="15">
        <f t="shared" si="3"/>
        <v>6</v>
      </c>
    </row>
    <row r="5743">
      <c r="A5743" s="8" t="str">
        <f>IFERROR(__xludf.DUMMYFUNCTION("IF('(INGESTA)Datos_consumo_datadis'!A5743&lt;&gt;"""",SPLIT('(INGESTA)Datos_consumo_datadis'!A:A,"",""),"""")"),"ES0031408323131005HX0F")</f>
        <v>ES0031408323131005HX0F</v>
      </c>
      <c r="B5743" s="12">
        <f>IFERROR(__xludf.DUMMYFUNCTION("""COMPUTED_VALUE"""),45105.0)</f>
        <v>45105</v>
      </c>
      <c r="C5743" s="13">
        <f>IFERROR(__xludf.DUMMYFUNCTION("""COMPUTED_VALUE"""),0.2916666666666667)</f>
        <v>0.2916666667</v>
      </c>
      <c r="D5743" s="8">
        <f>IFERROR(__xludf.DUMMYFUNCTION("""COMPUTED_VALUE"""),0.068)</f>
        <v>0.068</v>
      </c>
      <c r="E5743" s="8" t="str">
        <f>IFERROR(__xludf.DUMMYFUNCTION("""COMPUTED_VALUE"""),"Real")</f>
        <v>Real</v>
      </c>
      <c r="G5743" s="8">
        <f t="shared" si="1"/>
        <v>6</v>
      </c>
      <c r="H5743" s="14">
        <f t="shared" si="2"/>
        <v>28</v>
      </c>
      <c r="I5743" s="15">
        <f t="shared" si="3"/>
        <v>7</v>
      </c>
    </row>
    <row r="5744">
      <c r="A5744" s="8" t="str">
        <f>IFERROR(__xludf.DUMMYFUNCTION("IF('(INGESTA)Datos_consumo_datadis'!A5744&lt;&gt;"""",SPLIT('(INGESTA)Datos_consumo_datadis'!A:A,"",""),"""")"),"ES0031408323131005HX0F")</f>
        <v>ES0031408323131005HX0F</v>
      </c>
      <c r="B5744" s="12">
        <f>IFERROR(__xludf.DUMMYFUNCTION("""COMPUTED_VALUE"""),45105.0)</f>
        <v>45105</v>
      </c>
      <c r="C5744" s="13">
        <f>IFERROR(__xludf.DUMMYFUNCTION("""COMPUTED_VALUE"""),0.3333333333333333)</f>
        <v>0.3333333333</v>
      </c>
      <c r="D5744" s="8">
        <f>IFERROR(__xludf.DUMMYFUNCTION("""COMPUTED_VALUE"""),0.113)</f>
        <v>0.113</v>
      </c>
      <c r="E5744" s="8" t="str">
        <f>IFERROR(__xludf.DUMMYFUNCTION("""COMPUTED_VALUE"""),"Real")</f>
        <v>Real</v>
      </c>
      <c r="G5744" s="8">
        <f t="shared" si="1"/>
        <v>6</v>
      </c>
      <c r="H5744" s="14">
        <f t="shared" si="2"/>
        <v>28</v>
      </c>
      <c r="I5744" s="15">
        <f t="shared" si="3"/>
        <v>8</v>
      </c>
    </row>
    <row r="5745">
      <c r="A5745" s="8" t="str">
        <f>IFERROR(__xludf.DUMMYFUNCTION("IF('(INGESTA)Datos_consumo_datadis'!A5745&lt;&gt;"""",SPLIT('(INGESTA)Datos_consumo_datadis'!A:A,"",""),"""")"),"ES0031408323131005HX0F")</f>
        <v>ES0031408323131005HX0F</v>
      </c>
      <c r="B5745" s="12">
        <f>IFERROR(__xludf.DUMMYFUNCTION("""COMPUTED_VALUE"""),45105.0)</f>
        <v>45105</v>
      </c>
      <c r="C5745" s="13">
        <f>IFERROR(__xludf.DUMMYFUNCTION("""COMPUTED_VALUE"""),0.375)</f>
        <v>0.375</v>
      </c>
      <c r="D5745" s="8">
        <f>IFERROR(__xludf.DUMMYFUNCTION("""COMPUTED_VALUE"""),0.073)</f>
        <v>0.073</v>
      </c>
      <c r="E5745" s="8" t="str">
        <f>IFERROR(__xludf.DUMMYFUNCTION("""COMPUTED_VALUE"""),"Real")</f>
        <v>Real</v>
      </c>
      <c r="G5745" s="8">
        <f t="shared" si="1"/>
        <v>6</v>
      </c>
      <c r="H5745" s="14">
        <f t="shared" si="2"/>
        <v>28</v>
      </c>
      <c r="I5745" s="15">
        <f t="shared" si="3"/>
        <v>9</v>
      </c>
    </row>
    <row r="5746">
      <c r="A5746" s="8" t="str">
        <f>IFERROR(__xludf.DUMMYFUNCTION("IF('(INGESTA)Datos_consumo_datadis'!A5746&lt;&gt;"""",SPLIT('(INGESTA)Datos_consumo_datadis'!A:A,"",""),"""")"),"ES0031408323131005HX0F")</f>
        <v>ES0031408323131005HX0F</v>
      </c>
      <c r="B5746" s="12">
        <f>IFERROR(__xludf.DUMMYFUNCTION("""COMPUTED_VALUE"""),45105.0)</f>
        <v>45105</v>
      </c>
      <c r="C5746" s="13">
        <f>IFERROR(__xludf.DUMMYFUNCTION("""COMPUTED_VALUE"""),0.4166666666666667)</f>
        <v>0.4166666667</v>
      </c>
      <c r="D5746" s="8">
        <f>IFERROR(__xludf.DUMMYFUNCTION("""COMPUTED_VALUE"""),0.063)</f>
        <v>0.063</v>
      </c>
      <c r="E5746" s="8" t="str">
        <f>IFERROR(__xludf.DUMMYFUNCTION("""COMPUTED_VALUE"""),"Real")</f>
        <v>Real</v>
      </c>
      <c r="G5746" s="8">
        <f t="shared" si="1"/>
        <v>6</v>
      </c>
      <c r="H5746" s="14">
        <f t="shared" si="2"/>
        <v>28</v>
      </c>
      <c r="I5746" s="15">
        <f t="shared" si="3"/>
        <v>10</v>
      </c>
    </row>
    <row r="5747">
      <c r="A5747" s="8" t="str">
        <f>IFERROR(__xludf.DUMMYFUNCTION("IF('(INGESTA)Datos_consumo_datadis'!A5747&lt;&gt;"""",SPLIT('(INGESTA)Datos_consumo_datadis'!A:A,"",""),"""")"),"ES0031408323131005HX0F")</f>
        <v>ES0031408323131005HX0F</v>
      </c>
      <c r="B5747" s="12">
        <f>IFERROR(__xludf.DUMMYFUNCTION("""COMPUTED_VALUE"""),45105.0)</f>
        <v>45105</v>
      </c>
      <c r="C5747" s="13">
        <f>IFERROR(__xludf.DUMMYFUNCTION("""COMPUTED_VALUE"""),0.4583333333333333)</f>
        <v>0.4583333333</v>
      </c>
      <c r="D5747" s="8">
        <f>IFERROR(__xludf.DUMMYFUNCTION("""COMPUTED_VALUE"""),0.294)</f>
        <v>0.294</v>
      </c>
      <c r="E5747" s="8" t="str">
        <f>IFERROR(__xludf.DUMMYFUNCTION("""COMPUTED_VALUE"""),"Real")</f>
        <v>Real</v>
      </c>
      <c r="G5747" s="8">
        <f t="shared" si="1"/>
        <v>6</v>
      </c>
      <c r="H5747" s="14">
        <f t="shared" si="2"/>
        <v>28</v>
      </c>
      <c r="I5747" s="15">
        <f t="shared" si="3"/>
        <v>11</v>
      </c>
    </row>
    <row r="5748">
      <c r="A5748" s="8" t="str">
        <f>IFERROR(__xludf.DUMMYFUNCTION("IF('(INGESTA)Datos_consumo_datadis'!A5748&lt;&gt;"""",SPLIT('(INGESTA)Datos_consumo_datadis'!A:A,"",""),"""")"),"ES0031408323131005HX0F")</f>
        <v>ES0031408323131005HX0F</v>
      </c>
      <c r="B5748" s="12">
        <f>IFERROR(__xludf.DUMMYFUNCTION("""COMPUTED_VALUE"""),45105.0)</f>
        <v>45105</v>
      </c>
      <c r="C5748" s="13">
        <f>IFERROR(__xludf.DUMMYFUNCTION("""COMPUTED_VALUE"""),0.5)</f>
        <v>0.5</v>
      </c>
      <c r="D5748" s="8">
        <f>IFERROR(__xludf.DUMMYFUNCTION("""COMPUTED_VALUE"""),0.117)</f>
        <v>0.117</v>
      </c>
      <c r="E5748" s="8" t="str">
        <f>IFERROR(__xludf.DUMMYFUNCTION("""COMPUTED_VALUE"""),"Real")</f>
        <v>Real</v>
      </c>
      <c r="G5748" s="8">
        <f t="shared" si="1"/>
        <v>6</v>
      </c>
      <c r="H5748" s="14">
        <f t="shared" si="2"/>
        <v>28</v>
      </c>
      <c r="I5748" s="15">
        <f t="shared" si="3"/>
        <v>12</v>
      </c>
    </row>
    <row r="5749">
      <c r="A5749" s="8" t="str">
        <f>IFERROR(__xludf.DUMMYFUNCTION("IF('(INGESTA)Datos_consumo_datadis'!A5749&lt;&gt;"""",SPLIT('(INGESTA)Datos_consumo_datadis'!A:A,"",""),"""")"),"ES0031408323131005HX0F")</f>
        <v>ES0031408323131005HX0F</v>
      </c>
      <c r="B5749" s="12">
        <f>IFERROR(__xludf.DUMMYFUNCTION("""COMPUTED_VALUE"""),45105.0)</f>
        <v>45105</v>
      </c>
      <c r="C5749" s="13">
        <f>IFERROR(__xludf.DUMMYFUNCTION("""COMPUTED_VALUE"""),0.5416666666666666)</f>
        <v>0.5416666667</v>
      </c>
      <c r="D5749" s="8">
        <f>IFERROR(__xludf.DUMMYFUNCTION("""COMPUTED_VALUE"""),0.092)</f>
        <v>0.092</v>
      </c>
      <c r="E5749" s="8" t="str">
        <f>IFERROR(__xludf.DUMMYFUNCTION("""COMPUTED_VALUE"""),"Real")</f>
        <v>Real</v>
      </c>
      <c r="G5749" s="8">
        <f t="shared" si="1"/>
        <v>6</v>
      </c>
      <c r="H5749" s="14">
        <f t="shared" si="2"/>
        <v>28</v>
      </c>
      <c r="I5749" s="15">
        <f t="shared" si="3"/>
        <v>13</v>
      </c>
    </row>
    <row r="5750">
      <c r="A5750" s="8" t="str">
        <f>IFERROR(__xludf.DUMMYFUNCTION("IF('(INGESTA)Datos_consumo_datadis'!A5750&lt;&gt;"""",SPLIT('(INGESTA)Datos_consumo_datadis'!A:A,"",""),"""")"),"ES0031408323131005HX0F")</f>
        <v>ES0031408323131005HX0F</v>
      </c>
      <c r="B5750" s="12">
        <f>IFERROR(__xludf.DUMMYFUNCTION("""COMPUTED_VALUE"""),45105.0)</f>
        <v>45105</v>
      </c>
      <c r="C5750" s="13">
        <f>IFERROR(__xludf.DUMMYFUNCTION("""COMPUTED_VALUE"""),0.5833333333333334)</f>
        <v>0.5833333333</v>
      </c>
      <c r="D5750" s="8">
        <f>IFERROR(__xludf.DUMMYFUNCTION("""COMPUTED_VALUE"""),0.089)</f>
        <v>0.089</v>
      </c>
      <c r="E5750" s="8" t="str">
        <f>IFERROR(__xludf.DUMMYFUNCTION("""COMPUTED_VALUE"""),"Real")</f>
        <v>Real</v>
      </c>
      <c r="G5750" s="8">
        <f t="shared" si="1"/>
        <v>6</v>
      </c>
      <c r="H5750" s="14">
        <f t="shared" si="2"/>
        <v>28</v>
      </c>
      <c r="I5750" s="15">
        <f t="shared" si="3"/>
        <v>14</v>
      </c>
    </row>
    <row r="5751">
      <c r="A5751" s="8" t="str">
        <f>IFERROR(__xludf.DUMMYFUNCTION("IF('(INGESTA)Datos_consumo_datadis'!A5751&lt;&gt;"""",SPLIT('(INGESTA)Datos_consumo_datadis'!A:A,"",""),"""")"),"ES0031408323131005HX0F")</f>
        <v>ES0031408323131005HX0F</v>
      </c>
      <c r="B5751" s="12">
        <f>IFERROR(__xludf.DUMMYFUNCTION("""COMPUTED_VALUE"""),45105.0)</f>
        <v>45105</v>
      </c>
      <c r="C5751" s="13">
        <f>IFERROR(__xludf.DUMMYFUNCTION("""COMPUTED_VALUE"""),0.625)</f>
        <v>0.625</v>
      </c>
      <c r="D5751" s="8">
        <f>IFERROR(__xludf.DUMMYFUNCTION("""COMPUTED_VALUE"""),0.021)</f>
        <v>0.021</v>
      </c>
      <c r="E5751" s="8" t="str">
        <f>IFERROR(__xludf.DUMMYFUNCTION("""COMPUTED_VALUE"""),"Real")</f>
        <v>Real</v>
      </c>
      <c r="G5751" s="8">
        <f t="shared" si="1"/>
        <v>6</v>
      </c>
      <c r="H5751" s="14">
        <f t="shared" si="2"/>
        <v>28</v>
      </c>
      <c r="I5751" s="15">
        <f t="shared" si="3"/>
        <v>15</v>
      </c>
    </row>
    <row r="5752">
      <c r="A5752" s="8" t="str">
        <f>IFERROR(__xludf.DUMMYFUNCTION("IF('(INGESTA)Datos_consumo_datadis'!A5752&lt;&gt;"""",SPLIT('(INGESTA)Datos_consumo_datadis'!A:A,"",""),"""")"),"ES0031408323131005HX0F")</f>
        <v>ES0031408323131005HX0F</v>
      </c>
      <c r="B5752" s="12">
        <f>IFERROR(__xludf.DUMMYFUNCTION("""COMPUTED_VALUE"""),45105.0)</f>
        <v>45105</v>
      </c>
      <c r="C5752" s="13">
        <f>IFERROR(__xludf.DUMMYFUNCTION("""COMPUTED_VALUE"""),0.6666666666666666)</f>
        <v>0.6666666667</v>
      </c>
      <c r="D5752" s="8">
        <f>IFERROR(__xludf.DUMMYFUNCTION("""COMPUTED_VALUE"""),0.038)</f>
        <v>0.038</v>
      </c>
      <c r="E5752" s="8" t="str">
        <f>IFERROR(__xludf.DUMMYFUNCTION("""COMPUTED_VALUE"""),"Real")</f>
        <v>Real</v>
      </c>
      <c r="G5752" s="8">
        <f t="shared" si="1"/>
        <v>6</v>
      </c>
      <c r="H5752" s="14">
        <f t="shared" si="2"/>
        <v>28</v>
      </c>
      <c r="I5752" s="15">
        <f t="shared" si="3"/>
        <v>16</v>
      </c>
    </row>
    <row r="5753">
      <c r="A5753" s="8" t="str">
        <f>IFERROR(__xludf.DUMMYFUNCTION("IF('(INGESTA)Datos_consumo_datadis'!A5753&lt;&gt;"""",SPLIT('(INGESTA)Datos_consumo_datadis'!A:A,"",""),"""")"),"ES0031408323131005HX0F")</f>
        <v>ES0031408323131005HX0F</v>
      </c>
      <c r="B5753" s="12">
        <f>IFERROR(__xludf.DUMMYFUNCTION("""COMPUTED_VALUE"""),45105.0)</f>
        <v>45105</v>
      </c>
      <c r="C5753" s="13">
        <f>IFERROR(__xludf.DUMMYFUNCTION("""COMPUTED_VALUE"""),0.7083333333333334)</f>
        <v>0.7083333333</v>
      </c>
      <c r="D5753" s="8">
        <f>IFERROR(__xludf.DUMMYFUNCTION("""COMPUTED_VALUE"""),0.115)</f>
        <v>0.115</v>
      </c>
      <c r="E5753" s="8" t="str">
        <f>IFERROR(__xludf.DUMMYFUNCTION("""COMPUTED_VALUE"""),"Real")</f>
        <v>Real</v>
      </c>
      <c r="G5753" s="8">
        <f t="shared" si="1"/>
        <v>6</v>
      </c>
      <c r="H5753" s="14">
        <f t="shared" si="2"/>
        <v>28</v>
      </c>
      <c r="I5753" s="15">
        <f t="shared" si="3"/>
        <v>17</v>
      </c>
    </row>
    <row r="5754">
      <c r="A5754" s="8" t="str">
        <f>IFERROR(__xludf.DUMMYFUNCTION("IF('(INGESTA)Datos_consumo_datadis'!A5754&lt;&gt;"""",SPLIT('(INGESTA)Datos_consumo_datadis'!A:A,"",""),"""")"),"ES0031408323131005HX0F")</f>
        <v>ES0031408323131005HX0F</v>
      </c>
      <c r="B5754" s="12">
        <f>IFERROR(__xludf.DUMMYFUNCTION("""COMPUTED_VALUE"""),45105.0)</f>
        <v>45105</v>
      </c>
      <c r="C5754" s="13">
        <f>IFERROR(__xludf.DUMMYFUNCTION("""COMPUTED_VALUE"""),0.75)</f>
        <v>0.75</v>
      </c>
      <c r="D5754" s="8">
        <f>IFERROR(__xludf.DUMMYFUNCTION("""COMPUTED_VALUE"""),0.087)</f>
        <v>0.087</v>
      </c>
      <c r="E5754" s="8" t="str">
        <f>IFERROR(__xludf.DUMMYFUNCTION("""COMPUTED_VALUE"""),"Real")</f>
        <v>Real</v>
      </c>
      <c r="G5754" s="8">
        <f t="shared" si="1"/>
        <v>6</v>
      </c>
      <c r="H5754" s="14">
        <f t="shared" si="2"/>
        <v>28</v>
      </c>
      <c r="I5754" s="15">
        <f t="shared" si="3"/>
        <v>18</v>
      </c>
    </row>
    <row r="5755">
      <c r="A5755" s="8" t="str">
        <f>IFERROR(__xludf.DUMMYFUNCTION("IF('(INGESTA)Datos_consumo_datadis'!A5755&lt;&gt;"""",SPLIT('(INGESTA)Datos_consumo_datadis'!A:A,"",""),"""")"),"ES0031408323131005HX0F")</f>
        <v>ES0031408323131005HX0F</v>
      </c>
      <c r="B5755" s="12">
        <f>IFERROR(__xludf.DUMMYFUNCTION("""COMPUTED_VALUE"""),45105.0)</f>
        <v>45105</v>
      </c>
      <c r="C5755" s="13">
        <f>IFERROR(__xludf.DUMMYFUNCTION("""COMPUTED_VALUE"""),0.7916666666666666)</f>
        <v>0.7916666667</v>
      </c>
      <c r="D5755" s="8">
        <f>IFERROR(__xludf.DUMMYFUNCTION("""COMPUTED_VALUE"""),0.066)</f>
        <v>0.066</v>
      </c>
      <c r="E5755" s="8" t="str">
        <f>IFERROR(__xludf.DUMMYFUNCTION("""COMPUTED_VALUE"""),"Real")</f>
        <v>Real</v>
      </c>
      <c r="G5755" s="8">
        <f t="shared" si="1"/>
        <v>6</v>
      </c>
      <c r="H5755" s="14">
        <f t="shared" si="2"/>
        <v>28</v>
      </c>
      <c r="I5755" s="15">
        <f t="shared" si="3"/>
        <v>19</v>
      </c>
    </row>
    <row r="5756">
      <c r="A5756" s="8" t="str">
        <f>IFERROR(__xludf.DUMMYFUNCTION("IF('(INGESTA)Datos_consumo_datadis'!A5756&lt;&gt;"""",SPLIT('(INGESTA)Datos_consumo_datadis'!A:A,"",""),"""")"),"ES0031408323131005HX0F")</f>
        <v>ES0031408323131005HX0F</v>
      </c>
      <c r="B5756" s="12">
        <f>IFERROR(__xludf.DUMMYFUNCTION("""COMPUTED_VALUE"""),45105.0)</f>
        <v>45105</v>
      </c>
      <c r="C5756" s="13">
        <f>IFERROR(__xludf.DUMMYFUNCTION("""COMPUTED_VALUE"""),0.8333333333333334)</f>
        <v>0.8333333333</v>
      </c>
      <c r="D5756" s="8">
        <f>IFERROR(__xludf.DUMMYFUNCTION("""COMPUTED_VALUE"""),0.31)</f>
        <v>0.31</v>
      </c>
      <c r="E5756" s="8" t="str">
        <f>IFERROR(__xludf.DUMMYFUNCTION("""COMPUTED_VALUE"""),"Real")</f>
        <v>Real</v>
      </c>
      <c r="G5756" s="8">
        <f t="shared" si="1"/>
        <v>6</v>
      </c>
      <c r="H5756" s="14">
        <f t="shared" si="2"/>
        <v>28</v>
      </c>
      <c r="I5756" s="15">
        <f t="shared" si="3"/>
        <v>20</v>
      </c>
    </row>
    <row r="5757">
      <c r="A5757" s="8" t="str">
        <f>IFERROR(__xludf.DUMMYFUNCTION("IF('(INGESTA)Datos_consumo_datadis'!A5757&lt;&gt;"""",SPLIT('(INGESTA)Datos_consumo_datadis'!A:A,"",""),"""")"),"ES0031408323131005HX0F")</f>
        <v>ES0031408323131005HX0F</v>
      </c>
      <c r="B5757" s="12">
        <f>IFERROR(__xludf.DUMMYFUNCTION("""COMPUTED_VALUE"""),45105.0)</f>
        <v>45105</v>
      </c>
      <c r="C5757" s="13">
        <f>IFERROR(__xludf.DUMMYFUNCTION("""COMPUTED_VALUE"""),0.875)</f>
        <v>0.875</v>
      </c>
      <c r="D5757" s="8">
        <f>IFERROR(__xludf.DUMMYFUNCTION("""COMPUTED_VALUE"""),0.073)</f>
        <v>0.073</v>
      </c>
      <c r="E5757" s="8" t="str">
        <f>IFERROR(__xludf.DUMMYFUNCTION("""COMPUTED_VALUE"""),"Real")</f>
        <v>Real</v>
      </c>
      <c r="G5757" s="8">
        <f t="shared" si="1"/>
        <v>6</v>
      </c>
      <c r="H5757" s="14">
        <f t="shared" si="2"/>
        <v>28</v>
      </c>
      <c r="I5757" s="15">
        <f t="shared" si="3"/>
        <v>21</v>
      </c>
    </row>
    <row r="5758">
      <c r="A5758" s="8" t="str">
        <f>IFERROR(__xludf.DUMMYFUNCTION("IF('(INGESTA)Datos_consumo_datadis'!A5758&lt;&gt;"""",SPLIT('(INGESTA)Datos_consumo_datadis'!A:A,"",""),"""")"),"ES0031408323131005HX0F")</f>
        <v>ES0031408323131005HX0F</v>
      </c>
      <c r="B5758" s="12">
        <f>IFERROR(__xludf.DUMMYFUNCTION("""COMPUTED_VALUE"""),45105.0)</f>
        <v>45105</v>
      </c>
      <c r="C5758" s="13">
        <f>IFERROR(__xludf.DUMMYFUNCTION("""COMPUTED_VALUE"""),0.9166666666666666)</f>
        <v>0.9166666667</v>
      </c>
      <c r="D5758" s="8">
        <f>IFERROR(__xludf.DUMMYFUNCTION("""COMPUTED_VALUE"""),0.112)</f>
        <v>0.112</v>
      </c>
      <c r="E5758" s="8" t="str">
        <f>IFERROR(__xludf.DUMMYFUNCTION("""COMPUTED_VALUE"""),"Real")</f>
        <v>Real</v>
      </c>
      <c r="G5758" s="8">
        <f t="shared" si="1"/>
        <v>6</v>
      </c>
      <c r="H5758" s="14">
        <f t="shared" si="2"/>
        <v>28</v>
      </c>
      <c r="I5758" s="15">
        <f t="shared" si="3"/>
        <v>22</v>
      </c>
    </row>
    <row r="5759">
      <c r="A5759" s="8" t="str">
        <f>IFERROR(__xludf.DUMMYFUNCTION("IF('(INGESTA)Datos_consumo_datadis'!A5759&lt;&gt;"""",SPLIT('(INGESTA)Datos_consumo_datadis'!A:A,"",""),"""")"),"ES0031408323131005HX0F")</f>
        <v>ES0031408323131005HX0F</v>
      </c>
      <c r="B5759" s="12">
        <f>IFERROR(__xludf.DUMMYFUNCTION("""COMPUTED_VALUE"""),45105.0)</f>
        <v>45105</v>
      </c>
      <c r="C5759" s="13">
        <f>IFERROR(__xludf.DUMMYFUNCTION("""COMPUTED_VALUE"""),0.9583333333333334)</f>
        <v>0.9583333333</v>
      </c>
      <c r="D5759" s="8">
        <f>IFERROR(__xludf.DUMMYFUNCTION("""COMPUTED_VALUE"""),0.068)</f>
        <v>0.068</v>
      </c>
      <c r="E5759" s="8" t="str">
        <f>IFERROR(__xludf.DUMMYFUNCTION("""COMPUTED_VALUE"""),"Real")</f>
        <v>Real</v>
      </c>
      <c r="G5759" s="8">
        <f t="shared" si="1"/>
        <v>6</v>
      </c>
      <c r="H5759" s="14">
        <f t="shared" si="2"/>
        <v>28</v>
      </c>
      <c r="I5759" s="15">
        <f t="shared" si="3"/>
        <v>23</v>
      </c>
    </row>
    <row r="5760">
      <c r="A5760" s="8" t="str">
        <f>IFERROR(__xludf.DUMMYFUNCTION("IF('(INGESTA)Datos_consumo_datadis'!A5760&lt;&gt;"""",SPLIT('(INGESTA)Datos_consumo_datadis'!A:A,"",""),"""")"),"ES0031408323131005HX0F")</f>
        <v>ES0031408323131005HX0F</v>
      </c>
      <c r="B5760" s="12">
        <f>IFERROR(__xludf.DUMMYFUNCTION("""COMPUTED_VALUE"""),45105.0)</f>
        <v>45105</v>
      </c>
      <c r="C5760" s="16">
        <f>IFERROR(__xludf.DUMMYFUNCTION("""COMPUTED_VALUE"""),1.0)</f>
        <v>1</v>
      </c>
      <c r="D5760" s="8">
        <f>IFERROR(__xludf.DUMMYFUNCTION("""COMPUTED_VALUE"""),0.056)</f>
        <v>0.056</v>
      </c>
      <c r="E5760" s="8" t="str">
        <f>IFERROR(__xludf.DUMMYFUNCTION("""COMPUTED_VALUE"""),"Real")</f>
        <v>Real</v>
      </c>
      <c r="G5760" s="8">
        <f t="shared" si="1"/>
        <v>6</v>
      </c>
      <c r="H5760" s="14">
        <f t="shared" si="2"/>
        <v>28</v>
      </c>
      <c r="I5760" s="15">
        <f t="shared" si="3"/>
        <v>0</v>
      </c>
    </row>
    <row r="5761">
      <c r="A5761" s="8" t="str">
        <f>IFERROR(__xludf.DUMMYFUNCTION("IF('(INGESTA)Datos_consumo_datadis'!A5761&lt;&gt;"""",SPLIT('(INGESTA)Datos_consumo_datadis'!A:A,"",""),"""")"),"ES0031408323131005HX0F")</f>
        <v>ES0031408323131005HX0F</v>
      </c>
      <c r="B5761" s="12">
        <f>IFERROR(__xludf.DUMMYFUNCTION("""COMPUTED_VALUE"""),45106.0)</f>
        <v>45106</v>
      </c>
      <c r="C5761" s="13">
        <f>IFERROR(__xludf.DUMMYFUNCTION("""COMPUTED_VALUE"""),0.041666666666666664)</f>
        <v>0.04166666667</v>
      </c>
      <c r="D5761" s="8">
        <f>IFERROR(__xludf.DUMMYFUNCTION("""COMPUTED_VALUE"""),0.009)</f>
        <v>0.009</v>
      </c>
      <c r="E5761" s="8" t="str">
        <f>IFERROR(__xludf.DUMMYFUNCTION("""COMPUTED_VALUE"""),"Real")</f>
        <v>Real</v>
      </c>
      <c r="G5761" s="8">
        <f t="shared" si="1"/>
        <v>6</v>
      </c>
      <c r="H5761" s="14">
        <f t="shared" si="2"/>
        <v>29</v>
      </c>
      <c r="I5761" s="15">
        <f t="shared" si="3"/>
        <v>1</v>
      </c>
    </row>
    <row r="5762">
      <c r="A5762" s="8" t="str">
        <f>IFERROR(__xludf.DUMMYFUNCTION("IF('(INGESTA)Datos_consumo_datadis'!A5762&lt;&gt;"""",SPLIT('(INGESTA)Datos_consumo_datadis'!A:A,"",""),"""")"),"ES0031408323131005HX0F")</f>
        <v>ES0031408323131005HX0F</v>
      </c>
      <c r="B5762" s="12">
        <f>IFERROR(__xludf.DUMMYFUNCTION("""COMPUTED_VALUE"""),45106.0)</f>
        <v>45106</v>
      </c>
      <c r="C5762" s="13">
        <f>IFERROR(__xludf.DUMMYFUNCTION("""COMPUTED_VALUE"""),0.08333333333333333)</f>
        <v>0.08333333333</v>
      </c>
      <c r="D5762" s="8">
        <f>IFERROR(__xludf.DUMMYFUNCTION("""COMPUTED_VALUE"""),0.104)</f>
        <v>0.104</v>
      </c>
      <c r="E5762" s="8" t="str">
        <f>IFERROR(__xludf.DUMMYFUNCTION("""COMPUTED_VALUE"""),"Real")</f>
        <v>Real</v>
      </c>
      <c r="G5762" s="8">
        <f t="shared" si="1"/>
        <v>6</v>
      </c>
      <c r="H5762" s="14">
        <f t="shared" si="2"/>
        <v>29</v>
      </c>
      <c r="I5762" s="15">
        <f t="shared" si="3"/>
        <v>2</v>
      </c>
    </row>
    <row r="5763">
      <c r="A5763" s="8" t="str">
        <f>IFERROR(__xludf.DUMMYFUNCTION("IF('(INGESTA)Datos_consumo_datadis'!A5763&lt;&gt;"""",SPLIT('(INGESTA)Datos_consumo_datadis'!A:A,"",""),"""")"),"ES0031408323131005HX0F")</f>
        <v>ES0031408323131005HX0F</v>
      </c>
      <c r="B5763" s="12">
        <f>IFERROR(__xludf.DUMMYFUNCTION("""COMPUTED_VALUE"""),45106.0)</f>
        <v>45106</v>
      </c>
      <c r="C5763" s="13">
        <f>IFERROR(__xludf.DUMMYFUNCTION("""COMPUTED_VALUE"""),0.125)</f>
        <v>0.125</v>
      </c>
      <c r="D5763" s="8">
        <f>IFERROR(__xludf.DUMMYFUNCTION("""COMPUTED_VALUE"""),0.108)</f>
        <v>0.108</v>
      </c>
      <c r="E5763" s="8" t="str">
        <f>IFERROR(__xludf.DUMMYFUNCTION("""COMPUTED_VALUE"""),"Real")</f>
        <v>Real</v>
      </c>
      <c r="G5763" s="8">
        <f t="shared" si="1"/>
        <v>6</v>
      </c>
      <c r="H5763" s="14">
        <f t="shared" si="2"/>
        <v>29</v>
      </c>
      <c r="I5763" s="15">
        <f t="shared" si="3"/>
        <v>3</v>
      </c>
    </row>
    <row r="5764">
      <c r="A5764" s="8" t="str">
        <f>IFERROR(__xludf.DUMMYFUNCTION("IF('(INGESTA)Datos_consumo_datadis'!A5764&lt;&gt;"""",SPLIT('(INGESTA)Datos_consumo_datadis'!A:A,"",""),"""")"),"ES0031408323131005HX0F")</f>
        <v>ES0031408323131005HX0F</v>
      </c>
      <c r="B5764" s="12">
        <f>IFERROR(__xludf.DUMMYFUNCTION("""COMPUTED_VALUE"""),45106.0)</f>
        <v>45106</v>
      </c>
      <c r="C5764" s="13">
        <f>IFERROR(__xludf.DUMMYFUNCTION("""COMPUTED_VALUE"""),0.16666666666666666)</f>
        <v>0.1666666667</v>
      </c>
      <c r="D5764" s="8">
        <f>IFERROR(__xludf.DUMMYFUNCTION("""COMPUTED_VALUE"""),0.106)</f>
        <v>0.106</v>
      </c>
      <c r="E5764" s="8" t="str">
        <f>IFERROR(__xludf.DUMMYFUNCTION("""COMPUTED_VALUE"""),"Real")</f>
        <v>Real</v>
      </c>
      <c r="G5764" s="8">
        <f t="shared" si="1"/>
        <v>6</v>
      </c>
      <c r="H5764" s="14">
        <f t="shared" si="2"/>
        <v>29</v>
      </c>
      <c r="I5764" s="15">
        <f t="shared" si="3"/>
        <v>4</v>
      </c>
    </row>
    <row r="5765">
      <c r="A5765" s="8" t="str">
        <f>IFERROR(__xludf.DUMMYFUNCTION("IF('(INGESTA)Datos_consumo_datadis'!A5765&lt;&gt;"""",SPLIT('(INGESTA)Datos_consumo_datadis'!A:A,"",""),"""")"),"ES0031408323131005HX0F")</f>
        <v>ES0031408323131005HX0F</v>
      </c>
      <c r="B5765" s="12">
        <f>IFERROR(__xludf.DUMMYFUNCTION("""COMPUTED_VALUE"""),45106.0)</f>
        <v>45106</v>
      </c>
      <c r="C5765" s="13">
        <f>IFERROR(__xludf.DUMMYFUNCTION("""COMPUTED_VALUE"""),0.20833333333333334)</f>
        <v>0.2083333333</v>
      </c>
      <c r="D5765" s="8">
        <f>IFERROR(__xludf.DUMMYFUNCTION("""COMPUTED_VALUE"""),0.314)</f>
        <v>0.314</v>
      </c>
      <c r="E5765" s="8" t="str">
        <f>IFERROR(__xludf.DUMMYFUNCTION("""COMPUTED_VALUE"""),"Real")</f>
        <v>Real</v>
      </c>
      <c r="G5765" s="8">
        <f t="shared" si="1"/>
        <v>6</v>
      </c>
      <c r="H5765" s="14">
        <f t="shared" si="2"/>
        <v>29</v>
      </c>
      <c r="I5765" s="15">
        <f t="shared" si="3"/>
        <v>5</v>
      </c>
    </row>
    <row r="5766">
      <c r="A5766" s="8" t="str">
        <f>IFERROR(__xludf.DUMMYFUNCTION("IF('(INGESTA)Datos_consumo_datadis'!A5766&lt;&gt;"""",SPLIT('(INGESTA)Datos_consumo_datadis'!A:A,"",""),"""")"),"ES0031408323131005HX0F")</f>
        <v>ES0031408323131005HX0F</v>
      </c>
      <c r="B5766" s="12">
        <f>IFERROR(__xludf.DUMMYFUNCTION("""COMPUTED_VALUE"""),45106.0)</f>
        <v>45106</v>
      </c>
      <c r="C5766" s="13">
        <f>IFERROR(__xludf.DUMMYFUNCTION("""COMPUTED_VALUE"""),0.25)</f>
        <v>0.25</v>
      </c>
      <c r="D5766" s="8">
        <f>IFERROR(__xludf.DUMMYFUNCTION("""COMPUTED_VALUE"""),0.029)</f>
        <v>0.029</v>
      </c>
      <c r="E5766" s="8" t="str">
        <f>IFERROR(__xludf.DUMMYFUNCTION("""COMPUTED_VALUE"""),"Real")</f>
        <v>Real</v>
      </c>
      <c r="G5766" s="8">
        <f t="shared" si="1"/>
        <v>6</v>
      </c>
      <c r="H5766" s="14">
        <f t="shared" si="2"/>
        <v>29</v>
      </c>
      <c r="I5766" s="15">
        <f t="shared" si="3"/>
        <v>6</v>
      </c>
    </row>
    <row r="5767">
      <c r="A5767" s="8" t="str">
        <f>IFERROR(__xludf.DUMMYFUNCTION("IF('(INGESTA)Datos_consumo_datadis'!A5767&lt;&gt;"""",SPLIT('(INGESTA)Datos_consumo_datadis'!A:A,"",""),"""")"),"ES0031408323131005HX0F")</f>
        <v>ES0031408323131005HX0F</v>
      </c>
      <c r="B5767" s="12">
        <f>IFERROR(__xludf.DUMMYFUNCTION("""COMPUTED_VALUE"""),45106.0)</f>
        <v>45106</v>
      </c>
      <c r="C5767" s="13">
        <f>IFERROR(__xludf.DUMMYFUNCTION("""COMPUTED_VALUE"""),0.2916666666666667)</f>
        <v>0.2916666667</v>
      </c>
      <c r="D5767" s="8">
        <f>IFERROR(__xludf.DUMMYFUNCTION("""COMPUTED_VALUE"""),0.118)</f>
        <v>0.118</v>
      </c>
      <c r="E5767" s="8" t="str">
        <f>IFERROR(__xludf.DUMMYFUNCTION("""COMPUTED_VALUE"""),"Real")</f>
        <v>Real</v>
      </c>
      <c r="G5767" s="8">
        <f t="shared" si="1"/>
        <v>6</v>
      </c>
      <c r="H5767" s="14">
        <f t="shared" si="2"/>
        <v>29</v>
      </c>
      <c r="I5767" s="15">
        <f t="shared" si="3"/>
        <v>7</v>
      </c>
    </row>
    <row r="5768">
      <c r="A5768" s="8" t="str">
        <f>IFERROR(__xludf.DUMMYFUNCTION("IF('(INGESTA)Datos_consumo_datadis'!A5768&lt;&gt;"""",SPLIT('(INGESTA)Datos_consumo_datadis'!A:A,"",""),"""")"),"ES0031408323131005HX0F")</f>
        <v>ES0031408323131005HX0F</v>
      </c>
      <c r="B5768" s="12">
        <f>IFERROR(__xludf.DUMMYFUNCTION("""COMPUTED_VALUE"""),45106.0)</f>
        <v>45106</v>
      </c>
      <c r="C5768" s="13">
        <f>IFERROR(__xludf.DUMMYFUNCTION("""COMPUTED_VALUE"""),0.3333333333333333)</f>
        <v>0.3333333333</v>
      </c>
      <c r="D5768" s="8">
        <f>IFERROR(__xludf.DUMMYFUNCTION("""COMPUTED_VALUE"""),0.144)</f>
        <v>0.144</v>
      </c>
      <c r="E5768" s="8" t="str">
        <f>IFERROR(__xludf.DUMMYFUNCTION("""COMPUTED_VALUE"""),"Real")</f>
        <v>Real</v>
      </c>
      <c r="G5768" s="8">
        <f t="shared" si="1"/>
        <v>6</v>
      </c>
      <c r="H5768" s="14">
        <f t="shared" si="2"/>
        <v>29</v>
      </c>
      <c r="I5768" s="15">
        <f t="shared" si="3"/>
        <v>8</v>
      </c>
    </row>
    <row r="5769">
      <c r="A5769" s="8" t="str">
        <f>IFERROR(__xludf.DUMMYFUNCTION("IF('(INGESTA)Datos_consumo_datadis'!A5769&lt;&gt;"""",SPLIT('(INGESTA)Datos_consumo_datadis'!A:A,"",""),"""")"),"ES0031408323131005HX0F")</f>
        <v>ES0031408323131005HX0F</v>
      </c>
      <c r="B5769" s="12">
        <f>IFERROR(__xludf.DUMMYFUNCTION("""COMPUTED_VALUE"""),45106.0)</f>
        <v>45106</v>
      </c>
      <c r="C5769" s="13">
        <f>IFERROR(__xludf.DUMMYFUNCTION("""COMPUTED_VALUE"""),0.375)</f>
        <v>0.375</v>
      </c>
      <c r="D5769" s="8">
        <f>IFERROR(__xludf.DUMMYFUNCTION("""COMPUTED_VALUE"""),0.118)</f>
        <v>0.118</v>
      </c>
      <c r="E5769" s="8" t="str">
        <f>IFERROR(__xludf.DUMMYFUNCTION("""COMPUTED_VALUE"""),"Real")</f>
        <v>Real</v>
      </c>
      <c r="G5769" s="8">
        <f t="shared" si="1"/>
        <v>6</v>
      </c>
      <c r="H5769" s="14">
        <f t="shared" si="2"/>
        <v>29</v>
      </c>
      <c r="I5769" s="15">
        <f t="shared" si="3"/>
        <v>9</v>
      </c>
    </row>
    <row r="5770">
      <c r="A5770" s="8" t="str">
        <f>IFERROR(__xludf.DUMMYFUNCTION("IF('(INGESTA)Datos_consumo_datadis'!A5770&lt;&gt;"""",SPLIT('(INGESTA)Datos_consumo_datadis'!A:A,"",""),"""")"),"ES0031408323131005HX0F")</f>
        <v>ES0031408323131005HX0F</v>
      </c>
      <c r="B5770" s="12">
        <f>IFERROR(__xludf.DUMMYFUNCTION("""COMPUTED_VALUE"""),45106.0)</f>
        <v>45106</v>
      </c>
      <c r="C5770" s="13">
        <f>IFERROR(__xludf.DUMMYFUNCTION("""COMPUTED_VALUE"""),0.4166666666666667)</f>
        <v>0.4166666667</v>
      </c>
      <c r="D5770" s="8">
        <f>IFERROR(__xludf.DUMMYFUNCTION("""COMPUTED_VALUE"""),0.093)</f>
        <v>0.093</v>
      </c>
      <c r="E5770" s="8" t="str">
        <f>IFERROR(__xludf.DUMMYFUNCTION("""COMPUTED_VALUE"""),"Real")</f>
        <v>Real</v>
      </c>
      <c r="G5770" s="8">
        <f t="shared" si="1"/>
        <v>6</v>
      </c>
      <c r="H5770" s="14">
        <f t="shared" si="2"/>
        <v>29</v>
      </c>
      <c r="I5770" s="15">
        <f t="shared" si="3"/>
        <v>10</v>
      </c>
    </row>
    <row r="5771">
      <c r="A5771" s="8" t="str">
        <f>IFERROR(__xludf.DUMMYFUNCTION("IF('(INGESTA)Datos_consumo_datadis'!A5771&lt;&gt;"""",SPLIT('(INGESTA)Datos_consumo_datadis'!A:A,"",""),"""")"),"ES0031408323131005HX0F")</f>
        <v>ES0031408323131005HX0F</v>
      </c>
      <c r="B5771" s="12">
        <f>IFERROR(__xludf.DUMMYFUNCTION("""COMPUTED_VALUE"""),45106.0)</f>
        <v>45106</v>
      </c>
      <c r="C5771" s="13">
        <f>IFERROR(__xludf.DUMMYFUNCTION("""COMPUTED_VALUE"""),0.4583333333333333)</f>
        <v>0.4583333333</v>
      </c>
      <c r="D5771" s="8">
        <f>IFERROR(__xludf.DUMMYFUNCTION("""COMPUTED_VALUE"""),0.066)</f>
        <v>0.066</v>
      </c>
      <c r="E5771" s="8" t="str">
        <f>IFERROR(__xludf.DUMMYFUNCTION("""COMPUTED_VALUE"""),"Real")</f>
        <v>Real</v>
      </c>
      <c r="G5771" s="8">
        <f t="shared" si="1"/>
        <v>6</v>
      </c>
      <c r="H5771" s="14">
        <f t="shared" si="2"/>
        <v>29</v>
      </c>
      <c r="I5771" s="15">
        <f t="shared" si="3"/>
        <v>11</v>
      </c>
    </row>
    <row r="5772">
      <c r="A5772" s="8" t="str">
        <f>IFERROR(__xludf.DUMMYFUNCTION("IF('(INGESTA)Datos_consumo_datadis'!A5772&lt;&gt;"""",SPLIT('(INGESTA)Datos_consumo_datadis'!A:A,"",""),"""")"),"ES0031408323131005HX0F")</f>
        <v>ES0031408323131005HX0F</v>
      </c>
      <c r="B5772" s="12">
        <f>IFERROR(__xludf.DUMMYFUNCTION("""COMPUTED_VALUE"""),45106.0)</f>
        <v>45106</v>
      </c>
      <c r="C5772" s="13">
        <f>IFERROR(__xludf.DUMMYFUNCTION("""COMPUTED_VALUE"""),0.5)</f>
        <v>0.5</v>
      </c>
      <c r="D5772" s="8">
        <f>IFERROR(__xludf.DUMMYFUNCTION("""COMPUTED_VALUE"""),0.062)</f>
        <v>0.062</v>
      </c>
      <c r="E5772" s="8" t="str">
        <f>IFERROR(__xludf.DUMMYFUNCTION("""COMPUTED_VALUE"""),"Real")</f>
        <v>Real</v>
      </c>
      <c r="G5772" s="8">
        <f t="shared" si="1"/>
        <v>6</v>
      </c>
      <c r="H5772" s="14">
        <f t="shared" si="2"/>
        <v>29</v>
      </c>
      <c r="I5772" s="15">
        <f t="shared" si="3"/>
        <v>12</v>
      </c>
    </row>
    <row r="5773">
      <c r="A5773" s="8" t="str">
        <f>IFERROR(__xludf.DUMMYFUNCTION("IF('(INGESTA)Datos_consumo_datadis'!A5773&lt;&gt;"""",SPLIT('(INGESTA)Datos_consumo_datadis'!A:A,"",""),"""")"),"ES0031408323131005HX0F")</f>
        <v>ES0031408323131005HX0F</v>
      </c>
      <c r="B5773" s="12">
        <f>IFERROR(__xludf.DUMMYFUNCTION("""COMPUTED_VALUE"""),45106.0)</f>
        <v>45106</v>
      </c>
      <c r="C5773" s="13">
        <f>IFERROR(__xludf.DUMMYFUNCTION("""COMPUTED_VALUE"""),0.5416666666666666)</f>
        <v>0.5416666667</v>
      </c>
      <c r="D5773" s="8">
        <f>IFERROR(__xludf.DUMMYFUNCTION("""COMPUTED_VALUE"""),0.307)</f>
        <v>0.307</v>
      </c>
      <c r="E5773" s="8" t="str">
        <f>IFERROR(__xludf.DUMMYFUNCTION("""COMPUTED_VALUE"""),"Real")</f>
        <v>Real</v>
      </c>
      <c r="G5773" s="8">
        <f t="shared" si="1"/>
        <v>6</v>
      </c>
      <c r="H5773" s="14">
        <f t="shared" si="2"/>
        <v>29</v>
      </c>
      <c r="I5773" s="15">
        <f t="shared" si="3"/>
        <v>13</v>
      </c>
    </row>
    <row r="5774">
      <c r="A5774" s="8" t="str">
        <f>IFERROR(__xludf.DUMMYFUNCTION("IF('(INGESTA)Datos_consumo_datadis'!A5774&lt;&gt;"""",SPLIT('(INGESTA)Datos_consumo_datadis'!A:A,"",""),"""")"),"ES0031408323131005HX0F")</f>
        <v>ES0031408323131005HX0F</v>
      </c>
      <c r="B5774" s="12">
        <f>IFERROR(__xludf.DUMMYFUNCTION("""COMPUTED_VALUE"""),45106.0)</f>
        <v>45106</v>
      </c>
      <c r="C5774" s="13">
        <f>IFERROR(__xludf.DUMMYFUNCTION("""COMPUTED_VALUE"""),0.5833333333333334)</f>
        <v>0.5833333333</v>
      </c>
      <c r="D5774" s="8">
        <f>IFERROR(__xludf.DUMMYFUNCTION("""COMPUTED_VALUE"""),0.153)</f>
        <v>0.153</v>
      </c>
      <c r="E5774" s="8" t="str">
        <f>IFERROR(__xludf.DUMMYFUNCTION("""COMPUTED_VALUE"""),"Real")</f>
        <v>Real</v>
      </c>
      <c r="G5774" s="8">
        <f t="shared" si="1"/>
        <v>6</v>
      </c>
      <c r="H5774" s="14">
        <f t="shared" si="2"/>
        <v>29</v>
      </c>
      <c r="I5774" s="15">
        <f t="shared" si="3"/>
        <v>14</v>
      </c>
    </row>
    <row r="5775">
      <c r="A5775" s="8" t="str">
        <f>IFERROR(__xludf.DUMMYFUNCTION("IF('(INGESTA)Datos_consumo_datadis'!A5775&lt;&gt;"""",SPLIT('(INGESTA)Datos_consumo_datadis'!A:A,"",""),"""")"),"ES0031408323131005HX0F")</f>
        <v>ES0031408323131005HX0F</v>
      </c>
      <c r="B5775" s="12">
        <f>IFERROR(__xludf.DUMMYFUNCTION("""COMPUTED_VALUE"""),45106.0)</f>
        <v>45106</v>
      </c>
      <c r="C5775" s="13">
        <f>IFERROR(__xludf.DUMMYFUNCTION("""COMPUTED_VALUE"""),0.625)</f>
        <v>0.625</v>
      </c>
      <c r="D5775" s="8">
        <f>IFERROR(__xludf.DUMMYFUNCTION("""COMPUTED_VALUE"""),0.052)</f>
        <v>0.052</v>
      </c>
      <c r="E5775" s="8" t="str">
        <f>IFERROR(__xludf.DUMMYFUNCTION("""COMPUTED_VALUE"""),"Real")</f>
        <v>Real</v>
      </c>
      <c r="G5775" s="8">
        <f t="shared" si="1"/>
        <v>6</v>
      </c>
      <c r="H5775" s="14">
        <f t="shared" si="2"/>
        <v>29</v>
      </c>
      <c r="I5775" s="15">
        <f t="shared" si="3"/>
        <v>15</v>
      </c>
    </row>
    <row r="5776">
      <c r="A5776" s="8" t="str">
        <f>IFERROR(__xludf.DUMMYFUNCTION("IF('(INGESTA)Datos_consumo_datadis'!A5776&lt;&gt;"""",SPLIT('(INGESTA)Datos_consumo_datadis'!A:A,"",""),"""")"),"ES0031408323131005HX0F")</f>
        <v>ES0031408323131005HX0F</v>
      </c>
      <c r="B5776" s="12">
        <f>IFERROR(__xludf.DUMMYFUNCTION("""COMPUTED_VALUE"""),45106.0)</f>
        <v>45106</v>
      </c>
      <c r="C5776" s="13">
        <f>IFERROR(__xludf.DUMMYFUNCTION("""COMPUTED_VALUE"""),0.6666666666666666)</f>
        <v>0.6666666667</v>
      </c>
      <c r="D5776" s="8">
        <f>IFERROR(__xludf.DUMMYFUNCTION("""COMPUTED_VALUE"""),0.107)</f>
        <v>0.107</v>
      </c>
      <c r="E5776" s="8" t="str">
        <f>IFERROR(__xludf.DUMMYFUNCTION("""COMPUTED_VALUE"""),"Real")</f>
        <v>Real</v>
      </c>
      <c r="G5776" s="8">
        <f t="shared" si="1"/>
        <v>6</v>
      </c>
      <c r="H5776" s="14">
        <f t="shared" si="2"/>
        <v>29</v>
      </c>
      <c r="I5776" s="15">
        <f t="shared" si="3"/>
        <v>16</v>
      </c>
    </row>
    <row r="5777">
      <c r="A5777" s="8" t="str">
        <f>IFERROR(__xludf.DUMMYFUNCTION("IF('(INGESTA)Datos_consumo_datadis'!A5777&lt;&gt;"""",SPLIT('(INGESTA)Datos_consumo_datadis'!A:A,"",""),"""")"),"ES0031408323131005HX0F")</f>
        <v>ES0031408323131005HX0F</v>
      </c>
      <c r="B5777" s="12">
        <f>IFERROR(__xludf.DUMMYFUNCTION("""COMPUTED_VALUE"""),45106.0)</f>
        <v>45106</v>
      </c>
      <c r="C5777" s="13">
        <f>IFERROR(__xludf.DUMMYFUNCTION("""COMPUTED_VALUE"""),0.7083333333333334)</f>
        <v>0.7083333333</v>
      </c>
      <c r="D5777" s="8">
        <f>IFERROR(__xludf.DUMMYFUNCTION("""COMPUTED_VALUE"""),0.072)</f>
        <v>0.072</v>
      </c>
      <c r="E5777" s="8" t="str">
        <f>IFERROR(__xludf.DUMMYFUNCTION("""COMPUTED_VALUE"""),"Real")</f>
        <v>Real</v>
      </c>
      <c r="G5777" s="8">
        <f t="shared" si="1"/>
        <v>6</v>
      </c>
      <c r="H5777" s="14">
        <f t="shared" si="2"/>
        <v>29</v>
      </c>
      <c r="I5777" s="15">
        <f t="shared" si="3"/>
        <v>17</v>
      </c>
    </row>
    <row r="5778">
      <c r="A5778" s="8" t="str">
        <f>IFERROR(__xludf.DUMMYFUNCTION("IF('(INGESTA)Datos_consumo_datadis'!A5778&lt;&gt;"""",SPLIT('(INGESTA)Datos_consumo_datadis'!A:A,"",""),"""")"),"ES0031408323131005HX0F")</f>
        <v>ES0031408323131005HX0F</v>
      </c>
      <c r="B5778" s="12">
        <f>IFERROR(__xludf.DUMMYFUNCTION("""COMPUTED_VALUE"""),45106.0)</f>
        <v>45106</v>
      </c>
      <c r="C5778" s="13">
        <f>IFERROR(__xludf.DUMMYFUNCTION("""COMPUTED_VALUE"""),0.75)</f>
        <v>0.75</v>
      </c>
      <c r="D5778" s="8">
        <f>IFERROR(__xludf.DUMMYFUNCTION("""COMPUTED_VALUE"""),0.039)</f>
        <v>0.039</v>
      </c>
      <c r="E5778" s="8" t="str">
        <f>IFERROR(__xludf.DUMMYFUNCTION("""COMPUTED_VALUE"""),"Real")</f>
        <v>Real</v>
      </c>
      <c r="G5778" s="8">
        <f t="shared" si="1"/>
        <v>6</v>
      </c>
      <c r="H5778" s="14">
        <f t="shared" si="2"/>
        <v>29</v>
      </c>
      <c r="I5778" s="15">
        <f t="shared" si="3"/>
        <v>18</v>
      </c>
    </row>
    <row r="5779">
      <c r="A5779" s="8" t="str">
        <f>IFERROR(__xludf.DUMMYFUNCTION("IF('(INGESTA)Datos_consumo_datadis'!A5779&lt;&gt;"""",SPLIT('(INGESTA)Datos_consumo_datadis'!A:A,"",""),"""")"),"ES0031408323131005HX0F")</f>
        <v>ES0031408323131005HX0F</v>
      </c>
      <c r="B5779" s="12">
        <f>IFERROR(__xludf.DUMMYFUNCTION("""COMPUTED_VALUE"""),45106.0)</f>
        <v>45106</v>
      </c>
      <c r="C5779" s="13">
        <f>IFERROR(__xludf.DUMMYFUNCTION("""COMPUTED_VALUE"""),0.7916666666666666)</f>
        <v>0.7916666667</v>
      </c>
      <c r="D5779" s="8">
        <f>IFERROR(__xludf.DUMMYFUNCTION("""COMPUTED_VALUE"""),0.113)</f>
        <v>0.113</v>
      </c>
      <c r="E5779" s="8" t="str">
        <f>IFERROR(__xludf.DUMMYFUNCTION("""COMPUTED_VALUE"""),"Real")</f>
        <v>Real</v>
      </c>
      <c r="G5779" s="8">
        <f t="shared" si="1"/>
        <v>6</v>
      </c>
      <c r="H5779" s="14">
        <f t="shared" si="2"/>
        <v>29</v>
      </c>
      <c r="I5779" s="15">
        <f t="shared" si="3"/>
        <v>19</v>
      </c>
    </row>
    <row r="5780">
      <c r="A5780" s="8" t="str">
        <f>IFERROR(__xludf.DUMMYFUNCTION("IF('(INGESTA)Datos_consumo_datadis'!A5780&lt;&gt;"""",SPLIT('(INGESTA)Datos_consumo_datadis'!A:A,"",""),"""")"),"ES0031408323131005HX0F")</f>
        <v>ES0031408323131005HX0F</v>
      </c>
      <c r="B5780" s="12">
        <f>IFERROR(__xludf.DUMMYFUNCTION("""COMPUTED_VALUE"""),45106.0)</f>
        <v>45106</v>
      </c>
      <c r="C5780" s="13">
        <f>IFERROR(__xludf.DUMMYFUNCTION("""COMPUTED_VALUE"""),0.8333333333333334)</f>
        <v>0.8333333333</v>
      </c>
      <c r="D5780" s="8">
        <f>IFERROR(__xludf.DUMMYFUNCTION("""COMPUTED_VALUE"""),0.081)</f>
        <v>0.081</v>
      </c>
      <c r="E5780" s="8" t="str">
        <f>IFERROR(__xludf.DUMMYFUNCTION("""COMPUTED_VALUE"""),"Real")</f>
        <v>Real</v>
      </c>
      <c r="G5780" s="8">
        <f t="shared" si="1"/>
        <v>6</v>
      </c>
      <c r="H5780" s="14">
        <f t="shared" si="2"/>
        <v>29</v>
      </c>
      <c r="I5780" s="15">
        <f t="shared" si="3"/>
        <v>20</v>
      </c>
    </row>
    <row r="5781">
      <c r="A5781" s="8" t="str">
        <f>IFERROR(__xludf.DUMMYFUNCTION("IF('(INGESTA)Datos_consumo_datadis'!A5781&lt;&gt;"""",SPLIT('(INGESTA)Datos_consumo_datadis'!A:A,"",""),"""")"),"ES0031408323131005HX0F")</f>
        <v>ES0031408323131005HX0F</v>
      </c>
      <c r="B5781" s="12">
        <f>IFERROR(__xludf.DUMMYFUNCTION("""COMPUTED_VALUE"""),45106.0)</f>
        <v>45106</v>
      </c>
      <c r="C5781" s="13">
        <f>IFERROR(__xludf.DUMMYFUNCTION("""COMPUTED_VALUE"""),0.875)</f>
        <v>0.875</v>
      </c>
      <c r="D5781" s="8">
        <f>IFERROR(__xludf.DUMMYFUNCTION("""COMPUTED_VALUE"""),0.025)</f>
        <v>0.025</v>
      </c>
      <c r="E5781" s="8" t="str">
        <f>IFERROR(__xludf.DUMMYFUNCTION("""COMPUTED_VALUE"""),"Real")</f>
        <v>Real</v>
      </c>
      <c r="G5781" s="8">
        <f t="shared" si="1"/>
        <v>6</v>
      </c>
      <c r="H5781" s="14">
        <f t="shared" si="2"/>
        <v>29</v>
      </c>
      <c r="I5781" s="15">
        <f t="shared" si="3"/>
        <v>21</v>
      </c>
    </row>
    <row r="5782">
      <c r="A5782" s="8" t="str">
        <f>IFERROR(__xludf.DUMMYFUNCTION("IF('(INGESTA)Datos_consumo_datadis'!A5782&lt;&gt;"""",SPLIT('(INGESTA)Datos_consumo_datadis'!A:A,"",""),"""")"),"ES0031408323131005HX0F")</f>
        <v>ES0031408323131005HX0F</v>
      </c>
      <c r="B5782" s="12">
        <f>IFERROR(__xludf.DUMMYFUNCTION("""COMPUTED_VALUE"""),45106.0)</f>
        <v>45106</v>
      </c>
      <c r="C5782" s="13">
        <f>IFERROR(__xludf.DUMMYFUNCTION("""COMPUTED_VALUE"""),0.9166666666666666)</f>
        <v>0.9166666667</v>
      </c>
      <c r="D5782" s="8">
        <f>IFERROR(__xludf.DUMMYFUNCTION("""COMPUTED_VALUE"""),0.414)</f>
        <v>0.414</v>
      </c>
      <c r="E5782" s="8" t="str">
        <f>IFERROR(__xludf.DUMMYFUNCTION("""COMPUTED_VALUE"""),"Real")</f>
        <v>Real</v>
      </c>
      <c r="G5782" s="8">
        <f t="shared" si="1"/>
        <v>6</v>
      </c>
      <c r="H5782" s="14">
        <f t="shared" si="2"/>
        <v>29</v>
      </c>
      <c r="I5782" s="15">
        <f t="shared" si="3"/>
        <v>22</v>
      </c>
    </row>
    <row r="5783">
      <c r="A5783" s="8" t="str">
        <f>IFERROR(__xludf.DUMMYFUNCTION("IF('(INGESTA)Datos_consumo_datadis'!A5783&lt;&gt;"""",SPLIT('(INGESTA)Datos_consumo_datadis'!A:A,"",""),"""")"),"ES0031408323131005HX0F")</f>
        <v>ES0031408323131005HX0F</v>
      </c>
      <c r="B5783" s="12">
        <f>IFERROR(__xludf.DUMMYFUNCTION("""COMPUTED_VALUE"""),45106.0)</f>
        <v>45106</v>
      </c>
      <c r="C5783" s="13">
        <f>IFERROR(__xludf.DUMMYFUNCTION("""COMPUTED_VALUE"""),0.9583333333333334)</f>
        <v>0.9583333333</v>
      </c>
      <c r="D5783" s="8">
        <f>IFERROR(__xludf.DUMMYFUNCTION("""COMPUTED_VALUE"""),0.087)</f>
        <v>0.087</v>
      </c>
      <c r="E5783" s="8" t="str">
        <f>IFERROR(__xludf.DUMMYFUNCTION("""COMPUTED_VALUE"""),"Real")</f>
        <v>Real</v>
      </c>
      <c r="G5783" s="8">
        <f t="shared" si="1"/>
        <v>6</v>
      </c>
      <c r="H5783" s="14">
        <f t="shared" si="2"/>
        <v>29</v>
      </c>
      <c r="I5783" s="15">
        <f t="shared" si="3"/>
        <v>23</v>
      </c>
    </row>
    <row r="5784">
      <c r="A5784" s="8" t="str">
        <f>IFERROR(__xludf.DUMMYFUNCTION("IF('(INGESTA)Datos_consumo_datadis'!A5784&lt;&gt;"""",SPLIT('(INGESTA)Datos_consumo_datadis'!A:A,"",""),"""")"),"ES0031408323131005HX0F")</f>
        <v>ES0031408323131005HX0F</v>
      </c>
      <c r="B5784" s="12">
        <f>IFERROR(__xludf.DUMMYFUNCTION("""COMPUTED_VALUE"""),45106.0)</f>
        <v>45106</v>
      </c>
      <c r="C5784" s="16">
        <f>IFERROR(__xludf.DUMMYFUNCTION("""COMPUTED_VALUE"""),1.0)</f>
        <v>1</v>
      </c>
      <c r="D5784" s="8">
        <f>IFERROR(__xludf.DUMMYFUNCTION("""COMPUTED_VALUE"""),0.025)</f>
        <v>0.025</v>
      </c>
      <c r="E5784" s="8" t="str">
        <f>IFERROR(__xludf.DUMMYFUNCTION("""COMPUTED_VALUE"""),"Real")</f>
        <v>Real</v>
      </c>
      <c r="G5784" s="8">
        <f t="shared" si="1"/>
        <v>6</v>
      </c>
      <c r="H5784" s="14">
        <f t="shared" si="2"/>
        <v>29</v>
      </c>
      <c r="I5784" s="15">
        <f t="shared" si="3"/>
        <v>0</v>
      </c>
    </row>
    <row r="5785">
      <c r="A5785" s="8" t="str">
        <f>IFERROR(__xludf.DUMMYFUNCTION("IF('(INGESTA)Datos_consumo_datadis'!A5785&lt;&gt;"""",SPLIT('(INGESTA)Datos_consumo_datadis'!A:A,"",""),"""")"),"ES0031408323131005HX0F")</f>
        <v>ES0031408323131005HX0F</v>
      </c>
      <c r="B5785" s="12">
        <f>IFERROR(__xludf.DUMMYFUNCTION("""COMPUTED_VALUE"""),45107.0)</f>
        <v>45107</v>
      </c>
      <c r="C5785" s="13">
        <f>IFERROR(__xludf.DUMMYFUNCTION("""COMPUTED_VALUE"""),0.041666666666666664)</f>
        <v>0.04166666667</v>
      </c>
      <c r="D5785" s="8">
        <f>IFERROR(__xludf.DUMMYFUNCTION("""COMPUTED_VALUE"""),0.106)</f>
        <v>0.106</v>
      </c>
      <c r="E5785" s="8" t="str">
        <f>IFERROR(__xludf.DUMMYFUNCTION("""COMPUTED_VALUE"""),"Real")</f>
        <v>Real</v>
      </c>
      <c r="G5785" s="8">
        <f t="shared" si="1"/>
        <v>6</v>
      </c>
      <c r="H5785" s="14">
        <f t="shared" si="2"/>
        <v>30</v>
      </c>
      <c r="I5785" s="15">
        <f t="shared" si="3"/>
        <v>1</v>
      </c>
    </row>
    <row r="5786">
      <c r="A5786" s="8" t="str">
        <f>IFERROR(__xludf.DUMMYFUNCTION("IF('(INGESTA)Datos_consumo_datadis'!A5786&lt;&gt;"""",SPLIT('(INGESTA)Datos_consumo_datadis'!A:A,"",""),"""")"),"ES0031408323131005HX0F")</f>
        <v>ES0031408323131005HX0F</v>
      </c>
      <c r="B5786" s="12">
        <f>IFERROR(__xludf.DUMMYFUNCTION("""COMPUTED_VALUE"""),45107.0)</f>
        <v>45107</v>
      </c>
      <c r="C5786" s="13">
        <f>IFERROR(__xludf.DUMMYFUNCTION("""COMPUTED_VALUE"""),0.08333333333333333)</f>
        <v>0.08333333333</v>
      </c>
      <c r="D5786" s="8">
        <f>IFERROR(__xludf.DUMMYFUNCTION("""COMPUTED_VALUE"""),0.125)</f>
        <v>0.125</v>
      </c>
      <c r="E5786" s="8" t="str">
        <f>IFERROR(__xludf.DUMMYFUNCTION("""COMPUTED_VALUE"""),"Real")</f>
        <v>Real</v>
      </c>
      <c r="G5786" s="8">
        <f t="shared" si="1"/>
        <v>6</v>
      </c>
      <c r="H5786" s="14">
        <f t="shared" si="2"/>
        <v>30</v>
      </c>
      <c r="I5786" s="15">
        <f t="shared" si="3"/>
        <v>2</v>
      </c>
    </row>
    <row r="5787">
      <c r="A5787" s="8" t="str">
        <f>IFERROR(__xludf.DUMMYFUNCTION("IF('(INGESTA)Datos_consumo_datadis'!A5787&lt;&gt;"""",SPLIT('(INGESTA)Datos_consumo_datadis'!A:A,"",""),"""")"),"ES0031408323131005HX0F")</f>
        <v>ES0031408323131005HX0F</v>
      </c>
      <c r="B5787" s="12">
        <f>IFERROR(__xludf.DUMMYFUNCTION("""COMPUTED_VALUE"""),45107.0)</f>
        <v>45107</v>
      </c>
      <c r="C5787" s="13">
        <f>IFERROR(__xludf.DUMMYFUNCTION("""COMPUTED_VALUE"""),0.125)</f>
        <v>0.125</v>
      </c>
      <c r="D5787" s="8">
        <f>IFERROR(__xludf.DUMMYFUNCTION("""COMPUTED_VALUE"""),0.119)</f>
        <v>0.119</v>
      </c>
      <c r="E5787" s="8" t="str">
        <f>IFERROR(__xludf.DUMMYFUNCTION("""COMPUTED_VALUE"""),"Real")</f>
        <v>Real</v>
      </c>
      <c r="G5787" s="8">
        <f t="shared" si="1"/>
        <v>6</v>
      </c>
      <c r="H5787" s="14">
        <f t="shared" si="2"/>
        <v>30</v>
      </c>
      <c r="I5787" s="15">
        <f t="shared" si="3"/>
        <v>3</v>
      </c>
    </row>
    <row r="5788">
      <c r="A5788" s="8" t="str">
        <f>IFERROR(__xludf.DUMMYFUNCTION("IF('(INGESTA)Datos_consumo_datadis'!A5788&lt;&gt;"""",SPLIT('(INGESTA)Datos_consumo_datadis'!A:A,"",""),"""")"),"ES0031408323131005HX0F")</f>
        <v>ES0031408323131005HX0F</v>
      </c>
      <c r="B5788" s="12">
        <f>IFERROR(__xludf.DUMMYFUNCTION("""COMPUTED_VALUE"""),45107.0)</f>
        <v>45107</v>
      </c>
      <c r="C5788" s="13">
        <f>IFERROR(__xludf.DUMMYFUNCTION("""COMPUTED_VALUE"""),0.16666666666666666)</f>
        <v>0.1666666667</v>
      </c>
      <c r="D5788" s="8">
        <f>IFERROR(__xludf.DUMMYFUNCTION("""COMPUTED_VALUE"""),0.093)</f>
        <v>0.093</v>
      </c>
      <c r="E5788" s="8" t="str">
        <f>IFERROR(__xludf.DUMMYFUNCTION("""COMPUTED_VALUE"""),"Real")</f>
        <v>Real</v>
      </c>
      <c r="G5788" s="8">
        <f t="shared" si="1"/>
        <v>6</v>
      </c>
      <c r="H5788" s="14">
        <f t="shared" si="2"/>
        <v>30</v>
      </c>
      <c r="I5788" s="15">
        <f t="shared" si="3"/>
        <v>4</v>
      </c>
    </row>
    <row r="5789">
      <c r="A5789" s="8" t="str">
        <f>IFERROR(__xludf.DUMMYFUNCTION("IF('(INGESTA)Datos_consumo_datadis'!A5789&lt;&gt;"""",SPLIT('(INGESTA)Datos_consumo_datadis'!A:A,"",""),"""")"),"ES0031408323131005HX0F")</f>
        <v>ES0031408323131005HX0F</v>
      </c>
      <c r="B5789" s="12">
        <f>IFERROR(__xludf.DUMMYFUNCTION("""COMPUTED_VALUE"""),45107.0)</f>
        <v>45107</v>
      </c>
      <c r="C5789" s="13">
        <f>IFERROR(__xludf.DUMMYFUNCTION("""COMPUTED_VALUE"""),0.20833333333333334)</f>
        <v>0.2083333333</v>
      </c>
      <c r="D5789" s="8">
        <f>IFERROR(__xludf.DUMMYFUNCTION("""COMPUTED_VALUE"""),0.055)</f>
        <v>0.055</v>
      </c>
      <c r="E5789" s="8" t="str">
        <f>IFERROR(__xludf.DUMMYFUNCTION("""COMPUTED_VALUE"""),"Real")</f>
        <v>Real</v>
      </c>
      <c r="G5789" s="8">
        <f t="shared" si="1"/>
        <v>6</v>
      </c>
      <c r="H5789" s="14">
        <f t="shared" si="2"/>
        <v>30</v>
      </c>
      <c r="I5789" s="15">
        <f t="shared" si="3"/>
        <v>5</v>
      </c>
    </row>
    <row r="5790">
      <c r="A5790" s="8" t="str">
        <f>IFERROR(__xludf.DUMMYFUNCTION("IF('(INGESTA)Datos_consumo_datadis'!A5790&lt;&gt;"""",SPLIT('(INGESTA)Datos_consumo_datadis'!A:A,"",""),"""")"),"ES0031408323131005HX0F")</f>
        <v>ES0031408323131005HX0F</v>
      </c>
      <c r="B5790" s="12">
        <f>IFERROR(__xludf.DUMMYFUNCTION("""COMPUTED_VALUE"""),45107.0)</f>
        <v>45107</v>
      </c>
      <c r="C5790" s="13">
        <f>IFERROR(__xludf.DUMMYFUNCTION("""COMPUTED_VALUE"""),0.25)</f>
        <v>0.25</v>
      </c>
      <c r="D5790" s="8">
        <f>IFERROR(__xludf.DUMMYFUNCTION("""COMPUTED_VALUE"""),0.071)</f>
        <v>0.071</v>
      </c>
      <c r="E5790" s="8" t="str">
        <f>IFERROR(__xludf.DUMMYFUNCTION("""COMPUTED_VALUE"""),"Real")</f>
        <v>Real</v>
      </c>
      <c r="G5790" s="8">
        <f t="shared" si="1"/>
        <v>6</v>
      </c>
      <c r="H5790" s="14">
        <f t="shared" si="2"/>
        <v>30</v>
      </c>
      <c r="I5790" s="15">
        <f t="shared" si="3"/>
        <v>6</v>
      </c>
    </row>
    <row r="5791">
      <c r="A5791" s="8" t="str">
        <f>IFERROR(__xludf.DUMMYFUNCTION("IF('(INGESTA)Datos_consumo_datadis'!A5791&lt;&gt;"""",SPLIT('(INGESTA)Datos_consumo_datadis'!A:A,"",""),"""")"),"ES0031408323131005HX0F")</f>
        <v>ES0031408323131005HX0F</v>
      </c>
      <c r="B5791" s="12">
        <f>IFERROR(__xludf.DUMMYFUNCTION("""COMPUTED_VALUE"""),45107.0)</f>
        <v>45107</v>
      </c>
      <c r="C5791" s="13">
        <f>IFERROR(__xludf.DUMMYFUNCTION("""COMPUTED_VALUE"""),0.2916666666666667)</f>
        <v>0.2916666667</v>
      </c>
      <c r="D5791" s="8">
        <f>IFERROR(__xludf.DUMMYFUNCTION("""COMPUTED_VALUE"""),0.372)</f>
        <v>0.372</v>
      </c>
      <c r="E5791" s="8" t="str">
        <f>IFERROR(__xludf.DUMMYFUNCTION("""COMPUTED_VALUE"""),"Real")</f>
        <v>Real</v>
      </c>
      <c r="G5791" s="8">
        <f t="shared" si="1"/>
        <v>6</v>
      </c>
      <c r="H5791" s="14">
        <f t="shared" si="2"/>
        <v>30</v>
      </c>
      <c r="I5791" s="15">
        <f t="shared" si="3"/>
        <v>7</v>
      </c>
    </row>
    <row r="5792">
      <c r="A5792" s="8" t="str">
        <f>IFERROR(__xludf.DUMMYFUNCTION("IF('(INGESTA)Datos_consumo_datadis'!A5792&lt;&gt;"""",SPLIT('(INGESTA)Datos_consumo_datadis'!A:A,"",""),"""")"),"ES0031408323131005HX0F")</f>
        <v>ES0031408323131005HX0F</v>
      </c>
      <c r="B5792" s="12">
        <f>IFERROR(__xludf.DUMMYFUNCTION("""COMPUTED_VALUE"""),45107.0)</f>
        <v>45107</v>
      </c>
      <c r="C5792" s="13">
        <f>IFERROR(__xludf.DUMMYFUNCTION("""COMPUTED_VALUE"""),0.3333333333333333)</f>
        <v>0.3333333333</v>
      </c>
      <c r="D5792" s="8">
        <f>IFERROR(__xludf.DUMMYFUNCTION("""COMPUTED_VALUE"""),0.062)</f>
        <v>0.062</v>
      </c>
      <c r="E5792" s="8" t="str">
        <f>IFERROR(__xludf.DUMMYFUNCTION("""COMPUTED_VALUE"""),"Real")</f>
        <v>Real</v>
      </c>
      <c r="G5792" s="8">
        <f t="shared" si="1"/>
        <v>6</v>
      </c>
      <c r="H5792" s="14">
        <f t="shared" si="2"/>
        <v>30</v>
      </c>
      <c r="I5792" s="15">
        <f t="shared" si="3"/>
        <v>8</v>
      </c>
    </row>
    <row r="5793">
      <c r="A5793" s="8" t="str">
        <f>IFERROR(__xludf.DUMMYFUNCTION("IF('(INGESTA)Datos_consumo_datadis'!A5793&lt;&gt;"""",SPLIT('(INGESTA)Datos_consumo_datadis'!A:A,"",""),"""")"),"ES0031408323131005HX0F")</f>
        <v>ES0031408323131005HX0F</v>
      </c>
      <c r="B5793" s="12">
        <f>IFERROR(__xludf.DUMMYFUNCTION("""COMPUTED_VALUE"""),45107.0)</f>
        <v>45107</v>
      </c>
      <c r="C5793" s="13">
        <f>IFERROR(__xludf.DUMMYFUNCTION("""COMPUTED_VALUE"""),0.375)</f>
        <v>0.375</v>
      </c>
      <c r="D5793" s="8">
        <f>IFERROR(__xludf.DUMMYFUNCTION("""COMPUTED_VALUE"""),0.079)</f>
        <v>0.079</v>
      </c>
      <c r="E5793" s="8" t="str">
        <f>IFERROR(__xludf.DUMMYFUNCTION("""COMPUTED_VALUE"""),"Real")</f>
        <v>Real</v>
      </c>
      <c r="G5793" s="8">
        <f t="shared" si="1"/>
        <v>6</v>
      </c>
      <c r="H5793" s="14">
        <f t="shared" si="2"/>
        <v>30</v>
      </c>
      <c r="I5793" s="15">
        <f t="shared" si="3"/>
        <v>9</v>
      </c>
    </row>
    <row r="5794">
      <c r="A5794" s="8" t="str">
        <f>IFERROR(__xludf.DUMMYFUNCTION("IF('(INGESTA)Datos_consumo_datadis'!A5794&lt;&gt;"""",SPLIT('(INGESTA)Datos_consumo_datadis'!A:A,"",""),"""")"),"ES0031408323131005HX0F")</f>
        <v>ES0031408323131005HX0F</v>
      </c>
      <c r="B5794" s="12">
        <f>IFERROR(__xludf.DUMMYFUNCTION("""COMPUTED_VALUE"""),45107.0)</f>
        <v>45107</v>
      </c>
      <c r="C5794" s="13">
        <f>IFERROR(__xludf.DUMMYFUNCTION("""COMPUTED_VALUE"""),0.4166666666666667)</f>
        <v>0.4166666667</v>
      </c>
      <c r="D5794" s="8">
        <f>IFERROR(__xludf.DUMMYFUNCTION("""COMPUTED_VALUE"""),0.102)</f>
        <v>0.102</v>
      </c>
      <c r="E5794" s="8" t="str">
        <f>IFERROR(__xludf.DUMMYFUNCTION("""COMPUTED_VALUE"""),"Real")</f>
        <v>Real</v>
      </c>
      <c r="G5794" s="8">
        <f t="shared" si="1"/>
        <v>6</v>
      </c>
      <c r="H5794" s="14">
        <f t="shared" si="2"/>
        <v>30</v>
      </c>
      <c r="I5794" s="15">
        <f t="shared" si="3"/>
        <v>10</v>
      </c>
    </row>
    <row r="5795">
      <c r="A5795" s="8" t="str">
        <f>IFERROR(__xludf.DUMMYFUNCTION("IF('(INGESTA)Datos_consumo_datadis'!A5795&lt;&gt;"""",SPLIT('(INGESTA)Datos_consumo_datadis'!A:A,"",""),"""")"),"ES0031408323131005HX0F")</f>
        <v>ES0031408323131005HX0F</v>
      </c>
      <c r="B5795" s="12">
        <f>IFERROR(__xludf.DUMMYFUNCTION("""COMPUTED_VALUE"""),45107.0)</f>
        <v>45107</v>
      </c>
      <c r="C5795" s="13">
        <f>IFERROR(__xludf.DUMMYFUNCTION("""COMPUTED_VALUE"""),0.4583333333333333)</f>
        <v>0.4583333333</v>
      </c>
      <c r="D5795" s="8">
        <f>IFERROR(__xludf.DUMMYFUNCTION("""COMPUTED_VALUE"""),0.089)</f>
        <v>0.089</v>
      </c>
      <c r="E5795" s="8" t="str">
        <f>IFERROR(__xludf.DUMMYFUNCTION("""COMPUTED_VALUE"""),"Real")</f>
        <v>Real</v>
      </c>
      <c r="G5795" s="8">
        <f t="shared" si="1"/>
        <v>6</v>
      </c>
      <c r="H5795" s="14">
        <f t="shared" si="2"/>
        <v>30</v>
      </c>
      <c r="I5795" s="15">
        <f t="shared" si="3"/>
        <v>11</v>
      </c>
    </row>
    <row r="5796">
      <c r="A5796" s="8" t="str">
        <f>IFERROR(__xludf.DUMMYFUNCTION("IF('(INGESTA)Datos_consumo_datadis'!A5796&lt;&gt;"""",SPLIT('(INGESTA)Datos_consumo_datadis'!A:A,"",""),"""")"),"ES0031408323131005HX0F")</f>
        <v>ES0031408323131005HX0F</v>
      </c>
      <c r="B5796" s="12">
        <f>IFERROR(__xludf.DUMMYFUNCTION("""COMPUTED_VALUE"""),45107.0)</f>
        <v>45107</v>
      </c>
      <c r="C5796" s="13">
        <f>IFERROR(__xludf.DUMMYFUNCTION("""COMPUTED_VALUE"""),0.5)</f>
        <v>0.5</v>
      </c>
      <c r="D5796" s="8">
        <f>IFERROR(__xludf.DUMMYFUNCTION("""COMPUTED_VALUE"""),0.024)</f>
        <v>0.024</v>
      </c>
      <c r="E5796" s="8" t="str">
        <f>IFERROR(__xludf.DUMMYFUNCTION("""COMPUTED_VALUE"""),"Real")</f>
        <v>Real</v>
      </c>
      <c r="G5796" s="8">
        <f t="shared" si="1"/>
        <v>6</v>
      </c>
      <c r="H5796" s="14">
        <f t="shared" si="2"/>
        <v>30</v>
      </c>
      <c r="I5796" s="15">
        <f t="shared" si="3"/>
        <v>12</v>
      </c>
    </row>
    <row r="5797">
      <c r="A5797" s="8" t="str">
        <f>IFERROR(__xludf.DUMMYFUNCTION("IF('(INGESTA)Datos_consumo_datadis'!A5797&lt;&gt;"""",SPLIT('(INGESTA)Datos_consumo_datadis'!A:A,"",""),"""")"),"ES0031408323131005HX0F")</f>
        <v>ES0031408323131005HX0F</v>
      </c>
      <c r="B5797" s="12">
        <f>IFERROR(__xludf.DUMMYFUNCTION("""COMPUTED_VALUE"""),45107.0)</f>
        <v>45107</v>
      </c>
      <c r="C5797" s="13">
        <f>IFERROR(__xludf.DUMMYFUNCTION("""COMPUTED_VALUE"""),0.5416666666666666)</f>
        <v>0.5416666667</v>
      </c>
      <c r="D5797" s="8">
        <f>IFERROR(__xludf.DUMMYFUNCTION("""COMPUTED_VALUE"""),0.034)</f>
        <v>0.034</v>
      </c>
      <c r="E5797" s="8" t="str">
        <f>IFERROR(__xludf.DUMMYFUNCTION("""COMPUTED_VALUE"""),"Real")</f>
        <v>Real</v>
      </c>
      <c r="G5797" s="8">
        <f t="shared" si="1"/>
        <v>6</v>
      </c>
      <c r="H5797" s="14">
        <f t="shared" si="2"/>
        <v>30</v>
      </c>
      <c r="I5797" s="15">
        <f t="shared" si="3"/>
        <v>13</v>
      </c>
    </row>
    <row r="5798">
      <c r="A5798" s="8" t="str">
        <f>IFERROR(__xludf.DUMMYFUNCTION("IF('(INGESTA)Datos_consumo_datadis'!A5798&lt;&gt;"""",SPLIT('(INGESTA)Datos_consumo_datadis'!A:A,"",""),"""")"),"ES0031408323131005HX0F")</f>
        <v>ES0031408323131005HX0F</v>
      </c>
      <c r="B5798" s="12">
        <f>IFERROR(__xludf.DUMMYFUNCTION("""COMPUTED_VALUE"""),45107.0)</f>
        <v>45107</v>
      </c>
      <c r="C5798" s="13">
        <f>IFERROR(__xludf.DUMMYFUNCTION("""COMPUTED_VALUE"""),0.5833333333333334)</f>
        <v>0.5833333333</v>
      </c>
      <c r="D5798" s="8">
        <f>IFERROR(__xludf.DUMMYFUNCTION("""COMPUTED_VALUE"""),0.115)</f>
        <v>0.115</v>
      </c>
      <c r="E5798" s="8" t="str">
        <f>IFERROR(__xludf.DUMMYFUNCTION("""COMPUTED_VALUE"""),"Real")</f>
        <v>Real</v>
      </c>
      <c r="G5798" s="8">
        <f t="shared" si="1"/>
        <v>6</v>
      </c>
      <c r="H5798" s="14">
        <f t="shared" si="2"/>
        <v>30</v>
      </c>
      <c r="I5798" s="15">
        <f t="shared" si="3"/>
        <v>14</v>
      </c>
    </row>
    <row r="5799">
      <c r="A5799" s="8" t="str">
        <f>IFERROR(__xludf.DUMMYFUNCTION("IF('(INGESTA)Datos_consumo_datadis'!A5799&lt;&gt;"""",SPLIT('(INGESTA)Datos_consumo_datadis'!A:A,"",""),"""")"),"ES0031408323131005HX0F")</f>
        <v>ES0031408323131005HX0F</v>
      </c>
      <c r="B5799" s="12">
        <f>IFERROR(__xludf.DUMMYFUNCTION("""COMPUTED_VALUE"""),45107.0)</f>
        <v>45107</v>
      </c>
      <c r="C5799" s="13">
        <f>IFERROR(__xludf.DUMMYFUNCTION("""COMPUTED_VALUE"""),0.625)</f>
        <v>0.625</v>
      </c>
      <c r="D5799" s="8">
        <f>IFERROR(__xludf.DUMMYFUNCTION("""COMPUTED_VALUE"""),0.087)</f>
        <v>0.087</v>
      </c>
      <c r="E5799" s="8" t="str">
        <f>IFERROR(__xludf.DUMMYFUNCTION("""COMPUTED_VALUE"""),"Real")</f>
        <v>Real</v>
      </c>
      <c r="G5799" s="8">
        <f t="shared" si="1"/>
        <v>6</v>
      </c>
      <c r="H5799" s="14">
        <f t="shared" si="2"/>
        <v>30</v>
      </c>
      <c r="I5799" s="15">
        <f t="shared" si="3"/>
        <v>15</v>
      </c>
    </row>
    <row r="5800">
      <c r="A5800" s="8" t="str">
        <f>IFERROR(__xludf.DUMMYFUNCTION("IF('(INGESTA)Datos_consumo_datadis'!A5800&lt;&gt;"""",SPLIT('(INGESTA)Datos_consumo_datadis'!A:A,"",""),"""")"),"ES0031408323131005HX0F")</f>
        <v>ES0031408323131005HX0F</v>
      </c>
      <c r="B5800" s="12">
        <f>IFERROR(__xludf.DUMMYFUNCTION("""COMPUTED_VALUE"""),45107.0)</f>
        <v>45107</v>
      </c>
      <c r="C5800" s="13">
        <f>IFERROR(__xludf.DUMMYFUNCTION("""COMPUTED_VALUE"""),0.6666666666666666)</f>
        <v>0.6666666667</v>
      </c>
      <c r="D5800" s="8">
        <f>IFERROR(__xludf.DUMMYFUNCTION("""COMPUTED_VALUE"""),0.354)</f>
        <v>0.354</v>
      </c>
      <c r="E5800" s="8" t="str">
        <f>IFERROR(__xludf.DUMMYFUNCTION("""COMPUTED_VALUE"""),"Real")</f>
        <v>Real</v>
      </c>
      <c r="G5800" s="8">
        <f t="shared" si="1"/>
        <v>6</v>
      </c>
      <c r="H5800" s="14">
        <f t="shared" si="2"/>
        <v>30</v>
      </c>
      <c r="I5800" s="15">
        <f t="shared" si="3"/>
        <v>16</v>
      </c>
    </row>
    <row r="5801">
      <c r="A5801" s="8" t="str">
        <f>IFERROR(__xludf.DUMMYFUNCTION("IF('(INGESTA)Datos_consumo_datadis'!A5801&lt;&gt;"""",SPLIT('(INGESTA)Datos_consumo_datadis'!A:A,"",""),"""")"),"ES0031408323131005HX0F")</f>
        <v>ES0031408323131005HX0F</v>
      </c>
      <c r="B5801" s="12">
        <f>IFERROR(__xludf.DUMMYFUNCTION("""COMPUTED_VALUE"""),45107.0)</f>
        <v>45107</v>
      </c>
      <c r="C5801" s="13">
        <f>IFERROR(__xludf.DUMMYFUNCTION("""COMPUTED_VALUE"""),0.7083333333333334)</f>
        <v>0.7083333333</v>
      </c>
      <c r="D5801" s="8">
        <f>IFERROR(__xludf.DUMMYFUNCTION("""COMPUTED_VALUE"""),0.009)</f>
        <v>0.009</v>
      </c>
      <c r="E5801" s="8" t="str">
        <f>IFERROR(__xludf.DUMMYFUNCTION("""COMPUTED_VALUE"""),"Real")</f>
        <v>Real</v>
      </c>
      <c r="G5801" s="8">
        <f t="shared" si="1"/>
        <v>6</v>
      </c>
      <c r="H5801" s="14">
        <f t="shared" si="2"/>
        <v>30</v>
      </c>
      <c r="I5801" s="15">
        <f t="shared" si="3"/>
        <v>17</v>
      </c>
    </row>
    <row r="5802">
      <c r="A5802" s="8" t="str">
        <f>IFERROR(__xludf.DUMMYFUNCTION("IF('(INGESTA)Datos_consumo_datadis'!A5802&lt;&gt;"""",SPLIT('(INGESTA)Datos_consumo_datadis'!A:A,"",""),"""")"),"ES0031408323131005HX0F")</f>
        <v>ES0031408323131005HX0F</v>
      </c>
      <c r="B5802" s="12">
        <f>IFERROR(__xludf.DUMMYFUNCTION("""COMPUTED_VALUE"""),45107.0)</f>
        <v>45107</v>
      </c>
      <c r="C5802" s="13">
        <f>IFERROR(__xludf.DUMMYFUNCTION("""COMPUTED_VALUE"""),0.75)</f>
        <v>0.75</v>
      </c>
      <c r="D5802" s="8">
        <f>IFERROR(__xludf.DUMMYFUNCTION("""COMPUTED_VALUE"""),0.081)</f>
        <v>0.081</v>
      </c>
      <c r="E5802" s="8" t="str">
        <f>IFERROR(__xludf.DUMMYFUNCTION("""COMPUTED_VALUE"""),"Real")</f>
        <v>Real</v>
      </c>
      <c r="G5802" s="8">
        <f t="shared" si="1"/>
        <v>6</v>
      </c>
      <c r="H5802" s="14">
        <f t="shared" si="2"/>
        <v>30</v>
      </c>
      <c r="I5802" s="15">
        <f t="shared" si="3"/>
        <v>18</v>
      </c>
    </row>
    <row r="5803">
      <c r="A5803" s="8" t="str">
        <f>IFERROR(__xludf.DUMMYFUNCTION("IF('(INGESTA)Datos_consumo_datadis'!A5803&lt;&gt;"""",SPLIT('(INGESTA)Datos_consumo_datadis'!A:A,"",""),"""")"),"ES0031408323131005HX0F")</f>
        <v>ES0031408323131005HX0F</v>
      </c>
      <c r="B5803" s="12">
        <f>IFERROR(__xludf.DUMMYFUNCTION("""COMPUTED_VALUE"""),45107.0)</f>
        <v>45107</v>
      </c>
      <c r="C5803" s="13">
        <f>IFERROR(__xludf.DUMMYFUNCTION("""COMPUTED_VALUE"""),0.7916666666666666)</f>
        <v>0.7916666667</v>
      </c>
      <c r="D5803" s="8">
        <f>IFERROR(__xludf.DUMMYFUNCTION("""COMPUTED_VALUE"""),0.102)</f>
        <v>0.102</v>
      </c>
      <c r="E5803" s="8" t="str">
        <f>IFERROR(__xludf.DUMMYFUNCTION("""COMPUTED_VALUE"""),"Real")</f>
        <v>Real</v>
      </c>
      <c r="G5803" s="8">
        <f t="shared" si="1"/>
        <v>6</v>
      </c>
      <c r="H5803" s="14">
        <f t="shared" si="2"/>
        <v>30</v>
      </c>
      <c r="I5803" s="15">
        <f t="shared" si="3"/>
        <v>19</v>
      </c>
    </row>
    <row r="5804">
      <c r="A5804" s="8" t="str">
        <f>IFERROR(__xludf.DUMMYFUNCTION("IF('(INGESTA)Datos_consumo_datadis'!A5804&lt;&gt;"""",SPLIT('(INGESTA)Datos_consumo_datadis'!A:A,"",""),"""")"),"ES0031408323131005HX0F")</f>
        <v>ES0031408323131005HX0F</v>
      </c>
      <c r="B5804" s="12">
        <f>IFERROR(__xludf.DUMMYFUNCTION("""COMPUTED_VALUE"""),45107.0)</f>
        <v>45107</v>
      </c>
      <c r="C5804" s="13">
        <f>IFERROR(__xludf.DUMMYFUNCTION("""COMPUTED_VALUE"""),0.8333333333333334)</f>
        <v>0.8333333333</v>
      </c>
      <c r="D5804" s="8">
        <f>IFERROR(__xludf.DUMMYFUNCTION("""COMPUTED_VALUE"""),0.075)</f>
        <v>0.075</v>
      </c>
      <c r="E5804" s="8" t="str">
        <f>IFERROR(__xludf.DUMMYFUNCTION("""COMPUTED_VALUE"""),"Real")</f>
        <v>Real</v>
      </c>
      <c r="G5804" s="8">
        <f t="shared" si="1"/>
        <v>6</v>
      </c>
      <c r="H5804" s="14">
        <f t="shared" si="2"/>
        <v>30</v>
      </c>
      <c r="I5804" s="15">
        <f t="shared" si="3"/>
        <v>20</v>
      </c>
    </row>
    <row r="5805">
      <c r="A5805" s="8" t="str">
        <f>IFERROR(__xludf.DUMMYFUNCTION("IF('(INGESTA)Datos_consumo_datadis'!A5805&lt;&gt;"""",SPLIT('(INGESTA)Datos_consumo_datadis'!A:A,"",""),"""")"),"ES0031408323131005HX0F")</f>
        <v>ES0031408323131005HX0F</v>
      </c>
      <c r="B5805" s="12">
        <f>IFERROR(__xludf.DUMMYFUNCTION("""COMPUTED_VALUE"""),45107.0)</f>
        <v>45107</v>
      </c>
      <c r="C5805" s="13">
        <f>IFERROR(__xludf.DUMMYFUNCTION("""COMPUTED_VALUE"""),0.875)</f>
        <v>0.875</v>
      </c>
      <c r="D5805" s="8">
        <f>IFERROR(__xludf.DUMMYFUNCTION("""COMPUTED_VALUE"""),0.05)</f>
        <v>0.05</v>
      </c>
      <c r="E5805" s="8" t="str">
        <f>IFERROR(__xludf.DUMMYFUNCTION("""COMPUTED_VALUE"""),"Real")</f>
        <v>Real</v>
      </c>
      <c r="G5805" s="8">
        <f t="shared" si="1"/>
        <v>6</v>
      </c>
      <c r="H5805" s="14">
        <f t="shared" si="2"/>
        <v>30</v>
      </c>
      <c r="I5805" s="15">
        <f t="shared" si="3"/>
        <v>21</v>
      </c>
    </row>
    <row r="5806">
      <c r="A5806" s="8" t="str">
        <f>IFERROR(__xludf.DUMMYFUNCTION("IF('(INGESTA)Datos_consumo_datadis'!A5806&lt;&gt;"""",SPLIT('(INGESTA)Datos_consumo_datadis'!A:A,"",""),"""")"),"ES0031408323131005HX0F")</f>
        <v>ES0031408323131005HX0F</v>
      </c>
      <c r="B5806" s="12">
        <f>IFERROR(__xludf.DUMMYFUNCTION("""COMPUTED_VALUE"""),45107.0)</f>
        <v>45107</v>
      </c>
      <c r="C5806" s="13">
        <f>IFERROR(__xludf.DUMMYFUNCTION("""COMPUTED_VALUE"""),0.9166666666666666)</f>
        <v>0.9166666667</v>
      </c>
      <c r="D5806" s="8">
        <f>IFERROR(__xludf.DUMMYFUNCTION("""COMPUTED_VALUE"""),0.134)</f>
        <v>0.134</v>
      </c>
      <c r="E5806" s="8" t="str">
        <f>IFERROR(__xludf.DUMMYFUNCTION("""COMPUTED_VALUE"""),"Real")</f>
        <v>Real</v>
      </c>
      <c r="G5806" s="8">
        <f t="shared" si="1"/>
        <v>6</v>
      </c>
      <c r="H5806" s="14">
        <f t="shared" si="2"/>
        <v>30</v>
      </c>
      <c r="I5806" s="15">
        <f t="shared" si="3"/>
        <v>22</v>
      </c>
    </row>
    <row r="5807">
      <c r="A5807" s="8" t="str">
        <f>IFERROR(__xludf.DUMMYFUNCTION("IF('(INGESTA)Datos_consumo_datadis'!A5807&lt;&gt;"""",SPLIT('(INGESTA)Datos_consumo_datadis'!A:A,"",""),"""")"),"ES0031408323131005HX0F")</f>
        <v>ES0031408323131005HX0F</v>
      </c>
      <c r="B5807" s="12">
        <f>IFERROR(__xludf.DUMMYFUNCTION("""COMPUTED_VALUE"""),45107.0)</f>
        <v>45107</v>
      </c>
      <c r="C5807" s="13">
        <f>IFERROR(__xludf.DUMMYFUNCTION("""COMPUTED_VALUE"""),0.9583333333333334)</f>
        <v>0.9583333333</v>
      </c>
      <c r="D5807" s="8">
        <f>IFERROR(__xludf.DUMMYFUNCTION("""COMPUTED_VALUE"""),0.135)</f>
        <v>0.135</v>
      </c>
      <c r="E5807" s="8" t="str">
        <f>IFERROR(__xludf.DUMMYFUNCTION("""COMPUTED_VALUE"""),"Real")</f>
        <v>Real</v>
      </c>
      <c r="G5807" s="8">
        <f t="shared" si="1"/>
        <v>6</v>
      </c>
      <c r="H5807" s="14">
        <f t="shared" si="2"/>
        <v>30</v>
      </c>
      <c r="I5807" s="15">
        <f t="shared" si="3"/>
        <v>23</v>
      </c>
    </row>
    <row r="5808">
      <c r="A5808" s="8" t="str">
        <f>IFERROR(__xludf.DUMMYFUNCTION("IF('(INGESTA)Datos_consumo_datadis'!A5808&lt;&gt;"""",SPLIT('(INGESTA)Datos_consumo_datadis'!A:A,"",""),"""")"),"ES0031408323131005HX0F")</f>
        <v>ES0031408323131005HX0F</v>
      </c>
      <c r="B5808" s="12">
        <f>IFERROR(__xludf.DUMMYFUNCTION("""COMPUTED_VALUE"""),45107.0)</f>
        <v>45107</v>
      </c>
      <c r="C5808" s="16">
        <f>IFERROR(__xludf.DUMMYFUNCTION("""COMPUTED_VALUE"""),1.0)</f>
        <v>1</v>
      </c>
      <c r="D5808" s="8">
        <f>IFERROR(__xludf.DUMMYFUNCTION("""COMPUTED_VALUE"""),0.432)</f>
        <v>0.432</v>
      </c>
      <c r="E5808" s="8" t="str">
        <f>IFERROR(__xludf.DUMMYFUNCTION("""COMPUTED_VALUE"""),"Real")</f>
        <v>Real</v>
      </c>
      <c r="G5808" s="8">
        <f t="shared" si="1"/>
        <v>6</v>
      </c>
      <c r="H5808" s="14">
        <f t="shared" si="2"/>
        <v>30</v>
      </c>
      <c r="I5808" s="15">
        <f t="shared" si="3"/>
        <v>0</v>
      </c>
    </row>
    <row r="5809">
      <c r="A5809" s="8" t="str">
        <f>IFERROR(__xludf.DUMMYFUNCTION("IF('(INGESTA)Datos_consumo_datadis'!A5809&lt;&gt;"""",SPLIT('(INGESTA)Datos_consumo_datadis'!A:A,"",""),"""")"),"ES0031408323131005HX0F")</f>
        <v>ES0031408323131005HX0F</v>
      </c>
      <c r="B5809" s="12">
        <f>IFERROR(__xludf.DUMMYFUNCTION("""COMPUTED_VALUE"""),45108.0)</f>
        <v>45108</v>
      </c>
      <c r="C5809" s="13">
        <f>IFERROR(__xludf.DUMMYFUNCTION("""COMPUTED_VALUE"""),0.041666666666666664)</f>
        <v>0.04166666667</v>
      </c>
      <c r="D5809" s="8">
        <f>IFERROR(__xludf.DUMMYFUNCTION("""COMPUTED_VALUE"""),0.123)</f>
        <v>0.123</v>
      </c>
      <c r="E5809" s="8" t="str">
        <f>IFERROR(__xludf.DUMMYFUNCTION("""COMPUTED_VALUE"""),"Real")</f>
        <v>Real</v>
      </c>
      <c r="G5809" s="8">
        <f t="shared" si="1"/>
        <v>7</v>
      </c>
      <c r="H5809" s="14">
        <f t="shared" si="2"/>
        <v>1</v>
      </c>
      <c r="I5809" s="15">
        <f t="shared" si="3"/>
        <v>1</v>
      </c>
    </row>
    <row r="5810">
      <c r="A5810" s="8" t="str">
        <f>IFERROR(__xludf.DUMMYFUNCTION("IF('(INGESTA)Datos_consumo_datadis'!A5810&lt;&gt;"""",SPLIT('(INGESTA)Datos_consumo_datadis'!A:A,"",""),"""")"),"ES0031408323131005HX0F")</f>
        <v>ES0031408323131005HX0F</v>
      </c>
      <c r="B5810" s="12">
        <f>IFERROR(__xludf.DUMMYFUNCTION("""COMPUTED_VALUE"""),45108.0)</f>
        <v>45108</v>
      </c>
      <c r="C5810" s="13">
        <f>IFERROR(__xludf.DUMMYFUNCTION("""COMPUTED_VALUE"""),0.08333333333333333)</f>
        <v>0.08333333333</v>
      </c>
      <c r="D5810" s="8">
        <f>IFERROR(__xludf.DUMMYFUNCTION("""COMPUTED_VALUE"""),0.127)</f>
        <v>0.127</v>
      </c>
      <c r="E5810" s="8" t="str">
        <f>IFERROR(__xludf.DUMMYFUNCTION("""COMPUTED_VALUE"""),"Real")</f>
        <v>Real</v>
      </c>
      <c r="G5810" s="8">
        <f t="shared" si="1"/>
        <v>7</v>
      </c>
      <c r="H5810" s="14">
        <f t="shared" si="2"/>
        <v>1</v>
      </c>
      <c r="I5810" s="15">
        <f t="shared" si="3"/>
        <v>2</v>
      </c>
    </row>
    <row r="5811">
      <c r="A5811" s="8" t="str">
        <f>IFERROR(__xludf.DUMMYFUNCTION("IF('(INGESTA)Datos_consumo_datadis'!A5811&lt;&gt;"""",SPLIT('(INGESTA)Datos_consumo_datadis'!A:A,"",""),"""")"),"ES0031408323131005HX0F")</f>
        <v>ES0031408323131005HX0F</v>
      </c>
      <c r="B5811" s="12">
        <f>IFERROR(__xludf.DUMMYFUNCTION("""COMPUTED_VALUE"""),45108.0)</f>
        <v>45108</v>
      </c>
      <c r="C5811" s="13">
        <f>IFERROR(__xludf.DUMMYFUNCTION("""COMPUTED_VALUE"""),0.125)</f>
        <v>0.125</v>
      </c>
      <c r="D5811" s="8">
        <f>IFERROR(__xludf.DUMMYFUNCTION("""COMPUTED_VALUE"""),0.123)</f>
        <v>0.123</v>
      </c>
      <c r="E5811" s="8" t="str">
        <f>IFERROR(__xludf.DUMMYFUNCTION("""COMPUTED_VALUE"""),"Real")</f>
        <v>Real</v>
      </c>
      <c r="G5811" s="8">
        <f t="shared" si="1"/>
        <v>7</v>
      </c>
      <c r="H5811" s="14">
        <f t="shared" si="2"/>
        <v>1</v>
      </c>
      <c r="I5811" s="15">
        <f t="shared" si="3"/>
        <v>3</v>
      </c>
    </row>
    <row r="5812">
      <c r="A5812" s="8" t="str">
        <f>IFERROR(__xludf.DUMMYFUNCTION("IF('(INGESTA)Datos_consumo_datadis'!A5812&lt;&gt;"""",SPLIT('(INGESTA)Datos_consumo_datadis'!A:A,"",""),"""")"),"ES0031408323131005HX0F")</f>
        <v>ES0031408323131005HX0F</v>
      </c>
      <c r="B5812" s="12">
        <f>IFERROR(__xludf.DUMMYFUNCTION("""COMPUTED_VALUE"""),45108.0)</f>
        <v>45108</v>
      </c>
      <c r="C5812" s="13">
        <f>IFERROR(__xludf.DUMMYFUNCTION("""COMPUTED_VALUE"""),0.16666666666666666)</f>
        <v>0.1666666667</v>
      </c>
      <c r="D5812" s="8">
        <f>IFERROR(__xludf.DUMMYFUNCTION("""COMPUTED_VALUE"""),0.121)</f>
        <v>0.121</v>
      </c>
      <c r="E5812" s="8" t="str">
        <f>IFERROR(__xludf.DUMMYFUNCTION("""COMPUTED_VALUE"""),"Real")</f>
        <v>Real</v>
      </c>
      <c r="G5812" s="8">
        <f t="shared" si="1"/>
        <v>7</v>
      </c>
      <c r="H5812" s="14">
        <f t="shared" si="2"/>
        <v>1</v>
      </c>
      <c r="I5812" s="15">
        <f t="shared" si="3"/>
        <v>4</v>
      </c>
    </row>
    <row r="5813">
      <c r="A5813" s="8" t="str">
        <f>IFERROR(__xludf.DUMMYFUNCTION("IF('(INGESTA)Datos_consumo_datadis'!A5813&lt;&gt;"""",SPLIT('(INGESTA)Datos_consumo_datadis'!A:A,"",""),"""")"),"ES0031408323131005HX0F")</f>
        <v>ES0031408323131005HX0F</v>
      </c>
      <c r="B5813" s="12">
        <f>IFERROR(__xludf.DUMMYFUNCTION("""COMPUTED_VALUE"""),45108.0)</f>
        <v>45108</v>
      </c>
      <c r="C5813" s="13">
        <f>IFERROR(__xludf.DUMMYFUNCTION("""COMPUTED_VALUE"""),0.20833333333333334)</f>
        <v>0.2083333333</v>
      </c>
      <c r="D5813" s="8">
        <f>IFERROR(__xludf.DUMMYFUNCTION("""COMPUTED_VALUE"""),0.121)</f>
        <v>0.121</v>
      </c>
      <c r="E5813" s="8" t="str">
        <f>IFERROR(__xludf.DUMMYFUNCTION("""COMPUTED_VALUE"""),"Real")</f>
        <v>Real</v>
      </c>
      <c r="G5813" s="8">
        <f t="shared" si="1"/>
        <v>7</v>
      </c>
      <c r="H5813" s="14">
        <f t="shared" si="2"/>
        <v>1</v>
      </c>
      <c r="I5813" s="15">
        <f t="shared" si="3"/>
        <v>5</v>
      </c>
    </row>
    <row r="5814">
      <c r="A5814" s="8" t="str">
        <f>IFERROR(__xludf.DUMMYFUNCTION("IF('(INGESTA)Datos_consumo_datadis'!A5814&lt;&gt;"""",SPLIT('(INGESTA)Datos_consumo_datadis'!A:A,"",""),"""")"),"ES0031408323131005HX0F")</f>
        <v>ES0031408323131005HX0F</v>
      </c>
      <c r="B5814" s="12">
        <f>IFERROR(__xludf.DUMMYFUNCTION("""COMPUTED_VALUE"""),45108.0)</f>
        <v>45108</v>
      </c>
      <c r="C5814" s="13">
        <f>IFERROR(__xludf.DUMMYFUNCTION("""COMPUTED_VALUE"""),0.25)</f>
        <v>0.25</v>
      </c>
      <c r="D5814" s="8">
        <f>IFERROR(__xludf.DUMMYFUNCTION("""COMPUTED_VALUE"""),0.1)</f>
        <v>0.1</v>
      </c>
      <c r="E5814" s="8" t="str">
        <f>IFERROR(__xludf.DUMMYFUNCTION("""COMPUTED_VALUE"""),"Real")</f>
        <v>Real</v>
      </c>
      <c r="G5814" s="8">
        <f t="shared" si="1"/>
        <v>7</v>
      </c>
      <c r="H5814" s="14">
        <f t="shared" si="2"/>
        <v>1</v>
      </c>
      <c r="I5814" s="15">
        <f t="shared" si="3"/>
        <v>6</v>
      </c>
    </row>
    <row r="5815">
      <c r="A5815" s="8" t="str">
        <f>IFERROR(__xludf.DUMMYFUNCTION("IF('(INGESTA)Datos_consumo_datadis'!A5815&lt;&gt;"""",SPLIT('(INGESTA)Datos_consumo_datadis'!A:A,"",""),"""")"),"ES0031408323131005HX0F")</f>
        <v>ES0031408323131005HX0F</v>
      </c>
      <c r="B5815" s="12">
        <f>IFERROR(__xludf.DUMMYFUNCTION("""COMPUTED_VALUE"""),45108.0)</f>
        <v>45108</v>
      </c>
      <c r="C5815" s="13">
        <f>IFERROR(__xludf.DUMMYFUNCTION("""COMPUTED_VALUE"""),0.2916666666666667)</f>
        <v>0.2916666667</v>
      </c>
      <c r="D5815" s="8">
        <f>IFERROR(__xludf.DUMMYFUNCTION("""COMPUTED_VALUE"""),0.071)</f>
        <v>0.071</v>
      </c>
      <c r="E5815" s="8" t="str">
        <f>IFERROR(__xludf.DUMMYFUNCTION("""COMPUTED_VALUE"""),"Real")</f>
        <v>Real</v>
      </c>
      <c r="G5815" s="8">
        <f t="shared" si="1"/>
        <v>7</v>
      </c>
      <c r="H5815" s="14">
        <f t="shared" si="2"/>
        <v>1</v>
      </c>
      <c r="I5815" s="15">
        <f t="shared" si="3"/>
        <v>7</v>
      </c>
    </row>
    <row r="5816">
      <c r="A5816" s="8" t="str">
        <f>IFERROR(__xludf.DUMMYFUNCTION("IF('(INGESTA)Datos_consumo_datadis'!A5816&lt;&gt;"""",SPLIT('(INGESTA)Datos_consumo_datadis'!A:A,"",""),"""")"),"ES0031408323131005HX0F")</f>
        <v>ES0031408323131005HX0F</v>
      </c>
      <c r="B5816" s="12">
        <f>IFERROR(__xludf.DUMMYFUNCTION("""COMPUTED_VALUE"""),45108.0)</f>
        <v>45108</v>
      </c>
      <c r="C5816" s="13">
        <f>IFERROR(__xludf.DUMMYFUNCTION("""COMPUTED_VALUE"""),0.3333333333333333)</f>
        <v>0.3333333333</v>
      </c>
      <c r="D5816" s="8">
        <f>IFERROR(__xludf.DUMMYFUNCTION("""COMPUTED_VALUE"""),0.352)</f>
        <v>0.352</v>
      </c>
      <c r="E5816" s="8" t="str">
        <f>IFERROR(__xludf.DUMMYFUNCTION("""COMPUTED_VALUE"""),"Real")</f>
        <v>Real</v>
      </c>
      <c r="G5816" s="8">
        <f t="shared" si="1"/>
        <v>7</v>
      </c>
      <c r="H5816" s="14">
        <f t="shared" si="2"/>
        <v>1</v>
      </c>
      <c r="I5816" s="15">
        <f t="shared" si="3"/>
        <v>8</v>
      </c>
    </row>
    <row r="5817">
      <c r="A5817" s="8" t="str">
        <f>IFERROR(__xludf.DUMMYFUNCTION("IF('(INGESTA)Datos_consumo_datadis'!A5817&lt;&gt;"""",SPLIT('(INGESTA)Datos_consumo_datadis'!A:A,"",""),"""")"),"ES0031408323131005HX0F")</f>
        <v>ES0031408323131005HX0F</v>
      </c>
      <c r="B5817" s="12">
        <f>IFERROR(__xludf.DUMMYFUNCTION("""COMPUTED_VALUE"""),45108.0)</f>
        <v>45108</v>
      </c>
      <c r="C5817" s="13">
        <f>IFERROR(__xludf.DUMMYFUNCTION("""COMPUTED_VALUE"""),0.375)</f>
        <v>0.375</v>
      </c>
      <c r="D5817" s="8">
        <f>IFERROR(__xludf.DUMMYFUNCTION("""COMPUTED_VALUE"""),0.173)</f>
        <v>0.173</v>
      </c>
      <c r="E5817" s="8" t="str">
        <f>IFERROR(__xludf.DUMMYFUNCTION("""COMPUTED_VALUE"""),"Real")</f>
        <v>Real</v>
      </c>
      <c r="G5817" s="8">
        <f t="shared" si="1"/>
        <v>7</v>
      </c>
      <c r="H5817" s="14">
        <f t="shared" si="2"/>
        <v>1</v>
      </c>
      <c r="I5817" s="15">
        <f t="shared" si="3"/>
        <v>9</v>
      </c>
    </row>
    <row r="5818">
      <c r="A5818" s="8" t="str">
        <f>IFERROR(__xludf.DUMMYFUNCTION("IF('(INGESTA)Datos_consumo_datadis'!A5818&lt;&gt;"""",SPLIT('(INGESTA)Datos_consumo_datadis'!A:A,"",""),"""")"),"ES0031408323131005HX0F")</f>
        <v>ES0031408323131005HX0F</v>
      </c>
      <c r="B5818" s="12">
        <f>IFERROR(__xludf.DUMMYFUNCTION("""COMPUTED_VALUE"""),45108.0)</f>
        <v>45108</v>
      </c>
      <c r="C5818" s="13">
        <f>IFERROR(__xludf.DUMMYFUNCTION("""COMPUTED_VALUE"""),0.4166666666666667)</f>
        <v>0.4166666667</v>
      </c>
      <c r="D5818" s="8">
        <f>IFERROR(__xludf.DUMMYFUNCTION("""COMPUTED_VALUE"""),0.119)</f>
        <v>0.119</v>
      </c>
      <c r="E5818" s="8" t="str">
        <f>IFERROR(__xludf.DUMMYFUNCTION("""COMPUTED_VALUE"""),"Real")</f>
        <v>Real</v>
      </c>
      <c r="G5818" s="8">
        <f t="shared" si="1"/>
        <v>7</v>
      </c>
      <c r="H5818" s="14">
        <f t="shared" si="2"/>
        <v>1</v>
      </c>
      <c r="I5818" s="15">
        <f t="shared" si="3"/>
        <v>10</v>
      </c>
    </row>
    <row r="5819">
      <c r="A5819" s="8" t="str">
        <f>IFERROR(__xludf.DUMMYFUNCTION("IF('(INGESTA)Datos_consumo_datadis'!A5819&lt;&gt;"""",SPLIT('(INGESTA)Datos_consumo_datadis'!A:A,"",""),"""")"),"ES0031408323131005HX0F")</f>
        <v>ES0031408323131005HX0F</v>
      </c>
      <c r="B5819" s="12">
        <f>IFERROR(__xludf.DUMMYFUNCTION("""COMPUTED_VALUE"""),45108.0)</f>
        <v>45108</v>
      </c>
      <c r="C5819" s="13">
        <f>IFERROR(__xludf.DUMMYFUNCTION("""COMPUTED_VALUE"""),0.4583333333333333)</f>
        <v>0.4583333333</v>
      </c>
      <c r="D5819" s="8">
        <f>IFERROR(__xludf.DUMMYFUNCTION("""COMPUTED_VALUE"""),0.092)</f>
        <v>0.092</v>
      </c>
      <c r="E5819" s="8" t="str">
        <f>IFERROR(__xludf.DUMMYFUNCTION("""COMPUTED_VALUE"""),"Real")</f>
        <v>Real</v>
      </c>
      <c r="G5819" s="8">
        <f t="shared" si="1"/>
        <v>7</v>
      </c>
      <c r="H5819" s="14">
        <f t="shared" si="2"/>
        <v>1</v>
      </c>
      <c r="I5819" s="15">
        <f t="shared" si="3"/>
        <v>11</v>
      </c>
    </row>
    <row r="5820">
      <c r="A5820" s="8" t="str">
        <f>IFERROR(__xludf.DUMMYFUNCTION("IF('(INGESTA)Datos_consumo_datadis'!A5820&lt;&gt;"""",SPLIT('(INGESTA)Datos_consumo_datadis'!A:A,"",""),"""")"),"ES0031408323131005HX0F")</f>
        <v>ES0031408323131005HX0F</v>
      </c>
      <c r="B5820" s="12">
        <f>IFERROR(__xludf.DUMMYFUNCTION("""COMPUTED_VALUE"""),45108.0)</f>
        <v>45108</v>
      </c>
      <c r="C5820" s="13">
        <f>IFERROR(__xludf.DUMMYFUNCTION("""COMPUTED_VALUE"""),0.5)</f>
        <v>0.5</v>
      </c>
      <c r="D5820" s="8">
        <f>IFERROR(__xludf.DUMMYFUNCTION("""COMPUTED_VALUE"""),0.042)</f>
        <v>0.042</v>
      </c>
      <c r="E5820" s="8" t="str">
        <f>IFERROR(__xludf.DUMMYFUNCTION("""COMPUTED_VALUE"""),"Real")</f>
        <v>Real</v>
      </c>
      <c r="G5820" s="8">
        <f t="shared" si="1"/>
        <v>7</v>
      </c>
      <c r="H5820" s="14">
        <f t="shared" si="2"/>
        <v>1</v>
      </c>
      <c r="I5820" s="15">
        <f t="shared" si="3"/>
        <v>12</v>
      </c>
    </row>
    <row r="5821">
      <c r="A5821" s="8" t="str">
        <f>IFERROR(__xludf.DUMMYFUNCTION("IF('(INGESTA)Datos_consumo_datadis'!A5821&lt;&gt;"""",SPLIT('(INGESTA)Datos_consumo_datadis'!A:A,"",""),"""")"),"ES0031408323131005HX0F")</f>
        <v>ES0031408323131005HX0F</v>
      </c>
      <c r="B5821" s="12">
        <f>IFERROR(__xludf.DUMMYFUNCTION("""COMPUTED_VALUE"""),45108.0)</f>
        <v>45108</v>
      </c>
      <c r="C5821" s="13">
        <f>IFERROR(__xludf.DUMMYFUNCTION("""COMPUTED_VALUE"""),0.5416666666666666)</f>
        <v>0.5416666667</v>
      </c>
      <c r="D5821" s="8">
        <f>IFERROR(__xludf.DUMMYFUNCTION("""COMPUTED_VALUE"""),0.128)</f>
        <v>0.128</v>
      </c>
      <c r="E5821" s="8" t="str">
        <f>IFERROR(__xludf.DUMMYFUNCTION("""COMPUTED_VALUE"""),"Real")</f>
        <v>Real</v>
      </c>
      <c r="G5821" s="8">
        <f t="shared" si="1"/>
        <v>7</v>
      </c>
      <c r="H5821" s="14">
        <f t="shared" si="2"/>
        <v>1</v>
      </c>
      <c r="I5821" s="15">
        <f t="shared" si="3"/>
        <v>13</v>
      </c>
    </row>
    <row r="5822">
      <c r="A5822" s="8" t="str">
        <f>IFERROR(__xludf.DUMMYFUNCTION("IF('(INGESTA)Datos_consumo_datadis'!A5822&lt;&gt;"""",SPLIT('(INGESTA)Datos_consumo_datadis'!A:A,"",""),"""")"),"ES0031408323131005HX0F")</f>
        <v>ES0031408323131005HX0F</v>
      </c>
      <c r="B5822" s="12">
        <f>IFERROR(__xludf.DUMMYFUNCTION("""COMPUTED_VALUE"""),45108.0)</f>
        <v>45108</v>
      </c>
      <c r="C5822" s="13">
        <f>IFERROR(__xludf.DUMMYFUNCTION("""COMPUTED_VALUE"""),0.5833333333333334)</f>
        <v>0.5833333333</v>
      </c>
      <c r="D5822" s="8">
        <f>IFERROR(__xludf.DUMMYFUNCTION("""COMPUTED_VALUE"""),0.206)</f>
        <v>0.206</v>
      </c>
      <c r="E5822" s="8" t="str">
        <f>IFERROR(__xludf.DUMMYFUNCTION("""COMPUTED_VALUE"""),"Real")</f>
        <v>Real</v>
      </c>
      <c r="G5822" s="8">
        <f t="shared" si="1"/>
        <v>7</v>
      </c>
      <c r="H5822" s="14">
        <f t="shared" si="2"/>
        <v>1</v>
      </c>
      <c r="I5822" s="15">
        <f t="shared" si="3"/>
        <v>14</v>
      </c>
    </row>
    <row r="5823">
      <c r="A5823" s="8" t="str">
        <f>IFERROR(__xludf.DUMMYFUNCTION("IF('(INGESTA)Datos_consumo_datadis'!A5823&lt;&gt;"""",SPLIT('(INGESTA)Datos_consumo_datadis'!A:A,"",""),"""")"),"ES0031408323131005HX0F")</f>
        <v>ES0031408323131005HX0F</v>
      </c>
      <c r="B5823" s="12">
        <f>IFERROR(__xludf.DUMMYFUNCTION("""COMPUTED_VALUE"""),45108.0)</f>
        <v>45108</v>
      </c>
      <c r="C5823" s="13">
        <f>IFERROR(__xludf.DUMMYFUNCTION("""COMPUTED_VALUE"""),0.625)</f>
        <v>0.625</v>
      </c>
      <c r="D5823" s="8">
        <f>IFERROR(__xludf.DUMMYFUNCTION("""COMPUTED_VALUE"""),1.535)</f>
        <v>1.535</v>
      </c>
      <c r="E5823" s="8" t="str">
        <f>IFERROR(__xludf.DUMMYFUNCTION("""COMPUTED_VALUE"""),"Real")</f>
        <v>Real</v>
      </c>
      <c r="G5823" s="8">
        <f t="shared" si="1"/>
        <v>7</v>
      </c>
      <c r="H5823" s="14">
        <f t="shared" si="2"/>
        <v>1</v>
      </c>
      <c r="I5823" s="15">
        <f t="shared" si="3"/>
        <v>15</v>
      </c>
    </row>
    <row r="5824">
      <c r="A5824" s="8" t="str">
        <f>IFERROR(__xludf.DUMMYFUNCTION("IF('(INGESTA)Datos_consumo_datadis'!A5824&lt;&gt;"""",SPLIT('(INGESTA)Datos_consumo_datadis'!A:A,"",""),"""")"),"ES0031408323131005HX0F")</f>
        <v>ES0031408323131005HX0F</v>
      </c>
      <c r="B5824" s="12">
        <f>IFERROR(__xludf.DUMMYFUNCTION("""COMPUTED_VALUE"""),45108.0)</f>
        <v>45108</v>
      </c>
      <c r="C5824" s="13">
        <f>IFERROR(__xludf.DUMMYFUNCTION("""COMPUTED_VALUE"""),0.6666666666666666)</f>
        <v>0.6666666667</v>
      </c>
      <c r="D5824" s="8">
        <f>IFERROR(__xludf.DUMMYFUNCTION("""COMPUTED_VALUE"""),0.072)</f>
        <v>0.072</v>
      </c>
      <c r="E5824" s="8" t="str">
        <f>IFERROR(__xludf.DUMMYFUNCTION("""COMPUTED_VALUE"""),"Real")</f>
        <v>Real</v>
      </c>
      <c r="G5824" s="8">
        <f t="shared" si="1"/>
        <v>7</v>
      </c>
      <c r="H5824" s="14">
        <f t="shared" si="2"/>
        <v>1</v>
      </c>
      <c r="I5824" s="15">
        <f t="shared" si="3"/>
        <v>16</v>
      </c>
    </row>
    <row r="5825">
      <c r="A5825" s="8" t="str">
        <f>IFERROR(__xludf.DUMMYFUNCTION("IF('(INGESTA)Datos_consumo_datadis'!A5825&lt;&gt;"""",SPLIT('(INGESTA)Datos_consumo_datadis'!A:A,"",""),"""")"),"ES0031408323131005HX0F")</f>
        <v>ES0031408323131005HX0F</v>
      </c>
      <c r="B5825" s="12">
        <f>IFERROR(__xludf.DUMMYFUNCTION("""COMPUTED_VALUE"""),45108.0)</f>
        <v>45108</v>
      </c>
      <c r="C5825" s="13">
        <f>IFERROR(__xludf.DUMMYFUNCTION("""COMPUTED_VALUE"""),0.7083333333333334)</f>
        <v>0.7083333333</v>
      </c>
      <c r="D5825" s="8">
        <f>IFERROR(__xludf.DUMMYFUNCTION("""COMPUTED_VALUE"""),0.067)</f>
        <v>0.067</v>
      </c>
      <c r="E5825" s="8" t="str">
        <f>IFERROR(__xludf.DUMMYFUNCTION("""COMPUTED_VALUE"""),"Real")</f>
        <v>Real</v>
      </c>
      <c r="G5825" s="8">
        <f t="shared" si="1"/>
        <v>7</v>
      </c>
      <c r="H5825" s="14">
        <f t="shared" si="2"/>
        <v>1</v>
      </c>
      <c r="I5825" s="15">
        <f t="shared" si="3"/>
        <v>17</v>
      </c>
    </row>
    <row r="5826">
      <c r="A5826" s="8" t="str">
        <f>IFERROR(__xludf.DUMMYFUNCTION("IF('(INGESTA)Datos_consumo_datadis'!A5826&lt;&gt;"""",SPLIT('(INGESTA)Datos_consumo_datadis'!A:A,"",""),"""")"),"ES0031408323131005HX0F")</f>
        <v>ES0031408323131005HX0F</v>
      </c>
      <c r="B5826" s="12">
        <f>IFERROR(__xludf.DUMMYFUNCTION("""COMPUTED_VALUE"""),45108.0)</f>
        <v>45108</v>
      </c>
      <c r="C5826" s="13">
        <f>IFERROR(__xludf.DUMMYFUNCTION("""COMPUTED_VALUE"""),0.75)</f>
        <v>0.75</v>
      </c>
      <c r="D5826" s="8">
        <f>IFERROR(__xludf.DUMMYFUNCTION("""COMPUTED_VALUE"""),0.061)</f>
        <v>0.061</v>
      </c>
      <c r="E5826" s="8" t="str">
        <f>IFERROR(__xludf.DUMMYFUNCTION("""COMPUTED_VALUE"""),"Real")</f>
        <v>Real</v>
      </c>
      <c r="G5826" s="8">
        <f t="shared" si="1"/>
        <v>7</v>
      </c>
      <c r="H5826" s="14">
        <f t="shared" si="2"/>
        <v>1</v>
      </c>
      <c r="I5826" s="15">
        <f t="shared" si="3"/>
        <v>18</v>
      </c>
    </row>
    <row r="5827">
      <c r="A5827" s="8" t="str">
        <f>IFERROR(__xludf.DUMMYFUNCTION("IF('(INGESTA)Datos_consumo_datadis'!A5827&lt;&gt;"""",SPLIT('(INGESTA)Datos_consumo_datadis'!A:A,"",""),"""")"),"ES0031408323131005HX0F")</f>
        <v>ES0031408323131005HX0F</v>
      </c>
      <c r="B5827" s="12">
        <f>IFERROR(__xludf.DUMMYFUNCTION("""COMPUTED_VALUE"""),45108.0)</f>
        <v>45108</v>
      </c>
      <c r="C5827" s="13">
        <f>IFERROR(__xludf.DUMMYFUNCTION("""COMPUTED_VALUE"""),0.7916666666666666)</f>
        <v>0.7916666667</v>
      </c>
      <c r="D5827" s="8">
        <f>IFERROR(__xludf.DUMMYFUNCTION("""COMPUTED_VALUE"""),0.761)</f>
        <v>0.761</v>
      </c>
      <c r="E5827" s="8" t="str">
        <f>IFERROR(__xludf.DUMMYFUNCTION("""COMPUTED_VALUE"""),"Real")</f>
        <v>Real</v>
      </c>
      <c r="G5827" s="8">
        <f t="shared" si="1"/>
        <v>7</v>
      </c>
      <c r="H5827" s="14">
        <f t="shared" si="2"/>
        <v>1</v>
      </c>
      <c r="I5827" s="15">
        <f t="shared" si="3"/>
        <v>19</v>
      </c>
    </row>
    <row r="5828">
      <c r="A5828" s="8" t="str">
        <f>IFERROR(__xludf.DUMMYFUNCTION("IF('(INGESTA)Datos_consumo_datadis'!A5828&lt;&gt;"""",SPLIT('(INGESTA)Datos_consumo_datadis'!A:A,"",""),"""")"),"ES0031408323131005HX0F")</f>
        <v>ES0031408323131005HX0F</v>
      </c>
      <c r="B5828" s="12">
        <f>IFERROR(__xludf.DUMMYFUNCTION("""COMPUTED_VALUE"""),45108.0)</f>
        <v>45108</v>
      </c>
      <c r="C5828" s="13">
        <f>IFERROR(__xludf.DUMMYFUNCTION("""COMPUTED_VALUE"""),0.8333333333333334)</f>
        <v>0.8333333333</v>
      </c>
      <c r="D5828" s="8">
        <f>IFERROR(__xludf.DUMMYFUNCTION("""COMPUTED_VALUE"""),0.851)</f>
        <v>0.851</v>
      </c>
      <c r="E5828" s="8" t="str">
        <f>IFERROR(__xludf.DUMMYFUNCTION("""COMPUTED_VALUE"""),"Real")</f>
        <v>Real</v>
      </c>
      <c r="G5828" s="8">
        <f t="shared" si="1"/>
        <v>7</v>
      </c>
      <c r="H5828" s="14">
        <f t="shared" si="2"/>
        <v>1</v>
      </c>
      <c r="I5828" s="15">
        <f t="shared" si="3"/>
        <v>20</v>
      </c>
    </row>
    <row r="5829">
      <c r="A5829" s="8" t="str">
        <f>IFERROR(__xludf.DUMMYFUNCTION("IF('(INGESTA)Datos_consumo_datadis'!A5829&lt;&gt;"""",SPLIT('(INGESTA)Datos_consumo_datadis'!A:A,"",""),"""")"),"ES0031408323131005HX0F")</f>
        <v>ES0031408323131005HX0F</v>
      </c>
      <c r="B5829" s="12">
        <f>IFERROR(__xludf.DUMMYFUNCTION("""COMPUTED_VALUE"""),45108.0)</f>
        <v>45108</v>
      </c>
      <c r="C5829" s="13">
        <f>IFERROR(__xludf.DUMMYFUNCTION("""COMPUTED_VALUE"""),0.875)</f>
        <v>0.875</v>
      </c>
      <c r="D5829" s="8">
        <f>IFERROR(__xludf.DUMMYFUNCTION("""COMPUTED_VALUE"""),0.046)</f>
        <v>0.046</v>
      </c>
      <c r="E5829" s="8" t="str">
        <f>IFERROR(__xludf.DUMMYFUNCTION("""COMPUTED_VALUE"""),"Real")</f>
        <v>Real</v>
      </c>
      <c r="G5829" s="8">
        <f t="shared" si="1"/>
        <v>7</v>
      </c>
      <c r="H5829" s="14">
        <f t="shared" si="2"/>
        <v>1</v>
      </c>
      <c r="I5829" s="15">
        <f t="shared" si="3"/>
        <v>21</v>
      </c>
    </row>
    <row r="5830">
      <c r="A5830" s="8" t="str">
        <f>IFERROR(__xludf.DUMMYFUNCTION("IF('(INGESTA)Datos_consumo_datadis'!A5830&lt;&gt;"""",SPLIT('(INGESTA)Datos_consumo_datadis'!A:A,"",""),"""")"),"ES0031408323131005HX0F")</f>
        <v>ES0031408323131005HX0F</v>
      </c>
      <c r="B5830" s="12">
        <f>IFERROR(__xludf.DUMMYFUNCTION("""COMPUTED_VALUE"""),45108.0)</f>
        <v>45108</v>
      </c>
      <c r="C5830" s="13">
        <f>IFERROR(__xludf.DUMMYFUNCTION("""COMPUTED_VALUE"""),0.9166666666666666)</f>
        <v>0.9166666667</v>
      </c>
      <c r="D5830" s="8">
        <f>IFERROR(__xludf.DUMMYFUNCTION("""COMPUTED_VALUE"""),0.078)</f>
        <v>0.078</v>
      </c>
      <c r="E5830" s="8" t="str">
        <f>IFERROR(__xludf.DUMMYFUNCTION("""COMPUTED_VALUE"""),"Real")</f>
        <v>Real</v>
      </c>
      <c r="G5830" s="8">
        <f t="shared" si="1"/>
        <v>7</v>
      </c>
      <c r="H5830" s="14">
        <f t="shared" si="2"/>
        <v>1</v>
      </c>
      <c r="I5830" s="15">
        <f t="shared" si="3"/>
        <v>22</v>
      </c>
    </row>
    <row r="5831">
      <c r="A5831" s="8" t="str">
        <f>IFERROR(__xludf.DUMMYFUNCTION("IF('(INGESTA)Datos_consumo_datadis'!A5831&lt;&gt;"""",SPLIT('(INGESTA)Datos_consumo_datadis'!A:A,"",""),"""")"),"ES0031408323131005HX0F")</f>
        <v>ES0031408323131005HX0F</v>
      </c>
      <c r="B5831" s="12">
        <f>IFERROR(__xludf.DUMMYFUNCTION("""COMPUTED_VALUE"""),45108.0)</f>
        <v>45108</v>
      </c>
      <c r="C5831" s="13">
        <f>IFERROR(__xludf.DUMMYFUNCTION("""COMPUTED_VALUE"""),0.9583333333333334)</f>
        <v>0.9583333333</v>
      </c>
      <c r="D5831" s="8">
        <f>IFERROR(__xludf.DUMMYFUNCTION("""COMPUTED_VALUE"""),0.081)</f>
        <v>0.081</v>
      </c>
      <c r="E5831" s="8" t="str">
        <f>IFERROR(__xludf.DUMMYFUNCTION("""COMPUTED_VALUE"""),"Real")</f>
        <v>Real</v>
      </c>
      <c r="G5831" s="8">
        <f t="shared" si="1"/>
        <v>7</v>
      </c>
      <c r="H5831" s="14">
        <f t="shared" si="2"/>
        <v>1</v>
      </c>
      <c r="I5831" s="15">
        <f t="shared" si="3"/>
        <v>23</v>
      </c>
    </row>
    <row r="5832">
      <c r="A5832" s="8" t="str">
        <f>IFERROR(__xludf.DUMMYFUNCTION("IF('(INGESTA)Datos_consumo_datadis'!A5832&lt;&gt;"""",SPLIT('(INGESTA)Datos_consumo_datadis'!A:A,"",""),"""")"),"ES0031408323131005HX0F")</f>
        <v>ES0031408323131005HX0F</v>
      </c>
      <c r="B5832" s="12">
        <f>IFERROR(__xludf.DUMMYFUNCTION("""COMPUTED_VALUE"""),45108.0)</f>
        <v>45108</v>
      </c>
      <c r="C5832" s="16">
        <f>IFERROR(__xludf.DUMMYFUNCTION("""COMPUTED_VALUE"""),1.0)</f>
        <v>1</v>
      </c>
      <c r="D5832" s="8">
        <f>IFERROR(__xludf.DUMMYFUNCTION("""COMPUTED_VALUE"""),0.062)</f>
        <v>0.062</v>
      </c>
      <c r="E5832" s="8" t="str">
        <f>IFERROR(__xludf.DUMMYFUNCTION("""COMPUTED_VALUE"""),"Real")</f>
        <v>Real</v>
      </c>
      <c r="G5832" s="8">
        <f t="shared" si="1"/>
        <v>7</v>
      </c>
      <c r="H5832" s="14">
        <f t="shared" si="2"/>
        <v>1</v>
      </c>
      <c r="I5832" s="15">
        <f t="shared" si="3"/>
        <v>0</v>
      </c>
    </row>
    <row r="5833">
      <c r="A5833" s="8" t="str">
        <f>IFERROR(__xludf.DUMMYFUNCTION("IF('(INGESTA)Datos_consumo_datadis'!A5833&lt;&gt;"""",SPLIT('(INGESTA)Datos_consumo_datadis'!A:A,"",""),"""")"),"ES0031408323131005HX0F")</f>
        <v>ES0031408323131005HX0F</v>
      </c>
      <c r="B5833" s="12">
        <f>IFERROR(__xludf.DUMMYFUNCTION("""COMPUTED_VALUE"""),45109.0)</f>
        <v>45109</v>
      </c>
      <c r="C5833" s="13">
        <f>IFERROR(__xludf.DUMMYFUNCTION("""COMPUTED_VALUE"""),0.041666666666666664)</f>
        <v>0.04166666667</v>
      </c>
      <c r="D5833" s="8">
        <f>IFERROR(__xludf.DUMMYFUNCTION("""COMPUTED_VALUE"""),0.088)</f>
        <v>0.088</v>
      </c>
      <c r="E5833" s="8" t="str">
        <f>IFERROR(__xludf.DUMMYFUNCTION("""COMPUTED_VALUE"""),"Real")</f>
        <v>Real</v>
      </c>
      <c r="G5833" s="8">
        <f t="shared" si="1"/>
        <v>7</v>
      </c>
      <c r="H5833" s="14">
        <f t="shared" si="2"/>
        <v>2</v>
      </c>
      <c r="I5833" s="15">
        <f t="shared" si="3"/>
        <v>1</v>
      </c>
    </row>
    <row r="5834">
      <c r="A5834" s="8" t="str">
        <f>IFERROR(__xludf.DUMMYFUNCTION("IF('(INGESTA)Datos_consumo_datadis'!A5834&lt;&gt;"""",SPLIT('(INGESTA)Datos_consumo_datadis'!A:A,"",""),"""")"),"ES0031408323131005HX0F")</f>
        <v>ES0031408323131005HX0F</v>
      </c>
      <c r="B5834" s="12">
        <f>IFERROR(__xludf.DUMMYFUNCTION("""COMPUTED_VALUE"""),45109.0)</f>
        <v>45109</v>
      </c>
      <c r="C5834" s="13">
        <f>IFERROR(__xludf.DUMMYFUNCTION("""COMPUTED_VALUE"""),0.08333333333333333)</f>
        <v>0.08333333333</v>
      </c>
      <c r="D5834" s="8">
        <f>IFERROR(__xludf.DUMMYFUNCTION("""COMPUTED_VALUE"""),0.378)</f>
        <v>0.378</v>
      </c>
      <c r="E5834" s="8" t="str">
        <f>IFERROR(__xludf.DUMMYFUNCTION("""COMPUTED_VALUE"""),"Real")</f>
        <v>Real</v>
      </c>
      <c r="G5834" s="8">
        <f t="shared" si="1"/>
        <v>7</v>
      </c>
      <c r="H5834" s="14">
        <f t="shared" si="2"/>
        <v>2</v>
      </c>
      <c r="I5834" s="15">
        <f t="shared" si="3"/>
        <v>2</v>
      </c>
    </row>
    <row r="5835">
      <c r="A5835" s="8" t="str">
        <f>IFERROR(__xludf.DUMMYFUNCTION("IF('(INGESTA)Datos_consumo_datadis'!A5835&lt;&gt;"""",SPLIT('(INGESTA)Datos_consumo_datadis'!A:A,"",""),"""")"),"ES0031408323131005HX0F")</f>
        <v>ES0031408323131005HX0F</v>
      </c>
      <c r="B5835" s="12">
        <f>IFERROR(__xludf.DUMMYFUNCTION("""COMPUTED_VALUE"""),45109.0)</f>
        <v>45109</v>
      </c>
      <c r="C5835" s="13">
        <f>IFERROR(__xludf.DUMMYFUNCTION("""COMPUTED_VALUE"""),0.125)</f>
        <v>0.125</v>
      </c>
      <c r="D5835" s="8">
        <f>IFERROR(__xludf.DUMMYFUNCTION("""COMPUTED_VALUE"""),0.07)</f>
        <v>0.07</v>
      </c>
      <c r="E5835" s="8" t="str">
        <f>IFERROR(__xludf.DUMMYFUNCTION("""COMPUTED_VALUE"""),"Real")</f>
        <v>Real</v>
      </c>
      <c r="G5835" s="8">
        <f t="shared" si="1"/>
        <v>7</v>
      </c>
      <c r="H5835" s="14">
        <f t="shared" si="2"/>
        <v>2</v>
      </c>
      <c r="I5835" s="15">
        <f t="shared" si="3"/>
        <v>3</v>
      </c>
    </row>
    <row r="5836">
      <c r="A5836" s="8" t="str">
        <f>IFERROR(__xludf.DUMMYFUNCTION("IF('(INGESTA)Datos_consumo_datadis'!A5836&lt;&gt;"""",SPLIT('(INGESTA)Datos_consumo_datadis'!A:A,"",""),"""")"),"ES0031408323131005HX0F")</f>
        <v>ES0031408323131005HX0F</v>
      </c>
      <c r="B5836" s="12">
        <f>IFERROR(__xludf.DUMMYFUNCTION("""COMPUTED_VALUE"""),45109.0)</f>
        <v>45109</v>
      </c>
      <c r="C5836" s="13">
        <f>IFERROR(__xludf.DUMMYFUNCTION("""COMPUTED_VALUE"""),0.16666666666666666)</f>
        <v>0.1666666667</v>
      </c>
      <c r="D5836" s="8">
        <f>IFERROR(__xludf.DUMMYFUNCTION("""COMPUTED_VALUE"""),0.075)</f>
        <v>0.075</v>
      </c>
      <c r="E5836" s="8" t="str">
        <f>IFERROR(__xludf.DUMMYFUNCTION("""COMPUTED_VALUE"""),"Real")</f>
        <v>Real</v>
      </c>
      <c r="G5836" s="8">
        <f t="shared" si="1"/>
        <v>7</v>
      </c>
      <c r="H5836" s="14">
        <f t="shared" si="2"/>
        <v>2</v>
      </c>
      <c r="I5836" s="15">
        <f t="shared" si="3"/>
        <v>4</v>
      </c>
    </row>
    <row r="5837">
      <c r="A5837" s="8" t="str">
        <f>IFERROR(__xludf.DUMMYFUNCTION("IF('(INGESTA)Datos_consumo_datadis'!A5837&lt;&gt;"""",SPLIT('(INGESTA)Datos_consumo_datadis'!A:A,"",""),"""")"),"ES0031408323131005HX0F")</f>
        <v>ES0031408323131005HX0F</v>
      </c>
      <c r="B5837" s="12">
        <f>IFERROR(__xludf.DUMMYFUNCTION("""COMPUTED_VALUE"""),45109.0)</f>
        <v>45109</v>
      </c>
      <c r="C5837" s="13">
        <f>IFERROR(__xludf.DUMMYFUNCTION("""COMPUTED_VALUE"""),0.20833333333333334)</f>
        <v>0.2083333333</v>
      </c>
      <c r="D5837" s="8">
        <f>IFERROR(__xludf.DUMMYFUNCTION("""COMPUTED_VALUE"""),0.089)</f>
        <v>0.089</v>
      </c>
      <c r="E5837" s="8" t="str">
        <f>IFERROR(__xludf.DUMMYFUNCTION("""COMPUTED_VALUE"""),"Real")</f>
        <v>Real</v>
      </c>
      <c r="G5837" s="8">
        <f t="shared" si="1"/>
        <v>7</v>
      </c>
      <c r="H5837" s="14">
        <f t="shared" si="2"/>
        <v>2</v>
      </c>
      <c r="I5837" s="15">
        <f t="shared" si="3"/>
        <v>5</v>
      </c>
    </row>
    <row r="5838">
      <c r="A5838" s="8" t="str">
        <f>IFERROR(__xludf.DUMMYFUNCTION("IF('(INGESTA)Datos_consumo_datadis'!A5838&lt;&gt;"""",SPLIT('(INGESTA)Datos_consumo_datadis'!A:A,"",""),"""")"),"ES0031408323131005HX0F")</f>
        <v>ES0031408323131005HX0F</v>
      </c>
      <c r="B5838" s="12">
        <f>IFERROR(__xludf.DUMMYFUNCTION("""COMPUTED_VALUE"""),45109.0)</f>
        <v>45109</v>
      </c>
      <c r="C5838" s="13">
        <f>IFERROR(__xludf.DUMMYFUNCTION("""COMPUTED_VALUE"""),0.25)</f>
        <v>0.25</v>
      </c>
      <c r="D5838" s="8">
        <f>IFERROR(__xludf.DUMMYFUNCTION("""COMPUTED_VALUE"""),0.067)</f>
        <v>0.067</v>
      </c>
      <c r="E5838" s="8" t="str">
        <f>IFERROR(__xludf.DUMMYFUNCTION("""COMPUTED_VALUE"""),"Real")</f>
        <v>Real</v>
      </c>
      <c r="G5838" s="8">
        <f t="shared" si="1"/>
        <v>7</v>
      </c>
      <c r="H5838" s="14">
        <f t="shared" si="2"/>
        <v>2</v>
      </c>
      <c r="I5838" s="15">
        <f t="shared" si="3"/>
        <v>6</v>
      </c>
    </row>
    <row r="5839">
      <c r="A5839" s="8" t="str">
        <f>IFERROR(__xludf.DUMMYFUNCTION("IF('(INGESTA)Datos_consumo_datadis'!A5839&lt;&gt;"""",SPLIT('(INGESTA)Datos_consumo_datadis'!A:A,"",""),"""")"),"ES0031408323131005HX0F")</f>
        <v>ES0031408323131005HX0F</v>
      </c>
      <c r="B5839" s="12">
        <f>IFERROR(__xludf.DUMMYFUNCTION("""COMPUTED_VALUE"""),45109.0)</f>
        <v>45109</v>
      </c>
      <c r="C5839" s="13">
        <f>IFERROR(__xludf.DUMMYFUNCTION("""COMPUTED_VALUE"""),0.2916666666666667)</f>
        <v>0.2916666667</v>
      </c>
      <c r="D5839" s="8">
        <f>IFERROR(__xludf.DUMMYFUNCTION("""COMPUTED_VALUE"""),0.08)</f>
        <v>0.08</v>
      </c>
      <c r="E5839" s="8" t="str">
        <f>IFERROR(__xludf.DUMMYFUNCTION("""COMPUTED_VALUE"""),"Real")</f>
        <v>Real</v>
      </c>
      <c r="G5839" s="8">
        <f t="shared" si="1"/>
        <v>7</v>
      </c>
      <c r="H5839" s="14">
        <f t="shared" si="2"/>
        <v>2</v>
      </c>
      <c r="I5839" s="15">
        <f t="shared" si="3"/>
        <v>7</v>
      </c>
    </row>
    <row r="5840">
      <c r="A5840" s="8" t="str">
        <f>IFERROR(__xludf.DUMMYFUNCTION("IF('(INGESTA)Datos_consumo_datadis'!A5840&lt;&gt;"""",SPLIT('(INGESTA)Datos_consumo_datadis'!A:A,"",""),"""")"),"ES0031408323131005HX0F")</f>
        <v>ES0031408323131005HX0F</v>
      </c>
      <c r="B5840" s="12">
        <f>IFERROR(__xludf.DUMMYFUNCTION("""COMPUTED_VALUE"""),45109.0)</f>
        <v>45109</v>
      </c>
      <c r="C5840" s="13">
        <f>IFERROR(__xludf.DUMMYFUNCTION("""COMPUTED_VALUE"""),0.3333333333333333)</f>
        <v>0.3333333333</v>
      </c>
      <c r="D5840" s="8">
        <f>IFERROR(__xludf.DUMMYFUNCTION("""COMPUTED_VALUE"""),0.127)</f>
        <v>0.127</v>
      </c>
      <c r="E5840" s="8" t="str">
        <f>IFERROR(__xludf.DUMMYFUNCTION("""COMPUTED_VALUE"""),"Real")</f>
        <v>Real</v>
      </c>
      <c r="G5840" s="8">
        <f t="shared" si="1"/>
        <v>7</v>
      </c>
      <c r="H5840" s="14">
        <f t="shared" si="2"/>
        <v>2</v>
      </c>
      <c r="I5840" s="15">
        <f t="shared" si="3"/>
        <v>8</v>
      </c>
    </row>
    <row r="5841">
      <c r="A5841" s="8" t="str">
        <f>IFERROR(__xludf.DUMMYFUNCTION("IF('(INGESTA)Datos_consumo_datadis'!A5841&lt;&gt;"""",SPLIT('(INGESTA)Datos_consumo_datadis'!A:A,"",""),"""")"),"ES0031408323131005HX0F")</f>
        <v>ES0031408323131005HX0F</v>
      </c>
      <c r="B5841" s="12">
        <f>IFERROR(__xludf.DUMMYFUNCTION("""COMPUTED_VALUE"""),45109.0)</f>
        <v>45109</v>
      </c>
      <c r="C5841" s="13">
        <f>IFERROR(__xludf.DUMMYFUNCTION("""COMPUTED_VALUE"""),0.375)</f>
        <v>0.375</v>
      </c>
      <c r="D5841" s="8">
        <f>IFERROR(__xludf.DUMMYFUNCTION("""COMPUTED_VALUE"""),0.129)</f>
        <v>0.129</v>
      </c>
      <c r="E5841" s="8" t="str">
        <f>IFERROR(__xludf.DUMMYFUNCTION("""COMPUTED_VALUE"""),"Real")</f>
        <v>Real</v>
      </c>
      <c r="G5841" s="8">
        <f t="shared" si="1"/>
        <v>7</v>
      </c>
      <c r="H5841" s="14">
        <f t="shared" si="2"/>
        <v>2</v>
      </c>
      <c r="I5841" s="15">
        <f t="shared" si="3"/>
        <v>9</v>
      </c>
    </row>
    <row r="5842">
      <c r="A5842" s="8" t="str">
        <f>IFERROR(__xludf.DUMMYFUNCTION("IF('(INGESTA)Datos_consumo_datadis'!A5842&lt;&gt;"""",SPLIT('(INGESTA)Datos_consumo_datadis'!A:A,"",""),"""")"),"ES0031408323131005HX0F")</f>
        <v>ES0031408323131005HX0F</v>
      </c>
      <c r="B5842" s="12">
        <f>IFERROR(__xludf.DUMMYFUNCTION("""COMPUTED_VALUE"""),45109.0)</f>
        <v>45109</v>
      </c>
      <c r="C5842" s="13">
        <f>IFERROR(__xludf.DUMMYFUNCTION("""COMPUTED_VALUE"""),0.4166666666666667)</f>
        <v>0.4166666667</v>
      </c>
      <c r="D5842" s="8">
        <f>IFERROR(__xludf.DUMMYFUNCTION("""COMPUTED_VALUE"""),0.091)</f>
        <v>0.091</v>
      </c>
      <c r="E5842" s="8" t="str">
        <f>IFERROR(__xludf.DUMMYFUNCTION("""COMPUTED_VALUE"""),"Real")</f>
        <v>Real</v>
      </c>
      <c r="G5842" s="8">
        <f t="shared" si="1"/>
        <v>7</v>
      </c>
      <c r="H5842" s="14">
        <f t="shared" si="2"/>
        <v>2</v>
      </c>
      <c r="I5842" s="15">
        <f t="shared" si="3"/>
        <v>10</v>
      </c>
    </row>
    <row r="5843">
      <c r="A5843" s="8" t="str">
        <f>IFERROR(__xludf.DUMMYFUNCTION("IF('(INGESTA)Datos_consumo_datadis'!A5843&lt;&gt;"""",SPLIT('(INGESTA)Datos_consumo_datadis'!A:A,"",""),"""")"),"ES0031408323131005HX0F")</f>
        <v>ES0031408323131005HX0F</v>
      </c>
      <c r="B5843" s="12">
        <f>IFERROR(__xludf.DUMMYFUNCTION("""COMPUTED_VALUE"""),45109.0)</f>
        <v>45109</v>
      </c>
      <c r="C5843" s="13">
        <f>IFERROR(__xludf.DUMMYFUNCTION("""COMPUTED_VALUE"""),0.4583333333333333)</f>
        <v>0.4583333333</v>
      </c>
      <c r="D5843" s="8">
        <f>IFERROR(__xludf.DUMMYFUNCTION("""COMPUTED_VALUE"""),0.38)</f>
        <v>0.38</v>
      </c>
      <c r="E5843" s="8" t="str">
        <f>IFERROR(__xludf.DUMMYFUNCTION("""COMPUTED_VALUE"""),"Real")</f>
        <v>Real</v>
      </c>
      <c r="G5843" s="8">
        <f t="shared" si="1"/>
        <v>7</v>
      </c>
      <c r="H5843" s="14">
        <f t="shared" si="2"/>
        <v>2</v>
      </c>
      <c r="I5843" s="15">
        <f t="shared" si="3"/>
        <v>11</v>
      </c>
    </row>
    <row r="5844">
      <c r="A5844" s="8" t="str">
        <f>IFERROR(__xludf.DUMMYFUNCTION("IF('(INGESTA)Datos_consumo_datadis'!A5844&lt;&gt;"""",SPLIT('(INGESTA)Datos_consumo_datadis'!A:A,"",""),"""")"),"ES0031408323131005HX0F")</f>
        <v>ES0031408323131005HX0F</v>
      </c>
      <c r="B5844" s="12">
        <f>IFERROR(__xludf.DUMMYFUNCTION("""COMPUTED_VALUE"""),45109.0)</f>
        <v>45109</v>
      </c>
      <c r="C5844" s="13">
        <f>IFERROR(__xludf.DUMMYFUNCTION("""COMPUTED_VALUE"""),0.5)</f>
        <v>0.5</v>
      </c>
      <c r="D5844" s="8">
        <f>IFERROR(__xludf.DUMMYFUNCTION("""COMPUTED_VALUE"""),0.703)</f>
        <v>0.703</v>
      </c>
      <c r="E5844" s="8" t="str">
        <f>IFERROR(__xludf.DUMMYFUNCTION("""COMPUTED_VALUE"""),"Real")</f>
        <v>Real</v>
      </c>
      <c r="G5844" s="8">
        <f t="shared" si="1"/>
        <v>7</v>
      </c>
      <c r="H5844" s="14">
        <f t="shared" si="2"/>
        <v>2</v>
      </c>
      <c r="I5844" s="15">
        <f t="shared" si="3"/>
        <v>12</v>
      </c>
    </row>
    <row r="5845">
      <c r="A5845" s="8" t="str">
        <f>IFERROR(__xludf.DUMMYFUNCTION("IF('(INGESTA)Datos_consumo_datadis'!A5845&lt;&gt;"""",SPLIT('(INGESTA)Datos_consumo_datadis'!A:A,"",""),"""")"),"ES0031408323131005HX0F")</f>
        <v>ES0031408323131005HX0F</v>
      </c>
      <c r="B5845" s="12">
        <f>IFERROR(__xludf.DUMMYFUNCTION("""COMPUTED_VALUE"""),45109.0)</f>
        <v>45109</v>
      </c>
      <c r="C5845" s="13">
        <f>IFERROR(__xludf.DUMMYFUNCTION("""COMPUTED_VALUE"""),0.5416666666666666)</f>
        <v>0.5416666667</v>
      </c>
      <c r="D5845" s="8">
        <f>IFERROR(__xludf.DUMMYFUNCTION("""COMPUTED_VALUE"""),0.082)</f>
        <v>0.082</v>
      </c>
      <c r="E5845" s="8" t="str">
        <f>IFERROR(__xludf.DUMMYFUNCTION("""COMPUTED_VALUE"""),"Real")</f>
        <v>Real</v>
      </c>
      <c r="G5845" s="8">
        <f t="shared" si="1"/>
        <v>7</v>
      </c>
      <c r="H5845" s="14">
        <f t="shared" si="2"/>
        <v>2</v>
      </c>
      <c r="I5845" s="15">
        <f t="shared" si="3"/>
        <v>13</v>
      </c>
    </row>
    <row r="5846">
      <c r="A5846" s="8" t="str">
        <f>IFERROR(__xludf.DUMMYFUNCTION("IF('(INGESTA)Datos_consumo_datadis'!A5846&lt;&gt;"""",SPLIT('(INGESTA)Datos_consumo_datadis'!A:A,"",""),"""")"),"ES0031408323131005HX0F")</f>
        <v>ES0031408323131005HX0F</v>
      </c>
      <c r="B5846" s="12">
        <f>IFERROR(__xludf.DUMMYFUNCTION("""COMPUTED_VALUE"""),45109.0)</f>
        <v>45109</v>
      </c>
      <c r="C5846" s="13">
        <f>IFERROR(__xludf.DUMMYFUNCTION("""COMPUTED_VALUE"""),0.5833333333333334)</f>
        <v>0.5833333333</v>
      </c>
      <c r="D5846" s="8">
        <f>IFERROR(__xludf.DUMMYFUNCTION("""COMPUTED_VALUE"""),0.068)</f>
        <v>0.068</v>
      </c>
      <c r="E5846" s="8" t="str">
        <f>IFERROR(__xludf.DUMMYFUNCTION("""COMPUTED_VALUE"""),"Real")</f>
        <v>Real</v>
      </c>
      <c r="G5846" s="8">
        <f t="shared" si="1"/>
        <v>7</v>
      </c>
      <c r="H5846" s="14">
        <f t="shared" si="2"/>
        <v>2</v>
      </c>
      <c r="I5846" s="15">
        <f t="shared" si="3"/>
        <v>14</v>
      </c>
    </row>
    <row r="5847">
      <c r="A5847" s="8" t="str">
        <f>IFERROR(__xludf.DUMMYFUNCTION("IF('(INGESTA)Datos_consumo_datadis'!A5847&lt;&gt;"""",SPLIT('(INGESTA)Datos_consumo_datadis'!A:A,"",""),"""")"),"ES0031408323131005HX0F")</f>
        <v>ES0031408323131005HX0F</v>
      </c>
      <c r="B5847" s="12">
        <f>IFERROR(__xludf.DUMMYFUNCTION("""COMPUTED_VALUE"""),45109.0)</f>
        <v>45109</v>
      </c>
      <c r="C5847" s="13">
        <f>IFERROR(__xludf.DUMMYFUNCTION("""COMPUTED_VALUE"""),0.625)</f>
        <v>0.625</v>
      </c>
      <c r="D5847" s="8">
        <f>IFERROR(__xludf.DUMMYFUNCTION("""COMPUTED_VALUE"""),1.346)</f>
        <v>1.346</v>
      </c>
      <c r="E5847" s="8" t="str">
        <f>IFERROR(__xludf.DUMMYFUNCTION("""COMPUTED_VALUE"""),"Real")</f>
        <v>Real</v>
      </c>
      <c r="G5847" s="8">
        <f t="shared" si="1"/>
        <v>7</v>
      </c>
      <c r="H5847" s="14">
        <f t="shared" si="2"/>
        <v>2</v>
      </c>
      <c r="I5847" s="15">
        <f t="shared" si="3"/>
        <v>15</v>
      </c>
    </row>
    <row r="5848">
      <c r="A5848" s="8" t="str">
        <f>IFERROR(__xludf.DUMMYFUNCTION("IF('(INGESTA)Datos_consumo_datadis'!A5848&lt;&gt;"""",SPLIT('(INGESTA)Datos_consumo_datadis'!A:A,"",""),"""")"),"ES0031408323131005HX0F")</f>
        <v>ES0031408323131005HX0F</v>
      </c>
      <c r="B5848" s="12">
        <f>IFERROR(__xludf.DUMMYFUNCTION("""COMPUTED_VALUE"""),45109.0)</f>
        <v>45109</v>
      </c>
      <c r="C5848" s="13">
        <f>IFERROR(__xludf.DUMMYFUNCTION("""COMPUTED_VALUE"""),0.6666666666666666)</f>
        <v>0.6666666667</v>
      </c>
      <c r="D5848" s="8">
        <f>IFERROR(__xludf.DUMMYFUNCTION("""COMPUTED_VALUE"""),0.112)</f>
        <v>0.112</v>
      </c>
      <c r="E5848" s="8" t="str">
        <f>IFERROR(__xludf.DUMMYFUNCTION("""COMPUTED_VALUE"""),"Real")</f>
        <v>Real</v>
      </c>
      <c r="G5848" s="8">
        <f t="shared" si="1"/>
        <v>7</v>
      </c>
      <c r="H5848" s="14">
        <f t="shared" si="2"/>
        <v>2</v>
      </c>
      <c r="I5848" s="15">
        <f t="shared" si="3"/>
        <v>16</v>
      </c>
    </row>
    <row r="5849">
      <c r="A5849" s="8" t="str">
        <f>IFERROR(__xludf.DUMMYFUNCTION("IF('(INGESTA)Datos_consumo_datadis'!A5849&lt;&gt;"""",SPLIT('(INGESTA)Datos_consumo_datadis'!A:A,"",""),"""")"),"ES0031408323131005HX0F")</f>
        <v>ES0031408323131005HX0F</v>
      </c>
      <c r="B5849" s="12">
        <f>IFERROR(__xludf.DUMMYFUNCTION("""COMPUTED_VALUE"""),45109.0)</f>
        <v>45109</v>
      </c>
      <c r="C5849" s="13">
        <f>IFERROR(__xludf.DUMMYFUNCTION("""COMPUTED_VALUE"""),0.7083333333333334)</f>
        <v>0.7083333333</v>
      </c>
      <c r="D5849" s="8">
        <f>IFERROR(__xludf.DUMMYFUNCTION("""COMPUTED_VALUE"""),0.121)</f>
        <v>0.121</v>
      </c>
      <c r="E5849" s="8" t="str">
        <f>IFERROR(__xludf.DUMMYFUNCTION("""COMPUTED_VALUE"""),"Real")</f>
        <v>Real</v>
      </c>
      <c r="G5849" s="8">
        <f t="shared" si="1"/>
        <v>7</v>
      </c>
      <c r="H5849" s="14">
        <f t="shared" si="2"/>
        <v>2</v>
      </c>
      <c r="I5849" s="15">
        <f t="shared" si="3"/>
        <v>17</v>
      </c>
    </row>
    <row r="5850">
      <c r="A5850" s="8" t="str">
        <f>IFERROR(__xludf.DUMMYFUNCTION("IF('(INGESTA)Datos_consumo_datadis'!A5850&lt;&gt;"""",SPLIT('(INGESTA)Datos_consumo_datadis'!A:A,"",""),"""")"),"ES0031408323131005HX0F")</f>
        <v>ES0031408323131005HX0F</v>
      </c>
      <c r="B5850" s="12">
        <f>IFERROR(__xludf.DUMMYFUNCTION("""COMPUTED_VALUE"""),45109.0)</f>
        <v>45109</v>
      </c>
      <c r="C5850" s="13">
        <f>IFERROR(__xludf.DUMMYFUNCTION("""COMPUTED_VALUE"""),0.75)</f>
        <v>0.75</v>
      </c>
      <c r="D5850" s="8">
        <f>IFERROR(__xludf.DUMMYFUNCTION("""COMPUTED_VALUE"""),0.105)</f>
        <v>0.105</v>
      </c>
      <c r="E5850" s="8" t="str">
        <f>IFERROR(__xludf.DUMMYFUNCTION("""COMPUTED_VALUE"""),"Real")</f>
        <v>Real</v>
      </c>
      <c r="G5850" s="8">
        <f t="shared" si="1"/>
        <v>7</v>
      </c>
      <c r="H5850" s="14">
        <f t="shared" si="2"/>
        <v>2</v>
      </c>
      <c r="I5850" s="15">
        <f t="shared" si="3"/>
        <v>18</v>
      </c>
    </row>
    <row r="5851">
      <c r="A5851" s="8" t="str">
        <f>IFERROR(__xludf.DUMMYFUNCTION("IF('(INGESTA)Datos_consumo_datadis'!A5851&lt;&gt;"""",SPLIT('(INGESTA)Datos_consumo_datadis'!A:A,"",""),"""")"),"ES0031408323131005HX0F")</f>
        <v>ES0031408323131005HX0F</v>
      </c>
      <c r="B5851" s="12">
        <f>IFERROR(__xludf.DUMMYFUNCTION("""COMPUTED_VALUE"""),45109.0)</f>
        <v>45109</v>
      </c>
      <c r="C5851" s="13">
        <f>IFERROR(__xludf.DUMMYFUNCTION("""COMPUTED_VALUE"""),0.7916666666666666)</f>
        <v>0.7916666667</v>
      </c>
      <c r="D5851" s="8">
        <f>IFERROR(__xludf.DUMMYFUNCTION("""COMPUTED_VALUE"""),0.107)</f>
        <v>0.107</v>
      </c>
      <c r="E5851" s="8" t="str">
        <f>IFERROR(__xludf.DUMMYFUNCTION("""COMPUTED_VALUE"""),"Real")</f>
        <v>Real</v>
      </c>
      <c r="G5851" s="8">
        <f t="shared" si="1"/>
        <v>7</v>
      </c>
      <c r="H5851" s="14">
        <f t="shared" si="2"/>
        <v>2</v>
      </c>
      <c r="I5851" s="15">
        <f t="shared" si="3"/>
        <v>19</v>
      </c>
    </row>
    <row r="5852">
      <c r="A5852" s="8" t="str">
        <f>IFERROR(__xludf.DUMMYFUNCTION("IF('(INGESTA)Datos_consumo_datadis'!A5852&lt;&gt;"""",SPLIT('(INGESTA)Datos_consumo_datadis'!A:A,"",""),"""")"),"ES0031408323131005HX0F")</f>
        <v>ES0031408323131005HX0F</v>
      </c>
      <c r="B5852" s="12">
        <f>IFERROR(__xludf.DUMMYFUNCTION("""COMPUTED_VALUE"""),45109.0)</f>
        <v>45109</v>
      </c>
      <c r="C5852" s="13">
        <f>IFERROR(__xludf.DUMMYFUNCTION("""COMPUTED_VALUE"""),0.8333333333333334)</f>
        <v>0.8333333333</v>
      </c>
      <c r="D5852" s="8">
        <f>IFERROR(__xludf.DUMMYFUNCTION("""COMPUTED_VALUE"""),0.016)</f>
        <v>0.016</v>
      </c>
      <c r="E5852" s="8" t="str">
        <f>IFERROR(__xludf.DUMMYFUNCTION("""COMPUTED_VALUE"""),"Real")</f>
        <v>Real</v>
      </c>
      <c r="G5852" s="8">
        <f t="shared" si="1"/>
        <v>7</v>
      </c>
      <c r="H5852" s="14">
        <f t="shared" si="2"/>
        <v>2</v>
      </c>
      <c r="I5852" s="15">
        <f t="shared" si="3"/>
        <v>20</v>
      </c>
    </row>
    <row r="5853">
      <c r="A5853" s="8" t="str">
        <f>IFERROR(__xludf.DUMMYFUNCTION("IF('(INGESTA)Datos_consumo_datadis'!A5853&lt;&gt;"""",SPLIT('(INGESTA)Datos_consumo_datadis'!A:A,"",""),"""")"),"ES0031408323131005HX0F")</f>
        <v>ES0031408323131005HX0F</v>
      </c>
      <c r="B5853" s="12">
        <f>IFERROR(__xludf.DUMMYFUNCTION("""COMPUTED_VALUE"""),45109.0)</f>
        <v>45109</v>
      </c>
      <c r="C5853" s="13">
        <f>IFERROR(__xludf.DUMMYFUNCTION("""COMPUTED_VALUE"""),0.875)</f>
        <v>0.875</v>
      </c>
      <c r="D5853" s="8">
        <f>IFERROR(__xludf.DUMMYFUNCTION("""COMPUTED_VALUE"""),0.372)</f>
        <v>0.372</v>
      </c>
      <c r="E5853" s="8" t="str">
        <f>IFERROR(__xludf.DUMMYFUNCTION("""COMPUTED_VALUE"""),"Real")</f>
        <v>Real</v>
      </c>
      <c r="G5853" s="8">
        <f t="shared" si="1"/>
        <v>7</v>
      </c>
      <c r="H5853" s="14">
        <f t="shared" si="2"/>
        <v>2</v>
      </c>
      <c r="I5853" s="15">
        <f t="shared" si="3"/>
        <v>21</v>
      </c>
    </row>
    <row r="5854">
      <c r="A5854" s="8" t="str">
        <f>IFERROR(__xludf.DUMMYFUNCTION("IF('(INGESTA)Datos_consumo_datadis'!A5854&lt;&gt;"""",SPLIT('(INGESTA)Datos_consumo_datadis'!A:A,"",""),"""")"),"ES0031408323131005HX0F")</f>
        <v>ES0031408323131005HX0F</v>
      </c>
      <c r="B5854" s="12">
        <f>IFERROR(__xludf.DUMMYFUNCTION("""COMPUTED_VALUE"""),45109.0)</f>
        <v>45109</v>
      </c>
      <c r="C5854" s="13">
        <f>IFERROR(__xludf.DUMMYFUNCTION("""COMPUTED_VALUE"""),0.9166666666666666)</f>
        <v>0.9166666667</v>
      </c>
      <c r="D5854" s="8">
        <f>IFERROR(__xludf.DUMMYFUNCTION("""COMPUTED_VALUE"""),0.079)</f>
        <v>0.079</v>
      </c>
      <c r="E5854" s="8" t="str">
        <f>IFERROR(__xludf.DUMMYFUNCTION("""COMPUTED_VALUE"""),"Real")</f>
        <v>Real</v>
      </c>
      <c r="G5854" s="8">
        <f t="shared" si="1"/>
        <v>7</v>
      </c>
      <c r="H5854" s="14">
        <f t="shared" si="2"/>
        <v>2</v>
      </c>
      <c r="I5854" s="15">
        <f t="shared" si="3"/>
        <v>22</v>
      </c>
    </row>
    <row r="5855">
      <c r="A5855" s="8" t="str">
        <f>IFERROR(__xludf.DUMMYFUNCTION("IF('(INGESTA)Datos_consumo_datadis'!A5855&lt;&gt;"""",SPLIT('(INGESTA)Datos_consumo_datadis'!A:A,"",""),"""")"),"ES0031408323131005HX0F")</f>
        <v>ES0031408323131005HX0F</v>
      </c>
      <c r="B5855" s="12">
        <f>IFERROR(__xludf.DUMMYFUNCTION("""COMPUTED_VALUE"""),45109.0)</f>
        <v>45109</v>
      </c>
      <c r="C5855" s="13">
        <f>IFERROR(__xludf.DUMMYFUNCTION("""COMPUTED_VALUE"""),0.9583333333333334)</f>
        <v>0.9583333333</v>
      </c>
      <c r="D5855" s="8">
        <f>IFERROR(__xludf.DUMMYFUNCTION("""COMPUTED_VALUE"""),0.021)</f>
        <v>0.021</v>
      </c>
      <c r="E5855" s="8" t="str">
        <f>IFERROR(__xludf.DUMMYFUNCTION("""COMPUTED_VALUE"""),"Real")</f>
        <v>Real</v>
      </c>
      <c r="G5855" s="8">
        <f t="shared" si="1"/>
        <v>7</v>
      </c>
      <c r="H5855" s="14">
        <f t="shared" si="2"/>
        <v>2</v>
      </c>
      <c r="I5855" s="15">
        <f t="shared" si="3"/>
        <v>23</v>
      </c>
    </row>
    <row r="5856">
      <c r="A5856" s="8" t="str">
        <f>IFERROR(__xludf.DUMMYFUNCTION("IF('(INGESTA)Datos_consumo_datadis'!A5856&lt;&gt;"""",SPLIT('(INGESTA)Datos_consumo_datadis'!A:A,"",""),"""")"),"ES0031408323131005HX0F")</f>
        <v>ES0031408323131005HX0F</v>
      </c>
      <c r="B5856" s="12">
        <f>IFERROR(__xludf.DUMMYFUNCTION("""COMPUTED_VALUE"""),45109.0)</f>
        <v>45109</v>
      </c>
      <c r="C5856" s="16">
        <f>IFERROR(__xludf.DUMMYFUNCTION("""COMPUTED_VALUE"""),1.0)</f>
        <v>1</v>
      </c>
      <c r="D5856" s="8">
        <f>IFERROR(__xludf.DUMMYFUNCTION("""COMPUTED_VALUE"""),0.12)</f>
        <v>0.12</v>
      </c>
      <c r="E5856" s="8" t="str">
        <f>IFERROR(__xludf.DUMMYFUNCTION("""COMPUTED_VALUE"""),"Real")</f>
        <v>Real</v>
      </c>
      <c r="G5856" s="8">
        <f t="shared" si="1"/>
        <v>7</v>
      </c>
      <c r="H5856" s="14">
        <f t="shared" si="2"/>
        <v>2</v>
      </c>
      <c r="I5856" s="15">
        <f t="shared" si="3"/>
        <v>0</v>
      </c>
    </row>
    <row r="5857">
      <c r="A5857" s="8" t="str">
        <f>IFERROR(__xludf.DUMMYFUNCTION("IF('(INGESTA)Datos_consumo_datadis'!A5857&lt;&gt;"""",SPLIT('(INGESTA)Datos_consumo_datadis'!A:A,"",""),"""")"),"ES0031408323131005HX0F")</f>
        <v>ES0031408323131005HX0F</v>
      </c>
      <c r="B5857" s="12">
        <f>IFERROR(__xludf.DUMMYFUNCTION("""COMPUTED_VALUE"""),45110.0)</f>
        <v>45110</v>
      </c>
      <c r="C5857" s="13">
        <f>IFERROR(__xludf.DUMMYFUNCTION("""COMPUTED_VALUE"""),0.041666666666666664)</f>
        <v>0.04166666667</v>
      </c>
      <c r="D5857" s="8">
        <f>IFERROR(__xludf.DUMMYFUNCTION("""COMPUTED_VALUE"""),0.121)</f>
        <v>0.121</v>
      </c>
      <c r="E5857" s="8" t="str">
        <f>IFERROR(__xludf.DUMMYFUNCTION("""COMPUTED_VALUE"""),"Real")</f>
        <v>Real</v>
      </c>
      <c r="G5857" s="8">
        <f t="shared" si="1"/>
        <v>7</v>
      </c>
      <c r="H5857" s="14">
        <f t="shared" si="2"/>
        <v>3</v>
      </c>
      <c r="I5857" s="15">
        <f t="shared" si="3"/>
        <v>1</v>
      </c>
    </row>
    <row r="5858">
      <c r="A5858" s="8" t="str">
        <f>IFERROR(__xludf.DUMMYFUNCTION("IF('(INGESTA)Datos_consumo_datadis'!A5858&lt;&gt;"""",SPLIT('(INGESTA)Datos_consumo_datadis'!A:A,"",""),"""")"),"ES0031408323131005HX0F")</f>
        <v>ES0031408323131005HX0F</v>
      </c>
      <c r="B5858" s="12">
        <f>IFERROR(__xludf.DUMMYFUNCTION("""COMPUTED_VALUE"""),45110.0)</f>
        <v>45110</v>
      </c>
      <c r="C5858" s="13">
        <f>IFERROR(__xludf.DUMMYFUNCTION("""COMPUTED_VALUE"""),0.08333333333333333)</f>
        <v>0.08333333333</v>
      </c>
      <c r="D5858" s="8">
        <f>IFERROR(__xludf.DUMMYFUNCTION("""COMPUTED_VALUE"""),0.102)</f>
        <v>0.102</v>
      </c>
      <c r="E5858" s="8" t="str">
        <f>IFERROR(__xludf.DUMMYFUNCTION("""COMPUTED_VALUE"""),"Real")</f>
        <v>Real</v>
      </c>
      <c r="G5858" s="8">
        <f t="shared" si="1"/>
        <v>7</v>
      </c>
      <c r="H5858" s="14">
        <f t="shared" si="2"/>
        <v>3</v>
      </c>
      <c r="I5858" s="15">
        <f t="shared" si="3"/>
        <v>2</v>
      </c>
    </row>
    <row r="5859">
      <c r="A5859" s="8" t="str">
        <f>IFERROR(__xludf.DUMMYFUNCTION("IF('(INGESTA)Datos_consumo_datadis'!A5859&lt;&gt;"""",SPLIT('(INGESTA)Datos_consumo_datadis'!A:A,"",""),"""")"),"ES0031408323131005HX0F")</f>
        <v>ES0031408323131005HX0F</v>
      </c>
      <c r="B5859" s="12">
        <f>IFERROR(__xludf.DUMMYFUNCTION("""COMPUTED_VALUE"""),45110.0)</f>
        <v>45110</v>
      </c>
      <c r="C5859" s="13">
        <f>IFERROR(__xludf.DUMMYFUNCTION("""COMPUTED_VALUE"""),0.125)</f>
        <v>0.125</v>
      </c>
      <c r="D5859" s="8">
        <f>IFERROR(__xludf.DUMMYFUNCTION("""COMPUTED_VALUE"""),0.067)</f>
        <v>0.067</v>
      </c>
      <c r="E5859" s="8" t="str">
        <f>IFERROR(__xludf.DUMMYFUNCTION("""COMPUTED_VALUE"""),"Real")</f>
        <v>Real</v>
      </c>
      <c r="G5859" s="8">
        <f t="shared" si="1"/>
        <v>7</v>
      </c>
      <c r="H5859" s="14">
        <f t="shared" si="2"/>
        <v>3</v>
      </c>
      <c r="I5859" s="15">
        <f t="shared" si="3"/>
        <v>3</v>
      </c>
    </row>
    <row r="5860">
      <c r="A5860" s="8" t="str">
        <f>IFERROR(__xludf.DUMMYFUNCTION("IF('(INGESTA)Datos_consumo_datadis'!A5860&lt;&gt;"""",SPLIT('(INGESTA)Datos_consumo_datadis'!A:A,"",""),"""")"),"ES0031408323131005HX0F")</f>
        <v>ES0031408323131005HX0F</v>
      </c>
      <c r="B5860" s="12">
        <f>IFERROR(__xludf.DUMMYFUNCTION("""COMPUTED_VALUE"""),45110.0)</f>
        <v>45110</v>
      </c>
      <c r="C5860" s="13">
        <f>IFERROR(__xludf.DUMMYFUNCTION("""COMPUTED_VALUE"""),0.16666666666666666)</f>
        <v>0.1666666667</v>
      </c>
      <c r="D5860" s="8">
        <f>IFERROR(__xludf.DUMMYFUNCTION("""COMPUTED_VALUE"""),0.05)</f>
        <v>0.05</v>
      </c>
      <c r="E5860" s="8" t="str">
        <f>IFERROR(__xludf.DUMMYFUNCTION("""COMPUTED_VALUE"""),"Real")</f>
        <v>Real</v>
      </c>
      <c r="G5860" s="8">
        <f t="shared" si="1"/>
        <v>7</v>
      </c>
      <c r="H5860" s="14">
        <f t="shared" si="2"/>
        <v>3</v>
      </c>
      <c r="I5860" s="15">
        <f t="shared" si="3"/>
        <v>4</v>
      </c>
    </row>
    <row r="5861">
      <c r="A5861" s="8" t="str">
        <f>IFERROR(__xludf.DUMMYFUNCTION("IF('(INGESTA)Datos_consumo_datadis'!A5861&lt;&gt;"""",SPLIT('(INGESTA)Datos_consumo_datadis'!A:A,"",""),"""")"),"ES0031408323131005HX0F")</f>
        <v>ES0031408323131005HX0F</v>
      </c>
      <c r="B5861" s="12">
        <f>IFERROR(__xludf.DUMMYFUNCTION("""COMPUTED_VALUE"""),45110.0)</f>
        <v>45110</v>
      </c>
      <c r="C5861" s="13">
        <f>IFERROR(__xludf.DUMMYFUNCTION("""COMPUTED_VALUE"""),0.20833333333333334)</f>
        <v>0.2083333333</v>
      </c>
      <c r="D5861" s="8">
        <f>IFERROR(__xludf.DUMMYFUNCTION("""COMPUTED_VALUE"""),0.368)</f>
        <v>0.368</v>
      </c>
      <c r="E5861" s="8" t="str">
        <f>IFERROR(__xludf.DUMMYFUNCTION("""COMPUTED_VALUE"""),"Real")</f>
        <v>Real</v>
      </c>
      <c r="G5861" s="8">
        <f t="shared" si="1"/>
        <v>7</v>
      </c>
      <c r="H5861" s="14">
        <f t="shared" si="2"/>
        <v>3</v>
      </c>
      <c r="I5861" s="15">
        <f t="shared" si="3"/>
        <v>5</v>
      </c>
    </row>
    <row r="5862">
      <c r="A5862" s="8" t="str">
        <f>IFERROR(__xludf.DUMMYFUNCTION("IF('(INGESTA)Datos_consumo_datadis'!A5862&lt;&gt;"""",SPLIT('(INGESTA)Datos_consumo_datadis'!A:A,"",""),"""")"),"ES0031408323131005HX0F")</f>
        <v>ES0031408323131005HX0F</v>
      </c>
      <c r="B5862" s="12">
        <f>IFERROR(__xludf.DUMMYFUNCTION("""COMPUTED_VALUE"""),45110.0)</f>
        <v>45110</v>
      </c>
      <c r="C5862" s="13">
        <f>IFERROR(__xludf.DUMMYFUNCTION("""COMPUTED_VALUE"""),0.25)</f>
        <v>0.25</v>
      </c>
      <c r="D5862" s="8">
        <f>IFERROR(__xludf.DUMMYFUNCTION("""COMPUTED_VALUE"""),0.063)</f>
        <v>0.063</v>
      </c>
      <c r="E5862" s="8" t="str">
        <f>IFERROR(__xludf.DUMMYFUNCTION("""COMPUTED_VALUE"""),"Real")</f>
        <v>Real</v>
      </c>
      <c r="G5862" s="8">
        <f t="shared" si="1"/>
        <v>7</v>
      </c>
      <c r="H5862" s="14">
        <f t="shared" si="2"/>
        <v>3</v>
      </c>
      <c r="I5862" s="15">
        <f t="shared" si="3"/>
        <v>6</v>
      </c>
    </row>
    <row r="5863">
      <c r="A5863" s="8" t="str">
        <f>IFERROR(__xludf.DUMMYFUNCTION("IF('(INGESTA)Datos_consumo_datadis'!A5863&lt;&gt;"""",SPLIT('(INGESTA)Datos_consumo_datadis'!A:A,"",""),"""")"),"ES0031408323131005HX0F")</f>
        <v>ES0031408323131005HX0F</v>
      </c>
      <c r="B5863" s="12">
        <f>IFERROR(__xludf.DUMMYFUNCTION("""COMPUTED_VALUE"""),45110.0)</f>
        <v>45110</v>
      </c>
      <c r="C5863" s="13">
        <f>IFERROR(__xludf.DUMMYFUNCTION("""COMPUTED_VALUE"""),0.2916666666666667)</f>
        <v>0.2916666667</v>
      </c>
      <c r="D5863" s="8">
        <f>IFERROR(__xludf.DUMMYFUNCTION("""COMPUTED_VALUE"""),0.055)</f>
        <v>0.055</v>
      </c>
      <c r="E5863" s="8" t="str">
        <f>IFERROR(__xludf.DUMMYFUNCTION("""COMPUTED_VALUE"""),"Real")</f>
        <v>Real</v>
      </c>
      <c r="G5863" s="8">
        <f t="shared" si="1"/>
        <v>7</v>
      </c>
      <c r="H5863" s="14">
        <f t="shared" si="2"/>
        <v>3</v>
      </c>
      <c r="I5863" s="15">
        <f t="shared" si="3"/>
        <v>7</v>
      </c>
    </row>
    <row r="5864">
      <c r="A5864" s="8" t="str">
        <f>IFERROR(__xludf.DUMMYFUNCTION("IF('(INGESTA)Datos_consumo_datadis'!A5864&lt;&gt;"""",SPLIT('(INGESTA)Datos_consumo_datadis'!A:A,"",""),"""")"),"ES0031408323131005HX0F")</f>
        <v>ES0031408323131005HX0F</v>
      </c>
      <c r="B5864" s="12">
        <f>IFERROR(__xludf.DUMMYFUNCTION("""COMPUTED_VALUE"""),45110.0)</f>
        <v>45110</v>
      </c>
      <c r="C5864" s="13">
        <f>IFERROR(__xludf.DUMMYFUNCTION("""COMPUTED_VALUE"""),0.3333333333333333)</f>
        <v>0.3333333333</v>
      </c>
      <c r="D5864" s="8">
        <f>IFERROR(__xludf.DUMMYFUNCTION("""COMPUTED_VALUE"""),0.091)</f>
        <v>0.091</v>
      </c>
      <c r="E5864" s="8" t="str">
        <f>IFERROR(__xludf.DUMMYFUNCTION("""COMPUTED_VALUE"""),"Real")</f>
        <v>Real</v>
      </c>
      <c r="G5864" s="8">
        <f t="shared" si="1"/>
        <v>7</v>
      </c>
      <c r="H5864" s="14">
        <f t="shared" si="2"/>
        <v>3</v>
      </c>
      <c r="I5864" s="15">
        <f t="shared" si="3"/>
        <v>8</v>
      </c>
    </row>
    <row r="5865">
      <c r="A5865" s="8" t="str">
        <f>IFERROR(__xludf.DUMMYFUNCTION("IF('(INGESTA)Datos_consumo_datadis'!A5865&lt;&gt;"""",SPLIT('(INGESTA)Datos_consumo_datadis'!A:A,"",""),"""")"),"ES0031408323131005HX0F")</f>
        <v>ES0031408323131005HX0F</v>
      </c>
      <c r="B5865" s="12">
        <f>IFERROR(__xludf.DUMMYFUNCTION("""COMPUTED_VALUE"""),45110.0)</f>
        <v>45110</v>
      </c>
      <c r="C5865" s="13">
        <f>IFERROR(__xludf.DUMMYFUNCTION("""COMPUTED_VALUE"""),0.375)</f>
        <v>0.375</v>
      </c>
      <c r="D5865" s="8">
        <f>IFERROR(__xludf.DUMMYFUNCTION("""COMPUTED_VALUE"""),0.076)</f>
        <v>0.076</v>
      </c>
      <c r="E5865" s="8" t="str">
        <f>IFERROR(__xludf.DUMMYFUNCTION("""COMPUTED_VALUE"""),"Real")</f>
        <v>Real</v>
      </c>
      <c r="G5865" s="8">
        <f t="shared" si="1"/>
        <v>7</v>
      </c>
      <c r="H5865" s="14">
        <f t="shared" si="2"/>
        <v>3</v>
      </c>
      <c r="I5865" s="15">
        <f t="shared" si="3"/>
        <v>9</v>
      </c>
    </row>
    <row r="5866">
      <c r="A5866" s="8" t="str">
        <f>IFERROR(__xludf.DUMMYFUNCTION("IF('(INGESTA)Datos_consumo_datadis'!A5866&lt;&gt;"""",SPLIT('(INGESTA)Datos_consumo_datadis'!A:A,"",""),"""")"),"ES0031408323131005HX0F")</f>
        <v>ES0031408323131005HX0F</v>
      </c>
      <c r="B5866" s="12">
        <f>IFERROR(__xludf.DUMMYFUNCTION("""COMPUTED_VALUE"""),45110.0)</f>
        <v>45110</v>
      </c>
      <c r="C5866" s="13">
        <f>IFERROR(__xludf.DUMMYFUNCTION("""COMPUTED_VALUE"""),0.4166666666666667)</f>
        <v>0.4166666667</v>
      </c>
      <c r="D5866" s="8">
        <f>IFERROR(__xludf.DUMMYFUNCTION("""COMPUTED_VALUE"""),0.078)</f>
        <v>0.078</v>
      </c>
      <c r="E5866" s="8" t="str">
        <f>IFERROR(__xludf.DUMMYFUNCTION("""COMPUTED_VALUE"""),"Real")</f>
        <v>Real</v>
      </c>
      <c r="G5866" s="8">
        <f t="shared" si="1"/>
        <v>7</v>
      </c>
      <c r="H5866" s="14">
        <f t="shared" si="2"/>
        <v>3</v>
      </c>
      <c r="I5866" s="15">
        <f t="shared" si="3"/>
        <v>10</v>
      </c>
    </row>
    <row r="5867">
      <c r="A5867" s="8" t="str">
        <f>IFERROR(__xludf.DUMMYFUNCTION("IF('(INGESTA)Datos_consumo_datadis'!A5867&lt;&gt;"""",SPLIT('(INGESTA)Datos_consumo_datadis'!A:A,"",""),"""")"),"ES0031408323131005HX0F")</f>
        <v>ES0031408323131005HX0F</v>
      </c>
      <c r="B5867" s="12">
        <f>IFERROR(__xludf.DUMMYFUNCTION("""COMPUTED_VALUE"""),45110.0)</f>
        <v>45110</v>
      </c>
      <c r="C5867" s="13">
        <f>IFERROR(__xludf.DUMMYFUNCTION("""COMPUTED_VALUE"""),0.4583333333333333)</f>
        <v>0.4583333333</v>
      </c>
      <c r="D5867" s="8">
        <f>IFERROR(__xludf.DUMMYFUNCTION("""COMPUTED_VALUE"""),0.085)</f>
        <v>0.085</v>
      </c>
      <c r="E5867" s="8" t="str">
        <f>IFERROR(__xludf.DUMMYFUNCTION("""COMPUTED_VALUE"""),"Real")</f>
        <v>Real</v>
      </c>
      <c r="G5867" s="8">
        <f t="shared" si="1"/>
        <v>7</v>
      </c>
      <c r="H5867" s="14">
        <f t="shared" si="2"/>
        <v>3</v>
      </c>
      <c r="I5867" s="15">
        <f t="shared" si="3"/>
        <v>11</v>
      </c>
    </row>
    <row r="5868">
      <c r="A5868" s="8" t="str">
        <f>IFERROR(__xludf.DUMMYFUNCTION("IF('(INGESTA)Datos_consumo_datadis'!A5868&lt;&gt;"""",SPLIT('(INGESTA)Datos_consumo_datadis'!A:A,"",""),"""")"),"ES0031408323131005HX0F")</f>
        <v>ES0031408323131005HX0F</v>
      </c>
      <c r="B5868" s="12">
        <f>IFERROR(__xludf.DUMMYFUNCTION("""COMPUTED_VALUE"""),45110.0)</f>
        <v>45110</v>
      </c>
      <c r="C5868" s="13">
        <f>IFERROR(__xludf.DUMMYFUNCTION("""COMPUTED_VALUE"""),0.5)</f>
        <v>0.5</v>
      </c>
      <c r="D5868" s="8">
        <f>IFERROR(__xludf.DUMMYFUNCTION("""COMPUTED_VALUE"""),0.058)</f>
        <v>0.058</v>
      </c>
      <c r="E5868" s="8" t="str">
        <f>IFERROR(__xludf.DUMMYFUNCTION("""COMPUTED_VALUE"""),"Real")</f>
        <v>Real</v>
      </c>
      <c r="G5868" s="8">
        <f t="shared" si="1"/>
        <v>7</v>
      </c>
      <c r="H5868" s="14">
        <f t="shared" si="2"/>
        <v>3</v>
      </c>
      <c r="I5868" s="15">
        <f t="shared" si="3"/>
        <v>12</v>
      </c>
    </row>
    <row r="5869">
      <c r="A5869" s="8" t="str">
        <f>IFERROR(__xludf.DUMMYFUNCTION("IF('(INGESTA)Datos_consumo_datadis'!A5869&lt;&gt;"""",SPLIT('(INGESTA)Datos_consumo_datadis'!A:A,"",""),"""")"),"ES0031408323131005HX0F")</f>
        <v>ES0031408323131005HX0F</v>
      </c>
      <c r="B5869" s="12">
        <f>IFERROR(__xludf.DUMMYFUNCTION("""COMPUTED_VALUE"""),45110.0)</f>
        <v>45110</v>
      </c>
      <c r="C5869" s="13">
        <f>IFERROR(__xludf.DUMMYFUNCTION("""COMPUTED_VALUE"""),0.5416666666666666)</f>
        <v>0.5416666667</v>
      </c>
      <c r="D5869" s="8">
        <f>IFERROR(__xludf.DUMMYFUNCTION("""COMPUTED_VALUE"""),0.358)</f>
        <v>0.358</v>
      </c>
      <c r="E5869" s="8" t="str">
        <f>IFERROR(__xludf.DUMMYFUNCTION("""COMPUTED_VALUE"""),"Real")</f>
        <v>Real</v>
      </c>
      <c r="G5869" s="8">
        <f t="shared" si="1"/>
        <v>7</v>
      </c>
      <c r="H5869" s="14">
        <f t="shared" si="2"/>
        <v>3</v>
      </c>
      <c r="I5869" s="15">
        <f t="shared" si="3"/>
        <v>13</v>
      </c>
    </row>
    <row r="5870">
      <c r="A5870" s="8" t="str">
        <f>IFERROR(__xludf.DUMMYFUNCTION("IF('(INGESTA)Datos_consumo_datadis'!A5870&lt;&gt;"""",SPLIT('(INGESTA)Datos_consumo_datadis'!A:A,"",""),"""")"),"ES0031408323131005HX0F")</f>
        <v>ES0031408323131005HX0F</v>
      </c>
      <c r="B5870" s="12">
        <f>IFERROR(__xludf.DUMMYFUNCTION("""COMPUTED_VALUE"""),45110.0)</f>
        <v>45110</v>
      </c>
      <c r="C5870" s="13">
        <f>IFERROR(__xludf.DUMMYFUNCTION("""COMPUTED_VALUE"""),0.5833333333333334)</f>
        <v>0.5833333333</v>
      </c>
      <c r="D5870" s="8">
        <f>IFERROR(__xludf.DUMMYFUNCTION("""COMPUTED_VALUE"""),0.086)</f>
        <v>0.086</v>
      </c>
      <c r="E5870" s="8" t="str">
        <f>IFERROR(__xludf.DUMMYFUNCTION("""COMPUTED_VALUE"""),"Real")</f>
        <v>Real</v>
      </c>
      <c r="G5870" s="8">
        <f t="shared" si="1"/>
        <v>7</v>
      </c>
      <c r="H5870" s="14">
        <f t="shared" si="2"/>
        <v>3</v>
      </c>
      <c r="I5870" s="15">
        <f t="shared" si="3"/>
        <v>14</v>
      </c>
    </row>
    <row r="5871">
      <c r="A5871" s="8" t="str">
        <f>IFERROR(__xludf.DUMMYFUNCTION("IF('(INGESTA)Datos_consumo_datadis'!A5871&lt;&gt;"""",SPLIT('(INGESTA)Datos_consumo_datadis'!A:A,"",""),"""")"),"ES0031408323131005HX0F")</f>
        <v>ES0031408323131005HX0F</v>
      </c>
      <c r="B5871" s="12">
        <f>IFERROR(__xludf.DUMMYFUNCTION("""COMPUTED_VALUE"""),45110.0)</f>
        <v>45110</v>
      </c>
      <c r="C5871" s="13">
        <f>IFERROR(__xludf.DUMMYFUNCTION("""COMPUTED_VALUE"""),0.625)</f>
        <v>0.625</v>
      </c>
      <c r="D5871" s="8">
        <f>IFERROR(__xludf.DUMMYFUNCTION("""COMPUTED_VALUE"""),0.05)</f>
        <v>0.05</v>
      </c>
      <c r="E5871" s="8" t="str">
        <f>IFERROR(__xludf.DUMMYFUNCTION("""COMPUTED_VALUE"""),"Real")</f>
        <v>Real</v>
      </c>
      <c r="G5871" s="8">
        <f t="shared" si="1"/>
        <v>7</v>
      </c>
      <c r="H5871" s="14">
        <f t="shared" si="2"/>
        <v>3</v>
      </c>
      <c r="I5871" s="15">
        <f t="shared" si="3"/>
        <v>15</v>
      </c>
    </row>
    <row r="5872">
      <c r="A5872" s="8" t="str">
        <f>IFERROR(__xludf.DUMMYFUNCTION("IF('(INGESTA)Datos_consumo_datadis'!A5872&lt;&gt;"""",SPLIT('(INGESTA)Datos_consumo_datadis'!A:A,"",""),"""")"),"ES0031408323131005HX0F")</f>
        <v>ES0031408323131005HX0F</v>
      </c>
      <c r="B5872" s="12">
        <f>IFERROR(__xludf.DUMMYFUNCTION("""COMPUTED_VALUE"""),45110.0)</f>
        <v>45110</v>
      </c>
      <c r="C5872" s="13">
        <f>IFERROR(__xludf.DUMMYFUNCTION("""COMPUTED_VALUE"""),0.6666666666666666)</f>
        <v>0.6666666667</v>
      </c>
      <c r="D5872" s="8">
        <f>IFERROR(__xludf.DUMMYFUNCTION("""COMPUTED_VALUE"""),0.081)</f>
        <v>0.081</v>
      </c>
      <c r="E5872" s="8" t="str">
        <f>IFERROR(__xludf.DUMMYFUNCTION("""COMPUTED_VALUE"""),"Real")</f>
        <v>Real</v>
      </c>
      <c r="G5872" s="8">
        <f t="shared" si="1"/>
        <v>7</v>
      </c>
      <c r="H5872" s="14">
        <f t="shared" si="2"/>
        <v>3</v>
      </c>
      <c r="I5872" s="15">
        <f t="shared" si="3"/>
        <v>16</v>
      </c>
    </row>
    <row r="5873">
      <c r="A5873" s="8" t="str">
        <f>IFERROR(__xludf.DUMMYFUNCTION("IF('(INGESTA)Datos_consumo_datadis'!A5873&lt;&gt;"""",SPLIT('(INGESTA)Datos_consumo_datadis'!A:A,"",""),"""")"),"ES0031408323131005HX0F")</f>
        <v>ES0031408323131005HX0F</v>
      </c>
      <c r="B5873" s="12">
        <f>IFERROR(__xludf.DUMMYFUNCTION("""COMPUTED_VALUE"""),45110.0)</f>
        <v>45110</v>
      </c>
      <c r="C5873" s="13">
        <f>IFERROR(__xludf.DUMMYFUNCTION("""COMPUTED_VALUE"""),0.7083333333333334)</f>
        <v>0.7083333333</v>
      </c>
      <c r="D5873" s="8">
        <f>IFERROR(__xludf.DUMMYFUNCTION("""COMPUTED_VALUE"""),0.098)</f>
        <v>0.098</v>
      </c>
      <c r="E5873" s="8" t="str">
        <f>IFERROR(__xludf.DUMMYFUNCTION("""COMPUTED_VALUE"""),"Real")</f>
        <v>Real</v>
      </c>
      <c r="G5873" s="8">
        <f t="shared" si="1"/>
        <v>7</v>
      </c>
      <c r="H5873" s="14">
        <f t="shared" si="2"/>
        <v>3</v>
      </c>
      <c r="I5873" s="15">
        <f t="shared" si="3"/>
        <v>17</v>
      </c>
    </row>
    <row r="5874">
      <c r="A5874" s="8" t="str">
        <f>IFERROR(__xludf.DUMMYFUNCTION("IF('(INGESTA)Datos_consumo_datadis'!A5874&lt;&gt;"""",SPLIT('(INGESTA)Datos_consumo_datadis'!A:A,"",""),"""")"),"ES0031408323131005HX0F")</f>
        <v>ES0031408323131005HX0F</v>
      </c>
      <c r="B5874" s="12">
        <f>IFERROR(__xludf.DUMMYFUNCTION("""COMPUTED_VALUE"""),45110.0)</f>
        <v>45110</v>
      </c>
      <c r="C5874" s="13">
        <f>IFERROR(__xludf.DUMMYFUNCTION("""COMPUTED_VALUE"""),0.75)</f>
        <v>0.75</v>
      </c>
      <c r="D5874" s="8">
        <f>IFERROR(__xludf.DUMMYFUNCTION("""COMPUTED_VALUE"""),0.1)</f>
        <v>0.1</v>
      </c>
      <c r="E5874" s="8" t="str">
        <f>IFERROR(__xludf.DUMMYFUNCTION("""COMPUTED_VALUE"""),"Real")</f>
        <v>Real</v>
      </c>
      <c r="G5874" s="8">
        <f t="shared" si="1"/>
        <v>7</v>
      </c>
      <c r="H5874" s="14">
        <f t="shared" si="2"/>
        <v>3</v>
      </c>
      <c r="I5874" s="15">
        <f t="shared" si="3"/>
        <v>18</v>
      </c>
    </row>
    <row r="5875">
      <c r="A5875" s="8" t="str">
        <f>IFERROR(__xludf.DUMMYFUNCTION("IF('(INGESTA)Datos_consumo_datadis'!A5875&lt;&gt;"""",SPLIT('(INGESTA)Datos_consumo_datadis'!A:A,"",""),"""")"),"ES0031408323131005HX0F")</f>
        <v>ES0031408323131005HX0F</v>
      </c>
      <c r="B5875" s="12">
        <f>IFERROR(__xludf.DUMMYFUNCTION("""COMPUTED_VALUE"""),45110.0)</f>
        <v>45110</v>
      </c>
      <c r="C5875" s="13">
        <f>IFERROR(__xludf.DUMMYFUNCTION("""COMPUTED_VALUE"""),0.7916666666666666)</f>
        <v>0.7916666667</v>
      </c>
      <c r="D5875" s="8">
        <f>IFERROR(__xludf.DUMMYFUNCTION("""COMPUTED_VALUE"""),0.023)</f>
        <v>0.023</v>
      </c>
      <c r="E5875" s="8" t="str">
        <f>IFERROR(__xludf.DUMMYFUNCTION("""COMPUTED_VALUE"""),"Real")</f>
        <v>Real</v>
      </c>
      <c r="G5875" s="8">
        <f t="shared" si="1"/>
        <v>7</v>
      </c>
      <c r="H5875" s="14">
        <f t="shared" si="2"/>
        <v>3</v>
      </c>
      <c r="I5875" s="15">
        <f t="shared" si="3"/>
        <v>19</v>
      </c>
    </row>
    <row r="5876">
      <c r="A5876" s="8" t="str">
        <f>IFERROR(__xludf.DUMMYFUNCTION("IF('(INGESTA)Datos_consumo_datadis'!A5876&lt;&gt;"""",SPLIT('(INGESTA)Datos_consumo_datadis'!A:A,"",""),"""")"),"ES0031408323131005HX0F")</f>
        <v>ES0031408323131005HX0F</v>
      </c>
      <c r="B5876" s="12">
        <f>IFERROR(__xludf.DUMMYFUNCTION("""COMPUTED_VALUE"""),45110.0)</f>
        <v>45110</v>
      </c>
      <c r="C5876" s="13">
        <f>IFERROR(__xludf.DUMMYFUNCTION("""COMPUTED_VALUE"""),0.8333333333333334)</f>
        <v>0.8333333333</v>
      </c>
      <c r="D5876" s="8">
        <f>IFERROR(__xludf.DUMMYFUNCTION("""COMPUTED_VALUE"""),0.13)</f>
        <v>0.13</v>
      </c>
      <c r="E5876" s="8" t="str">
        <f>IFERROR(__xludf.DUMMYFUNCTION("""COMPUTED_VALUE"""),"Real")</f>
        <v>Real</v>
      </c>
      <c r="G5876" s="8">
        <f t="shared" si="1"/>
        <v>7</v>
      </c>
      <c r="H5876" s="14">
        <f t="shared" si="2"/>
        <v>3</v>
      </c>
      <c r="I5876" s="15">
        <f t="shared" si="3"/>
        <v>20</v>
      </c>
    </row>
    <row r="5877">
      <c r="A5877" s="8" t="str">
        <f>IFERROR(__xludf.DUMMYFUNCTION("IF('(INGESTA)Datos_consumo_datadis'!A5877&lt;&gt;"""",SPLIT('(INGESTA)Datos_consumo_datadis'!A:A,"",""),"""")"),"ES0031408323131005HX0F")</f>
        <v>ES0031408323131005HX0F</v>
      </c>
      <c r="B5877" s="12">
        <f>IFERROR(__xludf.DUMMYFUNCTION("""COMPUTED_VALUE"""),45110.0)</f>
        <v>45110</v>
      </c>
      <c r="C5877" s="13">
        <f>IFERROR(__xludf.DUMMYFUNCTION("""COMPUTED_VALUE"""),0.875)</f>
        <v>0.875</v>
      </c>
      <c r="D5877" s="8">
        <f>IFERROR(__xludf.DUMMYFUNCTION("""COMPUTED_VALUE"""),0.255)</f>
        <v>0.255</v>
      </c>
      <c r="E5877" s="8" t="str">
        <f>IFERROR(__xludf.DUMMYFUNCTION("""COMPUTED_VALUE"""),"Real")</f>
        <v>Real</v>
      </c>
      <c r="G5877" s="8">
        <f t="shared" si="1"/>
        <v>7</v>
      </c>
      <c r="H5877" s="14">
        <f t="shared" si="2"/>
        <v>3</v>
      </c>
      <c r="I5877" s="15">
        <f t="shared" si="3"/>
        <v>21</v>
      </c>
    </row>
    <row r="5878">
      <c r="A5878" s="8" t="str">
        <f>IFERROR(__xludf.DUMMYFUNCTION("IF('(INGESTA)Datos_consumo_datadis'!A5878&lt;&gt;"""",SPLIT('(INGESTA)Datos_consumo_datadis'!A:A,"",""),"""")"),"ES0031408323131005HX0F")</f>
        <v>ES0031408323131005HX0F</v>
      </c>
      <c r="B5878" s="12">
        <f>IFERROR(__xludf.DUMMYFUNCTION("""COMPUTED_VALUE"""),45110.0)</f>
        <v>45110</v>
      </c>
      <c r="C5878" s="13">
        <f>IFERROR(__xludf.DUMMYFUNCTION("""COMPUTED_VALUE"""),0.9166666666666666)</f>
        <v>0.9166666667</v>
      </c>
      <c r="D5878" s="8">
        <f>IFERROR(__xludf.DUMMYFUNCTION("""COMPUTED_VALUE"""),0.238)</f>
        <v>0.238</v>
      </c>
      <c r="E5878" s="8" t="str">
        <f>IFERROR(__xludf.DUMMYFUNCTION("""COMPUTED_VALUE"""),"Real")</f>
        <v>Real</v>
      </c>
      <c r="G5878" s="8">
        <f t="shared" si="1"/>
        <v>7</v>
      </c>
      <c r="H5878" s="14">
        <f t="shared" si="2"/>
        <v>3</v>
      </c>
      <c r="I5878" s="15">
        <f t="shared" si="3"/>
        <v>22</v>
      </c>
    </row>
    <row r="5879">
      <c r="A5879" s="8" t="str">
        <f>IFERROR(__xludf.DUMMYFUNCTION("IF('(INGESTA)Datos_consumo_datadis'!A5879&lt;&gt;"""",SPLIT('(INGESTA)Datos_consumo_datadis'!A:A,"",""),"""")"),"ES0031408323131005HX0F")</f>
        <v>ES0031408323131005HX0F</v>
      </c>
      <c r="B5879" s="12">
        <f>IFERROR(__xludf.DUMMYFUNCTION("""COMPUTED_VALUE"""),45110.0)</f>
        <v>45110</v>
      </c>
      <c r="C5879" s="13">
        <f>IFERROR(__xludf.DUMMYFUNCTION("""COMPUTED_VALUE"""),0.9583333333333334)</f>
        <v>0.9583333333</v>
      </c>
      <c r="D5879" s="8">
        <f>IFERROR(__xludf.DUMMYFUNCTION("""COMPUTED_VALUE"""),0.06)</f>
        <v>0.06</v>
      </c>
      <c r="E5879" s="8" t="str">
        <f>IFERROR(__xludf.DUMMYFUNCTION("""COMPUTED_VALUE"""),"Real")</f>
        <v>Real</v>
      </c>
      <c r="G5879" s="8">
        <f t="shared" si="1"/>
        <v>7</v>
      </c>
      <c r="H5879" s="14">
        <f t="shared" si="2"/>
        <v>3</v>
      </c>
      <c r="I5879" s="15">
        <f t="shared" si="3"/>
        <v>23</v>
      </c>
    </row>
    <row r="5880">
      <c r="A5880" s="8" t="str">
        <f>IFERROR(__xludf.DUMMYFUNCTION("IF('(INGESTA)Datos_consumo_datadis'!A5880&lt;&gt;"""",SPLIT('(INGESTA)Datos_consumo_datadis'!A:A,"",""),"""")"),"ES0031408323131005HX0F")</f>
        <v>ES0031408323131005HX0F</v>
      </c>
      <c r="B5880" s="12">
        <f>IFERROR(__xludf.DUMMYFUNCTION("""COMPUTED_VALUE"""),45110.0)</f>
        <v>45110</v>
      </c>
      <c r="C5880" s="16">
        <f>IFERROR(__xludf.DUMMYFUNCTION("""COMPUTED_VALUE"""),1.0)</f>
        <v>1</v>
      </c>
      <c r="D5880" s="8">
        <f>IFERROR(__xludf.DUMMYFUNCTION("""COMPUTED_VALUE"""),0.066)</f>
        <v>0.066</v>
      </c>
      <c r="E5880" s="8" t="str">
        <f>IFERROR(__xludf.DUMMYFUNCTION("""COMPUTED_VALUE"""),"Real")</f>
        <v>Real</v>
      </c>
      <c r="G5880" s="8">
        <f t="shared" si="1"/>
        <v>7</v>
      </c>
      <c r="H5880" s="14">
        <f t="shared" si="2"/>
        <v>3</v>
      </c>
      <c r="I5880" s="15">
        <f t="shared" si="3"/>
        <v>0</v>
      </c>
    </row>
    <row r="5881">
      <c r="A5881" s="8" t="str">
        <f>IFERROR(__xludf.DUMMYFUNCTION("IF('(INGESTA)Datos_consumo_datadis'!A5881&lt;&gt;"""",SPLIT('(INGESTA)Datos_consumo_datadis'!A:A,"",""),"""")"),"ES0031408323131005HX0F")</f>
        <v>ES0031408323131005HX0F</v>
      </c>
      <c r="B5881" s="12">
        <f>IFERROR(__xludf.DUMMYFUNCTION("""COMPUTED_VALUE"""),45111.0)</f>
        <v>45111</v>
      </c>
      <c r="C5881" s="13">
        <f>IFERROR(__xludf.DUMMYFUNCTION("""COMPUTED_VALUE"""),0.041666666666666664)</f>
        <v>0.04166666667</v>
      </c>
      <c r="D5881" s="8">
        <f>IFERROR(__xludf.DUMMYFUNCTION("""COMPUTED_VALUE"""),0.087)</f>
        <v>0.087</v>
      </c>
      <c r="E5881" s="8" t="str">
        <f>IFERROR(__xludf.DUMMYFUNCTION("""COMPUTED_VALUE"""),"Real")</f>
        <v>Real</v>
      </c>
      <c r="G5881" s="8">
        <f t="shared" si="1"/>
        <v>7</v>
      </c>
      <c r="H5881" s="14">
        <f t="shared" si="2"/>
        <v>4</v>
      </c>
      <c r="I5881" s="15">
        <f t="shared" si="3"/>
        <v>1</v>
      </c>
    </row>
    <row r="5882">
      <c r="A5882" s="8" t="str">
        <f>IFERROR(__xludf.DUMMYFUNCTION("IF('(INGESTA)Datos_consumo_datadis'!A5882&lt;&gt;"""",SPLIT('(INGESTA)Datos_consumo_datadis'!A:A,"",""),"""")"),"ES0031408323131005HX0F")</f>
        <v>ES0031408323131005HX0F</v>
      </c>
      <c r="B5882" s="12">
        <f>IFERROR(__xludf.DUMMYFUNCTION("""COMPUTED_VALUE"""),45111.0)</f>
        <v>45111</v>
      </c>
      <c r="C5882" s="13">
        <f>IFERROR(__xludf.DUMMYFUNCTION("""COMPUTED_VALUE"""),0.08333333333333333)</f>
        <v>0.08333333333</v>
      </c>
      <c r="D5882" s="8">
        <f>IFERROR(__xludf.DUMMYFUNCTION("""COMPUTED_VALUE"""),0.061)</f>
        <v>0.061</v>
      </c>
      <c r="E5882" s="8" t="str">
        <f>IFERROR(__xludf.DUMMYFUNCTION("""COMPUTED_VALUE"""),"Real")</f>
        <v>Real</v>
      </c>
      <c r="G5882" s="8">
        <f t="shared" si="1"/>
        <v>7</v>
      </c>
      <c r="H5882" s="14">
        <f t="shared" si="2"/>
        <v>4</v>
      </c>
      <c r="I5882" s="15">
        <f t="shared" si="3"/>
        <v>2</v>
      </c>
    </row>
    <row r="5883">
      <c r="A5883" s="8" t="str">
        <f>IFERROR(__xludf.DUMMYFUNCTION("IF('(INGESTA)Datos_consumo_datadis'!A5883&lt;&gt;"""",SPLIT('(INGESTA)Datos_consumo_datadis'!A:A,"",""),"""")"),"ES0031408323131005HX0F")</f>
        <v>ES0031408323131005HX0F</v>
      </c>
      <c r="B5883" s="12">
        <f>IFERROR(__xludf.DUMMYFUNCTION("""COMPUTED_VALUE"""),45111.0)</f>
        <v>45111</v>
      </c>
      <c r="C5883" s="13">
        <f>IFERROR(__xludf.DUMMYFUNCTION("""COMPUTED_VALUE"""),0.125)</f>
        <v>0.125</v>
      </c>
      <c r="D5883" s="8">
        <f>IFERROR(__xludf.DUMMYFUNCTION("""COMPUTED_VALUE"""),0.07)</f>
        <v>0.07</v>
      </c>
      <c r="E5883" s="8" t="str">
        <f>IFERROR(__xludf.DUMMYFUNCTION("""COMPUTED_VALUE"""),"Real")</f>
        <v>Real</v>
      </c>
      <c r="G5883" s="8">
        <f t="shared" si="1"/>
        <v>7</v>
      </c>
      <c r="H5883" s="14">
        <f t="shared" si="2"/>
        <v>4</v>
      </c>
      <c r="I5883" s="15">
        <f t="shared" si="3"/>
        <v>3</v>
      </c>
    </row>
    <row r="5884">
      <c r="A5884" s="8" t="str">
        <f>IFERROR(__xludf.DUMMYFUNCTION("IF('(INGESTA)Datos_consumo_datadis'!A5884&lt;&gt;"""",SPLIT('(INGESTA)Datos_consumo_datadis'!A:A,"",""),"""")"),"ES0031408323131005HX0F")</f>
        <v>ES0031408323131005HX0F</v>
      </c>
      <c r="B5884" s="12">
        <f>IFERROR(__xludf.DUMMYFUNCTION("""COMPUTED_VALUE"""),45111.0)</f>
        <v>45111</v>
      </c>
      <c r="C5884" s="13">
        <f>IFERROR(__xludf.DUMMYFUNCTION("""COMPUTED_VALUE"""),0.16666666666666666)</f>
        <v>0.1666666667</v>
      </c>
      <c r="D5884" s="8">
        <f>IFERROR(__xludf.DUMMYFUNCTION("""COMPUTED_VALUE"""),0.085)</f>
        <v>0.085</v>
      </c>
      <c r="E5884" s="8" t="str">
        <f>IFERROR(__xludf.DUMMYFUNCTION("""COMPUTED_VALUE"""),"Real")</f>
        <v>Real</v>
      </c>
      <c r="G5884" s="8">
        <f t="shared" si="1"/>
        <v>7</v>
      </c>
      <c r="H5884" s="14">
        <f t="shared" si="2"/>
        <v>4</v>
      </c>
      <c r="I5884" s="15">
        <f t="shared" si="3"/>
        <v>4</v>
      </c>
    </row>
    <row r="5885">
      <c r="A5885" s="8" t="str">
        <f>IFERROR(__xludf.DUMMYFUNCTION("IF('(INGESTA)Datos_consumo_datadis'!A5885&lt;&gt;"""",SPLIT('(INGESTA)Datos_consumo_datadis'!A:A,"",""),"""")"),"ES0031408323131005HX0F")</f>
        <v>ES0031408323131005HX0F</v>
      </c>
      <c r="B5885" s="12">
        <f>IFERROR(__xludf.DUMMYFUNCTION("""COMPUTED_VALUE"""),45111.0)</f>
        <v>45111</v>
      </c>
      <c r="C5885" s="13">
        <f>IFERROR(__xludf.DUMMYFUNCTION("""COMPUTED_VALUE"""),0.20833333333333334)</f>
        <v>0.2083333333</v>
      </c>
      <c r="D5885" s="8">
        <f>IFERROR(__xludf.DUMMYFUNCTION("""COMPUTED_VALUE"""),0.056)</f>
        <v>0.056</v>
      </c>
      <c r="E5885" s="8" t="str">
        <f>IFERROR(__xludf.DUMMYFUNCTION("""COMPUTED_VALUE"""),"Real")</f>
        <v>Real</v>
      </c>
      <c r="G5885" s="8">
        <f t="shared" si="1"/>
        <v>7</v>
      </c>
      <c r="H5885" s="14">
        <f t="shared" si="2"/>
        <v>4</v>
      </c>
      <c r="I5885" s="15">
        <f t="shared" si="3"/>
        <v>5</v>
      </c>
    </row>
    <row r="5886">
      <c r="A5886" s="8" t="str">
        <f>IFERROR(__xludf.DUMMYFUNCTION("IF('(INGESTA)Datos_consumo_datadis'!A5886&lt;&gt;"""",SPLIT('(INGESTA)Datos_consumo_datadis'!A:A,"",""),"""")"),"ES0031408323131005HX0F")</f>
        <v>ES0031408323131005HX0F</v>
      </c>
      <c r="B5886" s="12">
        <f>IFERROR(__xludf.DUMMYFUNCTION("""COMPUTED_VALUE"""),45111.0)</f>
        <v>45111</v>
      </c>
      <c r="C5886" s="13">
        <f>IFERROR(__xludf.DUMMYFUNCTION("""COMPUTED_VALUE"""),0.25)</f>
        <v>0.25</v>
      </c>
      <c r="D5886" s="8">
        <f>IFERROR(__xludf.DUMMYFUNCTION("""COMPUTED_VALUE"""),0.389)</f>
        <v>0.389</v>
      </c>
      <c r="E5886" s="8" t="str">
        <f>IFERROR(__xludf.DUMMYFUNCTION("""COMPUTED_VALUE"""),"Real")</f>
        <v>Real</v>
      </c>
      <c r="G5886" s="8">
        <f t="shared" si="1"/>
        <v>7</v>
      </c>
      <c r="H5886" s="14">
        <f t="shared" si="2"/>
        <v>4</v>
      </c>
      <c r="I5886" s="15">
        <f t="shared" si="3"/>
        <v>6</v>
      </c>
    </row>
    <row r="5887">
      <c r="A5887" s="8" t="str">
        <f>IFERROR(__xludf.DUMMYFUNCTION("IF('(INGESTA)Datos_consumo_datadis'!A5887&lt;&gt;"""",SPLIT('(INGESTA)Datos_consumo_datadis'!A:A,"",""),"""")"),"ES0031408323131005HX0F")</f>
        <v>ES0031408323131005HX0F</v>
      </c>
      <c r="B5887" s="12">
        <f>IFERROR(__xludf.DUMMYFUNCTION("""COMPUTED_VALUE"""),45111.0)</f>
        <v>45111</v>
      </c>
      <c r="C5887" s="13">
        <f>IFERROR(__xludf.DUMMYFUNCTION("""COMPUTED_VALUE"""),0.2916666666666667)</f>
        <v>0.2916666667</v>
      </c>
      <c r="D5887" s="8">
        <f>IFERROR(__xludf.DUMMYFUNCTION("""COMPUTED_VALUE"""),0.086)</f>
        <v>0.086</v>
      </c>
      <c r="E5887" s="8" t="str">
        <f>IFERROR(__xludf.DUMMYFUNCTION("""COMPUTED_VALUE"""),"Real")</f>
        <v>Real</v>
      </c>
      <c r="G5887" s="8">
        <f t="shared" si="1"/>
        <v>7</v>
      </c>
      <c r="H5887" s="14">
        <f t="shared" si="2"/>
        <v>4</v>
      </c>
      <c r="I5887" s="15">
        <f t="shared" si="3"/>
        <v>7</v>
      </c>
    </row>
    <row r="5888">
      <c r="A5888" s="8" t="str">
        <f>IFERROR(__xludf.DUMMYFUNCTION("IF('(INGESTA)Datos_consumo_datadis'!A5888&lt;&gt;"""",SPLIT('(INGESTA)Datos_consumo_datadis'!A:A,"",""),"""")"),"ES0031408323131005HX0F")</f>
        <v>ES0031408323131005HX0F</v>
      </c>
      <c r="B5888" s="12">
        <f>IFERROR(__xludf.DUMMYFUNCTION("""COMPUTED_VALUE"""),45111.0)</f>
        <v>45111</v>
      </c>
      <c r="C5888" s="13">
        <f>IFERROR(__xludf.DUMMYFUNCTION("""COMPUTED_VALUE"""),0.3333333333333333)</f>
        <v>0.3333333333</v>
      </c>
      <c r="D5888" s="8">
        <f>IFERROR(__xludf.DUMMYFUNCTION("""COMPUTED_VALUE"""),0.047)</f>
        <v>0.047</v>
      </c>
      <c r="E5888" s="8" t="str">
        <f>IFERROR(__xludf.DUMMYFUNCTION("""COMPUTED_VALUE"""),"Real")</f>
        <v>Real</v>
      </c>
      <c r="G5888" s="8">
        <f t="shared" si="1"/>
        <v>7</v>
      </c>
      <c r="H5888" s="14">
        <f t="shared" si="2"/>
        <v>4</v>
      </c>
      <c r="I5888" s="15">
        <f t="shared" si="3"/>
        <v>8</v>
      </c>
    </row>
    <row r="5889">
      <c r="A5889" s="8" t="str">
        <f>IFERROR(__xludf.DUMMYFUNCTION("IF('(INGESTA)Datos_consumo_datadis'!A5889&lt;&gt;"""",SPLIT('(INGESTA)Datos_consumo_datadis'!A:A,"",""),"""")"),"ES0031408323131005HX0F")</f>
        <v>ES0031408323131005HX0F</v>
      </c>
      <c r="B5889" s="12">
        <f>IFERROR(__xludf.DUMMYFUNCTION("""COMPUTED_VALUE"""),45111.0)</f>
        <v>45111</v>
      </c>
      <c r="C5889" s="13">
        <f>IFERROR(__xludf.DUMMYFUNCTION("""COMPUTED_VALUE"""),0.375)</f>
        <v>0.375</v>
      </c>
      <c r="D5889" s="8">
        <f>IFERROR(__xludf.DUMMYFUNCTION("""COMPUTED_VALUE"""),0.084)</f>
        <v>0.084</v>
      </c>
      <c r="E5889" s="8" t="str">
        <f>IFERROR(__xludf.DUMMYFUNCTION("""COMPUTED_VALUE"""),"Real")</f>
        <v>Real</v>
      </c>
      <c r="G5889" s="8">
        <f t="shared" si="1"/>
        <v>7</v>
      </c>
      <c r="H5889" s="14">
        <f t="shared" si="2"/>
        <v>4</v>
      </c>
      <c r="I5889" s="15">
        <f t="shared" si="3"/>
        <v>9</v>
      </c>
    </row>
    <row r="5890">
      <c r="A5890" s="8" t="str">
        <f>IFERROR(__xludf.DUMMYFUNCTION("IF('(INGESTA)Datos_consumo_datadis'!A5890&lt;&gt;"""",SPLIT('(INGESTA)Datos_consumo_datadis'!A:A,"",""),"""")"),"ES0031408323131005HX0F")</f>
        <v>ES0031408323131005HX0F</v>
      </c>
      <c r="B5890" s="12">
        <f>IFERROR(__xludf.DUMMYFUNCTION("""COMPUTED_VALUE"""),45111.0)</f>
        <v>45111</v>
      </c>
      <c r="C5890" s="13">
        <f>IFERROR(__xludf.DUMMYFUNCTION("""COMPUTED_VALUE"""),0.4166666666666667)</f>
        <v>0.4166666667</v>
      </c>
      <c r="D5890" s="8">
        <f>IFERROR(__xludf.DUMMYFUNCTION("""COMPUTED_VALUE"""),0.085)</f>
        <v>0.085</v>
      </c>
      <c r="E5890" s="8" t="str">
        <f>IFERROR(__xludf.DUMMYFUNCTION("""COMPUTED_VALUE"""),"Real")</f>
        <v>Real</v>
      </c>
      <c r="G5890" s="8">
        <f t="shared" si="1"/>
        <v>7</v>
      </c>
      <c r="H5890" s="14">
        <f t="shared" si="2"/>
        <v>4</v>
      </c>
      <c r="I5890" s="15">
        <f t="shared" si="3"/>
        <v>10</v>
      </c>
    </row>
    <row r="5891">
      <c r="A5891" s="8" t="str">
        <f>IFERROR(__xludf.DUMMYFUNCTION("IF('(INGESTA)Datos_consumo_datadis'!A5891&lt;&gt;"""",SPLIT('(INGESTA)Datos_consumo_datadis'!A:A,"",""),"""")"),"ES0031408323131005HX0F")</f>
        <v>ES0031408323131005HX0F</v>
      </c>
      <c r="B5891" s="12">
        <f>IFERROR(__xludf.DUMMYFUNCTION("""COMPUTED_VALUE"""),45111.0)</f>
        <v>45111</v>
      </c>
      <c r="C5891" s="13">
        <f>IFERROR(__xludf.DUMMYFUNCTION("""COMPUTED_VALUE"""),0.4583333333333333)</f>
        <v>0.4583333333</v>
      </c>
      <c r="D5891" s="8">
        <f>IFERROR(__xludf.DUMMYFUNCTION("""COMPUTED_VALUE"""),0.038)</f>
        <v>0.038</v>
      </c>
      <c r="E5891" s="8" t="str">
        <f>IFERROR(__xludf.DUMMYFUNCTION("""COMPUTED_VALUE"""),"Real")</f>
        <v>Real</v>
      </c>
      <c r="G5891" s="8">
        <f t="shared" si="1"/>
        <v>7</v>
      </c>
      <c r="H5891" s="14">
        <f t="shared" si="2"/>
        <v>4</v>
      </c>
      <c r="I5891" s="15">
        <f t="shared" si="3"/>
        <v>11</v>
      </c>
    </row>
    <row r="5892">
      <c r="A5892" s="8" t="str">
        <f>IFERROR(__xludf.DUMMYFUNCTION("IF('(INGESTA)Datos_consumo_datadis'!A5892&lt;&gt;"""",SPLIT('(INGESTA)Datos_consumo_datadis'!A:A,"",""),"""")"),"ES0031408323131005HX0F")</f>
        <v>ES0031408323131005HX0F</v>
      </c>
      <c r="B5892" s="12">
        <f>IFERROR(__xludf.DUMMYFUNCTION("""COMPUTED_VALUE"""),45111.0)</f>
        <v>45111</v>
      </c>
      <c r="C5892" s="13">
        <f>IFERROR(__xludf.DUMMYFUNCTION("""COMPUTED_VALUE"""),0.5)</f>
        <v>0.5</v>
      </c>
      <c r="D5892" s="8">
        <f>IFERROR(__xludf.DUMMYFUNCTION("""COMPUTED_VALUE"""),0.092)</f>
        <v>0.092</v>
      </c>
      <c r="E5892" s="8" t="str">
        <f>IFERROR(__xludf.DUMMYFUNCTION("""COMPUTED_VALUE"""),"Real")</f>
        <v>Real</v>
      </c>
      <c r="G5892" s="8">
        <f t="shared" si="1"/>
        <v>7</v>
      </c>
      <c r="H5892" s="14">
        <f t="shared" si="2"/>
        <v>4</v>
      </c>
      <c r="I5892" s="15">
        <f t="shared" si="3"/>
        <v>12</v>
      </c>
    </row>
    <row r="5893">
      <c r="A5893" s="8" t="str">
        <f>IFERROR(__xludf.DUMMYFUNCTION("IF('(INGESTA)Datos_consumo_datadis'!A5893&lt;&gt;"""",SPLIT('(INGESTA)Datos_consumo_datadis'!A:A,"",""),"""")"),"ES0031408323131005HX0F")</f>
        <v>ES0031408323131005HX0F</v>
      </c>
      <c r="B5893" s="12">
        <f>IFERROR(__xludf.DUMMYFUNCTION("""COMPUTED_VALUE"""),45111.0)</f>
        <v>45111</v>
      </c>
      <c r="C5893" s="13">
        <f>IFERROR(__xludf.DUMMYFUNCTION("""COMPUTED_VALUE"""),0.5416666666666666)</f>
        <v>0.5416666667</v>
      </c>
      <c r="D5893" s="8">
        <f>IFERROR(__xludf.DUMMYFUNCTION("""COMPUTED_VALUE"""),0.086)</f>
        <v>0.086</v>
      </c>
      <c r="E5893" s="8" t="str">
        <f>IFERROR(__xludf.DUMMYFUNCTION("""COMPUTED_VALUE"""),"Real")</f>
        <v>Real</v>
      </c>
      <c r="G5893" s="8">
        <f t="shared" si="1"/>
        <v>7</v>
      </c>
      <c r="H5893" s="14">
        <f t="shared" si="2"/>
        <v>4</v>
      </c>
      <c r="I5893" s="15">
        <f t="shared" si="3"/>
        <v>13</v>
      </c>
    </row>
    <row r="5894">
      <c r="A5894" s="8" t="str">
        <f>IFERROR(__xludf.DUMMYFUNCTION("IF('(INGESTA)Datos_consumo_datadis'!A5894&lt;&gt;"""",SPLIT('(INGESTA)Datos_consumo_datadis'!A:A,"",""),"""")"),"ES0031408323131005HX0F")</f>
        <v>ES0031408323131005HX0F</v>
      </c>
      <c r="B5894" s="12">
        <f>IFERROR(__xludf.DUMMYFUNCTION("""COMPUTED_VALUE"""),45111.0)</f>
        <v>45111</v>
      </c>
      <c r="C5894" s="13">
        <f>IFERROR(__xludf.DUMMYFUNCTION("""COMPUTED_VALUE"""),0.5833333333333334)</f>
        <v>0.5833333333</v>
      </c>
      <c r="D5894" s="8">
        <f>IFERROR(__xludf.DUMMYFUNCTION("""COMPUTED_VALUE"""),0.029)</f>
        <v>0.029</v>
      </c>
      <c r="E5894" s="8" t="str">
        <f>IFERROR(__xludf.DUMMYFUNCTION("""COMPUTED_VALUE"""),"Real")</f>
        <v>Real</v>
      </c>
      <c r="G5894" s="8">
        <f t="shared" si="1"/>
        <v>7</v>
      </c>
      <c r="H5894" s="14">
        <f t="shared" si="2"/>
        <v>4</v>
      </c>
      <c r="I5894" s="15">
        <f t="shared" si="3"/>
        <v>14</v>
      </c>
    </row>
    <row r="5895">
      <c r="A5895" s="8" t="str">
        <f>IFERROR(__xludf.DUMMYFUNCTION("IF('(INGESTA)Datos_consumo_datadis'!A5895&lt;&gt;"""",SPLIT('(INGESTA)Datos_consumo_datadis'!A:A,"",""),"""")"),"ES0031408323131005HX0F")</f>
        <v>ES0031408323131005HX0F</v>
      </c>
      <c r="B5895" s="12">
        <f>IFERROR(__xludf.DUMMYFUNCTION("""COMPUTED_VALUE"""),45111.0)</f>
        <v>45111</v>
      </c>
      <c r="C5895" s="13">
        <f>IFERROR(__xludf.DUMMYFUNCTION("""COMPUTED_VALUE"""),0.625)</f>
        <v>0.625</v>
      </c>
      <c r="D5895" s="8">
        <f>IFERROR(__xludf.DUMMYFUNCTION("""COMPUTED_VALUE"""),0.4)</f>
        <v>0.4</v>
      </c>
      <c r="E5895" s="8" t="str">
        <f>IFERROR(__xludf.DUMMYFUNCTION("""COMPUTED_VALUE"""),"Real")</f>
        <v>Real</v>
      </c>
      <c r="G5895" s="8">
        <f t="shared" si="1"/>
        <v>7</v>
      </c>
      <c r="H5895" s="14">
        <f t="shared" si="2"/>
        <v>4</v>
      </c>
      <c r="I5895" s="15">
        <f t="shared" si="3"/>
        <v>15</v>
      </c>
    </row>
    <row r="5896">
      <c r="A5896" s="8" t="str">
        <f>IFERROR(__xludf.DUMMYFUNCTION("IF('(INGESTA)Datos_consumo_datadis'!A5896&lt;&gt;"""",SPLIT('(INGESTA)Datos_consumo_datadis'!A:A,"",""),"""")"),"ES0031408323131005HX0F")</f>
        <v>ES0031408323131005HX0F</v>
      </c>
      <c r="B5896" s="12">
        <f>IFERROR(__xludf.DUMMYFUNCTION("""COMPUTED_VALUE"""),45111.0)</f>
        <v>45111</v>
      </c>
      <c r="C5896" s="13">
        <f>IFERROR(__xludf.DUMMYFUNCTION("""COMPUTED_VALUE"""),0.6666666666666666)</f>
        <v>0.6666666667</v>
      </c>
      <c r="D5896" s="8">
        <f>IFERROR(__xludf.DUMMYFUNCTION("""COMPUTED_VALUE"""),0.125)</f>
        <v>0.125</v>
      </c>
      <c r="E5896" s="8" t="str">
        <f>IFERROR(__xludf.DUMMYFUNCTION("""COMPUTED_VALUE"""),"Real")</f>
        <v>Real</v>
      </c>
      <c r="G5896" s="8">
        <f t="shared" si="1"/>
        <v>7</v>
      </c>
      <c r="H5896" s="14">
        <f t="shared" si="2"/>
        <v>4</v>
      </c>
      <c r="I5896" s="15">
        <f t="shared" si="3"/>
        <v>16</v>
      </c>
    </row>
    <row r="5897">
      <c r="A5897" s="8" t="str">
        <f>IFERROR(__xludf.DUMMYFUNCTION("IF('(INGESTA)Datos_consumo_datadis'!A5897&lt;&gt;"""",SPLIT('(INGESTA)Datos_consumo_datadis'!A:A,"",""),"""")"),"ES0031408323131005HX0F")</f>
        <v>ES0031408323131005HX0F</v>
      </c>
      <c r="B5897" s="12">
        <f>IFERROR(__xludf.DUMMYFUNCTION("""COMPUTED_VALUE"""),45111.0)</f>
        <v>45111</v>
      </c>
      <c r="C5897" s="13">
        <f>IFERROR(__xludf.DUMMYFUNCTION("""COMPUTED_VALUE"""),0.7083333333333334)</f>
        <v>0.7083333333</v>
      </c>
      <c r="D5897" s="8">
        <f>IFERROR(__xludf.DUMMYFUNCTION("""COMPUTED_VALUE"""),0.116)</f>
        <v>0.116</v>
      </c>
      <c r="E5897" s="8" t="str">
        <f>IFERROR(__xludf.DUMMYFUNCTION("""COMPUTED_VALUE"""),"Real")</f>
        <v>Real</v>
      </c>
      <c r="G5897" s="8">
        <f t="shared" si="1"/>
        <v>7</v>
      </c>
      <c r="H5897" s="14">
        <f t="shared" si="2"/>
        <v>4</v>
      </c>
      <c r="I5897" s="15">
        <f t="shared" si="3"/>
        <v>17</v>
      </c>
    </row>
    <row r="5898">
      <c r="A5898" s="8" t="str">
        <f>IFERROR(__xludf.DUMMYFUNCTION("IF('(INGESTA)Datos_consumo_datadis'!A5898&lt;&gt;"""",SPLIT('(INGESTA)Datos_consumo_datadis'!A:A,"",""),"""")"),"ES0031408323131005HX0F")</f>
        <v>ES0031408323131005HX0F</v>
      </c>
      <c r="B5898" s="12">
        <f>IFERROR(__xludf.DUMMYFUNCTION("""COMPUTED_VALUE"""),45111.0)</f>
        <v>45111</v>
      </c>
      <c r="C5898" s="13">
        <f>IFERROR(__xludf.DUMMYFUNCTION("""COMPUTED_VALUE"""),0.75)</f>
        <v>0.75</v>
      </c>
      <c r="D5898" s="8">
        <f>IFERROR(__xludf.DUMMYFUNCTION("""COMPUTED_VALUE"""),0.091)</f>
        <v>0.091</v>
      </c>
      <c r="E5898" s="8" t="str">
        <f>IFERROR(__xludf.DUMMYFUNCTION("""COMPUTED_VALUE"""),"Real")</f>
        <v>Real</v>
      </c>
      <c r="G5898" s="8">
        <f t="shared" si="1"/>
        <v>7</v>
      </c>
      <c r="H5898" s="14">
        <f t="shared" si="2"/>
        <v>4</v>
      </c>
      <c r="I5898" s="15">
        <f t="shared" si="3"/>
        <v>18</v>
      </c>
    </row>
    <row r="5899">
      <c r="A5899" s="8" t="str">
        <f>IFERROR(__xludf.DUMMYFUNCTION("IF('(INGESTA)Datos_consumo_datadis'!A5899&lt;&gt;"""",SPLIT('(INGESTA)Datos_consumo_datadis'!A:A,"",""),"""")"),"ES0031408323131005HX0F")</f>
        <v>ES0031408323131005HX0F</v>
      </c>
      <c r="B5899" s="12">
        <f>IFERROR(__xludf.DUMMYFUNCTION("""COMPUTED_VALUE"""),45111.0)</f>
        <v>45111</v>
      </c>
      <c r="C5899" s="13">
        <f>IFERROR(__xludf.DUMMYFUNCTION("""COMPUTED_VALUE"""),0.7916666666666666)</f>
        <v>0.7916666667</v>
      </c>
      <c r="D5899" s="8">
        <f>IFERROR(__xludf.DUMMYFUNCTION("""COMPUTED_VALUE"""),0.025)</f>
        <v>0.025</v>
      </c>
      <c r="E5899" s="8" t="str">
        <f>IFERROR(__xludf.DUMMYFUNCTION("""COMPUTED_VALUE"""),"Real")</f>
        <v>Real</v>
      </c>
      <c r="G5899" s="8">
        <f t="shared" si="1"/>
        <v>7</v>
      </c>
      <c r="H5899" s="14">
        <f t="shared" si="2"/>
        <v>4</v>
      </c>
      <c r="I5899" s="15">
        <f t="shared" si="3"/>
        <v>19</v>
      </c>
    </row>
    <row r="5900">
      <c r="A5900" s="8" t="str">
        <f>IFERROR(__xludf.DUMMYFUNCTION("IF('(INGESTA)Datos_consumo_datadis'!A5900&lt;&gt;"""",SPLIT('(INGESTA)Datos_consumo_datadis'!A:A,"",""),"""")"),"ES0031408323131005HX0F")</f>
        <v>ES0031408323131005HX0F</v>
      </c>
      <c r="B5900" s="12">
        <f>IFERROR(__xludf.DUMMYFUNCTION("""COMPUTED_VALUE"""),45111.0)</f>
        <v>45111</v>
      </c>
      <c r="C5900" s="13">
        <f>IFERROR(__xludf.DUMMYFUNCTION("""COMPUTED_VALUE"""),0.8333333333333334)</f>
        <v>0.8333333333</v>
      </c>
      <c r="D5900" s="8">
        <f>IFERROR(__xludf.DUMMYFUNCTION("""COMPUTED_VALUE"""),0.131)</f>
        <v>0.131</v>
      </c>
      <c r="E5900" s="8" t="str">
        <f>IFERROR(__xludf.DUMMYFUNCTION("""COMPUTED_VALUE"""),"Real")</f>
        <v>Real</v>
      </c>
      <c r="G5900" s="8">
        <f t="shared" si="1"/>
        <v>7</v>
      </c>
      <c r="H5900" s="14">
        <f t="shared" si="2"/>
        <v>4</v>
      </c>
      <c r="I5900" s="15">
        <f t="shared" si="3"/>
        <v>20</v>
      </c>
    </row>
    <row r="5901">
      <c r="A5901" s="8" t="str">
        <f>IFERROR(__xludf.DUMMYFUNCTION("IF('(INGESTA)Datos_consumo_datadis'!A5901&lt;&gt;"""",SPLIT('(INGESTA)Datos_consumo_datadis'!A:A,"",""),"""")"),"ES0031408323131005HX0F")</f>
        <v>ES0031408323131005HX0F</v>
      </c>
      <c r="B5901" s="12">
        <f>IFERROR(__xludf.DUMMYFUNCTION("""COMPUTED_VALUE"""),45111.0)</f>
        <v>45111</v>
      </c>
      <c r="C5901" s="13">
        <f>IFERROR(__xludf.DUMMYFUNCTION("""COMPUTED_VALUE"""),0.875)</f>
        <v>0.875</v>
      </c>
      <c r="D5901" s="8">
        <f>IFERROR(__xludf.DUMMYFUNCTION("""COMPUTED_VALUE"""),0.082)</f>
        <v>0.082</v>
      </c>
      <c r="E5901" s="8" t="str">
        <f>IFERROR(__xludf.DUMMYFUNCTION("""COMPUTED_VALUE"""),"Real")</f>
        <v>Real</v>
      </c>
      <c r="G5901" s="8">
        <f t="shared" si="1"/>
        <v>7</v>
      </c>
      <c r="H5901" s="14">
        <f t="shared" si="2"/>
        <v>4</v>
      </c>
      <c r="I5901" s="15">
        <f t="shared" si="3"/>
        <v>21</v>
      </c>
    </row>
    <row r="5902">
      <c r="A5902" s="8" t="str">
        <f>IFERROR(__xludf.DUMMYFUNCTION("IF('(INGESTA)Datos_consumo_datadis'!A5902&lt;&gt;"""",SPLIT('(INGESTA)Datos_consumo_datadis'!A:A,"",""),"""")"),"ES0031408323131005HX0F")</f>
        <v>ES0031408323131005HX0F</v>
      </c>
      <c r="B5902" s="12">
        <f>IFERROR(__xludf.DUMMYFUNCTION("""COMPUTED_VALUE"""),45111.0)</f>
        <v>45111</v>
      </c>
      <c r="C5902" s="13">
        <f>IFERROR(__xludf.DUMMYFUNCTION("""COMPUTED_VALUE"""),0.9166666666666666)</f>
        <v>0.9166666667</v>
      </c>
      <c r="D5902" s="8">
        <f>IFERROR(__xludf.DUMMYFUNCTION("""COMPUTED_VALUE"""),0.045)</f>
        <v>0.045</v>
      </c>
      <c r="E5902" s="8" t="str">
        <f>IFERROR(__xludf.DUMMYFUNCTION("""COMPUTED_VALUE"""),"Real")</f>
        <v>Real</v>
      </c>
      <c r="G5902" s="8">
        <f t="shared" si="1"/>
        <v>7</v>
      </c>
      <c r="H5902" s="14">
        <f t="shared" si="2"/>
        <v>4</v>
      </c>
      <c r="I5902" s="15">
        <f t="shared" si="3"/>
        <v>22</v>
      </c>
    </row>
    <row r="5903">
      <c r="A5903" s="8" t="str">
        <f>IFERROR(__xludf.DUMMYFUNCTION("IF('(INGESTA)Datos_consumo_datadis'!A5903&lt;&gt;"""",SPLIT('(INGESTA)Datos_consumo_datadis'!A:A,"",""),"""")"),"ES0031408323131005HX0F")</f>
        <v>ES0031408323131005HX0F</v>
      </c>
      <c r="B5903" s="12">
        <f>IFERROR(__xludf.DUMMYFUNCTION("""COMPUTED_VALUE"""),45111.0)</f>
        <v>45111</v>
      </c>
      <c r="C5903" s="13">
        <f>IFERROR(__xludf.DUMMYFUNCTION("""COMPUTED_VALUE"""),0.9583333333333334)</f>
        <v>0.9583333333</v>
      </c>
      <c r="D5903" s="8">
        <f>IFERROR(__xludf.DUMMYFUNCTION("""COMPUTED_VALUE"""),0.296)</f>
        <v>0.296</v>
      </c>
      <c r="E5903" s="8" t="str">
        <f>IFERROR(__xludf.DUMMYFUNCTION("""COMPUTED_VALUE"""),"Real")</f>
        <v>Real</v>
      </c>
      <c r="G5903" s="8">
        <f t="shared" si="1"/>
        <v>7</v>
      </c>
      <c r="H5903" s="14">
        <f t="shared" si="2"/>
        <v>4</v>
      </c>
      <c r="I5903" s="15">
        <f t="shared" si="3"/>
        <v>23</v>
      </c>
    </row>
    <row r="5904">
      <c r="A5904" s="8" t="str">
        <f>IFERROR(__xludf.DUMMYFUNCTION("IF('(INGESTA)Datos_consumo_datadis'!A5904&lt;&gt;"""",SPLIT('(INGESTA)Datos_consumo_datadis'!A:A,"",""),"""")"),"ES0031408323131005HX0F")</f>
        <v>ES0031408323131005HX0F</v>
      </c>
      <c r="B5904" s="12">
        <f>IFERROR(__xludf.DUMMYFUNCTION("""COMPUTED_VALUE"""),45111.0)</f>
        <v>45111</v>
      </c>
      <c r="C5904" s="16">
        <f>IFERROR(__xludf.DUMMYFUNCTION("""COMPUTED_VALUE"""),1.0)</f>
        <v>1</v>
      </c>
      <c r="D5904" s="8">
        <f>IFERROR(__xludf.DUMMYFUNCTION("""COMPUTED_VALUE"""),0.098)</f>
        <v>0.098</v>
      </c>
      <c r="E5904" s="8" t="str">
        <f>IFERROR(__xludf.DUMMYFUNCTION("""COMPUTED_VALUE"""),"Real")</f>
        <v>Real</v>
      </c>
      <c r="G5904" s="8">
        <f t="shared" si="1"/>
        <v>7</v>
      </c>
      <c r="H5904" s="14">
        <f t="shared" si="2"/>
        <v>4</v>
      </c>
      <c r="I5904" s="15">
        <f t="shared" si="3"/>
        <v>0</v>
      </c>
    </row>
    <row r="5905">
      <c r="A5905" s="8" t="str">
        <f>IFERROR(__xludf.DUMMYFUNCTION("IF('(INGESTA)Datos_consumo_datadis'!A5905&lt;&gt;"""",SPLIT('(INGESTA)Datos_consumo_datadis'!A:A,"",""),"""")"),"ES0031408323131005HX0F")</f>
        <v>ES0031408323131005HX0F</v>
      </c>
      <c r="B5905" s="12">
        <f>IFERROR(__xludf.DUMMYFUNCTION("""COMPUTED_VALUE"""),45112.0)</f>
        <v>45112</v>
      </c>
      <c r="C5905" s="13">
        <f>IFERROR(__xludf.DUMMYFUNCTION("""COMPUTED_VALUE"""),0.041666666666666664)</f>
        <v>0.04166666667</v>
      </c>
      <c r="D5905" s="8">
        <f>IFERROR(__xludf.DUMMYFUNCTION("""COMPUTED_VALUE"""),0.086)</f>
        <v>0.086</v>
      </c>
      <c r="E5905" s="8" t="str">
        <f>IFERROR(__xludf.DUMMYFUNCTION("""COMPUTED_VALUE"""),"Real")</f>
        <v>Real</v>
      </c>
      <c r="G5905" s="8">
        <f t="shared" si="1"/>
        <v>7</v>
      </c>
      <c r="H5905" s="14">
        <f t="shared" si="2"/>
        <v>5</v>
      </c>
      <c r="I5905" s="15">
        <f t="shared" si="3"/>
        <v>1</v>
      </c>
    </row>
    <row r="5906">
      <c r="A5906" s="8" t="str">
        <f>IFERROR(__xludf.DUMMYFUNCTION("IF('(INGESTA)Datos_consumo_datadis'!A5906&lt;&gt;"""",SPLIT('(INGESTA)Datos_consumo_datadis'!A:A,"",""),"""")"),"ES0031408323131005HX0F")</f>
        <v>ES0031408323131005HX0F</v>
      </c>
      <c r="B5906" s="12">
        <f>IFERROR(__xludf.DUMMYFUNCTION("""COMPUTED_VALUE"""),45112.0)</f>
        <v>45112</v>
      </c>
      <c r="C5906" s="13">
        <f>IFERROR(__xludf.DUMMYFUNCTION("""COMPUTED_VALUE"""),0.08333333333333333)</f>
        <v>0.08333333333</v>
      </c>
      <c r="D5906" s="8">
        <f>IFERROR(__xludf.DUMMYFUNCTION("""COMPUTED_VALUE"""),0.09)</f>
        <v>0.09</v>
      </c>
      <c r="E5906" s="8" t="str">
        <f>IFERROR(__xludf.DUMMYFUNCTION("""COMPUTED_VALUE"""),"Real")</f>
        <v>Real</v>
      </c>
      <c r="G5906" s="8">
        <f t="shared" si="1"/>
        <v>7</v>
      </c>
      <c r="H5906" s="14">
        <f t="shared" si="2"/>
        <v>5</v>
      </c>
      <c r="I5906" s="15">
        <f t="shared" si="3"/>
        <v>2</v>
      </c>
    </row>
    <row r="5907">
      <c r="A5907" s="8" t="str">
        <f>IFERROR(__xludf.DUMMYFUNCTION("IF('(INGESTA)Datos_consumo_datadis'!A5907&lt;&gt;"""",SPLIT('(INGESTA)Datos_consumo_datadis'!A:A,"",""),"""")"),"ES0031408323131005HX0F")</f>
        <v>ES0031408323131005HX0F</v>
      </c>
      <c r="B5907" s="12">
        <f>IFERROR(__xludf.DUMMYFUNCTION("""COMPUTED_VALUE"""),45112.0)</f>
        <v>45112</v>
      </c>
      <c r="C5907" s="13">
        <f>IFERROR(__xludf.DUMMYFUNCTION("""COMPUTED_VALUE"""),0.125)</f>
        <v>0.125</v>
      </c>
      <c r="D5907" s="8">
        <f>IFERROR(__xludf.DUMMYFUNCTION("""COMPUTED_VALUE"""),0.015)</f>
        <v>0.015</v>
      </c>
      <c r="E5907" s="8" t="str">
        <f>IFERROR(__xludf.DUMMYFUNCTION("""COMPUTED_VALUE"""),"Real")</f>
        <v>Real</v>
      </c>
      <c r="G5907" s="8">
        <f t="shared" si="1"/>
        <v>7</v>
      </c>
      <c r="H5907" s="14">
        <f t="shared" si="2"/>
        <v>5</v>
      </c>
      <c r="I5907" s="15">
        <f t="shared" si="3"/>
        <v>3</v>
      </c>
    </row>
    <row r="5908">
      <c r="A5908" s="8" t="str">
        <f>IFERROR(__xludf.DUMMYFUNCTION("IF('(INGESTA)Datos_consumo_datadis'!A5908&lt;&gt;"""",SPLIT('(INGESTA)Datos_consumo_datadis'!A:A,"",""),"""")"),"ES0031408323131005HX0F")</f>
        <v>ES0031408323131005HX0F</v>
      </c>
      <c r="B5908" s="12">
        <f>IFERROR(__xludf.DUMMYFUNCTION("""COMPUTED_VALUE"""),45112.0)</f>
        <v>45112</v>
      </c>
      <c r="C5908" s="13">
        <f>IFERROR(__xludf.DUMMYFUNCTION("""COMPUTED_VALUE"""),0.16666666666666666)</f>
        <v>0.1666666667</v>
      </c>
      <c r="D5908" s="8">
        <f>IFERROR(__xludf.DUMMYFUNCTION("""COMPUTED_VALUE"""),0.04)</f>
        <v>0.04</v>
      </c>
      <c r="E5908" s="8" t="str">
        <f>IFERROR(__xludf.DUMMYFUNCTION("""COMPUTED_VALUE"""),"Real")</f>
        <v>Real</v>
      </c>
      <c r="G5908" s="8">
        <f t="shared" si="1"/>
        <v>7</v>
      </c>
      <c r="H5908" s="14">
        <f t="shared" si="2"/>
        <v>5</v>
      </c>
      <c r="I5908" s="15">
        <f t="shared" si="3"/>
        <v>4</v>
      </c>
    </row>
    <row r="5909">
      <c r="A5909" s="8" t="str">
        <f>IFERROR(__xludf.DUMMYFUNCTION("IF('(INGESTA)Datos_consumo_datadis'!A5909&lt;&gt;"""",SPLIT('(INGESTA)Datos_consumo_datadis'!A:A,"",""),"""")"),"ES0031408323131005HX0F")</f>
        <v>ES0031408323131005HX0F</v>
      </c>
      <c r="B5909" s="12">
        <f>IFERROR(__xludf.DUMMYFUNCTION("""COMPUTED_VALUE"""),45112.0)</f>
        <v>45112</v>
      </c>
      <c r="C5909" s="13">
        <f>IFERROR(__xludf.DUMMYFUNCTION("""COMPUTED_VALUE"""),0.20833333333333334)</f>
        <v>0.2083333333</v>
      </c>
      <c r="D5909" s="8">
        <f>IFERROR(__xludf.DUMMYFUNCTION("""COMPUTED_VALUE"""),0.115)</f>
        <v>0.115</v>
      </c>
      <c r="E5909" s="8" t="str">
        <f>IFERROR(__xludf.DUMMYFUNCTION("""COMPUTED_VALUE"""),"Real")</f>
        <v>Real</v>
      </c>
      <c r="G5909" s="8">
        <f t="shared" si="1"/>
        <v>7</v>
      </c>
      <c r="H5909" s="14">
        <f t="shared" si="2"/>
        <v>5</v>
      </c>
      <c r="I5909" s="15">
        <f t="shared" si="3"/>
        <v>5</v>
      </c>
    </row>
    <row r="5910">
      <c r="A5910" s="8" t="str">
        <f>IFERROR(__xludf.DUMMYFUNCTION("IF('(INGESTA)Datos_consumo_datadis'!A5910&lt;&gt;"""",SPLIT('(INGESTA)Datos_consumo_datadis'!A:A,"",""),"""")"),"ES0031408323131005HX0F")</f>
        <v>ES0031408323131005HX0F</v>
      </c>
      <c r="B5910" s="12">
        <f>IFERROR(__xludf.DUMMYFUNCTION("""COMPUTED_VALUE"""),45112.0)</f>
        <v>45112</v>
      </c>
      <c r="C5910" s="13">
        <f>IFERROR(__xludf.DUMMYFUNCTION("""COMPUTED_VALUE"""),0.25)</f>
        <v>0.25</v>
      </c>
      <c r="D5910" s="8">
        <f>IFERROR(__xludf.DUMMYFUNCTION("""COMPUTED_VALUE"""),0.084)</f>
        <v>0.084</v>
      </c>
      <c r="E5910" s="8" t="str">
        <f>IFERROR(__xludf.DUMMYFUNCTION("""COMPUTED_VALUE"""),"Real")</f>
        <v>Real</v>
      </c>
      <c r="G5910" s="8">
        <f t="shared" si="1"/>
        <v>7</v>
      </c>
      <c r="H5910" s="14">
        <f t="shared" si="2"/>
        <v>5</v>
      </c>
      <c r="I5910" s="15">
        <f t="shared" si="3"/>
        <v>6</v>
      </c>
    </row>
    <row r="5911">
      <c r="A5911" s="8" t="str">
        <f>IFERROR(__xludf.DUMMYFUNCTION("IF('(INGESTA)Datos_consumo_datadis'!A5911&lt;&gt;"""",SPLIT('(INGESTA)Datos_consumo_datadis'!A:A,"",""),"""")"),"ES0031408323131005HX0F")</f>
        <v>ES0031408323131005HX0F</v>
      </c>
      <c r="B5911" s="12">
        <f>IFERROR(__xludf.DUMMYFUNCTION("""COMPUTED_VALUE"""),45112.0)</f>
        <v>45112</v>
      </c>
      <c r="C5911" s="13">
        <f>IFERROR(__xludf.DUMMYFUNCTION("""COMPUTED_VALUE"""),0.2916666666666667)</f>
        <v>0.2916666667</v>
      </c>
      <c r="D5911" s="8">
        <f>IFERROR(__xludf.DUMMYFUNCTION("""COMPUTED_VALUE"""),0.048)</f>
        <v>0.048</v>
      </c>
      <c r="E5911" s="8" t="str">
        <f>IFERROR(__xludf.DUMMYFUNCTION("""COMPUTED_VALUE"""),"Real")</f>
        <v>Real</v>
      </c>
      <c r="G5911" s="8">
        <f t="shared" si="1"/>
        <v>7</v>
      </c>
      <c r="H5911" s="14">
        <f t="shared" si="2"/>
        <v>5</v>
      </c>
      <c r="I5911" s="15">
        <f t="shared" si="3"/>
        <v>7</v>
      </c>
    </row>
    <row r="5912">
      <c r="A5912" s="8" t="str">
        <f>IFERROR(__xludf.DUMMYFUNCTION("IF('(INGESTA)Datos_consumo_datadis'!A5912&lt;&gt;"""",SPLIT('(INGESTA)Datos_consumo_datadis'!A:A,"",""),"""")"),"ES0031408323131005HX0F")</f>
        <v>ES0031408323131005HX0F</v>
      </c>
      <c r="B5912" s="12">
        <f>IFERROR(__xludf.DUMMYFUNCTION("""COMPUTED_VALUE"""),45112.0)</f>
        <v>45112</v>
      </c>
      <c r="C5912" s="13">
        <f>IFERROR(__xludf.DUMMYFUNCTION("""COMPUTED_VALUE"""),0.3333333333333333)</f>
        <v>0.3333333333</v>
      </c>
      <c r="D5912" s="8">
        <f>IFERROR(__xludf.DUMMYFUNCTION("""COMPUTED_VALUE"""),0.298)</f>
        <v>0.298</v>
      </c>
      <c r="E5912" s="8" t="str">
        <f>IFERROR(__xludf.DUMMYFUNCTION("""COMPUTED_VALUE"""),"Real")</f>
        <v>Real</v>
      </c>
      <c r="G5912" s="8">
        <f t="shared" si="1"/>
        <v>7</v>
      </c>
      <c r="H5912" s="14">
        <f t="shared" si="2"/>
        <v>5</v>
      </c>
      <c r="I5912" s="15">
        <f t="shared" si="3"/>
        <v>8</v>
      </c>
    </row>
    <row r="5913">
      <c r="A5913" s="8" t="str">
        <f>IFERROR(__xludf.DUMMYFUNCTION("IF('(INGESTA)Datos_consumo_datadis'!A5913&lt;&gt;"""",SPLIT('(INGESTA)Datos_consumo_datadis'!A:A,"",""),"""")"),"ES0031408323131005HX0F")</f>
        <v>ES0031408323131005HX0F</v>
      </c>
      <c r="B5913" s="12">
        <f>IFERROR(__xludf.DUMMYFUNCTION("""COMPUTED_VALUE"""),45112.0)</f>
        <v>45112</v>
      </c>
      <c r="C5913" s="13">
        <f>IFERROR(__xludf.DUMMYFUNCTION("""COMPUTED_VALUE"""),0.375)</f>
        <v>0.375</v>
      </c>
      <c r="D5913" s="8">
        <f>IFERROR(__xludf.DUMMYFUNCTION("""COMPUTED_VALUE"""),0.09)</f>
        <v>0.09</v>
      </c>
      <c r="E5913" s="8" t="str">
        <f>IFERROR(__xludf.DUMMYFUNCTION("""COMPUTED_VALUE"""),"Real")</f>
        <v>Real</v>
      </c>
      <c r="G5913" s="8">
        <f t="shared" si="1"/>
        <v>7</v>
      </c>
      <c r="H5913" s="14">
        <f t="shared" si="2"/>
        <v>5</v>
      </c>
      <c r="I5913" s="15">
        <f t="shared" si="3"/>
        <v>9</v>
      </c>
    </row>
    <row r="5914">
      <c r="A5914" s="8" t="str">
        <f>IFERROR(__xludf.DUMMYFUNCTION("IF('(INGESTA)Datos_consumo_datadis'!A5914&lt;&gt;"""",SPLIT('(INGESTA)Datos_consumo_datadis'!A:A,"",""),"""")"),"ES0031408323131005HX0F")</f>
        <v>ES0031408323131005HX0F</v>
      </c>
      <c r="B5914" s="12">
        <f>IFERROR(__xludf.DUMMYFUNCTION("""COMPUTED_VALUE"""),45112.0)</f>
        <v>45112</v>
      </c>
      <c r="C5914" s="13">
        <f>IFERROR(__xludf.DUMMYFUNCTION("""COMPUTED_VALUE"""),0.4166666666666667)</f>
        <v>0.4166666667</v>
      </c>
      <c r="D5914" s="8">
        <f>IFERROR(__xludf.DUMMYFUNCTION("""COMPUTED_VALUE"""),0.089)</f>
        <v>0.089</v>
      </c>
      <c r="E5914" s="8" t="str">
        <f>IFERROR(__xludf.DUMMYFUNCTION("""COMPUTED_VALUE"""),"Real")</f>
        <v>Real</v>
      </c>
      <c r="G5914" s="8">
        <f t="shared" si="1"/>
        <v>7</v>
      </c>
      <c r="H5914" s="14">
        <f t="shared" si="2"/>
        <v>5</v>
      </c>
      <c r="I5914" s="15">
        <f t="shared" si="3"/>
        <v>10</v>
      </c>
    </row>
    <row r="5915">
      <c r="A5915" s="8" t="str">
        <f>IFERROR(__xludf.DUMMYFUNCTION("IF('(INGESTA)Datos_consumo_datadis'!A5915&lt;&gt;"""",SPLIT('(INGESTA)Datos_consumo_datadis'!A:A,"",""),"""")"),"ES0031408323131005HX0F")</f>
        <v>ES0031408323131005HX0F</v>
      </c>
      <c r="B5915" s="12">
        <f>IFERROR(__xludf.DUMMYFUNCTION("""COMPUTED_VALUE"""),45112.0)</f>
        <v>45112</v>
      </c>
      <c r="C5915" s="13">
        <f>IFERROR(__xludf.DUMMYFUNCTION("""COMPUTED_VALUE"""),0.4583333333333333)</f>
        <v>0.4583333333</v>
      </c>
      <c r="D5915" s="8">
        <f>IFERROR(__xludf.DUMMYFUNCTION("""COMPUTED_VALUE"""),0.086)</f>
        <v>0.086</v>
      </c>
      <c r="E5915" s="8" t="str">
        <f>IFERROR(__xludf.DUMMYFUNCTION("""COMPUTED_VALUE"""),"Real")</f>
        <v>Real</v>
      </c>
      <c r="G5915" s="8">
        <f t="shared" si="1"/>
        <v>7</v>
      </c>
      <c r="H5915" s="14">
        <f t="shared" si="2"/>
        <v>5</v>
      </c>
      <c r="I5915" s="15">
        <f t="shared" si="3"/>
        <v>11</v>
      </c>
    </row>
    <row r="5916">
      <c r="A5916" s="8" t="str">
        <f>IFERROR(__xludf.DUMMYFUNCTION("IF('(INGESTA)Datos_consumo_datadis'!A5916&lt;&gt;"""",SPLIT('(INGESTA)Datos_consumo_datadis'!A:A,"",""),"""")"),"ES0031408323131005HX0F")</f>
        <v>ES0031408323131005HX0F</v>
      </c>
      <c r="B5916" s="12">
        <f>IFERROR(__xludf.DUMMYFUNCTION("""COMPUTED_VALUE"""),45112.0)</f>
        <v>45112</v>
      </c>
      <c r="C5916" s="13">
        <f>IFERROR(__xludf.DUMMYFUNCTION("""COMPUTED_VALUE"""),0.5)</f>
        <v>0.5</v>
      </c>
      <c r="D5916" s="8">
        <f>IFERROR(__xludf.DUMMYFUNCTION("""COMPUTED_VALUE"""),0.019)</f>
        <v>0.019</v>
      </c>
      <c r="E5916" s="8" t="str">
        <f>IFERROR(__xludf.DUMMYFUNCTION("""COMPUTED_VALUE"""),"Real")</f>
        <v>Real</v>
      </c>
      <c r="G5916" s="8">
        <f t="shared" si="1"/>
        <v>7</v>
      </c>
      <c r="H5916" s="14">
        <f t="shared" si="2"/>
        <v>5</v>
      </c>
      <c r="I5916" s="15">
        <f t="shared" si="3"/>
        <v>12</v>
      </c>
    </row>
    <row r="5917">
      <c r="A5917" s="8" t="str">
        <f>IFERROR(__xludf.DUMMYFUNCTION("IF('(INGESTA)Datos_consumo_datadis'!A5917&lt;&gt;"""",SPLIT('(INGESTA)Datos_consumo_datadis'!A:A,"",""),"""")"),"ES0031408323131005HX0F")</f>
        <v>ES0031408323131005HX0F</v>
      </c>
      <c r="B5917" s="12">
        <f>IFERROR(__xludf.DUMMYFUNCTION("""COMPUTED_VALUE"""),45112.0)</f>
        <v>45112</v>
      </c>
      <c r="C5917" s="13">
        <f>IFERROR(__xludf.DUMMYFUNCTION("""COMPUTED_VALUE"""),0.5416666666666666)</f>
        <v>0.5416666667</v>
      </c>
      <c r="D5917" s="8">
        <f>IFERROR(__xludf.DUMMYFUNCTION("""COMPUTED_VALUE"""),0.035)</f>
        <v>0.035</v>
      </c>
      <c r="E5917" s="8" t="str">
        <f>IFERROR(__xludf.DUMMYFUNCTION("""COMPUTED_VALUE"""),"Real")</f>
        <v>Real</v>
      </c>
      <c r="G5917" s="8">
        <f t="shared" si="1"/>
        <v>7</v>
      </c>
      <c r="H5917" s="14">
        <f t="shared" si="2"/>
        <v>5</v>
      </c>
      <c r="I5917" s="15">
        <f t="shared" si="3"/>
        <v>13</v>
      </c>
    </row>
    <row r="5918">
      <c r="A5918" s="8" t="str">
        <f>IFERROR(__xludf.DUMMYFUNCTION("IF('(INGESTA)Datos_consumo_datadis'!A5918&lt;&gt;"""",SPLIT('(INGESTA)Datos_consumo_datadis'!A:A,"",""),"""")"),"ES0031408323131005HX0F")</f>
        <v>ES0031408323131005HX0F</v>
      </c>
      <c r="B5918" s="12">
        <f>IFERROR(__xludf.DUMMYFUNCTION("""COMPUTED_VALUE"""),45112.0)</f>
        <v>45112</v>
      </c>
      <c r="C5918" s="13">
        <f>IFERROR(__xludf.DUMMYFUNCTION("""COMPUTED_VALUE"""),0.5833333333333334)</f>
        <v>0.5833333333</v>
      </c>
      <c r="D5918" s="8">
        <f>IFERROR(__xludf.DUMMYFUNCTION("""COMPUTED_VALUE"""),0.115)</f>
        <v>0.115</v>
      </c>
      <c r="E5918" s="8" t="str">
        <f>IFERROR(__xludf.DUMMYFUNCTION("""COMPUTED_VALUE"""),"Real")</f>
        <v>Real</v>
      </c>
      <c r="G5918" s="8">
        <f t="shared" si="1"/>
        <v>7</v>
      </c>
      <c r="H5918" s="14">
        <f t="shared" si="2"/>
        <v>5</v>
      </c>
      <c r="I5918" s="15">
        <f t="shared" si="3"/>
        <v>14</v>
      </c>
    </row>
    <row r="5919">
      <c r="A5919" s="8" t="str">
        <f>IFERROR(__xludf.DUMMYFUNCTION("IF('(INGESTA)Datos_consumo_datadis'!A5919&lt;&gt;"""",SPLIT('(INGESTA)Datos_consumo_datadis'!A:A,"",""),"""")"),"ES0031408323131005HX0F")</f>
        <v>ES0031408323131005HX0F</v>
      </c>
      <c r="B5919" s="12">
        <f>IFERROR(__xludf.DUMMYFUNCTION("""COMPUTED_VALUE"""),45112.0)</f>
        <v>45112</v>
      </c>
      <c r="C5919" s="13">
        <f>IFERROR(__xludf.DUMMYFUNCTION("""COMPUTED_VALUE"""),0.625)</f>
        <v>0.625</v>
      </c>
      <c r="D5919" s="8">
        <f>IFERROR(__xludf.DUMMYFUNCTION("""COMPUTED_VALUE"""),0.083)</f>
        <v>0.083</v>
      </c>
      <c r="E5919" s="8" t="str">
        <f>IFERROR(__xludf.DUMMYFUNCTION("""COMPUTED_VALUE"""),"Real")</f>
        <v>Real</v>
      </c>
      <c r="G5919" s="8">
        <f t="shared" si="1"/>
        <v>7</v>
      </c>
      <c r="H5919" s="14">
        <f t="shared" si="2"/>
        <v>5</v>
      </c>
      <c r="I5919" s="15">
        <f t="shared" si="3"/>
        <v>15</v>
      </c>
    </row>
    <row r="5920">
      <c r="A5920" s="8" t="str">
        <f>IFERROR(__xludf.DUMMYFUNCTION("IF('(INGESTA)Datos_consumo_datadis'!A5920&lt;&gt;"""",SPLIT('(INGESTA)Datos_consumo_datadis'!A:A,"",""),"""")"),"ES0031408323131005HX0F")</f>
        <v>ES0031408323131005HX0F</v>
      </c>
      <c r="B5920" s="12">
        <f>IFERROR(__xludf.DUMMYFUNCTION("""COMPUTED_VALUE"""),45112.0)</f>
        <v>45112</v>
      </c>
      <c r="C5920" s="13">
        <f>IFERROR(__xludf.DUMMYFUNCTION("""COMPUTED_VALUE"""),0.6666666666666666)</f>
        <v>0.6666666667</v>
      </c>
      <c r="D5920" s="8">
        <f>IFERROR(__xludf.DUMMYFUNCTION("""COMPUTED_VALUE"""),0.334)</f>
        <v>0.334</v>
      </c>
      <c r="E5920" s="8" t="str">
        <f>IFERROR(__xludf.DUMMYFUNCTION("""COMPUTED_VALUE"""),"Real")</f>
        <v>Real</v>
      </c>
      <c r="G5920" s="8">
        <f t="shared" si="1"/>
        <v>7</v>
      </c>
      <c r="H5920" s="14">
        <f t="shared" si="2"/>
        <v>5</v>
      </c>
      <c r="I5920" s="15">
        <f t="shared" si="3"/>
        <v>16</v>
      </c>
    </row>
    <row r="5921">
      <c r="A5921" s="8" t="str">
        <f>IFERROR(__xludf.DUMMYFUNCTION("IF('(INGESTA)Datos_consumo_datadis'!A5921&lt;&gt;"""",SPLIT('(INGESTA)Datos_consumo_datadis'!A:A,"",""),"""")"),"ES0031408323131005HX0F")</f>
        <v>ES0031408323131005HX0F</v>
      </c>
      <c r="B5921" s="12">
        <f>IFERROR(__xludf.DUMMYFUNCTION("""COMPUTED_VALUE"""),45112.0)</f>
        <v>45112</v>
      </c>
      <c r="C5921" s="13">
        <f>IFERROR(__xludf.DUMMYFUNCTION("""COMPUTED_VALUE"""),0.7083333333333334)</f>
        <v>0.7083333333</v>
      </c>
      <c r="D5921" s="8">
        <f>IFERROR(__xludf.DUMMYFUNCTION("""COMPUTED_VALUE"""),0.009)</f>
        <v>0.009</v>
      </c>
      <c r="E5921" s="8" t="str">
        <f>IFERROR(__xludf.DUMMYFUNCTION("""COMPUTED_VALUE"""),"Real")</f>
        <v>Real</v>
      </c>
      <c r="G5921" s="8">
        <f t="shared" si="1"/>
        <v>7</v>
      </c>
      <c r="H5921" s="14">
        <f t="shared" si="2"/>
        <v>5</v>
      </c>
      <c r="I5921" s="15">
        <f t="shared" si="3"/>
        <v>17</v>
      </c>
    </row>
    <row r="5922">
      <c r="A5922" s="8" t="str">
        <f>IFERROR(__xludf.DUMMYFUNCTION("IF('(INGESTA)Datos_consumo_datadis'!A5922&lt;&gt;"""",SPLIT('(INGESTA)Datos_consumo_datadis'!A:A,"",""),"""")"),"ES0031408323131005HX0F")</f>
        <v>ES0031408323131005HX0F</v>
      </c>
      <c r="B5922" s="12">
        <f>IFERROR(__xludf.DUMMYFUNCTION("""COMPUTED_VALUE"""),45112.0)</f>
        <v>45112</v>
      </c>
      <c r="C5922" s="13">
        <f>IFERROR(__xludf.DUMMYFUNCTION("""COMPUTED_VALUE"""),0.75)</f>
        <v>0.75</v>
      </c>
      <c r="D5922" s="8">
        <f>IFERROR(__xludf.DUMMYFUNCTION("""COMPUTED_VALUE"""),0.086)</f>
        <v>0.086</v>
      </c>
      <c r="E5922" s="8" t="str">
        <f>IFERROR(__xludf.DUMMYFUNCTION("""COMPUTED_VALUE"""),"Real")</f>
        <v>Real</v>
      </c>
      <c r="G5922" s="8">
        <f t="shared" si="1"/>
        <v>7</v>
      </c>
      <c r="H5922" s="14">
        <f t="shared" si="2"/>
        <v>5</v>
      </c>
      <c r="I5922" s="15">
        <f t="shared" si="3"/>
        <v>18</v>
      </c>
    </row>
    <row r="5923">
      <c r="A5923" s="8" t="str">
        <f>IFERROR(__xludf.DUMMYFUNCTION("IF('(INGESTA)Datos_consumo_datadis'!A5923&lt;&gt;"""",SPLIT('(INGESTA)Datos_consumo_datadis'!A:A,"",""),"""")"),"ES0031408323131005HX0F")</f>
        <v>ES0031408323131005HX0F</v>
      </c>
      <c r="B5923" s="12">
        <f>IFERROR(__xludf.DUMMYFUNCTION("""COMPUTED_VALUE"""),45112.0)</f>
        <v>45112</v>
      </c>
      <c r="C5923" s="13">
        <f>IFERROR(__xludf.DUMMYFUNCTION("""COMPUTED_VALUE"""),0.7916666666666666)</f>
        <v>0.7916666667</v>
      </c>
      <c r="D5923" s="8">
        <f>IFERROR(__xludf.DUMMYFUNCTION("""COMPUTED_VALUE"""),0.104)</f>
        <v>0.104</v>
      </c>
      <c r="E5923" s="8" t="str">
        <f>IFERROR(__xludf.DUMMYFUNCTION("""COMPUTED_VALUE"""),"Real")</f>
        <v>Real</v>
      </c>
      <c r="G5923" s="8">
        <f t="shared" si="1"/>
        <v>7</v>
      </c>
      <c r="H5923" s="14">
        <f t="shared" si="2"/>
        <v>5</v>
      </c>
      <c r="I5923" s="15">
        <f t="shared" si="3"/>
        <v>19</v>
      </c>
    </row>
    <row r="5924">
      <c r="A5924" s="8" t="str">
        <f>IFERROR(__xludf.DUMMYFUNCTION("IF('(INGESTA)Datos_consumo_datadis'!A5924&lt;&gt;"""",SPLIT('(INGESTA)Datos_consumo_datadis'!A:A,"",""),"""")"),"ES0031408323131005HX0F")</f>
        <v>ES0031408323131005HX0F</v>
      </c>
      <c r="B5924" s="12">
        <f>IFERROR(__xludf.DUMMYFUNCTION("""COMPUTED_VALUE"""),45112.0)</f>
        <v>45112</v>
      </c>
      <c r="C5924" s="13">
        <f>IFERROR(__xludf.DUMMYFUNCTION("""COMPUTED_VALUE"""),0.8333333333333334)</f>
        <v>0.8333333333</v>
      </c>
      <c r="D5924" s="8">
        <f>IFERROR(__xludf.DUMMYFUNCTION("""COMPUTED_VALUE"""),0.097)</f>
        <v>0.097</v>
      </c>
      <c r="E5924" s="8" t="str">
        <f>IFERROR(__xludf.DUMMYFUNCTION("""COMPUTED_VALUE"""),"Real")</f>
        <v>Real</v>
      </c>
      <c r="G5924" s="8">
        <f t="shared" si="1"/>
        <v>7</v>
      </c>
      <c r="H5924" s="14">
        <f t="shared" si="2"/>
        <v>5</v>
      </c>
      <c r="I5924" s="15">
        <f t="shared" si="3"/>
        <v>20</v>
      </c>
    </row>
    <row r="5925">
      <c r="A5925" s="8" t="str">
        <f>IFERROR(__xludf.DUMMYFUNCTION("IF('(INGESTA)Datos_consumo_datadis'!A5925&lt;&gt;"""",SPLIT('(INGESTA)Datos_consumo_datadis'!A:A,"",""),"""")"),"ES0031408323131005HX0F")</f>
        <v>ES0031408323131005HX0F</v>
      </c>
      <c r="B5925" s="12">
        <f>IFERROR(__xludf.DUMMYFUNCTION("""COMPUTED_VALUE"""),45112.0)</f>
        <v>45112</v>
      </c>
      <c r="C5925" s="13">
        <f>IFERROR(__xludf.DUMMYFUNCTION("""COMPUTED_VALUE"""),0.875)</f>
        <v>0.875</v>
      </c>
      <c r="D5925" s="8">
        <f>IFERROR(__xludf.DUMMYFUNCTION("""COMPUTED_VALUE"""),0.025)</f>
        <v>0.025</v>
      </c>
      <c r="E5925" s="8" t="str">
        <f>IFERROR(__xludf.DUMMYFUNCTION("""COMPUTED_VALUE"""),"Real")</f>
        <v>Real</v>
      </c>
      <c r="G5925" s="8">
        <f t="shared" si="1"/>
        <v>7</v>
      </c>
      <c r="H5925" s="14">
        <f t="shared" si="2"/>
        <v>5</v>
      </c>
      <c r="I5925" s="15">
        <f t="shared" si="3"/>
        <v>21</v>
      </c>
    </row>
    <row r="5926">
      <c r="A5926" s="8" t="str">
        <f>IFERROR(__xludf.DUMMYFUNCTION("IF('(INGESTA)Datos_consumo_datadis'!A5926&lt;&gt;"""",SPLIT('(INGESTA)Datos_consumo_datadis'!A:A,"",""),"""")"),"ES0031408323131005HX0F")</f>
        <v>ES0031408323131005HX0F</v>
      </c>
      <c r="B5926" s="12">
        <f>IFERROR(__xludf.DUMMYFUNCTION("""COMPUTED_VALUE"""),45112.0)</f>
        <v>45112</v>
      </c>
      <c r="C5926" s="13">
        <f>IFERROR(__xludf.DUMMYFUNCTION("""COMPUTED_VALUE"""),0.9166666666666666)</f>
        <v>0.9166666667</v>
      </c>
      <c r="D5926" s="8">
        <f>IFERROR(__xludf.DUMMYFUNCTION("""COMPUTED_VALUE"""),0.027)</f>
        <v>0.027</v>
      </c>
      <c r="E5926" s="8" t="str">
        <f>IFERROR(__xludf.DUMMYFUNCTION("""COMPUTED_VALUE"""),"Real")</f>
        <v>Real</v>
      </c>
      <c r="G5926" s="8">
        <f t="shared" si="1"/>
        <v>7</v>
      </c>
      <c r="H5926" s="14">
        <f t="shared" si="2"/>
        <v>5</v>
      </c>
      <c r="I5926" s="15">
        <f t="shared" si="3"/>
        <v>22</v>
      </c>
    </row>
    <row r="5927">
      <c r="A5927" s="8" t="str">
        <f>IFERROR(__xludf.DUMMYFUNCTION("IF('(INGESTA)Datos_consumo_datadis'!A5927&lt;&gt;"""",SPLIT('(INGESTA)Datos_consumo_datadis'!A:A,"",""),"""")"),"ES0031408323131005HX0F")</f>
        <v>ES0031408323131005HX0F</v>
      </c>
      <c r="B5927" s="12">
        <f>IFERROR(__xludf.DUMMYFUNCTION("""COMPUTED_VALUE"""),45112.0)</f>
        <v>45112</v>
      </c>
      <c r="C5927" s="13">
        <f>IFERROR(__xludf.DUMMYFUNCTION("""COMPUTED_VALUE"""),0.9583333333333334)</f>
        <v>0.9583333333</v>
      </c>
      <c r="D5927" s="8">
        <f>IFERROR(__xludf.DUMMYFUNCTION("""COMPUTED_VALUE"""),0.116)</f>
        <v>0.116</v>
      </c>
      <c r="E5927" s="8" t="str">
        <f>IFERROR(__xludf.DUMMYFUNCTION("""COMPUTED_VALUE"""),"Real")</f>
        <v>Real</v>
      </c>
      <c r="G5927" s="8">
        <f t="shared" si="1"/>
        <v>7</v>
      </c>
      <c r="H5927" s="14">
        <f t="shared" si="2"/>
        <v>5</v>
      </c>
      <c r="I5927" s="15">
        <f t="shared" si="3"/>
        <v>23</v>
      </c>
    </row>
    <row r="5928">
      <c r="A5928" s="8" t="str">
        <f>IFERROR(__xludf.DUMMYFUNCTION("IF('(INGESTA)Datos_consumo_datadis'!A5928&lt;&gt;"""",SPLIT('(INGESTA)Datos_consumo_datadis'!A:A,"",""),"""")"),"ES0031408323131005HX0F")</f>
        <v>ES0031408323131005HX0F</v>
      </c>
      <c r="B5928" s="12">
        <f>IFERROR(__xludf.DUMMYFUNCTION("""COMPUTED_VALUE"""),45112.0)</f>
        <v>45112</v>
      </c>
      <c r="C5928" s="16">
        <f>IFERROR(__xludf.DUMMYFUNCTION("""COMPUTED_VALUE"""),1.0)</f>
        <v>1</v>
      </c>
      <c r="D5928" s="8">
        <f>IFERROR(__xludf.DUMMYFUNCTION("""COMPUTED_VALUE"""),0.369)</f>
        <v>0.369</v>
      </c>
      <c r="E5928" s="8" t="str">
        <f>IFERROR(__xludf.DUMMYFUNCTION("""COMPUTED_VALUE"""),"Real")</f>
        <v>Real</v>
      </c>
      <c r="G5928" s="8">
        <f t="shared" si="1"/>
        <v>7</v>
      </c>
      <c r="H5928" s="14">
        <f t="shared" si="2"/>
        <v>5</v>
      </c>
      <c r="I5928" s="15">
        <f t="shared" si="3"/>
        <v>0</v>
      </c>
    </row>
    <row r="5929">
      <c r="A5929" s="8" t="str">
        <f>IFERROR(__xludf.DUMMYFUNCTION("IF('(INGESTA)Datos_consumo_datadis'!A5929&lt;&gt;"""",SPLIT('(INGESTA)Datos_consumo_datadis'!A:A,"",""),"""")"),"ES0031408323131005HX0F")</f>
        <v>ES0031408323131005HX0F</v>
      </c>
      <c r="B5929" s="12">
        <f>IFERROR(__xludf.DUMMYFUNCTION("""COMPUTED_VALUE"""),45113.0)</f>
        <v>45113</v>
      </c>
      <c r="C5929" s="13">
        <f>IFERROR(__xludf.DUMMYFUNCTION("""COMPUTED_VALUE"""),0.041666666666666664)</f>
        <v>0.04166666667</v>
      </c>
      <c r="D5929" s="8">
        <f>IFERROR(__xludf.DUMMYFUNCTION("""COMPUTED_VALUE"""),0.061)</f>
        <v>0.061</v>
      </c>
      <c r="E5929" s="8" t="str">
        <f>IFERROR(__xludf.DUMMYFUNCTION("""COMPUTED_VALUE"""),"Real")</f>
        <v>Real</v>
      </c>
      <c r="G5929" s="8">
        <f t="shared" si="1"/>
        <v>7</v>
      </c>
      <c r="H5929" s="14">
        <f t="shared" si="2"/>
        <v>6</v>
      </c>
      <c r="I5929" s="15">
        <f t="shared" si="3"/>
        <v>1</v>
      </c>
    </row>
    <row r="5930">
      <c r="A5930" s="8" t="str">
        <f>IFERROR(__xludf.DUMMYFUNCTION("IF('(INGESTA)Datos_consumo_datadis'!A5930&lt;&gt;"""",SPLIT('(INGESTA)Datos_consumo_datadis'!A:A,"",""),"""")"),"ES0031408323131005HX0F")</f>
        <v>ES0031408323131005HX0F</v>
      </c>
      <c r="B5930" s="12">
        <f>IFERROR(__xludf.DUMMYFUNCTION("""COMPUTED_VALUE"""),45113.0)</f>
        <v>45113</v>
      </c>
      <c r="C5930" s="13">
        <f>IFERROR(__xludf.DUMMYFUNCTION("""COMPUTED_VALUE"""),0.08333333333333333)</f>
        <v>0.08333333333</v>
      </c>
      <c r="D5930" s="8">
        <f>IFERROR(__xludf.DUMMYFUNCTION("""COMPUTED_VALUE"""),0.009)</f>
        <v>0.009</v>
      </c>
      <c r="E5930" s="8" t="str">
        <f>IFERROR(__xludf.DUMMYFUNCTION("""COMPUTED_VALUE"""),"Real")</f>
        <v>Real</v>
      </c>
      <c r="G5930" s="8">
        <f t="shared" si="1"/>
        <v>7</v>
      </c>
      <c r="H5930" s="14">
        <f t="shared" si="2"/>
        <v>6</v>
      </c>
      <c r="I5930" s="15">
        <f t="shared" si="3"/>
        <v>2</v>
      </c>
    </row>
    <row r="5931">
      <c r="A5931" s="8" t="str">
        <f>IFERROR(__xludf.DUMMYFUNCTION("IF('(INGESTA)Datos_consumo_datadis'!A5931&lt;&gt;"""",SPLIT('(INGESTA)Datos_consumo_datadis'!A:A,"",""),"""")"),"ES0031408323131005HX0F")</f>
        <v>ES0031408323131005HX0F</v>
      </c>
      <c r="B5931" s="12">
        <f>IFERROR(__xludf.DUMMYFUNCTION("""COMPUTED_VALUE"""),45113.0)</f>
        <v>45113</v>
      </c>
      <c r="C5931" s="13">
        <f>IFERROR(__xludf.DUMMYFUNCTION("""COMPUTED_VALUE"""),0.125)</f>
        <v>0.125</v>
      </c>
      <c r="D5931" s="8">
        <f>IFERROR(__xludf.DUMMYFUNCTION("""COMPUTED_VALUE"""),0.075)</f>
        <v>0.075</v>
      </c>
      <c r="E5931" s="8" t="str">
        <f>IFERROR(__xludf.DUMMYFUNCTION("""COMPUTED_VALUE"""),"Real")</f>
        <v>Real</v>
      </c>
      <c r="G5931" s="8">
        <f t="shared" si="1"/>
        <v>7</v>
      </c>
      <c r="H5931" s="14">
        <f t="shared" si="2"/>
        <v>6</v>
      </c>
      <c r="I5931" s="15">
        <f t="shared" si="3"/>
        <v>3</v>
      </c>
    </row>
    <row r="5932">
      <c r="A5932" s="8" t="str">
        <f>IFERROR(__xludf.DUMMYFUNCTION("IF('(INGESTA)Datos_consumo_datadis'!A5932&lt;&gt;"""",SPLIT('(INGESTA)Datos_consumo_datadis'!A:A,"",""),"""")"),"ES0031408323131005HX0F")</f>
        <v>ES0031408323131005HX0F</v>
      </c>
      <c r="B5932" s="12">
        <f>IFERROR(__xludf.DUMMYFUNCTION("""COMPUTED_VALUE"""),45113.0)</f>
        <v>45113</v>
      </c>
      <c r="C5932" s="13">
        <f>IFERROR(__xludf.DUMMYFUNCTION("""COMPUTED_VALUE"""),0.16666666666666666)</f>
        <v>0.1666666667</v>
      </c>
      <c r="D5932" s="8">
        <f>IFERROR(__xludf.DUMMYFUNCTION("""COMPUTED_VALUE"""),0.102)</f>
        <v>0.102</v>
      </c>
      <c r="E5932" s="8" t="str">
        <f>IFERROR(__xludf.DUMMYFUNCTION("""COMPUTED_VALUE"""),"Real")</f>
        <v>Real</v>
      </c>
      <c r="G5932" s="8">
        <f t="shared" si="1"/>
        <v>7</v>
      </c>
      <c r="H5932" s="14">
        <f t="shared" si="2"/>
        <v>6</v>
      </c>
      <c r="I5932" s="15">
        <f t="shared" si="3"/>
        <v>4</v>
      </c>
    </row>
    <row r="5933">
      <c r="A5933" s="8" t="str">
        <f>IFERROR(__xludf.DUMMYFUNCTION("IF('(INGESTA)Datos_consumo_datadis'!A5933&lt;&gt;"""",SPLIT('(INGESTA)Datos_consumo_datadis'!A:A,"",""),"""")"),"ES0031408323131005HX0F")</f>
        <v>ES0031408323131005HX0F</v>
      </c>
      <c r="B5933" s="12">
        <f>IFERROR(__xludf.DUMMYFUNCTION("""COMPUTED_VALUE"""),45113.0)</f>
        <v>45113</v>
      </c>
      <c r="C5933" s="13">
        <f>IFERROR(__xludf.DUMMYFUNCTION("""COMPUTED_VALUE"""),0.20833333333333334)</f>
        <v>0.2083333333</v>
      </c>
      <c r="D5933" s="8">
        <f>IFERROR(__xludf.DUMMYFUNCTION("""COMPUTED_VALUE"""),0.071)</f>
        <v>0.071</v>
      </c>
      <c r="E5933" s="8" t="str">
        <f>IFERROR(__xludf.DUMMYFUNCTION("""COMPUTED_VALUE"""),"Real")</f>
        <v>Real</v>
      </c>
      <c r="G5933" s="8">
        <f t="shared" si="1"/>
        <v>7</v>
      </c>
      <c r="H5933" s="14">
        <f t="shared" si="2"/>
        <v>6</v>
      </c>
      <c r="I5933" s="15">
        <f t="shared" si="3"/>
        <v>5</v>
      </c>
    </row>
    <row r="5934">
      <c r="A5934" s="8" t="str">
        <f>IFERROR(__xludf.DUMMYFUNCTION("IF('(INGESTA)Datos_consumo_datadis'!A5934&lt;&gt;"""",SPLIT('(INGESTA)Datos_consumo_datadis'!A:A,"",""),"""")"),"ES0031408323131005HX0F")</f>
        <v>ES0031408323131005HX0F</v>
      </c>
      <c r="B5934" s="12">
        <f>IFERROR(__xludf.DUMMYFUNCTION("""COMPUTED_VALUE"""),45113.0)</f>
        <v>45113</v>
      </c>
      <c r="C5934" s="13">
        <f>IFERROR(__xludf.DUMMYFUNCTION("""COMPUTED_VALUE"""),0.25)</f>
        <v>0.25</v>
      </c>
      <c r="D5934" s="8">
        <f>IFERROR(__xludf.DUMMYFUNCTION("""COMPUTED_VALUE"""),0.034)</f>
        <v>0.034</v>
      </c>
      <c r="E5934" s="8" t="str">
        <f>IFERROR(__xludf.DUMMYFUNCTION("""COMPUTED_VALUE"""),"Real")</f>
        <v>Real</v>
      </c>
      <c r="G5934" s="8">
        <f t="shared" si="1"/>
        <v>7</v>
      </c>
      <c r="H5934" s="14">
        <f t="shared" si="2"/>
        <v>6</v>
      </c>
      <c r="I5934" s="15">
        <f t="shared" si="3"/>
        <v>6</v>
      </c>
    </row>
    <row r="5935">
      <c r="A5935" s="8" t="str">
        <f>IFERROR(__xludf.DUMMYFUNCTION("IF('(INGESTA)Datos_consumo_datadis'!A5935&lt;&gt;"""",SPLIT('(INGESTA)Datos_consumo_datadis'!A:A,"",""),"""")"),"ES0031408323131005HX0F")</f>
        <v>ES0031408323131005HX0F</v>
      </c>
      <c r="B5935" s="12">
        <f>IFERROR(__xludf.DUMMYFUNCTION("""COMPUTED_VALUE"""),45113.0)</f>
        <v>45113</v>
      </c>
      <c r="C5935" s="13">
        <f>IFERROR(__xludf.DUMMYFUNCTION("""COMPUTED_VALUE"""),0.2916666666666667)</f>
        <v>0.2916666667</v>
      </c>
      <c r="D5935" s="8">
        <f>IFERROR(__xludf.DUMMYFUNCTION("""COMPUTED_VALUE"""),0.019)</f>
        <v>0.019</v>
      </c>
      <c r="E5935" s="8" t="str">
        <f>IFERROR(__xludf.DUMMYFUNCTION("""COMPUTED_VALUE"""),"Real")</f>
        <v>Real</v>
      </c>
      <c r="G5935" s="8">
        <f t="shared" si="1"/>
        <v>7</v>
      </c>
      <c r="H5935" s="14">
        <f t="shared" si="2"/>
        <v>6</v>
      </c>
      <c r="I5935" s="15">
        <f t="shared" si="3"/>
        <v>7</v>
      </c>
    </row>
    <row r="5936">
      <c r="A5936" s="8" t="str">
        <f>IFERROR(__xludf.DUMMYFUNCTION("IF('(INGESTA)Datos_consumo_datadis'!A5936&lt;&gt;"""",SPLIT('(INGESTA)Datos_consumo_datadis'!A:A,"",""),"""")"),"ES0031408323131005HX0F")</f>
        <v>ES0031408323131005HX0F</v>
      </c>
      <c r="B5936" s="12">
        <f>IFERROR(__xludf.DUMMYFUNCTION("""COMPUTED_VALUE"""),45113.0)</f>
        <v>45113</v>
      </c>
      <c r="C5936" s="13">
        <f>IFERROR(__xludf.DUMMYFUNCTION("""COMPUTED_VALUE"""),0.3333333333333333)</f>
        <v>0.3333333333</v>
      </c>
      <c r="D5936" s="8">
        <f>IFERROR(__xludf.DUMMYFUNCTION("""COMPUTED_VALUE"""),0.116)</f>
        <v>0.116</v>
      </c>
      <c r="E5936" s="8" t="str">
        <f>IFERROR(__xludf.DUMMYFUNCTION("""COMPUTED_VALUE"""),"Real")</f>
        <v>Real</v>
      </c>
      <c r="G5936" s="8">
        <f t="shared" si="1"/>
        <v>7</v>
      </c>
      <c r="H5936" s="14">
        <f t="shared" si="2"/>
        <v>6</v>
      </c>
      <c r="I5936" s="15">
        <f t="shared" si="3"/>
        <v>8</v>
      </c>
    </row>
    <row r="5937">
      <c r="A5937" s="8" t="str">
        <f>IFERROR(__xludf.DUMMYFUNCTION("IF('(INGESTA)Datos_consumo_datadis'!A5937&lt;&gt;"""",SPLIT('(INGESTA)Datos_consumo_datadis'!A:A,"",""),"""")"),"ES0031408323131005HX0F")</f>
        <v>ES0031408323131005HX0F</v>
      </c>
      <c r="B5937" s="12">
        <f>IFERROR(__xludf.DUMMYFUNCTION("""COMPUTED_VALUE"""),45113.0)</f>
        <v>45113</v>
      </c>
      <c r="C5937" s="13">
        <f>IFERROR(__xludf.DUMMYFUNCTION("""COMPUTED_VALUE"""),0.375)</f>
        <v>0.375</v>
      </c>
      <c r="D5937" s="8">
        <f>IFERROR(__xludf.DUMMYFUNCTION("""COMPUTED_VALUE"""),0.363)</f>
        <v>0.363</v>
      </c>
      <c r="E5937" s="8" t="str">
        <f>IFERROR(__xludf.DUMMYFUNCTION("""COMPUTED_VALUE"""),"Real")</f>
        <v>Real</v>
      </c>
      <c r="G5937" s="8">
        <f t="shared" si="1"/>
        <v>7</v>
      </c>
      <c r="H5937" s="14">
        <f t="shared" si="2"/>
        <v>6</v>
      </c>
      <c r="I5937" s="15">
        <f t="shared" si="3"/>
        <v>9</v>
      </c>
    </row>
    <row r="5938">
      <c r="A5938" s="8" t="str">
        <f>IFERROR(__xludf.DUMMYFUNCTION("IF('(INGESTA)Datos_consumo_datadis'!A5938&lt;&gt;"""",SPLIT('(INGESTA)Datos_consumo_datadis'!A:A,"",""),"""")"),"ES0031408323131005HX0F")</f>
        <v>ES0031408323131005HX0F</v>
      </c>
      <c r="B5938" s="12">
        <f>IFERROR(__xludf.DUMMYFUNCTION("""COMPUTED_VALUE"""),45113.0)</f>
        <v>45113</v>
      </c>
      <c r="C5938" s="13">
        <f>IFERROR(__xludf.DUMMYFUNCTION("""COMPUTED_VALUE"""),0.4166666666666667)</f>
        <v>0.4166666667</v>
      </c>
      <c r="D5938" s="8">
        <f>IFERROR(__xludf.DUMMYFUNCTION("""COMPUTED_VALUE"""),0.062)</f>
        <v>0.062</v>
      </c>
      <c r="E5938" s="8" t="str">
        <f>IFERROR(__xludf.DUMMYFUNCTION("""COMPUTED_VALUE"""),"Real")</f>
        <v>Real</v>
      </c>
      <c r="G5938" s="8">
        <f t="shared" si="1"/>
        <v>7</v>
      </c>
      <c r="H5938" s="14">
        <f t="shared" si="2"/>
        <v>6</v>
      </c>
      <c r="I5938" s="15">
        <f t="shared" si="3"/>
        <v>10</v>
      </c>
    </row>
    <row r="5939">
      <c r="A5939" s="8" t="str">
        <f>IFERROR(__xludf.DUMMYFUNCTION("IF('(INGESTA)Datos_consumo_datadis'!A5939&lt;&gt;"""",SPLIT('(INGESTA)Datos_consumo_datadis'!A:A,"",""),"""")"),"ES0031408323131005HX0F")</f>
        <v>ES0031408323131005HX0F</v>
      </c>
      <c r="B5939" s="12">
        <f>IFERROR(__xludf.DUMMYFUNCTION("""COMPUTED_VALUE"""),45113.0)</f>
        <v>45113</v>
      </c>
      <c r="C5939" s="13">
        <f>IFERROR(__xludf.DUMMYFUNCTION("""COMPUTED_VALUE"""),0.4583333333333333)</f>
        <v>0.4583333333</v>
      </c>
      <c r="D5939" s="8">
        <f>IFERROR(__xludf.DUMMYFUNCTION("""COMPUTED_VALUE"""),0.009)</f>
        <v>0.009</v>
      </c>
      <c r="E5939" s="8" t="str">
        <f>IFERROR(__xludf.DUMMYFUNCTION("""COMPUTED_VALUE"""),"Real")</f>
        <v>Real</v>
      </c>
      <c r="G5939" s="8">
        <f t="shared" si="1"/>
        <v>7</v>
      </c>
      <c r="H5939" s="14">
        <f t="shared" si="2"/>
        <v>6</v>
      </c>
      <c r="I5939" s="15">
        <f t="shared" si="3"/>
        <v>11</v>
      </c>
    </row>
    <row r="5940">
      <c r="A5940" s="8" t="str">
        <f>IFERROR(__xludf.DUMMYFUNCTION("IF('(INGESTA)Datos_consumo_datadis'!A5940&lt;&gt;"""",SPLIT('(INGESTA)Datos_consumo_datadis'!A:A,"",""),"""")"),"ES0031408323131005HX0F")</f>
        <v>ES0031408323131005HX0F</v>
      </c>
      <c r="B5940" s="12">
        <f>IFERROR(__xludf.DUMMYFUNCTION("""COMPUTED_VALUE"""),45113.0)</f>
        <v>45113</v>
      </c>
      <c r="C5940" s="13">
        <f>IFERROR(__xludf.DUMMYFUNCTION("""COMPUTED_VALUE"""),0.5)</f>
        <v>0.5</v>
      </c>
      <c r="D5940" s="8">
        <f>IFERROR(__xludf.DUMMYFUNCTION("""COMPUTED_VALUE"""),0.073)</f>
        <v>0.073</v>
      </c>
      <c r="E5940" s="8" t="str">
        <f>IFERROR(__xludf.DUMMYFUNCTION("""COMPUTED_VALUE"""),"Real")</f>
        <v>Real</v>
      </c>
      <c r="G5940" s="8">
        <f t="shared" si="1"/>
        <v>7</v>
      </c>
      <c r="H5940" s="14">
        <f t="shared" si="2"/>
        <v>6</v>
      </c>
      <c r="I5940" s="15">
        <f t="shared" si="3"/>
        <v>12</v>
      </c>
    </row>
    <row r="5941">
      <c r="A5941" s="8" t="str">
        <f>IFERROR(__xludf.DUMMYFUNCTION("IF('(INGESTA)Datos_consumo_datadis'!A5941&lt;&gt;"""",SPLIT('(INGESTA)Datos_consumo_datadis'!A:A,"",""),"""")"),"ES0031408323131005HX0F")</f>
        <v>ES0031408323131005HX0F</v>
      </c>
      <c r="B5941" s="12">
        <f>IFERROR(__xludf.DUMMYFUNCTION("""COMPUTED_VALUE"""),45113.0)</f>
        <v>45113</v>
      </c>
      <c r="C5941" s="13">
        <f>IFERROR(__xludf.DUMMYFUNCTION("""COMPUTED_VALUE"""),0.5416666666666666)</f>
        <v>0.5416666667</v>
      </c>
      <c r="D5941" s="8">
        <f>IFERROR(__xludf.DUMMYFUNCTION("""COMPUTED_VALUE"""),0.103)</f>
        <v>0.103</v>
      </c>
      <c r="E5941" s="8" t="str">
        <f>IFERROR(__xludf.DUMMYFUNCTION("""COMPUTED_VALUE"""),"Real")</f>
        <v>Real</v>
      </c>
      <c r="G5941" s="8">
        <f t="shared" si="1"/>
        <v>7</v>
      </c>
      <c r="H5941" s="14">
        <f t="shared" si="2"/>
        <v>6</v>
      </c>
      <c r="I5941" s="15">
        <f t="shared" si="3"/>
        <v>13</v>
      </c>
    </row>
    <row r="5942">
      <c r="A5942" s="8" t="str">
        <f>IFERROR(__xludf.DUMMYFUNCTION("IF('(INGESTA)Datos_consumo_datadis'!A5942&lt;&gt;"""",SPLIT('(INGESTA)Datos_consumo_datadis'!A:A,"",""),"""")"),"ES0031408323131005HX0F")</f>
        <v>ES0031408323131005HX0F</v>
      </c>
      <c r="B5942" s="12">
        <f>IFERROR(__xludf.DUMMYFUNCTION("""COMPUTED_VALUE"""),45113.0)</f>
        <v>45113</v>
      </c>
      <c r="C5942" s="13">
        <f>IFERROR(__xludf.DUMMYFUNCTION("""COMPUTED_VALUE"""),0.5833333333333334)</f>
        <v>0.5833333333</v>
      </c>
      <c r="D5942" s="8">
        <f>IFERROR(__xludf.DUMMYFUNCTION("""COMPUTED_VALUE"""),0.07)</f>
        <v>0.07</v>
      </c>
      <c r="E5942" s="8" t="str">
        <f>IFERROR(__xludf.DUMMYFUNCTION("""COMPUTED_VALUE"""),"Real")</f>
        <v>Real</v>
      </c>
      <c r="G5942" s="8">
        <f t="shared" si="1"/>
        <v>7</v>
      </c>
      <c r="H5942" s="14">
        <f t="shared" si="2"/>
        <v>6</v>
      </c>
      <c r="I5942" s="15">
        <f t="shared" si="3"/>
        <v>14</v>
      </c>
    </row>
    <row r="5943">
      <c r="A5943" s="8" t="str">
        <f>IFERROR(__xludf.DUMMYFUNCTION("IF('(INGESTA)Datos_consumo_datadis'!A5943&lt;&gt;"""",SPLIT('(INGESTA)Datos_consumo_datadis'!A:A,"",""),"""")"),"ES0031408323131005HX0F")</f>
        <v>ES0031408323131005HX0F</v>
      </c>
      <c r="B5943" s="12">
        <f>IFERROR(__xludf.DUMMYFUNCTION("""COMPUTED_VALUE"""),45113.0)</f>
        <v>45113</v>
      </c>
      <c r="C5943" s="13">
        <f>IFERROR(__xludf.DUMMYFUNCTION("""COMPUTED_VALUE"""),0.625)</f>
        <v>0.625</v>
      </c>
      <c r="D5943" s="8">
        <f>IFERROR(__xludf.DUMMYFUNCTION("""COMPUTED_VALUE"""),0.034)</f>
        <v>0.034</v>
      </c>
      <c r="E5943" s="8" t="str">
        <f>IFERROR(__xludf.DUMMYFUNCTION("""COMPUTED_VALUE"""),"Real")</f>
        <v>Real</v>
      </c>
      <c r="G5943" s="8">
        <f t="shared" si="1"/>
        <v>7</v>
      </c>
      <c r="H5943" s="14">
        <f t="shared" si="2"/>
        <v>6</v>
      </c>
      <c r="I5943" s="15">
        <f t="shared" si="3"/>
        <v>15</v>
      </c>
    </row>
    <row r="5944">
      <c r="A5944" s="8" t="str">
        <f>IFERROR(__xludf.DUMMYFUNCTION("IF('(INGESTA)Datos_consumo_datadis'!A5944&lt;&gt;"""",SPLIT('(INGESTA)Datos_consumo_datadis'!A:A,"",""),"""")"),"ES0031408323131005HX0F")</f>
        <v>ES0031408323131005HX0F</v>
      </c>
      <c r="B5944" s="12">
        <f>IFERROR(__xludf.DUMMYFUNCTION("""COMPUTED_VALUE"""),45113.0)</f>
        <v>45113</v>
      </c>
      <c r="C5944" s="13">
        <f>IFERROR(__xludf.DUMMYFUNCTION("""COMPUTED_VALUE"""),0.6666666666666666)</f>
        <v>0.6666666667</v>
      </c>
      <c r="D5944" s="8">
        <f>IFERROR(__xludf.DUMMYFUNCTION("""COMPUTED_VALUE"""),0.018)</f>
        <v>0.018</v>
      </c>
      <c r="E5944" s="8" t="str">
        <f>IFERROR(__xludf.DUMMYFUNCTION("""COMPUTED_VALUE"""),"Real")</f>
        <v>Real</v>
      </c>
      <c r="G5944" s="8">
        <f t="shared" si="1"/>
        <v>7</v>
      </c>
      <c r="H5944" s="14">
        <f t="shared" si="2"/>
        <v>6</v>
      </c>
      <c r="I5944" s="15">
        <f t="shared" si="3"/>
        <v>16</v>
      </c>
    </row>
    <row r="5945">
      <c r="A5945" s="8" t="str">
        <f>IFERROR(__xludf.DUMMYFUNCTION("IF('(INGESTA)Datos_consumo_datadis'!A5945&lt;&gt;"""",SPLIT('(INGESTA)Datos_consumo_datadis'!A:A,"",""),"""")"),"ES0031408323131005HX0F")</f>
        <v>ES0031408323131005HX0F</v>
      </c>
      <c r="B5945" s="12">
        <f>IFERROR(__xludf.DUMMYFUNCTION("""COMPUTED_VALUE"""),45113.0)</f>
        <v>45113</v>
      </c>
      <c r="C5945" s="13">
        <f>IFERROR(__xludf.DUMMYFUNCTION("""COMPUTED_VALUE"""),0.7083333333333334)</f>
        <v>0.7083333333</v>
      </c>
      <c r="D5945" s="8">
        <f>IFERROR(__xludf.DUMMYFUNCTION("""COMPUTED_VALUE"""),0.39)</f>
        <v>0.39</v>
      </c>
      <c r="E5945" s="8" t="str">
        <f>IFERROR(__xludf.DUMMYFUNCTION("""COMPUTED_VALUE"""),"Real")</f>
        <v>Real</v>
      </c>
      <c r="G5945" s="8">
        <f t="shared" si="1"/>
        <v>7</v>
      </c>
      <c r="H5945" s="14">
        <f t="shared" si="2"/>
        <v>6</v>
      </c>
      <c r="I5945" s="15">
        <f t="shared" si="3"/>
        <v>17</v>
      </c>
    </row>
    <row r="5946">
      <c r="A5946" s="8" t="str">
        <f>IFERROR(__xludf.DUMMYFUNCTION("IF('(INGESTA)Datos_consumo_datadis'!A5946&lt;&gt;"""",SPLIT('(INGESTA)Datos_consumo_datadis'!A:A,"",""),"""")"),"ES0031408323131005HX0F")</f>
        <v>ES0031408323131005HX0F</v>
      </c>
      <c r="B5946" s="12">
        <f>IFERROR(__xludf.DUMMYFUNCTION("""COMPUTED_VALUE"""),45113.0)</f>
        <v>45113</v>
      </c>
      <c r="C5946" s="13">
        <f>IFERROR(__xludf.DUMMYFUNCTION("""COMPUTED_VALUE"""),0.75)</f>
        <v>0.75</v>
      </c>
      <c r="D5946" s="8">
        <f>IFERROR(__xludf.DUMMYFUNCTION("""COMPUTED_VALUE"""),0.083)</f>
        <v>0.083</v>
      </c>
      <c r="E5946" s="8" t="str">
        <f>IFERROR(__xludf.DUMMYFUNCTION("""COMPUTED_VALUE"""),"Real")</f>
        <v>Real</v>
      </c>
      <c r="G5946" s="8">
        <f t="shared" si="1"/>
        <v>7</v>
      </c>
      <c r="H5946" s="14">
        <f t="shared" si="2"/>
        <v>6</v>
      </c>
      <c r="I5946" s="15">
        <f t="shared" si="3"/>
        <v>18</v>
      </c>
    </row>
    <row r="5947">
      <c r="A5947" s="8" t="str">
        <f>IFERROR(__xludf.DUMMYFUNCTION("IF('(INGESTA)Datos_consumo_datadis'!A5947&lt;&gt;"""",SPLIT('(INGESTA)Datos_consumo_datadis'!A:A,"",""),"""")"),"ES0031408323131005HX0F")</f>
        <v>ES0031408323131005HX0F</v>
      </c>
      <c r="B5947" s="12">
        <f>IFERROR(__xludf.DUMMYFUNCTION("""COMPUTED_VALUE"""),45113.0)</f>
        <v>45113</v>
      </c>
      <c r="C5947" s="13">
        <f>IFERROR(__xludf.DUMMYFUNCTION("""COMPUTED_VALUE"""),0.7916666666666666)</f>
        <v>0.7916666667</v>
      </c>
      <c r="D5947" s="8">
        <f>IFERROR(__xludf.DUMMYFUNCTION("""COMPUTED_VALUE"""),0.073)</f>
        <v>0.073</v>
      </c>
      <c r="E5947" s="8" t="str">
        <f>IFERROR(__xludf.DUMMYFUNCTION("""COMPUTED_VALUE"""),"Real")</f>
        <v>Real</v>
      </c>
      <c r="G5947" s="8">
        <f t="shared" si="1"/>
        <v>7</v>
      </c>
      <c r="H5947" s="14">
        <f t="shared" si="2"/>
        <v>6</v>
      </c>
      <c r="I5947" s="15">
        <f t="shared" si="3"/>
        <v>19</v>
      </c>
    </row>
    <row r="5948">
      <c r="A5948" s="8" t="str">
        <f>IFERROR(__xludf.DUMMYFUNCTION("IF('(INGESTA)Datos_consumo_datadis'!A5948&lt;&gt;"""",SPLIT('(INGESTA)Datos_consumo_datadis'!A:A,"",""),"""")"),"ES0031408323131005HX0F")</f>
        <v>ES0031408323131005HX0F</v>
      </c>
      <c r="B5948" s="12">
        <f>IFERROR(__xludf.DUMMYFUNCTION("""COMPUTED_VALUE"""),45113.0)</f>
        <v>45113</v>
      </c>
      <c r="C5948" s="13">
        <f>IFERROR(__xludf.DUMMYFUNCTION("""COMPUTED_VALUE"""),0.8333333333333334)</f>
        <v>0.8333333333</v>
      </c>
      <c r="D5948" s="8">
        <f>IFERROR(__xludf.DUMMYFUNCTION("""COMPUTED_VALUE"""),0.027)</f>
        <v>0.027</v>
      </c>
      <c r="E5948" s="8" t="str">
        <f>IFERROR(__xludf.DUMMYFUNCTION("""COMPUTED_VALUE"""),"Real")</f>
        <v>Real</v>
      </c>
      <c r="G5948" s="8">
        <f t="shared" si="1"/>
        <v>7</v>
      </c>
      <c r="H5948" s="14">
        <f t="shared" si="2"/>
        <v>6</v>
      </c>
      <c r="I5948" s="15">
        <f t="shared" si="3"/>
        <v>20</v>
      </c>
    </row>
    <row r="5949">
      <c r="A5949" s="8" t="str">
        <f>IFERROR(__xludf.DUMMYFUNCTION("IF('(INGESTA)Datos_consumo_datadis'!A5949&lt;&gt;"""",SPLIT('(INGESTA)Datos_consumo_datadis'!A:A,"",""),"""")"),"ES0031408323131005HX0F")</f>
        <v>ES0031408323131005HX0F</v>
      </c>
      <c r="B5949" s="12">
        <f>IFERROR(__xludf.DUMMYFUNCTION("""COMPUTED_VALUE"""),45113.0)</f>
        <v>45113</v>
      </c>
      <c r="C5949" s="13">
        <f>IFERROR(__xludf.DUMMYFUNCTION("""COMPUTED_VALUE"""),0.875)</f>
        <v>0.875</v>
      </c>
      <c r="D5949" s="8">
        <f>IFERROR(__xludf.DUMMYFUNCTION("""COMPUTED_VALUE"""),0.078)</f>
        <v>0.078</v>
      </c>
      <c r="E5949" s="8" t="str">
        <f>IFERROR(__xludf.DUMMYFUNCTION("""COMPUTED_VALUE"""),"Real")</f>
        <v>Real</v>
      </c>
      <c r="G5949" s="8">
        <f t="shared" si="1"/>
        <v>7</v>
      </c>
      <c r="H5949" s="14">
        <f t="shared" si="2"/>
        <v>6</v>
      </c>
      <c r="I5949" s="15">
        <f t="shared" si="3"/>
        <v>21</v>
      </c>
    </row>
    <row r="5950">
      <c r="A5950" s="8" t="str">
        <f>IFERROR(__xludf.DUMMYFUNCTION("IF('(INGESTA)Datos_consumo_datadis'!A5950&lt;&gt;"""",SPLIT('(INGESTA)Datos_consumo_datadis'!A:A,"",""),"""")"),"ES0031408323131005HX0F")</f>
        <v>ES0031408323131005HX0F</v>
      </c>
      <c r="B5950" s="12">
        <f>IFERROR(__xludf.DUMMYFUNCTION("""COMPUTED_VALUE"""),45113.0)</f>
        <v>45113</v>
      </c>
      <c r="C5950" s="13">
        <f>IFERROR(__xludf.DUMMYFUNCTION("""COMPUTED_VALUE"""),0.9166666666666666)</f>
        <v>0.9166666667</v>
      </c>
      <c r="D5950" s="8">
        <f>IFERROR(__xludf.DUMMYFUNCTION("""COMPUTED_VALUE"""),0.114)</f>
        <v>0.114</v>
      </c>
      <c r="E5950" s="8" t="str">
        <f>IFERROR(__xludf.DUMMYFUNCTION("""COMPUTED_VALUE"""),"Real")</f>
        <v>Real</v>
      </c>
      <c r="G5950" s="8">
        <f t="shared" si="1"/>
        <v>7</v>
      </c>
      <c r="H5950" s="14">
        <f t="shared" si="2"/>
        <v>6</v>
      </c>
      <c r="I5950" s="15">
        <f t="shared" si="3"/>
        <v>22</v>
      </c>
    </row>
    <row r="5951">
      <c r="A5951" s="8" t="str">
        <f>IFERROR(__xludf.DUMMYFUNCTION("IF('(INGESTA)Datos_consumo_datadis'!A5951&lt;&gt;"""",SPLIT('(INGESTA)Datos_consumo_datadis'!A:A,"",""),"""")"),"ES0031408323131005HX0F")</f>
        <v>ES0031408323131005HX0F</v>
      </c>
      <c r="B5951" s="12">
        <f>IFERROR(__xludf.DUMMYFUNCTION("""COMPUTED_VALUE"""),45113.0)</f>
        <v>45113</v>
      </c>
      <c r="C5951" s="13">
        <f>IFERROR(__xludf.DUMMYFUNCTION("""COMPUTED_VALUE"""),0.9583333333333334)</f>
        <v>0.9583333333</v>
      </c>
      <c r="D5951" s="8">
        <f>IFERROR(__xludf.DUMMYFUNCTION("""COMPUTED_VALUE"""),0.086)</f>
        <v>0.086</v>
      </c>
      <c r="E5951" s="8" t="str">
        <f>IFERROR(__xludf.DUMMYFUNCTION("""COMPUTED_VALUE"""),"Real")</f>
        <v>Real</v>
      </c>
      <c r="G5951" s="8">
        <f t="shared" si="1"/>
        <v>7</v>
      </c>
      <c r="H5951" s="14">
        <f t="shared" si="2"/>
        <v>6</v>
      </c>
      <c r="I5951" s="15">
        <f t="shared" si="3"/>
        <v>23</v>
      </c>
    </row>
    <row r="5952">
      <c r="A5952" s="8" t="str">
        <f>IFERROR(__xludf.DUMMYFUNCTION("IF('(INGESTA)Datos_consumo_datadis'!A5952&lt;&gt;"""",SPLIT('(INGESTA)Datos_consumo_datadis'!A:A,"",""),"""")"),"ES0031408323131005HX0F")</f>
        <v>ES0031408323131005HX0F</v>
      </c>
      <c r="B5952" s="12">
        <f>IFERROR(__xludf.DUMMYFUNCTION("""COMPUTED_VALUE"""),45113.0)</f>
        <v>45113</v>
      </c>
      <c r="C5952" s="16">
        <f>IFERROR(__xludf.DUMMYFUNCTION("""COMPUTED_VALUE"""),1.0)</f>
        <v>1</v>
      </c>
      <c r="D5952" s="8">
        <f>IFERROR(__xludf.DUMMYFUNCTION("""COMPUTED_VALUE"""),0.056)</f>
        <v>0.056</v>
      </c>
      <c r="E5952" s="8" t="str">
        <f>IFERROR(__xludf.DUMMYFUNCTION("""COMPUTED_VALUE"""),"Real")</f>
        <v>Real</v>
      </c>
      <c r="G5952" s="8">
        <f t="shared" si="1"/>
        <v>7</v>
      </c>
      <c r="H5952" s="14">
        <f t="shared" si="2"/>
        <v>6</v>
      </c>
      <c r="I5952" s="15">
        <f t="shared" si="3"/>
        <v>0</v>
      </c>
    </row>
    <row r="5953">
      <c r="A5953" s="8" t="str">
        <f>IFERROR(__xludf.DUMMYFUNCTION("IF('(INGESTA)Datos_consumo_datadis'!A5953&lt;&gt;"""",SPLIT('(INGESTA)Datos_consumo_datadis'!A:A,"",""),"""")"),"ES0031408323131005HX0F")</f>
        <v>ES0031408323131005HX0F</v>
      </c>
      <c r="B5953" s="12">
        <f>IFERROR(__xludf.DUMMYFUNCTION("""COMPUTED_VALUE"""),45114.0)</f>
        <v>45114</v>
      </c>
      <c r="C5953" s="13">
        <f>IFERROR(__xludf.DUMMYFUNCTION("""COMPUTED_VALUE"""),0.041666666666666664)</f>
        <v>0.04166666667</v>
      </c>
      <c r="D5953" s="8">
        <f>IFERROR(__xludf.DUMMYFUNCTION("""COMPUTED_VALUE"""),0.295)</f>
        <v>0.295</v>
      </c>
      <c r="E5953" s="8" t="str">
        <f>IFERROR(__xludf.DUMMYFUNCTION("""COMPUTED_VALUE"""),"Real")</f>
        <v>Real</v>
      </c>
      <c r="G5953" s="8">
        <f t="shared" si="1"/>
        <v>7</v>
      </c>
      <c r="H5953" s="14">
        <f t="shared" si="2"/>
        <v>7</v>
      </c>
      <c r="I5953" s="15">
        <f t="shared" si="3"/>
        <v>1</v>
      </c>
    </row>
    <row r="5954">
      <c r="A5954" s="8" t="str">
        <f>IFERROR(__xludf.DUMMYFUNCTION("IF('(INGESTA)Datos_consumo_datadis'!A5954&lt;&gt;"""",SPLIT('(INGESTA)Datos_consumo_datadis'!A:A,"",""),"""")"),"ES0031408323131005HX0F")</f>
        <v>ES0031408323131005HX0F</v>
      </c>
      <c r="B5954" s="12">
        <f>IFERROR(__xludf.DUMMYFUNCTION("""COMPUTED_VALUE"""),45114.0)</f>
        <v>45114</v>
      </c>
      <c r="C5954" s="13">
        <f>IFERROR(__xludf.DUMMYFUNCTION("""COMPUTED_VALUE"""),0.08333333333333333)</f>
        <v>0.08333333333</v>
      </c>
      <c r="D5954" s="8">
        <f>IFERROR(__xludf.DUMMYFUNCTION("""COMPUTED_VALUE"""),0.084)</f>
        <v>0.084</v>
      </c>
      <c r="E5954" s="8" t="str">
        <f>IFERROR(__xludf.DUMMYFUNCTION("""COMPUTED_VALUE"""),"Real")</f>
        <v>Real</v>
      </c>
      <c r="G5954" s="8">
        <f t="shared" si="1"/>
        <v>7</v>
      </c>
      <c r="H5954" s="14">
        <f t="shared" si="2"/>
        <v>7</v>
      </c>
      <c r="I5954" s="15">
        <f t="shared" si="3"/>
        <v>2</v>
      </c>
    </row>
    <row r="5955">
      <c r="A5955" s="8" t="str">
        <f>IFERROR(__xludf.DUMMYFUNCTION("IF('(INGESTA)Datos_consumo_datadis'!A5955&lt;&gt;"""",SPLIT('(INGESTA)Datos_consumo_datadis'!A:A,"",""),"""")"),"ES0031408323131005HX0F")</f>
        <v>ES0031408323131005HX0F</v>
      </c>
      <c r="B5955" s="12">
        <f>IFERROR(__xludf.DUMMYFUNCTION("""COMPUTED_VALUE"""),45114.0)</f>
        <v>45114</v>
      </c>
      <c r="C5955" s="13">
        <f>IFERROR(__xludf.DUMMYFUNCTION("""COMPUTED_VALUE"""),0.125)</f>
        <v>0.125</v>
      </c>
      <c r="D5955" s="8">
        <f>IFERROR(__xludf.DUMMYFUNCTION("""COMPUTED_VALUE"""),0.097)</f>
        <v>0.097</v>
      </c>
      <c r="E5955" s="8" t="str">
        <f>IFERROR(__xludf.DUMMYFUNCTION("""COMPUTED_VALUE"""),"Real")</f>
        <v>Real</v>
      </c>
      <c r="G5955" s="8">
        <f t="shared" si="1"/>
        <v>7</v>
      </c>
      <c r="H5955" s="14">
        <f t="shared" si="2"/>
        <v>7</v>
      </c>
      <c r="I5955" s="15">
        <f t="shared" si="3"/>
        <v>3</v>
      </c>
    </row>
    <row r="5956">
      <c r="A5956" s="8" t="str">
        <f>IFERROR(__xludf.DUMMYFUNCTION("IF('(INGESTA)Datos_consumo_datadis'!A5956&lt;&gt;"""",SPLIT('(INGESTA)Datos_consumo_datadis'!A:A,"",""),"""")"),"ES0031408323131005HX0F")</f>
        <v>ES0031408323131005HX0F</v>
      </c>
      <c r="B5956" s="12">
        <f>IFERROR(__xludf.DUMMYFUNCTION("""COMPUTED_VALUE"""),45114.0)</f>
        <v>45114</v>
      </c>
      <c r="C5956" s="13">
        <f>IFERROR(__xludf.DUMMYFUNCTION("""COMPUTED_VALUE"""),0.16666666666666666)</f>
        <v>0.1666666667</v>
      </c>
      <c r="D5956" s="8">
        <f>IFERROR(__xludf.DUMMYFUNCTION("""COMPUTED_VALUE"""),0.08)</f>
        <v>0.08</v>
      </c>
      <c r="E5956" s="8" t="str">
        <f>IFERROR(__xludf.DUMMYFUNCTION("""COMPUTED_VALUE"""),"Real")</f>
        <v>Real</v>
      </c>
      <c r="G5956" s="8">
        <f t="shared" si="1"/>
        <v>7</v>
      </c>
      <c r="H5956" s="14">
        <f t="shared" si="2"/>
        <v>7</v>
      </c>
      <c r="I5956" s="15">
        <f t="shared" si="3"/>
        <v>4</v>
      </c>
    </row>
    <row r="5957">
      <c r="A5957" s="8" t="str">
        <f>IFERROR(__xludf.DUMMYFUNCTION("IF('(INGESTA)Datos_consumo_datadis'!A5957&lt;&gt;"""",SPLIT('(INGESTA)Datos_consumo_datadis'!A:A,"",""),"""")"),"ES0031408323131005HX0F")</f>
        <v>ES0031408323131005HX0F</v>
      </c>
      <c r="B5957" s="12">
        <f>IFERROR(__xludf.DUMMYFUNCTION("""COMPUTED_VALUE"""),45114.0)</f>
        <v>45114</v>
      </c>
      <c r="C5957" s="13">
        <f>IFERROR(__xludf.DUMMYFUNCTION("""COMPUTED_VALUE"""),0.20833333333333334)</f>
        <v>0.2083333333</v>
      </c>
      <c r="D5957" s="8">
        <f>IFERROR(__xludf.DUMMYFUNCTION("""COMPUTED_VALUE"""),0.027)</f>
        <v>0.027</v>
      </c>
      <c r="E5957" s="8" t="str">
        <f>IFERROR(__xludf.DUMMYFUNCTION("""COMPUTED_VALUE"""),"Real")</f>
        <v>Real</v>
      </c>
      <c r="G5957" s="8">
        <f t="shared" si="1"/>
        <v>7</v>
      </c>
      <c r="H5957" s="14">
        <f t="shared" si="2"/>
        <v>7</v>
      </c>
      <c r="I5957" s="15">
        <f t="shared" si="3"/>
        <v>5</v>
      </c>
    </row>
    <row r="5958">
      <c r="A5958" s="8" t="str">
        <f>IFERROR(__xludf.DUMMYFUNCTION("IF('(INGESTA)Datos_consumo_datadis'!A5958&lt;&gt;"""",SPLIT('(INGESTA)Datos_consumo_datadis'!A:A,"",""),"""")"),"ES0031408323131005HX0F")</f>
        <v>ES0031408323131005HX0F</v>
      </c>
      <c r="B5958" s="12">
        <f>IFERROR(__xludf.DUMMYFUNCTION("""COMPUTED_VALUE"""),45114.0)</f>
        <v>45114</v>
      </c>
      <c r="C5958" s="13">
        <f>IFERROR(__xludf.DUMMYFUNCTION("""COMPUTED_VALUE"""),0.25)</f>
        <v>0.25</v>
      </c>
      <c r="D5958" s="8">
        <f>IFERROR(__xludf.DUMMYFUNCTION("""COMPUTED_VALUE"""),0.029)</f>
        <v>0.029</v>
      </c>
      <c r="E5958" s="8" t="str">
        <f>IFERROR(__xludf.DUMMYFUNCTION("""COMPUTED_VALUE"""),"Real")</f>
        <v>Real</v>
      </c>
      <c r="G5958" s="8">
        <f t="shared" si="1"/>
        <v>7</v>
      </c>
      <c r="H5958" s="14">
        <f t="shared" si="2"/>
        <v>7</v>
      </c>
      <c r="I5958" s="15">
        <f t="shared" si="3"/>
        <v>6</v>
      </c>
    </row>
    <row r="5959">
      <c r="A5959" s="8" t="str">
        <f>IFERROR(__xludf.DUMMYFUNCTION("IF('(INGESTA)Datos_consumo_datadis'!A5959&lt;&gt;"""",SPLIT('(INGESTA)Datos_consumo_datadis'!A:A,"",""),"""")"),"ES0031408323131005HX0F")</f>
        <v>ES0031408323131005HX0F</v>
      </c>
      <c r="B5959" s="12">
        <f>IFERROR(__xludf.DUMMYFUNCTION("""COMPUTED_VALUE"""),45114.0)</f>
        <v>45114</v>
      </c>
      <c r="C5959" s="13">
        <f>IFERROR(__xludf.DUMMYFUNCTION("""COMPUTED_VALUE"""),0.2916666666666667)</f>
        <v>0.2916666667</v>
      </c>
      <c r="D5959" s="8">
        <f>IFERROR(__xludf.DUMMYFUNCTION("""COMPUTED_VALUE"""),0.116)</f>
        <v>0.116</v>
      </c>
      <c r="E5959" s="8" t="str">
        <f>IFERROR(__xludf.DUMMYFUNCTION("""COMPUTED_VALUE"""),"Real")</f>
        <v>Real</v>
      </c>
      <c r="G5959" s="8">
        <f t="shared" si="1"/>
        <v>7</v>
      </c>
      <c r="H5959" s="14">
        <f t="shared" si="2"/>
        <v>7</v>
      </c>
      <c r="I5959" s="15">
        <f t="shared" si="3"/>
        <v>7</v>
      </c>
    </row>
    <row r="5960">
      <c r="A5960" s="8" t="str">
        <f>IFERROR(__xludf.DUMMYFUNCTION("IF('(INGESTA)Datos_consumo_datadis'!A5960&lt;&gt;"""",SPLIT('(INGESTA)Datos_consumo_datadis'!A:A,"",""),"""")"),"ES0031408323131005HX0F")</f>
        <v>ES0031408323131005HX0F</v>
      </c>
      <c r="B5960" s="12">
        <f>IFERROR(__xludf.DUMMYFUNCTION("""COMPUTED_VALUE"""),45114.0)</f>
        <v>45114</v>
      </c>
      <c r="C5960" s="13">
        <f>IFERROR(__xludf.DUMMYFUNCTION("""COMPUTED_VALUE"""),0.3333333333333333)</f>
        <v>0.3333333333</v>
      </c>
      <c r="D5960" s="8">
        <f>IFERROR(__xludf.DUMMYFUNCTION("""COMPUTED_VALUE"""),0.084)</f>
        <v>0.084</v>
      </c>
      <c r="E5960" s="8" t="str">
        <f>IFERROR(__xludf.DUMMYFUNCTION("""COMPUTED_VALUE"""),"Real")</f>
        <v>Real</v>
      </c>
      <c r="G5960" s="8">
        <f t="shared" si="1"/>
        <v>7</v>
      </c>
      <c r="H5960" s="14">
        <f t="shared" si="2"/>
        <v>7</v>
      </c>
      <c r="I5960" s="15">
        <f t="shared" si="3"/>
        <v>8</v>
      </c>
    </row>
    <row r="5961">
      <c r="A5961" s="8" t="str">
        <f>IFERROR(__xludf.DUMMYFUNCTION("IF('(INGESTA)Datos_consumo_datadis'!A5961&lt;&gt;"""",SPLIT('(INGESTA)Datos_consumo_datadis'!A:A,"",""),"""")"),"ES0031408323131005HX0F")</f>
        <v>ES0031408323131005HX0F</v>
      </c>
      <c r="B5961" s="12">
        <f>IFERROR(__xludf.DUMMYFUNCTION("""COMPUTED_VALUE"""),45114.0)</f>
        <v>45114</v>
      </c>
      <c r="C5961" s="13">
        <f>IFERROR(__xludf.DUMMYFUNCTION("""COMPUTED_VALUE"""),0.375)</f>
        <v>0.375</v>
      </c>
      <c r="D5961" s="8">
        <f>IFERROR(__xludf.DUMMYFUNCTION("""COMPUTED_VALUE"""),0.328)</f>
        <v>0.328</v>
      </c>
      <c r="E5961" s="8" t="str">
        <f>IFERROR(__xludf.DUMMYFUNCTION("""COMPUTED_VALUE"""),"Real")</f>
        <v>Real</v>
      </c>
      <c r="G5961" s="8">
        <f t="shared" si="1"/>
        <v>7</v>
      </c>
      <c r="H5961" s="14">
        <f t="shared" si="2"/>
        <v>7</v>
      </c>
      <c r="I5961" s="15">
        <f t="shared" si="3"/>
        <v>9</v>
      </c>
    </row>
    <row r="5962">
      <c r="A5962" s="8" t="str">
        <f>IFERROR(__xludf.DUMMYFUNCTION("IF('(INGESTA)Datos_consumo_datadis'!A5962&lt;&gt;"""",SPLIT('(INGESTA)Datos_consumo_datadis'!A:A,"",""),"""")"),"ES0031408323131005HX0F")</f>
        <v>ES0031408323131005HX0F</v>
      </c>
      <c r="B5962" s="12">
        <f>IFERROR(__xludf.DUMMYFUNCTION("""COMPUTED_VALUE"""),45114.0)</f>
        <v>45114</v>
      </c>
      <c r="C5962" s="13">
        <f>IFERROR(__xludf.DUMMYFUNCTION("""COMPUTED_VALUE"""),0.4166666666666667)</f>
        <v>0.4166666667</v>
      </c>
      <c r="D5962" s="8">
        <f>IFERROR(__xludf.DUMMYFUNCTION("""COMPUTED_VALUE"""),0.009)</f>
        <v>0.009</v>
      </c>
      <c r="E5962" s="8" t="str">
        <f>IFERROR(__xludf.DUMMYFUNCTION("""COMPUTED_VALUE"""),"Real")</f>
        <v>Real</v>
      </c>
      <c r="G5962" s="8">
        <f t="shared" si="1"/>
        <v>7</v>
      </c>
      <c r="H5962" s="14">
        <f t="shared" si="2"/>
        <v>7</v>
      </c>
      <c r="I5962" s="15">
        <f t="shared" si="3"/>
        <v>10</v>
      </c>
    </row>
    <row r="5963">
      <c r="A5963" s="8" t="str">
        <f>IFERROR(__xludf.DUMMYFUNCTION("IF('(INGESTA)Datos_consumo_datadis'!A5963&lt;&gt;"""",SPLIT('(INGESTA)Datos_consumo_datadis'!A:A,"",""),"""")"),"ES0031408323131005HX0F")</f>
        <v>ES0031408323131005HX0F</v>
      </c>
      <c r="B5963" s="12">
        <f>IFERROR(__xludf.DUMMYFUNCTION("""COMPUTED_VALUE"""),45114.0)</f>
        <v>45114</v>
      </c>
      <c r="C5963" s="13">
        <f>IFERROR(__xludf.DUMMYFUNCTION("""COMPUTED_VALUE"""),0.4583333333333333)</f>
        <v>0.4583333333</v>
      </c>
      <c r="D5963" s="8">
        <f>IFERROR(__xludf.DUMMYFUNCTION("""COMPUTED_VALUE"""),0.085)</f>
        <v>0.085</v>
      </c>
      <c r="E5963" s="8" t="str">
        <f>IFERROR(__xludf.DUMMYFUNCTION("""COMPUTED_VALUE"""),"Real")</f>
        <v>Real</v>
      </c>
      <c r="G5963" s="8">
        <f t="shared" si="1"/>
        <v>7</v>
      </c>
      <c r="H5963" s="14">
        <f t="shared" si="2"/>
        <v>7</v>
      </c>
      <c r="I5963" s="15">
        <f t="shared" si="3"/>
        <v>11</v>
      </c>
    </row>
    <row r="5964">
      <c r="A5964" s="8" t="str">
        <f>IFERROR(__xludf.DUMMYFUNCTION("IF('(INGESTA)Datos_consumo_datadis'!A5964&lt;&gt;"""",SPLIT('(INGESTA)Datos_consumo_datadis'!A:A,"",""),"""")"),"ES0031408323131005HX0F")</f>
        <v>ES0031408323131005HX0F</v>
      </c>
      <c r="B5964" s="12">
        <f>IFERROR(__xludf.DUMMYFUNCTION("""COMPUTED_VALUE"""),45114.0)</f>
        <v>45114</v>
      </c>
      <c r="C5964" s="13">
        <f>IFERROR(__xludf.DUMMYFUNCTION("""COMPUTED_VALUE"""),0.5)</f>
        <v>0.5</v>
      </c>
      <c r="D5964" s="8">
        <f>IFERROR(__xludf.DUMMYFUNCTION("""COMPUTED_VALUE"""),0.092)</f>
        <v>0.092</v>
      </c>
      <c r="E5964" s="8" t="str">
        <f>IFERROR(__xludf.DUMMYFUNCTION("""COMPUTED_VALUE"""),"Real")</f>
        <v>Real</v>
      </c>
      <c r="G5964" s="8">
        <f t="shared" si="1"/>
        <v>7</v>
      </c>
      <c r="H5964" s="14">
        <f t="shared" si="2"/>
        <v>7</v>
      </c>
      <c r="I5964" s="15">
        <f t="shared" si="3"/>
        <v>12</v>
      </c>
    </row>
    <row r="5965">
      <c r="A5965" s="8" t="str">
        <f>IFERROR(__xludf.DUMMYFUNCTION("IF('(INGESTA)Datos_consumo_datadis'!A5965&lt;&gt;"""",SPLIT('(INGESTA)Datos_consumo_datadis'!A:A,"",""),"""")"),"ES0031408323131005HX0F")</f>
        <v>ES0031408323131005HX0F</v>
      </c>
      <c r="B5965" s="12">
        <f>IFERROR(__xludf.DUMMYFUNCTION("""COMPUTED_VALUE"""),45114.0)</f>
        <v>45114</v>
      </c>
      <c r="C5965" s="13">
        <f>IFERROR(__xludf.DUMMYFUNCTION("""COMPUTED_VALUE"""),0.5416666666666666)</f>
        <v>0.5416666667</v>
      </c>
      <c r="D5965" s="8">
        <f>IFERROR(__xludf.DUMMYFUNCTION("""COMPUTED_VALUE"""),0.084)</f>
        <v>0.084</v>
      </c>
      <c r="E5965" s="8" t="str">
        <f>IFERROR(__xludf.DUMMYFUNCTION("""COMPUTED_VALUE"""),"Real")</f>
        <v>Real</v>
      </c>
      <c r="G5965" s="8">
        <f t="shared" si="1"/>
        <v>7</v>
      </c>
      <c r="H5965" s="14">
        <f t="shared" si="2"/>
        <v>7</v>
      </c>
      <c r="I5965" s="15">
        <f t="shared" si="3"/>
        <v>13</v>
      </c>
    </row>
    <row r="5966">
      <c r="A5966" s="8" t="str">
        <f>IFERROR(__xludf.DUMMYFUNCTION("IF('(INGESTA)Datos_consumo_datadis'!A5966&lt;&gt;"""",SPLIT('(INGESTA)Datos_consumo_datadis'!A:A,"",""),"""")"),"ES0031408323131005HX0F")</f>
        <v>ES0031408323131005HX0F</v>
      </c>
      <c r="B5966" s="12">
        <f>IFERROR(__xludf.DUMMYFUNCTION("""COMPUTED_VALUE"""),45114.0)</f>
        <v>45114</v>
      </c>
      <c r="C5966" s="13">
        <f>IFERROR(__xludf.DUMMYFUNCTION("""COMPUTED_VALUE"""),0.5833333333333334)</f>
        <v>0.5833333333</v>
      </c>
      <c r="D5966" s="8">
        <f>IFERROR(__xludf.DUMMYFUNCTION("""COMPUTED_VALUE"""),0.018)</f>
        <v>0.018</v>
      </c>
      <c r="E5966" s="8" t="str">
        <f>IFERROR(__xludf.DUMMYFUNCTION("""COMPUTED_VALUE"""),"Real")</f>
        <v>Real</v>
      </c>
      <c r="G5966" s="8">
        <f t="shared" si="1"/>
        <v>7</v>
      </c>
      <c r="H5966" s="14">
        <f t="shared" si="2"/>
        <v>7</v>
      </c>
      <c r="I5966" s="15">
        <f t="shared" si="3"/>
        <v>14</v>
      </c>
    </row>
    <row r="5967">
      <c r="A5967" s="8" t="str">
        <f>IFERROR(__xludf.DUMMYFUNCTION("IF('(INGESTA)Datos_consumo_datadis'!A5967&lt;&gt;"""",SPLIT('(INGESTA)Datos_consumo_datadis'!A:A,"",""),"""")"),"ES0031408323131005HX0F")</f>
        <v>ES0031408323131005HX0F</v>
      </c>
      <c r="B5967" s="12">
        <f>IFERROR(__xludf.DUMMYFUNCTION("""COMPUTED_VALUE"""),45114.0)</f>
        <v>45114</v>
      </c>
      <c r="C5967" s="13">
        <f>IFERROR(__xludf.DUMMYFUNCTION("""COMPUTED_VALUE"""),0.625)</f>
        <v>0.625</v>
      </c>
      <c r="D5967" s="8">
        <f>IFERROR(__xludf.DUMMYFUNCTION("""COMPUTED_VALUE"""),0.039)</f>
        <v>0.039</v>
      </c>
      <c r="E5967" s="8" t="str">
        <f>IFERROR(__xludf.DUMMYFUNCTION("""COMPUTED_VALUE"""),"Real")</f>
        <v>Real</v>
      </c>
      <c r="G5967" s="8">
        <f t="shared" si="1"/>
        <v>7</v>
      </c>
      <c r="H5967" s="14">
        <f t="shared" si="2"/>
        <v>7</v>
      </c>
      <c r="I5967" s="15">
        <f t="shared" si="3"/>
        <v>15</v>
      </c>
    </row>
    <row r="5968">
      <c r="A5968" s="8" t="str">
        <f>IFERROR(__xludf.DUMMYFUNCTION("IF('(INGESTA)Datos_consumo_datadis'!A5968&lt;&gt;"""",SPLIT('(INGESTA)Datos_consumo_datadis'!A:A,"",""),"""")"),"ES0031408323131005HX0F")</f>
        <v>ES0031408323131005HX0F</v>
      </c>
      <c r="B5968" s="12">
        <f>IFERROR(__xludf.DUMMYFUNCTION("""COMPUTED_VALUE"""),45114.0)</f>
        <v>45114</v>
      </c>
      <c r="C5968" s="13">
        <f>IFERROR(__xludf.DUMMYFUNCTION("""COMPUTED_VALUE"""),0.6666666666666666)</f>
        <v>0.6666666667</v>
      </c>
      <c r="D5968" s="8">
        <f>IFERROR(__xludf.DUMMYFUNCTION("""COMPUTED_VALUE"""),0.114)</f>
        <v>0.114</v>
      </c>
      <c r="E5968" s="8" t="str">
        <f>IFERROR(__xludf.DUMMYFUNCTION("""COMPUTED_VALUE"""),"Real")</f>
        <v>Real</v>
      </c>
      <c r="G5968" s="8">
        <f t="shared" si="1"/>
        <v>7</v>
      </c>
      <c r="H5968" s="14">
        <f t="shared" si="2"/>
        <v>7</v>
      </c>
      <c r="I5968" s="15">
        <f t="shared" si="3"/>
        <v>16</v>
      </c>
    </row>
    <row r="5969">
      <c r="A5969" s="8" t="str">
        <f>IFERROR(__xludf.DUMMYFUNCTION("IF('(INGESTA)Datos_consumo_datadis'!A5969&lt;&gt;"""",SPLIT('(INGESTA)Datos_consumo_datadis'!A:A,"",""),"""")"),"ES0031408323131005HX0F")</f>
        <v>ES0031408323131005HX0F</v>
      </c>
      <c r="B5969" s="12">
        <f>IFERROR(__xludf.DUMMYFUNCTION("""COMPUTED_VALUE"""),45114.0)</f>
        <v>45114</v>
      </c>
      <c r="C5969" s="13">
        <f>IFERROR(__xludf.DUMMYFUNCTION("""COMPUTED_VALUE"""),0.7083333333333334)</f>
        <v>0.7083333333</v>
      </c>
      <c r="D5969" s="8">
        <f>IFERROR(__xludf.DUMMYFUNCTION("""COMPUTED_VALUE"""),0.36)</f>
        <v>0.36</v>
      </c>
      <c r="E5969" s="8" t="str">
        <f>IFERROR(__xludf.DUMMYFUNCTION("""COMPUTED_VALUE"""),"Real")</f>
        <v>Real</v>
      </c>
      <c r="G5969" s="8">
        <f t="shared" si="1"/>
        <v>7</v>
      </c>
      <c r="H5969" s="14">
        <f t="shared" si="2"/>
        <v>7</v>
      </c>
      <c r="I5969" s="15">
        <f t="shared" si="3"/>
        <v>17</v>
      </c>
    </row>
    <row r="5970">
      <c r="A5970" s="8" t="str">
        <f>IFERROR(__xludf.DUMMYFUNCTION("IF('(INGESTA)Datos_consumo_datadis'!A5970&lt;&gt;"""",SPLIT('(INGESTA)Datos_consumo_datadis'!A:A,"",""),"""")"),"ES0031408323131005HX0F")</f>
        <v>ES0031408323131005HX0F</v>
      </c>
      <c r="B5970" s="12">
        <f>IFERROR(__xludf.DUMMYFUNCTION("""COMPUTED_VALUE"""),45114.0)</f>
        <v>45114</v>
      </c>
      <c r="C5970" s="13">
        <f>IFERROR(__xludf.DUMMYFUNCTION("""COMPUTED_VALUE"""),0.75)</f>
        <v>0.75</v>
      </c>
      <c r="D5970" s="8">
        <f>IFERROR(__xludf.DUMMYFUNCTION("""COMPUTED_VALUE"""),0.051)</f>
        <v>0.051</v>
      </c>
      <c r="E5970" s="8" t="str">
        <f>IFERROR(__xludf.DUMMYFUNCTION("""COMPUTED_VALUE"""),"Real")</f>
        <v>Real</v>
      </c>
      <c r="G5970" s="8">
        <f t="shared" si="1"/>
        <v>7</v>
      </c>
      <c r="H5970" s="14">
        <f t="shared" si="2"/>
        <v>7</v>
      </c>
      <c r="I5970" s="15">
        <f t="shared" si="3"/>
        <v>18</v>
      </c>
    </row>
    <row r="5971">
      <c r="A5971" s="8" t="str">
        <f>IFERROR(__xludf.DUMMYFUNCTION("IF('(INGESTA)Datos_consumo_datadis'!A5971&lt;&gt;"""",SPLIT('(INGESTA)Datos_consumo_datadis'!A:A,"",""),"""")"),"ES0031408323131005HX0F")</f>
        <v>ES0031408323131005HX0F</v>
      </c>
      <c r="B5971" s="12">
        <f>IFERROR(__xludf.DUMMYFUNCTION("""COMPUTED_VALUE"""),45114.0)</f>
        <v>45114</v>
      </c>
      <c r="C5971" s="13">
        <f>IFERROR(__xludf.DUMMYFUNCTION("""COMPUTED_VALUE"""),0.7916666666666666)</f>
        <v>0.7916666667</v>
      </c>
      <c r="D5971" s="8">
        <f>IFERROR(__xludf.DUMMYFUNCTION("""COMPUTED_VALUE"""),0.02)</f>
        <v>0.02</v>
      </c>
      <c r="E5971" s="8" t="str">
        <f>IFERROR(__xludf.DUMMYFUNCTION("""COMPUTED_VALUE"""),"Real")</f>
        <v>Real</v>
      </c>
      <c r="G5971" s="8">
        <f t="shared" si="1"/>
        <v>7</v>
      </c>
      <c r="H5971" s="14">
        <f t="shared" si="2"/>
        <v>7</v>
      </c>
      <c r="I5971" s="15">
        <f t="shared" si="3"/>
        <v>19</v>
      </c>
    </row>
    <row r="5972">
      <c r="A5972" s="8" t="str">
        <f>IFERROR(__xludf.DUMMYFUNCTION("IF('(INGESTA)Datos_consumo_datadis'!A5972&lt;&gt;"""",SPLIT('(INGESTA)Datos_consumo_datadis'!A:A,"",""),"""")"),"ES0031408323131005HX0F")</f>
        <v>ES0031408323131005HX0F</v>
      </c>
      <c r="B5972" s="12">
        <f>IFERROR(__xludf.DUMMYFUNCTION("""COMPUTED_VALUE"""),45114.0)</f>
        <v>45114</v>
      </c>
      <c r="C5972" s="13">
        <f>IFERROR(__xludf.DUMMYFUNCTION("""COMPUTED_VALUE"""),0.8333333333333334)</f>
        <v>0.8333333333</v>
      </c>
      <c r="D5972" s="8">
        <f>IFERROR(__xludf.DUMMYFUNCTION("""COMPUTED_VALUE"""),0.105)</f>
        <v>0.105</v>
      </c>
      <c r="E5972" s="8" t="str">
        <f>IFERROR(__xludf.DUMMYFUNCTION("""COMPUTED_VALUE"""),"Real")</f>
        <v>Real</v>
      </c>
      <c r="G5972" s="8">
        <f t="shared" si="1"/>
        <v>7</v>
      </c>
      <c r="H5972" s="14">
        <f t="shared" si="2"/>
        <v>7</v>
      </c>
      <c r="I5972" s="15">
        <f t="shared" si="3"/>
        <v>20</v>
      </c>
    </row>
    <row r="5973">
      <c r="A5973" s="8" t="str">
        <f>IFERROR(__xludf.DUMMYFUNCTION("IF('(INGESTA)Datos_consumo_datadis'!A5973&lt;&gt;"""",SPLIT('(INGESTA)Datos_consumo_datadis'!A:A,"",""),"""")"),"ES0031408323131005HX0F")</f>
        <v>ES0031408323131005HX0F</v>
      </c>
      <c r="B5973" s="12">
        <f>IFERROR(__xludf.DUMMYFUNCTION("""COMPUTED_VALUE"""),45114.0)</f>
        <v>45114</v>
      </c>
      <c r="C5973" s="13">
        <f>IFERROR(__xludf.DUMMYFUNCTION("""COMPUTED_VALUE"""),0.875)</f>
        <v>0.875</v>
      </c>
      <c r="D5973" s="8">
        <f>IFERROR(__xludf.DUMMYFUNCTION("""COMPUTED_VALUE"""),0.094)</f>
        <v>0.094</v>
      </c>
      <c r="E5973" s="8" t="str">
        <f>IFERROR(__xludf.DUMMYFUNCTION("""COMPUTED_VALUE"""),"Real")</f>
        <v>Real</v>
      </c>
      <c r="G5973" s="8">
        <f t="shared" si="1"/>
        <v>7</v>
      </c>
      <c r="H5973" s="14">
        <f t="shared" si="2"/>
        <v>7</v>
      </c>
      <c r="I5973" s="15">
        <f t="shared" si="3"/>
        <v>21</v>
      </c>
    </row>
    <row r="5974">
      <c r="A5974" s="8" t="str">
        <f>IFERROR(__xludf.DUMMYFUNCTION("IF('(INGESTA)Datos_consumo_datadis'!A5974&lt;&gt;"""",SPLIT('(INGESTA)Datos_consumo_datadis'!A:A,"",""),"""")"),"ES0031408323131005HX0F")</f>
        <v>ES0031408323131005HX0F</v>
      </c>
      <c r="B5974" s="12">
        <f>IFERROR(__xludf.DUMMYFUNCTION("""COMPUTED_VALUE"""),45114.0)</f>
        <v>45114</v>
      </c>
      <c r="C5974" s="13">
        <f>IFERROR(__xludf.DUMMYFUNCTION("""COMPUTED_VALUE"""),0.9166666666666666)</f>
        <v>0.9166666667</v>
      </c>
      <c r="D5974" s="8">
        <f>IFERROR(__xludf.DUMMYFUNCTION("""COMPUTED_VALUE"""),0.081)</f>
        <v>0.081</v>
      </c>
      <c r="E5974" s="8" t="str">
        <f>IFERROR(__xludf.DUMMYFUNCTION("""COMPUTED_VALUE"""),"Real")</f>
        <v>Real</v>
      </c>
      <c r="G5974" s="8">
        <f t="shared" si="1"/>
        <v>7</v>
      </c>
      <c r="H5974" s="14">
        <f t="shared" si="2"/>
        <v>7</v>
      </c>
      <c r="I5974" s="15">
        <f t="shared" si="3"/>
        <v>22</v>
      </c>
    </row>
    <row r="5975">
      <c r="A5975" s="8" t="str">
        <f>IFERROR(__xludf.DUMMYFUNCTION("IF('(INGESTA)Datos_consumo_datadis'!A5975&lt;&gt;"""",SPLIT('(INGESTA)Datos_consumo_datadis'!A:A,"",""),"""")"),"ES0031408323131005HX0F")</f>
        <v>ES0031408323131005HX0F</v>
      </c>
      <c r="B5975" s="12">
        <f>IFERROR(__xludf.DUMMYFUNCTION("""COMPUTED_VALUE"""),45114.0)</f>
        <v>45114</v>
      </c>
      <c r="C5975" s="13">
        <f>IFERROR(__xludf.DUMMYFUNCTION("""COMPUTED_VALUE"""),0.9583333333333334)</f>
        <v>0.9583333333</v>
      </c>
      <c r="D5975" s="8">
        <f>IFERROR(__xludf.DUMMYFUNCTION("""COMPUTED_VALUE"""),0.026)</f>
        <v>0.026</v>
      </c>
      <c r="E5975" s="8" t="str">
        <f>IFERROR(__xludf.DUMMYFUNCTION("""COMPUTED_VALUE"""),"Real")</f>
        <v>Real</v>
      </c>
      <c r="G5975" s="8">
        <f t="shared" si="1"/>
        <v>7</v>
      </c>
      <c r="H5975" s="14">
        <f t="shared" si="2"/>
        <v>7</v>
      </c>
      <c r="I5975" s="15">
        <f t="shared" si="3"/>
        <v>23</v>
      </c>
    </row>
    <row r="5976">
      <c r="A5976" s="8" t="str">
        <f>IFERROR(__xludf.DUMMYFUNCTION("IF('(INGESTA)Datos_consumo_datadis'!A5976&lt;&gt;"""",SPLIT('(INGESTA)Datos_consumo_datadis'!A:A,"",""),"""")"),"ES0031408323131005HX0F")</f>
        <v>ES0031408323131005HX0F</v>
      </c>
      <c r="B5976" s="12">
        <f>IFERROR(__xludf.DUMMYFUNCTION("""COMPUTED_VALUE"""),45114.0)</f>
        <v>45114</v>
      </c>
      <c r="C5976" s="16">
        <f>IFERROR(__xludf.DUMMYFUNCTION("""COMPUTED_VALUE"""),1.0)</f>
        <v>1</v>
      </c>
      <c r="D5976" s="8">
        <f>IFERROR(__xludf.DUMMYFUNCTION("""COMPUTED_VALUE"""),0.029)</f>
        <v>0.029</v>
      </c>
      <c r="E5976" s="8" t="str">
        <f>IFERROR(__xludf.DUMMYFUNCTION("""COMPUTED_VALUE"""),"Real")</f>
        <v>Real</v>
      </c>
      <c r="G5976" s="8">
        <f t="shared" si="1"/>
        <v>7</v>
      </c>
      <c r="H5976" s="14">
        <f t="shared" si="2"/>
        <v>7</v>
      </c>
      <c r="I5976" s="15">
        <f t="shared" si="3"/>
        <v>0</v>
      </c>
    </row>
    <row r="5977">
      <c r="A5977" s="8" t="str">
        <f>IFERROR(__xludf.DUMMYFUNCTION("IF('(INGESTA)Datos_consumo_datadis'!A5977&lt;&gt;"""",SPLIT('(INGESTA)Datos_consumo_datadis'!A:A,"",""),"""")"),"ES0031408323131005HX0F")</f>
        <v>ES0031408323131005HX0F</v>
      </c>
      <c r="B5977" s="12">
        <f>IFERROR(__xludf.DUMMYFUNCTION("""COMPUTED_VALUE"""),45115.0)</f>
        <v>45115</v>
      </c>
      <c r="C5977" s="13">
        <f>IFERROR(__xludf.DUMMYFUNCTION("""COMPUTED_VALUE"""),0.041666666666666664)</f>
        <v>0.04166666667</v>
      </c>
      <c r="D5977" s="8">
        <f>IFERROR(__xludf.DUMMYFUNCTION("""COMPUTED_VALUE"""),0.396)</f>
        <v>0.396</v>
      </c>
      <c r="E5977" s="8" t="str">
        <f>IFERROR(__xludf.DUMMYFUNCTION("""COMPUTED_VALUE"""),"Real")</f>
        <v>Real</v>
      </c>
      <c r="G5977" s="8">
        <f t="shared" si="1"/>
        <v>7</v>
      </c>
      <c r="H5977" s="14">
        <f t="shared" si="2"/>
        <v>8</v>
      </c>
      <c r="I5977" s="15">
        <f t="shared" si="3"/>
        <v>1</v>
      </c>
    </row>
    <row r="5978">
      <c r="A5978" s="8" t="str">
        <f>IFERROR(__xludf.DUMMYFUNCTION("IF('(INGESTA)Datos_consumo_datadis'!A5978&lt;&gt;"""",SPLIT('(INGESTA)Datos_consumo_datadis'!A:A,"",""),"""")"),"ES0031408323131005HX0F")</f>
        <v>ES0031408323131005HX0F</v>
      </c>
      <c r="B5978" s="12">
        <f>IFERROR(__xludf.DUMMYFUNCTION("""COMPUTED_VALUE"""),45115.0)</f>
        <v>45115</v>
      </c>
      <c r="C5978" s="13">
        <f>IFERROR(__xludf.DUMMYFUNCTION("""COMPUTED_VALUE"""),0.08333333333333333)</f>
        <v>0.08333333333</v>
      </c>
      <c r="D5978" s="8">
        <f>IFERROR(__xludf.DUMMYFUNCTION("""COMPUTED_VALUE"""),0.085)</f>
        <v>0.085</v>
      </c>
      <c r="E5978" s="8" t="str">
        <f>IFERROR(__xludf.DUMMYFUNCTION("""COMPUTED_VALUE"""),"Real")</f>
        <v>Real</v>
      </c>
      <c r="G5978" s="8">
        <f t="shared" si="1"/>
        <v>7</v>
      </c>
      <c r="H5978" s="14">
        <f t="shared" si="2"/>
        <v>8</v>
      </c>
      <c r="I5978" s="15">
        <f t="shared" si="3"/>
        <v>2</v>
      </c>
    </row>
    <row r="5979">
      <c r="A5979" s="8" t="str">
        <f>IFERROR(__xludf.DUMMYFUNCTION("IF('(INGESTA)Datos_consumo_datadis'!A5979&lt;&gt;"""",SPLIT('(INGESTA)Datos_consumo_datadis'!A:A,"",""),"""")"),"ES0031408323131005HX0F")</f>
        <v>ES0031408323131005HX0F</v>
      </c>
      <c r="B5979" s="12">
        <f>IFERROR(__xludf.DUMMYFUNCTION("""COMPUTED_VALUE"""),45115.0)</f>
        <v>45115</v>
      </c>
      <c r="C5979" s="13">
        <f>IFERROR(__xludf.DUMMYFUNCTION("""COMPUTED_VALUE"""),0.125)</f>
        <v>0.125</v>
      </c>
      <c r="D5979" s="8">
        <f>IFERROR(__xludf.DUMMYFUNCTION("""COMPUTED_VALUE"""),0.058)</f>
        <v>0.058</v>
      </c>
      <c r="E5979" s="8" t="str">
        <f>IFERROR(__xludf.DUMMYFUNCTION("""COMPUTED_VALUE"""),"Real")</f>
        <v>Real</v>
      </c>
      <c r="G5979" s="8">
        <f t="shared" si="1"/>
        <v>7</v>
      </c>
      <c r="H5979" s="14">
        <f t="shared" si="2"/>
        <v>8</v>
      </c>
      <c r="I5979" s="15">
        <f t="shared" si="3"/>
        <v>3</v>
      </c>
    </row>
    <row r="5980">
      <c r="A5980" s="8" t="str">
        <f>IFERROR(__xludf.DUMMYFUNCTION("IF('(INGESTA)Datos_consumo_datadis'!A5980&lt;&gt;"""",SPLIT('(INGESTA)Datos_consumo_datadis'!A:A,"",""),"""")"),"ES0031408323131005HX0F")</f>
        <v>ES0031408323131005HX0F</v>
      </c>
      <c r="B5980" s="12">
        <f>IFERROR(__xludf.DUMMYFUNCTION("""COMPUTED_VALUE"""),45115.0)</f>
        <v>45115</v>
      </c>
      <c r="C5980" s="13">
        <f>IFERROR(__xludf.DUMMYFUNCTION("""COMPUTED_VALUE"""),0.16666666666666666)</f>
        <v>0.1666666667</v>
      </c>
      <c r="D5980" s="8">
        <f>IFERROR(__xludf.DUMMYFUNCTION("""COMPUTED_VALUE"""),0.009)</f>
        <v>0.009</v>
      </c>
      <c r="E5980" s="8" t="str">
        <f>IFERROR(__xludf.DUMMYFUNCTION("""COMPUTED_VALUE"""),"Real")</f>
        <v>Real</v>
      </c>
      <c r="G5980" s="8">
        <f t="shared" si="1"/>
        <v>7</v>
      </c>
      <c r="H5980" s="14">
        <f t="shared" si="2"/>
        <v>8</v>
      </c>
      <c r="I5980" s="15">
        <f t="shared" si="3"/>
        <v>4</v>
      </c>
    </row>
    <row r="5981">
      <c r="A5981" s="8" t="str">
        <f>IFERROR(__xludf.DUMMYFUNCTION("IF('(INGESTA)Datos_consumo_datadis'!A5981&lt;&gt;"""",SPLIT('(INGESTA)Datos_consumo_datadis'!A:A,"",""),"""")"),"ES0031408323131005HX0F")</f>
        <v>ES0031408323131005HX0F</v>
      </c>
      <c r="B5981" s="12">
        <f>IFERROR(__xludf.DUMMYFUNCTION("""COMPUTED_VALUE"""),45115.0)</f>
        <v>45115</v>
      </c>
      <c r="C5981" s="13">
        <f>IFERROR(__xludf.DUMMYFUNCTION("""COMPUTED_VALUE"""),0.20833333333333334)</f>
        <v>0.2083333333</v>
      </c>
      <c r="D5981" s="8">
        <f>IFERROR(__xludf.DUMMYFUNCTION("""COMPUTED_VALUE"""),0.081)</f>
        <v>0.081</v>
      </c>
      <c r="E5981" s="8" t="str">
        <f>IFERROR(__xludf.DUMMYFUNCTION("""COMPUTED_VALUE"""),"Real")</f>
        <v>Real</v>
      </c>
      <c r="G5981" s="8">
        <f t="shared" si="1"/>
        <v>7</v>
      </c>
      <c r="H5981" s="14">
        <f t="shared" si="2"/>
        <v>8</v>
      </c>
      <c r="I5981" s="15">
        <f t="shared" si="3"/>
        <v>5</v>
      </c>
    </row>
    <row r="5982">
      <c r="A5982" s="8" t="str">
        <f>IFERROR(__xludf.DUMMYFUNCTION("IF('(INGESTA)Datos_consumo_datadis'!A5982&lt;&gt;"""",SPLIT('(INGESTA)Datos_consumo_datadis'!A:A,"",""),"""")"),"ES0031408323131005HX0F")</f>
        <v>ES0031408323131005HX0F</v>
      </c>
      <c r="B5982" s="12">
        <f>IFERROR(__xludf.DUMMYFUNCTION("""COMPUTED_VALUE"""),45115.0)</f>
        <v>45115</v>
      </c>
      <c r="C5982" s="13">
        <f>IFERROR(__xludf.DUMMYFUNCTION("""COMPUTED_VALUE"""),0.25)</f>
        <v>0.25</v>
      </c>
      <c r="D5982" s="8">
        <f>IFERROR(__xludf.DUMMYFUNCTION("""COMPUTED_VALUE"""),0.101)</f>
        <v>0.101</v>
      </c>
      <c r="E5982" s="8" t="str">
        <f>IFERROR(__xludf.DUMMYFUNCTION("""COMPUTED_VALUE"""),"Real")</f>
        <v>Real</v>
      </c>
      <c r="G5982" s="8">
        <f t="shared" si="1"/>
        <v>7</v>
      </c>
      <c r="H5982" s="14">
        <f t="shared" si="2"/>
        <v>8</v>
      </c>
      <c r="I5982" s="15">
        <f t="shared" si="3"/>
        <v>6</v>
      </c>
    </row>
    <row r="5983">
      <c r="A5983" s="8" t="str">
        <f>IFERROR(__xludf.DUMMYFUNCTION("IF('(INGESTA)Datos_consumo_datadis'!A5983&lt;&gt;"""",SPLIT('(INGESTA)Datos_consumo_datadis'!A:A,"",""),"""")"),"ES0031408323131005HX0F")</f>
        <v>ES0031408323131005HX0F</v>
      </c>
      <c r="B5983" s="12">
        <f>IFERROR(__xludf.DUMMYFUNCTION("""COMPUTED_VALUE"""),45115.0)</f>
        <v>45115</v>
      </c>
      <c r="C5983" s="13">
        <f>IFERROR(__xludf.DUMMYFUNCTION("""COMPUTED_VALUE"""),0.2916666666666667)</f>
        <v>0.2916666667</v>
      </c>
      <c r="D5983" s="8">
        <f>IFERROR(__xludf.DUMMYFUNCTION("""COMPUTED_VALUE"""),0.074)</f>
        <v>0.074</v>
      </c>
      <c r="E5983" s="8" t="str">
        <f>IFERROR(__xludf.DUMMYFUNCTION("""COMPUTED_VALUE"""),"Real")</f>
        <v>Real</v>
      </c>
      <c r="G5983" s="8">
        <f t="shared" si="1"/>
        <v>7</v>
      </c>
      <c r="H5983" s="14">
        <f t="shared" si="2"/>
        <v>8</v>
      </c>
      <c r="I5983" s="15">
        <f t="shared" si="3"/>
        <v>7</v>
      </c>
    </row>
    <row r="5984">
      <c r="A5984" s="8" t="str">
        <f>IFERROR(__xludf.DUMMYFUNCTION("IF('(INGESTA)Datos_consumo_datadis'!A5984&lt;&gt;"""",SPLIT('(INGESTA)Datos_consumo_datadis'!A:A,"",""),"""")"),"ES0031408323131005HX0F")</f>
        <v>ES0031408323131005HX0F</v>
      </c>
      <c r="B5984" s="12">
        <f>IFERROR(__xludf.DUMMYFUNCTION("""COMPUTED_VALUE"""),45115.0)</f>
        <v>45115</v>
      </c>
      <c r="C5984" s="13">
        <f>IFERROR(__xludf.DUMMYFUNCTION("""COMPUTED_VALUE"""),0.3333333333333333)</f>
        <v>0.3333333333</v>
      </c>
      <c r="D5984" s="8">
        <f>IFERROR(__xludf.DUMMYFUNCTION("""COMPUTED_VALUE"""),0.034)</f>
        <v>0.034</v>
      </c>
      <c r="E5984" s="8" t="str">
        <f>IFERROR(__xludf.DUMMYFUNCTION("""COMPUTED_VALUE"""),"Real")</f>
        <v>Real</v>
      </c>
      <c r="G5984" s="8">
        <f t="shared" si="1"/>
        <v>7</v>
      </c>
      <c r="H5984" s="14">
        <f t="shared" si="2"/>
        <v>8</v>
      </c>
      <c r="I5984" s="15">
        <f t="shared" si="3"/>
        <v>8</v>
      </c>
    </row>
    <row r="5985">
      <c r="A5985" s="8" t="str">
        <f>IFERROR(__xludf.DUMMYFUNCTION("IF('(INGESTA)Datos_consumo_datadis'!A5985&lt;&gt;"""",SPLIT('(INGESTA)Datos_consumo_datadis'!A:A,"",""),"""")"),"ES0031408323131005HX0F")</f>
        <v>ES0031408323131005HX0F</v>
      </c>
      <c r="B5985" s="12">
        <f>IFERROR(__xludf.DUMMYFUNCTION("""COMPUTED_VALUE"""),45115.0)</f>
        <v>45115</v>
      </c>
      <c r="C5985" s="13">
        <f>IFERROR(__xludf.DUMMYFUNCTION("""COMPUTED_VALUE"""),0.375)</f>
        <v>0.375</v>
      </c>
      <c r="D5985" s="8">
        <f>IFERROR(__xludf.DUMMYFUNCTION("""COMPUTED_VALUE"""),0.305)</f>
        <v>0.305</v>
      </c>
      <c r="E5985" s="8" t="str">
        <f>IFERROR(__xludf.DUMMYFUNCTION("""COMPUTED_VALUE"""),"Real")</f>
        <v>Real</v>
      </c>
      <c r="G5985" s="8">
        <f t="shared" si="1"/>
        <v>7</v>
      </c>
      <c r="H5985" s="14">
        <f t="shared" si="2"/>
        <v>8</v>
      </c>
      <c r="I5985" s="15">
        <f t="shared" si="3"/>
        <v>9</v>
      </c>
    </row>
    <row r="5986">
      <c r="A5986" s="8" t="str">
        <f>IFERROR(__xludf.DUMMYFUNCTION("IF('(INGESTA)Datos_consumo_datadis'!A5986&lt;&gt;"""",SPLIT('(INGESTA)Datos_consumo_datadis'!A:A,"",""),"""")"),"ES0031408323131005HX0F")</f>
        <v>ES0031408323131005HX0F</v>
      </c>
      <c r="B5986" s="12">
        <f>IFERROR(__xludf.DUMMYFUNCTION("""COMPUTED_VALUE"""),45115.0)</f>
        <v>45115</v>
      </c>
      <c r="C5986" s="13">
        <f>IFERROR(__xludf.DUMMYFUNCTION("""COMPUTED_VALUE"""),0.4166666666666667)</f>
        <v>0.4166666667</v>
      </c>
      <c r="D5986" s="8">
        <f>IFERROR(__xludf.DUMMYFUNCTION("""COMPUTED_VALUE"""),0.115)</f>
        <v>0.115</v>
      </c>
      <c r="E5986" s="8" t="str">
        <f>IFERROR(__xludf.DUMMYFUNCTION("""COMPUTED_VALUE"""),"Real")</f>
        <v>Real</v>
      </c>
      <c r="G5986" s="8">
        <f t="shared" si="1"/>
        <v>7</v>
      </c>
      <c r="H5986" s="14">
        <f t="shared" si="2"/>
        <v>8</v>
      </c>
      <c r="I5986" s="15">
        <f t="shared" si="3"/>
        <v>10</v>
      </c>
    </row>
    <row r="5987">
      <c r="A5987" s="8" t="str">
        <f>IFERROR(__xludf.DUMMYFUNCTION("IF('(INGESTA)Datos_consumo_datadis'!A5987&lt;&gt;"""",SPLIT('(INGESTA)Datos_consumo_datadis'!A:A,"",""),"""")"),"ES0031408323131005HX0F")</f>
        <v>ES0031408323131005HX0F</v>
      </c>
      <c r="B5987" s="12">
        <f>IFERROR(__xludf.DUMMYFUNCTION("""COMPUTED_VALUE"""),45115.0)</f>
        <v>45115</v>
      </c>
      <c r="C5987" s="13">
        <f>IFERROR(__xludf.DUMMYFUNCTION("""COMPUTED_VALUE"""),0.4583333333333333)</f>
        <v>0.4583333333</v>
      </c>
      <c r="D5987" s="8">
        <f>IFERROR(__xludf.DUMMYFUNCTION("""COMPUTED_VALUE"""),0.085)</f>
        <v>0.085</v>
      </c>
      <c r="E5987" s="8" t="str">
        <f>IFERROR(__xludf.DUMMYFUNCTION("""COMPUTED_VALUE"""),"Real")</f>
        <v>Real</v>
      </c>
      <c r="G5987" s="8">
        <f t="shared" si="1"/>
        <v>7</v>
      </c>
      <c r="H5987" s="14">
        <f t="shared" si="2"/>
        <v>8</v>
      </c>
      <c r="I5987" s="15">
        <f t="shared" si="3"/>
        <v>11</v>
      </c>
    </row>
    <row r="5988">
      <c r="A5988" s="8" t="str">
        <f>IFERROR(__xludf.DUMMYFUNCTION("IF('(INGESTA)Datos_consumo_datadis'!A5988&lt;&gt;"""",SPLIT('(INGESTA)Datos_consumo_datadis'!A:A,"",""),"""")"),"ES0031408323131005HX0F")</f>
        <v>ES0031408323131005HX0F</v>
      </c>
      <c r="B5988" s="12">
        <f>IFERROR(__xludf.DUMMYFUNCTION("""COMPUTED_VALUE"""),45115.0)</f>
        <v>45115</v>
      </c>
      <c r="C5988" s="13">
        <f>IFERROR(__xludf.DUMMYFUNCTION("""COMPUTED_VALUE"""),0.5)</f>
        <v>0.5</v>
      </c>
      <c r="D5988" s="8">
        <f>IFERROR(__xludf.DUMMYFUNCTION("""COMPUTED_VALUE"""),0.066)</f>
        <v>0.066</v>
      </c>
      <c r="E5988" s="8" t="str">
        <f>IFERROR(__xludf.DUMMYFUNCTION("""COMPUTED_VALUE"""),"Real")</f>
        <v>Real</v>
      </c>
      <c r="G5988" s="8">
        <f t="shared" si="1"/>
        <v>7</v>
      </c>
      <c r="H5988" s="14">
        <f t="shared" si="2"/>
        <v>8</v>
      </c>
      <c r="I5988" s="15">
        <f t="shared" si="3"/>
        <v>12</v>
      </c>
    </row>
    <row r="5989">
      <c r="A5989" s="8" t="str">
        <f>IFERROR(__xludf.DUMMYFUNCTION("IF('(INGESTA)Datos_consumo_datadis'!A5989&lt;&gt;"""",SPLIT('(INGESTA)Datos_consumo_datadis'!A:A,"",""),"""")"),"ES0031408323131005HX0F")</f>
        <v>ES0031408323131005HX0F</v>
      </c>
      <c r="B5989" s="12">
        <f>IFERROR(__xludf.DUMMYFUNCTION("""COMPUTED_VALUE"""),45115.0)</f>
        <v>45115</v>
      </c>
      <c r="C5989" s="13">
        <f>IFERROR(__xludf.DUMMYFUNCTION("""COMPUTED_VALUE"""),0.5416666666666666)</f>
        <v>0.5416666667</v>
      </c>
      <c r="D5989" s="8">
        <f>IFERROR(__xludf.DUMMYFUNCTION("""COMPUTED_VALUE"""),0.01)</f>
        <v>0.01</v>
      </c>
      <c r="E5989" s="8" t="str">
        <f>IFERROR(__xludf.DUMMYFUNCTION("""COMPUTED_VALUE"""),"Real")</f>
        <v>Real</v>
      </c>
      <c r="G5989" s="8">
        <f t="shared" si="1"/>
        <v>7</v>
      </c>
      <c r="H5989" s="14">
        <f t="shared" si="2"/>
        <v>8</v>
      </c>
      <c r="I5989" s="15">
        <f t="shared" si="3"/>
        <v>13</v>
      </c>
    </row>
    <row r="5990">
      <c r="A5990" s="8" t="str">
        <f>IFERROR(__xludf.DUMMYFUNCTION("IF('(INGESTA)Datos_consumo_datadis'!A5990&lt;&gt;"""",SPLIT('(INGESTA)Datos_consumo_datadis'!A:A,"",""),"""")"),"ES0031408323131005HX0F")</f>
        <v>ES0031408323131005HX0F</v>
      </c>
      <c r="B5990" s="12">
        <f>IFERROR(__xludf.DUMMYFUNCTION("""COMPUTED_VALUE"""),45115.0)</f>
        <v>45115</v>
      </c>
      <c r="C5990" s="13">
        <f>IFERROR(__xludf.DUMMYFUNCTION("""COMPUTED_VALUE"""),0.5833333333333334)</f>
        <v>0.5833333333</v>
      </c>
      <c r="D5990" s="8">
        <f>IFERROR(__xludf.DUMMYFUNCTION("""COMPUTED_VALUE"""),0.071)</f>
        <v>0.071</v>
      </c>
      <c r="E5990" s="8" t="str">
        <f>IFERROR(__xludf.DUMMYFUNCTION("""COMPUTED_VALUE"""),"Real")</f>
        <v>Real</v>
      </c>
      <c r="G5990" s="8">
        <f t="shared" si="1"/>
        <v>7</v>
      </c>
      <c r="H5990" s="14">
        <f t="shared" si="2"/>
        <v>8</v>
      </c>
      <c r="I5990" s="15">
        <f t="shared" si="3"/>
        <v>14</v>
      </c>
    </row>
    <row r="5991">
      <c r="A5991" s="8" t="str">
        <f>IFERROR(__xludf.DUMMYFUNCTION("IF('(INGESTA)Datos_consumo_datadis'!A5991&lt;&gt;"""",SPLIT('(INGESTA)Datos_consumo_datadis'!A:A,"",""),"""")"),"ES0031408323131005HX0F")</f>
        <v>ES0031408323131005HX0F</v>
      </c>
      <c r="B5991" s="12">
        <f>IFERROR(__xludf.DUMMYFUNCTION("""COMPUTED_VALUE"""),45115.0)</f>
        <v>45115</v>
      </c>
      <c r="C5991" s="13">
        <f>IFERROR(__xludf.DUMMYFUNCTION("""COMPUTED_VALUE"""),0.625)</f>
        <v>0.625</v>
      </c>
      <c r="D5991" s="8">
        <f>IFERROR(__xludf.DUMMYFUNCTION("""COMPUTED_VALUE"""),0.111)</f>
        <v>0.111</v>
      </c>
      <c r="E5991" s="8" t="str">
        <f>IFERROR(__xludf.DUMMYFUNCTION("""COMPUTED_VALUE"""),"Real")</f>
        <v>Real</v>
      </c>
      <c r="G5991" s="8">
        <f t="shared" si="1"/>
        <v>7</v>
      </c>
      <c r="H5991" s="14">
        <f t="shared" si="2"/>
        <v>8</v>
      </c>
      <c r="I5991" s="15">
        <f t="shared" si="3"/>
        <v>15</v>
      </c>
    </row>
    <row r="5992">
      <c r="A5992" s="8" t="str">
        <f>IFERROR(__xludf.DUMMYFUNCTION("IF('(INGESTA)Datos_consumo_datadis'!A5992&lt;&gt;"""",SPLIT('(INGESTA)Datos_consumo_datadis'!A:A,"",""),"""")"),"ES0031408323131005HX0F")</f>
        <v>ES0031408323131005HX0F</v>
      </c>
      <c r="B5992" s="12">
        <f>IFERROR(__xludf.DUMMYFUNCTION("""COMPUTED_VALUE"""),45115.0)</f>
        <v>45115</v>
      </c>
      <c r="C5992" s="13">
        <f>IFERROR(__xludf.DUMMYFUNCTION("""COMPUTED_VALUE"""),0.6666666666666666)</f>
        <v>0.6666666667</v>
      </c>
      <c r="D5992" s="8">
        <f>IFERROR(__xludf.DUMMYFUNCTION("""COMPUTED_VALUE"""),0.066)</f>
        <v>0.066</v>
      </c>
      <c r="E5992" s="8" t="str">
        <f>IFERROR(__xludf.DUMMYFUNCTION("""COMPUTED_VALUE"""),"Real")</f>
        <v>Real</v>
      </c>
      <c r="G5992" s="8">
        <f t="shared" si="1"/>
        <v>7</v>
      </c>
      <c r="H5992" s="14">
        <f t="shared" si="2"/>
        <v>8</v>
      </c>
      <c r="I5992" s="15">
        <f t="shared" si="3"/>
        <v>16</v>
      </c>
    </row>
    <row r="5993">
      <c r="A5993" s="8" t="str">
        <f>IFERROR(__xludf.DUMMYFUNCTION("IF('(INGESTA)Datos_consumo_datadis'!A5993&lt;&gt;"""",SPLIT('(INGESTA)Datos_consumo_datadis'!A:A,"",""),"""")"),"ES0031408323131005HX0F")</f>
        <v>ES0031408323131005HX0F</v>
      </c>
      <c r="B5993" s="12">
        <f>IFERROR(__xludf.DUMMYFUNCTION("""COMPUTED_VALUE"""),45115.0)</f>
        <v>45115</v>
      </c>
      <c r="C5993" s="13">
        <f>IFERROR(__xludf.DUMMYFUNCTION("""COMPUTED_VALUE"""),0.7083333333333334)</f>
        <v>0.7083333333</v>
      </c>
      <c r="D5993" s="8">
        <f>IFERROR(__xludf.DUMMYFUNCTION("""COMPUTED_VALUE"""),0.202)</f>
        <v>0.202</v>
      </c>
      <c r="E5993" s="8" t="str">
        <f>IFERROR(__xludf.DUMMYFUNCTION("""COMPUTED_VALUE"""),"Real")</f>
        <v>Real</v>
      </c>
      <c r="G5993" s="8">
        <f t="shared" si="1"/>
        <v>7</v>
      </c>
      <c r="H5993" s="14">
        <f t="shared" si="2"/>
        <v>8</v>
      </c>
      <c r="I5993" s="15">
        <f t="shared" si="3"/>
        <v>17</v>
      </c>
    </row>
    <row r="5994">
      <c r="A5994" s="8" t="str">
        <f>IFERROR(__xludf.DUMMYFUNCTION("IF('(INGESTA)Datos_consumo_datadis'!A5994&lt;&gt;"""",SPLIT('(INGESTA)Datos_consumo_datadis'!A:A,"",""),"""")"),"ES0031408323131005HX0F")</f>
        <v>ES0031408323131005HX0F</v>
      </c>
      <c r="B5994" s="12">
        <f>IFERROR(__xludf.DUMMYFUNCTION("""COMPUTED_VALUE"""),45115.0)</f>
        <v>45115</v>
      </c>
      <c r="C5994" s="13">
        <f>IFERROR(__xludf.DUMMYFUNCTION("""COMPUTED_VALUE"""),0.75)</f>
        <v>0.75</v>
      </c>
      <c r="D5994" s="8">
        <f>IFERROR(__xludf.DUMMYFUNCTION("""COMPUTED_VALUE"""),0.123)</f>
        <v>0.123</v>
      </c>
      <c r="E5994" s="8" t="str">
        <f>IFERROR(__xludf.DUMMYFUNCTION("""COMPUTED_VALUE"""),"Real")</f>
        <v>Real</v>
      </c>
      <c r="G5994" s="8">
        <f t="shared" si="1"/>
        <v>7</v>
      </c>
      <c r="H5994" s="14">
        <f t="shared" si="2"/>
        <v>8</v>
      </c>
      <c r="I5994" s="15">
        <f t="shared" si="3"/>
        <v>18</v>
      </c>
    </row>
    <row r="5995">
      <c r="A5995" s="8" t="str">
        <f>IFERROR(__xludf.DUMMYFUNCTION("IF('(INGESTA)Datos_consumo_datadis'!A5995&lt;&gt;"""",SPLIT('(INGESTA)Datos_consumo_datadis'!A:A,"",""),"""")"),"ES0031408323131005HX0F")</f>
        <v>ES0031408323131005HX0F</v>
      </c>
      <c r="B5995" s="12">
        <f>IFERROR(__xludf.DUMMYFUNCTION("""COMPUTED_VALUE"""),45115.0)</f>
        <v>45115</v>
      </c>
      <c r="C5995" s="13">
        <f>IFERROR(__xludf.DUMMYFUNCTION("""COMPUTED_VALUE"""),0.7916666666666666)</f>
        <v>0.7916666667</v>
      </c>
      <c r="D5995" s="8">
        <f>IFERROR(__xludf.DUMMYFUNCTION("""COMPUTED_VALUE"""),0.127)</f>
        <v>0.127</v>
      </c>
      <c r="E5995" s="8" t="str">
        <f>IFERROR(__xludf.DUMMYFUNCTION("""COMPUTED_VALUE"""),"Real")</f>
        <v>Real</v>
      </c>
      <c r="G5995" s="8">
        <f t="shared" si="1"/>
        <v>7</v>
      </c>
      <c r="H5995" s="14">
        <f t="shared" si="2"/>
        <v>8</v>
      </c>
      <c r="I5995" s="15">
        <f t="shared" si="3"/>
        <v>19</v>
      </c>
    </row>
    <row r="5996">
      <c r="A5996" s="8" t="str">
        <f>IFERROR(__xludf.DUMMYFUNCTION("IF('(INGESTA)Datos_consumo_datadis'!A5996&lt;&gt;"""",SPLIT('(INGESTA)Datos_consumo_datadis'!A:A,"",""),"""")"),"ES0031408323131005HX0F")</f>
        <v>ES0031408323131005HX0F</v>
      </c>
      <c r="B5996" s="12">
        <f>IFERROR(__xludf.DUMMYFUNCTION("""COMPUTED_VALUE"""),45115.0)</f>
        <v>45115</v>
      </c>
      <c r="C5996" s="13">
        <f>IFERROR(__xludf.DUMMYFUNCTION("""COMPUTED_VALUE"""),0.8333333333333334)</f>
        <v>0.8333333333</v>
      </c>
      <c r="D5996" s="8">
        <f>IFERROR(__xludf.DUMMYFUNCTION("""COMPUTED_VALUE"""),0.104)</f>
        <v>0.104</v>
      </c>
      <c r="E5996" s="8" t="str">
        <f>IFERROR(__xludf.DUMMYFUNCTION("""COMPUTED_VALUE"""),"Real")</f>
        <v>Real</v>
      </c>
      <c r="G5996" s="8">
        <f t="shared" si="1"/>
        <v>7</v>
      </c>
      <c r="H5996" s="14">
        <f t="shared" si="2"/>
        <v>8</v>
      </c>
      <c r="I5996" s="15">
        <f t="shared" si="3"/>
        <v>20</v>
      </c>
    </row>
    <row r="5997">
      <c r="A5997" s="8" t="str">
        <f>IFERROR(__xludf.DUMMYFUNCTION("IF('(INGESTA)Datos_consumo_datadis'!A5997&lt;&gt;"""",SPLIT('(INGESTA)Datos_consumo_datadis'!A:A,"",""),"""")"),"ES0031408323131005HX0F")</f>
        <v>ES0031408323131005HX0F</v>
      </c>
      <c r="B5997" s="12">
        <f>IFERROR(__xludf.DUMMYFUNCTION("""COMPUTED_VALUE"""),45115.0)</f>
        <v>45115</v>
      </c>
      <c r="C5997" s="13">
        <f>IFERROR(__xludf.DUMMYFUNCTION("""COMPUTED_VALUE"""),0.875)</f>
        <v>0.875</v>
      </c>
      <c r="D5997" s="8">
        <f>IFERROR(__xludf.DUMMYFUNCTION("""COMPUTED_VALUE"""),0.077)</f>
        <v>0.077</v>
      </c>
      <c r="E5997" s="8" t="str">
        <f>IFERROR(__xludf.DUMMYFUNCTION("""COMPUTED_VALUE"""),"Real")</f>
        <v>Real</v>
      </c>
      <c r="G5997" s="8">
        <f t="shared" si="1"/>
        <v>7</v>
      </c>
      <c r="H5997" s="14">
        <f t="shared" si="2"/>
        <v>8</v>
      </c>
      <c r="I5997" s="15">
        <f t="shared" si="3"/>
        <v>21</v>
      </c>
    </row>
    <row r="5998">
      <c r="A5998" s="8" t="str">
        <f>IFERROR(__xludf.DUMMYFUNCTION("IF('(INGESTA)Datos_consumo_datadis'!A5998&lt;&gt;"""",SPLIT('(INGESTA)Datos_consumo_datadis'!A:A,"",""),"""")"),"ES0031408323131005HX0F")</f>
        <v>ES0031408323131005HX0F</v>
      </c>
      <c r="B5998" s="12">
        <f>IFERROR(__xludf.DUMMYFUNCTION("""COMPUTED_VALUE"""),45115.0)</f>
        <v>45115</v>
      </c>
      <c r="C5998" s="13">
        <f>IFERROR(__xludf.DUMMYFUNCTION("""COMPUTED_VALUE"""),0.9166666666666666)</f>
        <v>0.9166666667</v>
      </c>
      <c r="D5998" s="8">
        <f>IFERROR(__xludf.DUMMYFUNCTION("""COMPUTED_VALUE"""),0.009)</f>
        <v>0.009</v>
      </c>
      <c r="E5998" s="8" t="str">
        <f>IFERROR(__xludf.DUMMYFUNCTION("""COMPUTED_VALUE"""),"Real")</f>
        <v>Real</v>
      </c>
      <c r="G5998" s="8">
        <f t="shared" si="1"/>
        <v>7</v>
      </c>
      <c r="H5998" s="14">
        <f t="shared" si="2"/>
        <v>8</v>
      </c>
      <c r="I5998" s="15">
        <f t="shared" si="3"/>
        <v>22</v>
      </c>
    </row>
    <row r="5999">
      <c r="A5999" s="8" t="str">
        <f>IFERROR(__xludf.DUMMYFUNCTION("IF('(INGESTA)Datos_consumo_datadis'!A5999&lt;&gt;"""",SPLIT('(INGESTA)Datos_consumo_datadis'!A:A,"",""),"""")"),"ES0031408323131005HX0F")</f>
        <v>ES0031408323131005HX0F</v>
      </c>
      <c r="B5999" s="12">
        <f>IFERROR(__xludf.DUMMYFUNCTION("""COMPUTED_VALUE"""),45115.0)</f>
        <v>45115</v>
      </c>
      <c r="C5999" s="13">
        <f>IFERROR(__xludf.DUMMYFUNCTION("""COMPUTED_VALUE"""),0.9583333333333334)</f>
        <v>0.9583333333</v>
      </c>
      <c r="D5999" s="8">
        <f>IFERROR(__xludf.DUMMYFUNCTION("""COMPUTED_VALUE"""),0.061)</f>
        <v>0.061</v>
      </c>
      <c r="E5999" s="8" t="str">
        <f>IFERROR(__xludf.DUMMYFUNCTION("""COMPUTED_VALUE"""),"Real")</f>
        <v>Real</v>
      </c>
      <c r="G5999" s="8">
        <f t="shared" si="1"/>
        <v>7</v>
      </c>
      <c r="H5999" s="14">
        <f t="shared" si="2"/>
        <v>8</v>
      </c>
      <c r="I5999" s="15">
        <f t="shared" si="3"/>
        <v>23</v>
      </c>
    </row>
    <row r="6000">
      <c r="A6000" s="8" t="str">
        <f>IFERROR(__xludf.DUMMYFUNCTION("IF('(INGESTA)Datos_consumo_datadis'!A6000&lt;&gt;"""",SPLIT('(INGESTA)Datos_consumo_datadis'!A:A,"",""),"""")"),"ES0031408323131005HX0F")</f>
        <v>ES0031408323131005HX0F</v>
      </c>
      <c r="B6000" s="12">
        <f>IFERROR(__xludf.DUMMYFUNCTION("""COMPUTED_VALUE"""),45115.0)</f>
        <v>45115</v>
      </c>
      <c r="C6000" s="16">
        <f>IFERROR(__xludf.DUMMYFUNCTION("""COMPUTED_VALUE"""),1.0)</f>
        <v>1</v>
      </c>
      <c r="D6000" s="8">
        <f>IFERROR(__xludf.DUMMYFUNCTION("""COMPUTED_VALUE"""),0.114)</f>
        <v>0.114</v>
      </c>
      <c r="E6000" s="8" t="str">
        <f>IFERROR(__xludf.DUMMYFUNCTION("""COMPUTED_VALUE"""),"Real")</f>
        <v>Real</v>
      </c>
      <c r="G6000" s="8">
        <f t="shared" si="1"/>
        <v>7</v>
      </c>
      <c r="H6000" s="14">
        <f t="shared" si="2"/>
        <v>8</v>
      </c>
      <c r="I6000" s="15">
        <f t="shared" si="3"/>
        <v>0</v>
      </c>
    </row>
    <row r="6001">
      <c r="A6001" s="8" t="str">
        <f>IFERROR(__xludf.DUMMYFUNCTION("IF('(INGESTA)Datos_consumo_datadis'!A6001&lt;&gt;"""",SPLIT('(INGESTA)Datos_consumo_datadis'!A:A,"",""),"""")"),"ES0031408323131005HX0F")</f>
        <v>ES0031408323131005HX0F</v>
      </c>
      <c r="B6001" s="12">
        <f>IFERROR(__xludf.DUMMYFUNCTION("""COMPUTED_VALUE"""),45116.0)</f>
        <v>45116</v>
      </c>
      <c r="C6001" s="13">
        <f>IFERROR(__xludf.DUMMYFUNCTION("""COMPUTED_VALUE"""),0.041666666666666664)</f>
        <v>0.04166666667</v>
      </c>
      <c r="D6001" s="8">
        <f>IFERROR(__xludf.DUMMYFUNCTION("""COMPUTED_VALUE"""),0.349)</f>
        <v>0.349</v>
      </c>
      <c r="E6001" s="8" t="str">
        <f>IFERROR(__xludf.DUMMYFUNCTION("""COMPUTED_VALUE"""),"Real")</f>
        <v>Real</v>
      </c>
      <c r="G6001" s="8">
        <f t="shared" si="1"/>
        <v>7</v>
      </c>
      <c r="H6001" s="14">
        <f t="shared" si="2"/>
        <v>9</v>
      </c>
      <c r="I6001" s="15">
        <f t="shared" si="3"/>
        <v>1</v>
      </c>
    </row>
    <row r="6002">
      <c r="A6002" s="8" t="str">
        <f>IFERROR(__xludf.DUMMYFUNCTION("IF('(INGESTA)Datos_consumo_datadis'!A6002&lt;&gt;"""",SPLIT('(INGESTA)Datos_consumo_datadis'!A:A,"",""),"""")"),"ES0031408323131005HX0F")</f>
        <v>ES0031408323131005HX0F</v>
      </c>
      <c r="B6002" s="12">
        <f>IFERROR(__xludf.DUMMYFUNCTION("""COMPUTED_VALUE"""),45116.0)</f>
        <v>45116</v>
      </c>
      <c r="C6002" s="13">
        <f>IFERROR(__xludf.DUMMYFUNCTION("""COMPUTED_VALUE"""),0.08333333333333333)</f>
        <v>0.08333333333</v>
      </c>
      <c r="D6002" s="8">
        <f>IFERROR(__xludf.DUMMYFUNCTION("""COMPUTED_VALUE"""),0.049)</f>
        <v>0.049</v>
      </c>
      <c r="E6002" s="8" t="str">
        <f>IFERROR(__xludf.DUMMYFUNCTION("""COMPUTED_VALUE"""),"Real")</f>
        <v>Real</v>
      </c>
      <c r="G6002" s="8">
        <f t="shared" si="1"/>
        <v>7</v>
      </c>
      <c r="H6002" s="14">
        <f t="shared" si="2"/>
        <v>9</v>
      </c>
      <c r="I6002" s="15">
        <f t="shared" si="3"/>
        <v>2</v>
      </c>
    </row>
    <row r="6003">
      <c r="A6003" s="8" t="str">
        <f>IFERROR(__xludf.DUMMYFUNCTION("IF('(INGESTA)Datos_consumo_datadis'!A6003&lt;&gt;"""",SPLIT('(INGESTA)Datos_consumo_datadis'!A:A,"",""),"""")"),"ES0031408323131005HX0F")</f>
        <v>ES0031408323131005HX0F</v>
      </c>
      <c r="B6003" s="12">
        <f>IFERROR(__xludf.DUMMYFUNCTION("""COMPUTED_VALUE"""),45116.0)</f>
        <v>45116</v>
      </c>
      <c r="C6003" s="13">
        <f>IFERROR(__xludf.DUMMYFUNCTION("""COMPUTED_VALUE"""),0.125)</f>
        <v>0.125</v>
      </c>
      <c r="D6003" s="8">
        <f>IFERROR(__xludf.DUMMYFUNCTION("""COMPUTED_VALUE"""),0.028)</f>
        <v>0.028</v>
      </c>
      <c r="E6003" s="8" t="str">
        <f>IFERROR(__xludf.DUMMYFUNCTION("""COMPUTED_VALUE"""),"Real")</f>
        <v>Real</v>
      </c>
      <c r="G6003" s="8">
        <f t="shared" si="1"/>
        <v>7</v>
      </c>
      <c r="H6003" s="14">
        <f t="shared" si="2"/>
        <v>9</v>
      </c>
      <c r="I6003" s="15">
        <f t="shared" si="3"/>
        <v>3</v>
      </c>
    </row>
    <row r="6004">
      <c r="A6004" s="8" t="str">
        <f>IFERROR(__xludf.DUMMYFUNCTION("IF('(INGESTA)Datos_consumo_datadis'!A6004&lt;&gt;"""",SPLIT('(INGESTA)Datos_consumo_datadis'!A:A,"",""),"""")"),"ES0031408323131005HX0F")</f>
        <v>ES0031408323131005HX0F</v>
      </c>
      <c r="B6004" s="12">
        <f>IFERROR(__xludf.DUMMYFUNCTION("""COMPUTED_VALUE"""),45116.0)</f>
        <v>45116</v>
      </c>
      <c r="C6004" s="13">
        <f>IFERROR(__xludf.DUMMYFUNCTION("""COMPUTED_VALUE"""),0.16666666666666666)</f>
        <v>0.1666666667</v>
      </c>
      <c r="D6004" s="8">
        <f>IFERROR(__xludf.DUMMYFUNCTION("""COMPUTED_VALUE"""),0.117)</f>
        <v>0.117</v>
      </c>
      <c r="E6004" s="8" t="str">
        <f>IFERROR(__xludf.DUMMYFUNCTION("""COMPUTED_VALUE"""),"Real")</f>
        <v>Real</v>
      </c>
      <c r="G6004" s="8">
        <f t="shared" si="1"/>
        <v>7</v>
      </c>
      <c r="H6004" s="14">
        <f t="shared" si="2"/>
        <v>9</v>
      </c>
      <c r="I6004" s="15">
        <f t="shared" si="3"/>
        <v>4</v>
      </c>
    </row>
    <row r="6005">
      <c r="A6005" s="8" t="str">
        <f>IFERROR(__xludf.DUMMYFUNCTION("IF('(INGESTA)Datos_consumo_datadis'!A6005&lt;&gt;"""",SPLIT('(INGESTA)Datos_consumo_datadis'!A:A,"",""),"""")"),"ES0031408323131005HX0F")</f>
        <v>ES0031408323131005HX0F</v>
      </c>
      <c r="B6005" s="12">
        <f>IFERROR(__xludf.DUMMYFUNCTION("""COMPUTED_VALUE"""),45116.0)</f>
        <v>45116</v>
      </c>
      <c r="C6005" s="13">
        <f>IFERROR(__xludf.DUMMYFUNCTION("""COMPUTED_VALUE"""),0.20833333333333334)</f>
        <v>0.2083333333</v>
      </c>
      <c r="D6005" s="8">
        <f>IFERROR(__xludf.DUMMYFUNCTION("""COMPUTED_VALUE"""),0.088)</f>
        <v>0.088</v>
      </c>
      <c r="E6005" s="8" t="str">
        <f>IFERROR(__xludf.DUMMYFUNCTION("""COMPUTED_VALUE"""),"Real")</f>
        <v>Real</v>
      </c>
      <c r="G6005" s="8">
        <f t="shared" si="1"/>
        <v>7</v>
      </c>
      <c r="H6005" s="14">
        <f t="shared" si="2"/>
        <v>9</v>
      </c>
      <c r="I6005" s="15">
        <f t="shared" si="3"/>
        <v>5</v>
      </c>
    </row>
    <row r="6006">
      <c r="A6006" s="8" t="str">
        <f>IFERROR(__xludf.DUMMYFUNCTION("IF('(INGESTA)Datos_consumo_datadis'!A6006&lt;&gt;"""",SPLIT('(INGESTA)Datos_consumo_datadis'!A:A,"",""),"""")"),"ES0031408323131005HX0F")</f>
        <v>ES0031408323131005HX0F</v>
      </c>
      <c r="B6006" s="12">
        <f>IFERROR(__xludf.DUMMYFUNCTION("""COMPUTED_VALUE"""),45116.0)</f>
        <v>45116</v>
      </c>
      <c r="C6006" s="13">
        <f>IFERROR(__xludf.DUMMYFUNCTION("""COMPUTED_VALUE"""),0.25)</f>
        <v>0.25</v>
      </c>
      <c r="D6006" s="8">
        <f>IFERROR(__xludf.DUMMYFUNCTION("""COMPUTED_VALUE"""),0.077)</f>
        <v>0.077</v>
      </c>
      <c r="E6006" s="8" t="str">
        <f>IFERROR(__xludf.DUMMYFUNCTION("""COMPUTED_VALUE"""),"Real")</f>
        <v>Real</v>
      </c>
      <c r="G6006" s="8">
        <f t="shared" si="1"/>
        <v>7</v>
      </c>
      <c r="H6006" s="14">
        <f t="shared" si="2"/>
        <v>9</v>
      </c>
      <c r="I6006" s="15">
        <f t="shared" si="3"/>
        <v>6</v>
      </c>
    </row>
    <row r="6007">
      <c r="A6007" s="8" t="str">
        <f>IFERROR(__xludf.DUMMYFUNCTION("IF('(INGESTA)Datos_consumo_datadis'!A6007&lt;&gt;"""",SPLIT('(INGESTA)Datos_consumo_datadis'!A:A,"",""),"""")"),"ES0031408323131005HX0F")</f>
        <v>ES0031408323131005HX0F</v>
      </c>
      <c r="B6007" s="12">
        <f>IFERROR(__xludf.DUMMYFUNCTION("""COMPUTED_VALUE"""),45116.0)</f>
        <v>45116</v>
      </c>
      <c r="C6007" s="13">
        <f>IFERROR(__xludf.DUMMYFUNCTION("""COMPUTED_VALUE"""),0.2916666666666667)</f>
        <v>0.2916666667</v>
      </c>
      <c r="D6007" s="8">
        <f>IFERROR(__xludf.DUMMYFUNCTION("""COMPUTED_VALUE"""),0.01)</f>
        <v>0.01</v>
      </c>
      <c r="E6007" s="8" t="str">
        <f>IFERROR(__xludf.DUMMYFUNCTION("""COMPUTED_VALUE"""),"Real")</f>
        <v>Real</v>
      </c>
      <c r="G6007" s="8">
        <f t="shared" si="1"/>
        <v>7</v>
      </c>
      <c r="H6007" s="14">
        <f t="shared" si="2"/>
        <v>9</v>
      </c>
      <c r="I6007" s="15">
        <f t="shared" si="3"/>
        <v>7</v>
      </c>
    </row>
    <row r="6008">
      <c r="A6008" s="8" t="str">
        <f>IFERROR(__xludf.DUMMYFUNCTION("IF('(INGESTA)Datos_consumo_datadis'!A6008&lt;&gt;"""",SPLIT('(INGESTA)Datos_consumo_datadis'!A:A,"",""),"""")"),"ES0031408323131005HX0F")</f>
        <v>ES0031408323131005HX0F</v>
      </c>
      <c r="B6008" s="12">
        <f>IFERROR(__xludf.DUMMYFUNCTION("""COMPUTED_VALUE"""),45116.0)</f>
        <v>45116</v>
      </c>
      <c r="C6008" s="13">
        <f>IFERROR(__xludf.DUMMYFUNCTION("""COMPUTED_VALUE"""),0.3333333333333333)</f>
        <v>0.3333333333</v>
      </c>
      <c r="D6008" s="8">
        <f>IFERROR(__xludf.DUMMYFUNCTION("""COMPUTED_VALUE"""),0.058)</f>
        <v>0.058</v>
      </c>
      <c r="E6008" s="8" t="str">
        <f>IFERROR(__xludf.DUMMYFUNCTION("""COMPUTED_VALUE"""),"Real")</f>
        <v>Real</v>
      </c>
      <c r="G6008" s="8">
        <f t="shared" si="1"/>
        <v>7</v>
      </c>
      <c r="H6008" s="14">
        <f t="shared" si="2"/>
        <v>9</v>
      </c>
      <c r="I6008" s="15">
        <f t="shared" si="3"/>
        <v>8</v>
      </c>
    </row>
    <row r="6009">
      <c r="A6009" s="8" t="str">
        <f>IFERROR(__xludf.DUMMYFUNCTION("IF('(INGESTA)Datos_consumo_datadis'!A6009&lt;&gt;"""",SPLIT('(INGESTA)Datos_consumo_datadis'!A:A,"",""),"""")"),"ES0031408323131005HX0F")</f>
        <v>ES0031408323131005HX0F</v>
      </c>
      <c r="B6009" s="12">
        <f>IFERROR(__xludf.DUMMYFUNCTION("""COMPUTED_VALUE"""),45116.0)</f>
        <v>45116</v>
      </c>
      <c r="C6009" s="13">
        <f>IFERROR(__xludf.DUMMYFUNCTION("""COMPUTED_VALUE"""),0.375)</f>
        <v>0.375</v>
      </c>
      <c r="D6009" s="8">
        <f>IFERROR(__xludf.DUMMYFUNCTION("""COMPUTED_VALUE"""),0.235)</f>
        <v>0.235</v>
      </c>
      <c r="E6009" s="8" t="str">
        <f>IFERROR(__xludf.DUMMYFUNCTION("""COMPUTED_VALUE"""),"Real")</f>
        <v>Real</v>
      </c>
      <c r="G6009" s="8">
        <f t="shared" si="1"/>
        <v>7</v>
      </c>
      <c r="H6009" s="14">
        <f t="shared" si="2"/>
        <v>9</v>
      </c>
      <c r="I6009" s="15">
        <f t="shared" si="3"/>
        <v>9</v>
      </c>
    </row>
    <row r="6010">
      <c r="A6010" s="8" t="str">
        <f>IFERROR(__xludf.DUMMYFUNCTION("IF('(INGESTA)Datos_consumo_datadis'!A6010&lt;&gt;"""",SPLIT('(INGESTA)Datos_consumo_datadis'!A:A,"",""),"""")"),"ES0031408323131005HX0F")</f>
        <v>ES0031408323131005HX0F</v>
      </c>
      <c r="B6010" s="12">
        <f>IFERROR(__xludf.DUMMYFUNCTION("""COMPUTED_VALUE"""),45116.0)</f>
        <v>45116</v>
      </c>
      <c r="C6010" s="13">
        <f>IFERROR(__xludf.DUMMYFUNCTION("""COMPUTED_VALUE"""),0.4166666666666667)</f>
        <v>0.4166666667</v>
      </c>
      <c r="D6010" s="8">
        <f>IFERROR(__xludf.DUMMYFUNCTION("""COMPUTED_VALUE"""),0.224)</f>
        <v>0.224</v>
      </c>
      <c r="E6010" s="8" t="str">
        <f>IFERROR(__xludf.DUMMYFUNCTION("""COMPUTED_VALUE"""),"Real")</f>
        <v>Real</v>
      </c>
      <c r="G6010" s="8">
        <f t="shared" si="1"/>
        <v>7</v>
      </c>
      <c r="H6010" s="14">
        <f t="shared" si="2"/>
        <v>9</v>
      </c>
      <c r="I6010" s="15">
        <f t="shared" si="3"/>
        <v>10</v>
      </c>
    </row>
    <row r="6011">
      <c r="A6011" s="8" t="str">
        <f>IFERROR(__xludf.DUMMYFUNCTION("IF('(INGESTA)Datos_consumo_datadis'!A6011&lt;&gt;"""",SPLIT('(INGESTA)Datos_consumo_datadis'!A:A,"",""),"""")"),"ES0031408323131005HX0F")</f>
        <v>ES0031408323131005HX0F</v>
      </c>
      <c r="B6011" s="12">
        <f>IFERROR(__xludf.DUMMYFUNCTION("""COMPUTED_VALUE"""),45116.0)</f>
        <v>45116</v>
      </c>
      <c r="C6011" s="13">
        <f>IFERROR(__xludf.DUMMYFUNCTION("""COMPUTED_VALUE"""),0.4583333333333333)</f>
        <v>0.4583333333</v>
      </c>
      <c r="D6011" s="8">
        <f>IFERROR(__xludf.DUMMYFUNCTION("""COMPUTED_VALUE"""),0.047)</f>
        <v>0.047</v>
      </c>
      <c r="E6011" s="8" t="str">
        <f>IFERROR(__xludf.DUMMYFUNCTION("""COMPUTED_VALUE"""),"Real")</f>
        <v>Real</v>
      </c>
      <c r="G6011" s="8">
        <f t="shared" si="1"/>
        <v>7</v>
      </c>
      <c r="H6011" s="14">
        <f t="shared" si="2"/>
        <v>9</v>
      </c>
      <c r="I6011" s="15">
        <f t="shared" si="3"/>
        <v>11</v>
      </c>
    </row>
    <row r="6012">
      <c r="A6012" s="8" t="str">
        <f>IFERROR(__xludf.DUMMYFUNCTION("IF('(INGESTA)Datos_consumo_datadis'!A6012&lt;&gt;"""",SPLIT('(INGESTA)Datos_consumo_datadis'!A:A,"",""),"""")"),"ES0031408323131005HX0F")</f>
        <v>ES0031408323131005HX0F</v>
      </c>
      <c r="B6012" s="12">
        <f>IFERROR(__xludf.DUMMYFUNCTION("""COMPUTED_VALUE"""),45116.0)</f>
        <v>45116</v>
      </c>
      <c r="C6012" s="13">
        <f>IFERROR(__xludf.DUMMYFUNCTION("""COMPUTED_VALUE"""),0.5)</f>
        <v>0.5</v>
      </c>
      <c r="D6012" s="8">
        <f>IFERROR(__xludf.DUMMYFUNCTION("""COMPUTED_VALUE"""),0.009)</f>
        <v>0.009</v>
      </c>
      <c r="E6012" s="8" t="str">
        <f>IFERROR(__xludf.DUMMYFUNCTION("""COMPUTED_VALUE"""),"Real")</f>
        <v>Real</v>
      </c>
      <c r="G6012" s="8">
        <f t="shared" si="1"/>
        <v>7</v>
      </c>
      <c r="H6012" s="14">
        <f t="shared" si="2"/>
        <v>9</v>
      </c>
      <c r="I6012" s="15">
        <f t="shared" si="3"/>
        <v>12</v>
      </c>
    </row>
    <row r="6013">
      <c r="A6013" s="8" t="str">
        <f>IFERROR(__xludf.DUMMYFUNCTION("IF('(INGESTA)Datos_consumo_datadis'!A6013&lt;&gt;"""",SPLIT('(INGESTA)Datos_consumo_datadis'!A:A,"",""),"""")"),"ES0031408323131005HX0F")</f>
        <v>ES0031408323131005HX0F</v>
      </c>
      <c r="B6013" s="12">
        <f>IFERROR(__xludf.DUMMYFUNCTION("""COMPUTED_VALUE"""),45116.0)</f>
        <v>45116</v>
      </c>
      <c r="C6013" s="13">
        <f>IFERROR(__xludf.DUMMYFUNCTION("""COMPUTED_VALUE"""),0.5416666666666666)</f>
        <v>0.5416666667</v>
      </c>
      <c r="D6013" s="8">
        <f>IFERROR(__xludf.DUMMYFUNCTION("""COMPUTED_VALUE"""),0.112)</f>
        <v>0.112</v>
      </c>
      <c r="E6013" s="8" t="str">
        <f>IFERROR(__xludf.DUMMYFUNCTION("""COMPUTED_VALUE"""),"Real")</f>
        <v>Real</v>
      </c>
      <c r="G6013" s="8">
        <f t="shared" si="1"/>
        <v>7</v>
      </c>
      <c r="H6013" s="14">
        <f t="shared" si="2"/>
        <v>9</v>
      </c>
      <c r="I6013" s="15">
        <f t="shared" si="3"/>
        <v>13</v>
      </c>
    </row>
    <row r="6014">
      <c r="A6014" s="8" t="str">
        <f>IFERROR(__xludf.DUMMYFUNCTION("IF('(INGESTA)Datos_consumo_datadis'!A6014&lt;&gt;"""",SPLIT('(INGESTA)Datos_consumo_datadis'!A:A,"",""),"""")"),"ES0031408323131005HX0F")</f>
        <v>ES0031408323131005HX0F</v>
      </c>
      <c r="B6014" s="12">
        <f>IFERROR(__xludf.DUMMYFUNCTION("""COMPUTED_VALUE"""),45116.0)</f>
        <v>45116</v>
      </c>
      <c r="C6014" s="13">
        <f>IFERROR(__xludf.DUMMYFUNCTION("""COMPUTED_VALUE"""),0.5833333333333334)</f>
        <v>0.5833333333</v>
      </c>
      <c r="D6014" s="8">
        <f>IFERROR(__xludf.DUMMYFUNCTION("""COMPUTED_VALUE"""),0.085)</f>
        <v>0.085</v>
      </c>
      <c r="E6014" s="8" t="str">
        <f>IFERROR(__xludf.DUMMYFUNCTION("""COMPUTED_VALUE"""),"Real")</f>
        <v>Real</v>
      </c>
      <c r="G6014" s="8">
        <f t="shared" si="1"/>
        <v>7</v>
      </c>
      <c r="H6014" s="14">
        <f t="shared" si="2"/>
        <v>9</v>
      </c>
      <c r="I6014" s="15">
        <f t="shared" si="3"/>
        <v>14</v>
      </c>
    </row>
    <row r="6015">
      <c r="A6015" s="8" t="str">
        <f>IFERROR(__xludf.DUMMYFUNCTION("IF('(INGESTA)Datos_consumo_datadis'!A6015&lt;&gt;"""",SPLIT('(INGESTA)Datos_consumo_datadis'!A:A,"",""),"""")"),"ES0031408323131005HX0F")</f>
        <v>ES0031408323131005HX0F</v>
      </c>
      <c r="B6015" s="12">
        <f>IFERROR(__xludf.DUMMYFUNCTION("""COMPUTED_VALUE"""),45116.0)</f>
        <v>45116</v>
      </c>
      <c r="C6015" s="13">
        <f>IFERROR(__xludf.DUMMYFUNCTION("""COMPUTED_VALUE"""),0.625)</f>
        <v>0.625</v>
      </c>
      <c r="D6015" s="8">
        <f>IFERROR(__xludf.DUMMYFUNCTION("""COMPUTED_VALUE"""),0.086)</f>
        <v>0.086</v>
      </c>
      <c r="E6015" s="8" t="str">
        <f>IFERROR(__xludf.DUMMYFUNCTION("""COMPUTED_VALUE"""),"Real")</f>
        <v>Real</v>
      </c>
      <c r="G6015" s="8">
        <f t="shared" si="1"/>
        <v>7</v>
      </c>
      <c r="H6015" s="14">
        <f t="shared" si="2"/>
        <v>9</v>
      </c>
      <c r="I6015" s="15">
        <f t="shared" si="3"/>
        <v>15</v>
      </c>
    </row>
    <row r="6016">
      <c r="A6016" s="8" t="str">
        <f>IFERROR(__xludf.DUMMYFUNCTION("IF('(INGESTA)Datos_consumo_datadis'!A6016&lt;&gt;"""",SPLIT('(INGESTA)Datos_consumo_datadis'!A:A,"",""),"""")"),"ES0031408323131005HX0F")</f>
        <v>ES0031408323131005HX0F</v>
      </c>
      <c r="B6016" s="12">
        <f>IFERROR(__xludf.DUMMYFUNCTION("""COMPUTED_VALUE"""),45116.0)</f>
        <v>45116</v>
      </c>
      <c r="C6016" s="13">
        <f>IFERROR(__xludf.DUMMYFUNCTION("""COMPUTED_VALUE"""),0.6666666666666666)</f>
        <v>0.6666666667</v>
      </c>
      <c r="D6016" s="8">
        <f>IFERROR(__xludf.DUMMYFUNCTION("""COMPUTED_VALUE"""),0.009)</f>
        <v>0.009</v>
      </c>
      <c r="E6016" s="8" t="str">
        <f>IFERROR(__xludf.DUMMYFUNCTION("""COMPUTED_VALUE"""),"Real")</f>
        <v>Real</v>
      </c>
      <c r="G6016" s="8">
        <f t="shared" si="1"/>
        <v>7</v>
      </c>
      <c r="H6016" s="14">
        <f t="shared" si="2"/>
        <v>9</v>
      </c>
      <c r="I6016" s="15">
        <f t="shared" si="3"/>
        <v>16</v>
      </c>
    </row>
    <row r="6017">
      <c r="A6017" s="8" t="str">
        <f>IFERROR(__xludf.DUMMYFUNCTION("IF('(INGESTA)Datos_consumo_datadis'!A6017&lt;&gt;"""",SPLIT('(INGESTA)Datos_consumo_datadis'!A:A,"",""),"""")"),"ES0031408323131005HX0F")</f>
        <v>ES0031408323131005HX0F</v>
      </c>
      <c r="B6017" s="12">
        <f>IFERROR(__xludf.DUMMYFUNCTION("""COMPUTED_VALUE"""),45116.0)</f>
        <v>45116</v>
      </c>
      <c r="C6017" s="13">
        <f>IFERROR(__xludf.DUMMYFUNCTION("""COMPUTED_VALUE"""),0.7083333333333334)</f>
        <v>0.7083333333</v>
      </c>
      <c r="D6017" s="8">
        <f>IFERROR(__xludf.DUMMYFUNCTION("""COMPUTED_VALUE"""),0.066)</f>
        <v>0.066</v>
      </c>
      <c r="E6017" s="8" t="str">
        <f>IFERROR(__xludf.DUMMYFUNCTION("""COMPUTED_VALUE"""),"Real")</f>
        <v>Real</v>
      </c>
      <c r="G6017" s="8">
        <f t="shared" si="1"/>
        <v>7</v>
      </c>
      <c r="H6017" s="14">
        <f t="shared" si="2"/>
        <v>9</v>
      </c>
      <c r="I6017" s="15">
        <f t="shared" si="3"/>
        <v>17</v>
      </c>
    </row>
    <row r="6018">
      <c r="A6018" s="8" t="str">
        <f>IFERROR(__xludf.DUMMYFUNCTION("IF('(INGESTA)Datos_consumo_datadis'!A6018&lt;&gt;"""",SPLIT('(INGESTA)Datos_consumo_datadis'!A:A,"",""),"""")"),"ES0031408323131005HX0F")</f>
        <v>ES0031408323131005HX0F</v>
      </c>
      <c r="B6018" s="12">
        <f>IFERROR(__xludf.DUMMYFUNCTION("""COMPUTED_VALUE"""),45116.0)</f>
        <v>45116</v>
      </c>
      <c r="C6018" s="13">
        <f>IFERROR(__xludf.DUMMYFUNCTION("""COMPUTED_VALUE"""),0.75)</f>
        <v>0.75</v>
      </c>
      <c r="D6018" s="8">
        <f>IFERROR(__xludf.DUMMYFUNCTION("""COMPUTED_VALUE"""),0.4)</f>
        <v>0.4</v>
      </c>
      <c r="E6018" s="8" t="str">
        <f>IFERROR(__xludf.DUMMYFUNCTION("""COMPUTED_VALUE"""),"Real")</f>
        <v>Real</v>
      </c>
      <c r="G6018" s="8">
        <f t="shared" si="1"/>
        <v>7</v>
      </c>
      <c r="H6018" s="14">
        <f t="shared" si="2"/>
        <v>9</v>
      </c>
      <c r="I6018" s="15">
        <f t="shared" si="3"/>
        <v>18</v>
      </c>
    </row>
    <row r="6019">
      <c r="A6019" s="8" t="str">
        <f>IFERROR(__xludf.DUMMYFUNCTION("IF('(INGESTA)Datos_consumo_datadis'!A6019&lt;&gt;"""",SPLIT('(INGESTA)Datos_consumo_datadis'!A:A,"",""),"""")"),"ES0031408323131005HX0F")</f>
        <v>ES0031408323131005HX0F</v>
      </c>
      <c r="B6019" s="12">
        <f>IFERROR(__xludf.DUMMYFUNCTION("""COMPUTED_VALUE"""),45116.0)</f>
        <v>45116</v>
      </c>
      <c r="C6019" s="13">
        <f>IFERROR(__xludf.DUMMYFUNCTION("""COMPUTED_VALUE"""),0.7916666666666666)</f>
        <v>0.7916666667</v>
      </c>
      <c r="D6019" s="8">
        <f>IFERROR(__xludf.DUMMYFUNCTION("""COMPUTED_VALUE"""),0.089)</f>
        <v>0.089</v>
      </c>
      <c r="E6019" s="8" t="str">
        <f>IFERROR(__xludf.DUMMYFUNCTION("""COMPUTED_VALUE"""),"Real")</f>
        <v>Real</v>
      </c>
      <c r="G6019" s="8">
        <f t="shared" si="1"/>
        <v>7</v>
      </c>
      <c r="H6019" s="14">
        <f t="shared" si="2"/>
        <v>9</v>
      </c>
      <c r="I6019" s="15">
        <f t="shared" si="3"/>
        <v>19</v>
      </c>
    </row>
    <row r="6020">
      <c r="A6020" s="8" t="str">
        <f>IFERROR(__xludf.DUMMYFUNCTION("IF('(INGESTA)Datos_consumo_datadis'!A6020&lt;&gt;"""",SPLIT('(INGESTA)Datos_consumo_datadis'!A:A,"",""),"""")"),"ES0031408323131005HX0F")</f>
        <v>ES0031408323131005HX0F</v>
      </c>
      <c r="B6020" s="12">
        <f>IFERROR(__xludf.DUMMYFUNCTION("""COMPUTED_VALUE"""),45116.0)</f>
        <v>45116</v>
      </c>
      <c r="C6020" s="13">
        <f>IFERROR(__xludf.DUMMYFUNCTION("""COMPUTED_VALUE"""),0.8333333333333334)</f>
        <v>0.8333333333</v>
      </c>
      <c r="D6020" s="8">
        <f>IFERROR(__xludf.DUMMYFUNCTION("""COMPUTED_VALUE"""),0.068)</f>
        <v>0.068</v>
      </c>
      <c r="E6020" s="8" t="str">
        <f>IFERROR(__xludf.DUMMYFUNCTION("""COMPUTED_VALUE"""),"Real")</f>
        <v>Real</v>
      </c>
      <c r="G6020" s="8">
        <f t="shared" si="1"/>
        <v>7</v>
      </c>
      <c r="H6020" s="14">
        <f t="shared" si="2"/>
        <v>9</v>
      </c>
      <c r="I6020" s="15">
        <f t="shared" si="3"/>
        <v>20</v>
      </c>
    </row>
    <row r="6021">
      <c r="A6021" s="8" t="str">
        <f>IFERROR(__xludf.DUMMYFUNCTION("IF('(INGESTA)Datos_consumo_datadis'!A6021&lt;&gt;"""",SPLIT('(INGESTA)Datos_consumo_datadis'!A:A,"",""),"""")"),"ES0031408323131005HX0F")</f>
        <v>ES0031408323131005HX0F</v>
      </c>
      <c r="B6021" s="12">
        <f>IFERROR(__xludf.DUMMYFUNCTION("""COMPUTED_VALUE"""),45116.0)</f>
        <v>45116</v>
      </c>
      <c r="C6021" s="13">
        <f>IFERROR(__xludf.DUMMYFUNCTION("""COMPUTED_VALUE"""),0.875)</f>
        <v>0.875</v>
      </c>
      <c r="D6021" s="8">
        <f>IFERROR(__xludf.DUMMYFUNCTION("""COMPUTED_VALUE"""),0.009)</f>
        <v>0.009</v>
      </c>
      <c r="E6021" s="8" t="str">
        <f>IFERROR(__xludf.DUMMYFUNCTION("""COMPUTED_VALUE"""),"Real")</f>
        <v>Real</v>
      </c>
      <c r="G6021" s="8">
        <f t="shared" si="1"/>
        <v>7</v>
      </c>
      <c r="H6021" s="14">
        <f t="shared" si="2"/>
        <v>9</v>
      </c>
      <c r="I6021" s="15">
        <f t="shared" si="3"/>
        <v>21</v>
      </c>
    </row>
    <row r="6022">
      <c r="A6022" s="8" t="str">
        <f>IFERROR(__xludf.DUMMYFUNCTION("IF('(INGESTA)Datos_consumo_datadis'!A6022&lt;&gt;"""",SPLIT('(INGESTA)Datos_consumo_datadis'!A:A,"",""),"""")"),"ES0031408323131005HX0F")</f>
        <v>ES0031408323131005HX0F</v>
      </c>
      <c r="B6022" s="12">
        <f>IFERROR(__xludf.DUMMYFUNCTION("""COMPUTED_VALUE"""),45116.0)</f>
        <v>45116</v>
      </c>
      <c r="C6022" s="13">
        <f>IFERROR(__xludf.DUMMYFUNCTION("""COMPUTED_VALUE"""),0.9166666666666666)</f>
        <v>0.9166666667</v>
      </c>
      <c r="D6022" s="8">
        <f>IFERROR(__xludf.DUMMYFUNCTION("""COMPUTED_VALUE"""),0.099)</f>
        <v>0.099</v>
      </c>
      <c r="E6022" s="8" t="str">
        <f>IFERROR(__xludf.DUMMYFUNCTION("""COMPUTED_VALUE"""),"Real")</f>
        <v>Real</v>
      </c>
      <c r="G6022" s="8">
        <f t="shared" si="1"/>
        <v>7</v>
      </c>
      <c r="H6022" s="14">
        <f t="shared" si="2"/>
        <v>9</v>
      </c>
      <c r="I6022" s="15">
        <f t="shared" si="3"/>
        <v>22</v>
      </c>
    </row>
    <row r="6023">
      <c r="A6023" s="8" t="str">
        <f>IFERROR(__xludf.DUMMYFUNCTION("IF('(INGESTA)Datos_consumo_datadis'!A6023&lt;&gt;"""",SPLIT('(INGESTA)Datos_consumo_datadis'!A:A,"",""),"""")"),"ES0031408323131005HX0F")</f>
        <v>ES0031408323131005HX0F</v>
      </c>
      <c r="B6023" s="12">
        <f>IFERROR(__xludf.DUMMYFUNCTION("""COMPUTED_VALUE"""),45116.0)</f>
        <v>45116</v>
      </c>
      <c r="C6023" s="13">
        <f>IFERROR(__xludf.DUMMYFUNCTION("""COMPUTED_VALUE"""),0.9583333333333334)</f>
        <v>0.9583333333</v>
      </c>
      <c r="D6023" s="8">
        <f>IFERROR(__xludf.DUMMYFUNCTION("""COMPUTED_VALUE"""),0.088)</f>
        <v>0.088</v>
      </c>
      <c r="E6023" s="8" t="str">
        <f>IFERROR(__xludf.DUMMYFUNCTION("""COMPUTED_VALUE"""),"Real")</f>
        <v>Real</v>
      </c>
      <c r="G6023" s="8">
        <f t="shared" si="1"/>
        <v>7</v>
      </c>
      <c r="H6023" s="14">
        <f t="shared" si="2"/>
        <v>9</v>
      </c>
      <c r="I6023" s="15">
        <f t="shared" si="3"/>
        <v>23</v>
      </c>
    </row>
    <row r="6024">
      <c r="A6024" s="8" t="str">
        <f>IFERROR(__xludf.DUMMYFUNCTION("IF('(INGESTA)Datos_consumo_datadis'!A6024&lt;&gt;"""",SPLIT('(INGESTA)Datos_consumo_datadis'!A:A,"",""),"""")"),"ES0031408323131005HX0F")</f>
        <v>ES0031408323131005HX0F</v>
      </c>
      <c r="B6024" s="12">
        <f>IFERROR(__xludf.DUMMYFUNCTION("""COMPUTED_VALUE"""),45116.0)</f>
        <v>45116</v>
      </c>
      <c r="C6024" s="16">
        <f>IFERROR(__xludf.DUMMYFUNCTION("""COMPUTED_VALUE"""),1.0)</f>
        <v>1</v>
      </c>
      <c r="D6024" s="8">
        <f>IFERROR(__xludf.DUMMYFUNCTION("""COMPUTED_VALUE"""),0.089)</f>
        <v>0.089</v>
      </c>
      <c r="E6024" s="8" t="str">
        <f>IFERROR(__xludf.DUMMYFUNCTION("""COMPUTED_VALUE"""),"Real")</f>
        <v>Real</v>
      </c>
      <c r="G6024" s="8">
        <f t="shared" si="1"/>
        <v>7</v>
      </c>
      <c r="H6024" s="14">
        <f t="shared" si="2"/>
        <v>9</v>
      </c>
      <c r="I6024" s="15">
        <f t="shared" si="3"/>
        <v>0</v>
      </c>
    </row>
    <row r="6025">
      <c r="A6025" s="8" t="str">
        <f>IFERROR(__xludf.DUMMYFUNCTION("IF('(INGESTA)Datos_consumo_datadis'!A6025&lt;&gt;"""",SPLIT('(INGESTA)Datos_consumo_datadis'!A:A,"",""),"""")"),"ES0031408323131005HX0F")</f>
        <v>ES0031408323131005HX0F</v>
      </c>
      <c r="B6025" s="12">
        <f>IFERROR(__xludf.DUMMYFUNCTION("""COMPUTED_VALUE"""),45117.0)</f>
        <v>45117</v>
      </c>
      <c r="C6025" s="13">
        <f>IFERROR(__xludf.DUMMYFUNCTION("""COMPUTED_VALUE"""),0.041666666666666664)</f>
        <v>0.04166666667</v>
      </c>
      <c r="D6025" s="8">
        <f>IFERROR(__xludf.DUMMYFUNCTION("""COMPUTED_VALUE"""),0.021)</f>
        <v>0.021</v>
      </c>
      <c r="E6025" s="8" t="str">
        <f>IFERROR(__xludf.DUMMYFUNCTION("""COMPUTED_VALUE"""),"Real")</f>
        <v>Real</v>
      </c>
      <c r="G6025" s="8">
        <f t="shared" si="1"/>
        <v>7</v>
      </c>
      <c r="H6025" s="14">
        <f t="shared" si="2"/>
        <v>10</v>
      </c>
      <c r="I6025" s="15">
        <f t="shared" si="3"/>
        <v>1</v>
      </c>
    </row>
    <row r="6026">
      <c r="A6026" s="8" t="str">
        <f>IFERROR(__xludf.DUMMYFUNCTION("IF('(INGESTA)Datos_consumo_datadis'!A6026&lt;&gt;"""",SPLIT('(INGESTA)Datos_consumo_datadis'!A:A,"",""),"""")"),"ES0031408323131005HX0F")</f>
        <v>ES0031408323131005HX0F</v>
      </c>
      <c r="B6026" s="12">
        <f>IFERROR(__xludf.DUMMYFUNCTION("""COMPUTED_VALUE"""),45117.0)</f>
        <v>45117</v>
      </c>
      <c r="C6026" s="13">
        <f>IFERROR(__xludf.DUMMYFUNCTION("""COMPUTED_VALUE"""),0.08333333333333333)</f>
        <v>0.08333333333</v>
      </c>
      <c r="D6026" s="8">
        <f>IFERROR(__xludf.DUMMYFUNCTION("""COMPUTED_VALUE"""),0.251)</f>
        <v>0.251</v>
      </c>
      <c r="E6026" s="8" t="str">
        <f>IFERROR(__xludf.DUMMYFUNCTION("""COMPUTED_VALUE"""),"Real")</f>
        <v>Real</v>
      </c>
      <c r="G6026" s="8">
        <f t="shared" si="1"/>
        <v>7</v>
      </c>
      <c r="H6026" s="14">
        <f t="shared" si="2"/>
        <v>10</v>
      </c>
      <c r="I6026" s="15">
        <f t="shared" si="3"/>
        <v>2</v>
      </c>
    </row>
    <row r="6027">
      <c r="A6027" s="8" t="str">
        <f>IFERROR(__xludf.DUMMYFUNCTION("IF('(INGESTA)Datos_consumo_datadis'!A6027&lt;&gt;"""",SPLIT('(INGESTA)Datos_consumo_datadis'!A:A,"",""),"""")"),"ES0031408323131005HX0F")</f>
        <v>ES0031408323131005HX0F</v>
      </c>
      <c r="B6027" s="12">
        <f>IFERROR(__xludf.DUMMYFUNCTION("""COMPUTED_VALUE"""),45117.0)</f>
        <v>45117</v>
      </c>
      <c r="C6027" s="13">
        <f>IFERROR(__xludf.DUMMYFUNCTION("""COMPUTED_VALUE"""),0.125)</f>
        <v>0.125</v>
      </c>
      <c r="D6027" s="8">
        <f>IFERROR(__xludf.DUMMYFUNCTION("""COMPUTED_VALUE"""),0.178)</f>
        <v>0.178</v>
      </c>
      <c r="E6027" s="8" t="str">
        <f>IFERROR(__xludf.DUMMYFUNCTION("""COMPUTED_VALUE"""),"Real")</f>
        <v>Real</v>
      </c>
      <c r="G6027" s="8">
        <f t="shared" si="1"/>
        <v>7</v>
      </c>
      <c r="H6027" s="14">
        <f t="shared" si="2"/>
        <v>10</v>
      </c>
      <c r="I6027" s="15">
        <f t="shared" si="3"/>
        <v>3</v>
      </c>
    </row>
    <row r="6028">
      <c r="A6028" s="8" t="str">
        <f>IFERROR(__xludf.DUMMYFUNCTION("IF('(INGESTA)Datos_consumo_datadis'!A6028&lt;&gt;"""",SPLIT('(INGESTA)Datos_consumo_datadis'!A:A,"",""),"""")"),"ES0031408323131005HX0F")</f>
        <v>ES0031408323131005HX0F</v>
      </c>
      <c r="B6028" s="12">
        <f>IFERROR(__xludf.DUMMYFUNCTION("""COMPUTED_VALUE"""),45117.0)</f>
        <v>45117</v>
      </c>
      <c r="C6028" s="13">
        <f>IFERROR(__xludf.DUMMYFUNCTION("""COMPUTED_VALUE"""),0.16666666666666666)</f>
        <v>0.1666666667</v>
      </c>
      <c r="D6028" s="8">
        <f>IFERROR(__xludf.DUMMYFUNCTION("""COMPUTED_VALUE"""),0.086)</f>
        <v>0.086</v>
      </c>
      <c r="E6028" s="8" t="str">
        <f>IFERROR(__xludf.DUMMYFUNCTION("""COMPUTED_VALUE"""),"Real")</f>
        <v>Real</v>
      </c>
      <c r="G6028" s="8">
        <f t="shared" si="1"/>
        <v>7</v>
      </c>
      <c r="H6028" s="14">
        <f t="shared" si="2"/>
        <v>10</v>
      </c>
      <c r="I6028" s="15">
        <f t="shared" si="3"/>
        <v>4</v>
      </c>
    </row>
    <row r="6029">
      <c r="A6029" s="8" t="str">
        <f>IFERROR(__xludf.DUMMYFUNCTION("IF('(INGESTA)Datos_consumo_datadis'!A6029&lt;&gt;"""",SPLIT('(INGESTA)Datos_consumo_datadis'!A:A,"",""),"""")"),"ES0031408323131005HX0F")</f>
        <v>ES0031408323131005HX0F</v>
      </c>
      <c r="B6029" s="12">
        <f>IFERROR(__xludf.DUMMYFUNCTION("""COMPUTED_VALUE"""),45117.0)</f>
        <v>45117</v>
      </c>
      <c r="C6029" s="13">
        <f>IFERROR(__xludf.DUMMYFUNCTION("""COMPUTED_VALUE"""),0.20833333333333334)</f>
        <v>0.2083333333</v>
      </c>
      <c r="D6029" s="8">
        <f>IFERROR(__xludf.DUMMYFUNCTION("""COMPUTED_VALUE"""),0.058)</f>
        <v>0.058</v>
      </c>
      <c r="E6029" s="8" t="str">
        <f>IFERROR(__xludf.DUMMYFUNCTION("""COMPUTED_VALUE"""),"Real")</f>
        <v>Real</v>
      </c>
      <c r="G6029" s="8">
        <f t="shared" si="1"/>
        <v>7</v>
      </c>
      <c r="H6029" s="14">
        <f t="shared" si="2"/>
        <v>10</v>
      </c>
      <c r="I6029" s="15">
        <f t="shared" si="3"/>
        <v>5</v>
      </c>
    </row>
    <row r="6030">
      <c r="A6030" s="8" t="str">
        <f>IFERROR(__xludf.DUMMYFUNCTION("IF('(INGESTA)Datos_consumo_datadis'!A6030&lt;&gt;"""",SPLIT('(INGESTA)Datos_consumo_datadis'!A:A,"",""),"""")"),"ES0031408323131005HX0F")</f>
        <v>ES0031408323131005HX0F</v>
      </c>
      <c r="B6030" s="12">
        <f>IFERROR(__xludf.DUMMYFUNCTION("""COMPUTED_VALUE"""),45117.0)</f>
        <v>45117</v>
      </c>
      <c r="C6030" s="13">
        <f>IFERROR(__xludf.DUMMYFUNCTION("""COMPUTED_VALUE"""),0.25)</f>
        <v>0.25</v>
      </c>
      <c r="D6030" s="8">
        <f>IFERROR(__xludf.DUMMYFUNCTION("""COMPUTED_VALUE"""),0.01)</f>
        <v>0.01</v>
      </c>
      <c r="E6030" s="8" t="str">
        <f>IFERROR(__xludf.DUMMYFUNCTION("""COMPUTED_VALUE"""),"Real")</f>
        <v>Real</v>
      </c>
      <c r="G6030" s="8">
        <f t="shared" si="1"/>
        <v>7</v>
      </c>
      <c r="H6030" s="14">
        <f t="shared" si="2"/>
        <v>10</v>
      </c>
      <c r="I6030" s="15">
        <f t="shared" si="3"/>
        <v>6</v>
      </c>
    </row>
    <row r="6031">
      <c r="A6031" s="8" t="str">
        <f>IFERROR(__xludf.DUMMYFUNCTION("IF('(INGESTA)Datos_consumo_datadis'!A6031&lt;&gt;"""",SPLIT('(INGESTA)Datos_consumo_datadis'!A:A,"",""),"""")"),"ES0031408323131005HX0F")</f>
        <v>ES0031408323131005HX0F</v>
      </c>
      <c r="B6031" s="12">
        <f>IFERROR(__xludf.DUMMYFUNCTION("""COMPUTED_VALUE"""),45117.0)</f>
        <v>45117</v>
      </c>
      <c r="C6031" s="13">
        <f>IFERROR(__xludf.DUMMYFUNCTION("""COMPUTED_VALUE"""),0.2916666666666667)</f>
        <v>0.2916666667</v>
      </c>
      <c r="D6031" s="8">
        <f>IFERROR(__xludf.DUMMYFUNCTION("""COMPUTED_VALUE"""),0.084)</f>
        <v>0.084</v>
      </c>
      <c r="E6031" s="8" t="str">
        <f>IFERROR(__xludf.DUMMYFUNCTION("""COMPUTED_VALUE"""),"Real")</f>
        <v>Real</v>
      </c>
      <c r="G6031" s="8">
        <f t="shared" si="1"/>
        <v>7</v>
      </c>
      <c r="H6031" s="14">
        <f t="shared" si="2"/>
        <v>10</v>
      </c>
      <c r="I6031" s="15">
        <f t="shared" si="3"/>
        <v>7</v>
      </c>
    </row>
    <row r="6032">
      <c r="A6032" s="8" t="str">
        <f>IFERROR(__xludf.DUMMYFUNCTION("IF('(INGESTA)Datos_consumo_datadis'!A6032&lt;&gt;"""",SPLIT('(INGESTA)Datos_consumo_datadis'!A:A,"",""),"""")"),"ES0031408323131005HX0F")</f>
        <v>ES0031408323131005HX0F</v>
      </c>
      <c r="B6032" s="12">
        <f>IFERROR(__xludf.DUMMYFUNCTION("""COMPUTED_VALUE"""),45117.0)</f>
        <v>45117</v>
      </c>
      <c r="C6032" s="13">
        <f>IFERROR(__xludf.DUMMYFUNCTION("""COMPUTED_VALUE"""),0.3333333333333333)</f>
        <v>0.3333333333</v>
      </c>
      <c r="D6032" s="8">
        <f>IFERROR(__xludf.DUMMYFUNCTION("""COMPUTED_VALUE"""),0.104)</f>
        <v>0.104</v>
      </c>
      <c r="E6032" s="8" t="str">
        <f>IFERROR(__xludf.DUMMYFUNCTION("""COMPUTED_VALUE"""),"Real")</f>
        <v>Real</v>
      </c>
      <c r="G6032" s="8">
        <f t="shared" si="1"/>
        <v>7</v>
      </c>
      <c r="H6032" s="14">
        <f t="shared" si="2"/>
        <v>10</v>
      </c>
      <c r="I6032" s="15">
        <f t="shared" si="3"/>
        <v>8</v>
      </c>
    </row>
    <row r="6033">
      <c r="A6033" s="8" t="str">
        <f>IFERROR(__xludf.DUMMYFUNCTION("IF('(INGESTA)Datos_consumo_datadis'!A6033&lt;&gt;"""",SPLIT('(INGESTA)Datos_consumo_datadis'!A:A,"",""),"""")"),"ES0031408323131005HX0F")</f>
        <v>ES0031408323131005HX0F</v>
      </c>
      <c r="B6033" s="12">
        <f>IFERROR(__xludf.DUMMYFUNCTION("""COMPUTED_VALUE"""),45117.0)</f>
        <v>45117</v>
      </c>
      <c r="C6033" s="13">
        <f>IFERROR(__xludf.DUMMYFUNCTION("""COMPUTED_VALUE"""),0.375)</f>
        <v>0.375</v>
      </c>
      <c r="D6033" s="8">
        <f>IFERROR(__xludf.DUMMYFUNCTION("""COMPUTED_VALUE"""),0.073)</f>
        <v>0.073</v>
      </c>
      <c r="E6033" s="8" t="str">
        <f>IFERROR(__xludf.DUMMYFUNCTION("""COMPUTED_VALUE"""),"Real")</f>
        <v>Real</v>
      </c>
      <c r="G6033" s="8">
        <f t="shared" si="1"/>
        <v>7</v>
      </c>
      <c r="H6033" s="14">
        <f t="shared" si="2"/>
        <v>10</v>
      </c>
      <c r="I6033" s="15">
        <f t="shared" si="3"/>
        <v>9</v>
      </c>
    </row>
    <row r="6034">
      <c r="A6034" s="8" t="str">
        <f>IFERROR(__xludf.DUMMYFUNCTION("IF('(INGESTA)Datos_consumo_datadis'!A6034&lt;&gt;"""",SPLIT('(INGESTA)Datos_consumo_datadis'!A:A,"",""),"""")"),"ES0031408323131005HX0F")</f>
        <v>ES0031408323131005HX0F</v>
      </c>
      <c r="B6034" s="12">
        <f>IFERROR(__xludf.DUMMYFUNCTION("""COMPUTED_VALUE"""),45117.0)</f>
        <v>45117</v>
      </c>
      <c r="C6034" s="13">
        <f>IFERROR(__xludf.DUMMYFUNCTION("""COMPUTED_VALUE"""),0.4166666666666667)</f>
        <v>0.4166666667</v>
      </c>
      <c r="D6034" s="8">
        <f>IFERROR(__xludf.DUMMYFUNCTION("""COMPUTED_VALUE"""),0.036)</f>
        <v>0.036</v>
      </c>
      <c r="E6034" s="8" t="str">
        <f>IFERROR(__xludf.DUMMYFUNCTION("""COMPUTED_VALUE"""),"Real")</f>
        <v>Real</v>
      </c>
      <c r="G6034" s="8">
        <f t="shared" si="1"/>
        <v>7</v>
      </c>
      <c r="H6034" s="14">
        <f t="shared" si="2"/>
        <v>10</v>
      </c>
      <c r="I6034" s="15">
        <f t="shared" si="3"/>
        <v>10</v>
      </c>
    </row>
    <row r="6035">
      <c r="A6035" s="8" t="str">
        <f>IFERROR(__xludf.DUMMYFUNCTION("IF('(INGESTA)Datos_consumo_datadis'!A6035&lt;&gt;"""",SPLIT('(INGESTA)Datos_consumo_datadis'!A:A,"",""),"""")"),"ES0031408323131005HX0F")</f>
        <v>ES0031408323131005HX0F</v>
      </c>
      <c r="B6035" s="12">
        <f>IFERROR(__xludf.DUMMYFUNCTION("""COMPUTED_VALUE"""),45117.0)</f>
        <v>45117</v>
      </c>
      <c r="C6035" s="13">
        <f>IFERROR(__xludf.DUMMYFUNCTION("""COMPUTED_VALUE"""),0.4583333333333333)</f>
        <v>0.4583333333</v>
      </c>
      <c r="D6035" s="8">
        <f>IFERROR(__xludf.DUMMYFUNCTION("""COMPUTED_VALUE"""),0.308)</f>
        <v>0.308</v>
      </c>
      <c r="E6035" s="8" t="str">
        <f>IFERROR(__xludf.DUMMYFUNCTION("""COMPUTED_VALUE"""),"Real")</f>
        <v>Real</v>
      </c>
      <c r="G6035" s="8">
        <f t="shared" si="1"/>
        <v>7</v>
      </c>
      <c r="H6035" s="14">
        <f t="shared" si="2"/>
        <v>10</v>
      </c>
      <c r="I6035" s="15">
        <f t="shared" si="3"/>
        <v>11</v>
      </c>
    </row>
    <row r="6036">
      <c r="A6036" s="8" t="str">
        <f>IFERROR(__xludf.DUMMYFUNCTION("IF('(INGESTA)Datos_consumo_datadis'!A6036&lt;&gt;"""",SPLIT('(INGESTA)Datos_consumo_datadis'!A:A,"",""),"""")"),"ES0031408323131005HX0F")</f>
        <v>ES0031408323131005HX0F</v>
      </c>
      <c r="B6036" s="12">
        <f>IFERROR(__xludf.DUMMYFUNCTION("""COMPUTED_VALUE"""),45117.0)</f>
        <v>45117</v>
      </c>
      <c r="C6036" s="13">
        <f>IFERROR(__xludf.DUMMYFUNCTION("""COMPUTED_VALUE"""),0.5)</f>
        <v>0.5</v>
      </c>
      <c r="D6036" s="8">
        <f>IFERROR(__xludf.DUMMYFUNCTION("""COMPUTED_VALUE"""),0.116)</f>
        <v>0.116</v>
      </c>
      <c r="E6036" s="8" t="str">
        <f>IFERROR(__xludf.DUMMYFUNCTION("""COMPUTED_VALUE"""),"Real")</f>
        <v>Real</v>
      </c>
      <c r="G6036" s="8">
        <f t="shared" si="1"/>
        <v>7</v>
      </c>
      <c r="H6036" s="14">
        <f t="shared" si="2"/>
        <v>10</v>
      </c>
      <c r="I6036" s="15">
        <f t="shared" si="3"/>
        <v>12</v>
      </c>
    </row>
    <row r="6037">
      <c r="A6037" s="8" t="str">
        <f>IFERROR(__xludf.DUMMYFUNCTION("IF('(INGESTA)Datos_consumo_datadis'!A6037&lt;&gt;"""",SPLIT('(INGESTA)Datos_consumo_datadis'!A:A,"",""),"""")"),"ES0031408323131005HX0F")</f>
        <v>ES0031408323131005HX0F</v>
      </c>
      <c r="B6037" s="12">
        <f>IFERROR(__xludf.DUMMYFUNCTION("""COMPUTED_VALUE"""),45117.0)</f>
        <v>45117</v>
      </c>
      <c r="C6037" s="13">
        <f>IFERROR(__xludf.DUMMYFUNCTION("""COMPUTED_VALUE"""),0.5416666666666666)</f>
        <v>0.5416666667</v>
      </c>
      <c r="D6037" s="8">
        <f>IFERROR(__xludf.DUMMYFUNCTION("""COMPUTED_VALUE"""),0.086)</f>
        <v>0.086</v>
      </c>
      <c r="E6037" s="8" t="str">
        <f>IFERROR(__xludf.DUMMYFUNCTION("""COMPUTED_VALUE"""),"Real")</f>
        <v>Real</v>
      </c>
      <c r="G6037" s="8">
        <f t="shared" si="1"/>
        <v>7</v>
      </c>
      <c r="H6037" s="14">
        <f t="shared" si="2"/>
        <v>10</v>
      </c>
      <c r="I6037" s="15">
        <f t="shared" si="3"/>
        <v>13</v>
      </c>
    </row>
    <row r="6038">
      <c r="A6038" s="8" t="str">
        <f>IFERROR(__xludf.DUMMYFUNCTION("IF('(INGESTA)Datos_consumo_datadis'!A6038&lt;&gt;"""",SPLIT('(INGESTA)Datos_consumo_datadis'!A:A,"",""),"""")"),"ES0031408323131005HX0F")</f>
        <v>ES0031408323131005HX0F</v>
      </c>
      <c r="B6038" s="12">
        <f>IFERROR(__xludf.DUMMYFUNCTION("""COMPUTED_VALUE"""),45117.0)</f>
        <v>45117</v>
      </c>
      <c r="C6038" s="13">
        <f>IFERROR(__xludf.DUMMYFUNCTION("""COMPUTED_VALUE"""),0.5833333333333334)</f>
        <v>0.5833333333</v>
      </c>
      <c r="D6038" s="8">
        <f>IFERROR(__xludf.DUMMYFUNCTION("""COMPUTED_VALUE"""),0.074)</f>
        <v>0.074</v>
      </c>
      <c r="E6038" s="8" t="str">
        <f>IFERROR(__xludf.DUMMYFUNCTION("""COMPUTED_VALUE"""),"Real")</f>
        <v>Real</v>
      </c>
      <c r="G6038" s="8">
        <f t="shared" si="1"/>
        <v>7</v>
      </c>
      <c r="H6038" s="14">
        <f t="shared" si="2"/>
        <v>10</v>
      </c>
      <c r="I6038" s="15">
        <f t="shared" si="3"/>
        <v>14</v>
      </c>
    </row>
    <row r="6039">
      <c r="A6039" s="8" t="str">
        <f>IFERROR(__xludf.DUMMYFUNCTION("IF('(INGESTA)Datos_consumo_datadis'!A6039&lt;&gt;"""",SPLIT('(INGESTA)Datos_consumo_datadis'!A:A,"",""),"""")"),"ES0031408323131005HX0F")</f>
        <v>ES0031408323131005HX0F</v>
      </c>
      <c r="B6039" s="12">
        <f>IFERROR(__xludf.DUMMYFUNCTION("""COMPUTED_VALUE"""),45117.0)</f>
        <v>45117</v>
      </c>
      <c r="C6039" s="13">
        <f>IFERROR(__xludf.DUMMYFUNCTION("""COMPUTED_VALUE"""),0.625)</f>
        <v>0.625</v>
      </c>
      <c r="D6039" s="8">
        <f>IFERROR(__xludf.DUMMYFUNCTION("""COMPUTED_VALUE"""),0.01)</f>
        <v>0.01</v>
      </c>
      <c r="E6039" s="8" t="str">
        <f>IFERROR(__xludf.DUMMYFUNCTION("""COMPUTED_VALUE"""),"Real")</f>
        <v>Real</v>
      </c>
      <c r="G6039" s="8">
        <f t="shared" si="1"/>
        <v>7</v>
      </c>
      <c r="H6039" s="14">
        <f t="shared" si="2"/>
        <v>10</v>
      </c>
      <c r="I6039" s="15">
        <f t="shared" si="3"/>
        <v>15</v>
      </c>
    </row>
    <row r="6040">
      <c r="A6040" s="8" t="str">
        <f>IFERROR(__xludf.DUMMYFUNCTION("IF('(INGESTA)Datos_consumo_datadis'!A6040&lt;&gt;"""",SPLIT('(INGESTA)Datos_consumo_datadis'!A:A,"",""),"""")"),"ES0031408323131005HX0F")</f>
        <v>ES0031408323131005HX0F</v>
      </c>
      <c r="B6040" s="12">
        <f>IFERROR(__xludf.DUMMYFUNCTION("""COMPUTED_VALUE"""),45117.0)</f>
        <v>45117</v>
      </c>
      <c r="C6040" s="13">
        <f>IFERROR(__xludf.DUMMYFUNCTION("""COMPUTED_VALUE"""),0.6666666666666666)</f>
        <v>0.6666666667</v>
      </c>
      <c r="D6040" s="8">
        <f>IFERROR(__xludf.DUMMYFUNCTION("""COMPUTED_VALUE"""),0.067)</f>
        <v>0.067</v>
      </c>
      <c r="E6040" s="8" t="str">
        <f>IFERROR(__xludf.DUMMYFUNCTION("""COMPUTED_VALUE"""),"Real")</f>
        <v>Real</v>
      </c>
      <c r="G6040" s="8">
        <f t="shared" si="1"/>
        <v>7</v>
      </c>
      <c r="H6040" s="14">
        <f t="shared" si="2"/>
        <v>10</v>
      </c>
      <c r="I6040" s="15">
        <f t="shared" si="3"/>
        <v>16</v>
      </c>
    </row>
    <row r="6041">
      <c r="A6041" s="8" t="str">
        <f>IFERROR(__xludf.DUMMYFUNCTION("IF('(INGESTA)Datos_consumo_datadis'!A6041&lt;&gt;"""",SPLIT('(INGESTA)Datos_consumo_datadis'!A:A,"",""),"""")"),"ES0031408323131005HX0F")</f>
        <v>ES0031408323131005HX0F</v>
      </c>
      <c r="B6041" s="12">
        <f>IFERROR(__xludf.DUMMYFUNCTION("""COMPUTED_VALUE"""),45117.0)</f>
        <v>45117</v>
      </c>
      <c r="C6041" s="13">
        <f>IFERROR(__xludf.DUMMYFUNCTION("""COMPUTED_VALUE"""),0.7083333333333334)</f>
        <v>0.7083333333</v>
      </c>
      <c r="D6041" s="8">
        <f>IFERROR(__xludf.DUMMYFUNCTION("""COMPUTED_VALUE"""),0.113)</f>
        <v>0.113</v>
      </c>
      <c r="E6041" s="8" t="str">
        <f>IFERROR(__xludf.DUMMYFUNCTION("""COMPUTED_VALUE"""),"Real")</f>
        <v>Real</v>
      </c>
      <c r="G6041" s="8">
        <f t="shared" si="1"/>
        <v>7</v>
      </c>
      <c r="H6041" s="14">
        <f t="shared" si="2"/>
        <v>10</v>
      </c>
      <c r="I6041" s="15">
        <f t="shared" si="3"/>
        <v>17</v>
      </c>
    </row>
    <row r="6042">
      <c r="A6042" s="8" t="str">
        <f>IFERROR(__xludf.DUMMYFUNCTION("IF('(INGESTA)Datos_consumo_datadis'!A6042&lt;&gt;"""",SPLIT('(INGESTA)Datos_consumo_datadis'!A:A,"",""),"""")"),"ES0031408323131005HX0F")</f>
        <v>ES0031408323131005HX0F</v>
      </c>
      <c r="B6042" s="12">
        <f>IFERROR(__xludf.DUMMYFUNCTION("""COMPUTED_VALUE"""),45117.0)</f>
        <v>45117</v>
      </c>
      <c r="C6042" s="13">
        <f>IFERROR(__xludf.DUMMYFUNCTION("""COMPUTED_VALUE"""),0.75)</f>
        <v>0.75</v>
      </c>
      <c r="D6042" s="8">
        <f>IFERROR(__xludf.DUMMYFUNCTION("""COMPUTED_VALUE"""),0.071)</f>
        <v>0.071</v>
      </c>
      <c r="E6042" s="8" t="str">
        <f>IFERROR(__xludf.DUMMYFUNCTION("""COMPUTED_VALUE"""),"Real")</f>
        <v>Real</v>
      </c>
      <c r="G6042" s="8">
        <f t="shared" si="1"/>
        <v>7</v>
      </c>
      <c r="H6042" s="14">
        <f t="shared" si="2"/>
        <v>10</v>
      </c>
      <c r="I6042" s="15">
        <f t="shared" si="3"/>
        <v>18</v>
      </c>
    </row>
    <row r="6043">
      <c r="A6043" s="8" t="str">
        <f>IFERROR(__xludf.DUMMYFUNCTION("IF('(INGESTA)Datos_consumo_datadis'!A6043&lt;&gt;"""",SPLIT('(INGESTA)Datos_consumo_datadis'!A:A,"",""),"""")"),"ES0031408323131005HX0F")</f>
        <v>ES0031408323131005HX0F</v>
      </c>
      <c r="B6043" s="12">
        <f>IFERROR(__xludf.DUMMYFUNCTION("""COMPUTED_VALUE"""),45117.0)</f>
        <v>45117</v>
      </c>
      <c r="C6043" s="13">
        <f>IFERROR(__xludf.DUMMYFUNCTION("""COMPUTED_VALUE"""),0.7916666666666666)</f>
        <v>0.7916666667</v>
      </c>
      <c r="D6043" s="8">
        <f>IFERROR(__xludf.DUMMYFUNCTION("""COMPUTED_VALUE"""),0.338)</f>
        <v>0.338</v>
      </c>
      <c r="E6043" s="8" t="str">
        <f>IFERROR(__xludf.DUMMYFUNCTION("""COMPUTED_VALUE"""),"Real")</f>
        <v>Real</v>
      </c>
      <c r="G6043" s="8">
        <f t="shared" si="1"/>
        <v>7</v>
      </c>
      <c r="H6043" s="14">
        <f t="shared" si="2"/>
        <v>10</v>
      </c>
      <c r="I6043" s="15">
        <f t="shared" si="3"/>
        <v>19</v>
      </c>
    </row>
    <row r="6044">
      <c r="A6044" s="8" t="str">
        <f>IFERROR(__xludf.DUMMYFUNCTION("IF('(INGESTA)Datos_consumo_datadis'!A6044&lt;&gt;"""",SPLIT('(INGESTA)Datos_consumo_datadis'!A:A,"",""),"""")"),"ES0031408323131005HX0F")</f>
        <v>ES0031408323131005HX0F</v>
      </c>
      <c r="B6044" s="12">
        <f>IFERROR(__xludf.DUMMYFUNCTION("""COMPUTED_VALUE"""),45117.0)</f>
        <v>45117</v>
      </c>
      <c r="C6044" s="13">
        <f>IFERROR(__xludf.DUMMYFUNCTION("""COMPUTED_VALUE"""),0.8333333333333334)</f>
        <v>0.8333333333</v>
      </c>
      <c r="D6044" s="8">
        <f>IFERROR(__xludf.DUMMYFUNCTION("""COMPUTED_VALUE"""),0.038)</f>
        <v>0.038</v>
      </c>
      <c r="E6044" s="8" t="str">
        <f>IFERROR(__xludf.DUMMYFUNCTION("""COMPUTED_VALUE"""),"Real")</f>
        <v>Real</v>
      </c>
      <c r="G6044" s="8">
        <f t="shared" si="1"/>
        <v>7</v>
      </c>
      <c r="H6044" s="14">
        <f t="shared" si="2"/>
        <v>10</v>
      </c>
      <c r="I6044" s="15">
        <f t="shared" si="3"/>
        <v>20</v>
      </c>
    </row>
    <row r="6045">
      <c r="A6045" s="8" t="str">
        <f>IFERROR(__xludf.DUMMYFUNCTION("IF('(INGESTA)Datos_consumo_datadis'!A6045&lt;&gt;"""",SPLIT('(INGESTA)Datos_consumo_datadis'!A:A,"",""),"""")"),"ES0031408323131005HX0F")</f>
        <v>ES0031408323131005HX0F</v>
      </c>
      <c r="B6045" s="12">
        <f>IFERROR(__xludf.DUMMYFUNCTION("""COMPUTED_VALUE"""),45117.0)</f>
        <v>45117</v>
      </c>
      <c r="C6045" s="13">
        <f>IFERROR(__xludf.DUMMYFUNCTION("""COMPUTED_VALUE"""),0.875)</f>
        <v>0.875</v>
      </c>
      <c r="D6045" s="8">
        <f>IFERROR(__xludf.DUMMYFUNCTION("""COMPUTED_VALUE"""),0.107)</f>
        <v>0.107</v>
      </c>
      <c r="E6045" s="8" t="str">
        <f>IFERROR(__xludf.DUMMYFUNCTION("""COMPUTED_VALUE"""),"Real")</f>
        <v>Real</v>
      </c>
      <c r="G6045" s="8">
        <f t="shared" si="1"/>
        <v>7</v>
      </c>
      <c r="H6045" s="14">
        <f t="shared" si="2"/>
        <v>10</v>
      </c>
      <c r="I6045" s="15">
        <f t="shared" si="3"/>
        <v>21</v>
      </c>
    </row>
    <row r="6046">
      <c r="A6046" s="8" t="str">
        <f>IFERROR(__xludf.DUMMYFUNCTION("IF('(INGESTA)Datos_consumo_datadis'!A6046&lt;&gt;"""",SPLIT('(INGESTA)Datos_consumo_datadis'!A:A,"",""),"""")"),"ES0031408323131005HX0F")</f>
        <v>ES0031408323131005HX0F</v>
      </c>
      <c r="B6046" s="12">
        <f>IFERROR(__xludf.DUMMYFUNCTION("""COMPUTED_VALUE"""),45117.0)</f>
        <v>45117</v>
      </c>
      <c r="C6046" s="13">
        <f>IFERROR(__xludf.DUMMYFUNCTION("""COMPUTED_VALUE"""),0.9166666666666666)</f>
        <v>0.9166666667</v>
      </c>
      <c r="D6046" s="8">
        <f>IFERROR(__xludf.DUMMYFUNCTION("""COMPUTED_VALUE"""),0.087)</f>
        <v>0.087</v>
      </c>
      <c r="E6046" s="8" t="str">
        <f>IFERROR(__xludf.DUMMYFUNCTION("""COMPUTED_VALUE"""),"Real")</f>
        <v>Real</v>
      </c>
      <c r="G6046" s="8">
        <f t="shared" si="1"/>
        <v>7</v>
      </c>
      <c r="H6046" s="14">
        <f t="shared" si="2"/>
        <v>10</v>
      </c>
      <c r="I6046" s="15">
        <f t="shared" si="3"/>
        <v>22</v>
      </c>
    </row>
    <row r="6047">
      <c r="A6047" s="8" t="str">
        <f>IFERROR(__xludf.DUMMYFUNCTION("IF('(INGESTA)Datos_consumo_datadis'!A6047&lt;&gt;"""",SPLIT('(INGESTA)Datos_consumo_datadis'!A:A,"",""),"""")"),"ES0031408323131005HX0F")</f>
        <v>ES0031408323131005HX0F</v>
      </c>
      <c r="B6047" s="12">
        <f>IFERROR(__xludf.DUMMYFUNCTION("""COMPUTED_VALUE"""),45117.0)</f>
        <v>45117</v>
      </c>
      <c r="C6047" s="13">
        <f>IFERROR(__xludf.DUMMYFUNCTION("""COMPUTED_VALUE"""),0.9583333333333334)</f>
        <v>0.9583333333</v>
      </c>
      <c r="D6047" s="8">
        <f>IFERROR(__xludf.DUMMYFUNCTION("""COMPUTED_VALUE"""),0.091)</f>
        <v>0.091</v>
      </c>
      <c r="E6047" s="8" t="str">
        <f>IFERROR(__xludf.DUMMYFUNCTION("""COMPUTED_VALUE"""),"Real")</f>
        <v>Real</v>
      </c>
      <c r="G6047" s="8">
        <f t="shared" si="1"/>
        <v>7</v>
      </c>
      <c r="H6047" s="14">
        <f t="shared" si="2"/>
        <v>10</v>
      </c>
      <c r="I6047" s="15">
        <f t="shared" si="3"/>
        <v>23</v>
      </c>
    </row>
    <row r="6048">
      <c r="A6048" s="8" t="str">
        <f>IFERROR(__xludf.DUMMYFUNCTION("IF('(INGESTA)Datos_consumo_datadis'!A6048&lt;&gt;"""",SPLIT('(INGESTA)Datos_consumo_datadis'!A:A,"",""),"""")"),"ES0031408323131005HX0F")</f>
        <v>ES0031408323131005HX0F</v>
      </c>
      <c r="B6048" s="12">
        <f>IFERROR(__xludf.DUMMYFUNCTION("""COMPUTED_VALUE"""),45117.0)</f>
        <v>45117</v>
      </c>
      <c r="C6048" s="16">
        <f>IFERROR(__xludf.DUMMYFUNCTION("""COMPUTED_VALUE"""),1.0)</f>
        <v>1</v>
      </c>
      <c r="D6048" s="8">
        <f>IFERROR(__xludf.DUMMYFUNCTION("""COMPUTED_VALUE"""),0.02)</f>
        <v>0.02</v>
      </c>
      <c r="E6048" s="8" t="str">
        <f>IFERROR(__xludf.DUMMYFUNCTION("""COMPUTED_VALUE"""),"Real")</f>
        <v>Real</v>
      </c>
      <c r="G6048" s="8">
        <f t="shared" si="1"/>
        <v>7</v>
      </c>
      <c r="H6048" s="14">
        <f t="shared" si="2"/>
        <v>10</v>
      </c>
      <c r="I6048" s="15">
        <f t="shared" si="3"/>
        <v>0</v>
      </c>
    </row>
    <row r="6049">
      <c r="A6049" s="8" t="str">
        <f>IFERROR(__xludf.DUMMYFUNCTION("IF('(INGESTA)Datos_consumo_datadis'!A6049&lt;&gt;"""",SPLIT('(INGESTA)Datos_consumo_datadis'!A:A,"",""),"""")"),"ES0031408323131005HX0F")</f>
        <v>ES0031408323131005HX0F</v>
      </c>
      <c r="B6049" s="12">
        <f>IFERROR(__xludf.DUMMYFUNCTION("""COMPUTED_VALUE"""),45118.0)</f>
        <v>45118</v>
      </c>
      <c r="C6049" s="13">
        <f>IFERROR(__xludf.DUMMYFUNCTION("""COMPUTED_VALUE"""),0.041666666666666664)</f>
        <v>0.04166666667</v>
      </c>
      <c r="D6049" s="8">
        <f>IFERROR(__xludf.DUMMYFUNCTION("""COMPUTED_VALUE"""),0.039)</f>
        <v>0.039</v>
      </c>
      <c r="E6049" s="8" t="str">
        <f>IFERROR(__xludf.DUMMYFUNCTION("""COMPUTED_VALUE"""),"Real")</f>
        <v>Real</v>
      </c>
      <c r="G6049" s="8">
        <f t="shared" si="1"/>
        <v>7</v>
      </c>
      <c r="H6049" s="14">
        <f t="shared" si="2"/>
        <v>11</v>
      </c>
      <c r="I6049" s="15">
        <f t="shared" si="3"/>
        <v>1</v>
      </c>
    </row>
    <row r="6050">
      <c r="A6050" s="8" t="str">
        <f>IFERROR(__xludf.DUMMYFUNCTION("IF('(INGESTA)Datos_consumo_datadis'!A6050&lt;&gt;"""",SPLIT('(INGESTA)Datos_consumo_datadis'!A:A,"",""),"""")"),"ES0031408323131005HX0F")</f>
        <v>ES0031408323131005HX0F</v>
      </c>
      <c r="B6050" s="12">
        <f>IFERROR(__xludf.DUMMYFUNCTION("""COMPUTED_VALUE"""),45118.0)</f>
        <v>45118</v>
      </c>
      <c r="C6050" s="13">
        <f>IFERROR(__xludf.DUMMYFUNCTION("""COMPUTED_VALUE"""),0.08333333333333333)</f>
        <v>0.08333333333</v>
      </c>
      <c r="D6050" s="8">
        <f>IFERROR(__xludf.DUMMYFUNCTION("""COMPUTED_VALUE"""),0.116)</f>
        <v>0.116</v>
      </c>
      <c r="E6050" s="8" t="str">
        <f>IFERROR(__xludf.DUMMYFUNCTION("""COMPUTED_VALUE"""),"Real")</f>
        <v>Real</v>
      </c>
      <c r="G6050" s="8">
        <f t="shared" si="1"/>
        <v>7</v>
      </c>
      <c r="H6050" s="14">
        <f t="shared" si="2"/>
        <v>11</v>
      </c>
      <c r="I6050" s="15">
        <f t="shared" si="3"/>
        <v>2</v>
      </c>
    </row>
    <row r="6051">
      <c r="A6051" s="8" t="str">
        <f>IFERROR(__xludf.DUMMYFUNCTION("IF('(INGESTA)Datos_consumo_datadis'!A6051&lt;&gt;"""",SPLIT('(INGESTA)Datos_consumo_datadis'!A:A,"",""),"""")"),"ES0031408323131005HX0F")</f>
        <v>ES0031408323131005HX0F</v>
      </c>
      <c r="B6051" s="12">
        <f>IFERROR(__xludf.DUMMYFUNCTION("""COMPUTED_VALUE"""),45118.0)</f>
        <v>45118</v>
      </c>
      <c r="C6051" s="13">
        <f>IFERROR(__xludf.DUMMYFUNCTION("""COMPUTED_VALUE"""),0.125)</f>
        <v>0.125</v>
      </c>
      <c r="D6051" s="8">
        <f>IFERROR(__xludf.DUMMYFUNCTION("""COMPUTED_VALUE"""),0.086)</f>
        <v>0.086</v>
      </c>
      <c r="E6051" s="8" t="str">
        <f>IFERROR(__xludf.DUMMYFUNCTION("""COMPUTED_VALUE"""),"Real")</f>
        <v>Real</v>
      </c>
      <c r="G6051" s="8">
        <f t="shared" si="1"/>
        <v>7</v>
      </c>
      <c r="H6051" s="14">
        <f t="shared" si="2"/>
        <v>11</v>
      </c>
      <c r="I6051" s="15">
        <f t="shared" si="3"/>
        <v>3</v>
      </c>
    </row>
    <row r="6052">
      <c r="A6052" s="8" t="str">
        <f>IFERROR(__xludf.DUMMYFUNCTION("IF('(INGESTA)Datos_consumo_datadis'!A6052&lt;&gt;"""",SPLIT('(INGESTA)Datos_consumo_datadis'!A:A,"",""),"""")"),"ES0031408323131005HX0F")</f>
        <v>ES0031408323131005HX0F</v>
      </c>
      <c r="B6052" s="12">
        <f>IFERROR(__xludf.DUMMYFUNCTION("""COMPUTED_VALUE"""),45118.0)</f>
        <v>45118</v>
      </c>
      <c r="C6052" s="13">
        <f>IFERROR(__xludf.DUMMYFUNCTION("""COMPUTED_VALUE"""),0.16666666666666666)</f>
        <v>0.1666666667</v>
      </c>
      <c r="D6052" s="8">
        <f>IFERROR(__xludf.DUMMYFUNCTION("""COMPUTED_VALUE"""),0.345)</f>
        <v>0.345</v>
      </c>
      <c r="E6052" s="8" t="str">
        <f>IFERROR(__xludf.DUMMYFUNCTION("""COMPUTED_VALUE"""),"Real")</f>
        <v>Real</v>
      </c>
      <c r="G6052" s="8">
        <f t="shared" si="1"/>
        <v>7</v>
      </c>
      <c r="H6052" s="14">
        <f t="shared" si="2"/>
        <v>11</v>
      </c>
      <c r="I6052" s="15">
        <f t="shared" si="3"/>
        <v>4</v>
      </c>
    </row>
    <row r="6053">
      <c r="A6053" s="8" t="str">
        <f>IFERROR(__xludf.DUMMYFUNCTION("IF('(INGESTA)Datos_consumo_datadis'!A6053&lt;&gt;"""",SPLIT('(INGESTA)Datos_consumo_datadis'!A:A,"",""),"""")"),"ES0031408323131005HX0F")</f>
        <v>ES0031408323131005HX0F</v>
      </c>
      <c r="B6053" s="12">
        <f>IFERROR(__xludf.DUMMYFUNCTION("""COMPUTED_VALUE"""),45118.0)</f>
        <v>45118</v>
      </c>
      <c r="C6053" s="13">
        <f>IFERROR(__xludf.DUMMYFUNCTION("""COMPUTED_VALUE"""),0.20833333333333334)</f>
        <v>0.2083333333</v>
      </c>
      <c r="D6053" s="8">
        <f>IFERROR(__xludf.DUMMYFUNCTION("""COMPUTED_VALUE"""),0.01)</f>
        <v>0.01</v>
      </c>
      <c r="E6053" s="8" t="str">
        <f>IFERROR(__xludf.DUMMYFUNCTION("""COMPUTED_VALUE"""),"Real")</f>
        <v>Real</v>
      </c>
      <c r="G6053" s="8">
        <f t="shared" si="1"/>
        <v>7</v>
      </c>
      <c r="H6053" s="14">
        <f t="shared" si="2"/>
        <v>11</v>
      </c>
      <c r="I6053" s="15">
        <f t="shared" si="3"/>
        <v>5</v>
      </c>
    </row>
    <row r="6054">
      <c r="A6054" s="8" t="str">
        <f>IFERROR(__xludf.DUMMYFUNCTION("IF('(INGESTA)Datos_consumo_datadis'!A6054&lt;&gt;"""",SPLIT('(INGESTA)Datos_consumo_datadis'!A:A,"",""),"""")"),"ES0031408323131005HX0F")</f>
        <v>ES0031408323131005HX0F</v>
      </c>
      <c r="B6054" s="12">
        <f>IFERROR(__xludf.DUMMYFUNCTION("""COMPUTED_VALUE"""),45118.0)</f>
        <v>45118</v>
      </c>
      <c r="C6054" s="13">
        <f>IFERROR(__xludf.DUMMYFUNCTION("""COMPUTED_VALUE"""),0.25)</f>
        <v>0.25</v>
      </c>
      <c r="D6054" s="8">
        <f>IFERROR(__xludf.DUMMYFUNCTION("""COMPUTED_VALUE"""),0.08)</f>
        <v>0.08</v>
      </c>
      <c r="E6054" s="8" t="str">
        <f>IFERROR(__xludf.DUMMYFUNCTION("""COMPUTED_VALUE"""),"Real")</f>
        <v>Real</v>
      </c>
      <c r="G6054" s="8">
        <f t="shared" si="1"/>
        <v>7</v>
      </c>
      <c r="H6054" s="14">
        <f t="shared" si="2"/>
        <v>11</v>
      </c>
      <c r="I6054" s="15">
        <f t="shared" si="3"/>
        <v>6</v>
      </c>
    </row>
    <row r="6055">
      <c r="A6055" s="8" t="str">
        <f>IFERROR(__xludf.DUMMYFUNCTION("IF('(INGESTA)Datos_consumo_datadis'!A6055&lt;&gt;"""",SPLIT('(INGESTA)Datos_consumo_datadis'!A:A,"",""),"""")"),"ES0031408323131005HX0F")</f>
        <v>ES0031408323131005HX0F</v>
      </c>
      <c r="B6055" s="12">
        <f>IFERROR(__xludf.DUMMYFUNCTION("""COMPUTED_VALUE"""),45118.0)</f>
        <v>45118</v>
      </c>
      <c r="C6055" s="13">
        <f>IFERROR(__xludf.DUMMYFUNCTION("""COMPUTED_VALUE"""),0.2916666666666667)</f>
        <v>0.2916666667</v>
      </c>
      <c r="D6055" s="8">
        <f>IFERROR(__xludf.DUMMYFUNCTION("""COMPUTED_VALUE"""),0.112)</f>
        <v>0.112</v>
      </c>
      <c r="E6055" s="8" t="str">
        <f>IFERROR(__xludf.DUMMYFUNCTION("""COMPUTED_VALUE"""),"Real")</f>
        <v>Real</v>
      </c>
      <c r="G6055" s="8">
        <f t="shared" si="1"/>
        <v>7</v>
      </c>
      <c r="H6055" s="14">
        <f t="shared" si="2"/>
        <v>11</v>
      </c>
      <c r="I6055" s="15">
        <f t="shared" si="3"/>
        <v>7</v>
      </c>
    </row>
    <row r="6056">
      <c r="A6056" s="8" t="str">
        <f>IFERROR(__xludf.DUMMYFUNCTION("IF('(INGESTA)Datos_consumo_datadis'!A6056&lt;&gt;"""",SPLIT('(INGESTA)Datos_consumo_datadis'!A:A,"",""),"""")"),"ES0031408323131005HX0F")</f>
        <v>ES0031408323131005HX0F</v>
      </c>
      <c r="B6056" s="12">
        <f>IFERROR(__xludf.DUMMYFUNCTION("""COMPUTED_VALUE"""),45118.0)</f>
        <v>45118</v>
      </c>
      <c r="C6056" s="13">
        <f>IFERROR(__xludf.DUMMYFUNCTION("""COMPUTED_VALUE"""),0.3333333333333333)</f>
        <v>0.3333333333</v>
      </c>
      <c r="D6056" s="8">
        <f>IFERROR(__xludf.DUMMYFUNCTION("""COMPUTED_VALUE"""),0.09)</f>
        <v>0.09</v>
      </c>
      <c r="E6056" s="8" t="str">
        <f>IFERROR(__xludf.DUMMYFUNCTION("""COMPUTED_VALUE"""),"Real")</f>
        <v>Real</v>
      </c>
      <c r="G6056" s="8">
        <f t="shared" si="1"/>
        <v>7</v>
      </c>
      <c r="H6056" s="14">
        <f t="shared" si="2"/>
        <v>11</v>
      </c>
      <c r="I6056" s="15">
        <f t="shared" si="3"/>
        <v>8</v>
      </c>
    </row>
    <row r="6057">
      <c r="A6057" s="8" t="str">
        <f>IFERROR(__xludf.DUMMYFUNCTION("IF('(INGESTA)Datos_consumo_datadis'!A6057&lt;&gt;"""",SPLIT('(INGESTA)Datos_consumo_datadis'!A:A,"",""),"""")"),"ES0031408323131005HX0F")</f>
        <v>ES0031408323131005HX0F</v>
      </c>
      <c r="B6057" s="12">
        <f>IFERROR(__xludf.DUMMYFUNCTION("""COMPUTED_VALUE"""),45118.0)</f>
        <v>45118</v>
      </c>
      <c r="C6057" s="13">
        <f>IFERROR(__xludf.DUMMYFUNCTION("""COMPUTED_VALUE"""),0.375)</f>
        <v>0.375</v>
      </c>
      <c r="D6057" s="8">
        <f>IFERROR(__xludf.DUMMYFUNCTION("""COMPUTED_VALUE"""),0.073)</f>
        <v>0.073</v>
      </c>
      <c r="E6057" s="8" t="str">
        <f>IFERROR(__xludf.DUMMYFUNCTION("""COMPUTED_VALUE"""),"Real")</f>
        <v>Real</v>
      </c>
      <c r="G6057" s="8">
        <f t="shared" si="1"/>
        <v>7</v>
      </c>
      <c r="H6057" s="14">
        <f t="shared" si="2"/>
        <v>11</v>
      </c>
      <c r="I6057" s="15">
        <f t="shared" si="3"/>
        <v>9</v>
      </c>
    </row>
    <row r="6058">
      <c r="A6058" s="8" t="str">
        <f>IFERROR(__xludf.DUMMYFUNCTION("IF('(INGESTA)Datos_consumo_datadis'!A6058&lt;&gt;"""",SPLIT('(INGESTA)Datos_consumo_datadis'!A:A,"",""),"""")"),"ES0031408323131005HX0F")</f>
        <v>ES0031408323131005HX0F</v>
      </c>
      <c r="B6058" s="12">
        <f>IFERROR(__xludf.DUMMYFUNCTION("""COMPUTED_VALUE"""),45118.0)</f>
        <v>45118</v>
      </c>
      <c r="C6058" s="13">
        <f>IFERROR(__xludf.DUMMYFUNCTION("""COMPUTED_VALUE"""),0.4166666666666667)</f>
        <v>0.4166666667</v>
      </c>
      <c r="D6058" s="8">
        <f>IFERROR(__xludf.DUMMYFUNCTION("""COMPUTED_VALUE"""),0.01)</f>
        <v>0.01</v>
      </c>
      <c r="E6058" s="8" t="str">
        <f>IFERROR(__xludf.DUMMYFUNCTION("""COMPUTED_VALUE"""),"Real")</f>
        <v>Real</v>
      </c>
      <c r="G6058" s="8">
        <f t="shared" si="1"/>
        <v>7</v>
      </c>
      <c r="H6058" s="14">
        <f t="shared" si="2"/>
        <v>11</v>
      </c>
      <c r="I6058" s="15">
        <f t="shared" si="3"/>
        <v>10</v>
      </c>
    </row>
    <row r="6059">
      <c r="A6059" s="8" t="str">
        <f>IFERROR(__xludf.DUMMYFUNCTION("IF('(INGESTA)Datos_consumo_datadis'!A6059&lt;&gt;"""",SPLIT('(INGESTA)Datos_consumo_datadis'!A:A,"",""),"""")"),"ES0031408323131005HX0F")</f>
        <v>ES0031408323131005HX0F</v>
      </c>
      <c r="B6059" s="12">
        <f>IFERROR(__xludf.DUMMYFUNCTION("""COMPUTED_VALUE"""),45118.0)</f>
        <v>45118</v>
      </c>
      <c r="C6059" s="13">
        <f>IFERROR(__xludf.DUMMYFUNCTION("""COMPUTED_VALUE"""),0.4583333333333333)</f>
        <v>0.4583333333</v>
      </c>
      <c r="D6059" s="8">
        <f>IFERROR(__xludf.DUMMYFUNCTION("""COMPUTED_VALUE"""),0.069)</f>
        <v>0.069</v>
      </c>
      <c r="E6059" s="8" t="str">
        <f>IFERROR(__xludf.DUMMYFUNCTION("""COMPUTED_VALUE"""),"Real")</f>
        <v>Real</v>
      </c>
      <c r="G6059" s="8">
        <f t="shared" si="1"/>
        <v>7</v>
      </c>
      <c r="H6059" s="14">
        <f t="shared" si="2"/>
        <v>11</v>
      </c>
      <c r="I6059" s="15">
        <f t="shared" si="3"/>
        <v>11</v>
      </c>
    </row>
    <row r="6060">
      <c r="A6060" s="8" t="str">
        <f>IFERROR(__xludf.DUMMYFUNCTION("IF('(INGESTA)Datos_consumo_datadis'!A6060&lt;&gt;"""",SPLIT('(INGESTA)Datos_consumo_datadis'!A:A,"",""),"""")"),"ES0031408323131005HX0F")</f>
        <v>ES0031408323131005HX0F</v>
      </c>
      <c r="B6060" s="12">
        <f>IFERROR(__xludf.DUMMYFUNCTION("""COMPUTED_VALUE"""),45118.0)</f>
        <v>45118</v>
      </c>
      <c r="C6060" s="13">
        <f>IFERROR(__xludf.DUMMYFUNCTION("""COMPUTED_VALUE"""),0.5)</f>
        <v>0.5</v>
      </c>
      <c r="D6060" s="8">
        <f>IFERROR(__xludf.DUMMYFUNCTION("""COMPUTED_VALUE"""),0.397)</f>
        <v>0.397</v>
      </c>
      <c r="E6060" s="8" t="str">
        <f>IFERROR(__xludf.DUMMYFUNCTION("""COMPUTED_VALUE"""),"Real")</f>
        <v>Real</v>
      </c>
      <c r="G6060" s="8">
        <f t="shared" si="1"/>
        <v>7</v>
      </c>
      <c r="H6060" s="14">
        <f t="shared" si="2"/>
        <v>11</v>
      </c>
      <c r="I6060" s="15">
        <f t="shared" si="3"/>
        <v>12</v>
      </c>
    </row>
    <row r="6061">
      <c r="A6061" s="8" t="str">
        <f>IFERROR(__xludf.DUMMYFUNCTION("IF('(INGESTA)Datos_consumo_datadis'!A6061&lt;&gt;"""",SPLIT('(INGESTA)Datos_consumo_datadis'!A:A,"",""),"""")"),"ES0031408323131005HX0F")</f>
        <v>ES0031408323131005HX0F</v>
      </c>
      <c r="B6061" s="12">
        <f>IFERROR(__xludf.DUMMYFUNCTION("""COMPUTED_VALUE"""),45118.0)</f>
        <v>45118</v>
      </c>
      <c r="C6061" s="13">
        <f>IFERROR(__xludf.DUMMYFUNCTION("""COMPUTED_VALUE"""),0.5416666666666666)</f>
        <v>0.5416666667</v>
      </c>
      <c r="D6061" s="8">
        <f>IFERROR(__xludf.DUMMYFUNCTION("""COMPUTED_VALUE"""),0.071)</f>
        <v>0.071</v>
      </c>
      <c r="E6061" s="8" t="str">
        <f>IFERROR(__xludf.DUMMYFUNCTION("""COMPUTED_VALUE"""),"Real")</f>
        <v>Real</v>
      </c>
      <c r="G6061" s="8">
        <f t="shared" si="1"/>
        <v>7</v>
      </c>
      <c r="H6061" s="14">
        <f t="shared" si="2"/>
        <v>11</v>
      </c>
      <c r="I6061" s="15">
        <f t="shared" si="3"/>
        <v>13</v>
      </c>
    </row>
    <row r="6062">
      <c r="A6062" s="8" t="str">
        <f>IFERROR(__xludf.DUMMYFUNCTION("IF('(INGESTA)Datos_consumo_datadis'!A6062&lt;&gt;"""",SPLIT('(INGESTA)Datos_consumo_datadis'!A:A,"",""),"""")"),"ES0031408323131005HX0F")</f>
        <v>ES0031408323131005HX0F</v>
      </c>
      <c r="B6062" s="12">
        <f>IFERROR(__xludf.DUMMYFUNCTION("""COMPUTED_VALUE"""),45118.0)</f>
        <v>45118</v>
      </c>
      <c r="C6062" s="13">
        <f>IFERROR(__xludf.DUMMYFUNCTION("""COMPUTED_VALUE"""),0.5833333333333334)</f>
        <v>0.5833333333</v>
      </c>
      <c r="D6062" s="8">
        <f>IFERROR(__xludf.DUMMYFUNCTION("""COMPUTED_VALUE"""),0.05)</f>
        <v>0.05</v>
      </c>
      <c r="E6062" s="8" t="str">
        <f>IFERROR(__xludf.DUMMYFUNCTION("""COMPUTED_VALUE"""),"Real")</f>
        <v>Real</v>
      </c>
      <c r="G6062" s="8">
        <f t="shared" si="1"/>
        <v>7</v>
      </c>
      <c r="H6062" s="14">
        <f t="shared" si="2"/>
        <v>11</v>
      </c>
      <c r="I6062" s="15">
        <f t="shared" si="3"/>
        <v>14</v>
      </c>
    </row>
    <row r="6063">
      <c r="A6063" s="8" t="str">
        <f>IFERROR(__xludf.DUMMYFUNCTION("IF('(INGESTA)Datos_consumo_datadis'!A6063&lt;&gt;"""",SPLIT('(INGESTA)Datos_consumo_datadis'!A:A,"",""),"""")"),"ES0031408323131005HX0F")</f>
        <v>ES0031408323131005HX0F</v>
      </c>
      <c r="B6063" s="12">
        <f>IFERROR(__xludf.DUMMYFUNCTION("""COMPUTED_VALUE"""),45118.0)</f>
        <v>45118</v>
      </c>
      <c r="C6063" s="13">
        <f>IFERROR(__xludf.DUMMYFUNCTION("""COMPUTED_VALUE"""),0.625)</f>
        <v>0.625</v>
      </c>
      <c r="D6063" s="8">
        <f>IFERROR(__xludf.DUMMYFUNCTION("""COMPUTED_VALUE"""),0.009)</f>
        <v>0.009</v>
      </c>
      <c r="E6063" s="8" t="str">
        <f>IFERROR(__xludf.DUMMYFUNCTION("""COMPUTED_VALUE"""),"Real")</f>
        <v>Real</v>
      </c>
      <c r="G6063" s="8">
        <f t="shared" si="1"/>
        <v>7</v>
      </c>
      <c r="H6063" s="14">
        <f t="shared" si="2"/>
        <v>11</v>
      </c>
      <c r="I6063" s="15">
        <f t="shared" si="3"/>
        <v>15</v>
      </c>
    </row>
    <row r="6064">
      <c r="A6064" s="8" t="str">
        <f>IFERROR(__xludf.DUMMYFUNCTION("IF('(INGESTA)Datos_consumo_datadis'!A6064&lt;&gt;"""",SPLIT('(INGESTA)Datos_consumo_datadis'!A:A,"",""),"""")"),"ES0031408323131005HX0F")</f>
        <v>ES0031408323131005HX0F</v>
      </c>
      <c r="B6064" s="12">
        <f>IFERROR(__xludf.DUMMYFUNCTION("""COMPUTED_VALUE"""),45118.0)</f>
        <v>45118</v>
      </c>
      <c r="C6064" s="13">
        <f>IFERROR(__xludf.DUMMYFUNCTION("""COMPUTED_VALUE"""),0.6666666666666666)</f>
        <v>0.6666666667</v>
      </c>
      <c r="D6064" s="8">
        <f>IFERROR(__xludf.DUMMYFUNCTION("""COMPUTED_VALUE"""),0.107)</f>
        <v>0.107</v>
      </c>
      <c r="E6064" s="8" t="str">
        <f>IFERROR(__xludf.DUMMYFUNCTION("""COMPUTED_VALUE"""),"Real")</f>
        <v>Real</v>
      </c>
      <c r="G6064" s="8">
        <f t="shared" si="1"/>
        <v>7</v>
      </c>
      <c r="H6064" s="14">
        <f t="shared" si="2"/>
        <v>11</v>
      </c>
      <c r="I6064" s="15">
        <f t="shared" si="3"/>
        <v>16</v>
      </c>
    </row>
    <row r="6065">
      <c r="A6065" s="8" t="str">
        <f>IFERROR(__xludf.DUMMYFUNCTION("IF('(INGESTA)Datos_consumo_datadis'!A6065&lt;&gt;"""",SPLIT('(INGESTA)Datos_consumo_datadis'!A:A,"",""),"""")"),"ES0031408323131005HX0F")</f>
        <v>ES0031408323131005HX0F</v>
      </c>
      <c r="B6065" s="12">
        <f>IFERROR(__xludf.DUMMYFUNCTION("""COMPUTED_VALUE"""),45118.0)</f>
        <v>45118</v>
      </c>
      <c r="C6065" s="13">
        <f>IFERROR(__xludf.DUMMYFUNCTION("""COMPUTED_VALUE"""),0.7083333333333334)</f>
        <v>0.7083333333</v>
      </c>
      <c r="D6065" s="8">
        <f>IFERROR(__xludf.DUMMYFUNCTION("""COMPUTED_VALUE"""),0.084)</f>
        <v>0.084</v>
      </c>
      <c r="E6065" s="8" t="str">
        <f>IFERROR(__xludf.DUMMYFUNCTION("""COMPUTED_VALUE"""),"Real")</f>
        <v>Real</v>
      </c>
      <c r="G6065" s="8">
        <f t="shared" si="1"/>
        <v>7</v>
      </c>
      <c r="H6065" s="14">
        <f t="shared" si="2"/>
        <v>11</v>
      </c>
      <c r="I6065" s="15">
        <f t="shared" si="3"/>
        <v>17</v>
      </c>
    </row>
    <row r="6066">
      <c r="A6066" s="8" t="str">
        <f>IFERROR(__xludf.DUMMYFUNCTION("IF('(INGESTA)Datos_consumo_datadis'!A6066&lt;&gt;"""",SPLIT('(INGESTA)Datos_consumo_datadis'!A:A,"",""),"""")"),"ES0031408323131005HX0F")</f>
        <v>ES0031408323131005HX0F</v>
      </c>
      <c r="B6066" s="12">
        <f>IFERROR(__xludf.DUMMYFUNCTION("""COMPUTED_VALUE"""),45118.0)</f>
        <v>45118</v>
      </c>
      <c r="C6066" s="13">
        <f>IFERROR(__xludf.DUMMYFUNCTION("""COMPUTED_VALUE"""),0.75)</f>
        <v>0.75</v>
      </c>
      <c r="D6066" s="8">
        <f>IFERROR(__xludf.DUMMYFUNCTION("""COMPUTED_VALUE"""),0.091)</f>
        <v>0.091</v>
      </c>
      <c r="E6066" s="8" t="str">
        <f>IFERROR(__xludf.DUMMYFUNCTION("""COMPUTED_VALUE"""),"Real")</f>
        <v>Real</v>
      </c>
      <c r="G6066" s="8">
        <f t="shared" si="1"/>
        <v>7</v>
      </c>
      <c r="H6066" s="14">
        <f t="shared" si="2"/>
        <v>11</v>
      </c>
      <c r="I6066" s="15">
        <f t="shared" si="3"/>
        <v>18</v>
      </c>
    </row>
    <row r="6067">
      <c r="A6067" s="8" t="str">
        <f>IFERROR(__xludf.DUMMYFUNCTION("IF('(INGESTA)Datos_consumo_datadis'!A6067&lt;&gt;"""",SPLIT('(INGESTA)Datos_consumo_datadis'!A:A,"",""),"""")"),"ES0031408323131005HX0F")</f>
        <v>ES0031408323131005HX0F</v>
      </c>
      <c r="B6067" s="12">
        <f>IFERROR(__xludf.DUMMYFUNCTION("""COMPUTED_VALUE"""),45118.0)</f>
        <v>45118</v>
      </c>
      <c r="C6067" s="13">
        <f>IFERROR(__xludf.DUMMYFUNCTION("""COMPUTED_VALUE"""),0.7916666666666666)</f>
        <v>0.7916666667</v>
      </c>
      <c r="D6067" s="8">
        <f>IFERROR(__xludf.DUMMYFUNCTION("""COMPUTED_VALUE"""),0.031)</f>
        <v>0.031</v>
      </c>
      <c r="E6067" s="8" t="str">
        <f>IFERROR(__xludf.DUMMYFUNCTION("""COMPUTED_VALUE"""),"Real")</f>
        <v>Real</v>
      </c>
      <c r="G6067" s="8">
        <f t="shared" si="1"/>
        <v>7</v>
      </c>
      <c r="H6067" s="14">
        <f t="shared" si="2"/>
        <v>11</v>
      </c>
      <c r="I6067" s="15">
        <f t="shared" si="3"/>
        <v>19</v>
      </c>
    </row>
    <row r="6068">
      <c r="A6068" s="8" t="str">
        <f>IFERROR(__xludf.DUMMYFUNCTION("IF('(INGESTA)Datos_consumo_datadis'!A6068&lt;&gt;"""",SPLIT('(INGESTA)Datos_consumo_datadis'!A:A,"",""),"""")"),"ES0031408323131005HX0F")</f>
        <v>ES0031408323131005HX0F</v>
      </c>
      <c r="B6068" s="12">
        <f>IFERROR(__xludf.DUMMYFUNCTION("""COMPUTED_VALUE"""),45118.0)</f>
        <v>45118</v>
      </c>
      <c r="C6068" s="13">
        <f>IFERROR(__xludf.DUMMYFUNCTION("""COMPUTED_VALUE"""),0.8333333333333334)</f>
        <v>0.8333333333</v>
      </c>
      <c r="D6068" s="8">
        <f>IFERROR(__xludf.DUMMYFUNCTION("""COMPUTED_VALUE"""),0.058)</f>
        <v>0.058</v>
      </c>
      <c r="E6068" s="8" t="str">
        <f>IFERROR(__xludf.DUMMYFUNCTION("""COMPUTED_VALUE"""),"Real")</f>
        <v>Real</v>
      </c>
      <c r="G6068" s="8">
        <f t="shared" si="1"/>
        <v>7</v>
      </c>
      <c r="H6068" s="14">
        <f t="shared" si="2"/>
        <v>11</v>
      </c>
      <c r="I6068" s="15">
        <f t="shared" si="3"/>
        <v>20</v>
      </c>
    </row>
    <row r="6069">
      <c r="A6069" s="8" t="str">
        <f>IFERROR(__xludf.DUMMYFUNCTION("IF('(INGESTA)Datos_consumo_datadis'!A6069&lt;&gt;"""",SPLIT('(INGESTA)Datos_consumo_datadis'!A:A,"",""),"""")"),"ES0031408323131005HX0F")</f>
        <v>ES0031408323131005HX0F</v>
      </c>
      <c r="B6069" s="12">
        <f>IFERROR(__xludf.DUMMYFUNCTION("""COMPUTED_VALUE"""),45118.0)</f>
        <v>45118</v>
      </c>
      <c r="C6069" s="13">
        <f>IFERROR(__xludf.DUMMYFUNCTION("""COMPUTED_VALUE"""),0.875)</f>
        <v>0.875</v>
      </c>
      <c r="D6069" s="8">
        <f>IFERROR(__xludf.DUMMYFUNCTION("""COMPUTED_VALUE"""),0.398)</f>
        <v>0.398</v>
      </c>
      <c r="E6069" s="8" t="str">
        <f>IFERROR(__xludf.DUMMYFUNCTION("""COMPUTED_VALUE"""),"Real")</f>
        <v>Real</v>
      </c>
      <c r="G6069" s="8">
        <f t="shared" si="1"/>
        <v>7</v>
      </c>
      <c r="H6069" s="14">
        <f t="shared" si="2"/>
        <v>11</v>
      </c>
      <c r="I6069" s="15">
        <f t="shared" si="3"/>
        <v>21</v>
      </c>
    </row>
    <row r="6070">
      <c r="A6070" s="8" t="str">
        <f>IFERROR(__xludf.DUMMYFUNCTION("IF('(INGESTA)Datos_consumo_datadis'!A6070&lt;&gt;"""",SPLIT('(INGESTA)Datos_consumo_datadis'!A:A,"",""),"""")"),"ES0031408323131005HX0F")</f>
        <v>ES0031408323131005HX0F</v>
      </c>
      <c r="B6070" s="12">
        <f>IFERROR(__xludf.DUMMYFUNCTION("""COMPUTED_VALUE"""),45118.0)</f>
        <v>45118</v>
      </c>
      <c r="C6070" s="13">
        <f>IFERROR(__xludf.DUMMYFUNCTION("""COMPUTED_VALUE"""),0.9166666666666666)</f>
        <v>0.9166666667</v>
      </c>
      <c r="D6070" s="8">
        <f>IFERROR(__xludf.DUMMYFUNCTION("""COMPUTED_VALUE"""),0.083)</f>
        <v>0.083</v>
      </c>
      <c r="E6070" s="8" t="str">
        <f>IFERROR(__xludf.DUMMYFUNCTION("""COMPUTED_VALUE"""),"Real")</f>
        <v>Real</v>
      </c>
      <c r="G6070" s="8">
        <f t="shared" si="1"/>
        <v>7</v>
      </c>
      <c r="H6070" s="14">
        <f t="shared" si="2"/>
        <v>11</v>
      </c>
      <c r="I6070" s="15">
        <f t="shared" si="3"/>
        <v>22</v>
      </c>
    </row>
    <row r="6071">
      <c r="A6071" s="8" t="str">
        <f>IFERROR(__xludf.DUMMYFUNCTION("IF('(INGESTA)Datos_consumo_datadis'!A6071&lt;&gt;"""",SPLIT('(INGESTA)Datos_consumo_datadis'!A:A,"",""),"""")"),"ES0031408323131005HX0F")</f>
        <v>ES0031408323131005HX0F</v>
      </c>
      <c r="B6071" s="12">
        <f>IFERROR(__xludf.DUMMYFUNCTION("""COMPUTED_VALUE"""),45118.0)</f>
        <v>45118</v>
      </c>
      <c r="C6071" s="13">
        <f>IFERROR(__xludf.DUMMYFUNCTION("""COMPUTED_VALUE"""),0.9583333333333334)</f>
        <v>0.9583333333</v>
      </c>
      <c r="D6071" s="8">
        <f>IFERROR(__xludf.DUMMYFUNCTION("""COMPUTED_VALUE"""),0.07)</f>
        <v>0.07</v>
      </c>
      <c r="E6071" s="8" t="str">
        <f>IFERROR(__xludf.DUMMYFUNCTION("""COMPUTED_VALUE"""),"Real")</f>
        <v>Real</v>
      </c>
      <c r="G6071" s="8">
        <f t="shared" si="1"/>
        <v>7</v>
      </c>
      <c r="H6071" s="14">
        <f t="shared" si="2"/>
        <v>11</v>
      </c>
      <c r="I6071" s="15">
        <f t="shared" si="3"/>
        <v>23</v>
      </c>
    </row>
    <row r="6072">
      <c r="A6072" s="8" t="str">
        <f>IFERROR(__xludf.DUMMYFUNCTION("IF('(INGESTA)Datos_consumo_datadis'!A6072&lt;&gt;"""",SPLIT('(INGESTA)Datos_consumo_datadis'!A:A,"",""),"""")"),"ES0031408323131005HX0F")</f>
        <v>ES0031408323131005HX0F</v>
      </c>
      <c r="B6072" s="12">
        <f>IFERROR(__xludf.DUMMYFUNCTION("""COMPUTED_VALUE"""),45118.0)</f>
        <v>45118</v>
      </c>
      <c r="C6072" s="16">
        <f>IFERROR(__xludf.DUMMYFUNCTION("""COMPUTED_VALUE"""),1.0)</f>
        <v>1</v>
      </c>
      <c r="D6072" s="8">
        <f>IFERROR(__xludf.DUMMYFUNCTION("""COMPUTED_VALUE"""),0.01)</f>
        <v>0.01</v>
      </c>
      <c r="E6072" s="8" t="str">
        <f>IFERROR(__xludf.DUMMYFUNCTION("""COMPUTED_VALUE"""),"Real")</f>
        <v>Real</v>
      </c>
      <c r="G6072" s="8">
        <f t="shared" si="1"/>
        <v>7</v>
      </c>
      <c r="H6072" s="14">
        <f t="shared" si="2"/>
        <v>11</v>
      </c>
      <c r="I6072" s="15">
        <f t="shared" si="3"/>
        <v>0</v>
      </c>
    </row>
    <row r="6073">
      <c r="A6073" s="8" t="str">
        <f>IFERROR(__xludf.DUMMYFUNCTION("IF('(INGESTA)Datos_consumo_datadis'!A6073&lt;&gt;"""",SPLIT('(INGESTA)Datos_consumo_datadis'!A:A,"",""),"""")"),"ES0031408323131005HX0F")</f>
        <v>ES0031408323131005HX0F</v>
      </c>
      <c r="B6073" s="12">
        <f>IFERROR(__xludf.DUMMYFUNCTION("""COMPUTED_VALUE"""),45119.0)</f>
        <v>45119</v>
      </c>
      <c r="C6073" s="13">
        <f>IFERROR(__xludf.DUMMYFUNCTION("""COMPUTED_VALUE"""),0.041666666666666664)</f>
        <v>0.04166666667</v>
      </c>
      <c r="D6073" s="8">
        <f>IFERROR(__xludf.DUMMYFUNCTION("""COMPUTED_VALUE"""),0.071)</f>
        <v>0.071</v>
      </c>
      <c r="E6073" s="8" t="str">
        <f>IFERROR(__xludf.DUMMYFUNCTION("""COMPUTED_VALUE"""),"Real")</f>
        <v>Real</v>
      </c>
      <c r="G6073" s="8">
        <f t="shared" si="1"/>
        <v>7</v>
      </c>
      <c r="H6073" s="14">
        <f t="shared" si="2"/>
        <v>12</v>
      </c>
      <c r="I6073" s="15">
        <f t="shared" si="3"/>
        <v>1</v>
      </c>
    </row>
    <row r="6074">
      <c r="A6074" s="8" t="str">
        <f>IFERROR(__xludf.DUMMYFUNCTION("IF('(INGESTA)Datos_consumo_datadis'!A6074&lt;&gt;"""",SPLIT('(INGESTA)Datos_consumo_datadis'!A:A,"",""),"""")"),"ES0031408323131005HX0F")</f>
        <v>ES0031408323131005HX0F</v>
      </c>
      <c r="B6074" s="12">
        <f>IFERROR(__xludf.DUMMYFUNCTION("""COMPUTED_VALUE"""),45119.0)</f>
        <v>45119</v>
      </c>
      <c r="C6074" s="13">
        <f>IFERROR(__xludf.DUMMYFUNCTION("""COMPUTED_VALUE"""),0.08333333333333333)</f>
        <v>0.08333333333</v>
      </c>
      <c r="D6074" s="8">
        <f>IFERROR(__xludf.DUMMYFUNCTION("""COMPUTED_VALUE"""),0.113)</f>
        <v>0.113</v>
      </c>
      <c r="E6074" s="8" t="str">
        <f>IFERROR(__xludf.DUMMYFUNCTION("""COMPUTED_VALUE"""),"Real")</f>
        <v>Real</v>
      </c>
      <c r="G6074" s="8">
        <f t="shared" si="1"/>
        <v>7</v>
      </c>
      <c r="H6074" s="14">
        <f t="shared" si="2"/>
        <v>12</v>
      </c>
      <c r="I6074" s="15">
        <f t="shared" si="3"/>
        <v>2</v>
      </c>
    </row>
    <row r="6075">
      <c r="A6075" s="8" t="str">
        <f>IFERROR(__xludf.DUMMYFUNCTION("IF('(INGESTA)Datos_consumo_datadis'!A6075&lt;&gt;"""",SPLIT('(INGESTA)Datos_consumo_datadis'!A:A,"",""),"""")"),"ES0031408323131005HX0F")</f>
        <v>ES0031408323131005HX0F</v>
      </c>
      <c r="B6075" s="12">
        <f>IFERROR(__xludf.DUMMYFUNCTION("""COMPUTED_VALUE"""),45119.0)</f>
        <v>45119</v>
      </c>
      <c r="C6075" s="13">
        <f>IFERROR(__xludf.DUMMYFUNCTION("""COMPUTED_VALUE"""),0.125)</f>
        <v>0.125</v>
      </c>
      <c r="D6075" s="8">
        <f>IFERROR(__xludf.DUMMYFUNCTION("""COMPUTED_VALUE"""),0.07)</f>
        <v>0.07</v>
      </c>
      <c r="E6075" s="8" t="str">
        <f>IFERROR(__xludf.DUMMYFUNCTION("""COMPUTED_VALUE"""),"Real")</f>
        <v>Real</v>
      </c>
      <c r="G6075" s="8">
        <f t="shared" si="1"/>
        <v>7</v>
      </c>
      <c r="H6075" s="14">
        <f t="shared" si="2"/>
        <v>12</v>
      </c>
      <c r="I6075" s="15">
        <f t="shared" si="3"/>
        <v>3</v>
      </c>
    </row>
    <row r="6076">
      <c r="A6076" s="8" t="str">
        <f>IFERROR(__xludf.DUMMYFUNCTION("IF('(INGESTA)Datos_consumo_datadis'!A6076&lt;&gt;"""",SPLIT('(INGESTA)Datos_consumo_datadis'!A:A,"",""),"""")"),"ES0031408323131005HX0F")</f>
        <v>ES0031408323131005HX0F</v>
      </c>
      <c r="B6076" s="12">
        <f>IFERROR(__xludf.DUMMYFUNCTION("""COMPUTED_VALUE"""),45119.0)</f>
        <v>45119</v>
      </c>
      <c r="C6076" s="13">
        <f>IFERROR(__xludf.DUMMYFUNCTION("""COMPUTED_VALUE"""),0.16666666666666666)</f>
        <v>0.1666666667</v>
      </c>
      <c r="D6076" s="8">
        <f>IFERROR(__xludf.DUMMYFUNCTION("""COMPUTED_VALUE"""),0.054)</f>
        <v>0.054</v>
      </c>
      <c r="E6076" s="8" t="str">
        <f>IFERROR(__xludf.DUMMYFUNCTION("""COMPUTED_VALUE"""),"Real")</f>
        <v>Real</v>
      </c>
      <c r="G6076" s="8">
        <f t="shared" si="1"/>
        <v>7</v>
      </c>
      <c r="H6076" s="14">
        <f t="shared" si="2"/>
        <v>12</v>
      </c>
      <c r="I6076" s="15">
        <f t="shared" si="3"/>
        <v>4</v>
      </c>
    </row>
    <row r="6077">
      <c r="A6077" s="8" t="str">
        <f>IFERROR(__xludf.DUMMYFUNCTION("IF('(INGESTA)Datos_consumo_datadis'!A6077&lt;&gt;"""",SPLIT('(INGESTA)Datos_consumo_datadis'!A:A,"",""),"""")"),"ES0031408323131005HX0F")</f>
        <v>ES0031408323131005HX0F</v>
      </c>
      <c r="B6077" s="12">
        <f>IFERROR(__xludf.DUMMYFUNCTION("""COMPUTED_VALUE"""),45119.0)</f>
        <v>45119</v>
      </c>
      <c r="C6077" s="13">
        <f>IFERROR(__xludf.DUMMYFUNCTION("""COMPUTED_VALUE"""),0.20833333333333334)</f>
        <v>0.2083333333</v>
      </c>
      <c r="D6077" s="8">
        <f>IFERROR(__xludf.DUMMYFUNCTION("""COMPUTED_VALUE"""),0.057)</f>
        <v>0.057</v>
      </c>
      <c r="E6077" s="8" t="str">
        <f>IFERROR(__xludf.DUMMYFUNCTION("""COMPUTED_VALUE"""),"Real")</f>
        <v>Real</v>
      </c>
      <c r="G6077" s="8">
        <f t="shared" si="1"/>
        <v>7</v>
      </c>
      <c r="H6077" s="14">
        <f t="shared" si="2"/>
        <v>12</v>
      </c>
      <c r="I6077" s="15">
        <f t="shared" si="3"/>
        <v>5</v>
      </c>
    </row>
    <row r="6078">
      <c r="A6078" s="8" t="str">
        <f>IFERROR(__xludf.DUMMYFUNCTION("IF('(INGESTA)Datos_consumo_datadis'!A6078&lt;&gt;"""",SPLIT('(INGESTA)Datos_consumo_datadis'!A:A,"",""),"""")"),"ES0031408323131005HX0F")</f>
        <v>ES0031408323131005HX0F</v>
      </c>
      <c r="B6078" s="12">
        <f>IFERROR(__xludf.DUMMYFUNCTION("""COMPUTED_VALUE"""),45119.0)</f>
        <v>45119</v>
      </c>
      <c r="C6078" s="13">
        <f>IFERROR(__xludf.DUMMYFUNCTION("""COMPUTED_VALUE"""),0.25)</f>
        <v>0.25</v>
      </c>
      <c r="D6078" s="8">
        <f>IFERROR(__xludf.DUMMYFUNCTION("""COMPUTED_VALUE"""),0.352)</f>
        <v>0.352</v>
      </c>
      <c r="E6078" s="8" t="str">
        <f>IFERROR(__xludf.DUMMYFUNCTION("""COMPUTED_VALUE"""),"Real")</f>
        <v>Real</v>
      </c>
      <c r="G6078" s="8">
        <f t="shared" si="1"/>
        <v>7</v>
      </c>
      <c r="H6078" s="14">
        <f t="shared" si="2"/>
        <v>12</v>
      </c>
      <c r="I6078" s="15">
        <f t="shared" si="3"/>
        <v>6</v>
      </c>
    </row>
    <row r="6079">
      <c r="A6079" s="8" t="str">
        <f>IFERROR(__xludf.DUMMYFUNCTION("IF('(INGESTA)Datos_consumo_datadis'!A6079&lt;&gt;"""",SPLIT('(INGESTA)Datos_consumo_datadis'!A:A,"",""),"""")"),"ES0031408323131005HX0F")</f>
        <v>ES0031408323131005HX0F</v>
      </c>
      <c r="B6079" s="12">
        <f>IFERROR(__xludf.DUMMYFUNCTION("""COMPUTED_VALUE"""),45119.0)</f>
        <v>45119</v>
      </c>
      <c r="C6079" s="13">
        <f>IFERROR(__xludf.DUMMYFUNCTION("""COMPUTED_VALUE"""),0.2916666666666667)</f>
        <v>0.2916666667</v>
      </c>
      <c r="D6079" s="8">
        <f>IFERROR(__xludf.DUMMYFUNCTION("""COMPUTED_VALUE"""),0.092)</f>
        <v>0.092</v>
      </c>
      <c r="E6079" s="8" t="str">
        <f>IFERROR(__xludf.DUMMYFUNCTION("""COMPUTED_VALUE"""),"Real")</f>
        <v>Real</v>
      </c>
      <c r="G6079" s="8">
        <f t="shared" si="1"/>
        <v>7</v>
      </c>
      <c r="H6079" s="14">
        <f t="shared" si="2"/>
        <v>12</v>
      </c>
      <c r="I6079" s="15">
        <f t="shared" si="3"/>
        <v>7</v>
      </c>
    </row>
    <row r="6080">
      <c r="A6080" s="8" t="str">
        <f>IFERROR(__xludf.DUMMYFUNCTION("IF('(INGESTA)Datos_consumo_datadis'!A6080&lt;&gt;"""",SPLIT('(INGESTA)Datos_consumo_datadis'!A:A,"",""),"""")"),"ES0031408323131005HX0F")</f>
        <v>ES0031408323131005HX0F</v>
      </c>
      <c r="B6080" s="12">
        <f>IFERROR(__xludf.DUMMYFUNCTION("""COMPUTED_VALUE"""),45119.0)</f>
        <v>45119</v>
      </c>
      <c r="C6080" s="13">
        <f>IFERROR(__xludf.DUMMYFUNCTION("""COMPUTED_VALUE"""),0.3333333333333333)</f>
        <v>0.3333333333</v>
      </c>
      <c r="D6080" s="8">
        <f>IFERROR(__xludf.DUMMYFUNCTION("""COMPUTED_VALUE"""),0.082)</f>
        <v>0.082</v>
      </c>
      <c r="E6080" s="8" t="str">
        <f>IFERROR(__xludf.DUMMYFUNCTION("""COMPUTED_VALUE"""),"Real")</f>
        <v>Real</v>
      </c>
      <c r="G6080" s="8">
        <f t="shared" si="1"/>
        <v>7</v>
      </c>
      <c r="H6080" s="14">
        <f t="shared" si="2"/>
        <v>12</v>
      </c>
      <c r="I6080" s="15">
        <f t="shared" si="3"/>
        <v>8</v>
      </c>
    </row>
    <row r="6081">
      <c r="A6081" s="8" t="str">
        <f>IFERROR(__xludf.DUMMYFUNCTION("IF('(INGESTA)Datos_consumo_datadis'!A6081&lt;&gt;"""",SPLIT('(INGESTA)Datos_consumo_datadis'!A:A,"",""),"""")"),"ES0031408323131005HX0F")</f>
        <v>ES0031408323131005HX0F</v>
      </c>
      <c r="B6081" s="12">
        <f>IFERROR(__xludf.DUMMYFUNCTION("""COMPUTED_VALUE"""),45119.0)</f>
        <v>45119</v>
      </c>
      <c r="C6081" s="13">
        <f>IFERROR(__xludf.DUMMYFUNCTION("""COMPUTED_VALUE"""),0.375)</f>
        <v>0.375</v>
      </c>
      <c r="D6081" s="8">
        <f>IFERROR(__xludf.DUMMYFUNCTION("""COMPUTED_VALUE"""),0.028)</f>
        <v>0.028</v>
      </c>
      <c r="E6081" s="8" t="str">
        <f>IFERROR(__xludf.DUMMYFUNCTION("""COMPUTED_VALUE"""),"Real")</f>
        <v>Real</v>
      </c>
      <c r="G6081" s="8">
        <f t="shared" si="1"/>
        <v>7</v>
      </c>
      <c r="H6081" s="14">
        <f t="shared" si="2"/>
        <v>12</v>
      </c>
      <c r="I6081" s="15">
        <f t="shared" si="3"/>
        <v>9</v>
      </c>
    </row>
    <row r="6082">
      <c r="A6082" s="8" t="str">
        <f>IFERROR(__xludf.DUMMYFUNCTION("IF('(INGESTA)Datos_consumo_datadis'!A6082&lt;&gt;"""",SPLIT('(INGESTA)Datos_consumo_datadis'!A:A,"",""),"""")"),"ES0031408323131005HX0F")</f>
        <v>ES0031408323131005HX0F</v>
      </c>
      <c r="B6082" s="12">
        <f>IFERROR(__xludf.DUMMYFUNCTION("""COMPUTED_VALUE"""),45119.0)</f>
        <v>45119</v>
      </c>
      <c r="C6082" s="13">
        <f>IFERROR(__xludf.DUMMYFUNCTION("""COMPUTED_VALUE"""),0.4166666666666667)</f>
        <v>0.4166666667</v>
      </c>
      <c r="D6082" s="8">
        <f>IFERROR(__xludf.DUMMYFUNCTION("""COMPUTED_VALUE"""),0.028)</f>
        <v>0.028</v>
      </c>
      <c r="E6082" s="8" t="str">
        <f>IFERROR(__xludf.DUMMYFUNCTION("""COMPUTED_VALUE"""),"Real")</f>
        <v>Real</v>
      </c>
      <c r="G6082" s="8">
        <f t="shared" si="1"/>
        <v>7</v>
      </c>
      <c r="H6082" s="14">
        <f t="shared" si="2"/>
        <v>12</v>
      </c>
      <c r="I6082" s="15">
        <f t="shared" si="3"/>
        <v>10</v>
      </c>
    </row>
    <row r="6083">
      <c r="A6083" s="8" t="str">
        <f>IFERROR(__xludf.DUMMYFUNCTION("IF('(INGESTA)Datos_consumo_datadis'!A6083&lt;&gt;"""",SPLIT('(INGESTA)Datos_consumo_datadis'!A:A,"",""),"""")"),"ES0031408323131005HX0F")</f>
        <v>ES0031408323131005HX0F</v>
      </c>
      <c r="B6083" s="12">
        <f>IFERROR(__xludf.DUMMYFUNCTION("""COMPUTED_VALUE"""),45119.0)</f>
        <v>45119</v>
      </c>
      <c r="C6083" s="13">
        <f>IFERROR(__xludf.DUMMYFUNCTION("""COMPUTED_VALUE"""),0.4583333333333333)</f>
        <v>0.4583333333</v>
      </c>
      <c r="D6083" s="8">
        <f>IFERROR(__xludf.DUMMYFUNCTION("""COMPUTED_VALUE"""),0.116)</f>
        <v>0.116</v>
      </c>
      <c r="E6083" s="8" t="str">
        <f>IFERROR(__xludf.DUMMYFUNCTION("""COMPUTED_VALUE"""),"Real")</f>
        <v>Real</v>
      </c>
      <c r="G6083" s="8">
        <f t="shared" si="1"/>
        <v>7</v>
      </c>
      <c r="H6083" s="14">
        <f t="shared" si="2"/>
        <v>12</v>
      </c>
      <c r="I6083" s="15">
        <f t="shared" si="3"/>
        <v>11</v>
      </c>
    </row>
    <row r="6084">
      <c r="A6084" s="8" t="str">
        <f>IFERROR(__xludf.DUMMYFUNCTION("IF('(INGESTA)Datos_consumo_datadis'!A6084&lt;&gt;"""",SPLIT('(INGESTA)Datos_consumo_datadis'!A:A,"",""),"""")"),"ES0031408323131005HX0F")</f>
        <v>ES0031408323131005HX0F</v>
      </c>
      <c r="B6084" s="12">
        <f>IFERROR(__xludf.DUMMYFUNCTION("""COMPUTED_VALUE"""),45119.0)</f>
        <v>45119</v>
      </c>
      <c r="C6084" s="13">
        <f>IFERROR(__xludf.DUMMYFUNCTION("""COMPUTED_VALUE"""),0.5)</f>
        <v>0.5</v>
      </c>
      <c r="D6084" s="8">
        <f>IFERROR(__xludf.DUMMYFUNCTION("""COMPUTED_VALUE"""),0.084)</f>
        <v>0.084</v>
      </c>
      <c r="E6084" s="8" t="str">
        <f>IFERROR(__xludf.DUMMYFUNCTION("""COMPUTED_VALUE"""),"Real")</f>
        <v>Real</v>
      </c>
      <c r="G6084" s="8">
        <f t="shared" si="1"/>
        <v>7</v>
      </c>
      <c r="H6084" s="14">
        <f t="shared" si="2"/>
        <v>12</v>
      </c>
      <c r="I6084" s="15">
        <f t="shared" si="3"/>
        <v>12</v>
      </c>
    </row>
    <row r="6085">
      <c r="A6085" s="8" t="str">
        <f>IFERROR(__xludf.DUMMYFUNCTION("IF('(INGESTA)Datos_consumo_datadis'!A6085&lt;&gt;"""",SPLIT('(INGESTA)Datos_consumo_datadis'!A:A,"",""),"""")"),"ES0031408323131005HX0F")</f>
        <v>ES0031408323131005HX0F</v>
      </c>
      <c r="B6085" s="12">
        <f>IFERROR(__xludf.DUMMYFUNCTION("""COMPUTED_VALUE"""),45119.0)</f>
        <v>45119</v>
      </c>
      <c r="C6085" s="13">
        <f>IFERROR(__xludf.DUMMYFUNCTION("""COMPUTED_VALUE"""),0.5416666666666666)</f>
        <v>0.5416666667</v>
      </c>
      <c r="D6085" s="8">
        <f>IFERROR(__xludf.DUMMYFUNCTION("""COMPUTED_VALUE"""),0.074)</f>
        <v>0.074</v>
      </c>
      <c r="E6085" s="8" t="str">
        <f>IFERROR(__xludf.DUMMYFUNCTION("""COMPUTED_VALUE"""),"Real")</f>
        <v>Real</v>
      </c>
      <c r="G6085" s="8">
        <f t="shared" si="1"/>
        <v>7</v>
      </c>
      <c r="H6085" s="14">
        <f t="shared" si="2"/>
        <v>12</v>
      </c>
      <c r="I6085" s="15">
        <f t="shared" si="3"/>
        <v>13</v>
      </c>
    </row>
    <row r="6086">
      <c r="A6086" s="8" t="str">
        <f>IFERROR(__xludf.DUMMYFUNCTION("IF('(INGESTA)Datos_consumo_datadis'!A6086&lt;&gt;"""",SPLIT('(INGESTA)Datos_consumo_datadis'!A:A,"",""),"""")"),"ES0031408323131005HX0F")</f>
        <v>ES0031408323131005HX0F</v>
      </c>
      <c r="B6086" s="12">
        <f>IFERROR(__xludf.DUMMYFUNCTION("""COMPUTED_VALUE"""),45119.0)</f>
        <v>45119</v>
      </c>
      <c r="C6086" s="13">
        <f>IFERROR(__xludf.DUMMYFUNCTION("""COMPUTED_VALUE"""),0.5833333333333334)</f>
        <v>0.5833333333</v>
      </c>
      <c r="D6086" s="8">
        <f>IFERROR(__xludf.DUMMYFUNCTION("""COMPUTED_VALUE"""),0.256)</f>
        <v>0.256</v>
      </c>
      <c r="E6086" s="8" t="str">
        <f>IFERROR(__xludf.DUMMYFUNCTION("""COMPUTED_VALUE"""),"Real")</f>
        <v>Real</v>
      </c>
      <c r="G6086" s="8">
        <f t="shared" si="1"/>
        <v>7</v>
      </c>
      <c r="H6086" s="14">
        <f t="shared" si="2"/>
        <v>12</v>
      </c>
      <c r="I6086" s="15">
        <f t="shared" si="3"/>
        <v>14</v>
      </c>
    </row>
    <row r="6087">
      <c r="A6087" s="8" t="str">
        <f>IFERROR(__xludf.DUMMYFUNCTION("IF('(INGESTA)Datos_consumo_datadis'!A6087&lt;&gt;"""",SPLIT('(INGESTA)Datos_consumo_datadis'!A:A,"",""),"""")"),"ES0031408323131005HX0F")</f>
        <v>ES0031408323131005HX0F</v>
      </c>
      <c r="B6087" s="12">
        <f>IFERROR(__xludf.DUMMYFUNCTION("""COMPUTED_VALUE"""),45119.0)</f>
        <v>45119</v>
      </c>
      <c r="C6087" s="13">
        <f>IFERROR(__xludf.DUMMYFUNCTION("""COMPUTED_VALUE"""),0.625)</f>
        <v>0.625</v>
      </c>
      <c r="D6087" s="8">
        <f>IFERROR(__xludf.DUMMYFUNCTION("""COMPUTED_VALUE"""),0.102)</f>
        <v>0.102</v>
      </c>
      <c r="E6087" s="8" t="str">
        <f>IFERROR(__xludf.DUMMYFUNCTION("""COMPUTED_VALUE"""),"Real")</f>
        <v>Real</v>
      </c>
      <c r="G6087" s="8">
        <f t="shared" si="1"/>
        <v>7</v>
      </c>
      <c r="H6087" s="14">
        <f t="shared" si="2"/>
        <v>12</v>
      </c>
      <c r="I6087" s="15">
        <f t="shared" si="3"/>
        <v>15</v>
      </c>
    </row>
    <row r="6088">
      <c r="A6088" s="8" t="str">
        <f>IFERROR(__xludf.DUMMYFUNCTION("IF('(INGESTA)Datos_consumo_datadis'!A6088&lt;&gt;"""",SPLIT('(INGESTA)Datos_consumo_datadis'!A:A,"",""),"""")"),"ES0031408323131005HX0F")</f>
        <v>ES0031408323131005HX0F</v>
      </c>
      <c r="B6088" s="12">
        <f>IFERROR(__xludf.DUMMYFUNCTION("""COMPUTED_VALUE"""),45119.0)</f>
        <v>45119</v>
      </c>
      <c r="C6088" s="13">
        <f>IFERROR(__xludf.DUMMYFUNCTION("""COMPUTED_VALUE"""),0.6666666666666666)</f>
        <v>0.6666666667</v>
      </c>
      <c r="D6088" s="8">
        <f>IFERROR(__xludf.DUMMYFUNCTION("""COMPUTED_VALUE"""),0.113)</f>
        <v>0.113</v>
      </c>
      <c r="E6088" s="8" t="str">
        <f>IFERROR(__xludf.DUMMYFUNCTION("""COMPUTED_VALUE"""),"Real")</f>
        <v>Real</v>
      </c>
      <c r="G6088" s="8">
        <f t="shared" si="1"/>
        <v>7</v>
      </c>
      <c r="H6088" s="14">
        <f t="shared" si="2"/>
        <v>12</v>
      </c>
      <c r="I6088" s="15">
        <f t="shared" si="3"/>
        <v>16</v>
      </c>
    </row>
    <row r="6089">
      <c r="A6089" s="8" t="str">
        <f>IFERROR(__xludf.DUMMYFUNCTION("IF('(INGESTA)Datos_consumo_datadis'!A6089&lt;&gt;"""",SPLIT('(INGESTA)Datos_consumo_datadis'!A:A,"",""),"""")"),"ES0031408323131005HX0F")</f>
        <v>ES0031408323131005HX0F</v>
      </c>
      <c r="B6089" s="12">
        <f>IFERROR(__xludf.DUMMYFUNCTION("""COMPUTED_VALUE"""),45119.0)</f>
        <v>45119</v>
      </c>
      <c r="C6089" s="13">
        <f>IFERROR(__xludf.DUMMYFUNCTION("""COMPUTED_VALUE"""),0.7083333333333334)</f>
        <v>0.7083333333</v>
      </c>
      <c r="D6089" s="8">
        <f>IFERROR(__xludf.DUMMYFUNCTION("""COMPUTED_VALUE"""),0.073)</f>
        <v>0.073</v>
      </c>
      <c r="E6089" s="8" t="str">
        <f>IFERROR(__xludf.DUMMYFUNCTION("""COMPUTED_VALUE"""),"Real")</f>
        <v>Real</v>
      </c>
      <c r="G6089" s="8">
        <f t="shared" si="1"/>
        <v>7</v>
      </c>
      <c r="H6089" s="14">
        <f t="shared" si="2"/>
        <v>12</v>
      </c>
      <c r="I6089" s="15">
        <f t="shared" si="3"/>
        <v>17</v>
      </c>
    </row>
    <row r="6090">
      <c r="A6090" s="8" t="str">
        <f>IFERROR(__xludf.DUMMYFUNCTION("IF('(INGESTA)Datos_consumo_datadis'!A6090&lt;&gt;"""",SPLIT('(INGESTA)Datos_consumo_datadis'!A:A,"",""),"""")"),"ES0031408323131005HX0F")</f>
        <v>ES0031408323131005HX0F</v>
      </c>
      <c r="B6090" s="12">
        <f>IFERROR(__xludf.DUMMYFUNCTION("""COMPUTED_VALUE"""),45119.0)</f>
        <v>45119</v>
      </c>
      <c r="C6090" s="13">
        <f>IFERROR(__xludf.DUMMYFUNCTION("""COMPUTED_VALUE"""),0.75)</f>
        <v>0.75</v>
      </c>
      <c r="D6090" s="8">
        <f>IFERROR(__xludf.DUMMYFUNCTION("""COMPUTED_VALUE"""),0.052)</f>
        <v>0.052</v>
      </c>
      <c r="E6090" s="8" t="str">
        <f>IFERROR(__xludf.DUMMYFUNCTION("""COMPUTED_VALUE"""),"Real")</f>
        <v>Real</v>
      </c>
      <c r="G6090" s="8">
        <f t="shared" si="1"/>
        <v>7</v>
      </c>
      <c r="H6090" s="14">
        <f t="shared" si="2"/>
        <v>12</v>
      </c>
      <c r="I6090" s="15">
        <f t="shared" si="3"/>
        <v>18</v>
      </c>
    </row>
    <row r="6091">
      <c r="A6091" s="8" t="str">
        <f>IFERROR(__xludf.DUMMYFUNCTION("IF('(INGESTA)Datos_consumo_datadis'!A6091&lt;&gt;"""",SPLIT('(INGESTA)Datos_consumo_datadis'!A:A,"",""),"""")"),"ES0031408323131005HX0F")</f>
        <v>ES0031408323131005HX0F</v>
      </c>
      <c r="B6091" s="12">
        <f>IFERROR(__xludf.DUMMYFUNCTION("""COMPUTED_VALUE"""),45119.0)</f>
        <v>45119</v>
      </c>
      <c r="C6091" s="13">
        <f>IFERROR(__xludf.DUMMYFUNCTION("""COMPUTED_VALUE"""),0.7916666666666666)</f>
        <v>0.7916666667</v>
      </c>
      <c r="D6091" s="8">
        <f>IFERROR(__xludf.DUMMYFUNCTION("""COMPUTED_VALUE"""),0.02)</f>
        <v>0.02</v>
      </c>
      <c r="E6091" s="8" t="str">
        <f>IFERROR(__xludf.DUMMYFUNCTION("""COMPUTED_VALUE"""),"Real")</f>
        <v>Real</v>
      </c>
      <c r="G6091" s="8">
        <f t="shared" si="1"/>
        <v>7</v>
      </c>
      <c r="H6091" s="14">
        <f t="shared" si="2"/>
        <v>12</v>
      </c>
      <c r="I6091" s="15">
        <f t="shared" si="3"/>
        <v>19</v>
      </c>
    </row>
    <row r="6092">
      <c r="A6092" s="8" t="str">
        <f>IFERROR(__xludf.DUMMYFUNCTION("IF('(INGESTA)Datos_consumo_datadis'!A6092&lt;&gt;"""",SPLIT('(INGESTA)Datos_consumo_datadis'!A:A,"",""),"""")"),"ES0031408323131005HX0F")</f>
        <v>ES0031408323131005HX0F</v>
      </c>
      <c r="B6092" s="12">
        <f>IFERROR(__xludf.DUMMYFUNCTION("""COMPUTED_VALUE"""),45119.0)</f>
        <v>45119</v>
      </c>
      <c r="C6092" s="13">
        <f>IFERROR(__xludf.DUMMYFUNCTION("""COMPUTED_VALUE"""),0.8333333333333334)</f>
        <v>0.8333333333</v>
      </c>
      <c r="D6092" s="8">
        <f>IFERROR(__xludf.DUMMYFUNCTION("""COMPUTED_VALUE"""),0.12)</f>
        <v>0.12</v>
      </c>
      <c r="E6092" s="8" t="str">
        <f>IFERROR(__xludf.DUMMYFUNCTION("""COMPUTED_VALUE"""),"Real")</f>
        <v>Real</v>
      </c>
      <c r="G6092" s="8">
        <f t="shared" si="1"/>
        <v>7</v>
      </c>
      <c r="H6092" s="14">
        <f t="shared" si="2"/>
        <v>12</v>
      </c>
      <c r="I6092" s="15">
        <f t="shared" si="3"/>
        <v>20</v>
      </c>
    </row>
    <row r="6093">
      <c r="A6093" s="8" t="str">
        <f>IFERROR(__xludf.DUMMYFUNCTION("IF('(INGESTA)Datos_consumo_datadis'!A6093&lt;&gt;"""",SPLIT('(INGESTA)Datos_consumo_datadis'!A:A,"",""),"""")"),"ES0031408323131005HX0F")</f>
        <v>ES0031408323131005HX0F</v>
      </c>
      <c r="B6093" s="12">
        <f>IFERROR(__xludf.DUMMYFUNCTION("""COMPUTED_VALUE"""),45119.0)</f>
        <v>45119</v>
      </c>
      <c r="C6093" s="13">
        <f>IFERROR(__xludf.DUMMYFUNCTION("""COMPUTED_VALUE"""),0.875)</f>
        <v>0.875</v>
      </c>
      <c r="D6093" s="8">
        <f>IFERROR(__xludf.DUMMYFUNCTION("""COMPUTED_VALUE"""),0.097)</f>
        <v>0.097</v>
      </c>
      <c r="E6093" s="8" t="str">
        <f>IFERROR(__xludf.DUMMYFUNCTION("""COMPUTED_VALUE"""),"Real")</f>
        <v>Real</v>
      </c>
      <c r="G6093" s="8">
        <f t="shared" si="1"/>
        <v>7</v>
      </c>
      <c r="H6093" s="14">
        <f t="shared" si="2"/>
        <v>12</v>
      </c>
      <c r="I6093" s="15">
        <f t="shared" si="3"/>
        <v>21</v>
      </c>
    </row>
    <row r="6094">
      <c r="A6094" s="8" t="str">
        <f>IFERROR(__xludf.DUMMYFUNCTION("IF('(INGESTA)Datos_consumo_datadis'!A6094&lt;&gt;"""",SPLIT('(INGESTA)Datos_consumo_datadis'!A:A,"",""),"""")"),"ES0031408323131005HX0F")</f>
        <v>ES0031408323131005HX0F</v>
      </c>
      <c r="B6094" s="12">
        <f>IFERROR(__xludf.DUMMYFUNCTION("""COMPUTED_VALUE"""),45119.0)</f>
        <v>45119</v>
      </c>
      <c r="C6094" s="13">
        <f>IFERROR(__xludf.DUMMYFUNCTION("""COMPUTED_VALUE"""),0.9166666666666666)</f>
        <v>0.9166666667</v>
      </c>
      <c r="D6094" s="8">
        <f>IFERROR(__xludf.DUMMYFUNCTION("""COMPUTED_VALUE"""),0.075)</f>
        <v>0.075</v>
      </c>
      <c r="E6094" s="8" t="str">
        <f>IFERROR(__xludf.DUMMYFUNCTION("""COMPUTED_VALUE"""),"Real")</f>
        <v>Real</v>
      </c>
      <c r="G6094" s="8">
        <f t="shared" si="1"/>
        <v>7</v>
      </c>
      <c r="H6094" s="14">
        <f t="shared" si="2"/>
        <v>12</v>
      </c>
      <c r="I6094" s="15">
        <f t="shared" si="3"/>
        <v>22</v>
      </c>
    </row>
    <row r="6095">
      <c r="A6095" s="8" t="str">
        <f>IFERROR(__xludf.DUMMYFUNCTION("IF('(INGESTA)Datos_consumo_datadis'!A6095&lt;&gt;"""",SPLIT('(INGESTA)Datos_consumo_datadis'!A:A,"",""),"""")"),"ES0031408323131005HX0F")</f>
        <v>ES0031408323131005HX0F</v>
      </c>
      <c r="B6095" s="12">
        <f>IFERROR(__xludf.DUMMYFUNCTION("""COMPUTED_VALUE"""),45119.0)</f>
        <v>45119</v>
      </c>
      <c r="C6095" s="13">
        <f>IFERROR(__xludf.DUMMYFUNCTION("""COMPUTED_VALUE"""),0.9583333333333334)</f>
        <v>0.9583333333</v>
      </c>
      <c r="D6095" s="8">
        <f>IFERROR(__xludf.DUMMYFUNCTION("""COMPUTED_VALUE"""),0.32)</f>
        <v>0.32</v>
      </c>
      <c r="E6095" s="8" t="str">
        <f>IFERROR(__xludf.DUMMYFUNCTION("""COMPUTED_VALUE"""),"Real")</f>
        <v>Real</v>
      </c>
      <c r="G6095" s="8">
        <f t="shared" si="1"/>
        <v>7</v>
      </c>
      <c r="H6095" s="14">
        <f t="shared" si="2"/>
        <v>12</v>
      </c>
      <c r="I6095" s="15">
        <f t="shared" si="3"/>
        <v>23</v>
      </c>
    </row>
    <row r="6096">
      <c r="A6096" s="8" t="str">
        <f>IFERROR(__xludf.DUMMYFUNCTION("IF('(INGESTA)Datos_consumo_datadis'!A6096&lt;&gt;"""",SPLIT('(INGESTA)Datos_consumo_datadis'!A:A,"",""),"""")"),"ES0031408323131005HX0F")</f>
        <v>ES0031408323131005HX0F</v>
      </c>
      <c r="B6096" s="12">
        <f>IFERROR(__xludf.DUMMYFUNCTION("""COMPUTED_VALUE"""),45119.0)</f>
        <v>45119</v>
      </c>
      <c r="C6096" s="16">
        <f>IFERROR(__xludf.DUMMYFUNCTION("""COMPUTED_VALUE"""),1.0)</f>
        <v>1</v>
      </c>
      <c r="D6096" s="8">
        <f>IFERROR(__xludf.DUMMYFUNCTION("""COMPUTED_VALUE"""),0.018)</f>
        <v>0.018</v>
      </c>
      <c r="E6096" s="8" t="str">
        <f>IFERROR(__xludf.DUMMYFUNCTION("""COMPUTED_VALUE"""),"Real")</f>
        <v>Real</v>
      </c>
      <c r="G6096" s="8">
        <f t="shared" si="1"/>
        <v>7</v>
      </c>
      <c r="H6096" s="14">
        <f t="shared" si="2"/>
        <v>12</v>
      </c>
      <c r="I6096" s="15">
        <f t="shared" si="3"/>
        <v>0</v>
      </c>
    </row>
    <row r="6097">
      <c r="A6097" s="8" t="str">
        <f>IFERROR(__xludf.DUMMYFUNCTION("IF('(INGESTA)Datos_consumo_datadis'!A6097&lt;&gt;"""",SPLIT('(INGESTA)Datos_consumo_datadis'!A:A,"",""),"""")"),"ES0031408323131005HX0F")</f>
        <v>ES0031408323131005HX0F</v>
      </c>
      <c r="B6097" s="12">
        <f>IFERROR(__xludf.DUMMYFUNCTION("""COMPUTED_VALUE"""),45120.0)</f>
        <v>45120</v>
      </c>
      <c r="C6097" s="13">
        <f>IFERROR(__xludf.DUMMYFUNCTION("""COMPUTED_VALUE"""),0.041666666666666664)</f>
        <v>0.04166666667</v>
      </c>
      <c r="D6097" s="8">
        <f>IFERROR(__xludf.DUMMYFUNCTION("""COMPUTED_VALUE"""),0.117)</f>
        <v>0.117</v>
      </c>
      <c r="E6097" s="8" t="str">
        <f>IFERROR(__xludf.DUMMYFUNCTION("""COMPUTED_VALUE"""),"Real")</f>
        <v>Real</v>
      </c>
      <c r="G6097" s="8">
        <f t="shared" si="1"/>
        <v>7</v>
      </c>
      <c r="H6097" s="14">
        <f t="shared" si="2"/>
        <v>13</v>
      </c>
      <c r="I6097" s="15">
        <f t="shared" si="3"/>
        <v>1</v>
      </c>
    </row>
    <row r="6098">
      <c r="A6098" s="8" t="str">
        <f>IFERROR(__xludf.DUMMYFUNCTION("IF('(INGESTA)Datos_consumo_datadis'!A6098&lt;&gt;"""",SPLIT('(INGESTA)Datos_consumo_datadis'!A:A,"",""),"""")"),"ES0031408323131005HX0F")</f>
        <v>ES0031408323131005HX0F</v>
      </c>
      <c r="B6098" s="12">
        <f>IFERROR(__xludf.DUMMYFUNCTION("""COMPUTED_VALUE"""),45120.0)</f>
        <v>45120</v>
      </c>
      <c r="C6098" s="13">
        <f>IFERROR(__xludf.DUMMYFUNCTION("""COMPUTED_VALUE"""),0.08333333333333333)</f>
        <v>0.08333333333</v>
      </c>
      <c r="D6098" s="8">
        <f>IFERROR(__xludf.DUMMYFUNCTION("""COMPUTED_VALUE"""),0.084)</f>
        <v>0.084</v>
      </c>
      <c r="E6098" s="8" t="str">
        <f>IFERROR(__xludf.DUMMYFUNCTION("""COMPUTED_VALUE"""),"Real")</f>
        <v>Real</v>
      </c>
      <c r="G6098" s="8">
        <f t="shared" si="1"/>
        <v>7</v>
      </c>
      <c r="H6098" s="14">
        <f t="shared" si="2"/>
        <v>13</v>
      </c>
      <c r="I6098" s="15">
        <f t="shared" si="3"/>
        <v>2</v>
      </c>
    </row>
    <row r="6099">
      <c r="A6099" s="8" t="str">
        <f>IFERROR(__xludf.DUMMYFUNCTION("IF('(INGESTA)Datos_consumo_datadis'!A6099&lt;&gt;"""",SPLIT('(INGESTA)Datos_consumo_datadis'!A:A,"",""),"""")"),"ES0031408323131005HX0F")</f>
        <v>ES0031408323131005HX0F</v>
      </c>
      <c r="B6099" s="12">
        <f>IFERROR(__xludf.DUMMYFUNCTION("""COMPUTED_VALUE"""),45120.0)</f>
        <v>45120</v>
      </c>
      <c r="C6099" s="13">
        <f>IFERROR(__xludf.DUMMYFUNCTION("""COMPUTED_VALUE"""),0.125)</f>
        <v>0.125</v>
      </c>
      <c r="D6099" s="8">
        <f>IFERROR(__xludf.DUMMYFUNCTION("""COMPUTED_VALUE"""),0.09)</f>
        <v>0.09</v>
      </c>
      <c r="E6099" s="8" t="str">
        <f>IFERROR(__xludf.DUMMYFUNCTION("""COMPUTED_VALUE"""),"Real")</f>
        <v>Real</v>
      </c>
      <c r="G6099" s="8">
        <f t="shared" si="1"/>
        <v>7</v>
      </c>
      <c r="H6099" s="14">
        <f t="shared" si="2"/>
        <v>13</v>
      </c>
      <c r="I6099" s="15">
        <f t="shared" si="3"/>
        <v>3</v>
      </c>
    </row>
    <row r="6100">
      <c r="A6100" s="8" t="str">
        <f>IFERROR(__xludf.DUMMYFUNCTION("IF('(INGESTA)Datos_consumo_datadis'!A6100&lt;&gt;"""",SPLIT('(INGESTA)Datos_consumo_datadis'!A:A,"",""),"""")"),"ES0031408323131005HX0F")</f>
        <v>ES0031408323131005HX0F</v>
      </c>
      <c r="B6100" s="12">
        <f>IFERROR(__xludf.DUMMYFUNCTION("""COMPUTED_VALUE"""),45120.0)</f>
        <v>45120</v>
      </c>
      <c r="C6100" s="13">
        <f>IFERROR(__xludf.DUMMYFUNCTION("""COMPUTED_VALUE"""),0.16666666666666666)</f>
        <v>0.1666666667</v>
      </c>
      <c r="D6100" s="8">
        <f>IFERROR(__xludf.DUMMYFUNCTION("""COMPUTED_VALUE"""),0.009)</f>
        <v>0.009</v>
      </c>
      <c r="E6100" s="8" t="str">
        <f>IFERROR(__xludf.DUMMYFUNCTION("""COMPUTED_VALUE"""),"Real")</f>
        <v>Real</v>
      </c>
      <c r="G6100" s="8">
        <f t="shared" si="1"/>
        <v>7</v>
      </c>
      <c r="H6100" s="14">
        <f t="shared" si="2"/>
        <v>13</v>
      </c>
      <c r="I6100" s="15">
        <f t="shared" si="3"/>
        <v>4</v>
      </c>
    </row>
    <row r="6101">
      <c r="A6101" s="8" t="str">
        <f>IFERROR(__xludf.DUMMYFUNCTION("IF('(INGESTA)Datos_consumo_datadis'!A6101&lt;&gt;"""",SPLIT('(INGESTA)Datos_consumo_datadis'!A:A,"",""),"""")"),"ES0031408323131005HX0F")</f>
        <v>ES0031408323131005HX0F</v>
      </c>
      <c r="B6101" s="12">
        <f>IFERROR(__xludf.DUMMYFUNCTION("""COMPUTED_VALUE"""),45120.0)</f>
        <v>45120</v>
      </c>
      <c r="C6101" s="13">
        <f>IFERROR(__xludf.DUMMYFUNCTION("""COMPUTED_VALUE"""),0.20833333333333334)</f>
        <v>0.2083333333</v>
      </c>
      <c r="D6101" s="8">
        <f>IFERROR(__xludf.DUMMYFUNCTION("""COMPUTED_VALUE"""),0.051)</f>
        <v>0.051</v>
      </c>
      <c r="E6101" s="8" t="str">
        <f>IFERROR(__xludf.DUMMYFUNCTION("""COMPUTED_VALUE"""),"Real")</f>
        <v>Real</v>
      </c>
      <c r="G6101" s="8">
        <f t="shared" si="1"/>
        <v>7</v>
      </c>
      <c r="H6101" s="14">
        <f t="shared" si="2"/>
        <v>13</v>
      </c>
      <c r="I6101" s="15">
        <f t="shared" si="3"/>
        <v>5</v>
      </c>
    </row>
    <row r="6102">
      <c r="A6102" s="8" t="str">
        <f>IFERROR(__xludf.DUMMYFUNCTION("IF('(INGESTA)Datos_consumo_datadis'!A6102&lt;&gt;"""",SPLIT('(INGESTA)Datos_consumo_datadis'!A:A,"",""),"""")"),"ES0031408323131005HX0F")</f>
        <v>ES0031408323131005HX0F</v>
      </c>
      <c r="B6102" s="12">
        <f>IFERROR(__xludf.DUMMYFUNCTION("""COMPUTED_VALUE"""),45120.0)</f>
        <v>45120</v>
      </c>
      <c r="C6102" s="13">
        <f>IFERROR(__xludf.DUMMYFUNCTION("""COMPUTED_VALUE"""),0.25)</f>
        <v>0.25</v>
      </c>
      <c r="D6102" s="8">
        <f>IFERROR(__xludf.DUMMYFUNCTION("""COMPUTED_VALUE"""),0.114)</f>
        <v>0.114</v>
      </c>
      <c r="E6102" s="8" t="str">
        <f>IFERROR(__xludf.DUMMYFUNCTION("""COMPUTED_VALUE"""),"Real")</f>
        <v>Real</v>
      </c>
      <c r="G6102" s="8">
        <f t="shared" si="1"/>
        <v>7</v>
      </c>
      <c r="H6102" s="14">
        <f t="shared" si="2"/>
        <v>13</v>
      </c>
      <c r="I6102" s="15">
        <f t="shared" si="3"/>
        <v>6</v>
      </c>
    </row>
    <row r="6103">
      <c r="A6103" s="8" t="str">
        <f>IFERROR(__xludf.DUMMYFUNCTION("IF('(INGESTA)Datos_consumo_datadis'!A6103&lt;&gt;"""",SPLIT('(INGESTA)Datos_consumo_datadis'!A:A,"",""),"""")"),"ES0031408323131005HX0F")</f>
        <v>ES0031408323131005HX0F</v>
      </c>
      <c r="B6103" s="12">
        <f>IFERROR(__xludf.DUMMYFUNCTION("""COMPUTED_VALUE"""),45120.0)</f>
        <v>45120</v>
      </c>
      <c r="C6103" s="13">
        <f>IFERROR(__xludf.DUMMYFUNCTION("""COMPUTED_VALUE"""),0.2916666666666667)</f>
        <v>0.2916666667</v>
      </c>
      <c r="D6103" s="8">
        <f>IFERROR(__xludf.DUMMYFUNCTION("""COMPUTED_VALUE"""),0.095)</f>
        <v>0.095</v>
      </c>
      <c r="E6103" s="8" t="str">
        <f>IFERROR(__xludf.DUMMYFUNCTION("""COMPUTED_VALUE"""),"Real")</f>
        <v>Real</v>
      </c>
      <c r="G6103" s="8">
        <f t="shared" si="1"/>
        <v>7</v>
      </c>
      <c r="H6103" s="14">
        <f t="shared" si="2"/>
        <v>13</v>
      </c>
      <c r="I6103" s="15">
        <f t="shared" si="3"/>
        <v>7</v>
      </c>
    </row>
    <row r="6104">
      <c r="A6104" s="8" t="str">
        <f>IFERROR(__xludf.DUMMYFUNCTION("IF('(INGESTA)Datos_consumo_datadis'!A6104&lt;&gt;"""",SPLIT('(INGESTA)Datos_consumo_datadis'!A:A,"",""),"""")"),"ES0031408323131005HX0F")</f>
        <v>ES0031408323131005HX0F</v>
      </c>
      <c r="B6104" s="12">
        <f>IFERROR(__xludf.DUMMYFUNCTION("""COMPUTED_VALUE"""),45120.0)</f>
        <v>45120</v>
      </c>
      <c r="C6104" s="13">
        <f>IFERROR(__xludf.DUMMYFUNCTION("""COMPUTED_VALUE"""),0.3333333333333333)</f>
        <v>0.3333333333</v>
      </c>
      <c r="D6104" s="8">
        <f>IFERROR(__xludf.DUMMYFUNCTION("""COMPUTED_VALUE"""),0.334)</f>
        <v>0.334</v>
      </c>
      <c r="E6104" s="8" t="str">
        <f>IFERROR(__xludf.DUMMYFUNCTION("""COMPUTED_VALUE"""),"Real")</f>
        <v>Real</v>
      </c>
      <c r="G6104" s="8">
        <f t="shared" si="1"/>
        <v>7</v>
      </c>
      <c r="H6104" s="14">
        <f t="shared" si="2"/>
        <v>13</v>
      </c>
      <c r="I6104" s="15">
        <f t="shared" si="3"/>
        <v>8</v>
      </c>
    </row>
    <row r="6105">
      <c r="A6105" s="8" t="str">
        <f>IFERROR(__xludf.DUMMYFUNCTION("IF('(INGESTA)Datos_consumo_datadis'!A6105&lt;&gt;"""",SPLIT('(INGESTA)Datos_consumo_datadis'!A:A,"",""),"""")"),"ES0031408323131005HX0F")</f>
        <v>ES0031408323131005HX0F</v>
      </c>
      <c r="B6105" s="12">
        <f>IFERROR(__xludf.DUMMYFUNCTION("""COMPUTED_VALUE"""),45120.0)</f>
        <v>45120</v>
      </c>
      <c r="C6105" s="13">
        <f>IFERROR(__xludf.DUMMYFUNCTION("""COMPUTED_VALUE"""),0.375)</f>
        <v>0.375</v>
      </c>
      <c r="D6105" s="8">
        <f>IFERROR(__xludf.DUMMYFUNCTION("""COMPUTED_VALUE"""),0.009)</f>
        <v>0.009</v>
      </c>
      <c r="E6105" s="8" t="str">
        <f>IFERROR(__xludf.DUMMYFUNCTION("""COMPUTED_VALUE"""),"Real")</f>
        <v>Real</v>
      </c>
      <c r="G6105" s="8">
        <f t="shared" si="1"/>
        <v>7</v>
      </c>
      <c r="H6105" s="14">
        <f t="shared" si="2"/>
        <v>13</v>
      </c>
      <c r="I6105" s="15">
        <f t="shared" si="3"/>
        <v>9</v>
      </c>
    </row>
    <row r="6106">
      <c r="A6106" s="8" t="str">
        <f>IFERROR(__xludf.DUMMYFUNCTION("IF('(INGESTA)Datos_consumo_datadis'!A6106&lt;&gt;"""",SPLIT('(INGESTA)Datos_consumo_datadis'!A:A,"",""),"""")"),"ES0031408323131005HX0F")</f>
        <v>ES0031408323131005HX0F</v>
      </c>
      <c r="B6106" s="12">
        <f>IFERROR(__xludf.DUMMYFUNCTION("""COMPUTED_VALUE"""),45120.0)</f>
        <v>45120</v>
      </c>
      <c r="C6106" s="13">
        <f>IFERROR(__xludf.DUMMYFUNCTION("""COMPUTED_VALUE"""),0.4166666666666667)</f>
        <v>0.4166666667</v>
      </c>
      <c r="D6106" s="8">
        <f>IFERROR(__xludf.DUMMYFUNCTION("""COMPUTED_VALUE"""),0.087)</f>
        <v>0.087</v>
      </c>
      <c r="E6106" s="8" t="str">
        <f>IFERROR(__xludf.DUMMYFUNCTION("""COMPUTED_VALUE"""),"Real")</f>
        <v>Real</v>
      </c>
      <c r="G6106" s="8">
        <f t="shared" si="1"/>
        <v>7</v>
      </c>
      <c r="H6106" s="14">
        <f t="shared" si="2"/>
        <v>13</v>
      </c>
      <c r="I6106" s="15">
        <f t="shared" si="3"/>
        <v>10</v>
      </c>
    </row>
    <row r="6107">
      <c r="A6107" s="8" t="str">
        <f>IFERROR(__xludf.DUMMYFUNCTION("IF('(INGESTA)Datos_consumo_datadis'!A6107&lt;&gt;"""",SPLIT('(INGESTA)Datos_consumo_datadis'!A:A,"",""),"""")"),"ES0031408323131005HX0F")</f>
        <v>ES0031408323131005HX0F</v>
      </c>
      <c r="B6107" s="12">
        <f>IFERROR(__xludf.DUMMYFUNCTION("""COMPUTED_VALUE"""),45120.0)</f>
        <v>45120</v>
      </c>
      <c r="C6107" s="13">
        <f>IFERROR(__xludf.DUMMYFUNCTION("""COMPUTED_VALUE"""),0.4583333333333333)</f>
        <v>0.4583333333</v>
      </c>
      <c r="D6107" s="8">
        <f>IFERROR(__xludf.DUMMYFUNCTION("""COMPUTED_VALUE"""),0.104)</f>
        <v>0.104</v>
      </c>
      <c r="E6107" s="8" t="str">
        <f>IFERROR(__xludf.DUMMYFUNCTION("""COMPUTED_VALUE"""),"Real")</f>
        <v>Real</v>
      </c>
      <c r="G6107" s="8">
        <f t="shared" si="1"/>
        <v>7</v>
      </c>
      <c r="H6107" s="14">
        <f t="shared" si="2"/>
        <v>13</v>
      </c>
      <c r="I6107" s="15">
        <f t="shared" si="3"/>
        <v>11</v>
      </c>
    </row>
    <row r="6108">
      <c r="A6108" s="8" t="str">
        <f>IFERROR(__xludf.DUMMYFUNCTION("IF('(INGESTA)Datos_consumo_datadis'!A6108&lt;&gt;"""",SPLIT('(INGESTA)Datos_consumo_datadis'!A:A,"",""),"""")"),"ES0031408323131005HX0F")</f>
        <v>ES0031408323131005HX0F</v>
      </c>
      <c r="B6108" s="12">
        <f>IFERROR(__xludf.DUMMYFUNCTION("""COMPUTED_VALUE"""),45120.0)</f>
        <v>45120</v>
      </c>
      <c r="C6108" s="13">
        <f>IFERROR(__xludf.DUMMYFUNCTION("""COMPUTED_VALUE"""),0.5)</f>
        <v>0.5</v>
      </c>
      <c r="D6108" s="8">
        <f>IFERROR(__xludf.DUMMYFUNCTION("""COMPUTED_VALUE"""),0.104)</f>
        <v>0.104</v>
      </c>
      <c r="E6108" s="8" t="str">
        <f>IFERROR(__xludf.DUMMYFUNCTION("""COMPUTED_VALUE"""),"Real")</f>
        <v>Real</v>
      </c>
      <c r="G6108" s="8">
        <f t="shared" si="1"/>
        <v>7</v>
      </c>
      <c r="H6108" s="14">
        <f t="shared" si="2"/>
        <v>13</v>
      </c>
      <c r="I6108" s="15">
        <f t="shared" si="3"/>
        <v>12</v>
      </c>
    </row>
    <row r="6109">
      <c r="A6109" s="8" t="str">
        <f>IFERROR(__xludf.DUMMYFUNCTION("IF('(INGESTA)Datos_consumo_datadis'!A6109&lt;&gt;"""",SPLIT('(INGESTA)Datos_consumo_datadis'!A:A,"",""),"""")"),"ES0031408323131005HX0F")</f>
        <v>ES0031408323131005HX0F</v>
      </c>
      <c r="B6109" s="12">
        <f>IFERROR(__xludf.DUMMYFUNCTION("""COMPUTED_VALUE"""),45120.0)</f>
        <v>45120</v>
      </c>
      <c r="C6109" s="13">
        <f>IFERROR(__xludf.DUMMYFUNCTION("""COMPUTED_VALUE"""),0.5416666666666666)</f>
        <v>0.5416666667</v>
      </c>
      <c r="D6109" s="8">
        <f>IFERROR(__xludf.DUMMYFUNCTION("""COMPUTED_VALUE"""),0.069)</f>
        <v>0.069</v>
      </c>
      <c r="E6109" s="8" t="str">
        <f>IFERROR(__xludf.DUMMYFUNCTION("""COMPUTED_VALUE"""),"Real")</f>
        <v>Real</v>
      </c>
      <c r="G6109" s="8">
        <f t="shared" si="1"/>
        <v>7</v>
      </c>
      <c r="H6109" s="14">
        <f t="shared" si="2"/>
        <v>13</v>
      </c>
      <c r="I6109" s="15">
        <f t="shared" si="3"/>
        <v>13</v>
      </c>
    </row>
    <row r="6110">
      <c r="A6110" s="8" t="str">
        <f>IFERROR(__xludf.DUMMYFUNCTION("IF('(INGESTA)Datos_consumo_datadis'!A6110&lt;&gt;"""",SPLIT('(INGESTA)Datos_consumo_datadis'!A:A,"",""),"""")"),"ES0031408323131005HX0F")</f>
        <v>ES0031408323131005HX0F</v>
      </c>
      <c r="B6110" s="12">
        <f>IFERROR(__xludf.DUMMYFUNCTION("""COMPUTED_VALUE"""),45120.0)</f>
        <v>45120</v>
      </c>
      <c r="C6110" s="13">
        <f>IFERROR(__xludf.DUMMYFUNCTION("""COMPUTED_VALUE"""),0.5833333333333334)</f>
        <v>0.5833333333</v>
      </c>
      <c r="D6110" s="8">
        <f>IFERROR(__xludf.DUMMYFUNCTION("""COMPUTED_VALUE"""),0.03)</f>
        <v>0.03</v>
      </c>
      <c r="E6110" s="8" t="str">
        <f>IFERROR(__xludf.DUMMYFUNCTION("""COMPUTED_VALUE"""),"Real")</f>
        <v>Real</v>
      </c>
      <c r="G6110" s="8">
        <f t="shared" si="1"/>
        <v>7</v>
      </c>
      <c r="H6110" s="14">
        <f t="shared" si="2"/>
        <v>13</v>
      </c>
      <c r="I6110" s="15">
        <f t="shared" si="3"/>
        <v>14</v>
      </c>
    </row>
    <row r="6111">
      <c r="A6111" s="8" t="str">
        <f>IFERROR(__xludf.DUMMYFUNCTION("IF('(INGESTA)Datos_consumo_datadis'!A6111&lt;&gt;"""",SPLIT('(INGESTA)Datos_consumo_datadis'!A:A,"",""),"""")"),"ES0031408323131005HX0F")</f>
        <v>ES0031408323131005HX0F</v>
      </c>
      <c r="B6111" s="12">
        <f>IFERROR(__xludf.DUMMYFUNCTION("""COMPUTED_VALUE"""),45120.0)</f>
        <v>45120</v>
      </c>
      <c r="C6111" s="13">
        <f>IFERROR(__xludf.DUMMYFUNCTION("""COMPUTED_VALUE"""),0.625)</f>
        <v>0.625</v>
      </c>
      <c r="D6111" s="8">
        <f>IFERROR(__xludf.DUMMYFUNCTION("""COMPUTED_VALUE"""),0.025)</f>
        <v>0.025</v>
      </c>
      <c r="E6111" s="8" t="str">
        <f>IFERROR(__xludf.DUMMYFUNCTION("""COMPUTED_VALUE"""),"Real")</f>
        <v>Real</v>
      </c>
      <c r="G6111" s="8">
        <f t="shared" si="1"/>
        <v>7</v>
      </c>
      <c r="H6111" s="14">
        <f t="shared" si="2"/>
        <v>13</v>
      </c>
      <c r="I6111" s="15">
        <f t="shared" si="3"/>
        <v>15</v>
      </c>
    </row>
    <row r="6112">
      <c r="A6112" s="8" t="str">
        <f>IFERROR(__xludf.DUMMYFUNCTION("IF('(INGESTA)Datos_consumo_datadis'!A6112&lt;&gt;"""",SPLIT('(INGESTA)Datos_consumo_datadis'!A:A,"",""),"""")"),"ES0031408323131005HX0F")</f>
        <v>ES0031408323131005HX0F</v>
      </c>
      <c r="B6112" s="12">
        <f>IFERROR(__xludf.DUMMYFUNCTION("""COMPUTED_VALUE"""),45120.0)</f>
        <v>45120</v>
      </c>
      <c r="C6112" s="13">
        <f>IFERROR(__xludf.DUMMYFUNCTION("""COMPUTED_VALUE"""),0.6666666666666666)</f>
        <v>0.6666666667</v>
      </c>
      <c r="D6112" s="8">
        <f>IFERROR(__xludf.DUMMYFUNCTION("""COMPUTED_VALUE"""),0.401)</f>
        <v>0.401</v>
      </c>
      <c r="E6112" s="8" t="str">
        <f>IFERROR(__xludf.DUMMYFUNCTION("""COMPUTED_VALUE"""),"Real")</f>
        <v>Real</v>
      </c>
      <c r="G6112" s="8">
        <f t="shared" si="1"/>
        <v>7</v>
      </c>
      <c r="H6112" s="14">
        <f t="shared" si="2"/>
        <v>13</v>
      </c>
      <c r="I6112" s="15">
        <f t="shared" si="3"/>
        <v>16</v>
      </c>
    </row>
    <row r="6113">
      <c r="A6113" s="8" t="str">
        <f>IFERROR(__xludf.DUMMYFUNCTION("IF('(INGESTA)Datos_consumo_datadis'!A6113&lt;&gt;"""",SPLIT('(INGESTA)Datos_consumo_datadis'!A:A,"",""),"""")"),"ES0031408323131005HX0F")</f>
        <v>ES0031408323131005HX0F</v>
      </c>
      <c r="B6113" s="12">
        <f>IFERROR(__xludf.DUMMYFUNCTION("""COMPUTED_VALUE"""),45120.0)</f>
        <v>45120</v>
      </c>
      <c r="C6113" s="13">
        <f>IFERROR(__xludf.DUMMYFUNCTION("""COMPUTED_VALUE"""),0.7083333333333334)</f>
        <v>0.7083333333</v>
      </c>
      <c r="D6113" s="8">
        <f>IFERROR(__xludf.DUMMYFUNCTION("""COMPUTED_VALUE"""),0.083)</f>
        <v>0.083</v>
      </c>
      <c r="E6113" s="8" t="str">
        <f>IFERROR(__xludf.DUMMYFUNCTION("""COMPUTED_VALUE"""),"Real")</f>
        <v>Real</v>
      </c>
      <c r="G6113" s="8">
        <f t="shared" si="1"/>
        <v>7</v>
      </c>
      <c r="H6113" s="14">
        <f t="shared" si="2"/>
        <v>13</v>
      </c>
      <c r="I6113" s="15">
        <f t="shared" si="3"/>
        <v>17</v>
      </c>
    </row>
    <row r="6114">
      <c r="A6114" s="8" t="str">
        <f>IFERROR(__xludf.DUMMYFUNCTION("IF('(INGESTA)Datos_consumo_datadis'!A6114&lt;&gt;"""",SPLIT('(INGESTA)Datos_consumo_datadis'!A:A,"",""),"""")"),"ES0031408323131005HX0F")</f>
        <v>ES0031408323131005HX0F</v>
      </c>
      <c r="B6114" s="12">
        <f>IFERROR(__xludf.DUMMYFUNCTION("""COMPUTED_VALUE"""),45120.0)</f>
        <v>45120</v>
      </c>
      <c r="C6114" s="13">
        <f>IFERROR(__xludf.DUMMYFUNCTION("""COMPUTED_VALUE"""),0.75)</f>
        <v>0.75</v>
      </c>
      <c r="D6114" s="8">
        <f>IFERROR(__xludf.DUMMYFUNCTION("""COMPUTED_VALUE"""),0.077)</f>
        <v>0.077</v>
      </c>
      <c r="E6114" s="8" t="str">
        <f>IFERROR(__xludf.DUMMYFUNCTION("""COMPUTED_VALUE"""),"Real")</f>
        <v>Real</v>
      </c>
      <c r="G6114" s="8">
        <f t="shared" si="1"/>
        <v>7</v>
      </c>
      <c r="H6114" s="14">
        <f t="shared" si="2"/>
        <v>13</v>
      </c>
      <c r="I6114" s="15">
        <f t="shared" si="3"/>
        <v>18</v>
      </c>
    </row>
    <row r="6115">
      <c r="A6115" s="8" t="str">
        <f>IFERROR(__xludf.DUMMYFUNCTION("IF('(INGESTA)Datos_consumo_datadis'!A6115&lt;&gt;"""",SPLIT('(INGESTA)Datos_consumo_datadis'!A:A,"",""),"""")"),"ES0031408323131005HX0F")</f>
        <v>ES0031408323131005HX0F</v>
      </c>
      <c r="B6115" s="12">
        <f>IFERROR(__xludf.DUMMYFUNCTION("""COMPUTED_VALUE"""),45120.0)</f>
        <v>45120</v>
      </c>
      <c r="C6115" s="13">
        <f>IFERROR(__xludf.DUMMYFUNCTION("""COMPUTED_VALUE"""),0.7916666666666666)</f>
        <v>0.7916666667</v>
      </c>
      <c r="D6115" s="8">
        <f>IFERROR(__xludf.DUMMYFUNCTION("""COMPUTED_VALUE"""),0.02)</f>
        <v>0.02</v>
      </c>
      <c r="E6115" s="8" t="str">
        <f>IFERROR(__xludf.DUMMYFUNCTION("""COMPUTED_VALUE"""),"Real")</f>
        <v>Real</v>
      </c>
      <c r="G6115" s="8">
        <f t="shared" si="1"/>
        <v>7</v>
      </c>
      <c r="H6115" s="14">
        <f t="shared" si="2"/>
        <v>13</v>
      </c>
      <c r="I6115" s="15">
        <f t="shared" si="3"/>
        <v>19</v>
      </c>
    </row>
    <row r="6116">
      <c r="A6116" s="8" t="str">
        <f>IFERROR(__xludf.DUMMYFUNCTION("IF('(INGESTA)Datos_consumo_datadis'!A6116&lt;&gt;"""",SPLIT('(INGESTA)Datos_consumo_datadis'!A:A,"",""),"""")"),"ES0031408323131005HX0F")</f>
        <v>ES0031408323131005HX0F</v>
      </c>
      <c r="B6116" s="12">
        <f>IFERROR(__xludf.DUMMYFUNCTION("""COMPUTED_VALUE"""),45120.0)</f>
        <v>45120</v>
      </c>
      <c r="C6116" s="13">
        <f>IFERROR(__xludf.DUMMYFUNCTION("""COMPUTED_VALUE"""),0.8333333333333334)</f>
        <v>0.8333333333</v>
      </c>
      <c r="D6116" s="8">
        <f>IFERROR(__xludf.DUMMYFUNCTION("""COMPUTED_VALUE"""),0.085)</f>
        <v>0.085</v>
      </c>
      <c r="E6116" s="8" t="str">
        <f>IFERROR(__xludf.DUMMYFUNCTION("""COMPUTED_VALUE"""),"Real")</f>
        <v>Real</v>
      </c>
      <c r="G6116" s="8">
        <f t="shared" si="1"/>
        <v>7</v>
      </c>
      <c r="H6116" s="14">
        <f t="shared" si="2"/>
        <v>13</v>
      </c>
      <c r="I6116" s="15">
        <f t="shared" si="3"/>
        <v>20</v>
      </c>
    </row>
    <row r="6117">
      <c r="A6117" s="8" t="str">
        <f>IFERROR(__xludf.DUMMYFUNCTION("IF('(INGESTA)Datos_consumo_datadis'!A6117&lt;&gt;"""",SPLIT('(INGESTA)Datos_consumo_datadis'!A:A,"",""),"""")"),"ES0031408323131005HX0F")</f>
        <v>ES0031408323131005HX0F</v>
      </c>
      <c r="B6117" s="12">
        <f>IFERROR(__xludf.DUMMYFUNCTION("""COMPUTED_VALUE"""),45120.0)</f>
        <v>45120</v>
      </c>
      <c r="C6117" s="13">
        <f>IFERROR(__xludf.DUMMYFUNCTION("""COMPUTED_VALUE"""),0.875)</f>
        <v>0.875</v>
      </c>
      <c r="D6117" s="8">
        <f>IFERROR(__xludf.DUMMYFUNCTION("""COMPUTED_VALUE"""),0.116)</f>
        <v>0.116</v>
      </c>
      <c r="E6117" s="8" t="str">
        <f>IFERROR(__xludf.DUMMYFUNCTION("""COMPUTED_VALUE"""),"Real")</f>
        <v>Real</v>
      </c>
      <c r="G6117" s="8">
        <f t="shared" si="1"/>
        <v>7</v>
      </c>
      <c r="H6117" s="14">
        <f t="shared" si="2"/>
        <v>13</v>
      </c>
      <c r="I6117" s="15">
        <f t="shared" si="3"/>
        <v>21</v>
      </c>
    </row>
    <row r="6118">
      <c r="A6118" s="8" t="str">
        <f>IFERROR(__xludf.DUMMYFUNCTION("IF('(INGESTA)Datos_consumo_datadis'!A6118&lt;&gt;"""",SPLIT('(INGESTA)Datos_consumo_datadis'!A:A,"",""),"""")"),"ES0031408323131005HX0F")</f>
        <v>ES0031408323131005HX0F</v>
      </c>
      <c r="B6118" s="12">
        <f>IFERROR(__xludf.DUMMYFUNCTION("""COMPUTED_VALUE"""),45120.0)</f>
        <v>45120</v>
      </c>
      <c r="C6118" s="13">
        <f>IFERROR(__xludf.DUMMYFUNCTION("""COMPUTED_VALUE"""),0.9166666666666666)</f>
        <v>0.9166666667</v>
      </c>
      <c r="D6118" s="8">
        <f>IFERROR(__xludf.DUMMYFUNCTION("""COMPUTED_VALUE"""),0.076)</f>
        <v>0.076</v>
      </c>
      <c r="E6118" s="8" t="str">
        <f>IFERROR(__xludf.DUMMYFUNCTION("""COMPUTED_VALUE"""),"Real")</f>
        <v>Real</v>
      </c>
      <c r="G6118" s="8">
        <f t="shared" si="1"/>
        <v>7</v>
      </c>
      <c r="H6118" s="14">
        <f t="shared" si="2"/>
        <v>13</v>
      </c>
      <c r="I6118" s="15">
        <f t="shared" si="3"/>
        <v>22</v>
      </c>
    </row>
    <row r="6119">
      <c r="A6119" s="8" t="str">
        <f>IFERROR(__xludf.DUMMYFUNCTION("IF('(INGESTA)Datos_consumo_datadis'!A6119&lt;&gt;"""",SPLIT('(INGESTA)Datos_consumo_datadis'!A:A,"",""),"""")"),"ES0031408323131005HX0F")</f>
        <v>ES0031408323131005HX0F</v>
      </c>
      <c r="B6119" s="12">
        <f>IFERROR(__xludf.DUMMYFUNCTION("""COMPUTED_VALUE"""),45120.0)</f>
        <v>45120</v>
      </c>
      <c r="C6119" s="13">
        <f>IFERROR(__xludf.DUMMYFUNCTION("""COMPUTED_VALUE"""),0.9583333333333334)</f>
        <v>0.9583333333</v>
      </c>
      <c r="D6119" s="8">
        <f>IFERROR(__xludf.DUMMYFUNCTION("""COMPUTED_VALUE"""),0.053)</f>
        <v>0.053</v>
      </c>
      <c r="E6119" s="8" t="str">
        <f>IFERROR(__xludf.DUMMYFUNCTION("""COMPUTED_VALUE"""),"Real")</f>
        <v>Real</v>
      </c>
      <c r="G6119" s="8">
        <f t="shared" si="1"/>
        <v>7</v>
      </c>
      <c r="H6119" s="14">
        <f t="shared" si="2"/>
        <v>13</v>
      </c>
      <c r="I6119" s="15">
        <f t="shared" si="3"/>
        <v>23</v>
      </c>
    </row>
    <row r="6120">
      <c r="A6120" s="8" t="str">
        <f>IFERROR(__xludf.DUMMYFUNCTION("IF('(INGESTA)Datos_consumo_datadis'!A6120&lt;&gt;"""",SPLIT('(INGESTA)Datos_consumo_datadis'!A:A,"",""),"""")"),"ES0031408323131005HX0F")</f>
        <v>ES0031408323131005HX0F</v>
      </c>
      <c r="B6120" s="12">
        <f>IFERROR(__xludf.DUMMYFUNCTION("""COMPUTED_VALUE"""),45120.0)</f>
        <v>45120</v>
      </c>
      <c r="C6120" s="16">
        <f>IFERROR(__xludf.DUMMYFUNCTION("""COMPUTED_VALUE"""),1.0)</f>
        <v>1</v>
      </c>
      <c r="D6120" s="8">
        <f>IFERROR(__xludf.DUMMYFUNCTION("""COMPUTED_VALUE"""),0.009)</f>
        <v>0.009</v>
      </c>
      <c r="E6120" s="8" t="str">
        <f>IFERROR(__xludf.DUMMYFUNCTION("""COMPUTED_VALUE"""),"Real")</f>
        <v>Real</v>
      </c>
      <c r="G6120" s="8">
        <f t="shared" si="1"/>
        <v>7</v>
      </c>
      <c r="H6120" s="14">
        <f t="shared" si="2"/>
        <v>13</v>
      </c>
      <c r="I6120" s="15">
        <f t="shared" si="3"/>
        <v>0</v>
      </c>
    </row>
    <row r="6121">
      <c r="A6121" s="8" t="str">
        <f>IFERROR(__xludf.DUMMYFUNCTION("IF('(INGESTA)Datos_consumo_datadis'!A6121&lt;&gt;"""",SPLIT('(INGESTA)Datos_consumo_datadis'!A:A,"",""),"""")"),"ES0031408323131005HX0F")</f>
        <v>ES0031408323131005HX0F</v>
      </c>
      <c r="B6121" s="12">
        <f>IFERROR(__xludf.DUMMYFUNCTION("""COMPUTED_VALUE"""),45121.0)</f>
        <v>45121</v>
      </c>
      <c r="C6121" s="13">
        <f>IFERROR(__xludf.DUMMYFUNCTION("""COMPUTED_VALUE"""),0.041666666666666664)</f>
        <v>0.04166666667</v>
      </c>
      <c r="D6121" s="8">
        <f>IFERROR(__xludf.DUMMYFUNCTION("""COMPUTED_VALUE"""),0.406)</f>
        <v>0.406</v>
      </c>
      <c r="E6121" s="8" t="str">
        <f>IFERROR(__xludf.DUMMYFUNCTION("""COMPUTED_VALUE"""),"Real")</f>
        <v>Real</v>
      </c>
      <c r="G6121" s="8">
        <f t="shared" si="1"/>
        <v>7</v>
      </c>
      <c r="H6121" s="14">
        <f t="shared" si="2"/>
        <v>14</v>
      </c>
      <c r="I6121" s="15">
        <f t="shared" si="3"/>
        <v>1</v>
      </c>
    </row>
    <row r="6122">
      <c r="A6122" s="8" t="str">
        <f>IFERROR(__xludf.DUMMYFUNCTION("IF('(INGESTA)Datos_consumo_datadis'!A6122&lt;&gt;"""",SPLIT('(INGESTA)Datos_consumo_datadis'!A:A,"",""),"""")"),"ES0031408323131005HX0F")</f>
        <v>ES0031408323131005HX0F</v>
      </c>
      <c r="B6122" s="12">
        <f>IFERROR(__xludf.DUMMYFUNCTION("""COMPUTED_VALUE"""),45121.0)</f>
        <v>45121</v>
      </c>
      <c r="C6122" s="13">
        <f>IFERROR(__xludf.DUMMYFUNCTION("""COMPUTED_VALUE"""),0.08333333333333333)</f>
        <v>0.08333333333</v>
      </c>
      <c r="D6122" s="8">
        <f>IFERROR(__xludf.DUMMYFUNCTION("""COMPUTED_VALUE"""),0.099)</f>
        <v>0.099</v>
      </c>
      <c r="E6122" s="8" t="str">
        <f>IFERROR(__xludf.DUMMYFUNCTION("""COMPUTED_VALUE"""),"Real")</f>
        <v>Real</v>
      </c>
      <c r="G6122" s="8">
        <f t="shared" si="1"/>
        <v>7</v>
      </c>
      <c r="H6122" s="14">
        <f t="shared" si="2"/>
        <v>14</v>
      </c>
      <c r="I6122" s="15">
        <f t="shared" si="3"/>
        <v>2</v>
      </c>
    </row>
    <row r="6123">
      <c r="A6123" s="8" t="str">
        <f>IFERROR(__xludf.DUMMYFUNCTION("IF('(INGESTA)Datos_consumo_datadis'!A6123&lt;&gt;"""",SPLIT('(INGESTA)Datos_consumo_datadis'!A:A,"",""),"""")"),"ES0031408323131005HX0F")</f>
        <v>ES0031408323131005HX0F</v>
      </c>
      <c r="B6123" s="12">
        <f>IFERROR(__xludf.DUMMYFUNCTION("""COMPUTED_VALUE"""),45121.0)</f>
        <v>45121</v>
      </c>
      <c r="C6123" s="13">
        <f>IFERROR(__xludf.DUMMYFUNCTION("""COMPUTED_VALUE"""),0.125)</f>
        <v>0.125</v>
      </c>
      <c r="D6123" s="8">
        <f>IFERROR(__xludf.DUMMYFUNCTION("""COMPUTED_VALUE"""),0.078)</f>
        <v>0.078</v>
      </c>
      <c r="E6123" s="8" t="str">
        <f>IFERROR(__xludf.DUMMYFUNCTION("""COMPUTED_VALUE"""),"Real")</f>
        <v>Real</v>
      </c>
      <c r="G6123" s="8">
        <f t="shared" si="1"/>
        <v>7</v>
      </c>
      <c r="H6123" s="14">
        <f t="shared" si="2"/>
        <v>14</v>
      </c>
      <c r="I6123" s="15">
        <f t="shared" si="3"/>
        <v>3</v>
      </c>
    </row>
    <row r="6124">
      <c r="A6124" s="8" t="str">
        <f>IFERROR(__xludf.DUMMYFUNCTION("IF('(INGESTA)Datos_consumo_datadis'!A6124&lt;&gt;"""",SPLIT('(INGESTA)Datos_consumo_datadis'!A:A,"",""),"""")"),"ES0031408323131005HX0F")</f>
        <v>ES0031408323131005HX0F</v>
      </c>
      <c r="B6124" s="12">
        <f>IFERROR(__xludf.DUMMYFUNCTION("""COMPUTED_VALUE"""),45121.0)</f>
        <v>45121</v>
      </c>
      <c r="C6124" s="13">
        <f>IFERROR(__xludf.DUMMYFUNCTION("""COMPUTED_VALUE"""),0.16666666666666666)</f>
        <v>0.1666666667</v>
      </c>
      <c r="D6124" s="8">
        <f>IFERROR(__xludf.DUMMYFUNCTION("""COMPUTED_VALUE"""),0.033)</f>
        <v>0.033</v>
      </c>
      <c r="E6124" s="8" t="str">
        <f>IFERROR(__xludf.DUMMYFUNCTION("""COMPUTED_VALUE"""),"Real")</f>
        <v>Real</v>
      </c>
      <c r="G6124" s="8">
        <f t="shared" si="1"/>
        <v>7</v>
      </c>
      <c r="H6124" s="14">
        <f t="shared" si="2"/>
        <v>14</v>
      </c>
      <c r="I6124" s="15">
        <f t="shared" si="3"/>
        <v>4</v>
      </c>
    </row>
    <row r="6125">
      <c r="A6125" s="8" t="str">
        <f>IFERROR(__xludf.DUMMYFUNCTION("IF('(INGESTA)Datos_consumo_datadis'!A6125&lt;&gt;"""",SPLIT('(INGESTA)Datos_consumo_datadis'!A:A,"",""),"""")"),"ES0031408323131005HX0F")</f>
        <v>ES0031408323131005HX0F</v>
      </c>
      <c r="B6125" s="12">
        <f>IFERROR(__xludf.DUMMYFUNCTION("""COMPUTED_VALUE"""),45121.0)</f>
        <v>45121</v>
      </c>
      <c r="C6125" s="13">
        <f>IFERROR(__xludf.DUMMYFUNCTION("""COMPUTED_VALUE"""),0.20833333333333334)</f>
        <v>0.2083333333</v>
      </c>
      <c r="D6125" s="8">
        <f>IFERROR(__xludf.DUMMYFUNCTION("""COMPUTED_VALUE"""),0.023)</f>
        <v>0.023</v>
      </c>
      <c r="E6125" s="8" t="str">
        <f>IFERROR(__xludf.DUMMYFUNCTION("""COMPUTED_VALUE"""),"Real")</f>
        <v>Real</v>
      </c>
      <c r="G6125" s="8">
        <f t="shared" si="1"/>
        <v>7</v>
      </c>
      <c r="H6125" s="14">
        <f t="shared" si="2"/>
        <v>14</v>
      </c>
      <c r="I6125" s="15">
        <f t="shared" si="3"/>
        <v>5</v>
      </c>
    </row>
    <row r="6126">
      <c r="A6126" s="8" t="str">
        <f>IFERROR(__xludf.DUMMYFUNCTION("IF('(INGESTA)Datos_consumo_datadis'!A6126&lt;&gt;"""",SPLIT('(INGESTA)Datos_consumo_datadis'!A:A,"",""),"""")"),"ES0031408323131005HX0F")</f>
        <v>ES0031408323131005HX0F</v>
      </c>
      <c r="B6126" s="12">
        <f>IFERROR(__xludf.DUMMYFUNCTION("""COMPUTED_VALUE"""),45121.0)</f>
        <v>45121</v>
      </c>
      <c r="C6126" s="13">
        <f>IFERROR(__xludf.DUMMYFUNCTION("""COMPUTED_VALUE"""),0.25)</f>
        <v>0.25</v>
      </c>
      <c r="D6126" s="8">
        <f>IFERROR(__xludf.DUMMYFUNCTION("""COMPUTED_VALUE"""),0.117)</f>
        <v>0.117</v>
      </c>
      <c r="E6126" s="8" t="str">
        <f>IFERROR(__xludf.DUMMYFUNCTION("""COMPUTED_VALUE"""),"Real")</f>
        <v>Real</v>
      </c>
      <c r="G6126" s="8">
        <f t="shared" si="1"/>
        <v>7</v>
      </c>
      <c r="H6126" s="14">
        <f t="shared" si="2"/>
        <v>14</v>
      </c>
      <c r="I6126" s="15">
        <f t="shared" si="3"/>
        <v>6</v>
      </c>
    </row>
    <row r="6127">
      <c r="A6127" s="8" t="str">
        <f>IFERROR(__xludf.DUMMYFUNCTION("IF('(INGESTA)Datos_consumo_datadis'!A6127&lt;&gt;"""",SPLIT('(INGESTA)Datos_consumo_datadis'!A:A,"",""),"""")"),"ES0031408323131005HX0F")</f>
        <v>ES0031408323131005HX0F</v>
      </c>
      <c r="B6127" s="12">
        <f>IFERROR(__xludf.DUMMYFUNCTION("""COMPUTED_VALUE"""),45121.0)</f>
        <v>45121</v>
      </c>
      <c r="C6127" s="13">
        <f>IFERROR(__xludf.DUMMYFUNCTION("""COMPUTED_VALUE"""),0.2916666666666667)</f>
        <v>0.2916666667</v>
      </c>
      <c r="D6127" s="8">
        <f>IFERROR(__xludf.DUMMYFUNCTION("""COMPUTED_VALUE"""),0.084)</f>
        <v>0.084</v>
      </c>
      <c r="E6127" s="8" t="str">
        <f>IFERROR(__xludf.DUMMYFUNCTION("""COMPUTED_VALUE"""),"Real")</f>
        <v>Real</v>
      </c>
      <c r="G6127" s="8">
        <f t="shared" si="1"/>
        <v>7</v>
      </c>
      <c r="H6127" s="14">
        <f t="shared" si="2"/>
        <v>14</v>
      </c>
      <c r="I6127" s="15">
        <f t="shared" si="3"/>
        <v>7</v>
      </c>
    </row>
    <row r="6128">
      <c r="A6128" s="8" t="str">
        <f>IFERROR(__xludf.DUMMYFUNCTION("IF('(INGESTA)Datos_consumo_datadis'!A6128&lt;&gt;"""",SPLIT('(INGESTA)Datos_consumo_datadis'!A:A,"",""),"""")"),"ES0031408323131005HX0F")</f>
        <v>ES0031408323131005HX0F</v>
      </c>
      <c r="B6128" s="12">
        <f>IFERROR(__xludf.DUMMYFUNCTION("""COMPUTED_VALUE"""),45121.0)</f>
        <v>45121</v>
      </c>
      <c r="C6128" s="13">
        <f>IFERROR(__xludf.DUMMYFUNCTION("""COMPUTED_VALUE"""),0.3333333333333333)</f>
        <v>0.3333333333</v>
      </c>
      <c r="D6128" s="8">
        <f>IFERROR(__xludf.DUMMYFUNCTION("""COMPUTED_VALUE"""),0.084)</f>
        <v>0.084</v>
      </c>
      <c r="E6128" s="8" t="str">
        <f>IFERROR(__xludf.DUMMYFUNCTION("""COMPUTED_VALUE"""),"Real")</f>
        <v>Real</v>
      </c>
      <c r="G6128" s="8">
        <f t="shared" si="1"/>
        <v>7</v>
      </c>
      <c r="H6128" s="14">
        <f t="shared" si="2"/>
        <v>14</v>
      </c>
      <c r="I6128" s="15">
        <f t="shared" si="3"/>
        <v>8</v>
      </c>
    </row>
    <row r="6129">
      <c r="A6129" s="8" t="str">
        <f>IFERROR(__xludf.DUMMYFUNCTION("IF('(INGESTA)Datos_consumo_datadis'!A6129&lt;&gt;"""",SPLIT('(INGESTA)Datos_consumo_datadis'!A:A,"",""),"""")"),"ES0031408323131005HX0F")</f>
        <v>ES0031408323131005HX0F</v>
      </c>
      <c r="B6129" s="12">
        <f>IFERROR(__xludf.DUMMYFUNCTION("""COMPUTED_VALUE"""),45121.0)</f>
        <v>45121</v>
      </c>
      <c r="C6129" s="13">
        <f>IFERROR(__xludf.DUMMYFUNCTION("""COMPUTED_VALUE"""),0.375)</f>
        <v>0.375</v>
      </c>
      <c r="D6129" s="8">
        <f>IFERROR(__xludf.DUMMYFUNCTION("""COMPUTED_VALUE"""),0.01)</f>
        <v>0.01</v>
      </c>
      <c r="E6129" s="8" t="str">
        <f>IFERROR(__xludf.DUMMYFUNCTION("""COMPUTED_VALUE"""),"Real")</f>
        <v>Real</v>
      </c>
      <c r="G6129" s="8">
        <f t="shared" si="1"/>
        <v>7</v>
      </c>
      <c r="H6129" s="14">
        <f t="shared" si="2"/>
        <v>14</v>
      </c>
      <c r="I6129" s="15">
        <f t="shared" si="3"/>
        <v>9</v>
      </c>
    </row>
    <row r="6130">
      <c r="A6130" s="8" t="str">
        <f>IFERROR(__xludf.DUMMYFUNCTION("IF('(INGESTA)Datos_consumo_datadis'!A6130&lt;&gt;"""",SPLIT('(INGESTA)Datos_consumo_datadis'!A:A,"",""),"""")"),"ES0031408323131005HX0F")</f>
        <v>ES0031408323131005HX0F</v>
      </c>
      <c r="B6130" s="12">
        <f>IFERROR(__xludf.DUMMYFUNCTION("""COMPUTED_VALUE"""),45121.0)</f>
        <v>45121</v>
      </c>
      <c r="C6130" s="13">
        <f>IFERROR(__xludf.DUMMYFUNCTION("""COMPUTED_VALUE"""),0.4166666666666667)</f>
        <v>0.4166666667</v>
      </c>
      <c r="D6130" s="8">
        <f>IFERROR(__xludf.DUMMYFUNCTION("""COMPUTED_VALUE"""),0.364)</f>
        <v>0.364</v>
      </c>
      <c r="E6130" s="8" t="str">
        <f>IFERROR(__xludf.DUMMYFUNCTION("""COMPUTED_VALUE"""),"Real")</f>
        <v>Real</v>
      </c>
      <c r="G6130" s="8">
        <f t="shared" si="1"/>
        <v>7</v>
      </c>
      <c r="H6130" s="14">
        <f t="shared" si="2"/>
        <v>14</v>
      </c>
      <c r="I6130" s="15">
        <f t="shared" si="3"/>
        <v>10</v>
      </c>
    </row>
    <row r="6131">
      <c r="A6131" s="8" t="str">
        <f>IFERROR(__xludf.DUMMYFUNCTION("IF('(INGESTA)Datos_consumo_datadis'!A6131&lt;&gt;"""",SPLIT('(INGESTA)Datos_consumo_datadis'!A:A,"",""),"""")"),"ES0031408323131005HX0F")</f>
        <v>ES0031408323131005HX0F</v>
      </c>
      <c r="B6131" s="12">
        <f>IFERROR(__xludf.DUMMYFUNCTION("""COMPUTED_VALUE"""),45121.0)</f>
        <v>45121</v>
      </c>
      <c r="C6131" s="13">
        <f>IFERROR(__xludf.DUMMYFUNCTION("""COMPUTED_VALUE"""),0.4583333333333333)</f>
        <v>0.4583333333</v>
      </c>
      <c r="D6131" s="8">
        <f>IFERROR(__xludf.DUMMYFUNCTION("""COMPUTED_VALUE"""),0.114)</f>
        <v>0.114</v>
      </c>
      <c r="E6131" s="8" t="str">
        <f>IFERROR(__xludf.DUMMYFUNCTION("""COMPUTED_VALUE"""),"Real")</f>
        <v>Real</v>
      </c>
      <c r="G6131" s="8">
        <f t="shared" si="1"/>
        <v>7</v>
      </c>
      <c r="H6131" s="14">
        <f t="shared" si="2"/>
        <v>14</v>
      </c>
      <c r="I6131" s="15">
        <f t="shared" si="3"/>
        <v>11</v>
      </c>
    </row>
    <row r="6132">
      <c r="A6132" s="8" t="str">
        <f>IFERROR(__xludf.DUMMYFUNCTION("IF('(INGESTA)Datos_consumo_datadis'!A6132&lt;&gt;"""",SPLIT('(INGESTA)Datos_consumo_datadis'!A:A,"",""),"""")"),"ES0031408323131005HX0F")</f>
        <v>ES0031408323131005HX0F</v>
      </c>
      <c r="B6132" s="12">
        <f>IFERROR(__xludf.DUMMYFUNCTION("""COMPUTED_VALUE"""),45121.0)</f>
        <v>45121</v>
      </c>
      <c r="C6132" s="13">
        <f>IFERROR(__xludf.DUMMYFUNCTION("""COMPUTED_VALUE"""),0.5)</f>
        <v>0.5</v>
      </c>
      <c r="D6132" s="8">
        <f>IFERROR(__xludf.DUMMYFUNCTION("""COMPUTED_VALUE"""),0.083)</f>
        <v>0.083</v>
      </c>
      <c r="E6132" s="8" t="str">
        <f>IFERROR(__xludf.DUMMYFUNCTION("""COMPUTED_VALUE"""),"Real")</f>
        <v>Real</v>
      </c>
      <c r="G6132" s="8">
        <f t="shared" si="1"/>
        <v>7</v>
      </c>
      <c r="H6132" s="14">
        <f t="shared" si="2"/>
        <v>14</v>
      </c>
      <c r="I6132" s="15">
        <f t="shared" si="3"/>
        <v>12</v>
      </c>
    </row>
    <row r="6133">
      <c r="A6133" s="8" t="str">
        <f>IFERROR(__xludf.DUMMYFUNCTION("IF('(INGESTA)Datos_consumo_datadis'!A6133&lt;&gt;"""",SPLIT('(INGESTA)Datos_consumo_datadis'!A:A,"",""),"""")"),"ES0031408323131005HX0F")</f>
        <v>ES0031408323131005HX0F</v>
      </c>
      <c r="B6133" s="12">
        <f>IFERROR(__xludf.DUMMYFUNCTION("""COMPUTED_VALUE"""),45121.0)</f>
        <v>45121</v>
      </c>
      <c r="C6133" s="13">
        <f>IFERROR(__xludf.DUMMYFUNCTION("""COMPUTED_VALUE"""),0.5416666666666666)</f>
        <v>0.5416666667</v>
      </c>
      <c r="D6133" s="8">
        <f>IFERROR(__xludf.DUMMYFUNCTION("""COMPUTED_VALUE"""),0.054)</f>
        <v>0.054</v>
      </c>
      <c r="E6133" s="8" t="str">
        <f>IFERROR(__xludf.DUMMYFUNCTION("""COMPUTED_VALUE"""),"Real")</f>
        <v>Real</v>
      </c>
      <c r="G6133" s="8">
        <f t="shared" si="1"/>
        <v>7</v>
      </c>
      <c r="H6133" s="14">
        <f t="shared" si="2"/>
        <v>14</v>
      </c>
      <c r="I6133" s="15">
        <f t="shared" si="3"/>
        <v>13</v>
      </c>
    </row>
    <row r="6134">
      <c r="A6134" s="8" t="str">
        <f>IFERROR(__xludf.DUMMYFUNCTION("IF('(INGESTA)Datos_consumo_datadis'!A6134&lt;&gt;"""",SPLIT('(INGESTA)Datos_consumo_datadis'!A:A,"",""),"""")"),"ES0031408323131005HX0F")</f>
        <v>ES0031408323131005HX0F</v>
      </c>
      <c r="B6134" s="12">
        <f>IFERROR(__xludf.DUMMYFUNCTION("""COMPUTED_VALUE"""),45121.0)</f>
        <v>45121</v>
      </c>
      <c r="C6134" s="13">
        <f>IFERROR(__xludf.DUMMYFUNCTION("""COMPUTED_VALUE"""),0.5833333333333334)</f>
        <v>0.5833333333</v>
      </c>
      <c r="D6134" s="8">
        <f>IFERROR(__xludf.DUMMYFUNCTION("""COMPUTED_VALUE"""),0.009)</f>
        <v>0.009</v>
      </c>
      <c r="E6134" s="8" t="str">
        <f>IFERROR(__xludf.DUMMYFUNCTION("""COMPUTED_VALUE"""),"Real")</f>
        <v>Real</v>
      </c>
      <c r="G6134" s="8">
        <f t="shared" si="1"/>
        <v>7</v>
      </c>
      <c r="H6134" s="14">
        <f t="shared" si="2"/>
        <v>14</v>
      </c>
      <c r="I6134" s="15">
        <f t="shared" si="3"/>
        <v>14</v>
      </c>
    </row>
    <row r="6135">
      <c r="A6135" s="8" t="str">
        <f>IFERROR(__xludf.DUMMYFUNCTION("IF('(INGESTA)Datos_consumo_datadis'!A6135&lt;&gt;"""",SPLIT('(INGESTA)Datos_consumo_datadis'!A:A,"",""),"""")"),"ES0031408323131005HX0F")</f>
        <v>ES0031408323131005HX0F</v>
      </c>
      <c r="B6135" s="12">
        <f>IFERROR(__xludf.DUMMYFUNCTION("""COMPUTED_VALUE"""),45121.0)</f>
        <v>45121</v>
      </c>
      <c r="C6135" s="13">
        <f>IFERROR(__xludf.DUMMYFUNCTION("""COMPUTED_VALUE"""),0.625)</f>
        <v>0.625</v>
      </c>
      <c r="D6135" s="8">
        <f>IFERROR(__xludf.DUMMYFUNCTION("""COMPUTED_VALUE"""),0.087)</f>
        <v>0.087</v>
      </c>
      <c r="E6135" s="8" t="str">
        <f>IFERROR(__xludf.DUMMYFUNCTION("""COMPUTED_VALUE"""),"Real")</f>
        <v>Real</v>
      </c>
      <c r="G6135" s="8">
        <f t="shared" si="1"/>
        <v>7</v>
      </c>
      <c r="H6135" s="14">
        <f t="shared" si="2"/>
        <v>14</v>
      </c>
      <c r="I6135" s="15">
        <f t="shared" si="3"/>
        <v>15</v>
      </c>
    </row>
    <row r="6136">
      <c r="A6136" s="8" t="str">
        <f>IFERROR(__xludf.DUMMYFUNCTION("IF('(INGESTA)Datos_consumo_datadis'!A6136&lt;&gt;"""",SPLIT('(INGESTA)Datos_consumo_datadis'!A:A,"",""),"""")"),"ES0031408323131005HX0F")</f>
        <v>ES0031408323131005HX0F</v>
      </c>
      <c r="B6136" s="12">
        <f>IFERROR(__xludf.DUMMYFUNCTION("""COMPUTED_VALUE"""),45121.0)</f>
        <v>45121</v>
      </c>
      <c r="C6136" s="13">
        <f>IFERROR(__xludf.DUMMYFUNCTION("""COMPUTED_VALUE"""),0.6666666666666666)</f>
        <v>0.6666666667</v>
      </c>
      <c r="D6136" s="8">
        <f>IFERROR(__xludf.DUMMYFUNCTION("""COMPUTED_VALUE"""),0.111)</f>
        <v>0.111</v>
      </c>
      <c r="E6136" s="8" t="str">
        <f>IFERROR(__xludf.DUMMYFUNCTION("""COMPUTED_VALUE"""),"Real")</f>
        <v>Real</v>
      </c>
      <c r="G6136" s="8">
        <f t="shared" si="1"/>
        <v>7</v>
      </c>
      <c r="H6136" s="14">
        <f t="shared" si="2"/>
        <v>14</v>
      </c>
      <c r="I6136" s="15">
        <f t="shared" si="3"/>
        <v>16</v>
      </c>
    </row>
    <row r="6137">
      <c r="A6137" s="8" t="str">
        <f>IFERROR(__xludf.DUMMYFUNCTION("IF('(INGESTA)Datos_consumo_datadis'!A6137&lt;&gt;"""",SPLIT('(INGESTA)Datos_consumo_datadis'!A:A,"",""),"""")"),"ES0031408323131005HX0F")</f>
        <v>ES0031408323131005HX0F</v>
      </c>
      <c r="B6137" s="12">
        <f>IFERROR(__xludf.DUMMYFUNCTION("""COMPUTED_VALUE"""),45121.0)</f>
        <v>45121</v>
      </c>
      <c r="C6137" s="13">
        <f>IFERROR(__xludf.DUMMYFUNCTION("""COMPUTED_VALUE"""),0.7083333333333334)</f>
        <v>0.7083333333</v>
      </c>
      <c r="D6137" s="8">
        <f>IFERROR(__xludf.DUMMYFUNCTION("""COMPUTED_VALUE"""),0.063)</f>
        <v>0.063</v>
      </c>
      <c r="E6137" s="8" t="str">
        <f>IFERROR(__xludf.DUMMYFUNCTION("""COMPUTED_VALUE"""),"Real")</f>
        <v>Real</v>
      </c>
      <c r="G6137" s="8">
        <f t="shared" si="1"/>
        <v>7</v>
      </c>
      <c r="H6137" s="14">
        <f t="shared" si="2"/>
        <v>14</v>
      </c>
      <c r="I6137" s="15">
        <f t="shared" si="3"/>
        <v>17</v>
      </c>
    </row>
    <row r="6138">
      <c r="A6138" s="8" t="str">
        <f>IFERROR(__xludf.DUMMYFUNCTION("IF('(INGESTA)Datos_consumo_datadis'!A6138&lt;&gt;"""",SPLIT('(INGESTA)Datos_consumo_datadis'!A:A,"",""),"""")"),"ES0031408323131005HX0F")</f>
        <v>ES0031408323131005HX0F</v>
      </c>
      <c r="B6138" s="12">
        <f>IFERROR(__xludf.DUMMYFUNCTION("""COMPUTED_VALUE"""),45121.0)</f>
        <v>45121</v>
      </c>
      <c r="C6138" s="13">
        <f>IFERROR(__xludf.DUMMYFUNCTION("""COMPUTED_VALUE"""),0.75)</f>
        <v>0.75</v>
      </c>
      <c r="D6138" s="8">
        <f>IFERROR(__xludf.DUMMYFUNCTION("""COMPUTED_VALUE"""),0.047)</f>
        <v>0.047</v>
      </c>
      <c r="E6138" s="8" t="str">
        <f>IFERROR(__xludf.DUMMYFUNCTION("""COMPUTED_VALUE"""),"Real")</f>
        <v>Real</v>
      </c>
      <c r="G6138" s="8">
        <f t="shared" si="1"/>
        <v>7</v>
      </c>
      <c r="H6138" s="14">
        <f t="shared" si="2"/>
        <v>14</v>
      </c>
      <c r="I6138" s="15">
        <f t="shared" si="3"/>
        <v>18</v>
      </c>
    </row>
    <row r="6139">
      <c r="A6139" s="8" t="str">
        <f>IFERROR(__xludf.DUMMYFUNCTION("IF('(INGESTA)Datos_consumo_datadis'!A6139&lt;&gt;"""",SPLIT('(INGESTA)Datos_consumo_datadis'!A:A,"",""),"""")"),"ES0031408323131005HX0F")</f>
        <v>ES0031408323131005HX0F</v>
      </c>
      <c r="B6139" s="12">
        <f>IFERROR(__xludf.DUMMYFUNCTION("""COMPUTED_VALUE"""),45121.0)</f>
        <v>45121</v>
      </c>
      <c r="C6139" s="13">
        <f>IFERROR(__xludf.DUMMYFUNCTION("""COMPUTED_VALUE"""),0.7916666666666666)</f>
        <v>0.7916666667</v>
      </c>
      <c r="D6139" s="8">
        <f>IFERROR(__xludf.DUMMYFUNCTION("""COMPUTED_VALUE"""),0.152)</f>
        <v>0.152</v>
      </c>
      <c r="E6139" s="8" t="str">
        <f>IFERROR(__xludf.DUMMYFUNCTION("""COMPUTED_VALUE"""),"Real")</f>
        <v>Real</v>
      </c>
      <c r="G6139" s="8">
        <f t="shared" si="1"/>
        <v>7</v>
      </c>
      <c r="H6139" s="14">
        <f t="shared" si="2"/>
        <v>14</v>
      </c>
      <c r="I6139" s="15">
        <f t="shared" si="3"/>
        <v>19</v>
      </c>
    </row>
    <row r="6140">
      <c r="A6140" s="8" t="str">
        <f>IFERROR(__xludf.DUMMYFUNCTION("IF('(INGESTA)Datos_consumo_datadis'!A6140&lt;&gt;"""",SPLIT('(INGESTA)Datos_consumo_datadis'!A:A,"",""),"""")"),"ES0031408323131005HX0F")</f>
        <v>ES0031408323131005HX0F</v>
      </c>
      <c r="B6140" s="12">
        <f>IFERROR(__xludf.DUMMYFUNCTION("""COMPUTED_VALUE"""),45121.0)</f>
        <v>45121</v>
      </c>
      <c r="C6140" s="13">
        <f>IFERROR(__xludf.DUMMYFUNCTION("""COMPUTED_VALUE"""),0.8333333333333334)</f>
        <v>0.8333333333</v>
      </c>
      <c r="D6140" s="8">
        <f>IFERROR(__xludf.DUMMYFUNCTION("""COMPUTED_VALUE"""),0.286)</f>
        <v>0.286</v>
      </c>
      <c r="E6140" s="8" t="str">
        <f>IFERROR(__xludf.DUMMYFUNCTION("""COMPUTED_VALUE"""),"Real")</f>
        <v>Real</v>
      </c>
      <c r="G6140" s="8">
        <f t="shared" si="1"/>
        <v>7</v>
      </c>
      <c r="H6140" s="14">
        <f t="shared" si="2"/>
        <v>14</v>
      </c>
      <c r="I6140" s="15">
        <f t="shared" si="3"/>
        <v>20</v>
      </c>
    </row>
    <row r="6141">
      <c r="A6141" s="8" t="str">
        <f>IFERROR(__xludf.DUMMYFUNCTION("IF('(INGESTA)Datos_consumo_datadis'!A6141&lt;&gt;"""",SPLIT('(INGESTA)Datos_consumo_datadis'!A:A,"",""),"""")"),"ES0031408323131005HX0F")</f>
        <v>ES0031408323131005HX0F</v>
      </c>
      <c r="B6141" s="12">
        <f>IFERROR(__xludf.DUMMYFUNCTION("""COMPUTED_VALUE"""),45121.0)</f>
        <v>45121</v>
      </c>
      <c r="C6141" s="13">
        <f>IFERROR(__xludf.DUMMYFUNCTION("""COMPUTED_VALUE"""),0.875)</f>
        <v>0.875</v>
      </c>
      <c r="D6141" s="8">
        <f>IFERROR(__xludf.DUMMYFUNCTION("""COMPUTED_VALUE"""),0.088)</f>
        <v>0.088</v>
      </c>
      <c r="E6141" s="8" t="str">
        <f>IFERROR(__xludf.DUMMYFUNCTION("""COMPUTED_VALUE"""),"Real")</f>
        <v>Real</v>
      </c>
      <c r="G6141" s="8">
        <f t="shared" si="1"/>
        <v>7</v>
      </c>
      <c r="H6141" s="14">
        <f t="shared" si="2"/>
        <v>14</v>
      </c>
      <c r="I6141" s="15">
        <f t="shared" si="3"/>
        <v>21</v>
      </c>
    </row>
    <row r="6142">
      <c r="A6142" s="8" t="str">
        <f>IFERROR(__xludf.DUMMYFUNCTION("IF('(INGESTA)Datos_consumo_datadis'!A6142&lt;&gt;"""",SPLIT('(INGESTA)Datos_consumo_datadis'!A:A,"",""),"""")"),"ES0031408323131005HX0F")</f>
        <v>ES0031408323131005HX0F</v>
      </c>
      <c r="B6142" s="12">
        <f>IFERROR(__xludf.DUMMYFUNCTION("""COMPUTED_VALUE"""),45121.0)</f>
        <v>45121</v>
      </c>
      <c r="C6142" s="13">
        <f>IFERROR(__xludf.DUMMYFUNCTION("""COMPUTED_VALUE"""),0.9166666666666666)</f>
        <v>0.9166666667</v>
      </c>
      <c r="D6142" s="8">
        <f>IFERROR(__xludf.DUMMYFUNCTION("""COMPUTED_VALUE"""),0.088)</f>
        <v>0.088</v>
      </c>
      <c r="E6142" s="8" t="str">
        <f>IFERROR(__xludf.DUMMYFUNCTION("""COMPUTED_VALUE"""),"Real")</f>
        <v>Real</v>
      </c>
      <c r="G6142" s="8">
        <f t="shared" si="1"/>
        <v>7</v>
      </c>
      <c r="H6142" s="14">
        <f t="shared" si="2"/>
        <v>14</v>
      </c>
      <c r="I6142" s="15">
        <f t="shared" si="3"/>
        <v>22</v>
      </c>
    </row>
    <row r="6143">
      <c r="A6143" s="8" t="str">
        <f>IFERROR(__xludf.DUMMYFUNCTION("IF('(INGESTA)Datos_consumo_datadis'!A6143&lt;&gt;"""",SPLIT('(INGESTA)Datos_consumo_datadis'!A:A,"",""),"""")"),"ES0031408323131005HX0F")</f>
        <v>ES0031408323131005HX0F</v>
      </c>
      <c r="B6143" s="12">
        <f>IFERROR(__xludf.DUMMYFUNCTION("""COMPUTED_VALUE"""),45121.0)</f>
        <v>45121</v>
      </c>
      <c r="C6143" s="13">
        <f>IFERROR(__xludf.DUMMYFUNCTION("""COMPUTED_VALUE"""),0.9583333333333334)</f>
        <v>0.9583333333</v>
      </c>
      <c r="D6143" s="8">
        <f>IFERROR(__xludf.DUMMYFUNCTION("""COMPUTED_VALUE"""),0.026)</f>
        <v>0.026</v>
      </c>
      <c r="E6143" s="8" t="str">
        <f>IFERROR(__xludf.DUMMYFUNCTION("""COMPUTED_VALUE"""),"Real")</f>
        <v>Real</v>
      </c>
      <c r="G6143" s="8">
        <f t="shared" si="1"/>
        <v>7</v>
      </c>
      <c r="H6143" s="14">
        <f t="shared" si="2"/>
        <v>14</v>
      </c>
      <c r="I6143" s="15">
        <f t="shared" si="3"/>
        <v>23</v>
      </c>
    </row>
    <row r="6144">
      <c r="A6144" s="8" t="str">
        <f>IFERROR(__xludf.DUMMYFUNCTION("IF('(INGESTA)Datos_consumo_datadis'!A6144&lt;&gt;"""",SPLIT('(INGESTA)Datos_consumo_datadis'!A:A,"",""),"""")"),"ES0031408323131005HX0F")</f>
        <v>ES0031408323131005HX0F</v>
      </c>
      <c r="B6144" s="12">
        <f>IFERROR(__xludf.DUMMYFUNCTION("""COMPUTED_VALUE"""),45121.0)</f>
        <v>45121</v>
      </c>
      <c r="C6144" s="16">
        <f>IFERROR(__xludf.DUMMYFUNCTION("""COMPUTED_VALUE"""),1.0)</f>
        <v>1</v>
      </c>
      <c r="D6144" s="8">
        <f>IFERROR(__xludf.DUMMYFUNCTION("""COMPUTED_VALUE"""),0.032)</f>
        <v>0.032</v>
      </c>
      <c r="E6144" s="8" t="str">
        <f>IFERROR(__xludf.DUMMYFUNCTION("""COMPUTED_VALUE"""),"Real")</f>
        <v>Real</v>
      </c>
      <c r="G6144" s="8">
        <f t="shared" si="1"/>
        <v>7</v>
      </c>
      <c r="H6144" s="14">
        <f t="shared" si="2"/>
        <v>14</v>
      </c>
      <c r="I6144" s="15">
        <f t="shared" si="3"/>
        <v>0</v>
      </c>
    </row>
    <row r="6145">
      <c r="A6145" s="8" t="str">
        <f>IFERROR(__xludf.DUMMYFUNCTION("IF('(INGESTA)Datos_consumo_datadis'!A6145&lt;&gt;"""",SPLIT('(INGESTA)Datos_consumo_datadis'!A:A,"",""),"""")"),"ES0031408323131005HX0F")</f>
        <v>ES0031408323131005HX0F</v>
      </c>
      <c r="B6145" s="12">
        <f>IFERROR(__xludf.DUMMYFUNCTION("""COMPUTED_VALUE"""),45122.0)</f>
        <v>45122</v>
      </c>
      <c r="C6145" s="13">
        <f>IFERROR(__xludf.DUMMYFUNCTION("""COMPUTED_VALUE"""),0.041666666666666664)</f>
        <v>0.04166666667</v>
      </c>
      <c r="D6145" s="8">
        <f>IFERROR(__xludf.DUMMYFUNCTION("""COMPUTED_VALUE"""),0.116)</f>
        <v>0.116</v>
      </c>
      <c r="E6145" s="8" t="str">
        <f>IFERROR(__xludf.DUMMYFUNCTION("""COMPUTED_VALUE"""),"Real")</f>
        <v>Real</v>
      </c>
      <c r="G6145" s="8">
        <f t="shared" si="1"/>
        <v>7</v>
      </c>
      <c r="H6145" s="14">
        <f t="shared" si="2"/>
        <v>15</v>
      </c>
      <c r="I6145" s="15">
        <f t="shared" si="3"/>
        <v>1</v>
      </c>
    </row>
    <row r="6146">
      <c r="A6146" s="8" t="str">
        <f>IFERROR(__xludf.DUMMYFUNCTION("IF('(INGESTA)Datos_consumo_datadis'!A6146&lt;&gt;"""",SPLIT('(INGESTA)Datos_consumo_datadis'!A:A,"",""),"""")"),"ES0031408323131005HX0F")</f>
        <v>ES0031408323131005HX0F</v>
      </c>
      <c r="B6146" s="12">
        <f>IFERROR(__xludf.DUMMYFUNCTION("""COMPUTED_VALUE"""),45122.0)</f>
        <v>45122</v>
      </c>
      <c r="C6146" s="13">
        <f>IFERROR(__xludf.DUMMYFUNCTION("""COMPUTED_VALUE"""),0.08333333333333333)</f>
        <v>0.08333333333</v>
      </c>
      <c r="D6146" s="8">
        <f>IFERROR(__xludf.DUMMYFUNCTION("""COMPUTED_VALUE"""),0.084)</f>
        <v>0.084</v>
      </c>
      <c r="E6146" s="8" t="str">
        <f>IFERROR(__xludf.DUMMYFUNCTION("""COMPUTED_VALUE"""),"Real")</f>
        <v>Real</v>
      </c>
      <c r="G6146" s="8">
        <f t="shared" si="1"/>
        <v>7</v>
      </c>
      <c r="H6146" s="14">
        <f t="shared" si="2"/>
        <v>15</v>
      </c>
      <c r="I6146" s="15">
        <f t="shared" si="3"/>
        <v>2</v>
      </c>
    </row>
    <row r="6147">
      <c r="A6147" s="8" t="str">
        <f>IFERROR(__xludf.DUMMYFUNCTION("IF('(INGESTA)Datos_consumo_datadis'!A6147&lt;&gt;"""",SPLIT('(INGESTA)Datos_consumo_datadis'!A:A,"",""),"""")"),"ES0031408323131005HX0F")</f>
        <v>ES0031408323131005HX0F</v>
      </c>
      <c r="B6147" s="12">
        <f>IFERROR(__xludf.DUMMYFUNCTION("""COMPUTED_VALUE"""),45122.0)</f>
        <v>45122</v>
      </c>
      <c r="C6147" s="13">
        <f>IFERROR(__xludf.DUMMYFUNCTION("""COMPUTED_VALUE"""),0.125)</f>
        <v>0.125</v>
      </c>
      <c r="D6147" s="8">
        <f>IFERROR(__xludf.DUMMYFUNCTION("""COMPUTED_VALUE"""),0.084)</f>
        <v>0.084</v>
      </c>
      <c r="E6147" s="8" t="str">
        <f>IFERROR(__xludf.DUMMYFUNCTION("""COMPUTED_VALUE"""),"Real")</f>
        <v>Real</v>
      </c>
      <c r="G6147" s="8">
        <f t="shared" si="1"/>
        <v>7</v>
      </c>
      <c r="H6147" s="14">
        <f t="shared" si="2"/>
        <v>15</v>
      </c>
      <c r="I6147" s="15">
        <f t="shared" si="3"/>
        <v>3</v>
      </c>
    </row>
    <row r="6148">
      <c r="A6148" s="8" t="str">
        <f>IFERROR(__xludf.DUMMYFUNCTION("IF('(INGESTA)Datos_consumo_datadis'!A6148&lt;&gt;"""",SPLIT('(INGESTA)Datos_consumo_datadis'!A:A,"",""),"""")"),"ES0031408323131005HX0F")</f>
        <v>ES0031408323131005HX0F</v>
      </c>
      <c r="B6148" s="12">
        <f>IFERROR(__xludf.DUMMYFUNCTION("""COMPUTED_VALUE"""),45122.0)</f>
        <v>45122</v>
      </c>
      <c r="C6148" s="13">
        <f>IFERROR(__xludf.DUMMYFUNCTION("""COMPUTED_VALUE"""),0.16666666666666666)</f>
        <v>0.1666666667</v>
      </c>
      <c r="D6148" s="8">
        <f>IFERROR(__xludf.DUMMYFUNCTION("""COMPUTED_VALUE"""),0.304)</f>
        <v>0.304</v>
      </c>
      <c r="E6148" s="8" t="str">
        <f>IFERROR(__xludf.DUMMYFUNCTION("""COMPUTED_VALUE"""),"Real")</f>
        <v>Real</v>
      </c>
      <c r="G6148" s="8">
        <f t="shared" si="1"/>
        <v>7</v>
      </c>
      <c r="H6148" s="14">
        <f t="shared" si="2"/>
        <v>15</v>
      </c>
      <c r="I6148" s="15">
        <f t="shared" si="3"/>
        <v>4</v>
      </c>
    </row>
    <row r="6149">
      <c r="A6149" s="8" t="str">
        <f>IFERROR(__xludf.DUMMYFUNCTION("IF('(INGESTA)Datos_consumo_datadis'!A6149&lt;&gt;"""",SPLIT('(INGESTA)Datos_consumo_datadis'!A:A,"",""),"""")"),"ES0031408323131005HX0F")</f>
        <v>ES0031408323131005HX0F</v>
      </c>
      <c r="B6149" s="12">
        <f>IFERROR(__xludf.DUMMYFUNCTION("""COMPUTED_VALUE"""),45122.0)</f>
        <v>45122</v>
      </c>
      <c r="C6149" s="13">
        <f>IFERROR(__xludf.DUMMYFUNCTION("""COMPUTED_VALUE"""),0.20833333333333334)</f>
        <v>0.2083333333</v>
      </c>
      <c r="D6149" s="8">
        <f>IFERROR(__xludf.DUMMYFUNCTION("""COMPUTED_VALUE"""),0.058)</f>
        <v>0.058</v>
      </c>
      <c r="E6149" s="8" t="str">
        <f>IFERROR(__xludf.DUMMYFUNCTION("""COMPUTED_VALUE"""),"Real")</f>
        <v>Real</v>
      </c>
      <c r="G6149" s="8">
        <f t="shared" si="1"/>
        <v>7</v>
      </c>
      <c r="H6149" s="14">
        <f t="shared" si="2"/>
        <v>15</v>
      </c>
      <c r="I6149" s="15">
        <f t="shared" si="3"/>
        <v>5</v>
      </c>
    </row>
    <row r="6150">
      <c r="A6150" s="8" t="str">
        <f>IFERROR(__xludf.DUMMYFUNCTION("IF('(INGESTA)Datos_consumo_datadis'!A6150&lt;&gt;"""",SPLIT('(INGESTA)Datos_consumo_datadis'!A:A,"",""),"""")"),"ES0031408323131005HX0F")</f>
        <v>ES0031408323131005HX0F</v>
      </c>
      <c r="B6150" s="12">
        <f>IFERROR(__xludf.DUMMYFUNCTION("""COMPUTED_VALUE"""),45122.0)</f>
        <v>45122</v>
      </c>
      <c r="C6150" s="13">
        <f>IFERROR(__xludf.DUMMYFUNCTION("""COMPUTED_VALUE"""),0.25)</f>
        <v>0.25</v>
      </c>
      <c r="D6150" s="8">
        <f>IFERROR(__xludf.DUMMYFUNCTION("""COMPUTED_VALUE"""),0.114)</f>
        <v>0.114</v>
      </c>
      <c r="E6150" s="8" t="str">
        <f>IFERROR(__xludf.DUMMYFUNCTION("""COMPUTED_VALUE"""),"Real")</f>
        <v>Real</v>
      </c>
      <c r="G6150" s="8">
        <f t="shared" si="1"/>
        <v>7</v>
      </c>
      <c r="H6150" s="14">
        <f t="shared" si="2"/>
        <v>15</v>
      </c>
      <c r="I6150" s="15">
        <f t="shared" si="3"/>
        <v>6</v>
      </c>
    </row>
    <row r="6151">
      <c r="A6151" s="8" t="str">
        <f>IFERROR(__xludf.DUMMYFUNCTION("IF('(INGESTA)Datos_consumo_datadis'!A6151&lt;&gt;"""",SPLIT('(INGESTA)Datos_consumo_datadis'!A:A,"",""),"""")"),"ES0031408323131005HX0F")</f>
        <v>ES0031408323131005HX0F</v>
      </c>
      <c r="B6151" s="12">
        <f>IFERROR(__xludf.DUMMYFUNCTION("""COMPUTED_VALUE"""),45122.0)</f>
        <v>45122</v>
      </c>
      <c r="C6151" s="13">
        <f>IFERROR(__xludf.DUMMYFUNCTION("""COMPUTED_VALUE"""),0.2916666666666667)</f>
        <v>0.2916666667</v>
      </c>
      <c r="D6151" s="8">
        <f>IFERROR(__xludf.DUMMYFUNCTION("""COMPUTED_VALUE"""),0.084)</f>
        <v>0.084</v>
      </c>
      <c r="E6151" s="8" t="str">
        <f>IFERROR(__xludf.DUMMYFUNCTION("""COMPUTED_VALUE"""),"Real")</f>
        <v>Real</v>
      </c>
      <c r="G6151" s="8">
        <f t="shared" si="1"/>
        <v>7</v>
      </c>
      <c r="H6151" s="14">
        <f t="shared" si="2"/>
        <v>15</v>
      </c>
      <c r="I6151" s="15">
        <f t="shared" si="3"/>
        <v>7</v>
      </c>
    </row>
    <row r="6152">
      <c r="A6152" s="8" t="str">
        <f>IFERROR(__xludf.DUMMYFUNCTION("IF('(INGESTA)Datos_consumo_datadis'!A6152&lt;&gt;"""",SPLIT('(INGESTA)Datos_consumo_datadis'!A:A,"",""),"""")"),"ES0031408323131005HX0F")</f>
        <v>ES0031408323131005HX0F</v>
      </c>
      <c r="B6152" s="12">
        <f>IFERROR(__xludf.DUMMYFUNCTION("""COMPUTED_VALUE"""),45122.0)</f>
        <v>45122</v>
      </c>
      <c r="C6152" s="13">
        <f>IFERROR(__xludf.DUMMYFUNCTION("""COMPUTED_VALUE"""),0.3333333333333333)</f>
        <v>0.3333333333</v>
      </c>
      <c r="D6152" s="8">
        <f>IFERROR(__xludf.DUMMYFUNCTION("""COMPUTED_VALUE"""),0.059)</f>
        <v>0.059</v>
      </c>
      <c r="E6152" s="8" t="str">
        <f>IFERROR(__xludf.DUMMYFUNCTION("""COMPUTED_VALUE"""),"Real")</f>
        <v>Real</v>
      </c>
      <c r="G6152" s="8">
        <f t="shared" si="1"/>
        <v>7</v>
      </c>
      <c r="H6152" s="14">
        <f t="shared" si="2"/>
        <v>15</v>
      </c>
      <c r="I6152" s="15">
        <f t="shared" si="3"/>
        <v>8</v>
      </c>
    </row>
    <row r="6153">
      <c r="A6153" s="8" t="str">
        <f>IFERROR(__xludf.DUMMYFUNCTION("IF('(INGESTA)Datos_consumo_datadis'!A6153&lt;&gt;"""",SPLIT('(INGESTA)Datos_consumo_datadis'!A:A,"",""),"""")"),"ES0031408323131005HX0F")</f>
        <v>ES0031408323131005HX0F</v>
      </c>
      <c r="B6153" s="12">
        <f>IFERROR(__xludf.DUMMYFUNCTION("""COMPUTED_VALUE"""),45122.0)</f>
        <v>45122</v>
      </c>
      <c r="C6153" s="13">
        <f>IFERROR(__xludf.DUMMYFUNCTION("""COMPUTED_VALUE"""),0.375)</f>
        <v>0.375</v>
      </c>
      <c r="D6153" s="8">
        <f>IFERROR(__xludf.DUMMYFUNCTION("""COMPUTED_VALUE"""),0.009)</f>
        <v>0.009</v>
      </c>
      <c r="E6153" s="8" t="str">
        <f>IFERROR(__xludf.DUMMYFUNCTION("""COMPUTED_VALUE"""),"Real")</f>
        <v>Real</v>
      </c>
      <c r="G6153" s="8">
        <f t="shared" si="1"/>
        <v>7</v>
      </c>
      <c r="H6153" s="14">
        <f t="shared" si="2"/>
        <v>15</v>
      </c>
      <c r="I6153" s="15">
        <f t="shared" si="3"/>
        <v>9</v>
      </c>
    </row>
    <row r="6154">
      <c r="A6154" s="8" t="str">
        <f>IFERROR(__xludf.DUMMYFUNCTION("IF('(INGESTA)Datos_consumo_datadis'!A6154&lt;&gt;"""",SPLIT('(INGESTA)Datos_consumo_datadis'!A:A,"",""),"""")"),"ES0031408323131005HX0F")</f>
        <v>ES0031408323131005HX0F</v>
      </c>
      <c r="B6154" s="12">
        <f>IFERROR(__xludf.DUMMYFUNCTION("""COMPUTED_VALUE"""),45122.0)</f>
        <v>45122</v>
      </c>
      <c r="C6154" s="13">
        <f>IFERROR(__xludf.DUMMYFUNCTION("""COMPUTED_VALUE"""),0.4166666666666667)</f>
        <v>0.4166666667</v>
      </c>
      <c r="D6154" s="8">
        <f>IFERROR(__xludf.DUMMYFUNCTION("""COMPUTED_VALUE"""),0.084)</f>
        <v>0.084</v>
      </c>
      <c r="E6154" s="8" t="str">
        <f>IFERROR(__xludf.DUMMYFUNCTION("""COMPUTED_VALUE"""),"Real")</f>
        <v>Real</v>
      </c>
      <c r="G6154" s="8">
        <f t="shared" si="1"/>
        <v>7</v>
      </c>
      <c r="H6154" s="14">
        <f t="shared" si="2"/>
        <v>15</v>
      </c>
      <c r="I6154" s="15">
        <f t="shared" si="3"/>
        <v>10</v>
      </c>
    </row>
    <row r="6155">
      <c r="A6155" s="8" t="str">
        <f>IFERROR(__xludf.DUMMYFUNCTION("IF('(INGESTA)Datos_consumo_datadis'!A6155&lt;&gt;"""",SPLIT('(INGESTA)Datos_consumo_datadis'!A:A,"",""),"""")"),"ES0031408323131005HX0F")</f>
        <v>ES0031408323131005HX0F</v>
      </c>
      <c r="B6155" s="12">
        <f>IFERROR(__xludf.DUMMYFUNCTION("""COMPUTED_VALUE"""),45122.0)</f>
        <v>45122</v>
      </c>
      <c r="C6155" s="13">
        <f>IFERROR(__xludf.DUMMYFUNCTION("""COMPUTED_VALUE"""),0.4583333333333333)</f>
        <v>0.4583333333</v>
      </c>
      <c r="D6155" s="8">
        <f>IFERROR(__xludf.DUMMYFUNCTION("""COMPUTED_VALUE"""),0.112)</f>
        <v>0.112</v>
      </c>
      <c r="E6155" s="8" t="str">
        <f>IFERROR(__xludf.DUMMYFUNCTION("""COMPUTED_VALUE"""),"Real")</f>
        <v>Real</v>
      </c>
      <c r="G6155" s="8">
        <f t="shared" si="1"/>
        <v>7</v>
      </c>
      <c r="H6155" s="14">
        <f t="shared" si="2"/>
        <v>15</v>
      </c>
      <c r="I6155" s="15">
        <f t="shared" si="3"/>
        <v>11</v>
      </c>
    </row>
    <row r="6156">
      <c r="A6156" s="8" t="str">
        <f>IFERROR(__xludf.DUMMYFUNCTION("IF('(INGESTA)Datos_consumo_datadis'!A6156&lt;&gt;"""",SPLIT('(INGESTA)Datos_consumo_datadis'!A:A,"",""),"""")"),"ES0031408323131005HX0F")</f>
        <v>ES0031408323131005HX0F</v>
      </c>
      <c r="B6156" s="12">
        <f>IFERROR(__xludf.DUMMYFUNCTION("""COMPUTED_VALUE"""),45122.0)</f>
        <v>45122</v>
      </c>
      <c r="C6156" s="13">
        <f>IFERROR(__xludf.DUMMYFUNCTION("""COMPUTED_VALUE"""),0.5)</f>
        <v>0.5</v>
      </c>
      <c r="D6156" s="8">
        <f>IFERROR(__xludf.DUMMYFUNCTION("""COMPUTED_VALUE"""),0.068)</f>
        <v>0.068</v>
      </c>
      <c r="E6156" s="8" t="str">
        <f>IFERROR(__xludf.DUMMYFUNCTION("""COMPUTED_VALUE"""),"Real")</f>
        <v>Real</v>
      </c>
      <c r="G6156" s="8">
        <f t="shared" si="1"/>
        <v>7</v>
      </c>
      <c r="H6156" s="14">
        <f t="shared" si="2"/>
        <v>15</v>
      </c>
      <c r="I6156" s="15">
        <f t="shared" si="3"/>
        <v>12</v>
      </c>
    </row>
    <row r="6157">
      <c r="A6157" s="8" t="str">
        <f>IFERROR(__xludf.DUMMYFUNCTION("IF('(INGESTA)Datos_consumo_datadis'!A6157&lt;&gt;"""",SPLIT('(INGESTA)Datos_consumo_datadis'!A:A,"",""),"""")"),"ES0031408323131005HX0F")</f>
        <v>ES0031408323131005HX0F</v>
      </c>
      <c r="B6157" s="12">
        <f>IFERROR(__xludf.DUMMYFUNCTION("""COMPUTED_VALUE"""),45122.0)</f>
        <v>45122</v>
      </c>
      <c r="C6157" s="13">
        <f>IFERROR(__xludf.DUMMYFUNCTION("""COMPUTED_VALUE"""),0.5416666666666666)</f>
        <v>0.5416666667</v>
      </c>
      <c r="D6157" s="8">
        <f>IFERROR(__xludf.DUMMYFUNCTION("""COMPUTED_VALUE"""),0.331)</f>
        <v>0.331</v>
      </c>
      <c r="E6157" s="8" t="str">
        <f>IFERROR(__xludf.DUMMYFUNCTION("""COMPUTED_VALUE"""),"Real")</f>
        <v>Real</v>
      </c>
      <c r="G6157" s="8">
        <f t="shared" si="1"/>
        <v>7</v>
      </c>
      <c r="H6157" s="14">
        <f t="shared" si="2"/>
        <v>15</v>
      </c>
      <c r="I6157" s="15">
        <f t="shared" si="3"/>
        <v>13</v>
      </c>
    </row>
    <row r="6158">
      <c r="A6158" s="8" t="str">
        <f>IFERROR(__xludf.DUMMYFUNCTION("IF('(INGESTA)Datos_consumo_datadis'!A6158&lt;&gt;"""",SPLIT('(INGESTA)Datos_consumo_datadis'!A:A,"",""),"""")"),"ES0031408323131005HX0F")</f>
        <v>ES0031408323131005HX0F</v>
      </c>
      <c r="B6158" s="12">
        <f>IFERROR(__xludf.DUMMYFUNCTION("""COMPUTED_VALUE"""),45122.0)</f>
        <v>45122</v>
      </c>
      <c r="C6158" s="13">
        <f>IFERROR(__xludf.DUMMYFUNCTION("""COMPUTED_VALUE"""),0.5833333333333334)</f>
        <v>0.5833333333</v>
      </c>
      <c r="D6158" s="8">
        <f>IFERROR(__xludf.DUMMYFUNCTION("""COMPUTED_VALUE"""),0.009)</f>
        <v>0.009</v>
      </c>
      <c r="E6158" s="8" t="str">
        <f>IFERROR(__xludf.DUMMYFUNCTION("""COMPUTED_VALUE"""),"Real")</f>
        <v>Real</v>
      </c>
      <c r="G6158" s="8">
        <f t="shared" si="1"/>
        <v>7</v>
      </c>
      <c r="H6158" s="14">
        <f t="shared" si="2"/>
        <v>15</v>
      </c>
      <c r="I6158" s="15">
        <f t="shared" si="3"/>
        <v>14</v>
      </c>
    </row>
    <row r="6159">
      <c r="A6159" s="8" t="str">
        <f>IFERROR(__xludf.DUMMYFUNCTION("IF('(INGESTA)Datos_consumo_datadis'!A6159&lt;&gt;"""",SPLIT('(INGESTA)Datos_consumo_datadis'!A:A,"",""),"""")"),"ES0031408323131005HX0F")</f>
        <v>ES0031408323131005HX0F</v>
      </c>
      <c r="B6159" s="12">
        <f>IFERROR(__xludf.DUMMYFUNCTION("""COMPUTED_VALUE"""),45122.0)</f>
        <v>45122</v>
      </c>
      <c r="C6159" s="13">
        <f>IFERROR(__xludf.DUMMYFUNCTION("""COMPUTED_VALUE"""),0.625)</f>
        <v>0.625</v>
      </c>
      <c r="D6159" s="8">
        <f>IFERROR(__xludf.DUMMYFUNCTION("""COMPUTED_VALUE"""),0.102)</f>
        <v>0.102</v>
      </c>
      <c r="E6159" s="8" t="str">
        <f>IFERROR(__xludf.DUMMYFUNCTION("""COMPUTED_VALUE"""),"Real")</f>
        <v>Real</v>
      </c>
      <c r="G6159" s="8">
        <f t="shared" si="1"/>
        <v>7</v>
      </c>
      <c r="H6159" s="14">
        <f t="shared" si="2"/>
        <v>15</v>
      </c>
      <c r="I6159" s="15">
        <f t="shared" si="3"/>
        <v>15</v>
      </c>
    </row>
    <row r="6160">
      <c r="A6160" s="8" t="str">
        <f>IFERROR(__xludf.DUMMYFUNCTION("IF('(INGESTA)Datos_consumo_datadis'!A6160&lt;&gt;"""",SPLIT('(INGESTA)Datos_consumo_datadis'!A:A,"",""),"""")"),"ES0031408323131005HX0F")</f>
        <v>ES0031408323131005HX0F</v>
      </c>
      <c r="B6160" s="12">
        <f>IFERROR(__xludf.DUMMYFUNCTION("""COMPUTED_VALUE"""),45122.0)</f>
        <v>45122</v>
      </c>
      <c r="C6160" s="13">
        <f>IFERROR(__xludf.DUMMYFUNCTION("""COMPUTED_VALUE"""),0.6666666666666666)</f>
        <v>0.6666666667</v>
      </c>
      <c r="D6160" s="8">
        <f>IFERROR(__xludf.DUMMYFUNCTION("""COMPUTED_VALUE"""),0.112)</f>
        <v>0.112</v>
      </c>
      <c r="E6160" s="8" t="str">
        <f>IFERROR(__xludf.DUMMYFUNCTION("""COMPUTED_VALUE"""),"Real")</f>
        <v>Real</v>
      </c>
      <c r="G6160" s="8">
        <f t="shared" si="1"/>
        <v>7</v>
      </c>
      <c r="H6160" s="14">
        <f t="shared" si="2"/>
        <v>15</v>
      </c>
      <c r="I6160" s="15">
        <f t="shared" si="3"/>
        <v>16</v>
      </c>
    </row>
    <row r="6161">
      <c r="A6161" s="8" t="str">
        <f>IFERROR(__xludf.DUMMYFUNCTION("IF('(INGESTA)Datos_consumo_datadis'!A6161&lt;&gt;"""",SPLIT('(INGESTA)Datos_consumo_datadis'!A:A,"",""),"""")"),"ES0031408323131005HX0F")</f>
        <v>ES0031408323131005HX0F</v>
      </c>
      <c r="B6161" s="12">
        <f>IFERROR(__xludf.DUMMYFUNCTION("""COMPUTED_VALUE"""),45122.0)</f>
        <v>45122</v>
      </c>
      <c r="C6161" s="13">
        <f>IFERROR(__xludf.DUMMYFUNCTION("""COMPUTED_VALUE"""),0.7083333333333334)</f>
        <v>0.7083333333</v>
      </c>
      <c r="D6161" s="8">
        <f>IFERROR(__xludf.DUMMYFUNCTION("""COMPUTED_VALUE"""),0.09)</f>
        <v>0.09</v>
      </c>
      <c r="E6161" s="8" t="str">
        <f>IFERROR(__xludf.DUMMYFUNCTION("""COMPUTED_VALUE"""),"Real")</f>
        <v>Real</v>
      </c>
      <c r="G6161" s="8">
        <f t="shared" si="1"/>
        <v>7</v>
      </c>
      <c r="H6161" s="14">
        <f t="shared" si="2"/>
        <v>15</v>
      </c>
      <c r="I6161" s="15">
        <f t="shared" si="3"/>
        <v>17</v>
      </c>
    </row>
    <row r="6162">
      <c r="A6162" s="8" t="str">
        <f>IFERROR(__xludf.DUMMYFUNCTION("IF('(INGESTA)Datos_consumo_datadis'!A6162&lt;&gt;"""",SPLIT('(INGESTA)Datos_consumo_datadis'!A:A,"",""),"""")"),"ES0031408323131005HX0F")</f>
        <v>ES0031408323131005HX0F</v>
      </c>
      <c r="B6162" s="12">
        <f>IFERROR(__xludf.DUMMYFUNCTION("""COMPUTED_VALUE"""),45122.0)</f>
        <v>45122</v>
      </c>
      <c r="C6162" s="13">
        <f>IFERROR(__xludf.DUMMYFUNCTION("""COMPUTED_VALUE"""),0.75)</f>
        <v>0.75</v>
      </c>
      <c r="D6162" s="8">
        <f>IFERROR(__xludf.DUMMYFUNCTION("""COMPUTED_VALUE"""),0.078)</f>
        <v>0.078</v>
      </c>
      <c r="E6162" s="8" t="str">
        <f>IFERROR(__xludf.DUMMYFUNCTION("""COMPUTED_VALUE"""),"Real")</f>
        <v>Real</v>
      </c>
      <c r="G6162" s="8">
        <f t="shared" si="1"/>
        <v>7</v>
      </c>
      <c r="H6162" s="14">
        <f t="shared" si="2"/>
        <v>15</v>
      </c>
      <c r="I6162" s="15">
        <f t="shared" si="3"/>
        <v>18</v>
      </c>
    </row>
    <row r="6163">
      <c r="A6163" s="8" t="str">
        <f>IFERROR(__xludf.DUMMYFUNCTION("IF('(INGESTA)Datos_consumo_datadis'!A6163&lt;&gt;"""",SPLIT('(INGESTA)Datos_consumo_datadis'!A:A,"",""),"""")"),"ES0031408323131005HX0F")</f>
        <v>ES0031408323131005HX0F</v>
      </c>
      <c r="B6163" s="12">
        <f>IFERROR(__xludf.DUMMYFUNCTION("""COMPUTED_VALUE"""),45122.0)</f>
        <v>45122</v>
      </c>
      <c r="C6163" s="13">
        <f>IFERROR(__xludf.DUMMYFUNCTION("""COMPUTED_VALUE"""),0.7916666666666666)</f>
        <v>0.7916666667</v>
      </c>
      <c r="D6163" s="8">
        <f>IFERROR(__xludf.DUMMYFUNCTION("""COMPUTED_VALUE"""),0.035)</f>
        <v>0.035</v>
      </c>
      <c r="E6163" s="8" t="str">
        <f>IFERROR(__xludf.DUMMYFUNCTION("""COMPUTED_VALUE"""),"Real")</f>
        <v>Real</v>
      </c>
      <c r="G6163" s="8">
        <f t="shared" si="1"/>
        <v>7</v>
      </c>
      <c r="H6163" s="14">
        <f t="shared" si="2"/>
        <v>15</v>
      </c>
      <c r="I6163" s="15">
        <f t="shared" si="3"/>
        <v>19</v>
      </c>
    </row>
    <row r="6164">
      <c r="A6164" s="8" t="str">
        <f>IFERROR(__xludf.DUMMYFUNCTION("IF('(INGESTA)Datos_consumo_datadis'!A6164&lt;&gt;"""",SPLIT('(INGESTA)Datos_consumo_datadis'!A:A,"",""),"""")"),"ES0031408323131005HX0F")</f>
        <v>ES0031408323131005HX0F</v>
      </c>
      <c r="B6164" s="12">
        <f>IFERROR(__xludf.DUMMYFUNCTION("""COMPUTED_VALUE"""),45122.0)</f>
        <v>45122</v>
      </c>
      <c r="C6164" s="13">
        <f>IFERROR(__xludf.DUMMYFUNCTION("""COMPUTED_VALUE"""),0.8333333333333334)</f>
        <v>0.8333333333</v>
      </c>
      <c r="D6164" s="8">
        <f>IFERROR(__xludf.DUMMYFUNCTION("""COMPUTED_VALUE"""),0.053)</f>
        <v>0.053</v>
      </c>
      <c r="E6164" s="8" t="str">
        <f>IFERROR(__xludf.DUMMYFUNCTION("""COMPUTED_VALUE"""),"Real")</f>
        <v>Real</v>
      </c>
      <c r="G6164" s="8">
        <f t="shared" si="1"/>
        <v>7</v>
      </c>
      <c r="H6164" s="14">
        <f t="shared" si="2"/>
        <v>15</v>
      </c>
      <c r="I6164" s="15">
        <f t="shared" si="3"/>
        <v>20</v>
      </c>
    </row>
    <row r="6165">
      <c r="A6165" s="8" t="str">
        <f>IFERROR(__xludf.DUMMYFUNCTION("IF('(INGESTA)Datos_consumo_datadis'!A6165&lt;&gt;"""",SPLIT('(INGESTA)Datos_consumo_datadis'!A:A,"",""),"""")"),"ES0031408323131005HX0F")</f>
        <v>ES0031408323131005HX0F</v>
      </c>
      <c r="B6165" s="12">
        <f>IFERROR(__xludf.DUMMYFUNCTION("""COMPUTED_VALUE"""),45122.0)</f>
        <v>45122</v>
      </c>
      <c r="C6165" s="13">
        <f>IFERROR(__xludf.DUMMYFUNCTION("""COMPUTED_VALUE"""),0.875)</f>
        <v>0.875</v>
      </c>
      <c r="D6165" s="8">
        <f>IFERROR(__xludf.DUMMYFUNCTION("""COMPUTED_VALUE"""),0.116)</f>
        <v>0.116</v>
      </c>
      <c r="E6165" s="8" t="str">
        <f>IFERROR(__xludf.DUMMYFUNCTION("""COMPUTED_VALUE"""),"Real")</f>
        <v>Real</v>
      </c>
      <c r="G6165" s="8">
        <f t="shared" si="1"/>
        <v>7</v>
      </c>
      <c r="H6165" s="14">
        <f t="shared" si="2"/>
        <v>15</v>
      </c>
      <c r="I6165" s="15">
        <f t="shared" si="3"/>
        <v>21</v>
      </c>
    </row>
    <row r="6166">
      <c r="A6166" s="8" t="str">
        <f>IFERROR(__xludf.DUMMYFUNCTION("IF('(INGESTA)Datos_consumo_datadis'!A6166&lt;&gt;"""",SPLIT('(INGESTA)Datos_consumo_datadis'!A:A,"",""),"""")"),"ES0031408323131005HX0F")</f>
        <v>ES0031408323131005HX0F</v>
      </c>
      <c r="B6166" s="12">
        <f>IFERROR(__xludf.DUMMYFUNCTION("""COMPUTED_VALUE"""),45122.0)</f>
        <v>45122</v>
      </c>
      <c r="C6166" s="13">
        <f>IFERROR(__xludf.DUMMYFUNCTION("""COMPUTED_VALUE"""),0.9166666666666666)</f>
        <v>0.9166666667</v>
      </c>
      <c r="D6166" s="8">
        <f>IFERROR(__xludf.DUMMYFUNCTION("""COMPUTED_VALUE"""),0.363)</f>
        <v>0.363</v>
      </c>
      <c r="E6166" s="8" t="str">
        <f>IFERROR(__xludf.DUMMYFUNCTION("""COMPUTED_VALUE"""),"Real")</f>
        <v>Real</v>
      </c>
      <c r="G6166" s="8">
        <f t="shared" si="1"/>
        <v>7</v>
      </c>
      <c r="H6166" s="14">
        <f t="shared" si="2"/>
        <v>15</v>
      </c>
      <c r="I6166" s="15">
        <f t="shared" si="3"/>
        <v>22</v>
      </c>
    </row>
    <row r="6167">
      <c r="A6167" s="8" t="str">
        <f>IFERROR(__xludf.DUMMYFUNCTION("IF('(INGESTA)Datos_consumo_datadis'!A6167&lt;&gt;"""",SPLIT('(INGESTA)Datos_consumo_datadis'!A:A,"",""),"""")"),"ES0031408323131005HX0F")</f>
        <v>ES0031408323131005HX0F</v>
      </c>
      <c r="B6167" s="12">
        <f>IFERROR(__xludf.DUMMYFUNCTION("""COMPUTED_VALUE"""),45122.0)</f>
        <v>45122</v>
      </c>
      <c r="C6167" s="13">
        <f>IFERROR(__xludf.DUMMYFUNCTION("""COMPUTED_VALUE"""),0.9583333333333334)</f>
        <v>0.9583333333</v>
      </c>
      <c r="D6167" s="8">
        <f>IFERROR(__xludf.DUMMYFUNCTION("""COMPUTED_VALUE"""),0.089)</f>
        <v>0.089</v>
      </c>
      <c r="E6167" s="8" t="str">
        <f>IFERROR(__xludf.DUMMYFUNCTION("""COMPUTED_VALUE"""),"Real")</f>
        <v>Real</v>
      </c>
      <c r="G6167" s="8">
        <f t="shared" si="1"/>
        <v>7</v>
      </c>
      <c r="H6167" s="14">
        <f t="shared" si="2"/>
        <v>15</v>
      </c>
      <c r="I6167" s="15">
        <f t="shared" si="3"/>
        <v>23</v>
      </c>
    </row>
    <row r="6168">
      <c r="A6168" s="8" t="str">
        <f>IFERROR(__xludf.DUMMYFUNCTION("IF('(INGESTA)Datos_consumo_datadis'!A6168&lt;&gt;"""",SPLIT('(INGESTA)Datos_consumo_datadis'!A:A,"",""),"""")"),"ES0031408323131005HX0F")</f>
        <v>ES0031408323131005HX0F</v>
      </c>
      <c r="B6168" s="12">
        <f>IFERROR(__xludf.DUMMYFUNCTION("""COMPUTED_VALUE"""),45122.0)</f>
        <v>45122</v>
      </c>
      <c r="C6168" s="16">
        <f>IFERROR(__xludf.DUMMYFUNCTION("""COMPUTED_VALUE"""),1.0)</f>
        <v>1</v>
      </c>
      <c r="D6168" s="8">
        <f>IFERROR(__xludf.DUMMYFUNCTION("""COMPUTED_VALUE"""),0.01)</f>
        <v>0.01</v>
      </c>
      <c r="E6168" s="8" t="str">
        <f>IFERROR(__xludf.DUMMYFUNCTION("""COMPUTED_VALUE"""),"Real")</f>
        <v>Real</v>
      </c>
      <c r="G6168" s="8">
        <f t="shared" si="1"/>
        <v>7</v>
      </c>
      <c r="H6168" s="14">
        <f t="shared" si="2"/>
        <v>15</v>
      </c>
      <c r="I6168" s="15">
        <f t="shared" si="3"/>
        <v>0</v>
      </c>
    </row>
    <row r="6169">
      <c r="A6169" s="8" t="str">
        <f>IFERROR(__xludf.DUMMYFUNCTION("IF('(INGESTA)Datos_consumo_datadis'!A6169&lt;&gt;"""",SPLIT('(INGESTA)Datos_consumo_datadis'!A:A,"",""),"""")"),"ES0031408323131005HX0F")</f>
        <v>ES0031408323131005HX0F</v>
      </c>
      <c r="B6169" s="12">
        <f>IFERROR(__xludf.DUMMYFUNCTION("""COMPUTED_VALUE"""),45123.0)</f>
        <v>45123</v>
      </c>
      <c r="C6169" s="13">
        <f>IFERROR(__xludf.DUMMYFUNCTION("""COMPUTED_VALUE"""),0.041666666666666664)</f>
        <v>0.04166666667</v>
      </c>
      <c r="D6169" s="8">
        <f>IFERROR(__xludf.DUMMYFUNCTION("""COMPUTED_VALUE"""),0.051)</f>
        <v>0.051</v>
      </c>
      <c r="E6169" s="8" t="str">
        <f>IFERROR(__xludf.DUMMYFUNCTION("""COMPUTED_VALUE"""),"Real")</f>
        <v>Real</v>
      </c>
      <c r="G6169" s="8">
        <f t="shared" si="1"/>
        <v>7</v>
      </c>
      <c r="H6169" s="14">
        <f t="shared" si="2"/>
        <v>16</v>
      </c>
      <c r="I6169" s="15">
        <f t="shared" si="3"/>
        <v>1</v>
      </c>
    </row>
    <row r="6170">
      <c r="A6170" s="8" t="str">
        <f>IFERROR(__xludf.DUMMYFUNCTION("IF('(INGESTA)Datos_consumo_datadis'!A6170&lt;&gt;"""",SPLIT('(INGESTA)Datos_consumo_datadis'!A:A,"",""),"""")"),"ES0031408323131005HX0F")</f>
        <v>ES0031408323131005HX0F</v>
      </c>
      <c r="B6170" s="12">
        <f>IFERROR(__xludf.DUMMYFUNCTION("""COMPUTED_VALUE"""),45123.0)</f>
        <v>45123</v>
      </c>
      <c r="C6170" s="13">
        <f>IFERROR(__xludf.DUMMYFUNCTION("""COMPUTED_VALUE"""),0.08333333333333333)</f>
        <v>0.08333333333</v>
      </c>
      <c r="D6170" s="8">
        <f>IFERROR(__xludf.DUMMYFUNCTION("""COMPUTED_VALUE"""),0.115)</f>
        <v>0.115</v>
      </c>
      <c r="E6170" s="8" t="str">
        <f>IFERROR(__xludf.DUMMYFUNCTION("""COMPUTED_VALUE"""),"Real")</f>
        <v>Real</v>
      </c>
      <c r="G6170" s="8">
        <f t="shared" si="1"/>
        <v>7</v>
      </c>
      <c r="H6170" s="14">
        <f t="shared" si="2"/>
        <v>16</v>
      </c>
      <c r="I6170" s="15">
        <f t="shared" si="3"/>
        <v>2</v>
      </c>
    </row>
    <row r="6171">
      <c r="A6171" s="8" t="str">
        <f>IFERROR(__xludf.DUMMYFUNCTION("IF('(INGESTA)Datos_consumo_datadis'!A6171&lt;&gt;"""",SPLIT('(INGESTA)Datos_consumo_datadis'!A:A,"",""),"""")"),"ES0031408323131005HX0F")</f>
        <v>ES0031408323131005HX0F</v>
      </c>
      <c r="B6171" s="12">
        <f>IFERROR(__xludf.DUMMYFUNCTION("""COMPUTED_VALUE"""),45123.0)</f>
        <v>45123</v>
      </c>
      <c r="C6171" s="13">
        <f>IFERROR(__xludf.DUMMYFUNCTION("""COMPUTED_VALUE"""),0.125)</f>
        <v>0.125</v>
      </c>
      <c r="D6171" s="8">
        <f>IFERROR(__xludf.DUMMYFUNCTION("""COMPUTED_VALUE"""),0.084)</f>
        <v>0.084</v>
      </c>
      <c r="E6171" s="8" t="str">
        <f>IFERROR(__xludf.DUMMYFUNCTION("""COMPUTED_VALUE"""),"Real")</f>
        <v>Real</v>
      </c>
      <c r="G6171" s="8">
        <f t="shared" si="1"/>
        <v>7</v>
      </c>
      <c r="H6171" s="14">
        <f t="shared" si="2"/>
        <v>16</v>
      </c>
      <c r="I6171" s="15">
        <f t="shared" si="3"/>
        <v>3</v>
      </c>
    </row>
    <row r="6172">
      <c r="A6172" s="8" t="str">
        <f>IFERROR(__xludf.DUMMYFUNCTION("IF('(INGESTA)Datos_consumo_datadis'!A6172&lt;&gt;"""",SPLIT('(INGESTA)Datos_consumo_datadis'!A:A,"",""),"""")"),"ES0031408323131005HX0F")</f>
        <v>ES0031408323131005HX0F</v>
      </c>
      <c r="B6172" s="12">
        <f>IFERROR(__xludf.DUMMYFUNCTION("""COMPUTED_VALUE"""),45123.0)</f>
        <v>45123</v>
      </c>
      <c r="C6172" s="13">
        <f>IFERROR(__xludf.DUMMYFUNCTION("""COMPUTED_VALUE"""),0.16666666666666666)</f>
        <v>0.1666666667</v>
      </c>
      <c r="D6172" s="8">
        <f>IFERROR(__xludf.DUMMYFUNCTION("""COMPUTED_VALUE"""),0.072)</f>
        <v>0.072</v>
      </c>
      <c r="E6172" s="8" t="str">
        <f>IFERROR(__xludf.DUMMYFUNCTION("""COMPUTED_VALUE"""),"Real")</f>
        <v>Real</v>
      </c>
      <c r="G6172" s="8">
        <f t="shared" si="1"/>
        <v>7</v>
      </c>
      <c r="H6172" s="14">
        <f t="shared" si="2"/>
        <v>16</v>
      </c>
      <c r="I6172" s="15">
        <f t="shared" si="3"/>
        <v>4</v>
      </c>
    </row>
    <row r="6173">
      <c r="A6173" s="8" t="str">
        <f>IFERROR(__xludf.DUMMYFUNCTION("IF('(INGESTA)Datos_consumo_datadis'!A6173&lt;&gt;"""",SPLIT('(INGESTA)Datos_consumo_datadis'!A:A,"",""),"""")"),"ES0031408323131005HX0F")</f>
        <v>ES0031408323131005HX0F</v>
      </c>
      <c r="B6173" s="12">
        <f>IFERROR(__xludf.DUMMYFUNCTION("""COMPUTED_VALUE"""),45123.0)</f>
        <v>45123</v>
      </c>
      <c r="C6173" s="13">
        <f>IFERROR(__xludf.DUMMYFUNCTION("""COMPUTED_VALUE"""),0.20833333333333334)</f>
        <v>0.2083333333</v>
      </c>
      <c r="D6173" s="8">
        <f>IFERROR(__xludf.DUMMYFUNCTION("""COMPUTED_VALUE"""),0.01)</f>
        <v>0.01</v>
      </c>
      <c r="E6173" s="8" t="str">
        <f>IFERROR(__xludf.DUMMYFUNCTION("""COMPUTED_VALUE"""),"Real")</f>
        <v>Real</v>
      </c>
      <c r="G6173" s="8">
        <f t="shared" si="1"/>
        <v>7</v>
      </c>
      <c r="H6173" s="14">
        <f t="shared" si="2"/>
        <v>16</v>
      </c>
      <c r="I6173" s="15">
        <f t="shared" si="3"/>
        <v>5</v>
      </c>
    </row>
    <row r="6174">
      <c r="A6174" s="8" t="str">
        <f>IFERROR(__xludf.DUMMYFUNCTION("IF('(INGESTA)Datos_consumo_datadis'!A6174&lt;&gt;"""",SPLIT('(INGESTA)Datos_consumo_datadis'!A:A,"",""),"""")"),"ES0031408323131005HX0F")</f>
        <v>ES0031408323131005HX0F</v>
      </c>
      <c r="B6174" s="12">
        <f>IFERROR(__xludf.DUMMYFUNCTION("""COMPUTED_VALUE"""),45123.0)</f>
        <v>45123</v>
      </c>
      <c r="C6174" s="13">
        <f>IFERROR(__xludf.DUMMYFUNCTION("""COMPUTED_VALUE"""),0.25)</f>
        <v>0.25</v>
      </c>
      <c r="D6174" s="8">
        <f>IFERROR(__xludf.DUMMYFUNCTION("""COMPUTED_VALUE"""),0.073)</f>
        <v>0.073</v>
      </c>
      <c r="E6174" s="8" t="str">
        <f>IFERROR(__xludf.DUMMYFUNCTION("""COMPUTED_VALUE"""),"Real")</f>
        <v>Real</v>
      </c>
      <c r="G6174" s="8">
        <f t="shared" si="1"/>
        <v>7</v>
      </c>
      <c r="H6174" s="14">
        <f t="shared" si="2"/>
        <v>16</v>
      </c>
      <c r="I6174" s="15">
        <f t="shared" si="3"/>
        <v>6</v>
      </c>
    </row>
    <row r="6175">
      <c r="A6175" s="8" t="str">
        <f>IFERROR(__xludf.DUMMYFUNCTION("IF('(INGESTA)Datos_consumo_datadis'!A6175&lt;&gt;"""",SPLIT('(INGESTA)Datos_consumo_datadis'!A:A,"",""),"""")"),"ES0031408323131005HX0F")</f>
        <v>ES0031408323131005HX0F</v>
      </c>
      <c r="B6175" s="12">
        <f>IFERROR(__xludf.DUMMYFUNCTION("""COMPUTED_VALUE"""),45123.0)</f>
        <v>45123</v>
      </c>
      <c r="C6175" s="13">
        <f>IFERROR(__xludf.DUMMYFUNCTION("""COMPUTED_VALUE"""),0.2916666666666667)</f>
        <v>0.2916666667</v>
      </c>
      <c r="D6175" s="8">
        <f>IFERROR(__xludf.DUMMYFUNCTION("""COMPUTED_VALUE"""),0.404)</f>
        <v>0.404</v>
      </c>
      <c r="E6175" s="8" t="str">
        <f>IFERROR(__xludf.DUMMYFUNCTION("""COMPUTED_VALUE"""),"Real")</f>
        <v>Real</v>
      </c>
      <c r="G6175" s="8">
        <f t="shared" si="1"/>
        <v>7</v>
      </c>
      <c r="H6175" s="14">
        <f t="shared" si="2"/>
        <v>16</v>
      </c>
      <c r="I6175" s="15">
        <f t="shared" si="3"/>
        <v>7</v>
      </c>
    </row>
    <row r="6176">
      <c r="A6176" s="8" t="str">
        <f>IFERROR(__xludf.DUMMYFUNCTION("IF('(INGESTA)Datos_consumo_datadis'!A6176&lt;&gt;"""",SPLIT('(INGESTA)Datos_consumo_datadis'!A:A,"",""),"""")"),"ES0031408323131005HX0F")</f>
        <v>ES0031408323131005HX0F</v>
      </c>
      <c r="B6176" s="12">
        <f>IFERROR(__xludf.DUMMYFUNCTION("""COMPUTED_VALUE"""),45123.0)</f>
        <v>45123</v>
      </c>
      <c r="C6176" s="13">
        <f>IFERROR(__xludf.DUMMYFUNCTION("""COMPUTED_VALUE"""),0.3333333333333333)</f>
        <v>0.3333333333</v>
      </c>
      <c r="D6176" s="8">
        <f>IFERROR(__xludf.DUMMYFUNCTION("""COMPUTED_VALUE"""),0.083)</f>
        <v>0.083</v>
      </c>
      <c r="E6176" s="8" t="str">
        <f>IFERROR(__xludf.DUMMYFUNCTION("""COMPUTED_VALUE"""),"Real")</f>
        <v>Real</v>
      </c>
      <c r="G6176" s="8">
        <f t="shared" si="1"/>
        <v>7</v>
      </c>
      <c r="H6176" s="14">
        <f t="shared" si="2"/>
        <v>16</v>
      </c>
      <c r="I6176" s="15">
        <f t="shared" si="3"/>
        <v>8</v>
      </c>
    </row>
    <row r="6177">
      <c r="A6177" s="8" t="str">
        <f>IFERROR(__xludf.DUMMYFUNCTION("IF('(INGESTA)Datos_consumo_datadis'!A6177&lt;&gt;"""",SPLIT('(INGESTA)Datos_consumo_datadis'!A:A,"",""),"""")"),"ES0031408323131005HX0F")</f>
        <v>ES0031408323131005HX0F</v>
      </c>
      <c r="B6177" s="12">
        <f>IFERROR(__xludf.DUMMYFUNCTION("""COMPUTED_VALUE"""),45123.0)</f>
        <v>45123</v>
      </c>
      <c r="C6177" s="13">
        <f>IFERROR(__xludf.DUMMYFUNCTION("""COMPUTED_VALUE"""),0.375)</f>
        <v>0.375</v>
      </c>
      <c r="D6177" s="8">
        <f>IFERROR(__xludf.DUMMYFUNCTION("""COMPUTED_VALUE"""),0.052)</f>
        <v>0.052</v>
      </c>
      <c r="E6177" s="8" t="str">
        <f>IFERROR(__xludf.DUMMYFUNCTION("""COMPUTED_VALUE"""),"Real")</f>
        <v>Real</v>
      </c>
      <c r="G6177" s="8">
        <f t="shared" si="1"/>
        <v>7</v>
      </c>
      <c r="H6177" s="14">
        <f t="shared" si="2"/>
        <v>16</v>
      </c>
      <c r="I6177" s="15">
        <f t="shared" si="3"/>
        <v>9</v>
      </c>
    </row>
    <row r="6178">
      <c r="A6178" s="8" t="str">
        <f>IFERROR(__xludf.DUMMYFUNCTION("IF('(INGESTA)Datos_consumo_datadis'!A6178&lt;&gt;"""",SPLIT('(INGESTA)Datos_consumo_datadis'!A:A,"",""),"""")"),"ES0031408323131005HX0F")</f>
        <v>ES0031408323131005HX0F</v>
      </c>
      <c r="B6178" s="12">
        <f>IFERROR(__xludf.DUMMYFUNCTION("""COMPUTED_VALUE"""),45123.0)</f>
        <v>45123</v>
      </c>
      <c r="C6178" s="13">
        <f>IFERROR(__xludf.DUMMYFUNCTION("""COMPUTED_VALUE"""),0.4166666666666667)</f>
        <v>0.4166666667</v>
      </c>
      <c r="D6178" s="8">
        <f>IFERROR(__xludf.DUMMYFUNCTION("""COMPUTED_VALUE"""),0.01)</f>
        <v>0.01</v>
      </c>
      <c r="E6178" s="8" t="str">
        <f>IFERROR(__xludf.DUMMYFUNCTION("""COMPUTED_VALUE"""),"Real")</f>
        <v>Real</v>
      </c>
      <c r="G6178" s="8">
        <f t="shared" si="1"/>
        <v>7</v>
      </c>
      <c r="H6178" s="14">
        <f t="shared" si="2"/>
        <v>16</v>
      </c>
      <c r="I6178" s="15">
        <f t="shared" si="3"/>
        <v>10</v>
      </c>
    </row>
    <row r="6179">
      <c r="A6179" s="8" t="str">
        <f>IFERROR(__xludf.DUMMYFUNCTION("IF('(INGESTA)Datos_consumo_datadis'!A6179&lt;&gt;"""",SPLIT('(INGESTA)Datos_consumo_datadis'!A:A,"",""),"""")"),"ES0031408323131005HX0F")</f>
        <v>ES0031408323131005HX0F</v>
      </c>
      <c r="B6179" s="12">
        <f>IFERROR(__xludf.DUMMYFUNCTION("""COMPUTED_VALUE"""),45123.0)</f>
        <v>45123</v>
      </c>
      <c r="C6179" s="13">
        <f>IFERROR(__xludf.DUMMYFUNCTION("""COMPUTED_VALUE"""),0.4583333333333333)</f>
        <v>0.4583333333</v>
      </c>
      <c r="D6179" s="8">
        <f>IFERROR(__xludf.DUMMYFUNCTION("""COMPUTED_VALUE"""),0.091)</f>
        <v>0.091</v>
      </c>
      <c r="E6179" s="8" t="str">
        <f>IFERROR(__xludf.DUMMYFUNCTION("""COMPUTED_VALUE"""),"Real")</f>
        <v>Real</v>
      </c>
      <c r="G6179" s="8">
        <f t="shared" si="1"/>
        <v>7</v>
      </c>
      <c r="H6179" s="14">
        <f t="shared" si="2"/>
        <v>16</v>
      </c>
      <c r="I6179" s="15">
        <f t="shared" si="3"/>
        <v>11</v>
      </c>
    </row>
    <row r="6180">
      <c r="A6180" s="8" t="str">
        <f>IFERROR(__xludf.DUMMYFUNCTION("IF('(INGESTA)Datos_consumo_datadis'!A6180&lt;&gt;"""",SPLIT('(INGESTA)Datos_consumo_datadis'!A:A,"",""),"""")"),"ES0031408323131005HX0F")</f>
        <v>ES0031408323131005HX0F</v>
      </c>
      <c r="B6180" s="12">
        <f>IFERROR(__xludf.DUMMYFUNCTION("""COMPUTED_VALUE"""),45123.0)</f>
        <v>45123</v>
      </c>
      <c r="C6180" s="13">
        <f>IFERROR(__xludf.DUMMYFUNCTION("""COMPUTED_VALUE"""),0.5)</f>
        <v>0.5</v>
      </c>
      <c r="D6180" s="8">
        <f>IFERROR(__xludf.DUMMYFUNCTION("""COMPUTED_VALUE"""),0.11)</f>
        <v>0.11</v>
      </c>
      <c r="E6180" s="8" t="str">
        <f>IFERROR(__xludf.DUMMYFUNCTION("""COMPUTED_VALUE"""),"Real")</f>
        <v>Real</v>
      </c>
      <c r="G6180" s="8">
        <f t="shared" si="1"/>
        <v>7</v>
      </c>
      <c r="H6180" s="14">
        <f t="shared" si="2"/>
        <v>16</v>
      </c>
      <c r="I6180" s="15">
        <f t="shared" si="3"/>
        <v>12</v>
      </c>
    </row>
    <row r="6181">
      <c r="A6181" s="8" t="str">
        <f>IFERROR(__xludf.DUMMYFUNCTION("IF('(INGESTA)Datos_consumo_datadis'!A6181&lt;&gt;"""",SPLIT('(INGESTA)Datos_consumo_datadis'!A:A,"",""),"""")"),"ES0031408323131005HX0F")</f>
        <v>ES0031408323131005HX0F</v>
      </c>
      <c r="B6181" s="12">
        <f>IFERROR(__xludf.DUMMYFUNCTION("""COMPUTED_VALUE"""),45123.0)</f>
        <v>45123</v>
      </c>
      <c r="C6181" s="13">
        <f>IFERROR(__xludf.DUMMYFUNCTION("""COMPUTED_VALUE"""),0.5416666666666666)</f>
        <v>0.5416666667</v>
      </c>
      <c r="D6181" s="8">
        <f>IFERROR(__xludf.DUMMYFUNCTION("""COMPUTED_VALUE"""),0.066)</f>
        <v>0.066</v>
      </c>
      <c r="E6181" s="8" t="str">
        <f>IFERROR(__xludf.DUMMYFUNCTION("""COMPUTED_VALUE"""),"Real")</f>
        <v>Real</v>
      </c>
      <c r="G6181" s="8">
        <f t="shared" si="1"/>
        <v>7</v>
      </c>
      <c r="H6181" s="14">
        <f t="shared" si="2"/>
        <v>16</v>
      </c>
      <c r="I6181" s="15">
        <f t="shared" si="3"/>
        <v>13</v>
      </c>
    </row>
    <row r="6182">
      <c r="A6182" s="8" t="str">
        <f>IFERROR(__xludf.DUMMYFUNCTION("IF('(INGESTA)Datos_consumo_datadis'!A6182&lt;&gt;"""",SPLIT('(INGESTA)Datos_consumo_datadis'!A:A,"",""),"""")"),"ES0031408323131005HX0F")</f>
        <v>ES0031408323131005HX0F</v>
      </c>
      <c r="B6182" s="12">
        <f>IFERROR(__xludf.DUMMYFUNCTION("""COMPUTED_VALUE"""),45123.0)</f>
        <v>45123</v>
      </c>
      <c r="C6182" s="13">
        <f>IFERROR(__xludf.DUMMYFUNCTION("""COMPUTED_VALUE"""),0.5833333333333334)</f>
        <v>0.5833333333</v>
      </c>
      <c r="D6182" s="8">
        <f>IFERROR(__xludf.DUMMYFUNCTION("""COMPUTED_VALUE"""),0.047)</f>
        <v>0.047</v>
      </c>
      <c r="E6182" s="8" t="str">
        <f>IFERROR(__xludf.DUMMYFUNCTION("""COMPUTED_VALUE"""),"Real")</f>
        <v>Real</v>
      </c>
      <c r="G6182" s="8">
        <f t="shared" si="1"/>
        <v>7</v>
      </c>
      <c r="H6182" s="14">
        <f t="shared" si="2"/>
        <v>16</v>
      </c>
      <c r="I6182" s="15">
        <f t="shared" si="3"/>
        <v>14</v>
      </c>
    </row>
    <row r="6183">
      <c r="A6183" s="8" t="str">
        <f>IFERROR(__xludf.DUMMYFUNCTION("IF('(INGESTA)Datos_consumo_datadis'!A6183&lt;&gt;"""",SPLIT('(INGESTA)Datos_consumo_datadis'!A:A,"",""),"""")"),"ES0031408323131005HX0F")</f>
        <v>ES0031408323131005HX0F</v>
      </c>
      <c r="B6183" s="12">
        <f>IFERROR(__xludf.DUMMYFUNCTION("""COMPUTED_VALUE"""),45123.0)</f>
        <v>45123</v>
      </c>
      <c r="C6183" s="13">
        <f>IFERROR(__xludf.DUMMYFUNCTION("""COMPUTED_VALUE"""),0.625)</f>
        <v>0.625</v>
      </c>
      <c r="D6183" s="8">
        <f>IFERROR(__xludf.DUMMYFUNCTION("""COMPUTED_VALUE"""),0.016)</f>
        <v>0.016</v>
      </c>
      <c r="E6183" s="8" t="str">
        <f>IFERROR(__xludf.DUMMYFUNCTION("""COMPUTED_VALUE"""),"Real")</f>
        <v>Real</v>
      </c>
      <c r="G6183" s="8">
        <f t="shared" si="1"/>
        <v>7</v>
      </c>
      <c r="H6183" s="14">
        <f t="shared" si="2"/>
        <v>16</v>
      </c>
      <c r="I6183" s="15">
        <f t="shared" si="3"/>
        <v>15</v>
      </c>
    </row>
    <row r="6184">
      <c r="A6184" s="8" t="str">
        <f>IFERROR(__xludf.DUMMYFUNCTION("IF('(INGESTA)Datos_consumo_datadis'!A6184&lt;&gt;"""",SPLIT('(INGESTA)Datos_consumo_datadis'!A:A,"",""),"""")"),"ES0031408323131005HX0F")</f>
        <v>ES0031408323131005HX0F</v>
      </c>
      <c r="B6184" s="12">
        <f>IFERROR(__xludf.DUMMYFUNCTION("""COMPUTED_VALUE"""),45123.0)</f>
        <v>45123</v>
      </c>
      <c r="C6184" s="13">
        <f>IFERROR(__xludf.DUMMYFUNCTION("""COMPUTED_VALUE"""),0.6666666666666666)</f>
        <v>0.6666666667</v>
      </c>
      <c r="D6184" s="8">
        <f>IFERROR(__xludf.DUMMYFUNCTION("""COMPUTED_VALUE"""),0.378)</f>
        <v>0.378</v>
      </c>
      <c r="E6184" s="8" t="str">
        <f>IFERROR(__xludf.DUMMYFUNCTION("""COMPUTED_VALUE"""),"Real")</f>
        <v>Real</v>
      </c>
      <c r="G6184" s="8">
        <f t="shared" si="1"/>
        <v>7</v>
      </c>
      <c r="H6184" s="14">
        <f t="shared" si="2"/>
        <v>16</v>
      </c>
      <c r="I6184" s="15">
        <f t="shared" si="3"/>
        <v>16</v>
      </c>
    </row>
    <row r="6185">
      <c r="A6185" s="8" t="str">
        <f>IFERROR(__xludf.DUMMYFUNCTION("IF('(INGESTA)Datos_consumo_datadis'!A6185&lt;&gt;"""",SPLIT('(INGESTA)Datos_consumo_datadis'!A:A,"",""),"""")"),"ES0031408323131005HX0F")</f>
        <v>ES0031408323131005HX0F</v>
      </c>
      <c r="B6185" s="12">
        <f>IFERROR(__xludf.DUMMYFUNCTION("""COMPUTED_VALUE"""),45123.0)</f>
        <v>45123</v>
      </c>
      <c r="C6185" s="13">
        <f>IFERROR(__xludf.DUMMYFUNCTION("""COMPUTED_VALUE"""),0.7083333333333334)</f>
        <v>0.7083333333</v>
      </c>
      <c r="D6185" s="8">
        <f>IFERROR(__xludf.DUMMYFUNCTION("""COMPUTED_VALUE"""),0.085)</f>
        <v>0.085</v>
      </c>
      <c r="E6185" s="8" t="str">
        <f>IFERROR(__xludf.DUMMYFUNCTION("""COMPUTED_VALUE"""),"Real")</f>
        <v>Real</v>
      </c>
      <c r="G6185" s="8">
        <f t="shared" si="1"/>
        <v>7</v>
      </c>
      <c r="H6185" s="14">
        <f t="shared" si="2"/>
        <v>16</v>
      </c>
      <c r="I6185" s="15">
        <f t="shared" si="3"/>
        <v>17</v>
      </c>
    </row>
    <row r="6186">
      <c r="A6186" s="8" t="str">
        <f>IFERROR(__xludf.DUMMYFUNCTION("IF('(INGESTA)Datos_consumo_datadis'!A6186&lt;&gt;"""",SPLIT('(INGESTA)Datos_consumo_datadis'!A:A,"",""),"""")"),"ES0031408323131005HX0F")</f>
        <v>ES0031408323131005HX0F</v>
      </c>
      <c r="B6186" s="12">
        <f>IFERROR(__xludf.DUMMYFUNCTION("""COMPUTED_VALUE"""),45123.0)</f>
        <v>45123</v>
      </c>
      <c r="C6186" s="13">
        <f>IFERROR(__xludf.DUMMYFUNCTION("""COMPUTED_VALUE"""),0.75)</f>
        <v>0.75</v>
      </c>
      <c r="D6186" s="8">
        <f>IFERROR(__xludf.DUMMYFUNCTION("""COMPUTED_VALUE"""),0.088)</f>
        <v>0.088</v>
      </c>
      <c r="E6186" s="8" t="str">
        <f>IFERROR(__xludf.DUMMYFUNCTION("""COMPUTED_VALUE"""),"Real")</f>
        <v>Real</v>
      </c>
      <c r="G6186" s="8">
        <f t="shared" si="1"/>
        <v>7</v>
      </c>
      <c r="H6186" s="14">
        <f t="shared" si="2"/>
        <v>16</v>
      </c>
      <c r="I6186" s="15">
        <f t="shared" si="3"/>
        <v>18</v>
      </c>
    </row>
    <row r="6187">
      <c r="A6187" s="8" t="str">
        <f>IFERROR(__xludf.DUMMYFUNCTION("IF('(INGESTA)Datos_consumo_datadis'!A6187&lt;&gt;"""",SPLIT('(INGESTA)Datos_consumo_datadis'!A:A,"",""),"""")"),"ES0031408323131005HX0F")</f>
        <v>ES0031408323131005HX0F</v>
      </c>
      <c r="B6187" s="12">
        <f>IFERROR(__xludf.DUMMYFUNCTION("""COMPUTED_VALUE"""),45123.0)</f>
        <v>45123</v>
      </c>
      <c r="C6187" s="13">
        <f>IFERROR(__xludf.DUMMYFUNCTION("""COMPUTED_VALUE"""),0.7916666666666666)</f>
        <v>0.7916666667</v>
      </c>
      <c r="D6187" s="8">
        <f>IFERROR(__xludf.DUMMYFUNCTION("""COMPUTED_VALUE"""),0.038)</f>
        <v>0.038</v>
      </c>
      <c r="E6187" s="8" t="str">
        <f>IFERROR(__xludf.DUMMYFUNCTION("""COMPUTED_VALUE"""),"Real")</f>
        <v>Real</v>
      </c>
      <c r="G6187" s="8">
        <f t="shared" si="1"/>
        <v>7</v>
      </c>
      <c r="H6187" s="14">
        <f t="shared" si="2"/>
        <v>16</v>
      </c>
      <c r="I6187" s="15">
        <f t="shared" si="3"/>
        <v>19</v>
      </c>
    </row>
    <row r="6188">
      <c r="A6188" s="8" t="str">
        <f>IFERROR(__xludf.DUMMYFUNCTION("IF('(INGESTA)Datos_consumo_datadis'!A6188&lt;&gt;"""",SPLIT('(INGESTA)Datos_consumo_datadis'!A:A,"",""),"""")"),"ES0031408323131005HX0F")</f>
        <v>ES0031408323131005HX0F</v>
      </c>
      <c r="B6188" s="12">
        <f>IFERROR(__xludf.DUMMYFUNCTION("""COMPUTED_VALUE"""),45123.0)</f>
        <v>45123</v>
      </c>
      <c r="C6188" s="13">
        <f>IFERROR(__xludf.DUMMYFUNCTION("""COMPUTED_VALUE"""),0.8333333333333334)</f>
        <v>0.8333333333</v>
      </c>
      <c r="D6188" s="8">
        <f>IFERROR(__xludf.DUMMYFUNCTION("""COMPUTED_VALUE"""),0.051)</f>
        <v>0.051</v>
      </c>
      <c r="E6188" s="8" t="str">
        <f>IFERROR(__xludf.DUMMYFUNCTION("""COMPUTED_VALUE"""),"Real")</f>
        <v>Real</v>
      </c>
      <c r="G6188" s="8">
        <f t="shared" si="1"/>
        <v>7</v>
      </c>
      <c r="H6188" s="14">
        <f t="shared" si="2"/>
        <v>16</v>
      </c>
      <c r="I6188" s="15">
        <f t="shared" si="3"/>
        <v>20</v>
      </c>
    </row>
    <row r="6189">
      <c r="A6189" s="8" t="str">
        <f>IFERROR(__xludf.DUMMYFUNCTION("IF('(INGESTA)Datos_consumo_datadis'!A6189&lt;&gt;"""",SPLIT('(INGESTA)Datos_consumo_datadis'!A:A,"",""),"""")"),"ES0031408323131005HX0F")</f>
        <v>ES0031408323131005HX0F</v>
      </c>
      <c r="B6189" s="12">
        <f>IFERROR(__xludf.DUMMYFUNCTION("""COMPUTED_VALUE"""),45123.0)</f>
        <v>45123</v>
      </c>
      <c r="C6189" s="13">
        <f>IFERROR(__xludf.DUMMYFUNCTION("""COMPUTED_VALUE"""),0.875)</f>
        <v>0.875</v>
      </c>
      <c r="D6189" s="8">
        <f>IFERROR(__xludf.DUMMYFUNCTION("""COMPUTED_VALUE"""),0.116)</f>
        <v>0.116</v>
      </c>
      <c r="E6189" s="8" t="str">
        <f>IFERROR(__xludf.DUMMYFUNCTION("""COMPUTED_VALUE"""),"Real")</f>
        <v>Real</v>
      </c>
      <c r="G6189" s="8">
        <f t="shared" si="1"/>
        <v>7</v>
      </c>
      <c r="H6189" s="14">
        <f t="shared" si="2"/>
        <v>16</v>
      </c>
      <c r="I6189" s="15">
        <f t="shared" si="3"/>
        <v>21</v>
      </c>
    </row>
    <row r="6190">
      <c r="A6190" s="8" t="str">
        <f>IFERROR(__xludf.DUMMYFUNCTION("IF('(INGESTA)Datos_consumo_datadis'!A6190&lt;&gt;"""",SPLIT('(INGESTA)Datos_consumo_datadis'!A:A,"",""),"""")"),"ES0031408323131005HX0F")</f>
        <v>ES0031408323131005HX0F</v>
      </c>
      <c r="B6190" s="12">
        <f>IFERROR(__xludf.DUMMYFUNCTION("""COMPUTED_VALUE"""),45123.0)</f>
        <v>45123</v>
      </c>
      <c r="C6190" s="13">
        <f>IFERROR(__xludf.DUMMYFUNCTION("""COMPUTED_VALUE"""),0.9166666666666666)</f>
        <v>0.9166666667</v>
      </c>
      <c r="D6190" s="8">
        <f>IFERROR(__xludf.DUMMYFUNCTION("""COMPUTED_VALUE"""),0.083)</f>
        <v>0.083</v>
      </c>
      <c r="E6190" s="8" t="str">
        <f>IFERROR(__xludf.DUMMYFUNCTION("""COMPUTED_VALUE"""),"Real")</f>
        <v>Real</v>
      </c>
      <c r="G6190" s="8">
        <f t="shared" si="1"/>
        <v>7</v>
      </c>
      <c r="H6190" s="14">
        <f t="shared" si="2"/>
        <v>16</v>
      </c>
      <c r="I6190" s="15">
        <f t="shared" si="3"/>
        <v>22</v>
      </c>
    </row>
    <row r="6191">
      <c r="A6191" s="8" t="str">
        <f>IFERROR(__xludf.DUMMYFUNCTION("IF('(INGESTA)Datos_consumo_datadis'!A6191&lt;&gt;"""",SPLIT('(INGESTA)Datos_consumo_datadis'!A:A,"",""),"""")"),"ES0031408323131005HX0F")</f>
        <v>ES0031408323131005HX0F</v>
      </c>
      <c r="B6191" s="12">
        <f>IFERROR(__xludf.DUMMYFUNCTION("""COMPUTED_VALUE"""),45123.0)</f>
        <v>45123</v>
      </c>
      <c r="C6191" s="13">
        <f>IFERROR(__xludf.DUMMYFUNCTION("""COMPUTED_VALUE"""),0.9583333333333334)</f>
        <v>0.9583333333</v>
      </c>
      <c r="D6191" s="8">
        <f>IFERROR(__xludf.DUMMYFUNCTION("""COMPUTED_VALUE"""),0.09)</f>
        <v>0.09</v>
      </c>
      <c r="E6191" s="8" t="str">
        <f>IFERROR(__xludf.DUMMYFUNCTION("""COMPUTED_VALUE"""),"Real")</f>
        <v>Real</v>
      </c>
      <c r="G6191" s="8">
        <f t="shared" si="1"/>
        <v>7</v>
      </c>
      <c r="H6191" s="14">
        <f t="shared" si="2"/>
        <v>16</v>
      </c>
      <c r="I6191" s="15">
        <f t="shared" si="3"/>
        <v>23</v>
      </c>
    </row>
    <row r="6192">
      <c r="A6192" s="8" t="str">
        <f>IFERROR(__xludf.DUMMYFUNCTION("IF('(INGESTA)Datos_consumo_datadis'!A6192&lt;&gt;"""",SPLIT('(INGESTA)Datos_consumo_datadis'!A:A,"",""),"""")"),"ES0031408323131005HX0F")</f>
        <v>ES0031408323131005HX0F</v>
      </c>
      <c r="B6192" s="12">
        <f>IFERROR(__xludf.DUMMYFUNCTION("""COMPUTED_VALUE"""),45123.0)</f>
        <v>45123</v>
      </c>
      <c r="C6192" s="16">
        <f>IFERROR(__xludf.DUMMYFUNCTION("""COMPUTED_VALUE"""),1.0)</f>
        <v>1</v>
      </c>
      <c r="D6192" s="8">
        <f>IFERROR(__xludf.DUMMYFUNCTION("""COMPUTED_VALUE"""),0.276)</f>
        <v>0.276</v>
      </c>
      <c r="E6192" s="8" t="str">
        <f>IFERROR(__xludf.DUMMYFUNCTION("""COMPUTED_VALUE"""),"Real")</f>
        <v>Real</v>
      </c>
      <c r="G6192" s="8">
        <f t="shared" si="1"/>
        <v>7</v>
      </c>
      <c r="H6192" s="14">
        <f t="shared" si="2"/>
        <v>16</v>
      </c>
      <c r="I6192" s="15">
        <f t="shared" si="3"/>
        <v>0</v>
      </c>
    </row>
    <row r="6193">
      <c r="A6193" s="8" t="str">
        <f>IFERROR(__xludf.DUMMYFUNCTION("IF('(INGESTA)Datos_consumo_datadis'!A6193&lt;&gt;"""",SPLIT('(INGESTA)Datos_consumo_datadis'!A:A,"",""),"""")"),"ES0031408323131005HX0F")</f>
        <v>ES0031408323131005HX0F</v>
      </c>
      <c r="B6193" s="12">
        <f>IFERROR(__xludf.DUMMYFUNCTION("""COMPUTED_VALUE"""),45124.0)</f>
        <v>45124</v>
      </c>
      <c r="C6193" s="13">
        <f>IFERROR(__xludf.DUMMYFUNCTION("""COMPUTED_VALUE"""),0.041666666666666664)</f>
        <v>0.04166666667</v>
      </c>
      <c r="D6193" s="8">
        <f>IFERROR(__xludf.DUMMYFUNCTION("""COMPUTED_VALUE"""),0.052)</f>
        <v>0.052</v>
      </c>
      <c r="E6193" s="8" t="str">
        <f>IFERROR(__xludf.DUMMYFUNCTION("""COMPUTED_VALUE"""),"Real")</f>
        <v>Real</v>
      </c>
      <c r="G6193" s="8">
        <f t="shared" si="1"/>
        <v>7</v>
      </c>
      <c r="H6193" s="14">
        <f t="shared" si="2"/>
        <v>17</v>
      </c>
      <c r="I6193" s="15">
        <f t="shared" si="3"/>
        <v>1</v>
      </c>
    </row>
    <row r="6194">
      <c r="A6194" s="8" t="str">
        <f>IFERROR(__xludf.DUMMYFUNCTION("IF('(INGESTA)Datos_consumo_datadis'!A6194&lt;&gt;"""",SPLIT('(INGESTA)Datos_consumo_datadis'!A:A,"",""),"""")"),"ES0031408323131005HX0F")</f>
        <v>ES0031408323131005HX0F</v>
      </c>
      <c r="B6194" s="12">
        <f>IFERROR(__xludf.DUMMYFUNCTION("""COMPUTED_VALUE"""),45124.0)</f>
        <v>45124</v>
      </c>
      <c r="C6194" s="13">
        <f>IFERROR(__xludf.DUMMYFUNCTION("""COMPUTED_VALUE"""),0.08333333333333333)</f>
        <v>0.08333333333</v>
      </c>
      <c r="D6194" s="8">
        <f>IFERROR(__xludf.DUMMYFUNCTION("""COMPUTED_VALUE"""),0.114)</f>
        <v>0.114</v>
      </c>
      <c r="E6194" s="8" t="str">
        <f>IFERROR(__xludf.DUMMYFUNCTION("""COMPUTED_VALUE"""),"Real")</f>
        <v>Real</v>
      </c>
      <c r="G6194" s="8">
        <f t="shared" si="1"/>
        <v>7</v>
      </c>
      <c r="H6194" s="14">
        <f t="shared" si="2"/>
        <v>17</v>
      </c>
      <c r="I6194" s="15">
        <f t="shared" si="3"/>
        <v>2</v>
      </c>
    </row>
    <row r="6195">
      <c r="A6195" s="8" t="str">
        <f>IFERROR(__xludf.DUMMYFUNCTION("IF('(INGESTA)Datos_consumo_datadis'!A6195&lt;&gt;"""",SPLIT('(INGESTA)Datos_consumo_datadis'!A:A,"",""),"""")"),"ES0031408323131005HX0F")</f>
        <v>ES0031408323131005HX0F</v>
      </c>
      <c r="B6195" s="12">
        <f>IFERROR(__xludf.DUMMYFUNCTION("""COMPUTED_VALUE"""),45124.0)</f>
        <v>45124</v>
      </c>
      <c r="C6195" s="13">
        <f>IFERROR(__xludf.DUMMYFUNCTION("""COMPUTED_VALUE"""),0.125)</f>
        <v>0.125</v>
      </c>
      <c r="D6195" s="8">
        <f>IFERROR(__xludf.DUMMYFUNCTION("""COMPUTED_VALUE"""),0.083)</f>
        <v>0.083</v>
      </c>
      <c r="E6195" s="8" t="str">
        <f>IFERROR(__xludf.DUMMYFUNCTION("""COMPUTED_VALUE"""),"Real")</f>
        <v>Real</v>
      </c>
      <c r="G6195" s="8">
        <f t="shared" si="1"/>
        <v>7</v>
      </c>
      <c r="H6195" s="14">
        <f t="shared" si="2"/>
        <v>17</v>
      </c>
      <c r="I6195" s="15">
        <f t="shared" si="3"/>
        <v>3</v>
      </c>
    </row>
    <row r="6196">
      <c r="A6196" s="8" t="str">
        <f>IFERROR(__xludf.DUMMYFUNCTION("IF('(INGESTA)Datos_consumo_datadis'!A6196&lt;&gt;"""",SPLIT('(INGESTA)Datos_consumo_datadis'!A:A,"",""),"""")"),"ES0031408323131005HX0F")</f>
        <v>ES0031408323131005HX0F</v>
      </c>
      <c r="B6196" s="12">
        <f>IFERROR(__xludf.DUMMYFUNCTION("""COMPUTED_VALUE"""),45124.0)</f>
        <v>45124</v>
      </c>
      <c r="C6196" s="13">
        <f>IFERROR(__xludf.DUMMYFUNCTION("""COMPUTED_VALUE"""),0.16666666666666666)</f>
        <v>0.1666666667</v>
      </c>
      <c r="D6196" s="8">
        <f>IFERROR(__xludf.DUMMYFUNCTION("""COMPUTED_VALUE"""),0.069)</f>
        <v>0.069</v>
      </c>
      <c r="E6196" s="8" t="str">
        <f>IFERROR(__xludf.DUMMYFUNCTION("""COMPUTED_VALUE"""),"Real")</f>
        <v>Real</v>
      </c>
      <c r="G6196" s="8">
        <f t="shared" si="1"/>
        <v>7</v>
      </c>
      <c r="H6196" s="14">
        <f t="shared" si="2"/>
        <v>17</v>
      </c>
      <c r="I6196" s="15">
        <f t="shared" si="3"/>
        <v>4</v>
      </c>
    </row>
    <row r="6197">
      <c r="A6197" s="8" t="str">
        <f>IFERROR(__xludf.DUMMYFUNCTION("IF('(INGESTA)Datos_consumo_datadis'!A6197&lt;&gt;"""",SPLIT('(INGESTA)Datos_consumo_datadis'!A:A,"",""),"""")"),"ES0031408323131005HX0F")</f>
        <v>ES0031408323131005HX0F</v>
      </c>
      <c r="B6197" s="12">
        <f>IFERROR(__xludf.DUMMYFUNCTION("""COMPUTED_VALUE"""),45124.0)</f>
        <v>45124</v>
      </c>
      <c r="C6197" s="13">
        <f>IFERROR(__xludf.DUMMYFUNCTION("""COMPUTED_VALUE"""),0.20833333333333334)</f>
        <v>0.2083333333</v>
      </c>
      <c r="D6197" s="8">
        <f>IFERROR(__xludf.DUMMYFUNCTION("""COMPUTED_VALUE"""),0.009)</f>
        <v>0.009</v>
      </c>
      <c r="E6197" s="8" t="str">
        <f>IFERROR(__xludf.DUMMYFUNCTION("""COMPUTED_VALUE"""),"Real")</f>
        <v>Real</v>
      </c>
      <c r="G6197" s="8">
        <f t="shared" si="1"/>
        <v>7</v>
      </c>
      <c r="H6197" s="14">
        <f t="shared" si="2"/>
        <v>17</v>
      </c>
      <c r="I6197" s="15">
        <f t="shared" si="3"/>
        <v>5</v>
      </c>
    </row>
    <row r="6198">
      <c r="A6198" s="8" t="str">
        <f>IFERROR(__xludf.DUMMYFUNCTION("IF('(INGESTA)Datos_consumo_datadis'!A6198&lt;&gt;"""",SPLIT('(INGESTA)Datos_consumo_datadis'!A:A,"",""),"""")"),"ES0031408323131005HX0F")</f>
        <v>ES0031408323131005HX0F</v>
      </c>
      <c r="B6198" s="12">
        <f>IFERROR(__xludf.DUMMYFUNCTION("""COMPUTED_VALUE"""),45124.0)</f>
        <v>45124</v>
      </c>
      <c r="C6198" s="13">
        <f>IFERROR(__xludf.DUMMYFUNCTION("""COMPUTED_VALUE"""),0.25)</f>
        <v>0.25</v>
      </c>
      <c r="D6198" s="8">
        <f>IFERROR(__xludf.DUMMYFUNCTION("""COMPUTED_VALUE"""),0.074)</f>
        <v>0.074</v>
      </c>
      <c r="E6198" s="8" t="str">
        <f>IFERROR(__xludf.DUMMYFUNCTION("""COMPUTED_VALUE"""),"Real")</f>
        <v>Real</v>
      </c>
      <c r="G6198" s="8">
        <f t="shared" si="1"/>
        <v>7</v>
      </c>
      <c r="H6198" s="14">
        <f t="shared" si="2"/>
        <v>17</v>
      </c>
      <c r="I6198" s="15">
        <f t="shared" si="3"/>
        <v>6</v>
      </c>
    </row>
    <row r="6199">
      <c r="A6199" s="8" t="str">
        <f>IFERROR(__xludf.DUMMYFUNCTION("IF('(INGESTA)Datos_consumo_datadis'!A6199&lt;&gt;"""",SPLIT('(INGESTA)Datos_consumo_datadis'!A:A,"",""),"""")"),"ES0031408323131005HX0F")</f>
        <v>ES0031408323131005HX0F</v>
      </c>
      <c r="B6199" s="12">
        <f>IFERROR(__xludf.DUMMYFUNCTION("""COMPUTED_VALUE"""),45124.0)</f>
        <v>45124</v>
      </c>
      <c r="C6199" s="13">
        <f>IFERROR(__xludf.DUMMYFUNCTION("""COMPUTED_VALUE"""),0.2916666666666667)</f>
        <v>0.2916666667</v>
      </c>
      <c r="D6199" s="8">
        <f>IFERROR(__xludf.DUMMYFUNCTION("""COMPUTED_VALUE"""),0.114)</f>
        <v>0.114</v>
      </c>
      <c r="E6199" s="8" t="str">
        <f>IFERROR(__xludf.DUMMYFUNCTION("""COMPUTED_VALUE"""),"Real")</f>
        <v>Real</v>
      </c>
      <c r="G6199" s="8">
        <f t="shared" si="1"/>
        <v>7</v>
      </c>
      <c r="H6199" s="14">
        <f t="shared" si="2"/>
        <v>17</v>
      </c>
      <c r="I6199" s="15">
        <f t="shared" si="3"/>
        <v>7</v>
      </c>
    </row>
    <row r="6200">
      <c r="A6200" s="8" t="str">
        <f>IFERROR(__xludf.DUMMYFUNCTION("IF('(INGESTA)Datos_consumo_datadis'!A6200&lt;&gt;"""",SPLIT('(INGESTA)Datos_consumo_datadis'!A:A,"",""),"""")"),"ES0031408323131005HX0F")</f>
        <v>ES0031408323131005HX0F</v>
      </c>
      <c r="B6200" s="12">
        <f>IFERROR(__xludf.DUMMYFUNCTION("""COMPUTED_VALUE"""),45124.0)</f>
        <v>45124</v>
      </c>
      <c r="C6200" s="13">
        <f>IFERROR(__xludf.DUMMYFUNCTION("""COMPUTED_VALUE"""),0.3333333333333333)</f>
        <v>0.3333333333</v>
      </c>
      <c r="D6200" s="8">
        <f>IFERROR(__xludf.DUMMYFUNCTION("""COMPUTED_VALUE"""),0.362)</f>
        <v>0.362</v>
      </c>
      <c r="E6200" s="8" t="str">
        <f>IFERROR(__xludf.DUMMYFUNCTION("""COMPUTED_VALUE"""),"Real")</f>
        <v>Real</v>
      </c>
      <c r="G6200" s="8">
        <f t="shared" si="1"/>
        <v>7</v>
      </c>
      <c r="H6200" s="14">
        <f t="shared" si="2"/>
        <v>17</v>
      </c>
      <c r="I6200" s="15">
        <f t="shared" si="3"/>
        <v>8</v>
      </c>
    </row>
    <row r="6201">
      <c r="A6201" s="8" t="str">
        <f>IFERROR(__xludf.DUMMYFUNCTION("IF('(INGESTA)Datos_consumo_datadis'!A6201&lt;&gt;"""",SPLIT('(INGESTA)Datos_consumo_datadis'!A:A,"",""),"""")"),"ES0031408323131005HX0F")</f>
        <v>ES0031408323131005HX0F</v>
      </c>
      <c r="B6201" s="12">
        <f>IFERROR(__xludf.DUMMYFUNCTION("""COMPUTED_VALUE"""),45124.0)</f>
        <v>45124</v>
      </c>
      <c r="C6201" s="13">
        <f>IFERROR(__xludf.DUMMYFUNCTION("""COMPUTED_VALUE"""),0.375)</f>
        <v>0.375</v>
      </c>
      <c r="D6201" s="8">
        <f>IFERROR(__xludf.DUMMYFUNCTION("""COMPUTED_VALUE"""),0.053)</f>
        <v>0.053</v>
      </c>
      <c r="E6201" s="8" t="str">
        <f>IFERROR(__xludf.DUMMYFUNCTION("""COMPUTED_VALUE"""),"Real")</f>
        <v>Real</v>
      </c>
      <c r="G6201" s="8">
        <f t="shared" si="1"/>
        <v>7</v>
      </c>
      <c r="H6201" s="14">
        <f t="shared" si="2"/>
        <v>17</v>
      </c>
      <c r="I6201" s="15">
        <f t="shared" si="3"/>
        <v>9</v>
      </c>
    </row>
    <row r="6202">
      <c r="A6202" s="8" t="str">
        <f>IFERROR(__xludf.DUMMYFUNCTION("IF('(INGESTA)Datos_consumo_datadis'!A6202&lt;&gt;"""",SPLIT('(INGESTA)Datos_consumo_datadis'!A:A,"",""),"""")"),"ES0031408323131005HX0F")</f>
        <v>ES0031408323131005HX0F</v>
      </c>
      <c r="B6202" s="12">
        <f>IFERROR(__xludf.DUMMYFUNCTION("""COMPUTED_VALUE"""),45124.0)</f>
        <v>45124</v>
      </c>
      <c r="C6202" s="13">
        <f>IFERROR(__xludf.DUMMYFUNCTION("""COMPUTED_VALUE"""),0.4166666666666667)</f>
        <v>0.4166666667</v>
      </c>
      <c r="D6202" s="8">
        <f>IFERROR(__xludf.DUMMYFUNCTION("""COMPUTED_VALUE"""),0.009)</f>
        <v>0.009</v>
      </c>
      <c r="E6202" s="8" t="str">
        <f>IFERROR(__xludf.DUMMYFUNCTION("""COMPUTED_VALUE"""),"Real")</f>
        <v>Real</v>
      </c>
      <c r="G6202" s="8">
        <f t="shared" si="1"/>
        <v>7</v>
      </c>
      <c r="H6202" s="14">
        <f t="shared" si="2"/>
        <v>17</v>
      </c>
      <c r="I6202" s="15">
        <f t="shared" si="3"/>
        <v>10</v>
      </c>
    </row>
    <row r="6203">
      <c r="A6203" s="8" t="str">
        <f>IFERROR(__xludf.DUMMYFUNCTION("IF('(INGESTA)Datos_consumo_datadis'!A6203&lt;&gt;"""",SPLIT('(INGESTA)Datos_consumo_datadis'!A:A,"",""),"""")"),"ES0031408323131005HX0F")</f>
        <v>ES0031408323131005HX0F</v>
      </c>
      <c r="B6203" s="12">
        <f>IFERROR(__xludf.DUMMYFUNCTION("""COMPUTED_VALUE"""),45124.0)</f>
        <v>45124</v>
      </c>
      <c r="C6203" s="13">
        <f>IFERROR(__xludf.DUMMYFUNCTION("""COMPUTED_VALUE"""),0.4583333333333333)</f>
        <v>0.4583333333</v>
      </c>
      <c r="D6203" s="8">
        <f>IFERROR(__xludf.DUMMYFUNCTION("""COMPUTED_VALUE"""),0.096)</f>
        <v>0.096</v>
      </c>
      <c r="E6203" s="8" t="str">
        <f>IFERROR(__xludf.DUMMYFUNCTION("""COMPUTED_VALUE"""),"Real")</f>
        <v>Real</v>
      </c>
      <c r="G6203" s="8">
        <f t="shared" si="1"/>
        <v>7</v>
      </c>
      <c r="H6203" s="14">
        <f t="shared" si="2"/>
        <v>17</v>
      </c>
      <c r="I6203" s="15">
        <f t="shared" si="3"/>
        <v>11</v>
      </c>
    </row>
    <row r="6204">
      <c r="A6204" s="8" t="str">
        <f>IFERROR(__xludf.DUMMYFUNCTION("IF('(INGESTA)Datos_consumo_datadis'!A6204&lt;&gt;"""",SPLIT('(INGESTA)Datos_consumo_datadis'!A:A,"",""),"""")"),"ES0031408323131005HX0F")</f>
        <v>ES0031408323131005HX0F</v>
      </c>
      <c r="B6204" s="12">
        <f>IFERROR(__xludf.DUMMYFUNCTION("""COMPUTED_VALUE"""),45124.0)</f>
        <v>45124</v>
      </c>
      <c r="C6204" s="13">
        <f>IFERROR(__xludf.DUMMYFUNCTION("""COMPUTED_VALUE"""),0.5)</f>
        <v>0.5</v>
      </c>
      <c r="D6204" s="8">
        <f>IFERROR(__xludf.DUMMYFUNCTION("""COMPUTED_VALUE"""),0.106)</f>
        <v>0.106</v>
      </c>
      <c r="E6204" s="8" t="str">
        <f>IFERROR(__xludf.DUMMYFUNCTION("""COMPUTED_VALUE"""),"Real")</f>
        <v>Real</v>
      </c>
      <c r="G6204" s="8">
        <f t="shared" si="1"/>
        <v>7</v>
      </c>
      <c r="H6204" s="14">
        <f t="shared" si="2"/>
        <v>17</v>
      </c>
      <c r="I6204" s="15">
        <f t="shared" si="3"/>
        <v>12</v>
      </c>
    </row>
    <row r="6205">
      <c r="A6205" s="8" t="str">
        <f>IFERROR(__xludf.DUMMYFUNCTION("IF('(INGESTA)Datos_consumo_datadis'!A6205&lt;&gt;"""",SPLIT('(INGESTA)Datos_consumo_datadis'!A:A,"",""),"""")"),"ES0031408323131005HX0F")</f>
        <v>ES0031408323131005HX0F</v>
      </c>
      <c r="B6205" s="12">
        <f>IFERROR(__xludf.DUMMYFUNCTION("""COMPUTED_VALUE"""),45124.0)</f>
        <v>45124</v>
      </c>
      <c r="C6205" s="13">
        <f>IFERROR(__xludf.DUMMYFUNCTION("""COMPUTED_VALUE"""),0.5416666666666666)</f>
        <v>0.5416666667</v>
      </c>
      <c r="D6205" s="8">
        <f>IFERROR(__xludf.DUMMYFUNCTION("""COMPUTED_VALUE"""),0.068)</f>
        <v>0.068</v>
      </c>
      <c r="E6205" s="8" t="str">
        <f>IFERROR(__xludf.DUMMYFUNCTION("""COMPUTED_VALUE"""),"Real")</f>
        <v>Real</v>
      </c>
      <c r="G6205" s="8">
        <f t="shared" si="1"/>
        <v>7</v>
      </c>
      <c r="H6205" s="14">
        <f t="shared" si="2"/>
        <v>17</v>
      </c>
      <c r="I6205" s="15">
        <f t="shared" si="3"/>
        <v>13</v>
      </c>
    </row>
    <row r="6206">
      <c r="A6206" s="8" t="str">
        <f>IFERROR(__xludf.DUMMYFUNCTION("IF('(INGESTA)Datos_consumo_datadis'!A6206&lt;&gt;"""",SPLIT('(INGESTA)Datos_consumo_datadis'!A:A,"",""),"""")"),"ES0031408323131005HX0F")</f>
        <v>ES0031408323131005HX0F</v>
      </c>
      <c r="B6206" s="12">
        <f>IFERROR(__xludf.DUMMYFUNCTION("""COMPUTED_VALUE"""),45124.0)</f>
        <v>45124</v>
      </c>
      <c r="C6206" s="13">
        <f>IFERROR(__xludf.DUMMYFUNCTION("""COMPUTED_VALUE"""),0.5833333333333334)</f>
        <v>0.5833333333</v>
      </c>
      <c r="D6206" s="8">
        <f>IFERROR(__xludf.DUMMYFUNCTION("""COMPUTED_VALUE"""),0.045)</f>
        <v>0.045</v>
      </c>
      <c r="E6206" s="8" t="str">
        <f>IFERROR(__xludf.DUMMYFUNCTION("""COMPUTED_VALUE"""),"Real")</f>
        <v>Real</v>
      </c>
      <c r="G6206" s="8">
        <f t="shared" si="1"/>
        <v>7</v>
      </c>
      <c r="H6206" s="14">
        <f t="shared" si="2"/>
        <v>17</v>
      </c>
      <c r="I6206" s="15">
        <f t="shared" si="3"/>
        <v>14</v>
      </c>
    </row>
    <row r="6207">
      <c r="A6207" s="8" t="str">
        <f>IFERROR(__xludf.DUMMYFUNCTION("IF('(INGESTA)Datos_consumo_datadis'!A6207&lt;&gt;"""",SPLIT('(INGESTA)Datos_consumo_datadis'!A:A,"",""),"""")"),"ES0031408323131005HX0F")</f>
        <v>ES0031408323131005HX0F</v>
      </c>
      <c r="B6207" s="12">
        <f>IFERROR(__xludf.DUMMYFUNCTION("""COMPUTED_VALUE"""),45124.0)</f>
        <v>45124</v>
      </c>
      <c r="C6207" s="13">
        <f>IFERROR(__xludf.DUMMYFUNCTION("""COMPUTED_VALUE"""),0.625)</f>
        <v>0.625</v>
      </c>
      <c r="D6207" s="8">
        <f>IFERROR(__xludf.DUMMYFUNCTION("""COMPUTED_VALUE"""),0.011)</f>
        <v>0.011</v>
      </c>
      <c r="E6207" s="8" t="str">
        <f>IFERROR(__xludf.DUMMYFUNCTION("""COMPUTED_VALUE"""),"Real")</f>
        <v>Real</v>
      </c>
      <c r="G6207" s="8">
        <f t="shared" si="1"/>
        <v>7</v>
      </c>
      <c r="H6207" s="14">
        <f t="shared" si="2"/>
        <v>17</v>
      </c>
      <c r="I6207" s="15">
        <f t="shared" si="3"/>
        <v>15</v>
      </c>
    </row>
    <row r="6208">
      <c r="A6208" s="8" t="str">
        <f>IFERROR(__xludf.DUMMYFUNCTION("IF('(INGESTA)Datos_consumo_datadis'!A6208&lt;&gt;"""",SPLIT('(INGESTA)Datos_consumo_datadis'!A:A,"",""),"""")"),"ES0031408323131005HX0F")</f>
        <v>ES0031408323131005HX0F</v>
      </c>
      <c r="B6208" s="12">
        <f>IFERROR(__xludf.DUMMYFUNCTION("""COMPUTED_VALUE"""),45124.0)</f>
        <v>45124</v>
      </c>
      <c r="C6208" s="13">
        <f>IFERROR(__xludf.DUMMYFUNCTION("""COMPUTED_VALUE"""),0.6666666666666666)</f>
        <v>0.6666666667</v>
      </c>
      <c r="D6208" s="8">
        <f>IFERROR(__xludf.DUMMYFUNCTION("""COMPUTED_VALUE"""),0.117)</f>
        <v>0.117</v>
      </c>
      <c r="E6208" s="8" t="str">
        <f>IFERROR(__xludf.DUMMYFUNCTION("""COMPUTED_VALUE"""),"Real")</f>
        <v>Real</v>
      </c>
      <c r="G6208" s="8">
        <f t="shared" si="1"/>
        <v>7</v>
      </c>
      <c r="H6208" s="14">
        <f t="shared" si="2"/>
        <v>17</v>
      </c>
      <c r="I6208" s="15">
        <f t="shared" si="3"/>
        <v>16</v>
      </c>
    </row>
    <row r="6209">
      <c r="A6209" s="8" t="str">
        <f>IFERROR(__xludf.DUMMYFUNCTION("IF('(INGESTA)Datos_consumo_datadis'!A6209&lt;&gt;"""",SPLIT('(INGESTA)Datos_consumo_datadis'!A:A,"",""),"""")"),"ES0031408323131005HX0F")</f>
        <v>ES0031408323131005HX0F</v>
      </c>
      <c r="B6209" s="12">
        <f>IFERROR(__xludf.DUMMYFUNCTION("""COMPUTED_VALUE"""),45124.0)</f>
        <v>45124</v>
      </c>
      <c r="C6209" s="13">
        <f>IFERROR(__xludf.DUMMYFUNCTION("""COMPUTED_VALUE"""),0.7083333333333334)</f>
        <v>0.7083333333</v>
      </c>
      <c r="D6209" s="8">
        <f>IFERROR(__xludf.DUMMYFUNCTION("""COMPUTED_VALUE"""),0.346)</f>
        <v>0.346</v>
      </c>
      <c r="E6209" s="8" t="str">
        <f>IFERROR(__xludf.DUMMYFUNCTION("""COMPUTED_VALUE"""),"Real")</f>
        <v>Real</v>
      </c>
      <c r="G6209" s="8">
        <f t="shared" si="1"/>
        <v>7</v>
      </c>
      <c r="H6209" s="14">
        <f t="shared" si="2"/>
        <v>17</v>
      </c>
      <c r="I6209" s="15">
        <f t="shared" si="3"/>
        <v>17</v>
      </c>
    </row>
    <row r="6210">
      <c r="A6210" s="8" t="str">
        <f>IFERROR(__xludf.DUMMYFUNCTION("IF('(INGESTA)Datos_consumo_datadis'!A6210&lt;&gt;"""",SPLIT('(INGESTA)Datos_consumo_datadis'!A:A,"",""),"""")"),"ES0031408323131005HX0F")</f>
        <v>ES0031408323131005HX0F</v>
      </c>
      <c r="B6210" s="12">
        <f>IFERROR(__xludf.DUMMYFUNCTION("""COMPUTED_VALUE"""),45124.0)</f>
        <v>45124</v>
      </c>
      <c r="C6210" s="13">
        <f>IFERROR(__xludf.DUMMYFUNCTION("""COMPUTED_VALUE"""),0.75)</f>
        <v>0.75</v>
      </c>
      <c r="D6210" s="8">
        <f>IFERROR(__xludf.DUMMYFUNCTION("""COMPUTED_VALUE"""),0.088)</f>
        <v>0.088</v>
      </c>
      <c r="E6210" s="8" t="str">
        <f>IFERROR(__xludf.DUMMYFUNCTION("""COMPUTED_VALUE"""),"Real")</f>
        <v>Real</v>
      </c>
      <c r="G6210" s="8">
        <f t="shared" si="1"/>
        <v>7</v>
      </c>
      <c r="H6210" s="14">
        <f t="shared" si="2"/>
        <v>17</v>
      </c>
      <c r="I6210" s="15">
        <f t="shared" si="3"/>
        <v>18</v>
      </c>
    </row>
    <row r="6211">
      <c r="A6211" s="8" t="str">
        <f>IFERROR(__xludf.DUMMYFUNCTION("IF('(INGESTA)Datos_consumo_datadis'!A6211&lt;&gt;"""",SPLIT('(INGESTA)Datos_consumo_datadis'!A:A,"",""),"""")"),"ES0031408323131005HX0F")</f>
        <v>ES0031408323131005HX0F</v>
      </c>
      <c r="B6211" s="12">
        <f>IFERROR(__xludf.DUMMYFUNCTION("""COMPUTED_VALUE"""),45124.0)</f>
        <v>45124</v>
      </c>
      <c r="C6211" s="13">
        <f>IFERROR(__xludf.DUMMYFUNCTION("""COMPUTED_VALUE"""),0.7916666666666666)</f>
        <v>0.7916666667</v>
      </c>
      <c r="D6211" s="8">
        <f>IFERROR(__xludf.DUMMYFUNCTION("""COMPUTED_VALUE"""),0.038)</f>
        <v>0.038</v>
      </c>
      <c r="E6211" s="8" t="str">
        <f>IFERROR(__xludf.DUMMYFUNCTION("""COMPUTED_VALUE"""),"Real")</f>
        <v>Real</v>
      </c>
      <c r="G6211" s="8">
        <f t="shared" si="1"/>
        <v>7</v>
      </c>
      <c r="H6211" s="14">
        <f t="shared" si="2"/>
        <v>17</v>
      </c>
      <c r="I6211" s="15">
        <f t="shared" si="3"/>
        <v>19</v>
      </c>
    </row>
    <row r="6212">
      <c r="A6212" s="8" t="str">
        <f>IFERROR(__xludf.DUMMYFUNCTION("IF('(INGESTA)Datos_consumo_datadis'!A6212&lt;&gt;"""",SPLIT('(INGESTA)Datos_consumo_datadis'!A:A,"",""),"""")"),"ES0031408323131005HX0F")</f>
        <v>ES0031408323131005HX0F</v>
      </c>
      <c r="B6212" s="12">
        <f>IFERROR(__xludf.DUMMYFUNCTION("""COMPUTED_VALUE"""),45124.0)</f>
        <v>45124</v>
      </c>
      <c r="C6212" s="13">
        <f>IFERROR(__xludf.DUMMYFUNCTION("""COMPUTED_VALUE"""),0.8333333333333334)</f>
        <v>0.8333333333</v>
      </c>
      <c r="D6212" s="8">
        <f>IFERROR(__xludf.DUMMYFUNCTION("""COMPUTED_VALUE"""),0.051)</f>
        <v>0.051</v>
      </c>
      <c r="E6212" s="8" t="str">
        <f>IFERROR(__xludf.DUMMYFUNCTION("""COMPUTED_VALUE"""),"Real")</f>
        <v>Real</v>
      </c>
      <c r="G6212" s="8">
        <f t="shared" si="1"/>
        <v>7</v>
      </c>
      <c r="H6212" s="14">
        <f t="shared" si="2"/>
        <v>17</v>
      </c>
      <c r="I6212" s="15">
        <f t="shared" si="3"/>
        <v>20</v>
      </c>
    </row>
    <row r="6213">
      <c r="A6213" s="8" t="str">
        <f>IFERROR(__xludf.DUMMYFUNCTION("IF('(INGESTA)Datos_consumo_datadis'!A6213&lt;&gt;"""",SPLIT('(INGESTA)Datos_consumo_datadis'!A:A,"",""),"""")"),"ES0031408323131005HX0F")</f>
        <v>ES0031408323131005HX0F</v>
      </c>
      <c r="B6213" s="12">
        <f>IFERROR(__xludf.DUMMYFUNCTION("""COMPUTED_VALUE"""),45124.0)</f>
        <v>45124</v>
      </c>
      <c r="C6213" s="13">
        <f>IFERROR(__xludf.DUMMYFUNCTION("""COMPUTED_VALUE"""),0.875)</f>
        <v>0.875</v>
      </c>
      <c r="D6213" s="8">
        <f>IFERROR(__xludf.DUMMYFUNCTION("""COMPUTED_VALUE"""),0.111)</f>
        <v>0.111</v>
      </c>
      <c r="E6213" s="8" t="str">
        <f>IFERROR(__xludf.DUMMYFUNCTION("""COMPUTED_VALUE"""),"Real")</f>
        <v>Real</v>
      </c>
      <c r="G6213" s="8">
        <f t="shared" si="1"/>
        <v>7</v>
      </c>
      <c r="H6213" s="14">
        <f t="shared" si="2"/>
        <v>17</v>
      </c>
      <c r="I6213" s="15">
        <f t="shared" si="3"/>
        <v>21</v>
      </c>
    </row>
    <row r="6214">
      <c r="A6214" s="8" t="str">
        <f>IFERROR(__xludf.DUMMYFUNCTION("IF('(INGESTA)Datos_consumo_datadis'!A6214&lt;&gt;"""",SPLIT('(INGESTA)Datos_consumo_datadis'!A:A,"",""),"""")"),"ES0031408323131005HX0F")</f>
        <v>ES0031408323131005HX0F</v>
      </c>
      <c r="B6214" s="12">
        <f>IFERROR(__xludf.DUMMYFUNCTION("""COMPUTED_VALUE"""),45124.0)</f>
        <v>45124</v>
      </c>
      <c r="C6214" s="13">
        <f>IFERROR(__xludf.DUMMYFUNCTION("""COMPUTED_VALUE"""),0.9166666666666666)</f>
        <v>0.9166666667</v>
      </c>
      <c r="D6214" s="8">
        <f>IFERROR(__xludf.DUMMYFUNCTION("""COMPUTED_VALUE"""),0.114)</f>
        <v>0.114</v>
      </c>
      <c r="E6214" s="8" t="str">
        <f>IFERROR(__xludf.DUMMYFUNCTION("""COMPUTED_VALUE"""),"Real")</f>
        <v>Real</v>
      </c>
      <c r="G6214" s="8">
        <f t="shared" si="1"/>
        <v>7</v>
      </c>
      <c r="H6214" s="14">
        <f t="shared" si="2"/>
        <v>17</v>
      </c>
      <c r="I6214" s="15">
        <f t="shared" si="3"/>
        <v>22</v>
      </c>
    </row>
    <row r="6215">
      <c r="A6215" s="8" t="str">
        <f>IFERROR(__xludf.DUMMYFUNCTION("IF('(INGESTA)Datos_consumo_datadis'!A6215&lt;&gt;"""",SPLIT('(INGESTA)Datos_consumo_datadis'!A:A,"",""),"""")"),"ES0031408323131005HX0F")</f>
        <v>ES0031408323131005HX0F</v>
      </c>
      <c r="B6215" s="12">
        <f>IFERROR(__xludf.DUMMYFUNCTION("""COMPUTED_VALUE"""),45124.0)</f>
        <v>45124</v>
      </c>
      <c r="C6215" s="13">
        <f>IFERROR(__xludf.DUMMYFUNCTION("""COMPUTED_VALUE"""),0.9583333333333334)</f>
        <v>0.9583333333</v>
      </c>
      <c r="D6215" s="8">
        <f>IFERROR(__xludf.DUMMYFUNCTION("""COMPUTED_VALUE"""),0.083)</f>
        <v>0.083</v>
      </c>
      <c r="E6215" s="8" t="str">
        <f>IFERROR(__xludf.DUMMYFUNCTION("""COMPUTED_VALUE"""),"Real")</f>
        <v>Real</v>
      </c>
      <c r="G6215" s="8">
        <f t="shared" si="1"/>
        <v>7</v>
      </c>
      <c r="H6215" s="14">
        <f t="shared" si="2"/>
        <v>17</v>
      </c>
      <c r="I6215" s="15">
        <f t="shared" si="3"/>
        <v>23</v>
      </c>
    </row>
    <row r="6216">
      <c r="A6216" s="8" t="str">
        <f>IFERROR(__xludf.DUMMYFUNCTION("IF('(INGESTA)Datos_consumo_datadis'!A6216&lt;&gt;"""",SPLIT('(INGESTA)Datos_consumo_datadis'!A:A,"",""),"""")"),"ES0031408323131005HX0F")</f>
        <v>ES0031408323131005HX0F</v>
      </c>
      <c r="B6216" s="12">
        <f>IFERROR(__xludf.DUMMYFUNCTION("""COMPUTED_VALUE"""),45124.0)</f>
        <v>45124</v>
      </c>
      <c r="C6216" s="16">
        <f>IFERROR(__xludf.DUMMYFUNCTION("""COMPUTED_VALUE"""),1.0)</f>
        <v>1</v>
      </c>
      <c r="D6216" s="8">
        <f>IFERROR(__xludf.DUMMYFUNCTION("""COMPUTED_VALUE"""),0.052)</f>
        <v>0.052</v>
      </c>
      <c r="E6216" s="8" t="str">
        <f>IFERROR(__xludf.DUMMYFUNCTION("""COMPUTED_VALUE"""),"Real")</f>
        <v>Real</v>
      </c>
      <c r="G6216" s="8">
        <f t="shared" si="1"/>
        <v>7</v>
      </c>
      <c r="H6216" s="14">
        <f t="shared" si="2"/>
        <v>17</v>
      </c>
      <c r="I6216" s="15">
        <f t="shared" si="3"/>
        <v>0</v>
      </c>
    </row>
    <row r="6217">
      <c r="A6217" s="8" t="str">
        <f>IFERROR(__xludf.DUMMYFUNCTION("IF('(INGESTA)Datos_consumo_datadis'!A6217&lt;&gt;"""",SPLIT('(INGESTA)Datos_consumo_datadis'!A:A,"",""),"""")"),"ES0031408323131005HX0F")</f>
        <v>ES0031408323131005HX0F</v>
      </c>
      <c r="B6217" s="12">
        <f>IFERROR(__xludf.DUMMYFUNCTION("""COMPUTED_VALUE"""),45125.0)</f>
        <v>45125</v>
      </c>
      <c r="C6217" s="13">
        <f>IFERROR(__xludf.DUMMYFUNCTION("""COMPUTED_VALUE"""),0.041666666666666664)</f>
        <v>0.04166666667</v>
      </c>
      <c r="D6217" s="8">
        <f>IFERROR(__xludf.DUMMYFUNCTION("""COMPUTED_VALUE"""),0.292)</f>
        <v>0.292</v>
      </c>
      <c r="E6217" s="8" t="str">
        <f>IFERROR(__xludf.DUMMYFUNCTION("""COMPUTED_VALUE"""),"Real")</f>
        <v>Real</v>
      </c>
      <c r="G6217" s="8">
        <f t="shared" si="1"/>
        <v>7</v>
      </c>
      <c r="H6217" s="14">
        <f t="shared" si="2"/>
        <v>18</v>
      </c>
      <c r="I6217" s="15">
        <f t="shared" si="3"/>
        <v>1</v>
      </c>
    </row>
    <row r="6218">
      <c r="A6218" s="8" t="str">
        <f>IFERROR(__xludf.DUMMYFUNCTION("IF('(INGESTA)Datos_consumo_datadis'!A6218&lt;&gt;"""",SPLIT('(INGESTA)Datos_consumo_datadis'!A:A,"",""),"""")"),"ES0031408323131005HX0F")</f>
        <v>ES0031408323131005HX0F</v>
      </c>
      <c r="B6218" s="12">
        <f>IFERROR(__xludf.DUMMYFUNCTION("""COMPUTED_VALUE"""),45125.0)</f>
        <v>45125</v>
      </c>
      <c r="C6218" s="13">
        <f>IFERROR(__xludf.DUMMYFUNCTION("""COMPUTED_VALUE"""),0.08333333333333333)</f>
        <v>0.08333333333</v>
      </c>
      <c r="D6218" s="8">
        <f>IFERROR(__xludf.DUMMYFUNCTION("""COMPUTED_VALUE"""),0.099)</f>
        <v>0.099</v>
      </c>
      <c r="E6218" s="8" t="str">
        <f>IFERROR(__xludf.DUMMYFUNCTION("""COMPUTED_VALUE"""),"Real")</f>
        <v>Real</v>
      </c>
      <c r="G6218" s="8">
        <f t="shared" si="1"/>
        <v>7</v>
      </c>
      <c r="H6218" s="14">
        <f t="shared" si="2"/>
        <v>18</v>
      </c>
      <c r="I6218" s="15">
        <f t="shared" si="3"/>
        <v>2</v>
      </c>
    </row>
    <row r="6219">
      <c r="A6219" s="8" t="str">
        <f>IFERROR(__xludf.DUMMYFUNCTION("IF('(INGESTA)Datos_consumo_datadis'!A6219&lt;&gt;"""",SPLIT('(INGESTA)Datos_consumo_datadis'!A:A,"",""),"""")"),"ES0031408323131005HX0F")</f>
        <v>ES0031408323131005HX0F</v>
      </c>
      <c r="B6219" s="12">
        <f>IFERROR(__xludf.DUMMYFUNCTION("""COMPUTED_VALUE"""),45125.0)</f>
        <v>45125</v>
      </c>
      <c r="C6219" s="13">
        <f>IFERROR(__xludf.DUMMYFUNCTION("""COMPUTED_VALUE"""),0.125)</f>
        <v>0.125</v>
      </c>
      <c r="D6219" s="8">
        <f>IFERROR(__xludf.DUMMYFUNCTION("""COMPUTED_VALUE"""),0.111)</f>
        <v>0.111</v>
      </c>
      <c r="E6219" s="8" t="str">
        <f>IFERROR(__xludf.DUMMYFUNCTION("""COMPUTED_VALUE"""),"Real")</f>
        <v>Real</v>
      </c>
      <c r="G6219" s="8">
        <f t="shared" si="1"/>
        <v>7</v>
      </c>
      <c r="H6219" s="14">
        <f t="shared" si="2"/>
        <v>18</v>
      </c>
      <c r="I6219" s="15">
        <f t="shared" si="3"/>
        <v>3</v>
      </c>
    </row>
    <row r="6220">
      <c r="A6220" s="8" t="str">
        <f>IFERROR(__xludf.DUMMYFUNCTION("IF('(INGESTA)Datos_consumo_datadis'!A6220&lt;&gt;"""",SPLIT('(INGESTA)Datos_consumo_datadis'!A:A,"",""),"""")"),"ES0031408323131005HX0F")</f>
        <v>ES0031408323131005HX0F</v>
      </c>
      <c r="B6220" s="12">
        <f>IFERROR(__xludf.DUMMYFUNCTION("""COMPUTED_VALUE"""),45125.0)</f>
        <v>45125</v>
      </c>
      <c r="C6220" s="13">
        <f>IFERROR(__xludf.DUMMYFUNCTION("""COMPUTED_VALUE"""),0.16666666666666666)</f>
        <v>0.1666666667</v>
      </c>
      <c r="D6220" s="8">
        <f>IFERROR(__xludf.DUMMYFUNCTION("""COMPUTED_VALUE"""),0.069)</f>
        <v>0.069</v>
      </c>
      <c r="E6220" s="8" t="str">
        <f>IFERROR(__xludf.DUMMYFUNCTION("""COMPUTED_VALUE"""),"Real")</f>
        <v>Real</v>
      </c>
      <c r="G6220" s="8">
        <f t="shared" si="1"/>
        <v>7</v>
      </c>
      <c r="H6220" s="14">
        <f t="shared" si="2"/>
        <v>18</v>
      </c>
      <c r="I6220" s="15">
        <f t="shared" si="3"/>
        <v>4</v>
      </c>
    </row>
    <row r="6221">
      <c r="A6221" s="8" t="str">
        <f>IFERROR(__xludf.DUMMYFUNCTION("IF('(INGESTA)Datos_consumo_datadis'!A6221&lt;&gt;"""",SPLIT('(INGESTA)Datos_consumo_datadis'!A:A,"",""),"""")"),"ES0031408323131005HX0F")</f>
        <v>ES0031408323131005HX0F</v>
      </c>
      <c r="B6221" s="12">
        <f>IFERROR(__xludf.DUMMYFUNCTION("""COMPUTED_VALUE"""),45125.0)</f>
        <v>45125</v>
      </c>
      <c r="C6221" s="13">
        <f>IFERROR(__xludf.DUMMYFUNCTION("""COMPUTED_VALUE"""),0.20833333333333334)</f>
        <v>0.2083333333</v>
      </c>
      <c r="D6221" s="8">
        <f>IFERROR(__xludf.DUMMYFUNCTION("""COMPUTED_VALUE"""),0.05)</f>
        <v>0.05</v>
      </c>
      <c r="E6221" s="8" t="str">
        <f>IFERROR(__xludf.DUMMYFUNCTION("""COMPUTED_VALUE"""),"Real")</f>
        <v>Real</v>
      </c>
      <c r="G6221" s="8">
        <f t="shared" si="1"/>
        <v>7</v>
      </c>
      <c r="H6221" s="14">
        <f t="shared" si="2"/>
        <v>18</v>
      </c>
      <c r="I6221" s="15">
        <f t="shared" si="3"/>
        <v>5</v>
      </c>
    </row>
    <row r="6222">
      <c r="A6222" s="8" t="str">
        <f>IFERROR(__xludf.DUMMYFUNCTION("IF('(INGESTA)Datos_consumo_datadis'!A6222&lt;&gt;"""",SPLIT('(INGESTA)Datos_consumo_datadis'!A:A,"",""),"""")"),"ES0031408323131005HX0F")</f>
        <v>ES0031408323131005HX0F</v>
      </c>
      <c r="B6222" s="12">
        <f>IFERROR(__xludf.DUMMYFUNCTION("""COMPUTED_VALUE"""),45125.0)</f>
        <v>45125</v>
      </c>
      <c r="C6222" s="13">
        <f>IFERROR(__xludf.DUMMYFUNCTION("""COMPUTED_VALUE"""),0.25)</f>
        <v>0.25</v>
      </c>
      <c r="D6222" s="8">
        <f>IFERROR(__xludf.DUMMYFUNCTION("""COMPUTED_VALUE"""),0.01)</f>
        <v>0.01</v>
      </c>
      <c r="E6222" s="8" t="str">
        <f>IFERROR(__xludf.DUMMYFUNCTION("""COMPUTED_VALUE"""),"Real")</f>
        <v>Real</v>
      </c>
      <c r="G6222" s="8">
        <f t="shared" si="1"/>
        <v>7</v>
      </c>
      <c r="H6222" s="14">
        <f t="shared" si="2"/>
        <v>18</v>
      </c>
      <c r="I6222" s="15">
        <f t="shared" si="3"/>
        <v>6</v>
      </c>
    </row>
    <row r="6223">
      <c r="A6223" s="8" t="str">
        <f>IFERROR(__xludf.DUMMYFUNCTION("IF('(INGESTA)Datos_consumo_datadis'!A6223&lt;&gt;"""",SPLIT('(INGESTA)Datos_consumo_datadis'!A:A,"",""),"""")"),"ES0031408323131005HX0F")</f>
        <v>ES0031408323131005HX0F</v>
      </c>
      <c r="B6223" s="12">
        <f>IFERROR(__xludf.DUMMYFUNCTION("""COMPUTED_VALUE"""),45125.0)</f>
        <v>45125</v>
      </c>
      <c r="C6223" s="13">
        <f>IFERROR(__xludf.DUMMYFUNCTION("""COMPUTED_VALUE"""),0.2916666666666667)</f>
        <v>0.2916666667</v>
      </c>
      <c r="D6223" s="8">
        <f>IFERROR(__xludf.DUMMYFUNCTION("""COMPUTED_VALUE"""),0.116)</f>
        <v>0.116</v>
      </c>
      <c r="E6223" s="8" t="str">
        <f>IFERROR(__xludf.DUMMYFUNCTION("""COMPUTED_VALUE"""),"Real")</f>
        <v>Real</v>
      </c>
      <c r="G6223" s="8">
        <f t="shared" si="1"/>
        <v>7</v>
      </c>
      <c r="H6223" s="14">
        <f t="shared" si="2"/>
        <v>18</v>
      </c>
      <c r="I6223" s="15">
        <f t="shared" si="3"/>
        <v>7</v>
      </c>
    </row>
    <row r="6224">
      <c r="A6224" s="8" t="str">
        <f>IFERROR(__xludf.DUMMYFUNCTION("IF('(INGESTA)Datos_consumo_datadis'!A6224&lt;&gt;"""",SPLIT('(INGESTA)Datos_consumo_datadis'!A:A,"",""),"""")"),"ES0031408323131005HX0F")</f>
        <v>ES0031408323131005HX0F</v>
      </c>
      <c r="B6224" s="12">
        <f>IFERROR(__xludf.DUMMYFUNCTION("""COMPUTED_VALUE"""),45125.0)</f>
        <v>45125</v>
      </c>
      <c r="C6224" s="13">
        <f>IFERROR(__xludf.DUMMYFUNCTION("""COMPUTED_VALUE"""),0.3333333333333333)</f>
        <v>0.3333333333</v>
      </c>
      <c r="D6224" s="8">
        <f>IFERROR(__xludf.DUMMYFUNCTION("""COMPUTED_VALUE"""),0.089)</f>
        <v>0.089</v>
      </c>
      <c r="E6224" s="8" t="str">
        <f>IFERROR(__xludf.DUMMYFUNCTION("""COMPUTED_VALUE"""),"Real")</f>
        <v>Real</v>
      </c>
      <c r="G6224" s="8">
        <f t="shared" si="1"/>
        <v>7</v>
      </c>
      <c r="H6224" s="14">
        <f t="shared" si="2"/>
        <v>18</v>
      </c>
      <c r="I6224" s="15">
        <f t="shared" si="3"/>
        <v>8</v>
      </c>
    </row>
    <row r="6225">
      <c r="A6225" s="8" t="str">
        <f>IFERROR(__xludf.DUMMYFUNCTION("IF('(INGESTA)Datos_consumo_datadis'!A6225&lt;&gt;"""",SPLIT('(INGESTA)Datos_consumo_datadis'!A:A,"",""),"""")"),"ES0031408323131005HX0F")</f>
        <v>ES0031408323131005HX0F</v>
      </c>
      <c r="B6225" s="12">
        <f>IFERROR(__xludf.DUMMYFUNCTION("""COMPUTED_VALUE"""),45125.0)</f>
        <v>45125</v>
      </c>
      <c r="C6225" s="13">
        <f>IFERROR(__xludf.DUMMYFUNCTION("""COMPUTED_VALUE"""),0.375)</f>
        <v>0.375</v>
      </c>
      <c r="D6225" s="8">
        <f>IFERROR(__xludf.DUMMYFUNCTION("""COMPUTED_VALUE"""),0.089)</f>
        <v>0.089</v>
      </c>
      <c r="E6225" s="8" t="str">
        <f>IFERROR(__xludf.DUMMYFUNCTION("""COMPUTED_VALUE"""),"Real")</f>
        <v>Real</v>
      </c>
      <c r="G6225" s="8">
        <f t="shared" si="1"/>
        <v>7</v>
      </c>
      <c r="H6225" s="14">
        <f t="shared" si="2"/>
        <v>18</v>
      </c>
      <c r="I6225" s="15">
        <f t="shared" si="3"/>
        <v>9</v>
      </c>
    </row>
    <row r="6226">
      <c r="A6226" s="8" t="str">
        <f>IFERROR(__xludf.DUMMYFUNCTION("IF('(INGESTA)Datos_consumo_datadis'!A6226&lt;&gt;"""",SPLIT('(INGESTA)Datos_consumo_datadis'!A:A,"",""),"""")"),"ES0031408323131005HX0F")</f>
        <v>ES0031408323131005HX0F</v>
      </c>
      <c r="B6226" s="12">
        <f>IFERROR(__xludf.DUMMYFUNCTION("""COMPUTED_VALUE"""),45125.0)</f>
        <v>45125</v>
      </c>
      <c r="C6226" s="13">
        <f>IFERROR(__xludf.DUMMYFUNCTION("""COMPUTED_VALUE"""),0.4166666666666667)</f>
        <v>0.4166666667</v>
      </c>
      <c r="D6226" s="8">
        <f>IFERROR(__xludf.DUMMYFUNCTION("""COMPUTED_VALUE"""),0.295)</f>
        <v>0.295</v>
      </c>
      <c r="E6226" s="8" t="str">
        <f>IFERROR(__xludf.DUMMYFUNCTION("""COMPUTED_VALUE"""),"Real")</f>
        <v>Real</v>
      </c>
      <c r="G6226" s="8">
        <f t="shared" si="1"/>
        <v>7</v>
      </c>
      <c r="H6226" s="14">
        <f t="shared" si="2"/>
        <v>18</v>
      </c>
      <c r="I6226" s="15">
        <f t="shared" si="3"/>
        <v>10</v>
      </c>
    </row>
    <row r="6227">
      <c r="A6227" s="8" t="str">
        <f>IFERROR(__xludf.DUMMYFUNCTION("IF('(INGESTA)Datos_consumo_datadis'!A6227&lt;&gt;"""",SPLIT('(INGESTA)Datos_consumo_datadis'!A:A,"",""),"""")"),"ES0031408323131005HX0F")</f>
        <v>ES0031408323131005HX0F</v>
      </c>
      <c r="B6227" s="12">
        <f>IFERROR(__xludf.DUMMYFUNCTION("""COMPUTED_VALUE"""),45125.0)</f>
        <v>45125</v>
      </c>
      <c r="C6227" s="13">
        <f>IFERROR(__xludf.DUMMYFUNCTION("""COMPUTED_VALUE"""),0.4583333333333333)</f>
        <v>0.4583333333</v>
      </c>
      <c r="D6227" s="8">
        <f>IFERROR(__xludf.DUMMYFUNCTION("""COMPUTED_VALUE"""),0.033)</f>
        <v>0.033</v>
      </c>
      <c r="E6227" s="8" t="str">
        <f>IFERROR(__xludf.DUMMYFUNCTION("""COMPUTED_VALUE"""),"Real")</f>
        <v>Real</v>
      </c>
      <c r="G6227" s="8">
        <f t="shared" si="1"/>
        <v>7</v>
      </c>
      <c r="H6227" s="14">
        <f t="shared" si="2"/>
        <v>18</v>
      </c>
      <c r="I6227" s="15">
        <f t="shared" si="3"/>
        <v>11</v>
      </c>
    </row>
    <row r="6228">
      <c r="A6228" s="8" t="str">
        <f>IFERROR(__xludf.DUMMYFUNCTION("IF('(INGESTA)Datos_consumo_datadis'!A6228&lt;&gt;"""",SPLIT('(INGESTA)Datos_consumo_datadis'!A:A,"",""),"""")"),"ES0031408323131005HX0F")</f>
        <v>ES0031408323131005HX0F</v>
      </c>
      <c r="B6228" s="12">
        <f>IFERROR(__xludf.DUMMYFUNCTION("""COMPUTED_VALUE"""),45125.0)</f>
        <v>45125</v>
      </c>
      <c r="C6228" s="13">
        <f>IFERROR(__xludf.DUMMYFUNCTION("""COMPUTED_VALUE"""),0.5)</f>
        <v>0.5</v>
      </c>
      <c r="D6228" s="8">
        <f>IFERROR(__xludf.DUMMYFUNCTION("""COMPUTED_VALUE"""),0.116)</f>
        <v>0.116</v>
      </c>
      <c r="E6228" s="8" t="str">
        <f>IFERROR(__xludf.DUMMYFUNCTION("""COMPUTED_VALUE"""),"Real")</f>
        <v>Real</v>
      </c>
      <c r="G6228" s="8">
        <f t="shared" si="1"/>
        <v>7</v>
      </c>
      <c r="H6228" s="14">
        <f t="shared" si="2"/>
        <v>18</v>
      </c>
      <c r="I6228" s="15">
        <f t="shared" si="3"/>
        <v>12</v>
      </c>
    </row>
    <row r="6229">
      <c r="A6229" s="8" t="str">
        <f>IFERROR(__xludf.DUMMYFUNCTION("IF('(INGESTA)Datos_consumo_datadis'!A6229&lt;&gt;"""",SPLIT('(INGESTA)Datos_consumo_datadis'!A:A,"",""),"""")"),"ES0031408323131005HX0F")</f>
        <v>ES0031408323131005HX0F</v>
      </c>
      <c r="B6229" s="12">
        <f>IFERROR(__xludf.DUMMYFUNCTION("""COMPUTED_VALUE"""),45125.0)</f>
        <v>45125</v>
      </c>
      <c r="C6229" s="13">
        <f>IFERROR(__xludf.DUMMYFUNCTION("""COMPUTED_VALUE"""),0.5416666666666666)</f>
        <v>0.5416666667</v>
      </c>
      <c r="D6229" s="8">
        <f>IFERROR(__xludf.DUMMYFUNCTION("""COMPUTED_VALUE"""),0.086)</f>
        <v>0.086</v>
      </c>
      <c r="E6229" s="8" t="str">
        <f>IFERROR(__xludf.DUMMYFUNCTION("""COMPUTED_VALUE"""),"Real")</f>
        <v>Real</v>
      </c>
      <c r="G6229" s="8">
        <f t="shared" si="1"/>
        <v>7</v>
      </c>
      <c r="H6229" s="14">
        <f t="shared" si="2"/>
        <v>18</v>
      </c>
      <c r="I6229" s="15">
        <f t="shared" si="3"/>
        <v>13</v>
      </c>
    </row>
    <row r="6230">
      <c r="A6230" s="8" t="str">
        <f>IFERROR(__xludf.DUMMYFUNCTION("IF('(INGESTA)Datos_consumo_datadis'!A6230&lt;&gt;"""",SPLIT('(INGESTA)Datos_consumo_datadis'!A:A,"",""),"""")"),"ES0031408323131005HX0F")</f>
        <v>ES0031408323131005HX0F</v>
      </c>
      <c r="B6230" s="12">
        <f>IFERROR(__xludf.DUMMYFUNCTION("""COMPUTED_VALUE"""),45125.0)</f>
        <v>45125</v>
      </c>
      <c r="C6230" s="13">
        <f>IFERROR(__xludf.DUMMYFUNCTION("""COMPUTED_VALUE"""),0.5833333333333334)</f>
        <v>0.5833333333</v>
      </c>
      <c r="D6230" s="8">
        <f>IFERROR(__xludf.DUMMYFUNCTION("""COMPUTED_VALUE"""),0.579)</f>
        <v>0.579</v>
      </c>
      <c r="E6230" s="8" t="str">
        <f>IFERROR(__xludf.DUMMYFUNCTION("""COMPUTED_VALUE"""),"Real")</f>
        <v>Real</v>
      </c>
      <c r="G6230" s="8">
        <f t="shared" si="1"/>
        <v>7</v>
      </c>
      <c r="H6230" s="14">
        <f t="shared" si="2"/>
        <v>18</v>
      </c>
      <c r="I6230" s="15">
        <f t="shared" si="3"/>
        <v>14</v>
      </c>
    </row>
    <row r="6231">
      <c r="A6231" s="8" t="str">
        <f>IFERROR(__xludf.DUMMYFUNCTION("IF('(INGESTA)Datos_consumo_datadis'!A6231&lt;&gt;"""",SPLIT('(INGESTA)Datos_consumo_datadis'!A:A,"",""),"""")"),"ES0031408323131005HX0F")</f>
        <v>ES0031408323131005HX0F</v>
      </c>
      <c r="B6231" s="12">
        <f>IFERROR(__xludf.DUMMYFUNCTION("""COMPUTED_VALUE"""),45125.0)</f>
        <v>45125</v>
      </c>
      <c r="C6231" s="13">
        <f>IFERROR(__xludf.DUMMYFUNCTION("""COMPUTED_VALUE"""),0.625)</f>
        <v>0.625</v>
      </c>
      <c r="D6231" s="8">
        <f>IFERROR(__xludf.DUMMYFUNCTION("""COMPUTED_VALUE"""),0.342)</f>
        <v>0.342</v>
      </c>
      <c r="E6231" s="8" t="str">
        <f>IFERROR(__xludf.DUMMYFUNCTION("""COMPUTED_VALUE"""),"Real")</f>
        <v>Real</v>
      </c>
      <c r="G6231" s="8">
        <f t="shared" si="1"/>
        <v>7</v>
      </c>
      <c r="H6231" s="14">
        <f t="shared" si="2"/>
        <v>18</v>
      </c>
      <c r="I6231" s="15">
        <f t="shared" si="3"/>
        <v>15</v>
      </c>
    </row>
    <row r="6232">
      <c r="A6232" s="8" t="str">
        <f>IFERROR(__xludf.DUMMYFUNCTION("IF('(INGESTA)Datos_consumo_datadis'!A6232&lt;&gt;"""",SPLIT('(INGESTA)Datos_consumo_datadis'!A:A,"",""),"""")"),"ES0031408323131005HX0F")</f>
        <v>ES0031408323131005HX0F</v>
      </c>
      <c r="B6232" s="12">
        <f>IFERROR(__xludf.DUMMYFUNCTION("""COMPUTED_VALUE"""),45125.0)</f>
        <v>45125</v>
      </c>
      <c r="C6232" s="13">
        <f>IFERROR(__xludf.DUMMYFUNCTION("""COMPUTED_VALUE"""),0.6666666666666666)</f>
        <v>0.6666666667</v>
      </c>
      <c r="D6232" s="8">
        <f>IFERROR(__xludf.DUMMYFUNCTION("""COMPUTED_VALUE"""),1.81)</f>
        <v>1.81</v>
      </c>
      <c r="E6232" s="8" t="str">
        <f>IFERROR(__xludf.DUMMYFUNCTION("""COMPUTED_VALUE"""),"Real")</f>
        <v>Real</v>
      </c>
      <c r="G6232" s="8">
        <f t="shared" si="1"/>
        <v>7</v>
      </c>
      <c r="H6232" s="14">
        <f t="shared" si="2"/>
        <v>18</v>
      </c>
      <c r="I6232" s="15">
        <f t="shared" si="3"/>
        <v>16</v>
      </c>
    </row>
    <row r="6233">
      <c r="A6233" s="8" t="str">
        <f>IFERROR(__xludf.DUMMYFUNCTION("IF('(INGESTA)Datos_consumo_datadis'!A6233&lt;&gt;"""",SPLIT('(INGESTA)Datos_consumo_datadis'!A:A,"",""),"""")"),"ES0031408323131005HX0F")</f>
        <v>ES0031408323131005HX0F</v>
      </c>
      <c r="B6233" s="12">
        <f>IFERROR(__xludf.DUMMYFUNCTION("""COMPUTED_VALUE"""),45125.0)</f>
        <v>45125</v>
      </c>
      <c r="C6233" s="13">
        <f>IFERROR(__xludf.DUMMYFUNCTION("""COMPUTED_VALUE"""),0.7083333333333334)</f>
        <v>0.7083333333</v>
      </c>
      <c r="D6233" s="8">
        <f>IFERROR(__xludf.DUMMYFUNCTION("""COMPUTED_VALUE"""),0.48)</f>
        <v>0.48</v>
      </c>
      <c r="E6233" s="8" t="str">
        <f>IFERROR(__xludf.DUMMYFUNCTION("""COMPUTED_VALUE"""),"Real")</f>
        <v>Real</v>
      </c>
      <c r="G6233" s="8">
        <f t="shared" si="1"/>
        <v>7</v>
      </c>
      <c r="H6233" s="14">
        <f t="shared" si="2"/>
        <v>18</v>
      </c>
      <c r="I6233" s="15">
        <f t="shared" si="3"/>
        <v>17</v>
      </c>
    </row>
    <row r="6234">
      <c r="A6234" s="8" t="str">
        <f>IFERROR(__xludf.DUMMYFUNCTION("IF('(INGESTA)Datos_consumo_datadis'!A6234&lt;&gt;"""",SPLIT('(INGESTA)Datos_consumo_datadis'!A:A,"",""),"""")"),"ES0031408323131005HX0F")</f>
        <v>ES0031408323131005HX0F</v>
      </c>
      <c r="B6234" s="12">
        <f>IFERROR(__xludf.DUMMYFUNCTION("""COMPUTED_VALUE"""),45125.0)</f>
        <v>45125</v>
      </c>
      <c r="C6234" s="13">
        <f>IFERROR(__xludf.DUMMYFUNCTION("""COMPUTED_VALUE"""),0.75)</f>
        <v>0.75</v>
      </c>
      <c r="D6234" s="8">
        <f>IFERROR(__xludf.DUMMYFUNCTION("""COMPUTED_VALUE"""),0.698)</f>
        <v>0.698</v>
      </c>
      <c r="E6234" s="8" t="str">
        <f>IFERROR(__xludf.DUMMYFUNCTION("""COMPUTED_VALUE"""),"Real")</f>
        <v>Real</v>
      </c>
      <c r="G6234" s="8">
        <f t="shared" si="1"/>
        <v>7</v>
      </c>
      <c r="H6234" s="14">
        <f t="shared" si="2"/>
        <v>18</v>
      </c>
      <c r="I6234" s="15">
        <f t="shared" si="3"/>
        <v>18</v>
      </c>
    </row>
    <row r="6235">
      <c r="A6235" s="8" t="str">
        <f>IFERROR(__xludf.DUMMYFUNCTION("IF('(INGESTA)Datos_consumo_datadis'!A6235&lt;&gt;"""",SPLIT('(INGESTA)Datos_consumo_datadis'!A:A,"",""),"""")"),"ES0031408323131005HX0F")</f>
        <v>ES0031408323131005HX0F</v>
      </c>
      <c r="B6235" s="12">
        <f>IFERROR(__xludf.DUMMYFUNCTION("""COMPUTED_VALUE"""),45125.0)</f>
        <v>45125</v>
      </c>
      <c r="C6235" s="13">
        <f>IFERROR(__xludf.DUMMYFUNCTION("""COMPUTED_VALUE"""),0.7916666666666666)</f>
        <v>0.7916666667</v>
      </c>
      <c r="D6235" s="8">
        <f>IFERROR(__xludf.DUMMYFUNCTION("""COMPUTED_VALUE"""),0.243)</f>
        <v>0.243</v>
      </c>
      <c r="E6235" s="8" t="str">
        <f>IFERROR(__xludf.DUMMYFUNCTION("""COMPUTED_VALUE"""),"Real")</f>
        <v>Real</v>
      </c>
      <c r="G6235" s="8">
        <f t="shared" si="1"/>
        <v>7</v>
      </c>
      <c r="H6235" s="14">
        <f t="shared" si="2"/>
        <v>18</v>
      </c>
      <c r="I6235" s="15">
        <f t="shared" si="3"/>
        <v>19</v>
      </c>
    </row>
    <row r="6236">
      <c r="A6236" s="8" t="str">
        <f>IFERROR(__xludf.DUMMYFUNCTION("IF('(INGESTA)Datos_consumo_datadis'!A6236&lt;&gt;"""",SPLIT('(INGESTA)Datos_consumo_datadis'!A:A,"",""),"""")"),"ES0031408323131005HX0F")</f>
        <v>ES0031408323131005HX0F</v>
      </c>
      <c r="B6236" s="12">
        <f>IFERROR(__xludf.DUMMYFUNCTION("""COMPUTED_VALUE"""),45125.0)</f>
        <v>45125</v>
      </c>
      <c r="C6236" s="13">
        <f>IFERROR(__xludf.DUMMYFUNCTION("""COMPUTED_VALUE"""),0.8333333333333334)</f>
        <v>0.8333333333</v>
      </c>
      <c r="D6236" s="8">
        <f>IFERROR(__xludf.DUMMYFUNCTION("""COMPUTED_VALUE"""),0.144)</f>
        <v>0.144</v>
      </c>
      <c r="E6236" s="8" t="str">
        <f>IFERROR(__xludf.DUMMYFUNCTION("""COMPUTED_VALUE"""),"Real")</f>
        <v>Real</v>
      </c>
      <c r="G6236" s="8">
        <f t="shared" si="1"/>
        <v>7</v>
      </c>
      <c r="H6236" s="14">
        <f t="shared" si="2"/>
        <v>18</v>
      </c>
      <c r="I6236" s="15">
        <f t="shared" si="3"/>
        <v>20</v>
      </c>
    </row>
    <row r="6237">
      <c r="A6237" s="8" t="str">
        <f>IFERROR(__xludf.DUMMYFUNCTION("IF('(INGESTA)Datos_consumo_datadis'!A6237&lt;&gt;"""",SPLIT('(INGESTA)Datos_consumo_datadis'!A:A,"",""),"""")"),"ES0031408323131005HX0F")</f>
        <v>ES0031408323131005HX0F</v>
      </c>
      <c r="B6237" s="12">
        <f>IFERROR(__xludf.DUMMYFUNCTION("""COMPUTED_VALUE"""),45125.0)</f>
        <v>45125</v>
      </c>
      <c r="C6237" s="13">
        <f>IFERROR(__xludf.DUMMYFUNCTION("""COMPUTED_VALUE"""),0.875)</f>
        <v>0.875</v>
      </c>
      <c r="D6237" s="8">
        <f>IFERROR(__xludf.DUMMYFUNCTION("""COMPUTED_VALUE"""),0.733)</f>
        <v>0.733</v>
      </c>
      <c r="E6237" s="8" t="str">
        <f>IFERROR(__xludf.DUMMYFUNCTION("""COMPUTED_VALUE"""),"Real")</f>
        <v>Real</v>
      </c>
      <c r="G6237" s="8">
        <f t="shared" si="1"/>
        <v>7</v>
      </c>
      <c r="H6237" s="14">
        <f t="shared" si="2"/>
        <v>18</v>
      </c>
      <c r="I6237" s="15">
        <f t="shared" si="3"/>
        <v>21</v>
      </c>
    </row>
    <row r="6238">
      <c r="A6238" s="8" t="str">
        <f>IFERROR(__xludf.DUMMYFUNCTION("IF('(INGESTA)Datos_consumo_datadis'!A6238&lt;&gt;"""",SPLIT('(INGESTA)Datos_consumo_datadis'!A:A,"",""),"""")"),"ES0031408323131005HX0F")</f>
        <v>ES0031408323131005HX0F</v>
      </c>
      <c r="B6238" s="12">
        <f>IFERROR(__xludf.DUMMYFUNCTION("""COMPUTED_VALUE"""),45125.0)</f>
        <v>45125</v>
      </c>
      <c r="C6238" s="13">
        <f>IFERROR(__xludf.DUMMYFUNCTION("""COMPUTED_VALUE"""),0.9166666666666666)</f>
        <v>0.9166666667</v>
      </c>
      <c r="D6238" s="8">
        <f>IFERROR(__xludf.DUMMYFUNCTION("""COMPUTED_VALUE"""),0.71)</f>
        <v>0.71</v>
      </c>
      <c r="E6238" s="8" t="str">
        <f>IFERROR(__xludf.DUMMYFUNCTION("""COMPUTED_VALUE"""),"Real")</f>
        <v>Real</v>
      </c>
      <c r="G6238" s="8">
        <f t="shared" si="1"/>
        <v>7</v>
      </c>
      <c r="H6238" s="14">
        <f t="shared" si="2"/>
        <v>18</v>
      </c>
      <c r="I6238" s="15">
        <f t="shared" si="3"/>
        <v>22</v>
      </c>
    </row>
    <row r="6239">
      <c r="A6239" s="8" t="str">
        <f>IFERROR(__xludf.DUMMYFUNCTION("IF('(INGESTA)Datos_consumo_datadis'!A6239&lt;&gt;"""",SPLIT('(INGESTA)Datos_consumo_datadis'!A:A,"",""),"""")"),"ES0031408323131005HX0F")</f>
        <v>ES0031408323131005HX0F</v>
      </c>
      <c r="B6239" s="12">
        <f>IFERROR(__xludf.DUMMYFUNCTION("""COMPUTED_VALUE"""),45125.0)</f>
        <v>45125</v>
      </c>
      <c r="C6239" s="13">
        <f>IFERROR(__xludf.DUMMYFUNCTION("""COMPUTED_VALUE"""),0.9583333333333334)</f>
        <v>0.9583333333</v>
      </c>
      <c r="D6239" s="8">
        <f>IFERROR(__xludf.DUMMYFUNCTION("""COMPUTED_VALUE"""),1.425)</f>
        <v>1.425</v>
      </c>
      <c r="E6239" s="8" t="str">
        <f>IFERROR(__xludf.DUMMYFUNCTION("""COMPUTED_VALUE"""),"Real")</f>
        <v>Real</v>
      </c>
      <c r="G6239" s="8">
        <f t="shared" si="1"/>
        <v>7</v>
      </c>
      <c r="H6239" s="14">
        <f t="shared" si="2"/>
        <v>18</v>
      </c>
      <c r="I6239" s="15">
        <f t="shared" si="3"/>
        <v>23</v>
      </c>
    </row>
    <row r="6240">
      <c r="A6240" s="8" t="str">
        <f>IFERROR(__xludf.DUMMYFUNCTION("IF('(INGESTA)Datos_consumo_datadis'!A6240&lt;&gt;"""",SPLIT('(INGESTA)Datos_consumo_datadis'!A:A,"",""),"""")"),"ES0031408323131005HX0F")</f>
        <v>ES0031408323131005HX0F</v>
      </c>
      <c r="B6240" s="12">
        <f>IFERROR(__xludf.DUMMYFUNCTION("""COMPUTED_VALUE"""),45125.0)</f>
        <v>45125</v>
      </c>
      <c r="C6240" s="16">
        <f>IFERROR(__xludf.DUMMYFUNCTION("""COMPUTED_VALUE"""),1.0)</f>
        <v>1</v>
      </c>
      <c r="D6240" s="8">
        <f>IFERROR(__xludf.DUMMYFUNCTION("""COMPUTED_VALUE"""),0.295)</f>
        <v>0.295</v>
      </c>
      <c r="E6240" s="8" t="str">
        <f>IFERROR(__xludf.DUMMYFUNCTION("""COMPUTED_VALUE"""),"Real")</f>
        <v>Real</v>
      </c>
      <c r="G6240" s="8">
        <f t="shared" si="1"/>
        <v>7</v>
      </c>
      <c r="H6240" s="14">
        <f t="shared" si="2"/>
        <v>18</v>
      </c>
      <c r="I6240" s="15">
        <f t="shared" si="3"/>
        <v>0</v>
      </c>
    </row>
    <row r="6241">
      <c r="A6241" s="8" t="str">
        <f>IFERROR(__xludf.DUMMYFUNCTION("IF('(INGESTA)Datos_consumo_datadis'!A6241&lt;&gt;"""",SPLIT('(INGESTA)Datos_consumo_datadis'!A:A,"",""),"""")"),"ES0031408323131005HX0F")</f>
        <v>ES0031408323131005HX0F</v>
      </c>
      <c r="B6241" s="12">
        <f>IFERROR(__xludf.DUMMYFUNCTION("""COMPUTED_VALUE"""),45126.0)</f>
        <v>45126</v>
      </c>
      <c r="C6241" s="13">
        <f>IFERROR(__xludf.DUMMYFUNCTION("""COMPUTED_VALUE"""),0.041666666666666664)</f>
        <v>0.04166666667</v>
      </c>
      <c r="D6241" s="8">
        <f>IFERROR(__xludf.DUMMYFUNCTION("""COMPUTED_VALUE"""),0.05)</f>
        <v>0.05</v>
      </c>
      <c r="E6241" s="8" t="str">
        <f>IFERROR(__xludf.DUMMYFUNCTION("""COMPUTED_VALUE"""),"Real")</f>
        <v>Real</v>
      </c>
      <c r="G6241" s="8">
        <f t="shared" si="1"/>
        <v>7</v>
      </c>
      <c r="H6241" s="14">
        <f t="shared" si="2"/>
        <v>19</v>
      </c>
      <c r="I6241" s="15">
        <f t="shared" si="3"/>
        <v>1</v>
      </c>
    </row>
    <row r="6242">
      <c r="A6242" s="8" t="str">
        <f>IFERROR(__xludf.DUMMYFUNCTION("IF('(INGESTA)Datos_consumo_datadis'!A6242&lt;&gt;"""",SPLIT('(INGESTA)Datos_consumo_datadis'!A:A,"",""),"""")"),"ES0031408323131005HX0F")</f>
        <v>ES0031408323131005HX0F</v>
      </c>
      <c r="B6242" s="12">
        <f>IFERROR(__xludf.DUMMYFUNCTION("""COMPUTED_VALUE"""),45126.0)</f>
        <v>45126</v>
      </c>
      <c r="C6242" s="13">
        <f>IFERROR(__xludf.DUMMYFUNCTION("""COMPUTED_VALUE"""),0.08333333333333333)</f>
        <v>0.08333333333</v>
      </c>
      <c r="D6242" s="8">
        <f>IFERROR(__xludf.DUMMYFUNCTION("""COMPUTED_VALUE"""),0.128)</f>
        <v>0.128</v>
      </c>
      <c r="E6242" s="8" t="str">
        <f>IFERROR(__xludf.DUMMYFUNCTION("""COMPUTED_VALUE"""),"Real")</f>
        <v>Real</v>
      </c>
      <c r="G6242" s="8">
        <f t="shared" si="1"/>
        <v>7</v>
      </c>
      <c r="H6242" s="14">
        <f t="shared" si="2"/>
        <v>19</v>
      </c>
      <c r="I6242" s="15">
        <f t="shared" si="3"/>
        <v>2</v>
      </c>
    </row>
    <row r="6243">
      <c r="A6243" s="8" t="str">
        <f>IFERROR(__xludf.DUMMYFUNCTION("IF('(INGESTA)Datos_consumo_datadis'!A6243&lt;&gt;"""",SPLIT('(INGESTA)Datos_consumo_datadis'!A:A,"",""),"""")"),"ES0031408323131005HX0F")</f>
        <v>ES0031408323131005HX0F</v>
      </c>
      <c r="B6243" s="12">
        <f>IFERROR(__xludf.DUMMYFUNCTION("""COMPUTED_VALUE"""),45126.0)</f>
        <v>45126</v>
      </c>
      <c r="C6243" s="13">
        <f>IFERROR(__xludf.DUMMYFUNCTION("""COMPUTED_VALUE"""),0.125)</f>
        <v>0.125</v>
      </c>
      <c r="D6243" s="8">
        <f>IFERROR(__xludf.DUMMYFUNCTION("""COMPUTED_VALUE"""),0.388)</f>
        <v>0.388</v>
      </c>
      <c r="E6243" s="8" t="str">
        <f>IFERROR(__xludf.DUMMYFUNCTION("""COMPUTED_VALUE"""),"Real")</f>
        <v>Real</v>
      </c>
      <c r="G6243" s="8">
        <f t="shared" si="1"/>
        <v>7</v>
      </c>
      <c r="H6243" s="14">
        <f t="shared" si="2"/>
        <v>19</v>
      </c>
      <c r="I6243" s="15">
        <f t="shared" si="3"/>
        <v>3</v>
      </c>
    </row>
    <row r="6244">
      <c r="A6244" s="8" t="str">
        <f>IFERROR(__xludf.DUMMYFUNCTION("IF('(INGESTA)Datos_consumo_datadis'!A6244&lt;&gt;"""",SPLIT('(INGESTA)Datos_consumo_datadis'!A:A,"",""),"""")"),"ES0031408323131005HX0F")</f>
        <v>ES0031408323131005HX0F</v>
      </c>
      <c r="B6244" s="12">
        <f>IFERROR(__xludf.DUMMYFUNCTION("""COMPUTED_VALUE"""),45126.0)</f>
        <v>45126</v>
      </c>
      <c r="C6244" s="13">
        <f>IFERROR(__xludf.DUMMYFUNCTION("""COMPUTED_VALUE"""),0.16666666666666666)</f>
        <v>0.1666666667</v>
      </c>
      <c r="D6244" s="8">
        <f>IFERROR(__xludf.DUMMYFUNCTION("""COMPUTED_VALUE"""),0.147)</f>
        <v>0.147</v>
      </c>
      <c r="E6244" s="8" t="str">
        <f>IFERROR(__xludf.DUMMYFUNCTION("""COMPUTED_VALUE"""),"Real")</f>
        <v>Real</v>
      </c>
      <c r="G6244" s="8">
        <f t="shared" si="1"/>
        <v>7</v>
      </c>
      <c r="H6244" s="14">
        <f t="shared" si="2"/>
        <v>19</v>
      </c>
      <c r="I6244" s="15">
        <f t="shared" si="3"/>
        <v>4</v>
      </c>
    </row>
    <row r="6245">
      <c r="A6245" s="8" t="str">
        <f>IFERROR(__xludf.DUMMYFUNCTION("IF('(INGESTA)Datos_consumo_datadis'!A6245&lt;&gt;"""",SPLIT('(INGESTA)Datos_consumo_datadis'!A:A,"",""),"""")"),"ES0031408323131005HX0F")</f>
        <v>ES0031408323131005HX0F</v>
      </c>
      <c r="B6245" s="12">
        <f>IFERROR(__xludf.DUMMYFUNCTION("""COMPUTED_VALUE"""),45126.0)</f>
        <v>45126</v>
      </c>
      <c r="C6245" s="13">
        <f>IFERROR(__xludf.DUMMYFUNCTION("""COMPUTED_VALUE"""),0.20833333333333334)</f>
        <v>0.2083333333</v>
      </c>
      <c r="D6245" s="8">
        <f>IFERROR(__xludf.DUMMYFUNCTION("""COMPUTED_VALUE"""),0.144)</f>
        <v>0.144</v>
      </c>
      <c r="E6245" s="8" t="str">
        <f>IFERROR(__xludf.DUMMYFUNCTION("""COMPUTED_VALUE"""),"Real")</f>
        <v>Real</v>
      </c>
      <c r="G6245" s="8">
        <f t="shared" si="1"/>
        <v>7</v>
      </c>
      <c r="H6245" s="14">
        <f t="shared" si="2"/>
        <v>19</v>
      </c>
      <c r="I6245" s="15">
        <f t="shared" si="3"/>
        <v>5</v>
      </c>
    </row>
    <row r="6246">
      <c r="A6246" s="8" t="str">
        <f>IFERROR(__xludf.DUMMYFUNCTION("IF('(INGESTA)Datos_consumo_datadis'!A6246&lt;&gt;"""",SPLIT('(INGESTA)Datos_consumo_datadis'!A:A,"",""),"""")"),"ES0031408323131005HX0F")</f>
        <v>ES0031408323131005HX0F</v>
      </c>
      <c r="B6246" s="12">
        <f>IFERROR(__xludf.DUMMYFUNCTION("""COMPUTED_VALUE"""),45126.0)</f>
        <v>45126</v>
      </c>
      <c r="C6246" s="13">
        <f>IFERROR(__xludf.DUMMYFUNCTION("""COMPUTED_VALUE"""),0.25)</f>
        <v>0.25</v>
      </c>
      <c r="D6246" s="8">
        <f>IFERROR(__xludf.DUMMYFUNCTION("""COMPUTED_VALUE"""),0.132)</f>
        <v>0.132</v>
      </c>
      <c r="E6246" s="8" t="str">
        <f>IFERROR(__xludf.DUMMYFUNCTION("""COMPUTED_VALUE"""),"Real")</f>
        <v>Real</v>
      </c>
      <c r="G6246" s="8">
        <f t="shared" si="1"/>
        <v>7</v>
      </c>
      <c r="H6246" s="14">
        <f t="shared" si="2"/>
        <v>19</v>
      </c>
      <c r="I6246" s="15">
        <f t="shared" si="3"/>
        <v>6</v>
      </c>
    </row>
    <row r="6247">
      <c r="A6247" s="8" t="str">
        <f>IFERROR(__xludf.DUMMYFUNCTION("IF('(INGESTA)Datos_consumo_datadis'!A6247&lt;&gt;"""",SPLIT('(INGESTA)Datos_consumo_datadis'!A:A,"",""),"""")"),"ES0031408323131005HX0F")</f>
        <v>ES0031408323131005HX0F</v>
      </c>
      <c r="B6247" s="12">
        <f>IFERROR(__xludf.DUMMYFUNCTION("""COMPUTED_VALUE"""),45126.0)</f>
        <v>45126</v>
      </c>
      <c r="C6247" s="13">
        <f>IFERROR(__xludf.DUMMYFUNCTION("""COMPUTED_VALUE"""),0.2916666666666667)</f>
        <v>0.2916666667</v>
      </c>
      <c r="D6247" s="8">
        <f>IFERROR(__xludf.DUMMYFUNCTION("""COMPUTED_VALUE"""),0.127)</f>
        <v>0.127</v>
      </c>
      <c r="E6247" s="8" t="str">
        <f>IFERROR(__xludf.DUMMYFUNCTION("""COMPUTED_VALUE"""),"Real")</f>
        <v>Real</v>
      </c>
      <c r="G6247" s="8">
        <f t="shared" si="1"/>
        <v>7</v>
      </c>
      <c r="H6247" s="14">
        <f t="shared" si="2"/>
        <v>19</v>
      </c>
      <c r="I6247" s="15">
        <f t="shared" si="3"/>
        <v>7</v>
      </c>
    </row>
    <row r="6248">
      <c r="A6248" s="8" t="str">
        <f>IFERROR(__xludf.DUMMYFUNCTION("IF('(INGESTA)Datos_consumo_datadis'!A6248&lt;&gt;"""",SPLIT('(INGESTA)Datos_consumo_datadis'!A:A,"",""),"""")"),"ES0031408323131005HX0F")</f>
        <v>ES0031408323131005HX0F</v>
      </c>
      <c r="B6248" s="12">
        <f>IFERROR(__xludf.DUMMYFUNCTION("""COMPUTED_VALUE"""),45126.0)</f>
        <v>45126</v>
      </c>
      <c r="C6248" s="13">
        <f>IFERROR(__xludf.DUMMYFUNCTION("""COMPUTED_VALUE"""),0.3333333333333333)</f>
        <v>0.3333333333</v>
      </c>
      <c r="D6248" s="8">
        <f>IFERROR(__xludf.DUMMYFUNCTION("""COMPUTED_VALUE"""),0.097)</f>
        <v>0.097</v>
      </c>
      <c r="E6248" s="8" t="str">
        <f>IFERROR(__xludf.DUMMYFUNCTION("""COMPUTED_VALUE"""),"Real")</f>
        <v>Real</v>
      </c>
      <c r="G6248" s="8">
        <f t="shared" si="1"/>
        <v>7</v>
      </c>
      <c r="H6248" s="14">
        <f t="shared" si="2"/>
        <v>19</v>
      </c>
      <c r="I6248" s="15">
        <f t="shared" si="3"/>
        <v>8</v>
      </c>
    </row>
    <row r="6249">
      <c r="A6249" s="8" t="str">
        <f>IFERROR(__xludf.DUMMYFUNCTION("IF('(INGESTA)Datos_consumo_datadis'!A6249&lt;&gt;"""",SPLIT('(INGESTA)Datos_consumo_datadis'!A:A,"",""),"""")"),"ES0031408323131005HX0F")</f>
        <v>ES0031408323131005HX0F</v>
      </c>
      <c r="B6249" s="12">
        <f>IFERROR(__xludf.DUMMYFUNCTION("""COMPUTED_VALUE"""),45126.0)</f>
        <v>45126</v>
      </c>
      <c r="C6249" s="13">
        <f>IFERROR(__xludf.DUMMYFUNCTION("""COMPUTED_VALUE"""),0.375)</f>
        <v>0.375</v>
      </c>
      <c r="D6249" s="8">
        <f>IFERROR(__xludf.DUMMYFUNCTION("""COMPUTED_VALUE"""),0.049)</f>
        <v>0.049</v>
      </c>
      <c r="E6249" s="8" t="str">
        <f>IFERROR(__xludf.DUMMYFUNCTION("""COMPUTED_VALUE"""),"Real")</f>
        <v>Real</v>
      </c>
      <c r="G6249" s="8">
        <f t="shared" si="1"/>
        <v>7</v>
      </c>
      <c r="H6249" s="14">
        <f t="shared" si="2"/>
        <v>19</v>
      </c>
      <c r="I6249" s="15">
        <f t="shared" si="3"/>
        <v>9</v>
      </c>
    </row>
    <row r="6250">
      <c r="A6250" s="8" t="str">
        <f>IFERROR(__xludf.DUMMYFUNCTION("IF('(INGESTA)Datos_consumo_datadis'!A6250&lt;&gt;"""",SPLIT('(INGESTA)Datos_consumo_datadis'!A:A,"",""),"""")"),"ES0031408323131005HX0F")</f>
        <v>ES0031408323131005HX0F</v>
      </c>
      <c r="B6250" s="12">
        <f>IFERROR(__xludf.DUMMYFUNCTION("""COMPUTED_VALUE"""),45126.0)</f>
        <v>45126</v>
      </c>
      <c r="C6250" s="13">
        <f>IFERROR(__xludf.DUMMYFUNCTION("""COMPUTED_VALUE"""),0.4166666666666667)</f>
        <v>0.4166666667</v>
      </c>
      <c r="D6250" s="8">
        <f>IFERROR(__xludf.DUMMYFUNCTION("""COMPUTED_VALUE"""),0.422)</f>
        <v>0.422</v>
      </c>
      <c r="E6250" s="8" t="str">
        <f>IFERROR(__xludf.DUMMYFUNCTION("""COMPUTED_VALUE"""),"Real")</f>
        <v>Real</v>
      </c>
      <c r="G6250" s="8">
        <f t="shared" si="1"/>
        <v>7</v>
      </c>
      <c r="H6250" s="14">
        <f t="shared" si="2"/>
        <v>19</v>
      </c>
      <c r="I6250" s="15">
        <f t="shared" si="3"/>
        <v>10</v>
      </c>
    </row>
    <row r="6251">
      <c r="A6251" s="8" t="str">
        <f>IFERROR(__xludf.DUMMYFUNCTION("IF('(INGESTA)Datos_consumo_datadis'!A6251&lt;&gt;"""",SPLIT('(INGESTA)Datos_consumo_datadis'!A:A,"",""),"""")"),"ES0031408323131005HX0F")</f>
        <v>ES0031408323131005HX0F</v>
      </c>
      <c r="B6251" s="12">
        <f>IFERROR(__xludf.DUMMYFUNCTION("""COMPUTED_VALUE"""),45126.0)</f>
        <v>45126</v>
      </c>
      <c r="C6251" s="13">
        <f>IFERROR(__xludf.DUMMYFUNCTION("""COMPUTED_VALUE"""),0.4583333333333333)</f>
        <v>0.4583333333</v>
      </c>
      <c r="D6251" s="8">
        <f>IFERROR(__xludf.DUMMYFUNCTION("""COMPUTED_VALUE"""),0.447)</f>
        <v>0.447</v>
      </c>
      <c r="E6251" s="8" t="str">
        <f>IFERROR(__xludf.DUMMYFUNCTION("""COMPUTED_VALUE"""),"Real")</f>
        <v>Real</v>
      </c>
      <c r="G6251" s="8">
        <f t="shared" si="1"/>
        <v>7</v>
      </c>
      <c r="H6251" s="14">
        <f t="shared" si="2"/>
        <v>19</v>
      </c>
      <c r="I6251" s="15">
        <f t="shared" si="3"/>
        <v>11</v>
      </c>
    </row>
    <row r="6252">
      <c r="A6252" s="8" t="str">
        <f>IFERROR(__xludf.DUMMYFUNCTION("IF('(INGESTA)Datos_consumo_datadis'!A6252&lt;&gt;"""",SPLIT('(INGESTA)Datos_consumo_datadis'!A:A,"",""),"""")"),"ES0031408323131005HX0F")</f>
        <v>ES0031408323131005HX0F</v>
      </c>
      <c r="B6252" s="12">
        <f>IFERROR(__xludf.DUMMYFUNCTION("""COMPUTED_VALUE"""),45126.0)</f>
        <v>45126</v>
      </c>
      <c r="C6252" s="13">
        <f>IFERROR(__xludf.DUMMYFUNCTION("""COMPUTED_VALUE"""),0.5)</f>
        <v>0.5</v>
      </c>
      <c r="D6252" s="8">
        <f>IFERROR(__xludf.DUMMYFUNCTION("""COMPUTED_VALUE"""),0.13)</f>
        <v>0.13</v>
      </c>
      <c r="E6252" s="8" t="str">
        <f>IFERROR(__xludf.DUMMYFUNCTION("""COMPUTED_VALUE"""),"Real")</f>
        <v>Real</v>
      </c>
      <c r="G6252" s="8">
        <f t="shared" si="1"/>
        <v>7</v>
      </c>
      <c r="H6252" s="14">
        <f t="shared" si="2"/>
        <v>19</v>
      </c>
      <c r="I6252" s="15">
        <f t="shared" si="3"/>
        <v>12</v>
      </c>
    </row>
    <row r="6253">
      <c r="A6253" s="8" t="str">
        <f>IFERROR(__xludf.DUMMYFUNCTION("IF('(INGESTA)Datos_consumo_datadis'!A6253&lt;&gt;"""",SPLIT('(INGESTA)Datos_consumo_datadis'!A:A,"",""),"""")"),"ES0031408323131005HX0F")</f>
        <v>ES0031408323131005HX0F</v>
      </c>
      <c r="B6253" s="12">
        <f>IFERROR(__xludf.DUMMYFUNCTION("""COMPUTED_VALUE"""),45126.0)</f>
        <v>45126</v>
      </c>
      <c r="C6253" s="13">
        <f>IFERROR(__xludf.DUMMYFUNCTION("""COMPUTED_VALUE"""),0.5416666666666666)</f>
        <v>0.5416666667</v>
      </c>
      <c r="D6253" s="8">
        <f>IFERROR(__xludf.DUMMYFUNCTION("""COMPUTED_VALUE"""),0.128)</f>
        <v>0.128</v>
      </c>
      <c r="E6253" s="8" t="str">
        <f>IFERROR(__xludf.DUMMYFUNCTION("""COMPUTED_VALUE"""),"Real")</f>
        <v>Real</v>
      </c>
      <c r="G6253" s="8">
        <f t="shared" si="1"/>
        <v>7</v>
      </c>
      <c r="H6253" s="14">
        <f t="shared" si="2"/>
        <v>19</v>
      </c>
      <c r="I6253" s="15">
        <f t="shared" si="3"/>
        <v>13</v>
      </c>
    </row>
    <row r="6254">
      <c r="A6254" s="8" t="str">
        <f>IFERROR(__xludf.DUMMYFUNCTION("IF('(INGESTA)Datos_consumo_datadis'!A6254&lt;&gt;"""",SPLIT('(INGESTA)Datos_consumo_datadis'!A:A,"",""),"""")"),"ES0031408323131005HX0F")</f>
        <v>ES0031408323131005HX0F</v>
      </c>
      <c r="B6254" s="12">
        <f>IFERROR(__xludf.DUMMYFUNCTION("""COMPUTED_VALUE"""),45126.0)</f>
        <v>45126</v>
      </c>
      <c r="C6254" s="13">
        <f>IFERROR(__xludf.DUMMYFUNCTION("""COMPUTED_VALUE"""),0.5833333333333334)</f>
        <v>0.5833333333</v>
      </c>
      <c r="D6254" s="8">
        <f>IFERROR(__xludf.DUMMYFUNCTION("""COMPUTED_VALUE"""),2.091)</f>
        <v>2.091</v>
      </c>
      <c r="E6254" s="8" t="str">
        <f>IFERROR(__xludf.DUMMYFUNCTION("""COMPUTED_VALUE"""),"Real")</f>
        <v>Real</v>
      </c>
      <c r="G6254" s="8">
        <f t="shared" si="1"/>
        <v>7</v>
      </c>
      <c r="H6254" s="14">
        <f t="shared" si="2"/>
        <v>19</v>
      </c>
      <c r="I6254" s="15">
        <f t="shared" si="3"/>
        <v>14</v>
      </c>
    </row>
    <row r="6255">
      <c r="A6255" s="8" t="str">
        <f>IFERROR(__xludf.DUMMYFUNCTION("IF('(INGESTA)Datos_consumo_datadis'!A6255&lt;&gt;"""",SPLIT('(INGESTA)Datos_consumo_datadis'!A:A,"",""),"""")"),"ES0031408323131005HX0F")</f>
        <v>ES0031408323131005HX0F</v>
      </c>
      <c r="B6255" s="12">
        <f>IFERROR(__xludf.DUMMYFUNCTION("""COMPUTED_VALUE"""),45126.0)</f>
        <v>45126</v>
      </c>
      <c r="C6255" s="13">
        <f>IFERROR(__xludf.DUMMYFUNCTION("""COMPUTED_VALUE"""),0.625)</f>
        <v>0.625</v>
      </c>
      <c r="D6255" s="8">
        <f>IFERROR(__xludf.DUMMYFUNCTION("""COMPUTED_VALUE"""),2.256)</f>
        <v>2.256</v>
      </c>
      <c r="E6255" s="8" t="str">
        <f>IFERROR(__xludf.DUMMYFUNCTION("""COMPUTED_VALUE"""),"Real")</f>
        <v>Real</v>
      </c>
      <c r="G6255" s="8">
        <f t="shared" si="1"/>
        <v>7</v>
      </c>
      <c r="H6255" s="14">
        <f t="shared" si="2"/>
        <v>19</v>
      </c>
      <c r="I6255" s="15">
        <f t="shared" si="3"/>
        <v>15</v>
      </c>
    </row>
    <row r="6256">
      <c r="A6256" s="8" t="str">
        <f>IFERROR(__xludf.DUMMYFUNCTION("IF('(INGESTA)Datos_consumo_datadis'!A6256&lt;&gt;"""",SPLIT('(INGESTA)Datos_consumo_datadis'!A:A,"",""),"""")"),"ES0031408323131005HX0F")</f>
        <v>ES0031408323131005HX0F</v>
      </c>
      <c r="B6256" s="12">
        <f>IFERROR(__xludf.DUMMYFUNCTION("""COMPUTED_VALUE"""),45126.0)</f>
        <v>45126</v>
      </c>
      <c r="C6256" s="13">
        <f>IFERROR(__xludf.DUMMYFUNCTION("""COMPUTED_VALUE"""),0.6666666666666666)</f>
        <v>0.6666666667</v>
      </c>
      <c r="D6256" s="8">
        <f>IFERROR(__xludf.DUMMYFUNCTION("""COMPUTED_VALUE"""),1.064)</f>
        <v>1.064</v>
      </c>
      <c r="E6256" s="8" t="str">
        <f>IFERROR(__xludf.DUMMYFUNCTION("""COMPUTED_VALUE"""),"Real")</f>
        <v>Real</v>
      </c>
      <c r="G6256" s="8">
        <f t="shared" si="1"/>
        <v>7</v>
      </c>
      <c r="H6256" s="14">
        <f t="shared" si="2"/>
        <v>19</v>
      </c>
      <c r="I6256" s="15">
        <f t="shared" si="3"/>
        <v>16</v>
      </c>
    </row>
    <row r="6257">
      <c r="A6257" s="8" t="str">
        <f>IFERROR(__xludf.DUMMYFUNCTION("IF('(INGESTA)Datos_consumo_datadis'!A6257&lt;&gt;"""",SPLIT('(INGESTA)Datos_consumo_datadis'!A:A,"",""),"""")"),"ES0031408323131005HX0F")</f>
        <v>ES0031408323131005HX0F</v>
      </c>
      <c r="B6257" s="12">
        <f>IFERROR(__xludf.DUMMYFUNCTION("""COMPUTED_VALUE"""),45126.0)</f>
        <v>45126</v>
      </c>
      <c r="C6257" s="13">
        <f>IFERROR(__xludf.DUMMYFUNCTION("""COMPUTED_VALUE"""),0.7083333333333334)</f>
        <v>0.7083333333</v>
      </c>
      <c r="D6257" s="8">
        <f>IFERROR(__xludf.DUMMYFUNCTION("""COMPUTED_VALUE"""),0.333)</f>
        <v>0.333</v>
      </c>
      <c r="E6257" s="8" t="str">
        <f>IFERROR(__xludf.DUMMYFUNCTION("""COMPUTED_VALUE"""),"Real")</f>
        <v>Real</v>
      </c>
      <c r="G6257" s="8">
        <f t="shared" si="1"/>
        <v>7</v>
      </c>
      <c r="H6257" s="14">
        <f t="shared" si="2"/>
        <v>19</v>
      </c>
      <c r="I6257" s="15">
        <f t="shared" si="3"/>
        <v>17</v>
      </c>
    </row>
    <row r="6258">
      <c r="A6258" s="8" t="str">
        <f>IFERROR(__xludf.DUMMYFUNCTION("IF('(INGESTA)Datos_consumo_datadis'!A6258&lt;&gt;"""",SPLIT('(INGESTA)Datos_consumo_datadis'!A:A,"",""),"""")"),"ES0031408323131005HX0F")</f>
        <v>ES0031408323131005HX0F</v>
      </c>
      <c r="B6258" s="12">
        <f>IFERROR(__xludf.DUMMYFUNCTION("""COMPUTED_VALUE"""),45126.0)</f>
        <v>45126</v>
      </c>
      <c r="C6258" s="13">
        <f>IFERROR(__xludf.DUMMYFUNCTION("""COMPUTED_VALUE"""),0.75)</f>
        <v>0.75</v>
      </c>
      <c r="D6258" s="8">
        <f>IFERROR(__xludf.DUMMYFUNCTION("""COMPUTED_VALUE"""),0.142)</f>
        <v>0.142</v>
      </c>
      <c r="E6258" s="8" t="str">
        <f>IFERROR(__xludf.DUMMYFUNCTION("""COMPUTED_VALUE"""),"Real")</f>
        <v>Real</v>
      </c>
      <c r="G6258" s="8">
        <f t="shared" si="1"/>
        <v>7</v>
      </c>
      <c r="H6258" s="14">
        <f t="shared" si="2"/>
        <v>19</v>
      </c>
      <c r="I6258" s="15">
        <f t="shared" si="3"/>
        <v>18</v>
      </c>
    </row>
    <row r="6259">
      <c r="A6259" s="8" t="str">
        <f>IFERROR(__xludf.DUMMYFUNCTION("IF('(INGESTA)Datos_consumo_datadis'!A6259&lt;&gt;"""",SPLIT('(INGESTA)Datos_consumo_datadis'!A:A,"",""),"""")"),"ES0031408323131005HX0F")</f>
        <v>ES0031408323131005HX0F</v>
      </c>
      <c r="B6259" s="12">
        <f>IFERROR(__xludf.DUMMYFUNCTION("""COMPUTED_VALUE"""),45126.0)</f>
        <v>45126</v>
      </c>
      <c r="C6259" s="13">
        <f>IFERROR(__xludf.DUMMYFUNCTION("""COMPUTED_VALUE"""),0.7916666666666666)</f>
        <v>0.7916666667</v>
      </c>
      <c r="D6259" s="8">
        <f>IFERROR(__xludf.DUMMYFUNCTION("""COMPUTED_VALUE"""),0.418)</f>
        <v>0.418</v>
      </c>
      <c r="E6259" s="8" t="str">
        <f>IFERROR(__xludf.DUMMYFUNCTION("""COMPUTED_VALUE"""),"Real")</f>
        <v>Real</v>
      </c>
      <c r="G6259" s="8">
        <f t="shared" si="1"/>
        <v>7</v>
      </c>
      <c r="H6259" s="14">
        <f t="shared" si="2"/>
        <v>19</v>
      </c>
      <c r="I6259" s="15">
        <f t="shared" si="3"/>
        <v>19</v>
      </c>
    </row>
    <row r="6260">
      <c r="A6260" s="8" t="str">
        <f>IFERROR(__xludf.DUMMYFUNCTION("IF('(INGESTA)Datos_consumo_datadis'!A6260&lt;&gt;"""",SPLIT('(INGESTA)Datos_consumo_datadis'!A:A,"",""),"""")"),"ES0031408323131005HX0F")</f>
        <v>ES0031408323131005HX0F</v>
      </c>
      <c r="B6260" s="12">
        <f>IFERROR(__xludf.DUMMYFUNCTION("""COMPUTED_VALUE"""),45126.0)</f>
        <v>45126</v>
      </c>
      <c r="C6260" s="13">
        <f>IFERROR(__xludf.DUMMYFUNCTION("""COMPUTED_VALUE"""),0.8333333333333334)</f>
        <v>0.8333333333</v>
      </c>
      <c r="D6260" s="8">
        <f>IFERROR(__xludf.DUMMYFUNCTION("""COMPUTED_VALUE"""),0.152)</f>
        <v>0.152</v>
      </c>
      <c r="E6260" s="8" t="str">
        <f>IFERROR(__xludf.DUMMYFUNCTION("""COMPUTED_VALUE"""),"Real")</f>
        <v>Real</v>
      </c>
      <c r="G6260" s="8">
        <f t="shared" si="1"/>
        <v>7</v>
      </c>
      <c r="H6260" s="14">
        <f t="shared" si="2"/>
        <v>19</v>
      </c>
      <c r="I6260" s="15">
        <f t="shared" si="3"/>
        <v>20</v>
      </c>
    </row>
    <row r="6261">
      <c r="A6261" s="8" t="str">
        <f>IFERROR(__xludf.DUMMYFUNCTION("IF('(INGESTA)Datos_consumo_datadis'!A6261&lt;&gt;"""",SPLIT('(INGESTA)Datos_consumo_datadis'!A:A,"",""),"""")"),"ES0031408323131005HX0F")</f>
        <v>ES0031408323131005HX0F</v>
      </c>
      <c r="B6261" s="12">
        <f>IFERROR(__xludf.DUMMYFUNCTION("""COMPUTED_VALUE"""),45126.0)</f>
        <v>45126</v>
      </c>
      <c r="C6261" s="13">
        <f>IFERROR(__xludf.DUMMYFUNCTION("""COMPUTED_VALUE"""),0.875)</f>
        <v>0.875</v>
      </c>
      <c r="D6261" s="8">
        <f>IFERROR(__xludf.DUMMYFUNCTION("""COMPUTED_VALUE"""),0.324)</f>
        <v>0.324</v>
      </c>
      <c r="E6261" s="8" t="str">
        <f>IFERROR(__xludf.DUMMYFUNCTION("""COMPUTED_VALUE"""),"Real")</f>
        <v>Real</v>
      </c>
      <c r="G6261" s="8">
        <f t="shared" si="1"/>
        <v>7</v>
      </c>
      <c r="H6261" s="14">
        <f t="shared" si="2"/>
        <v>19</v>
      </c>
      <c r="I6261" s="15">
        <f t="shared" si="3"/>
        <v>21</v>
      </c>
    </row>
    <row r="6262">
      <c r="A6262" s="8" t="str">
        <f>IFERROR(__xludf.DUMMYFUNCTION("IF('(INGESTA)Datos_consumo_datadis'!A6262&lt;&gt;"""",SPLIT('(INGESTA)Datos_consumo_datadis'!A:A,"",""),"""")"),"ES0031408323131005HX0F")</f>
        <v>ES0031408323131005HX0F</v>
      </c>
      <c r="B6262" s="12">
        <f>IFERROR(__xludf.DUMMYFUNCTION("""COMPUTED_VALUE"""),45126.0)</f>
        <v>45126</v>
      </c>
      <c r="C6262" s="13">
        <f>IFERROR(__xludf.DUMMYFUNCTION("""COMPUTED_VALUE"""),0.9166666666666666)</f>
        <v>0.9166666667</v>
      </c>
      <c r="D6262" s="8">
        <f>IFERROR(__xludf.DUMMYFUNCTION("""COMPUTED_VALUE"""),2.354)</f>
        <v>2.354</v>
      </c>
      <c r="E6262" s="8" t="str">
        <f>IFERROR(__xludf.DUMMYFUNCTION("""COMPUTED_VALUE"""),"Real")</f>
        <v>Real</v>
      </c>
      <c r="G6262" s="8">
        <f t="shared" si="1"/>
        <v>7</v>
      </c>
      <c r="H6262" s="14">
        <f t="shared" si="2"/>
        <v>19</v>
      </c>
      <c r="I6262" s="15">
        <f t="shared" si="3"/>
        <v>22</v>
      </c>
    </row>
    <row r="6263">
      <c r="A6263" s="8" t="str">
        <f>IFERROR(__xludf.DUMMYFUNCTION("IF('(INGESTA)Datos_consumo_datadis'!A6263&lt;&gt;"""",SPLIT('(INGESTA)Datos_consumo_datadis'!A:A,"",""),"""")"),"ES0031408323131005HX0F")</f>
        <v>ES0031408323131005HX0F</v>
      </c>
      <c r="B6263" s="12">
        <f>IFERROR(__xludf.DUMMYFUNCTION("""COMPUTED_VALUE"""),45126.0)</f>
        <v>45126</v>
      </c>
      <c r="C6263" s="13">
        <f>IFERROR(__xludf.DUMMYFUNCTION("""COMPUTED_VALUE"""),0.9583333333333334)</f>
        <v>0.9583333333</v>
      </c>
      <c r="D6263" s="8">
        <f>IFERROR(__xludf.DUMMYFUNCTION("""COMPUTED_VALUE"""),1.477)</f>
        <v>1.477</v>
      </c>
      <c r="E6263" s="8" t="str">
        <f>IFERROR(__xludf.DUMMYFUNCTION("""COMPUTED_VALUE"""),"Real")</f>
        <v>Real</v>
      </c>
      <c r="G6263" s="8">
        <f t="shared" si="1"/>
        <v>7</v>
      </c>
      <c r="H6263" s="14">
        <f t="shared" si="2"/>
        <v>19</v>
      </c>
      <c r="I6263" s="15">
        <f t="shared" si="3"/>
        <v>23</v>
      </c>
    </row>
    <row r="6264">
      <c r="A6264" s="8" t="str">
        <f>IFERROR(__xludf.DUMMYFUNCTION("IF('(INGESTA)Datos_consumo_datadis'!A6264&lt;&gt;"""",SPLIT('(INGESTA)Datos_consumo_datadis'!A:A,"",""),"""")"),"ES0031408323131005HX0F")</f>
        <v>ES0031408323131005HX0F</v>
      </c>
      <c r="B6264" s="12">
        <f>IFERROR(__xludf.DUMMYFUNCTION("""COMPUTED_VALUE"""),45126.0)</f>
        <v>45126</v>
      </c>
      <c r="C6264" s="16">
        <f>IFERROR(__xludf.DUMMYFUNCTION("""COMPUTED_VALUE"""),1.0)</f>
        <v>1</v>
      </c>
      <c r="D6264" s="8">
        <f>IFERROR(__xludf.DUMMYFUNCTION("""COMPUTED_VALUE"""),1.062)</f>
        <v>1.062</v>
      </c>
      <c r="E6264" s="8" t="str">
        <f>IFERROR(__xludf.DUMMYFUNCTION("""COMPUTED_VALUE"""),"Real")</f>
        <v>Real</v>
      </c>
      <c r="G6264" s="8">
        <f t="shared" si="1"/>
        <v>7</v>
      </c>
      <c r="H6264" s="14">
        <f t="shared" si="2"/>
        <v>19</v>
      </c>
      <c r="I6264" s="15">
        <f t="shared" si="3"/>
        <v>0</v>
      </c>
    </row>
    <row r="6265">
      <c r="A6265" s="8" t="str">
        <f>IFERROR(__xludf.DUMMYFUNCTION("IF('(INGESTA)Datos_consumo_datadis'!A6265&lt;&gt;"""",SPLIT('(INGESTA)Datos_consumo_datadis'!A:A,"",""),"""")"),"ES0031408323131005HX0F")</f>
        <v>ES0031408323131005HX0F</v>
      </c>
      <c r="B6265" s="12">
        <f>IFERROR(__xludf.DUMMYFUNCTION("""COMPUTED_VALUE"""),45127.0)</f>
        <v>45127</v>
      </c>
      <c r="C6265" s="13">
        <f>IFERROR(__xludf.DUMMYFUNCTION("""COMPUTED_VALUE"""),0.041666666666666664)</f>
        <v>0.04166666667</v>
      </c>
      <c r="D6265" s="8">
        <f>IFERROR(__xludf.DUMMYFUNCTION("""COMPUTED_VALUE"""),0.185)</f>
        <v>0.185</v>
      </c>
      <c r="E6265" s="8" t="str">
        <f>IFERROR(__xludf.DUMMYFUNCTION("""COMPUTED_VALUE"""),"Real")</f>
        <v>Real</v>
      </c>
      <c r="G6265" s="8">
        <f t="shared" si="1"/>
        <v>7</v>
      </c>
      <c r="H6265" s="14">
        <f t="shared" si="2"/>
        <v>20</v>
      </c>
      <c r="I6265" s="15">
        <f t="shared" si="3"/>
        <v>1</v>
      </c>
    </row>
    <row r="6266">
      <c r="A6266" s="8" t="str">
        <f>IFERROR(__xludf.DUMMYFUNCTION("IF('(INGESTA)Datos_consumo_datadis'!A6266&lt;&gt;"""",SPLIT('(INGESTA)Datos_consumo_datadis'!A:A,"",""),"""")"),"ES0031408323131005HX0F")</f>
        <v>ES0031408323131005HX0F</v>
      </c>
      <c r="B6266" s="12">
        <f>IFERROR(__xludf.DUMMYFUNCTION("""COMPUTED_VALUE"""),45127.0)</f>
        <v>45127</v>
      </c>
      <c r="C6266" s="13">
        <f>IFERROR(__xludf.DUMMYFUNCTION("""COMPUTED_VALUE"""),0.08333333333333333)</f>
        <v>0.08333333333</v>
      </c>
      <c r="D6266" s="8">
        <f>IFERROR(__xludf.DUMMYFUNCTION("""COMPUTED_VALUE"""),0.134)</f>
        <v>0.134</v>
      </c>
      <c r="E6266" s="8" t="str">
        <f>IFERROR(__xludf.DUMMYFUNCTION("""COMPUTED_VALUE"""),"Real")</f>
        <v>Real</v>
      </c>
      <c r="G6266" s="8">
        <f t="shared" si="1"/>
        <v>7</v>
      </c>
      <c r="H6266" s="14">
        <f t="shared" si="2"/>
        <v>20</v>
      </c>
      <c r="I6266" s="15">
        <f t="shared" si="3"/>
        <v>2</v>
      </c>
    </row>
    <row r="6267">
      <c r="A6267" s="8" t="str">
        <f>IFERROR(__xludf.DUMMYFUNCTION("IF('(INGESTA)Datos_consumo_datadis'!A6267&lt;&gt;"""",SPLIT('(INGESTA)Datos_consumo_datadis'!A:A,"",""),"""")"),"ES0031408323131005HX0F")</f>
        <v>ES0031408323131005HX0F</v>
      </c>
      <c r="B6267" s="12">
        <f>IFERROR(__xludf.DUMMYFUNCTION("""COMPUTED_VALUE"""),45127.0)</f>
        <v>45127</v>
      </c>
      <c r="C6267" s="13">
        <f>IFERROR(__xludf.DUMMYFUNCTION("""COMPUTED_VALUE"""),0.125)</f>
        <v>0.125</v>
      </c>
      <c r="D6267" s="8">
        <f>IFERROR(__xludf.DUMMYFUNCTION("""COMPUTED_VALUE"""),0.106)</f>
        <v>0.106</v>
      </c>
      <c r="E6267" s="8" t="str">
        <f>IFERROR(__xludf.DUMMYFUNCTION("""COMPUTED_VALUE"""),"Real")</f>
        <v>Real</v>
      </c>
      <c r="G6267" s="8">
        <f t="shared" si="1"/>
        <v>7</v>
      </c>
      <c r="H6267" s="14">
        <f t="shared" si="2"/>
        <v>20</v>
      </c>
      <c r="I6267" s="15">
        <f t="shared" si="3"/>
        <v>3</v>
      </c>
    </row>
    <row r="6268">
      <c r="A6268" s="8" t="str">
        <f>IFERROR(__xludf.DUMMYFUNCTION("IF('(INGESTA)Datos_consumo_datadis'!A6268&lt;&gt;"""",SPLIT('(INGESTA)Datos_consumo_datadis'!A:A,"",""),"""")"),"ES0031408323131005HX0F")</f>
        <v>ES0031408323131005HX0F</v>
      </c>
      <c r="B6268" s="12">
        <f>IFERROR(__xludf.DUMMYFUNCTION("""COMPUTED_VALUE"""),45127.0)</f>
        <v>45127</v>
      </c>
      <c r="C6268" s="13">
        <f>IFERROR(__xludf.DUMMYFUNCTION("""COMPUTED_VALUE"""),0.16666666666666666)</f>
        <v>0.1666666667</v>
      </c>
      <c r="D6268" s="8">
        <f>IFERROR(__xludf.DUMMYFUNCTION("""COMPUTED_VALUE"""),0.282)</f>
        <v>0.282</v>
      </c>
      <c r="E6268" s="8" t="str">
        <f>IFERROR(__xludf.DUMMYFUNCTION("""COMPUTED_VALUE"""),"Real")</f>
        <v>Real</v>
      </c>
      <c r="G6268" s="8">
        <f t="shared" si="1"/>
        <v>7</v>
      </c>
      <c r="H6268" s="14">
        <f t="shared" si="2"/>
        <v>20</v>
      </c>
      <c r="I6268" s="15">
        <f t="shared" si="3"/>
        <v>4</v>
      </c>
    </row>
    <row r="6269">
      <c r="A6269" s="8" t="str">
        <f>IFERROR(__xludf.DUMMYFUNCTION("IF('(INGESTA)Datos_consumo_datadis'!A6269&lt;&gt;"""",SPLIT('(INGESTA)Datos_consumo_datadis'!A:A,"",""),"""")"),"ES0031408323131005HX0F")</f>
        <v>ES0031408323131005HX0F</v>
      </c>
      <c r="B6269" s="12">
        <f>IFERROR(__xludf.DUMMYFUNCTION("""COMPUTED_VALUE"""),45127.0)</f>
        <v>45127</v>
      </c>
      <c r="C6269" s="13">
        <f>IFERROR(__xludf.DUMMYFUNCTION("""COMPUTED_VALUE"""),0.20833333333333334)</f>
        <v>0.2083333333</v>
      </c>
      <c r="D6269" s="8">
        <f>IFERROR(__xludf.DUMMYFUNCTION("""COMPUTED_VALUE"""),0.122)</f>
        <v>0.122</v>
      </c>
      <c r="E6269" s="8" t="str">
        <f>IFERROR(__xludf.DUMMYFUNCTION("""COMPUTED_VALUE"""),"Real")</f>
        <v>Real</v>
      </c>
      <c r="G6269" s="8">
        <f t="shared" si="1"/>
        <v>7</v>
      </c>
      <c r="H6269" s="14">
        <f t="shared" si="2"/>
        <v>20</v>
      </c>
      <c r="I6269" s="15">
        <f t="shared" si="3"/>
        <v>5</v>
      </c>
    </row>
    <row r="6270">
      <c r="A6270" s="8" t="str">
        <f>IFERROR(__xludf.DUMMYFUNCTION("IF('(INGESTA)Datos_consumo_datadis'!A6270&lt;&gt;"""",SPLIT('(INGESTA)Datos_consumo_datadis'!A:A,"",""),"""")"),"ES0031408323131005HX0F")</f>
        <v>ES0031408323131005HX0F</v>
      </c>
      <c r="B6270" s="12">
        <f>IFERROR(__xludf.DUMMYFUNCTION("""COMPUTED_VALUE"""),45127.0)</f>
        <v>45127</v>
      </c>
      <c r="C6270" s="13">
        <f>IFERROR(__xludf.DUMMYFUNCTION("""COMPUTED_VALUE"""),0.25)</f>
        <v>0.25</v>
      </c>
      <c r="D6270" s="8">
        <f>IFERROR(__xludf.DUMMYFUNCTION("""COMPUTED_VALUE"""),0.126)</f>
        <v>0.126</v>
      </c>
      <c r="E6270" s="8" t="str">
        <f>IFERROR(__xludf.DUMMYFUNCTION("""COMPUTED_VALUE"""),"Real")</f>
        <v>Real</v>
      </c>
      <c r="G6270" s="8">
        <f t="shared" si="1"/>
        <v>7</v>
      </c>
      <c r="H6270" s="14">
        <f t="shared" si="2"/>
        <v>20</v>
      </c>
      <c r="I6270" s="15">
        <f t="shared" si="3"/>
        <v>6</v>
      </c>
    </row>
    <row r="6271">
      <c r="A6271" s="8" t="str">
        <f>IFERROR(__xludf.DUMMYFUNCTION("IF('(INGESTA)Datos_consumo_datadis'!A6271&lt;&gt;"""",SPLIT('(INGESTA)Datos_consumo_datadis'!A:A,"",""),"""")"),"ES0031408323131005HX0F")</f>
        <v>ES0031408323131005HX0F</v>
      </c>
      <c r="B6271" s="12">
        <f>IFERROR(__xludf.DUMMYFUNCTION("""COMPUTED_VALUE"""),45127.0)</f>
        <v>45127</v>
      </c>
      <c r="C6271" s="13">
        <f>IFERROR(__xludf.DUMMYFUNCTION("""COMPUTED_VALUE"""),0.2916666666666667)</f>
        <v>0.2916666667</v>
      </c>
      <c r="D6271" s="8">
        <f>IFERROR(__xludf.DUMMYFUNCTION("""COMPUTED_VALUE"""),0.137)</f>
        <v>0.137</v>
      </c>
      <c r="E6271" s="8" t="str">
        <f>IFERROR(__xludf.DUMMYFUNCTION("""COMPUTED_VALUE"""),"Real")</f>
        <v>Real</v>
      </c>
      <c r="G6271" s="8">
        <f t="shared" si="1"/>
        <v>7</v>
      </c>
      <c r="H6271" s="14">
        <f t="shared" si="2"/>
        <v>20</v>
      </c>
      <c r="I6271" s="15">
        <f t="shared" si="3"/>
        <v>7</v>
      </c>
    </row>
    <row r="6272">
      <c r="A6272" s="8" t="str">
        <f>IFERROR(__xludf.DUMMYFUNCTION("IF('(INGESTA)Datos_consumo_datadis'!A6272&lt;&gt;"""",SPLIT('(INGESTA)Datos_consumo_datadis'!A:A,"",""),"""")"),"ES0031408323131005HX0F")</f>
        <v>ES0031408323131005HX0F</v>
      </c>
      <c r="B6272" s="12">
        <f>IFERROR(__xludf.DUMMYFUNCTION("""COMPUTED_VALUE"""),45127.0)</f>
        <v>45127</v>
      </c>
      <c r="C6272" s="13">
        <f>IFERROR(__xludf.DUMMYFUNCTION("""COMPUTED_VALUE"""),0.3333333333333333)</f>
        <v>0.3333333333</v>
      </c>
      <c r="D6272" s="8">
        <f>IFERROR(__xludf.DUMMYFUNCTION("""COMPUTED_VALUE"""),0.132)</f>
        <v>0.132</v>
      </c>
      <c r="E6272" s="8" t="str">
        <f>IFERROR(__xludf.DUMMYFUNCTION("""COMPUTED_VALUE"""),"Real")</f>
        <v>Real</v>
      </c>
      <c r="G6272" s="8">
        <f t="shared" si="1"/>
        <v>7</v>
      </c>
      <c r="H6272" s="14">
        <f t="shared" si="2"/>
        <v>20</v>
      </c>
      <c r="I6272" s="15">
        <f t="shared" si="3"/>
        <v>8</v>
      </c>
    </row>
    <row r="6273">
      <c r="A6273" s="8" t="str">
        <f>IFERROR(__xludf.DUMMYFUNCTION("IF('(INGESTA)Datos_consumo_datadis'!A6273&lt;&gt;"""",SPLIT('(INGESTA)Datos_consumo_datadis'!A:A,"",""),"""")"),"ES0031408323131005HX0F")</f>
        <v>ES0031408323131005HX0F</v>
      </c>
      <c r="B6273" s="12">
        <f>IFERROR(__xludf.DUMMYFUNCTION("""COMPUTED_VALUE"""),45127.0)</f>
        <v>45127</v>
      </c>
      <c r="C6273" s="13">
        <f>IFERROR(__xludf.DUMMYFUNCTION("""COMPUTED_VALUE"""),0.375)</f>
        <v>0.375</v>
      </c>
      <c r="D6273" s="8">
        <f>IFERROR(__xludf.DUMMYFUNCTION("""COMPUTED_VALUE"""),0.187)</f>
        <v>0.187</v>
      </c>
      <c r="E6273" s="8" t="str">
        <f>IFERROR(__xludf.DUMMYFUNCTION("""COMPUTED_VALUE"""),"Real")</f>
        <v>Real</v>
      </c>
      <c r="G6273" s="8">
        <f t="shared" si="1"/>
        <v>7</v>
      </c>
      <c r="H6273" s="14">
        <f t="shared" si="2"/>
        <v>20</v>
      </c>
      <c r="I6273" s="15">
        <f t="shared" si="3"/>
        <v>9</v>
      </c>
    </row>
    <row r="6274">
      <c r="A6274" s="8" t="str">
        <f>IFERROR(__xludf.DUMMYFUNCTION("IF('(INGESTA)Datos_consumo_datadis'!A6274&lt;&gt;"""",SPLIT('(INGESTA)Datos_consumo_datadis'!A:A,"",""),"""")"),"ES0031408323131005HX0F")</f>
        <v>ES0031408323131005HX0F</v>
      </c>
      <c r="B6274" s="12">
        <f>IFERROR(__xludf.DUMMYFUNCTION("""COMPUTED_VALUE"""),45127.0)</f>
        <v>45127</v>
      </c>
      <c r="C6274" s="13">
        <f>IFERROR(__xludf.DUMMYFUNCTION("""COMPUTED_VALUE"""),0.4166666666666667)</f>
        <v>0.4166666667</v>
      </c>
      <c r="D6274" s="8">
        <f>IFERROR(__xludf.DUMMYFUNCTION("""COMPUTED_VALUE"""),0.378)</f>
        <v>0.378</v>
      </c>
      <c r="E6274" s="8" t="str">
        <f>IFERROR(__xludf.DUMMYFUNCTION("""COMPUTED_VALUE"""),"Real")</f>
        <v>Real</v>
      </c>
      <c r="G6274" s="8">
        <f t="shared" si="1"/>
        <v>7</v>
      </c>
      <c r="H6274" s="14">
        <f t="shared" si="2"/>
        <v>20</v>
      </c>
      <c r="I6274" s="15">
        <f t="shared" si="3"/>
        <v>10</v>
      </c>
    </row>
    <row r="6275">
      <c r="A6275" s="8" t="str">
        <f>IFERROR(__xludf.DUMMYFUNCTION("IF('(INGESTA)Datos_consumo_datadis'!A6275&lt;&gt;"""",SPLIT('(INGESTA)Datos_consumo_datadis'!A:A,"",""),"""")"),"ES0031408323131005HX0F")</f>
        <v>ES0031408323131005HX0F</v>
      </c>
      <c r="B6275" s="12">
        <f>IFERROR(__xludf.DUMMYFUNCTION("""COMPUTED_VALUE"""),45127.0)</f>
        <v>45127</v>
      </c>
      <c r="C6275" s="13">
        <f>IFERROR(__xludf.DUMMYFUNCTION("""COMPUTED_VALUE"""),0.4583333333333333)</f>
        <v>0.4583333333</v>
      </c>
      <c r="D6275" s="8">
        <f>IFERROR(__xludf.DUMMYFUNCTION("""COMPUTED_VALUE"""),0.421)</f>
        <v>0.421</v>
      </c>
      <c r="E6275" s="8" t="str">
        <f>IFERROR(__xludf.DUMMYFUNCTION("""COMPUTED_VALUE"""),"Real")</f>
        <v>Real</v>
      </c>
      <c r="G6275" s="8">
        <f t="shared" si="1"/>
        <v>7</v>
      </c>
      <c r="H6275" s="14">
        <f t="shared" si="2"/>
        <v>20</v>
      </c>
      <c r="I6275" s="15">
        <f t="shared" si="3"/>
        <v>11</v>
      </c>
    </row>
    <row r="6276">
      <c r="A6276" s="8" t="str">
        <f>IFERROR(__xludf.DUMMYFUNCTION("IF('(INGESTA)Datos_consumo_datadis'!A6276&lt;&gt;"""",SPLIT('(INGESTA)Datos_consumo_datadis'!A:A,"",""),"""")"),"ES0031408323131005HX0F")</f>
        <v>ES0031408323131005HX0F</v>
      </c>
      <c r="B6276" s="12">
        <f>IFERROR(__xludf.DUMMYFUNCTION("""COMPUTED_VALUE"""),45127.0)</f>
        <v>45127</v>
      </c>
      <c r="C6276" s="13">
        <f>IFERROR(__xludf.DUMMYFUNCTION("""COMPUTED_VALUE"""),0.5)</f>
        <v>0.5</v>
      </c>
      <c r="D6276" s="8">
        <f>IFERROR(__xludf.DUMMYFUNCTION("""COMPUTED_VALUE"""),0.648)</f>
        <v>0.648</v>
      </c>
      <c r="E6276" s="8" t="str">
        <f>IFERROR(__xludf.DUMMYFUNCTION("""COMPUTED_VALUE"""),"Real")</f>
        <v>Real</v>
      </c>
      <c r="G6276" s="8">
        <f t="shared" si="1"/>
        <v>7</v>
      </c>
      <c r="H6276" s="14">
        <f t="shared" si="2"/>
        <v>20</v>
      </c>
      <c r="I6276" s="15">
        <f t="shared" si="3"/>
        <v>12</v>
      </c>
    </row>
    <row r="6277">
      <c r="A6277" s="8" t="str">
        <f>IFERROR(__xludf.DUMMYFUNCTION("IF('(INGESTA)Datos_consumo_datadis'!A6277&lt;&gt;"""",SPLIT('(INGESTA)Datos_consumo_datadis'!A:A,"",""),"""")"),"ES0031408323131005HX0F")</f>
        <v>ES0031408323131005HX0F</v>
      </c>
      <c r="B6277" s="12">
        <f>IFERROR(__xludf.DUMMYFUNCTION("""COMPUTED_VALUE"""),45127.0)</f>
        <v>45127</v>
      </c>
      <c r="C6277" s="13">
        <f>IFERROR(__xludf.DUMMYFUNCTION("""COMPUTED_VALUE"""),0.5416666666666666)</f>
        <v>0.5416666667</v>
      </c>
      <c r="D6277" s="8">
        <f>IFERROR(__xludf.DUMMYFUNCTION("""COMPUTED_VALUE"""),0.434)</f>
        <v>0.434</v>
      </c>
      <c r="E6277" s="8" t="str">
        <f>IFERROR(__xludf.DUMMYFUNCTION("""COMPUTED_VALUE"""),"Real")</f>
        <v>Real</v>
      </c>
      <c r="G6277" s="8">
        <f t="shared" si="1"/>
        <v>7</v>
      </c>
      <c r="H6277" s="14">
        <f t="shared" si="2"/>
        <v>20</v>
      </c>
      <c r="I6277" s="15">
        <f t="shared" si="3"/>
        <v>13</v>
      </c>
    </row>
    <row r="6278">
      <c r="A6278" s="8" t="str">
        <f>IFERROR(__xludf.DUMMYFUNCTION("IF('(INGESTA)Datos_consumo_datadis'!A6278&lt;&gt;"""",SPLIT('(INGESTA)Datos_consumo_datadis'!A:A,"",""),"""")"),"ES0031408323131005HX0F")</f>
        <v>ES0031408323131005HX0F</v>
      </c>
      <c r="B6278" s="12">
        <f>IFERROR(__xludf.DUMMYFUNCTION("""COMPUTED_VALUE"""),45127.0)</f>
        <v>45127</v>
      </c>
      <c r="C6278" s="13">
        <f>IFERROR(__xludf.DUMMYFUNCTION("""COMPUTED_VALUE"""),0.5833333333333334)</f>
        <v>0.5833333333</v>
      </c>
      <c r="D6278" s="8">
        <f>IFERROR(__xludf.DUMMYFUNCTION("""COMPUTED_VALUE"""),0.687)</f>
        <v>0.687</v>
      </c>
      <c r="E6278" s="8" t="str">
        <f>IFERROR(__xludf.DUMMYFUNCTION("""COMPUTED_VALUE"""),"Real")</f>
        <v>Real</v>
      </c>
      <c r="G6278" s="8">
        <f t="shared" si="1"/>
        <v>7</v>
      </c>
      <c r="H6278" s="14">
        <f t="shared" si="2"/>
        <v>20</v>
      </c>
      <c r="I6278" s="15">
        <f t="shared" si="3"/>
        <v>14</v>
      </c>
    </row>
    <row r="6279">
      <c r="A6279" s="8" t="str">
        <f>IFERROR(__xludf.DUMMYFUNCTION("IF('(INGESTA)Datos_consumo_datadis'!A6279&lt;&gt;"""",SPLIT('(INGESTA)Datos_consumo_datadis'!A:A,"",""),"""")"),"ES0031408323131005HX0F")</f>
        <v>ES0031408323131005HX0F</v>
      </c>
      <c r="B6279" s="12">
        <f>IFERROR(__xludf.DUMMYFUNCTION("""COMPUTED_VALUE"""),45127.0)</f>
        <v>45127</v>
      </c>
      <c r="C6279" s="13">
        <f>IFERROR(__xludf.DUMMYFUNCTION("""COMPUTED_VALUE"""),0.625)</f>
        <v>0.625</v>
      </c>
      <c r="D6279" s="8">
        <f>IFERROR(__xludf.DUMMYFUNCTION("""COMPUTED_VALUE"""),0.401)</f>
        <v>0.401</v>
      </c>
      <c r="E6279" s="8" t="str">
        <f>IFERROR(__xludf.DUMMYFUNCTION("""COMPUTED_VALUE"""),"Real")</f>
        <v>Real</v>
      </c>
      <c r="G6279" s="8">
        <f t="shared" si="1"/>
        <v>7</v>
      </c>
      <c r="H6279" s="14">
        <f t="shared" si="2"/>
        <v>20</v>
      </c>
      <c r="I6279" s="15">
        <f t="shared" si="3"/>
        <v>15</v>
      </c>
    </row>
    <row r="6280">
      <c r="A6280" s="8" t="str">
        <f>IFERROR(__xludf.DUMMYFUNCTION("IF('(INGESTA)Datos_consumo_datadis'!A6280&lt;&gt;"""",SPLIT('(INGESTA)Datos_consumo_datadis'!A:A,"",""),"""")"),"ES0031408323131005HX0F")</f>
        <v>ES0031408323131005HX0F</v>
      </c>
      <c r="B6280" s="12">
        <f>IFERROR(__xludf.DUMMYFUNCTION("""COMPUTED_VALUE"""),45127.0)</f>
        <v>45127</v>
      </c>
      <c r="C6280" s="13">
        <f>IFERROR(__xludf.DUMMYFUNCTION("""COMPUTED_VALUE"""),0.6666666666666666)</f>
        <v>0.6666666667</v>
      </c>
      <c r="D6280" s="8">
        <f>IFERROR(__xludf.DUMMYFUNCTION("""COMPUTED_VALUE"""),0.598)</f>
        <v>0.598</v>
      </c>
      <c r="E6280" s="8" t="str">
        <f>IFERROR(__xludf.DUMMYFUNCTION("""COMPUTED_VALUE"""),"Real")</f>
        <v>Real</v>
      </c>
      <c r="G6280" s="8">
        <f t="shared" si="1"/>
        <v>7</v>
      </c>
      <c r="H6280" s="14">
        <f t="shared" si="2"/>
        <v>20</v>
      </c>
      <c r="I6280" s="15">
        <f t="shared" si="3"/>
        <v>16</v>
      </c>
    </row>
    <row r="6281">
      <c r="A6281" s="8" t="str">
        <f>IFERROR(__xludf.DUMMYFUNCTION("IF('(INGESTA)Datos_consumo_datadis'!A6281&lt;&gt;"""",SPLIT('(INGESTA)Datos_consumo_datadis'!A:A,"",""),"""")"),"ES0031408323131005HX0F")</f>
        <v>ES0031408323131005HX0F</v>
      </c>
      <c r="B6281" s="12">
        <f>IFERROR(__xludf.DUMMYFUNCTION("""COMPUTED_VALUE"""),45127.0)</f>
        <v>45127</v>
      </c>
      <c r="C6281" s="13">
        <f>IFERROR(__xludf.DUMMYFUNCTION("""COMPUTED_VALUE"""),0.7083333333333334)</f>
        <v>0.7083333333</v>
      </c>
      <c r="D6281" s="8">
        <f>IFERROR(__xludf.DUMMYFUNCTION("""COMPUTED_VALUE"""),0.12)</f>
        <v>0.12</v>
      </c>
      <c r="E6281" s="8" t="str">
        <f>IFERROR(__xludf.DUMMYFUNCTION("""COMPUTED_VALUE"""),"Real")</f>
        <v>Real</v>
      </c>
      <c r="G6281" s="8">
        <f t="shared" si="1"/>
        <v>7</v>
      </c>
      <c r="H6281" s="14">
        <f t="shared" si="2"/>
        <v>20</v>
      </c>
      <c r="I6281" s="15">
        <f t="shared" si="3"/>
        <v>17</v>
      </c>
    </row>
    <row r="6282">
      <c r="A6282" s="8" t="str">
        <f>IFERROR(__xludf.DUMMYFUNCTION("IF('(INGESTA)Datos_consumo_datadis'!A6282&lt;&gt;"""",SPLIT('(INGESTA)Datos_consumo_datadis'!A:A,"",""),"""")"),"ES0031408323131005HX0F")</f>
        <v>ES0031408323131005HX0F</v>
      </c>
      <c r="B6282" s="12">
        <f>IFERROR(__xludf.DUMMYFUNCTION("""COMPUTED_VALUE"""),45127.0)</f>
        <v>45127</v>
      </c>
      <c r="C6282" s="13">
        <f>IFERROR(__xludf.DUMMYFUNCTION("""COMPUTED_VALUE"""),0.75)</f>
        <v>0.75</v>
      </c>
      <c r="D6282" s="8">
        <f>IFERROR(__xludf.DUMMYFUNCTION("""COMPUTED_VALUE"""),0.118)</f>
        <v>0.118</v>
      </c>
      <c r="E6282" s="8" t="str">
        <f>IFERROR(__xludf.DUMMYFUNCTION("""COMPUTED_VALUE"""),"Real")</f>
        <v>Real</v>
      </c>
      <c r="G6282" s="8">
        <f t="shared" si="1"/>
        <v>7</v>
      </c>
      <c r="H6282" s="14">
        <f t="shared" si="2"/>
        <v>20</v>
      </c>
      <c r="I6282" s="15">
        <f t="shared" si="3"/>
        <v>18</v>
      </c>
    </row>
    <row r="6283">
      <c r="A6283" s="8" t="str">
        <f>IFERROR(__xludf.DUMMYFUNCTION("IF('(INGESTA)Datos_consumo_datadis'!A6283&lt;&gt;"""",SPLIT('(INGESTA)Datos_consumo_datadis'!A:A,"",""),"""")"),"ES0031408323131005HX0F")</f>
        <v>ES0031408323131005HX0F</v>
      </c>
      <c r="B6283" s="12">
        <f>IFERROR(__xludf.DUMMYFUNCTION("""COMPUTED_VALUE"""),45127.0)</f>
        <v>45127</v>
      </c>
      <c r="C6283" s="13">
        <f>IFERROR(__xludf.DUMMYFUNCTION("""COMPUTED_VALUE"""),0.7916666666666666)</f>
        <v>0.7916666667</v>
      </c>
      <c r="D6283" s="8">
        <f>IFERROR(__xludf.DUMMYFUNCTION("""COMPUTED_VALUE"""),0.116)</f>
        <v>0.116</v>
      </c>
      <c r="E6283" s="8" t="str">
        <f>IFERROR(__xludf.DUMMYFUNCTION("""COMPUTED_VALUE"""),"Real")</f>
        <v>Real</v>
      </c>
      <c r="G6283" s="8">
        <f t="shared" si="1"/>
        <v>7</v>
      </c>
      <c r="H6283" s="14">
        <f t="shared" si="2"/>
        <v>20</v>
      </c>
      <c r="I6283" s="15">
        <f t="shared" si="3"/>
        <v>19</v>
      </c>
    </row>
    <row r="6284">
      <c r="A6284" s="8" t="str">
        <f>IFERROR(__xludf.DUMMYFUNCTION("IF('(INGESTA)Datos_consumo_datadis'!A6284&lt;&gt;"""",SPLIT('(INGESTA)Datos_consumo_datadis'!A:A,"",""),"""")"),"ES0031408323131005HX0F")</f>
        <v>ES0031408323131005HX0F</v>
      </c>
      <c r="B6284" s="12">
        <f>IFERROR(__xludf.DUMMYFUNCTION("""COMPUTED_VALUE"""),45127.0)</f>
        <v>45127</v>
      </c>
      <c r="C6284" s="13">
        <f>IFERROR(__xludf.DUMMYFUNCTION("""COMPUTED_VALUE"""),0.8333333333333334)</f>
        <v>0.8333333333</v>
      </c>
      <c r="D6284" s="8">
        <f>IFERROR(__xludf.DUMMYFUNCTION("""COMPUTED_VALUE"""),0.132)</f>
        <v>0.132</v>
      </c>
      <c r="E6284" s="8" t="str">
        <f>IFERROR(__xludf.DUMMYFUNCTION("""COMPUTED_VALUE"""),"Real")</f>
        <v>Real</v>
      </c>
      <c r="G6284" s="8">
        <f t="shared" si="1"/>
        <v>7</v>
      </c>
      <c r="H6284" s="14">
        <f t="shared" si="2"/>
        <v>20</v>
      </c>
      <c r="I6284" s="15">
        <f t="shared" si="3"/>
        <v>20</v>
      </c>
    </row>
    <row r="6285">
      <c r="A6285" s="8" t="str">
        <f>IFERROR(__xludf.DUMMYFUNCTION("IF('(INGESTA)Datos_consumo_datadis'!A6285&lt;&gt;"""",SPLIT('(INGESTA)Datos_consumo_datadis'!A:A,"",""),"""")"),"ES0031408323131005HX0F")</f>
        <v>ES0031408323131005HX0F</v>
      </c>
      <c r="B6285" s="12">
        <f>IFERROR(__xludf.DUMMYFUNCTION("""COMPUTED_VALUE"""),45127.0)</f>
        <v>45127</v>
      </c>
      <c r="C6285" s="13">
        <f>IFERROR(__xludf.DUMMYFUNCTION("""COMPUTED_VALUE"""),0.875)</f>
        <v>0.875</v>
      </c>
      <c r="D6285" s="8">
        <f>IFERROR(__xludf.DUMMYFUNCTION("""COMPUTED_VALUE"""),0.121)</f>
        <v>0.121</v>
      </c>
      <c r="E6285" s="8" t="str">
        <f>IFERROR(__xludf.DUMMYFUNCTION("""COMPUTED_VALUE"""),"Real")</f>
        <v>Real</v>
      </c>
      <c r="G6285" s="8">
        <f t="shared" si="1"/>
        <v>7</v>
      </c>
      <c r="H6285" s="14">
        <f t="shared" si="2"/>
        <v>20</v>
      </c>
      <c r="I6285" s="15">
        <f t="shared" si="3"/>
        <v>21</v>
      </c>
    </row>
    <row r="6286">
      <c r="A6286" s="8" t="str">
        <f>IFERROR(__xludf.DUMMYFUNCTION("IF('(INGESTA)Datos_consumo_datadis'!A6286&lt;&gt;"""",SPLIT('(INGESTA)Datos_consumo_datadis'!A:A,"",""),"""")"),"ES0031408323131005HX0F")</f>
        <v>ES0031408323131005HX0F</v>
      </c>
      <c r="B6286" s="12">
        <f>IFERROR(__xludf.DUMMYFUNCTION("""COMPUTED_VALUE"""),45127.0)</f>
        <v>45127</v>
      </c>
      <c r="C6286" s="13">
        <f>IFERROR(__xludf.DUMMYFUNCTION("""COMPUTED_VALUE"""),0.9166666666666666)</f>
        <v>0.9166666667</v>
      </c>
      <c r="D6286" s="8">
        <f>IFERROR(__xludf.DUMMYFUNCTION("""COMPUTED_VALUE"""),0.331)</f>
        <v>0.331</v>
      </c>
      <c r="E6286" s="8" t="str">
        <f>IFERROR(__xludf.DUMMYFUNCTION("""COMPUTED_VALUE"""),"Real")</f>
        <v>Real</v>
      </c>
      <c r="G6286" s="8">
        <f t="shared" si="1"/>
        <v>7</v>
      </c>
      <c r="H6286" s="14">
        <f t="shared" si="2"/>
        <v>20</v>
      </c>
      <c r="I6286" s="15">
        <f t="shared" si="3"/>
        <v>22</v>
      </c>
    </row>
    <row r="6287">
      <c r="A6287" s="8" t="str">
        <f>IFERROR(__xludf.DUMMYFUNCTION("IF('(INGESTA)Datos_consumo_datadis'!A6287&lt;&gt;"""",SPLIT('(INGESTA)Datos_consumo_datadis'!A:A,"",""),"""")"),"ES0031408323131005HX0F")</f>
        <v>ES0031408323131005HX0F</v>
      </c>
      <c r="B6287" s="12">
        <f>IFERROR(__xludf.DUMMYFUNCTION("""COMPUTED_VALUE"""),45127.0)</f>
        <v>45127</v>
      </c>
      <c r="C6287" s="13">
        <f>IFERROR(__xludf.DUMMYFUNCTION("""COMPUTED_VALUE"""),0.9583333333333334)</f>
        <v>0.9583333333</v>
      </c>
      <c r="D6287" s="8">
        <f>IFERROR(__xludf.DUMMYFUNCTION("""COMPUTED_VALUE"""),0.071)</f>
        <v>0.071</v>
      </c>
      <c r="E6287" s="8" t="str">
        <f>IFERROR(__xludf.DUMMYFUNCTION("""COMPUTED_VALUE"""),"Real")</f>
        <v>Real</v>
      </c>
      <c r="G6287" s="8">
        <f t="shared" si="1"/>
        <v>7</v>
      </c>
      <c r="H6287" s="14">
        <f t="shared" si="2"/>
        <v>20</v>
      </c>
      <c r="I6287" s="15">
        <f t="shared" si="3"/>
        <v>23</v>
      </c>
    </row>
    <row r="6288">
      <c r="A6288" s="8" t="str">
        <f>IFERROR(__xludf.DUMMYFUNCTION("IF('(INGESTA)Datos_consumo_datadis'!A6288&lt;&gt;"""",SPLIT('(INGESTA)Datos_consumo_datadis'!A:A,"",""),"""")"),"ES0031408323131005HX0F")</f>
        <v>ES0031408323131005HX0F</v>
      </c>
      <c r="B6288" s="12">
        <f>IFERROR(__xludf.DUMMYFUNCTION("""COMPUTED_VALUE"""),45127.0)</f>
        <v>45127</v>
      </c>
      <c r="C6288" s="16">
        <f>IFERROR(__xludf.DUMMYFUNCTION("""COMPUTED_VALUE"""),1.0)</f>
        <v>1</v>
      </c>
      <c r="D6288" s="8">
        <f>IFERROR(__xludf.DUMMYFUNCTION("""COMPUTED_VALUE"""),0.11)</f>
        <v>0.11</v>
      </c>
      <c r="E6288" s="8" t="str">
        <f>IFERROR(__xludf.DUMMYFUNCTION("""COMPUTED_VALUE"""),"Real")</f>
        <v>Real</v>
      </c>
      <c r="G6288" s="8">
        <f t="shared" si="1"/>
        <v>7</v>
      </c>
      <c r="H6288" s="14">
        <f t="shared" si="2"/>
        <v>20</v>
      </c>
      <c r="I6288" s="15">
        <f t="shared" si="3"/>
        <v>0</v>
      </c>
    </row>
    <row r="6289">
      <c r="A6289" s="8" t="str">
        <f>IFERROR(__xludf.DUMMYFUNCTION("IF('(INGESTA)Datos_consumo_datadis'!A6289&lt;&gt;"""",SPLIT('(INGESTA)Datos_consumo_datadis'!A:A,"",""),"""")"),"ES0031408323131005HX0F")</f>
        <v>ES0031408323131005HX0F</v>
      </c>
      <c r="B6289" s="12">
        <f>IFERROR(__xludf.DUMMYFUNCTION("""COMPUTED_VALUE"""),45128.0)</f>
        <v>45128</v>
      </c>
      <c r="C6289" s="13">
        <f>IFERROR(__xludf.DUMMYFUNCTION("""COMPUTED_VALUE"""),0.041666666666666664)</f>
        <v>0.04166666667</v>
      </c>
      <c r="D6289" s="8">
        <f>IFERROR(__xludf.DUMMYFUNCTION("""COMPUTED_VALUE"""),0.111)</f>
        <v>0.111</v>
      </c>
      <c r="E6289" s="8" t="str">
        <f>IFERROR(__xludf.DUMMYFUNCTION("""COMPUTED_VALUE"""),"Real")</f>
        <v>Real</v>
      </c>
      <c r="G6289" s="8">
        <f t="shared" si="1"/>
        <v>7</v>
      </c>
      <c r="H6289" s="14">
        <f t="shared" si="2"/>
        <v>21</v>
      </c>
      <c r="I6289" s="15">
        <f t="shared" si="3"/>
        <v>1</v>
      </c>
    </row>
    <row r="6290">
      <c r="A6290" s="8" t="str">
        <f>IFERROR(__xludf.DUMMYFUNCTION("IF('(INGESTA)Datos_consumo_datadis'!A6290&lt;&gt;"""",SPLIT('(INGESTA)Datos_consumo_datadis'!A:A,"",""),"""")"),"ES0031408323131005HX0F")</f>
        <v>ES0031408323131005HX0F</v>
      </c>
      <c r="B6290" s="12">
        <f>IFERROR(__xludf.DUMMYFUNCTION("""COMPUTED_VALUE"""),45128.0)</f>
        <v>45128</v>
      </c>
      <c r="C6290" s="13">
        <f>IFERROR(__xludf.DUMMYFUNCTION("""COMPUTED_VALUE"""),0.08333333333333333)</f>
        <v>0.08333333333</v>
      </c>
      <c r="D6290" s="8">
        <f>IFERROR(__xludf.DUMMYFUNCTION("""COMPUTED_VALUE"""),0.083)</f>
        <v>0.083</v>
      </c>
      <c r="E6290" s="8" t="str">
        <f>IFERROR(__xludf.DUMMYFUNCTION("""COMPUTED_VALUE"""),"Real")</f>
        <v>Real</v>
      </c>
      <c r="G6290" s="8">
        <f t="shared" si="1"/>
        <v>7</v>
      </c>
      <c r="H6290" s="14">
        <f t="shared" si="2"/>
        <v>21</v>
      </c>
      <c r="I6290" s="15">
        <f t="shared" si="3"/>
        <v>2</v>
      </c>
    </row>
    <row r="6291">
      <c r="A6291" s="8" t="str">
        <f>IFERROR(__xludf.DUMMYFUNCTION("IF('(INGESTA)Datos_consumo_datadis'!A6291&lt;&gt;"""",SPLIT('(INGESTA)Datos_consumo_datadis'!A:A,"",""),"""")"),"ES0031408323131005HX0F")</f>
        <v>ES0031408323131005HX0F</v>
      </c>
      <c r="B6291" s="12">
        <f>IFERROR(__xludf.DUMMYFUNCTION("""COMPUTED_VALUE"""),45128.0)</f>
        <v>45128</v>
      </c>
      <c r="C6291" s="13">
        <f>IFERROR(__xludf.DUMMYFUNCTION("""COMPUTED_VALUE"""),0.125)</f>
        <v>0.125</v>
      </c>
      <c r="D6291" s="8">
        <f>IFERROR(__xludf.DUMMYFUNCTION("""COMPUTED_VALUE"""),0.062)</f>
        <v>0.062</v>
      </c>
      <c r="E6291" s="8" t="str">
        <f>IFERROR(__xludf.DUMMYFUNCTION("""COMPUTED_VALUE"""),"Real")</f>
        <v>Real</v>
      </c>
      <c r="G6291" s="8">
        <f t="shared" si="1"/>
        <v>7</v>
      </c>
      <c r="H6291" s="14">
        <f t="shared" si="2"/>
        <v>21</v>
      </c>
      <c r="I6291" s="15">
        <f t="shared" si="3"/>
        <v>3</v>
      </c>
    </row>
    <row r="6292">
      <c r="A6292" s="8" t="str">
        <f>IFERROR(__xludf.DUMMYFUNCTION("IF('(INGESTA)Datos_consumo_datadis'!A6292&lt;&gt;"""",SPLIT('(INGESTA)Datos_consumo_datadis'!A:A,"",""),"""")"),"ES0031408323131005HX0F")</f>
        <v>ES0031408323131005HX0F</v>
      </c>
      <c r="B6292" s="12">
        <f>IFERROR(__xludf.DUMMYFUNCTION("""COMPUTED_VALUE"""),45128.0)</f>
        <v>45128</v>
      </c>
      <c r="C6292" s="13">
        <f>IFERROR(__xludf.DUMMYFUNCTION("""COMPUTED_VALUE"""),0.16666666666666666)</f>
        <v>0.1666666667</v>
      </c>
      <c r="D6292" s="8">
        <f>IFERROR(__xludf.DUMMYFUNCTION("""COMPUTED_VALUE"""),0.129)</f>
        <v>0.129</v>
      </c>
      <c r="E6292" s="8" t="str">
        <f>IFERROR(__xludf.DUMMYFUNCTION("""COMPUTED_VALUE"""),"Real")</f>
        <v>Real</v>
      </c>
      <c r="G6292" s="8">
        <f t="shared" si="1"/>
        <v>7</v>
      </c>
      <c r="H6292" s="14">
        <f t="shared" si="2"/>
        <v>21</v>
      </c>
      <c r="I6292" s="15">
        <f t="shared" si="3"/>
        <v>4</v>
      </c>
    </row>
    <row r="6293">
      <c r="A6293" s="8" t="str">
        <f>IFERROR(__xludf.DUMMYFUNCTION("IF('(INGESTA)Datos_consumo_datadis'!A6293&lt;&gt;"""",SPLIT('(INGESTA)Datos_consumo_datadis'!A:A,"",""),"""")"),"ES0031408323131005HX0F")</f>
        <v>ES0031408323131005HX0F</v>
      </c>
      <c r="B6293" s="12">
        <f>IFERROR(__xludf.DUMMYFUNCTION("""COMPUTED_VALUE"""),45128.0)</f>
        <v>45128</v>
      </c>
      <c r="C6293" s="13">
        <f>IFERROR(__xludf.DUMMYFUNCTION("""COMPUTED_VALUE"""),0.20833333333333334)</f>
        <v>0.2083333333</v>
      </c>
      <c r="D6293" s="8">
        <f>IFERROR(__xludf.DUMMYFUNCTION("""COMPUTED_VALUE"""),0.091)</f>
        <v>0.091</v>
      </c>
      <c r="E6293" s="8" t="str">
        <f>IFERROR(__xludf.DUMMYFUNCTION("""COMPUTED_VALUE"""),"Real")</f>
        <v>Real</v>
      </c>
      <c r="G6293" s="8">
        <f t="shared" si="1"/>
        <v>7</v>
      </c>
      <c r="H6293" s="14">
        <f t="shared" si="2"/>
        <v>21</v>
      </c>
      <c r="I6293" s="15">
        <f t="shared" si="3"/>
        <v>5</v>
      </c>
    </row>
    <row r="6294">
      <c r="A6294" s="8" t="str">
        <f>IFERROR(__xludf.DUMMYFUNCTION("IF('(INGESTA)Datos_consumo_datadis'!A6294&lt;&gt;"""",SPLIT('(INGESTA)Datos_consumo_datadis'!A:A,"",""),"""")"),"ES0031408323131005HX0F")</f>
        <v>ES0031408323131005HX0F</v>
      </c>
      <c r="B6294" s="12">
        <f>IFERROR(__xludf.DUMMYFUNCTION("""COMPUTED_VALUE"""),45128.0)</f>
        <v>45128</v>
      </c>
      <c r="C6294" s="13">
        <f>IFERROR(__xludf.DUMMYFUNCTION("""COMPUTED_VALUE"""),0.25)</f>
        <v>0.25</v>
      </c>
      <c r="D6294" s="8">
        <f>IFERROR(__xludf.DUMMYFUNCTION("""COMPUTED_VALUE"""),0.042)</f>
        <v>0.042</v>
      </c>
      <c r="E6294" s="8" t="str">
        <f>IFERROR(__xludf.DUMMYFUNCTION("""COMPUTED_VALUE"""),"Real")</f>
        <v>Real</v>
      </c>
      <c r="G6294" s="8">
        <f t="shared" si="1"/>
        <v>7</v>
      </c>
      <c r="H6294" s="14">
        <f t="shared" si="2"/>
        <v>21</v>
      </c>
      <c r="I6294" s="15">
        <f t="shared" si="3"/>
        <v>6</v>
      </c>
    </row>
    <row r="6295">
      <c r="A6295" s="8" t="str">
        <f>IFERROR(__xludf.DUMMYFUNCTION("IF('(INGESTA)Datos_consumo_datadis'!A6295&lt;&gt;"""",SPLIT('(INGESTA)Datos_consumo_datadis'!A:A,"",""),"""")"),"ES0031408323131005HX0F")</f>
        <v>ES0031408323131005HX0F</v>
      </c>
      <c r="B6295" s="12">
        <f>IFERROR(__xludf.DUMMYFUNCTION("""COMPUTED_VALUE"""),45128.0)</f>
        <v>45128</v>
      </c>
      <c r="C6295" s="13">
        <f>IFERROR(__xludf.DUMMYFUNCTION("""COMPUTED_VALUE"""),0.2916666666666667)</f>
        <v>0.2916666667</v>
      </c>
      <c r="D6295" s="8">
        <f>IFERROR(__xludf.DUMMYFUNCTION("""COMPUTED_VALUE"""),0.371)</f>
        <v>0.371</v>
      </c>
      <c r="E6295" s="8" t="str">
        <f>IFERROR(__xludf.DUMMYFUNCTION("""COMPUTED_VALUE"""),"Real")</f>
        <v>Real</v>
      </c>
      <c r="G6295" s="8">
        <f t="shared" si="1"/>
        <v>7</v>
      </c>
      <c r="H6295" s="14">
        <f t="shared" si="2"/>
        <v>21</v>
      </c>
      <c r="I6295" s="15">
        <f t="shared" si="3"/>
        <v>7</v>
      </c>
    </row>
    <row r="6296">
      <c r="A6296" s="8" t="str">
        <f>IFERROR(__xludf.DUMMYFUNCTION("IF('(INGESTA)Datos_consumo_datadis'!A6296&lt;&gt;"""",SPLIT('(INGESTA)Datos_consumo_datadis'!A:A,"",""),"""")"),"ES0031408323131005HX0F")</f>
        <v>ES0031408323131005HX0F</v>
      </c>
      <c r="B6296" s="12">
        <f>IFERROR(__xludf.DUMMYFUNCTION("""COMPUTED_VALUE"""),45128.0)</f>
        <v>45128</v>
      </c>
      <c r="C6296" s="13">
        <f>IFERROR(__xludf.DUMMYFUNCTION("""COMPUTED_VALUE"""),0.3333333333333333)</f>
        <v>0.3333333333</v>
      </c>
      <c r="D6296" s="8">
        <f>IFERROR(__xludf.DUMMYFUNCTION("""COMPUTED_VALUE"""),0.092)</f>
        <v>0.092</v>
      </c>
      <c r="E6296" s="8" t="str">
        <f>IFERROR(__xludf.DUMMYFUNCTION("""COMPUTED_VALUE"""),"Real")</f>
        <v>Real</v>
      </c>
      <c r="G6296" s="8">
        <f t="shared" si="1"/>
        <v>7</v>
      </c>
      <c r="H6296" s="14">
        <f t="shared" si="2"/>
        <v>21</v>
      </c>
      <c r="I6296" s="15">
        <f t="shared" si="3"/>
        <v>8</v>
      </c>
    </row>
    <row r="6297">
      <c r="A6297" s="8" t="str">
        <f>IFERROR(__xludf.DUMMYFUNCTION("IF('(INGESTA)Datos_consumo_datadis'!A6297&lt;&gt;"""",SPLIT('(INGESTA)Datos_consumo_datadis'!A:A,"",""),"""")"),"ES0031408323131005HX0F")</f>
        <v>ES0031408323131005HX0F</v>
      </c>
      <c r="B6297" s="12">
        <f>IFERROR(__xludf.DUMMYFUNCTION("""COMPUTED_VALUE"""),45128.0)</f>
        <v>45128</v>
      </c>
      <c r="C6297" s="13">
        <f>IFERROR(__xludf.DUMMYFUNCTION("""COMPUTED_VALUE"""),0.375)</f>
        <v>0.375</v>
      </c>
      <c r="D6297" s="8">
        <f>IFERROR(__xludf.DUMMYFUNCTION("""COMPUTED_VALUE"""),0.074)</f>
        <v>0.074</v>
      </c>
      <c r="E6297" s="8" t="str">
        <f>IFERROR(__xludf.DUMMYFUNCTION("""COMPUTED_VALUE"""),"Real")</f>
        <v>Real</v>
      </c>
      <c r="G6297" s="8">
        <f t="shared" si="1"/>
        <v>7</v>
      </c>
      <c r="H6297" s="14">
        <f t="shared" si="2"/>
        <v>21</v>
      </c>
      <c r="I6297" s="15">
        <f t="shared" si="3"/>
        <v>9</v>
      </c>
    </row>
    <row r="6298">
      <c r="A6298" s="8" t="str">
        <f>IFERROR(__xludf.DUMMYFUNCTION("IF('(INGESTA)Datos_consumo_datadis'!A6298&lt;&gt;"""",SPLIT('(INGESTA)Datos_consumo_datadis'!A:A,"",""),"""")"),"ES0031408323131005HX0F")</f>
        <v>ES0031408323131005HX0F</v>
      </c>
      <c r="B6298" s="12">
        <f>IFERROR(__xludf.DUMMYFUNCTION("""COMPUTED_VALUE"""),45128.0)</f>
        <v>45128</v>
      </c>
      <c r="C6298" s="13">
        <f>IFERROR(__xludf.DUMMYFUNCTION("""COMPUTED_VALUE"""),0.4166666666666667)</f>
        <v>0.4166666667</v>
      </c>
      <c r="D6298" s="8">
        <f>IFERROR(__xludf.DUMMYFUNCTION("""COMPUTED_VALUE"""),0.067)</f>
        <v>0.067</v>
      </c>
      <c r="E6298" s="8" t="str">
        <f>IFERROR(__xludf.DUMMYFUNCTION("""COMPUTED_VALUE"""),"Real")</f>
        <v>Real</v>
      </c>
      <c r="G6298" s="8">
        <f t="shared" si="1"/>
        <v>7</v>
      </c>
      <c r="H6298" s="14">
        <f t="shared" si="2"/>
        <v>21</v>
      </c>
      <c r="I6298" s="15">
        <f t="shared" si="3"/>
        <v>10</v>
      </c>
    </row>
    <row r="6299">
      <c r="A6299" s="8" t="str">
        <f>IFERROR(__xludf.DUMMYFUNCTION("IF('(INGESTA)Datos_consumo_datadis'!A6299&lt;&gt;"""",SPLIT('(INGESTA)Datos_consumo_datadis'!A:A,"",""),"""")"),"ES0031408323131005HX0F")</f>
        <v>ES0031408323131005HX0F</v>
      </c>
      <c r="B6299" s="12">
        <f>IFERROR(__xludf.DUMMYFUNCTION("""COMPUTED_VALUE"""),45128.0)</f>
        <v>45128</v>
      </c>
      <c r="C6299" s="13">
        <f>IFERROR(__xludf.DUMMYFUNCTION("""COMPUTED_VALUE"""),0.4583333333333333)</f>
        <v>0.4583333333</v>
      </c>
      <c r="D6299" s="8">
        <f>IFERROR(__xludf.DUMMYFUNCTION("""COMPUTED_VALUE"""),0.116)</f>
        <v>0.116</v>
      </c>
      <c r="E6299" s="8" t="str">
        <f>IFERROR(__xludf.DUMMYFUNCTION("""COMPUTED_VALUE"""),"Real")</f>
        <v>Real</v>
      </c>
      <c r="G6299" s="8">
        <f t="shared" si="1"/>
        <v>7</v>
      </c>
      <c r="H6299" s="14">
        <f t="shared" si="2"/>
        <v>21</v>
      </c>
      <c r="I6299" s="15">
        <f t="shared" si="3"/>
        <v>11</v>
      </c>
    </row>
    <row r="6300">
      <c r="A6300" s="8" t="str">
        <f>IFERROR(__xludf.DUMMYFUNCTION("IF('(INGESTA)Datos_consumo_datadis'!A6300&lt;&gt;"""",SPLIT('(INGESTA)Datos_consumo_datadis'!A:A,"",""),"""")"),"ES0031408323131005HX0F")</f>
        <v>ES0031408323131005HX0F</v>
      </c>
      <c r="B6300" s="12">
        <f>IFERROR(__xludf.DUMMYFUNCTION("""COMPUTED_VALUE"""),45128.0)</f>
        <v>45128</v>
      </c>
      <c r="C6300" s="13">
        <f>IFERROR(__xludf.DUMMYFUNCTION("""COMPUTED_VALUE"""),0.5)</f>
        <v>0.5</v>
      </c>
      <c r="D6300" s="8">
        <f>IFERROR(__xludf.DUMMYFUNCTION("""COMPUTED_VALUE"""),0.076)</f>
        <v>0.076</v>
      </c>
      <c r="E6300" s="8" t="str">
        <f>IFERROR(__xludf.DUMMYFUNCTION("""COMPUTED_VALUE"""),"Real")</f>
        <v>Real</v>
      </c>
      <c r="G6300" s="8">
        <f t="shared" si="1"/>
        <v>7</v>
      </c>
      <c r="H6300" s="14">
        <f t="shared" si="2"/>
        <v>21</v>
      </c>
      <c r="I6300" s="15">
        <f t="shared" si="3"/>
        <v>12</v>
      </c>
    </row>
    <row r="6301">
      <c r="A6301" s="8" t="str">
        <f>IFERROR(__xludf.DUMMYFUNCTION("IF('(INGESTA)Datos_consumo_datadis'!A6301&lt;&gt;"""",SPLIT('(INGESTA)Datos_consumo_datadis'!A:A,"",""),"""")"),"ES0031408323131005HX0F")</f>
        <v>ES0031408323131005HX0F</v>
      </c>
      <c r="B6301" s="12">
        <f>IFERROR(__xludf.DUMMYFUNCTION("""COMPUTED_VALUE"""),45128.0)</f>
        <v>45128</v>
      </c>
      <c r="C6301" s="13">
        <f>IFERROR(__xludf.DUMMYFUNCTION("""COMPUTED_VALUE"""),0.5416666666666666)</f>
        <v>0.5416666667</v>
      </c>
      <c r="D6301" s="8">
        <f>IFERROR(__xludf.DUMMYFUNCTION("""COMPUTED_VALUE"""),0.04)</f>
        <v>0.04</v>
      </c>
      <c r="E6301" s="8" t="str">
        <f>IFERROR(__xludf.DUMMYFUNCTION("""COMPUTED_VALUE"""),"Real")</f>
        <v>Real</v>
      </c>
      <c r="G6301" s="8">
        <f t="shared" si="1"/>
        <v>7</v>
      </c>
      <c r="H6301" s="14">
        <f t="shared" si="2"/>
        <v>21</v>
      </c>
      <c r="I6301" s="15">
        <f t="shared" si="3"/>
        <v>13</v>
      </c>
    </row>
    <row r="6302">
      <c r="A6302" s="8" t="str">
        <f>IFERROR(__xludf.DUMMYFUNCTION("IF('(INGESTA)Datos_consumo_datadis'!A6302&lt;&gt;"""",SPLIT('(INGESTA)Datos_consumo_datadis'!A:A,"",""),"""")"),"ES0031408323131005HX0F")</f>
        <v>ES0031408323131005HX0F</v>
      </c>
      <c r="B6302" s="12">
        <f>IFERROR(__xludf.DUMMYFUNCTION("""COMPUTED_VALUE"""),45128.0)</f>
        <v>45128</v>
      </c>
      <c r="C6302" s="13">
        <f>IFERROR(__xludf.DUMMYFUNCTION("""COMPUTED_VALUE"""),0.5833333333333334)</f>
        <v>0.5833333333</v>
      </c>
      <c r="D6302" s="8">
        <f>IFERROR(__xludf.DUMMYFUNCTION("""COMPUTED_VALUE"""),0.133)</f>
        <v>0.133</v>
      </c>
      <c r="E6302" s="8" t="str">
        <f>IFERROR(__xludf.DUMMYFUNCTION("""COMPUTED_VALUE"""),"Real")</f>
        <v>Real</v>
      </c>
      <c r="G6302" s="8">
        <f t="shared" si="1"/>
        <v>7</v>
      </c>
      <c r="H6302" s="14">
        <f t="shared" si="2"/>
        <v>21</v>
      </c>
      <c r="I6302" s="15">
        <f t="shared" si="3"/>
        <v>14</v>
      </c>
    </row>
    <row r="6303">
      <c r="A6303" s="8" t="str">
        <f>IFERROR(__xludf.DUMMYFUNCTION("IF('(INGESTA)Datos_consumo_datadis'!A6303&lt;&gt;"""",SPLIT('(INGESTA)Datos_consumo_datadis'!A:A,"",""),"""")"),"ES0031408323131005HX0F")</f>
        <v>ES0031408323131005HX0F</v>
      </c>
      <c r="B6303" s="12">
        <f>IFERROR(__xludf.DUMMYFUNCTION("""COMPUTED_VALUE"""),45128.0)</f>
        <v>45128</v>
      </c>
      <c r="C6303" s="13">
        <f>IFERROR(__xludf.DUMMYFUNCTION("""COMPUTED_VALUE"""),0.625)</f>
        <v>0.625</v>
      </c>
      <c r="D6303" s="8">
        <f>IFERROR(__xludf.DUMMYFUNCTION("""COMPUTED_VALUE"""),0.12)</f>
        <v>0.12</v>
      </c>
      <c r="E6303" s="8" t="str">
        <f>IFERROR(__xludf.DUMMYFUNCTION("""COMPUTED_VALUE"""),"Real")</f>
        <v>Real</v>
      </c>
      <c r="G6303" s="8">
        <f t="shared" si="1"/>
        <v>7</v>
      </c>
      <c r="H6303" s="14">
        <f t="shared" si="2"/>
        <v>21</v>
      </c>
      <c r="I6303" s="15">
        <f t="shared" si="3"/>
        <v>15</v>
      </c>
    </row>
    <row r="6304">
      <c r="A6304" s="8" t="str">
        <f>IFERROR(__xludf.DUMMYFUNCTION("IF('(INGESTA)Datos_consumo_datadis'!A6304&lt;&gt;"""",SPLIT('(INGESTA)Datos_consumo_datadis'!A:A,"",""),"""")"),"ES0031408323131005HX0F")</f>
        <v>ES0031408323131005HX0F</v>
      </c>
      <c r="B6304" s="12">
        <f>IFERROR(__xludf.DUMMYFUNCTION("""COMPUTED_VALUE"""),45128.0)</f>
        <v>45128</v>
      </c>
      <c r="C6304" s="13">
        <f>IFERROR(__xludf.DUMMYFUNCTION("""COMPUTED_VALUE"""),0.6666666666666666)</f>
        <v>0.6666666667</v>
      </c>
      <c r="D6304" s="8">
        <f>IFERROR(__xludf.DUMMYFUNCTION("""COMPUTED_VALUE"""),0.376)</f>
        <v>0.376</v>
      </c>
      <c r="E6304" s="8" t="str">
        <f>IFERROR(__xludf.DUMMYFUNCTION("""COMPUTED_VALUE"""),"Real")</f>
        <v>Real</v>
      </c>
      <c r="G6304" s="8">
        <f t="shared" si="1"/>
        <v>7</v>
      </c>
      <c r="H6304" s="14">
        <f t="shared" si="2"/>
        <v>21</v>
      </c>
      <c r="I6304" s="15">
        <f t="shared" si="3"/>
        <v>16</v>
      </c>
    </row>
    <row r="6305">
      <c r="A6305" s="8" t="str">
        <f>IFERROR(__xludf.DUMMYFUNCTION("IF('(INGESTA)Datos_consumo_datadis'!A6305&lt;&gt;"""",SPLIT('(INGESTA)Datos_consumo_datadis'!A:A,"",""),"""")"),"ES0031408323131005HX0F")</f>
        <v>ES0031408323131005HX0F</v>
      </c>
      <c r="B6305" s="12">
        <f>IFERROR(__xludf.DUMMYFUNCTION("""COMPUTED_VALUE"""),45128.0)</f>
        <v>45128</v>
      </c>
      <c r="C6305" s="13">
        <f>IFERROR(__xludf.DUMMYFUNCTION("""COMPUTED_VALUE"""),0.7083333333333334)</f>
        <v>0.7083333333</v>
      </c>
      <c r="D6305" s="8">
        <f>IFERROR(__xludf.DUMMYFUNCTION("""COMPUTED_VALUE"""),0.081)</f>
        <v>0.081</v>
      </c>
      <c r="E6305" s="8" t="str">
        <f>IFERROR(__xludf.DUMMYFUNCTION("""COMPUTED_VALUE"""),"Real")</f>
        <v>Real</v>
      </c>
      <c r="G6305" s="8">
        <f t="shared" si="1"/>
        <v>7</v>
      </c>
      <c r="H6305" s="14">
        <f t="shared" si="2"/>
        <v>21</v>
      </c>
      <c r="I6305" s="15">
        <f t="shared" si="3"/>
        <v>17</v>
      </c>
    </row>
    <row r="6306">
      <c r="A6306" s="8" t="str">
        <f>IFERROR(__xludf.DUMMYFUNCTION("IF('(INGESTA)Datos_consumo_datadis'!A6306&lt;&gt;"""",SPLIT('(INGESTA)Datos_consumo_datadis'!A:A,"",""),"""")"),"ES0031408323131005HX0F")</f>
        <v>ES0031408323131005HX0F</v>
      </c>
      <c r="B6306" s="12">
        <f>IFERROR(__xludf.DUMMYFUNCTION("""COMPUTED_VALUE"""),45128.0)</f>
        <v>45128</v>
      </c>
      <c r="C6306" s="13">
        <f>IFERROR(__xludf.DUMMYFUNCTION("""COMPUTED_VALUE"""),0.75)</f>
        <v>0.75</v>
      </c>
      <c r="D6306" s="8">
        <f>IFERROR(__xludf.DUMMYFUNCTION("""COMPUTED_VALUE"""),0.035)</f>
        <v>0.035</v>
      </c>
      <c r="E6306" s="8" t="str">
        <f>IFERROR(__xludf.DUMMYFUNCTION("""COMPUTED_VALUE"""),"Real")</f>
        <v>Real</v>
      </c>
      <c r="G6306" s="8">
        <f t="shared" si="1"/>
        <v>7</v>
      </c>
      <c r="H6306" s="14">
        <f t="shared" si="2"/>
        <v>21</v>
      </c>
      <c r="I6306" s="15">
        <f t="shared" si="3"/>
        <v>18</v>
      </c>
    </row>
    <row r="6307">
      <c r="A6307" s="8" t="str">
        <f>IFERROR(__xludf.DUMMYFUNCTION("IF('(INGESTA)Datos_consumo_datadis'!A6307&lt;&gt;"""",SPLIT('(INGESTA)Datos_consumo_datadis'!A:A,"",""),"""")"),"ES0031408323131005HX0F")</f>
        <v>ES0031408323131005HX0F</v>
      </c>
      <c r="B6307" s="12">
        <f>IFERROR(__xludf.DUMMYFUNCTION("""COMPUTED_VALUE"""),45128.0)</f>
        <v>45128</v>
      </c>
      <c r="C6307" s="13">
        <f>IFERROR(__xludf.DUMMYFUNCTION("""COMPUTED_VALUE"""),0.7916666666666666)</f>
        <v>0.7916666667</v>
      </c>
      <c r="D6307" s="8">
        <f>IFERROR(__xludf.DUMMYFUNCTION("""COMPUTED_VALUE"""),0.12)</f>
        <v>0.12</v>
      </c>
      <c r="E6307" s="8" t="str">
        <f>IFERROR(__xludf.DUMMYFUNCTION("""COMPUTED_VALUE"""),"Real")</f>
        <v>Real</v>
      </c>
      <c r="G6307" s="8">
        <f t="shared" si="1"/>
        <v>7</v>
      </c>
      <c r="H6307" s="14">
        <f t="shared" si="2"/>
        <v>21</v>
      </c>
      <c r="I6307" s="15">
        <f t="shared" si="3"/>
        <v>19</v>
      </c>
    </row>
    <row r="6308">
      <c r="A6308" s="8" t="str">
        <f>IFERROR(__xludf.DUMMYFUNCTION("IF('(INGESTA)Datos_consumo_datadis'!A6308&lt;&gt;"""",SPLIT('(INGESTA)Datos_consumo_datadis'!A:A,"",""),"""")"),"ES0031408323131005HX0F")</f>
        <v>ES0031408323131005HX0F</v>
      </c>
      <c r="B6308" s="12">
        <f>IFERROR(__xludf.DUMMYFUNCTION("""COMPUTED_VALUE"""),45128.0)</f>
        <v>45128</v>
      </c>
      <c r="C6308" s="13">
        <f>IFERROR(__xludf.DUMMYFUNCTION("""COMPUTED_VALUE"""),0.8333333333333334)</f>
        <v>0.8333333333</v>
      </c>
      <c r="D6308" s="8">
        <f>IFERROR(__xludf.DUMMYFUNCTION("""COMPUTED_VALUE"""),0.093)</f>
        <v>0.093</v>
      </c>
      <c r="E6308" s="8" t="str">
        <f>IFERROR(__xludf.DUMMYFUNCTION("""COMPUTED_VALUE"""),"Real")</f>
        <v>Real</v>
      </c>
      <c r="G6308" s="8">
        <f t="shared" si="1"/>
        <v>7</v>
      </c>
      <c r="H6308" s="14">
        <f t="shared" si="2"/>
        <v>21</v>
      </c>
      <c r="I6308" s="15">
        <f t="shared" si="3"/>
        <v>20</v>
      </c>
    </row>
    <row r="6309">
      <c r="A6309" s="8" t="str">
        <f>IFERROR(__xludf.DUMMYFUNCTION("IF('(INGESTA)Datos_consumo_datadis'!A6309&lt;&gt;"""",SPLIT('(INGESTA)Datos_consumo_datadis'!A:A,"",""),"""")"),"ES0031408323131005HX0F")</f>
        <v>ES0031408323131005HX0F</v>
      </c>
      <c r="B6309" s="12">
        <f>IFERROR(__xludf.DUMMYFUNCTION("""COMPUTED_VALUE"""),45128.0)</f>
        <v>45128</v>
      </c>
      <c r="C6309" s="13">
        <f>IFERROR(__xludf.DUMMYFUNCTION("""COMPUTED_VALUE"""),0.875)</f>
        <v>0.875</v>
      </c>
      <c r="D6309" s="8">
        <f>IFERROR(__xludf.DUMMYFUNCTION("""COMPUTED_VALUE"""),0.078)</f>
        <v>0.078</v>
      </c>
      <c r="E6309" s="8" t="str">
        <f>IFERROR(__xludf.DUMMYFUNCTION("""COMPUTED_VALUE"""),"Real")</f>
        <v>Real</v>
      </c>
      <c r="G6309" s="8">
        <f t="shared" si="1"/>
        <v>7</v>
      </c>
      <c r="H6309" s="14">
        <f t="shared" si="2"/>
        <v>21</v>
      </c>
      <c r="I6309" s="15">
        <f t="shared" si="3"/>
        <v>21</v>
      </c>
    </row>
    <row r="6310">
      <c r="A6310" s="8" t="str">
        <f>IFERROR(__xludf.DUMMYFUNCTION("IF('(INGESTA)Datos_consumo_datadis'!A6310&lt;&gt;"""",SPLIT('(INGESTA)Datos_consumo_datadis'!A:A,"",""),"""")"),"ES0031408323131005HX0F")</f>
        <v>ES0031408323131005HX0F</v>
      </c>
      <c r="B6310" s="12">
        <f>IFERROR(__xludf.DUMMYFUNCTION("""COMPUTED_VALUE"""),45128.0)</f>
        <v>45128</v>
      </c>
      <c r="C6310" s="13">
        <f>IFERROR(__xludf.DUMMYFUNCTION("""COMPUTED_VALUE"""),0.9166666666666666)</f>
        <v>0.9166666667</v>
      </c>
      <c r="D6310" s="8">
        <f>IFERROR(__xludf.DUMMYFUNCTION("""COMPUTED_VALUE"""),0.014)</f>
        <v>0.014</v>
      </c>
      <c r="E6310" s="8" t="str">
        <f>IFERROR(__xludf.DUMMYFUNCTION("""COMPUTED_VALUE"""),"Real")</f>
        <v>Real</v>
      </c>
      <c r="G6310" s="8">
        <f t="shared" si="1"/>
        <v>7</v>
      </c>
      <c r="H6310" s="14">
        <f t="shared" si="2"/>
        <v>21</v>
      </c>
      <c r="I6310" s="15">
        <f t="shared" si="3"/>
        <v>22</v>
      </c>
    </row>
    <row r="6311">
      <c r="A6311" s="8" t="str">
        <f>IFERROR(__xludf.DUMMYFUNCTION("IF('(INGESTA)Datos_consumo_datadis'!A6311&lt;&gt;"""",SPLIT('(INGESTA)Datos_consumo_datadis'!A:A,"",""),"""")"),"ES0031408323131005HX0F")</f>
        <v>ES0031408323131005HX0F</v>
      </c>
      <c r="B6311" s="12">
        <f>IFERROR(__xludf.DUMMYFUNCTION("""COMPUTED_VALUE"""),45128.0)</f>
        <v>45128</v>
      </c>
      <c r="C6311" s="13">
        <f>IFERROR(__xludf.DUMMYFUNCTION("""COMPUTED_VALUE"""),0.9583333333333334)</f>
        <v>0.9583333333</v>
      </c>
      <c r="D6311" s="8">
        <f>IFERROR(__xludf.DUMMYFUNCTION("""COMPUTED_VALUE"""),0.068)</f>
        <v>0.068</v>
      </c>
      <c r="E6311" s="8" t="str">
        <f>IFERROR(__xludf.DUMMYFUNCTION("""COMPUTED_VALUE"""),"Real")</f>
        <v>Real</v>
      </c>
      <c r="G6311" s="8">
        <f t="shared" si="1"/>
        <v>7</v>
      </c>
      <c r="H6311" s="14">
        <f t="shared" si="2"/>
        <v>21</v>
      </c>
      <c r="I6311" s="15">
        <f t="shared" si="3"/>
        <v>23</v>
      </c>
    </row>
    <row r="6312">
      <c r="A6312" s="8" t="str">
        <f>IFERROR(__xludf.DUMMYFUNCTION("IF('(INGESTA)Datos_consumo_datadis'!A6312&lt;&gt;"""",SPLIT('(INGESTA)Datos_consumo_datadis'!A:A,"",""),"""")"),"ES0031408323131005HX0F")</f>
        <v>ES0031408323131005HX0F</v>
      </c>
      <c r="B6312" s="12">
        <f>IFERROR(__xludf.DUMMYFUNCTION("""COMPUTED_VALUE"""),45128.0)</f>
        <v>45128</v>
      </c>
      <c r="C6312" s="16">
        <f>IFERROR(__xludf.DUMMYFUNCTION("""COMPUTED_VALUE"""),1.0)</f>
        <v>1</v>
      </c>
      <c r="D6312" s="8">
        <f>IFERROR(__xludf.DUMMYFUNCTION("""COMPUTED_VALUE"""),0.399)</f>
        <v>0.399</v>
      </c>
      <c r="E6312" s="8" t="str">
        <f>IFERROR(__xludf.DUMMYFUNCTION("""COMPUTED_VALUE"""),"Real")</f>
        <v>Real</v>
      </c>
      <c r="G6312" s="8">
        <f t="shared" si="1"/>
        <v>7</v>
      </c>
      <c r="H6312" s="14">
        <f t="shared" si="2"/>
        <v>21</v>
      </c>
      <c r="I6312" s="15">
        <f t="shared" si="3"/>
        <v>0</v>
      </c>
    </row>
    <row r="6313">
      <c r="A6313" s="8" t="str">
        <f>IFERROR(__xludf.DUMMYFUNCTION("IF('(INGESTA)Datos_consumo_datadis'!A6313&lt;&gt;"""",SPLIT('(INGESTA)Datos_consumo_datadis'!A:A,"",""),"""")"),"ES0031408323131005HX0F")</f>
        <v>ES0031408323131005HX0F</v>
      </c>
      <c r="B6313" s="12">
        <f>IFERROR(__xludf.DUMMYFUNCTION("""COMPUTED_VALUE"""),45129.0)</f>
        <v>45129</v>
      </c>
      <c r="C6313" s="13">
        <f>IFERROR(__xludf.DUMMYFUNCTION("""COMPUTED_VALUE"""),0.041666666666666664)</f>
        <v>0.04166666667</v>
      </c>
      <c r="D6313" s="8">
        <f>IFERROR(__xludf.DUMMYFUNCTION("""COMPUTED_VALUE"""),0.093)</f>
        <v>0.093</v>
      </c>
      <c r="E6313" s="8" t="str">
        <f>IFERROR(__xludf.DUMMYFUNCTION("""COMPUTED_VALUE"""),"Real")</f>
        <v>Real</v>
      </c>
      <c r="G6313" s="8">
        <f t="shared" si="1"/>
        <v>7</v>
      </c>
      <c r="H6313" s="14">
        <f t="shared" si="2"/>
        <v>22</v>
      </c>
      <c r="I6313" s="15">
        <f t="shared" si="3"/>
        <v>1</v>
      </c>
    </row>
    <row r="6314">
      <c r="A6314" s="8" t="str">
        <f>IFERROR(__xludf.DUMMYFUNCTION("IF('(INGESTA)Datos_consumo_datadis'!A6314&lt;&gt;"""",SPLIT('(INGESTA)Datos_consumo_datadis'!A:A,"",""),"""")"),"ES0031408323131005HX0F")</f>
        <v>ES0031408323131005HX0F</v>
      </c>
      <c r="B6314" s="12">
        <f>IFERROR(__xludf.DUMMYFUNCTION("""COMPUTED_VALUE"""),45129.0)</f>
        <v>45129</v>
      </c>
      <c r="C6314" s="13">
        <f>IFERROR(__xludf.DUMMYFUNCTION("""COMPUTED_VALUE"""),0.08333333333333333)</f>
        <v>0.08333333333</v>
      </c>
      <c r="D6314" s="8">
        <f>IFERROR(__xludf.DUMMYFUNCTION("""COMPUTED_VALUE"""),0.074)</f>
        <v>0.074</v>
      </c>
      <c r="E6314" s="8" t="str">
        <f>IFERROR(__xludf.DUMMYFUNCTION("""COMPUTED_VALUE"""),"Real")</f>
        <v>Real</v>
      </c>
      <c r="G6314" s="8">
        <f t="shared" si="1"/>
        <v>7</v>
      </c>
      <c r="H6314" s="14">
        <f t="shared" si="2"/>
        <v>22</v>
      </c>
      <c r="I6314" s="15">
        <f t="shared" si="3"/>
        <v>2</v>
      </c>
    </row>
    <row r="6315">
      <c r="A6315" s="8" t="str">
        <f>IFERROR(__xludf.DUMMYFUNCTION("IF('(INGESTA)Datos_consumo_datadis'!A6315&lt;&gt;"""",SPLIT('(INGESTA)Datos_consumo_datadis'!A:A,"",""),"""")"),"ES0031408323131005HX0F")</f>
        <v>ES0031408323131005HX0F</v>
      </c>
      <c r="B6315" s="12">
        <f>IFERROR(__xludf.DUMMYFUNCTION("""COMPUTED_VALUE"""),45129.0)</f>
        <v>45129</v>
      </c>
      <c r="C6315" s="13">
        <f>IFERROR(__xludf.DUMMYFUNCTION("""COMPUTED_VALUE"""),0.125)</f>
        <v>0.125</v>
      </c>
      <c r="D6315" s="8">
        <f>IFERROR(__xludf.DUMMYFUNCTION("""COMPUTED_VALUE"""),0.034)</f>
        <v>0.034</v>
      </c>
      <c r="E6315" s="8" t="str">
        <f>IFERROR(__xludf.DUMMYFUNCTION("""COMPUTED_VALUE"""),"Real")</f>
        <v>Real</v>
      </c>
      <c r="G6315" s="8">
        <f t="shared" si="1"/>
        <v>7</v>
      </c>
      <c r="H6315" s="14">
        <f t="shared" si="2"/>
        <v>22</v>
      </c>
      <c r="I6315" s="15">
        <f t="shared" si="3"/>
        <v>3</v>
      </c>
    </row>
    <row r="6316">
      <c r="A6316" s="8" t="str">
        <f>IFERROR(__xludf.DUMMYFUNCTION("IF('(INGESTA)Datos_consumo_datadis'!A6316&lt;&gt;"""",SPLIT('(INGESTA)Datos_consumo_datadis'!A:A,"",""),"""")"),"ES0031408323131005HX0F")</f>
        <v>ES0031408323131005HX0F</v>
      </c>
      <c r="B6316" s="12">
        <f>IFERROR(__xludf.DUMMYFUNCTION("""COMPUTED_VALUE"""),45129.0)</f>
        <v>45129</v>
      </c>
      <c r="C6316" s="13">
        <f>IFERROR(__xludf.DUMMYFUNCTION("""COMPUTED_VALUE"""),0.16666666666666666)</f>
        <v>0.1666666667</v>
      </c>
      <c r="D6316" s="8">
        <f>IFERROR(__xludf.DUMMYFUNCTION("""COMPUTED_VALUE"""),0.086)</f>
        <v>0.086</v>
      </c>
      <c r="E6316" s="8" t="str">
        <f>IFERROR(__xludf.DUMMYFUNCTION("""COMPUTED_VALUE"""),"Real")</f>
        <v>Real</v>
      </c>
      <c r="G6316" s="8">
        <f t="shared" si="1"/>
        <v>7</v>
      </c>
      <c r="H6316" s="14">
        <f t="shared" si="2"/>
        <v>22</v>
      </c>
      <c r="I6316" s="15">
        <f t="shared" si="3"/>
        <v>4</v>
      </c>
    </row>
    <row r="6317">
      <c r="A6317" s="8" t="str">
        <f>IFERROR(__xludf.DUMMYFUNCTION("IF('(INGESTA)Datos_consumo_datadis'!A6317&lt;&gt;"""",SPLIT('(INGESTA)Datos_consumo_datadis'!A:A,"",""),"""")"),"ES0031408323131005HX0F")</f>
        <v>ES0031408323131005HX0F</v>
      </c>
      <c r="B6317" s="12">
        <f>IFERROR(__xludf.DUMMYFUNCTION("""COMPUTED_VALUE"""),45129.0)</f>
        <v>45129</v>
      </c>
      <c r="C6317" s="13">
        <f>IFERROR(__xludf.DUMMYFUNCTION("""COMPUTED_VALUE"""),0.20833333333333334)</f>
        <v>0.2083333333</v>
      </c>
      <c r="D6317" s="8">
        <f>IFERROR(__xludf.DUMMYFUNCTION("""COMPUTED_VALUE"""),0.118)</f>
        <v>0.118</v>
      </c>
      <c r="E6317" s="8" t="str">
        <f>IFERROR(__xludf.DUMMYFUNCTION("""COMPUTED_VALUE"""),"Real")</f>
        <v>Real</v>
      </c>
      <c r="G6317" s="8">
        <f t="shared" si="1"/>
        <v>7</v>
      </c>
      <c r="H6317" s="14">
        <f t="shared" si="2"/>
        <v>22</v>
      </c>
      <c r="I6317" s="15">
        <f t="shared" si="3"/>
        <v>5</v>
      </c>
    </row>
    <row r="6318">
      <c r="A6318" s="8" t="str">
        <f>IFERROR(__xludf.DUMMYFUNCTION("IF('(INGESTA)Datos_consumo_datadis'!A6318&lt;&gt;"""",SPLIT('(INGESTA)Datos_consumo_datadis'!A:A,"",""),"""")"),"ES0031408323131005HX0F")</f>
        <v>ES0031408323131005HX0F</v>
      </c>
      <c r="B6318" s="12">
        <f>IFERROR(__xludf.DUMMYFUNCTION("""COMPUTED_VALUE"""),45129.0)</f>
        <v>45129</v>
      </c>
      <c r="C6318" s="13">
        <f>IFERROR(__xludf.DUMMYFUNCTION("""COMPUTED_VALUE"""),0.25)</f>
        <v>0.25</v>
      </c>
      <c r="D6318" s="8">
        <f>IFERROR(__xludf.DUMMYFUNCTION("""COMPUTED_VALUE"""),0.094)</f>
        <v>0.094</v>
      </c>
      <c r="E6318" s="8" t="str">
        <f>IFERROR(__xludf.DUMMYFUNCTION("""COMPUTED_VALUE"""),"Real")</f>
        <v>Real</v>
      </c>
      <c r="G6318" s="8">
        <f t="shared" si="1"/>
        <v>7</v>
      </c>
      <c r="H6318" s="14">
        <f t="shared" si="2"/>
        <v>22</v>
      </c>
      <c r="I6318" s="15">
        <f t="shared" si="3"/>
        <v>6</v>
      </c>
    </row>
    <row r="6319">
      <c r="A6319" s="8" t="str">
        <f>IFERROR(__xludf.DUMMYFUNCTION("IF('(INGESTA)Datos_consumo_datadis'!A6319&lt;&gt;"""",SPLIT('(INGESTA)Datos_consumo_datadis'!A:A,"",""),"""")"),"ES0031408323131005HX0F")</f>
        <v>ES0031408323131005HX0F</v>
      </c>
      <c r="B6319" s="12">
        <f>IFERROR(__xludf.DUMMYFUNCTION("""COMPUTED_VALUE"""),45129.0)</f>
        <v>45129</v>
      </c>
      <c r="C6319" s="13">
        <f>IFERROR(__xludf.DUMMYFUNCTION("""COMPUTED_VALUE"""),0.2916666666666667)</f>
        <v>0.2916666667</v>
      </c>
      <c r="D6319" s="8">
        <f>IFERROR(__xludf.DUMMYFUNCTION("""COMPUTED_VALUE"""),0.068)</f>
        <v>0.068</v>
      </c>
      <c r="E6319" s="8" t="str">
        <f>IFERROR(__xludf.DUMMYFUNCTION("""COMPUTED_VALUE"""),"Real")</f>
        <v>Real</v>
      </c>
      <c r="G6319" s="8">
        <f t="shared" si="1"/>
        <v>7</v>
      </c>
      <c r="H6319" s="14">
        <f t="shared" si="2"/>
        <v>22</v>
      </c>
      <c r="I6319" s="15">
        <f t="shared" si="3"/>
        <v>7</v>
      </c>
    </row>
    <row r="6320">
      <c r="A6320" s="8" t="str">
        <f>IFERROR(__xludf.DUMMYFUNCTION("IF('(INGESTA)Datos_consumo_datadis'!A6320&lt;&gt;"""",SPLIT('(INGESTA)Datos_consumo_datadis'!A:A,"",""),"""")"),"ES0031408323131005HX0F")</f>
        <v>ES0031408323131005HX0F</v>
      </c>
      <c r="B6320" s="12">
        <f>IFERROR(__xludf.DUMMYFUNCTION("""COMPUTED_VALUE"""),45129.0)</f>
        <v>45129</v>
      </c>
      <c r="C6320" s="13">
        <f>IFERROR(__xludf.DUMMYFUNCTION("""COMPUTED_VALUE"""),0.3333333333333333)</f>
        <v>0.3333333333</v>
      </c>
      <c r="D6320" s="8">
        <f>IFERROR(__xludf.DUMMYFUNCTION("""COMPUTED_VALUE"""),0.114)</f>
        <v>0.114</v>
      </c>
      <c r="E6320" s="8" t="str">
        <f>IFERROR(__xludf.DUMMYFUNCTION("""COMPUTED_VALUE"""),"Real")</f>
        <v>Real</v>
      </c>
      <c r="G6320" s="8">
        <f t="shared" si="1"/>
        <v>7</v>
      </c>
      <c r="H6320" s="14">
        <f t="shared" si="2"/>
        <v>22</v>
      </c>
      <c r="I6320" s="15">
        <f t="shared" si="3"/>
        <v>8</v>
      </c>
    </row>
    <row r="6321">
      <c r="A6321" s="8" t="str">
        <f>IFERROR(__xludf.DUMMYFUNCTION("IF('(INGESTA)Datos_consumo_datadis'!A6321&lt;&gt;"""",SPLIT('(INGESTA)Datos_consumo_datadis'!A:A,"",""),"""")"),"ES0031408323131005HX0F")</f>
        <v>ES0031408323131005HX0F</v>
      </c>
      <c r="B6321" s="12">
        <f>IFERROR(__xludf.DUMMYFUNCTION("""COMPUTED_VALUE"""),45129.0)</f>
        <v>45129</v>
      </c>
      <c r="C6321" s="13">
        <f>IFERROR(__xludf.DUMMYFUNCTION("""COMPUTED_VALUE"""),0.375)</f>
        <v>0.375</v>
      </c>
      <c r="D6321" s="8">
        <f>IFERROR(__xludf.DUMMYFUNCTION("""COMPUTED_VALUE"""),0.249)</f>
        <v>0.249</v>
      </c>
      <c r="E6321" s="8" t="str">
        <f>IFERROR(__xludf.DUMMYFUNCTION("""COMPUTED_VALUE"""),"Real")</f>
        <v>Real</v>
      </c>
      <c r="G6321" s="8">
        <f t="shared" si="1"/>
        <v>7</v>
      </c>
      <c r="H6321" s="14">
        <f t="shared" si="2"/>
        <v>22</v>
      </c>
      <c r="I6321" s="15">
        <f t="shared" si="3"/>
        <v>9</v>
      </c>
    </row>
    <row r="6322">
      <c r="A6322" s="8" t="str">
        <f>IFERROR(__xludf.DUMMYFUNCTION("IF('(INGESTA)Datos_consumo_datadis'!A6322&lt;&gt;"""",SPLIT('(INGESTA)Datos_consumo_datadis'!A:A,"",""),"""")"),"ES0031408323131005HX0F")</f>
        <v>ES0031408323131005HX0F</v>
      </c>
      <c r="B6322" s="12">
        <f>IFERROR(__xludf.DUMMYFUNCTION("""COMPUTED_VALUE"""),45129.0)</f>
        <v>45129</v>
      </c>
      <c r="C6322" s="13">
        <f>IFERROR(__xludf.DUMMYFUNCTION("""COMPUTED_VALUE"""),0.4166666666666667)</f>
        <v>0.4166666667</v>
      </c>
      <c r="D6322" s="8">
        <f>IFERROR(__xludf.DUMMYFUNCTION("""COMPUTED_VALUE"""),0.118)</f>
        <v>0.118</v>
      </c>
      <c r="E6322" s="8" t="str">
        <f>IFERROR(__xludf.DUMMYFUNCTION("""COMPUTED_VALUE"""),"Real")</f>
        <v>Real</v>
      </c>
      <c r="G6322" s="8">
        <f t="shared" si="1"/>
        <v>7</v>
      </c>
      <c r="H6322" s="14">
        <f t="shared" si="2"/>
        <v>22</v>
      </c>
      <c r="I6322" s="15">
        <f t="shared" si="3"/>
        <v>10</v>
      </c>
    </row>
    <row r="6323">
      <c r="A6323" s="8" t="str">
        <f>IFERROR(__xludf.DUMMYFUNCTION("IF('(INGESTA)Datos_consumo_datadis'!A6323&lt;&gt;"""",SPLIT('(INGESTA)Datos_consumo_datadis'!A:A,"",""),"""")"),"ES0031408323131005HX0F")</f>
        <v>ES0031408323131005HX0F</v>
      </c>
      <c r="B6323" s="12">
        <f>IFERROR(__xludf.DUMMYFUNCTION("""COMPUTED_VALUE"""),45129.0)</f>
        <v>45129</v>
      </c>
      <c r="C6323" s="13">
        <f>IFERROR(__xludf.DUMMYFUNCTION("""COMPUTED_VALUE"""),0.4583333333333333)</f>
        <v>0.4583333333</v>
      </c>
      <c r="D6323" s="8">
        <f>IFERROR(__xludf.DUMMYFUNCTION("""COMPUTED_VALUE"""),0.089)</f>
        <v>0.089</v>
      </c>
      <c r="E6323" s="8" t="str">
        <f>IFERROR(__xludf.DUMMYFUNCTION("""COMPUTED_VALUE"""),"Real")</f>
        <v>Real</v>
      </c>
      <c r="G6323" s="8">
        <f t="shared" si="1"/>
        <v>7</v>
      </c>
      <c r="H6323" s="14">
        <f t="shared" si="2"/>
        <v>22</v>
      </c>
      <c r="I6323" s="15">
        <f t="shared" si="3"/>
        <v>11</v>
      </c>
    </row>
    <row r="6324">
      <c r="A6324" s="8" t="str">
        <f>IFERROR(__xludf.DUMMYFUNCTION("IF('(INGESTA)Datos_consumo_datadis'!A6324&lt;&gt;"""",SPLIT('(INGESTA)Datos_consumo_datadis'!A:A,"",""),"""")"),"ES0031408323131005HX0F")</f>
        <v>ES0031408323131005HX0F</v>
      </c>
      <c r="B6324" s="12">
        <f>IFERROR(__xludf.DUMMYFUNCTION("""COMPUTED_VALUE"""),45129.0)</f>
        <v>45129</v>
      </c>
      <c r="C6324" s="13">
        <f>IFERROR(__xludf.DUMMYFUNCTION("""COMPUTED_VALUE"""),0.5)</f>
        <v>0.5</v>
      </c>
      <c r="D6324" s="8">
        <f>IFERROR(__xludf.DUMMYFUNCTION("""COMPUTED_VALUE"""),0.061)</f>
        <v>0.061</v>
      </c>
      <c r="E6324" s="8" t="str">
        <f>IFERROR(__xludf.DUMMYFUNCTION("""COMPUTED_VALUE"""),"Real")</f>
        <v>Real</v>
      </c>
      <c r="G6324" s="8">
        <f t="shared" si="1"/>
        <v>7</v>
      </c>
      <c r="H6324" s="14">
        <f t="shared" si="2"/>
        <v>22</v>
      </c>
      <c r="I6324" s="15">
        <f t="shared" si="3"/>
        <v>12</v>
      </c>
    </row>
    <row r="6325">
      <c r="A6325" s="8" t="str">
        <f>IFERROR(__xludf.DUMMYFUNCTION("IF('(INGESTA)Datos_consumo_datadis'!A6325&lt;&gt;"""",SPLIT('(INGESTA)Datos_consumo_datadis'!A:A,"",""),"""")"),"ES0031408323131005HX0F")</f>
        <v>ES0031408323131005HX0F</v>
      </c>
      <c r="B6325" s="12">
        <f>IFERROR(__xludf.DUMMYFUNCTION("""COMPUTED_VALUE"""),45129.0)</f>
        <v>45129</v>
      </c>
      <c r="C6325" s="13">
        <f>IFERROR(__xludf.DUMMYFUNCTION("""COMPUTED_VALUE"""),0.5416666666666666)</f>
        <v>0.5416666667</v>
      </c>
      <c r="D6325" s="8">
        <f>IFERROR(__xludf.DUMMYFUNCTION("""COMPUTED_VALUE"""),0.014)</f>
        <v>0.014</v>
      </c>
      <c r="E6325" s="8" t="str">
        <f>IFERROR(__xludf.DUMMYFUNCTION("""COMPUTED_VALUE"""),"Real")</f>
        <v>Real</v>
      </c>
      <c r="G6325" s="8">
        <f t="shared" si="1"/>
        <v>7</v>
      </c>
      <c r="H6325" s="14">
        <f t="shared" si="2"/>
        <v>22</v>
      </c>
      <c r="I6325" s="15">
        <f t="shared" si="3"/>
        <v>13</v>
      </c>
    </row>
    <row r="6326">
      <c r="A6326" s="8" t="str">
        <f>IFERROR(__xludf.DUMMYFUNCTION("IF('(INGESTA)Datos_consumo_datadis'!A6326&lt;&gt;"""",SPLIT('(INGESTA)Datos_consumo_datadis'!A:A,"",""),"""")"),"ES0031408323131005HX0F")</f>
        <v>ES0031408323131005HX0F</v>
      </c>
      <c r="B6326" s="12">
        <f>IFERROR(__xludf.DUMMYFUNCTION("""COMPUTED_VALUE"""),45129.0)</f>
        <v>45129</v>
      </c>
      <c r="C6326" s="13">
        <f>IFERROR(__xludf.DUMMYFUNCTION("""COMPUTED_VALUE"""),0.5833333333333334)</f>
        <v>0.5833333333</v>
      </c>
      <c r="D6326" s="8">
        <f>IFERROR(__xludf.DUMMYFUNCTION("""COMPUTED_VALUE"""),0.09)</f>
        <v>0.09</v>
      </c>
      <c r="E6326" s="8" t="str">
        <f>IFERROR(__xludf.DUMMYFUNCTION("""COMPUTED_VALUE"""),"Real")</f>
        <v>Real</v>
      </c>
      <c r="G6326" s="8">
        <f t="shared" si="1"/>
        <v>7</v>
      </c>
      <c r="H6326" s="14">
        <f t="shared" si="2"/>
        <v>22</v>
      </c>
      <c r="I6326" s="15">
        <f t="shared" si="3"/>
        <v>14</v>
      </c>
    </row>
    <row r="6327">
      <c r="A6327" s="8" t="str">
        <f>IFERROR(__xludf.DUMMYFUNCTION("IF('(INGESTA)Datos_consumo_datadis'!A6327&lt;&gt;"""",SPLIT('(INGESTA)Datos_consumo_datadis'!A:A,"",""),"""")"),"ES0031408323131005HX0F")</f>
        <v>ES0031408323131005HX0F</v>
      </c>
      <c r="B6327" s="12">
        <f>IFERROR(__xludf.DUMMYFUNCTION("""COMPUTED_VALUE"""),45129.0)</f>
        <v>45129</v>
      </c>
      <c r="C6327" s="13">
        <f>IFERROR(__xludf.DUMMYFUNCTION("""COMPUTED_VALUE"""),0.625)</f>
        <v>0.625</v>
      </c>
      <c r="D6327" s="8">
        <f>IFERROR(__xludf.DUMMYFUNCTION("""COMPUTED_VALUE"""),0.117)</f>
        <v>0.117</v>
      </c>
      <c r="E6327" s="8" t="str">
        <f>IFERROR(__xludf.DUMMYFUNCTION("""COMPUTED_VALUE"""),"Real")</f>
        <v>Real</v>
      </c>
      <c r="G6327" s="8">
        <f t="shared" si="1"/>
        <v>7</v>
      </c>
      <c r="H6327" s="14">
        <f t="shared" si="2"/>
        <v>22</v>
      </c>
      <c r="I6327" s="15">
        <f t="shared" si="3"/>
        <v>15</v>
      </c>
    </row>
    <row r="6328">
      <c r="A6328" s="8" t="str">
        <f>IFERROR(__xludf.DUMMYFUNCTION("IF('(INGESTA)Datos_consumo_datadis'!A6328&lt;&gt;"""",SPLIT('(INGESTA)Datos_consumo_datadis'!A:A,"",""),"""")"),"ES0031408323131005HX0F")</f>
        <v>ES0031408323131005HX0F</v>
      </c>
      <c r="B6328" s="12">
        <f>IFERROR(__xludf.DUMMYFUNCTION("""COMPUTED_VALUE"""),45129.0)</f>
        <v>45129</v>
      </c>
      <c r="C6328" s="13">
        <f>IFERROR(__xludf.DUMMYFUNCTION("""COMPUTED_VALUE"""),0.6666666666666666)</f>
        <v>0.6666666667</v>
      </c>
      <c r="D6328" s="8">
        <f>IFERROR(__xludf.DUMMYFUNCTION("""COMPUTED_VALUE"""),0.078)</f>
        <v>0.078</v>
      </c>
      <c r="E6328" s="8" t="str">
        <f>IFERROR(__xludf.DUMMYFUNCTION("""COMPUTED_VALUE"""),"Real")</f>
        <v>Real</v>
      </c>
      <c r="G6328" s="8">
        <f t="shared" si="1"/>
        <v>7</v>
      </c>
      <c r="H6328" s="14">
        <f t="shared" si="2"/>
        <v>22</v>
      </c>
      <c r="I6328" s="15">
        <f t="shared" si="3"/>
        <v>16</v>
      </c>
    </row>
    <row r="6329">
      <c r="A6329" s="8" t="str">
        <f>IFERROR(__xludf.DUMMYFUNCTION("IF('(INGESTA)Datos_consumo_datadis'!A6329&lt;&gt;"""",SPLIT('(INGESTA)Datos_consumo_datadis'!A:A,"",""),"""")"),"ES0031408323131005HX0F")</f>
        <v>ES0031408323131005HX0F</v>
      </c>
      <c r="B6329" s="12">
        <f>IFERROR(__xludf.DUMMYFUNCTION("""COMPUTED_VALUE"""),45129.0)</f>
        <v>45129</v>
      </c>
      <c r="C6329" s="13">
        <f>IFERROR(__xludf.DUMMYFUNCTION("""COMPUTED_VALUE"""),0.7083333333333334)</f>
        <v>0.7083333333</v>
      </c>
      <c r="D6329" s="8">
        <f>IFERROR(__xludf.DUMMYFUNCTION("""COMPUTED_VALUE"""),0.335)</f>
        <v>0.335</v>
      </c>
      <c r="E6329" s="8" t="str">
        <f>IFERROR(__xludf.DUMMYFUNCTION("""COMPUTED_VALUE"""),"Real")</f>
        <v>Real</v>
      </c>
      <c r="G6329" s="8">
        <f t="shared" si="1"/>
        <v>7</v>
      </c>
      <c r="H6329" s="14">
        <f t="shared" si="2"/>
        <v>22</v>
      </c>
      <c r="I6329" s="15">
        <f t="shared" si="3"/>
        <v>17</v>
      </c>
    </row>
    <row r="6330">
      <c r="A6330" s="8" t="str">
        <f>IFERROR(__xludf.DUMMYFUNCTION("IF('(INGESTA)Datos_consumo_datadis'!A6330&lt;&gt;"""",SPLIT('(INGESTA)Datos_consumo_datadis'!A:A,"",""),"""")"),"ES0031408323131005HX0F")</f>
        <v>ES0031408323131005HX0F</v>
      </c>
      <c r="B6330" s="12">
        <f>IFERROR(__xludf.DUMMYFUNCTION("""COMPUTED_VALUE"""),45129.0)</f>
        <v>45129</v>
      </c>
      <c r="C6330" s="13">
        <f>IFERROR(__xludf.DUMMYFUNCTION("""COMPUTED_VALUE"""),0.75)</f>
        <v>0.75</v>
      </c>
      <c r="D6330" s="8">
        <f>IFERROR(__xludf.DUMMYFUNCTION("""COMPUTED_VALUE"""),0.014)</f>
        <v>0.014</v>
      </c>
      <c r="E6330" s="8" t="str">
        <f>IFERROR(__xludf.DUMMYFUNCTION("""COMPUTED_VALUE"""),"Real")</f>
        <v>Real</v>
      </c>
      <c r="G6330" s="8">
        <f t="shared" si="1"/>
        <v>7</v>
      </c>
      <c r="H6330" s="14">
        <f t="shared" si="2"/>
        <v>22</v>
      </c>
      <c r="I6330" s="15">
        <f t="shared" si="3"/>
        <v>18</v>
      </c>
    </row>
    <row r="6331">
      <c r="A6331" s="8" t="str">
        <f>IFERROR(__xludf.DUMMYFUNCTION("IF('(INGESTA)Datos_consumo_datadis'!A6331&lt;&gt;"""",SPLIT('(INGESTA)Datos_consumo_datadis'!A:A,"",""),"""")"),"ES0031408323131005HX0F")</f>
        <v>ES0031408323131005HX0F</v>
      </c>
      <c r="B6331" s="12">
        <f>IFERROR(__xludf.DUMMYFUNCTION("""COMPUTED_VALUE"""),45129.0)</f>
        <v>45129</v>
      </c>
      <c r="C6331" s="13">
        <f>IFERROR(__xludf.DUMMYFUNCTION("""COMPUTED_VALUE"""),0.7916666666666666)</f>
        <v>0.7916666667</v>
      </c>
      <c r="D6331" s="8">
        <f>IFERROR(__xludf.DUMMYFUNCTION("""COMPUTED_VALUE"""),0.1)</f>
        <v>0.1</v>
      </c>
      <c r="E6331" s="8" t="str">
        <f>IFERROR(__xludf.DUMMYFUNCTION("""COMPUTED_VALUE"""),"Real")</f>
        <v>Real</v>
      </c>
      <c r="G6331" s="8">
        <f t="shared" si="1"/>
        <v>7</v>
      </c>
      <c r="H6331" s="14">
        <f t="shared" si="2"/>
        <v>22</v>
      </c>
      <c r="I6331" s="15">
        <f t="shared" si="3"/>
        <v>19</v>
      </c>
    </row>
    <row r="6332">
      <c r="A6332" s="8" t="str">
        <f>IFERROR(__xludf.DUMMYFUNCTION("IF('(INGESTA)Datos_consumo_datadis'!A6332&lt;&gt;"""",SPLIT('(INGESTA)Datos_consumo_datadis'!A:A,"",""),"""")"),"ES0031408323131005HX0F")</f>
        <v>ES0031408323131005HX0F</v>
      </c>
      <c r="B6332" s="12">
        <f>IFERROR(__xludf.DUMMYFUNCTION("""COMPUTED_VALUE"""),45129.0)</f>
        <v>45129</v>
      </c>
      <c r="C6332" s="13">
        <f>IFERROR(__xludf.DUMMYFUNCTION("""COMPUTED_VALUE"""),0.8333333333333334)</f>
        <v>0.8333333333</v>
      </c>
      <c r="D6332" s="8">
        <f>IFERROR(__xludf.DUMMYFUNCTION("""COMPUTED_VALUE"""),0.117)</f>
        <v>0.117</v>
      </c>
      <c r="E6332" s="8" t="str">
        <f>IFERROR(__xludf.DUMMYFUNCTION("""COMPUTED_VALUE"""),"Real")</f>
        <v>Real</v>
      </c>
      <c r="G6332" s="8">
        <f t="shared" si="1"/>
        <v>7</v>
      </c>
      <c r="H6332" s="14">
        <f t="shared" si="2"/>
        <v>22</v>
      </c>
      <c r="I6332" s="15">
        <f t="shared" si="3"/>
        <v>20</v>
      </c>
    </row>
    <row r="6333">
      <c r="A6333" s="8" t="str">
        <f>IFERROR(__xludf.DUMMYFUNCTION("IF('(INGESTA)Datos_consumo_datadis'!A6333&lt;&gt;"""",SPLIT('(INGESTA)Datos_consumo_datadis'!A:A,"",""),"""")"),"ES0031408323131005HX0F")</f>
        <v>ES0031408323131005HX0F</v>
      </c>
      <c r="B6333" s="12">
        <f>IFERROR(__xludf.DUMMYFUNCTION("""COMPUTED_VALUE"""),45129.0)</f>
        <v>45129</v>
      </c>
      <c r="C6333" s="13">
        <f>IFERROR(__xludf.DUMMYFUNCTION("""COMPUTED_VALUE"""),0.875)</f>
        <v>0.875</v>
      </c>
      <c r="D6333" s="8">
        <f>IFERROR(__xludf.DUMMYFUNCTION("""COMPUTED_VALUE"""),0.071)</f>
        <v>0.071</v>
      </c>
      <c r="E6333" s="8" t="str">
        <f>IFERROR(__xludf.DUMMYFUNCTION("""COMPUTED_VALUE"""),"Real")</f>
        <v>Real</v>
      </c>
      <c r="G6333" s="8">
        <f t="shared" si="1"/>
        <v>7</v>
      </c>
      <c r="H6333" s="14">
        <f t="shared" si="2"/>
        <v>22</v>
      </c>
      <c r="I6333" s="15">
        <f t="shared" si="3"/>
        <v>21</v>
      </c>
    </row>
    <row r="6334">
      <c r="A6334" s="8" t="str">
        <f>IFERROR(__xludf.DUMMYFUNCTION("IF('(INGESTA)Datos_consumo_datadis'!A6334&lt;&gt;"""",SPLIT('(INGESTA)Datos_consumo_datadis'!A:A,"",""),"""")"),"ES0031408323131005HX0F")</f>
        <v>ES0031408323131005HX0F</v>
      </c>
      <c r="B6334" s="12">
        <f>IFERROR(__xludf.DUMMYFUNCTION("""COMPUTED_VALUE"""),45129.0)</f>
        <v>45129</v>
      </c>
      <c r="C6334" s="13">
        <f>IFERROR(__xludf.DUMMYFUNCTION("""COMPUTED_VALUE"""),0.9166666666666666)</f>
        <v>0.9166666667</v>
      </c>
      <c r="D6334" s="8">
        <f>IFERROR(__xludf.DUMMYFUNCTION("""COMPUTED_VALUE"""),0.062)</f>
        <v>0.062</v>
      </c>
      <c r="E6334" s="8" t="str">
        <f>IFERROR(__xludf.DUMMYFUNCTION("""COMPUTED_VALUE"""),"Real")</f>
        <v>Real</v>
      </c>
      <c r="G6334" s="8">
        <f t="shared" si="1"/>
        <v>7</v>
      </c>
      <c r="H6334" s="14">
        <f t="shared" si="2"/>
        <v>22</v>
      </c>
      <c r="I6334" s="15">
        <f t="shared" si="3"/>
        <v>22</v>
      </c>
    </row>
    <row r="6335">
      <c r="A6335" s="8" t="str">
        <f>IFERROR(__xludf.DUMMYFUNCTION("IF('(INGESTA)Datos_consumo_datadis'!A6335&lt;&gt;"""",SPLIT('(INGESTA)Datos_consumo_datadis'!A:A,"",""),"""")"),"ES0031408323131005HX0F")</f>
        <v>ES0031408323131005HX0F</v>
      </c>
      <c r="B6335" s="12">
        <f>IFERROR(__xludf.DUMMYFUNCTION("""COMPUTED_VALUE"""),45129.0)</f>
        <v>45129</v>
      </c>
      <c r="C6335" s="13">
        <f>IFERROR(__xludf.DUMMYFUNCTION("""COMPUTED_VALUE"""),0.9583333333333334)</f>
        <v>0.9583333333</v>
      </c>
      <c r="D6335" s="8">
        <f>IFERROR(__xludf.DUMMYFUNCTION("""COMPUTED_VALUE"""),0.014)</f>
        <v>0.014</v>
      </c>
      <c r="E6335" s="8" t="str">
        <f>IFERROR(__xludf.DUMMYFUNCTION("""COMPUTED_VALUE"""),"Real")</f>
        <v>Real</v>
      </c>
      <c r="G6335" s="8">
        <f t="shared" si="1"/>
        <v>7</v>
      </c>
      <c r="H6335" s="14">
        <f t="shared" si="2"/>
        <v>22</v>
      </c>
      <c r="I6335" s="15">
        <f t="shared" si="3"/>
        <v>23</v>
      </c>
    </row>
    <row r="6336">
      <c r="A6336" s="8" t="str">
        <f>IFERROR(__xludf.DUMMYFUNCTION("IF('(INGESTA)Datos_consumo_datadis'!A6336&lt;&gt;"""",SPLIT('(INGESTA)Datos_consumo_datadis'!A:A,"",""),"""")"),"ES0031408323131005HX0F")</f>
        <v>ES0031408323131005HX0F</v>
      </c>
      <c r="B6336" s="12">
        <f>IFERROR(__xludf.DUMMYFUNCTION("""COMPUTED_VALUE"""),45129.0)</f>
        <v>45129</v>
      </c>
      <c r="C6336" s="16">
        <f>IFERROR(__xludf.DUMMYFUNCTION("""COMPUTED_VALUE"""),1.0)</f>
        <v>1</v>
      </c>
      <c r="D6336" s="8">
        <f>IFERROR(__xludf.DUMMYFUNCTION("""COMPUTED_VALUE"""),0.109)</f>
        <v>0.109</v>
      </c>
      <c r="E6336" s="8" t="str">
        <f>IFERROR(__xludf.DUMMYFUNCTION("""COMPUTED_VALUE"""),"Real")</f>
        <v>Real</v>
      </c>
      <c r="G6336" s="8">
        <f t="shared" si="1"/>
        <v>7</v>
      </c>
      <c r="H6336" s="14">
        <f t="shared" si="2"/>
        <v>22</v>
      </c>
      <c r="I6336" s="15">
        <f t="shared" si="3"/>
        <v>0</v>
      </c>
    </row>
    <row r="6337">
      <c r="A6337" s="8" t="str">
        <f>IFERROR(__xludf.DUMMYFUNCTION("IF('(INGESTA)Datos_consumo_datadis'!A6337&lt;&gt;"""",SPLIT('(INGESTA)Datos_consumo_datadis'!A:A,"",""),"""")"),"ES0031408323131005HX0F")</f>
        <v>ES0031408323131005HX0F</v>
      </c>
      <c r="B6337" s="12">
        <f>IFERROR(__xludf.DUMMYFUNCTION("""COMPUTED_VALUE"""),45130.0)</f>
        <v>45130</v>
      </c>
      <c r="C6337" s="13">
        <f>IFERROR(__xludf.DUMMYFUNCTION("""COMPUTED_VALUE"""),0.041666666666666664)</f>
        <v>0.04166666667</v>
      </c>
      <c r="D6337" s="8">
        <f>IFERROR(__xludf.DUMMYFUNCTION("""COMPUTED_VALUE"""),0.383)</f>
        <v>0.383</v>
      </c>
      <c r="E6337" s="8" t="str">
        <f>IFERROR(__xludf.DUMMYFUNCTION("""COMPUTED_VALUE"""),"Real")</f>
        <v>Real</v>
      </c>
      <c r="G6337" s="8">
        <f t="shared" si="1"/>
        <v>7</v>
      </c>
      <c r="H6337" s="14">
        <f t="shared" si="2"/>
        <v>23</v>
      </c>
      <c r="I6337" s="15">
        <f t="shared" si="3"/>
        <v>1</v>
      </c>
    </row>
    <row r="6338">
      <c r="A6338" s="8" t="str">
        <f>IFERROR(__xludf.DUMMYFUNCTION("IF('(INGESTA)Datos_consumo_datadis'!A6338&lt;&gt;"""",SPLIT('(INGESTA)Datos_consumo_datadis'!A:A,"",""),"""")"),"ES0031408323131005HX0F")</f>
        <v>ES0031408323131005HX0F</v>
      </c>
      <c r="B6338" s="12">
        <f>IFERROR(__xludf.DUMMYFUNCTION("""COMPUTED_VALUE"""),45130.0)</f>
        <v>45130</v>
      </c>
      <c r="C6338" s="13">
        <f>IFERROR(__xludf.DUMMYFUNCTION("""COMPUTED_VALUE"""),0.08333333333333333)</f>
        <v>0.08333333333</v>
      </c>
      <c r="D6338" s="8">
        <f>IFERROR(__xludf.DUMMYFUNCTION("""COMPUTED_VALUE"""),0.076)</f>
        <v>0.076</v>
      </c>
      <c r="E6338" s="8" t="str">
        <f>IFERROR(__xludf.DUMMYFUNCTION("""COMPUTED_VALUE"""),"Real")</f>
        <v>Real</v>
      </c>
      <c r="G6338" s="8">
        <f t="shared" si="1"/>
        <v>7</v>
      </c>
      <c r="H6338" s="14">
        <f t="shared" si="2"/>
        <v>23</v>
      </c>
      <c r="I6338" s="15">
        <f t="shared" si="3"/>
        <v>2</v>
      </c>
    </row>
    <row r="6339">
      <c r="A6339" s="8" t="str">
        <f>IFERROR(__xludf.DUMMYFUNCTION("IF('(INGESTA)Datos_consumo_datadis'!A6339&lt;&gt;"""",SPLIT('(INGESTA)Datos_consumo_datadis'!A:A,"",""),"""")"),"ES0031408323131005HX0F")</f>
        <v>ES0031408323131005HX0F</v>
      </c>
      <c r="B6339" s="12">
        <f>IFERROR(__xludf.DUMMYFUNCTION("""COMPUTED_VALUE"""),45130.0)</f>
        <v>45130</v>
      </c>
      <c r="C6339" s="13">
        <f>IFERROR(__xludf.DUMMYFUNCTION("""COMPUTED_VALUE"""),0.125)</f>
        <v>0.125</v>
      </c>
      <c r="D6339" s="8">
        <f>IFERROR(__xludf.DUMMYFUNCTION("""COMPUTED_VALUE"""),0.078)</f>
        <v>0.078</v>
      </c>
      <c r="E6339" s="8" t="str">
        <f>IFERROR(__xludf.DUMMYFUNCTION("""COMPUTED_VALUE"""),"Real")</f>
        <v>Real</v>
      </c>
      <c r="G6339" s="8">
        <f t="shared" si="1"/>
        <v>7</v>
      </c>
      <c r="H6339" s="14">
        <f t="shared" si="2"/>
        <v>23</v>
      </c>
      <c r="I6339" s="15">
        <f t="shared" si="3"/>
        <v>3</v>
      </c>
    </row>
    <row r="6340">
      <c r="A6340" s="8" t="str">
        <f>IFERROR(__xludf.DUMMYFUNCTION("IF('(INGESTA)Datos_consumo_datadis'!A6340&lt;&gt;"""",SPLIT('(INGESTA)Datos_consumo_datadis'!A:A,"",""),"""")"),"ES0031408323131005HX0F")</f>
        <v>ES0031408323131005HX0F</v>
      </c>
      <c r="B6340" s="12">
        <f>IFERROR(__xludf.DUMMYFUNCTION("""COMPUTED_VALUE"""),45130.0)</f>
        <v>45130</v>
      </c>
      <c r="C6340" s="13">
        <f>IFERROR(__xludf.DUMMYFUNCTION("""COMPUTED_VALUE"""),0.16666666666666666)</f>
        <v>0.1666666667</v>
      </c>
      <c r="D6340" s="8">
        <f>IFERROR(__xludf.DUMMYFUNCTION("""COMPUTED_VALUE"""),0.025)</f>
        <v>0.025</v>
      </c>
      <c r="E6340" s="8" t="str">
        <f>IFERROR(__xludf.DUMMYFUNCTION("""COMPUTED_VALUE"""),"Real")</f>
        <v>Real</v>
      </c>
      <c r="G6340" s="8">
        <f t="shared" si="1"/>
        <v>7</v>
      </c>
      <c r="H6340" s="14">
        <f t="shared" si="2"/>
        <v>23</v>
      </c>
      <c r="I6340" s="15">
        <f t="shared" si="3"/>
        <v>4</v>
      </c>
    </row>
    <row r="6341">
      <c r="A6341" s="8" t="str">
        <f>IFERROR(__xludf.DUMMYFUNCTION("IF('(INGESTA)Datos_consumo_datadis'!A6341&lt;&gt;"""",SPLIT('(INGESTA)Datos_consumo_datadis'!A:A,"",""),"""")"),"ES0031408323131005HX0F")</f>
        <v>ES0031408323131005HX0F</v>
      </c>
      <c r="B6341" s="12">
        <f>IFERROR(__xludf.DUMMYFUNCTION("""COMPUTED_VALUE"""),45130.0)</f>
        <v>45130</v>
      </c>
      <c r="C6341" s="13">
        <f>IFERROR(__xludf.DUMMYFUNCTION("""COMPUTED_VALUE"""),0.20833333333333334)</f>
        <v>0.2083333333</v>
      </c>
      <c r="D6341" s="8">
        <f>IFERROR(__xludf.DUMMYFUNCTION("""COMPUTED_VALUE"""),0.113)</f>
        <v>0.113</v>
      </c>
      <c r="E6341" s="8" t="str">
        <f>IFERROR(__xludf.DUMMYFUNCTION("""COMPUTED_VALUE"""),"Real")</f>
        <v>Real</v>
      </c>
      <c r="G6341" s="8">
        <f t="shared" si="1"/>
        <v>7</v>
      </c>
      <c r="H6341" s="14">
        <f t="shared" si="2"/>
        <v>23</v>
      </c>
      <c r="I6341" s="15">
        <f t="shared" si="3"/>
        <v>5</v>
      </c>
    </row>
    <row r="6342">
      <c r="A6342" s="8" t="str">
        <f>IFERROR(__xludf.DUMMYFUNCTION("IF('(INGESTA)Datos_consumo_datadis'!A6342&lt;&gt;"""",SPLIT('(INGESTA)Datos_consumo_datadis'!A:A,"",""),"""")"),"ES0031408323131005HX0F")</f>
        <v>ES0031408323131005HX0F</v>
      </c>
      <c r="B6342" s="12">
        <f>IFERROR(__xludf.DUMMYFUNCTION("""COMPUTED_VALUE"""),45130.0)</f>
        <v>45130</v>
      </c>
      <c r="C6342" s="13">
        <f>IFERROR(__xludf.DUMMYFUNCTION("""COMPUTED_VALUE"""),0.25)</f>
        <v>0.25</v>
      </c>
      <c r="D6342" s="8">
        <f>IFERROR(__xludf.DUMMYFUNCTION("""COMPUTED_VALUE"""),0.108)</f>
        <v>0.108</v>
      </c>
      <c r="E6342" s="8" t="str">
        <f>IFERROR(__xludf.DUMMYFUNCTION("""COMPUTED_VALUE"""),"Real")</f>
        <v>Real</v>
      </c>
      <c r="G6342" s="8">
        <f t="shared" si="1"/>
        <v>7</v>
      </c>
      <c r="H6342" s="14">
        <f t="shared" si="2"/>
        <v>23</v>
      </c>
      <c r="I6342" s="15">
        <f t="shared" si="3"/>
        <v>6</v>
      </c>
    </row>
    <row r="6343">
      <c r="A6343" s="8" t="str">
        <f>IFERROR(__xludf.DUMMYFUNCTION("IF('(INGESTA)Datos_consumo_datadis'!A6343&lt;&gt;"""",SPLIT('(INGESTA)Datos_consumo_datadis'!A:A,"",""),"""")"),"ES0031408323131005HX0F")</f>
        <v>ES0031408323131005HX0F</v>
      </c>
      <c r="B6343" s="12">
        <f>IFERROR(__xludf.DUMMYFUNCTION("""COMPUTED_VALUE"""),45130.0)</f>
        <v>45130</v>
      </c>
      <c r="C6343" s="13">
        <f>IFERROR(__xludf.DUMMYFUNCTION("""COMPUTED_VALUE"""),0.2916666666666667)</f>
        <v>0.2916666667</v>
      </c>
      <c r="D6343" s="8">
        <f>IFERROR(__xludf.DUMMYFUNCTION("""COMPUTED_VALUE"""),0.08)</f>
        <v>0.08</v>
      </c>
      <c r="E6343" s="8" t="str">
        <f>IFERROR(__xludf.DUMMYFUNCTION("""COMPUTED_VALUE"""),"Real")</f>
        <v>Real</v>
      </c>
      <c r="G6343" s="8">
        <f t="shared" si="1"/>
        <v>7</v>
      </c>
      <c r="H6343" s="14">
        <f t="shared" si="2"/>
        <v>23</v>
      </c>
      <c r="I6343" s="15">
        <f t="shared" si="3"/>
        <v>7</v>
      </c>
    </row>
    <row r="6344">
      <c r="A6344" s="8" t="str">
        <f>IFERROR(__xludf.DUMMYFUNCTION("IF('(INGESTA)Datos_consumo_datadis'!A6344&lt;&gt;"""",SPLIT('(INGESTA)Datos_consumo_datadis'!A:A,"",""),"""")"),"ES0031408323131005HX0F")</f>
        <v>ES0031408323131005HX0F</v>
      </c>
      <c r="B6344" s="12">
        <f>IFERROR(__xludf.DUMMYFUNCTION("""COMPUTED_VALUE"""),45130.0)</f>
        <v>45130</v>
      </c>
      <c r="C6344" s="13">
        <f>IFERROR(__xludf.DUMMYFUNCTION("""COMPUTED_VALUE"""),0.3333333333333333)</f>
        <v>0.3333333333</v>
      </c>
      <c r="D6344" s="8">
        <f>IFERROR(__xludf.DUMMYFUNCTION("""COMPUTED_VALUE"""),0.053)</f>
        <v>0.053</v>
      </c>
      <c r="E6344" s="8" t="str">
        <f>IFERROR(__xludf.DUMMYFUNCTION("""COMPUTED_VALUE"""),"Real")</f>
        <v>Real</v>
      </c>
      <c r="G6344" s="8">
        <f t="shared" si="1"/>
        <v>7</v>
      </c>
      <c r="H6344" s="14">
        <f t="shared" si="2"/>
        <v>23</v>
      </c>
      <c r="I6344" s="15">
        <f t="shared" si="3"/>
        <v>8</v>
      </c>
    </row>
    <row r="6345">
      <c r="A6345" s="8" t="str">
        <f>IFERROR(__xludf.DUMMYFUNCTION("IF('(INGESTA)Datos_consumo_datadis'!A6345&lt;&gt;"""",SPLIT('(INGESTA)Datos_consumo_datadis'!A:A,"",""),"""")"),"ES0031408323131005HX0F")</f>
        <v>ES0031408323131005HX0F</v>
      </c>
      <c r="B6345" s="12">
        <f>IFERROR(__xludf.DUMMYFUNCTION("""COMPUTED_VALUE"""),45130.0)</f>
        <v>45130</v>
      </c>
      <c r="C6345" s="13">
        <f>IFERROR(__xludf.DUMMYFUNCTION("""COMPUTED_VALUE"""),0.375)</f>
        <v>0.375</v>
      </c>
      <c r="D6345" s="8">
        <f>IFERROR(__xludf.DUMMYFUNCTION("""COMPUTED_VALUE"""),0.278)</f>
        <v>0.278</v>
      </c>
      <c r="E6345" s="8" t="str">
        <f>IFERROR(__xludf.DUMMYFUNCTION("""COMPUTED_VALUE"""),"Real")</f>
        <v>Real</v>
      </c>
      <c r="G6345" s="8">
        <f t="shared" si="1"/>
        <v>7</v>
      </c>
      <c r="H6345" s="14">
        <f t="shared" si="2"/>
        <v>23</v>
      </c>
      <c r="I6345" s="15">
        <f t="shared" si="3"/>
        <v>9</v>
      </c>
    </row>
    <row r="6346">
      <c r="A6346" s="8" t="str">
        <f>IFERROR(__xludf.DUMMYFUNCTION("IF('(INGESTA)Datos_consumo_datadis'!A6346&lt;&gt;"""",SPLIT('(INGESTA)Datos_consumo_datadis'!A:A,"",""),"""")"),"ES0031408323131005HX0F")</f>
        <v>ES0031408323131005HX0F</v>
      </c>
      <c r="B6346" s="12">
        <f>IFERROR(__xludf.DUMMYFUNCTION("""COMPUTED_VALUE"""),45130.0)</f>
        <v>45130</v>
      </c>
      <c r="C6346" s="13">
        <f>IFERROR(__xludf.DUMMYFUNCTION("""COMPUTED_VALUE"""),0.4166666666666667)</f>
        <v>0.4166666667</v>
      </c>
      <c r="D6346" s="8">
        <f>IFERROR(__xludf.DUMMYFUNCTION("""COMPUTED_VALUE"""),0.116)</f>
        <v>0.116</v>
      </c>
      <c r="E6346" s="8" t="str">
        <f>IFERROR(__xludf.DUMMYFUNCTION("""COMPUTED_VALUE"""),"Real")</f>
        <v>Real</v>
      </c>
      <c r="G6346" s="8">
        <f t="shared" si="1"/>
        <v>7</v>
      </c>
      <c r="H6346" s="14">
        <f t="shared" si="2"/>
        <v>23</v>
      </c>
      <c r="I6346" s="15">
        <f t="shared" si="3"/>
        <v>10</v>
      </c>
    </row>
    <row r="6347">
      <c r="A6347" s="8" t="str">
        <f>IFERROR(__xludf.DUMMYFUNCTION("IF('(INGESTA)Datos_consumo_datadis'!A6347&lt;&gt;"""",SPLIT('(INGESTA)Datos_consumo_datadis'!A:A,"",""),"""")"),"ES0031408323131005HX0F")</f>
        <v>ES0031408323131005HX0F</v>
      </c>
      <c r="B6347" s="12">
        <f>IFERROR(__xludf.DUMMYFUNCTION("""COMPUTED_VALUE"""),45130.0)</f>
        <v>45130</v>
      </c>
      <c r="C6347" s="13">
        <f>IFERROR(__xludf.DUMMYFUNCTION("""COMPUTED_VALUE"""),0.4583333333333333)</f>
        <v>0.4583333333</v>
      </c>
      <c r="D6347" s="8">
        <f>IFERROR(__xludf.DUMMYFUNCTION("""COMPUTED_VALUE"""),0.1)</f>
        <v>0.1</v>
      </c>
      <c r="E6347" s="8" t="str">
        <f>IFERROR(__xludf.DUMMYFUNCTION("""COMPUTED_VALUE"""),"Real")</f>
        <v>Real</v>
      </c>
      <c r="G6347" s="8">
        <f t="shared" si="1"/>
        <v>7</v>
      </c>
      <c r="H6347" s="14">
        <f t="shared" si="2"/>
        <v>23</v>
      </c>
      <c r="I6347" s="15">
        <f t="shared" si="3"/>
        <v>11</v>
      </c>
    </row>
    <row r="6348">
      <c r="A6348" s="8" t="str">
        <f>IFERROR(__xludf.DUMMYFUNCTION("IF('(INGESTA)Datos_consumo_datadis'!A6348&lt;&gt;"""",SPLIT('(INGESTA)Datos_consumo_datadis'!A:A,"",""),"""")"),"ES0031408323131005HX0F")</f>
        <v>ES0031408323131005HX0F</v>
      </c>
      <c r="B6348" s="12">
        <f>IFERROR(__xludf.DUMMYFUNCTION("""COMPUTED_VALUE"""),45130.0)</f>
        <v>45130</v>
      </c>
      <c r="C6348" s="13">
        <f>IFERROR(__xludf.DUMMYFUNCTION("""COMPUTED_VALUE"""),0.5)</f>
        <v>0.5</v>
      </c>
      <c r="D6348" s="8">
        <f>IFERROR(__xludf.DUMMYFUNCTION("""COMPUTED_VALUE"""),0.088)</f>
        <v>0.088</v>
      </c>
      <c r="E6348" s="8" t="str">
        <f>IFERROR(__xludf.DUMMYFUNCTION("""COMPUTED_VALUE"""),"Real")</f>
        <v>Real</v>
      </c>
      <c r="G6348" s="8">
        <f t="shared" si="1"/>
        <v>7</v>
      </c>
      <c r="H6348" s="14">
        <f t="shared" si="2"/>
        <v>23</v>
      </c>
      <c r="I6348" s="15">
        <f t="shared" si="3"/>
        <v>12</v>
      </c>
    </row>
    <row r="6349">
      <c r="A6349" s="8" t="str">
        <f>IFERROR(__xludf.DUMMYFUNCTION("IF('(INGESTA)Datos_consumo_datadis'!A6349&lt;&gt;"""",SPLIT('(INGESTA)Datos_consumo_datadis'!A:A,"",""),"""")"),"ES0031408323131005HX0F")</f>
        <v>ES0031408323131005HX0F</v>
      </c>
      <c r="B6349" s="12">
        <f>IFERROR(__xludf.DUMMYFUNCTION("""COMPUTED_VALUE"""),45130.0)</f>
        <v>45130</v>
      </c>
      <c r="C6349" s="13">
        <f>IFERROR(__xludf.DUMMYFUNCTION("""COMPUTED_VALUE"""),0.5416666666666666)</f>
        <v>0.5416666667</v>
      </c>
      <c r="D6349" s="8">
        <f>IFERROR(__xludf.DUMMYFUNCTION("""COMPUTED_VALUE"""),0.043)</f>
        <v>0.043</v>
      </c>
      <c r="E6349" s="8" t="str">
        <f>IFERROR(__xludf.DUMMYFUNCTION("""COMPUTED_VALUE"""),"Real")</f>
        <v>Real</v>
      </c>
      <c r="G6349" s="8">
        <f t="shared" si="1"/>
        <v>7</v>
      </c>
      <c r="H6349" s="14">
        <f t="shared" si="2"/>
        <v>23</v>
      </c>
      <c r="I6349" s="15">
        <f t="shared" si="3"/>
        <v>13</v>
      </c>
    </row>
    <row r="6350">
      <c r="A6350" s="8" t="str">
        <f>IFERROR(__xludf.DUMMYFUNCTION("IF('(INGESTA)Datos_consumo_datadis'!A6350&lt;&gt;"""",SPLIT('(INGESTA)Datos_consumo_datadis'!A:A,"",""),"""")"),"ES0031408323131005HX0F")</f>
        <v>ES0031408323131005HX0F</v>
      </c>
      <c r="B6350" s="12">
        <f>IFERROR(__xludf.DUMMYFUNCTION("""COMPUTED_VALUE"""),45130.0)</f>
        <v>45130</v>
      </c>
      <c r="C6350" s="13">
        <f>IFERROR(__xludf.DUMMYFUNCTION("""COMPUTED_VALUE"""),0.5833333333333334)</f>
        <v>0.5833333333</v>
      </c>
      <c r="D6350" s="8">
        <f>IFERROR(__xludf.DUMMYFUNCTION("""COMPUTED_VALUE"""),0.019)</f>
        <v>0.019</v>
      </c>
      <c r="E6350" s="8" t="str">
        <f>IFERROR(__xludf.DUMMYFUNCTION("""COMPUTED_VALUE"""),"Real")</f>
        <v>Real</v>
      </c>
      <c r="G6350" s="8">
        <f t="shared" si="1"/>
        <v>7</v>
      </c>
      <c r="H6350" s="14">
        <f t="shared" si="2"/>
        <v>23</v>
      </c>
      <c r="I6350" s="15">
        <f t="shared" si="3"/>
        <v>14</v>
      </c>
    </row>
    <row r="6351">
      <c r="A6351" s="8" t="str">
        <f>IFERROR(__xludf.DUMMYFUNCTION("IF('(INGESTA)Datos_consumo_datadis'!A6351&lt;&gt;"""",SPLIT('(INGESTA)Datos_consumo_datadis'!A:A,"",""),"""")"),"ES0031408323131005HX0F")</f>
        <v>ES0031408323131005HX0F</v>
      </c>
      <c r="B6351" s="12">
        <f>IFERROR(__xludf.DUMMYFUNCTION("""COMPUTED_VALUE"""),45130.0)</f>
        <v>45130</v>
      </c>
      <c r="C6351" s="13">
        <f>IFERROR(__xludf.DUMMYFUNCTION("""COMPUTED_VALUE"""),0.625)</f>
        <v>0.625</v>
      </c>
      <c r="D6351" s="8">
        <f>IFERROR(__xludf.DUMMYFUNCTION("""COMPUTED_VALUE"""),0.122)</f>
        <v>0.122</v>
      </c>
      <c r="E6351" s="8" t="str">
        <f>IFERROR(__xludf.DUMMYFUNCTION("""COMPUTED_VALUE"""),"Real")</f>
        <v>Real</v>
      </c>
      <c r="G6351" s="8">
        <f t="shared" si="1"/>
        <v>7</v>
      </c>
      <c r="H6351" s="14">
        <f t="shared" si="2"/>
        <v>23</v>
      </c>
      <c r="I6351" s="15">
        <f t="shared" si="3"/>
        <v>15</v>
      </c>
    </row>
    <row r="6352">
      <c r="A6352" s="8" t="str">
        <f>IFERROR(__xludf.DUMMYFUNCTION("IF('(INGESTA)Datos_consumo_datadis'!A6352&lt;&gt;"""",SPLIT('(INGESTA)Datos_consumo_datadis'!A:A,"",""),"""")"),"ES0031408323131005HX0F")</f>
        <v>ES0031408323131005HX0F</v>
      </c>
      <c r="B6352" s="12">
        <f>IFERROR(__xludf.DUMMYFUNCTION("""COMPUTED_VALUE"""),45130.0)</f>
        <v>45130</v>
      </c>
      <c r="C6352" s="13">
        <f>IFERROR(__xludf.DUMMYFUNCTION("""COMPUTED_VALUE"""),0.6666666666666666)</f>
        <v>0.6666666667</v>
      </c>
      <c r="D6352" s="8">
        <f>IFERROR(__xludf.DUMMYFUNCTION("""COMPUTED_VALUE"""),0.092)</f>
        <v>0.092</v>
      </c>
      <c r="E6352" s="8" t="str">
        <f>IFERROR(__xludf.DUMMYFUNCTION("""COMPUTED_VALUE"""),"Real")</f>
        <v>Real</v>
      </c>
      <c r="G6352" s="8">
        <f t="shared" si="1"/>
        <v>7</v>
      </c>
      <c r="H6352" s="14">
        <f t="shared" si="2"/>
        <v>23</v>
      </c>
      <c r="I6352" s="15">
        <f t="shared" si="3"/>
        <v>16</v>
      </c>
    </row>
    <row r="6353">
      <c r="A6353" s="8" t="str">
        <f>IFERROR(__xludf.DUMMYFUNCTION("IF('(INGESTA)Datos_consumo_datadis'!A6353&lt;&gt;"""",SPLIT('(INGESTA)Datos_consumo_datadis'!A:A,"",""),"""")"),"ES0031408323131005HX0F")</f>
        <v>ES0031408323131005HX0F</v>
      </c>
      <c r="B6353" s="12">
        <f>IFERROR(__xludf.DUMMYFUNCTION("""COMPUTED_VALUE"""),45130.0)</f>
        <v>45130</v>
      </c>
      <c r="C6353" s="13">
        <f>IFERROR(__xludf.DUMMYFUNCTION("""COMPUTED_VALUE"""),0.7083333333333334)</f>
        <v>0.7083333333</v>
      </c>
      <c r="D6353" s="8">
        <f>IFERROR(__xludf.DUMMYFUNCTION("""COMPUTED_VALUE"""),0.181)</f>
        <v>0.181</v>
      </c>
      <c r="E6353" s="8" t="str">
        <f>IFERROR(__xludf.DUMMYFUNCTION("""COMPUTED_VALUE"""),"Real")</f>
        <v>Real</v>
      </c>
      <c r="G6353" s="8">
        <f t="shared" si="1"/>
        <v>7</v>
      </c>
      <c r="H6353" s="14">
        <f t="shared" si="2"/>
        <v>23</v>
      </c>
      <c r="I6353" s="15">
        <f t="shared" si="3"/>
        <v>17</v>
      </c>
    </row>
    <row r="6354">
      <c r="A6354" s="8" t="str">
        <f>IFERROR(__xludf.DUMMYFUNCTION("IF('(INGESTA)Datos_consumo_datadis'!A6354&lt;&gt;"""",SPLIT('(INGESTA)Datos_consumo_datadis'!A:A,"",""),"""")"),"ES0031408323131005HX0F")</f>
        <v>ES0031408323131005HX0F</v>
      </c>
      <c r="B6354" s="12">
        <f>IFERROR(__xludf.DUMMYFUNCTION("""COMPUTED_VALUE"""),45130.0)</f>
        <v>45130</v>
      </c>
      <c r="C6354" s="13">
        <f>IFERROR(__xludf.DUMMYFUNCTION("""COMPUTED_VALUE"""),0.75)</f>
        <v>0.75</v>
      </c>
      <c r="D6354" s="8">
        <f>IFERROR(__xludf.DUMMYFUNCTION("""COMPUTED_VALUE"""),0.211)</f>
        <v>0.211</v>
      </c>
      <c r="E6354" s="8" t="str">
        <f>IFERROR(__xludf.DUMMYFUNCTION("""COMPUTED_VALUE"""),"Real")</f>
        <v>Real</v>
      </c>
      <c r="G6354" s="8">
        <f t="shared" si="1"/>
        <v>7</v>
      </c>
      <c r="H6354" s="14">
        <f t="shared" si="2"/>
        <v>23</v>
      </c>
      <c r="I6354" s="15">
        <f t="shared" si="3"/>
        <v>18</v>
      </c>
    </row>
    <row r="6355">
      <c r="A6355" s="8" t="str">
        <f>IFERROR(__xludf.DUMMYFUNCTION("IF('(INGESTA)Datos_consumo_datadis'!A6355&lt;&gt;"""",SPLIT('(INGESTA)Datos_consumo_datadis'!A:A,"",""),"""")"),"ES0031408323131005HX0F")</f>
        <v>ES0031408323131005HX0F</v>
      </c>
      <c r="B6355" s="12">
        <f>IFERROR(__xludf.DUMMYFUNCTION("""COMPUTED_VALUE"""),45130.0)</f>
        <v>45130</v>
      </c>
      <c r="C6355" s="13">
        <f>IFERROR(__xludf.DUMMYFUNCTION("""COMPUTED_VALUE"""),0.7916666666666666)</f>
        <v>0.7916666667</v>
      </c>
      <c r="D6355" s="8">
        <f>IFERROR(__xludf.DUMMYFUNCTION("""COMPUTED_VALUE"""),0.039)</f>
        <v>0.039</v>
      </c>
      <c r="E6355" s="8" t="str">
        <f>IFERROR(__xludf.DUMMYFUNCTION("""COMPUTED_VALUE"""),"Real")</f>
        <v>Real</v>
      </c>
      <c r="G6355" s="8">
        <f t="shared" si="1"/>
        <v>7</v>
      </c>
      <c r="H6355" s="14">
        <f t="shared" si="2"/>
        <v>23</v>
      </c>
      <c r="I6355" s="15">
        <f t="shared" si="3"/>
        <v>19</v>
      </c>
    </row>
    <row r="6356">
      <c r="A6356" s="8" t="str">
        <f>IFERROR(__xludf.DUMMYFUNCTION("IF('(INGESTA)Datos_consumo_datadis'!A6356&lt;&gt;"""",SPLIT('(INGESTA)Datos_consumo_datadis'!A:A,"",""),"""")"),"ES0031408323131005HX0F")</f>
        <v>ES0031408323131005HX0F</v>
      </c>
      <c r="B6356" s="12">
        <f>IFERROR(__xludf.DUMMYFUNCTION("""COMPUTED_VALUE"""),45130.0)</f>
        <v>45130</v>
      </c>
      <c r="C6356" s="13">
        <f>IFERROR(__xludf.DUMMYFUNCTION("""COMPUTED_VALUE"""),0.8333333333333334)</f>
        <v>0.8333333333</v>
      </c>
      <c r="D6356" s="8">
        <f>IFERROR(__xludf.DUMMYFUNCTION("""COMPUTED_VALUE"""),0.124)</f>
        <v>0.124</v>
      </c>
      <c r="E6356" s="8" t="str">
        <f>IFERROR(__xludf.DUMMYFUNCTION("""COMPUTED_VALUE"""),"Real")</f>
        <v>Real</v>
      </c>
      <c r="G6356" s="8">
        <f t="shared" si="1"/>
        <v>7</v>
      </c>
      <c r="H6356" s="14">
        <f t="shared" si="2"/>
        <v>23</v>
      </c>
      <c r="I6356" s="15">
        <f t="shared" si="3"/>
        <v>20</v>
      </c>
    </row>
    <row r="6357">
      <c r="A6357" s="8" t="str">
        <f>IFERROR(__xludf.DUMMYFUNCTION("IF('(INGESTA)Datos_consumo_datadis'!A6357&lt;&gt;"""",SPLIT('(INGESTA)Datos_consumo_datadis'!A:A,"",""),"""")"),"ES0031408323131005HX0F")</f>
        <v>ES0031408323131005HX0F</v>
      </c>
      <c r="B6357" s="12">
        <f>IFERROR(__xludf.DUMMYFUNCTION("""COMPUTED_VALUE"""),45130.0)</f>
        <v>45130</v>
      </c>
      <c r="C6357" s="13">
        <f>IFERROR(__xludf.DUMMYFUNCTION("""COMPUTED_VALUE"""),0.875)</f>
        <v>0.875</v>
      </c>
      <c r="D6357" s="8">
        <f>IFERROR(__xludf.DUMMYFUNCTION("""COMPUTED_VALUE"""),0.109)</f>
        <v>0.109</v>
      </c>
      <c r="E6357" s="8" t="str">
        <f>IFERROR(__xludf.DUMMYFUNCTION("""COMPUTED_VALUE"""),"Real")</f>
        <v>Real</v>
      </c>
      <c r="G6357" s="8">
        <f t="shared" si="1"/>
        <v>7</v>
      </c>
      <c r="H6357" s="14">
        <f t="shared" si="2"/>
        <v>23</v>
      </c>
      <c r="I6357" s="15">
        <f t="shared" si="3"/>
        <v>21</v>
      </c>
    </row>
    <row r="6358">
      <c r="A6358" s="8" t="str">
        <f>IFERROR(__xludf.DUMMYFUNCTION("IF('(INGESTA)Datos_consumo_datadis'!A6358&lt;&gt;"""",SPLIT('(INGESTA)Datos_consumo_datadis'!A:A,"",""),"""")"),"ES0031408323131005HX0F")</f>
        <v>ES0031408323131005HX0F</v>
      </c>
      <c r="B6358" s="12">
        <f>IFERROR(__xludf.DUMMYFUNCTION("""COMPUTED_VALUE"""),45130.0)</f>
        <v>45130</v>
      </c>
      <c r="C6358" s="13">
        <f>IFERROR(__xludf.DUMMYFUNCTION("""COMPUTED_VALUE"""),0.9166666666666666)</f>
        <v>0.9166666667</v>
      </c>
      <c r="D6358" s="8">
        <f>IFERROR(__xludf.DUMMYFUNCTION("""COMPUTED_VALUE"""),0.077)</f>
        <v>0.077</v>
      </c>
      <c r="E6358" s="8" t="str">
        <f>IFERROR(__xludf.DUMMYFUNCTION("""COMPUTED_VALUE"""),"Real")</f>
        <v>Real</v>
      </c>
      <c r="G6358" s="8">
        <f t="shared" si="1"/>
        <v>7</v>
      </c>
      <c r="H6358" s="14">
        <f t="shared" si="2"/>
        <v>23</v>
      </c>
      <c r="I6358" s="15">
        <f t="shared" si="3"/>
        <v>22</v>
      </c>
    </row>
    <row r="6359">
      <c r="A6359" s="8" t="str">
        <f>IFERROR(__xludf.DUMMYFUNCTION("IF('(INGESTA)Datos_consumo_datadis'!A6359&lt;&gt;"""",SPLIT('(INGESTA)Datos_consumo_datadis'!A:A,"",""),"""")"),"ES0031408323131005HX0F")</f>
        <v>ES0031408323131005HX0F</v>
      </c>
      <c r="B6359" s="12">
        <f>IFERROR(__xludf.DUMMYFUNCTION("""COMPUTED_VALUE"""),45130.0)</f>
        <v>45130</v>
      </c>
      <c r="C6359" s="13">
        <f>IFERROR(__xludf.DUMMYFUNCTION("""COMPUTED_VALUE"""),0.9583333333333334)</f>
        <v>0.9583333333</v>
      </c>
      <c r="D6359" s="8">
        <f>IFERROR(__xludf.DUMMYFUNCTION("""COMPUTED_VALUE"""),0.058)</f>
        <v>0.058</v>
      </c>
      <c r="E6359" s="8" t="str">
        <f>IFERROR(__xludf.DUMMYFUNCTION("""COMPUTED_VALUE"""),"Real")</f>
        <v>Real</v>
      </c>
      <c r="G6359" s="8">
        <f t="shared" si="1"/>
        <v>7</v>
      </c>
      <c r="H6359" s="14">
        <f t="shared" si="2"/>
        <v>23</v>
      </c>
      <c r="I6359" s="15">
        <f t="shared" si="3"/>
        <v>23</v>
      </c>
    </row>
    <row r="6360">
      <c r="A6360" s="8" t="str">
        <f>IFERROR(__xludf.DUMMYFUNCTION("IF('(INGESTA)Datos_consumo_datadis'!A6360&lt;&gt;"""",SPLIT('(INGESTA)Datos_consumo_datadis'!A:A,"",""),"""")"),"ES0031408323131005HX0F")</f>
        <v>ES0031408323131005HX0F</v>
      </c>
      <c r="B6360" s="12">
        <f>IFERROR(__xludf.DUMMYFUNCTION("""COMPUTED_VALUE"""),45130.0)</f>
        <v>45130</v>
      </c>
      <c r="C6360" s="16">
        <f>IFERROR(__xludf.DUMMYFUNCTION("""COMPUTED_VALUE"""),1.0)</f>
        <v>1</v>
      </c>
      <c r="D6360" s="8">
        <f>IFERROR(__xludf.DUMMYFUNCTION("""COMPUTED_VALUE"""),0.014)</f>
        <v>0.014</v>
      </c>
      <c r="E6360" s="8" t="str">
        <f>IFERROR(__xludf.DUMMYFUNCTION("""COMPUTED_VALUE"""),"Real")</f>
        <v>Real</v>
      </c>
      <c r="G6360" s="8">
        <f t="shared" si="1"/>
        <v>7</v>
      </c>
      <c r="H6360" s="14">
        <f t="shared" si="2"/>
        <v>23</v>
      </c>
      <c r="I6360" s="15">
        <f t="shared" si="3"/>
        <v>0</v>
      </c>
    </row>
    <row r="6361">
      <c r="A6361" s="8" t="str">
        <f>IFERROR(__xludf.DUMMYFUNCTION("IF('(INGESTA)Datos_consumo_datadis'!A6361&lt;&gt;"""",SPLIT('(INGESTA)Datos_consumo_datadis'!A:A,"",""),"""")"),"ES0031408323131005HX0F")</f>
        <v>ES0031408323131005HX0F</v>
      </c>
      <c r="B6361" s="12">
        <f>IFERROR(__xludf.DUMMYFUNCTION("""COMPUTED_VALUE"""),45131.0)</f>
        <v>45131</v>
      </c>
      <c r="C6361" s="13">
        <f>IFERROR(__xludf.DUMMYFUNCTION("""COMPUTED_VALUE"""),0.041666666666666664)</f>
        <v>0.04166666667</v>
      </c>
      <c r="D6361" s="8">
        <f>IFERROR(__xludf.DUMMYFUNCTION("""COMPUTED_VALUE"""),0.134)</f>
        <v>0.134</v>
      </c>
      <c r="E6361" s="8" t="str">
        <f>IFERROR(__xludf.DUMMYFUNCTION("""COMPUTED_VALUE"""),"Real")</f>
        <v>Real</v>
      </c>
      <c r="G6361" s="8">
        <f t="shared" si="1"/>
        <v>7</v>
      </c>
      <c r="H6361" s="14">
        <f t="shared" si="2"/>
        <v>24</v>
      </c>
      <c r="I6361" s="15">
        <f t="shared" si="3"/>
        <v>1</v>
      </c>
    </row>
    <row r="6362">
      <c r="A6362" s="8" t="str">
        <f>IFERROR(__xludf.DUMMYFUNCTION("IF('(INGESTA)Datos_consumo_datadis'!A6362&lt;&gt;"""",SPLIT('(INGESTA)Datos_consumo_datadis'!A:A,"",""),"""")"),"ES0031408323131005HX0F")</f>
        <v>ES0031408323131005HX0F</v>
      </c>
      <c r="B6362" s="12">
        <f>IFERROR(__xludf.DUMMYFUNCTION("""COMPUTED_VALUE"""),45131.0)</f>
        <v>45131</v>
      </c>
      <c r="C6362" s="13">
        <f>IFERROR(__xludf.DUMMYFUNCTION("""COMPUTED_VALUE"""),0.08333333333333333)</f>
        <v>0.08333333333</v>
      </c>
      <c r="D6362" s="8">
        <f>IFERROR(__xludf.DUMMYFUNCTION("""COMPUTED_VALUE"""),0.352)</f>
        <v>0.352</v>
      </c>
      <c r="E6362" s="8" t="str">
        <f>IFERROR(__xludf.DUMMYFUNCTION("""COMPUTED_VALUE"""),"Real")</f>
        <v>Real</v>
      </c>
      <c r="G6362" s="8">
        <f t="shared" si="1"/>
        <v>7</v>
      </c>
      <c r="H6362" s="14">
        <f t="shared" si="2"/>
        <v>24</v>
      </c>
      <c r="I6362" s="15">
        <f t="shared" si="3"/>
        <v>2</v>
      </c>
    </row>
    <row r="6363">
      <c r="A6363" s="8" t="str">
        <f>IFERROR(__xludf.DUMMYFUNCTION("IF('(INGESTA)Datos_consumo_datadis'!A6363&lt;&gt;"""",SPLIT('(INGESTA)Datos_consumo_datadis'!A:A,"",""),"""")"),"ES0031408323131005HX0F")</f>
        <v>ES0031408323131005HX0F</v>
      </c>
      <c r="B6363" s="12">
        <f>IFERROR(__xludf.DUMMYFUNCTION("""COMPUTED_VALUE"""),45131.0)</f>
        <v>45131</v>
      </c>
      <c r="C6363" s="13">
        <f>IFERROR(__xludf.DUMMYFUNCTION("""COMPUTED_VALUE"""),0.125)</f>
        <v>0.125</v>
      </c>
      <c r="D6363" s="8">
        <f>IFERROR(__xludf.DUMMYFUNCTION("""COMPUTED_VALUE"""),0.094)</f>
        <v>0.094</v>
      </c>
      <c r="E6363" s="8" t="str">
        <f>IFERROR(__xludf.DUMMYFUNCTION("""COMPUTED_VALUE"""),"Real")</f>
        <v>Real</v>
      </c>
      <c r="G6363" s="8">
        <f t="shared" si="1"/>
        <v>7</v>
      </c>
      <c r="H6363" s="14">
        <f t="shared" si="2"/>
        <v>24</v>
      </c>
      <c r="I6363" s="15">
        <f t="shared" si="3"/>
        <v>3</v>
      </c>
    </row>
    <row r="6364">
      <c r="A6364" s="8" t="str">
        <f>IFERROR(__xludf.DUMMYFUNCTION("IF('(INGESTA)Datos_consumo_datadis'!A6364&lt;&gt;"""",SPLIT('(INGESTA)Datos_consumo_datadis'!A:A,"",""),"""")"),"ES0031408323131005HX0F")</f>
        <v>ES0031408323131005HX0F</v>
      </c>
      <c r="B6364" s="12">
        <f>IFERROR(__xludf.DUMMYFUNCTION("""COMPUTED_VALUE"""),45131.0)</f>
        <v>45131</v>
      </c>
      <c r="C6364" s="13">
        <f>IFERROR(__xludf.DUMMYFUNCTION("""COMPUTED_VALUE"""),0.16666666666666666)</f>
        <v>0.1666666667</v>
      </c>
      <c r="D6364" s="8">
        <f>IFERROR(__xludf.DUMMYFUNCTION("""COMPUTED_VALUE"""),0.07)</f>
        <v>0.07</v>
      </c>
      <c r="E6364" s="8" t="str">
        <f>IFERROR(__xludf.DUMMYFUNCTION("""COMPUTED_VALUE"""),"Real")</f>
        <v>Real</v>
      </c>
      <c r="G6364" s="8">
        <f t="shared" si="1"/>
        <v>7</v>
      </c>
      <c r="H6364" s="14">
        <f t="shared" si="2"/>
        <v>24</v>
      </c>
      <c r="I6364" s="15">
        <f t="shared" si="3"/>
        <v>4</v>
      </c>
    </row>
    <row r="6365">
      <c r="A6365" s="8" t="str">
        <f>IFERROR(__xludf.DUMMYFUNCTION("IF('(INGESTA)Datos_consumo_datadis'!A6365&lt;&gt;"""",SPLIT('(INGESTA)Datos_consumo_datadis'!A:A,"",""),"""")"),"ES0031408323131005HX0F")</f>
        <v>ES0031408323131005HX0F</v>
      </c>
      <c r="B6365" s="12">
        <f>IFERROR(__xludf.DUMMYFUNCTION("""COMPUTED_VALUE"""),45131.0)</f>
        <v>45131</v>
      </c>
      <c r="C6365" s="13">
        <f>IFERROR(__xludf.DUMMYFUNCTION("""COMPUTED_VALUE"""),0.20833333333333334)</f>
        <v>0.2083333333</v>
      </c>
      <c r="D6365" s="8">
        <f>IFERROR(__xludf.DUMMYFUNCTION("""COMPUTED_VALUE"""),0.014)</f>
        <v>0.014</v>
      </c>
      <c r="E6365" s="8" t="str">
        <f>IFERROR(__xludf.DUMMYFUNCTION("""COMPUTED_VALUE"""),"Real")</f>
        <v>Real</v>
      </c>
      <c r="G6365" s="8">
        <f t="shared" si="1"/>
        <v>7</v>
      </c>
      <c r="H6365" s="14">
        <f t="shared" si="2"/>
        <v>24</v>
      </c>
      <c r="I6365" s="15">
        <f t="shared" si="3"/>
        <v>5</v>
      </c>
    </row>
    <row r="6366">
      <c r="A6366" s="8" t="str">
        <f>IFERROR(__xludf.DUMMYFUNCTION("IF('(INGESTA)Datos_consumo_datadis'!A6366&lt;&gt;"""",SPLIT('(INGESTA)Datos_consumo_datadis'!A:A,"",""),"""")"),"ES0031408323131005HX0F")</f>
        <v>ES0031408323131005HX0F</v>
      </c>
      <c r="B6366" s="12">
        <f>IFERROR(__xludf.DUMMYFUNCTION("""COMPUTED_VALUE"""),45131.0)</f>
        <v>45131</v>
      </c>
      <c r="C6366" s="13">
        <f>IFERROR(__xludf.DUMMYFUNCTION("""COMPUTED_VALUE"""),0.25)</f>
        <v>0.25</v>
      </c>
      <c r="D6366" s="8">
        <f>IFERROR(__xludf.DUMMYFUNCTION("""COMPUTED_VALUE"""),0.113)</f>
        <v>0.113</v>
      </c>
      <c r="E6366" s="8" t="str">
        <f>IFERROR(__xludf.DUMMYFUNCTION("""COMPUTED_VALUE"""),"Real")</f>
        <v>Real</v>
      </c>
      <c r="G6366" s="8">
        <f t="shared" si="1"/>
        <v>7</v>
      </c>
      <c r="H6366" s="14">
        <f t="shared" si="2"/>
        <v>24</v>
      </c>
      <c r="I6366" s="15">
        <f t="shared" si="3"/>
        <v>6</v>
      </c>
    </row>
    <row r="6367">
      <c r="A6367" s="8" t="str">
        <f>IFERROR(__xludf.DUMMYFUNCTION("IF('(INGESTA)Datos_consumo_datadis'!A6367&lt;&gt;"""",SPLIT('(INGESTA)Datos_consumo_datadis'!A:A,"",""),"""")"),"ES0031408323131005HX0F")</f>
        <v>ES0031408323131005HX0F</v>
      </c>
      <c r="B6367" s="12">
        <f>IFERROR(__xludf.DUMMYFUNCTION("""COMPUTED_VALUE"""),45131.0)</f>
        <v>45131</v>
      </c>
      <c r="C6367" s="13">
        <f>IFERROR(__xludf.DUMMYFUNCTION("""COMPUTED_VALUE"""),0.2916666666666667)</f>
        <v>0.2916666667</v>
      </c>
      <c r="D6367" s="8">
        <f>IFERROR(__xludf.DUMMYFUNCTION("""COMPUTED_VALUE"""),0.111)</f>
        <v>0.111</v>
      </c>
      <c r="E6367" s="8" t="str">
        <f>IFERROR(__xludf.DUMMYFUNCTION("""COMPUTED_VALUE"""),"Real")</f>
        <v>Real</v>
      </c>
      <c r="G6367" s="8">
        <f t="shared" si="1"/>
        <v>7</v>
      </c>
      <c r="H6367" s="14">
        <f t="shared" si="2"/>
        <v>24</v>
      </c>
      <c r="I6367" s="15">
        <f t="shared" si="3"/>
        <v>7</v>
      </c>
    </row>
    <row r="6368">
      <c r="A6368" s="8" t="str">
        <f>IFERROR(__xludf.DUMMYFUNCTION("IF('(INGESTA)Datos_consumo_datadis'!A6368&lt;&gt;"""",SPLIT('(INGESTA)Datos_consumo_datadis'!A:A,"",""),"""")"),"ES0031408323131005HX0F")</f>
        <v>ES0031408323131005HX0F</v>
      </c>
      <c r="B6368" s="12">
        <f>IFERROR(__xludf.DUMMYFUNCTION("""COMPUTED_VALUE"""),45131.0)</f>
        <v>45131</v>
      </c>
      <c r="C6368" s="13">
        <f>IFERROR(__xludf.DUMMYFUNCTION("""COMPUTED_VALUE"""),0.3333333333333333)</f>
        <v>0.3333333333</v>
      </c>
      <c r="D6368" s="8">
        <f>IFERROR(__xludf.DUMMYFUNCTION("""COMPUTED_VALUE"""),0.076)</f>
        <v>0.076</v>
      </c>
      <c r="E6368" s="8" t="str">
        <f>IFERROR(__xludf.DUMMYFUNCTION("""COMPUTED_VALUE"""),"Real")</f>
        <v>Real</v>
      </c>
      <c r="G6368" s="8">
        <f t="shared" si="1"/>
        <v>7</v>
      </c>
      <c r="H6368" s="14">
        <f t="shared" si="2"/>
        <v>24</v>
      </c>
      <c r="I6368" s="15">
        <f t="shared" si="3"/>
        <v>8</v>
      </c>
    </row>
    <row r="6369">
      <c r="A6369" s="8" t="str">
        <f>IFERROR(__xludf.DUMMYFUNCTION("IF('(INGESTA)Datos_consumo_datadis'!A6369&lt;&gt;"""",SPLIT('(INGESTA)Datos_consumo_datadis'!A:A,"",""),"""")"),"ES0031408323131005HX0F")</f>
        <v>ES0031408323131005HX0F</v>
      </c>
      <c r="B6369" s="12">
        <f>IFERROR(__xludf.DUMMYFUNCTION("""COMPUTED_VALUE"""),45131.0)</f>
        <v>45131</v>
      </c>
      <c r="C6369" s="13">
        <f>IFERROR(__xludf.DUMMYFUNCTION("""COMPUTED_VALUE"""),0.375)</f>
        <v>0.375</v>
      </c>
      <c r="D6369" s="8">
        <f>IFERROR(__xludf.DUMMYFUNCTION("""COMPUTED_VALUE"""),0.058)</f>
        <v>0.058</v>
      </c>
      <c r="E6369" s="8" t="str">
        <f>IFERROR(__xludf.DUMMYFUNCTION("""COMPUTED_VALUE"""),"Real")</f>
        <v>Real</v>
      </c>
      <c r="G6369" s="8">
        <f t="shared" si="1"/>
        <v>7</v>
      </c>
      <c r="H6369" s="14">
        <f t="shared" si="2"/>
        <v>24</v>
      </c>
      <c r="I6369" s="15">
        <f t="shared" si="3"/>
        <v>9</v>
      </c>
    </row>
    <row r="6370">
      <c r="A6370" s="8" t="str">
        <f>IFERROR(__xludf.DUMMYFUNCTION("IF('(INGESTA)Datos_consumo_datadis'!A6370&lt;&gt;"""",SPLIT('(INGESTA)Datos_consumo_datadis'!A:A,"",""),"""")"),"ES0031408323131005HX0F")</f>
        <v>ES0031408323131005HX0F</v>
      </c>
      <c r="B6370" s="12">
        <f>IFERROR(__xludf.DUMMYFUNCTION("""COMPUTED_VALUE"""),45131.0)</f>
        <v>45131</v>
      </c>
      <c r="C6370" s="13">
        <f>IFERROR(__xludf.DUMMYFUNCTION("""COMPUTED_VALUE"""),0.4166666666666667)</f>
        <v>0.4166666667</v>
      </c>
      <c r="D6370" s="8">
        <f>IFERROR(__xludf.DUMMYFUNCTION("""COMPUTED_VALUE"""),0.295)</f>
        <v>0.295</v>
      </c>
      <c r="E6370" s="8" t="str">
        <f>IFERROR(__xludf.DUMMYFUNCTION("""COMPUTED_VALUE"""),"Real")</f>
        <v>Real</v>
      </c>
      <c r="G6370" s="8">
        <f t="shared" si="1"/>
        <v>7</v>
      </c>
      <c r="H6370" s="14">
        <f t="shared" si="2"/>
        <v>24</v>
      </c>
      <c r="I6370" s="15">
        <f t="shared" si="3"/>
        <v>10</v>
      </c>
    </row>
    <row r="6371">
      <c r="A6371" s="8" t="str">
        <f>IFERROR(__xludf.DUMMYFUNCTION("IF('(INGESTA)Datos_consumo_datadis'!A6371&lt;&gt;"""",SPLIT('(INGESTA)Datos_consumo_datadis'!A:A,"",""),"""")"),"ES0031408323131005HX0F")</f>
        <v>ES0031408323131005HX0F</v>
      </c>
      <c r="B6371" s="12">
        <f>IFERROR(__xludf.DUMMYFUNCTION("""COMPUTED_VALUE"""),45131.0)</f>
        <v>45131</v>
      </c>
      <c r="C6371" s="13">
        <f>IFERROR(__xludf.DUMMYFUNCTION("""COMPUTED_VALUE"""),0.4583333333333333)</f>
        <v>0.4583333333</v>
      </c>
      <c r="D6371" s="8">
        <f>IFERROR(__xludf.DUMMYFUNCTION("""COMPUTED_VALUE"""),0.112)</f>
        <v>0.112</v>
      </c>
      <c r="E6371" s="8" t="str">
        <f>IFERROR(__xludf.DUMMYFUNCTION("""COMPUTED_VALUE"""),"Real")</f>
        <v>Real</v>
      </c>
      <c r="G6371" s="8">
        <f t="shared" si="1"/>
        <v>7</v>
      </c>
      <c r="H6371" s="14">
        <f t="shared" si="2"/>
        <v>24</v>
      </c>
      <c r="I6371" s="15">
        <f t="shared" si="3"/>
        <v>11</v>
      </c>
    </row>
    <row r="6372">
      <c r="A6372" s="8" t="str">
        <f>IFERROR(__xludf.DUMMYFUNCTION("IF('(INGESTA)Datos_consumo_datadis'!A6372&lt;&gt;"""",SPLIT('(INGESTA)Datos_consumo_datadis'!A:A,"",""),"""")"),"ES0031408323131005HX0F")</f>
        <v>ES0031408323131005HX0F</v>
      </c>
      <c r="B6372" s="12">
        <f>IFERROR(__xludf.DUMMYFUNCTION("""COMPUTED_VALUE"""),45131.0)</f>
        <v>45131</v>
      </c>
      <c r="C6372" s="13">
        <f>IFERROR(__xludf.DUMMYFUNCTION("""COMPUTED_VALUE"""),0.5)</f>
        <v>0.5</v>
      </c>
      <c r="D6372" s="8">
        <f>IFERROR(__xludf.DUMMYFUNCTION("""COMPUTED_VALUE"""),0.111)</f>
        <v>0.111</v>
      </c>
      <c r="E6372" s="8" t="str">
        <f>IFERROR(__xludf.DUMMYFUNCTION("""COMPUTED_VALUE"""),"Real")</f>
        <v>Real</v>
      </c>
      <c r="G6372" s="8">
        <f t="shared" si="1"/>
        <v>7</v>
      </c>
      <c r="H6372" s="14">
        <f t="shared" si="2"/>
        <v>24</v>
      </c>
      <c r="I6372" s="15">
        <f t="shared" si="3"/>
        <v>12</v>
      </c>
    </row>
    <row r="6373">
      <c r="A6373" s="8" t="str">
        <f>IFERROR(__xludf.DUMMYFUNCTION("IF('(INGESTA)Datos_consumo_datadis'!A6373&lt;&gt;"""",SPLIT('(INGESTA)Datos_consumo_datadis'!A:A,"",""),"""")"),"ES0031408323131005HX0F")</f>
        <v>ES0031408323131005HX0F</v>
      </c>
      <c r="B6373" s="12">
        <f>IFERROR(__xludf.DUMMYFUNCTION("""COMPUTED_VALUE"""),45131.0)</f>
        <v>45131</v>
      </c>
      <c r="C6373" s="13">
        <f>IFERROR(__xludf.DUMMYFUNCTION("""COMPUTED_VALUE"""),0.5416666666666666)</f>
        <v>0.5416666667</v>
      </c>
      <c r="D6373" s="8">
        <f>IFERROR(__xludf.DUMMYFUNCTION("""COMPUTED_VALUE"""),0.075)</f>
        <v>0.075</v>
      </c>
      <c r="E6373" s="8" t="str">
        <f>IFERROR(__xludf.DUMMYFUNCTION("""COMPUTED_VALUE"""),"Real")</f>
        <v>Real</v>
      </c>
      <c r="G6373" s="8">
        <f t="shared" si="1"/>
        <v>7</v>
      </c>
      <c r="H6373" s="14">
        <f t="shared" si="2"/>
        <v>24</v>
      </c>
      <c r="I6373" s="15">
        <f t="shared" si="3"/>
        <v>13</v>
      </c>
    </row>
    <row r="6374">
      <c r="A6374" s="8" t="str">
        <f>IFERROR(__xludf.DUMMYFUNCTION("IF('(INGESTA)Datos_consumo_datadis'!A6374&lt;&gt;"""",SPLIT('(INGESTA)Datos_consumo_datadis'!A:A,"",""),"""")"),"ES0031408323131005HX0F")</f>
        <v>ES0031408323131005HX0F</v>
      </c>
      <c r="B6374" s="12">
        <f>IFERROR(__xludf.DUMMYFUNCTION("""COMPUTED_VALUE"""),45131.0)</f>
        <v>45131</v>
      </c>
      <c r="C6374" s="13">
        <f>IFERROR(__xludf.DUMMYFUNCTION("""COMPUTED_VALUE"""),0.5833333333333334)</f>
        <v>0.5833333333</v>
      </c>
      <c r="D6374" s="8">
        <f>IFERROR(__xludf.DUMMYFUNCTION("""COMPUTED_VALUE"""),0.058)</f>
        <v>0.058</v>
      </c>
      <c r="E6374" s="8" t="str">
        <f>IFERROR(__xludf.DUMMYFUNCTION("""COMPUTED_VALUE"""),"Real")</f>
        <v>Real</v>
      </c>
      <c r="G6374" s="8">
        <f t="shared" si="1"/>
        <v>7</v>
      </c>
      <c r="H6374" s="14">
        <f t="shared" si="2"/>
        <v>24</v>
      </c>
      <c r="I6374" s="15">
        <f t="shared" si="3"/>
        <v>14</v>
      </c>
    </row>
    <row r="6375">
      <c r="A6375" s="8" t="str">
        <f>IFERROR(__xludf.DUMMYFUNCTION("IF('(INGESTA)Datos_consumo_datadis'!A6375&lt;&gt;"""",SPLIT('(INGESTA)Datos_consumo_datadis'!A:A,"",""),"""")"),"ES0031408323131005HX0F")</f>
        <v>ES0031408323131005HX0F</v>
      </c>
      <c r="B6375" s="12">
        <f>IFERROR(__xludf.DUMMYFUNCTION("""COMPUTED_VALUE"""),45131.0)</f>
        <v>45131</v>
      </c>
      <c r="C6375" s="13">
        <f>IFERROR(__xludf.DUMMYFUNCTION("""COMPUTED_VALUE"""),0.625)</f>
        <v>0.625</v>
      </c>
      <c r="D6375" s="8">
        <f>IFERROR(__xludf.DUMMYFUNCTION("""COMPUTED_VALUE"""),0.014)</f>
        <v>0.014</v>
      </c>
      <c r="E6375" s="8" t="str">
        <f>IFERROR(__xludf.DUMMYFUNCTION("""COMPUTED_VALUE"""),"Real")</f>
        <v>Real</v>
      </c>
      <c r="G6375" s="8">
        <f t="shared" si="1"/>
        <v>7</v>
      </c>
      <c r="H6375" s="14">
        <f t="shared" si="2"/>
        <v>24</v>
      </c>
      <c r="I6375" s="15">
        <f t="shared" si="3"/>
        <v>15</v>
      </c>
    </row>
    <row r="6376">
      <c r="A6376" s="8" t="str">
        <f>IFERROR(__xludf.DUMMYFUNCTION("IF('(INGESTA)Datos_consumo_datadis'!A6376&lt;&gt;"""",SPLIT('(INGESTA)Datos_consumo_datadis'!A:A,"",""),"""")"),"ES0031408323131005HX0F")</f>
        <v>ES0031408323131005HX0F</v>
      </c>
      <c r="B6376" s="12">
        <f>IFERROR(__xludf.DUMMYFUNCTION("""COMPUTED_VALUE"""),45131.0)</f>
        <v>45131</v>
      </c>
      <c r="C6376" s="13">
        <f>IFERROR(__xludf.DUMMYFUNCTION("""COMPUTED_VALUE"""),0.6666666666666666)</f>
        <v>0.6666666667</v>
      </c>
      <c r="D6376" s="8">
        <f>IFERROR(__xludf.DUMMYFUNCTION("""COMPUTED_VALUE"""),0.112)</f>
        <v>0.112</v>
      </c>
      <c r="E6376" s="8" t="str">
        <f>IFERROR(__xludf.DUMMYFUNCTION("""COMPUTED_VALUE"""),"Real")</f>
        <v>Real</v>
      </c>
      <c r="G6376" s="8">
        <f t="shared" si="1"/>
        <v>7</v>
      </c>
      <c r="H6376" s="14">
        <f t="shared" si="2"/>
        <v>24</v>
      </c>
      <c r="I6376" s="15">
        <f t="shared" si="3"/>
        <v>16</v>
      </c>
    </row>
    <row r="6377">
      <c r="A6377" s="8" t="str">
        <f>IFERROR(__xludf.DUMMYFUNCTION("IF('(INGESTA)Datos_consumo_datadis'!A6377&lt;&gt;"""",SPLIT('(INGESTA)Datos_consumo_datadis'!A:A,"",""),"""")"),"ES0031408323131005HX0F")</f>
        <v>ES0031408323131005HX0F</v>
      </c>
      <c r="B6377" s="12">
        <f>IFERROR(__xludf.DUMMYFUNCTION("""COMPUTED_VALUE"""),45131.0)</f>
        <v>45131</v>
      </c>
      <c r="C6377" s="13">
        <f>IFERROR(__xludf.DUMMYFUNCTION("""COMPUTED_VALUE"""),0.7083333333333334)</f>
        <v>0.7083333333</v>
      </c>
      <c r="D6377" s="8">
        <f>IFERROR(__xludf.DUMMYFUNCTION("""COMPUTED_VALUE"""),0.114)</f>
        <v>0.114</v>
      </c>
      <c r="E6377" s="8" t="str">
        <f>IFERROR(__xludf.DUMMYFUNCTION("""COMPUTED_VALUE"""),"Real")</f>
        <v>Real</v>
      </c>
      <c r="G6377" s="8">
        <f t="shared" si="1"/>
        <v>7</v>
      </c>
      <c r="H6377" s="14">
        <f t="shared" si="2"/>
        <v>24</v>
      </c>
      <c r="I6377" s="15">
        <f t="shared" si="3"/>
        <v>17</v>
      </c>
    </row>
    <row r="6378">
      <c r="A6378" s="8" t="str">
        <f>IFERROR(__xludf.DUMMYFUNCTION("IF('(INGESTA)Datos_consumo_datadis'!A6378&lt;&gt;"""",SPLIT('(INGESTA)Datos_consumo_datadis'!A:A,"",""),"""")"),"ES0031408323131005HX0F")</f>
        <v>ES0031408323131005HX0F</v>
      </c>
      <c r="B6378" s="12">
        <f>IFERROR(__xludf.DUMMYFUNCTION("""COMPUTED_VALUE"""),45131.0)</f>
        <v>45131</v>
      </c>
      <c r="C6378" s="13">
        <f>IFERROR(__xludf.DUMMYFUNCTION("""COMPUTED_VALUE"""),0.75)</f>
        <v>0.75</v>
      </c>
      <c r="D6378" s="8">
        <f>IFERROR(__xludf.DUMMYFUNCTION("""COMPUTED_VALUE"""),0.34)</f>
        <v>0.34</v>
      </c>
      <c r="E6378" s="8" t="str">
        <f>IFERROR(__xludf.DUMMYFUNCTION("""COMPUTED_VALUE"""),"Real")</f>
        <v>Real</v>
      </c>
      <c r="G6378" s="8">
        <f t="shared" si="1"/>
        <v>7</v>
      </c>
      <c r="H6378" s="14">
        <f t="shared" si="2"/>
        <v>24</v>
      </c>
      <c r="I6378" s="15">
        <f t="shared" si="3"/>
        <v>18</v>
      </c>
    </row>
    <row r="6379">
      <c r="A6379" s="8" t="str">
        <f>IFERROR(__xludf.DUMMYFUNCTION("IF('(INGESTA)Datos_consumo_datadis'!A6379&lt;&gt;"""",SPLIT('(INGESTA)Datos_consumo_datadis'!A:A,"",""),"""")"),"ES0031408323131005HX0F")</f>
        <v>ES0031408323131005HX0F</v>
      </c>
      <c r="B6379" s="12">
        <f>IFERROR(__xludf.DUMMYFUNCTION("""COMPUTED_VALUE"""),45131.0)</f>
        <v>45131</v>
      </c>
      <c r="C6379" s="13">
        <f>IFERROR(__xludf.DUMMYFUNCTION("""COMPUTED_VALUE"""),0.7916666666666666)</f>
        <v>0.7916666667</v>
      </c>
      <c r="D6379" s="8">
        <f>IFERROR(__xludf.DUMMYFUNCTION("""COMPUTED_VALUE"""),0.062)</f>
        <v>0.062</v>
      </c>
      <c r="E6379" s="8" t="str">
        <f>IFERROR(__xludf.DUMMYFUNCTION("""COMPUTED_VALUE"""),"Real")</f>
        <v>Real</v>
      </c>
      <c r="G6379" s="8">
        <f t="shared" si="1"/>
        <v>7</v>
      </c>
      <c r="H6379" s="14">
        <f t="shared" si="2"/>
        <v>24</v>
      </c>
      <c r="I6379" s="15">
        <f t="shared" si="3"/>
        <v>19</v>
      </c>
    </row>
    <row r="6380">
      <c r="A6380" s="8" t="str">
        <f>IFERROR(__xludf.DUMMYFUNCTION("IF('(INGESTA)Datos_consumo_datadis'!A6380&lt;&gt;"""",SPLIT('(INGESTA)Datos_consumo_datadis'!A:A,"",""),"""")"),"ES0031408323131005HX0F")</f>
        <v>ES0031408323131005HX0F</v>
      </c>
      <c r="B6380" s="12">
        <f>IFERROR(__xludf.DUMMYFUNCTION("""COMPUTED_VALUE"""),45131.0)</f>
        <v>45131</v>
      </c>
      <c r="C6380" s="13">
        <f>IFERROR(__xludf.DUMMYFUNCTION("""COMPUTED_VALUE"""),0.8333333333333334)</f>
        <v>0.8333333333</v>
      </c>
      <c r="D6380" s="8">
        <f>IFERROR(__xludf.DUMMYFUNCTION("""COMPUTED_VALUE"""),0.014)</f>
        <v>0.014</v>
      </c>
      <c r="E6380" s="8" t="str">
        <f>IFERROR(__xludf.DUMMYFUNCTION("""COMPUTED_VALUE"""),"Real")</f>
        <v>Real</v>
      </c>
      <c r="G6380" s="8">
        <f t="shared" si="1"/>
        <v>7</v>
      </c>
      <c r="H6380" s="14">
        <f t="shared" si="2"/>
        <v>24</v>
      </c>
      <c r="I6380" s="15">
        <f t="shared" si="3"/>
        <v>20</v>
      </c>
    </row>
    <row r="6381">
      <c r="A6381" s="8" t="str">
        <f>IFERROR(__xludf.DUMMYFUNCTION("IF('(INGESTA)Datos_consumo_datadis'!A6381&lt;&gt;"""",SPLIT('(INGESTA)Datos_consumo_datadis'!A:A,"",""),"""")"),"ES0031408323131005HX0F")</f>
        <v>ES0031408323131005HX0F</v>
      </c>
      <c r="B6381" s="12">
        <f>IFERROR(__xludf.DUMMYFUNCTION("""COMPUTED_VALUE"""),45131.0)</f>
        <v>45131</v>
      </c>
      <c r="C6381" s="13">
        <f>IFERROR(__xludf.DUMMYFUNCTION("""COMPUTED_VALUE"""),0.875)</f>
        <v>0.875</v>
      </c>
      <c r="D6381" s="8">
        <f>IFERROR(__xludf.DUMMYFUNCTION("""COMPUTED_VALUE"""),0.112)</f>
        <v>0.112</v>
      </c>
      <c r="E6381" s="8" t="str">
        <f>IFERROR(__xludf.DUMMYFUNCTION("""COMPUTED_VALUE"""),"Real")</f>
        <v>Real</v>
      </c>
      <c r="G6381" s="8">
        <f t="shared" si="1"/>
        <v>7</v>
      </c>
      <c r="H6381" s="14">
        <f t="shared" si="2"/>
        <v>24</v>
      </c>
      <c r="I6381" s="15">
        <f t="shared" si="3"/>
        <v>21</v>
      </c>
    </row>
    <row r="6382">
      <c r="A6382" s="8" t="str">
        <f>IFERROR(__xludf.DUMMYFUNCTION("IF('(INGESTA)Datos_consumo_datadis'!A6382&lt;&gt;"""",SPLIT('(INGESTA)Datos_consumo_datadis'!A:A,"",""),"""")"),"ES0031408323131005HX0F")</f>
        <v>ES0031408323131005HX0F</v>
      </c>
      <c r="B6382" s="12">
        <f>IFERROR(__xludf.DUMMYFUNCTION("""COMPUTED_VALUE"""),45131.0)</f>
        <v>45131</v>
      </c>
      <c r="C6382" s="13">
        <f>IFERROR(__xludf.DUMMYFUNCTION("""COMPUTED_VALUE"""),0.9166666666666666)</f>
        <v>0.9166666667</v>
      </c>
      <c r="D6382" s="8">
        <f>IFERROR(__xludf.DUMMYFUNCTION("""COMPUTED_VALUE"""),0.116)</f>
        <v>0.116</v>
      </c>
      <c r="E6382" s="8" t="str">
        <f>IFERROR(__xludf.DUMMYFUNCTION("""COMPUTED_VALUE"""),"Real")</f>
        <v>Real</v>
      </c>
      <c r="G6382" s="8">
        <f t="shared" si="1"/>
        <v>7</v>
      </c>
      <c r="H6382" s="14">
        <f t="shared" si="2"/>
        <v>24</v>
      </c>
      <c r="I6382" s="15">
        <f t="shared" si="3"/>
        <v>22</v>
      </c>
    </row>
    <row r="6383">
      <c r="A6383" s="8" t="str">
        <f>IFERROR(__xludf.DUMMYFUNCTION("IF('(INGESTA)Datos_consumo_datadis'!A6383&lt;&gt;"""",SPLIT('(INGESTA)Datos_consumo_datadis'!A:A,"",""),"""")"),"ES0031408323131005HX0F")</f>
        <v>ES0031408323131005HX0F</v>
      </c>
      <c r="B6383" s="12">
        <f>IFERROR(__xludf.DUMMYFUNCTION("""COMPUTED_VALUE"""),45131.0)</f>
        <v>45131</v>
      </c>
      <c r="C6383" s="13">
        <f>IFERROR(__xludf.DUMMYFUNCTION("""COMPUTED_VALUE"""),0.9583333333333334)</f>
        <v>0.9583333333</v>
      </c>
      <c r="D6383" s="8">
        <f>IFERROR(__xludf.DUMMYFUNCTION("""COMPUTED_VALUE"""),0.071)</f>
        <v>0.071</v>
      </c>
      <c r="E6383" s="8" t="str">
        <f>IFERROR(__xludf.DUMMYFUNCTION("""COMPUTED_VALUE"""),"Real")</f>
        <v>Real</v>
      </c>
      <c r="G6383" s="8">
        <f t="shared" si="1"/>
        <v>7</v>
      </c>
      <c r="H6383" s="14">
        <f t="shared" si="2"/>
        <v>24</v>
      </c>
      <c r="I6383" s="15">
        <f t="shared" si="3"/>
        <v>23</v>
      </c>
    </row>
    <row r="6384">
      <c r="A6384" s="8" t="str">
        <f>IFERROR(__xludf.DUMMYFUNCTION("IF('(INGESTA)Datos_consumo_datadis'!A6384&lt;&gt;"""",SPLIT('(INGESTA)Datos_consumo_datadis'!A:A,"",""),"""")"),"ES0031408323131005HX0F")</f>
        <v>ES0031408323131005HX0F</v>
      </c>
      <c r="B6384" s="12">
        <f>IFERROR(__xludf.DUMMYFUNCTION("""COMPUTED_VALUE"""),45131.0)</f>
        <v>45131</v>
      </c>
      <c r="C6384" s="16">
        <f>IFERROR(__xludf.DUMMYFUNCTION("""COMPUTED_VALUE"""),1.0)</f>
        <v>1</v>
      </c>
      <c r="D6384" s="8">
        <f>IFERROR(__xludf.DUMMYFUNCTION("""COMPUTED_VALUE"""),0.064)</f>
        <v>0.064</v>
      </c>
      <c r="E6384" s="8" t="str">
        <f>IFERROR(__xludf.DUMMYFUNCTION("""COMPUTED_VALUE"""),"Real")</f>
        <v>Real</v>
      </c>
      <c r="G6384" s="8">
        <f t="shared" si="1"/>
        <v>7</v>
      </c>
      <c r="H6384" s="14">
        <f t="shared" si="2"/>
        <v>24</v>
      </c>
      <c r="I6384" s="15">
        <f t="shared" si="3"/>
        <v>0</v>
      </c>
    </row>
    <row r="6385">
      <c r="A6385" s="8" t="str">
        <f>IFERROR(__xludf.DUMMYFUNCTION("IF('(INGESTA)Datos_consumo_datadis'!A6385&lt;&gt;"""",SPLIT('(INGESTA)Datos_consumo_datadis'!A:A,"",""),"""")"),"ES0031408323131005HX0F")</f>
        <v>ES0031408323131005HX0F</v>
      </c>
      <c r="B6385" s="12">
        <f>IFERROR(__xludf.DUMMYFUNCTION("""COMPUTED_VALUE"""),45132.0)</f>
        <v>45132</v>
      </c>
      <c r="C6385" s="13">
        <f>IFERROR(__xludf.DUMMYFUNCTION("""COMPUTED_VALUE"""),0.041666666666666664)</f>
        <v>0.04166666667</v>
      </c>
      <c r="D6385" s="8">
        <f>IFERROR(__xludf.DUMMYFUNCTION("""COMPUTED_VALUE"""),0.014)</f>
        <v>0.014</v>
      </c>
      <c r="E6385" s="8" t="str">
        <f>IFERROR(__xludf.DUMMYFUNCTION("""COMPUTED_VALUE"""),"Real")</f>
        <v>Real</v>
      </c>
      <c r="G6385" s="8">
        <f t="shared" si="1"/>
        <v>7</v>
      </c>
      <c r="H6385" s="14">
        <f t="shared" si="2"/>
        <v>25</v>
      </c>
      <c r="I6385" s="15">
        <f t="shared" si="3"/>
        <v>1</v>
      </c>
    </row>
    <row r="6386">
      <c r="A6386" s="8" t="str">
        <f>IFERROR(__xludf.DUMMYFUNCTION("IF('(INGESTA)Datos_consumo_datadis'!A6386&lt;&gt;"""",SPLIT('(INGESTA)Datos_consumo_datadis'!A:A,"",""),"""")"),"ES0031408323131005HX0F")</f>
        <v>ES0031408323131005HX0F</v>
      </c>
      <c r="B6386" s="12">
        <f>IFERROR(__xludf.DUMMYFUNCTION("""COMPUTED_VALUE"""),45132.0)</f>
        <v>45132</v>
      </c>
      <c r="C6386" s="13">
        <f>IFERROR(__xludf.DUMMYFUNCTION("""COMPUTED_VALUE"""),0.08333333333333333)</f>
        <v>0.08333333333</v>
      </c>
      <c r="D6386" s="8">
        <f>IFERROR(__xludf.DUMMYFUNCTION("""COMPUTED_VALUE"""),0.295)</f>
        <v>0.295</v>
      </c>
      <c r="E6386" s="8" t="str">
        <f>IFERROR(__xludf.DUMMYFUNCTION("""COMPUTED_VALUE"""),"Real")</f>
        <v>Real</v>
      </c>
      <c r="G6386" s="8">
        <f t="shared" si="1"/>
        <v>7</v>
      </c>
      <c r="H6386" s="14">
        <f t="shared" si="2"/>
        <v>25</v>
      </c>
      <c r="I6386" s="15">
        <f t="shared" si="3"/>
        <v>2</v>
      </c>
    </row>
    <row r="6387">
      <c r="A6387" s="8" t="str">
        <f>IFERROR(__xludf.DUMMYFUNCTION("IF('(INGESTA)Datos_consumo_datadis'!A6387&lt;&gt;"""",SPLIT('(INGESTA)Datos_consumo_datadis'!A:A,"",""),"""")"),"ES0031408323131005HX0F")</f>
        <v>ES0031408323131005HX0F</v>
      </c>
      <c r="B6387" s="12">
        <f>IFERROR(__xludf.DUMMYFUNCTION("""COMPUTED_VALUE"""),45132.0)</f>
        <v>45132</v>
      </c>
      <c r="C6387" s="13">
        <f>IFERROR(__xludf.DUMMYFUNCTION("""COMPUTED_VALUE"""),0.125)</f>
        <v>0.125</v>
      </c>
      <c r="D6387" s="8">
        <f>IFERROR(__xludf.DUMMYFUNCTION("""COMPUTED_VALUE"""),0.221)</f>
        <v>0.221</v>
      </c>
      <c r="E6387" s="8" t="str">
        <f>IFERROR(__xludf.DUMMYFUNCTION("""COMPUTED_VALUE"""),"Real")</f>
        <v>Real</v>
      </c>
      <c r="G6387" s="8">
        <f t="shared" si="1"/>
        <v>7</v>
      </c>
      <c r="H6387" s="14">
        <f t="shared" si="2"/>
        <v>25</v>
      </c>
      <c r="I6387" s="15">
        <f t="shared" si="3"/>
        <v>3</v>
      </c>
    </row>
    <row r="6388">
      <c r="A6388" s="8" t="str">
        <f>IFERROR(__xludf.DUMMYFUNCTION("IF('(INGESTA)Datos_consumo_datadis'!A6388&lt;&gt;"""",SPLIT('(INGESTA)Datos_consumo_datadis'!A:A,"",""),"""")"),"ES0031408323131005HX0F")</f>
        <v>ES0031408323131005HX0F</v>
      </c>
      <c r="B6388" s="12">
        <f>IFERROR(__xludf.DUMMYFUNCTION("""COMPUTED_VALUE"""),45132.0)</f>
        <v>45132</v>
      </c>
      <c r="C6388" s="13">
        <f>IFERROR(__xludf.DUMMYFUNCTION("""COMPUTED_VALUE"""),0.16666666666666666)</f>
        <v>0.1666666667</v>
      </c>
      <c r="D6388" s="8">
        <f>IFERROR(__xludf.DUMMYFUNCTION("""COMPUTED_VALUE"""),0.082)</f>
        <v>0.082</v>
      </c>
      <c r="E6388" s="8" t="str">
        <f>IFERROR(__xludf.DUMMYFUNCTION("""COMPUTED_VALUE"""),"Real")</f>
        <v>Real</v>
      </c>
      <c r="G6388" s="8">
        <f t="shared" si="1"/>
        <v>7</v>
      </c>
      <c r="H6388" s="14">
        <f t="shared" si="2"/>
        <v>25</v>
      </c>
      <c r="I6388" s="15">
        <f t="shared" si="3"/>
        <v>4</v>
      </c>
    </row>
    <row r="6389">
      <c r="A6389" s="8" t="str">
        <f>IFERROR(__xludf.DUMMYFUNCTION("IF('(INGESTA)Datos_consumo_datadis'!A6389&lt;&gt;"""",SPLIT('(INGESTA)Datos_consumo_datadis'!A:A,"",""),"""")"),"ES0031408323131005HX0F")</f>
        <v>ES0031408323131005HX0F</v>
      </c>
      <c r="B6389" s="12">
        <f>IFERROR(__xludf.DUMMYFUNCTION("""COMPUTED_VALUE"""),45132.0)</f>
        <v>45132</v>
      </c>
      <c r="C6389" s="13">
        <f>IFERROR(__xludf.DUMMYFUNCTION("""COMPUTED_VALUE"""),0.20833333333333334)</f>
        <v>0.2083333333</v>
      </c>
      <c r="D6389" s="8">
        <f>IFERROR(__xludf.DUMMYFUNCTION("""COMPUTED_VALUE"""),0.065)</f>
        <v>0.065</v>
      </c>
      <c r="E6389" s="8" t="str">
        <f>IFERROR(__xludf.DUMMYFUNCTION("""COMPUTED_VALUE"""),"Real")</f>
        <v>Real</v>
      </c>
      <c r="G6389" s="8">
        <f t="shared" si="1"/>
        <v>7</v>
      </c>
      <c r="H6389" s="14">
        <f t="shared" si="2"/>
        <v>25</v>
      </c>
      <c r="I6389" s="15">
        <f t="shared" si="3"/>
        <v>5</v>
      </c>
    </row>
    <row r="6390">
      <c r="A6390" s="8" t="str">
        <f>IFERROR(__xludf.DUMMYFUNCTION("IF('(INGESTA)Datos_consumo_datadis'!A6390&lt;&gt;"""",SPLIT('(INGESTA)Datos_consumo_datadis'!A:A,"",""),"""")"),"ES0031408323131005HX0F")</f>
        <v>ES0031408323131005HX0F</v>
      </c>
      <c r="B6390" s="12">
        <f>IFERROR(__xludf.DUMMYFUNCTION("""COMPUTED_VALUE"""),45132.0)</f>
        <v>45132</v>
      </c>
      <c r="C6390" s="13">
        <f>IFERROR(__xludf.DUMMYFUNCTION("""COMPUTED_VALUE"""),0.25)</f>
        <v>0.25</v>
      </c>
      <c r="D6390" s="8">
        <f>IFERROR(__xludf.DUMMYFUNCTION("""COMPUTED_VALUE"""),0.014)</f>
        <v>0.014</v>
      </c>
      <c r="E6390" s="8" t="str">
        <f>IFERROR(__xludf.DUMMYFUNCTION("""COMPUTED_VALUE"""),"Real")</f>
        <v>Real</v>
      </c>
      <c r="G6390" s="8">
        <f t="shared" si="1"/>
        <v>7</v>
      </c>
      <c r="H6390" s="14">
        <f t="shared" si="2"/>
        <v>25</v>
      </c>
      <c r="I6390" s="15">
        <f t="shared" si="3"/>
        <v>6</v>
      </c>
    </row>
    <row r="6391">
      <c r="A6391" s="8" t="str">
        <f>IFERROR(__xludf.DUMMYFUNCTION("IF('(INGESTA)Datos_consumo_datadis'!A6391&lt;&gt;"""",SPLIT('(INGESTA)Datos_consumo_datadis'!A:A,"",""),"""")"),"ES0031408323131005HX0F")</f>
        <v>ES0031408323131005HX0F</v>
      </c>
      <c r="B6391" s="12">
        <f>IFERROR(__xludf.DUMMYFUNCTION("""COMPUTED_VALUE"""),45132.0)</f>
        <v>45132</v>
      </c>
      <c r="C6391" s="13">
        <f>IFERROR(__xludf.DUMMYFUNCTION("""COMPUTED_VALUE"""),0.2916666666666667)</f>
        <v>0.2916666667</v>
      </c>
      <c r="D6391" s="8">
        <f>IFERROR(__xludf.DUMMYFUNCTION("""COMPUTED_VALUE"""),0.104)</f>
        <v>0.104</v>
      </c>
      <c r="E6391" s="8" t="str">
        <f>IFERROR(__xludf.DUMMYFUNCTION("""COMPUTED_VALUE"""),"Real")</f>
        <v>Real</v>
      </c>
      <c r="G6391" s="8">
        <f t="shared" si="1"/>
        <v>7</v>
      </c>
      <c r="H6391" s="14">
        <f t="shared" si="2"/>
        <v>25</v>
      </c>
      <c r="I6391" s="15">
        <f t="shared" si="3"/>
        <v>7</v>
      </c>
    </row>
    <row r="6392">
      <c r="A6392" s="8" t="str">
        <f>IFERROR(__xludf.DUMMYFUNCTION("IF('(INGESTA)Datos_consumo_datadis'!A6392&lt;&gt;"""",SPLIT('(INGESTA)Datos_consumo_datadis'!A:A,"",""),"""")"),"ES0031408323131005HX0F")</f>
        <v>ES0031408323131005HX0F</v>
      </c>
      <c r="B6392" s="12">
        <f>IFERROR(__xludf.DUMMYFUNCTION("""COMPUTED_VALUE"""),45132.0)</f>
        <v>45132</v>
      </c>
      <c r="C6392" s="13">
        <f>IFERROR(__xludf.DUMMYFUNCTION("""COMPUTED_VALUE"""),0.3333333333333333)</f>
        <v>0.3333333333</v>
      </c>
      <c r="D6392" s="8">
        <f>IFERROR(__xludf.DUMMYFUNCTION("""COMPUTED_VALUE"""),0.118)</f>
        <v>0.118</v>
      </c>
      <c r="E6392" s="8" t="str">
        <f>IFERROR(__xludf.DUMMYFUNCTION("""COMPUTED_VALUE"""),"Real")</f>
        <v>Real</v>
      </c>
      <c r="G6392" s="8">
        <f t="shared" si="1"/>
        <v>7</v>
      </c>
      <c r="H6392" s="14">
        <f t="shared" si="2"/>
        <v>25</v>
      </c>
      <c r="I6392" s="15">
        <f t="shared" si="3"/>
        <v>8</v>
      </c>
    </row>
    <row r="6393">
      <c r="A6393" s="8" t="str">
        <f>IFERROR(__xludf.DUMMYFUNCTION("IF('(INGESTA)Datos_consumo_datadis'!A6393&lt;&gt;"""",SPLIT('(INGESTA)Datos_consumo_datadis'!A:A,"",""),"""")"),"ES0031408323131005HX0F")</f>
        <v>ES0031408323131005HX0F</v>
      </c>
      <c r="B6393" s="12">
        <f>IFERROR(__xludf.DUMMYFUNCTION("""COMPUTED_VALUE"""),45132.0)</f>
        <v>45132</v>
      </c>
      <c r="C6393" s="13">
        <f>IFERROR(__xludf.DUMMYFUNCTION("""COMPUTED_VALUE"""),0.375)</f>
        <v>0.375</v>
      </c>
      <c r="D6393" s="8">
        <f>IFERROR(__xludf.DUMMYFUNCTION("""COMPUTED_VALUE"""),0.07)</f>
        <v>0.07</v>
      </c>
      <c r="E6393" s="8" t="str">
        <f>IFERROR(__xludf.DUMMYFUNCTION("""COMPUTED_VALUE"""),"Real")</f>
        <v>Real</v>
      </c>
      <c r="G6393" s="8">
        <f t="shared" si="1"/>
        <v>7</v>
      </c>
      <c r="H6393" s="14">
        <f t="shared" si="2"/>
        <v>25</v>
      </c>
      <c r="I6393" s="15">
        <f t="shared" si="3"/>
        <v>9</v>
      </c>
    </row>
    <row r="6394">
      <c r="A6394" s="8" t="str">
        <f>IFERROR(__xludf.DUMMYFUNCTION("IF('(INGESTA)Datos_consumo_datadis'!A6394&lt;&gt;"""",SPLIT('(INGESTA)Datos_consumo_datadis'!A:A,"",""),"""")"),"ES0031408323131005HX0F")</f>
        <v>ES0031408323131005HX0F</v>
      </c>
      <c r="B6394" s="12">
        <f>IFERROR(__xludf.DUMMYFUNCTION("""COMPUTED_VALUE"""),45132.0)</f>
        <v>45132</v>
      </c>
      <c r="C6394" s="13">
        <f>IFERROR(__xludf.DUMMYFUNCTION("""COMPUTED_VALUE"""),0.4166666666666667)</f>
        <v>0.4166666667</v>
      </c>
      <c r="D6394" s="8">
        <f>IFERROR(__xludf.DUMMYFUNCTION("""COMPUTED_VALUE"""),0.06)</f>
        <v>0.06</v>
      </c>
      <c r="E6394" s="8" t="str">
        <f>IFERROR(__xludf.DUMMYFUNCTION("""COMPUTED_VALUE"""),"Real")</f>
        <v>Real</v>
      </c>
      <c r="G6394" s="8">
        <f t="shared" si="1"/>
        <v>7</v>
      </c>
      <c r="H6394" s="14">
        <f t="shared" si="2"/>
        <v>25</v>
      </c>
      <c r="I6394" s="15">
        <f t="shared" si="3"/>
        <v>10</v>
      </c>
    </row>
    <row r="6395">
      <c r="A6395" s="8" t="str">
        <f>IFERROR(__xludf.DUMMYFUNCTION("IF('(INGESTA)Datos_consumo_datadis'!A6395&lt;&gt;"""",SPLIT('(INGESTA)Datos_consumo_datadis'!A:A,"",""),"""")"),"ES0031408323131005HX0F")</f>
        <v>ES0031408323131005HX0F</v>
      </c>
      <c r="B6395" s="12">
        <f>IFERROR(__xludf.DUMMYFUNCTION("""COMPUTED_VALUE"""),45132.0)</f>
        <v>45132</v>
      </c>
      <c r="C6395" s="13">
        <f>IFERROR(__xludf.DUMMYFUNCTION("""COMPUTED_VALUE"""),0.4583333333333333)</f>
        <v>0.4583333333</v>
      </c>
      <c r="D6395" s="8">
        <f>IFERROR(__xludf.DUMMYFUNCTION("""COMPUTED_VALUE"""),0.283)</f>
        <v>0.283</v>
      </c>
      <c r="E6395" s="8" t="str">
        <f>IFERROR(__xludf.DUMMYFUNCTION("""COMPUTED_VALUE"""),"Real")</f>
        <v>Real</v>
      </c>
      <c r="G6395" s="8">
        <f t="shared" si="1"/>
        <v>7</v>
      </c>
      <c r="H6395" s="14">
        <f t="shared" si="2"/>
        <v>25</v>
      </c>
      <c r="I6395" s="15">
        <f t="shared" si="3"/>
        <v>11</v>
      </c>
    </row>
    <row r="6396">
      <c r="A6396" s="8" t="str">
        <f>IFERROR(__xludf.DUMMYFUNCTION("IF('(INGESTA)Datos_consumo_datadis'!A6396&lt;&gt;"""",SPLIT('(INGESTA)Datos_consumo_datadis'!A:A,"",""),"""")"),"ES0031408323131005HX0F")</f>
        <v>ES0031408323131005HX0F</v>
      </c>
      <c r="B6396" s="12">
        <f>IFERROR(__xludf.DUMMYFUNCTION("""COMPUTED_VALUE"""),45132.0)</f>
        <v>45132</v>
      </c>
      <c r="C6396" s="13">
        <f>IFERROR(__xludf.DUMMYFUNCTION("""COMPUTED_VALUE"""),0.5)</f>
        <v>0.5</v>
      </c>
      <c r="D6396" s="8">
        <f>IFERROR(__xludf.DUMMYFUNCTION("""COMPUTED_VALUE"""),0.11)</f>
        <v>0.11</v>
      </c>
      <c r="E6396" s="8" t="str">
        <f>IFERROR(__xludf.DUMMYFUNCTION("""COMPUTED_VALUE"""),"Real")</f>
        <v>Real</v>
      </c>
      <c r="G6396" s="8">
        <f t="shared" si="1"/>
        <v>7</v>
      </c>
      <c r="H6396" s="14">
        <f t="shared" si="2"/>
        <v>25</v>
      </c>
      <c r="I6396" s="15">
        <f t="shared" si="3"/>
        <v>12</v>
      </c>
    </row>
    <row r="6397">
      <c r="A6397" s="8" t="str">
        <f>IFERROR(__xludf.DUMMYFUNCTION("IF('(INGESTA)Datos_consumo_datadis'!A6397&lt;&gt;"""",SPLIT('(INGESTA)Datos_consumo_datadis'!A:A,"",""),"""")"),"ES0031408323131005HX0F")</f>
        <v>ES0031408323131005HX0F</v>
      </c>
      <c r="B6397" s="12">
        <f>IFERROR(__xludf.DUMMYFUNCTION("""COMPUTED_VALUE"""),45132.0)</f>
        <v>45132</v>
      </c>
      <c r="C6397" s="13">
        <f>IFERROR(__xludf.DUMMYFUNCTION("""COMPUTED_VALUE"""),0.5416666666666666)</f>
        <v>0.5416666667</v>
      </c>
      <c r="D6397" s="8">
        <f>IFERROR(__xludf.DUMMYFUNCTION("""COMPUTED_VALUE"""),0.105)</f>
        <v>0.105</v>
      </c>
      <c r="E6397" s="8" t="str">
        <f>IFERROR(__xludf.DUMMYFUNCTION("""COMPUTED_VALUE"""),"Real")</f>
        <v>Real</v>
      </c>
      <c r="G6397" s="8">
        <f t="shared" si="1"/>
        <v>7</v>
      </c>
      <c r="H6397" s="14">
        <f t="shared" si="2"/>
        <v>25</v>
      </c>
      <c r="I6397" s="15">
        <f t="shared" si="3"/>
        <v>13</v>
      </c>
    </row>
    <row r="6398">
      <c r="A6398" s="8" t="str">
        <f>IFERROR(__xludf.DUMMYFUNCTION("IF('(INGESTA)Datos_consumo_datadis'!A6398&lt;&gt;"""",SPLIT('(INGESTA)Datos_consumo_datadis'!A:A,"",""),"""")"),"ES0031408323131005HX0F")</f>
        <v>ES0031408323131005HX0F</v>
      </c>
      <c r="B6398" s="12">
        <f>IFERROR(__xludf.DUMMYFUNCTION("""COMPUTED_VALUE"""),45132.0)</f>
        <v>45132</v>
      </c>
      <c r="C6398" s="13">
        <f>IFERROR(__xludf.DUMMYFUNCTION("""COMPUTED_VALUE"""),0.5833333333333334)</f>
        <v>0.5833333333</v>
      </c>
      <c r="D6398" s="8">
        <f>IFERROR(__xludf.DUMMYFUNCTION("""COMPUTED_VALUE"""),0.081)</f>
        <v>0.081</v>
      </c>
      <c r="E6398" s="8" t="str">
        <f>IFERROR(__xludf.DUMMYFUNCTION("""COMPUTED_VALUE"""),"Real")</f>
        <v>Real</v>
      </c>
      <c r="G6398" s="8">
        <f t="shared" si="1"/>
        <v>7</v>
      </c>
      <c r="H6398" s="14">
        <f t="shared" si="2"/>
        <v>25</v>
      </c>
      <c r="I6398" s="15">
        <f t="shared" si="3"/>
        <v>14</v>
      </c>
    </row>
    <row r="6399">
      <c r="A6399" s="8" t="str">
        <f>IFERROR(__xludf.DUMMYFUNCTION("IF('(INGESTA)Datos_consumo_datadis'!A6399&lt;&gt;"""",SPLIT('(INGESTA)Datos_consumo_datadis'!A:A,"",""),"""")"),"ES0031408323131005HX0F")</f>
        <v>ES0031408323131005HX0F</v>
      </c>
      <c r="B6399" s="12">
        <f>IFERROR(__xludf.DUMMYFUNCTION("""COMPUTED_VALUE"""),45132.0)</f>
        <v>45132</v>
      </c>
      <c r="C6399" s="13">
        <f>IFERROR(__xludf.DUMMYFUNCTION("""COMPUTED_VALUE"""),0.625)</f>
        <v>0.625</v>
      </c>
      <c r="D6399" s="8">
        <f>IFERROR(__xludf.DUMMYFUNCTION("""COMPUTED_VALUE"""),0.049)</f>
        <v>0.049</v>
      </c>
      <c r="E6399" s="8" t="str">
        <f>IFERROR(__xludf.DUMMYFUNCTION("""COMPUTED_VALUE"""),"Real")</f>
        <v>Real</v>
      </c>
      <c r="G6399" s="8">
        <f t="shared" si="1"/>
        <v>7</v>
      </c>
      <c r="H6399" s="14">
        <f t="shared" si="2"/>
        <v>25</v>
      </c>
      <c r="I6399" s="15">
        <f t="shared" si="3"/>
        <v>15</v>
      </c>
    </row>
    <row r="6400">
      <c r="A6400" s="8" t="str">
        <f>IFERROR(__xludf.DUMMYFUNCTION("IF('(INGESTA)Datos_consumo_datadis'!A6400&lt;&gt;"""",SPLIT('(INGESTA)Datos_consumo_datadis'!A:A,"",""),"""")"),"ES0031408323131005HX0F")</f>
        <v>ES0031408323131005HX0F</v>
      </c>
      <c r="B6400" s="12">
        <f>IFERROR(__xludf.DUMMYFUNCTION("""COMPUTED_VALUE"""),45132.0)</f>
        <v>45132</v>
      </c>
      <c r="C6400" s="13">
        <f>IFERROR(__xludf.DUMMYFUNCTION("""COMPUTED_VALUE"""),0.6666666666666666)</f>
        <v>0.6666666667</v>
      </c>
      <c r="D6400" s="8">
        <f>IFERROR(__xludf.DUMMYFUNCTION("""COMPUTED_VALUE"""),0.014)</f>
        <v>0.014</v>
      </c>
      <c r="E6400" s="8" t="str">
        <f>IFERROR(__xludf.DUMMYFUNCTION("""COMPUTED_VALUE"""),"Real")</f>
        <v>Real</v>
      </c>
      <c r="G6400" s="8">
        <f t="shared" si="1"/>
        <v>7</v>
      </c>
      <c r="H6400" s="14">
        <f t="shared" si="2"/>
        <v>25</v>
      </c>
      <c r="I6400" s="15">
        <f t="shared" si="3"/>
        <v>16</v>
      </c>
    </row>
    <row r="6401">
      <c r="A6401" s="8" t="str">
        <f>IFERROR(__xludf.DUMMYFUNCTION("IF('(INGESTA)Datos_consumo_datadis'!A6401&lt;&gt;"""",SPLIT('(INGESTA)Datos_consumo_datadis'!A:A,"",""),"""")"),"ES0031408323131005HX0F")</f>
        <v>ES0031408323131005HX0F</v>
      </c>
      <c r="B6401" s="12">
        <f>IFERROR(__xludf.DUMMYFUNCTION("""COMPUTED_VALUE"""),45132.0)</f>
        <v>45132</v>
      </c>
      <c r="C6401" s="13">
        <f>IFERROR(__xludf.DUMMYFUNCTION("""COMPUTED_VALUE"""),0.7083333333333334)</f>
        <v>0.7083333333</v>
      </c>
      <c r="D6401" s="8">
        <f>IFERROR(__xludf.DUMMYFUNCTION("""COMPUTED_VALUE"""),0.121)</f>
        <v>0.121</v>
      </c>
      <c r="E6401" s="8" t="str">
        <f>IFERROR(__xludf.DUMMYFUNCTION("""COMPUTED_VALUE"""),"Real")</f>
        <v>Real</v>
      </c>
      <c r="G6401" s="8">
        <f t="shared" si="1"/>
        <v>7</v>
      </c>
      <c r="H6401" s="14">
        <f t="shared" si="2"/>
        <v>25</v>
      </c>
      <c r="I6401" s="15">
        <f t="shared" si="3"/>
        <v>17</v>
      </c>
    </row>
    <row r="6402">
      <c r="A6402" s="8" t="str">
        <f>IFERROR(__xludf.DUMMYFUNCTION("IF('(INGESTA)Datos_consumo_datadis'!A6402&lt;&gt;"""",SPLIT('(INGESTA)Datos_consumo_datadis'!A:A,"",""),"""")"),"ES0031408323131005HX0F")</f>
        <v>ES0031408323131005HX0F</v>
      </c>
      <c r="B6402" s="12">
        <f>IFERROR(__xludf.DUMMYFUNCTION("""COMPUTED_VALUE"""),45132.0)</f>
        <v>45132</v>
      </c>
      <c r="C6402" s="13">
        <f>IFERROR(__xludf.DUMMYFUNCTION("""COMPUTED_VALUE"""),0.75)</f>
        <v>0.75</v>
      </c>
      <c r="D6402" s="8">
        <f>IFERROR(__xludf.DUMMYFUNCTION("""COMPUTED_VALUE"""),0.097)</f>
        <v>0.097</v>
      </c>
      <c r="E6402" s="8" t="str">
        <f>IFERROR(__xludf.DUMMYFUNCTION("""COMPUTED_VALUE"""),"Real")</f>
        <v>Real</v>
      </c>
      <c r="G6402" s="8">
        <f t="shared" si="1"/>
        <v>7</v>
      </c>
      <c r="H6402" s="14">
        <f t="shared" si="2"/>
        <v>25</v>
      </c>
      <c r="I6402" s="15">
        <f t="shared" si="3"/>
        <v>18</v>
      </c>
    </row>
    <row r="6403">
      <c r="A6403" s="8" t="str">
        <f>IFERROR(__xludf.DUMMYFUNCTION("IF('(INGESTA)Datos_consumo_datadis'!A6403&lt;&gt;"""",SPLIT('(INGESTA)Datos_consumo_datadis'!A:A,"",""),"""")"),"ES0031408323131005HX0F")</f>
        <v>ES0031408323131005HX0F</v>
      </c>
      <c r="B6403" s="12">
        <f>IFERROR(__xludf.DUMMYFUNCTION("""COMPUTED_VALUE"""),45132.0)</f>
        <v>45132</v>
      </c>
      <c r="C6403" s="13">
        <f>IFERROR(__xludf.DUMMYFUNCTION("""COMPUTED_VALUE"""),0.7916666666666666)</f>
        <v>0.7916666667</v>
      </c>
      <c r="D6403" s="8">
        <f>IFERROR(__xludf.DUMMYFUNCTION("""COMPUTED_VALUE"""),0.361)</f>
        <v>0.361</v>
      </c>
      <c r="E6403" s="8" t="str">
        <f>IFERROR(__xludf.DUMMYFUNCTION("""COMPUTED_VALUE"""),"Real")</f>
        <v>Real</v>
      </c>
      <c r="G6403" s="8">
        <f t="shared" si="1"/>
        <v>7</v>
      </c>
      <c r="H6403" s="14">
        <f t="shared" si="2"/>
        <v>25</v>
      </c>
      <c r="I6403" s="15">
        <f t="shared" si="3"/>
        <v>19</v>
      </c>
    </row>
    <row r="6404">
      <c r="A6404" s="8" t="str">
        <f>IFERROR(__xludf.DUMMYFUNCTION("IF('(INGESTA)Datos_consumo_datadis'!A6404&lt;&gt;"""",SPLIT('(INGESTA)Datos_consumo_datadis'!A:A,"",""),"""")"),"ES0031408323131005HX0F")</f>
        <v>ES0031408323131005HX0F</v>
      </c>
      <c r="B6404" s="12">
        <f>IFERROR(__xludf.DUMMYFUNCTION("""COMPUTED_VALUE"""),45132.0)</f>
        <v>45132</v>
      </c>
      <c r="C6404" s="13">
        <f>IFERROR(__xludf.DUMMYFUNCTION("""COMPUTED_VALUE"""),0.8333333333333334)</f>
        <v>0.8333333333</v>
      </c>
      <c r="D6404" s="8">
        <f>IFERROR(__xludf.DUMMYFUNCTION("""COMPUTED_VALUE"""),0.039)</f>
        <v>0.039</v>
      </c>
      <c r="E6404" s="8" t="str">
        <f>IFERROR(__xludf.DUMMYFUNCTION("""COMPUTED_VALUE"""),"Real")</f>
        <v>Real</v>
      </c>
      <c r="G6404" s="8">
        <f t="shared" si="1"/>
        <v>7</v>
      </c>
      <c r="H6404" s="14">
        <f t="shared" si="2"/>
        <v>25</v>
      </c>
      <c r="I6404" s="15">
        <f t="shared" si="3"/>
        <v>20</v>
      </c>
    </row>
    <row r="6405">
      <c r="A6405" s="8" t="str">
        <f>IFERROR(__xludf.DUMMYFUNCTION("IF('(INGESTA)Datos_consumo_datadis'!A6405&lt;&gt;"""",SPLIT('(INGESTA)Datos_consumo_datadis'!A:A,"",""),"""")"),"ES0031408323131005HX0F")</f>
        <v>ES0031408323131005HX0F</v>
      </c>
      <c r="B6405" s="12">
        <f>IFERROR(__xludf.DUMMYFUNCTION("""COMPUTED_VALUE"""),45132.0)</f>
        <v>45132</v>
      </c>
      <c r="C6405" s="13">
        <f>IFERROR(__xludf.DUMMYFUNCTION("""COMPUTED_VALUE"""),0.875)</f>
        <v>0.875</v>
      </c>
      <c r="D6405" s="8">
        <f>IFERROR(__xludf.DUMMYFUNCTION("""COMPUTED_VALUE"""),0.023)</f>
        <v>0.023</v>
      </c>
      <c r="E6405" s="8" t="str">
        <f>IFERROR(__xludf.DUMMYFUNCTION("""COMPUTED_VALUE"""),"Real")</f>
        <v>Real</v>
      </c>
      <c r="G6405" s="8">
        <f t="shared" si="1"/>
        <v>7</v>
      </c>
      <c r="H6405" s="14">
        <f t="shared" si="2"/>
        <v>25</v>
      </c>
      <c r="I6405" s="15">
        <f t="shared" si="3"/>
        <v>21</v>
      </c>
    </row>
    <row r="6406">
      <c r="A6406" s="8" t="str">
        <f>IFERROR(__xludf.DUMMYFUNCTION("IF('(INGESTA)Datos_consumo_datadis'!A6406&lt;&gt;"""",SPLIT('(INGESTA)Datos_consumo_datadis'!A:A,"",""),"""")"),"ES0031408323131005HX0F")</f>
        <v>ES0031408323131005HX0F</v>
      </c>
      <c r="B6406" s="12">
        <f>IFERROR(__xludf.DUMMYFUNCTION("""COMPUTED_VALUE"""),45132.0)</f>
        <v>45132</v>
      </c>
      <c r="C6406" s="13">
        <f>IFERROR(__xludf.DUMMYFUNCTION("""COMPUTED_VALUE"""),0.9166666666666666)</f>
        <v>0.9166666667</v>
      </c>
      <c r="D6406" s="8">
        <f>IFERROR(__xludf.DUMMYFUNCTION("""COMPUTED_VALUE"""),0.121)</f>
        <v>0.121</v>
      </c>
      <c r="E6406" s="8" t="str">
        <f>IFERROR(__xludf.DUMMYFUNCTION("""COMPUTED_VALUE"""),"Real")</f>
        <v>Real</v>
      </c>
      <c r="G6406" s="8">
        <f t="shared" si="1"/>
        <v>7</v>
      </c>
      <c r="H6406" s="14">
        <f t="shared" si="2"/>
        <v>25</v>
      </c>
      <c r="I6406" s="15">
        <f t="shared" si="3"/>
        <v>22</v>
      </c>
    </row>
    <row r="6407">
      <c r="A6407" s="8" t="str">
        <f>IFERROR(__xludf.DUMMYFUNCTION("IF('(INGESTA)Datos_consumo_datadis'!A6407&lt;&gt;"""",SPLIT('(INGESTA)Datos_consumo_datadis'!A:A,"",""),"""")"),"ES0031408323131005HX0F")</f>
        <v>ES0031408323131005HX0F</v>
      </c>
      <c r="B6407" s="12">
        <f>IFERROR(__xludf.DUMMYFUNCTION("""COMPUTED_VALUE"""),45132.0)</f>
        <v>45132</v>
      </c>
      <c r="C6407" s="13">
        <f>IFERROR(__xludf.DUMMYFUNCTION("""COMPUTED_VALUE"""),0.9583333333333334)</f>
        <v>0.9583333333</v>
      </c>
      <c r="D6407" s="8">
        <f>IFERROR(__xludf.DUMMYFUNCTION("""COMPUTED_VALUE"""),0.089)</f>
        <v>0.089</v>
      </c>
      <c r="E6407" s="8" t="str">
        <f>IFERROR(__xludf.DUMMYFUNCTION("""COMPUTED_VALUE"""),"Real")</f>
        <v>Real</v>
      </c>
      <c r="G6407" s="8">
        <f t="shared" si="1"/>
        <v>7</v>
      </c>
      <c r="H6407" s="14">
        <f t="shared" si="2"/>
        <v>25</v>
      </c>
      <c r="I6407" s="15">
        <f t="shared" si="3"/>
        <v>23</v>
      </c>
    </row>
    <row r="6408">
      <c r="A6408" s="8" t="str">
        <f>IFERROR(__xludf.DUMMYFUNCTION("IF('(INGESTA)Datos_consumo_datadis'!A6408&lt;&gt;"""",SPLIT('(INGESTA)Datos_consumo_datadis'!A:A,"",""),"""")"),"ES0031408323131005HX0F")</f>
        <v>ES0031408323131005HX0F</v>
      </c>
      <c r="B6408" s="12">
        <f>IFERROR(__xludf.DUMMYFUNCTION("""COMPUTED_VALUE"""),45132.0)</f>
        <v>45132</v>
      </c>
      <c r="C6408" s="16">
        <f>IFERROR(__xludf.DUMMYFUNCTION("""COMPUTED_VALUE"""),1.0)</f>
        <v>1</v>
      </c>
      <c r="D6408" s="8">
        <f>IFERROR(__xludf.DUMMYFUNCTION("""COMPUTED_VALUE"""),0.107)</f>
        <v>0.107</v>
      </c>
      <c r="E6408" s="8" t="str">
        <f>IFERROR(__xludf.DUMMYFUNCTION("""COMPUTED_VALUE"""),"Real")</f>
        <v>Real</v>
      </c>
      <c r="G6408" s="8">
        <f t="shared" si="1"/>
        <v>7</v>
      </c>
      <c r="H6408" s="14">
        <f t="shared" si="2"/>
        <v>25</v>
      </c>
      <c r="I6408" s="15">
        <f t="shared" si="3"/>
        <v>0</v>
      </c>
    </row>
    <row r="6409">
      <c r="A6409" s="8" t="str">
        <f>IFERROR(__xludf.DUMMYFUNCTION("IF('(INGESTA)Datos_consumo_datadis'!A6409&lt;&gt;"""",SPLIT('(INGESTA)Datos_consumo_datadis'!A:A,"",""),"""")"),"ES0031408323131005HX0F")</f>
        <v>ES0031408323131005HX0F</v>
      </c>
      <c r="B6409" s="12">
        <f>IFERROR(__xludf.DUMMYFUNCTION("""COMPUTED_VALUE"""),45133.0)</f>
        <v>45133</v>
      </c>
      <c r="C6409" s="13">
        <f>IFERROR(__xludf.DUMMYFUNCTION("""COMPUTED_VALUE"""),0.041666666666666664)</f>
        <v>0.04166666667</v>
      </c>
      <c r="D6409" s="8">
        <f>IFERROR(__xludf.DUMMYFUNCTION("""COMPUTED_VALUE"""),0.096)</f>
        <v>0.096</v>
      </c>
      <c r="E6409" s="8" t="str">
        <f>IFERROR(__xludf.DUMMYFUNCTION("""COMPUTED_VALUE"""),"Real")</f>
        <v>Real</v>
      </c>
      <c r="G6409" s="8">
        <f t="shared" si="1"/>
        <v>7</v>
      </c>
      <c r="H6409" s="14">
        <f t="shared" si="2"/>
        <v>26</v>
      </c>
      <c r="I6409" s="15">
        <f t="shared" si="3"/>
        <v>1</v>
      </c>
    </row>
    <row r="6410">
      <c r="A6410" s="8" t="str">
        <f>IFERROR(__xludf.DUMMYFUNCTION("IF('(INGESTA)Datos_consumo_datadis'!A6410&lt;&gt;"""",SPLIT('(INGESTA)Datos_consumo_datadis'!A:A,"",""),"""")"),"ES0031408323131005HX0F")</f>
        <v>ES0031408323131005HX0F</v>
      </c>
      <c r="B6410" s="12">
        <f>IFERROR(__xludf.DUMMYFUNCTION("""COMPUTED_VALUE"""),45133.0)</f>
        <v>45133</v>
      </c>
      <c r="C6410" s="13">
        <f>IFERROR(__xludf.DUMMYFUNCTION("""COMPUTED_VALUE"""),0.08333333333333333)</f>
        <v>0.08333333333</v>
      </c>
      <c r="D6410" s="8">
        <f>IFERROR(__xludf.DUMMYFUNCTION("""COMPUTED_VALUE"""),0.078)</f>
        <v>0.078</v>
      </c>
      <c r="E6410" s="8" t="str">
        <f>IFERROR(__xludf.DUMMYFUNCTION("""COMPUTED_VALUE"""),"Real")</f>
        <v>Real</v>
      </c>
      <c r="G6410" s="8">
        <f t="shared" si="1"/>
        <v>7</v>
      </c>
      <c r="H6410" s="14">
        <f t="shared" si="2"/>
        <v>26</v>
      </c>
      <c r="I6410" s="15">
        <f t="shared" si="3"/>
        <v>2</v>
      </c>
    </row>
    <row r="6411">
      <c r="A6411" s="8" t="str">
        <f>IFERROR(__xludf.DUMMYFUNCTION("IF('(INGESTA)Datos_consumo_datadis'!A6411&lt;&gt;"""",SPLIT('(INGESTA)Datos_consumo_datadis'!A:A,"",""),"""")"),"ES0031408323131005HX0F")</f>
        <v>ES0031408323131005HX0F</v>
      </c>
      <c r="B6411" s="12">
        <f>IFERROR(__xludf.DUMMYFUNCTION("""COMPUTED_VALUE"""),45133.0)</f>
        <v>45133</v>
      </c>
      <c r="C6411" s="13">
        <f>IFERROR(__xludf.DUMMYFUNCTION("""COMPUTED_VALUE"""),0.125)</f>
        <v>0.125</v>
      </c>
      <c r="D6411" s="8">
        <f>IFERROR(__xludf.DUMMYFUNCTION("""COMPUTED_VALUE"""),0.302)</f>
        <v>0.302</v>
      </c>
      <c r="E6411" s="8" t="str">
        <f>IFERROR(__xludf.DUMMYFUNCTION("""COMPUTED_VALUE"""),"Real")</f>
        <v>Real</v>
      </c>
      <c r="G6411" s="8">
        <f t="shared" si="1"/>
        <v>7</v>
      </c>
      <c r="H6411" s="14">
        <f t="shared" si="2"/>
        <v>26</v>
      </c>
      <c r="I6411" s="15">
        <f t="shared" si="3"/>
        <v>3</v>
      </c>
    </row>
    <row r="6412">
      <c r="A6412" s="8" t="str">
        <f>IFERROR(__xludf.DUMMYFUNCTION("IF('(INGESTA)Datos_consumo_datadis'!A6412&lt;&gt;"""",SPLIT('(INGESTA)Datos_consumo_datadis'!A:A,"",""),"""")"),"ES0031408323131005HX0F")</f>
        <v>ES0031408323131005HX0F</v>
      </c>
      <c r="B6412" s="12">
        <f>IFERROR(__xludf.DUMMYFUNCTION("""COMPUTED_VALUE"""),45133.0)</f>
        <v>45133</v>
      </c>
      <c r="C6412" s="13">
        <f>IFERROR(__xludf.DUMMYFUNCTION("""COMPUTED_VALUE"""),0.16666666666666666)</f>
        <v>0.1666666667</v>
      </c>
      <c r="D6412" s="8">
        <f>IFERROR(__xludf.DUMMYFUNCTION("""COMPUTED_VALUE"""),0.074)</f>
        <v>0.074</v>
      </c>
      <c r="E6412" s="8" t="str">
        <f>IFERROR(__xludf.DUMMYFUNCTION("""COMPUTED_VALUE"""),"Real")</f>
        <v>Real</v>
      </c>
      <c r="G6412" s="8">
        <f t="shared" si="1"/>
        <v>7</v>
      </c>
      <c r="H6412" s="14">
        <f t="shared" si="2"/>
        <v>26</v>
      </c>
      <c r="I6412" s="15">
        <f t="shared" si="3"/>
        <v>4</v>
      </c>
    </row>
    <row r="6413">
      <c r="A6413" s="8" t="str">
        <f>IFERROR(__xludf.DUMMYFUNCTION("IF('(INGESTA)Datos_consumo_datadis'!A6413&lt;&gt;"""",SPLIT('(INGESTA)Datos_consumo_datadis'!A:A,"",""),"""")"),"ES0031408323131005HX0F")</f>
        <v>ES0031408323131005HX0F</v>
      </c>
      <c r="B6413" s="12">
        <f>IFERROR(__xludf.DUMMYFUNCTION("""COMPUTED_VALUE"""),45133.0)</f>
        <v>45133</v>
      </c>
      <c r="C6413" s="13">
        <f>IFERROR(__xludf.DUMMYFUNCTION("""COMPUTED_VALUE"""),0.20833333333333334)</f>
        <v>0.2083333333</v>
      </c>
      <c r="D6413" s="8">
        <f>IFERROR(__xludf.DUMMYFUNCTION("""COMPUTED_VALUE"""),0.119)</f>
        <v>0.119</v>
      </c>
      <c r="E6413" s="8" t="str">
        <f>IFERROR(__xludf.DUMMYFUNCTION("""COMPUTED_VALUE"""),"Real")</f>
        <v>Real</v>
      </c>
      <c r="G6413" s="8">
        <f t="shared" si="1"/>
        <v>7</v>
      </c>
      <c r="H6413" s="14">
        <f t="shared" si="2"/>
        <v>26</v>
      </c>
      <c r="I6413" s="15">
        <f t="shared" si="3"/>
        <v>5</v>
      </c>
    </row>
    <row r="6414">
      <c r="A6414" s="8" t="str">
        <f>IFERROR(__xludf.DUMMYFUNCTION("IF('(INGESTA)Datos_consumo_datadis'!A6414&lt;&gt;"""",SPLIT('(INGESTA)Datos_consumo_datadis'!A:A,"",""),"""")"),"ES0031408323131005HX0F")</f>
        <v>ES0031408323131005HX0F</v>
      </c>
      <c r="B6414" s="12">
        <f>IFERROR(__xludf.DUMMYFUNCTION("""COMPUTED_VALUE"""),45133.0)</f>
        <v>45133</v>
      </c>
      <c r="C6414" s="13">
        <f>IFERROR(__xludf.DUMMYFUNCTION("""COMPUTED_VALUE"""),0.25)</f>
        <v>0.25</v>
      </c>
      <c r="D6414" s="8">
        <f>IFERROR(__xludf.DUMMYFUNCTION("""COMPUTED_VALUE"""),0.087)</f>
        <v>0.087</v>
      </c>
      <c r="E6414" s="8" t="str">
        <f>IFERROR(__xludf.DUMMYFUNCTION("""COMPUTED_VALUE"""),"Real")</f>
        <v>Real</v>
      </c>
      <c r="G6414" s="8">
        <f t="shared" si="1"/>
        <v>7</v>
      </c>
      <c r="H6414" s="14">
        <f t="shared" si="2"/>
        <v>26</v>
      </c>
      <c r="I6414" s="15">
        <f t="shared" si="3"/>
        <v>6</v>
      </c>
    </row>
    <row r="6415">
      <c r="A6415" s="8" t="str">
        <f>IFERROR(__xludf.DUMMYFUNCTION("IF('(INGESTA)Datos_consumo_datadis'!A6415&lt;&gt;"""",SPLIT('(INGESTA)Datos_consumo_datadis'!A:A,"",""),"""")"),"ES0031408323131005HX0F")</f>
        <v>ES0031408323131005HX0F</v>
      </c>
      <c r="B6415" s="12">
        <f>IFERROR(__xludf.DUMMYFUNCTION("""COMPUTED_VALUE"""),45133.0)</f>
        <v>45133</v>
      </c>
      <c r="C6415" s="13">
        <f>IFERROR(__xludf.DUMMYFUNCTION("""COMPUTED_VALUE"""),0.2916666666666667)</f>
        <v>0.2916666667</v>
      </c>
      <c r="D6415" s="8">
        <f>IFERROR(__xludf.DUMMYFUNCTION("""COMPUTED_VALUE"""),0.059)</f>
        <v>0.059</v>
      </c>
      <c r="E6415" s="8" t="str">
        <f>IFERROR(__xludf.DUMMYFUNCTION("""COMPUTED_VALUE"""),"Real")</f>
        <v>Real</v>
      </c>
      <c r="G6415" s="8">
        <f t="shared" si="1"/>
        <v>7</v>
      </c>
      <c r="H6415" s="14">
        <f t="shared" si="2"/>
        <v>26</v>
      </c>
      <c r="I6415" s="15">
        <f t="shared" si="3"/>
        <v>7</v>
      </c>
    </row>
    <row r="6416">
      <c r="A6416" s="8" t="str">
        <f>IFERROR(__xludf.DUMMYFUNCTION("IF('(INGESTA)Datos_consumo_datadis'!A6416&lt;&gt;"""",SPLIT('(INGESTA)Datos_consumo_datadis'!A:A,"",""),"""")"),"ES0031408323131005HX0F")</f>
        <v>ES0031408323131005HX0F</v>
      </c>
      <c r="B6416" s="12">
        <f>IFERROR(__xludf.DUMMYFUNCTION("""COMPUTED_VALUE"""),45133.0)</f>
        <v>45133</v>
      </c>
      <c r="C6416" s="13">
        <f>IFERROR(__xludf.DUMMYFUNCTION("""COMPUTED_VALUE"""),0.3333333333333333)</f>
        <v>0.3333333333</v>
      </c>
      <c r="D6416" s="8">
        <f>IFERROR(__xludf.DUMMYFUNCTION("""COMPUTED_VALUE"""),0.014)</f>
        <v>0.014</v>
      </c>
      <c r="E6416" s="8" t="str">
        <f>IFERROR(__xludf.DUMMYFUNCTION("""COMPUTED_VALUE"""),"Real")</f>
        <v>Real</v>
      </c>
      <c r="G6416" s="8">
        <f t="shared" si="1"/>
        <v>7</v>
      </c>
      <c r="H6416" s="14">
        <f t="shared" si="2"/>
        <v>26</v>
      </c>
      <c r="I6416" s="15">
        <f t="shared" si="3"/>
        <v>8</v>
      </c>
    </row>
    <row r="6417">
      <c r="A6417" s="8" t="str">
        <f>IFERROR(__xludf.DUMMYFUNCTION("IF('(INGESTA)Datos_consumo_datadis'!A6417&lt;&gt;"""",SPLIT('(INGESTA)Datos_consumo_datadis'!A:A,"",""),"""")"),"ES0031408323131005HX0F")</f>
        <v>ES0031408323131005HX0F</v>
      </c>
      <c r="B6417" s="12">
        <f>IFERROR(__xludf.DUMMYFUNCTION("""COMPUTED_VALUE"""),45133.0)</f>
        <v>45133</v>
      </c>
      <c r="C6417" s="13">
        <f>IFERROR(__xludf.DUMMYFUNCTION("""COMPUTED_VALUE"""),0.375)</f>
        <v>0.375</v>
      </c>
      <c r="D6417" s="8">
        <f>IFERROR(__xludf.DUMMYFUNCTION("""COMPUTED_VALUE"""),0.091)</f>
        <v>0.091</v>
      </c>
      <c r="E6417" s="8" t="str">
        <f>IFERROR(__xludf.DUMMYFUNCTION("""COMPUTED_VALUE"""),"Real")</f>
        <v>Real</v>
      </c>
      <c r="G6417" s="8">
        <f t="shared" si="1"/>
        <v>7</v>
      </c>
      <c r="H6417" s="14">
        <f t="shared" si="2"/>
        <v>26</v>
      </c>
      <c r="I6417" s="15">
        <f t="shared" si="3"/>
        <v>9</v>
      </c>
    </row>
    <row r="6418">
      <c r="A6418" s="8" t="str">
        <f>IFERROR(__xludf.DUMMYFUNCTION("IF('(INGESTA)Datos_consumo_datadis'!A6418&lt;&gt;"""",SPLIT('(INGESTA)Datos_consumo_datadis'!A:A,"",""),"""")"),"ES0031408323131005HX0F")</f>
        <v>ES0031408323131005HX0F</v>
      </c>
      <c r="B6418" s="12">
        <f>IFERROR(__xludf.DUMMYFUNCTION("""COMPUTED_VALUE"""),45133.0)</f>
        <v>45133</v>
      </c>
      <c r="C6418" s="13">
        <f>IFERROR(__xludf.DUMMYFUNCTION("""COMPUTED_VALUE"""),0.4166666666666667)</f>
        <v>0.4166666667</v>
      </c>
      <c r="D6418" s="8">
        <f>IFERROR(__xludf.DUMMYFUNCTION("""COMPUTED_VALUE"""),0.113)</f>
        <v>0.113</v>
      </c>
      <c r="E6418" s="8" t="str">
        <f>IFERROR(__xludf.DUMMYFUNCTION("""COMPUTED_VALUE"""),"Real")</f>
        <v>Real</v>
      </c>
      <c r="G6418" s="8">
        <f t="shared" si="1"/>
        <v>7</v>
      </c>
      <c r="H6418" s="14">
        <f t="shared" si="2"/>
        <v>26</v>
      </c>
      <c r="I6418" s="15">
        <f t="shared" si="3"/>
        <v>10</v>
      </c>
    </row>
    <row r="6419">
      <c r="A6419" s="8" t="str">
        <f>IFERROR(__xludf.DUMMYFUNCTION("IF('(INGESTA)Datos_consumo_datadis'!A6419&lt;&gt;"""",SPLIT('(INGESTA)Datos_consumo_datadis'!A:A,"",""),"""")"),"ES0031408323131005HX0F")</f>
        <v>ES0031408323131005HX0F</v>
      </c>
      <c r="B6419" s="12">
        <f>IFERROR(__xludf.DUMMYFUNCTION("""COMPUTED_VALUE"""),45133.0)</f>
        <v>45133</v>
      </c>
      <c r="C6419" s="13">
        <f>IFERROR(__xludf.DUMMYFUNCTION("""COMPUTED_VALUE"""),0.4583333333333333)</f>
        <v>0.4583333333</v>
      </c>
      <c r="D6419" s="8">
        <f>IFERROR(__xludf.DUMMYFUNCTION("""COMPUTED_VALUE"""),0.363)</f>
        <v>0.363</v>
      </c>
      <c r="E6419" s="8" t="str">
        <f>IFERROR(__xludf.DUMMYFUNCTION("""COMPUTED_VALUE"""),"Real")</f>
        <v>Real</v>
      </c>
      <c r="G6419" s="8">
        <f t="shared" si="1"/>
        <v>7</v>
      </c>
      <c r="H6419" s="14">
        <f t="shared" si="2"/>
        <v>26</v>
      </c>
      <c r="I6419" s="15">
        <f t="shared" si="3"/>
        <v>11</v>
      </c>
    </row>
    <row r="6420">
      <c r="A6420" s="8" t="str">
        <f>IFERROR(__xludf.DUMMYFUNCTION("IF('(INGESTA)Datos_consumo_datadis'!A6420&lt;&gt;"""",SPLIT('(INGESTA)Datos_consumo_datadis'!A:A,"",""),"""")"),"ES0031408323131005HX0F")</f>
        <v>ES0031408323131005HX0F</v>
      </c>
      <c r="B6420" s="12">
        <f>IFERROR(__xludf.DUMMYFUNCTION("""COMPUTED_VALUE"""),45133.0)</f>
        <v>45133</v>
      </c>
      <c r="C6420" s="13">
        <f>IFERROR(__xludf.DUMMYFUNCTION("""COMPUTED_VALUE"""),0.5)</f>
        <v>0.5</v>
      </c>
      <c r="D6420" s="8">
        <f>IFERROR(__xludf.DUMMYFUNCTION("""COMPUTED_VALUE"""),0.052)</f>
        <v>0.052</v>
      </c>
      <c r="E6420" s="8" t="str">
        <f>IFERROR(__xludf.DUMMYFUNCTION("""COMPUTED_VALUE"""),"Real")</f>
        <v>Real</v>
      </c>
      <c r="G6420" s="8">
        <f t="shared" si="1"/>
        <v>7</v>
      </c>
      <c r="H6420" s="14">
        <f t="shared" si="2"/>
        <v>26</v>
      </c>
      <c r="I6420" s="15">
        <f t="shared" si="3"/>
        <v>12</v>
      </c>
    </row>
    <row r="6421">
      <c r="A6421" s="8" t="str">
        <f>IFERROR(__xludf.DUMMYFUNCTION("IF('(INGESTA)Datos_consumo_datadis'!A6421&lt;&gt;"""",SPLIT('(INGESTA)Datos_consumo_datadis'!A:A,"",""),"""")"),"ES0031408323131005HX0F")</f>
        <v>ES0031408323131005HX0F</v>
      </c>
      <c r="B6421" s="12">
        <f>IFERROR(__xludf.DUMMYFUNCTION("""COMPUTED_VALUE"""),45133.0)</f>
        <v>45133</v>
      </c>
      <c r="C6421" s="13">
        <f>IFERROR(__xludf.DUMMYFUNCTION("""COMPUTED_VALUE"""),0.5416666666666666)</f>
        <v>0.5416666667</v>
      </c>
      <c r="D6421" s="8">
        <f>IFERROR(__xludf.DUMMYFUNCTION("""COMPUTED_VALUE"""),0.014)</f>
        <v>0.014</v>
      </c>
      <c r="E6421" s="8" t="str">
        <f>IFERROR(__xludf.DUMMYFUNCTION("""COMPUTED_VALUE"""),"Real")</f>
        <v>Real</v>
      </c>
      <c r="G6421" s="8">
        <f t="shared" si="1"/>
        <v>7</v>
      </c>
      <c r="H6421" s="14">
        <f t="shared" si="2"/>
        <v>26</v>
      </c>
      <c r="I6421" s="15">
        <f t="shared" si="3"/>
        <v>13</v>
      </c>
    </row>
    <row r="6422">
      <c r="A6422" s="8" t="str">
        <f>IFERROR(__xludf.DUMMYFUNCTION("IF('(INGESTA)Datos_consumo_datadis'!A6422&lt;&gt;"""",SPLIT('(INGESTA)Datos_consumo_datadis'!A:A,"",""),"""")"),"ES0031408323131005HX0F")</f>
        <v>ES0031408323131005HX0F</v>
      </c>
      <c r="B6422" s="12">
        <f>IFERROR(__xludf.DUMMYFUNCTION("""COMPUTED_VALUE"""),45133.0)</f>
        <v>45133</v>
      </c>
      <c r="C6422" s="13">
        <f>IFERROR(__xludf.DUMMYFUNCTION("""COMPUTED_VALUE"""),0.5833333333333334)</f>
        <v>0.5833333333</v>
      </c>
      <c r="D6422" s="8">
        <f>IFERROR(__xludf.DUMMYFUNCTION("""COMPUTED_VALUE"""),0.115)</f>
        <v>0.115</v>
      </c>
      <c r="E6422" s="8" t="str">
        <f>IFERROR(__xludf.DUMMYFUNCTION("""COMPUTED_VALUE"""),"Real")</f>
        <v>Real</v>
      </c>
      <c r="G6422" s="8">
        <f t="shared" si="1"/>
        <v>7</v>
      </c>
      <c r="H6422" s="14">
        <f t="shared" si="2"/>
        <v>26</v>
      </c>
      <c r="I6422" s="15">
        <f t="shared" si="3"/>
        <v>14</v>
      </c>
    </row>
    <row r="6423">
      <c r="A6423" s="8" t="str">
        <f>IFERROR(__xludf.DUMMYFUNCTION("IF('(INGESTA)Datos_consumo_datadis'!A6423&lt;&gt;"""",SPLIT('(INGESTA)Datos_consumo_datadis'!A:A,"",""),"""")"),"ES0031408323131005HX0F")</f>
        <v>ES0031408323131005HX0F</v>
      </c>
      <c r="B6423" s="12">
        <f>IFERROR(__xludf.DUMMYFUNCTION("""COMPUTED_VALUE"""),45133.0)</f>
        <v>45133</v>
      </c>
      <c r="C6423" s="13">
        <f>IFERROR(__xludf.DUMMYFUNCTION("""COMPUTED_VALUE"""),0.625)</f>
        <v>0.625</v>
      </c>
      <c r="D6423" s="8">
        <f>IFERROR(__xludf.DUMMYFUNCTION("""COMPUTED_VALUE"""),0.089)</f>
        <v>0.089</v>
      </c>
      <c r="E6423" s="8" t="str">
        <f>IFERROR(__xludf.DUMMYFUNCTION("""COMPUTED_VALUE"""),"Real")</f>
        <v>Real</v>
      </c>
      <c r="G6423" s="8">
        <f t="shared" si="1"/>
        <v>7</v>
      </c>
      <c r="H6423" s="14">
        <f t="shared" si="2"/>
        <v>26</v>
      </c>
      <c r="I6423" s="15">
        <f t="shared" si="3"/>
        <v>15</v>
      </c>
    </row>
    <row r="6424">
      <c r="A6424" s="8" t="str">
        <f>IFERROR(__xludf.DUMMYFUNCTION("IF('(INGESTA)Datos_consumo_datadis'!A6424&lt;&gt;"""",SPLIT('(INGESTA)Datos_consumo_datadis'!A:A,"",""),"""")"),"ES0031408323131005HX0F")</f>
        <v>ES0031408323131005HX0F</v>
      </c>
      <c r="B6424" s="12">
        <f>IFERROR(__xludf.DUMMYFUNCTION("""COMPUTED_VALUE"""),45133.0)</f>
        <v>45133</v>
      </c>
      <c r="C6424" s="13">
        <f>IFERROR(__xludf.DUMMYFUNCTION("""COMPUTED_VALUE"""),0.6666666666666666)</f>
        <v>0.6666666667</v>
      </c>
      <c r="D6424" s="8">
        <f>IFERROR(__xludf.DUMMYFUNCTION("""COMPUTED_VALUE"""),0.091)</f>
        <v>0.091</v>
      </c>
      <c r="E6424" s="8" t="str">
        <f>IFERROR(__xludf.DUMMYFUNCTION("""COMPUTED_VALUE"""),"Real")</f>
        <v>Real</v>
      </c>
      <c r="G6424" s="8">
        <f t="shared" si="1"/>
        <v>7</v>
      </c>
      <c r="H6424" s="14">
        <f t="shared" si="2"/>
        <v>26</v>
      </c>
      <c r="I6424" s="15">
        <f t="shared" si="3"/>
        <v>16</v>
      </c>
    </row>
    <row r="6425">
      <c r="A6425" s="8" t="str">
        <f>IFERROR(__xludf.DUMMYFUNCTION("IF('(INGESTA)Datos_consumo_datadis'!A6425&lt;&gt;"""",SPLIT('(INGESTA)Datos_consumo_datadis'!A:A,"",""),"""")"),"ES0031408323131005HX0F")</f>
        <v>ES0031408323131005HX0F</v>
      </c>
      <c r="B6425" s="12">
        <f>IFERROR(__xludf.DUMMYFUNCTION("""COMPUTED_VALUE"""),45133.0)</f>
        <v>45133</v>
      </c>
      <c r="C6425" s="13">
        <f>IFERROR(__xludf.DUMMYFUNCTION("""COMPUTED_VALUE"""),0.7083333333333334)</f>
        <v>0.7083333333</v>
      </c>
      <c r="D6425" s="8">
        <f>IFERROR(__xludf.DUMMYFUNCTION("""COMPUTED_VALUE"""),0.032)</f>
        <v>0.032</v>
      </c>
      <c r="E6425" s="8" t="str">
        <f>IFERROR(__xludf.DUMMYFUNCTION("""COMPUTED_VALUE"""),"Real")</f>
        <v>Real</v>
      </c>
      <c r="G6425" s="8">
        <f t="shared" si="1"/>
        <v>7</v>
      </c>
      <c r="H6425" s="14">
        <f t="shared" si="2"/>
        <v>26</v>
      </c>
      <c r="I6425" s="15">
        <f t="shared" si="3"/>
        <v>17</v>
      </c>
    </row>
    <row r="6426">
      <c r="A6426" s="8" t="str">
        <f>IFERROR(__xludf.DUMMYFUNCTION("IF('(INGESTA)Datos_consumo_datadis'!A6426&lt;&gt;"""",SPLIT('(INGESTA)Datos_consumo_datadis'!A:A,"",""),"""")"),"ES0031408323131005HX0F")</f>
        <v>ES0031408323131005HX0F</v>
      </c>
      <c r="B6426" s="12">
        <f>IFERROR(__xludf.DUMMYFUNCTION("""COMPUTED_VALUE"""),45133.0)</f>
        <v>45133</v>
      </c>
      <c r="C6426" s="13">
        <f>IFERROR(__xludf.DUMMYFUNCTION("""COMPUTED_VALUE"""),0.75)</f>
        <v>0.75</v>
      </c>
      <c r="D6426" s="8">
        <f>IFERROR(__xludf.DUMMYFUNCTION("""COMPUTED_VALUE"""),0.028)</f>
        <v>0.028</v>
      </c>
      <c r="E6426" s="8" t="str">
        <f>IFERROR(__xludf.DUMMYFUNCTION("""COMPUTED_VALUE"""),"Real")</f>
        <v>Real</v>
      </c>
      <c r="G6426" s="8">
        <f t="shared" si="1"/>
        <v>7</v>
      </c>
      <c r="H6426" s="14">
        <f t="shared" si="2"/>
        <v>26</v>
      </c>
      <c r="I6426" s="15">
        <f t="shared" si="3"/>
        <v>18</v>
      </c>
    </row>
    <row r="6427">
      <c r="A6427" s="8" t="str">
        <f>IFERROR(__xludf.DUMMYFUNCTION("IF('(INGESTA)Datos_consumo_datadis'!A6427&lt;&gt;"""",SPLIT('(INGESTA)Datos_consumo_datadis'!A:A,"",""),"""")"),"ES0031408323131005HX0F")</f>
        <v>ES0031408323131005HX0F</v>
      </c>
      <c r="B6427" s="12">
        <f>IFERROR(__xludf.DUMMYFUNCTION("""COMPUTED_VALUE"""),45133.0)</f>
        <v>45133</v>
      </c>
      <c r="C6427" s="13">
        <f>IFERROR(__xludf.DUMMYFUNCTION("""COMPUTED_VALUE"""),0.7916666666666666)</f>
        <v>0.7916666667</v>
      </c>
      <c r="D6427" s="8">
        <f>IFERROR(__xludf.DUMMYFUNCTION("""COMPUTED_VALUE"""),0.127)</f>
        <v>0.127</v>
      </c>
      <c r="E6427" s="8" t="str">
        <f>IFERROR(__xludf.DUMMYFUNCTION("""COMPUTED_VALUE"""),"Real")</f>
        <v>Real</v>
      </c>
      <c r="G6427" s="8">
        <f t="shared" si="1"/>
        <v>7</v>
      </c>
      <c r="H6427" s="14">
        <f t="shared" si="2"/>
        <v>26</v>
      </c>
      <c r="I6427" s="15">
        <f t="shared" si="3"/>
        <v>19</v>
      </c>
    </row>
    <row r="6428">
      <c r="A6428" s="8" t="str">
        <f>IFERROR(__xludf.DUMMYFUNCTION("IF('(INGESTA)Datos_consumo_datadis'!A6428&lt;&gt;"""",SPLIT('(INGESTA)Datos_consumo_datadis'!A:A,"",""),"""")"),"ES0031408323131005HX0F")</f>
        <v>ES0031408323131005HX0F</v>
      </c>
      <c r="B6428" s="12">
        <f>IFERROR(__xludf.DUMMYFUNCTION("""COMPUTED_VALUE"""),45133.0)</f>
        <v>45133</v>
      </c>
      <c r="C6428" s="13">
        <f>IFERROR(__xludf.DUMMYFUNCTION("""COMPUTED_VALUE"""),0.8333333333333334)</f>
        <v>0.8333333333</v>
      </c>
      <c r="D6428" s="8">
        <f>IFERROR(__xludf.DUMMYFUNCTION("""COMPUTED_VALUE"""),0.351)</f>
        <v>0.351</v>
      </c>
      <c r="E6428" s="8" t="str">
        <f>IFERROR(__xludf.DUMMYFUNCTION("""COMPUTED_VALUE"""),"Real")</f>
        <v>Real</v>
      </c>
      <c r="G6428" s="8">
        <f t="shared" si="1"/>
        <v>7</v>
      </c>
      <c r="H6428" s="14">
        <f t="shared" si="2"/>
        <v>26</v>
      </c>
      <c r="I6428" s="15">
        <f t="shared" si="3"/>
        <v>20</v>
      </c>
    </row>
    <row r="6429">
      <c r="A6429" s="8" t="str">
        <f>IFERROR(__xludf.DUMMYFUNCTION("IF('(INGESTA)Datos_consumo_datadis'!A6429&lt;&gt;"""",SPLIT('(INGESTA)Datos_consumo_datadis'!A:A,"",""),"""")"),"ES0031408323131005HX0F")</f>
        <v>ES0031408323131005HX0F</v>
      </c>
      <c r="B6429" s="12">
        <f>IFERROR(__xludf.DUMMYFUNCTION("""COMPUTED_VALUE"""),45133.0)</f>
        <v>45133</v>
      </c>
      <c r="C6429" s="13">
        <f>IFERROR(__xludf.DUMMYFUNCTION("""COMPUTED_VALUE"""),0.875)</f>
        <v>0.875</v>
      </c>
      <c r="D6429" s="8">
        <f>IFERROR(__xludf.DUMMYFUNCTION("""COMPUTED_VALUE"""),0.093)</f>
        <v>0.093</v>
      </c>
      <c r="E6429" s="8" t="str">
        <f>IFERROR(__xludf.DUMMYFUNCTION("""COMPUTED_VALUE"""),"Real")</f>
        <v>Real</v>
      </c>
      <c r="G6429" s="8">
        <f t="shared" si="1"/>
        <v>7</v>
      </c>
      <c r="H6429" s="14">
        <f t="shared" si="2"/>
        <v>26</v>
      </c>
      <c r="I6429" s="15">
        <f t="shared" si="3"/>
        <v>21</v>
      </c>
    </row>
    <row r="6430">
      <c r="A6430" s="8" t="str">
        <f>IFERROR(__xludf.DUMMYFUNCTION("IF('(INGESTA)Datos_consumo_datadis'!A6430&lt;&gt;"""",SPLIT('(INGESTA)Datos_consumo_datadis'!A:A,"",""),"""")"),"ES0031408323131005HX0F")</f>
        <v>ES0031408323131005HX0F</v>
      </c>
      <c r="B6430" s="12">
        <f>IFERROR(__xludf.DUMMYFUNCTION("""COMPUTED_VALUE"""),45133.0)</f>
        <v>45133</v>
      </c>
      <c r="C6430" s="13">
        <f>IFERROR(__xludf.DUMMYFUNCTION("""COMPUTED_VALUE"""),0.9166666666666666)</f>
        <v>0.9166666667</v>
      </c>
      <c r="D6430" s="8">
        <f>IFERROR(__xludf.DUMMYFUNCTION("""COMPUTED_VALUE"""),0.02)</f>
        <v>0.02</v>
      </c>
      <c r="E6430" s="8" t="str">
        <f>IFERROR(__xludf.DUMMYFUNCTION("""COMPUTED_VALUE"""),"Real")</f>
        <v>Real</v>
      </c>
      <c r="G6430" s="8">
        <f t="shared" si="1"/>
        <v>7</v>
      </c>
      <c r="H6430" s="14">
        <f t="shared" si="2"/>
        <v>26</v>
      </c>
      <c r="I6430" s="15">
        <f t="shared" si="3"/>
        <v>22</v>
      </c>
    </row>
    <row r="6431">
      <c r="A6431" s="8" t="str">
        <f>IFERROR(__xludf.DUMMYFUNCTION("IF('(INGESTA)Datos_consumo_datadis'!A6431&lt;&gt;"""",SPLIT('(INGESTA)Datos_consumo_datadis'!A:A,"",""),"""")"),"ES0031408323131005HX0F")</f>
        <v>ES0031408323131005HX0F</v>
      </c>
      <c r="B6431" s="12">
        <f>IFERROR(__xludf.DUMMYFUNCTION("""COMPUTED_VALUE"""),45133.0)</f>
        <v>45133</v>
      </c>
      <c r="C6431" s="13">
        <f>IFERROR(__xludf.DUMMYFUNCTION("""COMPUTED_VALUE"""),0.9583333333333334)</f>
        <v>0.9583333333</v>
      </c>
      <c r="D6431" s="8">
        <f>IFERROR(__xludf.DUMMYFUNCTION("""COMPUTED_VALUE"""),0.042)</f>
        <v>0.042</v>
      </c>
      <c r="E6431" s="8" t="str">
        <f>IFERROR(__xludf.DUMMYFUNCTION("""COMPUTED_VALUE"""),"Real")</f>
        <v>Real</v>
      </c>
      <c r="G6431" s="8">
        <f t="shared" si="1"/>
        <v>7</v>
      </c>
      <c r="H6431" s="14">
        <f t="shared" si="2"/>
        <v>26</v>
      </c>
      <c r="I6431" s="15">
        <f t="shared" si="3"/>
        <v>23</v>
      </c>
    </row>
    <row r="6432">
      <c r="A6432" s="8" t="str">
        <f>IFERROR(__xludf.DUMMYFUNCTION("IF('(INGESTA)Datos_consumo_datadis'!A6432&lt;&gt;"""",SPLIT('(INGESTA)Datos_consumo_datadis'!A:A,"",""),"""")"),"ES0031408323131005HX0F")</f>
        <v>ES0031408323131005HX0F</v>
      </c>
      <c r="B6432" s="12">
        <f>IFERROR(__xludf.DUMMYFUNCTION("""COMPUTED_VALUE"""),45133.0)</f>
        <v>45133</v>
      </c>
      <c r="C6432" s="16">
        <f>IFERROR(__xludf.DUMMYFUNCTION("""COMPUTED_VALUE"""),1.0)</f>
        <v>1</v>
      </c>
      <c r="D6432" s="8">
        <f>IFERROR(__xludf.DUMMYFUNCTION("""COMPUTED_VALUE"""),0.12)</f>
        <v>0.12</v>
      </c>
      <c r="E6432" s="8" t="str">
        <f>IFERROR(__xludf.DUMMYFUNCTION("""COMPUTED_VALUE"""),"Real")</f>
        <v>Real</v>
      </c>
      <c r="G6432" s="8">
        <f t="shared" si="1"/>
        <v>7</v>
      </c>
      <c r="H6432" s="14">
        <f t="shared" si="2"/>
        <v>26</v>
      </c>
      <c r="I6432" s="15">
        <f t="shared" si="3"/>
        <v>0</v>
      </c>
    </row>
    <row r="6433">
      <c r="A6433" s="8" t="str">
        <f>IFERROR(__xludf.DUMMYFUNCTION("IF('(INGESTA)Datos_consumo_datadis'!A6433&lt;&gt;"""",SPLIT('(INGESTA)Datos_consumo_datadis'!A:A,"",""),"""")"),"ES0031408323131005HX0F")</f>
        <v>ES0031408323131005HX0F</v>
      </c>
      <c r="B6433" s="12">
        <f>IFERROR(__xludf.DUMMYFUNCTION("""COMPUTED_VALUE"""),45134.0)</f>
        <v>45134</v>
      </c>
      <c r="C6433" s="13">
        <f>IFERROR(__xludf.DUMMYFUNCTION("""COMPUTED_VALUE"""),0.041666666666666664)</f>
        <v>0.04166666667</v>
      </c>
      <c r="D6433" s="8">
        <f>IFERROR(__xludf.DUMMYFUNCTION("""COMPUTED_VALUE"""),0.087)</f>
        <v>0.087</v>
      </c>
      <c r="E6433" s="8" t="str">
        <f>IFERROR(__xludf.DUMMYFUNCTION("""COMPUTED_VALUE"""),"Real")</f>
        <v>Real</v>
      </c>
      <c r="G6433" s="8">
        <f t="shared" si="1"/>
        <v>7</v>
      </c>
      <c r="H6433" s="14">
        <f t="shared" si="2"/>
        <v>27</v>
      </c>
      <c r="I6433" s="15">
        <f t="shared" si="3"/>
        <v>1</v>
      </c>
    </row>
    <row r="6434">
      <c r="A6434" s="8" t="str">
        <f>IFERROR(__xludf.DUMMYFUNCTION("IF('(INGESTA)Datos_consumo_datadis'!A6434&lt;&gt;"""",SPLIT('(INGESTA)Datos_consumo_datadis'!A:A,"",""),"""")"),"ES0031408323131005HX0F")</f>
        <v>ES0031408323131005HX0F</v>
      </c>
      <c r="B6434" s="12">
        <f>IFERROR(__xludf.DUMMYFUNCTION("""COMPUTED_VALUE"""),45134.0)</f>
        <v>45134</v>
      </c>
      <c r="C6434" s="13">
        <f>IFERROR(__xludf.DUMMYFUNCTION("""COMPUTED_VALUE"""),0.08333333333333333)</f>
        <v>0.08333333333</v>
      </c>
      <c r="D6434" s="8">
        <f>IFERROR(__xludf.DUMMYFUNCTION("""COMPUTED_VALUE"""),0.085)</f>
        <v>0.085</v>
      </c>
      <c r="E6434" s="8" t="str">
        <f>IFERROR(__xludf.DUMMYFUNCTION("""COMPUTED_VALUE"""),"Real")</f>
        <v>Real</v>
      </c>
      <c r="G6434" s="8">
        <f t="shared" si="1"/>
        <v>7</v>
      </c>
      <c r="H6434" s="14">
        <f t="shared" si="2"/>
        <v>27</v>
      </c>
      <c r="I6434" s="15">
        <f t="shared" si="3"/>
        <v>2</v>
      </c>
    </row>
    <row r="6435">
      <c r="A6435" s="8" t="str">
        <f>IFERROR(__xludf.DUMMYFUNCTION("IF('(INGESTA)Datos_consumo_datadis'!A6435&lt;&gt;"""",SPLIT('(INGESTA)Datos_consumo_datadis'!A:A,"",""),"""")"),"ES0031408323131005HX0F")</f>
        <v>ES0031408323131005HX0F</v>
      </c>
      <c r="B6435" s="12">
        <f>IFERROR(__xludf.DUMMYFUNCTION("""COMPUTED_VALUE"""),45134.0)</f>
        <v>45134</v>
      </c>
      <c r="C6435" s="13">
        <f>IFERROR(__xludf.DUMMYFUNCTION("""COMPUTED_VALUE"""),0.125)</f>
        <v>0.125</v>
      </c>
      <c r="D6435" s="8">
        <f>IFERROR(__xludf.DUMMYFUNCTION("""COMPUTED_VALUE"""),0.035)</f>
        <v>0.035</v>
      </c>
      <c r="E6435" s="8" t="str">
        <f>IFERROR(__xludf.DUMMYFUNCTION("""COMPUTED_VALUE"""),"Real")</f>
        <v>Real</v>
      </c>
      <c r="G6435" s="8">
        <f t="shared" si="1"/>
        <v>7</v>
      </c>
      <c r="H6435" s="14">
        <f t="shared" si="2"/>
        <v>27</v>
      </c>
      <c r="I6435" s="15">
        <f t="shared" si="3"/>
        <v>3</v>
      </c>
    </row>
    <row r="6436">
      <c r="A6436" s="8" t="str">
        <f>IFERROR(__xludf.DUMMYFUNCTION("IF('(INGESTA)Datos_consumo_datadis'!A6436&lt;&gt;"""",SPLIT('(INGESTA)Datos_consumo_datadis'!A:A,"",""),"""")"),"ES0031408323131005HX0F")</f>
        <v>ES0031408323131005HX0F</v>
      </c>
      <c r="B6436" s="12">
        <f>IFERROR(__xludf.DUMMYFUNCTION("""COMPUTED_VALUE"""),45134.0)</f>
        <v>45134</v>
      </c>
      <c r="C6436" s="13">
        <f>IFERROR(__xludf.DUMMYFUNCTION("""COMPUTED_VALUE"""),0.16666666666666666)</f>
        <v>0.1666666667</v>
      </c>
      <c r="D6436" s="8">
        <f>IFERROR(__xludf.DUMMYFUNCTION("""COMPUTED_VALUE"""),0.335)</f>
        <v>0.335</v>
      </c>
      <c r="E6436" s="8" t="str">
        <f>IFERROR(__xludf.DUMMYFUNCTION("""COMPUTED_VALUE"""),"Real")</f>
        <v>Real</v>
      </c>
      <c r="G6436" s="8">
        <f t="shared" si="1"/>
        <v>7</v>
      </c>
      <c r="H6436" s="14">
        <f t="shared" si="2"/>
        <v>27</v>
      </c>
      <c r="I6436" s="15">
        <f t="shared" si="3"/>
        <v>4</v>
      </c>
    </row>
    <row r="6437">
      <c r="A6437" s="8" t="str">
        <f>IFERROR(__xludf.DUMMYFUNCTION("IF('(INGESTA)Datos_consumo_datadis'!A6437&lt;&gt;"""",SPLIT('(INGESTA)Datos_consumo_datadis'!A:A,"",""),"""")"),"ES0031408323131005HX0F")</f>
        <v>ES0031408323131005HX0F</v>
      </c>
      <c r="B6437" s="12">
        <f>IFERROR(__xludf.DUMMYFUNCTION("""COMPUTED_VALUE"""),45134.0)</f>
        <v>45134</v>
      </c>
      <c r="C6437" s="13">
        <f>IFERROR(__xludf.DUMMYFUNCTION("""COMPUTED_VALUE"""),0.20833333333333334)</f>
        <v>0.2083333333</v>
      </c>
      <c r="D6437" s="8">
        <f>IFERROR(__xludf.DUMMYFUNCTION("""COMPUTED_VALUE"""),0.118)</f>
        <v>0.118</v>
      </c>
      <c r="E6437" s="8" t="str">
        <f>IFERROR(__xludf.DUMMYFUNCTION("""COMPUTED_VALUE"""),"Real")</f>
        <v>Real</v>
      </c>
      <c r="G6437" s="8">
        <f t="shared" si="1"/>
        <v>7</v>
      </c>
      <c r="H6437" s="14">
        <f t="shared" si="2"/>
        <v>27</v>
      </c>
      <c r="I6437" s="15">
        <f t="shared" si="3"/>
        <v>5</v>
      </c>
    </row>
    <row r="6438">
      <c r="A6438" s="8" t="str">
        <f>IFERROR(__xludf.DUMMYFUNCTION("IF('(INGESTA)Datos_consumo_datadis'!A6438&lt;&gt;"""",SPLIT('(INGESTA)Datos_consumo_datadis'!A:A,"",""),"""")"),"ES0031408323131005HX0F")</f>
        <v>ES0031408323131005HX0F</v>
      </c>
      <c r="B6438" s="12">
        <f>IFERROR(__xludf.DUMMYFUNCTION("""COMPUTED_VALUE"""),45134.0)</f>
        <v>45134</v>
      </c>
      <c r="C6438" s="13">
        <f>IFERROR(__xludf.DUMMYFUNCTION("""COMPUTED_VALUE"""),0.25)</f>
        <v>0.25</v>
      </c>
      <c r="D6438" s="8">
        <f>IFERROR(__xludf.DUMMYFUNCTION("""COMPUTED_VALUE"""),0.086)</f>
        <v>0.086</v>
      </c>
      <c r="E6438" s="8" t="str">
        <f>IFERROR(__xludf.DUMMYFUNCTION("""COMPUTED_VALUE"""),"Real")</f>
        <v>Real</v>
      </c>
      <c r="G6438" s="8">
        <f t="shared" si="1"/>
        <v>7</v>
      </c>
      <c r="H6438" s="14">
        <f t="shared" si="2"/>
        <v>27</v>
      </c>
      <c r="I6438" s="15">
        <f t="shared" si="3"/>
        <v>6</v>
      </c>
    </row>
    <row r="6439">
      <c r="A6439" s="8" t="str">
        <f>IFERROR(__xludf.DUMMYFUNCTION("IF('(INGESTA)Datos_consumo_datadis'!A6439&lt;&gt;"""",SPLIT('(INGESTA)Datos_consumo_datadis'!A:A,"",""),"""")"),"ES0031408323131005HX0F")</f>
        <v>ES0031408323131005HX0F</v>
      </c>
      <c r="B6439" s="12">
        <f>IFERROR(__xludf.DUMMYFUNCTION("""COMPUTED_VALUE"""),45134.0)</f>
        <v>45134</v>
      </c>
      <c r="C6439" s="13">
        <f>IFERROR(__xludf.DUMMYFUNCTION("""COMPUTED_VALUE"""),0.2916666666666667)</f>
        <v>0.2916666667</v>
      </c>
      <c r="D6439" s="8">
        <f>IFERROR(__xludf.DUMMYFUNCTION("""COMPUTED_VALUE"""),0.069)</f>
        <v>0.069</v>
      </c>
      <c r="E6439" s="8" t="str">
        <f>IFERROR(__xludf.DUMMYFUNCTION("""COMPUTED_VALUE"""),"Real")</f>
        <v>Real</v>
      </c>
      <c r="G6439" s="8">
        <f t="shared" si="1"/>
        <v>7</v>
      </c>
      <c r="H6439" s="14">
        <f t="shared" si="2"/>
        <v>27</v>
      </c>
      <c r="I6439" s="15">
        <f t="shared" si="3"/>
        <v>7</v>
      </c>
    </row>
    <row r="6440">
      <c r="A6440" s="8" t="str">
        <f>IFERROR(__xludf.DUMMYFUNCTION("IF('(INGESTA)Datos_consumo_datadis'!A6440&lt;&gt;"""",SPLIT('(INGESTA)Datos_consumo_datadis'!A:A,"",""),"""")"),"ES0031408323131005HX0F")</f>
        <v>ES0031408323131005HX0F</v>
      </c>
      <c r="B6440" s="12">
        <f>IFERROR(__xludf.DUMMYFUNCTION("""COMPUTED_VALUE"""),45134.0)</f>
        <v>45134</v>
      </c>
      <c r="C6440" s="13">
        <f>IFERROR(__xludf.DUMMYFUNCTION("""COMPUTED_VALUE"""),0.3333333333333333)</f>
        <v>0.3333333333</v>
      </c>
      <c r="D6440" s="8">
        <f>IFERROR(__xludf.DUMMYFUNCTION("""COMPUTED_VALUE"""),0.015)</f>
        <v>0.015</v>
      </c>
      <c r="E6440" s="8" t="str">
        <f>IFERROR(__xludf.DUMMYFUNCTION("""COMPUTED_VALUE"""),"Real")</f>
        <v>Real</v>
      </c>
      <c r="G6440" s="8">
        <f t="shared" si="1"/>
        <v>7</v>
      </c>
      <c r="H6440" s="14">
        <f t="shared" si="2"/>
        <v>27</v>
      </c>
      <c r="I6440" s="15">
        <f t="shared" si="3"/>
        <v>8</v>
      </c>
    </row>
    <row r="6441">
      <c r="A6441" s="8" t="str">
        <f>IFERROR(__xludf.DUMMYFUNCTION("IF('(INGESTA)Datos_consumo_datadis'!A6441&lt;&gt;"""",SPLIT('(INGESTA)Datos_consumo_datadis'!A:A,"",""),"""")"),"ES0031408323131005HX0F")</f>
        <v>ES0031408323131005HX0F</v>
      </c>
      <c r="B6441" s="12">
        <f>IFERROR(__xludf.DUMMYFUNCTION("""COMPUTED_VALUE"""),45134.0)</f>
        <v>45134</v>
      </c>
      <c r="C6441" s="13">
        <f>IFERROR(__xludf.DUMMYFUNCTION("""COMPUTED_VALUE"""),0.375)</f>
        <v>0.375</v>
      </c>
      <c r="D6441" s="8">
        <f>IFERROR(__xludf.DUMMYFUNCTION("""COMPUTED_VALUE"""),0.073)</f>
        <v>0.073</v>
      </c>
      <c r="E6441" s="8" t="str">
        <f>IFERROR(__xludf.DUMMYFUNCTION("""COMPUTED_VALUE"""),"Real")</f>
        <v>Real</v>
      </c>
      <c r="G6441" s="8">
        <f t="shared" si="1"/>
        <v>7</v>
      </c>
      <c r="H6441" s="14">
        <f t="shared" si="2"/>
        <v>27</v>
      </c>
      <c r="I6441" s="15">
        <f t="shared" si="3"/>
        <v>9</v>
      </c>
    </row>
    <row r="6442">
      <c r="A6442" s="8" t="str">
        <f>IFERROR(__xludf.DUMMYFUNCTION("IF('(INGESTA)Datos_consumo_datadis'!A6442&lt;&gt;"""",SPLIT('(INGESTA)Datos_consumo_datadis'!A:A,"",""),"""")"),"ES0031408323131005HX0F")</f>
        <v>ES0031408323131005HX0F</v>
      </c>
      <c r="B6442" s="12">
        <f>IFERROR(__xludf.DUMMYFUNCTION("""COMPUTED_VALUE"""),45134.0)</f>
        <v>45134</v>
      </c>
      <c r="C6442" s="13">
        <f>IFERROR(__xludf.DUMMYFUNCTION("""COMPUTED_VALUE"""),0.4166666666666667)</f>
        <v>0.4166666667</v>
      </c>
      <c r="D6442" s="8">
        <f>IFERROR(__xludf.DUMMYFUNCTION("""COMPUTED_VALUE"""),0.117)</f>
        <v>0.117</v>
      </c>
      <c r="E6442" s="8" t="str">
        <f>IFERROR(__xludf.DUMMYFUNCTION("""COMPUTED_VALUE"""),"Real")</f>
        <v>Real</v>
      </c>
      <c r="G6442" s="8">
        <f t="shared" si="1"/>
        <v>7</v>
      </c>
      <c r="H6442" s="14">
        <f t="shared" si="2"/>
        <v>27</v>
      </c>
      <c r="I6442" s="15">
        <f t="shared" si="3"/>
        <v>10</v>
      </c>
    </row>
    <row r="6443">
      <c r="A6443" s="8" t="str">
        <f>IFERROR(__xludf.DUMMYFUNCTION("IF('(INGESTA)Datos_consumo_datadis'!A6443&lt;&gt;"""",SPLIT('(INGESTA)Datos_consumo_datadis'!A:A,"",""),"""")"),"ES0031408323131005HX0F")</f>
        <v>ES0031408323131005HX0F</v>
      </c>
      <c r="B6443" s="12">
        <f>IFERROR(__xludf.DUMMYFUNCTION("""COMPUTED_VALUE"""),45134.0)</f>
        <v>45134</v>
      </c>
      <c r="C6443" s="13">
        <f>IFERROR(__xludf.DUMMYFUNCTION("""COMPUTED_VALUE"""),0.4583333333333333)</f>
        <v>0.4583333333</v>
      </c>
      <c r="D6443" s="8">
        <f>IFERROR(__xludf.DUMMYFUNCTION("""COMPUTED_VALUE"""),0.078)</f>
        <v>0.078</v>
      </c>
      <c r="E6443" s="8" t="str">
        <f>IFERROR(__xludf.DUMMYFUNCTION("""COMPUTED_VALUE"""),"Real")</f>
        <v>Real</v>
      </c>
      <c r="G6443" s="8">
        <f t="shared" si="1"/>
        <v>7</v>
      </c>
      <c r="H6443" s="14">
        <f t="shared" si="2"/>
        <v>27</v>
      </c>
      <c r="I6443" s="15">
        <f t="shared" si="3"/>
        <v>11</v>
      </c>
    </row>
    <row r="6444">
      <c r="A6444" s="8" t="str">
        <f>IFERROR(__xludf.DUMMYFUNCTION("IF('(INGESTA)Datos_consumo_datadis'!A6444&lt;&gt;"""",SPLIT('(INGESTA)Datos_consumo_datadis'!A:A,"",""),"""")"),"ES0031408323131005HX0F")</f>
        <v>ES0031408323131005HX0F</v>
      </c>
      <c r="B6444" s="12">
        <f>IFERROR(__xludf.DUMMYFUNCTION("""COMPUTED_VALUE"""),45134.0)</f>
        <v>45134</v>
      </c>
      <c r="C6444" s="13">
        <f>IFERROR(__xludf.DUMMYFUNCTION("""COMPUTED_VALUE"""),0.5)</f>
        <v>0.5</v>
      </c>
      <c r="D6444" s="8">
        <f>IFERROR(__xludf.DUMMYFUNCTION("""COMPUTED_VALUE"""),0.338)</f>
        <v>0.338</v>
      </c>
      <c r="E6444" s="8" t="str">
        <f>IFERROR(__xludf.DUMMYFUNCTION("""COMPUTED_VALUE"""),"Real")</f>
        <v>Real</v>
      </c>
      <c r="G6444" s="8">
        <f t="shared" si="1"/>
        <v>7</v>
      </c>
      <c r="H6444" s="14">
        <f t="shared" si="2"/>
        <v>27</v>
      </c>
      <c r="I6444" s="15">
        <f t="shared" si="3"/>
        <v>12</v>
      </c>
    </row>
    <row r="6445">
      <c r="A6445" s="8" t="str">
        <f>IFERROR(__xludf.DUMMYFUNCTION("IF('(INGESTA)Datos_consumo_datadis'!A6445&lt;&gt;"""",SPLIT('(INGESTA)Datos_consumo_datadis'!A:A,"",""),"""")"),"ES0031408323131005HX0F")</f>
        <v>ES0031408323131005HX0F</v>
      </c>
      <c r="B6445" s="12">
        <f>IFERROR(__xludf.DUMMYFUNCTION("""COMPUTED_VALUE"""),45134.0)</f>
        <v>45134</v>
      </c>
      <c r="C6445" s="13">
        <f>IFERROR(__xludf.DUMMYFUNCTION("""COMPUTED_VALUE"""),0.5416666666666666)</f>
        <v>0.5416666667</v>
      </c>
      <c r="D6445" s="8">
        <f>IFERROR(__xludf.DUMMYFUNCTION("""COMPUTED_VALUE"""),0.015)</f>
        <v>0.015</v>
      </c>
      <c r="E6445" s="8" t="str">
        <f>IFERROR(__xludf.DUMMYFUNCTION("""COMPUTED_VALUE"""),"Real")</f>
        <v>Real</v>
      </c>
      <c r="G6445" s="8">
        <f t="shared" si="1"/>
        <v>7</v>
      </c>
      <c r="H6445" s="14">
        <f t="shared" si="2"/>
        <v>27</v>
      </c>
      <c r="I6445" s="15">
        <f t="shared" si="3"/>
        <v>13</v>
      </c>
    </row>
    <row r="6446">
      <c r="A6446" s="8" t="str">
        <f>IFERROR(__xludf.DUMMYFUNCTION("IF('(INGESTA)Datos_consumo_datadis'!A6446&lt;&gt;"""",SPLIT('(INGESTA)Datos_consumo_datadis'!A:A,"",""),"""")"),"ES0031408323131005HX0F")</f>
        <v>ES0031408323131005HX0F</v>
      </c>
      <c r="B6446" s="12">
        <f>IFERROR(__xludf.DUMMYFUNCTION("""COMPUTED_VALUE"""),45134.0)</f>
        <v>45134</v>
      </c>
      <c r="C6446" s="13">
        <f>IFERROR(__xludf.DUMMYFUNCTION("""COMPUTED_VALUE"""),0.5833333333333334)</f>
        <v>0.5833333333</v>
      </c>
      <c r="D6446" s="8">
        <f>IFERROR(__xludf.DUMMYFUNCTION("""COMPUTED_VALUE"""),0.095)</f>
        <v>0.095</v>
      </c>
      <c r="E6446" s="8" t="str">
        <f>IFERROR(__xludf.DUMMYFUNCTION("""COMPUTED_VALUE"""),"Real")</f>
        <v>Real</v>
      </c>
      <c r="G6446" s="8">
        <f t="shared" si="1"/>
        <v>7</v>
      </c>
      <c r="H6446" s="14">
        <f t="shared" si="2"/>
        <v>27</v>
      </c>
      <c r="I6446" s="15">
        <f t="shared" si="3"/>
        <v>14</v>
      </c>
    </row>
    <row r="6447">
      <c r="A6447" s="8" t="str">
        <f>IFERROR(__xludf.DUMMYFUNCTION("IF('(INGESTA)Datos_consumo_datadis'!A6447&lt;&gt;"""",SPLIT('(INGESTA)Datos_consumo_datadis'!A:A,"",""),"""")"),"ES0031408323131005HX0F")</f>
        <v>ES0031408323131005HX0F</v>
      </c>
      <c r="B6447" s="12">
        <f>IFERROR(__xludf.DUMMYFUNCTION("""COMPUTED_VALUE"""),45134.0)</f>
        <v>45134</v>
      </c>
      <c r="C6447" s="13">
        <f>IFERROR(__xludf.DUMMYFUNCTION("""COMPUTED_VALUE"""),0.625)</f>
        <v>0.625</v>
      </c>
      <c r="D6447" s="8">
        <f>IFERROR(__xludf.DUMMYFUNCTION("""COMPUTED_VALUE"""),0.111)</f>
        <v>0.111</v>
      </c>
      <c r="E6447" s="8" t="str">
        <f>IFERROR(__xludf.DUMMYFUNCTION("""COMPUTED_VALUE"""),"Real")</f>
        <v>Real</v>
      </c>
      <c r="G6447" s="8">
        <f t="shared" si="1"/>
        <v>7</v>
      </c>
      <c r="H6447" s="14">
        <f t="shared" si="2"/>
        <v>27</v>
      </c>
      <c r="I6447" s="15">
        <f t="shared" si="3"/>
        <v>15</v>
      </c>
    </row>
    <row r="6448">
      <c r="A6448" s="8" t="str">
        <f>IFERROR(__xludf.DUMMYFUNCTION("IF('(INGESTA)Datos_consumo_datadis'!A6448&lt;&gt;"""",SPLIT('(INGESTA)Datos_consumo_datadis'!A:A,"",""),"""")"),"ES0031408323131005HX0F")</f>
        <v>ES0031408323131005HX0F</v>
      </c>
      <c r="B6448" s="12">
        <f>IFERROR(__xludf.DUMMYFUNCTION("""COMPUTED_VALUE"""),45134.0)</f>
        <v>45134</v>
      </c>
      <c r="C6448" s="13">
        <f>IFERROR(__xludf.DUMMYFUNCTION("""COMPUTED_VALUE"""),0.6666666666666666)</f>
        <v>0.6666666667</v>
      </c>
      <c r="D6448" s="8">
        <f>IFERROR(__xludf.DUMMYFUNCTION("""COMPUTED_VALUE"""),0.07)</f>
        <v>0.07</v>
      </c>
      <c r="E6448" s="8" t="str">
        <f>IFERROR(__xludf.DUMMYFUNCTION("""COMPUTED_VALUE"""),"Real")</f>
        <v>Real</v>
      </c>
      <c r="G6448" s="8">
        <f t="shared" si="1"/>
        <v>7</v>
      </c>
      <c r="H6448" s="14">
        <f t="shared" si="2"/>
        <v>27</v>
      </c>
      <c r="I6448" s="15">
        <f t="shared" si="3"/>
        <v>16</v>
      </c>
    </row>
    <row r="6449">
      <c r="A6449" s="8" t="str">
        <f>IFERROR(__xludf.DUMMYFUNCTION("IF('(INGESTA)Datos_consumo_datadis'!A6449&lt;&gt;"""",SPLIT('(INGESTA)Datos_consumo_datadis'!A:A,"",""),"""")"),"ES0031408323131005HX0F")</f>
        <v>ES0031408323131005HX0F</v>
      </c>
      <c r="B6449" s="12">
        <f>IFERROR(__xludf.DUMMYFUNCTION("""COMPUTED_VALUE"""),45134.0)</f>
        <v>45134</v>
      </c>
      <c r="C6449" s="13">
        <f>IFERROR(__xludf.DUMMYFUNCTION("""COMPUTED_VALUE"""),0.7083333333333334)</f>
        <v>0.7083333333</v>
      </c>
      <c r="D6449" s="8">
        <f>IFERROR(__xludf.DUMMYFUNCTION("""COMPUTED_VALUE"""),0.052)</f>
        <v>0.052</v>
      </c>
      <c r="E6449" s="8" t="str">
        <f>IFERROR(__xludf.DUMMYFUNCTION("""COMPUTED_VALUE"""),"Real")</f>
        <v>Real</v>
      </c>
      <c r="G6449" s="8">
        <f t="shared" si="1"/>
        <v>7</v>
      </c>
      <c r="H6449" s="14">
        <f t="shared" si="2"/>
        <v>27</v>
      </c>
      <c r="I6449" s="15">
        <f t="shared" si="3"/>
        <v>17</v>
      </c>
    </row>
    <row r="6450">
      <c r="A6450" s="8" t="str">
        <f>IFERROR(__xludf.DUMMYFUNCTION("IF('(INGESTA)Datos_consumo_datadis'!A6450&lt;&gt;"""",SPLIT('(INGESTA)Datos_consumo_datadis'!A:A,"",""),"""")"),"ES0031408323131005HX0F")</f>
        <v>ES0031408323131005HX0F</v>
      </c>
      <c r="B6450" s="12">
        <f>IFERROR(__xludf.DUMMYFUNCTION("""COMPUTED_VALUE"""),45134.0)</f>
        <v>45134</v>
      </c>
      <c r="C6450" s="13">
        <f>IFERROR(__xludf.DUMMYFUNCTION("""COMPUTED_VALUE"""),0.75)</f>
        <v>0.75</v>
      </c>
      <c r="D6450" s="8">
        <f>IFERROR(__xludf.DUMMYFUNCTION("""COMPUTED_VALUE"""),0.014)</f>
        <v>0.014</v>
      </c>
      <c r="E6450" s="8" t="str">
        <f>IFERROR(__xludf.DUMMYFUNCTION("""COMPUTED_VALUE"""),"Real")</f>
        <v>Real</v>
      </c>
      <c r="G6450" s="8">
        <f t="shared" si="1"/>
        <v>7</v>
      </c>
      <c r="H6450" s="14">
        <f t="shared" si="2"/>
        <v>27</v>
      </c>
      <c r="I6450" s="15">
        <f t="shared" si="3"/>
        <v>18</v>
      </c>
    </row>
    <row r="6451">
      <c r="A6451" s="8" t="str">
        <f>IFERROR(__xludf.DUMMYFUNCTION("IF('(INGESTA)Datos_consumo_datadis'!A6451&lt;&gt;"""",SPLIT('(INGESTA)Datos_consumo_datadis'!A:A,"",""),"""")"),"ES0031408323131005HX0F")</f>
        <v>ES0031408323131005HX0F</v>
      </c>
      <c r="B6451" s="12">
        <f>IFERROR(__xludf.DUMMYFUNCTION("""COMPUTED_VALUE"""),45134.0)</f>
        <v>45134</v>
      </c>
      <c r="C6451" s="13">
        <f>IFERROR(__xludf.DUMMYFUNCTION("""COMPUTED_VALUE"""),0.7916666666666666)</f>
        <v>0.7916666667</v>
      </c>
      <c r="D6451" s="8">
        <f>IFERROR(__xludf.DUMMYFUNCTION("""COMPUTED_VALUE"""),0.115)</f>
        <v>0.115</v>
      </c>
      <c r="E6451" s="8" t="str">
        <f>IFERROR(__xludf.DUMMYFUNCTION("""COMPUTED_VALUE"""),"Real")</f>
        <v>Real</v>
      </c>
      <c r="G6451" s="8">
        <f t="shared" si="1"/>
        <v>7</v>
      </c>
      <c r="H6451" s="14">
        <f t="shared" si="2"/>
        <v>27</v>
      </c>
      <c r="I6451" s="15">
        <f t="shared" si="3"/>
        <v>19</v>
      </c>
    </row>
    <row r="6452">
      <c r="A6452" s="8" t="str">
        <f>IFERROR(__xludf.DUMMYFUNCTION("IF('(INGESTA)Datos_consumo_datadis'!A6452&lt;&gt;"""",SPLIT('(INGESTA)Datos_consumo_datadis'!A:A,"",""),"""")"),"ES0031408323131005HX0F")</f>
        <v>ES0031408323131005HX0F</v>
      </c>
      <c r="B6452" s="12">
        <f>IFERROR(__xludf.DUMMYFUNCTION("""COMPUTED_VALUE"""),45134.0)</f>
        <v>45134</v>
      </c>
      <c r="C6452" s="13">
        <f>IFERROR(__xludf.DUMMYFUNCTION("""COMPUTED_VALUE"""),0.8333333333333334)</f>
        <v>0.8333333333</v>
      </c>
      <c r="D6452" s="8">
        <f>IFERROR(__xludf.DUMMYFUNCTION("""COMPUTED_VALUE"""),0.382)</f>
        <v>0.382</v>
      </c>
      <c r="E6452" s="8" t="str">
        <f>IFERROR(__xludf.DUMMYFUNCTION("""COMPUTED_VALUE"""),"Real")</f>
        <v>Real</v>
      </c>
      <c r="G6452" s="8">
        <f t="shared" si="1"/>
        <v>7</v>
      </c>
      <c r="H6452" s="14">
        <f t="shared" si="2"/>
        <v>27</v>
      </c>
      <c r="I6452" s="15">
        <f t="shared" si="3"/>
        <v>20</v>
      </c>
    </row>
    <row r="6453">
      <c r="A6453" s="8" t="str">
        <f>IFERROR(__xludf.DUMMYFUNCTION("IF('(INGESTA)Datos_consumo_datadis'!A6453&lt;&gt;"""",SPLIT('(INGESTA)Datos_consumo_datadis'!A:A,"",""),"""")"),"ES0031408323131005HX0F")</f>
        <v>ES0031408323131005HX0F</v>
      </c>
      <c r="B6453" s="12">
        <f>IFERROR(__xludf.DUMMYFUNCTION("""COMPUTED_VALUE"""),45134.0)</f>
        <v>45134</v>
      </c>
      <c r="C6453" s="13">
        <f>IFERROR(__xludf.DUMMYFUNCTION("""COMPUTED_VALUE"""),0.875)</f>
        <v>0.875</v>
      </c>
      <c r="D6453" s="8">
        <f>IFERROR(__xludf.DUMMYFUNCTION("""COMPUTED_VALUE"""),0.086)</f>
        <v>0.086</v>
      </c>
      <c r="E6453" s="8" t="str">
        <f>IFERROR(__xludf.DUMMYFUNCTION("""COMPUTED_VALUE"""),"Real")</f>
        <v>Real</v>
      </c>
      <c r="G6453" s="8">
        <f t="shared" si="1"/>
        <v>7</v>
      </c>
      <c r="H6453" s="14">
        <f t="shared" si="2"/>
        <v>27</v>
      </c>
      <c r="I6453" s="15">
        <f t="shared" si="3"/>
        <v>21</v>
      </c>
    </row>
    <row r="6454">
      <c r="A6454" s="8" t="str">
        <f>IFERROR(__xludf.DUMMYFUNCTION("IF('(INGESTA)Datos_consumo_datadis'!A6454&lt;&gt;"""",SPLIT('(INGESTA)Datos_consumo_datadis'!A:A,"",""),"""")"),"ES0031408323131005HX0F")</f>
        <v>ES0031408323131005HX0F</v>
      </c>
      <c r="B6454" s="12">
        <f>IFERROR(__xludf.DUMMYFUNCTION("""COMPUTED_VALUE"""),45134.0)</f>
        <v>45134</v>
      </c>
      <c r="C6454" s="13">
        <f>IFERROR(__xludf.DUMMYFUNCTION("""COMPUTED_VALUE"""),0.9166666666666666)</f>
        <v>0.9166666667</v>
      </c>
      <c r="D6454" s="8">
        <f>IFERROR(__xludf.DUMMYFUNCTION("""COMPUTED_VALUE"""),0.04)</f>
        <v>0.04</v>
      </c>
      <c r="E6454" s="8" t="str">
        <f>IFERROR(__xludf.DUMMYFUNCTION("""COMPUTED_VALUE"""),"Real")</f>
        <v>Real</v>
      </c>
      <c r="G6454" s="8">
        <f t="shared" si="1"/>
        <v>7</v>
      </c>
      <c r="H6454" s="14">
        <f t="shared" si="2"/>
        <v>27</v>
      </c>
      <c r="I6454" s="15">
        <f t="shared" si="3"/>
        <v>22</v>
      </c>
    </row>
    <row r="6455">
      <c r="A6455" s="8" t="str">
        <f>IFERROR(__xludf.DUMMYFUNCTION("IF('(INGESTA)Datos_consumo_datadis'!A6455&lt;&gt;"""",SPLIT('(INGESTA)Datos_consumo_datadis'!A:A,"",""),"""")"),"ES0031408323131005HX0F")</f>
        <v>ES0031408323131005HX0F</v>
      </c>
      <c r="B6455" s="12">
        <f>IFERROR(__xludf.DUMMYFUNCTION("""COMPUTED_VALUE"""),45134.0)</f>
        <v>45134</v>
      </c>
      <c r="C6455" s="13">
        <f>IFERROR(__xludf.DUMMYFUNCTION("""COMPUTED_VALUE"""),0.9583333333333334)</f>
        <v>0.9583333333</v>
      </c>
      <c r="D6455" s="8">
        <f>IFERROR(__xludf.DUMMYFUNCTION("""COMPUTED_VALUE"""),0.019)</f>
        <v>0.019</v>
      </c>
      <c r="E6455" s="8" t="str">
        <f>IFERROR(__xludf.DUMMYFUNCTION("""COMPUTED_VALUE"""),"Real")</f>
        <v>Real</v>
      </c>
      <c r="G6455" s="8">
        <f t="shared" si="1"/>
        <v>7</v>
      </c>
      <c r="H6455" s="14">
        <f t="shared" si="2"/>
        <v>27</v>
      </c>
      <c r="I6455" s="15">
        <f t="shared" si="3"/>
        <v>23</v>
      </c>
    </row>
    <row r="6456">
      <c r="A6456" s="8" t="str">
        <f>IFERROR(__xludf.DUMMYFUNCTION("IF('(INGESTA)Datos_consumo_datadis'!A6456&lt;&gt;"""",SPLIT('(INGESTA)Datos_consumo_datadis'!A:A,"",""),"""")"),"ES0031408323131005HX0F")</f>
        <v>ES0031408323131005HX0F</v>
      </c>
      <c r="B6456" s="12">
        <f>IFERROR(__xludf.DUMMYFUNCTION("""COMPUTED_VALUE"""),45134.0)</f>
        <v>45134</v>
      </c>
      <c r="C6456" s="16">
        <f>IFERROR(__xludf.DUMMYFUNCTION("""COMPUTED_VALUE"""),1.0)</f>
        <v>1</v>
      </c>
      <c r="D6456" s="8">
        <f>IFERROR(__xludf.DUMMYFUNCTION("""COMPUTED_VALUE"""),0.123)</f>
        <v>0.123</v>
      </c>
      <c r="E6456" s="8" t="str">
        <f>IFERROR(__xludf.DUMMYFUNCTION("""COMPUTED_VALUE"""),"Real")</f>
        <v>Real</v>
      </c>
      <c r="G6456" s="8">
        <f t="shared" si="1"/>
        <v>7</v>
      </c>
      <c r="H6456" s="14">
        <f t="shared" si="2"/>
        <v>27</v>
      </c>
      <c r="I6456" s="15">
        <f t="shared" si="3"/>
        <v>0</v>
      </c>
    </row>
    <row r="6457">
      <c r="A6457" s="8" t="str">
        <f>IFERROR(__xludf.DUMMYFUNCTION("IF('(INGESTA)Datos_consumo_datadis'!A6457&lt;&gt;"""",SPLIT('(INGESTA)Datos_consumo_datadis'!A:A,"",""),"""")"),"ES0031408323131005HX0F")</f>
        <v>ES0031408323131005HX0F</v>
      </c>
      <c r="B6457" s="12">
        <f>IFERROR(__xludf.DUMMYFUNCTION("""COMPUTED_VALUE"""),45135.0)</f>
        <v>45135</v>
      </c>
      <c r="C6457" s="13">
        <f>IFERROR(__xludf.DUMMYFUNCTION("""COMPUTED_VALUE"""),0.041666666666666664)</f>
        <v>0.04166666667</v>
      </c>
      <c r="D6457" s="8">
        <f>IFERROR(__xludf.DUMMYFUNCTION("""COMPUTED_VALUE"""),0.088)</f>
        <v>0.088</v>
      </c>
      <c r="E6457" s="8" t="str">
        <f>IFERROR(__xludf.DUMMYFUNCTION("""COMPUTED_VALUE"""),"Real")</f>
        <v>Real</v>
      </c>
      <c r="G6457" s="8">
        <f t="shared" si="1"/>
        <v>7</v>
      </c>
      <c r="H6457" s="14">
        <f t="shared" si="2"/>
        <v>28</v>
      </c>
      <c r="I6457" s="15">
        <f t="shared" si="3"/>
        <v>1</v>
      </c>
    </row>
    <row r="6458">
      <c r="A6458" s="8" t="str">
        <f>IFERROR(__xludf.DUMMYFUNCTION("IF('(INGESTA)Datos_consumo_datadis'!A6458&lt;&gt;"""",SPLIT('(INGESTA)Datos_consumo_datadis'!A:A,"",""),"""")"),"ES0031408323131005HX0F")</f>
        <v>ES0031408323131005HX0F</v>
      </c>
      <c r="B6458" s="12">
        <f>IFERROR(__xludf.DUMMYFUNCTION("""COMPUTED_VALUE"""),45135.0)</f>
        <v>45135</v>
      </c>
      <c r="C6458" s="13">
        <f>IFERROR(__xludf.DUMMYFUNCTION("""COMPUTED_VALUE"""),0.08333333333333333)</f>
        <v>0.08333333333</v>
      </c>
      <c r="D6458" s="8">
        <f>IFERROR(__xludf.DUMMYFUNCTION("""COMPUTED_VALUE"""),0.095)</f>
        <v>0.095</v>
      </c>
      <c r="E6458" s="8" t="str">
        <f>IFERROR(__xludf.DUMMYFUNCTION("""COMPUTED_VALUE"""),"Real")</f>
        <v>Real</v>
      </c>
      <c r="G6458" s="8">
        <f t="shared" si="1"/>
        <v>7</v>
      </c>
      <c r="H6458" s="14">
        <f t="shared" si="2"/>
        <v>28</v>
      </c>
      <c r="I6458" s="15">
        <f t="shared" si="3"/>
        <v>2</v>
      </c>
    </row>
    <row r="6459">
      <c r="A6459" s="8" t="str">
        <f>IFERROR(__xludf.DUMMYFUNCTION("IF('(INGESTA)Datos_consumo_datadis'!A6459&lt;&gt;"""",SPLIT('(INGESTA)Datos_consumo_datadis'!A:A,"",""),"""")"),"ES0031408323131005HX0F")</f>
        <v>ES0031408323131005HX0F</v>
      </c>
      <c r="B6459" s="12">
        <f>IFERROR(__xludf.DUMMYFUNCTION("""COMPUTED_VALUE"""),45135.0)</f>
        <v>45135</v>
      </c>
      <c r="C6459" s="13">
        <f>IFERROR(__xludf.DUMMYFUNCTION("""COMPUTED_VALUE"""),0.125)</f>
        <v>0.125</v>
      </c>
      <c r="D6459" s="8">
        <f>IFERROR(__xludf.DUMMYFUNCTION("""COMPUTED_VALUE"""),0.046)</f>
        <v>0.046</v>
      </c>
      <c r="E6459" s="8" t="str">
        <f>IFERROR(__xludf.DUMMYFUNCTION("""COMPUTED_VALUE"""),"Real")</f>
        <v>Real</v>
      </c>
      <c r="G6459" s="8">
        <f t="shared" si="1"/>
        <v>7</v>
      </c>
      <c r="H6459" s="14">
        <f t="shared" si="2"/>
        <v>28</v>
      </c>
      <c r="I6459" s="15">
        <f t="shared" si="3"/>
        <v>3</v>
      </c>
    </row>
    <row r="6460">
      <c r="A6460" s="8" t="str">
        <f>IFERROR(__xludf.DUMMYFUNCTION("IF('(INGESTA)Datos_consumo_datadis'!A6460&lt;&gt;"""",SPLIT('(INGESTA)Datos_consumo_datadis'!A:A,"",""),"""")"),"ES0031408323131005HX0F")</f>
        <v>ES0031408323131005HX0F</v>
      </c>
      <c r="B6460" s="12">
        <f>IFERROR(__xludf.DUMMYFUNCTION("""COMPUTED_VALUE"""),45135.0)</f>
        <v>45135</v>
      </c>
      <c r="C6460" s="13">
        <f>IFERROR(__xludf.DUMMYFUNCTION("""COMPUTED_VALUE"""),0.16666666666666666)</f>
        <v>0.1666666667</v>
      </c>
      <c r="D6460" s="8">
        <f>IFERROR(__xludf.DUMMYFUNCTION("""COMPUTED_VALUE"""),0.042)</f>
        <v>0.042</v>
      </c>
      <c r="E6460" s="8" t="str">
        <f>IFERROR(__xludf.DUMMYFUNCTION("""COMPUTED_VALUE"""),"Real")</f>
        <v>Real</v>
      </c>
      <c r="G6460" s="8">
        <f t="shared" si="1"/>
        <v>7</v>
      </c>
      <c r="H6460" s="14">
        <f t="shared" si="2"/>
        <v>28</v>
      </c>
      <c r="I6460" s="15">
        <f t="shared" si="3"/>
        <v>4</v>
      </c>
    </row>
    <row r="6461">
      <c r="A6461" s="8" t="str">
        <f>IFERROR(__xludf.DUMMYFUNCTION("IF('(INGESTA)Datos_consumo_datadis'!A6461&lt;&gt;"""",SPLIT('(INGESTA)Datos_consumo_datadis'!A:A,"",""),"""")"),"ES0031408323131005HX0F")</f>
        <v>ES0031408323131005HX0F</v>
      </c>
      <c r="B6461" s="12">
        <f>IFERROR(__xludf.DUMMYFUNCTION("""COMPUTED_VALUE"""),45135.0)</f>
        <v>45135</v>
      </c>
      <c r="C6461" s="13">
        <f>IFERROR(__xludf.DUMMYFUNCTION("""COMPUTED_VALUE"""),0.20833333333333334)</f>
        <v>0.2083333333</v>
      </c>
      <c r="D6461" s="8">
        <f>IFERROR(__xludf.DUMMYFUNCTION("""COMPUTED_VALUE"""),0.411)</f>
        <v>0.411</v>
      </c>
      <c r="E6461" s="8" t="str">
        <f>IFERROR(__xludf.DUMMYFUNCTION("""COMPUTED_VALUE"""),"Real")</f>
        <v>Real</v>
      </c>
      <c r="G6461" s="8">
        <f t="shared" si="1"/>
        <v>7</v>
      </c>
      <c r="H6461" s="14">
        <f t="shared" si="2"/>
        <v>28</v>
      </c>
      <c r="I6461" s="15">
        <f t="shared" si="3"/>
        <v>5</v>
      </c>
    </row>
    <row r="6462">
      <c r="A6462" s="8" t="str">
        <f>IFERROR(__xludf.DUMMYFUNCTION("IF('(INGESTA)Datos_consumo_datadis'!A6462&lt;&gt;"""",SPLIT('(INGESTA)Datos_consumo_datadis'!A:A,"",""),"""")"),"ES0031408323131005HX0F")</f>
        <v>ES0031408323131005HX0F</v>
      </c>
      <c r="B6462" s="12">
        <f>IFERROR(__xludf.DUMMYFUNCTION("""COMPUTED_VALUE"""),45135.0)</f>
        <v>45135</v>
      </c>
      <c r="C6462" s="13">
        <f>IFERROR(__xludf.DUMMYFUNCTION("""COMPUTED_VALUE"""),0.25)</f>
        <v>0.25</v>
      </c>
      <c r="D6462" s="8">
        <f>IFERROR(__xludf.DUMMYFUNCTION("""COMPUTED_VALUE"""),0.118)</f>
        <v>0.118</v>
      </c>
      <c r="E6462" s="8" t="str">
        <f>IFERROR(__xludf.DUMMYFUNCTION("""COMPUTED_VALUE"""),"Real")</f>
        <v>Real</v>
      </c>
      <c r="G6462" s="8">
        <f t="shared" si="1"/>
        <v>7</v>
      </c>
      <c r="H6462" s="14">
        <f t="shared" si="2"/>
        <v>28</v>
      </c>
      <c r="I6462" s="15">
        <f t="shared" si="3"/>
        <v>6</v>
      </c>
    </row>
    <row r="6463">
      <c r="A6463" s="8" t="str">
        <f>IFERROR(__xludf.DUMMYFUNCTION("IF('(INGESTA)Datos_consumo_datadis'!A6463&lt;&gt;"""",SPLIT('(INGESTA)Datos_consumo_datadis'!A:A,"",""),"""")"),"ES0031408323131005HX0F")</f>
        <v>ES0031408323131005HX0F</v>
      </c>
      <c r="B6463" s="12">
        <f>IFERROR(__xludf.DUMMYFUNCTION("""COMPUTED_VALUE"""),45135.0)</f>
        <v>45135</v>
      </c>
      <c r="C6463" s="13">
        <f>IFERROR(__xludf.DUMMYFUNCTION("""COMPUTED_VALUE"""),0.2916666666666667)</f>
        <v>0.2916666667</v>
      </c>
      <c r="D6463" s="8">
        <f>IFERROR(__xludf.DUMMYFUNCTION("""COMPUTED_VALUE"""),0.071)</f>
        <v>0.071</v>
      </c>
      <c r="E6463" s="8" t="str">
        <f>IFERROR(__xludf.DUMMYFUNCTION("""COMPUTED_VALUE"""),"Real")</f>
        <v>Real</v>
      </c>
      <c r="G6463" s="8">
        <f t="shared" si="1"/>
        <v>7</v>
      </c>
      <c r="H6463" s="14">
        <f t="shared" si="2"/>
        <v>28</v>
      </c>
      <c r="I6463" s="15">
        <f t="shared" si="3"/>
        <v>7</v>
      </c>
    </row>
    <row r="6464">
      <c r="A6464" s="8" t="str">
        <f>IFERROR(__xludf.DUMMYFUNCTION("IF('(INGESTA)Datos_consumo_datadis'!A6464&lt;&gt;"""",SPLIT('(INGESTA)Datos_consumo_datadis'!A:A,"",""),"""")"),"ES0031408323131005HX0F")</f>
        <v>ES0031408323131005HX0F</v>
      </c>
      <c r="B6464" s="12">
        <f>IFERROR(__xludf.DUMMYFUNCTION("""COMPUTED_VALUE"""),45135.0)</f>
        <v>45135</v>
      </c>
      <c r="C6464" s="13">
        <f>IFERROR(__xludf.DUMMYFUNCTION("""COMPUTED_VALUE"""),0.3333333333333333)</f>
        <v>0.3333333333</v>
      </c>
      <c r="D6464" s="8">
        <f>IFERROR(__xludf.DUMMYFUNCTION("""COMPUTED_VALUE"""),0.054)</f>
        <v>0.054</v>
      </c>
      <c r="E6464" s="8" t="str">
        <f>IFERROR(__xludf.DUMMYFUNCTION("""COMPUTED_VALUE"""),"Real")</f>
        <v>Real</v>
      </c>
      <c r="G6464" s="8">
        <f t="shared" si="1"/>
        <v>7</v>
      </c>
      <c r="H6464" s="14">
        <f t="shared" si="2"/>
        <v>28</v>
      </c>
      <c r="I6464" s="15">
        <f t="shared" si="3"/>
        <v>8</v>
      </c>
    </row>
    <row r="6465">
      <c r="A6465" s="8" t="str">
        <f>IFERROR(__xludf.DUMMYFUNCTION("IF('(INGESTA)Datos_consumo_datadis'!A6465&lt;&gt;"""",SPLIT('(INGESTA)Datos_consumo_datadis'!A:A,"",""),"""")"),"ES0031408323131005HX0F")</f>
        <v>ES0031408323131005HX0F</v>
      </c>
      <c r="B6465" s="12">
        <f>IFERROR(__xludf.DUMMYFUNCTION("""COMPUTED_VALUE"""),45135.0)</f>
        <v>45135</v>
      </c>
      <c r="C6465" s="13">
        <f>IFERROR(__xludf.DUMMYFUNCTION("""COMPUTED_VALUE"""),0.375)</f>
        <v>0.375</v>
      </c>
      <c r="D6465" s="8">
        <f>IFERROR(__xludf.DUMMYFUNCTION("""COMPUTED_VALUE"""),0.014)</f>
        <v>0.014</v>
      </c>
      <c r="E6465" s="8" t="str">
        <f>IFERROR(__xludf.DUMMYFUNCTION("""COMPUTED_VALUE"""),"Real")</f>
        <v>Real</v>
      </c>
      <c r="G6465" s="8">
        <f t="shared" si="1"/>
        <v>7</v>
      </c>
      <c r="H6465" s="14">
        <f t="shared" si="2"/>
        <v>28</v>
      </c>
      <c r="I6465" s="15">
        <f t="shared" si="3"/>
        <v>9</v>
      </c>
    </row>
    <row r="6466">
      <c r="A6466" s="8" t="str">
        <f>IFERROR(__xludf.DUMMYFUNCTION("IF('(INGESTA)Datos_consumo_datadis'!A6466&lt;&gt;"""",SPLIT('(INGESTA)Datos_consumo_datadis'!A:A,"",""),"""")"),"ES0031408323131005HX0F")</f>
        <v>ES0031408323131005HX0F</v>
      </c>
      <c r="B6466" s="12">
        <f>IFERROR(__xludf.DUMMYFUNCTION("""COMPUTED_VALUE"""),45135.0)</f>
        <v>45135</v>
      </c>
      <c r="C6466" s="13">
        <f>IFERROR(__xludf.DUMMYFUNCTION("""COMPUTED_VALUE"""),0.4166666666666667)</f>
        <v>0.4166666667</v>
      </c>
      <c r="D6466" s="8">
        <f>IFERROR(__xludf.DUMMYFUNCTION("""COMPUTED_VALUE"""),0.115)</f>
        <v>0.115</v>
      </c>
      <c r="E6466" s="8" t="str">
        <f>IFERROR(__xludf.DUMMYFUNCTION("""COMPUTED_VALUE"""),"Real")</f>
        <v>Real</v>
      </c>
      <c r="G6466" s="8">
        <f t="shared" si="1"/>
        <v>7</v>
      </c>
      <c r="H6466" s="14">
        <f t="shared" si="2"/>
        <v>28</v>
      </c>
      <c r="I6466" s="15">
        <f t="shared" si="3"/>
        <v>10</v>
      </c>
    </row>
    <row r="6467">
      <c r="A6467" s="8" t="str">
        <f>IFERROR(__xludf.DUMMYFUNCTION("IF('(INGESTA)Datos_consumo_datadis'!A6467&lt;&gt;"""",SPLIT('(INGESTA)Datos_consumo_datadis'!A:A,"",""),"""")"),"ES0031408323131005HX0F")</f>
        <v>ES0031408323131005HX0F</v>
      </c>
      <c r="B6467" s="12">
        <f>IFERROR(__xludf.DUMMYFUNCTION("""COMPUTED_VALUE"""),45135.0)</f>
        <v>45135</v>
      </c>
      <c r="C6467" s="13">
        <f>IFERROR(__xludf.DUMMYFUNCTION("""COMPUTED_VALUE"""),0.4583333333333333)</f>
        <v>0.4583333333</v>
      </c>
      <c r="D6467" s="8">
        <f>IFERROR(__xludf.DUMMYFUNCTION("""COMPUTED_VALUE"""),0.091)</f>
        <v>0.091</v>
      </c>
      <c r="E6467" s="8" t="str">
        <f>IFERROR(__xludf.DUMMYFUNCTION("""COMPUTED_VALUE"""),"Real")</f>
        <v>Real</v>
      </c>
      <c r="G6467" s="8">
        <f t="shared" si="1"/>
        <v>7</v>
      </c>
      <c r="H6467" s="14">
        <f t="shared" si="2"/>
        <v>28</v>
      </c>
      <c r="I6467" s="15">
        <f t="shared" si="3"/>
        <v>11</v>
      </c>
    </row>
    <row r="6468">
      <c r="A6468" s="8" t="str">
        <f>IFERROR(__xludf.DUMMYFUNCTION("IF('(INGESTA)Datos_consumo_datadis'!A6468&lt;&gt;"""",SPLIT('(INGESTA)Datos_consumo_datadis'!A:A,"",""),"""")"),"ES0031408323131005HX0F")</f>
        <v>ES0031408323131005HX0F</v>
      </c>
      <c r="B6468" s="12">
        <f>IFERROR(__xludf.DUMMYFUNCTION("""COMPUTED_VALUE"""),45135.0)</f>
        <v>45135</v>
      </c>
      <c r="C6468" s="13">
        <f>IFERROR(__xludf.DUMMYFUNCTION("""COMPUTED_VALUE"""),0.5)</f>
        <v>0.5</v>
      </c>
      <c r="D6468" s="8">
        <f>IFERROR(__xludf.DUMMYFUNCTION("""COMPUTED_VALUE"""),0.091)</f>
        <v>0.091</v>
      </c>
      <c r="E6468" s="8" t="str">
        <f>IFERROR(__xludf.DUMMYFUNCTION("""COMPUTED_VALUE"""),"Real")</f>
        <v>Real</v>
      </c>
      <c r="G6468" s="8">
        <f t="shared" si="1"/>
        <v>7</v>
      </c>
      <c r="H6468" s="14">
        <f t="shared" si="2"/>
        <v>28</v>
      </c>
      <c r="I6468" s="15">
        <f t="shared" si="3"/>
        <v>12</v>
      </c>
    </row>
    <row r="6469">
      <c r="A6469" s="8" t="str">
        <f>IFERROR(__xludf.DUMMYFUNCTION("IF('(INGESTA)Datos_consumo_datadis'!A6469&lt;&gt;"""",SPLIT('(INGESTA)Datos_consumo_datadis'!A:A,"",""),"""")"),"ES0031408323131005HX0F")</f>
        <v>ES0031408323131005HX0F</v>
      </c>
      <c r="B6469" s="12">
        <f>IFERROR(__xludf.DUMMYFUNCTION("""COMPUTED_VALUE"""),45135.0)</f>
        <v>45135</v>
      </c>
      <c r="C6469" s="13">
        <f>IFERROR(__xludf.DUMMYFUNCTION("""COMPUTED_VALUE"""),0.5416666666666666)</f>
        <v>0.5416666667</v>
      </c>
      <c r="D6469" s="8">
        <f>IFERROR(__xludf.DUMMYFUNCTION("""COMPUTED_VALUE"""),0.305)</f>
        <v>0.305</v>
      </c>
      <c r="E6469" s="8" t="str">
        <f>IFERROR(__xludf.DUMMYFUNCTION("""COMPUTED_VALUE"""),"Real")</f>
        <v>Real</v>
      </c>
      <c r="G6469" s="8">
        <f t="shared" si="1"/>
        <v>7</v>
      </c>
      <c r="H6469" s="14">
        <f t="shared" si="2"/>
        <v>28</v>
      </c>
      <c r="I6469" s="15">
        <f t="shared" si="3"/>
        <v>13</v>
      </c>
    </row>
    <row r="6470">
      <c r="A6470" s="8" t="str">
        <f>IFERROR(__xludf.DUMMYFUNCTION("IF('(INGESTA)Datos_consumo_datadis'!A6470&lt;&gt;"""",SPLIT('(INGESTA)Datos_consumo_datadis'!A:A,"",""),"""")"),"ES0031408323131005HX0F")</f>
        <v>ES0031408323131005HX0F</v>
      </c>
      <c r="B6470" s="12">
        <f>IFERROR(__xludf.DUMMYFUNCTION("""COMPUTED_VALUE"""),45135.0)</f>
        <v>45135</v>
      </c>
      <c r="C6470" s="13">
        <f>IFERROR(__xludf.DUMMYFUNCTION("""COMPUTED_VALUE"""),0.5833333333333334)</f>
        <v>0.5833333333</v>
      </c>
      <c r="D6470" s="8">
        <f>IFERROR(__xludf.DUMMYFUNCTION("""COMPUTED_VALUE"""),0.032)</f>
        <v>0.032</v>
      </c>
      <c r="E6470" s="8" t="str">
        <f>IFERROR(__xludf.DUMMYFUNCTION("""COMPUTED_VALUE"""),"Real")</f>
        <v>Real</v>
      </c>
      <c r="G6470" s="8">
        <f t="shared" si="1"/>
        <v>7</v>
      </c>
      <c r="H6470" s="14">
        <f t="shared" si="2"/>
        <v>28</v>
      </c>
      <c r="I6470" s="15">
        <f t="shared" si="3"/>
        <v>14</v>
      </c>
    </row>
    <row r="6471">
      <c r="A6471" s="8" t="str">
        <f>IFERROR(__xludf.DUMMYFUNCTION("IF('(INGESTA)Datos_consumo_datadis'!A6471&lt;&gt;"""",SPLIT('(INGESTA)Datos_consumo_datadis'!A:A,"",""),"""")"),"ES0031408323131005HX0F")</f>
        <v>ES0031408323131005HX0F</v>
      </c>
      <c r="B6471" s="12">
        <f>IFERROR(__xludf.DUMMYFUNCTION("""COMPUTED_VALUE"""),45135.0)</f>
        <v>45135</v>
      </c>
      <c r="C6471" s="13">
        <f>IFERROR(__xludf.DUMMYFUNCTION("""COMPUTED_VALUE"""),0.625)</f>
        <v>0.625</v>
      </c>
      <c r="D6471" s="8">
        <f>IFERROR(__xludf.DUMMYFUNCTION("""COMPUTED_VALUE"""),0.12)</f>
        <v>0.12</v>
      </c>
      <c r="E6471" s="8" t="str">
        <f>IFERROR(__xludf.DUMMYFUNCTION("""COMPUTED_VALUE"""),"Real")</f>
        <v>Real</v>
      </c>
      <c r="G6471" s="8">
        <f t="shared" si="1"/>
        <v>7</v>
      </c>
      <c r="H6471" s="14">
        <f t="shared" si="2"/>
        <v>28</v>
      </c>
      <c r="I6471" s="15">
        <f t="shared" si="3"/>
        <v>15</v>
      </c>
    </row>
    <row r="6472">
      <c r="A6472" s="8" t="str">
        <f>IFERROR(__xludf.DUMMYFUNCTION("IF('(INGESTA)Datos_consumo_datadis'!A6472&lt;&gt;"""",SPLIT('(INGESTA)Datos_consumo_datadis'!A:A,"",""),"""")"),"ES0031408323131005HX0F")</f>
        <v>ES0031408323131005HX0F</v>
      </c>
      <c r="B6472" s="12">
        <f>IFERROR(__xludf.DUMMYFUNCTION("""COMPUTED_VALUE"""),45135.0)</f>
        <v>45135</v>
      </c>
      <c r="C6472" s="13">
        <f>IFERROR(__xludf.DUMMYFUNCTION("""COMPUTED_VALUE"""),0.6666666666666666)</f>
        <v>0.6666666667</v>
      </c>
      <c r="D6472" s="8">
        <f>IFERROR(__xludf.DUMMYFUNCTION("""COMPUTED_VALUE"""),0.087)</f>
        <v>0.087</v>
      </c>
      <c r="E6472" s="8" t="str">
        <f>IFERROR(__xludf.DUMMYFUNCTION("""COMPUTED_VALUE"""),"Real")</f>
        <v>Real</v>
      </c>
      <c r="G6472" s="8">
        <f t="shared" si="1"/>
        <v>7</v>
      </c>
      <c r="H6472" s="14">
        <f t="shared" si="2"/>
        <v>28</v>
      </c>
      <c r="I6472" s="15">
        <f t="shared" si="3"/>
        <v>16</v>
      </c>
    </row>
    <row r="6473">
      <c r="A6473" s="8" t="str">
        <f>IFERROR(__xludf.DUMMYFUNCTION("IF('(INGESTA)Datos_consumo_datadis'!A6473&lt;&gt;"""",SPLIT('(INGESTA)Datos_consumo_datadis'!A:A,"",""),"""")"),"ES0031408323131005HX0F")</f>
        <v>ES0031408323131005HX0F</v>
      </c>
      <c r="B6473" s="12">
        <f>IFERROR(__xludf.DUMMYFUNCTION("""COMPUTED_VALUE"""),45135.0)</f>
        <v>45135</v>
      </c>
      <c r="C6473" s="13">
        <f>IFERROR(__xludf.DUMMYFUNCTION("""COMPUTED_VALUE"""),0.7083333333333334)</f>
        <v>0.7083333333</v>
      </c>
      <c r="D6473" s="8">
        <f>IFERROR(__xludf.DUMMYFUNCTION("""COMPUTED_VALUE"""),0.092)</f>
        <v>0.092</v>
      </c>
      <c r="E6473" s="8" t="str">
        <f>IFERROR(__xludf.DUMMYFUNCTION("""COMPUTED_VALUE"""),"Real")</f>
        <v>Real</v>
      </c>
      <c r="G6473" s="8">
        <f t="shared" si="1"/>
        <v>7</v>
      </c>
      <c r="H6473" s="14">
        <f t="shared" si="2"/>
        <v>28</v>
      </c>
      <c r="I6473" s="15">
        <f t="shared" si="3"/>
        <v>17</v>
      </c>
    </row>
    <row r="6474">
      <c r="A6474" s="8" t="str">
        <f>IFERROR(__xludf.DUMMYFUNCTION("IF('(INGESTA)Datos_consumo_datadis'!A6474&lt;&gt;"""",SPLIT('(INGESTA)Datos_consumo_datadis'!A:A,"",""),"""")"),"ES0031408323131005HX0F")</f>
        <v>ES0031408323131005HX0F</v>
      </c>
      <c r="B6474" s="12">
        <f>IFERROR(__xludf.DUMMYFUNCTION("""COMPUTED_VALUE"""),45135.0)</f>
        <v>45135</v>
      </c>
      <c r="C6474" s="13">
        <f>IFERROR(__xludf.DUMMYFUNCTION("""COMPUTED_VALUE"""),0.75)</f>
        <v>0.75</v>
      </c>
      <c r="D6474" s="8">
        <f>IFERROR(__xludf.DUMMYFUNCTION("""COMPUTED_VALUE"""),0.015)</f>
        <v>0.015</v>
      </c>
      <c r="E6474" s="8" t="str">
        <f>IFERROR(__xludf.DUMMYFUNCTION("""COMPUTED_VALUE"""),"Real")</f>
        <v>Real</v>
      </c>
      <c r="G6474" s="8">
        <f t="shared" si="1"/>
        <v>7</v>
      </c>
      <c r="H6474" s="14">
        <f t="shared" si="2"/>
        <v>28</v>
      </c>
      <c r="I6474" s="15">
        <f t="shared" si="3"/>
        <v>18</v>
      </c>
    </row>
    <row r="6475">
      <c r="A6475" s="8" t="str">
        <f>IFERROR(__xludf.DUMMYFUNCTION("IF('(INGESTA)Datos_consumo_datadis'!A6475&lt;&gt;"""",SPLIT('(INGESTA)Datos_consumo_datadis'!A:A,"",""),"""")"),"ES0031408323131005HX0F")</f>
        <v>ES0031408323131005HX0F</v>
      </c>
      <c r="B6475" s="12">
        <f>IFERROR(__xludf.DUMMYFUNCTION("""COMPUTED_VALUE"""),45135.0)</f>
        <v>45135</v>
      </c>
      <c r="C6475" s="13">
        <f>IFERROR(__xludf.DUMMYFUNCTION("""COMPUTED_VALUE"""),0.7916666666666666)</f>
        <v>0.7916666667</v>
      </c>
      <c r="D6475" s="8">
        <f>IFERROR(__xludf.DUMMYFUNCTION("""COMPUTED_VALUE"""),0.047)</f>
        <v>0.047</v>
      </c>
      <c r="E6475" s="8" t="str">
        <f>IFERROR(__xludf.DUMMYFUNCTION("""COMPUTED_VALUE"""),"Real")</f>
        <v>Real</v>
      </c>
      <c r="G6475" s="8">
        <f t="shared" si="1"/>
        <v>7</v>
      </c>
      <c r="H6475" s="14">
        <f t="shared" si="2"/>
        <v>28</v>
      </c>
      <c r="I6475" s="15">
        <f t="shared" si="3"/>
        <v>19</v>
      </c>
    </row>
    <row r="6476">
      <c r="A6476" s="8" t="str">
        <f>IFERROR(__xludf.DUMMYFUNCTION("IF('(INGESTA)Datos_consumo_datadis'!A6476&lt;&gt;"""",SPLIT('(INGESTA)Datos_consumo_datadis'!A:A,"",""),"""")"),"ES0031408323131005HX0F")</f>
        <v>ES0031408323131005HX0F</v>
      </c>
      <c r="B6476" s="12">
        <f>IFERROR(__xludf.DUMMYFUNCTION("""COMPUTED_VALUE"""),45135.0)</f>
        <v>45135</v>
      </c>
      <c r="C6476" s="13">
        <f>IFERROR(__xludf.DUMMYFUNCTION("""COMPUTED_VALUE"""),0.8333333333333334)</f>
        <v>0.8333333333</v>
      </c>
      <c r="D6476" s="8">
        <f>IFERROR(__xludf.DUMMYFUNCTION("""COMPUTED_VALUE"""),0.119)</f>
        <v>0.119</v>
      </c>
      <c r="E6476" s="8" t="str">
        <f>IFERROR(__xludf.DUMMYFUNCTION("""COMPUTED_VALUE"""),"Real")</f>
        <v>Real</v>
      </c>
      <c r="G6476" s="8">
        <f t="shared" si="1"/>
        <v>7</v>
      </c>
      <c r="H6476" s="14">
        <f t="shared" si="2"/>
        <v>28</v>
      </c>
      <c r="I6476" s="15">
        <f t="shared" si="3"/>
        <v>20</v>
      </c>
    </row>
    <row r="6477">
      <c r="A6477" s="8" t="str">
        <f>IFERROR(__xludf.DUMMYFUNCTION("IF('(INGESTA)Datos_consumo_datadis'!A6477&lt;&gt;"""",SPLIT('(INGESTA)Datos_consumo_datadis'!A:A,"",""),"""")"),"ES0031408323131005HX0F")</f>
        <v>ES0031408323131005HX0F</v>
      </c>
      <c r="B6477" s="12">
        <f>IFERROR(__xludf.DUMMYFUNCTION("""COMPUTED_VALUE"""),45135.0)</f>
        <v>45135</v>
      </c>
      <c r="C6477" s="13">
        <f>IFERROR(__xludf.DUMMYFUNCTION("""COMPUTED_VALUE"""),0.875)</f>
        <v>0.875</v>
      </c>
      <c r="D6477" s="8">
        <f>IFERROR(__xludf.DUMMYFUNCTION("""COMPUTED_VALUE"""),0.087)</f>
        <v>0.087</v>
      </c>
      <c r="E6477" s="8" t="str">
        <f>IFERROR(__xludf.DUMMYFUNCTION("""COMPUTED_VALUE"""),"Real")</f>
        <v>Real</v>
      </c>
      <c r="G6477" s="8">
        <f t="shared" si="1"/>
        <v>7</v>
      </c>
      <c r="H6477" s="14">
        <f t="shared" si="2"/>
        <v>28</v>
      </c>
      <c r="I6477" s="15">
        <f t="shared" si="3"/>
        <v>21</v>
      </c>
    </row>
    <row r="6478">
      <c r="A6478" s="8" t="str">
        <f>IFERROR(__xludf.DUMMYFUNCTION("IF('(INGESTA)Datos_consumo_datadis'!A6478&lt;&gt;"""",SPLIT('(INGESTA)Datos_consumo_datadis'!A:A,"",""),"""")"),"ES0031408323131005HX0F")</f>
        <v>ES0031408323131005HX0F</v>
      </c>
      <c r="B6478" s="12">
        <f>IFERROR(__xludf.DUMMYFUNCTION("""COMPUTED_VALUE"""),45135.0)</f>
        <v>45135</v>
      </c>
      <c r="C6478" s="13">
        <f>IFERROR(__xludf.DUMMYFUNCTION("""COMPUTED_VALUE"""),0.9166666666666666)</f>
        <v>0.9166666667</v>
      </c>
      <c r="D6478" s="8">
        <f>IFERROR(__xludf.DUMMYFUNCTION("""COMPUTED_VALUE"""),0.366)</f>
        <v>0.366</v>
      </c>
      <c r="E6478" s="8" t="str">
        <f>IFERROR(__xludf.DUMMYFUNCTION("""COMPUTED_VALUE"""),"Real")</f>
        <v>Real</v>
      </c>
      <c r="G6478" s="8">
        <f t="shared" si="1"/>
        <v>7</v>
      </c>
      <c r="H6478" s="14">
        <f t="shared" si="2"/>
        <v>28</v>
      </c>
      <c r="I6478" s="15">
        <f t="shared" si="3"/>
        <v>22</v>
      </c>
    </row>
    <row r="6479">
      <c r="A6479" s="8" t="str">
        <f>IFERROR(__xludf.DUMMYFUNCTION("IF('(INGESTA)Datos_consumo_datadis'!A6479&lt;&gt;"""",SPLIT('(INGESTA)Datos_consumo_datadis'!A:A,"",""),"""")"),"ES0031408323131005HX0F")</f>
        <v>ES0031408323131005HX0F</v>
      </c>
      <c r="B6479" s="12">
        <f>IFERROR(__xludf.DUMMYFUNCTION("""COMPUTED_VALUE"""),45135.0)</f>
        <v>45135</v>
      </c>
      <c r="C6479" s="13">
        <f>IFERROR(__xludf.DUMMYFUNCTION("""COMPUTED_VALUE"""),0.9583333333333334)</f>
        <v>0.9583333333</v>
      </c>
      <c r="D6479" s="8">
        <f>IFERROR(__xludf.DUMMYFUNCTION("""COMPUTED_VALUE"""),0.014)</f>
        <v>0.014</v>
      </c>
      <c r="E6479" s="8" t="str">
        <f>IFERROR(__xludf.DUMMYFUNCTION("""COMPUTED_VALUE"""),"Real")</f>
        <v>Real</v>
      </c>
      <c r="G6479" s="8">
        <f t="shared" si="1"/>
        <v>7</v>
      </c>
      <c r="H6479" s="14">
        <f t="shared" si="2"/>
        <v>28</v>
      </c>
      <c r="I6479" s="15">
        <f t="shared" si="3"/>
        <v>23</v>
      </c>
    </row>
    <row r="6480">
      <c r="A6480" s="8" t="str">
        <f>IFERROR(__xludf.DUMMYFUNCTION("IF('(INGESTA)Datos_consumo_datadis'!A6480&lt;&gt;"""",SPLIT('(INGESTA)Datos_consumo_datadis'!A:A,"",""),"""")"),"ES0031408323131005HX0F")</f>
        <v>ES0031408323131005HX0F</v>
      </c>
      <c r="B6480" s="12">
        <f>IFERROR(__xludf.DUMMYFUNCTION("""COMPUTED_VALUE"""),45135.0)</f>
        <v>45135</v>
      </c>
      <c r="C6480" s="16">
        <f>IFERROR(__xludf.DUMMYFUNCTION("""COMPUTED_VALUE"""),1.0)</f>
        <v>1</v>
      </c>
      <c r="D6480" s="8">
        <f>IFERROR(__xludf.DUMMYFUNCTION("""COMPUTED_VALUE"""),0.061)</f>
        <v>0.061</v>
      </c>
      <c r="E6480" s="8" t="str">
        <f>IFERROR(__xludf.DUMMYFUNCTION("""COMPUTED_VALUE"""),"Real")</f>
        <v>Real</v>
      </c>
      <c r="G6480" s="8">
        <f t="shared" si="1"/>
        <v>7</v>
      </c>
      <c r="H6480" s="14">
        <f t="shared" si="2"/>
        <v>28</v>
      </c>
      <c r="I6480" s="15">
        <f t="shared" si="3"/>
        <v>0</v>
      </c>
    </row>
    <row r="6481">
      <c r="A6481" s="8" t="str">
        <f>IFERROR(__xludf.DUMMYFUNCTION("IF('(INGESTA)Datos_consumo_datadis'!A6481&lt;&gt;"""",SPLIT('(INGESTA)Datos_consumo_datadis'!A:A,"",""),"""")"),"ES0031408323131005HX0F")</f>
        <v>ES0031408323131005HX0F</v>
      </c>
      <c r="B6481" s="12">
        <f>IFERROR(__xludf.DUMMYFUNCTION("""COMPUTED_VALUE"""),45136.0)</f>
        <v>45136</v>
      </c>
      <c r="C6481" s="13">
        <f>IFERROR(__xludf.DUMMYFUNCTION("""COMPUTED_VALUE"""),0.041666666666666664)</f>
        <v>0.04166666667</v>
      </c>
      <c r="D6481" s="8">
        <f>IFERROR(__xludf.DUMMYFUNCTION("""COMPUTED_VALUE"""),0.118)</f>
        <v>0.118</v>
      </c>
      <c r="E6481" s="8" t="str">
        <f>IFERROR(__xludf.DUMMYFUNCTION("""COMPUTED_VALUE"""),"Real")</f>
        <v>Real</v>
      </c>
      <c r="G6481" s="8">
        <f t="shared" si="1"/>
        <v>7</v>
      </c>
      <c r="H6481" s="14">
        <f t="shared" si="2"/>
        <v>29</v>
      </c>
      <c r="I6481" s="15">
        <f t="shared" si="3"/>
        <v>1</v>
      </c>
    </row>
    <row r="6482">
      <c r="A6482" s="8" t="str">
        <f>IFERROR(__xludf.DUMMYFUNCTION("IF('(INGESTA)Datos_consumo_datadis'!A6482&lt;&gt;"""",SPLIT('(INGESTA)Datos_consumo_datadis'!A:A,"",""),"""")"),"ES0031408323131005HX0F")</f>
        <v>ES0031408323131005HX0F</v>
      </c>
      <c r="B6482" s="12">
        <f>IFERROR(__xludf.DUMMYFUNCTION("""COMPUTED_VALUE"""),45136.0)</f>
        <v>45136</v>
      </c>
      <c r="C6482" s="13">
        <f>IFERROR(__xludf.DUMMYFUNCTION("""COMPUTED_VALUE"""),0.08333333333333333)</f>
        <v>0.08333333333</v>
      </c>
      <c r="D6482" s="8">
        <f>IFERROR(__xludf.DUMMYFUNCTION("""COMPUTED_VALUE"""),0.088)</f>
        <v>0.088</v>
      </c>
      <c r="E6482" s="8" t="str">
        <f>IFERROR(__xludf.DUMMYFUNCTION("""COMPUTED_VALUE"""),"Real")</f>
        <v>Real</v>
      </c>
      <c r="G6482" s="8">
        <f t="shared" si="1"/>
        <v>7</v>
      </c>
      <c r="H6482" s="14">
        <f t="shared" si="2"/>
        <v>29</v>
      </c>
      <c r="I6482" s="15">
        <f t="shared" si="3"/>
        <v>2</v>
      </c>
    </row>
    <row r="6483">
      <c r="A6483" s="8" t="str">
        <f>IFERROR(__xludf.DUMMYFUNCTION("IF('(INGESTA)Datos_consumo_datadis'!A6483&lt;&gt;"""",SPLIT('(INGESTA)Datos_consumo_datadis'!A:A,"",""),"""")"),"ES0031408323131005HX0F")</f>
        <v>ES0031408323131005HX0F</v>
      </c>
      <c r="B6483" s="12">
        <f>IFERROR(__xludf.DUMMYFUNCTION("""COMPUTED_VALUE"""),45136.0)</f>
        <v>45136</v>
      </c>
      <c r="C6483" s="13">
        <f>IFERROR(__xludf.DUMMYFUNCTION("""COMPUTED_VALUE"""),0.125)</f>
        <v>0.125</v>
      </c>
      <c r="D6483" s="8">
        <f>IFERROR(__xludf.DUMMYFUNCTION("""COMPUTED_VALUE"""),0.095)</f>
        <v>0.095</v>
      </c>
      <c r="E6483" s="8" t="str">
        <f>IFERROR(__xludf.DUMMYFUNCTION("""COMPUTED_VALUE"""),"Real")</f>
        <v>Real</v>
      </c>
      <c r="G6483" s="8">
        <f t="shared" si="1"/>
        <v>7</v>
      </c>
      <c r="H6483" s="14">
        <f t="shared" si="2"/>
        <v>29</v>
      </c>
      <c r="I6483" s="15">
        <f t="shared" si="3"/>
        <v>3</v>
      </c>
    </row>
    <row r="6484">
      <c r="A6484" s="8" t="str">
        <f>IFERROR(__xludf.DUMMYFUNCTION("IF('(INGESTA)Datos_consumo_datadis'!A6484&lt;&gt;"""",SPLIT('(INGESTA)Datos_consumo_datadis'!A:A,"",""),"""")"),"ES0031408323131005HX0F")</f>
        <v>ES0031408323131005HX0F</v>
      </c>
      <c r="B6484" s="12">
        <f>IFERROR(__xludf.DUMMYFUNCTION("""COMPUTED_VALUE"""),45136.0)</f>
        <v>45136</v>
      </c>
      <c r="C6484" s="13">
        <f>IFERROR(__xludf.DUMMYFUNCTION("""COMPUTED_VALUE"""),0.16666666666666666)</f>
        <v>0.1666666667</v>
      </c>
      <c r="D6484" s="8">
        <f>IFERROR(__xludf.DUMMYFUNCTION("""COMPUTED_VALUE"""),0.022)</f>
        <v>0.022</v>
      </c>
      <c r="E6484" s="8" t="str">
        <f>IFERROR(__xludf.DUMMYFUNCTION("""COMPUTED_VALUE"""),"Real")</f>
        <v>Real</v>
      </c>
      <c r="G6484" s="8">
        <f t="shared" si="1"/>
        <v>7</v>
      </c>
      <c r="H6484" s="14">
        <f t="shared" si="2"/>
        <v>29</v>
      </c>
      <c r="I6484" s="15">
        <f t="shared" si="3"/>
        <v>4</v>
      </c>
    </row>
    <row r="6485">
      <c r="A6485" s="8" t="str">
        <f>IFERROR(__xludf.DUMMYFUNCTION("IF('(INGESTA)Datos_consumo_datadis'!A6485&lt;&gt;"""",SPLIT('(INGESTA)Datos_consumo_datadis'!A:A,"",""),"""")"),"ES0031408323131005HX0F")</f>
        <v>ES0031408323131005HX0F</v>
      </c>
      <c r="B6485" s="12">
        <f>IFERROR(__xludf.DUMMYFUNCTION("""COMPUTED_VALUE"""),45136.0)</f>
        <v>45136</v>
      </c>
      <c r="C6485" s="13">
        <f>IFERROR(__xludf.DUMMYFUNCTION("""COMPUTED_VALUE"""),0.20833333333333334)</f>
        <v>0.2083333333</v>
      </c>
      <c r="D6485" s="8">
        <f>IFERROR(__xludf.DUMMYFUNCTION("""COMPUTED_VALUE"""),0.067)</f>
        <v>0.067</v>
      </c>
      <c r="E6485" s="8" t="str">
        <f>IFERROR(__xludf.DUMMYFUNCTION("""COMPUTED_VALUE"""),"Real")</f>
        <v>Real</v>
      </c>
      <c r="G6485" s="8">
        <f t="shared" si="1"/>
        <v>7</v>
      </c>
      <c r="H6485" s="14">
        <f t="shared" si="2"/>
        <v>29</v>
      </c>
      <c r="I6485" s="15">
        <f t="shared" si="3"/>
        <v>5</v>
      </c>
    </row>
    <row r="6486">
      <c r="A6486" s="8" t="str">
        <f>IFERROR(__xludf.DUMMYFUNCTION("IF('(INGESTA)Datos_consumo_datadis'!A6486&lt;&gt;"""",SPLIT('(INGESTA)Datos_consumo_datadis'!A:A,"",""),"""")"),"ES0031408323131005HX0F")</f>
        <v>ES0031408323131005HX0F</v>
      </c>
      <c r="B6486" s="12">
        <f>IFERROR(__xludf.DUMMYFUNCTION("""COMPUTED_VALUE"""),45136.0)</f>
        <v>45136</v>
      </c>
      <c r="C6486" s="13">
        <f>IFERROR(__xludf.DUMMYFUNCTION("""COMPUTED_VALUE"""),0.25)</f>
        <v>0.25</v>
      </c>
      <c r="D6486" s="8">
        <f>IFERROR(__xludf.DUMMYFUNCTION("""COMPUTED_VALUE"""),0.396)</f>
        <v>0.396</v>
      </c>
      <c r="E6486" s="8" t="str">
        <f>IFERROR(__xludf.DUMMYFUNCTION("""COMPUTED_VALUE"""),"Real")</f>
        <v>Real</v>
      </c>
      <c r="G6486" s="8">
        <f t="shared" si="1"/>
        <v>7</v>
      </c>
      <c r="H6486" s="14">
        <f t="shared" si="2"/>
        <v>29</v>
      </c>
      <c r="I6486" s="15">
        <f t="shared" si="3"/>
        <v>6</v>
      </c>
    </row>
    <row r="6487">
      <c r="A6487" s="8" t="str">
        <f>IFERROR(__xludf.DUMMYFUNCTION("IF('(INGESTA)Datos_consumo_datadis'!A6487&lt;&gt;"""",SPLIT('(INGESTA)Datos_consumo_datadis'!A:A,"",""),"""")"),"ES0031408323131005HX0F")</f>
        <v>ES0031408323131005HX0F</v>
      </c>
      <c r="B6487" s="12">
        <f>IFERROR(__xludf.DUMMYFUNCTION("""COMPUTED_VALUE"""),45136.0)</f>
        <v>45136</v>
      </c>
      <c r="C6487" s="13">
        <f>IFERROR(__xludf.DUMMYFUNCTION("""COMPUTED_VALUE"""),0.2916666666666667)</f>
        <v>0.2916666667</v>
      </c>
      <c r="D6487" s="8">
        <f>IFERROR(__xludf.DUMMYFUNCTION("""COMPUTED_VALUE"""),0.086)</f>
        <v>0.086</v>
      </c>
      <c r="E6487" s="8" t="str">
        <f>IFERROR(__xludf.DUMMYFUNCTION("""COMPUTED_VALUE"""),"Real")</f>
        <v>Real</v>
      </c>
      <c r="G6487" s="8">
        <f t="shared" si="1"/>
        <v>7</v>
      </c>
      <c r="H6487" s="14">
        <f t="shared" si="2"/>
        <v>29</v>
      </c>
      <c r="I6487" s="15">
        <f t="shared" si="3"/>
        <v>7</v>
      </c>
    </row>
    <row r="6488">
      <c r="A6488" s="8" t="str">
        <f>IFERROR(__xludf.DUMMYFUNCTION("IF('(INGESTA)Datos_consumo_datadis'!A6488&lt;&gt;"""",SPLIT('(INGESTA)Datos_consumo_datadis'!A:A,"",""),"""")"),"ES0031408323131005HX0F")</f>
        <v>ES0031408323131005HX0F</v>
      </c>
      <c r="B6488" s="12">
        <f>IFERROR(__xludf.DUMMYFUNCTION("""COMPUTED_VALUE"""),45136.0)</f>
        <v>45136</v>
      </c>
      <c r="C6488" s="13">
        <f>IFERROR(__xludf.DUMMYFUNCTION("""COMPUTED_VALUE"""),0.3333333333333333)</f>
        <v>0.3333333333</v>
      </c>
      <c r="D6488" s="8">
        <f>IFERROR(__xludf.DUMMYFUNCTION("""COMPUTED_VALUE"""),0.072)</f>
        <v>0.072</v>
      </c>
      <c r="E6488" s="8" t="str">
        <f>IFERROR(__xludf.DUMMYFUNCTION("""COMPUTED_VALUE"""),"Real")</f>
        <v>Real</v>
      </c>
      <c r="G6488" s="8">
        <f t="shared" si="1"/>
        <v>7</v>
      </c>
      <c r="H6488" s="14">
        <f t="shared" si="2"/>
        <v>29</v>
      </c>
      <c r="I6488" s="15">
        <f t="shared" si="3"/>
        <v>8</v>
      </c>
    </row>
    <row r="6489">
      <c r="A6489" s="8" t="str">
        <f>IFERROR(__xludf.DUMMYFUNCTION("IF('(INGESTA)Datos_consumo_datadis'!A6489&lt;&gt;"""",SPLIT('(INGESTA)Datos_consumo_datadis'!A:A,"",""),"""")"),"ES0031408323131005HX0F")</f>
        <v>ES0031408323131005HX0F</v>
      </c>
      <c r="B6489" s="12">
        <f>IFERROR(__xludf.DUMMYFUNCTION("""COMPUTED_VALUE"""),45136.0)</f>
        <v>45136</v>
      </c>
      <c r="C6489" s="13">
        <f>IFERROR(__xludf.DUMMYFUNCTION("""COMPUTED_VALUE"""),0.375)</f>
        <v>0.375</v>
      </c>
      <c r="D6489" s="8">
        <f>IFERROR(__xludf.DUMMYFUNCTION("""COMPUTED_VALUE"""),0.014)</f>
        <v>0.014</v>
      </c>
      <c r="E6489" s="8" t="str">
        <f>IFERROR(__xludf.DUMMYFUNCTION("""COMPUTED_VALUE"""),"Real")</f>
        <v>Real</v>
      </c>
      <c r="G6489" s="8">
        <f t="shared" si="1"/>
        <v>7</v>
      </c>
      <c r="H6489" s="14">
        <f t="shared" si="2"/>
        <v>29</v>
      </c>
      <c r="I6489" s="15">
        <f t="shared" si="3"/>
        <v>9</v>
      </c>
    </row>
    <row r="6490">
      <c r="A6490" s="8" t="str">
        <f>IFERROR(__xludf.DUMMYFUNCTION("IF('(INGESTA)Datos_consumo_datadis'!A6490&lt;&gt;"""",SPLIT('(INGESTA)Datos_consumo_datadis'!A:A,"",""),"""")"),"ES0031408323131005HX0F")</f>
        <v>ES0031408323131005HX0F</v>
      </c>
      <c r="B6490" s="12">
        <f>IFERROR(__xludf.DUMMYFUNCTION("""COMPUTED_VALUE"""),45136.0)</f>
        <v>45136</v>
      </c>
      <c r="C6490" s="13">
        <f>IFERROR(__xludf.DUMMYFUNCTION("""COMPUTED_VALUE"""),0.4166666666666667)</f>
        <v>0.4166666667</v>
      </c>
      <c r="D6490" s="8">
        <f>IFERROR(__xludf.DUMMYFUNCTION("""COMPUTED_VALUE"""),0.069)</f>
        <v>0.069</v>
      </c>
      <c r="E6490" s="8" t="str">
        <f>IFERROR(__xludf.DUMMYFUNCTION("""COMPUTED_VALUE"""),"Real")</f>
        <v>Real</v>
      </c>
      <c r="G6490" s="8">
        <f t="shared" si="1"/>
        <v>7</v>
      </c>
      <c r="H6490" s="14">
        <f t="shared" si="2"/>
        <v>29</v>
      </c>
      <c r="I6490" s="15">
        <f t="shared" si="3"/>
        <v>10</v>
      </c>
    </row>
    <row r="6491">
      <c r="A6491" s="8" t="str">
        <f>IFERROR(__xludf.DUMMYFUNCTION("IF('(INGESTA)Datos_consumo_datadis'!A6491&lt;&gt;"""",SPLIT('(INGESTA)Datos_consumo_datadis'!A:A,"",""),"""")"),"ES0031408323131005HX0F")</f>
        <v>ES0031408323131005HX0F</v>
      </c>
      <c r="B6491" s="12">
        <f>IFERROR(__xludf.DUMMYFUNCTION("""COMPUTED_VALUE"""),45136.0)</f>
        <v>45136</v>
      </c>
      <c r="C6491" s="13">
        <f>IFERROR(__xludf.DUMMYFUNCTION("""COMPUTED_VALUE"""),0.4583333333333333)</f>
        <v>0.4583333333</v>
      </c>
      <c r="D6491" s="8">
        <f>IFERROR(__xludf.DUMMYFUNCTION("""COMPUTED_VALUE"""),0.121)</f>
        <v>0.121</v>
      </c>
      <c r="E6491" s="8" t="str">
        <f>IFERROR(__xludf.DUMMYFUNCTION("""COMPUTED_VALUE"""),"Real")</f>
        <v>Real</v>
      </c>
      <c r="G6491" s="8">
        <f t="shared" si="1"/>
        <v>7</v>
      </c>
      <c r="H6491" s="14">
        <f t="shared" si="2"/>
        <v>29</v>
      </c>
      <c r="I6491" s="15">
        <f t="shared" si="3"/>
        <v>11</v>
      </c>
    </row>
    <row r="6492">
      <c r="A6492" s="8" t="str">
        <f>IFERROR(__xludf.DUMMYFUNCTION("IF('(INGESTA)Datos_consumo_datadis'!A6492&lt;&gt;"""",SPLIT('(INGESTA)Datos_consumo_datadis'!A:A,"",""),"""")"),"ES0031408323131005HX0F")</f>
        <v>ES0031408323131005HX0F</v>
      </c>
      <c r="B6492" s="12">
        <f>IFERROR(__xludf.DUMMYFUNCTION("""COMPUTED_VALUE"""),45136.0)</f>
        <v>45136</v>
      </c>
      <c r="C6492" s="13">
        <f>IFERROR(__xludf.DUMMYFUNCTION("""COMPUTED_VALUE"""),0.5)</f>
        <v>0.5</v>
      </c>
      <c r="D6492" s="8">
        <f>IFERROR(__xludf.DUMMYFUNCTION("""COMPUTED_VALUE"""),0.158)</f>
        <v>0.158</v>
      </c>
      <c r="E6492" s="8" t="str">
        <f>IFERROR(__xludf.DUMMYFUNCTION("""COMPUTED_VALUE"""),"Real")</f>
        <v>Real</v>
      </c>
      <c r="G6492" s="8">
        <f t="shared" si="1"/>
        <v>7</v>
      </c>
      <c r="H6492" s="14">
        <f t="shared" si="2"/>
        <v>29</v>
      </c>
      <c r="I6492" s="15">
        <f t="shared" si="3"/>
        <v>12</v>
      </c>
    </row>
    <row r="6493">
      <c r="A6493" s="8" t="str">
        <f>IFERROR(__xludf.DUMMYFUNCTION("IF('(INGESTA)Datos_consumo_datadis'!A6493&lt;&gt;"""",SPLIT('(INGESTA)Datos_consumo_datadis'!A:A,"",""),"""")"),"ES0031408323131005HX0F")</f>
        <v>ES0031408323131005HX0F</v>
      </c>
      <c r="B6493" s="12">
        <f>IFERROR(__xludf.DUMMYFUNCTION("""COMPUTED_VALUE"""),45136.0)</f>
        <v>45136</v>
      </c>
      <c r="C6493" s="13">
        <f>IFERROR(__xludf.DUMMYFUNCTION("""COMPUTED_VALUE"""),0.5416666666666666)</f>
        <v>0.5416666667</v>
      </c>
      <c r="D6493" s="8">
        <f>IFERROR(__xludf.DUMMYFUNCTION("""COMPUTED_VALUE"""),0.128)</f>
        <v>0.128</v>
      </c>
      <c r="E6493" s="8" t="str">
        <f>IFERROR(__xludf.DUMMYFUNCTION("""COMPUTED_VALUE"""),"Real")</f>
        <v>Real</v>
      </c>
      <c r="G6493" s="8">
        <f t="shared" si="1"/>
        <v>7</v>
      </c>
      <c r="H6493" s="14">
        <f t="shared" si="2"/>
        <v>29</v>
      </c>
      <c r="I6493" s="15">
        <f t="shared" si="3"/>
        <v>13</v>
      </c>
    </row>
    <row r="6494">
      <c r="A6494" s="8" t="str">
        <f>IFERROR(__xludf.DUMMYFUNCTION("IF('(INGESTA)Datos_consumo_datadis'!A6494&lt;&gt;"""",SPLIT('(INGESTA)Datos_consumo_datadis'!A:A,"",""),"""")"),"ES0031408323131005HX0F")</f>
        <v>ES0031408323131005HX0F</v>
      </c>
      <c r="B6494" s="12">
        <f>IFERROR(__xludf.DUMMYFUNCTION("""COMPUTED_VALUE"""),45136.0)</f>
        <v>45136</v>
      </c>
      <c r="C6494" s="13">
        <f>IFERROR(__xludf.DUMMYFUNCTION("""COMPUTED_VALUE"""),0.5833333333333334)</f>
        <v>0.5833333333</v>
      </c>
      <c r="D6494" s="8">
        <f>IFERROR(__xludf.DUMMYFUNCTION("""COMPUTED_VALUE"""),0.096)</f>
        <v>0.096</v>
      </c>
      <c r="E6494" s="8" t="str">
        <f>IFERROR(__xludf.DUMMYFUNCTION("""COMPUTED_VALUE"""),"Real")</f>
        <v>Real</v>
      </c>
      <c r="G6494" s="8">
        <f t="shared" si="1"/>
        <v>7</v>
      </c>
      <c r="H6494" s="14">
        <f t="shared" si="2"/>
        <v>29</v>
      </c>
      <c r="I6494" s="15">
        <f t="shared" si="3"/>
        <v>14</v>
      </c>
    </row>
    <row r="6495">
      <c r="A6495" s="8" t="str">
        <f>IFERROR(__xludf.DUMMYFUNCTION("IF('(INGESTA)Datos_consumo_datadis'!A6495&lt;&gt;"""",SPLIT('(INGESTA)Datos_consumo_datadis'!A:A,"",""),"""")"),"ES0031408323131005HX0F")</f>
        <v>ES0031408323131005HX0F</v>
      </c>
      <c r="B6495" s="12">
        <f>IFERROR(__xludf.DUMMYFUNCTION("""COMPUTED_VALUE"""),45136.0)</f>
        <v>45136</v>
      </c>
      <c r="C6495" s="13">
        <f>IFERROR(__xludf.DUMMYFUNCTION("""COMPUTED_VALUE"""),0.625)</f>
        <v>0.625</v>
      </c>
      <c r="D6495" s="8">
        <f>IFERROR(__xludf.DUMMYFUNCTION("""COMPUTED_VALUE"""),0.347)</f>
        <v>0.347</v>
      </c>
      <c r="E6495" s="8" t="str">
        <f>IFERROR(__xludf.DUMMYFUNCTION("""COMPUTED_VALUE"""),"Real")</f>
        <v>Real</v>
      </c>
      <c r="G6495" s="8">
        <f t="shared" si="1"/>
        <v>7</v>
      </c>
      <c r="H6495" s="14">
        <f t="shared" si="2"/>
        <v>29</v>
      </c>
      <c r="I6495" s="15">
        <f t="shared" si="3"/>
        <v>15</v>
      </c>
    </row>
    <row r="6496">
      <c r="A6496" s="8" t="str">
        <f>IFERROR(__xludf.DUMMYFUNCTION("IF('(INGESTA)Datos_consumo_datadis'!A6496&lt;&gt;"""",SPLIT('(INGESTA)Datos_consumo_datadis'!A:A,"",""),"""")"),"ES0031408323131005HX0F")</f>
        <v>ES0031408323131005HX0F</v>
      </c>
      <c r="B6496" s="12">
        <f>IFERROR(__xludf.DUMMYFUNCTION("""COMPUTED_VALUE"""),45136.0)</f>
        <v>45136</v>
      </c>
      <c r="C6496" s="13">
        <f>IFERROR(__xludf.DUMMYFUNCTION("""COMPUTED_VALUE"""),0.6666666666666666)</f>
        <v>0.6666666667</v>
      </c>
      <c r="D6496" s="8">
        <f>IFERROR(__xludf.DUMMYFUNCTION("""COMPUTED_VALUE"""),0.082)</f>
        <v>0.082</v>
      </c>
      <c r="E6496" s="8" t="str">
        <f>IFERROR(__xludf.DUMMYFUNCTION("""COMPUTED_VALUE"""),"Real")</f>
        <v>Real</v>
      </c>
      <c r="G6496" s="8">
        <f t="shared" si="1"/>
        <v>7</v>
      </c>
      <c r="H6496" s="14">
        <f t="shared" si="2"/>
        <v>29</v>
      </c>
      <c r="I6496" s="15">
        <f t="shared" si="3"/>
        <v>16</v>
      </c>
    </row>
    <row r="6497">
      <c r="A6497" s="8" t="str">
        <f>IFERROR(__xludf.DUMMYFUNCTION("IF('(INGESTA)Datos_consumo_datadis'!A6497&lt;&gt;"""",SPLIT('(INGESTA)Datos_consumo_datadis'!A:A,"",""),"""")"),"ES0031408323131005HX0F")</f>
        <v>ES0031408323131005HX0F</v>
      </c>
      <c r="B6497" s="12">
        <f>IFERROR(__xludf.DUMMYFUNCTION("""COMPUTED_VALUE"""),45136.0)</f>
        <v>45136</v>
      </c>
      <c r="C6497" s="13">
        <f>IFERROR(__xludf.DUMMYFUNCTION("""COMPUTED_VALUE"""),0.7083333333333334)</f>
        <v>0.7083333333</v>
      </c>
      <c r="D6497" s="8">
        <f>IFERROR(__xludf.DUMMYFUNCTION("""COMPUTED_VALUE"""),0.104)</f>
        <v>0.104</v>
      </c>
      <c r="E6497" s="8" t="str">
        <f>IFERROR(__xludf.DUMMYFUNCTION("""COMPUTED_VALUE"""),"Real")</f>
        <v>Real</v>
      </c>
      <c r="G6497" s="8">
        <f t="shared" si="1"/>
        <v>7</v>
      </c>
      <c r="H6497" s="14">
        <f t="shared" si="2"/>
        <v>29</v>
      </c>
      <c r="I6497" s="15">
        <f t="shared" si="3"/>
        <v>17</v>
      </c>
    </row>
    <row r="6498">
      <c r="A6498" s="8" t="str">
        <f>IFERROR(__xludf.DUMMYFUNCTION("IF('(INGESTA)Datos_consumo_datadis'!A6498&lt;&gt;"""",SPLIT('(INGESTA)Datos_consumo_datadis'!A:A,"",""),"""")"),"ES0031408323131005HX0F")</f>
        <v>ES0031408323131005HX0F</v>
      </c>
      <c r="B6498" s="12">
        <f>IFERROR(__xludf.DUMMYFUNCTION("""COMPUTED_VALUE"""),45136.0)</f>
        <v>45136</v>
      </c>
      <c r="C6498" s="13">
        <f>IFERROR(__xludf.DUMMYFUNCTION("""COMPUTED_VALUE"""),0.75)</f>
        <v>0.75</v>
      </c>
      <c r="D6498" s="8">
        <f>IFERROR(__xludf.DUMMYFUNCTION("""COMPUTED_VALUE"""),0.075)</f>
        <v>0.075</v>
      </c>
      <c r="E6498" s="8" t="str">
        <f>IFERROR(__xludf.DUMMYFUNCTION("""COMPUTED_VALUE"""),"Real")</f>
        <v>Real</v>
      </c>
      <c r="G6498" s="8">
        <f t="shared" si="1"/>
        <v>7</v>
      </c>
      <c r="H6498" s="14">
        <f t="shared" si="2"/>
        <v>29</v>
      </c>
      <c r="I6498" s="15">
        <f t="shared" si="3"/>
        <v>18</v>
      </c>
    </row>
    <row r="6499">
      <c r="A6499" s="8" t="str">
        <f>IFERROR(__xludf.DUMMYFUNCTION("IF('(INGESTA)Datos_consumo_datadis'!A6499&lt;&gt;"""",SPLIT('(INGESTA)Datos_consumo_datadis'!A:A,"",""),"""")"),"ES0031408323131005HX0F")</f>
        <v>ES0031408323131005HX0F</v>
      </c>
      <c r="B6499" s="12">
        <f>IFERROR(__xludf.DUMMYFUNCTION("""COMPUTED_VALUE"""),45136.0)</f>
        <v>45136</v>
      </c>
      <c r="C6499" s="13">
        <f>IFERROR(__xludf.DUMMYFUNCTION("""COMPUTED_VALUE"""),0.7916666666666666)</f>
        <v>0.7916666667</v>
      </c>
      <c r="D6499" s="8">
        <f>IFERROR(__xludf.DUMMYFUNCTION("""COMPUTED_VALUE"""),0.05)</f>
        <v>0.05</v>
      </c>
      <c r="E6499" s="8" t="str">
        <f>IFERROR(__xludf.DUMMYFUNCTION("""COMPUTED_VALUE"""),"Real")</f>
        <v>Real</v>
      </c>
      <c r="G6499" s="8">
        <f t="shared" si="1"/>
        <v>7</v>
      </c>
      <c r="H6499" s="14">
        <f t="shared" si="2"/>
        <v>29</v>
      </c>
      <c r="I6499" s="15">
        <f t="shared" si="3"/>
        <v>19</v>
      </c>
    </row>
    <row r="6500">
      <c r="A6500" s="8" t="str">
        <f>IFERROR(__xludf.DUMMYFUNCTION("IF('(INGESTA)Datos_consumo_datadis'!A6500&lt;&gt;"""",SPLIT('(INGESTA)Datos_consumo_datadis'!A:A,"",""),"""")"),"ES0031408323131005HX0F")</f>
        <v>ES0031408323131005HX0F</v>
      </c>
      <c r="B6500" s="12">
        <f>IFERROR(__xludf.DUMMYFUNCTION("""COMPUTED_VALUE"""),45136.0)</f>
        <v>45136</v>
      </c>
      <c r="C6500" s="13">
        <f>IFERROR(__xludf.DUMMYFUNCTION("""COMPUTED_VALUE"""),0.8333333333333334)</f>
        <v>0.8333333333</v>
      </c>
      <c r="D6500" s="8">
        <f>IFERROR(__xludf.DUMMYFUNCTION("""COMPUTED_VALUE"""),0.118)</f>
        <v>0.118</v>
      </c>
      <c r="E6500" s="8" t="str">
        <f>IFERROR(__xludf.DUMMYFUNCTION("""COMPUTED_VALUE"""),"Real")</f>
        <v>Real</v>
      </c>
      <c r="G6500" s="8">
        <f t="shared" si="1"/>
        <v>7</v>
      </c>
      <c r="H6500" s="14">
        <f t="shared" si="2"/>
        <v>29</v>
      </c>
      <c r="I6500" s="15">
        <f t="shared" si="3"/>
        <v>20</v>
      </c>
    </row>
    <row r="6501">
      <c r="A6501" s="8" t="str">
        <f>IFERROR(__xludf.DUMMYFUNCTION("IF('(INGESTA)Datos_consumo_datadis'!A6501&lt;&gt;"""",SPLIT('(INGESTA)Datos_consumo_datadis'!A:A,"",""),"""")"),"ES0031408323131005HX0F")</f>
        <v>ES0031408323131005HX0F</v>
      </c>
      <c r="B6501" s="12">
        <f>IFERROR(__xludf.DUMMYFUNCTION("""COMPUTED_VALUE"""),45136.0)</f>
        <v>45136</v>
      </c>
      <c r="C6501" s="13">
        <f>IFERROR(__xludf.DUMMYFUNCTION("""COMPUTED_VALUE"""),0.875)</f>
        <v>0.875</v>
      </c>
      <c r="D6501" s="8">
        <f>IFERROR(__xludf.DUMMYFUNCTION("""COMPUTED_VALUE"""),0.088)</f>
        <v>0.088</v>
      </c>
      <c r="E6501" s="8" t="str">
        <f>IFERROR(__xludf.DUMMYFUNCTION("""COMPUTED_VALUE"""),"Real")</f>
        <v>Real</v>
      </c>
      <c r="G6501" s="8">
        <f t="shared" si="1"/>
        <v>7</v>
      </c>
      <c r="H6501" s="14">
        <f t="shared" si="2"/>
        <v>29</v>
      </c>
      <c r="I6501" s="15">
        <f t="shared" si="3"/>
        <v>21</v>
      </c>
    </row>
    <row r="6502">
      <c r="A6502" s="8" t="str">
        <f>IFERROR(__xludf.DUMMYFUNCTION("IF('(INGESTA)Datos_consumo_datadis'!A6502&lt;&gt;"""",SPLIT('(INGESTA)Datos_consumo_datadis'!A:A,"",""),"""")"),"ES0031408323131005HX0F")</f>
        <v>ES0031408323131005HX0F</v>
      </c>
      <c r="B6502" s="12">
        <f>IFERROR(__xludf.DUMMYFUNCTION("""COMPUTED_VALUE"""),45136.0)</f>
        <v>45136</v>
      </c>
      <c r="C6502" s="13">
        <f>IFERROR(__xludf.DUMMYFUNCTION("""COMPUTED_VALUE"""),0.9166666666666666)</f>
        <v>0.9166666667</v>
      </c>
      <c r="D6502" s="8">
        <f>IFERROR(__xludf.DUMMYFUNCTION("""COMPUTED_VALUE"""),0.026)</f>
        <v>0.026</v>
      </c>
      <c r="E6502" s="8" t="str">
        <f>IFERROR(__xludf.DUMMYFUNCTION("""COMPUTED_VALUE"""),"Real")</f>
        <v>Real</v>
      </c>
      <c r="G6502" s="8">
        <f t="shared" si="1"/>
        <v>7</v>
      </c>
      <c r="H6502" s="14">
        <f t="shared" si="2"/>
        <v>29</v>
      </c>
      <c r="I6502" s="15">
        <f t="shared" si="3"/>
        <v>22</v>
      </c>
    </row>
    <row r="6503">
      <c r="A6503" s="8" t="str">
        <f>IFERROR(__xludf.DUMMYFUNCTION("IF('(INGESTA)Datos_consumo_datadis'!A6503&lt;&gt;"""",SPLIT('(INGESTA)Datos_consumo_datadis'!A:A,"",""),"""")"),"ES0031408323131005HX0F")</f>
        <v>ES0031408323131005HX0F</v>
      </c>
      <c r="B6503" s="12">
        <f>IFERROR(__xludf.DUMMYFUNCTION("""COMPUTED_VALUE"""),45136.0)</f>
        <v>45136</v>
      </c>
      <c r="C6503" s="13">
        <f>IFERROR(__xludf.DUMMYFUNCTION("""COMPUTED_VALUE"""),0.9583333333333334)</f>
        <v>0.9583333333</v>
      </c>
      <c r="D6503" s="8">
        <f>IFERROR(__xludf.DUMMYFUNCTION("""COMPUTED_VALUE"""),0.168)</f>
        <v>0.168</v>
      </c>
      <c r="E6503" s="8" t="str">
        <f>IFERROR(__xludf.DUMMYFUNCTION("""COMPUTED_VALUE"""),"Real")</f>
        <v>Real</v>
      </c>
      <c r="G6503" s="8">
        <f t="shared" si="1"/>
        <v>7</v>
      </c>
      <c r="H6503" s="14">
        <f t="shared" si="2"/>
        <v>29</v>
      </c>
      <c r="I6503" s="15">
        <f t="shared" si="3"/>
        <v>23</v>
      </c>
    </row>
    <row r="6504">
      <c r="A6504" s="8" t="str">
        <f>IFERROR(__xludf.DUMMYFUNCTION("IF('(INGESTA)Datos_consumo_datadis'!A6504&lt;&gt;"""",SPLIT('(INGESTA)Datos_consumo_datadis'!A:A,"",""),"""")"),"ES0031408323131005HX0F")</f>
        <v>ES0031408323131005HX0F</v>
      </c>
      <c r="B6504" s="12">
        <f>IFERROR(__xludf.DUMMYFUNCTION("""COMPUTED_VALUE"""),45136.0)</f>
        <v>45136</v>
      </c>
      <c r="C6504" s="16">
        <f>IFERROR(__xludf.DUMMYFUNCTION("""COMPUTED_VALUE"""),1.0)</f>
        <v>1</v>
      </c>
      <c r="D6504" s="8">
        <f>IFERROR(__xludf.DUMMYFUNCTION("""COMPUTED_VALUE"""),0.296)</f>
        <v>0.296</v>
      </c>
      <c r="E6504" s="8" t="str">
        <f>IFERROR(__xludf.DUMMYFUNCTION("""COMPUTED_VALUE"""),"Real")</f>
        <v>Real</v>
      </c>
      <c r="G6504" s="8">
        <f t="shared" si="1"/>
        <v>7</v>
      </c>
      <c r="H6504" s="14">
        <f t="shared" si="2"/>
        <v>29</v>
      </c>
      <c r="I6504" s="15">
        <f t="shared" si="3"/>
        <v>0</v>
      </c>
    </row>
    <row r="6505">
      <c r="A6505" s="8" t="str">
        <f>IFERROR(__xludf.DUMMYFUNCTION("IF('(INGESTA)Datos_consumo_datadis'!A6505&lt;&gt;"""",SPLIT('(INGESTA)Datos_consumo_datadis'!A:A,"",""),"""")"),"ES0031408323131005HX0F")</f>
        <v>ES0031408323131005HX0F</v>
      </c>
      <c r="B6505" s="12">
        <f>IFERROR(__xludf.DUMMYFUNCTION("""COMPUTED_VALUE"""),45137.0)</f>
        <v>45137</v>
      </c>
      <c r="C6505" s="13">
        <f>IFERROR(__xludf.DUMMYFUNCTION("""COMPUTED_VALUE"""),0.041666666666666664)</f>
        <v>0.04166666667</v>
      </c>
      <c r="D6505" s="8">
        <f>IFERROR(__xludf.DUMMYFUNCTION("""COMPUTED_VALUE"""),0.06)</f>
        <v>0.06</v>
      </c>
      <c r="E6505" s="8" t="str">
        <f>IFERROR(__xludf.DUMMYFUNCTION("""COMPUTED_VALUE"""),"Real")</f>
        <v>Real</v>
      </c>
      <c r="G6505" s="8">
        <f t="shared" si="1"/>
        <v>7</v>
      </c>
      <c r="H6505" s="14">
        <f t="shared" si="2"/>
        <v>30</v>
      </c>
      <c r="I6505" s="15">
        <f t="shared" si="3"/>
        <v>1</v>
      </c>
    </row>
    <row r="6506">
      <c r="A6506" s="8" t="str">
        <f>IFERROR(__xludf.DUMMYFUNCTION("IF('(INGESTA)Datos_consumo_datadis'!A6506&lt;&gt;"""",SPLIT('(INGESTA)Datos_consumo_datadis'!A:A,"",""),"""")"),"ES0031408323131005HX0F")</f>
        <v>ES0031408323131005HX0F</v>
      </c>
      <c r="B6506" s="12">
        <f>IFERROR(__xludf.DUMMYFUNCTION("""COMPUTED_VALUE"""),45137.0)</f>
        <v>45137</v>
      </c>
      <c r="C6506" s="13">
        <f>IFERROR(__xludf.DUMMYFUNCTION("""COMPUTED_VALUE"""),0.08333333333333333)</f>
        <v>0.08333333333</v>
      </c>
      <c r="D6506" s="8">
        <f>IFERROR(__xludf.DUMMYFUNCTION("""COMPUTED_VALUE"""),0.082)</f>
        <v>0.082</v>
      </c>
      <c r="E6506" s="8" t="str">
        <f>IFERROR(__xludf.DUMMYFUNCTION("""COMPUTED_VALUE"""),"Real")</f>
        <v>Real</v>
      </c>
      <c r="G6506" s="8">
        <f t="shared" si="1"/>
        <v>7</v>
      </c>
      <c r="H6506" s="14">
        <f t="shared" si="2"/>
        <v>30</v>
      </c>
      <c r="I6506" s="15">
        <f t="shared" si="3"/>
        <v>2</v>
      </c>
    </row>
    <row r="6507">
      <c r="A6507" s="8" t="str">
        <f>IFERROR(__xludf.DUMMYFUNCTION("IF('(INGESTA)Datos_consumo_datadis'!A6507&lt;&gt;"""",SPLIT('(INGESTA)Datos_consumo_datadis'!A:A,"",""),"""")"),"ES0031408323131005HX0F")</f>
        <v>ES0031408323131005HX0F</v>
      </c>
      <c r="B6507" s="12">
        <f>IFERROR(__xludf.DUMMYFUNCTION("""COMPUTED_VALUE"""),45137.0)</f>
        <v>45137</v>
      </c>
      <c r="C6507" s="13">
        <f>IFERROR(__xludf.DUMMYFUNCTION("""COMPUTED_VALUE"""),0.125)</f>
        <v>0.125</v>
      </c>
      <c r="D6507" s="8">
        <f>IFERROR(__xludf.DUMMYFUNCTION("""COMPUTED_VALUE"""),0.098)</f>
        <v>0.098</v>
      </c>
      <c r="E6507" s="8" t="str">
        <f>IFERROR(__xludf.DUMMYFUNCTION("""COMPUTED_VALUE"""),"Real")</f>
        <v>Real</v>
      </c>
      <c r="G6507" s="8">
        <f t="shared" si="1"/>
        <v>7</v>
      </c>
      <c r="H6507" s="14">
        <f t="shared" si="2"/>
        <v>30</v>
      </c>
      <c r="I6507" s="15">
        <f t="shared" si="3"/>
        <v>3</v>
      </c>
    </row>
    <row r="6508">
      <c r="A6508" s="8" t="str">
        <f>IFERROR(__xludf.DUMMYFUNCTION("IF('(INGESTA)Datos_consumo_datadis'!A6508&lt;&gt;"""",SPLIT('(INGESTA)Datos_consumo_datadis'!A:A,"",""),"""")"),"ES0031408323131005HX0F")</f>
        <v>ES0031408323131005HX0F</v>
      </c>
      <c r="B6508" s="12">
        <f>IFERROR(__xludf.DUMMYFUNCTION("""COMPUTED_VALUE"""),45137.0)</f>
        <v>45137</v>
      </c>
      <c r="C6508" s="13">
        <f>IFERROR(__xludf.DUMMYFUNCTION("""COMPUTED_VALUE"""),0.16666666666666666)</f>
        <v>0.1666666667</v>
      </c>
      <c r="D6508" s="8">
        <f>IFERROR(__xludf.DUMMYFUNCTION("""COMPUTED_VALUE"""),0.106)</f>
        <v>0.106</v>
      </c>
      <c r="E6508" s="8" t="str">
        <f>IFERROR(__xludf.DUMMYFUNCTION("""COMPUTED_VALUE"""),"Real")</f>
        <v>Real</v>
      </c>
      <c r="G6508" s="8">
        <f t="shared" si="1"/>
        <v>7</v>
      </c>
      <c r="H6508" s="14">
        <f t="shared" si="2"/>
        <v>30</v>
      </c>
      <c r="I6508" s="15">
        <f t="shared" si="3"/>
        <v>4</v>
      </c>
    </row>
    <row r="6509">
      <c r="A6509" s="8" t="str">
        <f>IFERROR(__xludf.DUMMYFUNCTION("IF('(INGESTA)Datos_consumo_datadis'!A6509&lt;&gt;"""",SPLIT('(INGESTA)Datos_consumo_datadis'!A:A,"",""),"""")"),"ES0031408323131005HX0F")</f>
        <v>ES0031408323131005HX0F</v>
      </c>
      <c r="B6509" s="12">
        <f>IFERROR(__xludf.DUMMYFUNCTION("""COMPUTED_VALUE"""),45137.0)</f>
        <v>45137</v>
      </c>
      <c r="C6509" s="13">
        <f>IFERROR(__xludf.DUMMYFUNCTION("""COMPUTED_VALUE"""),0.20833333333333334)</f>
        <v>0.2083333333</v>
      </c>
      <c r="D6509" s="8">
        <f>IFERROR(__xludf.DUMMYFUNCTION("""COMPUTED_VALUE"""),0.089)</f>
        <v>0.089</v>
      </c>
      <c r="E6509" s="8" t="str">
        <f>IFERROR(__xludf.DUMMYFUNCTION("""COMPUTED_VALUE"""),"Real")</f>
        <v>Real</v>
      </c>
      <c r="G6509" s="8">
        <f t="shared" si="1"/>
        <v>7</v>
      </c>
      <c r="H6509" s="14">
        <f t="shared" si="2"/>
        <v>30</v>
      </c>
      <c r="I6509" s="15">
        <f t="shared" si="3"/>
        <v>5</v>
      </c>
    </row>
    <row r="6510">
      <c r="A6510" s="8" t="str">
        <f>IFERROR(__xludf.DUMMYFUNCTION("IF('(INGESTA)Datos_consumo_datadis'!A6510&lt;&gt;"""",SPLIT('(INGESTA)Datos_consumo_datadis'!A:A,"",""),"""")"),"ES0031408323131005HX0F")</f>
        <v>ES0031408323131005HX0F</v>
      </c>
      <c r="B6510" s="12">
        <f>IFERROR(__xludf.DUMMYFUNCTION("""COMPUTED_VALUE"""),45137.0)</f>
        <v>45137</v>
      </c>
      <c r="C6510" s="13">
        <f>IFERROR(__xludf.DUMMYFUNCTION("""COMPUTED_VALUE"""),0.25)</f>
        <v>0.25</v>
      </c>
      <c r="D6510" s="8">
        <f>IFERROR(__xludf.DUMMYFUNCTION("""COMPUTED_VALUE"""),0.038)</f>
        <v>0.038</v>
      </c>
      <c r="E6510" s="8" t="str">
        <f>IFERROR(__xludf.DUMMYFUNCTION("""COMPUTED_VALUE"""),"Real")</f>
        <v>Real</v>
      </c>
      <c r="G6510" s="8">
        <f t="shared" si="1"/>
        <v>7</v>
      </c>
      <c r="H6510" s="14">
        <f t="shared" si="2"/>
        <v>30</v>
      </c>
      <c r="I6510" s="15">
        <f t="shared" si="3"/>
        <v>6</v>
      </c>
    </row>
    <row r="6511">
      <c r="A6511" s="8" t="str">
        <f>IFERROR(__xludf.DUMMYFUNCTION("IF('(INGESTA)Datos_consumo_datadis'!A6511&lt;&gt;"""",SPLIT('(INGESTA)Datos_consumo_datadis'!A:A,"",""),"""")"),"ES0031408323131005HX0F")</f>
        <v>ES0031408323131005HX0F</v>
      </c>
      <c r="B6511" s="12">
        <f>IFERROR(__xludf.DUMMYFUNCTION("""COMPUTED_VALUE"""),45137.0)</f>
        <v>45137</v>
      </c>
      <c r="C6511" s="13">
        <f>IFERROR(__xludf.DUMMYFUNCTION("""COMPUTED_VALUE"""),0.2916666666666667)</f>
        <v>0.2916666667</v>
      </c>
      <c r="D6511" s="8">
        <f>IFERROR(__xludf.DUMMYFUNCTION("""COMPUTED_VALUE"""),0.134)</f>
        <v>0.134</v>
      </c>
      <c r="E6511" s="8" t="str">
        <f>IFERROR(__xludf.DUMMYFUNCTION("""COMPUTED_VALUE"""),"Real")</f>
        <v>Real</v>
      </c>
      <c r="G6511" s="8">
        <f t="shared" si="1"/>
        <v>7</v>
      </c>
      <c r="H6511" s="14">
        <f t="shared" si="2"/>
        <v>30</v>
      </c>
      <c r="I6511" s="15">
        <f t="shared" si="3"/>
        <v>7</v>
      </c>
    </row>
    <row r="6512">
      <c r="A6512" s="8" t="str">
        <f>IFERROR(__xludf.DUMMYFUNCTION("IF('(INGESTA)Datos_consumo_datadis'!A6512&lt;&gt;"""",SPLIT('(INGESTA)Datos_consumo_datadis'!A:A,"",""),"""")"),"ES0031408323131005HX0F")</f>
        <v>ES0031408323131005HX0F</v>
      </c>
      <c r="B6512" s="12">
        <f>IFERROR(__xludf.DUMMYFUNCTION("""COMPUTED_VALUE"""),45137.0)</f>
        <v>45137</v>
      </c>
      <c r="C6512" s="13">
        <f>IFERROR(__xludf.DUMMYFUNCTION("""COMPUTED_VALUE"""),0.3333333333333333)</f>
        <v>0.3333333333</v>
      </c>
      <c r="D6512" s="8">
        <f>IFERROR(__xludf.DUMMYFUNCTION("""COMPUTED_VALUE"""),0.41)</f>
        <v>0.41</v>
      </c>
      <c r="E6512" s="8" t="str">
        <f>IFERROR(__xludf.DUMMYFUNCTION("""COMPUTED_VALUE"""),"Real")</f>
        <v>Real</v>
      </c>
      <c r="G6512" s="8">
        <f t="shared" si="1"/>
        <v>7</v>
      </c>
      <c r="H6512" s="14">
        <f t="shared" si="2"/>
        <v>30</v>
      </c>
      <c r="I6512" s="15">
        <f t="shared" si="3"/>
        <v>8</v>
      </c>
    </row>
    <row r="6513">
      <c r="A6513" s="8" t="str">
        <f>IFERROR(__xludf.DUMMYFUNCTION("IF('(INGESTA)Datos_consumo_datadis'!A6513&lt;&gt;"""",SPLIT('(INGESTA)Datos_consumo_datadis'!A:A,"",""),"""")"),"ES0031408323131005HX0F")</f>
        <v>ES0031408323131005HX0F</v>
      </c>
      <c r="B6513" s="12">
        <f>IFERROR(__xludf.DUMMYFUNCTION("""COMPUTED_VALUE"""),45137.0)</f>
        <v>45137</v>
      </c>
      <c r="C6513" s="13">
        <f>IFERROR(__xludf.DUMMYFUNCTION("""COMPUTED_VALUE"""),0.375)</f>
        <v>0.375</v>
      </c>
      <c r="D6513" s="8">
        <f>IFERROR(__xludf.DUMMYFUNCTION("""COMPUTED_VALUE"""),0.092)</f>
        <v>0.092</v>
      </c>
      <c r="E6513" s="8" t="str">
        <f>IFERROR(__xludf.DUMMYFUNCTION("""COMPUTED_VALUE"""),"Real")</f>
        <v>Real</v>
      </c>
      <c r="G6513" s="8">
        <f t="shared" si="1"/>
        <v>7</v>
      </c>
      <c r="H6513" s="14">
        <f t="shared" si="2"/>
        <v>30</v>
      </c>
      <c r="I6513" s="15">
        <f t="shared" si="3"/>
        <v>9</v>
      </c>
    </row>
    <row r="6514">
      <c r="A6514" s="8" t="str">
        <f>IFERROR(__xludf.DUMMYFUNCTION("IF('(INGESTA)Datos_consumo_datadis'!A6514&lt;&gt;"""",SPLIT('(INGESTA)Datos_consumo_datadis'!A:A,"",""),"""")"),"ES0031408323131005HX0F")</f>
        <v>ES0031408323131005HX0F</v>
      </c>
      <c r="B6514" s="12">
        <f>IFERROR(__xludf.DUMMYFUNCTION("""COMPUTED_VALUE"""),45137.0)</f>
        <v>45137</v>
      </c>
      <c r="C6514" s="13">
        <f>IFERROR(__xludf.DUMMYFUNCTION("""COMPUTED_VALUE"""),0.4166666666666667)</f>
        <v>0.4166666667</v>
      </c>
      <c r="D6514" s="8">
        <f>IFERROR(__xludf.DUMMYFUNCTION("""COMPUTED_VALUE"""),0.068)</f>
        <v>0.068</v>
      </c>
      <c r="E6514" s="8" t="str">
        <f>IFERROR(__xludf.DUMMYFUNCTION("""COMPUTED_VALUE"""),"Real")</f>
        <v>Real</v>
      </c>
      <c r="G6514" s="8">
        <f t="shared" si="1"/>
        <v>7</v>
      </c>
      <c r="H6514" s="14">
        <f t="shared" si="2"/>
        <v>30</v>
      </c>
      <c r="I6514" s="15">
        <f t="shared" si="3"/>
        <v>10</v>
      </c>
    </row>
    <row r="6515">
      <c r="A6515" s="8" t="str">
        <f>IFERROR(__xludf.DUMMYFUNCTION("IF('(INGESTA)Datos_consumo_datadis'!A6515&lt;&gt;"""",SPLIT('(INGESTA)Datos_consumo_datadis'!A:A,"",""),"""")"),"ES0031408323131005HX0F")</f>
        <v>ES0031408323131005HX0F</v>
      </c>
      <c r="B6515" s="12">
        <f>IFERROR(__xludf.DUMMYFUNCTION("""COMPUTED_VALUE"""),45137.0)</f>
        <v>45137</v>
      </c>
      <c r="C6515" s="13">
        <f>IFERROR(__xludf.DUMMYFUNCTION("""COMPUTED_VALUE"""),0.4583333333333333)</f>
        <v>0.4583333333</v>
      </c>
      <c r="D6515" s="8">
        <f>IFERROR(__xludf.DUMMYFUNCTION("""COMPUTED_VALUE"""),0.071)</f>
        <v>0.071</v>
      </c>
      <c r="E6515" s="8" t="str">
        <f>IFERROR(__xludf.DUMMYFUNCTION("""COMPUTED_VALUE"""),"Real")</f>
        <v>Real</v>
      </c>
      <c r="G6515" s="8">
        <f t="shared" si="1"/>
        <v>7</v>
      </c>
      <c r="H6515" s="14">
        <f t="shared" si="2"/>
        <v>30</v>
      </c>
      <c r="I6515" s="15">
        <f t="shared" si="3"/>
        <v>11</v>
      </c>
    </row>
    <row r="6516">
      <c r="A6516" s="8" t="str">
        <f>IFERROR(__xludf.DUMMYFUNCTION("IF('(INGESTA)Datos_consumo_datadis'!A6516&lt;&gt;"""",SPLIT('(INGESTA)Datos_consumo_datadis'!A:A,"",""),"""")"),"ES0031408323131005HX0F")</f>
        <v>ES0031408323131005HX0F</v>
      </c>
      <c r="B6516" s="12">
        <f>IFERROR(__xludf.DUMMYFUNCTION("""COMPUTED_VALUE"""),45137.0)</f>
        <v>45137</v>
      </c>
      <c r="C6516" s="13">
        <f>IFERROR(__xludf.DUMMYFUNCTION("""COMPUTED_VALUE"""),0.5)</f>
        <v>0.5</v>
      </c>
      <c r="D6516" s="8">
        <f>IFERROR(__xludf.DUMMYFUNCTION("""COMPUTED_VALUE"""),0.116)</f>
        <v>0.116</v>
      </c>
      <c r="E6516" s="8" t="str">
        <f>IFERROR(__xludf.DUMMYFUNCTION("""COMPUTED_VALUE"""),"Real")</f>
        <v>Real</v>
      </c>
      <c r="G6516" s="8">
        <f t="shared" si="1"/>
        <v>7</v>
      </c>
      <c r="H6516" s="14">
        <f t="shared" si="2"/>
        <v>30</v>
      </c>
      <c r="I6516" s="15">
        <f t="shared" si="3"/>
        <v>12</v>
      </c>
    </row>
    <row r="6517">
      <c r="A6517" s="8" t="str">
        <f>IFERROR(__xludf.DUMMYFUNCTION("IF('(INGESTA)Datos_consumo_datadis'!A6517&lt;&gt;"""",SPLIT('(INGESTA)Datos_consumo_datadis'!A:A,"",""),"""")"),"ES0031408323131005HX0F")</f>
        <v>ES0031408323131005HX0F</v>
      </c>
      <c r="B6517" s="12">
        <f>IFERROR(__xludf.DUMMYFUNCTION("""COMPUTED_VALUE"""),45137.0)</f>
        <v>45137</v>
      </c>
      <c r="C6517" s="13">
        <f>IFERROR(__xludf.DUMMYFUNCTION("""COMPUTED_VALUE"""),0.5416666666666666)</f>
        <v>0.5416666667</v>
      </c>
      <c r="D6517" s="8">
        <f>IFERROR(__xludf.DUMMYFUNCTION("""COMPUTED_VALUE"""),0.079)</f>
        <v>0.079</v>
      </c>
      <c r="E6517" s="8" t="str">
        <f>IFERROR(__xludf.DUMMYFUNCTION("""COMPUTED_VALUE"""),"Real")</f>
        <v>Real</v>
      </c>
      <c r="G6517" s="8">
        <f t="shared" si="1"/>
        <v>7</v>
      </c>
      <c r="H6517" s="14">
        <f t="shared" si="2"/>
        <v>30</v>
      </c>
      <c r="I6517" s="15">
        <f t="shared" si="3"/>
        <v>13</v>
      </c>
    </row>
    <row r="6518">
      <c r="A6518" s="8" t="str">
        <f>IFERROR(__xludf.DUMMYFUNCTION("IF('(INGESTA)Datos_consumo_datadis'!A6518&lt;&gt;"""",SPLIT('(INGESTA)Datos_consumo_datadis'!A:A,"",""),"""")"),"ES0031408323131005HX0F")</f>
        <v>ES0031408323131005HX0F</v>
      </c>
      <c r="B6518" s="12">
        <f>IFERROR(__xludf.DUMMYFUNCTION("""COMPUTED_VALUE"""),45137.0)</f>
        <v>45137</v>
      </c>
      <c r="C6518" s="13">
        <f>IFERROR(__xludf.DUMMYFUNCTION("""COMPUTED_VALUE"""),0.5833333333333334)</f>
        <v>0.5833333333</v>
      </c>
      <c r="D6518" s="8">
        <f>IFERROR(__xludf.DUMMYFUNCTION("""COMPUTED_VALUE"""),0.034)</f>
        <v>0.034</v>
      </c>
      <c r="E6518" s="8" t="str">
        <f>IFERROR(__xludf.DUMMYFUNCTION("""COMPUTED_VALUE"""),"Real")</f>
        <v>Real</v>
      </c>
      <c r="G6518" s="8">
        <f t="shared" si="1"/>
        <v>7</v>
      </c>
      <c r="H6518" s="14">
        <f t="shared" si="2"/>
        <v>30</v>
      </c>
      <c r="I6518" s="15">
        <f t="shared" si="3"/>
        <v>14</v>
      </c>
    </row>
    <row r="6519">
      <c r="A6519" s="8" t="str">
        <f>IFERROR(__xludf.DUMMYFUNCTION("IF('(INGESTA)Datos_consumo_datadis'!A6519&lt;&gt;"""",SPLIT('(INGESTA)Datos_consumo_datadis'!A:A,"",""),"""")"),"ES0031408323131005HX0F")</f>
        <v>ES0031408323131005HX0F</v>
      </c>
      <c r="B6519" s="12">
        <f>IFERROR(__xludf.DUMMYFUNCTION("""COMPUTED_VALUE"""),45137.0)</f>
        <v>45137</v>
      </c>
      <c r="C6519" s="13">
        <f>IFERROR(__xludf.DUMMYFUNCTION("""COMPUTED_VALUE"""),0.625)</f>
        <v>0.625</v>
      </c>
      <c r="D6519" s="8">
        <f>IFERROR(__xludf.DUMMYFUNCTION("""COMPUTED_VALUE"""),0.118)</f>
        <v>0.118</v>
      </c>
      <c r="E6519" s="8" t="str">
        <f>IFERROR(__xludf.DUMMYFUNCTION("""COMPUTED_VALUE"""),"Real")</f>
        <v>Real</v>
      </c>
      <c r="G6519" s="8">
        <f t="shared" si="1"/>
        <v>7</v>
      </c>
      <c r="H6519" s="14">
        <f t="shared" si="2"/>
        <v>30</v>
      </c>
      <c r="I6519" s="15">
        <f t="shared" si="3"/>
        <v>15</v>
      </c>
    </row>
    <row r="6520">
      <c r="A6520" s="8" t="str">
        <f>IFERROR(__xludf.DUMMYFUNCTION("IF('(INGESTA)Datos_consumo_datadis'!A6520&lt;&gt;"""",SPLIT('(INGESTA)Datos_consumo_datadis'!A:A,"",""),"""")"),"ES0031408323131005HX0F")</f>
        <v>ES0031408323131005HX0F</v>
      </c>
      <c r="B6520" s="12">
        <f>IFERROR(__xludf.DUMMYFUNCTION("""COMPUTED_VALUE"""),45137.0)</f>
        <v>45137</v>
      </c>
      <c r="C6520" s="13">
        <f>IFERROR(__xludf.DUMMYFUNCTION("""COMPUTED_VALUE"""),0.6666666666666666)</f>
        <v>0.6666666667</v>
      </c>
      <c r="D6520" s="8">
        <f>IFERROR(__xludf.DUMMYFUNCTION("""COMPUTED_VALUE"""),0.278)</f>
        <v>0.278</v>
      </c>
      <c r="E6520" s="8" t="str">
        <f>IFERROR(__xludf.DUMMYFUNCTION("""COMPUTED_VALUE"""),"Real")</f>
        <v>Real</v>
      </c>
      <c r="G6520" s="8">
        <f t="shared" si="1"/>
        <v>7</v>
      </c>
      <c r="H6520" s="14">
        <f t="shared" si="2"/>
        <v>30</v>
      </c>
      <c r="I6520" s="15">
        <f t="shared" si="3"/>
        <v>16</v>
      </c>
    </row>
    <row r="6521">
      <c r="A6521" s="8" t="str">
        <f>IFERROR(__xludf.DUMMYFUNCTION("IF('(INGESTA)Datos_consumo_datadis'!A6521&lt;&gt;"""",SPLIT('(INGESTA)Datos_consumo_datadis'!A:A,"",""),"""")"),"ES0031408323131005HX0F")</f>
        <v>ES0031408323131005HX0F</v>
      </c>
      <c r="B6521" s="12">
        <f>IFERROR(__xludf.DUMMYFUNCTION("""COMPUTED_VALUE"""),45137.0)</f>
        <v>45137</v>
      </c>
      <c r="C6521" s="13">
        <f>IFERROR(__xludf.DUMMYFUNCTION("""COMPUTED_VALUE"""),0.7083333333333334)</f>
        <v>0.7083333333</v>
      </c>
      <c r="D6521" s="8">
        <f>IFERROR(__xludf.DUMMYFUNCTION("""COMPUTED_VALUE"""),0.136)</f>
        <v>0.136</v>
      </c>
      <c r="E6521" s="8" t="str">
        <f>IFERROR(__xludf.DUMMYFUNCTION("""COMPUTED_VALUE"""),"Real")</f>
        <v>Real</v>
      </c>
      <c r="G6521" s="8">
        <f t="shared" si="1"/>
        <v>7</v>
      </c>
      <c r="H6521" s="14">
        <f t="shared" si="2"/>
        <v>30</v>
      </c>
      <c r="I6521" s="15">
        <f t="shared" si="3"/>
        <v>17</v>
      </c>
    </row>
    <row r="6522">
      <c r="A6522" s="8" t="str">
        <f>IFERROR(__xludf.DUMMYFUNCTION("IF('(INGESTA)Datos_consumo_datadis'!A6522&lt;&gt;"""",SPLIT('(INGESTA)Datos_consumo_datadis'!A:A,"",""),"""")"),"ES0031408323131005HX0F")</f>
        <v>ES0031408323131005HX0F</v>
      </c>
      <c r="B6522" s="12">
        <f>IFERROR(__xludf.DUMMYFUNCTION("""COMPUTED_VALUE"""),45137.0)</f>
        <v>45137</v>
      </c>
      <c r="C6522" s="13">
        <f>IFERROR(__xludf.DUMMYFUNCTION("""COMPUTED_VALUE"""),0.75)</f>
        <v>0.75</v>
      </c>
      <c r="D6522" s="8">
        <f>IFERROR(__xludf.DUMMYFUNCTION("""COMPUTED_VALUE"""),0.095)</f>
        <v>0.095</v>
      </c>
      <c r="E6522" s="8" t="str">
        <f>IFERROR(__xludf.DUMMYFUNCTION("""COMPUTED_VALUE"""),"Real")</f>
        <v>Real</v>
      </c>
      <c r="G6522" s="8">
        <f t="shared" si="1"/>
        <v>7</v>
      </c>
      <c r="H6522" s="14">
        <f t="shared" si="2"/>
        <v>30</v>
      </c>
      <c r="I6522" s="15">
        <f t="shared" si="3"/>
        <v>18</v>
      </c>
    </row>
    <row r="6523">
      <c r="A6523" s="8" t="str">
        <f>IFERROR(__xludf.DUMMYFUNCTION("IF('(INGESTA)Datos_consumo_datadis'!A6523&lt;&gt;"""",SPLIT('(INGESTA)Datos_consumo_datadis'!A:A,"",""),"""")"),"ES0031408323131005HX0F")</f>
        <v>ES0031408323131005HX0F</v>
      </c>
      <c r="B6523" s="12">
        <f>IFERROR(__xludf.DUMMYFUNCTION("""COMPUTED_VALUE"""),45137.0)</f>
        <v>45137</v>
      </c>
      <c r="C6523" s="13">
        <f>IFERROR(__xludf.DUMMYFUNCTION("""COMPUTED_VALUE"""),0.7916666666666666)</f>
        <v>0.7916666667</v>
      </c>
      <c r="D6523" s="8">
        <f>IFERROR(__xludf.DUMMYFUNCTION("""COMPUTED_VALUE"""),0.089)</f>
        <v>0.089</v>
      </c>
      <c r="E6523" s="8" t="str">
        <f>IFERROR(__xludf.DUMMYFUNCTION("""COMPUTED_VALUE"""),"Real")</f>
        <v>Real</v>
      </c>
      <c r="G6523" s="8">
        <f t="shared" si="1"/>
        <v>7</v>
      </c>
      <c r="H6523" s="14">
        <f t="shared" si="2"/>
        <v>30</v>
      </c>
      <c r="I6523" s="15">
        <f t="shared" si="3"/>
        <v>19</v>
      </c>
    </row>
    <row r="6524">
      <c r="A6524" s="8" t="str">
        <f>IFERROR(__xludf.DUMMYFUNCTION("IF('(INGESTA)Datos_consumo_datadis'!A6524&lt;&gt;"""",SPLIT('(INGESTA)Datos_consumo_datadis'!A:A,"",""),"""")"),"ES0031408323131005HX0F")</f>
        <v>ES0031408323131005HX0F</v>
      </c>
      <c r="B6524" s="12">
        <f>IFERROR(__xludf.DUMMYFUNCTION("""COMPUTED_VALUE"""),45137.0)</f>
        <v>45137</v>
      </c>
      <c r="C6524" s="13">
        <f>IFERROR(__xludf.DUMMYFUNCTION("""COMPUTED_VALUE"""),0.8333333333333334)</f>
        <v>0.8333333333</v>
      </c>
      <c r="D6524" s="8">
        <f>IFERROR(__xludf.DUMMYFUNCTION("""COMPUTED_VALUE"""),0.083)</f>
        <v>0.083</v>
      </c>
      <c r="E6524" s="8" t="str">
        <f>IFERROR(__xludf.DUMMYFUNCTION("""COMPUTED_VALUE"""),"Real")</f>
        <v>Real</v>
      </c>
      <c r="G6524" s="8">
        <f t="shared" si="1"/>
        <v>7</v>
      </c>
      <c r="H6524" s="14">
        <f t="shared" si="2"/>
        <v>30</v>
      </c>
      <c r="I6524" s="15">
        <f t="shared" si="3"/>
        <v>20</v>
      </c>
    </row>
    <row r="6525">
      <c r="A6525" s="8" t="str">
        <f>IFERROR(__xludf.DUMMYFUNCTION("IF('(INGESTA)Datos_consumo_datadis'!A6525&lt;&gt;"""",SPLIT('(INGESTA)Datos_consumo_datadis'!A:A,"",""),"""")"),"ES0031408323131005HX0F")</f>
        <v>ES0031408323131005HX0F</v>
      </c>
      <c r="B6525" s="12">
        <f>IFERROR(__xludf.DUMMYFUNCTION("""COMPUTED_VALUE"""),45137.0)</f>
        <v>45137</v>
      </c>
      <c r="C6525" s="13">
        <f>IFERROR(__xludf.DUMMYFUNCTION("""COMPUTED_VALUE"""),0.875)</f>
        <v>0.875</v>
      </c>
      <c r="D6525" s="8">
        <f>IFERROR(__xludf.DUMMYFUNCTION("""COMPUTED_VALUE"""),0.05)</f>
        <v>0.05</v>
      </c>
      <c r="E6525" s="8" t="str">
        <f>IFERROR(__xludf.DUMMYFUNCTION("""COMPUTED_VALUE"""),"Real")</f>
        <v>Real</v>
      </c>
      <c r="G6525" s="8">
        <f t="shared" si="1"/>
        <v>7</v>
      </c>
      <c r="H6525" s="14">
        <f t="shared" si="2"/>
        <v>30</v>
      </c>
      <c r="I6525" s="15">
        <f t="shared" si="3"/>
        <v>21</v>
      </c>
    </row>
    <row r="6526">
      <c r="A6526" s="8" t="str">
        <f>IFERROR(__xludf.DUMMYFUNCTION("IF('(INGESTA)Datos_consumo_datadis'!A6526&lt;&gt;"""",SPLIT('(INGESTA)Datos_consumo_datadis'!A:A,"",""),"""")"),"ES0031408323131005HX0F")</f>
        <v>ES0031408323131005HX0F</v>
      </c>
      <c r="B6526" s="12">
        <f>IFERROR(__xludf.DUMMYFUNCTION("""COMPUTED_VALUE"""),45137.0)</f>
        <v>45137</v>
      </c>
      <c r="C6526" s="13">
        <f>IFERROR(__xludf.DUMMYFUNCTION("""COMPUTED_VALUE"""),0.9166666666666666)</f>
        <v>0.9166666667</v>
      </c>
      <c r="D6526" s="8">
        <f>IFERROR(__xludf.DUMMYFUNCTION("""COMPUTED_VALUE"""),0.117)</f>
        <v>0.117</v>
      </c>
      <c r="E6526" s="8" t="str">
        <f>IFERROR(__xludf.DUMMYFUNCTION("""COMPUTED_VALUE"""),"Real")</f>
        <v>Real</v>
      </c>
      <c r="G6526" s="8">
        <f t="shared" si="1"/>
        <v>7</v>
      </c>
      <c r="H6526" s="14">
        <f t="shared" si="2"/>
        <v>30</v>
      </c>
      <c r="I6526" s="15">
        <f t="shared" si="3"/>
        <v>22</v>
      </c>
    </row>
    <row r="6527">
      <c r="A6527" s="8" t="str">
        <f>IFERROR(__xludf.DUMMYFUNCTION("IF('(INGESTA)Datos_consumo_datadis'!A6527&lt;&gt;"""",SPLIT('(INGESTA)Datos_consumo_datadis'!A:A,"",""),"""")"),"ES0031408323131005HX0F")</f>
        <v>ES0031408323131005HX0F</v>
      </c>
      <c r="B6527" s="12">
        <f>IFERROR(__xludf.DUMMYFUNCTION("""COMPUTED_VALUE"""),45137.0)</f>
        <v>45137</v>
      </c>
      <c r="C6527" s="13">
        <f>IFERROR(__xludf.DUMMYFUNCTION("""COMPUTED_VALUE"""),0.9583333333333334)</f>
        <v>0.9583333333</v>
      </c>
      <c r="D6527" s="8">
        <f>IFERROR(__xludf.DUMMYFUNCTION("""COMPUTED_VALUE"""),0.085)</f>
        <v>0.085</v>
      </c>
      <c r="E6527" s="8" t="str">
        <f>IFERROR(__xludf.DUMMYFUNCTION("""COMPUTED_VALUE"""),"Real")</f>
        <v>Real</v>
      </c>
      <c r="G6527" s="8">
        <f t="shared" si="1"/>
        <v>7</v>
      </c>
      <c r="H6527" s="14">
        <f t="shared" si="2"/>
        <v>30</v>
      </c>
      <c r="I6527" s="15">
        <f t="shared" si="3"/>
        <v>23</v>
      </c>
    </row>
    <row r="6528">
      <c r="A6528" s="8" t="str">
        <f>IFERROR(__xludf.DUMMYFUNCTION("IF('(INGESTA)Datos_consumo_datadis'!A6528&lt;&gt;"""",SPLIT('(INGESTA)Datos_consumo_datadis'!A:A,"",""),"""")"),"ES0031408323131005HX0F")</f>
        <v>ES0031408323131005HX0F</v>
      </c>
      <c r="B6528" s="12">
        <f>IFERROR(__xludf.DUMMYFUNCTION("""COMPUTED_VALUE"""),45137.0)</f>
        <v>45137</v>
      </c>
      <c r="C6528" s="16">
        <f>IFERROR(__xludf.DUMMYFUNCTION("""COMPUTED_VALUE"""),1.0)</f>
        <v>1</v>
      </c>
      <c r="D6528" s="8">
        <f>IFERROR(__xludf.DUMMYFUNCTION("""COMPUTED_VALUE"""),0.032)</f>
        <v>0.032</v>
      </c>
      <c r="E6528" s="8" t="str">
        <f>IFERROR(__xludf.DUMMYFUNCTION("""COMPUTED_VALUE"""),"Real")</f>
        <v>Real</v>
      </c>
      <c r="G6528" s="8">
        <f t="shared" si="1"/>
        <v>7</v>
      </c>
      <c r="H6528" s="14">
        <f t="shared" si="2"/>
        <v>30</v>
      </c>
      <c r="I6528" s="15">
        <f t="shared" si="3"/>
        <v>0</v>
      </c>
    </row>
    <row r="6529">
      <c r="A6529" s="8" t="str">
        <f>IFERROR(__xludf.DUMMYFUNCTION("IF('(INGESTA)Datos_consumo_datadis'!A6529&lt;&gt;"""",SPLIT('(INGESTA)Datos_consumo_datadis'!A:A,"",""),"""")"),"ES0031408323131005HX0F")</f>
        <v>ES0031408323131005HX0F</v>
      </c>
      <c r="B6529" s="12">
        <f>IFERROR(__xludf.DUMMYFUNCTION("""COMPUTED_VALUE"""),45138.0)</f>
        <v>45138</v>
      </c>
      <c r="C6529" s="13">
        <f>IFERROR(__xludf.DUMMYFUNCTION("""COMPUTED_VALUE"""),0.041666666666666664)</f>
        <v>0.04166666667</v>
      </c>
      <c r="D6529" s="8">
        <f>IFERROR(__xludf.DUMMYFUNCTION("""COMPUTED_VALUE"""),0.39)</f>
        <v>0.39</v>
      </c>
      <c r="E6529" s="8" t="str">
        <f>IFERROR(__xludf.DUMMYFUNCTION("""COMPUTED_VALUE"""),"Real")</f>
        <v>Real</v>
      </c>
      <c r="G6529" s="8">
        <f t="shared" si="1"/>
        <v>7</v>
      </c>
      <c r="H6529" s="14">
        <f t="shared" si="2"/>
        <v>31</v>
      </c>
      <c r="I6529" s="15">
        <f t="shared" si="3"/>
        <v>1</v>
      </c>
    </row>
    <row r="6530">
      <c r="A6530" s="8" t="str">
        <f>IFERROR(__xludf.DUMMYFUNCTION("IF('(INGESTA)Datos_consumo_datadis'!A6530&lt;&gt;"""",SPLIT('(INGESTA)Datos_consumo_datadis'!A:A,"",""),"""")"),"ES0031408323131005HX0F")</f>
        <v>ES0031408323131005HX0F</v>
      </c>
      <c r="B6530" s="12">
        <f>IFERROR(__xludf.DUMMYFUNCTION("""COMPUTED_VALUE"""),45138.0)</f>
        <v>45138</v>
      </c>
      <c r="C6530" s="13">
        <f>IFERROR(__xludf.DUMMYFUNCTION("""COMPUTED_VALUE"""),0.08333333333333333)</f>
        <v>0.08333333333</v>
      </c>
      <c r="D6530" s="8">
        <f>IFERROR(__xludf.DUMMYFUNCTION("""COMPUTED_VALUE"""),0.126)</f>
        <v>0.126</v>
      </c>
      <c r="E6530" s="8" t="str">
        <f>IFERROR(__xludf.DUMMYFUNCTION("""COMPUTED_VALUE"""),"Real")</f>
        <v>Real</v>
      </c>
      <c r="G6530" s="8">
        <f t="shared" si="1"/>
        <v>7</v>
      </c>
      <c r="H6530" s="14">
        <f t="shared" si="2"/>
        <v>31</v>
      </c>
      <c r="I6530" s="15">
        <f t="shared" si="3"/>
        <v>2</v>
      </c>
    </row>
    <row r="6531">
      <c r="A6531" s="8" t="str">
        <f>IFERROR(__xludf.DUMMYFUNCTION("IF('(INGESTA)Datos_consumo_datadis'!A6531&lt;&gt;"""",SPLIT('(INGESTA)Datos_consumo_datadis'!A:A,"",""),"""")"),"ES0031408323131005HX0F")</f>
        <v>ES0031408323131005HX0F</v>
      </c>
      <c r="B6531" s="12">
        <f>IFERROR(__xludf.DUMMYFUNCTION("""COMPUTED_VALUE"""),45138.0)</f>
        <v>45138</v>
      </c>
      <c r="C6531" s="13">
        <f>IFERROR(__xludf.DUMMYFUNCTION("""COMPUTED_VALUE"""),0.125)</f>
        <v>0.125</v>
      </c>
      <c r="D6531" s="8">
        <f>IFERROR(__xludf.DUMMYFUNCTION("""COMPUTED_VALUE"""),0.118)</f>
        <v>0.118</v>
      </c>
      <c r="E6531" s="8" t="str">
        <f>IFERROR(__xludf.DUMMYFUNCTION("""COMPUTED_VALUE"""),"Real")</f>
        <v>Real</v>
      </c>
      <c r="G6531" s="8">
        <f t="shared" si="1"/>
        <v>7</v>
      </c>
      <c r="H6531" s="14">
        <f t="shared" si="2"/>
        <v>31</v>
      </c>
      <c r="I6531" s="15">
        <f t="shared" si="3"/>
        <v>3</v>
      </c>
    </row>
    <row r="6532">
      <c r="A6532" s="8" t="str">
        <f>IFERROR(__xludf.DUMMYFUNCTION("IF('(INGESTA)Datos_consumo_datadis'!A6532&lt;&gt;"""",SPLIT('(INGESTA)Datos_consumo_datadis'!A:A,"",""),"""")"),"ES0031408323131005HX0F")</f>
        <v>ES0031408323131005HX0F</v>
      </c>
      <c r="B6532" s="12">
        <f>IFERROR(__xludf.DUMMYFUNCTION("""COMPUTED_VALUE"""),45138.0)</f>
        <v>45138</v>
      </c>
      <c r="C6532" s="13">
        <f>IFERROR(__xludf.DUMMYFUNCTION("""COMPUTED_VALUE"""),0.16666666666666666)</f>
        <v>0.1666666667</v>
      </c>
      <c r="D6532" s="8">
        <f>IFERROR(__xludf.DUMMYFUNCTION("""COMPUTED_VALUE"""),0.092)</f>
        <v>0.092</v>
      </c>
      <c r="E6532" s="8" t="str">
        <f>IFERROR(__xludf.DUMMYFUNCTION("""COMPUTED_VALUE"""),"Real")</f>
        <v>Real</v>
      </c>
      <c r="G6532" s="8">
        <f t="shared" si="1"/>
        <v>7</v>
      </c>
      <c r="H6532" s="14">
        <f t="shared" si="2"/>
        <v>31</v>
      </c>
      <c r="I6532" s="15">
        <f t="shared" si="3"/>
        <v>4</v>
      </c>
    </row>
    <row r="6533">
      <c r="A6533" s="8" t="str">
        <f>IFERROR(__xludf.DUMMYFUNCTION("IF('(INGESTA)Datos_consumo_datadis'!A6533&lt;&gt;"""",SPLIT('(INGESTA)Datos_consumo_datadis'!A:A,"",""),"""")"),"ES0031408323131005HX0F")</f>
        <v>ES0031408323131005HX0F</v>
      </c>
      <c r="B6533" s="12">
        <f>IFERROR(__xludf.DUMMYFUNCTION("""COMPUTED_VALUE"""),45138.0)</f>
        <v>45138</v>
      </c>
      <c r="C6533" s="13">
        <f>IFERROR(__xludf.DUMMYFUNCTION("""COMPUTED_VALUE"""),0.20833333333333334)</f>
        <v>0.2083333333</v>
      </c>
      <c r="D6533" s="8">
        <f>IFERROR(__xludf.DUMMYFUNCTION("""COMPUTED_VALUE"""),0.021)</f>
        <v>0.021</v>
      </c>
      <c r="E6533" s="8" t="str">
        <f>IFERROR(__xludf.DUMMYFUNCTION("""COMPUTED_VALUE"""),"Real")</f>
        <v>Real</v>
      </c>
      <c r="G6533" s="8">
        <f t="shared" si="1"/>
        <v>7</v>
      </c>
      <c r="H6533" s="14">
        <f t="shared" si="2"/>
        <v>31</v>
      </c>
      <c r="I6533" s="15">
        <f t="shared" si="3"/>
        <v>5</v>
      </c>
    </row>
    <row r="6534">
      <c r="A6534" s="8" t="str">
        <f>IFERROR(__xludf.DUMMYFUNCTION("IF('(INGESTA)Datos_consumo_datadis'!A6534&lt;&gt;"""",SPLIT('(INGESTA)Datos_consumo_datadis'!A:A,"",""),"""")"),"ES0031408323131005HX0F")</f>
        <v>ES0031408323131005HX0F</v>
      </c>
      <c r="B6534" s="12">
        <f>IFERROR(__xludf.DUMMYFUNCTION("""COMPUTED_VALUE"""),45138.0)</f>
        <v>45138</v>
      </c>
      <c r="C6534" s="13">
        <f>IFERROR(__xludf.DUMMYFUNCTION("""COMPUTED_VALUE"""),0.25)</f>
        <v>0.25</v>
      </c>
      <c r="D6534" s="8">
        <f>IFERROR(__xludf.DUMMYFUNCTION("""COMPUTED_VALUE"""),0.137)</f>
        <v>0.137</v>
      </c>
      <c r="E6534" s="8" t="str">
        <f>IFERROR(__xludf.DUMMYFUNCTION("""COMPUTED_VALUE"""),"Real")</f>
        <v>Real</v>
      </c>
      <c r="G6534" s="8">
        <f t="shared" si="1"/>
        <v>7</v>
      </c>
      <c r="H6534" s="14">
        <f t="shared" si="2"/>
        <v>31</v>
      </c>
      <c r="I6534" s="15">
        <f t="shared" si="3"/>
        <v>6</v>
      </c>
    </row>
    <row r="6535">
      <c r="A6535" s="8" t="str">
        <f>IFERROR(__xludf.DUMMYFUNCTION("IF('(INGESTA)Datos_consumo_datadis'!A6535&lt;&gt;"""",SPLIT('(INGESTA)Datos_consumo_datadis'!A:A,"",""),"""")"),"ES0031408323131005HX0F")</f>
        <v>ES0031408323131005HX0F</v>
      </c>
      <c r="B6535" s="12">
        <f>IFERROR(__xludf.DUMMYFUNCTION("""COMPUTED_VALUE"""),45138.0)</f>
        <v>45138</v>
      </c>
      <c r="C6535" s="13">
        <f>IFERROR(__xludf.DUMMYFUNCTION("""COMPUTED_VALUE"""),0.2916666666666667)</f>
        <v>0.2916666667</v>
      </c>
      <c r="D6535" s="8">
        <f>IFERROR(__xludf.DUMMYFUNCTION("""COMPUTED_VALUE"""),0.102)</f>
        <v>0.102</v>
      </c>
      <c r="E6535" s="8" t="str">
        <f>IFERROR(__xludf.DUMMYFUNCTION("""COMPUTED_VALUE"""),"Real")</f>
        <v>Real</v>
      </c>
      <c r="G6535" s="8">
        <f t="shared" si="1"/>
        <v>7</v>
      </c>
      <c r="H6535" s="14">
        <f t="shared" si="2"/>
        <v>31</v>
      </c>
      <c r="I6535" s="15">
        <f t="shared" si="3"/>
        <v>7</v>
      </c>
    </row>
    <row r="6536">
      <c r="A6536" s="8" t="str">
        <f>IFERROR(__xludf.DUMMYFUNCTION("IF('(INGESTA)Datos_consumo_datadis'!A6536&lt;&gt;"""",SPLIT('(INGESTA)Datos_consumo_datadis'!A:A,"",""),"""")"),"ES0031408323131005HX0F")</f>
        <v>ES0031408323131005HX0F</v>
      </c>
      <c r="B6536" s="12">
        <f>IFERROR(__xludf.DUMMYFUNCTION("""COMPUTED_VALUE"""),45138.0)</f>
        <v>45138</v>
      </c>
      <c r="C6536" s="13">
        <f>IFERROR(__xludf.DUMMYFUNCTION("""COMPUTED_VALUE"""),0.3333333333333333)</f>
        <v>0.3333333333</v>
      </c>
      <c r="D6536" s="8">
        <f>IFERROR(__xludf.DUMMYFUNCTION("""COMPUTED_VALUE"""),0.092)</f>
        <v>0.092</v>
      </c>
      <c r="E6536" s="8" t="str">
        <f>IFERROR(__xludf.DUMMYFUNCTION("""COMPUTED_VALUE"""),"Real")</f>
        <v>Real</v>
      </c>
      <c r="G6536" s="8">
        <f t="shared" si="1"/>
        <v>7</v>
      </c>
      <c r="H6536" s="14">
        <f t="shared" si="2"/>
        <v>31</v>
      </c>
      <c r="I6536" s="15">
        <f t="shared" si="3"/>
        <v>8</v>
      </c>
    </row>
    <row r="6537">
      <c r="A6537" s="8" t="str">
        <f>IFERROR(__xludf.DUMMYFUNCTION("IF('(INGESTA)Datos_consumo_datadis'!A6537&lt;&gt;"""",SPLIT('(INGESTA)Datos_consumo_datadis'!A:A,"",""),"""")"),"ES0031408323131005HX0F")</f>
        <v>ES0031408323131005HX0F</v>
      </c>
      <c r="B6537" s="12">
        <f>IFERROR(__xludf.DUMMYFUNCTION("""COMPUTED_VALUE"""),45138.0)</f>
        <v>45138</v>
      </c>
      <c r="C6537" s="13">
        <f>IFERROR(__xludf.DUMMYFUNCTION("""COMPUTED_VALUE"""),0.375)</f>
        <v>0.375</v>
      </c>
      <c r="D6537" s="8">
        <f>IFERROR(__xludf.DUMMYFUNCTION("""COMPUTED_VALUE"""),0.03)</f>
        <v>0.03</v>
      </c>
      <c r="E6537" s="8" t="str">
        <f>IFERROR(__xludf.DUMMYFUNCTION("""COMPUTED_VALUE"""),"Real")</f>
        <v>Real</v>
      </c>
      <c r="G6537" s="8">
        <f t="shared" si="1"/>
        <v>7</v>
      </c>
      <c r="H6537" s="14">
        <f t="shared" si="2"/>
        <v>31</v>
      </c>
      <c r="I6537" s="15">
        <f t="shared" si="3"/>
        <v>9</v>
      </c>
    </row>
    <row r="6538">
      <c r="A6538" s="8" t="str">
        <f>IFERROR(__xludf.DUMMYFUNCTION("IF('(INGESTA)Datos_consumo_datadis'!A6538&lt;&gt;"""",SPLIT('(INGESTA)Datos_consumo_datadis'!A:A,"",""),"""")"),"ES0031408323131005HX0F")</f>
        <v>ES0031408323131005HX0F</v>
      </c>
      <c r="B6538" s="12">
        <f>IFERROR(__xludf.DUMMYFUNCTION("""COMPUTED_VALUE"""),45138.0)</f>
        <v>45138</v>
      </c>
      <c r="C6538" s="13">
        <f>IFERROR(__xludf.DUMMYFUNCTION("""COMPUTED_VALUE"""),0.4166666666666667)</f>
        <v>0.4166666667</v>
      </c>
      <c r="D6538" s="8">
        <f>IFERROR(__xludf.DUMMYFUNCTION("""COMPUTED_VALUE"""),0.306)</f>
        <v>0.306</v>
      </c>
      <c r="E6538" s="8" t="str">
        <f>IFERROR(__xludf.DUMMYFUNCTION("""COMPUTED_VALUE"""),"Real")</f>
        <v>Real</v>
      </c>
      <c r="G6538" s="8">
        <f t="shared" si="1"/>
        <v>7</v>
      </c>
      <c r="H6538" s="14">
        <f t="shared" si="2"/>
        <v>31</v>
      </c>
      <c r="I6538" s="15">
        <f t="shared" si="3"/>
        <v>10</v>
      </c>
    </row>
    <row r="6539">
      <c r="A6539" s="8" t="str">
        <f>IFERROR(__xludf.DUMMYFUNCTION("IF('(INGESTA)Datos_consumo_datadis'!A6539&lt;&gt;"""",SPLIT('(INGESTA)Datos_consumo_datadis'!A:A,"",""),"""")"),"ES0031408323131005HX0F")</f>
        <v>ES0031408323131005HX0F</v>
      </c>
      <c r="B6539" s="12">
        <f>IFERROR(__xludf.DUMMYFUNCTION("""COMPUTED_VALUE"""),45138.0)</f>
        <v>45138</v>
      </c>
      <c r="C6539" s="13">
        <f>IFERROR(__xludf.DUMMYFUNCTION("""COMPUTED_VALUE"""),0.4583333333333333)</f>
        <v>0.4583333333</v>
      </c>
      <c r="D6539" s="8">
        <f>IFERROR(__xludf.DUMMYFUNCTION("""COMPUTED_VALUE"""),0.12)</f>
        <v>0.12</v>
      </c>
      <c r="E6539" s="8" t="str">
        <f>IFERROR(__xludf.DUMMYFUNCTION("""COMPUTED_VALUE"""),"Real")</f>
        <v>Real</v>
      </c>
      <c r="G6539" s="8">
        <f t="shared" si="1"/>
        <v>7</v>
      </c>
      <c r="H6539" s="14">
        <f t="shared" si="2"/>
        <v>31</v>
      </c>
      <c r="I6539" s="15">
        <f t="shared" si="3"/>
        <v>11</v>
      </c>
    </row>
    <row r="6540">
      <c r="A6540" s="8" t="str">
        <f>IFERROR(__xludf.DUMMYFUNCTION("IF('(INGESTA)Datos_consumo_datadis'!A6540&lt;&gt;"""",SPLIT('(INGESTA)Datos_consumo_datadis'!A:A,"",""),"""")"),"ES0031408323131005HX0F")</f>
        <v>ES0031408323131005HX0F</v>
      </c>
      <c r="B6540" s="12">
        <f>IFERROR(__xludf.DUMMYFUNCTION("""COMPUTED_VALUE"""),45138.0)</f>
        <v>45138</v>
      </c>
      <c r="C6540" s="13">
        <f>IFERROR(__xludf.DUMMYFUNCTION("""COMPUTED_VALUE"""),0.5)</f>
        <v>0.5</v>
      </c>
      <c r="D6540" s="8">
        <f>IFERROR(__xludf.DUMMYFUNCTION("""COMPUTED_VALUE"""),0.088)</f>
        <v>0.088</v>
      </c>
      <c r="E6540" s="8" t="str">
        <f>IFERROR(__xludf.DUMMYFUNCTION("""COMPUTED_VALUE"""),"Real")</f>
        <v>Real</v>
      </c>
      <c r="G6540" s="8">
        <f t="shared" si="1"/>
        <v>7</v>
      </c>
      <c r="H6540" s="14">
        <f t="shared" si="2"/>
        <v>31</v>
      </c>
      <c r="I6540" s="15">
        <f t="shared" si="3"/>
        <v>12</v>
      </c>
    </row>
    <row r="6541">
      <c r="A6541" s="8" t="str">
        <f>IFERROR(__xludf.DUMMYFUNCTION("IF('(INGESTA)Datos_consumo_datadis'!A6541&lt;&gt;"""",SPLIT('(INGESTA)Datos_consumo_datadis'!A:A,"",""),"""")"),"ES0031408323131005HX0F")</f>
        <v>ES0031408323131005HX0F</v>
      </c>
      <c r="B6541" s="12">
        <f>IFERROR(__xludf.DUMMYFUNCTION("""COMPUTED_VALUE"""),45138.0)</f>
        <v>45138</v>
      </c>
      <c r="C6541" s="13">
        <f>IFERROR(__xludf.DUMMYFUNCTION("""COMPUTED_VALUE"""),0.5416666666666666)</f>
        <v>0.5416666667</v>
      </c>
      <c r="D6541" s="8">
        <f>IFERROR(__xludf.DUMMYFUNCTION("""COMPUTED_VALUE"""),0.093)</f>
        <v>0.093</v>
      </c>
      <c r="E6541" s="8" t="str">
        <f>IFERROR(__xludf.DUMMYFUNCTION("""COMPUTED_VALUE"""),"Real")</f>
        <v>Real</v>
      </c>
      <c r="G6541" s="8">
        <f t="shared" si="1"/>
        <v>7</v>
      </c>
      <c r="H6541" s="14">
        <f t="shared" si="2"/>
        <v>31</v>
      </c>
      <c r="I6541" s="15">
        <f t="shared" si="3"/>
        <v>13</v>
      </c>
    </row>
    <row r="6542">
      <c r="A6542" s="8" t="str">
        <f>IFERROR(__xludf.DUMMYFUNCTION("IF('(INGESTA)Datos_consumo_datadis'!A6542&lt;&gt;"""",SPLIT('(INGESTA)Datos_consumo_datadis'!A:A,"",""),"""")"),"ES0031408323131005HX0F")</f>
        <v>ES0031408323131005HX0F</v>
      </c>
      <c r="B6542" s="12">
        <f>IFERROR(__xludf.DUMMYFUNCTION("""COMPUTED_VALUE"""),45138.0)</f>
        <v>45138</v>
      </c>
      <c r="C6542" s="13">
        <f>IFERROR(__xludf.DUMMYFUNCTION("""COMPUTED_VALUE"""),0.5833333333333334)</f>
        <v>0.5833333333</v>
      </c>
      <c r="D6542" s="8">
        <f>IFERROR(__xludf.DUMMYFUNCTION("""COMPUTED_VALUE"""),0.036)</f>
        <v>0.036</v>
      </c>
      <c r="E6542" s="8" t="str">
        <f>IFERROR(__xludf.DUMMYFUNCTION("""COMPUTED_VALUE"""),"Real")</f>
        <v>Real</v>
      </c>
      <c r="G6542" s="8">
        <f t="shared" si="1"/>
        <v>7</v>
      </c>
      <c r="H6542" s="14">
        <f t="shared" si="2"/>
        <v>31</v>
      </c>
      <c r="I6542" s="15">
        <f t="shared" si="3"/>
        <v>14</v>
      </c>
    </row>
    <row r="6543">
      <c r="A6543" s="8" t="str">
        <f>IFERROR(__xludf.DUMMYFUNCTION("IF('(INGESTA)Datos_consumo_datadis'!A6543&lt;&gt;"""",SPLIT('(INGESTA)Datos_consumo_datadis'!A:A,"",""),"""")"),"ES0031408323131005HX0F")</f>
        <v>ES0031408323131005HX0F</v>
      </c>
      <c r="B6543" s="12">
        <f>IFERROR(__xludf.DUMMYFUNCTION("""COMPUTED_VALUE"""),45138.0)</f>
        <v>45138</v>
      </c>
      <c r="C6543" s="13">
        <f>IFERROR(__xludf.DUMMYFUNCTION("""COMPUTED_VALUE"""),0.625)</f>
        <v>0.625</v>
      </c>
      <c r="D6543" s="8">
        <f>IFERROR(__xludf.DUMMYFUNCTION("""COMPUTED_VALUE"""),0.027)</f>
        <v>0.027</v>
      </c>
      <c r="E6543" s="8" t="str">
        <f>IFERROR(__xludf.DUMMYFUNCTION("""COMPUTED_VALUE"""),"Real")</f>
        <v>Real</v>
      </c>
      <c r="G6543" s="8">
        <f t="shared" si="1"/>
        <v>7</v>
      </c>
      <c r="H6543" s="14">
        <f t="shared" si="2"/>
        <v>31</v>
      </c>
      <c r="I6543" s="15">
        <f t="shared" si="3"/>
        <v>15</v>
      </c>
    </row>
    <row r="6544">
      <c r="A6544" s="8" t="str">
        <f>IFERROR(__xludf.DUMMYFUNCTION("IF('(INGESTA)Datos_consumo_datadis'!A6544&lt;&gt;"""",SPLIT('(INGESTA)Datos_consumo_datadis'!A:A,"",""),"""")"),"ES0031408323131005HX0F")</f>
        <v>ES0031408323131005HX0F</v>
      </c>
      <c r="B6544" s="12">
        <f>IFERROR(__xludf.DUMMYFUNCTION("""COMPUTED_VALUE"""),45138.0)</f>
        <v>45138</v>
      </c>
      <c r="C6544" s="13">
        <f>IFERROR(__xludf.DUMMYFUNCTION("""COMPUTED_VALUE"""),0.6666666666666666)</f>
        <v>0.6666666667</v>
      </c>
      <c r="D6544" s="8">
        <f>IFERROR(__xludf.DUMMYFUNCTION("""COMPUTED_VALUE"""),0.122)</f>
        <v>0.122</v>
      </c>
      <c r="E6544" s="8" t="str">
        <f>IFERROR(__xludf.DUMMYFUNCTION("""COMPUTED_VALUE"""),"Real")</f>
        <v>Real</v>
      </c>
      <c r="G6544" s="8">
        <f t="shared" si="1"/>
        <v>7</v>
      </c>
      <c r="H6544" s="14">
        <f t="shared" si="2"/>
        <v>31</v>
      </c>
      <c r="I6544" s="15">
        <f t="shared" si="3"/>
        <v>16</v>
      </c>
    </row>
    <row r="6545">
      <c r="A6545" s="8" t="str">
        <f>IFERROR(__xludf.DUMMYFUNCTION("IF('(INGESTA)Datos_consumo_datadis'!A6545&lt;&gt;"""",SPLIT('(INGESTA)Datos_consumo_datadis'!A:A,"",""),"""")"),"ES0031408323131005HX0F")</f>
        <v>ES0031408323131005HX0F</v>
      </c>
      <c r="B6545" s="12">
        <f>IFERROR(__xludf.DUMMYFUNCTION("""COMPUTED_VALUE"""),45138.0)</f>
        <v>45138</v>
      </c>
      <c r="C6545" s="13">
        <f>IFERROR(__xludf.DUMMYFUNCTION("""COMPUTED_VALUE"""),0.7083333333333334)</f>
        <v>0.7083333333</v>
      </c>
      <c r="D6545" s="8">
        <f>IFERROR(__xludf.DUMMYFUNCTION("""COMPUTED_VALUE"""),0.096)</f>
        <v>0.096</v>
      </c>
      <c r="E6545" s="8" t="str">
        <f>IFERROR(__xludf.DUMMYFUNCTION("""COMPUTED_VALUE"""),"Real")</f>
        <v>Real</v>
      </c>
      <c r="G6545" s="8">
        <f t="shared" si="1"/>
        <v>7</v>
      </c>
      <c r="H6545" s="14">
        <f t="shared" si="2"/>
        <v>31</v>
      </c>
      <c r="I6545" s="15">
        <f t="shared" si="3"/>
        <v>17</v>
      </c>
    </row>
    <row r="6546">
      <c r="A6546" s="8" t="str">
        <f>IFERROR(__xludf.DUMMYFUNCTION("IF('(INGESTA)Datos_consumo_datadis'!A6546&lt;&gt;"""",SPLIT('(INGESTA)Datos_consumo_datadis'!A:A,"",""),"""")"),"ES0031408323131005HX0F")</f>
        <v>ES0031408323131005HX0F</v>
      </c>
      <c r="B6546" s="12">
        <f>IFERROR(__xludf.DUMMYFUNCTION("""COMPUTED_VALUE"""),45138.0)</f>
        <v>45138</v>
      </c>
      <c r="C6546" s="13">
        <f>IFERROR(__xludf.DUMMYFUNCTION("""COMPUTED_VALUE"""),0.75)</f>
        <v>0.75</v>
      </c>
      <c r="D6546" s="8">
        <f>IFERROR(__xludf.DUMMYFUNCTION("""COMPUTED_VALUE"""),0.368)</f>
        <v>0.368</v>
      </c>
      <c r="E6546" s="8" t="str">
        <f>IFERROR(__xludf.DUMMYFUNCTION("""COMPUTED_VALUE"""),"Real")</f>
        <v>Real</v>
      </c>
      <c r="G6546" s="8">
        <f t="shared" si="1"/>
        <v>7</v>
      </c>
      <c r="H6546" s="14">
        <f t="shared" si="2"/>
        <v>31</v>
      </c>
      <c r="I6546" s="15">
        <f t="shared" si="3"/>
        <v>18</v>
      </c>
    </row>
    <row r="6547">
      <c r="A6547" s="8" t="str">
        <f>IFERROR(__xludf.DUMMYFUNCTION("IF('(INGESTA)Datos_consumo_datadis'!A6547&lt;&gt;"""",SPLIT('(INGESTA)Datos_consumo_datadis'!A:A,"",""),"""")"),"ES0031408323131005HX0F")</f>
        <v>ES0031408323131005HX0F</v>
      </c>
      <c r="B6547" s="12">
        <f>IFERROR(__xludf.DUMMYFUNCTION("""COMPUTED_VALUE"""),45138.0)</f>
        <v>45138</v>
      </c>
      <c r="C6547" s="13">
        <f>IFERROR(__xludf.DUMMYFUNCTION("""COMPUTED_VALUE"""),0.7916666666666666)</f>
        <v>0.7916666667</v>
      </c>
      <c r="D6547" s="8">
        <f>IFERROR(__xludf.DUMMYFUNCTION("""COMPUTED_VALUE"""),0.05)</f>
        <v>0.05</v>
      </c>
      <c r="E6547" s="8" t="str">
        <f>IFERROR(__xludf.DUMMYFUNCTION("""COMPUTED_VALUE"""),"Real")</f>
        <v>Real</v>
      </c>
      <c r="G6547" s="8">
        <f t="shared" si="1"/>
        <v>7</v>
      </c>
      <c r="H6547" s="14">
        <f t="shared" si="2"/>
        <v>31</v>
      </c>
      <c r="I6547" s="15">
        <f t="shared" si="3"/>
        <v>19</v>
      </c>
    </row>
    <row r="6548">
      <c r="A6548" s="8" t="str">
        <f>IFERROR(__xludf.DUMMYFUNCTION("IF('(INGESTA)Datos_consumo_datadis'!A6548&lt;&gt;"""",SPLIT('(INGESTA)Datos_consumo_datadis'!A:A,"",""),"""")"),"ES0031408323131005HX0F")</f>
        <v>ES0031408323131005HX0F</v>
      </c>
      <c r="B6548" s="12">
        <f>IFERROR(__xludf.DUMMYFUNCTION("""COMPUTED_VALUE"""),45138.0)</f>
        <v>45138</v>
      </c>
      <c r="C6548" s="13">
        <f>IFERROR(__xludf.DUMMYFUNCTION("""COMPUTED_VALUE"""),0.8333333333333334)</f>
        <v>0.8333333333</v>
      </c>
      <c r="D6548" s="8">
        <f>IFERROR(__xludf.DUMMYFUNCTION("""COMPUTED_VALUE"""),0.014)</f>
        <v>0.014</v>
      </c>
      <c r="E6548" s="8" t="str">
        <f>IFERROR(__xludf.DUMMYFUNCTION("""COMPUTED_VALUE"""),"Real")</f>
        <v>Real</v>
      </c>
      <c r="G6548" s="8">
        <f t="shared" si="1"/>
        <v>7</v>
      </c>
      <c r="H6548" s="14">
        <f t="shared" si="2"/>
        <v>31</v>
      </c>
      <c r="I6548" s="15">
        <f t="shared" si="3"/>
        <v>20</v>
      </c>
    </row>
    <row r="6549">
      <c r="A6549" s="8" t="str">
        <f>IFERROR(__xludf.DUMMYFUNCTION("IF('(INGESTA)Datos_consumo_datadis'!A6549&lt;&gt;"""",SPLIT('(INGESTA)Datos_consumo_datadis'!A:A,"",""),"""")"),"ES0031408323131005HX0F")</f>
        <v>ES0031408323131005HX0F</v>
      </c>
      <c r="B6549" s="12">
        <f>IFERROR(__xludf.DUMMYFUNCTION("""COMPUTED_VALUE"""),45138.0)</f>
        <v>45138</v>
      </c>
      <c r="C6549" s="13">
        <f>IFERROR(__xludf.DUMMYFUNCTION("""COMPUTED_VALUE"""),0.875)</f>
        <v>0.875</v>
      </c>
      <c r="D6549" s="8">
        <f>IFERROR(__xludf.DUMMYFUNCTION("""COMPUTED_VALUE"""),0.12)</f>
        <v>0.12</v>
      </c>
      <c r="E6549" s="8" t="str">
        <f>IFERROR(__xludf.DUMMYFUNCTION("""COMPUTED_VALUE"""),"Real")</f>
        <v>Real</v>
      </c>
      <c r="G6549" s="8">
        <f t="shared" si="1"/>
        <v>7</v>
      </c>
      <c r="H6549" s="14">
        <f t="shared" si="2"/>
        <v>31</v>
      </c>
      <c r="I6549" s="15">
        <f t="shared" si="3"/>
        <v>21</v>
      </c>
    </row>
    <row r="6550">
      <c r="A6550" s="8" t="str">
        <f>IFERROR(__xludf.DUMMYFUNCTION("IF('(INGESTA)Datos_consumo_datadis'!A6550&lt;&gt;"""",SPLIT('(INGESTA)Datos_consumo_datadis'!A:A,"",""),"""")"),"ES0031408323131005HX0F")</f>
        <v>ES0031408323131005HX0F</v>
      </c>
      <c r="B6550" s="12">
        <f>IFERROR(__xludf.DUMMYFUNCTION("""COMPUTED_VALUE"""),45138.0)</f>
        <v>45138</v>
      </c>
      <c r="C6550" s="13">
        <f>IFERROR(__xludf.DUMMYFUNCTION("""COMPUTED_VALUE"""),0.9166666666666666)</f>
        <v>0.9166666667</v>
      </c>
      <c r="D6550" s="8">
        <f>IFERROR(__xludf.DUMMYFUNCTION("""COMPUTED_VALUE"""),0.113)</f>
        <v>0.113</v>
      </c>
      <c r="E6550" s="8" t="str">
        <f>IFERROR(__xludf.DUMMYFUNCTION("""COMPUTED_VALUE"""),"Real")</f>
        <v>Real</v>
      </c>
      <c r="G6550" s="8">
        <f t="shared" si="1"/>
        <v>7</v>
      </c>
      <c r="H6550" s="14">
        <f t="shared" si="2"/>
        <v>31</v>
      </c>
      <c r="I6550" s="15">
        <f t="shared" si="3"/>
        <v>22</v>
      </c>
    </row>
    <row r="6551">
      <c r="A6551" s="8" t="str">
        <f>IFERROR(__xludf.DUMMYFUNCTION("IF('(INGESTA)Datos_consumo_datadis'!A6551&lt;&gt;"""",SPLIT('(INGESTA)Datos_consumo_datadis'!A:A,"",""),"""")"),"ES0031408323131005HX0F")</f>
        <v>ES0031408323131005HX0F</v>
      </c>
      <c r="B6551" s="12">
        <f>IFERROR(__xludf.DUMMYFUNCTION("""COMPUTED_VALUE"""),45138.0)</f>
        <v>45138</v>
      </c>
      <c r="C6551" s="13">
        <f>IFERROR(__xludf.DUMMYFUNCTION("""COMPUTED_VALUE"""),0.9583333333333334)</f>
        <v>0.9583333333</v>
      </c>
      <c r="D6551" s="8">
        <f>IFERROR(__xludf.DUMMYFUNCTION("""COMPUTED_VALUE"""),0.076)</f>
        <v>0.076</v>
      </c>
      <c r="E6551" s="8" t="str">
        <f>IFERROR(__xludf.DUMMYFUNCTION("""COMPUTED_VALUE"""),"Real")</f>
        <v>Real</v>
      </c>
      <c r="G6551" s="8">
        <f t="shared" si="1"/>
        <v>7</v>
      </c>
      <c r="H6551" s="14">
        <f t="shared" si="2"/>
        <v>31</v>
      </c>
      <c r="I6551" s="15">
        <f t="shared" si="3"/>
        <v>23</v>
      </c>
    </row>
    <row r="6552">
      <c r="A6552" s="8" t="str">
        <f>IFERROR(__xludf.DUMMYFUNCTION("IF('(INGESTA)Datos_consumo_datadis'!A6552&lt;&gt;"""",SPLIT('(INGESTA)Datos_consumo_datadis'!A:A,"",""),"""")"),"ES0031408323131005HX0F")</f>
        <v>ES0031408323131005HX0F</v>
      </c>
      <c r="B6552" s="12">
        <f>IFERROR(__xludf.DUMMYFUNCTION("""COMPUTED_VALUE"""),45138.0)</f>
        <v>45138</v>
      </c>
      <c r="C6552" s="16">
        <f>IFERROR(__xludf.DUMMYFUNCTION("""COMPUTED_VALUE"""),1.0)</f>
        <v>1</v>
      </c>
      <c r="D6552" s="8">
        <f>IFERROR(__xludf.DUMMYFUNCTION("""COMPUTED_VALUE"""),0.062)</f>
        <v>0.062</v>
      </c>
      <c r="E6552" s="8" t="str">
        <f>IFERROR(__xludf.DUMMYFUNCTION("""COMPUTED_VALUE"""),"Real")</f>
        <v>Real</v>
      </c>
      <c r="G6552" s="8">
        <f t="shared" si="1"/>
        <v>7</v>
      </c>
      <c r="H6552" s="14">
        <f t="shared" si="2"/>
        <v>31</v>
      </c>
      <c r="I6552" s="15">
        <f t="shared" si="3"/>
        <v>0</v>
      </c>
    </row>
    <row r="6553">
      <c r="A6553" s="8" t="str">
        <f>IFERROR(__xludf.DUMMYFUNCTION("IF('(INGESTA)Datos_consumo_datadis'!A6553&lt;&gt;"""",SPLIT('(INGESTA)Datos_consumo_datadis'!A:A,"",""),"""")"),"ES0031408323131005HX0F")</f>
        <v>ES0031408323131005HX0F</v>
      </c>
      <c r="B6553" s="12">
        <f>IFERROR(__xludf.DUMMYFUNCTION("""COMPUTED_VALUE"""),45139.0)</f>
        <v>45139</v>
      </c>
      <c r="C6553" s="13">
        <f>IFERROR(__xludf.DUMMYFUNCTION("""COMPUTED_VALUE"""),0.041666666666666664)</f>
        <v>0.04166666667</v>
      </c>
      <c r="D6553" s="8">
        <f>IFERROR(__xludf.DUMMYFUNCTION("""COMPUTED_VALUE"""),0.014)</f>
        <v>0.014</v>
      </c>
      <c r="E6553" s="8" t="str">
        <f>IFERROR(__xludf.DUMMYFUNCTION("""COMPUTED_VALUE"""),"Real")</f>
        <v>Real</v>
      </c>
      <c r="G6553" s="8">
        <f t="shared" si="1"/>
        <v>8</v>
      </c>
      <c r="H6553" s="14">
        <f t="shared" si="2"/>
        <v>1</v>
      </c>
      <c r="I6553" s="15">
        <f t="shared" si="3"/>
        <v>1</v>
      </c>
    </row>
    <row r="6554">
      <c r="A6554" s="8" t="str">
        <f>IFERROR(__xludf.DUMMYFUNCTION("IF('(INGESTA)Datos_consumo_datadis'!A6554&lt;&gt;"""",SPLIT('(INGESTA)Datos_consumo_datadis'!A:A,"",""),"""")"),"ES0031408323131005HX0F")</f>
        <v>ES0031408323131005HX0F</v>
      </c>
      <c r="B6554" s="12">
        <f>IFERROR(__xludf.DUMMYFUNCTION("""COMPUTED_VALUE"""),45139.0)</f>
        <v>45139</v>
      </c>
      <c r="C6554" s="13">
        <f>IFERROR(__xludf.DUMMYFUNCTION("""COMPUTED_VALUE"""),0.08333333333333333)</f>
        <v>0.08333333333</v>
      </c>
      <c r="D6554" s="8">
        <f>IFERROR(__xludf.DUMMYFUNCTION("""COMPUTED_VALUE"""),0.101)</f>
        <v>0.101</v>
      </c>
      <c r="E6554" s="8" t="str">
        <f>IFERROR(__xludf.DUMMYFUNCTION("""COMPUTED_VALUE"""),"Real")</f>
        <v>Real</v>
      </c>
      <c r="G6554" s="8">
        <f t="shared" si="1"/>
        <v>8</v>
      </c>
      <c r="H6554" s="14">
        <f t="shared" si="2"/>
        <v>1</v>
      </c>
      <c r="I6554" s="15">
        <f t="shared" si="3"/>
        <v>2</v>
      </c>
    </row>
    <row r="6555">
      <c r="A6555" s="8" t="str">
        <f>IFERROR(__xludf.DUMMYFUNCTION("IF('(INGESTA)Datos_consumo_datadis'!A6555&lt;&gt;"""",SPLIT('(INGESTA)Datos_consumo_datadis'!A:A,"",""),"""")"),"ES0031408323131005HX0F")</f>
        <v>ES0031408323131005HX0F</v>
      </c>
      <c r="B6555" s="12">
        <f>IFERROR(__xludf.DUMMYFUNCTION("""COMPUTED_VALUE"""),45139.0)</f>
        <v>45139</v>
      </c>
      <c r="C6555" s="13">
        <f>IFERROR(__xludf.DUMMYFUNCTION("""COMPUTED_VALUE"""),0.125)</f>
        <v>0.125</v>
      </c>
      <c r="D6555" s="8">
        <f>IFERROR(__xludf.DUMMYFUNCTION("""COMPUTED_VALUE"""),0.385)</f>
        <v>0.385</v>
      </c>
      <c r="E6555" s="8" t="str">
        <f>IFERROR(__xludf.DUMMYFUNCTION("""COMPUTED_VALUE"""),"Real")</f>
        <v>Real</v>
      </c>
      <c r="G6555" s="8">
        <f t="shared" si="1"/>
        <v>8</v>
      </c>
      <c r="H6555" s="14">
        <f t="shared" si="2"/>
        <v>1</v>
      </c>
      <c r="I6555" s="15">
        <f t="shared" si="3"/>
        <v>3</v>
      </c>
    </row>
    <row r="6556">
      <c r="A6556" s="8" t="str">
        <f>IFERROR(__xludf.DUMMYFUNCTION("IF('(INGESTA)Datos_consumo_datadis'!A6556&lt;&gt;"""",SPLIT('(INGESTA)Datos_consumo_datadis'!A:A,"",""),"""")"),"ES0031408323131005HX0F")</f>
        <v>ES0031408323131005HX0F</v>
      </c>
      <c r="B6556" s="12">
        <f>IFERROR(__xludf.DUMMYFUNCTION("""COMPUTED_VALUE"""),45139.0)</f>
        <v>45139</v>
      </c>
      <c r="C6556" s="13">
        <f>IFERROR(__xludf.DUMMYFUNCTION("""COMPUTED_VALUE"""),0.16666666666666666)</f>
        <v>0.1666666667</v>
      </c>
      <c r="D6556" s="8">
        <f>IFERROR(__xludf.DUMMYFUNCTION("""COMPUTED_VALUE"""),0.089)</f>
        <v>0.089</v>
      </c>
      <c r="E6556" s="8" t="str">
        <f>IFERROR(__xludf.DUMMYFUNCTION("""COMPUTED_VALUE"""),"Real")</f>
        <v>Real</v>
      </c>
      <c r="G6556" s="8">
        <f t="shared" si="1"/>
        <v>8</v>
      </c>
      <c r="H6556" s="14">
        <f t="shared" si="2"/>
        <v>1</v>
      </c>
      <c r="I6556" s="15">
        <f t="shared" si="3"/>
        <v>4</v>
      </c>
    </row>
    <row r="6557">
      <c r="A6557" s="8" t="str">
        <f>IFERROR(__xludf.DUMMYFUNCTION("IF('(INGESTA)Datos_consumo_datadis'!A6557&lt;&gt;"""",SPLIT('(INGESTA)Datos_consumo_datadis'!A:A,"",""),"""")"),"ES0031408323131005HX0F")</f>
        <v>ES0031408323131005HX0F</v>
      </c>
      <c r="B6557" s="12">
        <f>IFERROR(__xludf.DUMMYFUNCTION("""COMPUTED_VALUE"""),45139.0)</f>
        <v>45139</v>
      </c>
      <c r="C6557" s="13">
        <f>IFERROR(__xludf.DUMMYFUNCTION("""COMPUTED_VALUE"""),0.20833333333333334)</f>
        <v>0.2083333333</v>
      </c>
      <c r="D6557" s="8">
        <f>IFERROR(__xludf.DUMMYFUNCTION("""COMPUTED_VALUE"""),0.069)</f>
        <v>0.069</v>
      </c>
      <c r="E6557" s="8" t="str">
        <f>IFERROR(__xludf.DUMMYFUNCTION("""COMPUTED_VALUE"""),"Real")</f>
        <v>Real</v>
      </c>
      <c r="G6557" s="8">
        <f t="shared" si="1"/>
        <v>8</v>
      </c>
      <c r="H6557" s="14">
        <f t="shared" si="2"/>
        <v>1</v>
      </c>
      <c r="I6557" s="15">
        <f t="shared" si="3"/>
        <v>5</v>
      </c>
    </row>
    <row r="6558">
      <c r="A6558" s="8" t="str">
        <f>IFERROR(__xludf.DUMMYFUNCTION("IF('(INGESTA)Datos_consumo_datadis'!A6558&lt;&gt;"""",SPLIT('(INGESTA)Datos_consumo_datadis'!A:A,"",""),"""")"),"ES0031408323131005HX0F")</f>
        <v>ES0031408323131005HX0F</v>
      </c>
      <c r="B6558" s="12">
        <f>IFERROR(__xludf.DUMMYFUNCTION("""COMPUTED_VALUE"""),45139.0)</f>
        <v>45139</v>
      </c>
      <c r="C6558" s="13">
        <f>IFERROR(__xludf.DUMMYFUNCTION("""COMPUTED_VALUE"""),0.25)</f>
        <v>0.25</v>
      </c>
      <c r="D6558" s="8">
        <f>IFERROR(__xludf.DUMMYFUNCTION("""COMPUTED_VALUE"""),0.031)</f>
        <v>0.031</v>
      </c>
      <c r="E6558" s="8" t="str">
        <f>IFERROR(__xludf.DUMMYFUNCTION("""COMPUTED_VALUE"""),"Real")</f>
        <v>Real</v>
      </c>
      <c r="G6558" s="8">
        <f t="shared" si="1"/>
        <v>8</v>
      </c>
      <c r="H6558" s="14">
        <f t="shared" si="2"/>
        <v>1</v>
      </c>
      <c r="I6558" s="15">
        <f t="shared" si="3"/>
        <v>6</v>
      </c>
    </row>
    <row r="6559">
      <c r="A6559" s="8" t="str">
        <f>IFERROR(__xludf.DUMMYFUNCTION("IF('(INGESTA)Datos_consumo_datadis'!A6559&lt;&gt;"""",SPLIT('(INGESTA)Datos_consumo_datadis'!A:A,"",""),"""")"),"ES0031408323131005HX0F")</f>
        <v>ES0031408323131005HX0F</v>
      </c>
      <c r="B6559" s="12">
        <f>IFERROR(__xludf.DUMMYFUNCTION("""COMPUTED_VALUE"""),45139.0)</f>
        <v>45139</v>
      </c>
      <c r="C6559" s="13">
        <f>IFERROR(__xludf.DUMMYFUNCTION("""COMPUTED_VALUE"""),0.2916666666666667)</f>
        <v>0.2916666667</v>
      </c>
      <c r="D6559" s="8">
        <f>IFERROR(__xludf.DUMMYFUNCTION("""COMPUTED_VALUE"""),0.094)</f>
        <v>0.094</v>
      </c>
      <c r="E6559" s="8" t="str">
        <f>IFERROR(__xludf.DUMMYFUNCTION("""COMPUTED_VALUE"""),"Real")</f>
        <v>Real</v>
      </c>
      <c r="G6559" s="8">
        <f t="shared" si="1"/>
        <v>8</v>
      </c>
      <c r="H6559" s="14">
        <f t="shared" si="2"/>
        <v>1</v>
      </c>
      <c r="I6559" s="15">
        <f t="shared" si="3"/>
        <v>7</v>
      </c>
    </row>
    <row r="6560">
      <c r="A6560" s="8" t="str">
        <f>IFERROR(__xludf.DUMMYFUNCTION("IF('(INGESTA)Datos_consumo_datadis'!A6560&lt;&gt;"""",SPLIT('(INGESTA)Datos_consumo_datadis'!A:A,"",""),"""")"),"ES0031408323131005HX0F")</f>
        <v>ES0031408323131005HX0F</v>
      </c>
      <c r="B6560" s="12">
        <f>IFERROR(__xludf.DUMMYFUNCTION("""COMPUTED_VALUE"""),45139.0)</f>
        <v>45139</v>
      </c>
      <c r="C6560" s="13">
        <f>IFERROR(__xludf.DUMMYFUNCTION("""COMPUTED_VALUE"""),0.3333333333333333)</f>
        <v>0.3333333333</v>
      </c>
      <c r="D6560" s="8">
        <f>IFERROR(__xludf.DUMMYFUNCTION("""COMPUTED_VALUE"""),0.118)</f>
        <v>0.118</v>
      </c>
      <c r="E6560" s="8" t="str">
        <f>IFERROR(__xludf.DUMMYFUNCTION("""COMPUTED_VALUE"""),"Real")</f>
        <v>Real</v>
      </c>
      <c r="G6560" s="8">
        <f t="shared" si="1"/>
        <v>8</v>
      </c>
      <c r="H6560" s="14">
        <f t="shared" si="2"/>
        <v>1</v>
      </c>
      <c r="I6560" s="15">
        <f t="shared" si="3"/>
        <v>8</v>
      </c>
    </row>
    <row r="6561">
      <c r="A6561" s="8" t="str">
        <f>IFERROR(__xludf.DUMMYFUNCTION("IF('(INGESTA)Datos_consumo_datadis'!A6561&lt;&gt;"""",SPLIT('(INGESTA)Datos_consumo_datadis'!A:A,"",""),"""")"),"ES0031408323131005HX0F")</f>
        <v>ES0031408323131005HX0F</v>
      </c>
      <c r="B6561" s="12">
        <f>IFERROR(__xludf.DUMMYFUNCTION("""COMPUTED_VALUE"""),45139.0)</f>
        <v>45139</v>
      </c>
      <c r="C6561" s="13">
        <f>IFERROR(__xludf.DUMMYFUNCTION("""COMPUTED_VALUE"""),0.375)</f>
        <v>0.375</v>
      </c>
      <c r="D6561" s="8">
        <f>IFERROR(__xludf.DUMMYFUNCTION("""COMPUTED_VALUE"""),0.089)</f>
        <v>0.089</v>
      </c>
      <c r="E6561" s="8" t="str">
        <f>IFERROR(__xludf.DUMMYFUNCTION("""COMPUTED_VALUE"""),"Real")</f>
        <v>Real</v>
      </c>
      <c r="G6561" s="8">
        <f t="shared" si="1"/>
        <v>8</v>
      </c>
      <c r="H6561" s="14">
        <f t="shared" si="2"/>
        <v>1</v>
      </c>
      <c r="I6561" s="15">
        <f t="shared" si="3"/>
        <v>9</v>
      </c>
    </row>
    <row r="6562">
      <c r="A6562" s="8" t="str">
        <f>IFERROR(__xludf.DUMMYFUNCTION("IF('(INGESTA)Datos_consumo_datadis'!A6562&lt;&gt;"""",SPLIT('(INGESTA)Datos_consumo_datadis'!A:A,"",""),"""")"),"ES0031408323131005HX0F")</f>
        <v>ES0031408323131005HX0F</v>
      </c>
      <c r="B6562" s="12">
        <f>IFERROR(__xludf.DUMMYFUNCTION("""COMPUTED_VALUE"""),45139.0)</f>
        <v>45139</v>
      </c>
      <c r="C6562" s="13">
        <f>IFERROR(__xludf.DUMMYFUNCTION("""COMPUTED_VALUE"""),0.4166666666666667)</f>
        <v>0.4166666667</v>
      </c>
      <c r="D6562" s="8">
        <f>IFERROR(__xludf.DUMMYFUNCTION("""COMPUTED_VALUE"""),0.083)</f>
        <v>0.083</v>
      </c>
      <c r="E6562" s="8" t="str">
        <f>IFERROR(__xludf.DUMMYFUNCTION("""COMPUTED_VALUE"""),"Real")</f>
        <v>Real</v>
      </c>
      <c r="G6562" s="8">
        <f t="shared" si="1"/>
        <v>8</v>
      </c>
      <c r="H6562" s="14">
        <f t="shared" si="2"/>
        <v>1</v>
      </c>
      <c r="I6562" s="15">
        <f t="shared" si="3"/>
        <v>10</v>
      </c>
    </row>
    <row r="6563">
      <c r="A6563" s="8" t="str">
        <f>IFERROR(__xludf.DUMMYFUNCTION("IF('(INGESTA)Datos_consumo_datadis'!A6563&lt;&gt;"""",SPLIT('(INGESTA)Datos_consumo_datadis'!A:A,"",""),"""")"),"ES0031408323131005HX0F")</f>
        <v>ES0031408323131005HX0F</v>
      </c>
      <c r="B6563" s="12">
        <f>IFERROR(__xludf.DUMMYFUNCTION("""COMPUTED_VALUE"""),45139.0)</f>
        <v>45139</v>
      </c>
      <c r="C6563" s="13">
        <f>IFERROR(__xludf.DUMMYFUNCTION("""COMPUTED_VALUE"""),0.4583333333333333)</f>
        <v>0.4583333333</v>
      </c>
      <c r="D6563" s="8">
        <f>IFERROR(__xludf.DUMMYFUNCTION("""COMPUTED_VALUE"""),0.281)</f>
        <v>0.281</v>
      </c>
      <c r="E6563" s="8" t="str">
        <f>IFERROR(__xludf.DUMMYFUNCTION("""COMPUTED_VALUE"""),"Real")</f>
        <v>Real</v>
      </c>
      <c r="G6563" s="8">
        <f t="shared" si="1"/>
        <v>8</v>
      </c>
      <c r="H6563" s="14">
        <f t="shared" si="2"/>
        <v>1</v>
      </c>
      <c r="I6563" s="15">
        <f t="shared" si="3"/>
        <v>11</v>
      </c>
    </row>
    <row r="6564">
      <c r="A6564" s="8" t="str">
        <f>IFERROR(__xludf.DUMMYFUNCTION("IF('(INGESTA)Datos_consumo_datadis'!A6564&lt;&gt;"""",SPLIT('(INGESTA)Datos_consumo_datadis'!A:A,"",""),"""")"),"ES0031408323131005HX0F")</f>
        <v>ES0031408323131005HX0F</v>
      </c>
      <c r="B6564" s="12">
        <f>IFERROR(__xludf.DUMMYFUNCTION("""COMPUTED_VALUE"""),45139.0)</f>
        <v>45139</v>
      </c>
      <c r="C6564" s="13">
        <f>IFERROR(__xludf.DUMMYFUNCTION("""COMPUTED_VALUE"""),0.5)</f>
        <v>0.5</v>
      </c>
      <c r="D6564" s="8">
        <f>IFERROR(__xludf.DUMMYFUNCTION("""COMPUTED_VALUE"""),0.063)</f>
        <v>0.063</v>
      </c>
      <c r="E6564" s="8" t="str">
        <f>IFERROR(__xludf.DUMMYFUNCTION("""COMPUTED_VALUE"""),"Real")</f>
        <v>Real</v>
      </c>
      <c r="G6564" s="8">
        <f t="shared" si="1"/>
        <v>8</v>
      </c>
      <c r="H6564" s="14">
        <f t="shared" si="2"/>
        <v>1</v>
      </c>
      <c r="I6564" s="15">
        <f t="shared" si="3"/>
        <v>12</v>
      </c>
    </row>
    <row r="6565">
      <c r="A6565" s="8" t="str">
        <f>IFERROR(__xludf.DUMMYFUNCTION("IF('(INGESTA)Datos_consumo_datadis'!A6565&lt;&gt;"""",SPLIT('(INGESTA)Datos_consumo_datadis'!A:A,"",""),"""")"),"ES0031408323131005HX0F")</f>
        <v>ES0031408323131005HX0F</v>
      </c>
      <c r="B6565" s="12">
        <f>IFERROR(__xludf.DUMMYFUNCTION("""COMPUTED_VALUE"""),45139.0)</f>
        <v>45139</v>
      </c>
      <c r="C6565" s="13">
        <f>IFERROR(__xludf.DUMMYFUNCTION("""COMPUTED_VALUE"""),0.5416666666666666)</f>
        <v>0.5416666667</v>
      </c>
      <c r="D6565" s="8">
        <f>IFERROR(__xludf.DUMMYFUNCTION("""COMPUTED_VALUE"""),0.119)</f>
        <v>0.119</v>
      </c>
      <c r="E6565" s="8" t="str">
        <f>IFERROR(__xludf.DUMMYFUNCTION("""COMPUTED_VALUE"""),"Real")</f>
        <v>Real</v>
      </c>
      <c r="G6565" s="8">
        <f t="shared" si="1"/>
        <v>8</v>
      </c>
      <c r="H6565" s="14">
        <f t="shared" si="2"/>
        <v>1</v>
      </c>
      <c r="I6565" s="15">
        <f t="shared" si="3"/>
        <v>13</v>
      </c>
    </row>
    <row r="6566">
      <c r="A6566" s="8" t="str">
        <f>IFERROR(__xludf.DUMMYFUNCTION("IF('(INGESTA)Datos_consumo_datadis'!A6566&lt;&gt;"""",SPLIT('(INGESTA)Datos_consumo_datadis'!A:A,"",""),"""")"),"ES0031408323131005HX0F")</f>
        <v>ES0031408323131005HX0F</v>
      </c>
      <c r="B6566" s="12">
        <f>IFERROR(__xludf.DUMMYFUNCTION("""COMPUTED_VALUE"""),45139.0)</f>
        <v>45139</v>
      </c>
      <c r="C6566" s="13">
        <f>IFERROR(__xludf.DUMMYFUNCTION("""COMPUTED_VALUE"""),0.5833333333333334)</f>
        <v>0.5833333333</v>
      </c>
      <c r="D6566" s="8">
        <f>IFERROR(__xludf.DUMMYFUNCTION("""COMPUTED_VALUE"""),0.087)</f>
        <v>0.087</v>
      </c>
      <c r="E6566" s="8" t="str">
        <f>IFERROR(__xludf.DUMMYFUNCTION("""COMPUTED_VALUE"""),"Real")</f>
        <v>Real</v>
      </c>
      <c r="G6566" s="8">
        <f t="shared" si="1"/>
        <v>8</v>
      </c>
      <c r="H6566" s="14">
        <f t="shared" si="2"/>
        <v>1</v>
      </c>
      <c r="I6566" s="15">
        <f t="shared" si="3"/>
        <v>14</v>
      </c>
    </row>
    <row r="6567">
      <c r="A6567" s="8" t="str">
        <f>IFERROR(__xludf.DUMMYFUNCTION("IF('(INGESTA)Datos_consumo_datadis'!A6567&lt;&gt;"""",SPLIT('(INGESTA)Datos_consumo_datadis'!A:A,"",""),"""")"),"ES0031408323131005HX0F")</f>
        <v>ES0031408323131005HX0F</v>
      </c>
      <c r="B6567" s="12">
        <f>IFERROR(__xludf.DUMMYFUNCTION("""COMPUTED_VALUE"""),45139.0)</f>
        <v>45139</v>
      </c>
      <c r="C6567" s="13">
        <f>IFERROR(__xludf.DUMMYFUNCTION("""COMPUTED_VALUE"""),0.625)</f>
        <v>0.625</v>
      </c>
      <c r="D6567" s="8">
        <f>IFERROR(__xludf.DUMMYFUNCTION("""COMPUTED_VALUE"""),0.092)</f>
        <v>0.092</v>
      </c>
      <c r="E6567" s="8" t="str">
        <f>IFERROR(__xludf.DUMMYFUNCTION("""COMPUTED_VALUE"""),"Real")</f>
        <v>Real</v>
      </c>
      <c r="G6567" s="8">
        <f t="shared" si="1"/>
        <v>8</v>
      </c>
      <c r="H6567" s="14">
        <f t="shared" si="2"/>
        <v>1</v>
      </c>
      <c r="I6567" s="15">
        <f t="shared" si="3"/>
        <v>15</v>
      </c>
    </row>
    <row r="6568">
      <c r="A6568" s="8" t="str">
        <f>IFERROR(__xludf.DUMMYFUNCTION("IF('(INGESTA)Datos_consumo_datadis'!A6568&lt;&gt;"""",SPLIT('(INGESTA)Datos_consumo_datadis'!A:A,"",""),"""")"),"ES0031408323131005HX0F")</f>
        <v>ES0031408323131005HX0F</v>
      </c>
      <c r="B6568" s="12">
        <f>IFERROR(__xludf.DUMMYFUNCTION("""COMPUTED_VALUE"""),45139.0)</f>
        <v>45139</v>
      </c>
      <c r="C6568" s="13">
        <f>IFERROR(__xludf.DUMMYFUNCTION("""COMPUTED_VALUE"""),0.6666666666666666)</f>
        <v>0.6666666667</v>
      </c>
      <c r="D6568" s="8">
        <f>IFERROR(__xludf.DUMMYFUNCTION("""COMPUTED_VALUE"""),0.018)</f>
        <v>0.018</v>
      </c>
      <c r="E6568" s="8" t="str">
        <f>IFERROR(__xludf.DUMMYFUNCTION("""COMPUTED_VALUE"""),"Real")</f>
        <v>Real</v>
      </c>
      <c r="G6568" s="8">
        <f t="shared" si="1"/>
        <v>8</v>
      </c>
      <c r="H6568" s="14">
        <f t="shared" si="2"/>
        <v>1</v>
      </c>
      <c r="I6568" s="15">
        <f t="shared" si="3"/>
        <v>16</v>
      </c>
    </row>
    <row r="6569">
      <c r="A6569" s="8" t="str">
        <f>IFERROR(__xludf.DUMMYFUNCTION("IF('(INGESTA)Datos_consumo_datadis'!A6569&lt;&gt;"""",SPLIT('(INGESTA)Datos_consumo_datadis'!A:A,"",""),"""")"),"ES0031408323131005HX0F")</f>
        <v>ES0031408323131005HX0F</v>
      </c>
      <c r="B6569" s="12">
        <f>IFERROR(__xludf.DUMMYFUNCTION("""COMPUTED_VALUE"""),45139.0)</f>
        <v>45139</v>
      </c>
      <c r="C6569" s="13">
        <f>IFERROR(__xludf.DUMMYFUNCTION("""COMPUTED_VALUE"""),0.7083333333333334)</f>
        <v>0.7083333333</v>
      </c>
      <c r="D6569" s="8">
        <f>IFERROR(__xludf.DUMMYFUNCTION("""COMPUTED_VALUE"""),0.048)</f>
        <v>0.048</v>
      </c>
      <c r="E6569" s="8" t="str">
        <f>IFERROR(__xludf.DUMMYFUNCTION("""COMPUTED_VALUE"""),"Real")</f>
        <v>Real</v>
      </c>
      <c r="G6569" s="8">
        <f t="shared" si="1"/>
        <v>8</v>
      </c>
      <c r="H6569" s="14">
        <f t="shared" si="2"/>
        <v>1</v>
      </c>
      <c r="I6569" s="15">
        <f t="shared" si="3"/>
        <v>17</v>
      </c>
    </row>
    <row r="6570">
      <c r="A6570" s="8" t="str">
        <f>IFERROR(__xludf.DUMMYFUNCTION("IF('(INGESTA)Datos_consumo_datadis'!A6570&lt;&gt;"""",SPLIT('(INGESTA)Datos_consumo_datadis'!A:A,"",""),"""")"),"ES0031408323131005HX0F")</f>
        <v>ES0031408323131005HX0F</v>
      </c>
      <c r="B6570" s="12">
        <f>IFERROR(__xludf.DUMMYFUNCTION("""COMPUTED_VALUE"""),45139.0)</f>
        <v>45139</v>
      </c>
      <c r="C6570" s="13">
        <f>IFERROR(__xludf.DUMMYFUNCTION("""COMPUTED_VALUE"""),0.75)</f>
        <v>0.75</v>
      </c>
      <c r="D6570" s="8">
        <f>IFERROR(__xludf.DUMMYFUNCTION("""COMPUTED_VALUE"""),0.121)</f>
        <v>0.121</v>
      </c>
      <c r="E6570" s="8" t="str">
        <f>IFERROR(__xludf.DUMMYFUNCTION("""COMPUTED_VALUE"""),"Real")</f>
        <v>Real</v>
      </c>
      <c r="G6570" s="8">
        <f t="shared" si="1"/>
        <v>8</v>
      </c>
      <c r="H6570" s="14">
        <f t="shared" si="2"/>
        <v>1</v>
      </c>
      <c r="I6570" s="15">
        <f t="shared" si="3"/>
        <v>18</v>
      </c>
    </row>
    <row r="6571">
      <c r="A6571" s="8" t="str">
        <f>IFERROR(__xludf.DUMMYFUNCTION("IF('(INGESTA)Datos_consumo_datadis'!A6571&lt;&gt;"""",SPLIT('(INGESTA)Datos_consumo_datadis'!A:A,"",""),"""")"),"ES0031408323131005HX0F")</f>
        <v>ES0031408323131005HX0F</v>
      </c>
      <c r="B6571" s="12">
        <f>IFERROR(__xludf.DUMMYFUNCTION("""COMPUTED_VALUE"""),45139.0)</f>
        <v>45139</v>
      </c>
      <c r="C6571" s="13">
        <f>IFERROR(__xludf.DUMMYFUNCTION("""COMPUTED_VALUE"""),0.7916666666666666)</f>
        <v>0.7916666667</v>
      </c>
      <c r="D6571" s="8">
        <f>IFERROR(__xludf.DUMMYFUNCTION("""COMPUTED_VALUE"""),0.217)</f>
        <v>0.217</v>
      </c>
      <c r="E6571" s="8" t="str">
        <f>IFERROR(__xludf.DUMMYFUNCTION("""COMPUTED_VALUE"""),"Real")</f>
        <v>Real</v>
      </c>
      <c r="G6571" s="8">
        <f t="shared" si="1"/>
        <v>8</v>
      </c>
      <c r="H6571" s="14">
        <f t="shared" si="2"/>
        <v>1</v>
      </c>
      <c r="I6571" s="15">
        <f t="shared" si="3"/>
        <v>19</v>
      </c>
    </row>
    <row r="6572">
      <c r="A6572" s="8" t="str">
        <f>IFERROR(__xludf.DUMMYFUNCTION("IF('(INGESTA)Datos_consumo_datadis'!A6572&lt;&gt;"""",SPLIT('(INGESTA)Datos_consumo_datadis'!A:A,"",""),"""")"),"ES0031408323131005HX0F")</f>
        <v>ES0031408323131005HX0F</v>
      </c>
      <c r="B6572" s="12">
        <f>IFERROR(__xludf.DUMMYFUNCTION("""COMPUTED_VALUE"""),45139.0)</f>
        <v>45139</v>
      </c>
      <c r="C6572" s="13">
        <f>IFERROR(__xludf.DUMMYFUNCTION("""COMPUTED_VALUE"""),0.8333333333333334)</f>
        <v>0.8333333333</v>
      </c>
      <c r="D6572" s="8">
        <f>IFERROR(__xludf.DUMMYFUNCTION("""COMPUTED_VALUE"""),0.316)</f>
        <v>0.316</v>
      </c>
      <c r="E6572" s="8" t="str">
        <f>IFERROR(__xludf.DUMMYFUNCTION("""COMPUTED_VALUE"""),"Real")</f>
        <v>Real</v>
      </c>
      <c r="G6572" s="8">
        <f t="shared" si="1"/>
        <v>8</v>
      </c>
      <c r="H6572" s="14">
        <f t="shared" si="2"/>
        <v>1</v>
      </c>
      <c r="I6572" s="15">
        <f t="shared" si="3"/>
        <v>20</v>
      </c>
    </row>
    <row r="6573">
      <c r="A6573" s="8" t="str">
        <f>IFERROR(__xludf.DUMMYFUNCTION("IF('(INGESTA)Datos_consumo_datadis'!A6573&lt;&gt;"""",SPLIT('(INGESTA)Datos_consumo_datadis'!A:A,"",""),"""")"),"ES0031408323131005HX0F")</f>
        <v>ES0031408323131005HX0F</v>
      </c>
      <c r="B6573" s="12">
        <f>IFERROR(__xludf.DUMMYFUNCTION("""COMPUTED_VALUE"""),45139.0)</f>
        <v>45139</v>
      </c>
      <c r="C6573" s="13">
        <f>IFERROR(__xludf.DUMMYFUNCTION("""COMPUTED_VALUE"""),0.875)</f>
        <v>0.875</v>
      </c>
      <c r="D6573" s="8">
        <f>IFERROR(__xludf.DUMMYFUNCTION("""COMPUTED_VALUE"""),0.193)</f>
        <v>0.193</v>
      </c>
      <c r="E6573" s="8" t="str">
        <f>IFERROR(__xludf.DUMMYFUNCTION("""COMPUTED_VALUE"""),"Real")</f>
        <v>Real</v>
      </c>
      <c r="G6573" s="8">
        <f t="shared" si="1"/>
        <v>8</v>
      </c>
      <c r="H6573" s="14">
        <f t="shared" si="2"/>
        <v>1</v>
      </c>
      <c r="I6573" s="15">
        <f t="shared" si="3"/>
        <v>21</v>
      </c>
    </row>
    <row r="6574">
      <c r="A6574" s="8" t="str">
        <f>IFERROR(__xludf.DUMMYFUNCTION("IF('(INGESTA)Datos_consumo_datadis'!A6574&lt;&gt;"""",SPLIT('(INGESTA)Datos_consumo_datadis'!A:A,"",""),"""")"),"ES0031408323131005HX0F")</f>
        <v>ES0031408323131005HX0F</v>
      </c>
      <c r="B6574" s="12">
        <f>IFERROR(__xludf.DUMMYFUNCTION("""COMPUTED_VALUE"""),45139.0)</f>
        <v>45139</v>
      </c>
      <c r="C6574" s="13">
        <f>IFERROR(__xludf.DUMMYFUNCTION("""COMPUTED_VALUE"""),0.9166666666666666)</f>
        <v>0.9166666667</v>
      </c>
      <c r="D6574" s="8">
        <f>IFERROR(__xludf.DUMMYFUNCTION("""COMPUTED_VALUE"""),0.145)</f>
        <v>0.145</v>
      </c>
      <c r="E6574" s="8" t="str">
        <f>IFERROR(__xludf.DUMMYFUNCTION("""COMPUTED_VALUE"""),"Real")</f>
        <v>Real</v>
      </c>
      <c r="G6574" s="8">
        <f t="shared" si="1"/>
        <v>8</v>
      </c>
      <c r="H6574" s="14">
        <f t="shared" si="2"/>
        <v>1</v>
      </c>
      <c r="I6574" s="15">
        <f t="shared" si="3"/>
        <v>22</v>
      </c>
    </row>
    <row r="6575">
      <c r="A6575" s="8" t="str">
        <f>IFERROR(__xludf.DUMMYFUNCTION("IF('(INGESTA)Datos_consumo_datadis'!A6575&lt;&gt;"""",SPLIT('(INGESTA)Datos_consumo_datadis'!A:A,"",""),"""")"),"ES0031408323131005HX0F")</f>
        <v>ES0031408323131005HX0F</v>
      </c>
      <c r="B6575" s="12">
        <f>IFERROR(__xludf.DUMMYFUNCTION("""COMPUTED_VALUE"""),45139.0)</f>
        <v>45139</v>
      </c>
      <c r="C6575" s="13">
        <f>IFERROR(__xludf.DUMMYFUNCTION("""COMPUTED_VALUE"""),0.9583333333333334)</f>
        <v>0.9583333333</v>
      </c>
      <c r="D6575" s="8">
        <f>IFERROR(__xludf.DUMMYFUNCTION("""COMPUTED_VALUE"""),0.132)</f>
        <v>0.132</v>
      </c>
      <c r="E6575" s="8" t="str">
        <f>IFERROR(__xludf.DUMMYFUNCTION("""COMPUTED_VALUE"""),"Real")</f>
        <v>Real</v>
      </c>
      <c r="G6575" s="8">
        <f t="shared" si="1"/>
        <v>8</v>
      </c>
      <c r="H6575" s="14">
        <f t="shared" si="2"/>
        <v>1</v>
      </c>
      <c r="I6575" s="15">
        <f t="shared" si="3"/>
        <v>23</v>
      </c>
    </row>
    <row r="6576">
      <c r="A6576" s="8" t="str">
        <f>IFERROR(__xludf.DUMMYFUNCTION("IF('(INGESTA)Datos_consumo_datadis'!A6576&lt;&gt;"""",SPLIT('(INGESTA)Datos_consumo_datadis'!A:A,"",""),"""")"),"ES0031408323131005HX0F")</f>
        <v>ES0031408323131005HX0F</v>
      </c>
      <c r="B6576" s="12">
        <f>IFERROR(__xludf.DUMMYFUNCTION("""COMPUTED_VALUE"""),45139.0)</f>
        <v>45139</v>
      </c>
      <c r="C6576" s="16">
        <f>IFERROR(__xludf.DUMMYFUNCTION("""COMPUTED_VALUE"""),1.0)</f>
        <v>1</v>
      </c>
      <c r="D6576" s="8">
        <f>IFERROR(__xludf.DUMMYFUNCTION("""COMPUTED_VALUE"""),0.121)</f>
        <v>0.121</v>
      </c>
      <c r="E6576" s="8" t="str">
        <f>IFERROR(__xludf.DUMMYFUNCTION("""COMPUTED_VALUE"""),"Real")</f>
        <v>Real</v>
      </c>
      <c r="G6576" s="8">
        <f t="shared" si="1"/>
        <v>8</v>
      </c>
      <c r="H6576" s="14">
        <f t="shared" si="2"/>
        <v>1</v>
      </c>
      <c r="I6576" s="15">
        <f t="shared" si="3"/>
        <v>0</v>
      </c>
    </row>
    <row r="6577">
      <c r="A6577" s="8" t="str">
        <f>IFERROR(__xludf.DUMMYFUNCTION("IF('(INGESTA)Datos_consumo_datadis'!A6577&lt;&gt;"""",SPLIT('(INGESTA)Datos_consumo_datadis'!A:A,"",""),"""")"),"ES0031408323131005HX0F")</f>
        <v>ES0031408323131005HX0F</v>
      </c>
      <c r="B6577" s="12">
        <f>IFERROR(__xludf.DUMMYFUNCTION("""COMPUTED_VALUE"""),45140.0)</f>
        <v>45140</v>
      </c>
      <c r="C6577" s="13">
        <f>IFERROR(__xludf.DUMMYFUNCTION("""COMPUTED_VALUE"""),0.041666666666666664)</f>
        <v>0.04166666667</v>
      </c>
      <c r="D6577" s="8">
        <f>IFERROR(__xludf.DUMMYFUNCTION("""COMPUTED_VALUE"""),0.099)</f>
        <v>0.099</v>
      </c>
      <c r="E6577" s="8" t="str">
        <f>IFERROR(__xludf.DUMMYFUNCTION("""COMPUTED_VALUE"""),"Real")</f>
        <v>Real</v>
      </c>
      <c r="G6577" s="8">
        <f t="shared" si="1"/>
        <v>8</v>
      </c>
      <c r="H6577" s="14">
        <f t="shared" si="2"/>
        <v>2</v>
      </c>
      <c r="I6577" s="15">
        <f t="shared" si="3"/>
        <v>1</v>
      </c>
    </row>
    <row r="6578">
      <c r="A6578" s="8" t="str">
        <f>IFERROR(__xludf.DUMMYFUNCTION("IF('(INGESTA)Datos_consumo_datadis'!A6578&lt;&gt;"""",SPLIT('(INGESTA)Datos_consumo_datadis'!A:A,"",""),"""")"),"ES0031408323131005HX0F")</f>
        <v>ES0031408323131005HX0F</v>
      </c>
      <c r="B6578" s="12">
        <f>IFERROR(__xludf.DUMMYFUNCTION("""COMPUTED_VALUE"""),45140.0)</f>
        <v>45140</v>
      </c>
      <c r="C6578" s="13">
        <f>IFERROR(__xludf.DUMMYFUNCTION("""COMPUTED_VALUE"""),0.08333333333333333)</f>
        <v>0.08333333333</v>
      </c>
      <c r="D6578" s="8">
        <f>IFERROR(__xludf.DUMMYFUNCTION("""COMPUTED_VALUE"""),0.029)</f>
        <v>0.029</v>
      </c>
      <c r="E6578" s="8" t="str">
        <f>IFERROR(__xludf.DUMMYFUNCTION("""COMPUTED_VALUE"""),"Real")</f>
        <v>Real</v>
      </c>
      <c r="G6578" s="8">
        <f t="shared" si="1"/>
        <v>8</v>
      </c>
      <c r="H6578" s="14">
        <f t="shared" si="2"/>
        <v>2</v>
      </c>
      <c r="I6578" s="15">
        <f t="shared" si="3"/>
        <v>2</v>
      </c>
    </row>
    <row r="6579">
      <c r="A6579" s="8" t="str">
        <f>IFERROR(__xludf.DUMMYFUNCTION("IF('(INGESTA)Datos_consumo_datadis'!A6579&lt;&gt;"""",SPLIT('(INGESTA)Datos_consumo_datadis'!A:A,"",""),"""")"),"ES0031408323131005HX0F")</f>
        <v>ES0031408323131005HX0F</v>
      </c>
      <c r="B6579" s="12">
        <f>IFERROR(__xludf.DUMMYFUNCTION("""COMPUTED_VALUE"""),45140.0)</f>
        <v>45140</v>
      </c>
      <c r="C6579" s="13">
        <f>IFERROR(__xludf.DUMMYFUNCTION("""COMPUTED_VALUE"""),0.125)</f>
        <v>0.125</v>
      </c>
      <c r="D6579" s="8">
        <f>IFERROR(__xludf.DUMMYFUNCTION("""COMPUTED_VALUE"""),0.124)</f>
        <v>0.124</v>
      </c>
      <c r="E6579" s="8" t="str">
        <f>IFERROR(__xludf.DUMMYFUNCTION("""COMPUTED_VALUE"""),"Real")</f>
        <v>Real</v>
      </c>
      <c r="G6579" s="8">
        <f t="shared" si="1"/>
        <v>8</v>
      </c>
      <c r="H6579" s="14">
        <f t="shared" si="2"/>
        <v>2</v>
      </c>
      <c r="I6579" s="15">
        <f t="shared" si="3"/>
        <v>3</v>
      </c>
    </row>
    <row r="6580">
      <c r="A6580" s="8" t="str">
        <f>IFERROR(__xludf.DUMMYFUNCTION("IF('(INGESTA)Datos_consumo_datadis'!A6580&lt;&gt;"""",SPLIT('(INGESTA)Datos_consumo_datadis'!A:A,"",""),"""")"),"ES0031408323131005HX0F")</f>
        <v>ES0031408323131005HX0F</v>
      </c>
      <c r="B6580" s="12">
        <f>IFERROR(__xludf.DUMMYFUNCTION("""COMPUTED_VALUE"""),45140.0)</f>
        <v>45140</v>
      </c>
      <c r="C6580" s="13">
        <f>IFERROR(__xludf.DUMMYFUNCTION("""COMPUTED_VALUE"""),0.16666666666666666)</f>
        <v>0.1666666667</v>
      </c>
      <c r="D6580" s="8">
        <f>IFERROR(__xludf.DUMMYFUNCTION("""COMPUTED_VALUE"""),0.362)</f>
        <v>0.362</v>
      </c>
      <c r="E6580" s="8" t="str">
        <f>IFERROR(__xludf.DUMMYFUNCTION("""COMPUTED_VALUE"""),"Real")</f>
        <v>Real</v>
      </c>
      <c r="G6580" s="8">
        <f t="shared" si="1"/>
        <v>8</v>
      </c>
      <c r="H6580" s="14">
        <f t="shared" si="2"/>
        <v>2</v>
      </c>
      <c r="I6580" s="15">
        <f t="shared" si="3"/>
        <v>4</v>
      </c>
    </row>
    <row r="6581">
      <c r="A6581" s="8" t="str">
        <f>IFERROR(__xludf.DUMMYFUNCTION("IF('(INGESTA)Datos_consumo_datadis'!A6581&lt;&gt;"""",SPLIT('(INGESTA)Datos_consumo_datadis'!A:A,"",""),"""")"),"ES0031408323131005HX0F")</f>
        <v>ES0031408323131005HX0F</v>
      </c>
      <c r="B6581" s="12">
        <f>IFERROR(__xludf.DUMMYFUNCTION("""COMPUTED_VALUE"""),45140.0)</f>
        <v>45140</v>
      </c>
      <c r="C6581" s="13">
        <f>IFERROR(__xludf.DUMMYFUNCTION("""COMPUTED_VALUE"""),0.20833333333333334)</f>
        <v>0.2083333333</v>
      </c>
      <c r="D6581" s="8">
        <f>IFERROR(__xludf.DUMMYFUNCTION("""COMPUTED_VALUE"""),0.088)</f>
        <v>0.088</v>
      </c>
      <c r="E6581" s="8" t="str">
        <f>IFERROR(__xludf.DUMMYFUNCTION("""COMPUTED_VALUE"""),"Real")</f>
        <v>Real</v>
      </c>
      <c r="G6581" s="8">
        <f t="shared" si="1"/>
        <v>8</v>
      </c>
      <c r="H6581" s="14">
        <f t="shared" si="2"/>
        <v>2</v>
      </c>
      <c r="I6581" s="15">
        <f t="shared" si="3"/>
        <v>5</v>
      </c>
    </row>
    <row r="6582">
      <c r="A6582" s="8" t="str">
        <f>IFERROR(__xludf.DUMMYFUNCTION("IF('(INGESTA)Datos_consumo_datadis'!A6582&lt;&gt;"""",SPLIT('(INGESTA)Datos_consumo_datadis'!A:A,"",""),"""")"),"ES0031408323131005HX0F")</f>
        <v>ES0031408323131005HX0F</v>
      </c>
      <c r="B6582" s="12">
        <f>IFERROR(__xludf.DUMMYFUNCTION("""COMPUTED_VALUE"""),45140.0)</f>
        <v>45140</v>
      </c>
      <c r="C6582" s="13">
        <f>IFERROR(__xludf.DUMMYFUNCTION("""COMPUTED_VALUE"""),0.25)</f>
        <v>0.25</v>
      </c>
      <c r="D6582" s="8">
        <f>IFERROR(__xludf.DUMMYFUNCTION("""COMPUTED_VALUE"""),0.09)</f>
        <v>0.09</v>
      </c>
      <c r="E6582" s="8" t="str">
        <f>IFERROR(__xludf.DUMMYFUNCTION("""COMPUTED_VALUE"""),"Real")</f>
        <v>Real</v>
      </c>
      <c r="G6582" s="8">
        <f t="shared" si="1"/>
        <v>8</v>
      </c>
      <c r="H6582" s="14">
        <f t="shared" si="2"/>
        <v>2</v>
      </c>
      <c r="I6582" s="15">
        <f t="shared" si="3"/>
        <v>6</v>
      </c>
    </row>
    <row r="6583">
      <c r="A6583" s="8" t="str">
        <f>IFERROR(__xludf.DUMMYFUNCTION("IF('(INGESTA)Datos_consumo_datadis'!A6583&lt;&gt;"""",SPLIT('(INGESTA)Datos_consumo_datadis'!A:A,"",""),"""")"),"ES0031408323131005HX0F")</f>
        <v>ES0031408323131005HX0F</v>
      </c>
      <c r="B6583" s="12">
        <f>IFERROR(__xludf.DUMMYFUNCTION("""COMPUTED_VALUE"""),45140.0)</f>
        <v>45140</v>
      </c>
      <c r="C6583" s="13">
        <f>IFERROR(__xludf.DUMMYFUNCTION("""COMPUTED_VALUE"""),0.2916666666666667)</f>
        <v>0.2916666667</v>
      </c>
      <c r="D6583" s="8">
        <f>IFERROR(__xludf.DUMMYFUNCTION("""COMPUTED_VALUE"""),0.143)</f>
        <v>0.143</v>
      </c>
      <c r="E6583" s="8" t="str">
        <f>IFERROR(__xludf.DUMMYFUNCTION("""COMPUTED_VALUE"""),"Real")</f>
        <v>Real</v>
      </c>
      <c r="G6583" s="8">
        <f t="shared" si="1"/>
        <v>8</v>
      </c>
      <c r="H6583" s="14">
        <f t="shared" si="2"/>
        <v>2</v>
      </c>
      <c r="I6583" s="15">
        <f t="shared" si="3"/>
        <v>7</v>
      </c>
    </row>
    <row r="6584">
      <c r="A6584" s="8" t="str">
        <f>IFERROR(__xludf.DUMMYFUNCTION("IF('(INGESTA)Datos_consumo_datadis'!A6584&lt;&gt;"""",SPLIT('(INGESTA)Datos_consumo_datadis'!A:A,"",""),"""")"),"ES0031408323131005HX0F")</f>
        <v>ES0031408323131005HX0F</v>
      </c>
      <c r="B6584" s="12">
        <f>IFERROR(__xludf.DUMMYFUNCTION("""COMPUTED_VALUE"""),45140.0)</f>
        <v>45140</v>
      </c>
      <c r="C6584" s="13">
        <f>IFERROR(__xludf.DUMMYFUNCTION("""COMPUTED_VALUE"""),0.3333333333333333)</f>
        <v>0.3333333333</v>
      </c>
      <c r="D6584" s="8">
        <f>IFERROR(__xludf.DUMMYFUNCTION("""COMPUTED_VALUE"""),0.087)</f>
        <v>0.087</v>
      </c>
      <c r="E6584" s="8" t="str">
        <f>IFERROR(__xludf.DUMMYFUNCTION("""COMPUTED_VALUE"""),"Real")</f>
        <v>Real</v>
      </c>
      <c r="G6584" s="8">
        <f t="shared" si="1"/>
        <v>8</v>
      </c>
      <c r="H6584" s="14">
        <f t="shared" si="2"/>
        <v>2</v>
      </c>
      <c r="I6584" s="15">
        <f t="shared" si="3"/>
        <v>8</v>
      </c>
    </row>
    <row r="6585">
      <c r="A6585" s="8" t="str">
        <f>IFERROR(__xludf.DUMMYFUNCTION("IF('(INGESTA)Datos_consumo_datadis'!A6585&lt;&gt;"""",SPLIT('(INGESTA)Datos_consumo_datadis'!A:A,"",""),"""")"),"ES0031408323131005HX0F")</f>
        <v>ES0031408323131005HX0F</v>
      </c>
      <c r="B6585" s="12">
        <f>IFERROR(__xludf.DUMMYFUNCTION("""COMPUTED_VALUE"""),45140.0)</f>
        <v>45140</v>
      </c>
      <c r="C6585" s="13">
        <f>IFERROR(__xludf.DUMMYFUNCTION("""COMPUTED_VALUE"""),0.375)</f>
        <v>0.375</v>
      </c>
      <c r="D6585" s="8">
        <f>IFERROR(__xludf.DUMMYFUNCTION("""COMPUTED_VALUE"""),0.086)</f>
        <v>0.086</v>
      </c>
      <c r="E6585" s="8" t="str">
        <f>IFERROR(__xludf.DUMMYFUNCTION("""COMPUTED_VALUE"""),"Real")</f>
        <v>Real</v>
      </c>
      <c r="G6585" s="8">
        <f t="shared" si="1"/>
        <v>8</v>
      </c>
      <c r="H6585" s="14">
        <f t="shared" si="2"/>
        <v>2</v>
      </c>
      <c r="I6585" s="15">
        <f t="shared" si="3"/>
        <v>9</v>
      </c>
    </row>
    <row r="6586">
      <c r="A6586" s="8" t="str">
        <f>IFERROR(__xludf.DUMMYFUNCTION("IF('(INGESTA)Datos_consumo_datadis'!A6586&lt;&gt;"""",SPLIT('(INGESTA)Datos_consumo_datadis'!A:A,"",""),"""")"),"ES0031408323131005HX0F")</f>
        <v>ES0031408323131005HX0F</v>
      </c>
      <c r="B6586" s="12">
        <f>IFERROR(__xludf.DUMMYFUNCTION("""COMPUTED_VALUE"""),45140.0)</f>
        <v>45140</v>
      </c>
      <c r="C6586" s="13">
        <f>IFERROR(__xludf.DUMMYFUNCTION("""COMPUTED_VALUE"""),0.4166666666666667)</f>
        <v>0.4166666667</v>
      </c>
      <c r="D6586" s="8">
        <f>IFERROR(__xludf.DUMMYFUNCTION("""COMPUTED_VALUE"""),0.375)</f>
        <v>0.375</v>
      </c>
      <c r="E6586" s="8" t="str">
        <f>IFERROR(__xludf.DUMMYFUNCTION("""COMPUTED_VALUE"""),"Real")</f>
        <v>Real</v>
      </c>
      <c r="G6586" s="8">
        <f t="shared" si="1"/>
        <v>8</v>
      </c>
      <c r="H6586" s="14">
        <f t="shared" si="2"/>
        <v>2</v>
      </c>
      <c r="I6586" s="15">
        <f t="shared" si="3"/>
        <v>10</v>
      </c>
    </row>
    <row r="6587">
      <c r="A6587" s="8" t="str">
        <f>IFERROR(__xludf.DUMMYFUNCTION("IF('(INGESTA)Datos_consumo_datadis'!A6587&lt;&gt;"""",SPLIT('(INGESTA)Datos_consumo_datadis'!A:A,"",""),"""")"),"ES0031408323131005HX0F")</f>
        <v>ES0031408323131005HX0F</v>
      </c>
      <c r="B6587" s="12">
        <f>IFERROR(__xludf.DUMMYFUNCTION("""COMPUTED_VALUE"""),45140.0)</f>
        <v>45140</v>
      </c>
      <c r="C6587" s="13">
        <f>IFERROR(__xludf.DUMMYFUNCTION("""COMPUTED_VALUE"""),0.4583333333333333)</f>
        <v>0.4583333333</v>
      </c>
      <c r="D6587" s="8">
        <f>IFERROR(__xludf.DUMMYFUNCTION("""COMPUTED_VALUE"""),0.123)</f>
        <v>0.123</v>
      </c>
      <c r="E6587" s="8" t="str">
        <f>IFERROR(__xludf.DUMMYFUNCTION("""COMPUTED_VALUE"""),"Real")</f>
        <v>Real</v>
      </c>
      <c r="G6587" s="8">
        <f t="shared" si="1"/>
        <v>8</v>
      </c>
      <c r="H6587" s="14">
        <f t="shared" si="2"/>
        <v>2</v>
      </c>
      <c r="I6587" s="15">
        <f t="shared" si="3"/>
        <v>11</v>
      </c>
    </row>
    <row r="6588">
      <c r="A6588" s="8" t="str">
        <f>IFERROR(__xludf.DUMMYFUNCTION("IF('(INGESTA)Datos_consumo_datadis'!A6588&lt;&gt;"""",SPLIT('(INGESTA)Datos_consumo_datadis'!A:A,"",""),"""")"),"ES0031408323131005HX0F")</f>
        <v>ES0031408323131005HX0F</v>
      </c>
      <c r="B6588" s="12">
        <f>IFERROR(__xludf.DUMMYFUNCTION("""COMPUTED_VALUE"""),45140.0)</f>
        <v>45140</v>
      </c>
      <c r="C6588" s="13">
        <f>IFERROR(__xludf.DUMMYFUNCTION("""COMPUTED_VALUE"""),0.5)</f>
        <v>0.5</v>
      </c>
      <c r="D6588" s="8">
        <f>IFERROR(__xludf.DUMMYFUNCTION("""COMPUTED_VALUE"""),0.128)</f>
        <v>0.128</v>
      </c>
      <c r="E6588" s="8" t="str">
        <f>IFERROR(__xludf.DUMMYFUNCTION("""COMPUTED_VALUE"""),"Real")</f>
        <v>Real</v>
      </c>
      <c r="G6588" s="8">
        <f t="shared" si="1"/>
        <v>8</v>
      </c>
      <c r="H6588" s="14">
        <f t="shared" si="2"/>
        <v>2</v>
      </c>
      <c r="I6588" s="15">
        <f t="shared" si="3"/>
        <v>12</v>
      </c>
    </row>
    <row r="6589">
      <c r="A6589" s="8" t="str">
        <f>IFERROR(__xludf.DUMMYFUNCTION("IF('(INGESTA)Datos_consumo_datadis'!A6589&lt;&gt;"""",SPLIT('(INGESTA)Datos_consumo_datadis'!A:A,"",""),"""")"),"ES0031408323131005HX0F")</f>
        <v>ES0031408323131005HX0F</v>
      </c>
      <c r="B6589" s="12">
        <f>IFERROR(__xludf.DUMMYFUNCTION("""COMPUTED_VALUE"""),45140.0)</f>
        <v>45140</v>
      </c>
      <c r="C6589" s="13">
        <f>IFERROR(__xludf.DUMMYFUNCTION("""COMPUTED_VALUE"""),0.5416666666666666)</f>
        <v>0.5416666667</v>
      </c>
      <c r="D6589" s="8">
        <f>IFERROR(__xludf.DUMMYFUNCTION("""COMPUTED_VALUE"""),0.548)</f>
        <v>0.548</v>
      </c>
      <c r="E6589" s="8" t="str">
        <f>IFERROR(__xludf.DUMMYFUNCTION("""COMPUTED_VALUE"""),"Real")</f>
        <v>Real</v>
      </c>
      <c r="G6589" s="8">
        <f t="shared" si="1"/>
        <v>8</v>
      </c>
      <c r="H6589" s="14">
        <f t="shared" si="2"/>
        <v>2</v>
      </c>
      <c r="I6589" s="15">
        <f t="shared" si="3"/>
        <v>13</v>
      </c>
    </row>
    <row r="6590">
      <c r="A6590" s="8" t="str">
        <f>IFERROR(__xludf.DUMMYFUNCTION("IF('(INGESTA)Datos_consumo_datadis'!A6590&lt;&gt;"""",SPLIT('(INGESTA)Datos_consumo_datadis'!A:A,"",""),"""")"),"ES0031408323131005HX0F")</f>
        <v>ES0031408323131005HX0F</v>
      </c>
      <c r="B6590" s="12">
        <f>IFERROR(__xludf.DUMMYFUNCTION("""COMPUTED_VALUE"""),45140.0)</f>
        <v>45140</v>
      </c>
      <c r="C6590" s="13">
        <f>IFERROR(__xludf.DUMMYFUNCTION("""COMPUTED_VALUE"""),0.5833333333333334)</f>
        <v>0.5833333333</v>
      </c>
      <c r="D6590" s="8">
        <f>IFERROR(__xludf.DUMMYFUNCTION("""COMPUTED_VALUE"""),0.178)</f>
        <v>0.178</v>
      </c>
      <c r="E6590" s="8" t="str">
        <f>IFERROR(__xludf.DUMMYFUNCTION("""COMPUTED_VALUE"""),"Real")</f>
        <v>Real</v>
      </c>
      <c r="G6590" s="8">
        <f t="shared" si="1"/>
        <v>8</v>
      </c>
      <c r="H6590" s="14">
        <f t="shared" si="2"/>
        <v>2</v>
      </c>
      <c r="I6590" s="15">
        <f t="shared" si="3"/>
        <v>14</v>
      </c>
    </row>
    <row r="6591">
      <c r="A6591" s="8" t="str">
        <f>IFERROR(__xludf.DUMMYFUNCTION("IF('(INGESTA)Datos_consumo_datadis'!A6591&lt;&gt;"""",SPLIT('(INGESTA)Datos_consumo_datadis'!A:A,"",""),"""")"),"ES0031408323131005HX0F")</f>
        <v>ES0031408323131005HX0F</v>
      </c>
      <c r="B6591" s="12">
        <f>IFERROR(__xludf.DUMMYFUNCTION("""COMPUTED_VALUE"""),45140.0)</f>
        <v>45140</v>
      </c>
      <c r="C6591" s="13">
        <f>IFERROR(__xludf.DUMMYFUNCTION("""COMPUTED_VALUE"""),0.625)</f>
        <v>0.625</v>
      </c>
      <c r="D6591" s="8">
        <f>IFERROR(__xludf.DUMMYFUNCTION("""COMPUTED_VALUE"""),1.664)</f>
        <v>1.664</v>
      </c>
      <c r="E6591" s="8" t="str">
        <f>IFERROR(__xludf.DUMMYFUNCTION("""COMPUTED_VALUE"""),"Real")</f>
        <v>Real</v>
      </c>
      <c r="G6591" s="8">
        <f t="shared" si="1"/>
        <v>8</v>
      </c>
      <c r="H6591" s="14">
        <f t="shared" si="2"/>
        <v>2</v>
      </c>
      <c r="I6591" s="15">
        <f t="shared" si="3"/>
        <v>15</v>
      </c>
    </row>
    <row r="6592">
      <c r="A6592" s="8" t="str">
        <f>IFERROR(__xludf.DUMMYFUNCTION("IF('(INGESTA)Datos_consumo_datadis'!A6592&lt;&gt;"""",SPLIT('(INGESTA)Datos_consumo_datadis'!A:A,"",""),"""")"),"ES0031408323131005HX0F")</f>
        <v>ES0031408323131005HX0F</v>
      </c>
      <c r="B6592" s="12">
        <f>IFERROR(__xludf.DUMMYFUNCTION("""COMPUTED_VALUE"""),45140.0)</f>
        <v>45140</v>
      </c>
      <c r="C6592" s="13">
        <f>IFERROR(__xludf.DUMMYFUNCTION("""COMPUTED_VALUE"""),0.6666666666666666)</f>
        <v>0.6666666667</v>
      </c>
      <c r="D6592" s="8">
        <f>IFERROR(__xludf.DUMMYFUNCTION("""COMPUTED_VALUE"""),1.095)</f>
        <v>1.095</v>
      </c>
      <c r="E6592" s="8" t="str">
        <f>IFERROR(__xludf.DUMMYFUNCTION("""COMPUTED_VALUE"""),"Real")</f>
        <v>Real</v>
      </c>
      <c r="G6592" s="8">
        <f t="shared" si="1"/>
        <v>8</v>
      </c>
      <c r="H6592" s="14">
        <f t="shared" si="2"/>
        <v>2</v>
      </c>
      <c r="I6592" s="15">
        <f t="shared" si="3"/>
        <v>16</v>
      </c>
    </row>
    <row r="6593">
      <c r="A6593" s="8" t="str">
        <f>IFERROR(__xludf.DUMMYFUNCTION("IF('(INGESTA)Datos_consumo_datadis'!A6593&lt;&gt;"""",SPLIT('(INGESTA)Datos_consumo_datadis'!A:A,"",""),"""")"),"ES0031408323131005HX0F")</f>
        <v>ES0031408323131005HX0F</v>
      </c>
      <c r="B6593" s="12">
        <f>IFERROR(__xludf.DUMMYFUNCTION("""COMPUTED_VALUE"""),45140.0)</f>
        <v>45140</v>
      </c>
      <c r="C6593" s="13">
        <f>IFERROR(__xludf.DUMMYFUNCTION("""COMPUTED_VALUE"""),0.7083333333333334)</f>
        <v>0.7083333333</v>
      </c>
      <c r="D6593" s="8">
        <f>IFERROR(__xludf.DUMMYFUNCTION("""COMPUTED_VALUE"""),0.4)</f>
        <v>0.4</v>
      </c>
      <c r="E6593" s="8" t="str">
        <f>IFERROR(__xludf.DUMMYFUNCTION("""COMPUTED_VALUE"""),"Real")</f>
        <v>Real</v>
      </c>
      <c r="G6593" s="8">
        <f t="shared" si="1"/>
        <v>8</v>
      </c>
      <c r="H6593" s="14">
        <f t="shared" si="2"/>
        <v>2</v>
      </c>
      <c r="I6593" s="15">
        <f t="shared" si="3"/>
        <v>17</v>
      </c>
    </row>
    <row r="6594">
      <c r="A6594" s="8" t="str">
        <f>IFERROR(__xludf.DUMMYFUNCTION("IF('(INGESTA)Datos_consumo_datadis'!A6594&lt;&gt;"""",SPLIT('(INGESTA)Datos_consumo_datadis'!A:A,"",""),"""")"),"ES0031408323131005HX0F")</f>
        <v>ES0031408323131005HX0F</v>
      </c>
      <c r="B6594" s="12">
        <f>IFERROR(__xludf.DUMMYFUNCTION("""COMPUTED_VALUE"""),45140.0)</f>
        <v>45140</v>
      </c>
      <c r="C6594" s="13">
        <f>IFERROR(__xludf.DUMMYFUNCTION("""COMPUTED_VALUE"""),0.75)</f>
        <v>0.75</v>
      </c>
      <c r="D6594" s="8">
        <f>IFERROR(__xludf.DUMMYFUNCTION("""COMPUTED_VALUE"""),0.296)</f>
        <v>0.296</v>
      </c>
      <c r="E6594" s="8" t="str">
        <f>IFERROR(__xludf.DUMMYFUNCTION("""COMPUTED_VALUE"""),"Real")</f>
        <v>Real</v>
      </c>
      <c r="G6594" s="8">
        <f t="shared" si="1"/>
        <v>8</v>
      </c>
      <c r="H6594" s="14">
        <f t="shared" si="2"/>
        <v>2</v>
      </c>
      <c r="I6594" s="15">
        <f t="shared" si="3"/>
        <v>18</v>
      </c>
    </row>
    <row r="6595">
      <c r="A6595" s="8" t="str">
        <f>IFERROR(__xludf.DUMMYFUNCTION("IF('(INGESTA)Datos_consumo_datadis'!A6595&lt;&gt;"""",SPLIT('(INGESTA)Datos_consumo_datadis'!A:A,"",""),"""")"),"ES0031408323131005HX0F")</f>
        <v>ES0031408323131005HX0F</v>
      </c>
      <c r="B6595" s="12">
        <f>IFERROR(__xludf.DUMMYFUNCTION("""COMPUTED_VALUE"""),45140.0)</f>
        <v>45140</v>
      </c>
      <c r="C6595" s="13">
        <f>IFERROR(__xludf.DUMMYFUNCTION("""COMPUTED_VALUE"""),0.7916666666666666)</f>
        <v>0.7916666667</v>
      </c>
      <c r="D6595" s="8">
        <f>IFERROR(__xludf.DUMMYFUNCTION("""COMPUTED_VALUE"""),0.149)</f>
        <v>0.149</v>
      </c>
      <c r="E6595" s="8" t="str">
        <f>IFERROR(__xludf.DUMMYFUNCTION("""COMPUTED_VALUE"""),"Real")</f>
        <v>Real</v>
      </c>
      <c r="G6595" s="8">
        <f t="shared" si="1"/>
        <v>8</v>
      </c>
      <c r="H6595" s="14">
        <f t="shared" si="2"/>
        <v>2</v>
      </c>
      <c r="I6595" s="15">
        <f t="shared" si="3"/>
        <v>19</v>
      </c>
    </row>
    <row r="6596">
      <c r="A6596" s="8" t="str">
        <f>IFERROR(__xludf.DUMMYFUNCTION("IF('(INGESTA)Datos_consumo_datadis'!A6596&lt;&gt;"""",SPLIT('(INGESTA)Datos_consumo_datadis'!A:A,"",""),"""")"),"ES0031408323131005HX0F")</f>
        <v>ES0031408323131005HX0F</v>
      </c>
      <c r="B6596" s="12">
        <f>IFERROR(__xludf.DUMMYFUNCTION("""COMPUTED_VALUE"""),45140.0)</f>
        <v>45140</v>
      </c>
      <c r="C6596" s="13">
        <f>IFERROR(__xludf.DUMMYFUNCTION("""COMPUTED_VALUE"""),0.8333333333333334)</f>
        <v>0.8333333333</v>
      </c>
      <c r="D6596" s="8">
        <f>IFERROR(__xludf.DUMMYFUNCTION("""COMPUTED_VALUE"""),0.129)</f>
        <v>0.129</v>
      </c>
      <c r="E6596" s="8" t="str">
        <f>IFERROR(__xludf.DUMMYFUNCTION("""COMPUTED_VALUE"""),"Real")</f>
        <v>Real</v>
      </c>
      <c r="G6596" s="8">
        <f t="shared" si="1"/>
        <v>8</v>
      </c>
      <c r="H6596" s="14">
        <f t="shared" si="2"/>
        <v>2</v>
      </c>
      <c r="I6596" s="15">
        <f t="shared" si="3"/>
        <v>20</v>
      </c>
    </row>
    <row r="6597">
      <c r="A6597" s="8" t="str">
        <f>IFERROR(__xludf.DUMMYFUNCTION("IF('(INGESTA)Datos_consumo_datadis'!A6597&lt;&gt;"""",SPLIT('(INGESTA)Datos_consumo_datadis'!A:A,"",""),"""")"),"ES0031408323131005HX0F")</f>
        <v>ES0031408323131005HX0F</v>
      </c>
      <c r="B6597" s="12">
        <f>IFERROR(__xludf.DUMMYFUNCTION("""COMPUTED_VALUE"""),45140.0)</f>
        <v>45140</v>
      </c>
      <c r="C6597" s="13">
        <f>IFERROR(__xludf.DUMMYFUNCTION("""COMPUTED_VALUE"""),0.875)</f>
        <v>0.875</v>
      </c>
      <c r="D6597" s="8">
        <f>IFERROR(__xludf.DUMMYFUNCTION("""COMPUTED_VALUE"""),0.399)</f>
        <v>0.399</v>
      </c>
      <c r="E6597" s="8" t="str">
        <f>IFERROR(__xludf.DUMMYFUNCTION("""COMPUTED_VALUE"""),"Real")</f>
        <v>Real</v>
      </c>
      <c r="G6597" s="8">
        <f t="shared" si="1"/>
        <v>8</v>
      </c>
      <c r="H6597" s="14">
        <f t="shared" si="2"/>
        <v>2</v>
      </c>
      <c r="I6597" s="15">
        <f t="shared" si="3"/>
        <v>21</v>
      </c>
    </row>
    <row r="6598">
      <c r="A6598" s="8" t="str">
        <f>IFERROR(__xludf.DUMMYFUNCTION("IF('(INGESTA)Datos_consumo_datadis'!A6598&lt;&gt;"""",SPLIT('(INGESTA)Datos_consumo_datadis'!A:A,"",""),"""")"),"ES0031408323131005HX0F")</f>
        <v>ES0031408323131005HX0F</v>
      </c>
      <c r="B6598" s="12">
        <f>IFERROR(__xludf.DUMMYFUNCTION("""COMPUTED_VALUE"""),45140.0)</f>
        <v>45140</v>
      </c>
      <c r="C6598" s="13">
        <f>IFERROR(__xludf.DUMMYFUNCTION("""COMPUTED_VALUE"""),0.9166666666666666)</f>
        <v>0.9166666667</v>
      </c>
      <c r="D6598" s="8">
        <f>IFERROR(__xludf.DUMMYFUNCTION("""COMPUTED_VALUE"""),1.148)</f>
        <v>1.148</v>
      </c>
      <c r="E6598" s="8" t="str">
        <f>IFERROR(__xludf.DUMMYFUNCTION("""COMPUTED_VALUE"""),"Real")</f>
        <v>Real</v>
      </c>
      <c r="G6598" s="8">
        <f t="shared" si="1"/>
        <v>8</v>
      </c>
      <c r="H6598" s="14">
        <f t="shared" si="2"/>
        <v>2</v>
      </c>
      <c r="I6598" s="15">
        <f t="shared" si="3"/>
        <v>22</v>
      </c>
    </row>
    <row r="6599">
      <c r="A6599" s="8" t="str">
        <f>IFERROR(__xludf.DUMMYFUNCTION("IF('(INGESTA)Datos_consumo_datadis'!A6599&lt;&gt;"""",SPLIT('(INGESTA)Datos_consumo_datadis'!A:A,"",""),"""")"),"ES0031408323131005HX0F")</f>
        <v>ES0031408323131005HX0F</v>
      </c>
      <c r="B6599" s="12">
        <f>IFERROR(__xludf.DUMMYFUNCTION("""COMPUTED_VALUE"""),45140.0)</f>
        <v>45140</v>
      </c>
      <c r="C6599" s="13">
        <f>IFERROR(__xludf.DUMMYFUNCTION("""COMPUTED_VALUE"""),0.9583333333333334)</f>
        <v>0.9583333333</v>
      </c>
      <c r="D6599" s="8">
        <f>IFERROR(__xludf.DUMMYFUNCTION("""COMPUTED_VALUE"""),2.515)</f>
        <v>2.515</v>
      </c>
      <c r="E6599" s="8" t="str">
        <f>IFERROR(__xludf.DUMMYFUNCTION("""COMPUTED_VALUE"""),"Real")</f>
        <v>Real</v>
      </c>
      <c r="G6599" s="8">
        <f t="shared" si="1"/>
        <v>8</v>
      </c>
      <c r="H6599" s="14">
        <f t="shared" si="2"/>
        <v>2</v>
      </c>
      <c r="I6599" s="15">
        <f t="shared" si="3"/>
        <v>23</v>
      </c>
    </row>
    <row r="6600">
      <c r="A6600" s="8" t="str">
        <f>IFERROR(__xludf.DUMMYFUNCTION("IF('(INGESTA)Datos_consumo_datadis'!A6600&lt;&gt;"""",SPLIT('(INGESTA)Datos_consumo_datadis'!A:A,"",""),"""")"),"ES0031408323131005HX0F")</f>
        <v>ES0031408323131005HX0F</v>
      </c>
      <c r="B6600" s="12">
        <f>IFERROR(__xludf.DUMMYFUNCTION("""COMPUTED_VALUE"""),45140.0)</f>
        <v>45140</v>
      </c>
      <c r="C6600" s="16">
        <f>IFERROR(__xludf.DUMMYFUNCTION("""COMPUTED_VALUE"""),1.0)</f>
        <v>1</v>
      </c>
      <c r="D6600" s="8">
        <f>IFERROR(__xludf.DUMMYFUNCTION("""COMPUTED_VALUE"""),0.249)</f>
        <v>0.249</v>
      </c>
      <c r="E6600" s="8" t="str">
        <f>IFERROR(__xludf.DUMMYFUNCTION("""COMPUTED_VALUE"""),"Real")</f>
        <v>Real</v>
      </c>
      <c r="G6600" s="8">
        <f t="shared" si="1"/>
        <v>8</v>
      </c>
      <c r="H6600" s="14">
        <f t="shared" si="2"/>
        <v>2</v>
      </c>
      <c r="I6600" s="15">
        <f t="shared" si="3"/>
        <v>0</v>
      </c>
    </row>
    <row r="6601">
      <c r="A6601" s="8" t="str">
        <f>IFERROR(__xludf.DUMMYFUNCTION("IF('(INGESTA)Datos_consumo_datadis'!A6601&lt;&gt;"""",SPLIT('(INGESTA)Datos_consumo_datadis'!A:A,"",""),"""")"),"ES0031408323131005HX0F")</f>
        <v>ES0031408323131005HX0F</v>
      </c>
      <c r="B6601" s="12">
        <f>IFERROR(__xludf.DUMMYFUNCTION("""COMPUTED_VALUE"""),45141.0)</f>
        <v>45141</v>
      </c>
      <c r="C6601" s="13">
        <f>IFERROR(__xludf.DUMMYFUNCTION("""COMPUTED_VALUE"""),0.041666666666666664)</f>
        <v>0.04166666667</v>
      </c>
      <c r="D6601" s="8">
        <f>IFERROR(__xludf.DUMMYFUNCTION("""COMPUTED_VALUE"""),0.135)</f>
        <v>0.135</v>
      </c>
      <c r="E6601" s="8" t="str">
        <f>IFERROR(__xludf.DUMMYFUNCTION("""COMPUTED_VALUE"""),"Real")</f>
        <v>Real</v>
      </c>
      <c r="G6601" s="8">
        <f t="shared" si="1"/>
        <v>8</v>
      </c>
      <c r="H6601" s="14">
        <f t="shared" si="2"/>
        <v>3</v>
      </c>
      <c r="I6601" s="15">
        <f t="shared" si="3"/>
        <v>1</v>
      </c>
    </row>
    <row r="6602">
      <c r="A6602" s="8" t="str">
        <f>IFERROR(__xludf.DUMMYFUNCTION("IF('(INGESTA)Datos_consumo_datadis'!A6602&lt;&gt;"""",SPLIT('(INGESTA)Datos_consumo_datadis'!A:A,"",""),"""")"),"ES0031408323131005HX0F")</f>
        <v>ES0031408323131005HX0F</v>
      </c>
      <c r="B6602" s="12">
        <f>IFERROR(__xludf.DUMMYFUNCTION("""COMPUTED_VALUE"""),45141.0)</f>
        <v>45141</v>
      </c>
      <c r="C6602" s="13">
        <f>IFERROR(__xludf.DUMMYFUNCTION("""COMPUTED_VALUE"""),0.08333333333333333)</f>
        <v>0.08333333333</v>
      </c>
      <c r="D6602" s="8">
        <f>IFERROR(__xludf.DUMMYFUNCTION("""COMPUTED_VALUE"""),0.128)</f>
        <v>0.128</v>
      </c>
      <c r="E6602" s="8" t="str">
        <f>IFERROR(__xludf.DUMMYFUNCTION("""COMPUTED_VALUE"""),"Real")</f>
        <v>Real</v>
      </c>
      <c r="G6602" s="8">
        <f t="shared" si="1"/>
        <v>8</v>
      </c>
      <c r="H6602" s="14">
        <f t="shared" si="2"/>
        <v>3</v>
      </c>
      <c r="I6602" s="15">
        <f t="shared" si="3"/>
        <v>2</v>
      </c>
    </row>
    <row r="6603">
      <c r="A6603" s="8" t="str">
        <f>IFERROR(__xludf.DUMMYFUNCTION("IF('(INGESTA)Datos_consumo_datadis'!A6603&lt;&gt;"""",SPLIT('(INGESTA)Datos_consumo_datadis'!A:A,"",""),"""")"),"ES0031408323131005HX0F")</f>
        <v>ES0031408323131005HX0F</v>
      </c>
      <c r="B6603" s="12">
        <f>IFERROR(__xludf.DUMMYFUNCTION("""COMPUTED_VALUE"""),45141.0)</f>
        <v>45141</v>
      </c>
      <c r="C6603" s="13">
        <f>IFERROR(__xludf.DUMMYFUNCTION("""COMPUTED_VALUE"""),0.125)</f>
        <v>0.125</v>
      </c>
      <c r="D6603" s="8">
        <f>IFERROR(__xludf.DUMMYFUNCTION("""COMPUTED_VALUE"""),0.121)</f>
        <v>0.121</v>
      </c>
      <c r="E6603" s="8" t="str">
        <f>IFERROR(__xludf.DUMMYFUNCTION("""COMPUTED_VALUE"""),"Real")</f>
        <v>Real</v>
      </c>
      <c r="G6603" s="8">
        <f t="shared" si="1"/>
        <v>8</v>
      </c>
      <c r="H6603" s="14">
        <f t="shared" si="2"/>
        <v>3</v>
      </c>
      <c r="I6603" s="15">
        <f t="shared" si="3"/>
        <v>3</v>
      </c>
    </row>
    <row r="6604">
      <c r="A6604" s="8" t="str">
        <f>IFERROR(__xludf.DUMMYFUNCTION("IF('(INGESTA)Datos_consumo_datadis'!A6604&lt;&gt;"""",SPLIT('(INGESTA)Datos_consumo_datadis'!A:A,"",""),"""")"),"ES0031408323131005HX0F")</f>
        <v>ES0031408323131005HX0F</v>
      </c>
      <c r="B6604" s="12">
        <f>IFERROR(__xludf.DUMMYFUNCTION("""COMPUTED_VALUE"""),45141.0)</f>
        <v>45141</v>
      </c>
      <c r="C6604" s="13">
        <f>IFERROR(__xludf.DUMMYFUNCTION("""COMPUTED_VALUE"""),0.16666666666666666)</f>
        <v>0.1666666667</v>
      </c>
      <c r="D6604" s="8">
        <f>IFERROR(__xludf.DUMMYFUNCTION("""COMPUTED_VALUE"""),0.077)</f>
        <v>0.077</v>
      </c>
      <c r="E6604" s="8" t="str">
        <f>IFERROR(__xludf.DUMMYFUNCTION("""COMPUTED_VALUE"""),"Real")</f>
        <v>Real</v>
      </c>
      <c r="G6604" s="8">
        <f t="shared" si="1"/>
        <v>8</v>
      </c>
      <c r="H6604" s="14">
        <f t="shared" si="2"/>
        <v>3</v>
      </c>
      <c r="I6604" s="15">
        <f t="shared" si="3"/>
        <v>4</v>
      </c>
    </row>
    <row r="6605">
      <c r="A6605" s="8" t="str">
        <f>IFERROR(__xludf.DUMMYFUNCTION("IF('(INGESTA)Datos_consumo_datadis'!A6605&lt;&gt;"""",SPLIT('(INGESTA)Datos_consumo_datadis'!A:A,"",""),"""")"),"ES0031408323131005HX0F")</f>
        <v>ES0031408323131005HX0F</v>
      </c>
      <c r="B6605" s="12">
        <f>IFERROR(__xludf.DUMMYFUNCTION("""COMPUTED_VALUE"""),45141.0)</f>
        <v>45141</v>
      </c>
      <c r="C6605" s="13">
        <f>IFERROR(__xludf.DUMMYFUNCTION("""COMPUTED_VALUE"""),0.20833333333333334)</f>
        <v>0.2083333333</v>
      </c>
      <c r="D6605" s="8">
        <f>IFERROR(__xludf.DUMMYFUNCTION("""COMPUTED_VALUE"""),0.342)</f>
        <v>0.342</v>
      </c>
      <c r="E6605" s="8" t="str">
        <f>IFERROR(__xludf.DUMMYFUNCTION("""COMPUTED_VALUE"""),"Real")</f>
        <v>Real</v>
      </c>
      <c r="G6605" s="8">
        <f t="shared" si="1"/>
        <v>8</v>
      </c>
      <c r="H6605" s="14">
        <f t="shared" si="2"/>
        <v>3</v>
      </c>
      <c r="I6605" s="15">
        <f t="shared" si="3"/>
        <v>5</v>
      </c>
    </row>
    <row r="6606">
      <c r="A6606" s="8" t="str">
        <f>IFERROR(__xludf.DUMMYFUNCTION("IF('(INGESTA)Datos_consumo_datadis'!A6606&lt;&gt;"""",SPLIT('(INGESTA)Datos_consumo_datadis'!A:A,"",""),"""")"),"ES0031408323131005HX0F")</f>
        <v>ES0031408323131005HX0F</v>
      </c>
      <c r="B6606" s="12">
        <f>IFERROR(__xludf.DUMMYFUNCTION("""COMPUTED_VALUE"""),45141.0)</f>
        <v>45141</v>
      </c>
      <c r="C6606" s="13">
        <f>IFERROR(__xludf.DUMMYFUNCTION("""COMPUTED_VALUE"""),0.25)</f>
        <v>0.25</v>
      </c>
      <c r="D6606" s="8">
        <f>IFERROR(__xludf.DUMMYFUNCTION("""COMPUTED_VALUE"""),0.118)</f>
        <v>0.118</v>
      </c>
      <c r="E6606" s="8" t="str">
        <f>IFERROR(__xludf.DUMMYFUNCTION("""COMPUTED_VALUE"""),"Real")</f>
        <v>Real</v>
      </c>
      <c r="G6606" s="8">
        <f t="shared" si="1"/>
        <v>8</v>
      </c>
      <c r="H6606" s="14">
        <f t="shared" si="2"/>
        <v>3</v>
      </c>
      <c r="I6606" s="15">
        <f t="shared" si="3"/>
        <v>6</v>
      </c>
    </row>
    <row r="6607">
      <c r="A6607" s="8" t="str">
        <f>IFERROR(__xludf.DUMMYFUNCTION("IF('(INGESTA)Datos_consumo_datadis'!A6607&lt;&gt;"""",SPLIT('(INGESTA)Datos_consumo_datadis'!A:A,"",""),"""")"),"ES0031408323131005HX0F")</f>
        <v>ES0031408323131005HX0F</v>
      </c>
      <c r="B6607" s="12">
        <f>IFERROR(__xludf.DUMMYFUNCTION("""COMPUTED_VALUE"""),45141.0)</f>
        <v>45141</v>
      </c>
      <c r="C6607" s="13">
        <f>IFERROR(__xludf.DUMMYFUNCTION("""COMPUTED_VALUE"""),0.2916666666666667)</f>
        <v>0.2916666667</v>
      </c>
      <c r="D6607" s="8">
        <f>IFERROR(__xludf.DUMMYFUNCTION("""COMPUTED_VALUE"""),0.084)</f>
        <v>0.084</v>
      </c>
      <c r="E6607" s="8" t="str">
        <f>IFERROR(__xludf.DUMMYFUNCTION("""COMPUTED_VALUE"""),"Real")</f>
        <v>Real</v>
      </c>
      <c r="G6607" s="8">
        <f t="shared" si="1"/>
        <v>8</v>
      </c>
      <c r="H6607" s="14">
        <f t="shared" si="2"/>
        <v>3</v>
      </c>
      <c r="I6607" s="15">
        <f t="shared" si="3"/>
        <v>7</v>
      </c>
    </row>
    <row r="6608">
      <c r="A6608" s="8" t="str">
        <f>IFERROR(__xludf.DUMMYFUNCTION("IF('(INGESTA)Datos_consumo_datadis'!A6608&lt;&gt;"""",SPLIT('(INGESTA)Datos_consumo_datadis'!A:A,"",""),"""")"),"ES0031408323131005HX0F")</f>
        <v>ES0031408323131005HX0F</v>
      </c>
      <c r="B6608" s="12">
        <f>IFERROR(__xludf.DUMMYFUNCTION("""COMPUTED_VALUE"""),45141.0)</f>
        <v>45141</v>
      </c>
      <c r="C6608" s="13">
        <f>IFERROR(__xludf.DUMMYFUNCTION("""COMPUTED_VALUE"""),0.3333333333333333)</f>
        <v>0.3333333333</v>
      </c>
      <c r="D6608" s="8">
        <f>IFERROR(__xludf.DUMMYFUNCTION("""COMPUTED_VALUE"""),0.059)</f>
        <v>0.059</v>
      </c>
      <c r="E6608" s="8" t="str">
        <f>IFERROR(__xludf.DUMMYFUNCTION("""COMPUTED_VALUE"""),"Real")</f>
        <v>Real</v>
      </c>
      <c r="G6608" s="8">
        <f t="shared" si="1"/>
        <v>8</v>
      </c>
      <c r="H6608" s="14">
        <f t="shared" si="2"/>
        <v>3</v>
      </c>
      <c r="I6608" s="15">
        <f t="shared" si="3"/>
        <v>8</v>
      </c>
    </row>
    <row r="6609">
      <c r="A6609" s="8" t="str">
        <f>IFERROR(__xludf.DUMMYFUNCTION("IF('(INGESTA)Datos_consumo_datadis'!A6609&lt;&gt;"""",SPLIT('(INGESTA)Datos_consumo_datadis'!A:A,"",""),"""")"),"ES0031408323131005HX0F")</f>
        <v>ES0031408323131005HX0F</v>
      </c>
      <c r="B6609" s="12">
        <f>IFERROR(__xludf.DUMMYFUNCTION("""COMPUTED_VALUE"""),45141.0)</f>
        <v>45141</v>
      </c>
      <c r="C6609" s="13">
        <f>IFERROR(__xludf.DUMMYFUNCTION("""COMPUTED_VALUE"""),0.375)</f>
        <v>0.375</v>
      </c>
      <c r="D6609" s="8">
        <f>IFERROR(__xludf.DUMMYFUNCTION("""COMPUTED_VALUE"""),0.206)</f>
        <v>0.206</v>
      </c>
      <c r="E6609" s="8" t="str">
        <f>IFERROR(__xludf.DUMMYFUNCTION("""COMPUTED_VALUE"""),"Real")</f>
        <v>Real</v>
      </c>
      <c r="G6609" s="8">
        <f t="shared" si="1"/>
        <v>8</v>
      </c>
      <c r="H6609" s="14">
        <f t="shared" si="2"/>
        <v>3</v>
      </c>
      <c r="I6609" s="15">
        <f t="shared" si="3"/>
        <v>9</v>
      </c>
    </row>
    <row r="6610">
      <c r="A6610" s="8" t="str">
        <f>IFERROR(__xludf.DUMMYFUNCTION("IF('(INGESTA)Datos_consumo_datadis'!A6610&lt;&gt;"""",SPLIT('(INGESTA)Datos_consumo_datadis'!A:A,"",""),"""")"),"ES0031408323131005HX0F")</f>
        <v>ES0031408323131005HX0F</v>
      </c>
      <c r="B6610" s="12">
        <f>IFERROR(__xludf.DUMMYFUNCTION("""COMPUTED_VALUE"""),45141.0)</f>
        <v>45141</v>
      </c>
      <c r="C6610" s="13">
        <f>IFERROR(__xludf.DUMMYFUNCTION("""COMPUTED_VALUE"""),0.4166666666666667)</f>
        <v>0.4166666667</v>
      </c>
      <c r="D6610" s="8">
        <f>IFERROR(__xludf.DUMMYFUNCTION("""COMPUTED_VALUE"""),0.229)</f>
        <v>0.229</v>
      </c>
      <c r="E6610" s="8" t="str">
        <f>IFERROR(__xludf.DUMMYFUNCTION("""COMPUTED_VALUE"""),"Real")</f>
        <v>Real</v>
      </c>
      <c r="G6610" s="8">
        <f t="shared" si="1"/>
        <v>8</v>
      </c>
      <c r="H6610" s="14">
        <f t="shared" si="2"/>
        <v>3</v>
      </c>
      <c r="I6610" s="15">
        <f t="shared" si="3"/>
        <v>10</v>
      </c>
    </row>
    <row r="6611">
      <c r="A6611" s="8" t="str">
        <f>IFERROR(__xludf.DUMMYFUNCTION("IF('(INGESTA)Datos_consumo_datadis'!A6611&lt;&gt;"""",SPLIT('(INGESTA)Datos_consumo_datadis'!A:A,"",""),"""")"),"ES0031408323131005HX0F")</f>
        <v>ES0031408323131005HX0F</v>
      </c>
      <c r="B6611" s="12">
        <f>IFERROR(__xludf.DUMMYFUNCTION("""COMPUTED_VALUE"""),45141.0)</f>
        <v>45141</v>
      </c>
      <c r="C6611" s="13">
        <f>IFERROR(__xludf.DUMMYFUNCTION("""COMPUTED_VALUE"""),0.4583333333333333)</f>
        <v>0.4583333333</v>
      </c>
      <c r="D6611" s="8">
        <f>IFERROR(__xludf.DUMMYFUNCTION("""COMPUTED_VALUE"""),0.162)</f>
        <v>0.162</v>
      </c>
      <c r="E6611" s="8" t="str">
        <f>IFERROR(__xludf.DUMMYFUNCTION("""COMPUTED_VALUE"""),"Real")</f>
        <v>Real</v>
      </c>
      <c r="G6611" s="8">
        <f t="shared" si="1"/>
        <v>8</v>
      </c>
      <c r="H6611" s="14">
        <f t="shared" si="2"/>
        <v>3</v>
      </c>
      <c r="I6611" s="15">
        <f t="shared" si="3"/>
        <v>11</v>
      </c>
    </row>
    <row r="6612">
      <c r="A6612" s="8" t="str">
        <f>IFERROR(__xludf.DUMMYFUNCTION("IF('(INGESTA)Datos_consumo_datadis'!A6612&lt;&gt;"""",SPLIT('(INGESTA)Datos_consumo_datadis'!A:A,"",""),"""")"),"ES0031408323131005HX0F")</f>
        <v>ES0031408323131005HX0F</v>
      </c>
      <c r="B6612" s="12">
        <f>IFERROR(__xludf.DUMMYFUNCTION("""COMPUTED_VALUE"""),45141.0)</f>
        <v>45141</v>
      </c>
      <c r="C6612" s="13">
        <f>IFERROR(__xludf.DUMMYFUNCTION("""COMPUTED_VALUE"""),0.5)</f>
        <v>0.5</v>
      </c>
      <c r="D6612" s="8">
        <f>IFERROR(__xludf.DUMMYFUNCTION("""COMPUTED_VALUE"""),0.116)</f>
        <v>0.116</v>
      </c>
      <c r="E6612" s="8" t="str">
        <f>IFERROR(__xludf.DUMMYFUNCTION("""COMPUTED_VALUE"""),"Real")</f>
        <v>Real</v>
      </c>
      <c r="G6612" s="8">
        <f t="shared" si="1"/>
        <v>8</v>
      </c>
      <c r="H6612" s="14">
        <f t="shared" si="2"/>
        <v>3</v>
      </c>
      <c r="I6612" s="15">
        <f t="shared" si="3"/>
        <v>12</v>
      </c>
    </row>
    <row r="6613">
      <c r="A6613" s="8" t="str">
        <f>IFERROR(__xludf.DUMMYFUNCTION("IF('(INGESTA)Datos_consumo_datadis'!A6613&lt;&gt;"""",SPLIT('(INGESTA)Datos_consumo_datadis'!A:A,"",""),"""")"),"ES0031408323131005HX0F")</f>
        <v>ES0031408323131005HX0F</v>
      </c>
      <c r="B6613" s="12">
        <f>IFERROR(__xludf.DUMMYFUNCTION("""COMPUTED_VALUE"""),45141.0)</f>
        <v>45141</v>
      </c>
      <c r="C6613" s="13">
        <f>IFERROR(__xludf.DUMMYFUNCTION("""COMPUTED_VALUE"""),0.5416666666666666)</f>
        <v>0.5416666667</v>
      </c>
      <c r="D6613" s="8">
        <f>IFERROR(__xludf.DUMMYFUNCTION("""COMPUTED_VALUE"""),0.326)</f>
        <v>0.326</v>
      </c>
      <c r="E6613" s="8" t="str">
        <f>IFERROR(__xludf.DUMMYFUNCTION("""COMPUTED_VALUE"""),"Real")</f>
        <v>Real</v>
      </c>
      <c r="G6613" s="8">
        <f t="shared" si="1"/>
        <v>8</v>
      </c>
      <c r="H6613" s="14">
        <f t="shared" si="2"/>
        <v>3</v>
      </c>
      <c r="I6613" s="15">
        <f t="shared" si="3"/>
        <v>13</v>
      </c>
    </row>
    <row r="6614">
      <c r="A6614" s="8" t="str">
        <f>IFERROR(__xludf.DUMMYFUNCTION("IF('(INGESTA)Datos_consumo_datadis'!A6614&lt;&gt;"""",SPLIT('(INGESTA)Datos_consumo_datadis'!A:A,"",""),"""")"),"ES0031408323131005HX0F")</f>
        <v>ES0031408323131005HX0F</v>
      </c>
      <c r="B6614" s="12">
        <f>IFERROR(__xludf.DUMMYFUNCTION("""COMPUTED_VALUE"""),45141.0)</f>
        <v>45141</v>
      </c>
      <c r="C6614" s="13">
        <f>IFERROR(__xludf.DUMMYFUNCTION("""COMPUTED_VALUE"""),0.5833333333333334)</f>
        <v>0.5833333333</v>
      </c>
      <c r="D6614" s="8">
        <f>IFERROR(__xludf.DUMMYFUNCTION("""COMPUTED_VALUE"""),0.092)</f>
        <v>0.092</v>
      </c>
      <c r="E6614" s="8" t="str">
        <f>IFERROR(__xludf.DUMMYFUNCTION("""COMPUTED_VALUE"""),"Real")</f>
        <v>Real</v>
      </c>
      <c r="G6614" s="8">
        <f t="shared" si="1"/>
        <v>8</v>
      </c>
      <c r="H6614" s="14">
        <f t="shared" si="2"/>
        <v>3</v>
      </c>
      <c r="I6614" s="15">
        <f t="shared" si="3"/>
        <v>14</v>
      </c>
    </row>
    <row r="6615">
      <c r="A6615" s="8" t="str">
        <f>IFERROR(__xludf.DUMMYFUNCTION("IF('(INGESTA)Datos_consumo_datadis'!A6615&lt;&gt;"""",SPLIT('(INGESTA)Datos_consumo_datadis'!A:A,"",""),"""")"),"ES0031408323131005HX0F")</f>
        <v>ES0031408323131005HX0F</v>
      </c>
      <c r="B6615" s="12">
        <f>IFERROR(__xludf.DUMMYFUNCTION("""COMPUTED_VALUE"""),45141.0)</f>
        <v>45141</v>
      </c>
      <c r="C6615" s="13">
        <f>IFERROR(__xludf.DUMMYFUNCTION("""COMPUTED_VALUE"""),0.625)</f>
        <v>0.625</v>
      </c>
      <c r="D6615" s="8">
        <f>IFERROR(__xludf.DUMMYFUNCTION("""COMPUTED_VALUE"""),0.064)</f>
        <v>0.064</v>
      </c>
      <c r="E6615" s="8" t="str">
        <f>IFERROR(__xludf.DUMMYFUNCTION("""COMPUTED_VALUE"""),"Real")</f>
        <v>Real</v>
      </c>
      <c r="G6615" s="8">
        <f t="shared" si="1"/>
        <v>8</v>
      </c>
      <c r="H6615" s="14">
        <f t="shared" si="2"/>
        <v>3</v>
      </c>
      <c r="I6615" s="15">
        <f t="shared" si="3"/>
        <v>15</v>
      </c>
    </row>
    <row r="6616">
      <c r="A6616" s="8" t="str">
        <f>IFERROR(__xludf.DUMMYFUNCTION("IF('(INGESTA)Datos_consumo_datadis'!A6616&lt;&gt;"""",SPLIT('(INGESTA)Datos_consumo_datadis'!A:A,"",""),"""")"),"ES0031408323131005HX0F")</f>
        <v>ES0031408323131005HX0F</v>
      </c>
      <c r="B6616" s="12">
        <f>IFERROR(__xludf.DUMMYFUNCTION("""COMPUTED_VALUE"""),45141.0)</f>
        <v>45141</v>
      </c>
      <c r="C6616" s="13">
        <f>IFERROR(__xludf.DUMMYFUNCTION("""COMPUTED_VALUE"""),0.6666666666666666)</f>
        <v>0.6666666667</v>
      </c>
      <c r="D6616" s="8">
        <f>IFERROR(__xludf.DUMMYFUNCTION("""COMPUTED_VALUE"""),0.068)</f>
        <v>0.068</v>
      </c>
      <c r="E6616" s="8" t="str">
        <f>IFERROR(__xludf.DUMMYFUNCTION("""COMPUTED_VALUE"""),"Real")</f>
        <v>Real</v>
      </c>
      <c r="G6616" s="8">
        <f t="shared" si="1"/>
        <v>8</v>
      </c>
      <c r="H6616" s="14">
        <f t="shared" si="2"/>
        <v>3</v>
      </c>
      <c r="I6616" s="15">
        <f t="shared" si="3"/>
        <v>16</v>
      </c>
    </row>
    <row r="6617">
      <c r="A6617" s="8" t="str">
        <f>IFERROR(__xludf.DUMMYFUNCTION("IF('(INGESTA)Datos_consumo_datadis'!A6617&lt;&gt;"""",SPLIT('(INGESTA)Datos_consumo_datadis'!A:A,"",""),"""")"),"ES0031408323131005HX0F")</f>
        <v>ES0031408323131005HX0F</v>
      </c>
      <c r="B6617" s="12">
        <f>IFERROR(__xludf.DUMMYFUNCTION("""COMPUTED_VALUE"""),45141.0)</f>
        <v>45141</v>
      </c>
      <c r="C6617" s="13">
        <f>IFERROR(__xludf.DUMMYFUNCTION("""COMPUTED_VALUE"""),0.7083333333333334)</f>
        <v>0.7083333333</v>
      </c>
      <c r="D6617" s="8">
        <f>IFERROR(__xludf.DUMMYFUNCTION("""COMPUTED_VALUE"""),0.465)</f>
        <v>0.465</v>
      </c>
      <c r="E6617" s="8" t="str">
        <f>IFERROR(__xludf.DUMMYFUNCTION("""COMPUTED_VALUE"""),"Real")</f>
        <v>Real</v>
      </c>
      <c r="G6617" s="8">
        <f t="shared" si="1"/>
        <v>8</v>
      </c>
      <c r="H6617" s="14">
        <f t="shared" si="2"/>
        <v>3</v>
      </c>
      <c r="I6617" s="15">
        <f t="shared" si="3"/>
        <v>17</v>
      </c>
    </row>
    <row r="6618">
      <c r="A6618" s="8" t="str">
        <f>IFERROR(__xludf.DUMMYFUNCTION("IF('(INGESTA)Datos_consumo_datadis'!A6618&lt;&gt;"""",SPLIT('(INGESTA)Datos_consumo_datadis'!A:A,"",""),"""")"),"ES0031408323131005HX0F")</f>
        <v>ES0031408323131005HX0F</v>
      </c>
      <c r="B6618" s="12">
        <f>IFERROR(__xludf.DUMMYFUNCTION("""COMPUTED_VALUE"""),45141.0)</f>
        <v>45141</v>
      </c>
      <c r="C6618" s="13">
        <f>IFERROR(__xludf.DUMMYFUNCTION("""COMPUTED_VALUE"""),0.75)</f>
        <v>0.75</v>
      </c>
      <c r="D6618" s="8">
        <f>IFERROR(__xludf.DUMMYFUNCTION("""COMPUTED_VALUE"""),0.868)</f>
        <v>0.868</v>
      </c>
      <c r="E6618" s="8" t="str">
        <f>IFERROR(__xludf.DUMMYFUNCTION("""COMPUTED_VALUE"""),"Real")</f>
        <v>Real</v>
      </c>
      <c r="G6618" s="8">
        <f t="shared" si="1"/>
        <v>8</v>
      </c>
      <c r="H6618" s="14">
        <f t="shared" si="2"/>
        <v>3</v>
      </c>
      <c r="I6618" s="15">
        <f t="shared" si="3"/>
        <v>18</v>
      </c>
    </row>
    <row r="6619">
      <c r="A6619" s="8" t="str">
        <f>IFERROR(__xludf.DUMMYFUNCTION("IF('(INGESTA)Datos_consumo_datadis'!A6619&lt;&gt;"""",SPLIT('(INGESTA)Datos_consumo_datadis'!A:A,"",""),"""")"),"ES0031408323131005HX0F")</f>
        <v>ES0031408323131005HX0F</v>
      </c>
      <c r="B6619" s="12">
        <f>IFERROR(__xludf.DUMMYFUNCTION("""COMPUTED_VALUE"""),45141.0)</f>
        <v>45141</v>
      </c>
      <c r="C6619" s="13">
        <f>IFERROR(__xludf.DUMMYFUNCTION("""COMPUTED_VALUE"""),0.7916666666666666)</f>
        <v>0.7916666667</v>
      </c>
      <c r="D6619" s="8">
        <f>IFERROR(__xludf.DUMMYFUNCTION("""COMPUTED_VALUE"""),0.572)</f>
        <v>0.572</v>
      </c>
      <c r="E6619" s="8" t="str">
        <f>IFERROR(__xludf.DUMMYFUNCTION("""COMPUTED_VALUE"""),"Real")</f>
        <v>Real</v>
      </c>
      <c r="G6619" s="8">
        <f t="shared" si="1"/>
        <v>8</v>
      </c>
      <c r="H6619" s="14">
        <f t="shared" si="2"/>
        <v>3</v>
      </c>
      <c r="I6619" s="15">
        <f t="shared" si="3"/>
        <v>19</v>
      </c>
    </row>
    <row r="6620">
      <c r="A6620" s="8" t="str">
        <f>IFERROR(__xludf.DUMMYFUNCTION("IF('(INGESTA)Datos_consumo_datadis'!A6620&lt;&gt;"""",SPLIT('(INGESTA)Datos_consumo_datadis'!A:A,"",""),"""")"),"ES0031408323131005HX0F")</f>
        <v>ES0031408323131005HX0F</v>
      </c>
      <c r="B6620" s="12">
        <f>IFERROR(__xludf.DUMMYFUNCTION("""COMPUTED_VALUE"""),45141.0)</f>
        <v>45141</v>
      </c>
      <c r="C6620" s="13">
        <f>IFERROR(__xludf.DUMMYFUNCTION("""COMPUTED_VALUE"""),0.8333333333333334)</f>
        <v>0.8333333333</v>
      </c>
      <c r="D6620" s="8">
        <f>IFERROR(__xludf.DUMMYFUNCTION("""COMPUTED_VALUE"""),1.475)</f>
        <v>1.475</v>
      </c>
      <c r="E6620" s="8" t="str">
        <f>IFERROR(__xludf.DUMMYFUNCTION("""COMPUTED_VALUE"""),"Real")</f>
        <v>Real</v>
      </c>
      <c r="G6620" s="8">
        <f t="shared" si="1"/>
        <v>8</v>
      </c>
      <c r="H6620" s="14">
        <f t="shared" si="2"/>
        <v>3</v>
      </c>
      <c r="I6620" s="15">
        <f t="shared" si="3"/>
        <v>20</v>
      </c>
    </row>
    <row r="6621">
      <c r="A6621" s="8" t="str">
        <f>IFERROR(__xludf.DUMMYFUNCTION("IF('(INGESTA)Datos_consumo_datadis'!A6621&lt;&gt;"""",SPLIT('(INGESTA)Datos_consumo_datadis'!A:A,"",""),"""")"),"ES0031408323131005HX0F")</f>
        <v>ES0031408323131005HX0F</v>
      </c>
      <c r="B6621" s="12">
        <f>IFERROR(__xludf.DUMMYFUNCTION("""COMPUTED_VALUE"""),45141.0)</f>
        <v>45141</v>
      </c>
      <c r="C6621" s="13">
        <f>IFERROR(__xludf.DUMMYFUNCTION("""COMPUTED_VALUE"""),0.875)</f>
        <v>0.875</v>
      </c>
      <c r="D6621" s="8">
        <f>IFERROR(__xludf.DUMMYFUNCTION("""COMPUTED_VALUE"""),1.048)</f>
        <v>1.048</v>
      </c>
      <c r="E6621" s="8" t="str">
        <f>IFERROR(__xludf.DUMMYFUNCTION("""COMPUTED_VALUE"""),"Real")</f>
        <v>Real</v>
      </c>
      <c r="G6621" s="8">
        <f t="shared" si="1"/>
        <v>8</v>
      </c>
      <c r="H6621" s="14">
        <f t="shared" si="2"/>
        <v>3</v>
      </c>
      <c r="I6621" s="15">
        <f t="shared" si="3"/>
        <v>21</v>
      </c>
    </row>
    <row r="6622">
      <c r="A6622" s="8" t="str">
        <f>IFERROR(__xludf.DUMMYFUNCTION("IF('(INGESTA)Datos_consumo_datadis'!A6622&lt;&gt;"""",SPLIT('(INGESTA)Datos_consumo_datadis'!A:A,"",""),"""")"),"ES0031408323131005HX0F")</f>
        <v>ES0031408323131005HX0F</v>
      </c>
      <c r="B6622" s="12">
        <f>IFERROR(__xludf.DUMMYFUNCTION("""COMPUTED_VALUE"""),45141.0)</f>
        <v>45141</v>
      </c>
      <c r="C6622" s="13">
        <f>IFERROR(__xludf.DUMMYFUNCTION("""COMPUTED_VALUE"""),0.9166666666666666)</f>
        <v>0.9166666667</v>
      </c>
      <c r="D6622" s="8">
        <f>IFERROR(__xludf.DUMMYFUNCTION("""COMPUTED_VALUE"""),0.397)</f>
        <v>0.397</v>
      </c>
      <c r="E6622" s="8" t="str">
        <f>IFERROR(__xludf.DUMMYFUNCTION("""COMPUTED_VALUE"""),"Real")</f>
        <v>Real</v>
      </c>
      <c r="G6622" s="8">
        <f t="shared" si="1"/>
        <v>8</v>
      </c>
      <c r="H6622" s="14">
        <f t="shared" si="2"/>
        <v>3</v>
      </c>
      <c r="I6622" s="15">
        <f t="shared" si="3"/>
        <v>22</v>
      </c>
    </row>
    <row r="6623">
      <c r="A6623" s="8" t="str">
        <f>IFERROR(__xludf.DUMMYFUNCTION("IF('(INGESTA)Datos_consumo_datadis'!A6623&lt;&gt;"""",SPLIT('(INGESTA)Datos_consumo_datadis'!A:A,"",""),"""")"),"ES0031408323131005HX0F")</f>
        <v>ES0031408323131005HX0F</v>
      </c>
      <c r="B6623" s="12">
        <f>IFERROR(__xludf.DUMMYFUNCTION("""COMPUTED_VALUE"""),45141.0)</f>
        <v>45141</v>
      </c>
      <c r="C6623" s="13">
        <f>IFERROR(__xludf.DUMMYFUNCTION("""COMPUTED_VALUE"""),0.9583333333333334)</f>
        <v>0.9583333333</v>
      </c>
      <c r="D6623" s="8">
        <f>IFERROR(__xludf.DUMMYFUNCTION("""COMPUTED_VALUE"""),0.348)</f>
        <v>0.348</v>
      </c>
      <c r="E6623" s="8" t="str">
        <f>IFERROR(__xludf.DUMMYFUNCTION("""COMPUTED_VALUE"""),"Real")</f>
        <v>Real</v>
      </c>
      <c r="G6623" s="8">
        <f t="shared" si="1"/>
        <v>8</v>
      </c>
      <c r="H6623" s="14">
        <f t="shared" si="2"/>
        <v>3</v>
      </c>
      <c r="I6623" s="15">
        <f t="shared" si="3"/>
        <v>23</v>
      </c>
    </row>
    <row r="6624">
      <c r="A6624" s="8" t="str">
        <f>IFERROR(__xludf.DUMMYFUNCTION("IF('(INGESTA)Datos_consumo_datadis'!A6624&lt;&gt;"""",SPLIT('(INGESTA)Datos_consumo_datadis'!A:A,"",""),"""")"),"ES0031408323131005HX0F")</f>
        <v>ES0031408323131005HX0F</v>
      </c>
      <c r="B6624" s="12">
        <f>IFERROR(__xludf.DUMMYFUNCTION("""COMPUTED_VALUE"""),45141.0)</f>
        <v>45141</v>
      </c>
      <c r="C6624" s="16">
        <f>IFERROR(__xludf.DUMMYFUNCTION("""COMPUTED_VALUE"""),1.0)</f>
        <v>1</v>
      </c>
      <c r="D6624" s="8">
        <f>IFERROR(__xludf.DUMMYFUNCTION("""COMPUTED_VALUE"""),0.149)</f>
        <v>0.149</v>
      </c>
      <c r="E6624" s="8" t="str">
        <f>IFERROR(__xludf.DUMMYFUNCTION("""COMPUTED_VALUE"""),"Real")</f>
        <v>Real</v>
      </c>
      <c r="G6624" s="8">
        <f t="shared" si="1"/>
        <v>8</v>
      </c>
      <c r="H6624" s="14">
        <f t="shared" si="2"/>
        <v>3</v>
      </c>
      <c r="I6624" s="15">
        <f t="shared" si="3"/>
        <v>0</v>
      </c>
    </row>
    <row r="6625">
      <c r="A6625" s="8" t="str">
        <f>IFERROR(__xludf.DUMMYFUNCTION("IF('(INGESTA)Datos_consumo_datadis'!A6625&lt;&gt;"""",SPLIT('(INGESTA)Datos_consumo_datadis'!A:A,"",""),"""")"),"ES0031408323131005HX0F")</f>
        <v>ES0031408323131005HX0F</v>
      </c>
      <c r="B6625" s="12">
        <f>IFERROR(__xludf.DUMMYFUNCTION("""COMPUTED_VALUE"""),45142.0)</f>
        <v>45142</v>
      </c>
      <c r="C6625" s="13">
        <f>IFERROR(__xludf.DUMMYFUNCTION("""COMPUTED_VALUE"""),0.041666666666666664)</f>
        <v>0.04166666667</v>
      </c>
      <c r="D6625" s="8">
        <f>IFERROR(__xludf.DUMMYFUNCTION("""COMPUTED_VALUE"""),0.035)</f>
        <v>0.035</v>
      </c>
      <c r="E6625" s="8" t="str">
        <f>IFERROR(__xludf.DUMMYFUNCTION("""COMPUTED_VALUE"""),"Real")</f>
        <v>Real</v>
      </c>
      <c r="G6625" s="8">
        <f t="shared" si="1"/>
        <v>8</v>
      </c>
      <c r="H6625" s="14">
        <f t="shared" si="2"/>
        <v>4</v>
      </c>
      <c r="I6625" s="15">
        <f t="shared" si="3"/>
        <v>1</v>
      </c>
    </row>
    <row r="6626">
      <c r="A6626" s="8" t="str">
        <f>IFERROR(__xludf.DUMMYFUNCTION("IF('(INGESTA)Datos_consumo_datadis'!A6626&lt;&gt;"""",SPLIT('(INGESTA)Datos_consumo_datadis'!A:A,"",""),"""")"),"ES0031408323131005HX0F")</f>
        <v>ES0031408323131005HX0F</v>
      </c>
      <c r="B6626" s="12">
        <f>IFERROR(__xludf.DUMMYFUNCTION("""COMPUTED_VALUE"""),45142.0)</f>
        <v>45142</v>
      </c>
      <c r="C6626" s="13">
        <f>IFERROR(__xludf.DUMMYFUNCTION("""COMPUTED_VALUE"""),0.08333333333333333)</f>
        <v>0.08333333333</v>
      </c>
      <c r="D6626" s="8">
        <f>IFERROR(__xludf.DUMMYFUNCTION("""COMPUTED_VALUE"""),0.121)</f>
        <v>0.121</v>
      </c>
      <c r="E6626" s="8" t="str">
        <f>IFERROR(__xludf.DUMMYFUNCTION("""COMPUTED_VALUE"""),"Real")</f>
        <v>Real</v>
      </c>
      <c r="G6626" s="8">
        <f t="shared" si="1"/>
        <v>8</v>
      </c>
      <c r="H6626" s="14">
        <f t="shared" si="2"/>
        <v>4</v>
      </c>
      <c r="I6626" s="15">
        <f t="shared" si="3"/>
        <v>2</v>
      </c>
    </row>
    <row r="6627">
      <c r="A6627" s="8" t="str">
        <f>IFERROR(__xludf.DUMMYFUNCTION("IF('(INGESTA)Datos_consumo_datadis'!A6627&lt;&gt;"""",SPLIT('(INGESTA)Datos_consumo_datadis'!A:A,"",""),"""")"),"ES0031408323131005HX0F")</f>
        <v>ES0031408323131005HX0F</v>
      </c>
      <c r="B6627" s="12">
        <f>IFERROR(__xludf.DUMMYFUNCTION("""COMPUTED_VALUE"""),45142.0)</f>
        <v>45142</v>
      </c>
      <c r="C6627" s="13">
        <f>IFERROR(__xludf.DUMMYFUNCTION("""COMPUTED_VALUE"""),0.125)</f>
        <v>0.125</v>
      </c>
      <c r="D6627" s="8">
        <f>IFERROR(__xludf.DUMMYFUNCTION("""COMPUTED_VALUE"""),0.331)</f>
        <v>0.331</v>
      </c>
      <c r="E6627" s="8" t="str">
        <f>IFERROR(__xludf.DUMMYFUNCTION("""COMPUTED_VALUE"""),"Real")</f>
        <v>Real</v>
      </c>
      <c r="G6627" s="8">
        <f t="shared" si="1"/>
        <v>8</v>
      </c>
      <c r="H6627" s="14">
        <f t="shared" si="2"/>
        <v>4</v>
      </c>
      <c r="I6627" s="15">
        <f t="shared" si="3"/>
        <v>3</v>
      </c>
    </row>
    <row r="6628">
      <c r="A6628" s="8" t="str">
        <f>IFERROR(__xludf.DUMMYFUNCTION("IF('(INGESTA)Datos_consumo_datadis'!A6628&lt;&gt;"""",SPLIT('(INGESTA)Datos_consumo_datadis'!A:A,"",""),"""")"),"ES0031408323131005HX0F")</f>
        <v>ES0031408323131005HX0F</v>
      </c>
      <c r="B6628" s="12">
        <f>IFERROR(__xludf.DUMMYFUNCTION("""COMPUTED_VALUE"""),45142.0)</f>
        <v>45142</v>
      </c>
      <c r="C6628" s="13">
        <f>IFERROR(__xludf.DUMMYFUNCTION("""COMPUTED_VALUE"""),0.16666666666666666)</f>
        <v>0.1666666667</v>
      </c>
      <c r="D6628" s="8">
        <f>IFERROR(__xludf.DUMMYFUNCTION("""COMPUTED_VALUE"""),0.065)</f>
        <v>0.065</v>
      </c>
      <c r="E6628" s="8" t="str">
        <f>IFERROR(__xludf.DUMMYFUNCTION("""COMPUTED_VALUE"""),"Real")</f>
        <v>Real</v>
      </c>
      <c r="G6628" s="8">
        <f t="shared" si="1"/>
        <v>8</v>
      </c>
      <c r="H6628" s="14">
        <f t="shared" si="2"/>
        <v>4</v>
      </c>
      <c r="I6628" s="15">
        <f t="shared" si="3"/>
        <v>4</v>
      </c>
    </row>
    <row r="6629">
      <c r="A6629" s="8" t="str">
        <f>IFERROR(__xludf.DUMMYFUNCTION("IF('(INGESTA)Datos_consumo_datadis'!A6629&lt;&gt;"""",SPLIT('(INGESTA)Datos_consumo_datadis'!A:A,"",""),"""")"),"ES0031408323131005HX0F")</f>
        <v>ES0031408323131005HX0F</v>
      </c>
      <c r="B6629" s="12">
        <f>IFERROR(__xludf.DUMMYFUNCTION("""COMPUTED_VALUE"""),45142.0)</f>
        <v>45142</v>
      </c>
      <c r="C6629" s="13">
        <f>IFERROR(__xludf.DUMMYFUNCTION("""COMPUTED_VALUE"""),0.20833333333333334)</f>
        <v>0.2083333333</v>
      </c>
      <c r="D6629" s="8">
        <f>IFERROR(__xludf.DUMMYFUNCTION("""COMPUTED_VALUE"""),0.091)</f>
        <v>0.091</v>
      </c>
      <c r="E6629" s="8" t="str">
        <f>IFERROR(__xludf.DUMMYFUNCTION("""COMPUTED_VALUE"""),"Real")</f>
        <v>Real</v>
      </c>
      <c r="G6629" s="8">
        <f t="shared" si="1"/>
        <v>8</v>
      </c>
      <c r="H6629" s="14">
        <f t="shared" si="2"/>
        <v>4</v>
      </c>
      <c r="I6629" s="15">
        <f t="shared" si="3"/>
        <v>5</v>
      </c>
    </row>
    <row r="6630">
      <c r="A6630" s="8" t="str">
        <f>IFERROR(__xludf.DUMMYFUNCTION("IF('(INGESTA)Datos_consumo_datadis'!A6630&lt;&gt;"""",SPLIT('(INGESTA)Datos_consumo_datadis'!A:A,"",""),"""")"),"ES0031408323131005HX0F")</f>
        <v>ES0031408323131005HX0F</v>
      </c>
      <c r="B6630" s="12">
        <f>IFERROR(__xludf.DUMMYFUNCTION("""COMPUTED_VALUE"""),45142.0)</f>
        <v>45142</v>
      </c>
      <c r="C6630" s="13">
        <f>IFERROR(__xludf.DUMMYFUNCTION("""COMPUTED_VALUE"""),0.25)</f>
        <v>0.25</v>
      </c>
      <c r="D6630" s="8">
        <f>IFERROR(__xludf.DUMMYFUNCTION("""COMPUTED_VALUE"""),0.082)</f>
        <v>0.082</v>
      </c>
      <c r="E6630" s="8" t="str">
        <f>IFERROR(__xludf.DUMMYFUNCTION("""COMPUTED_VALUE"""),"Real")</f>
        <v>Real</v>
      </c>
      <c r="G6630" s="8">
        <f t="shared" si="1"/>
        <v>8</v>
      </c>
      <c r="H6630" s="14">
        <f t="shared" si="2"/>
        <v>4</v>
      </c>
      <c r="I6630" s="15">
        <f t="shared" si="3"/>
        <v>6</v>
      </c>
    </row>
    <row r="6631">
      <c r="A6631" s="8" t="str">
        <f>IFERROR(__xludf.DUMMYFUNCTION("IF('(INGESTA)Datos_consumo_datadis'!A6631&lt;&gt;"""",SPLIT('(INGESTA)Datos_consumo_datadis'!A:A,"",""),"""")"),"ES0031408323131005HX0F")</f>
        <v>ES0031408323131005HX0F</v>
      </c>
      <c r="B6631" s="12">
        <f>IFERROR(__xludf.DUMMYFUNCTION("""COMPUTED_VALUE"""),45142.0)</f>
        <v>45142</v>
      </c>
      <c r="C6631" s="13">
        <f>IFERROR(__xludf.DUMMYFUNCTION("""COMPUTED_VALUE"""),0.2916666666666667)</f>
        <v>0.2916666667</v>
      </c>
      <c r="D6631" s="8">
        <f>IFERROR(__xludf.DUMMYFUNCTION("""COMPUTED_VALUE"""),0.07)</f>
        <v>0.07</v>
      </c>
      <c r="E6631" s="8" t="str">
        <f>IFERROR(__xludf.DUMMYFUNCTION("""COMPUTED_VALUE"""),"Real")</f>
        <v>Real</v>
      </c>
      <c r="G6631" s="8">
        <f t="shared" si="1"/>
        <v>8</v>
      </c>
      <c r="H6631" s="14">
        <f t="shared" si="2"/>
        <v>4</v>
      </c>
      <c r="I6631" s="15">
        <f t="shared" si="3"/>
        <v>7</v>
      </c>
    </row>
    <row r="6632">
      <c r="A6632" s="8" t="str">
        <f>IFERROR(__xludf.DUMMYFUNCTION("IF('(INGESTA)Datos_consumo_datadis'!A6632&lt;&gt;"""",SPLIT('(INGESTA)Datos_consumo_datadis'!A:A,"",""),"""")"),"ES0031408323131005HX0F")</f>
        <v>ES0031408323131005HX0F</v>
      </c>
      <c r="B6632" s="12">
        <f>IFERROR(__xludf.DUMMYFUNCTION("""COMPUTED_VALUE"""),45142.0)</f>
        <v>45142</v>
      </c>
      <c r="C6632" s="13">
        <f>IFERROR(__xludf.DUMMYFUNCTION("""COMPUTED_VALUE"""),0.3333333333333333)</f>
        <v>0.3333333333</v>
      </c>
      <c r="D6632" s="8">
        <f>IFERROR(__xludf.DUMMYFUNCTION("""COMPUTED_VALUE"""),0.066)</f>
        <v>0.066</v>
      </c>
      <c r="E6632" s="8" t="str">
        <f>IFERROR(__xludf.DUMMYFUNCTION("""COMPUTED_VALUE"""),"Real")</f>
        <v>Real</v>
      </c>
      <c r="G6632" s="8">
        <f t="shared" si="1"/>
        <v>8</v>
      </c>
      <c r="H6632" s="14">
        <f t="shared" si="2"/>
        <v>4</v>
      </c>
      <c r="I6632" s="15">
        <f t="shared" si="3"/>
        <v>8</v>
      </c>
    </row>
    <row r="6633">
      <c r="A6633" s="8" t="str">
        <f>IFERROR(__xludf.DUMMYFUNCTION("IF('(INGESTA)Datos_consumo_datadis'!A6633&lt;&gt;"""",SPLIT('(INGESTA)Datos_consumo_datadis'!A:A,"",""),"""")"),"ES0031408323131005HX0F")</f>
        <v>ES0031408323131005HX0F</v>
      </c>
      <c r="B6633" s="12">
        <f>IFERROR(__xludf.DUMMYFUNCTION("""COMPUTED_VALUE"""),45142.0)</f>
        <v>45142</v>
      </c>
      <c r="C6633" s="13">
        <f>IFERROR(__xludf.DUMMYFUNCTION("""COMPUTED_VALUE"""),0.375)</f>
        <v>0.375</v>
      </c>
      <c r="D6633" s="8">
        <f>IFERROR(__xludf.DUMMYFUNCTION("""COMPUTED_VALUE"""),0.273)</f>
        <v>0.273</v>
      </c>
      <c r="E6633" s="8" t="str">
        <f>IFERROR(__xludf.DUMMYFUNCTION("""COMPUTED_VALUE"""),"Real")</f>
        <v>Real</v>
      </c>
      <c r="G6633" s="8">
        <f t="shared" si="1"/>
        <v>8</v>
      </c>
      <c r="H6633" s="14">
        <f t="shared" si="2"/>
        <v>4</v>
      </c>
      <c r="I6633" s="15">
        <f t="shared" si="3"/>
        <v>9</v>
      </c>
    </row>
    <row r="6634">
      <c r="A6634" s="8" t="str">
        <f>IFERROR(__xludf.DUMMYFUNCTION("IF('(INGESTA)Datos_consumo_datadis'!A6634&lt;&gt;"""",SPLIT('(INGESTA)Datos_consumo_datadis'!A:A,"",""),"""")"),"ES0031408323131005HX0F")</f>
        <v>ES0031408323131005HX0F</v>
      </c>
      <c r="B6634" s="12">
        <f>IFERROR(__xludf.DUMMYFUNCTION("""COMPUTED_VALUE"""),45142.0)</f>
        <v>45142</v>
      </c>
      <c r="C6634" s="13">
        <f>IFERROR(__xludf.DUMMYFUNCTION("""COMPUTED_VALUE"""),0.4166666666666667)</f>
        <v>0.4166666667</v>
      </c>
      <c r="D6634" s="8">
        <f>IFERROR(__xludf.DUMMYFUNCTION("""COMPUTED_VALUE"""),0.265)</f>
        <v>0.265</v>
      </c>
      <c r="E6634" s="8" t="str">
        <f>IFERROR(__xludf.DUMMYFUNCTION("""COMPUTED_VALUE"""),"Real")</f>
        <v>Real</v>
      </c>
      <c r="G6634" s="8">
        <f t="shared" si="1"/>
        <v>8</v>
      </c>
      <c r="H6634" s="14">
        <f t="shared" si="2"/>
        <v>4</v>
      </c>
      <c r="I6634" s="15">
        <f t="shared" si="3"/>
        <v>10</v>
      </c>
    </row>
    <row r="6635">
      <c r="A6635" s="8" t="str">
        <f>IFERROR(__xludf.DUMMYFUNCTION("IF('(INGESTA)Datos_consumo_datadis'!A6635&lt;&gt;"""",SPLIT('(INGESTA)Datos_consumo_datadis'!A:A,"",""),"""")"),"ES0031408323131005HX0F")</f>
        <v>ES0031408323131005HX0F</v>
      </c>
      <c r="B6635" s="12">
        <f>IFERROR(__xludf.DUMMYFUNCTION("""COMPUTED_VALUE"""),45142.0)</f>
        <v>45142</v>
      </c>
      <c r="C6635" s="13">
        <f>IFERROR(__xludf.DUMMYFUNCTION("""COMPUTED_VALUE"""),0.4583333333333333)</f>
        <v>0.4583333333</v>
      </c>
      <c r="D6635" s="8">
        <f>IFERROR(__xludf.DUMMYFUNCTION("""COMPUTED_VALUE"""),0.4)</f>
        <v>0.4</v>
      </c>
      <c r="E6635" s="8" t="str">
        <f>IFERROR(__xludf.DUMMYFUNCTION("""COMPUTED_VALUE"""),"Real")</f>
        <v>Real</v>
      </c>
      <c r="G6635" s="8">
        <f t="shared" si="1"/>
        <v>8</v>
      </c>
      <c r="H6635" s="14">
        <f t="shared" si="2"/>
        <v>4</v>
      </c>
      <c r="I6635" s="15">
        <f t="shared" si="3"/>
        <v>11</v>
      </c>
    </row>
    <row r="6636">
      <c r="A6636" s="8" t="str">
        <f>IFERROR(__xludf.DUMMYFUNCTION("IF('(INGESTA)Datos_consumo_datadis'!A6636&lt;&gt;"""",SPLIT('(INGESTA)Datos_consumo_datadis'!A:A,"",""),"""")"),"ES0031408323131005HX0F")</f>
        <v>ES0031408323131005HX0F</v>
      </c>
      <c r="B6636" s="12">
        <f>IFERROR(__xludf.DUMMYFUNCTION("""COMPUTED_VALUE"""),45142.0)</f>
        <v>45142</v>
      </c>
      <c r="C6636" s="13">
        <f>IFERROR(__xludf.DUMMYFUNCTION("""COMPUTED_VALUE"""),0.5)</f>
        <v>0.5</v>
      </c>
      <c r="D6636" s="8">
        <f>IFERROR(__xludf.DUMMYFUNCTION("""COMPUTED_VALUE"""),1.252)</f>
        <v>1.252</v>
      </c>
      <c r="E6636" s="8" t="str">
        <f>IFERROR(__xludf.DUMMYFUNCTION("""COMPUTED_VALUE"""),"Real")</f>
        <v>Real</v>
      </c>
      <c r="G6636" s="8">
        <f t="shared" si="1"/>
        <v>8</v>
      </c>
      <c r="H6636" s="14">
        <f t="shared" si="2"/>
        <v>4</v>
      </c>
      <c r="I6636" s="15">
        <f t="shared" si="3"/>
        <v>12</v>
      </c>
    </row>
    <row r="6637">
      <c r="A6637" s="8" t="str">
        <f>IFERROR(__xludf.DUMMYFUNCTION("IF('(INGESTA)Datos_consumo_datadis'!A6637&lt;&gt;"""",SPLIT('(INGESTA)Datos_consumo_datadis'!A:A,"",""),"""")"),"ES0031408323131005HX0F")</f>
        <v>ES0031408323131005HX0F</v>
      </c>
      <c r="B6637" s="12">
        <f>IFERROR(__xludf.DUMMYFUNCTION("""COMPUTED_VALUE"""),45142.0)</f>
        <v>45142</v>
      </c>
      <c r="C6637" s="13">
        <f>IFERROR(__xludf.DUMMYFUNCTION("""COMPUTED_VALUE"""),0.5416666666666666)</f>
        <v>0.5416666667</v>
      </c>
      <c r="D6637" s="8">
        <f>IFERROR(__xludf.DUMMYFUNCTION("""COMPUTED_VALUE"""),0.095)</f>
        <v>0.095</v>
      </c>
      <c r="E6637" s="8" t="str">
        <f>IFERROR(__xludf.DUMMYFUNCTION("""COMPUTED_VALUE"""),"Real")</f>
        <v>Real</v>
      </c>
      <c r="G6637" s="8">
        <f t="shared" si="1"/>
        <v>8</v>
      </c>
      <c r="H6637" s="14">
        <f t="shared" si="2"/>
        <v>4</v>
      </c>
      <c r="I6637" s="15">
        <f t="shared" si="3"/>
        <v>13</v>
      </c>
    </row>
    <row r="6638">
      <c r="A6638" s="8" t="str">
        <f>IFERROR(__xludf.DUMMYFUNCTION("IF('(INGESTA)Datos_consumo_datadis'!A6638&lt;&gt;"""",SPLIT('(INGESTA)Datos_consumo_datadis'!A:A,"",""),"""")"),"ES0031408323131005HX0F")</f>
        <v>ES0031408323131005HX0F</v>
      </c>
      <c r="B6638" s="12">
        <f>IFERROR(__xludf.DUMMYFUNCTION("""COMPUTED_VALUE"""),45142.0)</f>
        <v>45142</v>
      </c>
      <c r="C6638" s="13">
        <f>IFERROR(__xludf.DUMMYFUNCTION("""COMPUTED_VALUE"""),0.5833333333333334)</f>
        <v>0.5833333333</v>
      </c>
      <c r="D6638" s="8">
        <f>IFERROR(__xludf.DUMMYFUNCTION("""COMPUTED_VALUE"""),0.126)</f>
        <v>0.126</v>
      </c>
      <c r="E6638" s="8" t="str">
        <f>IFERROR(__xludf.DUMMYFUNCTION("""COMPUTED_VALUE"""),"Real")</f>
        <v>Real</v>
      </c>
      <c r="G6638" s="8">
        <f t="shared" si="1"/>
        <v>8</v>
      </c>
      <c r="H6638" s="14">
        <f t="shared" si="2"/>
        <v>4</v>
      </c>
      <c r="I6638" s="15">
        <f t="shared" si="3"/>
        <v>14</v>
      </c>
    </row>
    <row r="6639">
      <c r="A6639" s="8" t="str">
        <f>IFERROR(__xludf.DUMMYFUNCTION("IF('(INGESTA)Datos_consumo_datadis'!A6639&lt;&gt;"""",SPLIT('(INGESTA)Datos_consumo_datadis'!A:A,"",""),"""")"),"ES0031408323131005HX0F")</f>
        <v>ES0031408323131005HX0F</v>
      </c>
      <c r="B6639" s="12">
        <f>IFERROR(__xludf.DUMMYFUNCTION("""COMPUTED_VALUE"""),45142.0)</f>
        <v>45142</v>
      </c>
      <c r="C6639" s="13">
        <f>IFERROR(__xludf.DUMMYFUNCTION("""COMPUTED_VALUE"""),0.625)</f>
        <v>0.625</v>
      </c>
      <c r="D6639" s="8">
        <f>IFERROR(__xludf.DUMMYFUNCTION("""COMPUTED_VALUE"""),0.293)</f>
        <v>0.293</v>
      </c>
      <c r="E6639" s="8" t="str">
        <f>IFERROR(__xludf.DUMMYFUNCTION("""COMPUTED_VALUE"""),"Real")</f>
        <v>Real</v>
      </c>
      <c r="G6639" s="8">
        <f t="shared" si="1"/>
        <v>8</v>
      </c>
      <c r="H6639" s="14">
        <f t="shared" si="2"/>
        <v>4</v>
      </c>
      <c r="I6639" s="15">
        <f t="shared" si="3"/>
        <v>15</v>
      </c>
    </row>
    <row r="6640">
      <c r="A6640" s="8" t="str">
        <f>IFERROR(__xludf.DUMMYFUNCTION("IF('(INGESTA)Datos_consumo_datadis'!A6640&lt;&gt;"""",SPLIT('(INGESTA)Datos_consumo_datadis'!A:A,"",""),"""")"),"ES0031408323131005HX0F")</f>
        <v>ES0031408323131005HX0F</v>
      </c>
      <c r="B6640" s="12">
        <f>IFERROR(__xludf.DUMMYFUNCTION("""COMPUTED_VALUE"""),45142.0)</f>
        <v>45142</v>
      </c>
      <c r="C6640" s="13">
        <f>IFERROR(__xludf.DUMMYFUNCTION("""COMPUTED_VALUE"""),0.6666666666666666)</f>
        <v>0.6666666667</v>
      </c>
      <c r="D6640" s="8">
        <f>IFERROR(__xludf.DUMMYFUNCTION("""COMPUTED_VALUE"""),0.468)</f>
        <v>0.468</v>
      </c>
      <c r="E6640" s="8" t="str">
        <f>IFERROR(__xludf.DUMMYFUNCTION("""COMPUTED_VALUE"""),"Real")</f>
        <v>Real</v>
      </c>
      <c r="G6640" s="8">
        <f t="shared" si="1"/>
        <v>8</v>
      </c>
      <c r="H6640" s="14">
        <f t="shared" si="2"/>
        <v>4</v>
      </c>
      <c r="I6640" s="15">
        <f t="shared" si="3"/>
        <v>16</v>
      </c>
    </row>
    <row r="6641">
      <c r="A6641" s="8" t="str">
        <f>IFERROR(__xludf.DUMMYFUNCTION("IF('(INGESTA)Datos_consumo_datadis'!A6641&lt;&gt;"""",SPLIT('(INGESTA)Datos_consumo_datadis'!A:A,"",""),"""")"),"ES0031408323131005HX0F")</f>
        <v>ES0031408323131005HX0F</v>
      </c>
      <c r="B6641" s="12">
        <f>IFERROR(__xludf.DUMMYFUNCTION("""COMPUTED_VALUE"""),45142.0)</f>
        <v>45142</v>
      </c>
      <c r="C6641" s="13">
        <f>IFERROR(__xludf.DUMMYFUNCTION("""COMPUTED_VALUE"""),0.7083333333333334)</f>
        <v>0.7083333333</v>
      </c>
      <c r="D6641" s="8">
        <f>IFERROR(__xludf.DUMMYFUNCTION("""COMPUTED_VALUE"""),0.369)</f>
        <v>0.369</v>
      </c>
      <c r="E6641" s="8" t="str">
        <f>IFERROR(__xludf.DUMMYFUNCTION("""COMPUTED_VALUE"""),"Real")</f>
        <v>Real</v>
      </c>
      <c r="G6641" s="8">
        <f t="shared" si="1"/>
        <v>8</v>
      </c>
      <c r="H6641" s="14">
        <f t="shared" si="2"/>
        <v>4</v>
      </c>
      <c r="I6641" s="15">
        <f t="shared" si="3"/>
        <v>17</v>
      </c>
    </row>
    <row r="6642">
      <c r="A6642" s="8" t="str">
        <f>IFERROR(__xludf.DUMMYFUNCTION("IF('(INGESTA)Datos_consumo_datadis'!A6642&lt;&gt;"""",SPLIT('(INGESTA)Datos_consumo_datadis'!A:A,"",""),"""")"),"ES0031408323131005HX0F")</f>
        <v>ES0031408323131005HX0F</v>
      </c>
      <c r="B6642" s="12">
        <f>IFERROR(__xludf.DUMMYFUNCTION("""COMPUTED_VALUE"""),45142.0)</f>
        <v>45142</v>
      </c>
      <c r="C6642" s="13">
        <f>IFERROR(__xludf.DUMMYFUNCTION("""COMPUTED_VALUE"""),0.75)</f>
        <v>0.75</v>
      </c>
      <c r="D6642" s="8">
        <f>IFERROR(__xludf.DUMMYFUNCTION("""COMPUTED_VALUE"""),0.119)</f>
        <v>0.119</v>
      </c>
      <c r="E6642" s="8" t="str">
        <f>IFERROR(__xludf.DUMMYFUNCTION("""COMPUTED_VALUE"""),"Real")</f>
        <v>Real</v>
      </c>
      <c r="G6642" s="8">
        <f t="shared" si="1"/>
        <v>8</v>
      </c>
      <c r="H6642" s="14">
        <f t="shared" si="2"/>
        <v>4</v>
      </c>
      <c r="I6642" s="15">
        <f t="shared" si="3"/>
        <v>18</v>
      </c>
    </row>
    <row r="6643">
      <c r="A6643" s="8" t="str">
        <f>IFERROR(__xludf.DUMMYFUNCTION("IF('(INGESTA)Datos_consumo_datadis'!A6643&lt;&gt;"""",SPLIT('(INGESTA)Datos_consumo_datadis'!A:A,"",""),"""")"),"ES0031408323131005HX0F")</f>
        <v>ES0031408323131005HX0F</v>
      </c>
      <c r="B6643" s="12">
        <f>IFERROR(__xludf.DUMMYFUNCTION("""COMPUTED_VALUE"""),45142.0)</f>
        <v>45142</v>
      </c>
      <c r="C6643" s="13">
        <f>IFERROR(__xludf.DUMMYFUNCTION("""COMPUTED_VALUE"""),0.7916666666666666)</f>
        <v>0.7916666667</v>
      </c>
      <c r="D6643" s="8">
        <f>IFERROR(__xludf.DUMMYFUNCTION("""COMPUTED_VALUE"""),0.102)</f>
        <v>0.102</v>
      </c>
      <c r="E6643" s="8" t="str">
        <f>IFERROR(__xludf.DUMMYFUNCTION("""COMPUTED_VALUE"""),"Real")</f>
        <v>Real</v>
      </c>
      <c r="G6643" s="8">
        <f t="shared" si="1"/>
        <v>8</v>
      </c>
      <c r="H6643" s="14">
        <f t="shared" si="2"/>
        <v>4</v>
      </c>
      <c r="I6643" s="15">
        <f t="shared" si="3"/>
        <v>19</v>
      </c>
    </row>
    <row r="6644">
      <c r="A6644" s="8" t="str">
        <f>IFERROR(__xludf.DUMMYFUNCTION("IF('(INGESTA)Datos_consumo_datadis'!A6644&lt;&gt;"""",SPLIT('(INGESTA)Datos_consumo_datadis'!A:A,"",""),"""")"),"ES0031408323131005HX0F")</f>
        <v>ES0031408323131005HX0F</v>
      </c>
      <c r="B6644" s="12">
        <f>IFERROR(__xludf.DUMMYFUNCTION("""COMPUTED_VALUE"""),45142.0)</f>
        <v>45142</v>
      </c>
      <c r="C6644" s="13">
        <f>IFERROR(__xludf.DUMMYFUNCTION("""COMPUTED_VALUE"""),0.8333333333333334)</f>
        <v>0.8333333333</v>
      </c>
      <c r="D6644" s="8">
        <f>IFERROR(__xludf.DUMMYFUNCTION("""COMPUTED_VALUE"""),0.117)</f>
        <v>0.117</v>
      </c>
      <c r="E6644" s="8" t="str">
        <f>IFERROR(__xludf.DUMMYFUNCTION("""COMPUTED_VALUE"""),"Real")</f>
        <v>Real</v>
      </c>
      <c r="G6644" s="8">
        <f t="shared" si="1"/>
        <v>8</v>
      </c>
      <c r="H6644" s="14">
        <f t="shared" si="2"/>
        <v>4</v>
      </c>
      <c r="I6644" s="15">
        <f t="shared" si="3"/>
        <v>20</v>
      </c>
    </row>
    <row r="6645">
      <c r="A6645" s="8" t="str">
        <f>IFERROR(__xludf.DUMMYFUNCTION("IF('(INGESTA)Datos_consumo_datadis'!A6645&lt;&gt;"""",SPLIT('(INGESTA)Datos_consumo_datadis'!A:A,"",""),"""")"),"ES0031408323131005HX0F")</f>
        <v>ES0031408323131005HX0F</v>
      </c>
      <c r="B6645" s="12">
        <f>IFERROR(__xludf.DUMMYFUNCTION("""COMPUTED_VALUE"""),45142.0)</f>
        <v>45142</v>
      </c>
      <c r="C6645" s="13">
        <f>IFERROR(__xludf.DUMMYFUNCTION("""COMPUTED_VALUE"""),0.875)</f>
        <v>0.875</v>
      </c>
      <c r="D6645" s="8">
        <f>IFERROR(__xludf.DUMMYFUNCTION("""COMPUTED_VALUE"""),0.279)</f>
        <v>0.279</v>
      </c>
      <c r="E6645" s="8" t="str">
        <f>IFERROR(__xludf.DUMMYFUNCTION("""COMPUTED_VALUE"""),"Real")</f>
        <v>Real</v>
      </c>
      <c r="G6645" s="8">
        <f t="shared" si="1"/>
        <v>8</v>
      </c>
      <c r="H6645" s="14">
        <f t="shared" si="2"/>
        <v>4</v>
      </c>
      <c r="I6645" s="15">
        <f t="shared" si="3"/>
        <v>21</v>
      </c>
    </row>
    <row r="6646">
      <c r="A6646" s="8" t="str">
        <f>IFERROR(__xludf.DUMMYFUNCTION("IF('(INGESTA)Datos_consumo_datadis'!A6646&lt;&gt;"""",SPLIT('(INGESTA)Datos_consumo_datadis'!A:A,"",""),"""")"),"ES0031408323131005HX0F")</f>
        <v>ES0031408323131005HX0F</v>
      </c>
      <c r="B6646" s="12">
        <f>IFERROR(__xludf.DUMMYFUNCTION("""COMPUTED_VALUE"""),45142.0)</f>
        <v>45142</v>
      </c>
      <c r="C6646" s="13">
        <f>IFERROR(__xludf.DUMMYFUNCTION("""COMPUTED_VALUE"""),0.9166666666666666)</f>
        <v>0.9166666667</v>
      </c>
      <c r="D6646" s="8">
        <f>IFERROR(__xludf.DUMMYFUNCTION("""COMPUTED_VALUE"""),0.116)</f>
        <v>0.116</v>
      </c>
      <c r="E6646" s="8" t="str">
        <f>IFERROR(__xludf.DUMMYFUNCTION("""COMPUTED_VALUE"""),"Real")</f>
        <v>Real</v>
      </c>
      <c r="G6646" s="8">
        <f t="shared" si="1"/>
        <v>8</v>
      </c>
      <c r="H6646" s="14">
        <f t="shared" si="2"/>
        <v>4</v>
      </c>
      <c r="I6646" s="15">
        <f t="shared" si="3"/>
        <v>22</v>
      </c>
    </row>
    <row r="6647">
      <c r="A6647" s="8" t="str">
        <f>IFERROR(__xludf.DUMMYFUNCTION("IF('(INGESTA)Datos_consumo_datadis'!A6647&lt;&gt;"""",SPLIT('(INGESTA)Datos_consumo_datadis'!A:A,"",""),"""")"),"ES0031408323131005HX0F")</f>
        <v>ES0031408323131005HX0F</v>
      </c>
      <c r="B6647" s="12">
        <f>IFERROR(__xludf.DUMMYFUNCTION("""COMPUTED_VALUE"""),45142.0)</f>
        <v>45142</v>
      </c>
      <c r="C6647" s="13">
        <f>IFERROR(__xludf.DUMMYFUNCTION("""COMPUTED_VALUE"""),0.9583333333333334)</f>
        <v>0.9583333333</v>
      </c>
      <c r="D6647" s="8">
        <f>IFERROR(__xludf.DUMMYFUNCTION("""COMPUTED_VALUE"""),0.784)</f>
        <v>0.784</v>
      </c>
      <c r="E6647" s="8" t="str">
        <f>IFERROR(__xludf.DUMMYFUNCTION("""COMPUTED_VALUE"""),"Real")</f>
        <v>Real</v>
      </c>
      <c r="G6647" s="8">
        <f t="shared" si="1"/>
        <v>8</v>
      </c>
      <c r="H6647" s="14">
        <f t="shared" si="2"/>
        <v>4</v>
      </c>
      <c r="I6647" s="15">
        <f t="shared" si="3"/>
        <v>23</v>
      </c>
    </row>
    <row r="6648">
      <c r="A6648" s="8" t="str">
        <f>IFERROR(__xludf.DUMMYFUNCTION("IF('(INGESTA)Datos_consumo_datadis'!A6648&lt;&gt;"""",SPLIT('(INGESTA)Datos_consumo_datadis'!A:A,"",""),"""")"),"ES0031408323131005HX0F")</f>
        <v>ES0031408323131005HX0F</v>
      </c>
      <c r="B6648" s="12">
        <f>IFERROR(__xludf.DUMMYFUNCTION("""COMPUTED_VALUE"""),45142.0)</f>
        <v>45142</v>
      </c>
      <c r="C6648" s="16">
        <f>IFERROR(__xludf.DUMMYFUNCTION("""COMPUTED_VALUE"""),1.0)</f>
        <v>1</v>
      </c>
      <c r="D6648" s="8">
        <f>IFERROR(__xludf.DUMMYFUNCTION("""COMPUTED_VALUE"""),0.276)</f>
        <v>0.276</v>
      </c>
      <c r="E6648" s="8" t="str">
        <f>IFERROR(__xludf.DUMMYFUNCTION("""COMPUTED_VALUE"""),"Real")</f>
        <v>Real</v>
      </c>
      <c r="G6648" s="8">
        <f t="shared" si="1"/>
        <v>8</v>
      </c>
      <c r="H6648" s="14">
        <f t="shared" si="2"/>
        <v>4</v>
      </c>
      <c r="I6648" s="15">
        <f t="shared" si="3"/>
        <v>0</v>
      </c>
    </row>
    <row r="6649">
      <c r="A6649" s="8" t="str">
        <f>IFERROR(__xludf.DUMMYFUNCTION("IF('(INGESTA)Datos_consumo_datadis'!A6649&lt;&gt;"""",SPLIT('(INGESTA)Datos_consumo_datadis'!A:A,"",""),"""")"),"ES0031408323131005HX0F")</f>
        <v>ES0031408323131005HX0F</v>
      </c>
      <c r="B6649" s="12">
        <f>IFERROR(__xludf.DUMMYFUNCTION("""COMPUTED_VALUE"""),45143.0)</f>
        <v>45143</v>
      </c>
      <c r="C6649" s="13">
        <f>IFERROR(__xludf.DUMMYFUNCTION("""COMPUTED_VALUE"""),0.041666666666666664)</f>
        <v>0.04166666667</v>
      </c>
      <c r="D6649" s="8">
        <f>IFERROR(__xludf.DUMMYFUNCTION("""COMPUTED_VALUE"""),0.375)</f>
        <v>0.375</v>
      </c>
      <c r="E6649" s="8" t="str">
        <f>IFERROR(__xludf.DUMMYFUNCTION("""COMPUTED_VALUE"""),"Real")</f>
        <v>Real</v>
      </c>
      <c r="G6649" s="8">
        <f t="shared" si="1"/>
        <v>8</v>
      </c>
      <c r="H6649" s="14">
        <f t="shared" si="2"/>
        <v>5</v>
      </c>
      <c r="I6649" s="15">
        <f t="shared" si="3"/>
        <v>1</v>
      </c>
    </row>
    <row r="6650">
      <c r="A6650" s="8" t="str">
        <f>IFERROR(__xludf.DUMMYFUNCTION("IF('(INGESTA)Datos_consumo_datadis'!A6650&lt;&gt;"""",SPLIT('(INGESTA)Datos_consumo_datadis'!A:A,"",""),"""")"),"ES0031408323131005HX0F")</f>
        <v>ES0031408323131005HX0F</v>
      </c>
      <c r="B6650" s="12">
        <f>IFERROR(__xludf.DUMMYFUNCTION("""COMPUTED_VALUE"""),45143.0)</f>
        <v>45143</v>
      </c>
      <c r="C6650" s="13">
        <f>IFERROR(__xludf.DUMMYFUNCTION("""COMPUTED_VALUE"""),0.08333333333333333)</f>
        <v>0.08333333333</v>
      </c>
      <c r="D6650" s="8">
        <f>IFERROR(__xludf.DUMMYFUNCTION("""COMPUTED_VALUE"""),0.119)</f>
        <v>0.119</v>
      </c>
      <c r="E6650" s="8" t="str">
        <f>IFERROR(__xludf.DUMMYFUNCTION("""COMPUTED_VALUE"""),"Real")</f>
        <v>Real</v>
      </c>
      <c r="G6650" s="8">
        <f t="shared" si="1"/>
        <v>8</v>
      </c>
      <c r="H6650" s="14">
        <f t="shared" si="2"/>
        <v>5</v>
      </c>
      <c r="I6650" s="15">
        <f t="shared" si="3"/>
        <v>2</v>
      </c>
    </row>
    <row r="6651">
      <c r="A6651" s="8" t="str">
        <f>IFERROR(__xludf.DUMMYFUNCTION("IF('(INGESTA)Datos_consumo_datadis'!A6651&lt;&gt;"""",SPLIT('(INGESTA)Datos_consumo_datadis'!A:A,"",""),"""")"),"ES0031408323131005HX0F")</f>
        <v>ES0031408323131005HX0F</v>
      </c>
      <c r="B6651" s="12">
        <f>IFERROR(__xludf.DUMMYFUNCTION("""COMPUTED_VALUE"""),45143.0)</f>
        <v>45143</v>
      </c>
      <c r="C6651" s="13">
        <f>IFERROR(__xludf.DUMMYFUNCTION("""COMPUTED_VALUE"""),0.125)</f>
        <v>0.125</v>
      </c>
      <c r="D6651" s="8">
        <f>IFERROR(__xludf.DUMMYFUNCTION("""COMPUTED_VALUE"""),0.136)</f>
        <v>0.136</v>
      </c>
      <c r="E6651" s="8" t="str">
        <f>IFERROR(__xludf.DUMMYFUNCTION("""COMPUTED_VALUE"""),"Real")</f>
        <v>Real</v>
      </c>
      <c r="G6651" s="8">
        <f t="shared" si="1"/>
        <v>8</v>
      </c>
      <c r="H6651" s="14">
        <f t="shared" si="2"/>
        <v>5</v>
      </c>
      <c r="I6651" s="15">
        <f t="shared" si="3"/>
        <v>3</v>
      </c>
    </row>
    <row r="6652">
      <c r="A6652" s="8" t="str">
        <f>IFERROR(__xludf.DUMMYFUNCTION("IF('(INGESTA)Datos_consumo_datadis'!A6652&lt;&gt;"""",SPLIT('(INGESTA)Datos_consumo_datadis'!A:A,"",""),"""")"),"ES0031408323131005HX0F")</f>
        <v>ES0031408323131005HX0F</v>
      </c>
      <c r="B6652" s="12">
        <f>IFERROR(__xludf.DUMMYFUNCTION("""COMPUTED_VALUE"""),45143.0)</f>
        <v>45143</v>
      </c>
      <c r="C6652" s="13">
        <f>IFERROR(__xludf.DUMMYFUNCTION("""COMPUTED_VALUE"""),0.16666666666666666)</f>
        <v>0.1666666667</v>
      </c>
      <c r="D6652" s="8">
        <f>IFERROR(__xludf.DUMMYFUNCTION("""COMPUTED_VALUE"""),0.125)</f>
        <v>0.125</v>
      </c>
      <c r="E6652" s="8" t="str">
        <f>IFERROR(__xludf.DUMMYFUNCTION("""COMPUTED_VALUE"""),"Real")</f>
        <v>Real</v>
      </c>
      <c r="G6652" s="8">
        <f t="shared" si="1"/>
        <v>8</v>
      </c>
      <c r="H6652" s="14">
        <f t="shared" si="2"/>
        <v>5</v>
      </c>
      <c r="I6652" s="15">
        <f t="shared" si="3"/>
        <v>4</v>
      </c>
    </row>
    <row r="6653">
      <c r="A6653" s="8" t="str">
        <f>IFERROR(__xludf.DUMMYFUNCTION("IF('(INGESTA)Datos_consumo_datadis'!A6653&lt;&gt;"""",SPLIT('(INGESTA)Datos_consumo_datadis'!A:A,"",""),"""")"),"ES0031408323131005HX0F")</f>
        <v>ES0031408323131005HX0F</v>
      </c>
      <c r="B6653" s="12">
        <f>IFERROR(__xludf.DUMMYFUNCTION("""COMPUTED_VALUE"""),45143.0)</f>
        <v>45143</v>
      </c>
      <c r="C6653" s="13">
        <f>IFERROR(__xludf.DUMMYFUNCTION("""COMPUTED_VALUE"""),0.20833333333333334)</f>
        <v>0.2083333333</v>
      </c>
      <c r="D6653" s="8">
        <f>IFERROR(__xludf.DUMMYFUNCTION("""COMPUTED_VALUE"""),0.048)</f>
        <v>0.048</v>
      </c>
      <c r="E6653" s="8" t="str">
        <f>IFERROR(__xludf.DUMMYFUNCTION("""COMPUTED_VALUE"""),"Real")</f>
        <v>Real</v>
      </c>
      <c r="G6653" s="8">
        <f t="shared" si="1"/>
        <v>8</v>
      </c>
      <c r="H6653" s="14">
        <f t="shared" si="2"/>
        <v>5</v>
      </c>
      <c r="I6653" s="15">
        <f t="shared" si="3"/>
        <v>5</v>
      </c>
    </row>
    <row r="6654">
      <c r="A6654" s="8" t="str">
        <f>IFERROR(__xludf.DUMMYFUNCTION("IF('(INGESTA)Datos_consumo_datadis'!A6654&lt;&gt;"""",SPLIT('(INGESTA)Datos_consumo_datadis'!A:A,"",""),"""")"),"ES0031408323131005HX0F")</f>
        <v>ES0031408323131005HX0F</v>
      </c>
      <c r="B6654" s="12">
        <f>IFERROR(__xludf.DUMMYFUNCTION("""COMPUTED_VALUE"""),45143.0)</f>
        <v>45143</v>
      </c>
      <c r="C6654" s="13">
        <f>IFERROR(__xludf.DUMMYFUNCTION("""COMPUTED_VALUE"""),0.25)</f>
        <v>0.25</v>
      </c>
      <c r="D6654" s="8">
        <f>IFERROR(__xludf.DUMMYFUNCTION("""COMPUTED_VALUE"""),0.053)</f>
        <v>0.053</v>
      </c>
      <c r="E6654" s="8" t="str">
        <f>IFERROR(__xludf.DUMMYFUNCTION("""COMPUTED_VALUE"""),"Real")</f>
        <v>Real</v>
      </c>
      <c r="G6654" s="8">
        <f t="shared" si="1"/>
        <v>8</v>
      </c>
      <c r="H6654" s="14">
        <f t="shared" si="2"/>
        <v>5</v>
      </c>
      <c r="I6654" s="15">
        <f t="shared" si="3"/>
        <v>6</v>
      </c>
    </row>
    <row r="6655">
      <c r="A6655" s="8" t="str">
        <f>IFERROR(__xludf.DUMMYFUNCTION("IF('(INGESTA)Datos_consumo_datadis'!A6655&lt;&gt;"""",SPLIT('(INGESTA)Datos_consumo_datadis'!A:A,"",""),"""")"),"ES0031408323131005HX0F")</f>
        <v>ES0031408323131005HX0F</v>
      </c>
      <c r="B6655" s="12">
        <f>IFERROR(__xludf.DUMMYFUNCTION("""COMPUTED_VALUE"""),45143.0)</f>
        <v>45143</v>
      </c>
      <c r="C6655" s="13">
        <f>IFERROR(__xludf.DUMMYFUNCTION("""COMPUTED_VALUE"""),0.2916666666666667)</f>
        <v>0.2916666667</v>
      </c>
      <c r="D6655" s="8">
        <f>IFERROR(__xludf.DUMMYFUNCTION("""COMPUTED_VALUE"""),0.118)</f>
        <v>0.118</v>
      </c>
      <c r="E6655" s="8" t="str">
        <f>IFERROR(__xludf.DUMMYFUNCTION("""COMPUTED_VALUE"""),"Real")</f>
        <v>Real</v>
      </c>
      <c r="G6655" s="8">
        <f t="shared" si="1"/>
        <v>8</v>
      </c>
      <c r="H6655" s="14">
        <f t="shared" si="2"/>
        <v>5</v>
      </c>
      <c r="I6655" s="15">
        <f t="shared" si="3"/>
        <v>7</v>
      </c>
    </row>
    <row r="6656">
      <c r="A6656" s="8" t="str">
        <f>IFERROR(__xludf.DUMMYFUNCTION("IF('(INGESTA)Datos_consumo_datadis'!A6656&lt;&gt;"""",SPLIT('(INGESTA)Datos_consumo_datadis'!A:A,"",""),"""")"),"ES0031408323131005HX0F")</f>
        <v>ES0031408323131005HX0F</v>
      </c>
      <c r="B6656" s="12">
        <f>IFERROR(__xludf.DUMMYFUNCTION("""COMPUTED_VALUE"""),45143.0)</f>
        <v>45143</v>
      </c>
      <c r="C6656" s="13">
        <f>IFERROR(__xludf.DUMMYFUNCTION("""COMPUTED_VALUE"""),0.3333333333333333)</f>
        <v>0.3333333333</v>
      </c>
      <c r="D6656" s="8">
        <f>IFERROR(__xludf.DUMMYFUNCTION("""COMPUTED_VALUE"""),0.325)</f>
        <v>0.325</v>
      </c>
      <c r="E6656" s="8" t="str">
        <f>IFERROR(__xludf.DUMMYFUNCTION("""COMPUTED_VALUE"""),"Real")</f>
        <v>Real</v>
      </c>
      <c r="G6656" s="8">
        <f t="shared" si="1"/>
        <v>8</v>
      </c>
      <c r="H6656" s="14">
        <f t="shared" si="2"/>
        <v>5</v>
      </c>
      <c r="I6656" s="15">
        <f t="shared" si="3"/>
        <v>8</v>
      </c>
    </row>
    <row r="6657">
      <c r="A6657" s="8" t="str">
        <f>IFERROR(__xludf.DUMMYFUNCTION("IF('(INGESTA)Datos_consumo_datadis'!A6657&lt;&gt;"""",SPLIT('(INGESTA)Datos_consumo_datadis'!A:A,"",""),"""")"),"ES0031408323131005HX0F")</f>
        <v>ES0031408323131005HX0F</v>
      </c>
      <c r="B6657" s="12">
        <f>IFERROR(__xludf.DUMMYFUNCTION("""COMPUTED_VALUE"""),45143.0)</f>
        <v>45143</v>
      </c>
      <c r="C6657" s="13">
        <f>IFERROR(__xludf.DUMMYFUNCTION("""COMPUTED_VALUE"""),0.375)</f>
        <v>0.375</v>
      </c>
      <c r="D6657" s="8">
        <f>IFERROR(__xludf.DUMMYFUNCTION("""COMPUTED_VALUE"""),0.115)</f>
        <v>0.115</v>
      </c>
      <c r="E6657" s="8" t="str">
        <f>IFERROR(__xludf.DUMMYFUNCTION("""COMPUTED_VALUE"""),"Real")</f>
        <v>Real</v>
      </c>
      <c r="G6657" s="8">
        <f t="shared" si="1"/>
        <v>8</v>
      </c>
      <c r="H6657" s="14">
        <f t="shared" si="2"/>
        <v>5</v>
      </c>
      <c r="I6657" s="15">
        <f t="shared" si="3"/>
        <v>9</v>
      </c>
    </row>
    <row r="6658">
      <c r="A6658" s="8" t="str">
        <f>IFERROR(__xludf.DUMMYFUNCTION("IF('(INGESTA)Datos_consumo_datadis'!A6658&lt;&gt;"""",SPLIT('(INGESTA)Datos_consumo_datadis'!A:A,"",""),"""")"),"ES0031408323131005HX0F")</f>
        <v>ES0031408323131005HX0F</v>
      </c>
      <c r="B6658" s="12">
        <f>IFERROR(__xludf.DUMMYFUNCTION("""COMPUTED_VALUE"""),45143.0)</f>
        <v>45143</v>
      </c>
      <c r="C6658" s="13">
        <f>IFERROR(__xludf.DUMMYFUNCTION("""COMPUTED_VALUE"""),0.4166666666666667)</f>
        <v>0.4166666667</v>
      </c>
      <c r="D6658" s="8">
        <f>IFERROR(__xludf.DUMMYFUNCTION("""COMPUTED_VALUE"""),0.351)</f>
        <v>0.351</v>
      </c>
      <c r="E6658" s="8" t="str">
        <f>IFERROR(__xludf.DUMMYFUNCTION("""COMPUTED_VALUE"""),"Real")</f>
        <v>Real</v>
      </c>
      <c r="G6658" s="8">
        <f t="shared" si="1"/>
        <v>8</v>
      </c>
      <c r="H6658" s="14">
        <f t="shared" si="2"/>
        <v>5</v>
      </c>
      <c r="I6658" s="15">
        <f t="shared" si="3"/>
        <v>10</v>
      </c>
    </row>
    <row r="6659">
      <c r="A6659" s="8" t="str">
        <f>IFERROR(__xludf.DUMMYFUNCTION("IF('(INGESTA)Datos_consumo_datadis'!A6659&lt;&gt;"""",SPLIT('(INGESTA)Datos_consumo_datadis'!A:A,"",""),"""")"),"ES0031408323131005HX0F")</f>
        <v>ES0031408323131005HX0F</v>
      </c>
      <c r="B6659" s="12">
        <f>IFERROR(__xludf.DUMMYFUNCTION("""COMPUTED_VALUE"""),45143.0)</f>
        <v>45143</v>
      </c>
      <c r="C6659" s="13">
        <f>IFERROR(__xludf.DUMMYFUNCTION("""COMPUTED_VALUE"""),0.4583333333333333)</f>
        <v>0.4583333333</v>
      </c>
      <c r="D6659" s="8">
        <f>IFERROR(__xludf.DUMMYFUNCTION("""COMPUTED_VALUE"""),0.088)</f>
        <v>0.088</v>
      </c>
      <c r="E6659" s="8" t="str">
        <f>IFERROR(__xludf.DUMMYFUNCTION("""COMPUTED_VALUE"""),"Real")</f>
        <v>Real</v>
      </c>
      <c r="G6659" s="8">
        <f t="shared" si="1"/>
        <v>8</v>
      </c>
      <c r="H6659" s="14">
        <f t="shared" si="2"/>
        <v>5</v>
      </c>
      <c r="I6659" s="15">
        <f t="shared" si="3"/>
        <v>11</v>
      </c>
    </row>
    <row r="6660">
      <c r="A6660" s="8" t="str">
        <f>IFERROR(__xludf.DUMMYFUNCTION("IF('(INGESTA)Datos_consumo_datadis'!A6660&lt;&gt;"""",SPLIT('(INGESTA)Datos_consumo_datadis'!A:A,"",""),"""")"),"ES0031408323131005HX0F")</f>
        <v>ES0031408323131005HX0F</v>
      </c>
      <c r="B6660" s="12">
        <f>IFERROR(__xludf.DUMMYFUNCTION("""COMPUTED_VALUE"""),45143.0)</f>
        <v>45143</v>
      </c>
      <c r="C6660" s="13">
        <f>IFERROR(__xludf.DUMMYFUNCTION("""COMPUTED_VALUE"""),0.5)</f>
        <v>0.5</v>
      </c>
      <c r="D6660" s="8">
        <f>IFERROR(__xludf.DUMMYFUNCTION("""COMPUTED_VALUE"""),0.044)</f>
        <v>0.044</v>
      </c>
      <c r="E6660" s="8" t="str">
        <f>IFERROR(__xludf.DUMMYFUNCTION("""COMPUTED_VALUE"""),"Real")</f>
        <v>Real</v>
      </c>
      <c r="G6660" s="8">
        <f t="shared" si="1"/>
        <v>8</v>
      </c>
      <c r="H6660" s="14">
        <f t="shared" si="2"/>
        <v>5</v>
      </c>
      <c r="I6660" s="15">
        <f t="shared" si="3"/>
        <v>12</v>
      </c>
    </row>
    <row r="6661">
      <c r="A6661" s="8" t="str">
        <f>IFERROR(__xludf.DUMMYFUNCTION("IF('(INGESTA)Datos_consumo_datadis'!A6661&lt;&gt;"""",SPLIT('(INGESTA)Datos_consumo_datadis'!A:A,"",""),"""")"),"ES0031408323131005HX0F")</f>
        <v>ES0031408323131005HX0F</v>
      </c>
      <c r="B6661" s="12">
        <f>IFERROR(__xludf.DUMMYFUNCTION("""COMPUTED_VALUE"""),45143.0)</f>
        <v>45143</v>
      </c>
      <c r="C6661" s="13">
        <f>IFERROR(__xludf.DUMMYFUNCTION("""COMPUTED_VALUE"""),0.5416666666666666)</f>
        <v>0.5416666667</v>
      </c>
      <c r="D6661" s="8">
        <f>IFERROR(__xludf.DUMMYFUNCTION("""COMPUTED_VALUE"""),0.112)</f>
        <v>0.112</v>
      </c>
      <c r="E6661" s="8" t="str">
        <f>IFERROR(__xludf.DUMMYFUNCTION("""COMPUTED_VALUE"""),"Real")</f>
        <v>Real</v>
      </c>
      <c r="G6661" s="8">
        <f t="shared" si="1"/>
        <v>8</v>
      </c>
      <c r="H6661" s="14">
        <f t="shared" si="2"/>
        <v>5</v>
      </c>
      <c r="I6661" s="15">
        <f t="shared" si="3"/>
        <v>13</v>
      </c>
    </row>
    <row r="6662">
      <c r="A6662" s="8" t="str">
        <f>IFERROR(__xludf.DUMMYFUNCTION("IF('(INGESTA)Datos_consumo_datadis'!A6662&lt;&gt;"""",SPLIT('(INGESTA)Datos_consumo_datadis'!A:A,"",""),"""")"),"ES0031408323131005HX0F")</f>
        <v>ES0031408323131005HX0F</v>
      </c>
      <c r="B6662" s="12">
        <f>IFERROR(__xludf.DUMMYFUNCTION("""COMPUTED_VALUE"""),45143.0)</f>
        <v>45143</v>
      </c>
      <c r="C6662" s="13">
        <f>IFERROR(__xludf.DUMMYFUNCTION("""COMPUTED_VALUE"""),0.5833333333333334)</f>
        <v>0.5833333333</v>
      </c>
      <c r="D6662" s="8">
        <f>IFERROR(__xludf.DUMMYFUNCTION("""COMPUTED_VALUE"""),0.664)</f>
        <v>0.664</v>
      </c>
      <c r="E6662" s="8" t="str">
        <f>IFERROR(__xludf.DUMMYFUNCTION("""COMPUTED_VALUE"""),"Real")</f>
        <v>Real</v>
      </c>
      <c r="G6662" s="8">
        <f t="shared" si="1"/>
        <v>8</v>
      </c>
      <c r="H6662" s="14">
        <f t="shared" si="2"/>
        <v>5</v>
      </c>
      <c r="I6662" s="15">
        <f t="shared" si="3"/>
        <v>14</v>
      </c>
    </row>
    <row r="6663">
      <c r="A6663" s="8" t="str">
        <f>IFERROR(__xludf.DUMMYFUNCTION("IF('(INGESTA)Datos_consumo_datadis'!A6663&lt;&gt;"""",SPLIT('(INGESTA)Datos_consumo_datadis'!A:A,"",""),"""")"),"ES0031408323131005HX0F")</f>
        <v>ES0031408323131005HX0F</v>
      </c>
      <c r="B6663" s="12">
        <f>IFERROR(__xludf.DUMMYFUNCTION("""COMPUTED_VALUE"""),45143.0)</f>
        <v>45143</v>
      </c>
      <c r="C6663" s="13">
        <f>IFERROR(__xludf.DUMMYFUNCTION("""COMPUTED_VALUE"""),0.625)</f>
        <v>0.625</v>
      </c>
      <c r="D6663" s="8">
        <f>IFERROR(__xludf.DUMMYFUNCTION("""COMPUTED_VALUE"""),0.4)</f>
        <v>0.4</v>
      </c>
      <c r="E6663" s="8" t="str">
        <f>IFERROR(__xludf.DUMMYFUNCTION("""COMPUTED_VALUE"""),"Real")</f>
        <v>Real</v>
      </c>
      <c r="G6663" s="8">
        <f t="shared" si="1"/>
        <v>8</v>
      </c>
      <c r="H6663" s="14">
        <f t="shared" si="2"/>
        <v>5</v>
      </c>
      <c r="I6663" s="15">
        <f t="shared" si="3"/>
        <v>15</v>
      </c>
    </row>
    <row r="6664">
      <c r="A6664" s="8" t="str">
        <f>IFERROR(__xludf.DUMMYFUNCTION("IF('(INGESTA)Datos_consumo_datadis'!A6664&lt;&gt;"""",SPLIT('(INGESTA)Datos_consumo_datadis'!A:A,"",""),"""")"),"ES0031408323131005HX0F")</f>
        <v>ES0031408323131005HX0F</v>
      </c>
      <c r="B6664" s="12">
        <f>IFERROR(__xludf.DUMMYFUNCTION("""COMPUTED_VALUE"""),45143.0)</f>
        <v>45143</v>
      </c>
      <c r="C6664" s="13">
        <f>IFERROR(__xludf.DUMMYFUNCTION("""COMPUTED_VALUE"""),0.6666666666666666)</f>
        <v>0.6666666667</v>
      </c>
      <c r="D6664" s="8">
        <f>IFERROR(__xludf.DUMMYFUNCTION("""COMPUTED_VALUE"""),0.096)</f>
        <v>0.096</v>
      </c>
      <c r="E6664" s="8" t="str">
        <f>IFERROR(__xludf.DUMMYFUNCTION("""COMPUTED_VALUE"""),"Real")</f>
        <v>Real</v>
      </c>
      <c r="G6664" s="8">
        <f t="shared" si="1"/>
        <v>8</v>
      </c>
      <c r="H6664" s="14">
        <f t="shared" si="2"/>
        <v>5</v>
      </c>
      <c r="I6664" s="15">
        <f t="shared" si="3"/>
        <v>16</v>
      </c>
    </row>
    <row r="6665">
      <c r="A6665" s="8" t="str">
        <f>IFERROR(__xludf.DUMMYFUNCTION("IF('(INGESTA)Datos_consumo_datadis'!A6665&lt;&gt;"""",SPLIT('(INGESTA)Datos_consumo_datadis'!A:A,"",""),"""")"),"ES0031408323131005HX0F")</f>
        <v>ES0031408323131005HX0F</v>
      </c>
      <c r="B6665" s="12">
        <f>IFERROR(__xludf.DUMMYFUNCTION("""COMPUTED_VALUE"""),45143.0)</f>
        <v>45143</v>
      </c>
      <c r="C6665" s="13">
        <f>IFERROR(__xludf.DUMMYFUNCTION("""COMPUTED_VALUE"""),0.7083333333333334)</f>
        <v>0.7083333333</v>
      </c>
      <c r="D6665" s="8">
        <f>IFERROR(__xludf.DUMMYFUNCTION("""COMPUTED_VALUE"""),0.178)</f>
        <v>0.178</v>
      </c>
      <c r="E6665" s="8" t="str">
        <f>IFERROR(__xludf.DUMMYFUNCTION("""COMPUTED_VALUE"""),"Real")</f>
        <v>Real</v>
      </c>
      <c r="G6665" s="8">
        <f t="shared" si="1"/>
        <v>8</v>
      </c>
      <c r="H6665" s="14">
        <f t="shared" si="2"/>
        <v>5</v>
      </c>
      <c r="I6665" s="15">
        <f t="shared" si="3"/>
        <v>17</v>
      </c>
    </row>
    <row r="6666">
      <c r="A6666" s="8" t="str">
        <f>IFERROR(__xludf.DUMMYFUNCTION("IF('(INGESTA)Datos_consumo_datadis'!A6666&lt;&gt;"""",SPLIT('(INGESTA)Datos_consumo_datadis'!A:A,"",""),"""")"),"ES0031408323131005HX0F")</f>
        <v>ES0031408323131005HX0F</v>
      </c>
      <c r="B6666" s="12">
        <f>IFERROR(__xludf.DUMMYFUNCTION("""COMPUTED_VALUE"""),45143.0)</f>
        <v>45143</v>
      </c>
      <c r="C6666" s="13">
        <f>IFERROR(__xludf.DUMMYFUNCTION("""COMPUTED_VALUE"""),0.75)</f>
        <v>0.75</v>
      </c>
      <c r="D6666" s="8">
        <f>IFERROR(__xludf.DUMMYFUNCTION("""COMPUTED_VALUE"""),0.129)</f>
        <v>0.129</v>
      </c>
      <c r="E6666" s="8" t="str">
        <f>IFERROR(__xludf.DUMMYFUNCTION("""COMPUTED_VALUE"""),"Real")</f>
        <v>Real</v>
      </c>
      <c r="G6666" s="8">
        <f t="shared" si="1"/>
        <v>8</v>
      </c>
      <c r="H6666" s="14">
        <f t="shared" si="2"/>
        <v>5</v>
      </c>
      <c r="I6666" s="15">
        <f t="shared" si="3"/>
        <v>18</v>
      </c>
    </row>
    <row r="6667">
      <c r="A6667" s="8" t="str">
        <f>IFERROR(__xludf.DUMMYFUNCTION("IF('(INGESTA)Datos_consumo_datadis'!A6667&lt;&gt;"""",SPLIT('(INGESTA)Datos_consumo_datadis'!A:A,"",""),"""")"),"ES0031408323131005HX0F")</f>
        <v>ES0031408323131005HX0F</v>
      </c>
      <c r="B6667" s="12">
        <f>IFERROR(__xludf.DUMMYFUNCTION("""COMPUTED_VALUE"""),45143.0)</f>
        <v>45143</v>
      </c>
      <c r="C6667" s="13">
        <f>IFERROR(__xludf.DUMMYFUNCTION("""COMPUTED_VALUE"""),0.7916666666666666)</f>
        <v>0.7916666667</v>
      </c>
      <c r="D6667" s="8">
        <f>IFERROR(__xludf.DUMMYFUNCTION("""COMPUTED_VALUE"""),0.121)</f>
        <v>0.121</v>
      </c>
      <c r="E6667" s="8" t="str">
        <f>IFERROR(__xludf.DUMMYFUNCTION("""COMPUTED_VALUE"""),"Real")</f>
        <v>Real</v>
      </c>
      <c r="G6667" s="8">
        <f t="shared" si="1"/>
        <v>8</v>
      </c>
      <c r="H6667" s="14">
        <f t="shared" si="2"/>
        <v>5</v>
      </c>
      <c r="I6667" s="15">
        <f t="shared" si="3"/>
        <v>19</v>
      </c>
    </row>
    <row r="6668">
      <c r="A6668" s="8" t="str">
        <f>IFERROR(__xludf.DUMMYFUNCTION("IF('(INGESTA)Datos_consumo_datadis'!A6668&lt;&gt;"""",SPLIT('(INGESTA)Datos_consumo_datadis'!A:A,"",""),"""")"),"ES0031408323131005HX0F")</f>
        <v>ES0031408323131005HX0F</v>
      </c>
      <c r="B6668" s="12">
        <f>IFERROR(__xludf.DUMMYFUNCTION("""COMPUTED_VALUE"""),45143.0)</f>
        <v>45143</v>
      </c>
      <c r="C6668" s="13">
        <f>IFERROR(__xludf.DUMMYFUNCTION("""COMPUTED_VALUE"""),0.8333333333333334)</f>
        <v>0.8333333333</v>
      </c>
      <c r="D6668" s="8">
        <f>IFERROR(__xludf.DUMMYFUNCTION("""COMPUTED_VALUE"""),0.118)</f>
        <v>0.118</v>
      </c>
      <c r="E6668" s="8" t="str">
        <f>IFERROR(__xludf.DUMMYFUNCTION("""COMPUTED_VALUE"""),"Real")</f>
        <v>Real</v>
      </c>
      <c r="G6668" s="8">
        <f t="shared" si="1"/>
        <v>8</v>
      </c>
      <c r="H6668" s="14">
        <f t="shared" si="2"/>
        <v>5</v>
      </c>
      <c r="I6668" s="15">
        <f t="shared" si="3"/>
        <v>20</v>
      </c>
    </row>
    <row r="6669">
      <c r="A6669" s="8" t="str">
        <f>IFERROR(__xludf.DUMMYFUNCTION("IF('(INGESTA)Datos_consumo_datadis'!A6669&lt;&gt;"""",SPLIT('(INGESTA)Datos_consumo_datadis'!A:A,"",""),"""")"),"ES0031408323131005HX0F")</f>
        <v>ES0031408323131005HX0F</v>
      </c>
      <c r="B6669" s="12">
        <f>IFERROR(__xludf.DUMMYFUNCTION("""COMPUTED_VALUE"""),45143.0)</f>
        <v>45143</v>
      </c>
      <c r="C6669" s="13">
        <f>IFERROR(__xludf.DUMMYFUNCTION("""COMPUTED_VALUE"""),0.875)</f>
        <v>0.875</v>
      </c>
      <c r="D6669" s="8">
        <f>IFERROR(__xludf.DUMMYFUNCTION("""COMPUTED_VALUE"""),0.808)</f>
        <v>0.808</v>
      </c>
      <c r="E6669" s="8" t="str">
        <f>IFERROR(__xludf.DUMMYFUNCTION("""COMPUTED_VALUE"""),"Real")</f>
        <v>Real</v>
      </c>
      <c r="G6669" s="8">
        <f t="shared" si="1"/>
        <v>8</v>
      </c>
      <c r="H6669" s="14">
        <f t="shared" si="2"/>
        <v>5</v>
      </c>
      <c r="I6669" s="15">
        <f t="shared" si="3"/>
        <v>21</v>
      </c>
    </row>
    <row r="6670">
      <c r="A6670" s="8" t="str">
        <f>IFERROR(__xludf.DUMMYFUNCTION("IF('(INGESTA)Datos_consumo_datadis'!A6670&lt;&gt;"""",SPLIT('(INGESTA)Datos_consumo_datadis'!A:A,"",""),"""")"),"ES0031408323131005HX0F")</f>
        <v>ES0031408323131005HX0F</v>
      </c>
      <c r="B6670" s="12">
        <f>IFERROR(__xludf.DUMMYFUNCTION("""COMPUTED_VALUE"""),45143.0)</f>
        <v>45143</v>
      </c>
      <c r="C6670" s="13">
        <f>IFERROR(__xludf.DUMMYFUNCTION("""COMPUTED_VALUE"""),0.9166666666666666)</f>
        <v>0.9166666667</v>
      </c>
      <c r="D6670" s="8">
        <f>IFERROR(__xludf.DUMMYFUNCTION("""COMPUTED_VALUE"""),0.029)</f>
        <v>0.029</v>
      </c>
      <c r="E6670" s="8" t="str">
        <f>IFERROR(__xludf.DUMMYFUNCTION("""COMPUTED_VALUE"""),"Real")</f>
        <v>Real</v>
      </c>
      <c r="G6670" s="8">
        <f t="shared" si="1"/>
        <v>8</v>
      </c>
      <c r="H6670" s="14">
        <f t="shared" si="2"/>
        <v>5</v>
      </c>
      <c r="I6670" s="15">
        <f t="shared" si="3"/>
        <v>22</v>
      </c>
    </row>
    <row r="6671">
      <c r="A6671" s="8" t="str">
        <f>IFERROR(__xludf.DUMMYFUNCTION("IF('(INGESTA)Datos_consumo_datadis'!A6671&lt;&gt;"""",SPLIT('(INGESTA)Datos_consumo_datadis'!A:A,"",""),"""")"),"ES0031408323131005HX0F")</f>
        <v>ES0031408323131005HX0F</v>
      </c>
      <c r="B6671" s="12">
        <f>IFERROR(__xludf.DUMMYFUNCTION("""COMPUTED_VALUE"""),45143.0)</f>
        <v>45143</v>
      </c>
      <c r="C6671" s="13">
        <f>IFERROR(__xludf.DUMMYFUNCTION("""COMPUTED_VALUE"""),0.9583333333333334)</f>
        <v>0.9583333333</v>
      </c>
      <c r="D6671" s="8">
        <f>IFERROR(__xludf.DUMMYFUNCTION("""COMPUTED_VALUE"""),0.131)</f>
        <v>0.131</v>
      </c>
      <c r="E6671" s="8" t="str">
        <f>IFERROR(__xludf.DUMMYFUNCTION("""COMPUTED_VALUE"""),"Real")</f>
        <v>Real</v>
      </c>
      <c r="G6671" s="8">
        <f t="shared" si="1"/>
        <v>8</v>
      </c>
      <c r="H6671" s="14">
        <f t="shared" si="2"/>
        <v>5</v>
      </c>
      <c r="I6671" s="15">
        <f t="shared" si="3"/>
        <v>23</v>
      </c>
    </row>
    <row r="6672">
      <c r="A6672" s="8" t="str">
        <f>IFERROR(__xludf.DUMMYFUNCTION("IF('(INGESTA)Datos_consumo_datadis'!A6672&lt;&gt;"""",SPLIT('(INGESTA)Datos_consumo_datadis'!A:A,"",""),"""")"),"ES0031408323131005HX0F")</f>
        <v>ES0031408323131005HX0F</v>
      </c>
      <c r="B6672" s="12">
        <f>IFERROR(__xludf.DUMMYFUNCTION("""COMPUTED_VALUE"""),45143.0)</f>
        <v>45143</v>
      </c>
      <c r="C6672" s="16">
        <f>IFERROR(__xludf.DUMMYFUNCTION("""COMPUTED_VALUE"""),1.0)</f>
        <v>1</v>
      </c>
      <c r="D6672" s="8">
        <f>IFERROR(__xludf.DUMMYFUNCTION("""COMPUTED_VALUE"""),0.229)</f>
        <v>0.229</v>
      </c>
      <c r="E6672" s="8" t="str">
        <f>IFERROR(__xludf.DUMMYFUNCTION("""COMPUTED_VALUE"""),"Real")</f>
        <v>Real</v>
      </c>
      <c r="G6672" s="8">
        <f t="shared" si="1"/>
        <v>8</v>
      </c>
      <c r="H6672" s="14">
        <f t="shared" si="2"/>
        <v>5</v>
      </c>
      <c r="I6672" s="15">
        <f t="shared" si="3"/>
        <v>0</v>
      </c>
    </row>
    <row r="6673">
      <c r="A6673" s="8" t="str">
        <f>IFERROR(__xludf.DUMMYFUNCTION("IF('(INGESTA)Datos_consumo_datadis'!A6673&lt;&gt;"""",SPLIT('(INGESTA)Datos_consumo_datadis'!A:A,"",""),"""")"),"ES0031408323131005HX0F")</f>
        <v>ES0031408323131005HX0F</v>
      </c>
      <c r="B6673" s="12">
        <f>IFERROR(__xludf.DUMMYFUNCTION("""COMPUTED_VALUE"""),45144.0)</f>
        <v>45144</v>
      </c>
      <c r="C6673" s="13">
        <f>IFERROR(__xludf.DUMMYFUNCTION("""COMPUTED_VALUE"""),0.041666666666666664)</f>
        <v>0.04166666667</v>
      </c>
      <c r="D6673" s="8">
        <f>IFERROR(__xludf.DUMMYFUNCTION("""COMPUTED_VALUE"""),0.245)</f>
        <v>0.245</v>
      </c>
      <c r="E6673" s="8" t="str">
        <f>IFERROR(__xludf.DUMMYFUNCTION("""COMPUTED_VALUE"""),"Real")</f>
        <v>Real</v>
      </c>
      <c r="G6673" s="8">
        <f t="shared" si="1"/>
        <v>8</v>
      </c>
      <c r="H6673" s="14">
        <f t="shared" si="2"/>
        <v>6</v>
      </c>
      <c r="I6673" s="15">
        <f t="shared" si="3"/>
        <v>1</v>
      </c>
    </row>
    <row r="6674">
      <c r="A6674" s="8" t="str">
        <f>IFERROR(__xludf.DUMMYFUNCTION("IF('(INGESTA)Datos_consumo_datadis'!A6674&lt;&gt;"""",SPLIT('(INGESTA)Datos_consumo_datadis'!A:A,"",""),"""")"),"ES0031408323131005HX0F")</f>
        <v>ES0031408323131005HX0F</v>
      </c>
      <c r="B6674" s="12">
        <f>IFERROR(__xludf.DUMMYFUNCTION("""COMPUTED_VALUE"""),45144.0)</f>
        <v>45144</v>
      </c>
      <c r="C6674" s="13">
        <f>IFERROR(__xludf.DUMMYFUNCTION("""COMPUTED_VALUE"""),0.08333333333333333)</f>
        <v>0.08333333333</v>
      </c>
      <c r="D6674" s="8">
        <f>IFERROR(__xludf.DUMMYFUNCTION("""COMPUTED_VALUE"""),0.081)</f>
        <v>0.081</v>
      </c>
      <c r="E6674" s="8" t="str">
        <f>IFERROR(__xludf.DUMMYFUNCTION("""COMPUTED_VALUE"""),"Real")</f>
        <v>Real</v>
      </c>
      <c r="G6674" s="8">
        <f t="shared" si="1"/>
        <v>8</v>
      </c>
      <c r="H6674" s="14">
        <f t="shared" si="2"/>
        <v>6</v>
      </c>
      <c r="I6674" s="15">
        <f t="shared" si="3"/>
        <v>2</v>
      </c>
    </row>
    <row r="6675">
      <c r="A6675" s="8" t="str">
        <f>IFERROR(__xludf.DUMMYFUNCTION("IF('(INGESTA)Datos_consumo_datadis'!A6675&lt;&gt;"""",SPLIT('(INGESTA)Datos_consumo_datadis'!A:A,"",""),"""")"),"ES0031408323131005HX0F")</f>
        <v>ES0031408323131005HX0F</v>
      </c>
      <c r="B6675" s="12">
        <f>IFERROR(__xludf.DUMMYFUNCTION("""COMPUTED_VALUE"""),45144.0)</f>
        <v>45144</v>
      </c>
      <c r="C6675" s="13">
        <f>IFERROR(__xludf.DUMMYFUNCTION("""COMPUTED_VALUE"""),0.125)</f>
        <v>0.125</v>
      </c>
      <c r="D6675" s="8">
        <f>IFERROR(__xludf.DUMMYFUNCTION("""COMPUTED_VALUE"""),0.4)</f>
        <v>0.4</v>
      </c>
      <c r="E6675" s="8" t="str">
        <f>IFERROR(__xludf.DUMMYFUNCTION("""COMPUTED_VALUE"""),"Real")</f>
        <v>Real</v>
      </c>
      <c r="G6675" s="8">
        <f t="shared" si="1"/>
        <v>8</v>
      </c>
      <c r="H6675" s="14">
        <f t="shared" si="2"/>
        <v>6</v>
      </c>
      <c r="I6675" s="15">
        <f t="shared" si="3"/>
        <v>3</v>
      </c>
    </row>
    <row r="6676">
      <c r="A6676" s="8" t="str">
        <f>IFERROR(__xludf.DUMMYFUNCTION("IF('(INGESTA)Datos_consumo_datadis'!A6676&lt;&gt;"""",SPLIT('(INGESTA)Datos_consumo_datadis'!A:A,"",""),"""")"),"ES0031408323131005HX0F")</f>
        <v>ES0031408323131005HX0F</v>
      </c>
      <c r="B6676" s="12">
        <f>IFERROR(__xludf.DUMMYFUNCTION("""COMPUTED_VALUE"""),45144.0)</f>
        <v>45144</v>
      </c>
      <c r="C6676" s="13">
        <f>IFERROR(__xludf.DUMMYFUNCTION("""COMPUTED_VALUE"""),0.16666666666666666)</f>
        <v>0.1666666667</v>
      </c>
      <c r="D6676" s="8">
        <f>IFERROR(__xludf.DUMMYFUNCTION("""COMPUTED_VALUE"""),0.086)</f>
        <v>0.086</v>
      </c>
      <c r="E6676" s="8" t="str">
        <f>IFERROR(__xludf.DUMMYFUNCTION("""COMPUTED_VALUE"""),"Real")</f>
        <v>Real</v>
      </c>
      <c r="G6676" s="8">
        <f t="shared" si="1"/>
        <v>8</v>
      </c>
      <c r="H6676" s="14">
        <f t="shared" si="2"/>
        <v>6</v>
      </c>
      <c r="I6676" s="15">
        <f t="shared" si="3"/>
        <v>4</v>
      </c>
    </row>
    <row r="6677">
      <c r="A6677" s="8" t="str">
        <f>IFERROR(__xludf.DUMMYFUNCTION("IF('(INGESTA)Datos_consumo_datadis'!A6677&lt;&gt;"""",SPLIT('(INGESTA)Datos_consumo_datadis'!A:A,"",""),"""")"),"ES0031408323131005HX0F")</f>
        <v>ES0031408323131005HX0F</v>
      </c>
      <c r="B6677" s="12">
        <f>IFERROR(__xludf.DUMMYFUNCTION("""COMPUTED_VALUE"""),45144.0)</f>
        <v>45144</v>
      </c>
      <c r="C6677" s="13">
        <f>IFERROR(__xludf.DUMMYFUNCTION("""COMPUTED_VALUE"""),0.20833333333333334)</f>
        <v>0.2083333333</v>
      </c>
      <c r="D6677" s="8">
        <f>IFERROR(__xludf.DUMMYFUNCTION("""COMPUTED_VALUE"""),0.033)</f>
        <v>0.033</v>
      </c>
      <c r="E6677" s="8" t="str">
        <f>IFERROR(__xludf.DUMMYFUNCTION("""COMPUTED_VALUE"""),"Real")</f>
        <v>Real</v>
      </c>
      <c r="G6677" s="8">
        <f t="shared" si="1"/>
        <v>8</v>
      </c>
      <c r="H6677" s="14">
        <f t="shared" si="2"/>
        <v>6</v>
      </c>
      <c r="I6677" s="15">
        <f t="shared" si="3"/>
        <v>5</v>
      </c>
    </row>
    <row r="6678">
      <c r="A6678" s="8" t="str">
        <f>IFERROR(__xludf.DUMMYFUNCTION("IF('(INGESTA)Datos_consumo_datadis'!A6678&lt;&gt;"""",SPLIT('(INGESTA)Datos_consumo_datadis'!A:A,"",""),"""")"),"ES0031408323131005HX0F")</f>
        <v>ES0031408323131005HX0F</v>
      </c>
      <c r="B6678" s="12">
        <f>IFERROR(__xludf.DUMMYFUNCTION("""COMPUTED_VALUE"""),45144.0)</f>
        <v>45144</v>
      </c>
      <c r="C6678" s="13">
        <f>IFERROR(__xludf.DUMMYFUNCTION("""COMPUTED_VALUE"""),0.25)</f>
        <v>0.25</v>
      </c>
      <c r="D6678" s="8">
        <f>IFERROR(__xludf.DUMMYFUNCTION("""COMPUTED_VALUE"""),0.12)</f>
        <v>0.12</v>
      </c>
      <c r="E6678" s="8" t="str">
        <f>IFERROR(__xludf.DUMMYFUNCTION("""COMPUTED_VALUE"""),"Real")</f>
        <v>Real</v>
      </c>
      <c r="G6678" s="8">
        <f t="shared" si="1"/>
        <v>8</v>
      </c>
      <c r="H6678" s="14">
        <f t="shared" si="2"/>
        <v>6</v>
      </c>
      <c r="I6678" s="15">
        <f t="shared" si="3"/>
        <v>6</v>
      </c>
    </row>
    <row r="6679">
      <c r="A6679" s="8" t="str">
        <f>IFERROR(__xludf.DUMMYFUNCTION("IF('(INGESTA)Datos_consumo_datadis'!A6679&lt;&gt;"""",SPLIT('(INGESTA)Datos_consumo_datadis'!A:A,"",""),"""")"),"ES0031408323131005HX0F")</f>
        <v>ES0031408323131005HX0F</v>
      </c>
      <c r="B6679" s="12">
        <f>IFERROR(__xludf.DUMMYFUNCTION("""COMPUTED_VALUE"""),45144.0)</f>
        <v>45144</v>
      </c>
      <c r="C6679" s="13">
        <f>IFERROR(__xludf.DUMMYFUNCTION("""COMPUTED_VALUE"""),0.2916666666666667)</f>
        <v>0.2916666667</v>
      </c>
      <c r="D6679" s="8">
        <f>IFERROR(__xludf.DUMMYFUNCTION("""COMPUTED_VALUE"""),0.086)</f>
        <v>0.086</v>
      </c>
      <c r="E6679" s="8" t="str">
        <f>IFERROR(__xludf.DUMMYFUNCTION("""COMPUTED_VALUE"""),"Real")</f>
        <v>Real</v>
      </c>
      <c r="G6679" s="8">
        <f t="shared" si="1"/>
        <v>8</v>
      </c>
      <c r="H6679" s="14">
        <f t="shared" si="2"/>
        <v>6</v>
      </c>
      <c r="I6679" s="15">
        <f t="shared" si="3"/>
        <v>7</v>
      </c>
    </row>
    <row r="6680">
      <c r="A6680" s="8" t="str">
        <f>IFERROR(__xludf.DUMMYFUNCTION("IF('(INGESTA)Datos_consumo_datadis'!A6680&lt;&gt;"""",SPLIT('(INGESTA)Datos_consumo_datadis'!A:A,"",""),"""")"),"ES0031408323131005HX0F")</f>
        <v>ES0031408323131005HX0F</v>
      </c>
      <c r="B6680" s="12">
        <f>IFERROR(__xludf.DUMMYFUNCTION("""COMPUTED_VALUE"""),45144.0)</f>
        <v>45144</v>
      </c>
      <c r="C6680" s="13">
        <f>IFERROR(__xludf.DUMMYFUNCTION("""COMPUTED_VALUE"""),0.3333333333333333)</f>
        <v>0.3333333333</v>
      </c>
      <c r="D6680" s="8">
        <f>IFERROR(__xludf.DUMMYFUNCTION("""COMPUTED_VALUE"""),0.091)</f>
        <v>0.091</v>
      </c>
      <c r="E6680" s="8" t="str">
        <f>IFERROR(__xludf.DUMMYFUNCTION("""COMPUTED_VALUE"""),"Real")</f>
        <v>Real</v>
      </c>
      <c r="G6680" s="8">
        <f t="shared" si="1"/>
        <v>8</v>
      </c>
      <c r="H6680" s="14">
        <f t="shared" si="2"/>
        <v>6</v>
      </c>
      <c r="I6680" s="15">
        <f t="shared" si="3"/>
        <v>8</v>
      </c>
    </row>
    <row r="6681">
      <c r="A6681" s="8" t="str">
        <f>IFERROR(__xludf.DUMMYFUNCTION("IF('(INGESTA)Datos_consumo_datadis'!A6681&lt;&gt;"""",SPLIT('(INGESTA)Datos_consumo_datadis'!A:A,"",""),"""")"),"ES0031408323131005HX0F")</f>
        <v>ES0031408323131005HX0F</v>
      </c>
      <c r="B6681" s="12">
        <f>IFERROR(__xludf.DUMMYFUNCTION("""COMPUTED_VALUE"""),45144.0)</f>
        <v>45144</v>
      </c>
      <c r="C6681" s="13">
        <f>IFERROR(__xludf.DUMMYFUNCTION("""COMPUTED_VALUE"""),0.375)</f>
        <v>0.375</v>
      </c>
      <c r="D6681" s="8">
        <f>IFERROR(__xludf.DUMMYFUNCTION("""COMPUTED_VALUE"""),0.176)</f>
        <v>0.176</v>
      </c>
      <c r="E6681" s="8" t="str">
        <f>IFERROR(__xludf.DUMMYFUNCTION("""COMPUTED_VALUE"""),"Real")</f>
        <v>Real</v>
      </c>
      <c r="G6681" s="8">
        <f t="shared" si="1"/>
        <v>8</v>
      </c>
      <c r="H6681" s="14">
        <f t="shared" si="2"/>
        <v>6</v>
      </c>
      <c r="I6681" s="15">
        <f t="shared" si="3"/>
        <v>9</v>
      </c>
    </row>
    <row r="6682">
      <c r="A6682" s="8" t="str">
        <f>IFERROR(__xludf.DUMMYFUNCTION("IF('(INGESTA)Datos_consumo_datadis'!A6682&lt;&gt;"""",SPLIT('(INGESTA)Datos_consumo_datadis'!A:A,"",""),"""")"),"ES0031408323131005HX0F")</f>
        <v>ES0031408323131005HX0F</v>
      </c>
      <c r="B6682" s="12">
        <f>IFERROR(__xludf.DUMMYFUNCTION("""COMPUTED_VALUE"""),45144.0)</f>
        <v>45144</v>
      </c>
      <c r="C6682" s="13">
        <f>IFERROR(__xludf.DUMMYFUNCTION("""COMPUTED_VALUE"""),0.4166666666666667)</f>
        <v>0.4166666667</v>
      </c>
      <c r="D6682" s="8">
        <f>IFERROR(__xludf.DUMMYFUNCTION("""COMPUTED_VALUE"""),0.404)</f>
        <v>0.404</v>
      </c>
      <c r="E6682" s="8" t="str">
        <f>IFERROR(__xludf.DUMMYFUNCTION("""COMPUTED_VALUE"""),"Real")</f>
        <v>Real</v>
      </c>
      <c r="G6682" s="8">
        <f t="shared" si="1"/>
        <v>8</v>
      </c>
      <c r="H6682" s="14">
        <f t="shared" si="2"/>
        <v>6</v>
      </c>
      <c r="I6682" s="15">
        <f t="shared" si="3"/>
        <v>10</v>
      </c>
    </row>
    <row r="6683">
      <c r="A6683" s="8" t="str">
        <f>IFERROR(__xludf.DUMMYFUNCTION("IF('(INGESTA)Datos_consumo_datadis'!A6683&lt;&gt;"""",SPLIT('(INGESTA)Datos_consumo_datadis'!A:A,"",""),"""")"),"ES0031408323131005HX0F")</f>
        <v>ES0031408323131005HX0F</v>
      </c>
      <c r="B6683" s="12">
        <f>IFERROR(__xludf.DUMMYFUNCTION("""COMPUTED_VALUE"""),45144.0)</f>
        <v>45144</v>
      </c>
      <c r="C6683" s="13">
        <f>IFERROR(__xludf.DUMMYFUNCTION("""COMPUTED_VALUE"""),0.4583333333333333)</f>
        <v>0.4583333333</v>
      </c>
      <c r="D6683" s="8">
        <f>IFERROR(__xludf.DUMMYFUNCTION("""COMPUTED_VALUE"""),0.126)</f>
        <v>0.126</v>
      </c>
      <c r="E6683" s="8" t="str">
        <f>IFERROR(__xludf.DUMMYFUNCTION("""COMPUTED_VALUE"""),"Real")</f>
        <v>Real</v>
      </c>
      <c r="G6683" s="8">
        <f t="shared" si="1"/>
        <v>8</v>
      </c>
      <c r="H6683" s="14">
        <f t="shared" si="2"/>
        <v>6</v>
      </c>
      <c r="I6683" s="15">
        <f t="shared" si="3"/>
        <v>11</v>
      </c>
    </row>
    <row r="6684">
      <c r="A6684" s="8" t="str">
        <f>IFERROR(__xludf.DUMMYFUNCTION("IF('(INGESTA)Datos_consumo_datadis'!A6684&lt;&gt;"""",SPLIT('(INGESTA)Datos_consumo_datadis'!A:A,"",""),"""")"),"ES0031408323131005HX0F")</f>
        <v>ES0031408323131005HX0F</v>
      </c>
      <c r="B6684" s="12">
        <f>IFERROR(__xludf.DUMMYFUNCTION("""COMPUTED_VALUE"""),45144.0)</f>
        <v>45144</v>
      </c>
      <c r="C6684" s="13">
        <f>IFERROR(__xludf.DUMMYFUNCTION("""COMPUTED_VALUE"""),0.5)</f>
        <v>0.5</v>
      </c>
      <c r="D6684" s="8">
        <f>IFERROR(__xludf.DUMMYFUNCTION("""COMPUTED_VALUE"""),0.133)</f>
        <v>0.133</v>
      </c>
      <c r="E6684" s="8" t="str">
        <f>IFERROR(__xludf.DUMMYFUNCTION("""COMPUTED_VALUE"""),"Real")</f>
        <v>Real</v>
      </c>
      <c r="G6684" s="8">
        <f t="shared" si="1"/>
        <v>8</v>
      </c>
      <c r="H6684" s="14">
        <f t="shared" si="2"/>
        <v>6</v>
      </c>
      <c r="I6684" s="15">
        <f t="shared" si="3"/>
        <v>12</v>
      </c>
    </row>
    <row r="6685">
      <c r="A6685" s="8" t="str">
        <f>IFERROR(__xludf.DUMMYFUNCTION("IF('(INGESTA)Datos_consumo_datadis'!A6685&lt;&gt;"""",SPLIT('(INGESTA)Datos_consumo_datadis'!A:A,"",""),"""")"),"ES0031408323131005HX0F")</f>
        <v>ES0031408323131005HX0F</v>
      </c>
      <c r="B6685" s="12">
        <f>IFERROR(__xludf.DUMMYFUNCTION("""COMPUTED_VALUE"""),45144.0)</f>
        <v>45144</v>
      </c>
      <c r="C6685" s="13">
        <f>IFERROR(__xludf.DUMMYFUNCTION("""COMPUTED_VALUE"""),0.5416666666666666)</f>
        <v>0.5416666667</v>
      </c>
      <c r="D6685" s="8">
        <f>IFERROR(__xludf.DUMMYFUNCTION("""COMPUTED_VALUE"""),0.091)</f>
        <v>0.091</v>
      </c>
      <c r="E6685" s="8" t="str">
        <f>IFERROR(__xludf.DUMMYFUNCTION("""COMPUTED_VALUE"""),"Real")</f>
        <v>Real</v>
      </c>
      <c r="G6685" s="8">
        <f t="shared" si="1"/>
        <v>8</v>
      </c>
      <c r="H6685" s="14">
        <f t="shared" si="2"/>
        <v>6</v>
      </c>
      <c r="I6685" s="15">
        <f t="shared" si="3"/>
        <v>13</v>
      </c>
    </row>
    <row r="6686">
      <c r="A6686" s="8" t="str">
        <f>IFERROR(__xludf.DUMMYFUNCTION("IF('(INGESTA)Datos_consumo_datadis'!A6686&lt;&gt;"""",SPLIT('(INGESTA)Datos_consumo_datadis'!A:A,"",""),"""")"),"ES0031408323131005HX0F")</f>
        <v>ES0031408323131005HX0F</v>
      </c>
      <c r="B6686" s="12">
        <f>IFERROR(__xludf.DUMMYFUNCTION("""COMPUTED_VALUE"""),45144.0)</f>
        <v>45144</v>
      </c>
      <c r="C6686" s="13">
        <f>IFERROR(__xludf.DUMMYFUNCTION("""COMPUTED_VALUE"""),0.5833333333333334)</f>
        <v>0.5833333333</v>
      </c>
      <c r="D6686" s="8">
        <f>IFERROR(__xludf.DUMMYFUNCTION("""COMPUTED_VALUE"""),0.04)</f>
        <v>0.04</v>
      </c>
      <c r="E6686" s="8" t="str">
        <f>IFERROR(__xludf.DUMMYFUNCTION("""COMPUTED_VALUE"""),"Real")</f>
        <v>Real</v>
      </c>
      <c r="G6686" s="8">
        <f t="shared" si="1"/>
        <v>8</v>
      </c>
      <c r="H6686" s="14">
        <f t="shared" si="2"/>
        <v>6</v>
      </c>
      <c r="I6686" s="15">
        <f t="shared" si="3"/>
        <v>14</v>
      </c>
    </row>
    <row r="6687">
      <c r="A6687" s="8" t="str">
        <f>IFERROR(__xludf.DUMMYFUNCTION("IF('(INGESTA)Datos_consumo_datadis'!A6687&lt;&gt;"""",SPLIT('(INGESTA)Datos_consumo_datadis'!A:A,"",""),"""")"),"ES0031408323131005HX0F")</f>
        <v>ES0031408323131005HX0F</v>
      </c>
      <c r="B6687" s="12">
        <f>IFERROR(__xludf.DUMMYFUNCTION("""COMPUTED_VALUE"""),45144.0)</f>
        <v>45144</v>
      </c>
      <c r="C6687" s="13">
        <f>IFERROR(__xludf.DUMMYFUNCTION("""COMPUTED_VALUE"""),0.625)</f>
        <v>0.625</v>
      </c>
      <c r="D6687" s="8">
        <f>IFERROR(__xludf.DUMMYFUNCTION("""COMPUTED_VALUE"""),0.414)</f>
        <v>0.414</v>
      </c>
      <c r="E6687" s="8" t="str">
        <f>IFERROR(__xludf.DUMMYFUNCTION("""COMPUTED_VALUE"""),"Real")</f>
        <v>Real</v>
      </c>
      <c r="G6687" s="8">
        <f t="shared" si="1"/>
        <v>8</v>
      </c>
      <c r="H6687" s="14">
        <f t="shared" si="2"/>
        <v>6</v>
      </c>
      <c r="I6687" s="15">
        <f t="shared" si="3"/>
        <v>15</v>
      </c>
    </row>
    <row r="6688">
      <c r="A6688" s="8" t="str">
        <f>IFERROR(__xludf.DUMMYFUNCTION("IF('(INGESTA)Datos_consumo_datadis'!A6688&lt;&gt;"""",SPLIT('(INGESTA)Datos_consumo_datadis'!A:A,"",""),"""")"),"ES0031408323131005HX0F")</f>
        <v>ES0031408323131005HX0F</v>
      </c>
      <c r="B6688" s="12">
        <f>IFERROR(__xludf.DUMMYFUNCTION("""COMPUTED_VALUE"""),45144.0)</f>
        <v>45144</v>
      </c>
      <c r="C6688" s="13">
        <f>IFERROR(__xludf.DUMMYFUNCTION("""COMPUTED_VALUE"""),0.6666666666666666)</f>
        <v>0.6666666667</v>
      </c>
      <c r="D6688" s="8">
        <f>IFERROR(__xludf.DUMMYFUNCTION("""COMPUTED_VALUE"""),0.981)</f>
        <v>0.981</v>
      </c>
      <c r="E6688" s="8" t="str">
        <f>IFERROR(__xludf.DUMMYFUNCTION("""COMPUTED_VALUE"""),"Real")</f>
        <v>Real</v>
      </c>
      <c r="G6688" s="8">
        <f t="shared" si="1"/>
        <v>8</v>
      </c>
      <c r="H6688" s="14">
        <f t="shared" si="2"/>
        <v>6</v>
      </c>
      <c r="I6688" s="15">
        <f t="shared" si="3"/>
        <v>16</v>
      </c>
    </row>
    <row r="6689">
      <c r="A6689" s="8" t="str">
        <f>IFERROR(__xludf.DUMMYFUNCTION("IF('(INGESTA)Datos_consumo_datadis'!A6689&lt;&gt;"""",SPLIT('(INGESTA)Datos_consumo_datadis'!A:A,"",""),"""")"),"ES0031408323131005HX0F")</f>
        <v>ES0031408323131005HX0F</v>
      </c>
      <c r="B6689" s="12">
        <f>IFERROR(__xludf.DUMMYFUNCTION("""COMPUTED_VALUE"""),45144.0)</f>
        <v>45144</v>
      </c>
      <c r="C6689" s="13">
        <f>IFERROR(__xludf.DUMMYFUNCTION("""COMPUTED_VALUE"""),0.7083333333333334)</f>
        <v>0.7083333333</v>
      </c>
      <c r="D6689" s="8">
        <f>IFERROR(__xludf.DUMMYFUNCTION("""COMPUTED_VALUE"""),0.694)</f>
        <v>0.694</v>
      </c>
      <c r="E6689" s="8" t="str">
        <f>IFERROR(__xludf.DUMMYFUNCTION("""COMPUTED_VALUE"""),"Real")</f>
        <v>Real</v>
      </c>
      <c r="G6689" s="8">
        <f t="shared" si="1"/>
        <v>8</v>
      </c>
      <c r="H6689" s="14">
        <f t="shared" si="2"/>
        <v>6</v>
      </c>
      <c r="I6689" s="15">
        <f t="shared" si="3"/>
        <v>17</v>
      </c>
    </row>
    <row r="6690">
      <c r="A6690" s="8" t="str">
        <f>IFERROR(__xludf.DUMMYFUNCTION("IF('(INGESTA)Datos_consumo_datadis'!A6690&lt;&gt;"""",SPLIT('(INGESTA)Datos_consumo_datadis'!A:A,"",""),"""")"),"ES0031408323131005HX0F")</f>
        <v>ES0031408323131005HX0F</v>
      </c>
      <c r="B6690" s="12">
        <f>IFERROR(__xludf.DUMMYFUNCTION("""COMPUTED_VALUE"""),45144.0)</f>
        <v>45144</v>
      </c>
      <c r="C6690" s="13">
        <f>IFERROR(__xludf.DUMMYFUNCTION("""COMPUTED_VALUE"""),0.75)</f>
        <v>0.75</v>
      </c>
      <c r="D6690" s="8">
        <f>IFERROR(__xludf.DUMMYFUNCTION("""COMPUTED_VALUE"""),0.424)</f>
        <v>0.424</v>
      </c>
      <c r="E6690" s="8" t="str">
        <f>IFERROR(__xludf.DUMMYFUNCTION("""COMPUTED_VALUE"""),"Real")</f>
        <v>Real</v>
      </c>
      <c r="G6690" s="8">
        <f t="shared" si="1"/>
        <v>8</v>
      </c>
      <c r="H6690" s="14">
        <f t="shared" si="2"/>
        <v>6</v>
      </c>
      <c r="I6690" s="15">
        <f t="shared" si="3"/>
        <v>18</v>
      </c>
    </row>
    <row r="6691">
      <c r="A6691" s="8" t="str">
        <f>IFERROR(__xludf.DUMMYFUNCTION("IF('(INGESTA)Datos_consumo_datadis'!A6691&lt;&gt;"""",SPLIT('(INGESTA)Datos_consumo_datadis'!A:A,"",""),"""")"),"ES0031408323131005HX0F")</f>
        <v>ES0031408323131005HX0F</v>
      </c>
      <c r="B6691" s="12">
        <f>IFERROR(__xludf.DUMMYFUNCTION("""COMPUTED_VALUE"""),45144.0)</f>
        <v>45144</v>
      </c>
      <c r="C6691" s="13">
        <f>IFERROR(__xludf.DUMMYFUNCTION("""COMPUTED_VALUE"""),0.7916666666666666)</f>
        <v>0.7916666667</v>
      </c>
      <c r="D6691" s="8">
        <f>IFERROR(__xludf.DUMMYFUNCTION("""COMPUTED_VALUE"""),0.171)</f>
        <v>0.171</v>
      </c>
      <c r="E6691" s="8" t="str">
        <f>IFERROR(__xludf.DUMMYFUNCTION("""COMPUTED_VALUE"""),"Real")</f>
        <v>Real</v>
      </c>
      <c r="G6691" s="8">
        <f t="shared" si="1"/>
        <v>8</v>
      </c>
      <c r="H6691" s="14">
        <f t="shared" si="2"/>
        <v>6</v>
      </c>
      <c r="I6691" s="15">
        <f t="shared" si="3"/>
        <v>19</v>
      </c>
    </row>
    <row r="6692">
      <c r="A6692" s="8" t="str">
        <f>IFERROR(__xludf.DUMMYFUNCTION("IF('(INGESTA)Datos_consumo_datadis'!A6692&lt;&gt;"""",SPLIT('(INGESTA)Datos_consumo_datadis'!A:A,"",""),"""")"),"ES0031408323131005HX0F")</f>
        <v>ES0031408323131005HX0F</v>
      </c>
      <c r="B6692" s="12">
        <f>IFERROR(__xludf.DUMMYFUNCTION("""COMPUTED_VALUE"""),45144.0)</f>
        <v>45144</v>
      </c>
      <c r="C6692" s="13">
        <f>IFERROR(__xludf.DUMMYFUNCTION("""COMPUTED_VALUE"""),0.8333333333333334)</f>
        <v>0.8333333333</v>
      </c>
      <c r="D6692" s="8">
        <f>IFERROR(__xludf.DUMMYFUNCTION("""COMPUTED_VALUE"""),0.142)</f>
        <v>0.142</v>
      </c>
      <c r="E6692" s="8" t="str">
        <f>IFERROR(__xludf.DUMMYFUNCTION("""COMPUTED_VALUE"""),"Real")</f>
        <v>Real</v>
      </c>
      <c r="G6692" s="8">
        <f t="shared" si="1"/>
        <v>8</v>
      </c>
      <c r="H6692" s="14">
        <f t="shared" si="2"/>
        <v>6</v>
      </c>
      <c r="I6692" s="15">
        <f t="shared" si="3"/>
        <v>20</v>
      </c>
    </row>
    <row r="6693">
      <c r="A6693" s="8" t="str">
        <f>IFERROR(__xludf.DUMMYFUNCTION("IF('(INGESTA)Datos_consumo_datadis'!A6693&lt;&gt;"""",SPLIT('(INGESTA)Datos_consumo_datadis'!A:A,"",""),"""")"),"ES0031408323131005HX0F")</f>
        <v>ES0031408323131005HX0F</v>
      </c>
      <c r="B6693" s="12">
        <f>IFERROR(__xludf.DUMMYFUNCTION("""COMPUTED_VALUE"""),45144.0)</f>
        <v>45144</v>
      </c>
      <c r="C6693" s="13">
        <f>IFERROR(__xludf.DUMMYFUNCTION("""COMPUTED_VALUE"""),0.875)</f>
        <v>0.875</v>
      </c>
      <c r="D6693" s="8">
        <f>IFERROR(__xludf.DUMMYFUNCTION("""COMPUTED_VALUE"""),0.663)</f>
        <v>0.663</v>
      </c>
      <c r="E6693" s="8" t="str">
        <f>IFERROR(__xludf.DUMMYFUNCTION("""COMPUTED_VALUE"""),"Real")</f>
        <v>Real</v>
      </c>
      <c r="G6693" s="8">
        <f t="shared" si="1"/>
        <v>8</v>
      </c>
      <c r="H6693" s="14">
        <f t="shared" si="2"/>
        <v>6</v>
      </c>
      <c r="I6693" s="15">
        <f t="shared" si="3"/>
        <v>21</v>
      </c>
    </row>
    <row r="6694">
      <c r="A6694" s="8" t="str">
        <f>IFERROR(__xludf.DUMMYFUNCTION("IF('(INGESTA)Datos_consumo_datadis'!A6694&lt;&gt;"""",SPLIT('(INGESTA)Datos_consumo_datadis'!A:A,"",""),"""")"),"ES0031408323131005HX0F")</f>
        <v>ES0031408323131005HX0F</v>
      </c>
      <c r="B6694" s="12">
        <f>IFERROR(__xludf.DUMMYFUNCTION("""COMPUTED_VALUE"""),45144.0)</f>
        <v>45144</v>
      </c>
      <c r="C6694" s="13">
        <f>IFERROR(__xludf.DUMMYFUNCTION("""COMPUTED_VALUE"""),0.9166666666666666)</f>
        <v>0.9166666667</v>
      </c>
      <c r="D6694" s="8">
        <f>IFERROR(__xludf.DUMMYFUNCTION("""COMPUTED_VALUE"""),0.233)</f>
        <v>0.233</v>
      </c>
      <c r="E6694" s="8" t="str">
        <f>IFERROR(__xludf.DUMMYFUNCTION("""COMPUTED_VALUE"""),"Real")</f>
        <v>Real</v>
      </c>
      <c r="G6694" s="8">
        <f t="shared" si="1"/>
        <v>8</v>
      </c>
      <c r="H6694" s="14">
        <f t="shared" si="2"/>
        <v>6</v>
      </c>
      <c r="I6694" s="15">
        <f t="shared" si="3"/>
        <v>22</v>
      </c>
    </row>
    <row r="6695">
      <c r="A6695" s="8" t="str">
        <f>IFERROR(__xludf.DUMMYFUNCTION("IF('(INGESTA)Datos_consumo_datadis'!A6695&lt;&gt;"""",SPLIT('(INGESTA)Datos_consumo_datadis'!A:A,"",""),"""")"),"ES0031408323131005HX0F")</f>
        <v>ES0031408323131005HX0F</v>
      </c>
      <c r="B6695" s="12">
        <f>IFERROR(__xludf.DUMMYFUNCTION("""COMPUTED_VALUE"""),45144.0)</f>
        <v>45144</v>
      </c>
      <c r="C6695" s="13">
        <f>IFERROR(__xludf.DUMMYFUNCTION("""COMPUTED_VALUE"""),0.9583333333333334)</f>
        <v>0.9583333333</v>
      </c>
      <c r="D6695" s="8">
        <f>IFERROR(__xludf.DUMMYFUNCTION("""COMPUTED_VALUE"""),0.317)</f>
        <v>0.317</v>
      </c>
      <c r="E6695" s="8" t="str">
        <f>IFERROR(__xludf.DUMMYFUNCTION("""COMPUTED_VALUE"""),"Real")</f>
        <v>Real</v>
      </c>
      <c r="G6695" s="8">
        <f t="shared" si="1"/>
        <v>8</v>
      </c>
      <c r="H6695" s="14">
        <f t="shared" si="2"/>
        <v>6</v>
      </c>
      <c r="I6695" s="15">
        <f t="shared" si="3"/>
        <v>23</v>
      </c>
    </row>
    <row r="6696">
      <c r="A6696" s="8" t="str">
        <f>IFERROR(__xludf.DUMMYFUNCTION("IF('(INGESTA)Datos_consumo_datadis'!A6696&lt;&gt;"""",SPLIT('(INGESTA)Datos_consumo_datadis'!A:A,"",""),"""")"),"ES0031408323131005HX0F")</f>
        <v>ES0031408323131005HX0F</v>
      </c>
      <c r="B6696" s="12">
        <f>IFERROR(__xludf.DUMMYFUNCTION("""COMPUTED_VALUE"""),45144.0)</f>
        <v>45144</v>
      </c>
      <c r="C6696" s="16">
        <f>IFERROR(__xludf.DUMMYFUNCTION("""COMPUTED_VALUE"""),1.0)</f>
        <v>1</v>
      </c>
      <c r="D6696" s="8">
        <f>IFERROR(__xludf.DUMMYFUNCTION("""COMPUTED_VALUE"""),0.34)</f>
        <v>0.34</v>
      </c>
      <c r="E6696" s="8" t="str">
        <f>IFERROR(__xludf.DUMMYFUNCTION("""COMPUTED_VALUE"""),"Real")</f>
        <v>Real</v>
      </c>
      <c r="G6696" s="8">
        <f t="shared" si="1"/>
        <v>8</v>
      </c>
      <c r="H6696" s="14">
        <f t="shared" si="2"/>
        <v>6</v>
      </c>
      <c r="I6696" s="15">
        <f t="shared" si="3"/>
        <v>0</v>
      </c>
    </row>
    <row r="6697">
      <c r="A6697" s="8" t="str">
        <f>IFERROR(__xludf.DUMMYFUNCTION("IF('(INGESTA)Datos_consumo_datadis'!A6697&lt;&gt;"""",SPLIT('(INGESTA)Datos_consumo_datadis'!A:A,"",""),"""")"),"ES0031408323131005HX0F")</f>
        <v>ES0031408323131005HX0F</v>
      </c>
      <c r="B6697" s="12">
        <f>IFERROR(__xludf.DUMMYFUNCTION("""COMPUTED_VALUE"""),45145.0)</f>
        <v>45145</v>
      </c>
      <c r="C6697" s="13">
        <f>IFERROR(__xludf.DUMMYFUNCTION("""COMPUTED_VALUE"""),0.041666666666666664)</f>
        <v>0.04166666667</v>
      </c>
      <c r="D6697" s="8">
        <f>IFERROR(__xludf.DUMMYFUNCTION("""COMPUTED_VALUE"""),0.363)</f>
        <v>0.363</v>
      </c>
      <c r="E6697" s="8" t="str">
        <f>IFERROR(__xludf.DUMMYFUNCTION("""COMPUTED_VALUE"""),"Real")</f>
        <v>Real</v>
      </c>
      <c r="G6697" s="8">
        <f t="shared" si="1"/>
        <v>8</v>
      </c>
      <c r="H6697" s="14">
        <f t="shared" si="2"/>
        <v>7</v>
      </c>
      <c r="I6697" s="15">
        <f t="shared" si="3"/>
        <v>1</v>
      </c>
    </row>
    <row r="6698">
      <c r="A6698" s="8" t="str">
        <f>IFERROR(__xludf.DUMMYFUNCTION("IF('(INGESTA)Datos_consumo_datadis'!A6698&lt;&gt;"""",SPLIT('(INGESTA)Datos_consumo_datadis'!A:A,"",""),"""")"),"ES0031408323131005HX0F")</f>
        <v>ES0031408323131005HX0F</v>
      </c>
      <c r="B6698" s="12">
        <f>IFERROR(__xludf.DUMMYFUNCTION("""COMPUTED_VALUE"""),45145.0)</f>
        <v>45145</v>
      </c>
      <c r="C6698" s="13">
        <f>IFERROR(__xludf.DUMMYFUNCTION("""COMPUTED_VALUE"""),0.08333333333333333)</f>
        <v>0.08333333333</v>
      </c>
      <c r="D6698" s="8">
        <f>IFERROR(__xludf.DUMMYFUNCTION("""COMPUTED_VALUE"""),0.286)</f>
        <v>0.286</v>
      </c>
      <c r="E6698" s="8" t="str">
        <f>IFERROR(__xludf.DUMMYFUNCTION("""COMPUTED_VALUE"""),"Real")</f>
        <v>Real</v>
      </c>
      <c r="G6698" s="8">
        <f t="shared" si="1"/>
        <v>8</v>
      </c>
      <c r="H6698" s="14">
        <f t="shared" si="2"/>
        <v>7</v>
      </c>
      <c r="I6698" s="15">
        <f t="shared" si="3"/>
        <v>2</v>
      </c>
    </row>
    <row r="6699">
      <c r="A6699" s="8" t="str">
        <f>IFERROR(__xludf.DUMMYFUNCTION("IF('(INGESTA)Datos_consumo_datadis'!A6699&lt;&gt;"""",SPLIT('(INGESTA)Datos_consumo_datadis'!A:A,"",""),"""")"),"ES0031408323131005HX0F")</f>
        <v>ES0031408323131005HX0F</v>
      </c>
      <c r="B6699" s="12">
        <f>IFERROR(__xludf.DUMMYFUNCTION("""COMPUTED_VALUE"""),45145.0)</f>
        <v>45145</v>
      </c>
      <c r="C6699" s="13">
        <f>IFERROR(__xludf.DUMMYFUNCTION("""COMPUTED_VALUE"""),0.125)</f>
        <v>0.125</v>
      </c>
      <c r="D6699" s="8">
        <f>IFERROR(__xludf.DUMMYFUNCTION("""COMPUTED_VALUE"""),0.36)</f>
        <v>0.36</v>
      </c>
      <c r="E6699" s="8" t="str">
        <f>IFERROR(__xludf.DUMMYFUNCTION("""COMPUTED_VALUE"""),"Real")</f>
        <v>Real</v>
      </c>
      <c r="G6699" s="8">
        <f t="shared" si="1"/>
        <v>8</v>
      </c>
      <c r="H6699" s="14">
        <f t="shared" si="2"/>
        <v>7</v>
      </c>
      <c r="I6699" s="15">
        <f t="shared" si="3"/>
        <v>3</v>
      </c>
    </row>
    <row r="6700">
      <c r="A6700" s="8" t="str">
        <f>IFERROR(__xludf.DUMMYFUNCTION("IF('(INGESTA)Datos_consumo_datadis'!A6700&lt;&gt;"""",SPLIT('(INGESTA)Datos_consumo_datadis'!A:A,"",""),"""")"),"ES0031408323131005HX0F")</f>
        <v>ES0031408323131005HX0F</v>
      </c>
      <c r="B6700" s="12">
        <f>IFERROR(__xludf.DUMMYFUNCTION("""COMPUTED_VALUE"""),45145.0)</f>
        <v>45145</v>
      </c>
      <c r="C6700" s="13">
        <f>IFERROR(__xludf.DUMMYFUNCTION("""COMPUTED_VALUE"""),0.16666666666666666)</f>
        <v>0.1666666667</v>
      </c>
      <c r="D6700" s="8">
        <f>IFERROR(__xludf.DUMMYFUNCTION("""COMPUTED_VALUE"""),0.048)</f>
        <v>0.048</v>
      </c>
      <c r="E6700" s="8" t="str">
        <f>IFERROR(__xludf.DUMMYFUNCTION("""COMPUTED_VALUE"""),"Real")</f>
        <v>Real</v>
      </c>
      <c r="G6700" s="8">
        <f t="shared" si="1"/>
        <v>8</v>
      </c>
      <c r="H6700" s="14">
        <f t="shared" si="2"/>
        <v>7</v>
      </c>
      <c r="I6700" s="15">
        <f t="shared" si="3"/>
        <v>4</v>
      </c>
    </row>
    <row r="6701">
      <c r="A6701" s="8" t="str">
        <f>IFERROR(__xludf.DUMMYFUNCTION("IF('(INGESTA)Datos_consumo_datadis'!A6701&lt;&gt;"""",SPLIT('(INGESTA)Datos_consumo_datadis'!A:A,"",""),"""")"),"ES0031408323131005HX0F")</f>
        <v>ES0031408323131005HX0F</v>
      </c>
      <c r="B6701" s="12">
        <f>IFERROR(__xludf.DUMMYFUNCTION("""COMPUTED_VALUE"""),45145.0)</f>
        <v>45145</v>
      </c>
      <c r="C6701" s="13">
        <f>IFERROR(__xludf.DUMMYFUNCTION("""COMPUTED_VALUE"""),0.20833333333333334)</f>
        <v>0.2083333333</v>
      </c>
      <c r="D6701" s="8">
        <f>IFERROR(__xludf.DUMMYFUNCTION("""COMPUTED_VALUE"""),0.129)</f>
        <v>0.129</v>
      </c>
      <c r="E6701" s="8" t="str">
        <f>IFERROR(__xludf.DUMMYFUNCTION("""COMPUTED_VALUE"""),"Real")</f>
        <v>Real</v>
      </c>
      <c r="G6701" s="8">
        <f t="shared" si="1"/>
        <v>8</v>
      </c>
      <c r="H6701" s="14">
        <f t="shared" si="2"/>
        <v>7</v>
      </c>
      <c r="I6701" s="15">
        <f t="shared" si="3"/>
        <v>5</v>
      </c>
    </row>
    <row r="6702">
      <c r="A6702" s="8" t="str">
        <f>IFERROR(__xludf.DUMMYFUNCTION("IF('(INGESTA)Datos_consumo_datadis'!A6702&lt;&gt;"""",SPLIT('(INGESTA)Datos_consumo_datadis'!A:A,"",""),"""")"),"ES0031408323131005HX0F")</f>
        <v>ES0031408323131005HX0F</v>
      </c>
      <c r="B6702" s="12">
        <f>IFERROR(__xludf.DUMMYFUNCTION("""COMPUTED_VALUE"""),45145.0)</f>
        <v>45145</v>
      </c>
      <c r="C6702" s="13">
        <f>IFERROR(__xludf.DUMMYFUNCTION("""COMPUTED_VALUE"""),0.25)</f>
        <v>0.25</v>
      </c>
      <c r="D6702" s="8">
        <f>IFERROR(__xludf.DUMMYFUNCTION("""COMPUTED_VALUE"""),0.091)</f>
        <v>0.091</v>
      </c>
      <c r="E6702" s="8" t="str">
        <f>IFERROR(__xludf.DUMMYFUNCTION("""COMPUTED_VALUE"""),"Real")</f>
        <v>Real</v>
      </c>
      <c r="G6702" s="8">
        <f t="shared" si="1"/>
        <v>8</v>
      </c>
      <c r="H6702" s="14">
        <f t="shared" si="2"/>
        <v>7</v>
      </c>
      <c r="I6702" s="15">
        <f t="shared" si="3"/>
        <v>6</v>
      </c>
    </row>
    <row r="6703">
      <c r="A6703" s="8" t="str">
        <f>IFERROR(__xludf.DUMMYFUNCTION("IF('(INGESTA)Datos_consumo_datadis'!A6703&lt;&gt;"""",SPLIT('(INGESTA)Datos_consumo_datadis'!A:A,"",""),"""")"),"ES0031408323131005HX0F")</f>
        <v>ES0031408323131005HX0F</v>
      </c>
      <c r="B6703" s="12">
        <f>IFERROR(__xludf.DUMMYFUNCTION("""COMPUTED_VALUE"""),45145.0)</f>
        <v>45145</v>
      </c>
      <c r="C6703" s="13">
        <f>IFERROR(__xludf.DUMMYFUNCTION("""COMPUTED_VALUE"""),0.2916666666666667)</f>
        <v>0.2916666667</v>
      </c>
      <c r="D6703" s="8">
        <f>IFERROR(__xludf.DUMMYFUNCTION("""COMPUTED_VALUE"""),0.04)</f>
        <v>0.04</v>
      </c>
      <c r="E6703" s="8" t="str">
        <f>IFERROR(__xludf.DUMMYFUNCTION("""COMPUTED_VALUE"""),"Real")</f>
        <v>Real</v>
      </c>
      <c r="G6703" s="8">
        <f t="shared" si="1"/>
        <v>8</v>
      </c>
      <c r="H6703" s="14">
        <f t="shared" si="2"/>
        <v>7</v>
      </c>
      <c r="I6703" s="15">
        <f t="shared" si="3"/>
        <v>7</v>
      </c>
    </row>
    <row r="6704">
      <c r="A6704" s="8" t="str">
        <f>IFERROR(__xludf.DUMMYFUNCTION("IF('(INGESTA)Datos_consumo_datadis'!A6704&lt;&gt;"""",SPLIT('(INGESTA)Datos_consumo_datadis'!A:A,"",""),"""")"),"ES0031408323131005HX0F")</f>
        <v>ES0031408323131005HX0F</v>
      </c>
      <c r="B6704" s="12">
        <f>IFERROR(__xludf.DUMMYFUNCTION("""COMPUTED_VALUE"""),45145.0)</f>
        <v>45145</v>
      </c>
      <c r="C6704" s="13">
        <f>IFERROR(__xludf.DUMMYFUNCTION("""COMPUTED_VALUE"""),0.3333333333333333)</f>
        <v>0.3333333333</v>
      </c>
      <c r="D6704" s="8">
        <f>IFERROR(__xludf.DUMMYFUNCTION("""COMPUTED_VALUE"""),0.102)</f>
        <v>0.102</v>
      </c>
      <c r="E6704" s="8" t="str">
        <f>IFERROR(__xludf.DUMMYFUNCTION("""COMPUTED_VALUE"""),"Real")</f>
        <v>Real</v>
      </c>
      <c r="G6704" s="8">
        <f t="shared" si="1"/>
        <v>8</v>
      </c>
      <c r="H6704" s="14">
        <f t="shared" si="2"/>
        <v>7</v>
      </c>
      <c r="I6704" s="15">
        <f t="shared" si="3"/>
        <v>8</v>
      </c>
    </row>
    <row r="6705">
      <c r="A6705" s="8" t="str">
        <f>IFERROR(__xludf.DUMMYFUNCTION("IF('(INGESTA)Datos_consumo_datadis'!A6705&lt;&gt;"""",SPLIT('(INGESTA)Datos_consumo_datadis'!A:A,"",""),"""")"),"ES0031408323131005HX0F")</f>
        <v>ES0031408323131005HX0F</v>
      </c>
      <c r="B6705" s="12">
        <f>IFERROR(__xludf.DUMMYFUNCTION("""COMPUTED_VALUE"""),45145.0)</f>
        <v>45145</v>
      </c>
      <c r="C6705" s="13">
        <f>IFERROR(__xludf.DUMMYFUNCTION("""COMPUTED_VALUE"""),0.375)</f>
        <v>0.375</v>
      </c>
      <c r="D6705" s="8">
        <f>IFERROR(__xludf.DUMMYFUNCTION("""COMPUTED_VALUE"""),0.087)</f>
        <v>0.087</v>
      </c>
      <c r="E6705" s="8" t="str">
        <f>IFERROR(__xludf.DUMMYFUNCTION("""COMPUTED_VALUE"""),"Real")</f>
        <v>Real</v>
      </c>
      <c r="G6705" s="8">
        <f t="shared" si="1"/>
        <v>8</v>
      </c>
      <c r="H6705" s="14">
        <f t="shared" si="2"/>
        <v>7</v>
      </c>
      <c r="I6705" s="15">
        <f t="shared" si="3"/>
        <v>9</v>
      </c>
    </row>
    <row r="6706">
      <c r="A6706" s="8" t="str">
        <f>IFERROR(__xludf.DUMMYFUNCTION("IF('(INGESTA)Datos_consumo_datadis'!A6706&lt;&gt;"""",SPLIT('(INGESTA)Datos_consumo_datadis'!A:A,"",""),"""")"),"ES0031408323131005HX0F")</f>
        <v>ES0031408323131005HX0F</v>
      </c>
      <c r="B6706" s="12">
        <f>IFERROR(__xludf.DUMMYFUNCTION("""COMPUTED_VALUE"""),45145.0)</f>
        <v>45145</v>
      </c>
      <c r="C6706" s="13">
        <f>IFERROR(__xludf.DUMMYFUNCTION("""COMPUTED_VALUE"""),0.4166666666666667)</f>
        <v>0.4166666667</v>
      </c>
      <c r="D6706" s="8">
        <f>IFERROR(__xludf.DUMMYFUNCTION("""COMPUTED_VALUE"""),0.273)</f>
        <v>0.273</v>
      </c>
      <c r="E6706" s="8" t="str">
        <f>IFERROR(__xludf.DUMMYFUNCTION("""COMPUTED_VALUE"""),"Real")</f>
        <v>Real</v>
      </c>
      <c r="G6706" s="8">
        <f t="shared" si="1"/>
        <v>8</v>
      </c>
      <c r="H6706" s="14">
        <f t="shared" si="2"/>
        <v>7</v>
      </c>
      <c r="I6706" s="15">
        <f t="shared" si="3"/>
        <v>10</v>
      </c>
    </row>
    <row r="6707">
      <c r="A6707" s="8" t="str">
        <f>IFERROR(__xludf.DUMMYFUNCTION("IF('(INGESTA)Datos_consumo_datadis'!A6707&lt;&gt;"""",SPLIT('(INGESTA)Datos_consumo_datadis'!A:A,"",""),"""")"),"ES0031408323131005HX0F")</f>
        <v>ES0031408323131005HX0F</v>
      </c>
      <c r="B6707" s="12">
        <f>IFERROR(__xludf.DUMMYFUNCTION("""COMPUTED_VALUE"""),45145.0)</f>
        <v>45145</v>
      </c>
      <c r="C6707" s="13">
        <f>IFERROR(__xludf.DUMMYFUNCTION("""COMPUTED_VALUE"""),0.4583333333333333)</f>
        <v>0.4583333333</v>
      </c>
      <c r="D6707" s="8">
        <f>IFERROR(__xludf.DUMMYFUNCTION("""COMPUTED_VALUE"""),0.5)</f>
        <v>0.5</v>
      </c>
      <c r="E6707" s="8" t="str">
        <f>IFERROR(__xludf.DUMMYFUNCTION("""COMPUTED_VALUE"""),"Real")</f>
        <v>Real</v>
      </c>
      <c r="G6707" s="8">
        <f t="shared" si="1"/>
        <v>8</v>
      </c>
      <c r="H6707" s="14">
        <f t="shared" si="2"/>
        <v>7</v>
      </c>
      <c r="I6707" s="15">
        <f t="shared" si="3"/>
        <v>11</v>
      </c>
    </row>
    <row r="6708">
      <c r="A6708" s="8" t="str">
        <f>IFERROR(__xludf.DUMMYFUNCTION("IF('(INGESTA)Datos_consumo_datadis'!A6708&lt;&gt;"""",SPLIT('(INGESTA)Datos_consumo_datadis'!A:A,"",""),"""")"),"ES0031408323131005HX0F")</f>
        <v>ES0031408323131005HX0F</v>
      </c>
      <c r="B6708" s="12">
        <f>IFERROR(__xludf.DUMMYFUNCTION("""COMPUTED_VALUE"""),45145.0)</f>
        <v>45145</v>
      </c>
      <c r="C6708" s="13">
        <f>IFERROR(__xludf.DUMMYFUNCTION("""COMPUTED_VALUE"""),0.5)</f>
        <v>0.5</v>
      </c>
      <c r="D6708" s="8">
        <f>IFERROR(__xludf.DUMMYFUNCTION("""COMPUTED_VALUE"""),0.665)</f>
        <v>0.665</v>
      </c>
      <c r="E6708" s="8" t="str">
        <f>IFERROR(__xludf.DUMMYFUNCTION("""COMPUTED_VALUE"""),"Real")</f>
        <v>Real</v>
      </c>
      <c r="G6708" s="8">
        <f t="shared" si="1"/>
        <v>8</v>
      </c>
      <c r="H6708" s="14">
        <f t="shared" si="2"/>
        <v>7</v>
      </c>
      <c r="I6708" s="15">
        <f t="shared" si="3"/>
        <v>12</v>
      </c>
    </row>
    <row r="6709">
      <c r="A6709" s="8" t="str">
        <f>IFERROR(__xludf.DUMMYFUNCTION("IF('(INGESTA)Datos_consumo_datadis'!A6709&lt;&gt;"""",SPLIT('(INGESTA)Datos_consumo_datadis'!A:A,"",""),"""")"),"ES0031408323131005HX0F")</f>
        <v>ES0031408323131005HX0F</v>
      </c>
      <c r="B6709" s="12">
        <f>IFERROR(__xludf.DUMMYFUNCTION("""COMPUTED_VALUE"""),45145.0)</f>
        <v>45145</v>
      </c>
      <c r="C6709" s="13">
        <f>IFERROR(__xludf.DUMMYFUNCTION("""COMPUTED_VALUE"""),0.5416666666666666)</f>
        <v>0.5416666667</v>
      </c>
      <c r="D6709" s="8">
        <f>IFERROR(__xludf.DUMMYFUNCTION("""COMPUTED_VALUE"""),0.132)</f>
        <v>0.132</v>
      </c>
      <c r="E6709" s="8" t="str">
        <f>IFERROR(__xludf.DUMMYFUNCTION("""COMPUTED_VALUE"""),"Real")</f>
        <v>Real</v>
      </c>
      <c r="G6709" s="8">
        <f t="shared" si="1"/>
        <v>8</v>
      </c>
      <c r="H6709" s="14">
        <f t="shared" si="2"/>
        <v>7</v>
      </c>
      <c r="I6709" s="15">
        <f t="shared" si="3"/>
        <v>13</v>
      </c>
    </row>
    <row r="6710">
      <c r="A6710" s="8" t="str">
        <f>IFERROR(__xludf.DUMMYFUNCTION("IF('(INGESTA)Datos_consumo_datadis'!A6710&lt;&gt;"""",SPLIT('(INGESTA)Datos_consumo_datadis'!A:A,"",""),"""")"),"ES0031408323131005HX0F")</f>
        <v>ES0031408323131005HX0F</v>
      </c>
      <c r="B6710" s="12">
        <f>IFERROR(__xludf.DUMMYFUNCTION("""COMPUTED_VALUE"""),45145.0)</f>
        <v>45145</v>
      </c>
      <c r="C6710" s="13">
        <f>IFERROR(__xludf.DUMMYFUNCTION("""COMPUTED_VALUE"""),0.5833333333333334)</f>
        <v>0.5833333333</v>
      </c>
      <c r="D6710" s="8">
        <f>IFERROR(__xludf.DUMMYFUNCTION("""COMPUTED_VALUE"""),0.128)</f>
        <v>0.128</v>
      </c>
      <c r="E6710" s="8" t="str">
        <f>IFERROR(__xludf.DUMMYFUNCTION("""COMPUTED_VALUE"""),"Real")</f>
        <v>Real</v>
      </c>
      <c r="G6710" s="8">
        <f t="shared" si="1"/>
        <v>8</v>
      </c>
      <c r="H6710" s="14">
        <f t="shared" si="2"/>
        <v>7</v>
      </c>
      <c r="I6710" s="15">
        <f t="shared" si="3"/>
        <v>14</v>
      </c>
    </row>
    <row r="6711">
      <c r="A6711" s="8" t="str">
        <f>IFERROR(__xludf.DUMMYFUNCTION("IF('(INGESTA)Datos_consumo_datadis'!A6711&lt;&gt;"""",SPLIT('(INGESTA)Datos_consumo_datadis'!A:A,"",""),"""")"),"ES0031408323131005HX0F")</f>
        <v>ES0031408323131005HX0F</v>
      </c>
      <c r="B6711" s="12">
        <f>IFERROR(__xludf.DUMMYFUNCTION("""COMPUTED_VALUE"""),45145.0)</f>
        <v>45145</v>
      </c>
      <c r="C6711" s="13">
        <f>IFERROR(__xludf.DUMMYFUNCTION("""COMPUTED_VALUE"""),0.625)</f>
        <v>0.625</v>
      </c>
      <c r="D6711" s="8">
        <f>IFERROR(__xludf.DUMMYFUNCTION("""COMPUTED_VALUE"""),0.224)</f>
        <v>0.224</v>
      </c>
      <c r="E6711" s="8" t="str">
        <f>IFERROR(__xludf.DUMMYFUNCTION("""COMPUTED_VALUE"""),"Real")</f>
        <v>Real</v>
      </c>
      <c r="G6711" s="8">
        <f t="shared" si="1"/>
        <v>8</v>
      </c>
      <c r="H6711" s="14">
        <f t="shared" si="2"/>
        <v>7</v>
      </c>
      <c r="I6711" s="15">
        <f t="shared" si="3"/>
        <v>15</v>
      </c>
    </row>
    <row r="6712">
      <c r="A6712" s="8" t="str">
        <f>IFERROR(__xludf.DUMMYFUNCTION("IF('(INGESTA)Datos_consumo_datadis'!A6712&lt;&gt;"""",SPLIT('(INGESTA)Datos_consumo_datadis'!A:A,"",""),"""")"),"ES0031408323131005HX0F")</f>
        <v>ES0031408323131005HX0F</v>
      </c>
      <c r="B6712" s="12">
        <f>IFERROR(__xludf.DUMMYFUNCTION("""COMPUTED_VALUE"""),45145.0)</f>
        <v>45145</v>
      </c>
      <c r="C6712" s="13">
        <f>IFERROR(__xludf.DUMMYFUNCTION("""COMPUTED_VALUE"""),0.6666666666666666)</f>
        <v>0.6666666667</v>
      </c>
      <c r="D6712" s="8">
        <f>IFERROR(__xludf.DUMMYFUNCTION("""COMPUTED_VALUE"""),0.399)</f>
        <v>0.399</v>
      </c>
      <c r="E6712" s="8" t="str">
        <f>IFERROR(__xludf.DUMMYFUNCTION("""COMPUTED_VALUE"""),"Real")</f>
        <v>Real</v>
      </c>
      <c r="G6712" s="8">
        <f t="shared" si="1"/>
        <v>8</v>
      </c>
      <c r="H6712" s="14">
        <f t="shared" si="2"/>
        <v>7</v>
      </c>
      <c r="I6712" s="15">
        <f t="shared" si="3"/>
        <v>16</v>
      </c>
    </row>
    <row r="6713">
      <c r="A6713" s="8" t="str">
        <f>IFERROR(__xludf.DUMMYFUNCTION("IF('(INGESTA)Datos_consumo_datadis'!A6713&lt;&gt;"""",SPLIT('(INGESTA)Datos_consumo_datadis'!A:A,"",""),"""")"),"ES0031408323131005HX0F")</f>
        <v>ES0031408323131005HX0F</v>
      </c>
      <c r="B6713" s="12">
        <f>IFERROR(__xludf.DUMMYFUNCTION("""COMPUTED_VALUE"""),45145.0)</f>
        <v>45145</v>
      </c>
      <c r="C6713" s="13">
        <f>IFERROR(__xludf.DUMMYFUNCTION("""COMPUTED_VALUE"""),0.7083333333333334)</f>
        <v>0.7083333333</v>
      </c>
      <c r="D6713" s="8">
        <f>IFERROR(__xludf.DUMMYFUNCTION("""COMPUTED_VALUE"""),0.445)</f>
        <v>0.445</v>
      </c>
      <c r="E6713" s="8" t="str">
        <f>IFERROR(__xludf.DUMMYFUNCTION("""COMPUTED_VALUE"""),"Real")</f>
        <v>Real</v>
      </c>
      <c r="G6713" s="8">
        <f t="shared" si="1"/>
        <v>8</v>
      </c>
      <c r="H6713" s="14">
        <f t="shared" si="2"/>
        <v>7</v>
      </c>
      <c r="I6713" s="15">
        <f t="shared" si="3"/>
        <v>17</v>
      </c>
    </row>
    <row r="6714">
      <c r="A6714" s="8" t="str">
        <f>IFERROR(__xludf.DUMMYFUNCTION("IF('(INGESTA)Datos_consumo_datadis'!A6714&lt;&gt;"""",SPLIT('(INGESTA)Datos_consumo_datadis'!A:A,"",""),"""")"),"ES0031408323131005HX0F")</f>
        <v>ES0031408323131005HX0F</v>
      </c>
      <c r="B6714" s="12">
        <f>IFERROR(__xludf.DUMMYFUNCTION("""COMPUTED_VALUE"""),45145.0)</f>
        <v>45145</v>
      </c>
      <c r="C6714" s="13">
        <f>IFERROR(__xludf.DUMMYFUNCTION("""COMPUTED_VALUE"""),0.75)</f>
        <v>0.75</v>
      </c>
      <c r="D6714" s="8">
        <f>IFERROR(__xludf.DUMMYFUNCTION("""COMPUTED_VALUE"""),0.233)</f>
        <v>0.233</v>
      </c>
      <c r="E6714" s="8" t="str">
        <f>IFERROR(__xludf.DUMMYFUNCTION("""COMPUTED_VALUE"""),"Real")</f>
        <v>Real</v>
      </c>
      <c r="G6714" s="8">
        <f t="shared" si="1"/>
        <v>8</v>
      </c>
      <c r="H6714" s="14">
        <f t="shared" si="2"/>
        <v>7</v>
      </c>
      <c r="I6714" s="15">
        <f t="shared" si="3"/>
        <v>18</v>
      </c>
    </row>
    <row r="6715">
      <c r="A6715" s="8" t="str">
        <f>IFERROR(__xludf.DUMMYFUNCTION("IF('(INGESTA)Datos_consumo_datadis'!A6715&lt;&gt;"""",SPLIT('(INGESTA)Datos_consumo_datadis'!A:A,"",""),"""")"),"ES0031408323131005HX0F")</f>
        <v>ES0031408323131005HX0F</v>
      </c>
      <c r="B6715" s="12">
        <f>IFERROR(__xludf.DUMMYFUNCTION("""COMPUTED_VALUE"""),45145.0)</f>
        <v>45145</v>
      </c>
      <c r="C6715" s="13">
        <f>IFERROR(__xludf.DUMMYFUNCTION("""COMPUTED_VALUE"""),0.7916666666666666)</f>
        <v>0.7916666667</v>
      </c>
      <c r="D6715" s="8">
        <f>IFERROR(__xludf.DUMMYFUNCTION("""COMPUTED_VALUE"""),0.421)</f>
        <v>0.421</v>
      </c>
      <c r="E6715" s="8" t="str">
        <f>IFERROR(__xludf.DUMMYFUNCTION("""COMPUTED_VALUE"""),"Real")</f>
        <v>Real</v>
      </c>
      <c r="G6715" s="8">
        <f t="shared" si="1"/>
        <v>8</v>
      </c>
      <c r="H6715" s="14">
        <f t="shared" si="2"/>
        <v>7</v>
      </c>
      <c r="I6715" s="15">
        <f t="shared" si="3"/>
        <v>19</v>
      </c>
    </row>
    <row r="6716">
      <c r="A6716" s="8" t="str">
        <f>IFERROR(__xludf.DUMMYFUNCTION("IF('(INGESTA)Datos_consumo_datadis'!A6716&lt;&gt;"""",SPLIT('(INGESTA)Datos_consumo_datadis'!A:A,"",""),"""")"),"ES0031408323131005HX0F")</f>
        <v>ES0031408323131005HX0F</v>
      </c>
      <c r="B6716" s="12">
        <f>IFERROR(__xludf.DUMMYFUNCTION("""COMPUTED_VALUE"""),45145.0)</f>
        <v>45145</v>
      </c>
      <c r="C6716" s="13">
        <f>IFERROR(__xludf.DUMMYFUNCTION("""COMPUTED_VALUE"""),0.8333333333333334)</f>
        <v>0.8333333333</v>
      </c>
      <c r="D6716" s="8">
        <f>IFERROR(__xludf.DUMMYFUNCTION("""COMPUTED_VALUE"""),0.13)</f>
        <v>0.13</v>
      </c>
      <c r="E6716" s="8" t="str">
        <f>IFERROR(__xludf.DUMMYFUNCTION("""COMPUTED_VALUE"""),"Real")</f>
        <v>Real</v>
      </c>
      <c r="G6716" s="8">
        <f t="shared" si="1"/>
        <v>8</v>
      </c>
      <c r="H6716" s="14">
        <f t="shared" si="2"/>
        <v>7</v>
      </c>
      <c r="I6716" s="15">
        <f t="shared" si="3"/>
        <v>20</v>
      </c>
    </row>
    <row r="6717">
      <c r="A6717" s="8" t="str">
        <f>IFERROR(__xludf.DUMMYFUNCTION("IF('(INGESTA)Datos_consumo_datadis'!A6717&lt;&gt;"""",SPLIT('(INGESTA)Datos_consumo_datadis'!A:A,"",""),"""")"),"ES0031408323131005HX0F")</f>
        <v>ES0031408323131005HX0F</v>
      </c>
      <c r="B6717" s="12">
        <f>IFERROR(__xludf.DUMMYFUNCTION("""COMPUTED_VALUE"""),45145.0)</f>
        <v>45145</v>
      </c>
      <c r="C6717" s="13">
        <f>IFERROR(__xludf.DUMMYFUNCTION("""COMPUTED_VALUE"""),0.875)</f>
        <v>0.875</v>
      </c>
      <c r="D6717" s="8">
        <f>IFERROR(__xludf.DUMMYFUNCTION("""COMPUTED_VALUE"""),0.073)</f>
        <v>0.073</v>
      </c>
      <c r="E6717" s="8" t="str">
        <f>IFERROR(__xludf.DUMMYFUNCTION("""COMPUTED_VALUE"""),"Real")</f>
        <v>Real</v>
      </c>
      <c r="G6717" s="8">
        <f t="shared" si="1"/>
        <v>8</v>
      </c>
      <c r="H6717" s="14">
        <f t="shared" si="2"/>
        <v>7</v>
      </c>
      <c r="I6717" s="15">
        <f t="shared" si="3"/>
        <v>21</v>
      </c>
    </row>
    <row r="6718">
      <c r="A6718" s="8" t="str">
        <f>IFERROR(__xludf.DUMMYFUNCTION("IF('(INGESTA)Datos_consumo_datadis'!A6718&lt;&gt;"""",SPLIT('(INGESTA)Datos_consumo_datadis'!A:A,"",""),"""")"),"ES0031408323131005HX0F")</f>
        <v>ES0031408323131005HX0F</v>
      </c>
      <c r="B6718" s="12">
        <f>IFERROR(__xludf.DUMMYFUNCTION("""COMPUTED_VALUE"""),45145.0)</f>
        <v>45145</v>
      </c>
      <c r="C6718" s="13">
        <f>IFERROR(__xludf.DUMMYFUNCTION("""COMPUTED_VALUE"""),0.9166666666666666)</f>
        <v>0.9166666667</v>
      </c>
      <c r="D6718" s="8">
        <f>IFERROR(__xludf.DUMMYFUNCTION("""COMPUTED_VALUE"""),0.277)</f>
        <v>0.277</v>
      </c>
      <c r="E6718" s="8" t="str">
        <f>IFERROR(__xludf.DUMMYFUNCTION("""COMPUTED_VALUE"""),"Real")</f>
        <v>Real</v>
      </c>
      <c r="G6718" s="8">
        <f t="shared" si="1"/>
        <v>8</v>
      </c>
      <c r="H6718" s="14">
        <f t="shared" si="2"/>
        <v>7</v>
      </c>
      <c r="I6718" s="15">
        <f t="shared" si="3"/>
        <v>22</v>
      </c>
    </row>
    <row r="6719">
      <c r="A6719" s="8" t="str">
        <f>IFERROR(__xludf.DUMMYFUNCTION("IF('(INGESTA)Datos_consumo_datadis'!A6719&lt;&gt;"""",SPLIT('(INGESTA)Datos_consumo_datadis'!A:A,"",""),"""")"),"ES0031408323131005HX0F")</f>
        <v>ES0031408323131005HX0F</v>
      </c>
      <c r="B6719" s="12">
        <f>IFERROR(__xludf.DUMMYFUNCTION("""COMPUTED_VALUE"""),45145.0)</f>
        <v>45145</v>
      </c>
      <c r="C6719" s="13">
        <f>IFERROR(__xludf.DUMMYFUNCTION("""COMPUTED_VALUE"""),0.9583333333333334)</f>
        <v>0.9583333333</v>
      </c>
      <c r="D6719" s="8">
        <f>IFERROR(__xludf.DUMMYFUNCTION("""COMPUTED_VALUE"""),0.343)</f>
        <v>0.343</v>
      </c>
      <c r="E6719" s="8" t="str">
        <f>IFERROR(__xludf.DUMMYFUNCTION("""COMPUTED_VALUE"""),"Real")</f>
        <v>Real</v>
      </c>
      <c r="G6719" s="8">
        <f t="shared" si="1"/>
        <v>8</v>
      </c>
      <c r="H6719" s="14">
        <f t="shared" si="2"/>
        <v>7</v>
      </c>
      <c r="I6719" s="15">
        <f t="shared" si="3"/>
        <v>23</v>
      </c>
    </row>
    <row r="6720">
      <c r="A6720" s="8" t="str">
        <f>IFERROR(__xludf.DUMMYFUNCTION("IF('(INGESTA)Datos_consumo_datadis'!A6720&lt;&gt;"""",SPLIT('(INGESTA)Datos_consumo_datadis'!A:A,"",""),"""")"),"ES0031408323131005HX0F")</f>
        <v>ES0031408323131005HX0F</v>
      </c>
      <c r="B6720" s="12">
        <f>IFERROR(__xludf.DUMMYFUNCTION("""COMPUTED_VALUE"""),45145.0)</f>
        <v>45145</v>
      </c>
      <c r="C6720" s="16">
        <f>IFERROR(__xludf.DUMMYFUNCTION("""COMPUTED_VALUE"""),1.0)</f>
        <v>1</v>
      </c>
      <c r="D6720" s="8">
        <f>IFERROR(__xludf.DUMMYFUNCTION("""COMPUTED_VALUE"""),0.314)</f>
        <v>0.314</v>
      </c>
      <c r="E6720" s="8" t="str">
        <f>IFERROR(__xludf.DUMMYFUNCTION("""COMPUTED_VALUE"""),"Real")</f>
        <v>Real</v>
      </c>
      <c r="G6720" s="8">
        <f t="shared" si="1"/>
        <v>8</v>
      </c>
      <c r="H6720" s="14">
        <f t="shared" si="2"/>
        <v>7</v>
      </c>
      <c r="I6720" s="15">
        <f t="shared" si="3"/>
        <v>0</v>
      </c>
    </row>
    <row r="6721">
      <c r="A6721" s="8" t="str">
        <f>IFERROR(__xludf.DUMMYFUNCTION("IF('(INGESTA)Datos_consumo_datadis'!A6721&lt;&gt;"""",SPLIT('(INGESTA)Datos_consumo_datadis'!A:A,"",""),"""")"),"ES0031408323131005HX0F")</f>
        <v>ES0031408323131005HX0F</v>
      </c>
      <c r="B6721" s="12">
        <f>IFERROR(__xludf.DUMMYFUNCTION("""COMPUTED_VALUE"""),45146.0)</f>
        <v>45146</v>
      </c>
      <c r="C6721" s="13">
        <f>IFERROR(__xludf.DUMMYFUNCTION("""COMPUTED_VALUE"""),0.041666666666666664)</f>
        <v>0.04166666667</v>
      </c>
      <c r="D6721" s="8">
        <f>IFERROR(__xludf.DUMMYFUNCTION("""COMPUTED_VALUE"""),0.3)</f>
        <v>0.3</v>
      </c>
      <c r="E6721" s="8" t="str">
        <f>IFERROR(__xludf.DUMMYFUNCTION("""COMPUTED_VALUE"""),"Real")</f>
        <v>Real</v>
      </c>
      <c r="G6721" s="8">
        <f t="shared" si="1"/>
        <v>8</v>
      </c>
      <c r="H6721" s="14">
        <f t="shared" si="2"/>
        <v>8</v>
      </c>
      <c r="I6721" s="15">
        <f t="shared" si="3"/>
        <v>1</v>
      </c>
    </row>
    <row r="6722">
      <c r="A6722" s="8" t="str">
        <f>IFERROR(__xludf.DUMMYFUNCTION("IF('(INGESTA)Datos_consumo_datadis'!A6722&lt;&gt;"""",SPLIT('(INGESTA)Datos_consumo_datadis'!A:A,"",""),"""")"),"ES0031408323131005HX0F")</f>
        <v>ES0031408323131005HX0F</v>
      </c>
      <c r="B6722" s="12">
        <f>IFERROR(__xludf.DUMMYFUNCTION("""COMPUTED_VALUE"""),45146.0)</f>
        <v>45146</v>
      </c>
      <c r="C6722" s="13">
        <f>IFERROR(__xludf.DUMMYFUNCTION("""COMPUTED_VALUE"""),0.08333333333333333)</f>
        <v>0.08333333333</v>
      </c>
      <c r="D6722" s="8">
        <f>IFERROR(__xludf.DUMMYFUNCTION("""COMPUTED_VALUE"""),0.312)</f>
        <v>0.312</v>
      </c>
      <c r="E6722" s="8" t="str">
        <f>IFERROR(__xludf.DUMMYFUNCTION("""COMPUTED_VALUE"""),"Real")</f>
        <v>Real</v>
      </c>
      <c r="G6722" s="8">
        <f t="shared" si="1"/>
        <v>8</v>
      </c>
      <c r="H6722" s="14">
        <f t="shared" si="2"/>
        <v>8</v>
      </c>
      <c r="I6722" s="15">
        <f t="shared" si="3"/>
        <v>2</v>
      </c>
    </row>
    <row r="6723">
      <c r="A6723" s="8" t="str">
        <f>IFERROR(__xludf.DUMMYFUNCTION("IF('(INGESTA)Datos_consumo_datadis'!A6723&lt;&gt;"""",SPLIT('(INGESTA)Datos_consumo_datadis'!A:A,"",""),"""")"),"ES0031408323131005HX0F")</f>
        <v>ES0031408323131005HX0F</v>
      </c>
      <c r="B6723" s="12">
        <f>IFERROR(__xludf.DUMMYFUNCTION("""COMPUTED_VALUE"""),45146.0)</f>
        <v>45146</v>
      </c>
      <c r="C6723" s="13">
        <f>IFERROR(__xludf.DUMMYFUNCTION("""COMPUTED_VALUE"""),0.125)</f>
        <v>0.125</v>
      </c>
      <c r="D6723" s="8">
        <f>IFERROR(__xludf.DUMMYFUNCTION("""COMPUTED_VALUE"""),0.399)</f>
        <v>0.399</v>
      </c>
      <c r="E6723" s="8" t="str">
        <f>IFERROR(__xludf.DUMMYFUNCTION("""COMPUTED_VALUE"""),"Real")</f>
        <v>Real</v>
      </c>
      <c r="G6723" s="8">
        <f t="shared" si="1"/>
        <v>8</v>
      </c>
      <c r="H6723" s="14">
        <f t="shared" si="2"/>
        <v>8</v>
      </c>
      <c r="I6723" s="15">
        <f t="shared" si="3"/>
        <v>3</v>
      </c>
    </row>
    <row r="6724">
      <c r="A6724" s="8" t="str">
        <f>IFERROR(__xludf.DUMMYFUNCTION("IF('(INGESTA)Datos_consumo_datadis'!A6724&lt;&gt;"""",SPLIT('(INGESTA)Datos_consumo_datadis'!A:A,"",""),"""")"),"ES0031408323131005HX0F")</f>
        <v>ES0031408323131005HX0F</v>
      </c>
      <c r="B6724" s="12">
        <f>IFERROR(__xludf.DUMMYFUNCTION("""COMPUTED_VALUE"""),45146.0)</f>
        <v>45146</v>
      </c>
      <c r="C6724" s="13">
        <f>IFERROR(__xludf.DUMMYFUNCTION("""COMPUTED_VALUE"""),0.16666666666666666)</f>
        <v>0.1666666667</v>
      </c>
      <c r="D6724" s="8">
        <f>IFERROR(__xludf.DUMMYFUNCTION("""COMPUTED_VALUE"""),0.138)</f>
        <v>0.138</v>
      </c>
      <c r="E6724" s="8" t="str">
        <f>IFERROR(__xludf.DUMMYFUNCTION("""COMPUTED_VALUE"""),"Real")</f>
        <v>Real</v>
      </c>
      <c r="G6724" s="8">
        <f t="shared" si="1"/>
        <v>8</v>
      </c>
      <c r="H6724" s="14">
        <f t="shared" si="2"/>
        <v>8</v>
      </c>
      <c r="I6724" s="15">
        <f t="shared" si="3"/>
        <v>4</v>
      </c>
    </row>
    <row r="6725">
      <c r="A6725" s="8" t="str">
        <f>IFERROR(__xludf.DUMMYFUNCTION("IF('(INGESTA)Datos_consumo_datadis'!A6725&lt;&gt;"""",SPLIT('(INGESTA)Datos_consumo_datadis'!A:A,"",""),"""")"),"ES0031408323131005HX0F")</f>
        <v>ES0031408323131005HX0F</v>
      </c>
      <c r="B6725" s="12">
        <f>IFERROR(__xludf.DUMMYFUNCTION("""COMPUTED_VALUE"""),45146.0)</f>
        <v>45146</v>
      </c>
      <c r="C6725" s="13">
        <f>IFERROR(__xludf.DUMMYFUNCTION("""COMPUTED_VALUE"""),0.20833333333333334)</f>
        <v>0.2083333333</v>
      </c>
      <c r="D6725" s="8">
        <f>IFERROR(__xludf.DUMMYFUNCTION("""COMPUTED_VALUE"""),0.095)</f>
        <v>0.095</v>
      </c>
      <c r="E6725" s="8" t="str">
        <f>IFERROR(__xludf.DUMMYFUNCTION("""COMPUTED_VALUE"""),"Real")</f>
        <v>Real</v>
      </c>
      <c r="G6725" s="8">
        <f t="shared" si="1"/>
        <v>8</v>
      </c>
      <c r="H6725" s="14">
        <f t="shared" si="2"/>
        <v>8</v>
      </c>
      <c r="I6725" s="15">
        <f t="shared" si="3"/>
        <v>5</v>
      </c>
    </row>
    <row r="6726">
      <c r="A6726" s="8" t="str">
        <f>IFERROR(__xludf.DUMMYFUNCTION("IF('(INGESTA)Datos_consumo_datadis'!A6726&lt;&gt;"""",SPLIT('(INGESTA)Datos_consumo_datadis'!A:A,"",""),"""")"),"ES0031408323131005HX0F")</f>
        <v>ES0031408323131005HX0F</v>
      </c>
      <c r="B6726" s="12">
        <f>IFERROR(__xludf.DUMMYFUNCTION("""COMPUTED_VALUE"""),45146.0)</f>
        <v>45146</v>
      </c>
      <c r="C6726" s="13">
        <f>IFERROR(__xludf.DUMMYFUNCTION("""COMPUTED_VALUE"""),0.25)</f>
        <v>0.25</v>
      </c>
      <c r="D6726" s="8">
        <f>IFERROR(__xludf.DUMMYFUNCTION("""COMPUTED_VALUE"""),0.049)</f>
        <v>0.049</v>
      </c>
      <c r="E6726" s="8" t="str">
        <f>IFERROR(__xludf.DUMMYFUNCTION("""COMPUTED_VALUE"""),"Real")</f>
        <v>Real</v>
      </c>
      <c r="G6726" s="8">
        <f t="shared" si="1"/>
        <v>8</v>
      </c>
      <c r="H6726" s="14">
        <f t="shared" si="2"/>
        <v>8</v>
      </c>
      <c r="I6726" s="15">
        <f t="shared" si="3"/>
        <v>6</v>
      </c>
    </row>
    <row r="6727">
      <c r="A6727" s="8" t="str">
        <f>IFERROR(__xludf.DUMMYFUNCTION("IF('(INGESTA)Datos_consumo_datadis'!A6727&lt;&gt;"""",SPLIT('(INGESTA)Datos_consumo_datadis'!A:A,"",""),"""")"),"ES0031408323131005HX0F")</f>
        <v>ES0031408323131005HX0F</v>
      </c>
      <c r="B6727" s="12">
        <f>IFERROR(__xludf.DUMMYFUNCTION("""COMPUTED_VALUE"""),45146.0)</f>
        <v>45146</v>
      </c>
      <c r="C6727" s="13">
        <f>IFERROR(__xludf.DUMMYFUNCTION("""COMPUTED_VALUE"""),0.2916666666666667)</f>
        <v>0.2916666667</v>
      </c>
      <c r="D6727" s="8">
        <f>IFERROR(__xludf.DUMMYFUNCTION("""COMPUTED_VALUE"""),0.132)</f>
        <v>0.132</v>
      </c>
      <c r="E6727" s="8" t="str">
        <f>IFERROR(__xludf.DUMMYFUNCTION("""COMPUTED_VALUE"""),"Real")</f>
        <v>Real</v>
      </c>
      <c r="G6727" s="8">
        <f t="shared" si="1"/>
        <v>8</v>
      </c>
      <c r="H6727" s="14">
        <f t="shared" si="2"/>
        <v>8</v>
      </c>
      <c r="I6727" s="15">
        <f t="shared" si="3"/>
        <v>7</v>
      </c>
    </row>
    <row r="6728">
      <c r="A6728" s="8" t="str">
        <f>IFERROR(__xludf.DUMMYFUNCTION("IF('(INGESTA)Datos_consumo_datadis'!A6728&lt;&gt;"""",SPLIT('(INGESTA)Datos_consumo_datadis'!A:A,"",""),"""")"),"ES0031408323131005HX0F")</f>
        <v>ES0031408323131005HX0F</v>
      </c>
      <c r="B6728" s="12">
        <f>IFERROR(__xludf.DUMMYFUNCTION("""COMPUTED_VALUE"""),45146.0)</f>
        <v>45146</v>
      </c>
      <c r="C6728" s="13">
        <f>IFERROR(__xludf.DUMMYFUNCTION("""COMPUTED_VALUE"""),0.3333333333333333)</f>
        <v>0.3333333333</v>
      </c>
      <c r="D6728" s="8">
        <f>IFERROR(__xludf.DUMMYFUNCTION("""COMPUTED_VALUE"""),0.098)</f>
        <v>0.098</v>
      </c>
      <c r="E6728" s="8" t="str">
        <f>IFERROR(__xludf.DUMMYFUNCTION("""COMPUTED_VALUE"""),"Real")</f>
        <v>Real</v>
      </c>
      <c r="G6728" s="8">
        <f t="shared" si="1"/>
        <v>8</v>
      </c>
      <c r="H6728" s="14">
        <f t="shared" si="2"/>
        <v>8</v>
      </c>
      <c r="I6728" s="15">
        <f t="shared" si="3"/>
        <v>8</v>
      </c>
    </row>
    <row r="6729">
      <c r="A6729" s="8" t="str">
        <f>IFERROR(__xludf.DUMMYFUNCTION("IF('(INGESTA)Datos_consumo_datadis'!A6729&lt;&gt;"""",SPLIT('(INGESTA)Datos_consumo_datadis'!A:A,"",""),"""")"),"ES0031408323131005HX0F")</f>
        <v>ES0031408323131005HX0F</v>
      </c>
      <c r="B6729" s="12">
        <f>IFERROR(__xludf.DUMMYFUNCTION("""COMPUTED_VALUE"""),45146.0)</f>
        <v>45146</v>
      </c>
      <c r="C6729" s="13">
        <f>IFERROR(__xludf.DUMMYFUNCTION("""COMPUTED_VALUE"""),0.375)</f>
        <v>0.375</v>
      </c>
      <c r="D6729" s="8">
        <f>IFERROR(__xludf.DUMMYFUNCTION("""COMPUTED_VALUE"""),0.089)</f>
        <v>0.089</v>
      </c>
      <c r="E6729" s="8" t="str">
        <f>IFERROR(__xludf.DUMMYFUNCTION("""COMPUTED_VALUE"""),"Real")</f>
        <v>Real</v>
      </c>
      <c r="G6729" s="8">
        <f t="shared" si="1"/>
        <v>8</v>
      </c>
      <c r="H6729" s="14">
        <f t="shared" si="2"/>
        <v>8</v>
      </c>
      <c r="I6729" s="15">
        <f t="shared" si="3"/>
        <v>9</v>
      </c>
    </row>
    <row r="6730">
      <c r="A6730" s="8" t="str">
        <f>IFERROR(__xludf.DUMMYFUNCTION("IF('(INGESTA)Datos_consumo_datadis'!A6730&lt;&gt;"""",SPLIT('(INGESTA)Datos_consumo_datadis'!A:A,"",""),"""")"),"ES0031408323131005HX0F")</f>
        <v>ES0031408323131005HX0F</v>
      </c>
      <c r="B6730" s="12">
        <f>IFERROR(__xludf.DUMMYFUNCTION("""COMPUTED_VALUE"""),45146.0)</f>
        <v>45146</v>
      </c>
      <c r="C6730" s="13">
        <f>IFERROR(__xludf.DUMMYFUNCTION("""COMPUTED_VALUE"""),0.4166666666666667)</f>
        <v>0.4166666667</v>
      </c>
      <c r="D6730" s="8">
        <f>IFERROR(__xludf.DUMMYFUNCTION("""COMPUTED_VALUE"""),0.262)</f>
        <v>0.262</v>
      </c>
      <c r="E6730" s="8" t="str">
        <f>IFERROR(__xludf.DUMMYFUNCTION("""COMPUTED_VALUE"""),"Real")</f>
        <v>Real</v>
      </c>
      <c r="G6730" s="8">
        <f t="shared" si="1"/>
        <v>8</v>
      </c>
      <c r="H6730" s="14">
        <f t="shared" si="2"/>
        <v>8</v>
      </c>
      <c r="I6730" s="15">
        <f t="shared" si="3"/>
        <v>10</v>
      </c>
    </row>
    <row r="6731">
      <c r="A6731" s="8" t="str">
        <f>IFERROR(__xludf.DUMMYFUNCTION("IF('(INGESTA)Datos_consumo_datadis'!A6731&lt;&gt;"""",SPLIT('(INGESTA)Datos_consumo_datadis'!A:A,"",""),"""")"),"ES0031408323131005HX0F")</f>
        <v>ES0031408323131005HX0F</v>
      </c>
      <c r="B6731" s="12">
        <f>IFERROR(__xludf.DUMMYFUNCTION("""COMPUTED_VALUE"""),45146.0)</f>
        <v>45146</v>
      </c>
      <c r="C6731" s="13">
        <f>IFERROR(__xludf.DUMMYFUNCTION("""COMPUTED_VALUE"""),0.4583333333333333)</f>
        <v>0.4583333333</v>
      </c>
      <c r="D6731" s="8">
        <f>IFERROR(__xludf.DUMMYFUNCTION("""COMPUTED_VALUE"""),0.537)</f>
        <v>0.537</v>
      </c>
      <c r="E6731" s="8" t="str">
        <f>IFERROR(__xludf.DUMMYFUNCTION("""COMPUTED_VALUE"""),"Real")</f>
        <v>Real</v>
      </c>
      <c r="G6731" s="8">
        <f t="shared" si="1"/>
        <v>8</v>
      </c>
      <c r="H6731" s="14">
        <f t="shared" si="2"/>
        <v>8</v>
      </c>
      <c r="I6731" s="15">
        <f t="shared" si="3"/>
        <v>11</v>
      </c>
    </row>
    <row r="6732">
      <c r="A6732" s="8" t="str">
        <f>IFERROR(__xludf.DUMMYFUNCTION("IF('(INGESTA)Datos_consumo_datadis'!A6732&lt;&gt;"""",SPLIT('(INGESTA)Datos_consumo_datadis'!A:A,"",""),"""")"),"ES0031408323131005HX0F")</f>
        <v>ES0031408323131005HX0F</v>
      </c>
      <c r="B6732" s="12">
        <f>IFERROR(__xludf.DUMMYFUNCTION("""COMPUTED_VALUE"""),45146.0)</f>
        <v>45146</v>
      </c>
      <c r="C6732" s="13">
        <f>IFERROR(__xludf.DUMMYFUNCTION("""COMPUTED_VALUE"""),0.5)</f>
        <v>0.5</v>
      </c>
      <c r="D6732" s="8">
        <f>IFERROR(__xludf.DUMMYFUNCTION("""COMPUTED_VALUE"""),0.144)</f>
        <v>0.144</v>
      </c>
      <c r="E6732" s="8" t="str">
        <f>IFERROR(__xludf.DUMMYFUNCTION("""COMPUTED_VALUE"""),"Real")</f>
        <v>Real</v>
      </c>
      <c r="G6732" s="8">
        <f t="shared" si="1"/>
        <v>8</v>
      </c>
      <c r="H6732" s="14">
        <f t="shared" si="2"/>
        <v>8</v>
      </c>
      <c r="I6732" s="15">
        <f t="shared" si="3"/>
        <v>12</v>
      </c>
    </row>
    <row r="6733">
      <c r="A6733" s="8" t="str">
        <f>IFERROR(__xludf.DUMMYFUNCTION("IF('(INGESTA)Datos_consumo_datadis'!A6733&lt;&gt;"""",SPLIT('(INGESTA)Datos_consumo_datadis'!A:A,"",""),"""")"),"ES0031408323131005HX0F")</f>
        <v>ES0031408323131005HX0F</v>
      </c>
      <c r="B6733" s="12">
        <f>IFERROR(__xludf.DUMMYFUNCTION("""COMPUTED_VALUE"""),45146.0)</f>
        <v>45146</v>
      </c>
      <c r="C6733" s="13">
        <f>IFERROR(__xludf.DUMMYFUNCTION("""COMPUTED_VALUE"""),0.5416666666666666)</f>
        <v>0.5416666667</v>
      </c>
      <c r="D6733" s="8">
        <f>IFERROR(__xludf.DUMMYFUNCTION("""COMPUTED_VALUE"""),0.151)</f>
        <v>0.151</v>
      </c>
      <c r="E6733" s="8" t="str">
        <f>IFERROR(__xludf.DUMMYFUNCTION("""COMPUTED_VALUE"""),"Real")</f>
        <v>Real</v>
      </c>
      <c r="G6733" s="8">
        <f t="shared" si="1"/>
        <v>8</v>
      </c>
      <c r="H6733" s="14">
        <f t="shared" si="2"/>
        <v>8</v>
      </c>
      <c r="I6733" s="15">
        <f t="shared" si="3"/>
        <v>13</v>
      </c>
    </row>
    <row r="6734">
      <c r="A6734" s="8" t="str">
        <f>IFERROR(__xludf.DUMMYFUNCTION("IF('(INGESTA)Datos_consumo_datadis'!A6734&lt;&gt;"""",SPLIT('(INGESTA)Datos_consumo_datadis'!A:A,"",""),"""")"),"ES0031408323131005HX0F")</f>
        <v>ES0031408323131005HX0F</v>
      </c>
      <c r="B6734" s="12">
        <f>IFERROR(__xludf.DUMMYFUNCTION("""COMPUTED_VALUE"""),45146.0)</f>
        <v>45146</v>
      </c>
      <c r="C6734" s="13">
        <f>IFERROR(__xludf.DUMMYFUNCTION("""COMPUTED_VALUE"""),0.5833333333333334)</f>
        <v>0.5833333333</v>
      </c>
      <c r="D6734" s="8">
        <f>IFERROR(__xludf.DUMMYFUNCTION("""COMPUTED_VALUE"""),0.127)</f>
        <v>0.127</v>
      </c>
      <c r="E6734" s="8" t="str">
        <f>IFERROR(__xludf.DUMMYFUNCTION("""COMPUTED_VALUE"""),"Real")</f>
        <v>Real</v>
      </c>
      <c r="G6734" s="8">
        <f t="shared" si="1"/>
        <v>8</v>
      </c>
      <c r="H6734" s="14">
        <f t="shared" si="2"/>
        <v>8</v>
      </c>
      <c r="I6734" s="15">
        <f t="shared" si="3"/>
        <v>14</v>
      </c>
    </row>
    <row r="6735">
      <c r="A6735" s="8" t="str">
        <f>IFERROR(__xludf.DUMMYFUNCTION("IF('(INGESTA)Datos_consumo_datadis'!A6735&lt;&gt;"""",SPLIT('(INGESTA)Datos_consumo_datadis'!A:A,"",""),"""")"),"ES0031408323131005HX0F")</f>
        <v>ES0031408323131005HX0F</v>
      </c>
      <c r="B6735" s="12">
        <f>IFERROR(__xludf.DUMMYFUNCTION("""COMPUTED_VALUE"""),45146.0)</f>
        <v>45146</v>
      </c>
      <c r="C6735" s="13">
        <f>IFERROR(__xludf.DUMMYFUNCTION("""COMPUTED_VALUE"""),0.625)</f>
        <v>0.625</v>
      </c>
      <c r="D6735" s="8">
        <f>IFERROR(__xludf.DUMMYFUNCTION("""COMPUTED_VALUE"""),0.126)</f>
        <v>0.126</v>
      </c>
      <c r="E6735" s="8" t="str">
        <f>IFERROR(__xludf.DUMMYFUNCTION("""COMPUTED_VALUE"""),"Real")</f>
        <v>Real</v>
      </c>
      <c r="G6735" s="8">
        <f t="shared" si="1"/>
        <v>8</v>
      </c>
      <c r="H6735" s="14">
        <f t="shared" si="2"/>
        <v>8</v>
      </c>
      <c r="I6735" s="15">
        <f t="shared" si="3"/>
        <v>15</v>
      </c>
    </row>
    <row r="6736">
      <c r="A6736" s="8" t="str">
        <f>IFERROR(__xludf.DUMMYFUNCTION("IF('(INGESTA)Datos_consumo_datadis'!A6736&lt;&gt;"""",SPLIT('(INGESTA)Datos_consumo_datadis'!A:A,"",""),"""")"),"ES0031408323131005HX0F")</f>
        <v>ES0031408323131005HX0F</v>
      </c>
      <c r="B6736" s="12">
        <f>IFERROR(__xludf.DUMMYFUNCTION("""COMPUTED_VALUE"""),45146.0)</f>
        <v>45146</v>
      </c>
      <c r="C6736" s="13">
        <f>IFERROR(__xludf.DUMMYFUNCTION("""COMPUTED_VALUE"""),0.6666666666666666)</f>
        <v>0.6666666667</v>
      </c>
      <c r="D6736" s="8">
        <f>IFERROR(__xludf.DUMMYFUNCTION("""COMPUTED_VALUE"""),0.547)</f>
        <v>0.547</v>
      </c>
      <c r="E6736" s="8" t="str">
        <f>IFERROR(__xludf.DUMMYFUNCTION("""COMPUTED_VALUE"""),"Real")</f>
        <v>Real</v>
      </c>
      <c r="G6736" s="8">
        <f t="shared" si="1"/>
        <v>8</v>
      </c>
      <c r="H6736" s="14">
        <f t="shared" si="2"/>
        <v>8</v>
      </c>
      <c r="I6736" s="15">
        <f t="shared" si="3"/>
        <v>16</v>
      </c>
    </row>
    <row r="6737">
      <c r="A6737" s="8" t="str">
        <f>IFERROR(__xludf.DUMMYFUNCTION("IF('(INGESTA)Datos_consumo_datadis'!A6737&lt;&gt;"""",SPLIT('(INGESTA)Datos_consumo_datadis'!A:A,"",""),"""")"),"ES0031408323131005HX0F")</f>
        <v>ES0031408323131005HX0F</v>
      </c>
      <c r="B6737" s="12">
        <f>IFERROR(__xludf.DUMMYFUNCTION("""COMPUTED_VALUE"""),45146.0)</f>
        <v>45146</v>
      </c>
      <c r="C6737" s="13">
        <f>IFERROR(__xludf.DUMMYFUNCTION("""COMPUTED_VALUE"""),0.7083333333333334)</f>
        <v>0.7083333333</v>
      </c>
      <c r="D6737" s="8">
        <f>IFERROR(__xludf.DUMMYFUNCTION("""COMPUTED_VALUE"""),0.392)</f>
        <v>0.392</v>
      </c>
      <c r="E6737" s="8" t="str">
        <f>IFERROR(__xludf.DUMMYFUNCTION("""COMPUTED_VALUE"""),"Real")</f>
        <v>Real</v>
      </c>
      <c r="G6737" s="8">
        <f t="shared" si="1"/>
        <v>8</v>
      </c>
      <c r="H6737" s="14">
        <f t="shared" si="2"/>
        <v>8</v>
      </c>
      <c r="I6737" s="15">
        <f t="shared" si="3"/>
        <v>17</v>
      </c>
    </row>
    <row r="6738">
      <c r="A6738" s="8" t="str">
        <f>IFERROR(__xludf.DUMMYFUNCTION("IF('(INGESTA)Datos_consumo_datadis'!A6738&lt;&gt;"""",SPLIT('(INGESTA)Datos_consumo_datadis'!A:A,"",""),"""")"),"ES0031408323131005HX0F")</f>
        <v>ES0031408323131005HX0F</v>
      </c>
      <c r="B6738" s="12">
        <f>IFERROR(__xludf.DUMMYFUNCTION("""COMPUTED_VALUE"""),45146.0)</f>
        <v>45146</v>
      </c>
      <c r="C6738" s="13">
        <f>IFERROR(__xludf.DUMMYFUNCTION("""COMPUTED_VALUE"""),0.75)</f>
        <v>0.75</v>
      </c>
      <c r="D6738" s="8">
        <f>IFERROR(__xludf.DUMMYFUNCTION("""COMPUTED_VALUE"""),0.146)</f>
        <v>0.146</v>
      </c>
      <c r="E6738" s="8" t="str">
        <f>IFERROR(__xludf.DUMMYFUNCTION("""COMPUTED_VALUE"""),"Real")</f>
        <v>Real</v>
      </c>
      <c r="G6738" s="8">
        <f t="shared" si="1"/>
        <v>8</v>
      </c>
      <c r="H6738" s="14">
        <f t="shared" si="2"/>
        <v>8</v>
      </c>
      <c r="I6738" s="15">
        <f t="shared" si="3"/>
        <v>18</v>
      </c>
    </row>
    <row r="6739">
      <c r="A6739" s="8" t="str">
        <f>IFERROR(__xludf.DUMMYFUNCTION("IF('(INGESTA)Datos_consumo_datadis'!A6739&lt;&gt;"""",SPLIT('(INGESTA)Datos_consumo_datadis'!A:A,"",""),"""")"),"ES0031408323131005HX0F")</f>
        <v>ES0031408323131005HX0F</v>
      </c>
      <c r="B6739" s="12">
        <f>IFERROR(__xludf.DUMMYFUNCTION("""COMPUTED_VALUE"""),45146.0)</f>
        <v>45146</v>
      </c>
      <c r="C6739" s="13">
        <f>IFERROR(__xludf.DUMMYFUNCTION("""COMPUTED_VALUE"""),0.7916666666666666)</f>
        <v>0.7916666667</v>
      </c>
      <c r="D6739" s="8">
        <f>IFERROR(__xludf.DUMMYFUNCTION("""COMPUTED_VALUE"""),0.095)</f>
        <v>0.095</v>
      </c>
      <c r="E6739" s="8" t="str">
        <f>IFERROR(__xludf.DUMMYFUNCTION("""COMPUTED_VALUE"""),"Real")</f>
        <v>Real</v>
      </c>
      <c r="G6739" s="8">
        <f t="shared" si="1"/>
        <v>8</v>
      </c>
      <c r="H6739" s="14">
        <f t="shared" si="2"/>
        <v>8</v>
      </c>
      <c r="I6739" s="15">
        <f t="shared" si="3"/>
        <v>19</v>
      </c>
    </row>
    <row r="6740">
      <c r="A6740" s="8" t="str">
        <f>IFERROR(__xludf.DUMMYFUNCTION("IF('(INGESTA)Datos_consumo_datadis'!A6740&lt;&gt;"""",SPLIT('(INGESTA)Datos_consumo_datadis'!A:A,"",""),"""")"),"ES0031408323131005HX0F")</f>
        <v>ES0031408323131005HX0F</v>
      </c>
      <c r="B6740" s="12">
        <f>IFERROR(__xludf.DUMMYFUNCTION("""COMPUTED_VALUE"""),45146.0)</f>
        <v>45146</v>
      </c>
      <c r="C6740" s="13">
        <f>IFERROR(__xludf.DUMMYFUNCTION("""COMPUTED_VALUE"""),0.8333333333333334)</f>
        <v>0.8333333333</v>
      </c>
      <c r="D6740" s="8">
        <f>IFERROR(__xludf.DUMMYFUNCTION("""COMPUTED_VALUE"""),0.129)</f>
        <v>0.129</v>
      </c>
      <c r="E6740" s="8" t="str">
        <f>IFERROR(__xludf.DUMMYFUNCTION("""COMPUTED_VALUE"""),"Real")</f>
        <v>Real</v>
      </c>
      <c r="G6740" s="8">
        <f t="shared" si="1"/>
        <v>8</v>
      </c>
      <c r="H6740" s="14">
        <f t="shared" si="2"/>
        <v>8</v>
      </c>
      <c r="I6740" s="15">
        <f t="shared" si="3"/>
        <v>20</v>
      </c>
    </row>
    <row r="6741">
      <c r="A6741" s="8" t="str">
        <f>IFERROR(__xludf.DUMMYFUNCTION("IF('(INGESTA)Datos_consumo_datadis'!A6741&lt;&gt;"""",SPLIT('(INGESTA)Datos_consumo_datadis'!A:A,"",""),"""")"),"ES0031408323131005HX0F")</f>
        <v>ES0031408323131005HX0F</v>
      </c>
      <c r="B6741" s="12">
        <f>IFERROR(__xludf.DUMMYFUNCTION("""COMPUTED_VALUE"""),45146.0)</f>
        <v>45146</v>
      </c>
      <c r="C6741" s="13">
        <f>IFERROR(__xludf.DUMMYFUNCTION("""COMPUTED_VALUE"""),0.875)</f>
        <v>0.875</v>
      </c>
      <c r="D6741" s="8">
        <f>IFERROR(__xludf.DUMMYFUNCTION("""COMPUTED_VALUE"""),0.124)</f>
        <v>0.124</v>
      </c>
      <c r="E6741" s="8" t="str">
        <f>IFERROR(__xludf.DUMMYFUNCTION("""COMPUTED_VALUE"""),"Real")</f>
        <v>Real</v>
      </c>
      <c r="G6741" s="8">
        <f t="shared" si="1"/>
        <v>8</v>
      </c>
      <c r="H6741" s="14">
        <f t="shared" si="2"/>
        <v>8</v>
      </c>
      <c r="I6741" s="15">
        <f t="shared" si="3"/>
        <v>21</v>
      </c>
    </row>
    <row r="6742">
      <c r="A6742" s="8" t="str">
        <f>IFERROR(__xludf.DUMMYFUNCTION("IF('(INGESTA)Datos_consumo_datadis'!A6742&lt;&gt;"""",SPLIT('(INGESTA)Datos_consumo_datadis'!A:A,"",""),"""")"),"ES0031408323131005HX0F")</f>
        <v>ES0031408323131005HX0F</v>
      </c>
      <c r="B6742" s="12">
        <f>IFERROR(__xludf.DUMMYFUNCTION("""COMPUTED_VALUE"""),45146.0)</f>
        <v>45146</v>
      </c>
      <c r="C6742" s="13">
        <f>IFERROR(__xludf.DUMMYFUNCTION("""COMPUTED_VALUE"""),0.9166666666666666)</f>
        <v>0.9166666667</v>
      </c>
      <c r="D6742" s="8">
        <f>IFERROR(__xludf.DUMMYFUNCTION("""COMPUTED_VALUE"""),0.156)</f>
        <v>0.156</v>
      </c>
      <c r="E6742" s="8" t="str">
        <f>IFERROR(__xludf.DUMMYFUNCTION("""COMPUTED_VALUE"""),"Real")</f>
        <v>Real</v>
      </c>
      <c r="G6742" s="8">
        <f t="shared" si="1"/>
        <v>8</v>
      </c>
      <c r="H6742" s="14">
        <f t="shared" si="2"/>
        <v>8</v>
      </c>
      <c r="I6742" s="15">
        <f t="shared" si="3"/>
        <v>22</v>
      </c>
    </row>
    <row r="6743">
      <c r="A6743" s="8" t="str">
        <f>IFERROR(__xludf.DUMMYFUNCTION("IF('(INGESTA)Datos_consumo_datadis'!A6743&lt;&gt;"""",SPLIT('(INGESTA)Datos_consumo_datadis'!A:A,"",""),"""")"),"ES0031408323131005HX0F")</f>
        <v>ES0031408323131005HX0F</v>
      </c>
      <c r="B6743" s="12">
        <f>IFERROR(__xludf.DUMMYFUNCTION("""COMPUTED_VALUE"""),45146.0)</f>
        <v>45146</v>
      </c>
      <c r="C6743" s="13">
        <f>IFERROR(__xludf.DUMMYFUNCTION("""COMPUTED_VALUE"""),0.9583333333333334)</f>
        <v>0.9583333333</v>
      </c>
      <c r="D6743" s="8">
        <f>IFERROR(__xludf.DUMMYFUNCTION("""COMPUTED_VALUE"""),0.675)</f>
        <v>0.675</v>
      </c>
      <c r="E6743" s="8" t="str">
        <f>IFERROR(__xludf.DUMMYFUNCTION("""COMPUTED_VALUE"""),"Real")</f>
        <v>Real</v>
      </c>
      <c r="G6743" s="8">
        <f t="shared" si="1"/>
        <v>8</v>
      </c>
      <c r="H6743" s="14">
        <f t="shared" si="2"/>
        <v>8</v>
      </c>
      <c r="I6743" s="15">
        <f t="shared" si="3"/>
        <v>23</v>
      </c>
    </row>
    <row r="6744">
      <c r="A6744" s="8" t="str">
        <f>IFERROR(__xludf.DUMMYFUNCTION("IF('(INGESTA)Datos_consumo_datadis'!A6744&lt;&gt;"""",SPLIT('(INGESTA)Datos_consumo_datadis'!A:A,"",""),"""")"),"ES0031408323131005HX0F")</f>
        <v>ES0031408323131005HX0F</v>
      </c>
      <c r="B6744" s="12">
        <f>IFERROR(__xludf.DUMMYFUNCTION("""COMPUTED_VALUE"""),45146.0)</f>
        <v>45146</v>
      </c>
      <c r="C6744" s="16">
        <f>IFERROR(__xludf.DUMMYFUNCTION("""COMPUTED_VALUE"""),1.0)</f>
        <v>1</v>
      </c>
      <c r="D6744" s="8">
        <f>IFERROR(__xludf.DUMMYFUNCTION("""COMPUTED_VALUE"""),0.335)</f>
        <v>0.335</v>
      </c>
      <c r="E6744" s="8" t="str">
        <f>IFERROR(__xludf.DUMMYFUNCTION("""COMPUTED_VALUE"""),"Real")</f>
        <v>Real</v>
      </c>
      <c r="G6744" s="8">
        <f t="shared" si="1"/>
        <v>8</v>
      </c>
      <c r="H6744" s="14">
        <f t="shared" si="2"/>
        <v>8</v>
      </c>
      <c r="I6744" s="15">
        <f t="shared" si="3"/>
        <v>0</v>
      </c>
    </row>
    <row r="6745">
      <c r="A6745" s="8" t="str">
        <f>IFERROR(__xludf.DUMMYFUNCTION("IF('(INGESTA)Datos_consumo_datadis'!A6745&lt;&gt;"""",SPLIT('(INGESTA)Datos_consumo_datadis'!A:A,"",""),"""")"),"ES0031408323131005HX0F")</f>
        <v>ES0031408323131005HX0F</v>
      </c>
      <c r="B6745" s="12">
        <f>IFERROR(__xludf.DUMMYFUNCTION("""COMPUTED_VALUE"""),45147.0)</f>
        <v>45147</v>
      </c>
      <c r="C6745" s="13">
        <f>IFERROR(__xludf.DUMMYFUNCTION("""COMPUTED_VALUE"""),0.041666666666666664)</f>
        <v>0.04166666667</v>
      </c>
      <c r="D6745" s="8">
        <f>IFERROR(__xludf.DUMMYFUNCTION("""COMPUTED_VALUE"""),0.326)</f>
        <v>0.326</v>
      </c>
      <c r="E6745" s="8" t="str">
        <f>IFERROR(__xludf.DUMMYFUNCTION("""COMPUTED_VALUE"""),"Real")</f>
        <v>Real</v>
      </c>
      <c r="G6745" s="8">
        <f t="shared" si="1"/>
        <v>8</v>
      </c>
      <c r="H6745" s="14">
        <f t="shared" si="2"/>
        <v>9</v>
      </c>
      <c r="I6745" s="15">
        <f t="shared" si="3"/>
        <v>1</v>
      </c>
    </row>
    <row r="6746">
      <c r="A6746" s="8" t="str">
        <f>IFERROR(__xludf.DUMMYFUNCTION("IF('(INGESTA)Datos_consumo_datadis'!A6746&lt;&gt;"""",SPLIT('(INGESTA)Datos_consumo_datadis'!A:A,"",""),"""")"),"ES0031408323131005HX0F")</f>
        <v>ES0031408323131005HX0F</v>
      </c>
      <c r="B6746" s="12">
        <f>IFERROR(__xludf.DUMMYFUNCTION("""COMPUTED_VALUE"""),45147.0)</f>
        <v>45147</v>
      </c>
      <c r="C6746" s="13">
        <f>IFERROR(__xludf.DUMMYFUNCTION("""COMPUTED_VALUE"""),0.08333333333333333)</f>
        <v>0.08333333333</v>
      </c>
      <c r="D6746" s="8">
        <f>IFERROR(__xludf.DUMMYFUNCTION("""COMPUTED_VALUE"""),0.105)</f>
        <v>0.105</v>
      </c>
      <c r="E6746" s="8" t="str">
        <f>IFERROR(__xludf.DUMMYFUNCTION("""COMPUTED_VALUE"""),"Real")</f>
        <v>Real</v>
      </c>
      <c r="G6746" s="8">
        <f t="shared" si="1"/>
        <v>8</v>
      </c>
      <c r="H6746" s="14">
        <f t="shared" si="2"/>
        <v>9</v>
      </c>
      <c r="I6746" s="15">
        <f t="shared" si="3"/>
        <v>2</v>
      </c>
    </row>
    <row r="6747">
      <c r="A6747" s="8" t="str">
        <f>IFERROR(__xludf.DUMMYFUNCTION("IF('(INGESTA)Datos_consumo_datadis'!A6747&lt;&gt;"""",SPLIT('(INGESTA)Datos_consumo_datadis'!A:A,"",""),"""")"),"ES0031408323131005HX0F")</f>
        <v>ES0031408323131005HX0F</v>
      </c>
      <c r="B6747" s="12">
        <f>IFERROR(__xludf.DUMMYFUNCTION("""COMPUTED_VALUE"""),45147.0)</f>
        <v>45147</v>
      </c>
      <c r="C6747" s="13">
        <f>IFERROR(__xludf.DUMMYFUNCTION("""COMPUTED_VALUE"""),0.125)</f>
        <v>0.125</v>
      </c>
      <c r="D6747" s="8">
        <f>IFERROR(__xludf.DUMMYFUNCTION("""COMPUTED_VALUE"""),0.092)</f>
        <v>0.092</v>
      </c>
      <c r="E6747" s="8" t="str">
        <f>IFERROR(__xludf.DUMMYFUNCTION("""COMPUTED_VALUE"""),"Real")</f>
        <v>Real</v>
      </c>
      <c r="G6747" s="8">
        <f t="shared" si="1"/>
        <v>8</v>
      </c>
      <c r="H6747" s="14">
        <f t="shared" si="2"/>
        <v>9</v>
      </c>
      <c r="I6747" s="15">
        <f t="shared" si="3"/>
        <v>3</v>
      </c>
    </row>
    <row r="6748">
      <c r="A6748" s="8" t="str">
        <f>IFERROR(__xludf.DUMMYFUNCTION("IF('(INGESTA)Datos_consumo_datadis'!A6748&lt;&gt;"""",SPLIT('(INGESTA)Datos_consumo_datadis'!A:A,"",""),"""")"),"ES0031408323131005HX0F")</f>
        <v>ES0031408323131005HX0F</v>
      </c>
      <c r="B6748" s="12">
        <f>IFERROR(__xludf.DUMMYFUNCTION("""COMPUTED_VALUE"""),45147.0)</f>
        <v>45147</v>
      </c>
      <c r="C6748" s="13">
        <f>IFERROR(__xludf.DUMMYFUNCTION("""COMPUTED_VALUE"""),0.16666666666666666)</f>
        <v>0.1666666667</v>
      </c>
      <c r="D6748" s="8">
        <f>IFERROR(__xludf.DUMMYFUNCTION("""COMPUTED_VALUE"""),0.056)</f>
        <v>0.056</v>
      </c>
      <c r="E6748" s="8" t="str">
        <f>IFERROR(__xludf.DUMMYFUNCTION("""COMPUTED_VALUE"""),"Real")</f>
        <v>Real</v>
      </c>
      <c r="G6748" s="8">
        <f t="shared" si="1"/>
        <v>8</v>
      </c>
      <c r="H6748" s="14">
        <f t="shared" si="2"/>
        <v>9</v>
      </c>
      <c r="I6748" s="15">
        <f t="shared" si="3"/>
        <v>4</v>
      </c>
    </row>
    <row r="6749">
      <c r="A6749" s="8" t="str">
        <f>IFERROR(__xludf.DUMMYFUNCTION("IF('(INGESTA)Datos_consumo_datadis'!A6749&lt;&gt;"""",SPLIT('(INGESTA)Datos_consumo_datadis'!A:A,"",""),"""")"),"ES0031408323131005HX0F")</f>
        <v>ES0031408323131005HX0F</v>
      </c>
      <c r="B6749" s="12">
        <f>IFERROR(__xludf.DUMMYFUNCTION("""COMPUTED_VALUE"""),45147.0)</f>
        <v>45147</v>
      </c>
      <c r="C6749" s="13">
        <f>IFERROR(__xludf.DUMMYFUNCTION("""COMPUTED_VALUE"""),0.20833333333333334)</f>
        <v>0.2083333333</v>
      </c>
      <c r="D6749" s="8">
        <f>IFERROR(__xludf.DUMMYFUNCTION("""COMPUTED_VALUE"""),0.128)</f>
        <v>0.128</v>
      </c>
      <c r="E6749" s="8" t="str">
        <f>IFERROR(__xludf.DUMMYFUNCTION("""COMPUTED_VALUE"""),"Real")</f>
        <v>Real</v>
      </c>
      <c r="G6749" s="8">
        <f t="shared" si="1"/>
        <v>8</v>
      </c>
      <c r="H6749" s="14">
        <f t="shared" si="2"/>
        <v>9</v>
      </c>
      <c r="I6749" s="15">
        <f t="shared" si="3"/>
        <v>5</v>
      </c>
    </row>
    <row r="6750">
      <c r="A6750" s="8" t="str">
        <f>IFERROR(__xludf.DUMMYFUNCTION("IF('(INGESTA)Datos_consumo_datadis'!A6750&lt;&gt;"""",SPLIT('(INGESTA)Datos_consumo_datadis'!A:A,"",""),"""")"),"ES0031408323131005HX0F")</f>
        <v>ES0031408323131005HX0F</v>
      </c>
      <c r="B6750" s="12">
        <f>IFERROR(__xludf.DUMMYFUNCTION("""COMPUTED_VALUE"""),45147.0)</f>
        <v>45147</v>
      </c>
      <c r="C6750" s="13">
        <f>IFERROR(__xludf.DUMMYFUNCTION("""COMPUTED_VALUE"""),0.25)</f>
        <v>0.25</v>
      </c>
      <c r="D6750" s="8">
        <f>IFERROR(__xludf.DUMMYFUNCTION("""COMPUTED_VALUE"""),0.102)</f>
        <v>0.102</v>
      </c>
      <c r="E6750" s="8" t="str">
        <f>IFERROR(__xludf.DUMMYFUNCTION("""COMPUTED_VALUE"""),"Real")</f>
        <v>Real</v>
      </c>
      <c r="G6750" s="8">
        <f t="shared" si="1"/>
        <v>8</v>
      </c>
      <c r="H6750" s="14">
        <f t="shared" si="2"/>
        <v>9</v>
      </c>
      <c r="I6750" s="15">
        <f t="shared" si="3"/>
        <v>6</v>
      </c>
    </row>
    <row r="6751">
      <c r="A6751" s="8" t="str">
        <f>IFERROR(__xludf.DUMMYFUNCTION("IF('(INGESTA)Datos_consumo_datadis'!A6751&lt;&gt;"""",SPLIT('(INGESTA)Datos_consumo_datadis'!A:A,"",""),"""")"),"ES0031408323131005HX0F")</f>
        <v>ES0031408323131005HX0F</v>
      </c>
      <c r="B6751" s="12">
        <f>IFERROR(__xludf.DUMMYFUNCTION("""COMPUTED_VALUE"""),45147.0)</f>
        <v>45147</v>
      </c>
      <c r="C6751" s="13">
        <f>IFERROR(__xludf.DUMMYFUNCTION("""COMPUTED_VALUE"""),0.2916666666666667)</f>
        <v>0.2916666667</v>
      </c>
      <c r="D6751" s="8">
        <f>IFERROR(__xludf.DUMMYFUNCTION("""COMPUTED_VALUE"""),0.03)</f>
        <v>0.03</v>
      </c>
      <c r="E6751" s="8" t="str">
        <f>IFERROR(__xludf.DUMMYFUNCTION("""COMPUTED_VALUE"""),"Real")</f>
        <v>Real</v>
      </c>
      <c r="G6751" s="8">
        <f t="shared" si="1"/>
        <v>8</v>
      </c>
      <c r="H6751" s="14">
        <f t="shared" si="2"/>
        <v>9</v>
      </c>
      <c r="I6751" s="15">
        <f t="shared" si="3"/>
        <v>7</v>
      </c>
    </row>
    <row r="6752">
      <c r="A6752" s="8" t="str">
        <f>IFERROR(__xludf.DUMMYFUNCTION("IF('(INGESTA)Datos_consumo_datadis'!A6752&lt;&gt;"""",SPLIT('(INGESTA)Datos_consumo_datadis'!A:A,"",""),"""")"),"ES0031408323131005HX0F")</f>
        <v>ES0031408323131005HX0F</v>
      </c>
      <c r="B6752" s="12">
        <f>IFERROR(__xludf.DUMMYFUNCTION("""COMPUTED_VALUE"""),45147.0)</f>
        <v>45147</v>
      </c>
      <c r="C6752" s="13">
        <f>IFERROR(__xludf.DUMMYFUNCTION("""COMPUTED_VALUE"""),0.3333333333333333)</f>
        <v>0.3333333333</v>
      </c>
      <c r="D6752" s="8">
        <f>IFERROR(__xludf.DUMMYFUNCTION("""COMPUTED_VALUE"""),0.431)</f>
        <v>0.431</v>
      </c>
      <c r="E6752" s="8" t="str">
        <f>IFERROR(__xludf.DUMMYFUNCTION("""COMPUTED_VALUE"""),"Real")</f>
        <v>Real</v>
      </c>
      <c r="G6752" s="8">
        <f t="shared" si="1"/>
        <v>8</v>
      </c>
      <c r="H6752" s="14">
        <f t="shared" si="2"/>
        <v>9</v>
      </c>
      <c r="I6752" s="15">
        <f t="shared" si="3"/>
        <v>8</v>
      </c>
    </row>
    <row r="6753">
      <c r="A6753" s="8" t="str">
        <f>IFERROR(__xludf.DUMMYFUNCTION("IF('(INGESTA)Datos_consumo_datadis'!A6753&lt;&gt;"""",SPLIT('(INGESTA)Datos_consumo_datadis'!A:A,"",""),"""")"),"ES0031408323131005HX0F")</f>
        <v>ES0031408323131005HX0F</v>
      </c>
      <c r="B6753" s="12">
        <f>IFERROR(__xludf.DUMMYFUNCTION("""COMPUTED_VALUE"""),45147.0)</f>
        <v>45147</v>
      </c>
      <c r="C6753" s="13">
        <f>IFERROR(__xludf.DUMMYFUNCTION("""COMPUTED_VALUE"""),0.375)</f>
        <v>0.375</v>
      </c>
      <c r="D6753" s="8">
        <f>IFERROR(__xludf.DUMMYFUNCTION("""COMPUTED_VALUE"""),0.147)</f>
        <v>0.147</v>
      </c>
      <c r="E6753" s="8" t="str">
        <f>IFERROR(__xludf.DUMMYFUNCTION("""COMPUTED_VALUE"""),"Real")</f>
        <v>Real</v>
      </c>
      <c r="G6753" s="8">
        <f t="shared" si="1"/>
        <v>8</v>
      </c>
      <c r="H6753" s="14">
        <f t="shared" si="2"/>
        <v>9</v>
      </c>
      <c r="I6753" s="15">
        <f t="shared" si="3"/>
        <v>9</v>
      </c>
    </row>
    <row r="6754">
      <c r="A6754" s="8" t="str">
        <f>IFERROR(__xludf.DUMMYFUNCTION("IF('(INGESTA)Datos_consumo_datadis'!A6754&lt;&gt;"""",SPLIT('(INGESTA)Datos_consumo_datadis'!A:A,"",""),"""")"),"ES0031408323131005HX0F")</f>
        <v>ES0031408323131005HX0F</v>
      </c>
      <c r="B6754" s="12">
        <f>IFERROR(__xludf.DUMMYFUNCTION("""COMPUTED_VALUE"""),45147.0)</f>
        <v>45147</v>
      </c>
      <c r="C6754" s="13">
        <f>IFERROR(__xludf.DUMMYFUNCTION("""COMPUTED_VALUE"""),0.4166666666666667)</f>
        <v>0.4166666667</v>
      </c>
      <c r="D6754" s="8">
        <f>IFERROR(__xludf.DUMMYFUNCTION("""COMPUTED_VALUE"""),0.346)</f>
        <v>0.346</v>
      </c>
      <c r="E6754" s="8" t="str">
        <f>IFERROR(__xludf.DUMMYFUNCTION("""COMPUTED_VALUE"""),"Real")</f>
        <v>Real</v>
      </c>
      <c r="G6754" s="8">
        <f t="shared" si="1"/>
        <v>8</v>
      </c>
      <c r="H6754" s="14">
        <f t="shared" si="2"/>
        <v>9</v>
      </c>
      <c r="I6754" s="15">
        <f t="shared" si="3"/>
        <v>10</v>
      </c>
    </row>
    <row r="6755">
      <c r="A6755" s="8" t="str">
        <f>IFERROR(__xludf.DUMMYFUNCTION("IF('(INGESTA)Datos_consumo_datadis'!A6755&lt;&gt;"""",SPLIT('(INGESTA)Datos_consumo_datadis'!A:A,"",""),"""")"),"ES0031408323131005HX0F")</f>
        <v>ES0031408323131005HX0F</v>
      </c>
      <c r="B6755" s="12">
        <f>IFERROR(__xludf.DUMMYFUNCTION("""COMPUTED_VALUE"""),45147.0)</f>
        <v>45147</v>
      </c>
      <c r="C6755" s="13">
        <f>IFERROR(__xludf.DUMMYFUNCTION("""COMPUTED_VALUE"""),0.4583333333333333)</f>
        <v>0.4583333333</v>
      </c>
      <c r="D6755" s="8">
        <f>IFERROR(__xludf.DUMMYFUNCTION("""COMPUTED_VALUE"""),0.288)</f>
        <v>0.288</v>
      </c>
      <c r="E6755" s="8" t="str">
        <f>IFERROR(__xludf.DUMMYFUNCTION("""COMPUTED_VALUE"""),"Real")</f>
        <v>Real</v>
      </c>
      <c r="G6755" s="8">
        <f t="shared" si="1"/>
        <v>8</v>
      </c>
      <c r="H6755" s="14">
        <f t="shared" si="2"/>
        <v>9</v>
      </c>
      <c r="I6755" s="15">
        <f t="shared" si="3"/>
        <v>11</v>
      </c>
    </row>
    <row r="6756">
      <c r="A6756" s="8" t="str">
        <f>IFERROR(__xludf.DUMMYFUNCTION("IF('(INGESTA)Datos_consumo_datadis'!A6756&lt;&gt;"""",SPLIT('(INGESTA)Datos_consumo_datadis'!A:A,"",""),"""")"),"ES0031408323131005HX0F")</f>
        <v>ES0031408323131005HX0F</v>
      </c>
      <c r="B6756" s="12">
        <f>IFERROR(__xludf.DUMMYFUNCTION("""COMPUTED_VALUE"""),45147.0)</f>
        <v>45147</v>
      </c>
      <c r="C6756" s="13">
        <f>IFERROR(__xludf.DUMMYFUNCTION("""COMPUTED_VALUE"""),0.5)</f>
        <v>0.5</v>
      </c>
      <c r="D6756" s="8">
        <f>IFERROR(__xludf.DUMMYFUNCTION("""COMPUTED_VALUE"""),0.217)</f>
        <v>0.217</v>
      </c>
      <c r="E6756" s="8" t="str">
        <f>IFERROR(__xludf.DUMMYFUNCTION("""COMPUTED_VALUE"""),"Real")</f>
        <v>Real</v>
      </c>
      <c r="G6756" s="8">
        <f t="shared" si="1"/>
        <v>8</v>
      </c>
      <c r="H6756" s="14">
        <f t="shared" si="2"/>
        <v>9</v>
      </c>
      <c r="I6756" s="15">
        <f t="shared" si="3"/>
        <v>12</v>
      </c>
    </row>
    <row r="6757">
      <c r="A6757" s="8" t="str">
        <f>IFERROR(__xludf.DUMMYFUNCTION("IF('(INGESTA)Datos_consumo_datadis'!A6757&lt;&gt;"""",SPLIT('(INGESTA)Datos_consumo_datadis'!A:A,"",""),"""")"),"ES0031408323131005HX0F")</f>
        <v>ES0031408323131005HX0F</v>
      </c>
      <c r="B6757" s="12">
        <f>IFERROR(__xludf.DUMMYFUNCTION("""COMPUTED_VALUE"""),45147.0)</f>
        <v>45147</v>
      </c>
      <c r="C6757" s="13">
        <f>IFERROR(__xludf.DUMMYFUNCTION("""COMPUTED_VALUE"""),0.5416666666666666)</f>
        <v>0.5416666667</v>
      </c>
      <c r="D6757" s="8">
        <f>IFERROR(__xludf.DUMMYFUNCTION("""COMPUTED_VALUE"""),0.383)</f>
        <v>0.383</v>
      </c>
      <c r="E6757" s="8" t="str">
        <f>IFERROR(__xludf.DUMMYFUNCTION("""COMPUTED_VALUE"""),"Real")</f>
        <v>Real</v>
      </c>
      <c r="G6757" s="8">
        <f t="shared" si="1"/>
        <v>8</v>
      </c>
      <c r="H6757" s="14">
        <f t="shared" si="2"/>
        <v>9</v>
      </c>
      <c r="I6757" s="15">
        <f t="shared" si="3"/>
        <v>13</v>
      </c>
    </row>
    <row r="6758">
      <c r="A6758" s="8" t="str">
        <f>IFERROR(__xludf.DUMMYFUNCTION("IF('(INGESTA)Datos_consumo_datadis'!A6758&lt;&gt;"""",SPLIT('(INGESTA)Datos_consumo_datadis'!A:A,"",""),"""")"),"ES0031408323131005HX0F")</f>
        <v>ES0031408323131005HX0F</v>
      </c>
      <c r="B6758" s="12">
        <f>IFERROR(__xludf.DUMMYFUNCTION("""COMPUTED_VALUE"""),45147.0)</f>
        <v>45147</v>
      </c>
      <c r="C6758" s="13">
        <f>IFERROR(__xludf.DUMMYFUNCTION("""COMPUTED_VALUE"""),0.5833333333333334)</f>
        <v>0.5833333333</v>
      </c>
      <c r="D6758" s="8">
        <f>IFERROR(__xludf.DUMMYFUNCTION("""COMPUTED_VALUE"""),0.422)</f>
        <v>0.422</v>
      </c>
      <c r="E6758" s="8" t="str">
        <f>IFERROR(__xludf.DUMMYFUNCTION("""COMPUTED_VALUE"""),"Real")</f>
        <v>Real</v>
      </c>
      <c r="G6758" s="8">
        <f t="shared" si="1"/>
        <v>8</v>
      </c>
      <c r="H6758" s="14">
        <f t="shared" si="2"/>
        <v>9</v>
      </c>
      <c r="I6758" s="15">
        <f t="shared" si="3"/>
        <v>14</v>
      </c>
    </row>
    <row r="6759">
      <c r="A6759" s="8" t="str">
        <f>IFERROR(__xludf.DUMMYFUNCTION("IF('(INGESTA)Datos_consumo_datadis'!A6759&lt;&gt;"""",SPLIT('(INGESTA)Datos_consumo_datadis'!A:A,"",""),"""")"),"ES0031408323131005HX0F")</f>
        <v>ES0031408323131005HX0F</v>
      </c>
      <c r="B6759" s="12">
        <f>IFERROR(__xludf.DUMMYFUNCTION("""COMPUTED_VALUE"""),45147.0)</f>
        <v>45147</v>
      </c>
      <c r="C6759" s="13">
        <f>IFERROR(__xludf.DUMMYFUNCTION("""COMPUTED_VALUE"""),0.625)</f>
        <v>0.625</v>
      </c>
      <c r="D6759" s="8">
        <f>IFERROR(__xludf.DUMMYFUNCTION("""COMPUTED_VALUE"""),0.23)</f>
        <v>0.23</v>
      </c>
      <c r="E6759" s="8" t="str">
        <f>IFERROR(__xludf.DUMMYFUNCTION("""COMPUTED_VALUE"""),"Real")</f>
        <v>Real</v>
      </c>
      <c r="G6759" s="8">
        <f t="shared" si="1"/>
        <v>8</v>
      </c>
      <c r="H6759" s="14">
        <f t="shared" si="2"/>
        <v>9</v>
      </c>
      <c r="I6759" s="15">
        <f t="shared" si="3"/>
        <v>15</v>
      </c>
    </row>
    <row r="6760">
      <c r="A6760" s="8" t="str">
        <f>IFERROR(__xludf.DUMMYFUNCTION("IF('(INGESTA)Datos_consumo_datadis'!A6760&lt;&gt;"""",SPLIT('(INGESTA)Datos_consumo_datadis'!A:A,"",""),"""")"),"ES0031408323131005HX0F")</f>
        <v>ES0031408323131005HX0F</v>
      </c>
      <c r="B6760" s="12">
        <f>IFERROR(__xludf.DUMMYFUNCTION("""COMPUTED_VALUE"""),45147.0)</f>
        <v>45147</v>
      </c>
      <c r="C6760" s="13">
        <f>IFERROR(__xludf.DUMMYFUNCTION("""COMPUTED_VALUE"""),0.6666666666666666)</f>
        <v>0.6666666667</v>
      </c>
      <c r="D6760" s="8">
        <f>IFERROR(__xludf.DUMMYFUNCTION("""COMPUTED_VALUE"""),0.206)</f>
        <v>0.206</v>
      </c>
      <c r="E6760" s="8" t="str">
        <f>IFERROR(__xludf.DUMMYFUNCTION("""COMPUTED_VALUE"""),"Real")</f>
        <v>Real</v>
      </c>
      <c r="G6760" s="8">
        <f t="shared" si="1"/>
        <v>8</v>
      </c>
      <c r="H6760" s="14">
        <f t="shared" si="2"/>
        <v>9</v>
      </c>
      <c r="I6760" s="15">
        <f t="shared" si="3"/>
        <v>16</v>
      </c>
    </row>
    <row r="6761">
      <c r="A6761" s="8" t="str">
        <f>IFERROR(__xludf.DUMMYFUNCTION("IF('(INGESTA)Datos_consumo_datadis'!A6761&lt;&gt;"""",SPLIT('(INGESTA)Datos_consumo_datadis'!A:A,"",""),"""")"),"ES0031408323131005HX0F")</f>
        <v>ES0031408323131005HX0F</v>
      </c>
      <c r="B6761" s="12">
        <f>IFERROR(__xludf.DUMMYFUNCTION("""COMPUTED_VALUE"""),45147.0)</f>
        <v>45147</v>
      </c>
      <c r="C6761" s="13">
        <f>IFERROR(__xludf.DUMMYFUNCTION("""COMPUTED_VALUE"""),0.7083333333333334)</f>
        <v>0.7083333333</v>
      </c>
      <c r="D6761" s="8">
        <f>IFERROR(__xludf.DUMMYFUNCTION("""COMPUTED_VALUE"""),0.397)</f>
        <v>0.397</v>
      </c>
      <c r="E6761" s="8" t="str">
        <f>IFERROR(__xludf.DUMMYFUNCTION("""COMPUTED_VALUE"""),"Real")</f>
        <v>Real</v>
      </c>
      <c r="G6761" s="8">
        <f t="shared" si="1"/>
        <v>8</v>
      </c>
      <c r="H6761" s="14">
        <f t="shared" si="2"/>
        <v>9</v>
      </c>
      <c r="I6761" s="15">
        <f t="shared" si="3"/>
        <v>17</v>
      </c>
    </row>
    <row r="6762">
      <c r="A6762" s="8" t="str">
        <f>IFERROR(__xludf.DUMMYFUNCTION("IF('(INGESTA)Datos_consumo_datadis'!A6762&lt;&gt;"""",SPLIT('(INGESTA)Datos_consumo_datadis'!A:A,"",""),"""")"),"ES0031408323131005HX0F")</f>
        <v>ES0031408323131005HX0F</v>
      </c>
      <c r="B6762" s="12">
        <f>IFERROR(__xludf.DUMMYFUNCTION("""COMPUTED_VALUE"""),45147.0)</f>
        <v>45147</v>
      </c>
      <c r="C6762" s="13">
        <f>IFERROR(__xludf.DUMMYFUNCTION("""COMPUTED_VALUE"""),0.75)</f>
        <v>0.75</v>
      </c>
      <c r="D6762" s="8">
        <f>IFERROR(__xludf.DUMMYFUNCTION("""COMPUTED_VALUE"""),0.34)</f>
        <v>0.34</v>
      </c>
      <c r="E6762" s="8" t="str">
        <f>IFERROR(__xludf.DUMMYFUNCTION("""COMPUTED_VALUE"""),"Real")</f>
        <v>Real</v>
      </c>
      <c r="G6762" s="8">
        <f t="shared" si="1"/>
        <v>8</v>
      </c>
      <c r="H6762" s="14">
        <f t="shared" si="2"/>
        <v>9</v>
      </c>
      <c r="I6762" s="15">
        <f t="shared" si="3"/>
        <v>18</v>
      </c>
    </row>
    <row r="6763">
      <c r="A6763" s="8" t="str">
        <f>IFERROR(__xludf.DUMMYFUNCTION("IF('(INGESTA)Datos_consumo_datadis'!A6763&lt;&gt;"""",SPLIT('(INGESTA)Datos_consumo_datadis'!A:A,"",""),"""")"),"ES0031408323131005HX0F")</f>
        <v>ES0031408323131005HX0F</v>
      </c>
      <c r="B6763" s="12">
        <f>IFERROR(__xludf.DUMMYFUNCTION("""COMPUTED_VALUE"""),45147.0)</f>
        <v>45147</v>
      </c>
      <c r="C6763" s="13">
        <f>IFERROR(__xludf.DUMMYFUNCTION("""COMPUTED_VALUE"""),0.7916666666666666)</f>
        <v>0.7916666667</v>
      </c>
      <c r="D6763" s="8">
        <f>IFERROR(__xludf.DUMMYFUNCTION("""COMPUTED_VALUE"""),0.396)</f>
        <v>0.396</v>
      </c>
      <c r="E6763" s="8" t="str">
        <f>IFERROR(__xludf.DUMMYFUNCTION("""COMPUTED_VALUE"""),"Real")</f>
        <v>Real</v>
      </c>
      <c r="G6763" s="8">
        <f t="shared" si="1"/>
        <v>8</v>
      </c>
      <c r="H6763" s="14">
        <f t="shared" si="2"/>
        <v>9</v>
      </c>
      <c r="I6763" s="15">
        <f t="shared" si="3"/>
        <v>19</v>
      </c>
    </row>
    <row r="6764">
      <c r="A6764" s="8" t="str">
        <f>IFERROR(__xludf.DUMMYFUNCTION("IF('(INGESTA)Datos_consumo_datadis'!A6764&lt;&gt;"""",SPLIT('(INGESTA)Datos_consumo_datadis'!A:A,"",""),"""")"),"ES0031408323131005HX0F")</f>
        <v>ES0031408323131005HX0F</v>
      </c>
      <c r="B6764" s="12">
        <f>IFERROR(__xludf.DUMMYFUNCTION("""COMPUTED_VALUE"""),45147.0)</f>
        <v>45147</v>
      </c>
      <c r="C6764" s="13">
        <f>IFERROR(__xludf.DUMMYFUNCTION("""COMPUTED_VALUE"""),0.8333333333333334)</f>
        <v>0.8333333333</v>
      </c>
      <c r="D6764" s="8">
        <f>IFERROR(__xludf.DUMMYFUNCTION("""COMPUTED_VALUE"""),0.058)</f>
        <v>0.058</v>
      </c>
      <c r="E6764" s="8" t="str">
        <f>IFERROR(__xludf.DUMMYFUNCTION("""COMPUTED_VALUE"""),"Real")</f>
        <v>Real</v>
      </c>
      <c r="G6764" s="8">
        <f t="shared" si="1"/>
        <v>8</v>
      </c>
      <c r="H6764" s="14">
        <f t="shared" si="2"/>
        <v>9</v>
      </c>
      <c r="I6764" s="15">
        <f t="shared" si="3"/>
        <v>20</v>
      </c>
    </row>
    <row r="6765">
      <c r="A6765" s="8" t="str">
        <f>IFERROR(__xludf.DUMMYFUNCTION("IF('(INGESTA)Datos_consumo_datadis'!A6765&lt;&gt;"""",SPLIT('(INGESTA)Datos_consumo_datadis'!A:A,"",""),"""")"),"ES0031408323131005HX0F")</f>
        <v>ES0031408323131005HX0F</v>
      </c>
      <c r="B6765" s="12">
        <f>IFERROR(__xludf.DUMMYFUNCTION("""COMPUTED_VALUE"""),45147.0)</f>
        <v>45147</v>
      </c>
      <c r="C6765" s="13">
        <f>IFERROR(__xludf.DUMMYFUNCTION("""COMPUTED_VALUE"""),0.875)</f>
        <v>0.875</v>
      </c>
      <c r="D6765" s="8">
        <f>IFERROR(__xludf.DUMMYFUNCTION("""COMPUTED_VALUE"""),0.13)</f>
        <v>0.13</v>
      </c>
      <c r="E6765" s="8" t="str">
        <f>IFERROR(__xludf.DUMMYFUNCTION("""COMPUTED_VALUE"""),"Real")</f>
        <v>Real</v>
      </c>
      <c r="G6765" s="8">
        <f t="shared" si="1"/>
        <v>8</v>
      </c>
      <c r="H6765" s="14">
        <f t="shared" si="2"/>
        <v>9</v>
      </c>
      <c r="I6765" s="15">
        <f t="shared" si="3"/>
        <v>21</v>
      </c>
    </row>
    <row r="6766">
      <c r="A6766" s="8" t="str">
        <f>IFERROR(__xludf.DUMMYFUNCTION("IF('(INGESTA)Datos_consumo_datadis'!A6766&lt;&gt;"""",SPLIT('(INGESTA)Datos_consumo_datadis'!A:A,"",""),"""")"),"ES0031408323131005HX0F")</f>
        <v>ES0031408323131005HX0F</v>
      </c>
      <c r="B6766" s="12">
        <f>IFERROR(__xludf.DUMMYFUNCTION("""COMPUTED_VALUE"""),45147.0)</f>
        <v>45147</v>
      </c>
      <c r="C6766" s="13">
        <f>IFERROR(__xludf.DUMMYFUNCTION("""COMPUTED_VALUE"""),0.9166666666666666)</f>
        <v>0.9166666667</v>
      </c>
      <c r="D6766" s="8">
        <f>IFERROR(__xludf.DUMMYFUNCTION("""COMPUTED_VALUE"""),1.602)</f>
        <v>1.602</v>
      </c>
      <c r="E6766" s="8" t="str">
        <f>IFERROR(__xludf.DUMMYFUNCTION("""COMPUTED_VALUE"""),"Real")</f>
        <v>Real</v>
      </c>
      <c r="G6766" s="8">
        <f t="shared" si="1"/>
        <v>8</v>
      </c>
      <c r="H6766" s="14">
        <f t="shared" si="2"/>
        <v>9</v>
      </c>
      <c r="I6766" s="15">
        <f t="shared" si="3"/>
        <v>22</v>
      </c>
    </row>
    <row r="6767">
      <c r="A6767" s="8" t="str">
        <f>IFERROR(__xludf.DUMMYFUNCTION("IF('(INGESTA)Datos_consumo_datadis'!A6767&lt;&gt;"""",SPLIT('(INGESTA)Datos_consumo_datadis'!A:A,"",""),"""")"),"ES0031408323131005HX0F")</f>
        <v>ES0031408323131005HX0F</v>
      </c>
      <c r="B6767" s="12">
        <f>IFERROR(__xludf.DUMMYFUNCTION("""COMPUTED_VALUE"""),45147.0)</f>
        <v>45147</v>
      </c>
      <c r="C6767" s="13">
        <f>IFERROR(__xludf.DUMMYFUNCTION("""COMPUTED_VALUE"""),0.9583333333333334)</f>
        <v>0.9583333333</v>
      </c>
      <c r="D6767" s="8">
        <f>IFERROR(__xludf.DUMMYFUNCTION("""COMPUTED_VALUE"""),1.532)</f>
        <v>1.532</v>
      </c>
      <c r="E6767" s="8" t="str">
        <f>IFERROR(__xludf.DUMMYFUNCTION("""COMPUTED_VALUE"""),"Real")</f>
        <v>Real</v>
      </c>
      <c r="G6767" s="8">
        <f t="shared" si="1"/>
        <v>8</v>
      </c>
      <c r="H6767" s="14">
        <f t="shared" si="2"/>
        <v>9</v>
      </c>
      <c r="I6767" s="15">
        <f t="shared" si="3"/>
        <v>23</v>
      </c>
    </row>
    <row r="6768">
      <c r="A6768" s="8" t="str">
        <f>IFERROR(__xludf.DUMMYFUNCTION("IF('(INGESTA)Datos_consumo_datadis'!A6768&lt;&gt;"""",SPLIT('(INGESTA)Datos_consumo_datadis'!A:A,"",""),"""")"),"ES0031408323131005HX0F")</f>
        <v>ES0031408323131005HX0F</v>
      </c>
      <c r="B6768" s="12">
        <f>IFERROR(__xludf.DUMMYFUNCTION("""COMPUTED_VALUE"""),45147.0)</f>
        <v>45147</v>
      </c>
      <c r="C6768" s="16">
        <f>IFERROR(__xludf.DUMMYFUNCTION("""COMPUTED_VALUE"""),1.0)</f>
        <v>1</v>
      </c>
      <c r="D6768" s="8">
        <f>IFERROR(__xludf.DUMMYFUNCTION("""COMPUTED_VALUE"""),0.153)</f>
        <v>0.153</v>
      </c>
      <c r="E6768" s="8" t="str">
        <f>IFERROR(__xludf.DUMMYFUNCTION("""COMPUTED_VALUE"""),"Real")</f>
        <v>Real</v>
      </c>
      <c r="G6768" s="8">
        <f t="shared" si="1"/>
        <v>8</v>
      </c>
      <c r="H6768" s="14">
        <f t="shared" si="2"/>
        <v>9</v>
      </c>
      <c r="I6768" s="15">
        <f t="shared" si="3"/>
        <v>0</v>
      </c>
    </row>
    <row r="6769">
      <c r="A6769" s="8" t="str">
        <f>IFERROR(__xludf.DUMMYFUNCTION("IF('(INGESTA)Datos_consumo_datadis'!A6769&lt;&gt;"""",SPLIT('(INGESTA)Datos_consumo_datadis'!A:A,"",""),"""")"),"ES0031408323131005HX0F")</f>
        <v>ES0031408323131005HX0F</v>
      </c>
      <c r="B6769" s="12">
        <f>IFERROR(__xludf.DUMMYFUNCTION("""COMPUTED_VALUE"""),45148.0)</f>
        <v>45148</v>
      </c>
      <c r="C6769" s="13">
        <f>IFERROR(__xludf.DUMMYFUNCTION("""COMPUTED_VALUE"""),0.041666666666666664)</f>
        <v>0.04166666667</v>
      </c>
      <c r="D6769" s="8">
        <f>IFERROR(__xludf.DUMMYFUNCTION("""COMPUTED_VALUE"""),0.464)</f>
        <v>0.464</v>
      </c>
      <c r="E6769" s="8" t="str">
        <f>IFERROR(__xludf.DUMMYFUNCTION("""COMPUTED_VALUE"""),"Real")</f>
        <v>Real</v>
      </c>
      <c r="G6769" s="8">
        <f t="shared" si="1"/>
        <v>8</v>
      </c>
      <c r="H6769" s="14">
        <f t="shared" si="2"/>
        <v>10</v>
      </c>
      <c r="I6769" s="15">
        <f t="shared" si="3"/>
        <v>1</v>
      </c>
    </row>
    <row r="6770">
      <c r="A6770" s="8" t="str">
        <f>IFERROR(__xludf.DUMMYFUNCTION("IF('(INGESTA)Datos_consumo_datadis'!A6770&lt;&gt;"""",SPLIT('(INGESTA)Datos_consumo_datadis'!A:A,"",""),"""")"),"ES0031408323131005HX0F")</f>
        <v>ES0031408323131005HX0F</v>
      </c>
      <c r="B6770" s="12">
        <f>IFERROR(__xludf.DUMMYFUNCTION("""COMPUTED_VALUE"""),45148.0)</f>
        <v>45148</v>
      </c>
      <c r="C6770" s="13">
        <f>IFERROR(__xludf.DUMMYFUNCTION("""COMPUTED_VALUE"""),0.08333333333333333)</f>
        <v>0.08333333333</v>
      </c>
      <c r="D6770" s="8">
        <f>IFERROR(__xludf.DUMMYFUNCTION("""COMPUTED_VALUE"""),0.04)</f>
        <v>0.04</v>
      </c>
      <c r="E6770" s="8" t="str">
        <f>IFERROR(__xludf.DUMMYFUNCTION("""COMPUTED_VALUE"""),"Real")</f>
        <v>Real</v>
      </c>
      <c r="G6770" s="8">
        <f t="shared" si="1"/>
        <v>8</v>
      </c>
      <c r="H6770" s="14">
        <f t="shared" si="2"/>
        <v>10</v>
      </c>
      <c r="I6770" s="15">
        <f t="shared" si="3"/>
        <v>2</v>
      </c>
    </row>
    <row r="6771">
      <c r="A6771" s="8" t="str">
        <f>IFERROR(__xludf.DUMMYFUNCTION("IF('(INGESTA)Datos_consumo_datadis'!A6771&lt;&gt;"""",SPLIT('(INGESTA)Datos_consumo_datadis'!A:A,"",""),"""")"),"ES0031408323131005HX0F")</f>
        <v>ES0031408323131005HX0F</v>
      </c>
      <c r="B6771" s="12">
        <f>IFERROR(__xludf.DUMMYFUNCTION("""COMPUTED_VALUE"""),45148.0)</f>
        <v>45148</v>
      </c>
      <c r="C6771" s="13">
        <f>IFERROR(__xludf.DUMMYFUNCTION("""COMPUTED_VALUE"""),0.125)</f>
        <v>0.125</v>
      </c>
      <c r="D6771" s="8">
        <f>IFERROR(__xludf.DUMMYFUNCTION("""COMPUTED_VALUE"""),0.442)</f>
        <v>0.442</v>
      </c>
      <c r="E6771" s="8" t="str">
        <f>IFERROR(__xludf.DUMMYFUNCTION("""COMPUTED_VALUE"""),"Real")</f>
        <v>Real</v>
      </c>
      <c r="G6771" s="8">
        <f t="shared" si="1"/>
        <v>8</v>
      </c>
      <c r="H6771" s="14">
        <f t="shared" si="2"/>
        <v>10</v>
      </c>
      <c r="I6771" s="15">
        <f t="shared" si="3"/>
        <v>3</v>
      </c>
    </row>
    <row r="6772">
      <c r="A6772" s="8" t="str">
        <f>IFERROR(__xludf.DUMMYFUNCTION("IF('(INGESTA)Datos_consumo_datadis'!A6772&lt;&gt;"""",SPLIT('(INGESTA)Datos_consumo_datadis'!A:A,"",""),"""")"),"ES0031408323131005HX0F")</f>
        <v>ES0031408323131005HX0F</v>
      </c>
      <c r="B6772" s="12">
        <f>IFERROR(__xludf.DUMMYFUNCTION("""COMPUTED_VALUE"""),45148.0)</f>
        <v>45148</v>
      </c>
      <c r="C6772" s="13">
        <f>IFERROR(__xludf.DUMMYFUNCTION("""COMPUTED_VALUE"""),0.16666666666666666)</f>
        <v>0.1666666667</v>
      </c>
      <c r="D6772" s="8">
        <f>IFERROR(__xludf.DUMMYFUNCTION("""COMPUTED_VALUE"""),0.11)</f>
        <v>0.11</v>
      </c>
      <c r="E6772" s="8" t="str">
        <f>IFERROR(__xludf.DUMMYFUNCTION("""COMPUTED_VALUE"""),"Real")</f>
        <v>Real</v>
      </c>
      <c r="G6772" s="8">
        <f t="shared" si="1"/>
        <v>8</v>
      </c>
      <c r="H6772" s="14">
        <f t="shared" si="2"/>
        <v>10</v>
      </c>
      <c r="I6772" s="15">
        <f t="shared" si="3"/>
        <v>4</v>
      </c>
    </row>
    <row r="6773">
      <c r="A6773" s="8" t="str">
        <f>IFERROR(__xludf.DUMMYFUNCTION("IF('(INGESTA)Datos_consumo_datadis'!A6773&lt;&gt;"""",SPLIT('(INGESTA)Datos_consumo_datadis'!A:A,"",""),"""")"),"ES0031408323131005HX0F")</f>
        <v>ES0031408323131005HX0F</v>
      </c>
      <c r="B6773" s="12">
        <f>IFERROR(__xludf.DUMMYFUNCTION("""COMPUTED_VALUE"""),45148.0)</f>
        <v>45148</v>
      </c>
      <c r="C6773" s="13">
        <f>IFERROR(__xludf.DUMMYFUNCTION("""COMPUTED_VALUE"""),0.20833333333333334)</f>
        <v>0.2083333333</v>
      </c>
      <c r="D6773" s="8">
        <f>IFERROR(__xludf.DUMMYFUNCTION("""COMPUTED_VALUE"""),0.038)</f>
        <v>0.038</v>
      </c>
      <c r="E6773" s="8" t="str">
        <f>IFERROR(__xludf.DUMMYFUNCTION("""COMPUTED_VALUE"""),"Real")</f>
        <v>Real</v>
      </c>
      <c r="G6773" s="8">
        <f t="shared" si="1"/>
        <v>8</v>
      </c>
      <c r="H6773" s="14">
        <f t="shared" si="2"/>
        <v>10</v>
      </c>
      <c r="I6773" s="15">
        <f t="shared" si="3"/>
        <v>5</v>
      </c>
    </row>
    <row r="6774">
      <c r="A6774" s="8" t="str">
        <f>IFERROR(__xludf.DUMMYFUNCTION("IF('(INGESTA)Datos_consumo_datadis'!A6774&lt;&gt;"""",SPLIT('(INGESTA)Datos_consumo_datadis'!A:A,"",""),"""")"),"ES0031408323131005HX0F")</f>
        <v>ES0031408323131005HX0F</v>
      </c>
      <c r="B6774" s="12">
        <f>IFERROR(__xludf.DUMMYFUNCTION("""COMPUTED_VALUE"""),45148.0)</f>
        <v>45148</v>
      </c>
      <c r="C6774" s="13">
        <f>IFERROR(__xludf.DUMMYFUNCTION("""COMPUTED_VALUE"""),0.25)</f>
        <v>0.25</v>
      </c>
      <c r="D6774" s="8">
        <f>IFERROR(__xludf.DUMMYFUNCTION("""COMPUTED_VALUE"""),0.138)</f>
        <v>0.138</v>
      </c>
      <c r="E6774" s="8" t="str">
        <f>IFERROR(__xludf.DUMMYFUNCTION("""COMPUTED_VALUE"""),"Real")</f>
        <v>Real</v>
      </c>
      <c r="G6774" s="8">
        <f t="shared" si="1"/>
        <v>8</v>
      </c>
      <c r="H6774" s="14">
        <f t="shared" si="2"/>
        <v>10</v>
      </c>
      <c r="I6774" s="15">
        <f t="shared" si="3"/>
        <v>6</v>
      </c>
    </row>
    <row r="6775">
      <c r="A6775" s="8" t="str">
        <f>IFERROR(__xludf.DUMMYFUNCTION("IF('(INGESTA)Datos_consumo_datadis'!A6775&lt;&gt;"""",SPLIT('(INGESTA)Datos_consumo_datadis'!A:A,"",""),"""")"),"ES0031408323131005HX0F")</f>
        <v>ES0031408323131005HX0F</v>
      </c>
      <c r="B6775" s="12">
        <f>IFERROR(__xludf.DUMMYFUNCTION("""COMPUTED_VALUE"""),45148.0)</f>
        <v>45148</v>
      </c>
      <c r="C6775" s="13">
        <f>IFERROR(__xludf.DUMMYFUNCTION("""COMPUTED_VALUE"""),0.2916666666666667)</f>
        <v>0.2916666667</v>
      </c>
      <c r="D6775" s="8">
        <f>IFERROR(__xludf.DUMMYFUNCTION("""COMPUTED_VALUE"""),0.132)</f>
        <v>0.132</v>
      </c>
      <c r="E6775" s="8" t="str">
        <f>IFERROR(__xludf.DUMMYFUNCTION("""COMPUTED_VALUE"""),"Real")</f>
        <v>Real</v>
      </c>
      <c r="G6775" s="8">
        <f t="shared" si="1"/>
        <v>8</v>
      </c>
      <c r="H6775" s="14">
        <f t="shared" si="2"/>
        <v>10</v>
      </c>
      <c r="I6775" s="15">
        <f t="shared" si="3"/>
        <v>7</v>
      </c>
    </row>
    <row r="6776">
      <c r="A6776" s="8" t="str">
        <f>IFERROR(__xludf.DUMMYFUNCTION("IF('(INGESTA)Datos_consumo_datadis'!A6776&lt;&gt;"""",SPLIT('(INGESTA)Datos_consumo_datadis'!A:A,"",""),"""")"),"ES0031408323131005HX0F")</f>
        <v>ES0031408323131005HX0F</v>
      </c>
      <c r="B6776" s="12">
        <f>IFERROR(__xludf.DUMMYFUNCTION("""COMPUTED_VALUE"""),45148.0)</f>
        <v>45148</v>
      </c>
      <c r="C6776" s="13">
        <f>IFERROR(__xludf.DUMMYFUNCTION("""COMPUTED_VALUE"""),0.3333333333333333)</f>
        <v>0.3333333333</v>
      </c>
      <c r="D6776" s="8">
        <f>IFERROR(__xludf.DUMMYFUNCTION("""COMPUTED_VALUE"""),0.109)</f>
        <v>0.109</v>
      </c>
      <c r="E6776" s="8" t="str">
        <f>IFERROR(__xludf.DUMMYFUNCTION("""COMPUTED_VALUE"""),"Real")</f>
        <v>Real</v>
      </c>
      <c r="G6776" s="8">
        <f t="shared" si="1"/>
        <v>8</v>
      </c>
      <c r="H6776" s="14">
        <f t="shared" si="2"/>
        <v>10</v>
      </c>
      <c r="I6776" s="15">
        <f t="shared" si="3"/>
        <v>8</v>
      </c>
    </row>
    <row r="6777">
      <c r="A6777" s="8" t="str">
        <f>IFERROR(__xludf.DUMMYFUNCTION("IF('(INGESTA)Datos_consumo_datadis'!A6777&lt;&gt;"""",SPLIT('(INGESTA)Datos_consumo_datadis'!A:A,"",""),"""")"),"ES0031408323131005HX0F")</f>
        <v>ES0031408323131005HX0F</v>
      </c>
      <c r="B6777" s="12">
        <f>IFERROR(__xludf.DUMMYFUNCTION("""COMPUTED_VALUE"""),45148.0)</f>
        <v>45148</v>
      </c>
      <c r="C6777" s="13">
        <f>IFERROR(__xludf.DUMMYFUNCTION("""COMPUTED_VALUE"""),0.375)</f>
        <v>0.375</v>
      </c>
      <c r="D6777" s="8">
        <f>IFERROR(__xludf.DUMMYFUNCTION("""COMPUTED_VALUE"""),0.483)</f>
        <v>0.483</v>
      </c>
      <c r="E6777" s="8" t="str">
        <f>IFERROR(__xludf.DUMMYFUNCTION("""COMPUTED_VALUE"""),"Real")</f>
        <v>Real</v>
      </c>
      <c r="G6777" s="8">
        <f t="shared" si="1"/>
        <v>8</v>
      </c>
      <c r="H6777" s="14">
        <f t="shared" si="2"/>
        <v>10</v>
      </c>
      <c r="I6777" s="15">
        <f t="shared" si="3"/>
        <v>9</v>
      </c>
    </row>
    <row r="6778">
      <c r="A6778" s="8" t="str">
        <f>IFERROR(__xludf.DUMMYFUNCTION("IF('(INGESTA)Datos_consumo_datadis'!A6778&lt;&gt;"""",SPLIT('(INGESTA)Datos_consumo_datadis'!A:A,"",""),"""")"),"ES0031408323131005HX0F")</f>
        <v>ES0031408323131005HX0F</v>
      </c>
      <c r="B6778" s="12">
        <f>IFERROR(__xludf.DUMMYFUNCTION("""COMPUTED_VALUE"""),45148.0)</f>
        <v>45148</v>
      </c>
      <c r="C6778" s="13">
        <f>IFERROR(__xludf.DUMMYFUNCTION("""COMPUTED_VALUE"""),0.4166666666666667)</f>
        <v>0.4166666667</v>
      </c>
      <c r="D6778" s="8">
        <f>IFERROR(__xludf.DUMMYFUNCTION("""COMPUTED_VALUE"""),0.233)</f>
        <v>0.233</v>
      </c>
      <c r="E6778" s="8" t="str">
        <f>IFERROR(__xludf.DUMMYFUNCTION("""COMPUTED_VALUE"""),"Real")</f>
        <v>Real</v>
      </c>
      <c r="G6778" s="8">
        <f t="shared" si="1"/>
        <v>8</v>
      </c>
      <c r="H6778" s="14">
        <f t="shared" si="2"/>
        <v>10</v>
      </c>
      <c r="I6778" s="15">
        <f t="shared" si="3"/>
        <v>10</v>
      </c>
    </row>
    <row r="6779">
      <c r="A6779" s="8" t="str">
        <f>IFERROR(__xludf.DUMMYFUNCTION("IF('(INGESTA)Datos_consumo_datadis'!A6779&lt;&gt;"""",SPLIT('(INGESTA)Datos_consumo_datadis'!A:A,"",""),"""")"),"ES0031408323131005HX0F")</f>
        <v>ES0031408323131005HX0F</v>
      </c>
      <c r="B6779" s="12">
        <f>IFERROR(__xludf.DUMMYFUNCTION("""COMPUTED_VALUE"""),45148.0)</f>
        <v>45148</v>
      </c>
      <c r="C6779" s="13">
        <f>IFERROR(__xludf.DUMMYFUNCTION("""COMPUTED_VALUE"""),0.4583333333333333)</f>
        <v>0.4583333333</v>
      </c>
      <c r="D6779" s="8">
        <f>IFERROR(__xludf.DUMMYFUNCTION("""COMPUTED_VALUE"""),0.218)</f>
        <v>0.218</v>
      </c>
      <c r="E6779" s="8" t="str">
        <f>IFERROR(__xludf.DUMMYFUNCTION("""COMPUTED_VALUE"""),"Real")</f>
        <v>Real</v>
      </c>
      <c r="G6779" s="8">
        <f t="shared" si="1"/>
        <v>8</v>
      </c>
      <c r="H6779" s="14">
        <f t="shared" si="2"/>
        <v>10</v>
      </c>
      <c r="I6779" s="15">
        <f t="shared" si="3"/>
        <v>11</v>
      </c>
    </row>
    <row r="6780">
      <c r="A6780" s="8" t="str">
        <f>IFERROR(__xludf.DUMMYFUNCTION("IF('(INGESTA)Datos_consumo_datadis'!A6780&lt;&gt;"""",SPLIT('(INGESTA)Datos_consumo_datadis'!A:A,"",""),"""")"),"ES0031408323131005HX0F")</f>
        <v>ES0031408323131005HX0F</v>
      </c>
      <c r="B6780" s="12">
        <f>IFERROR(__xludf.DUMMYFUNCTION("""COMPUTED_VALUE"""),45148.0)</f>
        <v>45148</v>
      </c>
      <c r="C6780" s="13">
        <f>IFERROR(__xludf.DUMMYFUNCTION("""COMPUTED_VALUE"""),0.5)</f>
        <v>0.5</v>
      </c>
      <c r="D6780" s="8">
        <f>IFERROR(__xludf.DUMMYFUNCTION("""COMPUTED_VALUE"""),0.723)</f>
        <v>0.723</v>
      </c>
      <c r="E6780" s="8" t="str">
        <f>IFERROR(__xludf.DUMMYFUNCTION("""COMPUTED_VALUE"""),"Real")</f>
        <v>Real</v>
      </c>
      <c r="G6780" s="8">
        <f t="shared" si="1"/>
        <v>8</v>
      </c>
      <c r="H6780" s="14">
        <f t="shared" si="2"/>
        <v>10</v>
      </c>
      <c r="I6780" s="15">
        <f t="shared" si="3"/>
        <v>12</v>
      </c>
    </row>
    <row r="6781">
      <c r="A6781" s="8" t="str">
        <f>IFERROR(__xludf.DUMMYFUNCTION("IF('(INGESTA)Datos_consumo_datadis'!A6781&lt;&gt;"""",SPLIT('(INGESTA)Datos_consumo_datadis'!A:A,"",""),"""")"),"ES0031408323131005HX0F")</f>
        <v>ES0031408323131005HX0F</v>
      </c>
      <c r="B6781" s="12">
        <f>IFERROR(__xludf.DUMMYFUNCTION("""COMPUTED_VALUE"""),45148.0)</f>
        <v>45148</v>
      </c>
      <c r="C6781" s="13">
        <f>IFERROR(__xludf.DUMMYFUNCTION("""COMPUTED_VALUE"""),0.5416666666666666)</f>
        <v>0.5416666667</v>
      </c>
      <c r="D6781" s="8">
        <f>IFERROR(__xludf.DUMMYFUNCTION("""COMPUTED_VALUE"""),0.489)</f>
        <v>0.489</v>
      </c>
      <c r="E6781" s="8" t="str">
        <f>IFERROR(__xludf.DUMMYFUNCTION("""COMPUTED_VALUE"""),"Real")</f>
        <v>Real</v>
      </c>
      <c r="G6781" s="8">
        <f t="shared" si="1"/>
        <v>8</v>
      </c>
      <c r="H6781" s="14">
        <f t="shared" si="2"/>
        <v>10</v>
      </c>
      <c r="I6781" s="15">
        <f t="shared" si="3"/>
        <v>13</v>
      </c>
    </row>
    <row r="6782">
      <c r="A6782" s="8" t="str">
        <f>IFERROR(__xludf.DUMMYFUNCTION("IF('(INGESTA)Datos_consumo_datadis'!A6782&lt;&gt;"""",SPLIT('(INGESTA)Datos_consumo_datadis'!A:A,"",""),"""")"),"ES0031408323131005HX0F")</f>
        <v>ES0031408323131005HX0F</v>
      </c>
      <c r="B6782" s="12">
        <f>IFERROR(__xludf.DUMMYFUNCTION("""COMPUTED_VALUE"""),45148.0)</f>
        <v>45148</v>
      </c>
      <c r="C6782" s="13">
        <f>IFERROR(__xludf.DUMMYFUNCTION("""COMPUTED_VALUE"""),0.5833333333333334)</f>
        <v>0.5833333333</v>
      </c>
      <c r="D6782" s="8">
        <f>IFERROR(__xludf.DUMMYFUNCTION("""COMPUTED_VALUE"""),0.221)</f>
        <v>0.221</v>
      </c>
      <c r="E6782" s="8" t="str">
        <f>IFERROR(__xludf.DUMMYFUNCTION("""COMPUTED_VALUE"""),"Real")</f>
        <v>Real</v>
      </c>
      <c r="G6782" s="8">
        <f t="shared" si="1"/>
        <v>8</v>
      </c>
      <c r="H6782" s="14">
        <f t="shared" si="2"/>
        <v>10</v>
      </c>
      <c r="I6782" s="15">
        <f t="shared" si="3"/>
        <v>14</v>
      </c>
    </row>
    <row r="6783">
      <c r="A6783" s="8" t="str">
        <f>IFERROR(__xludf.DUMMYFUNCTION("IF('(INGESTA)Datos_consumo_datadis'!A6783&lt;&gt;"""",SPLIT('(INGESTA)Datos_consumo_datadis'!A:A,"",""),"""")"),"ES0031408323131005HX0F")</f>
        <v>ES0031408323131005HX0F</v>
      </c>
      <c r="B6783" s="12">
        <f>IFERROR(__xludf.DUMMYFUNCTION("""COMPUTED_VALUE"""),45148.0)</f>
        <v>45148</v>
      </c>
      <c r="C6783" s="13">
        <f>IFERROR(__xludf.DUMMYFUNCTION("""COMPUTED_VALUE"""),0.625)</f>
        <v>0.625</v>
      </c>
      <c r="D6783" s="8">
        <f>IFERROR(__xludf.DUMMYFUNCTION("""COMPUTED_VALUE"""),0.154)</f>
        <v>0.154</v>
      </c>
      <c r="E6783" s="8" t="str">
        <f>IFERROR(__xludf.DUMMYFUNCTION("""COMPUTED_VALUE"""),"Real")</f>
        <v>Real</v>
      </c>
      <c r="G6783" s="8">
        <f t="shared" si="1"/>
        <v>8</v>
      </c>
      <c r="H6783" s="14">
        <f t="shared" si="2"/>
        <v>10</v>
      </c>
      <c r="I6783" s="15">
        <f t="shared" si="3"/>
        <v>15</v>
      </c>
    </row>
    <row r="6784">
      <c r="A6784" s="8" t="str">
        <f>IFERROR(__xludf.DUMMYFUNCTION("IF('(INGESTA)Datos_consumo_datadis'!A6784&lt;&gt;"""",SPLIT('(INGESTA)Datos_consumo_datadis'!A:A,"",""),"""")"),"ES0031408323131005HX0F")</f>
        <v>ES0031408323131005HX0F</v>
      </c>
      <c r="B6784" s="12">
        <f>IFERROR(__xludf.DUMMYFUNCTION("""COMPUTED_VALUE"""),45148.0)</f>
        <v>45148</v>
      </c>
      <c r="C6784" s="13">
        <f>IFERROR(__xludf.DUMMYFUNCTION("""COMPUTED_VALUE"""),0.6666666666666666)</f>
        <v>0.6666666667</v>
      </c>
      <c r="D6784" s="8">
        <f>IFERROR(__xludf.DUMMYFUNCTION("""COMPUTED_VALUE"""),0.135)</f>
        <v>0.135</v>
      </c>
      <c r="E6784" s="8" t="str">
        <f>IFERROR(__xludf.DUMMYFUNCTION("""COMPUTED_VALUE"""),"Real")</f>
        <v>Real</v>
      </c>
      <c r="G6784" s="8">
        <f t="shared" si="1"/>
        <v>8</v>
      </c>
      <c r="H6784" s="14">
        <f t="shared" si="2"/>
        <v>10</v>
      </c>
      <c r="I6784" s="15">
        <f t="shared" si="3"/>
        <v>16</v>
      </c>
    </row>
    <row r="6785">
      <c r="A6785" s="8" t="str">
        <f>IFERROR(__xludf.DUMMYFUNCTION("IF('(INGESTA)Datos_consumo_datadis'!A6785&lt;&gt;"""",SPLIT('(INGESTA)Datos_consumo_datadis'!A:A,"",""),"""")"),"ES0031408323131005HX0F")</f>
        <v>ES0031408323131005HX0F</v>
      </c>
      <c r="B6785" s="12">
        <f>IFERROR(__xludf.DUMMYFUNCTION("""COMPUTED_VALUE"""),45148.0)</f>
        <v>45148</v>
      </c>
      <c r="C6785" s="13">
        <f>IFERROR(__xludf.DUMMYFUNCTION("""COMPUTED_VALUE"""),0.7083333333333334)</f>
        <v>0.7083333333</v>
      </c>
      <c r="D6785" s="8">
        <f>IFERROR(__xludf.DUMMYFUNCTION("""COMPUTED_VALUE"""),0.132)</f>
        <v>0.132</v>
      </c>
      <c r="E6785" s="8" t="str">
        <f>IFERROR(__xludf.DUMMYFUNCTION("""COMPUTED_VALUE"""),"Real")</f>
        <v>Real</v>
      </c>
      <c r="G6785" s="8">
        <f t="shared" si="1"/>
        <v>8</v>
      </c>
      <c r="H6785" s="14">
        <f t="shared" si="2"/>
        <v>10</v>
      </c>
      <c r="I6785" s="15">
        <f t="shared" si="3"/>
        <v>17</v>
      </c>
    </row>
    <row r="6786">
      <c r="A6786" s="8" t="str">
        <f>IFERROR(__xludf.DUMMYFUNCTION("IF('(INGESTA)Datos_consumo_datadis'!A6786&lt;&gt;"""",SPLIT('(INGESTA)Datos_consumo_datadis'!A:A,"",""),"""")"),"ES0031408323131005HX0F")</f>
        <v>ES0031408323131005HX0F</v>
      </c>
      <c r="B6786" s="12">
        <f>IFERROR(__xludf.DUMMYFUNCTION("""COMPUTED_VALUE"""),45148.0)</f>
        <v>45148</v>
      </c>
      <c r="C6786" s="13">
        <f>IFERROR(__xludf.DUMMYFUNCTION("""COMPUTED_VALUE"""),0.75)</f>
        <v>0.75</v>
      </c>
      <c r="D6786" s="8">
        <f>IFERROR(__xludf.DUMMYFUNCTION("""COMPUTED_VALUE"""),0.132)</f>
        <v>0.132</v>
      </c>
      <c r="E6786" s="8" t="str">
        <f>IFERROR(__xludf.DUMMYFUNCTION("""COMPUTED_VALUE"""),"Real")</f>
        <v>Real</v>
      </c>
      <c r="G6786" s="8">
        <f t="shared" si="1"/>
        <v>8</v>
      </c>
      <c r="H6786" s="14">
        <f t="shared" si="2"/>
        <v>10</v>
      </c>
      <c r="I6786" s="15">
        <f t="shared" si="3"/>
        <v>18</v>
      </c>
    </row>
    <row r="6787">
      <c r="A6787" s="8" t="str">
        <f>IFERROR(__xludf.DUMMYFUNCTION("IF('(INGESTA)Datos_consumo_datadis'!A6787&lt;&gt;"""",SPLIT('(INGESTA)Datos_consumo_datadis'!A:A,"",""),"""")"),"ES0031408323131005HX0F")</f>
        <v>ES0031408323131005HX0F</v>
      </c>
      <c r="B6787" s="12">
        <f>IFERROR(__xludf.DUMMYFUNCTION("""COMPUTED_VALUE"""),45148.0)</f>
        <v>45148</v>
      </c>
      <c r="C6787" s="13">
        <f>IFERROR(__xludf.DUMMYFUNCTION("""COMPUTED_VALUE"""),0.7916666666666666)</f>
        <v>0.7916666667</v>
      </c>
      <c r="D6787" s="8">
        <f>IFERROR(__xludf.DUMMYFUNCTION("""COMPUTED_VALUE"""),0.06)</f>
        <v>0.06</v>
      </c>
      <c r="E6787" s="8" t="str">
        <f>IFERROR(__xludf.DUMMYFUNCTION("""COMPUTED_VALUE"""),"Real")</f>
        <v>Real</v>
      </c>
      <c r="G6787" s="8">
        <f t="shared" si="1"/>
        <v>8</v>
      </c>
      <c r="H6787" s="14">
        <f t="shared" si="2"/>
        <v>10</v>
      </c>
      <c r="I6787" s="15">
        <f t="shared" si="3"/>
        <v>19</v>
      </c>
    </row>
    <row r="6788">
      <c r="A6788" s="8" t="str">
        <f>IFERROR(__xludf.DUMMYFUNCTION("IF('(INGESTA)Datos_consumo_datadis'!A6788&lt;&gt;"""",SPLIT('(INGESTA)Datos_consumo_datadis'!A:A,"",""),"""")"),"ES0031408323131005HX0F")</f>
        <v>ES0031408323131005HX0F</v>
      </c>
      <c r="B6788" s="12">
        <f>IFERROR(__xludf.DUMMYFUNCTION("""COMPUTED_VALUE"""),45148.0)</f>
        <v>45148</v>
      </c>
      <c r="C6788" s="13">
        <f>IFERROR(__xludf.DUMMYFUNCTION("""COMPUTED_VALUE"""),0.8333333333333334)</f>
        <v>0.8333333333</v>
      </c>
      <c r="D6788" s="8">
        <f>IFERROR(__xludf.DUMMYFUNCTION("""COMPUTED_VALUE"""),0.434)</f>
        <v>0.434</v>
      </c>
      <c r="E6788" s="8" t="str">
        <f>IFERROR(__xludf.DUMMYFUNCTION("""COMPUTED_VALUE"""),"Real")</f>
        <v>Real</v>
      </c>
      <c r="G6788" s="8">
        <f t="shared" si="1"/>
        <v>8</v>
      </c>
      <c r="H6788" s="14">
        <f t="shared" si="2"/>
        <v>10</v>
      </c>
      <c r="I6788" s="15">
        <f t="shared" si="3"/>
        <v>20</v>
      </c>
    </row>
    <row r="6789">
      <c r="A6789" s="8" t="str">
        <f>IFERROR(__xludf.DUMMYFUNCTION("IF('(INGESTA)Datos_consumo_datadis'!A6789&lt;&gt;"""",SPLIT('(INGESTA)Datos_consumo_datadis'!A:A,"",""),"""")"),"ES0031408323131005HX0F")</f>
        <v>ES0031408323131005HX0F</v>
      </c>
      <c r="B6789" s="12">
        <f>IFERROR(__xludf.DUMMYFUNCTION("""COMPUTED_VALUE"""),45148.0)</f>
        <v>45148</v>
      </c>
      <c r="C6789" s="13">
        <f>IFERROR(__xludf.DUMMYFUNCTION("""COMPUTED_VALUE"""),0.875)</f>
        <v>0.875</v>
      </c>
      <c r="D6789" s="8">
        <f>IFERROR(__xludf.DUMMYFUNCTION("""COMPUTED_VALUE"""),0.184)</f>
        <v>0.184</v>
      </c>
      <c r="E6789" s="8" t="str">
        <f>IFERROR(__xludf.DUMMYFUNCTION("""COMPUTED_VALUE"""),"Real")</f>
        <v>Real</v>
      </c>
      <c r="G6789" s="8">
        <f t="shared" si="1"/>
        <v>8</v>
      </c>
      <c r="H6789" s="14">
        <f t="shared" si="2"/>
        <v>10</v>
      </c>
      <c r="I6789" s="15">
        <f t="shared" si="3"/>
        <v>21</v>
      </c>
    </row>
    <row r="6790">
      <c r="A6790" s="8" t="str">
        <f>IFERROR(__xludf.DUMMYFUNCTION("IF('(INGESTA)Datos_consumo_datadis'!A6790&lt;&gt;"""",SPLIT('(INGESTA)Datos_consumo_datadis'!A:A,"",""),"""")"),"ES0031408323131005HX0F")</f>
        <v>ES0031408323131005HX0F</v>
      </c>
      <c r="B6790" s="12">
        <f>IFERROR(__xludf.DUMMYFUNCTION("""COMPUTED_VALUE"""),45148.0)</f>
        <v>45148</v>
      </c>
      <c r="C6790" s="13">
        <f>IFERROR(__xludf.DUMMYFUNCTION("""COMPUTED_VALUE"""),0.9166666666666666)</f>
        <v>0.9166666667</v>
      </c>
      <c r="D6790" s="8">
        <f>IFERROR(__xludf.DUMMYFUNCTION("""COMPUTED_VALUE"""),0.326)</f>
        <v>0.326</v>
      </c>
      <c r="E6790" s="8" t="str">
        <f>IFERROR(__xludf.DUMMYFUNCTION("""COMPUTED_VALUE"""),"Real")</f>
        <v>Real</v>
      </c>
      <c r="G6790" s="8">
        <f t="shared" si="1"/>
        <v>8</v>
      </c>
      <c r="H6790" s="14">
        <f t="shared" si="2"/>
        <v>10</v>
      </c>
      <c r="I6790" s="15">
        <f t="shared" si="3"/>
        <v>22</v>
      </c>
    </row>
    <row r="6791">
      <c r="A6791" s="8" t="str">
        <f>IFERROR(__xludf.DUMMYFUNCTION("IF('(INGESTA)Datos_consumo_datadis'!A6791&lt;&gt;"""",SPLIT('(INGESTA)Datos_consumo_datadis'!A:A,"",""),"""")"),"ES0031408323131005HX0F")</f>
        <v>ES0031408323131005HX0F</v>
      </c>
      <c r="B6791" s="12">
        <f>IFERROR(__xludf.DUMMYFUNCTION("""COMPUTED_VALUE"""),45148.0)</f>
        <v>45148</v>
      </c>
      <c r="C6791" s="13">
        <f>IFERROR(__xludf.DUMMYFUNCTION("""COMPUTED_VALUE"""),0.9583333333333334)</f>
        <v>0.9583333333</v>
      </c>
      <c r="D6791" s="8">
        <f>IFERROR(__xludf.DUMMYFUNCTION("""COMPUTED_VALUE"""),2.008)</f>
        <v>2.008</v>
      </c>
      <c r="E6791" s="8" t="str">
        <f>IFERROR(__xludf.DUMMYFUNCTION("""COMPUTED_VALUE"""),"Real")</f>
        <v>Real</v>
      </c>
      <c r="G6791" s="8">
        <f t="shared" si="1"/>
        <v>8</v>
      </c>
      <c r="H6791" s="14">
        <f t="shared" si="2"/>
        <v>10</v>
      </c>
      <c r="I6791" s="15">
        <f t="shared" si="3"/>
        <v>23</v>
      </c>
    </row>
    <row r="6792">
      <c r="A6792" s="8" t="str">
        <f>IFERROR(__xludf.DUMMYFUNCTION("IF('(INGESTA)Datos_consumo_datadis'!A6792&lt;&gt;"""",SPLIT('(INGESTA)Datos_consumo_datadis'!A:A,"",""),"""")"),"ES0031408323131005HX0F")</f>
        <v>ES0031408323131005HX0F</v>
      </c>
      <c r="B6792" s="12">
        <f>IFERROR(__xludf.DUMMYFUNCTION("""COMPUTED_VALUE"""),45148.0)</f>
        <v>45148</v>
      </c>
      <c r="C6792" s="16">
        <f>IFERROR(__xludf.DUMMYFUNCTION("""COMPUTED_VALUE"""),1.0)</f>
        <v>1</v>
      </c>
      <c r="D6792" s="8">
        <f>IFERROR(__xludf.DUMMYFUNCTION("""COMPUTED_VALUE"""),0.911)</f>
        <v>0.911</v>
      </c>
      <c r="E6792" s="8" t="str">
        <f>IFERROR(__xludf.DUMMYFUNCTION("""COMPUTED_VALUE"""),"Real")</f>
        <v>Real</v>
      </c>
      <c r="G6792" s="8">
        <f t="shared" si="1"/>
        <v>8</v>
      </c>
      <c r="H6792" s="14">
        <f t="shared" si="2"/>
        <v>10</v>
      </c>
      <c r="I6792" s="15">
        <f t="shared" si="3"/>
        <v>0</v>
      </c>
    </row>
    <row r="6793">
      <c r="A6793" s="8" t="str">
        <f>IFERROR(__xludf.DUMMYFUNCTION("IF('(INGESTA)Datos_consumo_datadis'!A6793&lt;&gt;"""",SPLIT('(INGESTA)Datos_consumo_datadis'!A:A,"",""),"""")"),"ES0031408323131005HX0F")</f>
        <v>ES0031408323131005HX0F</v>
      </c>
      <c r="B6793" s="12">
        <f>IFERROR(__xludf.DUMMYFUNCTION("""COMPUTED_VALUE"""),45149.0)</f>
        <v>45149</v>
      </c>
      <c r="C6793" s="13">
        <f>IFERROR(__xludf.DUMMYFUNCTION("""COMPUTED_VALUE"""),0.041666666666666664)</f>
        <v>0.04166666667</v>
      </c>
      <c r="D6793" s="8">
        <f>IFERROR(__xludf.DUMMYFUNCTION("""COMPUTED_VALUE"""),0.132)</f>
        <v>0.132</v>
      </c>
      <c r="E6793" s="8" t="str">
        <f>IFERROR(__xludf.DUMMYFUNCTION("""COMPUTED_VALUE"""),"Real")</f>
        <v>Real</v>
      </c>
      <c r="G6793" s="8">
        <f t="shared" si="1"/>
        <v>8</v>
      </c>
      <c r="H6793" s="14">
        <f t="shared" si="2"/>
        <v>11</v>
      </c>
      <c r="I6793" s="15">
        <f t="shared" si="3"/>
        <v>1</v>
      </c>
    </row>
    <row r="6794">
      <c r="A6794" s="8" t="str">
        <f>IFERROR(__xludf.DUMMYFUNCTION("IF('(INGESTA)Datos_consumo_datadis'!A6794&lt;&gt;"""",SPLIT('(INGESTA)Datos_consumo_datadis'!A:A,"",""),"""")"),"ES0031408323131005HX0F")</f>
        <v>ES0031408323131005HX0F</v>
      </c>
      <c r="B6794" s="12">
        <f>IFERROR(__xludf.DUMMYFUNCTION("""COMPUTED_VALUE"""),45149.0)</f>
        <v>45149</v>
      </c>
      <c r="C6794" s="13">
        <f>IFERROR(__xludf.DUMMYFUNCTION("""COMPUTED_VALUE"""),0.08333333333333333)</f>
        <v>0.08333333333</v>
      </c>
      <c r="D6794" s="8">
        <f>IFERROR(__xludf.DUMMYFUNCTION("""COMPUTED_VALUE"""),0.13)</f>
        <v>0.13</v>
      </c>
      <c r="E6794" s="8" t="str">
        <f>IFERROR(__xludf.DUMMYFUNCTION("""COMPUTED_VALUE"""),"Real")</f>
        <v>Real</v>
      </c>
      <c r="G6794" s="8">
        <f t="shared" si="1"/>
        <v>8</v>
      </c>
      <c r="H6794" s="14">
        <f t="shared" si="2"/>
        <v>11</v>
      </c>
      <c r="I6794" s="15">
        <f t="shared" si="3"/>
        <v>2</v>
      </c>
    </row>
    <row r="6795">
      <c r="A6795" s="8" t="str">
        <f>IFERROR(__xludf.DUMMYFUNCTION("IF('(INGESTA)Datos_consumo_datadis'!A6795&lt;&gt;"""",SPLIT('(INGESTA)Datos_consumo_datadis'!A:A,"",""),"""")"),"ES0031408323131005HX0F")</f>
        <v>ES0031408323131005HX0F</v>
      </c>
      <c r="B6795" s="12">
        <f>IFERROR(__xludf.DUMMYFUNCTION("""COMPUTED_VALUE"""),45149.0)</f>
        <v>45149</v>
      </c>
      <c r="C6795" s="13">
        <f>IFERROR(__xludf.DUMMYFUNCTION("""COMPUTED_VALUE"""),0.125)</f>
        <v>0.125</v>
      </c>
      <c r="D6795" s="8">
        <f>IFERROR(__xludf.DUMMYFUNCTION("""COMPUTED_VALUE"""),0.15)</f>
        <v>0.15</v>
      </c>
      <c r="E6795" s="8" t="str">
        <f>IFERROR(__xludf.DUMMYFUNCTION("""COMPUTED_VALUE"""),"Real")</f>
        <v>Real</v>
      </c>
      <c r="G6795" s="8">
        <f t="shared" si="1"/>
        <v>8</v>
      </c>
      <c r="H6795" s="14">
        <f t="shared" si="2"/>
        <v>11</v>
      </c>
      <c r="I6795" s="15">
        <f t="shared" si="3"/>
        <v>3</v>
      </c>
    </row>
    <row r="6796">
      <c r="A6796" s="8" t="str">
        <f>IFERROR(__xludf.DUMMYFUNCTION("IF('(INGESTA)Datos_consumo_datadis'!A6796&lt;&gt;"""",SPLIT('(INGESTA)Datos_consumo_datadis'!A:A,"",""),"""")"),"ES0031408323131005HX0F")</f>
        <v>ES0031408323131005HX0F</v>
      </c>
      <c r="B6796" s="12">
        <f>IFERROR(__xludf.DUMMYFUNCTION("""COMPUTED_VALUE"""),45149.0)</f>
        <v>45149</v>
      </c>
      <c r="C6796" s="13">
        <f>IFERROR(__xludf.DUMMYFUNCTION("""COMPUTED_VALUE"""),0.16666666666666666)</f>
        <v>0.1666666667</v>
      </c>
      <c r="D6796" s="8">
        <f>IFERROR(__xludf.DUMMYFUNCTION("""COMPUTED_VALUE"""),0.139)</f>
        <v>0.139</v>
      </c>
      <c r="E6796" s="8" t="str">
        <f>IFERROR(__xludf.DUMMYFUNCTION("""COMPUTED_VALUE"""),"Real")</f>
        <v>Real</v>
      </c>
      <c r="G6796" s="8">
        <f t="shared" si="1"/>
        <v>8</v>
      </c>
      <c r="H6796" s="14">
        <f t="shared" si="2"/>
        <v>11</v>
      </c>
      <c r="I6796" s="15">
        <f t="shared" si="3"/>
        <v>4</v>
      </c>
    </row>
    <row r="6797">
      <c r="A6797" s="8" t="str">
        <f>IFERROR(__xludf.DUMMYFUNCTION("IF('(INGESTA)Datos_consumo_datadis'!A6797&lt;&gt;"""",SPLIT('(INGESTA)Datos_consumo_datadis'!A:A,"",""),"""")"),"ES0031408323131005HX0F")</f>
        <v>ES0031408323131005HX0F</v>
      </c>
      <c r="B6797" s="12">
        <f>IFERROR(__xludf.DUMMYFUNCTION("""COMPUTED_VALUE"""),45149.0)</f>
        <v>45149</v>
      </c>
      <c r="C6797" s="13">
        <f>IFERROR(__xludf.DUMMYFUNCTION("""COMPUTED_VALUE"""),0.20833333333333334)</f>
        <v>0.2083333333</v>
      </c>
      <c r="D6797" s="8">
        <f>IFERROR(__xludf.DUMMYFUNCTION("""COMPUTED_VALUE"""),0.36)</f>
        <v>0.36</v>
      </c>
      <c r="E6797" s="8" t="str">
        <f>IFERROR(__xludf.DUMMYFUNCTION("""COMPUTED_VALUE"""),"Real")</f>
        <v>Real</v>
      </c>
      <c r="G6797" s="8">
        <f t="shared" si="1"/>
        <v>8</v>
      </c>
      <c r="H6797" s="14">
        <f t="shared" si="2"/>
        <v>11</v>
      </c>
      <c r="I6797" s="15">
        <f t="shared" si="3"/>
        <v>5</v>
      </c>
    </row>
    <row r="6798">
      <c r="A6798" s="8" t="str">
        <f>IFERROR(__xludf.DUMMYFUNCTION("IF('(INGESTA)Datos_consumo_datadis'!A6798&lt;&gt;"""",SPLIT('(INGESTA)Datos_consumo_datadis'!A:A,"",""),"""")"),"ES0031408323131005HX0F")</f>
        <v>ES0031408323131005HX0F</v>
      </c>
      <c r="B6798" s="12">
        <f>IFERROR(__xludf.DUMMYFUNCTION("""COMPUTED_VALUE"""),45149.0)</f>
        <v>45149</v>
      </c>
      <c r="C6798" s="13">
        <f>IFERROR(__xludf.DUMMYFUNCTION("""COMPUTED_VALUE"""),0.25)</f>
        <v>0.25</v>
      </c>
      <c r="D6798" s="8">
        <f>IFERROR(__xludf.DUMMYFUNCTION("""COMPUTED_VALUE"""),0.099)</f>
        <v>0.099</v>
      </c>
      <c r="E6798" s="8" t="str">
        <f>IFERROR(__xludf.DUMMYFUNCTION("""COMPUTED_VALUE"""),"Real")</f>
        <v>Real</v>
      </c>
      <c r="G6798" s="8">
        <f t="shared" si="1"/>
        <v>8</v>
      </c>
      <c r="H6798" s="14">
        <f t="shared" si="2"/>
        <v>11</v>
      </c>
      <c r="I6798" s="15">
        <f t="shared" si="3"/>
        <v>6</v>
      </c>
    </row>
    <row r="6799">
      <c r="A6799" s="8" t="str">
        <f>IFERROR(__xludf.DUMMYFUNCTION("IF('(INGESTA)Datos_consumo_datadis'!A6799&lt;&gt;"""",SPLIT('(INGESTA)Datos_consumo_datadis'!A:A,"",""),"""")"),"ES0031408323131005HX0F")</f>
        <v>ES0031408323131005HX0F</v>
      </c>
      <c r="B6799" s="12">
        <f>IFERROR(__xludf.DUMMYFUNCTION("""COMPUTED_VALUE"""),45149.0)</f>
        <v>45149</v>
      </c>
      <c r="C6799" s="13">
        <f>IFERROR(__xludf.DUMMYFUNCTION("""COMPUTED_VALUE"""),0.2916666666666667)</f>
        <v>0.2916666667</v>
      </c>
      <c r="D6799" s="8">
        <f>IFERROR(__xludf.DUMMYFUNCTION("""COMPUTED_VALUE"""),0.128)</f>
        <v>0.128</v>
      </c>
      <c r="E6799" s="8" t="str">
        <f>IFERROR(__xludf.DUMMYFUNCTION("""COMPUTED_VALUE"""),"Real")</f>
        <v>Real</v>
      </c>
      <c r="G6799" s="8">
        <f t="shared" si="1"/>
        <v>8</v>
      </c>
      <c r="H6799" s="14">
        <f t="shared" si="2"/>
        <v>11</v>
      </c>
      <c r="I6799" s="15">
        <f t="shared" si="3"/>
        <v>7</v>
      </c>
    </row>
    <row r="6800">
      <c r="A6800" s="8" t="str">
        <f>IFERROR(__xludf.DUMMYFUNCTION("IF('(INGESTA)Datos_consumo_datadis'!A6800&lt;&gt;"""",SPLIT('(INGESTA)Datos_consumo_datadis'!A:A,"",""),"""")"),"ES0031408323131005HX0F")</f>
        <v>ES0031408323131005HX0F</v>
      </c>
      <c r="B6800" s="12">
        <f>IFERROR(__xludf.DUMMYFUNCTION("""COMPUTED_VALUE"""),45149.0)</f>
        <v>45149</v>
      </c>
      <c r="C6800" s="13">
        <f>IFERROR(__xludf.DUMMYFUNCTION("""COMPUTED_VALUE"""),0.3333333333333333)</f>
        <v>0.3333333333</v>
      </c>
      <c r="D6800" s="8">
        <f>IFERROR(__xludf.DUMMYFUNCTION("""COMPUTED_VALUE"""),0.127)</f>
        <v>0.127</v>
      </c>
      <c r="E6800" s="8" t="str">
        <f>IFERROR(__xludf.DUMMYFUNCTION("""COMPUTED_VALUE"""),"Real")</f>
        <v>Real</v>
      </c>
      <c r="G6800" s="8">
        <f t="shared" si="1"/>
        <v>8</v>
      </c>
      <c r="H6800" s="14">
        <f t="shared" si="2"/>
        <v>11</v>
      </c>
      <c r="I6800" s="15">
        <f t="shared" si="3"/>
        <v>8</v>
      </c>
    </row>
    <row r="6801">
      <c r="A6801" s="8" t="str">
        <f>IFERROR(__xludf.DUMMYFUNCTION("IF('(INGESTA)Datos_consumo_datadis'!A6801&lt;&gt;"""",SPLIT('(INGESTA)Datos_consumo_datadis'!A:A,"",""),"""")"),"ES0031408323131005HX0F")</f>
        <v>ES0031408323131005HX0F</v>
      </c>
      <c r="B6801" s="12">
        <f>IFERROR(__xludf.DUMMYFUNCTION("""COMPUTED_VALUE"""),45149.0)</f>
        <v>45149</v>
      </c>
      <c r="C6801" s="13">
        <f>IFERROR(__xludf.DUMMYFUNCTION("""COMPUTED_VALUE"""),0.375)</f>
        <v>0.375</v>
      </c>
      <c r="D6801" s="8">
        <f>IFERROR(__xludf.DUMMYFUNCTION("""COMPUTED_VALUE"""),0.424)</f>
        <v>0.424</v>
      </c>
      <c r="E6801" s="8" t="str">
        <f>IFERROR(__xludf.DUMMYFUNCTION("""COMPUTED_VALUE"""),"Real")</f>
        <v>Real</v>
      </c>
      <c r="G6801" s="8">
        <f t="shared" si="1"/>
        <v>8</v>
      </c>
      <c r="H6801" s="14">
        <f t="shared" si="2"/>
        <v>11</v>
      </c>
      <c r="I6801" s="15">
        <f t="shared" si="3"/>
        <v>9</v>
      </c>
    </row>
    <row r="6802">
      <c r="A6802" s="8" t="str">
        <f>IFERROR(__xludf.DUMMYFUNCTION("IF('(INGESTA)Datos_consumo_datadis'!A6802&lt;&gt;"""",SPLIT('(INGESTA)Datos_consumo_datadis'!A:A,"",""),"""")"),"ES0031408323131005HX0F")</f>
        <v>ES0031408323131005HX0F</v>
      </c>
      <c r="B6802" s="12">
        <f>IFERROR(__xludf.DUMMYFUNCTION("""COMPUTED_VALUE"""),45149.0)</f>
        <v>45149</v>
      </c>
      <c r="C6802" s="13">
        <f>IFERROR(__xludf.DUMMYFUNCTION("""COMPUTED_VALUE"""),0.4166666666666667)</f>
        <v>0.4166666667</v>
      </c>
      <c r="D6802" s="8">
        <f>IFERROR(__xludf.DUMMYFUNCTION("""COMPUTED_VALUE"""),0.276)</f>
        <v>0.276</v>
      </c>
      <c r="E6802" s="8" t="str">
        <f>IFERROR(__xludf.DUMMYFUNCTION("""COMPUTED_VALUE"""),"Real")</f>
        <v>Real</v>
      </c>
      <c r="G6802" s="8">
        <f t="shared" si="1"/>
        <v>8</v>
      </c>
      <c r="H6802" s="14">
        <f t="shared" si="2"/>
        <v>11</v>
      </c>
      <c r="I6802" s="15">
        <f t="shared" si="3"/>
        <v>10</v>
      </c>
    </row>
    <row r="6803">
      <c r="A6803" s="8" t="str">
        <f>IFERROR(__xludf.DUMMYFUNCTION("IF('(INGESTA)Datos_consumo_datadis'!A6803&lt;&gt;"""",SPLIT('(INGESTA)Datos_consumo_datadis'!A:A,"",""),"""")"),"ES0031408323131005HX0F")</f>
        <v>ES0031408323131005HX0F</v>
      </c>
      <c r="B6803" s="12">
        <f>IFERROR(__xludf.DUMMYFUNCTION("""COMPUTED_VALUE"""),45149.0)</f>
        <v>45149</v>
      </c>
      <c r="C6803" s="13">
        <f>IFERROR(__xludf.DUMMYFUNCTION("""COMPUTED_VALUE"""),0.4583333333333333)</f>
        <v>0.4583333333</v>
      </c>
      <c r="D6803" s="8">
        <f>IFERROR(__xludf.DUMMYFUNCTION("""COMPUTED_VALUE"""),0.167)</f>
        <v>0.167</v>
      </c>
      <c r="E6803" s="8" t="str">
        <f>IFERROR(__xludf.DUMMYFUNCTION("""COMPUTED_VALUE"""),"Real")</f>
        <v>Real</v>
      </c>
      <c r="G6803" s="8">
        <f t="shared" si="1"/>
        <v>8</v>
      </c>
      <c r="H6803" s="14">
        <f t="shared" si="2"/>
        <v>11</v>
      </c>
      <c r="I6803" s="15">
        <f t="shared" si="3"/>
        <v>11</v>
      </c>
    </row>
    <row r="6804">
      <c r="A6804" s="8" t="str">
        <f>IFERROR(__xludf.DUMMYFUNCTION("IF('(INGESTA)Datos_consumo_datadis'!A6804&lt;&gt;"""",SPLIT('(INGESTA)Datos_consumo_datadis'!A:A,"",""),"""")"),"ES0031408323131005HX0F")</f>
        <v>ES0031408323131005HX0F</v>
      </c>
      <c r="B6804" s="12">
        <f>IFERROR(__xludf.DUMMYFUNCTION("""COMPUTED_VALUE"""),45149.0)</f>
        <v>45149</v>
      </c>
      <c r="C6804" s="13">
        <f>IFERROR(__xludf.DUMMYFUNCTION("""COMPUTED_VALUE"""),0.5)</f>
        <v>0.5</v>
      </c>
      <c r="D6804" s="8">
        <f>IFERROR(__xludf.DUMMYFUNCTION("""COMPUTED_VALUE"""),0.313)</f>
        <v>0.313</v>
      </c>
      <c r="E6804" s="8" t="str">
        <f>IFERROR(__xludf.DUMMYFUNCTION("""COMPUTED_VALUE"""),"Real")</f>
        <v>Real</v>
      </c>
      <c r="G6804" s="8">
        <f t="shared" si="1"/>
        <v>8</v>
      </c>
      <c r="H6804" s="14">
        <f t="shared" si="2"/>
        <v>11</v>
      </c>
      <c r="I6804" s="15">
        <f t="shared" si="3"/>
        <v>12</v>
      </c>
    </row>
    <row r="6805">
      <c r="A6805" s="8" t="str">
        <f>IFERROR(__xludf.DUMMYFUNCTION("IF('(INGESTA)Datos_consumo_datadis'!A6805&lt;&gt;"""",SPLIT('(INGESTA)Datos_consumo_datadis'!A:A,"",""),"""")"),"ES0031408323131005HX0F")</f>
        <v>ES0031408323131005HX0F</v>
      </c>
      <c r="B6805" s="12">
        <f>IFERROR(__xludf.DUMMYFUNCTION("""COMPUTED_VALUE"""),45149.0)</f>
        <v>45149</v>
      </c>
      <c r="C6805" s="13">
        <f>IFERROR(__xludf.DUMMYFUNCTION("""COMPUTED_VALUE"""),0.5416666666666666)</f>
        <v>0.5416666667</v>
      </c>
      <c r="D6805" s="8">
        <f>IFERROR(__xludf.DUMMYFUNCTION("""COMPUTED_VALUE"""),0.478)</f>
        <v>0.478</v>
      </c>
      <c r="E6805" s="8" t="str">
        <f>IFERROR(__xludf.DUMMYFUNCTION("""COMPUTED_VALUE"""),"Real")</f>
        <v>Real</v>
      </c>
      <c r="G6805" s="8">
        <f t="shared" si="1"/>
        <v>8</v>
      </c>
      <c r="H6805" s="14">
        <f t="shared" si="2"/>
        <v>11</v>
      </c>
      <c r="I6805" s="15">
        <f t="shared" si="3"/>
        <v>13</v>
      </c>
    </row>
    <row r="6806">
      <c r="A6806" s="8" t="str">
        <f>IFERROR(__xludf.DUMMYFUNCTION("IF('(INGESTA)Datos_consumo_datadis'!A6806&lt;&gt;"""",SPLIT('(INGESTA)Datos_consumo_datadis'!A:A,"",""),"""")"),"ES0031408323131005HX0F")</f>
        <v>ES0031408323131005HX0F</v>
      </c>
      <c r="B6806" s="12">
        <f>IFERROR(__xludf.DUMMYFUNCTION("""COMPUTED_VALUE"""),45149.0)</f>
        <v>45149</v>
      </c>
      <c r="C6806" s="13">
        <f>IFERROR(__xludf.DUMMYFUNCTION("""COMPUTED_VALUE"""),0.5833333333333334)</f>
        <v>0.5833333333</v>
      </c>
      <c r="D6806" s="8">
        <f>IFERROR(__xludf.DUMMYFUNCTION("""COMPUTED_VALUE"""),1.105)</f>
        <v>1.105</v>
      </c>
      <c r="E6806" s="8" t="str">
        <f>IFERROR(__xludf.DUMMYFUNCTION("""COMPUTED_VALUE"""),"Real")</f>
        <v>Real</v>
      </c>
      <c r="G6806" s="8">
        <f t="shared" si="1"/>
        <v>8</v>
      </c>
      <c r="H6806" s="14">
        <f t="shared" si="2"/>
        <v>11</v>
      </c>
      <c r="I6806" s="15">
        <f t="shared" si="3"/>
        <v>14</v>
      </c>
    </row>
    <row r="6807">
      <c r="A6807" s="8" t="str">
        <f>IFERROR(__xludf.DUMMYFUNCTION("IF('(INGESTA)Datos_consumo_datadis'!A6807&lt;&gt;"""",SPLIT('(INGESTA)Datos_consumo_datadis'!A:A,"",""),"""")"),"ES0031408323131005HX0F")</f>
        <v>ES0031408323131005HX0F</v>
      </c>
      <c r="B6807" s="12">
        <f>IFERROR(__xludf.DUMMYFUNCTION("""COMPUTED_VALUE"""),45149.0)</f>
        <v>45149</v>
      </c>
      <c r="C6807" s="13">
        <f>IFERROR(__xludf.DUMMYFUNCTION("""COMPUTED_VALUE"""),0.625)</f>
        <v>0.625</v>
      </c>
      <c r="D6807" s="8">
        <f>IFERROR(__xludf.DUMMYFUNCTION("""COMPUTED_VALUE"""),1.079)</f>
        <v>1.079</v>
      </c>
      <c r="E6807" s="8" t="str">
        <f>IFERROR(__xludf.DUMMYFUNCTION("""COMPUTED_VALUE"""),"Real")</f>
        <v>Real</v>
      </c>
      <c r="G6807" s="8">
        <f t="shared" si="1"/>
        <v>8</v>
      </c>
      <c r="H6807" s="14">
        <f t="shared" si="2"/>
        <v>11</v>
      </c>
      <c r="I6807" s="15">
        <f t="shared" si="3"/>
        <v>15</v>
      </c>
    </row>
    <row r="6808">
      <c r="A6808" s="8" t="str">
        <f>IFERROR(__xludf.DUMMYFUNCTION("IF('(INGESTA)Datos_consumo_datadis'!A6808&lt;&gt;"""",SPLIT('(INGESTA)Datos_consumo_datadis'!A:A,"",""),"""")"),"ES0031408323131005HX0F")</f>
        <v>ES0031408323131005HX0F</v>
      </c>
      <c r="B6808" s="12">
        <f>IFERROR(__xludf.DUMMYFUNCTION("""COMPUTED_VALUE"""),45149.0)</f>
        <v>45149</v>
      </c>
      <c r="C6808" s="13">
        <f>IFERROR(__xludf.DUMMYFUNCTION("""COMPUTED_VALUE"""),0.6666666666666666)</f>
        <v>0.6666666667</v>
      </c>
      <c r="D6808" s="8">
        <f>IFERROR(__xludf.DUMMYFUNCTION("""COMPUTED_VALUE"""),0.733)</f>
        <v>0.733</v>
      </c>
      <c r="E6808" s="8" t="str">
        <f>IFERROR(__xludf.DUMMYFUNCTION("""COMPUTED_VALUE"""),"Real")</f>
        <v>Real</v>
      </c>
      <c r="G6808" s="8">
        <f t="shared" si="1"/>
        <v>8</v>
      </c>
      <c r="H6808" s="14">
        <f t="shared" si="2"/>
        <v>11</v>
      </c>
      <c r="I6808" s="15">
        <f t="shared" si="3"/>
        <v>16</v>
      </c>
    </row>
    <row r="6809">
      <c r="A6809" s="8" t="str">
        <f>IFERROR(__xludf.DUMMYFUNCTION("IF('(INGESTA)Datos_consumo_datadis'!A6809&lt;&gt;"""",SPLIT('(INGESTA)Datos_consumo_datadis'!A:A,"",""),"""")"),"ES0031408323131005HX0F")</f>
        <v>ES0031408323131005HX0F</v>
      </c>
      <c r="B6809" s="12">
        <f>IFERROR(__xludf.DUMMYFUNCTION("""COMPUTED_VALUE"""),45149.0)</f>
        <v>45149</v>
      </c>
      <c r="C6809" s="13">
        <f>IFERROR(__xludf.DUMMYFUNCTION("""COMPUTED_VALUE"""),0.7083333333333334)</f>
        <v>0.7083333333</v>
      </c>
      <c r="D6809" s="8">
        <f>IFERROR(__xludf.DUMMYFUNCTION("""COMPUTED_VALUE"""),1.298)</f>
        <v>1.298</v>
      </c>
      <c r="E6809" s="8" t="str">
        <f>IFERROR(__xludf.DUMMYFUNCTION("""COMPUTED_VALUE"""),"Real")</f>
        <v>Real</v>
      </c>
      <c r="G6809" s="8">
        <f t="shared" si="1"/>
        <v>8</v>
      </c>
      <c r="H6809" s="14">
        <f t="shared" si="2"/>
        <v>11</v>
      </c>
      <c r="I6809" s="15">
        <f t="shared" si="3"/>
        <v>17</v>
      </c>
    </row>
    <row r="6810">
      <c r="A6810" s="8" t="str">
        <f>IFERROR(__xludf.DUMMYFUNCTION("IF('(INGESTA)Datos_consumo_datadis'!A6810&lt;&gt;"""",SPLIT('(INGESTA)Datos_consumo_datadis'!A:A,"",""),"""")"),"ES0031408323131005HX0F")</f>
        <v>ES0031408323131005HX0F</v>
      </c>
      <c r="B6810" s="12">
        <f>IFERROR(__xludf.DUMMYFUNCTION("""COMPUTED_VALUE"""),45149.0)</f>
        <v>45149</v>
      </c>
      <c r="C6810" s="13">
        <f>IFERROR(__xludf.DUMMYFUNCTION("""COMPUTED_VALUE"""),0.75)</f>
        <v>0.75</v>
      </c>
      <c r="D6810" s="8">
        <f>IFERROR(__xludf.DUMMYFUNCTION("""COMPUTED_VALUE"""),1.987)</f>
        <v>1.987</v>
      </c>
      <c r="E6810" s="8" t="str">
        <f>IFERROR(__xludf.DUMMYFUNCTION("""COMPUTED_VALUE"""),"Real")</f>
        <v>Real</v>
      </c>
      <c r="G6810" s="8">
        <f t="shared" si="1"/>
        <v>8</v>
      </c>
      <c r="H6810" s="14">
        <f t="shared" si="2"/>
        <v>11</v>
      </c>
      <c r="I6810" s="15">
        <f t="shared" si="3"/>
        <v>18</v>
      </c>
    </row>
    <row r="6811">
      <c r="A6811" s="8" t="str">
        <f>IFERROR(__xludf.DUMMYFUNCTION("IF('(INGESTA)Datos_consumo_datadis'!A6811&lt;&gt;"""",SPLIT('(INGESTA)Datos_consumo_datadis'!A:A,"",""),"""")"),"ES0031408323131005HX0F")</f>
        <v>ES0031408323131005HX0F</v>
      </c>
      <c r="B6811" s="12">
        <f>IFERROR(__xludf.DUMMYFUNCTION("""COMPUTED_VALUE"""),45149.0)</f>
        <v>45149</v>
      </c>
      <c r="C6811" s="13">
        <f>IFERROR(__xludf.DUMMYFUNCTION("""COMPUTED_VALUE"""),0.7916666666666666)</f>
        <v>0.7916666667</v>
      </c>
      <c r="D6811" s="8">
        <f>IFERROR(__xludf.DUMMYFUNCTION("""COMPUTED_VALUE"""),1.561)</f>
        <v>1.561</v>
      </c>
      <c r="E6811" s="8" t="str">
        <f>IFERROR(__xludf.DUMMYFUNCTION("""COMPUTED_VALUE"""),"Real")</f>
        <v>Real</v>
      </c>
      <c r="G6811" s="8">
        <f t="shared" si="1"/>
        <v>8</v>
      </c>
      <c r="H6811" s="14">
        <f t="shared" si="2"/>
        <v>11</v>
      </c>
      <c r="I6811" s="15">
        <f t="shared" si="3"/>
        <v>19</v>
      </c>
    </row>
    <row r="6812">
      <c r="A6812" s="8" t="str">
        <f>IFERROR(__xludf.DUMMYFUNCTION("IF('(INGESTA)Datos_consumo_datadis'!A6812&lt;&gt;"""",SPLIT('(INGESTA)Datos_consumo_datadis'!A:A,"",""),"""")"),"ES0031408323131005HX0F")</f>
        <v>ES0031408323131005HX0F</v>
      </c>
      <c r="B6812" s="12">
        <f>IFERROR(__xludf.DUMMYFUNCTION("""COMPUTED_VALUE"""),45149.0)</f>
        <v>45149</v>
      </c>
      <c r="C6812" s="13">
        <f>IFERROR(__xludf.DUMMYFUNCTION("""COMPUTED_VALUE"""),0.8333333333333334)</f>
        <v>0.8333333333</v>
      </c>
      <c r="D6812" s="8">
        <f>IFERROR(__xludf.DUMMYFUNCTION("""COMPUTED_VALUE"""),1.834)</f>
        <v>1.834</v>
      </c>
      <c r="E6812" s="8" t="str">
        <f>IFERROR(__xludf.DUMMYFUNCTION("""COMPUTED_VALUE"""),"Real")</f>
        <v>Real</v>
      </c>
      <c r="G6812" s="8">
        <f t="shared" si="1"/>
        <v>8</v>
      </c>
      <c r="H6812" s="14">
        <f t="shared" si="2"/>
        <v>11</v>
      </c>
      <c r="I6812" s="15">
        <f t="shared" si="3"/>
        <v>20</v>
      </c>
    </row>
    <row r="6813">
      <c r="A6813" s="8" t="str">
        <f>IFERROR(__xludf.DUMMYFUNCTION("IF('(INGESTA)Datos_consumo_datadis'!A6813&lt;&gt;"""",SPLIT('(INGESTA)Datos_consumo_datadis'!A:A,"",""),"""")"),"ES0031408323131005HX0F")</f>
        <v>ES0031408323131005HX0F</v>
      </c>
      <c r="B6813" s="12">
        <f>IFERROR(__xludf.DUMMYFUNCTION("""COMPUTED_VALUE"""),45149.0)</f>
        <v>45149</v>
      </c>
      <c r="C6813" s="13">
        <f>IFERROR(__xludf.DUMMYFUNCTION("""COMPUTED_VALUE"""),0.875)</f>
        <v>0.875</v>
      </c>
      <c r="D6813" s="8">
        <f>IFERROR(__xludf.DUMMYFUNCTION("""COMPUTED_VALUE"""),2.081)</f>
        <v>2.081</v>
      </c>
      <c r="E6813" s="8" t="str">
        <f>IFERROR(__xludf.DUMMYFUNCTION("""COMPUTED_VALUE"""),"Real")</f>
        <v>Real</v>
      </c>
      <c r="G6813" s="8">
        <f t="shared" si="1"/>
        <v>8</v>
      </c>
      <c r="H6813" s="14">
        <f t="shared" si="2"/>
        <v>11</v>
      </c>
      <c r="I6813" s="15">
        <f t="shared" si="3"/>
        <v>21</v>
      </c>
    </row>
    <row r="6814">
      <c r="A6814" s="8" t="str">
        <f>IFERROR(__xludf.DUMMYFUNCTION("IF('(INGESTA)Datos_consumo_datadis'!A6814&lt;&gt;"""",SPLIT('(INGESTA)Datos_consumo_datadis'!A:A,"",""),"""")"),"ES0031408323131005HX0F")</f>
        <v>ES0031408323131005HX0F</v>
      </c>
      <c r="B6814" s="12">
        <f>IFERROR(__xludf.DUMMYFUNCTION("""COMPUTED_VALUE"""),45149.0)</f>
        <v>45149</v>
      </c>
      <c r="C6814" s="13">
        <f>IFERROR(__xludf.DUMMYFUNCTION("""COMPUTED_VALUE"""),0.9166666666666666)</f>
        <v>0.9166666667</v>
      </c>
      <c r="D6814" s="8">
        <f>IFERROR(__xludf.DUMMYFUNCTION("""COMPUTED_VALUE"""),0.65)</f>
        <v>0.65</v>
      </c>
      <c r="E6814" s="8" t="str">
        <f>IFERROR(__xludf.DUMMYFUNCTION("""COMPUTED_VALUE"""),"Real")</f>
        <v>Real</v>
      </c>
      <c r="G6814" s="8">
        <f t="shared" si="1"/>
        <v>8</v>
      </c>
      <c r="H6814" s="14">
        <f t="shared" si="2"/>
        <v>11</v>
      </c>
      <c r="I6814" s="15">
        <f t="shared" si="3"/>
        <v>22</v>
      </c>
    </row>
    <row r="6815">
      <c r="A6815" s="8" t="str">
        <f>IFERROR(__xludf.DUMMYFUNCTION("IF('(INGESTA)Datos_consumo_datadis'!A6815&lt;&gt;"""",SPLIT('(INGESTA)Datos_consumo_datadis'!A:A,"",""),"""")"),"ES0031408323131005HX0F")</f>
        <v>ES0031408323131005HX0F</v>
      </c>
      <c r="B6815" s="12">
        <f>IFERROR(__xludf.DUMMYFUNCTION("""COMPUTED_VALUE"""),45149.0)</f>
        <v>45149</v>
      </c>
      <c r="C6815" s="13">
        <f>IFERROR(__xludf.DUMMYFUNCTION("""COMPUTED_VALUE"""),0.9583333333333334)</f>
        <v>0.9583333333</v>
      </c>
      <c r="D6815" s="8">
        <f>IFERROR(__xludf.DUMMYFUNCTION("""COMPUTED_VALUE"""),1.168)</f>
        <v>1.168</v>
      </c>
      <c r="E6815" s="8" t="str">
        <f>IFERROR(__xludf.DUMMYFUNCTION("""COMPUTED_VALUE"""),"Real")</f>
        <v>Real</v>
      </c>
      <c r="G6815" s="8">
        <f t="shared" si="1"/>
        <v>8</v>
      </c>
      <c r="H6815" s="14">
        <f t="shared" si="2"/>
        <v>11</v>
      </c>
      <c r="I6815" s="15">
        <f t="shared" si="3"/>
        <v>23</v>
      </c>
    </row>
    <row r="6816">
      <c r="A6816" s="8" t="str">
        <f>IFERROR(__xludf.DUMMYFUNCTION("IF('(INGESTA)Datos_consumo_datadis'!A6816&lt;&gt;"""",SPLIT('(INGESTA)Datos_consumo_datadis'!A:A,"",""),"""")"),"ES0031408323131005HX0F")</f>
        <v>ES0031408323131005HX0F</v>
      </c>
      <c r="B6816" s="12">
        <f>IFERROR(__xludf.DUMMYFUNCTION("""COMPUTED_VALUE"""),45149.0)</f>
        <v>45149</v>
      </c>
      <c r="C6816" s="16">
        <f>IFERROR(__xludf.DUMMYFUNCTION("""COMPUTED_VALUE"""),1.0)</f>
        <v>1</v>
      </c>
      <c r="D6816" s="8">
        <f>IFERROR(__xludf.DUMMYFUNCTION("""COMPUTED_VALUE"""),0.68)</f>
        <v>0.68</v>
      </c>
      <c r="E6816" s="8" t="str">
        <f>IFERROR(__xludf.DUMMYFUNCTION("""COMPUTED_VALUE"""),"Real")</f>
        <v>Real</v>
      </c>
      <c r="G6816" s="8">
        <f t="shared" si="1"/>
        <v>8</v>
      </c>
      <c r="H6816" s="14">
        <f t="shared" si="2"/>
        <v>11</v>
      </c>
      <c r="I6816" s="15">
        <f t="shared" si="3"/>
        <v>0</v>
      </c>
    </row>
    <row r="6817">
      <c r="A6817" s="8" t="str">
        <f>IFERROR(__xludf.DUMMYFUNCTION("IF('(INGESTA)Datos_consumo_datadis'!A6817&lt;&gt;"""",SPLIT('(INGESTA)Datos_consumo_datadis'!A:A,"",""),"""")"),"ES0031408323131005HX0F")</f>
        <v>ES0031408323131005HX0F</v>
      </c>
      <c r="B6817" s="12">
        <f>IFERROR(__xludf.DUMMYFUNCTION("""COMPUTED_VALUE"""),45150.0)</f>
        <v>45150</v>
      </c>
      <c r="C6817" s="13">
        <f>IFERROR(__xludf.DUMMYFUNCTION("""COMPUTED_VALUE"""),0.041666666666666664)</f>
        <v>0.04166666667</v>
      </c>
      <c r="D6817" s="8">
        <f>IFERROR(__xludf.DUMMYFUNCTION("""COMPUTED_VALUE"""),0.085)</f>
        <v>0.085</v>
      </c>
      <c r="E6817" s="8" t="str">
        <f>IFERROR(__xludf.DUMMYFUNCTION("""COMPUTED_VALUE"""),"Real")</f>
        <v>Real</v>
      </c>
      <c r="G6817" s="8">
        <f t="shared" si="1"/>
        <v>8</v>
      </c>
      <c r="H6817" s="14">
        <f t="shared" si="2"/>
        <v>12</v>
      </c>
      <c r="I6817" s="15">
        <f t="shared" si="3"/>
        <v>1</v>
      </c>
    </row>
    <row r="6818">
      <c r="A6818" s="8" t="str">
        <f>IFERROR(__xludf.DUMMYFUNCTION("IF('(INGESTA)Datos_consumo_datadis'!A6818&lt;&gt;"""",SPLIT('(INGESTA)Datos_consumo_datadis'!A:A,"",""),"""")"),"ES0031408323131005HX0F")</f>
        <v>ES0031408323131005HX0F</v>
      </c>
      <c r="B6818" s="12">
        <f>IFERROR(__xludf.DUMMYFUNCTION("""COMPUTED_VALUE"""),45150.0)</f>
        <v>45150</v>
      </c>
      <c r="C6818" s="13">
        <f>IFERROR(__xludf.DUMMYFUNCTION("""COMPUTED_VALUE"""),0.08333333333333333)</f>
        <v>0.08333333333</v>
      </c>
      <c r="D6818" s="8">
        <f>IFERROR(__xludf.DUMMYFUNCTION("""COMPUTED_VALUE"""),0.122)</f>
        <v>0.122</v>
      </c>
      <c r="E6818" s="8" t="str">
        <f>IFERROR(__xludf.DUMMYFUNCTION("""COMPUTED_VALUE"""),"Real")</f>
        <v>Real</v>
      </c>
      <c r="G6818" s="8">
        <f t="shared" si="1"/>
        <v>8</v>
      </c>
      <c r="H6818" s="14">
        <f t="shared" si="2"/>
        <v>12</v>
      </c>
      <c r="I6818" s="15">
        <f t="shared" si="3"/>
        <v>2</v>
      </c>
    </row>
    <row r="6819">
      <c r="A6819" s="8" t="str">
        <f>IFERROR(__xludf.DUMMYFUNCTION("IF('(INGESTA)Datos_consumo_datadis'!A6819&lt;&gt;"""",SPLIT('(INGESTA)Datos_consumo_datadis'!A:A,"",""),"""")"),"ES0031408323131005HX0F")</f>
        <v>ES0031408323131005HX0F</v>
      </c>
      <c r="B6819" s="12">
        <f>IFERROR(__xludf.DUMMYFUNCTION("""COMPUTED_VALUE"""),45150.0)</f>
        <v>45150</v>
      </c>
      <c r="C6819" s="13">
        <f>IFERROR(__xludf.DUMMYFUNCTION("""COMPUTED_VALUE"""),0.125)</f>
        <v>0.125</v>
      </c>
      <c r="D6819" s="8">
        <f>IFERROR(__xludf.DUMMYFUNCTION("""COMPUTED_VALUE"""),0.142)</f>
        <v>0.142</v>
      </c>
      <c r="E6819" s="8" t="str">
        <f>IFERROR(__xludf.DUMMYFUNCTION("""COMPUTED_VALUE"""),"Real")</f>
        <v>Real</v>
      </c>
      <c r="G6819" s="8">
        <f t="shared" si="1"/>
        <v>8</v>
      </c>
      <c r="H6819" s="14">
        <f t="shared" si="2"/>
        <v>12</v>
      </c>
      <c r="I6819" s="15">
        <f t="shared" si="3"/>
        <v>3</v>
      </c>
    </row>
    <row r="6820">
      <c r="A6820" s="8" t="str">
        <f>IFERROR(__xludf.DUMMYFUNCTION("IF('(INGESTA)Datos_consumo_datadis'!A6820&lt;&gt;"""",SPLIT('(INGESTA)Datos_consumo_datadis'!A:A,"",""),"""")"),"ES0031408323131005HX0F")</f>
        <v>ES0031408323131005HX0F</v>
      </c>
      <c r="B6820" s="12">
        <f>IFERROR(__xludf.DUMMYFUNCTION("""COMPUTED_VALUE"""),45150.0)</f>
        <v>45150</v>
      </c>
      <c r="C6820" s="13">
        <f>IFERROR(__xludf.DUMMYFUNCTION("""COMPUTED_VALUE"""),0.16666666666666666)</f>
        <v>0.1666666667</v>
      </c>
      <c r="D6820" s="8">
        <f>IFERROR(__xludf.DUMMYFUNCTION("""COMPUTED_VALUE"""),0.232)</f>
        <v>0.232</v>
      </c>
      <c r="E6820" s="8" t="str">
        <f>IFERROR(__xludf.DUMMYFUNCTION("""COMPUTED_VALUE"""),"Real")</f>
        <v>Real</v>
      </c>
      <c r="G6820" s="8">
        <f t="shared" si="1"/>
        <v>8</v>
      </c>
      <c r="H6820" s="14">
        <f t="shared" si="2"/>
        <v>12</v>
      </c>
      <c r="I6820" s="15">
        <f t="shared" si="3"/>
        <v>4</v>
      </c>
    </row>
    <row r="6821">
      <c r="A6821" s="8" t="str">
        <f>IFERROR(__xludf.DUMMYFUNCTION("IF('(INGESTA)Datos_consumo_datadis'!A6821&lt;&gt;"""",SPLIT('(INGESTA)Datos_consumo_datadis'!A:A,"",""),"""")"),"ES0031408323131005HX0F")</f>
        <v>ES0031408323131005HX0F</v>
      </c>
      <c r="B6821" s="12">
        <f>IFERROR(__xludf.DUMMYFUNCTION("""COMPUTED_VALUE"""),45150.0)</f>
        <v>45150</v>
      </c>
      <c r="C6821" s="13">
        <f>IFERROR(__xludf.DUMMYFUNCTION("""COMPUTED_VALUE"""),0.20833333333333334)</f>
        <v>0.2083333333</v>
      </c>
      <c r="D6821" s="8">
        <f>IFERROR(__xludf.DUMMYFUNCTION("""COMPUTED_VALUE"""),0.278)</f>
        <v>0.278</v>
      </c>
      <c r="E6821" s="8" t="str">
        <f>IFERROR(__xludf.DUMMYFUNCTION("""COMPUTED_VALUE"""),"Real")</f>
        <v>Real</v>
      </c>
      <c r="G6821" s="8">
        <f t="shared" si="1"/>
        <v>8</v>
      </c>
      <c r="H6821" s="14">
        <f t="shared" si="2"/>
        <v>12</v>
      </c>
      <c r="I6821" s="15">
        <f t="shared" si="3"/>
        <v>5</v>
      </c>
    </row>
    <row r="6822">
      <c r="A6822" s="8" t="str">
        <f>IFERROR(__xludf.DUMMYFUNCTION("IF('(INGESTA)Datos_consumo_datadis'!A6822&lt;&gt;"""",SPLIT('(INGESTA)Datos_consumo_datadis'!A:A,"",""),"""")"),"ES0031408323131005HX0F")</f>
        <v>ES0031408323131005HX0F</v>
      </c>
      <c r="B6822" s="12">
        <f>IFERROR(__xludf.DUMMYFUNCTION("""COMPUTED_VALUE"""),45150.0)</f>
        <v>45150</v>
      </c>
      <c r="C6822" s="13">
        <f>IFERROR(__xludf.DUMMYFUNCTION("""COMPUTED_VALUE"""),0.25)</f>
        <v>0.25</v>
      </c>
      <c r="D6822" s="8">
        <f>IFERROR(__xludf.DUMMYFUNCTION("""COMPUTED_VALUE"""),0.116)</f>
        <v>0.116</v>
      </c>
      <c r="E6822" s="8" t="str">
        <f>IFERROR(__xludf.DUMMYFUNCTION("""COMPUTED_VALUE"""),"Real")</f>
        <v>Real</v>
      </c>
      <c r="G6822" s="8">
        <f t="shared" si="1"/>
        <v>8</v>
      </c>
      <c r="H6822" s="14">
        <f t="shared" si="2"/>
        <v>12</v>
      </c>
      <c r="I6822" s="15">
        <f t="shared" si="3"/>
        <v>6</v>
      </c>
    </row>
    <row r="6823">
      <c r="A6823" s="8" t="str">
        <f>IFERROR(__xludf.DUMMYFUNCTION("IF('(INGESTA)Datos_consumo_datadis'!A6823&lt;&gt;"""",SPLIT('(INGESTA)Datos_consumo_datadis'!A:A,"",""),"""")"),"ES0031408323131005HX0F")</f>
        <v>ES0031408323131005HX0F</v>
      </c>
      <c r="B6823" s="12">
        <f>IFERROR(__xludf.DUMMYFUNCTION("""COMPUTED_VALUE"""),45150.0)</f>
        <v>45150</v>
      </c>
      <c r="C6823" s="13">
        <f>IFERROR(__xludf.DUMMYFUNCTION("""COMPUTED_VALUE"""),0.2916666666666667)</f>
        <v>0.2916666667</v>
      </c>
      <c r="D6823" s="8">
        <f>IFERROR(__xludf.DUMMYFUNCTION("""COMPUTED_VALUE"""),0.133)</f>
        <v>0.133</v>
      </c>
      <c r="E6823" s="8" t="str">
        <f>IFERROR(__xludf.DUMMYFUNCTION("""COMPUTED_VALUE"""),"Real")</f>
        <v>Real</v>
      </c>
      <c r="G6823" s="8">
        <f t="shared" si="1"/>
        <v>8</v>
      </c>
      <c r="H6823" s="14">
        <f t="shared" si="2"/>
        <v>12</v>
      </c>
      <c r="I6823" s="15">
        <f t="shared" si="3"/>
        <v>7</v>
      </c>
    </row>
    <row r="6824">
      <c r="A6824" s="8" t="str">
        <f>IFERROR(__xludf.DUMMYFUNCTION("IF('(INGESTA)Datos_consumo_datadis'!A6824&lt;&gt;"""",SPLIT('(INGESTA)Datos_consumo_datadis'!A:A,"",""),"""")"),"ES0031408323131005HX0F")</f>
        <v>ES0031408323131005HX0F</v>
      </c>
      <c r="B6824" s="12">
        <f>IFERROR(__xludf.DUMMYFUNCTION("""COMPUTED_VALUE"""),45150.0)</f>
        <v>45150</v>
      </c>
      <c r="C6824" s="13">
        <f>IFERROR(__xludf.DUMMYFUNCTION("""COMPUTED_VALUE"""),0.3333333333333333)</f>
        <v>0.3333333333</v>
      </c>
      <c r="D6824" s="8">
        <f>IFERROR(__xludf.DUMMYFUNCTION("""COMPUTED_VALUE"""),1.252)</f>
        <v>1.252</v>
      </c>
      <c r="E6824" s="8" t="str">
        <f>IFERROR(__xludf.DUMMYFUNCTION("""COMPUTED_VALUE"""),"Real")</f>
        <v>Real</v>
      </c>
      <c r="G6824" s="8">
        <f t="shared" si="1"/>
        <v>8</v>
      </c>
      <c r="H6824" s="14">
        <f t="shared" si="2"/>
        <v>12</v>
      </c>
      <c r="I6824" s="15">
        <f t="shared" si="3"/>
        <v>8</v>
      </c>
    </row>
    <row r="6825">
      <c r="A6825" s="8" t="str">
        <f>IFERROR(__xludf.DUMMYFUNCTION("IF('(INGESTA)Datos_consumo_datadis'!A6825&lt;&gt;"""",SPLIT('(INGESTA)Datos_consumo_datadis'!A:A,"",""),"""")"),"ES0031408323131005HX0F")</f>
        <v>ES0031408323131005HX0F</v>
      </c>
      <c r="B6825" s="12">
        <f>IFERROR(__xludf.DUMMYFUNCTION("""COMPUTED_VALUE"""),45150.0)</f>
        <v>45150</v>
      </c>
      <c r="C6825" s="13">
        <f>IFERROR(__xludf.DUMMYFUNCTION("""COMPUTED_VALUE"""),0.375)</f>
        <v>0.375</v>
      </c>
      <c r="D6825" s="8">
        <f>IFERROR(__xludf.DUMMYFUNCTION("""COMPUTED_VALUE"""),0.982)</f>
        <v>0.982</v>
      </c>
      <c r="E6825" s="8" t="str">
        <f>IFERROR(__xludf.DUMMYFUNCTION("""COMPUTED_VALUE"""),"Real")</f>
        <v>Real</v>
      </c>
      <c r="G6825" s="8">
        <f t="shared" si="1"/>
        <v>8</v>
      </c>
      <c r="H6825" s="14">
        <f t="shared" si="2"/>
        <v>12</v>
      </c>
      <c r="I6825" s="15">
        <f t="shared" si="3"/>
        <v>9</v>
      </c>
    </row>
    <row r="6826">
      <c r="A6826" s="8" t="str">
        <f>IFERROR(__xludf.DUMMYFUNCTION("IF('(INGESTA)Datos_consumo_datadis'!A6826&lt;&gt;"""",SPLIT('(INGESTA)Datos_consumo_datadis'!A:A,"",""),"""")"),"ES0031408323131005HX0F")</f>
        <v>ES0031408323131005HX0F</v>
      </c>
      <c r="B6826" s="12">
        <f>IFERROR(__xludf.DUMMYFUNCTION("""COMPUTED_VALUE"""),45150.0)</f>
        <v>45150</v>
      </c>
      <c r="C6826" s="13">
        <f>IFERROR(__xludf.DUMMYFUNCTION("""COMPUTED_VALUE"""),0.4166666666666667)</f>
        <v>0.4166666667</v>
      </c>
      <c r="D6826" s="8">
        <f>IFERROR(__xludf.DUMMYFUNCTION("""COMPUTED_VALUE"""),0.273)</f>
        <v>0.273</v>
      </c>
      <c r="E6826" s="8" t="str">
        <f>IFERROR(__xludf.DUMMYFUNCTION("""COMPUTED_VALUE"""),"Real")</f>
        <v>Real</v>
      </c>
      <c r="G6826" s="8">
        <f t="shared" si="1"/>
        <v>8</v>
      </c>
      <c r="H6826" s="14">
        <f t="shared" si="2"/>
        <v>12</v>
      </c>
      <c r="I6826" s="15">
        <f t="shared" si="3"/>
        <v>10</v>
      </c>
    </row>
    <row r="6827">
      <c r="A6827" s="8" t="str">
        <f>IFERROR(__xludf.DUMMYFUNCTION("IF('(INGESTA)Datos_consumo_datadis'!A6827&lt;&gt;"""",SPLIT('(INGESTA)Datos_consumo_datadis'!A:A,"",""),"""")"),"ES0031408323131005HX0F")</f>
        <v>ES0031408323131005HX0F</v>
      </c>
      <c r="B6827" s="12">
        <f>IFERROR(__xludf.DUMMYFUNCTION("""COMPUTED_VALUE"""),45150.0)</f>
        <v>45150</v>
      </c>
      <c r="C6827" s="13">
        <f>IFERROR(__xludf.DUMMYFUNCTION("""COMPUTED_VALUE"""),0.4583333333333333)</f>
        <v>0.4583333333</v>
      </c>
      <c r="D6827" s="8">
        <f>IFERROR(__xludf.DUMMYFUNCTION("""COMPUTED_VALUE"""),0.406)</f>
        <v>0.406</v>
      </c>
      <c r="E6827" s="8" t="str">
        <f>IFERROR(__xludf.DUMMYFUNCTION("""COMPUTED_VALUE"""),"Real")</f>
        <v>Real</v>
      </c>
      <c r="G6827" s="8">
        <f t="shared" si="1"/>
        <v>8</v>
      </c>
      <c r="H6827" s="14">
        <f t="shared" si="2"/>
        <v>12</v>
      </c>
      <c r="I6827" s="15">
        <f t="shared" si="3"/>
        <v>11</v>
      </c>
    </row>
    <row r="6828">
      <c r="A6828" s="8" t="str">
        <f>IFERROR(__xludf.DUMMYFUNCTION("IF('(INGESTA)Datos_consumo_datadis'!A6828&lt;&gt;"""",SPLIT('(INGESTA)Datos_consumo_datadis'!A:A,"",""),"""")"),"ES0031408323131005HX0F")</f>
        <v>ES0031408323131005HX0F</v>
      </c>
      <c r="B6828" s="12">
        <f>IFERROR(__xludf.DUMMYFUNCTION("""COMPUTED_VALUE"""),45150.0)</f>
        <v>45150</v>
      </c>
      <c r="C6828" s="13">
        <f>IFERROR(__xludf.DUMMYFUNCTION("""COMPUTED_VALUE"""),0.5)</f>
        <v>0.5</v>
      </c>
      <c r="D6828" s="8">
        <f>IFERROR(__xludf.DUMMYFUNCTION("""COMPUTED_VALUE"""),0.2)</f>
        <v>0.2</v>
      </c>
      <c r="E6828" s="8" t="str">
        <f>IFERROR(__xludf.DUMMYFUNCTION("""COMPUTED_VALUE"""),"Real")</f>
        <v>Real</v>
      </c>
      <c r="G6828" s="8">
        <f t="shared" si="1"/>
        <v>8</v>
      </c>
      <c r="H6828" s="14">
        <f t="shared" si="2"/>
        <v>12</v>
      </c>
      <c r="I6828" s="15">
        <f t="shared" si="3"/>
        <v>12</v>
      </c>
    </row>
    <row r="6829">
      <c r="A6829" s="8" t="str">
        <f>IFERROR(__xludf.DUMMYFUNCTION("IF('(INGESTA)Datos_consumo_datadis'!A6829&lt;&gt;"""",SPLIT('(INGESTA)Datos_consumo_datadis'!A:A,"",""),"""")"),"ES0031408323131005HX0F")</f>
        <v>ES0031408323131005HX0F</v>
      </c>
      <c r="B6829" s="12">
        <f>IFERROR(__xludf.DUMMYFUNCTION("""COMPUTED_VALUE"""),45150.0)</f>
        <v>45150</v>
      </c>
      <c r="C6829" s="13">
        <f>IFERROR(__xludf.DUMMYFUNCTION("""COMPUTED_VALUE"""),0.5416666666666666)</f>
        <v>0.5416666667</v>
      </c>
      <c r="D6829" s="8">
        <f>IFERROR(__xludf.DUMMYFUNCTION("""COMPUTED_VALUE"""),0.241)</f>
        <v>0.241</v>
      </c>
      <c r="E6829" s="8" t="str">
        <f>IFERROR(__xludf.DUMMYFUNCTION("""COMPUTED_VALUE"""),"Real")</f>
        <v>Real</v>
      </c>
      <c r="G6829" s="8">
        <f t="shared" si="1"/>
        <v>8</v>
      </c>
      <c r="H6829" s="14">
        <f t="shared" si="2"/>
        <v>12</v>
      </c>
      <c r="I6829" s="15">
        <f t="shared" si="3"/>
        <v>13</v>
      </c>
    </row>
    <row r="6830">
      <c r="A6830" s="8" t="str">
        <f>IFERROR(__xludf.DUMMYFUNCTION("IF('(INGESTA)Datos_consumo_datadis'!A6830&lt;&gt;"""",SPLIT('(INGESTA)Datos_consumo_datadis'!A:A,"",""),"""")"),"ES0031408323131005HX0F")</f>
        <v>ES0031408323131005HX0F</v>
      </c>
      <c r="B6830" s="12">
        <f>IFERROR(__xludf.DUMMYFUNCTION("""COMPUTED_VALUE"""),45150.0)</f>
        <v>45150</v>
      </c>
      <c r="C6830" s="13">
        <f>IFERROR(__xludf.DUMMYFUNCTION("""COMPUTED_VALUE"""),0.5833333333333334)</f>
        <v>0.5833333333</v>
      </c>
      <c r="D6830" s="8">
        <f>IFERROR(__xludf.DUMMYFUNCTION("""COMPUTED_VALUE"""),0.283)</f>
        <v>0.283</v>
      </c>
      <c r="E6830" s="8" t="str">
        <f>IFERROR(__xludf.DUMMYFUNCTION("""COMPUTED_VALUE"""),"Real")</f>
        <v>Real</v>
      </c>
      <c r="G6830" s="8">
        <f t="shared" si="1"/>
        <v>8</v>
      </c>
      <c r="H6830" s="14">
        <f t="shared" si="2"/>
        <v>12</v>
      </c>
      <c r="I6830" s="15">
        <f t="shared" si="3"/>
        <v>14</v>
      </c>
    </row>
    <row r="6831">
      <c r="A6831" s="8" t="str">
        <f>IFERROR(__xludf.DUMMYFUNCTION("IF('(INGESTA)Datos_consumo_datadis'!A6831&lt;&gt;"""",SPLIT('(INGESTA)Datos_consumo_datadis'!A:A,"",""),"""")"),"ES0031408323131005HX0F")</f>
        <v>ES0031408323131005HX0F</v>
      </c>
      <c r="B6831" s="12">
        <f>IFERROR(__xludf.DUMMYFUNCTION("""COMPUTED_VALUE"""),45150.0)</f>
        <v>45150</v>
      </c>
      <c r="C6831" s="13">
        <f>IFERROR(__xludf.DUMMYFUNCTION("""COMPUTED_VALUE"""),0.625)</f>
        <v>0.625</v>
      </c>
      <c r="D6831" s="8">
        <f>IFERROR(__xludf.DUMMYFUNCTION("""COMPUTED_VALUE"""),2.337)</f>
        <v>2.337</v>
      </c>
      <c r="E6831" s="8" t="str">
        <f>IFERROR(__xludf.DUMMYFUNCTION("""COMPUTED_VALUE"""),"Real")</f>
        <v>Real</v>
      </c>
      <c r="G6831" s="8">
        <f t="shared" si="1"/>
        <v>8</v>
      </c>
      <c r="H6831" s="14">
        <f t="shared" si="2"/>
        <v>12</v>
      </c>
      <c r="I6831" s="15">
        <f t="shared" si="3"/>
        <v>15</v>
      </c>
    </row>
    <row r="6832">
      <c r="A6832" s="8" t="str">
        <f>IFERROR(__xludf.DUMMYFUNCTION("IF('(INGESTA)Datos_consumo_datadis'!A6832&lt;&gt;"""",SPLIT('(INGESTA)Datos_consumo_datadis'!A:A,"",""),"""")"),"ES0031408323131005HX0F")</f>
        <v>ES0031408323131005HX0F</v>
      </c>
      <c r="B6832" s="12">
        <f>IFERROR(__xludf.DUMMYFUNCTION("""COMPUTED_VALUE"""),45150.0)</f>
        <v>45150</v>
      </c>
      <c r="C6832" s="13">
        <f>IFERROR(__xludf.DUMMYFUNCTION("""COMPUTED_VALUE"""),0.6666666666666666)</f>
        <v>0.6666666667</v>
      </c>
      <c r="D6832" s="8">
        <f>IFERROR(__xludf.DUMMYFUNCTION("""COMPUTED_VALUE"""),0.226)</f>
        <v>0.226</v>
      </c>
      <c r="E6832" s="8" t="str">
        <f>IFERROR(__xludf.DUMMYFUNCTION("""COMPUTED_VALUE"""),"Real")</f>
        <v>Real</v>
      </c>
      <c r="G6832" s="8">
        <f t="shared" si="1"/>
        <v>8</v>
      </c>
      <c r="H6832" s="14">
        <f t="shared" si="2"/>
        <v>12</v>
      </c>
      <c r="I6832" s="15">
        <f t="shared" si="3"/>
        <v>16</v>
      </c>
    </row>
    <row r="6833">
      <c r="A6833" s="8" t="str">
        <f>IFERROR(__xludf.DUMMYFUNCTION("IF('(INGESTA)Datos_consumo_datadis'!A6833&lt;&gt;"""",SPLIT('(INGESTA)Datos_consumo_datadis'!A:A,"",""),"""")"),"ES0031408323131005HX0F")</f>
        <v>ES0031408323131005HX0F</v>
      </c>
      <c r="B6833" s="12">
        <f>IFERROR(__xludf.DUMMYFUNCTION("""COMPUTED_VALUE"""),45150.0)</f>
        <v>45150</v>
      </c>
      <c r="C6833" s="13">
        <f>IFERROR(__xludf.DUMMYFUNCTION("""COMPUTED_VALUE"""),0.7083333333333334)</f>
        <v>0.7083333333</v>
      </c>
      <c r="D6833" s="8">
        <f>IFERROR(__xludf.DUMMYFUNCTION("""COMPUTED_VALUE"""),0.19)</f>
        <v>0.19</v>
      </c>
      <c r="E6833" s="8" t="str">
        <f>IFERROR(__xludf.DUMMYFUNCTION("""COMPUTED_VALUE"""),"Real")</f>
        <v>Real</v>
      </c>
      <c r="G6833" s="8">
        <f t="shared" si="1"/>
        <v>8</v>
      </c>
      <c r="H6833" s="14">
        <f t="shared" si="2"/>
        <v>12</v>
      </c>
      <c r="I6833" s="15">
        <f t="shared" si="3"/>
        <v>17</v>
      </c>
    </row>
    <row r="6834">
      <c r="A6834" s="8" t="str">
        <f>IFERROR(__xludf.DUMMYFUNCTION("IF('(INGESTA)Datos_consumo_datadis'!A6834&lt;&gt;"""",SPLIT('(INGESTA)Datos_consumo_datadis'!A:A,"",""),"""")"),"ES0031408323131005HX0F")</f>
        <v>ES0031408323131005HX0F</v>
      </c>
      <c r="B6834" s="12">
        <f>IFERROR(__xludf.DUMMYFUNCTION("""COMPUTED_VALUE"""),45150.0)</f>
        <v>45150</v>
      </c>
      <c r="C6834" s="13">
        <f>IFERROR(__xludf.DUMMYFUNCTION("""COMPUTED_VALUE"""),0.75)</f>
        <v>0.75</v>
      </c>
      <c r="D6834" s="8">
        <f>IFERROR(__xludf.DUMMYFUNCTION("""COMPUTED_VALUE"""),1.147)</f>
        <v>1.147</v>
      </c>
      <c r="E6834" s="8" t="str">
        <f>IFERROR(__xludf.DUMMYFUNCTION("""COMPUTED_VALUE"""),"Real")</f>
        <v>Real</v>
      </c>
      <c r="G6834" s="8">
        <f t="shared" si="1"/>
        <v>8</v>
      </c>
      <c r="H6834" s="14">
        <f t="shared" si="2"/>
        <v>12</v>
      </c>
      <c r="I6834" s="15">
        <f t="shared" si="3"/>
        <v>18</v>
      </c>
    </row>
    <row r="6835">
      <c r="A6835" s="8" t="str">
        <f>IFERROR(__xludf.DUMMYFUNCTION("IF('(INGESTA)Datos_consumo_datadis'!A6835&lt;&gt;"""",SPLIT('(INGESTA)Datos_consumo_datadis'!A:A,"",""),"""")"),"ES0031408323131005HX0F")</f>
        <v>ES0031408323131005HX0F</v>
      </c>
      <c r="B6835" s="12">
        <f>IFERROR(__xludf.DUMMYFUNCTION("""COMPUTED_VALUE"""),45150.0)</f>
        <v>45150</v>
      </c>
      <c r="C6835" s="13">
        <f>IFERROR(__xludf.DUMMYFUNCTION("""COMPUTED_VALUE"""),0.7916666666666666)</f>
        <v>0.7916666667</v>
      </c>
      <c r="D6835" s="8">
        <f>IFERROR(__xludf.DUMMYFUNCTION("""COMPUTED_VALUE"""),0.905)</f>
        <v>0.905</v>
      </c>
      <c r="E6835" s="8" t="str">
        <f>IFERROR(__xludf.DUMMYFUNCTION("""COMPUTED_VALUE"""),"Real")</f>
        <v>Real</v>
      </c>
      <c r="G6835" s="8">
        <f t="shared" si="1"/>
        <v>8</v>
      </c>
      <c r="H6835" s="14">
        <f t="shared" si="2"/>
        <v>12</v>
      </c>
      <c r="I6835" s="15">
        <f t="shared" si="3"/>
        <v>19</v>
      </c>
    </row>
    <row r="6836">
      <c r="A6836" s="8" t="str">
        <f>IFERROR(__xludf.DUMMYFUNCTION("IF('(INGESTA)Datos_consumo_datadis'!A6836&lt;&gt;"""",SPLIT('(INGESTA)Datos_consumo_datadis'!A:A,"",""),"""")"),"ES0031408323131005HX0F")</f>
        <v>ES0031408323131005HX0F</v>
      </c>
      <c r="B6836" s="12">
        <f>IFERROR(__xludf.DUMMYFUNCTION("""COMPUTED_VALUE"""),45150.0)</f>
        <v>45150</v>
      </c>
      <c r="C6836" s="13">
        <f>IFERROR(__xludf.DUMMYFUNCTION("""COMPUTED_VALUE"""),0.8333333333333334)</f>
        <v>0.8333333333</v>
      </c>
      <c r="D6836" s="8">
        <f>IFERROR(__xludf.DUMMYFUNCTION("""COMPUTED_VALUE"""),0.109)</f>
        <v>0.109</v>
      </c>
      <c r="E6836" s="8" t="str">
        <f>IFERROR(__xludf.DUMMYFUNCTION("""COMPUTED_VALUE"""),"Real")</f>
        <v>Real</v>
      </c>
      <c r="G6836" s="8">
        <f t="shared" si="1"/>
        <v>8</v>
      </c>
      <c r="H6836" s="14">
        <f t="shared" si="2"/>
        <v>12</v>
      </c>
      <c r="I6836" s="15">
        <f t="shared" si="3"/>
        <v>20</v>
      </c>
    </row>
    <row r="6837">
      <c r="A6837" s="8" t="str">
        <f>IFERROR(__xludf.DUMMYFUNCTION("IF('(INGESTA)Datos_consumo_datadis'!A6837&lt;&gt;"""",SPLIT('(INGESTA)Datos_consumo_datadis'!A:A,"",""),"""")"),"ES0031408323131005HX0F")</f>
        <v>ES0031408323131005HX0F</v>
      </c>
      <c r="B6837" s="12">
        <f>IFERROR(__xludf.DUMMYFUNCTION("""COMPUTED_VALUE"""),45150.0)</f>
        <v>45150</v>
      </c>
      <c r="C6837" s="13">
        <f>IFERROR(__xludf.DUMMYFUNCTION("""COMPUTED_VALUE"""),0.875)</f>
        <v>0.875</v>
      </c>
      <c r="D6837" s="8">
        <f>IFERROR(__xludf.DUMMYFUNCTION("""COMPUTED_VALUE"""),0.069)</f>
        <v>0.069</v>
      </c>
      <c r="E6837" s="8" t="str">
        <f>IFERROR(__xludf.DUMMYFUNCTION("""COMPUTED_VALUE"""),"Real")</f>
        <v>Real</v>
      </c>
      <c r="G6837" s="8">
        <f t="shared" si="1"/>
        <v>8</v>
      </c>
      <c r="H6837" s="14">
        <f t="shared" si="2"/>
        <v>12</v>
      </c>
      <c r="I6837" s="15">
        <f t="shared" si="3"/>
        <v>21</v>
      </c>
    </row>
    <row r="6838">
      <c r="A6838" s="8" t="str">
        <f>IFERROR(__xludf.DUMMYFUNCTION("IF('(INGESTA)Datos_consumo_datadis'!A6838&lt;&gt;"""",SPLIT('(INGESTA)Datos_consumo_datadis'!A:A,"",""),"""")"),"ES0031408323131005HX0F")</f>
        <v>ES0031408323131005HX0F</v>
      </c>
      <c r="B6838" s="12">
        <f>IFERROR(__xludf.DUMMYFUNCTION("""COMPUTED_VALUE"""),45150.0)</f>
        <v>45150</v>
      </c>
      <c r="C6838" s="13">
        <f>IFERROR(__xludf.DUMMYFUNCTION("""COMPUTED_VALUE"""),0.9166666666666666)</f>
        <v>0.9166666667</v>
      </c>
      <c r="D6838" s="8">
        <f>IFERROR(__xludf.DUMMYFUNCTION("""COMPUTED_VALUE"""),1.531)</f>
        <v>1.531</v>
      </c>
      <c r="E6838" s="8" t="str">
        <f>IFERROR(__xludf.DUMMYFUNCTION("""COMPUTED_VALUE"""),"Real")</f>
        <v>Real</v>
      </c>
      <c r="G6838" s="8">
        <f t="shared" si="1"/>
        <v>8</v>
      </c>
      <c r="H6838" s="14">
        <f t="shared" si="2"/>
        <v>12</v>
      </c>
      <c r="I6838" s="15">
        <f t="shared" si="3"/>
        <v>22</v>
      </c>
    </row>
    <row r="6839">
      <c r="A6839" s="8" t="str">
        <f>IFERROR(__xludf.DUMMYFUNCTION("IF('(INGESTA)Datos_consumo_datadis'!A6839&lt;&gt;"""",SPLIT('(INGESTA)Datos_consumo_datadis'!A:A,"",""),"""")"),"ES0031408323131005HX0F")</f>
        <v>ES0031408323131005HX0F</v>
      </c>
      <c r="B6839" s="12">
        <f>IFERROR(__xludf.DUMMYFUNCTION("""COMPUTED_VALUE"""),45150.0)</f>
        <v>45150</v>
      </c>
      <c r="C6839" s="13">
        <f>IFERROR(__xludf.DUMMYFUNCTION("""COMPUTED_VALUE"""),0.9583333333333334)</f>
        <v>0.9583333333</v>
      </c>
      <c r="D6839" s="8">
        <f>IFERROR(__xludf.DUMMYFUNCTION("""COMPUTED_VALUE"""),0.614)</f>
        <v>0.614</v>
      </c>
      <c r="E6839" s="8" t="str">
        <f>IFERROR(__xludf.DUMMYFUNCTION("""COMPUTED_VALUE"""),"Real")</f>
        <v>Real</v>
      </c>
      <c r="G6839" s="8">
        <f t="shared" si="1"/>
        <v>8</v>
      </c>
      <c r="H6839" s="14">
        <f t="shared" si="2"/>
        <v>12</v>
      </c>
      <c r="I6839" s="15">
        <f t="shared" si="3"/>
        <v>23</v>
      </c>
    </row>
    <row r="6840">
      <c r="A6840" s="8" t="str">
        <f>IFERROR(__xludf.DUMMYFUNCTION("IF('(INGESTA)Datos_consumo_datadis'!A6840&lt;&gt;"""",SPLIT('(INGESTA)Datos_consumo_datadis'!A:A,"",""),"""")"),"ES0031408323131005HX0F")</f>
        <v>ES0031408323131005HX0F</v>
      </c>
      <c r="B6840" s="12">
        <f>IFERROR(__xludf.DUMMYFUNCTION("""COMPUTED_VALUE"""),45150.0)</f>
        <v>45150</v>
      </c>
      <c r="C6840" s="16">
        <f>IFERROR(__xludf.DUMMYFUNCTION("""COMPUTED_VALUE"""),1.0)</f>
        <v>1</v>
      </c>
      <c r="D6840" s="8">
        <f>IFERROR(__xludf.DUMMYFUNCTION("""COMPUTED_VALUE"""),0.139)</f>
        <v>0.139</v>
      </c>
      <c r="E6840" s="8" t="str">
        <f>IFERROR(__xludf.DUMMYFUNCTION("""COMPUTED_VALUE"""),"Real")</f>
        <v>Real</v>
      </c>
      <c r="G6840" s="8">
        <f t="shared" si="1"/>
        <v>8</v>
      </c>
      <c r="H6840" s="14">
        <f t="shared" si="2"/>
        <v>12</v>
      </c>
      <c r="I6840" s="15">
        <f t="shared" si="3"/>
        <v>0</v>
      </c>
    </row>
    <row r="6841">
      <c r="A6841" s="8" t="str">
        <f>IFERROR(__xludf.DUMMYFUNCTION("IF('(INGESTA)Datos_consumo_datadis'!A6841&lt;&gt;"""",SPLIT('(INGESTA)Datos_consumo_datadis'!A:A,"",""),"""")"),"ES0031408323131005HX0F")</f>
        <v>ES0031408323131005HX0F</v>
      </c>
      <c r="B6841" s="12">
        <f>IFERROR(__xludf.DUMMYFUNCTION("""COMPUTED_VALUE"""),45151.0)</f>
        <v>45151</v>
      </c>
      <c r="C6841" s="13">
        <f>IFERROR(__xludf.DUMMYFUNCTION("""COMPUTED_VALUE"""),0.041666666666666664)</f>
        <v>0.04166666667</v>
      </c>
      <c r="D6841" s="8">
        <f>IFERROR(__xludf.DUMMYFUNCTION("""COMPUTED_VALUE"""),0.138)</f>
        <v>0.138</v>
      </c>
      <c r="E6841" s="8" t="str">
        <f>IFERROR(__xludf.DUMMYFUNCTION("""COMPUTED_VALUE"""),"Real")</f>
        <v>Real</v>
      </c>
      <c r="G6841" s="8">
        <f t="shared" si="1"/>
        <v>8</v>
      </c>
      <c r="H6841" s="14">
        <f t="shared" si="2"/>
        <v>13</v>
      </c>
      <c r="I6841" s="15">
        <f t="shared" si="3"/>
        <v>1</v>
      </c>
    </row>
    <row r="6842">
      <c r="A6842" s="8" t="str">
        <f>IFERROR(__xludf.DUMMYFUNCTION("IF('(INGESTA)Datos_consumo_datadis'!A6842&lt;&gt;"""",SPLIT('(INGESTA)Datos_consumo_datadis'!A:A,"",""),"""")"),"ES0031408323131005HX0F")</f>
        <v>ES0031408323131005HX0F</v>
      </c>
      <c r="B6842" s="12">
        <f>IFERROR(__xludf.DUMMYFUNCTION("""COMPUTED_VALUE"""),45151.0)</f>
        <v>45151</v>
      </c>
      <c r="C6842" s="13">
        <f>IFERROR(__xludf.DUMMYFUNCTION("""COMPUTED_VALUE"""),0.08333333333333333)</f>
        <v>0.08333333333</v>
      </c>
      <c r="D6842" s="8">
        <f>IFERROR(__xludf.DUMMYFUNCTION("""COMPUTED_VALUE"""),0.391)</f>
        <v>0.391</v>
      </c>
      <c r="E6842" s="8" t="str">
        <f>IFERROR(__xludf.DUMMYFUNCTION("""COMPUTED_VALUE"""),"Real")</f>
        <v>Real</v>
      </c>
      <c r="G6842" s="8">
        <f t="shared" si="1"/>
        <v>8</v>
      </c>
      <c r="H6842" s="14">
        <f t="shared" si="2"/>
        <v>13</v>
      </c>
      <c r="I6842" s="15">
        <f t="shared" si="3"/>
        <v>2</v>
      </c>
    </row>
    <row r="6843">
      <c r="A6843" s="8" t="str">
        <f>IFERROR(__xludf.DUMMYFUNCTION("IF('(INGESTA)Datos_consumo_datadis'!A6843&lt;&gt;"""",SPLIT('(INGESTA)Datos_consumo_datadis'!A:A,"",""),"""")"),"ES0031408323131005HX0F")</f>
        <v>ES0031408323131005HX0F</v>
      </c>
      <c r="B6843" s="12">
        <f>IFERROR(__xludf.DUMMYFUNCTION("""COMPUTED_VALUE"""),45151.0)</f>
        <v>45151</v>
      </c>
      <c r="C6843" s="13">
        <f>IFERROR(__xludf.DUMMYFUNCTION("""COMPUTED_VALUE"""),0.125)</f>
        <v>0.125</v>
      </c>
      <c r="D6843" s="8">
        <f>IFERROR(__xludf.DUMMYFUNCTION("""COMPUTED_VALUE"""),0.813)</f>
        <v>0.813</v>
      </c>
      <c r="E6843" s="8" t="str">
        <f>IFERROR(__xludf.DUMMYFUNCTION("""COMPUTED_VALUE"""),"Real")</f>
        <v>Real</v>
      </c>
      <c r="G6843" s="8">
        <f t="shared" si="1"/>
        <v>8</v>
      </c>
      <c r="H6843" s="14">
        <f t="shared" si="2"/>
        <v>13</v>
      </c>
      <c r="I6843" s="15">
        <f t="shared" si="3"/>
        <v>3</v>
      </c>
    </row>
    <row r="6844">
      <c r="A6844" s="8" t="str">
        <f>IFERROR(__xludf.DUMMYFUNCTION("IF('(INGESTA)Datos_consumo_datadis'!A6844&lt;&gt;"""",SPLIT('(INGESTA)Datos_consumo_datadis'!A:A,"",""),"""")"),"ES0031408323131005HX0F")</f>
        <v>ES0031408323131005HX0F</v>
      </c>
      <c r="B6844" s="12">
        <f>IFERROR(__xludf.DUMMYFUNCTION("""COMPUTED_VALUE"""),45151.0)</f>
        <v>45151</v>
      </c>
      <c r="C6844" s="13">
        <f>IFERROR(__xludf.DUMMYFUNCTION("""COMPUTED_VALUE"""),0.16666666666666666)</f>
        <v>0.1666666667</v>
      </c>
      <c r="D6844" s="8">
        <f>IFERROR(__xludf.DUMMYFUNCTION("""COMPUTED_VALUE"""),0.386)</f>
        <v>0.386</v>
      </c>
      <c r="E6844" s="8" t="str">
        <f>IFERROR(__xludf.DUMMYFUNCTION("""COMPUTED_VALUE"""),"Real")</f>
        <v>Real</v>
      </c>
      <c r="G6844" s="8">
        <f t="shared" si="1"/>
        <v>8</v>
      </c>
      <c r="H6844" s="14">
        <f t="shared" si="2"/>
        <v>13</v>
      </c>
      <c r="I6844" s="15">
        <f t="shared" si="3"/>
        <v>4</v>
      </c>
    </row>
    <row r="6845">
      <c r="A6845" s="8" t="str">
        <f>IFERROR(__xludf.DUMMYFUNCTION("IF('(INGESTA)Datos_consumo_datadis'!A6845&lt;&gt;"""",SPLIT('(INGESTA)Datos_consumo_datadis'!A:A,"",""),"""")"),"ES0031408323131005HX0F")</f>
        <v>ES0031408323131005HX0F</v>
      </c>
      <c r="B6845" s="12">
        <f>IFERROR(__xludf.DUMMYFUNCTION("""COMPUTED_VALUE"""),45151.0)</f>
        <v>45151</v>
      </c>
      <c r="C6845" s="13">
        <f>IFERROR(__xludf.DUMMYFUNCTION("""COMPUTED_VALUE"""),0.20833333333333334)</f>
        <v>0.2083333333</v>
      </c>
      <c r="D6845" s="8">
        <f>IFERROR(__xludf.DUMMYFUNCTION("""COMPUTED_VALUE"""),0.13)</f>
        <v>0.13</v>
      </c>
      <c r="E6845" s="8" t="str">
        <f>IFERROR(__xludf.DUMMYFUNCTION("""COMPUTED_VALUE"""),"Real")</f>
        <v>Real</v>
      </c>
      <c r="G6845" s="8">
        <f t="shared" si="1"/>
        <v>8</v>
      </c>
      <c r="H6845" s="14">
        <f t="shared" si="2"/>
        <v>13</v>
      </c>
      <c r="I6845" s="15">
        <f t="shared" si="3"/>
        <v>5</v>
      </c>
    </row>
    <row r="6846">
      <c r="A6846" s="8" t="str">
        <f>IFERROR(__xludf.DUMMYFUNCTION("IF('(INGESTA)Datos_consumo_datadis'!A6846&lt;&gt;"""",SPLIT('(INGESTA)Datos_consumo_datadis'!A:A,"",""),"""")"),"ES0031408323131005HX0F")</f>
        <v>ES0031408323131005HX0F</v>
      </c>
      <c r="B6846" s="12">
        <f>IFERROR(__xludf.DUMMYFUNCTION("""COMPUTED_VALUE"""),45151.0)</f>
        <v>45151</v>
      </c>
      <c r="C6846" s="13">
        <f>IFERROR(__xludf.DUMMYFUNCTION("""COMPUTED_VALUE"""),0.25)</f>
        <v>0.25</v>
      </c>
      <c r="D6846" s="8">
        <f>IFERROR(__xludf.DUMMYFUNCTION("""COMPUTED_VALUE"""),0.145)</f>
        <v>0.145</v>
      </c>
      <c r="E6846" s="8" t="str">
        <f>IFERROR(__xludf.DUMMYFUNCTION("""COMPUTED_VALUE"""),"Real")</f>
        <v>Real</v>
      </c>
      <c r="G6846" s="8">
        <f t="shared" si="1"/>
        <v>8</v>
      </c>
      <c r="H6846" s="14">
        <f t="shared" si="2"/>
        <v>13</v>
      </c>
      <c r="I6846" s="15">
        <f t="shared" si="3"/>
        <v>6</v>
      </c>
    </row>
    <row r="6847">
      <c r="A6847" s="8" t="str">
        <f>IFERROR(__xludf.DUMMYFUNCTION("IF('(INGESTA)Datos_consumo_datadis'!A6847&lt;&gt;"""",SPLIT('(INGESTA)Datos_consumo_datadis'!A:A,"",""),"""")"),"ES0031408323131005HX0F")</f>
        <v>ES0031408323131005HX0F</v>
      </c>
      <c r="B6847" s="12">
        <f>IFERROR(__xludf.DUMMYFUNCTION("""COMPUTED_VALUE"""),45151.0)</f>
        <v>45151</v>
      </c>
      <c r="C6847" s="13">
        <f>IFERROR(__xludf.DUMMYFUNCTION("""COMPUTED_VALUE"""),0.2916666666666667)</f>
        <v>0.2916666667</v>
      </c>
      <c r="D6847" s="8">
        <f>IFERROR(__xludf.DUMMYFUNCTION("""COMPUTED_VALUE"""),0.128)</f>
        <v>0.128</v>
      </c>
      <c r="E6847" s="8" t="str">
        <f>IFERROR(__xludf.DUMMYFUNCTION("""COMPUTED_VALUE"""),"Real")</f>
        <v>Real</v>
      </c>
      <c r="G6847" s="8">
        <f t="shared" si="1"/>
        <v>8</v>
      </c>
      <c r="H6847" s="14">
        <f t="shared" si="2"/>
        <v>13</v>
      </c>
      <c r="I6847" s="15">
        <f t="shared" si="3"/>
        <v>7</v>
      </c>
    </row>
    <row r="6848">
      <c r="A6848" s="8" t="str">
        <f>IFERROR(__xludf.DUMMYFUNCTION("IF('(INGESTA)Datos_consumo_datadis'!A6848&lt;&gt;"""",SPLIT('(INGESTA)Datos_consumo_datadis'!A:A,"",""),"""")"),"ES0031408323131005HX0F")</f>
        <v>ES0031408323131005HX0F</v>
      </c>
      <c r="B6848" s="12">
        <f>IFERROR(__xludf.DUMMYFUNCTION("""COMPUTED_VALUE"""),45151.0)</f>
        <v>45151</v>
      </c>
      <c r="C6848" s="13">
        <f>IFERROR(__xludf.DUMMYFUNCTION("""COMPUTED_VALUE"""),0.3333333333333333)</f>
        <v>0.3333333333</v>
      </c>
      <c r="D6848" s="8">
        <f>IFERROR(__xludf.DUMMYFUNCTION("""COMPUTED_VALUE"""),0.14)</f>
        <v>0.14</v>
      </c>
      <c r="E6848" s="8" t="str">
        <f>IFERROR(__xludf.DUMMYFUNCTION("""COMPUTED_VALUE"""),"Real")</f>
        <v>Real</v>
      </c>
      <c r="G6848" s="8">
        <f t="shared" si="1"/>
        <v>8</v>
      </c>
      <c r="H6848" s="14">
        <f t="shared" si="2"/>
        <v>13</v>
      </c>
      <c r="I6848" s="15">
        <f t="shared" si="3"/>
        <v>8</v>
      </c>
    </row>
    <row r="6849">
      <c r="A6849" s="8" t="str">
        <f>IFERROR(__xludf.DUMMYFUNCTION("IF('(INGESTA)Datos_consumo_datadis'!A6849&lt;&gt;"""",SPLIT('(INGESTA)Datos_consumo_datadis'!A:A,"",""),"""")"),"ES0031408323131005HX0F")</f>
        <v>ES0031408323131005HX0F</v>
      </c>
      <c r="B6849" s="12">
        <f>IFERROR(__xludf.DUMMYFUNCTION("""COMPUTED_VALUE"""),45151.0)</f>
        <v>45151</v>
      </c>
      <c r="C6849" s="13">
        <f>IFERROR(__xludf.DUMMYFUNCTION("""COMPUTED_VALUE"""),0.375)</f>
        <v>0.375</v>
      </c>
      <c r="D6849" s="8">
        <f>IFERROR(__xludf.DUMMYFUNCTION("""COMPUTED_VALUE"""),0.398)</f>
        <v>0.398</v>
      </c>
      <c r="E6849" s="8" t="str">
        <f>IFERROR(__xludf.DUMMYFUNCTION("""COMPUTED_VALUE"""),"Real")</f>
        <v>Real</v>
      </c>
      <c r="G6849" s="8">
        <f t="shared" si="1"/>
        <v>8</v>
      </c>
      <c r="H6849" s="14">
        <f t="shared" si="2"/>
        <v>13</v>
      </c>
      <c r="I6849" s="15">
        <f t="shared" si="3"/>
        <v>9</v>
      </c>
    </row>
    <row r="6850">
      <c r="A6850" s="8" t="str">
        <f>IFERROR(__xludf.DUMMYFUNCTION("IF('(INGESTA)Datos_consumo_datadis'!A6850&lt;&gt;"""",SPLIT('(INGESTA)Datos_consumo_datadis'!A:A,"",""),"""")"),"ES0031408323131005HX0F")</f>
        <v>ES0031408323131005HX0F</v>
      </c>
      <c r="B6850" s="12">
        <f>IFERROR(__xludf.DUMMYFUNCTION("""COMPUTED_VALUE"""),45151.0)</f>
        <v>45151</v>
      </c>
      <c r="C6850" s="13">
        <f>IFERROR(__xludf.DUMMYFUNCTION("""COMPUTED_VALUE"""),0.4166666666666667)</f>
        <v>0.4166666667</v>
      </c>
      <c r="D6850" s="8">
        <f>IFERROR(__xludf.DUMMYFUNCTION("""COMPUTED_VALUE"""),0.792)</f>
        <v>0.792</v>
      </c>
      <c r="E6850" s="8" t="str">
        <f>IFERROR(__xludf.DUMMYFUNCTION("""COMPUTED_VALUE"""),"Real")</f>
        <v>Real</v>
      </c>
      <c r="G6850" s="8">
        <f t="shared" si="1"/>
        <v>8</v>
      </c>
      <c r="H6850" s="14">
        <f t="shared" si="2"/>
        <v>13</v>
      </c>
      <c r="I6850" s="15">
        <f t="shared" si="3"/>
        <v>10</v>
      </c>
    </row>
    <row r="6851">
      <c r="A6851" s="8" t="str">
        <f>IFERROR(__xludf.DUMMYFUNCTION("IF('(INGESTA)Datos_consumo_datadis'!A6851&lt;&gt;"""",SPLIT('(INGESTA)Datos_consumo_datadis'!A:A,"",""),"""")"),"ES0031408323131005HX0F")</f>
        <v>ES0031408323131005HX0F</v>
      </c>
      <c r="B6851" s="12">
        <f>IFERROR(__xludf.DUMMYFUNCTION("""COMPUTED_VALUE"""),45151.0)</f>
        <v>45151</v>
      </c>
      <c r="C6851" s="13">
        <f>IFERROR(__xludf.DUMMYFUNCTION("""COMPUTED_VALUE"""),0.4583333333333333)</f>
        <v>0.4583333333</v>
      </c>
      <c r="D6851" s="8">
        <f>IFERROR(__xludf.DUMMYFUNCTION("""COMPUTED_VALUE"""),0.127)</f>
        <v>0.127</v>
      </c>
      <c r="E6851" s="8" t="str">
        <f>IFERROR(__xludf.DUMMYFUNCTION("""COMPUTED_VALUE"""),"Real")</f>
        <v>Real</v>
      </c>
      <c r="G6851" s="8">
        <f t="shared" si="1"/>
        <v>8</v>
      </c>
      <c r="H6851" s="14">
        <f t="shared" si="2"/>
        <v>13</v>
      </c>
      <c r="I6851" s="15">
        <f t="shared" si="3"/>
        <v>11</v>
      </c>
    </row>
    <row r="6852">
      <c r="A6852" s="8" t="str">
        <f>IFERROR(__xludf.DUMMYFUNCTION("IF('(INGESTA)Datos_consumo_datadis'!A6852&lt;&gt;"""",SPLIT('(INGESTA)Datos_consumo_datadis'!A:A,"",""),"""")"),"ES0031408323131005HX0F")</f>
        <v>ES0031408323131005HX0F</v>
      </c>
      <c r="B6852" s="12">
        <f>IFERROR(__xludf.DUMMYFUNCTION("""COMPUTED_VALUE"""),45151.0)</f>
        <v>45151</v>
      </c>
      <c r="C6852" s="13">
        <f>IFERROR(__xludf.DUMMYFUNCTION("""COMPUTED_VALUE"""),0.5)</f>
        <v>0.5</v>
      </c>
      <c r="D6852" s="8">
        <f>IFERROR(__xludf.DUMMYFUNCTION("""COMPUTED_VALUE"""),0.393)</f>
        <v>0.393</v>
      </c>
      <c r="E6852" s="8" t="str">
        <f>IFERROR(__xludf.DUMMYFUNCTION("""COMPUTED_VALUE"""),"Real")</f>
        <v>Real</v>
      </c>
      <c r="G6852" s="8">
        <f t="shared" si="1"/>
        <v>8</v>
      </c>
      <c r="H6852" s="14">
        <f t="shared" si="2"/>
        <v>13</v>
      </c>
      <c r="I6852" s="15">
        <f t="shared" si="3"/>
        <v>12</v>
      </c>
    </row>
    <row r="6853">
      <c r="A6853" s="8" t="str">
        <f>IFERROR(__xludf.DUMMYFUNCTION("IF('(INGESTA)Datos_consumo_datadis'!A6853&lt;&gt;"""",SPLIT('(INGESTA)Datos_consumo_datadis'!A:A,"",""),"""")"),"ES0031408323131005HX0F")</f>
        <v>ES0031408323131005HX0F</v>
      </c>
      <c r="B6853" s="12">
        <f>IFERROR(__xludf.DUMMYFUNCTION("""COMPUTED_VALUE"""),45151.0)</f>
        <v>45151</v>
      </c>
      <c r="C6853" s="13">
        <f>IFERROR(__xludf.DUMMYFUNCTION("""COMPUTED_VALUE"""),0.5416666666666666)</f>
        <v>0.5416666667</v>
      </c>
      <c r="D6853" s="8">
        <f>IFERROR(__xludf.DUMMYFUNCTION("""COMPUTED_VALUE"""),0.141)</f>
        <v>0.141</v>
      </c>
      <c r="E6853" s="8" t="str">
        <f>IFERROR(__xludf.DUMMYFUNCTION("""COMPUTED_VALUE"""),"Real")</f>
        <v>Real</v>
      </c>
      <c r="G6853" s="8">
        <f t="shared" si="1"/>
        <v>8</v>
      </c>
      <c r="H6853" s="14">
        <f t="shared" si="2"/>
        <v>13</v>
      </c>
      <c r="I6853" s="15">
        <f t="shared" si="3"/>
        <v>13</v>
      </c>
    </row>
    <row r="6854">
      <c r="A6854" s="8" t="str">
        <f>IFERROR(__xludf.DUMMYFUNCTION("IF('(INGESTA)Datos_consumo_datadis'!A6854&lt;&gt;"""",SPLIT('(INGESTA)Datos_consumo_datadis'!A:A,"",""),"""")"),"ES0031408323131005HX0F")</f>
        <v>ES0031408323131005HX0F</v>
      </c>
      <c r="B6854" s="12">
        <f>IFERROR(__xludf.DUMMYFUNCTION("""COMPUTED_VALUE"""),45151.0)</f>
        <v>45151</v>
      </c>
      <c r="C6854" s="13">
        <f>IFERROR(__xludf.DUMMYFUNCTION("""COMPUTED_VALUE"""),0.5833333333333334)</f>
        <v>0.5833333333</v>
      </c>
      <c r="D6854" s="8">
        <f>IFERROR(__xludf.DUMMYFUNCTION("""COMPUTED_VALUE"""),0.131)</f>
        <v>0.131</v>
      </c>
      <c r="E6854" s="8" t="str">
        <f>IFERROR(__xludf.DUMMYFUNCTION("""COMPUTED_VALUE"""),"Real")</f>
        <v>Real</v>
      </c>
      <c r="G6854" s="8">
        <f t="shared" si="1"/>
        <v>8</v>
      </c>
      <c r="H6854" s="14">
        <f t="shared" si="2"/>
        <v>13</v>
      </c>
      <c r="I6854" s="15">
        <f t="shared" si="3"/>
        <v>14</v>
      </c>
    </row>
    <row r="6855">
      <c r="A6855" s="8" t="str">
        <f>IFERROR(__xludf.DUMMYFUNCTION("IF('(INGESTA)Datos_consumo_datadis'!A6855&lt;&gt;"""",SPLIT('(INGESTA)Datos_consumo_datadis'!A:A,"",""),"""")"),"ES0031408323131005HX0F")</f>
        <v>ES0031408323131005HX0F</v>
      </c>
      <c r="B6855" s="12">
        <f>IFERROR(__xludf.DUMMYFUNCTION("""COMPUTED_VALUE"""),45151.0)</f>
        <v>45151</v>
      </c>
      <c r="C6855" s="13">
        <f>IFERROR(__xludf.DUMMYFUNCTION("""COMPUTED_VALUE"""),0.625)</f>
        <v>0.625</v>
      </c>
      <c r="D6855" s="8">
        <f>IFERROR(__xludf.DUMMYFUNCTION("""COMPUTED_VALUE"""),0.341)</f>
        <v>0.341</v>
      </c>
      <c r="E6855" s="8" t="str">
        <f>IFERROR(__xludf.DUMMYFUNCTION("""COMPUTED_VALUE"""),"Real")</f>
        <v>Real</v>
      </c>
      <c r="G6855" s="8">
        <f t="shared" si="1"/>
        <v>8</v>
      </c>
      <c r="H6855" s="14">
        <f t="shared" si="2"/>
        <v>13</v>
      </c>
      <c r="I6855" s="15">
        <f t="shared" si="3"/>
        <v>15</v>
      </c>
    </row>
    <row r="6856">
      <c r="A6856" s="8" t="str">
        <f>IFERROR(__xludf.DUMMYFUNCTION("IF('(INGESTA)Datos_consumo_datadis'!A6856&lt;&gt;"""",SPLIT('(INGESTA)Datos_consumo_datadis'!A:A,"",""),"""")"),"ES0031408323131005HX0F")</f>
        <v>ES0031408323131005HX0F</v>
      </c>
      <c r="B6856" s="12">
        <f>IFERROR(__xludf.DUMMYFUNCTION("""COMPUTED_VALUE"""),45151.0)</f>
        <v>45151</v>
      </c>
      <c r="C6856" s="13">
        <f>IFERROR(__xludf.DUMMYFUNCTION("""COMPUTED_VALUE"""),0.6666666666666666)</f>
        <v>0.6666666667</v>
      </c>
      <c r="D6856" s="8">
        <f>IFERROR(__xludf.DUMMYFUNCTION("""COMPUTED_VALUE"""),0.637)</f>
        <v>0.637</v>
      </c>
      <c r="E6856" s="8" t="str">
        <f>IFERROR(__xludf.DUMMYFUNCTION("""COMPUTED_VALUE"""),"Real")</f>
        <v>Real</v>
      </c>
      <c r="G6856" s="8">
        <f t="shared" si="1"/>
        <v>8</v>
      </c>
      <c r="H6856" s="14">
        <f t="shared" si="2"/>
        <v>13</v>
      </c>
      <c r="I6856" s="15">
        <f t="shared" si="3"/>
        <v>16</v>
      </c>
    </row>
    <row r="6857">
      <c r="A6857" s="8" t="str">
        <f>IFERROR(__xludf.DUMMYFUNCTION("IF('(INGESTA)Datos_consumo_datadis'!A6857&lt;&gt;"""",SPLIT('(INGESTA)Datos_consumo_datadis'!A:A,"",""),"""")"),"ES0031408323131005HX0F")</f>
        <v>ES0031408323131005HX0F</v>
      </c>
      <c r="B6857" s="12">
        <f>IFERROR(__xludf.DUMMYFUNCTION("""COMPUTED_VALUE"""),45151.0)</f>
        <v>45151</v>
      </c>
      <c r="C6857" s="13">
        <f>IFERROR(__xludf.DUMMYFUNCTION("""COMPUTED_VALUE"""),0.7083333333333334)</f>
        <v>0.7083333333</v>
      </c>
      <c r="D6857" s="8">
        <f>IFERROR(__xludf.DUMMYFUNCTION("""COMPUTED_VALUE"""),0.989)</f>
        <v>0.989</v>
      </c>
      <c r="E6857" s="8" t="str">
        <f>IFERROR(__xludf.DUMMYFUNCTION("""COMPUTED_VALUE"""),"Real")</f>
        <v>Real</v>
      </c>
      <c r="G6857" s="8">
        <f t="shared" si="1"/>
        <v>8</v>
      </c>
      <c r="H6857" s="14">
        <f t="shared" si="2"/>
        <v>13</v>
      </c>
      <c r="I6857" s="15">
        <f t="shared" si="3"/>
        <v>17</v>
      </c>
    </row>
    <row r="6858">
      <c r="A6858" s="8" t="str">
        <f>IFERROR(__xludf.DUMMYFUNCTION("IF('(INGESTA)Datos_consumo_datadis'!A6858&lt;&gt;"""",SPLIT('(INGESTA)Datos_consumo_datadis'!A:A,"",""),"""")"),"ES0031408323131005HX0F")</f>
        <v>ES0031408323131005HX0F</v>
      </c>
      <c r="B6858" s="12">
        <f>IFERROR(__xludf.DUMMYFUNCTION("""COMPUTED_VALUE"""),45151.0)</f>
        <v>45151</v>
      </c>
      <c r="C6858" s="13">
        <f>IFERROR(__xludf.DUMMYFUNCTION("""COMPUTED_VALUE"""),0.75)</f>
        <v>0.75</v>
      </c>
      <c r="D6858" s="8">
        <f>IFERROR(__xludf.DUMMYFUNCTION("""COMPUTED_VALUE"""),2.036)</f>
        <v>2.036</v>
      </c>
      <c r="E6858" s="8" t="str">
        <f>IFERROR(__xludf.DUMMYFUNCTION("""COMPUTED_VALUE"""),"Real")</f>
        <v>Real</v>
      </c>
      <c r="G6858" s="8">
        <f t="shared" si="1"/>
        <v>8</v>
      </c>
      <c r="H6858" s="14">
        <f t="shared" si="2"/>
        <v>13</v>
      </c>
      <c r="I6858" s="15">
        <f t="shared" si="3"/>
        <v>18</v>
      </c>
    </row>
    <row r="6859">
      <c r="A6859" s="8" t="str">
        <f>IFERROR(__xludf.DUMMYFUNCTION("IF('(INGESTA)Datos_consumo_datadis'!A6859&lt;&gt;"""",SPLIT('(INGESTA)Datos_consumo_datadis'!A:A,"",""),"""")"),"ES0031408323131005HX0F")</f>
        <v>ES0031408323131005HX0F</v>
      </c>
      <c r="B6859" s="12">
        <f>IFERROR(__xludf.DUMMYFUNCTION("""COMPUTED_VALUE"""),45151.0)</f>
        <v>45151</v>
      </c>
      <c r="C6859" s="13">
        <f>IFERROR(__xludf.DUMMYFUNCTION("""COMPUTED_VALUE"""),0.7916666666666666)</f>
        <v>0.7916666667</v>
      </c>
      <c r="D6859" s="8">
        <f>IFERROR(__xludf.DUMMYFUNCTION("""COMPUTED_VALUE"""),0.706)</f>
        <v>0.706</v>
      </c>
      <c r="E6859" s="8" t="str">
        <f>IFERROR(__xludf.DUMMYFUNCTION("""COMPUTED_VALUE"""),"Real")</f>
        <v>Real</v>
      </c>
      <c r="G6859" s="8">
        <f t="shared" si="1"/>
        <v>8</v>
      </c>
      <c r="H6859" s="14">
        <f t="shared" si="2"/>
        <v>13</v>
      </c>
      <c r="I6859" s="15">
        <f t="shared" si="3"/>
        <v>19</v>
      </c>
    </row>
    <row r="6860">
      <c r="A6860" s="8" t="str">
        <f>IFERROR(__xludf.DUMMYFUNCTION("IF('(INGESTA)Datos_consumo_datadis'!A6860&lt;&gt;"""",SPLIT('(INGESTA)Datos_consumo_datadis'!A:A,"",""),"""")"),"ES0031408323131005HX0F")</f>
        <v>ES0031408323131005HX0F</v>
      </c>
      <c r="B6860" s="12">
        <f>IFERROR(__xludf.DUMMYFUNCTION("""COMPUTED_VALUE"""),45151.0)</f>
        <v>45151</v>
      </c>
      <c r="C6860" s="13">
        <f>IFERROR(__xludf.DUMMYFUNCTION("""COMPUTED_VALUE"""),0.8333333333333334)</f>
        <v>0.8333333333</v>
      </c>
      <c r="D6860" s="8">
        <f>IFERROR(__xludf.DUMMYFUNCTION("""COMPUTED_VALUE"""),2.518)</f>
        <v>2.518</v>
      </c>
      <c r="E6860" s="8" t="str">
        <f>IFERROR(__xludf.DUMMYFUNCTION("""COMPUTED_VALUE"""),"Real")</f>
        <v>Real</v>
      </c>
      <c r="G6860" s="8">
        <f t="shared" si="1"/>
        <v>8</v>
      </c>
      <c r="H6860" s="14">
        <f t="shared" si="2"/>
        <v>13</v>
      </c>
      <c r="I6860" s="15">
        <f t="shared" si="3"/>
        <v>20</v>
      </c>
    </row>
    <row r="6861">
      <c r="A6861" s="8" t="str">
        <f>IFERROR(__xludf.DUMMYFUNCTION("IF('(INGESTA)Datos_consumo_datadis'!A6861&lt;&gt;"""",SPLIT('(INGESTA)Datos_consumo_datadis'!A:A,"",""),"""")"),"ES0031408323131005HX0F")</f>
        <v>ES0031408323131005HX0F</v>
      </c>
      <c r="B6861" s="12">
        <f>IFERROR(__xludf.DUMMYFUNCTION("""COMPUTED_VALUE"""),45151.0)</f>
        <v>45151</v>
      </c>
      <c r="C6861" s="13">
        <f>IFERROR(__xludf.DUMMYFUNCTION("""COMPUTED_VALUE"""),0.875)</f>
        <v>0.875</v>
      </c>
      <c r="D6861" s="8">
        <f>IFERROR(__xludf.DUMMYFUNCTION("""COMPUTED_VALUE"""),1.678)</f>
        <v>1.678</v>
      </c>
      <c r="E6861" s="8" t="str">
        <f>IFERROR(__xludf.DUMMYFUNCTION("""COMPUTED_VALUE"""),"Real")</f>
        <v>Real</v>
      </c>
      <c r="G6861" s="8">
        <f t="shared" si="1"/>
        <v>8</v>
      </c>
      <c r="H6861" s="14">
        <f t="shared" si="2"/>
        <v>13</v>
      </c>
      <c r="I6861" s="15">
        <f t="shared" si="3"/>
        <v>21</v>
      </c>
    </row>
    <row r="6862">
      <c r="A6862" s="8" t="str">
        <f>IFERROR(__xludf.DUMMYFUNCTION("IF('(INGESTA)Datos_consumo_datadis'!A6862&lt;&gt;"""",SPLIT('(INGESTA)Datos_consumo_datadis'!A:A,"",""),"""")"),"ES0031408323131005HX0F")</f>
        <v>ES0031408323131005HX0F</v>
      </c>
      <c r="B6862" s="12">
        <f>IFERROR(__xludf.DUMMYFUNCTION("""COMPUTED_VALUE"""),45151.0)</f>
        <v>45151</v>
      </c>
      <c r="C6862" s="13">
        <f>IFERROR(__xludf.DUMMYFUNCTION("""COMPUTED_VALUE"""),0.9166666666666666)</f>
        <v>0.9166666667</v>
      </c>
      <c r="D6862" s="8">
        <f>IFERROR(__xludf.DUMMYFUNCTION("""COMPUTED_VALUE"""),0.439)</f>
        <v>0.439</v>
      </c>
      <c r="E6862" s="8" t="str">
        <f>IFERROR(__xludf.DUMMYFUNCTION("""COMPUTED_VALUE"""),"Real")</f>
        <v>Real</v>
      </c>
      <c r="G6862" s="8">
        <f t="shared" si="1"/>
        <v>8</v>
      </c>
      <c r="H6862" s="14">
        <f t="shared" si="2"/>
        <v>13</v>
      </c>
      <c r="I6862" s="15">
        <f t="shared" si="3"/>
        <v>22</v>
      </c>
    </row>
    <row r="6863">
      <c r="A6863" s="8" t="str">
        <f>IFERROR(__xludf.DUMMYFUNCTION("IF('(INGESTA)Datos_consumo_datadis'!A6863&lt;&gt;"""",SPLIT('(INGESTA)Datos_consumo_datadis'!A:A,"",""),"""")"),"ES0031408323131005HX0F")</f>
        <v>ES0031408323131005HX0F</v>
      </c>
      <c r="B6863" s="12">
        <f>IFERROR(__xludf.DUMMYFUNCTION("""COMPUTED_VALUE"""),45151.0)</f>
        <v>45151</v>
      </c>
      <c r="C6863" s="13">
        <f>IFERROR(__xludf.DUMMYFUNCTION("""COMPUTED_VALUE"""),0.9583333333333334)</f>
        <v>0.9583333333</v>
      </c>
      <c r="D6863" s="8">
        <f>IFERROR(__xludf.DUMMYFUNCTION("""COMPUTED_VALUE"""),0.123)</f>
        <v>0.123</v>
      </c>
      <c r="E6863" s="8" t="str">
        <f>IFERROR(__xludf.DUMMYFUNCTION("""COMPUTED_VALUE"""),"Real")</f>
        <v>Real</v>
      </c>
      <c r="G6863" s="8">
        <f t="shared" si="1"/>
        <v>8</v>
      </c>
      <c r="H6863" s="14">
        <f t="shared" si="2"/>
        <v>13</v>
      </c>
      <c r="I6863" s="15">
        <f t="shared" si="3"/>
        <v>23</v>
      </c>
    </row>
    <row r="6864">
      <c r="A6864" s="8" t="str">
        <f>IFERROR(__xludf.DUMMYFUNCTION("IF('(INGESTA)Datos_consumo_datadis'!A6864&lt;&gt;"""",SPLIT('(INGESTA)Datos_consumo_datadis'!A:A,"",""),"""")"),"ES0031408323131005HX0F")</f>
        <v>ES0031408323131005HX0F</v>
      </c>
      <c r="B6864" s="12">
        <f>IFERROR(__xludf.DUMMYFUNCTION("""COMPUTED_VALUE"""),45151.0)</f>
        <v>45151</v>
      </c>
      <c r="C6864" s="16">
        <f>IFERROR(__xludf.DUMMYFUNCTION("""COMPUTED_VALUE"""),1.0)</f>
        <v>1</v>
      </c>
      <c r="D6864" s="8">
        <f>IFERROR(__xludf.DUMMYFUNCTION("""COMPUTED_VALUE"""),0.123)</f>
        <v>0.123</v>
      </c>
      <c r="E6864" s="8" t="str">
        <f>IFERROR(__xludf.DUMMYFUNCTION("""COMPUTED_VALUE"""),"Real")</f>
        <v>Real</v>
      </c>
      <c r="G6864" s="8">
        <f t="shared" si="1"/>
        <v>8</v>
      </c>
      <c r="H6864" s="14">
        <f t="shared" si="2"/>
        <v>13</v>
      </c>
      <c r="I6864" s="15">
        <f t="shared" si="3"/>
        <v>0</v>
      </c>
    </row>
    <row r="6865">
      <c r="A6865" s="8" t="str">
        <f>IFERROR(__xludf.DUMMYFUNCTION("IF('(INGESTA)Datos_consumo_datadis'!A6865&lt;&gt;"""",SPLIT('(INGESTA)Datos_consumo_datadis'!A:A,"",""),"""")"),"ES0031408323131005HX0F")</f>
        <v>ES0031408323131005HX0F</v>
      </c>
      <c r="B6865" s="12">
        <f>IFERROR(__xludf.DUMMYFUNCTION("""COMPUTED_VALUE"""),45152.0)</f>
        <v>45152</v>
      </c>
      <c r="C6865" s="13">
        <f>IFERROR(__xludf.DUMMYFUNCTION("""COMPUTED_VALUE"""),0.041666666666666664)</f>
        <v>0.04166666667</v>
      </c>
      <c r="D6865" s="8">
        <f>IFERROR(__xludf.DUMMYFUNCTION("""COMPUTED_VALUE"""),0.122)</f>
        <v>0.122</v>
      </c>
      <c r="E6865" s="8" t="str">
        <f>IFERROR(__xludf.DUMMYFUNCTION("""COMPUTED_VALUE"""),"Real")</f>
        <v>Real</v>
      </c>
      <c r="G6865" s="8">
        <f t="shared" si="1"/>
        <v>8</v>
      </c>
      <c r="H6865" s="14">
        <f t="shared" si="2"/>
        <v>14</v>
      </c>
      <c r="I6865" s="15">
        <f t="shared" si="3"/>
        <v>1</v>
      </c>
    </row>
    <row r="6866">
      <c r="A6866" s="8" t="str">
        <f>IFERROR(__xludf.DUMMYFUNCTION("IF('(INGESTA)Datos_consumo_datadis'!A6866&lt;&gt;"""",SPLIT('(INGESTA)Datos_consumo_datadis'!A:A,"",""),"""")"),"ES0031408323131005HX0F")</f>
        <v>ES0031408323131005HX0F</v>
      </c>
      <c r="B6866" s="12">
        <f>IFERROR(__xludf.DUMMYFUNCTION("""COMPUTED_VALUE"""),45152.0)</f>
        <v>45152</v>
      </c>
      <c r="C6866" s="13">
        <f>IFERROR(__xludf.DUMMYFUNCTION("""COMPUTED_VALUE"""),0.08333333333333333)</f>
        <v>0.08333333333</v>
      </c>
      <c r="D6866" s="8">
        <f>IFERROR(__xludf.DUMMYFUNCTION("""COMPUTED_VALUE"""),0.148)</f>
        <v>0.148</v>
      </c>
      <c r="E6866" s="8" t="str">
        <f>IFERROR(__xludf.DUMMYFUNCTION("""COMPUTED_VALUE"""),"Real")</f>
        <v>Real</v>
      </c>
      <c r="G6866" s="8">
        <f t="shared" si="1"/>
        <v>8</v>
      </c>
      <c r="H6866" s="14">
        <f t="shared" si="2"/>
        <v>14</v>
      </c>
      <c r="I6866" s="15">
        <f t="shared" si="3"/>
        <v>2</v>
      </c>
    </row>
    <row r="6867">
      <c r="A6867" s="8" t="str">
        <f>IFERROR(__xludf.DUMMYFUNCTION("IF('(INGESTA)Datos_consumo_datadis'!A6867&lt;&gt;"""",SPLIT('(INGESTA)Datos_consumo_datadis'!A:A,"",""),"""")"),"ES0031408323131005HX0F")</f>
        <v>ES0031408323131005HX0F</v>
      </c>
      <c r="B6867" s="12">
        <f>IFERROR(__xludf.DUMMYFUNCTION("""COMPUTED_VALUE"""),45152.0)</f>
        <v>45152</v>
      </c>
      <c r="C6867" s="13">
        <f>IFERROR(__xludf.DUMMYFUNCTION("""COMPUTED_VALUE"""),0.125)</f>
        <v>0.125</v>
      </c>
      <c r="D6867" s="8">
        <f>IFERROR(__xludf.DUMMYFUNCTION("""COMPUTED_VALUE"""),0.16)</f>
        <v>0.16</v>
      </c>
      <c r="E6867" s="8" t="str">
        <f>IFERROR(__xludf.DUMMYFUNCTION("""COMPUTED_VALUE"""),"Real")</f>
        <v>Real</v>
      </c>
      <c r="G6867" s="8">
        <f t="shared" si="1"/>
        <v>8</v>
      </c>
      <c r="H6867" s="14">
        <f t="shared" si="2"/>
        <v>14</v>
      </c>
      <c r="I6867" s="15">
        <f t="shared" si="3"/>
        <v>3</v>
      </c>
    </row>
    <row r="6868">
      <c r="A6868" s="8" t="str">
        <f>IFERROR(__xludf.DUMMYFUNCTION("IF('(INGESTA)Datos_consumo_datadis'!A6868&lt;&gt;"""",SPLIT('(INGESTA)Datos_consumo_datadis'!A:A,"",""),"""")"),"ES0031408323131005HX0F")</f>
        <v>ES0031408323131005HX0F</v>
      </c>
      <c r="B6868" s="12">
        <f>IFERROR(__xludf.DUMMYFUNCTION("""COMPUTED_VALUE"""),45152.0)</f>
        <v>45152</v>
      </c>
      <c r="C6868" s="13">
        <f>IFERROR(__xludf.DUMMYFUNCTION("""COMPUTED_VALUE"""),0.16666666666666666)</f>
        <v>0.1666666667</v>
      </c>
      <c r="D6868" s="8">
        <f>IFERROR(__xludf.DUMMYFUNCTION("""COMPUTED_VALUE"""),0.13)</f>
        <v>0.13</v>
      </c>
      <c r="E6868" s="8" t="str">
        <f>IFERROR(__xludf.DUMMYFUNCTION("""COMPUTED_VALUE"""),"Real")</f>
        <v>Real</v>
      </c>
      <c r="G6868" s="8">
        <f t="shared" si="1"/>
        <v>8</v>
      </c>
      <c r="H6868" s="14">
        <f t="shared" si="2"/>
        <v>14</v>
      </c>
      <c r="I6868" s="15">
        <f t="shared" si="3"/>
        <v>4</v>
      </c>
    </row>
    <row r="6869">
      <c r="A6869" s="8" t="str">
        <f>IFERROR(__xludf.DUMMYFUNCTION("IF('(INGESTA)Datos_consumo_datadis'!A6869&lt;&gt;"""",SPLIT('(INGESTA)Datos_consumo_datadis'!A:A,"",""),"""")"),"ES0031408323131005HX0F")</f>
        <v>ES0031408323131005HX0F</v>
      </c>
      <c r="B6869" s="12">
        <f>IFERROR(__xludf.DUMMYFUNCTION("""COMPUTED_VALUE"""),45152.0)</f>
        <v>45152</v>
      </c>
      <c r="C6869" s="13">
        <f>IFERROR(__xludf.DUMMYFUNCTION("""COMPUTED_VALUE"""),0.20833333333333334)</f>
        <v>0.2083333333</v>
      </c>
      <c r="D6869" s="8">
        <f>IFERROR(__xludf.DUMMYFUNCTION("""COMPUTED_VALUE"""),0.028)</f>
        <v>0.028</v>
      </c>
      <c r="E6869" s="8" t="str">
        <f>IFERROR(__xludf.DUMMYFUNCTION("""COMPUTED_VALUE"""),"Real")</f>
        <v>Real</v>
      </c>
      <c r="G6869" s="8">
        <f t="shared" si="1"/>
        <v>8</v>
      </c>
      <c r="H6869" s="14">
        <f t="shared" si="2"/>
        <v>14</v>
      </c>
      <c r="I6869" s="15">
        <f t="shared" si="3"/>
        <v>5</v>
      </c>
    </row>
    <row r="6870">
      <c r="A6870" s="8" t="str">
        <f>IFERROR(__xludf.DUMMYFUNCTION("IF('(INGESTA)Datos_consumo_datadis'!A6870&lt;&gt;"""",SPLIT('(INGESTA)Datos_consumo_datadis'!A:A,"",""),"""")"),"ES0031408323131005HX0F")</f>
        <v>ES0031408323131005HX0F</v>
      </c>
      <c r="B6870" s="12">
        <f>IFERROR(__xludf.DUMMYFUNCTION("""COMPUTED_VALUE"""),45152.0)</f>
        <v>45152</v>
      </c>
      <c r="C6870" s="13">
        <f>IFERROR(__xludf.DUMMYFUNCTION("""COMPUTED_VALUE"""),0.25)</f>
        <v>0.25</v>
      </c>
      <c r="D6870" s="8">
        <f>IFERROR(__xludf.DUMMYFUNCTION("""COMPUTED_VALUE"""),0.13)</f>
        <v>0.13</v>
      </c>
      <c r="E6870" s="8" t="str">
        <f>IFERROR(__xludf.DUMMYFUNCTION("""COMPUTED_VALUE"""),"Real")</f>
        <v>Real</v>
      </c>
      <c r="G6870" s="8">
        <f t="shared" si="1"/>
        <v>8</v>
      </c>
      <c r="H6870" s="14">
        <f t="shared" si="2"/>
        <v>14</v>
      </c>
      <c r="I6870" s="15">
        <f t="shared" si="3"/>
        <v>6</v>
      </c>
    </row>
    <row r="6871">
      <c r="A6871" s="8" t="str">
        <f>IFERROR(__xludf.DUMMYFUNCTION("IF('(INGESTA)Datos_consumo_datadis'!A6871&lt;&gt;"""",SPLIT('(INGESTA)Datos_consumo_datadis'!A:A,"",""),"""")"),"ES0031408323131005HX0F")</f>
        <v>ES0031408323131005HX0F</v>
      </c>
      <c r="B6871" s="12">
        <f>IFERROR(__xludf.DUMMYFUNCTION("""COMPUTED_VALUE"""),45152.0)</f>
        <v>45152</v>
      </c>
      <c r="C6871" s="13">
        <f>IFERROR(__xludf.DUMMYFUNCTION("""COMPUTED_VALUE"""),0.2916666666666667)</f>
        <v>0.2916666667</v>
      </c>
      <c r="D6871" s="8">
        <f>IFERROR(__xludf.DUMMYFUNCTION("""COMPUTED_VALUE"""),0.285)</f>
        <v>0.285</v>
      </c>
      <c r="E6871" s="8" t="str">
        <f>IFERROR(__xludf.DUMMYFUNCTION("""COMPUTED_VALUE"""),"Real")</f>
        <v>Real</v>
      </c>
      <c r="G6871" s="8">
        <f t="shared" si="1"/>
        <v>8</v>
      </c>
      <c r="H6871" s="14">
        <f t="shared" si="2"/>
        <v>14</v>
      </c>
      <c r="I6871" s="15">
        <f t="shared" si="3"/>
        <v>7</v>
      </c>
    </row>
    <row r="6872">
      <c r="A6872" s="8" t="str">
        <f>IFERROR(__xludf.DUMMYFUNCTION("IF('(INGESTA)Datos_consumo_datadis'!A6872&lt;&gt;"""",SPLIT('(INGESTA)Datos_consumo_datadis'!A:A,"",""),"""")"),"ES0031408323131005HX0F")</f>
        <v>ES0031408323131005HX0F</v>
      </c>
      <c r="B6872" s="12">
        <f>IFERROR(__xludf.DUMMYFUNCTION("""COMPUTED_VALUE"""),45152.0)</f>
        <v>45152</v>
      </c>
      <c r="C6872" s="13">
        <f>IFERROR(__xludf.DUMMYFUNCTION("""COMPUTED_VALUE"""),0.3333333333333333)</f>
        <v>0.3333333333</v>
      </c>
      <c r="D6872" s="8">
        <f>IFERROR(__xludf.DUMMYFUNCTION("""COMPUTED_VALUE"""),0.292)</f>
        <v>0.292</v>
      </c>
      <c r="E6872" s="8" t="str">
        <f>IFERROR(__xludf.DUMMYFUNCTION("""COMPUTED_VALUE"""),"Real")</f>
        <v>Real</v>
      </c>
      <c r="G6872" s="8">
        <f t="shared" si="1"/>
        <v>8</v>
      </c>
      <c r="H6872" s="14">
        <f t="shared" si="2"/>
        <v>14</v>
      </c>
      <c r="I6872" s="15">
        <f t="shared" si="3"/>
        <v>8</v>
      </c>
    </row>
    <row r="6873">
      <c r="A6873" s="8" t="str">
        <f>IFERROR(__xludf.DUMMYFUNCTION("IF('(INGESTA)Datos_consumo_datadis'!A6873&lt;&gt;"""",SPLIT('(INGESTA)Datos_consumo_datadis'!A:A,"",""),"""")"),"ES0031408323131005HX0F")</f>
        <v>ES0031408323131005HX0F</v>
      </c>
      <c r="B6873" s="12">
        <f>IFERROR(__xludf.DUMMYFUNCTION("""COMPUTED_VALUE"""),45152.0)</f>
        <v>45152</v>
      </c>
      <c r="C6873" s="13">
        <f>IFERROR(__xludf.DUMMYFUNCTION("""COMPUTED_VALUE"""),0.375)</f>
        <v>0.375</v>
      </c>
      <c r="D6873" s="8">
        <f>IFERROR(__xludf.DUMMYFUNCTION("""COMPUTED_VALUE"""),0.247)</f>
        <v>0.247</v>
      </c>
      <c r="E6873" s="8" t="str">
        <f>IFERROR(__xludf.DUMMYFUNCTION("""COMPUTED_VALUE"""),"Real")</f>
        <v>Real</v>
      </c>
      <c r="G6873" s="8">
        <f t="shared" si="1"/>
        <v>8</v>
      </c>
      <c r="H6873" s="14">
        <f t="shared" si="2"/>
        <v>14</v>
      </c>
      <c r="I6873" s="15">
        <f t="shared" si="3"/>
        <v>9</v>
      </c>
    </row>
    <row r="6874">
      <c r="A6874" s="8" t="str">
        <f>IFERROR(__xludf.DUMMYFUNCTION("IF('(INGESTA)Datos_consumo_datadis'!A6874&lt;&gt;"""",SPLIT('(INGESTA)Datos_consumo_datadis'!A:A,"",""),"""")"),"ES0031408323131005HX0F")</f>
        <v>ES0031408323131005HX0F</v>
      </c>
      <c r="B6874" s="12">
        <f>IFERROR(__xludf.DUMMYFUNCTION("""COMPUTED_VALUE"""),45152.0)</f>
        <v>45152</v>
      </c>
      <c r="C6874" s="13">
        <f>IFERROR(__xludf.DUMMYFUNCTION("""COMPUTED_VALUE"""),0.4166666666666667)</f>
        <v>0.4166666667</v>
      </c>
      <c r="D6874" s="8">
        <f>IFERROR(__xludf.DUMMYFUNCTION("""COMPUTED_VALUE"""),0.43)</f>
        <v>0.43</v>
      </c>
      <c r="E6874" s="8" t="str">
        <f>IFERROR(__xludf.DUMMYFUNCTION("""COMPUTED_VALUE"""),"Real")</f>
        <v>Real</v>
      </c>
      <c r="G6874" s="8">
        <f t="shared" si="1"/>
        <v>8</v>
      </c>
      <c r="H6874" s="14">
        <f t="shared" si="2"/>
        <v>14</v>
      </c>
      <c r="I6874" s="15">
        <f t="shared" si="3"/>
        <v>10</v>
      </c>
    </row>
    <row r="6875">
      <c r="A6875" s="8" t="str">
        <f>IFERROR(__xludf.DUMMYFUNCTION("IF('(INGESTA)Datos_consumo_datadis'!A6875&lt;&gt;"""",SPLIT('(INGESTA)Datos_consumo_datadis'!A:A,"",""),"""")"),"ES0031408323131005HX0F")</f>
        <v>ES0031408323131005HX0F</v>
      </c>
      <c r="B6875" s="12">
        <f>IFERROR(__xludf.DUMMYFUNCTION("""COMPUTED_VALUE"""),45152.0)</f>
        <v>45152</v>
      </c>
      <c r="C6875" s="13">
        <f>IFERROR(__xludf.DUMMYFUNCTION("""COMPUTED_VALUE"""),0.4583333333333333)</f>
        <v>0.4583333333</v>
      </c>
      <c r="D6875" s="8">
        <f>IFERROR(__xludf.DUMMYFUNCTION("""COMPUTED_VALUE"""),0.215)</f>
        <v>0.215</v>
      </c>
      <c r="E6875" s="8" t="str">
        <f>IFERROR(__xludf.DUMMYFUNCTION("""COMPUTED_VALUE"""),"Real")</f>
        <v>Real</v>
      </c>
      <c r="G6875" s="8">
        <f t="shared" si="1"/>
        <v>8</v>
      </c>
      <c r="H6875" s="14">
        <f t="shared" si="2"/>
        <v>14</v>
      </c>
      <c r="I6875" s="15">
        <f t="shared" si="3"/>
        <v>11</v>
      </c>
    </row>
    <row r="6876">
      <c r="A6876" s="8" t="str">
        <f>IFERROR(__xludf.DUMMYFUNCTION("IF('(INGESTA)Datos_consumo_datadis'!A6876&lt;&gt;"""",SPLIT('(INGESTA)Datos_consumo_datadis'!A:A,"",""),"""")"),"ES0031408323131005HX0F")</f>
        <v>ES0031408323131005HX0F</v>
      </c>
      <c r="B6876" s="12">
        <f>IFERROR(__xludf.DUMMYFUNCTION("""COMPUTED_VALUE"""),45152.0)</f>
        <v>45152</v>
      </c>
      <c r="C6876" s="13">
        <f>IFERROR(__xludf.DUMMYFUNCTION("""COMPUTED_VALUE"""),0.5)</f>
        <v>0.5</v>
      </c>
      <c r="D6876" s="8">
        <f>IFERROR(__xludf.DUMMYFUNCTION("""COMPUTED_VALUE"""),0.392)</f>
        <v>0.392</v>
      </c>
      <c r="E6876" s="8" t="str">
        <f>IFERROR(__xludf.DUMMYFUNCTION("""COMPUTED_VALUE"""),"Real")</f>
        <v>Real</v>
      </c>
      <c r="G6876" s="8">
        <f t="shared" si="1"/>
        <v>8</v>
      </c>
      <c r="H6876" s="14">
        <f t="shared" si="2"/>
        <v>14</v>
      </c>
      <c r="I6876" s="15">
        <f t="shared" si="3"/>
        <v>12</v>
      </c>
    </row>
    <row r="6877">
      <c r="A6877" s="8" t="str">
        <f>IFERROR(__xludf.DUMMYFUNCTION("IF('(INGESTA)Datos_consumo_datadis'!A6877&lt;&gt;"""",SPLIT('(INGESTA)Datos_consumo_datadis'!A:A,"",""),"""")"),"ES0031408323131005HX0F")</f>
        <v>ES0031408323131005HX0F</v>
      </c>
      <c r="B6877" s="12">
        <f>IFERROR(__xludf.DUMMYFUNCTION("""COMPUTED_VALUE"""),45152.0)</f>
        <v>45152</v>
      </c>
      <c r="C6877" s="13">
        <f>IFERROR(__xludf.DUMMYFUNCTION("""COMPUTED_VALUE"""),0.5416666666666666)</f>
        <v>0.5416666667</v>
      </c>
      <c r="D6877" s="8">
        <f>IFERROR(__xludf.DUMMYFUNCTION("""COMPUTED_VALUE"""),0.731)</f>
        <v>0.731</v>
      </c>
      <c r="E6877" s="8" t="str">
        <f>IFERROR(__xludf.DUMMYFUNCTION("""COMPUTED_VALUE"""),"Real")</f>
        <v>Real</v>
      </c>
      <c r="G6877" s="8">
        <f t="shared" si="1"/>
        <v>8</v>
      </c>
      <c r="H6877" s="14">
        <f t="shared" si="2"/>
        <v>14</v>
      </c>
      <c r="I6877" s="15">
        <f t="shared" si="3"/>
        <v>13</v>
      </c>
    </row>
    <row r="6878">
      <c r="A6878" s="8" t="str">
        <f>IFERROR(__xludf.DUMMYFUNCTION("IF('(INGESTA)Datos_consumo_datadis'!A6878&lt;&gt;"""",SPLIT('(INGESTA)Datos_consumo_datadis'!A:A,"",""),"""")"),"ES0031408323131005HX0F")</f>
        <v>ES0031408323131005HX0F</v>
      </c>
      <c r="B6878" s="12">
        <f>IFERROR(__xludf.DUMMYFUNCTION("""COMPUTED_VALUE"""),45152.0)</f>
        <v>45152</v>
      </c>
      <c r="C6878" s="13">
        <f>IFERROR(__xludf.DUMMYFUNCTION("""COMPUTED_VALUE"""),0.5833333333333334)</f>
        <v>0.5833333333</v>
      </c>
      <c r="D6878" s="8">
        <f>IFERROR(__xludf.DUMMYFUNCTION("""COMPUTED_VALUE"""),1.29)</f>
        <v>1.29</v>
      </c>
      <c r="E6878" s="8" t="str">
        <f>IFERROR(__xludf.DUMMYFUNCTION("""COMPUTED_VALUE"""),"Real")</f>
        <v>Real</v>
      </c>
      <c r="G6878" s="8">
        <f t="shared" si="1"/>
        <v>8</v>
      </c>
      <c r="H6878" s="14">
        <f t="shared" si="2"/>
        <v>14</v>
      </c>
      <c r="I6878" s="15">
        <f t="shared" si="3"/>
        <v>14</v>
      </c>
    </row>
    <row r="6879">
      <c r="A6879" s="8" t="str">
        <f>IFERROR(__xludf.DUMMYFUNCTION("IF('(INGESTA)Datos_consumo_datadis'!A6879&lt;&gt;"""",SPLIT('(INGESTA)Datos_consumo_datadis'!A:A,"",""),"""")"),"ES0031408323131005HX0F")</f>
        <v>ES0031408323131005HX0F</v>
      </c>
      <c r="B6879" s="12">
        <f>IFERROR(__xludf.DUMMYFUNCTION("""COMPUTED_VALUE"""),45152.0)</f>
        <v>45152</v>
      </c>
      <c r="C6879" s="13">
        <f>IFERROR(__xludf.DUMMYFUNCTION("""COMPUTED_VALUE"""),0.625)</f>
        <v>0.625</v>
      </c>
      <c r="D6879" s="8">
        <f>IFERROR(__xludf.DUMMYFUNCTION("""COMPUTED_VALUE"""),0.758)</f>
        <v>0.758</v>
      </c>
      <c r="E6879" s="8" t="str">
        <f>IFERROR(__xludf.DUMMYFUNCTION("""COMPUTED_VALUE"""),"Real")</f>
        <v>Real</v>
      </c>
      <c r="G6879" s="8">
        <f t="shared" si="1"/>
        <v>8</v>
      </c>
      <c r="H6879" s="14">
        <f t="shared" si="2"/>
        <v>14</v>
      </c>
      <c r="I6879" s="15">
        <f t="shared" si="3"/>
        <v>15</v>
      </c>
    </row>
    <row r="6880">
      <c r="A6880" s="8" t="str">
        <f>IFERROR(__xludf.DUMMYFUNCTION("IF('(INGESTA)Datos_consumo_datadis'!A6880&lt;&gt;"""",SPLIT('(INGESTA)Datos_consumo_datadis'!A:A,"",""),"""")"),"ES0031408323131005HX0F")</f>
        <v>ES0031408323131005HX0F</v>
      </c>
      <c r="B6880" s="12">
        <f>IFERROR(__xludf.DUMMYFUNCTION("""COMPUTED_VALUE"""),45152.0)</f>
        <v>45152</v>
      </c>
      <c r="C6880" s="13">
        <f>IFERROR(__xludf.DUMMYFUNCTION("""COMPUTED_VALUE"""),0.6666666666666666)</f>
        <v>0.6666666667</v>
      </c>
      <c r="D6880" s="8">
        <f>IFERROR(__xludf.DUMMYFUNCTION("""COMPUTED_VALUE"""),1.168)</f>
        <v>1.168</v>
      </c>
      <c r="E6880" s="8" t="str">
        <f>IFERROR(__xludf.DUMMYFUNCTION("""COMPUTED_VALUE"""),"Real")</f>
        <v>Real</v>
      </c>
      <c r="G6880" s="8">
        <f t="shared" si="1"/>
        <v>8</v>
      </c>
      <c r="H6880" s="14">
        <f t="shared" si="2"/>
        <v>14</v>
      </c>
      <c r="I6880" s="15">
        <f t="shared" si="3"/>
        <v>16</v>
      </c>
    </row>
    <row r="6881">
      <c r="A6881" s="8" t="str">
        <f>IFERROR(__xludf.DUMMYFUNCTION("IF('(INGESTA)Datos_consumo_datadis'!A6881&lt;&gt;"""",SPLIT('(INGESTA)Datos_consumo_datadis'!A:A,"",""),"""")"),"ES0031408323131005HX0F")</f>
        <v>ES0031408323131005HX0F</v>
      </c>
      <c r="B6881" s="12">
        <f>IFERROR(__xludf.DUMMYFUNCTION("""COMPUTED_VALUE"""),45152.0)</f>
        <v>45152</v>
      </c>
      <c r="C6881" s="13">
        <f>IFERROR(__xludf.DUMMYFUNCTION("""COMPUTED_VALUE"""),0.7083333333333334)</f>
        <v>0.7083333333</v>
      </c>
      <c r="D6881" s="8">
        <f>IFERROR(__xludf.DUMMYFUNCTION("""COMPUTED_VALUE"""),2.509)</f>
        <v>2.509</v>
      </c>
      <c r="E6881" s="8" t="str">
        <f>IFERROR(__xludf.DUMMYFUNCTION("""COMPUTED_VALUE"""),"Real")</f>
        <v>Real</v>
      </c>
      <c r="G6881" s="8">
        <f t="shared" si="1"/>
        <v>8</v>
      </c>
      <c r="H6881" s="14">
        <f t="shared" si="2"/>
        <v>14</v>
      </c>
      <c r="I6881" s="15">
        <f t="shared" si="3"/>
        <v>17</v>
      </c>
    </row>
    <row r="6882">
      <c r="A6882" s="8" t="str">
        <f>IFERROR(__xludf.DUMMYFUNCTION("IF('(INGESTA)Datos_consumo_datadis'!A6882&lt;&gt;"""",SPLIT('(INGESTA)Datos_consumo_datadis'!A:A,"",""),"""")"),"ES0031408323131005HX0F")</f>
        <v>ES0031408323131005HX0F</v>
      </c>
      <c r="B6882" s="12">
        <f>IFERROR(__xludf.DUMMYFUNCTION("""COMPUTED_VALUE"""),45152.0)</f>
        <v>45152</v>
      </c>
      <c r="C6882" s="13">
        <f>IFERROR(__xludf.DUMMYFUNCTION("""COMPUTED_VALUE"""),0.75)</f>
        <v>0.75</v>
      </c>
      <c r="D6882" s="8">
        <f>IFERROR(__xludf.DUMMYFUNCTION("""COMPUTED_VALUE"""),2.561)</f>
        <v>2.561</v>
      </c>
      <c r="E6882" s="8" t="str">
        <f>IFERROR(__xludf.DUMMYFUNCTION("""COMPUTED_VALUE"""),"Real")</f>
        <v>Real</v>
      </c>
      <c r="G6882" s="8">
        <f t="shared" si="1"/>
        <v>8</v>
      </c>
      <c r="H6882" s="14">
        <f t="shared" si="2"/>
        <v>14</v>
      </c>
      <c r="I6882" s="15">
        <f t="shared" si="3"/>
        <v>18</v>
      </c>
    </row>
    <row r="6883">
      <c r="A6883" s="8" t="str">
        <f>IFERROR(__xludf.DUMMYFUNCTION("IF('(INGESTA)Datos_consumo_datadis'!A6883&lt;&gt;"""",SPLIT('(INGESTA)Datos_consumo_datadis'!A:A,"",""),"""")"),"ES0031408323131005HX0F")</f>
        <v>ES0031408323131005HX0F</v>
      </c>
      <c r="B6883" s="12">
        <f>IFERROR(__xludf.DUMMYFUNCTION("""COMPUTED_VALUE"""),45152.0)</f>
        <v>45152</v>
      </c>
      <c r="C6883" s="13">
        <f>IFERROR(__xludf.DUMMYFUNCTION("""COMPUTED_VALUE"""),0.7916666666666666)</f>
        <v>0.7916666667</v>
      </c>
      <c r="D6883" s="8">
        <f>IFERROR(__xludf.DUMMYFUNCTION("""COMPUTED_VALUE"""),2.455)</f>
        <v>2.455</v>
      </c>
      <c r="E6883" s="8" t="str">
        <f>IFERROR(__xludf.DUMMYFUNCTION("""COMPUTED_VALUE"""),"Real")</f>
        <v>Real</v>
      </c>
      <c r="G6883" s="8">
        <f t="shared" si="1"/>
        <v>8</v>
      </c>
      <c r="H6883" s="14">
        <f t="shared" si="2"/>
        <v>14</v>
      </c>
      <c r="I6883" s="15">
        <f t="shared" si="3"/>
        <v>19</v>
      </c>
    </row>
    <row r="6884">
      <c r="A6884" s="8" t="str">
        <f>IFERROR(__xludf.DUMMYFUNCTION("IF('(INGESTA)Datos_consumo_datadis'!A6884&lt;&gt;"""",SPLIT('(INGESTA)Datos_consumo_datadis'!A:A,"",""),"""")"),"ES0031408323131005HX0F")</f>
        <v>ES0031408323131005HX0F</v>
      </c>
      <c r="B6884" s="12">
        <f>IFERROR(__xludf.DUMMYFUNCTION("""COMPUTED_VALUE"""),45152.0)</f>
        <v>45152</v>
      </c>
      <c r="C6884" s="13">
        <f>IFERROR(__xludf.DUMMYFUNCTION("""COMPUTED_VALUE"""),0.8333333333333334)</f>
        <v>0.8333333333</v>
      </c>
      <c r="D6884" s="8">
        <f>IFERROR(__xludf.DUMMYFUNCTION("""COMPUTED_VALUE"""),2.462)</f>
        <v>2.462</v>
      </c>
      <c r="E6884" s="8" t="str">
        <f>IFERROR(__xludf.DUMMYFUNCTION("""COMPUTED_VALUE"""),"Real")</f>
        <v>Real</v>
      </c>
      <c r="G6884" s="8">
        <f t="shared" si="1"/>
        <v>8</v>
      </c>
      <c r="H6884" s="14">
        <f t="shared" si="2"/>
        <v>14</v>
      </c>
      <c r="I6884" s="15">
        <f t="shared" si="3"/>
        <v>20</v>
      </c>
    </row>
    <row r="6885">
      <c r="A6885" s="8" t="str">
        <f>IFERROR(__xludf.DUMMYFUNCTION("IF('(INGESTA)Datos_consumo_datadis'!A6885&lt;&gt;"""",SPLIT('(INGESTA)Datos_consumo_datadis'!A:A,"",""),"""")"),"ES0031408323131005HX0F")</f>
        <v>ES0031408323131005HX0F</v>
      </c>
      <c r="B6885" s="12">
        <f>IFERROR(__xludf.DUMMYFUNCTION("""COMPUTED_VALUE"""),45152.0)</f>
        <v>45152</v>
      </c>
      <c r="C6885" s="13">
        <f>IFERROR(__xludf.DUMMYFUNCTION("""COMPUTED_VALUE"""),0.875)</f>
        <v>0.875</v>
      </c>
      <c r="D6885" s="8">
        <f>IFERROR(__xludf.DUMMYFUNCTION("""COMPUTED_VALUE"""),1.563)</f>
        <v>1.563</v>
      </c>
      <c r="E6885" s="8" t="str">
        <f>IFERROR(__xludf.DUMMYFUNCTION("""COMPUTED_VALUE"""),"Real")</f>
        <v>Real</v>
      </c>
      <c r="G6885" s="8">
        <f t="shared" si="1"/>
        <v>8</v>
      </c>
      <c r="H6885" s="14">
        <f t="shared" si="2"/>
        <v>14</v>
      </c>
      <c r="I6885" s="15">
        <f t="shared" si="3"/>
        <v>21</v>
      </c>
    </row>
    <row r="6886">
      <c r="A6886" s="8" t="str">
        <f>IFERROR(__xludf.DUMMYFUNCTION("IF('(INGESTA)Datos_consumo_datadis'!A6886&lt;&gt;"""",SPLIT('(INGESTA)Datos_consumo_datadis'!A:A,"",""),"""")"),"ES0031408323131005HX0F")</f>
        <v>ES0031408323131005HX0F</v>
      </c>
      <c r="B6886" s="12">
        <f>IFERROR(__xludf.DUMMYFUNCTION("""COMPUTED_VALUE"""),45152.0)</f>
        <v>45152</v>
      </c>
      <c r="C6886" s="13">
        <f>IFERROR(__xludf.DUMMYFUNCTION("""COMPUTED_VALUE"""),0.9166666666666666)</f>
        <v>0.9166666667</v>
      </c>
      <c r="D6886" s="8">
        <f>IFERROR(__xludf.DUMMYFUNCTION("""COMPUTED_VALUE"""),0.481)</f>
        <v>0.481</v>
      </c>
      <c r="E6886" s="8" t="str">
        <f>IFERROR(__xludf.DUMMYFUNCTION("""COMPUTED_VALUE"""),"Real")</f>
        <v>Real</v>
      </c>
      <c r="G6886" s="8">
        <f t="shared" si="1"/>
        <v>8</v>
      </c>
      <c r="H6886" s="14">
        <f t="shared" si="2"/>
        <v>14</v>
      </c>
      <c r="I6886" s="15">
        <f t="shared" si="3"/>
        <v>22</v>
      </c>
    </row>
    <row r="6887">
      <c r="A6887" s="8" t="str">
        <f>IFERROR(__xludf.DUMMYFUNCTION("IF('(INGESTA)Datos_consumo_datadis'!A6887&lt;&gt;"""",SPLIT('(INGESTA)Datos_consumo_datadis'!A:A,"",""),"""")"),"ES0031408323131005HX0F")</f>
        <v>ES0031408323131005HX0F</v>
      </c>
      <c r="B6887" s="12">
        <f>IFERROR(__xludf.DUMMYFUNCTION("""COMPUTED_VALUE"""),45152.0)</f>
        <v>45152</v>
      </c>
      <c r="C6887" s="13">
        <f>IFERROR(__xludf.DUMMYFUNCTION("""COMPUTED_VALUE"""),0.9583333333333334)</f>
        <v>0.9583333333</v>
      </c>
      <c r="D6887" s="8">
        <f>IFERROR(__xludf.DUMMYFUNCTION("""COMPUTED_VALUE"""),0.416)</f>
        <v>0.416</v>
      </c>
      <c r="E6887" s="8" t="str">
        <f>IFERROR(__xludf.DUMMYFUNCTION("""COMPUTED_VALUE"""),"Real")</f>
        <v>Real</v>
      </c>
      <c r="G6887" s="8">
        <f t="shared" si="1"/>
        <v>8</v>
      </c>
      <c r="H6887" s="14">
        <f t="shared" si="2"/>
        <v>14</v>
      </c>
      <c r="I6887" s="15">
        <f t="shared" si="3"/>
        <v>23</v>
      </c>
    </row>
    <row r="6888">
      <c r="A6888" s="8" t="str">
        <f>IFERROR(__xludf.DUMMYFUNCTION("IF('(INGESTA)Datos_consumo_datadis'!A6888&lt;&gt;"""",SPLIT('(INGESTA)Datos_consumo_datadis'!A:A,"",""),"""")"),"ES0031408323131005HX0F")</f>
        <v>ES0031408323131005HX0F</v>
      </c>
      <c r="B6888" s="12">
        <f>IFERROR(__xludf.DUMMYFUNCTION("""COMPUTED_VALUE"""),45152.0)</f>
        <v>45152</v>
      </c>
      <c r="C6888" s="16">
        <f>IFERROR(__xludf.DUMMYFUNCTION("""COMPUTED_VALUE"""),1.0)</f>
        <v>1</v>
      </c>
      <c r="D6888" s="8">
        <f>IFERROR(__xludf.DUMMYFUNCTION("""COMPUTED_VALUE"""),0.416)</f>
        <v>0.416</v>
      </c>
      <c r="E6888" s="8" t="str">
        <f>IFERROR(__xludf.DUMMYFUNCTION("""COMPUTED_VALUE"""),"Real")</f>
        <v>Real</v>
      </c>
      <c r="G6888" s="8">
        <f t="shared" si="1"/>
        <v>8</v>
      </c>
      <c r="H6888" s="14">
        <f t="shared" si="2"/>
        <v>14</v>
      </c>
      <c r="I6888" s="15">
        <f t="shared" si="3"/>
        <v>0</v>
      </c>
    </row>
    <row r="6889">
      <c r="A6889" s="8" t="str">
        <f>IFERROR(__xludf.DUMMYFUNCTION("IF('(INGESTA)Datos_consumo_datadis'!A6889&lt;&gt;"""",SPLIT('(INGESTA)Datos_consumo_datadis'!A:A,"",""),"""")"),"ES0031408323131005HX0F")</f>
        <v>ES0031408323131005HX0F</v>
      </c>
      <c r="B6889" s="12">
        <f>IFERROR(__xludf.DUMMYFUNCTION("""COMPUTED_VALUE"""),45153.0)</f>
        <v>45153</v>
      </c>
      <c r="C6889" s="13">
        <f>IFERROR(__xludf.DUMMYFUNCTION("""COMPUTED_VALUE"""),0.041666666666666664)</f>
        <v>0.04166666667</v>
      </c>
      <c r="D6889" s="8">
        <f>IFERROR(__xludf.DUMMYFUNCTION("""COMPUTED_VALUE"""),0.369)</f>
        <v>0.369</v>
      </c>
      <c r="E6889" s="8" t="str">
        <f>IFERROR(__xludf.DUMMYFUNCTION("""COMPUTED_VALUE"""),"Real")</f>
        <v>Real</v>
      </c>
      <c r="G6889" s="8">
        <f t="shared" si="1"/>
        <v>8</v>
      </c>
      <c r="H6889" s="14">
        <f t="shared" si="2"/>
        <v>15</v>
      </c>
      <c r="I6889" s="15">
        <f t="shared" si="3"/>
        <v>1</v>
      </c>
    </row>
    <row r="6890">
      <c r="A6890" s="8" t="str">
        <f>IFERROR(__xludf.DUMMYFUNCTION("IF('(INGESTA)Datos_consumo_datadis'!A6890&lt;&gt;"""",SPLIT('(INGESTA)Datos_consumo_datadis'!A:A,"",""),"""")"),"ES0031408323131005HX0F")</f>
        <v>ES0031408323131005HX0F</v>
      </c>
      <c r="B6890" s="12">
        <f>IFERROR(__xludf.DUMMYFUNCTION("""COMPUTED_VALUE"""),45153.0)</f>
        <v>45153</v>
      </c>
      <c r="C6890" s="13">
        <f>IFERROR(__xludf.DUMMYFUNCTION("""COMPUTED_VALUE"""),0.08333333333333333)</f>
        <v>0.08333333333</v>
      </c>
      <c r="D6890" s="8">
        <f>IFERROR(__xludf.DUMMYFUNCTION("""COMPUTED_VALUE"""),0.685)</f>
        <v>0.685</v>
      </c>
      <c r="E6890" s="8" t="str">
        <f>IFERROR(__xludf.DUMMYFUNCTION("""COMPUTED_VALUE"""),"Real")</f>
        <v>Real</v>
      </c>
      <c r="G6890" s="8">
        <f t="shared" si="1"/>
        <v>8</v>
      </c>
      <c r="H6890" s="14">
        <f t="shared" si="2"/>
        <v>15</v>
      </c>
      <c r="I6890" s="15">
        <f t="shared" si="3"/>
        <v>2</v>
      </c>
    </row>
    <row r="6891">
      <c r="A6891" s="8" t="str">
        <f>IFERROR(__xludf.DUMMYFUNCTION("IF('(INGESTA)Datos_consumo_datadis'!A6891&lt;&gt;"""",SPLIT('(INGESTA)Datos_consumo_datadis'!A:A,"",""),"""")"),"ES0031408323131005HX0F")</f>
        <v>ES0031408323131005HX0F</v>
      </c>
      <c r="B6891" s="12">
        <f>IFERROR(__xludf.DUMMYFUNCTION("""COMPUTED_VALUE"""),45153.0)</f>
        <v>45153</v>
      </c>
      <c r="C6891" s="13">
        <f>IFERROR(__xludf.DUMMYFUNCTION("""COMPUTED_VALUE"""),0.125)</f>
        <v>0.125</v>
      </c>
      <c r="D6891" s="8">
        <f>IFERROR(__xludf.DUMMYFUNCTION("""COMPUTED_VALUE"""),0.417)</f>
        <v>0.417</v>
      </c>
      <c r="E6891" s="8" t="str">
        <f>IFERROR(__xludf.DUMMYFUNCTION("""COMPUTED_VALUE"""),"Real")</f>
        <v>Real</v>
      </c>
      <c r="G6891" s="8">
        <f t="shared" si="1"/>
        <v>8</v>
      </c>
      <c r="H6891" s="14">
        <f t="shared" si="2"/>
        <v>15</v>
      </c>
      <c r="I6891" s="15">
        <f t="shared" si="3"/>
        <v>3</v>
      </c>
    </row>
    <row r="6892">
      <c r="A6892" s="8" t="str">
        <f>IFERROR(__xludf.DUMMYFUNCTION("IF('(INGESTA)Datos_consumo_datadis'!A6892&lt;&gt;"""",SPLIT('(INGESTA)Datos_consumo_datadis'!A:A,"",""),"""")"),"ES0031408323131005HX0F")</f>
        <v>ES0031408323131005HX0F</v>
      </c>
      <c r="B6892" s="12">
        <f>IFERROR(__xludf.DUMMYFUNCTION("""COMPUTED_VALUE"""),45153.0)</f>
        <v>45153</v>
      </c>
      <c r="C6892" s="13">
        <f>IFERROR(__xludf.DUMMYFUNCTION("""COMPUTED_VALUE"""),0.16666666666666666)</f>
        <v>0.1666666667</v>
      </c>
      <c r="D6892" s="8">
        <f>IFERROR(__xludf.DUMMYFUNCTION("""COMPUTED_VALUE"""),0.153)</f>
        <v>0.153</v>
      </c>
      <c r="E6892" s="8" t="str">
        <f>IFERROR(__xludf.DUMMYFUNCTION("""COMPUTED_VALUE"""),"Real")</f>
        <v>Real</v>
      </c>
      <c r="G6892" s="8">
        <f t="shared" si="1"/>
        <v>8</v>
      </c>
      <c r="H6892" s="14">
        <f t="shared" si="2"/>
        <v>15</v>
      </c>
      <c r="I6892" s="15">
        <f t="shared" si="3"/>
        <v>4</v>
      </c>
    </row>
    <row r="6893">
      <c r="A6893" s="8" t="str">
        <f>IFERROR(__xludf.DUMMYFUNCTION("IF('(INGESTA)Datos_consumo_datadis'!A6893&lt;&gt;"""",SPLIT('(INGESTA)Datos_consumo_datadis'!A:A,"",""),"""")"),"ES0031408323131005HX0F")</f>
        <v>ES0031408323131005HX0F</v>
      </c>
      <c r="B6893" s="12">
        <f>IFERROR(__xludf.DUMMYFUNCTION("""COMPUTED_VALUE"""),45153.0)</f>
        <v>45153</v>
      </c>
      <c r="C6893" s="13">
        <f>IFERROR(__xludf.DUMMYFUNCTION("""COMPUTED_VALUE"""),0.20833333333333334)</f>
        <v>0.2083333333</v>
      </c>
      <c r="D6893" s="8">
        <f>IFERROR(__xludf.DUMMYFUNCTION("""COMPUTED_VALUE"""),0.063)</f>
        <v>0.063</v>
      </c>
      <c r="E6893" s="8" t="str">
        <f>IFERROR(__xludf.DUMMYFUNCTION("""COMPUTED_VALUE"""),"Real")</f>
        <v>Real</v>
      </c>
      <c r="G6893" s="8">
        <f t="shared" si="1"/>
        <v>8</v>
      </c>
      <c r="H6893" s="14">
        <f t="shared" si="2"/>
        <v>15</v>
      </c>
      <c r="I6893" s="15">
        <f t="shared" si="3"/>
        <v>5</v>
      </c>
    </row>
    <row r="6894">
      <c r="A6894" s="8" t="str">
        <f>IFERROR(__xludf.DUMMYFUNCTION("IF('(INGESTA)Datos_consumo_datadis'!A6894&lt;&gt;"""",SPLIT('(INGESTA)Datos_consumo_datadis'!A:A,"",""),"""")"),"ES0031408323131005HX0F")</f>
        <v>ES0031408323131005HX0F</v>
      </c>
      <c r="B6894" s="12">
        <f>IFERROR(__xludf.DUMMYFUNCTION("""COMPUTED_VALUE"""),45153.0)</f>
        <v>45153</v>
      </c>
      <c r="C6894" s="13">
        <f>IFERROR(__xludf.DUMMYFUNCTION("""COMPUTED_VALUE"""),0.25)</f>
        <v>0.25</v>
      </c>
      <c r="D6894" s="8">
        <f>IFERROR(__xludf.DUMMYFUNCTION("""COMPUTED_VALUE"""),0.103)</f>
        <v>0.103</v>
      </c>
      <c r="E6894" s="8" t="str">
        <f>IFERROR(__xludf.DUMMYFUNCTION("""COMPUTED_VALUE"""),"Real")</f>
        <v>Real</v>
      </c>
      <c r="G6894" s="8">
        <f t="shared" si="1"/>
        <v>8</v>
      </c>
      <c r="H6894" s="14">
        <f t="shared" si="2"/>
        <v>15</v>
      </c>
      <c r="I6894" s="15">
        <f t="shared" si="3"/>
        <v>6</v>
      </c>
    </row>
    <row r="6895">
      <c r="A6895" s="8" t="str">
        <f>IFERROR(__xludf.DUMMYFUNCTION("IF('(INGESTA)Datos_consumo_datadis'!A6895&lt;&gt;"""",SPLIT('(INGESTA)Datos_consumo_datadis'!A:A,"",""),"""")"),"ES0031408323131005HX0F")</f>
        <v>ES0031408323131005HX0F</v>
      </c>
      <c r="B6895" s="12">
        <f>IFERROR(__xludf.DUMMYFUNCTION("""COMPUTED_VALUE"""),45153.0)</f>
        <v>45153</v>
      </c>
      <c r="C6895" s="13">
        <f>IFERROR(__xludf.DUMMYFUNCTION("""COMPUTED_VALUE"""),0.2916666666666667)</f>
        <v>0.2916666667</v>
      </c>
      <c r="D6895" s="8">
        <f>IFERROR(__xludf.DUMMYFUNCTION("""COMPUTED_VALUE"""),0.159)</f>
        <v>0.159</v>
      </c>
      <c r="E6895" s="8" t="str">
        <f>IFERROR(__xludf.DUMMYFUNCTION("""COMPUTED_VALUE"""),"Real")</f>
        <v>Real</v>
      </c>
      <c r="G6895" s="8">
        <f t="shared" si="1"/>
        <v>8</v>
      </c>
      <c r="H6895" s="14">
        <f t="shared" si="2"/>
        <v>15</v>
      </c>
      <c r="I6895" s="15">
        <f t="shared" si="3"/>
        <v>7</v>
      </c>
    </row>
    <row r="6896">
      <c r="A6896" s="8" t="str">
        <f>IFERROR(__xludf.DUMMYFUNCTION("IF('(INGESTA)Datos_consumo_datadis'!A6896&lt;&gt;"""",SPLIT('(INGESTA)Datos_consumo_datadis'!A:A,"",""),"""")"),"ES0031408323131005HX0F")</f>
        <v>ES0031408323131005HX0F</v>
      </c>
      <c r="B6896" s="12">
        <f>IFERROR(__xludf.DUMMYFUNCTION("""COMPUTED_VALUE"""),45153.0)</f>
        <v>45153</v>
      </c>
      <c r="C6896" s="13">
        <f>IFERROR(__xludf.DUMMYFUNCTION("""COMPUTED_VALUE"""),0.3333333333333333)</f>
        <v>0.3333333333</v>
      </c>
      <c r="D6896" s="8">
        <f>IFERROR(__xludf.DUMMYFUNCTION("""COMPUTED_VALUE"""),0.15)</f>
        <v>0.15</v>
      </c>
      <c r="E6896" s="8" t="str">
        <f>IFERROR(__xludf.DUMMYFUNCTION("""COMPUTED_VALUE"""),"Real")</f>
        <v>Real</v>
      </c>
      <c r="G6896" s="8">
        <f t="shared" si="1"/>
        <v>8</v>
      </c>
      <c r="H6896" s="14">
        <f t="shared" si="2"/>
        <v>15</v>
      </c>
      <c r="I6896" s="15">
        <f t="shared" si="3"/>
        <v>8</v>
      </c>
    </row>
    <row r="6897">
      <c r="A6897" s="8" t="str">
        <f>IFERROR(__xludf.DUMMYFUNCTION("IF('(INGESTA)Datos_consumo_datadis'!A6897&lt;&gt;"""",SPLIT('(INGESTA)Datos_consumo_datadis'!A:A,"",""),"""")"),"ES0031408323131005HX0F")</f>
        <v>ES0031408323131005HX0F</v>
      </c>
      <c r="B6897" s="12">
        <f>IFERROR(__xludf.DUMMYFUNCTION("""COMPUTED_VALUE"""),45153.0)</f>
        <v>45153</v>
      </c>
      <c r="C6897" s="13">
        <f>IFERROR(__xludf.DUMMYFUNCTION("""COMPUTED_VALUE"""),0.375)</f>
        <v>0.375</v>
      </c>
      <c r="D6897" s="8">
        <f>IFERROR(__xludf.DUMMYFUNCTION("""COMPUTED_VALUE"""),0.452)</f>
        <v>0.452</v>
      </c>
      <c r="E6897" s="8" t="str">
        <f>IFERROR(__xludf.DUMMYFUNCTION("""COMPUTED_VALUE"""),"Real")</f>
        <v>Real</v>
      </c>
      <c r="G6897" s="8">
        <f t="shared" si="1"/>
        <v>8</v>
      </c>
      <c r="H6897" s="14">
        <f t="shared" si="2"/>
        <v>15</v>
      </c>
      <c r="I6897" s="15">
        <f t="shared" si="3"/>
        <v>9</v>
      </c>
    </row>
    <row r="6898">
      <c r="A6898" s="8" t="str">
        <f>IFERROR(__xludf.DUMMYFUNCTION("IF('(INGESTA)Datos_consumo_datadis'!A6898&lt;&gt;"""",SPLIT('(INGESTA)Datos_consumo_datadis'!A:A,"",""),"""")"),"ES0031408323131005HX0F")</f>
        <v>ES0031408323131005HX0F</v>
      </c>
      <c r="B6898" s="12">
        <f>IFERROR(__xludf.DUMMYFUNCTION("""COMPUTED_VALUE"""),45153.0)</f>
        <v>45153</v>
      </c>
      <c r="C6898" s="13">
        <f>IFERROR(__xludf.DUMMYFUNCTION("""COMPUTED_VALUE"""),0.4166666666666667)</f>
        <v>0.4166666667</v>
      </c>
      <c r="D6898" s="8">
        <f>IFERROR(__xludf.DUMMYFUNCTION("""COMPUTED_VALUE"""),0.4)</f>
        <v>0.4</v>
      </c>
      <c r="E6898" s="8" t="str">
        <f>IFERROR(__xludf.DUMMYFUNCTION("""COMPUTED_VALUE"""),"Real")</f>
        <v>Real</v>
      </c>
      <c r="G6898" s="8">
        <f t="shared" si="1"/>
        <v>8</v>
      </c>
      <c r="H6898" s="14">
        <f t="shared" si="2"/>
        <v>15</v>
      </c>
      <c r="I6898" s="15">
        <f t="shared" si="3"/>
        <v>10</v>
      </c>
    </row>
    <row r="6899">
      <c r="A6899" s="8" t="str">
        <f>IFERROR(__xludf.DUMMYFUNCTION("IF('(INGESTA)Datos_consumo_datadis'!A6899&lt;&gt;"""",SPLIT('(INGESTA)Datos_consumo_datadis'!A:A,"",""),"""")"),"ES0031408323131005HX0F")</f>
        <v>ES0031408323131005HX0F</v>
      </c>
      <c r="B6899" s="12">
        <f>IFERROR(__xludf.DUMMYFUNCTION("""COMPUTED_VALUE"""),45153.0)</f>
        <v>45153</v>
      </c>
      <c r="C6899" s="13">
        <f>IFERROR(__xludf.DUMMYFUNCTION("""COMPUTED_VALUE"""),0.4583333333333333)</f>
        <v>0.4583333333</v>
      </c>
      <c r="D6899" s="8">
        <f>IFERROR(__xludf.DUMMYFUNCTION("""COMPUTED_VALUE"""),0.895)</f>
        <v>0.895</v>
      </c>
      <c r="E6899" s="8" t="str">
        <f>IFERROR(__xludf.DUMMYFUNCTION("""COMPUTED_VALUE"""),"Real")</f>
        <v>Real</v>
      </c>
      <c r="G6899" s="8">
        <f t="shared" si="1"/>
        <v>8</v>
      </c>
      <c r="H6899" s="14">
        <f t="shared" si="2"/>
        <v>15</v>
      </c>
      <c r="I6899" s="15">
        <f t="shared" si="3"/>
        <v>11</v>
      </c>
    </row>
    <row r="6900">
      <c r="A6900" s="8" t="str">
        <f>IFERROR(__xludf.DUMMYFUNCTION("IF('(INGESTA)Datos_consumo_datadis'!A6900&lt;&gt;"""",SPLIT('(INGESTA)Datos_consumo_datadis'!A:A,"",""),"""")"),"ES0031408323131005HX0F")</f>
        <v>ES0031408323131005HX0F</v>
      </c>
      <c r="B6900" s="12">
        <f>IFERROR(__xludf.DUMMYFUNCTION("""COMPUTED_VALUE"""),45153.0)</f>
        <v>45153</v>
      </c>
      <c r="C6900" s="13">
        <f>IFERROR(__xludf.DUMMYFUNCTION("""COMPUTED_VALUE"""),0.5)</f>
        <v>0.5</v>
      </c>
      <c r="D6900" s="8">
        <f>IFERROR(__xludf.DUMMYFUNCTION("""COMPUTED_VALUE"""),0.421)</f>
        <v>0.421</v>
      </c>
      <c r="E6900" s="8" t="str">
        <f>IFERROR(__xludf.DUMMYFUNCTION("""COMPUTED_VALUE"""),"Real")</f>
        <v>Real</v>
      </c>
      <c r="G6900" s="8">
        <f t="shared" si="1"/>
        <v>8</v>
      </c>
      <c r="H6900" s="14">
        <f t="shared" si="2"/>
        <v>15</v>
      </c>
      <c r="I6900" s="15">
        <f t="shared" si="3"/>
        <v>12</v>
      </c>
    </row>
    <row r="6901">
      <c r="A6901" s="8" t="str">
        <f>IFERROR(__xludf.DUMMYFUNCTION("IF('(INGESTA)Datos_consumo_datadis'!A6901&lt;&gt;"""",SPLIT('(INGESTA)Datos_consumo_datadis'!A:A,"",""),"""")"),"ES0031408323131005HX0F")</f>
        <v>ES0031408323131005HX0F</v>
      </c>
      <c r="B6901" s="12">
        <f>IFERROR(__xludf.DUMMYFUNCTION("""COMPUTED_VALUE"""),45153.0)</f>
        <v>45153</v>
      </c>
      <c r="C6901" s="13">
        <f>IFERROR(__xludf.DUMMYFUNCTION("""COMPUTED_VALUE"""),0.5416666666666666)</f>
        <v>0.5416666667</v>
      </c>
      <c r="D6901" s="8">
        <f>IFERROR(__xludf.DUMMYFUNCTION("""COMPUTED_VALUE"""),0.282)</f>
        <v>0.282</v>
      </c>
      <c r="E6901" s="8" t="str">
        <f>IFERROR(__xludf.DUMMYFUNCTION("""COMPUTED_VALUE"""),"Real")</f>
        <v>Real</v>
      </c>
      <c r="G6901" s="8">
        <f t="shared" si="1"/>
        <v>8</v>
      </c>
      <c r="H6901" s="14">
        <f t="shared" si="2"/>
        <v>15</v>
      </c>
      <c r="I6901" s="15">
        <f t="shared" si="3"/>
        <v>13</v>
      </c>
    </row>
    <row r="6902">
      <c r="A6902" s="8" t="str">
        <f>IFERROR(__xludf.DUMMYFUNCTION("IF('(INGESTA)Datos_consumo_datadis'!A6902&lt;&gt;"""",SPLIT('(INGESTA)Datos_consumo_datadis'!A:A,"",""),"""")"),"ES0031408323131005HX0F")</f>
        <v>ES0031408323131005HX0F</v>
      </c>
      <c r="B6902" s="12">
        <f>IFERROR(__xludf.DUMMYFUNCTION("""COMPUTED_VALUE"""),45153.0)</f>
        <v>45153</v>
      </c>
      <c r="C6902" s="13">
        <f>IFERROR(__xludf.DUMMYFUNCTION("""COMPUTED_VALUE"""),0.5833333333333334)</f>
        <v>0.5833333333</v>
      </c>
      <c r="D6902" s="8">
        <f>IFERROR(__xludf.DUMMYFUNCTION("""COMPUTED_VALUE"""),0.125)</f>
        <v>0.125</v>
      </c>
      <c r="E6902" s="8" t="str">
        <f>IFERROR(__xludf.DUMMYFUNCTION("""COMPUTED_VALUE"""),"Real")</f>
        <v>Real</v>
      </c>
      <c r="G6902" s="8">
        <f t="shared" si="1"/>
        <v>8</v>
      </c>
      <c r="H6902" s="14">
        <f t="shared" si="2"/>
        <v>15</v>
      </c>
      <c r="I6902" s="15">
        <f t="shared" si="3"/>
        <v>14</v>
      </c>
    </row>
    <row r="6903">
      <c r="A6903" s="8" t="str">
        <f>IFERROR(__xludf.DUMMYFUNCTION("IF('(INGESTA)Datos_consumo_datadis'!A6903&lt;&gt;"""",SPLIT('(INGESTA)Datos_consumo_datadis'!A:A,"",""),"""")"),"ES0031408323131005HX0F")</f>
        <v>ES0031408323131005HX0F</v>
      </c>
      <c r="B6903" s="12">
        <f>IFERROR(__xludf.DUMMYFUNCTION("""COMPUTED_VALUE"""),45153.0)</f>
        <v>45153</v>
      </c>
      <c r="C6903" s="13">
        <f>IFERROR(__xludf.DUMMYFUNCTION("""COMPUTED_VALUE"""),0.625)</f>
        <v>0.625</v>
      </c>
      <c r="D6903" s="8">
        <f>IFERROR(__xludf.DUMMYFUNCTION("""COMPUTED_VALUE"""),0.753)</f>
        <v>0.753</v>
      </c>
      <c r="E6903" s="8" t="str">
        <f>IFERROR(__xludf.DUMMYFUNCTION("""COMPUTED_VALUE"""),"Real")</f>
        <v>Real</v>
      </c>
      <c r="G6903" s="8">
        <f t="shared" si="1"/>
        <v>8</v>
      </c>
      <c r="H6903" s="14">
        <f t="shared" si="2"/>
        <v>15</v>
      </c>
      <c r="I6903" s="15">
        <f t="shared" si="3"/>
        <v>15</v>
      </c>
    </row>
    <row r="6904">
      <c r="A6904" s="8" t="str">
        <f>IFERROR(__xludf.DUMMYFUNCTION("IF('(INGESTA)Datos_consumo_datadis'!A6904&lt;&gt;"""",SPLIT('(INGESTA)Datos_consumo_datadis'!A:A,"",""),"""")"),"ES0031408323131005HX0F")</f>
        <v>ES0031408323131005HX0F</v>
      </c>
      <c r="B6904" s="12">
        <f>IFERROR(__xludf.DUMMYFUNCTION("""COMPUTED_VALUE"""),45153.0)</f>
        <v>45153</v>
      </c>
      <c r="C6904" s="13">
        <f>IFERROR(__xludf.DUMMYFUNCTION("""COMPUTED_VALUE"""),0.6666666666666666)</f>
        <v>0.6666666667</v>
      </c>
      <c r="D6904" s="8">
        <f>IFERROR(__xludf.DUMMYFUNCTION("""COMPUTED_VALUE"""),2.536)</f>
        <v>2.536</v>
      </c>
      <c r="E6904" s="8" t="str">
        <f>IFERROR(__xludf.DUMMYFUNCTION("""COMPUTED_VALUE"""),"Real")</f>
        <v>Real</v>
      </c>
      <c r="G6904" s="8">
        <f t="shared" si="1"/>
        <v>8</v>
      </c>
      <c r="H6904" s="14">
        <f t="shared" si="2"/>
        <v>15</v>
      </c>
      <c r="I6904" s="15">
        <f t="shared" si="3"/>
        <v>16</v>
      </c>
    </row>
    <row r="6905">
      <c r="A6905" s="8" t="str">
        <f>IFERROR(__xludf.DUMMYFUNCTION("IF('(INGESTA)Datos_consumo_datadis'!A6905&lt;&gt;"""",SPLIT('(INGESTA)Datos_consumo_datadis'!A:A,"",""),"""")"),"ES0031408323131005HX0F")</f>
        <v>ES0031408323131005HX0F</v>
      </c>
      <c r="B6905" s="12">
        <f>IFERROR(__xludf.DUMMYFUNCTION("""COMPUTED_VALUE"""),45153.0)</f>
        <v>45153</v>
      </c>
      <c r="C6905" s="13">
        <f>IFERROR(__xludf.DUMMYFUNCTION("""COMPUTED_VALUE"""),0.7083333333333334)</f>
        <v>0.7083333333</v>
      </c>
      <c r="D6905" s="8">
        <f>IFERROR(__xludf.DUMMYFUNCTION("""COMPUTED_VALUE"""),2.53)</f>
        <v>2.53</v>
      </c>
      <c r="E6905" s="8" t="str">
        <f>IFERROR(__xludf.DUMMYFUNCTION("""COMPUTED_VALUE"""),"Real")</f>
        <v>Real</v>
      </c>
      <c r="G6905" s="8">
        <f t="shared" si="1"/>
        <v>8</v>
      </c>
      <c r="H6905" s="14">
        <f t="shared" si="2"/>
        <v>15</v>
      </c>
      <c r="I6905" s="15">
        <f t="shared" si="3"/>
        <v>17</v>
      </c>
    </row>
    <row r="6906">
      <c r="A6906" s="8" t="str">
        <f>IFERROR(__xludf.DUMMYFUNCTION("IF('(INGESTA)Datos_consumo_datadis'!A6906&lt;&gt;"""",SPLIT('(INGESTA)Datos_consumo_datadis'!A:A,"",""),"""")"),"ES0031408323131005HX0F")</f>
        <v>ES0031408323131005HX0F</v>
      </c>
      <c r="B6906" s="12">
        <f>IFERROR(__xludf.DUMMYFUNCTION("""COMPUTED_VALUE"""),45153.0)</f>
        <v>45153</v>
      </c>
      <c r="C6906" s="13">
        <f>IFERROR(__xludf.DUMMYFUNCTION("""COMPUTED_VALUE"""),0.75)</f>
        <v>0.75</v>
      </c>
      <c r="D6906" s="8">
        <f>IFERROR(__xludf.DUMMYFUNCTION("""COMPUTED_VALUE"""),2.139)</f>
        <v>2.139</v>
      </c>
      <c r="E6906" s="8" t="str">
        <f>IFERROR(__xludf.DUMMYFUNCTION("""COMPUTED_VALUE"""),"Real")</f>
        <v>Real</v>
      </c>
      <c r="G6906" s="8">
        <f t="shared" si="1"/>
        <v>8</v>
      </c>
      <c r="H6906" s="14">
        <f t="shared" si="2"/>
        <v>15</v>
      </c>
      <c r="I6906" s="15">
        <f t="shared" si="3"/>
        <v>18</v>
      </c>
    </row>
    <row r="6907">
      <c r="A6907" s="8" t="str">
        <f>IFERROR(__xludf.DUMMYFUNCTION("IF('(INGESTA)Datos_consumo_datadis'!A6907&lt;&gt;"""",SPLIT('(INGESTA)Datos_consumo_datadis'!A:A,"",""),"""")"),"ES0031408323131005HX0F")</f>
        <v>ES0031408323131005HX0F</v>
      </c>
      <c r="B6907" s="12">
        <f>IFERROR(__xludf.DUMMYFUNCTION("""COMPUTED_VALUE"""),45153.0)</f>
        <v>45153</v>
      </c>
      <c r="C6907" s="13">
        <f>IFERROR(__xludf.DUMMYFUNCTION("""COMPUTED_VALUE"""),0.7916666666666666)</f>
        <v>0.7916666667</v>
      </c>
      <c r="D6907" s="8">
        <f>IFERROR(__xludf.DUMMYFUNCTION("""COMPUTED_VALUE"""),0.379)</f>
        <v>0.379</v>
      </c>
      <c r="E6907" s="8" t="str">
        <f>IFERROR(__xludf.DUMMYFUNCTION("""COMPUTED_VALUE"""),"Real")</f>
        <v>Real</v>
      </c>
      <c r="G6907" s="8">
        <f t="shared" si="1"/>
        <v>8</v>
      </c>
      <c r="H6907" s="14">
        <f t="shared" si="2"/>
        <v>15</v>
      </c>
      <c r="I6907" s="15">
        <f t="shared" si="3"/>
        <v>19</v>
      </c>
    </row>
    <row r="6908">
      <c r="A6908" s="8" t="str">
        <f>IFERROR(__xludf.DUMMYFUNCTION("IF('(INGESTA)Datos_consumo_datadis'!A6908&lt;&gt;"""",SPLIT('(INGESTA)Datos_consumo_datadis'!A:A,"",""),"""")"),"ES0031408323131005HX0F")</f>
        <v>ES0031408323131005HX0F</v>
      </c>
      <c r="B6908" s="12">
        <f>IFERROR(__xludf.DUMMYFUNCTION("""COMPUTED_VALUE"""),45153.0)</f>
        <v>45153</v>
      </c>
      <c r="C6908" s="13">
        <f>IFERROR(__xludf.DUMMYFUNCTION("""COMPUTED_VALUE"""),0.8333333333333334)</f>
        <v>0.8333333333</v>
      </c>
      <c r="D6908" s="8">
        <f>IFERROR(__xludf.DUMMYFUNCTION("""COMPUTED_VALUE"""),0.142)</f>
        <v>0.142</v>
      </c>
      <c r="E6908" s="8" t="str">
        <f>IFERROR(__xludf.DUMMYFUNCTION("""COMPUTED_VALUE"""),"Real")</f>
        <v>Real</v>
      </c>
      <c r="G6908" s="8">
        <f t="shared" si="1"/>
        <v>8</v>
      </c>
      <c r="H6908" s="14">
        <f t="shared" si="2"/>
        <v>15</v>
      </c>
      <c r="I6908" s="15">
        <f t="shared" si="3"/>
        <v>20</v>
      </c>
    </row>
    <row r="6909">
      <c r="A6909" s="8" t="str">
        <f>IFERROR(__xludf.DUMMYFUNCTION("IF('(INGESTA)Datos_consumo_datadis'!A6909&lt;&gt;"""",SPLIT('(INGESTA)Datos_consumo_datadis'!A:A,"",""),"""")"),"ES0031408323131005HX0F")</f>
        <v>ES0031408323131005HX0F</v>
      </c>
      <c r="B6909" s="12">
        <f>IFERROR(__xludf.DUMMYFUNCTION("""COMPUTED_VALUE"""),45153.0)</f>
        <v>45153</v>
      </c>
      <c r="C6909" s="13">
        <f>IFERROR(__xludf.DUMMYFUNCTION("""COMPUTED_VALUE"""),0.875)</f>
        <v>0.875</v>
      </c>
      <c r="D6909" s="8">
        <f>IFERROR(__xludf.DUMMYFUNCTION("""COMPUTED_VALUE"""),0.538)</f>
        <v>0.538</v>
      </c>
      <c r="E6909" s="8" t="str">
        <f>IFERROR(__xludf.DUMMYFUNCTION("""COMPUTED_VALUE"""),"Real")</f>
        <v>Real</v>
      </c>
      <c r="G6909" s="8">
        <f t="shared" si="1"/>
        <v>8</v>
      </c>
      <c r="H6909" s="14">
        <f t="shared" si="2"/>
        <v>15</v>
      </c>
      <c r="I6909" s="15">
        <f t="shared" si="3"/>
        <v>21</v>
      </c>
    </row>
    <row r="6910">
      <c r="A6910" s="8" t="str">
        <f>IFERROR(__xludf.DUMMYFUNCTION("IF('(INGESTA)Datos_consumo_datadis'!A6910&lt;&gt;"""",SPLIT('(INGESTA)Datos_consumo_datadis'!A:A,"",""),"""")"),"ES0031408323131005HX0F")</f>
        <v>ES0031408323131005HX0F</v>
      </c>
      <c r="B6910" s="12">
        <f>IFERROR(__xludf.DUMMYFUNCTION("""COMPUTED_VALUE"""),45153.0)</f>
        <v>45153</v>
      </c>
      <c r="C6910" s="13">
        <f>IFERROR(__xludf.DUMMYFUNCTION("""COMPUTED_VALUE"""),0.9166666666666666)</f>
        <v>0.9166666667</v>
      </c>
      <c r="D6910" s="8">
        <f>IFERROR(__xludf.DUMMYFUNCTION("""COMPUTED_VALUE"""),0.678)</f>
        <v>0.678</v>
      </c>
      <c r="E6910" s="8" t="str">
        <f>IFERROR(__xludf.DUMMYFUNCTION("""COMPUTED_VALUE"""),"Real")</f>
        <v>Real</v>
      </c>
      <c r="G6910" s="8">
        <f t="shared" si="1"/>
        <v>8</v>
      </c>
      <c r="H6910" s="14">
        <f t="shared" si="2"/>
        <v>15</v>
      </c>
      <c r="I6910" s="15">
        <f t="shared" si="3"/>
        <v>22</v>
      </c>
    </row>
    <row r="6911">
      <c r="A6911" s="8" t="str">
        <f>IFERROR(__xludf.DUMMYFUNCTION("IF('(INGESTA)Datos_consumo_datadis'!A6911&lt;&gt;"""",SPLIT('(INGESTA)Datos_consumo_datadis'!A:A,"",""),"""")"),"ES0031408323131005HX0F")</f>
        <v>ES0031408323131005HX0F</v>
      </c>
      <c r="B6911" s="12">
        <f>IFERROR(__xludf.DUMMYFUNCTION("""COMPUTED_VALUE"""),45153.0)</f>
        <v>45153</v>
      </c>
      <c r="C6911" s="13">
        <f>IFERROR(__xludf.DUMMYFUNCTION("""COMPUTED_VALUE"""),0.9583333333333334)</f>
        <v>0.9583333333</v>
      </c>
      <c r="D6911" s="8">
        <f>IFERROR(__xludf.DUMMYFUNCTION("""COMPUTED_VALUE"""),0.865)</f>
        <v>0.865</v>
      </c>
      <c r="E6911" s="8" t="str">
        <f>IFERROR(__xludf.DUMMYFUNCTION("""COMPUTED_VALUE"""),"Real")</f>
        <v>Real</v>
      </c>
      <c r="G6911" s="8">
        <f t="shared" si="1"/>
        <v>8</v>
      </c>
      <c r="H6911" s="14">
        <f t="shared" si="2"/>
        <v>15</v>
      </c>
      <c r="I6911" s="15">
        <f t="shared" si="3"/>
        <v>23</v>
      </c>
    </row>
    <row r="6912">
      <c r="A6912" s="8" t="str">
        <f>IFERROR(__xludf.DUMMYFUNCTION("IF('(INGESTA)Datos_consumo_datadis'!A6912&lt;&gt;"""",SPLIT('(INGESTA)Datos_consumo_datadis'!A:A,"",""),"""")"),"ES0031408323131005HX0F")</f>
        <v>ES0031408323131005HX0F</v>
      </c>
      <c r="B6912" s="12">
        <f>IFERROR(__xludf.DUMMYFUNCTION("""COMPUTED_VALUE"""),45153.0)</f>
        <v>45153</v>
      </c>
      <c r="C6912" s="16">
        <f>IFERROR(__xludf.DUMMYFUNCTION("""COMPUTED_VALUE"""),1.0)</f>
        <v>1</v>
      </c>
      <c r="D6912" s="8">
        <f>IFERROR(__xludf.DUMMYFUNCTION("""COMPUTED_VALUE"""),2.319)</f>
        <v>2.319</v>
      </c>
      <c r="E6912" s="8" t="str">
        <f>IFERROR(__xludf.DUMMYFUNCTION("""COMPUTED_VALUE"""),"Real")</f>
        <v>Real</v>
      </c>
      <c r="G6912" s="8">
        <f t="shared" si="1"/>
        <v>8</v>
      </c>
      <c r="H6912" s="14">
        <f t="shared" si="2"/>
        <v>15</v>
      </c>
      <c r="I6912" s="15">
        <f t="shared" si="3"/>
        <v>0</v>
      </c>
    </row>
    <row r="6913">
      <c r="A6913" s="8" t="str">
        <f>IFERROR(__xludf.DUMMYFUNCTION("IF('(INGESTA)Datos_consumo_datadis'!A6913&lt;&gt;"""",SPLIT('(INGESTA)Datos_consumo_datadis'!A:A,"",""),"""")"),"ES0031408323131005HX0F")</f>
        <v>ES0031408323131005HX0F</v>
      </c>
      <c r="B6913" s="12">
        <f>IFERROR(__xludf.DUMMYFUNCTION("""COMPUTED_VALUE"""),45154.0)</f>
        <v>45154</v>
      </c>
      <c r="C6913" s="13">
        <f>IFERROR(__xludf.DUMMYFUNCTION("""COMPUTED_VALUE"""),0.041666666666666664)</f>
        <v>0.04166666667</v>
      </c>
      <c r="D6913" s="8">
        <f>IFERROR(__xludf.DUMMYFUNCTION("""COMPUTED_VALUE"""),0.498)</f>
        <v>0.498</v>
      </c>
      <c r="E6913" s="8" t="str">
        <f>IFERROR(__xludf.DUMMYFUNCTION("""COMPUTED_VALUE"""),"Real")</f>
        <v>Real</v>
      </c>
      <c r="G6913" s="8">
        <f t="shared" si="1"/>
        <v>8</v>
      </c>
      <c r="H6913" s="14">
        <f t="shared" si="2"/>
        <v>16</v>
      </c>
      <c r="I6913" s="15">
        <f t="shared" si="3"/>
        <v>1</v>
      </c>
    </row>
    <row r="6914">
      <c r="A6914" s="8" t="str">
        <f>IFERROR(__xludf.DUMMYFUNCTION("IF('(INGESTA)Datos_consumo_datadis'!A6914&lt;&gt;"""",SPLIT('(INGESTA)Datos_consumo_datadis'!A:A,"",""),"""")"),"ES0031408323131005HX0F")</f>
        <v>ES0031408323131005HX0F</v>
      </c>
      <c r="B6914" s="12">
        <f>IFERROR(__xludf.DUMMYFUNCTION("""COMPUTED_VALUE"""),45154.0)</f>
        <v>45154</v>
      </c>
      <c r="C6914" s="13">
        <f>IFERROR(__xludf.DUMMYFUNCTION("""COMPUTED_VALUE"""),0.08333333333333333)</f>
        <v>0.08333333333</v>
      </c>
      <c r="D6914" s="8">
        <f>IFERROR(__xludf.DUMMYFUNCTION("""COMPUTED_VALUE"""),0.241)</f>
        <v>0.241</v>
      </c>
      <c r="E6914" s="8" t="str">
        <f>IFERROR(__xludf.DUMMYFUNCTION("""COMPUTED_VALUE"""),"Real")</f>
        <v>Real</v>
      </c>
      <c r="G6914" s="8">
        <f t="shared" si="1"/>
        <v>8</v>
      </c>
      <c r="H6914" s="14">
        <f t="shared" si="2"/>
        <v>16</v>
      </c>
      <c r="I6914" s="15">
        <f t="shared" si="3"/>
        <v>2</v>
      </c>
    </row>
    <row r="6915">
      <c r="A6915" s="8" t="str">
        <f>IFERROR(__xludf.DUMMYFUNCTION("IF('(INGESTA)Datos_consumo_datadis'!A6915&lt;&gt;"""",SPLIT('(INGESTA)Datos_consumo_datadis'!A:A,"",""),"""")"),"ES0031408323131005HX0F")</f>
        <v>ES0031408323131005HX0F</v>
      </c>
      <c r="B6915" s="12">
        <f>IFERROR(__xludf.DUMMYFUNCTION("""COMPUTED_VALUE"""),45154.0)</f>
        <v>45154</v>
      </c>
      <c r="C6915" s="13">
        <f>IFERROR(__xludf.DUMMYFUNCTION("""COMPUTED_VALUE"""),0.125)</f>
        <v>0.125</v>
      </c>
      <c r="D6915" s="8">
        <f>IFERROR(__xludf.DUMMYFUNCTION("""COMPUTED_VALUE"""),0.146)</f>
        <v>0.146</v>
      </c>
      <c r="E6915" s="8" t="str">
        <f>IFERROR(__xludf.DUMMYFUNCTION("""COMPUTED_VALUE"""),"Real")</f>
        <v>Real</v>
      </c>
      <c r="G6915" s="8">
        <f t="shared" si="1"/>
        <v>8</v>
      </c>
      <c r="H6915" s="14">
        <f t="shared" si="2"/>
        <v>16</v>
      </c>
      <c r="I6915" s="15">
        <f t="shared" si="3"/>
        <v>3</v>
      </c>
    </row>
    <row r="6916">
      <c r="A6916" s="8" t="str">
        <f>IFERROR(__xludf.DUMMYFUNCTION("IF('(INGESTA)Datos_consumo_datadis'!A6916&lt;&gt;"""",SPLIT('(INGESTA)Datos_consumo_datadis'!A:A,"",""),"""")"),"ES0031408323131005HX0F")</f>
        <v>ES0031408323131005HX0F</v>
      </c>
      <c r="B6916" s="12">
        <f>IFERROR(__xludf.DUMMYFUNCTION("""COMPUTED_VALUE"""),45154.0)</f>
        <v>45154</v>
      </c>
      <c r="C6916" s="13">
        <f>IFERROR(__xludf.DUMMYFUNCTION("""COMPUTED_VALUE"""),0.16666666666666666)</f>
        <v>0.1666666667</v>
      </c>
      <c r="D6916" s="8">
        <f>IFERROR(__xludf.DUMMYFUNCTION("""COMPUTED_VALUE"""),0.399)</f>
        <v>0.399</v>
      </c>
      <c r="E6916" s="8" t="str">
        <f>IFERROR(__xludf.DUMMYFUNCTION("""COMPUTED_VALUE"""),"Real")</f>
        <v>Real</v>
      </c>
      <c r="G6916" s="8">
        <f t="shared" si="1"/>
        <v>8</v>
      </c>
      <c r="H6916" s="14">
        <f t="shared" si="2"/>
        <v>16</v>
      </c>
      <c r="I6916" s="15">
        <f t="shared" si="3"/>
        <v>4</v>
      </c>
    </row>
    <row r="6917">
      <c r="A6917" s="8" t="str">
        <f>IFERROR(__xludf.DUMMYFUNCTION("IF('(INGESTA)Datos_consumo_datadis'!A6917&lt;&gt;"""",SPLIT('(INGESTA)Datos_consumo_datadis'!A:A,"",""),"""")"),"ES0031408323131005HX0F")</f>
        <v>ES0031408323131005HX0F</v>
      </c>
      <c r="B6917" s="12">
        <f>IFERROR(__xludf.DUMMYFUNCTION("""COMPUTED_VALUE"""),45154.0)</f>
        <v>45154</v>
      </c>
      <c r="C6917" s="13">
        <f>IFERROR(__xludf.DUMMYFUNCTION("""COMPUTED_VALUE"""),0.20833333333333334)</f>
        <v>0.2083333333</v>
      </c>
      <c r="D6917" s="8">
        <f>IFERROR(__xludf.DUMMYFUNCTION("""COMPUTED_VALUE"""),0.118)</f>
        <v>0.118</v>
      </c>
      <c r="E6917" s="8" t="str">
        <f>IFERROR(__xludf.DUMMYFUNCTION("""COMPUTED_VALUE"""),"Real")</f>
        <v>Real</v>
      </c>
      <c r="G6917" s="8">
        <f t="shared" si="1"/>
        <v>8</v>
      </c>
      <c r="H6917" s="14">
        <f t="shared" si="2"/>
        <v>16</v>
      </c>
      <c r="I6917" s="15">
        <f t="shared" si="3"/>
        <v>5</v>
      </c>
    </row>
    <row r="6918">
      <c r="A6918" s="8" t="str">
        <f>IFERROR(__xludf.DUMMYFUNCTION("IF('(INGESTA)Datos_consumo_datadis'!A6918&lt;&gt;"""",SPLIT('(INGESTA)Datos_consumo_datadis'!A:A,"",""),"""")"),"ES0031408323131005HX0F")</f>
        <v>ES0031408323131005HX0F</v>
      </c>
      <c r="B6918" s="12">
        <f>IFERROR(__xludf.DUMMYFUNCTION("""COMPUTED_VALUE"""),45154.0)</f>
        <v>45154</v>
      </c>
      <c r="C6918" s="13">
        <f>IFERROR(__xludf.DUMMYFUNCTION("""COMPUTED_VALUE"""),0.25)</f>
        <v>0.25</v>
      </c>
      <c r="D6918" s="8">
        <f>IFERROR(__xludf.DUMMYFUNCTION("""COMPUTED_VALUE"""),0.079)</f>
        <v>0.079</v>
      </c>
      <c r="E6918" s="8" t="str">
        <f>IFERROR(__xludf.DUMMYFUNCTION("""COMPUTED_VALUE"""),"Real")</f>
        <v>Real</v>
      </c>
      <c r="G6918" s="8">
        <f t="shared" si="1"/>
        <v>8</v>
      </c>
      <c r="H6918" s="14">
        <f t="shared" si="2"/>
        <v>16</v>
      </c>
      <c r="I6918" s="15">
        <f t="shared" si="3"/>
        <v>6</v>
      </c>
    </row>
    <row r="6919">
      <c r="A6919" s="8" t="str">
        <f>IFERROR(__xludf.DUMMYFUNCTION("IF('(INGESTA)Datos_consumo_datadis'!A6919&lt;&gt;"""",SPLIT('(INGESTA)Datos_consumo_datadis'!A:A,"",""),"""")"),"ES0031408323131005HX0F")</f>
        <v>ES0031408323131005HX0F</v>
      </c>
      <c r="B6919" s="12">
        <f>IFERROR(__xludf.DUMMYFUNCTION("""COMPUTED_VALUE"""),45154.0)</f>
        <v>45154</v>
      </c>
      <c r="C6919" s="13">
        <f>IFERROR(__xludf.DUMMYFUNCTION("""COMPUTED_VALUE"""),0.2916666666666667)</f>
        <v>0.2916666667</v>
      </c>
      <c r="D6919" s="8">
        <f>IFERROR(__xludf.DUMMYFUNCTION("""COMPUTED_VALUE"""),0.084)</f>
        <v>0.084</v>
      </c>
      <c r="E6919" s="8" t="str">
        <f>IFERROR(__xludf.DUMMYFUNCTION("""COMPUTED_VALUE"""),"Real")</f>
        <v>Real</v>
      </c>
      <c r="G6919" s="8">
        <f t="shared" si="1"/>
        <v>8</v>
      </c>
      <c r="H6919" s="14">
        <f t="shared" si="2"/>
        <v>16</v>
      </c>
      <c r="I6919" s="15">
        <f t="shared" si="3"/>
        <v>7</v>
      </c>
    </row>
    <row r="6920">
      <c r="A6920" s="8" t="str">
        <f>IFERROR(__xludf.DUMMYFUNCTION("IF('(INGESTA)Datos_consumo_datadis'!A6920&lt;&gt;"""",SPLIT('(INGESTA)Datos_consumo_datadis'!A:A,"",""),"""")"),"ES0031408323131005HX0F")</f>
        <v>ES0031408323131005HX0F</v>
      </c>
      <c r="B6920" s="12">
        <f>IFERROR(__xludf.DUMMYFUNCTION("""COMPUTED_VALUE"""),45154.0)</f>
        <v>45154</v>
      </c>
      <c r="C6920" s="13">
        <f>IFERROR(__xludf.DUMMYFUNCTION("""COMPUTED_VALUE"""),0.3333333333333333)</f>
        <v>0.3333333333</v>
      </c>
      <c r="D6920" s="8">
        <f>IFERROR(__xludf.DUMMYFUNCTION("""COMPUTED_VALUE"""),0.126)</f>
        <v>0.126</v>
      </c>
      <c r="E6920" s="8" t="str">
        <f>IFERROR(__xludf.DUMMYFUNCTION("""COMPUTED_VALUE"""),"Real")</f>
        <v>Real</v>
      </c>
      <c r="G6920" s="8">
        <f t="shared" si="1"/>
        <v>8</v>
      </c>
      <c r="H6920" s="14">
        <f t="shared" si="2"/>
        <v>16</v>
      </c>
      <c r="I6920" s="15">
        <f t="shared" si="3"/>
        <v>8</v>
      </c>
    </row>
    <row r="6921">
      <c r="A6921" s="8" t="str">
        <f>IFERROR(__xludf.DUMMYFUNCTION("IF('(INGESTA)Datos_consumo_datadis'!A6921&lt;&gt;"""",SPLIT('(INGESTA)Datos_consumo_datadis'!A:A,"",""),"""")"),"ES0031408323131005HX0F")</f>
        <v>ES0031408323131005HX0F</v>
      </c>
      <c r="B6921" s="12">
        <f>IFERROR(__xludf.DUMMYFUNCTION("""COMPUTED_VALUE"""),45154.0)</f>
        <v>45154</v>
      </c>
      <c r="C6921" s="13">
        <f>IFERROR(__xludf.DUMMYFUNCTION("""COMPUTED_VALUE"""),0.375)</f>
        <v>0.375</v>
      </c>
      <c r="D6921" s="8">
        <f>IFERROR(__xludf.DUMMYFUNCTION("""COMPUTED_VALUE"""),0.197)</f>
        <v>0.197</v>
      </c>
      <c r="E6921" s="8" t="str">
        <f>IFERROR(__xludf.DUMMYFUNCTION("""COMPUTED_VALUE"""),"Real")</f>
        <v>Real</v>
      </c>
      <c r="G6921" s="8">
        <f t="shared" si="1"/>
        <v>8</v>
      </c>
      <c r="H6921" s="14">
        <f t="shared" si="2"/>
        <v>16</v>
      </c>
      <c r="I6921" s="15">
        <f t="shared" si="3"/>
        <v>9</v>
      </c>
    </row>
    <row r="6922">
      <c r="A6922" s="8" t="str">
        <f>IFERROR(__xludf.DUMMYFUNCTION("IF('(INGESTA)Datos_consumo_datadis'!A6922&lt;&gt;"""",SPLIT('(INGESTA)Datos_consumo_datadis'!A:A,"",""),"""")"),"ES0031408323131005HX0F")</f>
        <v>ES0031408323131005HX0F</v>
      </c>
      <c r="B6922" s="12">
        <f>IFERROR(__xludf.DUMMYFUNCTION("""COMPUTED_VALUE"""),45154.0)</f>
        <v>45154</v>
      </c>
      <c r="C6922" s="13">
        <f>IFERROR(__xludf.DUMMYFUNCTION("""COMPUTED_VALUE"""),0.4166666666666667)</f>
        <v>0.4166666667</v>
      </c>
      <c r="D6922" s="8">
        <f>IFERROR(__xludf.DUMMYFUNCTION("""COMPUTED_VALUE"""),0.23)</f>
        <v>0.23</v>
      </c>
      <c r="E6922" s="8" t="str">
        <f>IFERROR(__xludf.DUMMYFUNCTION("""COMPUTED_VALUE"""),"Real")</f>
        <v>Real</v>
      </c>
      <c r="G6922" s="8">
        <f t="shared" si="1"/>
        <v>8</v>
      </c>
      <c r="H6922" s="14">
        <f t="shared" si="2"/>
        <v>16</v>
      </c>
      <c r="I6922" s="15">
        <f t="shared" si="3"/>
        <v>10</v>
      </c>
    </row>
    <row r="6923">
      <c r="A6923" s="8" t="str">
        <f>IFERROR(__xludf.DUMMYFUNCTION("IF('(INGESTA)Datos_consumo_datadis'!A6923&lt;&gt;"""",SPLIT('(INGESTA)Datos_consumo_datadis'!A:A,"",""),"""")"),"ES0031408323131005HX0F")</f>
        <v>ES0031408323131005HX0F</v>
      </c>
      <c r="B6923" s="12">
        <f>IFERROR(__xludf.DUMMYFUNCTION("""COMPUTED_VALUE"""),45154.0)</f>
        <v>45154</v>
      </c>
      <c r="C6923" s="13">
        <f>IFERROR(__xludf.DUMMYFUNCTION("""COMPUTED_VALUE"""),0.4583333333333333)</f>
        <v>0.4583333333</v>
      </c>
      <c r="D6923" s="8">
        <f>IFERROR(__xludf.DUMMYFUNCTION("""COMPUTED_VALUE"""),0.361)</f>
        <v>0.361</v>
      </c>
      <c r="E6923" s="8" t="str">
        <f>IFERROR(__xludf.DUMMYFUNCTION("""COMPUTED_VALUE"""),"Real")</f>
        <v>Real</v>
      </c>
      <c r="G6923" s="8">
        <f t="shared" si="1"/>
        <v>8</v>
      </c>
      <c r="H6923" s="14">
        <f t="shared" si="2"/>
        <v>16</v>
      </c>
      <c r="I6923" s="15">
        <f t="shared" si="3"/>
        <v>11</v>
      </c>
    </row>
    <row r="6924">
      <c r="A6924" s="8" t="str">
        <f>IFERROR(__xludf.DUMMYFUNCTION("IF('(INGESTA)Datos_consumo_datadis'!A6924&lt;&gt;"""",SPLIT('(INGESTA)Datos_consumo_datadis'!A:A,"",""),"""")"),"ES0031408323131005HX0F")</f>
        <v>ES0031408323131005HX0F</v>
      </c>
      <c r="B6924" s="12">
        <f>IFERROR(__xludf.DUMMYFUNCTION("""COMPUTED_VALUE"""),45154.0)</f>
        <v>45154</v>
      </c>
      <c r="C6924" s="13">
        <f>IFERROR(__xludf.DUMMYFUNCTION("""COMPUTED_VALUE"""),0.5)</f>
        <v>0.5</v>
      </c>
      <c r="D6924" s="8">
        <f>IFERROR(__xludf.DUMMYFUNCTION("""COMPUTED_VALUE"""),0.126)</f>
        <v>0.126</v>
      </c>
      <c r="E6924" s="8" t="str">
        <f>IFERROR(__xludf.DUMMYFUNCTION("""COMPUTED_VALUE"""),"Real")</f>
        <v>Real</v>
      </c>
      <c r="G6924" s="8">
        <f t="shared" si="1"/>
        <v>8</v>
      </c>
      <c r="H6924" s="14">
        <f t="shared" si="2"/>
        <v>16</v>
      </c>
      <c r="I6924" s="15">
        <f t="shared" si="3"/>
        <v>12</v>
      </c>
    </row>
    <row r="6925">
      <c r="A6925" s="8" t="str">
        <f>IFERROR(__xludf.DUMMYFUNCTION("IF('(INGESTA)Datos_consumo_datadis'!A6925&lt;&gt;"""",SPLIT('(INGESTA)Datos_consumo_datadis'!A:A,"",""),"""")"),"ES0031408323131005HX0F")</f>
        <v>ES0031408323131005HX0F</v>
      </c>
      <c r="B6925" s="12">
        <f>IFERROR(__xludf.DUMMYFUNCTION("""COMPUTED_VALUE"""),45154.0)</f>
        <v>45154</v>
      </c>
      <c r="C6925" s="13">
        <f>IFERROR(__xludf.DUMMYFUNCTION("""COMPUTED_VALUE"""),0.5416666666666666)</f>
        <v>0.5416666667</v>
      </c>
      <c r="D6925" s="8">
        <f>IFERROR(__xludf.DUMMYFUNCTION("""COMPUTED_VALUE"""),0.355)</f>
        <v>0.355</v>
      </c>
      <c r="E6925" s="8" t="str">
        <f>IFERROR(__xludf.DUMMYFUNCTION("""COMPUTED_VALUE"""),"Real")</f>
        <v>Real</v>
      </c>
      <c r="G6925" s="8">
        <f t="shared" si="1"/>
        <v>8</v>
      </c>
      <c r="H6925" s="14">
        <f t="shared" si="2"/>
        <v>16</v>
      </c>
      <c r="I6925" s="15">
        <f t="shared" si="3"/>
        <v>13</v>
      </c>
    </row>
    <row r="6926">
      <c r="A6926" s="8" t="str">
        <f>IFERROR(__xludf.DUMMYFUNCTION("IF('(INGESTA)Datos_consumo_datadis'!A6926&lt;&gt;"""",SPLIT('(INGESTA)Datos_consumo_datadis'!A:A,"",""),"""")"),"ES0031408323131005HX0F")</f>
        <v>ES0031408323131005HX0F</v>
      </c>
      <c r="B6926" s="12">
        <f>IFERROR(__xludf.DUMMYFUNCTION("""COMPUTED_VALUE"""),45154.0)</f>
        <v>45154</v>
      </c>
      <c r="C6926" s="13">
        <f>IFERROR(__xludf.DUMMYFUNCTION("""COMPUTED_VALUE"""),0.5833333333333334)</f>
        <v>0.5833333333</v>
      </c>
      <c r="D6926" s="8">
        <f>IFERROR(__xludf.DUMMYFUNCTION("""COMPUTED_VALUE"""),0.483)</f>
        <v>0.483</v>
      </c>
      <c r="E6926" s="8" t="str">
        <f>IFERROR(__xludf.DUMMYFUNCTION("""COMPUTED_VALUE"""),"Real")</f>
        <v>Real</v>
      </c>
      <c r="G6926" s="8">
        <f t="shared" si="1"/>
        <v>8</v>
      </c>
      <c r="H6926" s="14">
        <f t="shared" si="2"/>
        <v>16</v>
      </c>
      <c r="I6926" s="15">
        <f t="shared" si="3"/>
        <v>14</v>
      </c>
    </row>
    <row r="6927">
      <c r="A6927" s="8" t="str">
        <f>IFERROR(__xludf.DUMMYFUNCTION("IF('(INGESTA)Datos_consumo_datadis'!A6927&lt;&gt;"""",SPLIT('(INGESTA)Datos_consumo_datadis'!A:A,"",""),"""")"),"ES0031408323131005HX0F")</f>
        <v>ES0031408323131005HX0F</v>
      </c>
      <c r="B6927" s="12">
        <f>IFERROR(__xludf.DUMMYFUNCTION("""COMPUTED_VALUE"""),45154.0)</f>
        <v>45154</v>
      </c>
      <c r="C6927" s="13">
        <f>IFERROR(__xludf.DUMMYFUNCTION("""COMPUTED_VALUE"""),0.625)</f>
        <v>0.625</v>
      </c>
      <c r="D6927" s="8">
        <f>IFERROR(__xludf.DUMMYFUNCTION("""COMPUTED_VALUE"""),0.524)</f>
        <v>0.524</v>
      </c>
      <c r="E6927" s="8" t="str">
        <f>IFERROR(__xludf.DUMMYFUNCTION("""COMPUTED_VALUE"""),"Real")</f>
        <v>Real</v>
      </c>
      <c r="G6927" s="8">
        <f t="shared" si="1"/>
        <v>8</v>
      </c>
      <c r="H6927" s="14">
        <f t="shared" si="2"/>
        <v>16</v>
      </c>
      <c r="I6927" s="15">
        <f t="shared" si="3"/>
        <v>15</v>
      </c>
    </row>
    <row r="6928">
      <c r="A6928" s="8" t="str">
        <f>IFERROR(__xludf.DUMMYFUNCTION("IF('(INGESTA)Datos_consumo_datadis'!A6928&lt;&gt;"""",SPLIT('(INGESTA)Datos_consumo_datadis'!A:A,"",""),"""")"),"ES0031408323131005HX0F")</f>
        <v>ES0031408323131005HX0F</v>
      </c>
      <c r="B6928" s="12">
        <f>IFERROR(__xludf.DUMMYFUNCTION("""COMPUTED_VALUE"""),45154.0)</f>
        <v>45154</v>
      </c>
      <c r="C6928" s="13">
        <f>IFERROR(__xludf.DUMMYFUNCTION("""COMPUTED_VALUE"""),0.6666666666666666)</f>
        <v>0.6666666667</v>
      </c>
      <c r="D6928" s="8">
        <f>IFERROR(__xludf.DUMMYFUNCTION("""COMPUTED_VALUE"""),0.759)</f>
        <v>0.759</v>
      </c>
      <c r="E6928" s="8" t="str">
        <f>IFERROR(__xludf.DUMMYFUNCTION("""COMPUTED_VALUE"""),"Real")</f>
        <v>Real</v>
      </c>
      <c r="G6928" s="8">
        <f t="shared" si="1"/>
        <v>8</v>
      </c>
      <c r="H6928" s="14">
        <f t="shared" si="2"/>
        <v>16</v>
      </c>
      <c r="I6928" s="15">
        <f t="shared" si="3"/>
        <v>16</v>
      </c>
    </row>
    <row r="6929">
      <c r="A6929" s="8" t="str">
        <f>IFERROR(__xludf.DUMMYFUNCTION("IF('(INGESTA)Datos_consumo_datadis'!A6929&lt;&gt;"""",SPLIT('(INGESTA)Datos_consumo_datadis'!A:A,"",""),"""")"),"ES0031408323131005HX0F")</f>
        <v>ES0031408323131005HX0F</v>
      </c>
      <c r="B6929" s="12">
        <f>IFERROR(__xludf.DUMMYFUNCTION("""COMPUTED_VALUE"""),45154.0)</f>
        <v>45154</v>
      </c>
      <c r="C6929" s="13">
        <f>IFERROR(__xludf.DUMMYFUNCTION("""COMPUTED_VALUE"""),0.7083333333333334)</f>
        <v>0.7083333333</v>
      </c>
      <c r="D6929" s="8">
        <f>IFERROR(__xludf.DUMMYFUNCTION("""COMPUTED_VALUE"""),0.14)</f>
        <v>0.14</v>
      </c>
      <c r="E6929" s="8" t="str">
        <f>IFERROR(__xludf.DUMMYFUNCTION("""COMPUTED_VALUE"""),"Real")</f>
        <v>Real</v>
      </c>
      <c r="G6929" s="8">
        <f t="shared" si="1"/>
        <v>8</v>
      </c>
      <c r="H6929" s="14">
        <f t="shared" si="2"/>
        <v>16</v>
      </c>
      <c r="I6929" s="15">
        <f t="shared" si="3"/>
        <v>17</v>
      </c>
    </row>
    <row r="6930">
      <c r="A6930" s="8" t="str">
        <f>IFERROR(__xludf.DUMMYFUNCTION("IF('(INGESTA)Datos_consumo_datadis'!A6930&lt;&gt;"""",SPLIT('(INGESTA)Datos_consumo_datadis'!A:A,"",""),"""")"),"ES0031408323131005HX0F")</f>
        <v>ES0031408323131005HX0F</v>
      </c>
      <c r="B6930" s="12">
        <f>IFERROR(__xludf.DUMMYFUNCTION("""COMPUTED_VALUE"""),45154.0)</f>
        <v>45154</v>
      </c>
      <c r="C6930" s="13">
        <f>IFERROR(__xludf.DUMMYFUNCTION("""COMPUTED_VALUE"""),0.75)</f>
        <v>0.75</v>
      </c>
      <c r="D6930" s="8">
        <f>IFERROR(__xludf.DUMMYFUNCTION("""COMPUTED_VALUE"""),0.136)</f>
        <v>0.136</v>
      </c>
      <c r="E6930" s="8" t="str">
        <f>IFERROR(__xludf.DUMMYFUNCTION("""COMPUTED_VALUE"""),"Real")</f>
        <v>Real</v>
      </c>
      <c r="G6930" s="8">
        <f t="shared" si="1"/>
        <v>8</v>
      </c>
      <c r="H6930" s="14">
        <f t="shared" si="2"/>
        <v>16</v>
      </c>
      <c r="I6930" s="15">
        <f t="shared" si="3"/>
        <v>18</v>
      </c>
    </row>
    <row r="6931">
      <c r="A6931" s="8" t="str">
        <f>IFERROR(__xludf.DUMMYFUNCTION("IF('(INGESTA)Datos_consumo_datadis'!A6931&lt;&gt;"""",SPLIT('(INGESTA)Datos_consumo_datadis'!A:A,"",""),"""")"),"ES0031408323131005HX0F")</f>
        <v>ES0031408323131005HX0F</v>
      </c>
      <c r="B6931" s="12">
        <f>IFERROR(__xludf.DUMMYFUNCTION("""COMPUTED_VALUE"""),45154.0)</f>
        <v>45154</v>
      </c>
      <c r="C6931" s="13">
        <f>IFERROR(__xludf.DUMMYFUNCTION("""COMPUTED_VALUE"""),0.7916666666666666)</f>
        <v>0.7916666667</v>
      </c>
      <c r="D6931" s="8">
        <f>IFERROR(__xludf.DUMMYFUNCTION("""COMPUTED_VALUE"""),0.122)</f>
        <v>0.122</v>
      </c>
      <c r="E6931" s="8" t="str">
        <f>IFERROR(__xludf.DUMMYFUNCTION("""COMPUTED_VALUE"""),"Real")</f>
        <v>Real</v>
      </c>
      <c r="G6931" s="8">
        <f t="shared" si="1"/>
        <v>8</v>
      </c>
      <c r="H6931" s="14">
        <f t="shared" si="2"/>
        <v>16</v>
      </c>
      <c r="I6931" s="15">
        <f t="shared" si="3"/>
        <v>19</v>
      </c>
    </row>
    <row r="6932">
      <c r="A6932" s="8" t="str">
        <f>IFERROR(__xludf.DUMMYFUNCTION("IF('(INGESTA)Datos_consumo_datadis'!A6932&lt;&gt;"""",SPLIT('(INGESTA)Datos_consumo_datadis'!A:A,"",""),"""")"),"ES0031408323131005HX0F")</f>
        <v>ES0031408323131005HX0F</v>
      </c>
      <c r="B6932" s="12">
        <f>IFERROR(__xludf.DUMMYFUNCTION("""COMPUTED_VALUE"""),45154.0)</f>
        <v>45154</v>
      </c>
      <c r="C6932" s="13">
        <f>IFERROR(__xludf.DUMMYFUNCTION("""COMPUTED_VALUE"""),0.8333333333333334)</f>
        <v>0.8333333333</v>
      </c>
      <c r="D6932" s="8">
        <f>IFERROR(__xludf.DUMMYFUNCTION("""COMPUTED_VALUE"""),0.815)</f>
        <v>0.815</v>
      </c>
      <c r="E6932" s="8" t="str">
        <f>IFERROR(__xludf.DUMMYFUNCTION("""COMPUTED_VALUE"""),"Real")</f>
        <v>Real</v>
      </c>
      <c r="G6932" s="8">
        <f t="shared" si="1"/>
        <v>8</v>
      </c>
      <c r="H6932" s="14">
        <f t="shared" si="2"/>
        <v>16</v>
      </c>
      <c r="I6932" s="15">
        <f t="shared" si="3"/>
        <v>20</v>
      </c>
    </row>
    <row r="6933">
      <c r="A6933" s="8" t="str">
        <f>IFERROR(__xludf.DUMMYFUNCTION("IF('(INGESTA)Datos_consumo_datadis'!A6933&lt;&gt;"""",SPLIT('(INGESTA)Datos_consumo_datadis'!A:A,"",""),"""")"),"ES0031408323131005HX0F")</f>
        <v>ES0031408323131005HX0F</v>
      </c>
      <c r="B6933" s="12">
        <f>IFERROR(__xludf.DUMMYFUNCTION("""COMPUTED_VALUE"""),45154.0)</f>
        <v>45154</v>
      </c>
      <c r="C6933" s="13">
        <f>IFERROR(__xludf.DUMMYFUNCTION("""COMPUTED_VALUE"""),0.875)</f>
        <v>0.875</v>
      </c>
      <c r="D6933" s="8">
        <f>IFERROR(__xludf.DUMMYFUNCTION("""COMPUTED_VALUE"""),0.126)</f>
        <v>0.126</v>
      </c>
      <c r="E6933" s="8" t="str">
        <f>IFERROR(__xludf.DUMMYFUNCTION("""COMPUTED_VALUE"""),"Real")</f>
        <v>Real</v>
      </c>
      <c r="G6933" s="8">
        <f t="shared" si="1"/>
        <v>8</v>
      </c>
      <c r="H6933" s="14">
        <f t="shared" si="2"/>
        <v>16</v>
      </c>
      <c r="I6933" s="15">
        <f t="shared" si="3"/>
        <v>21</v>
      </c>
    </row>
    <row r="6934">
      <c r="A6934" s="8" t="str">
        <f>IFERROR(__xludf.DUMMYFUNCTION("IF('(INGESTA)Datos_consumo_datadis'!A6934&lt;&gt;"""",SPLIT('(INGESTA)Datos_consumo_datadis'!A:A,"",""),"""")"),"ES0031408323131005HX0F")</f>
        <v>ES0031408323131005HX0F</v>
      </c>
      <c r="B6934" s="12">
        <f>IFERROR(__xludf.DUMMYFUNCTION("""COMPUTED_VALUE"""),45154.0)</f>
        <v>45154</v>
      </c>
      <c r="C6934" s="13">
        <f>IFERROR(__xludf.DUMMYFUNCTION("""COMPUTED_VALUE"""),0.9166666666666666)</f>
        <v>0.9166666667</v>
      </c>
      <c r="D6934" s="8">
        <f>IFERROR(__xludf.DUMMYFUNCTION("""COMPUTED_VALUE"""),0.124)</f>
        <v>0.124</v>
      </c>
      <c r="E6934" s="8" t="str">
        <f>IFERROR(__xludf.DUMMYFUNCTION("""COMPUTED_VALUE"""),"Real")</f>
        <v>Real</v>
      </c>
      <c r="G6934" s="8">
        <f t="shared" si="1"/>
        <v>8</v>
      </c>
      <c r="H6934" s="14">
        <f t="shared" si="2"/>
        <v>16</v>
      </c>
      <c r="I6934" s="15">
        <f t="shared" si="3"/>
        <v>22</v>
      </c>
    </row>
    <row r="6935">
      <c r="A6935" s="8" t="str">
        <f>IFERROR(__xludf.DUMMYFUNCTION("IF('(INGESTA)Datos_consumo_datadis'!A6935&lt;&gt;"""",SPLIT('(INGESTA)Datos_consumo_datadis'!A:A,"",""),"""")"),"ES0031408323131005HX0F")</f>
        <v>ES0031408323131005HX0F</v>
      </c>
      <c r="B6935" s="12">
        <f>IFERROR(__xludf.DUMMYFUNCTION("""COMPUTED_VALUE"""),45154.0)</f>
        <v>45154</v>
      </c>
      <c r="C6935" s="13">
        <f>IFERROR(__xludf.DUMMYFUNCTION("""COMPUTED_VALUE"""),0.9583333333333334)</f>
        <v>0.9583333333</v>
      </c>
      <c r="D6935" s="8">
        <f>IFERROR(__xludf.DUMMYFUNCTION("""COMPUTED_VALUE"""),0.319)</f>
        <v>0.319</v>
      </c>
      <c r="E6935" s="8" t="str">
        <f>IFERROR(__xludf.DUMMYFUNCTION("""COMPUTED_VALUE"""),"Real")</f>
        <v>Real</v>
      </c>
      <c r="G6935" s="8">
        <f t="shared" si="1"/>
        <v>8</v>
      </c>
      <c r="H6935" s="14">
        <f t="shared" si="2"/>
        <v>16</v>
      </c>
      <c r="I6935" s="15">
        <f t="shared" si="3"/>
        <v>23</v>
      </c>
    </row>
    <row r="6936">
      <c r="A6936" s="8" t="str">
        <f>IFERROR(__xludf.DUMMYFUNCTION("IF('(INGESTA)Datos_consumo_datadis'!A6936&lt;&gt;"""",SPLIT('(INGESTA)Datos_consumo_datadis'!A:A,"",""),"""")"),"ES0031408323131005HX0F")</f>
        <v>ES0031408323131005HX0F</v>
      </c>
      <c r="B6936" s="12">
        <f>IFERROR(__xludf.DUMMYFUNCTION("""COMPUTED_VALUE"""),45154.0)</f>
        <v>45154</v>
      </c>
      <c r="C6936" s="16">
        <f>IFERROR(__xludf.DUMMYFUNCTION("""COMPUTED_VALUE"""),1.0)</f>
        <v>1</v>
      </c>
      <c r="D6936" s="8">
        <f>IFERROR(__xludf.DUMMYFUNCTION("""COMPUTED_VALUE"""),2.365)</f>
        <v>2.365</v>
      </c>
      <c r="E6936" s="8" t="str">
        <f>IFERROR(__xludf.DUMMYFUNCTION("""COMPUTED_VALUE"""),"Real")</f>
        <v>Real</v>
      </c>
      <c r="G6936" s="8">
        <f t="shared" si="1"/>
        <v>8</v>
      </c>
      <c r="H6936" s="14">
        <f t="shared" si="2"/>
        <v>16</v>
      </c>
      <c r="I6936" s="15">
        <f t="shared" si="3"/>
        <v>0</v>
      </c>
    </row>
    <row r="6937">
      <c r="A6937" s="8" t="str">
        <f>IFERROR(__xludf.DUMMYFUNCTION("IF('(INGESTA)Datos_consumo_datadis'!A6937&lt;&gt;"""",SPLIT('(INGESTA)Datos_consumo_datadis'!A:A,"",""),"""")"),"ES0031408323131005HX0F")</f>
        <v>ES0031408323131005HX0F</v>
      </c>
      <c r="B6937" s="12">
        <f>IFERROR(__xludf.DUMMYFUNCTION("""COMPUTED_VALUE"""),45155.0)</f>
        <v>45155</v>
      </c>
      <c r="C6937" s="13">
        <f>IFERROR(__xludf.DUMMYFUNCTION("""COMPUTED_VALUE"""),0.041666666666666664)</f>
        <v>0.04166666667</v>
      </c>
      <c r="D6937" s="8">
        <f>IFERROR(__xludf.DUMMYFUNCTION("""COMPUTED_VALUE"""),2.347)</f>
        <v>2.347</v>
      </c>
      <c r="E6937" s="8" t="str">
        <f>IFERROR(__xludf.DUMMYFUNCTION("""COMPUTED_VALUE"""),"Real")</f>
        <v>Real</v>
      </c>
      <c r="G6937" s="8">
        <f t="shared" si="1"/>
        <v>8</v>
      </c>
      <c r="H6937" s="14">
        <f t="shared" si="2"/>
        <v>17</v>
      </c>
      <c r="I6937" s="15">
        <f t="shared" si="3"/>
        <v>1</v>
      </c>
    </row>
    <row r="6938">
      <c r="A6938" s="8" t="str">
        <f>IFERROR(__xludf.DUMMYFUNCTION("IF('(INGESTA)Datos_consumo_datadis'!A6938&lt;&gt;"""",SPLIT('(INGESTA)Datos_consumo_datadis'!A:A,"",""),"""")"),"ES0031408323131005HX0F")</f>
        <v>ES0031408323131005HX0F</v>
      </c>
      <c r="B6938" s="12">
        <f>IFERROR(__xludf.DUMMYFUNCTION("""COMPUTED_VALUE"""),45155.0)</f>
        <v>45155</v>
      </c>
      <c r="C6938" s="13">
        <f>IFERROR(__xludf.DUMMYFUNCTION("""COMPUTED_VALUE"""),0.08333333333333333)</f>
        <v>0.08333333333</v>
      </c>
      <c r="D6938" s="8">
        <f>IFERROR(__xludf.DUMMYFUNCTION("""COMPUTED_VALUE"""),1.797)</f>
        <v>1.797</v>
      </c>
      <c r="E6938" s="8" t="str">
        <f>IFERROR(__xludf.DUMMYFUNCTION("""COMPUTED_VALUE"""),"Real")</f>
        <v>Real</v>
      </c>
      <c r="G6938" s="8">
        <f t="shared" si="1"/>
        <v>8</v>
      </c>
      <c r="H6938" s="14">
        <f t="shared" si="2"/>
        <v>17</v>
      </c>
      <c r="I6938" s="15">
        <f t="shared" si="3"/>
        <v>2</v>
      </c>
    </row>
    <row r="6939">
      <c r="A6939" s="8" t="str">
        <f>IFERROR(__xludf.DUMMYFUNCTION("IF('(INGESTA)Datos_consumo_datadis'!A6939&lt;&gt;"""",SPLIT('(INGESTA)Datos_consumo_datadis'!A:A,"",""),"""")"),"ES0031408323131005HX0F")</f>
        <v>ES0031408323131005HX0F</v>
      </c>
      <c r="B6939" s="12">
        <f>IFERROR(__xludf.DUMMYFUNCTION("""COMPUTED_VALUE"""),45155.0)</f>
        <v>45155</v>
      </c>
      <c r="C6939" s="13">
        <f>IFERROR(__xludf.DUMMYFUNCTION("""COMPUTED_VALUE"""),0.125)</f>
        <v>0.125</v>
      </c>
      <c r="D6939" s="8">
        <f>IFERROR(__xludf.DUMMYFUNCTION("""COMPUTED_VALUE"""),0.412)</f>
        <v>0.412</v>
      </c>
      <c r="E6939" s="8" t="str">
        <f>IFERROR(__xludf.DUMMYFUNCTION("""COMPUTED_VALUE"""),"Real")</f>
        <v>Real</v>
      </c>
      <c r="G6939" s="8">
        <f t="shared" si="1"/>
        <v>8</v>
      </c>
      <c r="H6939" s="14">
        <f t="shared" si="2"/>
        <v>17</v>
      </c>
      <c r="I6939" s="15">
        <f t="shared" si="3"/>
        <v>3</v>
      </c>
    </row>
    <row r="6940">
      <c r="A6940" s="8" t="str">
        <f>IFERROR(__xludf.DUMMYFUNCTION("IF('(INGESTA)Datos_consumo_datadis'!A6940&lt;&gt;"""",SPLIT('(INGESTA)Datos_consumo_datadis'!A:A,"",""),"""")"),"ES0031408323131005HX0F")</f>
        <v>ES0031408323131005HX0F</v>
      </c>
      <c r="B6940" s="12">
        <f>IFERROR(__xludf.DUMMYFUNCTION("""COMPUTED_VALUE"""),45155.0)</f>
        <v>45155</v>
      </c>
      <c r="C6940" s="13">
        <f>IFERROR(__xludf.DUMMYFUNCTION("""COMPUTED_VALUE"""),0.16666666666666666)</f>
        <v>0.1666666667</v>
      </c>
      <c r="D6940" s="8">
        <f>IFERROR(__xludf.DUMMYFUNCTION("""COMPUTED_VALUE"""),0.096)</f>
        <v>0.096</v>
      </c>
      <c r="E6940" s="8" t="str">
        <f>IFERROR(__xludf.DUMMYFUNCTION("""COMPUTED_VALUE"""),"Real")</f>
        <v>Real</v>
      </c>
      <c r="G6940" s="8">
        <f t="shared" si="1"/>
        <v>8</v>
      </c>
      <c r="H6940" s="14">
        <f t="shared" si="2"/>
        <v>17</v>
      </c>
      <c r="I6940" s="15">
        <f t="shared" si="3"/>
        <v>4</v>
      </c>
    </row>
    <row r="6941">
      <c r="A6941" s="8" t="str">
        <f>IFERROR(__xludf.DUMMYFUNCTION("IF('(INGESTA)Datos_consumo_datadis'!A6941&lt;&gt;"""",SPLIT('(INGESTA)Datos_consumo_datadis'!A:A,"",""),"""")"),"ES0031408323131005HX0F")</f>
        <v>ES0031408323131005HX0F</v>
      </c>
      <c r="B6941" s="12">
        <f>IFERROR(__xludf.DUMMYFUNCTION("""COMPUTED_VALUE"""),45155.0)</f>
        <v>45155</v>
      </c>
      <c r="C6941" s="13">
        <f>IFERROR(__xludf.DUMMYFUNCTION("""COMPUTED_VALUE"""),0.20833333333333334)</f>
        <v>0.2083333333</v>
      </c>
      <c r="D6941" s="8">
        <f>IFERROR(__xludf.DUMMYFUNCTION("""COMPUTED_VALUE"""),0.079)</f>
        <v>0.079</v>
      </c>
      <c r="E6941" s="8" t="str">
        <f>IFERROR(__xludf.DUMMYFUNCTION("""COMPUTED_VALUE"""),"Real")</f>
        <v>Real</v>
      </c>
      <c r="G6941" s="8">
        <f t="shared" si="1"/>
        <v>8</v>
      </c>
      <c r="H6941" s="14">
        <f t="shared" si="2"/>
        <v>17</v>
      </c>
      <c r="I6941" s="15">
        <f t="shared" si="3"/>
        <v>5</v>
      </c>
    </row>
    <row r="6942">
      <c r="A6942" s="8" t="str">
        <f>IFERROR(__xludf.DUMMYFUNCTION("IF('(INGESTA)Datos_consumo_datadis'!A6942&lt;&gt;"""",SPLIT('(INGESTA)Datos_consumo_datadis'!A:A,"",""),"""")"),"ES0031408323131005HX0F")</f>
        <v>ES0031408323131005HX0F</v>
      </c>
      <c r="B6942" s="12">
        <f>IFERROR(__xludf.DUMMYFUNCTION("""COMPUTED_VALUE"""),45155.0)</f>
        <v>45155</v>
      </c>
      <c r="C6942" s="13">
        <f>IFERROR(__xludf.DUMMYFUNCTION("""COMPUTED_VALUE"""),0.25)</f>
        <v>0.25</v>
      </c>
      <c r="D6942" s="8">
        <f>IFERROR(__xludf.DUMMYFUNCTION("""COMPUTED_VALUE"""),0.063)</f>
        <v>0.063</v>
      </c>
      <c r="E6942" s="8" t="str">
        <f>IFERROR(__xludf.DUMMYFUNCTION("""COMPUTED_VALUE"""),"Real")</f>
        <v>Real</v>
      </c>
      <c r="G6942" s="8">
        <f t="shared" si="1"/>
        <v>8</v>
      </c>
      <c r="H6942" s="14">
        <f t="shared" si="2"/>
        <v>17</v>
      </c>
      <c r="I6942" s="15">
        <f t="shared" si="3"/>
        <v>6</v>
      </c>
    </row>
    <row r="6943">
      <c r="A6943" s="8" t="str">
        <f>IFERROR(__xludf.DUMMYFUNCTION("IF('(INGESTA)Datos_consumo_datadis'!A6943&lt;&gt;"""",SPLIT('(INGESTA)Datos_consumo_datadis'!A:A,"",""),"""")"),"ES0031408323131005HX0F")</f>
        <v>ES0031408323131005HX0F</v>
      </c>
      <c r="B6943" s="12">
        <f>IFERROR(__xludf.DUMMYFUNCTION("""COMPUTED_VALUE"""),45155.0)</f>
        <v>45155</v>
      </c>
      <c r="C6943" s="13">
        <f>IFERROR(__xludf.DUMMYFUNCTION("""COMPUTED_VALUE"""),0.2916666666666667)</f>
        <v>0.2916666667</v>
      </c>
      <c r="D6943" s="8">
        <f>IFERROR(__xludf.DUMMYFUNCTION("""COMPUTED_VALUE"""),0.209)</f>
        <v>0.209</v>
      </c>
      <c r="E6943" s="8" t="str">
        <f>IFERROR(__xludf.DUMMYFUNCTION("""COMPUTED_VALUE"""),"Real")</f>
        <v>Real</v>
      </c>
      <c r="G6943" s="8">
        <f t="shared" si="1"/>
        <v>8</v>
      </c>
      <c r="H6943" s="14">
        <f t="shared" si="2"/>
        <v>17</v>
      </c>
      <c r="I6943" s="15">
        <f t="shared" si="3"/>
        <v>7</v>
      </c>
    </row>
    <row r="6944">
      <c r="A6944" s="8" t="str">
        <f>IFERROR(__xludf.DUMMYFUNCTION("IF('(INGESTA)Datos_consumo_datadis'!A6944&lt;&gt;"""",SPLIT('(INGESTA)Datos_consumo_datadis'!A:A,"",""),"""")"),"ES0031408323131005HX0F")</f>
        <v>ES0031408323131005HX0F</v>
      </c>
      <c r="B6944" s="12">
        <f>IFERROR(__xludf.DUMMYFUNCTION("""COMPUTED_VALUE"""),45155.0)</f>
        <v>45155</v>
      </c>
      <c r="C6944" s="13">
        <f>IFERROR(__xludf.DUMMYFUNCTION("""COMPUTED_VALUE"""),0.3333333333333333)</f>
        <v>0.3333333333</v>
      </c>
      <c r="D6944" s="8">
        <f>IFERROR(__xludf.DUMMYFUNCTION("""COMPUTED_VALUE"""),0.143)</f>
        <v>0.143</v>
      </c>
      <c r="E6944" s="8" t="str">
        <f>IFERROR(__xludf.DUMMYFUNCTION("""COMPUTED_VALUE"""),"Real")</f>
        <v>Real</v>
      </c>
      <c r="G6944" s="8">
        <f t="shared" si="1"/>
        <v>8</v>
      </c>
      <c r="H6944" s="14">
        <f t="shared" si="2"/>
        <v>17</v>
      </c>
      <c r="I6944" s="15">
        <f t="shared" si="3"/>
        <v>8</v>
      </c>
    </row>
    <row r="6945">
      <c r="A6945" s="8" t="str">
        <f>IFERROR(__xludf.DUMMYFUNCTION("IF('(INGESTA)Datos_consumo_datadis'!A6945&lt;&gt;"""",SPLIT('(INGESTA)Datos_consumo_datadis'!A:A,"",""),"""")"),"ES0031408323131005HX0F")</f>
        <v>ES0031408323131005HX0F</v>
      </c>
      <c r="B6945" s="12">
        <f>IFERROR(__xludf.DUMMYFUNCTION("""COMPUTED_VALUE"""),45155.0)</f>
        <v>45155</v>
      </c>
      <c r="C6945" s="13">
        <f>IFERROR(__xludf.DUMMYFUNCTION("""COMPUTED_VALUE"""),0.375)</f>
        <v>0.375</v>
      </c>
      <c r="D6945" s="8">
        <f>IFERROR(__xludf.DUMMYFUNCTION("""COMPUTED_VALUE"""),0.3)</f>
        <v>0.3</v>
      </c>
      <c r="E6945" s="8" t="str">
        <f>IFERROR(__xludf.DUMMYFUNCTION("""COMPUTED_VALUE"""),"Real")</f>
        <v>Real</v>
      </c>
      <c r="G6945" s="8">
        <f t="shared" si="1"/>
        <v>8</v>
      </c>
      <c r="H6945" s="14">
        <f t="shared" si="2"/>
        <v>17</v>
      </c>
      <c r="I6945" s="15">
        <f t="shared" si="3"/>
        <v>9</v>
      </c>
    </row>
    <row r="6946">
      <c r="A6946" s="8" t="str">
        <f>IFERROR(__xludf.DUMMYFUNCTION("IF('(INGESTA)Datos_consumo_datadis'!A6946&lt;&gt;"""",SPLIT('(INGESTA)Datos_consumo_datadis'!A:A,"",""),"""")"),"ES0031408323131005HX0F")</f>
        <v>ES0031408323131005HX0F</v>
      </c>
      <c r="B6946" s="12">
        <f>IFERROR(__xludf.DUMMYFUNCTION("""COMPUTED_VALUE"""),45155.0)</f>
        <v>45155</v>
      </c>
      <c r="C6946" s="13">
        <f>IFERROR(__xludf.DUMMYFUNCTION("""COMPUTED_VALUE"""),0.4166666666666667)</f>
        <v>0.4166666667</v>
      </c>
      <c r="D6946" s="8">
        <f>IFERROR(__xludf.DUMMYFUNCTION("""COMPUTED_VALUE"""),0.631)</f>
        <v>0.631</v>
      </c>
      <c r="E6946" s="8" t="str">
        <f>IFERROR(__xludf.DUMMYFUNCTION("""COMPUTED_VALUE"""),"Real")</f>
        <v>Real</v>
      </c>
      <c r="G6946" s="8">
        <f t="shared" si="1"/>
        <v>8</v>
      </c>
      <c r="H6946" s="14">
        <f t="shared" si="2"/>
        <v>17</v>
      </c>
      <c r="I6946" s="15">
        <f t="shared" si="3"/>
        <v>10</v>
      </c>
    </row>
    <row r="6947">
      <c r="A6947" s="8" t="str">
        <f>IFERROR(__xludf.DUMMYFUNCTION("IF('(INGESTA)Datos_consumo_datadis'!A6947&lt;&gt;"""",SPLIT('(INGESTA)Datos_consumo_datadis'!A:A,"",""),"""")"),"ES0031408323131005HX0F")</f>
        <v>ES0031408323131005HX0F</v>
      </c>
      <c r="B6947" s="12">
        <f>IFERROR(__xludf.DUMMYFUNCTION("""COMPUTED_VALUE"""),45155.0)</f>
        <v>45155</v>
      </c>
      <c r="C6947" s="13">
        <f>IFERROR(__xludf.DUMMYFUNCTION("""COMPUTED_VALUE"""),0.4583333333333333)</f>
        <v>0.4583333333</v>
      </c>
      <c r="D6947" s="8">
        <f>IFERROR(__xludf.DUMMYFUNCTION("""COMPUTED_VALUE"""),0.315)</f>
        <v>0.315</v>
      </c>
      <c r="E6947" s="8" t="str">
        <f>IFERROR(__xludf.DUMMYFUNCTION("""COMPUTED_VALUE"""),"Real")</f>
        <v>Real</v>
      </c>
      <c r="G6947" s="8">
        <f t="shared" si="1"/>
        <v>8</v>
      </c>
      <c r="H6947" s="14">
        <f t="shared" si="2"/>
        <v>17</v>
      </c>
      <c r="I6947" s="15">
        <f t="shared" si="3"/>
        <v>11</v>
      </c>
    </row>
    <row r="6948">
      <c r="A6948" s="8" t="str">
        <f>IFERROR(__xludf.DUMMYFUNCTION("IF('(INGESTA)Datos_consumo_datadis'!A6948&lt;&gt;"""",SPLIT('(INGESTA)Datos_consumo_datadis'!A:A,"",""),"""")"),"ES0031408323131005HX0F")</f>
        <v>ES0031408323131005HX0F</v>
      </c>
      <c r="B6948" s="12">
        <f>IFERROR(__xludf.DUMMYFUNCTION("""COMPUTED_VALUE"""),45155.0)</f>
        <v>45155</v>
      </c>
      <c r="C6948" s="13">
        <f>IFERROR(__xludf.DUMMYFUNCTION("""COMPUTED_VALUE"""),0.5)</f>
        <v>0.5</v>
      </c>
      <c r="D6948" s="8">
        <f>IFERROR(__xludf.DUMMYFUNCTION("""COMPUTED_VALUE"""),0.468)</f>
        <v>0.468</v>
      </c>
      <c r="E6948" s="8" t="str">
        <f>IFERROR(__xludf.DUMMYFUNCTION("""COMPUTED_VALUE"""),"Real")</f>
        <v>Real</v>
      </c>
      <c r="G6948" s="8">
        <f t="shared" si="1"/>
        <v>8</v>
      </c>
      <c r="H6948" s="14">
        <f t="shared" si="2"/>
        <v>17</v>
      </c>
      <c r="I6948" s="15">
        <f t="shared" si="3"/>
        <v>12</v>
      </c>
    </row>
    <row r="6949">
      <c r="A6949" s="8" t="str">
        <f>IFERROR(__xludf.DUMMYFUNCTION("IF('(INGESTA)Datos_consumo_datadis'!A6949&lt;&gt;"""",SPLIT('(INGESTA)Datos_consumo_datadis'!A:A,"",""),"""")"),"ES0031408323131005HX0F")</f>
        <v>ES0031408323131005HX0F</v>
      </c>
      <c r="B6949" s="12">
        <f>IFERROR(__xludf.DUMMYFUNCTION("""COMPUTED_VALUE"""),45155.0)</f>
        <v>45155</v>
      </c>
      <c r="C6949" s="13">
        <f>IFERROR(__xludf.DUMMYFUNCTION("""COMPUTED_VALUE"""),0.5416666666666666)</f>
        <v>0.5416666667</v>
      </c>
      <c r="D6949" s="8">
        <f>IFERROR(__xludf.DUMMYFUNCTION("""COMPUTED_VALUE"""),0.587)</f>
        <v>0.587</v>
      </c>
      <c r="E6949" s="8" t="str">
        <f>IFERROR(__xludf.DUMMYFUNCTION("""COMPUTED_VALUE"""),"Real")</f>
        <v>Real</v>
      </c>
      <c r="G6949" s="8">
        <f t="shared" si="1"/>
        <v>8</v>
      </c>
      <c r="H6949" s="14">
        <f t="shared" si="2"/>
        <v>17</v>
      </c>
      <c r="I6949" s="15">
        <f t="shared" si="3"/>
        <v>13</v>
      </c>
    </row>
    <row r="6950">
      <c r="A6950" s="8" t="str">
        <f>IFERROR(__xludf.DUMMYFUNCTION("IF('(INGESTA)Datos_consumo_datadis'!A6950&lt;&gt;"""",SPLIT('(INGESTA)Datos_consumo_datadis'!A:A,"",""),"""")"),"ES0031408323131005HX0F")</f>
        <v>ES0031408323131005HX0F</v>
      </c>
      <c r="B6950" s="12">
        <f>IFERROR(__xludf.DUMMYFUNCTION("""COMPUTED_VALUE"""),45155.0)</f>
        <v>45155</v>
      </c>
      <c r="C6950" s="13">
        <f>IFERROR(__xludf.DUMMYFUNCTION("""COMPUTED_VALUE"""),0.5833333333333334)</f>
        <v>0.5833333333</v>
      </c>
      <c r="D6950" s="8">
        <f>IFERROR(__xludf.DUMMYFUNCTION("""COMPUTED_VALUE"""),0.086)</f>
        <v>0.086</v>
      </c>
      <c r="E6950" s="8" t="str">
        <f>IFERROR(__xludf.DUMMYFUNCTION("""COMPUTED_VALUE"""),"Real")</f>
        <v>Real</v>
      </c>
      <c r="G6950" s="8">
        <f t="shared" si="1"/>
        <v>8</v>
      </c>
      <c r="H6950" s="14">
        <f t="shared" si="2"/>
        <v>17</v>
      </c>
      <c r="I6950" s="15">
        <f t="shared" si="3"/>
        <v>14</v>
      </c>
    </row>
    <row r="6951">
      <c r="A6951" s="8" t="str">
        <f>IFERROR(__xludf.DUMMYFUNCTION("IF('(INGESTA)Datos_consumo_datadis'!A6951&lt;&gt;"""",SPLIT('(INGESTA)Datos_consumo_datadis'!A:A,"",""),"""")"),"ES0031408323131005HX0F")</f>
        <v>ES0031408323131005HX0F</v>
      </c>
      <c r="B6951" s="12">
        <f>IFERROR(__xludf.DUMMYFUNCTION("""COMPUTED_VALUE"""),45155.0)</f>
        <v>45155</v>
      </c>
      <c r="C6951" s="13">
        <f>IFERROR(__xludf.DUMMYFUNCTION("""COMPUTED_VALUE"""),0.625)</f>
        <v>0.625</v>
      </c>
      <c r="D6951" s="8">
        <f>IFERROR(__xludf.DUMMYFUNCTION("""COMPUTED_VALUE"""),0.134)</f>
        <v>0.134</v>
      </c>
      <c r="E6951" s="8" t="str">
        <f>IFERROR(__xludf.DUMMYFUNCTION("""COMPUTED_VALUE"""),"Real")</f>
        <v>Real</v>
      </c>
      <c r="G6951" s="8">
        <f t="shared" si="1"/>
        <v>8</v>
      </c>
      <c r="H6951" s="14">
        <f t="shared" si="2"/>
        <v>17</v>
      </c>
      <c r="I6951" s="15">
        <f t="shared" si="3"/>
        <v>15</v>
      </c>
    </row>
    <row r="6952">
      <c r="A6952" s="8" t="str">
        <f>IFERROR(__xludf.DUMMYFUNCTION("IF('(INGESTA)Datos_consumo_datadis'!A6952&lt;&gt;"""",SPLIT('(INGESTA)Datos_consumo_datadis'!A:A,"",""),"""")"),"ES0031408323131005HX0F")</f>
        <v>ES0031408323131005HX0F</v>
      </c>
      <c r="B6952" s="12">
        <f>IFERROR(__xludf.DUMMYFUNCTION("""COMPUTED_VALUE"""),45155.0)</f>
        <v>45155</v>
      </c>
      <c r="C6952" s="13">
        <f>IFERROR(__xludf.DUMMYFUNCTION("""COMPUTED_VALUE"""),0.6666666666666666)</f>
        <v>0.6666666667</v>
      </c>
      <c r="D6952" s="8">
        <f>IFERROR(__xludf.DUMMYFUNCTION("""COMPUTED_VALUE"""),0.129)</f>
        <v>0.129</v>
      </c>
      <c r="E6952" s="8" t="str">
        <f>IFERROR(__xludf.DUMMYFUNCTION("""COMPUTED_VALUE"""),"Real")</f>
        <v>Real</v>
      </c>
      <c r="G6952" s="8">
        <f t="shared" si="1"/>
        <v>8</v>
      </c>
      <c r="H6952" s="14">
        <f t="shared" si="2"/>
        <v>17</v>
      </c>
      <c r="I6952" s="15">
        <f t="shared" si="3"/>
        <v>16</v>
      </c>
    </row>
    <row r="6953">
      <c r="A6953" s="8" t="str">
        <f>IFERROR(__xludf.DUMMYFUNCTION("IF('(INGESTA)Datos_consumo_datadis'!A6953&lt;&gt;"""",SPLIT('(INGESTA)Datos_consumo_datadis'!A:A,"",""),"""")"),"ES0031408323131005HX0F")</f>
        <v>ES0031408323131005HX0F</v>
      </c>
      <c r="B6953" s="12">
        <f>IFERROR(__xludf.DUMMYFUNCTION("""COMPUTED_VALUE"""),45155.0)</f>
        <v>45155</v>
      </c>
      <c r="C6953" s="13">
        <f>IFERROR(__xludf.DUMMYFUNCTION("""COMPUTED_VALUE"""),0.7083333333333334)</f>
        <v>0.7083333333</v>
      </c>
      <c r="D6953" s="8">
        <f>IFERROR(__xludf.DUMMYFUNCTION("""COMPUTED_VALUE"""),0.131)</f>
        <v>0.131</v>
      </c>
      <c r="E6953" s="8" t="str">
        <f>IFERROR(__xludf.DUMMYFUNCTION("""COMPUTED_VALUE"""),"Real")</f>
        <v>Real</v>
      </c>
      <c r="G6953" s="8">
        <f t="shared" si="1"/>
        <v>8</v>
      </c>
      <c r="H6953" s="14">
        <f t="shared" si="2"/>
        <v>17</v>
      </c>
      <c r="I6953" s="15">
        <f t="shared" si="3"/>
        <v>17</v>
      </c>
    </row>
    <row r="6954">
      <c r="A6954" s="8" t="str">
        <f>IFERROR(__xludf.DUMMYFUNCTION("IF('(INGESTA)Datos_consumo_datadis'!A6954&lt;&gt;"""",SPLIT('(INGESTA)Datos_consumo_datadis'!A:A,"",""),"""")"),"ES0031408323131005HX0F")</f>
        <v>ES0031408323131005HX0F</v>
      </c>
      <c r="B6954" s="12">
        <f>IFERROR(__xludf.DUMMYFUNCTION("""COMPUTED_VALUE"""),45155.0)</f>
        <v>45155</v>
      </c>
      <c r="C6954" s="13">
        <f>IFERROR(__xludf.DUMMYFUNCTION("""COMPUTED_VALUE"""),0.75)</f>
        <v>0.75</v>
      </c>
      <c r="D6954" s="8">
        <f>IFERROR(__xludf.DUMMYFUNCTION("""COMPUTED_VALUE"""),2.201)</f>
        <v>2.201</v>
      </c>
      <c r="E6954" s="8" t="str">
        <f>IFERROR(__xludf.DUMMYFUNCTION("""COMPUTED_VALUE"""),"Real")</f>
        <v>Real</v>
      </c>
      <c r="G6954" s="8">
        <f t="shared" si="1"/>
        <v>8</v>
      </c>
      <c r="H6954" s="14">
        <f t="shared" si="2"/>
        <v>17</v>
      </c>
      <c r="I6954" s="15">
        <f t="shared" si="3"/>
        <v>18</v>
      </c>
    </row>
    <row r="6955">
      <c r="A6955" s="8" t="str">
        <f>IFERROR(__xludf.DUMMYFUNCTION("IF('(INGESTA)Datos_consumo_datadis'!A6955&lt;&gt;"""",SPLIT('(INGESTA)Datos_consumo_datadis'!A:A,"",""),"""")"),"ES0031408323131005HX0F")</f>
        <v>ES0031408323131005HX0F</v>
      </c>
      <c r="B6955" s="12">
        <f>IFERROR(__xludf.DUMMYFUNCTION("""COMPUTED_VALUE"""),45155.0)</f>
        <v>45155</v>
      </c>
      <c r="C6955" s="13">
        <f>IFERROR(__xludf.DUMMYFUNCTION("""COMPUTED_VALUE"""),0.7916666666666666)</f>
        <v>0.7916666667</v>
      </c>
      <c r="D6955" s="8">
        <f>IFERROR(__xludf.DUMMYFUNCTION("""COMPUTED_VALUE"""),1.178)</f>
        <v>1.178</v>
      </c>
      <c r="E6955" s="8" t="str">
        <f>IFERROR(__xludf.DUMMYFUNCTION("""COMPUTED_VALUE"""),"Real")</f>
        <v>Real</v>
      </c>
      <c r="G6955" s="8">
        <f t="shared" si="1"/>
        <v>8</v>
      </c>
      <c r="H6955" s="14">
        <f t="shared" si="2"/>
        <v>17</v>
      </c>
      <c r="I6955" s="15">
        <f t="shared" si="3"/>
        <v>19</v>
      </c>
    </row>
    <row r="6956">
      <c r="A6956" s="8" t="str">
        <f>IFERROR(__xludf.DUMMYFUNCTION("IF('(INGESTA)Datos_consumo_datadis'!A6956&lt;&gt;"""",SPLIT('(INGESTA)Datos_consumo_datadis'!A:A,"",""),"""")"),"ES0031408323131005HX0F")</f>
        <v>ES0031408323131005HX0F</v>
      </c>
      <c r="B6956" s="12">
        <f>IFERROR(__xludf.DUMMYFUNCTION("""COMPUTED_VALUE"""),45155.0)</f>
        <v>45155</v>
      </c>
      <c r="C6956" s="13">
        <f>IFERROR(__xludf.DUMMYFUNCTION("""COMPUTED_VALUE"""),0.8333333333333334)</f>
        <v>0.8333333333</v>
      </c>
      <c r="D6956" s="8">
        <f>IFERROR(__xludf.DUMMYFUNCTION("""COMPUTED_VALUE"""),0.449)</f>
        <v>0.449</v>
      </c>
      <c r="E6956" s="8" t="str">
        <f>IFERROR(__xludf.DUMMYFUNCTION("""COMPUTED_VALUE"""),"Real")</f>
        <v>Real</v>
      </c>
      <c r="G6956" s="8">
        <f t="shared" si="1"/>
        <v>8</v>
      </c>
      <c r="H6956" s="14">
        <f t="shared" si="2"/>
        <v>17</v>
      </c>
      <c r="I6956" s="15">
        <f t="shared" si="3"/>
        <v>20</v>
      </c>
    </row>
    <row r="6957">
      <c r="A6957" s="8" t="str">
        <f>IFERROR(__xludf.DUMMYFUNCTION("IF('(INGESTA)Datos_consumo_datadis'!A6957&lt;&gt;"""",SPLIT('(INGESTA)Datos_consumo_datadis'!A:A,"",""),"""")"),"ES0031408323131005HX0F")</f>
        <v>ES0031408323131005HX0F</v>
      </c>
      <c r="B6957" s="12">
        <f>IFERROR(__xludf.DUMMYFUNCTION("""COMPUTED_VALUE"""),45155.0)</f>
        <v>45155</v>
      </c>
      <c r="C6957" s="13">
        <f>IFERROR(__xludf.DUMMYFUNCTION("""COMPUTED_VALUE"""),0.875)</f>
        <v>0.875</v>
      </c>
      <c r="D6957" s="8">
        <f>IFERROR(__xludf.DUMMYFUNCTION("""COMPUTED_VALUE"""),0.547)</f>
        <v>0.547</v>
      </c>
      <c r="E6957" s="8" t="str">
        <f>IFERROR(__xludf.DUMMYFUNCTION("""COMPUTED_VALUE"""),"Real")</f>
        <v>Real</v>
      </c>
      <c r="G6957" s="8">
        <f t="shared" si="1"/>
        <v>8</v>
      </c>
      <c r="H6957" s="14">
        <f t="shared" si="2"/>
        <v>17</v>
      </c>
      <c r="I6957" s="15">
        <f t="shared" si="3"/>
        <v>21</v>
      </c>
    </row>
    <row r="6958">
      <c r="A6958" s="8" t="str">
        <f>IFERROR(__xludf.DUMMYFUNCTION("IF('(INGESTA)Datos_consumo_datadis'!A6958&lt;&gt;"""",SPLIT('(INGESTA)Datos_consumo_datadis'!A:A,"",""),"""")"),"ES0031408323131005HX0F")</f>
        <v>ES0031408323131005HX0F</v>
      </c>
      <c r="B6958" s="12">
        <f>IFERROR(__xludf.DUMMYFUNCTION("""COMPUTED_VALUE"""),45155.0)</f>
        <v>45155</v>
      </c>
      <c r="C6958" s="13">
        <f>IFERROR(__xludf.DUMMYFUNCTION("""COMPUTED_VALUE"""),0.9166666666666666)</f>
        <v>0.9166666667</v>
      </c>
      <c r="D6958" s="8">
        <f>IFERROR(__xludf.DUMMYFUNCTION("""COMPUTED_VALUE"""),0.187)</f>
        <v>0.187</v>
      </c>
      <c r="E6958" s="8" t="str">
        <f>IFERROR(__xludf.DUMMYFUNCTION("""COMPUTED_VALUE"""),"Real")</f>
        <v>Real</v>
      </c>
      <c r="G6958" s="8">
        <f t="shared" si="1"/>
        <v>8</v>
      </c>
      <c r="H6958" s="14">
        <f t="shared" si="2"/>
        <v>17</v>
      </c>
      <c r="I6958" s="15">
        <f t="shared" si="3"/>
        <v>22</v>
      </c>
    </row>
    <row r="6959">
      <c r="A6959" s="8" t="str">
        <f>IFERROR(__xludf.DUMMYFUNCTION("IF('(INGESTA)Datos_consumo_datadis'!A6959&lt;&gt;"""",SPLIT('(INGESTA)Datos_consumo_datadis'!A:A,"",""),"""")"),"ES0031408323131005HX0F")</f>
        <v>ES0031408323131005HX0F</v>
      </c>
      <c r="B6959" s="12">
        <f>IFERROR(__xludf.DUMMYFUNCTION("""COMPUTED_VALUE"""),45155.0)</f>
        <v>45155</v>
      </c>
      <c r="C6959" s="13">
        <f>IFERROR(__xludf.DUMMYFUNCTION("""COMPUTED_VALUE"""),0.9583333333333334)</f>
        <v>0.9583333333</v>
      </c>
      <c r="D6959" s="8">
        <f>IFERROR(__xludf.DUMMYFUNCTION("""COMPUTED_VALUE"""),1.651)</f>
        <v>1.651</v>
      </c>
      <c r="E6959" s="8" t="str">
        <f>IFERROR(__xludf.DUMMYFUNCTION("""COMPUTED_VALUE"""),"Real")</f>
        <v>Real</v>
      </c>
      <c r="G6959" s="8">
        <f t="shared" si="1"/>
        <v>8</v>
      </c>
      <c r="H6959" s="14">
        <f t="shared" si="2"/>
        <v>17</v>
      </c>
      <c r="I6959" s="15">
        <f t="shared" si="3"/>
        <v>23</v>
      </c>
    </row>
    <row r="6960">
      <c r="A6960" s="8" t="str">
        <f>IFERROR(__xludf.DUMMYFUNCTION("IF('(INGESTA)Datos_consumo_datadis'!A6960&lt;&gt;"""",SPLIT('(INGESTA)Datos_consumo_datadis'!A:A,"",""),"""")"),"ES0031408323131005HX0F")</f>
        <v>ES0031408323131005HX0F</v>
      </c>
      <c r="B6960" s="12">
        <f>IFERROR(__xludf.DUMMYFUNCTION("""COMPUTED_VALUE"""),45155.0)</f>
        <v>45155</v>
      </c>
      <c r="C6960" s="16">
        <f>IFERROR(__xludf.DUMMYFUNCTION("""COMPUTED_VALUE"""),1.0)</f>
        <v>1</v>
      </c>
      <c r="D6960" s="8">
        <f>IFERROR(__xludf.DUMMYFUNCTION("""COMPUTED_VALUE"""),0.108)</f>
        <v>0.108</v>
      </c>
      <c r="E6960" s="8" t="str">
        <f>IFERROR(__xludf.DUMMYFUNCTION("""COMPUTED_VALUE"""),"Real")</f>
        <v>Real</v>
      </c>
      <c r="G6960" s="8">
        <f t="shared" si="1"/>
        <v>8</v>
      </c>
      <c r="H6960" s="14">
        <f t="shared" si="2"/>
        <v>17</v>
      </c>
      <c r="I6960" s="15">
        <f t="shared" si="3"/>
        <v>0</v>
      </c>
    </row>
    <row r="6961">
      <c r="A6961" s="8" t="str">
        <f>IFERROR(__xludf.DUMMYFUNCTION("IF('(INGESTA)Datos_consumo_datadis'!A6961&lt;&gt;"""",SPLIT('(INGESTA)Datos_consumo_datadis'!A:A,"",""),"""")"),"ES0031408323131005HX0F")</f>
        <v>ES0031408323131005HX0F</v>
      </c>
      <c r="B6961" s="12">
        <f>IFERROR(__xludf.DUMMYFUNCTION("""COMPUTED_VALUE"""),45156.0)</f>
        <v>45156</v>
      </c>
      <c r="C6961" s="13">
        <f>IFERROR(__xludf.DUMMYFUNCTION("""COMPUTED_VALUE"""),0.041666666666666664)</f>
        <v>0.04166666667</v>
      </c>
      <c r="D6961" s="8">
        <f>IFERROR(__xludf.DUMMYFUNCTION("""COMPUTED_VALUE"""),0.135)</f>
        <v>0.135</v>
      </c>
      <c r="E6961" s="8" t="str">
        <f>IFERROR(__xludf.DUMMYFUNCTION("""COMPUTED_VALUE"""),"Real")</f>
        <v>Real</v>
      </c>
      <c r="G6961" s="8">
        <f t="shared" si="1"/>
        <v>8</v>
      </c>
      <c r="H6961" s="14">
        <f t="shared" si="2"/>
        <v>18</v>
      </c>
      <c r="I6961" s="15">
        <f t="shared" si="3"/>
        <v>1</v>
      </c>
    </row>
    <row r="6962">
      <c r="A6962" s="8" t="str">
        <f>IFERROR(__xludf.DUMMYFUNCTION("IF('(INGESTA)Datos_consumo_datadis'!A6962&lt;&gt;"""",SPLIT('(INGESTA)Datos_consumo_datadis'!A:A,"",""),"""")"),"ES0031408323131005HX0F")</f>
        <v>ES0031408323131005HX0F</v>
      </c>
      <c r="B6962" s="12">
        <f>IFERROR(__xludf.DUMMYFUNCTION("""COMPUTED_VALUE"""),45156.0)</f>
        <v>45156</v>
      </c>
      <c r="C6962" s="13">
        <f>IFERROR(__xludf.DUMMYFUNCTION("""COMPUTED_VALUE"""),0.08333333333333333)</f>
        <v>0.08333333333</v>
      </c>
      <c r="D6962" s="8">
        <f>IFERROR(__xludf.DUMMYFUNCTION("""COMPUTED_VALUE"""),0.129)</f>
        <v>0.129</v>
      </c>
      <c r="E6962" s="8" t="str">
        <f>IFERROR(__xludf.DUMMYFUNCTION("""COMPUTED_VALUE"""),"Real")</f>
        <v>Real</v>
      </c>
      <c r="G6962" s="8">
        <f t="shared" si="1"/>
        <v>8</v>
      </c>
      <c r="H6962" s="14">
        <f t="shared" si="2"/>
        <v>18</v>
      </c>
      <c r="I6962" s="15">
        <f t="shared" si="3"/>
        <v>2</v>
      </c>
    </row>
    <row r="6963">
      <c r="A6963" s="8" t="str">
        <f>IFERROR(__xludf.DUMMYFUNCTION("IF('(INGESTA)Datos_consumo_datadis'!A6963&lt;&gt;"""",SPLIT('(INGESTA)Datos_consumo_datadis'!A:A,"",""),"""")"),"ES0031408323131005HX0F")</f>
        <v>ES0031408323131005HX0F</v>
      </c>
      <c r="B6963" s="12">
        <f>IFERROR(__xludf.DUMMYFUNCTION("""COMPUTED_VALUE"""),45156.0)</f>
        <v>45156</v>
      </c>
      <c r="C6963" s="13">
        <f>IFERROR(__xludf.DUMMYFUNCTION("""COMPUTED_VALUE"""),0.125)</f>
        <v>0.125</v>
      </c>
      <c r="D6963" s="8">
        <f>IFERROR(__xludf.DUMMYFUNCTION("""COMPUTED_VALUE"""),0.164)</f>
        <v>0.164</v>
      </c>
      <c r="E6963" s="8" t="str">
        <f>IFERROR(__xludf.DUMMYFUNCTION("""COMPUTED_VALUE"""),"Real")</f>
        <v>Real</v>
      </c>
      <c r="G6963" s="8">
        <f t="shared" si="1"/>
        <v>8</v>
      </c>
      <c r="H6963" s="14">
        <f t="shared" si="2"/>
        <v>18</v>
      </c>
      <c r="I6963" s="15">
        <f t="shared" si="3"/>
        <v>3</v>
      </c>
    </row>
    <row r="6964">
      <c r="A6964" s="8" t="str">
        <f>IFERROR(__xludf.DUMMYFUNCTION("IF('(INGESTA)Datos_consumo_datadis'!A6964&lt;&gt;"""",SPLIT('(INGESTA)Datos_consumo_datadis'!A:A,"",""),"""")"),"ES0031408323131005HX0F")</f>
        <v>ES0031408323131005HX0F</v>
      </c>
      <c r="B6964" s="12">
        <f>IFERROR(__xludf.DUMMYFUNCTION("""COMPUTED_VALUE"""),45156.0)</f>
        <v>45156</v>
      </c>
      <c r="C6964" s="13">
        <f>IFERROR(__xludf.DUMMYFUNCTION("""COMPUTED_VALUE"""),0.16666666666666666)</f>
        <v>0.1666666667</v>
      </c>
      <c r="D6964" s="8">
        <f>IFERROR(__xludf.DUMMYFUNCTION("""COMPUTED_VALUE"""),0.144)</f>
        <v>0.144</v>
      </c>
      <c r="E6964" s="8" t="str">
        <f>IFERROR(__xludf.DUMMYFUNCTION("""COMPUTED_VALUE"""),"Real")</f>
        <v>Real</v>
      </c>
      <c r="G6964" s="8">
        <f t="shared" si="1"/>
        <v>8</v>
      </c>
      <c r="H6964" s="14">
        <f t="shared" si="2"/>
        <v>18</v>
      </c>
      <c r="I6964" s="15">
        <f t="shared" si="3"/>
        <v>4</v>
      </c>
    </row>
    <row r="6965">
      <c r="A6965" s="8" t="str">
        <f>IFERROR(__xludf.DUMMYFUNCTION("IF('(INGESTA)Datos_consumo_datadis'!A6965&lt;&gt;"""",SPLIT('(INGESTA)Datos_consumo_datadis'!A:A,"",""),"""")"),"ES0031408323131005HX0F")</f>
        <v>ES0031408323131005HX0F</v>
      </c>
      <c r="B6965" s="12">
        <f>IFERROR(__xludf.DUMMYFUNCTION("""COMPUTED_VALUE"""),45156.0)</f>
        <v>45156</v>
      </c>
      <c r="C6965" s="13">
        <f>IFERROR(__xludf.DUMMYFUNCTION("""COMPUTED_VALUE"""),0.20833333333333334)</f>
        <v>0.2083333333</v>
      </c>
      <c r="D6965" s="8">
        <f>IFERROR(__xludf.DUMMYFUNCTION("""COMPUTED_VALUE"""),0.374)</f>
        <v>0.374</v>
      </c>
      <c r="E6965" s="8" t="str">
        <f>IFERROR(__xludf.DUMMYFUNCTION("""COMPUTED_VALUE"""),"Real")</f>
        <v>Real</v>
      </c>
      <c r="G6965" s="8">
        <f t="shared" si="1"/>
        <v>8</v>
      </c>
      <c r="H6965" s="14">
        <f t="shared" si="2"/>
        <v>18</v>
      </c>
      <c r="I6965" s="15">
        <f t="shared" si="3"/>
        <v>5</v>
      </c>
    </row>
    <row r="6966">
      <c r="A6966" s="8" t="str">
        <f>IFERROR(__xludf.DUMMYFUNCTION("IF('(INGESTA)Datos_consumo_datadis'!A6966&lt;&gt;"""",SPLIT('(INGESTA)Datos_consumo_datadis'!A:A,"",""),"""")"),"ES0031408323131005HX0F")</f>
        <v>ES0031408323131005HX0F</v>
      </c>
      <c r="B6966" s="12">
        <f>IFERROR(__xludf.DUMMYFUNCTION("""COMPUTED_VALUE"""),45156.0)</f>
        <v>45156</v>
      </c>
      <c r="C6966" s="13">
        <f>IFERROR(__xludf.DUMMYFUNCTION("""COMPUTED_VALUE"""),0.25)</f>
        <v>0.25</v>
      </c>
      <c r="D6966" s="8">
        <f>IFERROR(__xludf.DUMMYFUNCTION("""COMPUTED_VALUE"""),0.126)</f>
        <v>0.126</v>
      </c>
      <c r="E6966" s="8" t="str">
        <f>IFERROR(__xludf.DUMMYFUNCTION("""COMPUTED_VALUE"""),"Real")</f>
        <v>Real</v>
      </c>
      <c r="G6966" s="8">
        <f t="shared" si="1"/>
        <v>8</v>
      </c>
      <c r="H6966" s="14">
        <f t="shared" si="2"/>
        <v>18</v>
      </c>
      <c r="I6966" s="15">
        <f t="shared" si="3"/>
        <v>6</v>
      </c>
    </row>
    <row r="6967">
      <c r="A6967" s="8" t="str">
        <f>IFERROR(__xludf.DUMMYFUNCTION("IF('(INGESTA)Datos_consumo_datadis'!A6967&lt;&gt;"""",SPLIT('(INGESTA)Datos_consumo_datadis'!A:A,"",""),"""")"),"ES0031408323131005HX0F")</f>
        <v>ES0031408323131005HX0F</v>
      </c>
      <c r="B6967" s="12">
        <f>IFERROR(__xludf.DUMMYFUNCTION("""COMPUTED_VALUE"""),45156.0)</f>
        <v>45156</v>
      </c>
      <c r="C6967" s="13">
        <f>IFERROR(__xludf.DUMMYFUNCTION("""COMPUTED_VALUE"""),0.2916666666666667)</f>
        <v>0.2916666667</v>
      </c>
      <c r="D6967" s="8">
        <f>IFERROR(__xludf.DUMMYFUNCTION("""COMPUTED_VALUE"""),0.128)</f>
        <v>0.128</v>
      </c>
      <c r="E6967" s="8" t="str">
        <f>IFERROR(__xludf.DUMMYFUNCTION("""COMPUTED_VALUE"""),"Real")</f>
        <v>Real</v>
      </c>
      <c r="G6967" s="8">
        <f t="shared" si="1"/>
        <v>8</v>
      </c>
      <c r="H6967" s="14">
        <f t="shared" si="2"/>
        <v>18</v>
      </c>
      <c r="I6967" s="15">
        <f t="shared" si="3"/>
        <v>7</v>
      </c>
    </row>
    <row r="6968">
      <c r="A6968" s="8" t="str">
        <f>IFERROR(__xludf.DUMMYFUNCTION("IF('(INGESTA)Datos_consumo_datadis'!A6968&lt;&gt;"""",SPLIT('(INGESTA)Datos_consumo_datadis'!A:A,"",""),"""")"),"ES0031408323131005HX0F")</f>
        <v>ES0031408323131005HX0F</v>
      </c>
      <c r="B6968" s="12">
        <f>IFERROR(__xludf.DUMMYFUNCTION("""COMPUTED_VALUE"""),45156.0)</f>
        <v>45156</v>
      </c>
      <c r="C6968" s="13">
        <f>IFERROR(__xludf.DUMMYFUNCTION("""COMPUTED_VALUE"""),0.3333333333333333)</f>
        <v>0.3333333333</v>
      </c>
      <c r="D6968" s="8">
        <f>IFERROR(__xludf.DUMMYFUNCTION("""COMPUTED_VALUE"""),0.36)</f>
        <v>0.36</v>
      </c>
      <c r="E6968" s="8" t="str">
        <f>IFERROR(__xludf.DUMMYFUNCTION("""COMPUTED_VALUE"""),"Real")</f>
        <v>Real</v>
      </c>
      <c r="G6968" s="8">
        <f t="shared" si="1"/>
        <v>8</v>
      </c>
      <c r="H6968" s="14">
        <f t="shared" si="2"/>
        <v>18</v>
      </c>
      <c r="I6968" s="15">
        <f t="shared" si="3"/>
        <v>8</v>
      </c>
    </row>
    <row r="6969">
      <c r="A6969" s="8" t="str">
        <f>IFERROR(__xludf.DUMMYFUNCTION("IF('(INGESTA)Datos_consumo_datadis'!A6969&lt;&gt;"""",SPLIT('(INGESTA)Datos_consumo_datadis'!A:A,"",""),"""")"),"ES0031408323131005HX0F")</f>
        <v>ES0031408323131005HX0F</v>
      </c>
      <c r="B6969" s="12">
        <f>IFERROR(__xludf.DUMMYFUNCTION("""COMPUTED_VALUE"""),45156.0)</f>
        <v>45156</v>
      </c>
      <c r="C6969" s="13">
        <f>IFERROR(__xludf.DUMMYFUNCTION("""COMPUTED_VALUE"""),0.375)</f>
        <v>0.375</v>
      </c>
      <c r="D6969" s="8">
        <f>IFERROR(__xludf.DUMMYFUNCTION("""COMPUTED_VALUE"""),0.453)</f>
        <v>0.453</v>
      </c>
      <c r="E6969" s="8" t="str">
        <f>IFERROR(__xludf.DUMMYFUNCTION("""COMPUTED_VALUE"""),"Real")</f>
        <v>Real</v>
      </c>
      <c r="G6969" s="8">
        <f t="shared" si="1"/>
        <v>8</v>
      </c>
      <c r="H6969" s="14">
        <f t="shared" si="2"/>
        <v>18</v>
      </c>
      <c r="I6969" s="15">
        <f t="shared" si="3"/>
        <v>9</v>
      </c>
    </row>
    <row r="6970">
      <c r="A6970" s="8" t="str">
        <f>IFERROR(__xludf.DUMMYFUNCTION("IF('(INGESTA)Datos_consumo_datadis'!A6970&lt;&gt;"""",SPLIT('(INGESTA)Datos_consumo_datadis'!A:A,"",""),"""")"),"ES0031408323131005HX0F")</f>
        <v>ES0031408323131005HX0F</v>
      </c>
      <c r="B6970" s="12">
        <f>IFERROR(__xludf.DUMMYFUNCTION("""COMPUTED_VALUE"""),45156.0)</f>
        <v>45156</v>
      </c>
      <c r="C6970" s="13">
        <f>IFERROR(__xludf.DUMMYFUNCTION("""COMPUTED_VALUE"""),0.4166666666666667)</f>
        <v>0.4166666667</v>
      </c>
      <c r="D6970" s="8">
        <f>IFERROR(__xludf.DUMMYFUNCTION("""COMPUTED_VALUE"""),0.151)</f>
        <v>0.151</v>
      </c>
      <c r="E6970" s="8" t="str">
        <f>IFERROR(__xludf.DUMMYFUNCTION("""COMPUTED_VALUE"""),"Real")</f>
        <v>Real</v>
      </c>
      <c r="G6970" s="8">
        <f t="shared" si="1"/>
        <v>8</v>
      </c>
      <c r="H6970" s="14">
        <f t="shared" si="2"/>
        <v>18</v>
      </c>
      <c r="I6970" s="15">
        <f t="shared" si="3"/>
        <v>10</v>
      </c>
    </row>
    <row r="6971">
      <c r="A6971" s="8" t="str">
        <f>IFERROR(__xludf.DUMMYFUNCTION("IF('(INGESTA)Datos_consumo_datadis'!A6971&lt;&gt;"""",SPLIT('(INGESTA)Datos_consumo_datadis'!A:A,"",""),"""")"),"ES0031408323131005HX0F")</f>
        <v>ES0031408323131005HX0F</v>
      </c>
      <c r="B6971" s="12">
        <f>IFERROR(__xludf.DUMMYFUNCTION("""COMPUTED_VALUE"""),45156.0)</f>
        <v>45156</v>
      </c>
      <c r="C6971" s="13">
        <f>IFERROR(__xludf.DUMMYFUNCTION("""COMPUTED_VALUE"""),0.4583333333333333)</f>
        <v>0.4583333333</v>
      </c>
      <c r="D6971" s="8">
        <f>IFERROR(__xludf.DUMMYFUNCTION("""COMPUTED_VALUE"""),0.153)</f>
        <v>0.153</v>
      </c>
      <c r="E6971" s="8" t="str">
        <f>IFERROR(__xludf.DUMMYFUNCTION("""COMPUTED_VALUE"""),"Real")</f>
        <v>Real</v>
      </c>
      <c r="G6971" s="8">
        <f t="shared" si="1"/>
        <v>8</v>
      </c>
      <c r="H6971" s="14">
        <f t="shared" si="2"/>
        <v>18</v>
      </c>
      <c r="I6971" s="15">
        <f t="shared" si="3"/>
        <v>11</v>
      </c>
    </row>
    <row r="6972">
      <c r="A6972" s="8" t="str">
        <f>IFERROR(__xludf.DUMMYFUNCTION("IF('(INGESTA)Datos_consumo_datadis'!A6972&lt;&gt;"""",SPLIT('(INGESTA)Datos_consumo_datadis'!A:A,"",""),"""")"),"ES0031408323131005HX0F")</f>
        <v>ES0031408323131005HX0F</v>
      </c>
      <c r="B6972" s="12">
        <f>IFERROR(__xludf.DUMMYFUNCTION("""COMPUTED_VALUE"""),45156.0)</f>
        <v>45156</v>
      </c>
      <c r="C6972" s="13">
        <f>IFERROR(__xludf.DUMMYFUNCTION("""COMPUTED_VALUE"""),0.5)</f>
        <v>0.5</v>
      </c>
      <c r="D6972" s="8">
        <f>IFERROR(__xludf.DUMMYFUNCTION("""COMPUTED_VALUE"""),0.265)</f>
        <v>0.265</v>
      </c>
      <c r="E6972" s="8" t="str">
        <f>IFERROR(__xludf.DUMMYFUNCTION("""COMPUTED_VALUE"""),"Real")</f>
        <v>Real</v>
      </c>
      <c r="G6972" s="8">
        <f t="shared" si="1"/>
        <v>8</v>
      </c>
      <c r="H6972" s="14">
        <f t="shared" si="2"/>
        <v>18</v>
      </c>
      <c r="I6972" s="15">
        <f t="shared" si="3"/>
        <v>12</v>
      </c>
    </row>
    <row r="6973">
      <c r="A6973" s="8" t="str">
        <f>IFERROR(__xludf.DUMMYFUNCTION("IF('(INGESTA)Datos_consumo_datadis'!A6973&lt;&gt;"""",SPLIT('(INGESTA)Datos_consumo_datadis'!A:A,"",""),"""")"),"ES0031408323131005HX0F")</f>
        <v>ES0031408323131005HX0F</v>
      </c>
      <c r="B6973" s="12">
        <f>IFERROR(__xludf.DUMMYFUNCTION("""COMPUTED_VALUE"""),45156.0)</f>
        <v>45156</v>
      </c>
      <c r="C6973" s="13">
        <f>IFERROR(__xludf.DUMMYFUNCTION("""COMPUTED_VALUE"""),0.5416666666666666)</f>
        <v>0.5416666667</v>
      </c>
      <c r="D6973" s="8">
        <f>IFERROR(__xludf.DUMMYFUNCTION("""COMPUTED_VALUE"""),0.396)</f>
        <v>0.396</v>
      </c>
      <c r="E6973" s="8" t="str">
        <f>IFERROR(__xludf.DUMMYFUNCTION("""COMPUTED_VALUE"""),"Real")</f>
        <v>Real</v>
      </c>
      <c r="G6973" s="8">
        <f t="shared" si="1"/>
        <v>8</v>
      </c>
      <c r="H6973" s="14">
        <f t="shared" si="2"/>
        <v>18</v>
      </c>
      <c r="I6973" s="15">
        <f t="shared" si="3"/>
        <v>13</v>
      </c>
    </row>
    <row r="6974">
      <c r="A6974" s="8" t="str">
        <f>IFERROR(__xludf.DUMMYFUNCTION("IF('(INGESTA)Datos_consumo_datadis'!A6974&lt;&gt;"""",SPLIT('(INGESTA)Datos_consumo_datadis'!A:A,"",""),"""")"),"ES0031408323131005HX0F")</f>
        <v>ES0031408323131005HX0F</v>
      </c>
      <c r="B6974" s="12">
        <f>IFERROR(__xludf.DUMMYFUNCTION("""COMPUTED_VALUE"""),45156.0)</f>
        <v>45156</v>
      </c>
      <c r="C6974" s="13">
        <f>IFERROR(__xludf.DUMMYFUNCTION("""COMPUTED_VALUE"""),0.5833333333333334)</f>
        <v>0.5833333333</v>
      </c>
      <c r="D6974" s="8">
        <f>IFERROR(__xludf.DUMMYFUNCTION("""COMPUTED_VALUE"""),0.154)</f>
        <v>0.154</v>
      </c>
      <c r="E6974" s="8" t="str">
        <f>IFERROR(__xludf.DUMMYFUNCTION("""COMPUTED_VALUE"""),"Real")</f>
        <v>Real</v>
      </c>
      <c r="G6974" s="8">
        <f t="shared" si="1"/>
        <v>8</v>
      </c>
      <c r="H6974" s="14">
        <f t="shared" si="2"/>
        <v>18</v>
      </c>
      <c r="I6974" s="15">
        <f t="shared" si="3"/>
        <v>14</v>
      </c>
    </row>
    <row r="6975">
      <c r="A6975" s="8" t="str">
        <f>IFERROR(__xludf.DUMMYFUNCTION("IF('(INGESTA)Datos_consumo_datadis'!A6975&lt;&gt;"""",SPLIT('(INGESTA)Datos_consumo_datadis'!A:A,"",""),"""")"),"ES0031408323131005HX0F")</f>
        <v>ES0031408323131005HX0F</v>
      </c>
      <c r="B6975" s="12">
        <f>IFERROR(__xludf.DUMMYFUNCTION("""COMPUTED_VALUE"""),45156.0)</f>
        <v>45156</v>
      </c>
      <c r="C6975" s="13">
        <f>IFERROR(__xludf.DUMMYFUNCTION("""COMPUTED_VALUE"""),0.625)</f>
        <v>0.625</v>
      </c>
      <c r="D6975" s="8">
        <f>IFERROR(__xludf.DUMMYFUNCTION("""COMPUTED_VALUE"""),0.181)</f>
        <v>0.181</v>
      </c>
      <c r="E6975" s="8" t="str">
        <f>IFERROR(__xludf.DUMMYFUNCTION("""COMPUTED_VALUE"""),"Real")</f>
        <v>Real</v>
      </c>
      <c r="G6975" s="8">
        <f t="shared" si="1"/>
        <v>8</v>
      </c>
      <c r="H6975" s="14">
        <f t="shared" si="2"/>
        <v>18</v>
      </c>
      <c r="I6975" s="15">
        <f t="shared" si="3"/>
        <v>15</v>
      </c>
    </row>
    <row r="6976">
      <c r="A6976" s="8" t="str">
        <f>IFERROR(__xludf.DUMMYFUNCTION("IF('(INGESTA)Datos_consumo_datadis'!A6976&lt;&gt;"""",SPLIT('(INGESTA)Datos_consumo_datadis'!A:A,"",""),"""")"),"ES0031408323131005HX0F")</f>
        <v>ES0031408323131005HX0F</v>
      </c>
      <c r="B6976" s="12">
        <f>IFERROR(__xludf.DUMMYFUNCTION("""COMPUTED_VALUE"""),45156.0)</f>
        <v>45156</v>
      </c>
      <c r="C6976" s="13">
        <f>IFERROR(__xludf.DUMMYFUNCTION("""COMPUTED_VALUE"""),0.6666666666666666)</f>
        <v>0.6666666667</v>
      </c>
      <c r="D6976" s="8">
        <f>IFERROR(__xludf.DUMMYFUNCTION("""COMPUTED_VALUE"""),2.094)</f>
        <v>2.094</v>
      </c>
      <c r="E6976" s="8" t="str">
        <f>IFERROR(__xludf.DUMMYFUNCTION("""COMPUTED_VALUE"""),"Real")</f>
        <v>Real</v>
      </c>
      <c r="G6976" s="8">
        <f t="shared" si="1"/>
        <v>8</v>
      </c>
      <c r="H6976" s="14">
        <f t="shared" si="2"/>
        <v>18</v>
      </c>
      <c r="I6976" s="15">
        <f t="shared" si="3"/>
        <v>16</v>
      </c>
    </row>
    <row r="6977">
      <c r="A6977" s="8" t="str">
        <f>IFERROR(__xludf.DUMMYFUNCTION("IF('(INGESTA)Datos_consumo_datadis'!A6977&lt;&gt;"""",SPLIT('(INGESTA)Datos_consumo_datadis'!A:A,"",""),"""")"),"ES0031408323131005HX0F")</f>
        <v>ES0031408323131005HX0F</v>
      </c>
      <c r="B6977" s="12">
        <f>IFERROR(__xludf.DUMMYFUNCTION("""COMPUTED_VALUE"""),45156.0)</f>
        <v>45156</v>
      </c>
      <c r="C6977" s="13">
        <f>IFERROR(__xludf.DUMMYFUNCTION("""COMPUTED_VALUE"""),0.7083333333333334)</f>
        <v>0.7083333333</v>
      </c>
      <c r="D6977" s="8">
        <f>IFERROR(__xludf.DUMMYFUNCTION("""COMPUTED_VALUE"""),0.49)</f>
        <v>0.49</v>
      </c>
      <c r="E6977" s="8" t="str">
        <f>IFERROR(__xludf.DUMMYFUNCTION("""COMPUTED_VALUE"""),"Real")</f>
        <v>Real</v>
      </c>
      <c r="G6977" s="8">
        <f t="shared" si="1"/>
        <v>8</v>
      </c>
      <c r="H6977" s="14">
        <f t="shared" si="2"/>
        <v>18</v>
      </c>
      <c r="I6977" s="15">
        <f t="shared" si="3"/>
        <v>17</v>
      </c>
    </row>
    <row r="6978">
      <c r="A6978" s="8" t="str">
        <f>IFERROR(__xludf.DUMMYFUNCTION("IF('(INGESTA)Datos_consumo_datadis'!A6978&lt;&gt;"""",SPLIT('(INGESTA)Datos_consumo_datadis'!A:A,"",""),"""")"),"ES0031408323131005HX0F")</f>
        <v>ES0031408323131005HX0F</v>
      </c>
      <c r="B6978" s="12">
        <f>IFERROR(__xludf.DUMMYFUNCTION("""COMPUTED_VALUE"""),45156.0)</f>
        <v>45156</v>
      </c>
      <c r="C6978" s="13">
        <f>IFERROR(__xludf.DUMMYFUNCTION("""COMPUTED_VALUE"""),0.75)</f>
        <v>0.75</v>
      </c>
      <c r="D6978" s="8">
        <f>IFERROR(__xludf.DUMMYFUNCTION("""COMPUTED_VALUE"""),2.21)</f>
        <v>2.21</v>
      </c>
      <c r="E6978" s="8" t="str">
        <f>IFERROR(__xludf.DUMMYFUNCTION("""COMPUTED_VALUE"""),"Real")</f>
        <v>Real</v>
      </c>
      <c r="G6978" s="8">
        <f t="shared" si="1"/>
        <v>8</v>
      </c>
      <c r="H6978" s="14">
        <f t="shared" si="2"/>
        <v>18</v>
      </c>
      <c r="I6978" s="15">
        <f t="shared" si="3"/>
        <v>18</v>
      </c>
    </row>
    <row r="6979">
      <c r="A6979" s="8" t="str">
        <f>IFERROR(__xludf.DUMMYFUNCTION("IF('(INGESTA)Datos_consumo_datadis'!A6979&lt;&gt;"""",SPLIT('(INGESTA)Datos_consumo_datadis'!A:A,"",""),"""")"),"ES0031408323131005HX0F")</f>
        <v>ES0031408323131005HX0F</v>
      </c>
      <c r="B6979" s="12">
        <f>IFERROR(__xludf.DUMMYFUNCTION("""COMPUTED_VALUE"""),45156.0)</f>
        <v>45156</v>
      </c>
      <c r="C6979" s="13">
        <f>IFERROR(__xludf.DUMMYFUNCTION("""COMPUTED_VALUE"""),0.7916666666666666)</f>
        <v>0.7916666667</v>
      </c>
      <c r="D6979" s="8">
        <f>IFERROR(__xludf.DUMMYFUNCTION("""COMPUTED_VALUE"""),1.344)</f>
        <v>1.344</v>
      </c>
      <c r="E6979" s="8" t="str">
        <f>IFERROR(__xludf.DUMMYFUNCTION("""COMPUTED_VALUE"""),"Real")</f>
        <v>Real</v>
      </c>
      <c r="G6979" s="8">
        <f t="shared" si="1"/>
        <v>8</v>
      </c>
      <c r="H6979" s="14">
        <f t="shared" si="2"/>
        <v>18</v>
      </c>
      <c r="I6979" s="15">
        <f t="shared" si="3"/>
        <v>19</v>
      </c>
    </row>
    <row r="6980">
      <c r="A6980" s="8" t="str">
        <f>IFERROR(__xludf.DUMMYFUNCTION("IF('(INGESTA)Datos_consumo_datadis'!A6980&lt;&gt;"""",SPLIT('(INGESTA)Datos_consumo_datadis'!A:A,"",""),"""")"),"ES0031408323131005HX0F")</f>
        <v>ES0031408323131005HX0F</v>
      </c>
      <c r="B6980" s="12">
        <f>IFERROR(__xludf.DUMMYFUNCTION("""COMPUTED_VALUE"""),45156.0)</f>
        <v>45156</v>
      </c>
      <c r="C6980" s="13">
        <f>IFERROR(__xludf.DUMMYFUNCTION("""COMPUTED_VALUE"""),0.8333333333333334)</f>
        <v>0.8333333333</v>
      </c>
      <c r="D6980" s="8">
        <f>IFERROR(__xludf.DUMMYFUNCTION("""COMPUTED_VALUE"""),0.315)</f>
        <v>0.315</v>
      </c>
      <c r="E6980" s="8" t="str">
        <f>IFERROR(__xludf.DUMMYFUNCTION("""COMPUTED_VALUE"""),"Real")</f>
        <v>Real</v>
      </c>
      <c r="G6980" s="8">
        <f t="shared" si="1"/>
        <v>8</v>
      </c>
      <c r="H6980" s="14">
        <f t="shared" si="2"/>
        <v>18</v>
      </c>
      <c r="I6980" s="15">
        <f t="shared" si="3"/>
        <v>20</v>
      </c>
    </row>
    <row r="6981">
      <c r="A6981" s="8" t="str">
        <f>IFERROR(__xludf.DUMMYFUNCTION("IF('(INGESTA)Datos_consumo_datadis'!A6981&lt;&gt;"""",SPLIT('(INGESTA)Datos_consumo_datadis'!A:A,"",""),"""")"),"ES0031408323131005HX0F")</f>
        <v>ES0031408323131005HX0F</v>
      </c>
      <c r="B6981" s="12">
        <f>IFERROR(__xludf.DUMMYFUNCTION("""COMPUTED_VALUE"""),45156.0)</f>
        <v>45156</v>
      </c>
      <c r="C6981" s="13">
        <f>IFERROR(__xludf.DUMMYFUNCTION("""COMPUTED_VALUE"""),0.875)</f>
        <v>0.875</v>
      </c>
      <c r="D6981" s="8">
        <f>IFERROR(__xludf.DUMMYFUNCTION("""COMPUTED_VALUE"""),0.227)</f>
        <v>0.227</v>
      </c>
      <c r="E6981" s="8" t="str">
        <f>IFERROR(__xludf.DUMMYFUNCTION("""COMPUTED_VALUE"""),"Real")</f>
        <v>Real</v>
      </c>
      <c r="G6981" s="8">
        <f t="shared" si="1"/>
        <v>8</v>
      </c>
      <c r="H6981" s="14">
        <f t="shared" si="2"/>
        <v>18</v>
      </c>
      <c r="I6981" s="15">
        <f t="shared" si="3"/>
        <v>21</v>
      </c>
    </row>
    <row r="6982">
      <c r="A6982" s="8" t="str">
        <f>IFERROR(__xludf.DUMMYFUNCTION("IF('(INGESTA)Datos_consumo_datadis'!A6982&lt;&gt;"""",SPLIT('(INGESTA)Datos_consumo_datadis'!A:A,"",""),"""")"),"ES0031408323131005HX0F")</f>
        <v>ES0031408323131005HX0F</v>
      </c>
      <c r="B6982" s="12">
        <f>IFERROR(__xludf.DUMMYFUNCTION("""COMPUTED_VALUE"""),45156.0)</f>
        <v>45156</v>
      </c>
      <c r="C6982" s="13">
        <f>IFERROR(__xludf.DUMMYFUNCTION("""COMPUTED_VALUE"""),0.9166666666666666)</f>
        <v>0.9166666667</v>
      </c>
      <c r="D6982" s="8">
        <f>IFERROR(__xludf.DUMMYFUNCTION("""COMPUTED_VALUE"""),2.163)</f>
        <v>2.163</v>
      </c>
      <c r="E6982" s="8" t="str">
        <f>IFERROR(__xludf.DUMMYFUNCTION("""COMPUTED_VALUE"""),"Real")</f>
        <v>Real</v>
      </c>
      <c r="G6982" s="8">
        <f t="shared" si="1"/>
        <v>8</v>
      </c>
      <c r="H6982" s="14">
        <f t="shared" si="2"/>
        <v>18</v>
      </c>
      <c r="I6982" s="15">
        <f t="shared" si="3"/>
        <v>22</v>
      </c>
    </row>
    <row r="6983">
      <c r="A6983" s="8" t="str">
        <f>IFERROR(__xludf.DUMMYFUNCTION("IF('(INGESTA)Datos_consumo_datadis'!A6983&lt;&gt;"""",SPLIT('(INGESTA)Datos_consumo_datadis'!A:A,"",""),"""")"),"ES0031408323131005HX0F")</f>
        <v>ES0031408323131005HX0F</v>
      </c>
      <c r="B6983" s="12">
        <f>IFERROR(__xludf.DUMMYFUNCTION("""COMPUTED_VALUE"""),45156.0)</f>
        <v>45156</v>
      </c>
      <c r="C6983" s="13">
        <f>IFERROR(__xludf.DUMMYFUNCTION("""COMPUTED_VALUE"""),0.9583333333333334)</f>
        <v>0.9583333333</v>
      </c>
      <c r="D6983" s="8">
        <f>IFERROR(__xludf.DUMMYFUNCTION("""COMPUTED_VALUE"""),2.281)</f>
        <v>2.281</v>
      </c>
      <c r="E6983" s="8" t="str">
        <f>IFERROR(__xludf.DUMMYFUNCTION("""COMPUTED_VALUE"""),"Real")</f>
        <v>Real</v>
      </c>
      <c r="G6983" s="8">
        <f t="shared" si="1"/>
        <v>8</v>
      </c>
      <c r="H6983" s="14">
        <f t="shared" si="2"/>
        <v>18</v>
      </c>
      <c r="I6983" s="15">
        <f t="shared" si="3"/>
        <v>23</v>
      </c>
    </row>
    <row r="6984">
      <c r="A6984" s="8" t="str">
        <f>IFERROR(__xludf.DUMMYFUNCTION("IF('(INGESTA)Datos_consumo_datadis'!A6984&lt;&gt;"""",SPLIT('(INGESTA)Datos_consumo_datadis'!A:A,"",""),"""")"),"ES0031408323131005HX0F")</f>
        <v>ES0031408323131005HX0F</v>
      </c>
      <c r="B6984" s="12">
        <f>IFERROR(__xludf.DUMMYFUNCTION("""COMPUTED_VALUE"""),45156.0)</f>
        <v>45156</v>
      </c>
      <c r="C6984" s="16">
        <f>IFERROR(__xludf.DUMMYFUNCTION("""COMPUTED_VALUE"""),1.0)</f>
        <v>1</v>
      </c>
      <c r="D6984" s="8">
        <f>IFERROR(__xludf.DUMMYFUNCTION("""COMPUTED_VALUE"""),1.726)</f>
        <v>1.726</v>
      </c>
      <c r="E6984" s="8" t="str">
        <f>IFERROR(__xludf.DUMMYFUNCTION("""COMPUTED_VALUE"""),"Real")</f>
        <v>Real</v>
      </c>
      <c r="G6984" s="8">
        <f t="shared" si="1"/>
        <v>8</v>
      </c>
      <c r="H6984" s="14">
        <f t="shared" si="2"/>
        <v>18</v>
      </c>
      <c r="I6984" s="15">
        <f t="shared" si="3"/>
        <v>0</v>
      </c>
    </row>
    <row r="6985">
      <c r="A6985" s="8" t="str">
        <f>IFERROR(__xludf.DUMMYFUNCTION("IF('(INGESTA)Datos_consumo_datadis'!A6985&lt;&gt;"""",SPLIT('(INGESTA)Datos_consumo_datadis'!A:A,"",""),"""")"),"ES0031408323131005HX0F")</f>
        <v>ES0031408323131005HX0F</v>
      </c>
      <c r="B6985" s="12">
        <f>IFERROR(__xludf.DUMMYFUNCTION("""COMPUTED_VALUE"""),45157.0)</f>
        <v>45157</v>
      </c>
      <c r="C6985" s="13">
        <f>IFERROR(__xludf.DUMMYFUNCTION("""COMPUTED_VALUE"""),0.041666666666666664)</f>
        <v>0.04166666667</v>
      </c>
      <c r="D6985" s="8">
        <f>IFERROR(__xludf.DUMMYFUNCTION("""COMPUTED_VALUE"""),0.198)</f>
        <v>0.198</v>
      </c>
      <c r="E6985" s="8" t="str">
        <f>IFERROR(__xludf.DUMMYFUNCTION("""COMPUTED_VALUE"""),"Real")</f>
        <v>Real</v>
      </c>
      <c r="G6985" s="8">
        <f t="shared" si="1"/>
        <v>8</v>
      </c>
      <c r="H6985" s="14">
        <f t="shared" si="2"/>
        <v>19</v>
      </c>
      <c r="I6985" s="15">
        <f t="shared" si="3"/>
        <v>1</v>
      </c>
    </row>
    <row r="6986">
      <c r="A6986" s="8" t="str">
        <f>IFERROR(__xludf.DUMMYFUNCTION("IF('(INGESTA)Datos_consumo_datadis'!A6986&lt;&gt;"""",SPLIT('(INGESTA)Datos_consumo_datadis'!A:A,"",""),"""")"),"ES0031408323131005HX0F")</f>
        <v>ES0031408323131005HX0F</v>
      </c>
      <c r="B6986" s="12">
        <f>IFERROR(__xludf.DUMMYFUNCTION("""COMPUTED_VALUE"""),45157.0)</f>
        <v>45157</v>
      </c>
      <c r="C6986" s="13">
        <f>IFERROR(__xludf.DUMMYFUNCTION("""COMPUTED_VALUE"""),0.08333333333333333)</f>
        <v>0.08333333333</v>
      </c>
      <c r="D6986" s="8">
        <f>IFERROR(__xludf.DUMMYFUNCTION("""COMPUTED_VALUE"""),0.332)</f>
        <v>0.332</v>
      </c>
      <c r="E6986" s="8" t="str">
        <f>IFERROR(__xludf.DUMMYFUNCTION("""COMPUTED_VALUE"""),"Real")</f>
        <v>Real</v>
      </c>
      <c r="G6986" s="8">
        <f t="shared" si="1"/>
        <v>8</v>
      </c>
      <c r="H6986" s="14">
        <f t="shared" si="2"/>
        <v>19</v>
      </c>
      <c r="I6986" s="15">
        <f t="shared" si="3"/>
        <v>2</v>
      </c>
    </row>
    <row r="6987">
      <c r="A6987" s="8" t="str">
        <f>IFERROR(__xludf.DUMMYFUNCTION("IF('(INGESTA)Datos_consumo_datadis'!A6987&lt;&gt;"""",SPLIT('(INGESTA)Datos_consumo_datadis'!A:A,"",""),"""")"),"ES0031408323131005HX0F")</f>
        <v>ES0031408323131005HX0F</v>
      </c>
      <c r="B6987" s="12">
        <f>IFERROR(__xludf.DUMMYFUNCTION("""COMPUTED_VALUE"""),45157.0)</f>
        <v>45157</v>
      </c>
      <c r="C6987" s="13">
        <f>IFERROR(__xludf.DUMMYFUNCTION("""COMPUTED_VALUE"""),0.125)</f>
        <v>0.125</v>
      </c>
      <c r="D6987" s="8">
        <f>IFERROR(__xludf.DUMMYFUNCTION("""COMPUTED_VALUE"""),0.111)</f>
        <v>0.111</v>
      </c>
      <c r="E6987" s="8" t="str">
        <f>IFERROR(__xludf.DUMMYFUNCTION("""COMPUTED_VALUE"""),"Real")</f>
        <v>Real</v>
      </c>
      <c r="G6987" s="8">
        <f t="shared" si="1"/>
        <v>8</v>
      </c>
      <c r="H6987" s="14">
        <f t="shared" si="2"/>
        <v>19</v>
      </c>
      <c r="I6987" s="15">
        <f t="shared" si="3"/>
        <v>3</v>
      </c>
    </row>
    <row r="6988">
      <c r="A6988" s="8" t="str">
        <f>IFERROR(__xludf.DUMMYFUNCTION("IF('(INGESTA)Datos_consumo_datadis'!A6988&lt;&gt;"""",SPLIT('(INGESTA)Datos_consumo_datadis'!A:A,"",""),"""")"),"ES0031408323131005HX0F")</f>
        <v>ES0031408323131005HX0F</v>
      </c>
      <c r="B6988" s="12">
        <f>IFERROR(__xludf.DUMMYFUNCTION("""COMPUTED_VALUE"""),45157.0)</f>
        <v>45157</v>
      </c>
      <c r="C6988" s="13">
        <f>IFERROR(__xludf.DUMMYFUNCTION("""COMPUTED_VALUE"""),0.16666666666666666)</f>
        <v>0.1666666667</v>
      </c>
      <c r="D6988" s="8">
        <f>IFERROR(__xludf.DUMMYFUNCTION("""COMPUTED_VALUE"""),0.075)</f>
        <v>0.075</v>
      </c>
      <c r="E6988" s="8" t="str">
        <f>IFERROR(__xludf.DUMMYFUNCTION("""COMPUTED_VALUE"""),"Real")</f>
        <v>Real</v>
      </c>
      <c r="G6988" s="8">
        <f t="shared" si="1"/>
        <v>8</v>
      </c>
      <c r="H6988" s="14">
        <f t="shared" si="2"/>
        <v>19</v>
      </c>
      <c r="I6988" s="15">
        <f t="shared" si="3"/>
        <v>4</v>
      </c>
    </row>
    <row r="6989">
      <c r="A6989" s="8" t="str">
        <f>IFERROR(__xludf.DUMMYFUNCTION("IF('(INGESTA)Datos_consumo_datadis'!A6989&lt;&gt;"""",SPLIT('(INGESTA)Datos_consumo_datadis'!A:A,"",""),"""")"),"ES0031408323131005HX0F")</f>
        <v>ES0031408323131005HX0F</v>
      </c>
      <c r="B6989" s="12">
        <f>IFERROR(__xludf.DUMMYFUNCTION("""COMPUTED_VALUE"""),45157.0)</f>
        <v>45157</v>
      </c>
      <c r="C6989" s="13">
        <f>IFERROR(__xludf.DUMMYFUNCTION("""COMPUTED_VALUE"""),0.20833333333333334)</f>
        <v>0.2083333333</v>
      </c>
      <c r="D6989" s="8">
        <f>IFERROR(__xludf.DUMMYFUNCTION("""COMPUTED_VALUE"""),0.141)</f>
        <v>0.141</v>
      </c>
      <c r="E6989" s="8" t="str">
        <f>IFERROR(__xludf.DUMMYFUNCTION("""COMPUTED_VALUE"""),"Real")</f>
        <v>Real</v>
      </c>
      <c r="G6989" s="8">
        <f t="shared" si="1"/>
        <v>8</v>
      </c>
      <c r="H6989" s="14">
        <f t="shared" si="2"/>
        <v>19</v>
      </c>
      <c r="I6989" s="15">
        <f t="shared" si="3"/>
        <v>5</v>
      </c>
    </row>
    <row r="6990">
      <c r="A6990" s="8" t="str">
        <f>IFERROR(__xludf.DUMMYFUNCTION("IF('(INGESTA)Datos_consumo_datadis'!A6990&lt;&gt;"""",SPLIT('(INGESTA)Datos_consumo_datadis'!A:A,"",""),"""")"),"ES0031408323131005HX0F")</f>
        <v>ES0031408323131005HX0F</v>
      </c>
      <c r="B6990" s="12">
        <f>IFERROR(__xludf.DUMMYFUNCTION("""COMPUTED_VALUE"""),45157.0)</f>
        <v>45157</v>
      </c>
      <c r="C6990" s="13">
        <f>IFERROR(__xludf.DUMMYFUNCTION("""COMPUTED_VALUE"""),0.25)</f>
        <v>0.25</v>
      </c>
      <c r="D6990" s="8">
        <f>IFERROR(__xludf.DUMMYFUNCTION("""COMPUTED_VALUE"""),0.129)</f>
        <v>0.129</v>
      </c>
      <c r="E6990" s="8" t="str">
        <f>IFERROR(__xludf.DUMMYFUNCTION("""COMPUTED_VALUE"""),"Real")</f>
        <v>Real</v>
      </c>
      <c r="G6990" s="8">
        <f t="shared" si="1"/>
        <v>8</v>
      </c>
      <c r="H6990" s="14">
        <f t="shared" si="2"/>
        <v>19</v>
      </c>
      <c r="I6990" s="15">
        <f t="shared" si="3"/>
        <v>6</v>
      </c>
    </row>
    <row r="6991">
      <c r="A6991" s="8" t="str">
        <f>IFERROR(__xludf.DUMMYFUNCTION("IF('(INGESTA)Datos_consumo_datadis'!A6991&lt;&gt;"""",SPLIT('(INGESTA)Datos_consumo_datadis'!A:A,"",""),"""")"),"ES0031408323131005HX0F")</f>
        <v>ES0031408323131005HX0F</v>
      </c>
      <c r="B6991" s="12">
        <f>IFERROR(__xludf.DUMMYFUNCTION("""COMPUTED_VALUE"""),45157.0)</f>
        <v>45157</v>
      </c>
      <c r="C6991" s="13">
        <f>IFERROR(__xludf.DUMMYFUNCTION("""COMPUTED_VALUE"""),0.2916666666666667)</f>
        <v>0.2916666667</v>
      </c>
      <c r="D6991" s="8">
        <f>IFERROR(__xludf.DUMMYFUNCTION("""COMPUTED_VALUE"""),0.126)</f>
        <v>0.126</v>
      </c>
      <c r="E6991" s="8" t="str">
        <f>IFERROR(__xludf.DUMMYFUNCTION("""COMPUTED_VALUE"""),"Real")</f>
        <v>Real</v>
      </c>
      <c r="G6991" s="8">
        <f t="shared" si="1"/>
        <v>8</v>
      </c>
      <c r="H6991" s="14">
        <f t="shared" si="2"/>
        <v>19</v>
      </c>
      <c r="I6991" s="15">
        <f t="shared" si="3"/>
        <v>7</v>
      </c>
    </row>
    <row r="6992">
      <c r="A6992" s="8" t="str">
        <f>IFERROR(__xludf.DUMMYFUNCTION("IF('(INGESTA)Datos_consumo_datadis'!A6992&lt;&gt;"""",SPLIT('(INGESTA)Datos_consumo_datadis'!A:A,"",""),"""")"),"ES0031408323131005HX0F")</f>
        <v>ES0031408323131005HX0F</v>
      </c>
      <c r="B6992" s="12">
        <f>IFERROR(__xludf.DUMMYFUNCTION("""COMPUTED_VALUE"""),45157.0)</f>
        <v>45157</v>
      </c>
      <c r="C6992" s="13">
        <f>IFERROR(__xludf.DUMMYFUNCTION("""COMPUTED_VALUE"""),0.3333333333333333)</f>
        <v>0.3333333333</v>
      </c>
      <c r="D6992" s="8">
        <f>IFERROR(__xludf.DUMMYFUNCTION("""COMPUTED_VALUE"""),0.153)</f>
        <v>0.153</v>
      </c>
      <c r="E6992" s="8" t="str">
        <f>IFERROR(__xludf.DUMMYFUNCTION("""COMPUTED_VALUE"""),"Real")</f>
        <v>Real</v>
      </c>
      <c r="G6992" s="8">
        <f t="shared" si="1"/>
        <v>8</v>
      </c>
      <c r="H6992" s="14">
        <f t="shared" si="2"/>
        <v>19</v>
      </c>
      <c r="I6992" s="15">
        <f t="shared" si="3"/>
        <v>8</v>
      </c>
    </row>
    <row r="6993">
      <c r="A6993" s="8" t="str">
        <f>IFERROR(__xludf.DUMMYFUNCTION("IF('(INGESTA)Datos_consumo_datadis'!A6993&lt;&gt;"""",SPLIT('(INGESTA)Datos_consumo_datadis'!A:A,"",""),"""")"),"ES0031408323131005HX0F")</f>
        <v>ES0031408323131005HX0F</v>
      </c>
      <c r="B6993" s="12">
        <f>IFERROR(__xludf.DUMMYFUNCTION("""COMPUTED_VALUE"""),45157.0)</f>
        <v>45157</v>
      </c>
      <c r="C6993" s="13">
        <f>IFERROR(__xludf.DUMMYFUNCTION("""COMPUTED_VALUE"""),0.375)</f>
        <v>0.375</v>
      </c>
      <c r="D6993" s="8">
        <f>IFERROR(__xludf.DUMMYFUNCTION("""COMPUTED_VALUE"""),0.28)</f>
        <v>0.28</v>
      </c>
      <c r="E6993" s="8" t="str">
        <f>IFERROR(__xludf.DUMMYFUNCTION("""COMPUTED_VALUE"""),"Real")</f>
        <v>Real</v>
      </c>
      <c r="G6993" s="8">
        <f t="shared" si="1"/>
        <v>8</v>
      </c>
      <c r="H6993" s="14">
        <f t="shared" si="2"/>
        <v>19</v>
      </c>
      <c r="I6993" s="15">
        <f t="shared" si="3"/>
        <v>9</v>
      </c>
    </row>
    <row r="6994">
      <c r="A6994" s="8" t="str">
        <f>IFERROR(__xludf.DUMMYFUNCTION("IF('(INGESTA)Datos_consumo_datadis'!A6994&lt;&gt;"""",SPLIT('(INGESTA)Datos_consumo_datadis'!A:A,"",""),"""")"),"ES0031408323131005HX0F")</f>
        <v>ES0031408323131005HX0F</v>
      </c>
      <c r="B6994" s="12">
        <f>IFERROR(__xludf.DUMMYFUNCTION("""COMPUTED_VALUE"""),45157.0)</f>
        <v>45157</v>
      </c>
      <c r="C6994" s="13">
        <f>IFERROR(__xludf.DUMMYFUNCTION("""COMPUTED_VALUE"""),0.4166666666666667)</f>
        <v>0.4166666667</v>
      </c>
      <c r="D6994" s="8">
        <f>IFERROR(__xludf.DUMMYFUNCTION("""COMPUTED_VALUE"""),0.426)</f>
        <v>0.426</v>
      </c>
      <c r="E6994" s="8" t="str">
        <f>IFERROR(__xludf.DUMMYFUNCTION("""COMPUTED_VALUE"""),"Real")</f>
        <v>Real</v>
      </c>
      <c r="G6994" s="8">
        <f t="shared" si="1"/>
        <v>8</v>
      </c>
      <c r="H6994" s="14">
        <f t="shared" si="2"/>
        <v>19</v>
      </c>
      <c r="I6994" s="15">
        <f t="shared" si="3"/>
        <v>10</v>
      </c>
    </row>
    <row r="6995">
      <c r="A6995" s="8" t="str">
        <f>IFERROR(__xludf.DUMMYFUNCTION("IF('(INGESTA)Datos_consumo_datadis'!A6995&lt;&gt;"""",SPLIT('(INGESTA)Datos_consumo_datadis'!A:A,"",""),"""")"),"ES0031408323131005HX0F")</f>
        <v>ES0031408323131005HX0F</v>
      </c>
      <c r="B6995" s="12">
        <f>IFERROR(__xludf.DUMMYFUNCTION("""COMPUTED_VALUE"""),45157.0)</f>
        <v>45157</v>
      </c>
      <c r="C6995" s="13">
        <f>IFERROR(__xludf.DUMMYFUNCTION("""COMPUTED_VALUE"""),0.4583333333333333)</f>
        <v>0.4583333333</v>
      </c>
      <c r="D6995" s="8">
        <f>IFERROR(__xludf.DUMMYFUNCTION("""COMPUTED_VALUE"""),0.211)</f>
        <v>0.211</v>
      </c>
      <c r="E6995" s="8" t="str">
        <f>IFERROR(__xludf.DUMMYFUNCTION("""COMPUTED_VALUE"""),"Real")</f>
        <v>Real</v>
      </c>
      <c r="G6995" s="8">
        <f t="shared" si="1"/>
        <v>8</v>
      </c>
      <c r="H6995" s="14">
        <f t="shared" si="2"/>
        <v>19</v>
      </c>
      <c r="I6995" s="15">
        <f t="shared" si="3"/>
        <v>11</v>
      </c>
    </row>
    <row r="6996">
      <c r="A6996" s="8" t="str">
        <f>IFERROR(__xludf.DUMMYFUNCTION("IF('(INGESTA)Datos_consumo_datadis'!A6996&lt;&gt;"""",SPLIT('(INGESTA)Datos_consumo_datadis'!A:A,"",""),"""")"),"ES0031408323131005HX0F")</f>
        <v>ES0031408323131005HX0F</v>
      </c>
      <c r="B6996" s="12">
        <f>IFERROR(__xludf.DUMMYFUNCTION("""COMPUTED_VALUE"""),45157.0)</f>
        <v>45157</v>
      </c>
      <c r="C6996" s="13">
        <f>IFERROR(__xludf.DUMMYFUNCTION("""COMPUTED_VALUE"""),0.5)</f>
        <v>0.5</v>
      </c>
      <c r="D6996" s="8">
        <f>IFERROR(__xludf.DUMMYFUNCTION("""COMPUTED_VALUE"""),0.153)</f>
        <v>0.153</v>
      </c>
      <c r="E6996" s="8" t="str">
        <f>IFERROR(__xludf.DUMMYFUNCTION("""COMPUTED_VALUE"""),"Real")</f>
        <v>Real</v>
      </c>
      <c r="G6996" s="8">
        <f t="shared" si="1"/>
        <v>8</v>
      </c>
      <c r="H6996" s="14">
        <f t="shared" si="2"/>
        <v>19</v>
      </c>
      <c r="I6996" s="15">
        <f t="shared" si="3"/>
        <v>12</v>
      </c>
    </row>
    <row r="6997">
      <c r="A6997" s="8" t="str">
        <f>IFERROR(__xludf.DUMMYFUNCTION("IF('(INGESTA)Datos_consumo_datadis'!A6997&lt;&gt;"""",SPLIT('(INGESTA)Datos_consumo_datadis'!A:A,"",""),"""")"),"ES0031408323131005HX0F")</f>
        <v>ES0031408323131005HX0F</v>
      </c>
      <c r="B6997" s="12">
        <f>IFERROR(__xludf.DUMMYFUNCTION("""COMPUTED_VALUE"""),45157.0)</f>
        <v>45157</v>
      </c>
      <c r="C6997" s="13">
        <f>IFERROR(__xludf.DUMMYFUNCTION("""COMPUTED_VALUE"""),0.5416666666666666)</f>
        <v>0.5416666667</v>
      </c>
      <c r="D6997" s="8">
        <f>IFERROR(__xludf.DUMMYFUNCTION("""COMPUTED_VALUE"""),0.067)</f>
        <v>0.067</v>
      </c>
      <c r="E6997" s="8" t="str">
        <f>IFERROR(__xludf.DUMMYFUNCTION("""COMPUTED_VALUE"""),"Real")</f>
        <v>Real</v>
      </c>
      <c r="G6997" s="8">
        <f t="shared" si="1"/>
        <v>8</v>
      </c>
      <c r="H6997" s="14">
        <f t="shared" si="2"/>
        <v>19</v>
      </c>
      <c r="I6997" s="15">
        <f t="shared" si="3"/>
        <v>13</v>
      </c>
    </row>
    <row r="6998">
      <c r="A6998" s="8" t="str">
        <f>IFERROR(__xludf.DUMMYFUNCTION("IF('(INGESTA)Datos_consumo_datadis'!A6998&lt;&gt;"""",SPLIT('(INGESTA)Datos_consumo_datadis'!A:A,"",""),"""")"),"ES0031408323131005HX0F")</f>
        <v>ES0031408323131005HX0F</v>
      </c>
      <c r="B6998" s="12">
        <f>IFERROR(__xludf.DUMMYFUNCTION("""COMPUTED_VALUE"""),45157.0)</f>
        <v>45157</v>
      </c>
      <c r="C6998" s="13">
        <f>IFERROR(__xludf.DUMMYFUNCTION("""COMPUTED_VALUE"""),0.5833333333333334)</f>
        <v>0.5833333333</v>
      </c>
      <c r="D6998" s="8">
        <f>IFERROR(__xludf.DUMMYFUNCTION("""COMPUTED_VALUE"""),1.147)</f>
        <v>1.147</v>
      </c>
      <c r="E6998" s="8" t="str">
        <f>IFERROR(__xludf.DUMMYFUNCTION("""COMPUTED_VALUE"""),"Real")</f>
        <v>Real</v>
      </c>
      <c r="G6998" s="8">
        <f t="shared" si="1"/>
        <v>8</v>
      </c>
      <c r="H6998" s="14">
        <f t="shared" si="2"/>
        <v>19</v>
      </c>
      <c r="I6998" s="15">
        <f t="shared" si="3"/>
        <v>14</v>
      </c>
    </row>
    <row r="6999">
      <c r="A6999" s="8" t="str">
        <f>IFERROR(__xludf.DUMMYFUNCTION("IF('(INGESTA)Datos_consumo_datadis'!A6999&lt;&gt;"""",SPLIT('(INGESTA)Datos_consumo_datadis'!A:A,"",""),"""")"),"ES0031408323131005HX0F")</f>
        <v>ES0031408323131005HX0F</v>
      </c>
      <c r="B6999" s="12">
        <f>IFERROR(__xludf.DUMMYFUNCTION("""COMPUTED_VALUE"""),45157.0)</f>
        <v>45157</v>
      </c>
      <c r="C6999" s="13">
        <f>IFERROR(__xludf.DUMMYFUNCTION("""COMPUTED_VALUE"""),0.625)</f>
        <v>0.625</v>
      </c>
      <c r="D6999" s="8">
        <f>IFERROR(__xludf.DUMMYFUNCTION("""COMPUTED_VALUE"""),0.787)</f>
        <v>0.787</v>
      </c>
      <c r="E6999" s="8" t="str">
        <f>IFERROR(__xludf.DUMMYFUNCTION("""COMPUTED_VALUE"""),"Real")</f>
        <v>Real</v>
      </c>
      <c r="G6999" s="8">
        <f t="shared" si="1"/>
        <v>8</v>
      </c>
      <c r="H6999" s="14">
        <f t="shared" si="2"/>
        <v>19</v>
      </c>
      <c r="I6999" s="15">
        <f t="shared" si="3"/>
        <v>15</v>
      </c>
    </row>
    <row r="7000">
      <c r="A7000" s="8" t="str">
        <f>IFERROR(__xludf.DUMMYFUNCTION("IF('(INGESTA)Datos_consumo_datadis'!A7000&lt;&gt;"""",SPLIT('(INGESTA)Datos_consumo_datadis'!A:A,"",""),"""")"),"ES0031408323131005HX0F")</f>
        <v>ES0031408323131005HX0F</v>
      </c>
      <c r="B7000" s="12">
        <f>IFERROR(__xludf.DUMMYFUNCTION("""COMPUTED_VALUE"""),45157.0)</f>
        <v>45157</v>
      </c>
      <c r="C7000" s="13">
        <f>IFERROR(__xludf.DUMMYFUNCTION("""COMPUTED_VALUE"""),0.6666666666666666)</f>
        <v>0.6666666667</v>
      </c>
      <c r="D7000" s="8">
        <f>IFERROR(__xludf.DUMMYFUNCTION("""COMPUTED_VALUE"""),0.12)</f>
        <v>0.12</v>
      </c>
      <c r="E7000" s="8" t="str">
        <f>IFERROR(__xludf.DUMMYFUNCTION("""COMPUTED_VALUE"""),"Real")</f>
        <v>Real</v>
      </c>
      <c r="G7000" s="8">
        <f t="shared" si="1"/>
        <v>8</v>
      </c>
      <c r="H7000" s="14">
        <f t="shared" si="2"/>
        <v>19</v>
      </c>
      <c r="I7000" s="15">
        <f t="shared" si="3"/>
        <v>16</v>
      </c>
    </row>
    <row r="7001">
      <c r="A7001" s="8" t="str">
        <f>IFERROR(__xludf.DUMMYFUNCTION("IF('(INGESTA)Datos_consumo_datadis'!A7001&lt;&gt;"""",SPLIT('(INGESTA)Datos_consumo_datadis'!A:A,"",""),"""")"),"ES0031408323131005HX0F")</f>
        <v>ES0031408323131005HX0F</v>
      </c>
      <c r="B7001" s="12">
        <f>IFERROR(__xludf.DUMMYFUNCTION("""COMPUTED_VALUE"""),45157.0)</f>
        <v>45157</v>
      </c>
      <c r="C7001" s="13">
        <f>IFERROR(__xludf.DUMMYFUNCTION("""COMPUTED_VALUE"""),0.7083333333333334)</f>
        <v>0.7083333333</v>
      </c>
      <c r="D7001" s="8">
        <f>IFERROR(__xludf.DUMMYFUNCTION("""COMPUTED_VALUE"""),0.12)</f>
        <v>0.12</v>
      </c>
      <c r="E7001" s="8" t="str">
        <f>IFERROR(__xludf.DUMMYFUNCTION("""COMPUTED_VALUE"""),"Real")</f>
        <v>Real</v>
      </c>
      <c r="G7001" s="8">
        <f t="shared" si="1"/>
        <v>8</v>
      </c>
      <c r="H7001" s="14">
        <f t="shared" si="2"/>
        <v>19</v>
      </c>
      <c r="I7001" s="15">
        <f t="shared" si="3"/>
        <v>17</v>
      </c>
    </row>
    <row r="7002">
      <c r="A7002" s="8" t="str">
        <f>IFERROR(__xludf.DUMMYFUNCTION("IF('(INGESTA)Datos_consumo_datadis'!A7002&lt;&gt;"""",SPLIT('(INGESTA)Datos_consumo_datadis'!A:A,"",""),"""")"),"ES0031408323131005HX0F")</f>
        <v>ES0031408323131005HX0F</v>
      </c>
      <c r="B7002" s="12">
        <f>IFERROR(__xludf.DUMMYFUNCTION("""COMPUTED_VALUE"""),45157.0)</f>
        <v>45157</v>
      </c>
      <c r="C7002" s="13">
        <f>IFERROR(__xludf.DUMMYFUNCTION("""COMPUTED_VALUE"""),0.75)</f>
        <v>0.75</v>
      </c>
      <c r="D7002" s="8">
        <f>IFERROR(__xludf.DUMMYFUNCTION("""COMPUTED_VALUE"""),0.134)</f>
        <v>0.134</v>
      </c>
      <c r="E7002" s="8" t="str">
        <f>IFERROR(__xludf.DUMMYFUNCTION("""COMPUTED_VALUE"""),"Real")</f>
        <v>Real</v>
      </c>
      <c r="G7002" s="8">
        <f t="shared" si="1"/>
        <v>8</v>
      </c>
      <c r="H7002" s="14">
        <f t="shared" si="2"/>
        <v>19</v>
      </c>
      <c r="I7002" s="15">
        <f t="shared" si="3"/>
        <v>18</v>
      </c>
    </row>
    <row r="7003">
      <c r="A7003" s="8" t="str">
        <f>IFERROR(__xludf.DUMMYFUNCTION("IF('(INGESTA)Datos_consumo_datadis'!A7003&lt;&gt;"""",SPLIT('(INGESTA)Datos_consumo_datadis'!A:A,"",""),"""")"),"ES0031408323131005HX0F")</f>
        <v>ES0031408323131005HX0F</v>
      </c>
      <c r="B7003" s="12">
        <f>IFERROR(__xludf.DUMMYFUNCTION("""COMPUTED_VALUE"""),45157.0)</f>
        <v>45157</v>
      </c>
      <c r="C7003" s="13">
        <f>IFERROR(__xludf.DUMMYFUNCTION("""COMPUTED_VALUE"""),0.7916666666666666)</f>
        <v>0.7916666667</v>
      </c>
      <c r="D7003" s="8">
        <f>IFERROR(__xludf.DUMMYFUNCTION("""COMPUTED_VALUE"""),0.132)</f>
        <v>0.132</v>
      </c>
      <c r="E7003" s="8" t="str">
        <f>IFERROR(__xludf.DUMMYFUNCTION("""COMPUTED_VALUE"""),"Real")</f>
        <v>Real</v>
      </c>
      <c r="G7003" s="8">
        <f t="shared" si="1"/>
        <v>8</v>
      </c>
      <c r="H7003" s="14">
        <f t="shared" si="2"/>
        <v>19</v>
      </c>
      <c r="I7003" s="15">
        <f t="shared" si="3"/>
        <v>19</v>
      </c>
    </row>
    <row r="7004">
      <c r="A7004" s="8" t="str">
        <f>IFERROR(__xludf.DUMMYFUNCTION("IF('(INGESTA)Datos_consumo_datadis'!A7004&lt;&gt;"""",SPLIT('(INGESTA)Datos_consumo_datadis'!A:A,"",""),"""")"),"ES0031408323131005HX0F")</f>
        <v>ES0031408323131005HX0F</v>
      </c>
      <c r="B7004" s="12">
        <f>IFERROR(__xludf.DUMMYFUNCTION("""COMPUTED_VALUE"""),45157.0)</f>
        <v>45157</v>
      </c>
      <c r="C7004" s="13">
        <f>IFERROR(__xludf.DUMMYFUNCTION("""COMPUTED_VALUE"""),0.8333333333333334)</f>
        <v>0.8333333333</v>
      </c>
      <c r="D7004" s="8">
        <f>IFERROR(__xludf.DUMMYFUNCTION("""COMPUTED_VALUE"""),0.153)</f>
        <v>0.153</v>
      </c>
      <c r="E7004" s="8" t="str">
        <f>IFERROR(__xludf.DUMMYFUNCTION("""COMPUTED_VALUE"""),"Real")</f>
        <v>Real</v>
      </c>
      <c r="G7004" s="8">
        <f t="shared" si="1"/>
        <v>8</v>
      </c>
      <c r="H7004" s="14">
        <f t="shared" si="2"/>
        <v>19</v>
      </c>
      <c r="I7004" s="15">
        <f t="shared" si="3"/>
        <v>20</v>
      </c>
    </row>
    <row r="7005">
      <c r="A7005" s="8" t="str">
        <f>IFERROR(__xludf.DUMMYFUNCTION("IF('(INGESTA)Datos_consumo_datadis'!A7005&lt;&gt;"""",SPLIT('(INGESTA)Datos_consumo_datadis'!A:A,"",""),"""")"),"ES0031408323131005HX0F")</f>
        <v>ES0031408323131005HX0F</v>
      </c>
      <c r="B7005" s="12">
        <f>IFERROR(__xludf.DUMMYFUNCTION("""COMPUTED_VALUE"""),45157.0)</f>
        <v>45157</v>
      </c>
      <c r="C7005" s="13">
        <f>IFERROR(__xludf.DUMMYFUNCTION("""COMPUTED_VALUE"""),0.875)</f>
        <v>0.875</v>
      </c>
      <c r="D7005" s="8">
        <f>IFERROR(__xludf.DUMMYFUNCTION("""COMPUTED_VALUE"""),0.995)</f>
        <v>0.995</v>
      </c>
      <c r="E7005" s="8" t="str">
        <f>IFERROR(__xludf.DUMMYFUNCTION("""COMPUTED_VALUE"""),"Real")</f>
        <v>Real</v>
      </c>
      <c r="G7005" s="8">
        <f t="shared" si="1"/>
        <v>8</v>
      </c>
      <c r="H7005" s="14">
        <f t="shared" si="2"/>
        <v>19</v>
      </c>
      <c r="I7005" s="15">
        <f t="shared" si="3"/>
        <v>21</v>
      </c>
    </row>
    <row r="7006">
      <c r="A7006" s="8" t="str">
        <f>IFERROR(__xludf.DUMMYFUNCTION("IF('(INGESTA)Datos_consumo_datadis'!A7006&lt;&gt;"""",SPLIT('(INGESTA)Datos_consumo_datadis'!A:A,"",""),"""")"),"ES0031408323131005HX0F")</f>
        <v>ES0031408323131005HX0F</v>
      </c>
      <c r="B7006" s="12">
        <f>IFERROR(__xludf.DUMMYFUNCTION("""COMPUTED_VALUE"""),45157.0)</f>
        <v>45157</v>
      </c>
      <c r="C7006" s="13">
        <f>IFERROR(__xludf.DUMMYFUNCTION("""COMPUTED_VALUE"""),0.9166666666666666)</f>
        <v>0.9166666667</v>
      </c>
      <c r="D7006" s="8">
        <f>IFERROR(__xludf.DUMMYFUNCTION("""COMPUTED_VALUE"""),0.674)</f>
        <v>0.674</v>
      </c>
      <c r="E7006" s="8" t="str">
        <f>IFERROR(__xludf.DUMMYFUNCTION("""COMPUTED_VALUE"""),"Real")</f>
        <v>Real</v>
      </c>
      <c r="G7006" s="8">
        <f t="shared" si="1"/>
        <v>8</v>
      </c>
      <c r="H7006" s="14">
        <f t="shared" si="2"/>
        <v>19</v>
      </c>
      <c r="I7006" s="15">
        <f t="shared" si="3"/>
        <v>22</v>
      </c>
    </row>
    <row r="7007">
      <c r="A7007" s="8" t="str">
        <f>IFERROR(__xludf.DUMMYFUNCTION("IF('(INGESTA)Datos_consumo_datadis'!A7007&lt;&gt;"""",SPLIT('(INGESTA)Datos_consumo_datadis'!A:A,"",""),"""")"),"ES0031408323131005HX0F")</f>
        <v>ES0031408323131005HX0F</v>
      </c>
      <c r="B7007" s="12">
        <f>IFERROR(__xludf.DUMMYFUNCTION("""COMPUTED_VALUE"""),45157.0)</f>
        <v>45157</v>
      </c>
      <c r="C7007" s="13">
        <f>IFERROR(__xludf.DUMMYFUNCTION("""COMPUTED_VALUE"""),0.9583333333333334)</f>
        <v>0.9583333333</v>
      </c>
      <c r="D7007" s="8">
        <f>IFERROR(__xludf.DUMMYFUNCTION("""COMPUTED_VALUE"""),0.053)</f>
        <v>0.053</v>
      </c>
      <c r="E7007" s="8" t="str">
        <f>IFERROR(__xludf.DUMMYFUNCTION("""COMPUTED_VALUE"""),"Real")</f>
        <v>Real</v>
      </c>
      <c r="G7007" s="8">
        <f t="shared" si="1"/>
        <v>8</v>
      </c>
      <c r="H7007" s="14">
        <f t="shared" si="2"/>
        <v>19</v>
      </c>
      <c r="I7007" s="15">
        <f t="shared" si="3"/>
        <v>23</v>
      </c>
    </row>
    <row r="7008">
      <c r="A7008" s="8" t="str">
        <f>IFERROR(__xludf.DUMMYFUNCTION("IF('(INGESTA)Datos_consumo_datadis'!A7008&lt;&gt;"""",SPLIT('(INGESTA)Datos_consumo_datadis'!A:A,"",""),"""")"),"ES0031408323131005HX0F")</f>
        <v>ES0031408323131005HX0F</v>
      </c>
      <c r="B7008" s="12">
        <f>IFERROR(__xludf.DUMMYFUNCTION("""COMPUTED_VALUE"""),45157.0)</f>
        <v>45157</v>
      </c>
      <c r="C7008" s="16">
        <f>IFERROR(__xludf.DUMMYFUNCTION("""COMPUTED_VALUE"""),1.0)</f>
        <v>1</v>
      </c>
      <c r="D7008" s="8">
        <f>IFERROR(__xludf.DUMMYFUNCTION("""COMPUTED_VALUE"""),0.121)</f>
        <v>0.121</v>
      </c>
      <c r="E7008" s="8" t="str">
        <f>IFERROR(__xludf.DUMMYFUNCTION("""COMPUTED_VALUE"""),"Real")</f>
        <v>Real</v>
      </c>
      <c r="G7008" s="8">
        <f t="shared" si="1"/>
        <v>8</v>
      </c>
      <c r="H7008" s="14">
        <f t="shared" si="2"/>
        <v>19</v>
      </c>
      <c r="I7008" s="15">
        <f t="shared" si="3"/>
        <v>0</v>
      </c>
    </row>
    <row r="7009">
      <c r="A7009" s="8" t="str">
        <f>IFERROR(__xludf.DUMMYFUNCTION("IF('(INGESTA)Datos_consumo_datadis'!A7009&lt;&gt;"""",SPLIT('(INGESTA)Datos_consumo_datadis'!A:A,"",""),"""")"),"ES0031408323131005HX0F")</f>
        <v>ES0031408323131005HX0F</v>
      </c>
      <c r="B7009" s="12">
        <f>IFERROR(__xludf.DUMMYFUNCTION("""COMPUTED_VALUE"""),45158.0)</f>
        <v>45158</v>
      </c>
      <c r="C7009" s="13">
        <f>IFERROR(__xludf.DUMMYFUNCTION("""COMPUTED_VALUE"""),0.041666666666666664)</f>
        <v>0.04166666667</v>
      </c>
      <c r="D7009" s="8">
        <f>IFERROR(__xludf.DUMMYFUNCTION("""COMPUTED_VALUE"""),0.483)</f>
        <v>0.483</v>
      </c>
      <c r="E7009" s="8" t="str">
        <f>IFERROR(__xludf.DUMMYFUNCTION("""COMPUTED_VALUE"""),"Real")</f>
        <v>Real</v>
      </c>
      <c r="G7009" s="8">
        <f t="shared" si="1"/>
        <v>8</v>
      </c>
      <c r="H7009" s="14">
        <f t="shared" si="2"/>
        <v>20</v>
      </c>
      <c r="I7009" s="15">
        <f t="shared" si="3"/>
        <v>1</v>
      </c>
    </row>
    <row r="7010">
      <c r="A7010" s="8" t="str">
        <f>IFERROR(__xludf.DUMMYFUNCTION("IF('(INGESTA)Datos_consumo_datadis'!A7010&lt;&gt;"""",SPLIT('(INGESTA)Datos_consumo_datadis'!A:A,"",""),"""")"),"ES0031408323131005HX0F")</f>
        <v>ES0031408323131005HX0F</v>
      </c>
      <c r="B7010" s="12">
        <f>IFERROR(__xludf.DUMMYFUNCTION("""COMPUTED_VALUE"""),45158.0)</f>
        <v>45158</v>
      </c>
      <c r="C7010" s="13">
        <f>IFERROR(__xludf.DUMMYFUNCTION("""COMPUTED_VALUE"""),0.08333333333333333)</f>
        <v>0.08333333333</v>
      </c>
      <c r="D7010" s="8">
        <f>IFERROR(__xludf.DUMMYFUNCTION("""COMPUTED_VALUE"""),1.706)</f>
        <v>1.706</v>
      </c>
      <c r="E7010" s="8" t="str">
        <f>IFERROR(__xludf.DUMMYFUNCTION("""COMPUTED_VALUE"""),"Real")</f>
        <v>Real</v>
      </c>
      <c r="G7010" s="8">
        <f t="shared" si="1"/>
        <v>8</v>
      </c>
      <c r="H7010" s="14">
        <f t="shared" si="2"/>
        <v>20</v>
      </c>
      <c r="I7010" s="15">
        <f t="shared" si="3"/>
        <v>2</v>
      </c>
    </row>
    <row r="7011">
      <c r="A7011" s="8" t="str">
        <f>IFERROR(__xludf.DUMMYFUNCTION("IF('(INGESTA)Datos_consumo_datadis'!A7011&lt;&gt;"""",SPLIT('(INGESTA)Datos_consumo_datadis'!A:A,"",""),"""")"),"ES0031408323131005HX0F")</f>
        <v>ES0031408323131005HX0F</v>
      </c>
      <c r="B7011" s="12">
        <f>IFERROR(__xludf.DUMMYFUNCTION("""COMPUTED_VALUE"""),45158.0)</f>
        <v>45158</v>
      </c>
      <c r="C7011" s="13">
        <f>IFERROR(__xludf.DUMMYFUNCTION("""COMPUTED_VALUE"""),0.125)</f>
        <v>0.125</v>
      </c>
      <c r="D7011" s="8">
        <f>IFERROR(__xludf.DUMMYFUNCTION("""COMPUTED_VALUE"""),1.128)</f>
        <v>1.128</v>
      </c>
      <c r="E7011" s="8" t="str">
        <f>IFERROR(__xludf.DUMMYFUNCTION("""COMPUTED_VALUE"""),"Real")</f>
        <v>Real</v>
      </c>
      <c r="G7011" s="8">
        <f t="shared" si="1"/>
        <v>8</v>
      </c>
      <c r="H7011" s="14">
        <f t="shared" si="2"/>
        <v>20</v>
      </c>
      <c r="I7011" s="15">
        <f t="shared" si="3"/>
        <v>3</v>
      </c>
    </row>
    <row r="7012">
      <c r="A7012" s="8" t="str">
        <f>IFERROR(__xludf.DUMMYFUNCTION("IF('(INGESTA)Datos_consumo_datadis'!A7012&lt;&gt;"""",SPLIT('(INGESTA)Datos_consumo_datadis'!A:A,"",""),"""")"),"ES0031408323131005HX0F")</f>
        <v>ES0031408323131005HX0F</v>
      </c>
      <c r="B7012" s="12">
        <f>IFERROR(__xludf.DUMMYFUNCTION("""COMPUTED_VALUE"""),45158.0)</f>
        <v>45158</v>
      </c>
      <c r="C7012" s="13">
        <f>IFERROR(__xludf.DUMMYFUNCTION("""COMPUTED_VALUE"""),0.16666666666666666)</f>
        <v>0.1666666667</v>
      </c>
      <c r="D7012" s="8">
        <f>IFERROR(__xludf.DUMMYFUNCTION("""COMPUTED_VALUE"""),0.977)</f>
        <v>0.977</v>
      </c>
      <c r="E7012" s="8" t="str">
        <f>IFERROR(__xludf.DUMMYFUNCTION("""COMPUTED_VALUE"""),"Real")</f>
        <v>Real</v>
      </c>
      <c r="G7012" s="8">
        <f t="shared" si="1"/>
        <v>8</v>
      </c>
      <c r="H7012" s="14">
        <f t="shared" si="2"/>
        <v>20</v>
      </c>
      <c r="I7012" s="15">
        <f t="shared" si="3"/>
        <v>4</v>
      </c>
    </row>
    <row r="7013">
      <c r="A7013" s="8" t="str">
        <f>IFERROR(__xludf.DUMMYFUNCTION("IF('(INGESTA)Datos_consumo_datadis'!A7013&lt;&gt;"""",SPLIT('(INGESTA)Datos_consumo_datadis'!A:A,"",""),"""")"),"ES0031408323131005HX0F")</f>
        <v>ES0031408323131005HX0F</v>
      </c>
      <c r="B7013" s="12">
        <f>IFERROR(__xludf.DUMMYFUNCTION("""COMPUTED_VALUE"""),45158.0)</f>
        <v>45158</v>
      </c>
      <c r="C7013" s="13">
        <f>IFERROR(__xludf.DUMMYFUNCTION("""COMPUTED_VALUE"""),0.20833333333333334)</f>
        <v>0.2083333333</v>
      </c>
      <c r="D7013" s="8">
        <f>IFERROR(__xludf.DUMMYFUNCTION("""COMPUTED_VALUE"""),1.079)</f>
        <v>1.079</v>
      </c>
      <c r="E7013" s="8" t="str">
        <f>IFERROR(__xludf.DUMMYFUNCTION("""COMPUTED_VALUE"""),"Real")</f>
        <v>Real</v>
      </c>
      <c r="G7013" s="8">
        <f t="shared" si="1"/>
        <v>8</v>
      </c>
      <c r="H7013" s="14">
        <f t="shared" si="2"/>
        <v>20</v>
      </c>
      <c r="I7013" s="15">
        <f t="shared" si="3"/>
        <v>5</v>
      </c>
    </row>
    <row r="7014">
      <c r="A7014" s="8" t="str">
        <f>IFERROR(__xludf.DUMMYFUNCTION("IF('(INGESTA)Datos_consumo_datadis'!A7014&lt;&gt;"""",SPLIT('(INGESTA)Datos_consumo_datadis'!A:A,"",""),"""")"),"ES0031408323131005HX0F")</f>
        <v>ES0031408323131005HX0F</v>
      </c>
      <c r="B7014" s="12">
        <f>IFERROR(__xludf.DUMMYFUNCTION("""COMPUTED_VALUE"""),45158.0)</f>
        <v>45158</v>
      </c>
      <c r="C7014" s="13">
        <f>IFERROR(__xludf.DUMMYFUNCTION("""COMPUTED_VALUE"""),0.25)</f>
        <v>0.25</v>
      </c>
      <c r="D7014" s="8">
        <f>IFERROR(__xludf.DUMMYFUNCTION("""COMPUTED_VALUE"""),0.365)</f>
        <v>0.365</v>
      </c>
      <c r="E7014" s="8" t="str">
        <f>IFERROR(__xludf.DUMMYFUNCTION("""COMPUTED_VALUE"""),"Real")</f>
        <v>Real</v>
      </c>
      <c r="G7014" s="8">
        <f t="shared" si="1"/>
        <v>8</v>
      </c>
      <c r="H7014" s="14">
        <f t="shared" si="2"/>
        <v>20</v>
      </c>
      <c r="I7014" s="15">
        <f t="shared" si="3"/>
        <v>6</v>
      </c>
    </row>
    <row r="7015">
      <c r="A7015" s="8" t="str">
        <f>IFERROR(__xludf.DUMMYFUNCTION("IF('(INGESTA)Datos_consumo_datadis'!A7015&lt;&gt;"""",SPLIT('(INGESTA)Datos_consumo_datadis'!A:A,"",""),"""")"),"ES0031408323131005HX0F")</f>
        <v>ES0031408323131005HX0F</v>
      </c>
      <c r="B7015" s="12">
        <f>IFERROR(__xludf.DUMMYFUNCTION("""COMPUTED_VALUE"""),45158.0)</f>
        <v>45158</v>
      </c>
      <c r="C7015" s="13">
        <f>IFERROR(__xludf.DUMMYFUNCTION("""COMPUTED_VALUE"""),0.2916666666666667)</f>
        <v>0.2916666667</v>
      </c>
      <c r="D7015" s="8">
        <f>IFERROR(__xludf.DUMMYFUNCTION("""COMPUTED_VALUE"""),0.132)</f>
        <v>0.132</v>
      </c>
      <c r="E7015" s="8" t="str">
        <f>IFERROR(__xludf.DUMMYFUNCTION("""COMPUTED_VALUE"""),"Real")</f>
        <v>Real</v>
      </c>
      <c r="G7015" s="8">
        <f t="shared" si="1"/>
        <v>8</v>
      </c>
      <c r="H7015" s="14">
        <f t="shared" si="2"/>
        <v>20</v>
      </c>
      <c r="I7015" s="15">
        <f t="shared" si="3"/>
        <v>7</v>
      </c>
    </row>
    <row r="7016">
      <c r="A7016" s="8" t="str">
        <f>IFERROR(__xludf.DUMMYFUNCTION("IF('(INGESTA)Datos_consumo_datadis'!A7016&lt;&gt;"""",SPLIT('(INGESTA)Datos_consumo_datadis'!A:A,"",""),"""")"),"ES0031408323131005HX0F")</f>
        <v>ES0031408323131005HX0F</v>
      </c>
      <c r="B7016" s="12">
        <f>IFERROR(__xludf.DUMMYFUNCTION("""COMPUTED_VALUE"""),45158.0)</f>
        <v>45158</v>
      </c>
      <c r="C7016" s="13">
        <f>IFERROR(__xludf.DUMMYFUNCTION("""COMPUTED_VALUE"""),0.3333333333333333)</f>
        <v>0.3333333333</v>
      </c>
      <c r="D7016" s="8">
        <f>IFERROR(__xludf.DUMMYFUNCTION("""COMPUTED_VALUE"""),0.081)</f>
        <v>0.081</v>
      </c>
      <c r="E7016" s="8" t="str">
        <f>IFERROR(__xludf.DUMMYFUNCTION("""COMPUTED_VALUE"""),"Real")</f>
        <v>Real</v>
      </c>
      <c r="G7016" s="8">
        <f t="shared" si="1"/>
        <v>8</v>
      </c>
      <c r="H7016" s="14">
        <f t="shared" si="2"/>
        <v>20</v>
      </c>
      <c r="I7016" s="15">
        <f t="shared" si="3"/>
        <v>8</v>
      </c>
    </row>
    <row r="7017">
      <c r="A7017" s="8" t="str">
        <f>IFERROR(__xludf.DUMMYFUNCTION("IF('(INGESTA)Datos_consumo_datadis'!A7017&lt;&gt;"""",SPLIT('(INGESTA)Datos_consumo_datadis'!A:A,"",""),"""")"),"ES0031408323131005HX0F")</f>
        <v>ES0031408323131005HX0F</v>
      </c>
      <c r="B7017" s="12">
        <f>IFERROR(__xludf.DUMMYFUNCTION("""COMPUTED_VALUE"""),45158.0)</f>
        <v>45158</v>
      </c>
      <c r="C7017" s="13">
        <f>IFERROR(__xludf.DUMMYFUNCTION("""COMPUTED_VALUE"""),0.375)</f>
        <v>0.375</v>
      </c>
      <c r="D7017" s="8">
        <f>IFERROR(__xludf.DUMMYFUNCTION("""COMPUTED_VALUE"""),0.786)</f>
        <v>0.786</v>
      </c>
      <c r="E7017" s="8" t="str">
        <f>IFERROR(__xludf.DUMMYFUNCTION("""COMPUTED_VALUE"""),"Real")</f>
        <v>Real</v>
      </c>
      <c r="G7017" s="8">
        <f t="shared" si="1"/>
        <v>8</v>
      </c>
      <c r="H7017" s="14">
        <f t="shared" si="2"/>
        <v>20</v>
      </c>
      <c r="I7017" s="15">
        <f t="shared" si="3"/>
        <v>9</v>
      </c>
    </row>
    <row r="7018">
      <c r="A7018" s="8" t="str">
        <f>IFERROR(__xludf.DUMMYFUNCTION("IF('(INGESTA)Datos_consumo_datadis'!A7018&lt;&gt;"""",SPLIT('(INGESTA)Datos_consumo_datadis'!A:A,"",""),"""")"),"ES0031408323131005HX0F")</f>
        <v>ES0031408323131005HX0F</v>
      </c>
      <c r="B7018" s="12">
        <f>IFERROR(__xludf.DUMMYFUNCTION("""COMPUTED_VALUE"""),45158.0)</f>
        <v>45158</v>
      </c>
      <c r="C7018" s="13">
        <f>IFERROR(__xludf.DUMMYFUNCTION("""COMPUTED_VALUE"""),0.4166666666666667)</f>
        <v>0.4166666667</v>
      </c>
      <c r="D7018" s="8">
        <f>IFERROR(__xludf.DUMMYFUNCTION("""COMPUTED_VALUE"""),0.674)</f>
        <v>0.674</v>
      </c>
      <c r="E7018" s="8" t="str">
        <f>IFERROR(__xludf.DUMMYFUNCTION("""COMPUTED_VALUE"""),"Real")</f>
        <v>Real</v>
      </c>
      <c r="G7018" s="8">
        <f t="shared" si="1"/>
        <v>8</v>
      </c>
      <c r="H7018" s="14">
        <f t="shared" si="2"/>
        <v>20</v>
      </c>
      <c r="I7018" s="15">
        <f t="shared" si="3"/>
        <v>10</v>
      </c>
    </row>
    <row r="7019">
      <c r="A7019" s="8" t="str">
        <f>IFERROR(__xludf.DUMMYFUNCTION("IF('(INGESTA)Datos_consumo_datadis'!A7019&lt;&gt;"""",SPLIT('(INGESTA)Datos_consumo_datadis'!A:A,"",""),"""")"),"ES0031408323131005HX0F")</f>
        <v>ES0031408323131005HX0F</v>
      </c>
      <c r="B7019" s="12">
        <f>IFERROR(__xludf.DUMMYFUNCTION("""COMPUTED_VALUE"""),45158.0)</f>
        <v>45158</v>
      </c>
      <c r="C7019" s="13">
        <f>IFERROR(__xludf.DUMMYFUNCTION("""COMPUTED_VALUE"""),0.4583333333333333)</f>
        <v>0.4583333333</v>
      </c>
      <c r="D7019" s="8">
        <f>IFERROR(__xludf.DUMMYFUNCTION("""COMPUTED_VALUE"""),0.289)</f>
        <v>0.289</v>
      </c>
      <c r="E7019" s="8" t="str">
        <f>IFERROR(__xludf.DUMMYFUNCTION("""COMPUTED_VALUE"""),"Real")</f>
        <v>Real</v>
      </c>
      <c r="G7019" s="8">
        <f t="shared" si="1"/>
        <v>8</v>
      </c>
      <c r="H7019" s="14">
        <f t="shared" si="2"/>
        <v>20</v>
      </c>
      <c r="I7019" s="15">
        <f t="shared" si="3"/>
        <v>11</v>
      </c>
    </row>
    <row r="7020">
      <c r="A7020" s="8" t="str">
        <f>IFERROR(__xludf.DUMMYFUNCTION("IF('(INGESTA)Datos_consumo_datadis'!A7020&lt;&gt;"""",SPLIT('(INGESTA)Datos_consumo_datadis'!A:A,"",""),"""")"),"ES0031408323131005HX0F")</f>
        <v>ES0031408323131005HX0F</v>
      </c>
      <c r="B7020" s="12">
        <f>IFERROR(__xludf.DUMMYFUNCTION("""COMPUTED_VALUE"""),45158.0)</f>
        <v>45158</v>
      </c>
      <c r="C7020" s="13">
        <f>IFERROR(__xludf.DUMMYFUNCTION("""COMPUTED_VALUE"""),0.5)</f>
        <v>0.5</v>
      </c>
      <c r="D7020" s="8">
        <f>IFERROR(__xludf.DUMMYFUNCTION("""COMPUTED_VALUE"""),1.269)</f>
        <v>1.269</v>
      </c>
      <c r="E7020" s="8" t="str">
        <f>IFERROR(__xludf.DUMMYFUNCTION("""COMPUTED_VALUE"""),"Real")</f>
        <v>Real</v>
      </c>
      <c r="G7020" s="8">
        <f t="shared" si="1"/>
        <v>8</v>
      </c>
      <c r="H7020" s="14">
        <f t="shared" si="2"/>
        <v>20</v>
      </c>
      <c r="I7020" s="15">
        <f t="shared" si="3"/>
        <v>12</v>
      </c>
    </row>
    <row r="7021">
      <c r="A7021" s="8" t="str">
        <f>IFERROR(__xludf.DUMMYFUNCTION("IF('(INGESTA)Datos_consumo_datadis'!A7021&lt;&gt;"""",SPLIT('(INGESTA)Datos_consumo_datadis'!A:A,"",""),"""")"),"ES0031408323131005HX0F")</f>
        <v>ES0031408323131005HX0F</v>
      </c>
      <c r="B7021" s="12">
        <f>IFERROR(__xludf.DUMMYFUNCTION("""COMPUTED_VALUE"""),45158.0)</f>
        <v>45158</v>
      </c>
      <c r="C7021" s="13">
        <f>IFERROR(__xludf.DUMMYFUNCTION("""COMPUTED_VALUE"""),0.5416666666666666)</f>
        <v>0.5416666667</v>
      </c>
      <c r="D7021" s="8">
        <f>IFERROR(__xludf.DUMMYFUNCTION("""COMPUTED_VALUE"""),0.122)</f>
        <v>0.122</v>
      </c>
      <c r="E7021" s="8" t="str">
        <f>IFERROR(__xludf.DUMMYFUNCTION("""COMPUTED_VALUE"""),"Real")</f>
        <v>Real</v>
      </c>
      <c r="G7021" s="8">
        <f t="shared" si="1"/>
        <v>8</v>
      </c>
      <c r="H7021" s="14">
        <f t="shared" si="2"/>
        <v>20</v>
      </c>
      <c r="I7021" s="15">
        <f t="shared" si="3"/>
        <v>13</v>
      </c>
    </row>
    <row r="7022">
      <c r="A7022" s="8" t="str">
        <f>IFERROR(__xludf.DUMMYFUNCTION("IF('(INGESTA)Datos_consumo_datadis'!A7022&lt;&gt;"""",SPLIT('(INGESTA)Datos_consumo_datadis'!A:A,"",""),"""")"),"ES0031408323131005HX0F")</f>
        <v>ES0031408323131005HX0F</v>
      </c>
      <c r="B7022" s="12">
        <f>IFERROR(__xludf.DUMMYFUNCTION("""COMPUTED_VALUE"""),45158.0)</f>
        <v>45158</v>
      </c>
      <c r="C7022" s="13">
        <f>IFERROR(__xludf.DUMMYFUNCTION("""COMPUTED_VALUE"""),0.5833333333333334)</f>
        <v>0.5833333333</v>
      </c>
      <c r="D7022" s="8">
        <f>IFERROR(__xludf.DUMMYFUNCTION("""COMPUTED_VALUE"""),3.007)</f>
        <v>3.007</v>
      </c>
      <c r="E7022" s="8" t="str">
        <f>IFERROR(__xludf.DUMMYFUNCTION("""COMPUTED_VALUE"""),"Real")</f>
        <v>Real</v>
      </c>
      <c r="G7022" s="8">
        <f t="shared" si="1"/>
        <v>8</v>
      </c>
      <c r="H7022" s="14">
        <f t="shared" si="2"/>
        <v>20</v>
      </c>
      <c r="I7022" s="15">
        <f t="shared" si="3"/>
        <v>14</v>
      </c>
    </row>
    <row r="7023">
      <c r="A7023" s="8" t="str">
        <f>IFERROR(__xludf.DUMMYFUNCTION("IF('(INGESTA)Datos_consumo_datadis'!A7023&lt;&gt;"""",SPLIT('(INGESTA)Datos_consumo_datadis'!A:A,"",""),"""")"),"ES0031408323131005HX0F")</f>
        <v>ES0031408323131005HX0F</v>
      </c>
      <c r="B7023" s="12">
        <f>IFERROR(__xludf.DUMMYFUNCTION("""COMPUTED_VALUE"""),45158.0)</f>
        <v>45158</v>
      </c>
      <c r="C7023" s="13">
        <f>IFERROR(__xludf.DUMMYFUNCTION("""COMPUTED_VALUE"""),0.625)</f>
        <v>0.625</v>
      </c>
      <c r="D7023" s="8">
        <f>IFERROR(__xludf.DUMMYFUNCTION("""COMPUTED_VALUE"""),2.048)</f>
        <v>2.048</v>
      </c>
      <c r="E7023" s="8" t="str">
        <f>IFERROR(__xludf.DUMMYFUNCTION("""COMPUTED_VALUE"""),"Real")</f>
        <v>Real</v>
      </c>
      <c r="G7023" s="8">
        <f t="shared" si="1"/>
        <v>8</v>
      </c>
      <c r="H7023" s="14">
        <f t="shared" si="2"/>
        <v>20</v>
      </c>
      <c r="I7023" s="15">
        <f t="shared" si="3"/>
        <v>15</v>
      </c>
    </row>
    <row r="7024">
      <c r="A7024" s="8" t="str">
        <f>IFERROR(__xludf.DUMMYFUNCTION("IF('(INGESTA)Datos_consumo_datadis'!A7024&lt;&gt;"""",SPLIT('(INGESTA)Datos_consumo_datadis'!A:A,"",""),"""")"),"ES0031408323131005HX0F")</f>
        <v>ES0031408323131005HX0F</v>
      </c>
      <c r="B7024" s="12">
        <f>IFERROR(__xludf.DUMMYFUNCTION("""COMPUTED_VALUE"""),45158.0)</f>
        <v>45158</v>
      </c>
      <c r="C7024" s="13">
        <f>IFERROR(__xludf.DUMMYFUNCTION("""COMPUTED_VALUE"""),0.6666666666666666)</f>
        <v>0.6666666667</v>
      </c>
      <c r="D7024" s="8">
        <f>IFERROR(__xludf.DUMMYFUNCTION("""COMPUTED_VALUE"""),0.454)</f>
        <v>0.454</v>
      </c>
      <c r="E7024" s="8" t="str">
        <f>IFERROR(__xludf.DUMMYFUNCTION("""COMPUTED_VALUE"""),"Real")</f>
        <v>Real</v>
      </c>
      <c r="G7024" s="8">
        <f t="shared" si="1"/>
        <v>8</v>
      </c>
      <c r="H7024" s="14">
        <f t="shared" si="2"/>
        <v>20</v>
      </c>
      <c r="I7024" s="15">
        <f t="shared" si="3"/>
        <v>16</v>
      </c>
    </row>
    <row r="7025">
      <c r="A7025" s="8" t="str">
        <f>IFERROR(__xludf.DUMMYFUNCTION("IF('(INGESTA)Datos_consumo_datadis'!A7025&lt;&gt;"""",SPLIT('(INGESTA)Datos_consumo_datadis'!A:A,"",""),"""")"),"ES0031408323131005HX0F")</f>
        <v>ES0031408323131005HX0F</v>
      </c>
      <c r="B7025" s="12">
        <f>IFERROR(__xludf.DUMMYFUNCTION("""COMPUTED_VALUE"""),45158.0)</f>
        <v>45158</v>
      </c>
      <c r="C7025" s="13">
        <f>IFERROR(__xludf.DUMMYFUNCTION("""COMPUTED_VALUE"""),0.7083333333333334)</f>
        <v>0.7083333333</v>
      </c>
      <c r="D7025" s="8">
        <f>IFERROR(__xludf.DUMMYFUNCTION("""COMPUTED_VALUE"""),2.89)</f>
        <v>2.89</v>
      </c>
      <c r="E7025" s="8" t="str">
        <f>IFERROR(__xludf.DUMMYFUNCTION("""COMPUTED_VALUE"""),"Real")</f>
        <v>Real</v>
      </c>
      <c r="G7025" s="8">
        <f t="shared" si="1"/>
        <v>8</v>
      </c>
      <c r="H7025" s="14">
        <f t="shared" si="2"/>
        <v>20</v>
      </c>
      <c r="I7025" s="15">
        <f t="shared" si="3"/>
        <v>17</v>
      </c>
    </row>
    <row r="7026">
      <c r="A7026" s="8" t="str">
        <f>IFERROR(__xludf.DUMMYFUNCTION("IF('(INGESTA)Datos_consumo_datadis'!A7026&lt;&gt;"""",SPLIT('(INGESTA)Datos_consumo_datadis'!A:A,"",""),"""")"),"ES0031408323131005HX0F")</f>
        <v>ES0031408323131005HX0F</v>
      </c>
      <c r="B7026" s="12">
        <f>IFERROR(__xludf.DUMMYFUNCTION("""COMPUTED_VALUE"""),45158.0)</f>
        <v>45158</v>
      </c>
      <c r="C7026" s="13">
        <f>IFERROR(__xludf.DUMMYFUNCTION("""COMPUTED_VALUE"""),0.75)</f>
        <v>0.75</v>
      </c>
      <c r="D7026" s="8">
        <f>IFERROR(__xludf.DUMMYFUNCTION("""COMPUTED_VALUE"""),2.349)</f>
        <v>2.349</v>
      </c>
      <c r="E7026" s="8" t="str">
        <f>IFERROR(__xludf.DUMMYFUNCTION("""COMPUTED_VALUE"""),"Real")</f>
        <v>Real</v>
      </c>
      <c r="G7026" s="8">
        <f t="shared" si="1"/>
        <v>8</v>
      </c>
      <c r="H7026" s="14">
        <f t="shared" si="2"/>
        <v>20</v>
      </c>
      <c r="I7026" s="15">
        <f t="shared" si="3"/>
        <v>18</v>
      </c>
    </row>
    <row r="7027">
      <c r="A7027" s="8" t="str">
        <f>IFERROR(__xludf.DUMMYFUNCTION("IF('(INGESTA)Datos_consumo_datadis'!A7027&lt;&gt;"""",SPLIT('(INGESTA)Datos_consumo_datadis'!A:A,"",""),"""")"),"ES0031408323131005HX0F")</f>
        <v>ES0031408323131005HX0F</v>
      </c>
      <c r="B7027" s="12">
        <f>IFERROR(__xludf.DUMMYFUNCTION("""COMPUTED_VALUE"""),45158.0)</f>
        <v>45158</v>
      </c>
      <c r="C7027" s="13">
        <f>IFERROR(__xludf.DUMMYFUNCTION("""COMPUTED_VALUE"""),0.7916666666666666)</f>
        <v>0.7916666667</v>
      </c>
      <c r="D7027" s="8">
        <f>IFERROR(__xludf.DUMMYFUNCTION("""COMPUTED_VALUE"""),2.646)</f>
        <v>2.646</v>
      </c>
      <c r="E7027" s="8" t="str">
        <f>IFERROR(__xludf.DUMMYFUNCTION("""COMPUTED_VALUE"""),"Real")</f>
        <v>Real</v>
      </c>
      <c r="G7027" s="8">
        <f t="shared" si="1"/>
        <v>8</v>
      </c>
      <c r="H7027" s="14">
        <f t="shared" si="2"/>
        <v>20</v>
      </c>
      <c r="I7027" s="15">
        <f t="shared" si="3"/>
        <v>19</v>
      </c>
    </row>
    <row r="7028">
      <c r="A7028" s="8" t="str">
        <f>IFERROR(__xludf.DUMMYFUNCTION("IF('(INGESTA)Datos_consumo_datadis'!A7028&lt;&gt;"""",SPLIT('(INGESTA)Datos_consumo_datadis'!A:A,"",""),"""")"),"ES0031408323131005HX0F")</f>
        <v>ES0031408323131005HX0F</v>
      </c>
      <c r="B7028" s="12">
        <f>IFERROR(__xludf.DUMMYFUNCTION("""COMPUTED_VALUE"""),45158.0)</f>
        <v>45158</v>
      </c>
      <c r="C7028" s="13">
        <f>IFERROR(__xludf.DUMMYFUNCTION("""COMPUTED_VALUE"""),0.8333333333333334)</f>
        <v>0.8333333333</v>
      </c>
      <c r="D7028" s="8">
        <f>IFERROR(__xludf.DUMMYFUNCTION("""COMPUTED_VALUE"""),0.643)</f>
        <v>0.643</v>
      </c>
      <c r="E7028" s="8" t="str">
        <f>IFERROR(__xludf.DUMMYFUNCTION("""COMPUTED_VALUE"""),"Real")</f>
        <v>Real</v>
      </c>
      <c r="G7028" s="8">
        <f t="shared" si="1"/>
        <v>8</v>
      </c>
      <c r="H7028" s="14">
        <f t="shared" si="2"/>
        <v>20</v>
      </c>
      <c r="I7028" s="15">
        <f t="shared" si="3"/>
        <v>20</v>
      </c>
    </row>
    <row r="7029">
      <c r="A7029" s="8" t="str">
        <f>IFERROR(__xludf.DUMMYFUNCTION("IF('(INGESTA)Datos_consumo_datadis'!A7029&lt;&gt;"""",SPLIT('(INGESTA)Datos_consumo_datadis'!A:A,"",""),"""")"),"ES0031408323131005HX0F")</f>
        <v>ES0031408323131005HX0F</v>
      </c>
      <c r="B7029" s="12">
        <f>IFERROR(__xludf.DUMMYFUNCTION("""COMPUTED_VALUE"""),45158.0)</f>
        <v>45158</v>
      </c>
      <c r="C7029" s="13">
        <f>IFERROR(__xludf.DUMMYFUNCTION("""COMPUTED_VALUE"""),0.875)</f>
        <v>0.875</v>
      </c>
      <c r="D7029" s="8">
        <f>IFERROR(__xludf.DUMMYFUNCTION("""COMPUTED_VALUE"""),1.6)</f>
        <v>1.6</v>
      </c>
      <c r="E7029" s="8" t="str">
        <f>IFERROR(__xludf.DUMMYFUNCTION("""COMPUTED_VALUE"""),"Real")</f>
        <v>Real</v>
      </c>
      <c r="G7029" s="8">
        <f t="shared" si="1"/>
        <v>8</v>
      </c>
      <c r="H7029" s="14">
        <f t="shared" si="2"/>
        <v>20</v>
      </c>
      <c r="I7029" s="15">
        <f t="shared" si="3"/>
        <v>21</v>
      </c>
    </row>
    <row r="7030">
      <c r="A7030" s="8" t="str">
        <f>IFERROR(__xludf.DUMMYFUNCTION("IF('(INGESTA)Datos_consumo_datadis'!A7030&lt;&gt;"""",SPLIT('(INGESTA)Datos_consumo_datadis'!A:A,"",""),"""")"),"ES0031408323131005HX0F")</f>
        <v>ES0031408323131005HX0F</v>
      </c>
      <c r="B7030" s="12">
        <f>IFERROR(__xludf.DUMMYFUNCTION("""COMPUTED_VALUE"""),45158.0)</f>
        <v>45158</v>
      </c>
      <c r="C7030" s="13">
        <f>IFERROR(__xludf.DUMMYFUNCTION("""COMPUTED_VALUE"""),0.9166666666666666)</f>
        <v>0.9166666667</v>
      </c>
      <c r="D7030" s="8">
        <f>IFERROR(__xludf.DUMMYFUNCTION("""COMPUTED_VALUE"""),2.111)</f>
        <v>2.111</v>
      </c>
      <c r="E7030" s="8" t="str">
        <f>IFERROR(__xludf.DUMMYFUNCTION("""COMPUTED_VALUE"""),"Real")</f>
        <v>Real</v>
      </c>
      <c r="G7030" s="8">
        <f t="shared" si="1"/>
        <v>8</v>
      </c>
      <c r="H7030" s="14">
        <f t="shared" si="2"/>
        <v>20</v>
      </c>
      <c r="I7030" s="15">
        <f t="shared" si="3"/>
        <v>22</v>
      </c>
    </row>
    <row r="7031">
      <c r="A7031" s="8" t="str">
        <f>IFERROR(__xludf.DUMMYFUNCTION("IF('(INGESTA)Datos_consumo_datadis'!A7031&lt;&gt;"""",SPLIT('(INGESTA)Datos_consumo_datadis'!A:A,"",""),"""")"),"ES0031408323131005HX0F")</f>
        <v>ES0031408323131005HX0F</v>
      </c>
      <c r="B7031" s="12">
        <f>IFERROR(__xludf.DUMMYFUNCTION("""COMPUTED_VALUE"""),45158.0)</f>
        <v>45158</v>
      </c>
      <c r="C7031" s="13">
        <f>IFERROR(__xludf.DUMMYFUNCTION("""COMPUTED_VALUE"""),0.9583333333333334)</f>
        <v>0.9583333333</v>
      </c>
      <c r="D7031" s="8">
        <f>IFERROR(__xludf.DUMMYFUNCTION("""COMPUTED_VALUE"""),0.354)</f>
        <v>0.354</v>
      </c>
      <c r="E7031" s="8" t="str">
        <f>IFERROR(__xludf.DUMMYFUNCTION("""COMPUTED_VALUE"""),"Real")</f>
        <v>Real</v>
      </c>
      <c r="G7031" s="8">
        <f t="shared" si="1"/>
        <v>8</v>
      </c>
      <c r="H7031" s="14">
        <f t="shared" si="2"/>
        <v>20</v>
      </c>
      <c r="I7031" s="15">
        <f t="shared" si="3"/>
        <v>23</v>
      </c>
    </row>
    <row r="7032">
      <c r="A7032" s="8" t="str">
        <f>IFERROR(__xludf.DUMMYFUNCTION("IF('(INGESTA)Datos_consumo_datadis'!A7032&lt;&gt;"""",SPLIT('(INGESTA)Datos_consumo_datadis'!A:A,"",""),"""")"),"ES0031408323131005HX0F")</f>
        <v>ES0031408323131005HX0F</v>
      </c>
      <c r="B7032" s="12">
        <f>IFERROR(__xludf.DUMMYFUNCTION("""COMPUTED_VALUE"""),45158.0)</f>
        <v>45158</v>
      </c>
      <c r="C7032" s="16">
        <f>IFERROR(__xludf.DUMMYFUNCTION("""COMPUTED_VALUE"""),1.0)</f>
        <v>1</v>
      </c>
      <c r="D7032" s="8">
        <f>IFERROR(__xludf.DUMMYFUNCTION("""COMPUTED_VALUE"""),0.334)</f>
        <v>0.334</v>
      </c>
      <c r="E7032" s="8" t="str">
        <f>IFERROR(__xludf.DUMMYFUNCTION("""COMPUTED_VALUE"""),"Real")</f>
        <v>Real</v>
      </c>
      <c r="G7032" s="8">
        <f t="shared" si="1"/>
        <v>8</v>
      </c>
      <c r="H7032" s="14">
        <f t="shared" si="2"/>
        <v>20</v>
      </c>
      <c r="I7032" s="15">
        <f t="shared" si="3"/>
        <v>0</v>
      </c>
    </row>
    <row r="7033">
      <c r="A7033" s="8" t="str">
        <f>IFERROR(__xludf.DUMMYFUNCTION("IF('(INGESTA)Datos_consumo_datadis'!A7033&lt;&gt;"""",SPLIT('(INGESTA)Datos_consumo_datadis'!A:A,"",""),"""")"),"ES0031408323131005HX0F")</f>
        <v>ES0031408323131005HX0F</v>
      </c>
      <c r="B7033" s="12">
        <f>IFERROR(__xludf.DUMMYFUNCTION("""COMPUTED_VALUE"""),45159.0)</f>
        <v>45159</v>
      </c>
      <c r="C7033" s="13">
        <f>IFERROR(__xludf.DUMMYFUNCTION("""COMPUTED_VALUE"""),0.041666666666666664)</f>
        <v>0.04166666667</v>
      </c>
      <c r="D7033" s="8">
        <f>IFERROR(__xludf.DUMMYFUNCTION("""COMPUTED_VALUE"""),0.37)</f>
        <v>0.37</v>
      </c>
      <c r="E7033" s="8" t="str">
        <f>IFERROR(__xludf.DUMMYFUNCTION("""COMPUTED_VALUE"""),"Real")</f>
        <v>Real</v>
      </c>
      <c r="G7033" s="8">
        <f t="shared" si="1"/>
        <v>8</v>
      </c>
      <c r="H7033" s="14">
        <f t="shared" si="2"/>
        <v>21</v>
      </c>
      <c r="I7033" s="15">
        <f t="shared" si="3"/>
        <v>1</v>
      </c>
    </row>
    <row r="7034">
      <c r="A7034" s="8" t="str">
        <f>IFERROR(__xludf.DUMMYFUNCTION("IF('(INGESTA)Datos_consumo_datadis'!A7034&lt;&gt;"""",SPLIT('(INGESTA)Datos_consumo_datadis'!A:A,"",""),"""")"),"ES0031408323131005HX0F")</f>
        <v>ES0031408323131005HX0F</v>
      </c>
      <c r="B7034" s="12">
        <f>IFERROR(__xludf.DUMMYFUNCTION("""COMPUTED_VALUE"""),45159.0)</f>
        <v>45159</v>
      </c>
      <c r="C7034" s="13">
        <f>IFERROR(__xludf.DUMMYFUNCTION("""COMPUTED_VALUE"""),0.08333333333333333)</f>
        <v>0.08333333333</v>
      </c>
      <c r="D7034" s="8">
        <f>IFERROR(__xludf.DUMMYFUNCTION("""COMPUTED_VALUE"""),0.128)</f>
        <v>0.128</v>
      </c>
      <c r="E7034" s="8" t="str">
        <f>IFERROR(__xludf.DUMMYFUNCTION("""COMPUTED_VALUE"""),"Real")</f>
        <v>Real</v>
      </c>
      <c r="G7034" s="8">
        <f t="shared" si="1"/>
        <v>8</v>
      </c>
      <c r="H7034" s="14">
        <f t="shared" si="2"/>
        <v>21</v>
      </c>
      <c r="I7034" s="15">
        <f t="shared" si="3"/>
        <v>2</v>
      </c>
    </row>
    <row r="7035">
      <c r="A7035" s="8" t="str">
        <f>IFERROR(__xludf.DUMMYFUNCTION("IF('(INGESTA)Datos_consumo_datadis'!A7035&lt;&gt;"""",SPLIT('(INGESTA)Datos_consumo_datadis'!A:A,"",""),"""")"),"ES0031408323131005HX0F")</f>
        <v>ES0031408323131005HX0F</v>
      </c>
      <c r="B7035" s="12">
        <f>IFERROR(__xludf.DUMMYFUNCTION("""COMPUTED_VALUE"""),45159.0)</f>
        <v>45159</v>
      </c>
      <c r="C7035" s="13">
        <f>IFERROR(__xludf.DUMMYFUNCTION("""COMPUTED_VALUE"""),0.125)</f>
        <v>0.125</v>
      </c>
      <c r="D7035" s="8">
        <f>IFERROR(__xludf.DUMMYFUNCTION("""COMPUTED_VALUE"""),0.561)</f>
        <v>0.561</v>
      </c>
      <c r="E7035" s="8" t="str">
        <f>IFERROR(__xludf.DUMMYFUNCTION("""COMPUTED_VALUE"""),"Real")</f>
        <v>Real</v>
      </c>
      <c r="G7035" s="8">
        <f t="shared" si="1"/>
        <v>8</v>
      </c>
      <c r="H7035" s="14">
        <f t="shared" si="2"/>
        <v>21</v>
      </c>
      <c r="I7035" s="15">
        <f t="shared" si="3"/>
        <v>3</v>
      </c>
    </row>
    <row r="7036">
      <c r="A7036" s="8" t="str">
        <f>IFERROR(__xludf.DUMMYFUNCTION("IF('(INGESTA)Datos_consumo_datadis'!A7036&lt;&gt;"""",SPLIT('(INGESTA)Datos_consumo_datadis'!A:A,"",""),"""")"),"ES0031408323131005HX0F")</f>
        <v>ES0031408323131005HX0F</v>
      </c>
      <c r="B7036" s="12">
        <f>IFERROR(__xludf.DUMMYFUNCTION("""COMPUTED_VALUE"""),45159.0)</f>
        <v>45159</v>
      </c>
      <c r="C7036" s="13">
        <f>IFERROR(__xludf.DUMMYFUNCTION("""COMPUTED_VALUE"""),0.16666666666666666)</f>
        <v>0.1666666667</v>
      </c>
      <c r="D7036" s="8">
        <f>IFERROR(__xludf.DUMMYFUNCTION("""COMPUTED_VALUE"""),1.264)</f>
        <v>1.264</v>
      </c>
      <c r="E7036" s="8" t="str">
        <f>IFERROR(__xludf.DUMMYFUNCTION("""COMPUTED_VALUE"""),"Real")</f>
        <v>Real</v>
      </c>
      <c r="G7036" s="8">
        <f t="shared" si="1"/>
        <v>8</v>
      </c>
      <c r="H7036" s="14">
        <f t="shared" si="2"/>
        <v>21</v>
      </c>
      <c r="I7036" s="15">
        <f t="shared" si="3"/>
        <v>4</v>
      </c>
    </row>
    <row r="7037">
      <c r="A7037" s="8" t="str">
        <f>IFERROR(__xludf.DUMMYFUNCTION("IF('(INGESTA)Datos_consumo_datadis'!A7037&lt;&gt;"""",SPLIT('(INGESTA)Datos_consumo_datadis'!A:A,"",""),"""")"),"ES0031408323131005HX0F")</f>
        <v>ES0031408323131005HX0F</v>
      </c>
      <c r="B7037" s="12">
        <f>IFERROR(__xludf.DUMMYFUNCTION("""COMPUTED_VALUE"""),45159.0)</f>
        <v>45159</v>
      </c>
      <c r="C7037" s="13">
        <f>IFERROR(__xludf.DUMMYFUNCTION("""COMPUTED_VALUE"""),0.20833333333333334)</f>
        <v>0.2083333333</v>
      </c>
      <c r="D7037" s="8">
        <f>IFERROR(__xludf.DUMMYFUNCTION("""COMPUTED_VALUE"""),0.089)</f>
        <v>0.089</v>
      </c>
      <c r="E7037" s="8" t="str">
        <f>IFERROR(__xludf.DUMMYFUNCTION("""COMPUTED_VALUE"""),"Real")</f>
        <v>Real</v>
      </c>
      <c r="G7037" s="8">
        <f t="shared" si="1"/>
        <v>8</v>
      </c>
      <c r="H7037" s="14">
        <f t="shared" si="2"/>
        <v>21</v>
      </c>
      <c r="I7037" s="15">
        <f t="shared" si="3"/>
        <v>5</v>
      </c>
    </row>
    <row r="7038">
      <c r="A7038" s="8" t="str">
        <f>IFERROR(__xludf.DUMMYFUNCTION("IF('(INGESTA)Datos_consumo_datadis'!A7038&lt;&gt;"""",SPLIT('(INGESTA)Datos_consumo_datadis'!A:A,"",""),"""")"),"ES0031408323131005HX0F")</f>
        <v>ES0031408323131005HX0F</v>
      </c>
      <c r="B7038" s="12">
        <f>IFERROR(__xludf.DUMMYFUNCTION("""COMPUTED_VALUE"""),45159.0)</f>
        <v>45159</v>
      </c>
      <c r="C7038" s="13">
        <f>IFERROR(__xludf.DUMMYFUNCTION("""COMPUTED_VALUE"""),0.25)</f>
        <v>0.25</v>
      </c>
      <c r="D7038" s="8">
        <f>IFERROR(__xludf.DUMMYFUNCTION("""COMPUTED_VALUE"""),0.053)</f>
        <v>0.053</v>
      </c>
      <c r="E7038" s="8" t="str">
        <f>IFERROR(__xludf.DUMMYFUNCTION("""COMPUTED_VALUE"""),"Real")</f>
        <v>Real</v>
      </c>
      <c r="G7038" s="8">
        <f t="shared" si="1"/>
        <v>8</v>
      </c>
      <c r="H7038" s="14">
        <f t="shared" si="2"/>
        <v>21</v>
      </c>
      <c r="I7038" s="15">
        <f t="shared" si="3"/>
        <v>6</v>
      </c>
    </row>
    <row r="7039">
      <c r="A7039" s="8" t="str">
        <f>IFERROR(__xludf.DUMMYFUNCTION("IF('(INGESTA)Datos_consumo_datadis'!A7039&lt;&gt;"""",SPLIT('(INGESTA)Datos_consumo_datadis'!A:A,"",""),"""")"),"ES0031408323131005HX0F")</f>
        <v>ES0031408323131005HX0F</v>
      </c>
      <c r="B7039" s="12">
        <f>IFERROR(__xludf.DUMMYFUNCTION("""COMPUTED_VALUE"""),45159.0)</f>
        <v>45159</v>
      </c>
      <c r="C7039" s="13">
        <f>IFERROR(__xludf.DUMMYFUNCTION("""COMPUTED_VALUE"""),0.2916666666666667)</f>
        <v>0.2916666667</v>
      </c>
      <c r="D7039" s="8">
        <f>IFERROR(__xludf.DUMMYFUNCTION("""COMPUTED_VALUE"""),0.112)</f>
        <v>0.112</v>
      </c>
      <c r="E7039" s="8" t="str">
        <f>IFERROR(__xludf.DUMMYFUNCTION("""COMPUTED_VALUE"""),"Real")</f>
        <v>Real</v>
      </c>
      <c r="G7039" s="8">
        <f t="shared" si="1"/>
        <v>8</v>
      </c>
      <c r="H7039" s="14">
        <f t="shared" si="2"/>
        <v>21</v>
      </c>
      <c r="I7039" s="15">
        <f t="shared" si="3"/>
        <v>7</v>
      </c>
    </row>
    <row r="7040">
      <c r="A7040" s="8" t="str">
        <f>IFERROR(__xludf.DUMMYFUNCTION("IF('(INGESTA)Datos_consumo_datadis'!A7040&lt;&gt;"""",SPLIT('(INGESTA)Datos_consumo_datadis'!A:A,"",""),"""")"),"ES0031408323131005HX0F")</f>
        <v>ES0031408323131005HX0F</v>
      </c>
      <c r="B7040" s="12">
        <f>IFERROR(__xludf.DUMMYFUNCTION("""COMPUTED_VALUE"""),45159.0)</f>
        <v>45159</v>
      </c>
      <c r="C7040" s="13">
        <f>IFERROR(__xludf.DUMMYFUNCTION("""COMPUTED_VALUE"""),0.3333333333333333)</f>
        <v>0.3333333333</v>
      </c>
      <c r="D7040" s="8">
        <f>IFERROR(__xludf.DUMMYFUNCTION("""COMPUTED_VALUE"""),0.112)</f>
        <v>0.112</v>
      </c>
      <c r="E7040" s="8" t="str">
        <f>IFERROR(__xludf.DUMMYFUNCTION("""COMPUTED_VALUE"""),"Real")</f>
        <v>Real</v>
      </c>
      <c r="G7040" s="8">
        <f t="shared" si="1"/>
        <v>8</v>
      </c>
      <c r="H7040" s="14">
        <f t="shared" si="2"/>
        <v>21</v>
      </c>
      <c r="I7040" s="15">
        <f t="shared" si="3"/>
        <v>8</v>
      </c>
    </row>
    <row r="7041">
      <c r="A7041" s="8" t="str">
        <f>IFERROR(__xludf.DUMMYFUNCTION("IF('(INGESTA)Datos_consumo_datadis'!A7041&lt;&gt;"""",SPLIT('(INGESTA)Datos_consumo_datadis'!A:A,"",""),"""")"),"ES0031408323131005HX0F")</f>
        <v>ES0031408323131005HX0F</v>
      </c>
      <c r="B7041" s="12">
        <f>IFERROR(__xludf.DUMMYFUNCTION("""COMPUTED_VALUE"""),45159.0)</f>
        <v>45159</v>
      </c>
      <c r="C7041" s="13">
        <f>IFERROR(__xludf.DUMMYFUNCTION("""COMPUTED_VALUE"""),0.375)</f>
        <v>0.375</v>
      </c>
      <c r="D7041" s="8">
        <f>IFERROR(__xludf.DUMMYFUNCTION("""COMPUTED_VALUE"""),0.565)</f>
        <v>0.565</v>
      </c>
      <c r="E7041" s="8" t="str">
        <f>IFERROR(__xludf.DUMMYFUNCTION("""COMPUTED_VALUE"""),"Real")</f>
        <v>Real</v>
      </c>
      <c r="G7041" s="8">
        <f t="shared" si="1"/>
        <v>8</v>
      </c>
      <c r="H7041" s="14">
        <f t="shared" si="2"/>
        <v>21</v>
      </c>
      <c r="I7041" s="15">
        <f t="shared" si="3"/>
        <v>9</v>
      </c>
    </row>
    <row r="7042">
      <c r="A7042" s="8" t="str">
        <f>IFERROR(__xludf.DUMMYFUNCTION("IF('(INGESTA)Datos_consumo_datadis'!A7042&lt;&gt;"""",SPLIT('(INGESTA)Datos_consumo_datadis'!A:A,"",""),"""")"),"ES0031408323131005HX0F")</f>
        <v>ES0031408323131005HX0F</v>
      </c>
      <c r="B7042" s="12">
        <f>IFERROR(__xludf.DUMMYFUNCTION("""COMPUTED_VALUE"""),45159.0)</f>
        <v>45159</v>
      </c>
      <c r="C7042" s="13">
        <f>IFERROR(__xludf.DUMMYFUNCTION("""COMPUTED_VALUE"""),0.4166666666666667)</f>
        <v>0.4166666667</v>
      </c>
      <c r="D7042" s="8">
        <f>IFERROR(__xludf.DUMMYFUNCTION("""COMPUTED_VALUE"""),0.994)</f>
        <v>0.994</v>
      </c>
      <c r="E7042" s="8" t="str">
        <f>IFERROR(__xludf.DUMMYFUNCTION("""COMPUTED_VALUE"""),"Real")</f>
        <v>Real</v>
      </c>
      <c r="G7042" s="8">
        <f t="shared" si="1"/>
        <v>8</v>
      </c>
      <c r="H7042" s="14">
        <f t="shared" si="2"/>
        <v>21</v>
      </c>
      <c r="I7042" s="15">
        <f t="shared" si="3"/>
        <v>10</v>
      </c>
    </row>
    <row r="7043">
      <c r="A7043" s="8" t="str">
        <f>IFERROR(__xludf.DUMMYFUNCTION("IF('(INGESTA)Datos_consumo_datadis'!A7043&lt;&gt;"""",SPLIT('(INGESTA)Datos_consumo_datadis'!A:A,"",""),"""")"),"ES0031408323131005HX0F")</f>
        <v>ES0031408323131005HX0F</v>
      </c>
      <c r="B7043" s="12">
        <f>IFERROR(__xludf.DUMMYFUNCTION("""COMPUTED_VALUE"""),45159.0)</f>
        <v>45159</v>
      </c>
      <c r="C7043" s="13">
        <f>IFERROR(__xludf.DUMMYFUNCTION("""COMPUTED_VALUE"""),0.4583333333333333)</f>
        <v>0.4583333333</v>
      </c>
      <c r="D7043" s="8">
        <f>IFERROR(__xludf.DUMMYFUNCTION("""COMPUTED_VALUE"""),0.117)</f>
        <v>0.117</v>
      </c>
      <c r="E7043" s="8" t="str">
        <f>IFERROR(__xludf.DUMMYFUNCTION("""COMPUTED_VALUE"""),"Real")</f>
        <v>Real</v>
      </c>
      <c r="G7043" s="8">
        <f t="shared" si="1"/>
        <v>8</v>
      </c>
      <c r="H7043" s="14">
        <f t="shared" si="2"/>
        <v>21</v>
      </c>
      <c r="I7043" s="15">
        <f t="shared" si="3"/>
        <v>11</v>
      </c>
    </row>
    <row r="7044">
      <c r="A7044" s="8" t="str">
        <f>IFERROR(__xludf.DUMMYFUNCTION("IF('(INGESTA)Datos_consumo_datadis'!A7044&lt;&gt;"""",SPLIT('(INGESTA)Datos_consumo_datadis'!A:A,"",""),"""")"),"ES0031408323131005HX0F")</f>
        <v>ES0031408323131005HX0F</v>
      </c>
      <c r="B7044" s="12">
        <f>IFERROR(__xludf.DUMMYFUNCTION("""COMPUTED_VALUE"""),45159.0)</f>
        <v>45159</v>
      </c>
      <c r="C7044" s="13">
        <f>IFERROR(__xludf.DUMMYFUNCTION("""COMPUTED_VALUE"""),0.5)</f>
        <v>0.5</v>
      </c>
      <c r="D7044" s="8">
        <f>IFERROR(__xludf.DUMMYFUNCTION("""COMPUTED_VALUE"""),0.117)</f>
        <v>0.117</v>
      </c>
      <c r="E7044" s="8" t="str">
        <f>IFERROR(__xludf.DUMMYFUNCTION("""COMPUTED_VALUE"""),"Real")</f>
        <v>Real</v>
      </c>
      <c r="G7044" s="8">
        <f t="shared" si="1"/>
        <v>8</v>
      </c>
      <c r="H7044" s="14">
        <f t="shared" si="2"/>
        <v>21</v>
      </c>
      <c r="I7044" s="15">
        <f t="shared" si="3"/>
        <v>12</v>
      </c>
    </row>
    <row r="7045">
      <c r="A7045" s="8" t="str">
        <f>IFERROR(__xludf.DUMMYFUNCTION("IF('(INGESTA)Datos_consumo_datadis'!A7045&lt;&gt;"""",SPLIT('(INGESTA)Datos_consumo_datadis'!A:A,"",""),"""")"),"ES0031408323131005HX0F")</f>
        <v>ES0031408323131005HX0F</v>
      </c>
      <c r="B7045" s="12">
        <f>IFERROR(__xludf.DUMMYFUNCTION("""COMPUTED_VALUE"""),45159.0)</f>
        <v>45159</v>
      </c>
      <c r="C7045" s="13">
        <f>IFERROR(__xludf.DUMMYFUNCTION("""COMPUTED_VALUE"""),0.5416666666666666)</f>
        <v>0.5416666667</v>
      </c>
      <c r="D7045" s="8">
        <f>IFERROR(__xludf.DUMMYFUNCTION("""COMPUTED_VALUE"""),0.116)</f>
        <v>0.116</v>
      </c>
      <c r="E7045" s="8" t="str">
        <f>IFERROR(__xludf.DUMMYFUNCTION("""COMPUTED_VALUE"""),"Real")</f>
        <v>Real</v>
      </c>
      <c r="G7045" s="8">
        <f t="shared" si="1"/>
        <v>8</v>
      </c>
      <c r="H7045" s="14">
        <f t="shared" si="2"/>
        <v>21</v>
      </c>
      <c r="I7045" s="15">
        <f t="shared" si="3"/>
        <v>13</v>
      </c>
    </row>
    <row r="7046">
      <c r="A7046" s="8" t="str">
        <f>IFERROR(__xludf.DUMMYFUNCTION("IF('(INGESTA)Datos_consumo_datadis'!A7046&lt;&gt;"""",SPLIT('(INGESTA)Datos_consumo_datadis'!A:A,"",""),"""")"),"ES0031408323131005HX0F")</f>
        <v>ES0031408323131005HX0F</v>
      </c>
      <c r="B7046" s="12">
        <f>IFERROR(__xludf.DUMMYFUNCTION("""COMPUTED_VALUE"""),45159.0)</f>
        <v>45159</v>
      </c>
      <c r="C7046" s="13">
        <f>IFERROR(__xludf.DUMMYFUNCTION("""COMPUTED_VALUE"""),0.5833333333333334)</f>
        <v>0.5833333333</v>
      </c>
      <c r="D7046" s="8">
        <f>IFERROR(__xludf.DUMMYFUNCTION("""COMPUTED_VALUE"""),0.115)</f>
        <v>0.115</v>
      </c>
      <c r="E7046" s="8" t="str">
        <f>IFERROR(__xludf.DUMMYFUNCTION("""COMPUTED_VALUE"""),"Real")</f>
        <v>Real</v>
      </c>
      <c r="G7046" s="8">
        <f t="shared" si="1"/>
        <v>8</v>
      </c>
      <c r="H7046" s="14">
        <f t="shared" si="2"/>
        <v>21</v>
      </c>
      <c r="I7046" s="15">
        <f t="shared" si="3"/>
        <v>14</v>
      </c>
    </row>
    <row r="7047">
      <c r="A7047" s="8" t="str">
        <f>IFERROR(__xludf.DUMMYFUNCTION("IF('(INGESTA)Datos_consumo_datadis'!A7047&lt;&gt;"""",SPLIT('(INGESTA)Datos_consumo_datadis'!A:A,"",""),"""")"),"ES0031408323131005HX0F")</f>
        <v>ES0031408323131005HX0F</v>
      </c>
      <c r="B7047" s="12">
        <f>IFERROR(__xludf.DUMMYFUNCTION("""COMPUTED_VALUE"""),45159.0)</f>
        <v>45159</v>
      </c>
      <c r="C7047" s="13">
        <f>IFERROR(__xludf.DUMMYFUNCTION("""COMPUTED_VALUE"""),0.625)</f>
        <v>0.625</v>
      </c>
      <c r="D7047" s="8">
        <f>IFERROR(__xludf.DUMMYFUNCTION("""COMPUTED_VALUE"""),0.061)</f>
        <v>0.061</v>
      </c>
      <c r="E7047" s="8" t="str">
        <f>IFERROR(__xludf.DUMMYFUNCTION("""COMPUTED_VALUE"""),"Real")</f>
        <v>Real</v>
      </c>
      <c r="G7047" s="8">
        <f t="shared" si="1"/>
        <v>8</v>
      </c>
      <c r="H7047" s="14">
        <f t="shared" si="2"/>
        <v>21</v>
      </c>
      <c r="I7047" s="15">
        <f t="shared" si="3"/>
        <v>15</v>
      </c>
    </row>
    <row r="7048">
      <c r="A7048" s="8" t="str">
        <f>IFERROR(__xludf.DUMMYFUNCTION("IF('(INGESTA)Datos_consumo_datadis'!A7048&lt;&gt;"""",SPLIT('(INGESTA)Datos_consumo_datadis'!A:A,"",""),"""")"),"ES0031408323131005HX0F")</f>
        <v>ES0031408323131005HX0F</v>
      </c>
      <c r="B7048" s="12">
        <f>IFERROR(__xludf.DUMMYFUNCTION("""COMPUTED_VALUE"""),45159.0)</f>
        <v>45159</v>
      </c>
      <c r="C7048" s="13">
        <f>IFERROR(__xludf.DUMMYFUNCTION("""COMPUTED_VALUE"""),0.6666666666666666)</f>
        <v>0.6666666667</v>
      </c>
      <c r="D7048" s="8">
        <f>IFERROR(__xludf.DUMMYFUNCTION("""COMPUTED_VALUE"""),0.049)</f>
        <v>0.049</v>
      </c>
      <c r="E7048" s="8" t="str">
        <f>IFERROR(__xludf.DUMMYFUNCTION("""COMPUTED_VALUE"""),"Real")</f>
        <v>Real</v>
      </c>
      <c r="G7048" s="8">
        <f t="shared" si="1"/>
        <v>8</v>
      </c>
      <c r="H7048" s="14">
        <f t="shared" si="2"/>
        <v>21</v>
      </c>
      <c r="I7048" s="15">
        <f t="shared" si="3"/>
        <v>16</v>
      </c>
    </row>
    <row r="7049">
      <c r="A7049" s="8" t="str">
        <f>IFERROR(__xludf.DUMMYFUNCTION("IF('(INGESTA)Datos_consumo_datadis'!A7049&lt;&gt;"""",SPLIT('(INGESTA)Datos_consumo_datadis'!A:A,"",""),"""")"),"ES0031408323131005HX0F")</f>
        <v>ES0031408323131005HX0F</v>
      </c>
      <c r="B7049" s="12">
        <f>IFERROR(__xludf.DUMMYFUNCTION("""COMPUTED_VALUE"""),45159.0)</f>
        <v>45159</v>
      </c>
      <c r="C7049" s="13">
        <f>IFERROR(__xludf.DUMMYFUNCTION("""COMPUTED_VALUE"""),0.7083333333333334)</f>
        <v>0.7083333333</v>
      </c>
      <c r="D7049" s="8">
        <f>IFERROR(__xludf.DUMMYFUNCTION("""COMPUTED_VALUE"""),0.117)</f>
        <v>0.117</v>
      </c>
      <c r="E7049" s="8" t="str">
        <f>IFERROR(__xludf.DUMMYFUNCTION("""COMPUTED_VALUE"""),"Real")</f>
        <v>Real</v>
      </c>
      <c r="G7049" s="8">
        <f t="shared" si="1"/>
        <v>8</v>
      </c>
      <c r="H7049" s="14">
        <f t="shared" si="2"/>
        <v>21</v>
      </c>
      <c r="I7049" s="15">
        <f t="shared" si="3"/>
        <v>17</v>
      </c>
    </row>
    <row r="7050">
      <c r="A7050" s="8" t="str">
        <f>IFERROR(__xludf.DUMMYFUNCTION("IF('(INGESTA)Datos_consumo_datadis'!A7050&lt;&gt;"""",SPLIT('(INGESTA)Datos_consumo_datadis'!A:A,"",""),"""")"),"ES0031408323131005HX0F")</f>
        <v>ES0031408323131005HX0F</v>
      </c>
      <c r="B7050" s="12">
        <f>IFERROR(__xludf.DUMMYFUNCTION("""COMPUTED_VALUE"""),45159.0)</f>
        <v>45159</v>
      </c>
      <c r="C7050" s="13">
        <f>IFERROR(__xludf.DUMMYFUNCTION("""COMPUTED_VALUE"""),0.75)</f>
        <v>0.75</v>
      </c>
      <c r="D7050" s="8">
        <f>IFERROR(__xludf.DUMMYFUNCTION("""COMPUTED_VALUE"""),0.114)</f>
        <v>0.114</v>
      </c>
      <c r="E7050" s="8" t="str">
        <f>IFERROR(__xludf.DUMMYFUNCTION("""COMPUTED_VALUE"""),"Real")</f>
        <v>Real</v>
      </c>
      <c r="G7050" s="8">
        <f t="shared" si="1"/>
        <v>8</v>
      </c>
      <c r="H7050" s="14">
        <f t="shared" si="2"/>
        <v>21</v>
      </c>
      <c r="I7050" s="15">
        <f t="shared" si="3"/>
        <v>18</v>
      </c>
    </row>
    <row r="7051">
      <c r="A7051" s="8" t="str">
        <f>IFERROR(__xludf.DUMMYFUNCTION("IF('(INGESTA)Datos_consumo_datadis'!A7051&lt;&gt;"""",SPLIT('(INGESTA)Datos_consumo_datadis'!A:A,"",""),"""")"),"ES0031408323131005HX0F")</f>
        <v>ES0031408323131005HX0F</v>
      </c>
      <c r="B7051" s="12">
        <f>IFERROR(__xludf.DUMMYFUNCTION("""COMPUTED_VALUE"""),45159.0)</f>
        <v>45159</v>
      </c>
      <c r="C7051" s="13">
        <f>IFERROR(__xludf.DUMMYFUNCTION("""COMPUTED_VALUE"""),0.7916666666666666)</f>
        <v>0.7916666667</v>
      </c>
      <c r="D7051" s="8">
        <f>IFERROR(__xludf.DUMMYFUNCTION("""COMPUTED_VALUE"""),1.532)</f>
        <v>1.532</v>
      </c>
      <c r="E7051" s="8" t="str">
        <f>IFERROR(__xludf.DUMMYFUNCTION("""COMPUTED_VALUE"""),"Real")</f>
        <v>Real</v>
      </c>
      <c r="G7051" s="8">
        <f t="shared" si="1"/>
        <v>8</v>
      </c>
      <c r="H7051" s="14">
        <f t="shared" si="2"/>
        <v>21</v>
      </c>
      <c r="I7051" s="15">
        <f t="shared" si="3"/>
        <v>19</v>
      </c>
    </row>
    <row r="7052">
      <c r="A7052" s="8" t="str">
        <f>IFERROR(__xludf.DUMMYFUNCTION("IF('(INGESTA)Datos_consumo_datadis'!A7052&lt;&gt;"""",SPLIT('(INGESTA)Datos_consumo_datadis'!A:A,"",""),"""")"),"ES0031408323131005HX0F")</f>
        <v>ES0031408323131005HX0F</v>
      </c>
      <c r="B7052" s="12">
        <f>IFERROR(__xludf.DUMMYFUNCTION("""COMPUTED_VALUE"""),45159.0)</f>
        <v>45159</v>
      </c>
      <c r="C7052" s="13">
        <f>IFERROR(__xludf.DUMMYFUNCTION("""COMPUTED_VALUE"""),0.8333333333333334)</f>
        <v>0.8333333333</v>
      </c>
      <c r="D7052" s="8">
        <f>IFERROR(__xludf.DUMMYFUNCTION("""COMPUTED_VALUE"""),1.827)</f>
        <v>1.827</v>
      </c>
      <c r="E7052" s="8" t="str">
        <f>IFERROR(__xludf.DUMMYFUNCTION("""COMPUTED_VALUE"""),"Real")</f>
        <v>Real</v>
      </c>
      <c r="G7052" s="8">
        <f t="shared" si="1"/>
        <v>8</v>
      </c>
      <c r="H7052" s="14">
        <f t="shared" si="2"/>
        <v>21</v>
      </c>
      <c r="I7052" s="15">
        <f t="shared" si="3"/>
        <v>20</v>
      </c>
    </row>
    <row r="7053">
      <c r="A7053" s="8" t="str">
        <f>IFERROR(__xludf.DUMMYFUNCTION("IF('(INGESTA)Datos_consumo_datadis'!A7053&lt;&gt;"""",SPLIT('(INGESTA)Datos_consumo_datadis'!A:A,"",""),"""")"),"ES0031408323131005HX0F")</f>
        <v>ES0031408323131005HX0F</v>
      </c>
      <c r="B7053" s="12">
        <f>IFERROR(__xludf.DUMMYFUNCTION("""COMPUTED_VALUE"""),45159.0)</f>
        <v>45159</v>
      </c>
      <c r="C7053" s="13">
        <f>IFERROR(__xludf.DUMMYFUNCTION("""COMPUTED_VALUE"""),0.875)</f>
        <v>0.875</v>
      </c>
      <c r="D7053" s="8">
        <f>IFERROR(__xludf.DUMMYFUNCTION("""COMPUTED_VALUE"""),0.699)</f>
        <v>0.699</v>
      </c>
      <c r="E7053" s="8" t="str">
        <f>IFERROR(__xludf.DUMMYFUNCTION("""COMPUTED_VALUE"""),"Real")</f>
        <v>Real</v>
      </c>
      <c r="G7053" s="8">
        <f t="shared" si="1"/>
        <v>8</v>
      </c>
      <c r="H7053" s="14">
        <f t="shared" si="2"/>
        <v>21</v>
      </c>
      <c r="I7053" s="15">
        <f t="shared" si="3"/>
        <v>21</v>
      </c>
    </row>
    <row r="7054">
      <c r="A7054" s="8" t="str">
        <f>IFERROR(__xludf.DUMMYFUNCTION("IF('(INGESTA)Datos_consumo_datadis'!A7054&lt;&gt;"""",SPLIT('(INGESTA)Datos_consumo_datadis'!A:A,"",""),"""")"),"ES0031408323131005HX0F")</f>
        <v>ES0031408323131005HX0F</v>
      </c>
      <c r="B7054" s="12">
        <f>IFERROR(__xludf.DUMMYFUNCTION("""COMPUTED_VALUE"""),45159.0)</f>
        <v>45159</v>
      </c>
      <c r="C7054" s="13">
        <f>IFERROR(__xludf.DUMMYFUNCTION("""COMPUTED_VALUE"""),0.9166666666666666)</f>
        <v>0.9166666667</v>
      </c>
      <c r="D7054" s="8">
        <f>IFERROR(__xludf.DUMMYFUNCTION("""COMPUTED_VALUE"""),0.655)</f>
        <v>0.655</v>
      </c>
      <c r="E7054" s="8" t="str">
        <f>IFERROR(__xludf.DUMMYFUNCTION("""COMPUTED_VALUE"""),"Real")</f>
        <v>Real</v>
      </c>
      <c r="G7054" s="8">
        <f t="shared" si="1"/>
        <v>8</v>
      </c>
      <c r="H7054" s="14">
        <f t="shared" si="2"/>
        <v>21</v>
      </c>
      <c r="I7054" s="15">
        <f t="shared" si="3"/>
        <v>22</v>
      </c>
    </row>
    <row r="7055">
      <c r="A7055" s="8" t="str">
        <f>IFERROR(__xludf.DUMMYFUNCTION("IF('(INGESTA)Datos_consumo_datadis'!A7055&lt;&gt;"""",SPLIT('(INGESTA)Datos_consumo_datadis'!A:A,"",""),"""")"),"ES0031408323131005HX0F")</f>
        <v>ES0031408323131005HX0F</v>
      </c>
      <c r="B7055" s="12">
        <f>IFERROR(__xludf.DUMMYFUNCTION("""COMPUTED_VALUE"""),45159.0)</f>
        <v>45159</v>
      </c>
      <c r="C7055" s="13">
        <f>IFERROR(__xludf.DUMMYFUNCTION("""COMPUTED_VALUE"""),0.9583333333333334)</f>
        <v>0.9583333333</v>
      </c>
      <c r="D7055" s="8">
        <f>IFERROR(__xludf.DUMMYFUNCTION("""COMPUTED_VALUE"""),0.249)</f>
        <v>0.249</v>
      </c>
      <c r="E7055" s="8" t="str">
        <f>IFERROR(__xludf.DUMMYFUNCTION("""COMPUTED_VALUE"""),"Real")</f>
        <v>Real</v>
      </c>
      <c r="G7055" s="8">
        <f t="shared" si="1"/>
        <v>8</v>
      </c>
      <c r="H7055" s="14">
        <f t="shared" si="2"/>
        <v>21</v>
      </c>
      <c r="I7055" s="15">
        <f t="shared" si="3"/>
        <v>23</v>
      </c>
    </row>
    <row r="7056">
      <c r="A7056" s="8" t="str">
        <f>IFERROR(__xludf.DUMMYFUNCTION("IF('(INGESTA)Datos_consumo_datadis'!A7056&lt;&gt;"""",SPLIT('(INGESTA)Datos_consumo_datadis'!A:A,"",""),"""")"),"ES0031408323131005HX0F")</f>
        <v>ES0031408323131005HX0F</v>
      </c>
      <c r="B7056" s="12">
        <f>IFERROR(__xludf.DUMMYFUNCTION("""COMPUTED_VALUE"""),45159.0)</f>
        <v>45159</v>
      </c>
      <c r="C7056" s="16">
        <f>IFERROR(__xludf.DUMMYFUNCTION("""COMPUTED_VALUE"""),1.0)</f>
        <v>1</v>
      </c>
      <c r="D7056" s="8">
        <f>IFERROR(__xludf.DUMMYFUNCTION("""COMPUTED_VALUE"""),0.31)</f>
        <v>0.31</v>
      </c>
      <c r="E7056" s="8" t="str">
        <f>IFERROR(__xludf.DUMMYFUNCTION("""COMPUTED_VALUE"""),"Real")</f>
        <v>Real</v>
      </c>
      <c r="G7056" s="8">
        <f t="shared" si="1"/>
        <v>8</v>
      </c>
      <c r="H7056" s="14">
        <f t="shared" si="2"/>
        <v>21</v>
      </c>
      <c r="I7056" s="15">
        <f t="shared" si="3"/>
        <v>0</v>
      </c>
    </row>
    <row r="7057">
      <c r="A7057" s="8" t="str">
        <f>IFERROR(__xludf.DUMMYFUNCTION("IF('(INGESTA)Datos_consumo_datadis'!A7057&lt;&gt;"""",SPLIT('(INGESTA)Datos_consumo_datadis'!A:A,"",""),"""")"),"ES0031408323131005HX0F")</f>
        <v>ES0031408323131005HX0F</v>
      </c>
      <c r="B7057" s="12">
        <f>IFERROR(__xludf.DUMMYFUNCTION("""COMPUTED_VALUE"""),45160.0)</f>
        <v>45160</v>
      </c>
      <c r="C7057" s="13">
        <f>IFERROR(__xludf.DUMMYFUNCTION("""COMPUTED_VALUE"""),0.041666666666666664)</f>
        <v>0.04166666667</v>
      </c>
      <c r="D7057" s="8">
        <f>IFERROR(__xludf.DUMMYFUNCTION("""COMPUTED_VALUE"""),0.258)</f>
        <v>0.258</v>
      </c>
      <c r="E7057" s="8" t="str">
        <f>IFERROR(__xludf.DUMMYFUNCTION("""COMPUTED_VALUE"""),"Real")</f>
        <v>Real</v>
      </c>
      <c r="G7057" s="8">
        <f t="shared" si="1"/>
        <v>8</v>
      </c>
      <c r="H7057" s="14">
        <f t="shared" si="2"/>
        <v>22</v>
      </c>
      <c r="I7057" s="15">
        <f t="shared" si="3"/>
        <v>1</v>
      </c>
    </row>
    <row r="7058">
      <c r="A7058" s="8" t="str">
        <f>IFERROR(__xludf.DUMMYFUNCTION("IF('(INGESTA)Datos_consumo_datadis'!A7058&lt;&gt;"""",SPLIT('(INGESTA)Datos_consumo_datadis'!A:A,"",""),"""")"),"ES0031408323131005HX0F")</f>
        <v>ES0031408323131005HX0F</v>
      </c>
      <c r="B7058" s="12">
        <f>IFERROR(__xludf.DUMMYFUNCTION("""COMPUTED_VALUE"""),45160.0)</f>
        <v>45160</v>
      </c>
      <c r="C7058" s="13">
        <f>IFERROR(__xludf.DUMMYFUNCTION("""COMPUTED_VALUE"""),0.08333333333333333)</f>
        <v>0.08333333333</v>
      </c>
      <c r="D7058" s="8">
        <f>IFERROR(__xludf.DUMMYFUNCTION("""COMPUTED_VALUE"""),0.14)</f>
        <v>0.14</v>
      </c>
      <c r="E7058" s="8" t="str">
        <f>IFERROR(__xludf.DUMMYFUNCTION("""COMPUTED_VALUE"""),"Real")</f>
        <v>Real</v>
      </c>
      <c r="G7058" s="8">
        <f t="shared" si="1"/>
        <v>8</v>
      </c>
      <c r="H7058" s="14">
        <f t="shared" si="2"/>
        <v>22</v>
      </c>
      <c r="I7058" s="15">
        <f t="shared" si="3"/>
        <v>2</v>
      </c>
    </row>
    <row r="7059">
      <c r="A7059" s="8" t="str">
        <f>IFERROR(__xludf.DUMMYFUNCTION("IF('(INGESTA)Datos_consumo_datadis'!A7059&lt;&gt;"""",SPLIT('(INGESTA)Datos_consumo_datadis'!A:A,"",""),"""")"),"ES0031408323131005HX0F")</f>
        <v>ES0031408323131005HX0F</v>
      </c>
      <c r="B7059" s="12">
        <f>IFERROR(__xludf.DUMMYFUNCTION("""COMPUTED_VALUE"""),45160.0)</f>
        <v>45160</v>
      </c>
      <c r="C7059" s="13">
        <f>IFERROR(__xludf.DUMMYFUNCTION("""COMPUTED_VALUE"""),0.125)</f>
        <v>0.125</v>
      </c>
      <c r="D7059" s="8">
        <f>IFERROR(__xludf.DUMMYFUNCTION("""COMPUTED_VALUE"""),0.136)</f>
        <v>0.136</v>
      </c>
      <c r="E7059" s="8" t="str">
        <f>IFERROR(__xludf.DUMMYFUNCTION("""COMPUTED_VALUE"""),"Real")</f>
        <v>Real</v>
      </c>
      <c r="G7059" s="8">
        <f t="shared" si="1"/>
        <v>8</v>
      </c>
      <c r="H7059" s="14">
        <f t="shared" si="2"/>
        <v>22</v>
      </c>
      <c r="I7059" s="15">
        <f t="shared" si="3"/>
        <v>3</v>
      </c>
    </row>
    <row r="7060">
      <c r="A7060" s="8" t="str">
        <f>IFERROR(__xludf.DUMMYFUNCTION("IF('(INGESTA)Datos_consumo_datadis'!A7060&lt;&gt;"""",SPLIT('(INGESTA)Datos_consumo_datadis'!A:A,"",""),"""")"),"ES0031408323131005HX0F")</f>
        <v>ES0031408323131005HX0F</v>
      </c>
      <c r="B7060" s="12">
        <f>IFERROR(__xludf.DUMMYFUNCTION("""COMPUTED_VALUE"""),45160.0)</f>
        <v>45160</v>
      </c>
      <c r="C7060" s="13">
        <f>IFERROR(__xludf.DUMMYFUNCTION("""COMPUTED_VALUE"""),0.16666666666666666)</f>
        <v>0.1666666667</v>
      </c>
      <c r="D7060" s="8">
        <f>IFERROR(__xludf.DUMMYFUNCTION("""COMPUTED_VALUE"""),0.206)</f>
        <v>0.206</v>
      </c>
      <c r="E7060" s="8" t="str">
        <f>IFERROR(__xludf.DUMMYFUNCTION("""COMPUTED_VALUE"""),"Real")</f>
        <v>Real</v>
      </c>
      <c r="G7060" s="8">
        <f t="shared" si="1"/>
        <v>8</v>
      </c>
      <c r="H7060" s="14">
        <f t="shared" si="2"/>
        <v>22</v>
      </c>
      <c r="I7060" s="15">
        <f t="shared" si="3"/>
        <v>4</v>
      </c>
    </row>
    <row r="7061">
      <c r="A7061" s="8" t="str">
        <f>IFERROR(__xludf.DUMMYFUNCTION("IF('(INGESTA)Datos_consumo_datadis'!A7061&lt;&gt;"""",SPLIT('(INGESTA)Datos_consumo_datadis'!A:A,"",""),"""")"),"ES0031408323131005HX0F")</f>
        <v>ES0031408323131005HX0F</v>
      </c>
      <c r="B7061" s="12">
        <f>IFERROR(__xludf.DUMMYFUNCTION("""COMPUTED_VALUE"""),45160.0)</f>
        <v>45160</v>
      </c>
      <c r="C7061" s="13">
        <f>IFERROR(__xludf.DUMMYFUNCTION("""COMPUTED_VALUE"""),0.20833333333333334)</f>
        <v>0.2083333333</v>
      </c>
      <c r="D7061" s="8">
        <f>IFERROR(__xludf.DUMMYFUNCTION("""COMPUTED_VALUE"""),0.29)</f>
        <v>0.29</v>
      </c>
      <c r="E7061" s="8" t="str">
        <f>IFERROR(__xludf.DUMMYFUNCTION("""COMPUTED_VALUE"""),"Real")</f>
        <v>Real</v>
      </c>
      <c r="G7061" s="8">
        <f t="shared" si="1"/>
        <v>8</v>
      </c>
      <c r="H7061" s="14">
        <f t="shared" si="2"/>
        <v>22</v>
      </c>
      <c r="I7061" s="15">
        <f t="shared" si="3"/>
        <v>5</v>
      </c>
    </row>
    <row r="7062">
      <c r="A7062" s="8" t="str">
        <f>IFERROR(__xludf.DUMMYFUNCTION("IF('(INGESTA)Datos_consumo_datadis'!A7062&lt;&gt;"""",SPLIT('(INGESTA)Datos_consumo_datadis'!A:A,"",""),"""")"),"ES0031408323131005HX0F")</f>
        <v>ES0031408323131005HX0F</v>
      </c>
      <c r="B7062" s="12">
        <f>IFERROR(__xludf.DUMMYFUNCTION("""COMPUTED_VALUE"""),45160.0)</f>
        <v>45160</v>
      </c>
      <c r="C7062" s="13">
        <f>IFERROR(__xludf.DUMMYFUNCTION("""COMPUTED_VALUE"""),0.25)</f>
        <v>0.25</v>
      </c>
      <c r="D7062" s="8">
        <f>IFERROR(__xludf.DUMMYFUNCTION("""COMPUTED_VALUE"""),0.121)</f>
        <v>0.121</v>
      </c>
      <c r="E7062" s="8" t="str">
        <f>IFERROR(__xludf.DUMMYFUNCTION("""COMPUTED_VALUE"""),"Real")</f>
        <v>Real</v>
      </c>
      <c r="G7062" s="8">
        <f t="shared" si="1"/>
        <v>8</v>
      </c>
      <c r="H7062" s="14">
        <f t="shared" si="2"/>
        <v>22</v>
      </c>
      <c r="I7062" s="15">
        <f t="shared" si="3"/>
        <v>6</v>
      </c>
    </row>
    <row r="7063">
      <c r="A7063" s="8" t="str">
        <f>IFERROR(__xludf.DUMMYFUNCTION("IF('(INGESTA)Datos_consumo_datadis'!A7063&lt;&gt;"""",SPLIT('(INGESTA)Datos_consumo_datadis'!A:A,"",""),"""")"),"ES0031408323131005HX0F")</f>
        <v>ES0031408323131005HX0F</v>
      </c>
      <c r="B7063" s="12">
        <f>IFERROR(__xludf.DUMMYFUNCTION("""COMPUTED_VALUE"""),45160.0)</f>
        <v>45160</v>
      </c>
      <c r="C7063" s="13">
        <f>IFERROR(__xludf.DUMMYFUNCTION("""COMPUTED_VALUE"""),0.2916666666666667)</f>
        <v>0.2916666667</v>
      </c>
      <c r="D7063" s="8">
        <f>IFERROR(__xludf.DUMMYFUNCTION("""COMPUTED_VALUE"""),0.1)</f>
        <v>0.1</v>
      </c>
      <c r="E7063" s="8" t="str">
        <f>IFERROR(__xludf.DUMMYFUNCTION("""COMPUTED_VALUE"""),"Real")</f>
        <v>Real</v>
      </c>
      <c r="G7063" s="8">
        <f t="shared" si="1"/>
        <v>8</v>
      </c>
      <c r="H7063" s="14">
        <f t="shared" si="2"/>
        <v>22</v>
      </c>
      <c r="I7063" s="15">
        <f t="shared" si="3"/>
        <v>7</v>
      </c>
    </row>
    <row r="7064">
      <c r="A7064" s="8" t="str">
        <f>IFERROR(__xludf.DUMMYFUNCTION("IF('(INGESTA)Datos_consumo_datadis'!A7064&lt;&gt;"""",SPLIT('(INGESTA)Datos_consumo_datadis'!A:A,"",""),"""")"),"ES0031408323131005HX0F")</f>
        <v>ES0031408323131005HX0F</v>
      </c>
      <c r="B7064" s="12">
        <f>IFERROR(__xludf.DUMMYFUNCTION("""COMPUTED_VALUE"""),45160.0)</f>
        <v>45160</v>
      </c>
      <c r="C7064" s="13">
        <f>IFERROR(__xludf.DUMMYFUNCTION("""COMPUTED_VALUE"""),0.3333333333333333)</f>
        <v>0.3333333333</v>
      </c>
      <c r="D7064" s="8">
        <f>IFERROR(__xludf.DUMMYFUNCTION("""COMPUTED_VALUE"""),0.19)</f>
        <v>0.19</v>
      </c>
      <c r="E7064" s="8" t="str">
        <f>IFERROR(__xludf.DUMMYFUNCTION("""COMPUTED_VALUE"""),"Real")</f>
        <v>Real</v>
      </c>
      <c r="G7064" s="8">
        <f t="shared" si="1"/>
        <v>8</v>
      </c>
      <c r="H7064" s="14">
        <f t="shared" si="2"/>
        <v>22</v>
      </c>
      <c r="I7064" s="15">
        <f t="shared" si="3"/>
        <v>8</v>
      </c>
    </row>
    <row r="7065">
      <c r="A7065" s="8" t="str">
        <f>IFERROR(__xludf.DUMMYFUNCTION("IF('(INGESTA)Datos_consumo_datadis'!A7065&lt;&gt;"""",SPLIT('(INGESTA)Datos_consumo_datadis'!A:A,"",""),"""")"),"ES0031408323131005HX0F")</f>
        <v>ES0031408323131005HX0F</v>
      </c>
      <c r="B7065" s="12">
        <f>IFERROR(__xludf.DUMMYFUNCTION("""COMPUTED_VALUE"""),45160.0)</f>
        <v>45160</v>
      </c>
      <c r="C7065" s="13">
        <f>IFERROR(__xludf.DUMMYFUNCTION("""COMPUTED_VALUE"""),0.375)</f>
        <v>0.375</v>
      </c>
      <c r="D7065" s="8">
        <f>IFERROR(__xludf.DUMMYFUNCTION("""COMPUTED_VALUE"""),0.213)</f>
        <v>0.213</v>
      </c>
      <c r="E7065" s="8" t="str">
        <f>IFERROR(__xludf.DUMMYFUNCTION("""COMPUTED_VALUE"""),"Real")</f>
        <v>Real</v>
      </c>
      <c r="G7065" s="8">
        <f t="shared" si="1"/>
        <v>8</v>
      </c>
      <c r="H7065" s="14">
        <f t="shared" si="2"/>
        <v>22</v>
      </c>
      <c r="I7065" s="15">
        <f t="shared" si="3"/>
        <v>9</v>
      </c>
    </row>
    <row r="7066">
      <c r="A7066" s="8" t="str">
        <f>IFERROR(__xludf.DUMMYFUNCTION("IF('(INGESTA)Datos_consumo_datadis'!A7066&lt;&gt;"""",SPLIT('(INGESTA)Datos_consumo_datadis'!A:A,"",""),"""")"),"ES0031408323131005HX0F")</f>
        <v>ES0031408323131005HX0F</v>
      </c>
      <c r="B7066" s="12">
        <f>IFERROR(__xludf.DUMMYFUNCTION("""COMPUTED_VALUE"""),45160.0)</f>
        <v>45160</v>
      </c>
      <c r="C7066" s="13">
        <f>IFERROR(__xludf.DUMMYFUNCTION("""COMPUTED_VALUE"""),0.4166666666666667)</f>
        <v>0.4166666667</v>
      </c>
      <c r="D7066" s="8">
        <f>IFERROR(__xludf.DUMMYFUNCTION("""COMPUTED_VALUE"""),0.168)</f>
        <v>0.168</v>
      </c>
      <c r="E7066" s="8" t="str">
        <f>IFERROR(__xludf.DUMMYFUNCTION("""COMPUTED_VALUE"""),"Real")</f>
        <v>Real</v>
      </c>
      <c r="G7066" s="8">
        <f t="shared" si="1"/>
        <v>8</v>
      </c>
      <c r="H7066" s="14">
        <f t="shared" si="2"/>
        <v>22</v>
      </c>
      <c r="I7066" s="15">
        <f t="shared" si="3"/>
        <v>10</v>
      </c>
    </row>
    <row r="7067">
      <c r="A7067" s="8" t="str">
        <f>IFERROR(__xludf.DUMMYFUNCTION("IF('(INGESTA)Datos_consumo_datadis'!A7067&lt;&gt;"""",SPLIT('(INGESTA)Datos_consumo_datadis'!A:A,"",""),"""")"),"ES0031408323131005HX0F")</f>
        <v>ES0031408323131005HX0F</v>
      </c>
      <c r="B7067" s="12">
        <f>IFERROR(__xludf.DUMMYFUNCTION("""COMPUTED_VALUE"""),45160.0)</f>
        <v>45160</v>
      </c>
      <c r="C7067" s="13">
        <f>IFERROR(__xludf.DUMMYFUNCTION("""COMPUTED_VALUE"""),0.4583333333333333)</f>
        <v>0.4583333333</v>
      </c>
      <c r="D7067" s="8">
        <f>IFERROR(__xludf.DUMMYFUNCTION("""COMPUTED_VALUE"""),0.381)</f>
        <v>0.381</v>
      </c>
      <c r="E7067" s="8" t="str">
        <f>IFERROR(__xludf.DUMMYFUNCTION("""COMPUTED_VALUE"""),"Real")</f>
        <v>Real</v>
      </c>
      <c r="G7067" s="8">
        <f t="shared" si="1"/>
        <v>8</v>
      </c>
      <c r="H7067" s="14">
        <f t="shared" si="2"/>
        <v>22</v>
      </c>
      <c r="I7067" s="15">
        <f t="shared" si="3"/>
        <v>11</v>
      </c>
    </row>
    <row r="7068">
      <c r="A7068" s="8" t="str">
        <f>IFERROR(__xludf.DUMMYFUNCTION("IF('(INGESTA)Datos_consumo_datadis'!A7068&lt;&gt;"""",SPLIT('(INGESTA)Datos_consumo_datadis'!A:A,"",""),"""")"),"ES0031408323131005HX0F")</f>
        <v>ES0031408323131005HX0F</v>
      </c>
      <c r="B7068" s="12">
        <f>IFERROR(__xludf.DUMMYFUNCTION("""COMPUTED_VALUE"""),45160.0)</f>
        <v>45160</v>
      </c>
      <c r="C7068" s="13">
        <f>IFERROR(__xludf.DUMMYFUNCTION("""COMPUTED_VALUE"""),0.5)</f>
        <v>0.5</v>
      </c>
      <c r="D7068" s="8">
        <f>IFERROR(__xludf.DUMMYFUNCTION("""COMPUTED_VALUE"""),0.291)</f>
        <v>0.291</v>
      </c>
      <c r="E7068" s="8" t="str">
        <f>IFERROR(__xludf.DUMMYFUNCTION("""COMPUTED_VALUE"""),"Real")</f>
        <v>Real</v>
      </c>
      <c r="G7068" s="8">
        <f t="shared" si="1"/>
        <v>8</v>
      </c>
      <c r="H7068" s="14">
        <f t="shared" si="2"/>
        <v>22</v>
      </c>
      <c r="I7068" s="15">
        <f t="shared" si="3"/>
        <v>12</v>
      </c>
    </row>
    <row r="7069">
      <c r="A7069" s="8" t="str">
        <f>IFERROR(__xludf.DUMMYFUNCTION("IF('(INGESTA)Datos_consumo_datadis'!A7069&lt;&gt;"""",SPLIT('(INGESTA)Datos_consumo_datadis'!A:A,"",""),"""")"),"ES0031408323131005HX0F")</f>
        <v>ES0031408323131005HX0F</v>
      </c>
      <c r="B7069" s="12">
        <f>IFERROR(__xludf.DUMMYFUNCTION("""COMPUTED_VALUE"""),45160.0)</f>
        <v>45160</v>
      </c>
      <c r="C7069" s="13">
        <f>IFERROR(__xludf.DUMMYFUNCTION("""COMPUTED_VALUE"""),0.5416666666666666)</f>
        <v>0.5416666667</v>
      </c>
      <c r="D7069" s="8">
        <f>IFERROR(__xludf.DUMMYFUNCTION("""COMPUTED_VALUE"""),0.263)</f>
        <v>0.263</v>
      </c>
      <c r="E7069" s="8" t="str">
        <f>IFERROR(__xludf.DUMMYFUNCTION("""COMPUTED_VALUE"""),"Real")</f>
        <v>Real</v>
      </c>
      <c r="G7069" s="8">
        <f t="shared" si="1"/>
        <v>8</v>
      </c>
      <c r="H7069" s="14">
        <f t="shared" si="2"/>
        <v>22</v>
      </c>
      <c r="I7069" s="15">
        <f t="shared" si="3"/>
        <v>13</v>
      </c>
    </row>
    <row r="7070">
      <c r="A7070" s="8" t="str">
        <f>IFERROR(__xludf.DUMMYFUNCTION("IF('(INGESTA)Datos_consumo_datadis'!A7070&lt;&gt;"""",SPLIT('(INGESTA)Datos_consumo_datadis'!A:A,"",""),"""")"),"ES0031408323131005HX0F")</f>
        <v>ES0031408323131005HX0F</v>
      </c>
      <c r="B7070" s="12">
        <f>IFERROR(__xludf.DUMMYFUNCTION("""COMPUTED_VALUE"""),45160.0)</f>
        <v>45160</v>
      </c>
      <c r="C7070" s="13">
        <f>IFERROR(__xludf.DUMMYFUNCTION("""COMPUTED_VALUE"""),0.5833333333333334)</f>
        <v>0.5833333333</v>
      </c>
      <c r="D7070" s="8">
        <f>IFERROR(__xludf.DUMMYFUNCTION("""COMPUTED_VALUE"""),0.584)</f>
        <v>0.584</v>
      </c>
      <c r="E7070" s="8" t="str">
        <f>IFERROR(__xludf.DUMMYFUNCTION("""COMPUTED_VALUE"""),"Real")</f>
        <v>Real</v>
      </c>
      <c r="G7070" s="8">
        <f t="shared" si="1"/>
        <v>8</v>
      </c>
      <c r="H7070" s="14">
        <f t="shared" si="2"/>
        <v>22</v>
      </c>
      <c r="I7070" s="15">
        <f t="shared" si="3"/>
        <v>14</v>
      </c>
    </row>
    <row r="7071">
      <c r="A7071" s="8" t="str">
        <f>IFERROR(__xludf.DUMMYFUNCTION("IF('(INGESTA)Datos_consumo_datadis'!A7071&lt;&gt;"""",SPLIT('(INGESTA)Datos_consumo_datadis'!A:A,"",""),"""")"),"ES0031408323131005HX0F")</f>
        <v>ES0031408323131005HX0F</v>
      </c>
      <c r="B7071" s="12">
        <f>IFERROR(__xludf.DUMMYFUNCTION("""COMPUTED_VALUE"""),45160.0)</f>
        <v>45160</v>
      </c>
      <c r="C7071" s="13">
        <f>IFERROR(__xludf.DUMMYFUNCTION("""COMPUTED_VALUE"""),0.625)</f>
        <v>0.625</v>
      </c>
      <c r="D7071" s="8">
        <f>IFERROR(__xludf.DUMMYFUNCTION("""COMPUTED_VALUE"""),0.453)</f>
        <v>0.453</v>
      </c>
      <c r="E7071" s="8" t="str">
        <f>IFERROR(__xludf.DUMMYFUNCTION("""COMPUTED_VALUE"""),"Real")</f>
        <v>Real</v>
      </c>
      <c r="G7071" s="8">
        <f t="shared" si="1"/>
        <v>8</v>
      </c>
      <c r="H7071" s="14">
        <f t="shared" si="2"/>
        <v>22</v>
      </c>
      <c r="I7071" s="15">
        <f t="shared" si="3"/>
        <v>15</v>
      </c>
    </row>
    <row r="7072">
      <c r="A7072" s="8" t="str">
        <f>IFERROR(__xludf.DUMMYFUNCTION("IF('(INGESTA)Datos_consumo_datadis'!A7072&lt;&gt;"""",SPLIT('(INGESTA)Datos_consumo_datadis'!A:A,"",""),"""")"),"ES0031408323131005HX0F")</f>
        <v>ES0031408323131005HX0F</v>
      </c>
      <c r="B7072" s="12">
        <f>IFERROR(__xludf.DUMMYFUNCTION("""COMPUTED_VALUE"""),45160.0)</f>
        <v>45160</v>
      </c>
      <c r="C7072" s="13">
        <f>IFERROR(__xludf.DUMMYFUNCTION("""COMPUTED_VALUE"""),0.6666666666666666)</f>
        <v>0.6666666667</v>
      </c>
      <c r="D7072" s="8">
        <f>IFERROR(__xludf.DUMMYFUNCTION("""COMPUTED_VALUE"""),0.68)</f>
        <v>0.68</v>
      </c>
      <c r="E7072" s="8" t="str">
        <f>IFERROR(__xludf.DUMMYFUNCTION("""COMPUTED_VALUE"""),"Real")</f>
        <v>Real</v>
      </c>
      <c r="G7072" s="8">
        <f t="shared" si="1"/>
        <v>8</v>
      </c>
      <c r="H7072" s="14">
        <f t="shared" si="2"/>
        <v>22</v>
      </c>
      <c r="I7072" s="15">
        <f t="shared" si="3"/>
        <v>16</v>
      </c>
    </row>
    <row r="7073">
      <c r="A7073" s="8" t="str">
        <f>IFERROR(__xludf.DUMMYFUNCTION("IF('(INGESTA)Datos_consumo_datadis'!A7073&lt;&gt;"""",SPLIT('(INGESTA)Datos_consumo_datadis'!A:A,"",""),"""")"),"ES0031408323131005HX0F")</f>
        <v>ES0031408323131005HX0F</v>
      </c>
      <c r="B7073" s="12">
        <f>IFERROR(__xludf.DUMMYFUNCTION("""COMPUTED_VALUE"""),45160.0)</f>
        <v>45160</v>
      </c>
      <c r="C7073" s="13">
        <f>IFERROR(__xludf.DUMMYFUNCTION("""COMPUTED_VALUE"""),0.7083333333333334)</f>
        <v>0.7083333333</v>
      </c>
      <c r="D7073" s="8">
        <f>IFERROR(__xludf.DUMMYFUNCTION("""COMPUTED_VALUE"""),0.324)</f>
        <v>0.324</v>
      </c>
      <c r="E7073" s="8" t="str">
        <f>IFERROR(__xludf.DUMMYFUNCTION("""COMPUTED_VALUE"""),"Real")</f>
        <v>Real</v>
      </c>
      <c r="G7073" s="8">
        <f t="shared" si="1"/>
        <v>8</v>
      </c>
      <c r="H7073" s="14">
        <f t="shared" si="2"/>
        <v>22</v>
      </c>
      <c r="I7073" s="15">
        <f t="shared" si="3"/>
        <v>17</v>
      </c>
    </row>
    <row r="7074">
      <c r="A7074" s="8" t="str">
        <f>IFERROR(__xludf.DUMMYFUNCTION("IF('(INGESTA)Datos_consumo_datadis'!A7074&lt;&gt;"""",SPLIT('(INGESTA)Datos_consumo_datadis'!A:A,"",""),"""")"),"ES0031408323131005HX0F")</f>
        <v>ES0031408323131005HX0F</v>
      </c>
      <c r="B7074" s="12">
        <f>IFERROR(__xludf.DUMMYFUNCTION("""COMPUTED_VALUE"""),45160.0)</f>
        <v>45160</v>
      </c>
      <c r="C7074" s="13">
        <f>IFERROR(__xludf.DUMMYFUNCTION("""COMPUTED_VALUE"""),0.75)</f>
        <v>0.75</v>
      </c>
      <c r="D7074" s="8">
        <f>IFERROR(__xludf.DUMMYFUNCTION("""COMPUTED_VALUE"""),1.562)</f>
        <v>1.562</v>
      </c>
      <c r="E7074" s="8" t="str">
        <f>IFERROR(__xludf.DUMMYFUNCTION("""COMPUTED_VALUE"""),"Real")</f>
        <v>Real</v>
      </c>
      <c r="G7074" s="8">
        <f t="shared" si="1"/>
        <v>8</v>
      </c>
      <c r="H7074" s="14">
        <f t="shared" si="2"/>
        <v>22</v>
      </c>
      <c r="I7074" s="15">
        <f t="shared" si="3"/>
        <v>18</v>
      </c>
    </row>
    <row r="7075">
      <c r="A7075" s="8" t="str">
        <f>IFERROR(__xludf.DUMMYFUNCTION("IF('(INGESTA)Datos_consumo_datadis'!A7075&lt;&gt;"""",SPLIT('(INGESTA)Datos_consumo_datadis'!A:A,"",""),"""")"),"ES0031408323131005HX0F")</f>
        <v>ES0031408323131005HX0F</v>
      </c>
      <c r="B7075" s="12">
        <f>IFERROR(__xludf.DUMMYFUNCTION("""COMPUTED_VALUE"""),45160.0)</f>
        <v>45160</v>
      </c>
      <c r="C7075" s="13">
        <f>IFERROR(__xludf.DUMMYFUNCTION("""COMPUTED_VALUE"""),0.7916666666666666)</f>
        <v>0.7916666667</v>
      </c>
      <c r="D7075" s="8">
        <f>IFERROR(__xludf.DUMMYFUNCTION("""COMPUTED_VALUE"""),2.198)</f>
        <v>2.198</v>
      </c>
      <c r="E7075" s="8" t="str">
        <f>IFERROR(__xludf.DUMMYFUNCTION("""COMPUTED_VALUE"""),"Real")</f>
        <v>Real</v>
      </c>
      <c r="G7075" s="8">
        <f t="shared" si="1"/>
        <v>8</v>
      </c>
      <c r="H7075" s="14">
        <f t="shared" si="2"/>
        <v>22</v>
      </c>
      <c r="I7075" s="15">
        <f t="shared" si="3"/>
        <v>19</v>
      </c>
    </row>
    <row r="7076">
      <c r="A7076" s="8" t="str">
        <f>IFERROR(__xludf.DUMMYFUNCTION("IF('(INGESTA)Datos_consumo_datadis'!A7076&lt;&gt;"""",SPLIT('(INGESTA)Datos_consumo_datadis'!A:A,"",""),"""")"),"ES0031408323131005HX0F")</f>
        <v>ES0031408323131005HX0F</v>
      </c>
      <c r="B7076" s="12">
        <f>IFERROR(__xludf.DUMMYFUNCTION("""COMPUTED_VALUE"""),45160.0)</f>
        <v>45160</v>
      </c>
      <c r="C7076" s="13">
        <f>IFERROR(__xludf.DUMMYFUNCTION("""COMPUTED_VALUE"""),0.8333333333333334)</f>
        <v>0.8333333333</v>
      </c>
      <c r="D7076" s="8">
        <f>IFERROR(__xludf.DUMMYFUNCTION("""COMPUTED_VALUE"""),0.729)</f>
        <v>0.729</v>
      </c>
      <c r="E7076" s="8" t="str">
        <f>IFERROR(__xludf.DUMMYFUNCTION("""COMPUTED_VALUE"""),"Real")</f>
        <v>Real</v>
      </c>
      <c r="G7076" s="8">
        <f t="shared" si="1"/>
        <v>8</v>
      </c>
      <c r="H7076" s="14">
        <f t="shared" si="2"/>
        <v>22</v>
      </c>
      <c r="I7076" s="15">
        <f t="shared" si="3"/>
        <v>20</v>
      </c>
    </row>
    <row r="7077">
      <c r="A7077" s="8" t="str">
        <f>IFERROR(__xludf.DUMMYFUNCTION("IF('(INGESTA)Datos_consumo_datadis'!A7077&lt;&gt;"""",SPLIT('(INGESTA)Datos_consumo_datadis'!A:A,"",""),"""")"),"ES0031408323131005HX0F")</f>
        <v>ES0031408323131005HX0F</v>
      </c>
      <c r="B7077" s="12">
        <f>IFERROR(__xludf.DUMMYFUNCTION("""COMPUTED_VALUE"""),45160.0)</f>
        <v>45160</v>
      </c>
      <c r="C7077" s="13">
        <f>IFERROR(__xludf.DUMMYFUNCTION("""COMPUTED_VALUE"""),0.875)</f>
        <v>0.875</v>
      </c>
      <c r="D7077" s="8">
        <f>IFERROR(__xludf.DUMMYFUNCTION("""COMPUTED_VALUE"""),0.537)</f>
        <v>0.537</v>
      </c>
      <c r="E7077" s="8" t="str">
        <f>IFERROR(__xludf.DUMMYFUNCTION("""COMPUTED_VALUE"""),"Real")</f>
        <v>Real</v>
      </c>
      <c r="G7077" s="8">
        <f t="shared" si="1"/>
        <v>8</v>
      </c>
      <c r="H7077" s="14">
        <f t="shared" si="2"/>
        <v>22</v>
      </c>
      <c r="I7077" s="15">
        <f t="shared" si="3"/>
        <v>21</v>
      </c>
    </row>
    <row r="7078">
      <c r="A7078" s="8" t="str">
        <f>IFERROR(__xludf.DUMMYFUNCTION("IF('(INGESTA)Datos_consumo_datadis'!A7078&lt;&gt;"""",SPLIT('(INGESTA)Datos_consumo_datadis'!A:A,"",""),"""")"),"ES0031408323131005HX0F")</f>
        <v>ES0031408323131005HX0F</v>
      </c>
      <c r="B7078" s="12">
        <f>IFERROR(__xludf.DUMMYFUNCTION("""COMPUTED_VALUE"""),45160.0)</f>
        <v>45160</v>
      </c>
      <c r="C7078" s="13">
        <f>IFERROR(__xludf.DUMMYFUNCTION("""COMPUTED_VALUE"""),0.9166666666666666)</f>
        <v>0.9166666667</v>
      </c>
      <c r="D7078" s="8">
        <f>IFERROR(__xludf.DUMMYFUNCTION("""COMPUTED_VALUE"""),0.936)</f>
        <v>0.936</v>
      </c>
      <c r="E7078" s="8" t="str">
        <f>IFERROR(__xludf.DUMMYFUNCTION("""COMPUTED_VALUE"""),"Real")</f>
        <v>Real</v>
      </c>
      <c r="G7078" s="8">
        <f t="shared" si="1"/>
        <v>8</v>
      </c>
      <c r="H7078" s="14">
        <f t="shared" si="2"/>
        <v>22</v>
      </c>
      <c r="I7078" s="15">
        <f t="shared" si="3"/>
        <v>22</v>
      </c>
    </row>
    <row r="7079">
      <c r="A7079" s="8" t="str">
        <f>IFERROR(__xludf.DUMMYFUNCTION("IF('(INGESTA)Datos_consumo_datadis'!A7079&lt;&gt;"""",SPLIT('(INGESTA)Datos_consumo_datadis'!A:A,"",""),"""")"),"ES0031408323131005HX0F")</f>
        <v>ES0031408323131005HX0F</v>
      </c>
      <c r="B7079" s="12">
        <f>IFERROR(__xludf.DUMMYFUNCTION("""COMPUTED_VALUE"""),45160.0)</f>
        <v>45160</v>
      </c>
      <c r="C7079" s="13">
        <f>IFERROR(__xludf.DUMMYFUNCTION("""COMPUTED_VALUE"""),0.9583333333333334)</f>
        <v>0.9583333333</v>
      </c>
      <c r="D7079" s="8">
        <f>IFERROR(__xludf.DUMMYFUNCTION("""COMPUTED_VALUE"""),0.398)</f>
        <v>0.398</v>
      </c>
      <c r="E7079" s="8" t="str">
        <f>IFERROR(__xludf.DUMMYFUNCTION("""COMPUTED_VALUE"""),"Real")</f>
        <v>Real</v>
      </c>
      <c r="G7079" s="8">
        <f t="shared" si="1"/>
        <v>8</v>
      </c>
      <c r="H7079" s="14">
        <f t="shared" si="2"/>
        <v>22</v>
      </c>
      <c r="I7079" s="15">
        <f t="shared" si="3"/>
        <v>23</v>
      </c>
    </row>
    <row r="7080">
      <c r="A7080" s="8" t="str">
        <f>IFERROR(__xludf.DUMMYFUNCTION("IF('(INGESTA)Datos_consumo_datadis'!A7080&lt;&gt;"""",SPLIT('(INGESTA)Datos_consumo_datadis'!A:A,"",""),"""")"),"ES0031408323131005HX0F")</f>
        <v>ES0031408323131005HX0F</v>
      </c>
      <c r="B7080" s="12">
        <f>IFERROR(__xludf.DUMMYFUNCTION("""COMPUTED_VALUE"""),45160.0)</f>
        <v>45160</v>
      </c>
      <c r="C7080" s="16">
        <f>IFERROR(__xludf.DUMMYFUNCTION("""COMPUTED_VALUE"""),1.0)</f>
        <v>1</v>
      </c>
      <c r="D7080" s="8">
        <f>IFERROR(__xludf.DUMMYFUNCTION("""COMPUTED_VALUE"""),1.406)</f>
        <v>1.406</v>
      </c>
      <c r="E7080" s="8" t="str">
        <f>IFERROR(__xludf.DUMMYFUNCTION("""COMPUTED_VALUE"""),"Real")</f>
        <v>Real</v>
      </c>
      <c r="G7080" s="8">
        <f t="shared" si="1"/>
        <v>8</v>
      </c>
      <c r="H7080" s="14">
        <f t="shared" si="2"/>
        <v>22</v>
      </c>
      <c r="I7080" s="15">
        <f t="shared" si="3"/>
        <v>0</v>
      </c>
    </row>
    <row r="7081">
      <c r="A7081" s="8" t="str">
        <f>IFERROR(__xludf.DUMMYFUNCTION("IF('(INGESTA)Datos_consumo_datadis'!A7081&lt;&gt;"""",SPLIT('(INGESTA)Datos_consumo_datadis'!A:A,"",""),"""")"),"ES0031408323131005HX0F")</f>
        <v>ES0031408323131005HX0F</v>
      </c>
      <c r="B7081" s="12">
        <f>IFERROR(__xludf.DUMMYFUNCTION("""COMPUTED_VALUE"""),45161.0)</f>
        <v>45161</v>
      </c>
      <c r="C7081" s="13">
        <f>IFERROR(__xludf.DUMMYFUNCTION("""COMPUTED_VALUE"""),0.041666666666666664)</f>
        <v>0.04166666667</v>
      </c>
      <c r="D7081" s="8">
        <f>IFERROR(__xludf.DUMMYFUNCTION("""COMPUTED_VALUE"""),2.471)</f>
        <v>2.471</v>
      </c>
      <c r="E7081" s="8" t="str">
        <f>IFERROR(__xludf.DUMMYFUNCTION("""COMPUTED_VALUE"""),"Real")</f>
        <v>Real</v>
      </c>
      <c r="G7081" s="8">
        <f t="shared" si="1"/>
        <v>8</v>
      </c>
      <c r="H7081" s="14">
        <f t="shared" si="2"/>
        <v>23</v>
      </c>
      <c r="I7081" s="15">
        <f t="shared" si="3"/>
        <v>1</v>
      </c>
    </row>
    <row r="7082">
      <c r="A7082" s="8" t="str">
        <f>IFERROR(__xludf.DUMMYFUNCTION("IF('(INGESTA)Datos_consumo_datadis'!A7082&lt;&gt;"""",SPLIT('(INGESTA)Datos_consumo_datadis'!A:A,"",""),"""")"),"ES0031408323131005HX0F")</f>
        <v>ES0031408323131005HX0F</v>
      </c>
      <c r="B7082" s="12">
        <f>IFERROR(__xludf.DUMMYFUNCTION("""COMPUTED_VALUE"""),45161.0)</f>
        <v>45161</v>
      </c>
      <c r="C7082" s="13">
        <f>IFERROR(__xludf.DUMMYFUNCTION("""COMPUTED_VALUE"""),0.08333333333333333)</f>
        <v>0.08333333333</v>
      </c>
      <c r="D7082" s="8">
        <f>IFERROR(__xludf.DUMMYFUNCTION("""COMPUTED_VALUE"""),1.802)</f>
        <v>1.802</v>
      </c>
      <c r="E7082" s="8" t="str">
        <f>IFERROR(__xludf.DUMMYFUNCTION("""COMPUTED_VALUE"""),"Real")</f>
        <v>Real</v>
      </c>
      <c r="G7082" s="8">
        <f t="shared" si="1"/>
        <v>8</v>
      </c>
      <c r="H7082" s="14">
        <f t="shared" si="2"/>
        <v>23</v>
      </c>
      <c r="I7082" s="15">
        <f t="shared" si="3"/>
        <v>2</v>
      </c>
    </row>
    <row r="7083">
      <c r="A7083" s="8" t="str">
        <f>IFERROR(__xludf.DUMMYFUNCTION("IF('(INGESTA)Datos_consumo_datadis'!A7083&lt;&gt;"""",SPLIT('(INGESTA)Datos_consumo_datadis'!A:A,"",""),"""")"),"ES0031408323131005HX0F")</f>
        <v>ES0031408323131005HX0F</v>
      </c>
      <c r="B7083" s="12">
        <f>IFERROR(__xludf.DUMMYFUNCTION("""COMPUTED_VALUE"""),45161.0)</f>
        <v>45161</v>
      </c>
      <c r="C7083" s="13">
        <f>IFERROR(__xludf.DUMMYFUNCTION("""COMPUTED_VALUE"""),0.125)</f>
        <v>0.125</v>
      </c>
      <c r="D7083" s="8">
        <f>IFERROR(__xludf.DUMMYFUNCTION("""COMPUTED_VALUE"""),0.235)</f>
        <v>0.235</v>
      </c>
      <c r="E7083" s="8" t="str">
        <f>IFERROR(__xludf.DUMMYFUNCTION("""COMPUTED_VALUE"""),"Real")</f>
        <v>Real</v>
      </c>
      <c r="G7083" s="8">
        <f t="shared" si="1"/>
        <v>8</v>
      </c>
      <c r="H7083" s="14">
        <f t="shared" si="2"/>
        <v>23</v>
      </c>
      <c r="I7083" s="15">
        <f t="shared" si="3"/>
        <v>3</v>
      </c>
    </row>
    <row r="7084">
      <c r="A7084" s="8" t="str">
        <f>IFERROR(__xludf.DUMMYFUNCTION("IF('(INGESTA)Datos_consumo_datadis'!A7084&lt;&gt;"""",SPLIT('(INGESTA)Datos_consumo_datadis'!A:A,"",""),"""")"),"ES0031408323131005HX0F")</f>
        <v>ES0031408323131005HX0F</v>
      </c>
      <c r="B7084" s="12">
        <f>IFERROR(__xludf.DUMMYFUNCTION("""COMPUTED_VALUE"""),45161.0)</f>
        <v>45161</v>
      </c>
      <c r="C7084" s="13">
        <f>IFERROR(__xludf.DUMMYFUNCTION("""COMPUTED_VALUE"""),0.16666666666666666)</f>
        <v>0.1666666667</v>
      </c>
      <c r="D7084" s="8">
        <f>IFERROR(__xludf.DUMMYFUNCTION("""COMPUTED_VALUE"""),0.144)</f>
        <v>0.144</v>
      </c>
      <c r="E7084" s="8" t="str">
        <f>IFERROR(__xludf.DUMMYFUNCTION("""COMPUTED_VALUE"""),"Real")</f>
        <v>Real</v>
      </c>
      <c r="G7084" s="8">
        <f t="shared" si="1"/>
        <v>8</v>
      </c>
      <c r="H7084" s="14">
        <f t="shared" si="2"/>
        <v>23</v>
      </c>
      <c r="I7084" s="15">
        <f t="shared" si="3"/>
        <v>4</v>
      </c>
    </row>
    <row r="7085">
      <c r="A7085" s="8" t="str">
        <f>IFERROR(__xludf.DUMMYFUNCTION("IF('(INGESTA)Datos_consumo_datadis'!A7085&lt;&gt;"""",SPLIT('(INGESTA)Datos_consumo_datadis'!A:A,"",""),"""")"),"ES0031408323131005HX0F")</f>
        <v>ES0031408323131005HX0F</v>
      </c>
      <c r="B7085" s="12">
        <f>IFERROR(__xludf.DUMMYFUNCTION("""COMPUTED_VALUE"""),45161.0)</f>
        <v>45161</v>
      </c>
      <c r="C7085" s="13">
        <f>IFERROR(__xludf.DUMMYFUNCTION("""COMPUTED_VALUE"""),0.20833333333333334)</f>
        <v>0.2083333333</v>
      </c>
      <c r="D7085" s="8">
        <f>IFERROR(__xludf.DUMMYFUNCTION("""COMPUTED_VALUE"""),0.124)</f>
        <v>0.124</v>
      </c>
      <c r="E7085" s="8" t="str">
        <f>IFERROR(__xludf.DUMMYFUNCTION("""COMPUTED_VALUE"""),"Real")</f>
        <v>Real</v>
      </c>
      <c r="G7085" s="8">
        <f t="shared" si="1"/>
        <v>8</v>
      </c>
      <c r="H7085" s="14">
        <f t="shared" si="2"/>
        <v>23</v>
      </c>
      <c r="I7085" s="15">
        <f t="shared" si="3"/>
        <v>5</v>
      </c>
    </row>
    <row r="7086">
      <c r="A7086" s="8" t="str">
        <f>IFERROR(__xludf.DUMMYFUNCTION("IF('(INGESTA)Datos_consumo_datadis'!A7086&lt;&gt;"""",SPLIT('(INGESTA)Datos_consumo_datadis'!A:A,"",""),"""")"),"ES0031408323131005HX0F")</f>
        <v>ES0031408323131005HX0F</v>
      </c>
      <c r="B7086" s="12">
        <f>IFERROR(__xludf.DUMMYFUNCTION("""COMPUTED_VALUE"""),45161.0)</f>
        <v>45161</v>
      </c>
      <c r="C7086" s="13">
        <f>IFERROR(__xludf.DUMMYFUNCTION("""COMPUTED_VALUE"""),0.25)</f>
        <v>0.25</v>
      </c>
      <c r="D7086" s="8">
        <f>IFERROR(__xludf.DUMMYFUNCTION("""COMPUTED_VALUE"""),0.381)</f>
        <v>0.381</v>
      </c>
      <c r="E7086" s="8" t="str">
        <f>IFERROR(__xludf.DUMMYFUNCTION("""COMPUTED_VALUE"""),"Real")</f>
        <v>Real</v>
      </c>
      <c r="G7086" s="8">
        <f t="shared" si="1"/>
        <v>8</v>
      </c>
      <c r="H7086" s="14">
        <f t="shared" si="2"/>
        <v>23</v>
      </c>
      <c r="I7086" s="15">
        <f t="shared" si="3"/>
        <v>6</v>
      </c>
    </row>
    <row r="7087">
      <c r="A7087" s="8" t="str">
        <f>IFERROR(__xludf.DUMMYFUNCTION("IF('(INGESTA)Datos_consumo_datadis'!A7087&lt;&gt;"""",SPLIT('(INGESTA)Datos_consumo_datadis'!A:A,"",""),"""")"),"ES0031408323131005HX0F")</f>
        <v>ES0031408323131005HX0F</v>
      </c>
      <c r="B7087" s="12">
        <f>IFERROR(__xludf.DUMMYFUNCTION("""COMPUTED_VALUE"""),45161.0)</f>
        <v>45161</v>
      </c>
      <c r="C7087" s="13">
        <f>IFERROR(__xludf.DUMMYFUNCTION("""COMPUTED_VALUE"""),0.2916666666666667)</f>
        <v>0.2916666667</v>
      </c>
      <c r="D7087" s="8">
        <f>IFERROR(__xludf.DUMMYFUNCTION("""COMPUTED_VALUE"""),0.191)</f>
        <v>0.191</v>
      </c>
      <c r="E7087" s="8" t="str">
        <f>IFERROR(__xludf.DUMMYFUNCTION("""COMPUTED_VALUE"""),"Real")</f>
        <v>Real</v>
      </c>
      <c r="G7087" s="8">
        <f t="shared" si="1"/>
        <v>8</v>
      </c>
      <c r="H7087" s="14">
        <f t="shared" si="2"/>
        <v>23</v>
      </c>
      <c r="I7087" s="15">
        <f t="shared" si="3"/>
        <v>7</v>
      </c>
    </row>
    <row r="7088">
      <c r="A7088" s="8" t="str">
        <f>IFERROR(__xludf.DUMMYFUNCTION("IF('(INGESTA)Datos_consumo_datadis'!A7088&lt;&gt;"""",SPLIT('(INGESTA)Datos_consumo_datadis'!A:A,"",""),"""")"),"ES0031408323131005HX0F")</f>
        <v>ES0031408323131005HX0F</v>
      </c>
      <c r="B7088" s="12">
        <f>IFERROR(__xludf.DUMMYFUNCTION("""COMPUTED_VALUE"""),45161.0)</f>
        <v>45161</v>
      </c>
      <c r="C7088" s="13">
        <f>IFERROR(__xludf.DUMMYFUNCTION("""COMPUTED_VALUE"""),0.3333333333333333)</f>
        <v>0.3333333333</v>
      </c>
      <c r="D7088" s="8">
        <f>IFERROR(__xludf.DUMMYFUNCTION("""COMPUTED_VALUE"""),1.019)</f>
        <v>1.019</v>
      </c>
      <c r="E7088" s="8" t="str">
        <f>IFERROR(__xludf.DUMMYFUNCTION("""COMPUTED_VALUE"""),"Real")</f>
        <v>Real</v>
      </c>
      <c r="G7088" s="8">
        <f t="shared" si="1"/>
        <v>8</v>
      </c>
      <c r="H7088" s="14">
        <f t="shared" si="2"/>
        <v>23</v>
      </c>
      <c r="I7088" s="15">
        <f t="shared" si="3"/>
        <v>8</v>
      </c>
    </row>
    <row r="7089">
      <c r="A7089" s="8" t="str">
        <f>IFERROR(__xludf.DUMMYFUNCTION("IF('(INGESTA)Datos_consumo_datadis'!A7089&lt;&gt;"""",SPLIT('(INGESTA)Datos_consumo_datadis'!A:A,"",""),"""")"),"ES0031408323131005HX0F")</f>
        <v>ES0031408323131005HX0F</v>
      </c>
      <c r="B7089" s="12">
        <f>IFERROR(__xludf.DUMMYFUNCTION("""COMPUTED_VALUE"""),45161.0)</f>
        <v>45161</v>
      </c>
      <c r="C7089" s="13">
        <f>IFERROR(__xludf.DUMMYFUNCTION("""COMPUTED_VALUE"""),0.375)</f>
        <v>0.375</v>
      </c>
      <c r="D7089" s="8">
        <f>IFERROR(__xludf.DUMMYFUNCTION("""COMPUTED_VALUE"""),0.809)</f>
        <v>0.809</v>
      </c>
      <c r="E7089" s="8" t="str">
        <f>IFERROR(__xludf.DUMMYFUNCTION("""COMPUTED_VALUE"""),"Real")</f>
        <v>Real</v>
      </c>
      <c r="G7089" s="8">
        <f t="shared" si="1"/>
        <v>8</v>
      </c>
      <c r="H7089" s="14">
        <f t="shared" si="2"/>
        <v>23</v>
      </c>
      <c r="I7089" s="15">
        <f t="shared" si="3"/>
        <v>9</v>
      </c>
    </row>
    <row r="7090">
      <c r="A7090" s="8" t="str">
        <f>IFERROR(__xludf.DUMMYFUNCTION("IF('(INGESTA)Datos_consumo_datadis'!A7090&lt;&gt;"""",SPLIT('(INGESTA)Datos_consumo_datadis'!A:A,"",""),"""")"),"ES0031408323131005HX0F")</f>
        <v>ES0031408323131005HX0F</v>
      </c>
      <c r="B7090" s="12">
        <f>IFERROR(__xludf.DUMMYFUNCTION("""COMPUTED_VALUE"""),45161.0)</f>
        <v>45161</v>
      </c>
      <c r="C7090" s="13">
        <f>IFERROR(__xludf.DUMMYFUNCTION("""COMPUTED_VALUE"""),0.4166666666666667)</f>
        <v>0.4166666667</v>
      </c>
      <c r="D7090" s="8">
        <f>IFERROR(__xludf.DUMMYFUNCTION("""COMPUTED_VALUE"""),0.84)</f>
        <v>0.84</v>
      </c>
      <c r="E7090" s="8" t="str">
        <f>IFERROR(__xludf.DUMMYFUNCTION("""COMPUTED_VALUE"""),"Real")</f>
        <v>Real</v>
      </c>
      <c r="G7090" s="8">
        <f t="shared" si="1"/>
        <v>8</v>
      </c>
      <c r="H7090" s="14">
        <f t="shared" si="2"/>
        <v>23</v>
      </c>
      <c r="I7090" s="15">
        <f t="shared" si="3"/>
        <v>10</v>
      </c>
    </row>
    <row r="7091">
      <c r="A7091" s="8" t="str">
        <f>IFERROR(__xludf.DUMMYFUNCTION("IF('(INGESTA)Datos_consumo_datadis'!A7091&lt;&gt;"""",SPLIT('(INGESTA)Datos_consumo_datadis'!A:A,"",""),"""")"),"ES0031408323131005HX0F")</f>
        <v>ES0031408323131005HX0F</v>
      </c>
      <c r="B7091" s="12">
        <f>IFERROR(__xludf.DUMMYFUNCTION("""COMPUTED_VALUE"""),45161.0)</f>
        <v>45161</v>
      </c>
      <c r="C7091" s="13">
        <f>IFERROR(__xludf.DUMMYFUNCTION("""COMPUTED_VALUE"""),0.4583333333333333)</f>
        <v>0.4583333333</v>
      </c>
      <c r="D7091" s="8">
        <f>IFERROR(__xludf.DUMMYFUNCTION("""COMPUTED_VALUE"""),0.248)</f>
        <v>0.248</v>
      </c>
      <c r="E7091" s="8" t="str">
        <f>IFERROR(__xludf.DUMMYFUNCTION("""COMPUTED_VALUE"""),"Real")</f>
        <v>Real</v>
      </c>
      <c r="G7091" s="8">
        <f t="shared" si="1"/>
        <v>8</v>
      </c>
      <c r="H7091" s="14">
        <f t="shared" si="2"/>
        <v>23</v>
      </c>
      <c r="I7091" s="15">
        <f t="shared" si="3"/>
        <v>11</v>
      </c>
    </row>
    <row r="7092">
      <c r="A7092" s="8" t="str">
        <f>IFERROR(__xludf.DUMMYFUNCTION("IF('(INGESTA)Datos_consumo_datadis'!A7092&lt;&gt;"""",SPLIT('(INGESTA)Datos_consumo_datadis'!A:A,"",""),"""")"),"ES0031408323131005HX0F")</f>
        <v>ES0031408323131005HX0F</v>
      </c>
      <c r="B7092" s="12">
        <f>IFERROR(__xludf.DUMMYFUNCTION("""COMPUTED_VALUE"""),45161.0)</f>
        <v>45161</v>
      </c>
      <c r="C7092" s="13">
        <f>IFERROR(__xludf.DUMMYFUNCTION("""COMPUTED_VALUE"""),0.5)</f>
        <v>0.5</v>
      </c>
      <c r="D7092" s="8">
        <f>IFERROR(__xludf.DUMMYFUNCTION("""COMPUTED_VALUE"""),0.12)</f>
        <v>0.12</v>
      </c>
      <c r="E7092" s="8" t="str">
        <f>IFERROR(__xludf.DUMMYFUNCTION("""COMPUTED_VALUE"""),"Real")</f>
        <v>Real</v>
      </c>
      <c r="G7092" s="8">
        <f t="shared" si="1"/>
        <v>8</v>
      </c>
      <c r="H7092" s="14">
        <f t="shared" si="2"/>
        <v>23</v>
      </c>
      <c r="I7092" s="15">
        <f t="shared" si="3"/>
        <v>12</v>
      </c>
    </row>
    <row r="7093">
      <c r="A7093" s="8" t="str">
        <f>IFERROR(__xludf.DUMMYFUNCTION("IF('(INGESTA)Datos_consumo_datadis'!A7093&lt;&gt;"""",SPLIT('(INGESTA)Datos_consumo_datadis'!A:A,"",""),"""")"),"ES0031408323131005HX0F")</f>
        <v>ES0031408323131005HX0F</v>
      </c>
      <c r="B7093" s="12">
        <f>IFERROR(__xludf.DUMMYFUNCTION("""COMPUTED_VALUE"""),45161.0)</f>
        <v>45161</v>
      </c>
      <c r="C7093" s="13">
        <f>IFERROR(__xludf.DUMMYFUNCTION("""COMPUTED_VALUE"""),0.5416666666666666)</f>
        <v>0.5416666667</v>
      </c>
      <c r="D7093" s="8">
        <f>IFERROR(__xludf.DUMMYFUNCTION("""COMPUTED_VALUE"""),0.12)</f>
        <v>0.12</v>
      </c>
      <c r="E7093" s="8" t="str">
        <f>IFERROR(__xludf.DUMMYFUNCTION("""COMPUTED_VALUE"""),"Real")</f>
        <v>Real</v>
      </c>
      <c r="G7093" s="8">
        <f t="shared" si="1"/>
        <v>8</v>
      </c>
      <c r="H7093" s="14">
        <f t="shared" si="2"/>
        <v>23</v>
      </c>
      <c r="I7093" s="15">
        <f t="shared" si="3"/>
        <v>13</v>
      </c>
    </row>
    <row r="7094">
      <c r="A7094" s="8" t="str">
        <f>IFERROR(__xludf.DUMMYFUNCTION("IF('(INGESTA)Datos_consumo_datadis'!A7094&lt;&gt;"""",SPLIT('(INGESTA)Datos_consumo_datadis'!A:A,"",""),"""")"),"ES0031408323131005HX0F")</f>
        <v>ES0031408323131005HX0F</v>
      </c>
      <c r="B7094" s="12">
        <f>IFERROR(__xludf.DUMMYFUNCTION("""COMPUTED_VALUE"""),45161.0)</f>
        <v>45161</v>
      </c>
      <c r="C7094" s="13">
        <f>IFERROR(__xludf.DUMMYFUNCTION("""COMPUTED_VALUE"""),0.5833333333333334)</f>
        <v>0.5833333333</v>
      </c>
      <c r="D7094" s="8">
        <f>IFERROR(__xludf.DUMMYFUNCTION("""COMPUTED_VALUE"""),1.643)</f>
        <v>1.643</v>
      </c>
      <c r="E7094" s="8" t="str">
        <f>IFERROR(__xludf.DUMMYFUNCTION("""COMPUTED_VALUE"""),"Real")</f>
        <v>Real</v>
      </c>
      <c r="G7094" s="8">
        <f t="shared" si="1"/>
        <v>8</v>
      </c>
      <c r="H7094" s="14">
        <f t="shared" si="2"/>
        <v>23</v>
      </c>
      <c r="I7094" s="15">
        <f t="shared" si="3"/>
        <v>14</v>
      </c>
    </row>
    <row r="7095">
      <c r="A7095" s="8" t="str">
        <f>IFERROR(__xludf.DUMMYFUNCTION("IF('(INGESTA)Datos_consumo_datadis'!A7095&lt;&gt;"""",SPLIT('(INGESTA)Datos_consumo_datadis'!A:A,"",""),"""")"),"ES0031408323131005HX0F")</f>
        <v>ES0031408323131005HX0F</v>
      </c>
      <c r="B7095" s="12">
        <f>IFERROR(__xludf.DUMMYFUNCTION("""COMPUTED_VALUE"""),45161.0)</f>
        <v>45161</v>
      </c>
      <c r="C7095" s="13">
        <f>IFERROR(__xludf.DUMMYFUNCTION("""COMPUTED_VALUE"""),0.625)</f>
        <v>0.625</v>
      </c>
      <c r="D7095" s="8">
        <f>IFERROR(__xludf.DUMMYFUNCTION("""COMPUTED_VALUE"""),1.503)</f>
        <v>1.503</v>
      </c>
      <c r="E7095" s="8" t="str">
        <f>IFERROR(__xludf.DUMMYFUNCTION("""COMPUTED_VALUE"""),"Real")</f>
        <v>Real</v>
      </c>
      <c r="G7095" s="8">
        <f t="shared" si="1"/>
        <v>8</v>
      </c>
      <c r="H7095" s="14">
        <f t="shared" si="2"/>
        <v>23</v>
      </c>
      <c r="I7095" s="15">
        <f t="shared" si="3"/>
        <v>15</v>
      </c>
    </row>
    <row r="7096">
      <c r="A7096" s="8" t="str">
        <f>IFERROR(__xludf.DUMMYFUNCTION("IF('(INGESTA)Datos_consumo_datadis'!A7096&lt;&gt;"""",SPLIT('(INGESTA)Datos_consumo_datadis'!A:A,"",""),"""")"),"ES0031408323131005HX0F")</f>
        <v>ES0031408323131005HX0F</v>
      </c>
      <c r="B7096" s="12">
        <f>IFERROR(__xludf.DUMMYFUNCTION("""COMPUTED_VALUE"""),45161.0)</f>
        <v>45161</v>
      </c>
      <c r="C7096" s="13">
        <f>IFERROR(__xludf.DUMMYFUNCTION("""COMPUTED_VALUE"""),0.6666666666666666)</f>
        <v>0.6666666667</v>
      </c>
      <c r="D7096" s="8">
        <f>IFERROR(__xludf.DUMMYFUNCTION("""COMPUTED_VALUE"""),0.303)</f>
        <v>0.303</v>
      </c>
      <c r="E7096" s="8" t="str">
        <f>IFERROR(__xludf.DUMMYFUNCTION("""COMPUTED_VALUE"""),"Real")</f>
        <v>Real</v>
      </c>
      <c r="G7096" s="8">
        <f t="shared" si="1"/>
        <v>8</v>
      </c>
      <c r="H7096" s="14">
        <f t="shared" si="2"/>
        <v>23</v>
      </c>
      <c r="I7096" s="15">
        <f t="shared" si="3"/>
        <v>16</v>
      </c>
    </row>
    <row r="7097">
      <c r="A7097" s="8" t="str">
        <f>IFERROR(__xludf.DUMMYFUNCTION("IF('(INGESTA)Datos_consumo_datadis'!A7097&lt;&gt;"""",SPLIT('(INGESTA)Datos_consumo_datadis'!A:A,"",""),"""")"),"ES0031408323131005HX0F")</f>
        <v>ES0031408323131005HX0F</v>
      </c>
      <c r="B7097" s="12">
        <f>IFERROR(__xludf.DUMMYFUNCTION("""COMPUTED_VALUE"""),45161.0)</f>
        <v>45161</v>
      </c>
      <c r="C7097" s="13">
        <f>IFERROR(__xludf.DUMMYFUNCTION("""COMPUTED_VALUE"""),0.7083333333333334)</f>
        <v>0.7083333333</v>
      </c>
      <c r="D7097" s="8">
        <f>IFERROR(__xludf.DUMMYFUNCTION("""COMPUTED_VALUE"""),2.494)</f>
        <v>2.494</v>
      </c>
      <c r="E7097" s="8" t="str">
        <f>IFERROR(__xludf.DUMMYFUNCTION("""COMPUTED_VALUE"""),"Real")</f>
        <v>Real</v>
      </c>
      <c r="G7097" s="8">
        <f t="shared" si="1"/>
        <v>8</v>
      </c>
      <c r="H7097" s="14">
        <f t="shared" si="2"/>
        <v>23</v>
      </c>
      <c r="I7097" s="15">
        <f t="shared" si="3"/>
        <v>17</v>
      </c>
    </row>
    <row r="7098">
      <c r="A7098" s="8" t="str">
        <f>IFERROR(__xludf.DUMMYFUNCTION("IF('(INGESTA)Datos_consumo_datadis'!A7098&lt;&gt;"""",SPLIT('(INGESTA)Datos_consumo_datadis'!A:A,"",""),"""")"),"ES0031408323131005HX0F")</f>
        <v>ES0031408323131005HX0F</v>
      </c>
      <c r="B7098" s="12">
        <f>IFERROR(__xludf.DUMMYFUNCTION("""COMPUTED_VALUE"""),45161.0)</f>
        <v>45161</v>
      </c>
      <c r="C7098" s="13">
        <f>IFERROR(__xludf.DUMMYFUNCTION("""COMPUTED_VALUE"""),0.75)</f>
        <v>0.75</v>
      </c>
      <c r="D7098" s="8">
        <f>IFERROR(__xludf.DUMMYFUNCTION("""COMPUTED_VALUE"""),2.773)</f>
        <v>2.773</v>
      </c>
      <c r="E7098" s="8" t="str">
        <f>IFERROR(__xludf.DUMMYFUNCTION("""COMPUTED_VALUE"""),"Real")</f>
        <v>Real</v>
      </c>
      <c r="G7098" s="8">
        <f t="shared" si="1"/>
        <v>8</v>
      </c>
      <c r="H7098" s="14">
        <f t="shared" si="2"/>
        <v>23</v>
      </c>
      <c r="I7098" s="15">
        <f t="shared" si="3"/>
        <v>18</v>
      </c>
    </row>
    <row r="7099">
      <c r="A7099" s="8" t="str">
        <f>IFERROR(__xludf.DUMMYFUNCTION("IF('(INGESTA)Datos_consumo_datadis'!A7099&lt;&gt;"""",SPLIT('(INGESTA)Datos_consumo_datadis'!A:A,"",""),"""")"),"ES0031408323131005HX0F")</f>
        <v>ES0031408323131005HX0F</v>
      </c>
      <c r="B7099" s="12">
        <f>IFERROR(__xludf.DUMMYFUNCTION("""COMPUTED_VALUE"""),45161.0)</f>
        <v>45161</v>
      </c>
      <c r="C7099" s="13">
        <f>IFERROR(__xludf.DUMMYFUNCTION("""COMPUTED_VALUE"""),0.7916666666666666)</f>
        <v>0.7916666667</v>
      </c>
      <c r="D7099" s="8">
        <f>IFERROR(__xludf.DUMMYFUNCTION("""COMPUTED_VALUE"""),0.6)</f>
        <v>0.6</v>
      </c>
      <c r="E7099" s="8" t="str">
        <f>IFERROR(__xludf.DUMMYFUNCTION("""COMPUTED_VALUE"""),"Real")</f>
        <v>Real</v>
      </c>
      <c r="G7099" s="8">
        <f t="shared" si="1"/>
        <v>8</v>
      </c>
      <c r="H7099" s="14">
        <f t="shared" si="2"/>
        <v>23</v>
      </c>
      <c r="I7099" s="15">
        <f t="shared" si="3"/>
        <v>19</v>
      </c>
    </row>
    <row r="7100">
      <c r="A7100" s="8" t="str">
        <f>IFERROR(__xludf.DUMMYFUNCTION("IF('(INGESTA)Datos_consumo_datadis'!A7100&lt;&gt;"""",SPLIT('(INGESTA)Datos_consumo_datadis'!A:A,"",""),"""")"),"ES0031408323131005HX0F")</f>
        <v>ES0031408323131005HX0F</v>
      </c>
      <c r="B7100" s="12">
        <f>IFERROR(__xludf.DUMMYFUNCTION("""COMPUTED_VALUE"""),45161.0)</f>
        <v>45161</v>
      </c>
      <c r="C7100" s="13">
        <f>IFERROR(__xludf.DUMMYFUNCTION("""COMPUTED_VALUE"""),0.8333333333333334)</f>
        <v>0.8333333333</v>
      </c>
      <c r="D7100" s="8">
        <f>IFERROR(__xludf.DUMMYFUNCTION("""COMPUTED_VALUE"""),0.065)</f>
        <v>0.065</v>
      </c>
      <c r="E7100" s="8" t="str">
        <f>IFERROR(__xludf.DUMMYFUNCTION("""COMPUTED_VALUE"""),"Real")</f>
        <v>Real</v>
      </c>
      <c r="G7100" s="8">
        <f t="shared" si="1"/>
        <v>8</v>
      </c>
      <c r="H7100" s="14">
        <f t="shared" si="2"/>
        <v>23</v>
      </c>
      <c r="I7100" s="15">
        <f t="shared" si="3"/>
        <v>20</v>
      </c>
    </row>
    <row r="7101">
      <c r="A7101" s="8" t="str">
        <f>IFERROR(__xludf.DUMMYFUNCTION("IF('(INGESTA)Datos_consumo_datadis'!A7101&lt;&gt;"""",SPLIT('(INGESTA)Datos_consumo_datadis'!A:A,"",""),"""")"),"ES0031408323131005HX0F")</f>
        <v>ES0031408323131005HX0F</v>
      </c>
      <c r="B7101" s="12">
        <f>IFERROR(__xludf.DUMMYFUNCTION("""COMPUTED_VALUE"""),45161.0)</f>
        <v>45161</v>
      </c>
      <c r="C7101" s="13">
        <f>IFERROR(__xludf.DUMMYFUNCTION("""COMPUTED_VALUE"""),0.875)</f>
        <v>0.875</v>
      </c>
      <c r="D7101" s="8">
        <f>IFERROR(__xludf.DUMMYFUNCTION("""COMPUTED_VALUE"""),0.598)</f>
        <v>0.598</v>
      </c>
      <c r="E7101" s="8" t="str">
        <f>IFERROR(__xludf.DUMMYFUNCTION("""COMPUTED_VALUE"""),"Real")</f>
        <v>Real</v>
      </c>
      <c r="G7101" s="8">
        <f t="shared" si="1"/>
        <v>8</v>
      </c>
      <c r="H7101" s="14">
        <f t="shared" si="2"/>
        <v>23</v>
      </c>
      <c r="I7101" s="15">
        <f t="shared" si="3"/>
        <v>21</v>
      </c>
    </row>
    <row r="7102">
      <c r="A7102" s="8" t="str">
        <f>IFERROR(__xludf.DUMMYFUNCTION("IF('(INGESTA)Datos_consumo_datadis'!A7102&lt;&gt;"""",SPLIT('(INGESTA)Datos_consumo_datadis'!A:A,"",""),"""")"),"ES0031408323131005HX0F")</f>
        <v>ES0031408323131005HX0F</v>
      </c>
      <c r="B7102" s="12">
        <f>IFERROR(__xludf.DUMMYFUNCTION("""COMPUTED_VALUE"""),45161.0)</f>
        <v>45161</v>
      </c>
      <c r="C7102" s="13">
        <f>IFERROR(__xludf.DUMMYFUNCTION("""COMPUTED_VALUE"""),0.9166666666666666)</f>
        <v>0.9166666667</v>
      </c>
      <c r="D7102" s="8">
        <f>IFERROR(__xludf.DUMMYFUNCTION("""COMPUTED_VALUE"""),1.57)</f>
        <v>1.57</v>
      </c>
      <c r="E7102" s="8" t="str">
        <f>IFERROR(__xludf.DUMMYFUNCTION("""COMPUTED_VALUE"""),"Real")</f>
        <v>Real</v>
      </c>
      <c r="G7102" s="8">
        <f t="shared" si="1"/>
        <v>8</v>
      </c>
      <c r="H7102" s="14">
        <f t="shared" si="2"/>
        <v>23</v>
      </c>
      <c r="I7102" s="15">
        <f t="shared" si="3"/>
        <v>22</v>
      </c>
    </row>
    <row r="7103">
      <c r="A7103" s="8" t="str">
        <f>IFERROR(__xludf.DUMMYFUNCTION("IF('(INGESTA)Datos_consumo_datadis'!A7103&lt;&gt;"""",SPLIT('(INGESTA)Datos_consumo_datadis'!A:A,"",""),"""")"),"ES0031408323131005HX0F")</f>
        <v>ES0031408323131005HX0F</v>
      </c>
      <c r="B7103" s="12">
        <f>IFERROR(__xludf.DUMMYFUNCTION("""COMPUTED_VALUE"""),45161.0)</f>
        <v>45161</v>
      </c>
      <c r="C7103" s="13">
        <f>IFERROR(__xludf.DUMMYFUNCTION("""COMPUTED_VALUE"""),0.9583333333333334)</f>
        <v>0.9583333333</v>
      </c>
      <c r="D7103" s="8">
        <f>IFERROR(__xludf.DUMMYFUNCTION("""COMPUTED_VALUE"""),0.545)</f>
        <v>0.545</v>
      </c>
      <c r="E7103" s="8" t="str">
        <f>IFERROR(__xludf.DUMMYFUNCTION("""COMPUTED_VALUE"""),"Real")</f>
        <v>Real</v>
      </c>
      <c r="G7103" s="8">
        <f t="shared" si="1"/>
        <v>8</v>
      </c>
      <c r="H7103" s="14">
        <f t="shared" si="2"/>
        <v>23</v>
      </c>
      <c r="I7103" s="15">
        <f t="shared" si="3"/>
        <v>23</v>
      </c>
    </row>
    <row r="7104">
      <c r="A7104" s="8" t="str">
        <f>IFERROR(__xludf.DUMMYFUNCTION("IF('(INGESTA)Datos_consumo_datadis'!A7104&lt;&gt;"""",SPLIT('(INGESTA)Datos_consumo_datadis'!A:A,"",""),"""")"),"ES0031408323131005HX0F")</f>
        <v>ES0031408323131005HX0F</v>
      </c>
      <c r="B7104" s="12">
        <f>IFERROR(__xludf.DUMMYFUNCTION("""COMPUTED_VALUE"""),45161.0)</f>
        <v>45161</v>
      </c>
      <c r="C7104" s="16">
        <f>IFERROR(__xludf.DUMMYFUNCTION("""COMPUTED_VALUE"""),1.0)</f>
        <v>1</v>
      </c>
      <c r="D7104" s="8">
        <f>IFERROR(__xludf.DUMMYFUNCTION("""COMPUTED_VALUE"""),0.119)</f>
        <v>0.119</v>
      </c>
      <c r="E7104" s="8" t="str">
        <f>IFERROR(__xludf.DUMMYFUNCTION("""COMPUTED_VALUE"""),"Real")</f>
        <v>Real</v>
      </c>
      <c r="G7104" s="8">
        <f t="shared" si="1"/>
        <v>8</v>
      </c>
      <c r="H7104" s="14">
        <f t="shared" si="2"/>
        <v>23</v>
      </c>
      <c r="I7104" s="15">
        <f t="shared" si="3"/>
        <v>0</v>
      </c>
    </row>
    <row r="7105">
      <c r="A7105" s="8" t="str">
        <f>IFERROR(__xludf.DUMMYFUNCTION("IF('(INGESTA)Datos_consumo_datadis'!A7105&lt;&gt;"""",SPLIT('(INGESTA)Datos_consumo_datadis'!A:A,"",""),"""")"),"ES0031408323131005HX0F")</f>
        <v>ES0031408323131005HX0F</v>
      </c>
      <c r="B7105" s="12">
        <f>IFERROR(__xludf.DUMMYFUNCTION("""COMPUTED_VALUE"""),45162.0)</f>
        <v>45162</v>
      </c>
      <c r="C7105" s="13">
        <f>IFERROR(__xludf.DUMMYFUNCTION("""COMPUTED_VALUE"""),0.041666666666666664)</f>
        <v>0.04166666667</v>
      </c>
      <c r="D7105" s="8">
        <f>IFERROR(__xludf.DUMMYFUNCTION("""COMPUTED_VALUE"""),1.801)</f>
        <v>1.801</v>
      </c>
      <c r="E7105" s="8" t="str">
        <f>IFERROR(__xludf.DUMMYFUNCTION("""COMPUTED_VALUE"""),"Real")</f>
        <v>Real</v>
      </c>
      <c r="G7105" s="8">
        <f t="shared" si="1"/>
        <v>8</v>
      </c>
      <c r="H7105" s="14">
        <f t="shared" si="2"/>
        <v>24</v>
      </c>
      <c r="I7105" s="15">
        <f t="shared" si="3"/>
        <v>1</v>
      </c>
    </row>
    <row r="7106">
      <c r="A7106" s="8" t="str">
        <f>IFERROR(__xludf.DUMMYFUNCTION("IF('(INGESTA)Datos_consumo_datadis'!A7106&lt;&gt;"""",SPLIT('(INGESTA)Datos_consumo_datadis'!A:A,"",""),"""")"),"ES0031408323131005HX0F")</f>
        <v>ES0031408323131005HX0F</v>
      </c>
      <c r="B7106" s="12">
        <f>IFERROR(__xludf.DUMMYFUNCTION("""COMPUTED_VALUE"""),45162.0)</f>
        <v>45162</v>
      </c>
      <c r="C7106" s="13">
        <f>IFERROR(__xludf.DUMMYFUNCTION("""COMPUTED_VALUE"""),0.08333333333333333)</f>
        <v>0.08333333333</v>
      </c>
      <c r="D7106" s="8">
        <f>IFERROR(__xludf.DUMMYFUNCTION("""COMPUTED_VALUE"""),1.834)</f>
        <v>1.834</v>
      </c>
      <c r="E7106" s="8" t="str">
        <f>IFERROR(__xludf.DUMMYFUNCTION("""COMPUTED_VALUE"""),"Real")</f>
        <v>Real</v>
      </c>
      <c r="G7106" s="8">
        <f t="shared" si="1"/>
        <v>8</v>
      </c>
      <c r="H7106" s="14">
        <f t="shared" si="2"/>
        <v>24</v>
      </c>
      <c r="I7106" s="15">
        <f t="shared" si="3"/>
        <v>2</v>
      </c>
    </row>
    <row r="7107">
      <c r="A7107" s="8" t="str">
        <f>IFERROR(__xludf.DUMMYFUNCTION("IF('(INGESTA)Datos_consumo_datadis'!A7107&lt;&gt;"""",SPLIT('(INGESTA)Datos_consumo_datadis'!A:A,"",""),"""")"),"ES0031408323131005HX0F")</f>
        <v>ES0031408323131005HX0F</v>
      </c>
      <c r="B7107" s="12">
        <f>IFERROR(__xludf.DUMMYFUNCTION("""COMPUTED_VALUE"""),45162.0)</f>
        <v>45162</v>
      </c>
      <c r="C7107" s="13">
        <f>IFERROR(__xludf.DUMMYFUNCTION("""COMPUTED_VALUE"""),0.125)</f>
        <v>0.125</v>
      </c>
      <c r="D7107" s="8">
        <f>IFERROR(__xludf.DUMMYFUNCTION("""COMPUTED_VALUE"""),0.143)</f>
        <v>0.143</v>
      </c>
      <c r="E7107" s="8" t="str">
        <f>IFERROR(__xludf.DUMMYFUNCTION("""COMPUTED_VALUE"""),"Real")</f>
        <v>Real</v>
      </c>
      <c r="G7107" s="8">
        <f t="shared" si="1"/>
        <v>8</v>
      </c>
      <c r="H7107" s="14">
        <f t="shared" si="2"/>
        <v>24</v>
      </c>
      <c r="I7107" s="15">
        <f t="shared" si="3"/>
        <v>3</v>
      </c>
    </row>
    <row r="7108">
      <c r="A7108" s="8" t="str">
        <f>IFERROR(__xludf.DUMMYFUNCTION("IF('(INGESTA)Datos_consumo_datadis'!A7108&lt;&gt;"""",SPLIT('(INGESTA)Datos_consumo_datadis'!A:A,"",""),"""")"),"ES0031408323131005HX0F")</f>
        <v>ES0031408323131005HX0F</v>
      </c>
      <c r="B7108" s="12">
        <f>IFERROR(__xludf.DUMMYFUNCTION("""COMPUTED_VALUE"""),45162.0)</f>
        <v>45162</v>
      </c>
      <c r="C7108" s="13">
        <f>IFERROR(__xludf.DUMMYFUNCTION("""COMPUTED_VALUE"""),0.16666666666666666)</f>
        <v>0.1666666667</v>
      </c>
      <c r="D7108" s="8">
        <f>IFERROR(__xludf.DUMMYFUNCTION("""COMPUTED_VALUE"""),0.136)</f>
        <v>0.136</v>
      </c>
      <c r="E7108" s="8" t="str">
        <f>IFERROR(__xludf.DUMMYFUNCTION("""COMPUTED_VALUE"""),"Real")</f>
        <v>Real</v>
      </c>
      <c r="G7108" s="8">
        <f t="shared" si="1"/>
        <v>8</v>
      </c>
      <c r="H7108" s="14">
        <f t="shared" si="2"/>
        <v>24</v>
      </c>
      <c r="I7108" s="15">
        <f t="shared" si="3"/>
        <v>4</v>
      </c>
    </row>
    <row r="7109">
      <c r="A7109" s="8" t="str">
        <f>IFERROR(__xludf.DUMMYFUNCTION("IF('(INGESTA)Datos_consumo_datadis'!A7109&lt;&gt;"""",SPLIT('(INGESTA)Datos_consumo_datadis'!A:A,"",""),"""")"),"ES0031408323131005HX0F")</f>
        <v>ES0031408323131005HX0F</v>
      </c>
      <c r="B7109" s="12">
        <f>IFERROR(__xludf.DUMMYFUNCTION("""COMPUTED_VALUE"""),45162.0)</f>
        <v>45162</v>
      </c>
      <c r="C7109" s="13">
        <f>IFERROR(__xludf.DUMMYFUNCTION("""COMPUTED_VALUE"""),0.20833333333333334)</f>
        <v>0.2083333333</v>
      </c>
      <c r="D7109" s="8">
        <f>IFERROR(__xludf.DUMMYFUNCTION("""COMPUTED_VALUE"""),0.252)</f>
        <v>0.252</v>
      </c>
      <c r="E7109" s="8" t="str">
        <f>IFERROR(__xludf.DUMMYFUNCTION("""COMPUTED_VALUE"""),"Real")</f>
        <v>Real</v>
      </c>
      <c r="G7109" s="8">
        <f t="shared" si="1"/>
        <v>8</v>
      </c>
      <c r="H7109" s="14">
        <f t="shared" si="2"/>
        <v>24</v>
      </c>
      <c r="I7109" s="15">
        <f t="shared" si="3"/>
        <v>5</v>
      </c>
    </row>
    <row r="7110">
      <c r="A7110" s="8" t="str">
        <f>IFERROR(__xludf.DUMMYFUNCTION("IF('(INGESTA)Datos_consumo_datadis'!A7110&lt;&gt;"""",SPLIT('(INGESTA)Datos_consumo_datadis'!A:A,"",""),"""")"),"ES0031408323131005HX0F")</f>
        <v>ES0031408323131005HX0F</v>
      </c>
      <c r="B7110" s="12">
        <f>IFERROR(__xludf.DUMMYFUNCTION("""COMPUTED_VALUE"""),45162.0)</f>
        <v>45162</v>
      </c>
      <c r="C7110" s="13">
        <f>IFERROR(__xludf.DUMMYFUNCTION("""COMPUTED_VALUE"""),0.25)</f>
        <v>0.25</v>
      </c>
      <c r="D7110" s="8">
        <f>IFERROR(__xludf.DUMMYFUNCTION("""COMPUTED_VALUE"""),0.199)</f>
        <v>0.199</v>
      </c>
      <c r="E7110" s="8" t="str">
        <f>IFERROR(__xludf.DUMMYFUNCTION("""COMPUTED_VALUE"""),"Real")</f>
        <v>Real</v>
      </c>
      <c r="G7110" s="8">
        <f t="shared" si="1"/>
        <v>8</v>
      </c>
      <c r="H7110" s="14">
        <f t="shared" si="2"/>
        <v>24</v>
      </c>
      <c r="I7110" s="15">
        <f t="shared" si="3"/>
        <v>6</v>
      </c>
    </row>
    <row r="7111">
      <c r="A7111" s="8" t="str">
        <f>IFERROR(__xludf.DUMMYFUNCTION("IF('(INGESTA)Datos_consumo_datadis'!A7111&lt;&gt;"""",SPLIT('(INGESTA)Datos_consumo_datadis'!A:A,"",""),"""")"),"ES0031408323131005HX0F")</f>
        <v>ES0031408323131005HX0F</v>
      </c>
      <c r="B7111" s="12">
        <f>IFERROR(__xludf.DUMMYFUNCTION("""COMPUTED_VALUE"""),45162.0)</f>
        <v>45162</v>
      </c>
      <c r="C7111" s="13">
        <f>IFERROR(__xludf.DUMMYFUNCTION("""COMPUTED_VALUE"""),0.2916666666666667)</f>
        <v>0.2916666667</v>
      </c>
      <c r="D7111" s="8">
        <f>IFERROR(__xludf.DUMMYFUNCTION("""COMPUTED_VALUE"""),0.131)</f>
        <v>0.131</v>
      </c>
      <c r="E7111" s="8" t="str">
        <f>IFERROR(__xludf.DUMMYFUNCTION("""COMPUTED_VALUE"""),"Real")</f>
        <v>Real</v>
      </c>
      <c r="G7111" s="8">
        <f t="shared" si="1"/>
        <v>8</v>
      </c>
      <c r="H7111" s="14">
        <f t="shared" si="2"/>
        <v>24</v>
      </c>
      <c r="I7111" s="15">
        <f t="shared" si="3"/>
        <v>7</v>
      </c>
    </row>
    <row r="7112">
      <c r="A7112" s="8" t="str">
        <f>IFERROR(__xludf.DUMMYFUNCTION("IF('(INGESTA)Datos_consumo_datadis'!A7112&lt;&gt;"""",SPLIT('(INGESTA)Datos_consumo_datadis'!A:A,"",""),"""")"),"ES0031408323131005HX0F")</f>
        <v>ES0031408323131005HX0F</v>
      </c>
      <c r="B7112" s="12">
        <f>IFERROR(__xludf.DUMMYFUNCTION("""COMPUTED_VALUE"""),45162.0)</f>
        <v>45162</v>
      </c>
      <c r="C7112" s="13">
        <f>IFERROR(__xludf.DUMMYFUNCTION("""COMPUTED_VALUE"""),0.3333333333333333)</f>
        <v>0.3333333333</v>
      </c>
      <c r="D7112" s="8">
        <f>IFERROR(__xludf.DUMMYFUNCTION("""COMPUTED_VALUE"""),0.188)</f>
        <v>0.188</v>
      </c>
      <c r="E7112" s="8" t="str">
        <f>IFERROR(__xludf.DUMMYFUNCTION("""COMPUTED_VALUE"""),"Real")</f>
        <v>Real</v>
      </c>
      <c r="G7112" s="8">
        <f t="shared" si="1"/>
        <v>8</v>
      </c>
      <c r="H7112" s="14">
        <f t="shared" si="2"/>
        <v>24</v>
      </c>
      <c r="I7112" s="15">
        <f t="shared" si="3"/>
        <v>8</v>
      </c>
    </row>
    <row r="7113">
      <c r="A7113" s="8" t="str">
        <f>IFERROR(__xludf.DUMMYFUNCTION("IF('(INGESTA)Datos_consumo_datadis'!A7113&lt;&gt;"""",SPLIT('(INGESTA)Datos_consumo_datadis'!A:A,"",""),"""")"),"ES0031408323131005HX0F")</f>
        <v>ES0031408323131005HX0F</v>
      </c>
      <c r="B7113" s="12">
        <f>IFERROR(__xludf.DUMMYFUNCTION("""COMPUTED_VALUE"""),45162.0)</f>
        <v>45162</v>
      </c>
      <c r="C7113" s="13">
        <f>IFERROR(__xludf.DUMMYFUNCTION("""COMPUTED_VALUE"""),0.375)</f>
        <v>0.375</v>
      </c>
      <c r="D7113" s="8">
        <f>IFERROR(__xludf.DUMMYFUNCTION("""COMPUTED_VALUE"""),0.139)</f>
        <v>0.139</v>
      </c>
      <c r="E7113" s="8" t="str">
        <f>IFERROR(__xludf.DUMMYFUNCTION("""COMPUTED_VALUE"""),"Real")</f>
        <v>Real</v>
      </c>
      <c r="G7113" s="8">
        <f t="shared" si="1"/>
        <v>8</v>
      </c>
      <c r="H7113" s="14">
        <f t="shared" si="2"/>
        <v>24</v>
      </c>
      <c r="I7113" s="15">
        <f t="shared" si="3"/>
        <v>9</v>
      </c>
    </row>
    <row r="7114">
      <c r="A7114" s="8" t="str">
        <f>IFERROR(__xludf.DUMMYFUNCTION("IF('(INGESTA)Datos_consumo_datadis'!A7114&lt;&gt;"""",SPLIT('(INGESTA)Datos_consumo_datadis'!A:A,"",""),"""")"),"ES0031408323131005HX0F")</f>
        <v>ES0031408323131005HX0F</v>
      </c>
      <c r="B7114" s="12">
        <f>IFERROR(__xludf.DUMMYFUNCTION("""COMPUTED_VALUE"""),45162.0)</f>
        <v>45162</v>
      </c>
      <c r="C7114" s="13">
        <f>IFERROR(__xludf.DUMMYFUNCTION("""COMPUTED_VALUE"""),0.4166666666666667)</f>
        <v>0.4166666667</v>
      </c>
      <c r="D7114" s="8">
        <f>IFERROR(__xludf.DUMMYFUNCTION("""COMPUTED_VALUE"""),0.361)</f>
        <v>0.361</v>
      </c>
      <c r="E7114" s="8" t="str">
        <f>IFERROR(__xludf.DUMMYFUNCTION("""COMPUTED_VALUE"""),"Real")</f>
        <v>Real</v>
      </c>
      <c r="G7114" s="8">
        <f t="shared" si="1"/>
        <v>8</v>
      </c>
      <c r="H7114" s="14">
        <f t="shared" si="2"/>
        <v>24</v>
      </c>
      <c r="I7114" s="15">
        <f t="shared" si="3"/>
        <v>10</v>
      </c>
    </row>
    <row r="7115">
      <c r="A7115" s="8" t="str">
        <f>IFERROR(__xludf.DUMMYFUNCTION("IF('(INGESTA)Datos_consumo_datadis'!A7115&lt;&gt;"""",SPLIT('(INGESTA)Datos_consumo_datadis'!A:A,"",""),"""")"),"ES0031408323131005HX0F")</f>
        <v>ES0031408323131005HX0F</v>
      </c>
      <c r="B7115" s="12">
        <f>IFERROR(__xludf.DUMMYFUNCTION("""COMPUTED_VALUE"""),45162.0)</f>
        <v>45162</v>
      </c>
      <c r="C7115" s="13">
        <f>IFERROR(__xludf.DUMMYFUNCTION("""COMPUTED_VALUE"""),0.4583333333333333)</f>
        <v>0.4583333333</v>
      </c>
      <c r="D7115" s="8">
        <f>IFERROR(__xludf.DUMMYFUNCTION("""COMPUTED_VALUE"""),0.225)</f>
        <v>0.225</v>
      </c>
      <c r="E7115" s="8" t="str">
        <f>IFERROR(__xludf.DUMMYFUNCTION("""COMPUTED_VALUE"""),"Real")</f>
        <v>Real</v>
      </c>
      <c r="G7115" s="8">
        <f t="shared" si="1"/>
        <v>8</v>
      </c>
      <c r="H7115" s="14">
        <f t="shared" si="2"/>
        <v>24</v>
      </c>
      <c r="I7115" s="15">
        <f t="shared" si="3"/>
        <v>11</v>
      </c>
    </row>
    <row r="7116">
      <c r="A7116" s="8" t="str">
        <f>IFERROR(__xludf.DUMMYFUNCTION("IF('(INGESTA)Datos_consumo_datadis'!A7116&lt;&gt;"""",SPLIT('(INGESTA)Datos_consumo_datadis'!A:A,"",""),"""")"),"ES0031408323131005HX0F")</f>
        <v>ES0031408323131005HX0F</v>
      </c>
      <c r="B7116" s="12">
        <f>IFERROR(__xludf.DUMMYFUNCTION("""COMPUTED_VALUE"""),45162.0)</f>
        <v>45162</v>
      </c>
      <c r="C7116" s="13">
        <f>IFERROR(__xludf.DUMMYFUNCTION("""COMPUTED_VALUE"""),0.5)</f>
        <v>0.5</v>
      </c>
      <c r="D7116" s="8">
        <f>IFERROR(__xludf.DUMMYFUNCTION("""COMPUTED_VALUE"""),0.591)</f>
        <v>0.591</v>
      </c>
      <c r="E7116" s="8" t="str">
        <f>IFERROR(__xludf.DUMMYFUNCTION("""COMPUTED_VALUE"""),"Real")</f>
        <v>Real</v>
      </c>
      <c r="G7116" s="8">
        <f t="shared" si="1"/>
        <v>8</v>
      </c>
      <c r="H7116" s="14">
        <f t="shared" si="2"/>
        <v>24</v>
      </c>
      <c r="I7116" s="15">
        <f t="shared" si="3"/>
        <v>12</v>
      </c>
    </row>
    <row r="7117">
      <c r="A7117" s="8" t="str">
        <f>IFERROR(__xludf.DUMMYFUNCTION("IF('(INGESTA)Datos_consumo_datadis'!A7117&lt;&gt;"""",SPLIT('(INGESTA)Datos_consumo_datadis'!A:A,"",""),"""")"),"ES0031408323131005HX0F")</f>
        <v>ES0031408323131005HX0F</v>
      </c>
      <c r="B7117" s="12">
        <f>IFERROR(__xludf.DUMMYFUNCTION("""COMPUTED_VALUE"""),45162.0)</f>
        <v>45162</v>
      </c>
      <c r="C7117" s="13">
        <f>IFERROR(__xludf.DUMMYFUNCTION("""COMPUTED_VALUE"""),0.5416666666666666)</f>
        <v>0.5416666667</v>
      </c>
      <c r="D7117" s="8">
        <f>IFERROR(__xludf.DUMMYFUNCTION("""COMPUTED_VALUE"""),0.135)</f>
        <v>0.135</v>
      </c>
      <c r="E7117" s="8" t="str">
        <f>IFERROR(__xludf.DUMMYFUNCTION("""COMPUTED_VALUE"""),"Real")</f>
        <v>Real</v>
      </c>
      <c r="G7117" s="8">
        <f t="shared" si="1"/>
        <v>8</v>
      </c>
      <c r="H7117" s="14">
        <f t="shared" si="2"/>
        <v>24</v>
      </c>
      <c r="I7117" s="15">
        <f t="shared" si="3"/>
        <v>13</v>
      </c>
    </row>
    <row r="7118">
      <c r="A7118" s="8" t="str">
        <f>IFERROR(__xludf.DUMMYFUNCTION("IF('(INGESTA)Datos_consumo_datadis'!A7118&lt;&gt;"""",SPLIT('(INGESTA)Datos_consumo_datadis'!A:A,"",""),"""")"),"ES0031408323131005HX0F")</f>
        <v>ES0031408323131005HX0F</v>
      </c>
      <c r="B7118" s="12">
        <f>IFERROR(__xludf.DUMMYFUNCTION("""COMPUTED_VALUE"""),45162.0)</f>
        <v>45162</v>
      </c>
      <c r="C7118" s="13">
        <f>IFERROR(__xludf.DUMMYFUNCTION("""COMPUTED_VALUE"""),0.5833333333333334)</f>
        <v>0.5833333333</v>
      </c>
      <c r="D7118" s="8">
        <f>IFERROR(__xludf.DUMMYFUNCTION("""COMPUTED_VALUE"""),0.11)</f>
        <v>0.11</v>
      </c>
      <c r="E7118" s="8" t="str">
        <f>IFERROR(__xludf.DUMMYFUNCTION("""COMPUTED_VALUE"""),"Real")</f>
        <v>Real</v>
      </c>
      <c r="G7118" s="8">
        <f t="shared" si="1"/>
        <v>8</v>
      </c>
      <c r="H7118" s="14">
        <f t="shared" si="2"/>
        <v>24</v>
      </c>
      <c r="I7118" s="15">
        <f t="shared" si="3"/>
        <v>14</v>
      </c>
    </row>
    <row r="7119">
      <c r="A7119" s="8" t="str">
        <f>IFERROR(__xludf.DUMMYFUNCTION("IF('(INGESTA)Datos_consumo_datadis'!A7119&lt;&gt;"""",SPLIT('(INGESTA)Datos_consumo_datadis'!A:A,"",""),"""")"),"ES0031408323131005HX0F")</f>
        <v>ES0031408323131005HX0F</v>
      </c>
      <c r="B7119" s="12">
        <f>IFERROR(__xludf.DUMMYFUNCTION("""COMPUTED_VALUE"""),45162.0)</f>
        <v>45162</v>
      </c>
      <c r="C7119" s="13">
        <f>IFERROR(__xludf.DUMMYFUNCTION("""COMPUTED_VALUE"""),0.625)</f>
        <v>0.625</v>
      </c>
      <c r="D7119" s="8">
        <f>IFERROR(__xludf.DUMMYFUNCTION("""COMPUTED_VALUE"""),0.86)</f>
        <v>0.86</v>
      </c>
      <c r="E7119" s="8" t="str">
        <f>IFERROR(__xludf.DUMMYFUNCTION("""COMPUTED_VALUE"""),"Real")</f>
        <v>Real</v>
      </c>
      <c r="G7119" s="8">
        <f t="shared" si="1"/>
        <v>8</v>
      </c>
      <c r="H7119" s="14">
        <f t="shared" si="2"/>
        <v>24</v>
      </c>
      <c r="I7119" s="15">
        <f t="shared" si="3"/>
        <v>15</v>
      </c>
    </row>
    <row r="7120">
      <c r="A7120" s="8" t="str">
        <f>IFERROR(__xludf.DUMMYFUNCTION("IF('(INGESTA)Datos_consumo_datadis'!A7120&lt;&gt;"""",SPLIT('(INGESTA)Datos_consumo_datadis'!A:A,"",""),"""")"),"ES0031408323131005HX0F")</f>
        <v>ES0031408323131005HX0F</v>
      </c>
      <c r="B7120" s="12">
        <f>IFERROR(__xludf.DUMMYFUNCTION("""COMPUTED_VALUE"""),45162.0)</f>
        <v>45162</v>
      </c>
      <c r="C7120" s="13">
        <f>IFERROR(__xludf.DUMMYFUNCTION("""COMPUTED_VALUE"""),0.6666666666666666)</f>
        <v>0.6666666667</v>
      </c>
      <c r="D7120" s="8">
        <f>IFERROR(__xludf.DUMMYFUNCTION("""COMPUTED_VALUE"""),0.688)</f>
        <v>0.688</v>
      </c>
      <c r="E7120" s="8" t="str">
        <f>IFERROR(__xludf.DUMMYFUNCTION("""COMPUTED_VALUE"""),"Real")</f>
        <v>Real</v>
      </c>
      <c r="G7120" s="8">
        <f t="shared" si="1"/>
        <v>8</v>
      </c>
      <c r="H7120" s="14">
        <f t="shared" si="2"/>
        <v>24</v>
      </c>
      <c r="I7120" s="15">
        <f t="shared" si="3"/>
        <v>16</v>
      </c>
    </row>
    <row r="7121">
      <c r="A7121" s="8" t="str">
        <f>IFERROR(__xludf.DUMMYFUNCTION("IF('(INGESTA)Datos_consumo_datadis'!A7121&lt;&gt;"""",SPLIT('(INGESTA)Datos_consumo_datadis'!A:A,"",""),"""")"),"ES0031408323131005HX0F")</f>
        <v>ES0031408323131005HX0F</v>
      </c>
      <c r="B7121" s="12">
        <f>IFERROR(__xludf.DUMMYFUNCTION("""COMPUTED_VALUE"""),45162.0)</f>
        <v>45162</v>
      </c>
      <c r="C7121" s="13">
        <f>IFERROR(__xludf.DUMMYFUNCTION("""COMPUTED_VALUE"""),0.7083333333333334)</f>
        <v>0.7083333333</v>
      </c>
      <c r="D7121" s="8">
        <f>IFERROR(__xludf.DUMMYFUNCTION("""COMPUTED_VALUE"""),1.032)</f>
        <v>1.032</v>
      </c>
      <c r="E7121" s="8" t="str">
        <f>IFERROR(__xludf.DUMMYFUNCTION("""COMPUTED_VALUE"""),"Real")</f>
        <v>Real</v>
      </c>
      <c r="G7121" s="8">
        <f t="shared" si="1"/>
        <v>8</v>
      </c>
      <c r="H7121" s="14">
        <f t="shared" si="2"/>
        <v>24</v>
      </c>
      <c r="I7121" s="15">
        <f t="shared" si="3"/>
        <v>17</v>
      </c>
    </row>
    <row r="7122">
      <c r="A7122" s="8" t="str">
        <f>IFERROR(__xludf.DUMMYFUNCTION("IF('(INGESTA)Datos_consumo_datadis'!A7122&lt;&gt;"""",SPLIT('(INGESTA)Datos_consumo_datadis'!A:A,"",""),"""")"),"ES0031408323131005HX0F")</f>
        <v>ES0031408323131005HX0F</v>
      </c>
      <c r="B7122" s="12">
        <f>IFERROR(__xludf.DUMMYFUNCTION("""COMPUTED_VALUE"""),45162.0)</f>
        <v>45162</v>
      </c>
      <c r="C7122" s="13">
        <f>IFERROR(__xludf.DUMMYFUNCTION("""COMPUTED_VALUE"""),0.75)</f>
        <v>0.75</v>
      </c>
      <c r="D7122" s="8">
        <f>IFERROR(__xludf.DUMMYFUNCTION("""COMPUTED_VALUE"""),2.767)</f>
        <v>2.767</v>
      </c>
      <c r="E7122" s="8" t="str">
        <f>IFERROR(__xludf.DUMMYFUNCTION("""COMPUTED_VALUE"""),"Real")</f>
        <v>Real</v>
      </c>
      <c r="G7122" s="8">
        <f t="shared" si="1"/>
        <v>8</v>
      </c>
      <c r="H7122" s="14">
        <f t="shared" si="2"/>
        <v>24</v>
      </c>
      <c r="I7122" s="15">
        <f t="shared" si="3"/>
        <v>18</v>
      </c>
    </row>
    <row r="7123">
      <c r="A7123" s="8" t="str">
        <f>IFERROR(__xludf.DUMMYFUNCTION("IF('(INGESTA)Datos_consumo_datadis'!A7123&lt;&gt;"""",SPLIT('(INGESTA)Datos_consumo_datadis'!A:A,"",""),"""")"),"ES0031408323131005HX0F")</f>
        <v>ES0031408323131005HX0F</v>
      </c>
      <c r="B7123" s="12">
        <f>IFERROR(__xludf.DUMMYFUNCTION("""COMPUTED_VALUE"""),45162.0)</f>
        <v>45162</v>
      </c>
      <c r="C7123" s="13">
        <f>IFERROR(__xludf.DUMMYFUNCTION("""COMPUTED_VALUE"""),0.7916666666666666)</f>
        <v>0.7916666667</v>
      </c>
      <c r="D7123" s="8">
        <f>IFERROR(__xludf.DUMMYFUNCTION("""COMPUTED_VALUE"""),0.788)</f>
        <v>0.788</v>
      </c>
      <c r="E7123" s="8" t="str">
        <f>IFERROR(__xludf.DUMMYFUNCTION("""COMPUTED_VALUE"""),"Real")</f>
        <v>Real</v>
      </c>
      <c r="G7123" s="8">
        <f t="shared" si="1"/>
        <v>8</v>
      </c>
      <c r="H7123" s="14">
        <f t="shared" si="2"/>
        <v>24</v>
      </c>
      <c r="I7123" s="15">
        <f t="shared" si="3"/>
        <v>19</v>
      </c>
    </row>
    <row r="7124">
      <c r="A7124" s="8" t="str">
        <f>IFERROR(__xludf.DUMMYFUNCTION("IF('(INGESTA)Datos_consumo_datadis'!A7124&lt;&gt;"""",SPLIT('(INGESTA)Datos_consumo_datadis'!A:A,"",""),"""")"),"ES0031408323131005HX0F")</f>
        <v>ES0031408323131005HX0F</v>
      </c>
      <c r="B7124" s="12">
        <f>IFERROR(__xludf.DUMMYFUNCTION("""COMPUTED_VALUE"""),45162.0)</f>
        <v>45162</v>
      </c>
      <c r="C7124" s="13">
        <f>IFERROR(__xludf.DUMMYFUNCTION("""COMPUTED_VALUE"""),0.8333333333333334)</f>
        <v>0.8333333333</v>
      </c>
      <c r="D7124" s="8">
        <f>IFERROR(__xludf.DUMMYFUNCTION("""COMPUTED_VALUE"""),0.136)</f>
        <v>0.136</v>
      </c>
      <c r="E7124" s="8" t="str">
        <f>IFERROR(__xludf.DUMMYFUNCTION("""COMPUTED_VALUE"""),"Real")</f>
        <v>Real</v>
      </c>
      <c r="G7124" s="8">
        <f t="shared" si="1"/>
        <v>8</v>
      </c>
      <c r="H7124" s="14">
        <f t="shared" si="2"/>
        <v>24</v>
      </c>
      <c r="I7124" s="15">
        <f t="shared" si="3"/>
        <v>20</v>
      </c>
    </row>
    <row r="7125">
      <c r="A7125" s="8" t="str">
        <f>IFERROR(__xludf.DUMMYFUNCTION("IF('(INGESTA)Datos_consumo_datadis'!A7125&lt;&gt;"""",SPLIT('(INGESTA)Datos_consumo_datadis'!A:A,"",""),"""")"),"ES0031408323131005HX0F")</f>
        <v>ES0031408323131005HX0F</v>
      </c>
      <c r="B7125" s="12">
        <f>IFERROR(__xludf.DUMMYFUNCTION("""COMPUTED_VALUE"""),45162.0)</f>
        <v>45162</v>
      </c>
      <c r="C7125" s="13">
        <f>IFERROR(__xludf.DUMMYFUNCTION("""COMPUTED_VALUE"""),0.875)</f>
        <v>0.875</v>
      </c>
      <c r="D7125" s="8">
        <f>IFERROR(__xludf.DUMMYFUNCTION("""COMPUTED_VALUE"""),0.829)</f>
        <v>0.829</v>
      </c>
      <c r="E7125" s="8" t="str">
        <f>IFERROR(__xludf.DUMMYFUNCTION("""COMPUTED_VALUE"""),"Real")</f>
        <v>Real</v>
      </c>
      <c r="G7125" s="8">
        <f t="shared" si="1"/>
        <v>8</v>
      </c>
      <c r="H7125" s="14">
        <f t="shared" si="2"/>
        <v>24</v>
      </c>
      <c r="I7125" s="15">
        <f t="shared" si="3"/>
        <v>21</v>
      </c>
    </row>
    <row r="7126">
      <c r="A7126" s="8" t="str">
        <f>IFERROR(__xludf.DUMMYFUNCTION("IF('(INGESTA)Datos_consumo_datadis'!A7126&lt;&gt;"""",SPLIT('(INGESTA)Datos_consumo_datadis'!A:A,"",""),"""")"),"ES0031408323131005HX0F")</f>
        <v>ES0031408323131005HX0F</v>
      </c>
      <c r="B7126" s="12">
        <f>IFERROR(__xludf.DUMMYFUNCTION("""COMPUTED_VALUE"""),45162.0)</f>
        <v>45162</v>
      </c>
      <c r="C7126" s="13">
        <f>IFERROR(__xludf.DUMMYFUNCTION("""COMPUTED_VALUE"""),0.9166666666666666)</f>
        <v>0.9166666667</v>
      </c>
      <c r="D7126" s="8">
        <f>IFERROR(__xludf.DUMMYFUNCTION("""COMPUTED_VALUE"""),0.15)</f>
        <v>0.15</v>
      </c>
      <c r="E7126" s="8" t="str">
        <f>IFERROR(__xludf.DUMMYFUNCTION("""COMPUTED_VALUE"""),"Real")</f>
        <v>Real</v>
      </c>
      <c r="G7126" s="8">
        <f t="shared" si="1"/>
        <v>8</v>
      </c>
      <c r="H7126" s="14">
        <f t="shared" si="2"/>
        <v>24</v>
      </c>
      <c r="I7126" s="15">
        <f t="shared" si="3"/>
        <v>22</v>
      </c>
    </row>
    <row r="7127">
      <c r="A7127" s="8" t="str">
        <f>IFERROR(__xludf.DUMMYFUNCTION("IF('(INGESTA)Datos_consumo_datadis'!A7127&lt;&gt;"""",SPLIT('(INGESTA)Datos_consumo_datadis'!A:A,"",""),"""")"),"ES0031408323131005HX0F")</f>
        <v>ES0031408323131005HX0F</v>
      </c>
      <c r="B7127" s="12">
        <f>IFERROR(__xludf.DUMMYFUNCTION("""COMPUTED_VALUE"""),45162.0)</f>
        <v>45162</v>
      </c>
      <c r="C7127" s="13">
        <f>IFERROR(__xludf.DUMMYFUNCTION("""COMPUTED_VALUE"""),0.9583333333333334)</f>
        <v>0.9583333333</v>
      </c>
      <c r="D7127" s="8">
        <f>IFERROR(__xludf.DUMMYFUNCTION("""COMPUTED_VALUE"""),0.13)</f>
        <v>0.13</v>
      </c>
      <c r="E7127" s="8" t="str">
        <f>IFERROR(__xludf.DUMMYFUNCTION("""COMPUTED_VALUE"""),"Real")</f>
        <v>Real</v>
      </c>
      <c r="G7127" s="8">
        <f t="shared" si="1"/>
        <v>8</v>
      </c>
      <c r="H7127" s="14">
        <f t="shared" si="2"/>
        <v>24</v>
      </c>
      <c r="I7127" s="15">
        <f t="shared" si="3"/>
        <v>23</v>
      </c>
    </row>
    <row r="7128">
      <c r="A7128" s="8" t="str">
        <f>IFERROR(__xludf.DUMMYFUNCTION("IF('(INGESTA)Datos_consumo_datadis'!A7128&lt;&gt;"""",SPLIT('(INGESTA)Datos_consumo_datadis'!A:A,"",""),"""")"),"ES0031408323131005HX0F")</f>
        <v>ES0031408323131005HX0F</v>
      </c>
      <c r="B7128" s="12">
        <f>IFERROR(__xludf.DUMMYFUNCTION("""COMPUTED_VALUE"""),45162.0)</f>
        <v>45162</v>
      </c>
      <c r="C7128" s="16">
        <f>IFERROR(__xludf.DUMMYFUNCTION("""COMPUTED_VALUE"""),1.0)</f>
        <v>1</v>
      </c>
      <c r="D7128" s="8">
        <f>IFERROR(__xludf.DUMMYFUNCTION("""COMPUTED_VALUE"""),1.928)</f>
        <v>1.928</v>
      </c>
      <c r="E7128" s="8" t="str">
        <f>IFERROR(__xludf.DUMMYFUNCTION("""COMPUTED_VALUE"""),"Real")</f>
        <v>Real</v>
      </c>
      <c r="G7128" s="8">
        <f t="shared" si="1"/>
        <v>8</v>
      </c>
      <c r="H7128" s="14">
        <f t="shared" si="2"/>
        <v>24</v>
      </c>
      <c r="I7128" s="15">
        <f t="shared" si="3"/>
        <v>0</v>
      </c>
    </row>
    <row r="7129">
      <c r="A7129" s="8" t="str">
        <f>IFERROR(__xludf.DUMMYFUNCTION("IF('(INGESTA)Datos_consumo_datadis'!A7129&lt;&gt;"""",SPLIT('(INGESTA)Datos_consumo_datadis'!A:A,"",""),"""")"),"ES0031408323131005HX0F")</f>
        <v>ES0031408323131005HX0F</v>
      </c>
      <c r="B7129" s="12">
        <f>IFERROR(__xludf.DUMMYFUNCTION("""COMPUTED_VALUE"""),45163.0)</f>
        <v>45163</v>
      </c>
      <c r="C7129" s="13">
        <f>IFERROR(__xludf.DUMMYFUNCTION("""COMPUTED_VALUE"""),0.041666666666666664)</f>
        <v>0.04166666667</v>
      </c>
      <c r="D7129" s="8">
        <f>IFERROR(__xludf.DUMMYFUNCTION("""COMPUTED_VALUE"""),2.095)</f>
        <v>2.095</v>
      </c>
      <c r="E7129" s="8" t="str">
        <f>IFERROR(__xludf.DUMMYFUNCTION("""COMPUTED_VALUE"""),"Real")</f>
        <v>Real</v>
      </c>
      <c r="G7129" s="8">
        <f t="shared" si="1"/>
        <v>8</v>
      </c>
      <c r="H7129" s="14">
        <f t="shared" si="2"/>
        <v>25</v>
      </c>
      <c r="I7129" s="15">
        <f t="shared" si="3"/>
        <v>1</v>
      </c>
    </row>
    <row r="7130">
      <c r="A7130" s="8" t="str">
        <f>IFERROR(__xludf.DUMMYFUNCTION("IF('(INGESTA)Datos_consumo_datadis'!A7130&lt;&gt;"""",SPLIT('(INGESTA)Datos_consumo_datadis'!A:A,"",""),"""")"),"ES0031408323131005HX0F")</f>
        <v>ES0031408323131005HX0F</v>
      </c>
      <c r="B7130" s="12">
        <f>IFERROR(__xludf.DUMMYFUNCTION("""COMPUTED_VALUE"""),45163.0)</f>
        <v>45163</v>
      </c>
      <c r="C7130" s="13">
        <f>IFERROR(__xludf.DUMMYFUNCTION("""COMPUTED_VALUE"""),0.08333333333333333)</f>
        <v>0.08333333333</v>
      </c>
      <c r="D7130" s="8">
        <f>IFERROR(__xludf.DUMMYFUNCTION("""COMPUTED_VALUE"""),0.459)</f>
        <v>0.459</v>
      </c>
      <c r="E7130" s="8" t="str">
        <f>IFERROR(__xludf.DUMMYFUNCTION("""COMPUTED_VALUE"""),"Real")</f>
        <v>Real</v>
      </c>
      <c r="G7130" s="8">
        <f t="shared" si="1"/>
        <v>8</v>
      </c>
      <c r="H7130" s="14">
        <f t="shared" si="2"/>
        <v>25</v>
      </c>
      <c r="I7130" s="15">
        <f t="shared" si="3"/>
        <v>2</v>
      </c>
    </row>
    <row r="7131">
      <c r="A7131" s="8" t="str">
        <f>IFERROR(__xludf.DUMMYFUNCTION("IF('(INGESTA)Datos_consumo_datadis'!A7131&lt;&gt;"""",SPLIT('(INGESTA)Datos_consumo_datadis'!A:A,"",""),"""")"),"ES0031408323131005HX0F")</f>
        <v>ES0031408323131005HX0F</v>
      </c>
      <c r="B7131" s="12">
        <f>IFERROR(__xludf.DUMMYFUNCTION("""COMPUTED_VALUE"""),45163.0)</f>
        <v>45163</v>
      </c>
      <c r="C7131" s="13">
        <f>IFERROR(__xludf.DUMMYFUNCTION("""COMPUTED_VALUE"""),0.125)</f>
        <v>0.125</v>
      </c>
      <c r="D7131" s="8">
        <f>IFERROR(__xludf.DUMMYFUNCTION("""COMPUTED_VALUE"""),0.153)</f>
        <v>0.153</v>
      </c>
      <c r="E7131" s="8" t="str">
        <f>IFERROR(__xludf.DUMMYFUNCTION("""COMPUTED_VALUE"""),"Real")</f>
        <v>Real</v>
      </c>
      <c r="G7131" s="8">
        <f t="shared" si="1"/>
        <v>8</v>
      </c>
      <c r="H7131" s="14">
        <f t="shared" si="2"/>
        <v>25</v>
      </c>
      <c r="I7131" s="15">
        <f t="shared" si="3"/>
        <v>3</v>
      </c>
    </row>
    <row r="7132">
      <c r="A7132" s="8" t="str">
        <f>IFERROR(__xludf.DUMMYFUNCTION("IF('(INGESTA)Datos_consumo_datadis'!A7132&lt;&gt;"""",SPLIT('(INGESTA)Datos_consumo_datadis'!A:A,"",""),"""")"),"ES0031408323131005HX0F")</f>
        <v>ES0031408323131005HX0F</v>
      </c>
      <c r="B7132" s="12">
        <f>IFERROR(__xludf.DUMMYFUNCTION("""COMPUTED_VALUE"""),45163.0)</f>
        <v>45163</v>
      </c>
      <c r="C7132" s="13">
        <f>IFERROR(__xludf.DUMMYFUNCTION("""COMPUTED_VALUE"""),0.16666666666666666)</f>
        <v>0.1666666667</v>
      </c>
      <c r="D7132" s="8">
        <f>IFERROR(__xludf.DUMMYFUNCTION("""COMPUTED_VALUE"""),0.405)</f>
        <v>0.405</v>
      </c>
      <c r="E7132" s="8" t="str">
        <f>IFERROR(__xludf.DUMMYFUNCTION("""COMPUTED_VALUE"""),"Real")</f>
        <v>Real</v>
      </c>
      <c r="G7132" s="8">
        <f t="shared" si="1"/>
        <v>8</v>
      </c>
      <c r="H7132" s="14">
        <f t="shared" si="2"/>
        <v>25</v>
      </c>
      <c r="I7132" s="15">
        <f t="shared" si="3"/>
        <v>4</v>
      </c>
    </row>
    <row r="7133">
      <c r="A7133" s="8" t="str">
        <f>IFERROR(__xludf.DUMMYFUNCTION("IF('(INGESTA)Datos_consumo_datadis'!A7133&lt;&gt;"""",SPLIT('(INGESTA)Datos_consumo_datadis'!A:A,"",""),"""")"),"ES0031408323131005HX0F")</f>
        <v>ES0031408323131005HX0F</v>
      </c>
      <c r="B7133" s="12">
        <f>IFERROR(__xludf.DUMMYFUNCTION("""COMPUTED_VALUE"""),45163.0)</f>
        <v>45163</v>
      </c>
      <c r="C7133" s="13">
        <f>IFERROR(__xludf.DUMMYFUNCTION("""COMPUTED_VALUE"""),0.20833333333333334)</f>
        <v>0.2083333333</v>
      </c>
      <c r="D7133" s="8">
        <f>IFERROR(__xludf.DUMMYFUNCTION("""COMPUTED_VALUE"""),0.138)</f>
        <v>0.138</v>
      </c>
      <c r="E7133" s="8" t="str">
        <f>IFERROR(__xludf.DUMMYFUNCTION("""COMPUTED_VALUE"""),"Real")</f>
        <v>Real</v>
      </c>
      <c r="G7133" s="8">
        <f t="shared" si="1"/>
        <v>8</v>
      </c>
      <c r="H7133" s="14">
        <f t="shared" si="2"/>
        <v>25</v>
      </c>
      <c r="I7133" s="15">
        <f t="shared" si="3"/>
        <v>5</v>
      </c>
    </row>
    <row r="7134">
      <c r="A7134" s="8" t="str">
        <f>IFERROR(__xludf.DUMMYFUNCTION("IF('(INGESTA)Datos_consumo_datadis'!A7134&lt;&gt;"""",SPLIT('(INGESTA)Datos_consumo_datadis'!A:A,"",""),"""")"),"ES0031408323131005HX0F")</f>
        <v>ES0031408323131005HX0F</v>
      </c>
      <c r="B7134" s="12">
        <f>IFERROR(__xludf.DUMMYFUNCTION("""COMPUTED_VALUE"""),45163.0)</f>
        <v>45163</v>
      </c>
      <c r="C7134" s="13">
        <f>IFERROR(__xludf.DUMMYFUNCTION("""COMPUTED_VALUE"""),0.25)</f>
        <v>0.25</v>
      </c>
      <c r="D7134" s="8">
        <f>IFERROR(__xludf.DUMMYFUNCTION("""COMPUTED_VALUE"""),0.133)</f>
        <v>0.133</v>
      </c>
      <c r="E7134" s="8" t="str">
        <f>IFERROR(__xludf.DUMMYFUNCTION("""COMPUTED_VALUE"""),"Real")</f>
        <v>Real</v>
      </c>
      <c r="G7134" s="8">
        <f t="shared" si="1"/>
        <v>8</v>
      </c>
      <c r="H7134" s="14">
        <f t="shared" si="2"/>
        <v>25</v>
      </c>
      <c r="I7134" s="15">
        <f t="shared" si="3"/>
        <v>6</v>
      </c>
    </row>
    <row r="7135">
      <c r="A7135" s="8" t="str">
        <f>IFERROR(__xludf.DUMMYFUNCTION("IF('(INGESTA)Datos_consumo_datadis'!A7135&lt;&gt;"""",SPLIT('(INGESTA)Datos_consumo_datadis'!A:A,"",""),"""")"),"ES0031408323131005HX0F")</f>
        <v>ES0031408323131005HX0F</v>
      </c>
      <c r="B7135" s="12">
        <f>IFERROR(__xludf.DUMMYFUNCTION("""COMPUTED_VALUE"""),45163.0)</f>
        <v>45163</v>
      </c>
      <c r="C7135" s="13">
        <f>IFERROR(__xludf.DUMMYFUNCTION("""COMPUTED_VALUE"""),0.2916666666666667)</f>
        <v>0.2916666667</v>
      </c>
      <c r="D7135" s="8">
        <f>IFERROR(__xludf.DUMMYFUNCTION("""COMPUTED_VALUE"""),0.128)</f>
        <v>0.128</v>
      </c>
      <c r="E7135" s="8" t="str">
        <f>IFERROR(__xludf.DUMMYFUNCTION("""COMPUTED_VALUE"""),"Real")</f>
        <v>Real</v>
      </c>
      <c r="G7135" s="8">
        <f t="shared" si="1"/>
        <v>8</v>
      </c>
      <c r="H7135" s="14">
        <f t="shared" si="2"/>
        <v>25</v>
      </c>
      <c r="I7135" s="15">
        <f t="shared" si="3"/>
        <v>7</v>
      </c>
    </row>
    <row r="7136">
      <c r="A7136" s="8" t="str">
        <f>IFERROR(__xludf.DUMMYFUNCTION("IF('(INGESTA)Datos_consumo_datadis'!A7136&lt;&gt;"""",SPLIT('(INGESTA)Datos_consumo_datadis'!A:A,"",""),"""")"),"ES0031408323131005HX0F")</f>
        <v>ES0031408323131005HX0F</v>
      </c>
      <c r="B7136" s="12">
        <f>IFERROR(__xludf.DUMMYFUNCTION("""COMPUTED_VALUE"""),45163.0)</f>
        <v>45163</v>
      </c>
      <c r="C7136" s="13">
        <f>IFERROR(__xludf.DUMMYFUNCTION("""COMPUTED_VALUE"""),0.3333333333333333)</f>
        <v>0.3333333333</v>
      </c>
      <c r="D7136" s="8">
        <f>IFERROR(__xludf.DUMMYFUNCTION("""COMPUTED_VALUE"""),0.182)</f>
        <v>0.182</v>
      </c>
      <c r="E7136" s="8" t="str">
        <f>IFERROR(__xludf.DUMMYFUNCTION("""COMPUTED_VALUE"""),"Real")</f>
        <v>Real</v>
      </c>
      <c r="G7136" s="8">
        <f t="shared" si="1"/>
        <v>8</v>
      </c>
      <c r="H7136" s="14">
        <f t="shared" si="2"/>
        <v>25</v>
      </c>
      <c r="I7136" s="15">
        <f t="shared" si="3"/>
        <v>8</v>
      </c>
    </row>
    <row r="7137">
      <c r="A7137" s="8" t="str">
        <f>IFERROR(__xludf.DUMMYFUNCTION("IF('(INGESTA)Datos_consumo_datadis'!A7137&lt;&gt;"""",SPLIT('(INGESTA)Datos_consumo_datadis'!A:A,"",""),"""")"),"ES0031408323131005HX0F")</f>
        <v>ES0031408323131005HX0F</v>
      </c>
      <c r="B7137" s="12">
        <f>IFERROR(__xludf.DUMMYFUNCTION("""COMPUTED_VALUE"""),45163.0)</f>
        <v>45163</v>
      </c>
      <c r="C7137" s="13">
        <f>IFERROR(__xludf.DUMMYFUNCTION("""COMPUTED_VALUE"""),0.375)</f>
        <v>0.375</v>
      </c>
      <c r="D7137" s="8">
        <f>IFERROR(__xludf.DUMMYFUNCTION("""COMPUTED_VALUE"""),0.142)</f>
        <v>0.142</v>
      </c>
      <c r="E7137" s="8" t="str">
        <f>IFERROR(__xludf.DUMMYFUNCTION("""COMPUTED_VALUE"""),"Real")</f>
        <v>Real</v>
      </c>
      <c r="G7137" s="8">
        <f t="shared" si="1"/>
        <v>8</v>
      </c>
      <c r="H7137" s="14">
        <f t="shared" si="2"/>
        <v>25</v>
      </c>
      <c r="I7137" s="15">
        <f t="shared" si="3"/>
        <v>9</v>
      </c>
    </row>
    <row r="7138">
      <c r="A7138" s="8" t="str">
        <f>IFERROR(__xludf.DUMMYFUNCTION("IF('(INGESTA)Datos_consumo_datadis'!A7138&lt;&gt;"""",SPLIT('(INGESTA)Datos_consumo_datadis'!A:A,"",""),"""")"),"ES0031408323131005HX0F")</f>
        <v>ES0031408323131005HX0F</v>
      </c>
      <c r="B7138" s="12">
        <f>IFERROR(__xludf.DUMMYFUNCTION("""COMPUTED_VALUE"""),45163.0)</f>
        <v>45163</v>
      </c>
      <c r="C7138" s="13">
        <f>IFERROR(__xludf.DUMMYFUNCTION("""COMPUTED_VALUE"""),0.4166666666666667)</f>
        <v>0.4166666667</v>
      </c>
      <c r="D7138" s="8">
        <f>IFERROR(__xludf.DUMMYFUNCTION("""COMPUTED_VALUE"""),0.36)</f>
        <v>0.36</v>
      </c>
      <c r="E7138" s="8" t="str">
        <f>IFERROR(__xludf.DUMMYFUNCTION("""COMPUTED_VALUE"""),"Real")</f>
        <v>Real</v>
      </c>
      <c r="G7138" s="8">
        <f t="shared" si="1"/>
        <v>8</v>
      </c>
      <c r="H7138" s="14">
        <f t="shared" si="2"/>
        <v>25</v>
      </c>
      <c r="I7138" s="15">
        <f t="shared" si="3"/>
        <v>10</v>
      </c>
    </row>
    <row r="7139">
      <c r="A7139" s="8" t="str">
        <f>IFERROR(__xludf.DUMMYFUNCTION("IF('(INGESTA)Datos_consumo_datadis'!A7139&lt;&gt;"""",SPLIT('(INGESTA)Datos_consumo_datadis'!A:A,"",""),"""")"),"ES0031408323131005HX0F")</f>
        <v>ES0031408323131005HX0F</v>
      </c>
      <c r="B7139" s="12">
        <f>IFERROR(__xludf.DUMMYFUNCTION("""COMPUTED_VALUE"""),45163.0)</f>
        <v>45163</v>
      </c>
      <c r="C7139" s="13">
        <f>IFERROR(__xludf.DUMMYFUNCTION("""COMPUTED_VALUE"""),0.4583333333333333)</f>
        <v>0.4583333333</v>
      </c>
      <c r="D7139" s="8">
        <f>IFERROR(__xludf.DUMMYFUNCTION("""COMPUTED_VALUE"""),0.569)</f>
        <v>0.569</v>
      </c>
      <c r="E7139" s="8" t="str">
        <f>IFERROR(__xludf.DUMMYFUNCTION("""COMPUTED_VALUE"""),"Real")</f>
        <v>Real</v>
      </c>
      <c r="G7139" s="8">
        <f t="shared" si="1"/>
        <v>8</v>
      </c>
      <c r="H7139" s="14">
        <f t="shared" si="2"/>
        <v>25</v>
      </c>
      <c r="I7139" s="15">
        <f t="shared" si="3"/>
        <v>11</v>
      </c>
    </row>
    <row r="7140">
      <c r="A7140" s="8" t="str">
        <f>IFERROR(__xludf.DUMMYFUNCTION("IF('(INGESTA)Datos_consumo_datadis'!A7140&lt;&gt;"""",SPLIT('(INGESTA)Datos_consumo_datadis'!A:A,"",""),"""")"),"ES0031408323131005HX0F")</f>
        <v>ES0031408323131005HX0F</v>
      </c>
      <c r="B7140" s="12">
        <f>IFERROR(__xludf.DUMMYFUNCTION("""COMPUTED_VALUE"""),45163.0)</f>
        <v>45163</v>
      </c>
      <c r="C7140" s="13">
        <f>IFERROR(__xludf.DUMMYFUNCTION("""COMPUTED_VALUE"""),0.5)</f>
        <v>0.5</v>
      </c>
      <c r="D7140" s="8">
        <f>IFERROR(__xludf.DUMMYFUNCTION("""COMPUTED_VALUE"""),0.194)</f>
        <v>0.194</v>
      </c>
      <c r="E7140" s="8" t="str">
        <f>IFERROR(__xludf.DUMMYFUNCTION("""COMPUTED_VALUE"""),"Real")</f>
        <v>Real</v>
      </c>
      <c r="G7140" s="8">
        <f t="shared" si="1"/>
        <v>8</v>
      </c>
      <c r="H7140" s="14">
        <f t="shared" si="2"/>
        <v>25</v>
      </c>
      <c r="I7140" s="15">
        <f t="shared" si="3"/>
        <v>12</v>
      </c>
    </row>
    <row r="7141">
      <c r="A7141" s="8" t="str">
        <f>IFERROR(__xludf.DUMMYFUNCTION("IF('(INGESTA)Datos_consumo_datadis'!A7141&lt;&gt;"""",SPLIT('(INGESTA)Datos_consumo_datadis'!A:A,"",""),"""")"),"ES0031408323131005HX0F")</f>
        <v>ES0031408323131005HX0F</v>
      </c>
      <c r="B7141" s="12">
        <f>IFERROR(__xludf.DUMMYFUNCTION("""COMPUTED_VALUE"""),45163.0)</f>
        <v>45163</v>
      </c>
      <c r="C7141" s="13">
        <f>IFERROR(__xludf.DUMMYFUNCTION("""COMPUTED_VALUE"""),0.5416666666666666)</f>
        <v>0.5416666667</v>
      </c>
      <c r="D7141" s="8">
        <f>IFERROR(__xludf.DUMMYFUNCTION("""COMPUTED_VALUE"""),1.266)</f>
        <v>1.266</v>
      </c>
      <c r="E7141" s="8" t="str">
        <f>IFERROR(__xludf.DUMMYFUNCTION("""COMPUTED_VALUE"""),"Real")</f>
        <v>Real</v>
      </c>
      <c r="G7141" s="8">
        <f t="shared" si="1"/>
        <v>8</v>
      </c>
      <c r="H7141" s="14">
        <f t="shared" si="2"/>
        <v>25</v>
      </c>
      <c r="I7141" s="15">
        <f t="shared" si="3"/>
        <v>13</v>
      </c>
    </row>
    <row r="7142">
      <c r="A7142" s="8" t="str">
        <f>IFERROR(__xludf.DUMMYFUNCTION("IF('(INGESTA)Datos_consumo_datadis'!A7142&lt;&gt;"""",SPLIT('(INGESTA)Datos_consumo_datadis'!A:A,"",""),"""")"),"ES0031408323131005HX0F")</f>
        <v>ES0031408323131005HX0F</v>
      </c>
      <c r="B7142" s="12">
        <f>IFERROR(__xludf.DUMMYFUNCTION("""COMPUTED_VALUE"""),45163.0)</f>
        <v>45163</v>
      </c>
      <c r="C7142" s="13">
        <f>IFERROR(__xludf.DUMMYFUNCTION("""COMPUTED_VALUE"""),0.5833333333333334)</f>
        <v>0.5833333333</v>
      </c>
      <c r="D7142" s="8">
        <f>IFERROR(__xludf.DUMMYFUNCTION("""COMPUTED_VALUE"""),2.343)</f>
        <v>2.343</v>
      </c>
      <c r="E7142" s="8" t="str">
        <f>IFERROR(__xludf.DUMMYFUNCTION("""COMPUTED_VALUE"""),"Real")</f>
        <v>Real</v>
      </c>
      <c r="G7142" s="8">
        <f t="shared" si="1"/>
        <v>8</v>
      </c>
      <c r="H7142" s="14">
        <f t="shared" si="2"/>
        <v>25</v>
      </c>
      <c r="I7142" s="15">
        <f t="shared" si="3"/>
        <v>14</v>
      </c>
    </row>
    <row r="7143">
      <c r="A7143" s="8" t="str">
        <f>IFERROR(__xludf.DUMMYFUNCTION("IF('(INGESTA)Datos_consumo_datadis'!A7143&lt;&gt;"""",SPLIT('(INGESTA)Datos_consumo_datadis'!A:A,"",""),"""")"),"ES0031408323131005HX0F")</f>
        <v>ES0031408323131005HX0F</v>
      </c>
      <c r="B7143" s="12">
        <f>IFERROR(__xludf.DUMMYFUNCTION("""COMPUTED_VALUE"""),45163.0)</f>
        <v>45163</v>
      </c>
      <c r="C7143" s="13">
        <f>IFERROR(__xludf.DUMMYFUNCTION("""COMPUTED_VALUE"""),0.625)</f>
        <v>0.625</v>
      </c>
      <c r="D7143" s="8">
        <f>IFERROR(__xludf.DUMMYFUNCTION("""COMPUTED_VALUE"""),1.53)</f>
        <v>1.53</v>
      </c>
      <c r="E7143" s="8" t="str">
        <f>IFERROR(__xludf.DUMMYFUNCTION("""COMPUTED_VALUE"""),"Real")</f>
        <v>Real</v>
      </c>
      <c r="G7143" s="8">
        <f t="shared" si="1"/>
        <v>8</v>
      </c>
      <c r="H7143" s="14">
        <f t="shared" si="2"/>
        <v>25</v>
      </c>
      <c r="I7143" s="15">
        <f t="shared" si="3"/>
        <v>15</v>
      </c>
    </row>
    <row r="7144">
      <c r="A7144" s="8" t="str">
        <f>IFERROR(__xludf.DUMMYFUNCTION("IF('(INGESTA)Datos_consumo_datadis'!A7144&lt;&gt;"""",SPLIT('(INGESTA)Datos_consumo_datadis'!A:A,"",""),"""")"),"ES0031408323131005HX0F")</f>
        <v>ES0031408323131005HX0F</v>
      </c>
      <c r="B7144" s="12">
        <f>IFERROR(__xludf.DUMMYFUNCTION("""COMPUTED_VALUE"""),45163.0)</f>
        <v>45163</v>
      </c>
      <c r="C7144" s="13">
        <f>IFERROR(__xludf.DUMMYFUNCTION("""COMPUTED_VALUE"""),0.6666666666666666)</f>
        <v>0.6666666667</v>
      </c>
      <c r="D7144" s="8">
        <f>IFERROR(__xludf.DUMMYFUNCTION("""COMPUTED_VALUE"""),0.348)</f>
        <v>0.348</v>
      </c>
      <c r="E7144" s="8" t="str">
        <f>IFERROR(__xludf.DUMMYFUNCTION("""COMPUTED_VALUE"""),"Real")</f>
        <v>Real</v>
      </c>
      <c r="G7144" s="8">
        <f t="shared" si="1"/>
        <v>8</v>
      </c>
      <c r="H7144" s="14">
        <f t="shared" si="2"/>
        <v>25</v>
      </c>
      <c r="I7144" s="15">
        <f t="shared" si="3"/>
        <v>16</v>
      </c>
    </row>
    <row r="7145">
      <c r="A7145" s="8" t="str">
        <f>IFERROR(__xludf.DUMMYFUNCTION("IF('(INGESTA)Datos_consumo_datadis'!A7145&lt;&gt;"""",SPLIT('(INGESTA)Datos_consumo_datadis'!A:A,"",""),"""")"),"ES0031408323131005HX0F")</f>
        <v>ES0031408323131005HX0F</v>
      </c>
      <c r="B7145" s="12">
        <f>IFERROR(__xludf.DUMMYFUNCTION("""COMPUTED_VALUE"""),45163.0)</f>
        <v>45163</v>
      </c>
      <c r="C7145" s="13">
        <f>IFERROR(__xludf.DUMMYFUNCTION("""COMPUTED_VALUE"""),0.7083333333333334)</f>
        <v>0.7083333333</v>
      </c>
      <c r="D7145" s="8">
        <f>IFERROR(__xludf.DUMMYFUNCTION("""COMPUTED_VALUE"""),0.459)</f>
        <v>0.459</v>
      </c>
      <c r="E7145" s="8" t="str">
        <f>IFERROR(__xludf.DUMMYFUNCTION("""COMPUTED_VALUE"""),"Real")</f>
        <v>Real</v>
      </c>
      <c r="G7145" s="8">
        <f t="shared" si="1"/>
        <v>8</v>
      </c>
      <c r="H7145" s="14">
        <f t="shared" si="2"/>
        <v>25</v>
      </c>
      <c r="I7145" s="15">
        <f t="shared" si="3"/>
        <v>17</v>
      </c>
    </row>
    <row r="7146">
      <c r="A7146" s="8" t="str">
        <f>IFERROR(__xludf.DUMMYFUNCTION("IF('(INGESTA)Datos_consumo_datadis'!A7146&lt;&gt;"""",SPLIT('(INGESTA)Datos_consumo_datadis'!A:A,"",""),"""")"),"ES0031408323131005HX0F")</f>
        <v>ES0031408323131005HX0F</v>
      </c>
      <c r="B7146" s="12">
        <f>IFERROR(__xludf.DUMMYFUNCTION("""COMPUTED_VALUE"""),45163.0)</f>
        <v>45163</v>
      </c>
      <c r="C7146" s="13">
        <f>IFERROR(__xludf.DUMMYFUNCTION("""COMPUTED_VALUE"""),0.75)</f>
        <v>0.75</v>
      </c>
      <c r="D7146" s="8">
        <f>IFERROR(__xludf.DUMMYFUNCTION("""COMPUTED_VALUE"""),0.554)</f>
        <v>0.554</v>
      </c>
      <c r="E7146" s="8" t="str">
        <f>IFERROR(__xludf.DUMMYFUNCTION("""COMPUTED_VALUE"""),"Real")</f>
        <v>Real</v>
      </c>
      <c r="G7146" s="8">
        <f t="shared" si="1"/>
        <v>8</v>
      </c>
      <c r="H7146" s="14">
        <f t="shared" si="2"/>
        <v>25</v>
      </c>
      <c r="I7146" s="15">
        <f t="shared" si="3"/>
        <v>18</v>
      </c>
    </row>
    <row r="7147">
      <c r="A7147" s="8" t="str">
        <f>IFERROR(__xludf.DUMMYFUNCTION("IF('(INGESTA)Datos_consumo_datadis'!A7147&lt;&gt;"""",SPLIT('(INGESTA)Datos_consumo_datadis'!A:A,"",""),"""")"),"ES0031408323131005HX0F")</f>
        <v>ES0031408323131005HX0F</v>
      </c>
      <c r="B7147" s="12">
        <f>IFERROR(__xludf.DUMMYFUNCTION("""COMPUTED_VALUE"""),45163.0)</f>
        <v>45163</v>
      </c>
      <c r="C7147" s="13">
        <f>IFERROR(__xludf.DUMMYFUNCTION("""COMPUTED_VALUE"""),0.7916666666666666)</f>
        <v>0.7916666667</v>
      </c>
      <c r="D7147" s="8">
        <f>IFERROR(__xludf.DUMMYFUNCTION("""COMPUTED_VALUE"""),1.06)</f>
        <v>1.06</v>
      </c>
      <c r="E7147" s="8" t="str">
        <f>IFERROR(__xludf.DUMMYFUNCTION("""COMPUTED_VALUE"""),"Real")</f>
        <v>Real</v>
      </c>
      <c r="G7147" s="8">
        <f t="shared" si="1"/>
        <v>8</v>
      </c>
      <c r="H7147" s="14">
        <f t="shared" si="2"/>
        <v>25</v>
      </c>
      <c r="I7147" s="15">
        <f t="shared" si="3"/>
        <v>19</v>
      </c>
    </row>
    <row r="7148">
      <c r="A7148" s="8" t="str">
        <f>IFERROR(__xludf.DUMMYFUNCTION("IF('(INGESTA)Datos_consumo_datadis'!A7148&lt;&gt;"""",SPLIT('(INGESTA)Datos_consumo_datadis'!A:A,"",""),"""")"),"ES0031408323131005HX0F")</f>
        <v>ES0031408323131005HX0F</v>
      </c>
      <c r="B7148" s="12">
        <f>IFERROR(__xludf.DUMMYFUNCTION("""COMPUTED_VALUE"""),45163.0)</f>
        <v>45163</v>
      </c>
      <c r="C7148" s="13">
        <f>IFERROR(__xludf.DUMMYFUNCTION("""COMPUTED_VALUE"""),0.8333333333333334)</f>
        <v>0.8333333333</v>
      </c>
      <c r="D7148" s="8">
        <f>IFERROR(__xludf.DUMMYFUNCTION("""COMPUTED_VALUE"""),0.119)</f>
        <v>0.119</v>
      </c>
      <c r="E7148" s="8" t="str">
        <f>IFERROR(__xludf.DUMMYFUNCTION("""COMPUTED_VALUE"""),"Real")</f>
        <v>Real</v>
      </c>
      <c r="G7148" s="8">
        <f t="shared" si="1"/>
        <v>8</v>
      </c>
      <c r="H7148" s="14">
        <f t="shared" si="2"/>
        <v>25</v>
      </c>
      <c r="I7148" s="15">
        <f t="shared" si="3"/>
        <v>20</v>
      </c>
    </row>
    <row r="7149">
      <c r="A7149" s="8" t="str">
        <f>IFERROR(__xludf.DUMMYFUNCTION("IF('(INGESTA)Datos_consumo_datadis'!A7149&lt;&gt;"""",SPLIT('(INGESTA)Datos_consumo_datadis'!A:A,"",""),"""")"),"ES0031408323131005HX0F")</f>
        <v>ES0031408323131005HX0F</v>
      </c>
      <c r="B7149" s="12">
        <f>IFERROR(__xludf.DUMMYFUNCTION("""COMPUTED_VALUE"""),45163.0)</f>
        <v>45163</v>
      </c>
      <c r="C7149" s="13">
        <f>IFERROR(__xludf.DUMMYFUNCTION("""COMPUTED_VALUE"""),0.875)</f>
        <v>0.875</v>
      </c>
      <c r="D7149" s="8">
        <f>IFERROR(__xludf.DUMMYFUNCTION("""COMPUTED_VALUE"""),0.779)</f>
        <v>0.779</v>
      </c>
      <c r="E7149" s="8" t="str">
        <f>IFERROR(__xludf.DUMMYFUNCTION("""COMPUTED_VALUE"""),"Real")</f>
        <v>Real</v>
      </c>
      <c r="G7149" s="8">
        <f t="shared" si="1"/>
        <v>8</v>
      </c>
      <c r="H7149" s="14">
        <f t="shared" si="2"/>
        <v>25</v>
      </c>
      <c r="I7149" s="15">
        <f t="shared" si="3"/>
        <v>21</v>
      </c>
    </row>
    <row r="7150">
      <c r="A7150" s="8" t="str">
        <f>IFERROR(__xludf.DUMMYFUNCTION("IF('(INGESTA)Datos_consumo_datadis'!A7150&lt;&gt;"""",SPLIT('(INGESTA)Datos_consumo_datadis'!A:A,"",""),"""")"),"ES0031408323131005HX0F")</f>
        <v>ES0031408323131005HX0F</v>
      </c>
      <c r="B7150" s="12">
        <f>IFERROR(__xludf.DUMMYFUNCTION("""COMPUTED_VALUE"""),45163.0)</f>
        <v>45163</v>
      </c>
      <c r="C7150" s="13">
        <f>IFERROR(__xludf.DUMMYFUNCTION("""COMPUTED_VALUE"""),0.9166666666666666)</f>
        <v>0.9166666667</v>
      </c>
      <c r="D7150" s="8">
        <f>IFERROR(__xludf.DUMMYFUNCTION("""COMPUTED_VALUE"""),0.836)</f>
        <v>0.836</v>
      </c>
      <c r="E7150" s="8" t="str">
        <f>IFERROR(__xludf.DUMMYFUNCTION("""COMPUTED_VALUE"""),"Real")</f>
        <v>Real</v>
      </c>
      <c r="G7150" s="8">
        <f t="shared" si="1"/>
        <v>8</v>
      </c>
      <c r="H7150" s="14">
        <f t="shared" si="2"/>
        <v>25</v>
      </c>
      <c r="I7150" s="15">
        <f t="shared" si="3"/>
        <v>22</v>
      </c>
    </row>
    <row r="7151">
      <c r="A7151" s="8" t="str">
        <f>IFERROR(__xludf.DUMMYFUNCTION("IF('(INGESTA)Datos_consumo_datadis'!A7151&lt;&gt;"""",SPLIT('(INGESTA)Datos_consumo_datadis'!A:A,"",""),"""")"),"ES0031408323131005HX0F")</f>
        <v>ES0031408323131005HX0F</v>
      </c>
      <c r="B7151" s="12">
        <f>IFERROR(__xludf.DUMMYFUNCTION("""COMPUTED_VALUE"""),45163.0)</f>
        <v>45163</v>
      </c>
      <c r="C7151" s="13">
        <f>IFERROR(__xludf.DUMMYFUNCTION("""COMPUTED_VALUE"""),0.9583333333333334)</f>
        <v>0.9583333333</v>
      </c>
      <c r="D7151" s="8">
        <f>IFERROR(__xludf.DUMMYFUNCTION("""COMPUTED_VALUE"""),0.072)</f>
        <v>0.072</v>
      </c>
      <c r="E7151" s="8" t="str">
        <f>IFERROR(__xludf.DUMMYFUNCTION("""COMPUTED_VALUE"""),"Real")</f>
        <v>Real</v>
      </c>
      <c r="G7151" s="8">
        <f t="shared" si="1"/>
        <v>8</v>
      </c>
      <c r="H7151" s="14">
        <f t="shared" si="2"/>
        <v>25</v>
      </c>
      <c r="I7151" s="15">
        <f t="shared" si="3"/>
        <v>23</v>
      </c>
    </row>
    <row r="7152">
      <c r="A7152" s="8" t="str">
        <f>IFERROR(__xludf.DUMMYFUNCTION("IF('(INGESTA)Datos_consumo_datadis'!A7152&lt;&gt;"""",SPLIT('(INGESTA)Datos_consumo_datadis'!A:A,"",""),"""")"),"ES0031408323131005HX0F")</f>
        <v>ES0031408323131005HX0F</v>
      </c>
      <c r="B7152" s="12">
        <f>IFERROR(__xludf.DUMMYFUNCTION("""COMPUTED_VALUE"""),45163.0)</f>
        <v>45163</v>
      </c>
      <c r="C7152" s="16">
        <f>IFERROR(__xludf.DUMMYFUNCTION("""COMPUTED_VALUE"""),1.0)</f>
        <v>1</v>
      </c>
      <c r="D7152" s="8">
        <f>IFERROR(__xludf.DUMMYFUNCTION("""COMPUTED_VALUE"""),2.38)</f>
        <v>2.38</v>
      </c>
      <c r="E7152" s="8" t="str">
        <f>IFERROR(__xludf.DUMMYFUNCTION("""COMPUTED_VALUE"""),"Real")</f>
        <v>Real</v>
      </c>
      <c r="G7152" s="8">
        <f t="shared" si="1"/>
        <v>8</v>
      </c>
      <c r="H7152" s="14">
        <f t="shared" si="2"/>
        <v>25</v>
      </c>
      <c r="I7152" s="15">
        <f t="shared" si="3"/>
        <v>0</v>
      </c>
    </row>
    <row r="7153">
      <c r="A7153" s="8" t="str">
        <f>IFERROR(__xludf.DUMMYFUNCTION("IF('(INGESTA)Datos_consumo_datadis'!A7153&lt;&gt;"""",SPLIT('(INGESTA)Datos_consumo_datadis'!A:A,"",""),"""")"),"ES0031408323131005HX0F")</f>
        <v>ES0031408323131005HX0F</v>
      </c>
      <c r="B7153" s="12">
        <f>IFERROR(__xludf.DUMMYFUNCTION("""COMPUTED_VALUE"""),45164.0)</f>
        <v>45164</v>
      </c>
      <c r="C7153" s="13">
        <f>IFERROR(__xludf.DUMMYFUNCTION("""COMPUTED_VALUE"""),0.041666666666666664)</f>
        <v>0.04166666667</v>
      </c>
      <c r="D7153" s="8">
        <f>IFERROR(__xludf.DUMMYFUNCTION("""COMPUTED_VALUE"""),2.421)</f>
        <v>2.421</v>
      </c>
      <c r="E7153" s="8" t="str">
        <f>IFERROR(__xludf.DUMMYFUNCTION("""COMPUTED_VALUE"""),"Real")</f>
        <v>Real</v>
      </c>
      <c r="G7153" s="8">
        <f t="shared" si="1"/>
        <v>8</v>
      </c>
      <c r="H7153" s="14">
        <f t="shared" si="2"/>
        <v>26</v>
      </c>
      <c r="I7153" s="15">
        <f t="shared" si="3"/>
        <v>1</v>
      </c>
    </row>
    <row r="7154">
      <c r="A7154" s="8" t="str">
        <f>IFERROR(__xludf.DUMMYFUNCTION("IF('(INGESTA)Datos_consumo_datadis'!A7154&lt;&gt;"""",SPLIT('(INGESTA)Datos_consumo_datadis'!A:A,"",""),"""")"),"ES0031408323131005HX0F")</f>
        <v>ES0031408323131005HX0F</v>
      </c>
      <c r="B7154" s="12">
        <f>IFERROR(__xludf.DUMMYFUNCTION("""COMPUTED_VALUE"""),45164.0)</f>
        <v>45164</v>
      </c>
      <c r="C7154" s="13">
        <f>IFERROR(__xludf.DUMMYFUNCTION("""COMPUTED_VALUE"""),0.08333333333333333)</f>
        <v>0.08333333333</v>
      </c>
      <c r="D7154" s="8">
        <f>IFERROR(__xludf.DUMMYFUNCTION("""COMPUTED_VALUE"""),0.923)</f>
        <v>0.923</v>
      </c>
      <c r="E7154" s="8" t="str">
        <f>IFERROR(__xludf.DUMMYFUNCTION("""COMPUTED_VALUE"""),"Real")</f>
        <v>Real</v>
      </c>
      <c r="G7154" s="8">
        <f t="shared" si="1"/>
        <v>8</v>
      </c>
      <c r="H7154" s="14">
        <f t="shared" si="2"/>
        <v>26</v>
      </c>
      <c r="I7154" s="15">
        <f t="shared" si="3"/>
        <v>2</v>
      </c>
    </row>
    <row r="7155">
      <c r="A7155" s="8" t="str">
        <f>IFERROR(__xludf.DUMMYFUNCTION("IF('(INGESTA)Datos_consumo_datadis'!A7155&lt;&gt;"""",SPLIT('(INGESTA)Datos_consumo_datadis'!A:A,"",""),"""")"),"ES0031408323131005HX0F")</f>
        <v>ES0031408323131005HX0F</v>
      </c>
      <c r="B7155" s="12">
        <f>IFERROR(__xludf.DUMMYFUNCTION("""COMPUTED_VALUE"""),45164.0)</f>
        <v>45164</v>
      </c>
      <c r="C7155" s="13">
        <f>IFERROR(__xludf.DUMMYFUNCTION("""COMPUTED_VALUE"""),0.125)</f>
        <v>0.125</v>
      </c>
      <c r="D7155" s="8">
        <f>IFERROR(__xludf.DUMMYFUNCTION("""COMPUTED_VALUE"""),0.145)</f>
        <v>0.145</v>
      </c>
      <c r="E7155" s="8" t="str">
        <f>IFERROR(__xludf.DUMMYFUNCTION("""COMPUTED_VALUE"""),"Real")</f>
        <v>Real</v>
      </c>
      <c r="G7155" s="8">
        <f t="shared" si="1"/>
        <v>8</v>
      </c>
      <c r="H7155" s="14">
        <f t="shared" si="2"/>
        <v>26</v>
      </c>
      <c r="I7155" s="15">
        <f t="shared" si="3"/>
        <v>3</v>
      </c>
    </row>
    <row r="7156">
      <c r="A7156" s="8" t="str">
        <f>IFERROR(__xludf.DUMMYFUNCTION("IF('(INGESTA)Datos_consumo_datadis'!A7156&lt;&gt;"""",SPLIT('(INGESTA)Datos_consumo_datadis'!A:A,"",""),"""")"),"ES0031408323131005HX0F")</f>
        <v>ES0031408323131005HX0F</v>
      </c>
      <c r="B7156" s="12">
        <f>IFERROR(__xludf.DUMMYFUNCTION("""COMPUTED_VALUE"""),45164.0)</f>
        <v>45164</v>
      </c>
      <c r="C7156" s="13">
        <f>IFERROR(__xludf.DUMMYFUNCTION("""COMPUTED_VALUE"""),0.16666666666666666)</f>
        <v>0.1666666667</v>
      </c>
      <c r="D7156" s="8">
        <f>IFERROR(__xludf.DUMMYFUNCTION("""COMPUTED_VALUE"""),0.116)</f>
        <v>0.116</v>
      </c>
      <c r="E7156" s="8" t="str">
        <f>IFERROR(__xludf.DUMMYFUNCTION("""COMPUTED_VALUE"""),"Real")</f>
        <v>Real</v>
      </c>
      <c r="G7156" s="8">
        <f t="shared" si="1"/>
        <v>8</v>
      </c>
      <c r="H7156" s="14">
        <f t="shared" si="2"/>
        <v>26</v>
      </c>
      <c r="I7156" s="15">
        <f t="shared" si="3"/>
        <v>4</v>
      </c>
    </row>
    <row r="7157">
      <c r="A7157" s="8" t="str">
        <f>IFERROR(__xludf.DUMMYFUNCTION("IF('(INGESTA)Datos_consumo_datadis'!A7157&lt;&gt;"""",SPLIT('(INGESTA)Datos_consumo_datadis'!A:A,"",""),"""")"),"ES0031408323131005HX0F")</f>
        <v>ES0031408323131005HX0F</v>
      </c>
      <c r="B7157" s="12">
        <f>IFERROR(__xludf.DUMMYFUNCTION("""COMPUTED_VALUE"""),45164.0)</f>
        <v>45164</v>
      </c>
      <c r="C7157" s="13">
        <f>IFERROR(__xludf.DUMMYFUNCTION("""COMPUTED_VALUE"""),0.20833333333333334)</f>
        <v>0.2083333333</v>
      </c>
      <c r="D7157" s="8">
        <f>IFERROR(__xludf.DUMMYFUNCTION("""COMPUTED_VALUE"""),0.117)</f>
        <v>0.117</v>
      </c>
      <c r="E7157" s="8" t="str">
        <f>IFERROR(__xludf.DUMMYFUNCTION("""COMPUTED_VALUE"""),"Real")</f>
        <v>Real</v>
      </c>
      <c r="G7157" s="8">
        <f t="shared" si="1"/>
        <v>8</v>
      </c>
      <c r="H7157" s="14">
        <f t="shared" si="2"/>
        <v>26</v>
      </c>
      <c r="I7157" s="15">
        <f t="shared" si="3"/>
        <v>5</v>
      </c>
    </row>
    <row r="7158">
      <c r="A7158" s="8" t="str">
        <f>IFERROR(__xludf.DUMMYFUNCTION("IF('(INGESTA)Datos_consumo_datadis'!A7158&lt;&gt;"""",SPLIT('(INGESTA)Datos_consumo_datadis'!A:A,"",""),"""")"),"ES0031408323131005HX0F")</f>
        <v>ES0031408323131005HX0F</v>
      </c>
      <c r="B7158" s="12">
        <f>IFERROR(__xludf.DUMMYFUNCTION("""COMPUTED_VALUE"""),45164.0)</f>
        <v>45164</v>
      </c>
      <c r="C7158" s="13">
        <f>IFERROR(__xludf.DUMMYFUNCTION("""COMPUTED_VALUE"""),0.25)</f>
        <v>0.25</v>
      </c>
      <c r="D7158" s="8">
        <f>IFERROR(__xludf.DUMMYFUNCTION("""COMPUTED_VALUE"""),0.381)</f>
        <v>0.381</v>
      </c>
      <c r="E7158" s="8" t="str">
        <f>IFERROR(__xludf.DUMMYFUNCTION("""COMPUTED_VALUE"""),"Real")</f>
        <v>Real</v>
      </c>
      <c r="G7158" s="8">
        <f t="shared" si="1"/>
        <v>8</v>
      </c>
      <c r="H7158" s="14">
        <f t="shared" si="2"/>
        <v>26</v>
      </c>
      <c r="I7158" s="15">
        <f t="shared" si="3"/>
        <v>6</v>
      </c>
    </row>
    <row r="7159">
      <c r="A7159" s="8" t="str">
        <f>IFERROR(__xludf.DUMMYFUNCTION("IF('(INGESTA)Datos_consumo_datadis'!A7159&lt;&gt;"""",SPLIT('(INGESTA)Datos_consumo_datadis'!A:A,"",""),"""")"),"ES0031408323131005HX0F")</f>
        <v>ES0031408323131005HX0F</v>
      </c>
      <c r="B7159" s="12">
        <f>IFERROR(__xludf.DUMMYFUNCTION("""COMPUTED_VALUE"""),45164.0)</f>
        <v>45164</v>
      </c>
      <c r="C7159" s="13">
        <f>IFERROR(__xludf.DUMMYFUNCTION("""COMPUTED_VALUE"""),0.2916666666666667)</f>
        <v>0.2916666667</v>
      </c>
      <c r="D7159" s="8">
        <f>IFERROR(__xludf.DUMMYFUNCTION("""COMPUTED_VALUE"""),0.125)</f>
        <v>0.125</v>
      </c>
      <c r="E7159" s="8" t="str">
        <f>IFERROR(__xludf.DUMMYFUNCTION("""COMPUTED_VALUE"""),"Real")</f>
        <v>Real</v>
      </c>
      <c r="G7159" s="8">
        <f t="shared" si="1"/>
        <v>8</v>
      </c>
      <c r="H7159" s="14">
        <f t="shared" si="2"/>
        <v>26</v>
      </c>
      <c r="I7159" s="15">
        <f t="shared" si="3"/>
        <v>7</v>
      </c>
    </row>
    <row r="7160">
      <c r="A7160" s="8" t="str">
        <f>IFERROR(__xludf.DUMMYFUNCTION("IF('(INGESTA)Datos_consumo_datadis'!A7160&lt;&gt;"""",SPLIT('(INGESTA)Datos_consumo_datadis'!A:A,"",""),"""")"),"ES0031408323131005HX0F")</f>
        <v>ES0031408323131005HX0F</v>
      </c>
      <c r="B7160" s="12">
        <f>IFERROR(__xludf.DUMMYFUNCTION("""COMPUTED_VALUE"""),45164.0)</f>
        <v>45164</v>
      </c>
      <c r="C7160" s="13">
        <f>IFERROR(__xludf.DUMMYFUNCTION("""COMPUTED_VALUE"""),0.3333333333333333)</f>
        <v>0.3333333333</v>
      </c>
      <c r="D7160" s="8">
        <f>IFERROR(__xludf.DUMMYFUNCTION("""COMPUTED_VALUE"""),0.149)</f>
        <v>0.149</v>
      </c>
      <c r="E7160" s="8" t="str">
        <f>IFERROR(__xludf.DUMMYFUNCTION("""COMPUTED_VALUE"""),"Real")</f>
        <v>Real</v>
      </c>
      <c r="G7160" s="8">
        <f t="shared" si="1"/>
        <v>8</v>
      </c>
      <c r="H7160" s="14">
        <f t="shared" si="2"/>
        <v>26</v>
      </c>
      <c r="I7160" s="15">
        <f t="shared" si="3"/>
        <v>8</v>
      </c>
    </row>
    <row r="7161">
      <c r="A7161" s="8" t="str">
        <f>IFERROR(__xludf.DUMMYFUNCTION("IF('(INGESTA)Datos_consumo_datadis'!A7161&lt;&gt;"""",SPLIT('(INGESTA)Datos_consumo_datadis'!A:A,"",""),"""")"),"ES0031408323131005HX0F")</f>
        <v>ES0031408323131005HX0F</v>
      </c>
      <c r="B7161" s="12">
        <f>IFERROR(__xludf.DUMMYFUNCTION("""COMPUTED_VALUE"""),45164.0)</f>
        <v>45164</v>
      </c>
      <c r="C7161" s="13">
        <f>IFERROR(__xludf.DUMMYFUNCTION("""COMPUTED_VALUE"""),0.375)</f>
        <v>0.375</v>
      </c>
      <c r="D7161" s="8">
        <f>IFERROR(__xludf.DUMMYFUNCTION("""COMPUTED_VALUE"""),0.15)</f>
        <v>0.15</v>
      </c>
      <c r="E7161" s="8" t="str">
        <f>IFERROR(__xludf.DUMMYFUNCTION("""COMPUTED_VALUE"""),"Real")</f>
        <v>Real</v>
      </c>
      <c r="G7161" s="8">
        <f t="shared" si="1"/>
        <v>8</v>
      </c>
      <c r="H7161" s="14">
        <f t="shared" si="2"/>
        <v>26</v>
      </c>
      <c r="I7161" s="15">
        <f t="shared" si="3"/>
        <v>9</v>
      </c>
    </row>
    <row r="7162">
      <c r="A7162" s="8" t="str">
        <f>IFERROR(__xludf.DUMMYFUNCTION("IF('(INGESTA)Datos_consumo_datadis'!A7162&lt;&gt;"""",SPLIT('(INGESTA)Datos_consumo_datadis'!A:A,"",""),"""")"),"ES0031408323131005HX0F")</f>
        <v>ES0031408323131005HX0F</v>
      </c>
      <c r="B7162" s="12">
        <f>IFERROR(__xludf.DUMMYFUNCTION("""COMPUTED_VALUE"""),45164.0)</f>
        <v>45164</v>
      </c>
      <c r="C7162" s="13">
        <f>IFERROR(__xludf.DUMMYFUNCTION("""COMPUTED_VALUE"""),0.4166666666666667)</f>
        <v>0.4166666667</v>
      </c>
      <c r="D7162" s="8">
        <f>IFERROR(__xludf.DUMMYFUNCTION("""COMPUTED_VALUE"""),0.144)</f>
        <v>0.144</v>
      </c>
      <c r="E7162" s="8" t="str">
        <f>IFERROR(__xludf.DUMMYFUNCTION("""COMPUTED_VALUE"""),"Real")</f>
        <v>Real</v>
      </c>
      <c r="G7162" s="8">
        <f t="shared" si="1"/>
        <v>8</v>
      </c>
      <c r="H7162" s="14">
        <f t="shared" si="2"/>
        <v>26</v>
      </c>
      <c r="I7162" s="15">
        <f t="shared" si="3"/>
        <v>10</v>
      </c>
    </row>
    <row r="7163">
      <c r="A7163" s="8" t="str">
        <f>IFERROR(__xludf.DUMMYFUNCTION("IF('(INGESTA)Datos_consumo_datadis'!A7163&lt;&gt;"""",SPLIT('(INGESTA)Datos_consumo_datadis'!A:A,"",""),"""")"),"ES0031408323131005HX0F")</f>
        <v>ES0031408323131005HX0F</v>
      </c>
      <c r="B7163" s="12">
        <f>IFERROR(__xludf.DUMMYFUNCTION("""COMPUTED_VALUE"""),45164.0)</f>
        <v>45164</v>
      </c>
      <c r="C7163" s="13">
        <f>IFERROR(__xludf.DUMMYFUNCTION("""COMPUTED_VALUE"""),0.4583333333333333)</f>
        <v>0.4583333333</v>
      </c>
      <c r="D7163" s="8">
        <f>IFERROR(__xludf.DUMMYFUNCTION("""COMPUTED_VALUE"""),0.168)</f>
        <v>0.168</v>
      </c>
      <c r="E7163" s="8" t="str">
        <f>IFERROR(__xludf.DUMMYFUNCTION("""COMPUTED_VALUE"""),"Real")</f>
        <v>Real</v>
      </c>
      <c r="G7163" s="8">
        <f t="shared" si="1"/>
        <v>8</v>
      </c>
      <c r="H7163" s="14">
        <f t="shared" si="2"/>
        <v>26</v>
      </c>
      <c r="I7163" s="15">
        <f t="shared" si="3"/>
        <v>11</v>
      </c>
    </row>
    <row r="7164">
      <c r="A7164" s="8" t="str">
        <f>IFERROR(__xludf.DUMMYFUNCTION("IF('(INGESTA)Datos_consumo_datadis'!A7164&lt;&gt;"""",SPLIT('(INGESTA)Datos_consumo_datadis'!A:A,"",""),"""")"),"ES0031408323131005HX0F")</f>
        <v>ES0031408323131005HX0F</v>
      </c>
      <c r="B7164" s="12">
        <f>IFERROR(__xludf.DUMMYFUNCTION("""COMPUTED_VALUE"""),45164.0)</f>
        <v>45164</v>
      </c>
      <c r="C7164" s="13">
        <f>IFERROR(__xludf.DUMMYFUNCTION("""COMPUTED_VALUE"""),0.5)</f>
        <v>0.5</v>
      </c>
      <c r="D7164" s="8">
        <f>IFERROR(__xludf.DUMMYFUNCTION("""COMPUTED_VALUE"""),0.842)</f>
        <v>0.842</v>
      </c>
      <c r="E7164" s="8" t="str">
        <f>IFERROR(__xludf.DUMMYFUNCTION("""COMPUTED_VALUE"""),"Real")</f>
        <v>Real</v>
      </c>
      <c r="G7164" s="8">
        <f t="shared" si="1"/>
        <v>8</v>
      </c>
      <c r="H7164" s="14">
        <f t="shared" si="2"/>
        <v>26</v>
      </c>
      <c r="I7164" s="15">
        <f t="shared" si="3"/>
        <v>12</v>
      </c>
    </row>
    <row r="7165">
      <c r="A7165" s="8" t="str">
        <f>IFERROR(__xludf.DUMMYFUNCTION("IF('(INGESTA)Datos_consumo_datadis'!A7165&lt;&gt;"""",SPLIT('(INGESTA)Datos_consumo_datadis'!A:A,"",""),"""")"),"ES0031408323131005HX0F")</f>
        <v>ES0031408323131005HX0F</v>
      </c>
      <c r="B7165" s="12">
        <f>IFERROR(__xludf.DUMMYFUNCTION("""COMPUTED_VALUE"""),45164.0)</f>
        <v>45164</v>
      </c>
      <c r="C7165" s="13">
        <f>IFERROR(__xludf.DUMMYFUNCTION("""COMPUTED_VALUE"""),0.5416666666666666)</f>
        <v>0.5416666667</v>
      </c>
      <c r="D7165" s="8">
        <f>IFERROR(__xludf.DUMMYFUNCTION("""COMPUTED_VALUE"""),0.197)</f>
        <v>0.197</v>
      </c>
      <c r="E7165" s="8" t="str">
        <f>IFERROR(__xludf.DUMMYFUNCTION("""COMPUTED_VALUE"""),"Real")</f>
        <v>Real</v>
      </c>
      <c r="G7165" s="8">
        <f t="shared" si="1"/>
        <v>8</v>
      </c>
      <c r="H7165" s="14">
        <f t="shared" si="2"/>
        <v>26</v>
      </c>
      <c r="I7165" s="15">
        <f t="shared" si="3"/>
        <v>13</v>
      </c>
    </row>
    <row r="7166">
      <c r="A7166" s="8" t="str">
        <f>IFERROR(__xludf.DUMMYFUNCTION("IF('(INGESTA)Datos_consumo_datadis'!A7166&lt;&gt;"""",SPLIT('(INGESTA)Datos_consumo_datadis'!A:A,"",""),"""")"),"ES0031408323131005HX0F")</f>
        <v>ES0031408323131005HX0F</v>
      </c>
      <c r="B7166" s="12">
        <f>IFERROR(__xludf.DUMMYFUNCTION("""COMPUTED_VALUE"""),45164.0)</f>
        <v>45164</v>
      </c>
      <c r="C7166" s="13">
        <f>IFERROR(__xludf.DUMMYFUNCTION("""COMPUTED_VALUE"""),0.5833333333333334)</f>
        <v>0.5833333333</v>
      </c>
      <c r="D7166" s="8">
        <f>IFERROR(__xludf.DUMMYFUNCTION("""COMPUTED_VALUE"""),0.453)</f>
        <v>0.453</v>
      </c>
      <c r="E7166" s="8" t="str">
        <f>IFERROR(__xludf.DUMMYFUNCTION("""COMPUTED_VALUE"""),"Real")</f>
        <v>Real</v>
      </c>
      <c r="G7166" s="8">
        <f t="shared" si="1"/>
        <v>8</v>
      </c>
      <c r="H7166" s="14">
        <f t="shared" si="2"/>
        <v>26</v>
      </c>
      <c r="I7166" s="15">
        <f t="shared" si="3"/>
        <v>14</v>
      </c>
    </row>
    <row r="7167">
      <c r="A7167" s="8" t="str">
        <f>IFERROR(__xludf.DUMMYFUNCTION("IF('(INGESTA)Datos_consumo_datadis'!A7167&lt;&gt;"""",SPLIT('(INGESTA)Datos_consumo_datadis'!A:A,"",""),"""")"),"ES0031408323131005HX0F")</f>
        <v>ES0031408323131005HX0F</v>
      </c>
      <c r="B7167" s="12">
        <f>IFERROR(__xludf.DUMMYFUNCTION("""COMPUTED_VALUE"""),45164.0)</f>
        <v>45164</v>
      </c>
      <c r="C7167" s="13">
        <f>IFERROR(__xludf.DUMMYFUNCTION("""COMPUTED_VALUE"""),0.625)</f>
        <v>0.625</v>
      </c>
      <c r="D7167" s="8">
        <f>IFERROR(__xludf.DUMMYFUNCTION("""COMPUTED_VALUE"""),0.117)</f>
        <v>0.117</v>
      </c>
      <c r="E7167" s="8" t="str">
        <f>IFERROR(__xludf.DUMMYFUNCTION("""COMPUTED_VALUE"""),"Real")</f>
        <v>Real</v>
      </c>
      <c r="G7167" s="8">
        <f t="shared" si="1"/>
        <v>8</v>
      </c>
      <c r="H7167" s="14">
        <f t="shared" si="2"/>
        <v>26</v>
      </c>
      <c r="I7167" s="15">
        <f t="shared" si="3"/>
        <v>15</v>
      </c>
    </row>
    <row r="7168">
      <c r="A7168" s="8" t="str">
        <f>IFERROR(__xludf.DUMMYFUNCTION("IF('(INGESTA)Datos_consumo_datadis'!A7168&lt;&gt;"""",SPLIT('(INGESTA)Datos_consumo_datadis'!A:A,"",""),"""")"),"ES0031408323131005HX0F")</f>
        <v>ES0031408323131005HX0F</v>
      </c>
      <c r="B7168" s="12">
        <f>IFERROR(__xludf.DUMMYFUNCTION("""COMPUTED_VALUE"""),45164.0)</f>
        <v>45164</v>
      </c>
      <c r="C7168" s="13">
        <f>IFERROR(__xludf.DUMMYFUNCTION("""COMPUTED_VALUE"""),0.6666666666666666)</f>
        <v>0.6666666667</v>
      </c>
      <c r="D7168" s="8">
        <f>IFERROR(__xludf.DUMMYFUNCTION("""COMPUTED_VALUE"""),0.398)</f>
        <v>0.398</v>
      </c>
      <c r="E7168" s="8" t="str">
        <f>IFERROR(__xludf.DUMMYFUNCTION("""COMPUTED_VALUE"""),"Real")</f>
        <v>Real</v>
      </c>
      <c r="G7168" s="8">
        <f t="shared" si="1"/>
        <v>8</v>
      </c>
      <c r="H7168" s="14">
        <f t="shared" si="2"/>
        <v>26</v>
      </c>
      <c r="I7168" s="15">
        <f t="shared" si="3"/>
        <v>16</v>
      </c>
    </row>
    <row r="7169">
      <c r="A7169" s="8" t="str">
        <f>IFERROR(__xludf.DUMMYFUNCTION("IF('(INGESTA)Datos_consumo_datadis'!A7169&lt;&gt;"""",SPLIT('(INGESTA)Datos_consumo_datadis'!A:A,"",""),"""")"),"ES0031408323131005HX0F")</f>
        <v>ES0031408323131005HX0F</v>
      </c>
      <c r="B7169" s="12">
        <f>IFERROR(__xludf.DUMMYFUNCTION("""COMPUTED_VALUE"""),45164.0)</f>
        <v>45164</v>
      </c>
      <c r="C7169" s="13">
        <f>IFERROR(__xludf.DUMMYFUNCTION("""COMPUTED_VALUE"""),0.7083333333333334)</f>
        <v>0.7083333333</v>
      </c>
      <c r="D7169" s="8">
        <f>IFERROR(__xludf.DUMMYFUNCTION("""COMPUTED_VALUE"""),0.116)</f>
        <v>0.116</v>
      </c>
      <c r="E7169" s="8" t="str">
        <f>IFERROR(__xludf.DUMMYFUNCTION("""COMPUTED_VALUE"""),"Real")</f>
        <v>Real</v>
      </c>
      <c r="G7169" s="8">
        <f t="shared" si="1"/>
        <v>8</v>
      </c>
      <c r="H7169" s="14">
        <f t="shared" si="2"/>
        <v>26</v>
      </c>
      <c r="I7169" s="15">
        <f t="shared" si="3"/>
        <v>17</v>
      </c>
    </row>
    <row r="7170">
      <c r="A7170" s="8" t="str">
        <f>IFERROR(__xludf.DUMMYFUNCTION("IF('(INGESTA)Datos_consumo_datadis'!A7170&lt;&gt;"""",SPLIT('(INGESTA)Datos_consumo_datadis'!A:A,"",""),"""")"),"ES0031408323131005HX0F")</f>
        <v>ES0031408323131005HX0F</v>
      </c>
      <c r="B7170" s="12">
        <f>IFERROR(__xludf.DUMMYFUNCTION("""COMPUTED_VALUE"""),45164.0)</f>
        <v>45164</v>
      </c>
      <c r="C7170" s="13">
        <f>IFERROR(__xludf.DUMMYFUNCTION("""COMPUTED_VALUE"""),0.75)</f>
        <v>0.75</v>
      </c>
      <c r="D7170" s="8">
        <f>IFERROR(__xludf.DUMMYFUNCTION("""COMPUTED_VALUE"""),0.733)</f>
        <v>0.733</v>
      </c>
      <c r="E7170" s="8" t="str">
        <f>IFERROR(__xludf.DUMMYFUNCTION("""COMPUTED_VALUE"""),"Real")</f>
        <v>Real</v>
      </c>
      <c r="G7170" s="8">
        <f t="shared" si="1"/>
        <v>8</v>
      </c>
      <c r="H7170" s="14">
        <f t="shared" si="2"/>
        <v>26</v>
      </c>
      <c r="I7170" s="15">
        <f t="shared" si="3"/>
        <v>18</v>
      </c>
    </row>
    <row r="7171">
      <c r="A7171" s="8" t="str">
        <f>IFERROR(__xludf.DUMMYFUNCTION("IF('(INGESTA)Datos_consumo_datadis'!A7171&lt;&gt;"""",SPLIT('(INGESTA)Datos_consumo_datadis'!A:A,"",""),"""")"),"ES0031408323131005HX0F")</f>
        <v>ES0031408323131005HX0F</v>
      </c>
      <c r="B7171" s="12">
        <f>IFERROR(__xludf.DUMMYFUNCTION("""COMPUTED_VALUE"""),45164.0)</f>
        <v>45164</v>
      </c>
      <c r="C7171" s="13">
        <f>IFERROR(__xludf.DUMMYFUNCTION("""COMPUTED_VALUE"""),0.7916666666666666)</f>
        <v>0.7916666667</v>
      </c>
      <c r="D7171" s="8">
        <f>IFERROR(__xludf.DUMMYFUNCTION("""COMPUTED_VALUE"""),2.878)</f>
        <v>2.878</v>
      </c>
      <c r="E7171" s="8" t="str">
        <f>IFERROR(__xludf.DUMMYFUNCTION("""COMPUTED_VALUE"""),"Real")</f>
        <v>Real</v>
      </c>
      <c r="G7171" s="8">
        <f t="shared" si="1"/>
        <v>8</v>
      </c>
      <c r="H7171" s="14">
        <f t="shared" si="2"/>
        <v>26</v>
      </c>
      <c r="I7171" s="15">
        <f t="shared" si="3"/>
        <v>19</v>
      </c>
    </row>
    <row r="7172">
      <c r="A7172" s="8" t="str">
        <f>IFERROR(__xludf.DUMMYFUNCTION("IF('(INGESTA)Datos_consumo_datadis'!A7172&lt;&gt;"""",SPLIT('(INGESTA)Datos_consumo_datadis'!A:A,"",""),"""")"),"ES0031408323131005HX0F")</f>
        <v>ES0031408323131005HX0F</v>
      </c>
      <c r="B7172" s="12">
        <f>IFERROR(__xludf.DUMMYFUNCTION("""COMPUTED_VALUE"""),45164.0)</f>
        <v>45164</v>
      </c>
      <c r="C7172" s="13">
        <f>IFERROR(__xludf.DUMMYFUNCTION("""COMPUTED_VALUE"""),0.8333333333333334)</f>
        <v>0.8333333333</v>
      </c>
      <c r="D7172" s="8">
        <f>IFERROR(__xludf.DUMMYFUNCTION("""COMPUTED_VALUE"""),2.228)</f>
        <v>2.228</v>
      </c>
      <c r="E7172" s="8" t="str">
        <f>IFERROR(__xludf.DUMMYFUNCTION("""COMPUTED_VALUE"""),"Real")</f>
        <v>Real</v>
      </c>
      <c r="G7172" s="8">
        <f t="shared" si="1"/>
        <v>8</v>
      </c>
      <c r="H7172" s="14">
        <f t="shared" si="2"/>
        <v>26</v>
      </c>
      <c r="I7172" s="15">
        <f t="shared" si="3"/>
        <v>20</v>
      </c>
    </row>
    <row r="7173">
      <c r="A7173" s="8" t="str">
        <f>IFERROR(__xludf.DUMMYFUNCTION("IF('(INGESTA)Datos_consumo_datadis'!A7173&lt;&gt;"""",SPLIT('(INGESTA)Datos_consumo_datadis'!A:A,"",""),"""")"),"ES0031408323131005HX0F")</f>
        <v>ES0031408323131005HX0F</v>
      </c>
      <c r="B7173" s="12">
        <f>IFERROR(__xludf.DUMMYFUNCTION("""COMPUTED_VALUE"""),45164.0)</f>
        <v>45164</v>
      </c>
      <c r="C7173" s="13">
        <f>IFERROR(__xludf.DUMMYFUNCTION("""COMPUTED_VALUE"""),0.875)</f>
        <v>0.875</v>
      </c>
      <c r="D7173" s="8">
        <f>IFERROR(__xludf.DUMMYFUNCTION("""COMPUTED_VALUE"""),1.935)</f>
        <v>1.935</v>
      </c>
      <c r="E7173" s="8" t="str">
        <f>IFERROR(__xludf.DUMMYFUNCTION("""COMPUTED_VALUE"""),"Real")</f>
        <v>Real</v>
      </c>
      <c r="G7173" s="8">
        <f t="shared" si="1"/>
        <v>8</v>
      </c>
      <c r="H7173" s="14">
        <f t="shared" si="2"/>
        <v>26</v>
      </c>
      <c r="I7173" s="15">
        <f t="shared" si="3"/>
        <v>21</v>
      </c>
    </row>
    <row r="7174">
      <c r="A7174" s="8" t="str">
        <f>IFERROR(__xludf.DUMMYFUNCTION("IF('(INGESTA)Datos_consumo_datadis'!A7174&lt;&gt;"""",SPLIT('(INGESTA)Datos_consumo_datadis'!A:A,"",""),"""")"),"ES0031408323131005HX0F")</f>
        <v>ES0031408323131005HX0F</v>
      </c>
      <c r="B7174" s="12">
        <f>IFERROR(__xludf.DUMMYFUNCTION("""COMPUTED_VALUE"""),45164.0)</f>
        <v>45164</v>
      </c>
      <c r="C7174" s="13">
        <f>IFERROR(__xludf.DUMMYFUNCTION("""COMPUTED_VALUE"""),0.9166666666666666)</f>
        <v>0.9166666667</v>
      </c>
      <c r="D7174" s="8">
        <f>IFERROR(__xludf.DUMMYFUNCTION("""COMPUTED_VALUE"""),1.026)</f>
        <v>1.026</v>
      </c>
      <c r="E7174" s="8" t="str">
        <f>IFERROR(__xludf.DUMMYFUNCTION("""COMPUTED_VALUE"""),"Real")</f>
        <v>Real</v>
      </c>
      <c r="G7174" s="8">
        <f t="shared" si="1"/>
        <v>8</v>
      </c>
      <c r="H7174" s="14">
        <f t="shared" si="2"/>
        <v>26</v>
      </c>
      <c r="I7174" s="15">
        <f t="shared" si="3"/>
        <v>22</v>
      </c>
    </row>
    <row r="7175">
      <c r="A7175" s="8" t="str">
        <f>IFERROR(__xludf.DUMMYFUNCTION("IF('(INGESTA)Datos_consumo_datadis'!A7175&lt;&gt;"""",SPLIT('(INGESTA)Datos_consumo_datadis'!A:A,"",""),"""")"),"ES0031408323131005HX0F")</f>
        <v>ES0031408323131005HX0F</v>
      </c>
      <c r="B7175" s="12">
        <f>IFERROR(__xludf.DUMMYFUNCTION("""COMPUTED_VALUE"""),45164.0)</f>
        <v>45164</v>
      </c>
      <c r="C7175" s="13">
        <f>IFERROR(__xludf.DUMMYFUNCTION("""COMPUTED_VALUE"""),0.9583333333333334)</f>
        <v>0.9583333333</v>
      </c>
      <c r="D7175" s="8">
        <f>IFERROR(__xludf.DUMMYFUNCTION("""COMPUTED_VALUE"""),0.126)</f>
        <v>0.126</v>
      </c>
      <c r="E7175" s="8" t="str">
        <f>IFERROR(__xludf.DUMMYFUNCTION("""COMPUTED_VALUE"""),"Real")</f>
        <v>Real</v>
      </c>
      <c r="G7175" s="8">
        <f t="shared" si="1"/>
        <v>8</v>
      </c>
      <c r="H7175" s="14">
        <f t="shared" si="2"/>
        <v>26</v>
      </c>
      <c r="I7175" s="15">
        <f t="shared" si="3"/>
        <v>23</v>
      </c>
    </row>
    <row r="7176">
      <c r="A7176" s="8" t="str">
        <f>IFERROR(__xludf.DUMMYFUNCTION("IF('(INGESTA)Datos_consumo_datadis'!A7176&lt;&gt;"""",SPLIT('(INGESTA)Datos_consumo_datadis'!A:A,"",""),"""")"),"ES0031408323131005HX0F")</f>
        <v>ES0031408323131005HX0F</v>
      </c>
      <c r="B7176" s="12">
        <f>IFERROR(__xludf.DUMMYFUNCTION("""COMPUTED_VALUE"""),45164.0)</f>
        <v>45164</v>
      </c>
      <c r="C7176" s="16">
        <f>IFERROR(__xludf.DUMMYFUNCTION("""COMPUTED_VALUE"""),1.0)</f>
        <v>1</v>
      </c>
      <c r="D7176" s="8">
        <f>IFERROR(__xludf.DUMMYFUNCTION("""COMPUTED_VALUE"""),2.384)</f>
        <v>2.384</v>
      </c>
      <c r="E7176" s="8" t="str">
        <f>IFERROR(__xludf.DUMMYFUNCTION("""COMPUTED_VALUE"""),"Real")</f>
        <v>Real</v>
      </c>
      <c r="G7176" s="8">
        <f t="shared" si="1"/>
        <v>8</v>
      </c>
      <c r="H7176" s="14">
        <f t="shared" si="2"/>
        <v>26</v>
      </c>
      <c r="I7176" s="15">
        <f t="shared" si="3"/>
        <v>0</v>
      </c>
    </row>
    <row r="7177">
      <c r="A7177" s="8" t="str">
        <f>IFERROR(__xludf.DUMMYFUNCTION("IF('(INGESTA)Datos_consumo_datadis'!A7177&lt;&gt;"""",SPLIT('(INGESTA)Datos_consumo_datadis'!A:A,"",""),"""")"),"ES0031408323131005HX0F")</f>
        <v>ES0031408323131005HX0F</v>
      </c>
      <c r="B7177" s="12">
        <f>IFERROR(__xludf.DUMMYFUNCTION("""COMPUTED_VALUE"""),45165.0)</f>
        <v>45165</v>
      </c>
      <c r="C7177" s="13">
        <f>IFERROR(__xludf.DUMMYFUNCTION("""COMPUTED_VALUE"""),0.041666666666666664)</f>
        <v>0.04166666667</v>
      </c>
      <c r="D7177" s="8">
        <f>IFERROR(__xludf.DUMMYFUNCTION("""COMPUTED_VALUE"""),1.814)</f>
        <v>1.814</v>
      </c>
      <c r="E7177" s="8" t="str">
        <f>IFERROR(__xludf.DUMMYFUNCTION("""COMPUTED_VALUE"""),"Real")</f>
        <v>Real</v>
      </c>
      <c r="G7177" s="8">
        <f t="shared" si="1"/>
        <v>8</v>
      </c>
      <c r="H7177" s="14">
        <f t="shared" si="2"/>
        <v>27</v>
      </c>
      <c r="I7177" s="15">
        <f t="shared" si="3"/>
        <v>1</v>
      </c>
    </row>
    <row r="7178">
      <c r="A7178" s="8" t="str">
        <f>IFERROR(__xludf.DUMMYFUNCTION("IF('(INGESTA)Datos_consumo_datadis'!A7178&lt;&gt;"""",SPLIT('(INGESTA)Datos_consumo_datadis'!A:A,"",""),"""")"),"ES0031408323131005HX0F")</f>
        <v>ES0031408323131005HX0F</v>
      </c>
      <c r="B7178" s="12">
        <f>IFERROR(__xludf.DUMMYFUNCTION("""COMPUTED_VALUE"""),45165.0)</f>
        <v>45165</v>
      </c>
      <c r="C7178" s="13">
        <f>IFERROR(__xludf.DUMMYFUNCTION("""COMPUTED_VALUE"""),0.08333333333333333)</f>
        <v>0.08333333333</v>
      </c>
      <c r="D7178" s="8">
        <f>IFERROR(__xludf.DUMMYFUNCTION("""COMPUTED_VALUE"""),1.565)</f>
        <v>1.565</v>
      </c>
      <c r="E7178" s="8" t="str">
        <f>IFERROR(__xludf.DUMMYFUNCTION("""COMPUTED_VALUE"""),"Real")</f>
        <v>Real</v>
      </c>
      <c r="G7178" s="8">
        <f t="shared" si="1"/>
        <v>8</v>
      </c>
      <c r="H7178" s="14">
        <f t="shared" si="2"/>
        <v>27</v>
      </c>
      <c r="I7178" s="15">
        <f t="shared" si="3"/>
        <v>2</v>
      </c>
    </row>
    <row r="7179">
      <c r="A7179" s="8" t="str">
        <f>IFERROR(__xludf.DUMMYFUNCTION("IF('(INGESTA)Datos_consumo_datadis'!A7179&lt;&gt;"""",SPLIT('(INGESTA)Datos_consumo_datadis'!A:A,"",""),"""")"),"ES0031408323131005HX0F")</f>
        <v>ES0031408323131005HX0F</v>
      </c>
      <c r="B7179" s="12">
        <f>IFERROR(__xludf.DUMMYFUNCTION("""COMPUTED_VALUE"""),45165.0)</f>
        <v>45165</v>
      </c>
      <c r="C7179" s="13">
        <f>IFERROR(__xludf.DUMMYFUNCTION("""COMPUTED_VALUE"""),0.125)</f>
        <v>0.125</v>
      </c>
      <c r="D7179" s="8">
        <f>IFERROR(__xludf.DUMMYFUNCTION("""COMPUTED_VALUE"""),0.402)</f>
        <v>0.402</v>
      </c>
      <c r="E7179" s="8" t="str">
        <f>IFERROR(__xludf.DUMMYFUNCTION("""COMPUTED_VALUE"""),"Real")</f>
        <v>Real</v>
      </c>
      <c r="G7179" s="8">
        <f t="shared" si="1"/>
        <v>8</v>
      </c>
      <c r="H7179" s="14">
        <f t="shared" si="2"/>
        <v>27</v>
      </c>
      <c r="I7179" s="15">
        <f t="shared" si="3"/>
        <v>3</v>
      </c>
    </row>
    <row r="7180">
      <c r="A7180" s="8" t="str">
        <f>IFERROR(__xludf.DUMMYFUNCTION("IF('(INGESTA)Datos_consumo_datadis'!A7180&lt;&gt;"""",SPLIT('(INGESTA)Datos_consumo_datadis'!A:A,"",""),"""")"),"ES0031408323131005HX0F")</f>
        <v>ES0031408323131005HX0F</v>
      </c>
      <c r="B7180" s="12">
        <f>IFERROR(__xludf.DUMMYFUNCTION("""COMPUTED_VALUE"""),45165.0)</f>
        <v>45165</v>
      </c>
      <c r="C7180" s="13">
        <f>IFERROR(__xludf.DUMMYFUNCTION("""COMPUTED_VALUE"""),0.16666666666666666)</f>
        <v>0.1666666667</v>
      </c>
      <c r="D7180" s="8">
        <f>IFERROR(__xludf.DUMMYFUNCTION("""COMPUTED_VALUE"""),0.109)</f>
        <v>0.109</v>
      </c>
      <c r="E7180" s="8" t="str">
        <f>IFERROR(__xludf.DUMMYFUNCTION("""COMPUTED_VALUE"""),"Real")</f>
        <v>Real</v>
      </c>
      <c r="G7180" s="8">
        <f t="shared" si="1"/>
        <v>8</v>
      </c>
      <c r="H7180" s="14">
        <f t="shared" si="2"/>
        <v>27</v>
      </c>
      <c r="I7180" s="15">
        <f t="shared" si="3"/>
        <v>4</v>
      </c>
    </row>
    <row r="7181">
      <c r="A7181" s="8" t="str">
        <f>IFERROR(__xludf.DUMMYFUNCTION("IF('(INGESTA)Datos_consumo_datadis'!A7181&lt;&gt;"""",SPLIT('(INGESTA)Datos_consumo_datadis'!A:A,"",""),"""")"),"ES0031408323131005HX0F")</f>
        <v>ES0031408323131005HX0F</v>
      </c>
      <c r="B7181" s="12">
        <f>IFERROR(__xludf.DUMMYFUNCTION("""COMPUTED_VALUE"""),45165.0)</f>
        <v>45165</v>
      </c>
      <c r="C7181" s="13">
        <f>IFERROR(__xludf.DUMMYFUNCTION("""COMPUTED_VALUE"""),0.20833333333333334)</f>
        <v>0.2083333333</v>
      </c>
      <c r="D7181" s="8">
        <f>IFERROR(__xludf.DUMMYFUNCTION("""COMPUTED_VALUE"""),0.025)</f>
        <v>0.025</v>
      </c>
      <c r="E7181" s="8" t="str">
        <f>IFERROR(__xludf.DUMMYFUNCTION("""COMPUTED_VALUE"""),"Real")</f>
        <v>Real</v>
      </c>
      <c r="G7181" s="8">
        <f t="shared" si="1"/>
        <v>8</v>
      </c>
      <c r="H7181" s="14">
        <f t="shared" si="2"/>
        <v>27</v>
      </c>
      <c r="I7181" s="15">
        <f t="shared" si="3"/>
        <v>5</v>
      </c>
    </row>
    <row r="7182">
      <c r="A7182" s="8" t="str">
        <f>IFERROR(__xludf.DUMMYFUNCTION("IF('(INGESTA)Datos_consumo_datadis'!A7182&lt;&gt;"""",SPLIT('(INGESTA)Datos_consumo_datadis'!A:A,"",""),"""")"),"ES0031408323131005HX0F")</f>
        <v>ES0031408323131005HX0F</v>
      </c>
      <c r="B7182" s="12">
        <f>IFERROR(__xludf.DUMMYFUNCTION("""COMPUTED_VALUE"""),45165.0)</f>
        <v>45165</v>
      </c>
      <c r="C7182" s="13">
        <f>IFERROR(__xludf.DUMMYFUNCTION("""COMPUTED_VALUE"""),0.25)</f>
        <v>0.25</v>
      </c>
      <c r="D7182" s="8">
        <f>IFERROR(__xludf.DUMMYFUNCTION("""COMPUTED_VALUE"""),0.098)</f>
        <v>0.098</v>
      </c>
      <c r="E7182" s="8" t="str">
        <f>IFERROR(__xludf.DUMMYFUNCTION("""COMPUTED_VALUE"""),"Real")</f>
        <v>Real</v>
      </c>
      <c r="G7182" s="8">
        <f t="shared" si="1"/>
        <v>8</v>
      </c>
      <c r="H7182" s="14">
        <f t="shared" si="2"/>
        <v>27</v>
      </c>
      <c r="I7182" s="15">
        <f t="shared" si="3"/>
        <v>6</v>
      </c>
    </row>
    <row r="7183">
      <c r="A7183" s="8" t="str">
        <f>IFERROR(__xludf.DUMMYFUNCTION("IF('(INGESTA)Datos_consumo_datadis'!A7183&lt;&gt;"""",SPLIT('(INGESTA)Datos_consumo_datadis'!A:A,"",""),"""")"),"ES0031408323131005HX0F")</f>
        <v>ES0031408323131005HX0F</v>
      </c>
      <c r="B7183" s="12">
        <f>IFERROR(__xludf.DUMMYFUNCTION("""COMPUTED_VALUE"""),45165.0)</f>
        <v>45165</v>
      </c>
      <c r="C7183" s="13">
        <f>IFERROR(__xludf.DUMMYFUNCTION("""COMPUTED_VALUE"""),0.2916666666666667)</f>
        <v>0.2916666667</v>
      </c>
      <c r="D7183" s="8">
        <f>IFERROR(__xludf.DUMMYFUNCTION("""COMPUTED_VALUE"""),0.123)</f>
        <v>0.123</v>
      </c>
      <c r="E7183" s="8" t="str">
        <f>IFERROR(__xludf.DUMMYFUNCTION("""COMPUTED_VALUE"""),"Real")</f>
        <v>Real</v>
      </c>
      <c r="G7183" s="8">
        <f t="shared" si="1"/>
        <v>8</v>
      </c>
      <c r="H7183" s="14">
        <f t="shared" si="2"/>
        <v>27</v>
      </c>
      <c r="I7183" s="15">
        <f t="shared" si="3"/>
        <v>7</v>
      </c>
    </row>
    <row r="7184">
      <c r="A7184" s="8" t="str">
        <f>IFERROR(__xludf.DUMMYFUNCTION("IF('(INGESTA)Datos_consumo_datadis'!A7184&lt;&gt;"""",SPLIT('(INGESTA)Datos_consumo_datadis'!A:A,"",""),"""")"),"ES0031408323131005HX0F")</f>
        <v>ES0031408323131005HX0F</v>
      </c>
      <c r="B7184" s="12">
        <f>IFERROR(__xludf.DUMMYFUNCTION("""COMPUTED_VALUE"""),45165.0)</f>
        <v>45165</v>
      </c>
      <c r="C7184" s="13">
        <f>IFERROR(__xludf.DUMMYFUNCTION("""COMPUTED_VALUE"""),0.3333333333333333)</f>
        <v>0.3333333333</v>
      </c>
      <c r="D7184" s="8">
        <f>IFERROR(__xludf.DUMMYFUNCTION("""COMPUTED_VALUE"""),0.273)</f>
        <v>0.273</v>
      </c>
      <c r="E7184" s="8" t="str">
        <f>IFERROR(__xludf.DUMMYFUNCTION("""COMPUTED_VALUE"""),"Real")</f>
        <v>Real</v>
      </c>
      <c r="G7184" s="8">
        <f t="shared" si="1"/>
        <v>8</v>
      </c>
      <c r="H7184" s="14">
        <f t="shared" si="2"/>
        <v>27</v>
      </c>
      <c r="I7184" s="15">
        <f t="shared" si="3"/>
        <v>8</v>
      </c>
    </row>
    <row r="7185">
      <c r="A7185" s="8" t="str">
        <f>IFERROR(__xludf.DUMMYFUNCTION("IF('(INGESTA)Datos_consumo_datadis'!A7185&lt;&gt;"""",SPLIT('(INGESTA)Datos_consumo_datadis'!A:A,"",""),"""")"),"ES0031408323131005HX0F")</f>
        <v>ES0031408323131005HX0F</v>
      </c>
      <c r="B7185" s="12">
        <f>IFERROR(__xludf.DUMMYFUNCTION("""COMPUTED_VALUE"""),45165.0)</f>
        <v>45165</v>
      </c>
      <c r="C7185" s="13">
        <f>IFERROR(__xludf.DUMMYFUNCTION("""COMPUTED_VALUE"""),0.375)</f>
        <v>0.375</v>
      </c>
      <c r="D7185" s="8">
        <f>IFERROR(__xludf.DUMMYFUNCTION("""COMPUTED_VALUE"""),0.293)</f>
        <v>0.293</v>
      </c>
      <c r="E7185" s="8" t="str">
        <f>IFERROR(__xludf.DUMMYFUNCTION("""COMPUTED_VALUE"""),"Real")</f>
        <v>Real</v>
      </c>
      <c r="G7185" s="8">
        <f t="shared" si="1"/>
        <v>8</v>
      </c>
      <c r="H7185" s="14">
        <f t="shared" si="2"/>
        <v>27</v>
      </c>
      <c r="I7185" s="15">
        <f t="shared" si="3"/>
        <v>9</v>
      </c>
    </row>
    <row r="7186">
      <c r="A7186" s="8" t="str">
        <f>IFERROR(__xludf.DUMMYFUNCTION("IF('(INGESTA)Datos_consumo_datadis'!A7186&lt;&gt;"""",SPLIT('(INGESTA)Datos_consumo_datadis'!A:A,"",""),"""")"),"ES0031408323131005HX0F")</f>
        <v>ES0031408323131005HX0F</v>
      </c>
      <c r="B7186" s="12">
        <f>IFERROR(__xludf.DUMMYFUNCTION("""COMPUTED_VALUE"""),45165.0)</f>
        <v>45165</v>
      </c>
      <c r="C7186" s="13">
        <f>IFERROR(__xludf.DUMMYFUNCTION("""COMPUTED_VALUE"""),0.4166666666666667)</f>
        <v>0.4166666667</v>
      </c>
      <c r="D7186" s="8">
        <f>IFERROR(__xludf.DUMMYFUNCTION("""COMPUTED_VALUE"""),0.302)</f>
        <v>0.302</v>
      </c>
      <c r="E7186" s="8" t="str">
        <f>IFERROR(__xludf.DUMMYFUNCTION("""COMPUTED_VALUE"""),"Real")</f>
        <v>Real</v>
      </c>
      <c r="G7186" s="8">
        <f t="shared" si="1"/>
        <v>8</v>
      </c>
      <c r="H7186" s="14">
        <f t="shared" si="2"/>
        <v>27</v>
      </c>
      <c r="I7186" s="15">
        <f t="shared" si="3"/>
        <v>10</v>
      </c>
    </row>
    <row r="7187">
      <c r="A7187" s="8" t="str">
        <f>IFERROR(__xludf.DUMMYFUNCTION("IF('(INGESTA)Datos_consumo_datadis'!A7187&lt;&gt;"""",SPLIT('(INGESTA)Datos_consumo_datadis'!A:A,"",""),"""")"),"ES0031408323131005HX0F")</f>
        <v>ES0031408323131005HX0F</v>
      </c>
      <c r="B7187" s="12">
        <f>IFERROR(__xludf.DUMMYFUNCTION("""COMPUTED_VALUE"""),45165.0)</f>
        <v>45165</v>
      </c>
      <c r="C7187" s="13">
        <f>IFERROR(__xludf.DUMMYFUNCTION("""COMPUTED_VALUE"""),0.4583333333333333)</f>
        <v>0.4583333333</v>
      </c>
      <c r="D7187" s="8">
        <f>IFERROR(__xludf.DUMMYFUNCTION("""COMPUTED_VALUE"""),0.276)</f>
        <v>0.276</v>
      </c>
      <c r="E7187" s="8" t="str">
        <f>IFERROR(__xludf.DUMMYFUNCTION("""COMPUTED_VALUE"""),"Real")</f>
        <v>Real</v>
      </c>
      <c r="G7187" s="8">
        <f t="shared" si="1"/>
        <v>8</v>
      </c>
      <c r="H7187" s="14">
        <f t="shared" si="2"/>
        <v>27</v>
      </c>
      <c r="I7187" s="15">
        <f t="shared" si="3"/>
        <v>11</v>
      </c>
    </row>
    <row r="7188">
      <c r="A7188" s="8" t="str">
        <f>IFERROR(__xludf.DUMMYFUNCTION("IF('(INGESTA)Datos_consumo_datadis'!A7188&lt;&gt;"""",SPLIT('(INGESTA)Datos_consumo_datadis'!A:A,"",""),"""")"),"ES0031408323131005HX0F")</f>
        <v>ES0031408323131005HX0F</v>
      </c>
      <c r="B7188" s="12">
        <f>IFERROR(__xludf.DUMMYFUNCTION("""COMPUTED_VALUE"""),45165.0)</f>
        <v>45165</v>
      </c>
      <c r="C7188" s="13">
        <f>IFERROR(__xludf.DUMMYFUNCTION("""COMPUTED_VALUE"""),0.5)</f>
        <v>0.5</v>
      </c>
      <c r="D7188" s="8">
        <f>IFERROR(__xludf.DUMMYFUNCTION("""COMPUTED_VALUE"""),0.296)</f>
        <v>0.296</v>
      </c>
      <c r="E7188" s="8" t="str">
        <f>IFERROR(__xludf.DUMMYFUNCTION("""COMPUTED_VALUE"""),"Real")</f>
        <v>Real</v>
      </c>
      <c r="G7188" s="8">
        <f t="shared" si="1"/>
        <v>8</v>
      </c>
      <c r="H7188" s="14">
        <f t="shared" si="2"/>
        <v>27</v>
      </c>
      <c r="I7188" s="15">
        <f t="shared" si="3"/>
        <v>12</v>
      </c>
    </row>
    <row r="7189">
      <c r="A7189" s="8" t="str">
        <f>IFERROR(__xludf.DUMMYFUNCTION("IF('(INGESTA)Datos_consumo_datadis'!A7189&lt;&gt;"""",SPLIT('(INGESTA)Datos_consumo_datadis'!A:A,"",""),"""")"),"ES0031408323131005HX0F")</f>
        <v>ES0031408323131005HX0F</v>
      </c>
      <c r="B7189" s="12">
        <f>IFERROR(__xludf.DUMMYFUNCTION("""COMPUTED_VALUE"""),45165.0)</f>
        <v>45165</v>
      </c>
      <c r="C7189" s="13">
        <f>IFERROR(__xludf.DUMMYFUNCTION("""COMPUTED_VALUE"""),0.5416666666666666)</f>
        <v>0.5416666667</v>
      </c>
      <c r="D7189" s="8">
        <f>IFERROR(__xludf.DUMMYFUNCTION("""COMPUTED_VALUE"""),0.113)</f>
        <v>0.113</v>
      </c>
      <c r="E7189" s="8" t="str">
        <f>IFERROR(__xludf.DUMMYFUNCTION("""COMPUTED_VALUE"""),"Real")</f>
        <v>Real</v>
      </c>
      <c r="G7189" s="8">
        <f t="shared" si="1"/>
        <v>8</v>
      </c>
      <c r="H7189" s="14">
        <f t="shared" si="2"/>
        <v>27</v>
      </c>
      <c r="I7189" s="15">
        <f t="shared" si="3"/>
        <v>13</v>
      </c>
    </row>
    <row r="7190">
      <c r="A7190" s="8" t="str">
        <f>IFERROR(__xludf.DUMMYFUNCTION("IF('(INGESTA)Datos_consumo_datadis'!A7190&lt;&gt;"""",SPLIT('(INGESTA)Datos_consumo_datadis'!A:A,"",""),"""")"),"ES0031408323131005HX0F")</f>
        <v>ES0031408323131005HX0F</v>
      </c>
      <c r="B7190" s="12">
        <f>IFERROR(__xludf.DUMMYFUNCTION("""COMPUTED_VALUE"""),45165.0)</f>
        <v>45165</v>
      </c>
      <c r="C7190" s="13">
        <f>IFERROR(__xludf.DUMMYFUNCTION("""COMPUTED_VALUE"""),0.5833333333333334)</f>
        <v>0.5833333333</v>
      </c>
      <c r="D7190" s="8">
        <f>IFERROR(__xludf.DUMMYFUNCTION("""COMPUTED_VALUE"""),0.114)</f>
        <v>0.114</v>
      </c>
      <c r="E7190" s="8" t="str">
        <f>IFERROR(__xludf.DUMMYFUNCTION("""COMPUTED_VALUE"""),"Real")</f>
        <v>Real</v>
      </c>
      <c r="G7190" s="8">
        <f t="shared" si="1"/>
        <v>8</v>
      </c>
      <c r="H7190" s="14">
        <f t="shared" si="2"/>
        <v>27</v>
      </c>
      <c r="I7190" s="15">
        <f t="shared" si="3"/>
        <v>14</v>
      </c>
    </row>
    <row r="7191">
      <c r="A7191" s="8" t="str">
        <f>IFERROR(__xludf.DUMMYFUNCTION("IF('(INGESTA)Datos_consumo_datadis'!A7191&lt;&gt;"""",SPLIT('(INGESTA)Datos_consumo_datadis'!A:A,"",""),"""")"),"ES0031408323131005HX0F")</f>
        <v>ES0031408323131005HX0F</v>
      </c>
      <c r="B7191" s="12">
        <f>IFERROR(__xludf.DUMMYFUNCTION("""COMPUTED_VALUE"""),45165.0)</f>
        <v>45165</v>
      </c>
      <c r="C7191" s="13">
        <f>IFERROR(__xludf.DUMMYFUNCTION("""COMPUTED_VALUE"""),0.625)</f>
        <v>0.625</v>
      </c>
      <c r="D7191" s="8">
        <f>IFERROR(__xludf.DUMMYFUNCTION("""COMPUTED_VALUE"""),0.021)</f>
        <v>0.021</v>
      </c>
      <c r="E7191" s="8" t="str">
        <f>IFERROR(__xludf.DUMMYFUNCTION("""COMPUTED_VALUE"""),"Real")</f>
        <v>Real</v>
      </c>
      <c r="G7191" s="8">
        <f t="shared" si="1"/>
        <v>8</v>
      </c>
      <c r="H7191" s="14">
        <f t="shared" si="2"/>
        <v>27</v>
      </c>
      <c r="I7191" s="15">
        <f t="shared" si="3"/>
        <v>15</v>
      </c>
    </row>
    <row r="7192">
      <c r="A7192" s="8" t="str">
        <f>IFERROR(__xludf.DUMMYFUNCTION("IF('(INGESTA)Datos_consumo_datadis'!A7192&lt;&gt;"""",SPLIT('(INGESTA)Datos_consumo_datadis'!A:A,"",""),"""")"),"ES0031408323131005HX0F")</f>
        <v>ES0031408323131005HX0F</v>
      </c>
      <c r="B7192" s="12">
        <f>IFERROR(__xludf.DUMMYFUNCTION("""COMPUTED_VALUE"""),45165.0)</f>
        <v>45165</v>
      </c>
      <c r="C7192" s="13">
        <f>IFERROR(__xludf.DUMMYFUNCTION("""COMPUTED_VALUE"""),0.6666666666666666)</f>
        <v>0.6666666667</v>
      </c>
      <c r="D7192" s="8">
        <f>IFERROR(__xludf.DUMMYFUNCTION("""COMPUTED_VALUE"""),0.062)</f>
        <v>0.062</v>
      </c>
      <c r="E7192" s="8" t="str">
        <f>IFERROR(__xludf.DUMMYFUNCTION("""COMPUTED_VALUE"""),"Real")</f>
        <v>Real</v>
      </c>
      <c r="G7192" s="8">
        <f t="shared" si="1"/>
        <v>8</v>
      </c>
      <c r="H7192" s="14">
        <f t="shared" si="2"/>
        <v>27</v>
      </c>
      <c r="I7192" s="15">
        <f t="shared" si="3"/>
        <v>16</v>
      </c>
    </row>
    <row r="7193">
      <c r="A7193" s="8" t="str">
        <f>IFERROR(__xludf.DUMMYFUNCTION("IF('(INGESTA)Datos_consumo_datadis'!A7193&lt;&gt;"""",SPLIT('(INGESTA)Datos_consumo_datadis'!A:A,"",""),"""")"),"ES0031408323131005HX0F")</f>
        <v>ES0031408323131005HX0F</v>
      </c>
      <c r="B7193" s="12">
        <f>IFERROR(__xludf.DUMMYFUNCTION("""COMPUTED_VALUE"""),45165.0)</f>
        <v>45165</v>
      </c>
      <c r="C7193" s="13">
        <f>IFERROR(__xludf.DUMMYFUNCTION("""COMPUTED_VALUE"""),0.7083333333333334)</f>
        <v>0.7083333333</v>
      </c>
      <c r="D7193" s="8">
        <f>IFERROR(__xludf.DUMMYFUNCTION("""COMPUTED_VALUE"""),0.106)</f>
        <v>0.106</v>
      </c>
      <c r="E7193" s="8" t="str">
        <f>IFERROR(__xludf.DUMMYFUNCTION("""COMPUTED_VALUE"""),"Real")</f>
        <v>Real</v>
      </c>
      <c r="G7193" s="8">
        <f t="shared" si="1"/>
        <v>8</v>
      </c>
      <c r="H7193" s="14">
        <f t="shared" si="2"/>
        <v>27</v>
      </c>
      <c r="I7193" s="15">
        <f t="shared" si="3"/>
        <v>17</v>
      </c>
    </row>
    <row r="7194">
      <c r="A7194" s="8" t="str">
        <f>IFERROR(__xludf.DUMMYFUNCTION("IF('(INGESTA)Datos_consumo_datadis'!A7194&lt;&gt;"""",SPLIT('(INGESTA)Datos_consumo_datadis'!A:A,"",""),"""")"),"ES0031408323131005HX0F")</f>
        <v>ES0031408323131005HX0F</v>
      </c>
      <c r="B7194" s="12">
        <f>IFERROR(__xludf.DUMMYFUNCTION("""COMPUTED_VALUE"""),45165.0)</f>
        <v>45165</v>
      </c>
      <c r="C7194" s="13">
        <f>IFERROR(__xludf.DUMMYFUNCTION("""COMPUTED_VALUE"""),0.75)</f>
        <v>0.75</v>
      </c>
      <c r="D7194" s="8">
        <f>IFERROR(__xludf.DUMMYFUNCTION("""COMPUTED_VALUE"""),0.113)</f>
        <v>0.113</v>
      </c>
      <c r="E7194" s="8" t="str">
        <f>IFERROR(__xludf.DUMMYFUNCTION("""COMPUTED_VALUE"""),"Real")</f>
        <v>Real</v>
      </c>
      <c r="G7194" s="8">
        <f t="shared" si="1"/>
        <v>8</v>
      </c>
      <c r="H7194" s="14">
        <f t="shared" si="2"/>
        <v>27</v>
      </c>
      <c r="I7194" s="15">
        <f t="shared" si="3"/>
        <v>18</v>
      </c>
    </row>
    <row r="7195">
      <c r="A7195" s="8" t="str">
        <f>IFERROR(__xludf.DUMMYFUNCTION("IF('(INGESTA)Datos_consumo_datadis'!A7195&lt;&gt;"""",SPLIT('(INGESTA)Datos_consumo_datadis'!A:A,"",""),"""")"),"ES0031408323131005HX0F")</f>
        <v>ES0031408323131005HX0F</v>
      </c>
      <c r="B7195" s="12">
        <f>IFERROR(__xludf.DUMMYFUNCTION("""COMPUTED_VALUE"""),45165.0)</f>
        <v>45165</v>
      </c>
      <c r="C7195" s="13">
        <f>IFERROR(__xludf.DUMMYFUNCTION("""COMPUTED_VALUE"""),0.7916666666666666)</f>
        <v>0.7916666667</v>
      </c>
      <c r="D7195" s="8">
        <f>IFERROR(__xludf.DUMMYFUNCTION("""COMPUTED_VALUE"""),0.115)</f>
        <v>0.115</v>
      </c>
      <c r="E7195" s="8" t="str">
        <f>IFERROR(__xludf.DUMMYFUNCTION("""COMPUTED_VALUE"""),"Real")</f>
        <v>Real</v>
      </c>
      <c r="G7195" s="8">
        <f t="shared" si="1"/>
        <v>8</v>
      </c>
      <c r="H7195" s="14">
        <f t="shared" si="2"/>
        <v>27</v>
      </c>
      <c r="I7195" s="15">
        <f t="shared" si="3"/>
        <v>19</v>
      </c>
    </row>
    <row r="7196">
      <c r="A7196" s="8" t="str">
        <f>IFERROR(__xludf.DUMMYFUNCTION("IF('(INGESTA)Datos_consumo_datadis'!A7196&lt;&gt;"""",SPLIT('(INGESTA)Datos_consumo_datadis'!A:A,"",""),"""")"),"ES0031408323131005HX0F")</f>
        <v>ES0031408323131005HX0F</v>
      </c>
      <c r="B7196" s="12">
        <f>IFERROR(__xludf.DUMMYFUNCTION("""COMPUTED_VALUE"""),45165.0)</f>
        <v>45165</v>
      </c>
      <c r="C7196" s="13">
        <f>IFERROR(__xludf.DUMMYFUNCTION("""COMPUTED_VALUE"""),0.8333333333333334)</f>
        <v>0.8333333333</v>
      </c>
      <c r="D7196" s="8">
        <f>IFERROR(__xludf.DUMMYFUNCTION("""COMPUTED_VALUE"""),0.386)</f>
        <v>0.386</v>
      </c>
      <c r="E7196" s="8" t="str">
        <f>IFERROR(__xludf.DUMMYFUNCTION("""COMPUTED_VALUE"""),"Real")</f>
        <v>Real</v>
      </c>
      <c r="G7196" s="8">
        <f t="shared" si="1"/>
        <v>8</v>
      </c>
      <c r="H7196" s="14">
        <f t="shared" si="2"/>
        <v>27</v>
      </c>
      <c r="I7196" s="15">
        <f t="shared" si="3"/>
        <v>20</v>
      </c>
    </row>
    <row r="7197">
      <c r="A7197" s="8" t="str">
        <f>IFERROR(__xludf.DUMMYFUNCTION("IF('(INGESTA)Datos_consumo_datadis'!A7197&lt;&gt;"""",SPLIT('(INGESTA)Datos_consumo_datadis'!A:A,"",""),"""")"),"ES0031408323131005HX0F")</f>
        <v>ES0031408323131005HX0F</v>
      </c>
      <c r="B7197" s="12">
        <f>IFERROR(__xludf.DUMMYFUNCTION("""COMPUTED_VALUE"""),45165.0)</f>
        <v>45165</v>
      </c>
      <c r="C7197" s="13">
        <f>IFERROR(__xludf.DUMMYFUNCTION("""COMPUTED_VALUE"""),0.875)</f>
        <v>0.875</v>
      </c>
      <c r="D7197" s="8">
        <f>IFERROR(__xludf.DUMMYFUNCTION("""COMPUTED_VALUE"""),0.1)</f>
        <v>0.1</v>
      </c>
      <c r="E7197" s="8" t="str">
        <f>IFERROR(__xludf.DUMMYFUNCTION("""COMPUTED_VALUE"""),"Real")</f>
        <v>Real</v>
      </c>
      <c r="G7197" s="8">
        <f t="shared" si="1"/>
        <v>8</v>
      </c>
      <c r="H7197" s="14">
        <f t="shared" si="2"/>
        <v>27</v>
      </c>
      <c r="I7197" s="15">
        <f t="shared" si="3"/>
        <v>21</v>
      </c>
    </row>
    <row r="7198">
      <c r="A7198" s="8" t="str">
        <f>IFERROR(__xludf.DUMMYFUNCTION("IF('(INGESTA)Datos_consumo_datadis'!A7198&lt;&gt;"""",SPLIT('(INGESTA)Datos_consumo_datadis'!A:A,"",""),"""")"),"ES0031408323131005HX0F")</f>
        <v>ES0031408323131005HX0F</v>
      </c>
      <c r="B7198" s="12">
        <f>IFERROR(__xludf.DUMMYFUNCTION("""COMPUTED_VALUE"""),45165.0)</f>
        <v>45165</v>
      </c>
      <c r="C7198" s="13">
        <f>IFERROR(__xludf.DUMMYFUNCTION("""COMPUTED_VALUE"""),0.9166666666666666)</f>
        <v>0.9166666667</v>
      </c>
      <c r="D7198" s="8">
        <f>IFERROR(__xludf.DUMMYFUNCTION("""COMPUTED_VALUE"""),0.016)</f>
        <v>0.016</v>
      </c>
      <c r="E7198" s="8" t="str">
        <f>IFERROR(__xludf.DUMMYFUNCTION("""COMPUTED_VALUE"""),"Real")</f>
        <v>Real</v>
      </c>
      <c r="G7198" s="8">
        <f t="shared" si="1"/>
        <v>8</v>
      </c>
      <c r="H7198" s="14">
        <f t="shared" si="2"/>
        <v>27</v>
      </c>
      <c r="I7198" s="15">
        <f t="shared" si="3"/>
        <v>22</v>
      </c>
    </row>
    <row r="7199">
      <c r="A7199" s="8" t="str">
        <f>IFERROR(__xludf.DUMMYFUNCTION("IF('(INGESTA)Datos_consumo_datadis'!A7199&lt;&gt;"""",SPLIT('(INGESTA)Datos_consumo_datadis'!A:A,"",""),"""")"),"ES0031408323131005HX0F")</f>
        <v>ES0031408323131005HX0F</v>
      </c>
      <c r="B7199" s="12">
        <f>IFERROR(__xludf.DUMMYFUNCTION("""COMPUTED_VALUE"""),45165.0)</f>
        <v>45165</v>
      </c>
      <c r="C7199" s="13">
        <f>IFERROR(__xludf.DUMMYFUNCTION("""COMPUTED_VALUE"""),0.9583333333333334)</f>
        <v>0.9583333333</v>
      </c>
      <c r="D7199" s="8">
        <f>IFERROR(__xludf.DUMMYFUNCTION("""COMPUTED_VALUE"""),0.079)</f>
        <v>0.079</v>
      </c>
      <c r="E7199" s="8" t="str">
        <f>IFERROR(__xludf.DUMMYFUNCTION("""COMPUTED_VALUE"""),"Real")</f>
        <v>Real</v>
      </c>
      <c r="G7199" s="8">
        <f t="shared" si="1"/>
        <v>8</v>
      </c>
      <c r="H7199" s="14">
        <f t="shared" si="2"/>
        <v>27</v>
      </c>
      <c r="I7199" s="15">
        <f t="shared" si="3"/>
        <v>23</v>
      </c>
    </row>
    <row r="7200">
      <c r="A7200" s="8" t="str">
        <f>IFERROR(__xludf.DUMMYFUNCTION("IF('(INGESTA)Datos_consumo_datadis'!A7200&lt;&gt;"""",SPLIT('(INGESTA)Datos_consumo_datadis'!A:A,"",""),"""")"),"ES0031408323131005HX0F")</f>
        <v>ES0031408323131005HX0F</v>
      </c>
      <c r="B7200" s="12">
        <f>IFERROR(__xludf.DUMMYFUNCTION("""COMPUTED_VALUE"""),45165.0)</f>
        <v>45165</v>
      </c>
      <c r="C7200" s="16">
        <f>IFERROR(__xludf.DUMMYFUNCTION("""COMPUTED_VALUE"""),1.0)</f>
        <v>1</v>
      </c>
      <c r="D7200" s="8">
        <f>IFERROR(__xludf.DUMMYFUNCTION("""COMPUTED_VALUE"""),0.106)</f>
        <v>0.106</v>
      </c>
      <c r="E7200" s="8" t="str">
        <f>IFERROR(__xludf.DUMMYFUNCTION("""COMPUTED_VALUE"""),"Real")</f>
        <v>Real</v>
      </c>
      <c r="G7200" s="8">
        <f t="shared" si="1"/>
        <v>8</v>
      </c>
      <c r="H7200" s="14">
        <f t="shared" si="2"/>
        <v>27</v>
      </c>
      <c r="I7200" s="15">
        <f t="shared" si="3"/>
        <v>0</v>
      </c>
    </row>
    <row r="7201">
      <c r="A7201" s="8" t="str">
        <f>IFERROR(__xludf.DUMMYFUNCTION("IF('(INGESTA)Datos_consumo_datadis'!A7201&lt;&gt;"""",SPLIT('(INGESTA)Datos_consumo_datadis'!A:A,"",""),"""")"),"ES0031408323131005HX0F")</f>
        <v>ES0031408323131005HX0F</v>
      </c>
      <c r="B7201" s="12">
        <f>IFERROR(__xludf.DUMMYFUNCTION("""COMPUTED_VALUE"""),45166.0)</f>
        <v>45166</v>
      </c>
      <c r="C7201" s="13">
        <f>IFERROR(__xludf.DUMMYFUNCTION("""COMPUTED_VALUE"""),0.041666666666666664)</f>
        <v>0.04166666667</v>
      </c>
      <c r="D7201" s="8">
        <f>IFERROR(__xludf.DUMMYFUNCTION("""COMPUTED_VALUE"""),0.125)</f>
        <v>0.125</v>
      </c>
      <c r="E7201" s="8" t="str">
        <f>IFERROR(__xludf.DUMMYFUNCTION("""COMPUTED_VALUE"""),"Real")</f>
        <v>Real</v>
      </c>
      <c r="G7201" s="8">
        <f t="shared" si="1"/>
        <v>8</v>
      </c>
      <c r="H7201" s="14">
        <f t="shared" si="2"/>
        <v>28</v>
      </c>
      <c r="I7201" s="15">
        <f t="shared" si="3"/>
        <v>1</v>
      </c>
    </row>
    <row r="7202">
      <c r="A7202" s="8" t="str">
        <f>IFERROR(__xludf.DUMMYFUNCTION("IF('(INGESTA)Datos_consumo_datadis'!A7202&lt;&gt;"""",SPLIT('(INGESTA)Datos_consumo_datadis'!A:A,"",""),"""")"),"ES0031408323131005HX0F")</f>
        <v>ES0031408323131005HX0F</v>
      </c>
      <c r="B7202" s="12">
        <f>IFERROR(__xludf.DUMMYFUNCTION("""COMPUTED_VALUE"""),45166.0)</f>
        <v>45166</v>
      </c>
      <c r="C7202" s="13">
        <f>IFERROR(__xludf.DUMMYFUNCTION("""COMPUTED_VALUE"""),0.08333333333333333)</f>
        <v>0.08333333333</v>
      </c>
      <c r="D7202" s="8">
        <f>IFERROR(__xludf.DUMMYFUNCTION("""COMPUTED_VALUE"""),0.109)</f>
        <v>0.109</v>
      </c>
      <c r="E7202" s="8" t="str">
        <f>IFERROR(__xludf.DUMMYFUNCTION("""COMPUTED_VALUE"""),"Real")</f>
        <v>Real</v>
      </c>
      <c r="G7202" s="8">
        <f t="shared" si="1"/>
        <v>8</v>
      </c>
      <c r="H7202" s="14">
        <f t="shared" si="2"/>
        <v>28</v>
      </c>
      <c r="I7202" s="15">
        <f t="shared" si="3"/>
        <v>2</v>
      </c>
    </row>
    <row r="7203">
      <c r="A7203" s="8" t="str">
        <f>IFERROR(__xludf.DUMMYFUNCTION("IF('(INGESTA)Datos_consumo_datadis'!A7203&lt;&gt;"""",SPLIT('(INGESTA)Datos_consumo_datadis'!A:A,"",""),"""")"),"ES0031408323131005HX0F")</f>
        <v>ES0031408323131005HX0F</v>
      </c>
      <c r="B7203" s="12">
        <f>IFERROR(__xludf.DUMMYFUNCTION("""COMPUTED_VALUE"""),45166.0)</f>
        <v>45166</v>
      </c>
      <c r="C7203" s="13">
        <f>IFERROR(__xludf.DUMMYFUNCTION("""COMPUTED_VALUE"""),0.125)</f>
        <v>0.125</v>
      </c>
      <c r="D7203" s="8">
        <f>IFERROR(__xludf.DUMMYFUNCTION("""COMPUTED_VALUE"""),0.11)</f>
        <v>0.11</v>
      </c>
      <c r="E7203" s="8" t="str">
        <f>IFERROR(__xludf.DUMMYFUNCTION("""COMPUTED_VALUE"""),"Real")</f>
        <v>Real</v>
      </c>
      <c r="G7203" s="8">
        <f t="shared" si="1"/>
        <v>8</v>
      </c>
      <c r="H7203" s="14">
        <f t="shared" si="2"/>
        <v>28</v>
      </c>
      <c r="I7203" s="15">
        <f t="shared" si="3"/>
        <v>3</v>
      </c>
    </row>
    <row r="7204">
      <c r="A7204" s="8" t="str">
        <f>IFERROR(__xludf.DUMMYFUNCTION("IF('(INGESTA)Datos_consumo_datadis'!A7204&lt;&gt;"""",SPLIT('(INGESTA)Datos_consumo_datadis'!A:A,"",""),"""")"),"ES0031408323131005HX0F")</f>
        <v>ES0031408323131005HX0F</v>
      </c>
      <c r="B7204" s="12">
        <f>IFERROR(__xludf.DUMMYFUNCTION("""COMPUTED_VALUE"""),45166.0)</f>
        <v>45166</v>
      </c>
      <c r="C7204" s="13">
        <f>IFERROR(__xludf.DUMMYFUNCTION("""COMPUTED_VALUE"""),0.16666666666666666)</f>
        <v>0.1666666667</v>
      </c>
      <c r="D7204" s="8">
        <f>IFERROR(__xludf.DUMMYFUNCTION("""COMPUTED_VALUE"""),0.115)</f>
        <v>0.115</v>
      </c>
      <c r="E7204" s="8" t="str">
        <f>IFERROR(__xludf.DUMMYFUNCTION("""COMPUTED_VALUE"""),"Real")</f>
        <v>Real</v>
      </c>
      <c r="G7204" s="8">
        <f t="shared" si="1"/>
        <v>8</v>
      </c>
      <c r="H7204" s="14">
        <f t="shared" si="2"/>
        <v>28</v>
      </c>
      <c r="I7204" s="15">
        <f t="shared" si="3"/>
        <v>4</v>
      </c>
    </row>
    <row r="7205">
      <c r="A7205" s="8" t="str">
        <f>IFERROR(__xludf.DUMMYFUNCTION("IF('(INGESTA)Datos_consumo_datadis'!A7205&lt;&gt;"""",SPLIT('(INGESTA)Datos_consumo_datadis'!A:A,"",""),"""")"),"ES0031408323131005HX0F")</f>
        <v>ES0031408323131005HX0F</v>
      </c>
      <c r="B7205" s="12">
        <f>IFERROR(__xludf.DUMMYFUNCTION("""COMPUTED_VALUE"""),45166.0)</f>
        <v>45166</v>
      </c>
      <c r="C7205" s="13">
        <f>IFERROR(__xludf.DUMMYFUNCTION("""COMPUTED_VALUE"""),0.20833333333333334)</f>
        <v>0.2083333333</v>
      </c>
      <c r="D7205" s="8">
        <f>IFERROR(__xludf.DUMMYFUNCTION("""COMPUTED_VALUE"""),0.413)</f>
        <v>0.413</v>
      </c>
      <c r="E7205" s="8" t="str">
        <f>IFERROR(__xludf.DUMMYFUNCTION("""COMPUTED_VALUE"""),"Real")</f>
        <v>Real</v>
      </c>
      <c r="G7205" s="8">
        <f t="shared" si="1"/>
        <v>8</v>
      </c>
      <c r="H7205" s="14">
        <f t="shared" si="2"/>
        <v>28</v>
      </c>
      <c r="I7205" s="15">
        <f t="shared" si="3"/>
        <v>5</v>
      </c>
    </row>
    <row r="7206">
      <c r="A7206" s="8" t="str">
        <f>IFERROR(__xludf.DUMMYFUNCTION("IF('(INGESTA)Datos_consumo_datadis'!A7206&lt;&gt;"""",SPLIT('(INGESTA)Datos_consumo_datadis'!A:A,"",""),"""")"),"ES0031408323131005HX0F")</f>
        <v>ES0031408323131005HX0F</v>
      </c>
      <c r="B7206" s="12">
        <f>IFERROR(__xludf.DUMMYFUNCTION("""COMPUTED_VALUE"""),45166.0)</f>
        <v>45166</v>
      </c>
      <c r="C7206" s="13">
        <f>IFERROR(__xludf.DUMMYFUNCTION("""COMPUTED_VALUE"""),0.25)</f>
        <v>0.25</v>
      </c>
      <c r="D7206" s="8">
        <f>IFERROR(__xludf.DUMMYFUNCTION("""COMPUTED_VALUE"""),0.085)</f>
        <v>0.085</v>
      </c>
      <c r="E7206" s="8" t="str">
        <f>IFERROR(__xludf.DUMMYFUNCTION("""COMPUTED_VALUE"""),"Real")</f>
        <v>Real</v>
      </c>
      <c r="G7206" s="8">
        <f t="shared" si="1"/>
        <v>8</v>
      </c>
      <c r="H7206" s="14">
        <f t="shared" si="2"/>
        <v>28</v>
      </c>
      <c r="I7206" s="15">
        <f t="shared" si="3"/>
        <v>6</v>
      </c>
    </row>
    <row r="7207">
      <c r="A7207" s="8" t="str">
        <f>IFERROR(__xludf.DUMMYFUNCTION("IF('(INGESTA)Datos_consumo_datadis'!A7207&lt;&gt;"""",SPLIT('(INGESTA)Datos_consumo_datadis'!A:A,"",""),"""")"),"ES0031408323131005HX0F")</f>
        <v>ES0031408323131005HX0F</v>
      </c>
      <c r="B7207" s="12">
        <f>IFERROR(__xludf.DUMMYFUNCTION("""COMPUTED_VALUE"""),45166.0)</f>
        <v>45166</v>
      </c>
      <c r="C7207" s="13">
        <f>IFERROR(__xludf.DUMMYFUNCTION("""COMPUTED_VALUE"""),0.2916666666666667)</f>
        <v>0.2916666667</v>
      </c>
      <c r="D7207" s="8">
        <f>IFERROR(__xludf.DUMMYFUNCTION("""COMPUTED_VALUE"""),0.114)</f>
        <v>0.114</v>
      </c>
      <c r="E7207" s="8" t="str">
        <f>IFERROR(__xludf.DUMMYFUNCTION("""COMPUTED_VALUE"""),"Real")</f>
        <v>Real</v>
      </c>
      <c r="G7207" s="8">
        <f t="shared" si="1"/>
        <v>8</v>
      </c>
      <c r="H7207" s="14">
        <f t="shared" si="2"/>
        <v>28</v>
      </c>
      <c r="I7207" s="15">
        <f t="shared" si="3"/>
        <v>7</v>
      </c>
    </row>
    <row r="7208">
      <c r="A7208" s="8" t="str">
        <f>IFERROR(__xludf.DUMMYFUNCTION("IF('(INGESTA)Datos_consumo_datadis'!A7208&lt;&gt;"""",SPLIT('(INGESTA)Datos_consumo_datadis'!A:A,"",""),"""")"),"ES0031408323131005HX0F")</f>
        <v>ES0031408323131005HX0F</v>
      </c>
      <c r="B7208" s="12">
        <f>IFERROR(__xludf.DUMMYFUNCTION("""COMPUTED_VALUE"""),45166.0)</f>
        <v>45166</v>
      </c>
      <c r="C7208" s="13">
        <f>IFERROR(__xludf.DUMMYFUNCTION("""COMPUTED_VALUE"""),0.3333333333333333)</f>
        <v>0.3333333333</v>
      </c>
      <c r="D7208" s="8">
        <f>IFERROR(__xludf.DUMMYFUNCTION("""COMPUTED_VALUE"""),0.029)</f>
        <v>0.029</v>
      </c>
      <c r="E7208" s="8" t="str">
        <f>IFERROR(__xludf.DUMMYFUNCTION("""COMPUTED_VALUE"""),"Real")</f>
        <v>Real</v>
      </c>
      <c r="G7208" s="8">
        <f t="shared" si="1"/>
        <v>8</v>
      </c>
      <c r="H7208" s="14">
        <f t="shared" si="2"/>
        <v>28</v>
      </c>
      <c r="I7208" s="15">
        <f t="shared" si="3"/>
        <v>8</v>
      </c>
    </row>
    <row r="7209">
      <c r="A7209" s="8" t="str">
        <f>IFERROR(__xludf.DUMMYFUNCTION("IF('(INGESTA)Datos_consumo_datadis'!A7209&lt;&gt;"""",SPLIT('(INGESTA)Datos_consumo_datadis'!A:A,"",""),"""")"),"ES0031408323131005HX0F")</f>
        <v>ES0031408323131005HX0F</v>
      </c>
      <c r="B7209" s="12">
        <f>IFERROR(__xludf.DUMMYFUNCTION("""COMPUTED_VALUE"""),45166.0)</f>
        <v>45166</v>
      </c>
      <c r="C7209" s="13">
        <f>IFERROR(__xludf.DUMMYFUNCTION("""COMPUTED_VALUE"""),0.375)</f>
        <v>0.375</v>
      </c>
      <c r="D7209" s="8">
        <f>IFERROR(__xludf.DUMMYFUNCTION("""COMPUTED_VALUE"""),0.051)</f>
        <v>0.051</v>
      </c>
      <c r="E7209" s="8" t="str">
        <f>IFERROR(__xludf.DUMMYFUNCTION("""COMPUTED_VALUE"""),"Real")</f>
        <v>Real</v>
      </c>
      <c r="G7209" s="8">
        <f t="shared" si="1"/>
        <v>8</v>
      </c>
      <c r="H7209" s="14">
        <f t="shared" si="2"/>
        <v>28</v>
      </c>
      <c r="I7209" s="15">
        <f t="shared" si="3"/>
        <v>9</v>
      </c>
    </row>
    <row r="7210">
      <c r="A7210" s="8" t="str">
        <f>IFERROR(__xludf.DUMMYFUNCTION("IF('(INGESTA)Datos_consumo_datadis'!A7210&lt;&gt;"""",SPLIT('(INGESTA)Datos_consumo_datadis'!A:A,"",""),"""")"),"ES0031408323131005HX0F")</f>
        <v>ES0031408323131005HX0F</v>
      </c>
      <c r="B7210" s="12">
        <f>IFERROR(__xludf.DUMMYFUNCTION("""COMPUTED_VALUE"""),45166.0)</f>
        <v>45166</v>
      </c>
      <c r="C7210" s="13">
        <f>IFERROR(__xludf.DUMMYFUNCTION("""COMPUTED_VALUE"""),0.4166666666666667)</f>
        <v>0.4166666667</v>
      </c>
      <c r="D7210" s="8">
        <f>IFERROR(__xludf.DUMMYFUNCTION("""COMPUTED_VALUE"""),0.107)</f>
        <v>0.107</v>
      </c>
      <c r="E7210" s="8" t="str">
        <f>IFERROR(__xludf.DUMMYFUNCTION("""COMPUTED_VALUE"""),"Real")</f>
        <v>Real</v>
      </c>
      <c r="G7210" s="8">
        <f t="shared" si="1"/>
        <v>8</v>
      </c>
      <c r="H7210" s="14">
        <f t="shared" si="2"/>
        <v>28</v>
      </c>
      <c r="I7210" s="15">
        <f t="shared" si="3"/>
        <v>10</v>
      </c>
    </row>
    <row r="7211">
      <c r="A7211" s="8" t="str">
        <f>IFERROR(__xludf.DUMMYFUNCTION("IF('(INGESTA)Datos_consumo_datadis'!A7211&lt;&gt;"""",SPLIT('(INGESTA)Datos_consumo_datadis'!A:A,"",""),"""")"),"ES0031408323131005HX0F")</f>
        <v>ES0031408323131005HX0F</v>
      </c>
      <c r="B7211" s="12">
        <f>IFERROR(__xludf.DUMMYFUNCTION("""COMPUTED_VALUE"""),45166.0)</f>
        <v>45166</v>
      </c>
      <c r="C7211" s="13">
        <f>IFERROR(__xludf.DUMMYFUNCTION("""COMPUTED_VALUE"""),0.4583333333333333)</f>
        <v>0.4583333333</v>
      </c>
      <c r="D7211" s="8">
        <f>IFERROR(__xludf.DUMMYFUNCTION("""COMPUTED_VALUE"""),0.108)</f>
        <v>0.108</v>
      </c>
      <c r="E7211" s="8" t="str">
        <f>IFERROR(__xludf.DUMMYFUNCTION("""COMPUTED_VALUE"""),"Real")</f>
        <v>Real</v>
      </c>
      <c r="G7211" s="8">
        <f t="shared" si="1"/>
        <v>8</v>
      </c>
      <c r="H7211" s="14">
        <f t="shared" si="2"/>
        <v>28</v>
      </c>
      <c r="I7211" s="15">
        <f t="shared" si="3"/>
        <v>11</v>
      </c>
    </row>
    <row r="7212">
      <c r="A7212" s="8" t="str">
        <f>IFERROR(__xludf.DUMMYFUNCTION("IF('(INGESTA)Datos_consumo_datadis'!A7212&lt;&gt;"""",SPLIT('(INGESTA)Datos_consumo_datadis'!A:A,"",""),"""")"),"ES0031408323131005HX0F")</f>
        <v>ES0031408323131005HX0F</v>
      </c>
      <c r="B7212" s="12">
        <f>IFERROR(__xludf.DUMMYFUNCTION("""COMPUTED_VALUE"""),45166.0)</f>
        <v>45166</v>
      </c>
      <c r="C7212" s="13">
        <f>IFERROR(__xludf.DUMMYFUNCTION("""COMPUTED_VALUE"""),0.5)</f>
        <v>0.5</v>
      </c>
      <c r="D7212" s="8">
        <f>IFERROR(__xludf.DUMMYFUNCTION("""COMPUTED_VALUE"""),0.079)</f>
        <v>0.079</v>
      </c>
      <c r="E7212" s="8" t="str">
        <f>IFERROR(__xludf.DUMMYFUNCTION("""COMPUTED_VALUE"""),"Real")</f>
        <v>Real</v>
      </c>
      <c r="G7212" s="8">
        <f t="shared" si="1"/>
        <v>8</v>
      </c>
      <c r="H7212" s="14">
        <f t="shared" si="2"/>
        <v>28</v>
      </c>
      <c r="I7212" s="15">
        <f t="shared" si="3"/>
        <v>12</v>
      </c>
    </row>
    <row r="7213">
      <c r="A7213" s="8" t="str">
        <f>IFERROR(__xludf.DUMMYFUNCTION("IF('(INGESTA)Datos_consumo_datadis'!A7213&lt;&gt;"""",SPLIT('(INGESTA)Datos_consumo_datadis'!A:A,"",""),"""")"),"ES0031408323131005HX0F")</f>
        <v>ES0031408323131005HX0F</v>
      </c>
      <c r="B7213" s="12">
        <f>IFERROR(__xludf.DUMMYFUNCTION("""COMPUTED_VALUE"""),45166.0)</f>
        <v>45166</v>
      </c>
      <c r="C7213" s="13">
        <f>IFERROR(__xludf.DUMMYFUNCTION("""COMPUTED_VALUE"""),0.5416666666666666)</f>
        <v>0.5416666667</v>
      </c>
      <c r="D7213" s="8">
        <f>IFERROR(__xludf.DUMMYFUNCTION("""COMPUTED_VALUE"""),0.08)</f>
        <v>0.08</v>
      </c>
      <c r="E7213" s="8" t="str">
        <f>IFERROR(__xludf.DUMMYFUNCTION("""COMPUTED_VALUE"""),"Real")</f>
        <v>Real</v>
      </c>
      <c r="G7213" s="8">
        <f t="shared" si="1"/>
        <v>8</v>
      </c>
      <c r="H7213" s="14">
        <f t="shared" si="2"/>
        <v>28</v>
      </c>
      <c r="I7213" s="15">
        <f t="shared" si="3"/>
        <v>13</v>
      </c>
    </row>
    <row r="7214">
      <c r="A7214" s="8" t="str">
        <f>IFERROR(__xludf.DUMMYFUNCTION("IF('(INGESTA)Datos_consumo_datadis'!A7214&lt;&gt;"""",SPLIT('(INGESTA)Datos_consumo_datadis'!A:A,"",""),"""")"),"ES0031408323131005HX0F")</f>
        <v>ES0031408323131005HX0F</v>
      </c>
      <c r="B7214" s="12">
        <f>IFERROR(__xludf.DUMMYFUNCTION("""COMPUTED_VALUE"""),45166.0)</f>
        <v>45166</v>
      </c>
      <c r="C7214" s="13">
        <f>IFERROR(__xludf.DUMMYFUNCTION("""COMPUTED_VALUE"""),0.5833333333333334)</f>
        <v>0.5833333333</v>
      </c>
      <c r="D7214" s="8">
        <f>IFERROR(__xludf.DUMMYFUNCTION("""COMPUTED_VALUE"""),0.304)</f>
        <v>0.304</v>
      </c>
      <c r="E7214" s="8" t="str">
        <f>IFERROR(__xludf.DUMMYFUNCTION("""COMPUTED_VALUE"""),"Real")</f>
        <v>Real</v>
      </c>
      <c r="G7214" s="8">
        <f t="shared" si="1"/>
        <v>8</v>
      </c>
      <c r="H7214" s="14">
        <f t="shared" si="2"/>
        <v>28</v>
      </c>
      <c r="I7214" s="15">
        <f t="shared" si="3"/>
        <v>14</v>
      </c>
    </row>
    <row r="7215">
      <c r="A7215" s="8" t="str">
        <f>IFERROR(__xludf.DUMMYFUNCTION("IF('(INGESTA)Datos_consumo_datadis'!A7215&lt;&gt;"""",SPLIT('(INGESTA)Datos_consumo_datadis'!A:A,"",""),"""")"),"ES0031408323131005HX0F")</f>
        <v>ES0031408323131005HX0F</v>
      </c>
      <c r="B7215" s="12">
        <f>IFERROR(__xludf.DUMMYFUNCTION("""COMPUTED_VALUE"""),45166.0)</f>
        <v>45166</v>
      </c>
      <c r="C7215" s="13">
        <f>IFERROR(__xludf.DUMMYFUNCTION("""COMPUTED_VALUE"""),0.625)</f>
        <v>0.625</v>
      </c>
      <c r="D7215" s="8">
        <f>IFERROR(__xludf.DUMMYFUNCTION("""COMPUTED_VALUE"""),0.083)</f>
        <v>0.083</v>
      </c>
      <c r="E7215" s="8" t="str">
        <f>IFERROR(__xludf.DUMMYFUNCTION("""COMPUTED_VALUE"""),"Real")</f>
        <v>Real</v>
      </c>
      <c r="G7215" s="8">
        <f t="shared" si="1"/>
        <v>8</v>
      </c>
      <c r="H7215" s="14">
        <f t="shared" si="2"/>
        <v>28</v>
      </c>
      <c r="I7215" s="15">
        <f t="shared" si="3"/>
        <v>15</v>
      </c>
    </row>
    <row r="7216">
      <c r="A7216" s="8" t="str">
        <f>IFERROR(__xludf.DUMMYFUNCTION("IF('(INGESTA)Datos_consumo_datadis'!A7216&lt;&gt;"""",SPLIT('(INGESTA)Datos_consumo_datadis'!A:A,"",""),"""")"),"ES0031408323131005HX0F")</f>
        <v>ES0031408323131005HX0F</v>
      </c>
      <c r="B7216" s="12">
        <f>IFERROR(__xludf.DUMMYFUNCTION("""COMPUTED_VALUE"""),45166.0)</f>
        <v>45166</v>
      </c>
      <c r="C7216" s="13">
        <f>IFERROR(__xludf.DUMMYFUNCTION("""COMPUTED_VALUE"""),0.6666666666666666)</f>
        <v>0.6666666667</v>
      </c>
      <c r="D7216" s="8">
        <f>IFERROR(__xludf.DUMMYFUNCTION("""COMPUTED_VALUE"""),0.105)</f>
        <v>0.105</v>
      </c>
      <c r="E7216" s="8" t="str">
        <f>IFERROR(__xludf.DUMMYFUNCTION("""COMPUTED_VALUE"""),"Real")</f>
        <v>Real</v>
      </c>
      <c r="G7216" s="8">
        <f t="shared" si="1"/>
        <v>8</v>
      </c>
      <c r="H7216" s="14">
        <f t="shared" si="2"/>
        <v>28</v>
      </c>
      <c r="I7216" s="15">
        <f t="shared" si="3"/>
        <v>16</v>
      </c>
    </row>
    <row r="7217">
      <c r="A7217" s="8" t="str">
        <f>IFERROR(__xludf.DUMMYFUNCTION("IF('(INGESTA)Datos_consumo_datadis'!A7217&lt;&gt;"""",SPLIT('(INGESTA)Datos_consumo_datadis'!A:A,"",""),"""")"),"ES0031408323131005HX0F")</f>
        <v>ES0031408323131005HX0F</v>
      </c>
      <c r="B7217" s="12">
        <f>IFERROR(__xludf.DUMMYFUNCTION("""COMPUTED_VALUE"""),45166.0)</f>
        <v>45166</v>
      </c>
      <c r="C7217" s="13">
        <f>IFERROR(__xludf.DUMMYFUNCTION("""COMPUTED_VALUE"""),0.7083333333333334)</f>
        <v>0.7083333333</v>
      </c>
      <c r="D7217" s="8">
        <f>IFERROR(__xludf.DUMMYFUNCTION("""COMPUTED_VALUE"""),0.07)</f>
        <v>0.07</v>
      </c>
      <c r="E7217" s="8" t="str">
        <f>IFERROR(__xludf.DUMMYFUNCTION("""COMPUTED_VALUE"""),"Real")</f>
        <v>Real</v>
      </c>
      <c r="G7217" s="8">
        <f t="shared" si="1"/>
        <v>8</v>
      </c>
      <c r="H7217" s="14">
        <f t="shared" si="2"/>
        <v>28</v>
      </c>
      <c r="I7217" s="15">
        <f t="shared" si="3"/>
        <v>17</v>
      </c>
    </row>
    <row r="7218">
      <c r="A7218" s="8" t="str">
        <f>IFERROR(__xludf.DUMMYFUNCTION("IF('(INGESTA)Datos_consumo_datadis'!A7218&lt;&gt;"""",SPLIT('(INGESTA)Datos_consumo_datadis'!A:A,"",""),"""")"),"ES0031408323131005HX0F")</f>
        <v>ES0031408323131005HX0F</v>
      </c>
      <c r="B7218" s="12">
        <f>IFERROR(__xludf.DUMMYFUNCTION("""COMPUTED_VALUE"""),45166.0)</f>
        <v>45166</v>
      </c>
      <c r="C7218" s="13">
        <f>IFERROR(__xludf.DUMMYFUNCTION("""COMPUTED_VALUE"""),0.75)</f>
        <v>0.75</v>
      </c>
      <c r="D7218" s="8">
        <f>IFERROR(__xludf.DUMMYFUNCTION("""COMPUTED_VALUE"""),0.099)</f>
        <v>0.099</v>
      </c>
      <c r="E7218" s="8" t="str">
        <f>IFERROR(__xludf.DUMMYFUNCTION("""COMPUTED_VALUE"""),"Real")</f>
        <v>Real</v>
      </c>
      <c r="G7218" s="8">
        <f t="shared" si="1"/>
        <v>8</v>
      </c>
      <c r="H7218" s="14">
        <f t="shared" si="2"/>
        <v>28</v>
      </c>
      <c r="I7218" s="15">
        <f t="shared" si="3"/>
        <v>18</v>
      </c>
    </row>
    <row r="7219">
      <c r="A7219" s="8" t="str">
        <f>IFERROR(__xludf.DUMMYFUNCTION("IF('(INGESTA)Datos_consumo_datadis'!A7219&lt;&gt;"""",SPLIT('(INGESTA)Datos_consumo_datadis'!A:A,"",""),"""")"),"ES0031408323131005HX0F")</f>
        <v>ES0031408323131005HX0F</v>
      </c>
      <c r="B7219" s="12">
        <f>IFERROR(__xludf.DUMMYFUNCTION("""COMPUTED_VALUE"""),45166.0)</f>
        <v>45166</v>
      </c>
      <c r="C7219" s="13">
        <f>IFERROR(__xludf.DUMMYFUNCTION("""COMPUTED_VALUE"""),0.7916666666666666)</f>
        <v>0.7916666667</v>
      </c>
      <c r="D7219" s="8">
        <f>IFERROR(__xludf.DUMMYFUNCTION("""COMPUTED_VALUE"""),0.07)</f>
        <v>0.07</v>
      </c>
      <c r="E7219" s="8" t="str">
        <f>IFERROR(__xludf.DUMMYFUNCTION("""COMPUTED_VALUE"""),"Real")</f>
        <v>Real</v>
      </c>
      <c r="G7219" s="8">
        <f t="shared" si="1"/>
        <v>8</v>
      </c>
      <c r="H7219" s="14">
        <f t="shared" si="2"/>
        <v>28</v>
      </c>
      <c r="I7219" s="15">
        <f t="shared" si="3"/>
        <v>19</v>
      </c>
    </row>
    <row r="7220">
      <c r="A7220" s="8" t="str">
        <f>IFERROR(__xludf.DUMMYFUNCTION("IF('(INGESTA)Datos_consumo_datadis'!A7220&lt;&gt;"""",SPLIT('(INGESTA)Datos_consumo_datadis'!A:A,"",""),"""")"),"ES0031408323131005HX0F")</f>
        <v>ES0031408323131005HX0F</v>
      </c>
      <c r="B7220" s="12">
        <f>IFERROR(__xludf.DUMMYFUNCTION("""COMPUTED_VALUE"""),45166.0)</f>
        <v>45166</v>
      </c>
      <c r="C7220" s="13">
        <f>IFERROR(__xludf.DUMMYFUNCTION("""COMPUTED_VALUE"""),0.8333333333333334)</f>
        <v>0.8333333333</v>
      </c>
      <c r="D7220" s="8">
        <f>IFERROR(__xludf.DUMMYFUNCTION("""COMPUTED_VALUE"""),0.028)</f>
        <v>0.028</v>
      </c>
      <c r="E7220" s="8" t="str">
        <f>IFERROR(__xludf.DUMMYFUNCTION("""COMPUTED_VALUE"""),"Real")</f>
        <v>Real</v>
      </c>
      <c r="G7220" s="8">
        <f t="shared" si="1"/>
        <v>8</v>
      </c>
      <c r="H7220" s="14">
        <f t="shared" si="2"/>
        <v>28</v>
      </c>
      <c r="I7220" s="15">
        <f t="shared" si="3"/>
        <v>20</v>
      </c>
    </row>
    <row r="7221">
      <c r="A7221" s="8" t="str">
        <f>IFERROR(__xludf.DUMMYFUNCTION("IF('(INGESTA)Datos_consumo_datadis'!A7221&lt;&gt;"""",SPLIT('(INGESTA)Datos_consumo_datadis'!A:A,"",""),"""")"),"ES0031408323131005HX0F")</f>
        <v>ES0031408323131005HX0F</v>
      </c>
      <c r="B7221" s="12">
        <f>IFERROR(__xludf.DUMMYFUNCTION("""COMPUTED_VALUE"""),45166.0)</f>
        <v>45166</v>
      </c>
      <c r="C7221" s="13">
        <f>IFERROR(__xludf.DUMMYFUNCTION("""COMPUTED_VALUE"""),0.875)</f>
        <v>0.875</v>
      </c>
      <c r="D7221" s="8">
        <f>IFERROR(__xludf.DUMMYFUNCTION("""COMPUTED_VALUE"""),0.007)</f>
        <v>0.007</v>
      </c>
      <c r="E7221" s="8" t="str">
        <f>IFERROR(__xludf.DUMMYFUNCTION("""COMPUTED_VALUE"""),"Real")</f>
        <v>Real</v>
      </c>
      <c r="G7221" s="8">
        <f t="shared" si="1"/>
        <v>8</v>
      </c>
      <c r="H7221" s="14">
        <f t="shared" si="2"/>
        <v>28</v>
      </c>
      <c r="I7221" s="15">
        <f t="shared" si="3"/>
        <v>21</v>
      </c>
    </row>
    <row r="7222">
      <c r="A7222" s="8" t="str">
        <f>IFERROR(__xludf.DUMMYFUNCTION("IF('(INGESTA)Datos_consumo_datadis'!A7222&lt;&gt;"""",SPLIT('(INGESTA)Datos_consumo_datadis'!A:A,"",""),"""")"),"ES0031408323131005HX0F")</f>
        <v>ES0031408323131005HX0F</v>
      </c>
      <c r="B7222" s="12">
        <f>IFERROR(__xludf.DUMMYFUNCTION("""COMPUTED_VALUE"""),45166.0)</f>
        <v>45166</v>
      </c>
      <c r="C7222" s="13">
        <f>IFERROR(__xludf.DUMMYFUNCTION("""COMPUTED_VALUE"""),0.9166666666666666)</f>
        <v>0.9166666667</v>
      </c>
      <c r="D7222" s="8">
        <f>IFERROR(__xludf.DUMMYFUNCTION("""COMPUTED_VALUE"""),0.346)</f>
        <v>0.346</v>
      </c>
      <c r="E7222" s="8" t="str">
        <f>IFERROR(__xludf.DUMMYFUNCTION("""COMPUTED_VALUE"""),"Real")</f>
        <v>Real</v>
      </c>
      <c r="G7222" s="8">
        <f t="shared" si="1"/>
        <v>8</v>
      </c>
      <c r="H7222" s="14">
        <f t="shared" si="2"/>
        <v>28</v>
      </c>
      <c r="I7222" s="15">
        <f t="shared" si="3"/>
        <v>22</v>
      </c>
    </row>
    <row r="7223">
      <c r="A7223" s="8" t="str">
        <f>IFERROR(__xludf.DUMMYFUNCTION("IF('(INGESTA)Datos_consumo_datadis'!A7223&lt;&gt;"""",SPLIT('(INGESTA)Datos_consumo_datadis'!A:A,"",""),"""")"),"ES0031408323131005HX0F")</f>
        <v>ES0031408323131005HX0F</v>
      </c>
      <c r="B7223" s="12">
        <f>IFERROR(__xludf.DUMMYFUNCTION("""COMPUTED_VALUE"""),45166.0)</f>
        <v>45166</v>
      </c>
      <c r="C7223" s="13">
        <f>IFERROR(__xludf.DUMMYFUNCTION("""COMPUTED_VALUE"""),0.9583333333333334)</f>
        <v>0.9583333333</v>
      </c>
      <c r="D7223" s="8">
        <f>IFERROR(__xludf.DUMMYFUNCTION("""COMPUTED_VALUE"""),0.107)</f>
        <v>0.107</v>
      </c>
      <c r="E7223" s="8" t="str">
        <f>IFERROR(__xludf.DUMMYFUNCTION("""COMPUTED_VALUE"""),"Real")</f>
        <v>Real</v>
      </c>
      <c r="G7223" s="8">
        <f t="shared" si="1"/>
        <v>8</v>
      </c>
      <c r="H7223" s="14">
        <f t="shared" si="2"/>
        <v>28</v>
      </c>
      <c r="I7223" s="15">
        <f t="shared" si="3"/>
        <v>23</v>
      </c>
    </row>
    <row r="7224">
      <c r="A7224" s="8" t="str">
        <f>IFERROR(__xludf.DUMMYFUNCTION("IF('(INGESTA)Datos_consumo_datadis'!A7224&lt;&gt;"""",SPLIT('(INGESTA)Datos_consumo_datadis'!A:A,"",""),"""")"),"ES0031408323131005HX0F")</f>
        <v>ES0031408323131005HX0F</v>
      </c>
      <c r="B7224" s="12">
        <f>IFERROR(__xludf.DUMMYFUNCTION("""COMPUTED_VALUE"""),45166.0)</f>
        <v>45166</v>
      </c>
      <c r="C7224" s="16">
        <f>IFERROR(__xludf.DUMMYFUNCTION("""COMPUTED_VALUE"""),1.0)</f>
        <v>1</v>
      </c>
      <c r="D7224" s="8">
        <f>IFERROR(__xludf.DUMMYFUNCTION("""COMPUTED_VALUE"""),0.104)</f>
        <v>0.104</v>
      </c>
      <c r="E7224" s="8" t="str">
        <f>IFERROR(__xludf.DUMMYFUNCTION("""COMPUTED_VALUE"""),"Real")</f>
        <v>Real</v>
      </c>
      <c r="G7224" s="8">
        <f t="shared" si="1"/>
        <v>8</v>
      </c>
      <c r="H7224" s="14">
        <f t="shared" si="2"/>
        <v>28</v>
      </c>
      <c r="I7224" s="15">
        <f t="shared" si="3"/>
        <v>0</v>
      </c>
    </row>
    <row r="7225">
      <c r="A7225" s="8" t="str">
        <f>IFERROR(__xludf.DUMMYFUNCTION("IF('(INGESTA)Datos_consumo_datadis'!A7225&lt;&gt;"""",SPLIT('(INGESTA)Datos_consumo_datadis'!A:A,"",""),"""")"),"ES0031408323131005HX0F")</f>
        <v>ES0031408323131005HX0F</v>
      </c>
      <c r="B7225" s="12">
        <f>IFERROR(__xludf.DUMMYFUNCTION("""COMPUTED_VALUE"""),45167.0)</f>
        <v>45167</v>
      </c>
      <c r="C7225" s="13">
        <f>IFERROR(__xludf.DUMMYFUNCTION("""COMPUTED_VALUE"""),0.041666666666666664)</f>
        <v>0.04166666667</v>
      </c>
      <c r="D7225" s="8">
        <f>IFERROR(__xludf.DUMMYFUNCTION("""COMPUTED_VALUE"""),0.071)</f>
        <v>0.071</v>
      </c>
      <c r="E7225" s="8" t="str">
        <f>IFERROR(__xludf.DUMMYFUNCTION("""COMPUTED_VALUE"""),"Real")</f>
        <v>Real</v>
      </c>
      <c r="G7225" s="8">
        <f t="shared" si="1"/>
        <v>8</v>
      </c>
      <c r="H7225" s="14">
        <f t="shared" si="2"/>
        <v>29</v>
      </c>
      <c r="I7225" s="15">
        <f t="shared" si="3"/>
        <v>1</v>
      </c>
    </row>
    <row r="7226">
      <c r="A7226" s="8" t="str">
        <f>IFERROR(__xludf.DUMMYFUNCTION("IF('(INGESTA)Datos_consumo_datadis'!A7226&lt;&gt;"""",SPLIT('(INGESTA)Datos_consumo_datadis'!A:A,"",""),"""")"),"ES0031408323131005HX0F")</f>
        <v>ES0031408323131005HX0F</v>
      </c>
      <c r="B7226" s="12">
        <f>IFERROR(__xludf.DUMMYFUNCTION("""COMPUTED_VALUE"""),45167.0)</f>
        <v>45167</v>
      </c>
      <c r="C7226" s="13">
        <f>IFERROR(__xludf.DUMMYFUNCTION("""COMPUTED_VALUE"""),0.08333333333333333)</f>
        <v>0.08333333333</v>
      </c>
      <c r="D7226" s="8">
        <f>IFERROR(__xludf.DUMMYFUNCTION("""COMPUTED_VALUE"""),0.07)</f>
        <v>0.07</v>
      </c>
      <c r="E7226" s="8" t="str">
        <f>IFERROR(__xludf.DUMMYFUNCTION("""COMPUTED_VALUE"""),"Real")</f>
        <v>Real</v>
      </c>
      <c r="G7226" s="8">
        <f t="shared" si="1"/>
        <v>8</v>
      </c>
      <c r="H7226" s="14">
        <f t="shared" si="2"/>
        <v>29</v>
      </c>
      <c r="I7226" s="15">
        <f t="shared" si="3"/>
        <v>2</v>
      </c>
    </row>
    <row r="7227">
      <c r="A7227" s="8" t="str">
        <f>IFERROR(__xludf.DUMMYFUNCTION("IF('(INGESTA)Datos_consumo_datadis'!A7227&lt;&gt;"""",SPLIT('(INGESTA)Datos_consumo_datadis'!A:A,"",""),"""")"),"ES0031408323131005HX0F")</f>
        <v>ES0031408323131005HX0F</v>
      </c>
      <c r="B7227" s="12">
        <f>IFERROR(__xludf.DUMMYFUNCTION("""COMPUTED_VALUE"""),45167.0)</f>
        <v>45167</v>
      </c>
      <c r="C7227" s="13">
        <f>IFERROR(__xludf.DUMMYFUNCTION("""COMPUTED_VALUE"""),0.125)</f>
        <v>0.125</v>
      </c>
      <c r="D7227" s="8">
        <f>IFERROR(__xludf.DUMMYFUNCTION("""COMPUTED_VALUE"""),0.057)</f>
        <v>0.057</v>
      </c>
      <c r="E7227" s="8" t="str">
        <f>IFERROR(__xludf.DUMMYFUNCTION("""COMPUTED_VALUE"""),"Real")</f>
        <v>Real</v>
      </c>
      <c r="G7227" s="8">
        <f t="shared" si="1"/>
        <v>8</v>
      </c>
      <c r="H7227" s="14">
        <f t="shared" si="2"/>
        <v>29</v>
      </c>
      <c r="I7227" s="15">
        <f t="shared" si="3"/>
        <v>3</v>
      </c>
    </row>
    <row r="7228">
      <c r="A7228" s="8" t="str">
        <f>IFERROR(__xludf.DUMMYFUNCTION("IF('(INGESTA)Datos_consumo_datadis'!A7228&lt;&gt;"""",SPLIT('(INGESTA)Datos_consumo_datadis'!A:A,"",""),"""")"),"ES0031408323131005HX0F")</f>
        <v>ES0031408323131005HX0F</v>
      </c>
      <c r="B7228" s="12">
        <f>IFERROR(__xludf.DUMMYFUNCTION("""COMPUTED_VALUE"""),45167.0)</f>
        <v>45167</v>
      </c>
      <c r="C7228" s="13">
        <f>IFERROR(__xludf.DUMMYFUNCTION("""COMPUTED_VALUE"""),0.16666666666666666)</f>
        <v>0.1666666667</v>
      </c>
      <c r="D7228" s="8">
        <f>IFERROR(__xludf.DUMMYFUNCTION("""COMPUTED_VALUE"""),0.007)</f>
        <v>0.007</v>
      </c>
      <c r="E7228" s="8" t="str">
        <f>IFERROR(__xludf.DUMMYFUNCTION("""COMPUTED_VALUE"""),"Real")</f>
        <v>Real</v>
      </c>
      <c r="G7228" s="8">
        <f t="shared" si="1"/>
        <v>8</v>
      </c>
      <c r="H7228" s="14">
        <f t="shared" si="2"/>
        <v>29</v>
      </c>
      <c r="I7228" s="15">
        <f t="shared" si="3"/>
        <v>4</v>
      </c>
    </row>
    <row r="7229">
      <c r="A7229" s="8" t="str">
        <f>IFERROR(__xludf.DUMMYFUNCTION("IF('(INGESTA)Datos_consumo_datadis'!A7229&lt;&gt;"""",SPLIT('(INGESTA)Datos_consumo_datadis'!A:A,"",""),"""")"),"ES0031408323131005HX0F")</f>
        <v>ES0031408323131005HX0F</v>
      </c>
      <c r="B7229" s="12">
        <f>IFERROR(__xludf.DUMMYFUNCTION("""COMPUTED_VALUE"""),45167.0)</f>
        <v>45167</v>
      </c>
      <c r="C7229" s="13">
        <f>IFERROR(__xludf.DUMMYFUNCTION("""COMPUTED_VALUE"""),0.20833333333333334)</f>
        <v>0.2083333333</v>
      </c>
      <c r="D7229" s="8">
        <f>IFERROR(__xludf.DUMMYFUNCTION("""COMPUTED_VALUE"""),0.025)</f>
        <v>0.025</v>
      </c>
      <c r="E7229" s="8" t="str">
        <f>IFERROR(__xludf.DUMMYFUNCTION("""COMPUTED_VALUE"""),"Real")</f>
        <v>Real</v>
      </c>
      <c r="G7229" s="8">
        <f t="shared" si="1"/>
        <v>8</v>
      </c>
      <c r="H7229" s="14">
        <f t="shared" si="2"/>
        <v>29</v>
      </c>
      <c r="I7229" s="15">
        <f t="shared" si="3"/>
        <v>5</v>
      </c>
    </row>
    <row r="7230">
      <c r="A7230" s="8" t="str">
        <f>IFERROR(__xludf.DUMMYFUNCTION("IF('(INGESTA)Datos_consumo_datadis'!A7230&lt;&gt;"""",SPLIT('(INGESTA)Datos_consumo_datadis'!A:A,"",""),"""")"),"ES0031408323131005HX0F")</f>
        <v>ES0031408323131005HX0F</v>
      </c>
      <c r="B7230" s="12">
        <f>IFERROR(__xludf.DUMMYFUNCTION("""COMPUTED_VALUE"""),45167.0)</f>
        <v>45167</v>
      </c>
      <c r="C7230" s="13">
        <f>IFERROR(__xludf.DUMMYFUNCTION("""COMPUTED_VALUE"""),0.25)</f>
        <v>0.25</v>
      </c>
      <c r="D7230" s="8">
        <f>IFERROR(__xludf.DUMMYFUNCTION("""COMPUTED_VALUE"""),0.312)</f>
        <v>0.312</v>
      </c>
      <c r="E7230" s="8" t="str">
        <f>IFERROR(__xludf.DUMMYFUNCTION("""COMPUTED_VALUE"""),"Real")</f>
        <v>Real</v>
      </c>
      <c r="G7230" s="8">
        <f t="shared" si="1"/>
        <v>8</v>
      </c>
      <c r="H7230" s="14">
        <f t="shared" si="2"/>
        <v>29</v>
      </c>
      <c r="I7230" s="15">
        <f t="shared" si="3"/>
        <v>6</v>
      </c>
    </row>
    <row r="7231">
      <c r="A7231" s="8" t="str">
        <f>IFERROR(__xludf.DUMMYFUNCTION("IF('(INGESTA)Datos_consumo_datadis'!A7231&lt;&gt;"""",SPLIT('(INGESTA)Datos_consumo_datadis'!A:A,"",""),"""")"),"ES0031408323131005HX0F")</f>
        <v>ES0031408323131005HX0F</v>
      </c>
      <c r="B7231" s="12">
        <f>IFERROR(__xludf.DUMMYFUNCTION("""COMPUTED_VALUE"""),45167.0)</f>
        <v>45167</v>
      </c>
      <c r="C7231" s="13">
        <f>IFERROR(__xludf.DUMMYFUNCTION("""COMPUTED_VALUE"""),0.2916666666666667)</f>
        <v>0.2916666667</v>
      </c>
      <c r="D7231" s="8">
        <f>IFERROR(__xludf.DUMMYFUNCTION("""COMPUTED_VALUE"""),0.196)</f>
        <v>0.196</v>
      </c>
      <c r="E7231" s="8" t="str">
        <f>IFERROR(__xludf.DUMMYFUNCTION("""COMPUTED_VALUE"""),"Real")</f>
        <v>Real</v>
      </c>
      <c r="G7231" s="8">
        <f t="shared" si="1"/>
        <v>8</v>
      </c>
      <c r="H7231" s="14">
        <f t="shared" si="2"/>
        <v>29</v>
      </c>
      <c r="I7231" s="15">
        <f t="shared" si="3"/>
        <v>7</v>
      </c>
    </row>
    <row r="7232">
      <c r="A7232" s="8" t="str">
        <f>IFERROR(__xludf.DUMMYFUNCTION("IF('(INGESTA)Datos_consumo_datadis'!A7232&lt;&gt;"""",SPLIT('(INGESTA)Datos_consumo_datadis'!A:A,"",""),"""")"),"ES0031408323131005HX0F")</f>
        <v>ES0031408323131005HX0F</v>
      </c>
      <c r="B7232" s="12">
        <f>IFERROR(__xludf.DUMMYFUNCTION("""COMPUTED_VALUE"""),45167.0)</f>
        <v>45167</v>
      </c>
      <c r="C7232" s="13">
        <f>IFERROR(__xludf.DUMMYFUNCTION("""COMPUTED_VALUE"""),0.3333333333333333)</f>
        <v>0.3333333333</v>
      </c>
      <c r="D7232" s="8">
        <f>IFERROR(__xludf.DUMMYFUNCTION("""COMPUTED_VALUE"""),0.078)</f>
        <v>0.078</v>
      </c>
      <c r="E7232" s="8" t="str">
        <f>IFERROR(__xludf.DUMMYFUNCTION("""COMPUTED_VALUE"""),"Real")</f>
        <v>Real</v>
      </c>
      <c r="G7232" s="8">
        <f t="shared" si="1"/>
        <v>8</v>
      </c>
      <c r="H7232" s="14">
        <f t="shared" si="2"/>
        <v>29</v>
      </c>
      <c r="I7232" s="15">
        <f t="shared" si="3"/>
        <v>8</v>
      </c>
    </row>
    <row r="7233">
      <c r="A7233" s="8" t="str">
        <f>IFERROR(__xludf.DUMMYFUNCTION("IF('(INGESTA)Datos_consumo_datadis'!A7233&lt;&gt;"""",SPLIT('(INGESTA)Datos_consumo_datadis'!A:A,"",""),"""")"),"ES0031408323131005HX0F")</f>
        <v>ES0031408323131005HX0F</v>
      </c>
      <c r="B7233" s="12">
        <f>IFERROR(__xludf.DUMMYFUNCTION("""COMPUTED_VALUE"""),45167.0)</f>
        <v>45167</v>
      </c>
      <c r="C7233" s="13">
        <f>IFERROR(__xludf.DUMMYFUNCTION("""COMPUTED_VALUE"""),0.375)</f>
        <v>0.375</v>
      </c>
      <c r="D7233" s="8">
        <f>IFERROR(__xludf.DUMMYFUNCTION("""COMPUTED_VALUE"""),0.095)</f>
        <v>0.095</v>
      </c>
      <c r="E7233" s="8" t="str">
        <f>IFERROR(__xludf.DUMMYFUNCTION("""COMPUTED_VALUE"""),"Real")</f>
        <v>Real</v>
      </c>
      <c r="G7233" s="8">
        <f t="shared" si="1"/>
        <v>8</v>
      </c>
      <c r="H7233" s="14">
        <f t="shared" si="2"/>
        <v>29</v>
      </c>
      <c r="I7233" s="15">
        <f t="shared" si="3"/>
        <v>9</v>
      </c>
    </row>
    <row r="7234">
      <c r="A7234" s="8" t="str">
        <f>IFERROR(__xludf.DUMMYFUNCTION("IF('(INGESTA)Datos_consumo_datadis'!A7234&lt;&gt;"""",SPLIT('(INGESTA)Datos_consumo_datadis'!A:A,"",""),"""")"),"ES0031408323131005HX0F")</f>
        <v>ES0031408323131005HX0F</v>
      </c>
      <c r="B7234" s="12">
        <f>IFERROR(__xludf.DUMMYFUNCTION("""COMPUTED_VALUE"""),45167.0)</f>
        <v>45167</v>
      </c>
      <c r="C7234" s="13">
        <f>IFERROR(__xludf.DUMMYFUNCTION("""COMPUTED_VALUE"""),0.4166666666666667)</f>
        <v>0.4166666667</v>
      </c>
      <c r="D7234" s="8">
        <f>IFERROR(__xludf.DUMMYFUNCTION("""COMPUTED_VALUE"""),0.059)</f>
        <v>0.059</v>
      </c>
      <c r="E7234" s="8" t="str">
        <f>IFERROR(__xludf.DUMMYFUNCTION("""COMPUTED_VALUE"""),"Real")</f>
        <v>Real</v>
      </c>
      <c r="G7234" s="8">
        <f t="shared" si="1"/>
        <v>8</v>
      </c>
      <c r="H7234" s="14">
        <f t="shared" si="2"/>
        <v>29</v>
      </c>
      <c r="I7234" s="15">
        <f t="shared" si="3"/>
        <v>10</v>
      </c>
    </row>
    <row r="7235">
      <c r="A7235" s="8" t="str">
        <f>IFERROR(__xludf.DUMMYFUNCTION("IF('(INGESTA)Datos_consumo_datadis'!A7235&lt;&gt;"""",SPLIT('(INGESTA)Datos_consumo_datadis'!A:A,"",""),"""")"),"ES0031408323131005HX0F")</f>
        <v>ES0031408323131005HX0F</v>
      </c>
      <c r="B7235" s="12">
        <f>IFERROR(__xludf.DUMMYFUNCTION("""COMPUTED_VALUE"""),45167.0)</f>
        <v>45167</v>
      </c>
      <c r="C7235" s="13">
        <f>IFERROR(__xludf.DUMMYFUNCTION("""COMPUTED_VALUE"""),0.4583333333333333)</f>
        <v>0.4583333333</v>
      </c>
      <c r="D7235" s="8">
        <f>IFERROR(__xludf.DUMMYFUNCTION("""COMPUTED_VALUE"""),0.006)</f>
        <v>0.006</v>
      </c>
      <c r="E7235" s="8" t="str">
        <f>IFERROR(__xludf.DUMMYFUNCTION("""COMPUTED_VALUE"""),"Real")</f>
        <v>Real</v>
      </c>
      <c r="G7235" s="8">
        <f t="shared" si="1"/>
        <v>8</v>
      </c>
      <c r="H7235" s="14">
        <f t="shared" si="2"/>
        <v>29</v>
      </c>
      <c r="I7235" s="15">
        <f t="shared" si="3"/>
        <v>11</v>
      </c>
    </row>
    <row r="7236">
      <c r="A7236" s="8" t="str">
        <f>IFERROR(__xludf.DUMMYFUNCTION("IF('(INGESTA)Datos_consumo_datadis'!A7236&lt;&gt;"""",SPLIT('(INGESTA)Datos_consumo_datadis'!A:A,"",""),"""")"),"ES0031408323131005HX0F")</f>
        <v>ES0031408323131005HX0F</v>
      </c>
      <c r="B7236" s="12">
        <f>IFERROR(__xludf.DUMMYFUNCTION("""COMPUTED_VALUE"""),45167.0)</f>
        <v>45167</v>
      </c>
      <c r="C7236" s="13">
        <f>IFERROR(__xludf.DUMMYFUNCTION("""COMPUTED_VALUE"""),0.5)</f>
        <v>0.5</v>
      </c>
      <c r="D7236" s="8">
        <f>IFERROR(__xludf.DUMMYFUNCTION("""COMPUTED_VALUE"""),0.007)</f>
        <v>0.007</v>
      </c>
      <c r="E7236" s="8" t="str">
        <f>IFERROR(__xludf.DUMMYFUNCTION("""COMPUTED_VALUE"""),"Real")</f>
        <v>Real</v>
      </c>
      <c r="G7236" s="8">
        <f t="shared" si="1"/>
        <v>8</v>
      </c>
      <c r="H7236" s="14">
        <f t="shared" si="2"/>
        <v>29</v>
      </c>
      <c r="I7236" s="15">
        <f t="shared" si="3"/>
        <v>12</v>
      </c>
    </row>
    <row r="7237">
      <c r="A7237" s="8" t="str">
        <f>IFERROR(__xludf.DUMMYFUNCTION("IF('(INGESTA)Datos_consumo_datadis'!A7237&lt;&gt;"""",SPLIT('(INGESTA)Datos_consumo_datadis'!A:A,"",""),"""")"),"ES0031408323131005HX0F")</f>
        <v>ES0031408323131005HX0F</v>
      </c>
      <c r="B7237" s="12">
        <f>IFERROR(__xludf.DUMMYFUNCTION("""COMPUTED_VALUE"""),45167.0)</f>
        <v>45167</v>
      </c>
      <c r="C7237" s="13">
        <f>IFERROR(__xludf.DUMMYFUNCTION("""COMPUTED_VALUE"""),0.5416666666666666)</f>
        <v>0.5416666667</v>
      </c>
      <c r="D7237" s="8">
        <f>IFERROR(__xludf.DUMMYFUNCTION("""COMPUTED_VALUE"""),0.088)</f>
        <v>0.088</v>
      </c>
      <c r="E7237" s="8" t="str">
        <f>IFERROR(__xludf.DUMMYFUNCTION("""COMPUTED_VALUE"""),"Real")</f>
        <v>Real</v>
      </c>
      <c r="G7237" s="8">
        <f t="shared" si="1"/>
        <v>8</v>
      </c>
      <c r="H7237" s="14">
        <f t="shared" si="2"/>
        <v>29</v>
      </c>
      <c r="I7237" s="15">
        <f t="shared" si="3"/>
        <v>13</v>
      </c>
    </row>
    <row r="7238">
      <c r="A7238" s="8" t="str">
        <f>IFERROR(__xludf.DUMMYFUNCTION("IF('(INGESTA)Datos_consumo_datadis'!A7238&lt;&gt;"""",SPLIT('(INGESTA)Datos_consumo_datadis'!A:A,"",""),"""")"),"ES0031408323131005HX0F")</f>
        <v>ES0031408323131005HX0F</v>
      </c>
      <c r="B7238" s="12">
        <f>IFERROR(__xludf.DUMMYFUNCTION("""COMPUTED_VALUE"""),45167.0)</f>
        <v>45167</v>
      </c>
      <c r="C7238" s="13">
        <f>IFERROR(__xludf.DUMMYFUNCTION("""COMPUTED_VALUE"""),0.5833333333333334)</f>
        <v>0.5833333333</v>
      </c>
      <c r="D7238" s="8">
        <f>IFERROR(__xludf.DUMMYFUNCTION("""COMPUTED_VALUE"""),0.105)</f>
        <v>0.105</v>
      </c>
      <c r="E7238" s="8" t="str">
        <f>IFERROR(__xludf.DUMMYFUNCTION("""COMPUTED_VALUE"""),"Real")</f>
        <v>Real</v>
      </c>
      <c r="G7238" s="8">
        <f t="shared" si="1"/>
        <v>8</v>
      </c>
      <c r="H7238" s="14">
        <f t="shared" si="2"/>
        <v>29</v>
      </c>
      <c r="I7238" s="15">
        <f t="shared" si="3"/>
        <v>14</v>
      </c>
    </row>
    <row r="7239">
      <c r="A7239" s="8" t="str">
        <f>IFERROR(__xludf.DUMMYFUNCTION("IF('(INGESTA)Datos_consumo_datadis'!A7239&lt;&gt;"""",SPLIT('(INGESTA)Datos_consumo_datadis'!A:A,"",""),"""")"),"ES0031408323131005HX0F")</f>
        <v>ES0031408323131005HX0F</v>
      </c>
      <c r="B7239" s="12">
        <f>IFERROR(__xludf.DUMMYFUNCTION("""COMPUTED_VALUE"""),45167.0)</f>
        <v>45167</v>
      </c>
      <c r="C7239" s="13">
        <f>IFERROR(__xludf.DUMMYFUNCTION("""COMPUTED_VALUE"""),0.625)</f>
        <v>0.625</v>
      </c>
      <c r="D7239" s="8">
        <f>IFERROR(__xludf.DUMMYFUNCTION("""COMPUTED_VALUE"""),0.389)</f>
        <v>0.389</v>
      </c>
      <c r="E7239" s="8" t="str">
        <f>IFERROR(__xludf.DUMMYFUNCTION("""COMPUTED_VALUE"""),"Real")</f>
        <v>Real</v>
      </c>
      <c r="G7239" s="8">
        <f t="shared" si="1"/>
        <v>8</v>
      </c>
      <c r="H7239" s="14">
        <f t="shared" si="2"/>
        <v>29</v>
      </c>
      <c r="I7239" s="15">
        <f t="shared" si="3"/>
        <v>15</v>
      </c>
    </row>
    <row r="7240">
      <c r="A7240" s="8" t="str">
        <f>IFERROR(__xludf.DUMMYFUNCTION("IF('(INGESTA)Datos_consumo_datadis'!A7240&lt;&gt;"""",SPLIT('(INGESTA)Datos_consumo_datadis'!A:A,"",""),"""")"),"ES0031408323131005HX0F")</f>
        <v>ES0031408323131005HX0F</v>
      </c>
      <c r="B7240" s="12">
        <f>IFERROR(__xludf.DUMMYFUNCTION("""COMPUTED_VALUE"""),45167.0)</f>
        <v>45167</v>
      </c>
      <c r="C7240" s="13">
        <f>IFERROR(__xludf.DUMMYFUNCTION("""COMPUTED_VALUE"""),0.6666666666666666)</f>
        <v>0.6666666667</v>
      </c>
      <c r="D7240" s="8">
        <f>IFERROR(__xludf.DUMMYFUNCTION("""COMPUTED_VALUE"""),0.074)</f>
        <v>0.074</v>
      </c>
      <c r="E7240" s="8" t="str">
        <f>IFERROR(__xludf.DUMMYFUNCTION("""COMPUTED_VALUE"""),"Real")</f>
        <v>Real</v>
      </c>
      <c r="G7240" s="8">
        <f t="shared" si="1"/>
        <v>8</v>
      </c>
      <c r="H7240" s="14">
        <f t="shared" si="2"/>
        <v>29</v>
      </c>
      <c r="I7240" s="15">
        <f t="shared" si="3"/>
        <v>16</v>
      </c>
    </row>
    <row r="7241">
      <c r="A7241" s="8" t="str">
        <f>IFERROR(__xludf.DUMMYFUNCTION("IF('(INGESTA)Datos_consumo_datadis'!A7241&lt;&gt;"""",SPLIT('(INGESTA)Datos_consumo_datadis'!A:A,"",""),"""")"),"ES0031408323131005HX0F")</f>
        <v>ES0031408323131005HX0F</v>
      </c>
      <c r="B7241" s="12">
        <f>IFERROR(__xludf.DUMMYFUNCTION("""COMPUTED_VALUE"""),45167.0)</f>
        <v>45167</v>
      </c>
      <c r="C7241" s="13">
        <f>IFERROR(__xludf.DUMMYFUNCTION("""COMPUTED_VALUE"""),0.7083333333333334)</f>
        <v>0.7083333333</v>
      </c>
      <c r="D7241" s="8">
        <f>IFERROR(__xludf.DUMMYFUNCTION("""COMPUTED_VALUE"""),0.066)</f>
        <v>0.066</v>
      </c>
      <c r="E7241" s="8" t="str">
        <f>IFERROR(__xludf.DUMMYFUNCTION("""COMPUTED_VALUE"""),"Real")</f>
        <v>Real</v>
      </c>
      <c r="G7241" s="8">
        <f t="shared" si="1"/>
        <v>8</v>
      </c>
      <c r="H7241" s="14">
        <f t="shared" si="2"/>
        <v>29</v>
      </c>
      <c r="I7241" s="15">
        <f t="shared" si="3"/>
        <v>17</v>
      </c>
    </row>
    <row r="7242">
      <c r="A7242" s="8" t="str">
        <f>IFERROR(__xludf.DUMMYFUNCTION("IF('(INGESTA)Datos_consumo_datadis'!A7242&lt;&gt;"""",SPLIT('(INGESTA)Datos_consumo_datadis'!A:A,"",""),"""")"),"ES0031408323131005HX0F")</f>
        <v>ES0031408323131005HX0F</v>
      </c>
      <c r="B7242" s="12">
        <f>IFERROR(__xludf.DUMMYFUNCTION("""COMPUTED_VALUE"""),45167.0)</f>
        <v>45167</v>
      </c>
      <c r="C7242" s="13">
        <f>IFERROR(__xludf.DUMMYFUNCTION("""COMPUTED_VALUE"""),0.75)</f>
        <v>0.75</v>
      </c>
      <c r="D7242" s="8">
        <f>IFERROR(__xludf.DUMMYFUNCTION("""COMPUTED_VALUE"""),0.017)</f>
        <v>0.017</v>
      </c>
      <c r="E7242" s="8" t="str">
        <f>IFERROR(__xludf.DUMMYFUNCTION("""COMPUTED_VALUE"""),"Real")</f>
        <v>Real</v>
      </c>
      <c r="G7242" s="8">
        <f t="shared" si="1"/>
        <v>8</v>
      </c>
      <c r="H7242" s="14">
        <f t="shared" si="2"/>
        <v>29</v>
      </c>
      <c r="I7242" s="15">
        <f t="shared" si="3"/>
        <v>18</v>
      </c>
    </row>
    <row r="7243">
      <c r="A7243" s="8" t="str">
        <f>IFERROR(__xludf.DUMMYFUNCTION("IF('(INGESTA)Datos_consumo_datadis'!A7243&lt;&gt;"""",SPLIT('(INGESTA)Datos_consumo_datadis'!A:A,"",""),"""")"),"ES0031408323131005HX0F")</f>
        <v>ES0031408323131005HX0F</v>
      </c>
      <c r="B7243" s="12">
        <f>IFERROR(__xludf.DUMMYFUNCTION("""COMPUTED_VALUE"""),45167.0)</f>
        <v>45167</v>
      </c>
      <c r="C7243" s="13">
        <f>IFERROR(__xludf.DUMMYFUNCTION("""COMPUTED_VALUE"""),0.7916666666666666)</f>
        <v>0.7916666667</v>
      </c>
      <c r="D7243" s="8">
        <f>IFERROR(__xludf.DUMMYFUNCTION("""COMPUTED_VALUE"""),0.007)</f>
        <v>0.007</v>
      </c>
      <c r="E7243" s="8" t="str">
        <f>IFERROR(__xludf.DUMMYFUNCTION("""COMPUTED_VALUE"""),"Real")</f>
        <v>Real</v>
      </c>
      <c r="G7243" s="8">
        <f t="shared" si="1"/>
        <v>8</v>
      </c>
      <c r="H7243" s="14">
        <f t="shared" si="2"/>
        <v>29</v>
      </c>
      <c r="I7243" s="15">
        <f t="shared" si="3"/>
        <v>19</v>
      </c>
    </row>
    <row r="7244">
      <c r="A7244" s="8" t="str">
        <f>IFERROR(__xludf.DUMMYFUNCTION("IF('(INGESTA)Datos_consumo_datadis'!A7244&lt;&gt;"""",SPLIT('(INGESTA)Datos_consumo_datadis'!A:A,"",""),"""")"),"ES0031408323131005HX0F")</f>
        <v>ES0031408323131005HX0F</v>
      </c>
      <c r="B7244" s="12">
        <f>IFERROR(__xludf.DUMMYFUNCTION("""COMPUTED_VALUE"""),45167.0)</f>
        <v>45167</v>
      </c>
      <c r="C7244" s="13">
        <f>IFERROR(__xludf.DUMMYFUNCTION("""COMPUTED_VALUE"""),0.8333333333333334)</f>
        <v>0.8333333333</v>
      </c>
      <c r="D7244" s="8">
        <f>IFERROR(__xludf.DUMMYFUNCTION("""COMPUTED_VALUE"""),0.069)</f>
        <v>0.069</v>
      </c>
      <c r="E7244" s="8" t="str">
        <f>IFERROR(__xludf.DUMMYFUNCTION("""COMPUTED_VALUE"""),"Real")</f>
        <v>Real</v>
      </c>
      <c r="G7244" s="8">
        <f t="shared" si="1"/>
        <v>8</v>
      </c>
      <c r="H7244" s="14">
        <f t="shared" si="2"/>
        <v>29</v>
      </c>
      <c r="I7244" s="15">
        <f t="shared" si="3"/>
        <v>20</v>
      </c>
    </row>
    <row r="7245">
      <c r="A7245" s="8" t="str">
        <f>IFERROR(__xludf.DUMMYFUNCTION("IF('(INGESTA)Datos_consumo_datadis'!A7245&lt;&gt;"""",SPLIT('(INGESTA)Datos_consumo_datadis'!A:A,"",""),"""")"),"ES0031408323131005HX0F")</f>
        <v>ES0031408323131005HX0F</v>
      </c>
      <c r="B7245" s="12">
        <f>IFERROR(__xludf.DUMMYFUNCTION("""COMPUTED_VALUE"""),45167.0)</f>
        <v>45167</v>
      </c>
      <c r="C7245" s="13">
        <f>IFERROR(__xludf.DUMMYFUNCTION("""COMPUTED_VALUE"""),0.875)</f>
        <v>0.875</v>
      </c>
      <c r="D7245" s="8">
        <f>IFERROR(__xludf.DUMMYFUNCTION("""COMPUTED_VALUE"""),0.107)</f>
        <v>0.107</v>
      </c>
      <c r="E7245" s="8" t="str">
        <f>IFERROR(__xludf.DUMMYFUNCTION("""COMPUTED_VALUE"""),"Real")</f>
        <v>Real</v>
      </c>
      <c r="G7245" s="8">
        <f t="shared" si="1"/>
        <v>8</v>
      </c>
      <c r="H7245" s="14">
        <f t="shared" si="2"/>
        <v>29</v>
      </c>
      <c r="I7245" s="15">
        <f t="shared" si="3"/>
        <v>21</v>
      </c>
    </row>
    <row r="7246">
      <c r="A7246" s="8" t="str">
        <f>IFERROR(__xludf.DUMMYFUNCTION("IF('(INGESTA)Datos_consumo_datadis'!A7246&lt;&gt;"""",SPLIT('(INGESTA)Datos_consumo_datadis'!A:A,"",""),"""")"),"ES0031408323131005HX0F")</f>
        <v>ES0031408323131005HX0F</v>
      </c>
      <c r="B7246" s="12">
        <f>IFERROR(__xludf.DUMMYFUNCTION("""COMPUTED_VALUE"""),45167.0)</f>
        <v>45167</v>
      </c>
      <c r="C7246" s="13">
        <f>IFERROR(__xludf.DUMMYFUNCTION("""COMPUTED_VALUE"""),0.9166666666666666)</f>
        <v>0.9166666667</v>
      </c>
      <c r="D7246" s="8">
        <f>IFERROR(__xludf.DUMMYFUNCTION("""COMPUTED_VALUE"""),0.104)</f>
        <v>0.104</v>
      </c>
      <c r="E7246" s="8" t="str">
        <f>IFERROR(__xludf.DUMMYFUNCTION("""COMPUTED_VALUE"""),"Real")</f>
        <v>Real</v>
      </c>
      <c r="G7246" s="8">
        <f t="shared" si="1"/>
        <v>8</v>
      </c>
      <c r="H7246" s="14">
        <f t="shared" si="2"/>
        <v>29</v>
      </c>
      <c r="I7246" s="15">
        <f t="shared" si="3"/>
        <v>22</v>
      </c>
    </row>
    <row r="7247">
      <c r="A7247" s="8" t="str">
        <f>IFERROR(__xludf.DUMMYFUNCTION("IF('(INGESTA)Datos_consumo_datadis'!A7247&lt;&gt;"""",SPLIT('(INGESTA)Datos_consumo_datadis'!A:A,"",""),"""")"),"ES0031408323131005HX0F")</f>
        <v>ES0031408323131005HX0F</v>
      </c>
      <c r="B7247" s="12">
        <f>IFERROR(__xludf.DUMMYFUNCTION("""COMPUTED_VALUE"""),45167.0)</f>
        <v>45167</v>
      </c>
      <c r="C7247" s="13">
        <f>IFERROR(__xludf.DUMMYFUNCTION("""COMPUTED_VALUE"""),0.9583333333333334)</f>
        <v>0.9583333333</v>
      </c>
      <c r="D7247" s="8">
        <f>IFERROR(__xludf.DUMMYFUNCTION("""COMPUTED_VALUE"""),0.373)</f>
        <v>0.373</v>
      </c>
      <c r="E7247" s="8" t="str">
        <f>IFERROR(__xludf.DUMMYFUNCTION("""COMPUTED_VALUE"""),"Real")</f>
        <v>Real</v>
      </c>
      <c r="G7247" s="8">
        <f t="shared" si="1"/>
        <v>8</v>
      </c>
      <c r="H7247" s="14">
        <f t="shared" si="2"/>
        <v>29</v>
      </c>
      <c r="I7247" s="15">
        <f t="shared" si="3"/>
        <v>23</v>
      </c>
    </row>
    <row r="7248">
      <c r="A7248" s="8" t="str">
        <f>IFERROR(__xludf.DUMMYFUNCTION("IF('(INGESTA)Datos_consumo_datadis'!A7248&lt;&gt;"""",SPLIT('(INGESTA)Datos_consumo_datadis'!A:A,"",""),"""")"),"ES0031408323131005HX0F")</f>
        <v>ES0031408323131005HX0F</v>
      </c>
      <c r="B7248" s="12">
        <f>IFERROR(__xludf.DUMMYFUNCTION("""COMPUTED_VALUE"""),45167.0)</f>
        <v>45167</v>
      </c>
      <c r="C7248" s="16">
        <f>IFERROR(__xludf.DUMMYFUNCTION("""COMPUTED_VALUE"""),1.0)</f>
        <v>1</v>
      </c>
      <c r="D7248" s="8">
        <f>IFERROR(__xludf.DUMMYFUNCTION("""COMPUTED_VALUE"""),0.067)</f>
        <v>0.067</v>
      </c>
      <c r="E7248" s="8" t="str">
        <f>IFERROR(__xludf.DUMMYFUNCTION("""COMPUTED_VALUE"""),"Real")</f>
        <v>Real</v>
      </c>
      <c r="G7248" s="8">
        <f t="shared" si="1"/>
        <v>8</v>
      </c>
      <c r="H7248" s="14">
        <f t="shared" si="2"/>
        <v>29</v>
      </c>
      <c r="I7248" s="15">
        <f t="shared" si="3"/>
        <v>0</v>
      </c>
    </row>
    <row r="7249">
      <c r="A7249" s="8" t="str">
        <f>IFERROR(__xludf.DUMMYFUNCTION("IF('(INGESTA)Datos_consumo_datadis'!A7249&lt;&gt;"""",SPLIT('(INGESTA)Datos_consumo_datadis'!A:A,"",""),"""")"),"ES0031408323131005HX0F")</f>
        <v>ES0031408323131005HX0F</v>
      </c>
      <c r="B7249" s="12">
        <f>IFERROR(__xludf.DUMMYFUNCTION("""COMPUTED_VALUE"""),45168.0)</f>
        <v>45168</v>
      </c>
      <c r="C7249" s="13">
        <f>IFERROR(__xludf.DUMMYFUNCTION("""COMPUTED_VALUE"""),0.041666666666666664)</f>
        <v>0.04166666667</v>
      </c>
      <c r="D7249" s="8">
        <f>IFERROR(__xludf.DUMMYFUNCTION("""COMPUTED_VALUE"""),0.042)</f>
        <v>0.042</v>
      </c>
      <c r="E7249" s="8" t="str">
        <f>IFERROR(__xludf.DUMMYFUNCTION("""COMPUTED_VALUE"""),"Real")</f>
        <v>Real</v>
      </c>
      <c r="G7249" s="8">
        <f t="shared" si="1"/>
        <v>8</v>
      </c>
      <c r="H7249" s="14">
        <f t="shared" si="2"/>
        <v>30</v>
      </c>
      <c r="I7249" s="15">
        <f t="shared" si="3"/>
        <v>1</v>
      </c>
    </row>
    <row r="7250">
      <c r="A7250" s="8" t="str">
        <f>IFERROR(__xludf.DUMMYFUNCTION("IF('(INGESTA)Datos_consumo_datadis'!A7250&lt;&gt;"""",SPLIT('(INGESTA)Datos_consumo_datadis'!A:A,"",""),"""")"),"ES0031408323131005HX0F")</f>
        <v>ES0031408323131005HX0F</v>
      </c>
      <c r="B7250" s="12">
        <f>IFERROR(__xludf.DUMMYFUNCTION("""COMPUTED_VALUE"""),45168.0)</f>
        <v>45168</v>
      </c>
      <c r="C7250" s="13">
        <f>IFERROR(__xludf.DUMMYFUNCTION("""COMPUTED_VALUE"""),0.08333333333333333)</f>
        <v>0.08333333333</v>
      </c>
      <c r="D7250" s="8">
        <f>IFERROR(__xludf.DUMMYFUNCTION("""COMPUTED_VALUE"""),0.007)</f>
        <v>0.007</v>
      </c>
      <c r="E7250" s="8" t="str">
        <f>IFERROR(__xludf.DUMMYFUNCTION("""COMPUTED_VALUE"""),"Real")</f>
        <v>Real</v>
      </c>
      <c r="G7250" s="8">
        <f t="shared" si="1"/>
        <v>8</v>
      </c>
      <c r="H7250" s="14">
        <f t="shared" si="2"/>
        <v>30</v>
      </c>
      <c r="I7250" s="15">
        <f t="shared" si="3"/>
        <v>2</v>
      </c>
    </row>
    <row r="7251">
      <c r="A7251" s="8" t="str">
        <f>IFERROR(__xludf.DUMMYFUNCTION("IF('(INGESTA)Datos_consumo_datadis'!A7251&lt;&gt;"""",SPLIT('(INGESTA)Datos_consumo_datadis'!A:A,"",""),"""")"),"ES0031408323131005HX0F")</f>
        <v>ES0031408323131005HX0F</v>
      </c>
      <c r="B7251" s="12">
        <f>IFERROR(__xludf.DUMMYFUNCTION("""COMPUTED_VALUE"""),45168.0)</f>
        <v>45168</v>
      </c>
      <c r="C7251" s="13">
        <f>IFERROR(__xludf.DUMMYFUNCTION("""COMPUTED_VALUE"""),0.125)</f>
        <v>0.125</v>
      </c>
      <c r="D7251" s="8">
        <f>IFERROR(__xludf.DUMMYFUNCTION("""COMPUTED_VALUE"""),0.04)</f>
        <v>0.04</v>
      </c>
      <c r="E7251" s="8" t="str">
        <f>IFERROR(__xludf.DUMMYFUNCTION("""COMPUTED_VALUE"""),"Real")</f>
        <v>Real</v>
      </c>
      <c r="G7251" s="8">
        <f t="shared" si="1"/>
        <v>8</v>
      </c>
      <c r="H7251" s="14">
        <f t="shared" si="2"/>
        <v>30</v>
      </c>
      <c r="I7251" s="15">
        <f t="shared" si="3"/>
        <v>3</v>
      </c>
    </row>
    <row r="7252">
      <c r="A7252" s="8" t="str">
        <f>IFERROR(__xludf.DUMMYFUNCTION("IF('(INGESTA)Datos_consumo_datadis'!A7252&lt;&gt;"""",SPLIT('(INGESTA)Datos_consumo_datadis'!A:A,"",""),"""")"),"ES0031408323131005HX0F")</f>
        <v>ES0031408323131005HX0F</v>
      </c>
      <c r="B7252" s="12">
        <f>IFERROR(__xludf.DUMMYFUNCTION("""COMPUTED_VALUE"""),45168.0)</f>
        <v>45168</v>
      </c>
      <c r="C7252" s="13">
        <f>IFERROR(__xludf.DUMMYFUNCTION("""COMPUTED_VALUE"""),0.16666666666666666)</f>
        <v>0.1666666667</v>
      </c>
      <c r="D7252" s="8">
        <f>IFERROR(__xludf.DUMMYFUNCTION("""COMPUTED_VALUE"""),0.107)</f>
        <v>0.107</v>
      </c>
      <c r="E7252" s="8" t="str">
        <f>IFERROR(__xludf.DUMMYFUNCTION("""COMPUTED_VALUE"""),"Real")</f>
        <v>Real</v>
      </c>
      <c r="G7252" s="8">
        <f t="shared" si="1"/>
        <v>8</v>
      </c>
      <c r="H7252" s="14">
        <f t="shared" si="2"/>
        <v>30</v>
      </c>
      <c r="I7252" s="15">
        <f t="shared" si="3"/>
        <v>4</v>
      </c>
    </row>
    <row r="7253">
      <c r="A7253" s="8" t="str">
        <f>IFERROR(__xludf.DUMMYFUNCTION("IF('(INGESTA)Datos_consumo_datadis'!A7253&lt;&gt;"""",SPLIT('(INGESTA)Datos_consumo_datadis'!A:A,"",""),"""")"),"ES0031408323131005HX0F")</f>
        <v>ES0031408323131005HX0F</v>
      </c>
      <c r="B7253" s="12">
        <f>IFERROR(__xludf.DUMMYFUNCTION("""COMPUTED_VALUE"""),45168.0)</f>
        <v>45168</v>
      </c>
      <c r="C7253" s="13">
        <f>IFERROR(__xludf.DUMMYFUNCTION("""COMPUTED_VALUE"""),0.20833333333333334)</f>
        <v>0.2083333333</v>
      </c>
      <c r="D7253" s="8">
        <f>IFERROR(__xludf.DUMMYFUNCTION("""COMPUTED_VALUE"""),0.106)</f>
        <v>0.106</v>
      </c>
      <c r="E7253" s="8" t="str">
        <f>IFERROR(__xludf.DUMMYFUNCTION("""COMPUTED_VALUE"""),"Real")</f>
        <v>Real</v>
      </c>
      <c r="G7253" s="8">
        <f t="shared" si="1"/>
        <v>8</v>
      </c>
      <c r="H7253" s="14">
        <f t="shared" si="2"/>
        <v>30</v>
      </c>
      <c r="I7253" s="15">
        <f t="shared" si="3"/>
        <v>5</v>
      </c>
    </row>
    <row r="7254">
      <c r="A7254" s="8" t="str">
        <f>IFERROR(__xludf.DUMMYFUNCTION("IF('(INGESTA)Datos_consumo_datadis'!A7254&lt;&gt;"""",SPLIT('(INGESTA)Datos_consumo_datadis'!A:A,"",""),"""")"),"ES0031408323131005HX0F")</f>
        <v>ES0031408323131005HX0F</v>
      </c>
      <c r="B7254" s="12">
        <f>IFERROR(__xludf.DUMMYFUNCTION("""COMPUTED_VALUE"""),45168.0)</f>
        <v>45168</v>
      </c>
      <c r="C7254" s="13">
        <f>IFERROR(__xludf.DUMMYFUNCTION("""COMPUTED_VALUE"""),0.25)</f>
        <v>0.25</v>
      </c>
      <c r="D7254" s="8">
        <f>IFERROR(__xludf.DUMMYFUNCTION("""COMPUTED_VALUE"""),0.097)</f>
        <v>0.097</v>
      </c>
      <c r="E7254" s="8" t="str">
        <f>IFERROR(__xludf.DUMMYFUNCTION("""COMPUTED_VALUE"""),"Real")</f>
        <v>Real</v>
      </c>
      <c r="G7254" s="8">
        <f t="shared" si="1"/>
        <v>8</v>
      </c>
      <c r="H7254" s="14">
        <f t="shared" si="2"/>
        <v>30</v>
      </c>
      <c r="I7254" s="15">
        <f t="shared" si="3"/>
        <v>6</v>
      </c>
    </row>
    <row r="7255">
      <c r="A7255" s="8" t="str">
        <f>IFERROR(__xludf.DUMMYFUNCTION("IF('(INGESTA)Datos_consumo_datadis'!A7255&lt;&gt;"""",SPLIT('(INGESTA)Datos_consumo_datadis'!A:A,"",""),"""")"),"ES0031408323131005HX0F")</f>
        <v>ES0031408323131005HX0F</v>
      </c>
      <c r="B7255" s="12">
        <f>IFERROR(__xludf.DUMMYFUNCTION("""COMPUTED_VALUE"""),45168.0)</f>
        <v>45168</v>
      </c>
      <c r="C7255" s="13">
        <f>IFERROR(__xludf.DUMMYFUNCTION("""COMPUTED_VALUE"""),0.2916666666666667)</f>
        <v>0.2916666667</v>
      </c>
      <c r="D7255" s="8">
        <f>IFERROR(__xludf.DUMMYFUNCTION("""COMPUTED_VALUE"""),0.369)</f>
        <v>0.369</v>
      </c>
      <c r="E7255" s="8" t="str">
        <f>IFERROR(__xludf.DUMMYFUNCTION("""COMPUTED_VALUE"""),"Real")</f>
        <v>Real</v>
      </c>
      <c r="G7255" s="8">
        <f t="shared" si="1"/>
        <v>8</v>
      </c>
      <c r="H7255" s="14">
        <f t="shared" si="2"/>
        <v>30</v>
      </c>
      <c r="I7255" s="15">
        <f t="shared" si="3"/>
        <v>7</v>
      </c>
    </row>
    <row r="7256">
      <c r="A7256" s="8" t="str">
        <f>IFERROR(__xludf.DUMMYFUNCTION("IF('(INGESTA)Datos_consumo_datadis'!A7256&lt;&gt;"""",SPLIT('(INGESTA)Datos_consumo_datadis'!A:A,"",""),"""")"),"ES0031408323131005HX0F")</f>
        <v>ES0031408323131005HX0F</v>
      </c>
      <c r="B7256" s="12">
        <f>IFERROR(__xludf.DUMMYFUNCTION("""COMPUTED_VALUE"""),45168.0)</f>
        <v>45168</v>
      </c>
      <c r="C7256" s="13">
        <f>IFERROR(__xludf.DUMMYFUNCTION("""COMPUTED_VALUE"""),0.3333333333333333)</f>
        <v>0.3333333333</v>
      </c>
      <c r="D7256" s="8">
        <f>IFERROR(__xludf.DUMMYFUNCTION("""COMPUTED_VALUE"""),0.058)</f>
        <v>0.058</v>
      </c>
      <c r="E7256" s="8" t="str">
        <f>IFERROR(__xludf.DUMMYFUNCTION("""COMPUTED_VALUE"""),"Real")</f>
        <v>Real</v>
      </c>
      <c r="G7256" s="8">
        <f t="shared" si="1"/>
        <v>8</v>
      </c>
      <c r="H7256" s="14">
        <f t="shared" si="2"/>
        <v>30</v>
      </c>
      <c r="I7256" s="15">
        <f t="shared" si="3"/>
        <v>8</v>
      </c>
    </row>
    <row r="7257">
      <c r="A7257" s="8" t="str">
        <f>IFERROR(__xludf.DUMMYFUNCTION("IF('(INGESTA)Datos_consumo_datadis'!A7257&lt;&gt;"""",SPLIT('(INGESTA)Datos_consumo_datadis'!A:A,"",""),"""")"),"ES0031408323131005HX0F")</f>
        <v>ES0031408323131005HX0F</v>
      </c>
      <c r="B7257" s="12">
        <f>IFERROR(__xludf.DUMMYFUNCTION("""COMPUTED_VALUE"""),45168.0)</f>
        <v>45168</v>
      </c>
      <c r="C7257" s="13">
        <f>IFERROR(__xludf.DUMMYFUNCTION("""COMPUTED_VALUE"""),0.375)</f>
        <v>0.375</v>
      </c>
      <c r="D7257" s="8">
        <f>IFERROR(__xludf.DUMMYFUNCTION("""COMPUTED_VALUE"""),0.092)</f>
        <v>0.092</v>
      </c>
      <c r="E7257" s="8" t="str">
        <f>IFERROR(__xludf.DUMMYFUNCTION("""COMPUTED_VALUE"""),"Real")</f>
        <v>Real</v>
      </c>
      <c r="G7257" s="8">
        <f t="shared" si="1"/>
        <v>8</v>
      </c>
      <c r="H7257" s="14">
        <f t="shared" si="2"/>
        <v>30</v>
      </c>
      <c r="I7257" s="15">
        <f t="shared" si="3"/>
        <v>9</v>
      </c>
    </row>
    <row r="7258">
      <c r="A7258" s="8" t="str">
        <f>IFERROR(__xludf.DUMMYFUNCTION("IF('(INGESTA)Datos_consumo_datadis'!A7258&lt;&gt;"""",SPLIT('(INGESTA)Datos_consumo_datadis'!A:A,"",""),"""")"),"ES0031408323131005HX0F")</f>
        <v>ES0031408323131005HX0F</v>
      </c>
      <c r="B7258" s="12">
        <f>IFERROR(__xludf.DUMMYFUNCTION("""COMPUTED_VALUE"""),45168.0)</f>
        <v>45168</v>
      </c>
      <c r="C7258" s="13">
        <f>IFERROR(__xludf.DUMMYFUNCTION("""COMPUTED_VALUE"""),0.4166666666666667)</f>
        <v>0.4166666667</v>
      </c>
      <c r="D7258" s="8">
        <f>IFERROR(__xludf.DUMMYFUNCTION("""COMPUTED_VALUE"""),0.006)</f>
        <v>0.006</v>
      </c>
      <c r="E7258" s="8" t="str">
        <f>IFERROR(__xludf.DUMMYFUNCTION("""COMPUTED_VALUE"""),"Real")</f>
        <v>Real</v>
      </c>
      <c r="G7258" s="8">
        <f t="shared" si="1"/>
        <v>8</v>
      </c>
      <c r="H7258" s="14">
        <f t="shared" si="2"/>
        <v>30</v>
      </c>
      <c r="I7258" s="15">
        <f t="shared" si="3"/>
        <v>10</v>
      </c>
    </row>
    <row r="7259">
      <c r="A7259" s="8" t="str">
        <f>IFERROR(__xludf.DUMMYFUNCTION("IF('(INGESTA)Datos_consumo_datadis'!A7259&lt;&gt;"""",SPLIT('(INGESTA)Datos_consumo_datadis'!A:A,"",""),"""")"),"ES0031408323131005HX0F")</f>
        <v>ES0031408323131005HX0F</v>
      </c>
      <c r="B7259" s="12">
        <f>IFERROR(__xludf.DUMMYFUNCTION("""COMPUTED_VALUE"""),45168.0)</f>
        <v>45168</v>
      </c>
      <c r="C7259" s="13">
        <f>IFERROR(__xludf.DUMMYFUNCTION("""COMPUTED_VALUE"""),0.4583333333333333)</f>
        <v>0.4583333333</v>
      </c>
      <c r="D7259" s="8">
        <f>IFERROR(__xludf.DUMMYFUNCTION("""COMPUTED_VALUE"""),0.007)</f>
        <v>0.007</v>
      </c>
      <c r="E7259" s="8" t="str">
        <f>IFERROR(__xludf.DUMMYFUNCTION("""COMPUTED_VALUE"""),"Real")</f>
        <v>Real</v>
      </c>
      <c r="G7259" s="8">
        <f t="shared" si="1"/>
        <v>8</v>
      </c>
      <c r="H7259" s="14">
        <f t="shared" si="2"/>
        <v>30</v>
      </c>
      <c r="I7259" s="15">
        <f t="shared" si="3"/>
        <v>11</v>
      </c>
    </row>
    <row r="7260">
      <c r="A7260" s="8" t="str">
        <f>IFERROR(__xludf.DUMMYFUNCTION("IF('(INGESTA)Datos_consumo_datadis'!A7260&lt;&gt;"""",SPLIT('(INGESTA)Datos_consumo_datadis'!A:A,"",""),"""")"),"ES0031408323131005HX0F")</f>
        <v>ES0031408323131005HX0F</v>
      </c>
      <c r="B7260" s="12">
        <f>IFERROR(__xludf.DUMMYFUNCTION("""COMPUTED_VALUE"""),45168.0)</f>
        <v>45168</v>
      </c>
      <c r="C7260" s="13">
        <f>IFERROR(__xludf.DUMMYFUNCTION("""COMPUTED_VALUE"""),0.5)</f>
        <v>0.5</v>
      </c>
      <c r="D7260" s="8">
        <f>IFERROR(__xludf.DUMMYFUNCTION("""COMPUTED_VALUE"""),0.085)</f>
        <v>0.085</v>
      </c>
      <c r="E7260" s="8" t="str">
        <f>IFERROR(__xludf.DUMMYFUNCTION("""COMPUTED_VALUE"""),"Real")</f>
        <v>Real</v>
      </c>
      <c r="G7260" s="8">
        <f t="shared" si="1"/>
        <v>8</v>
      </c>
      <c r="H7260" s="14">
        <f t="shared" si="2"/>
        <v>30</v>
      </c>
      <c r="I7260" s="15">
        <f t="shared" si="3"/>
        <v>12</v>
      </c>
    </row>
    <row r="7261">
      <c r="A7261" s="8" t="str">
        <f>IFERROR(__xludf.DUMMYFUNCTION("IF('(INGESTA)Datos_consumo_datadis'!A7261&lt;&gt;"""",SPLIT('(INGESTA)Datos_consumo_datadis'!A:A,"",""),"""")"),"ES0031408323131005HX0F")</f>
        <v>ES0031408323131005HX0F</v>
      </c>
      <c r="B7261" s="12">
        <f>IFERROR(__xludf.DUMMYFUNCTION("""COMPUTED_VALUE"""),45168.0)</f>
        <v>45168</v>
      </c>
      <c r="C7261" s="13">
        <f>IFERROR(__xludf.DUMMYFUNCTION("""COMPUTED_VALUE"""),0.5416666666666666)</f>
        <v>0.5416666667</v>
      </c>
      <c r="D7261" s="8">
        <f>IFERROR(__xludf.DUMMYFUNCTION("""COMPUTED_VALUE"""),0.105)</f>
        <v>0.105</v>
      </c>
      <c r="E7261" s="8" t="str">
        <f>IFERROR(__xludf.DUMMYFUNCTION("""COMPUTED_VALUE"""),"Real")</f>
        <v>Real</v>
      </c>
      <c r="G7261" s="8">
        <f t="shared" si="1"/>
        <v>8</v>
      </c>
      <c r="H7261" s="14">
        <f t="shared" si="2"/>
        <v>30</v>
      </c>
      <c r="I7261" s="15">
        <f t="shared" si="3"/>
        <v>13</v>
      </c>
    </row>
    <row r="7262">
      <c r="A7262" s="8" t="str">
        <f>IFERROR(__xludf.DUMMYFUNCTION("IF('(INGESTA)Datos_consumo_datadis'!A7262&lt;&gt;"""",SPLIT('(INGESTA)Datos_consumo_datadis'!A:A,"",""),"""")"),"ES0031408323131005HX0F")</f>
        <v>ES0031408323131005HX0F</v>
      </c>
      <c r="B7262" s="12">
        <f>IFERROR(__xludf.DUMMYFUNCTION("""COMPUTED_VALUE"""),45168.0)</f>
        <v>45168</v>
      </c>
      <c r="C7262" s="13">
        <f>IFERROR(__xludf.DUMMYFUNCTION("""COMPUTED_VALUE"""),0.5833333333333334)</f>
        <v>0.5833333333</v>
      </c>
      <c r="D7262" s="8">
        <f>IFERROR(__xludf.DUMMYFUNCTION("""COMPUTED_VALUE"""),0.073)</f>
        <v>0.073</v>
      </c>
      <c r="E7262" s="8" t="str">
        <f>IFERROR(__xludf.DUMMYFUNCTION("""COMPUTED_VALUE"""),"Real")</f>
        <v>Real</v>
      </c>
      <c r="G7262" s="8">
        <f t="shared" si="1"/>
        <v>8</v>
      </c>
      <c r="H7262" s="14">
        <f t="shared" si="2"/>
        <v>30</v>
      </c>
      <c r="I7262" s="15">
        <f t="shared" si="3"/>
        <v>14</v>
      </c>
    </row>
    <row r="7263">
      <c r="A7263" s="8" t="str">
        <f>IFERROR(__xludf.DUMMYFUNCTION("IF('(INGESTA)Datos_consumo_datadis'!A7263&lt;&gt;"""",SPLIT('(INGESTA)Datos_consumo_datadis'!A:A,"",""),"""")"),"ES0031408323131005HX0F")</f>
        <v>ES0031408323131005HX0F</v>
      </c>
      <c r="B7263" s="12">
        <f>IFERROR(__xludf.DUMMYFUNCTION("""COMPUTED_VALUE"""),45168.0)</f>
        <v>45168</v>
      </c>
      <c r="C7263" s="13">
        <f>IFERROR(__xludf.DUMMYFUNCTION("""COMPUTED_VALUE"""),0.625)</f>
        <v>0.625</v>
      </c>
      <c r="D7263" s="8">
        <f>IFERROR(__xludf.DUMMYFUNCTION("""COMPUTED_VALUE"""),0.376)</f>
        <v>0.376</v>
      </c>
      <c r="E7263" s="8" t="str">
        <f>IFERROR(__xludf.DUMMYFUNCTION("""COMPUTED_VALUE"""),"Real")</f>
        <v>Real</v>
      </c>
      <c r="G7263" s="8">
        <f t="shared" si="1"/>
        <v>8</v>
      </c>
      <c r="H7263" s="14">
        <f t="shared" si="2"/>
        <v>30</v>
      </c>
      <c r="I7263" s="15">
        <f t="shared" si="3"/>
        <v>15</v>
      </c>
    </row>
    <row r="7264">
      <c r="A7264" s="8" t="str">
        <f>IFERROR(__xludf.DUMMYFUNCTION("IF('(INGESTA)Datos_consumo_datadis'!A7264&lt;&gt;"""",SPLIT('(INGESTA)Datos_consumo_datadis'!A:A,"",""),"""")"),"ES0031408323131005HX0F")</f>
        <v>ES0031408323131005HX0F</v>
      </c>
      <c r="B7264" s="12">
        <f>IFERROR(__xludf.DUMMYFUNCTION("""COMPUTED_VALUE"""),45168.0)</f>
        <v>45168</v>
      </c>
      <c r="C7264" s="13">
        <f>IFERROR(__xludf.DUMMYFUNCTION("""COMPUTED_VALUE"""),0.6666666666666666)</f>
        <v>0.6666666667</v>
      </c>
      <c r="D7264" s="8">
        <f>IFERROR(__xludf.DUMMYFUNCTION("""COMPUTED_VALUE"""),0.055)</f>
        <v>0.055</v>
      </c>
      <c r="E7264" s="8" t="str">
        <f>IFERROR(__xludf.DUMMYFUNCTION("""COMPUTED_VALUE"""),"Real")</f>
        <v>Real</v>
      </c>
      <c r="G7264" s="8">
        <f t="shared" si="1"/>
        <v>8</v>
      </c>
      <c r="H7264" s="14">
        <f t="shared" si="2"/>
        <v>30</v>
      </c>
      <c r="I7264" s="15">
        <f t="shared" si="3"/>
        <v>16</v>
      </c>
    </row>
    <row r="7265">
      <c r="A7265" s="8" t="str">
        <f>IFERROR(__xludf.DUMMYFUNCTION("IF('(INGESTA)Datos_consumo_datadis'!A7265&lt;&gt;"""",SPLIT('(INGESTA)Datos_consumo_datadis'!A:A,"",""),"""")"),"ES0031408323131005HX0F")</f>
        <v>ES0031408323131005HX0F</v>
      </c>
      <c r="B7265" s="12">
        <f>IFERROR(__xludf.DUMMYFUNCTION("""COMPUTED_VALUE"""),45168.0)</f>
        <v>45168</v>
      </c>
      <c r="C7265" s="13">
        <f>IFERROR(__xludf.DUMMYFUNCTION("""COMPUTED_VALUE"""),0.7083333333333334)</f>
        <v>0.7083333333</v>
      </c>
      <c r="D7265" s="8">
        <f>IFERROR(__xludf.DUMMYFUNCTION("""COMPUTED_VALUE"""),0.006)</f>
        <v>0.006</v>
      </c>
      <c r="E7265" s="8" t="str">
        <f>IFERROR(__xludf.DUMMYFUNCTION("""COMPUTED_VALUE"""),"Real")</f>
        <v>Real</v>
      </c>
      <c r="G7265" s="8">
        <f t="shared" si="1"/>
        <v>8</v>
      </c>
      <c r="H7265" s="14">
        <f t="shared" si="2"/>
        <v>30</v>
      </c>
      <c r="I7265" s="15">
        <f t="shared" si="3"/>
        <v>17</v>
      </c>
    </row>
    <row r="7266">
      <c r="A7266" s="8" t="str">
        <f>IFERROR(__xludf.DUMMYFUNCTION("IF('(INGESTA)Datos_consumo_datadis'!A7266&lt;&gt;"""",SPLIT('(INGESTA)Datos_consumo_datadis'!A:A,"",""),"""")"),"ES0031408323131005HX0F")</f>
        <v>ES0031408323131005HX0F</v>
      </c>
      <c r="B7266" s="12">
        <f>IFERROR(__xludf.DUMMYFUNCTION("""COMPUTED_VALUE"""),45168.0)</f>
        <v>45168</v>
      </c>
      <c r="C7266" s="13">
        <f>IFERROR(__xludf.DUMMYFUNCTION("""COMPUTED_VALUE"""),0.75)</f>
        <v>0.75</v>
      </c>
      <c r="D7266" s="8">
        <f>IFERROR(__xludf.DUMMYFUNCTION("""COMPUTED_VALUE"""),0.007)</f>
        <v>0.007</v>
      </c>
      <c r="E7266" s="8" t="str">
        <f>IFERROR(__xludf.DUMMYFUNCTION("""COMPUTED_VALUE"""),"Real")</f>
        <v>Real</v>
      </c>
      <c r="G7266" s="8">
        <f t="shared" si="1"/>
        <v>8</v>
      </c>
      <c r="H7266" s="14">
        <f t="shared" si="2"/>
        <v>30</v>
      </c>
      <c r="I7266" s="15">
        <f t="shared" si="3"/>
        <v>18</v>
      </c>
    </row>
    <row r="7267">
      <c r="A7267" s="8" t="str">
        <f>IFERROR(__xludf.DUMMYFUNCTION("IF('(INGESTA)Datos_consumo_datadis'!A7267&lt;&gt;"""",SPLIT('(INGESTA)Datos_consumo_datadis'!A:A,"",""),"""")"),"ES0031408323131005HX0F")</f>
        <v>ES0031408323131005HX0F</v>
      </c>
      <c r="B7267" s="12">
        <f>IFERROR(__xludf.DUMMYFUNCTION("""COMPUTED_VALUE"""),45168.0)</f>
        <v>45168</v>
      </c>
      <c r="C7267" s="13">
        <f>IFERROR(__xludf.DUMMYFUNCTION("""COMPUTED_VALUE"""),0.7916666666666666)</f>
        <v>0.7916666667</v>
      </c>
      <c r="D7267" s="8">
        <f>IFERROR(__xludf.DUMMYFUNCTION("""COMPUTED_VALUE"""),0.103)</f>
        <v>0.103</v>
      </c>
      <c r="E7267" s="8" t="str">
        <f>IFERROR(__xludf.DUMMYFUNCTION("""COMPUTED_VALUE"""),"Real")</f>
        <v>Real</v>
      </c>
      <c r="G7267" s="8">
        <f t="shared" si="1"/>
        <v>8</v>
      </c>
      <c r="H7267" s="14">
        <f t="shared" si="2"/>
        <v>30</v>
      </c>
      <c r="I7267" s="15">
        <f t="shared" si="3"/>
        <v>19</v>
      </c>
    </row>
    <row r="7268">
      <c r="A7268" s="8" t="str">
        <f>IFERROR(__xludf.DUMMYFUNCTION("IF('(INGESTA)Datos_consumo_datadis'!A7268&lt;&gt;"""",SPLIT('(INGESTA)Datos_consumo_datadis'!A:A,"",""),"""")"),"ES0031408323131005HX0F")</f>
        <v>ES0031408323131005HX0F</v>
      </c>
      <c r="B7268" s="12">
        <f>IFERROR(__xludf.DUMMYFUNCTION("""COMPUTED_VALUE"""),45168.0)</f>
        <v>45168</v>
      </c>
      <c r="C7268" s="13">
        <f>IFERROR(__xludf.DUMMYFUNCTION("""COMPUTED_VALUE"""),0.8333333333333334)</f>
        <v>0.8333333333</v>
      </c>
      <c r="D7268" s="8">
        <f>IFERROR(__xludf.DUMMYFUNCTION("""COMPUTED_VALUE"""),0.107)</f>
        <v>0.107</v>
      </c>
      <c r="E7268" s="8" t="str">
        <f>IFERROR(__xludf.DUMMYFUNCTION("""COMPUTED_VALUE"""),"Real")</f>
        <v>Real</v>
      </c>
      <c r="G7268" s="8">
        <f t="shared" si="1"/>
        <v>8</v>
      </c>
      <c r="H7268" s="14">
        <f t="shared" si="2"/>
        <v>30</v>
      </c>
      <c r="I7268" s="15">
        <f t="shared" si="3"/>
        <v>20</v>
      </c>
    </row>
    <row r="7269">
      <c r="A7269" s="8" t="str">
        <f>IFERROR(__xludf.DUMMYFUNCTION("IF('(INGESTA)Datos_consumo_datadis'!A7269&lt;&gt;"""",SPLIT('(INGESTA)Datos_consumo_datadis'!A:A,"",""),"""")"),"ES0031408323131005HX0F")</f>
        <v>ES0031408323131005HX0F</v>
      </c>
      <c r="B7269" s="12">
        <f>IFERROR(__xludf.DUMMYFUNCTION("""COMPUTED_VALUE"""),45168.0)</f>
        <v>45168</v>
      </c>
      <c r="C7269" s="13">
        <f>IFERROR(__xludf.DUMMYFUNCTION("""COMPUTED_VALUE"""),0.875)</f>
        <v>0.875</v>
      </c>
      <c r="D7269" s="8">
        <f>IFERROR(__xludf.DUMMYFUNCTION("""COMPUTED_VALUE"""),0.077)</f>
        <v>0.077</v>
      </c>
      <c r="E7269" s="8" t="str">
        <f>IFERROR(__xludf.DUMMYFUNCTION("""COMPUTED_VALUE"""),"Real")</f>
        <v>Real</v>
      </c>
      <c r="G7269" s="8">
        <f t="shared" si="1"/>
        <v>8</v>
      </c>
      <c r="H7269" s="14">
        <f t="shared" si="2"/>
        <v>30</v>
      </c>
      <c r="I7269" s="15">
        <f t="shared" si="3"/>
        <v>21</v>
      </c>
    </row>
    <row r="7270">
      <c r="A7270" s="8" t="str">
        <f>IFERROR(__xludf.DUMMYFUNCTION("IF('(INGESTA)Datos_consumo_datadis'!A7270&lt;&gt;"""",SPLIT('(INGESTA)Datos_consumo_datadis'!A:A,"",""),"""")"),"ES0031408323131005HX0F")</f>
        <v>ES0031408323131005HX0F</v>
      </c>
      <c r="B7270" s="12">
        <f>IFERROR(__xludf.DUMMYFUNCTION("""COMPUTED_VALUE"""),45168.0)</f>
        <v>45168</v>
      </c>
      <c r="C7270" s="13">
        <f>IFERROR(__xludf.DUMMYFUNCTION("""COMPUTED_VALUE"""),0.9166666666666666)</f>
        <v>0.9166666667</v>
      </c>
      <c r="D7270" s="8">
        <f>IFERROR(__xludf.DUMMYFUNCTION("""COMPUTED_VALUE"""),0.093)</f>
        <v>0.093</v>
      </c>
      <c r="E7270" s="8" t="str">
        <f>IFERROR(__xludf.DUMMYFUNCTION("""COMPUTED_VALUE"""),"Real")</f>
        <v>Real</v>
      </c>
      <c r="G7270" s="8">
        <f t="shared" si="1"/>
        <v>8</v>
      </c>
      <c r="H7270" s="14">
        <f t="shared" si="2"/>
        <v>30</v>
      </c>
      <c r="I7270" s="15">
        <f t="shared" si="3"/>
        <v>22</v>
      </c>
    </row>
    <row r="7271">
      <c r="A7271" s="8" t="str">
        <f>IFERROR(__xludf.DUMMYFUNCTION("IF('(INGESTA)Datos_consumo_datadis'!A7271&lt;&gt;"""",SPLIT('(INGESTA)Datos_consumo_datadis'!A:A,"",""),"""")"),"ES0031408323131005HX0F")</f>
        <v>ES0031408323131005HX0F</v>
      </c>
      <c r="B7271" s="12">
        <f>IFERROR(__xludf.DUMMYFUNCTION("""COMPUTED_VALUE"""),45168.0)</f>
        <v>45168</v>
      </c>
      <c r="C7271" s="13">
        <f>IFERROR(__xludf.DUMMYFUNCTION("""COMPUTED_VALUE"""),0.9583333333333334)</f>
        <v>0.9583333333</v>
      </c>
      <c r="D7271" s="8">
        <f>IFERROR(__xludf.DUMMYFUNCTION("""COMPUTED_VALUE"""),0.303)</f>
        <v>0.303</v>
      </c>
      <c r="E7271" s="8" t="str">
        <f>IFERROR(__xludf.DUMMYFUNCTION("""COMPUTED_VALUE"""),"Real")</f>
        <v>Real</v>
      </c>
      <c r="G7271" s="8">
        <f t="shared" si="1"/>
        <v>8</v>
      </c>
      <c r="H7271" s="14">
        <f t="shared" si="2"/>
        <v>30</v>
      </c>
      <c r="I7271" s="15">
        <f t="shared" si="3"/>
        <v>23</v>
      </c>
    </row>
    <row r="7272">
      <c r="A7272" s="8" t="str">
        <f>IFERROR(__xludf.DUMMYFUNCTION("IF('(INGESTA)Datos_consumo_datadis'!A7272&lt;&gt;"""",SPLIT('(INGESTA)Datos_consumo_datadis'!A:A,"",""),"""")"),"ES0031408323131005HX0F")</f>
        <v>ES0031408323131005HX0F</v>
      </c>
      <c r="B7272" s="12">
        <f>IFERROR(__xludf.DUMMYFUNCTION("""COMPUTED_VALUE"""),45168.0)</f>
        <v>45168</v>
      </c>
      <c r="C7272" s="16">
        <f>IFERROR(__xludf.DUMMYFUNCTION("""COMPUTED_VALUE"""),1.0)</f>
        <v>1</v>
      </c>
      <c r="D7272" s="8">
        <f>IFERROR(__xludf.DUMMYFUNCTION("""COMPUTED_VALUE"""),0.05)</f>
        <v>0.05</v>
      </c>
      <c r="E7272" s="8" t="str">
        <f>IFERROR(__xludf.DUMMYFUNCTION("""COMPUTED_VALUE"""),"Real")</f>
        <v>Real</v>
      </c>
      <c r="G7272" s="8">
        <f t="shared" si="1"/>
        <v>8</v>
      </c>
      <c r="H7272" s="14">
        <f t="shared" si="2"/>
        <v>30</v>
      </c>
      <c r="I7272" s="15">
        <f t="shared" si="3"/>
        <v>0</v>
      </c>
    </row>
    <row r="7273">
      <c r="A7273" s="8" t="str">
        <f>IFERROR(__xludf.DUMMYFUNCTION("IF('(INGESTA)Datos_consumo_datadis'!A7273&lt;&gt;"""",SPLIT('(INGESTA)Datos_consumo_datadis'!A:A,"",""),"""")"),"ES0031408323131005HX0F")</f>
        <v>ES0031408323131005HX0F</v>
      </c>
      <c r="B7273" s="12">
        <f>IFERROR(__xludf.DUMMYFUNCTION("""COMPUTED_VALUE"""),45169.0)</f>
        <v>45169</v>
      </c>
      <c r="C7273" s="13">
        <f>IFERROR(__xludf.DUMMYFUNCTION("""COMPUTED_VALUE"""),0.041666666666666664)</f>
        <v>0.04166666667</v>
      </c>
      <c r="D7273" s="8">
        <f>IFERROR(__xludf.DUMMYFUNCTION("""COMPUTED_VALUE"""),0.006)</f>
        <v>0.006</v>
      </c>
      <c r="E7273" s="8" t="str">
        <f>IFERROR(__xludf.DUMMYFUNCTION("""COMPUTED_VALUE"""),"Real")</f>
        <v>Real</v>
      </c>
      <c r="G7273" s="8">
        <f t="shared" si="1"/>
        <v>8</v>
      </c>
      <c r="H7273" s="14">
        <f t="shared" si="2"/>
        <v>31</v>
      </c>
      <c r="I7273" s="15">
        <f t="shared" si="3"/>
        <v>1</v>
      </c>
    </row>
    <row r="7274">
      <c r="A7274" s="8" t="str">
        <f>IFERROR(__xludf.DUMMYFUNCTION("IF('(INGESTA)Datos_consumo_datadis'!A7274&lt;&gt;"""",SPLIT('(INGESTA)Datos_consumo_datadis'!A:A,"",""),"""")"),"ES0031408323131005HX0F")</f>
        <v>ES0031408323131005HX0F</v>
      </c>
      <c r="B7274" s="12">
        <f>IFERROR(__xludf.DUMMYFUNCTION("""COMPUTED_VALUE"""),45169.0)</f>
        <v>45169</v>
      </c>
      <c r="C7274" s="13">
        <f>IFERROR(__xludf.DUMMYFUNCTION("""COMPUTED_VALUE"""),0.08333333333333333)</f>
        <v>0.08333333333</v>
      </c>
      <c r="D7274" s="8">
        <f>IFERROR(__xludf.DUMMYFUNCTION("""COMPUTED_VALUE"""),0.096)</f>
        <v>0.096</v>
      </c>
      <c r="E7274" s="8" t="str">
        <f>IFERROR(__xludf.DUMMYFUNCTION("""COMPUTED_VALUE"""),"Real")</f>
        <v>Real</v>
      </c>
      <c r="G7274" s="8">
        <f t="shared" si="1"/>
        <v>8</v>
      </c>
      <c r="H7274" s="14">
        <f t="shared" si="2"/>
        <v>31</v>
      </c>
      <c r="I7274" s="15">
        <f t="shared" si="3"/>
        <v>2</v>
      </c>
    </row>
    <row r="7275">
      <c r="A7275" s="8" t="str">
        <f>IFERROR(__xludf.DUMMYFUNCTION("IF('(INGESTA)Datos_consumo_datadis'!A7275&lt;&gt;"""",SPLIT('(INGESTA)Datos_consumo_datadis'!A:A,"",""),"""")"),"ES0031408323131005HX0F")</f>
        <v>ES0031408323131005HX0F</v>
      </c>
      <c r="B7275" s="12">
        <f>IFERROR(__xludf.DUMMYFUNCTION("""COMPUTED_VALUE"""),45169.0)</f>
        <v>45169</v>
      </c>
      <c r="C7275" s="13">
        <f>IFERROR(__xludf.DUMMYFUNCTION("""COMPUTED_VALUE"""),0.125)</f>
        <v>0.125</v>
      </c>
      <c r="D7275" s="8">
        <f>IFERROR(__xludf.DUMMYFUNCTION("""COMPUTED_VALUE"""),0.107)</f>
        <v>0.107</v>
      </c>
      <c r="E7275" s="8" t="str">
        <f>IFERROR(__xludf.DUMMYFUNCTION("""COMPUTED_VALUE"""),"Real")</f>
        <v>Real</v>
      </c>
      <c r="G7275" s="8">
        <f t="shared" si="1"/>
        <v>8</v>
      </c>
      <c r="H7275" s="14">
        <f t="shared" si="2"/>
        <v>31</v>
      </c>
      <c r="I7275" s="15">
        <f t="shared" si="3"/>
        <v>3</v>
      </c>
    </row>
    <row r="7276">
      <c r="A7276" s="8" t="str">
        <f>IFERROR(__xludf.DUMMYFUNCTION("IF('(INGESTA)Datos_consumo_datadis'!A7276&lt;&gt;"""",SPLIT('(INGESTA)Datos_consumo_datadis'!A:A,"",""),"""")"),"ES0031408323131005HX0F")</f>
        <v>ES0031408323131005HX0F</v>
      </c>
      <c r="B7276" s="12">
        <f>IFERROR(__xludf.DUMMYFUNCTION("""COMPUTED_VALUE"""),45169.0)</f>
        <v>45169</v>
      </c>
      <c r="C7276" s="13">
        <f>IFERROR(__xludf.DUMMYFUNCTION("""COMPUTED_VALUE"""),0.16666666666666666)</f>
        <v>0.1666666667</v>
      </c>
      <c r="D7276" s="8">
        <f>IFERROR(__xludf.DUMMYFUNCTION("""COMPUTED_VALUE"""),0.081)</f>
        <v>0.081</v>
      </c>
      <c r="E7276" s="8" t="str">
        <f>IFERROR(__xludf.DUMMYFUNCTION("""COMPUTED_VALUE"""),"Real")</f>
        <v>Real</v>
      </c>
      <c r="G7276" s="8">
        <f t="shared" si="1"/>
        <v>8</v>
      </c>
      <c r="H7276" s="14">
        <f t="shared" si="2"/>
        <v>31</v>
      </c>
      <c r="I7276" s="15">
        <f t="shared" si="3"/>
        <v>4</v>
      </c>
    </row>
    <row r="7277">
      <c r="A7277" s="8" t="str">
        <f>IFERROR(__xludf.DUMMYFUNCTION("IF('(INGESTA)Datos_consumo_datadis'!A7277&lt;&gt;"""",SPLIT('(INGESTA)Datos_consumo_datadis'!A:A,"",""),"""")"),"ES0031408323131005HX0F")</f>
        <v>ES0031408323131005HX0F</v>
      </c>
      <c r="B7277" s="12">
        <f>IFERROR(__xludf.DUMMYFUNCTION("""COMPUTED_VALUE"""),45169.0)</f>
        <v>45169</v>
      </c>
      <c r="C7277" s="13">
        <f>IFERROR(__xludf.DUMMYFUNCTION("""COMPUTED_VALUE"""),0.20833333333333334)</f>
        <v>0.2083333333</v>
      </c>
      <c r="D7277" s="8">
        <f>IFERROR(__xludf.DUMMYFUNCTION("""COMPUTED_VALUE"""),0.09)</f>
        <v>0.09</v>
      </c>
      <c r="E7277" s="8" t="str">
        <f>IFERROR(__xludf.DUMMYFUNCTION("""COMPUTED_VALUE"""),"Real")</f>
        <v>Real</v>
      </c>
      <c r="G7277" s="8">
        <f t="shared" si="1"/>
        <v>8</v>
      </c>
      <c r="H7277" s="14">
        <f t="shared" si="2"/>
        <v>31</v>
      </c>
      <c r="I7277" s="15">
        <f t="shared" si="3"/>
        <v>5</v>
      </c>
    </row>
    <row r="7278">
      <c r="A7278" s="8" t="str">
        <f>IFERROR(__xludf.DUMMYFUNCTION("IF('(INGESTA)Datos_consumo_datadis'!A7278&lt;&gt;"""",SPLIT('(INGESTA)Datos_consumo_datadis'!A:A,"",""),"""")"),"ES0031408323131005HX0F")</f>
        <v>ES0031408323131005HX0F</v>
      </c>
      <c r="B7278" s="12">
        <f>IFERROR(__xludf.DUMMYFUNCTION("""COMPUTED_VALUE"""),45169.0)</f>
        <v>45169</v>
      </c>
      <c r="C7278" s="13">
        <f>IFERROR(__xludf.DUMMYFUNCTION("""COMPUTED_VALUE"""),0.25)</f>
        <v>0.25</v>
      </c>
      <c r="D7278" s="8">
        <f>IFERROR(__xludf.DUMMYFUNCTION("""COMPUTED_VALUE"""),0.053)</f>
        <v>0.053</v>
      </c>
      <c r="E7278" s="8" t="str">
        <f>IFERROR(__xludf.DUMMYFUNCTION("""COMPUTED_VALUE"""),"Real")</f>
        <v>Real</v>
      </c>
      <c r="G7278" s="8">
        <f t="shared" si="1"/>
        <v>8</v>
      </c>
      <c r="H7278" s="14">
        <f t="shared" si="2"/>
        <v>31</v>
      </c>
      <c r="I7278" s="15">
        <f t="shared" si="3"/>
        <v>6</v>
      </c>
    </row>
    <row r="7279">
      <c r="A7279" s="8" t="str">
        <f>IFERROR(__xludf.DUMMYFUNCTION("IF('(INGESTA)Datos_consumo_datadis'!A7279&lt;&gt;"""",SPLIT('(INGESTA)Datos_consumo_datadis'!A:A,"",""),"""")"),"ES0031408323131005HX0F")</f>
        <v>ES0031408323131005HX0F</v>
      </c>
      <c r="B7279" s="12">
        <f>IFERROR(__xludf.DUMMYFUNCTION("""COMPUTED_VALUE"""),45169.0)</f>
        <v>45169</v>
      </c>
      <c r="C7279" s="13">
        <f>IFERROR(__xludf.DUMMYFUNCTION("""COMPUTED_VALUE"""),0.2916666666666667)</f>
        <v>0.2916666667</v>
      </c>
      <c r="D7279" s="8">
        <f>IFERROR(__xludf.DUMMYFUNCTION("""COMPUTED_VALUE"""),0.007)</f>
        <v>0.007</v>
      </c>
      <c r="E7279" s="8" t="str">
        <f>IFERROR(__xludf.DUMMYFUNCTION("""COMPUTED_VALUE"""),"Real")</f>
        <v>Real</v>
      </c>
      <c r="G7279" s="8">
        <f t="shared" si="1"/>
        <v>8</v>
      </c>
      <c r="H7279" s="14">
        <f t="shared" si="2"/>
        <v>31</v>
      </c>
      <c r="I7279" s="15">
        <f t="shared" si="3"/>
        <v>7</v>
      </c>
    </row>
    <row r="7280">
      <c r="A7280" s="8" t="str">
        <f>IFERROR(__xludf.DUMMYFUNCTION("IF('(INGESTA)Datos_consumo_datadis'!A7280&lt;&gt;"""",SPLIT('(INGESTA)Datos_consumo_datadis'!A:A,"",""),"""")"),"ES0031408323131005HX0F")</f>
        <v>ES0031408323131005HX0F</v>
      </c>
      <c r="B7280" s="12">
        <f>IFERROR(__xludf.DUMMYFUNCTION("""COMPUTED_VALUE"""),45169.0)</f>
        <v>45169</v>
      </c>
      <c r="C7280" s="13">
        <f>IFERROR(__xludf.DUMMYFUNCTION("""COMPUTED_VALUE"""),0.3333333333333333)</f>
        <v>0.3333333333</v>
      </c>
      <c r="D7280" s="8">
        <f>IFERROR(__xludf.DUMMYFUNCTION("""COMPUTED_VALUE"""),0.286)</f>
        <v>0.286</v>
      </c>
      <c r="E7280" s="8" t="str">
        <f>IFERROR(__xludf.DUMMYFUNCTION("""COMPUTED_VALUE"""),"Real")</f>
        <v>Real</v>
      </c>
      <c r="G7280" s="8">
        <f t="shared" si="1"/>
        <v>8</v>
      </c>
      <c r="H7280" s="14">
        <f t="shared" si="2"/>
        <v>31</v>
      </c>
      <c r="I7280" s="15">
        <f t="shared" si="3"/>
        <v>8</v>
      </c>
    </row>
    <row r="7281">
      <c r="A7281" s="8" t="str">
        <f>IFERROR(__xludf.DUMMYFUNCTION("IF('(INGESTA)Datos_consumo_datadis'!A7281&lt;&gt;"""",SPLIT('(INGESTA)Datos_consumo_datadis'!A:A,"",""),"""")"),"ES0031408323131005HX0F")</f>
        <v>ES0031408323131005HX0F</v>
      </c>
      <c r="B7281" s="12">
        <f>IFERROR(__xludf.DUMMYFUNCTION("""COMPUTED_VALUE"""),45169.0)</f>
        <v>45169</v>
      </c>
      <c r="C7281" s="13">
        <f>IFERROR(__xludf.DUMMYFUNCTION("""COMPUTED_VALUE"""),0.375)</f>
        <v>0.375</v>
      </c>
      <c r="D7281" s="8">
        <f>IFERROR(__xludf.DUMMYFUNCTION("""COMPUTED_VALUE"""),0.099)</f>
        <v>0.099</v>
      </c>
      <c r="E7281" s="8" t="str">
        <f>IFERROR(__xludf.DUMMYFUNCTION("""COMPUTED_VALUE"""),"Real")</f>
        <v>Real</v>
      </c>
      <c r="G7281" s="8">
        <f t="shared" si="1"/>
        <v>8</v>
      </c>
      <c r="H7281" s="14">
        <f t="shared" si="2"/>
        <v>31</v>
      </c>
      <c r="I7281" s="15">
        <f t="shared" si="3"/>
        <v>9</v>
      </c>
    </row>
    <row r="7282">
      <c r="A7282" s="8" t="str">
        <f>IFERROR(__xludf.DUMMYFUNCTION("IF('(INGESTA)Datos_consumo_datadis'!A7282&lt;&gt;"""",SPLIT('(INGESTA)Datos_consumo_datadis'!A:A,"",""),"""")"),"ES0031408323131005HX0F")</f>
        <v>ES0031408323131005HX0F</v>
      </c>
      <c r="B7282" s="12">
        <f>IFERROR(__xludf.DUMMYFUNCTION("""COMPUTED_VALUE"""),45169.0)</f>
        <v>45169</v>
      </c>
      <c r="C7282" s="13">
        <f>IFERROR(__xludf.DUMMYFUNCTION("""COMPUTED_VALUE"""),0.4166666666666667)</f>
        <v>0.4166666667</v>
      </c>
      <c r="D7282" s="8">
        <f>IFERROR(__xludf.DUMMYFUNCTION("""COMPUTED_VALUE"""),0.106)</f>
        <v>0.106</v>
      </c>
      <c r="E7282" s="8" t="str">
        <f>IFERROR(__xludf.DUMMYFUNCTION("""COMPUTED_VALUE"""),"Real")</f>
        <v>Real</v>
      </c>
      <c r="G7282" s="8">
        <f t="shared" si="1"/>
        <v>8</v>
      </c>
      <c r="H7282" s="14">
        <f t="shared" si="2"/>
        <v>31</v>
      </c>
      <c r="I7282" s="15">
        <f t="shared" si="3"/>
        <v>10</v>
      </c>
    </row>
    <row r="7283">
      <c r="A7283" s="8" t="str">
        <f>IFERROR(__xludf.DUMMYFUNCTION("IF('(INGESTA)Datos_consumo_datadis'!A7283&lt;&gt;"""",SPLIT('(INGESTA)Datos_consumo_datadis'!A:A,"",""),"""")"),"ES0031408323131005HX0F")</f>
        <v>ES0031408323131005HX0F</v>
      </c>
      <c r="B7283" s="12">
        <f>IFERROR(__xludf.DUMMYFUNCTION("""COMPUTED_VALUE"""),45169.0)</f>
        <v>45169</v>
      </c>
      <c r="C7283" s="13">
        <f>IFERROR(__xludf.DUMMYFUNCTION("""COMPUTED_VALUE"""),0.4583333333333333)</f>
        <v>0.4583333333</v>
      </c>
      <c r="D7283" s="8">
        <f>IFERROR(__xludf.DUMMYFUNCTION("""COMPUTED_VALUE"""),0.071)</f>
        <v>0.071</v>
      </c>
      <c r="E7283" s="8" t="str">
        <f>IFERROR(__xludf.DUMMYFUNCTION("""COMPUTED_VALUE"""),"Real")</f>
        <v>Real</v>
      </c>
      <c r="G7283" s="8">
        <f t="shared" si="1"/>
        <v>8</v>
      </c>
      <c r="H7283" s="14">
        <f t="shared" si="2"/>
        <v>31</v>
      </c>
      <c r="I7283" s="15">
        <f t="shared" si="3"/>
        <v>11</v>
      </c>
    </row>
    <row r="7284">
      <c r="A7284" s="8" t="str">
        <f>IFERROR(__xludf.DUMMYFUNCTION("IF('(INGESTA)Datos_consumo_datadis'!A7284&lt;&gt;"""",SPLIT('(INGESTA)Datos_consumo_datadis'!A:A,"",""),"""")"),"ES0031408323131005HX0F")</f>
        <v>ES0031408323131005HX0F</v>
      </c>
      <c r="B7284" s="12">
        <f>IFERROR(__xludf.DUMMYFUNCTION("""COMPUTED_VALUE"""),45169.0)</f>
        <v>45169</v>
      </c>
      <c r="C7284" s="13">
        <f>IFERROR(__xludf.DUMMYFUNCTION("""COMPUTED_VALUE"""),0.5)</f>
        <v>0.5</v>
      </c>
      <c r="D7284" s="8">
        <f>IFERROR(__xludf.DUMMYFUNCTION("""COMPUTED_VALUE"""),0.082)</f>
        <v>0.082</v>
      </c>
      <c r="E7284" s="8" t="str">
        <f>IFERROR(__xludf.DUMMYFUNCTION("""COMPUTED_VALUE"""),"Real")</f>
        <v>Real</v>
      </c>
      <c r="G7284" s="8">
        <f t="shared" si="1"/>
        <v>8</v>
      </c>
      <c r="H7284" s="14">
        <f t="shared" si="2"/>
        <v>31</v>
      </c>
      <c r="I7284" s="15">
        <f t="shared" si="3"/>
        <v>12</v>
      </c>
    </row>
    <row r="7285">
      <c r="A7285" s="8" t="str">
        <f>IFERROR(__xludf.DUMMYFUNCTION("IF('(INGESTA)Datos_consumo_datadis'!A7285&lt;&gt;"""",SPLIT('(INGESTA)Datos_consumo_datadis'!A:A,"",""),"""")"),"ES0031408323131005HX0F")</f>
        <v>ES0031408323131005HX0F</v>
      </c>
      <c r="B7285" s="12">
        <f>IFERROR(__xludf.DUMMYFUNCTION("""COMPUTED_VALUE"""),45169.0)</f>
        <v>45169</v>
      </c>
      <c r="C7285" s="13">
        <f>IFERROR(__xludf.DUMMYFUNCTION("""COMPUTED_VALUE"""),0.5416666666666666)</f>
        <v>0.5416666667</v>
      </c>
      <c r="D7285" s="8">
        <f>IFERROR(__xludf.DUMMYFUNCTION("""COMPUTED_VALUE"""),0.053)</f>
        <v>0.053</v>
      </c>
      <c r="E7285" s="8" t="str">
        <f>IFERROR(__xludf.DUMMYFUNCTION("""COMPUTED_VALUE"""),"Real")</f>
        <v>Real</v>
      </c>
      <c r="G7285" s="8">
        <f t="shared" si="1"/>
        <v>8</v>
      </c>
      <c r="H7285" s="14">
        <f t="shared" si="2"/>
        <v>31</v>
      </c>
      <c r="I7285" s="15">
        <f t="shared" si="3"/>
        <v>13</v>
      </c>
    </row>
    <row r="7286">
      <c r="A7286" s="8" t="str">
        <f>IFERROR(__xludf.DUMMYFUNCTION("IF('(INGESTA)Datos_consumo_datadis'!A7286&lt;&gt;"""",SPLIT('(INGESTA)Datos_consumo_datadis'!A:A,"",""),"""")"),"ES0031408323131005HX0F")</f>
        <v>ES0031408323131005HX0F</v>
      </c>
      <c r="B7286" s="12">
        <f>IFERROR(__xludf.DUMMYFUNCTION("""COMPUTED_VALUE"""),45169.0)</f>
        <v>45169</v>
      </c>
      <c r="C7286" s="13">
        <f>IFERROR(__xludf.DUMMYFUNCTION("""COMPUTED_VALUE"""),0.5833333333333334)</f>
        <v>0.5833333333</v>
      </c>
      <c r="D7286" s="8">
        <f>IFERROR(__xludf.DUMMYFUNCTION("""COMPUTED_VALUE"""),0.007)</f>
        <v>0.007</v>
      </c>
      <c r="E7286" s="8" t="str">
        <f>IFERROR(__xludf.DUMMYFUNCTION("""COMPUTED_VALUE"""),"Real")</f>
        <v>Real</v>
      </c>
      <c r="G7286" s="8">
        <f t="shared" si="1"/>
        <v>8</v>
      </c>
      <c r="H7286" s="14">
        <f t="shared" si="2"/>
        <v>31</v>
      </c>
      <c r="I7286" s="15">
        <f t="shared" si="3"/>
        <v>14</v>
      </c>
    </row>
    <row r="7287">
      <c r="A7287" s="8" t="str">
        <f>IFERROR(__xludf.DUMMYFUNCTION("IF('(INGESTA)Datos_consumo_datadis'!A7287&lt;&gt;"""",SPLIT('(INGESTA)Datos_consumo_datadis'!A:A,"",""),"""")"),"ES0031408323131005HX0F")</f>
        <v>ES0031408323131005HX0F</v>
      </c>
      <c r="B7287" s="12">
        <f>IFERROR(__xludf.DUMMYFUNCTION("""COMPUTED_VALUE"""),45169.0)</f>
        <v>45169</v>
      </c>
      <c r="C7287" s="13">
        <f>IFERROR(__xludf.DUMMYFUNCTION("""COMPUTED_VALUE"""),0.625)</f>
        <v>0.625</v>
      </c>
      <c r="D7287" s="8">
        <f>IFERROR(__xludf.DUMMYFUNCTION("""COMPUTED_VALUE"""),0.287)</f>
        <v>0.287</v>
      </c>
      <c r="E7287" s="8" t="str">
        <f>IFERROR(__xludf.DUMMYFUNCTION("""COMPUTED_VALUE"""),"Real")</f>
        <v>Real</v>
      </c>
      <c r="G7287" s="8">
        <f t="shared" si="1"/>
        <v>8</v>
      </c>
      <c r="H7287" s="14">
        <f t="shared" si="2"/>
        <v>31</v>
      </c>
      <c r="I7287" s="15">
        <f t="shared" si="3"/>
        <v>15</v>
      </c>
    </row>
    <row r="7288">
      <c r="A7288" s="8" t="str">
        <f>IFERROR(__xludf.DUMMYFUNCTION("IF('(INGESTA)Datos_consumo_datadis'!A7288&lt;&gt;"""",SPLIT('(INGESTA)Datos_consumo_datadis'!A:A,"",""),"""")"),"ES0031408323131005HX0F")</f>
        <v>ES0031408323131005HX0F</v>
      </c>
      <c r="B7288" s="12">
        <f>IFERROR(__xludf.DUMMYFUNCTION("""COMPUTED_VALUE"""),45169.0)</f>
        <v>45169</v>
      </c>
      <c r="C7288" s="13">
        <f>IFERROR(__xludf.DUMMYFUNCTION("""COMPUTED_VALUE"""),0.6666666666666666)</f>
        <v>0.6666666667</v>
      </c>
      <c r="D7288" s="8">
        <f>IFERROR(__xludf.DUMMYFUNCTION("""COMPUTED_VALUE"""),0.109)</f>
        <v>0.109</v>
      </c>
      <c r="E7288" s="8" t="str">
        <f>IFERROR(__xludf.DUMMYFUNCTION("""COMPUTED_VALUE"""),"Real")</f>
        <v>Real</v>
      </c>
      <c r="G7288" s="8">
        <f t="shared" si="1"/>
        <v>8</v>
      </c>
      <c r="H7288" s="14">
        <f t="shared" si="2"/>
        <v>31</v>
      </c>
      <c r="I7288" s="15">
        <f t="shared" si="3"/>
        <v>16</v>
      </c>
    </row>
    <row r="7289">
      <c r="A7289" s="8" t="str">
        <f>IFERROR(__xludf.DUMMYFUNCTION("IF('(INGESTA)Datos_consumo_datadis'!A7289&lt;&gt;"""",SPLIT('(INGESTA)Datos_consumo_datadis'!A:A,"",""),"""")"),"ES0031408323131005HX0F")</f>
        <v>ES0031408323131005HX0F</v>
      </c>
      <c r="B7289" s="12">
        <f>IFERROR(__xludf.DUMMYFUNCTION("""COMPUTED_VALUE"""),45169.0)</f>
        <v>45169</v>
      </c>
      <c r="C7289" s="13">
        <f>IFERROR(__xludf.DUMMYFUNCTION("""COMPUTED_VALUE"""),0.7083333333333334)</f>
        <v>0.7083333333</v>
      </c>
      <c r="D7289" s="8">
        <f>IFERROR(__xludf.DUMMYFUNCTION("""COMPUTED_VALUE"""),0.105)</f>
        <v>0.105</v>
      </c>
      <c r="E7289" s="8" t="str">
        <f>IFERROR(__xludf.DUMMYFUNCTION("""COMPUTED_VALUE"""),"Real")</f>
        <v>Real</v>
      </c>
      <c r="G7289" s="8">
        <f t="shared" si="1"/>
        <v>8</v>
      </c>
      <c r="H7289" s="14">
        <f t="shared" si="2"/>
        <v>31</v>
      </c>
      <c r="I7289" s="15">
        <f t="shared" si="3"/>
        <v>17</v>
      </c>
    </row>
    <row r="7290">
      <c r="A7290" s="8" t="str">
        <f>IFERROR(__xludf.DUMMYFUNCTION("IF('(INGESTA)Datos_consumo_datadis'!A7290&lt;&gt;"""",SPLIT('(INGESTA)Datos_consumo_datadis'!A:A,"",""),"""")"),"ES0031408323131005HX0F")</f>
        <v>ES0031408323131005HX0F</v>
      </c>
      <c r="B7290" s="12">
        <f>IFERROR(__xludf.DUMMYFUNCTION("""COMPUTED_VALUE"""),45169.0)</f>
        <v>45169</v>
      </c>
      <c r="C7290" s="13">
        <f>IFERROR(__xludf.DUMMYFUNCTION("""COMPUTED_VALUE"""),0.75)</f>
        <v>0.75</v>
      </c>
      <c r="D7290" s="8">
        <f>IFERROR(__xludf.DUMMYFUNCTION("""COMPUTED_VALUE"""),0.072)</f>
        <v>0.072</v>
      </c>
      <c r="E7290" s="8" t="str">
        <f>IFERROR(__xludf.DUMMYFUNCTION("""COMPUTED_VALUE"""),"Real")</f>
        <v>Real</v>
      </c>
      <c r="G7290" s="8">
        <f t="shared" si="1"/>
        <v>8</v>
      </c>
      <c r="H7290" s="14">
        <f t="shared" si="2"/>
        <v>31</v>
      </c>
      <c r="I7290" s="15">
        <f t="shared" si="3"/>
        <v>18</v>
      </c>
    </row>
    <row r="7291">
      <c r="A7291" s="8" t="str">
        <f>IFERROR(__xludf.DUMMYFUNCTION("IF('(INGESTA)Datos_consumo_datadis'!A7291&lt;&gt;"""",SPLIT('(INGESTA)Datos_consumo_datadis'!A:A,"",""),"""")"),"ES0031408323131005HX0F")</f>
        <v>ES0031408323131005HX0F</v>
      </c>
      <c r="B7291" s="12">
        <f>IFERROR(__xludf.DUMMYFUNCTION("""COMPUTED_VALUE"""),45169.0)</f>
        <v>45169</v>
      </c>
      <c r="C7291" s="13">
        <f>IFERROR(__xludf.DUMMYFUNCTION("""COMPUTED_VALUE"""),0.7916666666666666)</f>
        <v>0.7916666667</v>
      </c>
      <c r="D7291" s="8">
        <f>IFERROR(__xludf.DUMMYFUNCTION("""COMPUTED_VALUE"""),0.068)</f>
        <v>0.068</v>
      </c>
      <c r="E7291" s="8" t="str">
        <f>IFERROR(__xludf.DUMMYFUNCTION("""COMPUTED_VALUE"""),"Real")</f>
        <v>Real</v>
      </c>
      <c r="G7291" s="8">
        <f t="shared" si="1"/>
        <v>8</v>
      </c>
      <c r="H7291" s="14">
        <f t="shared" si="2"/>
        <v>31</v>
      </c>
      <c r="I7291" s="15">
        <f t="shared" si="3"/>
        <v>19</v>
      </c>
    </row>
    <row r="7292">
      <c r="A7292" s="8" t="str">
        <f>IFERROR(__xludf.DUMMYFUNCTION("IF('(INGESTA)Datos_consumo_datadis'!A7292&lt;&gt;"""",SPLIT('(INGESTA)Datos_consumo_datadis'!A:A,"",""),"""")"),"ES0031408323131005HX0F")</f>
        <v>ES0031408323131005HX0F</v>
      </c>
      <c r="B7292" s="12">
        <f>IFERROR(__xludf.DUMMYFUNCTION("""COMPUTED_VALUE"""),45169.0)</f>
        <v>45169</v>
      </c>
      <c r="C7292" s="13">
        <f>IFERROR(__xludf.DUMMYFUNCTION("""COMPUTED_VALUE"""),0.8333333333333334)</f>
        <v>0.8333333333</v>
      </c>
      <c r="D7292" s="8">
        <f>IFERROR(__xludf.DUMMYFUNCTION("""COMPUTED_VALUE"""),0.05)</f>
        <v>0.05</v>
      </c>
      <c r="E7292" s="8" t="str">
        <f>IFERROR(__xludf.DUMMYFUNCTION("""COMPUTED_VALUE"""),"Real")</f>
        <v>Real</v>
      </c>
      <c r="G7292" s="8">
        <f t="shared" si="1"/>
        <v>8</v>
      </c>
      <c r="H7292" s="14">
        <f t="shared" si="2"/>
        <v>31</v>
      </c>
      <c r="I7292" s="15">
        <f t="shared" si="3"/>
        <v>20</v>
      </c>
    </row>
    <row r="7293">
      <c r="A7293" s="8" t="str">
        <f>IFERROR(__xludf.DUMMYFUNCTION("IF('(INGESTA)Datos_consumo_datadis'!A7293&lt;&gt;"""",SPLIT('(INGESTA)Datos_consumo_datadis'!A:A,"",""),"""")"),"ES0031408323131005HX0F")</f>
        <v>ES0031408323131005HX0F</v>
      </c>
      <c r="B7293" s="12">
        <f>IFERROR(__xludf.DUMMYFUNCTION("""COMPUTED_VALUE"""),45169.0)</f>
        <v>45169</v>
      </c>
      <c r="C7293" s="13">
        <f>IFERROR(__xludf.DUMMYFUNCTION("""COMPUTED_VALUE"""),0.875)</f>
        <v>0.875</v>
      </c>
      <c r="D7293" s="8">
        <f>IFERROR(__xludf.DUMMYFUNCTION("""COMPUTED_VALUE"""),0.006)</f>
        <v>0.006</v>
      </c>
      <c r="E7293" s="8" t="str">
        <f>IFERROR(__xludf.DUMMYFUNCTION("""COMPUTED_VALUE"""),"Real")</f>
        <v>Real</v>
      </c>
      <c r="G7293" s="8">
        <f t="shared" si="1"/>
        <v>8</v>
      </c>
      <c r="H7293" s="14">
        <f t="shared" si="2"/>
        <v>31</v>
      </c>
      <c r="I7293" s="15">
        <f t="shared" si="3"/>
        <v>21</v>
      </c>
    </row>
    <row r="7294">
      <c r="A7294" s="8" t="str">
        <f>IFERROR(__xludf.DUMMYFUNCTION("IF('(INGESTA)Datos_consumo_datadis'!A7294&lt;&gt;"""",SPLIT('(INGESTA)Datos_consumo_datadis'!A:A,"",""),"""")"),"ES0031408323131005HX0F")</f>
        <v>ES0031408323131005HX0F</v>
      </c>
      <c r="B7294" s="12">
        <f>IFERROR(__xludf.DUMMYFUNCTION("""COMPUTED_VALUE"""),45169.0)</f>
        <v>45169</v>
      </c>
      <c r="C7294" s="13">
        <f>IFERROR(__xludf.DUMMYFUNCTION("""COMPUTED_VALUE"""),0.9166666666666666)</f>
        <v>0.9166666667</v>
      </c>
      <c r="D7294" s="8">
        <f>IFERROR(__xludf.DUMMYFUNCTION("""COMPUTED_VALUE"""),0.032)</f>
        <v>0.032</v>
      </c>
      <c r="E7294" s="8" t="str">
        <f>IFERROR(__xludf.DUMMYFUNCTION("""COMPUTED_VALUE"""),"Real")</f>
        <v>Real</v>
      </c>
      <c r="G7294" s="8">
        <f t="shared" si="1"/>
        <v>8</v>
      </c>
      <c r="H7294" s="14">
        <f t="shared" si="2"/>
        <v>31</v>
      </c>
      <c r="I7294" s="15">
        <f t="shared" si="3"/>
        <v>22</v>
      </c>
    </row>
    <row r="7295">
      <c r="A7295" s="8" t="str">
        <f>IFERROR(__xludf.DUMMYFUNCTION("IF('(INGESTA)Datos_consumo_datadis'!A7295&lt;&gt;"""",SPLIT('(INGESTA)Datos_consumo_datadis'!A:A,"",""),"""")"),"ES0031408323131005HX0F")</f>
        <v>ES0031408323131005HX0F</v>
      </c>
      <c r="B7295" s="12">
        <f>IFERROR(__xludf.DUMMYFUNCTION("""COMPUTED_VALUE"""),45169.0)</f>
        <v>45169</v>
      </c>
      <c r="C7295" s="13">
        <f>IFERROR(__xludf.DUMMYFUNCTION("""COMPUTED_VALUE"""),0.9583333333333334)</f>
        <v>0.9583333333</v>
      </c>
      <c r="D7295" s="8">
        <f>IFERROR(__xludf.DUMMYFUNCTION("""COMPUTED_VALUE"""),0.374)</f>
        <v>0.374</v>
      </c>
      <c r="E7295" s="8" t="str">
        <f>IFERROR(__xludf.DUMMYFUNCTION("""COMPUTED_VALUE"""),"Real")</f>
        <v>Real</v>
      </c>
      <c r="G7295" s="8">
        <f t="shared" si="1"/>
        <v>8</v>
      </c>
      <c r="H7295" s="14">
        <f t="shared" si="2"/>
        <v>31</v>
      </c>
      <c r="I7295" s="15">
        <f t="shared" si="3"/>
        <v>23</v>
      </c>
    </row>
    <row r="7296">
      <c r="A7296" s="8" t="str">
        <f>IFERROR(__xludf.DUMMYFUNCTION("IF('(INGESTA)Datos_consumo_datadis'!A7296&lt;&gt;"""",SPLIT('(INGESTA)Datos_consumo_datadis'!A:A,"",""),"""")"),"ES0031408323131005HX0F")</f>
        <v>ES0031408323131005HX0F</v>
      </c>
      <c r="B7296" s="12">
        <f>IFERROR(__xludf.DUMMYFUNCTION("""COMPUTED_VALUE"""),45169.0)</f>
        <v>45169</v>
      </c>
      <c r="C7296" s="16">
        <f>IFERROR(__xludf.DUMMYFUNCTION("""COMPUTED_VALUE"""),1.0)</f>
        <v>1</v>
      </c>
      <c r="D7296" s="8">
        <f>IFERROR(__xludf.DUMMYFUNCTION("""COMPUTED_VALUE"""),0.105)</f>
        <v>0.105</v>
      </c>
      <c r="E7296" s="8" t="str">
        <f>IFERROR(__xludf.DUMMYFUNCTION("""COMPUTED_VALUE"""),"Real")</f>
        <v>Real</v>
      </c>
      <c r="G7296" s="8">
        <f t="shared" si="1"/>
        <v>8</v>
      </c>
      <c r="H7296" s="14">
        <f t="shared" si="2"/>
        <v>31</v>
      </c>
      <c r="I7296" s="15">
        <f t="shared" si="3"/>
        <v>0</v>
      </c>
    </row>
    <row r="7297">
      <c r="A7297" s="8" t="str">
        <f>IFERROR(__xludf.DUMMYFUNCTION("IF('(INGESTA)Datos_consumo_datadis'!A7297&lt;&gt;"""",SPLIT('(INGESTA)Datos_consumo_datadis'!A:A,"",""),"""")"),"ES0031408323131005HX0F")</f>
        <v>ES0031408323131005HX0F</v>
      </c>
      <c r="B7297" s="12">
        <f>IFERROR(__xludf.DUMMYFUNCTION("""COMPUTED_VALUE"""),45170.0)</f>
        <v>45170</v>
      </c>
      <c r="C7297" s="13">
        <f>IFERROR(__xludf.DUMMYFUNCTION("""COMPUTED_VALUE"""),0.041666666666666664)</f>
        <v>0.04166666667</v>
      </c>
      <c r="D7297" s="8">
        <f>IFERROR(__xludf.DUMMYFUNCTION("""COMPUTED_VALUE"""),0.145)</f>
        <v>0.145</v>
      </c>
      <c r="E7297" s="8" t="str">
        <f>IFERROR(__xludf.DUMMYFUNCTION("""COMPUTED_VALUE"""),"Real")</f>
        <v>Real</v>
      </c>
      <c r="G7297" s="8">
        <f t="shared" si="1"/>
        <v>9</v>
      </c>
      <c r="H7297" s="14">
        <f t="shared" si="2"/>
        <v>1</v>
      </c>
      <c r="I7297" s="15">
        <f t="shared" si="3"/>
        <v>1</v>
      </c>
    </row>
    <row r="7298">
      <c r="A7298" s="8" t="str">
        <f>IFERROR(__xludf.DUMMYFUNCTION("IF('(INGESTA)Datos_consumo_datadis'!A7298&lt;&gt;"""",SPLIT('(INGESTA)Datos_consumo_datadis'!A:A,"",""),"""")"),"ES0031408323131005HX0F")</f>
        <v>ES0031408323131005HX0F</v>
      </c>
      <c r="B7298" s="12">
        <f>IFERROR(__xludf.DUMMYFUNCTION("""COMPUTED_VALUE"""),45170.0)</f>
        <v>45170</v>
      </c>
      <c r="C7298" s="13">
        <f>IFERROR(__xludf.DUMMYFUNCTION("""COMPUTED_VALUE"""),0.08333333333333333)</f>
        <v>0.08333333333</v>
      </c>
      <c r="D7298" s="8">
        <f>IFERROR(__xludf.DUMMYFUNCTION("""COMPUTED_VALUE"""),0.131)</f>
        <v>0.131</v>
      </c>
      <c r="E7298" s="8" t="str">
        <f>IFERROR(__xludf.DUMMYFUNCTION("""COMPUTED_VALUE"""),"Real")</f>
        <v>Real</v>
      </c>
      <c r="G7298" s="8">
        <f t="shared" si="1"/>
        <v>9</v>
      </c>
      <c r="H7298" s="14">
        <f t="shared" si="2"/>
        <v>1</v>
      </c>
      <c r="I7298" s="15">
        <f t="shared" si="3"/>
        <v>2</v>
      </c>
    </row>
    <row r="7299">
      <c r="A7299" s="8" t="str">
        <f>IFERROR(__xludf.DUMMYFUNCTION("IF('(INGESTA)Datos_consumo_datadis'!A7299&lt;&gt;"""",SPLIT('(INGESTA)Datos_consumo_datadis'!A:A,"",""),"""")"),"ES0031408323131005HX0F")</f>
        <v>ES0031408323131005HX0F</v>
      </c>
      <c r="B7299" s="12">
        <f>IFERROR(__xludf.DUMMYFUNCTION("""COMPUTED_VALUE"""),45170.0)</f>
        <v>45170</v>
      </c>
      <c r="C7299" s="13">
        <f>IFERROR(__xludf.DUMMYFUNCTION("""COMPUTED_VALUE"""),0.125)</f>
        <v>0.125</v>
      </c>
      <c r="D7299" s="8">
        <f>IFERROR(__xludf.DUMMYFUNCTION("""COMPUTED_VALUE"""),0.118)</f>
        <v>0.118</v>
      </c>
      <c r="E7299" s="8" t="str">
        <f>IFERROR(__xludf.DUMMYFUNCTION("""COMPUTED_VALUE"""),"Real")</f>
        <v>Real</v>
      </c>
      <c r="G7299" s="8">
        <f t="shared" si="1"/>
        <v>9</v>
      </c>
      <c r="H7299" s="14">
        <f t="shared" si="2"/>
        <v>1</v>
      </c>
      <c r="I7299" s="15">
        <f t="shared" si="3"/>
        <v>3</v>
      </c>
    </row>
    <row r="7300">
      <c r="A7300" s="8" t="str">
        <f>IFERROR(__xludf.DUMMYFUNCTION("IF('(INGESTA)Datos_consumo_datadis'!A7300&lt;&gt;"""",SPLIT('(INGESTA)Datos_consumo_datadis'!A:A,"",""),"""")"),"ES0031408323131005HX0F")</f>
        <v>ES0031408323131005HX0F</v>
      </c>
      <c r="B7300" s="12">
        <f>IFERROR(__xludf.DUMMYFUNCTION("""COMPUTED_VALUE"""),45170.0)</f>
        <v>45170</v>
      </c>
      <c r="C7300" s="13">
        <f>IFERROR(__xludf.DUMMYFUNCTION("""COMPUTED_VALUE"""),0.16666666666666666)</f>
        <v>0.1666666667</v>
      </c>
      <c r="D7300" s="8">
        <f>IFERROR(__xludf.DUMMYFUNCTION("""COMPUTED_VALUE"""),0.116)</f>
        <v>0.116</v>
      </c>
      <c r="E7300" s="8" t="str">
        <f>IFERROR(__xludf.DUMMYFUNCTION("""COMPUTED_VALUE"""),"Real")</f>
        <v>Real</v>
      </c>
      <c r="G7300" s="8">
        <f t="shared" si="1"/>
        <v>9</v>
      </c>
      <c r="H7300" s="14">
        <f t="shared" si="2"/>
        <v>1</v>
      </c>
      <c r="I7300" s="15">
        <f t="shared" si="3"/>
        <v>4</v>
      </c>
    </row>
    <row r="7301">
      <c r="A7301" s="8" t="str">
        <f>IFERROR(__xludf.DUMMYFUNCTION("IF('(INGESTA)Datos_consumo_datadis'!A7301&lt;&gt;"""",SPLIT('(INGESTA)Datos_consumo_datadis'!A:A,"",""),"""")"),"ES0031408323131005HX0F")</f>
        <v>ES0031408323131005HX0F</v>
      </c>
      <c r="B7301" s="12">
        <f>IFERROR(__xludf.DUMMYFUNCTION("""COMPUTED_VALUE"""),45170.0)</f>
        <v>45170</v>
      </c>
      <c r="C7301" s="13">
        <f>IFERROR(__xludf.DUMMYFUNCTION("""COMPUTED_VALUE"""),0.20833333333333334)</f>
        <v>0.2083333333</v>
      </c>
      <c r="D7301" s="8">
        <f>IFERROR(__xludf.DUMMYFUNCTION("""COMPUTED_VALUE"""),0.073)</f>
        <v>0.073</v>
      </c>
      <c r="E7301" s="8" t="str">
        <f>IFERROR(__xludf.DUMMYFUNCTION("""COMPUTED_VALUE"""),"Real")</f>
        <v>Real</v>
      </c>
      <c r="G7301" s="8">
        <f t="shared" si="1"/>
        <v>9</v>
      </c>
      <c r="H7301" s="14">
        <f t="shared" si="2"/>
        <v>1</v>
      </c>
      <c r="I7301" s="15">
        <f t="shared" si="3"/>
        <v>5</v>
      </c>
    </row>
    <row r="7302">
      <c r="A7302" s="8" t="str">
        <f>IFERROR(__xludf.DUMMYFUNCTION("IF('(INGESTA)Datos_consumo_datadis'!A7302&lt;&gt;"""",SPLIT('(INGESTA)Datos_consumo_datadis'!A:A,"",""),"""")"),"ES0031408323131005HX0F")</f>
        <v>ES0031408323131005HX0F</v>
      </c>
      <c r="B7302" s="12">
        <f>IFERROR(__xludf.DUMMYFUNCTION("""COMPUTED_VALUE"""),45170.0)</f>
        <v>45170</v>
      </c>
      <c r="C7302" s="13">
        <f>IFERROR(__xludf.DUMMYFUNCTION("""COMPUTED_VALUE"""),0.25)</f>
        <v>0.25</v>
      </c>
      <c r="D7302" s="8">
        <f>IFERROR(__xludf.DUMMYFUNCTION("""COMPUTED_VALUE"""),0.064)</f>
        <v>0.064</v>
      </c>
      <c r="E7302" s="8" t="str">
        <f>IFERROR(__xludf.DUMMYFUNCTION("""COMPUTED_VALUE"""),"Real")</f>
        <v>Real</v>
      </c>
      <c r="G7302" s="8">
        <f t="shared" si="1"/>
        <v>9</v>
      </c>
      <c r="H7302" s="14">
        <f t="shared" si="2"/>
        <v>1</v>
      </c>
      <c r="I7302" s="15">
        <f t="shared" si="3"/>
        <v>6</v>
      </c>
    </row>
    <row r="7303">
      <c r="A7303" s="8" t="str">
        <f>IFERROR(__xludf.DUMMYFUNCTION("IF('(INGESTA)Datos_consumo_datadis'!A7303&lt;&gt;"""",SPLIT('(INGESTA)Datos_consumo_datadis'!A:A,"",""),"""")"),"ES0031408323131005HX0F")</f>
        <v>ES0031408323131005HX0F</v>
      </c>
      <c r="B7303" s="12">
        <f>IFERROR(__xludf.DUMMYFUNCTION("""COMPUTED_VALUE"""),45170.0)</f>
        <v>45170</v>
      </c>
      <c r="C7303" s="13">
        <f>IFERROR(__xludf.DUMMYFUNCTION("""COMPUTED_VALUE"""),0.2916666666666667)</f>
        <v>0.2916666667</v>
      </c>
      <c r="D7303" s="8">
        <f>IFERROR(__xludf.DUMMYFUNCTION("""COMPUTED_VALUE"""),0.387)</f>
        <v>0.387</v>
      </c>
      <c r="E7303" s="8" t="str">
        <f>IFERROR(__xludf.DUMMYFUNCTION("""COMPUTED_VALUE"""),"Real")</f>
        <v>Real</v>
      </c>
      <c r="G7303" s="8">
        <f t="shared" si="1"/>
        <v>9</v>
      </c>
      <c r="H7303" s="14">
        <f t="shared" si="2"/>
        <v>1</v>
      </c>
      <c r="I7303" s="15">
        <f t="shared" si="3"/>
        <v>7</v>
      </c>
    </row>
    <row r="7304">
      <c r="A7304" s="8" t="str">
        <f>IFERROR(__xludf.DUMMYFUNCTION("IF('(INGESTA)Datos_consumo_datadis'!A7304&lt;&gt;"""",SPLIT('(INGESTA)Datos_consumo_datadis'!A:A,"",""),"""")"),"ES0031408323131005HX0F")</f>
        <v>ES0031408323131005HX0F</v>
      </c>
      <c r="B7304" s="12">
        <f>IFERROR(__xludf.DUMMYFUNCTION("""COMPUTED_VALUE"""),45170.0)</f>
        <v>45170</v>
      </c>
      <c r="C7304" s="13">
        <f>IFERROR(__xludf.DUMMYFUNCTION("""COMPUTED_VALUE"""),0.3333333333333333)</f>
        <v>0.3333333333</v>
      </c>
      <c r="D7304" s="8">
        <f>IFERROR(__xludf.DUMMYFUNCTION("""COMPUTED_VALUE"""),0.105)</f>
        <v>0.105</v>
      </c>
      <c r="E7304" s="8" t="str">
        <f>IFERROR(__xludf.DUMMYFUNCTION("""COMPUTED_VALUE"""),"Real")</f>
        <v>Real</v>
      </c>
      <c r="G7304" s="8">
        <f t="shared" si="1"/>
        <v>9</v>
      </c>
      <c r="H7304" s="14">
        <f t="shared" si="2"/>
        <v>1</v>
      </c>
      <c r="I7304" s="15">
        <f t="shared" si="3"/>
        <v>8</v>
      </c>
    </row>
    <row r="7305">
      <c r="A7305" s="8" t="str">
        <f>IFERROR(__xludf.DUMMYFUNCTION("IF('(INGESTA)Datos_consumo_datadis'!A7305&lt;&gt;"""",SPLIT('(INGESTA)Datos_consumo_datadis'!A:A,"",""),"""")"),"ES0031408323131005HX0F")</f>
        <v>ES0031408323131005HX0F</v>
      </c>
      <c r="B7305" s="12">
        <f>IFERROR(__xludf.DUMMYFUNCTION("""COMPUTED_VALUE"""),45170.0)</f>
        <v>45170</v>
      </c>
      <c r="C7305" s="13">
        <f>IFERROR(__xludf.DUMMYFUNCTION("""COMPUTED_VALUE"""),0.375)</f>
        <v>0.375</v>
      </c>
      <c r="D7305" s="8">
        <f>IFERROR(__xludf.DUMMYFUNCTION("""COMPUTED_VALUE"""),0.124)</f>
        <v>0.124</v>
      </c>
      <c r="E7305" s="8" t="str">
        <f>IFERROR(__xludf.DUMMYFUNCTION("""COMPUTED_VALUE"""),"Real")</f>
        <v>Real</v>
      </c>
      <c r="G7305" s="8">
        <f t="shared" si="1"/>
        <v>9</v>
      </c>
      <c r="H7305" s="14">
        <f t="shared" si="2"/>
        <v>1</v>
      </c>
      <c r="I7305" s="15">
        <f t="shared" si="3"/>
        <v>9</v>
      </c>
    </row>
    <row r="7306">
      <c r="A7306" s="8" t="str">
        <f>IFERROR(__xludf.DUMMYFUNCTION("IF('(INGESTA)Datos_consumo_datadis'!A7306&lt;&gt;"""",SPLIT('(INGESTA)Datos_consumo_datadis'!A:A,"",""),"""")"),"ES0031408323131005HX0F")</f>
        <v>ES0031408323131005HX0F</v>
      </c>
      <c r="B7306" s="12">
        <f>IFERROR(__xludf.DUMMYFUNCTION("""COMPUTED_VALUE"""),45170.0)</f>
        <v>45170</v>
      </c>
      <c r="C7306" s="13">
        <f>IFERROR(__xludf.DUMMYFUNCTION("""COMPUTED_VALUE"""),0.4166666666666667)</f>
        <v>0.4166666667</v>
      </c>
      <c r="D7306" s="8">
        <f>IFERROR(__xludf.DUMMYFUNCTION("""COMPUTED_VALUE"""),0.06)</f>
        <v>0.06</v>
      </c>
      <c r="E7306" s="8" t="str">
        <f>IFERROR(__xludf.DUMMYFUNCTION("""COMPUTED_VALUE"""),"Real")</f>
        <v>Real</v>
      </c>
      <c r="G7306" s="8">
        <f t="shared" si="1"/>
        <v>9</v>
      </c>
      <c r="H7306" s="14">
        <f t="shared" si="2"/>
        <v>1</v>
      </c>
      <c r="I7306" s="15">
        <f t="shared" si="3"/>
        <v>10</v>
      </c>
    </row>
    <row r="7307">
      <c r="A7307" s="8" t="str">
        <f>IFERROR(__xludf.DUMMYFUNCTION("IF('(INGESTA)Datos_consumo_datadis'!A7307&lt;&gt;"""",SPLIT('(INGESTA)Datos_consumo_datadis'!A:A,"",""),"""")"),"ES0031408323131005HX0F")</f>
        <v>ES0031408323131005HX0F</v>
      </c>
      <c r="B7307" s="12">
        <f>IFERROR(__xludf.DUMMYFUNCTION("""COMPUTED_VALUE"""),45170.0)</f>
        <v>45170</v>
      </c>
      <c r="C7307" s="13">
        <f>IFERROR(__xludf.DUMMYFUNCTION("""COMPUTED_VALUE"""),0.4583333333333333)</f>
        <v>0.4583333333</v>
      </c>
      <c r="D7307" s="8">
        <f>IFERROR(__xludf.DUMMYFUNCTION("""COMPUTED_VALUE"""),0.077)</f>
        <v>0.077</v>
      </c>
      <c r="E7307" s="8" t="str">
        <f>IFERROR(__xludf.DUMMYFUNCTION("""COMPUTED_VALUE"""),"Real")</f>
        <v>Real</v>
      </c>
      <c r="G7307" s="8">
        <f t="shared" si="1"/>
        <v>9</v>
      </c>
      <c r="H7307" s="14">
        <f t="shared" si="2"/>
        <v>1</v>
      </c>
      <c r="I7307" s="15">
        <f t="shared" si="3"/>
        <v>11</v>
      </c>
    </row>
    <row r="7308">
      <c r="A7308" s="8" t="str">
        <f>IFERROR(__xludf.DUMMYFUNCTION("IF('(INGESTA)Datos_consumo_datadis'!A7308&lt;&gt;"""",SPLIT('(INGESTA)Datos_consumo_datadis'!A:A,"",""),"""")"),"ES0031408323131005HX0F")</f>
        <v>ES0031408323131005HX0F</v>
      </c>
      <c r="B7308" s="12">
        <f>IFERROR(__xludf.DUMMYFUNCTION("""COMPUTED_VALUE"""),45170.0)</f>
        <v>45170</v>
      </c>
      <c r="C7308" s="13">
        <f>IFERROR(__xludf.DUMMYFUNCTION("""COMPUTED_VALUE"""),0.5)</f>
        <v>0.5</v>
      </c>
      <c r="D7308" s="8">
        <f>IFERROR(__xludf.DUMMYFUNCTION("""COMPUTED_VALUE"""),0.127)</f>
        <v>0.127</v>
      </c>
      <c r="E7308" s="8" t="str">
        <f>IFERROR(__xludf.DUMMYFUNCTION("""COMPUTED_VALUE"""),"Real")</f>
        <v>Real</v>
      </c>
      <c r="G7308" s="8">
        <f t="shared" si="1"/>
        <v>9</v>
      </c>
      <c r="H7308" s="14">
        <f t="shared" si="2"/>
        <v>1</v>
      </c>
      <c r="I7308" s="15">
        <f t="shared" si="3"/>
        <v>12</v>
      </c>
    </row>
    <row r="7309">
      <c r="A7309" s="8" t="str">
        <f>IFERROR(__xludf.DUMMYFUNCTION("IF('(INGESTA)Datos_consumo_datadis'!A7309&lt;&gt;"""",SPLIT('(INGESTA)Datos_consumo_datadis'!A:A,"",""),"""")"),"ES0031408323131005HX0F")</f>
        <v>ES0031408323131005HX0F</v>
      </c>
      <c r="B7309" s="12">
        <f>IFERROR(__xludf.DUMMYFUNCTION("""COMPUTED_VALUE"""),45170.0)</f>
        <v>45170</v>
      </c>
      <c r="C7309" s="13">
        <f>IFERROR(__xludf.DUMMYFUNCTION("""COMPUTED_VALUE"""),0.5416666666666666)</f>
        <v>0.5416666667</v>
      </c>
      <c r="D7309" s="8">
        <f>IFERROR(__xludf.DUMMYFUNCTION("""COMPUTED_VALUE"""),0.102)</f>
        <v>0.102</v>
      </c>
      <c r="E7309" s="8" t="str">
        <f>IFERROR(__xludf.DUMMYFUNCTION("""COMPUTED_VALUE"""),"Real")</f>
        <v>Real</v>
      </c>
      <c r="G7309" s="8">
        <f t="shared" si="1"/>
        <v>9</v>
      </c>
      <c r="H7309" s="14">
        <f t="shared" si="2"/>
        <v>1</v>
      </c>
      <c r="I7309" s="15">
        <f t="shared" si="3"/>
        <v>13</v>
      </c>
    </row>
    <row r="7310">
      <c r="A7310" s="8" t="str">
        <f>IFERROR(__xludf.DUMMYFUNCTION("IF('(INGESTA)Datos_consumo_datadis'!A7310&lt;&gt;"""",SPLIT('(INGESTA)Datos_consumo_datadis'!A:A,"",""),"""")"),"ES0031408323131005HX0F")</f>
        <v>ES0031408323131005HX0F</v>
      </c>
      <c r="B7310" s="12">
        <f>IFERROR(__xludf.DUMMYFUNCTION("""COMPUTED_VALUE"""),45170.0)</f>
        <v>45170</v>
      </c>
      <c r="C7310" s="13">
        <f>IFERROR(__xludf.DUMMYFUNCTION("""COMPUTED_VALUE"""),0.5833333333333334)</f>
        <v>0.5833333333</v>
      </c>
      <c r="D7310" s="8">
        <f>IFERROR(__xludf.DUMMYFUNCTION("""COMPUTED_VALUE"""),0.417)</f>
        <v>0.417</v>
      </c>
      <c r="E7310" s="8" t="str">
        <f>IFERROR(__xludf.DUMMYFUNCTION("""COMPUTED_VALUE"""),"Real")</f>
        <v>Real</v>
      </c>
      <c r="G7310" s="8">
        <f t="shared" si="1"/>
        <v>9</v>
      </c>
      <c r="H7310" s="14">
        <f t="shared" si="2"/>
        <v>1</v>
      </c>
      <c r="I7310" s="15">
        <f t="shared" si="3"/>
        <v>14</v>
      </c>
    </row>
    <row r="7311">
      <c r="A7311" s="8" t="str">
        <f>IFERROR(__xludf.DUMMYFUNCTION("IF('(INGESTA)Datos_consumo_datadis'!A7311&lt;&gt;"""",SPLIT('(INGESTA)Datos_consumo_datadis'!A:A,"",""),"""")"),"ES0031408323131005HX0F")</f>
        <v>ES0031408323131005HX0F</v>
      </c>
      <c r="B7311" s="12">
        <f>IFERROR(__xludf.DUMMYFUNCTION("""COMPUTED_VALUE"""),45170.0)</f>
        <v>45170</v>
      </c>
      <c r="C7311" s="13">
        <f>IFERROR(__xludf.DUMMYFUNCTION("""COMPUTED_VALUE"""),0.625)</f>
        <v>0.625</v>
      </c>
      <c r="D7311" s="8">
        <f>IFERROR(__xludf.DUMMYFUNCTION("""COMPUTED_VALUE"""),0.045)</f>
        <v>0.045</v>
      </c>
      <c r="E7311" s="8" t="str">
        <f>IFERROR(__xludf.DUMMYFUNCTION("""COMPUTED_VALUE"""),"Real")</f>
        <v>Real</v>
      </c>
      <c r="G7311" s="8">
        <f t="shared" si="1"/>
        <v>9</v>
      </c>
      <c r="H7311" s="14">
        <f t="shared" si="2"/>
        <v>1</v>
      </c>
      <c r="I7311" s="15">
        <f t="shared" si="3"/>
        <v>15</v>
      </c>
    </row>
    <row r="7312">
      <c r="A7312" s="8" t="str">
        <f>IFERROR(__xludf.DUMMYFUNCTION("IF('(INGESTA)Datos_consumo_datadis'!A7312&lt;&gt;"""",SPLIT('(INGESTA)Datos_consumo_datadis'!A:A,"",""),"""")"),"ES0031408323131005HX0F")</f>
        <v>ES0031408323131005HX0F</v>
      </c>
      <c r="B7312" s="12">
        <f>IFERROR(__xludf.DUMMYFUNCTION("""COMPUTED_VALUE"""),45170.0)</f>
        <v>45170</v>
      </c>
      <c r="C7312" s="13">
        <f>IFERROR(__xludf.DUMMYFUNCTION("""COMPUTED_VALUE"""),0.6666666666666666)</f>
        <v>0.6666666667</v>
      </c>
      <c r="D7312" s="8">
        <f>IFERROR(__xludf.DUMMYFUNCTION("""COMPUTED_VALUE"""),0.093)</f>
        <v>0.093</v>
      </c>
      <c r="E7312" s="8" t="str">
        <f>IFERROR(__xludf.DUMMYFUNCTION("""COMPUTED_VALUE"""),"Real")</f>
        <v>Real</v>
      </c>
      <c r="G7312" s="8">
        <f t="shared" si="1"/>
        <v>9</v>
      </c>
      <c r="H7312" s="14">
        <f t="shared" si="2"/>
        <v>1</v>
      </c>
      <c r="I7312" s="15">
        <f t="shared" si="3"/>
        <v>16</v>
      </c>
    </row>
    <row r="7313">
      <c r="A7313" s="8" t="str">
        <f>IFERROR(__xludf.DUMMYFUNCTION("IF('(INGESTA)Datos_consumo_datadis'!A7313&lt;&gt;"""",SPLIT('(INGESTA)Datos_consumo_datadis'!A:A,"",""),"""")"),"ES0031408323131005HX0F")</f>
        <v>ES0031408323131005HX0F</v>
      </c>
      <c r="B7313" s="12">
        <f>IFERROR(__xludf.DUMMYFUNCTION("""COMPUTED_VALUE"""),45170.0)</f>
        <v>45170</v>
      </c>
      <c r="C7313" s="13">
        <f>IFERROR(__xludf.DUMMYFUNCTION("""COMPUTED_VALUE"""),0.7083333333333334)</f>
        <v>0.7083333333</v>
      </c>
      <c r="D7313" s="8">
        <f>IFERROR(__xludf.DUMMYFUNCTION("""COMPUTED_VALUE"""),0.126)</f>
        <v>0.126</v>
      </c>
      <c r="E7313" s="8" t="str">
        <f>IFERROR(__xludf.DUMMYFUNCTION("""COMPUTED_VALUE"""),"Real")</f>
        <v>Real</v>
      </c>
      <c r="G7313" s="8">
        <f t="shared" si="1"/>
        <v>9</v>
      </c>
      <c r="H7313" s="14">
        <f t="shared" si="2"/>
        <v>1</v>
      </c>
      <c r="I7313" s="15">
        <f t="shared" si="3"/>
        <v>17</v>
      </c>
    </row>
    <row r="7314">
      <c r="A7314" s="8" t="str">
        <f>IFERROR(__xludf.DUMMYFUNCTION("IF('(INGESTA)Datos_consumo_datadis'!A7314&lt;&gt;"""",SPLIT('(INGESTA)Datos_consumo_datadis'!A:A,"",""),"""")"),"ES0031408323131005HX0F")</f>
        <v>ES0031408323131005HX0F</v>
      </c>
      <c r="B7314" s="12">
        <f>IFERROR(__xludf.DUMMYFUNCTION("""COMPUTED_VALUE"""),45170.0)</f>
        <v>45170</v>
      </c>
      <c r="C7314" s="13">
        <f>IFERROR(__xludf.DUMMYFUNCTION("""COMPUTED_VALUE"""),0.75)</f>
        <v>0.75</v>
      </c>
      <c r="D7314" s="8">
        <f>IFERROR(__xludf.DUMMYFUNCTION("""COMPUTED_VALUE"""),0.144)</f>
        <v>0.144</v>
      </c>
      <c r="E7314" s="8" t="str">
        <f>IFERROR(__xludf.DUMMYFUNCTION("""COMPUTED_VALUE"""),"Real")</f>
        <v>Real</v>
      </c>
      <c r="G7314" s="8">
        <f t="shared" si="1"/>
        <v>9</v>
      </c>
      <c r="H7314" s="14">
        <f t="shared" si="2"/>
        <v>1</v>
      </c>
      <c r="I7314" s="15">
        <f t="shared" si="3"/>
        <v>18</v>
      </c>
    </row>
    <row r="7315">
      <c r="A7315" s="8" t="str">
        <f>IFERROR(__xludf.DUMMYFUNCTION("IF('(INGESTA)Datos_consumo_datadis'!A7315&lt;&gt;"""",SPLIT('(INGESTA)Datos_consumo_datadis'!A:A,"",""),"""")"),"ES0031408323131005HX0F")</f>
        <v>ES0031408323131005HX0F</v>
      </c>
      <c r="B7315" s="12">
        <f>IFERROR(__xludf.DUMMYFUNCTION("""COMPUTED_VALUE"""),45170.0)</f>
        <v>45170</v>
      </c>
      <c r="C7315" s="13">
        <f>IFERROR(__xludf.DUMMYFUNCTION("""COMPUTED_VALUE"""),0.7916666666666666)</f>
        <v>0.7916666667</v>
      </c>
      <c r="D7315" s="8">
        <f>IFERROR(__xludf.DUMMYFUNCTION("""COMPUTED_VALUE"""),0.13)</f>
        <v>0.13</v>
      </c>
      <c r="E7315" s="8" t="str">
        <f>IFERROR(__xludf.DUMMYFUNCTION("""COMPUTED_VALUE"""),"Real")</f>
        <v>Real</v>
      </c>
      <c r="G7315" s="8">
        <f t="shared" si="1"/>
        <v>9</v>
      </c>
      <c r="H7315" s="14">
        <f t="shared" si="2"/>
        <v>1</v>
      </c>
      <c r="I7315" s="15">
        <f t="shared" si="3"/>
        <v>19</v>
      </c>
    </row>
    <row r="7316">
      <c r="A7316" s="8" t="str">
        <f>IFERROR(__xludf.DUMMYFUNCTION("IF('(INGESTA)Datos_consumo_datadis'!A7316&lt;&gt;"""",SPLIT('(INGESTA)Datos_consumo_datadis'!A:A,"",""),"""")"),"ES0031408323131005HX0F")</f>
        <v>ES0031408323131005HX0F</v>
      </c>
      <c r="B7316" s="12">
        <f>IFERROR(__xludf.DUMMYFUNCTION("""COMPUTED_VALUE"""),45170.0)</f>
        <v>45170</v>
      </c>
      <c r="C7316" s="13">
        <f>IFERROR(__xludf.DUMMYFUNCTION("""COMPUTED_VALUE"""),0.8333333333333334)</f>
        <v>0.8333333333</v>
      </c>
      <c r="D7316" s="8">
        <f>IFERROR(__xludf.DUMMYFUNCTION("""COMPUTED_VALUE"""),0.115)</f>
        <v>0.115</v>
      </c>
      <c r="E7316" s="8" t="str">
        <f>IFERROR(__xludf.DUMMYFUNCTION("""COMPUTED_VALUE"""),"Real")</f>
        <v>Real</v>
      </c>
      <c r="G7316" s="8">
        <f t="shared" si="1"/>
        <v>9</v>
      </c>
      <c r="H7316" s="14">
        <f t="shared" si="2"/>
        <v>1</v>
      </c>
      <c r="I7316" s="15">
        <f t="shared" si="3"/>
        <v>20</v>
      </c>
    </row>
    <row r="7317">
      <c r="A7317" s="8" t="str">
        <f>IFERROR(__xludf.DUMMYFUNCTION("IF('(INGESTA)Datos_consumo_datadis'!A7317&lt;&gt;"""",SPLIT('(INGESTA)Datos_consumo_datadis'!A:A,"",""),"""")"),"ES0031408323131005HX0F")</f>
        <v>ES0031408323131005HX0F</v>
      </c>
      <c r="B7317" s="12">
        <f>IFERROR(__xludf.DUMMYFUNCTION("""COMPUTED_VALUE"""),45170.0)</f>
        <v>45170</v>
      </c>
      <c r="C7317" s="13">
        <f>IFERROR(__xludf.DUMMYFUNCTION("""COMPUTED_VALUE"""),0.875)</f>
        <v>0.875</v>
      </c>
      <c r="D7317" s="8">
        <f>IFERROR(__xludf.DUMMYFUNCTION("""COMPUTED_VALUE"""),0.117)</f>
        <v>0.117</v>
      </c>
      <c r="E7317" s="8" t="str">
        <f>IFERROR(__xludf.DUMMYFUNCTION("""COMPUTED_VALUE"""),"Real")</f>
        <v>Real</v>
      </c>
      <c r="G7317" s="8">
        <f t="shared" si="1"/>
        <v>9</v>
      </c>
      <c r="H7317" s="14">
        <f t="shared" si="2"/>
        <v>1</v>
      </c>
      <c r="I7317" s="15">
        <f t="shared" si="3"/>
        <v>21</v>
      </c>
    </row>
    <row r="7318">
      <c r="A7318" s="8" t="str">
        <f>IFERROR(__xludf.DUMMYFUNCTION("IF('(INGESTA)Datos_consumo_datadis'!A7318&lt;&gt;"""",SPLIT('(INGESTA)Datos_consumo_datadis'!A:A,"",""),"""")"),"ES0031408323131005HX0F")</f>
        <v>ES0031408323131005HX0F</v>
      </c>
      <c r="B7318" s="12">
        <f>IFERROR(__xludf.DUMMYFUNCTION("""COMPUTED_VALUE"""),45170.0)</f>
        <v>45170</v>
      </c>
      <c r="C7318" s="13">
        <f>IFERROR(__xludf.DUMMYFUNCTION("""COMPUTED_VALUE"""),0.9166666666666666)</f>
        <v>0.9166666667</v>
      </c>
      <c r="D7318" s="8">
        <f>IFERROR(__xludf.DUMMYFUNCTION("""COMPUTED_VALUE"""),0.338)</f>
        <v>0.338</v>
      </c>
      <c r="E7318" s="8" t="str">
        <f>IFERROR(__xludf.DUMMYFUNCTION("""COMPUTED_VALUE"""),"Real")</f>
        <v>Real</v>
      </c>
      <c r="G7318" s="8">
        <f t="shared" si="1"/>
        <v>9</v>
      </c>
      <c r="H7318" s="14">
        <f t="shared" si="2"/>
        <v>1</v>
      </c>
      <c r="I7318" s="15">
        <f t="shared" si="3"/>
        <v>22</v>
      </c>
    </row>
    <row r="7319">
      <c r="A7319" s="8" t="str">
        <f>IFERROR(__xludf.DUMMYFUNCTION("IF('(INGESTA)Datos_consumo_datadis'!A7319&lt;&gt;"""",SPLIT('(INGESTA)Datos_consumo_datadis'!A:A,"",""),"""")"),"ES0031408323131005HX0F")</f>
        <v>ES0031408323131005HX0F</v>
      </c>
      <c r="B7319" s="12">
        <f>IFERROR(__xludf.DUMMYFUNCTION("""COMPUTED_VALUE"""),45170.0)</f>
        <v>45170</v>
      </c>
      <c r="C7319" s="13">
        <f>IFERROR(__xludf.DUMMYFUNCTION("""COMPUTED_VALUE"""),0.9583333333333334)</f>
        <v>0.9583333333</v>
      </c>
      <c r="D7319" s="8">
        <f>IFERROR(__xludf.DUMMYFUNCTION("""COMPUTED_VALUE"""),0.064)</f>
        <v>0.064</v>
      </c>
      <c r="E7319" s="8" t="str">
        <f>IFERROR(__xludf.DUMMYFUNCTION("""COMPUTED_VALUE"""),"Real")</f>
        <v>Real</v>
      </c>
      <c r="G7319" s="8">
        <f t="shared" si="1"/>
        <v>9</v>
      </c>
      <c r="H7319" s="14">
        <f t="shared" si="2"/>
        <v>1</v>
      </c>
      <c r="I7319" s="15">
        <f t="shared" si="3"/>
        <v>23</v>
      </c>
    </row>
    <row r="7320">
      <c r="A7320" s="8" t="str">
        <f>IFERROR(__xludf.DUMMYFUNCTION("IF('(INGESTA)Datos_consumo_datadis'!A7320&lt;&gt;"""",SPLIT('(INGESTA)Datos_consumo_datadis'!A:A,"",""),"""")"),"ES0031408323131005HX0F")</f>
        <v>ES0031408323131005HX0F</v>
      </c>
      <c r="B7320" s="12">
        <f>IFERROR(__xludf.DUMMYFUNCTION("""COMPUTED_VALUE"""),45170.0)</f>
        <v>45170</v>
      </c>
      <c r="C7320" s="16">
        <f>IFERROR(__xludf.DUMMYFUNCTION("""COMPUTED_VALUE"""),1.0)</f>
        <v>1</v>
      </c>
      <c r="D7320" s="8">
        <f>IFERROR(__xludf.DUMMYFUNCTION("""COMPUTED_VALUE"""),0.128)</f>
        <v>0.128</v>
      </c>
      <c r="E7320" s="8" t="str">
        <f>IFERROR(__xludf.DUMMYFUNCTION("""COMPUTED_VALUE"""),"Real")</f>
        <v>Real</v>
      </c>
      <c r="G7320" s="8">
        <f t="shared" si="1"/>
        <v>9</v>
      </c>
      <c r="H7320" s="14">
        <f t="shared" si="2"/>
        <v>1</v>
      </c>
      <c r="I7320" s="15">
        <f t="shared" si="3"/>
        <v>0</v>
      </c>
    </row>
    <row r="7321">
      <c r="A7321" s="8" t="str">
        <f>IFERROR(__xludf.DUMMYFUNCTION("IF('(INGESTA)Datos_consumo_datadis'!A7321&lt;&gt;"""",SPLIT('(INGESTA)Datos_consumo_datadis'!A:A,"",""),"""")"),"ES0031408323131005HX0F")</f>
        <v>ES0031408323131005HX0F</v>
      </c>
      <c r="B7321" s="12">
        <f>IFERROR(__xludf.DUMMYFUNCTION("""COMPUTED_VALUE"""),45171.0)</f>
        <v>45171</v>
      </c>
      <c r="C7321" s="13">
        <f>IFERROR(__xludf.DUMMYFUNCTION("""COMPUTED_VALUE"""),0.041666666666666664)</f>
        <v>0.04166666667</v>
      </c>
      <c r="D7321" s="8">
        <f>IFERROR(__xludf.DUMMYFUNCTION("""COMPUTED_VALUE"""),0.117)</f>
        <v>0.117</v>
      </c>
      <c r="E7321" s="8" t="str">
        <f>IFERROR(__xludf.DUMMYFUNCTION("""COMPUTED_VALUE"""),"Real")</f>
        <v>Real</v>
      </c>
      <c r="G7321" s="8">
        <f t="shared" si="1"/>
        <v>9</v>
      </c>
      <c r="H7321" s="14">
        <f t="shared" si="2"/>
        <v>2</v>
      </c>
      <c r="I7321" s="15">
        <f t="shared" si="3"/>
        <v>1</v>
      </c>
    </row>
    <row r="7322">
      <c r="A7322" s="8" t="str">
        <f>IFERROR(__xludf.DUMMYFUNCTION("IF('(INGESTA)Datos_consumo_datadis'!A7322&lt;&gt;"""",SPLIT('(INGESTA)Datos_consumo_datadis'!A:A,"",""),"""")"),"ES0031408323131005HX0F")</f>
        <v>ES0031408323131005HX0F</v>
      </c>
      <c r="B7322" s="12">
        <f>IFERROR(__xludf.DUMMYFUNCTION("""COMPUTED_VALUE"""),45171.0)</f>
        <v>45171</v>
      </c>
      <c r="C7322" s="13">
        <f>IFERROR(__xludf.DUMMYFUNCTION("""COMPUTED_VALUE"""),0.08333333333333333)</f>
        <v>0.08333333333</v>
      </c>
      <c r="D7322" s="8">
        <f>IFERROR(__xludf.DUMMYFUNCTION("""COMPUTED_VALUE"""),0.114)</f>
        <v>0.114</v>
      </c>
      <c r="E7322" s="8" t="str">
        <f>IFERROR(__xludf.DUMMYFUNCTION("""COMPUTED_VALUE"""),"Real")</f>
        <v>Real</v>
      </c>
      <c r="G7322" s="8">
        <f t="shared" si="1"/>
        <v>9</v>
      </c>
      <c r="H7322" s="14">
        <f t="shared" si="2"/>
        <v>2</v>
      </c>
      <c r="I7322" s="15">
        <f t="shared" si="3"/>
        <v>2</v>
      </c>
    </row>
    <row r="7323">
      <c r="A7323" s="8" t="str">
        <f>IFERROR(__xludf.DUMMYFUNCTION("IF('(INGESTA)Datos_consumo_datadis'!A7323&lt;&gt;"""",SPLIT('(INGESTA)Datos_consumo_datadis'!A:A,"",""),"""")"),"ES0031408323131005HX0F")</f>
        <v>ES0031408323131005HX0F</v>
      </c>
      <c r="B7323" s="12">
        <f>IFERROR(__xludf.DUMMYFUNCTION("""COMPUTED_VALUE"""),45171.0)</f>
        <v>45171</v>
      </c>
      <c r="C7323" s="13">
        <f>IFERROR(__xludf.DUMMYFUNCTION("""COMPUTED_VALUE"""),0.125)</f>
        <v>0.125</v>
      </c>
      <c r="D7323" s="8">
        <f>IFERROR(__xludf.DUMMYFUNCTION("""COMPUTED_VALUE"""),0.079)</f>
        <v>0.079</v>
      </c>
      <c r="E7323" s="8" t="str">
        <f>IFERROR(__xludf.DUMMYFUNCTION("""COMPUTED_VALUE"""),"Real")</f>
        <v>Real</v>
      </c>
      <c r="G7323" s="8">
        <f t="shared" si="1"/>
        <v>9</v>
      </c>
      <c r="H7323" s="14">
        <f t="shared" si="2"/>
        <v>2</v>
      </c>
      <c r="I7323" s="15">
        <f t="shared" si="3"/>
        <v>3</v>
      </c>
    </row>
    <row r="7324">
      <c r="A7324" s="8" t="str">
        <f>IFERROR(__xludf.DUMMYFUNCTION("IF('(INGESTA)Datos_consumo_datadis'!A7324&lt;&gt;"""",SPLIT('(INGESTA)Datos_consumo_datadis'!A:A,"",""),"""")"),"ES0031408323131005HX0F")</f>
        <v>ES0031408323131005HX0F</v>
      </c>
      <c r="B7324" s="12">
        <f>IFERROR(__xludf.DUMMYFUNCTION("""COMPUTED_VALUE"""),45171.0)</f>
        <v>45171</v>
      </c>
      <c r="C7324" s="13">
        <f>IFERROR(__xludf.DUMMYFUNCTION("""COMPUTED_VALUE"""),0.16666666666666666)</f>
        <v>0.1666666667</v>
      </c>
      <c r="D7324" s="8">
        <f>IFERROR(__xludf.DUMMYFUNCTION("""COMPUTED_VALUE"""),0.039)</f>
        <v>0.039</v>
      </c>
      <c r="E7324" s="8" t="str">
        <f>IFERROR(__xludf.DUMMYFUNCTION("""COMPUTED_VALUE"""),"Real")</f>
        <v>Real</v>
      </c>
      <c r="G7324" s="8">
        <f t="shared" si="1"/>
        <v>9</v>
      </c>
      <c r="H7324" s="14">
        <f t="shared" si="2"/>
        <v>2</v>
      </c>
      <c r="I7324" s="15">
        <f t="shared" si="3"/>
        <v>4</v>
      </c>
    </row>
    <row r="7325">
      <c r="A7325" s="8" t="str">
        <f>IFERROR(__xludf.DUMMYFUNCTION("IF('(INGESTA)Datos_consumo_datadis'!A7325&lt;&gt;"""",SPLIT('(INGESTA)Datos_consumo_datadis'!A:A,"",""),"""")"),"ES0031408323131005HX0F")</f>
        <v>ES0031408323131005HX0F</v>
      </c>
      <c r="B7325" s="12">
        <f>IFERROR(__xludf.DUMMYFUNCTION("""COMPUTED_VALUE"""),45171.0)</f>
        <v>45171</v>
      </c>
      <c r="C7325" s="13">
        <f>IFERROR(__xludf.DUMMYFUNCTION("""COMPUTED_VALUE"""),0.20833333333333334)</f>
        <v>0.2083333333</v>
      </c>
      <c r="D7325" s="8">
        <f>IFERROR(__xludf.DUMMYFUNCTION("""COMPUTED_VALUE"""),0.13)</f>
        <v>0.13</v>
      </c>
      <c r="E7325" s="8" t="str">
        <f>IFERROR(__xludf.DUMMYFUNCTION("""COMPUTED_VALUE"""),"Real")</f>
        <v>Real</v>
      </c>
      <c r="G7325" s="8">
        <f t="shared" si="1"/>
        <v>9</v>
      </c>
      <c r="H7325" s="14">
        <f t="shared" si="2"/>
        <v>2</v>
      </c>
      <c r="I7325" s="15">
        <f t="shared" si="3"/>
        <v>5</v>
      </c>
    </row>
    <row r="7326">
      <c r="A7326" s="8" t="str">
        <f>IFERROR(__xludf.DUMMYFUNCTION("IF('(INGESTA)Datos_consumo_datadis'!A7326&lt;&gt;"""",SPLIT('(INGESTA)Datos_consumo_datadis'!A:A,"",""),"""")"),"ES0031408323131005HX0F")</f>
        <v>ES0031408323131005HX0F</v>
      </c>
      <c r="B7326" s="12">
        <f>IFERROR(__xludf.DUMMYFUNCTION("""COMPUTED_VALUE"""),45171.0)</f>
        <v>45171</v>
      </c>
      <c r="C7326" s="13">
        <f>IFERROR(__xludf.DUMMYFUNCTION("""COMPUTED_VALUE"""),0.25)</f>
        <v>0.25</v>
      </c>
      <c r="D7326" s="8">
        <f>IFERROR(__xludf.DUMMYFUNCTION("""COMPUTED_VALUE"""),0.399)</f>
        <v>0.399</v>
      </c>
      <c r="E7326" s="8" t="str">
        <f>IFERROR(__xludf.DUMMYFUNCTION("""COMPUTED_VALUE"""),"Real")</f>
        <v>Real</v>
      </c>
      <c r="G7326" s="8">
        <f t="shared" si="1"/>
        <v>9</v>
      </c>
      <c r="H7326" s="14">
        <f t="shared" si="2"/>
        <v>2</v>
      </c>
      <c r="I7326" s="15">
        <f t="shared" si="3"/>
        <v>6</v>
      </c>
    </row>
    <row r="7327">
      <c r="A7327" s="8" t="str">
        <f>IFERROR(__xludf.DUMMYFUNCTION("IF('(INGESTA)Datos_consumo_datadis'!A7327&lt;&gt;"""",SPLIT('(INGESTA)Datos_consumo_datadis'!A:A,"",""),"""")"),"ES0031408323131005HX0F")</f>
        <v>ES0031408323131005HX0F</v>
      </c>
      <c r="B7327" s="12">
        <f>IFERROR(__xludf.DUMMYFUNCTION("""COMPUTED_VALUE"""),45171.0)</f>
        <v>45171</v>
      </c>
      <c r="C7327" s="13">
        <f>IFERROR(__xludf.DUMMYFUNCTION("""COMPUTED_VALUE"""),0.2916666666666667)</f>
        <v>0.2916666667</v>
      </c>
      <c r="D7327" s="8">
        <f>IFERROR(__xludf.DUMMYFUNCTION("""COMPUTED_VALUE"""),0.093)</f>
        <v>0.093</v>
      </c>
      <c r="E7327" s="8" t="str">
        <f>IFERROR(__xludf.DUMMYFUNCTION("""COMPUTED_VALUE"""),"Real")</f>
        <v>Real</v>
      </c>
      <c r="G7327" s="8">
        <f t="shared" si="1"/>
        <v>9</v>
      </c>
      <c r="H7327" s="14">
        <f t="shared" si="2"/>
        <v>2</v>
      </c>
      <c r="I7327" s="15">
        <f t="shared" si="3"/>
        <v>7</v>
      </c>
    </row>
    <row r="7328">
      <c r="A7328" s="8" t="str">
        <f>IFERROR(__xludf.DUMMYFUNCTION("IF('(INGESTA)Datos_consumo_datadis'!A7328&lt;&gt;"""",SPLIT('(INGESTA)Datos_consumo_datadis'!A:A,"",""),"""")"),"ES0031408323131005HX0F")</f>
        <v>ES0031408323131005HX0F</v>
      </c>
      <c r="B7328" s="12">
        <f>IFERROR(__xludf.DUMMYFUNCTION("""COMPUTED_VALUE"""),45171.0)</f>
        <v>45171</v>
      </c>
      <c r="C7328" s="13">
        <f>IFERROR(__xludf.DUMMYFUNCTION("""COMPUTED_VALUE"""),0.3333333333333333)</f>
        <v>0.3333333333</v>
      </c>
      <c r="D7328" s="8">
        <f>IFERROR(__xludf.DUMMYFUNCTION("""COMPUTED_VALUE"""),0.089)</f>
        <v>0.089</v>
      </c>
      <c r="E7328" s="8" t="str">
        <f>IFERROR(__xludf.DUMMYFUNCTION("""COMPUTED_VALUE"""),"Real")</f>
        <v>Real</v>
      </c>
      <c r="G7328" s="8">
        <f t="shared" si="1"/>
        <v>9</v>
      </c>
      <c r="H7328" s="14">
        <f t="shared" si="2"/>
        <v>2</v>
      </c>
      <c r="I7328" s="15">
        <f t="shared" si="3"/>
        <v>8</v>
      </c>
    </row>
    <row r="7329">
      <c r="A7329" s="8" t="str">
        <f>IFERROR(__xludf.DUMMYFUNCTION("IF('(INGESTA)Datos_consumo_datadis'!A7329&lt;&gt;"""",SPLIT('(INGESTA)Datos_consumo_datadis'!A:A,"",""),"""")"),"ES0031408323131005HX0F")</f>
        <v>ES0031408323131005HX0F</v>
      </c>
      <c r="B7329" s="12">
        <f>IFERROR(__xludf.DUMMYFUNCTION("""COMPUTED_VALUE"""),45171.0)</f>
        <v>45171</v>
      </c>
      <c r="C7329" s="13">
        <f>IFERROR(__xludf.DUMMYFUNCTION("""COMPUTED_VALUE"""),0.375)</f>
        <v>0.375</v>
      </c>
      <c r="D7329" s="8">
        <f>IFERROR(__xludf.DUMMYFUNCTION("""COMPUTED_VALUE"""),0.05)</f>
        <v>0.05</v>
      </c>
      <c r="E7329" s="8" t="str">
        <f>IFERROR(__xludf.DUMMYFUNCTION("""COMPUTED_VALUE"""),"Real")</f>
        <v>Real</v>
      </c>
      <c r="G7329" s="8">
        <f t="shared" si="1"/>
        <v>9</v>
      </c>
      <c r="H7329" s="14">
        <f t="shared" si="2"/>
        <v>2</v>
      </c>
      <c r="I7329" s="15">
        <f t="shared" si="3"/>
        <v>9</v>
      </c>
    </row>
    <row r="7330">
      <c r="A7330" s="8" t="str">
        <f>IFERROR(__xludf.DUMMYFUNCTION("IF('(INGESTA)Datos_consumo_datadis'!A7330&lt;&gt;"""",SPLIT('(INGESTA)Datos_consumo_datadis'!A:A,"",""),"""")"),"ES0031408323131005HX0F")</f>
        <v>ES0031408323131005HX0F</v>
      </c>
      <c r="B7330" s="12">
        <f>IFERROR(__xludf.DUMMYFUNCTION("""COMPUTED_VALUE"""),45171.0)</f>
        <v>45171</v>
      </c>
      <c r="C7330" s="13">
        <f>IFERROR(__xludf.DUMMYFUNCTION("""COMPUTED_VALUE"""),0.4166666666666667)</f>
        <v>0.4166666667</v>
      </c>
      <c r="D7330" s="8">
        <f>IFERROR(__xludf.DUMMYFUNCTION("""COMPUTED_VALUE"""),0.028)</f>
        <v>0.028</v>
      </c>
      <c r="E7330" s="8" t="str">
        <f>IFERROR(__xludf.DUMMYFUNCTION("""COMPUTED_VALUE"""),"Real")</f>
        <v>Real</v>
      </c>
      <c r="G7330" s="8">
        <f t="shared" si="1"/>
        <v>9</v>
      </c>
      <c r="H7330" s="14">
        <f t="shared" si="2"/>
        <v>2</v>
      </c>
      <c r="I7330" s="15">
        <f t="shared" si="3"/>
        <v>10</v>
      </c>
    </row>
    <row r="7331">
      <c r="A7331" s="8" t="str">
        <f>IFERROR(__xludf.DUMMYFUNCTION("IF('(INGESTA)Datos_consumo_datadis'!A7331&lt;&gt;"""",SPLIT('(INGESTA)Datos_consumo_datadis'!A:A,"",""),"""")"),"ES0031408323131005HX0F")</f>
        <v>ES0031408323131005HX0F</v>
      </c>
      <c r="B7331" s="12">
        <f>IFERROR(__xludf.DUMMYFUNCTION("""COMPUTED_VALUE"""),45171.0)</f>
        <v>45171</v>
      </c>
      <c r="C7331" s="13">
        <f>IFERROR(__xludf.DUMMYFUNCTION("""COMPUTED_VALUE"""),0.4583333333333333)</f>
        <v>0.4583333333</v>
      </c>
      <c r="D7331" s="8">
        <f>IFERROR(__xludf.DUMMYFUNCTION("""COMPUTED_VALUE"""),0.077)</f>
        <v>0.077</v>
      </c>
      <c r="E7331" s="8" t="str">
        <f>IFERROR(__xludf.DUMMYFUNCTION("""COMPUTED_VALUE"""),"Real")</f>
        <v>Real</v>
      </c>
      <c r="G7331" s="8">
        <f t="shared" si="1"/>
        <v>9</v>
      </c>
      <c r="H7331" s="14">
        <f t="shared" si="2"/>
        <v>2</v>
      </c>
      <c r="I7331" s="15">
        <f t="shared" si="3"/>
        <v>11</v>
      </c>
    </row>
    <row r="7332">
      <c r="A7332" s="8" t="str">
        <f>IFERROR(__xludf.DUMMYFUNCTION("IF('(INGESTA)Datos_consumo_datadis'!A7332&lt;&gt;"""",SPLIT('(INGESTA)Datos_consumo_datadis'!A:A,"",""),"""")"),"ES0031408323131005HX0F")</f>
        <v>ES0031408323131005HX0F</v>
      </c>
      <c r="B7332" s="12">
        <f>IFERROR(__xludf.DUMMYFUNCTION("""COMPUTED_VALUE"""),45171.0)</f>
        <v>45171</v>
      </c>
      <c r="C7332" s="13">
        <f>IFERROR(__xludf.DUMMYFUNCTION("""COMPUTED_VALUE"""),0.5)</f>
        <v>0.5</v>
      </c>
      <c r="D7332" s="8">
        <f>IFERROR(__xludf.DUMMYFUNCTION("""COMPUTED_VALUE"""),0.129)</f>
        <v>0.129</v>
      </c>
      <c r="E7332" s="8" t="str">
        <f>IFERROR(__xludf.DUMMYFUNCTION("""COMPUTED_VALUE"""),"Real")</f>
        <v>Real</v>
      </c>
      <c r="G7332" s="8">
        <f t="shared" si="1"/>
        <v>9</v>
      </c>
      <c r="H7332" s="14">
        <f t="shared" si="2"/>
        <v>2</v>
      </c>
      <c r="I7332" s="15">
        <f t="shared" si="3"/>
        <v>12</v>
      </c>
    </row>
    <row r="7333">
      <c r="A7333" s="8" t="str">
        <f>IFERROR(__xludf.DUMMYFUNCTION("IF('(INGESTA)Datos_consumo_datadis'!A7333&lt;&gt;"""",SPLIT('(INGESTA)Datos_consumo_datadis'!A:A,"",""),"""")"),"ES0031408323131005HX0F")</f>
        <v>ES0031408323131005HX0F</v>
      </c>
      <c r="B7333" s="12">
        <f>IFERROR(__xludf.DUMMYFUNCTION("""COMPUTED_VALUE"""),45171.0)</f>
        <v>45171</v>
      </c>
      <c r="C7333" s="13">
        <f>IFERROR(__xludf.DUMMYFUNCTION("""COMPUTED_VALUE"""),0.5416666666666666)</f>
        <v>0.5416666667</v>
      </c>
      <c r="D7333" s="8">
        <f>IFERROR(__xludf.DUMMYFUNCTION("""COMPUTED_VALUE"""),0.189)</f>
        <v>0.189</v>
      </c>
      <c r="E7333" s="8" t="str">
        <f>IFERROR(__xludf.DUMMYFUNCTION("""COMPUTED_VALUE"""),"Real")</f>
        <v>Real</v>
      </c>
      <c r="G7333" s="8">
        <f t="shared" si="1"/>
        <v>9</v>
      </c>
      <c r="H7333" s="14">
        <f t="shared" si="2"/>
        <v>2</v>
      </c>
      <c r="I7333" s="15">
        <f t="shared" si="3"/>
        <v>13</v>
      </c>
    </row>
    <row r="7334">
      <c r="A7334" s="8" t="str">
        <f>IFERROR(__xludf.DUMMYFUNCTION("IF('(INGESTA)Datos_consumo_datadis'!A7334&lt;&gt;"""",SPLIT('(INGESTA)Datos_consumo_datadis'!A:A,"",""),"""")"),"ES0031408323131005HX0F")</f>
        <v>ES0031408323131005HX0F</v>
      </c>
      <c r="B7334" s="12">
        <f>IFERROR(__xludf.DUMMYFUNCTION("""COMPUTED_VALUE"""),45171.0)</f>
        <v>45171</v>
      </c>
      <c r="C7334" s="13">
        <f>IFERROR(__xludf.DUMMYFUNCTION("""COMPUTED_VALUE"""),0.5833333333333334)</f>
        <v>0.5833333333</v>
      </c>
      <c r="D7334" s="8">
        <f>IFERROR(__xludf.DUMMYFUNCTION("""COMPUTED_VALUE"""),0.303)</f>
        <v>0.303</v>
      </c>
      <c r="E7334" s="8" t="str">
        <f>IFERROR(__xludf.DUMMYFUNCTION("""COMPUTED_VALUE"""),"Real")</f>
        <v>Real</v>
      </c>
      <c r="G7334" s="8">
        <f t="shared" si="1"/>
        <v>9</v>
      </c>
      <c r="H7334" s="14">
        <f t="shared" si="2"/>
        <v>2</v>
      </c>
      <c r="I7334" s="15">
        <f t="shared" si="3"/>
        <v>14</v>
      </c>
    </row>
    <row r="7335">
      <c r="A7335" s="8" t="str">
        <f>IFERROR(__xludf.DUMMYFUNCTION("IF('(INGESTA)Datos_consumo_datadis'!A7335&lt;&gt;"""",SPLIT('(INGESTA)Datos_consumo_datadis'!A:A,"",""),"""")"),"ES0031408323131005HX0F")</f>
        <v>ES0031408323131005HX0F</v>
      </c>
      <c r="B7335" s="12">
        <f>IFERROR(__xludf.DUMMYFUNCTION("""COMPUTED_VALUE"""),45171.0)</f>
        <v>45171</v>
      </c>
      <c r="C7335" s="13">
        <f>IFERROR(__xludf.DUMMYFUNCTION("""COMPUTED_VALUE"""),0.625)</f>
        <v>0.625</v>
      </c>
      <c r="D7335" s="8">
        <f>IFERROR(__xludf.DUMMYFUNCTION("""COMPUTED_VALUE"""),0.091)</f>
        <v>0.091</v>
      </c>
      <c r="E7335" s="8" t="str">
        <f>IFERROR(__xludf.DUMMYFUNCTION("""COMPUTED_VALUE"""),"Real")</f>
        <v>Real</v>
      </c>
      <c r="G7335" s="8">
        <f t="shared" si="1"/>
        <v>9</v>
      </c>
      <c r="H7335" s="14">
        <f t="shared" si="2"/>
        <v>2</v>
      </c>
      <c r="I7335" s="15">
        <f t="shared" si="3"/>
        <v>15</v>
      </c>
    </row>
    <row r="7336">
      <c r="A7336" s="8" t="str">
        <f>IFERROR(__xludf.DUMMYFUNCTION("IF('(INGESTA)Datos_consumo_datadis'!A7336&lt;&gt;"""",SPLIT('(INGESTA)Datos_consumo_datadis'!A:A,"",""),"""")"),"ES0031408323131005HX0F")</f>
        <v>ES0031408323131005HX0F</v>
      </c>
      <c r="B7336" s="12">
        <f>IFERROR(__xludf.DUMMYFUNCTION("""COMPUTED_VALUE"""),45171.0)</f>
        <v>45171</v>
      </c>
      <c r="C7336" s="13">
        <f>IFERROR(__xludf.DUMMYFUNCTION("""COMPUTED_VALUE"""),0.6666666666666666)</f>
        <v>0.6666666667</v>
      </c>
      <c r="D7336" s="8">
        <f>IFERROR(__xludf.DUMMYFUNCTION("""COMPUTED_VALUE"""),0.064)</f>
        <v>0.064</v>
      </c>
      <c r="E7336" s="8" t="str">
        <f>IFERROR(__xludf.DUMMYFUNCTION("""COMPUTED_VALUE"""),"Real")</f>
        <v>Real</v>
      </c>
      <c r="G7336" s="8">
        <f t="shared" si="1"/>
        <v>9</v>
      </c>
      <c r="H7336" s="14">
        <f t="shared" si="2"/>
        <v>2</v>
      </c>
      <c r="I7336" s="15">
        <f t="shared" si="3"/>
        <v>16</v>
      </c>
    </row>
    <row r="7337">
      <c r="A7337" s="8" t="str">
        <f>IFERROR(__xludf.DUMMYFUNCTION("IF('(INGESTA)Datos_consumo_datadis'!A7337&lt;&gt;"""",SPLIT('(INGESTA)Datos_consumo_datadis'!A:A,"",""),"""")"),"ES0031408323131005HX0F")</f>
        <v>ES0031408323131005HX0F</v>
      </c>
      <c r="B7337" s="12">
        <f>IFERROR(__xludf.DUMMYFUNCTION("""COMPUTED_VALUE"""),45171.0)</f>
        <v>45171</v>
      </c>
      <c r="C7337" s="13">
        <f>IFERROR(__xludf.DUMMYFUNCTION("""COMPUTED_VALUE"""),0.7083333333333334)</f>
        <v>0.7083333333</v>
      </c>
      <c r="D7337" s="8">
        <f>IFERROR(__xludf.DUMMYFUNCTION("""COMPUTED_VALUE"""),0.028)</f>
        <v>0.028</v>
      </c>
      <c r="E7337" s="8" t="str">
        <f>IFERROR(__xludf.DUMMYFUNCTION("""COMPUTED_VALUE"""),"Real")</f>
        <v>Real</v>
      </c>
      <c r="G7337" s="8">
        <f t="shared" si="1"/>
        <v>9</v>
      </c>
      <c r="H7337" s="14">
        <f t="shared" si="2"/>
        <v>2</v>
      </c>
      <c r="I7337" s="15">
        <f t="shared" si="3"/>
        <v>17</v>
      </c>
    </row>
    <row r="7338">
      <c r="A7338" s="8" t="str">
        <f>IFERROR(__xludf.DUMMYFUNCTION("IF('(INGESTA)Datos_consumo_datadis'!A7338&lt;&gt;"""",SPLIT('(INGESTA)Datos_consumo_datadis'!A:A,"",""),"""")"),"ES0031408323131005HX0F")</f>
        <v>ES0031408323131005HX0F</v>
      </c>
      <c r="B7338" s="12">
        <f>IFERROR(__xludf.DUMMYFUNCTION("""COMPUTED_VALUE"""),45171.0)</f>
        <v>45171</v>
      </c>
      <c r="C7338" s="13">
        <f>IFERROR(__xludf.DUMMYFUNCTION("""COMPUTED_VALUE"""),0.75)</f>
        <v>0.75</v>
      </c>
      <c r="D7338" s="8">
        <f>IFERROR(__xludf.DUMMYFUNCTION("""COMPUTED_VALUE"""),0.062)</f>
        <v>0.062</v>
      </c>
      <c r="E7338" s="8" t="str">
        <f>IFERROR(__xludf.DUMMYFUNCTION("""COMPUTED_VALUE"""),"Real")</f>
        <v>Real</v>
      </c>
      <c r="G7338" s="8">
        <f t="shared" si="1"/>
        <v>9</v>
      </c>
      <c r="H7338" s="14">
        <f t="shared" si="2"/>
        <v>2</v>
      </c>
      <c r="I7338" s="15">
        <f t="shared" si="3"/>
        <v>18</v>
      </c>
    </row>
    <row r="7339">
      <c r="A7339" s="8" t="str">
        <f>IFERROR(__xludf.DUMMYFUNCTION("IF('(INGESTA)Datos_consumo_datadis'!A7339&lt;&gt;"""",SPLIT('(INGESTA)Datos_consumo_datadis'!A:A,"",""),"""")"),"ES0031408323131005HX0F")</f>
        <v>ES0031408323131005HX0F</v>
      </c>
      <c r="B7339" s="12">
        <f>IFERROR(__xludf.DUMMYFUNCTION("""COMPUTED_VALUE"""),45171.0)</f>
        <v>45171</v>
      </c>
      <c r="C7339" s="13">
        <f>IFERROR(__xludf.DUMMYFUNCTION("""COMPUTED_VALUE"""),0.7916666666666666)</f>
        <v>0.7916666667</v>
      </c>
      <c r="D7339" s="8">
        <f>IFERROR(__xludf.DUMMYFUNCTION("""COMPUTED_VALUE"""),0.129)</f>
        <v>0.129</v>
      </c>
      <c r="E7339" s="8" t="str">
        <f>IFERROR(__xludf.DUMMYFUNCTION("""COMPUTED_VALUE"""),"Real")</f>
        <v>Real</v>
      </c>
      <c r="G7339" s="8">
        <f t="shared" si="1"/>
        <v>9</v>
      </c>
      <c r="H7339" s="14">
        <f t="shared" si="2"/>
        <v>2</v>
      </c>
      <c r="I7339" s="15">
        <f t="shared" si="3"/>
        <v>19</v>
      </c>
    </row>
    <row r="7340">
      <c r="A7340" s="8" t="str">
        <f>IFERROR(__xludf.DUMMYFUNCTION("IF('(INGESTA)Datos_consumo_datadis'!A7340&lt;&gt;"""",SPLIT('(INGESTA)Datos_consumo_datadis'!A:A,"",""),"""")"),"ES0031408323131005HX0F")</f>
        <v>ES0031408323131005HX0F</v>
      </c>
      <c r="B7340" s="12">
        <f>IFERROR(__xludf.DUMMYFUNCTION("""COMPUTED_VALUE"""),45171.0)</f>
        <v>45171</v>
      </c>
      <c r="C7340" s="13">
        <f>IFERROR(__xludf.DUMMYFUNCTION("""COMPUTED_VALUE"""),0.8333333333333334)</f>
        <v>0.8333333333</v>
      </c>
      <c r="D7340" s="8">
        <f>IFERROR(__xludf.DUMMYFUNCTION("""COMPUTED_VALUE"""),0.126)</f>
        <v>0.126</v>
      </c>
      <c r="E7340" s="8" t="str">
        <f>IFERROR(__xludf.DUMMYFUNCTION("""COMPUTED_VALUE"""),"Real")</f>
        <v>Real</v>
      </c>
      <c r="G7340" s="8">
        <f t="shared" si="1"/>
        <v>9</v>
      </c>
      <c r="H7340" s="14">
        <f t="shared" si="2"/>
        <v>2</v>
      </c>
      <c r="I7340" s="15">
        <f t="shared" si="3"/>
        <v>20</v>
      </c>
    </row>
    <row r="7341">
      <c r="A7341" s="8" t="str">
        <f>IFERROR(__xludf.DUMMYFUNCTION("IF('(INGESTA)Datos_consumo_datadis'!A7341&lt;&gt;"""",SPLIT('(INGESTA)Datos_consumo_datadis'!A:A,"",""),"""")"),"ES0031408323131005HX0F")</f>
        <v>ES0031408323131005HX0F</v>
      </c>
      <c r="B7341" s="12">
        <f>IFERROR(__xludf.DUMMYFUNCTION("""COMPUTED_VALUE"""),45171.0)</f>
        <v>45171</v>
      </c>
      <c r="C7341" s="13">
        <f>IFERROR(__xludf.DUMMYFUNCTION("""COMPUTED_VALUE"""),0.875)</f>
        <v>0.875</v>
      </c>
      <c r="D7341" s="8">
        <f>IFERROR(__xludf.DUMMYFUNCTION("""COMPUTED_VALUE"""),0.336)</f>
        <v>0.336</v>
      </c>
      <c r="E7341" s="8" t="str">
        <f>IFERROR(__xludf.DUMMYFUNCTION("""COMPUTED_VALUE"""),"Real")</f>
        <v>Real</v>
      </c>
      <c r="G7341" s="8">
        <f t="shared" si="1"/>
        <v>9</v>
      </c>
      <c r="H7341" s="14">
        <f t="shared" si="2"/>
        <v>2</v>
      </c>
      <c r="I7341" s="15">
        <f t="shared" si="3"/>
        <v>21</v>
      </c>
    </row>
    <row r="7342">
      <c r="A7342" s="8" t="str">
        <f>IFERROR(__xludf.DUMMYFUNCTION("IF('(INGESTA)Datos_consumo_datadis'!A7342&lt;&gt;"""",SPLIT('(INGESTA)Datos_consumo_datadis'!A:A,"",""),"""")"),"ES0031408323131005HX0F")</f>
        <v>ES0031408323131005HX0F</v>
      </c>
      <c r="B7342" s="12">
        <f>IFERROR(__xludf.DUMMYFUNCTION("""COMPUTED_VALUE"""),45171.0)</f>
        <v>45171</v>
      </c>
      <c r="C7342" s="13">
        <f>IFERROR(__xludf.DUMMYFUNCTION("""COMPUTED_VALUE"""),0.9166666666666666)</f>
        <v>0.9166666667</v>
      </c>
      <c r="D7342" s="8">
        <f>IFERROR(__xludf.DUMMYFUNCTION("""COMPUTED_VALUE"""),0.094)</f>
        <v>0.094</v>
      </c>
      <c r="E7342" s="8" t="str">
        <f>IFERROR(__xludf.DUMMYFUNCTION("""COMPUTED_VALUE"""),"Real")</f>
        <v>Real</v>
      </c>
      <c r="G7342" s="8">
        <f t="shared" si="1"/>
        <v>9</v>
      </c>
      <c r="H7342" s="14">
        <f t="shared" si="2"/>
        <v>2</v>
      </c>
      <c r="I7342" s="15">
        <f t="shared" si="3"/>
        <v>22</v>
      </c>
    </row>
    <row r="7343">
      <c r="A7343" s="8" t="str">
        <f>IFERROR(__xludf.DUMMYFUNCTION("IF('(INGESTA)Datos_consumo_datadis'!A7343&lt;&gt;"""",SPLIT('(INGESTA)Datos_consumo_datadis'!A:A,"",""),"""")"),"ES0031408323131005HX0F")</f>
        <v>ES0031408323131005HX0F</v>
      </c>
      <c r="B7343" s="12">
        <f>IFERROR(__xludf.DUMMYFUNCTION("""COMPUTED_VALUE"""),45171.0)</f>
        <v>45171</v>
      </c>
      <c r="C7343" s="13">
        <f>IFERROR(__xludf.DUMMYFUNCTION("""COMPUTED_VALUE"""),0.9583333333333334)</f>
        <v>0.9583333333</v>
      </c>
      <c r="D7343" s="8">
        <f>IFERROR(__xludf.DUMMYFUNCTION("""COMPUTED_VALUE"""),0.075)</f>
        <v>0.075</v>
      </c>
      <c r="E7343" s="8" t="str">
        <f>IFERROR(__xludf.DUMMYFUNCTION("""COMPUTED_VALUE"""),"Real")</f>
        <v>Real</v>
      </c>
      <c r="G7343" s="8">
        <f t="shared" si="1"/>
        <v>9</v>
      </c>
      <c r="H7343" s="14">
        <f t="shared" si="2"/>
        <v>2</v>
      </c>
      <c r="I7343" s="15">
        <f t="shared" si="3"/>
        <v>23</v>
      </c>
    </row>
    <row r="7344">
      <c r="A7344" s="8" t="str">
        <f>IFERROR(__xludf.DUMMYFUNCTION("IF('(INGESTA)Datos_consumo_datadis'!A7344&lt;&gt;"""",SPLIT('(INGESTA)Datos_consumo_datadis'!A:A,"",""),"""")"),"ES0031408323131005HX0F")</f>
        <v>ES0031408323131005HX0F</v>
      </c>
      <c r="B7344" s="12">
        <f>IFERROR(__xludf.DUMMYFUNCTION("""COMPUTED_VALUE"""),45171.0)</f>
        <v>45171</v>
      </c>
      <c r="C7344" s="16">
        <f>IFERROR(__xludf.DUMMYFUNCTION("""COMPUTED_VALUE"""),1.0)</f>
        <v>1</v>
      </c>
      <c r="D7344" s="8">
        <f>IFERROR(__xludf.DUMMYFUNCTION("""COMPUTED_VALUE"""),0.028)</f>
        <v>0.028</v>
      </c>
      <c r="E7344" s="8" t="str">
        <f>IFERROR(__xludf.DUMMYFUNCTION("""COMPUTED_VALUE"""),"Real")</f>
        <v>Real</v>
      </c>
      <c r="G7344" s="8">
        <f t="shared" si="1"/>
        <v>9</v>
      </c>
      <c r="H7344" s="14">
        <f t="shared" si="2"/>
        <v>2</v>
      </c>
      <c r="I7344" s="15">
        <f t="shared" si="3"/>
        <v>0</v>
      </c>
    </row>
    <row r="7345">
      <c r="A7345" s="8" t="str">
        <f>IFERROR(__xludf.DUMMYFUNCTION("IF('(INGESTA)Datos_consumo_datadis'!A7345&lt;&gt;"""",SPLIT('(INGESTA)Datos_consumo_datadis'!A:A,"",""),"""")"),"ES0031408323131005HX0F")</f>
        <v>ES0031408323131005HX0F</v>
      </c>
      <c r="B7345" s="12">
        <f>IFERROR(__xludf.DUMMYFUNCTION("""COMPUTED_VALUE"""),45172.0)</f>
        <v>45172</v>
      </c>
      <c r="C7345" s="13">
        <f>IFERROR(__xludf.DUMMYFUNCTION("""COMPUTED_VALUE"""),0.041666666666666664)</f>
        <v>0.04166666667</v>
      </c>
      <c r="D7345" s="8">
        <f>IFERROR(__xludf.DUMMYFUNCTION("""COMPUTED_VALUE"""),0.047)</f>
        <v>0.047</v>
      </c>
      <c r="E7345" s="8" t="str">
        <f>IFERROR(__xludf.DUMMYFUNCTION("""COMPUTED_VALUE"""),"Real")</f>
        <v>Real</v>
      </c>
      <c r="G7345" s="8">
        <f t="shared" si="1"/>
        <v>9</v>
      </c>
      <c r="H7345" s="14">
        <f t="shared" si="2"/>
        <v>3</v>
      </c>
      <c r="I7345" s="15">
        <f t="shared" si="3"/>
        <v>1</v>
      </c>
    </row>
    <row r="7346">
      <c r="A7346" s="8" t="str">
        <f>IFERROR(__xludf.DUMMYFUNCTION("IF('(INGESTA)Datos_consumo_datadis'!A7346&lt;&gt;"""",SPLIT('(INGESTA)Datos_consumo_datadis'!A:A,"",""),"""")"),"ES0031408323131005HX0F")</f>
        <v>ES0031408323131005HX0F</v>
      </c>
      <c r="B7346" s="12">
        <f>IFERROR(__xludf.DUMMYFUNCTION("""COMPUTED_VALUE"""),45172.0)</f>
        <v>45172</v>
      </c>
      <c r="C7346" s="13">
        <f>IFERROR(__xludf.DUMMYFUNCTION("""COMPUTED_VALUE"""),0.08333333333333333)</f>
        <v>0.08333333333</v>
      </c>
      <c r="D7346" s="8">
        <f>IFERROR(__xludf.DUMMYFUNCTION("""COMPUTED_VALUE"""),0.131)</f>
        <v>0.131</v>
      </c>
      <c r="E7346" s="8" t="str">
        <f>IFERROR(__xludf.DUMMYFUNCTION("""COMPUTED_VALUE"""),"Real")</f>
        <v>Real</v>
      </c>
      <c r="G7346" s="8">
        <f t="shared" si="1"/>
        <v>9</v>
      </c>
      <c r="H7346" s="14">
        <f t="shared" si="2"/>
        <v>3</v>
      </c>
      <c r="I7346" s="15">
        <f t="shared" si="3"/>
        <v>2</v>
      </c>
    </row>
    <row r="7347">
      <c r="A7347" s="8" t="str">
        <f>IFERROR(__xludf.DUMMYFUNCTION("IF('(INGESTA)Datos_consumo_datadis'!A7347&lt;&gt;"""",SPLIT('(INGESTA)Datos_consumo_datadis'!A:A,"",""),"""")"),"ES0031408323131005HX0F")</f>
        <v>ES0031408323131005HX0F</v>
      </c>
      <c r="B7347" s="12">
        <f>IFERROR(__xludf.DUMMYFUNCTION("""COMPUTED_VALUE"""),45172.0)</f>
        <v>45172</v>
      </c>
      <c r="C7347" s="13">
        <f>IFERROR(__xludf.DUMMYFUNCTION("""COMPUTED_VALUE"""),0.125)</f>
        <v>0.125</v>
      </c>
      <c r="D7347" s="8">
        <f>IFERROR(__xludf.DUMMYFUNCTION("""COMPUTED_VALUE"""),0.127)</f>
        <v>0.127</v>
      </c>
      <c r="E7347" s="8" t="str">
        <f>IFERROR(__xludf.DUMMYFUNCTION("""COMPUTED_VALUE"""),"Real")</f>
        <v>Real</v>
      </c>
      <c r="G7347" s="8">
        <f t="shared" si="1"/>
        <v>9</v>
      </c>
      <c r="H7347" s="14">
        <f t="shared" si="2"/>
        <v>3</v>
      </c>
      <c r="I7347" s="15">
        <f t="shared" si="3"/>
        <v>3</v>
      </c>
    </row>
    <row r="7348">
      <c r="A7348" s="8" t="str">
        <f>IFERROR(__xludf.DUMMYFUNCTION("IF('(INGESTA)Datos_consumo_datadis'!A7348&lt;&gt;"""",SPLIT('(INGESTA)Datos_consumo_datadis'!A:A,"",""),"""")"),"ES0031408323131005HX0F")</f>
        <v>ES0031408323131005HX0F</v>
      </c>
      <c r="B7348" s="12">
        <f>IFERROR(__xludf.DUMMYFUNCTION("""COMPUTED_VALUE"""),45172.0)</f>
        <v>45172</v>
      </c>
      <c r="C7348" s="13">
        <f>IFERROR(__xludf.DUMMYFUNCTION("""COMPUTED_VALUE"""),0.16666666666666666)</f>
        <v>0.1666666667</v>
      </c>
      <c r="D7348" s="8">
        <f>IFERROR(__xludf.DUMMYFUNCTION("""COMPUTED_VALUE"""),0.173)</f>
        <v>0.173</v>
      </c>
      <c r="E7348" s="8" t="str">
        <f>IFERROR(__xludf.DUMMYFUNCTION("""COMPUTED_VALUE"""),"Real")</f>
        <v>Real</v>
      </c>
      <c r="G7348" s="8">
        <f t="shared" si="1"/>
        <v>9</v>
      </c>
      <c r="H7348" s="14">
        <f t="shared" si="2"/>
        <v>3</v>
      </c>
      <c r="I7348" s="15">
        <f t="shared" si="3"/>
        <v>4</v>
      </c>
    </row>
    <row r="7349">
      <c r="A7349" s="8" t="str">
        <f>IFERROR(__xludf.DUMMYFUNCTION("IF('(INGESTA)Datos_consumo_datadis'!A7349&lt;&gt;"""",SPLIT('(INGESTA)Datos_consumo_datadis'!A:A,"",""),"""")"),"ES0031408323131005HX0F")</f>
        <v>ES0031408323131005HX0F</v>
      </c>
      <c r="B7349" s="12">
        <f>IFERROR(__xludf.DUMMYFUNCTION("""COMPUTED_VALUE"""),45172.0)</f>
        <v>45172</v>
      </c>
      <c r="C7349" s="13">
        <f>IFERROR(__xludf.DUMMYFUNCTION("""COMPUTED_VALUE"""),0.20833333333333334)</f>
        <v>0.2083333333</v>
      </c>
      <c r="D7349" s="8">
        <f>IFERROR(__xludf.DUMMYFUNCTION("""COMPUTED_VALUE"""),0.274)</f>
        <v>0.274</v>
      </c>
      <c r="E7349" s="8" t="str">
        <f>IFERROR(__xludf.DUMMYFUNCTION("""COMPUTED_VALUE"""),"Real")</f>
        <v>Real</v>
      </c>
      <c r="G7349" s="8">
        <f t="shared" si="1"/>
        <v>9</v>
      </c>
      <c r="H7349" s="14">
        <f t="shared" si="2"/>
        <v>3</v>
      </c>
      <c r="I7349" s="15">
        <f t="shared" si="3"/>
        <v>5</v>
      </c>
    </row>
    <row r="7350">
      <c r="A7350" s="8" t="str">
        <f>IFERROR(__xludf.DUMMYFUNCTION("IF('(INGESTA)Datos_consumo_datadis'!A7350&lt;&gt;"""",SPLIT('(INGESTA)Datos_consumo_datadis'!A:A,"",""),"""")"),"ES0031408323131005HX0F")</f>
        <v>ES0031408323131005HX0F</v>
      </c>
      <c r="B7350" s="12">
        <f>IFERROR(__xludf.DUMMYFUNCTION("""COMPUTED_VALUE"""),45172.0)</f>
        <v>45172</v>
      </c>
      <c r="C7350" s="13">
        <f>IFERROR(__xludf.DUMMYFUNCTION("""COMPUTED_VALUE"""),0.25)</f>
        <v>0.25</v>
      </c>
      <c r="D7350" s="8">
        <f>IFERROR(__xludf.DUMMYFUNCTION("""COMPUTED_VALUE"""),0.073)</f>
        <v>0.073</v>
      </c>
      <c r="E7350" s="8" t="str">
        <f>IFERROR(__xludf.DUMMYFUNCTION("""COMPUTED_VALUE"""),"Real")</f>
        <v>Real</v>
      </c>
      <c r="G7350" s="8">
        <f t="shared" si="1"/>
        <v>9</v>
      </c>
      <c r="H7350" s="14">
        <f t="shared" si="2"/>
        <v>3</v>
      </c>
      <c r="I7350" s="15">
        <f t="shared" si="3"/>
        <v>6</v>
      </c>
    </row>
    <row r="7351">
      <c r="A7351" s="8" t="str">
        <f>IFERROR(__xludf.DUMMYFUNCTION("IF('(INGESTA)Datos_consumo_datadis'!A7351&lt;&gt;"""",SPLIT('(INGESTA)Datos_consumo_datadis'!A:A,"",""),"""")"),"ES0031408323131005HX0F")</f>
        <v>ES0031408323131005HX0F</v>
      </c>
      <c r="B7351" s="12">
        <f>IFERROR(__xludf.DUMMYFUNCTION("""COMPUTED_VALUE"""),45172.0)</f>
        <v>45172</v>
      </c>
      <c r="C7351" s="13">
        <f>IFERROR(__xludf.DUMMYFUNCTION("""COMPUTED_VALUE"""),0.2916666666666667)</f>
        <v>0.2916666667</v>
      </c>
      <c r="D7351" s="8">
        <f>IFERROR(__xludf.DUMMYFUNCTION("""COMPUTED_VALUE"""),0.028)</f>
        <v>0.028</v>
      </c>
      <c r="E7351" s="8" t="str">
        <f>IFERROR(__xludf.DUMMYFUNCTION("""COMPUTED_VALUE"""),"Real")</f>
        <v>Real</v>
      </c>
      <c r="G7351" s="8">
        <f t="shared" si="1"/>
        <v>9</v>
      </c>
      <c r="H7351" s="14">
        <f t="shared" si="2"/>
        <v>3</v>
      </c>
      <c r="I7351" s="15">
        <f t="shared" si="3"/>
        <v>7</v>
      </c>
    </row>
    <row r="7352">
      <c r="A7352" s="8" t="str">
        <f>IFERROR(__xludf.DUMMYFUNCTION("IF('(INGESTA)Datos_consumo_datadis'!A7352&lt;&gt;"""",SPLIT('(INGESTA)Datos_consumo_datadis'!A:A,"",""),"""")"),"ES0031408323131005HX0F")</f>
        <v>ES0031408323131005HX0F</v>
      </c>
      <c r="B7352" s="12">
        <f>IFERROR(__xludf.DUMMYFUNCTION("""COMPUTED_VALUE"""),45172.0)</f>
        <v>45172</v>
      </c>
      <c r="C7352" s="13">
        <f>IFERROR(__xludf.DUMMYFUNCTION("""COMPUTED_VALUE"""),0.3333333333333333)</f>
        <v>0.3333333333</v>
      </c>
      <c r="D7352" s="8">
        <f>IFERROR(__xludf.DUMMYFUNCTION("""COMPUTED_VALUE"""),0.037)</f>
        <v>0.037</v>
      </c>
      <c r="E7352" s="8" t="str">
        <f>IFERROR(__xludf.DUMMYFUNCTION("""COMPUTED_VALUE"""),"Real")</f>
        <v>Real</v>
      </c>
      <c r="G7352" s="8">
        <f t="shared" si="1"/>
        <v>9</v>
      </c>
      <c r="H7352" s="14">
        <f t="shared" si="2"/>
        <v>3</v>
      </c>
      <c r="I7352" s="15">
        <f t="shared" si="3"/>
        <v>8</v>
      </c>
    </row>
    <row r="7353">
      <c r="A7353" s="8" t="str">
        <f>IFERROR(__xludf.DUMMYFUNCTION("IF('(INGESTA)Datos_consumo_datadis'!A7353&lt;&gt;"""",SPLIT('(INGESTA)Datos_consumo_datadis'!A:A,"",""),"""")"),"ES0031408323131005HX0F")</f>
        <v>ES0031408323131005HX0F</v>
      </c>
      <c r="B7353" s="12">
        <f>IFERROR(__xludf.DUMMYFUNCTION("""COMPUTED_VALUE"""),45172.0)</f>
        <v>45172</v>
      </c>
      <c r="C7353" s="13">
        <f>IFERROR(__xludf.DUMMYFUNCTION("""COMPUTED_VALUE"""),0.375)</f>
        <v>0.375</v>
      </c>
      <c r="D7353" s="8">
        <f>IFERROR(__xludf.DUMMYFUNCTION("""COMPUTED_VALUE"""),0.132)</f>
        <v>0.132</v>
      </c>
      <c r="E7353" s="8" t="str">
        <f>IFERROR(__xludf.DUMMYFUNCTION("""COMPUTED_VALUE"""),"Real")</f>
        <v>Real</v>
      </c>
      <c r="G7353" s="8">
        <f t="shared" si="1"/>
        <v>9</v>
      </c>
      <c r="H7353" s="14">
        <f t="shared" si="2"/>
        <v>3</v>
      </c>
      <c r="I7353" s="15">
        <f t="shared" si="3"/>
        <v>9</v>
      </c>
    </row>
    <row r="7354">
      <c r="A7354" s="8" t="str">
        <f>IFERROR(__xludf.DUMMYFUNCTION("IF('(INGESTA)Datos_consumo_datadis'!A7354&lt;&gt;"""",SPLIT('(INGESTA)Datos_consumo_datadis'!A:A,"",""),"""")"),"ES0031408323131005HX0F")</f>
        <v>ES0031408323131005HX0F</v>
      </c>
      <c r="B7354" s="12">
        <f>IFERROR(__xludf.DUMMYFUNCTION("""COMPUTED_VALUE"""),45172.0)</f>
        <v>45172</v>
      </c>
      <c r="C7354" s="13">
        <f>IFERROR(__xludf.DUMMYFUNCTION("""COMPUTED_VALUE"""),0.4166666666666667)</f>
        <v>0.4166666667</v>
      </c>
      <c r="D7354" s="8">
        <f>IFERROR(__xludf.DUMMYFUNCTION("""COMPUTED_VALUE"""),0.127)</f>
        <v>0.127</v>
      </c>
      <c r="E7354" s="8" t="str">
        <f>IFERROR(__xludf.DUMMYFUNCTION("""COMPUTED_VALUE"""),"Real")</f>
        <v>Real</v>
      </c>
      <c r="G7354" s="8">
        <f t="shared" si="1"/>
        <v>9</v>
      </c>
      <c r="H7354" s="14">
        <f t="shared" si="2"/>
        <v>3</v>
      </c>
      <c r="I7354" s="15">
        <f t="shared" si="3"/>
        <v>10</v>
      </c>
    </row>
    <row r="7355">
      <c r="A7355" s="8" t="str">
        <f>IFERROR(__xludf.DUMMYFUNCTION("IF('(INGESTA)Datos_consumo_datadis'!A7355&lt;&gt;"""",SPLIT('(INGESTA)Datos_consumo_datadis'!A:A,"",""),"""")"),"ES0031408323131005HX0F")</f>
        <v>ES0031408323131005HX0F</v>
      </c>
      <c r="B7355" s="12">
        <f>IFERROR(__xludf.DUMMYFUNCTION("""COMPUTED_VALUE"""),45172.0)</f>
        <v>45172</v>
      </c>
      <c r="C7355" s="13">
        <f>IFERROR(__xludf.DUMMYFUNCTION("""COMPUTED_VALUE"""),0.4583333333333333)</f>
        <v>0.4583333333</v>
      </c>
      <c r="D7355" s="8">
        <f>IFERROR(__xludf.DUMMYFUNCTION("""COMPUTED_VALUE"""),0.091)</f>
        <v>0.091</v>
      </c>
      <c r="E7355" s="8" t="str">
        <f>IFERROR(__xludf.DUMMYFUNCTION("""COMPUTED_VALUE"""),"Real")</f>
        <v>Real</v>
      </c>
      <c r="G7355" s="8">
        <f t="shared" si="1"/>
        <v>9</v>
      </c>
      <c r="H7355" s="14">
        <f t="shared" si="2"/>
        <v>3</v>
      </c>
      <c r="I7355" s="15">
        <f t="shared" si="3"/>
        <v>11</v>
      </c>
    </row>
    <row r="7356">
      <c r="A7356" s="8" t="str">
        <f>IFERROR(__xludf.DUMMYFUNCTION("IF('(INGESTA)Datos_consumo_datadis'!A7356&lt;&gt;"""",SPLIT('(INGESTA)Datos_consumo_datadis'!A:A,"",""),"""")"),"ES0031408323131005HX0F")</f>
        <v>ES0031408323131005HX0F</v>
      </c>
      <c r="B7356" s="12">
        <f>IFERROR(__xludf.DUMMYFUNCTION("""COMPUTED_VALUE"""),45172.0)</f>
        <v>45172</v>
      </c>
      <c r="C7356" s="13">
        <f>IFERROR(__xludf.DUMMYFUNCTION("""COMPUTED_VALUE"""),0.5)</f>
        <v>0.5</v>
      </c>
      <c r="D7356" s="8">
        <f>IFERROR(__xludf.DUMMYFUNCTION("""COMPUTED_VALUE"""),0.335)</f>
        <v>0.335</v>
      </c>
      <c r="E7356" s="8" t="str">
        <f>IFERROR(__xludf.DUMMYFUNCTION("""COMPUTED_VALUE"""),"Real")</f>
        <v>Real</v>
      </c>
      <c r="G7356" s="8">
        <f t="shared" si="1"/>
        <v>9</v>
      </c>
      <c r="H7356" s="14">
        <f t="shared" si="2"/>
        <v>3</v>
      </c>
      <c r="I7356" s="15">
        <f t="shared" si="3"/>
        <v>12</v>
      </c>
    </row>
    <row r="7357">
      <c r="A7357" s="8" t="str">
        <f>IFERROR(__xludf.DUMMYFUNCTION("IF('(INGESTA)Datos_consumo_datadis'!A7357&lt;&gt;"""",SPLIT('(INGESTA)Datos_consumo_datadis'!A:A,"",""),"""")"),"ES0031408323131005HX0F")</f>
        <v>ES0031408323131005HX0F</v>
      </c>
      <c r="B7357" s="12">
        <f>IFERROR(__xludf.DUMMYFUNCTION("""COMPUTED_VALUE"""),45172.0)</f>
        <v>45172</v>
      </c>
      <c r="C7357" s="13">
        <f>IFERROR(__xludf.DUMMYFUNCTION("""COMPUTED_VALUE"""),0.5416666666666666)</f>
        <v>0.5416666667</v>
      </c>
      <c r="D7357" s="8">
        <f>IFERROR(__xludf.DUMMYFUNCTION("""COMPUTED_VALUE"""),0.073)</f>
        <v>0.073</v>
      </c>
      <c r="E7357" s="8" t="str">
        <f>IFERROR(__xludf.DUMMYFUNCTION("""COMPUTED_VALUE"""),"Real")</f>
        <v>Real</v>
      </c>
      <c r="G7357" s="8">
        <f t="shared" si="1"/>
        <v>9</v>
      </c>
      <c r="H7357" s="14">
        <f t="shared" si="2"/>
        <v>3</v>
      </c>
      <c r="I7357" s="15">
        <f t="shared" si="3"/>
        <v>13</v>
      </c>
    </row>
    <row r="7358">
      <c r="A7358" s="8" t="str">
        <f>IFERROR(__xludf.DUMMYFUNCTION("IF('(INGESTA)Datos_consumo_datadis'!A7358&lt;&gt;"""",SPLIT('(INGESTA)Datos_consumo_datadis'!A:A,"",""),"""")"),"ES0031408323131005HX0F")</f>
        <v>ES0031408323131005HX0F</v>
      </c>
      <c r="B7358" s="12">
        <f>IFERROR(__xludf.DUMMYFUNCTION("""COMPUTED_VALUE"""),45172.0)</f>
        <v>45172</v>
      </c>
      <c r="C7358" s="13">
        <f>IFERROR(__xludf.DUMMYFUNCTION("""COMPUTED_VALUE"""),0.5833333333333334)</f>
        <v>0.5833333333</v>
      </c>
      <c r="D7358" s="8">
        <f>IFERROR(__xludf.DUMMYFUNCTION("""COMPUTED_VALUE"""),0.028)</f>
        <v>0.028</v>
      </c>
      <c r="E7358" s="8" t="str">
        <f>IFERROR(__xludf.DUMMYFUNCTION("""COMPUTED_VALUE"""),"Real")</f>
        <v>Real</v>
      </c>
      <c r="G7358" s="8">
        <f t="shared" si="1"/>
        <v>9</v>
      </c>
      <c r="H7358" s="14">
        <f t="shared" si="2"/>
        <v>3</v>
      </c>
      <c r="I7358" s="15">
        <f t="shared" si="3"/>
        <v>14</v>
      </c>
    </row>
    <row r="7359">
      <c r="A7359" s="8" t="str">
        <f>IFERROR(__xludf.DUMMYFUNCTION("IF('(INGESTA)Datos_consumo_datadis'!A7359&lt;&gt;"""",SPLIT('(INGESTA)Datos_consumo_datadis'!A:A,"",""),"""")"),"ES0031408323131005HX0F")</f>
        <v>ES0031408323131005HX0F</v>
      </c>
      <c r="B7359" s="12">
        <f>IFERROR(__xludf.DUMMYFUNCTION("""COMPUTED_VALUE"""),45172.0)</f>
        <v>45172</v>
      </c>
      <c r="C7359" s="13">
        <f>IFERROR(__xludf.DUMMYFUNCTION("""COMPUTED_VALUE"""),0.625)</f>
        <v>0.625</v>
      </c>
      <c r="D7359" s="8">
        <f>IFERROR(__xludf.DUMMYFUNCTION("""COMPUTED_VALUE"""),0.031)</f>
        <v>0.031</v>
      </c>
      <c r="E7359" s="8" t="str">
        <f>IFERROR(__xludf.DUMMYFUNCTION("""COMPUTED_VALUE"""),"Real")</f>
        <v>Real</v>
      </c>
      <c r="G7359" s="8">
        <f t="shared" si="1"/>
        <v>9</v>
      </c>
      <c r="H7359" s="14">
        <f t="shared" si="2"/>
        <v>3</v>
      </c>
      <c r="I7359" s="15">
        <f t="shared" si="3"/>
        <v>15</v>
      </c>
    </row>
    <row r="7360">
      <c r="A7360" s="8" t="str">
        <f>IFERROR(__xludf.DUMMYFUNCTION("IF('(INGESTA)Datos_consumo_datadis'!A7360&lt;&gt;"""",SPLIT('(INGESTA)Datos_consumo_datadis'!A:A,"",""),"""")"),"ES0031408323131005HX0F")</f>
        <v>ES0031408323131005HX0F</v>
      </c>
      <c r="B7360" s="12">
        <f>IFERROR(__xludf.DUMMYFUNCTION("""COMPUTED_VALUE"""),45172.0)</f>
        <v>45172</v>
      </c>
      <c r="C7360" s="13">
        <f>IFERROR(__xludf.DUMMYFUNCTION("""COMPUTED_VALUE"""),0.6666666666666666)</f>
        <v>0.6666666667</v>
      </c>
      <c r="D7360" s="8">
        <f>IFERROR(__xludf.DUMMYFUNCTION("""COMPUTED_VALUE"""),0.131)</f>
        <v>0.131</v>
      </c>
      <c r="E7360" s="8" t="str">
        <f>IFERROR(__xludf.DUMMYFUNCTION("""COMPUTED_VALUE"""),"Real")</f>
        <v>Real</v>
      </c>
      <c r="G7360" s="8">
        <f t="shared" si="1"/>
        <v>9</v>
      </c>
      <c r="H7360" s="14">
        <f t="shared" si="2"/>
        <v>3</v>
      </c>
      <c r="I7360" s="15">
        <f t="shared" si="3"/>
        <v>16</v>
      </c>
    </row>
    <row r="7361">
      <c r="A7361" s="8" t="str">
        <f>IFERROR(__xludf.DUMMYFUNCTION("IF('(INGESTA)Datos_consumo_datadis'!A7361&lt;&gt;"""",SPLIT('(INGESTA)Datos_consumo_datadis'!A:A,"",""),"""")"),"ES0031408323131005HX0F")</f>
        <v>ES0031408323131005HX0F</v>
      </c>
      <c r="B7361" s="12">
        <f>IFERROR(__xludf.DUMMYFUNCTION("""COMPUTED_VALUE"""),45172.0)</f>
        <v>45172</v>
      </c>
      <c r="C7361" s="13">
        <f>IFERROR(__xludf.DUMMYFUNCTION("""COMPUTED_VALUE"""),0.7083333333333334)</f>
        <v>0.7083333333</v>
      </c>
      <c r="D7361" s="8">
        <f>IFERROR(__xludf.DUMMYFUNCTION("""COMPUTED_VALUE"""),0.128)</f>
        <v>0.128</v>
      </c>
      <c r="E7361" s="8" t="str">
        <f>IFERROR(__xludf.DUMMYFUNCTION("""COMPUTED_VALUE"""),"Real")</f>
        <v>Real</v>
      </c>
      <c r="G7361" s="8">
        <f t="shared" si="1"/>
        <v>9</v>
      </c>
      <c r="H7361" s="14">
        <f t="shared" si="2"/>
        <v>3</v>
      </c>
      <c r="I7361" s="15">
        <f t="shared" si="3"/>
        <v>17</v>
      </c>
    </row>
    <row r="7362">
      <c r="A7362" s="8" t="str">
        <f>IFERROR(__xludf.DUMMYFUNCTION("IF('(INGESTA)Datos_consumo_datadis'!A7362&lt;&gt;"""",SPLIT('(INGESTA)Datos_consumo_datadis'!A:A,"",""),"""")"),"ES0031408323131005HX0F")</f>
        <v>ES0031408323131005HX0F</v>
      </c>
      <c r="B7362" s="12">
        <f>IFERROR(__xludf.DUMMYFUNCTION("""COMPUTED_VALUE"""),45172.0)</f>
        <v>45172</v>
      </c>
      <c r="C7362" s="13">
        <f>IFERROR(__xludf.DUMMYFUNCTION("""COMPUTED_VALUE"""),0.75)</f>
        <v>0.75</v>
      </c>
      <c r="D7362" s="8">
        <f>IFERROR(__xludf.DUMMYFUNCTION("""COMPUTED_VALUE"""),0.21)</f>
        <v>0.21</v>
      </c>
      <c r="E7362" s="8" t="str">
        <f>IFERROR(__xludf.DUMMYFUNCTION("""COMPUTED_VALUE"""),"Real")</f>
        <v>Real</v>
      </c>
      <c r="G7362" s="8">
        <f t="shared" si="1"/>
        <v>9</v>
      </c>
      <c r="H7362" s="14">
        <f t="shared" si="2"/>
        <v>3</v>
      </c>
      <c r="I7362" s="15">
        <f t="shared" si="3"/>
        <v>18</v>
      </c>
    </row>
    <row r="7363">
      <c r="A7363" s="8" t="str">
        <f>IFERROR(__xludf.DUMMYFUNCTION("IF('(INGESTA)Datos_consumo_datadis'!A7363&lt;&gt;"""",SPLIT('(INGESTA)Datos_consumo_datadis'!A:A,"",""),"""")"),"ES0031408323131005HX0F")</f>
        <v>ES0031408323131005HX0F</v>
      </c>
      <c r="B7363" s="12">
        <f>IFERROR(__xludf.DUMMYFUNCTION("""COMPUTED_VALUE"""),45172.0)</f>
        <v>45172</v>
      </c>
      <c r="C7363" s="13">
        <f>IFERROR(__xludf.DUMMYFUNCTION("""COMPUTED_VALUE"""),0.7916666666666666)</f>
        <v>0.7916666667</v>
      </c>
      <c r="D7363" s="8">
        <f>IFERROR(__xludf.DUMMYFUNCTION("""COMPUTED_VALUE"""),0.223)</f>
        <v>0.223</v>
      </c>
      <c r="E7363" s="8" t="str">
        <f>IFERROR(__xludf.DUMMYFUNCTION("""COMPUTED_VALUE"""),"Real")</f>
        <v>Real</v>
      </c>
      <c r="G7363" s="8">
        <f t="shared" si="1"/>
        <v>9</v>
      </c>
      <c r="H7363" s="14">
        <f t="shared" si="2"/>
        <v>3</v>
      </c>
      <c r="I7363" s="15">
        <f t="shared" si="3"/>
        <v>19</v>
      </c>
    </row>
    <row r="7364">
      <c r="A7364" s="8" t="str">
        <f>IFERROR(__xludf.DUMMYFUNCTION("IF('(INGESTA)Datos_consumo_datadis'!A7364&lt;&gt;"""",SPLIT('(INGESTA)Datos_consumo_datadis'!A:A,"",""),"""")"),"ES0031408323131005HX0F")</f>
        <v>ES0031408323131005HX0F</v>
      </c>
      <c r="B7364" s="12">
        <f>IFERROR(__xludf.DUMMYFUNCTION("""COMPUTED_VALUE"""),45172.0)</f>
        <v>45172</v>
      </c>
      <c r="C7364" s="13">
        <f>IFERROR(__xludf.DUMMYFUNCTION("""COMPUTED_VALUE"""),0.8333333333333334)</f>
        <v>0.8333333333</v>
      </c>
      <c r="D7364" s="8">
        <f>IFERROR(__xludf.DUMMYFUNCTION("""COMPUTED_VALUE"""),0.073)</f>
        <v>0.073</v>
      </c>
      <c r="E7364" s="8" t="str">
        <f>IFERROR(__xludf.DUMMYFUNCTION("""COMPUTED_VALUE"""),"Real")</f>
        <v>Real</v>
      </c>
      <c r="G7364" s="8">
        <f t="shared" si="1"/>
        <v>9</v>
      </c>
      <c r="H7364" s="14">
        <f t="shared" si="2"/>
        <v>3</v>
      </c>
      <c r="I7364" s="15">
        <f t="shared" si="3"/>
        <v>20</v>
      </c>
    </row>
    <row r="7365">
      <c r="A7365" s="8" t="str">
        <f>IFERROR(__xludf.DUMMYFUNCTION("IF('(INGESTA)Datos_consumo_datadis'!A7365&lt;&gt;"""",SPLIT('(INGESTA)Datos_consumo_datadis'!A:A,"",""),"""")"),"ES0031408323131005HX0F")</f>
        <v>ES0031408323131005HX0F</v>
      </c>
      <c r="B7365" s="12">
        <f>IFERROR(__xludf.DUMMYFUNCTION("""COMPUTED_VALUE"""),45172.0)</f>
        <v>45172</v>
      </c>
      <c r="C7365" s="13">
        <f>IFERROR(__xludf.DUMMYFUNCTION("""COMPUTED_VALUE"""),0.875)</f>
        <v>0.875</v>
      </c>
      <c r="D7365" s="8">
        <f>IFERROR(__xludf.DUMMYFUNCTION("""COMPUTED_VALUE"""),0.028)</f>
        <v>0.028</v>
      </c>
      <c r="E7365" s="8" t="str">
        <f>IFERROR(__xludf.DUMMYFUNCTION("""COMPUTED_VALUE"""),"Real")</f>
        <v>Real</v>
      </c>
      <c r="G7365" s="8">
        <f t="shared" si="1"/>
        <v>9</v>
      </c>
      <c r="H7365" s="14">
        <f t="shared" si="2"/>
        <v>3</v>
      </c>
      <c r="I7365" s="15">
        <f t="shared" si="3"/>
        <v>21</v>
      </c>
    </row>
    <row r="7366">
      <c r="A7366" s="8" t="str">
        <f>IFERROR(__xludf.DUMMYFUNCTION("IF('(INGESTA)Datos_consumo_datadis'!A7366&lt;&gt;"""",SPLIT('(INGESTA)Datos_consumo_datadis'!A:A,"",""),"""")"),"ES0031408323131005HX0F")</f>
        <v>ES0031408323131005HX0F</v>
      </c>
      <c r="B7366" s="12">
        <f>IFERROR(__xludf.DUMMYFUNCTION("""COMPUTED_VALUE"""),45172.0)</f>
        <v>45172</v>
      </c>
      <c r="C7366" s="13">
        <f>IFERROR(__xludf.DUMMYFUNCTION("""COMPUTED_VALUE"""),0.9166666666666666)</f>
        <v>0.9166666667</v>
      </c>
      <c r="D7366" s="8">
        <f>IFERROR(__xludf.DUMMYFUNCTION("""COMPUTED_VALUE"""),0.035)</f>
        <v>0.035</v>
      </c>
      <c r="E7366" s="8" t="str">
        <f>IFERROR(__xludf.DUMMYFUNCTION("""COMPUTED_VALUE"""),"Real")</f>
        <v>Real</v>
      </c>
      <c r="G7366" s="8">
        <f t="shared" si="1"/>
        <v>9</v>
      </c>
      <c r="H7366" s="14">
        <f t="shared" si="2"/>
        <v>3</v>
      </c>
      <c r="I7366" s="15">
        <f t="shared" si="3"/>
        <v>22</v>
      </c>
    </row>
    <row r="7367">
      <c r="A7367" s="8" t="str">
        <f>IFERROR(__xludf.DUMMYFUNCTION("IF('(INGESTA)Datos_consumo_datadis'!A7367&lt;&gt;"""",SPLIT('(INGESTA)Datos_consumo_datadis'!A:A,"",""),"""")"),"ES0031408323131005HX0F")</f>
        <v>ES0031408323131005HX0F</v>
      </c>
      <c r="B7367" s="12">
        <f>IFERROR(__xludf.DUMMYFUNCTION("""COMPUTED_VALUE"""),45172.0)</f>
        <v>45172</v>
      </c>
      <c r="C7367" s="13">
        <f>IFERROR(__xludf.DUMMYFUNCTION("""COMPUTED_VALUE"""),0.9583333333333334)</f>
        <v>0.9583333333</v>
      </c>
      <c r="D7367" s="8">
        <f>IFERROR(__xludf.DUMMYFUNCTION("""COMPUTED_VALUE"""),0.13)</f>
        <v>0.13</v>
      </c>
      <c r="E7367" s="8" t="str">
        <f>IFERROR(__xludf.DUMMYFUNCTION("""COMPUTED_VALUE"""),"Real")</f>
        <v>Real</v>
      </c>
      <c r="G7367" s="8">
        <f t="shared" si="1"/>
        <v>9</v>
      </c>
      <c r="H7367" s="14">
        <f t="shared" si="2"/>
        <v>3</v>
      </c>
      <c r="I7367" s="15">
        <f t="shared" si="3"/>
        <v>23</v>
      </c>
    </row>
    <row r="7368">
      <c r="A7368" s="8" t="str">
        <f>IFERROR(__xludf.DUMMYFUNCTION("IF('(INGESTA)Datos_consumo_datadis'!A7368&lt;&gt;"""",SPLIT('(INGESTA)Datos_consumo_datadis'!A:A,"",""),"""")"),"ES0031408323131005HX0F")</f>
        <v>ES0031408323131005HX0F</v>
      </c>
      <c r="B7368" s="12">
        <f>IFERROR(__xludf.DUMMYFUNCTION("""COMPUTED_VALUE"""),45172.0)</f>
        <v>45172</v>
      </c>
      <c r="C7368" s="16">
        <f>IFERROR(__xludf.DUMMYFUNCTION("""COMPUTED_VALUE"""),1.0)</f>
        <v>1</v>
      </c>
      <c r="D7368" s="8">
        <f>IFERROR(__xludf.DUMMYFUNCTION("""COMPUTED_VALUE"""),0.13)</f>
        <v>0.13</v>
      </c>
      <c r="E7368" s="8" t="str">
        <f>IFERROR(__xludf.DUMMYFUNCTION("""COMPUTED_VALUE"""),"Real")</f>
        <v>Real</v>
      </c>
      <c r="G7368" s="8">
        <f t="shared" si="1"/>
        <v>9</v>
      </c>
      <c r="H7368" s="14">
        <f t="shared" si="2"/>
        <v>3</v>
      </c>
      <c r="I7368" s="15">
        <f t="shared" si="3"/>
        <v>0</v>
      </c>
    </row>
    <row r="7369">
      <c r="A7369" s="8" t="str">
        <f>IFERROR(__xludf.DUMMYFUNCTION("IF('(INGESTA)Datos_consumo_datadis'!A7369&lt;&gt;"""",SPLIT('(INGESTA)Datos_consumo_datadis'!A:A,"",""),"""")"),"ES0031408323131005HX0F")</f>
        <v>ES0031408323131005HX0F</v>
      </c>
      <c r="B7369" s="12">
        <f>IFERROR(__xludf.DUMMYFUNCTION("""COMPUTED_VALUE"""),45173.0)</f>
        <v>45173</v>
      </c>
      <c r="C7369" s="13">
        <f>IFERROR(__xludf.DUMMYFUNCTION("""COMPUTED_VALUE"""),0.041666666666666664)</f>
        <v>0.04166666667</v>
      </c>
      <c r="D7369" s="8">
        <f>IFERROR(__xludf.DUMMYFUNCTION("""COMPUTED_VALUE"""),0.361)</f>
        <v>0.361</v>
      </c>
      <c r="E7369" s="8" t="str">
        <f>IFERROR(__xludf.DUMMYFUNCTION("""COMPUTED_VALUE"""),"Real")</f>
        <v>Real</v>
      </c>
      <c r="G7369" s="8">
        <f t="shared" si="1"/>
        <v>9</v>
      </c>
      <c r="H7369" s="14">
        <f t="shared" si="2"/>
        <v>4</v>
      </c>
      <c r="I7369" s="15">
        <f t="shared" si="3"/>
        <v>1</v>
      </c>
    </row>
    <row r="7370">
      <c r="A7370" s="8" t="str">
        <f>IFERROR(__xludf.DUMMYFUNCTION("IF('(INGESTA)Datos_consumo_datadis'!A7370&lt;&gt;"""",SPLIT('(INGESTA)Datos_consumo_datadis'!A:A,"",""),"""")"),"ES0031408323131005HX0F")</f>
        <v>ES0031408323131005HX0F</v>
      </c>
      <c r="B7370" s="12">
        <f>IFERROR(__xludf.DUMMYFUNCTION("""COMPUTED_VALUE"""),45173.0)</f>
        <v>45173</v>
      </c>
      <c r="C7370" s="13">
        <f>IFERROR(__xludf.DUMMYFUNCTION("""COMPUTED_VALUE"""),0.08333333333333333)</f>
        <v>0.08333333333</v>
      </c>
      <c r="D7370" s="8">
        <f>IFERROR(__xludf.DUMMYFUNCTION("""COMPUTED_VALUE"""),0.095)</f>
        <v>0.095</v>
      </c>
      <c r="E7370" s="8" t="str">
        <f>IFERROR(__xludf.DUMMYFUNCTION("""COMPUTED_VALUE"""),"Real")</f>
        <v>Real</v>
      </c>
      <c r="G7370" s="8">
        <f t="shared" si="1"/>
        <v>9</v>
      </c>
      <c r="H7370" s="14">
        <f t="shared" si="2"/>
        <v>4</v>
      </c>
      <c r="I7370" s="15">
        <f t="shared" si="3"/>
        <v>2</v>
      </c>
    </row>
    <row r="7371">
      <c r="A7371" s="8" t="str">
        <f>IFERROR(__xludf.DUMMYFUNCTION("IF('(INGESTA)Datos_consumo_datadis'!A7371&lt;&gt;"""",SPLIT('(INGESTA)Datos_consumo_datadis'!A:A,"",""),"""")"),"ES0031408323131005HX0F")</f>
        <v>ES0031408323131005HX0F</v>
      </c>
      <c r="B7371" s="12">
        <f>IFERROR(__xludf.DUMMYFUNCTION("""COMPUTED_VALUE"""),45173.0)</f>
        <v>45173</v>
      </c>
      <c r="C7371" s="13">
        <f>IFERROR(__xludf.DUMMYFUNCTION("""COMPUTED_VALUE"""),0.125)</f>
        <v>0.125</v>
      </c>
      <c r="D7371" s="8">
        <f>IFERROR(__xludf.DUMMYFUNCTION("""COMPUTED_VALUE"""),0.089)</f>
        <v>0.089</v>
      </c>
      <c r="E7371" s="8" t="str">
        <f>IFERROR(__xludf.DUMMYFUNCTION("""COMPUTED_VALUE"""),"Real")</f>
        <v>Real</v>
      </c>
      <c r="G7371" s="8">
        <f t="shared" si="1"/>
        <v>9</v>
      </c>
      <c r="H7371" s="14">
        <f t="shared" si="2"/>
        <v>4</v>
      </c>
      <c r="I7371" s="15">
        <f t="shared" si="3"/>
        <v>3</v>
      </c>
    </row>
    <row r="7372">
      <c r="A7372" s="8" t="str">
        <f>IFERROR(__xludf.DUMMYFUNCTION("IF('(INGESTA)Datos_consumo_datadis'!A7372&lt;&gt;"""",SPLIT('(INGESTA)Datos_consumo_datadis'!A:A,"",""),"""")"),"ES0031408323131005HX0F")</f>
        <v>ES0031408323131005HX0F</v>
      </c>
      <c r="B7372" s="12">
        <f>IFERROR(__xludf.DUMMYFUNCTION("""COMPUTED_VALUE"""),45173.0)</f>
        <v>45173</v>
      </c>
      <c r="C7372" s="13">
        <f>IFERROR(__xludf.DUMMYFUNCTION("""COMPUTED_VALUE"""),0.16666666666666666)</f>
        <v>0.1666666667</v>
      </c>
      <c r="D7372" s="8">
        <f>IFERROR(__xludf.DUMMYFUNCTION("""COMPUTED_VALUE"""),0.049)</f>
        <v>0.049</v>
      </c>
      <c r="E7372" s="8" t="str">
        <f>IFERROR(__xludf.DUMMYFUNCTION("""COMPUTED_VALUE"""),"Real")</f>
        <v>Real</v>
      </c>
      <c r="G7372" s="8">
        <f t="shared" si="1"/>
        <v>9</v>
      </c>
      <c r="H7372" s="14">
        <f t="shared" si="2"/>
        <v>4</v>
      </c>
      <c r="I7372" s="15">
        <f t="shared" si="3"/>
        <v>4</v>
      </c>
    </row>
    <row r="7373">
      <c r="A7373" s="8" t="str">
        <f>IFERROR(__xludf.DUMMYFUNCTION("IF('(INGESTA)Datos_consumo_datadis'!A7373&lt;&gt;"""",SPLIT('(INGESTA)Datos_consumo_datadis'!A:A,"",""),"""")"),"ES0031408323131005HX0F")</f>
        <v>ES0031408323131005HX0F</v>
      </c>
      <c r="B7373" s="12">
        <f>IFERROR(__xludf.DUMMYFUNCTION("""COMPUTED_VALUE"""),45173.0)</f>
        <v>45173</v>
      </c>
      <c r="C7373" s="13">
        <f>IFERROR(__xludf.DUMMYFUNCTION("""COMPUTED_VALUE"""),0.20833333333333334)</f>
        <v>0.2083333333</v>
      </c>
      <c r="D7373" s="8">
        <f>IFERROR(__xludf.DUMMYFUNCTION("""COMPUTED_VALUE"""),0.028)</f>
        <v>0.028</v>
      </c>
      <c r="E7373" s="8" t="str">
        <f>IFERROR(__xludf.DUMMYFUNCTION("""COMPUTED_VALUE"""),"Real")</f>
        <v>Real</v>
      </c>
      <c r="G7373" s="8">
        <f t="shared" si="1"/>
        <v>9</v>
      </c>
      <c r="H7373" s="14">
        <f t="shared" si="2"/>
        <v>4</v>
      </c>
      <c r="I7373" s="15">
        <f t="shared" si="3"/>
        <v>5</v>
      </c>
    </row>
    <row r="7374">
      <c r="A7374" s="8" t="str">
        <f>IFERROR(__xludf.DUMMYFUNCTION("IF('(INGESTA)Datos_consumo_datadis'!A7374&lt;&gt;"""",SPLIT('(INGESTA)Datos_consumo_datadis'!A:A,"",""),"""")"),"ES0031408323131005HX0F")</f>
        <v>ES0031408323131005HX0F</v>
      </c>
      <c r="B7374" s="12">
        <f>IFERROR(__xludf.DUMMYFUNCTION("""COMPUTED_VALUE"""),45173.0)</f>
        <v>45173</v>
      </c>
      <c r="C7374" s="13">
        <f>IFERROR(__xludf.DUMMYFUNCTION("""COMPUTED_VALUE"""),0.25)</f>
        <v>0.25</v>
      </c>
      <c r="D7374" s="8">
        <f>IFERROR(__xludf.DUMMYFUNCTION("""COMPUTED_VALUE"""),0.078)</f>
        <v>0.078</v>
      </c>
      <c r="E7374" s="8" t="str">
        <f>IFERROR(__xludf.DUMMYFUNCTION("""COMPUTED_VALUE"""),"Real")</f>
        <v>Real</v>
      </c>
      <c r="G7374" s="8">
        <f t="shared" si="1"/>
        <v>9</v>
      </c>
      <c r="H7374" s="14">
        <f t="shared" si="2"/>
        <v>4</v>
      </c>
      <c r="I7374" s="15">
        <f t="shared" si="3"/>
        <v>6</v>
      </c>
    </row>
    <row r="7375">
      <c r="A7375" s="8" t="str">
        <f>IFERROR(__xludf.DUMMYFUNCTION("IF('(INGESTA)Datos_consumo_datadis'!A7375&lt;&gt;"""",SPLIT('(INGESTA)Datos_consumo_datadis'!A:A,"",""),"""")"),"ES0031408323131005HX0F")</f>
        <v>ES0031408323131005HX0F</v>
      </c>
      <c r="B7375" s="12">
        <f>IFERROR(__xludf.DUMMYFUNCTION("""COMPUTED_VALUE"""),45173.0)</f>
        <v>45173</v>
      </c>
      <c r="C7375" s="13">
        <f>IFERROR(__xludf.DUMMYFUNCTION("""COMPUTED_VALUE"""),0.2916666666666667)</f>
        <v>0.2916666667</v>
      </c>
      <c r="D7375" s="8">
        <f>IFERROR(__xludf.DUMMYFUNCTION("""COMPUTED_VALUE"""),0.13)</f>
        <v>0.13</v>
      </c>
      <c r="E7375" s="8" t="str">
        <f>IFERROR(__xludf.DUMMYFUNCTION("""COMPUTED_VALUE"""),"Real")</f>
        <v>Real</v>
      </c>
      <c r="G7375" s="8">
        <f t="shared" si="1"/>
        <v>9</v>
      </c>
      <c r="H7375" s="14">
        <f t="shared" si="2"/>
        <v>4</v>
      </c>
      <c r="I7375" s="15">
        <f t="shared" si="3"/>
        <v>7</v>
      </c>
    </row>
    <row r="7376">
      <c r="A7376" s="8" t="str">
        <f>IFERROR(__xludf.DUMMYFUNCTION("IF('(INGESTA)Datos_consumo_datadis'!A7376&lt;&gt;"""",SPLIT('(INGESTA)Datos_consumo_datadis'!A:A,"",""),"""")"),"ES0031408323131005HX0F")</f>
        <v>ES0031408323131005HX0F</v>
      </c>
      <c r="B7376" s="12">
        <f>IFERROR(__xludf.DUMMYFUNCTION("""COMPUTED_VALUE"""),45173.0)</f>
        <v>45173</v>
      </c>
      <c r="C7376" s="13">
        <f>IFERROR(__xludf.DUMMYFUNCTION("""COMPUTED_VALUE"""),0.3333333333333333)</f>
        <v>0.3333333333</v>
      </c>
      <c r="D7376" s="8">
        <f>IFERROR(__xludf.DUMMYFUNCTION("""COMPUTED_VALUE"""),0.359)</f>
        <v>0.359</v>
      </c>
      <c r="E7376" s="8" t="str">
        <f>IFERROR(__xludf.DUMMYFUNCTION("""COMPUTED_VALUE"""),"Real")</f>
        <v>Real</v>
      </c>
      <c r="G7376" s="8">
        <f t="shared" si="1"/>
        <v>9</v>
      </c>
      <c r="H7376" s="14">
        <f t="shared" si="2"/>
        <v>4</v>
      </c>
      <c r="I7376" s="15">
        <f t="shared" si="3"/>
        <v>8</v>
      </c>
    </row>
    <row r="7377">
      <c r="A7377" s="8" t="str">
        <f>IFERROR(__xludf.DUMMYFUNCTION("IF('(INGESTA)Datos_consumo_datadis'!A7377&lt;&gt;"""",SPLIT('(INGESTA)Datos_consumo_datadis'!A:A,"",""),"""")"),"ES0031408323131005HX0F")</f>
        <v>ES0031408323131005HX0F</v>
      </c>
      <c r="B7377" s="12">
        <f>IFERROR(__xludf.DUMMYFUNCTION("""COMPUTED_VALUE"""),45173.0)</f>
        <v>45173</v>
      </c>
      <c r="C7377" s="13">
        <f>IFERROR(__xludf.DUMMYFUNCTION("""COMPUTED_VALUE"""),0.375)</f>
        <v>0.375</v>
      </c>
      <c r="D7377" s="8">
        <f>IFERROR(__xludf.DUMMYFUNCTION("""COMPUTED_VALUE"""),0.092)</f>
        <v>0.092</v>
      </c>
      <c r="E7377" s="8" t="str">
        <f>IFERROR(__xludf.DUMMYFUNCTION("""COMPUTED_VALUE"""),"Real")</f>
        <v>Real</v>
      </c>
      <c r="G7377" s="8">
        <f t="shared" si="1"/>
        <v>9</v>
      </c>
      <c r="H7377" s="14">
        <f t="shared" si="2"/>
        <v>4</v>
      </c>
      <c r="I7377" s="15">
        <f t="shared" si="3"/>
        <v>9</v>
      </c>
    </row>
    <row r="7378">
      <c r="A7378" s="8" t="str">
        <f>IFERROR(__xludf.DUMMYFUNCTION("IF('(INGESTA)Datos_consumo_datadis'!A7378&lt;&gt;"""",SPLIT('(INGESTA)Datos_consumo_datadis'!A:A,"",""),"""")"),"ES0031408323131005HX0F")</f>
        <v>ES0031408323131005HX0F</v>
      </c>
      <c r="B7378" s="12">
        <f>IFERROR(__xludf.DUMMYFUNCTION("""COMPUTED_VALUE"""),45173.0)</f>
        <v>45173</v>
      </c>
      <c r="C7378" s="13">
        <f>IFERROR(__xludf.DUMMYFUNCTION("""COMPUTED_VALUE"""),0.4166666666666667)</f>
        <v>0.4166666667</v>
      </c>
      <c r="D7378" s="8">
        <f>IFERROR(__xludf.DUMMYFUNCTION("""COMPUTED_VALUE"""),0.091)</f>
        <v>0.091</v>
      </c>
      <c r="E7378" s="8" t="str">
        <f>IFERROR(__xludf.DUMMYFUNCTION("""COMPUTED_VALUE"""),"Real")</f>
        <v>Real</v>
      </c>
      <c r="G7378" s="8">
        <f t="shared" si="1"/>
        <v>9</v>
      </c>
      <c r="H7378" s="14">
        <f t="shared" si="2"/>
        <v>4</v>
      </c>
      <c r="I7378" s="15">
        <f t="shared" si="3"/>
        <v>10</v>
      </c>
    </row>
    <row r="7379">
      <c r="A7379" s="8" t="str">
        <f>IFERROR(__xludf.DUMMYFUNCTION("IF('(INGESTA)Datos_consumo_datadis'!A7379&lt;&gt;"""",SPLIT('(INGESTA)Datos_consumo_datadis'!A:A,"",""),"""")"),"ES0031408323131005HX0F")</f>
        <v>ES0031408323131005HX0F</v>
      </c>
      <c r="B7379" s="12">
        <f>IFERROR(__xludf.DUMMYFUNCTION("""COMPUTED_VALUE"""),45173.0)</f>
        <v>45173</v>
      </c>
      <c r="C7379" s="13">
        <f>IFERROR(__xludf.DUMMYFUNCTION("""COMPUTED_VALUE"""),0.4583333333333333)</f>
        <v>0.4583333333</v>
      </c>
      <c r="D7379" s="8">
        <f>IFERROR(__xludf.DUMMYFUNCTION("""COMPUTED_VALUE"""),0.057)</f>
        <v>0.057</v>
      </c>
      <c r="E7379" s="8" t="str">
        <f>IFERROR(__xludf.DUMMYFUNCTION("""COMPUTED_VALUE"""),"Real")</f>
        <v>Real</v>
      </c>
      <c r="G7379" s="8">
        <f t="shared" si="1"/>
        <v>9</v>
      </c>
      <c r="H7379" s="14">
        <f t="shared" si="2"/>
        <v>4</v>
      </c>
      <c r="I7379" s="15">
        <f t="shared" si="3"/>
        <v>11</v>
      </c>
    </row>
    <row r="7380">
      <c r="A7380" s="8" t="str">
        <f>IFERROR(__xludf.DUMMYFUNCTION("IF('(INGESTA)Datos_consumo_datadis'!A7380&lt;&gt;"""",SPLIT('(INGESTA)Datos_consumo_datadis'!A:A,"",""),"""")"),"ES0031408323131005HX0F")</f>
        <v>ES0031408323131005HX0F</v>
      </c>
      <c r="B7380" s="12">
        <f>IFERROR(__xludf.DUMMYFUNCTION("""COMPUTED_VALUE"""),45173.0)</f>
        <v>45173</v>
      </c>
      <c r="C7380" s="13">
        <f>IFERROR(__xludf.DUMMYFUNCTION("""COMPUTED_VALUE"""),0.5)</f>
        <v>0.5</v>
      </c>
      <c r="D7380" s="8">
        <f>IFERROR(__xludf.DUMMYFUNCTION("""COMPUTED_VALUE"""),0.027)</f>
        <v>0.027</v>
      </c>
      <c r="E7380" s="8" t="str">
        <f>IFERROR(__xludf.DUMMYFUNCTION("""COMPUTED_VALUE"""),"Real")</f>
        <v>Real</v>
      </c>
      <c r="G7380" s="8">
        <f t="shared" si="1"/>
        <v>9</v>
      </c>
      <c r="H7380" s="14">
        <f t="shared" si="2"/>
        <v>4</v>
      </c>
      <c r="I7380" s="15">
        <f t="shared" si="3"/>
        <v>12</v>
      </c>
    </row>
    <row r="7381">
      <c r="A7381" s="8" t="str">
        <f>IFERROR(__xludf.DUMMYFUNCTION("IF('(INGESTA)Datos_consumo_datadis'!A7381&lt;&gt;"""",SPLIT('(INGESTA)Datos_consumo_datadis'!A:A,"",""),"""")"),"ES0031408323131005HX0F")</f>
        <v>ES0031408323131005HX0F</v>
      </c>
      <c r="B7381" s="12">
        <f>IFERROR(__xludf.DUMMYFUNCTION("""COMPUTED_VALUE"""),45173.0)</f>
        <v>45173</v>
      </c>
      <c r="C7381" s="13">
        <f>IFERROR(__xludf.DUMMYFUNCTION("""COMPUTED_VALUE"""),0.5416666666666666)</f>
        <v>0.5416666667</v>
      </c>
      <c r="D7381" s="8">
        <f>IFERROR(__xludf.DUMMYFUNCTION("""COMPUTED_VALUE"""),0.071)</f>
        <v>0.071</v>
      </c>
      <c r="E7381" s="8" t="str">
        <f>IFERROR(__xludf.DUMMYFUNCTION("""COMPUTED_VALUE"""),"Real")</f>
        <v>Real</v>
      </c>
      <c r="G7381" s="8">
        <f t="shared" si="1"/>
        <v>9</v>
      </c>
      <c r="H7381" s="14">
        <f t="shared" si="2"/>
        <v>4</v>
      </c>
      <c r="I7381" s="15">
        <f t="shared" si="3"/>
        <v>13</v>
      </c>
    </row>
    <row r="7382">
      <c r="A7382" s="8" t="str">
        <f>IFERROR(__xludf.DUMMYFUNCTION("IF('(INGESTA)Datos_consumo_datadis'!A7382&lt;&gt;"""",SPLIT('(INGESTA)Datos_consumo_datadis'!A:A,"",""),"""")"),"ES0031408323131005HX0F")</f>
        <v>ES0031408323131005HX0F</v>
      </c>
      <c r="B7382" s="12">
        <f>IFERROR(__xludf.DUMMYFUNCTION("""COMPUTED_VALUE"""),45173.0)</f>
        <v>45173</v>
      </c>
      <c r="C7382" s="13">
        <f>IFERROR(__xludf.DUMMYFUNCTION("""COMPUTED_VALUE"""),0.5833333333333334)</f>
        <v>0.5833333333</v>
      </c>
      <c r="D7382" s="8">
        <f>IFERROR(__xludf.DUMMYFUNCTION("""COMPUTED_VALUE"""),0.13)</f>
        <v>0.13</v>
      </c>
      <c r="E7382" s="8" t="str">
        <f>IFERROR(__xludf.DUMMYFUNCTION("""COMPUTED_VALUE"""),"Real")</f>
        <v>Real</v>
      </c>
      <c r="G7382" s="8">
        <f t="shared" si="1"/>
        <v>9</v>
      </c>
      <c r="H7382" s="14">
        <f t="shared" si="2"/>
        <v>4</v>
      </c>
      <c r="I7382" s="15">
        <f t="shared" si="3"/>
        <v>14</v>
      </c>
    </row>
    <row r="7383">
      <c r="A7383" s="8" t="str">
        <f>IFERROR(__xludf.DUMMYFUNCTION("IF('(INGESTA)Datos_consumo_datadis'!A7383&lt;&gt;"""",SPLIT('(INGESTA)Datos_consumo_datadis'!A:A,"",""),"""")"),"ES0031408323131005HX0F")</f>
        <v>ES0031408323131005HX0F</v>
      </c>
      <c r="B7383" s="12">
        <f>IFERROR(__xludf.DUMMYFUNCTION("""COMPUTED_VALUE"""),45173.0)</f>
        <v>45173</v>
      </c>
      <c r="C7383" s="13">
        <f>IFERROR(__xludf.DUMMYFUNCTION("""COMPUTED_VALUE"""),0.625)</f>
        <v>0.625</v>
      </c>
      <c r="D7383" s="8">
        <f>IFERROR(__xludf.DUMMYFUNCTION("""COMPUTED_VALUE"""),0.38)</f>
        <v>0.38</v>
      </c>
      <c r="E7383" s="8" t="str">
        <f>IFERROR(__xludf.DUMMYFUNCTION("""COMPUTED_VALUE"""),"Real")</f>
        <v>Real</v>
      </c>
      <c r="G7383" s="8">
        <f t="shared" si="1"/>
        <v>9</v>
      </c>
      <c r="H7383" s="14">
        <f t="shared" si="2"/>
        <v>4</v>
      </c>
      <c r="I7383" s="15">
        <f t="shared" si="3"/>
        <v>15</v>
      </c>
    </row>
    <row r="7384">
      <c r="A7384" s="8" t="str">
        <f>IFERROR(__xludf.DUMMYFUNCTION("IF('(INGESTA)Datos_consumo_datadis'!A7384&lt;&gt;"""",SPLIT('(INGESTA)Datos_consumo_datadis'!A:A,"",""),"""")"),"ES0031408323131005HX0F")</f>
        <v>ES0031408323131005HX0F</v>
      </c>
      <c r="B7384" s="12">
        <f>IFERROR(__xludf.DUMMYFUNCTION("""COMPUTED_VALUE"""),45173.0)</f>
        <v>45173</v>
      </c>
      <c r="C7384" s="13">
        <f>IFERROR(__xludf.DUMMYFUNCTION("""COMPUTED_VALUE"""),0.6666666666666666)</f>
        <v>0.6666666667</v>
      </c>
      <c r="D7384" s="8">
        <f>IFERROR(__xludf.DUMMYFUNCTION("""COMPUTED_VALUE"""),0.092)</f>
        <v>0.092</v>
      </c>
      <c r="E7384" s="8" t="str">
        <f>IFERROR(__xludf.DUMMYFUNCTION("""COMPUTED_VALUE"""),"Real")</f>
        <v>Real</v>
      </c>
      <c r="G7384" s="8">
        <f t="shared" si="1"/>
        <v>9</v>
      </c>
      <c r="H7384" s="14">
        <f t="shared" si="2"/>
        <v>4</v>
      </c>
      <c r="I7384" s="15">
        <f t="shared" si="3"/>
        <v>16</v>
      </c>
    </row>
    <row r="7385">
      <c r="A7385" s="8" t="str">
        <f>IFERROR(__xludf.DUMMYFUNCTION("IF('(INGESTA)Datos_consumo_datadis'!A7385&lt;&gt;"""",SPLIT('(INGESTA)Datos_consumo_datadis'!A:A,"",""),"""")"),"ES0031408323131005HX0F")</f>
        <v>ES0031408323131005HX0F</v>
      </c>
      <c r="B7385" s="12">
        <f>IFERROR(__xludf.DUMMYFUNCTION("""COMPUTED_VALUE"""),45173.0)</f>
        <v>45173</v>
      </c>
      <c r="C7385" s="13">
        <f>IFERROR(__xludf.DUMMYFUNCTION("""COMPUTED_VALUE"""),0.7083333333333334)</f>
        <v>0.7083333333</v>
      </c>
      <c r="D7385" s="8">
        <f>IFERROR(__xludf.DUMMYFUNCTION("""COMPUTED_VALUE"""),0.094)</f>
        <v>0.094</v>
      </c>
      <c r="E7385" s="8" t="str">
        <f>IFERROR(__xludf.DUMMYFUNCTION("""COMPUTED_VALUE"""),"Real")</f>
        <v>Real</v>
      </c>
      <c r="G7385" s="8">
        <f t="shared" si="1"/>
        <v>9</v>
      </c>
      <c r="H7385" s="14">
        <f t="shared" si="2"/>
        <v>4</v>
      </c>
      <c r="I7385" s="15">
        <f t="shared" si="3"/>
        <v>17</v>
      </c>
    </row>
    <row r="7386">
      <c r="A7386" s="8" t="str">
        <f>IFERROR(__xludf.DUMMYFUNCTION("IF('(INGESTA)Datos_consumo_datadis'!A7386&lt;&gt;"""",SPLIT('(INGESTA)Datos_consumo_datadis'!A:A,"",""),"""")"),"ES0031408323131005HX0F")</f>
        <v>ES0031408323131005HX0F</v>
      </c>
      <c r="B7386" s="12">
        <f>IFERROR(__xludf.DUMMYFUNCTION("""COMPUTED_VALUE"""),45173.0)</f>
        <v>45173</v>
      </c>
      <c r="C7386" s="13">
        <f>IFERROR(__xludf.DUMMYFUNCTION("""COMPUTED_VALUE"""),0.75)</f>
        <v>0.75</v>
      </c>
      <c r="D7386" s="8">
        <f>IFERROR(__xludf.DUMMYFUNCTION("""COMPUTED_VALUE"""),0.067)</f>
        <v>0.067</v>
      </c>
      <c r="E7386" s="8" t="str">
        <f>IFERROR(__xludf.DUMMYFUNCTION("""COMPUTED_VALUE"""),"Real")</f>
        <v>Real</v>
      </c>
      <c r="G7386" s="8">
        <f t="shared" si="1"/>
        <v>9</v>
      </c>
      <c r="H7386" s="14">
        <f t="shared" si="2"/>
        <v>4</v>
      </c>
      <c r="I7386" s="15">
        <f t="shared" si="3"/>
        <v>18</v>
      </c>
    </row>
    <row r="7387">
      <c r="A7387" s="8" t="str">
        <f>IFERROR(__xludf.DUMMYFUNCTION("IF('(INGESTA)Datos_consumo_datadis'!A7387&lt;&gt;"""",SPLIT('(INGESTA)Datos_consumo_datadis'!A:A,"",""),"""")"),"ES0031408323131005HX0F")</f>
        <v>ES0031408323131005HX0F</v>
      </c>
      <c r="B7387" s="12">
        <f>IFERROR(__xludf.DUMMYFUNCTION("""COMPUTED_VALUE"""),45173.0)</f>
        <v>45173</v>
      </c>
      <c r="C7387" s="13">
        <f>IFERROR(__xludf.DUMMYFUNCTION("""COMPUTED_VALUE"""),0.7916666666666666)</f>
        <v>0.7916666667</v>
      </c>
      <c r="D7387" s="8">
        <f>IFERROR(__xludf.DUMMYFUNCTION("""COMPUTED_VALUE"""),0.027)</f>
        <v>0.027</v>
      </c>
      <c r="E7387" s="8" t="str">
        <f>IFERROR(__xludf.DUMMYFUNCTION("""COMPUTED_VALUE"""),"Real")</f>
        <v>Real</v>
      </c>
      <c r="G7387" s="8">
        <f t="shared" si="1"/>
        <v>9</v>
      </c>
      <c r="H7387" s="14">
        <f t="shared" si="2"/>
        <v>4</v>
      </c>
      <c r="I7387" s="15">
        <f t="shared" si="3"/>
        <v>19</v>
      </c>
    </row>
    <row r="7388">
      <c r="A7388" s="8" t="str">
        <f>IFERROR(__xludf.DUMMYFUNCTION("IF('(INGESTA)Datos_consumo_datadis'!A7388&lt;&gt;"""",SPLIT('(INGESTA)Datos_consumo_datadis'!A:A,"",""),"""")"),"ES0031408323131005HX0F")</f>
        <v>ES0031408323131005HX0F</v>
      </c>
      <c r="B7388" s="12">
        <f>IFERROR(__xludf.DUMMYFUNCTION("""COMPUTED_VALUE"""),45173.0)</f>
        <v>45173</v>
      </c>
      <c r="C7388" s="13">
        <f>IFERROR(__xludf.DUMMYFUNCTION("""COMPUTED_VALUE"""),0.8333333333333334)</f>
        <v>0.8333333333</v>
      </c>
      <c r="D7388" s="8">
        <f>IFERROR(__xludf.DUMMYFUNCTION("""COMPUTED_VALUE"""),0.06)</f>
        <v>0.06</v>
      </c>
      <c r="E7388" s="8" t="str">
        <f>IFERROR(__xludf.DUMMYFUNCTION("""COMPUTED_VALUE"""),"Real")</f>
        <v>Real</v>
      </c>
      <c r="G7388" s="8">
        <f t="shared" si="1"/>
        <v>9</v>
      </c>
      <c r="H7388" s="14">
        <f t="shared" si="2"/>
        <v>4</v>
      </c>
      <c r="I7388" s="15">
        <f t="shared" si="3"/>
        <v>20</v>
      </c>
    </row>
    <row r="7389">
      <c r="A7389" s="8" t="str">
        <f>IFERROR(__xludf.DUMMYFUNCTION("IF('(INGESTA)Datos_consumo_datadis'!A7389&lt;&gt;"""",SPLIT('(INGESTA)Datos_consumo_datadis'!A:A,"",""),"""")"),"ES0031408323131005HX0F")</f>
        <v>ES0031408323131005HX0F</v>
      </c>
      <c r="B7389" s="12">
        <f>IFERROR(__xludf.DUMMYFUNCTION("""COMPUTED_VALUE"""),45173.0)</f>
        <v>45173</v>
      </c>
      <c r="C7389" s="13">
        <f>IFERROR(__xludf.DUMMYFUNCTION("""COMPUTED_VALUE"""),0.875)</f>
        <v>0.875</v>
      </c>
      <c r="D7389" s="8">
        <f>IFERROR(__xludf.DUMMYFUNCTION("""COMPUTED_VALUE"""),0.13)</f>
        <v>0.13</v>
      </c>
      <c r="E7389" s="8" t="str">
        <f>IFERROR(__xludf.DUMMYFUNCTION("""COMPUTED_VALUE"""),"Real")</f>
        <v>Real</v>
      </c>
      <c r="G7389" s="8">
        <f t="shared" si="1"/>
        <v>9</v>
      </c>
      <c r="H7389" s="14">
        <f t="shared" si="2"/>
        <v>4</v>
      </c>
      <c r="I7389" s="15">
        <f t="shared" si="3"/>
        <v>21</v>
      </c>
    </row>
    <row r="7390">
      <c r="A7390" s="8" t="str">
        <f>IFERROR(__xludf.DUMMYFUNCTION("IF('(INGESTA)Datos_consumo_datadis'!A7390&lt;&gt;"""",SPLIT('(INGESTA)Datos_consumo_datadis'!A:A,"",""),"""")"),"ES0031408323131005HX0F")</f>
        <v>ES0031408323131005HX0F</v>
      </c>
      <c r="B7390" s="12">
        <f>IFERROR(__xludf.DUMMYFUNCTION("""COMPUTED_VALUE"""),45173.0)</f>
        <v>45173</v>
      </c>
      <c r="C7390" s="13">
        <f>IFERROR(__xludf.DUMMYFUNCTION("""COMPUTED_VALUE"""),0.9166666666666666)</f>
        <v>0.9166666667</v>
      </c>
      <c r="D7390" s="8">
        <f>IFERROR(__xludf.DUMMYFUNCTION("""COMPUTED_VALUE"""),0.363)</f>
        <v>0.363</v>
      </c>
      <c r="E7390" s="8" t="str">
        <f>IFERROR(__xludf.DUMMYFUNCTION("""COMPUTED_VALUE"""),"Real")</f>
        <v>Real</v>
      </c>
      <c r="G7390" s="8">
        <f t="shared" si="1"/>
        <v>9</v>
      </c>
      <c r="H7390" s="14">
        <f t="shared" si="2"/>
        <v>4</v>
      </c>
      <c r="I7390" s="15">
        <f t="shared" si="3"/>
        <v>22</v>
      </c>
    </row>
    <row r="7391">
      <c r="A7391" s="8" t="str">
        <f>IFERROR(__xludf.DUMMYFUNCTION("IF('(INGESTA)Datos_consumo_datadis'!A7391&lt;&gt;"""",SPLIT('(INGESTA)Datos_consumo_datadis'!A:A,"",""),"""")"),"ES0031408323131005HX0F")</f>
        <v>ES0031408323131005HX0F</v>
      </c>
      <c r="B7391" s="12">
        <f>IFERROR(__xludf.DUMMYFUNCTION("""COMPUTED_VALUE"""),45173.0)</f>
        <v>45173</v>
      </c>
      <c r="C7391" s="13">
        <f>IFERROR(__xludf.DUMMYFUNCTION("""COMPUTED_VALUE"""),0.9583333333333334)</f>
        <v>0.9583333333</v>
      </c>
      <c r="D7391" s="8">
        <f>IFERROR(__xludf.DUMMYFUNCTION("""COMPUTED_VALUE"""),0.094)</f>
        <v>0.094</v>
      </c>
      <c r="E7391" s="8" t="str">
        <f>IFERROR(__xludf.DUMMYFUNCTION("""COMPUTED_VALUE"""),"Real")</f>
        <v>Real</v>
      </c>
      <c r="G7391" s="8">
        <f t="shared" si="1"/>
        <v>9</v>
      </c>
      <c r="H7391" s="14">
        <f t="shared" si="2"/>
        <v>4</v>
      </c>
      <c r="I7391" s="15">
        <f t="shared" si="3"/>
        <v>23</v>
      </c>
    </row>
    <row r="7392">
      <c r="A7392" s="8" t="str">
        <f>IFERROR(__xludf.DUMMYFUNCTION("IF('(INGESTA)Datos_consumo_datadis'!A7392&lt;&gt;"""",SPLIT('(INGESTA)Datos_consumo_datadis'!A:A,"",""),"""")"),"ES0031408323131005HX0F")</f>
        <v>ES0031408323131005HX0F</v>
      </c>
      <c r="B7392" s="12">
        <f>IFERROR(__xludf.DUMMYFUNCTION("""COMPUTED_VALUE"""),45173.0)</f>
        <v>45173</v>
      </c>
      <c r="C7392" s="16">
        <f>IFERROR(__xludf.DUMMYFUNCTION("""COMPUTED_VALUE"""),1.0)</f>
        <v>1</v>
      </c>
      <c r="D7392" s="8">
        <f>IFERROR(__xludf.DUMMYFUNCTION("""COMPUTED_VALUE"""),0.106)</f>
        <v>0.106</v>
      </c>
      <c r="E7392" s="8" t="str">
        <f>IFERROR(__xludf.DUMMYFUNCTION("""COMPUTED_VALUE"""),"Real")</f>
        <v>Real</v>
      </c>
      <c r="G7392" s="8">
        <f t="shared" si="1"/>
        <v>9</v>
      </c>
      <c r="H7392" s="14">
        <f t="shared" si="2"/>
        <v>4</v>
      </c>
      <c r="I7392" s="15">
        <f t="shared" si="3"/>
        <v>0</v>
      </c>
    </row>
    <row r="7393">
      <c r="A7393" s="8" t="str">
        <f>IFERROR(__xludf.DUMMYFUNCTION("IF('(INGESTA)Datos_consumo_datadis'!A7393&lt;&gt;"""",SPLIT('(INGESTA)Datos_consumo_datadis'!A:A,"",""),"""")"),"ES0031408323131005HX0F")</f>
        <v>ES0031408323131005HX0F</v>
      </c>
      <c r="B7393" s="12">
        <f>IFERROR(__xludf.DUMMYFUNCTION("""COMPUTED_VALUE"""),45174.0)</f>
        <v>45174</v>
      </c>
      <c r="C7393" s="13">
        <f>IFERROR(__xludf.DUMMYFUNCTION("""COMPUTED_VALUE"""),0.041666666666666664)</f>
        <v>0.04166666667</v>
      </c>
      <c r="D7393" s="8">
        <f>IFERROR(__xludf.DUMMYFUNCTION("""COMPUTED_VALUE"""),0.073)</f>
        <v>0.073</v>
      </c>
      <c r="E7393" s="8" t="str">
        <f>IFERROR(__xludf.DUMMYFUNCTION("""COMPUTED_VALUE"""),"Real")</f>
        <v>Real</v>
      </c>
      <c r="G7393" s="8">
        <f t="shared" si="1"/>
        <v>9</v>
      </c>
      <c r="H7393" s="14">
        <f t="shared" si="2"/>
        <v>5</v>
      </c>
      <c r="I7393" s="15">
        <f t="shared" si="3"/>
        <v>1</v>
      </c>
    </row>
    <row r="7394">
      <c r="A7394" s="8" t="str">
        <f>IFERROR(__xludf.DUMMYFUNCTION("IF('(INGESTA)Datos_consumo_datadis'!A7394&lt;&gt;"""",SPLIT('(INGESTA)Datos_consumo_datadis'!A:A,"",""),"""")"),"ES0031408323131005HX0F")</f>
        <v>ES0031408323131005HX0F</v>
      </c>
      <c r="B7394" s="12">
        <f>IFERROR(__xludf.DUMMYFUNCTION("""COMPUTED_VALUE"""),45174.0)</f>
        <v>45174</v>
      </c>
      <c r="C7394" s="13">
        <f>IFERROR(__xludf.DUMMYFUNCTION("""COMPUTED_VALUE"""),0.08333333333333333)</f>
        <v>0.08333333333</v>
      </c>
      <c r="D7394" s="8">
        <f>IFERROR(__xludf.DUMMYFUNCTION("""COMPUTED_VALUE"""),0.028)</f>
        <v>0.028</v>
      </c>
      <c r="E7394" s="8" t="str">
        <f>IFERROR(__xludf.DUMMYFUNCTION("""COMPUTED_VALUE"""),"Real")</f>
        <v>Real</v>
      </c>
      <c r="G7394" s="8">
        <f t="shared" si="1"/>
        <v>9</v>
      </c>
      <c r="H7394" s="14">
        <f t="shared" si="2"/>
        <v>5</v>
      </c>
      <c r="I7394" s="15">
        <f t="shared" si="3"/>
        <v>2</v>
      </c>
    </row>
    <row r="7395">
      <c r="A7395" s="8" t="str">
        <f>IFERROR(__xludf.DUMMYFUNCTION("IF('(INGESTA)Datos_consumo_datadis'!A7395&lt;&gt;"""",SPLIT('(INGESTA)Datos_consumo_datadis'!A:A,"",""),"""")"),"ES0031408323131005HX0F")</f>
        <v>ES0031408323131005HX0F</v>
      </c>
      <c r="B7395" s="12">
        <f>IFERROR(__xludf.DUMMYFUNCTION("""COMPUTED_VALUE"""),45174.0)</f>
        <v>45174</v>
      </c>
      <c r="C7395" s="13">
        <f>IFERROR(__xludf.DUMMYFUNCTION("""COMPUTED_VALUE"""),0.125)</f>
        <v>0.125</v>
      </c>
      <c r="D7395" s="8">
        <f>IFERROR(__xludf.DUMMYFUNCTION("""COMPUTED_VALUE"""),0.042)</f>
        <v>0.042</v>
      </c>
      <c r="E7395" s="8" t="str">
        <f>IFERROR(__xludf.DUMMYFUNCTION("""COMPUTED_VALUE"""),"Real")</f>
        <v>Real</v>
      </c>
      <c r="G7395" s="8">
        <f t="shared" si="1"/>
        <v>9</v>
      </c>
      <c r="H7395" s="14">
        <f t="shared" si="2"/>
        <v>5</v>
      </c>
      <c r="I7395" s="15">
        <f t="shared" si="3"/>
        <v>3</v>
      </c>
    </row>
    <row r="7396">
      <c r="A7396" s="8" t="str">
        <f>IFERROR(__xludf.DUMMYFUNCTION("IF('(INGESTA)Datos_consumo_datadis'!A7396&lt;&gt;"""",SPLIT('(INGESTA)Datos_consumo_datadis'!A:A,"",""),"""")"),"ES0031408323131005HX0F")</f>
        <v>ES0031408323131005HX0F</v>
      </c>
      <c r="B7396" s="12">
        <f>IFERROR(__xludf.DUMMYFUNCTION("""COMPUTED_VALUE"""),45174.0)</f>
        <v>45174</v>
      </c>
      <c r="C7396" s="13">
        <f>IFERROR(__xludf.DUMMYFUNCTION("""COMPUTED_VALUE"""),0.16666666666666666)</f>
        <v>0.1666666667</v>
      </c>
      <c r="D7396" s="8">
        <f>IFERROR(__xludf.DUMMYFUNCTION("""COMPUTED_VALUE"""),0.131)</f>
        <v>0.131</v>
      </c>
      <c r="E7396" s="8" t="str">
        <f>IFERROR(__xludf.DUMMYFUNCTION("""COMPUTED_VALUE"""),"Real")</f>
        <v>Real</v>
      </c>
      <c r="G7396" s="8">
        <f t="shared" si="1"/>
        <v>9</v>
      </c>
      <c r="H7396" s="14">
        <f t="shared" si="2"/>
        <v>5</v>
      </c>
      <c r="I7396" s="15">
        <f t="shared" si="3"/>
        <v>4</v>
      </c>
    </row>
    <row r="7397">
      <c r="A7397" s="8" t="str">
        <f>IFERROR(__xludf.DUMMYFUNCTION("IF('(INGESTA)Datos_consumo_datadis'!A7397&lt;&gt;"""",SPLIT('(INGESTA)Datos_consumo_datadis'!A:A,"",""),"""")"),"ES0031408323131005HX0F")</f>
        <v>ES0031408323131005HX0F</v>
      </c>
      <c r="B7397" s="12">
        <f>IFERROR(__xludf.DUMMYFUNCTION("""COMPUTED_VALUE"""),45174.0)</f>
        <v>45174</v>
      </c>
      <c r="C7397" s="13">
        <f>IFERROR(__xludf.DUMMYFUNCTION("""COMPUTED_VALUE"""),0.20833333333333334)</f>
        <v>0.2083333333</v>
      </c>
      <c r="D7397" s="8">
        <f>IFERROR(__xludf.DUMMYFUNCTION("""COMPUTED_VALUE"""),0.365)</f>
        <v>0.365</v>
      </c>
      <c r="E7397" s="8" t="str">
        <f>IFERROR(__xludf.DUMMYFUNCTION("""COMPUTED_VALUE"""),"Real")</f>
        <v>Real</v>
      </c>
      <c r="G7397" s="8">
        <f t="shared" si="1"/>
        <v>9</v>
      </c>
      <c r="H7397" s="14">
        <f t="shared" si="2"/>
        <v>5</v>
      </c>
      <c r="I7397" s="15">
        <f t="shared" si="3"/>
        <v>5</v>
      </c>
    </row>
    <row r="7398">
      <c r="A7398" s="8" t="str">
        <f>IFERROR(__xludf.DUMMYFUNCTION("IF('(INGESTA)Datos_consumo_datadis'!A7398&lt;&gt;"""",SPLIT('(INGESTA)Datos_consumo_datadis'!A:A,"",""),"""")"),"ES0031408323131005HX0F")</f>
        <v>ES0031408323131005HX0F</v>
      </c>
      <c r="B7398" s="12">
        <f>IFERROR(__xludf.DUMMYFUNCTION("""COMPUTED_VALUE"""),45174.0)</f>
        <v>45174</v>
      </c>
      <c r="C7398" s="13">
        <f>IFERROR(__xludf.DUMMYFUNCTION("""COMPUTED_VALUE"""),0.25)</f>
        <v>0.25</v>
      </c>
      <c r="D7398" s="8">
        <f>IFERROR(__xludf.DUMMYFUNCTION("""COMPUTED_VALUE"""),0.104)</f>
        <v>0.104</v>
      </c>
      <c r="E7398" s="8" t="str">
        <f>IFERROR(__xludf.DUMMYFUNCTION("""COMPUTED_VALUE"""),"Real")</f>
        <v>Real</v>
      </c>
      <c r="G7398" s="8">
        <f t="shared" si="1"/>
        <v>9</v>
      </c>
      <c r="H7398" s="14">
        <f t="shared" si="2"/>
        <v>5</v>
      </c>
      <c r="I7398" s="15">
        <f t="shared" si="3"/>
        <v>6</v>
      </c>
    </row>
    <row r="7399">
      <c r="A7399" s="8" t="str">
        <f>IFERROR(__xludf.DUMMYFUNCTION("IF('(INGESTA)Datos_consumo_datadis'!A7399&lt;&gt;"""",SPLIT('(INGESTA)Datos_consumo_datadis'!A:A,"",""),"""")"),"ES0031408323131005HX0F")</f>
        <v>ES0031408323131005HX0F</v>
      </c>
      <c r="B7399" s="12">
        <f>IFERROR(__xludf.DUMMYFUNCTION("""COMPUTED_VALUE"""),45174.0)</f>
        <v>45174</v>
      </c>
      <c r="C7399" s="13">
        <f>IFERROR(__xludf.DUMMYFUNCTION("""COMPUTED_VALUE"""),0.2916666666666667)</f>
        <v>0.2916666667</v>
      </c>
      <c r="D7399" s="8">
        <f>IFERROR(__xludf.DUMMYFUNCTION("""COMPUTED_VALUE"""),0.113)</f>
        <v>0.113</v>
      </c>
      <c r="E7399" s="8" t="str">
        <f>IFERROR(__xludf.DUMMYFUNCTION("""COMPUTED_VALUE"""),"Real")</f>
        <v>Real</v>
      </c>
      <c r="G7399" s="8">
        <f t="shared" si="1"/>
        <v>9</v>
      </c>
      <c r="H7399" s="14">
        <f t="shared" si="2"/>
        <v>5</v>
      </c>
      <c r="I7399" s="15">
        <f t="shared" si="3"/>
        <v>7</v>
      </c>
    </row>
    <row r="7400">
      <c r="A7400" s="8" t="str">
        <f>IFERROR(__xludf.DUMMYFUNCTION("IF('(INGESTA)Datos_consumo_datadis'!A7400&lt;&gt;"""",SPLIT('(INGESTA)Datos_consumo_datadis'!A:A,"",""),"""")"),"ES0031408323131005HX0F")</f>
        <v>ES0031408323131005HX0F</v>
      </c>
      <c r="B7400" s="12">
        <f>IFERROR(__xludf.DUMMYFUNCTION("""COMPUTED_VALUE"""),45174.0)</f>
        <v>45174</v>
      </c>
      <c r="C7400" s="13">
        <f>IFERROR(__xludf.DUMMYFUNCTION("""COMPUTED_VALUE"""),0.3333333333333333)</f>
        <v>0.3333333333</v>
      </c>
      <c r="D7400" s="8">
        <f>IFERROR(__xludf.DUMMYFUNCTION("""COMPUTED_VALUE"""),0.074)</f>
        <v>0.074</v>
      </c>
      <c r="E7400" s="8" t="str">
        <f>IFERROR(__xludf.DUMMYFUNCTION("""COMPUTED_VALUE"""),"Real")</f>
        <v>Real</v>
      </c>
      <c r="G7400" s="8">
        <f t="shared" si="1"/>
        <v>9</v>
      </c>
      <c r="H7400" s="14">
        <f t="shared" si="2"/>
        <v>5</v>
      </c>
      <c r="I7400" s="15">
        <f t="shared" si="3"/>
        <v>8</v>
      </c>
    </row>
    <row r="7401">
      <c r="A7401" s="8" t="str">
        <f>IFERROR(__xludf.DUMMYFUNCTION("IF('(INGESTA)Datos_consumo_datadis'!A7401&lt;&gt;"""",SPLIT('(INGESTA)Datos_consumo_datadis'!A:A,"",""),"""")"),"ES0031408323131005HX0F")</f>
        <v>ES0031408323131005HX0F</v>
      </c>
      <c r="B7401" s="12">
        <f>IFERROR(__xludf.DUMMYFUNCTION("""COMPUTED_VALUE"""),45174.0)</f>
        <v>45174</v>
      </c>
      <c r="C7401" s="13">
        <f>IFERROR(__xludf.DUMMYFUNCTION("""COMPUTED_VALUE"""),0.375)</f>
        <v>0.375</v>
      </c>
      <c r="D7401" s="8">
        <f>IFERROR(__xludf.DUMMYFUNCTION("""COMPUTED_VALUE"""),0.027)</f>
        <v>0.027</v>
      </c>
      <c r="E7401" s="8" t="str">
        <f>IFERROR(__xludf.DUMMYFUNCTION("""COMPUTED_VALUE"""),"Real")</f>
        <v>Real</v>
      </c>
      <c r="G7401" s="8">
        <f t="shared" si="1"/>
        <v>9</v>
      </c>
      <c r="H7401" s="14">
        <f t="shared" si="2"/>
        <v>5</v>
      </c>
      <c r="I7401" s="15">
        <f t="shared" si="3"/>
        <v>9</v>
      </c>
    </row>
    <row r="7402">
      <c r="A7402" s="8" t="str">
        <f>IFERROR(__xludf.DUMMYFUNCTION("IF('(INGESTA)Datos_consumo_datadis'!A7402&lt;&gt;"""",SPLIT('(INGESTA)Datos_consumo_datadis'!A:A,"",""),"""")"),"ES0031408323131005HX0F")</f>
        <v>ES0031408323131005HX0F</v>
      </c>
      <c r="B7402" s="12">
        <f>IFERROR(__xludf.DUMMYFUNCTION("""COMPUTED_VALUE"""),45174.0)</f>
        <v>45174</v>
      </c>
      <c r="C7402" s="13">
        <f>IFERROR(__xludf.DUMMYFUNCTION("""COMPUTED_VALUE"""),0.4166666666666667)</f>
        <v>0.4166666667</v>
      </c>
      <c r="D7402" s="8">
        <f>IFERROR(__xludf.DUMMYFUNCTION("""COMPUTED_VALUE"""),0.028)</f>
        <v>0.028</v>
      </c>
      <c r="E7402" s="8" t="str">
        <f>IFERROR(__xludf.DUMMYFUNCTION("""COMPUTED_VALUE"""),"Real")</f>
        <v>Real</v>
      </c>
      <c r="G7402" s="8">
        <f t="shared" si="1"/>
        <v>9</v>
      </c>
      <c r="H7402" s="14">
        <f t="shared" si="2"/>
        <v>5</v>
      </c>
      <c r="I7402" s="15">
        <f t="shared" si="3"/>
        <v>10</v>
      </c>
    </row>
    <row r="7403">
      <c r="A7403" s="8" t="str">
        <f>IFERROR(__xludf.DUMMYFUNCTION("IF('(INGESTA)Datos_consumo_datadis'!A7403&lt;&gt;"""",SPLIT('(INGESTA)Datos_consumo_datadis'!A:A,"",""),"""")"),"ES0031408323131005HX0F")</f>
        <v>ES0031408323131005HX0F</v>
      </c>
      <c r="B7403" s="12">
        <f>IFERROR(__xludf.DUMMYFUNCTION("""COMPUTED_VALUE"""),45174.0)</f>
        <v>45174</v>
      </c>
      <c r="C7403" s="13">
        <f>IFERROR(__xludf.DUMMYFUNCTION("""COMPUTED_VALUE"""),0.4583333333333333)</f>
        <v>0.4583333333</v>
      </c>
      <c r="D7403" s="8">
        <f>IFERROR(__xludf.DUMMYFUNCTION("""COMPUTED_VALUE"""),0.126)</f>
        <v>0.126</v>
      </c>
      <c r="E7403" s="8" t="str">
        <f>IFERROR(__xludf.DUMMYFUNCTION("""COMPUTED_VALUE"""),"Real")</f>
        <v>Real</v>
      </c>
      <c r="G7403" s="8">
        <f t="shared" si="1"/>
        <v>9</v>
      </c>
      <c r="H7403" s="14">
        <f t="shared" si="2"/>
        <v>5</v>
      </c>
      <c r="I7403" s="15">
        <f t="shared" si="3"/>
        <v>11</v>
      </c>
    </row>
    <row r="7404">
      <c r="A7404" s="8" t="str">
        <f>IFERROR(__xludf.DUMMYFUNCTION("IF('(INGESTA)Datos_consumo_datadis'!A7404&lt;&gt;"""",SPLIT('(INGESTA)Datos_consumo_datadis'!A:A,"",""),"""")"),"ES0031408323131005HX0F")</f>
        <v>ES0031408323131005HX0F</v>
      </c>
      <c r="B7404" s="12">
        <f>IFERROR(__xludf.DUMMYFUNCTION("""COMPUTED_VALUE"""),45174.0)</f>
        <v>45174</v>
      </c>
      <c r="C7404" s="13">
        <f>IFERROR(__xludf.DUMMYFUNCTION("""COMPUTED_VALUE"""),0.5)</f>
        <v>0.5</v>
      </c>
      <c r="D7404" s="8">
        <f>IFERROR(__xludf.DUMMYFUNCTION("""COMPUTED_VALUE"""),0.374)</f>
        <v>0.374</v>
      </c>
      <c r="E7404" s="8" t="str">
        <f>IFERROR(__xludf.DUMMYFUNCTION("""COMPUTED_VALUE"""),"Real")</f>
        <v>Real</v>
      </c>
      <c r="G7404" s="8">
        <f t="shared" si="1"/>
        <v>9</v>
      </c>
      <c r="H7404" s="14">
        <f t="shared" si="2"/>
        <v>5</v>
      </c>
      <c r="I7404" s="15">
        <f t="shared" si="3"/>
        <v>12</v>
      </c>
    </row>
    <row r="7405">
      <c r="A7405" s="8" t="str">
        <f>IFERROR(__xludf.DUMMYFUNCTION("IF('(INGESTA)Datos_consumo_datadis'!A7405&lt;&gt;"""",SPLIT('(INGESTA)Datos_consumo_datadis'!A:A,"",""),"""")"),"ES0031408323131005HX0F")</f>
        <v>ES0031408323131005HX0F</v>
      </c>
      <c r="B7405" s="12">
        <f>IFERROR(__xludf.DUMMYFUNCTION("""COMPUTED_VALUE"""),45174.0)</f>
        <v>45174</v>
      </c>
      <c r="C7405" s="13">
        <f>IFERROR(__xludf.DUMMYFUNCTION("""COMPUTED_VALUE"""),0.5416666666666666)</f>
        <v>0.5416666667</v>
      </c>
      <c r="D7405" s="8">
        <f>IFERROR(__xludf.DUMMYFUNCTION("""COMPUTED_VALUE"""),0.115)</f>
        <v>0.115</v>
      </c>
      <c r="E7405" s="8" t="str">
        <f>IFERROR(__xludf.DUMMYFUNCTION("""COMPUTED_VALUE"""),"Real")</f>
        <v>Real</v>
      </c>
      <c r="G7405" s="8">
        <f t="shared" si="1"/>
        <v>9</v>
      </c>
      <c r="H7405" s="14">
        <f t="shared" si="2"/>
        <v>5</v>
      </c>
      <c r="I7405" s="15">
        <f t="shared" si="3"/>
        <v>13</v>
      </c>
    </row>
    <row r="7406">
      <c r="A7406" s="8" t="str">
        <f>IFERROR(__xludf.DUMMYFUNCTION("IF('(INGESTA)Datos_consumo_datadis'!A7406&lt;&gt;"""",SPLIT('(INGESTA)Datos_consumo_datadis'!A:A,"",""),"""")"),"ES0031408323131005HX0F")</f>
        <v>ES0031408323131005HX0F</v>
      </c>
      <c r="B7406" s="12">
        <f>IFERROR(__xludf.DUMMYFUNCTION("""COMPUTED_VALUE"""),45174.0)</f>
        <v>45174</v>
      </c>
      <c r="C7406" s="13">
        <f>IFERROR(__xludf.DUMMYFUNCTION("""COMPUTED_VALUE"""),0.5833333333333334)</f>
        <v>0.5833333333</v>
      </c>
      <c r="D7406" s="8">
        <f>IFERROR(__xludf.DUMMYFUNCTION("""COMPUTED_VALUE"""),0.106)</f>
        <v>0.106</v>
      </c>
      <c r="E7406" s="8" t="str">
        <f>IFERROR(__xludf.DUMMYFUNCTION("""COMPUTED_VALUE"""),"Real")</f>
        <v>Real</v>
      </c>
      <c r="G7406" s="8">
        <f t="shared" si="1"/>
        <v>9</v>
      </c>
      <c r="H7406" s="14">
        <f t="shared" si="2"/>
        <v>5</v>
      </c>
      <c r="I7406" s="15">
        <f t="shared" si="3"/>
        <v>14</v>
      </c>
    </row>
    <row r="7407">
      <c r="A7407" s="8" t="str">
        <f>IFERROR(__xludf.DUMMYFUNCTION("IF('(INGESTA)Datos_consumo_datadis'!A7407&lt;&gt;"""",SPLIT('(INGESTA)Datos_consumo_datadis'!A:A,"",""),"""")"),"ES0031408323131005HX0F")</f>
        <v>ES0031408323131005HX0F</v>
      </c>
      <c r="B7407" s="12">
        <f>IFERROR(__xludf.DUMMYFUNCTION("""COMPUTED_VALUE"""),45174.0)</f>
        <v>45174</v>
      </c>
      <c r="C7407" s="13">
        <f>IFERROR(__xludf.DUMMYFUNCTION("""COMPUTED_VALUE"""),0.625)</f>
        <v>0.625</v>
      </c>
      <c r="D7407" s="8">
        <f>IFERROR(__xludf.DUMMYFUNCTION("""COMPUTED_VALUE"""),0.092)</f>
        <v>0.092</v>
      </c>
      <c r="E7407" s="8" t="str">
        <f>IFERROR(__xludf.DUMMYFUNCTION("""COMPUTED_VALUE"""),"Real")</f>
        <v>Real</v>
      </c>
      <c r="G7407" s="8">
        <f t="shared" si="1"/>
        <v>9</v>
      </c>
      <c r="H7407" s="14">
        <f t="shared" si="2"/>
        <v>5</v>
      </c>
      <c r="I7407" s="15">
        <f t="shared" si="3"/>
        <v>15</v>
      </c>
    </row>
    <row r="7408">
      <c r="A7408" s="8" t="str">
        <f>IFERROR(__xludf.DUMMYFUNCTION("IF('(INGESTA)Datos_consumo_datadis'!A7408&lt;&gt;"""",SPLIT('(INGESTA)Datos_consumo_datadis'!A:A,"",""),"""")"),"ES0031408323131005HX0F")</f>
        <v>ES0031408323131005HX0F</v>
      </c>
      <c r="B7408" s="12">
        <f>IFERROR(__xludf.DUMMYFUNCTION("""COMPUTED_VALUE"""),45174.0)</f>
        <v>45174</v>
      </c>
      <c r="C7408" s="13">
        <f>IFERROR(__xludf.DUMMYFUNCTION("""COMPUTED_VALUE"""),0.6666666666666666)</f>
        <v>0.6666666667</v>
      </c>
      <c r="D7408" s="8">
        <f>IFERROR(__xludf.DUMMYFUNCTION("""COMPUTED_VALUE"""),0.03)</f>
        <v>0.03</v>
      </c>
      <c r="E7408" s="8" t="str">
        <f>IFERROR(__xludf.DUMMYFUNCTION("""COMPUTED_VALUE"""),"Real")</f>
        <v>Real</v>
      </c>
      <c r="G7408" s="8">
        <f t="shared" si="1"/>
        <v>9</v>
      </c>
      <c r="H7408" s="14">
        <f t="shared" si="2"/>
        <v>5</v>
      </c>
      <c r="I7408" s="15">
        <f t="shared" si="3"/>
        <v>16</v>
      </c>
    </row>
    <row r="7409">
      <c r="A7409" s="8" t="str">
        <f>IFERROR(__xludf.DUMMYFUNCTION("IF('(INGESTA)Datos_consumo_datadis'!A7409&lt;&gt;"""",SPLIT('(INGESTA)Datos_consumo_datadis'!A:A,"",""),"""")"),"ES0031408323131005HX0F")</f>
        <v>ES0031408323131005HX0F</v>
      </c>
      <c r="B7409" s="12">
        <f>IFERROR(__xludf.DUMMYFUNCTION("""COMPUTED_VALUE"""),45174.0)</f>
        <v>45174</v>
      </c>
      <c r="C7409" s="13">
        <f>IFERROR(__xludf.DUMMYFUNCTION("""COMPUTED_VALUE"""),0.7083333333333334)</f>
        <v>0.7083333333</v>
      </c>
      <c r="D7409" s="8">
        <f>IFERROR(__xludf.DUMMYFUNCTION("""COMPUTED_VALUE"""),0.028)</f>
        <v>0.028</v>
      </c>
      <c r="E7409" s="8" t="str">
        <f>IFERROR(__xludf.DUMMYFUNCTION("""COMPUTED_VALUE"""),"Real")</f>
        <v>Real</v>
      </c>
      <c r="G7409" s="8">
        <f t="shared" si="1"/>
        <v>9</v>
      </c>
      <c r="H7409" s="14">
        <f t="shared" si="2"/>
        <v>5</v>
      </c>
      <c r="I7409" s="15">
        <f t="shared" si="3"/>
        <v>17</v>
      </c>
    </row>
    <row r="7410">
      <c r="A7410" s="8" t="str">
        <f>IFERROR(__xludf.DUMMYFUNCTION("IF('(INGESTA)Datos_consumo_datadis'!A7410&lt;&gt;"""",SPLIT('(INGESTA)Datos_consumo_datadis'!A:A,"",""),"""")"),"ES0031408323131005HX0F")</f>
        <v>ES0031408323131005HX0F</v>
      </c>
      <c r="B7410" s="12">
        <f>IFERROR(__xludf.DUMMYFUNCTION("""COMPUTED_VALUE"""),45174.0)</f>
        <v>45174</v>
      </c>
      <c r="C7410" s="13">
        <f>IFERROR(__xludf.DUMMYFUNCTION("""COMPUTED_VALUE"""),0.75)</f>
        <v>0.75</v>
      </c>
      <c r="D7410" s="8">
        <f>IFERROR(__xludf.DUMMYFUNCTION("""COMPUTED_VALUE"""),0.101)</f>
        <v>0.101</v>
      </c>
      <c r="E7410" s="8" t="str">
        <f>IFERROR(__xludf.DUMMYFUNCTION("""COMPUTED_VALUE"""),"Real")</f>
        <v>Real</v>
      </c>
      <c r="G7410" s="8">
        <f t="shared" si="1"/>
        <v>9</v>
      </c>
      <c r="H7410" s="14">
        <f t="shared" si="2"/>
        <v>5</v>
      </c>
      <c r="I7410" s="15">
        <f t="shared" si="3"/>
        <v>18</v>
      </c>
    </row>
    <row r="7411">
      <c r="A7411" s="8" t="str">
        <f>IFERROR(__xludf.DUMMYFUNCTION("IF('(INGESTA)Datos_consumo_datadis'!A7411&lt;&gt;"""",SPLIT('(INGESTA)Datos_consumo_datadis'!A:A,"",""),"""")"),"ES0031408323131005HX0F")</f>
        <v>ES0031408323131005HX0F</v>
      </c>
      <c r="B7411" s="12">
        <f>IFERROR(__xludf.DUMMYFUNCTION("""COMPUTED_VALUE"""),45174.0)</f>
        <v>45174</v>
      </c>
      <c r="C7411" s="13">
        <f>IFERROR(__xludf.DUMMYFUNCTION("""COMPUTED_VALUE"""),0.7916666666666666)</f>
        <v>0.7916666667</v>
      </c>
      <c r="D7411" s="8">
        <f>IFERROR(__xludf.DUMMYFUNCTION("""COMPUTED_VALUE"""),0.27)</f>
        <v>0.27</v>
      </c>
      <c r="E7411" s="8" t="str">
        <f>IFERROR(__xludf.DUMMYFUNCTION("""COMPUTED_VALUE"""),"Real")</f>
        <v>Real</v>
      </c>
      <c r="G7411" s="8">
        <f t="shared" si="1"/>
        <v>9</v>
      </c>
      <c r="H7411" s="14">
        <f t="shared" si="2"/>
        <v>5</v>
      </c>
      <c r="I7411" s="15">
        <f t="shared" si="3"/>
        <v>19</v>
      </c>
    </row>
    <row r="7412">
      <c r="A7412" s="8" t="str">
        <f>IFERROR(__xludf.DUMMYFUNCTION("IF('(INGESTA)Datos_consumo_datadis'!A7412&lt;&gt;"""",SPLIT('(INGESTA)Datos_consumo_datadis'!A:A,"",""),"""")"),"ES0031408323131005HX0F")</f>
        <v>ES0031408323131005HX0F</v>
      </c>
      <c r="B7412" s="12">
        <f>IFERROR(__xludf.DUMMYFUNCTION("""COMPUTED_VALUE"""),45174.0)</f>
        <v>45174</v>
      </c>
      <c r="C7412" s="13">
        <f>IFERROR(__xludf.DUMMYFUNCTION("""COMPUTED_VALUE"""),0.8333333333333334)</f>
        <v>0.8333333333</v>
      </c>
      <c r="D7412" s="8">
        <f>IFERROR(__xludf.DUMMYFUNCTION("""COMPUTED_VALUE"""),0.254)</f>
        <v>0.254</v>
      </c>
      <c r="E7412" s="8" t="str">
        <f>IFERROR(__xludf.DUMMYFUNCTION("""COMPUTED_VALUE"""),"Real")</f>
        <v>Real</v>
      </c>
      <c r="G7412" s="8">
        <f t="shared" si="1"/>
        <v>9</v>
      </c>
      <c r="H7412" s="14">
        <f t="shared" si="2"/>
        <v>5</v>
      </c>
      <c r="I7412" s="15">
        <f t="shared" si="3"/>
        <v>20</v>
      </c>
    </row>
    <row r="7413">
      <c r="A7413" s="8" t="str">
        <f>IFERROR(__xludf.DUMMYFUNCTION("IF('(INGESTA)Datos_consumo_datadis'!A7413&lt;&gt;"""",SPLIT('(INGESTA)Datos_consumo_datadis'!A:A,"",""),"""")"),"ES0031408323131005HX0F")</f>
        <v>ES0031408323131005HX0F</v>
      </c>
      <c r="B7413" s="12">
        <f>IFERROR(__xludf.DUMMYFUNCTION("""COMPUTED_VALUE"""),45174.0)</f>
        <v>45174</v>
      </c>
      <c r="C7413" s="13">
        <f>IFERROR(__xludf.DUMMYFUNCTION("""COMPUTED_VALUE"""),0.875)</f>
        <v>0.875</v>
      </c>
      <c r="D7413" s="8">
        <f>IFERROR(__xludf.DUMMYFUNCTION("""COMPUTED_VALUE"""),0.094)</f>
        <v>0.094</v>
      </c>
      <c r="E7413" s="8" t="str">
        <f>IFERROR(__xludf.DUMMYFUNCTION("""COMPUTED_VALUE"""),"Real")</f>
        <v>Real</v>
      </c>
      <c r="G7413" s="8">
        <f t="shared" si="1"/>
        <v>9</v>
      </c>
      <c r="H7413" s="14">
        <f t="shared" si="2"/>
        <v>5</v>
      </c>
      <c r="I7413" s="15">
        <f t="shared" si="3"/>
        <v>21</v>
      </c>
    </row>
    <row r="7414">
      <c r="A7414" s="8" t="str">
        <f>IFERROR(__xludf.DUMMYFUNCTION("IF('(INGESTA)Datos_consumo_datadis'!A7414&lt;&gt;"""",SPLIT('(INGESTA)Datos_consumo_datadis'!A:A,"",""),"""")"),"ES0031408323131005HX0F")</f>
        <v>ES0031408323131005HX0F</v>
      </c>
      <c r="B7414" s="12">
        <f>IFERROR(__xludf.DUMMYFUNCTION("""COMPUTED_VALUE"""),45174.0)</f>
        <v>45174</v>
      </c>
      <c r="C7414" s="13">
        <f>IFERROR(__xludf.DUMMYFUNCTION("""COMPUTED_VALUE"""),0.9166666666666666)</f>
        <v>0.9166666667</v>
      </c>
      <c r="D7414" s="8">
        <f>IFERROR(__xludf.DUMMYFUNCTION("""COMPUTED_VALUE"""),0.093)</f>
        <v>0.093</v>
      </c>
      <c r="E7414" s="8" t="str">
        <f>IFERROR(__xludf.DUMMYFUNCTION("""COMPUTED_VALUE"""),"Real")</f>
        <v>Real</v>
      </c>
      <c r="G7414" s="8">
        <f t="shared" si="1"/>
        <v>9</v>
      </c>
      <c r="H7414" s="14">
        <f t="shared" si="2"/>
        <v>5</v>
      </c>
      <c r="I7414" s="15">
        <f t="shared" si="3"/>
        <v>22</v>
      </c>
    </row>
    <row r="7415">
      <c r="A7415" s="8" t="str">
        <f>IFERROR(__xludf.DUMMYFUNCTION("IF('(INGESTA)Datos_consumo_datadis'!A7415&lt;&gt;"""",SPLIT('(INGESTA)Datos_consumo_datadis'!A:A,"",""),"""")"),"ES0031408323131005HX0F")</f>
        <v>ES0031408323131005HX0F</v>
      </c>
      <c r="B7415" s="12">
        <f>IFERROR(__xludf.DUMMYFUNCTION("""COMPUTED_VALUE"""),45174.0)</f>
        <v>45174</v>
      </c>
      <c r="C7415" s="13">
        <f>IFERROR(__xludf.DUMMYFUNCTION("""COMPUTED_VALUE"""),0.9583333333333334)</f>
        <v>0.9583333333</v>
      </c>
      <c r="D7415" s="8">
        <f>IFERROR(__xludf.DUMMYFUNCTION("""COMPUTED_VALUE"""),0.054)</f>
        <v>0.054</v>
      </c>
      <c r="E7415" s="8" t="str">
        <f>IFERROR(__xludf.DUMMYFUNCTION("""COMPUTED_VALUE"""),"Real")</f>
        <v>Real</v>
      </c>
      <c r="G7415" s="8">
        <f t="shared" si="1"/>
        <v>9</v>
      </c>
      <c r="H7415" s="14">
        <f t="shared" si="2"/>
        <v>5</v>
      </c>
      <c r="I7415" s="15">
        <f t="shared" si="3"/>
        <v>23</v>
      </c>
    </row>
    <row r="7416">
      <c r="A7416" s="8" t="str">
        <f>IFERROR(__xludf.DUMMYFUNCTION("IF('(INGESTA)Datos_consumo_datadis'!A7416&lt;&gt;"""",SPLIT('(INGESTA)Datos_consumo_datadis'!A:A,"",""),"""")"),"ES0031408323131005HX0F")</f>
        <v>ES0031408323131005HX0F</v>
      </c>
      <c r="B7416" s="12">
        <f>IFERROR(__xludf.DUMMYFUNCTION("""COMPUTED_VALUE"""),45174.0)</f>
        <v>45174</v>
      </c>
      <c r="C7416" s="16">
        <f>IFERROR(__xludf.DUMMYFUNCTION("""COMPUTED_VALUE"""),1.0)</f>
        <v>1</v>
      </c>
      <c r="D7416" s="8">
        <f>IFERROR(__xludf.DUMMYFUNCTION("""COMPUTED_VALUE"""),0.028)</f>
        <v>0.028</v>
      </c>
      <c r="E7416" s="8" t="str">
        <f>IFERROR(__xludf.DUMMYFUNCTION("""COMPUTED_VALUE"""),"Real")</f>
        <v>Real</v>
      </c>
      <c r="G7416" s="8">
        <f t="shared" si="1"/>
        <v>9</v>
      </c>
      <c r="H7416" s="14">
        <f t="shared" si="2"/>
        <v>5</v>
      </c>
      <c r="I7416" s="15">
        <f t="shared" si="3"/>
        <v>0</v>
      </c>
    </row>
    <row r="7417">
      <c r="A7417" s="8" t="str">
        <f>IFERROR(__xludf.DUMMYFUNCTION("IF('(INGESTA)Datos_consumo_datadis'!A7417&lt;&gt;"""",SPLIT('(INGESTA)Datos_consumo_datadis'!A:A,"",""),"""")"),"ES0031408323131005HX0F")</f>
        <v>ES0031408323131005HX0F</v>
      </c>
      <c r="B7417" s="12">
        <f>IFERROR(__xludf.DUMMYFUNCTION("""COMPUTED_VALUE"""),45175.0)</f>
        <v>45175</v>
      </c>
      <c r="C7417" s="13">
        <f>IFERROR(__xludf.DUMMYFUNCTION("""COMPUTED_VALUE"""),0.041666666666666664)</f>
        <v>0.04166666667</v>
      </c>
      <c r="D7417" s="8">
        <f>IFERROR(__xludf.DUMMYFUNCTION("""COMPUTED_VALUE"""),0.075)</f>
        <v>0.075</v>
      </c>
      <c r="E7417" s="8" t="str">
        <f>IFERROR(__xludf.DUMMYFUNCTION("""COMPUTED_VALUE"""),"Real")</f>
        <v>Real</v>
      </c>
      <c r="G7417" s="8">
        <f t="shared" si="1"/>
        <v>9</v>
      </c>
      <c r="H7417" s="14">
        <f t="shared" si="2"/>
        <v>6</v>
      </c>
      <c r="I7417" s="15">
        <f t="shared" si="3"/>
        <v>1</v>
      </c>
    </row>
    <row r="7418">
      <c r="A7418" s="8" t="str">
        <f>IFERROR(__xludf.DUMMYFUNCTION("IF('(INGESTA)Datos_consumo_datadis'!A7418&lt;&gt;"""",SPLIT('(INGESTA)Datos_consumo_datadis'!A:A,"",""),"""")"),"ES0031408323131005HX0F")</f>
        <v>ES0031408323131005HX0F</v>
      </c>
      <c r="B7418" s="12">
        <f>IFERROR(__xludf.DUMMYFUNCTION("""COMPUTED_VALUE"""),45175.0)</f>
        <v>45175</v>
      </c>
      <c r="C7418" s="13">
        <f>IFERROR(__xludf.DUMMYFUNCTION("""COMPUTED_VALUE"""),0.08333333333333333)</f>
        <v>0.08333333333</v>
      </c>
      <c r="D7418" s="8">
        <f>IFERROR(__xludf.DUMMYFUNCTION("""COMPUTED_VALUE"""),0.131)</f>
        <v>0.131</v>
      </c>
      <c r="E7418" s="8" t="str">
        <f>IFERROR(__xludf.DUMMYFUNCTION("""COMPUTED_VALUE"""),"Real")</f>
        <v>Real</v>
      </c>
      <c r="G7418" s="8">
        <f t="shared" si="1"/>
        <v>9</v>
      </c>
      <c r="H7418" s="14">
        <f t="shared" si="2"/>
        <v>6</v>
      </c>
      <c r="I7418" s="15">
        <f t="shared" si="3"/>
        <v>2</v>
      </c>
    </row>
    <row r="7419">
      <c r="A7419" s="8" t="str">
        <f>IFERROR(__xludf.DUMMYFUNCTION("IF('(INGESTA)Datos_consumo_datadis'!A7419&lt;&gt;"""",SPLIT('(INGESTA)Datos_consumo_datadis'!A:A,"",""),"""")"),"ES0031408323131005HX0F")</f>
        <v>ES0031408323131005HX0F</v>
      </c>
      <c r="B7419" s="12">
        <f>IFERROR(__xludf.DUMMYFUNCTION("""COMPUTED_VALUE"""),45175.0)</f>
        <v>45175</v>
      </c>
      <c r="C7419" s="13">
        <f>IFERROR(__xludf.DUMMYFUNCTION("""COMPUTED_VALUE"""),0.125)</f>
        <v>0.125</v>
      </c>
      <c r="D7419" s="8">
        <f>IFERROR(__xludf.DUMMYFUNCTION("""COMPUTED_VALUE"""),0.393)</f>
        <v>0.393</v>
      </c>
      <c r="E7419" s="8" t="str">
        <f>IFERROR(__xludf.DUMMYFUNCTION("""COMPUTED_VALUE"""),"Real")</f>
        <v>Real</v>
      </c>
      <c r="G7419" s="8">
        <f t="shared" si="1"/>
        <v>9</v>
      </c>
      <c r="H7419" s="14">
        <f t="shared" si="2"/>
        <v>6</v>
      </c>
      <c r="I7419" s="15">
        <f t="shared" si="3"/>
        <v>3</v>
      </c>
    </row>
    <row r="7420">
      <c r="A7420" s="8" t="str">
        <f>IFERROR(__xludf.DUMMYFUNCTION("IF('(INGESTA)Datos_consumo_datadis'!A7420&lt;&gt;"""",SPLIT('(INGESTA)Datos_consumo_datadis'!A:A,"",""),"""")"),"ES0031408323131005HX0F")</f>
        <v>ES0031408323131005HX0F</v>
      </c>
      <c r="B7420" s="12">
        <f>IFERROR(__xludf.DUMMYFUNCTION("""COMPUTED_VALUE"""),45175.0)</f>
        <v>45175</v>
      </c>
      <c r="C7420" s="13">
        <f>IFERROR(__xludf.DUMMYFUNCTION("""COMPUTED_VALUE"""),0.16666666666666666)</f>
        <v>0.1666666667</v>
      </c>
      <c r="D7420" s="8">
        <f>IFERROR(__xludf.DUMMYFUNCTION("""COMPUTED_VALUE"""),0.124)</f>
        <v>0.124</v>
      </c>
      <c r="E7420" s="8" t="str">
        <f>IFERROR(__xludf.DUMMYFUNCTION("""COMPUTED_VALUE"""),"Real")</f>
        <v>Real</v>
      </c>
      <c r="G7420" s="8">
        <f t="shared" si="1"/>
        <v>9</v>
      </c>
      <c r="H7420" s="14">
        <f t="shared" si="2"/>
        <v>6</v>
      </c>
      <c r="I7420" s="15">
        <f t="shared" si="3"/>
        <v>4</v>
      </c>
    </row>
    <row r="7421">
      <c r="A7421" s="8" t="str">
        <f>IFERROR(__xludf.DUMMYFUNCTION("IF('(INGESTA)Datos_consumo_datadis'!A7421&lt;&gt;"""",SPLIT('(INGESTA)Datos_consumo_datadis'!A:A,"",""),"""")"),"ES0031408323131005HX0F")</f>
        <v>ES0031408323131005HX0F</v>
      </c>
      <c r="B7421" s="12">
        <f>IFERROR(__xludf.DUMMYFUNCTION("""COMPUTED_VALUE"""),45175.0)</f>
        <v>45175</v>
      </c>
      <c r="C7421" s="13">
        <f>IFERROR(__xludf.DUMMYFUNCTION("""COMPUTED_VALUE"""),0.20833333333333334)</f>
        <v>0.2083333333</v>
      </c>
      <c r="D7421" s="8">
        <f>IFERROR(__xludf.DUMMYFUNCTION("""COMPUTED_VALUE"""),0.094)</f>
        <v>0.094</v>
      </c>
      <c r="E7421" s="8" t="str">
        <f>IFERROR(__xludf.DUMMYFUNCTION("""COMPUTED_VALUE"""),"Real")</f>
        <v>Real</v>
      </c>
      <c r="G7421" s="8">
        <f t="shared" si="1"/>
        <v>9</v>
      </c>
      <c r="H7421" s="14">
        <f t="shared" si="2"/>
        <v>6</v>
      </c>
      <c r="I7421" s="15">
        <f t="shared" si="3"/>
        <v>5</v>
      </c>
    </row>
    <row r="7422">
      <c r="A7422" s="8" t="str">
        <f>IFERROR(__xludf.DUMMYFUNCTION("IF('(INGESTA)Datos_consumo_datadis'!A7422&lt;&gt;"""",SPLIT('(INGESTA)Datos_consumo_datadis'!A:A,"",""),"""")"),"ES0031408323131005HX0F")</f>
        <v>ES0031408323131005HX0F</v>
      </c>
      <c r="B7422" s="12">
        <f>IFERROR(__xludf.DUMMYFUNCTION("""COMPUTED_VALUE"""),45175.0)</f>
        <v>45175</v>
      </c>
      <c r="C7422" s="13">
        <f>IFERROR(__xludf.DUMMYFUNCTION("""COMPUTED_VALUE"""),0.25)</f>
        <v>0.25</v>
      </c>
      <c r="D7422" s="8">
        <f>IFERROR(__xludf.DUMMYFUNCTION("""COMPUTED_VALUE"""),0.09)</f>
        <v>0.09</v>
      </c>
      <c r="E7422" s="8" t="str">
        <f>IFERROR(__xludf.DUMMYFUNCTION("""COMPUTED_VALUE"""),"Real")</f>
        <v>Real</v>
      </c>
      <c r="G7422" s="8">
        <f t="shared" si="1"/>
        <v>9</v>
      </c>
      <c r="H7422" s="14">
        <f t="shared" si="2"/>
        <v>6</v>
      </c>
      <c r="I7422" s="15">
        <f t="shared" si="3"/>
        <v>6</v>
      </c>
    </row>
    <row r="7423">
      <c r="A7423" s="8" t="str">
        <f>IFERROR(__xludf.DUMMYFUNCTION("IF('(INGESTA)Datos_consumo_datadis'!A7423&lt;&gt;"""",SPLIT('(INGESTA)Datos_consumo_datadis'!A:A,"",""),"""")"),"ES0031408323131005HX0F")</f>
        <v>ES0031408323131005HX0F</v>
      </c>
      <c r="B7423" s="12">
        <f>IFERROR(__xludf.DUMMYFUNCTION("""COMPUTED_VALUE"""),45175.0)</f>
        <v>45175</v>
      </c>
      <c r="C7423" s="13">
        <f>IFERROR(__xludf.DUMMYFUNCTION("""COMPUTED_VALUE"""),0.2916666666666667)</f>
        <v>0.2916666667</v>
      </c>
      <c r="D7423" s="8">
        <f>IFERROR(__xludf.DUMMYFUNCTION("""COMPUTED_VALUE"""),0.101)</f>
        <v>0.101</v>
      </c>
      <c r="E7423" s="8" t="str">
        <f>IFERROR(__xludf.DUMMYFUNCTION("""COMPUTED_VALUE"""),"Real")</f>
        <v>Real</v>
      </c>
      <c r="G7423" s="8">
        <f t="shared" si="1"/>
        <v>9</v>
      </c>
      <c r="H7423" s="14">
        <f t="shared" si="2"/>
        <v>6</v>
      </c>
      <c r="I7423" s="15">
        <f t="shared" si="3"/>
        <v>7</v>
      </c>
    </row>
    <row r="7424">
      <c r="A7424" s="8" t="str">
        <f>IFERROR(__xludf.DUMMYFUNCTION("IF('(INGESTA)Datos_consumo_datadis'!A7424&lt;&gt;"""",SPLIT('(INGESTA)Datos_consumo_datadis'!A:A,"",""),"""")"),"ES0031408323131005HX0F")</f>
        <v>ES0031408323131005HX0F</v>
      </c>
      <c r="B7424" s="12">
        <f>IFERROR(__xludf.DUMMYFUNCTION("""COMPUTED_VALUE"""),45175.0)</f>
        <v>45175</v>
      </c>
      <c r="C7424" s="13">
        <f>IFERROR(__xludf.DUMMYFUNCTION("""COMPUTED_VALUE"""),0.3333333333333333)</f>
        <v>0.3333333333</v>
      </c>
      <c r="D7424" s="8">
        <f>IFERROR(__xludf.DUMMYFUNCTION("""COMPUTED_VALUE"""),0.027)</f>
        <v>0.027</v>
      </c>
      <c r="E7424" s="8" t="str">
        <f>IFERROR(__xludf.DUMMYFUNCTION("""COMPUTED_VALUE"""),"Real")</f>
        <v>Real</v>
      </c>
      <c r="G7424" s="8">
        <f t="shared" si="1"/>
        <v>9</v>
      </c>
      <c r="H7424" s="14">
        <f t="shared" si="2"/>
        <v>6</v>
      </c>
      <c r="I7424" s="15">
        <f t="shared" si="3"/>
        <v>8</v>
      </c>
    </row>
    <row r="7425">
      <c r="A7425" s="8" t="str">
        <f>IFERROR(__xludf.DUMMYFUNCTION("IF('(INGESTA)Datos_consumo_datadis'!A7425&lt;&gt;"""",SPLIT('(INGESTA)Datos_consumo_datadis'!A:A,"",""),"""")"),"ES0031408323131005HX0F")</f>
        <v>ES0031408323131005HX0F</v>
      </c>
      <c r="B7425" s="12">
        <f>IFERROR(__xludf.DUMMYFUNCTION("""COMPUTED_VALUE"""),45175.0)</f>
        <v>45175</v>
      </c>
      <c r="C7425" s="13">
        <f>IFERROR(__xludf.DUMMYFUNCTION("""COMPUTED_VALUE"""),0.375)</f>
        <v>0.375</v>
      </c>
      <c r="D7425" s="8">
        <f>IFERROR(__xludf.DUMMYFUNCTION("""COMPUTED_VALUE"""),0.028)</f>
        <v>0.028</v>
      </c>
      <c r="E7425" s="8" t="str">
        <f>IFERROR(__xludf.DUMMYFUNCTION("""COMPUTED_VALUE"""),"Real")</f>
        <v>Real</v>
      </c>
      <c r="G7425" s="8">
        <f t="shared" si="1"/>
        <v>9</v>
      </c>
      <c r="H7425" s="14">
        <f t="shared" si="2"/>
        <v>6</v>
      </c>
      <c r="I7425" s="15">
        <f t="shared" si="3"/>
        <v>9</v>
      </c>
    </row>
    <row r="7426">
      <c r="A7426" s="8" t="str">
        <f>IFERROR(__xludf.DUMMYFUNCTION("IF('(INGESTA)Datos_consumo_datadis'!A7426&lt;&gt;"""",SPLIT('(INGESTA)Datos_consumo_datadis'!A:A,"",""),"""")"),"ES0031408323131005HX0F")</f>
        <v>ES0031408323131005HX0F</v>
      </c>
      <c r="B7426" s="12">
        <f>IFERROR(__xludf.DUMMYFUNCTION("""COMPUTED_VALUE"""),45175.0)</f>
        <v>45175</v>
      </c>
      <c r="C7426" s="13">
        <f>IFERROR(__xludf.DUMMYFUNCTION("""COMPUTED_VALUE"""),0.4166666666666667)</f>
        <v>0.4166666667</v>
      </c>
      <c r="D7426" s="8">
        <f>IFERROR(__xludf.DUMMYFUNCTION("""COMPUTED_VALUE"""),0.13)</f>
        <v>0.13</v>
      </c>
      <c r="E7426" s="8" t="str">
        <f>IFERROR(__xludf.DUMMYFUNCTION("""COMPUTED_VALUE"""),"Real")</f>
        <v>Real</v>
      </c>
      <c r="G7426" s="8">
        <f t="shared" si="1"/>
        <v>9</v>
      </c>
      <c r="H7426" s="14">
        <f t="shared" si="2"/>
        <v>6</v>
      </c>
      <c r="I7426" s="15">
        <f t="shared" si="3"/>
        <v>10</v>
      </c>
    </row>
    <row r="7427">
      <c r="A7427" s="8" t="str">
        <f>IFERROR(__xludf.DUMMYFUNCTION("IF('(INGESTA)Datos_consumo_datadis'!A7427&lt;&gt;"""",SPLIT('(INGESTA)Datos_consumo_datadis'!A:A,"",""),"""")"),"ES0031408323131005HX0F")</f>
        <v>ES0031408323131005HX0F</v>
      </c>
      <c r="B7427" s="12">
        <f>IFERROR(__xludf.DUMMYFUNCTION("""COMPUTED_VALUE"""),45175.0)</f>
        <v>45175</v>
      </c>
      <c r="C7427" s="13">
        <f>IFERROR(__xludf.DUMMYFUNCTION("""COMPUTED_VALUE"""),0.4583333333333333)</f>
        <v>0.4583333333</v>
      </c>
      <c r="D7427" s="8">
        <f>IFERROR(__xludf.DUMMYFUNCTION("""COMPUTED_VALUE"""),0.375)</f>
        <v>0.375</v>
      </c>
      <c r="E7427" s="8" t="str">
        <f>IFERROR(__xludf.DUMMYFUNCTION("""COMPUTED_VALUE"""),"Real")</f>
        <v>Real</v>
      </c>
      <c r="G7427" s="8">
        <f t="shared" si="1"/>
        <v>9</v>
      </c>
      <c r="H7427" s="14">
        <f t="shared" si="2"/>
        <v>6</v>
      </c>
      <c r="I7427" s="15">
        <f t="shared" si="3"/>
        <v>11</v>
      </c>
    </row>
    <row r="7428">
      <c r="A7428" s="8" t="str">
        <f>IFERROR(__xludf.DUMMYFUNCTION("IF('(INGESTA)Datos_consumo_datadis'!A7428&lt;&gt;"""",SPLIT('(INGESTA)Datos_consumo_datadis'!A:A,"",""),"""")"),"ES0031408323131005HX0F")</f>
        <v>ES0031408323131005HX0F</v>
      </c>
      <c r="B7428" s="12">
        <f>IFERROR(__xludf.DUMMYFUNCTION("""COMPUTED_VALUE"""),45175.0)</f>
        <v>45175</v>
      </c>
      <c r="C7428" s="13">
        <f>IFERROR(__xludf.DUMMYFUNCTION("""COMPUTED_VALUE"""),0.5)</f>
        <v>0.5</v>
      </c>
      <c r="D7428" s="8">
        <f>IFERROR(__xludf.DUMMYFUNCTION("""COMPUTED_VALUE"""),0.096)</f>
        <v>0.096</v>
      </c>
      <c r="E7428" s="8" t="str">
        <f>IFERROR(__xludf.DUMMYFUNCTION("""COMPUTED_VALUE"""),"Real")</f>
        <v>Real</v>
      </c>
      <c r="G7428" s="8">
        <f t="shared" si="1"/>
        <v>9</v>
      </c>
      <c r="H7428" s="14">
        <f t="shared" si="2"/>
        <v>6</v>
      </c>
      <c r="I7428" s="15">
        <f t="shared" si="3"/>
        <v>12</v>
      </c>
    </row>
    <row r="7429">
      <c r="A7429" s="8" t="str">
        <f>IFERROR(__xludf.DUMMYFUNCTION("IF('(INGESTA)Datos_consumo_datadis'!A7429&lt;&gt;"""",SPLIT('(INGESTA)Datos_consumo_datadis'!A:A,"",""),"""")"),"ES0031408323131005HX0F")</f>
        <v>ES0031408323131005HX0F</v>
      </c>
      <c r="B7429" s="12">
        <f>IFERROR(__xludf.DUMMYFUNCTION("""COMPUTED_VALUE"""),45175.0)</f>
        <v>45175</v>
      </c>
      <c r="C7429" s="13">
        <f>IFERROR(__xludf.DUMMYFUNCTION("""COMPUTED_VALUE"""),0.5416666666666666)</f>
        <v>0.5416666667</v>
      </c>
      <c r="D7429" s="8">
        <f>IFERROR(__xludf.DUMMYFUNCTION("""COMPUTED_VALUE"""),0.112)</f>
        <v>0.112</v>
      </c>
      <c r="E7429" s="8" t="str">
        <f>IFERROR(__xludf.DUMMYFUNCTION("""COMPUTED_VALUE"""),"Real")</f>
        <v>Real</v>
      </c>
      <c r="G7429" s="8">
        <f t="shared" si="1"/>
        <v>9</v>
      </c>
      <c r="H7429" s="14">
        <f t="shared" si="2"/>
        <v>6</v>
      </c>
      <c r="I7429" s="15">
        <f t="shared" si="3"/>
        <v>13</v>
      </c>
    </row>
    <row r="7430">
      <c r="A7430" s="8" t="str">
        <f>IFERROR(__xludf.DUMMYFUNCTION("IF('(INGESTA)Datos_consumo_datadis'!A7430&lt;&gt;"""",SPLIT('(INGESTA)Datos_consumo_datadis'!A:A,"",""),"""")"),"ES0031408323131005HX0F")</f>
        <v>ES0031408323131005HX0F</v>
      </c>
      <c r="B7430" s="12">
        <f>IFERROR(__xludf.DUMMYFUNCTION("""COMPUTED_VALUE"""),45175.0)</f>
        <v>45175</v>
      </c>
      <c r="C7430" s="13">
        <f>IFERROR(__xludf.DUMMYFUNCTION("""COMPUTED_VALUE"""),0.5833333333333334)</f>
        <v>0.5833333333</v>
      </c>
      <c r="D7430" s="8">
        <f>IFERROR(__xludf.DUMMYFUNCTION("""COMPUTED_VALUE"""),0.072)</f>
        <v>0.072</v>
      </c>
      <c r="E7430" s="8" t="str">
        <f>IFERROR(__xludf.DUMMYFUNCTION("""COMPUTED_VALUE"""),"Real")</f>
        <v>Real</v>
      </c>
      <c r="G7430" s="8">
        <f t="shared" si="1"/>
        <v>9</v>
      </c>
      <c r="H7430" s="14">
        <f t="shared" si="2"/>
        <v>6</v>
      </c>
      <c r="I7430" s="15">
        <f t="shared" si="3"/>
        <v>14</v>
      </c>
    </row>
    <row r="7431">
      <c r="A7431" s="8" t="str">
        <f>IFERROR(__xludf.DUMMYFUNCTION("IF('(INGESTA)Datos_consumo_datadis'!A7431&lt;&gt;"""",SPLIT('(INGESTA)Datos_consumo_datadis'!A:A,"",""),"""")"),"ES0031408323131005HX0F")</f>
        <v>ES0031408323131005HX0F</v>
      </c>
      <c r="B7431" s="12">
        <f>IFERROR(__xludf.DUMMYFUNCTION("""COMPUTED_VALUE"""),45175.0)</f>
        <v>45175</v>
      </c>
      <c r="C7431" s="13">
        <f>IFERROR(__xludf.DUMMYFUNCTION("""COMPUTED_VALUE"""),0.625)</f>
        <v>0.625</v>
      </c>
      <c r="D7431" s="8">
        <f>IFERROR(__xludf.DUMMYFUNCTION("""COMPUTED_VALUE"""),0.028)</f>
        <v>0.028</v>
      </c>
      <c r="E7431" s="8" t="str">
        <f>IFERROR(__xludf.DUMMYFUNCTION("""COMPUTED_VALUE"""),"Real")</f>
        <v>Real</v>
      </c>
      <c r="G7431" s="8">
        <f t="shared" si="1"/>
        <v>9</v>
      </c>
      <c r="H7431" s="14">
        <f t="shared" si="2"/>
        <v>6</v>
      </c>
      <c r="I7431" s="15">
        <f t="shared" si="3"/>
        <v>15</v>
      </c>
    </row>
    <row r="7432">
      <c r="A7432" s="8" t="str">
        <f>IFERROR(__xludf.DUMMYFUNCTION("IF('(INGESTA)Datos_consumo_datadis'!A7432&lt;&gt;"""",SPLIT('(INGESTA)Datos_consumo_datadis'!A:A,"",""),"""")"),"ES0031408323131005HX0F")</f>
        <v>ES0031408323131005HX0F</v>
      </c>
      <c r="B7432" s="12">
        <f>IFERROR(__xludf.DUMMYFUNCTION("""COMPUTED_VALUE"""),45175.0)</f>
        <v>45175</v>
      </c>
      <c r="C7432" s="13">
        <f>IFERROR(__xludf.DUMMYFUNCTION("""COMPUTED_VALUE"""),0.6666666666666666)</f>
        <v>0.6666666667</v>
      </c>
      <c r="D7432" s="8">
        <f>IFERROR(__xludf.DUMMYFUNCTION("""COMPUTED_VALUE"""),0.039)</f>
        <v>0.039</v>
      </c>
      <c r="E7432" s="8" t="str">
        <f>IFERROR(__xludf.DUMMYFUNCTION("""COMPUTED_VALUE"""),"Real")</f>
        <v>Real</v>
      </c>
      <c r="G7432" s="8">
        <f t="shared" si="1"/>
        <v>9</v>
      </c>
      <c r="H7432" s="14">
        <f t="shared" si="2"/>
        <v>6</v>
      </c>
      <c r="I7432" s="15">
        <f t="shared" si="3"/>
        <v>16</v>
      </c>
    </row>
    <row r="7433">
      <c r="A7433" s="8" t="str">
        <f>IFERROR(__xludf.DUMMYFUNCTION("IF('(INGESTA)Datos_consumo_datadis'!A7433&lt;&gt;"""",SPLIT('(INGESTA)Datos_consumo_datadis'!A:A,"",""),"""")"),"ES0031408323131005HX0F")</f>
        <v>ES0031408323131005HX0F</v>
      </c>
      <c r="B7433" s="12">
        <f>IFERROR(__xludf.DUMMYFUNCTION("""COMPUTED_VALUE"""),45175.0)</f>
        <v>45175</v>
      </c>
      <c r="C7433" s="13">
        <f>IFERROR(__xludf.DUMMYFUNCTION("""COMPUTED_VALUE"""),0.7083333333333334)</f>
        <v>0.7083333333</v>
      </c>
      <c r="D7433" s="8">
        <f>IFERROR(__xludf.DUMMYFUNCTION("""COMPUTED_VALUE"""),0.132)</f>
        <v>0.132</v>
      </c>
      <c r="E7433" s="8" t="str">
        <f>IFERROR(__xludf.DUMMYFUNCTION("""COMPUTED_VALUE"""),"Real")</f>
        <v>Real</v>
      </c>
      <c r="G7433" s="8">
        <f t="shared" si="1"/>
        <v>9</v>
      </c>
      <c r="H7433" s="14">
        <f t="shared" si="2"/>
        <v>6</v>
      </c>
      <c r="I7433" s="15">
        <f t="shared" si="3"/>
        <v>17</v>
      </c>
    </row>
    <row r="7434">
      <c r="A7434" s="8" t="str">
        <f>IFERROR(__xludf.DUMMYFUNCTION("IF('(INGESTA)Datos_consumo_datadis'!A7434&lt;&gt;"""",SPLIT('(INGESTA)Datos_consumo_datadis'!A:A,"",""),"""")"),"ES0031408323131005HX0F")</f>
        <v>ES0031408323131005HX0F</v>
      </c>
      <c r="B7434" s="12">
        <f>IFERROR(__xludf.DUMMYFUNCTION("""COMPUTED_VALUE"""),45175.0)</f>
        <v>45175</v>
      </c>
      <c r="C7434" s="13">
        <f>IFERROR(__xludf.DUMMYFUNCTION("""COMPUTED_VALUE"""),0.75)</f>
        <v>0.75</v>
      </c>
      <c r="D7434" s="8">
        <f>IFERROR(__xludf.DUMMYFUNCTION("""COMPUTED_VALUE"""),0.129)</f>
        <v>0.129</v>
      </c>
      <c r="E7434" s="8" t="str">
        <f>IFERROR(__xludf.DUMMYFUNCTION("""COMPUTED_VALUE"""),"Real")</f>
        <v>Real</v>
      </c>
      <c r="G7434" s="8">
        <f t="shared" si="1"/>
        <v>9</v>
      </c>
      <c r="H7434" s="14">
        <f t="shared" si="2"/>
        <v>6</v>
      </c>
      <c r="I7434" s="15">
        <f t="shared" si="3"/>
        <v>18</v>
      </c>
    </row>
    <row r="7435">
      <c r="A7435" s="8" t="str">
        <f>IFERROR(__xludf.DUMMYFUNCTION("IF('(INGESTA)Datos_consumo_datadis'!A7435&lt;&gt;"""",SPLIT('(INGESTA)Datos_consumo_datadis'!A:A,"",""),"""")"),"ES0031408323131005HX0F")</f>
        <v>ES0031408323131005HX0F</v>
      </c>
      <c r="B7435" s="12">
        <f>IFERROR(__xludf.DUMMYFUNCTION("""COMPUTED_VALUE"""),45175.0)</f>
        <v>45175</v>
      </c>
      <c r="C7435" s="13">
        <f>IFERROR(__xludf.DUMMYFUNCTION("""COMPUTED_VALUE"""),0.7916666666666666)</f>
        <v>0.7916666667</v>
      </c>
      <c r="D7435" s="8">
        <f>IFERROR(__xludf.DUMMYFUNCTION("""COMPUTED_VALUE"""),0.343)</f>
        <v>0.343</v>
      </c>
      <c r="E7435" s="8" t="str">
        <f>IFERROR(__xludf.DUMMYFUNCTION("""COMPUTED_VALUE"""),"Real")</f>
        <v>Real</v>
      </c>
      <c r="G7435" s="8">
        <f t="shared" si="1"/>
        <v>9</v>
      </c>
      <c r="H7435" s="14">
        <f t="shared" si="2"/>
        <v>6</v>
      </c>
      <c r="I7435" s="15">
        <f t="shared" si="3"/>
        <v>19</v>
      </c>
    </row>
    <row r="7436">
      <c r="A7436" s="8" t="str">
        <f>IFERROR(__xludf.DUMMYFUNCTION("IF('(INGESTA)Datos_consumo_datadis'!A7436&lt;&gt;"""",SPLIT('(INGESTA)Datos_consumo_datadis'!A:A,"",""),"""")"),"ES0031408323131005HX0F")</f>
        <v>ES0031408323131005HX0F</v>
      </c>
      <c r="B7436" s="12">
        <f>IFERROR(__xludf.DUMMYFUNCTION("""COMPUTED_VALUE"""),45175.0)</f>
        <v>45175</v>
      </c>
      <c r="C7436" s="13">
        <f>IFERROR(__xludf.DUMMYFUNCTION("""COMPUTED_VALUE"""),0.8333333333333334)</f>
        <v>0.8333333333</v>
      </c>
      <c r="D7436" s="8">
        <f>IFERROR(__xludf.DUMMYFUNCTION("""COMPUTED_VALUE"""),0.111)</f>
        <v>0.111</v>
      </c>
      <c r="E7436" s="8" t="str">
        <f>IFERROR(__xludf.DUMMYFUNCTION("""COMPUTED_VALUE"""),"Real")</f>
        <v>Real</v>
      </c>
      <c r="G7436" s="8">
        <f t="shared" si="1"/>
        <v>9</v>
      </c>
      <c r="H7436" s="14">
        <f t="shared" si="2"/>
        <v>6</v>
      </c>
      <c r="I7436" s="15">
        <f t="shared" si="3"/>
        <v>20</v>
      </c>
    </row>
    <row r="7437">
      <c r="A7437" s="8" t="str">
        <f>IFERROR(__xludf.DUMMYFUNCTION("IF('(INGESTA)Datos_consumo_datadis'!A7437&lt;&gt;"""",SPLIT('(INGESTA)Datos_consumo_datadis'!A:A,"",""),"""")"),"ES0031408323131005HX0F")</f>
        <v>ES0031408323131005HX0F</v>
      </c>
      <c r="B7437" s="12">
        <f>IFERROR(__xludf.DUMMYFUNCTION("""COMPUTED_VALUE"""),45175.0)</f>
        <v>45175</v>
      </c>
      <c r="C7437" s="13">
        <f>IFERROR(__xludf.DUMMYFUNCTION("""COMPUTED_VALUE"""),0.875)</f>
        <v>0.875</v>
      </c>
      <c r="D7437" s="8">
        <f>IFERROR(__xludf.DUMMYFUNCTION("""COMPUTED_VALUE"""),0.072)</f>
        <v>0.072</v>
      </c>
      <c r="E7437" s="8" t="str">
        <f>IFERROR(__xludf.DUMMYFUNCTION("""COMPUTED_VALUE"""),"Real")</f>
        <v>Real</v>
      </c>
      <c r="G7437" s="8">
        <f t="shared" si="1"/>
        <v>9</v>
      </c>
      <c r="H7437" s="14">
        <f t="shared" si="2"/>
        <v>6</v>
      </c>
      <c r="I7437" s="15">
        <f t="shared" si="3"/>
        <v>21</v>
      </c>
    </row>
    <row r="7438">
      <c r="A7438" s="8" t="str">
        <f>IFERROR(__xludf.DUMMYFUNCTION("IF('(INGESTA)Datos_consumo_datadis'!A7438&lt;&gt;"""",SPLIT('(INGESTA)Datos_consumo_datadis'!A:A,"",""),"""")"),"ES0031408323131005HX0F")</f>
        <v>ES0031408323131005HX0F</v>
      </c>
      <c r="B7438" s="12">
        <f>IFERROR(__xludf.DUMMYFUNCTION("""COMPUTED_VALUE"""),45175.0)</f>
        <v>45175</v>
      </c>
      <c r="C7438" s="13">
        <f>IFERROR(__xludf.DUMMYFUNCTION("""COMPUTED_VALUE"""),0.9166666666666666)</f>
        <v>0.9166666667</v>
      </c>
      <c r="D7438" s="8">
        <f>IFERROR(__xludf.DUMMYFUNCTION("""COMPUTED_VALUE"""),0.028)</f>
        <v>0.028</v>
      </c>
      <c r="E7438" s="8" t="str">
        <f>IFERROR(__xludf.DUMMYFUNCTION("""COMPUTED_VALUE"""),"Real")</f>
        <v>Real</v>
      </c>
      <c r="G7438" s="8">
        <f t="shared" si="1"/>
        <v>9</v>
      </c>
      <c r="H7438" s="14">
        <f t="shared" si="2"/>
        <v>6</v>
      </c>
      <c r="I7438" s="15">
        <f t="shared" si="3"/>
        <v>22</v>
      </c>
    </row>
    <row r="7439">
      <c r="A7439" s="8" t="str">
        <f>IFERROR(__xludf.DUMMYFUNCTION("IF('(INGESTA)Datos_consumo_datadis'!A7439&lt;&gt;"""",SPLIT('(INGESTA)Datos_consumo_datadis'!A:A,"",""),"""")"),"ES0031408323131005HX0F")</f>
        <v>ES0031408323131005HX0F</v>
      </c>
      <c r="B7439" s="12">
        <f>IFERROR(__xludf.DUMMYFUNCTION("""COMPUTED_VALUE"""),45175.0)</f>
        <v>45175</v>
      </c>
      <c r="C7439" s="13">
        <f>IFERROR(__xludf.DUMMYFUNCTION("""COMPUTED_VALUE"""),0.9583333333333334)</f>
        <v>0.9583333333</v>
      </c>
      <c r="D7439" s="8">
        <f>IFERROR(__xludf.DUMMYFUNCTION("""COMPUTED_VALUE"""),0.031)</f>
        <v>0.031</v>
      </c>
      <c r="E7439" s="8" t="str">
        <f>IFERROR(__xludf.DUMMYFUNCTION("""COMPUTED_VALUE"""),"Real")</f>
        <v>Real</v>
      </c>
      <c r="G7439" s="8">
        <f t="shared" si="1"/>
        <v>9</v>
      </c>
      <c r="H7439" s="14">
        <f t="shared" si="2"/>
        <v>6</v>
      </c>
      <c r="I7439" s="15">
        <f t="shared" si="3"/>
        <v>23</v>
      </c>
    </row>
    <row r="7440">
      <c r="A7440" s="8" t="str">
        <f>IFERROR(__xludf.DUMMYFUNCTION("IF('(INGESTA)Datos_consumo_datadis'!A7440&lt;&gt;"""",SPLIT('(INGESTA)Datos_consumo_datadis'!A:A,"",""),"""")"),"ES0031408323131005HX0F")</f>
        <v>ES0031408323131005HX0F</v>
      </c>
      <c r="B7440" s="12">
        <f>IFERROR(__xludf.DUMMYFUNCTION("""COMPUTED_VALUE"""),45175.0)</f>
        <v>45175</v>
      </c>
      <c r="C7440" s="16">
        <f>IFERROR(__xludf.DUMMYFUNCTION("""COMPUTED_VALUE"""),1.0)</f>
        <v>1</v>
      </c>
      <c r="D7440" s="8">
        <f>IFERROR(__xludf.DUMMYFUNCTION("""COMPUTED_VALUE"""),0.133)</f>
        <v>0.133</v>
      </c>
      <c r="E7440" s="8" t="str">
        <f>IFERROR(__xludf.DUMMYFUNCTION("""COMPUTED_VALUE"""),"Real")</f>
        <v>Real</v>
      </c>
      <c r="G7440" s="8">
        <f t="shared" si="1"/>
        <v>9</v>
      </c>
      <c r="H7440" s="14">
        <f t="shared" si="2"/>
        <v>6</v>
      </c>
      <c r="I7440" s="15">
        <f t="shared" si="3"/>
        <v>0</v>
      </c>
    </row>
    <row r="7441">
      <c r="A7441" s="8" t="str">
        <f>IFERROR(__xludf.DUMMYFUNCTION("IF('(INGESTA)Datos_consumo_datadis'!A7441&lt;&gt;"""",SPLIT('(INGESTA)Datos_consumo_datadis'!A:A,"",""),"""")"),"ES0031408323131005HX0F")</f>
        <v>ES0031408323131005HX0F</v>
      </c>
      <c r="B7441" s="12">
        <f>IFERROR(__xludf.DUMMYFUNCTION("""COMPUTED_VALUE"""),45176.0)</f>
        <v>45176</v>
      </c>
      <c r="C7441" s="13">
        <f>IFERROR(__xludf.DUMMYFUNCTION("""COMPUTED_VALUE"""),0.041666666666666664)</f>
        <v>0.04166666667</v>
      </c>
      <c r="D7441" s="8">
        <f>IFERROR(__xludf.DUMMYFUNCTION("""COMPUTED_VALUE"""),0.129)</f>
        <v>0.129</v>
      </c>
      <c r="E7441" s="8" t="str">
        <f>IFERROR(__xludf.DUMMYFUNCTION("""COMPUTED_VALUE"""),"Real")</f>
        <v>Real</v>
      </c>
      <c r="G7441" s="8">
        <f t="shared" si="1"/>
        <v>9</v>
      </c>
      <c r="H7441" s="14">
        <f t="shared" si="2"/>
        <v>7</v>
      </c>
      <c r="I7441" s="15">
        <f t="shared" si="3"/>
        <v>1</v>
      </c>
    </row>
    <row r="7442">
      <c r="A7442" s="8" t="str">
        <f>IFERROR(__xludf.DUMMYFUNCTION("IF('(INGESTA)Datos_consumo_datadis'!A7442&lt;&gt;"""",SPLIT('(INGESTA)Datos_consumo_datadis'!A:A,"",""),"""")"),"ES0031408323131005HX0F")</f>
        <v>ES0031408323131005HX0F</v>
      </c>
      <c r="B7442" s="12">
        <f>IFERROR(__xludf.DUMMYFUNCTION("""COMPUTED_VALUE"""),45176.0)</f>
        <v>45176</v>
      </c>
      <c r="C7442" s="13">
        <f>IFERROR(__xludf.DUMMYFUNCTION("""COMPUTED_VALUE"""),0.08333333333333333)</f>
        <v>0.08333333333</v>
      </c>
      <c r="D7442" s="8">
        <f>IFERROR(__xludf.DUMMYFUNCTION("""COMPUTED_VALUE"""),0.337)</f>
        <v>0.337</v>
      </c>
      <c r="E7442" s="8" t="str">
        <f>IFERROR(__xludf.DUMMYFUNCTION("""COMPUTED_VALUE"""),"Real")</f>
        <v>Real</v>
      </c>
      <c r="G7442" s="8">
        <f t="shared" si="1"/>
        <v>9</v>
      </c>
      <c r="H7442" s="14">
        <f t="shared" si="2"/>
        <v>7</v>
      </c>
      <c r="I7442" s="15">
        <f t="shared" si="3"/>
        <v>2</v>
      </c>
    </row>
    <row r="7443">
      <c r="A7443" s="8" t="str">
        <f>IFERROR(__xludf.DUMMYFUNCTION("IF('(INGESTA)Datos_consumo_datadis'!A7443&lt;&gt;"""",SPLIT('(INGESTA)Datos_consumo_datadis'!A:A,"",""),"""")"),"ES0031408323131005HX0F")</f>
        <v>ES0031408323131005HX0F</v>
      </c>
      <c r="B7443" s="12">
        <f>IFERROR(__xludf.DUMMYFUNCTION("""COMPUTED_VALUE"""),45176.0)</f>
        <v>45176</v>
      </c>
      <c r="C7443" s="13">
        <f>IFERROR(__xludf.DUMMYFUNCTION("""COMPUTED_VALUE"""),0.125)</f>
        <v>0.125</v>
      </c>
      <c r="D7443" s="8">
        <f>IFERROR(__xludf.DUMMYFUNCTION("""COMPUTED_VALUE"""),0.095)</f>
        <v>0.095</v>
      </c>
      <c r="E7443" s="8" t="str">
        <f>IFERROR(__xludf.DUMMYFUNCTION("""COMPUTED_VALUE"""),"Real")</f>
        <v>Real</v>
      </c>
      <c r="G7443" s="8">
        <f t="shared" si="1"/>
        <v>9</v>
      </c>
      <c r="H7443" s="14">
        <f t="shared" si="2"/>
        <v>7</v>
      </c>
      <c r="I7443" s="15">
        <f t="shared" si="3"/>
        <v>3</v>
      </c>
    </row>
    <row r="7444">
      <c r="A7444" s="8" t="str">
        <f>IFERROR(__xludf.DUMMYFUNCTION("IF('(INGESTA)Datos_consumo_datadis'!A7444&lt;&gt;"""",SPLIT('(INGESTA)Datos_consumo_datadis'!A:A,"",""),"""")"),"ES0031408323131005HX0F")</f>
        <v>ES0031408323131005HX0F</v>
      </c>
      <c r="B7444" s="12">
        <f>IFERROR(__xludf.DUMMYFUNCTION("""COMPUTED_VALUE"""),45176.0)</f>
        <v>45176</v>
      </c>
      <c r="C7444" s="13">
        <f>IFERROR(__xludf.DUMMYFUNCTION("""COMPUTED_VALUE"""),0.16666666666666666)</f>
        <v>0.1666666667</v>
      </c>
      <c r="D7444" s="8">
        <f>IFERROR(__xludf.DUMMYFUNCTION("""COMPUTED_VALUE"""),0.089)</f>
        <v>0.089</v>
      </c>
      <c r="E7444" s="8" t="str">
        <f>IFERROR(__xludf.DUMMYFUNCTION("""COMPUTED_VALUE"""),"Real")</f>
        <v>Real</v>
      </c>
      <c r="G7444" s="8">
        <f t="shared" si="1"/>
        <v>9</v>
      </c>
      <c r="H7444" s="14">
        <f t="shared" si="2"/>
        <v>7</v>
      </c>
      <c r="I7444" s="15">
        <f t="shared" si="3"/>
        <v>4</v>
      </c>
    </row>
    <row r="7445">
      <c r="A7445" s="8" t="str">
        <f>IFERROR(__xludf.DUMMYFUNCTION("IF('(INGESTA)Datos_consumo_datadis'!A7445&lt;&gt;"""",SPLIT('(INGESTA)Datos_consumo_datadis'!A:A,"",""),"""")"),"ES0031408323131005HX0F")</f>
        <v>ES0031408323131005HX0F</v>
      </c>
      <c r="B7445" s="12">
        <f>IFERROR(__xludf.DUMMYFUNCTION("""COMPUTED_VALUE"""),45176.0)</f>
        <v>45176</v>
      </c>
      <c r="C7445" s="13">
        <f>IFERROR(__xludf.DUMMYFUNCTION("""COMPUTED_VALUE"""),0.20833333333333334)</f>
        <v>0.2083333333</v>
      </c>
      <c r="D7445" s="8">
        <f>IFERROR(__xludf.DUMMYFUNCTION("""COMPUTED_VALUE"""),0.028)</f>
        <v>0.028</v>
      </c>
      <c r="E7445" s="8" t="str">
        <f>IFERROR(__xludf.DUMMYFUNCTION("""COMPUTED_VALUE"""),"Real")</f>
        <v>Real</v>
      </c>
      <c r="G7445" s="8">
        <f t="shared" si="1"/>
        <v>9</v>
      </c>
      <c r="H7445" s="14">
        <f t="shared" si="2"/>
        <v>7</v>
      </c>
      <c r="I7445" s="15">
        <f t="shared" si="3"/>
        <v>5</v>
      </c>
    </row>
    <row r="7446">
      <c r="A7446" s="8" t="str">
        <f>IFERROR(__xludf.DUMMYFUNCTION("IF('(INGESTA)Datos_consumo_datadis'!A7446&lt;&gt;"""",SPLIT('(INGESTA)Datos_consumo_datadis'!A:A,"",""),"""")"),"ES0031408323131005HX0F")</f>
        <v>ES0031408323131005HX0F</v>
      </c>
      <c r="B7446" s="12">
        <f>IFERROR(__xludf.DUMMYFUNCTION("""COMPUTED_VALUE"""),45176.0)</f>
        <v>45176</v>
      </c>
      <c r="C7446" s="13">
        <f>IFERROR(__xludf.DUMMYFUNCTION("""COMPUTED_VALUE"""),0.25)</f>
        <v>0.25</v>
      </c>
      <c r="D7446" s="8">
        <f>IFERROR(__xludf.DUMMYFUNCTION("""COMPUTED_VALUE"""),0.028)</f>
        <v>0.028</v>
      </c>
      <c r="E7446" s="8" t="str">
        <f>IFERROR(__xludf.DUMMYFUNCTION("""COMPUTED_VALUE"""),"Real")</f>
        <v>Real</v>
      </c>
      <c r="G7446" s="8">
        <f t="shared" si="1"/>
        <v>9</v>
      </c>
      <c r="H7446" s="14">
        <f t="shared" si="2"/>
        <v>7</v>
      </c>
      <c r="I7446" s="15">
        <f t="shared" si="3"/>
        <v>6</v>
      </c>
    </row>
    <row r="7447">
      <c r="A7447" s="8" t="str">
        <f>IFERROR(__xludf.DUMMYFUNCTION("IF('(INGESTA)Datos_consumo_datadis'!A7447&lt;&gt;"""",SPLIT('(INGESTA)Datos_consumo_datadis'!A:A,"",""),"""")"),"ES0031408323131005HX0F")</f>
        <v>ES0031408323131005HX0F</v>
      </c>
      <c r="B7447" s="12">
        <f>IFERROR(__xludf.DUMMYFUNCTION("""COMPUTED_VALUE"""),45176.0)</f>
        <v>45176</v>
      </c>
      <c r="C7447" s="13">
        <f>IFERROR(__xludf.DUMMYFUNCTION("""COMPUTED_VALUE"""),0.2916666666666667)</f>
        <v>0.2916666667</v>
      </c>
      <c r="D7447" s="8">
        <f>IFERROR(__xludf.DUMMYFUNCTION("""COMPUTED_VALUE"""),0.126)</f>
        <v>0.126</v>
      </c>
      <c r="E7447" s="8" t="str">
        <f>IFERROR(__xludf.DUMMYFUNCTION("""COMPUTED_VALUE"""),"Real")</f>
        <v>Real</v>
      </c>
      <c r="G7447" s="8">
        <f t="shared" si="1"/>
        <v>9</v>
      </c>
      <c r="H7447" s="14">
        <f t="shared" si="2"/>
        <v>7</v>
      </c>
      <c r="I7447" s="15">
        <f t="shared" si="3"/>
        <v>7</v>
      </c>
    </row>
    <row r="7448">
      <c r="A7448" s="8" t="str">
        <f>IFERROR(__xludf.DUMMYFUNCTION("IF('(INGESTA)Datos_consumo_datadis'!A7448&lt;&gt;"""",SPLIT('(INGESTA)Datos_consumo_datadis'!A:A,"",""),"""")"),"ES0031408323131005HX0F")</f>
        <v>ES0031408323131005HX0F</v>
      </c>
      <c r="B7448" s="12">
        <f>IFERROR(__xludf.DUMMYFUNCTION("""COMPUTED_VALUE"""),45176.0)</f>
        <v>45176</v>
      </c>
      <c r="C7448" s="13">
        <f>IFERROR(__xludf.DUMMYFUNCTION("""COMPUTED_VALUE"""),0.3333333333333333)</f>
        <v>0.3333333333</v>
      </c>
      <c r="D7448" s="8">
        <f>IFERROR(__xludf.DUMMYFUNCTION("""COMPUTED_VALUE"""),0.129)</f>
        <v>0.129</v>
      </c>
      <c r="E7448" s="8" t="str">
        <f>IFERROR(__xludf.DUMMYFUNCTION("""COMPUTED_VALUE"""),"Real")</f>
        <v>Real</v>
      </c>
      <c r="G7448" s="8">
        <f t="shared" si="1"/>
        <v>9</v>
      </c>
      <c r="H7448" s="14">
        <f t="shared" si="2"/>
        <v>7</v>
      </c>
      <c r="I7448" s="15">
        <f t="shared" si="3"/>
        <v>8</v>
      </c>
    </row>
    <row r="7449">
      <c r="A7449" s="8" t="str">
        <f>IFERROR(__xludf.DUMMYFUNCTION("IF('(INGESTA)Datos_consumo_datadis'!A7449&lt;&gt;"""",SPLIT('(INGESTA)Datos_consumo_datadis'!A:A,"",""),"""")"),"ES0031408323131005HX0F")</f>
        <v>ES0031408323131005HX0F</v>
      </c>
      <c r="B7449" s="12">
        <f>IFERROR(__xludf.DUMMYFUNCTION("""COMPUTED_VALUE"""),45176.0)</f>
        <v>45176</v>
      </c>
      <c r="C7449" s="13">
        <f>IFERROR(__xludf.DUMMYFUNCTION("""COMPUTED_VALUE"""),0.375)</f>
        <v>0.375</v>
      </c>
      <c r="D7449" s="8">
        <f>IFERROR(__xludf.DUMMYFUNCTION("""COMPUTED_VALUE"""),0.351)</f>
        <v>0.351</v>
      </c>
      <c r="E7449" s="8" t="str">
        <f>IFERROR(__xludf.DUMMYFUNCTION("""COMPUTED_VALUE"""),"Real")</f>
        <v>Real</v>
      </c>
      <c r="G7449" s="8">
        <f t="shared" si="1"/>
        <v>9</v>
      </c>
      <c r="H7449" s="14">
        <f t="shared" si="2"/>
        <v>7</v>
      </c>
      <c r="I7449" s="15">
        <f t="shared" si="3"/>
        <v>9</v>
      </c>
    </row>
    <row r="7450">
      <c r="A7450" s="8" t="str">
        <f>IFERROR(__xludf.DUMMYFUNCTION("IF('(INGESTA)Datos_consumo_datadis'!A7450&lt;&gt;"""",SPLIT('(INGESTA)Datos_consumo_datadis'!A:A,"",""),"""")"),"ES0031408323131005HX0F")</f>
        <v>ES0031408323131005HX0F</v>
      </c>
      <c r="B7450" s="12">
        <f>IFERROR(__xludf.DUMMYFUNCTION("""COMPUTED_VALUE"""),45176.0)</f>
        <v>45176</v>
      </c>
      <c r="C7450" s="13">
        <f>IFERROR(__xludf.DUMMYFUNCTION("""COMPUTED_VALUE"""),0.4166666666666667)</f>
        <v>0.4166666667</v>
      </c>
      <c r="D7450" s="8">
        <f>IFERROR(__xludf.DUMMYFUNCTION("""COMPUTED_VALUE"""),0.103)</f>
        <v>0.103</v>
      </c>
      <c r="E7450" s="8" t="str">
        <f>IFERROR(__xludf.DUMMYFUNCTION("""COMPUTED_VALUE"""),"Real")</f>
        <v>Real</v>
      </c>
      <c r="G7450" s="8">
        <f t="shared" si="1"/>
        <v>9</v>
      </c>
      <c r="H7450" s="14">
        <f t="shared" si="2"/>
        <v>7</v>
      </c>
      <c r="I7450" s="15">
        <f t="shared" si="3"/>
        <v>10</v>
      </c>
    </row>
    <row r="7451">
      <c r="A7451" s="8" t="str">
        <f>IFERROR(__xludf.DUMMYFUNCTION("IF('(INGESTA)Datos_consumo_datadis'!A7451&lt;&gt;"""",SPLIT('(INGESTA)Datos_consumo_datadis'!A:A,"",""),"""")"),"ES0031408323131005HX0F")</f>
        <v>ES0031408323131005HX0F</v>
      </c>
      <c r="B7451" s="12">
        <f>IFERROR(__xludf.DUMMYFUNCTION("""COMPUTED_VALUE"""),45176.0)</f>
        <v>45176</v>
      </c>
      <c r="C7451" s="13">
        <f>IFERROR(__xludf.DUMMYFUNCTION("""COMPUTED_VALUE"""),0.4583333333333333)</f>
        <v>0.4583333333</v>
      </c>
      <c r="D7451" s="8">
        <f>IFERROR(__xludf.DUMMYFUNCTION("""COMPUTED_VALUE"""),0.072)</f>
        <v>0.072</v>
      </c>
      <c r="E7451" s="8" t="str">
        <f>IFERROR(__xludf.DUMMYFUNCTION("""COMPUTED_VALUE"""),"Real")</f>
        <v>Real</v>
      </c>
      <c r="G7451" s="8">
        <f t="shared" si="1"/>
        <v>9</v>
      </c>
      <c r="H7451" s="14">
        <f t="shared" si="2"/>
        <v>7</v>
      </c>
      <c r="I7451" s="15">
        <f t="shared" si="3"/>
        <v>11</v>
      </c>
    </row>
    <row r="7452">
      <c r="A7452" s="8" t="str">
        <f>IFERROR(__xludf.DUMMYFUNCTION("IF('(INGESTA)Datos_consumo_datadis'!A7452&lt;&gt;"""",SPLIT('(INGESTA)Datos_consumo_datadis'!A:A,"",""),"""")"),"ES0031408323131005HX0F")</f>
        <v>ES0031408323131005HX0F</v>
      </c>
      <c r="B7452" s="12">
        <f>IFERROR(__xludf.DUMMYFUNCTION("""COMPUTED_VALUE"""),45176.0)</f>
        <v>45176</v>
      </c>
      <c r="C7452" s="13">
        <f>IFERROR(__xludf.DUMMYFUNCTION("""COMPUTED_VALUE"""),0.5)</f>
        <v>0.5</v>
      </c>
      <c r="D7452" s="8">
        <f>IFERROR(__xludf.DUMMYFUNCTION("""COMPUTED_VALUE"""),0.028)</f>
        <v>0.028</v>
      </c>
      <c r="E7452" s="8" t="str">
        <f>IFERROR(__xludf.DUMMYFUNCTION("""COMPUTED_VALUE"""),"Real")</f>
        <v>Real</v>
      </c>
      <c r="G7452" s="8">
        <f t="shared" si="1"/>
        <v>9</v>
      </c>
      <c r="H7452" s="14">
        <f t="shared" si="2"/>
        <v>7</v>
      </c>
      <c r="I7452" s="15">
        <f t="shared" si="3"/>
        <v>12</v>
      </c>
    </row>
    <row r="7453">
      <c r="A7453" s="8" t="str">
        <f>IFERROR(__xludf.DUMMYFUNCTION("IF('(INGESTA)Datos_consumo_datadis'!A7453&lt;&gt;"""",SPLIT('(INGESTA)Datos_consumo_datadis'!A:A,"",""),"""")"),"ES0031408323131005HX0F")</f>
        <v>ES0031408323131005HX0F</v>
      </c>
      <c r="B7453" s="12">
        <f>IFERROR(__xludf.DUMMYFUNCTION("""COMPUTED_VALUE"""),45176.0)</f>
        <v>45176</v>
      </c>
      <c r="C7453" s="13">
        <f>IFERROR(__xludf.DUMMYFUNCTION("""COMPUTED_VALUE"""),0.5416666666666666)</f>
        <v>0.5416666667</v>
      </c>
      <c r="D7453" s="8">
        <f>IFERROR(__xludf.DUMMYFUNCTION("""COMPUTED_VALUE"""),0.032)</f>
        <v>0.032</v>
      </c>
      <c r="E7453" s="8" t="str">
        <f>IFERROR(__xludf.DUMMYFUNCTION("""COMPUTED_VALUE"""),"Real")</f>
        <v>Real</v>
      </c>
      <c r="G7453" s="8">
        <f t="shared" si="1"/>
        <v>9</v>
      </c>
      <c r="H7453" s="14">
        <f t="shared" si="2"/>
        <v>7</v>
      </c>
      <c r="I7453" s="15">
        <f t="shared" si="3"/>
        <v>13</v>
      </c>
    </row>
    <row r="7454">
      <c r="A7454" s="8" t="str">
        <f>IFERROR(__xludf.DUMMYFUNCTION("IF('(INGESTA)Datos_consumo_datadis'!A7454&lt;&gt;"""",SPLIT('(INGESTA)Datos_consumo_datadis'!A:A,"",""),"""")"),"ES0031408323131005HX0F")</f>
        <v>ES0031408323131005HX0F</v>
      </c>
      <c r="B7454" s="12">
        <f>IFERROR(__xludf.DUMMYFUNCTION("""COMPUTED_VALUE"""),45176.0)</f>
        <v>45176</v>
      </c>
      <c r="C7454" s="13">
        <f>IFERROR(__xludf.DUMMYFUNCTION("""COMPUTED_VALUE"""),0.5833333333333334)</f>
        <v>0.5833333333</v>
      </c>
      <c r="D7454" s="8">
        <f>IFERROR(__xludf.DUMMYFUNCTION("""COMPUTED_VALUE"""),0.133)</f>
        <v>0.133</v>
      </c>
      <c r="E7454" s="8" t="str">
        <f>IFERROR(__xludf.DUMMYFUNCTION("""COMPUTED_VALUE"""),"Real")</f>
        <v>Real</v>
      </c>
      <c r="G7454" s="8">
        <f t="shared" si="1"/>
        <v>9</v>
      </c>
      <c r="H7454" s="14">
        <f t="shared" si="2"/>
        <v>7</v>
      </c>
      <c r="I7454" s="15">
        <f t="shared" si="3"/>
        <v>14</v>
      </c>
    </row>
    <row r="7455">
      <c r="A7455" s="8" t="str">
        <f>IFERROR(__xludf.DUMMYFUNCTION("IF('(INGESTA)Datos_consumo_datadis'!A7455&lt;&gt;"""",SPLIT('(INGESTA)Datos_consumo_datadis'!A:A,"",""),"""")"),"ES0031408323131005HX0F")</f>
        <v>ES0031408323131005HX0F</v>
      </c>
      <c r="B7455" s="12">
        <f>IFERROR(__xludf.DUMMYFUNCTION("""COMPUTED_VALUE"""),45176.0)</f>
        <v>45176</v>
      </c>
      <c r="C7455" s="13">
        <f>IFERROR(__xludf.DUMMYFUNCTION("""COMPUTED_VALUE"""),0.625)</f>
        <v>0.625</v>
      </c>
      <c r="D7455" s="8">
        <f>IFERROR(__xludf.DUMMYFUNCTION("""COMPUTED_VALUE"""),0.159)</f>
        <v>0.159</v>
      </c>
      <c r="E7455" s="8" t="str">
        <f>IFERROR(__xludf.DUMMYFUNCTION("""COMPUTED_VALUE"""),"Real")</f>
        <v>Real</v>
      </c>
      <c r="G7455" s="8">
        <f t="shared" si="1"/>
        <v>9</v>
      </c>
      <c r="H7455" s="14">
        <f t="shared" si="2"/>
        <v>7</v>
      </c>
      <c r="I7455" s="15">
        <f t="shared" si="3"/>
        <v>15</v>
      </c>
    </row>
    <row r="7456">
      <c r="A7456" s="8" t="str">
        <f>IFERROR(__xludf.DUMMYFUNCTION("IF('(INGESTA)Datos_consumo_datadis'!A7456&lt;&gt;"""",SPLIT('(INGESTA)Datos_consumo_datadis'!A:A,"",""),"""")"),"ES0031408323131005HX0F")</f>
        <v>ES0031408323131005HX0F</v>
      </c>
      <c r="B7456" s="12">
        <f>IFERROR(__xludf.DUMMYFUNCTION("""COMPUTED_VALUE"""),45176.0)</f>
        <v>45176</v>
      </c>
      <c r="C7456" s="13">
        <f>IFERROR(__xludf.DUMMYFUNCTION("""COMPUTED_VALUE"""),0.6666666666666666)</f>
        <v>0.6666666667</v>
      </c>
      <c r="D7456" s="8">
        <f>IFERROR(__xludf.DUMMYFUNCTION("""COMPUTED_VALUE"""),0.291)</f>
        <v>0.291</v>
      </c>
      <c r="E7456" s="8" t="str">
        <f>IFERROR(__xludf.DUMMYFUNCTION("""COMPUTED_VALUE"""),"Real")</f>
        <v>Real</v>
      </c>
      <c r="G7456" s="8">
        <f t="shared" si="1"/>
        <v>9</v>
      </c>
      <c r="H7456" s="14">
        <f t="shared" si="2"/>
        <v>7</v>
      </c>
      <c r="I7456" s="15">
        <f t="shared" si="3"/>
        <v>16</v>
      </c>
    </row>
    <row r="7457">
      <c r="A7457" s="8" t="str">
        <f>IFERROR(__xludf.DUMMYFUNCTION("IF('(INGESTA)Datos_consumo_datadis'!A7457&lt;&gt;"""",SPLIT('(INGESTA)Datos_consumo_datadis'!A:A,"",""),"""")"),"ES0031408323131005HX0F")</f>
        <v>ES0031408323131005HX0F</v>
      </c>
      <c r="B7457" s="12">
        <f>IFERROR(__xludf.DUMMYFUNCTION("""COMPUTED_VALUE"""),45176.0)</f>
        <v>45176</v>
      </c>
      <c r="C7457" s="13">
        <f>IFERROR(__xludf.DUMMYFUNCTION("""COMPUTED_VALUE"""),0.7083333333333334)</f>
        <v>0.7083333333</v>
      </c>
      <c r="D7457" s="8">
        <f>IFERROR(__xludf.DUMMYFUNCTION("""COMPUTED_VALUE"""),0.089)</f>
        <v>0.089</v>
      </c>
      <c r="E7457" s="8" t="str">
        <f>IFERROR(__xludf.DUMMYFUNCTION("""COMPUTED_VALUE"""),"Real")</f>
        <v>Real</v>
      </c>
      <c r="G7457" s="8">
        <f t="shared" si="1"/>
        <v>9</v>
      </c>
      <c r="H7457" s="14">
        <f t="shared" si="2"/>
        <v>7</v>
      </c>
      <c r="I7457" s="15">
        <f t="shared" si="3"/>
        <v>17</v>
      </c>
    </row>
    <row r="7458">
      <c r="A7458" s="8" t="str">
        <f>IFERROR(__xludf.DUMMYFUNCTION("IF('(INGESTA)Datos_consumo_datadis'!A7458&lt;&gt;"""",SPLIT('(INGESTA)Datos_consumo_datadis'!A:A,"",""),"""")"),"ES0031408323131005HX0F")</f>
        <v>ES0031408323131005HX0F</v>
      </c>
      <c r="B7458" s="12">
        <f>IFERROR(__xludf.DUMMYFUNCTION("""COMPUTED_VALUE"""),45176.0)</f>
        <v>45176</v>
      </c>
      <c r="C7458" s="13">
        <f>IFERROR(__xludf.DUMMYFUNCTION("""COMPUTED_VALUE"""),0.75)</f>
        <v>0.75</v>
      </c>
      <c r="D7458" s="8">
        <f>IFERROR(__xludf.DUMMYFUNCTION("""COMPUTED_VALUE"""),0.102)</f>
        <v>0.102</v>
      </c>
      <c r="E7458" s="8" t="str">
        <f>IFERROR(__xludf.DUMMYFUNCTION("""COMPUTED_VALUE"""),"Real")</f>
        <v>Real</v>
      </c>
      <c r="G7458" s="8">
        <f t="shared" si="1"/>
        <v>9</v>
      </c>
      <c r="H7458" s="14">
        <f t="shared" si="2"/>
        <v>7</v>
      </c>
      <c r="I7458" s="15">
        <f t="shared" si="3"/>
        <v>18</v>
      </c>
    </row>
    <row r="7459">
      <c r="A7459" s="8" t="str">
        <f>IFERROR(__xludf.DUMMYFUNCTION("IF('(INGESTA)Datos_consumo_datadis'!A7459&lt;&gt;"""",SPLIT('(INGESTA)Datos_consumo_datadis'!A:A,"",""),"""")"),"ES0031408323131005HX0F")</f>
        <v>ES0031408323131005HX0F</v>
      </c>
      <c r="B7459" s="12">
        <f>IFERROR(__xludf.DUMMYFUNCTION("""COMPUTED_VALUE"""),45176.0)</f>
        <v>45176</v>
      </c>
      <c r="C7459" s="13">
        <f>IFERROR(__xludf.DUMMYFUNCTION("""COMPUTED_VALUE"""),0.7916666666666666)</f>
        <v>0.7916666667</v>
      </c>
      <c r="D7459" s="8">
        <f>IFERROR(__xludf.DUMMYFUNCTION("""COMPUTED_VALUE"""),0.027)</f>
        <v>0.027</v>
      </c>
      <c r="E7459" s="8" t="str">
        <f>IFERROR(__xludf.DUMMYFUNCTION("""COMPUTED_VALUE"""),"Real")</f>
        <v>Real</v>
      </c>
      <c r="G7459" s="8">
        <f t="shared" si="1"/>
        <v>9</v>
      </c>
      <c r="H7459" s="14">
        <f t="shared" si="2"/>
        <v>7</v>
      </c>
      <c r="I7459" s="15">
        <f t="shared" si="3"/>
        <v>19</v>
      </c>
    </row>
    <row r="7460">
      <c r="A7460" s="8" t="str">
        <f>IFERROR(__xludf.DUMMYFUNCTION("IF('(INGESTA)Datos_consumo_datadis'!A7460&lt;&gt;"""",SPLIT('(INGESTA)Datos_consumo_datadis'!A:A,"",""),"""")"),"ES0031408323131005HX0F")</f>
        <v>ES0031408323131005HX0F</v>
      </c>
      <c r="B7460" s="12">
        <f>IFERROR(__xludf.DUMMYFUNCTION("""COMPUTED_VALUE"""),45176.0)</f>
        <v>45176</v>
      </c>
      <c r="C7460" s="13">
        <f>IFERROR(__xludf.DUMMYFUNCTION("""COMPUTED_VALUE"""),0.8333333333333334)</f>
        <v>0.8333333333</v>
      </c>
      <c r="D7460" s="8">
        <f>IFERROR(__xludf.DUMMYFUNCTION("""COMPUTED_VALUE"""),0.028)</f>
        <v>0.028</v>
      </c>
      <c r="E7460" s="8" t="str">
        <f>IFERROR(__xludf.DUMMYFUNCTION("""COMPUTED_VALUE"""),"Real")</f>
        <v>Real</v>
      </c>
      <c r="G7460" s="8">
        <f t="shared" si="1"/>
        <v>9</v>
      </c>
      <c r="H7460" s="14">
        <f t="shared" si="2"/>
        <v>7</v>
      </c>
      <c r="I7460" s="15">
        <f t="shared" si="3"/>
        <v>20</v>
      </c>
    </row>
    <row r="7461">
      <c r="A7461" s="8" t="str">
        <f>IFERROR(__xludf.DUMMYFUNCTION("IF('(INGESTA)Datos_consumo_datadis'!A7461&lt;&gt;"""",SPLIT('(INGESTA)Datos_consumo_datadis'!A:A,"",""),"""")"),"ES0031408323131005HX0F")</f>
        <v>ES0031408323131005HX0F</v>
      </c>
      <c r="B7461" s="12">
        <f>IFERROR(__xludf.DUMMYFUNCTION("""COMPUTED_VALUE"""),45176.0)</f>
        <v>45176</v>
      </c>
      <c r="C7461" s="13">
        <f>IFERROR(__xludf.DUMMYFUNCTION("""COMPUTED_VALUE"""),0.875)</f>
        <v>0.875</v>
      </c>
      <c r="D7461" s="8">
        <f>IFERROR(__xludf.DUMMYFUNCTION("""COMPUTED_VALUE"""),0.129)</f>
        <v>0.129</v>
      </c>
      <c r="E7461" s="8" t="str">
        <f>IFERROR(__xludf.DUMMYFUNCTION("""COMPUTED_VALUE"""),"Real")</f>
        <v>Real</v>
      </c>
      <c r="G7461" s="8">
        <f t="shared" si="1"/>
        <v>9</v>
      </c>
      <c r="H7461" s="14">
        <f t="shared" si="2"/>
        <v>7</v>
      </c>
      <c r="I7461" s="15">
        <f t="shared" si="3"/>
        <v>21</v>
      </c>
    </row>
    <row r="7462">
      <c r="A7462" s="8" t="str">
        <f>IFERROR(__xludf.DUMMYFUNCTION("IF('(INGESTA)Datos_consumo_datadis'!A7462&lt;&gt;"""",SPLIT('(INGESTA)Datos_consumo_datadis'!A:A,"",""),"""")"),"ES0031408323131005HX0F")</f>
        <v>ES0031408323131005HX0F</v>
      </c>
      <c r="B7462" s="12">
        <f>IFERROR(__xludf.DUMMYFUNCTION("""COMPUTED_VALUE"""),45176.0)</f>
        <v>45176</v>
      </c>
      <c r="C7462" s="13">
        <f>IFERROR(__xludf.DUMMYFUNCTION("""COMPUTED_VALUE"""),0.9166666666666666)</f>
        <v>0.9166666667</v>
      </c>
      <c r="D7462" s="8">
        <f>IFERROR(__xludf.DUMMYFUNCTION("""COMPUTED_VALUE"""),0.378)</f>
        <v>0.378</v>
      </c>
      <c r="E7462" s="8" t="str">
        <f>IFERROR(__xludf.DUMMYFUNCTION("""COMPUTED_VALUE"""),"Real")</f>
        <v>Real</v>
      </c>
      <c r="G7462" s="8">
        <f t="shared" si="1"/>
        <v>9</v>
      </c>
      <c r="H7462" s="14">
        <f t="shared" si="2"/>
        <v>7</v>
      </c>
      <c r="I7462" s="15">
        <f t="shared" si="3"/>
        <v>22</v>
      </c>
    </row>
    <row r="7463">
      <c r="A7463" s="8" t="str">
        <f>IFERROR(__xludf.DUMMYFUNCTION("IF('(INGESTA)Datos_consumo_datadis'!A7463&lt;&gt;"""",SPLIT('(INGESTA)Datos_consumo_datadis'!A:A,"",""),"""")"),"ES0031408323131005HX0F")</f>
        <v>ES0031408323131005HX0F</v>
      </c>
      <c r="B7463" s="12">
        <f>IFERROR(__xludf.DUMMYFUNCTION("""COMPUTED_VALUE"""),45176.0)</f>
        <v>45176</v>
      </c>
      <c r="C7463" s="13">
        <f>IFERROR(__xludf.DUMMYFUNCTION("""COMPUTED_VALUE"""),0.9583333333333334)</f>
        <v>0.9583333333</v>
      </c>
      <c r="D7463" s="8">
        <f>IFERROR(__xludf.DUMMYFUNCTION("""COMPUTED_VALUE"""),0.104)</f>
        <v>0.104</v>
      </c>
      <c r="E7463" s="8" t="str">
        <f>IFERROR(__xludf.DUMMYFUNCTION("""COMPUTED_VALUE"""),"Real")</f>
        <v>Real</v>
      </c>
      <c r="G7463" s="8">
        <f t="shared" si="1"/>
        <v>9</v>
      </c>
      <c r="H7463" s="14">
        <f t="shared" si="2"/>
        <v>7</v>
      </c>
      <c r="I7463" s="15">
        <f t="shared" si="3"/>
        <v>23</v>
      </c>
    </row>
    <row r="7464">
      <c r="A7464" s="8" t="str">
        <f>IFERROR(__xludf.DUMMYFUNCTION("IF('(INGESTA)Datos_consumo_datadis'!A7464&lt;&gt;"""",SPLIT('(INGESTA)Datos_consumo_datadis'!A:A,"",""),"""")"),"ES0031408323131005HX0F")</f>
        <v>ES0031408323131005HX0F</v>
      </c>
      <c r="B7464" s="12">
        <f>IFERROR(__xludf.DUMMYFUNCTION("""COMPUTED_VALUE"""),45176.0)</f>
        <v>45176</v>
      </c>
      <c r="C7464" s="16">
        <f>IFERROR(__xludf.DUMMYFUNCTION("""COMPUTED_VALUE"""),1.0)</f>
        <v>1</v>
      </c>
      <c r="D7464" s="8">
        <f>IFERROR(__xludf.DUMMYFUNCTION("""COMPUTED_VALUE"""),0.106)</f>
        <v>0.106</v>
      </c>
      <c r="E7464" s="8" t="str">
        <f>IFERROR(__xludf.DUMMYFUNCTION("""COMPUTED_VALUE"""),"Real")</f>
        <v>Real</v>
      </c>
      <c r="G7464" s="8">
        <f t="shared" si="1"/>
        <v>9</v>
      </c>
      <c r="H7464" s="14">
        <f t="shared" si="2"/>
        <v>7</v>
      </c>
      <c r="I7464" s="15">
        <f t="shared" si="3"/>
        <v>0</v>
      </c>
    </row>
    <row r="7465">
      <c r="A7465" s="8" t="str">
        <f>IFERROR(__xludf.DUMMYFUNCTION("IF('(INGESTA)Datos_consumo_datadis'!A7465&lt;&gt;"""",SPLIT('(INGESTA)Datos_consumo_datadis'!A:A,"",""),"""")"),"ES0031408323131005HX0F")</f>
        <v>ES0031408323131005HX0F</v>
      </c>
      <c r="B7465" s="12">
        <f>IFERROR(__xludf.DUMMYFUNCTION("""COMPUTED_VALUE"""),45177.0)</f>
        <v>45177</v>
      </c>
      <c r="C7465" s="13">
        <f>IFERROR(__xludf.DUMMYFUNCTION("""COMPUTED_VALUE"""),0.041666666666666664)</f>
        <v>0.04166666667</v>
      </c>
      <c r="D7465" s="8">
        <f>IFERROR(__xludf.DUMMYFUNCTION("""COMPUTED_VALUE"""),0.071)</f>
        <v>0.071</v>
      </c>
      <c r="E7465" s="8" t="str">
        <f>IFERROR(__xludf.DUMMYFUNCTION("""COMPUTED_VALUE"""),"Real")</f>
        <v>Real</v>
      </c>
      <c r="G7465" s="8">
        <f t="shared" si="1"/>
        <v>9</v>
      </c>
      <c r="H7465" s="14">
        <f t="shared" si="2"/>
        <v>8</v>
      </c>
      <c r="I7465" s="15">
        <f t="shared" si="3"/>
        <v>1</v>
      </c>
    </row>
    <row r="7466">
      <c r="A7466" s="8" t="str">
        <f>IFERROR(__xludf.DUMMYFUNCTION("IF('(INGESTA)Datos_consumo_datadis'!A7466&lt;&gt;"""",SPLIT('(INGESTA)Datos_consumo_datadis'!A:A,"",""),"""")"),"ES0031408323131005HX0F")</f>
        <v>ES0031408323131005HX0F</v>
      </c>
      <c r="B7466" s="12">
        <f>IFERROR(__xludf.DUMMYFUNCTION("""COMPUTED_VALUE"""),45177.0)</f>
        <v>45177</v>
      </c>
      <c r="C7466" s="13">
        <f>IFERROR(__xludf.DUMMYFUNCTION("""COMPUTED_VALUE"""),0.08333333333333333)</f>
        <v>0.08333333333</v>
      </c>
      <c r="D7466" s="8">
        <f>IFERROR(__xludf.DUMMYFUNCTION("""COMPUTED_VALUE"""),0.027)</f>
        <v>0.027</v>
      </c>
      <c r="E7466" s="8" t="str">
        <f>IFERROR(__xludf.DUMMYFUNCTION("""COMPUTED_VALUE"""),"Real")</f>
        <v>Real</v>
      </c>
      <c r="G7466" s="8">
        <f t="shared" si="1"/>
        <v>9</v>
      </c>
      <c r="H7466" s="14">
        <f t="shared" si="2"/>
        <v>8</v>
      </c>
      <c r="I7466" s="15">
        <f t="shared" si="3"/>
        <v>2</v>
      </c>
    </row>
    <row r="7467">
      <c r="A7467" s="8" t="str">
        <f>IFERROR(__xludf.DUMMYFUNCTION("IF('(INGESTA)Datos_consumo_datadis'!A7467&lt;&gt;"""",SPLIT('(INGESTA)Datos_consumo_datadis'!A:A,"",""),"""")"),"ES0031408323131005HX0F")</f>
        <v>ES0031408323131005HX0F</v>
      </c>
      <c r="B7467" s="12">
        <f>IFERROR(__xludf.DUMMYFUNCTION("""COMPUTED_VALUE"""),45177.0)</f>
        <v>45177</v>
      </c>
      <c r="C7467" s="13">
        <f>IFERROR(__xludf.DUMMYFUNCTION("""COMPUTED_VALUE"""),0.125)</f>
        <v>0.125</v>
      </c>
      <c r="D7467" s="8">
        <f>IFERROR(__xludf.DUMMYFUNCTION("""COMPUTED_VALUE"""),0.045)</f>
        <v>0.045</v>
      </c>
      <c r="E7467" s="8" t="str">
        <f>IFERROR(__xludf.DUMMYFUNCTION("""COMPUTED_VALUE"""),"Real")</f>
        <v>Real</v>
      </c>
      <c r="G7467" s="8">
        <f t="shared" si="1"/>
        <v>9</v>
      </c>
      <c r="H7467" s="14">
        <f t="shared" si="2"/>
        <v>8</v>
      </c>
      <c r="I7467" s="15">
        <f t="shared" si="3"/>
        <v>3</v>
      </c>
    </row>
    <row r="7468">
      <c r="A7468" s="8" t="str">
        <f>IFERROR(__xludf.DUMMYFUNCTION("IF('(INGESTA)Datos_consumo_datadis'!A7468&lt;&gt;"""",SPLIT('(INGESTA)Datos_consumo_datadis'!A:A,"",""),"""")"),"ES0031408323131005HX0F")</f>
        <v>ES0031408323131005HX0F</v>
      </c>
      <c r="B7468" s="12">
        <f>IFERROR(__xludf.DUMMYFUNCTION("""COMPUTED_VALUE"""),45177.0)</f>
        <v>45177</v>
      </c>
      <c r="C7468" s="13">
        <f>IFERROR(__xludf.DUMMYFUNCTION("""COMPUTED_VALUE"""),0.16666666666666666)</f>
        <v>0.1666666667</v>
      </c>
      <c r="D7468" s="8">
        <f>IFERROR(__xludf.DUMMYFUNCTION("""COMPUTED_VALUE"""),0.133)</f>
        <v>0.133</v>
      </c>
      <c r="E7468" s="8" t="str">
        <f>IFERROR(__xludf.DUMMYFUNCTION("""COMPUTED_VALUE"""),"Real")</f>
        <v>Real</v>
      </c>
      <c r="G7468" s="8">
        <f t="shared" si="1"/>
        <v>9</v>
      </c>
      <c r="H7468" s="14">
        <f t="shared" si="2"/>
        <v>8</v>
      </c>
      <c r="I7468" s="15">
        <f t="shared" si="3"/>
        <v>4</v>
      </c>
    </row>
    <row r="7469">
      <c r="A7469" s="8" t="str">
        <f>IFERROR(__xludf.DUMMYFUNCTION("IF('(INGESTA)Datos_consumo_datadis'!A7469&lt;&gt;"""",SPLIT('(INGESTA)Datos_consumo_datadis'!A:A,"",""),"""")"),"ES0031408323131005HX0F")</f>
        <v>ES0031408323131005HX0F</v>
      </c>
      <c r="B7469" s="12">
        <f>IFERROR(__xludf.DUMMYFUNCTION("""COMPUTED_VALUE"""),45177.0)</f>
        <v>45177</v>
      </c>
      <c r="C7469" s="13">
        <f>IFERROR(__xludf.DUMMYFUNCTION("""COMPUTED_VALUE"""),0.20833333333333334)</f>
        <v>0.2083333333</v>
      </c>
      <c r="D7469" s="8">
        <f>IFERROR(__xludf.DUMMYFUNCTION("""COMPUTED_VALUE"""),0.338)</f>
        <v>0.338</v>
      </c>
      <c r="E7469" s="8" t="str">
        <f>IFERROR(__xludf.DUMMYFUNCTION("""COMPUTED_VALUE"""),"Real")</f>
        <v>Real</v>
      </c>
      <c r="G7469" s="8">
        <f t="shared" si="1"/>
        <v>9</v>
      </c>
      <c r="H7469" s="14">
        <f t="shared" si="2"/>
        <v>8</v>
      </c>
      <c r="I7469" s="15">
        <f t="shared" si="3"/>
        <v>5</v>
      </c>
    </row>
    <row r="7470">
      <c r="A7470" s="8" t="str">
        <f>IFERROR(__xludf.DUMMYFUNCTION("IF('(INGESTA)Datos_consumo_datadis'!A7470&lt;&gt;"""",SPLIT('(INGESTA)Datos_consumo_datadis'!A:A,"",""),"""")"),"ES0031408323131005HX0F")</f>
        <v>ES0031408323131005HX0F</v>
      </c>
      <c r="B7470" s="12">
        <f>IFERROR(__xludf.DUMMYFUNCTION("""COMPUTED_VALUE"""),45177.0)</f>
        <v>45177</v>
      </c>
      <c r="C7470" s="13">
        <f>IFERROR(__xludf.DUMMYFUNCTION("""COMPUTED_VALUE"""),0.25)</f>
        <v>0.25</v>
      </c>
      <c r="D7470" s="8">
        <f>IFERROR(__xludf.DUMMYFUNCTION("""COMPUTED_VALUE"""),0.14)</f>
        <v>0.14</v>
      </c>
      <c r="E7470" s="8" t="str">
        <f>IFERROR(__xludf.DUMMYFUNCTION("""COMPUTED_VALUE"""),"Real")</f>
        <v>Real</v>
      </c>
      <c r="G7470" s="8">
        <f t="shared" si="1"/>
        <v>9</v>
      </c>
      <c r="H7470" s="14">
        <f t="shared" si="2"/>
        <v>8</v>
      </c>
      <c r="I7470" s="15">
        <f t="shared" si="3"/>
        <v>6</v>
      </c>
    </row>
    <row r="7471">
      <c r="A7471" s="8" t="str">
        <f>IFERROR(__xludf.DUMMYFUNCTION("IF('(INGESTA)Datos_consumo_datadis'!A7471&lt;&gt;"""",SPLIT('(INGESTA)Datos_consumo_datadis'!A:A,"",""),"""")"),"ES0031408323131005HX0F")</f>
        <v>ES0031408323131005HX0F</v>
      </c>
      <c r="B7471" s="12">
        <f>IFERROR(__xludf.DUMMYFUNCTION("""COMPUTED_VALUE"""),45177.0)</f>
        <v>45177</v>
      </c>
      <c r="C7471" s="13">
        <f>IFERROR(__xludf.DUMMYFUNCTION("""COMPUTED_VALUE"""),0.2916666666666667)</f>
        <v>0.2916666667</v>
      </c>
      <c r="D7471" s="8">
        <f>IFERROR(__xludf.DUMMYFUNCTION("""COMPUTED_VALUE"""),0.095)</f>
        <v>0.095</v>
      </c>
      <c r="E7471" s="8" t="str">
        <f>IFERROR(__xludf.DUMMYFUNCTION("""COMPUTED_VALUE"""),"Real")</f>
        <v>Real</v>
      </c>
      <c r="G7471" s="8">
        <f t="shared" si="1"/>
        <v>9</v>
      </c>
      <c r="H7471" s="14">
        <f t="shared" si="2"/>
        <v>8</v>
      </c>
      <c r="I7471" s="15">
        <f t="shared" si="3"/>
        <v>7</v>
      </c>
    </row>
    <row r="7472">
      <c r="A7472" s="8" t="str">
        <f>IFERROR(__xludf.DUMMYFUNCTION("IF('(INGESTA)Datos_consumo_datadis'!A7472&lt;&gt;"""",SPLIT('(INGESTA)Datos_consumo_datadis'!A:A,"",""),"""")"),"ES0031408323131005HX0F")</f>
        <v>ES0031408323131005HX0F</v>
      </c>
      <c r="B7472" s="12">
        <f>IFERROR(__xludf.DUMMYFUNCTION("""COMPUTED_VALUE"""),45177.0)</f>
        <v>45177</v>
      </c>
      <c r="C7472" s="13">
        <f>IFERROR(__xludf.DUMMYFUNCTION("""COMPUTED_VALUE"""),0.3333333333333333)</f>
        <v>0.3333333333</v>
      </c>
      <c r="D7472" s="8">
        <f>IFERROR(__xludf.DUMMYFUNCTION("""COMPUTED_VALUE"""),0.079)</f>
        <v>0.079</v>
      </c>
      <c r="E7472" s="8" t="str">
        <f>IFERROR(__xludf.DUMMYFUNCTION("""COMPUTED_VALUE"""),"Real")</f>
        <v>Real</v>
      </c>
      <c r="G7472" s="8">
        <f t="shared" si="1"/>
        <v>9</v>
      </c>
      <c r="H7472" s="14">
        <f t="shared" si="2"/>
        <v>8</v>
      </c>
      <c r="I7472" s="15">
        <f t="shared" si="3"/>
        <v>8</v>
      </c>
    </row>
    <row r="7473">
      <c r="A7473" s="8" t="str">
        <f>IFERROR(__xludf.DUMMYFUNCTION("IF('(INGESTA)Datos_consumo_datadis'!A7473&lt;&gt;"""",SPLIT('(INGESTA)Datos_consumo_datadis'!A:A,"",""),"""")"),"ES0031408323131005HX0F")</f>
        <v>ES0031408323131005HX0F</v>
      </c>
      <c r="B7473" s="12">
        <f>IFERROR(__xludf.DUMMYFUNCTION("""COMPUTED_VALUE"""),45177.0)</f>
        <v>45177</v>
      </c>
      <c r="C7473" s="13">
        <f>IFERROR(__xludf.DUMMYFUNCTION("""COMPUTED_VALUE"""),0.375)</f>
        <v>0.375</v>
      </c>
      <c r="D7473" s="8">
        <f>IFERROR(__xludf.DUMMYFUNCTION("""COMPUTED_VALUE"""),0.037)</f>
        <v>0.037</v>
      </c>
      <c r="E7473" s="8" t="str">
        <f>IFERROR(__xludf.DUMMYFUNCTION("""COMPUTED_VALUE"""),"Real")</f>
        <v>Real</v>
      </c>
      <c r="G7473" s="8">
        <f t="shared" si="1"/>
        <v>9</v>
      </c>
      <c r="H7473" s="14">
        <f t="shared" si="2"/>
        <v>8</v>
      </c>
      <c r="I7473" s="15">
        <f t="shared" si="3"/>
        <v>9</v>
      </c>
    </row>
    <row r="7474">
      <c r="A7474" s="8" t="str">
        <f>IFERROR(__xludf.DUMMYFUNCTION("IF('(INGESTA)Datos_consumo_datadis'!A7474&lt;&gt;"""",SPLIT('(INGESTA)Datos_consumo_datadis'!A:A,"",""),"""")"),"ES0031408323131005HX0F")</f>
        <v>ES0031408323131005HX0F</v>
      </c>
      <c r="B7474" s="12">
        <f>IFERROR(__xludf.DUMMYFUNCTION("""COMPUTED_VALUE"""),45177.0)</f>
        <v>45177</v>
      </c>
      <c r="C7474" s="13">
        <f>IFERROR(__xludf.DUMMYFUNCTION("""COMPUTED_VALUE"""),0.4166666666666667)</f>
        <v>0.4166666667</v>
      </c>
      <c r="D7474" s="8">
        <f>IFERROR(__xludf.DUMMYFUNCTION("""COMPUTED_VALUE"""),0.067)</f>
        <v>0.067</v>
      </c>
      <c r="E7474" s="8" t="str">
        <f>IFERROR(__xludf.DUMMYFUNCTION("""COMPUTED_VALUE"""),"Real")</f>
        <v>Real</v>
      </c>
      <c r="G7474" s="8">
        <f t="shared" si="1"/>
        <v>9</v>
      </c>
      <c r="H7474" s="14">
        <f t="shared" si="2"/>
        <v>8</v>
      </c>
      <c r="I7474" s="15">
        <f t="shared" si="3"/>
        <v>10</v>
      </c>
    </row>
    <row r="7475">
      <c r="A7475" s="8" t="str">
        <f>IFERROR(__xludf.DUMMYFUNCTION("IF('(INGESTA)Datos_consumo_datadis'!A7475&lt;&gt;"""",SPLIT('(INGESTA)Datos_consumo_datadis'!A:A,"",""),"""")"),"ES0031408323131005HX0F")</f>
        <v>ES0031408323131005HX0F</v>
      </c>
      <c r="B7475" s="12">
        <f>IFERROR(__xludf.DUMMYFUNCTION("""COMPUTED_VALUE"""),45177.0)</f>
        <v>45177</v>
      </c>
      <c r="C7475" s="13">
        <f>IFERROR(__xludf.DUMMYFUNCTION("""COMPUTED_VALUE"""),0.4583333333333333)</f>
        <v>0.4583333333</v>
      </c>
      <c r="D7475" s="8">
        <f>IFERROR(__xludf.DUMMYFUNCTION("""COMPUTED_VALUE"""),0.132)</f>
        <v>0.132</v>
      </c>
      <c r="E7475" s="8" t="str">
        <f>IFERROR(__xludf.DUMMYFUNCTION("""COMPUTED_VALUE"""),"Real")</f>
        <v>Real</v>
      </c>
      <c r="G7475" s="8">
        <f t="shared" si="1"/>
        <v>9</v>
      </c>
      <c r="H7475" s="14">
        <f t="shared" si="2"/>
        <v>8</v>
      </c>
      <c r="I7475" s="15">
        <f t="shared" si="3"/>
        <v>11</v>
      </c>
    </row>
    <row r="7476">
      <c r="A7476" s="8" t="str">
        <f>IFERROR(__xludf.DUMMYFUNCTION("IF('(INGESTA)Datos_consumo_datadis'!A7476&lt;&gt;"""",SPLIT('(INGESTA)Datos_consumo_datadis'!A:A,"",""),"""")"),"ES0031408323131005HX0F")</f>
        <v>ES0031408323131005HX0F</v>
      </c>
      <c r="B7476" s="12">
        <f>IFERROR(__xludf.DUMMYFUNCTION("""COMPUTED_VALUE"""),45177.0)</f>
        <v>45177</v>
      </c>
      <c r="C7476" s="13">
        <f>IFERROR(__xludf.DUMMYFUNCTION("""COMPUTED_VALUE"""),0.5)</f>
        <v>0.5</v>
      </c>
      <c r="D7476" s="8">
        <f>IFERROR(__xludf.DUMMYFUNCTION("""COMPUTED_VALUE"""),0.128)</f>
        <v>0.128</v>
      </c>
      <c r="E7476" s="8" t="str">
        <f>IFERROR(__xludf.DUMMYFUNCTION("""COMPUTED_VALUE"""),"Real")</f>
        <v>Real</v>
      </c>
      <c r="G7476" s="8">
        <f t="shared" si="1"/>
        <v>9</v>
      </c>
      <c r="H7476" s="14">
        <f t="shared" si="2"/>
        <v>8</v>
      </c>
      <c r="I7476" s="15">
        <f t="shared" si="3"/>
        <v>12</v>
      </c>
    </row>
    <row r="7477">
      <c r="A7477" s="8" t="str">
        <f>IFERROR(__xludf.DUMMYFUNCTION("IF('(INGESTA)Datos_consumo_datadis'!A7477&lt;&gt;"""",SPLIT('(INGESTA)Datos_consumo_datadis'!A:A,"",""),"""")"),"ES0031408323131005HX0F")</f>
        <v>ES0031408323131005HX0F</v>
      </c>
      <c r="B7477" s="12">
        <f>IFERROR(__xludf.DUMMYFUNCTION("""COMPUTED_VALUE"""),45177.0)</f>
        <v>45177</v>
      </c>
      <c r="C7477" s="13">
        <f>IFERROR(__xludf.DUMMYFUNCTION("""COMPUTED_VALUE"""),0.5416666666666666)</f>
        <v>0.5416666667</v>
      </c>
      <c r="D7477" s="8">
        <f>IFERROR(__xludf.DUMMYFUNCTION("""COMPUTED_VALUE"""),0.354)</f>
        <v>0.354</v>
      </c>
      <c r="E7477" s="8" t="str">
        <f>IFERROR(__xludf.DUMMYFUNCTION("""COMPUTED_VALUE"""),"Real")</f>
        <v>Real</v>
      </c>
      <c r="G7477" s="8">
        <f t="shared" si="1"/>
        <v>9</v>
      </c>
      <c r="H7477" s="14">
        <f t="shared" si="2"/>
        <v>8</v>
      </c>
      <c r="I7477" s="15">
        <f t="shared" si="3"/>
        <v>13</v>
      </c>
    </row>
    <row r="7478">
      <c r="A7478" s="8" t="str">
        <f>IFERROR(__xludf.DUMMYFUNCTION("IF('(INGESTA)Datos_consumo_datadis'!A7478&lt;&gt;"""",SPLIT('(INGESTA)Datos_consumo_datadis'!A:A,"",""),"""")"),"ES0031408323131005HX0F")</f>
        <v>ES0031408323131005HX0F</v>
      </c>
      <c r="B7478" s="12">
        <f>IFERROR(__xludf.DUMMYFUNCTION("""COMPUTED_VALUE"""),45177.0)</f>
        <v>45177</v>
      </c>
      <c r="C7478" s="13">
        <f>IFERROR(__xludf.DUMMYFUNCTION("""COMPUTED_VALUE"""),0.5833333333333334)</f>
        <v>0.5833333333</v>
      </c>
      <c r="D7478" s="8">
        <f>IFERROR(__xludf.DUMMYFUNCTION("""COMPUTED_VALUE"""),0.095)</f>
        <v>0.095</v>
      </c>
      <c r="E7478" s="8" t="str">
        <f>IFERROR(__xludf.DUMMYFUNCTION("""COMPUTED_VALUE"""),"Real")</f>
        <v>Real</v>
      </c>
      <c r="G7478" s="8">
        <f t="shared" si="1"/>
        <v>9</v>
      </c>
      <c r="H7478" s="14">
        <f t="shared" si="2"/>
        <v>8</v>
      </c>
      <c r="I7478" s="15">
        <f t="shared" si="3"/>
        <v>14</v>
      </c>
    </row>
    <row r="7479">
      <c r="A7479" s="8" t="str">
        <f>IFERROR(__xludf.DUMMYFUNCTION("IF('(INGESTA)Datos_consumo_datadis'!A7479&lt;&gt;"""",SPLIT('(INGESTA)Datos_consumo_datadis'!A:A,"",""),"""")"),"ES0031408323131005HX0F")</f>
        <v>ES0031408323131005HX0F</v>
      </c>
      <c r="B7479" s="12">
        <f>IFERROR(__xludf.DUMMYFUNCTION("""COMPUTED_VALUE"""),45177.0)</f>
        <v>45177</v>
      </c>
      <c r="C7479" s="13">
        <f>IFERROR(__xludf.DUMMYFUNCTION("""COMPUTED_VALUE"""),0.625)</f>
        <v>0.625</v>
      </c>
      <c r="D7479" s="8">
        <f>IFERROR(__xludf.DUMMYFUNCTION("""COMPUTED_VALUE"""),0.045)</f>
        <v>0.045</v>
      </c>
      <c r="E7479" s="8" t="str">
        <f>IFERROR(__xludf.DUMMYFUNCTION("""COMPUTED_VALUE"""),"Real")</f>
        <v>Real</v>
      </c>
      <c r="G7479" s="8">
        <f t="shared" si="1"/>
        <v>9</v>
      </c>
      <c r="H7479" s="14">
        <f t="shared" si="2"/>
        <v>8</v>
      </c>
      <c r="I7479" s="15">
        <f t="shared" si="3"/>
        <v>15</v>
      </c>
    </row>
    <row r="7480">
      <c r="A7480" s="8" t="str">
        <f>IFERROR(__xludf.DUMMYFUNCTION("IF('(INGESTA)Datos_consumo_datadis'!A7480&lt;&gt;"""",SPLIT('(INGESTA)Datos_consumo_datadis'!A:A,"",""),"""")"),"ES0031408323131005HX0F")</f>
        <v>ES0031408323131005HX0F</v>
      </c>
      <c r="B7480" s="12">
        <f>IFERROR(__xludf.DUMMYFUNCTION("""COMPUTED_VALUE"""),45177.0)</f>
        <v>45177</v>
      </c>
      <c r="C7480" s="13">
        <f>IFERROR(__xludf.DUMMYFUNCTION("""COMPUTED_VALUE"""),0.6666666666666666)</f>
        <v>0.6666666667</v>
      </c>
      <c r="D7480" s="8">
        <f>IFERROR(__xludf.DUMMYFUNCTION("""COMPUTED_VALUE"""),0.028)</f>
        <v>0.028</v>
      </c>
      <c r="E7480" s="8" t="str">
        <f>IFERROR(__xludf.DUMMYFUNCTION("""COMPUTED_VALUE"""),"Real")</f>
        <v>Real</v>
      </c>
      <c r="G7480" s="8">
        <f t="shared" si="1"/>
        <v>9</v>
      </c>
      <c r="H7480" s="14">
        <f t="shared" si="2"/>
        <v>8</v>
      </c>
      <c r="I7480" s="15">
        <f t="shared" si="3"/>
        <v>16</v>
      </c>
    </row>
    <row r="7481">
      <c r="A7481" s="8" t="str">
        <f>IFERROR(__xludf.DUMMYFUNCTION("IF('(INGESTA)Datos_consumo_datadis'!A7481&lt;&gt;"""",SPLIT('(INGESTA)Datos_consumo_datadis'!A:A,"",""),"""")"),"ES0031408323131005HX0F")</f>
        <v>ES0031408323131005HX0F</v>
      </c>
      <c r="B7481" s="12">
        <f>IFERROR(__xludf.DUMMYFUNCTION("""COMPUTED_VALUE"""),45177.0)</f>
        <v>45177</v>
      </c>
      <c r="C7481" s="13">
        <f>IFERROR(__xludf.DUMMYFUNCTION("""COMPUTED_VALUE"""),0.7083333333333334)</f>
        <v>0.7083333333</v>
      </c>
      <c r="D7481" s="8">
        <f>IFERROR(__xludf.DUMMYFUNCTION("""COMPUTED_VALUE"""),0.086)</f>
        <v>0.086</v>
      </c>
      <c r="E7481" s="8" t="str">
        <f>IFERROR(__xludf.DUMMYFUNCTION("""COMPUTED_VALUE"""),"Real")</f>
        <v>Real</v>
      </c>
      <c r="G7481" s="8">
        <f t="shared" si="1"/>
        <v>9</v>
      </c>
      <c r="H7481" s="14">
        <f t="shared" si="2"/>
        <v>8</v>
      </c>
      <c r="I7481" s="15">
        <f t="shared" si="3"/>
        <v>17</v>
      </c>
    </row>
    <row r="7482">
      <c r="A7482" s="8" t="str">
        <f>IFERROR(__xludf.DUMMYFUNCTION("IF('(INGESTA)Datos_consumo_datadis'!A7482&lt;&gt;"""",SPLIT('(INGESTA)Datos_consumo_datadis'!A:A,"",""),"""")"),"ES0031408323131005HX0F")</f>
        <v>ES0031408323131005HX0F</v>
      </c>
      <c r="B7482" s="12">
        <f>IFERROR(__xludf.DUMMYFUNCTION("""COMPUTED_VALUE"""),45177.0)</f>
        <v>45177</v>
      </c>
      <c r="C7482" s="13">
        <f>IFERROR(__xludf.DUMMYFUNCTION("""COMPUTED_VALUE"""),0.75)</f>
        <v>0.75</v>
      </c>
      <c r="D7482" s="8">
        <f>IFERROR(__xludf.DUMMYFUNCTION("""COMPUTED_VALUE"""),0.13)</f>
        <v>0.13</v>
      </c>
      <c r="E7482" s="8" t="str">
        <f>IFERROR(__xludf.DUMMYFUNCTION("""COMPUTED_VALUE"""),"Real")</f>
        <v>Real</v>
      </c>
      <c r="G7482" s="8">
        <f t="shared" si="1"/>
        <v>9</v>
      </c>
      <c r="H7482" s="14">
        <f t="shared" si="2"/>
        <v>8</v>
      </c>
      <c r="I7482" s="15">
        <f t="shared" si="3"/>
        <v>18</v>
      </c>
    </row>
    <row r="7483">
      <c r="A7483" s="8" t="str">
        <f>IFERROR(__xludf.DUMMYFUNCTION("IF('(INGESTA)Datos_consumo_datadis'!A7483&lt;&gt;"""",SPLIT('(INGESTA)Datos_consumo_datadis'!A:A,"",""),"""")"),"ES0031408323131005HX0F")</f>
        <v>ES0031408323131005HX0F</v>
      </c>
      <c r="B7483" s="12">
        <f>IFERROR(__xludf.DUMMYFUNCTION("""COMPUTED_VALUE"""),45177.0)</f>
        <v>45177</v>
      </c>
      <c r="C7483" s="13">
        <f>IFERROR(__xludf.DUMMYFUNCTION("""COMPUTED_VALUE"""),0.7916666666666666)</f>
        <v>0.7916666667</v>
      </c>
      <c r="D7483" s="8">
        <f>IFERROR(__xludf.DUMMYFUNCTION("""COMPUTED_VALUE"""),0.127)</f>
        <v>0.127</v>
      </c>
      <c r="E7483" s="8" t="str">
        <f>IFERROR(__xludf.DUMMYFUNCTION("""COMPUTED_VALUE"""),"Real")</f>
        <v>Real</v>
      </c>
      <c r="G7483" s="8">
        <f t="shared" si="1"/>
        <v>9</v>
      </c>
      <c r="H7483" s="14">
        <f t="shared" si="2"/>
        <v>8</v>
      </c>
      <c r="I7483" s="15">
        <f t="shared" si="3"/>
        <v>19</v>
      </c>
    </row>
    <row r="7484">
      <c r="A7484" s="8" t="str">
        <f>IFERROR(__xludf.DUMMYFUNCTION("IF('(INGESTA)Datos_consumo_datadis'!A7484&lt;&gt;"""",SPLIT('(INGESTA)Datos_consumo_datadis'!A:A,"",""),"""")"),"ES0031408323131005HX0F")</f>
        <v>ES0031408323131005HX0F</v>
      </c>
      <c r="B7484" s="12">
        <f>IFERROR(__xludf.DUMMYFUNCTION("""COMPUTED_VALUE"""),45177.0)</f>
        <v>45177</v>
      </c>
      <c r="C7484" s="13">
        <f>IFERROR(__xludf.DUMMYFUNCTION("""COMPUTED_VALUE"""),0.8333333333333334)</f>
        <v>0.8333333333</v>
      </c>
      <c r="D7484" s="8">
        <f>IFERROR(__xludf.DUMMYFUNCTION("""COMPUTED_VALUE"""),0.326)</f>
        <v>0.326</v>
      </c>
      <c r="E7484" s="8" t="str">
        <f>IFERROR(__xludf.DUMMYFUNCTION("""COMPUTED_VALUE"""),"Real")</f>
        <v>Real</v>
      </c>
      <c r="G7484" s="8">
        <f t="shared" si="1"/>
        <v>9</v>
      </c>
      <c r="H7484" s="14">
        <f t="shared" si="2"/>
        <v>8</v>
      </c>
      <c r="I7484" s="15">
        <f t="shared" si="3"/>
        <v>20</v>
      </c>
    </row>
    <row r="7485">
      <c r="A7485" s="8" t="str">
        <f>IFERROR(__xludf.DUMMYFUNCTION("IF('(INGESTA)Datos_consumo_datadis'!A7485&lt;&gt;"""",SPLIT('(INGESTA)Datos_consumo_datadis'!A:A,"",""),"""")"),"ES0031408323131005HX0F")</f>
        <v>ES0031408323131005HX0F</v>
      </c>
      <c r="B7485" s="12">
        <f>IFERROR(__xludf.DUMMYFUNCTION("""COMPUTED_VALUE"""),45177.0)</f>
        <v>45177</v>
      </c>
      <c r="C7485" s="13">
        <f>IFERROR(__xludf.DUMMYFUNCTION("""COMPUTED_VALUE"""),0.875)</f>
        <v>0.875</v>
      </c>
      <c r="D7485" s="8">
        <f>IFERROR(__xludf.DUMMYFUNCTION("""COMPUTED_VALUE"""),0.098)</f>
        <v>0.098</v>
      </c>
      <c r="E7485" s="8" t="str">
        <f>IFERROR(__xludf.DUMMYFUNCTION("""COMPUTED_VALUE"""),"Real")</f>
        <v>Real</v>
      </c>
      <c r="G7485" s="8">
        <f t="shared" si="1"/>
        <v>9</v>
      </c>
      <c r="H7485" s="14">
        <f t="shared" si="2"/>
        <v>8</v>
      </c>
      <c r="I7485" s="15">
        <f t="shared" si="3"/>
        <v>21</v>
      </c>
    </row>
    <row r="7486">
      <c r="A7486" s="8" t="str">
        <f>IFERROR(__xludf.DUMMYFUNCTION("IF('(INGESTA)Datos_consumo_datadis'!A7486&lt;&gt;"""",SPLIT('(INGESTA)Datos_consumo_datadis'!A:A,"",""),"""")"),"ES0031408323131005HX0F")</f>
        <v>ES0031408323131005HX0F</v>
      </c>
      <c r="B7486" s="12">
        <f>IFERROR(__xludf.DUMMYFUNCTION("""COMPUTED_VALUE"""),45177.0)</f>
        <v>45177</v>
      </c>
      <c r="C7486" s="13">
        <f>IFERROR(__xludf.DUMMYFUNCTION("""COMPUTED_VALUE"""),0.9166666666666666)</f>
        <v>0.9166666667</v>
      </c>
      <c r="D7486" s="8">
        <f>IFERROR(__xludf.DUMMYFUNCTION("""COMPUTED_VALUE"""),0.028)</f>
        <v>0.028</v>
      </c>
      <c r="E7486" s="8" t="str">
        <f>IFERROR(__xludf.DUMMYFUNCTION("""COMPUTED_VALUE"""),"Real")</f>
        <v>Real</v>
      </c>
      <c r="G7486" s="8">
        <f t="shared" si="1"/>
        <v>9</v>
      </c>
      <c r="H7486" s="14">
        <f t="shared" si="2"/>
        <v>8</v>
      </c>
      <c r="I7486" s="15">
        <f t="shared" si="3"/>
        <v>22</v>
      </c>
    </row>
    <row r="7487">
      <c r="A7487" s="8" t="str">
        <f>IFERROR(__xludf.DUMMYFUNCTION("IF('(INGESTA)Datos_consumo_datadis'!A7487&lt;&gt;"""",SPLIT('(INGESTA)Datos_consumo_datadis'!A:A,"",""),"""")"),"ES0031408323131005HX0F")</f>
        <v>ES0031408323131005HX0F</v>
      </c>
      <c r="B7487" s="12">
        <f>IFERROR(__xludf.DUMMYFUNCTION("""COMPUTED_VALUE"""),45177.0)</f>
        <v>45177</v>
      </c>
      <c r="C7487" s="13">
        <f>IFERROR(__xludf.DUMMYFUNCTION("""COMPUTED_VALUE"""),0.9583333333333334)</f>
        <v>0.9583333333</v>
      </c>
      <c r="D7487" s="8">
        <f>IFERROR(__xludf.DUMMYFUNCTION("""COMPUTED_VALUE"""),0.028)</f>
        <v>0.028</v>
      </c>
      <c r="E7487" s="8" t="str">
        <f>IFERROR(__xludf.DUMMYFUNCTION("""COMPUTED_VALUE"""),"Real")</f>
        <v>Real</v>
      </c>
      <c r="G7487" s="8">
        <f t="shared" si="1"/>
        <v>9</v>
      </c>
      <c r="H7487" s="14">
        <f t="shared" si="2"/>
        <v>8</v>
      </c>
      <c r="I7487" s="15">
        <f t="shared" si="3"/>
        <v>23</v>
      </c>
    </row>
    <row r="7488">
      <c r="A7488" s="8" t="str">
        <f>IFERROR(__xludf.DUMMYFUNCTION("IF('(INGESTA)Datos_consumo_datadis'!A7488&lt;&gt;"""",SPLIT('(INGESTA)Datos_consumo_datadis'!A:A,"",""),"""")"),"ES0031408323131005HX0F")</f>
        <v>ES0031408323131005HX0F</v>
      </c>
      <c r="B7488" s="12">
        <f>IFERROR(__xludf.DUMMYFUNCTION("""COMPUTED_VALUE"""),45177.0)</f>
        <v>45177</v>
      </c>
      <c r="C7488" s="16">
        <f>IFERROR(__xludf.DUMMYFUNCTION("""COMPUTED_VALUE"""),1.0)</f>
        <v>1</v>
      </c>
      <c r="D7488" s="8">
        <f>IFERROR(__xludf.DUMMYFUNCTION("""COMPUTED_VALUE"""),0.114)</f>
        <v>0.114</v>
      </c>
      <c r="E7488" s="8" t="str">
        <f>IFERROR(__xludf.DUMMYFUNCTION("""COMPUTED_VALUE"""),"Real")</f>
        <v>Real</v>
      </c>
      <c r="G7488" s="8">
        <f t="shared" si="1"/>
        <v>9</v>
      </c>
      <c r="H7488" s="14">
        <f t="shared" si="2"/>
        <v>8</v>
      </c>
      <c r="I7488" s="15">
        <f t="shared" si="3"/>
        <v>0</v>
      </c>
    </row>
    <row r="7489">
      <c r="A7489" s="8" t="str">
        <f>IFERROR(__xludf.DUMMYFUNCTION("IF('(INGESTA)Datos_consumo_datadis'!A7489&lt;&gt;"""",SPLIT('(INGESTA)Datos_consumo_datadis'!A:A,"",""),"""")"),"ES0031408323131005HX0F")</f>
        <v>ES0031408323131005HX0F</v>
      </c>
      <c r="B7489" s="12">
        <f>IFERROR(__xludf.DUMMYFUNCTION("""COMPUTED_VALUE"""),45178.0)</f>
        <v>45178</v>
      </c>
      <c r="C7489" s="13">
        <f>IFERROR(__xludf.DUMMYFUNCTION("""COMPUTED_VALUE"""),0.041666666666666664)</f>
        <v>0.04166666667</v>
      </c>
      <c r="D7489" s="8">
        <f>IFERROR(__xludf.DUMMYFUNCTION("""COMPUTED_VALUE"""),0.129)</f>
        <v>0.129</v>
      </c>
      <c r="E7489" s="8" t="str">
        <f>IFERROR(__xludf.DUMMYFUNCTION("""COMPUTED_VALUE"""),"Real")</f>
        <v>Real</v>
      </c>
      <c r="G7489" s="8">
        <f t="shared" si="1"/>
        <v>9</v>
      </c>
      <c r="H7489" s="14">
        <f t="shared" si="2"/>
        <v>9</v>
      </c>
      <c r="I7489" s="15">
        <f t="shared" si="3"/>
        <v>1</v>
      </c>
    </row>
    <row r="7490">
      <c r="A7490" s="8" t="str">
        <f>IFERROR(__xludf.DUMMYFUNCTION("IF('(INGESTA)Datos_consumo_datadis'!A7490&lt;&gt;"""",SPLIT('(INGESTA)Datos_consumo_datadis'!A:A,"",""),"""")"),"ES0031408323131005HX0F")</f>
        <v>ES0031408323131005HX0F</v>
      </c>
      <c r="B7490" s="12">
        <f>IFERROR(__xludf.DUMMYFUNCTION("""COMPUTED_VALUE"""),45178.0)</f>
        <v>45178</v>
      </c>
      <c r="C7490" s="13">
        <f>IFERROR(__xludf.DUMMYFUNCTION("""COMPUTED_VALUE"""),0.08333333333333333)</f>
        <v>0.08333333333</v>
      </c>
      <c r="D7490" s="8">
        <f>IFERROR(__xludf.DUMMYFUNCTION("""COMPUTED_VALUE"""),0.107)</f>
        <v>0.107</v>
      </c>
      <c r="E7490" s="8" t="str">
        <f>IFERROR(__xludf.DUMMYFUNCTION("""COMPUTED_VALUE"""),"Real")</f>
        <v>Real</v>
      </c>
      <c r="G7490" s="8">
        <f t="shared" si="1"/>
        <v>9</v>
      </c>
      <c r="H7490" s="14">
        <f t="shared" si="2"/>
        <v>9</v>
      </c>
      <c r="I7490" s="15">
        <f t="shared" si="3"/>
        <v>2</v>
      </c>
    </row>
    <row r="7491">
      <c r="A7491" s="8" t="str">
        <f>IFERROR(__xludf.DUMMYFUNCTION("IF('(INGESTA)Datos_consumo_datadis'!A7491&lt;&gt;"""",SPLIT('(INGESTA)Datos_consumo_datadis'!A:A,"",""),"""")"),"ES0031408323131005HX0F")</f>
        <v>ES0031408323131005HX0F</v>
      </c>
      <c r="B7491" s="12">
        <f>IFERROR(__xludf.DUMMYFUNCTION("""COMPUTED_VALUE"""),45178.0)</f>
        <v>45178</v>
      </c>
      <c r="C7491" s="13">
        <f>IFERROR(__xludf.DUMMYFUNCTION("""COMPUTED_VALUE"""),0.125)</f>
        <v>0.125</v>
      </c>
      <c r="D7491" s="8">
        <f>IFERROR(__xludf.DUMMYFUNCTION("""COMPUTED_VALUE"""),0.343)</f>
        <v>0.343</v>
      </c>
      <c r="E7491" s="8" t="str">
        <f>IFERROR(__xludf.DUMMYFUNCTION("""COMPUTED_VALUE"""),"Real")</f>
        <v>Real</v>
      </c>
      <c r="G7491" s="8">
        <f t="shared" si="1"/>
        <v>9</v>
      </c>
      <c r="H7491" s="14">
        <f t="shared" si="2"/>
        <v>9</v>
      </c>
      <c r="I7491" s="15">
        <f t="shared" si="3"/>
        <v>3</v>
      </c>
    </row>
    <row r="7492">
      <c r="A7492" s="8" t="str">
        <f>IFERROR(__xludf.DUMMYFUNCTION("IF('(INGESTA)Datos_consumo_datadis'!A7492&lt;&gt;"""",SPLIT('(INGESTA)Datos_consumo_datadis'!A:A,"",""),"""")"),"ES0031408323131005HX0F")</f>
        <v>ES0031408323131005HX0F</v>
      </c>
      <c r="B7492" s="12">
        <f>IFERROR(__xludf.DUMMYFUNCTION("""COMPUTED_VALUE"""),45178.0)</f>
        <v>45178</v>
      </c>
      <c r="C7492" s="13">
        <f>IFERROR(__xludf.DUMMYFUNCTION("""COMPUTED_VALUE"""),0.16666666666666666)</f>
        <v>0.1666666667</v>
      </c>
      <c r="D7492" s="8">
        <f>IFERROR(__xludf.DUMMYFUNCTION("""COMPUTED_VALUE"""),0.098)</f>
        <v>0.098</v>
      </c>
      <c r="E7492" s="8" t="str">
        <f>IFERROR(__xludf.DUMMYFUNCTION("""COMPUTED_VALUE"""),"Real")</f>
        <v>Real</v>
      </c>
      <c r="G7492" s="8">
        <f t="shared" si="1"/>
        <v>9</v>
      </c>
      <c r="H7492" s="14">
        <f t="shared" si="2"/>
        <v>9</v>
      </c>
      <c r="I7492" s="15">
        <f t="shared" si="3"/>
        <v>4</v>
      </c>
    </row>
    <row r="7493">
      <c r="A7493" s="8" t="str">
        <f>IFERROR(__xludf.DUMMYFUNCTION("IF('(INGESTA)Datos_consumo_datadis'!A7493&lt;&gt;"""",SPLIT('(INGESTA)Datos_consumo_datadis'!A:A,"",""),"""")"),"ES0031408323131005HX0F")</f>
        <v>ES0031408323131005HX0F</v>
      </c>
      <c r="B7493" s="12">
        <f>IFERROR(__xludf.DUMMYFUNCTION("""COMPUTED_VALUE"""),45178.0)</f>
        <v>45178</v>
      </c>
      <c r="C7493" s="13">
        <f>IFERROR(__xludf.DUMMYFUNCTION("""COMPUTED_VALUE"""),0.20833333333333334)</f>
        <v>0.2083333333</v>
      </c>
      <c r="D7493" s="8">
        <f>IFERROR(__xludf.DUMMYFUNCTION("""COMPUTED_VALUE"""),0.028)</f>
        <v>0.028</v>
      </c>
      <c r="E7493" s="8" t="str">
        <f>IFERROR(__xludf.DUMMYFUNCTION("""COMPUTED_VALUE"""),"Real")</f>
        <v>Real</v>
      </c>
      <c r="G7493" s="8">
        <f t="shared" si="1"/>
        <v>9</v>
      </c>
      <c r="H7493" s="14">
        <f t="shared" si="2"/>
        <v>9</v>
      </c>
      <c r="I7493" s="15">
        <f t="shared" si="3"/>
        <v>5</v>
      </c>
    </row>
    <row r="7494">
      <c r="A7494" s="8" t="str">
        <f>IFERROR(__xludf.DUMMYFUNCTION("IF('(INGESTA)Datos_consumo_datadis'!A7494&lt;&gt;"""",SPLIT('(INGESTA)Datos_consumo_datadis'!A:A,"",""),"""")"),"ES0031408323131005HX0F")</f>
        <v>ES0031408323131005HX0F</v>
      </c>
      <c r="B7494" s="12">
        <f>IFERROR(__xludf.DUMMYFUNCTION("""COMPUTED_VALUE"""),45178.0)</f>
        <v>45178</v>
      </c>
      <c r="C7494" s="13">
        <f>IFERROR(__xludf.DUMMYFUNCTION("""COMPUTED_VALUE"""),0.25)</f>
        <v>0.25</v>
      </c>
      <c r="D7494" s="8">
        <f>IFERROR(__xludf.DUMMYFUNCTION("""COMPUTED_VALUE"""),0.028)</f>
        <v>0.028</v>
      </c>
      <c r="E7494" s="8" t="str">
        <f>IFERROR(__xludf.DUMMYFUNCTION("""COMPUTED_VALUE"""),"Real")</f>
        <v>Real</v>
      </c>
      <c r="G7494" s="8">
        <f t="shared" si="1"/>
        <v>9</v>
      </c>
      <c r="H7494" s="14">
        <f t="shared" si="2"/>
        <v>9</v>
      </c>
      <c r="I7494" s="15">
        <f t="shared" si="3"/>
        <v>6</v>
      </c>
    </row>
    <row r="7495">
      <c r="A7495" s="8" t="str">
        <f>IFERROR(__xludf.DUMMYFUNCTION("IF('(INGESTA)Datos_consumo_datadis'!A7495&lt;&gt;"""",SPLIT('(INGESTA)Datos_consumo_datadis'!A:A,"",""),"""")"),"ES0031408323131005HX0F")</f>
        <v>ES0031408323131005HX0F</v>
      </c>
      <c r="B7495" s="12">
        <f>IFERROR(__xludf.DUMMYFUNCTION("""COMPUTED_VALUE"""),45178.0)</f>
        <v>45178</v>
      </c>
      <c r="C7495" s="13">
        <f>IFERROR(__xludf.DUMMYFUNCTION("""COMPUTED_VALUE"""),0.2916666666666667)</f>
        <v>0.2916666667</v>
      </c>
      <c r="D7495" s="8">
        <f>IFERROR(__xludf.DUMMYFUNCTION("""COMPUTED_VALUE"""),0.134)</f>
        <v>0.134</v>
      </c>
      <c r="E7495" s="8" t="str">
        <f>IFERROR(__xludf.DUMMYFUNCTION("""COMPUTED_VALUE"""),"Real")</f>
        <v>Real</v>
      </c>
      <c r="G7495" s="8">
        <f t="shared" si="1"/>
        <v>9</v>
      </c>
      <c r="H7495" s="14">
        <f t="shared" si="2"/>
        <v>9</v>
      </c>
      <c r="I7495" s="15">
        <f t="shared" si="3"/>
        <v>7</v>
      </c>
    </row>
    <row r="7496">
      <c r="A7496" s="8" t="str">
        <f>IFERROR(__xludf.DUMMYFUNCTION("IF('(INGESTA)Datos_consumo_datadis'!A7496&lt;&gt;"""",SPLIT('(INGESTA)Datos_consumo_datadis'!A:A,"",""),"""")"),"ES0031408323131005HX0F")</f>
        <v>ES0031408323131005HX0F</v>
      </c>
      <c r="B7496" s="12">
        <f>IFERROR(__xludf.DUMMYFUNCTION("""COMPUTED_VALUE"""),45178.0)</f>
        <v>45178</v>
      </c>
      <c r="C7496" s="13">
        <f>IFERROR(__xludf.DUMMYFUNCTION("""COMPUTED_VALUE"""),0.3333333333333333)</f>
        <v>0.3333333333</v>
      </c>
      <c r="D7496" s="8">
        <f>IFERROR(__xludf.DUMMYFUNCTION("""COMPUTED_VALUE"""),0.128)</f>
        <v>0.128</v>
      </c>
      <c r="E7496" s="8" t="str">
        <f>IFERROR(__xludf.DUMMYFUNCTION("""COMPUTED_VALUE"""),"Real")</f>
        <v>Real</v>
      </c>
      <c r="G7496" s="8">
        <f t="shared" si="1"/>
        <v>9</v>
      </c>
      <c r="H7496" s="14">
        <f t="shared" si="2"/>
        <v>9</v>
      </c>
      <c r="I7496" s="15">
        <f t="shared" si="3"/>
        <v>8</v>
      </c>
    </row>
    <row r="7497">
      <c r="A7497" s="8" t="str">
        <f>IFERROR(__xludf.DUMMYFUNCTION("IF('(INGESTA)Datos_consumo_datadis'!A7497&lt;&gt;"""",SPLIT('(INGESTA)Datos_consumo_datadis'!A:A,"",""),"""")"),"ES0031408323131005HX0F")</f>
        <v>ES0031408323131005HX0F</v>
      </c>
      <c r="B7497" s="12">
        <f>IFERROR(__xludf.DUMMYFUNCTION("""COMPUTED_VALUE"""),45178.0)</f>
        <v>45178</v>
      </c>
      <c r="C7497" s="13">
        <f>IFERROR(__xludf.DUMMYFUNCTION("""COMPUTED_VALUE"""),0.375)</f>
        <v>0.375</v>
      </c>
      <c r="D7497" s="8">
        <f>IFERROR(__xludf.DUMMYFUNCTION("""COMPUTED_VALUE"""),0.097)</f>
        <v>0.097</v>
      </c>
      <c r="E7497" s="8" t="str">
        <f>IFERROR(__xludf.DUMMYFUNCTION("""COMPUTED_VALUE"""),"Real")</f>
        <v>Real</v>
      </c>
      <c r="G7497" s="8">
        <f t="shared" si="1"/>
        <v>9</v>
      </c>
      <c r="H7497" s="14">
        <f t="shared" si="2"/>
        <v>9</v>
      </c>
      <c r="I7497" s="15">
        <f t="shared" si="3"/>
        <v>9</v>
      </c>
    </row>
    <row r="7498">
      <c r="A7498" s="8" t="str">
        <f>IFERROR(__xludf.DUMMYFUNCTION("IF('(INGESTA)Datos_consumo_datadis'!A7498&lt;&gt;"""",SPLIT('(INGESTA)Datos_consumo_datadis'!A:A,"",""),"""")"),"ES0031408323131005HX0F")</f>
        <v>ES0031408323131005HX0F</v>
      </c>
      <c r="B7498" s="12">
        <f>IFERROR(__xludf.DUMMYFUNCTION("""COMPUTED_VALUE"""),45178.0)</f>
        <v>45178</v>
      </c>
      <c r="C7498" s="13">
        <f>IFERROR(__xludf.DUMMYFUNCTION("""COMPUTED_VALUE"""),0.4166666666666667)</f>
        <v>0.4166666667</v>
      </c>
      <c r="D7498" s="8">
        <f>IFERROR(__xludf.DUMMYFUNCTION("""COMPUTED_VALUE"""),0.093)</f>
        <v>0.093</v>
      </c>
      <c r="E7498" s="8" t="str">
        <f>IFERROR(__xludf.DUMMYFUNCTION("""COMPUTED_VALUE"""),"Real")</f>
        <v>Real</v>
      </c>
      <c r="G7498" s="8">
        <f t="shared" si="1"/>
        <v>9</v>
      </c>
      <c r="H7498" s="14">
        <f t="shared" si="2"/>
        <v>9</v>
      </c>
      <c r="I7498" s="15">
        <f t="shared" si="3"/>
        <v>10</v>
      </c>
    </row>
    <row r="7499">
      <c r="A7499" s="8" t="str">
        <f>IFERROR(__xludf.DUMMYFUNCTION("IF('(INGESTA)Datos_consumo_datadis'!A7499&lt;&gt;"""",SPLIT('(INGESTA)Datos_consumo_datadis'!A:A,"",""),"""")"),"ES0031408323131005HX0F")</f>
        <v>ES0031408323131005HX0F</v>
      </c>
      <c r="B7499" s="12">
        <f>IFERROR(__xludf.DUMMYFUNCTION("""COMPUTED_VALUE"""),45178.0)</f>
        <v>45178</v>
      </c>
      <c r="C7499" s="13">
        <f>IFERROR(__xludf.DUMMYFUNCTION("""COMPUTED_VALUE"""),0.4583333333333333)</f>
        <v>0.4583333333</v>
      </c>
      <c r="D7499" s="8">
        <f>IFERROR(__xludf.DUMMYFUNCTION("""COMPUTED_VALUE"""),0.314)</f>
        <v>0.314</v>
      </c>
      <c r="E7499" s="8" t="str">
        <f>IFERROR(__xludf.DUMMYFUNCTION("""COMPUTED_VALUE"""),"Real")</f>
        <v>Real</v>
      </c>
      <c r="G7499" s="8">
        <f t="shared" si="1"/>
        <v>9</v>
      </c>
      <c r="H7499" s="14">
        <f t="shared" si="2"/>
        <v>9</v>
      </c>
      <c r="I7499" s="15">
        <f t="shared" si="3"/>
        <v>11</v>
      </c>
    </row>
    <row r="7500">
      <c r="A7500" s="8" t="str">
        <f>IFERROR(__xludf.DUMMYFUNCTION("IF('(INGESTA)Datos_consumo_datadis'!A7500&lt;&gt;"""",SPLIT('(INGESTA)Datos_consumo_datadis'!A:A,"",""),"""")"),"ES0031408323131005HX0F")</f>
        <v>ES0031408323131005HX0F</v>
      </c>
      <c r="B7500" s="12">
        <f>IFERROR(__xludf.DUMMYFUNCTION("""COMPUTED_VALUE"""),45178.0)</f>
        <v>45178</v>
      </c>
      <c r="C7500" s="13">
        <f>IFERROR(__xludf.DUMMYFUNCTION("""COMPUTED_VALUE"""),0.5)</f>
        <v>0.5</v>
      </c>
      <c r="D7500" s="8">
        <f>IFERROR(__xludf.DUMMYFUNCTION("""COMPUTED_VALUE"""),0.028)</f>
        <v>0.028</v>
      </c>
      <c r="E7500" s="8" t="str">
        <f>IFERROR(__xludf.DUMMYFUNCTION("""COMPUTED_VALUE"""),"Real")</f>
        <v>Real</v>
      </c>
      <c r="G7500" s="8">
        <f t="shared" si="1"/>
        <v>9</v>
      </c>
      <c r="H7500" s="14">
        <f t="shared" si="2"/>
        <v>9</v>
      </c>
      <c r="I7500" s="15">
        <f t="shared" si="3"/>
        <v>12</v>
      </c>
    </row>
    <row r="7501">
      <c r="A7501" s="8" t="str">
        <f>IFERROR(__xludf.DUMMYFUNCTION("IF('(INGESTA)Datos_consumo_datadis'!A7501&lt;&gt;"""",SPLIT('(INGESTA)Datos_consumo_datadis'!A:A,"",""),"""")"),"ES0031408323131005HX0F")</f>
        <v>ES0031408323131005HX0F</v>
      </c>
      <c r="B7501" s="12">
        <f>IFERROR(__xludf.DUMMYFUNCTION("""COMPUTED_VALUE"""),45178.0)</f>
        <v>45178</v>
      </c>
      <c r="C7501" s="13">
        <f>IFERROR(__xludf.DUMMYFUNCTION("""COMPUTED_VALUE"""),0.5416666666666666)</f>
        <v>0.5416666667</v>
      </c>
      <c r="D7501" s="8">
        <f>IFERROR(__xludf.DUMMYFUNCTION("""COMPUTED_VALUE"""),0.061)</f>
        <v>0.061</v>
      </c>
      <c r="E7501" s="8" t="str">
        <f>IFERROR(__xludf.DUMMYFUNCTION("""COMPUTED_VALUE"""),"Real")</f>
        <v>Real</v>
      </c>
      <c r="G7501" s="8">
        <f t="shared" si="1"/>
        <v>9</v>
      </c>
      <c r="H7501" s="14">
        <f t="shared" si="2"/>
        <v>9</v>
      </c>
      <c r="I7501" s="15">
        <f t="shared" si="3"/>
        <v>13</v>
      </c>
    </row>
    <row r="7502">
      <c r="A7502" s="8" t="str">
        <f>IFERROR(__xludf.DUMMYFUNCTION("IF('(INGESTA)Datos_consumo_datadis'!A7502&lt;&gt;"""",SPLIT('(INGESTA)Datos_consumo_datadis'!A:A,"",""),"""")"),"ES0031408323131005HX0F")</f>
        <v>ES0031408323131005HX0F</v>
      </c>
      <c r="B7502" s="12">
        <f>IFERROR(__xludf.DUMMYFUNCTION("""COMPUTED_VALUE"""),45178.0)</f>
        <v>45178</v>
      </c>
      <c r="C7502" s="13">
        <f>IFERROR(__xludf.DUMMYFUNCTION("""COMPUTED_VALUE"""),0.5833333333333334)</f>
        <v>0.5833333333</v>
      </c>
      <c r="D7502" s="8">
        <f>IFERROR(__xludf.DUMMYFUNCTION("""COMPUTED_VALUE"""),0.131)</f>
        <v>0.131</v>
      </c>
      <c r="E7502" s="8" t="str">
        <f>IFERROR(__xludf.DUMMYFUNCTION("""COMPUTED_VALUE"""),"Real")</f>
        <v>Real</v>
      </c>
      <c r="G7502" s="8">
        <f t="shared" si="1"/>
        <v>9</v>
      </c>
      <c r="H7502" s="14">
        <f t="shared" si="2"/>
        <v>9</v>
      </c>
      <c r="I7502" s="15">
        <f t="shared" si="3"/>
        <v>14</v>
      </c>
    </row>
    <row r="7503">
      <c r="A7503" s="8" t="str">
        <f>IFERROR(__xludf.DUMMYFUNCTION("IF('(INGESTA)Datos_consumo_datadis'!A7503&lt;&gt;"""",SPLIT('(INGESTA)Datos_consumo_datadis'!A:A,"",""),"""")"),"ES0031408323131005HX0F")</f>
        <v>ES0031408323131005HX0F</v>
      </c>
      <c r="B7503" s="12">
        <f>IFERROR(__xludf.DUMMYFUNCTION("""COMPUTED_VALUE"""),45178.0)</f>
        <v>45178</v>
      </c>
      <c r="C7503" s="13">
        <f>IFERROR(__xludf.DUMMYFUNCTION("""COMPUTED_VALUE"""),0.625)</f>
        <v>0.625</v>
      </c>
      <c r="D7503" s="8">
        <f>IFERROR(__xludf.DUMMYFUNCTION("""COMPUTED_VALUE"""),0.128)</f>
        <v>0.128</v>
      </c>
      <c r="E7503" s="8" t="str">
        <f>IFERROR(__xludf.DUMMYFUNCTION("""COMPUTED_VALUE"""),"Real")</f>
        <v>Real</v>
      </c>
      <c r="G7503" s="8">
        <f t="shared" si="1"/>
        <v>9</v>
      </c>
      <c r="H7503" s="14">
        <f t="shared" si="2"/>
        <v>9</v>
      </c>
      <c r="I7503" s="15">
        <f t="shared" si="3"/>
        <v>15</v>
      </c>
    </row>
    <row r="7504">
      <c r="A7504" s="8" t="str">
        <f>IFERROR(__xludf.DUMMYFUNCTION("IF('(INGESTA)Datos_consumo_datadis'!A7504&lt;&gt;"""",SPLIT('(INGESTA)Datos_consumo_datadis'!A:A,"",""),"""")"),"ES0031408323131005HX0F")</f>
        <v>ES0031408323131005HX0F</v>
      </c>
      <c r="B7504" s="12">
        <f>IFERROR(__xludf.DUMMYFUNCTION("""COMPUTED_VALUE"""),45178.0)</f>
        <v>45178</v>
      </c>
      <c r="C7504" s="13">
        <f>IFERROR(__xludf.DUMMYFUNCTION("""COMPUTED_VALUE"""),0.6666666666666666)</f>
        <v>0.6666666667</v>
      </c>
      <c r="D7504" s="8">
        <f>IFERROR(__xludf.DUMMYFUNCTION("""COMPUTED_VALUE"""),0.097)</f>
        <v>0.097</v>
      </c>
      <c r="E7504" s="8" t="str">
        <f>IFERROR(__xludf.DUMMYFUNCTION("""COMPUTED_VALUE"""),"Real")</f>
        <v>Real</v>
      </c>
      <c r="G7504" s="8">
        <f t="shared" si="1"/>
        <v>9</v>
      </c>
      <c r="H7504" s="14">
        <f t="shared" si="2"/>
        <v>9</v>
      </c>
      <c r="I7504" s="15">
        <f t="shared" si="3"/>
        <v>16</v>
      </c>
    </row>
    <row r="7505">
      <c r="A7505" s="8" t="str">
        <f>IFERROR(__xludf.DUMMYFUNCTION("IF('(INGESTA)Datos_consumo_datadis'!A7505&lt;&gt;"""",SPLIT('(INGESTA)Datos_consumo_datadis'!A:A,"",""),"""")"),"ES0031408323131005HX0F")</f>
        <v>ES0031408323131005HX0F</v>
      </c>
      <c r="B7505" s="12">
        <f>IFERROR(__xludf.DUMMYFUNCTION("""COMPUTED_VALUE"""),45178.0)</f>
        <v>45178</v>
      </c>
      <c r="C7505" s="13">
        <f>IFERROR(__xludf.DUMMYFUNCTION("""COMPUTED_VALUE"""),0.7083333333333334)</f>
        <v>0.7083333333</v>
      </c>
      <c r="D7505" s="8">
        <f>IFERROR(__xludf.DUMMYFUNCTION("""COMPUTED_VALUE"""),0.093)</f>
        <v>0.093</v>
      </c>
      <c r="E7505" s="8" t="str">
        <f>IFERROR(__xludf.DUMMYFUNCTION("""COMPUTED_VALUE"""),"Real")</f>
        <v>Real</v>
      </c>
      <c r="G7505" s="8">
        <f t="shared" si="1"/>
        <v>9</v>
      </c>
      <c r="H7505" s="14">
        <f t="shared" si="2"/>
        <v>9</v>
      </c>
      <c r="I7505" s="15">
        <f t="shared" si="3"/>
        <v>17</v>
      </c>
    </row>
    <row r="7506">
      <c r="A7506" s="8" t="str">
        <f>IFERROR(__xludf.DUMMYFUNCTION("IF('(INGESTA)Datos_consumo_datadis'!A7506&lt;&gt;"""",SPLIT('(INGESTA)Datos_consumo_datadis'!A:A,"",""),"""")"),"ES0031408323131005HX0F")</f>
        <v>ES0031408323131005HX0F</v>
      </c>
      <c r="B7506" s="12">
        <f>IFERROR(__xludf.DUMMYFUNCTION("""COMPUTED_VALUE"""),45178.0)</f>
        <v>45178</v>
      </c>
      <c r="C7506" s="13">
        <f>IFERROR(__xludf.DUMMYFUNCTION("""COMPUTED_VALUE"""),0.75)</f>
        <v>0.75</v>
      </c>
      <c r="D7506" s="8">
        <f>IFERROR(__xludf.DUMMYFUNCTION("""COMPUTED_VALUE"""),0.293)</f>
        <v>0.293</v>
      </c>
      <c r="E7506" s="8" t="str">
        <f>IFERROR(__xludf.DUMMYFUNCTION("""COMPUTED_VALUE"""),"Real")</f>
        <v>Real</v>
      </c>
      <c r="G7506" s="8">
        <f t="shared" si="1"/>
        <v>9</v>
      </c>
      <c r="H7506" s="14">
        <f t="shared" si="2"/>
        <v>9</v>
      </c>
      <c r="I7506" s="15">
        <f t="shared" si="3"/>
        <v>18</v>
      </c>
    </row>
    <row r="7507">
      <c r="A7507" s="8" t="str">
        <f>IFERROR(__xludf.DUMMYFUNCTION("IF('(INGESTA)Datos_consumo_datadis'!A7507&lt;&gt;"""",SPLIT('(INGESTA)Datos_consumo_datadis'!A:A,"",""),"""")"),"ES0031408323131005HX0F")</f>
        <v>ES0031408323131005HX0F</v>
      </c>
      <c r="B7507" s="12">
        <f>IFERROR(__xludf.DUMMYFUNCTION("""COMPUTED_VALUE"""),45178.0)</f>
        <v>45178</v>
      </c>
      <c r="C7507" s="13">
        <f>IFERROR(__xludf.DUMMYFUNCTION("""COMPUTED_VALUE"""),0.7916666666666666)</f>
        <v>0.7916666667</v>
      </c>
      <c r="D7507" s="8">
        <f>IFERROR(__xludf.DUMMYFUNCTION("""COMPUTED_VALUE"""),0.027)</f>
        <v>0.027</v>
      </c>
      <c r="E7507" s="8" t="str">
        <f>IFERROR(__xludf.DUMMYFUNCTION("""COMPUTED_VALUE"""),"Real")</f>
        <v>Real</v>
      </c>
      <c r="G7507" s="8">
        <f t="shared" si="1"/>
        <v>9</v>
      </c>
      <c r="H7507" s="14">
        <f t="shared" si="2"/>
        <v>9</v>
      </c>
      <c r="I7507" s="15">
        <f t="shared" si="3"/>
        <v>19</v>
      </c>
    </row>
    <row r="7508">
      <c r="A7508" s="8" t="str">
        <f>IFERROR(__xludf.DUMMYFUNCTION("IF('(INGESTA)Datos_consumo_datadis'!A7508&lt;&gt;"""",SPLIT('(INGESTA)Datos_consumo_datadis'!A:A,"",""),"""")"),"ES0031408323131005HX0F")</f>
        <v>ES0031408323131005HX0F</v>
      </c>
      <c r="B7508" s="12">
        <f>IFERROR(__xludf.DUMMYFUNCTION("""COMPUTED_VALUE"""),45178.0)</f>
        <v>45178</v>
      </c>
      <c r="C7508" s="13">
        <f>IFERROR(__xludf.DUMMYFUNCTION("""COMPUTED_VALUE"""),0.8333333333333334)</f>
        <v>0.8333333333</v>
      </c>
      <c r="D7508" s="8">
        <f>IFERROR(__xludf.DUMMYFUNCTION("""COMPUTED_VALUE"""),0.091)</f>
        <v>0.091</v>
      </c>
      <c r="E7508" s="8" t="str">
        <f>IFERROR(__xludf.DUMMYFUNCTION("""COMPUTED_VALUE"""),"Real")</f>
        <v>Real</v>
      </c>
      <c r="G7508" s="8">
        <f t="shared" si="1"/>
        <v>9</v>
      </c>
      <c r="H7508" s="14">
        <f t="shared" si="2"/>
        <v>9</v>
      </c>
      <c r="I7508" s="15">
        <f t="shared" si="3"/>
        <v>20</v>
      </c>
    </row>
    <row r="7509">
      <c r="A7509" s="8" t="str">
        <f>IFERROR(__xludf.DUMMYFUNCTION("IF('(INGESTA)Datos_consumo_datadis'!A7509&lt;&gt;"""",SPLIT('(INGESTA)Datos_consumo_datadis'!A:A,"",""),"""")"),"ES0031408323131005HX0F")</f>
        <v>ES0031408323131005HX0F</v>
      </c>
      <c r="B7509" s="12">
        <f>IFERROR(__xludf.DUMMYFUNCTION("""COMPUTED_VALUE"""),45178.0)</f>
        <v>45178</v>
      </c>
      <c r="C7509" s="13">
        <f>IFERROR(__xludf.DUMMYFUNCTION("""COMPUTED_VALUE"""),0.875)</f>
        <v>0.875</v>
      </c>
      <c r="D7509" s="8">
        <f>IFERROR(__xludf.DUMMYFUNCTION("""COMPUTED_VALUE"""),0.129)</f>
        <v>0.129</v>
      </c>
      <c r="E7509" s="8" t="str">
        <f>IFERROR(__xludf.DUMMYFUNCTION("""COMPUTED_VALUE"""),"Real")</f>
        <v>Real</v>
      </c>
      <c r="G7509" s="8">
        <f t="shared" si="1"/>
        <v>9</v>
      </c>
      <c r="H7509" s="14">
        <f t="shared" si="2"/>
        <v>9</v>
      </c>
      <c r="I7509" s="15">
        <f t="shared" si="3"/>
        <v>21</v>
      </c>
    </row>
    <row r="7510">
      <c r="A7510" s="8" t="str">
        <f>IFERROR(__xludf.DUMMYFUNCTION("IF('(INGESTA)Datos_consumo_datadis'!A7510&lt;&gt;"""",SPLIT('(INGESTA)Datos_consumo_datadis'!A:A,"",""),"""")"),"ES0031408323131005HX0F")</f>
        <v>ES0031408323131005HX0F</v>
      </c>
      <c r="B7510" s="12">
        <f>IFERROR(__xludf.DUMMYFUNCTION("""COMPUTED_VALUE"""),45178.0)</f>
        <v>45178</v>
      </c>
      <c r="C7510" s="13">
        <f>IFERROR(__xludf.DUMMYFUNCTION("""COMPUTED_VALUE"""),0.9166666666666666)</f>
        <v>0.9166666667</v>
      </c>
      <c r="D7510" s="8">
        <f>IFERROR(__xludf.DUMMYFUNCTION("""COMPUTED_VALUE"""),0.118)</f>
        <v>0.118</v>
      </c>
      <c r="E7510" s="8" t="str">
        <f>IFERROR(__xludf.DUMMYFUNCTION("""COMPUTED_VALUE"""),"Real")</f>
        <v>Real</v>
      </c>
      <c r="G7510" s="8">
        <f t="shared" si="1"/>
        <v>9</v>
      </c>
      <c r="H7510" s="14">
        <f t="shared" si="2"/>
        <v>9</v>
      </c>
      <c r="I7510" s="15">
        <f t="shared" si="3"/>
        <v>22</v>
      </c>
    </row>
    <row r="7511">
      <c r="A7511" s="8" t="str">
        <f>IFERROR(__xludf.DUMMYFUNCTION("IF('(INGESTA)Datos_consumo_datadis'!A7511&lt;&gt;"""",SPLIT('(INGESTA)Datos_consumo_datadis'!A:A,"",""),"""")"),"ES0031408323131005HX0F")</f>
        <v>ES0031408323131005HX0F</v>
      </c>
      <c r="B7511" s="12">
        <f>IFERROR(__xludf.DUMMYFUNCTION("""COMPUTED_VALUE"""),45178.0)</f>
        <v>45178</v>
      </c>
      <c r="C7511" s="13">
        <f>IFERROR(__xludf.DUMMYFUNCTION("""COMPUTED_VALUE"""),0.9583333333333334)</f>
        <v>0.9583333333</v>
      </c>
      <c r="D7511" s="8">
        <f>IFERROR(__xludf.DUMMYFUNCTION("""COMPUTED_VALUE"""),0.086)</f>
        <v>0.086</v>
      </c>
      <c r="E7511" s="8" t="str">
        <f>IFERROR(__xludf.DUMMYFUNCTION("""COMPUTED_VALUE"""),"Real")</f>
        <v>Real</v>
      </c>
      <c r="G7511" s="8">
        <f t="shared" si="1"/>
        <v>9</v>
      </c>
      <c r="H7511" s="14">
        <f t="shared" si="2"/>
        <v>9</v>
      </c>
      <c r="I7511" s="15">
        <f t="shared" si="3"/>
        <v>23</v>
      </c>
    </row>
    <row r="7512">
      <c r="A7512" s="8" t="str">
        <f>IFERROR(__xludf.DUMMYFUNCTION("IF('(INGESTA)Datos_consumo_datadis'!A7512&lt;&gt;"""",SPLIT('(INGESTA)Datos_consumo_datadis'!A:A,"",""),"""")"),"ES0031408323131005HX0F")</f>
        <v>ES0031408323131005HX0F</v>
      </c>
      <c r="B7512" s="12">
        <f>IFERROR(__xludf.DUMMYFUNCTION("""COMPUTED_VALUE"""),45178.0)</f>
        <v>45178</v>
      </c>
      <c r="C7512" s="16">
        <f>IFERROR(__xludf.DUMMYFUNCTION("""COMPUTED_VALUE"""),1.0)</f>
        <v>1</v>
      </c>
      <c r="D7512" s="8">
        <f>IFERROR(__xludf.DUMMYFUNCTION("""COMPUTED_VALUE"""),0.099)</f>
        <v>0.099</v>
      </c>
      <c r="E7512" s="8" t="str">
        <f>IFERROR(__xludf.DUMMYFUNCTION("""COMPUTED_VALUE"""),"Real")</f>
        <v>Real</v>
      </c>
      <c r="G7512" s="8">
        <f t="shared" si="1"/>
        <v>9</v>
      </c>
      <c r="H7512" s="14">
        <f t="shared" si="2"/>
        <v>9</v>
      </c>
      <c r="I7512" s="15">
        <f t="shared" si="3"/>
        <v>0</v>
      </c>
    </row>
    <row r="7513">
      <c r="A7513" s="8" t="str">
        <f>IFERROR(__xludf.DUMMYFUNCTION("IF('(INGESTA)Datos_consumo_datadis'!A7513&lt;&gt;"""",SPLIT('(INGESTA)Datos_consumo_datadis'!A:A,"",""),"""")"),"ES0031408323131005HX0F")</f>
        <v>ES0031408323131005HX0F</v>
      </c>
      <c r="B7513" s="12">
        <f>IFERROR(__xludf.DUMMYFUNCTION("""COMPUTED_VALUE"""),45179.0)</f>
        <v>45179</v>
      </c>
      <c r="C7513" s="13">
        <f>IFERROR(__xludf.DUMMYFUNCTION("""COMPUTED_VALUE"""),0.041666666666666664)</f>
        <v>0.04166666667</v>
      </c>
      <c r="D7513" s="8">
        <f>IFERROR(__xludf.DUMMYFUNCTION("""COMPUTED_VALUE"""),0.289)</f>
        <v>0.289</v>
      </c>
      <c r="E7513" s="8" t="str">
        <f>IFERROR(__xludf.DUMMYFUNCTION("""COMPUTED_VALUE"""),"Real")</f>
        <v>Real</v>
      </c>
      <c r="G7513" s="8">
        <f t="shared" si="1"/>
        <v>9</v>
      </c>
      <c r="H7513" s="14">
        <f t="shared" si="2"/>
        <v>10</v>
      </c>
      <c r="I7513" s="15">
        <f t="shared" si="3"/>
        <v>1</v>
      </c>
    </row>
    <row r="7514">
      <c r="A7514" s="8" t="str">
        <f>IFERROR(__xludf.DUMMYFUNCTION("IF('(INGESTA)Datos_consumo_datadis'!A7514&lt;&gt;"""",SPLIT('(INGESTA)Datos_consumo_datadis'!A:A,"",""),"""")"),"ES0031408323131005HX0F")</f>
        <v>ES0031408323131005HX0F</v>
      </c>
      <c r="B7514" s="12">
        <f>IFERROR(__xludf.DUMMYFUNCTION("""COMPUTED_VALUE"""),45179.0)</f>
        <v>45179</v>
      </c>
      <c r="C7514" s="13">
        <f>IFERROR(__xludf.DUMMYFUNCTION("""COMPUTED_VALUE"""),0.08333333333333333)</f>
        <v>0.08333333333</v>
      </c>
      <c r="D7514" s="8">
        <f>IFERROR(__xludf.DUMMYFUNCTION("""COMPUTED_VALUE"""),0.027)</f>
        <v>0.027</v>
      </c>
      <c r="E7514" s="8" t="str">
        <f>IFERROR(__xludf.DUMMYFUNCTION("""COMPUTED_VALUE"""),"Real")</f>
        <v>Real</v>
      </c>
      <c r="G7514" s="8">
        <f t="shared" si="1"/>
        <v>9</v>
      </c>
      <c r="H7514" s="14">
        <f t="shared" si="2"/>
        <v>10</v>
      </c>
      <c r="I7514" s="15">
        <f t="shared" si="3"/>
        <v>2</v>
      </c>
    </row>
    <row r="7515">
      <c r="A7515" s="8" t="str">
        <f>IFERROR(__xludf.DUMMYFUNCTION("IF('(INGESTA)Datos_consumo_datadis'!A7515&lt;&gt;"""",SPLIT('(INGESTA)Datos_consumo_datadis'!A:A,"",""),"""")"),"ES0031408323131005HX0F")</f>
        <v>ES0031408323131005HX0F</v>
      </c>
      <c r="B7515" s="12">
        <f>IFERROR(__xludf.DUMMYFUNCTION("""COMPUTED_VALUE"""),45179.0)</f>
        <v>45179</v>
      </c>
      <c r="C7515" s="13">
        <f>IFERROR(__xludf.DUMMYFUNCTION("""COMPUTED_VALUE"""),0.125)</f>
        <v>0.125</v>
      </c>
      <c r="D7515" s="8">
        <f>IFERROR(__xludf.DUMMYFUNCTION("""COMPUTED_VALUE"""),0.12)</f>
        <v>0.12</v>
      </c>
      <c r="E7515" s="8" t="str">
        <f>IFERROR(__xludf.DUMMYFUNCTION("""COMPUTED_VALUE"""),"Real")</f>
        <v>Real</v>
      </c>
      <c r="G7515" s="8">
        <f t="shared" si="1"/>
        <v>9</v>
      </c>
      <c r="H7515" s="14">
        <f t="shared" si="2"/>
        <v>10</v>
      </c>
      <c r="I7515" s="15">
        <f t="shared" si="3"/>
        <v>3</v>
      </c>
    </row>
    <row r="7516">
      <c r="A7516" s="8" t="str">
        <f>IFERROR(__xludf.DUMMYFUNCTION("IF('(INGESTA)Datos_consumo_datadis'!A7516&lt;&gt;"""",SPLIT('(INGESTA)Datos_consumo_datadis'!A:A,"",""),"""")"),"ES0031408323131005HX0F")</f>
        <v>ES0031408323131005HX0F</v>
      </c>
      <c r="B7516" s="12">
        <f>IFERROR(__xludf.DUMMYFUNCTION("""COMPUTED_VALUE"""),45179.0)</f>
        <v>45179</v>
      </c>
      <c r="C7516" s="13">
        <f>IFERROR(__xludf.DUMMYFUNCTION("""COMPUTED_VALUE"""),0.16666666666666666)</f>
        <v>0.1666666667</v>
      </c>
      <c r="D7516" s="8">
        <f>IFERROR(__xludf.DUMMYFUNCTION("""COMPUTED_VALUE"""),0.13)</f>
        <v>0.13</v>
      </c>
      <c r="E7516" s="8" t="str">
        <f>IFERROR(__xludf.DUMMYFUNCTION("""COMPUTED_VALUE"""),"Real")</f>
        <v>Real</v>
      </c>
      <c r="G7516" s="8">
        <f t="shared" si="1"/>
        <v>9</v>
      </c>
      <c r="H7516" s="14">
        <f t="shared" si="2"/>
        <v>10</v>
      </c>
      <c r="I7516" s="15">
        <f t="shared" si="3"/>
        <v>4</v>
      </c>
    </row>
    <row r="7517">
      <c r="A7517" s="8" t="str">
        <f>IFERROR(__xludf.DUMMYFUNCTION("IF('(INGESTA)Datos_consumo_datadis'!A7517&lt;&gt;"""",SPLIT('(INGESTA)Datos_consumo_datadis'!A:A,"",""),"""")"),"ES0031408323131005HX0F")</f>
        <v>ES0031408323131005HX0F</v>
      </c>
      <c r="B7517" s="12">
        <f>IFERROR(__xludf.DUMMYFUNCTION("""COMPUTED_VALUE"""),45179.0)</f>
        <v>45179</v>
      </c>
      <c r="C7517" s="13">
        <f>IFERROR(__xludf.DUMMYFUNCTION("""COMPUTED_VALUE"""),0.20833333333333334)</f>
        <v>0.2083333333</v>
      </c>
      <c r="D7517" s="8">
        <f>IFERROR(__xludf.DUMMYFUNCTION("""COMPUTED_VALUE"""),0.102)</f>
        <v>0.102</v>
      </c>
      <c r="E7517" s="8" t="str">
        <f>IFERROR(__xludf.DUMMYFUNCTION("""COMPUTED_VALUE"""),"Real")</f>
        <v>Real</v>
      </c>
      <c r="G7517" s="8">
        <f t="shared" si="1"/>
        <v>9</v>
      </c>
      <c r="H7517" s="14">
        <f t="shared" si="2"/>
        <v>10</v>
      </c>
      <c r="I7517" s="15">
        <f t="shared" si="3"/>
        <v>5</v>
      </c>
    </row>
    <row r="7518">
      <c r="A7518" s="8" t="str">
        <f>IFERROR(__xludf.DUMMYFUNCTION("IF('(INGESTA)Datos_consumo_datadis'!A7518&lt;&gt;"""",SPLIT('(INGESTA)Datos_consumo_datadis'!A:A,"",""),"""")"),"ES0031408323131005HX0F")</f>
        <v>ES0031408323131005HX0F</v>
      </c>
      <c r="B7518" s="12">
        <f>IFERROR(__xludf.DUMMYFUNCTION("""COMPUTED_VALUE"""),45179.0)</f>
        <v>45179</v>
      </c>
      <c r="C7518" s="13">
        <f>IFERROR(__xludf.DUMMYFUNCTION("""COMPUTED_VALUE"""),0.25)</f>
        <v>0.25</v>
      </c>
      <c r="D7518" s="8">
        <f>IFERROR(__xludf.DUMMYFUNCTION("""COMPUTED_VALUE"""),0.092)</f>
        <v>0.092</v>
      </c>
      <c r="E7518" s="8" t="str">
        <f>IFERROR(__xludf.DUMMYFUNCTION("""COMPUTED_VALUE"""),"Real")</f>
        <v>Real</v>
      </c>
      <c r="G7518" s="8">
        <f t="shared" si="1"/>
        <v>9</v>
      </c>
      <c r="H7518" s="14">
        <f t="shared" si="2"/>
        <v>10</v>
      </c>
      <c r="I7518" s="15">
        <f t="shared" si="3"/>
        <v>6</v>
      </c>
    </row>
    <row r="7519">
      <c r="A7519" s="8" t="str">
        <f>IFERROR(__xludf.DUMMYFUNCTION("IF('(INGESTA)Datos_consumo_datadis'!A7519&lt;&gt;"""",SPLIT('(INGESTA)Datos_consumo_datadis'!A:A,"",""),"""")"),"ES0031408323131005HX0F")</f>
        <v>ES0031408323131005HX0F</v>
      </c>
      <c r="B7519" s="12">
        <f>IFERROR(__xludf.DUMMYFUNCTION("""COMPUTED_VALUE"""),45179.0)</f>
        <v>45179</v>
      </c>
      <c r="C7519" s="13">
        <f>IFERROR(__xludf.DUMMYFUNCTION("""COMPUTED_VALUE"""),0.2916666666666667)</f>
        <v>0.2916666667</v>
      </c>
      <c r="D7519" s="8">
        <f>IFERROR(__xludf.DUMMYFUNCTION("""COMPUTED_VALUE"""),0.081)</f>
        <v>0.081</v>
      </c>
      <c r="E7519" s="8" t="str">
        <f>IFERROR(__xludf.DUMMYFUNCTION("""COMPUTED_VALUE"""),"Real")</f>
        <v>Real</v>
      </c>
      <c r="G7519" s="8">
        <f t="shared" si="1"/>
        <v>9</v>
      </c>
      <c r="H7519" s="14">
        <f t="shared" si="2"/>
        <v>10</v>
      </c>
      <c r="I7519" s="15">
        <f t="shared" si="3"/>
        <v>7</v>
      </c>
    </row>
    <row r="7520">
      <c r="A7520" s="8" t="str">
        <f>IFERROR(__xludf.DUMMYFUNCTION("IF('(INGESTA)Datos_consumo_datadis'!A7520&lt;&gt;"""",SPLIT('(INGESTA)Datos_consumo_datadis'!A:A,"",""),"""")"),"ES0031408323131005HX0F")</f>
        <v>ES0031408323131005HX0F</v>
      </c>
      <c r="B7520" s="12">
        <f>IFERROR(__xludf.DUMMYFUNCTION("""COMPUTED_VALUE"""),45179.0)</f>
        <v>45179</v>
      </c>
      <c r="C7520" s="13">
        <f>IFERROR(__xludf.DUMMYFUNCTION("""COMPUTED_VALUE"""),0.3333333333333333)</f>
        <v>0.3333333333</v>
      </c>
      <c r="D7520" s="8">
        <f>IFERROR(__xludf.DUMMYFUNCTION("""COMPUTED_VALUE"""),0.028)</f>
        <v>0.028</v>
      </c>
      <c r="E7520" s="8" t="str">
        <f>IFERROR(__xludf.DUMMYFUNCTION("""COMPUTED_VALUE"""),"Real")</f>
        <v>Real</v>
      </c>
      <c r="G7520" s="8">
        <f t="shared" si="1"/>
        <v>9</v>
      </c>
      <c r="H7520" s="14">
        <f t="shared" si="2"/>
        <v>10</v>
      </c>
      <c r="I7520" s="15">
        <f t="shared" si="3"/>
        <v>8</v>
      </c>
    </row>
    <row r="7521">
      <c r="A7521" s="8" t="str">
        <f>IFERROR(__xludf.DUMMYFUNCTION("IF('(INGESTA)Datos_consumo_datadis'!A7521&lt;&gt;"""",SPLIT('(INGESTA)Datos_consumo_datadis'!A:A,"",""),"""")"),"ES0031408323131005HX0F")</f>
        <v>ES0031408323131005HX0F</v>
      </c>
      <c r="B7521" s="12">
        <f>IFERROR(__xludf.DUMMYFUNCTION("""COMPUTED_VALUE"""),45179.0)</f>
        <v>45179</v>
      </c>
      <c r="C7521" s="13">
        <f>IFERROR(__xludf.DUMMYFUNCTION("""COMPUTED_VALUE"""),0.375)</f>
        <v>0.375</v>
      </c>
      <c r="D7521" s="8">
        <f>IFERROR(__xludf.DUMMYFUNCTION("""COMPUTED_VALUE"""),0.325)</f>
        <v>0.325</v>
      </c>
      <c r="E7521" s="8" t="str">
        <f>IFERROR(__xludf.DUMMYFUNCTION("""COMPUTED_VALUE"""),"Real")</f>
        <v>Real</v>
      </c>
      <c r="G7521" s="8">
        <f t="shared" si="1"/>
        <v>9</v>
      </c>
      <c r="H7521" s="14">
        <f t="shared" si="2"/>
        <v>10</v>
      </c>
      <c r="I7521" s="15">
        <f t="shared" si="3"/>
        <v>9</v>
      </c>
    </row>
    <row r="7522">
      <c r="A7522" s="8" t="str">
        <f>IFERROR(__xludf.DUMMYFUNCTION("IF('(INGESTA)Datos_consumo_datadis'!A7522&lt;&gt;"""",SPLIT('(INGESTA)Datos_consumo_datadis'!A:A,"",""),"""")"),"ES0031408323131005HX0F")</f>
        <v>ES0031408323131005HX0F</v>
      </c>
      <c r="B7522" s="12">
        <f>IFERROR(__xludf.DUMMYFUNCTION("""COMPUTED_VALUE"""),45179.0)</f>
        <v>45179</v>
      </c>
      <c r="C7522" s="13">
        <f>IFERROR(__xludf.DUMMYFUNCTION("""COMPUTED_VALUE"""),0.4166666666666667)</f>
        <v>0.4166666667</v>
      </c>
      <c r="D7522" s="8">
        <f>IFERROR(__xludf.DUMMYFUNCTION("""COMPUTED_VALUE"""),0.132)</f>
        <v>0.132</v>
      </c>
      <c r="E7522" s="8" t="str">
        <f>IFERROR(__xludf.DUMMYFUNCTION("""COMPUTED_VALUE"""),"Real")</f>
        <v>Real</v>
      </c>
      <c r="G7522" s="8">
        <f t="shared" si="1"/>
        <v>9</v>
      </c>
      <c r="H7522" s="14">
        <f t="shared" si="2"/>
        <v>10</v>
      </c>
      <c r="I7522" s="15">
        <f t="shared" si="3"/>
        <v>10</v>
      </c>
    </row>
    <row r="7523">
      <c r="A7523" s="8" t="str">
        <f>IFERROR(__xludf.DUMMYFUNCTION("IF('(INGESTA)Datos_consumo_datadis'!A7523&lt;&gt;"""",SPLIT('(INGESTA)Datos_consumo_datadis'!A:A,"",""),"""")"),"ES0031408323131005HX0F")</f>
        <v>ES0031408323131005HX0F</v>
      </c>
      <c r="B7523" s="12">
        <f>IFERROR(__xludf.DUMMYFUNCTION("""COMPUTED_VALUE"""),45179.0)</f>
        <v>45179</v>
      </c>
      <c r="C7523" s="13">
        <f>IFERROR(__xludf.DUMMYFUNCTION("""COMPUTED_VALUE"""),0.4583333333333333)</f>
        <v>0.4583333333</v>
      </c>
      <c r="D7523" s="8">
        <f>IFERROR(__xludf.DUMMYFUNCTION("""COMPUTED_VALUE"""),0.128)</f>
        <v>0.128</v>
      </c>
      <c r="E7523" s="8" t="str">
        <f>IFERROR(__xludf.DUMMYFUNCTION("""COMPUTED_VALUE"""),"Real")</f>
        <v>Real</v>
      </c>
      <c r="G7523" s="8">
        <f t="shared" si="1"/>
        <v>9</v>
      </c>
      <c r="H7523" s="14">
        <f t="shared" si="2"/>
        <v>10</v>
      </c>
      <c r="I7523" s="15">
        <f t="shared" si="3"/>
        <v>11</v>
      </c>
    </row>
    <row r="7524">
      <c r="A7524" s="8" t="str">
        <f>IFERROR(__xludf.DUMMYFUNCTION("IF('(INGESTA)Datos_consumo_datadis'!A7524&lt;&gt;"""",SPLIT('(INGESTA)Datos_consumo_datadis'!A:A,"",""),"""")"),"ES0031408323131005HX0F")</f>
        <v>ES0031408323131005HX0F</v>
      </c>
      <c r="B7524" s="12">
        <f>IFERROR(__xludf.DUMMYFUNCTION("""COMPUTED_VALUE"""),45179.0)</f>
        <v>45179</v>
      </c>
      <c r="C7524" s="13">
        <f>IFERROR(__xludf.DUMMYFUNCTION("""COMPUTED_VALUE"""),0.5)</f>
        <v>0.5</v>
      </c>
      <c r="D7524" s="8">
        <f>IFERROR(__xludf.DUMMYFUNCTION("""COMPUTED_VALUE"""),0.1)</f>
        <v>0.1</v>
      </c>
      <c r="E7524" s="8" t="str">
        <f>IFERROR(__xludf.DUMMYFUNCTION("""COMPUTED_VALUE"""),"Real")</f>
        <v>Real</v>
      </c>
      <c r="G7524" s="8">
        <f t="shared" si="1"/>
        <v>9</v>
      </c>
      <c r="H7524" s="14">
        <f t="shared" si="2"/>
        <v>10</v>
      </c>
      <c r="I7524" s="15">
        <f t="shared" si="3"/>
        <v>12</v>
      </c>
    </row>
    <row r="7525">
      <c r="A7525" s="8" t="str">
        <f>IFERROR(__xludf.DUMMYFUNCTION("IF('(INGESTA)Datos_consumo_datadis'!A7525&lt;&gt;"""",SPLIT('(INGESTA)Datos_consumo_datadis'!A:A,"",""),"""")"),"ES0031408323131005HX0F")</f>
        <v>ES0031408323131005HX0F</v>
      </c>
      <c r="B7525" s="12">
        <f>IFERROR(__xludf.DUMMYFUNCTION("""COMPUTED_VALUE"""),45179.0)</f>
        <v>45179</v>
      </c>
      <c r="C7525" s="13">
        <f>IFERROR(__xludf.DUMMYFUNCTION("""COMPUTED_VALUE"""),0.5416666666666666)</f>
        <v>0.5416666667</v>
      </c>
      <c r="D7525" s="8">
        <f>IFERROR(__xludf.DUMMYFUNCTION("""COMPUTED_VALUE"""),0.094)</f>
        <v>0.094</v>
      </c>
      <c r="E7525" s="8" t="str">
        <f>IFERROR(__xludf.DUMMYFUNCTION("""COMPUTED_VALUE"""),"Real")</f>
        <v>Real</v>
      </c>
      <c r="G7525" s="8">
        <f t="shared" si="1"/>
        <v>9</v>
      </c>
      <c r="H7525" s="14">
        <f t="shared" si="2"/>
        <v>10</v>
      </c>
      <c r="I7525" s="15">
        <f t="shared" si="3"/>
        <v>13</v>
      </c>
    </row>
    <row r="7526">
      <c r="A7526" s="8" t="str">
        <f>IFERROR(__xludf.DUMMYFUNCTION("IF('(INGESTA)Datos_consumo_datadis'!A7526&lt;&gt;"""",SPLIT('(INGESTA)Datos_consumo_datadis'!A:A,"",""),"""")"),"ES0031408323131005HX0F")</f>
        <v>ES0031408323131005HX0F</v>
      </c>
      <c r="B7526" s="12">
        <f>IFERROR(__xludf.DUMMYFUNCTION("""COMPUTED_VALUE"""),45179.0)</f>
        <v>45179</v>
      </c>
      <c r="C7526" s="13">
        <f>IFERROR(__xludf.DUMMYFUNCTION("""COMPUTED_VALUE"""),0.5833333333333334)</f>
        <v>0.5833333333</v>
      </c>
      <c r="D7526" s="8">
        <f>IFERROR(__xludf.DUMMYFUNCTION("""COMPUTED_VALUE"""),0.028)</f>
        <v>0.028</v>
      </c>
      <c r="E7526" s="8" t="str">
        <f>IFERROR(__xludf.DUMMYFUNCTION("""COMPUTED_VALUE"""),"Real")</f>
        <v>Real</v>
      </c>
      <c r="G7526" s="8">
        <f t="shared" si="1"/>
        <v>9</v>
      </c>
      <c r="H7526" s="14">
        <f t="shared" si="2"/>
        <v>10</v>
      </c>
      <c r="I7526" s="15">
        <f t="shared" si="3"/>
        <v>14</v>
      </c>
    </row>
    <row r="7527">
      <c r="A7527" s="8" t="str">
        <f>IFERROR(__xludf.DUMMYFUNCTION("IF('(INGESTA)Datos_consumo_datadis'!A7527&lt;&gt;"""",SPLIT('(INGESTA)Datos_consumo_datadis'!A:A,"",""),"""")"),"ES0031408323131005HX0F")</f>
        <v>ES0031408323131005HX0F</v>
      </c>
      <c r="B7527" s="12">
        <f>IFERROR(__xludf.DUMMYFUNCTION("""COMPUTED_VALUE"""),45179.0)</f>
        <v>45179</v>
      </c>
      <c r="C7527" s="13">
        <f>IFERROR(__xludf.DUMMYFUNCTION("""COMPUTED_VALUE"""),0.625)</f>
        <v>0.625</v>
      </c>
      <c r="D7527" s="8">
        <f>IFERROR(__xludf.DUMMYFUNCTION("""COMPUTED_VALUE"""),0.028)</f>
        <v>0.028</v>
      </c>
      <c r="E7527" s="8" t="str">
        <f>IFERROR(__xludf.DUMMYFUNCTION("""COMPUTED_VALUE"""),"Real")</f>
        <v>Real</v>
      </c>
      <c r="G7527" s="8">
        <f t="shared" si="1"/>
        <v>9</v>
      </c>
      <c r="H7527" s="14">
        <f t="shared" si="2"/>
        <v>10</v>
      </c>
      <c r="I7527" s="15">
        <f t="shared" si="3"/>
        <v>15</v>
      </c>
    </row>
    <row r="7528">
      <c r="A7528" s="8" t="str">
        <f>IFERROR(__xludf.DUMMYFUNCTION("IF('(INGESTA)Datos_consumo_datadis'!A7528&lt;&gt;"""",SPLIT('(INGESTA)Datos_consumo_datadis'!A:A,"",""),"""")"),"ES0031408323131005HX0F")</f>
        <v>ES0031408323131005HX0F</v>
      </c>
      <c r="B7528" s="12">
        <f>IFERROR(__xludf.DUMMYFUNCTION("""COMPUTED_VALUE"""),45179.0)</f>
        <v>45179</v>
      </c>
      <c r="C7528" s="13">
        <f>IFERROR(__xludf.DUMMYFUNCTION("""COMPUTED_VALUE"""),0.6666666666666666)</f>
        <v>0.6666666667</v>
      </c>
      <c r="D7528" s="8">
        <f>IFERROR(__xludf.DUMMYFUNCTION("""COMPUTED_VALUE"""),0.312)</f>
        <v>0.312</v>
      </c>
      <c r="E7528" s="8" t="str">
        <f>IFERROR(__xludf.DUMMYFUNCTION("""COMPUTED_VALUE"""),"Real")</f>
        <v>Real</v>
      </c>
      <c r="G7528" s="8">
        <f t="shared" si="1"/>
        <v>9</v>
      </c>
      <c r="H7528" s="14">
        <f t="shared" si="2"/>
        <v>10</v>
      </c>
      <c r="I7528" s="15">
        <f t="shared" si="3"/>
        <v>16</v>
      </c>
    </row>
    <row r="7529">
      <c r="A7529" s="8" t="str">
        <f>IFERROR(__xludf.DUMMYFUNCTION("IF('(INGESTA)Datos_consumo_datadis'!A7529&lt;&gt;"""",SPLIT('(INGESTA)Datos_consumo_datadis'!A:A,"",""),"""")"),"ES0031408323131005HX0F")</f>
        <v>ES0031408323131005HX0F</v>
      </c>
      <c r="B7529" s="12">
        <f>IFERROR(__xludf.DUMMYFUNCTION("""COMPUTED_VALUE"""),45179.0)</f>
        <v>45179</v>
      </c>
      <c r="C7529" s="13">
        <f>IFERROR(__xludf.DUMMYFUNCTION("""COMPUTED_VALUE"""),0.7083333333333334)</f>
        <v>0.7083333333</v>
      </c>
      <c r="D7529" s="8">
        <f>IFERROR(__xludf.DUMMYFUNCTION("""COMPUTED_VALUE"""),0.199)</f>
        <v>0.199</v>
      </c>
      <c r="E7529" s="8" t="str">
        <f>IFERROR(__xludf.DUMMYFUNCTION("""COMPUTED_VALUE"""),"Real")</f>
        <v>Real</v>
      </c>
      <c r="G7529" s="8">
        <f t="shared" si="1"/>
        <v>9</v>
      </c>
      <c r="H7529" s="14">
        <f t="shared" si="2"/>
        <v>10</v>
      </c>
      <c r="I7529" s="15">
        <f t="shared" si="3"/>
        <v>17</v>
      </c>
    </row>
    <row r="7530">
      <c r="A7530" s="8" t="str">
        <f>IFERROR(__xludf.DUMMYFUNCTION("IF('(INGESTA)Datos_consumo_datadis'!A7530&lt;&gt;"""",SPLIT('(INGESTA)Datos_consumo_datadis'!A:A,"",""),"""")"),"ES0031408323131005HX0F")</f>
        <v>ES0031408323131005HX0F</v>
      </c>
      <c r="B7530" s="12">
        <f>IFERROR(__xludf.DUMMYFUNCTION("""COMPUTED_VALUE"""),45179.0)</f>
        <v>45179</v>
      </c>
      <c r="C7530" s="13">
        <f>IFERROR(__xludf.DUMMYFUNCTION("""COMPUTED_VALUE"""),0.75)</f>
        <v>0.75</v>
      </c>
      <c r="D7530" s="8">
        <f>IFERROR(__xludf.DUMMYFUNCTION("""COMPUTED_VALUE"""),0.113)</f>
        <v>0.113</v>
      </c>
      <c r="E7530" s="8" t="str">
        <f>IFERROR(__xludf.DUMMYFUNCTION("""COMPUTED_VALUE"""),"Real")</f>
        <v>Real</v>
      </c>
      <c r="G7530" s="8">
        <f t="shared" si="1"/>
        <v>9</v>
      </c>
      <c r="H7530" s="14">
        <f t="shared" si="2"/>
        <v>10</v>
      </c>
      <c r="I7530" s="15">
        <f t="shared" si="3"/>
        <v>18</v>
      </c>
    </row>
    <row r="7531">
      <c r="A7531" s="8" t="str">
        <f>IFERROR(__xludf.DUMMYFUNCTION("IF('(INGESTA)Datos_consumo_datadis'!A7531&lt;&gt;"""",SPLIT('(INGESTA)Datos_consumo_datadis'!A:A,"",""),"""")"),"ES0031408323131005HX0F")</f>
        <v>ES0031408323131005HX0F</v>
      </c>
      <c r="B7531" s="12">
        <f>IFERROR(__xludf.DUMMYFUNCTION("""COMPUTED_VALUE"""),45179.0)</f>
        <v>45179</v>
      </c>
      <c r="C7531" s="13">
        <f>IFERROR(__xludf.DUMMYFUNCTION("""COMPUTED_VALUE"""),0.7916666666666666)</f>
        <v>0.7916666667</v>
      </c>
      <c r="D7531" s="8">
        <f>IFERROR(__xludf.DUMMYFUNCTION("""COMPUTED_VALUE"""),0.084)</f>
        <v>0.084</v>
      </c>
      <c r="E7531" s="8" t="str">
        <f>IFERROR(__xludf.DUMMYFUNCTION("""COMPUTED_VALUE"""),"Real")</f>
        <v>Real</v>
      </c>
      <c r="G7531" s="8">
        <f t="shared" si="1"/>
        <v>9</v>
      </c>
      <c r="H7531" s="14">
        <f t="shared" si="2"/>
        <v>10</v>
      </c>
      <c r="I7531" s="15">
        <f t="shared" si="3"/>
        <v>19</v>
      </c>
    </row>
    <row r="7532">
      <c r="A7532" s="8" t="str">
        <f>IFERROR(__xludf.DUMMYFUNCTION("IF('(INGESTA)Datos_consumo_datadis'!A7532&lt;&gt;"""",SPLIT('(INGESTA)Datos_consumo_datadis'!A:A,"",""),"""")"),"ES0031408323131005HX0F")</f>
        <v>ES0031408323131005HX0F</v>
      </c>
      <c r="B7532" s="12">
        <f>IFERROR(__xludf.DUMMYFUNCTION("""COMPUTED_VALUE"""),45179.0)</f>
        <v>45179</v>
      </c>
      <c r="C7532" s="13">
        <f>IFERROR(__xludf.DUMMYFUNCTION("""COMPUTED_VALUE"""),0.8333333333333334)</f>
        <v>0.8333333333</v>
      </c>
      <c r="D7532" s="8">
        <f>IFERROR(__xludf.DUMMYFUNCTION("""COMPUTED_VALUE"""),0.088)</f>
        <v>0.088</v>
      </c>
      <c r="E7532" s="8" t="str">
        <f>IFERROR(__xludf.DUMMYFUNCTION("""COMPUTED_VALUE"""),"Real")</f>
        <v>Real</v>
      </c>
      <c r="G7532" s="8">
        <f t="shared" si="1"/>
        <v>9</v>
      </c>
      <c r="H7532" s="14">
        <f t="shared" si="2"/>
        <v>10</v>
      </c>
      <c r="I7532" s="15">
        <f t="shared" si="3"/>
        <v>20</v>
      </c>
    </row>
    <row r="7533">
      <c r="A7533" s="8" t="str">
        <f>IFERROR(__xludf.DUMMYFUNCTION("IF('(INGESTA)Datos_consumo_datadis'!A7533&lt;&gt;"""",SPLIT('(INGESTA)Datos_consumo_datadis'!A:A,"",""),"""")"),"ES0031408323131005HX0F")</f>
        <v>ES0031408323131005HX0F</v>
      </c>
      <c r="B7533" s="12">
        <f>IFERROR(__xludf.DUMMYFUNCTION("""COMPUTED_VALUE"""),45179.0)</f>
        <v>45179</v>
      </c>
      <c r="C7533" s="13">
        <f>IFERROR(__xludf.DUMMYFUNCTION("""COMPUTED_VALUE"""),0.875)</f>
        <v>0.875</v>
      </c>
      <c r="D7533" s="8">
        <f>IFERROR(__xludf.DUMMYFUNCTION("""COMPUTED_VALUE"""),0.027)</f>
        <v>0.027</v>
      </c>
      <c r="E7533" s="8" t="str">
        <f>IFERROR(__xludf.DUMMYFUNCTION("""COMPUTED_VALUE"""),"Real")</f>
        <v>Real</v>
      </c>
      <c r="G7533" s="8">
        <f t="shared" si="1"/>
        <v>9</v>
      </c>
      <c r="H7533" s="14">
        <f t="shared" si="2"/>
        <v>10</v>
      </c>
      <c r="I7533" s="15">
        <f t="shared" si="3"/>
        <v>21</v>
      </c>
    </row>
    <row r="7534">
      <c r="A7534" s="8" t="str">
        <f>IFERROR(__xludf.DUMMYFUNCTION("IF('(INGESTA)Datos_consumo_datadis'!A7534&lt;&gt;"""",SPLIT('(INGESTA)Datos_consumo_datadis'!A:A,"",""),"""")"),"ES0031408323131005HX0F")</f>
        <v>ES0031408323131005HX0F</v>
      </c>
      <c r="B7534" s="12">
        <f>IFERROR(__xludf.DUMMYFUNCTION("""COMPUTED_VALUE"""),45179.0)</f>
        <v>45179</v>
      </c>
      <c r="C7534" s="13">
        <f>IFERROR(__xludf.DUMMYFUNCTION("""COMPUTED_VALUE"""),0.9166666666666666)</f>
        <v>0.9166666667</v>
      </c>
      <c r="D7534" s="8">
        <f>IFERROR(__xludf.DUMMYFUNCTION("""COMPUTED_VALUE"""),0.04)</f>
        <v>0.04</v>
      </c>
      <c r="E7534" s="8" t="str">
        <f>IFERROR(__xludf.DUMMYFUNCTION("""COMPUTED_VALUE"""),"Real")</f>
        <v>Real</v>
      </c>
      <c r="G7534" s="8">
        <f t="shared" si="1"/>
        <v>9</v>
      </c>
      <c r="H7534" s="14">
        <f t="shared" si="2"/>
        <v>10</v>
      </c>
      <c r="I7534" s="15">
        <f t="shared" si="3"/>
        <v>22</v>
      </c>
    </row>
    <row r="7535">
      <c r="A7535" s="8" t="str">
        <f>IFERROR(__xludf.DUMMYFUNCTION("IF('(INGESTA)Datos_consumo_datadis'!A7535&lt;&gt;"""",SPLIT('(INGESTA)Datos_consumo_datadis'!A:A,"",""),"""")"),"ES0031408323131005HX0F")</f>
        <v>ES0031408323131005HX0F</v>
      </c>
      <c r="B7535" s="12">
        <f>IFERROR(__xludf.DUMMYFUNCTION("""COMPUTED_VALUE"""),45179.0)</f>
        <v>45179</v>
      </c>
      <c r="C7535" s="13">
        <f>IFERROR(__xludf.DUMMYFUNCTION("""COMPUTED_VALUE"""),0.9583333333333334)</f>
        <v>0.9583333333</v>
      </c>
      <c r="D7535" s="8">
        <f>IFERROR(__xludf.DUMMYFUNCTION("""COMPUTED_VALUE"""),0.132)</f>
        <v>0.132</v>
      </c>
      <c r="E7535" s="8" t="str">
        <f>IFERROR(__xludf.DUMMYFUNCTION("""COMPUTED_VALUE"""),"Real")</f>
        <v>Real</v>
      </c>
      <c r="G7535" s="8">
        <f t="shared" si="1"/>
        <v>9</v>
      </c>
      <c r="H7535" s="14">
        <f t="shared" si="2"/>
        <v>10</v>
      </c>
      <c r="I7535" s="15">
        <f t="shared" si="3"/>
        <v>23</v>
      </c>
    </row>
    <row r="7536">
      <c r="A7536" s="8" t="str">
        <f>IFERROR(__xludf.DUMMYFUNCTION("IF('(INGESTA)Datos_consumo_datadis'!A7536&lt;&gt;"""",SPLIT('(INGESTA)Datos_consumo_datadis'!A:A,"",""),"""")"),"ES0031408323131005HX0F")</f>
        <v>ES0031408323131005HX0F</v>
      </c>
      <c r="B7536" s="12">
        <f>IFERROR(__xludf.DUMMYFUNCTION("""COMPUTED_VALUE"""),45179.0)</f>
        <v>45179</v>
      </c>
      <c r="C7536" s="16">
        <f>IFERROR(__xludf.DUMMYFUNCTION("""COMPUTED_VALUE"""),1.0)</f>
        <v>1</v>
      </c>
      <c r="D7536" s="8">
        <f>IFERROR(__xludf.DUMMYFUNCTION("""COMPUTED_VALUE"""),0.385)</f>
        <v>0.385</v>
      </c>
      <c r="E7536" s="8" t="str">
        <f>IFERROR(__xludf.DUMMYFUNCTION("""COMPUTED_VALUE"""),"Real")</f>
        <v>Real</v>
      </c>
      <c r="G7536" s="8">
        <f t="shared" si="1"/>
        <v>9</v>
      </c>
      <c r="H7536" s="14">
        <f t="shared" si="2"/>
        <v>10</v>
      </c>
      <c r="I7536" s="15">
        <f t="shared" si="3"/>
        <v>0</v>
      </c>
    </row>
    <row r="7537">
      <c r="A7537" s="8" t="str">
        <f>IFERROR(__xludf.DUMMYFUNCTION("IF('(INGESTA)Datos_consumo_datadis'!A7537&lt;&gt;"""",SPLIT('(INGESTA)Datos_consumo_datadis'!A:A,"",""),"""")"),"ES0031408323131005HX0F")</f>
        <v>ES0031408323131005HX0F</v>
      </c>
      <c r="B7537" s="12">
        <f>IFERROR(__xludf.DUMMYFUNCTION("""COMPUTED_VALUE"""),45180.0)</f>
        <v>45180</v>
      </c>
      <c r="C7537" s="13">
        <f>IFERROR(__xludf.DUMMYFUNCTION("""COMPUTED_VALUE"""),0.041666666666666664)</f>
        <v>0.04166666667</v>
      </c>
      <c r="D7537" s="8">
        <f>IFERROR(__xludf.DUMMYFUNCTION("""COMPUTED_VALUE"""),0.101)</f>
        <v>0.101</v>
      </c>
      <c r="E7537" s="8" t="str">
        <f>IFERROR(__xludf.DUMMYFUNCTION("""COMPUTED_VALUE"""),"Real")</f>
        <v>Real</v>
      </c>
      <c r="G7537" s="8">
        <f t="shared" si="1"/>
        <v>9</v>
      </c>
      <c r="H7537" s="14">
        <f t="shared" si="2"/>
        <v>11</v>
      </c>
      <c r="I7537" s="15">
        <f t="shared" si="3"/>
        <v>1</v>
      </c>
    </row>
    <row r="7538">
      <c r="A7538" s="8" t="str">
        <f>IFERROR(__xludf.DUMMYFUNCTION("IF('(INGESTA)Datos_consumo_datadis'!A7538&lt;&gt;"""",SPLIT('(INGESTA)Datos_consumo_datadis'!A:A,"",""),"""")"),"ES0031408323131005HX0F")</f>
        <v>ES0031408323131005HX0F</v>
      </c>
      <c r="B7538" s="12">
        <f>IFERROR(__xludf.DUMMYFUNCTION("""COMPUTED_VALUE"""),45180.0)</f>
        <v>45180</v>
      </c>
      <c r="C7538" s="13">
        <f>IFERROR(__xludf.DUMMYFUNCTION("""COMPUTED_VALUE"""),0.08333333333333333)</f>
        <v>0.08333333333</v>
      </c>
      <c r="D7538" s="8">
        <f>IFERROR(__xludf.DUMMYFUNCTION("""COMPUTED_VALUE"""),0.095)</f>
        <v>0.095</v>
      </c>
      <c r="E7538" s="8" t="str">
        <f>IFERROR(__xludf.DUMMYFUNCTION("""COMPUTED_VALUE"""),"Real")</f>
        <v>Real</v>
      </c>
      <c r="G7538" s="8">
        <f t="shared" si="1"/>
        <v>9</v>
      </c>
      <c r="H7538" s="14">
        <f t="shared" si="2"/>
        <v>11</v>
      </c>
      <c r="I7538" s="15">
        <f t="shared" si="3"/>
        <v>2</v>
      </c>
    </row>
    <row r="7539">
      <c r="A7539" s="8" t="str">
        <f>IFERROR(__xludf.DUMMYFUNCTION("IF('(INGESTA)Datos_consumo_datadis'!A7539&lt;&gt;"""",SPLIT('(INGESTA)Datos_consumo_datadis'!A:A,"",""),"""")"),"ES0031408323131005HX0F")</f>
        <v>ES0031408323131005HX0F</v>
      </c>
      <c r="B7539" s="12">
        <f>IFERROR(__xludf.DUMMYFUNCTION("""COMPUTED_VALUE"""),45180.0)</f>
        <v>45180</v>
      </c>
      <c r="C7539" s="13">
        <f>IFERROR(__xludf.DUMMYFUNCTION("""COMPUTED_VALUE"""),0.125)</f>
        <v>0.125</v>
      </c>
      <c r="D7539" s="8">
        <f>IFERROR(__xludf.DUMMYFUNCTION("""COMPUTED_VALUE"""),0.048)</f>
        <v>0.048</v>
      </c>
      <c r="E7539" s="8" t="str">
        <f>IFERROR(__xludf.DUMMYFUNCTION("""COMPUTED_VALUE"""),"Real")</f>
        <v>Real</v>
      </c>
      <c r="G7539" s="8">
        <f t="shared" si="1"/>
        <v>9</v>
      </c>
      <c r="H7539" s="14">
        <f t="shared" si="2"/>
        <v>11</v>
      </c>
      <c r="I7539" s="15">
        <f t="shared" si="3"/>
        <v>3</v>
      </c>
    </row>
    <row r="7540">
      <c r="A7540" s="8" t="str">
        <f>IFERROR(__xludf.DUMMYFUNCTION("IF('(INGESTA)Datos_consumo_datadis'!A7540&lt;&gt;"""",SPLIT('(INGESTA)Datos_consumo_datadis'!A:A,"",""),"""")"),"ES0031408323131005HX0F")</f>
        <v>ES0031408323131005HX0F</v>
      </c>
      <c r="B7540" s="12">
        <f>IFERROR(__xludf.DUMMYFUNCTION("""COMPUTED_VALUE"""),45180.0)</f>
        <v>45180</v>
      </c>
      <c r="C7540" s="13">
        <f>IFERROR(__xludf.DUMMYFUNCTION("""COMPUTED_VALUE"""),0.16666666666666666)</f>
        <v>0.1666666667</v>
      </c>
      <c r="D7540" s="8">
        <f>IFERROR(__xludf.DUMMYFUNCTION("""COMPUTED_VALUE"""),0.028)</f>
        <v>0.028</v>
      </c>
      <c r="E7540" s="8" t="str">
        <f>IFERROR(__xludf.DUMMYFUNCTION("""COMPUTED_VALUE"""),"Real")</f>
        <v>Real</v>
      </c>
      <c r="G7540" s="8">
        <f t="shared" si="1"/>
        <v>9</v>
      </c>
      <c r="H7540" s="14">
        <f t="shared" si="2"/>
        <v>11</v>
      </c>
      <c r="I7540" s="15">
        <f t="shared" si="3"/>
        <v>4</v>
      </c>
    </row>
    <row r="7541">
      <c r="A7541" s="8" t="str">
        <f>IFERROR(__xludf.DUMMYFUNCTION("IF('(INGESTA)Datos_consumo_datadis'!A7541&lt;&gt;"""",SPLIT('(INGESTA)Datos_consumo_datadis'!A:A,"",""),"""")"),"ES0031408323131005HX0F")</f>
        <v>ES0031408323131005HX0F</v>
      </c>
      <c r="B7541" s="12">
        <f>IFERROR(__xludf.DUMMYFUNCTION("""COMPUTED_VALUE"""),45180.0)</f>
        <v>45180</v>
      </c>
      <c r="C7541" s="13">
        <f>IFERROR(__xludf.DUMMYFUNCTION("""COMPUTED_VALUE"""),0.20833333333333334)</f>
        <v>0.2083333333</v>
      </c>
      <c r="D7541" s="8">
        <f>IFERROR(__xludf.DUMMYFUNCTION("""COMPUTED_VALUE"""),0.083)</f>
        <v>0.083</v>
      </c>
      <c r="E7541" s="8" t="str">
        <f>IFERROR(__xludf.DUMMYFUNCTION("""COMPUTED_VALUE"""),"Real")</f>
        <v>Real</v>
      </c>
      <c r="G7541" s="8">
        <f t="shared" si="1"/>
        <v>9</v>
      </c>
      <c r="H7541" s="14">
        <f t="shared" si="2"/>
        <v>11</v>
      </c>
      <c r="I7541" s="15">
        <f t="shared" si="3"/>
        <v>5</v>
      </c>
    </row>
    <row r="7542">
      <c r="A7542" s="8" t="str">
        <f>IFERROR(__xludf.DUMMYFUNCTION("IF('(INGESTA)Datos_consumo_datadis'!A7542&lt;&gt;"""",SPLIT('(INGESTA)Datos_consumo_datadis'!A:A,"",""),"""")"),"ES0031408323131005HX0F")</f>
        <v>ES0031408323131005HX0F</v>
      </c>
      <c r="B7542" s="12">
        <f>IFERROR(__xludf.DUMMYFUNCTION("""COMPUTED_VALUE"""),45180.0)</f>
        <v>45180</v>
      </c>
      <c r="C7542" s="13">
        <f>IFERROR(__xludf.DUMMYFUNCTION("""COMPUTED_VALUE"""),0.25)</f>
        <v>0.25</v>
      </c>
      <c r="D7542" s="8">
        <f>IFERROR(__xludf.DUMMYFUNCTION("""COMPUTED_VALUE"""),0.131)</f>
        <v>0.131</v>
      </c>
      <c r="E7542" s="8" t="str">
        <f>IFERROR(__xludf.DUMMYFUNCTION("""COMPUTED_VALUE"""),"Real")</f>
        <v>Real</v>
      </c>
      <c r="G7542" s="8">
        <f t="shared" si="1"/>
        <v>9</v>
      </c>
      <c r="H7542" s="14">
        <f t="shared" si="2"/>
        <v>11</v>
      </c>
      <c r="I7542" s="15">
        <f t="shared" si="3"/>
        <v>6</v>
      </c>
    </row>
    <row r="7543">
      <c r="A7543" s="8" t="str">
        <f>IFERROR(__xludf.DUMMYFUNCTION("IF('(INGESTA)Datos_consumo_datadis'!A7543&lt;&gt;"""",SPLIT('(INGESTA)Datos_consumo_datadis'!A:A,"",""),"""")"),"ES0031408323131005HX0F")</f>
        <v>ES0031408323131005HX0F</v>
      </c>
      <c r="B7543" s="12">
        <f>IFERROR(__xludf.DUMMYFUNCTION("""COMPUTED_VALUE"""),45180.0)</f>
        <v>45180</v>
      </c>
      <c r="C7543" s="13">
        <f>IFERROR(__xludf.DUMMYFUNCTION("""COMPUTED_VALUE"""),0.2916666666666667)</f>
        <v>0.2916666667</v>
      </c>
      <c r="D7543" s="8">
        <f>IFERROR(__xludf.DUMMYFUNCTION("""COMPUTED_VALUE"""),0.374)</f>
        <v>0.374</v>
      </c>
      <c r="E7543" s="8" t="str">
        <f>IFERROR(__xludf.DUMMYFUNCTION("""COMPUTED_VALUE"""),"Real")</f>
        <v>Real</v>
      </c>
      <c r="G7543" s="8">
        <f t="shared" si="1"/>
        <v>9</v>
      </c>
      <c r="H7543" s="14">
        <f t="shared" si="2"/>
        <v>11</v>
      </c>
      <c r="I7543" s="15">
        <f t="shared" si="3"/>
        <v>7</v>
      </c>
    </row>
    <row r="7544">
      <c r="A7544" s="8" t="str">
        <f>IFERROR(__xludf.DUMMYFUNCTION("IF('(INGESTA)Datos_consumo_datadis'!A7544&lt;&gt;"""",SPLIT('(INGESTA)Datos_consumo_datadis'!A:A,"",""),"""")"),"ES0031408323131005HX0F")</f>
        <v>ES0031408323131005HX0F</v>
      </c>
      <c r="B7544" s="12">
        <f>IFERROR(__xludf.DUMMYFUNCTION("""COMPUTED_VALUE"""),45180.0)</f>
        <v>45180</v>
      </c>
      <c r="C7544" s="13">
        <f>IFERROR(__xludf.DUMMYFUNCTION("""COMPUTED_VALUE"""),0.3333333333333333)</f>
        <v>0.3333333333</v>
      </c>
      <c r="D7544" s="8">
        <f>IFERROR(__xludf.DUMMYFUNCTION("""COMPUTED_VALUE"""),0.091)</f>
        <v>0.091</v>
      </c>
      <c r="E7544" s="8" t="str">
        <f>IFERROR(__xludf.DUMMYFUNCTION("""COMPUTED_VALUE"""),"Real")</f>
        <v>Real</v>
      </c>
      <c r="G7544" s="8">
        <f t="shared" si="1"/>
        <v>9</v>
      </c>
      <c r="H7544" s="14">
        <f t="shared" si="2"/>
        <v>11</v>
      </c>
      <c r="I7544" s="15">
        <f t="shared" si="3"/>
        <v>8</v>
      </c>
    </row>
    <row r="7545">
      <c r="A7545" s="8" t="str">
        <f>IFERROR(__xludf.DUMMYFUNCTION("IF('(INGESTA)Datos_consumo_datadis'!A7545&lt;&gt;"""",SPLIT('(INGESTA)Datos_consumo_datadis'!A:A,"",""),"""")"),"ES0031408323131005HX0F")</f>
        <v>ES0031408323131005HX0F</v>
      </c>
      <c r="B7545" s="12">
        <f>IFERROR(__xludf.DUMMYFUNCTION("""COMPUTED_VALUE"""),45180.0)</f>
        <v>45180</v>
      </c>
      <c r="C7545" s="13">
        <f>IFERROR(__xludf.DUMMYFUNCTION("""COMPUTED_VALUE"""),0.375)</f>
        <v>0.375</v>
      </c>
      <c r="D7545" s="8">
        <f>IFERROR(__xludf.DUMMYFUNCTION("""COMPUTED_VALUE"""),0.082)</f>
        <v>0.082</v>
      </c>
      <c r="E7545" s="8" t="str">
        <f>IFERROR(__xludf.DUMMYFUNCTION("""COMPUTED_VALUE"""),"Real")</f>
        <v>Real</v>
      </c>
      <c r="G7545" s="8">
        <f t="shared" si="1"/>
        <v>9</v>
      </c>
      <c r="H7545" s="14">
        <f t="shared" si="2"/>
        <v>11</v>
      </c>
      <c r="I7545" s="15">
        <f t="shared" si="3"/>
        <v>9</v>
      </c>
    </row>
    <row r="7546">
      <c r="A7546" s="8" t="str">
        <f>IFERROR(__xludf.DUMMYFUNCTION("IF('(INGESTA)Datos_consumo_datadis'!A7546&lt;&gt;"""",SPLIT('(INGESTA)Datos_consumo_datadis'!A:A,"",""),"""")"),"ES0031408323131005HX0F")</f>
        <v>ES0031408323131005HX0F</v>
      </c>
      <c r="B7546" s="12">
        <f>IFERROR(__xludf.DUMMYFUNCTION("""COMPUTED_VALUE"""),45180.0)</f>
        <v>45180</v>
      </c>
      <c r="C7546" s="13">
        <f>IFERROR(__xludf.DUMMYFUNCTION("""COMPUTED_VALUE"""),0.4166666666666667)</f>
        <v>0.4166666667</v>
      </c>
      <c r="D7546" s="8">
        <f>IFERROR(__xludf.DUMMYFUNCTION("""COMPUTED_VALUE"""),0.028)</f>
        <v>0.028</v>
      </c>
      <c r="E7546" s="8" t="str">
        <f>IFERROR(__xludf.DUMMYFUNCTION("""COMPUTED_VALUE"""),"Real")</f>
        <v>Real</v>
      </c>
      <c r="G7546" s="8">
        <f t="shared" si="1"/>
        <v>9</v>
      </c>
      <c r="H7546" s="14">
        <f t="shared" si="2"/>
        <v>11</v>
      </c>
      <c r="I7546" s="15">
        <f t="shared" si="3"/>
        <v>10</v>
      </c>
    </row>
    <row r="7547">
      <c r="A7547" s="8" t="str">
        <f>IFERROR(__xludf.DUMMYFUNCTION("IF('(INGESTA)Datos_consumo_datadis'!A7547&lt;&gt;"""",SPLIT('(INGESTA)Datos_consumo_datadis'!A:A,"",""),"""")"),"ES0031408323131005HX0F")</f>
        <v>ES0031408323131005HX0F</v>
      </c>
      <c r="B7547" s="12">
        <f>IFERROR(__xludf.DUMMYFUNCTION("""COMPUTED_VALUE"""),45180.0)</f>
        <v>45180</v>
      </c>
      <c r="C7547" s="13">
        <f>IFERROR(__xludf.DUMMYFUNCTION("""COMPUTED_VALUE"""),0.4583333333333333)</f>
        <v>0.4583333333</v>
      </c>
      <c r="D7547" s="8">
        <f>IFERROR(__xludf.DUMMYFUNCTION("""COMPUTED_VALUE"""),0.043)</f>
        <v>0.043</v>
      </c>
      <c r="E7547" s="8" t="str">
        <f>IFERROR(__xludf.DUMMYFUNCTION("""COMPUTED_VALUE"""),"Real")</f>
        <v>Real</v>
      </c>
      <c r="G7547" s="8">
        <f t="shared" si="1"/>
        <v>9</v>
      </c>
      <c r="H7547" s="14">
        <f t="shared" si="2"/>
        <v>11</v>
      </c>
      <c r="I7547" s="15">
        <f t="shared" si="3"/>
        <v>11</v>
      </c>
    </row>
    <row r="7548">
      <c r="A7548" s="8" t="str">
        <f>IFERROR(__xludf.DUMMYFUNCTION("IF('(INGESTA)Datos_consumo_datadis'!A7548&lt;&gt;"""",SPLIT('(INGESTA)Datos_consumo_datadis'!A:A,"",""),"""")"),"ES0031408323131005HX0F")</f>
        <v>ES0031408323131005HX0F</v>
      </c>
      <c r="B7548" s="12">
        <f>IFERROR(__xludf.DUMMYFUNCTION("""COMPUTED_VALUE"""),45180.0)</f>
        <v>45180</v>
      </c>
      <c r="C7548" s="13">
        <f>IFERROR(__xludf.DUMMYFUNCTION("""COMPUTED_VALUE"""),0.5)</f>
        <v>0.5</v>
      </c>
      <c r="D7548" s="8">
        <f>IFERROR(__xludf.DUMMYFUNCTION("""COMPUTED_VALUE"""),0.132)</f>
        <v>0.132</v>
      </c>
      <c r="E7548" s="8" t="str">
        <f>IFERROR(__xludf.DUMMYFUNCTION("""COMPUTED_VALUE"""),"Real")</f>
        <v>Real</v>
      </c>
      <c r="G7548" s="8">
        <f t="shared" si="1"/>
        <v>9</v>
      </c>
      <c r="H7548" s="14">
        <f t="shared" si="2"/>
        <v>11</v>
      </c>
      <c r="I7548" s="15">
        <f t="shared" si="3"/>
        <v>12</v>
      </c>
    </row>
    <row r="7549">
      <c r="A7549" s="8" t="str">
        <f>IFERROR(__xludf.DUMMYFUNCTION("IF('(INGESTA)Datos_consumo_datadis'!A7549&lt;&gt;"""",SPLIT('(INGESTA)Datos_consumo_datadis'!A:A,"",""),"""")"),"ES0031408323131005HX0F")</f>
        <v>ES0031408323131005HX0F</v>
      </c>
      <c r="B7549" s="12">
        <f>IFERROR(__xludf.DUMMYFUNCTION("""COMPUTED_VALUE"""),45180.0)</f>
        <v>45180</v>
      </c>
      <c r="C7549" s="13">
        <f>IFERROR(__xludf.DUMMYFUNCTION("""COMPUTED_VALUE"""),0.5416666666666666)</f>
        <v>0.5416666667</v>
      </c>
      <c r="D7549" s="8">
        <f>IFERROR(__xludf.DUMMYFUNCTION("""COMPUTED_VALUE"""),0.128)</f>
        <v>0.128</v>
      </c>
      <c r="E7549" s="8" t="str">
        <f>IFERROR(__xludf.DUMMYFUNCTION("""COMPUTED_VALUE"""),"Real")</f>
        <v>Real</v>
      </c>
      <c r="G7549" s="8">
        <f t="shared" si="1"/>
        <v>9</v>
      </c>
      <c r="H7549" s="14">
        <f t="shared" si="2"/>
        <v>11</v>
      </c>
      <c r="I7549" s="15">
        <f t="shared" si="3"/>
        <v>13</v>
      </c>
    </row>
    <row r="7550">
      <c r="A7550" s="8" t="str">
        <f>IFERROR(__xludf.DUMMYFUNCTION("IF('(INGESTA)Datos_consumo_datadis'!A7550&lt;&gt;"""",SPLIT('(INGESTA)Datos_consumo_datadis'!A:A,"",""),"""")"),"ES0031408323131005HX0F")</f>
        <v>ES0031408323131005HX0F</v>
      </c>
      <c r="B7550" s="12">
        <f>IFERROR(__xludf.DUMMYFUNCTION("""COMPUTED_VALUE"""),45180.0)</f>
        <v>45180</v>
      </c>
      <c r="C7550" s="13">
        <f>IFERROR(__xludf.DUMMYFUNCTION("""COMPUTED_VALUE"""),0.5833333333333334)</f>
        <v>0.5833333333</v>
      </c>
      <c r="D7550" s="8">
        <f>IFERROR(__xludf.DUMMYFUNCTION("""COMPUTED_VALUE"""),0.098)</f>
        <v>0.098</v>
      </c>
      <c r="E7550" s="8" t="str">
        <f>IFERROR(__xludf.DUMMYFUNCTION("""COMPUTED_VALUE"""),"Real")</f>
        <v>Real</v>
      </c>
      <c r="G7550" s="8">
        <f t="shared" si="1"/>
        <v>9</v>
      </c>
      <c r="H7550" s="14">
        <f t="shared" si="2"/>
        <v>11</v>
      </c>
      <c r="I7550" s="15">
        <f t="shared" si="3"/>
        <v>14</v>
      </c>
    </row>
    <row r="7551">
      <c r="A7551" s="8" t="str">
        <f>IFERROR(__xludf.DUMMYFUNCTION("IF('(INGESTA)Datos_consumo_datadis'!A7551&lt;&gt;"""",SPLIT('(INGESTA)Datos_consumo_datadis'!A:A,"",""),"""")"),"ES0031408323131005HX0F")</f>
        <v>ES0031408323131005HX0F</v>
      </c>
      <c r="B7551" s="12">
        <f>IFERROR(__xludf.DUMMYFUNCTION("""COMPUTED_VALUE"""),45180.0)</f>
        <v>45180</v>
      </c>
      <c r="C7551" s="13">
        <f>IFERROR(__xludf.DUMMYFUNCTION("""COMPUTED_VALUE"""),0.625)</f>
        <v>0.625</v>
      </c>
      <c r="D7551" s="8">
        <f>IFERROR(__xludf.DUMMYFUNCTION("""COMPUTED_VALUE"""),0.34)</f>
        <v>0.34</v>
      </c>
      <c r="E7551" s="8" t="str">
        <f>IFERROR(__xludf.DUMMYFUNCTION("""COMPUTED_VALUE"""),"Real")</f>
        <v>Real</v>
      </c>
      <c r="G7551" s="8">
        <f t="shared" si="1"/>
        <v>9</v>
      </c>
      <c r="H7551" s="14">
        <f t="shared" si="2"/>
        <v>11</v>
      </c>
      <c r="I7551" s="15">
        <f t="shared" si="3"/>
        <v>15</v>
      </c>
    </row>
    <row r="7552">
      <c r="A7552" s="8" t="str">
        <f>IFERROR(__xludf.DUMMYFUNCTION("IF('(INGESTA)Datos_consumo_datadis'!A7552&lt;&gt;"""",SPLIT('(INGESTA)Datos_consumo_datadis'!A:A,"",""),"""")"),"ES0031408323131005HX0F")</f>
        <v>ES0031408323131005HX0F</v>
      </c>
      <c r="B7552" s="12">
        <f>IFERROR(__xludf.DUMMYFUNCTION("""COMPUTED_VALUE"""),45180.0)</f>
        <v>45180</v>
      </c>
      <c r="C7552" s="13">
        <f>IFERROR(__xludf.DUMMYFUNCTION("""COMPUTED_VALUE"""),0.6666666666666666)</f>
        <v>0.6666666667</v>
      </c>
      <c r="D7552" s="8">
        <f>IFERROR(__xludf.DUMMYFUNCTION("""COMPUTED_VALUE"""),0.028)</f>
        <v>0.028</v>
      </c>
      <c r="E7552" s="8" t="str">
        <f>IFERROR(__xludf.DUMMYFUNCTION("""COMPUTED_VALUE"""),"Real")</f>
        <v>Real</v>
      </c>
      <c r="G7552" s="8">
        <f t="shared" si="1"/>
        <v>9</v>
      </c>
      <c r="H7552" s="14">
        <f t="shared" si="2"/>
        <v>11</v>
      </c>
      <c r="I7552" s="15">
        <f t="shared" si="3"/>
        <v>16</v>
      </c>
    </row>
    <row r="7553">
      <c r="A7553" s="8" t="str">
        <f>IFERROR(__xludf.DUMMYFUNCTION("IF('(INGESTA)Datos_consumo_datadis'!A7553&lt;&gt;"""",SPLIT('(INGESTA)Datos_consumo_datadis'!A:A,"",""),"""")"),"ES0031408323131005HX0F")</f>
        <v>ES0031408323131005HX0F</v>
      </c>
      <c r="B7553" s="12">
        <f>IFERROR(__xludf.DUMMYFUNCTION("""COMPUTED_VALUE"""),45180.0)</f>
        <v>45180</v>
      </c>
      <c r="C7553" s="13">
        <f>IFERROR(__xludf.DUMMYFUNCTION("""COMPUTED_VALUE"""),0.7083333333333334)</f>
        <v>0.7083333333</v>
      </c>
      <c r="D7553" s="8">
        <f>IFERROR(__xludf.DUMMYFUNCTION("""COMPUTED_VALUE"""),0.028)</f>
        <v>0.028</v>
      </c>
      <c r="E7553" s="8" t="str">
        <f>IFERROR(__xludf.DUMMYFUNCTION("""COMPUTED_VALUE"""),"Real")</f>
        <v>Real</v>
      </c>
      <c r="G7553" s="8">
        <f t="shared" si="1"/>
        <v>9</v>
      </c>
      <c r="H7553" s="14">
        <f t="shared" si="2"/>
        <v>11</v>
      </c>
      <c r="I7553" s="15">
        <f t="shared" si="3"/>
        <v>17</v>
      </c>
    </row>
    <row r="7554">
      <c r="A7554" s="8" t="str">
        <f>IFERROR(__xludf.DUMMYFUNCTION("IF('(INGESTA)Datos_consumo_datadis'!A7554&lt;&gt;"""",SPLIT('(INGESTA)Datos_consumo_datadis'!A:A,"",""),"""")"),"ES0031408323131005HX0F")</f>
        <v>ES0031408323131005HX0F</v>
      </c>
      <c r="B7554" s="12">
        <f>IFERROR(__xludf.DUMMYFUNCTION("""COMPUTED_VALUE"""),45180.0)</f>
        <v>45180</v>
      </c>
      <c r="C7554" s="13">
        <f>IFERROR(__xludf.DUMMYFUNCTION("""COMPUTED_VALUE"""),0.75)</f>
        <v>0.75</v>
      </c>
      <c r="D7554" s="8">
        <f>IFERROR(__xludf.DUMMYFUNCTION("""COMPUTED_VALUE"""),0.121)</f>
        <v>0.121</v>
      </c>
      <c r="E7554" s="8" t="str">
        <f>IFERROR(__xludf.DUMMYFUNCTION("""COMPUTED_VALUE"""),"Real")</f>
        <v>Real</v>
      </c>
      <c r="G7554" s="8">
        <f t="shared" si="1"/>
        <v>9</v>
      </c>
      <c r="H7554" s="14">
        <f t="shared" si="2"/>
        <v>11</v>
      </c>
      <c r="I7554" s="15">
        <f t="shared" si="3"/>
        <v>18</v>
      </c>
    </row>
    <row r="7555">
      <c r="A7555" s="8" t="str">
        <f>IFERROR(__xludf.DUMMYFUNCTION("IF('(INGESTA)Datos_consumo_datadis'!A7555&lt;&gt;"""",SPLIT('(INGESTA)Datos_consumo_datadis'!A:A,"",""),"""")"),"ES0031408323131005HX0F")</f>
        <v>ES0031408323131005HX0F</v>
      </c>
      <c r="B7555" s="12">
        <f>IFERROR(__xludf.DUMMYFUNCTION("""COMPUTED_VALUE"""),45180.0)</f>
        <v>45180</v>
      </c>
      <c r="C7555" s="13">
        <f>IFERROR(__xludf.DUMMYFUNCTION("""COMPUTED_VALUE"""),0.7916666666666666)</f>
        <v>0.7916666667</v>
      </c>
      <c r="D7555" s="8">
        <f>IFERROR(__xludf.DUMMYFUNCTION("""COMPUTED_VALUE"""),0.129)</f>
        <v>0.129</v>
      </c>
      <c r="E7555" s="8" t="str">
        <f>IFERROR(__xludf.DUMMYFUNCTION("""COMPUTED_VALUE"""),"Real")</f>
        <v>Real</v>
      </c>
      <c r="G7555" s="8">
        <f t="shared" si="1"/>
        <v>9</v>
      </c>
      <c r="H7555" s="14">
        <f t="shared" si="2"/>
        <v>11</v>
      </c>
      <c r="I7555" s="15">
        <f t="shared" si="3"/>
        <v>19</v>
      </c>
    </row>
    <row r="7556">
      <c r="A7556" s="8" t="str">
        <f>IFERROR(__xludf.DUMMYFUNCTION("IF('(INGESTA)Datos_consumo_datadis'!A7556&lt;&gt;"""",SPLIT('(INGESTA)Datos_consumo_datadis'!A:A,"",""),"""")"),"ES0031408323131005HX0F")</f>
        <v>ES0031408323131005HX0F</v>
      </c>
      <c r="B7556" s="12">
        <f>IFERROR(__xludf.DUMMYFUNCTION("""COMPUTED_VALUE"""),45180.0)</f>
        <v>45180</v>
      </c>
      <c r="C7556" s="13">
        <f>IFERROR(__xludf.DUMMYFUNCTION("""COMPUTED_VALUE"""),0.8333333333333334)</f>
        <v>0.8333333333</v>
      </c>
      <c r="D7556" s="8">
        <f>IFERROR(__xludf.DUMMYFUNCTION("""COMPUTED_VALUE"""),0.103)</f>
        <v>0.103</v>
      </c>
      <c r="E7556" s="8" t="str">
        <f>IFERROR(__xludf.DUMMYFUNCTION("""COMPUTED_VALUE"""),"Real")</f>
        <v>Real</v>
      </c>
      <c r="G7556" s="8">
        <f t="shared" si="1"/>
        <v>9</v>
      </c>
      <c r="H7556" s="14">
        <f t="shared" si="2"/>
        <v>11</v>
      </c>
      <c r="I7556" s="15">
        <f t="shared" si="3"/>
        <v>20</v>
      </c>
    </row>
    <row r="7557">
      <c r="A7557" s="8" t="str">
        <f>IFERROR(__xludf.DUMMYFUNCTION("IF('(INGESTA)Datos_consumo_datadis'!A7557&lt;&gt;"""",SPLIT('(INGESTA)Datos_consumo_datadis'!A:A,"",""),"""")"),"ES0031408323131005HX0F")</f>
        <v>ES0031408323131005HX0F</v>
      </c>
      <c r="B7557" s="12">
        <f>IFERROR(__xludf.DUMMYFUNCTION("""COMPUTED_VALUE"""),45180.0)</f>
        <v>45180</v>
      </c>
      <c r="C7557" s="13">
        <f>IFERROR(__xludf.DUMMYFUNCTION("""COMPUTED_VALUE"""),0.875)</f>
        <v>0.875</v>
      </c>
      <c r="D7557" s="8">
        <f>IFERROR(__xludf.DUMMYFUNCTION("""COMPUTED_VALUE"""),0.1)</f>
        <v>0.1</v>
      </c>
      <c r="E7557" s="8" t="str">
        <f>IFERROR(__xludf.DUMMYFUNCTION("""COMPUTED_VALUE"""),"Real")</f>
        <v>Real</v>
      </c>
      <c r="G7557" s="8">
        <f t="shared" si="1"/>
        <v>9</v>
      </c>
      <c r="H7557" s="14">
        <f t="shared" si="2"/>
        <v>11</v>
      </c>
      <c r="I7557" s="15">
        <f t="shared" si="3"/>
        <v>21</v>
      </c>
    </row>
    <row r="7558">
      <c r="A7558" s="8" t="str">
        <f>IFERROR(__xludf.DUMMYFUNCTION("IF('(INGESTA)Datos_consumo_datadis'!A7558&lt;&gt;"""",SPLIT('(INGESTA)Datos_consumo_datadis'!A:A,"",""),"""")"),"ES0031408323131005HX0F")</f>
        <v>ES0031408323131005HX0F</v>
      </c>
      <c r="B7558" s="12">
        <f>IFERROR(__xludf.DUMMYFUNCTION("""COMPUTED_VALUE"""),45180.0)</f>
        <v>45180</v>
      </c>
      <c r="C7558" s="13">
        <f>IFERROR(__xludf.DUMMYFUNCTION("""COMPUTED_VALUE"""),0.9166666666666666)</f>
        <v>0.9166666667</v>
      </c>
      <c r="D7558" s="8">
        <f>IFERROR(__xludf.DUMMYFUNCTION("""COMPUTED_VALUE"""),0.293)</f>
        <v>0.293</v>
      </c>
      <c r="E7558" s="8" t="str">
        <f>IFERROR(__xludf.DUMMYFUNCTION("""COMPUTED_VALUE"""),"Real")</f>
        <v>Real</v>
      </c>
      <c r="G7558" s="8">
        <f t="shared" si="1"/>
        <v>9</v>
      </c>
      <c r="H7558" s="14">
        <f t="shared" si="2"/>
        <v>11</v>
      </c>
      <c r="I7558" s="15">
        <f t="shared" si="3"/>
        <v>22</v>
      </c>
    </row>
    <row r="7559">
      <c r="A7559" s="8" t="str">
        <f>IFERROR(__xludf.DUMMYFUNCTION("IF('(INGESTA)Datos_consumo_datadis'!A7559&lt;&gt;"""",SPLIT('(INGESTA)Datos_consumo_datadis'!A:A,"",""),"""")"),"ES0031408323131005HX0F")</f>
        <v>ES0031408323131005HX0F</v>
      </c>
      <c r="B7559" s="12">
        <f>IFERROR(__xludf.DUMMYFUNCTION("""COMPUTED_VALUE"""),45180.0)</f>
        <v>45180</v>
      </c>
      <c r="C7559" s="13">
        <f>IFERROR(__xludf.DUMMYFUNCTION("""COMPUTED_VALUE"""),0.9583333333333334)</f>
        <v>0.9583333333</v>
      </c>
      <c r="D7559" s="8">
        <f>IFERROR(__xludf.DUMMYFUNCTION("""COMPUTED_VALUE"""),0.028)</f>
        <v>0.028</v>
      </c>
      <c r="E7559" s="8" t="str">
        <f>IFERROR(__xludf.DUMMYFUNCTION("""COMPUTED_VALUE"""),"Real")</f>
        <v>Real</v>
      </c>
      <c r="G7559" s="8">
        <f t="shared" si="1"/>
        <v>9</v>
      </c>
      <c r="H7559" s="14">
        <f t="shared" si="2"/>
        <v>11</v>
      </c>
      <c r="I7559" s="15">
        <f t="shared" si="3"/>
        <v>23</v>
      </c>
    </row>
    <row r="7560">
      <c r="A7560" s="8" t="str">
        <f>IFERROR(__xludf.DUMMYFUNCTION("IF('(INGESTA)Datos_consumo_datadis'!A7560&lt;&gt;"""",SPLIT('(INGESTA)Datos_consumo_datadis'!A:A,"",""),"""")"),"ES0031408323131005HX0F")</f>
        <v>ES0031408323131005HX0F</v>
      </c>
      <c r="B7560" s="12">
        <f>IFERROR(__xludf.DUMMYFUNCTION("""COMPUTED_VALUE"""),45180.0)</f>
        <v>45180</v>
      </c>
      <c r="C7560" s="16">
        <f>IFERROR(__xludf.DUMMYFUNCTION("""COMPUTED_VALUE"""),1.0)</f>
        <v>1</v>
      </c>
      <c r="D7560" s="8">
        <f>IFERROR(__xludf.DUMMYFUNCTION("""COMPUTED_VALUE"""),0.086)</f>
        <v>0.086</v>
      </c>
      <c r="E7560" s="8" t="str">
        <f>IFERROR(__xludf.DUMMYFUNCTION("""COMPUTED_VALUE"""),"Real")</f>
        <v>Real</v>
      </c>
      <c r="G7560" s="8">
        <f t="shared" si="1"/>
        <v>9</v>
      </c>
      <c r="H7560" s="14">
        <f t="shared" si="2"/>
        <v>11</v>
      </c>
      <c r="I7560" s="15">
        <f t="shared" si="3"/>
        <v>0</v>
      </c>
    </row>
    <row r="7561">
      <c r="A7561" s="8" t="str">
        <f>IFERROR(__xludf.DUMMYFUNCTION("IF('(INGESTA)Datos_consumo_datadis'!A7561&lt;&gt;"""",SPLIT('(INGESTA)Datos_consumo_datadis'!A:A,"",""),"""")"),"ES0031408323131005HX0F")</f>
        <v>ES0031408323131005HX0F</v>
      </c>
      <c r="B7561" s="12">
        <f>IFERROR(__xludf.DUMMYFUNCTION("""COMPUTED_VALUE"""),45181.0)</f>
        <v>45181</v>
      </c>
      <c r="C7561" s="13">
        <f>IFERROR(__xludf.DUMMYFUNCTION("""COMPUTED_VALUE"""),0.041666666666666664)</f>
        <v>0.04166666667</v>
      </c>
      <c r="D7561" s="8">
        <f>IFERROR(__xludf.DUMMYFUNCTION("""COMPUTED_VALUE"""),0.131)</f>
        <v>0.131</v>
      </c>
      <c r="E7561" s="8" t="str">
        <f>IFERROR(__xludf.DUMMYFUNCTION("""COMPUTED_VALUE"""),"Real")</f>
        <v>Real</v>
      </c>
      <c r="G7561" s="8">
        <f t="shared" si="1"/>
        <v>9</v>
      </c>
      <c r="H7561" s="14">
        <f t="shared" si="2"/>
        <v>12</v>
      </c>
      <c r="I7561" s="15">
        <f t="shared" si="3"/>
        <v>1</v>
      </c>
    </row>
    <row r="7562">
      <c r="A7562" s="8" t="str">
        <f>IFERROR(__xludf.DUMMYFUNCTION("IF('(INGESTA)Datos_consumo_datadis'!A7562&lt;&gt;"""",SPLIT('(INGESTA)Datos_consumo_datadis'!A:A,"",""),"""")"),"ES0031408323131005HX0F")</f>
        <v>ES0031408323131005HX0F</v>
      </c>
      <c r="B7562" s="12">
        <f>IFERROR(__xludf.DUMMYFUNCTION("""COMPUTED_VALUE"""),45181.0)</f>
        <v>45181</v>
      </c>
      <c r="C7562" s="13">
        <f>IFERROR(__xludf.DUMMYFUNCTION("""COMPUTED_VALUE"""),0.08333333333333333)</f>
        <v>0.08333333333</v>
      </c>
      <c r="D7562" s="8">
        <f>IFERROR(__xludf.DUMMYFUNCTION("""COMPUTED_VALUE"""),0.109)</f>
        <v>0.109</v>
      </c>
      <c r="E7562" s="8" t="str">
        <f>IFERROR(__xludf.DUMMYFUNCTION("""COMPUTED_VALUE"""),"Real")</f>
        <v>Real</v>
      </c>
      <c r="G7562" s="8">
        <f t="shared" si="1"/>
        <v>9</v>
      </c>
      <c r="H7562" s="14">
        <f t="shared" si="2"/>
        <v>12</v>
      </c>
      <c r="I7562" s="15">
        <f t="shared" si="3"/>
        <v>2</v>
      </c>
    </row>
    <row r="7563">
      <c r="A7563" s="8" t="str">
        <f>IFERROR(__xludf.DUMMYFUNCTION("IF('(INGESTA)Datos_consumo_datadis'!A7563&lt;&gt;"""",SPLIT('(INGESTA)Datos_consumo_datadis'!A:A,"",""),"""")"),"ES0031408323131005HX0F")</f>
        <v>ES0031408323131005HX0F</v>
      </c>
      <c r="B7563" s="12">
        <f>IFERROR(__xludf.DUMMYFUNCTION("""COMPUTED_VALUE"""),45181.0)</f>
        <v>45181</v>
      </c>
      <c r="C7563" s="13">
        <f>IFERROR(__xludf.DUMMYFUNCTION("""COMPUTED_VALUE"""),0.125)</f>
        <v>0.125</v>
      </c>
      <c r="D7563" s="8">
        <f>IFERROR(__xludf.DUMMYFUNCTION("""COMPUTED_VALUE"""),0.096)</f>
        <v>0.096</v>
      </c>
      <c r="E7563" s="8" t="str">
        <f>IFERROR(__xludf.DUMMYFUNCTION("""COMPUTED_VALUE"""),"Real")</f>
        <v>Real</v>
      </c>
      <c r="G7563" s="8">
        <f t="shared" si="1"/>
        <v>9</v>
      </c>
      <c r="H7563" s="14">
        <f t="shared" si="2"/>
        <v>12</v>
      </c>
      <c r="I7563" s="15">
        <f t="shared" si="3"/>
        <v>3</v>
      </c>
    </row>
    <row r="7564">
      <c r="A7564" s="8" t="str">
        <f>IFERROR(__xludf.DUMMYFUNCTION("IF('(INGESTA)Datos_consumo_datadis'!A7564&lt;&gt;"""",SPLIT('(INGESTA)Datos_consumo_datadis'!A:A,"",""),"""")"),"ES0031408323131005HX0F")</f>
        <v>ES0031408323131005HX0F</v>
      </c>
      <c r="B7564" s="12">
        <f>IFERROR(__xludf.DUMMYFUNCTION("""COMPUTED_VALUE"""),45181.0)</f>
        <v>45181</v>
      </c>
      <c r="C7564" s="13">
        <f>IFERROR(__xludf.DUMMYFUNCTION("""COMPUTED_VALUE"""),0.16666666666666666)</f>
        <v>0.1666666667</v>
      </c>
      <c r="D7564" s="8">
        <f>IFERROR(__xludf.DUMMYFUNCTION("""COMPUTED_VALUE"""),0.07)</f>
        <v>0.07</v>
      </c>
      <c r="E7564" s="8" t="str">
        <f>IFERROR(__xludf.DUMMYFUNCTION("""COMPUTED_VALUE"""),"Real")</f>
        <v>Real</v>
      </c>
      <c r="G7564" s="8">
        <f t="shared" si="1"/>
        <v>9</v>
      </c>
      <c r="H7564" s="14">
        <f t="shared" si="2"/>
        <v>12</v>
      </c>
      <c r="I7564" s="15">
        <f t="shared" si="3"/>
        <v>4</v>
      </c>
    </row>
    <row r="7565">
      <c r="A7565" s="8" t="str">
        <f>IFERROR(__xludf.DUMMYFUNCTION("IF('(INGESTA)Datos_consumo_datadis'!A7565&lt;&gt;"""",SPLIT('(INGESTA)Datos_consumo_datadis'!A:A,"",""),"""")"),"ES0031408323131005HX0F")</f>
        <v>ES0031408323131005HX0F</v>
      </c>
      <c r="B7565" s="12">
        <f>IFERROR(__xludf.DUMMYFUNCTION("""COMPUTED_VALUE"""),45181.0)</f>
        <v>45181</v>
      </c>
      <c r="C7565" s="13">
        <f>IFERROR(__xludf.DUMMYFUNCTION("""COMPUTED_VALUE"""),0.20833333333333334)</f>
        <v>0.2083333333</v>
      </c>
      <c r="D7565" s="8">
        <f>IFERROR(__xludf.DUMMYFUNCTION("""COMPUTED_VALUE"""),0.132)</f>
        <v>0.132</v>
      </c>
      <c r="E7565" s="8" t="str">
        <f>IFERROR(__xludf.DUMMYFUNCTION("""COMPUTED_VALUE"""),"Real")</f>
        <v>Real</v>
      </c>
      <c r="G7565" s="8">
        <f t="shared" si="1"/>
        <v>9</v>
      </c>
      <c r="H7565" s="14">
        <f t="shared" si="2"/>
        <v>12</v>
      </c>
      <c r="I7565" s="15">
        <f t="shared" si="3"/>
        <v>5</v>
      </c>
    </row>
    <row r="7566">
      <c r="A7566" s="8" t="str">
        <f>IFERROR(__xludf.DUMMYFUNCTION("IF('(INGESTA)Datos_consumo_datadis'!A7566&lt;&gt;"""",SPLIT('(INGESTA)Datos_consumo_datadis'!A:A,"",""),"""")"),"ES0031408323131005HX0F")</f>
        <v>ES0031408323131005HX0F</v>
      </c>
      <c r="B7566" s="12">
        <f>IFERROR(__xludf.DUMMYFUNCTION("""COMPUTED_VALUE"""),45181.0)</f>
        <v>45181</v>
      </c>
      <c r="C7566" s="13">
        <f>IFERROR(__xludf.DUMMYFUNCTION("""COMPUTED_VALUE"""),0.25)</f>
        <v>0.25</v>
      </c>
      <c r="D7566" s="8">
        <f>IFERROR(__xludf.DUMMYFUNCTION("""COMPUTED_VALUE"""),0.235)</f>
        <v>0.235</v>
      </c>
      <c r="E7566" s="8" t="str">
        <f>IFERROR(__xludf.DUMMYFUNCTION("""COMPUTED_VALUE"""),"Real")</f>
        <v>Real</v>
      </c>
      <c r="G7566" s="8">
        <f t="shared" si="1"/>
        <v>9</v>
      </c>
      <c r="H7566" s="14">
        <f t="shared" si="2"/>
        <v>12</v>
      </c>
      <c r="I7566" s="15">
        <f t="shared" si="3"/>
        <v>6</v>
      </c>
    </row>
    <row r="7567">
      <c r="A7567" s="8" t="str">
        <f>IFERROR(__xludf.DUMMYFUNCTION("IF('(INGESTA)Datos_consumo_datadis'!A7567&lt;&gt;"""",SPLIT('(INGESTA)Datos_consumo_datadis'!A:A,"",""),"""")"),"ES0031408323131005HX0F")</f>
        <v>ES0031408323131005HX0F</v>
      </c>
      <c r="B7567" s="12">
        <f>IFERROR(__xludf.DUMMYFUNCTION("""COMPUTED_VALUE"""),45181.0)</f>
        <v>45181</v>
      </c>
      <c r="C7567" s="13">
        <f>IFERROR(__xludf.DUMMYFUNCTION("""COMPUTED_VALUE"""),0.2916666666666667)</f>
        <v>0.2916666667</v>
      </c>
      <c r="D7567" s="8">
        <f>IFERROR(__xludf.DUMMYFUNCTION("""COMPUTED_VALUE"""),0.132)</f>
        <v>0.132</v>
      </c>
      <c r="E7567" s="8" t="str">
        <f>IFERROR(__xludf.DUMMYFUNCTION("""COMPUTED_VALUE"""),"Real")</f>
        <v>Real</v>
      </c>
      <c r="G7567" s="8">
        <f t="shared" si="1"/>
        <v>9</v>
      </c>
      <c r="H7567" s="14">
        <f t="shared" si="2"/>
        <v>12</v>
      </c>
      <c r="I7567" s="15">
        <f t="shared" si="3"/>
        <v>7</v>
      </c>
    </row>
    <row r="7568">
      <c r="A7568" s="8" t="str">
        <f>IFERROR(__xludf.DUMMYFUNCTION("IF('(INGESTA)Datos_consumo_datadis'!A7568&lt;&gt;"""",SPLIT('(INGESTA)Datos_consumo_datadis'!A:A,"",""),"""")"),"ES0031408323131005HX0F")</f>
        <v>ES0031408323131005HX0F</v>
      </c>
      <c r="B7568" s="12">
        <f>IFERROR(__xludf.DUMMYFUNCTION("""COMPUTED_VALUE"""),45181.0)</f>
        <v>45181</v>
      </c>
      <c r="C7568" s="13">
        <f>IFERROR(__xludf.DUMMYFUNCTION("""COMPUTED_VALUE"""),0.3333333333333333)</f>
        <v>0.3333333333</v>
      </c>
      <c r="D7568" s="8">
        <f>IFERROR(__xludf.DUMMYFUNCTION("""COMPUTED_VALUE"""),0.128)</f>
        <v>0.128</v>
      </c>
      <c r="E7568" s="8" t="str">
        <f>IFERROR(__xludf.DUMMYFUNCTION("""COMPUTED_VALUE"""),"Real")</f>
        <v>Real</v>
      </c>
      <c r="G7568" s="8">
        <f t="shared" si="1"/>
        <v>9</v>
      </c>
      <c r="H7568" s="14">
        <f t="shared" si="2"/>
        <v>12</v>
      </c>
      <c r="I7568" s="15">
        <f t="shared" si="3"/>
        <v>8</v>
      </c>
    </row>
    <row r="7569">
      <c r="A7569" s="8" t="str">
        <f>IFERROR(__xludf.DUMMYFUNCTION("IF('(INGESTA)Datos_consumo_datadis'!A7569&lt;&gt;"""",SPLIT('(INGESTA)Datos_consumo_datadis'!A:A,"",""),"""")"),"ES0031408323131005HX0F")</f>
        <v>ES0031408323131005HX0F</v>
      </c>
      <c r="B7569" s="12">
        <f>IFERROR(__xludf.DUMMYFUNCTION("""COMPUTED_VALUE"""),45181.0)</f>
        <v>45181</v>
      </c>
      <c r="C7569" s="13">
        <f>IFERROR(__xludf.DUMMYFUNCTION("""COMPUTED_VALUE"""),0.375)</f>
        <v>0.375</v>
      </c>
      <c r="D7569" s="8">
        <f>IFERROR(__xludf.DUMMYFUNCTION("""COMPUTED_VALUE"""),0.092)</f>
        <v>0.092</v>
      </c>
      <c r="E7569" s="8" t="str">
        <f>IFERROR(__xludf.DUMMYFUNCTION("""COMPUTED_VALUE"""),"Real")</f>
        <v>Real</v>
      </c>
      <c r="G7569" s="8">
        <f t="shared" si="1"/>
        <v>9</v>
      </c>
      <c r="H7569" s="14">
        <f t="shared" si="2"/>
        <v>12</v>
      </c>
      <c r="I7569" s="15">
        <f t="shared" si="3"/>
        <v>9</v>
      </c>
    </row>
    <row r="7570">
      <c r="A7570" s="8" t="str">
        <f>IFERROR(__xludf.DUMMYFUNCTION("IF('(INGESTA)Datos_consumo_datadis'!A7570&lt;&gt;"""",SPLIT('(INGESTA)Datos_consumo_datadis'!A:A,"",""),"""")"),"ES0031408323131005HX0F")</f>
        <v>ES0031408323131005HX0F</v>
      </c>
      <c r="B7570" s="12">
        <f>IFERROR(__xludf.DUMMYFUNCTION("""COMPUTED_VALUE"""),45181.0)</f>
        <v>45181</v>
      </c>
      <c r="C7570" s="13">
        <f>IFERROR(__xludf.DUMMYFUNCTION("""COMPUTED_VALUE"""),0.4166666666666667)</f>
        <v>0.4166666667</v>
      </c>
      <c r="D7570" s="8">
        <f>IFERROR(__xludf.DUMMYFUNCTION("""COMPUTED_VALUE"""),0.079)</f>
        <v>0.079</v>
      </c>
      <c r="E7570" s="8" t="str">
        <f>IFERROR(__xludf.DUMMYFUNCTION("""COMPUTED_VALUE"""),"Real")</f>
        <v>Real</v>
      </c>
      <c r="G7570" s="8">
        <f t="shared" si="1"/>
        <v>9</v>
      </c>
      <c r="H7570" s="14">
        <f t="shared" si="2"/>
        <v>12</v>
      </c>
      <c r="I7570" s="15">
        <f t="shared" si="3"/>
        <v>10</v>
      </c>
    </row>
    <row r="7571">
      <c r="A7571" s="8" t="str">
        <f>IFERROR(__xludf.DUMMYFUNCTION("IF('(INGESTA)Datos_consumo_datadis'!A7571&lt;&gt;"""",SPLIT('(INGESTA)Datos_consumo_datadis'!A:A,"",""),"""")"),"ES0031408323131005HX0F")</f>
        <v>ES0031408323131005HX0F</v>
      </c>
      <c r="B7571" s="12">
        <f>IFERROR(__xludf.DUMMYFUNCTION("""COMPUTED_VALUE"""),45181.0)</f>
        <v>45181</v>
      </c>
      <c r="C7571" s="13">
        <f>IFERROR(__xludf.DUMMYFUNCTION("""COMPUTED_VALUE"""),0.4583333333333333)</f>
        <v>0.4583333333</v>
      </c>
      <c r="D7571" s="8">
        <f>IFERROR(__xludf.DUMMYFUNCTION("""COMPUTED_VALUE"""),0.028)</f>
        <v>0.028</v>
      </c>
      <c r="E7571" s="8" t="str">
        <f>IFERROR(__xludf.DUMMYFUNCTION("""COMPUTED_VALUE"""),"Real")</f>
        <v>Real</v>
      </c>
      <c r="G7571" s="8">
        <f t="shared" si="1"/>
        <v>9</v>
      </c>
      <c r="H7571" s="14">
        <f t="shared" si="2"/>
        <v>12</v>
      </c>
      <c r="I7571" s="15">
        <f t="shared" si="3"/>
        <v>11</v>
      </c>
    </row>
    <row r="7572">
      <c r="A7572" s="8" t="str">
        <f>IFERROR(__xludf.DUMMYFUNCTION("IF('(INGESTA)Datos_consumo_datadis'!A7572&lt;&gt;"""",SPLIT('(INGESTA)Datos_consumo_datadis'!A:A,"",""),"""")"),"ES0031408323131005HX0F")</f>
        <v>ES0031408323131005HX0F</v>
      </c>
      <c r="B7572" s="12">
        <f>IFERROR(__xludf.DUMMYFUNCTION("""COMPUTED_VALUE"""),45181.0)</f>
        <v>45181</v>
      </c>
      <c r="C7572" s="13">
        <f>IFERROR(__xludf.DUMMYFUNCTION("""COMPUTED_VALUE"""),0.5)</f>
        <v>0.5</v>
      </c>
      <c r="D7572" s="8">
        <f>IFERROR(__xludf.DUMMYFUNCTION("""COMPUTED_VALUE"""),0.031)</f>
        <v>0.031</v>
      </c>
      <c r="E7572" s="8" t="str">
        <f>IFERROR(__xludf.DUMMYFUNCTION("""COMPUTED_VALUE"""),"Real")</f>
        <v>Real</v>
      </c>
      <c r="G7572" s="8">
        <f t="shared" si="1"/>
        <v>9</v>
      </c>
      <c r="H7572" s="14">
        <f t="shared" si="2"/>
        <v>12</v>
      </c>
      <c r="I7572" s="15">
        <f t="shared" si="3"/>
        <v>12</v>
      </c>
    </row>
    <row r="7573">
      <c r="A7573" s="8" t="str">
        <f>IFERROR(__xludf.DUMMYFUNCTION("IF('(INGESTA)Datos_consumo_datadis'!A7573&lt;&gt;"""",SPLIT('(INGESTA)Datos_consumo_datadis'!A:A,"",""),"""")"),"ES0031408323131005HX0F")</f>
        <v>ES0031408323131005HX0F</v>
      </c>
      <c r="B7573" s="12">
        <f>IFERROR(__xludf.DUMMYFUNCTION("""COMPUTED_VALUE"""),45181.0)</f>
        <v>45181</v>
      </c>
      <c r="C7573" s="13">
        <f>IFERROR(__xludf.DUMMYFUNCTION("""COMPUTED_VALUE"""),0.5416666666666666)</f>
        <v>0.5416666667</v>
      </c>
      <c r="D7573" s="8">
        <f>IFERROR(__xludf.DUMMYFUNCTION("""COMPUTED_VALUE"""),0.364)</f>
        <v>0.364</v>
      </c>
      <c r="E7573" s="8" t="str">
        <f>IFERROR(__xludf.DUMMYFUNCTION("""COMPUTED_VALUE"""),"Real")</f>
        <v>Real</v>
      </c>
      <c r="G7573" s="8">
        <f t="shared" si="1"/>
        <v>9</v>
      </c>
      <c r="H7573" s="14">
        <f t="shared" si="2"/>
        <v>12</v>
      </c>
      <c r="I7573" s="15">
        <f t="shared" si="3"/>
        <v>13</v>
      </c>
    </row>
    <row r="7574">
      <c r="A7574" s="8" t="str">
        <f>IFERROR(__xludf.DUMMYFUNCTION("IF('(INGESTA)Datos_consumo_datadis'!A7574&lt;&gt;"""",SPLIT('(INGESTA)Datos_consumo_datadis'!A:A,"",""),"""")"),"ES0031408323131005HX0F")</f>
        <v>ES0031408323131005HX0F</v>
      </c>
      <c r="B7574" s="12">
        <f>IFERROR(__xludf.DUMMYFUNCTION("""COMPUTED_VALUE"""),45181.0)</f>
        <v>45181</v>
      </c>
      <c r="C7574" s="13">
        <f>IFERROR(__xludf.DUMMYFUNCTION("""COMPUTED_VALUE"""),0.5833333333333334)</f>
        <v>0.5833333333</v>
      </c>
      <c r="D7574" s="8">
        <f>IFERROR(__xludf.DUMMYFUNCTION("""COMPUTED_VALUE"""),0.167)</f>
        <v>0.167</v>
      </c>
      <c r="E7574" s="8" t="str">
        <f>IFERROR(__xludf.DUMMYFUNCTION("""COMPUTED_VALUE"""),"Real")</f>
        <v>Real</v>
      </c>
      <c r="G7574" s="8">
        <f t="shared" si="1"/>
        <v>9</v>
      </c>
      <c r="H7574" s="14">
        <f t="shared" si="2"/>
        <v>12</v>
      </c>
      <c r="I7574" s="15">
        <f t="shared" si="3"/>
        <v>14</v>
      </c>
    </row>
    <row r="7575">
      <c r="A7575" s="8" t="str">
        <f>IFERROR(__xludf.DUMMYFUNCTION("IF('(INGESTA)Datos_consumo_datadis'!A7575&lt;&gt;"""",SPLIT('(INGESTA)Datos_consumo_datadis'!A:A,"",""),"""")"),"ES0031408323131005HX0F")</f>
        <v>ES0031408323131005HX0F</v>
      </c>
      <c r="B7575" s="12">
        <f>IFERROR(__xludf.DUMMYFUNCTION("""COMPUTED_VALUE"""),45181.0)</f>
        <v>45181</v>
      </c>
      <c r="C7575" s="13">
        <f>IFERROR(__xludf.DUMMYFUNCTION("""COMPUTED_VALUE"""),0.625)</f>
        <v>0.625</v>
      </c>
      <c r="D7575" s="8">
        <f>IFERROR(__xludf.DUMMYFUNCTION("""COMPUTED_VALUE"""),0.103)</f>
        <v>0.103</v>
      </c>
      <c r="E7575" s="8" t="str">
        <f>IFERROR(__xludf.DUMMYFUNCTION("""COMPUTED_VALUE"""),"Real")</f>
        <v>Real</v>
      </c>
      <c r="G7575" s="8">
        <f t="shared" si="1"/>
        <v>9</v>
      </c>
      <c r="H7575" s="14">
        <f t="shared" si="2"/>
        <v>12</v>
      </c>
      <c r="I7575" s="15">
        <f t="shared" si="3"/>
        <v>15</v>
      </c>
    </row>
    <row r="7576">
      <c r="A7576" s="8" t="str">
        <f>IFERROR(__xludf.DUMMYFUNCTION("IF('(INGESTA)Datos_consumo_datadis'!A7576&lt;&gt;"""",SPLIT('(INGESTA)Datos_consumo_datadis'!A:A,"",""),"""")"),"ES0031408323131005HX0F")</f>
        <v>ES0031408323131005HX0F</v>
      </c>
      <c r="B7576" s="12">
        <f>IFERROR(__xludf.DUMMYFUNCTION("""COMPUTED_VALUE"""),45181.0)</f>
        <v>45181</v>
      </c>
      <c r="C7576" s="13">
        <f>IFERROR(__xludf.DUMMYFUNCTION("""COMPUTED_VALUE"""),0.6666666666666666)</f>
        <v>0.6666666667</v>
      </c>
      <c r="D7576" s="8">
        <f>IFERROR(__xludf.DUMMYFUNCTION("""COMPUTED_VALUE"""),0.093)</f>
        <v>0.093</v>
      </c>
      <c r="E7576" s="8" t="str">
        <f>IFERROR(__xludf.DUMMYFUNCTION("""COMPUTED_VALUE"""),"Real")</f>
        <v>Real</v>
      </c>
      <c r="G7576" s="8">
        <f t="shared" si="1"/>
        <v>9</v>
      </c>
      <c r="H7576" s="14">
        <f t="shared" si="2"/>
        <v>12</v>
      </c>
      <c r="I7576" s="15">
        <f t="shared" si="3"/>
        <v>16</v>
      </c>
    </row>
    <row r="7577">
      <c r="A7577" s="8" t="str">
        <f>IFERROR(__xludf.DUMMYFUNCTION("IF('(INGESTA)Datos_consumo_datadis'!A7577&lt;&gt;"""",SPLIT('(INGESTA)Datos_consumo_datadis'!A:A,"",""),"""")"),"ES0031408323131005HX0F")</f>
        <v>ES0031408323131005HX0F</v>
      </c>
      <c r="B7577" s="12">
        <f>IFERROR(__xludf.DUMMYFUNCTION("""COMPUTED_VALUE"""),45181.0)</f>
        <v>45181</v>
      </c>
      <c r="C7577" s="13">
        <f>IFERROR(__xludf.DUMMYFUNCTION("""COMPUTED_VALUE"""),0.7083333333333334)</f>
        <v>0.7083333333</v>
      </c>
      <c r="D7577" s="8">
        <f>IFERROR(__xludf.DUMMYFUNCTION("""COMPUTED_VALUE"""),0.028)</f>
        <v>0.028</v>
      </c>
      <c r="E7577" s="8" t="str">
        <f>IFERROR(__xludf.DUMMYFUNCTION("""COMPUTED_VALUE"""),"Real")</f>
        <v>Real</v>
      </c>
      <c r="G7577" s="8">
        <f t="shared" si="1"/>
        <v>9</v>
      </c>
      <c r="H7577" s="14">
        <f t="shared" si="2"/>
        <v>12</v>
      </c>
      <c r="I7577" s="15">
        <f t="shared" si="3"/>
        <v>17</v>
      </c>
    </row>
    <row r="7578">
      <c r="A7578" s="8" t="str">
        <f>IFERROR(__xludf.DUMMYFUNCTION("IF('(INGESTA)Datos_consumo_datadis'!A7578&lt;&gt;"""",SPLIT('(INGESTA)Datos_consumo_datadis'!A:A,"",""),"""")"),"ES0031408323131005HX0F")</f>
        <v>ES0031408323131005HX0F</v>
      </c>
      <c r="B7578" s="12">
        <f>IFERROR(__xludf.DUMMYFUNCTION("""COMPUTED_VALUE"""),45181.0)</f>
        <v>45181</v>
      </c>
      <c r="C7578" s="13">
        <f>IFERROR(__xludf.DUMMYFUNCTION("""COMPUTED_VALUE"""),0.75)</f>
        <v>0.75</v>
      </c>
      <c r="D7578" s="8">
        <f>IFERROR(__xludf.DUMMYFUNCTION("""COMPUTED_VALUE"""),0.051)</f>
        <v>0.051</v>
      </c>
      <c r="E7578" s="8" t="str">
        <f>IFERROR(__xludf.DUMMYFUNCTION("""COMPUTED_VALUE"""),"Real")</f>
        <v>Real</v>
      </c>
      <c r="G7578" s="8">
        <f t="shared" si="1"/>
        <v>9</v>
      </c>
      <c r="H7578" s="14">
        <f t="shared" si="2"/>
        <v>12</v>
      </c>
      <c r="I7578" s="15">
        <f t="shared" si="3"/>
        <v>18</v>
      </c>
    </row>
    <row r="7579">
      <c r="A7579" s="8" t="str">
        <f>IFERROR(__xludf.DUMMYFUNCTION("IF('(INGESTA)Datos_consumo_datadis'!A7579&lt;&gt;"""",SPLIT('(INGESTA)Datos_consumo_datadis'!A:A,"",""),"""")"),"ES0031408323131005HX0F")</f>
        <v>ES0031408323131005HX0F</v>
      </c>
      <c r="B7579" s="12">
        <f>IFERROR(__xludf.DUMMYFUNCTION("""COMPUTED_VALUE"""),45181.0)</f>
        <v>45181</v>
      </c>
      <c r="C7579" s="13">
        <f>IFERROR(__xludf.DUMMYFUNCTION("""COMPUTED_VALUE"""),0.7916666666666666)</f>
        <v>0.7916666667</v>
      </c>
      <c r="D7579" s="8">
        <f>IFERROR(__xludf.DUMMYFUNCTION("""COMPUTED_VALUE"""),0.135)</f>
        <v>0.135</v>
      </c>
      <c r="E7579" s="8" t="str">
        <f>IFERROR(__xludf.DUMMYFUNCTION("""COMPUTED_VALUE"""),"Real")</f>
        <v>Real</v>
      </c>
      <c r="G7579" s="8">
        <f t="shared" si="1"/>
        <v>9</v>
      </c>
      <c r="H7579" s="14">
        <f t="shared" si="2"/>
        <v>12</v>
      </c>
      <c r="I7579" s="15">
        <f t="shared" si="3"/>
        <v>19</v>
      </c>
    </row>
    <row r="7580">
      <c r="A7580" s="8" t="str">
        <f>IFERROR(__xludf.DUMMYFUNCTION("IF('(INGESTA)Datos_consumo_datadis'!A7580&lt;&gt;"""",SPLIT('(INGESTA)Datos_consumo_datadis'!A:A,"",""),"""")"),"ES0031408323131005HX0F")</f>
        <v>ES0031408323131005HX0F</v>
      </c>
      <c r="B7580" s="12">
        <f>IFERROR(__xludf.DUMMYFUNCTION("""COMPUTED_VALUE"""),45181.0)</f>
        <v>45181</v>
      </c>
      <c r="C7580" s="13">
        <f>IFERROR(__xludf.DUMMYFUNCTION("""COMPUTED_VALUE"""),0.8333333333333334)</f>
        <v>0.8333333333</v>
      </c>
      <c r="D7580" s="8">
        <f>IFERROR(__xludf.DUMMYFUNCTION("""COMPUTED_VALUE"""),0.129)</f>
        <v>0.129</v>
      </c>
      <c r="E7580" s="8" t="str">
        <f>IFERROR(__xludf.DUMMYFUNCTION("""COMPUTED_VALUE"""),"Real")</f>
        <v>Real</v>
      </c>
      <c r="G7580" s="8">
        <f t="shared" si="1"/>
        <v>9</v>
      </c>
      <c r="H7580" s="14">
        <f t="shared" si="2"/>
        <v>12</v>
      </c>
      <c r="I7580" s="15">
        <f t="shared" si="3"/>
        <v>20</v>
      </c>
    </row>
    <row r="7581">
      <c r="A7581" s="8" t="str">
        <f>IFERROR(__xludf.DUMMYFUNCTION("IF('(INGESTA)Datos_consumo_datadis'!A7581&lt;&gt;"""",SPLIT('(INGESTA)Datos_consumo_datadis'!A:A,"",""),"""")"),"ES0031408323131005HX0F")</f>
        <v>ES0031408323131005HX0F</v>
      </c>
      <c r="B7581" s="12">
        <f>IFERROR(__xludf.DUMMYFUNCTION("""COMPUTED_VALUE"""),45181.0)</f>
        <v>45181</v>
      </c>
      <c r="C7581" s="13">
        <f>IFERROR(__xludf.DUMMYFUNCTION("""COMPUTED_VALUE"""),0.875)</f>
        <v>0.875</v>
      </c>
      <c r="D7581" s="8">
        <f>IFERROR(__xludf.DUMMYFUNCTION("""COMPUTED_VALUE"""),0.367)</f>
        <v>0.367</v>
      </c>
      <c r="E7581" s="8" t="str">
        <f>IFERROR(__xludf.DUMMYFUNCTION("""COMPUTED_VALUE"""),"Real")</f>
        <v>Real</v>
      </c>
      <c r="G7581" s="8">
        <f t="shared" si="1"/>
        <v>9</v>
      </c>
      <c r="H7581" s="14">
        <f t="shared" si="2"/>
        <v>12</v>
      </c>
      <c r="I7581" s="15">
        <f t="shared" si="3"/>
        <v>21</v>
      </c>
    </row>
    <row r="7582">
      <c r="A7582" s="8" t="str">
        <f>IFERROR(__xludf.DUMMYFUNCTION("IF('(INGESTA)Datos_consumo_datadis'!A7582&lt;&gt;"""",SPLIT('(INGESTA)Datos_consumo_datadis'!A:A,"",""),"""")"),"ES0031408323131005HX0F")</f>
        <v>ES0031408323131005HX0F</v>
      </c>
      <c r="B7582" s="12">
        <f>IFERROR(__xludf.DUMMYFUNCTION("""COMPUTED_VALUE"""),45181.0)</f>
        <v>45181</v>
      </c>
      <c r="C7582" s="13">
        <f>IFERROR(__xludf.DUMMYFUNCTION("""COMPUTED_VALUE"""),0.9166666666666666)</f>
        <v>0.9166666667</v>
      </c>
      <c r="D7582" s="8">
        <f>IFERROR(__xludf.DUMMYFUNCTION("""COMPUTED_VALUE"""),0.096)</f>
        <v>0.096</v>
      </c>
      <c r="E7582" s="8" t="str">
        <f>IFERROR(__xludf.DUMMYFUNCTION("""COMPUTED_VALUE"""),"Real")</f>
        <v>Real</v>
      </c>
      <c r="G7582" s="8">
        <f t="shared" si="1"/>
        <v>9</v>
      </c>
      <c r="H7582" s="14">
        <f t="shared" si="2"/>
        <v>12</v>
      </c>
      <c r="I7582" s="15">
        <f t="shared" si="3"/>
        <v>22</v>
      </c>
    </row>
    <row r="7583">
      <c r="A7583" s="8" t="str">
        <f>IFERROR(__xludf.DUMMYFUNCTION("IF('(INGESTA)Datos_consumo_datadis'!A7583&lt;&gt;"""",SPLIT('(INGESTA)Datos_consumo_datadis'!A:A,"",""),"""")"),"ES0031408323131005HX0F")</f>
        <v>ES0031408323131005HX0F</v>
      </c>
      <c r="B7583" s="12">
        <f>IFERROR(__xludf.DUMMYFUNCTION("""COMPUTED_VALUE"""),45181.0)</f>
        <v>45181</v>
      </c>
      <c r="C7583" s="13">
        <f>IFERROR(__xludf.DUMMYFUNCTION("""COMPUTED_VALUE"""),0.9583333333333334)</f>
        <v>0.9583333333</v>
      </c>
      <c r="D7583" s="8">
        <f>IFERROR(__xludf.DUMMYFUNCTION("""COMPUTED_VALUE"""),0.028)</f>
        <v>0.028</v>
      </c>
      <c r="E7583" s="8" t="str">
        <f>IFERROR(__xludf.DUMMYFUNCTION("""COMPUTED_VALUE"""),"Real")</f>
        <v>Real</v>
      </c>
      <c r="G7583" s="8">
        <f t="shared" si="1"/>
        <v>9</v>
      </c>
      <c r="H7583" s="14">
        <f t="shared" si="2"/>
        <v>12</v>
      </c>
      <c r="I7583" s="15">
        <f t="shared" si="3"/>
        <v>23</v>
      </c>
    </row>
    <row r="7584">
      <c r="A7584" s="8" t="str">
        <f>IFERROR(__xludf.DUMMYFUNCTION("IF('(INGESTA)Datos_consumo_datadis'!A7584&lt;&gt;"""",SPLIT('(INGESTA)Datos_consumo_datadis'!A:A,"",""),"""")"),"ES0031408323131005HX0F")</f>
        <v>ES0031408323131005HX0F</v>
      </c>
      <c r="B7584" s="12">
        <f>IFERROR(__xludf.DUMMYFUNCTION("""COMPUTED_VALUE"""),45181.0)</f>
        <v>45181</v>
      </c>
      <c r="C7584" s="16">
        <f>IFERROR(__xludf.DUMMYFUNCTION("""COMPUTED_VALUE"""),1.0)</f>
        <v>1</v>
      </c>
      <c r="D7584" s="8">
        <f>IFERROR(__xludf.DUMMYFUNCTION("""COMPUTED_VALUE"""),0.028)</f>
        <v>0.028</v>
      </c>
      <c r="E7584" s="8" t="str">
        <f>IFERROR(__xludf.DUMMYFUNCTION("""COMPUTED_VALUE"""),"Real")</f>
        <v>Real</v>
      </c>
      <c r="G7584" s="8">
        <f t="shared" si="1"/>
        <v>9</v>
      </c>
      <c r="H7584" s="14">
        <f t="shared" si="2"/>
        <v>12</v>
      </c>
      <c r="I7584" s="15">
        <f t="shared" si="3"/>
        <v>0</v>
      </c>
    </row>
    <row r="7585">
      <c r="A7585" s="8" t="str">
        <f>IFERROR(__xludf.DUMMYFUNCTION("IF('(INGESTA)Datos_consumo_datadis'!A7585&lt;&gt;"""",SPLIT('(INGESTA)Datos_consumo_datadis'!A:A,"",""),"""")"),"ES0031408323131005HX0F")</f>
        <v>ES0031408323131005HX0F</v>
      </c>
      <c r="B7585" s="12">
        <f>IFERROR(__xludf.DUMMYFUNCTION("""COMPUTED_VALUE"""),45182.0)</f>
        <v>45182</v>
      </c>
      <c r="C7585" s="13">
        <f>IFERROR(__xludf.DUMMYFUNCTION("""COMPUTED_VALUE"""),0.041666666666666664)</f>
        <v>0.04166666667</v>
      </c>
      <c r="D7585" s="8">
        <f>IFERROR(__xludf.DUMMYFUNCTION("""COMPUTED_VALUE"""),0.115)</f>
        <v>0.115</v>
      </c>
      <c r="E7585" s="8" t="str">
        <f>IFERROR(__xludf.DUMMYFUNCTION("""COMPUTED_VALUE"""),"Real")</f>
        <v>Real</v>
      </c>
      <c r="G7585" s="8">
        <f t="shared" si="1"/>
        <v>9</v>
      </c>
      <c r="H7585" s="14">
        <f t="shared" si="2"/>
        <v>13</v>
      </c>
      <c r="I7585" s="15">
        <f t="shared" si="3"/>
        <v>1</v>
      </c>
    </row>
    <row r="7586">
      <c r="A7586" s="8" t="str">
        <f>IFERROR(__xludf.DUMMYFUNCTION("IF('(INGESTA)Datos_consumo_datadis'!A7586&lt;&gt;"""",SPLIT('(INGESTA)Datos_consumo_datadis'!A:A,"",""),"""")"),"ES0031408323131005HX0F")</f>
        <v>ES0031408323131005HX0F</v>
      </c>
      <c r="B7586" s="12">
        <f>IFERROR(__xludf.DUMMYFUNCTION("""COMPUTED_VALUE"""),45182.0)</f>
        <v>45182</v>
      </c>
      <c r="C7586" s="13">
        <f>IFERROR(__xludf.DUMMYFUNCTION("""COMPUTED_VALUE"""),0.08333333333333333)</f>
        <v>0.08333333333</v>
      </c>
      <c r="D7586" s="8">
        <f>IFERROR(__xludf.DUMMYFUNCTION("""COMPUTED_VALUE"""),0.13)</f>
        <v>0.13</v>
      </c>
      <c r="E7586" s="8" t="str">
        <f>IFERROR(__xludf.DUMMYFUNCTION("""COMPUTED_VALUE"""),"Real")</f>
        <v>Real</v>
      </c>
      <c r="G7586" s="8">
        <f t="shared" si="1"/>
        <v>9</v>
      </c>
      <c r="H7586" s="14">
        <f t="shared" si="2"/>
        <v>13</v>
      </c>
      <c r="I7586" s="15">
        <f t="shared" si="3"/>
        <v>2</v>
      </c>
    </row>
    <row r="7587">
      <c r="A7587" s="8" t="str">
        <f>IFERROR(__xludf.DUMMYFUNCTION("IF('(INGESTA)Datos_consumo_datadis'!A7587&lt;&gt;"""",SPLIT('(INGESTA)Datos_consumo_datadis'!A:A,"",""),"""")"),"ES0031408323131005HX0F")</f>
        <v>ES0031408323131005HX0F</v>
      </c>
      <c r="B7587" s="12">
        <f>IFERROR(__xludf.DUMMYFUNCTION("""COMPUTED_VALUE"""),45182.0)</f>
        <v>45182</v>
      </c>
      <c r="C7587" s="13">
        <f>IFERROR(__xludf.DUMMYFUNCTION("""COMPUTED_VALUE"""),0.125)</f>
        <v>0.125</v>
      </c>
      <c r="D7587" s="8">
        <f>IFERROR(__xludf.DUMMYFUNCTION("""COMPUTED_VALUE"""),0.104)</f>
        <v>0.104</v>
      </c>
      <c r="E7587" s="8" t="str">
        <f>IFERROR(__xludf.DUMMYFUNCTION("""COMPUTED_VALUE"""),"Real")</f>
        <v>Real</v>
      </c>
      <c r="G7587" s="8">
        <f t="shared" si="1"/>
        <v>9</v>
      </c>
      <c r="H7587" s="14">
        <f t="shared" si="2"/>
        <v>13</v>
      </c>
      <c r="I7587" s="15">
        <f t="shared" si="3"/>
        <v>3</v>
      </c>
    </row>
    <row r="7588">
      <c r="A7588" s="8" t="str">
        <f>IFERROR(__xludf.DUMMYFUNCTION("IF('(INGESTA)Datos_consumo_datadis'!A7588&lt;&gt;"""",SPLIT('(INGESTA)Datos_consumo_datadis'!A:A,"",""),"""")"),"ES0031408323131005HX0F")</f>
        <v>ES0031408323131005HX0F</v>
      </c>
      <c r="B7588" s="12">
        <f>IFERROR(__xludf.DUMMYFUNCTION("""COMPUTED_VALUE"""),45182.0)</f>
        <v>45182</v>
      </c>
      <c r="C7588" s="13">
        <f>IFERROR(__xludf.DUMMYFUNCTION("""COMPUTED_VALUE"""),0.16666666666666666)</f>
        <v>0.1666666667</v>
      </c>
      <c r="D7588" s="8">
        <f>IFERROR(__xludf.DUMMYFUNCTION("""COMPUTED_VALUE"""),0.101)</f>
        <v>0.101</v>
      </c>
      <c r="E7588" s="8" t="str">
        <f>IFERROR(__xludf.DUMMYFUNCTION("""COMPUTED_VALUE"""),"Real")</f>
        <v>Real</v>
      </c>
      <c r="G7588" s="8">
        <f t="shared" si="1"/>
        <v>9</v>
      </c>
      <c r="H7588" s="14">
        <f t="shared" si="2"/>
        <v>13</v>
      </c>
      <c r="I7588" s="15">
        <f t="shared" si="3"/>
        <v>4</v>
      </c>
    </row>
    <row r="7589">
      <c r="A7589" s="8" t="str">
        <f>IFERROR(__xludf.DUMMYFUNCTION("IF('(INGESTA)Datos_consumo_datadis'!A7589&lt;&gt;"""",SPLIT('(INGESTA)Datos_consumo_datadis'!A:A,"",""),"""")"),"ES0031408323131005HX0F")</f>
        <v>ES0031408323131005HX0F</v>
      </c>
      <c r="B7589" s="12">
        <f>IFERROR(__xludf.DUMMYFUNCTION("""COMPUTED_VALUE"""),45182.0)</f>
        <v>45182</v>
      </c>
      <c r="C7589" s="13">
        <f>IFERROR(__xludf.DUMMYFUNCTION("""COMPUTED_VALUE"""),0.20833333333333334)</f>
        <v>0.2083333333</v>
      </c>
      <c r="D7589" s="8">
        <f>IFERROR(__xludf.DUMMYFUNCTION("""COMPUTED_VALUE"""),0.312)</f>
        <v>0.312</v>
      </c>
      <c r="E7589" s="8" t="str">
        <f>IFERROR(__xludf.DUMMYFUNCTION("""COMPUTED_VALUE"""),"Real")</f>
        <v>Real</v>
      </c>
      <c r="G7589" s="8">
        <f t="shared" si="1"/>
        <v>9</v>
      </c>
      <c r="H7589" s="14">
        <f t="shared" si="2"/>
        <v>13</v>
      </c>
      <c r="I7589" s="15">
        <f t="shared" si="3"/>
        <v>5</v>
      </c>
    </row>
    <row r="7590">
      <c r="A7590" s="8" t="str">
        <f>IFERROR(__xludf.DUMMYFUNCTION("IF('(INGESTA)Datos_consumo_datadis'!A7590&lt;&gt;"""",SPLIT('(INGESTA)Datos_consumo_datadis'!A:A,"",""),"""")"),"ES0031408323131005HX0F")</f>
        <v>ES0031408323131005HX0F</v>
      </c>
      <c r="B7590" s="12">
        <f>IFERROR(__xludf.DUMMYFUNCTION("""COMPUTED_VALUE"""),45182.0)</f>
        <v>45182</v>
      </c>
      <c r="C7590" s="13">
        <f>IFERROR(__xludf.DUMMYFUNCTION("""COMPUTED_VALUE"""),0.25)</f>
        <v>0.25</v>
      </c>
      <c r="D7590" s="8">
        <f>IFERROR(__xludf.DUMMYFUNCTION("""COMPUTED_VALUE"""),0.028)</f>
        <v>0.028</v>
      </c>
      <c r="E7590" s="8" t="str">
        <f>IFERROR(__xludf.DUMMYFUNCTION("""COMPUTED_VALUE"""),"Real")</f>
        <v>Real</v>
      </c>
      <c r="G7590" s="8">
        <f t="shared" si="1"/>
        <v>9</v>
      </c>
      <c r="H7590" s="14">
        <f t="shared" si="2"/>
        <v>13</v>
      </c>
      <c r="I7590" s="15">
        <f t="shared" si="3"/>
        <v>6</v>
      </c>
    </row>
    <row r="7591">
      <c r="A7591" s="8" t="str">
        <f>IFERROR(__xludf.DUMMYFUNCTION("IF('(INGESTA)Datos_consumo_datadis'!A7591&lt;&gt;"""",SPLIT('(INGESTA)Datos_consumo_datadis'!A:A,"",""),"""")"),"ES0031408323131005HX0F")</f>
        <v>ES0031408323131005HX0F</v>
      </c>
      <c r="B7591" s="12">
        <f>IFERROR(__xludf.DUMMYFUNCTION("""COMPUTED_VALUE"""),45182.0)</f>
        <v>45182</v>
      </c>
      <c r="C7591" s="13">
        <f>IFERROR(__xludf.DUMMYFUNCTION("""COMPUTED_VALUE"""),0.2916666666666667)</f>
        <v>0.2916666667</v>
      </c>
      <c r="D7591" s="8">
        <f>IFERROR(__xludf.DUMMYFUNCTION("""COMPUTED_VALUE"""),0.08)</f>
        <v>0.08</v>
      </c>
      <c r="E7591" s="8" t="str">
        <f>IFERROR(__xludf.DUMMYFUNCTION("""COMPUTED_VALUE"""),"Real")</f>
        <v>Real</v>
      </c>
      <c r="G7591" s="8">
        <f t="shared" si="1"/>
        <v>9</v>
      </c>
      <c r="H7591" s="14">
        <f t="shared" si="2"/>
        <v>13</v>
      </c>
      <c r="I7591" s="15">
        <f t="shared" si="3"/>
        <v>7</v>
      </c>
    </row>
    <row r="7592">
      <c r="A7592" s="8" t="str">
        <f>IFERROR(__xludf.DUMMYFUNCTION("IF('(INGESTA)Datos_consumo_datadis'!A7592&lt;&gt;"""",SPLIT('(INGESTA)Datos_consumo_datadis'!A:A,"",""),"""")"),"ES0031408323131005HX0F")</f>
        <v>ES0031408323131005HX0F</v>
      </c>
      <c r="B7592" s="12">
        <f>IFERROR(__xludf.DUMMYFUNCTION("""COMPUTED_VALUE"""),45182.0)</f>
        <v>45182</v>
      </c>
      <c r="C7592" s="13">
        <f>IFERROR(__xludf.DUMMYFUNCTION("""COMPUTED_VALUE"""),0.3333333333333333)</f>
        <v>0.3333333333</v>
      </c>
      <c r="D7592" s="8">
        <f>IFERROR(__xludf.DUMMYFUNCTION("""COMPUTED_VALUE"""),0.131)</f>
        <v>0.131</v>
      </c>
      <c r="E7592" s="8" t="str">
        <f>IFERROR(__xludf.DUMMYFUNCTION("""COMPUTED_VALUE"""),"Real")</f>
        <v>Real</v>
      </c>
      <c r="G7592" s="8">
        <f t="shared" si="1"/>
        <v>9</v>
      </c>
      <c r="H7592" s="14">
        <f t="shared" si="2"/>
        <v>13</v>
      </c>
      <c r="I7592" s="15">
        <f t="shared" si="3"/>
        <v>8</v>
      </c>
    </row>
    <row r="7593">
      <c r="A7593" s="8" t="str">
        <f>IFERROR(__xludf.DUMMYFUNCTION("IF('(INGESTA)Datos_consumo_datadis'!A7593&lt;&gt;"""",SPLIT('(INGESTA)Datos_consumo_datadis'!A:A,"",""),"""")"),"ES0031408323131005HX0F")</f>
        <v>ES0031408323131005HX0F</v>
      </c>
      <c r="B7593" s="12">
        <f>IFERROR(__xludf.DUMMYFUNCTION("""COMPUTED_VALUE"""),45182.0)</f>
        <v>45182</v>
      </c>
      <c r="C7593" s="13">
        <f>IFERROR(__xludf.DUMMYFUNCTION("""COMPUTED_VALUE"""),0.375)</f>
        <v>0.375</v>
      </c>
      <c r="D7593" s="8">
        <f>IFERROR(__xludf.DUMMYFUNCTION("""COMPUTED_VALUE"""),0.117)</f>
        <v>0.117</v>
      </c>
      <c r="E7593" s="8" t="str">
        <f>IFERROR(__xludf.DUMMYFUNCTION("""COMPUTED_VALUE"""),"Real")</f>
        <v>Real</v>
      </c>
      <c r="G7593" s="8">
        <f t="shared" si="1"/>
        <v>9</v>
      </c>
      <c r="H7593" s="14">
        <f t="shared" si="2"/>
        <v>13</v>
      </c>
      <c r="I7593" s="15">
        <f t="shared" si="3"/>
        <v>9</v>
      </c>
    </row>
    <row r="7594">
      <c r="A7594" s="8" t="str">
        <f>IFERROR(__xludf.DUMMYFUNCTION("IF('(INGESTA)Datos_consumo_datadis'!A7594&lt;&gt;"""",SPLIT('(INGESTA)Datos_consumo_datadis'!A:A,"",""),"""")"),"ES0031408323131005HX0F")</f>
        <v>ES0031408323131005HX0F</v>
      </c>
      <c r="B7594" s="12">
        <f>IFERROR(__xludf.DUMMYFUNCTION("""COMPUTED_VALUE"""),45182.0)</f>
        <v>45182</v>
      </c>
      <c r="C7594" s="13">
        <f>IFERROR(__xludf.DUMMYFUNCTION("""COMPUTED_VALUE"""),0.4166666666666667)</f>
        <v>0.4166666667</v>
      </c>
      <c r="D7594" s="8">
        <f>IFERROR(__xludf.DUMMYFUNCTION("""COMPUTED_VALUE"""),0.091)</f>
        <v>0.091</v>
      </c>
      <c r="E7594" s="8" t="str">
        <f>IFERROR(__xludf.DUMMYFUNCTION("""COMPUTED_VALUE"""),"Real")</f>
        <v>Real</v>
      </c>
      <c r="G7594" s="8">
        <f t="shared" si="1"/>
        <v>9</v>
      </c>
      <c r="H7594" s="14">
        <f t="shared" si="2"/>
        <v>13</v>
      </c>
      <c r="I7594" s="15">
        <f t="shared" si="3"/>
        <v>10</v>
      </c>
    </row>
    <row r="7595">
      <c r="A7595" s="8" t="str">
        <f>IFERROR(__xludf.DUMMYFUNCTION("IF('(INGESTA)Datos_consumo_datadis'!A7595&lt;&gt;"""",SPLIT('(INGESTA)Datos_consumo_datadis'!A:A,"",""),"""")"),"ES0031408323131005HX0F")</f>
        <v>ES0031408323131005HX0F</v>
      </c>
      <c r="B7595" s="12">
        <f>IFERROR(__xludf.DUMMYFUNCTION("""COMPUTED_VALUE"""),45182.0)</f>
        <v>45182</v>
      </c>
      <c r="C7595" s="13">
        <f>IFERROR(__xludf.DUMMYFUNCTION("""COMPUTED_VALUE"""),0.4583333333333333)</f>
        <v>0.4583333333</v>
      </c>
      <c r="D7595" s="8">
        <f>IFERROR(__xludf.DUMMYFUNCTION("""COMPUTED_VALUE"""),0.081)</f>
        <v>0.081</v>
      </c>
      <c r="E7595" s="8" t="str">
        <f>IFERROR(__xludf.DUMMYFUNCTION("""COMPUTED_VALUE"""),"Real")</f>
        <v>Real</v>
      </c>
      <c r="G7595" s="8">
        <f t="shared" si="1"/>
        <v>9</v>
      </c>
      <c r="H7595" s="14">
        <f t="shared" si="2"/>
        <v>13</v>
      </c>
      <c r="I7595" s="15">
        <f t="shared" si="3"/>
        <v>11</v>
      </c>
    </row>
    <row r="7596">
      <c r="A7596" s="8" t="str">
        <f>IFERROR(__xludf.DUMMYFUNCTION("IF('(INGESTA)Datos_consumo_datadis'!A7596&lt;&gt;"""",SPLIT('(INGESTA)Datos_consumo_datadis'!A:A,"",""),"""")"),"ES0031408323131005HX0F")</f>
        <v>ES0031408323131005HX0F</v>
      </c>
      <c r="B7596" s="12">
        <f>IFERROR(__xludf.DUMMYFUNCTION("""COMPUTED_VALUE"""),45182.0)</f>
        <v>45182</v>
      </c>
      <c r="C7596" s="13">
        <f>IFERROR(__xludf.DUMMYFUNCTION("""COMPUTED_VALUE"""),0.5)</f>
        <v>0.5</v>
      </c>
      <c r="D7596" s="8">
        <f>IFERROR(__xludf.DUMMYFUNCTION("""COMPUTED_VALUE"""),0.264)</f>
        <v>0.264</v>
      </c>
      <c r="E7596" s="8" t="str">
        <f>IFERROR(__xludf.DUMMYFUNCTION("""COMPUTED_VALUE"""),"Real")</f>
        <v>Real</v>
      </c>
      <c r="G7596" s="8">
        <f t="shared" si="1"/>
        <v>9</v>
      </c>
      <c r="H7596" s="14">
        <f t="shared" si="2"/>
        <v>13</v>
      </c>
      <c r="I7596" s="15">
        <f t="shared" si="3"/>
        <v>12</v>
      </c>
    </row>
    <row r="7597">
      <c r="A7597" s="8" t="str">
        <f>IFERROR(__xludf.DUMMYFUNCTION("IF('(INGESTA)Datos_consumo_datadis'!A7597&lt;&gt;"""",SPLIT('(INGESTA)Datos_consumo_datadis'!A:A,"",""),"""")"),"ES0031408323131005HX0F")</f>
        <v>ES0031408323131005HX0F</v>
      </c>
      <c r="B7597" s="12">
        <f>IFERROR(__xludf.DUMMYFUNCTION("""COMPUTED_VALUE"""),45182.0)</f>
        <v>45182</v>
      </c>
      <c r="C7597" s="13">
        <f>IFERROR(__xludf.DUMMYFUNCTION("""COMPUTED_VALUE"""),0.5416666666666666)</f>
        <v>0.5416666667</v>
      </c>
      <c r="D7597" s="8">
        <f>IFERROR(__xludf.DUMMYFUNCTION("""COMPUTED_VALUE"""),0.077)</f>
        <v>0.077</v>
      </c>
      <c r="E7597" s="8" t="str">
        <f>IFERROR(__xludf.DUMMYFUNCTION("""COMPUTED_VALUE"""),"Real")</f>
        <v>Real</v>
      </c>
      <c r="G7597" s="8">
        <f t="shared" si="1"/>
        <v>9</v>
      </c>
      <c r="H7597" s="14">
        <f t="shared" si="2"/>
        <v>13</v>
      </c>
      <c r="I7597" s="15">
        <f t="shared" si="3"/>
        <v>13</v>
      </c>
    </row>
    <row r="7598">
      <c r="A7598" s="8" t="str">
        <f>IFERROR(__xludf.DUMMYFUNCTION("IF('(INGESTA)Datos_consumo_datadis'!A7598&lt;&gt;"""",SPLIT('(INGESTA)Datos_consumo_datadis'!A:A,"",""),"""")"),"ES0031408323131005HX0F")</f>
        <v>ES0031408323131005HX0F</v>
      </c>
      <c r="B7598" s="12">
        <f>IFERROR(__xludf.DUMMYFUNCTION("""COMPUTED_VALUE"""),45182.0)</f>
        <v>45182</v>
      </c>
      <c r="C7598" s="13">
        <f>IFERROR(__xludf.DUMMYFUNCTION("""COMPUTED_VALUE"""),0.5833333333333334)</f>
        <v>0.5833333333</v>
      </c>
      <c r="D7598" s="8">
        <f>IFERROR(__xludf.DUMMYFUNCTION("""COMPUTED_VALUE"""),0.133)</f>
        <v>0.133</v>
      </c>
      <c r="E7598" s="8" t="str">
        <f>IFERROR(__xludf.DUMMYFUNCTION("""COMPUTED_VALUE"""),"Real")</f>
        <v>Real</v>
      </c>
      <c r="G7598" s="8">
        <f t="shared" si="1"/>
        <v>9</v>
      </c>
      <c r="H7598" s="14">
        <f t="shared" si="2"/>
        <v>13</v>
      </c>
      <c r="I7598" s="15">
        <f t="shared" si="3"/>
        <v>14</v>
      </c>
    </row>
    <row r="7599">
      <c r="A7599" s="8" t="str">
        <f>IFERROR(__xludf.DUMMYFUNCTION("IF('(INGESTA)Datos_consumo_datadis'!A7599&lt;&gt;"""",SPLIT('(INGESTA)Datos_consumo_datadis'!A:A,"",""),"""")"),"ES0031408323131005HX0F")</f>
        <v>ES0031408323131005HX0F</v>
      </c>
      <c r="B7599" s="12">
        <f>IFERROR(__xludf.DUMMYFUNCTION("""COMPUTED_VALUE"""),45182.0)</f>
        <v>45182</v>
      </c>
      <c r="C7599" s="13">
        <f>IFERROR(__xludf.DUMMYFUNCTION("""COMPUTED_VALUE"""),0.625)</f>
        <v>0.625</v>
      </c>
      <c r="D7599" s="8">
        <f>IFERROR(__xludf.DUMMYFUNCTION("""COMPUTED_VALUE"""),0.128)</f>
        <v>0.128</v>
      </c>
      <c r="E7599" s="8" t="str">
        <f>IFERROR(__xludf.DUMMYFUNCTION("""COMPUTED_VALUE"""),"Real")</f>
        <v>Real</v>
      </c>
      <c r="G7599" s="8">
        <f t="shared" si="1"/>
        <v>9</v>
      </c>
      <c r="H7599" s="14">
        <f t="shared" si="2"/>
        <v>13</v>
      </c>
      <c r="I7599" s="15">
        <f t="shared" si="3"/>
        <v>15</v>
      </c>
    </row>
    <row r="7600">
      <c r="A7600" s="8" t="str">
        <f>IFERROR(__xludf.DUMMYFUNCTION("IF('(INGESTA)Datos_consumo_datadis'!A7600&lt;&gt;"""",SPLIT('(INGESTA)Datos_consumo_datadis'!A:A,"",""),"""")"),"ES0031408323131005HX0F")</f>
        <v>ES0031408323131005HX0F</v>
      </c>
      <c r="B7600" s="12">
        <f>IFERROR(__xludf.DUMMYFUNCTION("""COMPUTED_VALUE"""),45182.0)</f>
        <v>45182</v>
      </c>
      <c r="C7600" s="13">
        <f>IFERROR(__xludf.DUMMYFUNCTION("""COMPUTED_VALUE"""),0.6666666666666666)</f>
        <v>0.6666666667</v>
      </c>
      <c r="D7600" s="8">
        <f>IFERROR(__xludf.DUMMYFUNCTION("""COMPUTED_VALUE"""),0.1)</f>
        <v>0.1</v>
      </c>
      <c r="E7600" s="8" t="str">
        <f>IFERROR(__xludf.DUMMYFUNCTION("""COMPUTED_VALUE"""),"Real")</f>
        <v>Real</v>
      </c>
      <c r="G7600" s="8">
        <f t="shared" si="1"/>
        <v>9</v>
      </c>
      <c r="H7600" s="14">
        <f t="shared" si="2"/>
        <v>13</v>
      </c>
      <c r="I7600" s="15">
        <f t="shared" si="3"/>
        <v>16</v>
      </c>
    </row>
    <row r="7601">
      <c r="A7601" s="8" t="str">
        <f>IFERROR(__xludf.DUMMYFUNCTION("IF('(INGESTA)Datos_consumo_datadis'!A7601&lt;&gt;"""",SPLIT('(INGESTA)Datos_consumo_datadis'!A:A,"",""),"""")"),"ES0031408323131005HX0F")</f>
        <v>ES0031408323131005HX0F</v>
      </c>
      <c r="B7601" s="12">
        <f>IFERROR(__xludf.DUMMYFUNCTION("""COMPUTED_VALUE"""),45182.0)</f>
        <v>45182</v>
      </c>
      <c r="C7601" s="13">
        <f>IFERROR(__xludf.DUMMYFUNCTION("""COMPUTED_VALUE"""),0.7083333333333334)</f>
        <v>0.7083333333</v>
      </c>
      <c r="D7601" s="8">
        <f>IFERROR(__xludf.DUMMYFUNCTION("""COMPUTED_VALUE"""),0.079)</f>
        <v>0.079</v>
      </c>
      <c r="E7601" s="8" t="str">
        <f>IFERROR(__xludf.DUMMYFUNCTION("""COMPUTED_VALUE"""),"Real")</f>
        <v>Real</v>
      </c>
      <c r="G7601" s="8">
        <f t="shared" si="1"/>
        <v>9</v>
      </c>
      <c r="H7601" s="14">
        <f t="shared" si="2"/>
        <v>13</v>
      </c>
      <c r="I7601" s="15">
        <f t="shared" si="3"/>
        <v>17</v>
      </c>
    </row>
    <row r="7602">
      <c r="A7602" s="8" t="str">
        <f>IFERROR(__xludf.DUMMYFUNCTION("IF('(INGESTA)Datos_consumo_datadis'!A7602&lt;&gt;"""",SPLIT('(INGESTA)Datos_consumo_datadis'!A:A,"",""),"""")"),"ES0031408323131005HX0F")</f>
        <v>ES0031408323131005HX0F</v>
      </c>
      <c r="B7602" s="12">
        <f>IFERROR(__xludf.DUMMYFUNCTION("""COMPUTED_VALUE"""),45182.0)</f>
        <v>45182</v>
      </c>
      <c r="C7602" s="13">
        <f>IFERROR(__xludf.DUMMYFUNCTION("""COMPUTED_VALUE"""),0.75)</f>
        <v>0.75</v>
      </c>
      <c r="D7602" s="8">
        <f>IFERROR(__xludf.DUMMYFUNCTION("""COMPUTED_VALUE"""),0.028)</f>
        <v>0.028</v>
      </c>
      <c r="E7602" s="8" t="str">
        <f>IFERROR(__xludf.DUMMYFUNCTION("""COMPUTED_VALUE"""),"Real")</f>
        <v>Real</v>
      </c>
      <c r="G7602" s="8">
        <f t="shared" si="1"/>
        <v>9</v>
      </c>
      <c r="H7602" s="14">
        <f t="shared" si="2"/>
        <v>13</v>
      </c>
      <c r="I7602" s="15">
        <f t="shared" si="3"/>
        <v>18</v>
      </c>
    </row>
    <row r="7603">
      <c r="A7603" s="8" t="str">
        <f>IFERROR(__xludf.DUMMYFUNCTION("IF('(INGESTA)Datos_consumo_datadis'!A7603&lt;&gt;"""",SPLIT('(INGESTA)Datos_consumo_datadis'!A:A,"",""),"""")"),"ES0031408323131005HX0F")</f>
        <v>ES0031408323131005HX0F</v>
      </c>
      <c r="B7603" s="12">
        <f>IFERROR(__xludf.DUMMYFUNCTION("""COMPUTED_VALUE"""),45182.0)</f>
        <v>45182</v>
      </c>
      <c r="C7603" s="13">
        <f>IFERROR(__xludf.DUMMYFUNCTION("""COMPUTED_VALUE"""),0.7916666666666666)</f>
        <v>0.7916666667</v>
      </c>
      <c r="D7603" s="8">
        <f>IFERROR(__xludf.DUMMYFUNCTION("""COMPUTED_VALUE"""),0.028)</f>
        <v>0.028</v>
      </c>
      <c r="E7603" s="8" t="str">
        <f>IFERROR(__xludf.DUMMYFUNCTION("""COMPUTED_VALUE"""),"Real")</f>
        <v>Real</v>
      </c>
      <c r="G7603" s="8">
        <f t="shared" si="1"/>
        <v>9</v>
      </c>
      <c r="H7603" s="14">
        <f t="shared" si="2"/>
        <v>13</v>
      </c>
      <c r="I7603" s="15">
        <f t="shared" si="3"/>
        <v>19</v>
      </c>
    </row>
    <row r="7604">
      <c r="A7604" s="8" t="str">
        <f>IFERROR(__xludf.DUMMYFUNCTION("IF('(INGESTA)Datos_consumo_datadis'!A7604&lt;&gt;"""",SPLIT('(INGESTA)Datos_consumo_datadis'!A:A,"",""),"""")"),"ES0031408323131005HX0F")</f>
        <v>ES0031408323131005HX0F</v>
      </c>
      <c r="B7604" s="12">
        <f>IFERROR(__xludf.DUMMYFUNCTION("""COMPUTED_VALUE"""),45182.0)</f>
        <v>45182</v>
      </c>
      <c r="C7604" s="13">
        <f>IFERROR(__xludf.DUMMYFUNCTION("""COMPUTED_VALUE"""),0.8333333333333334)</f>
        <v>0.8333333333</v>
      </c>
      <c r="D7604" s="8">
        <f>IFERROR(__xludf.DUMMYFUNCTION("""COMPUTED_VALUE"""),0.406)</f>
        <v>0.406</v>
      </c>
      <c r="E7604" s="8" t="str">
        <f>IFERROR(__xludf.DUMMYFUNCTION("""COMPUTED_VALUE"""),"Real")</f>
        <v>Real</v>
      </c>
      <c r="G7604" s="8">
        <f t="shared" si="1"/>
        <v>9</v>
      </c>
      <c r="H7604" s="14">
        <f t="shared" si="2"/>
        <v>13</v>
      </c>
      <c r="I7604" s="15">
        <f t="shared" si="3"/>
        <v>20</v>
      </c>
    </row>
    <row r="7605">
      <c r="A7605" s="8" t="str">
        <f>IFERROR(__xludf.DUMMYFUNCTION("IF('(INGESTA)Datos_consumo_datadis'!A7605&lt;&gt;"""",SPLIT('(INGESTA)Datos_consumo_datadis'!A:A,"",""),"""")"),"ES0031408323131005HX0F")</f>
        <v>ES0031408323131005HX0F</v>
      </c>
      <c r="B7605" s="12">
        <f>IFERROR(__xludf.DUMMYFUNCTION("""COMPUTED_VALUE"""),45182.0)</f>
        <v>45182</v>
      </c>
      <c r="C7605" s="13">
        <f>IFERROR(__xludf.DUMMYFUNCTION("""COMPUTED_VALUE"""),0.875)</f>
        <v>0.875</v>
      </c>
      <c r="D7605" s="8">
        <f>IFERROR(__xludf.DUMMYFUNCTION("""COMPUTED_VALUE"""),0.129)</f>
        <v>0.129</v>
      </c>
      <c r="E7605" s="8" t="str">
        <f>IFERROR(__xludf.DUMMYFUNCTION("""COMPUTED_VALUE"""),"Real")</f>
        <v>Real</v>
      </c>
      <c r="G7605" s="8">
        <f t="shared" si="1"/>
        <v>9</v>
      </c>
      <c r="H7605" s="14">
        <f t="shared" si="2"/>
        <v>13</v>
      </c>
      <c r="I7605" s="15">
        <f t="shared" si="3"/>
        <v>21</v>
      </c>
    </row>
    <row r="7606">
      <c r="A7606" s="8" t="str">
        <f>IFERROR(__xludf.DUMMYFUNCTION("IF('(INGESTA)Datos_consumo_datadis'!A7606&lt;&gt;"""",SPLIT('(INGESTA)Datos_consumo_datadis'!A:A,"",""),"""")"),"ES0031408323131005HX0F")</f>
        <v>ES0031408323131005HX0F</v>
      </c>
      <c r="B7606" s="12">
        <f>IFERROR(__xludf.DUMMYFUNCTION("""COMPUTED_VALUE"""),45182.0)</f>
        <v>45182</v>
      </c>
      <c r="C7606" s="13">
        <f>IFERROR(__xludf.DUMMYFUNCTION("""COMPUTED_VALUE"""),0.9166666666666666)</f>
        <v>0.9166666667</v>
      </c>
      <c r="D7606" s="8">
        <f>IFERROR(__xludf.DUMMYFUNCTION("""COMPUTED_VALUE"""),0.104)</f>
        <v>0.104</v>
      </c>
      <c r="E7606" s="8" t="str">
        <f>IFERROR(__xludf.DUMMYFUNCTION("""COMPUTED_VALUE"""),"Real")</f>
        <v>Real</v>
      </c>
      <c r="G7606" s="8">
        <f t="shared" si="1"/>
        <v>9</v>
      </c>
      <c r="H7606" s="14">
        <f t="shared" si="2"/>
        <v>13</v>
      </c>
      <c r="I7606" s="15">
        <f t="shared" si="3"/>
        <v>22</v>
      </c>
    </row>
    <row r="7607">
      <c r="A7607" s="8" t="str">
        <f>IFERROR(__xludf.DUMMYFUNCTION("IF('(INGESTA)Datos_consumo_datadis'!A7607&lt;&gt;"""",SPLIT('(INGESTA)Datos_consumo_datadis'!A:A,"",""),"""")"),"ES0031408323131005HX0F")</f>
        <v>ES0031408323131005HX0F</v>
      </c>
      <c r="B7607" s="12">
        <f>IFERROR(__xludf.DUMMYFUNCTION("""COMPUTED_VALUE"""),45182.0)</f>
        <v>45182</v>
      </c>
      <c r="C7607" s="13">
        <f>IFERROR(__xludf.DUMMYFUNCTION("""COMPUTED_VALUE"""),0.9583333333333334)</f>
        <v>0.9583333333</v>
      </c>
      <c r="D7607" s="8">
        <f>IFERROR(__xludf.DUMMYFUNCTION("""COMPUTED_VALUE"""),0.101)</f>
        <v>0.101</v>
      </c>
      <c r="E7607" s="8" t="str">
        <f>IFERROR(__xludf.DUMMYFUNCTION("""COMPUTED_VALUE"""),"Real")</f>
        <v>Real</v>
      </c>
      <c r="G7607" s="8">
        <f t="shared" si="1"/>
        <v>9</v>
      </c>
      <c r="H7607" s="14">
        <f t="shared" si="2"/>
        <v>13</v>
      </c>
      <c r="I7607" s="15">
        <f t="shared" si="3"/>
        <v>23</v>
      </c>
    </row>
    <row r="7608">
      <c r="A7608" s="8" t="str">
        <f>IFERROR(__xludf.DUMMYFUNCTION("IF('(INGESTA)Datos_consumo_datadis'!A7608&lt;&gt;"""",SPLIT('(INGESTA)Datos_consumo_datadis'!A:A,"",""),"""")"),"ES0031408323131005HX0F")</f>
        <v>ES0031408323131005HX0F</v>
      </c>
      <c r="B7608" s="12">
        <f>IFERROR(__xludf.DUMMYFUNCTION("""COMPUTED_VALUE"""),45182.0)</f>
        <v>45182</v>
      </c>
      <c r="C7608" s="16">
        <f>IFERROR(__xludf.DUMMYFUNCTION("""COMPUTED_VALUE"""),1.0)</f>
        <v>1</v>
      </c>
      <c r="D7608" s="8">
        <f>IFERROR(__xludf.DUMMYFUNCTION("""COMPUTED_VALUE"""),0.028)</f>
        <v>0.028</v>
      </c>
      <c r="E7608" s="8" t="str">
        <f>IFERROR(__xludf.DUMMYFUNCTION("""COMPUTED_VALUE"""),"Real")</f>
        <v>Real</v>
      </c>
      <c r="G7608" s="8">
        <f t="shared" si="1"/>
        <v>9</v>
      </c>
      <c r="H7608" s="14">
        <f t="shared" si="2"/>
        <v>13</v>
      </c>
      <c r="I7608" s="15">
        <f t="shared" si="3"/>
        <v>0</v>
      </c>
    </row>
    <row r="7609">
      <c r="A7609" s="8" t="str">
        <f>IFERROR(__xludf.DUMMYFUNCTION("IF('(INGESTA)Datos_consumo_datadis'!A7609&lt;&gt;"""",SPLIT('(INGESTA)Datos_consumo_datadis'!A:A,"",""),"""")"),"ES0031408323131005HX0F")</f>
        <v>ES0031408323131005HX0F</v>
      </c>
      <c r="B7609" s="12">
        <f>IFERROR(__xludf.DUMMYFUNCTION("""COMPUTED_VALUE"""),45183.0)</f>
        <v>45183</v>
      </c>
      <c r="C7609" s="13">
        <f>IFERROR(__xludf.DUMMYFUNCTION("""COMPUTED_VALUE"""),0.041666666666666664)</f>
        <v>0.04166666667</v>
      </c>
      <c r="D7609" s="8">
        <f>IFERROR(__xludf.DUMMYFUNCTION("""COMPUTED_VALUE"""),0.028)</f>
        <v>0.028</v>
      </c>
      <c r="E7609" s="8" t="str">
        <f>IFERROR(__xludf.DUMMYFUNCTION("""COMPUTED_VALUE"""),"Real")</f>
        <v>Real</v>
      </c>
      <c r="G7609" s="8">
        <f t="shared" si="1"/>
        <v>9</v>
      </c>
      <c r="H7609" s="14">
        <f t="shared" si="2"/>
        <v>14</v>
      </c>
      <c r="I7609" s="15">
        <f t="shared" si="3"/>
        <v>1</v>
      </c>
    </row>
    <row r="7610">
      <c r="A7610" s="8" t="str">
        <f>IFERROR(__xludf.DUMMYFUNCTION("IF('(INGESTA)Datos_consumo_datadis'!A7610&lt;&gt;"""",SPLIT('(INGESTA)Datos_consumo_datadis'!A:A,"",""),"""")"),"ES0031408323131005HX0F")</f>
        <v>ES0031408323131005HX0F</v>
      </c>
      <c r="B7610" s="12">
        <f>IFERROR(__xludf.DUMMYFUNCTION("""COMPUTED_VALUE"""),45183.0)</f>
        <v>45183</v>
      </c>
      <c r="C7610" s="13">
        <f>IFERROR(__xludf.DUMMYFUNCTION("""COMPUTED_VALUE"""),0.08333333333333333)</f>
        <v>0.08333333333</v>
      </c>
      <c r="D7610" s="8">
        <f>IFERROR(__xludf.DUMMYFUNCTION("""COMPUTED_VALUE"""),0.105)</f>
        <v>0.105</v>
      </c>
      <c r="E7610" s="8" t="str">
        <f>IFERROR(__xludf.DUMMYFUNCTION("""COMPUTED_VALUE"""),"Real")</f>
        <v>Real</v>
      </c>
      <c r="G7610" s="8">
        <f t="shared" si="1"/>
        <v>9</v>
      </c>
      <c r="H7610" s="14">
        <f t="shared" si="2"/>
        <v>14</v>
      </c>
      <c r="I7610" s="15">
        <f t="shared" si="3"/>
        <v>2</v>
      </c>
    </row>
    <row r="7611">
      <c r="A7611" s="8" t="str">
        <f>IFERROR(__xludf.DUMMYFUNCTION("IF('(INGESTA)Datos_consumo_datadis'!A7611&lt;&gt;"""",SPLIT('(INGESTA)Datos_consumo_datadis'!A:A,"",""),"""")"),"ES0031408323131005HX0F")</f>
        <v>ES0031408323131005HX0F</v>
      </c>
      <c r="B7611" s="12">
        <f>IFERROR(__xludf.DUMMYFUNCTION("""COMPUTED_VALUE"""),45183.0)</f>
        <v>45183</v>
      </c>
      <c r="C7611" s="13">
        <f>IFERROR(__xludf.DUMMYFUNCTION("""COMPUTED_VALUE"""),0.125)</f>
        <v>0.125</v>
      </c>
      <c r="D7611" s="8">
        <f>IFERROR(__xludf.DUMMYFUNCTION("""COMPUTED_VALUE"""),0.129)</f>
        <v>0.129</v>
      </c>
      <c r="E7611" s="8" t="str">
        <f>IFERROR(__xludf.DUMMYFUNCTION("""COMPUTED_VALUE"""),"Real")</f>
        <v>Real</v>
      </c>
      <c r="G7611" s="8">
        <f t="shared" si="1"/>
        <v>9</v>
      </c>
      <c r="H7611" s="14">
        <f t="shared" si="2"/>
        <v>14</v>
      </c>
      <c r="I7611" s="15">
        <f t="shared" si="3"/>
        <v>3</v>
      </c>
    </row>
    <row r="7612">
      <c r="A7612" s="8" t="str">
        <f>IFERROR(__xludf.DUMMYFUNCTION("IF('(INGESTA)Datos_consumo_datadis'!A7612&lt;&gt;"""",SPLIT('(INGESTA)Datos_consumo_datadis'!A:A,"",""),"""")"),"ES0031408323131005HX0F")</f>
        <v>ES0031408323131005HX0F</v>
      </c>
      <c r="B7612" s="12">
        <f>IFERROR(__xludf.DUMMYFUNCTION("""COMPUTED_VALUE"""),45183.0)</f>
        <v>45183</v>
      </c>
      <c r="C7612" s="13">
        <f>IFERROR(__xludf.DUMMYFUNCTION("""COMPUTED_VALUE"""),0.16666666666666666)</f>
        <v>0.1666666667</v>
      </c>
      <c r="D7612" s="8">
        <f>IFERROR(__xludf.DUMMYFUNCTION("""COMPUTED_VALUE"""),0.382)</f>
        <v>0.382</v>
      </c>
      <c r="E7612" s="8" t="str">
        <f>IFERROR(__xludf.DUMMYFUNCTION("""COMPUTED_VALUE"""),"Real")</f>
        <v>Real</v>
      </c>
      <c r="G7612" s="8">
        <f t="shared" si="1"/>
        <v>9</v>
      </c>
      <c r="H7612" s="14">
        <f t="shared" si="2"/>
        <v>14</v>
      </c>
      <c r="I7612" s="15">
        <f t="shared" si="3"/>
        <v>4</v>
      </c>
    </row>
    <row r="7613">
      <c r="A7613" s="8" t="str">
        <f>IFERROR(__xludf.DUMMYFUNCTION("IF('(INGESTA)Datos_consumo_datadis'!A7613&lt;&gt;"""",SPLIT('(INGESTA)Datos_consumo_datadis'!A:A,"",""),"""")"),"ES0031408323131005HX0F")</f>
        <v>ES0031408323131005HX0F</v>
      </c>
      <c r="B7613" s="12">
        <f>IFERROR(__xludf.DUMMYFUNCTION("""COMPUTED_VALUE"""),45183.0)</f>
        <v>45183</v>
      </c>
      <c r="C7613" s="13">
        <f>IFERROR(__xludf.DUMMYFUNCTION("""COMPUTED_VALUE"""),0.20833333333333334)</f>
        <v>0.2083333333</v>
      </c>
      <c r="D7613" s="8">
        <f>IFERROR(__xludf.DUMMYFUNCTION("""COMPUTED_VALUE"""),0.102)</f>
        <v>0.102</v>
      </c>
      <c r="E7613" s="8" t="str">
        <f>IFERROR(__xludf.DUMMYFUNCTION("""COMPUTED_VALUE"""),"Real")</f>
        <v>Real</v>
      </c>
      <c r="G7613" s="8">
        <f t="shared" si="1"/>
        <v>9</v>
      </c>
      <c r="H7613" s="14">
        <f t="shared" si="2"/>
        <v>14</v>
      </c>
      <c r="I7613" s="15">
        <f t="shared" si="3"/>
        <v>5</v>
      </c>
    </row>
    <row r="7614">
      <c r="A7614" s="8" t="str">
        <f>IFERROR(__xludf.DUMMYFUNCTION("IF('(INGESTA)Datos_consumo_datadis'!A7614&lt;&gt;"""",SPLIT('(INGESTA)Datos_consumo_datadis'!A:A,"",""),"""")"),"ES0031408323131005HX0F")</f>
        <v>ES0031408323131005HX0F</v>
      </c>
      <c r="B7614" s="12">
        <f>IFERROR(__xludf.DUMMYFUNCTION("""COMPUTED_VALUE"""),45183.0)</f>
        <v>45183</v>
      </c>
      <c r="C7614" s="13">
        <f>IFERROR(__xludf.DUMMYFUNCTION("""COMPUTED_VALUE"""),0.25)</f>
        <v>0.25</v>
      </c>
      <c r="D7614" s="8">
        <f>IFERROR(__xludf.DUMMYFUNCTION("""COMPUTED_VALUE"""),0.04)</f>
        <v>0.04</v>
      </c>
      <c r="E7614" s="8" t="str">
        <f>IFERROR(__xludf.DUMMYFUNCTION("""COMPUTED_VALUE"""),"Real")</f>
        <v>Real</v>
      </c>
      <c r="G7614" s="8">
        <f t="shared" si="1"/>
        <v>9</v>
      </c>
      <c r="H7614" s="14">
        <f t="shared" si="2"/>
        <v>14</v>
      </c>
      <c r="I7614" s="15">
        <f t="shared" si="3"/>
        <v>6</v>
      </c>
    </row>
    <row r="7615">
      <c r="A7615" s="8" t="str">
        <f>IFERROR(__xludf.DUMMYFUNCTION("IF('(INGESTA)Datos_consumo_datadis'!A7615&lt;&gt;"""",SPLIT('(INGESTA)Datos_consumo_datadis'!A:A,"",""),"""")"),"ES0031408323131005HX0F")</f>
        <v>ES0031408323131005HX0F</v>
      </c>
      <c r="B7615" s="12">
        <f>IFERROR(__xludf.DUMMYFUNCTION("""COMPUTED_VALUE"""),45183.0)</f>
        <v>45183</v>
      </c>
      <c r="C7615" s="13">
        <f>IFERROR(__xludf.DUMMYFUNCTION("""COMPUTED_VALUE"""),0.2916666666666667)</f>
        <v>0.2916666667</v>
      </c>
      <c r="D7615" s="8">
        <f>IFERROR(__xludf.DUMMYFUNCTION("""COMPUTED_VALUE"""),0.028)</f>
        <v>0.028</v>
      </c>
      <c r="E7615" s="8" t="str">
        <f>IFERROR(__xludf.DUMMYFUNCTION("""COMPUTED_VALUE"""),"Real")</f>
        <v>Real</v>
      </c>
      <c r="G7615" s="8">
        <f t="shared" si="1"/>
        <v>9</v>
      </c>
      <c r="H7615" s="14">
        <f t="shared" si="2"/>
        <v>14</v>
      </c>
      <c r="I7615" s="15">
        <f t="shared" si="3"/>
        <v>7</v>
      </c>
    </row>
    <row r="7616">
      <c r="A7616" s="8" t="str">
        <f>IFERROR(__xludf.DUMMYFUNCTION("IF('(INGESTA)Datos_consumo_datadis'!A7616&lt;&gt;"""",SPLIT('(INGESTA)Datos_consumo_datadis'!A:A,"",""),"""")"),"ES0031408323131005HX0F")</f>
        <v>ES0031408323131005HX0F</v>
      </c>
      <c r="B7616" s="12">
        <f>IFERROR(__xludf.DUMMYFUNCTION("""COMPUTED_VALUE"""),45183.0)</f>
        <v>45183</v>
      </c>
      <c r="C7616" s="13">
        <f>IFERROR(__xludf.DUMMYFUNCTION("""COMPUTED_VALUE"""),0.3333333333333333)</f>
        <v>0.3333333333</v>
      </c>
      <c r="D7616" s="8">
        <f>IFERROR(__xludf.DUMMYFUNCTION("""COMPUTED_VALUE"""),0.092)</f>
        <v>0.092</v>
      </c>
      <c r="E7616" s="8" t="str">
        <f>IFERROR(__xludf.DUMMYFUNCTION("""COMPUTED_VALUE"""),"Real")</f>
        <v>Real</v>
      </c>
      <c r="G7616" s="8">
        <f t="shared" si="1"/>
        <v>9</v>
      </c>
      <c r="H7616" s="14">
        <f t="shared" si="2"/>
        <v>14</v>
      </c>
      <c r="I7616" s="15">
        <f t="shared" si="3"/>
        <v>8</v>
      </c>
    </row>
    <row r="7617">
      <c r="A7617" s="8" t="str">
        <f>IFERROR(__xludf.DUMMYFUNCTION("IF('(INGESTA)Datos_consumo_datadis'!A7617&lt;&gt;"""",SPLIT('(INGESTA)Datos_consumo_datadis'!A:A,"",""),"""")"),"ES0031408323131005HX0F")</f>
        <v>ES0031408323131005HX0F</v>
      </c>
      <c r="B7617" s="12">
        <f>IFERROR(__xludf.DUMMYFUNCTION("""COMPUTED_VALUE"""),45183.0)</f>
        <v>45183</v>
      </c>
      <c r="C7617" s="13">
        <f>IFERROR(__xludf.DUMMYFUNCTION("""COMPUTED_VALUE"""),0.375)</f>
        <v>0.375</v>
      </c>
      <c r="D7617" s="8">
        <f>IFERROR(__xludf.DUMMYFUNCTION("""COMPUTED_VALUE"""),0.13)</f>
        <v>0.13</v>
      </c>
      <c r="E7617" s="8" t="str">
        <f>IFERROR(__xludf.DUMMYFUNCTION("""COMPUTED_VALUE"""),"Real")</f>
        <v>Real</v>
      </c>
      <c r="G7617" s="8">
        <f t="shared" si="1"/>
        <v>9</v>
      </c>
      <c r="H7617" s="14">
        <f t="shared" si="2"/>
        <v>14</v>
      </c>
      <c r="I7617" s="15">
        <f t="shared" si="3"/>
        <v>9</v>
      </c>
    </row>
    <row r="7618">
      <c r="A7618" s="8" t="str">
        <f>IFERROR(__xludf.DUMMYFUNCTION("IF('(INGESTA)Datos_consumo_datadis'!A7618&lt;&gt;"""",SPLIT('(INGESTA)Datos_consumo_datadis'!A:A,"",""),"""")"),"ES0031408323131005HX0F")</f>
        <v>ES0031408323131005HX0F</v>
      </c>
      <c r="B7618" s="12">
        <f>IFERROR(__xludf.DUMMYFUNCTION("""COMPUTED_VALUE"""),45183.0)</f>
        <v>45183</v>
      </c>
      <c r="C7618" s="13">
        <f>IFERROR(__xludf.DUMMYFUNCTION("""COMPUTED_VALUE"""),0.4166666666666667)</f>
        <v>0.4166666667</v>
      </c>
      <c r="D7618" s="8">
        <f>IFERROR(__xludf.DUMMYFUNCTION("""COMPUTED_VALUE"""),0.103)</f>
        <v>0.103</v>
      </c>
      <c r="E7618" s="8" t="str">
        <f>IFERROR(__xludf.DUMMYFUNCTION("""COMPUTED_VALUE"""),"Real")</f>
        <v>Real</v>
      </c>
      <c r="G7618" s="8">
        <f t="shared" si="1"/>
        <v>9</v>
      </c>
      <c r="H7618" s="14">
        <f t="shared" si="2"/>
        <v>14</v>
      </c>
      <c r="I7618" s="15">
        <f t="shared" si="3"/>
        <v>10</v>
      </c>
    </row>
    <row r="7619">
      <c r="A7619" s="8" t="str">
        <f>IFERROR(__xludf.DUMMYFUNCTION("IF('(INGESTA)Datos_consumo_datadis'!A7619&lt;&gt;"""",SPLIT('(INGESTA)Datos_consumo_datadis'!A:A,"",""),"""")"),"ES0031408323131005HX0F")</f>
        <v>ES0031408323131005HX0F</v>
      </c>
      <c r="B7619" s="12">
        <f>IFERROR(__xludf.DUMMYFUNCTION("""COMPUTED_VALUE"""),45183.0)</f>
        <v>45183</v>
      </c>
      <c r="C7619" s="13">
        <f>IFERROR(__xludf.DUMMYFUNCTION("""COMPUTED_VALUE"""),0.4583333333333333)</f>
        <v>0.4583333333</v>
      </c>
      <c r="D7619" s="8">
        <f>IFERROR(__xludf.DUMMYFUNCTION("""COMPUTED_VALUE"""),0.101)</f>
        <v>0.101</v>
      </c>
      <c r="E7619" s="8" t="str">
        <f>IFERROR(__xludf.DUMMYFUNCTION("""COMPUTED_VALUE"""),"Real")</f>
        <v>Real</v>
      </c>
      <c r="G7619" s="8">
        <f t="shared" si="1"/>
        <v>9</v>
      </c>
      <c r="H7619" s="14">
        <f t="shared" si="2"/>
        <v>14</v>
      </c>
      <c r="I7619" s="15">
        <f t="shared" si="3"/>
        <v>11</v>
      </c>
    </row>
    <row r="7620">
      <c r="A7620" s="8" t="str">
        <f>IFERROR(__xludf.DUMMYFUNCTION("IF('(INGESTA)Datos_consumo_datadis'!A7620&lt;&gt;"""",SPLIT('(INGESTA)Datos_consumo_datadis'!A:A,"",""),"""")"),"ES0031408323131005HX0F")</f>
        <v>ES0031408323131005HX0F</v>
      </c>
      <c r="B7620" s="12">
        <f>IFERROR(__xludf.DUMMYFUNCTION("""COMPUTED_VALUE"""),45183.0)</f>
        <v>45183</v>
      </c>
      <c r="C7620" s="13">
        <f>IFERROR(__xludf.DUMMYFUNCTION("""COMPUTED_VALUE"""),0.5)</f>
        <v>0.5</v>
      </c>
      <c r="D7620" s="8">
        <f>IFERROR(__xludf.DUMMYFUNCTION("""COMPUTED_VALUE"""),0.324)</f>
        <v>0.324</v>
      </c>
      <c r="E7620" s="8" t="str">
        <f>IFERROR(__xludf.DUMMYFUNCTION("""COMPUTED_VALUE"""),"Real")</f>
        <v>Real</v>
      </c>
      <c r="G7620" s="8">
        <f t="shared" si="1"/>
        <v>9</v>
      </c>
      <c r="H7620" s="14">
        <f t="shared" si="2"/>
        <v>14</v>
      </c>
      <c r="I7620" s="15">
        <f t="shared" si="3"/>
        <v>12</v>
      </c>
    </row>
    <row r="7621">
      <c r="A7621" s="8" t="str">
        <f>IFERROR(__xludf.DUMMYFUNCTION("IF('(INGESTA)Datos_consumo_datadis'!A7621&lt;&gt;"""",SPLIT('(INGESTA)Datos_consumo_datadis'!A:A,"",""),"""")"),"ES0031408323131005HX0F")</f>
        <v>ES0031408323131005HX0F</v>
      </c>
      <c r="B7621" s="12">
        <f>IFERROR(__xludf.DUMMYFUNCTION("""COMPUTED_VALUE"""),45183.0)</f>
        <v>45183</v>
      </c>
      <c r="C7621" s="13">
        <f>IFERROR(__xludf.DUMMYFUNCTION("""COMPUTED_VALUE"""),0.5416666666666666)</f>
        <v>0.5416666667</v>
      </c>
      <c r="D7621" s="8">
        <f>IFERROR(__xludf.DUMMYFUNCTION("""COMPUTED_VALUE"""),0.028)</f>
        <v>0.028</v>
      </c>
      <c r="E7621" s="8" t="str">
        <f>IFERROR(__xludf.DUMMYFUNCTION("""COMPUTED_VALUE"""),"Real")</f>
        <v>Real</v>
      </c>
      <c r="G7621" s="8">
        <f t="shared" si="1"/>
        <v>9</v>
      </c>
      <c r="H7621" s="14">
        <f t="shared" si="2"/>
        <v>14</v>
      </c>
      <c r="I7621" s="15">
        <f t="shared" si="3"/>
        <v>13</v>
      </c>
    </row>
    <row r="7622">
      <c r="A7622" s="8" t="str">
        <f>IFERROR(__xludf.DUMMYFUNCTION("IF('(INGESTA)Datos_consumo_datadis'!A7622&lt;&gt;"""",SPLIT('(INGESTA)Datos_consumo_datadis'!A:A,"",""),"""")"),"ES0031408323131005HX0F")</f>
        <v>ES0031408323131005HX0F</v>
      </c>
      <c r="B7622" s="12">
        <f>IFERROR(__xludf.DUMMYFUNCTION("""COMPUTED_VALUE"""),45183.0)</f>
        <v>45183</v>
      </c>
      <c r="C7622" s="13">
        <f>IFERROR(__xludf.DUMMYFUNCTION("""COMPUTED_VALUE"""),0.5833333333333334)</f>
        <v>0.5833333333</v>
      </c>
      <c r="D7622" s="8">
        <f>IFERROR(__xludf.DUMMYFUNCTION("""COMPUTED_VALUE"""),0.074)</f>
        <v>0.074</v>
      </c>
      <c r="E7622" s="8" t="str">
        <f>IFERROR(__xludf.DUMMYFUNCTION("""COMPUTED_VALUE"""),"Real")</f>
        <v>Real</v>
      </c>
      <c r="G7622" s="8">
        <f t="shared" si="1"/>
        <v>9</v>
      </c>
      <c r="H7622" s="14">
        <f t="shared" si="2"/>
        <v>14</v>
      </c>
      <c r="I7622" s="15">
        <f t="shared" si="3"/>
        <v>14</v>
      </c>
    </row>
    <row r="7623">
      <c r="A7623" s="8" t="str">
        <f>IFERROR(__xludf.DUMMYFUNCTION("IF('(INGESTA)Datos_consumo_datadis'!A7623&lt;&gt;"""",SPLIT('(INGESTA)Datos_consumo_datadis'!A:A,"",""),"""")"),"ES0031408323131005HX0F")</f>
        <v>ES0031408323131005HX0F</v>
      </c>
      <c r="B7623" s="12">
        <f>IFERROR(__xludf.DUMMYFUNCTION("""COMPUTED_VALUE"""),45183.0)</f>
        <v>45183</v>
      </c>
      <c r="C7623" s="13">
        <f>IFERROR(__xludf.DUMMYFUNCTION("""COMPUTED_VALUE"""),0.625)</f>
        <v>0.625</v>
      </c>
      <c r="D7623" s="8">
        <f>IFERROR(__xludf.DUMMYFUNCTION("""COMPUTED_VALUE"""),0.13)</f>
        <v>0.13</v>
      </c>
      <c r="E7623" s="8" t="str">
        <f>IFERROR(__xludf.DUMMYFUNCTION("""COMPUTED_VALUE"""),"Real")</f>
        <v>Real</v>
      </c>
      <c r="G7623" s="8">
        <f t="shared" si="1"/>
        <v>9</v>
      </c>
      <c r="H7623" s="14">
        <f t="shared" si="2"/>
        <v>14</v>
      </c>
      <c r="I7623" s="15">
        <f t="shared" si="3"/>
        <v>15</v>
      </c>
    </row>
    <row r="7624">
      <c r="A7624" s="8" t="str">
        <f>IFERROR(__xludf.DUMMYFUNCTION("IF('(INGESTA)Datos_consumo_datadis'!A7624&lt;&gt;"""",SPLIT('(INGESTA)Datos_consumo_datadis'!A:A,"",""),"""")"),"ES0031408323131005HX0F")</f>
        <v>ES0031408323131005HX0F</v>
      </c>
      <c r="B7624" s="12">
        <f>IFERROR(__xludf.DUMMYFUNCTION("""COMPUTED_VALUE"""),45183.0)</f>
        <v>45183</v>
      </c>
      <c r="C7624" s="13">
        <f>IFERROR(__xludf.DUMMYFUNCTION("""COMPUTED_VALUE"""),0.6666666666666666)</f>
        <v>0.6666666667</v>
      </c>
      <c r="D7624" s="8">
        <f>IFERROR(__xludf.DUMMYFUNCTION("""COMPUTED_VALUE"""),0.105)</f>
        <v>0.105</v>
      </c>
      <c r="E7624" s="8" t="str">
        <f>IFERROR(__xludf.DUMMYFUNCTION("""COMPUTED_VALUE"""),"Real")</f>
        <v>Real</v>
      </c>
      <c r="G7624" s="8">
        <f t="shared" si="1"/>
        <v>9</v>
      </c>
      <c r="H7624" s="14">
        <f t="shared" si="2"/>
        <v>14</v>
      </c>
      <c r="I7624" s="15">
        <f t="shared" si="3"/>
        <v>16</v>
      </c>
    </row>
    <row r="7625">
      <c r="A7625" s="8" t="str">
        <f>IFERROR(__xludf.DUMMYFUNCTION("IF('(INGESTA)Datos_consumo_datadis'!A7625&lt;&gt;"""",SPLIT('(INGESTA)Datos_consumo_datadis'!A:A,"",""),"""")"),"ES0031408323131005HX0F")</f>
        <v>ES0031408323131005HX0F</v>
      </c>
      <c r="B7625" s="12">
        <f>IFERROR(__xludf.DUMMYFUNCTION("""COMPUTED_VALUE"""),45183.0)</f>
        <v>45183</v>
      </c>
      <c r="C7625" s="13">
        <f>IFERROR(__xludf.DUMMYFUNCTION("""COMPUTED_VALUE"""),0.7083333333333334)</f>
        <v>0.7083333333</v>
      </c>
      <c r="D7625" s="8">
        <f>IFERROR(__xludf.DUMMYFUNCTION("""COMPUTED_VALUE"""),0.103)</f>
        <v>0.103</v>
      </c>
      <c r="E7625" s="8" t="str">
        <f>IFERROR(__xludf.DUMMYFUNCTION("""COMPUTED_VALUE"""),"Real")</f>
        <v>Real</v>
      </c>
      <c r="G7625" s="8">
        <f t="shared" si="1"/>
        <v>9</v>
      </c>
      <c r="H7625" s="14">
        <f t="shared" si="2"/>
        <v>14</v>
      </c>
      <c r="I7625" s="15">
        <f t="shared" si="3"/>
        <v>17</v>
      </c>
    </row>
    <row r="7626">
      <c r="A7626" s="8" t="str">
        <f>IFERROR(__xludf.DUMMYFUNCTION("IF('(INGESTA)Datos_consumo_datadis'!A7626&lt;&gt;"""",SPLIT('(INGESTA)Datos_consumo_datadis'!A:A,"",""),"""")"),"ES0031408323131005HX0F")</f>
        <v>ES0031408323131005HX0F</v>
      </c>
      <c r="B7626" s="12">
        <f>IFERROR(__xludf.DUMMYFUNCTION("""COMPUTED_VALUE"""),45183.0)</f>
        <v>45183</v>
      </c>
      <c r="C7626" s="13">
        <f>IFERROR(__xludf.DUMMYFUNCTION("""COMPUTED_VALUE"""),0.75)</f>
        <v>0.75</v>
      </c>
      <c r="D7626" s="8">
        <f>IFERROR(__xludf.DUMMYFUNCTION("""COMPUTED_VALUE"""),0.069)</f>
        <v>0.069</v>
      </c>
      <c r="E7626" s="8" t="str">
        <f>IFERROR(__xludf.DUMMYFUNCTION("""COMPUTED_VALUE"""),"Real")</f>
        <v>Real</v>
      </c>
      <c r="G7626" s="8">
        <f t="shared" si="1"/>
        <v>9</v>
      </c>
      <c r="H7626" s="14">
        <f t="shared" si="2"/>
        <v>14</v>
      </c>
      <c r="I7626" s="15">
        <f t="shared" si="3"/>
        <v>18</v>
      </c>
    </row>
    <row r="7627">
      <c r="A7627" s="8" t="str">
        <f>IFERROR(__xludf.DUMMYFUNCTION("IF('(INGESTA)Datos_consumo_datadis'!A7627&lt;&gt;"""",SPLIT('(INGESTA)Datos_consumo_datadis'!A:A,"",""),"""")"),"ES0031408323131005HX0F")</f>
        <v>ES0031408323131005HX0F</v>
      </c>
      <c r="B7627" s="12">
        <f>IFERROR(__xludf.DUMMYFUNCTION("""COMPUTED_VALUE"""),45183.0)</f>
        <v>45183</v>
      </c>
      <c r="C7627" s="13">
        <f>IFERROR(__xludf.DUMMYFUNCTION("""COMPUTED_VALUE"""),0.7916666666666666)</f>
        <v>0.7916666667</v>
      </c>
      <c r="D7627" s="8">
        <f>IFERROR(__xludf.DUMMYFUNCTION("""COMPUTED_VALUE"""),0.028)</f>
        <v>0.028</v>
      </c>
      <c r="E7627" s="8" t="str">
        <f>IFERROR(__xludf.DUMMYFUNCTION("""COMPUTED_VALUE"""),"Real")</f>
        <v>Real</v>
      </c>
      <c r="G7627" s="8">
        <f t="shared" si="1"/>
        <v>9</v>
      </c>
      <c r="H7627" s="14">
        <f t="shared" si="2"/>
        <v>14</v>
      </c>
      <c r="I7627" s="15">
        <f t="shared" si="3"/>
        <v>19</v>
      </c>
    </row>
    <row r="7628">
      <c r="A7628" s="8" t="str">
        <f>IFERROR(__xludf.DUMMYFUNCTION("IF('(INGESTA)Datos_consumo_datadis'!A7628&lt;&gt;"""",SPLIT('(INGESTA)Datos_consumo_datadis'!A:A,"",""),"""")"),"ES0031408323131005HX0F")</f>
        <v>ES0031408323131005HX0F</v>
      </c>
      <c r="B7628" s="12">
        <f>IFERROR(__xludf.DUMMYFUNCTION("""COMPUTED_VALUE"""),45183.0)</f>
        <v>45183</v>
      </c>
      <c r="C7628" s="13">
        <f>IFERROR(__xludf.DUMMYFUNCTION("""COMPUTED_VALUE"""),0.8333333333333334)</f>
        <v>0.8333333333</v>
      </c>
      <c r="D7628" s="8">
        <f>IFERROR(__xludf.DUMMYFUNCTION("""COMPUTED_VALUE"""),0.321)</f>
        <v>0.321</v>
      </c>
      <c r="E7628" s="8" t="str">
        <f>IFERROR(__xludf.DUMMYFUNCTION("""COMPUTED_VALUE"""),"Real")</f>
        <v>Real</v>
      </c>
      <c r="G7628" s="8">
        <f t="shared" si="1"/>
        <v>9</v>
      </c>
      <c r="H7628" s="14">
        <f t="shared" si="2"/>
        <v>14</v>
      </c>
      <c r="I7628" s="15">
        <f t="shared" si="3"/>
        <v>20</v>
      </c>
    </row>
    <row r="7629">
      <c r="A7629" s="8" t="str">
        <f>IFERROR(__xludf.DUMMYFUNCTION("IF('(INGESTA)Datos_consumo_datadis'!A7629&lt;&gt;"""",SPLIT('(INGESTA)Datos_consumo_datadis'!A:A,"",""),"""")"),"ES0031408323131005HX0F")</f>
        <v>ES0031408323131005HX0F</v>
      </c>
      <c r="B7629" s="12">
        <f>IFERROR(__xludf.DUMMYFUNCTION("""COMPUTED_VALUE"""),45183.0)</f>
        <v>45183</v>
      </c>
      <c r="C7629" s="13">
        <f>IFERROR(__xludf.DUMMYFUNCTION("""COMPUTED_VALUE"""),0.875)</f>
        <v>0.875</v>
      </c>
      <c r="D7629" s="8">
        <f>IFERROR(__xludf.DUMMYFUNCTION("""COMPUTED_VALUE"""),0.132)</f>
        <v>0.132</v>
      </c>
      <c r="E7629" s="8" t="str">
        <f>IFERROR(__xludf.DUMMYFUNCTION("""COMPUTED_VALUE"""),"Real")</f>
        <v>Real</v>
      </c>
      <c r="G7629" s="8">
        <f t="shared" si="1"/>
        <v>9</v>
      </c>
      <c r="H7629" s="14">
        <f t="shared" si="2"/>
        <v>14</v>
      </c>
      <c r="I7629" s="15">
        <f t="shared" si="3"/>
        <v>21</v>
      </c>
    </row>
    <row r="7630">
      <c r="A7630" s="8" t="str">
        <f>IFERROR(__xludf.DUMMYFUNCTION("IF('(INGESTA)Datos_consumo_datadis'!A7630&lt;&gt;"""",SPLIT('(INGESTA)Datos_consumo_datadis'!A:A,"",""),"""")"),"ES0031408323131005HX0F")</f>
        <v>ES0031408323131005HX0F</v>
      </c>
      <c r="B7630" s="12">
        <f>IFERROR(__xludf.DUMMYFUNCTION("""COMPUTED_VALUE"""),45183.0)</f>
        <v>45183</v>
      </c>
      <c r="C7630" s="13">
        <f>IFERROR(__xludf.DUMMYFUNCTION("""COMPUTED_VALUE"""),0.9166666666666666)</f>
        <v>0.9166666667</v>
      </c>
      <c r="D7630" s="8">
        <f>IFERROR(__xludf.DUMMYFUNCTION("""COMPUTED_VALUE"""),0.111)</f>
        <v>0.111</v>
      </c>
      <c r="E7630" s="8" t="str">
        <f>IFERROR(__xludf.DUMMYFUNCTION("""COMPUTED_VALUE"""),"Real")</f>
        <v>Real</v>
      </c>
      <c r="G7630" s="8">
        <f t="shared" si="1"/>
        <v>9</v>
      </c>
      <c r="H7630" s="14">
        <f t="shared" si="2"/>
        <v>14</v>
      </c>
      <c r="I7630" s="15">
        <f t="shared" si="3"/>
        <v>22</v>
      </c>
    </row>
    <row r="7631">
      <c r="A7631" s="8" t="str">
        <f>IFERROR(__xludf.DUMMYFUNCTION("IF('(INGESTA)Datos_consumo_datadis'!A7631&lt;&gt;"""",SPLIT('(INGESTA)Datos_consumo_datadis'!A:A,"",""),"""")"),"ES0031408323131005HX0F")</f>
        <v>ES0031408323131005HX0F</v>
      </c>
      <c r="B7631" s="12">
        <f>IFERROR(__xludf.DUMMYFUNCTION("""COMPUTED_VALUE"""),45183.0)</f>
        <v>45183</v>
      </c>
      <c r="C7631" s="13">
        <f>IFERROR(__xludf.DUMMYFUNCTION("""COMPUTED_VALUE"""),0.9583333333333334)</f>
        <v>0.9583333333</v>
      </c>
      <c r="D7631" s="8">
        <f>IFERROR(__xludf.DUMMYFUNCTION("""COMPUTED_VALUE"""),0.117)</f>
        <v>0.117</v>
      </c>
      <c r="E7631" s="8" t="str">
        <f>IFERROR(__xludf.DUMMYFUNCTION("""COMPUTED_VALUE"""),"Real")</f>
        <v>Real</v>
      </c>
      <c r="G7631" s="8">
        <f t="shared" si="1"/>
        <v>9</v>
      </c>
      <c r="H7631" s="14">
        <f t="shared" si="2"/>
        <v>14</v>
      </c>
      <c r="I7631" s="15">
        <f t="shared" si="3"/>
        <v>23</v>
      </c>
    </row>
    <row r="7632">
      <c r="A7632" s="8" t="str">
        <f>IFERROR(__xludf.DUMMYFUNCTION("IF('(INGESTA)Datos_consumo_datadis'!A7632&lt;&gt;"""",SPLIT('(INGESTA)Datos_consumo_datadis'!A:A,"",""),"""")"),"ES0031408323131005HX0F")</f>
        <v>ES0031408323131005HX0F</v>
      </c>
      <c r="B7632" s="12">
        <f>IFERROR(__xludf.DUMMYFUNCTION("""COMPUTED_VALUE"""),45183.0)</f>
        <v>45183</v>
      </c>
      <c r="C7632" s="16">
        <f>IFERROR(__xludf.DUMMYFUNCTION("""COMPUTED_VALUE"""),1.0)</f>
        <v>1</v>
      </c>
      <c r="D7632" s="8">
        <f>IFERROR(__xludf.DUMMYFUNCTION("""COMPUTED_VALUE"""),0.11)</f>
        <v>0.11</v>
      </c>
      <c r="E7632" s="8" t="str">
        <f>IFERROR(__xludf.DUMMYFUNCTION("""COMPUTED_VALUE"""),"Real")</f>
        <v>Real</v>
      </c>
      <c r="G7632" s="8">
        <f t="shared" si="1"/>
        <v>9</v>
      </c>
      <c r="H7632" s="14">
        <f t="shared" si="2"/>
        <v>14</v>
      </c>
      <c r="I7632" s="15">
        <f t="shared" si="3"/>
        <v>0</v>
      </c>
    </row>
    <row r="7633">
      <c r="A7633" s="8" t="str">
        <f>IFERROR(__xludf.DUMMYFUNCTION("IF('(INGESTA)Datos_consumo_datadis'!A7633&lt;&gt;"""",SPLIT('(INGESTA)Datos_consumo_datadis'!A:A,"",""),"""")"),"ES0031408323131005HX0F")</f>
        <v>ES0031408323131005HX0F</v>
      </c>
      <c r="B7633" s="12">
        <f>IFERROR(__xludf.DUMMYFUNCTION("""COMPUTED_VALUE"""),45184.0)</f>
        <v>45184</v>
      </c>
      <c r="C7633" s="13">
        <f>IFERROR(__xludf.DUMMYFUNCTION("""COMPUTED_VALUE"""),0.041666666666666664)</f>
        <v>0.04166666667</v>
      </c>
      <c r="D7633" s="8">
        <f>IFERROR(__xludf.DUMMYFUNCTION("""COMPUTED_VALUE"""),0.089)</f>
        <v>0.089</v>
      </c>
      <c r="E7633" s="8" t="str">
        <f>IFERROR(__xludf.DUMMYFUNCTION("""COMPUTED_VALUE"""),"Real")</f>
        <v>Real</v>
      </c>
      <c r="G7633" s="8">
        <f t="shared" si="1"/>
        <v>9</v>
      </c>
      <c r="H7633" s="14">
        <f t="shared" si="2"/>
        <v>15</v>
      </c>
      <c r="I7633" s="15">
        <f t="shared" si="3"/>
        <v>1</v>
      </c>
    </row>
    <row r="7634">
      <c r="A7634" s="8" t="str">
        <f>IFERROR(__xludf.DUMMYFUNCTION("IF('(INGESTA)Datos_consumo_datadis'!A7634&lt;&gt;"""",SPLIT('(INGESTA)Datos_consumo_datadis'!A:A,"",""),"""")"),"ES0031408323131005HX0F")</f>
        <v>ES0031408323131005HX0F</v>
      </c>
      <c r="B7634" s="12">
        <f>IFERROR(__xludf.DUMMYFUNCTION("""COMPUTED_VALUE"""),45184.0)</f>
        <v>45184</v>
      </c>
      <c r="C7634" s="13">
        <f>IFERROR(__xludf.DUMMYFUNCTION("""COMPUTED_VALUE"""),0.08333333333333333)</f>
        <v>0.08333333333</v>
      </c>
      <c r="D7634" s="8">
        <f>IFERROR(__xludf.DUMMYFUNCTION("""COMPUTED_VALUE"""),0.067)</f>
        <v>0.067</v>
      </c>
      <c r="E7634" s="8" t="str">
        <f>IFERROR(__xludf.DUMMYFUNCTION("""COMPUTED_VALUE"""),"Real")</f>
        <v>Real</v>
      </c>
      <c r="G7634" s="8">
        <f t="shared" si="1"/>
        <v>9</v>
      </c>
      <c r="H7634" s="14">
        <f t="shared" si="2"/>
        <v>15</v>
      </c>
      <c r="I7634" s="15">
        <f t="shared" si="3"/>
        <v>2</v>
      </c>
    </row>
    <row r="7635">
      <c r="A7635" s="8" t="str">
        <f>IFERROR(__xludf.DUMMYFUNCTION("IF('(INGESTA)Datos_consumo_datadis'!A7635&lt;&gt;"""",SPLIT('(INGESTA)Datos_consumo_datadis'!A:A,"",""),"""")"),"ES0031408323131005HX0F")</f>
        <v>ES0031408323131005HX0F</v>
      </c>
      <c r="B7635" s="12">
        <f>IFERROR(__xludf.DUMMYFUNCTION("""COMPUTED_VALUE"""),45184.0)</f>
        <v>45184</v>
      </c>
      <c r="C7635" s="13">
        <f>IFERROR(__xludf.DUMMYFUNCTION("""COMPUTED_VALUE"""),0.125)</f>
        <v>0.125</v>
      </c>
      <c r="D7635" s="8">
        <f>IFERROR(__xludf.DUMMYFUNCTION("""COMPUTED_VALUE"""),0.298)</f>
        <v>0.298</v>
      </c>
      <c r="E7635" s="8" t="str">
        <f>IFERROR(__xludf.DUMMYFUNCTION("""COMPUTED_VALUE"""),"Real")</f>
        <v>Real</v>
      </c>
      <c r="G7635" s="8">
        <f t="shared" si="1"/>
        <v>9</v>
      </c>
      <c r="H7635" s="14">
        <f t="shared" si="2"/>
        <v>15</v>
      </c>
      <c r="I7635" s="15">
        <f t="shared" si="3"/>
        <v>3</v>
      </c>
    </row>
    <row r="7636">
      <c r="A7636" s="8" t="str">
        <f>IFERROR(__xludf.DUMMYFUNCTION("IF('(INGESTA)Datos_consumo_datadis'!A7636&lt;&gt;"""",SPLIT('(INGESTA)Datos_consumo_datadis'!A:A,"",""),"""")"),"ES0031408323131005HX0F")</f>
        <v>ES0031408323131005HX0F</v>
      </c>
      <c r="B7636" s="12">
        <f>IFERROR(__xludf.DUMMYFUNCTION("""COMPUTED_VALUE"""),45184.0)</f>
        <v>45184</v>
      </c>
      <c r="C7636" s="13">
        <f>IFERROR(__xludf.DUMMYFUNCTION("""COMPUTED_VALUE"""),0.16666666666666666)</f>
        <v>0.1666666667</v>
      </c>
      <c r="D7636" s="8">
        <f>IFERROR(__xludf.DUMMYFUNCTION("""COMPUTED_VALUE"""),0.062)</f>
        <v>0.062</v>
      </c>
      <c r="E7636" s="8" t="str">
        <f>IFERROR(__xludf.DUMMYFUNCTION("""COMPUTED_VALUE"""),"Real")</f>
        <v>Real</v>
      </c>
      <c r="G7636" s="8">
        <f t="shared" si="1"/>
        <v>9</v>
      </c>
      <c r="H7636" s="14">
        <f t="shared" si="2"/>
        <v>15</v>
      </c>
      <c r="I7636" s="15">
        <f t="shared" si="3"/>
        <v>4</v>
      </c>
    </row>
    <row r="7637">
      <c r="A7637" s="8" t="str">
        <f>IFERROR(__xludf.DUMMYFUNCTION("IF('(INGESTA)Datos_consumo_datadis'!A7637&lt;&gt;"""",SPLIT('(INGESTA)Datos_consumo_datadis'!A:A,"",""),"""")"),"ES0031408323131005HX0F")</f>
        <v>ES0031408323131005HX0F</v>
      </c>
      <c r="B7637" s="12">
        <f>IFERROR(__xludf.DUMMYFUNCTION("""COMPUTED_VALUE"""),45184.0)</f>
        <v>45184</v>
      </c>
      <c r="C7637" s="13">
        <f>IFERROR(__xludf.DUMMYFUNCTION("""COMPUTED_VALUE"""),0.20833333333333334)</f>
        <v>0.2083333333</v>
      </c>
      <c r="D7637" s="8">
        <f>IFERROR(__xludf.DUMMYFUNCTION("""COMPUTED_VALUE"""),0.132)</f>
        <v>0.132</v>
      </c>
      <c r="E7637" s="8" t="str">
        <f>IFERROR(__xludf.DUMMYFUNCTION("""COMPUTED_VALUE"""),"Real")</f>
        <v>Real</v>
      </c>
      <c r="G7637" s="8">
        <f t="shared" si="1"/>
        <v>9</v>
      </c>
      <c r="H7637" s="14">
        <f t="shared" si="2"/>
        <v>15</v>
      </c>
      <c r="I7637" s="15">
        <f t="shared" si="3"/>
        <v>5</v>
      </c>
    </row>
    <row r="7638">
      <c r="A7638" s="8" t="str">
        <f>IFERROR(__xludf.DUMMYFUNCTION("IF('(INGESTA)Datos_consumo_datadis'!A7638&lt;&gt;"""",SPLIT('(INGESTA)Datos_consumo_datadis'!A:A,"",""),"""")"),"ES0031408323131005HX0F")</f>
        <v>ES0031408323131005HX0F</v>
      </c>
      <c r="B7638" s="12">
        <f>IFERROR(__xludf.DUMMYFUNCTION("""COMPUTED_VALUE"""),45184.0)</f>
        <v>45184</v>
      </c>
      <c r="C7638" s="13">
        <f>IFERROR(__xludf.DUMMYFUNCTION("""COMPUTED_VALUE"""),0.25)</f>
        <v>0.25</v>
      </c>
      <c r="D7638" s="8">
        <f>IFERROR(__xludf.DUMMYFUNCTION("""COMPUTED_VALUE"""),0.108)</f>
        <v>0.108</v>
      </c>
      <c r="E7638" s="8" t="str">
        <f>IFERROR(__xludf.DUMMYFUNCTION("""COMPUTED_VALUE"""),"Real")</f>
        <v>Real</v>
      </c>
      <c r="G7638" s="8">
        <f t="shared" si="1"/>
        <v>9</v>
      </c>
      <c r="H7638" s="14">
        <f t="shared" si="2"/>
        <v>15</v>
      </c>
      <c r="I7638" s="15">
        <f t="shared" si="3"/>
        <v>6</v>
      </c>
    </row>
    <row r="7639">
      <c r="A7639" s="8" t="str">
        <f>IFERROR(__xludf.DUMMYFUNCTION("IF('(INGESTA)Datos_consumo_datadis'!A7639&lt;&gt;"""",SPLIT('(INGESTA)Datos_consumo_datadis'!A:A,"",""),"""")"),"ES0031408323131005HX0F")</f>
        <v>ES0031408323131005HX0F</v>
      </c>
      <c r="B7639" s="12">
        <f>IFERROR(__xludf.DUMMYFUNCTION("""COMPUTED_VALUE"""),45184.0)</f>
        <v>45184</v>
      </c>
      <c r="C7639" s="13">
        <f>IFERROR(__xludf.DUMMYFUNCTION("""COMPUTED_VALUE"""),0.2916666666666667)</f>
        <v>0.2916666667</v>
      </c>
      <c r="D7639" s="8">
        <f>IFERROR(__xludf.DUMMYFUNCTION("""COMPUTED_VALUE"""),0.101)</f>
        <v>0.101</v>
      </c>
      <c r="E7639" s="8" t="str">
        <f>IFERROR(__xludf.DUMMYFUNCTION("""COMPUTED_VALUE"""),"Real")</f>
        <v>Real</v>
      </c>
      <c r="G7639" s="8">
        <f t="shared" si="1"/>
        <v>9</v>
      </c>
      <c r="H7639" s="14">
        <f t="shared" si="2"/>
        <v>15</v>
      </c>
      <c r="I7639" s="15">
        <f t="shared" si="3"/>
        <v>7</v>
      </c>
    </row>
    <row r="7640">
      <c r="A7640" s="8" t="str">
        <f>IFERROR(__xludf.DUMMYFUNCTION("IF('(INGESTA)Datos_consumo_datadis'!A7640&lt;&gt;"""",SPLIT('(INGESTA)Datos_consumo_datadis'!A:A,"",""),"""")"),"ES0031408323131005HX0F")</f>
        <v>ES0031408323131005HX0F</v>
      </c>
      <c r="B7640" s="12">
        <f>IFERROR(__xludf.DUMMYFUNCTION("""COMPUTED_VALUE"""),45184.0)</f>
        <v>45184</v>
      </c>
      <c r="C7640" s="13">
        <f>IFERROR(__xludf.DUMMYFUNCTION("""COMPUTED_VALUE"""),0.3333333333333333)</f>
        <v>0.3333333333</v>
      </c>
      <c r="D7640" s="8">
        <f>IFERROR(__xludf.DUMMYFUNCTION("""COMPUTED_VALUE"""),0.077)</f>
        <v>0.077</v>
      </c>
      <c r="E7640" s="8" t="str">
        <f>IFERROR(__xludf.DUMMYFUNCTION("""COMPUTED_VALUE"""),"Real")</f>
        <v>Real</v>
      </c>
      <c r="G7640" s="8">
        <f t="shared" si="1"/>
        <v>9</v>
      </c>
      <c r="H7640" s="14">
        <f t="shared" si="2"/>
        <v>15</v>
      </c>
      <c r="I7640" s="15">
        <f t="shared" si="3"/>
        <v>8</v>
      </c>
    </row>
    <row r="7641">
      <c r="A7641" s="8" t="str">
        <f>IFERROR(__xludf.DUMMYFUNCTION("IF('(INGESTA)Datos_consumo_datadis'!A7641&lt;&gt;"""",SPLIT('(INGESTA)Datos_consumo_datadis'!A:A,"",""),"""")"),"ES0031408323131005HX0F")</f>
        <v>ES0031408323131005HX0F</v>
      </c>
      <c r="B7641" s="12">
        <f>IFERROR(__xludf.DUMMYFUNCTION("""COMPUTED_VALUE"""),45184.0)</f>
        <v>45184</v>
      </c>
      <c r="C7641" s="13">
        <f>IFERROR(__xludf.DUMMYFUNCTION("""COMPUTED_VALUE"""),0.375)</f>
        <v>0.375</v>
      </c>
      <c r="D7641" s="8">
        <f>IFERROR(__xludf.DUMMYFUNCTION("""COMPUTED_VALUE"""),0.027)</f>
        <v>0.027</v>
      </c>
      <c r="E7641" s="8" t="str">
        <f>IFERROR(__xludf.DUMMYFUNCTION("""COMPUTED_VALUE"""),"Real")</f>
        <v>Real</v>
      </c>
      <c r="G7641" s="8">
        <f t="shared" si="1"/>
        <v>9</v>
      </c>
      <c r="H7641" s="14">
        <f t="shared" si="2"/>
        <v>15</v>
      </c>
      <c r="I7641" s="15">
        <f t="shared" si="3"/>
        <v>9</v>
      </c>
    </row>
    <row r="7642">
      <c r="A7642" s="8" t="str">
        <f>IFERROR(__xludf.DUMMYFUNCTION("IF('(INGESTA)Datos_consumo_datadis'!A7642&lt;&gt;"""",SPLIT('(INGESTA)Datos_consumo_datadis'!A:A,"",""),"""")"),"ES0031408323131005HX0F")</f>
        <v>ES0031408323131005HX0F</v>
      </c>
      <c r="B7642" s="12">
        <f>IFERROR(__xludf.DUMMYFUNCTION("""COMPUTED_VALUE"""),45184.0)</f>
        <v>45184</v>
      </c>
      <c r="C7642" s="13">
        <f>IFERROR(__xludf.DUMMYFUNCTION("""COMPUTED_VALUE"""),0.4166666666666667)</f>
        <v>0.4166666667</v>
      </c>
      <c r="D7642" s="8">
        <f>IFERROR(__xludf.DUMMYFUNCTION("""COMPUTED_VALUE"""),0.05)</f>
        <v>0.05</v>
      </c>
      <c r="E7642" s="8" t="str">
        <f>IFERROR(__xludf.DUMMYFUNCTION("""COMPUTED_VALUE"""),"Real")</f>
        <v>Real</v>
      </c>
      <c r="G7642" s="8">
        <f t="shared" si="1"/>
        <v>9</v>
      </c>
      <c r="H7642" s="14">
        <f t="shared" si="2"/>
        <v>15</v>
      </c>
      <c r="I7642" s="15">
        <f t="shared" si="3"/>
        <v>10</v>
      </c>
    </row>
    <row r="7643">
      <c r="A7643" s="8" t="str">
        <f>IFERROR(__xludf.DUMMYFUNCTION("IF('(INGESTA)Datos_consumo_datadis'!A7643&lt;&gt;"""",SPLIT('(INGESTA)Datos_consumo_datadis'!A:A,"",""),"""")"),"ES0031408323131005HX0F")</f>
        <v>ES0031408323131005HX0F</v>
      </c>
      <c r="B7643" s="12">
        <f>IFERROR(__xludf.DUMMYFUNCTION("""COMPUTED_VALUE"""),45184.0)</f>
        <v>45184</v>
      </c>
      <c r="C7643" s="13">
        <f>IFERROR(__xludf.DUMMYFUNCTION("""COMPUTED_VALUE"""),0.4583333333333333)</f>
        <v>0.4583333333</v>
      </c>
      <c r="D7643" s="8">
        <f>IFERROR(__xludf.DUMMYFUNCTION("""COMPUTED_VALUE"""),0.394)</f>
        <v>0.394</v>
      </c>
      <c r="E7643" s="8" t="str">
        <f>IFERROR(__xludf.DUMMYFUNCTION("""COMPUTED_VALUE"""),"Real")</f>
        <v>Real</v>
      </c>
      <c r="G7643" s="8">
        <f t="shared" si="1"/>
        <v>9</v>
      </c>
      <c r="H7643" s="14">
        <f t="shared" si="2"/>
        <v>15</v>
      </c>
      <c r="I7643" s="15">
        <f t="shared" si="3"/>
        <v>11</v>
      </c>
    </row>
    <row r="7644">
      <c r="A7644" s="8" t="str">
        <f>IFERROR(__xludf.DUMMYFUNCTION("IF('(INGESTA)Datos_consumo_datadis'!A7644&lt;&gt;"""",SPLIT('(INGESTA)Datos_consumo_datadis'!A:A,"",""),"""")"),"ES0031408323131005HX0F")</f>
        <v>ES0031408323131005HX0F</v>
      </c>
      <c r="B7644" s="12">
        <f>IFERROR(__xludf.DUMMYFUNCTION("""COMPUTED_VALUE"""),45184.0)</f>
        <v>45184</v>
      </c>
      <c r="C7644" s="13">
        <f>IFERROR(__xludf.DUMMYFUNCTION("""COMPUTED_VALUE"""),0.5)</f>
        <v>0.5</v>
      </c>
      <c r="D7644" s="8">
        <f>IFERROR(__xludf.DUMMYFUNCTION("""COMPUTED_VALUE"""),0.116)</f>
        <v>0.116</v>
      </c>
      <c r="E7644" s="8" t="str">
        <f>IFERROR(__xludf.DUMMYFUNCTION("""COMPUTED_VALUE"""),"Real")</f>
        <v>Real</v>
      </c>
      <c r="G7644" s="8">
        <f t="shared" si="1"/>
        <v>9</v>
      </c>
      <c r="H7644" s="14">
        <f t="shared" si="2"/>
        <v>15</v>
      </c>
      <c r="I7644" s="15">
        <f t="shared" si="3"/>
        <v>12</v>
      </c>
    </row>
    <row r="7645">
      <c r="A7645" s="8" t="str">
        <f>IFERROR(__xludf.DUMMYFUNCTION("IF('(INGESTA)Datos_consumo_datadis'!A7645&lt;&gt;"""",SPLIT('(INGESTA)Datos_consumo_datadis'!A:A,"",""),"""")"),"ES0031408323131005HX0F")</f>
        <v>ES0031408323131005HX0F</v>
      </c>
      <c r="B7645" s="12">
        <f>IFERROR(__xludf.DUMMYFUNCTION("""COMPUTED_VALUE"""),45184.0)</f>
        <v>45184</v>
      </c>
      <c r="C7645" s="13">
        <f>IFERROR(__xludf.DUMMYFUNCTION("""COMPUTED_VALUE"""),0.5416666666666666)</f>
        <v>0.5416666667</v>
      </c>
      <c r="D7645" s="8">
        <f>IFERROR(__xludf.DUMMYFUNCTION("""COMPUTED_VALUE"""),0.098)</f>
        <v>0.098</v>
      </c>
      <c r="E7645" s="8" t="str">
        <f>IFERROR(__xludf.DUMMYFUNCTION("""COMPUTED_VALUE"""),"Real")</f>
        <v>Real</v>
      </c>
      <c r="G7645" s="8">
        <f t="shared" si="1"/>
        <v>9</v>
      </c>
      <c r="H7645" s="14">
        <f t="shared" si="2"/>
        <v>15</v>
      </c>
      <c r="I7645" s="15">
        <f t="shared" si="3"/>
        <v>13</v>
      </c>
    </row>
    <row r="7646">
      <c r="A7646" s="8" t="str">
        <f>IFERROR(__xludf.DUMMYFUNCTION("IF('(INGESTA)Datos_consumo_datadis'!A7646&lt;&gt;"""",SPLIT('(INGESTA)Datos_consumo_datadis'!A:A,"",""),"""")"),"ES0031408323131005HX0F")</f>
        <v>ES0031408323131005HX0F</v>
      </c>
      <c r="B7646" s="12">
        <f>IFERROR(__xludf.DUMMYFUNCTION("""COMPUTED_VALUE"""),45184.0)</f>
        <v>45184</v>
      </c>
      <c r="C7646" s="13">
        <f>IFERROR(__xludf.DUMMYFUNCTION("""COMPUTED_VALUE"""),0.5833333333333334)</f>
        <v>0.5833333333</v>
      </c>
      <c r="D7646" s="8">
        <f>IFERROR(__xludf.DUMMYFUNCTION("""COMPUTED_VALUE"""),0.08)</f>
        <v>0.08</v>
      </c>
      <c r="E7646" s="8" t="str">
        <f>IFERROR(__xludf.DUMMYFUNCTION("""COMPUTED_VALUE"""),"Real")</f>
        <v>Real</v>
      </c>
      <c r="G7646" s="8">
        <f t="shared" si="1"/>
        <v>9</v>
      </c>
      <c r="H7646" s="14">
        <f t="shared" si="2"/>
        <v>15</v>
      </c>
      <c r="I7646" s="15">
        <f t="shared" si="3"/>
        <v>14</v>
      </c>
    </row>
    <row r="7647">
      <c r="A7647" s="8" t="str">
        <f>IFERROR(__xludf.DUMMYFUNCTION("IF('(INGESTA)Datos_consumo_datadis'!A7647&lt;&gt;"""",SPLIT('(INGESTA)Datos_consumo_datadis'!A:A,"",""),"""")"),"ES0031408323131005HX0F")</f>
        <v>ES0031408323131005HX0F</v>
      </c>
      <c r="B7647" s="12">
        <f>IFERROR(__xludf.DUMMYFUNCTION("""COMPUTED_VALUE"""),45184.0)</f>
        <v>45184</v>
      </c>
      <c r="C7647" s="13">
        <f>IFERROR(__xludf.DUMMYFUNCTION("""COMPUTED_VALUE"""),0.625)</f>
        <v>0.625</v>
      </c>
      <c r="D7647" s="8">
        <f>IFERROR(__xludf.DUMMYFUNCTION("""COMPUTED_VALUE"""),0.028)</f>
        <v>0.028</v>
      </c>
      <c r="E7647" s="8" t="str">
        <f>IFERROR(__xludf.DUMMYFUNCTION("""COMPUTED_VALUE"""),"Real")</f>
        <v>Real</v>
      </c>
      <c r="G7647" s="8">
        <f t="shared" si="1"/>
        <v>9</v>
      </c>
      <c r="H7647" s="14">
        <f t="shared" si="2"/>
        <v>15</v>
      </c>
      <c r="I7647" s="15">
        <f t="shared" si="3"/>
        <v>15</v>
      </c>
    </row>
    <row r="7648">
      <c r="A7648" s="8" t="str">
        <f>IFERROR(__xludf.DUMMYFUNCTION("IF('(INGESTA)Datos_consumo_datadis'!A7648&lt;&gt;"""",SPLIT('(INGESTA)Datos_consumo_datadis'!A:A,"",""),"""")"),"ES0031408323131005HX0F")</f>
        <v>ES0031408323131005HX0F</v>
      </c>
      <c r="B7648" s="12">
        <f>IFERROR(__xludf.DUMMYFUNCTION("""COMPUTED_VALUE"""),45184.0)</f>
        <v>45184</v>
      </c>
      <c r="C7648" s="13">
        <f>IFERROR(__xludf.DUMMYFUNCTION("""COMPUTED_VALUE"""),0.6666666666666666)</f>
        <v>0.6666666667</v>
      </c>
      <c r="D7648" s="8">
        <f>IFERROR(__xludf.DUMMYFUNCTION("""COMPUTED_VALUE"""),0.04)</f>
        <v>0.04</v>
      </c>
      <c r="E7648" s="8" t="str">
        <f>IFERROR(__xludf.DUMMYFUNCTION("""COMPUTED_VALUE"""),"Real")</f>
        <v>Real</v>
      </c>
      <c r="G7648" s="8">
        <f t="shared" si="1"/>
        <v>9</v>
      </c>
      <c r="H7648" s="14">
        <f t="shared" si="2"/>
        <v>15</v>
      </c>
      <c r="I7648" s="15">
        <f t="shared" si="3"/>
        <v>16</v>
      </c>
    </row>
    <row r="7649">
      <c r="A7649" s="8" t="str">
        <f>IFERROR(__xludf.DUMMYFUNCTION("IF('(INGESTA)Datos_consumo_datadis'!A7649&lt;&gt;"""",SPLIT('(INGESTA)Datos_consumo_datadis'!A:A,"",""),"""")"),"ES0031408323131005HX0F")</f>
        <v>ES0031408323131005HX0F</v>
      </c>
      <c r="B7649" s="12">
        <f>IFERROR(__xludf.DUMMYFUNCTION("""COMPUTED_VALUE"""),45184.0)</f>
        <v>45184</v>
      </c>
      <c r="C7649" s="13">
        <f>IFERROR(__xludf.DUMMYFUNCTION("""COMPUTED_VALUE"""),0.7083333333333334)</f>
        <v>0.7083333333</v>
      </c>
      <c r="D7649" s="8">
        <f>IFERROR(__xludf.DUMMYFUNCTION("""COMPUTED_VALUE"""),0.132)</f>
        <v>0.132</v>
      </c>
      <c r="E7649" s="8" t="str">
        <f>IFERROR(__xludf.DUMMYFUNCTION("""COMPUTED_VALUE"""),"Real")</f>
        <v>Real</v>
      </c>
      <c r="G7649" s="8">
        <f t="shared" si="1"/>
        <v>9</v>
      </c>
      <c r="H7649" s="14">
        <f t="shared" si="2"/>
        <v>15</v>
      </c>
      <c r="I7649" s="15">
        <f t="shared" si="3"/>
        <v>17</v>
      </c>
    </row>
    <row r="7650">
      <c r="A7650" s="8" t="str">
        <f>IFERROR(__xludf.DUMMYFUNCTION("IF('(INGESTA)Datos_consumo_datadis'!A7650&lt;&gt;"""",SPLIT('(INGESTA)Datos_consumo_datadis'!A:A,"",""),"""")"),"ES0031408323131005HX0F")</f>
        <v>ES0031408323131005HX0F</v>
      </c>
      <c r="B7650" s="12">
        <f>IFERROR(__xludf.DUMMYFUNCTION("""COMPUTED_VALUE"""),45184.0)</f>
        <v>45184</v>
      </c>
      <c r="C7650" s="13">
        <f>IFERROR(__xludf.DUMMYFUNCTION("""COMPUTED_VALUE"""),0.75)</f>
        <v>0.75</v>
      </c>
      <c r="D7650" s="8">
        <f>IFERROR(__xludf.DUMMYFUNCTION("""COMPUTED_VALUE"""),0.125)</f>
        <v>0.125</v>
      </c>
      <c r="E7650" s="8" t="str">
        <f>IFERROR(__xludf.DUMMYFUNCTION("""COMPUTED_VALUE"""),"Real")</f>
        <v>Real</v>
      </c>
      <c r="G7650" s="8">
        <f t="shared" si="1"/>
        <v>9</v>
      </c>
      <c r="H7650" s="14">
        <f t="shared" si="2"/>
        <v>15</v>
      </c>
      <c r="I7650" s="15">
        <f t="shared" si="3"/>
        <v>18</v>
      </c>
    </row>
    <row r="7651">
      <c r="A7651" s="8" t="str">
        <f>IFERROR(__xludf.DUMMYFUNCTION("IF('(INGESTA)Datos_consumo_datadis'!A7651&lt;&gt;"""",SPLIT('(INGESTA)Datos_consumo_datadis'!A:A,"",""),"""")"),"ES0031408323131005HX0F")</f>
        <v>ES0031408323131005HX0F</v>
      </c>
      <c r="B7651" s="12">
        <f>IFERROR(__xludf.DUMMYFUNCTION("""COMPUTED_VALUE"""),45184.0)</f>
        <v>45184</v>
      </c>
      <c r="C7651" s="13">
        <f>IFERROR(__xludf.DUMMYFUNCTION("""COMPUTED_VALUE"""),0.7916666666666666)</f>
        <v>0.7916666667</v>
      </c>
      <c r="D7651" s="8">
        <f>IFERROR(__xludf.DUMMYFUNCTION("""COMPUTED_VALUE"""),0.343)</f>
        <v>0.343</v>
      </c>
      <c r="E7651" s="8" t="str">
        <f>IFERROR(__xludf.DUMMYFUNCTION("""COMPUTED_VALUE"""),"Real")</f>
        <v>Real</v>
      </c>
      <c r="G7651" s="8">
        <f t="shared" si="1"/>
        <v>9</v>
      </c>
      <c r="H7651" s="14">
        <f t="shared" si="2"/>
        <v>15</v>
      </c>
      <c r="I7651" s="15">
        <f t="shared" si="3"/>
        <v>19</v>
      </c>
    </row>
    <row r="7652">
      <c r="A7652" s="8" t="str">
        <f>IFERROR(__xludf.DUMMYFUNCTION("IF('(INGESTA)Datos_consumo_datadis'!A7652&lt;&gt;"""",SPLIT('(INGESTA)Datos_consumo_datadis'!A:A,"",""),"""")"),"ES0031408323131005HX0F")</f>
        <v>ES0031408323131005HX0F</v>
      </c>
      <c r="B7652" s="12">
        <f>IFERROR(__xludf.DUMMYFUNCTION("""COMPUTED_VALUE"""),45184.0)</f>
        <v>45184</v>
      </c>
      <c r="C7652" s="13">
        <f>IFERROR(__xludf.DUMMYFUNCTION("""COMPUTED_VALUE"""),0.8333333333333334)</f>
        <v>0.8333333333</v>
      </c>
      <c r="D7652" s="8">
        <f>IFERROR(__xludf.DUMMYFUNCTION("""COMPUTED_VALUE"""),0.081)</f>
        <v>0.081</v>
      </c>
      <c r="E7652" s="8" t="str">
        <f>IFERROR(__xludf.DUMMYFUNCTION("""COMPUTED_VALUE"""),"Real")</f>
        <v>Real</v>
      </c>
      <c r="G7652" s="8">
        <f t="shared" si="1"/>
        <v>9</v>
      </c>
      <c r="H7652" s="14">
        <f t="shared" si="2"/>
        <v>15</v>
      </c>
      <c r="I7652" s="15">
        <f t="shared" si="3"/>
        <v>20</v>
      </c>
    </row>
    <row r="7653">
      <c r="A7653" s="8" t="str">
        <f>IFERROR(__xludf.DUMMYFUNCTION("IF('(INGESTA)Datos_consumo_datadis'!A7653&lt;&gt;"""",SPLIT('(INGESTA)Datos_consumo_datadis'!A:A,"",""),"""")"),"ES0031408323131005HX0F")</f>
        <v>ES0031408323131005HX0F</v>
      </c>
      <c r="B7653" s="12">
        <f>IFERROR(__xludf.DUMMYFUNCTION("""COMPUTED_VALUE"""),45184.0)</f>
        <v>45184</v>
      </c>
      <c r="C7653" s="13">
        <f>IFERROR(__xludf.DUMMYFUNCTION("""COMPUTED_VALUE"""),0.875)</f>
        <v>0.875</v>
      </c>
      <c r="D7653" s="8">
        <f>IFERROR(__xludf.DUMMYFUNCTION("""COMPUTED_VALUE"""),0.028)</f>
        <v>0.028</v>
      </c>
      <c r="E7653" s="8" t="str">
        <f>IFERROR(__xludf.DUMMYFUNCTION("""COMPUTED_VALUE"""),"Real")</f>
        <v>Real</v>
      </c>
      <c r="G7653" s="8">
        <f t="shared" si="1"/>
        <v>9</v>
      </c>
      <c r="H7653" s="14">
        <f t="shared" si="2"/>
        <v>15</v>
      </c>
      <c r="I7653" s="15">
        <f t="shared" si="3"/>
        <v>21</v>
      </c>
    </row>
    <row r="7654">
      <c r="A7654" s="8" t="str">
        <f>IFERROR(__xludf.DUMMYFUNCTION("IF('(INGESTA)Datos_consumo_datadis'!A7654&lt;&gt;"""",SPLIT('(INGESTA)Datos_consumo_datadis'!A:A,"",""),"""")"),"ES0031408323131005HX0F")</f>
        <v>ES0031408323131005HX0F</v>
      </c>
      <c r="B7654" s="12">
        <f>IFERROR(__xludf.DUMMYFUNCTION("""COMPUTED_VALUE"""),45184.0)</f>
        <v>45184</v>
      </c>
      <c r="C7654" s="13">
        <f>IFERROR(__xludf.DUMMYFUNCTION("""COMPUTED_VALUE"""),0.9166666666666666)</f>
        <v>0.9166666667</v>
      </c>
      <c r="D7654" s="8">
        <f>IFERROR(__xludf.DUMMYFUNCTION("""COMPUTED_VALUE"""),0.028)</f>
        <v>0.028</v>
      </c>
      <c r="E7654" s="8" t="str">
        <f>IFERROR(__xludf.DUMMYFUNCTION("""COMPUTED_VALUE"""),"Real")</f>
        <v>Real</v>
      </c>
      <c r="G7654" s="8">
        <f t="shared" si="1"/>
        <v>9</v>
      </c>
      <c r="H7654" s="14">
        <f t="shared" si="2"/>
        <v>15</v>
      </c>
      <c r="I7654" s="15">
        <f t="shared" si="3"/>
        <v>22</v>
      </c>
    </row>
    <row r="7655">
      <c r="A7655" s="8" t="str">
        <f>IFERROR(__xludf.DUMMYFUNCTION("IF('(INGESTA)Datos_consumo_datadis'!A7655&lt;&gt;"""",SPLIT('(INGESTA)Datos_consumo_datadis'!A:A,"",""),"""")"),"ES0031408323131005HX0F")</f>
        <v>ES0031408323131005HX0F</v>
      </c>
      <c r="B7655" s="12">
        <f>IFERROR(__xludf.DUMMYFUNCTION("""COMPUTED_VALUE"""),45184.0)</f>
        <v>45184</v>
      </c>
      <c r="C7655" s="13">
        <f>IFERROR(__xludf.DUMMYFUNCTION("""COMPUTED_VALUE"""),0.9583333333333334)</f>
        <v>0.9583333333</v>
      </c>
      <c r="D7655" s="8">
        <f>IFERROR(__xludf.DUMMYFUNCTION("""COMPUTED_VALUE"""),0.134)</f>
        <v>0.134</v>
      </c>
      <c r="E7655" s="8" t="str">
        <f>IFERROR(__xludf.DUMMYFUNCTION("""COMPUTED_VALUE"""),"Real")</f>
        <v>Real</v>
      </c>
      <c r="G7655" s="8">
        <f t="shared" si="1"/>
        <v>9</v>
      </c>
      <c r="H7655" s="14">
        <f t="shared" si="2"/>
        <v>15</v>
      </c>
      <c r="I7655" s="15">
        <f t="shared" si="3"/>
        <v>23</v>
      </c>
    </row>
    <row r="7656">
      <c r="A7656" s="8" t="str">
        <f>IFERROR(__xludf.DUMMYFUNCTION("IF('(INGESTA)Datos_consumo_datadis'!A7656&lt;&gt;"""",SPLIT('(INGESTA)Datos_consumo_datadis'!A:A,"",""),"""")"),"ES0031408323131005HX0F")</f>
        <v>ES0031408323131005HX0F</v>
      </c>
      <c r="B7656" s="12">
        <f>IFERROR(__xludf.DUMMYFUNCTION("""COMPUTED_VALUE"""),45184.0)</f>
        <v>45184</v>
      </c>
      <c r="C7656" s="16">
        <f>IFERROR(__xludf.DUMMYFUNCTION("""COMPUTED_VALUE"""),1.0)</f>
        <v>1</v>
      </c>
      <c r="D7656" s="8">
        <f>IFERROR(__xludf.DUMMYFUNCTION("""COMPUTED_VALUE"""),0.129)</f>
        <v>0.129</v>
      </c>
      <c r="E7656" s="8" t="str">
        <f>IFERROR(__xludf.DUMMYFUNCTION("""COMPUTED_VALUE"""),"Real")</f>
        <v>Real</v>
      </c>
      <c r="G7656" s="8">
        <f t="shared" si="1"/>
        <v>9</v>
      </c>
      <c r="H7656" s="14">
        <f t="shared" si="2"/>
        <v>15</v>
      </c>
      <c r="I7656" s="15">
        <f t="shared" si="3"/>
        <v>0</v>
      </c>
    </row>
    <row r="7657">
      <c r="A7657" s="8" t="str">
        <f>IFERROR(__xludf.DUMMYFUNCTION("IF('(INGESTA)Datos_consumo_datadis'!A7657&lt;&gt;"""",SPLIT('(INGESTA)Datos_consumo_datadis'!A:A,"",""),"""")"),"ES0031408323131005HX0F")</f>
        <v>ES0031408323131005HX0F</v>
      </c>
      <c r="B7657" s="12">
        <f>IFERROR(__xludf.DUMMYFUNCTION("""COMPUTED_VALUE"""),45185.0)</f>
        <v>45185</v>
      </c>
      <c r="C7657" s="13">
        <f>IFERROR(__xludf.DUMMYFUNCTION("""COMPUTED_VALUE"""),0.041666666666666664)</f>
        <v>0.04166666667</v>
      </c>
      <c r="D7657" s="8">
        <f>IFERROR(__xludf.DUMMYFUNCTION("""COMPUTED_VALUE"""),0.094)</f>
        <v>0.094</v>
      </c>
      <c r="E7657" s="8" t="str">
        <f>IFERROR(__xludf.DUMMYFUNCTION("""COMPUTED_VALUE"""),"Real")</f>
        <v>Real</v>
      </c>
      <c r="G7657" s="8">
        <f t="shared" si="1"/>
        <v>9</v>
      </c>
      <c r="H7657" s="14">
        <f t="shared" si="2"/>
        <v>16</v>
      </c>
      <c r="I7657" s="15">
        <f t="shared" si="3"/>
        <v>1</v>
      </c>
    </row>
    <row r="7658">
      <c r="A7658" s="8" t="str">
        <f>IFERROR(__xludf.DUMMYFUNCTION("IF('(INGESTA)Datos_consumo_datadis'!A7658&lt;&gt;"""",SPLIT('(INGESTA)Datos_consumo_datadis'!A:A,"",""),"""")"),"ES0031408323131005HX0F")</f>
        <v>ES0031408323131005HX0F</v>
      </c>
      <c r="B7658" s="12">
        <f>IFERROR(__xludf.DUMMYFUNCTION("""COMPUTED_VALUE"""),45185.0)</f>
        <v>45185</v>
      </c>
      <c r="C7658" s="13">
        <f>IFERROR(__xludf.DUMMYFUNCTION("""COMPUTED_VALUE"""),0.08333333333333333)</f>
        <v>0.08333333333</v>
      </c>
      <c r="D7658" s="8">
        <f>IFERROR(__xludf.DUMMYFUNCTION("""COMPUTED_VALUE"""),0.325)</f>
        <v>0.325</v>
      </c>
      <c r="E7658" s="8" t="str">
        <f>IFERROR(__xludf.DUMMYFUNCTION("""COMPUTED_VALUE"""),"Real")</f>
        <v>Real</v>
      </c>
      <c r="G7658" s="8">
        <f t="shared" si="1"/>
        <v>9</v>
      </c>
      <c r="H7658" s="14">
        <f t="shared" si="2"/>
        <v>16</v>
      </c>
      <c r="I7658" s="15">
        <f t="shared" si="3"/>
        <v>2</v>
      </c>
    </row>
    <row r="7659">
      <c r="A7659" s="8" t="str">
        <f>IFERROR(__xludf.DUMMYFUNCTION("IF('(INGESTA)Datos_consumo_datadis'!A7659&lt;&gt;"""",SPLIT('(INGESTA)Datos_consumo_datadis'!A:A,"",""),"""")"),"ES0031408323131005HX0F")</f>
        <v>ES0031408323131005HX0F</v>
      </c>
      <c r="B7659" s="12">
        <f>IFERROR(__xludf.DUMMYFUNCTION("""COMPUTED_VALUE"""),45185.0)</f>
        <v>45185</v>
      </c>
      <c r="C7659" s="13">
        <f>IFERROR(__xludf.DUMMYFUNCTION("""COMPUTED_VALUE"""),0.125)</f>
        <v>0.125</v>
      </c>
      <c r="D7659" s="8">
        <f>IFERROR(__xludf.DUMMYFUNCTION("""COMPUTED_VALUE"""),0.028)</f>
        <v>0.028</v>
      </c>
      <c r="E7659" s="8" t="str">
        <f>IFERROR(__xludf.DUMMYFUNCTION("""COMPUTED_VALUE"""),"Real")</f>
        <v>Real</v>
      </c>
      <c r="G7659" s="8">
        <f t="shared" si="1"/>
        <v>9</v>
      </c>
      <c r="H7659" s="14">
        <f t="shared" si="2"/>
        <v>16</v>
      </c>
      <c r="I7659" s="15">
        <f t="shared" si="3"/>
        <v>3</v>
      </c>
    </row>
    <row r="7660">
      <c r="A7660" s="8" t="str">
        <f>IFERROR(__xludf.DUMMYFUNCTION("IF('(INGESTA)Datos_consumo_datadis'!A7660&lt;&gt;"""",SPLIT('(INGESTA)Datos_consumo_datadis'!A:A,"",""),"""")"),"ES0031408323131005HX0F")</f>
        <v>ES0031408323131005HX0F</v>
      </c>
      <c r="B7660" s="12">
        <f>IFERROR(__xludf.DUMMYFUNCTION("""COMPUTED_VALUE"""),45185.0)</f>
        <v>45185</v>
      </c>
      <c r="C7660" s="13">
        <f>IFERROR(__xludf.DUMMYFUNCTION("""COMPUTED_VALUE"""),0.16666666666666666)</f>
        <v>0.1666666667</v>
      </c>
      <c r="D7660" s="8">
        <f>IFERROR(__xludf.DUMMYFUNCTION("""COMPUTED_VALUE"""),0.029)</f>
        <v>0.029</v>
      </c>
      <c r="E7660" s="8" t="str">
        <f>IFERROR(__xludf.DUMMYFUNCTION("""COMPUTED_VALUE"""),"Real")</f>
        <v>Real</v>
      </c>
      <c r="G7660" s="8">
        <f t="shared" si="1"/>
        <v>9</v>
      </c>
      <c r="H7660" s="14">
        <f t="shared" si="2"/>
        <v>16</v>
      </c>
      <c r="I7660" s="15">
        <f t="shared" si="3"/>
        <v>4</v>
      </c>
    </row>
    <row r="7661">
      <c r="A7661" s="8" t="str">
        <f>IFERROR(__xludf.DUMMYFUNCTION("IF('(INGESTA)Datos_consumo_datadis'!A7661&lt;&gt;"""",SPLIT('(INGESTA)Datos_consumo_datadis'!A:A,"",""),"""")"),"ES0031408323131005HX0F")</f>
        <v>ES0031408323131005HX0F</v>
      </c>
      <c r="B7661" s="12">
        <f>IFERROR(__xludf.DUMMYFUNCTION("""COMPUTED_VALUE"""),45185.0)</f>
        <v>45185</v>
      </c>
      <c r="C7661" s="13">
        <f>IFERROR(__xludf.DUMMYFUNCTION("""COMPUTED_VALUE"""),0.20833333333333334)</f>
        <v>0.2083333333</v>
      </c>
      <c r="D7661" s="8">
        <f>IFERROR(__xludf.DUMMYFUNCTION("""COMPUTED_VALUE"""),0.134)</f>
        <v>0.134</v>
      </c>
      <c r="E7661" s="8" t="str">
        <f>IFERROR(__xludf.DUMMYFUNCTION("""COMPUTED_VALUE"""),"Real")</f>
        <v>Real</v>
      </c>
      <c r="G7661" s="8">
        <f t="shared" si="1"/>
        <v>9</v>
      </c>
      <c r="H7661" s="14">
        <f t="shared" si="2"/>
        <v>16</v>
      </c>
      <c r="I7661" s="15">
        <f t="shared" si="3"/>
        <v>5</v>
      </c>
    </row>
    <row r="7662">
      <c r="A7662" s="8" t="str">
        <f>IFERROR(__xludf.DUMMYFUNCTION("IF('(INGESTA)Datos_consumo_datadis'!A7662&lt;&gt;"""",SPLIT('(INGESTA)Datos_consumo_datadis'!A:A,"",""),"""")"),"ES0031408323131005HX0F")</f>
        <v>ES0031408323131005HX0F</v>
      </c>
      <c r="B7662" s="12">
        <f>IFERROR(__xludf.DUMMYFUNCTION("""COMPUTED_VALUE"""),45185.0)</f>
        <v>45185</v>
      </c>
      <c r="C7662" s="13">
        <f>IFERROR(__xludf.DUMMYFUNCTION("""COMPUTED_VALUE"""),0.25)</f>
        <v>0.25</v>
      </c>
      <c r="D7662" s="8">
        <f>IFERROR(__xludf.DUMMYFUNCTION("""COMPUTED_VALUE"""),0.121)</f>
        <v>0.121</v>
      </c>
      <c r="E7662" s="8" t="str">
        <f>IFERROR(__xludf.DUMMYFUNCTION("""COMPUTED_VALUE"""),"Real")</f>
        <v>Real</v>
      </c>
      <c r="G7662" s="8">
        <f t="shared" si="1"/>
        <v>9</v>
      </c>
      <c r="H7662" s="14">
        <f t="shared" si="2"/>
        <v>16</v>
      </c>
      <c r="I7662" s="15">
        <f t="shared" si="3"/>
        <v>6</v>
      </c>
    </row>
    <row r="7663">
      <c r="A7663" s="8" t="str">
        <f>IFERROR(__xludf.DUMMYFUNCTION("IF('(INGESTA)Datos_consumo_datadis'!A7663&lt;&gt;"""",SPLIT('(INGESTA)Datos_consumo_datadis'!A:A,"",""),"""")"),"ES0031408323131005HX0F")</f>
        <v>ES0031408323131005HX0F</v>
      </c>
      <c r="B7663" s="12">
        <f>IFERROR(__xludf.DUMMYFUNCTION("""COMPUTED_VALUE"""),45185.0)</f>
        <v>45185</v>
      </c>
      <c r="C7663" s="13">
        <f>IFERROR(__xludf.DUMMYFUNCTION("""COMPUTED_VALUE"""),0.2916666666666667)</f>
        <v>0.2916666667</v>
      </c>
      <c r="D7663" s="8">
        <f>IFERROR(__xludf.DUMMYFUNCTION("""COMPUTED_VALUE"""),0.092)</f>
        <v>0.092</v>
      </c>
      <c r="E7663" s="8" t="str">
        <f>IFERROR(__xludf.DUMMYFUNCTION("""COMPUTED_VALUE"""),"Real")</f>
        <v>Real</v>
      </c>
      <c r="G7663" s="8">
        <f t="shared" si="1"/>
        <v>9</v>
      </c>
      <c r="H7663" s="14">
        <f t="shared" si="2"/>
        <v>16</v>
      </c>
      <c r="I7663" s="15">
        <f t="shared" si="3"/>
        <v>7</v>
      </c>
    </row>
    <row r="7664">
      <c r="A7664" s="8" t="str">
        <f>IFERROR(__xludf.DUMMYFUNCTION("IF('(INGESTA)Datos_consumo_datadis'!A7664&lt;&gt;"""",SPLIT('(INGESTA)Datos_consumo_datadis'!A:A,"",""),"""")"),"ES0031408323131005HX0F")</f>
        <v>ES0031408323131005HX0F</v>
      </c>
      <c r="B7664" s="12">
        <f>IFERROR(__xludf.DUMMYFUNCTION("""COMPUTED_VALUE"""),45185.0)</f>
        <v>45185</v>
      </c>
      <c r="C7664" s="13">
        <f>IFERROR(__xludf.DUMMYFUNCTION("""COMPUTED_VALUE"""),0.3333333333333333)</f>
        <v>0.3333333333</v>
      </c>
      <c r="D7664" s="8">
        <f>IFERROR(__xludf.DUMMYFUNCTION("""COMPUTED_VALUE"""),0.078)</f>
        <v>0.078</v>
      </c>
      <c r="E7664" s="8" t="str">
        <f>IFERROR(__xludf.DUMMYFUNCTION("""COMPUTED_VALUE"""),"Real")</f>
        <v>Real</v>
      </c>
      <c r="G7664" s="8">
        <f t="shared" si="1"/>
        <v>9</v>
      </c>
      <c r="H7664" s="14">
        <f t="shared" si="2"/>
        <v>16</v>
      </c>
      <c r="I7664" s="15">
        <f t="shared" si="3"/>
        <v>8</v>
      </c>
    </row>
    <row r="7665">
      <c r="A7665" s="8" t="str">
        <f>IFERROR(__xludf.DUMMYFUNCTION("IF('(INGESTA)Datos_consumo_datadis'!A7665&lt;&gt;"""",SPLIT('(INGESTA)Datos_consumo_datadis'!A:A,"",""),"""")"),"ES0031408323131005HX0F")</f>
        <v>ES0031408323131005HX0F</v>
      </c>
      <c r="B7665" s="12">
        <f>IFERROR(__xludf.DUMMYFUNCTION("""COMPUTED_VALUE"""),45185.0)</f>
        <v>45185</v>
      </c>
      <c r="C7665" s="13">
        <f>IFERROR(__xludf.DUMMYFUNCTION("""COMPUTED_VALUE"""),0.375)</f>
        <v>0.375</v>
      </c>
      <c r="D7665" s="8">
        <f>IFERROR(__xludf.DUMMYFUNCTION("""COMPUTED_VALUE"""),0.282)</f>
        <v>0.282</v>
      </c>
      <c r="E7665" s="8" t="str">
        <f>IFERROR(__xludf.DUMMYFUNCTION("""COMPUTED_VALUE"""),"Real")</f>
        <v>Real</v>
      </c>
      <c r="G7665" s="8">
        <f t="shared" si="1"/>
        <v>9</v>
      </c>
      <c r="H7665" s="14">
        <f t="shared" si="2"/>
        <v>16</v>
      </c>
      <c r="I7665" s="15">
        <f t="shared" si="3"/>
        <v>9</v>
      </c>
    </row>
    <row r="7666">
      <c r="A7666" s="8" t="str">
        <f>IFERROR(__xludf.DUMMYFUNCTION("IF('(INGESTA)Datos_consumo_datadis'!A7666&lt;&gt;"""",SPLIT('(INGESTA)Datos_consumo_datadis'!A:A,"",""),"""")"),"ES0031408323131005HX0F")</f>
        <v>ES0031408323131005HX0F</v>
      </c>
      <c r="B7666" s="12">
        <f>IFERROR(__xludf.DUMMYFUNCTION("""COMPUTED_VALUE"""),45185.0)</f>
        <v>45185</v>
      </c>
      <c r="C7666" s="13">
        <f>IFERROR(__xludf.DUMMYFUNCTION("""COMPUTED_VALUE"""),0.4166666666666667)</f>
        <v>0.4166666667</v>
      </c>
      <c r="D7666" s="8">
        <f>IFERROR(__xludf.DUMMYFUNCTION("""COMPUTED_VALUE"""),0.042)</f>
        <v>0.042</v>
      </c>
      <c r="E7666" s="8" t="str">
        <f>IFERROR(__xludf.DUMMYFUNCTION("""COMPUTED_VALUE"""),"Real")</f>
        <v>Real</v>
      </c>
      <c r="G7666" s="8">
        <f t="shared" si="1"/>
        <v>9</v>
      </c>
      <c r="H7666" s="14">
        <f t="shared" si="2"/>
        <v>16</v>
      </c>
      <c r="I7666" s="15">
        <f t="shared" si="3"/>
        <v>10</v>
      </c>
    </row>
    <row r="7667">
      <c r="A7667" s="8" t="str">
        <f>IFERROR(__xludf.DUMMYFUNCTION("IF('(INGESTA)Datos_consumo_datadis'!A7667&lt;&gt;"""",SPLIT('(INGESTA)Datos_consumo_datadis'!A:A,"",""),"""")"),"ES0031408323131005HX0F")</f>
        <v>ES0031408323131005HX0F</v>
      </c>
      <c r="B7667" s="12">
        <f>IFERROR(__xludf.DUMMYFUNCTION("""COMPUTED_VALUE"""),45185.0)</f>
        <v>45185</v>
      </c>
      <c r="C7667" s="13">
        <f>IFERROR(__xludf.DUMMYFUNCTION("""COMPUTED_VALUE"""),0.4583333333333333)</f>
        <v>0.4583333333</v>
      </c>
      <c r="D7667" s="8">
        <f>IFERROR(__xludf.DUMMYFUNCTION("""COMPUTED_VALUE"""),0.133)</f>
        <v>0.133</v>
      </c>
      <c r="E7667" s="8" t="str">
        <f>IFERROR(__xludf.DUMMYFUNCTION("""COMPUTED_VALUE"""),"Real")</f>
        <v>Real</v>
      </c>
      <c r="G7667" s="8">
        <f t="shared" si="1"/>
        <v>9</v>
      </c>
      <c r="H7667" s="14">
        <f t="shared" si="2"/>
        <v>16</v>
      </c>
      <c r="I7667" s="15">
        <f t="shared" si="3"/>
        <v>11</v>
      </c>
    </row>
    <row r="7668">
      <c r="A7668" s="8" t="str">
        <f>IFERROR(__xludf.DUMMYFUNCTION("IF('(INGESTA)Datos_consumo_datadis'!A7668&lt;&gt;"""",SPLIT('(INGESTA)Datos_consumo_datadis'!A:A,"",""),"""")"),"ES0031408323131005HX0F")</f>
        <v>ES0031408323131005HX0F</v>
      </c>
      <c r="B7668" s="12">
        <f>IFERROR(__xludf.DUMMYFUNCTION("""COMPUTED_VALUE"""),45185.0)</f>
        <v>45185</v>
      </c>
      <c r="C7668" s="13">
        <f>IFERROR(__xludf.DUMMYFUNCTION("""COMPUTED_VALUE"""),0.5)</f>
        <v>0.5</v>
      </c>
      <c r="D7668" s="8">
        <f>IFERROR(__xludf.DUMMYFUNCTION("""COMPUTED_VALUE"""),0.107)</f>
        <v>0.107</v>
      </c>
      <c r="E7668" s="8" t="str">
        <f>IFERROR(__xludf.DUMMYFUNCTION("""COMPUTED_VALUE"""),"Real")</f>
        <v>Real</v>
      </c>
      <c r="G7668" s="8">
        <f t="shared" si="1"/>
        <v>9</v>
      </c>
      <c r="H7668" s="14">
        <f t="shared" si="2"/>
        <v>16</v>
      </c>
      <c r="I7668" s="15">
        <f t="shared" si="3"/>
        <v>12</v>
      </c>
    </row>
    <row r="7669">
      <c r="A7669" s="8" t="str">
        <f>IFERROR(__xludf.DUMMYFUNCTION("IF('(INGESTA)Datos_consumo_datadis'!A7669&lt;&gt;"""",SPLIT('(INGESTA)Datos_consumo_datadis'!A:A,"",""),"""")"),"ES0031408323131005HX0F")</f>
        <v>ES0031408323131005HX0F</v>
      </c>
      <c r="B7669" s="12">
        <f>IFERROR(__xludf.DUMMYFUNCTION("""COMPUTED_VALUE"""),45185.0)</f>
        <v>45185</v>
      </c>
      <c r="C7669" s="13">
        <f>IFERROR(__xludf.DUMMYFUNCTION("""COMPUTED_VALUE"""),0.5416666666666666)</f>
        <v>0.5416666667</v>
      </c>
      <c r="D7669" s="8">
        <f>IFERROR(__xludf.DUMMYFUNCTION("""COMPUTED_VALUE"""),0.099)</f>
        <v>0.099</v>
      </c>
      <c r="E7669" s="8" t="str">
        <f>IFERROR(__xludf.DUMMYFUNCTION("""COMPUTED_VALUE"""),"Real")</f>
        <v>Real</v>
      </c>
      <c r="G7669" s="8">
        <f t="shared" si="1"/>
        <v>9</v>
      </c>
      <c r="H7669" s="14">
        <f t="shared" si="2"/>
        <v>16</v>
      </c>
      <c r="I7669" s="15">
        <f t="shared" si="3"/>
        <v>13</v>
      </c>
    </row>
    <row r="7670">
      <c r="A7670" s="8" t="str">
        <f>IFERROR(__xludf.DUMMYFUNCTION("IF('(INGESTA)Datos_consumo_datadis'!A7670&lt;&gt;"""",SPLIT('(INGESTA)Datos_consumo_datadis'!A:A,"",""),"""")"),"ES0031408323131005HX0F")</f>
        <v>ES0031408323131005HX0F</v>
      </c>
      <c r="B7670" s="12">
        <f>IFERROR(__xludf.DUMMYFUNCTION("""COMPUTED_VALUE"""),45185.0)</f>
        <v>45185</v>
      </c>
      <c r="C7670" s="13">
        <f>IFERROR(__xludf.DUMMYFUNCTION("""COMPUTED_VALUE"""),0.5833333333333334)</f>
        <v>0.5833333333</v>
      </c>
      <c r="D7670" s="8">
        <f>IFERROR(__xludf.DUMMYFUNCTION("""COMPUTED_VALUE"""),0.072)</f>
        <v>0.072</v>
      </c>
      <c r="E7670" s="8" t="str">
        <f>IFERROR(__xludf.DUMMYFUNCTION("""COMPUTED_VALUE"""),"Real")</f>
        <v>Real</v>
      </c>
      <c r="G7670" s="8">
        <f t="shared" si="1"/>
        <v>9</v>
      </c>
      <c r="H7670" s="14">
        <f t="shared" si="2"/>
        <v>16</v>
      </c>
      <c r="I7670" s="15">
        <f t="shared" si="3"/>
        <v>14</v>
      </c>
    </row>
    <row r="7671">
      <c r="A7671" s="8" t="str">
        <f>IFERROR(__xludf.DUMMYFUNCTION("IF('(INGESTA)Datos_consumo_datadis'!A7671&lt;&gt;"""",SPLIT('(INGESTA)Datos_consumo_datadis'!A:A,"",""),"""")"),"ES0031408323131005HX0F")</f>
        <v>ES0031408323131005HX0F</v>
      </c>
      <c r="B7671" s="12">
        <f>IFERROR(__xludf.DUMMYFUNCTION("""COMPUTED_VALUE"""),45185.0)</f>
        <v>45185</v>
      </c>
      <c r="C7671" s="13">
        <f>IFERROR(__xludf.DUMMYFUNCTION("""COMPUTED_VALUE"""),0.625)</f>
        <v>0.625</v>
      </c>
      <c r="D7671" s="8">
        <f>IFERROR(__xludf.DUMMYFUNCTION("""COMPUTED_VALUE"""),0.028)</f>
        <v>0.028</v>
      </c>
      <c r="E7671" s="8" t="str">
        <f>IFERROR(__xludf.DUMMYFUNCTION("""COMPUTED_VALUE"""),"Real")</f>
        <v>Real</v>
      </c>
      <c r="G7671" s="8">
        <f t="shared" si="1"/>
        <v>9</v>
      </c>
      <c r="H7671" s="14">
        <f t="shared" si="2"/>
        <v>16</v>
      </c>
      <c r="I7671" s="15">
        <f t="shared" si="3"/>
        <v>15</v>
      </c>
    </row>
    <row r="7672">
      <c r="A7672" s="8" t="str">
        <f>IFERROR(__xludf.DUMMYFUNCTION("IF('(INGESTA)Datos_consumo_datadis'!A7672&lt;&gt;"""",SPLIT('(INGESTA)Datos_consumo_datadis'!A:A,"",""),"""")"),"ES0031408323131005HX0F")</f>
        <v>ES0031408323131005HX0F</v>
      </c>
      <c r="B7672" s="12">
        <f>IFERROR(__xludf.DUMMYFUNCTION("""COMPUTED_VALUE"""),45185.0)</f>
        <v>45185</v>
      </c>
      <c r="C7672" s="13">
        <f>IFERROR(__xludf.DUMMYFUNCTION("""COMPUTED_VALUE"""),0.6666666666666666)</f>
        <v>0.6666666667</v>
      </c>
      <c r="D7672" s="8">
        <f>IFERROR(__xludf.DUMMYFUNCTION("""COMPUTED_VALUE"""),0.33)</f>
        <v>0.33</v>
      </c>
      <c r="E7672" s="8" t="str">
        <f>IFERROR(__xludf.DUMMYFUNCTION("""COMPUTED_VALUE"""),"Real")</f>
        <v>Real</v>
      </c>
      <c r="G7672" s="8">
        <f t="shared" si="1"/>
        <v>9</v>
      </c>
      <c r="H7672" s="14">
        <f t="shared" si="2"/>
        <v>16</v>
      </c>
      <c r="I7672" s="15">
        <f t="shared" si="3"/>
        <v>16</v>
      </c>
    </row>
    <row r="7673">
      <c r="A7673" s="8" t="str">
        <f>IFERROR(__xludf.DUMMYFUNCTION("IF('(INGESTA)Datos_consumo_datadis'!A7673&lt;&gt;"""",SPLIT('(INGESTA)Datos_consumo_datadis'!A:A,"",""),"""")"),"ES0031408323131005HX0F")</f>
        <v>ES0031408323131005HX0F</v>
      </c>
      <c r="B7673" s="12">
        <f>IFERROR(__xludf.DUMMYFUNCTION("""COMPUTED_VALUE"""),45185.0)</f>
        <v>45185</v>
      </c>
      <c r="C7673" s="13">
        <f>IFERROR(__xludf.DUMMYFUNCTION("""COMPUTED_VALUE"""),0.7083333333333334)</f>
        <v>0.7083333333</v>
      </c>
      <c r="D7673" s="8">
        <f>IFERROR(__xludf.DUMMYFUNCTION("""COMPUTED_VALUE"""),0.131)</f>
        <v>0.131</v>
      </c>
      <c r="E7673" s="8" t="str">
        <f>IFERROR(__xludf.DUMMYFUNCTION("""COMPUTED_VALUE"""),"Real")</f>
        <v>Real</v>
      </c>
      <c r="G7673" s="8">
        <f t="shared" si="1"/>
        <v>9</v>
      </c>
      <c r="H7673" s="14">
        <f t="shared" si="2"/>
        <v>16</v>
      </c>
      <c r="I7673" s="15">
        <f t="shared" si="3"/>
        <v>17</v>
      </c>
    </row>
    <row r="7674">
      <c r="A7674" s="8" t="str">
        <f>IFERROR(__xludf.DUMMYFUNCTION("IF('(INGESTA)Datos_consumo_datadis'!A7674&lt;&gt;"""",SPLIT('(INGESTA)Datos_consumo_datadis'!A:A,"",""),"""")"),"ES0031408323131005HX0F")</f>
        <v>ES0031408323131005HX0F</v>
      </c>
      <c r="B7674" s="12">
        <f>IFERROR(__xludf.DUMMYFUNCTION("""COMPUTED_VALUE"""),45185.0)</f>
        <v>45185</v>
      </c>
      <c r="C7674" s="13">
        <f>IFERROR(__xludf.DUMMYFUNCTION("""COMPUTED_VALUE"""),0.75)</f>
        <v>0.75</v>
      </c>
      <c r="D7674" s="8">
        <f>IFERROR(__xludf.DUMMYFUNCTION("""COMPUTED_VALUE"""),0.103)</f>
        <v>0.103</v>
      </c>
      <c r="E7674" s="8" t="str">
        <f>IFERROR(__xludf.DUMMYFUNCTION("""COMPUTED_VALUE"""),"Real")</f>
        <v>Real</v>
      </c>
      <c r="G7674" s="8">
        <f t="shared" si="1"/>
        <v>9</v>
      </c>
      <c r="H7674" s="14">
        <f t="shared" si="2"/>
        <v>16</v>
      </c>
      <c r="I7674" s="15">
        <f t="shared" si="3"/>
        <v>18</v>
      </c>
    </row>
    <row r="7675">
      <c r="A7675" s="8" t="str">
        <f>IFERROR(__xludf.DUMMYFUNCTION("IF('(INGESTA)Datos_consumo_datadis'!A7675&lt;&gt;"""",SPLIT('(INGESTA)Datos_consumo_datadis'!A:A,"",""),"""")"),"ES0031408323131005HX0F")</f>
        <v>ES0031408323131005HX0F</v>
      </c>
      <c r="B7675" s="12">
        <f>IFERROR(__xludf.DUMMYFUNCTION("""COMPUTED_VALUE"""),45185.0)</f>
        <v>45185</v>
      </c>
      <c r="C7675" s="13">
        <f>IFERROR(__xludf.DUMMYFUNCTION("""COMPUTED_VALUE"""),0.7916666666666666)</f>
        <v>0.7916666667</v>
      </c>
      <c r="D7675" s="8">
        <f>IFERROR(__xludf.DUMMYFUNCTION("""COMPUTED_VALUE"""),0.103)</f>
        <v>0.103</v>
      </c>
      <c r="E7675" s="8" t="str">
        <f>IFERROR(__xludf.DUMMYFUNCTION("""COMPUTED_VALUE"""),"Real")</f>
        <v>Real</v>
      </c>
      <c r="G7675" s="8">
        <f t="shared" si="1"/>
        <v>9</v>
      </c>
      <c r="H7675" s="14">
        <f t="shared" si="2"/>
        <v>16</v>
      </c>
      <c r="I7675" s="15">
        <f t="shared" si="3"/>
        <v>19</v>
      </c>
    </row>
    <row r="7676">
      <c r="A7676" s="8" t="str">
        <f>IFERROR(__xludf.DUMMYFUNCTION("IF('(INGESTA)Datos_consumo_datadis'!A7676&lt;&gt;"""",SPLIT('(INGESTA)Datos_consumo_datadis'!A:A,"",""),"""")"),"ES0031408323131005HX0F")</f>
        <v>ES0031408323131005HX0F</v>
      </c>
      <c r="B7676" s="12">
        <f>IFERROR(__xludf.DUMMYFUNCTION("""COMPUTED_VALUE"""),45185.0)</f>
        <v>45185</v>
      </c>
      <c r="C7676" s="13">
        <f>IFERROR(__xludf.DUMMYFUNCTION("""COMPUTED_VALUE"""),0.8333333333333334)</f>
        <v>0.8333333333</v>
      </c>
      <c r="D7676" s="8">
        <f>IFERROR(__xludf.DUMMYFUNCTION("""COMPUTED_VALUE"""),0.065)</f>
        <v>0.065</v>
      </c>
      <c r="E7676" s="8" t="str">
        <f>IFERROR(__xludf.DUMMYFUNCTION("""COMPUTED_VALUE"""),"Real")</f>
        <v>Real</v>
      </c>
      <c r="G7676" s="8">
        <f t="shared" si="1"/>
        <v>9</v>
      </c>
      <c r="H7676" s="14">
        <f t="shared" si="2"/>
        <v>16</v>
      </c>
      <c r="I7676" s="15">
        <f t="shared" si="3"/>
        <v>20</v>
      </c>
    </row>
    <row r="7677">
      <c r="A7677" s="8" t="str">
        <f>IFERROR(__xludf.DUMMYFUNCTION("IF('(INGESTA)Datos_consumo_datadis'!A7677&lt;&gt;"""",SPLIT('(INGESTA)Datos_consumo_datadis'!A:A,"",""),"""")"),"ES0031408323131005HX0F")</f>
        <v>ES0031408323131005HX0F</v>
      </c>
      <c r="B7677" s="12">
        <f>IFERROR(__xludf.DUMMYFUNCTION("""COMPUTED_VALUE"""),45185.0)</f>
        <v>45185</v>
      </c>
      <c r="C7677" s="13">
        <f>IFERROR(__xludf.DUMMYFUNCTION("""COMPUTED_VALUE"""),0.875)</f>
        <v>0.875</v>
      </c>
      <c r="D7677" s="8">
        <f>IFERROR(__xludf.DUMMYFUNCTION("""COMPUTED_VALUE"""),0.028)</f>
        <v>0.028</v>
      </c>
      <c r="E7677" s="8" t="str">
        <f>IFERROR(__xludf.DUMMYFUNCTION("""COMPUTED_VALUE"""),"Real")</f>
        <v>Real</v>
      </c>
      <c r="G7677" s="8">
        <f t="shared" si="1"/>
        <v>9</v>
      </c>
      <c r="H7677" s="14">
        <f t="shared" si="2"/>
        <v>16</v>
      </c>
      <c r="I7677" s="15">
        <f t="shared" si="3"/>
        <v>21</v>
      </c>
    </row>
    <row r="7678">
      <c r="A7678" s="8" t="str">
        <f>IFERROR(__xludf.DUMMYFUNCTION("IF('(INGESTA)Datos_consumo_datadis'!A7678&lt;&gt;"""",SPLIT('(INGESTA)Datos_consumo_datadis'!A:A,"",""),"""")"),"ES0031408323131005HX0F")</f>
        <v>ES0031408323131005HX0F</v>
      </c>
      <c r="B7678" s="12">
        <f>IFERROR(__xludf.DUMMYFUNCTION("""COMPUTED_VALUE"""),45185.0)</f>
        <v>45185</v>
      </c>
      <c r="C7678" s="13">
        <f>IFERROR(__xludf.DUMMYFUNCTION("""COMPUTED_VALUE"""),0.9166666666666666)</f>
        <v>0.9166666667</v>
      </c>
      <c r="D7678" s="8">
        <f>IFERROR(__xludf.DUMMYFUNCTION("""COMPUTED_VALUE"""),0.064)</f>
        <v>0.064</v>
      </c>
      <c r="E7678" s="8" t="str">
        <f>IFERROR(__xludf.DUMMYFUNCTION("""COMPUTED_VALUE"""),"Real")</f>
        <v>Real</v>
      </c>
      <c r="G7678" s="8">
        <f t="shared" si="1"/>
        <v>9</v>
      </c>
      <c r="H7678" s="14">
        <f t="shared" si="2"/>
        <v>16</v>
      </c>
      <c r="I7678" s="15">
        <f t="shared" si="3"/>
        <v>22</v>
      </c>
    </row>
    <row r="7679">
      <c r="A7679" s="8" t="str">
        <f>IFERROR(__xludf.DUMMYFUNCTION("IF('(INGESTA)Datos_consumo_datadis'!A7679&lt;&gt;"""",SPLIT('(INGESTA)Datos_consumo_datadis'!A:A,"",""),"""")"),"ES0031408323131005HX0F")</f>
        <v>ES0031408323131005HX0F</v>
      </c>
      <c r="B7679" s="12">
        <f>IFERROR(__xludf.DUMMYFUNCTION("""COMPUTED_VALUE"""),45185.0)</f>
        <v>45185</v>
      </c>
      <c r="C7679" s="13">
        <f>IFERROR(__xludf.DUMMYFUNCTION("""COMPUTED_VALUE"""),0.9583333333333334)</f>
        <v>0.9583333333</v>
      </c>
      <c r="D7679" s="8">
        <f>IFERROR(__xludf.DUMMYFUNCTION("""COMPUTED_VALUE"""),0.37)</f>
        <v>0.37</v>
      </c>
      <c r="E7679" s="8" t="str">
        <f>IFERROR(__xludf.DUMMYFUNCTION("""COMPUTED_VALUE"""),"Real")</f>
        <v>Real</v>
      </c>
      <c r="G7679" s="8">
        <f t="shared" si="1"/>
        <v>9</v>
      </c>
      <c r="H7679" s="14">
        <f t="shared" si="2"/>
        <v>16</v>
      </c>
      <c r="I7679" s="15">
        <f t="shared" si="3"/>
        <v>23</v>
      </c>
    </row>
    <row r="7680">
      <c r="A7680" s="8" t="str">
        <f>IFERROR(__xludf.DUMMYFUNCTION("IF('(INGESTA)Datos_consumo_datadis'!A7680&lt;&gt;"""",SPLIT('(INGESTA)Datos_consumo_datadis'!A:A,"",""),"""")"),"ES0031408323131005HX0F")</f>
        <v>ES0031408323131005HX0F</v>
      </c>
      <c r="B7680" s="12">
        <f>IFERROR(__xludf.DUMMYFUNCTION("""COMPUTED_VALUE"""),45185.0)</f>
        <v>45185</v>
      </c>
      <c r="C7680" s="16">
        <f>IFERROR(__xludf.DUMMYFUNCTION("""COMPUTED_VALUE"""),1.0)</f>
        <v>1</v>
      </c>
      <c r="D7680" s="8">
        <f>IFERROR(__xludf.DUMMYFUNCTION("""COMPUTED_VALUE"""),0.149)</f>
        <v>0.149</v>
      </c>
      <c r="E7680" s="8" t="str">
        <f>IFERROR(__xludf.DUMMYFUNCTION("""COMPUTED_VALUE"""),"Real")</f>
        <v>Real</v>
      </c>
      <c r="G7680" s="8">
        <f t="shared" si="1"/>
        <v>9</v>
      </c>
      <c r="H7680" s="14">
        <f t="shared" si="2"/>
        <v>16</v>
      </c>
      <c r="I7680" s="15">
        <f t="shared" si="3"/>
        <v>0</v>
      </c>
    </row>
    <row r="7681">
      <c r="A7681" s="8" t="str">
        <f>IFERROR(__xludf.DUMMYFUNCTION("IF('(INGESTA)Datos_consumo_datadis'!A7681&lt;&gt;"""",SPLIT('(INGESTA)Datos_consumo_datadis'!A:A,"",""),"""")"),"ES0031408323131005HX0F")</f>
        <v>ES0031408323131005HX0F</v>
      </c>
      <c r="B7681" s="12">
        <f>IFERROR(__xludf.DUMMYFUNCTION("""COMPUTED_VALUE"""),45186.0)</f>
        <v>45186</v>
      </c>
      <c r="C7681" s="13">
        <f>IFERROR(__xludf.DUMMYFUNCTION("""COMPUTED_VALUE"""),0.041666666666666664)</f>
        <v>0.04166666667</v>
      </c>
      <c r="D7681" s="8">
        <f>IFERROR(__xludf.DUMMYFUNCTION("""COMPUTED_VALUE"""),0.102)</f>
        <v>0.102</v>
      </c>
      <c r="E7681" s="8" t="str">
        <f>IFERROR(__xludf.DUMMYFUNCTION("""COMPUTED_VALUE"""),"Real")</f>
        <v>Real</v>
      </c>
      <c r="G7681" s="8">
        <f t="shared" si="1"/>
        <v>9</v>
      </c>
      <c r="H7681" s="14">
        <f t="shared" si="2"/>
        <v>17</v>
      </c>
      <c r="I7681" s="15">
        <f t="shared" si="3"/>
        <v>1</v>
      </c>
    </row>
    <row r="7682">
      <c r="A7682" s="8" t="str">
        <f>IFERROR(__xludf.DUMMYFUNCTION("IF('(INGESTA)Datos_consumo_datadis'!A7682&lt;&gt;"""",SPLIT('(INGESTA)Datos_consumo_datadis'!A:A,"",""),"""")"),"ES0031408323131005HX0F")</f>
        <v>ES0031408323131005HX0F</v>
      </c>
      <c r="B7682" s="12">
        <f>IFERROR(__xludf.DUMMYFUNCTION("""COMPUTED_VALUE"""),45186.0)</f>
        <v>45186</v>
      </c>
      <c r="C7682" s="13">
        <f>IFERROR(__xludf.DUMMYFUNCTION("""COMPUTED_VALUE"""),0.08333333333333333)</f>
        <v>0.08333333333</v>
      </c>
      <c r="D7682" s="8">
        <f>IFERROR(__xludf.DUMMYFUNCTION("""COMPUTED_VALUE"""),0.057)</f>
        <v>0.057</v>
      </c>
      <c r="E7682" s="8" t="str">
        <f>IFERROR(__xludf.DUMMYFUNCTION("""COMPUTED_VALUE"""),"Real")</f>
        <v>Real</v>
      </c>
      <c r="G7682" s="8">
        <f t="shared" si="1"/>
        <v>9</v>
      </c>
      <c r="H7682" s="14">
        <f t="shared" si="2"/>
        <v>17</v>
      </c>
      <c r="I7682" s="15">
        <f t="shared" si="3"/>
        <v>2</v>
      </c>
    </row>
    <row r="7683">
      <c r="A7683" s="8" t="str">
        <f>IFERROR(__xludf.DUMMYFUNCTION("IF('(INGESTA)Datos_consumo_datadis'!A7683&lt;&gt;"""",SPLIT('(INGESTA)Datos_consumo_datadis'!A:A,"",""),"""")"),"ES0031408323131005HX0F")</f>
        <v>ES0031408323131005HX0F</v>
      </c>
      <c r="B7683" s="12">
        <f>IFERROR(__xludf.DUMMYFUNCTION("""COMPUTED_VALUE"""),45186.0)</f>
        <v>45186</v>
      </c>
      <c r="C7683" s="13">
        <f>IFERROR(__xludf.DUMMYFUNCTION("""COMPUTED_VALUE"""),0.125)</f>
        <v>0.125</v>
      </c>
      <c r="D7683" s="8">
        <f>IFERROR(__xludf.DUMMYFUNCTION("""COMPUTED_VALUE"""),0.028)</f>
        <v>0.028</v>
      </c>
      <c r="E7683" s="8" t="str">
        <f>IFERROR(__xludf.DUMMYFUNCTION("""COMPUTED_VALUE"""),"Real")</f>
        <v>Real</v>
      </c>
      <c r="G7683" s="8">
        <f t="shared" si="1"/>
        <v>9</v>
      </c>
      <c r="H7683" s="14">
        <f t="shared" si="2"/>
        <v>17</v>
      </c>
      <c r="I7683" s="15">
        <f t="shared" si="3"/>
        <v>3</v>
      </c>
    </row>
    <row r="7684">
      <c r="A7684" s="8" t="str">
        <f>IFERROR(__xludf.DUMMYFUNCTION("IF('(INGESTA)Datos_consumo_datadis'!A7684&lt;&gt;"""",SPLIT('(INGESTA)Datos_consumo_datadis'!A:A,"",""),"""")"),"ES0031408323131005HX0F")</f>
        <v>ES0031408323131005HX0F</v>
      </c>
      <c r="B7684" s="12">
        <f>IFERROR(__xludf.DUMMYFUNCTION("""COMPUTED_VALUE"""),45186.0)</f>
        <v>45186</v>
      </c>
      <c r="C7684" s="13">
        <f>IFERROR(__xludf.DUMMYFUNCTION("""COMPUTED_VALUE"""),0.16666666666666666)</f>
        <v>0.1666666667</v>
      </c>
      <c r="D7684" s="8">
        <f>IFERROR(__xludf.DUMMYFUNCTION("""COMPUTED_VALUE"""),0.079)</f>
        <v>0.079</v>
      </c>
      <c r="E7684" s="8" t="str">
        <f>IFERROR(__xludf.DUMMYFUNCTION("""COMPUTED_VALUE"""),"Real")</f>
        <v>Real</v>
      </c>
      <c r="G7684" s="8">
        <f t="shared" si="1"/>
        <v>9</v>
      </c>
      <c r="H7684" s="14">
        <f t="shared" si="2"/>
        <v>17</v>
      </c>
      <c r="I7684" s="15">
        <f t="shared" si="3"/>
        <v>4</v>
      </c>
    </row>
    <row r="7685">
      <c r="A7685" s="8" t="str">
        <f>IFERROR(__xludf.DUMMYFUNCTION("IF('(INGESTA)Datos_consumo_datadis'!A7685&lt;&gt;"""",SPLIT('(INGESTA)Datos_consumo_datadis'!A:A,"",""),"""")"),"ES0031408323131005HX0F")</f>
        <v>ES0031408323131005HX0F</v>
      </c>
      <c r="B7685" s="12">
        <f>IFERROR(__xludf.DUMMYFUNCTION("""COMPUTED_VALUE"""),45186.0)</f>
        <v>45186</v>
      </c>
      <c r="C7685" s="13">
        <f>IFERROR(__xludf.DUMMYFUNCTION("""COMPUTED_VALUE"""),0.20833333333333334)</f>
        <v>0.2083333333</v>
      </c>
      <c r="D7685" s="8">
        <f>IFERROR(__xludf.DUMMYFUNCTION("""COMPUTED_VALUE"""),0.133)</f>
        <v>0.133</v>
      </c>
      <c r="E7685" s="8" t="str">
        <f>IFERROR(__xludf.DUMMYFUNCTION("""COMPUTED_VALUE"""),"Real")</f>
        <v>Real</v>
      </c>
      <c r="G7685" s="8">
        <f t="shared" si="1"/>
        <v>9</v>
      </c>
      <c r="H7685" s="14">
        <f t="shared" si="2"/>
        <v>17</v>
      </c>
      <c r="I7685" s="15">
        <f t="shared" si="3"/>
        <v>5</v>
      </c>
    </row>
    <row r="7686">
      <c r="A7686" s="8" t="str">
        <f>IFERROR(__xludf.DUMMYFUNCTION("IF('(INGESTA)Datos_consumo_datadis'!A7686&lt;&gt;"""",SPLIT('(INGESTA)Datos_consumo_datadis'!A:A,"",""),"""")"),"ES0031408323131005HX0F")</f>
        <v>ES0031408323131005HX0F</v>
      </c>
      <c r="B7686" s="12">
        <f>IFERROR(__xludf.DUMMYFUNCTION("""COMPUTED_VALUE"""),45186.0)</f>
        <v>45186</v>
      </c>
      <c r="C7686" s="13">
        <f>IFERROR(__xludf.DUMMYFUNCTION("""COMPUTED_VALUE"""),0.25)</f>
        <v>0.25</v>
      </c>
      <c r="D7686" s="8">
        <f>IFERROR(__xludf.DUMMYFUNCTION("""COMPUTED_VALUE"""),0.123)</f>
        <v>0.123</v>
      </c>
      <c r="E7686" s="8" t="str">
        <f>IFERROR(__xludf.DUMMYFUNCTION("""COMPUTED_VALUE"""),"Real")</f>
        <v>Real</v>
      </c>
      <c r="G7686" s="8">
        <f t="shared" si="1"/>
        <v>9</v>
      </c>
      <c r="H7686" s="14">
        <f t="shared" si="2"/>
        <v>17</v>
      </c>
      <c r="I7686" s="15">
        <f t="shared" si="3"/>
        <v>6</v>
      </c>
    </row>
    <row r="7687">
      <c r="A7687" s="8" t="str">
        <f>IFERROR(__xludf.DUMMYFUNCTION("IF('(INGESTA)Datos_consumo_datadis'!A7687&lt;&gt;"""",SPLIT('(INGESTA)Datos_consumo_datadis'!A:A,"",""),"""")"),"ES0031408323131005HX0F")</f>
        <v>ES0031408323131005HX0F</v>
      </c>
      <c r="B7687" s="12">
        <f>IFERROR(__xludf.DUMMYFUNCTION("""COMPUTED_VALUE"""),45186.0)</f>
        <v>45186</v>
      </c>
      <c r="C7687" s="13">
        <f>IFERROR(__xludf.DUMMYFUNCTION("""COMPUTED_VALUE"""),0.2916666666666667)</f>
        <v>0.2916666667</v>
      </c>
      <c r="D7687" s="8">
        <f>IFERROR(__xludf.DUMMYFUNCTION("""COMPUTED_VALUE"""),0.368)</f>
        <v>0.368</v>
      </c>
      <c r="E7687" s="8" t="str">
        <f>IFERROR(__xludf.DUMMYFUNCTION("""COMPUTED_VALUE"""),"Real")</f>
        <v>Real</v>
      </c>
      <c r="G7687" s="8">
        <f t="shared" si="1"/>
        <v>9</v>
      </c>
      <c r="H7687" s="14">
        <f t="shared" si="2"/>
        <v>17</v>
      </c>
      <c r="I7687" s="15">
        <f t="shared" si="3"/>
        <v>7</v>
      </c>
    </row>
    <row r="7688">
      <c r="A7688" s="8" t="str">
        <f>IFERROR(__xludf.DUMMYFUNCTION("IF('(INGESTA)Datos_consumo_datadis'!A7688&lt;&gt;"""",SPLIT('(INGESTA)Datos_consumo_datadis'!A:A,"",""),"""")"),"ES0031408323131005HX0F")</f>
        <v>ES0031408323131005HX0F</v>
      </c>
      <c r="B7688" s="12">
        <f>IFERROR(__xludf.DUMMYFUNCTION("""COMPUTED_VALUE"""),45186.0)</f>
        <v>45186</v>
      </c>
      <c r="C7688" s="13">
        <f>IFERROR(__xludf.DUMMYFUNCTION("""COMPUTED_VALUE"""),0.3333333333333333)</f>
        <v>0.3333333333</v>
      </c>
      <c r="D7688" s="8">
        <f>IFERROR(__xludf.DUMMYFUNCTION("""COMPUTED_VALUE"""),0.08)</f>
        <v>0.08</v>
      </c>
      <c r="E7688" s="8" t="str">
        <f>IFERROR(__xludf.DUMMYFUNCTION("""COMPUTED_VALUE"""),"Real")</f>
        <v>Real</v>
      </c>
      <c r="G7688" s="8">
        <f t="shared" si="1"/>
        <v>9</v>
      </c>
      <c r="H7688" s="14">
        <f t="shared" si="2"/>
        <v>17</v>
      </c>
      <c r="I7688" s="15">
        <f t="shared" si="3"/>
        <v>8</v>
      </c>
    </row>
    <row r="7689">
      <c r="A7689" s="8" t="str">
        <f>IFERROR(__xludf.DUMMYFUNCTION("IF('(INGESTA)Datos_consumo_datadis'!A7689&lt;&gt;"""",SPLIT('(INGESTA)Datos_consumo_datadis'!A:A,"",""),"""")"),"ES0031408323131005HX0F")</f>
        <v>ES0031408323131005HX0F</v>
      </c>
      <c r="B7689" s="12">
        <f>IFERROR(__xludf.DUMMYFUNCTION("""COMPUTED_VALUE"""),45186.0)</f>
        <v>45186</v>
      </c>
      <c r="C7689" s="13">
        <f>IFERROR(__xludf.DUMMYFUNCTION("""COMPUTED_VALUE"""),0.375)</f>
        <v>0.375</v>
      </c>
      <c r="D7689" s="8">
        <f>IFERROR(__xludf.DUMMYFUNCTION("""COMPUTED_VALUE"""),0.028)</f>
        <v>0.028</v>
      </c>
      <c r="E7689" s="8" t="str">
        <f>IFERROR(__xludf.DUMMYFUNCTION("""COMPUTED_VALUE"""),"Real")</f>
        <v>Real</v>
      </c>
      <c r="G7689" s="8">
        <f t="shared" si="1"/>
        <v>9</v>
      </c>
      <c r="H7689" s="14">
        <f t="shared" si="2"/>
        <v>17</v>
      </c>
      <c r="I7689" s="15">
        <f t="shared" si="3"/>
        <v>9</v>
      </c>
    </row>
    <row r="7690">
      <c r="A7690" s="8" t="str">
        <f>IFERROR(__xludf.DUMMYFUNCTION("IF('(INGESTA)Datos_consumo_datadis'!A7690&lt;&gt;"""",SPLIT('(INGESTA)Datos_consumo_datadis'!A:A,"",""),"""")"),"ES0031408323131005HX0F")</f>
        <v>ES0031408323131005HX0F</v>
      </c>
      <c r="B7690" s="12">
        <f>IFERROR(__xludf.DUMMYFUNCTION("""COMPUTED_VALUE"""),45186.0)</f>
        <v>45186</v>
      </c>
      <c r="C7690" s="13">
        <f>IFERROR(__xludf.DUMMYFUNCTION("""COMPUTED_VALUE"""),0.4166666666666667)</f>
        <v>0.4166666667</v>
      </c>
      <c r="D7690" s="8">
        <f>IFERROR(__xludf.DUMMYFUNCTION("""COMPUTED_VALUE"""),0.035)</f>
        <v>0.035</v>
      </c>
      <c r="E7690" s="8" t="str">
        <f>IFERROR(__xludf.DUMMYFUNCTION("""COMPUTED_VALUE"""),"Real")</f>
        <v>Real</v>
      </c>
      <c r="G7690" s="8">
        <f t="shared" si="1"/>
        <v>9</v>
      </c>
      <c r="H7690" s="14">
        <f t="shared" si="2"/>
        <v>17</v>
      </c>
      <c r="I7690" s="15">
        <f t="shared" si="3"/>
        <v>10</v>
      </c>
    </row>
    <row r="7691">
      <c r="A7691" s="8" t="str">
        <f>IFERROR(__xludf.DUMMYFUNCTION("IF('(INGESTA)Datos_consumo_datadis'!A7691&lt;&gt;"""",SPLIT('(INGESTA)Datos_consumo_datadis'!A:A,"",""),"""")"),"ES0031408323131005HX0F")</f>
        <v>ES0031408323131005HX0F</v>
      </c>
      <c r="B7691" s="12">
        <f>IFERROR(__xludf.DUMMYFUNCTION("""COMPUTED_VALUE"""),45186.0)</f>
        <v>45186</v>
      </c>
      <c r="C7691" s="13">
        <f>IFERROR(__xludf.DUMMYFUNCTION("""COMPUTED_VALUE"""),0.4583333333333333)</f>
        <v>0.4583333333</v>
      </c>
      <c r="D7691" s="8">
        <f>IFERROR(__xludf.DUMMYFUNCTION("""COMPUTED_VALUE"""),0.134)</f>
        <v>0.134</v>
      </c>
      <c r="E7691" s="8" t="str">
        <f>IFERROR(__xludf.DUMMYFUNCTION("""COMPUTED_VALUE"""),"Real")</f>
        <v>Real</v>
      </c>
      <c r="G7691" s="8">
        <f t="shared" si="1"/>
        <v>9</v>
      </c>
      <c r="H7691" s="14">
        <f t="shared" si="2"/>
        <v>17</v>
      </c>
      <c r="I7691" s="15">
        <f t="shared" si="3"/>
        <v>11</v>
      </c>
    </row>
    <row r="7692">
      <c r="A7692" s="8" t="str">
        <f>IFERROR(__xludf.DUMMYFUNCTION("IF('(INGESTA)Datos_consumo_datadis'!A7692&lt;&gt;"""",SPLIT('(INGESTA)Datos_consumo_datadis'!A:A,"",""),"""")"),"ES0031408323131005HX0F")</f>
        <v>ES0031408323131005HX0F</v>
      </c>
      <c r="B7692" s="12">
        <f>IFERROR(__xludf.DUMMYFUNCTION("""COMPUTED_VALUE"""),45186.0)</f>
        <v>45186</v>
      </c>
      <c r="C7692" s="13">
        <f>IFERROR(__xludf.DUMMYFUNCTION("""COMPUTED_VALUE"""),0.5)</f>
        <v>0.5</v>
      </c>
      <c r="D7692" s="8">
        <f>IFERROR(__xludf.DUMMYFUNCTION("""COMPUTED_VALUE"""),0.119)</f>
        <v>0.119</v>
      </c>
      <c r="E7692" s="8" t="str">
        <f>IFERROR(__xludf.DUMMYFUNCTION("""COMPUTED_VALUE"""),"Real")</f>
        <v>Real</v>
      </c>
      <c r="G7692" s="8">
        <f t="shared" si="1"/>
        <v>9</v>
      </c>
      <c r="H7692" s="14">
        <f t="shared" si="2"/>
        <v>17</v>
      </c>
      <c r="I7692" s="15">
        <f t="shared" si="3"/>
        <v>12</v>
      </c>
    </row>
    <row r="7693">
      <c r="A7693" s="8" t="str">
        <f>IFERROR(__xludf.DUMMYFUNCTION("IF('(INGESTA)Datos_consumo_datadis'!A7693&lt;&gt;"""",SPLIT('(INGESTA)Datos_consumo_datadis'!A:A,"",""),"""")"),"ES0031408323131005HX0F")</f>
        <v>ES0031408323131005HX0F</v>
      </c>
      <c r="B7693" s="12">
        <f>IFERROR(__xludf.DUMMYFUNCTION("""COMPUTED_VALUE"""),45186.0)</f>
        <v>45186</v>
      </c>
      <c r="C7693" s="13">
        <f>IFERROR(__xludf.DUMMYFUNCTION("""COMPUTED_VALUE"""),0.5416666666666666)</f>
        <v>0.5416666667</v>
      </c>
      <c r="D7693" s="8">
        <f>IFERROR(__xludf.DUMMYFUNCTION("""COMPUTED_VALUE"""),0.092)</f>
        <v>0.092</v>
      </c>
      <c r="E7693" s="8" t="str">
        <f>IFERROR(__xludf.DUMMYFUNCTION("""COMPUTED_VALUE"""),"Real")</f>
        <v>Real</v>
      </c>
      <c r="G7693" s="8">
        <f t="shared" si="1"/>
        <v>9</v>
      </c>
      <c r="H7693" s="14">
        <f t="shared" si="2"/>
        <v>17</v>
      </c>
      <c r="I7693" s="15">
        <f t="shared" si="3"/>
        <v>13</v>
      </c>
    </row>
    <row r="7694">
      <c r="A7694" s="8" t="str">
        <f>IFERROR(__xludf.DUMMYFUNCTION("IF('(INGESTA)Datos_consumo_datadis'!A7694&lt;&gt;"""",SPLIT('(INGESTA)Datos_consumo_datadis'!A:A,"",""),"""")"),"ES0031408323131005HX0F")</f>
        <v>ES0031408323131005HX0F</v>
      </c>
      <c r="B7694" s="12">
        <f>IFERROR(__xludf.DUMMYFUNCTION("""COMPUTED_VALUE"""),45186.0)</f>
        <v>45186</v>
      </c>
      <c r="C7694" s="13">
        <f>IFERROR(__xludf.DUMMYFUNCTION("""COMPUTED_VALUE"""),0.5833333333333334)</f>
        <v>0.5833333333</v>
      </c>
      <c r="D7694" s="8">
        <f>IFERROR(__xludf.DUMMYFUNCTION("""COMPUTED_VALUE"""),0.078)</f>
        <v>0.078</v>
      </c>
      <c r="E7694" s="8" t="str">
        <f>IFERROR(__xludf.DUMMYFUNCTION("""COMPUTED_VALUE"""),"Real")</f>
        <v>Real</v>
      </c>
      <c r="G7694" s="8">
        <f t="shared" si="1"/>
        <v>9</v>
      </c>
      <c r="H7694" s="14">
        <f t="shared" si="2"/>
        <v>17</v>
      </c>
      <c r="I7694" s="15">
        <f t="shared" si="3"/>
        <v>14</v>
      </c>
    </row>
    <row r="7695">
      <c r="A7695" s="8" t="str">
        <f>IFERROR(__xludf.DUMMYFUNCTION("IF('(INGESTA)Datos_consumo_datadis'!A7695&lt;&gt;"""",SPLIT('(INGESTA)Datos_consumo_datadis'!A:A,"",""),"""")"),"ES0031408323131005HX0F")</f>
        <v>ES0031408323131005HX0F</v>
      </c>
      <c r="B7695" s="12">
        <f>IFERROR(__xludf.DUMMYFUNCTION("""COMPUTED_VALUE"""),45186.0)</f>
        <v>45186</v>
      </c>
      <c r="C7695" s="13">
        <f>IFERROR(__xludf.DUMMYFUNCTION("""COMPUTED_VALUE"""),0.625)</f>
        <v>0.625</v>
      </c>
      <c r="D7695" s="8">
        <f>IFERROR(__xludf.DUMMYFUNCTION("""COMPUTED_VALUE"""),0.301)</f>
        <v>0.301</v>
      </c>
      <c r="E7695" s="8" t="str">
        <f>IFERROR(__xludf.DUMMYFUNCTION("""COMPUTED_VALUE"""),"Real")</f>
        <v>Real</v>
      </c>
      <c r="G7695" s="8">
        <f t="shared" si="1"/>
        <v>9</v>
      </c>
      <c r="H7695" s="14">
        <f t="shared" si="2"/>
        <v>17</v>
      </c>
      <c r="I7695" s="15">
        <f t="shared" si="3"/>
        <v>15</v>
      </c>
    </row>
    <row r="7696">
      <c r="A7696" s="8" t="str">
        <f>IFERROR(__xludf.DUMMYFUNCTION("IF('(INGESTA)Datos_consumo_datadis'!A7696&lt;&gt;"""",SPLIT('(INGESTA)Datos_consumo_datadis'!A:A,"",""),"""")"),"ES0031408323131005HX0F")</f>
        <v>ES0031408323131005HX0F</v>
      </c>
      <c r="B7696" s="12">
        <f>IFERROR(__xludf.DUMMYFUNCTION("""COMPUTED_VALUE"""),45186.0)</f>
        <v>45186</v>
      </c>
      <c r="C7696" s="13">
        <f>IFERROR(__xludf.DUMMYFUNCTION("""COMPUTED_VALUE"""),0.6666666666666666)</f>
        <v>0.6666666667</v>
      </c>
      <c r="D7696" s="8">
        <f>IFERROR(__xludf.DUMMYFUNCTION("""COMPUTED_VALUE"""),0.046)</f>
        <v>0.046</v>
      </c>
      <c r="E7696" s="8" t="str">
        <f>IFERROR(__xludf.DUMMYFUNCTION("""COMPUTED_VALUE"""),"Real")</f>
        <v>Real</v>
      </c>
      <c r="G7696" s="8">
        <f t="shared" si="1"/>
        <v>9</v>
      </c>
      <c r="H7696" s="14">
        <f t="shared" si="2"/>
        <v>17</v>
      </c>
      <c r="I7696" s="15">
        <f t="shared" si="3"/>
        <v>16</v>
      </c>
    </row>
    <row r="7697">
      <c r="A7697" s="8" t="str">
        <f>IFERROR(__xludf.DUMMYFUNCTION("IF('(INGESTA)Datos_consumo_datadis'!A7697&lt;&gt;"""",SPLIT('(INGESTA)Datos_consumo_datadis'!A:A,"",""),"""")"),"ES0031408323131005HX0F")</f>
        <v>ES0031408323131005HX0F</v>
      </c>
      <c r="B7697" s="12">
        <f>IFERROR(__xludf.DUMMYFUNCTION("""COMPUTED_VALUE"""),45186.0)</f>
        <v>45186</v>
      </c>
      <c r="C7697" s="13">
        <f>IFERROR(__xludf.DUMMYFUNCTION("""COMPUTED_VALUE"""),0.7083333333333334)</f>
        <v>0.7083333333</v>
      </c>
      <c r="D7697" s="8">
        <f>IFERROR(__xludf.DUMMYFUNCTION("""COMPUTED_VALUE"""),0.133)</f>
        <v>0.133</v>
      </c>
      <c r="E7697" s="8" t="str">
        <f>IFERROR(__xludf.DUMMYFUNCTION("""COMPUTED_VALUE"""),"Real")</f>
        <v>Real</v>
      </c>
      <c r="G7697" s="8">
        <f t="shared" si="1"/>
        <v>9</v>
      </c>
      <c r="H7697" s="14">
        <f t="shared" si="2"/>
        <v>17</v>
      </c>
      <c r="I7697" s="15">
        <f t="shared" si="3"/>
        <v>17</v>
      </c>
    </row>
    <row r="7698">
      <c r="A7698" s="8" t="str">
        <f>IFERROR(__xludf.DUMMYFUNCTION("IF('(INGESTA)Datos_consumo_datadis'!A7698&lt;&gt;"""",SPLIT('(INGESTA)Datos_consumo_datadis'!A:A,"",""),"""")"),"ES0031408323131005HX0F")</f>
        <v>ES0031408323131005HX0F</v>
      </c>
      <c r="B7698" s="12">
        <f>IFERROR(__xludf.DUMMYFUNCTION("""COMPUTED_VALUE"""),45186.0)</f>
        <v>45186</v>
      </c>
      <c r="C7698" s="13">
        <f>IFERROR(__xludf.DUMMYFUNCTION("""COMPUTED_VALUE"""),0.75)</f>
        <v>0.75</v>
      </c>
      <c r="D7698" s="8">
        <f>IFERROR(__xludf.DUMMYFUNCTION("""COMPUTED_VALUE"""),0.115)</f>
        <v>0.115</v>
      </c>
      <c r="E7698" s="8" t="str">
        <f>IFERROR(__xludf.DUMMYFUNCTION("""COMPUTED_VALUE"""),"Real")</f>
        <v>Real</v>
      </c>
      <c r="G7698" s="8">
        <f t="shared" si="1"/>
        <v>9</v>
      </c>
      <c r="H7698" s="14">
        <f t="shared" si="2"/>
        <v>17</v>
      </c>
      <c r="I7698" s="15">
        <f t="shared" si="3"/>
        <v>18</v>
      </c>
    </row>
    <row r="7699">
      <c r="A7699" s="8" t="str">
        <f>IFERROR(__xludf.DUMMYFUNCTION("IF('(INGESTA)Datos_consumo_datadis'!A7699&lt;&gt;"""",SPLIT('(INGESTA)Datos_consumo_datadis'!A:A,"",""),"""")"),"ES0031408323131005HX0F")</f>
        <v>ES0031408323131005HX0F</v>
      </c>
      <c r="B7699" s="12">
        <f>IFERROR(__xludf.DUMMYFUNCTION("""COMPUTED_VALUE"""),45186.0)</f>
        <v>45186</v>
      </c>
      <c r="C7699" s="13">
        <f>IFERROR(__xludf.DUMMYFUNCTION("""COMPUTED_VALUE"""),0.7916666666666666)</f>
        <v>0.7916666667</v>
      </c>
      <c r="D7699" s="8">
        <f>IFERROR(__xludf.DUMMYFUNCTION("""COMPUTED_VALUE"""),0.093)</f>
        <v>0.093</v>
      </c>
      <c r="E7699" s="8" t="str">
        <f>IFERROR(__xludf.DUMMYFUNCTION("""COMPUTED_VALUE"""),"Real")</f>
        <v>Real</v>
      </c>
      <c r="G7699" s="8">
        <f t="shared" si="1"/>
        <v>9</v>
      </c>
      <c r="H7699" s="14">
        <f t="shared" si="2"/>
        <v>17</v>
      </c>
      <c r="I7699" s="15">
        <f t="shared" si="3"/>
        <v>19</v>
      </c>
    </row>
    <row r="7700">
      <c r="A7700" s="8" t="str">
        <f>IFERROR(__xludf.DUMMYFUNCTION("IF('(INGESTA)Datos_consumo_datadis'!A7700&lt;&gt;"""",SPLIT('(INGESTA)Datos_consumo_datadis'!A:A,"",""),"""")"),"ES0031408323131005HX0F")</f>
        <v>ES0031408323131005HX0F</v>
      </c>
      <c r="B7700" s="12">
        <f>IFERROR(__xludf.DUMMYFUNCTION("""COMPUTED_VALUE"""),45186.0)</f>
        <v>45186</v>
      </c>
      <c r="C7700" s="13">
        <f>IFERROR(__xludf.DUMMYFUNCTION("""COMPUTED_VALUE"""),0.8333333333333334)</f>
        <v>0.8333333333</v>
      </c>
      <c r="D7700" s="8">
        <f>IFERROR(__xludf.DUMMYFUNCTION("""COMPUTED_VALUE"""),0.08)</f>
        <v>0.08</v>
      </c>
      <c r="E7700" s="8" t="str">
        <f>IFERROR(__xludf.DUMMYFUNCTION("""COMPUTED_VALUE"""),"Real")</f>
        <v>Real</v>
      </c>
      <c r="G7700" s="8">
        <f t="shared" si="1"/>
        <v>9</v>
      </c>
      <c r="H7700" s="14">
        <f t="shared" si="2"/>
        <v>17</v>
      </c>
      <c r="I7700" s="15">
        <f t="shared" si="3"/>
        <v>20</v>
      </c>
    </row>
    <row r="7701">
      <c r="A7701" s="8" t="str">
        <f>IFERROR(__xludf.DUMMYFUNCTION("IF('(INGESTA)Datos_consumo_datadis'!A7701&lt;&gt;"""",SPLIT('(INGESTA)Datos_consumo_datadis'!A:A,"",""),"""")"),"ES0031408323131005HX0F")</f>
        <v>ES0031408323131005HX0F</v>
      </c>
      <c r="B7701" s="12">
        <f>IFERROR(__xludf.DUMMYFUNCTION("""COMPUTED_VALUE"""),45186.0)</f>
        <v>45186</v>
      </c>
      <c r="C7701" s="13">
        <f>IFERROR(__xludf.DUMMYFUNCTION("""COMPUTED_VALUE"""),0.875)</f>
        <v>0.875</v>
      </c>
      <c r="D7701" s="8">
        <f>IFERROR(__xludf.DUMMYFUNCTION("""COMPUTED_VALUE"""),0.028)</f>
        <v>0.028</v>
      </c>
      <c r="E7701" s="8" t="str">
        <f>IFERROR(__xludf.DUMMYFUNCTION("""COMPUTED_VALUE"""),"Real")</f>
        <v>Real</v>
      </c>
      <c r="G7701" s="8">
        <f t="shared" si="1"/>
        <v>9</v>
      </c>
      <c r="H7701" s="14">
        <f t="shared" si="2"/>
        <v>17</v>
      </c>
      <c r="I7701" s="15">
        <f t="shared" si="3"/>
        <v>21</v>
      </c>
    </row>
    <row r="7702">
      <c r="A7702" s="8" t="str">
        <f>IFERROR(__xludf.DUMMYFUNCTION("IF('(INGESTA)Datos_consumo_datadis'!A7702&lt;&gt;"""",SPLIT('(INGESTA)Datos_consumo_datadis'!A:A,"",""),"""")"),"ES0031408323131005HX0F")</f>
        <v>ES0031408323131005HX0F</v>
      </c>
      <c r="B7702" s="12">
        <f>IFERROR(__xludf.DUMMYFUNCTION("""COMPUTED_VALUE"""),45186.0)</f>
        <v>45186</v>
      </c>
      <c r="C7702" s="13">
        <f>IFERROR(__xludf.DUMMYFUNCTION("""COMPUTED_VALUE"""),0.9166666666666666)</f>
        <v>0.9166666667</v>
      </c>
      <c r="D7702" s="8">
        <f>IFERROR(__xludf.DUMMYFUNCTION("""COMPUTED_VALUE"""),0.047)</f>
        <v>0.047</v>
      </c>
      <c r="E7702" s="8" t="str">
        <f>IFERROR(__xludf.DUMMYFUNCTION("""COMPUTED_VALUE"""),"Real")</f>
        <v>Real</v>
      </c>
      <c r="G7702" s="8">
        <f t="shared" si="1"/>
        <v>9</v>
      </c>
      <c r="H7702" s="14">
        <f t="shared" si="2"/>
        <v>17</v>
      </c>
      <c r="I7702" s="15">
        <f t="shared" si="3"/>
        <v>22</v>
      </c>
    </row>
    <row r="7703">
      <c r="A7703" s="8" t="str">
        <f>IFERROR(__xludf.DUMMYFUNCTION("IF('(INGESTA)Datos_consumo_datadis'!A7703&lt;&gt;"""",SPLIT('(INGESTA)Datos_consumo_datadis'!A:A,"",""),"""")"),"ES0031408323131005HX0F")</f>
        <v>ES0031408323131005HX0F</v>
      </c>
      <c r="B7703" s="12">
        <f>IFERROR(__xludf.DUMMYFUNCTION("""COMPUTED_VALUE"""),45186.0)</f>
        <v>45186</v>
      </c>
      <c r="C7703" s="13">
        <f>IFERROR(__xludf.DUMMYFUNCTION("""COMPUTED_VALUE"""),0.9583333333333334)</f>
        <v>0.9583333333</v>
      </c>
      <c r="D7703" s="8">
        <f>IFERROR(__xludf.DUMMYFUNCTION("""COMPUTED_VALUE"""),0.391)</f>
        <v>0.391</v>
      </c>
      <c r="E7703" s="8" t="str">
        <f>IFERROR(__xludf.DUMMYFUNCTION("""COMPUTED_VALUE"""),"Real")</f>
        <v>Real</v>
      </c>
      <c r="G7703" s="8">
        <f t="shared" si="1"/>
        <v>9</v>
      </c>
      <c r="H7703" s="14">
        <f t="shared" si="2"/>
        <v>17</v>
      </c>
      <c r="I7703" s="15">
        <f t="shared" si="3"/>
        <v>23</v>
      </c>
    </row>
    <row r="7704">
      <c r="A7704" s="8" t="str">
        <f>IFERROR(__xludf.DUMMYFUNCTION("IF('(INGESTA)Datos_consumo_datadis'!A7704&lt;&gt;"""",SPLIT('(INGESTA)Datos_consumo_datadis'!A:A,"",""),"""")"),"ES0031408323131005HX0F")</f>
        <v>ES0031408323131005HX0F</v>
      </c>
      <c r="B7704" s="12">
        <f>IFERROR(__xludf.DUMMYFUNCTION("""COMPUTED_VALUE"""),45186.0)</f>
        <v>45186</v>
      </c>
      <c r="C7704" s="16">
        <f>IFERROR(__xludf.DUMMYFUNCTION("""COMPUTED_VALUE"""),1.0)</f>
        <v>1</v>
      </c>
      <c r="D7704" s="8">
        <f>IFERROR(__xludf.DUMMYFUNCTION("""COMPUTED_VALUE"""),0.111)</f>
        <v>0.111</v>
      </c>
      <c r="E7704" s="8" t="str">
        <f>IFERROR(__xludf.DUMMYFUNCTION("""COMPUTED_VALUE"""),"Real")</f>
        <v>Real</v>
      </c>
      <c r="G7704" s="8">
        <f t="shared" si="1"/>
        <v>9</v>
      </c>
      <c r="H7704" s="14">
        <f t="shared" si="2"/>
        <v>17</v>
      </c>
      <c r="I7704" s="15">
        <f t="shared" si="3"/>
        <v>0</v>
      </c>
    </row>
    <row r="7705">
      <c r="A7705" s="8" t="str">
        <f>IFERROR(__xludf.DUMMYFUNCTION("IF('(INGESTA)Datos_consumo_datadis'!A7705&lt;&gt;"""",SPLIT('(INGESTA)Datos_consumo_datadis'!A:A,"",""),"""")"),"ES0031408323131005HX0F")</f>
        <v>ES0031408323131005HX0F</v>
      </c>
      <c r="B7705" s="12">
        <f>IFERROR(__xludf.DUMMYFUNCTION("""COMPUTED_VALUE"""),45187.0)</f>
        <v>45187</v>
      </c>
      <c r="C7705" s="13">
        <f>IFERROR(__xludf.DUMMYFUNCTION("""COMPUTED_VALUE"""),0.041666666666666664)</f>
        <v>0.04166666667</v>
      </c>
      <c r="D7705" s="8">
        <f>IFERROR(__xludf.DUMMYFUNCTION("""COMPUTED_VALUE"""),0.097)</f>
        <v>0.097</v>
      </c>
      <c r="E7705" s="8" t="str">
        <f>IFERROR(__xludf.DUMMYFUNCTION("""COMPUTED_VALUE"""),"Real")</f>
        <v>Real</v>
      </c>
      <c r="G7705" s="8">
        <f t="shared" si="1"/>
        <v>9</v>
      </c>
      <c r="H7705" s="14">
        <f t="shared" si="2"/>
        <v>18</v>
      </c>
      <c r="I7705" s="15">
        <f t="shared" si="3"/>
        <v>1</v>
      </c>
    </row>
    <row r="7706">
      <c r="A7706" s="8" t="str">
        <f>IFERROR(__xludf.DUMMYFUNCTION("IF('(INGESTA)Datos_consumo_datadis'!A7706&lt;&gt;"""",SPLIT('(INGESTA)Datos_consumo_datadis'!A:A,"",""),"""")"),"ES0031408323131005HX0F")</f>
        <v>ES0031408323131005HX0F</v>
      </c>
      <c r="B7706" s="12">
        <f>IFERROR(__xludf.DUMMYFUNCTION("""COMPUTED_VALUE"""),45187.0)</f>
        <v>45187</v>
      </c>
      <c r="C7706" s="13">
        <f>IFERROR(__xludf.DUMMYFUNCTION("""COMPUTED_VALUE"""),0.08333333333333333)</f>
        <v>0.08333333333</v>
      </c>
      <c r="D7706" s="8">
        <f>IFERROR(__xludf.DUMMYFUNCTION("""COMPUTED_VALUE"""),0.072)</f>
        <v>0.072</v>
      </c>
      <c r="E7706" s="8" t="str">
        <f>IFERROR(__xludf.DUMMYFUNCTION("""COMPUTED_VALUE"""),"Real")</f>
        <v>Real</v>
      </c>
      <c r="G7706" s="8">
        <f t="shared" si="1"/>
        <v>9</v>
      </c>
      <c r="H7706" s="14">
        <f t="shared" si="2"/>
        <v>18</v>
      </c>
      <c r="I7706" s="15">
        <f t="shared" si="3"/>
        <v>2</v>
      </c>
    </row>
    <row r="7707">
      <c r="A7707" s="8" t="str">
        <f>IFERROR(__xludf.DUMMYFUNCTION("IF('(INGESTA)Datos_consumo_datadis'!A7707&lt;&gt;"""",SPLIT('(INGESTA)Datos_consumo_datadis'!A:A,"",""),"""")"),"ES0031408323131005HX0F")</f>
        <v>ES0031408323131005HX0F</v>
      </c>
      <c r="B7707" s="12">
        <f>IFERROR(__xludf.DUMMYFUNCTION("""COMPUTED_VALUE"""),45187.0)</f>
        <v>45187</v>
      </c>
      <c r="C7707" s="13">
        <f>IFERROR(__xludf.DUMMYFUNCTION("""COMPUTED_VALUE"""),0.125)</f>
        <v>0.125</v>
      </c>
      <c r="D7707" s="8">
        <f>IFERROR(__xludf.DUMMYFUNCTION("""COMPUTED_VALUE"""),0.028)</f>
        <v>0.028</v>
      </c>
      <c r="E7707" s="8" t="str">
        <f>IFERROR(__xludf.DUMMYFUNCTION("""COMPUTED_VALUE"""),"Real")</f>
        <v>Real</v>
      </c>
      <c r="G7707" s="8">
        <f t="shared" si="1"/>
        <v>9</v>
      </c>
      <c r="H7707" s="14">
        <f t="shared" si="2"/>
        <v>18</v>
      </c>
      <c r="I7707" s="15">
        <f t="shared" si="3"/>
        <v>3</v>
      </c>
    </row>
    <row r="7708">
      <c r="A7708" s="8" t="str">
        <f>IFERROR(__xludf.DUMMYFUNCTION("IF('(INGESTA)Datos_consumo_datadis'!A7708&lt;&gt;"""",SPLIT('(INGESTA)Datos_consumo_datadis'!A:A,"",""),"""")"),"ES0031408323131005HX0F")</f>
        <v>ES0031408323131005HX0F</v>
      </c>
      <c r="B7708" s="12">
        <f>IFERROR(__xludf.DUMMYFUNCTION("""COMPUTED_VALUE"""),45187.0)</f>
        <v>45187</v>
      </c>
      <c r="C7708" s="13">
        <f>IFERROR(__xludf.DUMMYFUNCTION("""COMPUTED_VALUE"""),0.16666666666666666)</f>
        <v>0.1666666667</v>
      </c>
      <c r="D7708" s="8">
        <f>IFERROR(__xludf.DUMMYFUNCTION("""COMPUTED_VALUE"""),0.055)</f>
        <v>0.055</v>
      </c>
      <c r="E7708" s="8" t="str">
        <f>IFERROR(__xludf.DUMMYFUNCTION("""COMPUTED_VALUE"""),"Real")</f>
        <v>Real</v>
      </c>
      <c r="G7708" s="8">
        <f t="shared" si="1"/>
        <v>9</v>
      </c>
      <c r="H7708" s="14">
        <f t="shared" si="2"/>
        <v>18</v>
      </c>
      <c r="I7708" s="15">
        <f t="shared" si="3"/>
        <v>4</v>
      </c>
    </row>
    <row r="7709">
      <c r="A7709" s="8" t="str">
        <f>IFERROR(__xludf.DUMMYFUNCTION("IF('(INGESTA)Datos_consumo_datadis'!A7709&lt;&gt;"""",SPLIT('(INGESTA)Datos_consumo_datadis'!A:A,"",""),"""")"),"ES0031408323131005HX0F")</f>
        <v>ES0031408323131005HX0F</v>
      </c>
      <c r="B7709" s="12">
        <f>IFERROR(__xludf.DUMMYFUNCTION("""COMPUTED_VALUE"""),45187.0)</f>
        <v>45187</v>
      </c>
      <c r="C7709" s="13">
        <f>IFERROR(__xludf.DUMMYFUNCTION("""COMPUTED_VALUE"""),0.20833333333333334)</f>
        <v>0.2083333333</v>
      </c>
      <c r="D7709" s="8">
        <f>IFERROR(__xludf.DUMMYFUNCTION("""COMPUTED_VALUE"""),0.132)</f>
        <v>0.132</v>
      </c>
      <c r="E7709" s="8" t="str">
        <f>IFERROR(__xludf.DUMMYFUNCTION("""COMPUTED_VALUE"""),"Real")</f>
        <v>Real</v>
      </c>
      <c r="G7709" s="8">
        <f t="shared" si="1"/>
        <v>9</v>
      </c>
      <c r="H7709" s="14">
        <f t="shared" si="2"/>
        <v>18</v>
      </c>
      <c r="I7709" s="15">
        <f t="shared" si="3"/>
        <v>5</v>
      </c>
    </row>
    <row r="7710">
      <c r="A7710" s="8" t="str">
        <f>IFERROR(__xludf.DUMMYFUNCTION("IF('(INGESTA)Datos_consumo_datadis'!A7710&lt;&gt;"""",SPLIT('(INGESTA)Datos_consumo_datadis'!A:A,"",""),"""")"),"ES0031408323131005HX0F")</f>
        <v>ES0031408323131005HX0F</v>
      </c>
      <c r="B7710" s="12">
        <f>IFERROR(__xludf.DUMMYFUNCTION("""COMPUTED_VALUE"""),45187.0)</f>
        <v>45187</v>
      </c>
      <c r="C7710" s="13">
        <f>IFERROR(__xludf.DUMMYFUNCTION("""COMPUTED_VALUE"""),0.25)</f>
        <v>0.25</v>
      </c>
      <c r="D7710" s="8">
        <f>IFERROR(__xludf.DUMMYFUNCTION("""COMPUTED_VALUE"""),0.376)</f>
        <v>0.376</v>
      </c>
      <c r="E7710" s="8" t="str">
        <f>IFERROR(__xludf.DUMMYFUNCTION("""COMPUTED_VALUE"""),"Real")</f>
        <v>Real</v>
      </c>
      <c r="G7710" s="8">
        <f t="shared" si="1"/>
        <v>9</v>
      </c>
      <c r="H7710" s="14">
        <f t="shared" si="2"/>
        <v>18</v>
      </c>
      <c r="I7710" s="15">
        <f t="shared" si="3"/>
        <v>6</v>
      </c>
    </row>
    <row r="7711">
      <c r="A7711" s="8" t="str">
        <f>IFERROR(__xludf.DUMMYFUNCTION("IF('(INGESTA)Datos_consumo_datadis'!A7711&lt;&gt;"""",SPLIT('(INGESTA)Datos_consumo_datadis'!A:A,"",""),"""")"),"ES0031408323131005HX0F")</f>
        <v>ES0031408323131005HX0F</v>
      </c>
      <c r="B7711" s="12">
        <f>IFERROR(__xludf.DUMMYFUNCTION("""COMPUTED_VALUE"""),45187.0)</f>
        <v>45187</v>
      </c>
      <c r="C7711" s="13">
        <f>IFERROR(__xludf.DUMMYFUNCTION("""COMPUTED_VALUE"""),0.2916666666666667)</f>
        <v>0.2916666667</v>
      </c>
      <c r="D7711" s="8">
        <f>IFERROR(__xludf.DUMMYFUNCTION("""COMPUTED_VALUE"""),0.097)</f>
        <v>0.097</v>
      </c>
      <c r="E7711" s="8" t="str">
        <f>IFERROR(__xludf.DUMMYFUNCTION("""COMPUTED_VALUE"""),"Real")</f>
        <v>Real</v>
      </c>
      <c r="G7711" s="8">
        <f t="shared" si="1"/>
        <v>9</v>
      </c>
      <c r="H7711" s="14">
        <f t="shared" si="2"/>
        <v>18</v>
      </c>
      <c r="I7711" s="15">
        <f t="shared" si="3"/>
        <v>7</v>
      </c>
    </row>
    <row r="7712">
      <c r="A7712" s="8" t="str">
        <f>IFERROR(__xludf.DUMMYFUNCTION("IF('(INGESTA)Datos_consumo_datadis'!A7712&lt;&gt;"""",SPLIT('(INGESTA)Datos_consumo_datadis'!A:A,"",""),"""")"),"ES0031408323131005HX0F")</f>
        <v>ES0031408323131005HX0F</v>
      </c>
      <c r="B7712" s="12">
        <f>IFERROR(__xludf.DUMMYFUNCTION("""COMPUTED_VALUE"""),45187.0)</f>
        <v>45187</v>
      </c>
      <c r="C7712" s="13">
        <f>IFERROR(__xludf.DUMMYFUNCTION("""COMPUTED_VALUE"""),0.3333333333333333)</f>
        <v>0.3333333333</v>
      </c>
      <c r="D7712" s="8">
        <f>IFERROR(__xludf.DUMMYFUNCTION("""COMPUTED_VALUE"""),0.073)</f>
        <v>0.073</v>
      </c>
      <c r="E7712" s="8" t="str">
        <f>IFERROR(__xludf.DUMMYFUNCTION("""COMPUTED_VALUE"""),"Real")</f>
        <v>Real</v>
      </c>
      <c r="G7712" s="8">
        <f t="shared" si="1"/>
        <v>9</v>
      </c>
      <c r="H7712" s="14">
        <f t="shared" si="2"/>
        <v>18</v>
      </c>
      <c r="I7712" s="15">
        <f t="shared" si="3"/>
        <v>8</v>
      </c>
    </row>
    <row r="7713">
      <c r="A7713" s="8" t="str">
        <f>IFERROR(__xludf.DUMMYFUNCTION("IF('(INGESTA)Datos_consumo_datadis'!A7713&lt;&gt;"""",SPLIT('(INGESTA)Datos_consumo_datadis'!A:A,"",""),"""")"),"ES0031408323131005HX0F")</f>
        <v>ES0031408323131005HX0F</v>
      </c>
      <c r="B7713" s="12">
        <f>IFERROR(__xludf.DUMMYFUNCTION("""COMPUTED_VALUE"""),45187.0)</f>
        <v>45187</v>
      </c>
      <c r="C7713" s="13">
        <f>IFERROR(__xludf.DUMMYFUNCTION("""COMPUTED_VALUE"""),0.375)</f>
        <v>0.375</v>
      </c>
      <c r="D7713" s="8">
        <f>IFERROR(__xludf.DUMMYFUNCTION("""COMPUTED_VALUE"""),0.028)</f>
        <v>0.028</v>
      </c>
      <c r="E7713" s="8" t="str">
        <f>IFERROR(__xludf.DUMMYFUNCTION("""COMPUTED_VALUE"""),"Real")</f>
        <v>Real</v>
      </c>
      <c r="G7713" s="8">
        <f t="shared" si="1"/>
        <v>9</v>
      </c>
      <c r="H7713" s="14">
        <f t="shared" si="2"/>
        <v>18</v>
      </c>
      <c r="I7713" s="15">
        <f t="shared" si="3"/>
        <v>9</v>
      </c>
    </row>
    <row r="7714">
      <c r="A7714" s="8" t="str">
        <f>IFERROR(__xludf.DUMMYFUNCTION("IF('(INGESTA)Datos_consumo_datadis'!A7714&lt;&gt;"""",SPLIT('(INGESTA)Datos_consumo_datadis'!A:A,"",""),"""")"),"ES0031408323131005HX0F")</f>
        <v>ES0031408323131005HX0F</v>
      </c>
      <c r="B7714" s="12">
        <f>IFERROR(__xludf.DUMMYFUNCTION("""COMPUTED_VALUE"""),45187.0)</f>
        <v>45187</v>
      </c>
      <c r="C7714" s="13">
        <f>IFERROR(__xludf.DUMMYFUNCTION("""COMPUTED_VALUE"""),0.4166666666666667)</f>
        <v>0.4166666667</v>
      </c>
      <c r="D7714" s="8">
        <f>IFERROR(__xludf.DUMMYFUNCTION("""COMPUTED_VALUE"""),0.053)</f>
        <v>0.053</v>
      </c>
      <c r="E7714" s="8" t="str">
        <f>IFERROR(__xludf.DUMMYFUNCTION("""COMPUTED_VALUE"""),"Real")</f>
        <v>Real</v>
      </c>
      <c r="G7714" s="8">
        <f t="shared" si="1"/>
        <v>9</v>
      </c>
      <c r="H7714" s="14">
        <f t="shared" si="2"/>
        <v>18</v>
      </c>
      <c r="I7714" s="15">
        <f t="shared" si="3"/>
        <v>10</v>
      </c>
    </row>
    <row r="7715">
      <c r="A7715" s="8" t="str">
        <f>IFERROR(__xludf.DUMMYFUNCTION("IF('(INGESTA)Datos_consumo_datadis'!A7715&lt;&gt;"""",SPLIT('(INGESTA)Datos_consumo_datadis'!A:A,"",""),"""")"),"ES0031408323131005HX0F")</f>
        <v>ES0031408323131005HX0F</v>
      </c>
      <c r="B7715" s="12">
        <f>IFERROR(__xludf.DUMMYFUNCTION("""COMPUTED_VALUE"""),45187.0)</f>
        <v>45187</v>
      </c>
      <c r="C7715" s="13">
        <f>IFERROR(__xludf.DUMMYFUNCTION("""COMPUTED_VALUE"""),0.4583333333333333)</f>
        <v>0.4583333333</v>
      </c>
      <c r="D7715" s="8">
        <f>IFERROR(__xludf.DUMMYFUNCTION("""COMPUTED_VALUE"""),0.132)</f>
        <v>0.132</v>
      </c>
      <c r="E7715" s="8" t="str">
        <f>IFERROR(__xludf.DUMMYFUNCTION("""COMPUTED_VALUE"""),"Real")</f>
        <v>Real</v>
      </c>
      <c r="G7715" s="8">
        <f t="shared" si="1"/>
        <v>9</v>
      </c>
      <c r="H7715" s="14">
        <f t="shared" si="2"/>
        <v>18</v>
      </c>
      <c r="I7715" s="15">
        <f t="shared" si="3"/>
        <v>11</v>
      </c>
    </row>
    <row r="7716">
      <c r="A7716" s="8" t="str">
        <f>IFERROR(__xludf.DUMMYFUNCTION("IF('(INGESTA)Datos_consumo_datadis'!A7716&lt;&gt;"""",SPLIT('(INGESTA)Datos_consumo_datadis'!A:A,"",""),"""")"),"ES0031408323131005HX0F")</f>
        <v>ES0031408323131005HX0F</v>
      </c>
      <c r="B7716" s="12">
        <f>IFERROR(__xludf.DUMMYFUNCTION("""COMPUTED_VALUE"""),45187.0)</f>
        <v>45187</v>
      </c>
      <c r="C7716" s="13">
        <f>IFERROR(__xludf.DUMMYFUNCTION("""COMPUTED_VALUE"""),0.5)</f>
        <v>0.5</v>
      </c>
      <c r="D7716" s="8">
        <f>IFERROR(__xludf.DUMMYFUNCTION("""COMPUTED_VALUE"""),0.109)</f>
        <v>0.109</v>
      </c>
      <c r="E7716" s="8" t="str">
        <f>IFERROR(__xludf.DUMMYFUNCTION("""COMPUTED_VALUE"""),"Real")</f>
        <v>Real</v>
      </c>
      <c r="G7716" s="8">
        <f t="shared" si="1"/>
        <v>9</v>
      </c>
      <c r="H7716" s="14">
        <f t="shared" si="2"/>
        <v>18</v>
      </c>
      <c r="I7716" s="15">
        <f t="shared" si="3"/>
        <v>12</v>
      </c>
    </row>
    <row r="7717">
      <c r="A7717" s="8" t="str">
        <f>IFERROR(__xludf.DUMMYFUNCTION("IF('(INGESTA)Datos_consumo_datadis'!A7717&lt;&gt;"""",SPLIT('(INGESTA)Datos_consumo_datadis'!A:A,"",""),"""")"),"ES0031408323131005HX0F")</f>
        <v>ES0031408323131005HX0F</v>
      </c>
      <c r="B7717" s="12">
        <f>IFERROR(__xludf.DUMMYFUNCTION("""COMPUTED_VALUE"""),45187.0)</f>
        <v>45187</v>
      </c>
      <c r="C7717" s="13">
        <f>IFERROR(__xludf.DUMMYFUNCTION("""COMPUTED_VALUE"""),0.5416666666666666)</f>
        <v>0.5416666667</v>
      </c>
      <c r="D7717" s="8">
        <f>IFERROR(__xludf.DUMMYFUNCTION("""COMPUTED_VALUE"""),0.098)</f>
        <v>0.098</v>
      </c>
      <c r="E7717" s="8" t="str">
        <f>IFERROR(__xludf.DUMMYFUNCTION("""COMPUTED_VALUE"""),"Real")</f>
        <v>Real</v>
      </c>
      <c r="G7717" s="8">
        <f t="shared" si="1"/>
        <v>9</v>
      </c>
      <c r="H7717" s="14">
        <f t="shared" si="2"/>
        <v>18</v>
      </c>
      <c r="I7717" s="15">
        <f t="shared" si="3"/>
        <v>13</v>
      </c>
    </row>
    <row r="7718">
      <c r="A7718" s="8" t="str">
        <f>IFERROR(__xludf.DUMMYFUNCTION("IF('(INGESTA)Datos_consumo_datadis'!A7718&lt;&gt;"""",SPLIT('(INGESTA)Datos_consumo_datadis'!A:A,"",""),"""")"),"ES0031408323131005HX0F")</f>
        <v>ES0031408323131005HX0F</v>
      </c>
      <c r="B7718" s="12">
        <f>IFERROR(__xludf.DUMMYFUNCTION("""COMPUTED_VALUE"""),45187.0)</f>
        <v>45187</v>
      </c>
      <c r="C7718" s="13">
        <f>IFERROR(__xludf.DUMMYFUNCTION("""COMPUTED_VALUE"""),0.5833333333333334)</f>
        <v>0.5833333333</v>
      </c>
      <c r="D7718" s="8">
        <f>IFERROR(__xludf.DUMMYFUNCTION("""COMPUTED_VALUE"""),0.352)</f>
        <v>0.352</v>
      </c>
      <c r="E7718" s="8" t="str">
        <f>IFERROR(__xludf.DUMMYFUNCTION("""COMPUTED_VALUE"""),"Real")</f>
        <v>Real</v>
      </c>
      <c r="G7718" s="8">
        <f t="shared" si="1"/>
        <v>9</v>
      </c>
      <c r="H7718" s="14">
        <f t="shared" si="2"/>
        <v>18</v>
      </c>
      <c r="I7718" s="15">
        <f t="shared" si="3"/>
        <v>14</v>
      </c>
    </row>
    <row r="7719">
      <c r="A7719" s="8" t="str">
        <f>IFERROR(__xludf.DUMMYFUNCTION("IF('(INGESTA)Datos_consumo_datadis'!A7719&lt;&gt;"""",SPLIT('(INGESTA)Datos_consumo_datadis'!A:A,"",""),"""")"),"ES0031408323131005HX0F")</f>
        <v>ES0031408323131005HX0F</v>
      </c>
      <c r="B7719" s="12">
        <f>IFERROR(__xludf.DUMMYFUNCTION("""COMPUTED_VALUE"""),45187.0)</f>
        <v>45187</v>
      </c>
      <c r="C7719" s="13">
        <f>IFERROR(__xludf.DUMMYFUNCTION("""COMPUTED_VALUE"""),0.625)</f>
        <v>0.625</v>
      </c>
      <c r="D7719" s="8">
        <f>IFERROR(__xludf.DUMMYFUNCTION("""COMPUTED_VALUE"""),0.028)</f>
        <v>0.028</v>
      </c>
      <c r="E7719" s="8" t="str">
        <f>IFERROR(__xludf.DUMMYFUNCTION("""COMPUTED_VALUE"""),"Real")</f>
        <v>Real</v>
      </c>
      <c r="G7719" s="8">
        <f t="shared" si="1"/>
        <v>9</v>
      </c>
      <c r="H7719" s="14">
        <f t="shared" si="2"/>
        <v>18</v>
      </c>
      <c r="I7719" s="15">
        <f t="shared" si="3"/>
        <v>15</v>
      </c>
    </row>
    <row r="7720">
      <c r="A7720" s="8" t="str">
        <f>IFERROR(__xludf.DUMMYFUNCTION("IF('(INGESTA)Datos_consumo_datadis'!A7720&lt;&gt;"""",SPLIT('(INGESTA)Datos_consumo_datadis'!A:A,"",""),"""")"),"ES0031408323131005HX0F")</f>
        <v>ES0031408323131005HX0F</v>
      </c>
      <c r="B7720" s="12">
        <f>IFERROR(__xludf.DUMMYFUNCTION("""COMPUTED_VALUE"""),45187.0)</f>
        <v>45187</v>
      </c>
      <c r="C7720" s="13">
        <f>IFERROR(__xludf.DUMMYFUNCTION("""COMPUTED_VALUE"""),0.6666666666666666)</f>
        <v>0.6666666667</v>
      </c>
      <c r="D7720" s="8">
        <f>IFERROR(__xludf.DUMMYFUNCTION("""COMPUTED_VALUE"""),0.059)</f>
        <v>0.059</v>
      </c>
      <c r="E7720" s="8" t="str">
        <f>IFERROR(__xludf.DUMMYFUNCTION("""COMPUTED_VALUE"""),"Real")</f>
        <v>Real</v>
      </c>
      <c r="G7720" s="8">
        <f t="shared" si="1"/>
        <v>9</v>
      </c>
      <c r="H7720" s="14">
        <f t="shared" si="2"/>
        <v>18</v>
      </c>
      <c r="I7720" s="15">
        <f t="shared" si="3"/>
        <v>16</v>
      </c>
    </row>
    <row r="7721">
      <c r="A7721" s="8" t="str">
        <f>IFERROR(__xludf.DUMMYFUNCTION("IF('(INGESTA)Datos_consumo_datadis'!A7721&lt;&gt;"""",SPLIT('(INGESTA)Datos_consumo_datadis'!A:A,"",""),"""")"),"ES0031408323131005HX0F")</f>
        <v>ES0031408323131005HX0F</v>
      </c>
      <c r="B7721" s="12">
        <f>IFERROR(__xludf.DUMMYFUNCTION("""COMPUTED_VALUE"""),45187.0)</f>
        <v>45187</v>
      </c>
      <c r="C7721" s="13">
        <f>IFERROR(__xludf.DUMMYFUNCTION("""COMPUTED_VALUE"""),0.7083333333333334)</f>
        <v>0.7083333333</v>
      </c>
      <c r="D7721" s="8">
        <f>IFERROR(__xludf.DUMMYFUNCTION("""COMPUTED_VALUE"""),0.132)</f>
        <v>0.132</v>
      </c>
      <c r="E7721" s="8" t="str">
        <f>IFERROR(__xludf.DUMMYFUNCTION("""COMPUTED_VALUE"""),"Real")</f>
        <v>Real</v>
      </c>
      <c r="G7721" s="8">
        <f t="shared" si="1"/>
        <v>9</v>
      </c>
      <c r="H7721" s="14">
        <f t="shared" si="2"/>
        <v>18</v>
      </c>
      <c r="I7721" s="15">
        <f t="shared" si="3"/>
        <v>17</v>
      </c>
    </row>
    <row r="7722">
      <c r="A7722" s="8" t="str">
        <f>IFERROR(__xludf.DUMMYFUNCTION("IF('(INGESTA)Datos_consumo_datadis'!A7722&lt;&gt;"""",SPLIT('(INGESTA)Datos_consumo_datadis'!A:A,"",""),"""")"),"ES0031408323131005HX0F")</f>
        <v>ES0031408323131005HX0F</v>
      </c>
      <c r="B7722" s="12">
        <f>IFERROR(__xludf.DUMMYFUNCTION("""COMPUTED_VALUE"""),45187.0)</f>
        <v>45187</v>
      </c>
      <c r="C7722" s="13">
        <f>IFERROR(__xludf.DUMMYFUNCTION("""COMPUTED_VALUE"""),0.75)</f>
        <v>0.75</v>
      </c>
      <c r="D7722" s="8">
        <f>IFERROR(__xludf.DUMMYFUNCTION("""COMPUTED_VALUE"""),0.105)</f>
        <v>0.105</v>
      </c>
      <c r="E7722" s="8" t="str">
        <f>IFERROR(__xludf.DUMMYFUNCTION("""COMPUTED_VALUE"""),"Real")</f>
        <v>Real</v>
      </c>
      <c r="G7722" s="8">
        <f t="shared" si="1"/>
        <v>9</v>
      </c>
      <c r="H7722" s="14">
        <f t="shared" si="2"/>
        <v>18</v>
      </c>
      <c r="I7722" s="15">
        <f t="shared" si="3"/>
        <v>18</v>
      </c>
    </row>
    <row r="7723">
      <c r="A7723" s="8" t="str">
        <f>IFERROR(__xludf.DUMMYFUNCTION("IF('(INGESTA)Datos_consumo_datadis'!A7723&lt;&gt;"""",SPLIT('(INGESTA)Datos_consumo_datadis'!A:A,"",""),"""")"),"ES0031408323131005HX0F")</f>
        <v>ES0031408323131005HX0F</v>
      </c>
      <c r="B7723" s="12">
        <f>IFERROR(__xludf.DUMMYFUNCTION("""COMPUTED_VALUE"""),45187.0)</f>
        <v>45187</v>
      </c>
      <c r="C7723" s="13">
        <f>IFERROR(__xludf.DUMMYFUNCTION("""COMPUTED_VALUE"""),0.7916666666666666)</f>
        <v>0.7916666667</v>
      </c>
      <c r="D7723" s="8">
        <f>IFERROR(__xludf.DUMMYFUNCTION("""COMPUTED_VALUE"""),0.102)</f>
        <v>0.102</v>
      </c>
      <c r="E7723" s="8" t="str">
        <f>IFERROR(__xludf.DUMMYFUNCTION("""COMPUTED_VALUE"""),"Real")</f>
        <v>Real</v>
      </c>
      <c r="G7723" s="8">
        <f t="shared" si="1"/>
        <v>9</v>
      </c>
      <c r="H7723" s="14">
        <f t="shared" si="2"/>
        <v>18</v>
      </c>
      <c r="I7723" s="15">
        <f t="shared" si="3"/>
        <v>19</v>
      </c>
    </row>
    <row r="7724">
      <c r="A7724" s="8" t="str">
        <f>IFERROR(__xludf.DUMMYFUNCTION("IF('(INGESTA)Datos_consumo_datadis'!A7724&lt;&gt;"""",SPLIT('(INGESTA)Datos_consumo_datadis'!A:A,"",""),"""")"),"ES0031408323131005HX0F")</f>
        <v>ES0031408323131005HX0F</v>
      </c>
      <c r="B7724" s="12">
        <f>IFERROR(__xludf.DUMMYFUNCTION("""COMPUTED_VALUE"""),45187.0)</f>
        <v>45187</v>
      </c>
      <c r="C7724" s="13">
        <f>IFERROR(__xludf.DUMMYFUNCTION("""COMPUTED_VALUE"""),0.8333333333333334)</f>
        <v>0.8333333333</v>
      </c>
      <c r="D7724" s="8">
        <f>IFERROR(__xludf.DUMMYFUNCTION("""COMPUTED_VALUE"""),0.067)</f>
        <v>0.067</v>
      </c>
      <c r="E7724" s="8" t="str">
        <f>IFERROR(__xludf.DUMMYFUNCTION("""COMPUTED_VALUE"""),"Real")</f>
        <v>Real</v>
      </c>
      <c r="G7724" s="8">
        <f t="shared" si="1"/>
        <v>9</v>
      </c>
      <c r="H7724" s="14">
        <f t="shared" si="2"/>
        <v>18</v>
      </c>
      <c r="I7724" s="15">
        <f t="shared" si="3"/>
        <v>20</v>
      </c>
    </row>
    <row r="7725">
      <c r="A7725" s="8" t="str">
        <f>IFERROR(__xludf.DUMMYFUNCTION("IF('(INGESTA)Datos_consumo_datadis'!A7725&lt;&gt;"""",SPLIT('(INGESTA)Datos_consumo_datadis'!A:A,"",""),"""")"),"ES0031408323131005HX0F")</f>
        <v>ES0031408323131005HX0F</v>
      </c>
      <c r="B7725" s="12">
        <f>IFERROR(__xludf.DUMMYFUNCTION("""COMPUTED_VALUE"""),45187.0)</f>
        <v>45187</v>
      </c>
      <c r="C7725" s="13">
        <f>IFERROR(__xludf.DUMMYFUNCTION("""COMPUTED_VALUE"""),0.875)</f>
        <v>0.875</v>
      </c>
      <c r="D7725" s="8">
        <f>IFERROR(__xludf.DUMMYFUNCTION("""COMPUTED_VALUE"""),0.134)</f>
        <v>0.134</v>
      </c>
      <c r="E7725" s="8" t="str">
        <f>IFERROR(__xludf.DUMMYFUNCTION("""COMPUTED_VALUE"""),"Real")</f>
        <v>Real</v>
      </c>
      <c r="G7725" s="8">
        <f t="shared" si="1"/>
        <v>9</v>
      </c>
      <c r="H7725" s="14">
        <f t="shared" si="2"/>
        <v>18</v>
      </c>
      <c r="I7725" s="15">
        <f t="shared" si="3"/>
        <v>21</v>
      </c>
    </row>
    <row r="7726">
      <c r="A7726" s="8" t="str">
        <f>IFERROR(__xludf.DUMMYFUNCTION("IF('(INGESTA)Datos_consumo_datadis'!A7726&lt;&gt;"""",SPLIT('(INGESTA)Datos_consumo_datadis'!A:A,"",""),"""")"),"ES0031408323131005HX0F")</f>
        <v>ES0031408323131005HX0F</v>
      </c>
      <c r="B7726" s="12">
        <f>IFERROR(__xludf.DUMMYFUNCTION("""COMPUTED_VALUE"""),45187.0)</f>
        <v>45187</v>
      </c>
      <c r="C7726" s="13">
        <f>IFERROR(__xludf.DUMMYFUNCTION("""COMPUTED_VALUE"""),0.9166666666666666)</f>
        <v>0.9166666667</v>
      </c>
      <c r="D7726" s="8">
        <f>IFERROR(__xludf.DUMMYFUNCTION("""COMPUTED_VALUE"""),0.229)</f>
        <v>0.229</v>
      </c>
      <c r="E7726" s="8" t="str">
        <f>IFERROR(__xludf.DUMMYFUNCTION("""COMPUTED_VALUE"""),"Real")</f>
        <v>Real</v>
      </c>
      <c r="G7726" s="8">
        <f t="shared" si="1"/>
        <v>9</v>
      </c>
      <c r="H7726" s="14">
        <f t="shared" si="2"/>
        <v>18</v>
      </c>
      <c r="I7726" s="15">
        <f t="shared" si="3"/>
        <v>22</v>
      </c>
    </row>
    <row r="7727">
      <c r="A7727" s="8" t="str">
        <f>IFERROR(__xludf.DUMMYFUNCTION("IF('(INGESTA)Datos_consumo_datadis'!A7727&lt;&gt;"""",SPLIT('(INGESTA)Datos_consumo_datadis'!A:A,"",""),"""")"),"ES0031408323131005HX0F")</f>
        <v>ES0031408323131005HX0F</v>
      </c>
      <c r="B7727" s="12">
        <f>IFERROR(__xludf.DUMMYFUNCTION("""COMPUTED_VALUE"""),45187.0)</f>
        <v>45187</v>
      </c>
      <c r="C7727" s="13">
        <f>IFERROR(__xludf.DUMMYFUNCTION("""COMPUTED_VALUE"""),0.9583333333333334)</f>
        <v>0.9583333333</v>
      </c>
      <c r="D7727" s="8">
        <f>IFERROR(__xludf.DUMMYFUNCTION("""COMPUTED_VALUE"""),0.131)</f>
        <v>0.131</v>
      </c>
      <c r="E7727" s="8" t="str">
        <f>IFERROR(__xludf.DUMMYFUNCTION("""COMPUTED_VALUE"""),"Real")</f>
        <v>Real</v>
      </c>
      <c r="G7727" s="8">
        <f t="shared" si="1"/>
        <v>9</v>
      </c>
      <c r="H7727" s="14">
        <f t="shared" si="2"/>
        <v>18</v>
      </c>
      <c r="I7727" s="15">
        <f t="shared" si="3"/>
        <v>23</v>
      </c>
    </row>
    <row r="7728">
      <c r="A7728" s="8" t="str">
        <f>IFERROR(__xludf.DUMMYFUNCTION("IF('(INGESTA)Datos_consumo_datadis'!A7728&lt;&gt;"""",SPLIT('(INGESTA)Datos_consumo_datadis'!A:A,"",""),"""")"),"ES0031408323131005HX0F")</f>
        <v>ES0031408323131005HX0F</v>
      </c>
      <c r="B7728" s="12">
        <f>IFERROR(__xludf.DUMMYFUNCTION("""COMPUTED_VALUE"""),45187.0)</f>
        <v>45187</v>
      </c>
      <c r="C7728" s="16">
        <f>IFERROR(__xludf.DUMMYFUNCTION("""COMPUTED_VALUE"""),1.0)</f>
        <v>1</v>
      </c>
      <c r="D7728" s="8">
        <f>IFERROR(__xludf.DUMMYFUNCTION("""COMPUTED_VALUE"""),0.104)</f>
        <v>0.104</v>
      </c>
      <c r="E7728" s="8" t="str">
        <f>IFERROR(__xludf.DUMMYFUNCTION("""COMPUTED_VALUE"""),"Real")</f>
        <v>Real</v>
      </c>
      <c r="G7728" s="8">
        <f t="shared" si="1"/>
        <v>9</v>
      </c>
      <c r="H7728" s="14">
        <f t="shared" si="2"/>
        <v>18</v>
      </c>
      <c r="I7728" s="15">
        <f t="shared" si="3"/>
        <v>0</v>
      </c>
    </row>
    <row r="7729">
      <c r="A7729" s="8" t="str">
        <f>IFERROR(__xludf.DUMMYFUNCTION("IF('(INGESTA)Datos_consumo_datadis'!A7729&lt;&gt;"""",SPLIT('(INGESTA)Datos_consumo_datadis'!A:A,"",""),"""")"),"ES0031408323131005HX0F")</f>
        <v>ES0031408323131005HX0F</v>
      </c>
      <c r="B7729" s="12">
        <f>IFERROR(__xludf.DUMMYFUNCTION("""COMPUTED_VALUE"""),45188.0)</f>
        <v>45188</v>
      </c>
      <c r="C7729" s="13">
        <f>IFERROR(__xludf.DUMMYFUNCTION("""COMPUTED_VALUE"""),0.041666666666666664)</f>
        <v>0.04166666667</v>
      </c>
      <c r="D7729" s="8">
        <f>IFERROR(__xludf.DUMMYFUNCTION("""COMPUTED_VALUE"""),0.104)</f>
        <v>0.104</v>
      </c>
      <c r="E7729" s="8" t="str">
        <f>IFERROR(__xludf.DUMMYFUNCTION("""COMPUTED_VALUE"""),"Real")</f>
        <v>Real</v>
      </c>
      <c r="G7729" s="8">
        <f t="shared" si="1"/>
        <v>9</v>
      </c>
      <c r="H7729" s="14">
        <f t="shared" si="2"/>
        <v>19</v>
      </c>
      <c r="I7729" s="15">
        <f t="shared" si="3"/>
        <v>1</v>
      </c>
    </row>
    <row r="7730">
      <c r="A7730" s="8" t="str">
        <f>IFERROR(__xludf.DUMMYFUNCTION("IF('(INGESTA)Datos_consumo_datadis'!A7730&lt;&gt;"""",SPLIT('(INGESTA)Datos_consumo_datadis'!A:A,"",""),"""")"),"ES0031408323131005HX0F")</f>
        <v>ES0031408323131005HX0F</v>
      </c>
      <c r="B7730" s="12">
        <f>IFERROR(__xludf.DUMMYFUNCTION("""COMPUTED_VALUE"""),45188.0)</f>
        <v>45188</v>
      </c>
      <c r="C7730" s="13">
        <f>IFERROR(__xludf.DUMMYFUNCTION("""COMPUTED_VALUE"""),0.08333333333333333)</f>
        <v>0.08333333333</v>
      </c>
      <c r="D7730" s="8">
        <f>IFERROR(__xludf.DUMMYFUNCTION("""COMPUTED_VALUE"""),0.067)</f>
        <v>0.067</v>
      </c>
      <c r="E7730" s="8" t="str">
        <f>IFERROR(__xludf.DUMMYFUNCTION("""COMPUTED_VALUE"""),"Real")</f>
        <v>Real</v>
      </c>
      <c r="G7730" s="8">
        <f t="shared" si="1"/>
        <v>9</v>
      </c>
      <c r="H7730" s="14">
        <f t="shared" si="2"/>
        <v>19</v>
      </c>
      <c r="I7730" s="15">
        <f t="shared" si="3"/>
        <v>2</v>
      </c>
    </row>
    <row r="7731">
      <c r="A7731" s="8" t="str">
        <f>IFERROR(__xludf.DUMMYFUNCTION("IF('(INGESTA)Datos_consumo_datadis'!A7731&lt;&gt;"""",SPLIT('(INGESTA)Datos_consumo_datadis'!A:A,"",""),"""")"),"ES0031408323131005HX0F")</f>
        <v>ES0031408323131005HX0F</v>
      </c>
      <c r="B7731" s="12">
        <f>IFERROR(__xludf.DUMMYFUNCTION("""COMPUTED_VALUE"""),45188.0)</f>
        <v>45188</v>
      </c>
      <c r="C7731" s="13">
        <f>IFERROR(__xludf.DUMMYFUNCTION("""COMPUTED_VALUE"""),0.125)</f>
        <v>0.125</v>
      </c>
      <c r="D7731" s="8">
        <f>IFERROR(__xludf.DUMMYFUNCTION("""COMPUTED_VALUE"""),0.028)</f>
        <v>0.028</v>
      </c>
      <c r="E7731" s="8" t="str">
        <f>IFERROR(__xludf.DUMMYFUNCTION("""COMPUTED_VALUE"""),"Real")</f>
        <v>Real</v>
      </c>
      <c r="G7731" s="8">
        <f t="shared" si="1"/>
        <v>9</v>
      </c>
      <c r="H7731" s="14">
        <f t="shared" si="2"/>
        <v>19</v>
      </c>
      <c r="I7731" s="15">
        <f t="shared" si="3"/>
        <v>3</v>
      </c>
    </row>
    <row r="7732">
      <c r="A7732" s="8" t="str">
        <f>IFERROR(__xludf.DUMMYFUNCTION("IF('(INGESTA)Datos_consumo_datadis'!A7732&lt;&gt;"""",SPLIT('(INGESTA)Datos_consumo_datadis'!A:A,"",""),"""")"),"ES0031408323131005HX0F")</f>
        <v>ES0031408323131005HX0F</v>
      </c>
      <c r="B7732" s="12">
        <f>IFERROR(__xludf.DUMMYFUNCTION("""COMPUTED_VALUE"""),45188.0)</f>
        <v>45188</v>
      </c>
      <c r="C7732" s="13">
        <f>IFERROR(__xludf.DUMMYFUNCTION("""COMPUTED_VALUE"""),0.16666666666666666)</f>
        <v>0.1666666667</v>
      </c>
      <c r="D7732" s="8">
        <f>IFERROR(__xludf.DUMMYFUNCTION("""COMPUTED_VALUE"""),0.062)</f>
        <v>0.062</v>
      </c>
      <c r="E7732" s="8" t="str">
        <f>IFERROR(__xludf.DUMMYFUNCTION("""COMPUTED_VALUE"""),"Real")</f>
        <v>Real</v>
      </c>
      <c r="G7732" s="8">
        <f t="shared" si="1"/>
        <v>9</v>
      </c>
      <c r="H7732" s="14">
        <f t="shared" si="2"/>
        <v>19</v>
      </c>
      <c r="I7732" s="15">
        <f t="shared" si="3"/>
        <v>4</v>
      </c>
    </row>
    <row r="7733">
      <c r="A7733" s="8" t="str">
        <f>IFERROR(__xludf.DUMMYFUNCTION("IF('(INGESTA)Datos_consumo_datadis'!A7733&lt;&gt;"""",SPLIT('(INGESTA)Datos_consumo_datadis'!A:A,"",""),"""")"),"ES0031408323131005HX0F")</f>
        <v>ES0031408323131005HX0F</v>
      </c>
      <c r="B7733" s="12">
        <f>IFERROR(__xludf.DUMMYFUNCTION("""COMPUTED_VALUE"""),45188.0)</f>
        <v>45188</v>
      </c>
      <c r="C7733" s="13">
        <f>IFERROR(__xludf.DUMMYFUNCTION("""COMPUTED_VALUE"""),0.20833333333333334)</f>
        <v>0.2083333333</v>
      </c>
      <c r="D7733" s="8">
        <f>IFERROR(__xludf.DUMMYFUNCTION("""COMPUTED_VALUE"""),0.4)</f>
        <v>0.4</v>
      </c>
      <c r="E7733" s="8" t="str">
        <f>IFERROR(__xludf.DUMMYFUNCTION("""COMPUTED_VALUE"""),"Real")</f>
        <v>Real</v>
      </c>
      <c r="G7733" s="8">
        <f t="shared" si="1"/>
        <v>9</v>
      </c>
      <c r="H7733" s="14">
        <f t="shared" si="2"/>
        <v>19</v>
      </c>
      <c r="I7733" s="15">
        <f t="shared" si="3"/>
        <v>5</v>
      </c>
    </row>
    <row r="7734">
      <c r="A7734" s="8" t="str">
        <f>IFERROR(__xludf.DUMMYFUNCTION("IF('(INGESTA)Datos_consumo_datadis'!A7734&lt;&gt;"""",SPLIT('(INGESTA)Datos_consumo_datadis'!A:A,"",""),"""")"),"ES0031408323131005HX0F")</f>
        <v>ES0031408323131005HX0F</v>
      </c>
      <c r="B7734" s="12">
        <f>IFERROR(__xludf.DUMMYFUNCTION("""COMPUTED_VALUE"""),45188.0)</f>
        <v>45188</v>
      </c>
      <c r="C7734" s="13">
        <f>IFERROR(__xludf.DUMMYFUNCTION("""COMPUTED_VALUE"""),0.25)</f>
        <v>0.25</v>
      </c>
      <c r="D7734" s="8">
        <f>IFERROR(__xludf.DUMMYFUNCTION("""COMPUTED_VALUE"""),0.102)</f>
        <v>0.102</v>
      </c>
      <c r="E7734" s="8" t="str">
        <f>IFERROR(__xludf.DUMMYFUNCTION("""COMPUTED_VALUE"""),"Real")</f>
        <v>Real</v>
      </c>
      <c r="G7734" s="8">
        <f t="shared" si="1"/>
        <v>9</v>
      </c>
      <c r="H7734" s="14">
        <f t="shared" si="2"/>
        <v>19</v>
      </c>
      <c r="I7734" s="15">
        <f t="shared" si="3"/>
        <v>6</v>
      </c>
    </row>
    <row r="7735">
      <c r="A7735" s="8" t="str">
        <f>IFERROR(__xludf.DUMMYFUNCTION("IF('(INGESTA)Datos_consumo_datadis'!A7735&lt;&gt;"""",SPLIT('(INGESTA)Datos_consumo_datadis'!A:A,"",""),"""")"),"ES0031408323131005HX0F")</f>
        <v>ES0031408323131005HX0F</v>
      </c>
      <c r="B7735" s="12">
        <f>IFERROR(__xludf.DUMMYFUNCTION("""COMPUTED_VALUE"""),45188.0)</f>
        <v>45188</v>
      </c>
      <c r="C7735" s="13">
        <f>IFERROR(__xludf.DUMMYFUNCTION("""COMPUTED_VALUE"""),0.2916666666666667)</f>
        <v>0.2916666667</v>
      </c>
      <c r="D7735" s="8">
        <f>IFERROR(__xludf.DUMMYFUNCTION("""COMPUTED_VALUE"""),0.104)</f>
        <v>0.104</v>
      </c>
      <c r="E7735" s="8" t="str">
        <f>IFERROR(__xludf.DUMMYFUNCTION("""COMPUTED_VALUE"""),"Real")</f>
        <v>Real</v>
      </c>
      <c r="G7735" s="8">
        <f t="shared" si="1"/>
        <v>9</v>
      </c>
      <c r="H7735" s="14">
        <f t="shared" si="2"/>
        <v>19</v>
      </c>
      <c r="I7735" s="15">
        <f t="shared" si="3"/>
        <v>7</v>
      </c>
    </row>
    <row r="7736">
      <c r="A7736" s="8" t="str">
        <f>IFERROR(__xludf.DUMMYFUNCTION("IF('(INGESTA)Datos_consumo_datadis'!A7736&lt;&gt;"""",SPLIT('(INGESTA)Datos_consumo_datadis'!A:A,"",""),"""")"),"ES0031408323131005HX0F")</f>
        <v>ES0031408323131005HX0F</v>
      </c>
      <c r="B7736" s="12">
        <f>IFERROR(__xludf.DUMMYFUNCTION("""COMPUTED_VALUE"""),45188.0)</f>
        <v>45188</v>
      </c>
      <c r="C7736" s="13">
        <f>IFERROR(__xludf.DUMMYFUNCTION("""COMPUTED_VALUE"""),0.3333333333333333)</f>
        <v>0.3333333333</v>
      </c>
      <c r="D7736" s="8">
        <f>IFERROR(__xludf.DUMMYFUNCTION("""COMPUTED_VALUE"""),0.063)</f>
        <v>0.063</v>
      </c>
      <c r="E7736" s="8" t="str">
        <f>IFERROR(__xludf.DUMMYFUNCTION("""COMPUTED_VALUE"""),"Real")</f>
        <v>Real</v>
      </c>
      <c r="G7736" s="8">
        <f t="shared" si="1"/>
        <v>9</v>
      </c>
      <c r="H7736" s="14">
        <f t="shared" si="2"/>
        <v>19</v>
      </c>
      <c r="I7736" s="15">
        <f t="shared" si="3"/>
        <v>8</v>
      </c>
    </row>
    <row r="7737">
      <c r="A7737" s="8" t="str">
        <f>IFERROR(__xludf.DUMMYFUNCTION("IF('(INGESTA)Datos_consumo_datadis'!A7737&lt;&gt;"""",SPLIT('(INGESTA)Datos_consumo_datadis'!A:A,"",""),"""")"),"ES0031408323131005HX0F")</f>
        <v>ES0031408323131005HX0F</v>
      </c>
      <c r="B7737" s="12">
        <f>IFERROR(__xludf.DUMMYFUNCTION("""COMPUTED_VALUE"""),45188.0)</f>
        <v>45188</v>
      </c>
      <c r="C7737" s="13">
        <f>IFERROR(__xludf.DUMMYFUNCTION("""COMPUTED_VALUE"""),0.375)</f>
        <v>0.375</v>
      </c>
      <c r="D7737" s="8">
        <f>IFERROR(__xludf.DUMMYFUNCTION("""COMPUTED_VALUE"""),0.042)</f>
        <v>0.042</v>
      </c>
      <c r="E7737" s="8" t="str">
        <f>IFERROR(__xludf.DUMMYFUNCTION("""COMPUTED_VALUE"""),"Real")</f>
        <v>Real</v>
      </c>
      <c r="G7737" s="8">
        <f t="shared" si="1"/>
        <v>9</v>
      </c>
      <c r="H7737" s="14">
        <f t="shared" si="2"/>
        <v>19</v>
      </c>
      <c r="I7737" s="15">
        <f t="shared" si="3"/>
        <v>9</v>
      </c>
    </row>
    <row r="7738">
      <c r="A7738" s="8" t="str">
        <f>IFERROR(__xludf.DUMMYFUNCTION("IF('(INGESTA)Datos_consumo_datadis'!A7738&lt;&gt;"""",SPLIT('(INGESTA)Datos_consumo_datadis'!A:A,"",""),"""")"),"ES0031408323131005HX0F")</f>
        <v>ES0031408323131005HX0F</v>
      </c>
      <c r="B7738" s="12">
        <f>IFERROR(__xludf.DUMMYFUNCTION("""COMPUTED_VALUE"""),45188.0)</f>
        <v>45188</v>
      </c>
      <c r="C7738" s="13">
        <f>IFERROR(__xludf.DUMMYFUNCTION("""COMPUTED_VALUE"""),0.4166666666666667)</f>
        <v>0.4166666667</v>
      </c>
      <c r="D7738" s="8">
        <f>IFERROR(__xludf.DUMMYFUNCTION("""COMPUTED_VALUE"""),0.084)</f>
        <v>0.084</v>
      </c>
      <c r="E7738" s="8" t="str">
        <f>IFERROR(__xludf.DUMMYFUNCTION("""COMPUTED_VALUE"""),"Real")</f>
        <v>Real</v>
      </c>
      <c r="G7738" s="8">
        <f t="shared" si="1"/>
        <v>9</v>
      </c>
      <c r="H7738" s="14">
        <f t="shared" si="2"/>
        <v>19</v>
      </c>
      <c r="I7738" s="15">
        <f t="shared" si="3"/>
        <v>10</v>
      </c>
    </row>
    <row r="7739">
      <c r="A7739" s="8" t="str">
        <f>IFERROR(__xludf.DUMMYFUNCTION("IF('(INGESTA)Datos_consumo_datadis'!A7739&lt;&gt;"""",SPLIT('(INGESTA)Datos_consumo_datadis'!A:A,"",""),"""")"),"ES0031408323131005HX0F")</f>
        <v>ES0031408323131005HX0F</v>
      </c>
      <c r="B7739" s="12">
        <f>IFERROR(__xludf.DUMMYFUNCTION("""COMPUTED_VALUE"""),45188.0)</f>
        <v>45188</v>
      </c>
      <c r="C7739" s="13">
        <f>IFERROR(__xludf.DUMMYFUNCTION("""COMPUTED_VALUE"""),0.4583333333333333)</f>
        <v>0.4583333333</v>
      </c>
      <c r="D7739" s="8">
        <f>IFERROR(__xludf.DUMMYFUNCTION("""COMPUTED_VALUE"""),0.131)</f>
        <v>0.131</v>
      </c>
      <c r="E7739" s="8" t="str">
        <f>IFERROR(__xludf.DUMMYFUNCTION("""COMPUTED_VALUE"""),"Real")</f>
        <v>Real</v>
      </c>
      <c r="G7739" s="8">
        <f t="shared" si="1"/>
        <v>9</v>
      </c>
      <c r="H7739" s="14">
        <f t="shared" si="2"/>
        <v>19</v>
      </c>
      <c r="I7739" s="15">
        <f t="shared" si="3"/>
        <v>11</v>
      </c>
    </row>
    <row r="7740">
      <c r="A7740" s="8" t="str">
        <f>IFERROR(__xludf.DUMMYFUNCTION("IF('(INGESTA)Datos_consumo_datadis'!A7740&lt;&gt;"""",SPLIT('(INGESTA)Datos_consumo_datadis'!A:A,"",""),"""")"),"ES0031408323131005HX0F")</f>
        <v>ES0031408323131005HX0F</v>
      </c>
      <c r="B7740" s="12">
        <f>IFERROR(__xludf.DUMMYFUNCTION("""COMPUTED_VALUE"""),45188.0)</f>
        <v>45188</v>
      </c>
      <c r="C7740" s="13">
        <f>IFERROR(__xludf.DUMMYFUNCTION("""COMPUTED_VALUE"""),0.5)</f>
        <v>0.5</v>
      </c>
      <c r="D7740" s="8">
        <f>IFERROR(__xludf.DUMMYFUNCTION("""COMPUTED_VALUE"""),0.106)</f>
        <v>0.106</v>
      </c>
      <c r="E7740" s="8" t="str">
        <f>IFERROR(__xludf.DUMMYFUNCTION("""COMPUTED_VALUE"""),"Real")</f>
        <v>Real</v>
      </c>
      <c r="G7740" s="8">
        <f t="shared" si="1"/>
        <v>9</v>
      </c>
      <c r="H7740" s="14">
        <f t="shared" si="2"/>
        <v>19</v>
      </c>
      <c r="I7740" s="15">
        <f t="shared" si="3"/>
        <v>12</v>
      </c>
    </row>
    <row r="7741">
      <c r="A7741" s="8" t="str">
        <f>IFERROR(__xludf.DUMMYFUNCTION("IF('(INGESTA)Datos_consumo_datadis'!A7741&lt;&gt;"""",SPLIT('(INGESTA)Datos_consumo_datadis'!A:A,"",""),"""")"),"ES0031408323131005HX0F")</f>
        <v>ES0031408323131005HX0F</v>
      </c>
      <c r="B7741" s="12">
        <f>IFERROR(__xludf.DUMMYFUNCTION("""COMPUTED_VALUE"""),45188.0)</f>
        <v>45188</v>
      </c>
      <c r="C7741" s="13">
        <f>IFERROR(__xludf.DUMMYFUNCTION("""COMPUTED_VALUE"""),0.5416666666666666)</f>
        <v>0.5416666667</v>
      </c>
      <c r="D7741" s="8">
        <f>IFERROR(__xludf.DUMMYFUNCTION("""COMPUTED_VALUE"""),0.373)</f>
        <v>0.373</v>
      </c>
      <c r="E7741" s="8" t="str">
        <f>IFERROR(__xludf.DUMMYFUNCTION("""COMPUTED_VALUE"""),"Real")</f>
        <v>Real</v>
      </c>
      <c r="G7741" s="8">
        <f t="shared" si="1"/>
        <v>9</v>
      </c>
      <c r="H7741" s="14">
        <f t="shared" si="2"/>
        <v>19</v>
      </c>
      <c r="I7741" s="15">
        <f t="shared" si="3"/>
        <v>13</v>
      </c>
    </row>
    <row r="7742">
      <c r="A7742" s="8" t="str">
        <f>IFERROR(__xludf.DUMMYFUNCTION("IF('(INGESTA)Datos_consumo_datadis'!A7742&lt;&gt;"""",SPLIT('(INGESTA)Datos_consumo_datadis'!A:A,"",""),"""")"),"ES0031408323131005HX0F")</f>
        <v>ES0031408323131005HX0F</v>
      </c>
      <c r="B7742" s="12">
        <f>IFERROR(__xludf.DUMMYFUNCTION("""COMPUTED_VALUE"""),45188.0)</f>
        <v>45188</v>
      </c>
      <c r="C7742" s="13">
        <f>IFERROR(__xludf.DUMMYFUNCTION("""COMPUTED_VALUE"""),0.5833333333333334)</f>
        <v>0.5833333333</v>
      </c>
      <c r="D7742" s="8">
        <f>IFERROR(__xludf.DUMMYFUNCTION("""COMPUTED_VALUE"""),0.036)</f>
        <v>0.036</v>
      </c>
      <c r="E7742" s="8" t="str">
        <f>IFERROR(__xludf.DUMMYFUNCTION("""COMPUTED_VALUE"""),"Real")</f>
        <v>Real</v>
      </c>
      <c r="G7742" s="8">
        <f t="shared" si="1"/>
        <v>9</v>
      </c>
      <c r="H7742" s="14">
        <f t="shared" si="2"/>
        <v>19</v>
      </c>
      <c r="I7742" s="15">
        <f t="shared" si="3"/>
        <v>14</v>
      </c>
    </row>
    <row r="7743">
      <c r="A7743" s="8" t="str">
        <f>IFERROR(__xludf.DUMMYFUNCTION("IF('(INGESTA)Datos_consumo_datadis'!A7743&lt;&gt;"""",SPLIT('(INGESTA)Datos_consumo_datadis'!A:A,"",""),"""")"),"ES0031408323131005HX0F")</f>
        <v>ES0031408323131005HX0F</v>
      </c>
      <c r="B7743" s="12">
        <f>IFERROR(__xludf.DUMMYFUNCTION("""COMPUTED_VALUE"""),45188.0)</f>
        <v>45188</v>
      </c>
      <c r="C7743" s="13">
        <f>IFERROR(__xludf.DUMMYFUNCTION("""COMPUTED_VALUE"""),0.625)</f>
        <v>0.625</v>
      </c>
      <c r="D7743" s="8">
        <f>IFERROR(__xludf.DUMMYFUNCTION("""COMPUTED_VALUE"""),0.028)</f>
        <v>0.028</v>
      </c>
      <c r="E7743" s="8" t="str">
        <f>IFERROR(__xludf.DUMMYFUNCTION("""COMPUTED_VALUE"""),"Real")</f>
        <v>Real</v>
      </c>
      <c r="G7743" s="8">
        <f t="shared" si="1"/>
        <v>9</v>
      </c>
      <c r="H7743" s="14">
        <f t="shared" si="2"/>
        <v>19</v>
      </c>
      <c r="I7743" s="15">
        <f t="shared" si="3"/>
        <v>15</v>
      </c>
    </row>
    <row r="7744">
      <c r="A7744" s="8" t="str">
        <f>IFERROR(__xludf.DUMMYFUNCTION("IF('(INGESTA)Datos_consumo_datadis'!A7744&lt;&gt;"""",SPLIT('(INGESTA)Datos_consumo_datadis'!A:A,"",""),"""")"),"ES0031408323131005HX0F")</f>
        <v>ES0031408323131005HX0F</v>
      </c>
      <c r="B7744" s="12">
        <f>IFERROR(__xludf.DUMMYFUNCTION("""COMPUTED_VALUE"""),45188.0)</f>
        <v>45188</v>
      </c>
      <c r="C7744" s="13">
        <f>IFERROR(__xludf.DUMMYFUNCTION("""COMPUTED_VALUE"""),0.6666666666666666)</f>
        <v>0.6666666667</v>
      </c>
      <c r="D7744" s="8">
        <f>IFERROR(__xludf.DUMMYFUNCTION("""COMPUTED_VALUE"""),0.096)</f>
        <v>0.096</v>
      </c>
      <c r="E7744" s="8" t="str">
        <f>IFERROR(__xludf.DUMMYFUNCTION("""COMPUTED_VALUE"""),"Real")</f>
        <v>Real</v>
      </c>
      <c r="G7744" s="8">
        <f t="shared" si="1"/>
        <v>9</v>
      </c>
      <c r="H7744" s="14">
        <f t="shared" si="2"/>
        <v>19</v>
      </c>
      <c r="I7744" s="15">
        <f t="shared" si="3"/>
        <v>16</v>
      </c>
    </row>
    <row r="7745">
      <c r="A7745" s="8" t="str">
        <f>IFERROR(__xludf.DUMMYFUNCTION("IF('(INGESTA)Datos_consumo_datadis'!A7745&lt;&gt;"""",SPLIT('(INGESTA)Datos_consumo_datadis'!A:A,"",""),"""")"),"ES0031408323131005HX0F")</f>
        <v>ES0031408323131005HX0F</v>
      </c>
      <c r="B7745" s="12">
        <f>IFERROR(__xludf.DUMMYFUNCTION("""COMPUTED_VALUE"""),45188.0)</f>
        <v>45188</v>
      </c>
      <c r="C7745" s="13">
        <f>IFERROR(__xludf.DUMMYFUNCTION("""COMPUTED_VALUE"""),0.7083333333333334)</f>
        <v>0.7083333333</v>
      </c>
      <c r="D7745" s="8">
        <f>IFERROR(__xludf.DUMMYFUNCTION("""COMPUTED_VALUE"""),0.13)</f>
        <v>0.13</v>
      </c>
      <c r="E7745" s="8" t="str">
        <f>IFERROR(__xludf.DUMMYFUNCTION("""COMPUTED_VALUE"""),"Real")</f>
        <v>Real</v>
      </c>
      <c r="G7745" s="8">
        <f t="shared" si="1"/>
        <v>9</v>
      </c>
      <c r="H7745" s="14">
        <f t="shared" si="2"/>
        <v>19</v>
      </c>
      <c r="I7745" s="15">
        <f t="shared" si="3"/>
        <v>17</v>
      </c>
    </row>
    <row r="7746">
      <c r="A7746" s="8" t="str">
        <f>IFERROR(__xludf.DUMMYFUNCTION("IF('(INGESTA)Datos_consumo_datadis'!A7746&lt;&gt;"""",SPLIT('(INGESTA)Datos_consumo_datadis'!A:A,"",""),"""")"),"ES0031408323131005HX0F")</f>
        <v>ES0031408323131005HX0F</v>
      </c>
      <c r="B7746" s="12">
        <f>IFERROR(__xludf.DUMMYFUNCTION("""COMPUTED_VALUE"""),45188.0)</f>
        <v>45188</v>
      </c>
      <c r="C7746" s="13">
        <f>IFERROR(__xludf.DUMMYFUNCTION("""COMPUTED_VALUE"""),0.75)</f>
        <v>0.75</v>
      </c>
      <c r="D7746" s="8">
        <f>IFERROR(__xludf.DUMMYFUNCTION("""COMPUTED_VALUE"""),0.104)</f>
        <v>0.104</v>
      </c>
      <c r="E7746" s="8" t="str">
        <f>IFERROR(__xludf.DUMMYFUNCTION("""COMPUTED_VALUE"""),"Real")</f>
        <v>Real</v>
      </c>
      <c r="G7746" s="8">
        <f t="shared" si="1"/>
        <v>9</v>
      </c>
      <c r="H7746" s="14">
        <f t="shared" si="2"/>
        <v>19</v>
      </c>
      <c r="I7746" s="15">
        <f t="shared" si="3"/>
        <v>18</v>
      </c>
    </row>
    <row r="7747">
      <c r="A7747" s="8" t="str">
        <f>IFERROR(__xludf.DUMMYFUNCTION("IF('(INGESTA)Datos_consumo_datadis'!A7747&lt;&gt;"""",SPLIT('(INGESTA)Datos_consumo_datadis'!A:A,"",""),"""")"),"ES0031408323131005HX0F")</f>
        <v>ES0031408323131005HX0F</v>
      </c>
      <c r="B7747" s="12">
        <f>IFERROR(__xludf.DUMMYFUNCTION("""COMPUTED_VALUE"""),45188.0)</f>
        <v>45188</v>
      </c>
      <c r="C7747" s="13">
        <f>IFERROR(__xludf.DUMMYFUNCTION("""COMPUTED_VALUE"""),0.7916666666666666)</f>
        <v>0.7916666667</v>
      </c>
      <c r="D7747" s="8">
        <f>IFERROR(__xludf.DUMMYFUNCTION("""COMPUTED_VALUE"""),0.103)</f>
        <v>0.103</v>
      </c>
      <c r="E7747" s="8" t="str">
        <f>IFERROR(__xludf.DUMMYFUNCTION("""COMPUTED_VALUE"""),"Real")</f>
        <v>Real</v>
      </c>
      <c r="G7747" s="8">
        <f t="shared" si="1"/>
        <v>9</v>
      </c>
      <c r="H7747" s="14">
        <f t="shared" si="2"/>
        <v>19</v>
      </c>
      <c r="I7747" s="15">
        <f t="shared" si="3"/>
        <v>19</v>
      </c>
    </row>
    <row r="7748">
      <c r="A7748" s="8" t="str">
        <f>IFERROR(__xludf.DUMMYFUNCTION("IF('(INGESTA)Datos_consumo_datadis'!A7748&lt;&gt;"""",SPLIT('(INGESTA)Datos_consumo_datadis'!A:A,"",""),"""")"),"ES0031408323131005HX0F")</f>
        <v>ES0031408323131005HX0F</v>
      </c>
      <c r="B7748" s="12">
        <f>IFERROR(__xludf.DUMMYFUNCTION("""COMPUTED_VALUE"""),45188.0)</f>
        <v>45188</v>
      </c>
      <c r="C7748" s="13">
        <f>IFERROR(__xludf.DUMMYFUNCTION("""COMPUTED_VALUE"""),0.8333333333333334)</f>
        <v>0.8333333333</v>
      </c>
      <c r="D7748" s="8">
        <f>IFERROR(__xludf.DUMMYFUNCTION("""COMPUTED_VALUE"""),0.199)</f>
        <v>0.199</v>
      </c>
      <c r="E7748" s="8" t="str">
        <f>IFERROR(__xludf.DUMMYFUNCTION("""COMPUTED_VALUE"""),"Real")</f>
        <v>Real</v>
      </c>
      <c r="G7748" s="8">
        <f t="shared" si="1"/>
        <v>9</v>
      </c>
      <c r="H7748" s="14">
        <f t="shared" si="2"/>
        <v>19</v>
      </c>
      <c r="I7748" s="15">
        <f t="shared" si="3"/>
        <v>20</v>
      </c>
    </row>
    <row r="7749">
      <c r="A7749" s="8" t="str">
        <f>IFERROR(__xludf.DUMMYFUNCTION("IF('(INGESTA)Datos_consumo_datadis'!A7749&lt;&gt;"""",SPLIT('(INGESTA)Datos_consumo_datadis'!A:A,"",""),"""")"),"ES0031408323131005HX0F")</f>
        <v>ES0031408323131005HX0F</v>
      </c>
      <c r="B7749" s="12">
        <f>IFERROR(__xludf.DUMMYFUNCTION("""COMPUTED_VALUE"""),45188.0)</f>
        <v>45188</v>
      </c>
      <c r="C7749" s="13">
        <f>IFERROR(__xludf.DUMMYFUNCTION("""COMPUTED_VALUE"""),0.875)</f>
        <v>0.875</v>
      </c>
      <c r="D7749" s="8">
        <f>IFERROR(__xludf.DUMMYFUNCTION("""COMPUTED_VALUE"""),0.128)</f>
        <v>0.128</v>
      </c>
      <c r="E7749" s="8" t="str">
        <f>IFERROR(__xludf.DUMMYFUNCTION("""COMPUTED_VALUE"""),"Real")</f>
        <v>Real</v>
      </c>
      <c r="G7749" s="8">
        <f t="shared" si="1"/>
        <v>9</v>
      </c>
      <c r="H7749" s="14">
        <f t="shared" si="2"/>
        <v>19</v>
      </c>
      <c r="I7749" s="15">
        <f t="shared" si="3"/>
        <v>21</v>
      </c>
    </row>
    <row r="7750">
      <c r="A7750" s="8" t="str">
        <f>IFERROR(__xludf.DUMMYFUNCTION("IF('(INGESTA)Datos_consumo_datadis'!A7750&lt;&gt;"""",SPLIT('(INGESTA)Datos_consumo_datadis'!A:A,"",""),"""")"),"ES0031408323131005HX0F")</f>
        <v>ES0031408323131005HX0F</v>
      </c>
      <c r="B7750" s="12">
        <f>IFERROR(__xludf.DUMMYFUNCTION("""COMPUTED_VALUE"""),45188.0)</f>
        <v>45188</v>
      </c>
      <c r="C7750" s="13">
        <f>IFERROR(__xludf.DUMMYFUNCTION("""COMPUTED_VALUE"""),0.9166666666666666)</f>
        <v>0.9166666667</v>
      </c>
      <c r="D7750" s="8">
        <f>IFERROR(__xludf.DUMMYFUNCTION("""COMPUTED_VALUE"""),0.1)</f>
        <v>0.1</v>
      </c>
      <c r="E7750" s="8" t="str">
        <f>IFERROR(__xludf.DUMMYFUNCTION("""COMPUTED_VALUE"""),"Real")</f>
        <v>Real</v>
      </c>
      <c r="G7750" s="8">
        <f t="shared" si="1"/>
        <v>9</v>
      </c>
      <c r="H7750" s="14">
        <f t="shared" si="2"/>
        <v>19</v>
      </c>
      <c r="I7750" s="15">
        <f t="shared" si="3"/>
        <v>22</v>
      </c>
    </row>
    <row r="7751">
      <c r="A7751" s="8" t="str">
        <f>IFERROR(__xludf.DUMMYFUNCTION("IF('(INGESTA)Datos_consumo_datadis'!A7751&lt;&gt;"""",SPLIT('(INGESTA)Datos_consumo_datadis'!A:A,"",""),"""")"),"ES0031408323131005HX0F")</f>
        <v>ES0031408323131005HX0F</v>
      </c>
      <c r="B7751" s="12">
        <f>IFERROR(__xludf.DUMMYFUNCTION("""COMPUTED_VALUE"""),45188.0)</f>
        <v>45188</v>
      </c>
      <c r="C7751" s="13">
        <f>IFERROR(__xludf.DUMMYFUNCTION("""COMPUTED_VALUE"""),0.9583333333333334)</f>
        <v>0.9583333333</v>
      </c>
      <c r="D7751" s="8">
        <f>IFERROR(__xludf.DUMMYFUNCTION("""COMPUTED_VALUE"""),0.13)</f>
        <v>0.13</v>
      </c>
      <c r="E7751" s="8" t="str">
        <f>IFERROR(__xludf.DUMMYFUNCTION("""COMPUTED_VALUE"""),"Real")</f>
        <v>Real</v>
      </c>
      <c r="G7751" s="8">
        <f t="shared" si="1"/>
        <v>9</v>
      </c>
      <c r="H7751" s="14">
        <f t="shared" si="2"/>
        <v>19</v>
      </c>
      <c r="I7751" s="15">
        <f t="shared" si="3"/>
        <v>23</v>
      </c>
    </row>
    <row r="7752">
      <c r="A7752" s="8" t="str">
        <f>IFERROR(__xludf.DUMMYFUNCTION("IF('(INGESTA)Datos_consumo_datadis'!A7752&lt;&gt;"""",SPLIT('(INGESTA)Datos_consumo_datadis'!A:A,"",""),"""")"),"ES0031408323131005HX0F")</f>
        <v>ES0031408323131005HX0F</v>
      </c>
      <c r="B7752" s="12">
        <f>IFERROR(__xludf.DUMMYFUNCTION("""COMPUTED_VALUE"""),45188.0)</f>
        <v>45188</v>
      </c>
      <c r="C7752" s="16">
        <f>IFERROR(__xludf.DUMMYFUNCTION("""COMPUTED_VALUE"""),1.0)</f>
        <v>1</v>
      </c>
      <c r="D7752" s="8">
        <f>IFERROR(__xludf.DUMMYFUNCTION("""COMPUTED_VALUE"""),0.104)</f>
        <v>0.104</v>
      </c>
      <c r="E7752" s="8" t="str">
        <f>IFERROR(__xludf.DUMMYFUNCTION("""COMPUTED_VALUE"""),"Real")</f>
        <v>Real</v>
      </c>
      <c r="G7752" s="8">
        <f t="shared" si="1"/>
        <v>9</v>
      </c>
      <c r="H7752" s="14">
        <f t="shared" si="2"/>
        <v>19</v>
      </c>
      <c r="I7752" s="15">
        <f t="shared" si="3"/>
        <v>0</v>
      </c>
    </row>
    <row r="7753">
      <c r="A7753" s="8" t="str">
        <f>IFERROR(__xludf.DUMMYFUNCTION("IF('(INGESTA)Datos_consumo_datadis'!A7753&lt;&gt;"""",SPLIT('(INGESTA)Datos_consumo_datadis'!A:A,"",""),"""")"),"ES0031408323131005HX0F")</f>
        <v>ES0031408323131005HX0F</v>
      </c>
      <c r="B7753" s="12">
        <f>IFERROR(__xludf.DUMMYFUNCTION("""COMPUTED_VALUE"""),45189.0)</f>
        <v>45189</v>
      </c>
      <c r="C7753" s="13">
        <f>IFERROR(__xludf.DUMMYFUNCTION("""COMPUTED_VALUE"""),0.041666666666666664)</f>
        <v>0.04166666667</v>
      </c>
      <c r="D7753" s="8">
        <f>IFERROR(__xludf.DUMMYFUNCTION("""COMPUTED_VALUE"""),0.102)</f>
        <v>0.102</v>
      </c>
      <c r="E7753" s="8" t="str">
        <f>IFERROR(__xludf.DUMMYFUNCTION("""COMPUTED_VALUE"""),"Real")</f>
        <v>Real</v>
      </c>
      <c r="G7753" s="8">
        <f t="shared" si="1"/>
        <v>9</v>
      </c>
      <c r="H7753" s="14">
        <f t="shared" si="2"/>
        <v>20</v>
      </c>
      <c r="I7753" s="15">
        <f t="shared" si="3"/>
        <v>1</v>
      </c>
    </row>
    <row r="7754">
      <c r="A7754" s="8" t="str">
        <f>IFERROR(__xludf.DUMMYFUNCTION("IF('(INGESTA)Datos_consumo_datadis'!A7754&lt;&gt;"""",SPLIT('(INGESTA)Datos_consumo_datadis'!A:A,"",""),"""")"),"ES0031408323131005HX0F")</f>
        <v>ES0031408323131005HX0F</v>
      </c>
      <c r="B7754" s="12">
        <f>IFERROR(__xludf.DUMMYFUNCTION("""COMPUTED_VALUE"""),45189.0)</f>
        <v>45189</v>
      </c>
      <c r="C7754" s="13">
        <f>IFERROR(__xludf.DUMMYFUNCTION("""COMPUTED_VALUE"""),0.08333333333333333)</f>
        <v>0.08333333333</v>
      </c>
      <c r="D7754" s="8">
        <f>IFERROR(__xludf.DUMMYFUNCTION("""COMPUTED_VALUE"""),0.029)</f>
        <v>0.029</v>
      </c>
      <c r="E7754" s="8" t="str">
        <f>IFERROR(__xludf.DUMMYFUNCTION("""COMPUTED_VALUE"""),"Real")</f>
        <v>Real</v>
      </c>
      <c r="G7754" s="8">
        <f t="shared" si="1"/>
        <v>9</v>
      </c>
      <c r="H7754" s="14">
        <f t="shared" si="2"/>
        <v>20</v>
      </c>
      <c r="I7754" s="15">
        <f t="shared" si="3"/>
        <v>2</v>
      </c>
    </row>
    <row r="7755">
      <c r="A7755" s="8" t="str">
        <f>IFERROR(__xludf.DUMMYFUNCTION("IF('(INGESTA)Datos_consumo_datadis'!A7755&lt;&gt;"""",SPLIT('(INGESTA)Datos_consumo_datadis'!A:A,"",""),"""")"),"ES0031408323131005HX0F")</f>
        <v>ES0031408323131005HX0F</v>
      </c>
      <c r="B7755" s="12">
        <f>IFERROR(__xludf.DUMMYFUNCTION("""COMPUTED_VALUE"""),45189.0)</f>
        <v>45189</v>
      </c>
      <c r="C7755" s="13">
        <f>IFERROR(__xludf.DUMMYFUNCTION("""COMPUTED_VALUE"""),0.125)</f>
        <v>0.125</v>
      </c>
      <c r="D7755" s="8">
        <f>IFERROR(__xludf.DUMMYFUNCTION("""COMPUTED_VALUE"""),0.027)</f>
        <v>0.027</v>
      </c>
      <c r="E7755" s="8" t="str">
        <f>IFERROR(__xludf.DUMMYFUNCTION("""COMPUTED_VALUE"""),"Real")</f>
        <v>Real</v>
      </c>
      <c r="G7755" s="8">
        <f t="shared" si="1"/>
        <v>9</v>
      </c>
      <c r="H7755" s="14">
        <f t="shared" si="2"/>
        <v>20</v>
      </c>
      <c r="I7755" s="15">
        <f t="shared" si="3"/>
        <v>3</v>
      </c>
    </row>
    <row r="7756">
      <c r="A7756" s="8" t="str">
        <f>IFERROR(__xludf.DUMMYFUNCTION("IF('(INGESTA)Datos_consumo_datadis'!A7756&lt;&gt;"""",SPLIT('(INGESTA)Datos_consumo_datadis'!A:A,"",""),"""")"),"ES0031408323131005HX0F")</f>
        <v>ES0031408323131005HX0F</v>
      </c>
      <c r="B7756" s="12">
        <f>IFERROR(__xludf.DUMMYFUNCTION("""COMPUTED_VALUE"""),45189.0)</f>
        <v>45189</v>
      </c>
      <c r="C7756" s="13">
        <f>IFERROR(__xludf.DUMMYFUNCTION("""COMPUTED_VALUE"""),0.16666666666666666)</f>
        <v>0.1666666667</v>
      </c>
      <c r="D7756" s="8">
        <f>IFERROR(__xludf.DUMMYFUNCTION("""COMPUTED_VALUE"""),0.371)</f>
        <v>0.371</v>
      </c>
      <c r="E7756" s="8" t="str">
        <f>IFERROR(__xludf.DUMMYFUNCTION("""COMPUTED_VALUE"""),"Real")</f>
        <v>Real</v>
      </c>
      <c r="G7756" s="8">
        <f t="shared" si="1"/>
        <v>9</v>
      </c>
      <c r="H7756" s="14">
        <f t="shared" si="2"/>
        <v>20</v>
      </c>
      <c r="I7756" s="15">
        <f t="shared" si="3"/>
        <v>4</v>
      </c>
    </row>
    <row r="7757">
      <c r="A7757" s="8" t="str">
        <f>IFERROR(__xludf.DUMMYFUNCTION("IF('(INGESTA)Datos_consumo_datadis'!A7757&lt;&gt;"""",SPLIT('(INGESTA)Datos_consumo_datadis'!A:A,"",""),"""")"),"ES0031408323131005HX0F")</f>
        <v>ES0031408323131005HX0F</v>
      </c>
      <c r="B7757" s="12">
        <f>IFERROR(__xludf.DUMMYFUNCTION("""COMPUTED_VALUE"""),45189.0)</f>
        <v>45189</v>
      </c>
      <c r="C7757" s="13">
        <f>IFERROR(__xludf.DUMMYFUNCTION("""COMPUTED_VALUE"""),0.20833333333333334)</f>
        <v>0.2083333333</v>
      </c>
      <c r="D7757" s="8">
        <f>IFERROR(__xludf.DUMMYFUNCTION("""COMPUTED_VALUE"""),0.129)</f>
        <v>0.129</v>
      </c>
      <c r="E7757" s="8" t="str">
        <f>IFERROR(__xludf.DUMMYFUNCTION("""COMPUTED_VALUE"""),"Real")</f>
        <v>Real</v>
      </c>
      <c r="G7757" s="8">
        <f t="shared" si="1"/>
        <v>9</v>
      </c>
      <c r="H7757" s="14">
        <f t="shared" si="2"/>
        <v>20</v>
      </c>
      <c r="I7757" s="15">
        <f t="shared" si="3"/>
        <v>5</v>
      </c>
    </row>
    <row r="7758">
      <c r="A7758" s="8" t="str">
        <f>IFERROR(__xludf.DUMMYFUNCTION("IF('(INGESTA)Datos_consumo_datadis'!A7758&lt;&gt;"""",SPLIT('(INGESTA)Datos_consumo_datadis'!A:A,"",""),"""")"),"ES0031408323131005HX0F")</f>
        <v>ES0031408323131005HX0F</v>
      </c>
      <c r="B7758" s="12">
        <f>IFERROR(__xludf.DUMMYFUNCTION("""COMPUTED_VALUE"""),45189.0)</f>
        <v>45189</v>
      </c>
      <c r="C7758" s="13">
        <f>IFERROR(__xludf.DUMMYFUNCTION("""COMPUTED_VALUE"""),0.25)</f>
        <v>0.25</v>
      </c>
      <c r="D7758" s="8">
        <f>IFERROR(__xludf.DUMMYFUNCTION("""COMPUTED_VALUE"""),0.103)</f>
        <v>0.103</v>
      </c>
      <c r="E7758" s="8" t="str">
        <f>IFERROR(__xludf.DUMMYFUNCTION("""COMPUTED_VALUE"""),"Real")</f>
        <v>Real</v>
      </c>
      <c r="G7758" s="8">
        <f t="shared" si="1"/>
        <v>9</v>
      </c>
      <c r="H7758" s="14">
        <f t="shared" si="2"/>
        <v>20</v>
      </c>
      <c r="I7758" s="15">
        <f t="shared" si="3"/>
        <v>6</v>
      </c>
    </row>
    <row r="7759">
      <c r="A7759" s="8" t="str">
        <f>IFERROR(__xludf.DUMMYFUNCTION("IF('(INGESTA)Datos_consumo_datadis'!A7759&lt;&gt;"""",SPLIT('(INGESTA)Datos_consumo_datadis'!A:A,"",""),"""")"),"ES0031408323131005HX0F")</f>
        <v>ES0031408323131005HX0F</v>
      </c>
      <c r="B7759" s="12">
        <f>IFERROR(__xludf.DUMMYFUNCTION("""COMPUTED_VALUE"""),45189.0)</f>
        <v>45189</v>
      </c>
      <c r="C7759" s="13">
        <f>IFERROR(__xludf.DUMMYFUNCTION("""COMPUTED_VALUE"""),0.2916666666666667)</f>
        <v>0.2916666667</v>
      </c>
      <c r="D7759" s="8">
        <f>IFERROR(__xludf.DUMMYFUNCTION("""COMPUTED_VALUE"""),0.089)</f>
        <v>0.089</v>
      </c>
      <c r="E7759" s="8" t="str">
        <f>IFERROR(__xludf.DUMMYFUNCTION("""COMPUTED_VALUE"""),"Real")</f>
        <v>Real</v>
      </c>
      <c r="G7759" s="8">
        <f t="shared" si="1"/>
        <v>9</v>
      </c>
      <c r="H7759" s="14">
        <f t="shared" si="2"/>
        <v>20</v>
      </c>
      <c r="I7759" s="15">
        <f t="shared" si="3"/>
        <v>7</v>
      </c>
    </row>
    <row r="7760">
      <c r="A7760" s="8" t="str">
        <f>IFERROR(__xludf.DUMMYFUNCTION("IF('(INGESTA)Datos_consumo_datadis'!A7760&lt;&gt;"""",SPLIT('(INGESTA)Datos_consumo_datadis'!A:A,"",""),"""")"),"ES0031408323131005HX0F")</f>
        <v>ES0031408323131005HX0F</v>
      </c>
      <c r="B7760" s="12">
        <f>IFERROR(__xludf.DUMMYFUNCTION("""COMPUTED_VALUE"""),45189.0)</f>
        <v>45189</v>
      </c>
      <c r="C7760" s="13">
        <f>IFERROR(__xludf.DUMMYFUNCTION("""COMPUTED_VALUE"""),0.3333333333333333)</f>
        <v>0.3333333333</v>
      </c>
      <c r="D7760" s="8">
        <f>IFERROR(__xludf.DUMMYFUNCTION("""COMPUTED_VALUE"""),0.027)</f>
        <v>0.027</v>
      </c>
      <c r="E7760" s="8" t="str">
        <f>IFERROR(__xludf.DUMMYFUNCTION("""COMPUTED_VALUE"""),"Real")</f>
        <v>Real</v>
      </c>
      <c r="G7760" s="8">
        <f t="shared" si="1"/>
        <v>9</v>
      </c>
      <c r="H7760" s="14">
        <f t="shared" si="2"/>
        <v>20</v>
      </c>
      <c r="I7760" s="15">
        <f t="shared" si="3"/>
        <v>8</v>
      </c>
    </row>
    <row r="7761">
      <c r="A7761" s="8" t="str">
        <f>IFERROR(__xludf.DUMMYFUNCTION("IF('(INGESTA)Datos_consumo_datadis'!A7761&lt;&gt;"""",SPLIT('(INGESTA)Datos_consumo_datadis'!A:A,"",""),"""")"),"ES0031408323131005HX0F")</f>
        <v>ES0031408323131005HX0F</v>
      </c>
      <c r="B7761" s="12">
        <f>IFERROR(__xludf.DUMMYFUNCTION("""COMPUTED_VALUE"""),45189.0)</f>
        <v>45189</v>
      </c>
      <c r="C7761" s="13">
        <f>IFERROR(__xludf.DUMMYFUNCTION("""COMPUTED_VALUE"""),0.375)</f>
        <v>0.375</v>
      </c>
      <c r="D7761" s="8">
        <f>IFERROR(__xludf.DUMMYFUNCTION("""COMPUTED_VALUE"""),0.028)</f>
        <v>0.028</v>
      </c>
      <c r="E7761" s="8" t="str">
        <f>IFERROR(__xludf.DUMMYFUNCTION("""COMPUTED_VALUE"""),"Real")</f>
        <v>Real</v>
      </c>
      <c r="G7761" s="8">
        <f t="shared" si="1"/>
        <v>9</v>
      </c>
      <c r="H7761" s="14">
        <f t="shared" si="2"/>
        <v>20</v>
      </c>
      <c r="I7761" s="15">
        <f t="shared" si="3"/>
        <v>9</v>
      </c>
    </row>
    <row r="7762">
      <c r="A7762" s="8" t="str">
        <f>IFERROR(__xludf.DUMMYFUNCTION("IF('(INGESTA)Datos_consumo_datadis'!A7762&lt;&gt;"""",SPLIT('(INGESTA)Datos_consumo_datadis'!A:A,"",""),"""")"),"ES0031408323131005HX0F")</f>
        <v>ES0031408323131005HX0F</v>
      </c>
      <c r="B7762" s="12">
        <f>IFERROR(__xludf.DUMMYFUNCTION("""COMPUTED_VALUE"""),45189.0)</f>
        <v>45189</v>
      </c>
      <c r="C7762" s="13">
        <f>IFERROR(__xludf.DUMMYFUNCTION("""COMPUTED_VALUE"""),0.4166666666666667)</f>
        <v>0.4166666667</v>
      </c>
      <c r="D7762" s="8">
        <f>IFERROR(__xludf.DUMMYFUNCTION("""COMPUTED_VALUE"""),0.118)</f>
        <v>0.118</v>
      </c>
      <c r="E7762" s="8" t="str">
        <f>IFERROR(__xludf.DUMMYFUNCTION("""COMPUTED_VALUE"""),"Real")</f>
        <v>Real</v>
      </c>
      <c r="G7762" s="8">
        <f t="shared" si="1"/>
        <v>9</v>
      </c>
      <c r="H7762" s="14">
        <f t="shared" si="2"/>
        <v>20</v>
      </c>
      <c r="I7762" s="15">
        <f t="shared" si="3"/>
        <v>10</v>
      </c>
    </row>
    <row r="7763">
      <c r="A7763" s="8" t="str">
        <f>IFERROR(__xludf.DUMMYFUNCTION("IF('(INGESTA)Datos_consumo_datadis'!A7763&lt;&gt;"""",SPLIT('(INGESTA)Datos_consumo_datadis'!A:A,"",""),"""")"),"ES0031408323131005HX0F")</f>
        <v>ES0031408323131005HX0F</v>
      </c>
      <c r="B7763" s="12">
        <f>IFERROR(__xludf.DUMMYFUNCTION("""COMPUTED_VALUE"""),45189.0)</f>
        <v>45189</v>
      </c>
      <c r="C7763" s="13">
        <f>IFERROR(__xludf.DUMMYFUNCTION("""COMPUTED_VALUE"""),0.4583333333333333)</f>
        <v>0.4583333333</v>
      </c>
      <c r="D7763" s="8">
        <f>IFERROR(__xludf.DUMMYFUNCTION("""COMPUTED_VALUE"""),0.276)</f>
        <v>0.276</v>
      </c>
      <c r="E7763" s="8" t="str">
        <f>IFERROR(__xludf.DUMMYFUNCTION("""COMPUTED_VALUE"""),"Real")</f>
        <v>Real</v>
      </c>
      <c r="G7763" s="8">
        <f t="shared" si="1"/>
        <v>9</v>
      </c>
      <c r="H7763" s="14">
        <f t="shared" si="2"/>
        <v>20</v>
      </c>
      <c r="I7763" s="15">
        <f t="shared" si="3"/>
        <v>11</v>
      </c>
    </row>
    <row r="7764">
      <c r="A7764" s="8" t="str">
        <f>IFERROR(__xludf.DUMMYFUNCTION("IF('(INGESTA)Datos_consumo_datadis'!A7764&lt;&gt;"""",SPLIT('(INGESTA)Datos_consumo_datadis'!A:A,"",""),"""")"),"ES0031408323131005HX0F")</f>
        <v>ES0031408323131005HX0F</v>
      </c>
      <c r="B7764" s="12">
        <f>IFERROR(__xludf.DUMMYFUNCTION("""COMPUTED_VALUE"""),45189.0)</f>
        <v>45189</v>
      </c>
      <c r="C7764" s="13">
        <f>IFERROR(__xludf.DUMMYFUNCTION("""COMPUTED_VALUE"""),0.5)</f>
        <v>0.5</v>
      </c>
      <c r="D7764" s="8">
        <f>IFERROR(__xludf.DUMMYFUNCTION("""COMPUTED_VALUE"""),0.223)</f>
        <v>0.223</v>
      </c>
      <c r="E7764" s="8" t="str">
        <f>IFERROR(__xludf.DUMMYFUNCTION("""COMPUTED_VALUE"""),"Real")</f>
        <v>Real</v>
      </c>
      <c r="G7764" s="8">
        <f t="shared" si="1"/>
        <v>9</v>
      </c>
      <c r="H7764" s="14">
        <f t="shared" si="2"/>
        <v>20</v>
      </c>
      <c r="I7764" s="15">
        <f t="shared" si="3"/>
        <v>12</v>
      </c>
    </row>
    <row r="7765">
      <c r="A7765" s="8" t="str">
        <f>IFERROR(__xludf.DUMMYFUNCTION("IF('(INGESTA)Datos_consumo_datadis'!A7765&lt;&gt;"""",SPLIT('(INGESTA)Datos_consumo_datadis'!A:A,"",""),"""")"),"ES0031408323131005HX0F")</f>
        <v>ES0031408323131005HX0F</v>
      </c>
      <c r="B7765" s="12">
        <f>IFERROR(__xludf.DUMMYFUNCTION("""COMPUTED_VALUE"""),45189.0)</f>
        <v>45189</v>
      </c>
      <c r="C7765" s="13">
        <f>IFERROR(__xludf.DUMMYFUNCTION("""COMPUTED_VALUE"""),0.5416666666666666)</f>
        <v>0.5416666667</v>
      </c>
      <c r="D7765" s="8">
        <f>IFERROR(__xludf.DUMMYFUNCTION("""COMPUTED_VALUE"""),0.077)</f>
        <v>0.077</v>
      </c>
      <c r="E7765" s="8" t="str">
        <f>IFERROR(__xludf.DUMMYFUNCTION("""COMPUTED_VALUE"""),"Real")</f>
        <v>Real</v>
      </c>
      <c r="G7765" s="8">
        <f t="shared" si="1"/>
        <v>9</v>
      </c>
      <c r="H7765" s="14">
        <f t="shared" si="2"/>
        <v>20</v>
      </c>
      <c r="I7765" s="15">
        <f t="shared" si="3"/>
        <v>13</v>
      </c>
    </row>
    <row r="7766">
      <c r="A7766" s="8" t="str">
        <f>IFERROR(__xludf.DUMMYFUNCTION("IF('(INGESTA)Datos_consumo_datadis'!A7766&lt;&gt;"""",SPLIT('(INGESTA)Datos_consumo_datadis'!A:A,"",""),"""")"),"ES0031408323131005HX0F")</f>
        <v>ES0031408323131005HX0F</v>
      </c>
      <c r="B7766" s="12">
        <f>IFERROR(__xludf.DUMMYFUNCTION("""COMPUTED_VALUE"""),45189.0)</f>
        <v>45189</v>
      </c>
      <c r="C7766" s="13">
        <f>IFERROR(__xludf.DUMMYFUNCTION("""COMPUTED_VALUE"""),0.5833333333333334)</f>
        <v>0.5833333333</v>
      </c>
      <c r="D7766" s="8">
        <f>IFERROR(__xludf.DUMMYFUNCTION("""COMPUTED_VALUE"""),0.027)</f>
        <v>0.027</v>
      </c>
      <c r="E7766" s="8" t="str">
        <f>IFERROR(__xludf.DUMMYFUNCTION("""COMPUTED_VALUE"""),"Real")</f>
        <v>Real</v>
      </c>
      <c r="G7766" s="8">
        <f t="shared" si="1"/>
        <v>9</v>
      </c>
      <c r="H7766" s="14">
        <f t="shared" si="2"/>
        <v>20</v>
      </c>
      <c r="I7766" s="15">
        <f t="shared" si="3"/>
        <v>14</v>
      </c>
    </row>
    <row r="7767">
      <c r="A7767" s="8" t="str">
        <f>IFERROR(__xludf.DUMMYFUNCTION("IF('(INGESTA)Datos_consumo_datadis'!A7767&lt;&gt;"""",SPLIT('(INGESTA)Datos_consumo_datadis'!A:A,"",""),"""")"),"ES0031408323131005HX0F")</f>
        <v>ES0031408323131005HX0F</v>
      </c>
      <c r="B7767" s="12">
        <f>IFERROR(__xludf.DUMMYFUNCTION("""COMPUTED_VALUE"""),45189.0)</f>
        <v>45189</v>
      </c>
      <c r="C7767" s="13">
        <f>IFERROR(__xludf.DUMMYFUNCTION("""COMPUTED_VALUE"""),0.625)</f>
        <v>0.625</v>
      </c>
      <c r="D7767" s="8">
        <f>IFERROR(__xludf.DUMMYFUNCTION("""COMPUTED_VALUE"""),0.029)</f>
        <v>0.029</v>
      </c>
      <c r="E7767" s="8" t="str">
        <f>IFERROR(__xludf.DUMMYFUNCTION("""COMPUTED_VALUE"""),"Real")</f>
        <v>Real</v>
      </c>
      <c r="G7767" s="8">
        <f t="shared" si="1"/>
        <v>9</v>
      </c>
      <c r="H7767" s="14">
        <f t="shared" si="2"/>
        <v>20</v>
      </c>
      <c r="I7767" s="15">
        <f t="shared" si="3"/>
        <v>15</v>
      </c>
    </row>
    <row r="7768">
      <c r="A7768" s="8" t="str">
        <f>IFERROR(__xludf.DUMMYFUNCTION("IF('(INGESTA)Datos_consumo_datadis'!A7768&lt;&gt;"""",SPLIT('(INGESTA)Datos_consumo_datadis'!A:A,"",""),"""")"),"ES0031408323131005HX0F")</f>
        <v>ES0031408323131005HX0F</v>
      </c>
      <c r="B7768" s="12">
        <f>IFERROR(__xludf.DUMMYFUNCTION("""COMPUTED_VALUE"""),45189.0)</f>
        <v>45189</v>
      </c>
      <c r="C7768" s="13">
        <f>IFERROR(__xludf.DUMMYFUNCTION("""COMPUTED_VALUE"""),0.6666666666666666)</f>
        <v>0.6666666667</v>
      </c>
      <c r="D7768" s="8">
        <f>IFERROR(__xludf.DUMMYFUNCTION("""COMPUTED_VALUE"""),0.134)</f>
        <v>0.134</v>
      </c>
      <c r="E7768" s="8" t="str">
        <f>IFERROR(__xludf.DUMMYFUNCTION("""COMPUTED_VALUE"""),"Real")</f>
        <v>Real</v>
      </c>
      <c r="G7768" s="8">
        <f t="shared" si="1"/>
        <v>9</v>
      </c>
      <c r="H7768" s="14">
        <f t="shared" si="2"/>
        <v>20</v>
      </c>
      <c r="I7768" s="15">
        <f t="shared" si="3"/>
        <v>16</v>
      </c>
    </row>
    <row r="7769">
      <c r="A7769" s="8" t="str">
        <f>IFERROR(__xludf.DUMMYFUNCTION("IF('(INGESTA)Datos_consumo_datadis'!A7769&lt;&gt;"""",SPLIT('(INGESTA)Datos_consumo_datadis'!A:A,"",""),"""")"),"ES0031408323131005HX0F")</f>
        <v>ES0031408323131005HX0F</v>
      </c>
      <c r="B7769" s="12">
        <f>IFERROR(__xludf.DUMMYFUNCTION("""COMPUTED_VALUE"""),45189.0)</f>
        <v>45189</v>
      </c>
      <c r="C7769" s="13">
        <f>IFERROR(__xludf.DUMMYFUNCTION("""COMPUTED_VALUE"""),0.7083333333333334)</f>
        <v>0.7083333333</v>
      </c>
      <c r="D7769" s="8">
        <f>IFERROR(__xludf.DUMMYFUNCTION("""COMPUTED_VALUE"""),0.118)</f>
        <v>0.118</v>
      </c>
      <c r="E7769" s="8" t="str">
        <f>IFERROR(__xludf.DUMMYFUNCTION("""COMPUTED_VALUE"""),"Real")</f>
        <v>Real</v>
      </c>
      <c r="G7769" s="8">
        <f t="shared" si="1"/>
        <v>9</v>
      </c>
      <c r="H7769" s="14">
        <f t="shared" si="2"/>
        <v>20</v>
      </c>
      <c r="I7769" s="15">
        <f t="shared" si="3"/>
        <v>17</v>
      </c>
    </row>
    <row r="7770">
      <c r="A7770" s="8" t="str">
        <f>IFERROR(__xludf.DUMMYFUNCTION("IF('(INGESTA)Datos_consumo_datadis'!A7770&lt;&gt;"""",SPLIT('(INGESTA)Datos_consumo_datadis'!A:A,"",""),"""")"),"ES0031408323131005HX0F")</f>
        <v>ES0031408323131005HX0F</v>
      </c>
      <c r="B7770" s="12">
        <f>IFERROR(__xludf.DUMMYFUNCTION("""COMPUTED_VALUE"""),45189.0)</f>
        <v>45189</v>
      </c>
      <c r="C7770" s="13">
        <f>IFERROR(__xludf.DUMMYFUNCTION("""COMPUTED_VALUE"""),0.75)</f>
        <v>0.75</v>
      </c>
      <c r="D7770" s="8">
        <f>IFERROR(__xludf.DUMMYFUNCTION("""COMPUTED_VALUE"""),0.09)</f>
        <v>0.09</v>
      </c>
      <c r="E7770" s="8" t="str">
        <f>IFERROR(__xludf.DUMMYFUNCTION("""COMPUTED_VALUE"""),"Real")</f>
        <v>Real</v>
      </c>
      <c r="G7770" s="8">
        <f t="shared" si="1"/>
        <v>9</v>
      </c>
      <c r="H7770" s="14">
        <f t="shared" si="2"/>
        <v>20</v>
      </c>
      <c r="I7770" s="15">
        <f t="shared" si="3"/>
        <v>18</v>
      </c>
    </row>
    <row r="7771">
      <c r="A7771" s="8" t="str">
        <f>IFERROR(__xludf.DUMMYFUNCTION("IF('(INGESTA)Datos_consumo_datadis'!A7771&lt;&gt;"""",SPLIT('(INGESTA)Datos_consumo_datadis'!A:A,"",""),"""")"),"ES0031408323131005HX0F")</f>
        <v>ES0031408323131005HX0F</v>
      </c>
      <c r="B7771" s="12">
        <f>IFERROR(__xludf.DUMMYFUNCTION("""COMPUTED_VALUE"""),45189.0)</f>
        <v>45189</v>
      </c>
      <c r="C7771" s="13">
        <f>IFERROR(__xludf.DUMMYFUNCTION("""COMPUTED_VALUE"""),0.7916666666666666)</f>
        <v>0.7916666667</v>
      </c>
      <c r="D7771" s="8">
        <f>IFERROR(__xludf.DUMMYFUNCTION("""COMPUTED_VALUE"""),0.351)</f>
        <v>0.351</v>
      </c>
      <c r="E7771" s="8" t="str">
        <f>IFERROR(__xludf.DUMMYFUNCTION("""COMPUTED_VALUE"""),"Real")</f>
        <v>Real</v>
      </c>
      <c r="G7771" s="8">
        <f t="shared" si="1"/>
        <v>9</v>
      </c>
      <c r="H7771" s="14">
        <f t="shared" si="2"/>
        <v>20</v>
      </c>
      <c r="I7771" s="15">
        <f t="shared" si="3"/>
        <v>19</v>
      </c>
    </row>
    <row r="7772">
      <c r="A7772" s="8" t="str">
        <f>IFERROR(__xludf.DUMMYFUNCTION("IF('(INGESTA)Datos_consumo_datadis'!A7772&lt;&gt;"""",SPLIT('(INGESTA)Datos_consumo_datadis'!A:A,"",""),"""")"),"ES0031408323131005HX0F")</f>
        <v>ES0031408323131005HX0F</v>
      </c>
      <c r="B7772" s="12">
        <f>IFERROR(__xludf.DUMMYFUNCTION("""COMPUTED_VALUE"""),45189.0)</f>
        <v>45189</v>
      </c>
      <c r="C7772" s="13">
        <f>IFERROR(__xludf.DUMMYFUNCTION("""COMPUTED_VALUE"""),0.8333333333333334)</f>
        <v>0.8333333333</v>
      </c>
      <c r="D7772" s="8">
        <f>IFERROR(__xludf.DUMMYFUNCTION("""COMPUTED_VALUE"""),0.028)</f>
        <v>0.028</v>
      </c>
      <c r="E7772" s="8" t="str">
        <f>IFERROR(__xludf.DUMMYFUNCTION("""COMPUTED_VALUE"""),"Real")</f>
        <v>Real</v>
      </c>
      <c r="G7772" s="8">
        <f t="shared" si="1"/>
        <v>9</v>
      </c>
      <c r="H7772" s="14">
        <f t="shared" si="2"/>
        <v>20</v>
      </c>
      <c r="I7772" s="15">
        <f t="shared" si="3"/>
        <v>20</v>
      </c>
    </row>
    <row r="7773">
      <c r="A7773" s="8" t="str">
        <f>IFERROR(__xludf.DUMMYFUNCTION("IF('(INGESTA)Datos_consumo_datadis'!A7773&lt;&gt;"""",SPLIT('(INGESTA)Datos_consumo_datadis'!A:A,"",""),"""")"),"ES0031408323131005HX0F")</f>
        <v>ES0031408323131005HX0F</v>
      </c>
      <c r="B7773" s="12">
        <f>IFERROR(__xludf.DUMMYFUNCTION("""COMPUTED_VALUE"""),45189.0)</f>
        <v>45189</v>
      </c>
      <c r="C7773" s="13">
        <f>IFERROR(__xludf.DUMMYFUNCTION("""COMPUTED_VALUE"""),0.875)</f>
        <v>0.875</v>
      </c>
      <c r="D7773" s="8">
        <f>IFERROR(__xludf.DUMMYFUNCTION("""COMPUTED_VALUE"""),0.048)</f>
        <v>0.048</v>
      </c>
      <c r="E7773" s="8" t="str">
        <f>IFERROR(__xludf.DUMMYFUNCTION("""COMPUTED_VALUE"""),"Real")</f>
        <v>Real</v>
      </c>
      <c r="G7773" s="8">
        <f t="shared" si="1"/>
        <v>9</v>
      </c>
      <c r="H7773" s="14">
        <f t="shared" si="2"/>
        <v>20</v>
      </c>
      <c r="I7773" s="15">
        <f t="shared" si="3"/>
        <v>21</v>
      </c>
    </row>
    <row r="7774">
      <c r="A7774" s="8" t="str">
        <f>IFERROR(__xludf.DUMMYFUNCTION("IF('(INGESTA)Datos_consumo_datadis'!A7774&lt;&gt;"""",SPLIT('(INGESTA)Datos_consumo_datadis'!A:A,"",""),"""")"),"ES0031408323131005HX0F")</f>
        <v>ES0031408323131005HX0F</v>
      </c>
      <c r="B7774" s="12">
        <f>IFERROR(__xludf.DUMMYFUNCTION("""COMPUTED_VALUE"""),45189.0)</f>
        <v>45189</v>
      </c>
      <c r="C7774" s="13">
        <f>IFERROR(__xludf.DUMMYFUNCTION("""COMPUTED_VALUE"""),0.9166666666666666)</f>
        <v>0.9166666667</v>
      </c>
      <c r="D7774" s="8">
        <f>IFERROR(__xludf.DUMMYFUNCTION("""COMPUTED_VALUE"""),0.133)</f>
        <v>0.133</v>
      </c>
      <c r="E7774" s="8" t="str">
        <f>IFERROR(__xludf.DUMMYFUNCTION("""COMPUTED_VALUE"""),"Real")</f>
        <v>Real</v>
      </c>
      <c r="G7774" s="8">
        <f t="shared" si="1"/>
        <v>9</v>
      </c>
      <c r="H7774" s="14">
        <f t="shared" si="2"/>
        <v>20</v>
      </c>
      <c r="I7774" s="15">
        <f t="shared" si="3"/>
        <v>22</v>
      </c>
    </row>
    <row r="7775">
      <c r="A7775" s="8" t="str">
        <f>IFERROR(__xludf.DUMMYFUNCTION("IF('(INGESTA)Datos_consumo_datadis'!A7775&lt;&gt;"""",SPLIT('(INGESTA)Datos_consumo_datadis'!A:A,"",""),"""")"),"ES0031408323131005HX0F")</f>
        <v>ES0031408323131005HX0F</v>
      </c>
      <c r="B7775" s="12">
        <f>IFERROR(__xludf.DUMMYFUNCTION("""COMPUTED_VALUE"""),45189.0)</f>
        <v>45189</v>
      </c>
      <c r="C7775" s="13">
        <f>IFERROR(__xludf.DUMMYFUNCTION("""COMPUTED_VALUE"""),0.9583333333333334)</f>
        <v>0.9583333333</v>
      </c>
      <c r="D7775" s="8">
        <f>IFERROR(__xludf.DUMMYFUNCTION("""COMPUTED_VALUE"""),0.105)</f>
        <v>0.105</v>
      </c>
      <c r="E7775" s="8" t="str">
        <f>IFERROR(__xludf.DUMMYFUNCTION("""COMPUTED_VALUE"""),"Real")</f>
        <v>Real</v>
      </c>
      <c r="G7775" s="8">
        <f t="shared" si="1"/>
        <v>9</v>
      </c>
      <c r="H7775" s="14">
        <f t="shared" si="2"/>
        <v>20</v>
      </c>
      <c r="I7775" s="15">
        <f t="shared" si="3"/>
        <v>23</v>
      </c>
    </row>
    <row r="7776">
      <c r="A7776" s="8" t="str">
        <f>IFERROR(__xludf.DUMMYFUNCTION("IF('(INGESTA)Datos_consumo_datadis'!A7776&lt;&gt;"""",SPLIT('(INGESTA)Datos_consumo_datadis'!A:A,"",""),"""")"),"ES0031408323131005HX0F")</f>
        <v>ES0031408323131005HX0F</v>
      </c>
      <c r="B7776" s="12">
        <f>IFERROR(__xludf.DUMMYFUNCTION("""COMPUTED_VALUE"""),45189.0)</f>
        <v>45189</v>
      </c>
      <c r="C7776" s="16">
        <f>IFERROR(__xludf.DUMMYFUNCTION("""COMPUTED_VALUE"""),1.0)</f>
        <v>1</v>
      </c>
      <c r="D7776" s="8">
        <f>IFERROR(__xludf.DUMMYFUNCTION("""COMPUTED_VALUE"""),0.101)</f>
        <v>0.101</v>
      </c>
      <c r="E7776" s="8" t="str">
        <f>IFERROR(__xludf.DUMMYFUNCTION("""COMPUTED_VALUE"""),"Real")</f>
        <v>Real</v>
      </c>
      <c r="G7776" s="8">
        <f t="shared" si="1"/>
        <v>9</v>
      </c>
      <c r="H7776" s="14">
        <f t="shared" si="2"/>
        <v>20</v>
      </c>
      <c r="I7776" s="15">
        <f t="shared" si="3"/>
        <v>0</v>
      </c>
    </row>
    <row r="7777">
      <c r="A7777" s="8" t="str">
        <f>IFERROR(__xludf.DUMMYFUNCTION("IF('(INGESTA)Datos_consumo_datadis'!A7777&lt;&gt;"""",SPLIT('(INGESTA)Datos_consumo_datadis'!A:A,"",""),"""")"),"ES0031408323131005HX0F")</f>
        <v>ES0031408323131005HX0F</v>
      </c>
      <c r="B7777" s="12">
        <f>IFERROR(__xludf.DUMMYFUNCTION("""COMPUTED_VALUE"""),45190.0)</f>
        <v>45190</v>
      </c>
      <c r="C7777" s="13">
        <f>IFERROR(__xludf.DUMMYFUNCTION("""COMPUTED_VALUE"""),0.041666666666666664)</f>
        <v>0.04166666667</v>
      </c>
      <c r="D7777" s="8">
        <f>IFERROR(__xludf.DUMMYFUNCTION("""COMPUTED_VALUE"""),0.066)</f>
        <v>0.066</v>
      </c>
      <c r="E7777" s="8" t="str">
        <f>IFERROR(__xludf.DUMMYFUNCTION("""COMPUTED_VALUE"""),"Real")</f>
        <v>Real</v>
      </c>
      <c r="G7777" s="8">
        <f t="shared" si="1"/>
        <v>9</v>
      </c>
      <c r="H7777" s="14">
        <f t="shared" si="2"/>
        <v>21</v>
      </c>
      <c r="I7777" s="15">
        <f t="shared" si="3"/>
        <v>1</v>
      </c>
    </row>
    <row r="7778">
      <c r="A7778" s="8" t="str">
        <f>IFERROR(__xludf.DUMMYFUNCTION("IF('(INGESTA)Datos_consumo_datadis'!A7778&lt;&gt;"""",SPLIT('(INGESTA)Datos_consumo_datadis'!A:A,"",""),"""")"),"ES0031408323131005HX0F")</f>
        <v>ES0031408323131005HX0F</v>
      </c>
      <c r="B7778" s="12">
        <f>IFERROR(__xludf.DUMMYFUNCTION("""COMPUTED_VALUE"""),45190.0)</f>
        <v>45190</v>
      </c>
      <c r="C7778" s="13">
        <f>IFERROR(__xludf.DUMMYFUNCTION("""COMPUTED_VALUE"""),0.08333333333333333)</f>
        <v>0.08333333333</v>
      </c>
      <c r="D7778" s="8">
        <f>IFERROR(__xludf.DUMMYFUNCTION("""COMPUTED_VALUE"""),0.027)</f>
        <v>0.027</v>
      </c>
      <c r="E7778" s="8" t="str">
        <f>IFERROR(__xludf.DUMMYFUNCTION("""COMPUTED_VALUE"""),"Real")</f>
        <v>Real</v>
      </c>
      <c r="G7778" s="8">
        <f t="shared" si="1"/>
        <v>9</v>
      </c>
      <c r="H7778" s="14">
        <f t="shared" si="2"/>
        <v>21</v>
      </c>
      <c r="I7778" s="15">
        <f t="shared" si="3"/>
        <v>2</v>
      </c>
    </row>
    <row r="7779">
      <c r="A7779" s="8" t="str">
        <f>IFERROR(__xludf.DUMMYFUNCTION("IF('(INGESTA)Datos_consumo_datadis'!A7779&lt;&gt;"""",SPLIT('(INGESTA)Datos_consumo_datadis'!A:A,"",""),"""")"),"ES0031408323131005HX0F")</f>
        <v>ES0031408323131005HX0F</v>
      </c>
      <c r="B7779" s="12">
        <f>IFERROR(__xludf.DUMMYFUNCTION("""COMPUTED_VALUE"""),45190.0)</f>
        <v>45190</v>
      </c>
      <c r="C7779" s="13">
        <f>IFERROR(__xludf.DUMMYFUNCTION("""COMPUTED_VALUE"""),0.125)</f>
        <v>0.125</v>
      </c>
      <c r="D7779" s="8">
        <f>IFERROR(__xludf.DUMMYFUNCTION("""COMPUTED_VALUE"""),0.332)</f>
        <v>0.332</v>
      </c>
      <c r="E7779" s="8" t="str">
        <f>IFERROR(__xludf.DUMMYFUNCTION("""COMPUTED_VALUE"""),"Real")</f>
        <v>Real</v>
      </c>
      <c r="G7779" s="8">
        <f t="shared" si="1"/>
        <v>9</v>
      </c>
      <c r="H7779" s="14">
        <f t="shared" si="2"/>
        <v>21</v>
      </c>
      <c r="I7779" s="15">
        <f t="shared" si="3"/>
        <v>3</v>
      </c>
    </row>
    <row r="7780">
      <c r="A7780" s="8" t="str">
        <f>IFERROR(__xludf.DUMMYFUNCTION("IF('(INGESTA)Datos_consumo_datadis'!A7780&lt;&gt;"""",SPLIT('(INGESTA)Datos_consumo_datadis'!A:A,"",""),"""")"),"ES0031408323131005HX0F")</f>
        <v>ES0031408323131005HX0F</v>
      </c>
      <c r="B7780" s="12">
        <f>IFERROR(__xludf.DUMMYFUNCTION("""COMPUTED_VALUE"""),45190.0)</f>
        <v>45190</v>
      </c>
      <c r="C7780" s="13">
        <f>IFERROR(__xludf.DUMMYFUNCTION("""COMPUTED_VALUE"""),0.16666666666666666)</f>
        <v>0.1666666667</v>
      </c>
      <c r="D7780" s="8">
        <f>IFERROR(__xludf.DUMMYFUNCTION("""COMPUTED_VALUE"""),0.131)</f>
        <v>0.131</v>
      </c>
      <c r="E7780" s="8" t="str">
        <f>IFERROR(__xludf.DUMMYFUNCTION("""COMPUTED_VALUE"""),"Real")</f>
        <v>Real</v>
      </c>
      <c r="G7780" s="8">
        <f t="shared" si="1"/>
        <v>9</v>
      </c>
      <c r="H7780" s="14">
        <f t="shared" si="2"/>
        <v>21</v>
      </c>
      <c r="I7780" s="15">
        <f t="shared" si="3"/>
        <v>4</v>
      </c>
    </row>
    <row r="7781">
      <c r="A7781" s="8" t="str">
        <f>IFERROR(__xludf.DUMMYFUNCTION("IF('(INGESTA)Datos_consumo_datadis'!A7781&lt;&gt;"""",SPLIT('(INGESTA)Datos_consumo_datadis'!A:A,"",""),"""")"),"ES0031408323131005HX0F")</f>
        <v>ES0031408323131005HX0F</v>
      </c>
      <c r="B7781" s="12">
        <f>IFERROR(__xludf.DUMMYFUNCTION("""COMPUTED_VALUE"""),45190.0)</f>
        <v>45190</v>
      </c>
      <c r="C7781" s="13">
        <f>IFERROR(__xludf.DUMMYFUNCTION("""COMPUTED_VALUE"""),0.20833333333333334)</f>
        <v>0.2083333333</v>
      </c>
      <c r="D7781" s="8">
        <f>IFERROR(__xludf.DUMMYFUNCTION("""COMPUTED_VALUE"""),0.102)</f>
        <v>0.102</v>
      </c>
      <c r="E7781" s="8" t="str">
        <f>IFERROR(__xludf.DUMMYFUNCTION("""COMPUTED_VALUE"""),"Real")</f>
        <v>Real</v>
      </c>
      <c r="G7781" s="8">
        <f t="shared" si="1"/>
        <v>9</v>
      </c>
      <c r="H7781" s="14">
        <f t="shared" si="2"/>
        <v>21</v>
      </c>
      <c r="I7781" s="15">
        <f t="shared" si="3"/>
        <v>5</v>
      </c>
    </row>
    <row r="7782">
      <c r="A7782" s="8" t="str">
        <f>IFERROR(__xludf.DUMMYFUNCTION("IF('(INGESTA)Datos_consumo_datadis'!A7782&lt;&gt;"""",SPLIT('(INGESTA)Datos_consumo_datadis'!A:A,"",""),"""")"),"ES0031408323131005HX0F")</f>
        <v>ES0031408323131005HX0F</v>
      </c>
      <c r="B7782" s="12">
        <f>IFERROR(__xludf.DUMMYFUNCTION("""COMPUTED_VALUE"""),45190.0)</f>
        <v>45190</v>
      </c>
      <c r="C7782" s="13">
        <f>IFERROR(__xludf.DUMMYFUNCTION("""COMPUTED_VALUE"""),0.25)</f>
        <v>0.25</v>
      </c>
      <c r="D7782" s="8">
        <f>IFERROR(__xludf.DUMMYFUNCTION("""COMPUTED_VALUE"""),0.102)</f>
        <v>0.102</v>
      </c>
      <c r="E7782" s="8" t="str">
        <f>IFERROR(__xludf.DUMMYFUNCTION("""COMPUTED_VALUE"""),"Real")</f>
        <v>Real</v>
      </c>
      <c r="G7782" s="8">
        <f t="shared" si="1"/>
        <v>9</v>
      </c>
      <c r="H7782" s="14">
        <f t="shared" si="2"/>
        <v>21</v>
      </c>
      <c r="I7782" s="15">
        <f t="shared" si="3"/>
        <v>6</v>
      </c>
    </row>
    <row r="7783">
      <c r="A7783" s="8" t="str">
        <f>IFERROR(__xludf.DUMMYFUNCTION("IF('(INGESTA)Datos_consumo_datadis'!A7783&lt;&gt;"""",SPLIT('(INGESTA)Datos_consumo_datadis'!A:A,"",""),"""")"),"ES0031408323131005HX0F")</f>
        <v>ES0031408323131005HX0F</v>
      </c>
      <c r="B7783" s="12">
        <f>IFERROR(__xludf.DUMMYFUNCTION("""COMPUTED_VALUE"""),45190.0)</f>
        <v>45190</v>
      </c>
      <c r="C7783" s="13">
        <f>IFERROR(__xludf.DUMMYFUNCTION("""COMPUTED_VALUE"""),0.2916666666666667)</f>
        <v>0.2916666667</v>
      </c>
      <c r="D7783" s="8">
        <f>IFERROR(__xludf.DUMMYFUNCTION("""COMPUTED_VALUE"""),0.046)</f>
        <v>0.046</v>
      </c>
      <c r="E7783" s="8" t="str">
        <f>IFERROR(__xludf.DUMMYFUNCTION("""COMPUTED_VALUE"""),"Real")</f>
        <v>Real</v>
      </c>
      <c r="G7783" s="8">
        <f t="shared" si="1"/>
        <v>9</v>
      </c>
      <c r="H7783" s="14">
        <f t="shared" si="2"/>
        <v>21</v>
      </c>
      <c r="I7783" s="15">
        <f t="shared" si="3"/>
        <v>7</v>
      </c>
    </row>
    <row r="7784">
      <c r="A7784" s="8" t="str">
        <f>IFERROR(__xludf.DUMMYFUNCTION("IF('(INGESTA)Datos_consumo_datadis'!A7784&lt;&gt;"""",SPLIT('(INGESTA)Datos_consumo_datadis'!A:A,"",""),"""")"),"ES0031408323131005HX0F")</f>
        <v>ES0031408323131005HX0F</v>
      </c>
      <c r="B7784" s="12">
        <f>IFERROR(__xludf.DUMMYFUNCTION("""COMPUTED_VALUE"""),45190.0)</f>
        <v>45190</v>
      </c>
      <c r="C7784" s="13">
        <f>IFERROR(__xludf.DUMMYFUNCTION("""COMPUTED_VALUE"""),0.3333333333333333)</f>
        <v>0.3333333333</v>
      </c>
      <c r="D7784" s="8">
        <f>IFERROR(__xludf.DUMMYFUNCTION("""COMPUTED_VALUE"""),0.028)</f>
        <v>0.028</v>
      </c>
      <c r="E7784" s="8" t="str">
        <f>IFERROR(__xludf.DUMMYFUNCTION("""COMPUTED_VALUE"""),"Real")</f>
        <v>Real</v>
      </c>
      <c r="G7784" s="8">
        <f t="shared" si="1"/>
        <v>9</v>
      </c>
      <c r="H7784" s="14">
        <f t="shared" si="2"/>
        <v>21</v>
      </c>
      <c r="I7784" s="15">
        <f t="shared" si="3"/>
        <v>8</v>
      </c>
    </row>
    <row r="7785">
      <c r="A7785" s="8" t="str">
        <f>IFERROR(__xludf.DUMMYFUNCTION("IF('(INGESTA)Datos_consumo_datadis'!A7785&lt;&gt;"""",SPLIT('(INGESTA)Datos_consumo_datadis'!A:A,"",""),"""")"),"ES0031408323131005HX0F")</f>
        <v>ES0031408323131005HX0F</v>
      </c>
      <c r="B7785" s="12">
        <f>IFERROR(__xludf.DUMMYFUNCTION("""COMPUTED_VALUE"""),45190.0)</f>
        <v>45190</v>
      </c>
      <c r="C7785" s="13">
        <f>IFERROR(__xludf.DUMMYFUNCTION("""COMPUTED_VALUE"""),0.375)</f>
        <v>0.375</v>
      </c>
      <c r="D7785" s="8">
        <f>IFERROR(__xludf.DUMMYFUNCTION("""COMPUTED_VALUE"""),0.085)</f>
        <v>0.085</v>
      </c>
      <c r="E7785" s="8" t="str">
        <f>IFERROR(__xludf.DUMMYFUNCTION("""COMPUTED_VALUE"""),"Real")</f>
        <v>Real</v>
      </c>
      <c r="G7785" s="8">
        <f t="shared" si="1"/>
        <v>9</v>
      </c>
      <c r="H7785" s="14">
        <f t="shared" si="2"/>
        <v>21</v>
      </c>
      <c r="I7785" s="15">
        <f t="shared" si="3"/>
        <v>9</v>
      </c>
    </row>
    <row r="7786">
      <c r="A7786" s="8" t="str">
        <f>IFERROR(__xludf.DUMMYFUNCTION("IF('(INGESTA)Datos_consumo_datadis'!A7786&lt;&gt;"""",SPLIT('(INGESTA)Datos_consumo_datadis'!A:A,"",""),"""")"),"ES0031408323131005HX0F")</f>
        <v>ES0031408323131005HX0F</v>
      </c>
      <c r="B7786" s="12">
        <f>IFERROR(__xludf.DUMMYFUNCTION("""COMPUTED_VALUE"""),45190.0)</f>
        <v>45190</v>
      </c>
      <c r="C7786" s="13">
        <f>IFERROR(__xludf.DUMMYFUNCTION("""COMPUTED_VALUE"""),0.4166666666666667)</f>
        <v>0.4166666667</v>
      </c>
      <c r="D7786" s="8">
        <f>IFERROR(__xludf.DUMMYFUNCTION("""COMPUTED_VALUE"""),0.41)</f>
        <v>0.41</v>
      </c>
      <c r="E7786" s="8" t="str">
        <f>IFERROR(__xludf.DUMMYFUNCTION("""COMPUTED_VALUE"""),"Real")</f>
        <v>Real</v>
      </c>
      <c r="G7786" s="8">
        <f t="shared" si="1"/>
        <v>9</v>
      </c>
      <c r="H7786" s="14">
        <f t="shared" si="2"/>
        <v>21</v>
      </c>
      <c r="I7786" s="15">
        <f t="shared" si="3"/>
        <v>10</v>
      </c>
    </row>
    <row r="7787">
      <c r="A7787" s="8" t="str">
        <f>IFERROR(__xludf.DUMMYFUNCTION("IF('(INGESTA)Datos_consumo_datadis'!A7787&lt;&gt;"""",SPLIT('(INGESTA)Datos_consumo_datadis'!A:A,"",""),"""")"),"ES0031408323131005HX0F")</f>
        <v>ES0031408323131005HX0F</v>
      </c>
      <c r="B7787" s="12">
        <f>IFERROR(__xludf.DUMMYFUNCTION("""COMPUTED_VALUE"""),45190.0)</f>
        <v>45190</v>
      </c>
      <c r="C7787" s="13">
        <f>IFERROR(__xludf.DUMMYFUNCTION("""COMPUTED_VALUE"""),0.4583333333333333)</f>
        <v>0.4583333333</v>
      </c>
      <c r="D7787" s="8">
        <f>IFERROR(__xludf.DUMMYFUNCTION("""COMPUTED_VALUE"""),0.102)</f>
        <v>0.102</v>
      </c>
      <c r="E7787" s="8" t="str">
        <f>IFERROR(__xludf.DUMMYFUNCTION("""COMPUTED_VALUE"""),"Real")</f>
        <v>Real</v>
      </c>
      <c r="G7787" s="8">
        <f t="shared" si="1"/>
        <v>9</v>
      </c>
      <c r="H7787" s="14">
        <f t="shared" si="2"/>
        <v>21</v>
      </c>
      <c r="I7787" s="15">
        <f t="shared" si="3"/>
        <v>11</v>
      </c>
    </row>
    <row r="7788">
      <c r="A7788" s="8" t="str">
        <f>IFERROR(__xludf.DUMMYFUNCTION("IF('(INGESTA)Datos_consumo_datadis'!A7788&lt;&gt;"""",SPLIT('(INGESTA)Datos_consumo_datadis'!A:A,"",""),"""")"),"ES0031408323131005HX0F")</f>
        <v>ES0031408323131005HX0F</v>
      </c>
      <c r="B7788" s="12">
        <f>IFERROR(__xludf.DUMMYFUNCTION("""COMPUTED_VALUE"""),45190.0)</f>
        <v>45190</v>
      </c>
      <c r="C7788" s="13">
        <f>IFERROR(__xludf.DUMMYFUNCTION("""COMPUTED_VALUE"""),0.5)</f>
        <v>0.5</v>
      </c>
      <c r="D7788" s="8">
        <f>IFERROR(__xludf.DUMMYFUNCTION("""COMPUTED_VALUE"""),0.094)</f>
        <v>0.094</v>
      </c>
      <c r="E7788" s="8" t="str">
        <f>IFERROR(__xludf.DUMMYFUNCTION("""COMPUTED_VALUE"""),"Real")</f>
        <v>Real</v>
      </c>
      <c r="G7788" s="8">
        <f t="shared" si="1"/>
        <v>9</v>
      </c>
      <c r="H7788" s="14">
        <f t="shared" si="2"/>
        <v>21</v>
      </c>
      <c r="I7788" s="15">
        <f t="shared" si="3"/>
        <v>12</v>
      </c>
    </row>
    <row r="7789">
      <c r="A7789" s="8" t="str">
        <f>IFERROR(__xludf.DUMMYFUNCTION("IF('(INGESTA)Datos_consumo_datadis'!A7789&lt;&gt;"""",SPLIT('(INGESTA)Datos_consumo_datadis'!A:A,"",""),"""")"),"ES0031408323131005HX0F")</f>
        <v>ES0031408323131005HX0F</v>
      </c>
      <c r="B7789" s="12">
        <f>IFERROR(__xludf.DUMMYFUNCTION("""COMPUTED_VALUE"""),45190.0)</f>
        <v>45190</v>
      </c>
      <c r="C7789" s="13">
        <f>IFERROR(__xludf.DUMMYFUNCTION("""COMPUTED_VALUE"""),0.5416666666666666)</f>
        <v>0.5416666667</v>
      </c>
      <c r="D7789" s="8">
        <f>IFERROR(__xludf.DUMMYFUNCTION("""COMPUTED_VALUE"""),0.028)</f>
        <v>0.028</v>
      </c>
      <c r="E7789" s="8" t="str">
        <f>IFERROR(__xludf.DUMMYFUNCTION("""COMPUTED_VALUE"""),"Real")</f>
        <v>Real</v>
      </c>
      <c r="G7789" s="8">
        <f t="shared" si="1"/>
        <v>9</v>
      </c>
      <c r="H7789" s="14">
        <f t="shared" si="2"/>
        <v>21</v>
      </c>
      <c r="I7789" s="15">
        <f t="shared" si="3"/>
        <v>13</v>
      </c>
    </row>
    <row r="7790">
      <c r="A7790" s="8" t="str">
        <f>IFERROR(__xludf.DUMMYFUNCTION("IF('(INGESTA)Datos_consumo_datadis'!A7790&lt;&gt;"""",SPLIT('(INGESTA)Datos_consumo_datadis'!A:A,"",""),"""")"),"ES0031408323131005HX0F")</f>
        <v>ES0031408323131005HX0F</v>
      </c>
      <c r="B7790" s="12">
        <f>IFERROR(__xludf.DUMMYFUNCTION("""COMPUTED_VALUE"""),45190.0)</f>
        <v>45190</v>
      </c>
      <c r="C7790" s="13">
        <f>IFERROR(__xludf.DUMMYFUNCTION("""COMPUTED_VALUE"""),0.5833333333333334)</f>
        <v>0.5833333333</v>
      </c>
      <c r="D7790" s="8">
        <f>IFERROR(__xludf.DUMMYFUNCTION("""COMPUTED_VALUE"""),0.041)</f>
        <v>0.041</v>
      </c>
      <c r="E7790" s="8" t="str">
        <f>IFERROR(__xludf.DUMMYFUNCTION("""COMPUTED_VALUE"""),"Real")</f>
        <v>Real</v>
      </c>
      <c r="G7790" s="8">
        <f t="shared" si="1"/>
        <v>9</v>
      </c>
      <c r="H7790" s="14">
        <f t="shared" si="2"/>
        <v>21</v>
      </c>
      <c r="I7790" s="15">
        <f t="shared" si="3"/>
        <v>14</v>
      </c>
    </row>
    <row r="7791">
      <c r="A7791" s="8" t="str">
        <f>IFERROR(__xludf.DUMMYFUNCTION("IF('(INGESTA)Datos_consumo_datadis'!A7791&lt;&gt;"""",SPLIT('(INGESTA)Datos_consumo_datadis'!A:A,"",""),"""")"),"ES0031408323131005HX0F")</f>
        <v>ES0031408323131005HX0F</v>
      </c>
      <c r="B7791" s="12">
        <f>IFERROR(__xludf.DUMMYFUNCTION("""COMPUTED_VALUE"""),45190.0)</f>
        <v>45190</v>
      </c>
      <c r="C7791" s="13">
        <f>IFERROR(__xludf.DUMMYFUNCTION("""COMPUTED_VALUE"""),0.625)</f>
        <v>0.625</v>
      </c>
      <c r="D7791" s="8">
        <f>IFERROR(__xludf.DUMMYFUNCTION("""COMPUTED_VALUE"""),0.129)</f>
        <v>0.129</v>
      </c>
      <c r="E7791" s="8" t="str">
        <f>IFERROR(__xludf.DUMMYFUNCTION("""COMPUTED_VALUE"""),"Real")</f>
        <v>Real</v>
      </c>
      <c r="G7791" s="8">
        <f t="shared" si="1"/>
        <v>9</v>
      </c>
      <c r="H7791" s="14">
        <f t="shared" si="2"/>
        <v>21</v>
      </c>
      <c r="I7791" s="15">
        <f t="shared" si="3"/>
        <v>15</v>
      </c>
    </row>
    <row r="7792">
      <c r="A7792" s="8" t="str">
        <f>IFERROR(__xludf.DUMMYFUNCTION("IF('(INGESTA)Datos_consumo_datadis'!A7792&lt;&gt;"""",SPLIT('(INGESTA)Datos_consumo_datadis'!A:A,"",""),"""")"),"ES0031408323131005HX0F")</f>
        <v>ES0031408323131005HX0F</v>
      </c>
      <c r="B7792" s="12">
        <f>IFERROR(__xludf.DUMMYFUNCTION("""COMPUTED_VALUE"""),45190.0)</f>
        <v>45190</v>
      </c>
      <c r="C7792" s="13">
        <f>IFERROR(__xludf.DUMMYFUNCTION("""COMPUTED_VALUE"""),0.6666666666666666)</f>
        <v>0.6666666667</v>
      </c>
      <c r="D7792" s="8">
        <f>IFERROR(__xludf.DUMMYFUNCTION("""COMPUTED_VALUE"""),0.129)</f>
        <v>0.129</v>
      </c>
      <c r="E7792" s="8" t="str">
        <f>IFERROR(__xludf.DUMMYFUNCTION("""COMPUTED_VALUE"""),"Real")</f>
        <v>Real</v>
      </c>
      <c r="G7792" s="8">
        <f t="shared" si="1"/>
        <v>9</v>
      </c>
      <c r="H7792" s="14">
        <f t="shared" si="2"/>
        <v>21</v>
      </c>
      <c r="I7792" s="15">
        <f t="shared" si="3"/>
        <v>16</v>
      </c>
    </row>
    <row r="7793">
      <c r="A7793" s="8" t="str">
        <f>IFERROR(__xludf.DUMMYFUNCTION("IF('(INGESTA)Datos_consumo_datadis'!A7793&lt;&gt;"""",SPLIT('(INGESTA)Datos_consumo_datadis'!A:A,"",""),"""")"),"ES0031408323131005HX0F")</f>
        <v>ES0031408323131005HX0F</v>
      </c>
      <c r="B7793" s="12">
        <f>IFERROR(__xludf.DUMMYFUNCTION("""COMPUTED_VALUE"""),45190.0)</f>
        <v>45190</v>
      </c>
      <c r="C7793" s="13">
        <f>IFERROR(__xludf.DUMMYFUNCTION("""COMPUTED_VALUE"""),0.7083333333333334)</f>
        <v>0.7083333333</v>
      </c>
      <c r="D7793" s="8">
        <f>IFERROR(__xludf.DUMMYFUNCTION("""COMPUTED_VALUE"""),0.087)</f>
        <v>0.087</v>
      </c>
      <c r="E7793" s="8" t="str">
        <f>IFERROR(__xludf.DUMMYFUNCTION("""COMPUTED_VALUE"""),"Real")</f>
        <v>Real</v>
      </c>
      <c r="G7793" s="8">
        <f t="shared" si="1"/>
        <v>9</v>
      </c>
      <c r="H7793" s="14">
        <f t="shared" si="2"/>
        <v>21</v>
      </c>
      <c r="I7793" s="15">
        <f t="shared" si="3"/>
        <v>17</v>
      </c>
    </row>
    <row r="7794">
      <c r="A7794" s="8" t="str">
        <f>IFERROR(__xludf.DUMMYFUNCTION("IF('(INGESTA)Datos_consumo_datadis'!A7794&lt;&gt;"""",SPLIT('(INGESTA)Datos_consumo_datadis'!A:A,"",""),"""")"),"ES0031408323131005HX0F")</f>
        <v>ES0031408323131005HX0F</v>
      </c>
      <c r="B7794" s="12">
        <f>IFERROR(__xludf.DUMMYFUNCTION("""COMPUTED_VALUE"""),45190.0)</f>
        <v>45190</v>
      </c>
      <c r="C7794" s="13">
        <f>IFERROR(__xludf.DUMMYFUNCTION("""COMPUTED_VALUE"""),0.75)</f>
        <v>0.75</v>
      </c>
      <c r="D7794" s="8">
        <f>IFERROR(__xludf.DUMMYFUNCTION("""COMPUTED_VALUE"""),0.341)</f>
        <v>0.341</v>
      </c>
      <c r="E7794" s="8" t="str">
        <f>IFERROR(__xludf.DUMMYFUNCTION("""COMPUTED_VALUE"""),"Real")</f>
        <v>Real</v>
      </c>
      <c r="G7794" s="8">
        <f t="shared" si="1"/>
        <v>9</v>
      </c>
      <c r="H7794" s="14">
        <f t="shared" si="2"/>
        <v>21</v>
      </c>
      <c r="I7794" s="15">
        <f t="shared" si="3"/>
        <v>18</v>
      </c>
    </row>
    <row r="7795">
      <c r="A7795" s="8" t="str">
        <f>IFERROR(__xludf.DUMMYFUNCTION("IF('(INGESTA)Datos_consumo_datadis'!A7795&lt;&gt;"""",SPLIT('(INGESTA)Datos_consumo_datadis'!A:A,"",""),"""")"),"ES0031408323131005HX0F")</f>
        <v>ES0031408323131005HX0F</v>
      </c>
      <c r="B7795" s="12">
        <f>IFERROR(__xludf.DUMMYFUNCTION("""COMPUTED_VALUE"""),45190.0)</f>
        <v>45190</v>
      </c>
      <c r="C7795" s="13">
        <f>IFERROR(__xludf.DUMMYFUNCTION("""COMPUTED_VALUE"""),0.7916666666666666)</f>
        <v>0.7916666667</v>
      </c>
      <c r="D7795" s="8">
        <f>IFERROR(__xludf.DUMMYFUNCTION("""COMPUTED_VALUE"""),0.027)</f>
        <v>0.027</v>
      </c>
      <c r="E7795" s="8" t="str">
        <f>IFERROR(__xludf.DUMMYFUNCTION("""COMPUTED_VALUE"""),"Real")</f>
        <v>Real</v>
      </c>
      <c r="G7795" s="8">
        <f t="shared" si="1"/>
        <v>9</v>
      </c>
      <c r="H7795" s="14">
        <f t="shared" si="2"/>
        <v>21</v>
      </c>
      <c r="I7795" s="15">
        <f t="shared" si="3"/>
        <v>19</v>
      </c>
    </row>
    <row r="7796">
      <c r="A7796" s="8" t="str">
        <f>IFERROR(__xludf.DUMMYFUNCTION("IF('(INGESTA)Datos_consumo_datadis'!A7796&lt;&gt;"""",SPLIT('(INGESTA)Datos_consumo_datadis'!A:A,"",""),"""")"),"ES0031408323131005HX0F")</f>
        <v>ES0031408323131005HX0F</v>
      </c>
      <c r="B7796" s="12">
        <f>IFERROR(__xludf.DUMMYFUNCTION("""COMPUTED_VALUE"""),45190.0)</f>
        <v>45190</v>
      </c>
      <c r="C7796" s="13">
        <f>IFERROR(__xludf.DUMMYFUNCTION("""COMPUTED_VALUE"""),0.8333333333333334)</f>
        <v>0.8333333333</v>
      </c>
      <c r="D7796" s="8">
        <f>IFERROR(__xludf.DUMMYFUNCTION("""COMPUTED_VALUE"""),0.045)</f>
        <v>0.045</v>
      </c>
      <c r="E7796" s="8" t="str">
        <f>IFERROR(__xludf.DUMMYFUNCTION("""COMPUTED_VALUE"""),"Real")</f>
        <v>Real</v>
      </c>
      <c r="G7796" s="8">
        <f t="shared" si="1"/>
        <v>9</v>
      </c>
      <c r="H7796" s="14">
        <f t="shared" si="2"/>
        <v>21</v>
      </c>
      <c r="I7796" s="15">
        <f t="shared" si="3"/>
        <v>20</v>
      </c>
    </row>
    <row r="7797">
      <c r="A7797" s="8" t="str">
        <f>IFERROR(__xludf.DUMMYFUNCTION("IF('(INGESTA)Datos_consumo_datadis'!A7797&lt;&gt;"""",SPLIT('(INGESTA)Datos_consumo_datadis'!A:A,"",""),"""")"),"ES0031408323131005HX0F")</f>
        <v>ES0031408323131005HX0F</v>
      </c>
      <c r="B7797" s="12">
        <f>IFERROR(__xludf.DUMMYFUNCTION("""COMPUTED_VALUE"""),45190.0)</f>
        <v>45190</v>
      </c>
      <c r="C7797" s="13">
        <f>IFERROR(__xludf.DUMMYFUNCTION("""COMPUTED_VALUE"""),0.875)</f>
        <v>0.875</v>
      </c>
      <c r="D7797" s="8">
        <f>IFERROR(__xludf.DUMMYFUNCTION("""COMPUTED_VALUE"""),0.133)</f>
        <v>0.133</v>
      </c>
      <c r="E7797" s="8" t="str">
        <f>IFERROR(__xludf.DUMMYFUNCTION("""COMPUTED_VALUE"""),"Real")</f>
        <v>Real</v>
      </c>
      <c r="G7797" s="8">
        <f t="shared" si="1"/>
        <v>9</v>
      </c>
      <c r="H7797" s="14">
        <f t="shared" si="2"/>
        <v>21</v>
      </c>
      <c r="I7797" s="15">
        <f t="shared" si="3"/>
        <v>21</v>
      </c>
    </row>
    <row r="7798">
      <c r="A7798" s="8" t="str">
        <f>IFERROR(__xludf.DUMMYFUNCTION("IF('(INGESTA)Datos_consumo_datadis'!A7798&lt;&gt;"""",SPLIT('(INGESTA)Datos_consumo_datadis'!A:A,"",""),"""")"),"ES0031408323131005HX0F")</f>
        <v>ES0031408323131005HX0F</v>
      </c>
      <c r="B7798" s="12">
        <f>IFERROR(__xludf.DUMMYFUNCTION("""COMPUTED_VALUE"""),45190.0)</f>
        <v>45190</v>
      </c>
      <c r="C7798" s="13">
        <f>IFERROR(__xludf.DUMMYFUNCTION("""COMPUTED_VALUE"""),0.9166666666666666)</f>
        <v>0.9166666667</v>
      </c>
      <c r="D7798" s="8">
        <f>IFERROR(__xludf.DUMMYFUNCTION("""COMPUTED_VALUE"""),0.105)</f>
        <v>0.105</v>
      </c>
      <c r="E7798" s="8" t="str">
        <f>IFERROR(__xludf.DUMMYFUNCTION("""COMPUTED_VALUE"""),"Real")</f>
        <v>Real</v>
      </c>
      <c r="G7798" s="8">
        <f t="shared" si="1"/>
        <v>9</v>
      </c>
      <c r="H7798" s="14">
        <f t="shared" si="2"/>
        <v>21</v>
      </c>
      <c r="I7798" s="15">
        <f t="shared" si="3"/>
        <v>22</v>
      </c>
    </row>
    <row r="7799">
      <c r="A7799" s="8" t="str">
        <f>IFERROR(__xludf.DUMMYFUNCTION("IF('(INGESTA)Datos_consumo_datadis'!A7799&lt;&gt;"""",SPLIT('(INGESTA)Datos_consumo_datadis'!A:A,"",""),"""")"),"ES0031408323131005HX0F")</f>
        <v>ES0031408323131005HX0F</v>
      </c>
      <c r="B7799" s="12">
        <f>IFERROR(__xludf.DUMMYFUNCTION("""COMPUTED_VALUE"""),45190.0)</f>
        <v>45190</v>
      </c>
      <c r="C7799" s="13">
        <f>IFERROR(__xludf.DUMMYFUNCTION("""COMPUTED_VALUE"""),0.9583333333333334)</f>
        <v>0.9583333333</v>
      </c>
      <c r="D7799" s="8">
        <f>IFERROR(__xludf.DUMMYFUNCTION("""COMPUTED_VALUE"""),0.102)</f>
        <v>0.102</v>
      </c>
      <c r="E7799" s="8" t="str">
        <f>IFERROR(__xludf.DUMMYFUNCTION("""COMPUTED_VALUE"""),"Real")</f>
        <v>Real</v>
      </c>
      <c r="G7799" s="8">
        <f t="shared" si="1"/>
        <v>9</v>
      </c>
      <c r="H7799" s="14">
        <f t="shared" si="2"/>
        <v>21</v>
      </c>
      <c r="I7799" s="15">
        <f t="shared" si="3"/>
        <v>23</v>
      </c>
    </row>
    <row r="7800">
      <c r="A7800" s="8" t="str">
        <f>IFERROR(__xludf.DUMMYFUNCTION("IF('(INGESTA)Datos_consumo_datadis'!A7800&lt;&gt;"""",SPLIT('(INGESTA)Datos_consumo_datadis'!A:A,"",""),"""")"),"ES0031408323131005HX0F")</f>
        <v>ES0031408323131005HX0F</v>
      </c>
      <c r="B7800" s="12">
        <f>IFERROR(__xludf.DUMMYFUNCTION("""COMPUTED_VALUE"""),45190.0)</f>
        <v>45190</v>
      </c>
      <c r="C7800" s="16">
        <f>IFERROR(__xludf.DUMMYFUNCTION("""COMPUTED_VALUE"""),1.0)</f>
        <v>1</v>
      </c>
      <c r="D7800" s="8">
        <f>IFERROR(__xludf.DUMMYFUNCTION("""COMPUTED_VALUE"""),0.062)</f>
        <v>0.062</v>
      </c>
      <c r="E7800" s="8" t="str">
        <f>IFERROR(__xludf.DUMMYFUNCTION("""COMPUTED_VALUE"""),"Real")</f>
        <v>Real</v>
      </c>
      <c r="G7800" s="8">
        <f t="shared" si="1"/>
        <v>9</v>
      </c>
      <c r="H7800" s="14">
        <f t="shared" si="2"/>
        <v>21</v>
      </c>
      <c r="I7800" s="15">
        <f t="shared" si="3"/>
        <v>0</v>
      </c>
    </row>
    <row r="7801">
      <c r="A7801" s="8" t="str">
        <f>IFERROR(__xludf.DUMMYFUNCTION("IF('(INGESTA)Datos_consumo_datadis'!A7801&lt;&gt;"""",SPLIT('(INGESTA)Datos_consumo_datadis'!A:A,"",""),"""")"),"ES0031408323131005HX0F")</f>
        <v>ES0031408323131005HX0F</v>
      </c>
      <c r="B7801" s="12">
        <f>IFERROR(__xludf.DUMMYFUNCTION("""COMPUTED_VALUE"""),45191.0)</f>
        <v>45191</v>
      </c>
      <c r="C7801" s="13">
        <f>IFERROR(__xludf.DUMMYFUNCTION("""COMPUTED_VALUE"""),0.041666666666666664)</f>
        <v>0.04166666667</v>
      </c>
      <c r="D7801" s="8">
        <f>IFERROR(__xludf.DUMMYFUNCTION("""COMPUTED_VALUE"""),0.318)</f>
        <v>0.318</v>
      </c>
      <c r="E7801" s="8" t="str">
        <f>IFERROR(__xludf.DUMMYFUNCTION("""COMPUTED_VALUE"""),"Real")</f>
        <v>Real</v>
      </c>
      <c r="G7801" s="8">
        <f t="shared" si="1"/>
        <v>9</v>
      </c>
      <c r="H7801" s="14">
        <f t="shared" si="2"/>
        <v>22</v>
      </c>
      <c r="I7801" s="15">
        <f t="shared" si="3"/>
        <v>1</v>
      </c>
    </row>
    <row r="7802">
      <c r="A7802" s="8" t="str">
        <f>IFERROR(__xludf.DUMMYFUNCTION("IF('(INGESTA)Datos_consumo_datadis'!A7802&lt;&gt;"""",SPLIT('(INGESTA)Datos_consumo_datadis'!A:A,"",""),"""")"),"ES0031408323131005HX0F")</f>
        <v>ES0031408323131005HX0F</v>
      </c>
      <c r="B7802" s="12">
        <f>IFERROR(__xludf.DUMMYFUNCTION("""COMPUTED_VALUE"""),45191.0)</f>
        <v>45191</v>
      </c>
      <c r="C7802" s="13">
        <f>IFERROR(__xludf.DUMMYFUNCTION("""COMPUTED_VALUE"""),0.08333333333333333)</f>
        <v>0.08333333333</v>
      </c>
      <c r="D7802" s="8">
        <f>IFERROR(__xludf.DUMMYFUNCTION("""COMPUTED_VALUE"""),0.068)</f>
        <v>0.068</v>
      </c>
      <c r="E7802" s="8" t="str">
        <f>IFERROR(__xludf.DUMMYFUNCTION("""COMPUTED_VALUE"""),"Real")</f>
        <v>Real</v>
      </c>
      <c r="G7802" s="8">
        <f t="shared" si="1"/>
        <v>9</v>
      </c>
      <c r="H7802" s="14">
        <f t="shared" si="2"/>
        <v>22</v>
      </c>
      <c r="I7802" s="15">
        <f t="shared" si="3"/>
        <v>2</v>
      </c>
    </row>
    <row r="7803">
      <c r="A7803" s="8" t="str">
        <f>IFERROR(__xludf.DUMMYFUNCTION("IF('(INGESTA)Datos_consumo_datadis'!A7803&lt;&gt;"""",SPLIT('(INGESTA)Datos_consumo_datadis'!A:A,"",""),"""")"),"ES0031408323131005HX0F")</f>
        <v>ES0031408323131005HX0F</v>
      </c>
      <c r="B7803" s="12">
        <f>IFERROR(__xludf.DUMMYFUNCTION("""COMPUTED_VALUE"""),45191.0)</f>
        <v>45191</v>
      </c>
      <c r="C7803" s="13">
        <f>IFERROR(__xludf.DUMMYFUNCTION("""COMPUTED_VALUE"""),0.125)</f>
        <v>0.125</v>
      </c>
      <c r="D7803" s="8">
        <f>IFERROR(__xludf.DUMMYFUNCTION("""COMPUTED_VALUE"""),0.131)</f>
        <v>0.131</v>
      </c>
      <c r="E7803" s="8" t="str">
        <f>IFERROR(__xludf.DUMMYFUNCTION("""COMPUTED_VALUE"""),"Real")</f>
        <v>Real</v>
      </c>
      <c r="G7803" s="8">
        <f t="shared" si="1"/>
        <v>9</v>
      </c>
      <c r="H7803" s="14">
        <f t="shared" si="2"/>
        <v>22</v>
      </c>
      <c r="I7803" s="15">
        <f t="shared" si="3"/>
        <v>3</v>
      </c>
    </row>
    <row r="7804">
      <c r="A7804" s="8" t="str">
        <f>IFERROR(__xludf.DUMMYFUNCTION("IF('(INGESTA)Datos_consumo_datadis'!A7804&lt;&gt;"""",SPLIT('(INGESTA)Datos_consumo_datadis'!A:A,"",""),"""")"),"ES0031408323131005HX0F")</f>
        <v>ES0031408323131005HX0F</v>
      </c>
      <c r="B7804" s="12">
        <f>IFERROR(__xludf.DUMMYFUNCTION("""COMPUTED_VALUE"""),45191.0)</f>
        <v>45191</v>
      </c>
      <c r="C7804" s="13">
        <f>IFERROR(__xludf.DUMMYFUNCTION("""COMPUTED_VALUE"""),0.16666666666666666)</f>
        <v>0.1666666667</v>
      </c>
      <c r="D7804" s="8">
        <f>IFERROR(__xludf.DUMMYFUNCTION("""COMPUTED_VALUE"""),0.101)</f>
        <v>0.101</v>
      </c>
      <c r="E7804" s="8" t="str">
        <f>IFERROR(__xludf.DUMMYFUNCTION("""COMPUTED_VALUE"""),"Real")</f>
        <v>Real</v>
      </c>
      <c r="G7804" s="8">
        <f t="shared" si="1"/>
        <v>9</v>
      </c>
      <c r="H7804" s="14">
        <f t="shared" si="2"/>
        <v>22</v>
      </c>
      <c r="I7804" s="15">
        <f t="shared" si="3"/>
        <v>4</v>
      </c>
    </row>
    <row r="7805">
      <c r="A7805" s="8" t="str">
        <f>IFERROR(__xludf.DUMMYFUNCTION("IF('(INGESTA)Datos_consumo_datadis'!A7805&lt;&gt;"""",SPLIT('(INGESTA)Datos_consumo_datadis'!A:A,"",""),"""")"),"ES0031408323131005HX0F")</f>
        <v>ES0031408323131005HX0F</v>
      </c>
      <c r="B7805" s="12">
        <f>IFERROR(__xludf.DUMMYFUNCTION("""COMPUTED_VALUE"""),45191.0)</f>
        <v>45191</v>
      </c>
      <c r="C7805" s="13">
        <f>IFERROR(__xludf.DUMMYFUNCTION("""COMPUTED_VALUE"""),0.20833333333333334)</f>
        <v>0.2083333333</v>
      </c>
      <c r="D7805" s="8">
        <f>IFERROR(__xludf.DUMMYFUNCTION("""COMPUTED_VALUE"""),0.102)</f>
        <v>0.102</v>
      </c>
      <c r="E7805" s="8" t="str">
        <f>IFERROR(__xludf.DUMMYFUNCTION("""COMPUTED_VALUE"""),"Real")</f>
        <v>Real</v>
      </c>
      <c r="G7805" s="8">
        <f t="shared" si="1"/>
        <v>9</v>
      </c>
      <c r="H7805" s="14">
        <f t="shared" si="2"/>
        <v>22</v>
      </c>
      <c r="I7805" s="15">
        <f t="shared" si="3"/>
        <v>5</v>
      </c>
    </row>
    <row r="7806">
      <c r="A7806" s="8" t="str">
        <f>IFERROR(__xludf.DUMMYFUNCTION("IF('(INGESTA)Datos_consumo_datadis'!A7806&lt;&gt;"""",SPLIT('(INGESTA)Datos_consumo_datadis'!A:A,"",""),"""")"),"ES0031408323131005HX0F")</f>
        <v>ES0031408323131005HX0F</v>
      </c>
      <c r="B7806" s="12">
        <f>IFERROR(__xludf.DUMMYFUNCTION("""COMPUTED_VALUE"""),45191.0)</f>
        <v>45191</v>
      </c>
      <c r="C7806" s="13">
        <f>IFERROR(__xludf.DUMMYFUNCTION("""COMPUTED_VALUE"""),0.25)</f>
        <v>0.25</v>
      </c>
      <c r="D7806" s="8">
        <f>IFERROR(__xludf.DUMMYFUNCTION("""COMPUTED_VALUE"""),0.04)</f>
        <v>0.04</v>
      </c>
      <c r="E7806" s="8" t="str">
        <f>IFERROR(__xludf.DUMMYFUNCTION("""COMPUTED_VALUE"""),"Real")</f>
        <v>Real</v>
      </c>
      <c r="G7806" s="8">
        <f t="shared" si="1"/>
        <v>9</v>
      </c>
      <c r="H7806" s="14">
        <f t="shared" si="2"/>
        <v>22</v>
      </c>
      <c r="I7806" s="15">
        <f t="shared" si="3"/>
        <v>6</v>
      </c>
    </row>
    <row r="7807">
      <c r="A7807" s="8" t="str">
        <f>IFERROR(__xludf.DUMMYFUNCTION("IF('(INGESTA)Datos_consumo_datadis'!A7807&lt;&gt;"""",SPLIT('(INGESTA)Datos_consumo_datadis'!A:A,"",""),"""")"),"ES0031408323131005HX0F")</f>
        <v>ES0031408323131005HX0F</v>
      </c>
      <c r="B7807" s="12">
        <f>IFERROR(__xludf.DUMMYFUNCTION("""COMPUTED_VALUE"""),45191.0)</f>
        <v>45191</v>
      </c>
      <c r="C7807" s="13">
        <f>IFERROR(__xludf.DUMMYFUNCTION("""COMPUTED_VALUE"""),0.2916666666666667)</f>
        <v>0.2916666667</v>
      </c>
      <c r="D7807" s="8">
        <f>IFERROR(__xludf.DUMMYFUNCTION("""COMPUTED_VALUE"""),0.028)</f>
        <v>0.028</v>
      </c>
      <c r="E7807" s="8" t="str">
        <f>IFERROR(__xludf.DUMMYFUNCTION("""COMPUTED_VALUE"""),"Real")</f>
        <v>Real</v>
      </c>
      <c r="G7807" s="8">
        <f t="shared" si="1"/>
        <v>9</v>
      </c>
      <c r="H7807" s="14">
        <f t="shared" si="2"/>
        <v>22</v>
      </c>
      <c r="I7807" s="15">
        <f t="shared" si="3"/>
        <v>7</v>
      </c>
    </row>
    <row r="7808">
      <c r="A7808" s="8" t="str">
        <f>IFERROR(__xludf.DUMMYFUNCTION("IF('(INGESTA)Datos_consumo_datadis'!A7808&lt;&gt;"""",SPLIT('(INGESTA)Datos_consumo_datadis'!A:A,"",""),"""")"),"ES0031408323131005HX0F")</f>
        <v>ES0031408323131005HX0F</v>
      </c>
      <c r="B7808" s="12">
        <f>IFERROR(__xludf.DUMMYFUNCTION("""COMPUTED_VALUE"""),45191.0)</f>
        <v>45191</v>
      </c>
      <c r="C7808" s="13">
        <f>IFERROR(__xludf.DUMMYFUNCTION("""COMPUTED_VALUE"""),0.3333333333333333)</f>
        <v>0.3333333333</v>
      </c>
      <c r="D7808" s="8">
        <f>IFERROR(__xludf.DUMMYFUNCTION("""COMPUTED_VALUE"""),0.092)</f>
        <v>0.092</v>
      </c>
      <c r="E7808" s="8" t="str">
        <f>IFERROR(__xludf.DUMMYFUNCTION("""COMPUTED_VALUE"""),"Real")</f>
        <v>Real</v>
      </c>
      <c r="G7808" s="8">
        <f t="shared" si="1"/>
        <v>9</v>
      </c>
      <c r="H7808" s="14">
        <f t="shared" si="2"/>
        <v>22</v>
      </c>
      <c r="I7808" s="15">
        <f t="shared" si="3"/>
        <v>8</v>
      </c>
    </row>
    <row r="7809">
      <c r="A7809" s="8" t="str">
        <f>IFERROR(__xludf.DUMMYFUNCTION("IF('(INGESTA)Datos_consumo_datadis'!A7809&lt;&gt;"""",SPLIT('(INGESTA)Datos_consumo_datadis'!A:A,"",""),"""")"),"ES0031408323131005HX0F")</f>
        <v>ES0031408323131005HX0F</v>
      </c>
      <c r="B7809" s="12">
        <f>IFERROR(__xludf.DUMMYFUNCTION("""COMPUTED_VALUE"""),45191.0)</f>
        <v>45191</v>
      </c>
      <c r="C7809" s="13">
        <f>IFERROR(__xludf.DUMMYFUNCTION("""COMPUTED_VALUE"""),0.375)</f>
        <v>0.375</v>
      </c>
      <c r="D7809" s="8">
        <f>IFERROR(__xludf.DUMMYFUNCTION("""COMPUTED_VALUE"""),0.416)</f>
        <v>0.416</v>
      </c>
      <c r="E7809" s="8" t="str">
        <f>IFERROR(__xludf.DUMMYFUNCTION("""COMPUTED_VALUE"""),"Real")</f>
        <v>Real</v>
      </c>
      <c r="G7809" s="8">
        <f t="shared" si="1"/>
        <v>9</v>
      </c>
      <c r="H7809" s="14">
        <f t="shared" si="2"/>
        <v>22</v>
      </c>
      <c r="I7809" s="15">
        <f t="shared" si="3"/>
        <v>9</v>
      </c>
    </row>
    <row r="7810">
      <c r="A7810" s="8" t="str">
        <f>IFERROR(__xludf.DUMMYFUNCTION("IF('(INGESTA)Datos_consumo_datadis'!A7810&lt;&gt;"""",SPLIT('(INGESTA)Datos_consumo_datadis'!A:A,"",""),"""")"),"ES0031408323131005HX0F")</f>
        <v>ES0031408323131005HX0F</v>
      </c>
      <c r="B7810" s="12">
        <f>IFERROR(__xludf.DUMMYFUNCTION("""COMPUTED_VALUE"""),45191.0)</f>
        <v>45191</v>
      </c>
      <c r="C7810" s="13">
        <f>IFERROR(__xludf.DUMMYFUNCTION("""COMPUTED_VALUE"""),0.4166666666666667)</f>
        <v>0.4166666667</v>
      </c>
      <c r="D7810" s="8">
        <f>IFERROR(__xludf.DUMMYFUNCTION("""COMPUTED_VALUE"""),0.102)</f>
        <v>0.102</v>
      </c>
      <c r="E7810" s="8" t="str">
        <f>IFERROR(__xludf.DUMMYFUNCTION("""COMPUTED_VALUE"""),"Real")</f>
        <v>Real</v>
      </c>
      <c r="G7810" s="8">
        <f t="shared" si="1"/>
        <v>9</v>
      </c>
      <c r="H7810" s="14">
        <f t="shared" si="2"/>
        <v>22</v>
      </c>
      <c r="I7810" s="15">
        <f t="shared" si="3"/>
        <v>10</v>
      </c>
    </row>
    <row r="7811">
      <c r="A7811" s="8" t="str">
        <f>IFERROR(__xludf.DUMMYFUNCTION("IF('(INGESTA)Datos_consumo_datadis'!A7811&lt;&gt;"""",SPLIT('(INGESTA)Datos_consumo_datadis'!A:A,"",""),"""")"),"ES0031408323131005HX0F")</f>
        <v>ES0031408323131005HX0F</v>
      </c>
      <c r="B7811" s="12">
        <f>IFERROR(__xludf.DUMMYFUNCTION("""COMPUTED_VALUE"""),45191.0)</f>
        <v>45191</v>
      </c>
      <c r="C7811" s="13">
        <f>IFERROR(__xludf.DUMMYFUNCTION("""COMPUTED_VALUE"""),0.4583333333333333)</f>
        <v>0.4583333333</v>
      </c>
      <c r="D7811" s="8">
        <f>IFERROR(__xludf.DUMMYFUNCTION("""COMPUTED_VALUE"""),0.078)</f>
        <v>0.078</v>
      </c>
      <c r="E7811" s="8" t="str">
        <f>IFERROR(__xludf.DUMMYFUNCTION("""COMPUTED_VALUE"""),"Real")</f>
        <v>Real</v>
      </c>
      <c r="G7811" s="8">
        <f t="shared" si="1"/>
        <v>9</v>
      </c>
      <c r="H7811" s="14">
        <f t="shared" si="2"/>
        <v>22</v>
      </c>
      <c r="I7811" s="15">
        <f t="shared" si="3"/>
        <v>11</v>
      </c>
    </row>
    <row r="7812">
      <c r="A7812" s="8" t="str">
        <f>IFERROR(__xludf.DUMMYFUNCTION("IF('(INGESTA)Datos_consumo_datadis'!A7812&lt;&gt;"""",SPLIT('(INGESTA)Datos_consumo_datadis'!A:A,"",""),"""")"),"ES0031408323131005HX0F")</f>
        <v>ES0031408323131005HX0F</v>
      </c>
      <c r="B7812" s="12">
        <f>IFERROR(__xludf.DUMMYFUNCTION("""COMPUTED_VALUE"""),45191.0)</f>
        <v>45191</v>
      </c>
      <c r="C7812" s="13">
        <f>IFERROR(__xludf.DUMMYFUNCTION("""COMPUTED_VALUE"""),0.5)</f>
        <v>0.5</v>
      </c>
      <c r="D7812" s="8">
        <f>IFERROR(__xludf.DUMMYFUNCTION("""COMPUTED_VALUE"""),0.054)</f>
        <v>0.054</v>
      </c>
      <c r="E7812" s="8" t="str">
        <f>IFERROR(__xludf.DUMMYFUNCTION("""COMPUTED_VALUE"""),"Real")</f>
        <v>Real</v>
      </c>
      <c r="G7812" s="8">
        <f t="shared" si="1"/>
        <v>9</v>
      </c>
      <c r="H7812" s="14">
        <f t="shared" si="2"/>
        <v>22</v>
      </c>
      <c r="I7812" s="15">
        <f t="shared" si="3"/>
        <v>12</v>
      </c>
    </row>
    <row r="7813">
      <c r="A7813" s="8" t="str">
        <f>IFERROR(__xludf.DUMMYFUNCTION("IF('(INGESTA)Datos_consumo_datadis'!A7813&lt;&gt;"""",SPLIT('(INGESTA)Datos_consumo_datadis'!A:A,"",""),"""")"),"ES0031408323131005HX0F")</f>
        <v>ES0031408323131005HX0F</v>
      </c>
      <c r="B7813" s="12">
        <f>IFERROR(__xludf.DUMMYFUNCTION("""COMPUTED_VALUE"""),45191.0)</f>
        <v>45191</v>
      </c>
      <c r="C7813" s="13">
        <f>IFERROR(__xludf.DUMMYFUNCTION("""COMPUTED_VALUE"""),0.5416666666666666)</f>
        <v>0.5416666667</v>
      </c>
      <c r="D7813" s="8">
        <f>IFERROR(__xludf.DUMMYFUNCTION("""COMPUTED_VALUE"""),0.009)</f>
        <v>0.009</v>
      </c>
      <c r="E7813" s="8" t="str">
        <f>IFERROR(__xludf.DUMMYFUNCTION("""COMPUTED_VALUE"""),"Real")</f>
        <v>Real</v>
      </c>
      <c r="G7813" s="8">
        <f t="shared" si="1"/>
        <v>9</v>
      </c>
      <c r="H7813" s="14">
        <f t="shared" si="2"/>
        <v>22</v>
      </c>
      <c r="I7813" s="15">
        <f t="shared" si="3"/>
        <v>13</v>
      </c>
    </row>
    <row r="7814">
      <c r="A7814" s="8" t="str">
        <f>IFERROR(__xludf.DUMMYFUNCTION("IF('(INGESTA)Datos_consumo_datadis'!A7814&lt;&gt;"""",SPLIT('(INGESTA)Datos_consumo_datadis'!A:A,"",""),"""")"),"ES0031408323131005HX0F")</f>
        <v>ES0031408323131005HX0F</v>
      </c>
      <c r="B7814" s="12">
        <f>IFERROR(__xludf.DUMMYFUNCTION("""COMPUTED_VALUE"""),45191.0)</f>
        <v>45191</v>
      </c>
      <c r="C7814" s="13">
        <f>IFERROR(__xludf.DUMMYFUNCTION("""COMPUTED_VALUE"""),0.5833333333333334)</f>
        <v>0.5833333333</v>
      </c>
      <c r="D7814" s="8">
        <f>IFERROR(__xludf.DUMMYFUNCTION("""COMPUTED_VALUE"""),0.112)</f>
        <v>0.112</v>
      </c>
      <c r="E7814" s="8" t="str">
        <f>IFERROR(__xludf.DUMMYFUNCTION("""COMPUTED_VALUE"""),"Real")</f>
        <v>Real</v>
      </c>
      <c r="G7814" s="8">
        <f t="shared" si="1"/>
        <v>9</v>
      </c>
      <c r="H7814" s="14">
        <f t="shared" si="2"/>
        <v>22</v>
      </c>
      <c r="I7814" s="15">
        <f t="shared" si="3"/>
        <v>14</v>
      </c>
    </row>
    <row r="7815">
      <c r="A7815" s="8" t="str">
        <f>IFERROR(__xludf.DUMMYFUNCTION("IF('(INGESTA)Datos_consumo_datadis'!A7815&lt;&gt;"""",SPLIT('(INGESTA)Datos_consumo_datadis'!A:A,"",""),"""")"),"ES0031408323131005HX0F")</f>
        <v>ES0031408323131005HX0F</v>
      </c>
      <c r="B7815" s="12">
        <f>IFERROR(__xludf.DUMMYFUNCTION("""COMPUTED_VALUE"""),45191.0)</f>
        <v>45191</v>
      </c>
      <c r="C7815" s="13">
        <f>IFERROR(__xludf.DUMMYFUNCTION("""COMPUTED_VALUE"""),0.625)</f>
        <v>0.625</v>
      </c>
      <c r="D7815" s="8">
        <f>IFERROR(__xludf.DUMMYFUNCTION("""COMPUTED_VALUE"""),0.17)</f>
        <v>0.17</v>
      </c>
      <c r="E7815" s="8" t="str">
        <f>IFERROR(__xludf.DUMMYFUNCTION("""COMPUTED_VALUE"""),"Real")</f>
        <v>Real</v>
      </c>
      <c r="G7815" s="8">
        <f t="shared" si="1"/>
        <v>9</v>
      </c>
      <c r="H7815" s="14">
        <f t="shared" si="2"/>
        <v>22</v>
      </c>
      <c r="I7815" s="15">
        <f t="shared" si="3"/>
        <v>15</v>
      </c>
    </row>
    <row r="7816">
      <c r="A7816" s="8" t="str">
        <f>IFERROR(__xludf.DUMMYFUNCTION("IF('(INGESTA)Datos_consumo_datadis'!A7816&lt;&gt;"""",SPLIT('(INGESTA)Datos_consumo_datadis'!A:A,"",""),"""")"),"ES0031408323131005HX0F")</f>
        <v>ES0031408323131005HX0F</v>
      </c>
      <c r="B7816" s="12">
        <f>IFERROR(__xludf.DUMMYFUNCTION("""COMPUTED_VALUE"""),45191.0)</f>
        <v>45191</v>
      </c>
      <c r="C7816" s="13">
        <f>IFERROR(__xludf.DUMMYFUNCTION("""COMPUTED_VALUE"""),0.6666666666666666)</f>
        <v>0.6666666667</v>
      </c>
      <c r="D7816" s="8">
        <f>IFERROR(__xludf.DUMMYFUNCTION("""COMPUTED_VALUE"""),0.354)</f>
        <v>0.354</v>
      </c>
      <c r="E7816" s="8" t="str">
        <f>IFERROR(__xludf.DUMMYFUNCTION("""COMPUTED_VALUE"""),"Real")</f>
        <v>Real</v>
      </c>
      <c r="G7816" s="8">
        <f t="shared" si="1"/>
        <v>9</v>
      </c>
      <c r="H7816" s="14">
        <f t="shared" si="2"/>
        <v>22</v>
      </c>
      <c r="I7816" s="15">
        <f t="shared" si="3"/>
        <v>16</v>
      </c>
    </row>
    <row r="7817">
      <c r="A7817" s="8" t="str">
        <f>IFERROR(__xludf.DUMMYFUNCTION("IF('(INGESTA)Datos_consumo_datadis'!A7817&lt;&gt;"""",SPLIT('(INGESTA)Datos_consumo_datadis'!A:A,"",""),"""")"),"ES0031408323131005HX0F")</f>
        <v>ES0031408323131005HX0F</v>
      </c>
      <c r="B7817" s="12">
        <f>IFERROR(__xludf.DUMMYFUNCTION("""COMPUTED_VALUE"""),45191.0)</f>
        <v>45191</v>
      </c>
      <c r="C7817" s="13">
        <f>IFERROR(__xludf.DUMMYFUNCTION("""COMPUTED_VALUE"""),0.7083333333333334)</f>
        <v>0.7083333333</v>
      </c>
      <c r="D7817" s="8">
        <f>IFERROR(__xludf.DUMMYFUNCTION("""COMPUTED_VALUE"""),0.245)</f>
        <v>0.245</v>
      </c>
      <c r="E7817" s="8" t="str">
        <f>IFERROR(__xludf.DUMMYFUNCTION("""COMPUTED_VALUE"""),"Real")</f>
        <v>Real</v>
      </c>
      <c r="G7817" s="8">
        <f t="shared" si="1"/>
        <v>9</v>
      </c>
      <c r="H7817" s="14">
        <f t="shared" si="2"/>
        <v>22</v>
      </c>
      <c r="I7817" s="15">
        <f t="shared" si="3"/>
        <v>17</v>
      </c>
    </row>
    <row r="7818">
      <c r="A7818" s="8" t="str">
        <f>IFERROR(__xludf.DUMMYFUNCTION("IF('(INGESTA)Datos_consumo_datadis'!A7818&lt;&gt;"""",SPLIT('(INGESTA)Datos_consumo_datadis'!A:A,"",""),"""")"),"ES0031408323131005HX0F")</f>
        <v>ES0031408323131005HX0F</v>
      </c>
      <c r="B7818" s="12">
        <f>IFERROR(__xludf.DUMMYFUNCTION("""COMPUTED_VALUE"""),45191.0)</f>
        <v>45191</v>
      </c>
      <c r="C7818" s="13">
        <f>IFERROR(__xludf.DUMMYFUNCTION("""COMPUTED_VALUE"""),0.75)</f>
        <v>0.75</v>
      </c>
      <c r="D7818" s="8">
        <f>IFERROR(__xludf.DUMMYFUNCTION("""COMPUTED_VALUE"""),0.359)</f>
        <v>0.359</v>
      </c>
      <c r="E7818" s="8" t="str">
        <f>IFERROR(__xludf.DUMMYFUNCTION("""COMPUTED_VALUE"""),"Real")</f>
        <v>Real</v>
      </c>
      <c r="G7818" s="8">
        <f t="shared" si="1"/>
        <v>9</v>
      </c>
      <c r="H7818" s="14">
        <f t="shared" si="2"/>
        <v>22</v>
      </c>
      <c r="I7818" s="15">
        <f t="shared" si="3"/>
        <v>18</v>
      </c>
    </row>
    <row r="7819">
      <c r="A7819" s="8" t="str">
        <f>IFERROR(__xludf.DUMMYFUNCTION("IF('(INGESTA)Datos_consumo_datadis'!A7819&lt;&gt;"""",SPLIT('(INGESTA)Datos_consumo_datadis'!A:A,"",""),"""")"),"ES0031408323131005HX0F")</f>
        <v>ES0031408323131005HX0F</v>
      </c>
      <c r="B7819" s="12">
        <f>IFERROR(__xludf.DUMMYFUNCTION("""COMPUTED_VALUE"""),45191.0)</f>
        <v>45191</v>
      </c>
      <c r="C7819" s="13">
        <f>IFERROR(__xludf.DUMMYFUNCTION("""COMPUTED_VALUE"""),0.7916666666666666)</f>
        <v>0.7916666667</v>
      </c>
      <c r="D7819" s="8">
        <f>IFERROR(__xludf.DUMMYFUNCTION("""COMPUTED_VALUE"""),0.107)</f>
        <v>0.107</v>
      </c>
      <c r="E7819" s="8" t="str">
        <f>IFERROR(__xludf.DUMMYFUNCTION("""COMPUTED_VALUE"""),"Real")</f>
        <v>Real</v>
      </c>
      <c r="G7819" s="8">
        <f t="shared" si="1"/>
        <v>9</v>
      </c>
      <c r="H7819" s="14">
        <f t="shared" si="2"/>
        <v>22</v>
      </c>
      <c r="I7819" s="15">
        <f t="shared" si="3"/>
        <v>19</v>
      </c>
    </row>
    <row r="7820">
      <c r="A7820" s="8" t="str">
        <f>IFERROR(__xludf.DUMMYFUNCTION("IF('(INGESTA)Datos_consumo_datadis'!A7820&lt;&gt;"""",SPLIT('(INGESTA)Datos_consumo_datadis'!A:A,"",""),"""")"),"ES0031408323131005HX0F")</f>
        <v>ES0031408323131005HX0F</v>
      </c>
      <c r="B7820" s="12">
        <f>IFERROR(__xludf.DUMMYFUNCTION("""COMPUTED_VALUE"""),45191.0)</f>
        <v>45191</v>
      </c>
      <c r="C7820" s="13">
        <f>IFERROR(__xludf.DUMMYFUNCTION("""COMPUTED_VALUE"""),0.8333333333333334)</f>
        <v>0.8333333333</v>
      </c>
      <c r="D7820" s="8">
        <f>IFERROR(__xludf.DUMMYFUNCTION("""COMPUTED_VALUE"""),0.074)</f>
        <v>0.074</v>
      </c>
      <c r="E7820" s="8" t="str">
        <f>IFERROR(__xludf.DUMMYFUNCTION("""COMPUTED_VALUE"""),"Real")</f>
        <v>Real</v>
      </c>
      <c r="G7820" s="8">
        <f t="shared" si="1"/>
        <v>9</v>
      </c>
      <c r="H7820" s="14">
        <f t="shared" si="2"/>
        <v>22</v>
      </c>
      <c r="I7820" s="15">
        <f t="shared" si="3"/>
        <v>20</v>
      </c>
    </row>
    <row r="7821">
      <c r="A7821" s="8" t="str">
        <f>IFERROR(__xludf.DUMMYFUNCTION("IF('(INGESTA)Datos_consumo_datadis'!A7821&lt;&gt;"""",SPLIT('(INGESTA)Datos_consumo_datadis'!A:A,"",""),"""")"),"ES0031408323131005HX0F")</f>
        <v>ES0031408323131005HX0F</v>
      </c>
      <c r="B7821" s="12">
        <f>IFERROR(__xludf.DUMMYFUNCTION("""COMPUTED_VALUE"""),45191.0)</f>
        <v>45191</v>
      </c>
      <c r="C7821" s="13">
        <f>IFERROR(__xludf.DUMMYFUNCTION("""COMPUTED_VALUE"""),0.875)</f>
        <v>0.875</v>
      </c>
      <c r="D7821" s="8">
        <f>IFERROR(__xludf.DUMMYFUNCTION("""COMPUTED_VALUE"""),0.055)</f>
        <v>0.055</v>
      </c>
      <c r="E7821" s="8" t="str">
        <f>IFERROR(__xludf.DUMMYFUNCTION("""COMPUTED_VALUE"""),"Real")</f>
        <v>Real</v>
      </c>
      <c r="G7821" s="8">
        <f t="shared" si="1"/>
        <v>9</v>
      </c>
      <c r="H7821" s="14">
        <f t="shared" si="2"/>
        <v>22</v>
      </c>
      <c r="I7821" s="15">
        <f t="shared" si="3"/>
        <v>21</v>
      </c>
    </row>
    <row r="7822">
      <c r="A7822" s="8" t="str">
        <f>IFERROR(__xludf.DUMMYFUNCTION("IF('(INGESTA)Datos_consumo_datadis'!A7822&lt;&gt;"""",SPLIT('(INGESTA)Datos_consumo_datadis'!A:A,"",""),"""")"),"ES0031408323131005HX0F")</f>
        <v>ES0031408323131005HX0F</v>
      </c>
      <c r="B7822" s="12">
        <f>IFERROR(__xludf.DUMMYFUNCTION("""COMPUTED_VALUE"""),45191.0)</f>
        <v>45191</v>
      </c>
      <c r="C7822" s="13">
        <f>IFERROR(__xludf.DUMMYFUNCTION("""COMPUTED_VALUE"""),0.9166666666666666)</f>
        <v>0.9166666667</v>
      </c>
      <c r="D7822" s="8">
        <f>IFERROR(__xludf.DUMMYFUNCTION("""COMPUTED_VALUE"""),0.11)</f>
        <v>0.11</v>
      </c>
      <c r="E7822" s="8" t="str">
        <f>IFERROR(__xludf.DUMMYFUNCTION("""COMPUTED_VALUE"""),"Real")</f>
        <v>Real</v>
      </c>
      <c r="G7822" s="8">
        <f t="shared" si="1"/>
        <v>9</v>
      </c>
      <c r="H7822" s="14">
        <f t="shared" si="2"/>
        <v>22</v>
      </c>
      <c r="I7822" s="15">
        <f t="shared" si="3"/>
        <v>22</v>
      </c>
    </row>
    <row r="7823">
      <c r="A7823" s="8" t="str">
        <f>IFERROR(__xludf.DUMMYFUNCTION("IF('(INGESTA)Datos_consumo_datadis'!A7823&lt;&gt;"""",SPLIT('(INGESTA)Datos_consumo_datadis'!A:A,"",""),"""")"),"ES0031408323131005HX0F")</f>
        <v>ES0031408323131005HX0F</v>
      </c>
      <c r="B7823" s="12">
        <f>IFERROR(__xludf.DUMMYFUNCTION("""COMPUTED_VALUE"""),45191.0)</f>
        <v>45191</v>
      </c>
      <c r="C7823" s="13">
        <f>IFERROR(__xludf.DUMMYFUNCTION("""COMPUTED_VALUE"""),0.9583333333333334)</f>
        <v>0.9583333333</v>
      </c>
      <c r="D7823" s="8">
        <f>IFERROR(__xludf.DUMMYFUNCTION("""COMPUTED_VALUE"""),0.341)</f>
        <v>0.341</v>
      </c>
      <c r="E7823" s="8" t="str">
        <f>IFERROR(__xludf.DUMMYFUNCTION("""COMPUTED_VALUE"""),"Real")</f>
        <v>Real</v>
      </c>
      <c r="G7823" s="8">
        <f t="shared" si="1"/>
        <v>9</v>
      </c>
      <c r="H7823" s="14">
        <f t="shared" si="2"/>
        <v>22</v>
      </c>
      <c r="I7823" s="15">
        <f t="shared" si="3"/>
        <v>23</v>
      </c>
    </row>
    <row r="7824">
      <c r="A7824" s="8" t="str">
        <f>IFERROR(__xludf.DUMMYFUNCTION("IF('(INGESTA)Datos_consumo_datadis'!A7824&lt;&gt;"""",SPLIT('(INGESTA)Datos_consumo_datadis'!A:A,"",""),"""")"),"ES0031408323131005HX0F")</f>
        <v>ES0031408323131005HX0F</v>
      </c>
      <c r="B7824" s="12">
        <f>IFERROR(__xludf.DUMMYFUNCTION("""COMPUTED_VALUE"""),45191.0)</f>
        <v>45191</v>
      </c>
      <c r="C7824" s="16">
        <f>IFERROR(__xludf.DUMMYFUNCTION("""COMPUTED_VALUE"""),1.0)</f>
        <v>1</v>
      </c>
      <c r="D7824" s="8">
        <f>IFERROR(__xludf.DUMMYFUNCTION("""COMPUTED_VALUE"""),0.201)</f>
        <v>0.201</v>
      </c>
      <c r="E7824" s="8" t="str">
        <f>IFERROR(__xludf.DUMMYFUNCTION("""COMPUTED_VALUE"""),"Real")</f>
        <v>Real</v>
      </c>
      <c r="G7824" s="8">
        <f t="shared" si="1"/>
        <v>9</v>
      </c>
      <c r="H7824" s="14">
        <f t="shared" si="2"/>
        <v>22</v>
      </c>
      <c r="I7824" s="15">
        <f t="shared" si="3"/>
        <v>0</v>
      </c>
    </row>
    <row r="7825">
      <c r="A7825" s="8" t="str">
        <f>IFERROR(__xludf.DUMMYFUNCTION("IF('(INGESTA)Datos_consumo_datadis'!A7825&lt;&gt;"""",SPLIT('(INGESTA)Datos_consumo_datadis'!A:A,"",""),"""")"),"ES0031408323131005HX0F")</f>
        <v>ES0031408323131005HX0F</v>
      </c>
      <c r="B7825" s="12">
        <f>IFERROR(__xludf.DUMMYFUNCTION("""COMPUTED_VALUE"""),45192.0)</f>
        <v>45192</v>
      </c>
      <c r="C7825" s="13">
        <f>IFERROR(__xludf.DUMMYFUNCTION("""COMPUTED_VALUE"""),0.041666666666666664)</f>
        <v>0.04166666667</v>
      </c>
      <c r="D7825" s="8">
        <f>IFERROR(__xludf.DUMMYFUNCTION("""COMPUTED_VALUE"""),0.112)</f>
        <v>0.112</v>
      </c>
      <c r="E7825" s="8" t="str">
        <f>IFERROR(__xludf.DUMMYFUNCTION("""COMPUTED_VALUE"""),"Real")</f>
        <v>Real</v>
      </c>
      <c r="G7825" s="8">
        <f t="shared" si="1"/>
        <v>9</v>
      </c>
      <c r="H7825" s="14">
        <f t="shared" si="2"/>
        <v>23</v>
      </c>
      <c r="I7825" s="15">
        <f t="shared" si="3"/>
        <v>1</v>
      </c>
    </row>
    <row r="7826">
      <c r="A7826" s="8" t="str">
        <f>IFERROR(__xludf.DUMMYFUNCTION("IF('(INGESTA)Datos_consumo_datadis'!A7826&lt;&gt;"""",SPLIT('(INGESTA)Datos_consumo_datadis'!A:A,"",""),"""")"),"ES0031408323131005HX0F")</f>
        <v>ES0031408323131005HX0F</v>
      </c>
      <c r="B7826" s="12">
        <f>IFERROR(__xludf.DUMMYFUNCTION("""COMPUTED_VALUE"""),45192.0)</f>
        <v>45192</v>
      </c>
      <c r="C7826" s="13">
        <f>IFERROR(__xludf.DUMMYFUNCTION("""COMPUTED_VALUE"""),0.08333333333333333)</f>
        <v>0.08333333333</v>
      </c>
      <c r="D7826" s="8">
        <f>IFERROR(__xludf.DUMMYFUNCTION("""COMPUTED_VALUE"""),0.09)</f>
        <v>0.09</v>
      </c>
      <c r="E7826" s="8" t="str">
        <f>IFERROR(__xludf.DUMMYFUNCTION("""COMPUTED_VALUE"""),"Real")</f>
        <v>Real</v>
      </c>
      <c r="G7826" s="8">
        <f t="shared" si="1"/>
        <v>9</v>
      </c>
      <c r="H7826" s="14">
        <f t="shared" si="2"/>
        <v>23</v>
      </c>
      <c r="I7826" s="15">
        <f t="shared" si="3"/>
        <v>2</v>
      </c>
    </row>
    <row r="7827">
      <c r="A7827" s="8" t="str">
        <f>IFERROR(__xludf.DUMMYFUNCTION("IF('(INGESTA)Datos_consumo_datadis'!A7827&lt;&gt;"""",SPLIT('(INGESTA)Datos_consumo_datadis'!A:A,"",""),"""")"),"ES0031408323131005HX0F")</f>
        <v>ES0031408323131005HX0F</v>
      </c>
      <c r="B7827" s="12">
        <f>IFERROR(__xludf.DUMMYFUNCTION("""COMPUTED_VALUE"""),45192.0)</f>
        <v>45192</v>
      </c>
      <c r="C7827" s="13">
        <f>IFERROR(__xludf.DUMMYFUNCTION("""COMPUTED_VALUE"""),0.125)</f>
        <v>0.125</v>
      </c>
      <c r="D7827" s="8">
        <f>IFERROR(__xludf.DUMMYFUNCTION("""COMPUTED_VALUE"""),0.1)</f>
        <v>0.1</v>
      </c>
      <c r="E7827" s="8" t="str">
        <f>IFERROR(__xludf.DUMMYFUNCTION("""COMPUTED_VALUE"""),"Real")</f>
        <v>Real</v>
      </c>
      <c r="G7827" s="8">
        <f t="shared" si="1"/>
        <v>9</v>
      </c>
      <c r="H7827" s="14">
        <f t="shared" si="2"/>
        <v>23</v>
      </c>
      <c r="I7827" s="15">
        <f t="shared" si="3"/>
        <v>3</v>
      </c>
    </row>
    <row r="7828">
      <c r="A7828" s="8" t="str">
        <f>IFERROR(__xludf.DUMMYFUNCTION("IF('(INGESTA)Datos_consumo_datadis'!A7828&lt;&gt;"""",SPLIT('(INGESTA)Datos_consumo_datadis'!A:A,"",""),"""")"),"ES0031408323131005HX0F")</f>
        <v>ES0031408323131005HX0F</v>
      </c>
      <c r="B7828" s="12">
        <f>IFERROR(__xludf.DUMMYFUNCTION("""COMPUTED_VALUE"""),45192.0)</f>
        <v>45192</v>
      </c>
      <c r="C7828" s="13">
        <f>IFERROR(__xludf.DUMMYFUNCTION("""COMPUTED_VALUE"""),0.16666666666666666)</f>
        <v>0.1666666667</v>
      </c>
      <c r="D7828" s="8">
        <f>IFERROR(__xludf.DUMMYFUNCTION("""COMPUTED_VALUE"""),0.024)</f>
        <v>0.024</v>
      </c>
      <c r="E7828" s="8" t="str">
        <f>IFERROR(__xludf.DUMMYFUNCTION("""COMPUTED_VALUE"""),"Real")</f>
        <v>Real</v>
      </c>
      <c r="G7828" s="8">
        <f t="shared" si="1"/>
        <v>9</v>
      </c>
      <c r="H7828" s="14">
        <f t="shared" si="2"/>
        <v>23</v>
      </c>
      <c r="I7828" s="15">
        <f t="shared" si="3"/>
        <v>4</v>
      </c>
    </row>
    <row r="7829">
      <c r="A7829" s="8" t="str">
        <f>IFERROR(__xludf.DUMMYFUNCTION("IF('(INGESTA)Datos_consumo_datadis'!A7829&lt;&gt;"""",SPLIT('(INGESTA)Datos_consumo_datadis'!A:A,"",""),"""")"),"ES0031408323131005HX0F")</f>
        <v>ES0031408323131005HX0F</v>
      </c>
      <c r="B7829" s="12">
        <f>IFERROR(__xludf.DUMMYFUNCTION("""COMPUTED_VALUE"""),45192.0)</f>
        <v>45192</v>
      </c>
      <c r="C7829" s="13">
        <f>IFERROR(__xludf.DUMMYFUNCTION("""COMPUTED_VALUE"""),0.20833333333333334)</f>
        <v>0.2083333333</v>
      </c>
      <c r="D7829" s="8">
        <f>IFERROR(__xludf.DUMMYFUNCTION("""COMPUTED_VALUE"""),0.371)</f>
        <v>0.371</v>
      </c>
      <c r="E7829" s="8" t="str">
        <f>IFERROR(__xludf.DUMMYFUNCTION("""COMPUTED_VALUE"""),"Real")</f>
        <v>Real</v>
      </c>
      <c r="G7829" s="8">
        <f t="shared" si="1"/>
        <v>9</v>
      </c>
      <c r="H7829" s="14">
        <f t="shared" si="2"/>
        <v>23</v>
      </c>
      <c r="I7829" s="15">
        <f t="shared" si="3"/>
        <v>5</v>
      </c>
    </row>
    <row r="7830">
      <c r="A7830" s="8" t="str">
        <f>IFERROR(__xludf.DUMMYFUNCTION("IF('(INGESTA)Datos_consumo_datadis'!A7830&lt;&gt;"""",SPLIT('(INGESTA)Datos_consumo_datadis'!A:A,"",""),"""")"),"ES0031408323131005HX0F")</f>
        <v>ES0031408323131005HX0F</v>
      </c>
      <c r="B7830" s="12">
        <f>IFERROR(__xludf.DUMMYFUNCTION("""COMPUTED_VALUE"""),45192.0)</f>
        <v>45192</v>
      </c>
      <c r="C7830" s="13">
        <f>IFERROR(__xludf.DUMMYFUNCTION("""COMPUTED_VALUE"""),0.25)</f>
        <v>0.25</v>
      </c>
      <c r="D7830" s="8">
        <f>IFERROR(__xludf.DUMMYFUNCTION("""COMPUTED_VALUE"""),0.073)</f>
        <v>0.073</v>
      </c>
      <c r="E7830" s="8" t="str">
        <f>IFERROR(__xludf.DUMMYFUNCTION("""COMPUTED_VALUE"""),"Real")</f>
        <v>Real</v>
      </c>
      <c r="G7830" s="8">
        <f t="shared" si="1"/>
        <v>9</v>
      </c>
      <c r="H7830" s="14">
        <f t="shared" si="2"/>
        <v>23</v>
      </c>
      <c r="I7830" s="15">
        <f t="shared" si="3"/>
        <v>6</v>
      </c>
    </row>
    <row r="7831">
      <c r="A7831" s="8" t="str">
        <f>IFERROR(__xludf.DUMMYFUNCTION("IF('(INGESTA)Datos_consumo_datadis'!A7831&lt;&gt;"""",SPLIT('(INGESTA)Datos_consumo_datadis'!A:A,"",""),"""")"),"ES0031408323131005HX0F")</f>
        <v>ES0031408323131005HX0F</v>
      </c>
      <c r="B7831" s="12">
        <f>IFERROR(__xludf.DUMMYFUNCTION("""COMPUTED_VALUE"""),45192.0)</f>
        <v>45192</v>
      </c>
      <c r="C7831" s="13">
        <f>IFERROR(__xludf.DUMMYFUNCTION("""COMPUTED_VALUE"""),0.2916666666666667)</f>
        <v>0.2916666667</v>
      </c>
      <c r="D7831" s="8">
        <f>IFERROR(__xludf.DUMMYFUNCTION("""COMPUTED_VALUE"""),0.058)</f>
        <v>0.058</v>
      </c>
      <c r="E7831" s="8" t="str">
        <f>IFERROR(__xludf.DUMMYFUNCTION("""COMPUTED_VALUE"""),"Real")</f>
        <v>Real</v>
      </c>
      <c r="G7831" s="8">
        <f t="shared" si="1"/>
        <v>9</v>
      </c>
      <c r="H7831" s="14">
        <f t="shared" si="2"/>
        <v>23</v>
      </c>
      <c r="I7831" s="15">
        <f t="shared" si="3"/>
        <v>7</v>
      </c>
    </row>
    <row r="7832">
      <c r="A7832" s="8" t="str">
        <f>IFERROR(__xludf.DUMMYFUNCTION("IF('(INGESTA)Datos_consumo_datadis'!A7832&lt;&gt;"""",SPLIT('(INGESTA)Datos_consumo_datadis'!A:A,"",""),"""")"),"ES0031408323131005HX0F")</f>
        <v>ES0031408323131005HX0F</v>
      </c>
      <c r="B7832" s="12">
        <f>IFERROR(__xludf.DUMMYFUNCTION("""COMPUTED_VALUE"""),45192.0)</f>
        <v>45192</v>
      </c>
      <c r="C7832" s="13">
        <f>IFERROR(__xludf.DUMMYFUNCTION("""COMPUTED_VALUE"""),0.3333333333333333)</f>
        <v>0.3333333333</v>
      </c>
      <c r="D7832" s="8">
        <f>IFERROR(__xludf.DUMMYFUNCTION("""COMPUTED_VALUE"""),0.031)</f>
        <v>0.031</v>
      </c>
      <c r="E7832" s="8" t="str">
        <f>IFERROR(__xludf.DUMMYFUNCTION("""COMPUTED_VALUE"""),"Real")</f>
        <v>Real</v>
      </c>
      <c r="G7832" s="8">
        <f t="shared" si="1"/>
        <v>9</v>
      </c>
      <c r="H7832" s="14">
        <f t="shared" si="2"/>
        <v>23</v>
      </c>
      <c r="I7832" s="15">
        <f t="shared" si="3"/>
        <v>8</v>
      </c>
    </row>
    <row r="7833">
      <c r="A7833" s="8" t="str">
        <f>IFERROR(__xludf.DUMMYFUNCTION("IF('(INGESTA)Datos_consumo_datadis'!A7833&lt;&gt;"""",SPLIT('(INGESTA)Datos_consumo_datadis'!A:A,"",""),"""")"),"ES0031408323131005HX0F")</f>
        <v>ES0031408323131005HX0F</v>
      </c>
      <c r="B7833" s="12">
        <f>IFERROR(__xludf.DUMMYFUNCTION("""COMPUTED_VALUE"""),45192.0)</f>
        <v>45192</v>
      </c>
      <c r="C7833" s="13">
        <f>IFERROR(__xludf.DUMMYFUNCTION("""COMPUTED_VALUE"""),0.375)</f>
        <v>0.375</v>
      </c>
      <c r="D7833" s="8">
        <f>IFERROR(__xludf.DUMMYFUNCTION("""COMPUTED_VALUE"""),0.17)</f>
        <v>0.17</v>
      </c>
      <c r="E7833" s="8" t="str">
        <f>IFERROR(__xludf.DUMMYFUNCTION("""COMPUTED_VALUE"""),"Real")</f>
        <v>Real</v>
      </c>
      <c r="G7833" s="8">
        <f t="shared" si="1"/>
        <v>9</v>
      </c>
      <c r="H7833" s="14">
        <f t="shared" si="2"/>
        <v>23</v>
      </c>
      <c r="I7833" s="15">
        <f t="shared" si="3"/>
        <v>9</v>
      </c>
    </row>
    <row r="7834">
      <c r="A7834" s="8" t="str">
        <f>IFERROR(__xludf.DUMMYFUNCTION("IF('(INGESTA)Datos_consumo_datadis'!A7834&lt;&gt;"""",SPLIT('(INGESTA)Datos_consumo_datadis'!A:A,"",""),"""")"),"ES0031408323131005HX0F")</f>
        <v>ES0031408323131005HX0F</v>
      </c>
      <c r="B7834" s="12">
        <f>IFERROR(__xludf.DUMMYFUNCTION("""COMPUTED_VALUE"""),45192.0)</f>
        <v>45192</v>
      </c>
      <c r="C7834" s="13">
        <f>IFERROR(__xludf.DUMMYFUNCTION("""COMPUTED_VALUE"""),0.4166666666666667)</f>
        <v>0.4166666667</v>
      </c>
      <c r="D7834" s="8">
        <f>IFERROR(__xludf.DUMMYFUNCTION("""COMPUTED_VALUE"""),0.352)</f>
        <v>0.352</v>
      </c>
      <c r="E7834" s="8" t="str">
        <f>IFERROR(__xludf.DUMMYFUNCTION("""COMPUTED_VALUE"""),"Real")</f>
        <v>Real</v>
      </c>
      <c r="G7834" s="8">
        <f t="shared" si="1"/>
        <v>9</v>
      </c>
      <c r="H7834" s="14">
        <f t="shared" si="2"/>
        <v>23</v>
      </c>
      <c r="I7834" s="15">
        <f t="shared" si="3"/>
        <v>10</v>
      </c>
    </row>
    <row r="7835">
      <c r="A7835" s="8" t="str">
        <f>IFERROR(__xludf.DUMMYFUNCTION("IF('(INGESTA)Datos_consumo_datadis'!A7835&lt;&gt;"""",SPLIT('(INGESTA)Datos_consumo_datadis'!A:A,"",""),"""")"),"ES0031408323131005HX0F")</f>
        <v>ES0031408323131005HX0F</v>
      </c>
      <c r="B7835" s="12">
        <f>IFERROR(__xludf.DUMMYFUNCTION("""COMPUTED_VALUE"""),45192.0)</f>
        <v>45192</v>
      </c>
      <c r="C7835" s="13">
        <f>IFERROR(__xludf.DUMMYFUNCTION("""COMPUTED_VALUE"""),0.4583333333333333)</f>
        <v>0.4583333333</v>
      </c>
      <c r="D7835" s="8">
        <f>IFERROR(__xludf.DUMMYFUNCTION("""COMPUTED_VALUE"""),0.806)</f>
        <v>0.806</v>
      </c>
      <c r="E7835" s="8" t="str">
        <f>IFERROR(__xludf.DUMMYFUNCTION("""COMPUTED_VALUE"""),"Real")</f>
        <v>Real</v>
      </c>
      <c r="G7835" s="8">
        <f t="shared" si="1"/>
        <v>9</v>
      </c>
      <c r="H7835" s="14">
        <f t="shared" si="2"/>
        <v>23</v>
      </c>
      <c r="I7835" s="15">
        <f t="shared" si="3"/>
        <v>11</v>
      </c>
    </row>
    <row r="7836">
      <c r="A7836" s="8" t="str">
        <f>IFERROR(__xludf.DUMMYFUNCTION("IF('(INGESTA)Datos_consumo_datadis'!A7836&lt;&gt;"""",SPLIT('(INGESTA)Datos_consumo_datadis'!A:A,"",""),"""")"),"ES0031408323131005HX0F")</f>
        <v>ES0031408323131005HX0F</v>
      </c>
      <c r="B7836" s="12">
        <f>IFERROR(__xludf.DUMMYFUNCTION("""COMPUTED_VALUE"""),45192.0)</f>
        <v>45192</v>
      </c>
      <c r="C7836" s="13">
        <f>IFERROR(__xludf.DUMMYFUNCTION("""COMPUTED_VALUE"""),0.5)</f>
        <v>0.5</v>
      </c>
      <c r="D7836" s="8">
        <f>IFERROR(__xludf.DUMMYFUNCTION("""COMPUTED_VALUE"""),0.516)</f>
        <v>0.516</v>
      </c>
      <c r="E7836" s="8" t="str">
        <f>IFERROR(__xludf.DUMMYFUNCTION("""COMPUTED_VALUE"""),"Real")</f>
        <v>Real</v>
      </c>
      <c r="G7836" s="8">
        <f t="shared" si="1"/>
        <v>9</v>
      </c>
      <c r="H7836" s="14">
        <f t="shared" si="2"/>
        <v>23</v>
      </c>
      <c r="I7836" s="15">
        <f t="shared" si="3"/>
        <v>12</v>
      </c>
    </row>
    <row r="7837">
      <c r="A7837" s="8" t="str">
        <f>IFERROR(__xludf.DUMMYFUNCTION("IF('(INGESTA)Datos_consumo_datadis'!A7837&lt;&gt;"""",SPLIT('(INGESTA)Datos_consumo_datadis'!A:A,"",""),"""")"),"ES0031408323131005HX0F")</f>
        <v>ES0031408323131005HX0F</v>
      </c>
      <c r="B7837" s="12">
        <f>IFERROR(__xludf.DUMMYFUNCTION("""COMPUTED_VALUE"""),45192.0)</f>
        <v>45192</v>
      </c>
      <c r="C7837" s="13">
        <f>IFERROR(__xludf.DUMMYFUNCTION("""COMPUTED_VALUE"""),0.5416666666666666)</f>
        <v>0.5416666667</v>
      </c>
      <c r="D7837" s="8">
        <f>IFERROR(__xludf.DUMMYFUNCTION("""COMPUTED_VALUE"""),0.108)</f>
        <v>0.108</v>
      </c>
      <c r="E7837" s="8" t="str">
        <f>IFERROR(__xludf.DUMMYFUNCTION("""COMPUTED_VALUE"""),"Real")</f>
        <v>Real</v>
      </c>
      <c r="G7837" s="8">
        <f t="shared" si="1"/>
        <v>9</v>
      </c>
      <c r="H7837" s="14">
        <f t="shared" si="2"/>
        <v>23</v>
      </c>
      <c r="I7837" s="15">
        <f t="shared" si="3"/>
        <v>13</v>
      </c>
    </row>
    <row r="7838">
      <c r="A7838" s="8" t="str">
        <f>IFERROR(__xludf.DUMMYFUNCTION("IF('(INGESTA)Datos_consumo_datadis'!A7838&lt;&gt;"""",SPLIT('(INGESTA)Datos_consumo_datadis'!A:A,"",""),"""")"),"ES0031408323131005HX0F")</f>
        <v>ES0031408323131005HX0F</v>
      </c>
      <c r="B7838" s="12">
        <f>IFERROR(__xludf.DUMMYFUNCTION("""COMPUTED_VALUE"""),45192.0)</f>
        <v>45192</v>
      </c>
      <c r="C7838" s="13">
        <f>IFERROR(__xludf.DUMMYFUNCTION("""COMPUTED_VALUE"""),0.5833333333333334)</f>
        <v>0.5833333333</v>
      </c>
      <c r="D7838" s="8">
        <f>IFERROR(__xludf.DUMMYFUNCTION("""COMPUTED_VALUE"""),0.106)</f>
        <v>0.106</v>
      </c>
      <c r="E7838" s="8" t="str">
        <f>IFERROR(__xludf.DUMMYFUNCTION("""COMPUTED_VALUE"""),"Real")</f>
        <v>Real</v>
      </c>
      <c r="G7838" s="8">
        <f t="shared" si="1"/>
        <v>9</v>
      </c>
      <c r="H7838" s="14">
        <f t="shared" si="2"/>
        <v>23</v>
      </c>
      <c r="I7838" s="15">
        <f t="shared" si="3"/>
        <v>14</v>
      </c>
    </row>
    <row r="7839">
      <c r="A7839" s="8" t="str">
        <f>IFERROR(__xludf.DUMMYFUNCTION("IF('(INGESTA)Datos_consumo_datadis'!A7839&lt;&gt;"""",SPLIT('(INGESTA)Datos_consumo_datadis'!A:A,"",""),"""")"),"ES0031408323131005HX0F")</f>
        <v>ES0031408323131005HX0F</v>
      </c>
      <c r="B7839" s="12">
        <f>IFERROR(__xludf.DUMMYFUNCTION("""COMPUTED_VALUE"""),45192.0)</f>
        <v>45192</v>
      </c>
      <c r="C7839" s="13">
        <f>IFERROR(__xludf.DUMMYFUNCTION("""COMPUTED_VALUE"""),0.625)</f>
        <v>0.625</v>
      </c>
      <c r="D7839" s="8">
        <f>IFERROR(__xludf.DUMMYFUNCTION("""COMPUTED_VALUE"""),0.106)</f>
        <v>0.106</v>
      </c>
      <c r="E7839" s="8" t="str">
        <f>IFERROR(__xludf.DUMMYFUNCTION("""COMPUTED_VALUE"""),"Real")</f>
        <v>Real</v>
      </c>
      <c r="G7839" s="8">
        <f t="shared" si="1"/>
        <v>9</v>
      </c>
      <c r="H7839" s="14">
        <f t="shared" si="2"/>
        <v>23</v>
      </c>
      <c r="I7839" s="15">
        <f t="shared" si="3"/>
        <v>15</v>
      </c>
    </row>
    <row r="7840">
      <c r="A7840" s="8" t="str">
        <f>IFERROR(__xludf.DUMMYFUNCTION("IF('(INGESTA)Datos_consumo_datadis'!A7840&lt;&gt;"""",SPLIT('(INGESTA)Datos_consumo_datadis'!A:A,"",""),"""")"),"ES0031408323131005HX0F")</f>
        <v>ES0031408323131005HX0F</v>
      </c>
      <c r="B7840" s="12">
        <f>IFERROR(__xludf.DUMMYFUNCTION("""COMPUTED_VALUE"""),45192.0)</f>
        <v>45192</v>
      </c>
      <c r="C7840" s="13">
        <f>IFERROR(__xludf.DUMMYFUNCTION("""COMPUTED_VALUE"""),0.6666666666666666)</f>
        <v>0.6666666667</v>
      </c>
      <c r="D7840" s="8">
        <f>IFERROR(__xludf.DUMMYFUNCTION("""COMPUTED_VALUE"""),0.04)</f>
        <v>0.04</v>
      </c>
      <c r="E7840" s="8" t="str">
        <f>IFERROR(__xludf.DUMMYFUNCTION("""COMPUTED_VALUE"""),"Real")</f>
        <v>Real</v>
      </c>
      <c r="G7840" s="8">
        <f t="shared" si="1"/>
        <v>9</v>
      </c>
      <c r="H7840" s="14">
        <f t="shared" si="2"/>
        <v>23</v>
      </c>
      <c r="I7840" s="15">
        <f t="shared" si="3"/>
        <v>16</v>
      </c>
    </row>
    <row r="7841">
      <c r="A7841" s="8" t="str">
        <f>IFERROR(__xludf.DUMMYFUNCTION("IF('(INGESTA)Datos_consumo_datadis'!A7841&lt;&gt;"""",SPLIT('(INGESTA)Datos_consumo_datadis'!A:A,"",""),"""")"),"ES0031408323131005HX0F")</f>
        <v>ES0031408323131005HX0F</v>
      </c>
      <c r="B7841" s="12">
        <f>IFERROR(__xludf.DUMMYFUNCTION("""COMPUTED_VALUE"""),45192.0)</f>
        <v>45192</v>
      </c>
      <c r="C7841" s="13">
        <f>IFERROR(__xludf.DUMMYFUNCTION("""COMPUTED_VALUE"""),0.7083333333333334)</f>
        <v>0.7083333333</v>
      </c>
      <c r="D7841" s="8">
        <f>IFERROR(__xludf.DUMMYFUNCTION("""COMPUTED_VALUE"""),0.393)</f>
        <v>0.393</v>
      </c>
      <c r="E7841" s="8" t="str">
        <f>IFERROR(__xludf.DUMMYFUNCTION("""COMPUTED_VALUE"""),"Real")</f>
        <v>Real</v>
      </c>
      <c r="G7841" s="8">
        <f t="shared" si="1"/>
        <v>9</v>
      </c>
      <c r="H7841" s="14">
        <f t="shared" si="2"/>
        <v>23</v>
      </c>
      <c r="I7841" s="15">
        <f t="shared" si="3"/>
        <v>17</v>
      </c>
    </row>
    <row r="7842">
      <c r="A7842" s="8" t="str">
        <f>IFERROR(__xludf.DUMMYFUNCTION("IF('(INGESTA)Datos_consumo_datadis'!A7842&lt;&gt;"""",SPLIT('(INGESTA)Datos_consumo_datadis'!A:A,"",""),"""")"),"ES0031408323131005HX0F")</f>
        <v>ES0031408323131005HX0F</v>
      </c>
      <c r="B7842" s="12">
        <f>IFERROR(__xludf.DUMMYFUNCTION("""COMPUTED_VALUE"""),45192.0)</f>
        <v>45192</v>
      </c>
      <c r="C7842" s="13">
        <f>IFERROR(__xludf.DUMMYFUNCTION("""COMPUTED_VALUE"""),0.75)</f>
        <v>0.75</v>
      </c>
      <c r="D7842" s="8">
        <f>IFERROR(__xludf.DUMMYFUNCTION("""COMPUTED_VALUE"""),0.802)</f>
        <v>0.802</v>
      </c>
      <c r="E7842" s="8" t="str">
        <f>IFERROR(__xludf.DUMMYFUNCTION("""COMPUTED_VALUE"""),"Real")</f>
        <v>Real</v>
      </c>
      <c r="G7842" s="8">
        <f t="shared" si="1"/>
        <v>9</v>
      </c>
      <c r="H7842" s="14">
        <f t="shared" si="2"/>
        <v>23</v>
      </c>
      <c r="I7842" s="15">
        <f t="shared" si="3"/>
        <v>18</v>
      </c>
    </row>
    <row r="7843">
      <c r="A7843" s="8" t="str">
        <f>IFERROR(__xludf.DUMMYFUNCTION("IF('(INGESTA)Datos_consumo_datadis'!A7843&lt;&gt;"""",SPLIT('(INGESTA)Datos_consumo_datadis'!A:A,"",""),"""")"),"ES0031408323131005HX0F")</f>
        <v>ES0031408323131005HX0F</v>
      </c>
      <c r="B7843" s="12">
        <f>IFERROR(__xludf.DUMMYFUNCTION("""COMPUTED_VALUE"""),45192.0)</f>
        <v>45192</v>
      </c>
      <c r="C7843" s="13">
        <f>IFERROR(__xludf.DUMMYFUNCTION("""COMPUTED_VALUE"""),0.7916666666666666)</f>
        <v>0.7916666667</v>
      </c>
      <c r="D7843" s="8">
        <f>IFERROR(__xludf.DUMMYFUNCTION("""COMPUTED_VALUE"""),1.581)</f>
        <v>1.581</v>
      </c>
      <c r="E7843" s="8" t="str">
        <f>IFERROR(__xludf.DUMMYFUNCTION("""COMPUTED_VALUE"""),"Real")</f>
        <v>Real</v>
      </c>
      <c r="G7843" s="8">
        <f t="shared" si="1"/>
        <v>9</v>
      </c>
      <c r="H7843" s="14">
        <f t="shared" si="2"/>
        <v>23</v>
      </c>
      <c r="I7843" s="15">
        <f t="shared" si="3"/>
        <v>19</v>
      </c>
    </row>
    <row r="7844">
      <c r="A7844" s="8" t="str">
        <f>IFERROR(__xludf.DUMMYFUNCTION("IF('(INGESTA)Datos_consumo_datadis'!A7844&lt;&gt;"""",SPLIT('(INGESTA)Datos_consumo_datadis'!A:A,"",""),"""")"),"ES0031408323131005HX0F")</f>
        <v>ES0031408323131005HX0F</v>
      </c>
      <c r="B7844" s="12">
        <f>IFERROR(__xludf.DUMMYFUNCTION("""COMPUTED_VALUE"""),45192.0)</f>
        <v>45192</v>
      </c>
      <c r="C7844" s="13">
        <f>IFERROR(__xludf.DUMMYFUNCTION("""COMPUTED_VALUE"""),0.8333333333333334)</f>
        <v>0.8333333333</v>
      </c>
      <c r="D7844" s="8">
        <f>IFERROR(__xludf.DUMMYFUNCTION("""COMPUTED_VALUE"""),0.215)</f>
        <v>0.215</v>
      </c>
      <c r="E7844" s="8" t="str">
        <f>IFERROR(__xludf.DUMMYFUNCTION("""COMPUTED_VALUE"""),"Real")</f>
        <v>Real</v>
      </c>
      <c r="G7844" s="8">
        <f t="shared" si="1"/>
        <v>9</v>
      </c>
      <c r="H7844" s="14">
        <f t="shared" si="2"/>
        <v>23</v>
      </c>
      <c r="I7844" s="15">
        <f t="shared" si="3"/>
        <v>20</v>
      </c>
    </row>
    <row r="7845">
      <c r="A7845" s="8" t="str">
        <f>IFERROR(__xludf.DUMMYFUNCTION("IF('(INGESTA)Datos_consumo_datadis'!A7845&lt;&gt;"""",SPLIT('(INGESTA)Datos_consumo_datadis'!A:A,"",""),"""")"),"ES0031408323131005HX0F")</f>
        <v>ES0031408323131005HX0F</v>
      </c>
      <c r="B7845" s="12">
        <f>IFERROR(__xludf.DUMMYFUNCTION("""COMPUTED_VALUE"""),45192.0)</f>
        <v>45192</v>
      </c>
      <c r="C7845" s="13">
        <f>IFERROR(__xludf.DUMMYFUNCTION("""COMPUTED_VALUE"""),0.875)</f>
        <v>0.875</v>
      </c>
      <c r="D7845" s="8">
        <f>IFERROR(__xludf.DUMMYFUNCTION("""COMPUTED_VALUE"""),0.076)</f>
        <v>0.076</v>
      </c>
      <c r="E7845" s="8" t="str">
        <f>IFERROR(__xludf.DUMMYFUNCTION("""COMPUTED_VALUE"""),"Real")</f>
        <v>Real</v>
      </c>
      <c r="G7845" s="8">
        <f t="shared" si="1"/>
        <v>9</v>
      </c>
      <c r="H7845" s="14">
        <f t="shared" si="2"/>
        <v>23</v>
      </c>
      <c r="I7845" s="15">
        <f t="shared" si="3"/>
        <v>21</v>
      </c>
    </row>
    <row r="7846">
      <c r="A7846" s="8" t="str">
        <f>IFERROR(__xludf.DUMMYFUNCTION("IF('(INGESTA)Datos_consumo_datadis'!A7846&lt;&gt;"""",SPLIT('(INGESTA)Datos_consumo_datadis'!A:A,"",""),"""")"),"ES0031408323131005HX0F")</f>
        <v>ES0031408323131005HX0F</v>
      </c>
      <c r="B7846" s="12">
        <f>IFERROR(__xludf.DUMMYFUNCTION("""COMPUTED_VALUE"""),45192.0)</f>
        <v>45192</v>
      </c>
      <c r="C7846" s="13">
        <f>IFERROR(__xludf.DUMMYFUNCTION("""COMPUTED_VALUE"""),0.9166666666666666)</f>
        <v>0.9166666667</v>
      </c>
      <c r="D7846" s="8">
        <f>IFERROR(__xludf.DUMMYFUNCTION("""COMPUTED_VALUE"""),0.019)</f>
        <v>0.019</v>
      </c>
      <c r="E7846" s="8" t="str">
        <f>IFERROR(__xludf.DUMMYFUNCTION("""COMPUTED_VALUE"""),"Real")</f>
        <v>Real</v>
      </c>
      <c r="G7846" s="8">
        <f t="shared" si="1"/>
        <v>9</v>
      </c>
      <c r="H7846" s="14">
        <f t="shared" si="2"/>
        <v>23</v>
      </c>
      <c r="I7846" s="15">
        <f t="shared" si="3"/>
        <v>22</v>
      </c>
    </row>
    <row r="7847">
      <c r="A7847" s="8" t="str">
        <f>IFERROR(__xludf.DUMMYFUNCTION("IF('(INGESTA)Datos_consumo_datadis'!A7847&lt;&gt;"""",SPLIT('(INGESTA)Datos_consumo_datadis'!A:A,"",""),"""")"),"ES0031408323131005HX0F")</f>
        <v>ES0031408323131005HX0F</v>
      </c>
      <c r="B7847" s="12">
        <f>IFERROR(__xludf.DUMMYFUNCTION("""COMPUTED_VALUE"""),45192.0)</f>
        <v>45192</v>
      </c>
      <c r="C7847" s="13">
        <f>IFERROR(__xludf.DUMMYFUNCTION("""COMPUTED_VALUE"""),0.9583333333333334)</f>
        <v>0.9583333333</v>
      </c>
      <c r="D7847" s="8">
        <f>IFERROR(__xludf.DUMMYFUNCTION("""COMPUTED_VALUE"""),0.33)</f>
        <v>0.33</v>
      </c>
      <c r="E7847" s="8" t="str">
        <f>IFERROR(__xludf.DUMMYFUNCTION("""COMPUTED_VALUE"""),"Real")</f>
        <v>Real</v>
      </c>
      <c r="G7847" s="8">
        <f t="shared" si="1"/>
        <v>9</v>
      </c>
      <c r="H7847" s="14">
        <f t="shared" si="2"/>
        <v>23</v>
      </c>
      <c r="I7847" s="15">
        <f t="shared" si="3"/>
        <v>23</v>
      </c>
    </row>
    <row r="7848">
      <c r="A7848" s="8" t="str">
        <f>IFERROR(__xludf.DUMMYFUNCTION("IF('(INGESTA)Datos_consumo_datadis'!A7848&lt;&gt;"""",SPLIT('(INGESTA)Datos_consumo_datadis'!A:A,"",""),"""")"),"ES0031408323131005HX0F")</f>
        <v>ES0031408323131005HX0F</v>
      </c>
      <c r="B7848" s="12">
        <f>IFERROR(__xludf.DUMMYFUNCTION("""COMPUTED_VALUE"""),45192.0)</f>
        <v>45192</v>
      </c>
      <c r="C7848" s="16">
        <f>IFERROR(__xludf.DUMMYFUNCTION("""COMPUTED_VALUE"""),1.0)</f>
        <v>1</v>
      </c>
      <c r="D7848" s="8">
        <f>IFERROR(__xludf.DUMMYFUNCTION("""COMPUTED_VALUE"""),0.324)</f>
        <v>0.324</v>
      </c>
      <c r="E7848" s="8" t="str">
        <f>IFERROR(__xludf.DUMMYFUNCTION("""COMPUTED_VALUE"""),"Real")</f>
        <v>Real</v>
      </c>
      <c r="G7848" s="8">
        <f t="shared" si="1"/>
        <v>9</v>
      </c>
      <c r="H7848" s="14">
        <f t="shared" si="2"/>
        <v>23</v>
      </c>
      <c r="I7848" s="15">
        <f t="shared" si="3"/>
        <v>0</v>
      </c>
    </row>
    <row r="7849">
      <c r="A7849" s="8" t="str">
        <f>IFERROR(__xludf.DUMMYFUNCTION("IF('(INGESTA)Datos_consumo_datadis'!A7849&lt;&gt;"""",SPLIT('(INGESTA)Datos_consumo_datadis'!A:A,"",""),"""")"),"ES0031408323131005HX0F")</f>
        <v>ES0031408323131005HX0F</v>
      </c>
      <c r="B7849" s="12">
        <f>IFERROR(__xludf.DUMMYFUNCTION("""COMPUTED_VALUE"""),45193.0)</f>
        <v>45193</v>
      </c>
      <c r="C7849" s="13">
        <f>IFERROR(__xludf.DUMMYFUNCTION("""COMPUTED_VALUE"""),0.041666666666666664)</f>
        <v>0.04166666667</v>
      </c>
      <c r="D7849" s="8">
        <f>IFERROR(__xludf.DUMMYFUNCTION("""COMPUTED_VALUE"""),0.32)</f>
        <v>0.32</v>
      </c>
      <c r="E7849" s="8" t="str">
        <f>IFERROR(__xludf.DUMMYFUNCTION("""COMPUTED_VALUE"""),"Real")</f>
        <v>Real</v>
      </c>
      <c r="G7849" s="8">
        <f t="shared" si="1"/>
        <v>9</v>
      </c>
      <c r="H7849" s="14">
        <f t="shared" si="2"/>
        <v>24</v>
      </c>
      <c r="I7849" s="15">
        <f t="shared" si="3"/>
        <v>1</v>
      </c>
    </row>
    <row r="7850">
      <c r="A7850" s="8" t="str">
        <f>IFERROR(__xludf.DUMMYFUNCTION("IF('(INGESTA)Datos_consumo_datadis'!A7850&lt;&gt;"""",SPLIT('(INGESTA)Datos_consumo_datadis'!A:A,"",""),"""")"),"ES0031408323131005HX0F")</f>
        <v>ES0031408323131005HX0F</v>
      </c>
      <c r="B7850" s="12">
        <f>IFERROR(__xludf.DUMMYFUNCTION("""COMPUTED_VALUE"""),45193.0)</f>
        <v>45193</v>
      </c>
      <c r="C7850" s="13">
        <f>IFERROR(__xludf.DUMMYFUNCTION("""COMPUTED_VALUE"""),0.08333333333333333)</f>
        <v>0.08333333333</v>
      </c>
      <c r="D7850" s="8">
        <f>IFERROR(__xludf.DUMMYFUNCTION("""COMPUTED_VALUE"""),0.442)</f>
        <v>0.442</v>
      </c>
      <c r="E7850" s="8" t="str">
        <f>IFERROR(__xludf.DUMMYFUNCTION("""COMPUTED_VALUE"""),"Real")</f>
        <v>Real</v>
      </c>
      <c r="G7850" s="8">
        <f t="shared" si="1"/>
        <v>9</v>
      </c>
      <c r="H7850" s="14">
        <f t="shared" si="2"/>
        <v>24</v>
      </c>
      <c r="I7850" s="15">
        <f t="shared" si="3"/>
        <v>2</v>
      </c>
    </row>
    <row r="7851">
      <c r="A7851" s="8" t="str">
        <f>IFERROR(__xludf.DUMMYFUNCTION("IF('(INGESTA)Datos_consumo_datadis'!A7851&lt;&gt;"""",SPLIT('(INGESTA)Datos_consumo_datadis'!A:A,"",""),"""")"),"ES0031408323131005HX0F")</f>
        <v>ES0031408323131005HX0F</v>
      </c>
      <c r="B7851" s="12">
        <f>IFERROR(__xludf.DUMMYFUNCTION("""COMPUTED_VALUE"""),45193.0)</f>
        <v>45193</v>
      </c>
      <c r="C7851" s="13">
        <f>IFERROR(__xludf.DUMMYFUNCTION("""COMPUTED_VALUE"""),0.125)</f>
        <v>0.125</v>
      </c>
      <c r="D7851" s="8">
        <f>IFERROR(__xludf.DUMMYFUNCTION("""COMPUTED_VALUE"""),0.136)</f>
        <v>0.136</v>
      </c>
      <c r="E7851" s="8" t="str">
        <f>IFERROR(__xludf.DUMMYFUNCTION("""COMPUTED_VALUE"""),"Real")</f>
        <v>Real</v>
      </c>
      <c r="G7851" s="8">
        <f t="shared" si="1"/>
        <v>9</v>
      </c>
      <c r="H7851" s="14">
        <f t="shared" si="2"/>
        <v>24</v>
      </c>
      <c r="I7851" s="15">
        <f t="shared" si="3"/>
        <v>3</v>
      </c>
    </row>
    <row r="7852">
      <c r="A7852" s="8" t="str">
        <f>IFERROR(__xludf.DUMMYFUNCTION("IF('(INGESTA)Datos_consumo_datadis'!A7852&lt;&gt;"""",SPLIT('(INGESTA)Datos_consumo_datadis'!A:A,"",""),"""")"),"ES0031408323131005HX0F")</f>
        <v>ES0031408323131005HX0F</v>
      </c>
      <c r="B7852" s="12">
        <f>IFERROR(__xludf.DUMMYFUNCTION("""COMPUTED_VALUE"""),45193.0)</f>
        <v>45193</v>
      </c>
      <c r="C7852" s="13">
        <f>IFERROR(__xludf.DUMMYFUNCTION("""COMPUTED_VALUE"""),0.16666666666666666)</f>
        <v>0.1666666667</v>
      </c>
      <c r="D7852" s="8">
        <f>IFERROR(__xludf.DUMMYFUNCTION("""COMPUTED_VALUE"""),0.12)</f>
        <v>0.12</v>
      </c>
      <c r="E7852" s="8" t="str">
        <f>IFERROR(__xludf.DUMMYFUNCTION("""COMPUTED_VALUE"""),"Real")</f>
        <v>Real</v>
      </c>
      <c r="G7852" s="8">
        <f t="shared" si="1"/>
        <v>9</v>
      </c>
      <c r="H7852" s="14">
        <f t="shared" si="2"/>
        <v>24</v>
      </c>
      <c r="I7852" s="15">
        <f t="shared" si="3"/>
        <v>4</v>
      </c>
    </row>
    <row r="7853">
      <c r="A7853" s="8" t="str">
        <f>IFERROR(__xludf.DUMMYFUNCTION("IF('(INGESTA)Datos_consumo_datadis'!A7853&lt;&gt;"""",SPLIT('(INGESTA)Datos_consumo_datadis'!A:A,"",""),"""")"),"ES0031408323131005HX0F")</f>
        <v>ES0031408323131005HX0F</v>
      </c>
      <c r="B7853" s="12">
        <f>IFERROR(__xludf.DUMMYFUNCTION("""COMPUTED_VALUE"""),45193.0)</f>
        <v>45193</v>
      </c>
      <c r="C7853" s="13">
        <f>IFERROR(__xludf.DUMMYFUNCTION("""COMPUTED_VALUE"""),0.20833333333333334)</f>
        <v>0.2083333333</v>
      </c>
      <c r="D7853" s="8">
        <f>IFERROR(__xludf.DUMMYFUNCTION("""COMPUTED_VALUE"""),0.096)</f>
        <v>0.096</v>
      </c>
      <c r="E7853" s="8" t="str">
        <f>IFERROR(__xludf.DUMMYFUNCTION("""COMPUTED_VALUE"""),"Real")</f>
        <v>Real</v>
      </c>
      <c r="G7853" s="8">
        <f t="shared" si="1"/>
        <v>9</v>
      </c>
      <c r="H7853" s="14">
        <f t="shared" si="2"/>
        <v>24</v>
      </c>
      <c r="I7853" s="15">
        <f t="shared" si="3"/>
        <v>5</v>
      </c>
    </row>
    <row r="7854">
      <c r="A7854" s="8" t="str">
        <f>IFERROR(__xludf.DUMMYFUNCTION("IF('(INGESTA)Datos_consumo_datadis'!A7854&lt;&gt;"""",SPLIT('(INGESTA)Datos_consumo_datadis'!A:A,"",""),"""")"),"ES0031408323131005HX0F")</f>
        <v>ES0031408323131005HX0F</v>
      </c>
      <c r="B7854" s="12">
        <f>IFERROR(__xludf.DUMMYFUNCTION("""COMPUTED_VALUE"""),45193.0)</f>
        <v>45193</v>
      </c>
      <c r="C7854" s="13">
        <f>IFERROR(__xludf.DUMMYFUNCTION("""COMPUTED_VALUE"""),0.25)</f>
        <v>0.25</v>
      </c>
      <c r="D7854" s="8">
        <f>IFERROR(__xludf.DUMMYFUNCTION("""COMPUTED_VALUE"""),0.081)</f>
        <v>0.081</v>
      </c>
      <c r="E7854" s="8" t="str">
        <f>IFERROR(__xludf.DUMMYFUNCTION("""COMPUTED_VALUE"""),"Real")</f>
        <v>Real</v>
      </c>
      <c r="G7854" s="8">
        <f t="shared" si="1"/>
        <v>9</v>
      </c>
      <c r="H7854" s="14">
        <f t="shared" si="2"/>
        <v>24</v>
      </c>
      <c r="I7854" s="15">
        <f t="shared" si="3"/>
        <v>6</v>
      </c>
    </row>
    <row r="7855">
      <c r="A7855" s="8" t="str">
        <f>IFERROR(__xludf.DUMMYFUNCTION("IF('(INGESTA)Datos_consumo_datadis'!A7855&lt;&gt;"""",SPLIT('(INGESTA)Datos_consumo_datadis'!A:A,"",""),"""")"),"ES0031408323131005HX0F")</f>
        <v>ES0031408323131005HX0F</v>
      </c>
      <c r="B7855" s="12">
        <f>IFERROR(__xludf.DUMMYFUNCTION("""COMPUTED_VALUE"""),45193.0)</f>
        <v>45193</v>
      </c>
      <c r="C7855" s="13">
        <f>IFERROR(__xludf.DUMMYFUNCTION("""COMPUTED_VALUE"""),0.2916666666666667)</f>
        <v>0.2916666667</v>
      </c>
      <c r="D7855" s="8">
        <f>IFERROR(__xludf.DUMMYFUNCTION("""COMPUTED_VALUE"""),0.021)</f>
        <v>0.021</v>
      </c>
      <c r="E7855" s="8" t="str">
        <f>IFERROR(__xludf.DUMMYFUNCTION("""COMPUTED_VALUE"""),"Real")</f>
        <v>Real</v>
      </c>
      <c r="G7855" s="8">
        <f t="shared" si="1"/>
        <v>9</v>
      </c>
      <c r="H7855" s="14">
        <f t="shared" si="2"/>
        <v>24</v>
      </c>
      <c r="I7855" s="15">
        <f t="shared" si="3"/>
        <v>7</v>
      </c>
    </row>
    <row r="7856">
      <c r="A7856" s="8" t="str">
        <f>IFERROR(__xludf.DUMMYFUNCTION("IF('(INGESTA)Datos_consumo_datadis'!A7856&lt;&gt;"""",SPLIT('(INGESTA)Datos_consumo_datadis'!A:A,"",""),"""")"),"ES0031408323131005HX0F")</f>
        <v>ES0031408323131005HX0F</v>
      </c>
      <c r="B7856" s="12">
        <f>IFERROR(__xludf.DUMMYFUNCTION("""COMPUTED_VALUE"""),45193.0)</f>
        <v>45193</v>
      </c>
      <c r="C7856" s="13">
        <f>IFERROR(__xludf.DUMMYFUNCTION("""COMPUTED_VALUE"""),0.3333333333333333)</f>
        <v>0.3333333333</v>
      </c>
      <c r="D7856" s="8">
        <f>IFERROR(__xludf.DUMMYFUNCTION("""COMPUTED_VALUE"""),0.113)</f>
        <v>0.113</v>
      </c>
      <c r="E7856" s="8" t="str">
        <f>IFERROR(__xludf.DUMMYFUNCTION("""COMPUTED_VALUE"""),"Real")</f>
        <v>Real</v>
      </c>
      <c r="G7856" s="8">
        <f t="shared" si="1"/>
        <v>9</v>
      </c>
      <c r="H7856" s="14">
        <f t="shared" si="2"/>
        <v>24</v>
      </c>
      <c r="I7856" s="15">
        <f t="shared" si="3"/>
        <v>8</v>
      </c>
    </row>
    <row r="7857">
      <c r="A7857" s="8" t="str">
        <f>IFERROR(__xludf.DUMMYFUNCTION("IF('(INGESTA)Datos_consumo_datadis'!A7857&lt;&gt;"""",SPLIT('(INGESTA)Datos_consumo_datadis'!A:A,"",""),"""")"),"ES0031408323131005HX0F")</f>
        <v>ES0031408323131005HX0F</v>
      </c>
      <c r="B7857" s="12">
        <f>IFERROR(__xludf.DUMMYFUNCTION("""COMPUTED_VALUE"""),45193.0)</f>
        <v>45193</v>
      </c>
      <c r="C7857" s="13">
        <f>IFERROR(__xludf.DUMMYFUNCTION("""COMPUTED_VALUE"""),0.375)</f>
        <v>0.375</v>
      </c>
      <c r="D7857" s="8">
        <f>IFERROR(__xludf.DUMMYFUNCTION("""COMPUTED_VALUE"""),0.457)</f>
        <v>0.457</v>
      </c>
      <c r="E7857" s="8" t="str">
        <f>IFERROR(__xludf.DUMMYFUNCTION("""COMPUTED_VALUE"""),"Real")</f>
        <v>Real</v>
      </c>
      <c r="G7857" s="8">
        <f t="shared" si="1"/>
        <v>9</v>
      </c>
      <c r="H7857" s="14">
        <f t="shared" si="2"/>
        <v>24</v>
      </c>
      <c r="I7857" s="15">
        <f t="shared" si="3"/>
        <v>9</v>
      </c>
    </row>
    <row r="7858">
      <c r="A7858" s="8" t="str">
        <f>IFERROR(__xludf.DUMMYFUNCTION("IF('(INGESTA)Datos_consumo_datadis'!A7858&lt;&gt;"""",SPLIT('(INGESTA)Datos_consumo_datadis'!A:A,"",""),"""")"),"ES0031408323131005HX0F")</f>
        <v>ES0031408323131005HX0F</v>
      </c>
      <c r="B7858" s="12">
        <f>IFERROR(__xludf.DUMMYFUNCTION("""COMPUTED_VALUE"""),45193.0)</f>
        <v>45193</v>
      </c>
      <c r="C7858" s="13">
        <f>IFERROR(__xludf.DUMMYFUNCTION("""COMPUTED_VALUE"""),0.4166666666666667)</f>
        <v>0.4166666667</v>
      </c>
      <c r="D7858" s="8">
        <f>IFERROR(__xludf.DUMMYFUNCTION("""COMPUTED_VALUE"""),0.319)</f>
        <v>0.319</v>
      </c>
      <c r="E7858" s="8" t="str">
        <f>IFERROR(__xludf.DUMMYFUNCTION("""COMPUTED_VALUE"""),"Real")</f>
        <v>Real</v>
      </c>
      <c r="G7858" s="8">
        <f t="shared" si="1"/>
        <v>9</v>
      </c>
      <c r="H7858" s="14">
        <f t="shared" si="2"/>
        <v>24</v>
      </c>
      <c r="I7858" s="15">
        <f t="shared" si="3"/>
        <v>10</v>
      </c>
    </row>
    <row r="7859">
      <c r="A7859" s="8" t="str">
        <f>IFERROR(__xludf.DUMMYFUNCTION("IF('(INGESTA)Datos_consumo_datadis'!A7859&lt;&gt;"""",SPLIT('(INGESTA)Datos_consumo_datadis'!A:A,"",""),"""")"),"ES0031408323131005HX0F")</f>
        <v>ES0031408323131005HX0F</v>
      </c>
      <c r="B7859" s="12">
        <f>IFERROR(__xludf.DUMMYFUNCTION("""COMPUTED_VALUE"""),45193.0)</f>
        <v>45193</v>
      </c>
      <c r="C7859" s="13">
        <f>IFERROR(__xludf.DUMMYFUNCTION("""COMPUTED_VALUE"""),0.4583333333333333)</f>
        <v>0.4583333333</v>
      </c>
      <c r="D7859" s="8">
        <f>IFERROR(__xludf.DUMMYFUNCTION("""COMPUTED_VALUE"""),0.166)</f>
        <v>0.166</v>
      </c>
      <c r="E7859" s="8" t="str">
        <f>IFERROR(__xludf.DUMMYFUNCTION("""COMPUTED_VALUE"""),"Real")</f>
        <v>Real</v>
      </c>
      <c r="G7859" s="8">
        <f t="shared" si="1"/>
        <v>9</v>
      </c>
      <c r="H7859" s="14">
        <f t="shared" si="2"/>
        <v>24</v>
      </c>
      <c r="I7859" s="15">
        <f t="shared" si="3"/>
        <v>11</v>
      </c>
    </row>
    <row r="7860">
      <c r="A7860" s="8" t="str">
        <f>IFERROR(__xludf.DUMMYFUNCTION("IF('(INGESTA)Datos_consumo_datadis'!A7860&lt;&gt;"""",SPLIT('(INGESTA)Datos_consumo_datadis'!A:A,"",""),"""")"),"ES0031408323131005HX0F")</f>
        <v>ES0031408323131005HX0F</v>
      </c>
      <c r="B7860" s="12">
        <f>IFERROR(__xludf.DUMMYFUNCTION("""COMPUTED_VALUE"""),45193.0)</f>
        <v>45193</v>
      </c>
      <c r="C7860" s="13">
        <f>IFERROR(__xludf.DUMMYFUNCTION("""COMPUTED_VALUE"""),0.5)</f>
        <v>0.5</v>
      </c>
      <c r="D7860" s="8">
        <f>IFERROR(__xludf.DUMMYFUNCTION("""COMPUTED_VALUE"""),0.111)</f>
        <v>0.111</v>
      </c>
      <c r="E7860" s="8" t="str">
        <f>IFERROR(__xludf.DUMMYFUNCTION("""COMPUTED_VALUE"""),"Real")</f>
        <v>Real</v>
      </c>
      <c r="G7860" s="8">
        <f t="shared" si="1"/>
        <v>9</v>
      </c>
      <c r="H7860" s="14">
        <f t="shared" si="2"/>
        <v>24</v>
      </c>
      <c r="I7860" s="15">
        <f t="shared" si="3"/>
        <v>12</v>
      </c>
    </row>
    <row r="7861">
      <c r="A7861" s="8" t="str">
        <f>IFERROR(__xludf.DUMMYFUNCTION("IF('(INGESTA)Datos_consumo_datadis'!A7861&lt;&gt;"""",SPLIT('(INGESTA)Datos_consumo_datadis'!A:A,"",""),"""")"),"ES0031408323131005HX0F")</f>
        <v>ES0031408323131005HX0F</v>
      </c>
      <c r="B7861" s="12">
        <f>IFERROR(__xludf.DUMMYFUNCTION("""COMPUTED_VALUE"""),45193.0)</f>
        <v>45193</v>
      </c>
      <c r="C7861" s="13">
        <f>IFERROR(__xludf.DUMMYFUNCTION("""COMPUTED_VALUE"""),0.5416666666666666)</f>
        <v>0.5416666667</v>
      </c>
      <c r="D7861" s="8">
        <f>IFERROR(__xludf.DUMMYFUNCTION("""COMPUTED_VALUE"""),0.451)</f>
        <v>0.451</v>
      </c>
      <c r="E7861" s="8" t="str">
        <f>IFERROR(__xludf.DUMMYFUNCTION("""COMPUTED_VALUE"""),"Real")</f>
        <v>Real</v>
      </c>
      <c r="G7861" s="8">
        <f t="shared" si="1"/>
        <v>9</v>
      </c>
      <c r="H7861" s="14">
        <f t="shared" si="2"/>
        <v>24</v>
      </c>
      <c r="I7861" s="15">
        <f t="shared" si="3"/>
        <v>13</v>
      </c>
    </row>
    <row r="7862">
      <c r="A7862" s="8" t="str">
        <f>IFERROR(__xludf.DUMMYFUNCTION("IF('(INGESTA)Datos_consumo_datadis'!A7862&lt;&gt;"""",SPLIT('(INGESTA)Datos_consumo_datadis'!A:A,"",""),"""")"),"ES0031408323131005HX0F")</f>
        <v>ES0031408323131005HX0F</v>
      </c>
      <c r="B7862" s="12">
        <f>IFERROR(__xludf.DUMMYFUNCTION("""COMPUTED_VALUE"""),45193.0)</f>
        <v>45193</v>
      </c>
      <c r="C7862" s="13">
        <f>IFERROR(__xludf.DUMMYFUNCTION("""COMPUTED_VALUE"""),0.5833333333333334)</f>
        <v>0.5833333333</v>
      </c>
      <c r="D7862" s="8">
        <f>IFERROR(__xludf.DUMMYFUNCTION("""COMPUTED_VALUE"""),0.527)</f>
        <v>0.527</v>
      </c>
      <c r="E7862" s="8" t="str">
        <f>IFERROR(__xludf.DUMMYFUNCTION("""COMPUTED_VALUE"""),"Real")</f>
        <v>Real</v>
      </c>
      <c r="G7862" s="8">
        <f t="shared" si="1"/>
        <v>9</v>
      </c>
      <c r="H7862" s="14">
        <f t="shared" si="2"/>
        <v>24</v>
      </c>
      <c r="I7862" s="15">
        <f t="shared" si="3"/>
        <v>14</v>
      </c>
    </row>
    <row r="7863">
      <c r="A7863" s="8" t="str">
        <f>IFERROR(__xludf.DUMMYFUNCTION("IF('(INGESTA)Datos_consumo_datadis'!A7863&lt;&gt;"""",SPLIT('(INGESTA)Datos_consumo_datadis'!A:A,"",""),"""")"),"ES0031408323131005HX0F")</f>
        <v>ES0031408323131005HX0F</v>
      </c>
      <c r="B7863" s="12">
        <f>IFERROR(__xludf.DUMMYFUNCTION("""COMPUTED_VALUE"""),45193.0)</f>
        <v>45193</v>
      </c>
      <c r="C7863" s="13">
        <f>IFERROR(__xludf.DUMMYFUNCTION("""COMPUTED_VALUE"""),0.625)</f>
        <v>0.625</v>
      </c>
      <c r="D7863" s="8">
        <f>IFERROR(__xludf.DUMMYFUNCTION("""COMPUTED_VALUE"""),0.997)</f>
        <v>0.997</v>
      </c>
      <c r="E7863" s="8" t="str">
        <f>IFERROR(__xludf.DUMMYFUNCTION("""COMPUTED_VALUE"""),"Real")</f>
        <v>Real</v>
      </c>
      <c r="G7863" s="8">
        <f t="shared" si="1"/>
        <v>9</v>
      </c>
      <c r="H7863" s="14">
        <f t="shared" si="2"/>
        <v>24</v>
      </c>
      <c r="I7863" s="15">
        <f t="shared" si="3"/>
        <v>15</v>
      </c>
    </row>
    <row r="7864">
      <c r="A7864" s="8" t="str">
        <f>IFERROR(__xludf.DUMMYFUNCTION("IF('(INGESTA)Datos_consumo_datadis'!A7864&lt;&gt;"""",SPLIT('(INGESTA)Datos_consumo_datadis'!A:A,"",""),"""")"),"ES0031408323131005HX0F")</f>
        <v>ES0031408323131005HX0F</v>
      </c>
      <c r="B7864" s="12">
        <f>IFERROR(__xludf.DUMMYFUNCTION("""COMPUTED_VALUE"""),45193.0)</f>
        <v>45193</v>
      </c>
      <c r="C7864" s="13">
        <f>IFERROR(__xludf.DUMMYFUNCTION("""COMPUTED_VALUE"""),0.6666666666666666)</f>
        <v>0.6666666667</v>
      </c>
      <c r="D7864" s="8">
        <f>IFERROR(__xludf.DUMMYFUNCTION("""COMPUTED_VALUE"""),0.34)</f>
        <v>0.34</v>
      </c>
      <c r="E7864" s="8" t="str">
        <f>IFERROR(__xludf.DUMMYFUNCTION("""COMPUTED_VALUE"""),"Real")</f>
        <v>Real</v>
      </c>
      <c r="G7864" s="8">
        <f t="shared" si="1"/>
        <v>9</v>
      </c>
      <c r="H7864" s="14">
        <f t="shared" si="2"/>
        <v>24</v>
      </c>
      <c r="I7864" s="15">
        <f t="shared" si="3"/>
        <v>16</v>
      </c>
    </row>
    <row r="7865">
      <c r="A7865" s="8" t="str">
        <f>IFERROR(__xludf.DUMMYFUNCTION("IF('(INGESTA)Datos_consumo_datadis'!A7865&lt;&gt;"""",SPLIT('(INGESTA)Datos_consumo_datadis'!A:A,"",""),"""")"),"ES0031408323131005HX0F")</f>
        <v>ES0031408323131005HX0F</v>
      </c>
      <c r="B7865" s="12">
        <f>IFERROR(__xludf.DUMMYFUNCTION("""COMPUTED_VALUE"""),45193.0)</f>
        <v>45193</v>
      </c>
      <c r="C7865" s="13">
        <f>IFERROR(__xludf.DUMMYFUNCTION("""COMPUTED_VALUE"""),0.7083333333333334)</f>
        <v>0.7083333333</v>
      </c>
      <c r="D7865" s="8">
        <f>IFERROR(__xludf.DUMMYFUNCTION("""COMPUTED_VALUE"""),0.283)</f>
        <v>0.283</v>
      </c>
      <c r="E7865" s="8" t="str">
        <f>IFERROR(__xludf.DUMMYFUNCTION("""COMPUTED_VALUE"""),"Real")</f>
        <v>Real</v>
      </c>
      <c r="G7865" s="8">
        <f t="shared" si="1"/>
        <v>9</v>
      </c>
      <c r="H7865" s="14">
        <f t="shared" si="2"/>
        <v>24</v>
      </c>
      <c r="I7865" s="15">
        <f t="shared" si="3"/>
        <v>17</v>
      </c>
    </row>
    <row r="7866">
      <c r="A7866" s="8" t="str">
        <f>IFERROR(__xludf.DUMMYFUNCTION("IF('(INGESTA)Datos_consumo_datadis'!A7866&lt;&gt;"""",SPLIT('(INGESTA)Datos_consumo_datadis'!A:A,"",""),"""")"),"ES0031408323131005HX0F")</f>
        <v>ES0031408323131005HX0F</v>
      </c>
      <c r="B7866" s="12">
        <f>IFERROR(__xludf.DUMMYFUNCTION("""COMPUTED_VALUE"""),45193.0)</f>
        <v>45193</v>
      </c>
      <c r="C7866" s="13">
        <f>IFERROR(__xludf.DUMMYFUNCTION("""COMPUTED_VALUE"""),0.75)</f>
        <v>0.75</v>
      </c>
      <c r="D7866" s="8">
        <f>IFERROR(__xludf.DUMMYFUNCTION("""COMPUTED_VALUE"""),0.365)</f>
        <v>0.365</v>
      </c>
      <c r="E7866" s="8" t="str">
        <f>IFERROR(__xludf.DUMMYFUNCTION("""COMPUTED_VALUE"""),"Real")</f>
        <v>Real</v>
      </c>
      <c r="G7866" s="8">
        <f t="shared" si="1"/>
        <v>9</v>
      </c>
      <c r="H7866" s="14">
        <f t="shared" si="2"/>
        <v>24</v>
      </c>
      <c r="I7866" s="15">
        <f t="shared" si="3"/>
        <v>18</v>
      </c>
    </row>
    <row r="7867">
      <c r="A7867" s="8" t="str">
        <f>IFERROR(__xludf.DUMMYFUNCTION("IF('(INGESTA)Datos_consumo_datadis'!A7867&lt;&gt;"""",SPLIT('(INGESTA)Datos_consumo_datadis'!A:A,"",""),"""")"),"ES0031408323131005HX0F")</f>
        <v>ES0031408323131005HX0F</v>
      </c>
      <c r="B7867" s="12">
        <f>IFERROR(__xludf.DUMMYFUNCTION("""COMPUTED_VALUE"""),45193.0)</f>
        <v>45193</v>
      </c>
      <c r="C7867" s="13">
        <f>IFERROR(__xludf.DUMMYFUNCTION("""COMPUTED_VALUE"""),0.7916666666666666)</f>
        <v>0.7916666667</v>
      </c>
      <c r="D7867" s="8">
        <f>IFERROR(__xludf.DUMMYFUNCTION("""COMPUTED_VALUE"""),0.764)</f>
        <v>0.764</v>
      </c>
      <c r="E7867" s="8" t="str">
        <f>IFERROR(__xludf.DUMMYFUNCTION("""COMPUTED_VALUE"""),"Real")</f>
        <v>Real</v>
      </c>
      <c r="G7867" s="8">
        <f t="shared" si="1"/>
        <v>9</v>
      </c>
      <c r="H7867" s="14">
        <f t="shared" si="2"/>
        <v>24</v>
      </c>
      <c r="I7867" s="15">
        <f t="shared" si="3"/>
        <v>19</v>
      </c>
    </row>
    <row r="7868">
      <c r="A7868" s="8" t="str">
        <f>IFERROR(__xludf.DUMMYFUNCTION("IF('(INGESTA)Datos_consumo_datadis'!A7868&lt;&gt;"""",SPLIT('(INGESTA)Datos_consumo_datadis'!A:A,"",""),"""")"),"ES0031408323131005HX0F")</f>
        <v>ES0031408323131005HX0F</v>
      </c>
      <c r="B7868" s="12">
        <f>IFERROR(__xludf.DUMMYFUNCTION("""COMPUTED_VALUE"""),45193.0)</f>
        <v>45193</v>
      </c>
      <c r="C7868" s="13">
        <f>IFERROR(__xludf.DUMMYFUNCTION("""COMPUTED_VALUE"""),0.8333333333333334)</f>
        <v>0.8333333333</v>
      </c>
      <c r="D7868" s="8">
        <f>IFERROR(__xludf.DUMMYFUNCTION("""COMPUTED_VALUE"""),0.822)</f>
        <v>0.822</v>
      </c>
      <c r="E7868" s="8" t="str">
        <f>IFERROR(__xludf.DUMMYFUNCTION("""COMPUTED_VALUE"""),"Real")</f>
        <v>Real</v>
      </c>
      <c r="G7868" s="8">
        <f t="shared" si="1"/>
        <v>9</v>
      </c>
      <c r="H7868" s="14">
        <f t="shared" si="2"/>
        <v>24</v>
      </c>
      <c r="I7868" s="15">
        <f t="shared" si="3"/>
        <v>20</v>
      </c>
    </row>
    <row r="7869">
      <c r="A7869" s="8" t="str">
        <f>IFERROR(__xludf.DUMMYFUNCTION("IF('(INGESTA)Datos_consumo_datadis'!A7869&lt;&gt;"""",SPLIT('(INGESTA)Datos_consumo_datadis'!A:A,"",""),"""")"),"ES0031408323131005HX0F")</f>
        <v>ES0031408323131005HX0F</v>
      </c>
      <c r="B7869" s="12">
        <f>IFERROR(__xludf.DUMMYFUNCTION("""COMPUTED_VALUE"""),45193.0)</f>
        <v>45193</v>
      </c>
      <c r="C7869" s="13">
        <f>IFERROR(__xludf.DUMMYFUNCTION("""COMPUTED_VALUE"""),0.875)</f>
        <v>0.875</v>
      </c>
      <c r="D7869" s="8">
        <f>IFERROR(__xludf.DUMMYFUNCTION("""COMPUTED_VALUE"""),0.248)</f>
        <v>0.248</v>
      </c>
      <c r="E7869" s="8" t="str">
        <f>IFERROR(__xludf.DUMMYFUNCTION("""COMPUTED_VALUE"""),"Real")</f>
        <v>Real</v>
      </c>
      <c r="G7869" s="8">
        <f t="shared" si="1"/>
        <v>9</v>
      </c>
      <c r="H7869" s="14">
        <f t="shared" si="2"/>
        <v>24</v>
      </c>
      <c r="I7869" s="15">
        <f t="shared" si="3"/>
        <v>21</v>
      </c>
    </row>
    <row r="7870">
      <c r="A7870" s="8" t="str">
        <f>IFERROR(__xludf.DUMMYFUNCTION("IF('(INGESTA)Datos_consumo_datadis'!A7870&lt;&gt;"""",SPLIT('(INGESTA)Datos_consumo_datadis'!A:A,"",""),"""")"),"ES0031408323131005HX0F")</f>
        <v>ES0031408323131005HX0F</v>
      </c>
      <c r="B7870" s="12">
        <f>IFERROR(__xludf.DUMMYFUNCTION("""COMPUTED_VALUE"""),45193.0)</f>
        <v>45193</v>
      </c>
      <c r="C7870" s="13">
        <f>IFERROR(__xludf.DUMMYFUNCTION("""COMPUTED_VALUE"""),0.9166666666666666)</f>
        <v>0.9166666667</v>
      </c>
      <c r="D7870" s="8">
        <f>IFERROR(__xludf.DUMMYFUNCTION("""COMPUTED_VALUE"""),0.595)</f>
        <v>0.595</v>
      </c>
      <c r="E7870" s="8" t="str">
        <f>IFERROR(__xludf.DUMMYFUNCTION("""COMPUTED_VALUE"""),"Real")</f>
        <v>Real</v>
      </c>
      <c r="G7870" s="8">
        <f t="shared" si="1"/>
        <v>9</v>
      </c>
      <c r="H7870" s="14">
        <f t="shared" si="2"/>
        <v>24</v>
      </c>
      <c r="I7870" s="15">
        <f t="shared" si="3"/>
        <v>22</v>
      </c>
    </row>
    <row r="7871">
      <c r="A7871" s="8" t="str">
        <f>IFERROR(__xludf.DUMMYFUNCTION("IF('(INGESTA)Datos_consumo_datadis'!A7871&lt;&gt;"""",SPLIT('(INGESTA)Datos_consumo_datadis'!A:A,"",""),"""")"),"ES0031408323131005HX0F")</f>
        <v>ES0031408323131005HX0F</v>
      </c>
      <c r="B7871" s="12">
        <f>IFERROR(__xludf.DUMMYFUNCTION("""COMPUTED_VALUE"""),45193.0)</f>
        <v>45193</v>
      </c>
      <c r="C7871" s="13">
        <f>IFERROR(__xludf.DUMMYFUNCTION("""COMPUTED_VALUE"""),0.9583333333333334)</f>
        <v>0.9583333333</v>
      </c>
      <c r="D7871" s="8">
        <f>IFERROR(__xludf.DUMMYFUNCTION("""COMPUTED_VALUE"""),0.172)</f>
        <v>0.172</v>
      </c>
      <c r="E7871" s="8" t="str">
        <f>IFERROR(__xludf.DUMMYFUNCTION("""COMPUTED_VALUE"""),"Real")</f>
        <v>Real</v>
      </c>
      <c r="G7871" s="8">
        <f t="shared" si="1"/>
        <v>9</v>
      </c>
      <c r="H7871" s="14">
        <f t="shared" si="2"/>
        <v>24</v>
      </c>
      <c r="I7871" s="15">
        <f t="shared" si="3"/>
        <v>23</v>
      </c>
    </row>
    <row r="7872">
      <c r="A7872" s="8" t="str">
        <f>IFERROR(__xludf.DUMMYFUNCTION("IF('(INGESTA)Datos_consumo_datadis'!A7872&lt;&gt;"""",SPLIT('(INGESTA)Datos_consumo_datadis'!A:A,"",""),"""")"),"ES0031408323131005HX0F")</f>
        <v>ES0031408323131005HX0F</v>
      </c>
      <c r="B7872" s="12">
        <f>IFERROR(__xludf.DUMMYFUNCTION("""COMPUTED_VALUE"""),45193.0)</f>
        <v>45193</v>
      </c>
      <c r="C7872" s="16">
        <f>IFERROR(__xludf.DUMMYFUNCTION("""COMPUTED_VALUE"""),1.0)</f>
        <v>1</v>
      </c>
      <c r="D7872" s="8">
        <f>IFERROR(__xludf.DUMMYFUNCTION("""COMPUTED_VALUE"""),0.133)</f>
        <v>0.133</v>
      </c>
      <c r="E7872" s="8" t="str">
        <f>IFERROR(__xludf.DUMMYFUNCTION("""COMPUTED_VALUE"""),"Real")</f>
        <v>Real</v>
      </c>
      <c r="G7872" s="8">
        <f t="shared" si="1"/>
        <v>9</v>
      </c>
      <c r="H7872" s="14">
        <f t="shared" si="2"/>
        <v>24</v>
      </c>
      <c r="I7872" s="15">
        <f t="shared" si="3"/>
        <v>0</v>
      </c>
    </row>
    <row r="7873">
      <c r="A7873" s="8" t="str">
        <f>IFERROR(__xludf.DUMMYFUNCTION("IF('(INGESTA)Datos_consumo_datadis'!A7873&lt;&gt;"""",SPLIT('(INGESTA)Datos_consumo_datadis'!A:A,"",""),"""")"),"ES0031408323131005HX0F")</f>
        <v>ES0031408323131005HX0F</v>
      </c>
      <c r="B7873" s="12">
        <f>IFERROR(__xludf.DUMMYFUNCTION("""COMPUTED_VALUE"""),45194.0)</f>
        <v>45194</v>
      </c>
      <c r="C7873" s="13">
        <f>IFERROR(__xludf.DUMMYFUNCTION("""COMPUTED_VALUE"""),0.041666666666666664)</f>
        <v>0.04166666667</v>
      </c>
      <c r="D7873" s="8">
        <f>IFERROR(__xludf.DUMMYFUNCTION("""COMPUTED_VALUE"""),0.115)</f>
        <v>0.115</v>
      </c>
      <c r="E7873" s="8" t="str">
        <f>IFERROR(__xludf.DUMMYFUNCTION("""COMPUTED_VALUE"""),"Real")</f>
        <v>Real</v>
      </c>
      <c r="G7873" s="8">
        <f t="shared" si="1"/>
        <v>9</v>
      </c>
      <c r="H7873" s="14">
        <f t="shared" si="2"/>
        <v>25</v>
      </c>
      <c r="I7873" s="15">
        <f t="shared" si="3"/>
        <v>1</v>
      </c>
    </row>
    <row r="7874">
      <c r="A7874" s="8" t="str">
        <f>IFERROR(__xludf.DUMMYFUNCTION("IF('(INGESTA)Datos_consumo_datadis'!A7874&lt;&gt;"""",SPLIT('(INGESTA)Datos_consumo_datadis'!A:A,"",""),"""")"),"ES0031408323131005HX0F")</f>
        <v>ES0031408323131005HX0F</v>
      </c>
      <c r="B7874" s="12">
        <f>IFERROR(__xludf.DUMMYFUNCTION("""COMPUTED_VALUE"""),45194.0)</f>
        <v>45194</v>
      </c>
      <c r="C7874" s="13">
        <f>IFERROR(__xludf.DUMMYFUNCTION("""COMPUTED_VALUE"""),0.08333333333333333)</f>
        <v>0.08333333333</v>
      </c>
      <c r="D7874" s="8">
        <f>IFERROR(__xludf.DUMMYFUNCTION("""COMPUTED_VALUE"""),0.098)</f>
        <v>0.098</v>
      </c>
      <c r="E7874" s="8" t="str">
        <f>IFERROR(__xludf.DUMMYFUNCTION("""COMPUTED_VALUE"""),"Real")</f>
        <v>Real</v>
      </c>
      <c r="G7874" s="8">
        <f t="shared" si="1"/>
        <v>9</v>
      </c>
      <c r="H7874" s="14">
        <f t="shared" si="2"/>
        <v>25</v>
      </c>
      <c r="I7874" s="15">
        <f t="shared" si="3"/>
        <v>2</v>
      </c>
    </row>
    <row r="7875">
      <c r="A7875" s="8" t="str">
        <f>IFERROR(__xludf.DUMMYFUNCTION("IF('(INGESTA)Datos_consumo_datadis'!A7875&lt;&gt;"""",SPLIT('(INGESTA)Datos_consumo_datadis'!A:A,"",""),"""")"),"ES0031408323131005HX0F")</f>
        <v>ES0031408323131005HX0F</v>
      </c>
      <c r="B7875" s="12">
        <f>IFERROR(__xludf.DUMMYFUNCTION("""COMPUTED_VALUE"""),45194.0)</f>
        <v>45194</v>
      </c>
      <c r="C7875" s="13">
        <f>IFERROR(__xludf.DUMMYFUNCTION("""COMPUTED_VALUE"""),0.125)</f>
        <v>0.125</v>
      </c>
      <c r="D7875" s="8">
        <f>IFERROR(__xludf.DUMMYFUNCTION("""COMPUTED_VALUE"""),0.041)</f>
        <v>0.041</v>
      </c>
      <c r="E7875" s="8" t="str">
        <f>IFERROR(__xludf.DUMMYFUNCTION("""COMPUTED_VALUE"""),"Real")</f>
        <v>Real</v>
      </c>
      <c r="G7875" s="8">
        <f t="shared" si="1"/>
        <v>9</v>
      </c>
      <c r="H7875" s="14">
        <f t="shared" si="2"/>
        <v>25</v>
      </c>
      <c r="I7875" s="15">
        <f t="shared" si="3"/>
        <v>3</v>
      </c>
    </row>
    <row r="7876">
      <c r="A7876" s="8" t="str">
        <f>IFERROR(__xludf.DUMMYFUNCTION("IF('(INGESTA)Datos_consumo_datadis'!A7876&lt;&gt;"""",SPLIT('(INGESTA)Datos_consumo_datadis'!A:A,"",""),"""")"),"ES0031408323131005HX0F")</f>
        <v>ES0031408323131005HX0F</v>
      </c>
      <c r="B7876" s="12">
        <f>IFERROR(__xludf.DUMMYFUNCTION("""COMPUTED_VALUE"""),45194.0)</f>
        <v>45194</v>
      </c>
      <c r="C7876" s="13">
        <f>IFERROR(__xludf.DUMMYFUNCTION("""COMPUTED_VALUE"""),0.16666666666666666)</f>
        <v>0.1666666667</v>
      </c>
      <c r="D7876" s="8">
        <f>IFERROR(__xludf.DUMMYFUNCTION("""COMPUTED_VALUE"""),0.104)</f>
        <v>0.104</v>
      </c>
      <c r="E7876" s="8" t="str">
        <f>IFERROR(__xludf.DUMMYFUNCTION("""COMPUTED_VALUE"""),"Real")</f>
        <v>Real</v>
      </c>
      <c r="G7876" s="8">
        <f t="shared" si="1"/>
        <v>9</v>
      </c>
      <c r="H7876" s="14">
        <f t="shared" si="2"/>
        <v>25</v>
      </c>
      <c r="I7876" s="15">
        <f t="shared" si="3"/>
        <v>4</v>
      </c>
    </row>
    <row r="7877">
      <c r="A7877" s="8" t="str">
        <f>IFERROR(__xludf.DUMMYFUNCTION("IF('(INGESTA)Datos_consumo_datadis'!A7877&lt;&gt;"""",SPLIT('(INGESTA)Datos_consumo_datadis'!A:A,"",""),"""")"),"ES0031408323131005HX0F")</f>
        <v>ES0031408323131005HX0F</v>
      </c>
      <c r="B7877" s="12">
        <f>IFERROR(__xludf.DUMMYFUNCTION("""COMPUTED_VALUE"""),45194.0)</f>
        <v>45194</v>
      </c>
      <c r="C7877" s="13">
        <f>IFERROR(__xludf.DUMMYFUNCTION("""COMPUTED_VALUE"""),0.20833333333333334)</f>
        <v>0.2083333333</v>
      </c>
      <c r="D7877" s="8">
        <f>IFERROR(__xludf.DUMMYFUNCTION("""COMPUTED_VALUE"""),0.368)</f>
        <v>0.368</v>
      </c>
      <c r="E7877" s="8" t="str">
        <f>IFERROR(__xludf.DUMMYFUNCTION("""COMPUTED_VALUE"""),"Real")</f>
        <v>Real</v>
      </c>
      <c r="G7877" s="8">
        <f t="shared" si="1"/>
        <v>9</v>
      </c>
      <c r="H7877" s="14">
        <f t="shared" si="2"/>
        <v>25</v>
      </c>
      <c r="I7877" s="15">
        <f t="shared" si="3"/>
        <v>5</v>
      </c>
    </row>
    <row r="7878">
      <c r="A7878" s="8" t="str">
        <f>IFERROR(__xludf.DUMMYFUNCTION("IF('(INGESTA)Datos_consumo_datadis'!A7878&lt;&gt;"""",SPLIT('(INGESTA)Datos_consumo_datadis'!A:A,"",""),"""")"),"ES0031408323131005HX0F")</f>
        <v>ES0031408323131005HX0F</v>
      </c>
      <c r="B7878" s="12">
        <f>IFERROR(__xludf.DUMMYFUNCTION("""COMPUTED_VALUE"""),45194.0)</f>
        <v>45194</v>
      </c>
      <c r="C7878" s="13">
        <f>IFERROR(__xludf.DUMMYFUNCTION("""COMPUTED_VALUE"""),0.25)</f>
        <v>0.25</v>
      </c>
      <c r="D7878" s="8">
        <f>IFERROR(__xludf.DUMMYFUNCTION("""COMPUTED_VALUE"""),0.086)</f>
        <v>0.086</v>
      </c>
      <c r="E7878" s="8" t="str">
        <f>IFERROR(__xludf.DUMMYFUNCTION("""COMPUTED_VALUE"""),"Real")</f>
        <v>Real</v>
      </c>
      <c r="G7878" s="8">
        <f t="shared" si="1"/>
        <v>9</v>
      </c>
      <c r="H7878" s="14">
        <f t="shared" si="2"/>
        <v>25</v>
      </c>
      <c r="I7878" s="15">
        <f t="shared" si="3"/>
        <v>6</v>
      </c>
    </row>
    <row r="7879">
      <c r="A7879" s="8" t="str">
        <f>IFERROR(__xludf.DUMMYFUNCTION("IF('(INGESTA)Datos_consumo_datadis'!A7879&lt;&gt;"""",SPLIT('(INGESTA)Datos_consumo_datadis'!A:A,"",""),"""")"),"ES0031408323131005HX0F")</f>
        <v>ES0031408323131005HX0F</v>
      </c>
      <c r="B7879" s="12">
        <f>IFERROR(__xludf.DUMMYFUNCTION("""COMPUTED_VALUE"""),45194.0)</f>
        <v>45194</v>
      </c>
      <c r="C7879" s="13">
        <f>IFERROR(__xludf.DUMMYFUNCTION("""COMPUTED_VALUE"""),0.2916666666666667)</f>
        <v>0.2916666667</v>
      </c>
      <c r="D7879" s="8">
        <f>IFERROR(__xludf.DUMMYFUNCTION("""COMPUTED_VALUE"""),0.02)</f>
        <v>0.02</v>
      </c>
      <c r="E7879" s="8" t="str">
        <f>IFERROR(__xludf.DUMMYFUNCTION("""COMPUTED_VALUE"""),"Real")</f>
        <v>Real</v>
      </c>
      <c r="G7879" s="8">
        <f t="shared" si="1"/>
        <v>9</v>
      </c>
      <c r="H7879" s="14">
        <f t="shared" si="2"/>
        <v>25</v>
      </c>
      <c r="I7879" s="15">
        <f t="shared" si="3"/>
        <v>7</v>
      </c>
    </row>
    <row r="7880">
      <c r="A7880" s="8" t="str">
        <f>IFERROR(__xludf.DUMMYFUNCTION("IF('(INGESTA)Datos_consumo_datadis'!A7880&lt;&gt;"""",SPLIT('(INGESTA)Datos_consumo_datadis'!A:A,"",""),"""")"),"ES0031408323131005HX0F")</f>
        <v>ES0031408323131005HX0F</v>
      </c>
      <c r="B7880" s="12">
        <f>IFERROR(__xludf.DUMMYFUNCTION("""COMPUTED_VALUE"""),45194.0)</f>
        <v>45194</v>
      </c>
      <c r="C7880" s="13">
        <f>IFERROR(__xludf.DUMMYFUNCTION("""COMPUTED_VALUE"""),0.3333333333333333)</f>
        <v>0.3333333333</v>
      </c>
      <c r="D7880" s="8">
        <f>IFERROR(__xludf.DUMMYFUNCTION("""COMPUTED_VALUE"""),0.093)</f>
        <v>0.093</v>
      </c>
      <c r="E7880" s="8" t="str">
        <f>IFERROR(__xludf.DUMMYFUNCTION("""COMPUTED_VALUE"""),"Real")</f>
        <v>Real</v>
      </c>
      <c r="G7880" s="8">
        <f t="shared" si="1"/>
        <v>9</v>
      </c>
      <c r="H7880" s="14">
        <f t="shared" si="2"/>
        <v>25</v>
      </c>
      <c r="I7880" s="15">
        <f t="shared" si="3"/>
        <v>8</v>
      </c>
    </row>
    <row r="7881">
      <c r="A7881" s="8" t="str">
        <f>IFERROR(__xludf.DUMMYFUNCTION("IF('(INGESTA)Datos_consumo_datadis'!A7881&lt;&gt;"""",SPLIT('(INGESTA)Datos_consumo_datadis'!A:A,"",""),"""")"),"ES0031408323131005HX0F")</f>
        <v>ES0031408323131005HX0F</v>
      </c>
      <c r="B7881" s="12">
        <f>IFERROR(__xludf.DUMMYFUNCTION("""COMPUTED_VALUE"""),45194.0)</f>
        <v>45194</v>
      </c>
      <c r="C7881" s="13">
        <f>IFERROR(__xludf.DUMMYFUNCTION("""COMPUTED_VALUE"""),0.375)</f>
        <v>0.375</v>
      </c>
      <c r="D7881" s="8">
        <f>IFERROR(__xludf.DUMMYFUNCTION("""COMPUTED_VALUE"""),0.33)</f>
        <v>0.33</v>
      </c>
      <c r="E7881" s="8" t="str">
        <f>IFERROR(__xludf.DUMMYFUNCTION("""COMPUTED_VALUE"""),"Real")</f>
        <v>Real</v>
      </c>
      <c r="G7881" s="8">
        <f t="shared" si="1"/>
        <v>9</v>
      </c>
      <c r="H7881" s="14">
        <f t="shared" si="2"/>
        <v>25</v>
      </c>
      <c r="I7881" s="15">
        <f t="shared" si="3"/>
        <v>9</v>
      </c>
    </row>
    <row r="7882">
      <c r="A7882" s="8" t="str">
        <f>IFERROR(__xludf.DUMMYFUNCTION("IF('(INGESTA)Datos_consumo_datadis'!A7882&lt;&gt;"""",SPLIT('(INGESTA)Datos_consumo_datadis'!A:A,"",""),"""")"),"ES0031408323131005HX0F")</f>
        <v>ES0031408323131005HX0F</v>
      </c>
      <c r="B7882" s="12">
        <f>IFERROR(__xludf.DUMMYFUNCTION("""COMPUTED_VALUE"""),45194.0)</f>
        <v>45194</v>
      </c>
      <c r="C7882" s="13">
        <f>IFERROR(__xludf.DUMMYFUNCTION("""COMPUTED_VALUE"""),0.4166666666666667)</f>
        <v>0.4166666667</v>
      </c>
      <c r="D7882" s="8">
        <f>IFERROR(__xludf.DUMMYFUNCTION("""COMPUTED_VALUE"""),0.621)</f>
        <v>0.621</v>
      </c>
      <c r="E7882" s="8" t="str">
        <f>IFERROR(__xludf.DUMMYFUNCTION("""COMPUTED_VALUE"""),"Real")</f>
        <v>Real</v>
      </c>
      <c r="G7882" s="8">
        <f t="shared" si="1"/>
        <v>9</v>
      </c>
      <c r="H7882" s="14">
        <f t="shared" si="2"/>
        <v>25</v>
      </c>
      <c r="I7882" s="15">
        <f t="shared" si="3"/>
        <v>10</v>
      </c>
    </row>
    <row r="7883">
      <c r="A7883" s="8" t="str">
        <f>IFERROR(__xludf.DUMMYFUNCTION("IF('(INGESTA)Datos_consumo_datadis'!A7883&lt;&gt;"""",SPLIT('(INGESTA)Datos_consumo_datadis'!A:A,"",""),"""")"),"ES0031408323131005HX0F")</f>
        <v>ES0031408323131005HX0F</v>
      </c>
      <c r="B7883" s="12">
        <f>IFERROR(__xludf.DUMMYFUNCTION("""COMPUTED_VALUE"""),45194.0)</f>
        <v>45194</v>
      </c>
      <c r="C7883" s="13">
        <f>IFERROR(__xludf.DUMMYFUNCTION("""COMPUTED_VALUE"""),0.4583333333333333)</f>
        <v>0.4583333333</v>
      </c>
      <c r="D7883" s="8">
        <f>IFERROR(__xludf.DUMMYFUNCTION("""COMPUTED_VALUE"""),0.459)</f>
        <v>0.459</v>
      </c>
      <c r="E7883" s="8" t="str">
        <f>IFERROR(__xludf.DUMMYFUNCTION("""COMPUTED_VALUE"""),"Real")</f>
        <v>Real</v>
      </c>
      <c r="G7883" s="8">
        <f t="shared" si="1"/>
        <v>9</v>
      </c>
      <c r="H7883" s="14">
        <f t="shared" si="2"/>
        <v>25</v>
      </c>
      <c r="I7883" s="15">
        <f t="shared" si="3"/>
        <v>11</v>
      </c>
    </row>
    <row r="7884">
      <c r="A7884" s="8" t="str">
        <f>IFERROR(__xludf.DUMMYFUNCTION("IF('(INGESTA)Datos_consumo_datadis'!A7884&lt;&gt;"""",SPLIT('(INGESTA)Datos_consumo_datadis'!A:A,"",""),"""")"),"ES0031408323131005HX0F")</f>
        <v>ES0031408323131005HX0F</v>
      </c>
      <c r="B7884" s="12">
        <f>IFERROR(__xludf.DUMMYFUNCTION("""COMPUTED_VALUE"""),45194.0)</f>
        <v>45194</v>
      </c>
      <c r="C7884" s="13">
        <f>IFERROR(__xludf.DUMMYFUNCTION("""COMPUTED_VALUE"""),0.5)</f>
        <v>0.5</v>
      </c>
      <c r="D7884" s="8">
        <f>IFERROR(__xludf.DUMMYFUNCTION("""COMPUTED_VALUE"""),0.286)</f>
        <v>0.286</v>
      </c>
      <c r="E7884" s="8" t="str">
        <f>IFERROR(__xludf.DUMMYFUNCTION("""COMPUTED_VALUE"""),"Real")</f>
        <v>Real</v>
      </c>
      <c r="G7884" s="8">
        <f t="shared" si="1"/>
        <v>9</v>
      </c>
      <c r="H7884" s="14">
        <f t="shared" si="2"/>
        <v>25</v>
      </c>
      <c r="I7884" s="15">
        <f t="shared" si="3"/>
        <v>12</v>
      </c>
    </row>
    <row r="7885">
      <c r="A7885" s="8" t="str">
        <f>IFERROR(__xludf.DUMMYFUNCTION("IF('(INGESTA)Datos_consumo_datadis'!A7885&lt;&gt;"""",SPLIT('(INGESTA)Datos_consumo_datadis'!A:A,"",""),"""")"),"ES0031408323131005HX0F")</f>
        <v>ES0031408323131005HX0F</v>
      </c>
      <c r="B7885" s="12">
        <f>IFERROR(__xludf.DUMMYFUNCTION("""COMPUTED_VALUE"""),45194.0)</f>
        <v>45194</v>
      </c>
      <c r="C7885" s="13">
        <f>IFERROR(__xludf.DUMMYFUNCTION("""COMPUTED_VALUE"""),0.5416666666666666)</f>
        <v>0.5416666667</v>
      </c>
      <c r="D7885" s="8">
        <f>IFERROR(__xludf.DUMMYFUNCTION("""COMPUTED_VALUE"""),0.504)</f>
        <v>0.504</v>
      </c>
      <c r="E7885" s="8" t="str">
        <f>IFERROR(__xludf.DUMMYFUNCTION("""COMPUTED_VALUE"""),"Real")</f>
        <v>Real</v>
      </c>
      <c r="G7885" s="8">
        <f t="shared" si="1"/>
        <v>9</v>
      </c>
      <c r="H7885" s="14">
        <f t="shared" si="2"/>
        <v>25</v>
      </c>
      <c r="I7885" s="15">
        <f t="shared" si="3"/>
        <v>13</v>
      </c>
    </row>
    <row r="7886">
      <c r="A7886" s="8" t="str">
        <f>IFERROR(__xludf.DUMMYFUNCTION("IF('(INGESTA)Datos_consumo_datadis'!A7886&lt;&gt;"""",SPLIT('(INGESTA)Datos_consumo_datadis'!A:A,"",""),"""")"),"ES0031408323131005HX0F")</f>
        <v>ES0031408323131005HX0F</v>
      </c>
      <c r="B7886" s="12">
        <f>IFERROR(__xludf.DUMMYFUNCTION("""COMPUTED_VALUE"""),45194.0)</f>
        <v>45194</v>
      </c>
      <c r="C7886" s="13">
        <f>IFERROR(__xludf.DUMMYFUNCTION("""COMPUTED_VALUE"""),0.5833333333333334)</f>
        <v>0.5833333333</v>
      </c>
      <c r="D7886" s="8">
        <f>IFERROR(__xludf.DUMMYFUNCTION("""COMPUTED_VALUE"""),0.212)</f>
        <v>0.212</v>
      </c>
      <c r="E7886" s="8" t="str">
        <f>IFERROR(__xludf.DUMMYFUNCTION("""COMPUTED_VALUE"""),"Real")</f>
        <v>Real</v>
      </c>
      <c r="G7886" s="8">
        <f t="shared" si="1"/>
        <v>9</v>
      </c>
      <c r="H7886" s="14">
        <f t="shared" si="2"/>
        <v>25</v>
      </c>
      <c r="I7886" s="15">
        <f t="shared" si="3"/>
        <v>14</v>
      </c>
    </row>
    <row r="7887">
      <c r="A7887" s="8" t="str">
        <f>IFERROR(__xludf.DUMMYFUNCTION("IF('(INGESTA)Datos_consumo_datadis'!A7887&lt;&gt;"""",SPLIT('(INGESTA)Datos_consumo_datadis'!A:A,"",""),"""")"),"ES0031408323131005HX0F")</f>
        <v>ES0031408323131005HX0F</v>
      </c>
      <c r="B7887" s="12">
        <f>IFERROR(__xludf.DUMMYFUNCTION("""COMPUTED_VALUE"""),45194.0)</f>
        <v>45194</v>
      </c>
      <c r="C7887" s="13">
        <f>IFERROR(__xludf.DUMMYFUNCTION("""COMPUTED_VALUE"""),0.625)</f>
        <v>0.625</v>
      </c>
      <c r="D7887" s="8">
        <f>IFERROR(__xludf.DUMMYFUNCTION("""COMPUTED_VALUE"""),0.632)</f>
        <v>0.632</v>
      </c>
      <c r="E7887" s="8" t="str">
        <f>IFERROR(__xludf.DUMMYFUNCTION("""COMPUTED_VALUE"""),"Real")</f>
        <v>Real</v>
      </c>
      <c r="G7887" s="8">
        <f t="shared" si="1"/>
        <v>9</v>
      </c>
      <c r="H7887" s="14">
        <f t="shared" si="2"/>
        <v>25</v>
      </c>
      <c r="I7887" s="15">
        <f t="shared" si="3"/>
        <v>15</v>
      </c>
    </row>
    <row r="7888">
      <c r="A7888" s="8" t="str">
        <f>IFERROR(__xludf.DUMMYFUNCTION("IF('(INGESTA)Datos_consumo_datadis'!A7888&lt;&gt;"""",SPLIT('(INGESTA)Datos_consumo_datadis'!A:A,"",""),"""")"),"ES0031408323131005HX0F")</f>
        <v>ES0031408323131005HX0F</v>
      </c>
      <c r="B7888" s="12">
        <f>IFERROR(__xludf.DUMMYFUNCTION("""COMPUTED_VALUE"""),45194.0)</f>
        <v>45194</v>
      </c>
      <c r="C7888" s="13">
        <f>IFERROR(__xludf.DUMMYFUNCTION("""COMPUTED_VALUE"""),0.6666666666666666)</f>
        <v>0.6666666667</v>
      </c>
      <c r="D7888" s="8">
        <f>IFERROR(__xludf.DUMMYFUNCTION("""COMPUTED_VALUE"""),1.045)</f>
        <v>1.045</v>
      </c>
      <c r="E7888" s="8" t="str">
        <f>IFERROR(__xludf.DUMMYFUNCTION("""COMPUTED_VALUE"""),"Real")</f>
        <v>Real</v>
      </c>
      <c r="G7888" s="8">
        <f t="shared" si="1"/>
        <v>9</v>
      </c>
      <c r="H7888" s="14">
        <f t="shared" si="2"/>
        <v>25</v>
      </c>
      <c r="I7888" s="15">
        <f t="shared" si="3"/>
        <v>16</v>
      </c>
    </row>
    <row r="7889">
      <c r="A7889" s="8" t="str">
        <f>IFERROR(__xludf.DUMMYFUNCTION("IF('(INGESTA)Datos_consumo_datadis'!A7889&lt;&gt;"""",SPLIT('(INGESTA)Datos_consumo_datadis'!A:A,"",""),"""")"),"ES0031408323131005HX0F")</f>
        <v>ES0031408323131005HX0F</v>
      </c>
      <c r="B7889" s="12">
        <f>IFERROR(__xludf.DUMMYFUNCTION("""COMPUTED_VALUE"""),45194.0)</f>
        <v>45194</v>
      </c>
      <c r="C7889" s="13">
        <f>IFERROR(__xludf.DUMMYFUNCTION("""COMPUTED_VALUE"""),0.7083333333333334)</f>
        <v>0.7083333333</v>
      </c>
      <c r="D7889" s="8">
        <f>IFERROR(__xludf.DUMMYFUNCTION("""COMPUTED_VALUE"""),0.372)</f>
        <v>0.372</v>
      </c>
      <c r="E7889" s="8" t="str">
        <f>IFERROR(__xludf.DUMMYFUNCTION("""COMPUTED_VALUE"""),"Real")</f>
        <v>Real</v>
      </c>
      <c r="G7889" s="8">
        <f t="shared" si="1"/>
        <v>9</v>
      </c>
      <c r="H7889" s="14">
        <f t="shared" si="2"/>
        <v>25</v>
      </c>
      <c r="I7889" s="15">
        <f t="shared" si="3"/>
        <v>17</v>
      </c>
    </row>
    <row r="7890">
      <c r="A7890" s="8" t="str">
        <f>IFERROR(__xludf.DUMMYFUNCTION("IF('(INGESTA)Datos_consumo_datadis'!A7890&lt;&gt;"""",SPLIT('(INGESTA)Datos_consumo_datadis'!A:A,"",""),"""")"),"ES0031408323131005HX0F")</f>
        <v>ES0031408323131005HX0F</v>
      </c>
      <c r="B7890" s="12">
        <f>IFERROR(__xludf.DUMMYFUNCTION("""COMPUTED_VALUE"""),45194.0)</f>
        <v>45194</v>
      </c>
      <c r="C7890" s="13">
        <f>IFERROR(__xludf.DUMMYFUNCTION("""COMPUTED_VALUE"""),0.75)</f>
        <v>0.75</v>
      </c>
      <c r="D7890" s="8">
        <f>IFERROR(__xludf.DUMMYFUNCTION("""COMPUTED_VALUE"""),0.327)</f>
        <v>0.327</v>
      </c>
      <c r="E7890" s="8" t="str">
        <f>IFERROR(__xludf.DUMMYFUNCTION("""COMPUTED_VALUE"""),"Real")</f>
        <v>Real</v>
      </c>
      <c r="G7890" s="8">
        <f t="shared" si="1"/>
        <v>9</v>
      </c>
      <c r="H7890" s="14">
        <f t="shared" si="2"/>
        <v>25</v>
      </c>
      <c r="I7890" s="15">
        <f t="shared" si="3"/>
        <v>18</v>
      </c>
    </row>
    <row r="7891">
      <c r="A7891" s="8" t="str">
        <f>IFERROR(__xludf.DUMMYFUNCTION("IF('(INGESTA)Datos_consumo_datadis'!A7891&lt;&gt;"""",SPLIT('(INGESTA)Datos_consumo_datadis'!A:A,"",""),"""")"),"ES0031408323131005HX0F")</f>
        <v>ES0031408323131005HX0F</v>
      </c>
      <c r="B7891" s="12">
        <f>IFERROR(__xludf.DUMMYFUNCTION("""COMPUTED_VALUE"""),45194.0)</f>
        <v>45194</v>
      </c>
      <c r="C7891" s="13">
        <f>IFERROR(__xludf.DUMMYFUNCTION("""COMPUTED_VALUE"""),0.7916666666666666)</f>
        <v>0.7916666667</v>
      </c>
      <c r="D7891" s="8">
        <f>IFERROR(__xludf.DUMMYFUNCTION("""COMPUTED_VALUE"""),0.112)</f>
        <v>0.112</v>
      </c>
      <c r="E7891" s="8" t="str">
        <f>IFERROR(__xludf.DUMMYFUNCTION("""COMPUTED_VALUE"""),"Real")</f>
        <v>Real</v>
      </c>
      <c r="G7891" s="8">
        <f t="shared" si="1"/>
        <v>9</v>
      </c>
      <c r="H7891" s="14">
        <f t="shared" si="2"/>
        <v>25</v>
      </c>
      <c r="I7891" s="15">
        <f t="shared" si="3"/>
        <v>19</v>
      </c>
    </row>
    <row r="7892">
      <c r="A7892" s="8" t="str">
        <f>IFERROR(__xludf.DUMMYFUNCTION("IF('(INGESTA)Datos_consumo_datadis'!A7892&lt;&gt;"""",SPLIT('(INGESTA)Datos_consumo_datadis'!A:A,"",""),"""")"),"ES0031408323131005HX0F")</f>
        <v>ES0031408323131005HX0F</v>
      </c>
      <c r="B7892" s="12">
        <f>IFERROR(__xludf.DUMMYFUNCTION("""COMPUTED_VALUE"""),45194.0)</f>
        <v>45194</v>
      </c>
      <c r="C7892" s="13">
        <f>IFERROR(__xludf.DUMMYFUNCTION("""COMPUTED_VALUE"""),0.8333333333333334)</f>
        <v>0.8333333333</v>
      </c>
      <c r="D7892" s="8">
        <f>IFERROR(__xludf.DUMMYFUNCTION("""COMPUTED_VALUE"""),0.235)</f>
        <v>0.235</v>
      </c>
      <c r="E7892" s="8" t="str">
        <f>IFERROR(__xludf.DUMMYFUNCTION("""COMPUTED_VALUE"""),"Real")</f>
        <v>Real</v>
      </c>
      <c r="G7892" s="8">
        <f t="shared" si="1"/>
        <v>9</v>
      </c>
      <c r="H7892" s="14">
        <f t="shared" si="2"/>
        <v>25</v>
      </c>
      <c r="I7892" s="15">
        <f t="shared" si="3"/>
        <v>20</v>
      </c>
    </row>
    <row r="7893">
      <c r="A7893" s="8" t="str">
        <f>IFERROR(__xludf.DUMMYFUNCTION("IF('(INGESTA)Datos_consumo_datadis'!A7893&lt;&gt;"""",SPLIT('(INGESTA)Datos_consumo_datadis'!A:A,"",""),"""")"),"ES0031408323131005HX0F")</f>
        <v>ES0031408323131005HX0F</v>
      </c>
      <c r="B7893" s="12">
        <f>IFERROR(__xludf.DUMMYFUNCTION("""COMPUTED_VALUE"""),45194.0)</f>
        <v>45194</v>
      </c>
      <c r="C7893" s="13">
        <f>IFERROR(__xludf.DUMMYFUNCTION("""COMPUTED_VALUE"""),0.875)</f>
        <v>0.875</v>
      </c>
      <c r="D7893" s="8">
        <f>IFERROR(__xludf.DUMMYFUNCTION("""COMPUTED_VALUE"""),0.57)</f>
        <v>0.57</v>
      </c>
      <c r="E7893" s="8" t="str">
        <f>IFERROR(__xludf.DUMMYFUNCTION("""COMPUTED_VALUE"""),"Real")</f>
        <v>Real</v>
      </c>
      <c r="G7893" s="8">
        <f t="shared" si="1"/>
        <v>9</v>
      </c>
      <c r="H7893" s="14">
        <f t="shared" si="2"/>
        <v>25</v>
      </c>
      <c r="I7893" s="15">
        <f t="shared" si="3"/>
        <v>21</v>
      </c>
    </row>
    <row r="7894">
      <c r="A7894" s="8" t="str">
        <f>IFERROR(__xludf.DUMMYFUNCTION("IF('(INGESTA)Datos_consumo_datadis'!A7894&lt;&gt;"""",SPLIT('(INGESTA)Datos_consumo_datadis'!A:A,"",""),"""")"),"ES0031408323131005HX0F")</f>
        <v>ES0031408323131005HX0F</v>
      </c>
      <c r="B7894" s="12">
        <f>IFERROR(__xludf.DUMMYFUNCTION("""COMPUTED_VALUE"""),45194.0)</f>
        <v>45194</v>
      </c>
      <c r="C7894" s="13">
        <f>IFERROR(__xludf.DUMMYFUNCTION("""COMPUTED_VALUE"""),0.9166666666666666)</f>
        <v>0.9166666667</v>
      </c>
      <c r="D7894" s="8">
        <f>IFERROR(__xludf.DUMMYFUNCTION("""COMPUTED_VALUE"""),0.52)</f>
        <v>0.52</v>
      </c>
      <c r="E7894" s="8" t="str">
        <f>IFERROR(__xludf.DUMMYFUNCTION("""COMPUTED_VALUE"""),"Real")</f>
        <v>Real</v>
      </c>
      <c r="G7894" s="8">
        <f t="shared" si="1"/>
        <v>9</v>
      </c>
      <c r="H7894" s="14">
        <f t="shared" si="2"/>
        <v>25</v>
      </c>
      <c r="I7894" s="15">
        <f t="shared" si="3"/>
        <v>22</v>
      </c>
    </row>
    <row r="7895">
      <c r="A7895" s="8" t="str">
        <f>IFERROR(__xludf.DUMMYFUNCTION("IF('(INGESTA)Datos_consumo_datadis'!A7895&lt;&gt;"""",SPLIT('(INGESTA)Datos_consumo_datadis'!A:A,"",""),"""")"),"ES0031408323131005HX0F")</f>
        <v>ES0031408323131005HX0F</v>
      </c>
      <c r="B7895" s="12">
        <f>IFERROR(__xludf.DUMMYFUNCTION("""COMPUTED_VALUE"""),45194.0)</f>
        <v>45194</v>
      </c>
      <c r="C7895" s="13">
        <f>IFERROR(__xludf.DUMMYFUNCTION("""COMPUTED_VALUE"""),0.9583333333333334)</f>
        <v>0.9583333333</v>
      </c>
      <c r="D7895" s="8">
        <f>IFERROR(__xludf.DUMMYFUNCTION("""COMPUTED_VALUE"""),0.363)</f>
        <v>0.363</v>
      </c>
      <c r="E7895" s="8" t="str">
        <f>IFERROR(__xludf.DUMMYFUNCTION("""COMPUTED_VALUE"""),"Real")</f>
        <v>Real</v>
      </c>
      <c r="G7895" s="8">
        <f t="shared" si="1"/>
        <v>9</v>
      </c>
      <c r="H7895" s="14">
        <f t="shared" si="2"/>
        <v>25</v>
      </c>
      <c r="I7895" s="15">
        <f t="shared" si="3"/>
        <v>23</v>
      </c>
    </row>
    <row r="7896">
      <c r="A7896" s="8" t="str">
        <f>IFERROR(__xludf.DUMMYFUNCTION("IF('(INGESTA)Datos_consumo_datadis'!A7896&lt;&gt;"""",SPLIT('(INGESTA)Datos_consumo_datadis'!A:A,"",""),"""")"),"ES0031408323131005HX0F")</f>
        <v>ES0031408323131005HX0F</v>
      </c>
      <c r="B7896" s="12">
        <f>IFERROR(__xludf.DUMMYFUNCTION("""COMPUTED_VALUE"""),45194.0)</f>
        <v>45194</v>
      </c>
      <c r="C7896" s="16">
        <f>IFERROR(__xludf.DUMMYFUNCTION("""COMPUTED_VALUE"""),1.0)</f>
        <v>1</v>
      </c>
      <c r="D7896" s="8">
        <f>IFERROR(__xludf.DUMMYFUNCTION("""COMPUTED_VALUE"""),0.436)</f>
        <v>0.436</v>
      </c>
      <c r="E7896" s="8" t="str">
        <f>IFERROR(__xludf.DUMMYFUNCTION("""COMPUTED_VALUE"""),"Real")</f>
        <v>Real</v>
      </c>
      <c r="G7896" s="8">
        <f t="shared" si="1"/>
        <v>9</v>
      </c>
      <c r="H7896" s="14">
        <f t="shared" si="2"/>
        <v>25</v>
      </c>
      <c r="I7896" s="15">
        <f t="shared" si="3"/>
        <v>0</v>
      </c>
    </row>
    <row r="7897">
      <c r="A7897" s="8" t="str">
        <f>IFERROR(__xludf.DUMMYFUNCTION("IF('(INGESTA)Datos_consumo_datadis'!A7897&lt;&gt;"""",SPLIT('(INGESTA)Datos_consumo_datadis'!A:A,"",""),"""")"),"ES0031408323131005HX0F")</f>
        <v>ES0031408323131005HX0F</v>
      </c>
      <c r="B7897" s="12">
        <f>IFERROR(__xludf.DUMMYFUNCTION("""COMPUTED_VALUE"""),45195.0)</f>
        <v>45195</v>
      </c>
      <c r="C7897" s="13">
        <f>IFERROR(__xludf.DUMMYFUNCTION("""COMPUTED_VALUE"""),0.041666666666666664)</f>
        <v>0.04166666667</v>
      </c>
      <c r="D7897" s="8">
        <f>IFERROR(__xludf.DUMMYFUNCTION("""COMPUTED_VALUE"""),0.096)</f>
        <v>0.096</v>
      </c>
      <c r="E7897" s="8" t="str">
        <f>IFERROR(__xludf.DUMMYFUNCTION("""COMPUTED_VALUE"""),"Real")</f>
        <v>Real</v>
      </c>
      <c r="G7897" s="8">
        <f t="shared" si="1"/>
        <v>9</v>
      </c>
      <c r="H7897" s="14">
        <f t="shared" si="2"/>
        <v>26</v>
      </c>
      <c r="I7897" s="15">
        <f t="shared" si="3"/>
        <v>1</v>
      </c>
    </row>
    <row r="7898">
      <c r="A7898" s="8" t="str">
        <f>IFERROR(__xludf.DUMMYFUNCTION("IF('(INGESTA)Datos_consumo_datadis'!A7898&lt;&gt;"""",SPLIT('(INGESTA)Datos_consumo_datadis'!A:A,"",""),"""")"),"ES0031408323131005HX0F")</f>
        <v>ES0031408323131005HX0F</v>
      </c>
      <c r="B7898" s="12">
        <f>IFERROR(__xludf.DUMMYFUNCTION("""COMPUTED_VALUE"""),45195.0)</f>
        <v>45195</v>
      </c>
      <c r="C7898" s="13">
        <f>IFERROR(__xludf.DUMMYFUNCTION("""COMPUTED_VALUE"""),0.08333333333333333)</f>
        <v>0.08333333333</v>
      </c>
      <c r="D7898" s="8">
        <f>IFERROR(__xludf.DUMMYFUNCTION("""COMPUTED_VALUE"""),0.12)</f>
        <v>0.12</v>
      </c>
      <c r="E7898" s="8" t="str">
        <f>IFERROR(__xludf.DUMMYFUNCTION("""COMPUTED_VALUE"""),"Real")</f>
        <v>Real</v>
      </c>
      <c r="G7898" s="8">
        <f t="shared" si="1"/>
        <v>9</v>
      </c>
      <c r="H7898" s="14">
        <f t="shared" si="2"/>
        <v>26</v>
      </c>
      <c r="I7898" s="15">
        <f t="shared" si="3"/>
        <v>2</v>
      </c>
    </row>
    <row r="7899">
      <c r="A7899" s="8" t="str">
        <f>IFERROR(__xludf.DUMMYFUNCTION("IF('(INGESTA)Datos_consumo_datadis'!A7899&lt;&gt;"""",SPLIT('(INGESTA)Datos_consumo_datadis'!A:A,"",""),"""")"),"ES0031408323131005HX0F")</f>
        <v>ES0031408323131005HX0F</v>
      </c>
      <c r="B7899" s="12">
        <f>IFERROR(__xludf.DUMMYFUNCTION("""COMPUTED_VALUE"""),45195.0)</f>
        <v>45195</v>
      </c>
      <c r="C7899" s="13">
        <f>IFERROR(__xludf.DUMMYFUNCTION("""COMPUTED_VALUE"""),0.125)</f>
        <v>0.125</v>
      </c>
      <c r="D7899" s="8">
        <f>IFERROR(__xludf.DUMMYFUNCTION("""COMPUTED_VALUE"""),0.104)</f>
        <v>0.104</v>
      </c>
      <c r="E7899" s="8" t="str">
        <f>IFERROR(__xludf.DUMMYFUNCTION("""COMPUTED_VALUE"""),"Real")</f>
        <v>Real</v>
      </c>
      <c r="G7899" s="8">
        <f t="shared" si="1"/>
        <v>9</v>
      </c>
      <c r="H7899" s="14">
        <f t="shared" si="2"/>
        <v>26</v>
      </c>
      <c r="I7899" s="15">
        <f t="shared" si="3"/>
        <v>3</v>
      </c>
    </row>
    <row r="7900">
      <c r="A7900" s="8" t="str">
        <f>IFERROR(__xludf.DUMMYFUNCTION("IF('(INGESTA)Datos_consumo_datadis'!A7900&lt;&gt;"""",SPLIT('(INGESTA)Datos_consumo_datadis'!A:A,"",""),"""")"),"ES0031408323131005HX0F")</f>
        <v>ES0031408323131005HX0F</v>
      </c>
      <c r="B7900" s="12">
        <f>IFERROR(__xludf.DUMMYFUNCTION("""COMPUTED_VALUE"""),45195.0)</f>
        <v>45195</v>
      </c>
      <c r="C7900" s="13">
        <f>IFERROR(__xludf.DUMMYFUNCTION("""COMPUTED_VALUE"""),0.16666666666666666)</f>
        <v>0.1666666667</v>
      </c>
      <c r="D7900" s="8">
        <f>IFERROR(__xludf.DUMMYFUNCTION("""COMPUTED_VALUE"""),0.127)</f>
        <v>0.127</v>
      </c>
      <c r="E7900" s="8" t="str">
        <f>IFERROR(__xludf.DUMMYFUNCTION("""COMPUTED_VALUE"""),"Real")</f>
        <v>Real</v>
      </c>
      <c r="G7900" s="8">
        <f t="shared" si="1"/>
        <v>9</v>
      </c>
      <c r="H7900" s="14">
        <f t="shared" si="2"/>
        <v>26</v>
      </c>
      <c r="I7900" s="15">
        <f t="shared" si="3"/>
        <v>4</v>
      </c>
    </row>
    <row r="7901">
      <c r="A7901" s="8" t="str">
        <f>IFERROR(__xludf.DUMMYFUNCTION("IF('(INGESTA)Datos_consumo_datadis'!A7901&lt;&gt;"""",SPLIT('(INGESTA)Datos_consumo_datadis'!A:A,"",""),"""")"),"ES0031408323131005HX0F")</f>
        <v>ES0031408323131005HX0F</v>
      </c>
      <c r="B7901" s="12">
        <f>IFERROR(__xludf.DUMMYFUNCTION("""COMPUTED_VALUE"""),45195.0)</f>
        <v>45195</v>
      </c>
      <c r="C7901" s="13">
        <f>IFERROR(__xludf.DUMMYFUNCTION("""COMPUTED_VALUE"""),0.20833333333333334)</f>
        <v>0.2083333333</v>
      </c>
      <c r="D7901" s="8">
        <f>IFERROR(__xludf.DUMMYFUNCTION("""COMPUTED_VALUE"""),0.108)</f>
        <v>0.108</v>
      </c>
      <c r="E7901" s="8" t="str">
        <f>IFERROR(__xludf.DUMMYFUNCTION("""COMPUTED_VALUE"""),"Real")</f>
        <v>Real</v>
      </c>
      <c r="G7901" s="8">
        <f t="shared" si="1"/>
        <v>9</v>
      </c>
      <c r="H7901" s="14">
        <f t="shared" si="2"/>
        <v>26</v>
      </c>
      <c r="I7901" s="15">
        <f t="shared" si="3"/>
        <v>5</v>
      </c>
    </row>
    <row r="7902">
      <c r="A7902" s="8" t="str">
        <f>IFERROR(__xludf.DUMMYFUNCTION("IF('(INGESTA)Datos_consumo_datadis'!A7902&lt;&gt;"""",SPLIT('(INGESTA)Datos_consumo_datadis'!A:A,"",""),"""")"),"ES0031408323131005HX0F")</f>
        <v>ES0031408323131005HX0F</v>
      </c>
      <c r="B7902" s="12">
        <f>IFERROR(__xludf.DUMMYFUNCTION("""COMPUTED_VALUE"""),45195.0)</f>
        <v>45195</v>
      </c>
      <c r="C7902" s="13">
        <f>IFERROR(__xludf.DUMMYFUNCTION("""COMPUTED_VALUE"""),0.25)</f>
        <v>0.25</v>
      </c>
      <c r="D7902" s="8">
        <f>IFERROR(__xludf.DUMMYFUNCTION("""COMPUTED_VALUE"""),0.094)</f>
        <v>0.094</v>
      </c>
      <c r="E7902" s="8" t="str">
        <f>IFERROR(__xludf.DUMMYFUNCTION("""COMPUTED_VALUE"""),"Real")</f>
        <v>Real</v>
      </c>
      <c r="G7902" s="8">
        <f t="shared" si="1"/>
        <v>9</v>
      </c>
      <c r="H7902" s="14">
        <f t="shared" si="2"/>
        <v>26</v>
      </c>
      <c r="I7902" s="15">
        <f t="shared" si="3"/>
        <v>6</v>
      </c>
    </row>
    <row r="7903">
      <c r="A7903" s="8" t="str">
        <f>IFERROR(__xludf.DUMMYFUNCTION("IF('(INGESTA)Datos_consumo_datadis'!A7903&lt;&gt;"""",SPLIT('(INGESTA)Datos_consumo_datadis'!A:A,"",""),"""")"),"ES0031408323131005HX0F")</f>
        <v>ES0031408323131005HX0F</v>
      </c>
      <c r="B7903" s="12">
        <f>IFERROR(__xludf.DUMMYFUNCTION("""COMPUTED_VALUE"""),45195.0)</f>
        <v>45195</v>
      </c>
      <c r="C7903" s="13">
        <f>IFERROR(__xludf.DUMMYFUNCTION("""COMPUTED_VALUE"""),0.2916666666666667)</f>
        <v>0.2916666667</v>
      </c>
      <c r="D7903" s="8">
        <f>IFERROR(__xludf.DUMMYFUNCTION("""COMPUTED_VALUE"""),0.353)</f>
        <v>0.353</v>
      </c>
      <c r="E7903" s="8" t="str">
        <f>IFERROR(__xludf.DUMMYFUNCTION("""COMPUTED_VALUE"""),"Real")</f>
        <v>Real</v>
      </c>
      <c r="G7903" s="8">
        <f t="shared" si="1"/>
        <v>9</v>
      </c>
      <c r="H7903" s="14">
        <f t="shared" si="2"/>
        <v>26</v>
      </c>
      <c r="I7903" s="15">
        <f t="shared" si="3"/>
        <v>7</v>
      </c>
    </row>
    <row r="7904">
      <c r="A7904" s="8" t="str">
        <f>IFERROR(__xludf.DUMMYFUNCTION("IF('(INGESTA)Datos_consumo_datadis'!A7904&lt;&gt;"""",SPLIT('(INGESTA)Datos_consumo_datadis'!A:A,"",""),"""")"),"ES0031408323131005HX0F")</f>
        <v>ES0031408323131005HX0F</v>
      </c>
      <c r="B7904" s="12">
        <f>IFERROR(__xludf.DUMMYFUNCTION("""COMPUTED_VALUE"""),45195.0)</f>
        <v>45195</v>
      </c>
      <c r="C7904" s="13">
        <f>IFERROR(__xludf.DUMMYFUNCTION("""COMPUTED_VALUE"""),0.3333333333333333)</f>
        <v>0.3333333333</v>
      </c>
      <c r="D7904" s="8">
        <f>IFERROR(__xludf.DUMMYFUNCTION("""COMPUTED_VALUE"""),0.121)</f>
        <v>0.121</v>
      </c>
      <c r="E7904" s="8" t="str">
        <f>IFERROR(__xludf.DUMMYFUNCTION("""COMPUTED_VALUE"""),"Real")</f>
        <v>Real</v>
      </c>
      <c r="G7904" s="8">
        <f t="shared" si="1"/>
        <v>9</v>
      </c>
      <c r="H7904" s="14">
        <f t="shared" si="2"/>
        <v>26</v>
      </c>
      <c r="I7904" s="15">
        <f t="shared" si="3"/>
        <v>8</v>
      </c>
    </row>
    <row r="7905">
      <c r="A7905" s="8" t="str">
        <f>IFERROR(__xludf.DUMMYFUNCTION("IF('(INGESTA)Datos_consumo_datadis'!A7905&lt;&gt;"""",SPLIT('(INGESTA)Datos_consumo_datadis'!A:A,"",""),"""")"),"ES0031408323131005HX0F")</f>
        <v>ES0031408323131005HX0F</v>
      </c>
      <c r="B7905" s="12">
        <f>IFERROR(__xludf.DUMMYFUNCTION("""COMPUTED_VALUE"""),45195.0)</f>
        <v>45195</v>
      </c>
      <c r="C7905" s="13">
        <f>IFERROR(__xludf.DUMMYFUNCTION("""COMPUTED_VALUE"""),0.375)</f>
        <v>0.375</v>
      </c>
      <c r="D7905" s="8">
        <f>IFERROR(__xludf.DUMMYFUNCTION("""COMPUTED_VALUE"""),0.108)</f>
        <v>0.108</v>
      </c>
      <c r="E7905" s="8" t="str">
        <f>IFERROR(__xludf.DUMMYFUNCTION("""COMPUTED_VALUE"""),"Real")</f>
        <v>Real</v>
      </c>
      <c r="G7905" s="8">
        <f t="shared" si="1"/>
        <v>9</v>
      </c>
      <c r="H7905" s="14">
        <f t="shared" si="2"/>
        <v>26</v>
      </c>
      <c r="I7905" s="15">
        <f t="shared" si="3"/>
        <v>9</v>
      </c>
    </row>
    <row r="7906">
      <c r="A7906" s="8" t="str">
        <f>IFERROR(__xludf.DUMMYFUNCTION("IF('(INGESTA)Datos_consumo_datadis'!A7906&lt;&gt;"""",SPLIT('(INGESTA)Datos_consumo_datadis'!A:A,"",""),"""")"),"ES0031408323131005HX0F")</f>
        <v>ES0031408323131005HX0F</v>
      </c>
      <c r="B7906" s="12">
        <f>IFERROR(__xludf.DUMMYFUNCTION("""COMPUTED_VALUE"""),45195.0)</f>
        <v>45195</v>
      </c>
      <c r="C7906" s="13">
        <f>IFERROR(__xludf.DUMMYFUNCTION("""COMPUTED_VALUE"""),0.4166666666666667)</f>
        <v>0.4166666667</v>
      </c>
      <c r="D7906" s="8">
        <f>IFERROR(__xludf.DUMMYFUNCTION("""COMPUTED_VALUE"""),0.354)</f>
        <v>0.354</v>
      </c>
      <c r="E7906" s="8" t="str">
        <f>IFERROR(__xludf.DUMMYFUNCTION("""COMPUTED_VALUE"""),"Real")</f>
        <v>Real</v>
      </c>
      <c r="G7906" s="8">
        <f t="shared" si="1"/>
        <v>9</v>
      </c>
      <c r="H7906" s="14">
        <f t="shared" si="2"/>
        <v>26</v>
      </c>
      <c r="I7906" s="15">
        <f t="shared" si="3"/>
        <v>10</v>
      </c>
    </row>
    <row r="7907">
      <c r="A7907" s="8" t="str">
        <f>IFERROR(__xludf.DUMMYFUNCTION("IF('(INGESTA)Datos_consumo_datadis'!A7907&lt;&gt;"""",SPLIT('(INGESTA)Datos_consumo_datadis'!A:A,"",""),"""")"),"ES0031408323131005HX0F")</f>
        <v>ES0031408323131005HX0F</v>
      </c>
      <c r="B7907" s="12">
        <f>IFERROR(__xludf.DUMMYFUNCTION("""COMPUTED_VALUE"""),45195.0)</f>
        <v>45195</v>
      </c>
      <c r="C7907" s="13">
        <f>IFERROR(__xludf.DUMMYFUNCTION("""COMPUTED_VALUE"""),0.4583333333333333)</f>
        <v>0.4583333333</v>
      </c>
      <c r="D7907" s="8">
        <f>IFERROR(__xludf.DUMMYFUNCTION("""COMPUTED_VALUE"""),0.171)</f>
        <v>0.171</v>
      </c>
      <c r="E7907" s="8" t="str">
        <f>IFERROR(__xludf.DUMMYFUNCTION("""COMPUTED_VALUE"""),"Real")</f>
        <v>Real</v>
      </c>
      <c r="G7907" s="8">
        <f t="shared" si="1"/>
        <v>9</v>
      </c>
      <c r="H7907" s="14">
        <f t="shared" si="2"/>
        <v>26</v>
      </c>
      <c r="I7907" s="15">
        <f t="shared" si="3"/>
        <v>11</v>
      </c>
    </row>
    <row r="7908">
      <c r="A7908" s="8" t="str">
        <f>IFERROR(__xludf.DUMMYFUNCTION("IF('(INGESTA)Datos_consumo_datadis'!A7908&lt;&gt;"""",SPLIT('(INGESTA)Datos_consumo_datadis'!A:A,"",""),"""")"),"ES0031408323131005HX0F")</f>
        <v>ES0031408323131005HX0F</v>
      </c>
      <c r="B7908" s="12">
        <f>IFERROR(__xludf.DUMMYFUNCTION("""COMPUTED_VALUE"""),45195.0)</f>
        <v>45195</v>
      </c>
      <c r="C7908" s="13">
        <f>IFERROR(__xludf.DUMMYFUNCTION("""COMPUTED_VALUE"""),0.5)</f>
        <v>0.5</v>
      </c>
      <c r="D7908" s="8">
        <f>IFERROR(__xludf.DUMMYFUNCTION("""COMPUTED_VALUE"""),0.632)</f>
        <v>0.632</v>
      </c>
      <c r="E7908" s="8" t="str">
        <f>IFERROR(__xludf.DUMMYFUNCTION("""COMPUTED_VALUE"""),"Real")</f>
        <v>Real</v>
      </c>
      <c r="G7908" s="8">
        <f t="shared" si="1"/>
        <v>9</v>
      </c>
      <c r="H7908" s="14">
        <f t="shared" si="2"/>
        <v>26</v>
      </c>
      <c r="I7908" s="15">
        <f t="shared" si="3"/>
        <v>12</v>
      </c>
    </row>
    <row r="7909">
      <c r="A7909" s="8" t="str">
        <f>IFERROR(__xludf.DUMMYFUNCTION("IF('(INGESTA)Datos_consumo_datadis'!A7909&lt;&gt;"""",SPLIT('(INGESTA)Datos_consumo_datadis'!A:A,"",""),"""")"),"ES0031408323131005HX0F")</f>
        <v>ES0031408323131005HX0F</v>
      </c>
      <c r="B7909" s="12">
        <f>IFERROR(__xludf.DUMMYFUNCTION("""COMPUTED_VALUE"""),45195.0)</f>
        <v>45195</v>
      </c>
      <c r="C7909" s="13">
        <f>IFERROR(__xludf.DUMMYFUNCTION("""COMPUTED_VALUE"""),0.5416666666666666)</f>
        <v>0.5416666667</v>
      </c>
      <c r="D7909" s="8">
        <f>IFERROR(__xludf.DUMMYFUNCTION("""COMPUTED_VALUE"""),0.395)</f>
        <v>0.395</v>
      </c>
      <c r="E7909" s="8" t="str">
        <f>IFERROR(__xludf.DUMMYFUNCTION("""COMPUTED_VALUE"""),"Real")</f>
        <v>Real</v>
      </c>
      <c r="G7909" s="8">
        <f t="shared" si="1"/>
        <v>9</v>
      </c>
      <c r="H7909" s="14">
        <f t="shared" si="2"/>
        <v>26</v>
      </c>
      <c r="I7909" s="15">
        <f t="shared" si="3"/>
        <v>13</v>
      </c>
    </row>
    <row r="7910">
      <c r="A7910" s="8" t="str">
        <f>IFERROR(__xludf.DUMMYFUNCTION("IF('(INGESTA)Datos_consumo_datadis'!A7910&lt;&gt;"""",SPLIT('(INGESTA)Datos_consumo_datadis'!A:A,"",""),"""")"),"ES0031408323131005HX0F")</f>
        <v>ES0031408323131005HX0F</v>
      </c>
      <c r="B7910" s="12">
        <f>IFERROR(__xludf.DUMMYFUNCTION("""COMPUTED_VALUE"""),45195.0)</f>
        <v>45195</v>
      </c>
      <c r="C7910" s="13">
        <f>IFERROR(__xludf.DUMMYFUNCTION("""COMPUTED_VALUE"""),0.5833333333333334)</f>
        <v>0.5833333333</v>
      </c>
      <c r="D7910" s="8">
        <f>IFERROR(__xludf.DUMMYFUNCTION("""COMPUTED_VALUE"""),1.007)</f>
        <v>1.007</v>
      </c>
      <c r="E7910" s="8" t="str">
        <f>IFERROR(__xludf.DUMMYFUNCTION("""COMPUTED_VALUE"""),"Real")</f>
        <v>Real</v>
      </c>
      <c r="G7910" s="8">
        <f t="shared" si="1"/>
        <v>9</v>
      </c>
      <c r="H7910" s="14">
        <f t="shared" si="2"/>
        <v>26</v>
      </c>
      <c r="I7910" s="15">
        <f t="shared" si="3"/>
        <v>14</v>
      </c>
    </row>
    <row r="7911">
      <c r="A7911" s="8" t="str">
        <f>IFERROR(__xludf.DUMMYFUNCTION("IF('(INGESTA)Datos_consumo_datadis'!A7911&lt;&gt;"""",SPLIT('(INGESTA)Datos_consumo_datadis'!A:A,"",""),"""")"),"ES0031408323131005HX0F")</f>
        <v>ES0031408323131005HX0F</v>
      </c>
      <c r="B7911" s="12">
        <f>IFERROR(__xludf.DUMMYFUNCTION("""COMPUTED_VALUE"""),45195.0)</f>
        <v>45195</v>
      </c>
      <c r="C7911" s="13">
        <f>IFERROR(__xludf.DUMMYFUNCTION("""COMPUTED_VALUE"""),0.625)</f>
        <v>0.625</v>
      </c>
      <c r="D7911" s="8">
        <f>IFERROR(__xludf.DUMMYFUNCTION("""COMPUTED_VALUE"""),0.441)</f>
        <v>0.441</v>
      </c>
      <c r="E7911" s="8" t="str">
        <f>IFERROR(__xludf.DUMMYFUNCTION("""COMPUTED_VALUE"""),"Real")</f>
        <v>Real</v>
      </c>
      <c r="G7911" s="8">
        <f t="shared" si="1"/>
        <v>9</v>
      </c>
      <c r="H7911" s="14">
        <f t="shared" si="2"/>
        <v>26</v>
      </c>
      <c r="I7911" s="15">
        <f t="shared" si="3"/>
        <v>15</v>
      </c>
    </row>
    <row r="7912">
      <c r="A7912" s="8" t="str">
        <f>IFERROR(__xludf.DUMMYFUNCTION("IF('(INGESTA)Datos_consumo_datadis'!A7912&lt;&gt;"""",SPLIT('(INGESTA)Datos_consumo_datadis'!A:A,"",""),"""")"),"ES0031408323131005HX0F")</f>
        <v>ES0031408323131005HX0F</v>
      </c>
      <c r="B7912" s="12">
        <f>IFERROR(__xludf.DUMMYFUNCTION("""COMPUTED_VALUE"""),45195.0)</f>
        <v>45195</v>
      </c>
      <c r="C7912" s="13">
        <f>IFERROR(__xludf.DUMMYFUNCTION("""COMPUTED_VALUE"""),0.6666666666666666)</f>
        <v>0.6666666667</v>
      </c>
      <c r="D7912" s="8">
        <f>IFERROR(__xludf.DUMMYFUNCTION("""COMPUTED_VALUE"""),0.344)</f>
        <v>0.344</v>
      </c>
      <c r="E7912" s="8" t="str">
        <f>IFERROR(__xludf.DUMMYFUNCTION("""COMPUTED_VALUE"""),"Real")</f>
        <v>Real</v>
      </c>
      <c r="G7912" s="8">
        <f t="shared" si="1"/>
        <v>9</v>
      </c>
      <c r="H7912" s="14">
        <f t="shared" si="2"/>
        <v>26</v>
      </c>
      <c r="I7912" s="15">
        <f t="shared" si="3"/>
        <v>16</v>
      </c>
    </row>
    <row r="7913">
      <c r="A7913" s="8" t="str">
        <f>IFERROR(__xludf.DUMMYFUNCTION("IF('(INGESTA)Datos_consumo_datadis'!A7913&lt;&gt;"""",SPLIT('(INGESTA)Datos_consumo_datadis'!A:A,"",""),"""")"),"ES0031408323131005HX0F")</f>
        <v>ES0031408323131005HX0F</v>
      </c>
      <c r="B7913" s="12">
        <f>IFERROR(__xludf.DUMMYFUNCTION("""COMPUTED_VALUE"""),45195.0)</f>
        <v>45195</v>
      </c>
      <c r="C7913" s="13">
        <f>IFERROR(__xludf.DUMMYFUNCTION("""COMPUTED_VALUE"""),0.7083333333333334)</f>
        <v>0.7083333333</v>
      </c>
      <c r="D7913" s="8">
        <f>IFERROR(__xludf.DUMMYFUNCTION("""COMPUTED_VALUE"""),0.451)</f>
        <v>0.451</v>
      </c>
      <c r="E7913" s="8" t="str">
        <f>IFERROR(__xludf.DUMMYFUNCTION("""COMPUTED_VALUE"""),"Real")</f>
        <v>Real</v>
      </c>
      <c r="G7913" s="8">
        <f t="shared" si="1"/>
        <v>9</v>
      </c>
      <c r="H7913" s="14">
        <f t="shared" si="2"/>
        <v>26</v>
      </c>
      <c r="I7913" s="15">
        <f t="shared" si="3"/>
        <v>17</v>
      </c>
    </row>
    <row r="7914">
      <c r="A7914" s="8" t="str">
        <f>IFERROR(__xludf.DUMMYFUNCTION("IF('(INGESTA)Datos_consumo_datadis'!A7914&lt;&gt;"""",SPLIT('(INGESTA)Datos_consumo_datadis'!A:A,"",""),"""")"),"ES0031408323131005HX0F")</f>
        <v>ES0031408323131005HX0F</v>
      </c>
      <c r="B7914" s="12">
        <f>IFERROR(__xludf.DUMMYFUNCTION("""COMPUTED_VALUE"""),45195.0)</f>
        <v>45195</v>
      </c>
      <c r="C7914" s="13">
        <f>IFERROR(__xludf.DUMMYFUNCTION("""COMPUTED_VALUE"""),0.75)</f>
        <v>0.75</v>
      </c>
      <c r="D7914" s="8">
        <f>IFERROR(__xludf.DUMMYFUNCTION("""COMPUTED_VALUE"""),0.333)</f>
        <v>0.333</v>
      </c>
      <c r="E7914" s="8" t="str">
        <f>IFERROR(__xludf.DUMMYFUNCTION("""COMPUTED_VALUE"""),"Real")</f>
        <v>Real</v>
      </c>
      <c r="G7914" s="8">
        <f t="shared" si="1"/>
        <v>9</v>
      </c>
      <c r="H7914" s="14">
        <f t="shared" si="2"/>
        <v>26</v>
      </c>
      <c r="I7914" s="15">
        <f t="shared" si="3"/>
        <v>18</v>
      </c>
    </row>
    <row r="7915">
      <c r="A7915" s="8" t="str">
        <f>IFERROR(__xludf.DUMMYFUNCTION("IF('(INGESTA)Datos_consumo_datadis'!A7915&lt;&gt;"""",SPLIT('(INGESTA)Datos_consumo_datadis'!A:A,"",""),"""")"),"ES0031408323131005HX0F")</f>
        <v>ES0031408323131005HX0F</v>
      </c>
      <c r="B7915" s="12">
        <f>IFERROR(__xludf.DUMMYFUNCTION("""COMPUTED_VALUE"""),45195.0)</f>
        <v>45195</v>
      </c>
      <c r="C7915" s="13">
        <f>IFERROR(__xludf.DUMMYFUNCTION("""COMPUTED_VALUE"""),0.7916666666666666)</f>
        <v>0.7916666667</v>
      </c>
      <c r="D7915" s="8">
        <f>IFERROR(__xludf.DUMMYFUNCTION("""COMPUTED_VALUE"""),0.091)</f>
        <v>0.091</v>
      </c>
      <c r="E7915" s="8" t="str">
        <f>IFERROR(__xludf.DUMMYFUNCTION("""COMPUTED_VALUE"""),"Real")</f>
        <v>Real</v>
      </c>
      <c r="G7915" s="8">
        <f t="shared" si="1"/>
        <v>9</v>
      </c>
      <c r="H7915" s="14">
        <f t="shared" si="2"/>
        <v>26</v>
      </c>
      <c r="I7915" s="15">
        <f t="shared" si="3"/>
        <v>19</v>
      </c>
    </row>
    <row r="7916">
      <c r="A7916" s="8" t="str">
        <f>IFERROR(__xludf.DUMMYFUNCTION("IF('(INGESTA)Datos_consumo_datadis'!A7916&lt;&gt;"""",SPLIT('(INGESTA)Datos_consumo_datadis'!A:A,"",""),"""")"),"ES0031408323131005HX0F")</f>
        <v>ES0031408323131005HX0F</v>
      </c>
      <c r="B7916" s="12">
        <f>IFERROR(__xludf.DUMMYFUNCTION("""COMPUTED_VALUE"""),45195.0)</f>
        <v>45195</v>
      </c>
      <c r="C7916" s="13">
        <f>IFERROR(__xludf.DUMMYFUNCTION("""COMPUTED_VALUE"""),0.8333333333333334)</f>
        <v>0.8333333333</v>
      </c>
      <c r="D7916" s="8">
        <f>IFERROR(__xludf.DUMMYFUNCTION("""COMPUTED_VALUE"""),0.073)</f>
        <v>0.073</v>
      </c>
      <c r="E7916" s="8" t="str">
        <f>IFERROR(__xludf.DUMMYFUNCTION("""COMPUTED_VALUE"""),"Real")</f>
        <v>Real</v>
      </c>
      <c r="G7916" s="8">
        <f t="shared" si="1"/>
        <v>9</v>
      </c>
      <c r="H7916" s="14">
        <f t="shared" si="2"/>
        <v>26</v>
      </c>
      <c r="I7916" s="15">
        <f t="shared" si="3"/>
        <v>20</v>
      </c>
    </row>
    <row r="7917">
      <c r="A7917" s="8" t="str">
        <f>IFERROR(__xludf.DUMMYFUNCTION("IF('(INGESTA)Datos_consumo_datadis'!A7917&lt;&gt;"""",SPLIT('(INGESTA)Datos_consumo_datadis'!A:A,"",""),"""")"),"ES0031408323131005HX0F")</f>
        <v>ES0031408323131005HX0F</v>
      </c>
      <c r="B7917" s="12">
        <f>IFERROR(__xludf.DUMMYFUNCTION("""COMPUTED_VALUE"""),45195.0)</f>
        <v>45195</v>
      </c>
      <c r="C7917" s="13">
        <f>IFERROR(__xludf.DUMMYFUNCTION("""COMPUTED_VALUE"""),0.875)</f>
        <v>0.875</v>
      </c>
      <c r="D7917" s="8">
        <f>IFERROR(__xludf.DUMMYFUNCTION("""COMPUTED_VALUE"""),0.566)</f>
        <v>0.566</v>
      </c>
      <c r="E7917" s="8" t="str">
        <f>IFERROR(__xludf.DUMMYFUNCTION("""COMPUTED_VALUE"""),"Real")</f>
        <v>Real</v>
      </c>
      <c r="G7917" s="8">
        <f t="shared" si="1"/>
        <v>9</v>
      </c>
      <c r="H7917" s="14">
        <f t="shared" si="2"/>
        <v>26</v>
      </c>
      <c r="I7917" s="15">
        <f t="shared" si="3"/>
        <v>21</v>
      </c>
    </row>
    <row r="7918">
      <c r="A7918" s="8" t="str">
        <f>IFERROR(__xludf.DUMMYFUNCTION("IF('(INGESTA)Datos_consumo_datadis'!A7918&lt;&gt;"""",SPLIT('(INGESTA)Datos_consumo_datadis'!A:A,"",""),"""")"),"ES0031408323131005HX0F")</f>
        <v>ES0031408323131005HX0F</v>
      </c>
      <c r="B7918" s="12">
        <f>IFERROR(__xludf.DUMMYFUNCTION("""COMPUTED_VALUE"""),45195.0)</f>
        <v>45195</v>
      </c>
      <c r="C7918" s="13">
        <f>IFERROR(__xludf.DUMMYFUNCTION("""COMPUTED_VALUE"""),0.9166666666666666)</f>
        <v>0.9166666667</v>
      </c>
      <c r="D7918" s="8">
        <f>IFERROR(__xludf.DUMMYFUNCTION("""COMPUTED_VALUE"""),0.694)</f>
        <v>0.694</v>
      </c>
      <c r="E7918" s="8" t="str">
        <f>IFERROR(__xludf.DUMMYFUNCTION("""COMPUTED_VALUE"""),"Real")</f>
        <v>Real</v>
      </c>
      <c r="G7918" s="8">
        <f t="shared" si="1"/>
        <v>9</v>
      </c>
      <c r="H7918" s="14">
        <f t="shared" si="2"/>
        <v>26</v>
      </c>
      <c r="I7918" s="15">
        <f t="shared" si="3"/>
        <v>22</v>
      </c>
    </row>
    <row r="7919">
      <c r="A7919" s="8" t="str">
        <f>IFERROR(__xludf.DUMMYFUNCTION("IF('(INGESTA)Datos_consumo_datadis'!A7919&lt;&gt;"""",SPLIT('(INGESTA)Datos_consumo_datadis'!A:A,"",""),"""")"),"ES0031408323131005HX0F")</f>
        <v>ES0031408323131005HX0F</v>
      </c>
      <c r="B7919" s="12">
        <f>IFERROR(__xludf.DUMMYFUNCTION("""COMPUTED_VALUE"""),45195.0)</f>
        <v>45195</v>
      </c>
      <c r="C7919" s="13">
        <f>IFERROR(__xludf.DUMMYFUNCTION("""COMPUTED_VALUE"""),0.9583333333333334)</f>
        <v>0.9583333333</v>
      </c>
      <c r="D7919" s="8">
        <f>IFERROR(__xludf.DUMMYFUNCTION("""COMPUTED_VALUE"""),0.753)</f>
        <v>0.753</v>
      </c>
      <c r="E7919" s="8" t="str">
        <f>IFERROR(__xludf.DUMMYFUNCTION("""COMPUTED_VALUE"""),"Real")</f>
        <v>Real</v>
      </c>
      <c r="G7919" s="8">
        <f t="shared" si="1"/>
        <v>9</v>
      </c>
      <c r="H7919" s="14">
        <f t="shared" si="2"/>
        <v>26</v>
      </c>
      <c r="I7919" s="15">
        <f t="shared" si="3"/>
        <v>23</v>
      </c>
    </row>
    <row r="7920">
      <c r="A7920" s="8" t="str">
        <f>IFERROR(__xludf.DUMMYFUNCTION("IF('(INGESTA)Datos_consumo_datadis'!A7920&lt;&gt;"""",SPLIT('(INGESTA)Datos_consumo_datadis'!A:A,"",""),"""")"),"ES0031408323131005HX0F")</f>
        <v>ES0031408323131005HX0F</v>
      </c>
      <c r="B7920" s="12">
        <f>IFERROR(__xludf.DUMMYFUNCTION("""COMPUTED_VALUE"""),45195.0)</f>
        <v>45195</v>
      </c>
      <c r="C7920" s="16">
        <f>IFERROR(__xludf.DUMMYFUNCTION("""COMPUTED_VALUE"""),1.0)</f>
        <v>1</v>
      </c>
      <c r="D7920" s="8">
        <f>IFERROR(__xludf.DUMMYFUNCTION("""COMPUTED_VALUE"""),0.145)</f>
        <v>0.145</v>
      </c>
      <c r="E7920" s="8" t="str">
        <f>IFERROR(__xludf.DUMMYFUNCTION("""COMPUTED_VALUE"""),"Real")</f>
        <v>Real</v>
      </c>
      <c r="G7920" s="8">
        <f t="shared" si="1"/>
        <v>9</v>
      </c>
      <c r="H7920" s="14">
        <f t="shared" si="2"/>
        <v>26</v>
      </c>
      <c r="I7920" s="15">
        <f t="shared" si="3"/>
        <v>0</v>
      </c>
    </row>
    <row r="7921">
      <c r="A7921" s="8" t="str">
        <f>IFERROR(__xludf.DUMMYFUNCTION("IF('(INGESTA)Datos_consumo_datadis'!A7921&lt;&gt;"""",SPLIT('(INGESTA)Datos_consumo_datadis'!A:A,"",""),"""")"),"ES0031408323131005HX0F")</f>
        <v>ES0031408323131005HX0F</v>
      </c>
      <c r="B7921" s="12">
        <f>IFERROR(__xludf.DUMMYFUNCTION("""COMPUTED_VALUE"""),45196.0)</f>
        <v>45196</v>
      </c>
      <c r="C7921" s="13">
        <f>IFERROR(__xludf.DUMMYFUNCTION("""COMPUTED_VALUE"""),0.041666666666666664)</f>
        <v>0.04166666667</v>
      </c>
      <c r="D7921" s="8">
        <f>IFERROR(__xludf.DUMMYFUNCTION("""COMPUTED_VALUE"""),0.077)</f>
        <v>0.077</v>
      </c>
      <c r="E7921" s="8" t="str">
        <f>IFERROR(__xludf.DUMMYFUNCTION("""COMPUTED_VALUE"""),"Real")</f>
        <v>Real</v>
      </c>
      <c r="G7921" s="8">
        <f t="shared" si="1"/>
        <v>9</v>
      </c>
      <c r="H7921" s="14">
        <f t="shared" si="2"/>
        <v>27</v>
      </c>
      <c r="I7921" s="15">
        <f t="shared" si="3"/>
        <v>1</v>
      </c>
    </row>
    <row r="7922">
      <c r="A7922" s="8" t="str">
        <f>IFERROR(__xludf.DUMMYFUNCTION("IF('(INGESTA)Datos_consumo_datadis'!A7922&lt;&gt;"""",SPLIT('(INGESTA)Datos_consumo_datadis'!A:A,"",""),"""")"),"ES0031408323131005HX0F")</f>
        <v>ES0031408323131005HX0F</v>
      </c>
      <c r="B7922" s="12">
        <f>IFERROR(__xludf.DUMMYFUNCTION("""COMPUTED_VALUE"""),45196.0)</f>
        <v>45196</v>
      </c>
      <c r="C7922" s="13">
        <f>IFERROR(__xludf.DUMMYFUNCTION("""COMPUTED_VALUE"""),0.08333333333333333)</f>
        <v>0.08333333333</v>
      </c>
      <c r="D7922" s="8">
        <f>IFERROR(__xludf.DUMMYFUNCTION("""COMPUTED_VALUE"""),0.098)</f>
        <v>0.098</v>
      </c>
      <c r="E7922" s="8" t="str">
        <f>IFERROR(__xludf.DUMMYFUNCTION("""COMPUTED_VALUE"""),"Real")</f>
        <v>Real</v>
      </c>
      <c r="G7922" s="8">
        <f t="shared" si="1"/>
        <v>9</v>
      </c>
      <c r="H7922" s="14">
        <f t="shared" si="2"/>
        <v>27</v>
      </c>
      <c r="I7922" s="15">
        <f t="shared" si="3"/>
        <v>2</v>
      </c>
    </row>
    <row r="7923">
      <c r="A7923" s="8" t="str">
        <f>IFERROR(__xludf.DUMMYFUNCTION("IF('(INGESTA)Datos_consumo_datadis'!A7923&lt;&gt;"""",SPLIT('(INGESTA)Datos_consumo_datadis'!A:A,"",""),"""")"),"ES0031408323131005HX0F")</f>
        <v>ES0031408323131005HX0F</v>
      </c>
      <c r="B7923" s="12">
        <f>IFERROR(__xludf.DUMMYFUNCTION("""COMPUTED_VALUE"""),45196.0)</f>
        <v>45196</v>
      </c>
      <c r="C7923" s="13">
        <f>IFERROR(__xludf.DUMMYFUNCTION("""COMPUTED_VALUE"""),0.125)</f>
        <v>0.125</v>
      </c>
      <c r="D7923" s="8">
        <f>IFERROR(__xludf.DUMMYFUNCTION("""COMPUTED_VALUE"""),0.046)</f>
        <v>0.046</v>
      </c>
      <c r="E7923" s="8" t="str">
        <f>IFERROR(__xludf.DUMMYFUNCTION("""COMPUTED_VALUE"""),"Real")</f>
        <v>Real</v>
      </c>
      <c r="G7923" s="8">
        <f t="shared" si="1"/>
        <v>9</v>
      </c>
      <c r="H7923" s="14">
        <f t="shared" si="2"/>
        <v>27</v>
      </c>
      <c r="I7923" s="15">
        <f t="shared" si="3"/>
        <v>3</v>
      </c>
    </row>
    <row r="7924">
      <c r="A7924" s="8" t="str">
        <f>IFERROR(__xludf.DUMMYFUNCTION("IF('(INGESTA)Datos_consumo_datadis'!A7924&lt;&gt;"""",SPLIT('(INGESTA)Datos_consumo_datadis'!A:A,"",""),"""")"),"ES0031408323131005HX0F")</f>
        <v>ES0031408323131005HX0F</v>
      </c>
      <c r="B7924" s="12">
        <f>IFERROR(__xludf.DUMMYFUNCTION("""COMPUTED_VALUE"""),45196.0)</f>
        <v>45196</v>
      </c>
      <c r="C7924" s="13">
        <f>IFERROR(__xludf.DUMMYFUNCTION("""COMPUTED_VALUE"""),0.16666666666666666)</f>
        <v>0.1666666667</v>
      </c>
      <c r="D7924" s="8">
        <f>IFERROR(__xludf.DUMMYFUNCTION("""COMPUTED_VALUE"""),0.34)</f>
        <v>0.34</v>
      </c>
      <c r="E7924" s="8" t="str">
        <f>IFERROR(__xludf.DUMMYFUNCTION("""COMPUTED_VALUE"""),"Real")</f>
        <v>Real</v>
      </c>
      <c r="G7924" s="8">
        <f t="shared" si="1"/>
        <v>9</v>
      </c>
      <c r="H7924" s="14">
        <f t="shared" si="2"/>
        <v>27</v>
      </c>
      <c r="I7924" s="15">
        <f t="shared" si="3"/>
        <v>4</v>
      </c>
    </row>
    <row r="7925">
      <c r="A7925" s="8" t="str">
        <f>IFERROR(__xludf.DUMMYFUNCTION("IF('(INGESTA)Datos_consumo_datadis'!A7925&lt;&gt;"""",SPLIT('(INGESTA)Datos_consumo_datadis'!A:A,"",""),"""")"),"ES0031408323131005HX0F")</f>
        <v>ES0031408323131005HX0F</v>
      </c>
      <c r="B7925" s="12">
        <f>IFERROR(__xludf.DUMMYFUNCTION("""COMPUTED_VALUE"""),45196.0)</f>
        <v>45196</v>
      </c>
      <c r="C7925" s="13">
        <f>IFERROR(__xludf.DUMMYFUNCTION("""COMPUTED_VALUE"""),0.20833333333333334)</f>
        <v>0.2083333333</v>
      </c>
      <c r="D7925" s="8">
        <f>IFERROR(__xludf.DUMMYFUNCTION("""COMPUTED_VALUE"""),0.094)</f>
        <v>0.094</v>
      </c>
      <c r="E7925" s="8" t="str">
        <f>IFERROR(__xludf.DUMMYFUNCTION("""COMPUTED_VALUE"""),"Real")</f>
        <v>Real</v>
      </c>
      <c r="G7925" s="8">
        <f t="shared" si="1"/>
        <v>9</v>
      </c>
      <c r="H7925" s="14">
        <f t="shared" si="2"/>
        <v>27</v>
      </c>
      <c r="I7925" s="15">
        <f t="shared" si="3"/>
        <v>5</v>
      </c>
    </row>
    <row r="7926">
      <c r="A7926" s="8" t="str">
        <f>IFERROR(__xludf.DUMMYFUNCTION("IF('(INGESTA)Datos_consumo_datadis'!A7926&lt;&gt;"""",SPLIT('(INGESTA)Datos_consumo_datadis'!A:A,"",""),"""")"),"ES0031408323131005HX0F")</f>
        <v>ES0031408323131005HX0F</v>
      </c>
      <c r="B7926" s="12">
        <f>IFERROR(__xludf.DUMMYFUNCTION("""COMPUTED_VALUE"""),45196.0)</f>
        <v>45196</v>
      </c>
      <c r="C7926" s="13">
        <f>IFERROR(__xludf.DUMMYFUNCTION("""COMPUTED_VALUE"""),0.25)</f>
        <v>0.25</v>
      </c>
      <c r="D7926" s="8">
        <f>IFERROR(__xludf.DUMMYFUNCTION("""COMPUTED_VALUE"""),0.108)</f>
        <v>0.108</v>
      </c>
      <c r="E7926" s="8" t="str">
        <f>IFERROR(__xludf.DUMMYFUNCTION("""COMPUTED_VALUE"""),"Real")</f>
        <v>Real</v>
      </c>
      <c r="G7926" s="8">
        <f t="shared" si="1"/>
        <v>9</v>
      </c>
      <c r="H7926" s="14">
        <f t="shared" si="2"/>
        <v>27</v>
      </c>
      <c r="I7926" s="15">
        <f t="shared" si="3"/>
        <v>6</v>
      </c>
    </row>
    <row r="7927">
      <c r="A7927" s="8" t="str">
        <f>IFERROR(__xludf.DUMMYFUNCTION("IF('(INGESTA)Datos_consumo_datadis'!A7927&lt;&gt;"""",SPLIT('(INGESTA)Datos_consumo_datadis'!A:A,"",""),"""")"),"ES0031408323131005HX0F")</f>
        <v>ES0031408323131005HX0F</v>
      </c>
      <c r="B7927" s="12">
        <f>IFERROR(__xludf.DUMMYFUNCTION("""COMPUTED_VALUE"""),45196.0)</f>
        <v>45196</v>
      </c>
      <c r="C7927" s="13">
        <f>IFERROR(__xludf.DUMMYFUNCTION("""COMPUTED_VALUE"""),0.2916666666666667)</f>
        <v>0.2916666667</v>
      </c>
      <c r="D7927" s="8">
        <f>IFERROR(__xludf.DUMMYFUNCTION("""COMPUTED_VALUE"""),0.064)</f>
        <v>0.064</v>
      </c>
      <c r="E7927" s="8" t="str">
        <f>IFERROR(__xludf.DUMMYFUNCTION("""COMPUTED_VALUE"""),"Real")</f>
        <v>Real</v>
      </c>
      <c r="G7927" s="8">
        <f t="shared" si="1"/>
        <v>9</v>
      </c>
      <c r="H7927" s="14">
        <f t="shared" si="2"/>
        <v>27</v>
      </c>
      <c r="I7927" s="15">
        <f t="shared" si="3"/>
        <v>7</v>
      </c>
    </row>
    <row r="7928">
      <c r="A7928" s="8" t="str">
        <f>IFERROR(__xludf.DUMMYFUNCTION("IF('(INGESTA)Datos_consumo_datadis'!A7928&lt;&gt;"""",SPLIT('(INGESTA)Datos_consumo_datadis'!A:A,"",""),"""")"),"ES0031408323131005HX0F")</f>
        <v>ES0031408323131005HX0F</v>
      </c>
      <c r="B7928" s="12">
        <f>IFERROR(__xludf.DUMMYFUNCTION("""COMPUTED_VALUE"""),45196.0)</f>
        <v>45196</v>
      </c>
      <c r="C7928" s="13">
        <f>IFERROR(__xludf.DUMMYFUNCTION("""COMPUTED_VALUE"""),0.3333333333333333)</f>
        <v>0.3333333333</v>
      </c>
      <c r="D7928" s="8">
        <f>IFERROR(__xludf.DUMMYFUNCTION("""COMPUTED_VALUE"""),0.082)</f>
        <v>0.082</v>
      </c>
      <c r="E7928" s="8" t="str">
        <f>IFERROR(__xludf.DUMMYFUNCTION("""COMPUTED_VALUE"""),"Real")</f>
        <v>Real</v>
      </c>
      <c r="G7928" s="8">
        <f t="shared" si="1"/>
        <v>9</v>
      </c>
      <c r="H7928" s="14">
        <f t="shared" si="2"/>
        <v>27</v>
      </c>
      <c r="I7928" s="15">
        <f t="shared" si="3"/>
        <v>8</v>
      </c>
    </row>
    <row r="7929">
      <c r="A7929" s="8" t="str">
        <f>IFERROR(__xludf.DUMMYFUNCTION("IF('(INGESTA)Datos_consumo_datadis'!A7929&lt;&gt;"""",SPLIT('(INGESTA)Datos_consumo_datadis'!A:A,"",""),"""")"),"ES0031408323131005HX0F")</f>
        <v>ES0031408323131005HX0F</v>
      </c>
      <c r="B7929" s="12">
        <f>IFERROR(__xludf.DUMMYFUNCTION("""COMPUTED_VALUE"""),45196.0)</f>
        <v>45196</v>
      </c>
      <c r="C7929" s="13">
        <f>IFERROR(__xludf.DUMMYFUNCTION("""COMPUTED_VALUE"""),0.375)</f>
        <v>0.375</v>
      </c>
      <c r="D7929" s="8">
        <f>IFERROR(__xludf.DUMMYFUNCTION("""COMPUTED_VALUE"""),0.149)</f>
        <v>0.149</v>
      </c>
      <c r="E7929" s="8" t="str">
        <f>IFERROR(__xludf.DUMMYFUNCTION("""COMPUTED_VALUE"""),"Real")</f>
        <v>Real</v>
      </c>
      <c r="G7929" s="8">
        <f t="shared" si="1"/>
        <v>9</v>
      </c>
      <c r="H7929" s="14">
        <f t="shared" si="2"/>
        <v>27</v>
      </c>
      <c r="I7929" s="15">
        <f t="shared" si="3"/>
        <v>9</v>
      </c>
    </row>
    <row r="7930">
      <c r="A7930" s="8" t="str">
        <f>IFERROR(__xludf.DUMMYFUNCTION("IF('(INGESTA)Datos_consumo_datadis'!A7930&lt;&gt;"""",SPLIT('(INGESTA)Datos_consumo_datadis'!A:A,"",""),"""")"),"ES0031408323131005HX0F")</f>
        <v>ES0031408323131005HX0F</v>
      </c>
      <c r="B7930" s="12">
        <f>IFERROR(__xludf.DUMMYFUNCTION("""COMPUTED_VALUE"""),45196.0)</f>
        <v>45196</v>
      </c>
      <c r="C7930" s="13">
        <f>IFERROR(__xludf.DUMMYFUNCTION("""COMPUTED_VALUE"""),0.4166666666666667)</f>
        <v>0.4166666667</v>
      </c>
      <c r="D7930" s="8">
        <f>IFERROR(__xludf.DUMMYFUNCTION("""COMPUTED_VALUE"""),0.491)</f>
        <v>0.491</v>
      </c>
      <c r="E7930" s="8" t="str">
        <f>IFERROR(__xludf.DUMMYFUNCTION("""COMPUTED_VALUE"""),"Real")</f>
        <v>Real</v>
      </c>
      <c r="G7930" s="8">
        <f t="shared" si="1"/>
        <v>9</v>
      </c>
      <c r="H7930" s="14">
        <f t="shared" si="2"/>
        <v>27</v>
      </c>
      <c r="I7930" s="15">
        <f t="shared" si="3"/>
        <v>10</v>
      </c>
    </row>
    <row r="7931">
      <c r="A7931" s="8" t="str">
        <f>IFERROR(__xludf.DUMMYFUNCTION("IF('(INGESTA)Datos_consumo_datadis'!A7931&lt;&gt;"""",SPLIT('(INGESTA)Datos_consumo_datadis'!A:A,"",""),"""")"),"ES0031408323131005HX0F")</f>
        <v>ES0031408323131005HX0F</v>
      </c>
      <c r="B7931" s="12">
        <f>IFERROR(__xludf.DUMMYFUNCTION("""COMPUTED_VALUE"""),45196.0)</f>
        <v>45196</v>
      </c>
      <c r="C7931" s="13">
        <f>IFERROR(__xludf.DUMMYFUNCTION("""COMPUTED_VALUE"""),0.4583333333333333)</f>
        <v>0.4583333333</v>
      </c>
      <c r="D7931" s="8">
        <f>IFERROR(__xludf.DUMMYFUNCTION("""COMPUTED_VALUE"""),0.423)</f>
        <v>0.423</v>
      </c>
      <c r="E7931" s="8" t="str">
        <f>IFERROR(__xludf.DUMMYFUNCTION("""COMPUTED_VALUE"""),"Real")</f>
        <v>Real</v>
      </c>
      <c r="G7931" s="8">
        <f t="shared" si="1"/>
        <v>9</v>
      </c>
      <c r="H7931" s="14">
        <f t="shared" si="2"/>
        <v>27</v>
      </c>
      <c r="I7931" s="15">
        <f t="shared" si="3"/>
        <v>11</v>
      </c>
    </row>
    <row r="7932">
      <c r="A7932" s="8" t="str">
        <f>IFERROR(__xludf.DUMMYFUNCTION("IF('(INGESTA)Datos_consumo_datadis'!A7932&lt;&gt;"""",SPLIT('(INGESTA)Datos_consumo_datadis'!A:A,"",""),"""")"),"ES0031408323131005HX0F")</f>
        <v>ES0031408323131005HX0F</v>
      </c>
      <c r="B7932" s="12">
        <f>IFERROR(__xludf.DUMMYFUNCTION("""COMPUTED_VALUE"""),45196.0)</f>
        <v>45196</v>
      </c>
      <c r="C7932" s="13">
        <f>IFERROR(__xludf.DUMMYFUNCTION("""COMPUTED_VALUE"""),0.5)</f>
        <v>0.5</v>
      </c>
      <c r="D7932" s="8">
        <f>IFERROR(__xludf.DUMMYFUNCTION("""COMPUTED_VALUE"""),0.232)</f>
        <v>0.232</v>
      </c>
      <c r="E7932" s="8" t="str">
        <f>IFERROR(__xludf.DUMMYFUNCTION("""COMPUTED_VALUE"""),"Real")</f>
        <v>Real</v>
      </c>
      <c r="G7932" s="8">
        <f t="shared" si="1"/>
        <v>9</v>
      </c>
      <c r="H7932" s="14">
        <f t="shared" si="2"/>
        <v>27</v>
      </c>
      <c r="I7932" s="15">
        <f t="shared" si="3"/>
        <v>12</v>
      </c>
    </row>
    <row r="7933">
      <c r="A7933" s="8" t="str">
        <f>IFERROR(__xludf.DUMMYFUNCTION("IF('(INGESTA)Datos_consumo_datadis'!A7933&lt;&gt;"""",SPLIT('(INGESTA)Datos_consumo_datadis'!A:A,"",""),"""")"),"ES0031408323131005HX0F")</f>
        <v>ES0031408323131005HX0F</v>
      </c>
      <c r="B7933" s="12">
        <f>IFERROR(__xludf.DUMMYFUNCTION("""COMPUTED_VALUE"""),45196.0)</f>
        <v>45196</v>
      </c>
      <c r="C7933" s="13">
        <f>IFERROR(__xludf.DUMMYFUNCTION("""COMPUTED_VALUE"""),0.5416666666666666)</f>
        <v>0.5416666667</v>
      </c>
      <c r="D7933" s="8">
        <f>IFERROR(__xludf.DUMMYFUNCTION("""COMPUTED_VALUE"""),0.139)</f>
        <v>0.139</v>
      </c>
      <c r="E7933" s="8" t="str">
        <f>IFERROR(__xludf.DUMMYFUNCTION("""COMPUTED_VALUE"""),"Real")</f>
        <v>Real</v>
      </c>
      <c r="G7933" s="8">
        <f t="shared" si="1"/>
        <v>9</v>
      </c>
      <c r="H7933" s="14">
        <f t="shared" si="2"/>
        <v>27</v>
      </c>
      <c r="I7933" s="15">
        <f t="shared" si="3"/>
        <v>13</v>
      </c>
    </row>
    <row r="7934">
      <c r="A7934" s="8" t="str">
        <f>IFERROR(__xludf.DUMMYFUNCTION("IF('(INGESTA)Datos_consumo_datadis'!A7934&lt;&gt;"""",SPLIT('(INGESTA)Datos_consumo_datadis'!A:A,"",""),"""")"),"ES0031408323131005HX0F")</f>
        <v>ES0031408323131005HX0F</v>
      </c>
      <c r="B7934" s="12">
        <f>IFERROR(__xludf.DUMMYFUNCTION("""COMPUTED_VALUE"""),45196.0)</f>
        <v>45196</v>
      </c>
      <c r="C7934" s="13">
        <f>IFERROR(__xludf.DUMMYFUNCTION("""COMPUTED_VALUE"""),0.5833333333333334)</f>
        <v>0.5833333333</v>
      </c>
      <c r="D7934" s="8">
        <f>IFERROR(__xludf.DUMMYFUNCTION("""COMPUTED_VALUE"""),0.097)</f>
        <v>0.097</v>
      </c>
      <c r="E7934" s="8" t="str">
        <f>IFERROR(__xludf.DUMMYFUNCTION("""COMPUTED_VALUE"""),"Real")</f>
        <v>Real</v>
      </c>
      <c r="G7934" s="8">
        <f t="shared" si="1"/>
        <v>9</v>
      </c>
      <c r="H7934" s="14">
        <f t="shared" si="2"/>
        <v>27</v>
      </c>
      <c r="I7934" s="15">
        <f t="shared" si="3"/>
        <v>14</v>
      </c>
    </row>
    <row r="7935">
      <c r="A7935" s="8" t="str">
        <f>IFERROR(__xludf.DUMMYFUNCTION("IF('(INGESTA)Datos_consumo_datadis'!A7935&lt;&gt;"""",SPLIT('(INGESTA)Datos_consumo_datadis'!A:A,"",""),"""")"),"ES0031408323131005HX0F")</f>
        <v>ES0031408323131005HX0F</v>
      </c>
      <c r="B7935" s="12">
        <f>IFERROR(__xludf.DUMMYFUNCTION("""COMPUTED_VALUE"""),45196.0)</f>
        <v>45196</v>
      </c>
      <c r="C7935" s="13">
        <f>IFERROR(__xludf.DUMMYFUNCTION("""COMPUTED_VALUE"""),0.625)</f>
        <v>0.625</v>
      </c>
      <c r="D7935" s="8">
        <f>IFERROR(__xludf.DUMMYFUNCTION("""COMPUTED_VALUE"""),0.028)</f>
        <v>0.028</v>
      </c>
      <c r="E7935" s="8" t="str">
        <f>IFERROR(__xludf.DUMMYFUNCTION("""COMPUTED_VALUE"""),"Real")</f>
        <v>Real</v>
      </c>
      <c r="G7935" s="8">
        <f t="shared" si="1"/>
        <v>9</v>
      </c>
      <c r="H7935" s="14">
        <f t="shared" si="2"/>
        <v>27</v>
      </c>
      <c r="I7935" s="15">
        <f t="shared" si="3"/>
        <v>15</v>
      </c>
    </row>
    <row r="7936">
      <c r="A7936" s="8" t="str">
        <f>IFERROR(__xludf.DUMMYFUNCTION("IF('(INGESTA)Datos_consumo_datadis'!A7936&lt;&gt;"""",SPLIT('(INGESTA)Datos_consumo_datadis'!A:A,"",""),"""")"),"ES0031408323131005HX0F")</f>
        <v>ES0031408323131005HX0F</v>
      </c>
      <c r="B7936" s="12">
        <f>IFERROR(__xludf.DUMMYFUNCTION("""COMPUTED_VALUE"""),45196.0)</f>
        <v>45196</v>
      </c>
      <c r="C7936" s="13">
        <f>IFERROR(__xludf.DUMMYFUNCTION("""COMPUTED_VALUE"""),0.6666666666666666)</f>
        <v>0.6666666667</v>
      </c>
      <c r="D7936" s="8">
        <f>IFERROR(__xludf.DUMMYFUNCTION("""COMPUTED_VALUE"""),0.128)</f>
        <v>0.128</v>
      </c>
      <c r="E7936" s="8" t="str">
        <f>IFERROR(__xludf.DUMMYFUNCTION("""COMPUTED_VALUE"""),"Real")</f>
        <v>Real</v>
      </c>
      <c r="G7936" s="8">
        <f t="shared" si="1"/>
        <v>9</v>
      </c>
      <c r="H7936" s="14">
        <f t="shared" si="2"/>
        <v>27</v>
      </c>
      <c r="I7936" s="15">
        <f t="shared" si="3"/>
        <v>16</v>
      </c>
    </row>
    <row r="7937">
      <c r="A7937" s="8" t="str">
        <f>IFERROR(__xludf.DUMMYFUNCTION("IF('(INGESTA)Datos_consumo_datadis'!A7937&lt;&gt;"""",SPLIT('(INGESTA)Datos_consumo_datadis'!A:A,"",""),"""")"),"ES0031408323131005HX0F")</f>
        <v>ES0031408323131005HX0F</v>
      </c>
      <c r="B7937" s="12">
        <f>IFERROR(__xludf.DUMMYFUNCTION("""COMPUTED_VALUE"""),45196.0)</f>
        <v>45196</v>
      </c>
      <c r="C7937" s="13">
        <f>IFERROR(__xludf.DUMMYFUNCTION("""COMPUTED_VALUE"""),0.7083333333333334)</f>
        <v>0.7083333333</v>
      </c>
      <c r="D7937" s="8">
        <f>IFERROR(__xludf.DUMMYFUNCTION("""COMPUTED_VALUE"""),0.335)</f>
        <v>0.335</v>
      </c>
      <c r="E7937" s="8" t="str">
        <f>IFERROR(__xludf.DUMMYFUNCTION("""COMPUTED_VALUE"""),"Real")</f>
        <v>Real</v>
      </c>
      <c r="G7937" s="8">
        <f t="shared" si="1"/>
        <v>9</v>
      </c>
      <c r="H7937" s="14">
        <f t="shared" si="2"/>
        <v>27</v>
      </c>
      <c r="I7937" s="15">
        <f t="shared" si="3"/>
        <v>17</v>
      </c>
    </row>
    <row r="7938">
      <c r="A7938" s="8" t="str">
        <f>IFERROR(__xludf.DUMMYFUNCTION("IF('(INGESTA)Datos_consumo_datadis'!A7938&lt;&gt;"""",SPLIT('(INGESTA)Datos_consumo_datadis'!A:A,"",""),"""")"),"ES0031408323131005HX0F")</f>
        <v>ES0031408323131005HX0F</v>
      </c>
      <c r="B7938" s="12">
        <f>IFERROR(__xludf.DUMMYFUNCTION("""COMPUTED_VALUE"""),45196.0)</f>
        <v>45196</v>
      </c>
      <c r="C7938" s="13">
        <f>IFERROR(__xludf.DUMMYFUNCTION("""COMPUTED_VALUE"""),0.75)</f>
        <v>0.75</v>
      </c>
      <c r="D7938" s="8">
        <f>IFERROR(__xludf.DUMMYFUNCTION("""COMPUTED_VALUE"""),0.733)</f>
        <v>0.733</v>
      </c>
      <c r="E7938" s="8" t="str">
        <f>IFERROR(__xludf.DUMMYFUNCTION("""COMPUTED_VALUE"""),"Real")</f>
        <v>Real</v>
      </c>
      <c r="G7938" s="8">
        <f t="shared" si="1"/>
        <v>9</v>
      </c>
      <c r="H7938" s="14">
        <f t="shared" si="2"/>
        <v>27</v>
      </c>
      <c r="I7938" s="15">
        <f t="shared" si="3"/>
        <v>18</v>
      </c>
    </row>
    <row r="7939">
      <c r="A7939" s="8" t="str">
        <f>IFERROR(__xludf.DUMMYFUNCTION("IF('(INGESTA)Datos_consumo_datadis'!A7939&lt;&gt;"""",SPLIT('(INGESTA)Datos_consumo_datadis'!A:A,"",""),"""")"),"ES0031408323131005HX0F")</f>
        <v>ES0031408323131005HX0F</v>
      </c>
      <c r="B7939" s="12">
        <f>IFERROR(__xludf.DUMMYFUNCTION("""COMPUTED_VALUE"""),45196.0)</f>
        <v>45196</v>
      </c>
      <c r="C7939" s="13">
        <f>IFERROR(__xludf.DUMMYFUNCTION("""COMPUTED_VALUE"""),0.7916666666666666)</f>
        <v>0.7916666667</v>
      </c>
      <c r="D7939" s="8">
        <f>IFERROR(__xludf.DUMMYFUNCTION("""COMPUTED_VALUE"""),0.12)</f>
        <v>0.12</v>
      </c>
      <c r="E7939" s="8" t="str">
        <f>IFERROR(__xludf.DUMMYFUNCTION("""COMPUTED_VALUE"""),"Real")</f>
        <v>Real</v>
      </c>
      <c r="G7939" s="8">
        <f t="shared" si="1"/>
        <v>9</v>
      </c>
      <c r="H7939" s="14">
        <f t="shared" si="2"/>
        <v>27</v>
      </c>
      <c r="I7939" s="15">
        <f t="shared" si="3"/>
        <v>19</v>
      </c>
    </row>
    <row r="7940">
      <c r="A7940" s="8" t="str">
        <f>IFERROR(__xludf.DUMMYFUNCTION("IF('(INGESTA)Datos_consumo_datadis'!A7940&lt;&gt;"""",SPLIT('(INGESTA)Datos_consumo_datadis'!A:A,"",""),"""")"),"ES0031408323131005HX0F")</f>
        <v>ES0031408323131005HX0F</v>
      </c>
      <c r="B7940" s="12">
        <f>IFERROR(__xludf.DUMMYFUNCTION("""COMPUTED_VALUE"""),45196.0)</f>
        <v>45196</v>
      </c>
      <c r="C7940" s="13">
        <f>IFERROR(__xludf.DUMMYFUNCTION("""COMPUTED_VALUE"""),0.8333333333333334)</f>
        <v>0.8333333333</v>
      </c>
      <c r="D7940" s="8">
        <f>IFERROR(__xludf.DUMMYFUNCTION("""COMPUTED_VALUE"""),0.046)</f>
        <v>0.046</v>
      </c>
      <c r="E7940" s="8" t="str">
        <f>IFERROR(__xludf.DUMMYFUNCTION("""COMPUTED_VALUE"""),"Real")</f>
        <v>Real</v>
      </c>
      <c r="G7940" s="8">
        <f t="shared" si="1"/>
        <v>9</v>
      </c>
      <c r="H7940" s="14">
        <f t="shared" si="2"/>
        <v>27</v>
      </c>
      <c r="I7940" s="15">
        <f t="shared" si="3"/>
        <v>20</v>
      </c>
    </row>
    <row r="7941">
      <c r="A7941" s="8" t="str">
        <f>IFERROR(__xludf.DUMMYFUNCTION("IF('(INGESTA)Datos_consumo_datadis'!A7941&lt;&gt;"""",SPLIT('(INGESTA)Datos_consumo_datadis'!A:A,"",""),"""")"),"ES0031408323131005HX0F")</f>
        <v>ES0031408323131005HX0F</v>
      </c>
      <c r="B7941" s="12">
        <f>IFERROR(__xludf.DUMMYFUNCTION("""COMPUTED_VALUE"""),45196.0)</f>
        <v>45196</v>
      </c>
      <c r="C7941" s="13">
        <f>IFERROR(__xludf.DUMMYFUNCTION("""COMPUTED_VALUE"""),0.875)</f>
        <v>0.875</v>
      </c>
      <c r="D7941" s="8">
        <f>IFERROR(__xludf.DUMMYFUNCTION("""COMPUTED_VALUE"""),0.121)</f>
        <v>0.121</v>
      </c>
      <c r="E7941" s="8" t="str">
        <f>IFERROR(__xludf.DUMMYFUNCTION("""COMPUTED_VALUE"""),"Real")</f>
        <v>Real</v>
      </c>
      <c r="G7941" s="8">
        <f t="shared" si="1"/>
        <v>9</v>
      </c>
      <c r="H7941" s="14">
        <f t="shared" si="2"/>
        <v>27</v>
      </c>
      <c r="I7941" s="15">
        <f t="shared" si="3"/>
        <v>21</v>
      </c>
    </row>
    <row r="7942">
      <c r="A7942" s="8" t="str">
        <f>IFERROR(__xludf.DUMMYFUNCTION("IF('(INGESTA)Datos_consumo_datadis'!A7942&lt;&gt;"""",SPLIT('(INGESTA)Datos_consumo_datadis'!A:A,"",""),"""")"),"ES0031408323131005HX0F")</f>
        <v>ES0031408323131005HX0F</v>
      </c>
      <c r="B7942" s="12">
        <f>IFERROR(__xludf.DUMMYFUNCTION("""COMPUTED_VALUE"""),45196.0)</f>
        <v>45196</v>
      </c>
      <c r="C7942" s="13">
        <f>IFERROR(__xludf.DUMMYFUNCTION("""COMPUTED_VALUE"""),0.9166666666666666)</f>
        <v>0.9166666667</v>
      </c>
      <c r="D7942" s="8">
        <f>IFERROR(__xludf.DUMMYFUNCTION("""COMPUTED_VALUE"""),0.375)</f>
        <v>0.375</v>
      </c>
      <c r="E7942" s="8" t="str">
        <f>IFERROR(__xludf.DUMMYFUNCTION("""COMPUTED_VALUE"""),"Real")</f>
        <v>Real</v>
      </c>
      <c r="G7942" s="8">
        <f t="shared" si="1"/>
        <v>9</v>
      </c>
      <c r="H7942" s="14">
        <f t="shared" si="2"/>
        <v>27</v>
      </c>
      <c r="I7942" s="15">
        <f t="shared" si="3"/>
        <v>22</v>
      </c>
    </row>
    <row r="7943">
      <c r="A7943" s="8" t="str">
        <f>IFERROR(__xludf.DUMMYFUNCTION("IF('(INGESTA)Datos_consumo_datadis'!A7943&lt;&gt;"""",SPLIT('(INGESTA)Datos_consumo_datadis'!A:A,"",""),"""")"),"ES0031408323131005HX0F")</f>
        <v>ES0031408323131005HX0F</v>
      </c>
      <c r="B7943" s="12">
        <f>IFERROR(__xludf.DUMMYFUNCTION("""COMPUTED_VALUE"""),45196.0)</f>
        <v>45196</v>
      </c>
      <c r="C7943" s="13">
        <f>IFERROR(__xludf.DUMMYFUNCTION("""COMPUTED_VALUE"""),0.9583333333333334)</f>
        <v>0.9583333333</v>
      </c>
      <c r="D7943" s="8">
        <f>IFERROR(__xludf.DUMMYFUNCTION("""COMPUTED_VALUE"""),0.355)</f>
        <v>0.355</v>
      </c>
      <c r="E7943" s="8" t="str">
        <f>IFERROR(__xludf.DUMMYFUNCTION("""COMPUTED_VALUE"""),"Real")</f>
        <v>Real</v>
      </c>
      <c r="G7943" s="8">
        <f t="shared" si="1"/>
        <v>9</v>
      </c>
      <c r="H7943" s="14">
        <f t="shared" si="2"/>
        <v>27</v>
      </c>
      <c r="I7943" s="15">
        <f t="shared" si="3"/>
        <v>23</v>
      </c>
    </row>
    <row r="7944">
      <c r="A7944" s="8" t="str">
        <f>IFERROR(__xludf.DUMMYFUNCTION("IF('(INGESTA)Datos_consumo_datadis'!A7944&lt;&gt;"""",SPLIT('(INGESTA)Datos_consumo_datadis'!A:A,"",""),"""")"),"ES0031408323131005HX0F")</f>
        <v>ES0031408323131005HX0F</v>
      </c>
      <c r="B7944" s="12">
        <f>IFERROR(__xludf.DUMMYFUNCTION("""COMPUTED_VALUE"""),45196.0)</f>
        <v>45196</v>
      </c>
      <c r="C7944" s="16">
        <f>IFERROR(__xludf.DUMMYFUNCTION("""COMPUTED_VALUE"""),1.0)</f>
        <v>1</v>
      </c>
      <c r="D7944" s="8">
        <f>IFERROR(__xludf.DUMMYFUNCTION("""COMPUTED_VALUE"""),0.555)</f>
        <v>0.555</v>
      </c>
      <c r="E7944" s="8" t="str">
        <f>IFERROR(__xludf.DUMMYFUNCTION("""COMPUTED_VALUE"""),"Real")</f>
        <v>Real</v>
      </c>
      <c r="G7944" s="8">
        <f t="shared" si="1"/>
        <v>9</v>
      </c>
      <c r="H7944" s="14">
        <f t="shared" si="2"/>
        <v>27</v>
      </c>
      <c r="I7944" s="15">
        <f t="shared" si="3"/>
        <v>0</v>
      </c>
    </row>
    <row r="7945">
      <c r="A7945" s="8" t="str">
        <f>IFERROR(__xludf.DUMMYFUNCTION("IF('(INGESTA)Datos_consumo_datadis'!A7945&lt;&gt;"""",SPLIT('(INGESTA)Datos_consumo_datadis'!A:A,"",""),"""")"),"ES0031408323131005HX0F")</f>
        <v>ES0031408323131005HX0F</v>
      </c>
      <c r="B7945" s="12">
        <f>IFERROR(__xludf.DUMMYFUNCTION("""COMPUTED_VALUE"""),45197.0)</f>
        <v>45197</v>
      </c>
      <c r="C7945" s="13">
        <f>IFERROR(__xludf.DUMMYFUNCTION("""COMPUTED_VALUE"""),0.041666666666666664)</f>
        <v>0.04166666667</v>
      </c>
      <c r="D7945" s="8">
        <f>IFERROR(__xludf.DUMMYFUNCTION("""COMPUTED_VALUE"""),0.386)</f>
        <v>0.386</v>
      </c>
      <c r="E7945" s="8" t="str">
        <f>IFERROR(__xludf.DUMMYFUNCTION("""COMPUTED_VALUE"""),"Real")</f>
        <v>Real</v>
      </c>
      <c r="G7945" s="8">
        <f t="shared" si="1"/>
        <v>9</v>
      </c>
      <c r="H7945" s="14">
        <f t="shared" si="2"/>
        <v>28</v>
      </c>
      <c r="I7945" s="15">
        <f t="shared" si="3"/>
        <v>1</v>
      </c>
    </row>
    <row r="7946">
      <c r="A7946" s="8" t="str">
        <f>IFERROR(__xludf.DUMMYFUNCTION("IF('(INGESTA)Datos_consumo_datadis'!A7946&lt;&gt;"""",SPLIT('(INGESTA)Datos_consumo_datadis'!A:A,"",""),"""")"),"ES0031408323131005HX0F")</f>
        <v>ES0031408323131005HX0F</v>
      </c>
      <c r="B7946" s="12">
        <f>IFERROR(__xludf.DUMMYFUNCTION("""COMPUTED_VALUE"""),45197.0)</f>
        <v>45197</v>
      </c>
      <c r="C7946" s="13">
        <f>IFERROR(__xludf.DUMMYFUNCTION("""COMPUTED_VALUE"""),0.08333333333333333)</f>
        <v>0.08333333333</v>
      </c>
      <c r="D7946" s="8">
        <f>IFERROR(__xludf.DUMMYFUNCTION("""COMPUTED_VALUE"""),0.337)</f>
        <v>0.337</v>
      </c>
      <c r="E7946" s="8" t="str">
        <f>IFERROR(__xludf.DUMMYFUNCTION("""COMPUTED_VALUE"""),"Real")</f>
        <v>Real</v>
      </c>
      <c r="G7946" s="8">
        <f t="shared" si="1"/>
        <v>9</v>
      </c>
      <c r="H7946" s="14">
        <f t="shared" si="2"/>
        <v>28</v>
      </c>
      <c r="I7946" s="15">
        <f t="shared" si="3"/>
        <v>2</v>
      </c>
    </row>
    <row r="7947">
      <c r="A7947" s="8" t="str">
        <f>IFERROR(__xludf.DUMMYFUNCTION("IF('(INGESTA)Datos_consumo_datadis'!A7947&lt;&gt;"""",SPLIT('(INGESTA)Datos_consumo_datadis'!A:A,"",""),"""")"),"ES0031408323131005HX0F")</f>
        <v>ES0031408323131005HX0F</v>
      </c>
      <c r="B7947" s="12">
        <f>IFERROR(__xludf.DUMMYFUNCTION("""COMPUTED_VALUE"""),45197.0)</f>
        <v>45197</v>
      </c>
      <c r="C7947" s="13">
        <f>IFERROR(__xludf.DUMMYFUNCTION("""COMPUTED_VALUE"""),0.125)</f>
        <v>0.125</v>
      </c>
      <c r="D7947" s="8">
        <f>IFERROR(__xludf.DUMMYFUNCTION("""COMPUTED_VALUE"""),0.302)</f>
        <v>0.302</v>
      </c>
      <c r="E7947" s="8" t="str">
        <f>IFERROR(__xludf.DUMMYFUNCTION("""COMPUTED_VALUE"""),"Real")</f>
        <v>Real</v>
      </c>
      <c r="G7947" s="8">
        <f t="shared" si="1"/>
        <v>9</v>
      </c>
      <c r="H7947" s="14">
        <f t="shared" si="2"/>
        <v>28</v>
      </c>
      <c r="I7947" s="15">
        <f t="shared" si="3"/>
        <v>3</v>
      </c>
    </row>
    <row r="7948">
      <c r="A7948" s="8" t="str">
        <f>IFERROR(__xludf.DUMMYFUNCTION("IF('(INGESTA)Datos_consumo_datadis'!A7948&lt;&gt;"""",SPLIT('(INGESTA)Datos_consumo_datadis'!A:A,"",""),"""")"),"ES0031408323131005HX0F")</f>
        <v>ES0031408323131005HX0F</v>
      </c>
      <c r="B7948" s="12">
        <f>IFERROR(__xludf.DUMMYFUNCTION("""COMPUTED_VALUE"""),45197.0)</f>
        <v>45197</v>
      </c>
      <c r="C7948" s="13">
        <f>IFERROR(__xludf.DUMMYFUNCTION("""COMPUTED_VALUE"""),0.16666666666666666)</f>
        <v>0.1666666667</v>
      </c>
      <c r="D7948" s="8">
        <f>IFERROR(__xludf.DUMMYFUNCTION("""COMPUTED_VALUE"""),0.049)</f>
        <v>0.049</v>
      </c>
      <c r="E7948" s="8" t="str">
        <f>IFERROR(__xludf.DUMMYFUNCTION("""COMPUTED_VALUE"""),"Real")</f>
        <v>Real</v>
      </c>
      <c r="G7948" s="8">
        <f t="shared" si="1"/>
        <v>9</v>
      </c>
      <c r="H7948" s="14">
        <f t="shared" si="2"/>
        <v>28</v>
      </c>
      <c r="I7948" s="15">
        <f t="shared" si="3"/>
        <v>4</v>
      </c>
    </row>
    <row r="7949">
      <c r="A7949" s="8" t="str">
        <f>IFERROR(__xludf.DUMMYFUNCTION("IF('(INGESTA)Datos_consumo_datadis'!A7949&lt;&gt;"""",SPLIT('(INGESTA)Datos_consumo_datadis'!A:A,"",""),"""")"),"ES0031408323131005HX0F")</f>
        <v>ES0031408323131005HX0F</v>
      </c>
      <c r="B7949" s="12">
        <f>IFERROR(__xludf.DUMMYFUNCTION("""COMPUTED_VALUE"""),45197.0)</f>
        <v>45197</v>
      </c>
      <c r="C7949" s="13">
        <f>IFERROR(__xludf.DUMMYFUNCTION("""COMPUTED_VALUE"""),0.20833333333333334)</f>
        <v>0.2083333333</v>
      </c>
      <c r="D7949" s="8">
        <f>IFERROR(__xludf.DUMMYFUNCTION("""COMPUTED_VALUE"""),0.116)</f>
        <v>0.116</v>
      </c>
      <c r="E7949" s="8" t="str">
        <f>IFERROR(__xludf.DUMMYFUNCTION("""COMPUTED_VALUE"""),"Real")</f>
        <v>Real</v>
      </c>
      <c r="G7949" s="8">
        <f t="shared" si="1"/>
        <v>9</v>
      </c>
      <c r="H7949" s="14">
        <f t="shared" si="2"/>
        <v>28</v>
      </c>
      <c r="I7949" s="15">
        <f t="shared" si="3"/>
        <v>5</v>
      </c>
    </row>
    <row r="7950">
      <c r="A7950" s="8" t="str">
        <f>IFERROR(__xludf.DUMMYFUNCTION("IF('(INGESTA)Datos_consumo_datadis'!A7950&lt;&gt;"""",SPLIT('(INGESTA)Datos_consumo_datadis'!A:A,"",""),"""")"),"ES0031408323131005HX0F")</f>
        <v>ES0031408323131005HX0F</v>
      </c>
      <c r="B7950" s="12">
        <f>IFERROR(__xludf.DUMMYFUNCTION("""COMPUTED_VALUE"""),45197.0)</f>
        <v>45197</v>
      </c>
      <c r="C7950" s="13">
        <f>IFERROR(__xludf.DUMMYFUNCTION("""COMPUTED_VALUE"""),0.25)</f>
        <v>0.25</v>
      </c>
      <c r="D7950" s="8">
        <f>IFERROR(__xludf.DUMMYFUNCTION("""COMPUTED_VALUE"""),0.077)</f>
        <v>0.077</v>
      </c>
      <c r="E7950" s="8" t="str">
        <f>IFERROR(__xludf.DUMMYFUNCTION("""COMPUTED_VALUE"""),"Real")</f>
        <v>Real</v>
      </c>
      <c r="G7950" s="8">
        <f t="shared" si="1"/>
        <v>9</v>
      </c>
      <c r="H7950" s="14">
        <f t="shared" si="2"/>
        <v>28</v>
      </c>
      <c r="I7950" s="15">
        <f t="shared" si="3"/>
        <v>6</v>
      </c>
    </row>
    <row r="7951">
      <c r="A7951" s="8" t="str">
        <f>IFERROR(__xludf.DUMMYFUNCTION("IF('(INGESTA)Datos_consumo_datadis'!A7951&lt;&gt;"""",SPLIT('(INGESTA)Datos_consumo_datadis'!A:A,"",""),"""")"),"ES0031408323131005HX0F")</f>
        <v>ES0031408323131005HX0F</v>
      </c>
      <c r="B7951" s="12">
        <f>IFERROR(__xludf.DUMMYFUNCTION("""COMPUTED_VALUE"""),45197.0)</f>
        <v>45197</v>
      </c>
      <c r="C7951" s="13">
        <f>IFERROR(__xludf.DUMMYFUNCTION("""COMPUTED_VALUE"""),0.2916666666666667)</f>
        <v>0.2916666667</v>
      </c>
      <c r="D7951" s="8">
        <f>IFERROR(__xludf.DUMMYFUNCTION("""COMPUTED_VALUE"""),0.096)</f>
        <v>0.096</v>
      </c>
      <c r="E7951" s="8" t="str">
        <f>IFERROR(__xludf.DUMMYFUNCTION("""COMPUTED_VALUE"""),"Real")</f>
        <v>Real</v>
      </c>
      <c r="G7951" s="8">
        <f t="shared" si="1"/>
        <v>9</v>
      </c>
      <c r="H7951" s="14">
        <f t="shared" si="2"/>
        <v>28</v>
      </c>
      <c r="I7951" s="15">
        <f t="shared" si="3"/>
        <v>7</v>
      </c>
    </row>
    <row r="7952">
      <c r="A7952" s="8" t="str">
        <f>IFERROR(__xludf.DUMMYFUNCTION("IF('(INGESTA)Datos_consumo_datadis'!A7952&lt;&gt;"""",SPLIT('(INGESTA)Datos_consumo_datadis'!A:A,"",""),"""")"),"ES0031408323131005HX0F")</f>
        <v>ES0031408323131005HX0F</v>
      </c>
      <c r="B7952" s="12">
        <f>IFERROR(__xludf.DUMMYFUNCTION("""COMPUTED_VALUE"""),45197.0)</f>
        <v>45197</v>
      </c>
      <c r="C7952" s="13">
        <f>IFERROR(__xludf.DUMMYFUNCTION("""COMPUTED_VALUE"""),0.3333333333333333)</f>
        <v>0.3333333333</v>
      </c>
      <c r="D7952" s="8">
        <f>IFERROR(__xludf.DUMMYFUNCTION("""COMPUTED_VALUE"""),0.315)</f>
        <v>0.315</v>
      </c>
      <c r="E7952" s="8" t="str">
        <f>IFERROR(__xludf.DUMMYFUNCTION("""COMPUTED_VALUE"""),"Real")</f>
        <v>Real</v>
      </c>
      <c r="G7952" s="8">
        <f t="shared" si="1"/>
        <v>9</v>
      </c>
      <c r="H7952" s="14">
        <f t="shared" si="2"/>
        <v>28</v>
      </c>
      <c r="I7952" s="15">
        <f t="shared" si="3"/>
        <v>8</v>
      </c>
    </row>
    <row r="7953">
      <c r="A7953" s="8" t="str">
        <f>IFERROR(__xludf.DUMMYFUNCTION("IF('(INGESTA)Datos_consumo_datadis'!A7953&lt;&gt;"""",SPLIT('(INGESTA)Datos_consumo_datadis'!A:A,"",""),"""")"),"ES0031408323131005HX0F")</f>
        <v>ES0031408323131005HX0F</v>
      </c>
      <c r="B7953" s="12">
        <f>IFERROR(__xludf.DUMMYFUNCTION("""COMPUTED_VALUE"""),45197.0)</f>
        <v>45197</v>
      </c>
      <c r="C7953" s="13">
        <f>IFERROR(__xludf.DUMMYFUNCTION("""COMPUTED_VALUE"""),0.375)</f>
        <v>0.375</v>
      </c>
      <c r="D7953" s="8">
        <f>IFERROR(__xludf.DUMMYFUNCTION("""COMPUTED_VALUE"""),0.301)</f>
        <v>0.301</v>
      </c>
      <c r="E7953" s="8" t="str">
        <f>IFERROR(__xludf.DUMMYFUNCTION("""COMPUTED_VALUE"""),"Real")</f>
        <v>Real</v>
      </c>
      <c r="G7953" s="8">
        <f t="shared" si="1"/>
        <v>9</v>
      </c>
      <c r="H7953" s="14">
        <f t="shared" si="2"/>
        <v>28</v>
      </c>
      <c r="I7953" s="15">
        <f t="shared" si="3"/>
        <v>9</v>
      </c>
    </row>
    <row r="7954">
      <c r="A7954" s="8" t="str">
        <f>IFERROR(__xludf.DUMMYFUNCTION("IF('(INGESTA)Datos_consumo_datadis'!A7954&lt;&gt;"""",SPLIT('(INGESTA)Datos_consumo_datadis'!A:A,"",""),"""")"),"ES0031408323131005HX0F")</f>
        <v>ES0031408323131005HX0F</v>
      </c>
      <c r="B7954" s="12">
        <f>IFERROR(__xludf.DUMMYFUNCTION("""COMPUTED_VALUE"""),45197.0)</f>
        <v>45197</v>
      </c>
      <c r="C7954" s="13">
        <f>IFERROR(__xludf.DUMMYFUNCTION("""COMPUTED_VALUE"""),0.4166666666666667)</f>
        <v>0.4166666667</v>
      </c>
      <c r="D7954" s="8">
        <f>IFERROR(__xludf.DUMMYFUNCTION("""COMPUTED_VALUE"""),0.256)</f>
        <v>0.256</v>
      </c>
      <c r="E7954" s="8" t="str">
        <f>IFERROR(__xludf.DUMMYFUNCTION("""COMPUTED_VALUE"""),"Real")</f>
        <v>Real</v>
      </c>
      <c r="G7954" s="8">
        <f t="shared" si="1"/>
        <v>9</v>
      </c>
      <c r="H7954" s="14">
        <f t="shared" si="2"/>
        <v>28</v>
      </c>
      <c r="I7954" s="15">
        <f t="shared" si="3"/>
        <v>10</v>
      </c>
    </row>
    <row r="7955">
      <c r="A7955" s="8" t="str">
        <f>IFERROR(__xludf.DUMMYFUNCTION("IF('(INGESTA)Datos_consumo_datadis'!A7955&lt;&gt;"""",SPLIT('(INGESTA)Datos_consumo_datadis'!A:A,"",""),"""")"),"ES0031408323131005HX0F")</f>
        <v>ES0031408323131005HX0F</v>
      </c>
      <c r="B7955" s="12">
        <f>IFERROR(__xludf.DUMMYFUNCTION("""COMPUTED_VALUE"""),45197.0)</f>
        <v>45197</v>
      </c>
      <c r="C7955" s="13">
        <f>IFERROR(__xludf.DUMMYFUNCTION("""COMPUTED_VALUE"""),0.4583333333333333)</f>
        <v>0.4583333333</v>
      </c>
      <c r="D7955" s="8">
        <f>IFERROR(__xludf.DUMMYFUNCTION("""COMPUTED_VALUE"""),0.19)</f>
        <v>0.19</v>
      </c>
      <c r="E7955" s="8" t="str">
        <f>IFERROR(__xludf.DUMMYFUNCTION("""COMPUTED_VALUE"""),"Real")</f>
        <v>Real</v>
      </c>
      <c r="G7955" s="8">
        <f t="shared" si="1"/>
        <v>9</v>
      </c>
      <c r="H7955" s="14">
        <f t="shared" si="2"/>
        <v>28</v>
      </c>
      <c r="I7955" s="15">
        <f t="shared" si="3"/>
        <v>11</v>
      </c>
    </row>
    <row r="7956">
      <c r="A7956" s="8" t="str">
        <f>IFERROR(__xludf.DUMMYFUNCTION("IF('(INGESTA)Datos_consumo_datadis'!A7956&lt;&gt;"""",SPLIT('(INGESTA)Datos_consumo_datadis'!A:A,"",""),"""")"),"ES0031408323131005HX0F")</f>
        <v>ES0031408323131005HX0F</v>
      </c>
      <c r="B7956" s="12">
        <f>IFERROR(__xludf.DUMMYFUNCTION("""COMPUTED_VALUE"""),45197.0)</f>
        <v>45197</v>
      </c>
      <c r="C7956" s="13">
        <f>IFERROR(__xludf.DUMMYFUNCTION("""COMPUTED_VALUE"""),0.5)</f>
        <v>0.5</v>
      </c>
      <c r="D7956" s="8">
        <f>IFERROR(__xludf.DUMMYFUNCTION("""COMPUTED_VALUE"""),0.154)</f>
        <v>0.154</v>
      </c>
      <c r="E7956" s="8" t="str">
        <f>IFERROR(__xludf.DUMMYFUNCTION("""COMPUTED_VALUE"""),"Real")</f>
        <v>Real</v>
      </c>
      <c r="G7956" s="8">
        <f t="shared" si="1"/>
        <v>9</v>
      </c>
      <c r="H7956" s="14">
        <f t="shared" si="2"/>
        <v>28</v>
      </c>
      <c r="I7956" s="15">
        <f t="shared" si="3"/>
        <v>12</v>
      </c>
    </row>
    <row r="7957">
      <c r="A7957" s="8" t="str">
        <f>IFERROR(__xludf.DUMMYFUNCTION("IF('(INGESTA)Datos_consumo_datadis'!A7957&lt;&gt;"""",SPLIT('(INGESTA)Datos_consumo_datadis'!A:A,"",""),"""")"),"ES0031408323131005HX0F")</f>
        <v>ES0031408323131005HX0F</v>
      </c>
      <c r="B7957" s="12">
        <f>IFERROR(__xludf.DUMMYFUNCTION("""COMPUTED_VALUE"""),45197.0)</f>
        <v>45197</v>
      </c>
      <c r="C7957" s="13">
        <f>IFERROR(__xludf.DUMMYFUNCTION("""COMPUTED_VALUE"""),0.5416666666666666)</f>
        <v>0.5416666667</v>
      </c>
      <c r="D7957" s="8">
        <f>IFERROR(__xludf.DUMMYFUNCTION("""COMPUTED_VALUE"""),0.191)</f>
        <v>0.191</v>
      </c>
      <c r="E7957" s="8" t="str">
        <f>IFERROR(__xludf.DUMMYFUNCTION("""COMPUTED_VALUE"""),"Real")</f>
        <v>Real</v>
      </c>
      <c r="G7957" s="8">
        <f t="shared" si="1"/>
        <v>9</v>
      </c>
      <c r="H7957" s="14">
        <f t="shared" si="2"/>
        <v>28</v>
      </c>
      <c r="I7957" s="15">
        <f t="shared" si="3"/>
        <v>13</v>
      </c>
    </row>
    <row r="7958">
      <c r="A7958" s="8" t="str">
        <f>IFERROR(__xludf.DUMMYFUNCTION("IF('(INGESTA)Datos_consumo_datadis'!A7958&lt;&gt;"""",SPLIT('(INGESTA)Datos_consumo_datadis'!A:A,"",""),"""")"),"ES0031408323131005HX0F")</f>
        <v>ES0031408323131005HX0F</v>
      </c>
      <c r="B7958" s="12">
        <f>IFERROR(__xludf.DUMMYFUNCTION("""COMPUTED_VALUE"""),45197.0)</f>
        <v>45197</v>
      </c>
      <c r="C7958" s="13">
        <f>IFERROR(__xludf.DUMMYFUNCTION("""COMPUTED_VALUE"""),0.5833333333333334)</f>
        <v>0.5833333333</v>
      </c>
      <c r="D7958" s="8">
        <f>IFERROR(__xludf.DUMMYFUNCTION("""COMPUTED_VALUE"""),0.42)</f>
        <v>0.42</v>
      </c>
      <c r="E7958" s="8" t="str">
        <f>IFERROR(__xludf.DUMMYFUNCTION("""COMPUTED_VALUE"""),"Real")</f>
        <v>Real</v>
      </c>
      <c r="G7958" s="8">
        <f t="shared" si="1"/>
        <v>9</v>
      </c>
      <c r="H7958" s="14">
        <f t="shared" si="2"/>
        <v>28</v>
      </c>
      <c r="I7958" s="15">
        <f t="shared" si="3"/>
        <v>14</v>
      </c>
    </row>
    <row r="7959">
      <c r="A7959" s="8" t="str">
        <f>IFERROR(__xludf.DUMMYFUNCTION("IF('(INGESTA)Datos_consumo_datadis'!A7959&lt;&gt;"""",SPLIT('(INGESTA)Datos_consumo_datadis'!A:A,"",""),"""")"),"ES0031408323131005HX0F")</f>
        <v>ES0031408323131005HX0F</v>
      </c>
      <c r="B7959" s="12">
        <f>IFERROR(__xludf.DUMMYFUNCTION("""COMPUTED_VALUE"""),45197.0)</f>
        <v>45197</v>
      </c>
      <c r="C7959" s="13">
        <f>IFERROR(__xludf.DUMMYFUNCTION("""COMPUTED_VALUE"""),0.625)</f>
        <v>0.625</v>
      </c>
      <c r="D7959" s="8">
        <f>IFERROR(__xludf.DUMMYFUNCTION("""COMPUTED_VALUE"""),0.064)</f>
        <v>0.064</v>
      </c>
      <c r="E7959" s="8" t="str">
        <f>IFERROR(__xludf.DUMMYFUNCTION("""COMPUTED_VALUE"""),"Real")</f>
        <v>Real</v>
      </c>
      <c r="G7959" s="8">
        <f t="shared" si="1"/>
        <v>9</v>
      </c>
      <c r="H7959" s="14">
        <f t="shared" si="2"/>
        <v>28</v>
      </c>
      <c r="I7959" s="15">
        <f t="shared" si="3"/>
        <v>15</v>
      </c>
    </row>
    <row r="7960">
      <c r="A7960" s="8" t="str">
        <f>IFERROR(__xludf.DUMMYFUNCTION("IF('(INGESTA)Datos_consumo_datadis'!A7960&lt;&gt;"""",SPLIT('(INGESTA)Datos_consumo_datadis'!A:A,"",""),"""")"),"ES0031408323131005HX0F")</f>
        <v>ES0031408323131005HX0F</v>
      </c>
      <c r="B7960" s="12">
        <f>IFERROR(__xludf.DUMMYFUNCTION("""COMPUTED_VALUE"""),45197.0)</f>
        <v>45197</v>
      </c>
      <c r="C7960" s="13">
        <f>IFERROR(__xludf.DUMMYFUNCTION("""COMPUTED_VALUE"""),0.6666666666666666)</f>
        <v>0.6666666667</v>
      </c>
      <c r="D7960" s="8">
        <f>IFERROR(__xludf.DUMMYFUNCTION("""COMPUTED_VALUE"""),0.159)</f>
        <v>0.159</v>
      </c>
      <c r="E7960" s="8" t="str">
        <f>IFERROR(__xludf.DUMMYFUNCTION("""COMPUTED_VALUE"""),"Real")</f>
        <v>Real</v>
      </c>
      <c r="G7960" s="8">
        <f t="shared" si="1"/>
        <v>9</v>
      </c>
      <c r="H7960" s="14">
        <f t="shared" si="2"/>
        <v>28</v>
      </c>
      <c r="I7960" s="15">
        <f t="shared" si="3"/>
        <v>16</v>
      </c>
    </row>
    <row r="7961">
      <c r="A7961" s="8" t="str">
        <f>IFERROR(__xludf.DUMMYFUNCTION("IF('(INGESTA)Datos_consumo_datadis'!A7961&lt;&gt;"""",SPLIT('(INGESTA)Datos_consumo_datadis'!A:A,"",""),"""")"),"ES0031408323131005HX0F")</f>
        <v>ES0031408323131005HX0F</v>
      </c>
      <c r="B7961" s="12">
        <f>IFERROR(__xludf.DUMMYFUNCTION("""COMPUTED_VALUE"""),45197.0)</f>
        <v>45197</v>
      </c>
      <c r="C7961" s="13">
        <f>IFERROR(__xludf.DUMMYFUNCTION("""COMPUTED_VALUE"""),0.7083333333333334)</f>
        <v>0.7083333333</v>
      </c>
      <c r="D7961" s="8">
        <f>IFERROR(__xludf.DUMMYFUNCTION("""COMPUTED_VALUE"""),0.11)</f>
        <v>0.11</v>
      </c>
      <c r="E7961" s="8" t="str">
        <f>IFERROR(__xludf.DUMMYFUNCTION("""COMPUTED_VALUE"""),"Real")</f>
        <v>Real</v>
      </c>
      <c r="G7961" s="8">
        <f t="shared" si="1"/>
        <v>9</v>
      </c>
      <c r="H7961" s="14">
        <f t="shared" si="2"/>
        <v>28</v>
      </c>
      <c r="I7961" s="15">
        <f t="shared" si="3"/>
        <v>17</v>
      </c>
    </row>
    <row r="7962">
      <c r="A7962" s="8" t="str">
        <f>IFERROR(__xludf.DUMMYFUNCTION("IF('(INGESTA)Datos_consumo_datadis'!A7962&lt;&gt;"""",SPLIT('(INGESTA)Datos_consumo_datadis'!A:A,"",""),"""")"),"ES0031408323131005HX0F")</f>
        <v>ES0031408323131005HX0F</v>
      </c>
      <c r="B7962" s="12">
        <f>IFERROR(__xludf.DUMMYFUNCTION("""COMPUTED_VALUE"""),45197.0)</f>
        <v>45197</v>
      </c>
      <c r="C7962" s="13">
        <f>IFERROR(__xludf.DUMMYFUNCTION("""COMPUTED_VALUE"""),0.75)</f>
        <v>0.75</v>
      </c>
      <c r="D7962" s="8">
        <f>IFERROR(__xludf.DUMMYFUNCTION("""COMPUTED_VALUE"""),0.078)</f>
        <v>0.078</v>
      </c>
      <c r="E7962" s="8" t="str">
        <f>IFERROR(__xludf.DUMMYFUNCTION("""COMPUTED_VALUE"""),"Real")</f>
        <v>Real</v>
      </c>
      <c r="G7962" s="8">
        <f t="shared" si="1"/>
        <v>9</v>
      </c>
      <c r="H7962" s="14">
        <f t="shared" si="2"/>
        <v>28</v>
      </c>
      <c r="I7962" s="15">
        <f t="shared" si="3"/>
        <v>18</v>
      </c>
    </row>
    <row r="7963">
      <c r="A7963" s="8" t="str">
        <f>IFERROR(__xludf.DUMMYFUNCTION("IF('(INGESTA)Datos_consumo_datadis'!A7963&lt;&gt;"""",SPLIT('(INGESTA)Datos_consumo_datadis'!A:A,"",""),"""")"),"ES0031408323131005HX0F")</f>
        <v>ES0031408323131005HX0F</v>
      </c>
      <c r="B7963" s="12">
        <f>IFERROR(__xludf.DUMMYFUNCTION("""COMPUTED_VALUE"""),45197.0)</f>
        <v>45197</v>
      </c>
      <c r="C7963" s="13">
        <f>IFERROR(__xludf.DUMMYFUNCTION("""COMPUTED_VALUE"""),0.7916666666666666)</f>
        <v>0.7916666667</v>
      </c>
      <c r="D7963" s="8">
        <f>IFERROR(__xludf.DUMMYFUNCTION("""COMPUTED_VALUE"""),0.091)</f>
        <v>0.091</v>
      </c>
      <c r="E7963" s="8" t="str">
        <f>IFERROR(__xludf.DUMMYFUNCTION("""COMPUTED_VALUE"""),"Real")</f>
        <v>Real</v>
      </c>
      <c r="G7963" s="8">
        <f t="shared" si="1"/>
        <v>9</v>
      </c>
      <c r="H7963" s="14">
        <f t="shared" si="2"/>
        <v>28</v>
      </c>
      <c r="I7963" s="15">
        <f t="shared" si="3"/>
        <v>19</v>
      </c>
    </row>
    <row r="7964">
      <c r="A7964" s="8" t="str">
        <f>IFERROR(__xludf.DUMMYFUNCTION("IF('(INGESTA)Datos_consumo_datadis'!A7964&lt;&gt;"""",SPLIT('(INGESTA)Datos_consumo_datadis'!A:A,"",""),"""")"),"ES0031408323131005HX0F")</f>
        <v>ES0031408323131005HX0F</v>
      </c>
      <c r="B7964" s="12">
        <f>IFERROR(__xludf.DUMMYFUNCTION("""COMPUTED_VALUE"""),45197.0)</f>
        <v>45197</v>
      </c>
      <c r="C7964" s="13">
        <f>IFERROR(__xludf.DUMMYFUNCTION("""COMPUTED_VALUE"""),0.8333333333333334)</f>
        <v>0.8333333333</v>
      </c>
      <c r="D7964" s="8">
        <f>IFERROR(__xludf.DUMMYFUNCTION("""COMPUTED_VALUE"""),0.048)</f>
        <v>0.048</v>
      </c>
      <c r="E7964" s="8" t="str">
        <f>IFERROR(__xludf.DUMMYFUNCTION("""COMPUTED_VALUE"""),"Real")</f>
        <v>Real</v>
      </c>
      <c r="G7964" s="8">
        <f t="shared" si="1"/>
        <v>9</v>
      </c>
      <c r="H7964" s="14">
        <f t="shared" si="2"/>
        <v>28</v>
      </c>
      <c r="I7964" s="15">
        <f t="shared" si="3"/>
        <v>20</v>
      </c>
    </row>
    <row r="7965">
      <c r="A7965" s="8" t="str">
        <f>IFERROR(__xludf.DUMMYFUNCTION("IF('(INGESTA)Datos_consumo_datadis'!A7965&lt;&gt;"""",SPLIT('(INGESTA)Datos_consumo_datadis'!A:A,"",""),"""")"),"ES0031408323131005HX0F")</f>
        <v>ES0031408323131005HX0F</v>
      </c>
      <c r="B7965" s="12">
        <f>IFERROR(__xludf.DUMMYFUNCTION("""COMPUTED_VALUE"""),45197.0)</f>
        <v>45197</v>
      </c>
      <c r="C7965" s="13">
        <f>IFERROR(__xludf.DUMMYFUNCTION("""COMPUTED_VALUE"""),0.875)</f>
        <v>0.875</v>
      </c>
      <c r="D7965" s="8">
        <f>IFERROR(__xludf.DUMMYFUNCTION("""COMPUTED_VALUE"""),0.38)</f>
        <v>0.38</v>
      </c>
      <c r="E7965" s="8" t="str">
        <f>IFERROR(__xludf.DUMMYFUNCTION("""COMPUTED_VALUE"""),"Real")</f>
        <v>Real</v>
      </c>
      <c r="G7965" s="8">
        <f t="shared" si="1"/>
        <v>9</v>
      </c>
      <c r="H7965" s="14">
        <f t="shared" si="2"/>
        <v>28</v>
      </c>
      <c r="I7965" s="15">
        <f t="shared" si="3"/>
        <v>21</v>
      </c>
    </row>
    <row r="7966">
      <c r="A7966" s="8" t="str">
        <f>IFERROR(__xludf.DUMMYFUNCTION("IF('(INGESTA)Datos_consumo_datadis'!A7966&lt;&gt;"""",SPLIT('(INGESTA)Datos_consumo_datadis'!A:A,"",""),"""")"),"ES0031408323131005HX0F")</f>
        <v>ES0031408323131005HX0F</v>
      </c>
      <c r="B7966" s="12">
        <f>IFERROR(__xludf.DUMMYFUNCTION("""COMPUTED_VALUE"""),45197.0)</f>
        <v>45197</v>
      </c>
      <c r="C7966" s="13">
        <f>IFERROR(__xludf.DUMMYFUNCTION("""COMPUTED_VALUE"""),0.9166666666666666)</f>
        <v>0.9166666667</v>
      </c>
      <c r="D7966" s="8">
        <f>IFERROR(__xludf.DUMMYFUNCTION("""COMPUTED_VALUE"""),0.071)</f>
        <v>0.071</v>
      </c>
      <c r="E7966" s="8" t="str">
        <f>IFERROR(__xludf.DUMMYFUNCTION("""COMPUTED_VALUE"""),"Real")</f>
        <v>Real</v>
      </c>
      <c r="G7966" s="8">
        <f t="shared" si="1"/>
        <v>9</v>
      </c>
      <c r="H7966" s="14">
        <f t="shared" si="2"/>
        <v>28</v>
      </c>
      <c r="I7966" s="15">
        <f t="shared" si="3"/>
        <v>22</v>
      </c>
    </row>
    <row r="7967">
      <c r="A7967" s="8" t="str">
        <f>IFERROR(__xludf.DUMMYFUNCTION("IF('(INGESTA)Datos_consumo_datadis'!A7967&lt;&gt;"""",SPLIT('(INGESTA)Datos_consumo_datadis'!A:A,"",""),"""")"),"ES0031408323131005HX0F")</f>
        <v>ES0031408323131005HX0F</v>
      </c>
      <c r="B7967" s="12">
        <f>IFERROR(__xludf.DUMMYFUNCTION("""COMPUTED_VALUE"""),45197.0)</f>
        <v>45197</v>
      </c>
      <c r="C7967" s="13">
        <f>IFERROR(__xludf.DUMMYFUNCTION("""COMPUTED_VALUE"""),0.9583333333333334)</f>
        <v>0.9583333333</v>
      </c>
      <c r="D7967" s="8">
        <f>IFERROR(__xludf.DUMMYFUNCTION("""COMPUTED_VALUE"""),0.06)</f>
        <v>0.06</v>
      </c>
      <c r="E7967" s="8" t="str">
        <f>IFERROR(__xludf.DUMMYFUNCTION("""COMPUTED_VALUE"""),"Real")</f>
        <v>Real</v>
      </c>
      <c r="G7967" s="8">
        <f t="shared" si="1"/>
        <v>9</v>
      </c>
      <c r="H7967" s="14">
        <f t="shared" si="2"/>
        <v>28</v>
      </c>
      <c r="I7967" s="15">
        <f t="shared" si="3"/>
        <v>23</v>
      </c>
    </row>
    <row r="7968">
      <c r="A7968" s="8" t="str">
        <f>IFERROR(__xludf.DUMMYFUNCTION("IF('(INGESTA)Datos_consumo_datadis'!A7968&lt;&gt;"""",SPLIT('(INGESTA)Datos_consumo_datadis'!A:A,"",""),"""")"),"ES0031408323131005HX0F")</f>
        <v>ES0031408323131005HX0F</v>
      </c>
      <c r="B7968" s="12">
        <f>IFERROR(__xludf.DUMMYFUNCTION("""COMPUTED_VALUE"""),45197.0)</f>
        <v>45197</v>
      </c>
      <c r="C7968" s="16">
        <f>IFERROR(__xludf.DUMMYFUNCTION("""COMPUTED_VALUE"""),1.0)</f>
        <v>1</v>
      </c>
      <c r="D7968" s="8">
        <f>IFERROR(__xludf.DUMMYFUNCTION("""COMPUTED_VALUE"""),0.069)</f>
        <v>0.069</v>
      </c>
      <c r="E7968" s="8" t="str">
        <f>IFERROR(__xludf.DUMMYFUNCTION("""COMPUTED_VALUE"""),"Real")</f>
        <v>Real</v>
      </c>
      <c r="G7968" s="8">
        <f t="shared" si="1"/>
        <v>9</v>
      </c>
      <c r="H7968" s="14">
        <f t="shared" si="2"/>
        <v>28</v>
      </c>
      <c r="I7968" s="15">
        <f t="shared" si="3"/>
        <v>0</v>
      </c>
    </row>
    <row r="7969">
      <c r="A7969" s="8" t="str">
        <f>IFERROR(__xludf.DUMMYFUNCTION("IF('(INGESTA)Datos_consumo_datadis'!A7969&lt;&gt;"""",SPLIT('(INGESTA)Datos_consumo_datadis'!A:A,"",""),"""")"),"ES0031408323131005HX0F")</f>
        <v>ES0031408323131005HX0F</v>
      </c>
      <c r="B7969" s="12">
        <f>IFERROR(__xludf.DUMMYFUNCTION("""COMPUTED_VALUE"""),45198.0)</f>
        <v>45198</v>
      </c>
      <c r="C7969" s="13">
        <f>IFERROR(__xludf.DUMMYFUNCTION("""COMPUTED_VALUE"""),0.041666666666666664)</f>
        <v>0.04166666667</v>
      </c>
      <c r="D7969" s="8">
        <f>IFERROR(__xludf.DUMMYFUNCTION("""COMPUTED_VALUE"""),0.091)</f>
        <v>0.091</v>
      </c>
      <c r="E7969" s="8" t="str">
        <f>IFERROR(__xludf.DUMMYFUNCTION("""COMPUTED_VALUE"""),"Real")</f>
        <v>Real</v>
      </c>
      <c r="G7969" s="8">
        <f t="shared" si="1"/>
        <v>9</v>
      </c>
      <c r="H7969" s="14">
        <f t="shared" si="2"/>
        <v>29</v>
      </c>
      <c r="I7969" s="15">
        <f t="shared" si="3"/>
        <v>1</v>
      </c>
    </row>
    <row r="7970">
      <c r="A7970" s="8" t="str">
        <f>IFERROR(__xludf.DUMMYFUNCTION("IF('(INGESTA)Datos_consumo_datadis'!A7970&lt;&gt;"""",SPLIT('(INGESTA)Datos_consumo_datadis'!A:A,"",""),"""")"),"ES0031408323131005HX0F")</f>
        <v>ES0031408323131005HX0F</v>
      </c>
      <c r="B7970" s="12">
        <f>IFERROR(__xludf.DUMMYFUNCTION("""COMPUTED_VALUE"""),45198.0)</f>
        <v>45198</v>
      </c>
      <c r="C7970" s="13">
        <f>IFERROR(__xludf.DUMMYFUNCTION("""COMPUTED_VALUE"""),0.08333333333333333)</f>
        <v>0.08333333333</v>
      </c>
      <c r="D7970" s="8">
        <f>IFERROR(__xludf.DUMMYFUNCTION("""COMPUTED_VALUE"""),0.095)</f>
        <v>0.095</v>
      </c>
      <c r="E7970" s="8" t="str">
        <f>IFERROR(__xludf.DUMMYFUNCTION("""COMPUTED_VALUE"""),"Real")</f>
        <v>Real</v>
      </c>
      <c r="G7970" s="8">
        <f t="shared" si="1"/>
        <v>9</v>
      </c>
      <c r="H7970" s="14">
        <f t="shared" si="2"/>
        <v>29</v>
      </c>
      <c r="I7970" s="15">
        <f t="shared" si="3"/>
        <v>2</v>
      </c>
    </row>
    <row r="7971">
      <c r="A7971" s="8" t="str">
        <f>IFERROR(__xludf.DUMMYFUNCTION("IF('(INGESTA)Datos_consumo_datadis'!A7971&lt;&gt;"""",SPLIT('(INGESTA)Datos_consumo_datadis'!A:A,"",""),"""")"),"ES0031408323131005HX0F")</f>
        <v>ES0031408323131005HX0F</v>
      </c>
      <c r="B7971" s="12">
        <f>IFERROR(__xludf.DUMMYFUNCTION("""COMPUTED_VALUE"""),45198.0)</f>
        <v>45198</v>
      </c>
      <c r="C7971" s="13">
        <f>IFERROR(__xludf.DUMMYFUNCTION("""COMPUTED_VALUE"""),0.125)</f>
        <v>0.125</v>
      </c>
      <c r="D7971" s="8">
        <f>IFERROR(__xludf.DUMMYFUNCTION("""COMPUTED_VALUE"""),0.092)</f>
        <v>0.092</v>
      </c>
      <c r="E7971" s="8" t="str">
        <f>IFERROR(__xludf.DUMMYFUNCTION("""COMPUTED_VALUE"""),"Real")</f>
        <v>Real</v>
      </c>
      <c r="G7971" s="8">
        <f t="shared" si="1"/>
        <v>9</v>
      </c>
      <c r="H7971" s="14">
        <f t="shared" si="2"/>
        <v>29</v>
      </c>
      <c r="I7971" s="15">
        <f t="shared" si="3"/>
        <v>3</v>
      </c>
    </row>
    <row r="7972">
      <c r="A7972" s="8" t="str">
        <f>IFERROR(__xludf.DUMMYFUNCTION("IF('(INGESTA)Datos_consumo_datadis'!A7972&lt;&gt;"""",SPLIT('(INGESTA)Datos_consumo_datadis'!A:A,"",""),"""")"),"ES0031408323131005HX0F")</f>
        <v>ES0031408323131005HX0F</v>
      </c>
      <c r="B7972" s="12">
        <f>IFERROR(__xludf.DUMMYFUNCTION("""COMPUTED_VALUE"""),45198.0)</f>
        <v>45198</v>
      </c>
      <c r="C7972" s="13">
        <f>IFERROR(__xludf.DUMMYFUNCTION("""COMPUTED_VALUE"""),0.16666666666666666)</f>
        <v>0.1666666667</v>
      </c>
      <c r="D7972" s="8">
        <f>IFERROR(__xludf.DUMMYFUNCTION("""COMPUTED_VALUE"""),0.344)</f>
        <v>0.344</v>
      </c>
      <c r="E7972" s="8" t="str">
        <f>IFERROR(__xludf.DUMMYFUNCTION("""COMPUTED_VALUE"""),"Real")</f>
        <v>Real</v>
      </c>
      <c r="G7972" s="8">
        <f t="shared" si="1"/>
        <v>9</v>
      </c>
      <c r="H7972" s="14">
        <f t="shared" si="2"/>
        <v>29</v>
      </c>
      <c r="I7972" s="15">
        <f t="shared" si="3"/>
        <v>4</v>
      </c>
    </row>
    <row r="7973">
      <c r="A7973" s="8" t="str">
        <f>IFERROR(__xludf.DUMMYFUNCTION("IF('(INGESTA)Datos_consumo_datadis'!A7973&lt;&gt;"""",SPLIT('(INGESTA)Datos_consumo_datadis'!A:A,"",""),"""")"),"ES0031408323131005HX0F")</f>
        <v>ES0031408323131005HX0F</v>
      </c>
      <c r="B7973" s="12">
        <f>IFERROR(__xludf.DUMMYFUNCTION("""COMPUTED_VALUE"""),45198.0)</f>
        <v>45198</v>
      </c>
      <c r="C7973" s="13">
        <f>IFERROR(__xludf.DUMMYFUNCTION("""COMPUTED_VALUE"""),0.20833333333333334)</f>
        <v>0.2083333333</v>
      </c>
      <c r="D7973" s="8">
        <f>IFERROR(__xludf.DUMMYFUNCTION("""COMPUTED_VALUE"""),0.114)</f>
        <v>0.114</v>
      </c>
      <c r="E7973" s="8" t="str">
        <f>IFERROR(__xludf.DUMMYFUNCTION("""COMPUTED_VALUE"""),"Real")</f>
        <v>Real</v>
      </c>
      <c r="G7973" s="8">
        <f t="shared" si="1"/>
        <v>9</v>
      </c>
      <c r="H7973" s="14">
        <f t="shared" si="2"/>
        <v>29</v>
      </c>
      <c r="I7973" s="15">
        <f t="shared" si="3"/>
        <v>5</v>
      </c>
    </row>
    <row r="7974">
      <c r="A7974" s="8" t="str">
        <f>IFERROR(__xludf.DUMMYFUNCTION("IF('(INGESTA)Datos_consumo_datadis'!A7974&lt;&gt;"""",SPLIT('(INGESTA)Datos_consumo_datadis'!A:A,"",""),"""")"),"ES0031408323131005HX0F")</f>
        <v>ES0031408323131005HX0F</v>
      </c>
      <c r="B7974" s="12">
        <f>IFERROR(__xludf.DUMMYFUNCTION("""COMPUTED_VALUE"""),45198.0)</f>
        <v>45198</v>
      </c>
      <c r="C7974" s="13">
        <f>IFERROR(__xludf.DUMMYFUNCTION("""COMPUTED_VALUE"""),0.25)</f>
        <v>0.25</v>
      </c>
      <c r="D7974" s="8">
        <f>IFERROR(__xludf.DUMMYFUNCTION("""COMPUTED_VALUE"""),0.099)</f>
        <v>0.099</v>
      </c>
      <c r="E7974" s="8" t="str">
        <f>IFERROR(__xludf.DUMMYFUNCTION("""COMPUTED_VALUE"""),"Real")</f>
        <v>Real</v>
      </c>
      <c r="G7974" s="8">
        <f t="shared" si="1"/>
        <v>9</v>
      </c>
      <c r="H7974" s="14">
        <f t="shared" si="2"/>
        <v>29</v>
      </c>
      <c r="I7974" s="15">
        <f t="shared" si="3"/>
        <v>6</v>
      </c>
    </row>
    <row r="7975">
      <c r="A7975" s="8" t="str">
        <f>IFERROR(__xludf.DUMMYFUNCTION("IF('(INGESTA)Datos_consumo_datadis'!A7975&lt;&gt;"""",SPLIT('(INGESTA)Datos_consumo_datadis'!A:A,"",""),"""")"),"ES0031408323131005HX0F")</f>
        <v>ES0031408323131005HX0F</v>
      </c>
      <c r="B7975" s="12">
        <f>IFERROR(__xludf.DUMMYFUNCTION("""COMPUTED_VALUE"""),45198.0)</f>
        <v>45198</v>
      </c>
      <c r="C7975" s="13">
        <f>IFERROR(__xludf.DUMMYFUNCTION("""COMPUTED_VALUE"""),0.2916666666666667)</f>
        <v>0.2916666667</v>
      </c>
      <c r="D7975" s="8">
        <f>IFERROR(__xludf.DUMMYFUNCTION("""COMPUTED_VALUE"""),0.098)</f>
        <v>0.098</v>
      </c>
      <c r="E7975" s="8" t="str">
        <f>IFERROR(__xludf.DUMMYFUNCTION("""COMPUTED_VALUE"""),"Real")</f>
        <v>Real</v>
      </c>
      <c r="G7975" s="8">
        <f t="shared" si="1"/>
        <v>9</v>
      </c>
      <c r="H7975" s="14">
        <f t="shared" si="2"/>
        <v>29</v>
      </c>
      <c r="I7975" s="15">
        <f t="shared" si="3"/>
        <v>7</v>
      </c>
    </row>
    <row r="7976">
      <c r="A7976" s="8" t="str">
        <f>IFERROR(__xludf.DUMMYFUNCTION("IF('(INGESTA)Datos_consumo_datadis'!A7976&lt;&gt;"""",SPLIT('(INGESTA)Datos_consumo_datadis'!A:A,"",""),"""")"),"ES0031408323131005HX0F")</f>
        <v>ES0031408323131005HX0F</v>
      </c>
      <c r="B7976" s="12">
        <f>IFERROR(__xludf.DUMMYFUNCTION("""COMPUTED_VALUE"""),45198.0)</f>
        <v>45198</v>
      </c>
      <c r="C7976" s="13">
        <f>IFERROR(__xludf.DUMMYFUNCTION("""COMPUTED_VALUE"""),0.3333333333333333)</f>
        <v>0.3333333333</v>
      </c>
      <c r="D7976" s="8">
        <f>IFERROR(__xludf.DUMMYFUNCTION("""COMPUTED_VALUE"""),0.043)</f>
        <v>0.043</v>
      </c>
      <c r="E7976" s="8" t="str">
        <f>IFERROR(__xludf.DUMMYFUNCTION("""COMPUTED_VALUE"""),"Real")</f>
        <v>Real</v>
      </c>
      <c r="G7976" s="8">
        <f t="shared" si="1"/>
        <v>9</v>
      </c>
      <c r="H7976" s="14">
        <f t="shared" si="2"/>
        <v>29</v>
      </c>
      <c r="I7976" s="15">
        <f t="shared" si="3"/>
        <v>8</v>
      </c>
    </row>
    <row r="7977">
      <c r="A7977" s="8" t="str">
        <f>IFERROR(__xludf.DUMMYFUNCTION("IF('(INGESTA)Datos_consumo_datadis'!A7977&lt;&gt;"""",SPLIT('(INGESTA)Datos_consumo_datadis'!A:A,"",""),"""")"),"ES0031408323131005HX0F")</f>
        <v>ES0031408323131005HX0F</v>
      </c>
      <c r="B7977" s="12">
        <f>IFERROR(__xludf.DUMMYFUNCTION("""COMPUTED_VALUE"""),45198.0)</f>
        <v>45198</v>
      </c>
      <c r="C7977" s="13">
        <f>IFERROR(__xludf.DUMMYFUNCTION("""COMPUTED_VALUE"""),0.375)</f>
        <v>0.375</v>
      </c>
      <c r="D7977" s="8">
        <f>IFERROR(__xludf.DUMMYFUNCTION("""COMPUTED_VALUE"""),0.094)</f>
        <v>0.094</v>
      </c>
      <c r="E7977" s="8" t="str">
        <f>IFERROR(__xludf.DUMMYFUNCTION("""COMPUTED_VALUE"""),"Real")</f>
        <v>Real</v>
      </c>
      <c r="G7977" s="8">
        <f t="shared" si="1"/>
        <v>9</v>
      </c>
      <c r="H7977" s="14">
        <f t="shared" si="2"/>
        <v>29</v>
      </c>
      <c r="I7977" s="15">
        <f t="shared" si="3"/>
        <v>9</v>
      </c>
    </row>
    <row r="7978">
      <c r="A7978" s="8" t="str">
        <f>IFERROR(__xludf.DUMMYFUNCTION("IF('(INGESTA)Datos_consumo_datadis'!A7978&lt;&gt;"""",SPLIT('(INGESTA)Datos_consumo_datadis'!A:A,"",""),"""")"),"ES0031408323131005HX0F")</f>
        <v>ES0031408323131005HX0F</v>
      </c>
      <c r="B7978" s="12">
        <f>IFERROR(__xludf.DUMMYFUNCTION("""COMPUTED_VALUE"""),45198.0)</f>
        <v>45198</v>
      </c>
      <c r="C7978" s="13">
        <f>IFERROR(__xludf.DUMMYFUNCTION("""COMPUTED_VALUE"""),0.4166666666666667)</f>
        <v>0.4166666667</v>
      </c>
      <c r="D7978" s="8">
        <f>IFERROR(__xludf.DUMMYFUNCTION("""COMPUTED_VALUE"""),0.069)</f>
        <v>0.069</v>
      </c>
      <c r="E7978" s="8" t="str">
        <f>IFERROR(__xludf.DUMMYFUNCTION("""COMPUTED_VALUE"""),"Real")</f>
        <v>Real</v>
      </c>
      <c r="G7978" s="8">
        <f t="shared" si="1"/>
        <v>9</v>
      </c>
      <c r="H7978" s="14">
        <f t="shared" si="2"/>
        <v>29</v>
      </c>
      <c r="I7978" s="15">
        <f t="shared" si="3"/>
        <v>10</v>
      </c>
    </row>
    <row r="7979">
      <c r="A7979" s="8" t="str">
        <f>IFERROR(__xludf.DUMMYFUNCTION("IF('(INGESTA)Datos_consumo_datadis'!A7979&lt;&gt;"""",SPLIT('(INGESTA)Datos_consumo_datadis'!A:A,"",""),"""")"),"ES0031408323131005HX0F")</f>
        <v>ES0031408323131005HX0F</v>
      </c>
      <c r="B7979" s="12">
        <f>IFERROR(__xludf.DUMMYFUNCTION("""COMPUTED_VALUE"""),45198.0)</f>
        <v>45198</v>
      </c>
      <c r="C7979" s="13">
        <f>IFERROR(__xludf.DUMMYFUNCTION("""COMPUTED_VALUE"""),0.4583333333333333)</f>
        <v>0.4583333333</v>
      </c>
      <c r="D7979" s="8">
        <f>IFERROR(__xludf.DUMMYFUNCTION("""COMPUTED_VALUE"""),0.377)</f>
        <v>0.377</v>
      </c>
      <c r="E7979" s="8" t="str">
        <f>IFERROR(__xludf.DUMMYFUNCTION("""COMPUTED_VALUE"""),"Real")</f>
        <v>Real</v>
      </c>
      <c r="G7979" s="8">
        <f t="shared" si="1"/>
        <v>9</v>
      </c>
      <c r="H7979" s="14">
        <f t="shared" si="2"/>
        <v>29</v>
      </c>
      <c r="I7979" s="15">
        <f t="shared" si="3"/>
        <v>11</v>
      </c>
    </row>
    <row r="7980">
      <c r="A7980" s="8" t="str">
        <f>IFERROR(__xludf.DUMMYFUNCTION("IF('(INGESTA)Datos_consumo_datadis'!A7980&lt;&gt;"""",SPLIT('(INGESTA)Datos_consumo_datadis'!A:A,"",""),"""")"),"ES0031408323131005HX0F")</f>
        <v>ES0031408323131005HX0F</v>
      </c>
      <c r="B7980" s="12">
        <f>IFERROR(__xludf.DUMMYFUNCTION("""COMPUTED_VALUE"""),45198.0)</f>
        <v>45198</v>
      </c>
      <c r="C7980" s="13">
        <f>IFERROR(__xludf.DUMMYFUNCTION("""COMPUTED_VALUE"""),0.5)</f>
        <v>0.5</v>
      </c>
      <c r="D7980" s="8">
        <f>IFERROR(__xludf.DUMMYFUNCTION("""COMPUTED_VALUE"""),0.075)</f>
        <v>0.075</v>
      </c>
      <c r="E7980" s="8" t="str">
        <f>IFERROR(__xludf.DUMMYFUNCTION("""COMPUTED_VALUE"""),"Real")</f>
        <v>Real</v>
      </c>
      <c r="G7980" s="8">
        <f t="shared" si="1"/>
        <v>9</v>
      </c>
      <c r="H7980" s="14">
        <f t="shared" si="2"/>
        <v>29</v>
      </c>
      <c r="I7980" s="15">
        <f t="shared" si="3"/>
        <v>12</v>
      </c>
    </row>
    <row r="7981">
      <c r="A7981" s="8" t="str">
        <f>IFERROR(__xludf.DUMMYFUNCTION("IF('(INGESTA)Datos_consumo_datadis'!A7981&lt;&gt;"""",SPLIT('(INGESTA)Datos_consumo_datadis'!A:A,"",""),"""")"),"ES0031408323131005HX0F")</f>
        <v>ES0031408323131005HX0F</v>
      </c>
      <c r="B7981" s="12">
        <f>IFERROR(__xludf.DUMMYFUNCTION("""COMPUTED_VALUE"""),45198.0)</f>
        <v>45198</v>
      </c>
      <c r="C7981" s="13">
        <f>IFERROR(__xludf.DUMMYFUNCTION("""COMPUTED_VALUE"""),0.5416666666666666)</f>
        <v>0.5416666667</v>
      </c>
      <c r="D7981" s="8">
        <f>IFERROR(__xludf.DUMMYFUNCTION("""COMPUTED_VALUE"""),0.161)</f>
        <v>0.161</v>
      </c>
      <c r="E7981" s="8" t="str">
        <f>IFERROR(__xludf.DUMMYFUNCTION("""COMPUTED_VALUE"""),"Real")</f>
        <v>Real</v>
      </c>
      <c r="G7981" s="8">
        <f t="shared" si="1"/>
        <v>9</v>
      </c>
      <c r="H7981" s="14">
        <f t="shared" si="2"/>
        <v>29</v>
      </c>
      <c r="I7981" s="15">
        <f t="shared" si="3"/>
        <v>13</v>
      </c>
    </row>
    <row r="7982">
      <c r="A7982" s="8" t="str">
        <f>IFERROR(__xludf.DUMMYFUNCTION("IF('(INGESTA)Datos_consumo_datadis'!A7982&lt;&gt;"""",SPLIT('(INGESTA)Datos_consumo_datadis'!A:A,"",""),"""")"),"ES0031408323131005HX0F")</f>
        <v>ES0031408323131005HX0F</v>
      </c>
      <c r="B7982" s="12">
        <f>IFERROR(__xludf.DUMMYFUNCTION("""COMPUTED_VALUE"""),45198.0)</f>
        <v>45198</v>
      </c>
      <c r="C7982" s="13">
        <f>IFERROR(__xludf.DUMMYFUNCTION("""COMPUTED_VALUE"""),0.5833333333333334)</f>
        <v>0.5833333333</v>
      </c>
      <c r="D7982" s="8">
        <f>IFERROR(__xludf.DUMMYFUNCTION("""COMPUTED_VALUE"""),0.111)</f>
        <v>0.111</v>
      </c>
      <c r="E7982" s="8" t="str">
        <f>IFERROR(__xludf.DUMMYFUNCTION("""COMPUTED_VALUE"""),"Real")</f>
        <v>Real</v>
      </c>
      <c r="G7982" s="8">
        <f t="shared" si="1"/>
        <v>9</v>
      </c>
      <c r="H7982" s="14">
        <f t="shared" si="2"/>
        <v>29</v>
      </c>
      <c r="I7982" s="15">
        <f t="shared" si="3"/>
        <v>14</v>
      </c>
    </row>
    <row r="7983">
      <c r="A7983" s="8" t="str">
        <f>IFERROR(__xludf.DUMMYFUNCTION("IF('(INGESTA)Datos_consumo_datadis'!A7983&lt;&gt;"""",SPLIT('(INGESTA)Datos_consumo_datadis'!A:A,"",""),"""")"),"ES0031408323131005HX0F")</f>
        <v>ES0031408323131005HX0F</v>
      </c>
      <c r="B7983" s="12">
        <f>IFERROR(__xludf.DUMMYFUNCTION("""COMPUTED_VALUE"""),45198.0)</f>
        <v>45198</v>
      </c>
      <c r="C7983" s="13">
        <f>IFERROR(__xludf.DUMMYFUNCTION("""COMPUTED_VALUE"""),0.625)</f>
        <v>0.625</v>
      </c>
      <c r="D7983" s="8">
        <f>IFERROR(__xludf.DUMMYFUNCTION("""COMPUTED_VALUE"""),0.038)</f>
        <v>0.038</v>
      </c>
      <c r="E7983" s="8" t="str">
        <f>IFERROR(__xludf.DUMMYFUNCTION("""COMPUTED_VALUE"""),"Real")</f>
        <v>Real</v>
      </c>
      <c r="G7983" s="8">
        <f t="shared" si="1"/>
        <v>9</v>
      </c>
      <c r="H7983" s="14">
        <f t="shared" si="2"/>
        <v>29</v>
      </c>
      <c r="I7983" s="15">
        <f t="shared" si="3"/>
        <v>15</v>
      </c>
    </row>
    <row r="7984">
      <c r="A7984" s="8" t="str">
        <f>IFERROR(__xludf.DUMMYFUNCTION("IF('(INGESTA)Datos_consumo_datadis'!A7984&lt;&gt;"""",SPLIT('(INGESTA)Datos_consumo_datadis'!A:A,"",""),"""")"),"ES0031408323131005HX0F")</f>
        <v>ES0031408323131005HX0F</v>
      </c>
      <c r="B7984" s="12">
        <f>IFERROR(__xludf.DUMMYFUNCTION("""COMPUTED_VALUE"""),45198.0)</f>
        <v>45198</v>
      </c>
      <c r="C7984" s="13">
        <f>IFERROR(__xludf.DUMMYFUNCTION("""COMPUTED_VALUE"""),0.6666666666666666)</f>
        <v>0.6666666667</v>
      </c>
      <c r="D7984" s="8">
        <f>IFERROR(__xludf.DUMMYFUNCTION("""COMPUTED_VALUE"""),0.109)</f>
        <v>0.109</v>
      </c>
      <c r="E7984" s="8" t="str">
        <f>IFERROR(__xludf.DUMMYFUNCTION("""COMPUTED_VALUE"""),"Real")</f>
        <v>Real</v>
      </c>
      <c r="G7984" s="8">
        <f t="shared" si="1"/>
        <v>9</v>
      </c>
      <c r="H7984" s="14">
        <f t="shared" si="2"/>
        <v>29</v>
      </c>
      <c r="I7984" s="15">
        <f t="shared" si="3"/>
        <v>16</v>
      </c>
    </row>
    <row r="7985">
      <c r="A7985" s="8" t="str">
        <f>IFERROR(__xludf.DUMMYFUNCTION("IF('(INGESTA)Datos_consumo_datadis'!A7985&lt;&gt;"""",SPLIT('(INGESTA)Datos_consumo_datadis'!A:A,"",""),"""")"),"ES0031408323131005HX0F")</f>
        <v>ES0031408323131005HX0F</v>
      </c>
      <c r="B7985" s="12">
        <f>IFERROR(__xludf.DUMMYFUNCTION("""COMPUTED_VALUE"""),45198.0)</f>
        <v>45198</v>
      </c>
      <c r="C7985" s="13">
        <f>IFERROR(__xludf.DUMMYFUNCTION("""COMPUTED_VALUE"""),0.7083333333333334)</f>
        <v>0.7083333333</v>
      </c>
      <c r="D7985" s="8">
        <f>IFERROR(__xludf.DUMMYFUNCTION("""COMPUTED_VALUE"""),0.066)</f>
        <v>0.066</v>
      </c>
      <c r="E7985" s="8" t="str">
        <f>IFERROR(__xludf.DUMMYFUNCTION("""COMPUTED_VALUE"""),"Real")</f>
        <v>Real</v>
      </c>
      <c r="G7985" s="8">
        <f t="shared" si="1"/>
        <v>9</v>
      </c>
      <c r="H7985" s="14">
        <f t="shared" si="2"/>
        <v>29</v>
      </c>
      <c r="I7985" s="15">
        <f t="shared" si="3"/>
        <v>17</v>
      </c>
    </row>
    <row r="7986">
      <c r="A7986" s="8" t="str">
        <f>IFERROR(__xludf.DUMMYFUNCTION("IF('(INGESTA)Datos_consumo_datadis'!A7986&lt;&gt;"""",SPLIT('(INGESTA)Datos_consumo_datadis'!A:A,"",""),"""")"),"ES0031408323131005HX0F")</f>
        <v>ES0031408323131005HX0F</v>
      </c>
      <c r="B7986" s="12">
        <f>IFERROR(__xludf.DUMMYFUNCTION("""COMPUTED_VALUE"""),45198.0)</f>
        <v>45198</v>
      </c>
      <c r="C7986" s="13">
        <f>IFERROR(__xludf.DUMMYFUNCTION("""COMPUTED_VALUE"""),0.75)</f>
        <v>0.75</v>
      </c>
      <c r="D7986" s="8">
        <f>IFERROR(__xludf.DUMMYFUNCTION("""COMPUTED_VALUE"""),0.336)</f>
        <v>0.336</v>
      </c>
      <c r="E7986" s="8" t="str">
        <f>IFERROR(__xludf.DUMMYFUNCTION("""COMPUTED_VALUE"""),"Real")</f>
        <v>Real</v>
      </c>
      <c r="G7986" s="8">
        <f t="shared" si="1"/>
        <v>9</v>
      </c>
      <c r="H7986" s="14">
        <f t="shared" si="2"/>
        <v>29</v>
      </c>
      <c r="I7986" s="15">
        <f t="shared" si="3"/>
        <v>18</v>
      </c>
    </row>
    <row r="7987">
      <c r="A7987" s="8" t="str">
        <f>IFERROR(__xludf.DUMMYFUNCTION("IF('(INGESTA)Datos_consumo_datadis'!A7987&lt;&gt;"""",SPLIT('(INGESTA)Datos_consumo_datadis'!A:A,"",""),"""")"),"ES0031408323131005HX0F")</f>
        <v>ES0031408323131005HX0F</v>
      </c>
      <c r="B7987" s="12">
        <f>IFERROR(__xludf.DUMMYFUNCTION("""COMPUTED_VALUE"""),45198.0)</f>
        <v>45198</v>
      </c>
      <c r="C7987" s="13">
        <f>IFERROR(__xludf.DUMMYFUNCTION("""COMPUTED_VALUE"""),0.7916666666666666)</f>
        <v>0.7916666667</v>
      </c>
      <c r="D7987" s="8">
        <f>IFERROR(__xludf.DUMMYFUNCTION("""COMPUTED_VALUE"""),0.039)</f>
        <v>0.039</v>
      </c>
      <c r="E7987" s="8" t="str">
        <f>IFERROR(__xludf.DUMMYFUNCTION("""COMPUTED_VALUE"""),"Real")</f>
        <v>Real</v>
      </c>
      <c r="G7987" s="8">
        <f t="shared" si="1"/>
        <v>9</v>
      </c>
      <c r="H7987" s="14">
        <f t="shared" si="2"/>
        <v>29</v>
      </c>
      <c r="I7987" s="15">
        <f t="shared" si="3"/>
        <v>19</v>
      </c>
    </row>
    <row r="7988">
      <c r="A7988" s="8" t="str">
        <f>IFERROR(__xludf.DUMMYFUNCTION("IF('(INGESTA)Datos_consumo_datadis'!A7988&lt;&gt;"""",SPLIT('(INGESTA)Datos_consumo_datadis'!A:A,"",""),"""")"),"ES0031408323131005HX0F")</f>
        <v>ES0031408323131005HX0F</v>
      </c>
      <c r="B7988" s="12">
        <f>IFERROR(__xludf.DUMMYFUNCTION("""COMPUTED_VALUE"""),45198.0)</f>
        <v>45198</v>
      </c>
      <c r="C7988" s="13">
        <f>IFERROR(__xludf.DUMMYFUNCTION("""COMPUTED_VALUE"""),0.8333333333333334)</f>
        <v>0.8333333333</v>
      </c>
      <c r="D7988" s="8">
        <f>IFERROR(__xludf.DUMMYFUNCTION("""COMPUTED_VALUE"""),0.11)</f>
        <v>0.11</v>
      </c>
      <c r="E7988" s="8" t="str">
        <f>IFERROR(__xludf.DUMMYFUNCTION("""COMPUTED_VALUE"""),"Real")</f>
        <v>Real</v>
      </c>
      <c r="G7988" s="8">
        <f t="shared" si="1"/>
        <v>9</v>
      </c>
      <c r="H7988" s="14">
        <f t="shared" si="2"/>
        <v>29</v>
      </c>
      <c r="I7988" s="15">
        <f t="shared" si="3"/>
        <v>20</v>
      </c>
    </row>
    <row r="7989">
      <c r="A7989" s="8" t="str">
        <f>IFERROR(__xludf.DUMMYFUNCTION("IF('(INGESTA)Datos_consumo_datadis'!A7989&lt;&gt;"""",SPLIT('(INGESTA)Datos_consumo_datadis'!A:A,"",""),"""")"),"ES0031408323131005HX0F")</f>
        <v>ES0031408323131005HX0F</v>
      </c>
      <c r="B7989" s="12">
        <f>IFERROR(__xludf.DUMMYFUNCTION("""COMPUTED_VALUE"""),45198.0)</f>
        <v>45198</v>
      </c>
      <c r="C7989" s="13">
        <f>IFERROR(__xludf.DUMMYFUNCTION("""COMPUTED_VALUE"""),0.875)</f>
        <v>0.875</v>
      </c>
      <c r="D7989" s="8">
        <f>IFERROR(__xludf.DUMMYFUNCTION("""COMPUTED_VALUE"""),0.072)</f>
        <v>0.072</v>
      </c>
      <c r="E7989" s="8" t="str">
        <f>IFERROR(__xludf.DUMMYFUNCTION("""COMPUTED_VALUE"""),"Real")</f>
        <v>Real</v>
      </c>
      <c r="G7989" s="8">
        <f t="shared" si="1"/>
        <v>9</v>
      </c>
      <c r="H7989" s="14">
        <f t="shared" si="2"/>
        <v>29</v>
      </c>
      <c r="I7989" s="15">
        <f t="shared" si="3"/>
        <v>21</v>
      </c>
    </row>
    <row r="7990">
      <c r="A7990" s="8" t="str">
        <f>IFERROR(__xludf.DUMMYFUNCTION("IF('(INGESTA)Datos_consumo_datadis'!A7990&lt;&gt;"""",SPLIT('(INGESTA)Datos_consumo_datadis'!A:A,"",""),"""")"),"ES0031408323131005HX0F")</f>
        <v>ES0031408323131005HX0F</v>
      </c>
      <c r="B7990" s="12">
        <f>IFERROR(__xludf.DUMMYFUNCTION("""COMPUTED_VALUE"""),45198.0)</f>
        <v>45198</v>
      </c>
      <c r="C7990" s="13">
        <f>IFERROR(__xludf.DUMMYFUNCTION("""COMPUTED_VALUE"""),0.9166666666666666)</f>
        <v>0.9166666667</v>
      </c>
      <c r="D7990" s="8">
        <f>IFERROR(__xludf.DUMMYFUNCTION("""COMPUTED_VALUE"""),0.112)</f>
        <v>0.112</v>
      </c>
      <c r="E7990" s="8" t="str">
        <f>IFERROR(__xludf.DUMMYFUNCTION("""COMPUTED_VALUE"""),"Real")</f>
        <v>Real</v>
      </c>
      <c r="G7990" s="8">
        <f t="shared" si="1"/>
        <v>9</v>
      </c>
      <c r="H7990" s="14">
        <f t="shared" si="2"/>
        <v>29</v>
      </c>
      <c r="I7990" s="15">
        <f t="shared" si="3"/>
        <v>22</v>
      </c>
    </row>
    <row r="7991">
      <c r="A7991" s="8" t="str">
        <f>IFERROR(__xludf.DUMMYFUNCTION("IF('(INGESTA)Datos_consumo_datadis'!A7991&lt;&gt;"""",SPLIT('(INGESTA)Datos_consumo_datadis'!A:A,"",""),"""")"),"ES0031408323131005HX0F")</f>
        <v>ES0031408323131005HX0F</v>
      </c>
      <c r="B7991" s="12">
        <f>IFERROR(__xludf.DUMMYFUNCTION("""COMPUTED_VALUE"""),45198.0)</f>
        <v>45198</v>
      </c>
      <c r="C7991" s="13">
        <f>IFERROR(__xludf.DUMMYFUNCTION("""COMPUTED_VALUE"""),0.9583333333333334)</f>
        <v>0.9583333333</v>
      </c>
      <c r="D7991" s="8">
        <f>IFERROR(__xludf.DUMMYFUNCTION("""COMPUTED_VALUE"""),0.075)</f>
        <v>0.075</v>
      </c>
      <c r="E7991" s="8" t="str">
        <f>IFERROR(__xludf.DUMMYFUNCTION("""COMPUTED_VALUE"""),"Real")</f>
        <v>Real</v>
      </c>
      <c r="G7991" s="8">
        <f t="shared" si="1"/>
        <v>9</v>
      </c>
      <c r="H7991" s="14">
        <f t="shared" si="2"/>
        <v>29</v>
      </c>
      <c r="I7991" s="15">
        <f t="shared" si="3"/>
        <v>23</v>
      </c>
    </row>
    <row r="7992">
      <c r="A7992" s="8" t="str">
        <f>IFERROR(__xludf.DUMMYFUNCTION("IF('(INGESTA)Datos_consumo_datadis'!A7992&lt;&gt;"""",SPLIT('(INGESTA)Datos_consumo_datadis'!A:A,"",""),"""")"),"ES0031408323131005HX0F")</f>
        <v>ES0031408323131005HX0F</v>
      </c>
      <c r="B7992" s="12">
        <f>IFERROR(__xludf.DUMMYFUNCTION("""COMPUTED_VALUE"""),45198.0)</f>
        <v>45198</v>
      </c>
      <c r="C7992" s="16">
        <f>IFERROR(__xludf.DUMMYFUNCTION("""COMPUTED_VALUE"""),1.0)</f>
        <v>1</v>
      </c>
      <c r="D7992" s="8">
        <f>IFERROR(__xludf.DUMMYFUNCTION("""COMPUTED_VALUE"""),0.149)</f>
        <v>0.149</v>
      </c>
      <c r="E7992" s="8" t="str">
        <f>IFERROR(__xludf.DUMMYFUNCTION("""COMPUTED_VALUE"""),"Real")</f>
        <v>Real</v>
      </c>
      <c r="G7992" s="8">
        <f t="shared" si="1"/>
        <v>9</v>
      </c>
      <c r="H7992" s="14">
        <f t="shared" si="2"/>
        <v>29</v>
      </c>
      <c r="I7992" s="15">
        <f t="shared" si="3"/>
        <v>0</v>
      </c>
    </row>
    <row r="7993">
      <c r="A7993" s="8" t="str">
        <f>IFERROR(__xludf.DUMMYFUNCTION("IF('(INGESTA)Datos_consumo_datadis'!A7993&lt;&gt;"""",SPLIT('(INGESTA)Datos_consumo_datadis'!A:A,"",""),"""")"),"ES0031408323131005HX0F")</f>
        <v>ES0031408323131005HX0F</v>
      </c>
      <c r="B7993" s="12">
        <f>IFERROR(__xludf.DUMMYFUNCTION("""COMPUTED_VALUE"""),45199.0)</f>
        <v>45199</v>
      </c>
      <c r="C7993" s="13">
        <f>IFERROR(__xludf.DUMMYFUNCTION("""COMPUTED_VALUE"""),0.041666666666666664)</f>
        <v>0.04166666667</v>
      </c>
      <c r="D7993" s="8">
        <f>IFERROR(__xludf.DUMMYFUNCTION("""COMPUTED_VALUE"""),0.295)</f>
        <v>0.295</v>
      </c>
      <c r="E7993" s="8" t="str">
        <f>IFERROR(__xludf.DUMMYFUNCTION("""COMPUTED_VALUE"""),"Real")</f>
        <v>Real</v>
      </c>
      <c r="G7993" s="8">
        <f t="shared" si="1"/>
        <v>9</v>
      </c>
      <c r="H7993" s="14">
        <f t="shared" si="2"/>
        <v>30</v>
      </c>
      <c r="I7993" s="15">
        <f t="shared" si="3"/>
        <v>1</v>
      </c>
    </row>
    <row r="7994">
      <c r="A7994" s="8" t="str">
        <f>IFERROR(__xludf.DUMMYFUNCTION("IF('(INGESTA)Datos_consumo_datadis'!A7994&lt;&gt;"""",SPLIT('(INGESTA)Datos_consumo_datadis'!A:A,"",""),"""")"),"ES0031408323131005HX0F")</f>
        <v>ES0031408323131005HX0F</v>
      </c>
      <c r="B7994" s="12">
        <f>IFERROR(__xludf.DUMMYFUNCTION("""COMPUTED_VALUE"""),45199.0)</f>
        <v>45199</v>
      </c>
      <c r="C7994" s="13">
        <f>IFERROR(__xludf.DUMMYFUNCTION("""COMPUTED_VALUE"""),0.08333333333333333)</f>
        <v>0.08333333333</v>
      </c>
      <c r="D7994" s="8">
        <f>IFERROR(__xludf.DUMMYFUNCTION("""COMPUTED_VALUE"""),0.031)</f>
        <v>0.031</v>
      </c>
      <c r="E7994" s="8" t="str">
        <f>IFERROR(__xludf.DUMMYFUNCTION("""COMPUTED_VALUE"""),"Real")</f>
        <v>Real</v>
      </c>
      <c r="G7994" s="8">
        <f t="shared" si="1"/>
        <v>9</v>
      </c>
      <c r="H7994" s="14">
        <f t="shared" si="2"/>
        <v>30</v>
      </c>
      <c r="I7994" s="15">
        <f t="shared" si="3"/>
        <v>2</v>
      </c>
    </row>
    <row r="7995">
      <c r="A7995" s="8" t="str">
        <f>IFERROR(__xludf.DUMMYFUNCTION("IF('(INGESTA)Datos_consumo_datadis'!A7995&lt;&gt;"""",SPLIT('(INGESTA)Datos_consumo_datadis'!A:A,"",""),"""")"),"ES0031408323131005HX0F")</f>
        <v>ES0031408323131005HX0F</v>
      </c>
      <c r="B7995" s="12">
        <f>IFERROR(__xludf.DUMMYFUNCTION("""COMPUTED_VALUE"""),45199.0)</f>
        <v>45199</v>
      </c>
      <c r="C7995" s="13">
        <f>IFERROR(__xludf.DUMMYFUNCTION("""COMPUTED_VALUE"""),0.125)</f>
        <v>0.125</v>
      </c>
      <c r="D7995" s="8">
        <f>IFERROR(__xludf.DUMMYFUNCTION("""COMPUTED_VALUE"""),0.111)</f>
        <v>0.111</v>
      </c>
      <c r="E7995" s="8" t="str">
        <f>IFERROR(__xludf.DUMMYFUNCTION("""COMPUTED_VALUE"""),"Real")</f>
        <v>Real</v>
      </c>
      <c r="G7995" s="8">
        <f t="shared" si="1"/>
        <v>9</v>
      </c>
      <c r="H7995" s="14">
        <f t="shared" si="2"/>
        <v>30</v>
      </c>
      <c r="I7995" s="15">
        <f t="shared" si="3"/>
        <v>3</v>
      </c>
    </row>
    <row r="7996">
      <c r="A7996" s="8" t="str">
        <f>IFERROR(__xludf.DUMMYFUNCTION("IF('(INGESTA)Datos_consumo_datadis'!A7996&lt;&gt;"""",SPLIT('(INGESTA)Datos_consumo_datadis'!A:A,"",""),"""")"),"ES0031408323131005HX0F")</f>
        <v>ES0031408323131005HX0F</v>
      </c>
      <c r="B7996" s="12">
        <f>IFERROR(__xludf.DUMMYFUNCTION("""COMPUTED_VALUE"""),45199.0)</f>
        <v>45199</v>
      </c>
      <c r="C7996" s="13">
        <f>IFERROR(__xludf.DUMMYFUNCTION("""COMPUTED_VALUE"""),0.16666666666666666)</f>
        <v>0.1666666667</v>
      </c>
      <c r="D7996" s="8">
        <f>IFERROR(__xludf.DUMMYFUNCTION("""COMPUTED_VALUE"""),0.076)</f>
        <v>0.076</v>
      </c>
      <c r="E7996" s="8" t="str">
        <f>IFERROR(__xludf.DUMMYFUNCTION("""COMPUTED_VALUE"""),"Real")</f>
        <v>Real</v>
      </c>
      <c r="G7996" s="8">
        <f t="shared" si="1"/>
        <v>9</v>
      </c>
      <c r="H7996" s="14">
        <f t="shared" si="2"/>
        <v>30</v>
      </c>
      <c r="I7996" s="15">
        <f t="shared" si="3"/>
        <v>4</v>
      </c>
    </row>
    <row r="7997">
      <c r="A7997" s="8" t="str">
        <f>IFERROR(__xludf.DUMMYFUNCTION("IF('(INGESTA)Datos_consumo_datadis'!A7997&lt;&gt;"""",SPLIT('(INGESTA)Datos_consumo_datadis'!A:A,"",""),"""")"),"ES0031408323131005HX0F")</f>
        <v>ES0031408323131005HX0F</v>
      </c>
      <c r="B7997" s="12">
        <f>IFERROR(__xludf.DUMMYFUNCTION("""COMPUTED_VALUE"""),45199.0)</f>
        <v>45199</v>
      </c>
      <c r="C7997" s="13">
        <f>IFERROR(__xludf.DUMMYFUNCTION("""COMPUTED_VALUE"""),0.20833333333333334)</f>
        <v>0.2083333333</v>
      </c>
      <c r="D7997" s="8">
        <f>IFERROR(__xludf.DUMMYFUNCTION("""COMPUTED_VALUE"""),0.11)</f>
        <v>0.11</v>
      </c>
      <c r="E7997" s="8" t="str">
        <f>IFERROR(__xludf.DUMMYFUNCTION("""COMPUTED_VALUE"""),"Real")</f>
        <v>Real</v>
      </c>
      <c r="G7997" s="8">
        <f t="shared" si="1"/>
        <v>9</v>
      </c>
      <c r="H7997" s="14">
        <f t="shared" si="2"/>
        <v>30</v>
      </c>
      <c r="I7997" s="15">
        <f t="shared" si="3"/>
        <v>5</v>
      </c>
    </row>
    <row r="7998">
      <c r="A7998" s="8" t="str">
        <f>IFERROR(__xludf.DUMMYFUNCTION("IF('(INGESTA)Datos_consumo_datadis'!A7998&lt;&gt;"""",SPLIT('(INGESTA)Datos_consumo_datadis'!A:A,"",""),"""")"),"ES0031408323131005HX0F")</f>
        <v>ES0031408323131005HX0F</v>
      </c>
      <c r="B7998" s="12">
        <f>IFERROR(__xludf.DUMMYFUNCTION("""COMPUTED_VALUE"""),45199.0)</f>
        <v>45199</v>
      </c>
      <c r="C7998" s="13">
        <f>IFERROR(__xludf.DUMMYFUNCTION("""COMPUTED_VALUE"""),0.25)</f>
        <v>0.25</v>
      </c>
      <c r="D7998" s="8">
        <f>IFERROR(__xludf.DUMMYFUNCTION("""COMPUTED_VALUE"""),0.031)</f>
        <v>0.031</v>
      </c>
      <c r="E7998" s="8" t="str">
        <f>IFERROR(__xludf.DUMMYFUNCTION("""COMPUTED_VALUE"""),"Real")</f>
        <v>Real</v>
      </c>
      <c r="G7998" s="8">
        <f t="shared" si="1"/>
        <v>9</v>
      </c>
      <c r="H7998" s="14">
        <f t="shared" si="2"/>
        <v>30</v>
      </c>
      <c r="I7998" s="15">
        <f t="shared" si="3"/>
        <v>6</v>
      </c>
    </row>
    <row r="7999">
      <c r="A7999" s="8" t="str">
        <f>IFERROR(__xludf.DUMMYFUNCTION("IF('(INGESTA)Datos_consumo_datadis'!A7999&lt;&gt;"""",SPLIT('(INGESTA)Datos_consumo_datadis'!A:A,"",""),"""")"),"ES0031408323131005HX0F")</f>
        <v>ES0031408323131005HX0F</v>
      </c>
      <c r="B7999" s="12">
        <f>IFERROR(__xludf.DUMMYFUNCTION("""COMPUTED_VALUE"""),45199.0)</f>
        <v>45199</v>
      </c>
      <c r="C7999" s="13">
        <f>IFERROR(__xludf.DUMMYFUNCTION("""COMPUTED_VALUE"""),0.2916666666666667)</f>
        <v>0.2916666667</v>
      </c>
      <c r="D7999" s="8">
        <f>IFERROR(__xludf.DUMMYFUNCTION("""COMPUTED_VALUE"""),0.35)</f>
        <v>0.35</v>
      </c>
      <c r="E7999" s="8" t="str">
        <f>IFERROR(__xludf.DUMMYFUNCTION("""COMPUTED_VALUE"""),"Real")</f>
        <v>Real</v>
      </c>
      <c r="G7999" s="8">
        <f t="shared" si="1"/>
        <v>9</v>
      </c>
      <c r="H7999" s="14">
        <f t="shared" si="2"/>
        <v>30</v>
      </c>
      <c r="I7999" s="15">
        <f t="shared" si="3"/>
        <v>7</v>
      </c>
    </row>
    <row r="8000">
      <c r="A8000" s="8" t="str">
        <f>IFERROR(__xludf.DUMMYFUNCTION("IF('(INGESTA)Datos_consumo_datadis'!A8000&lt;&gt;"""",SPLIT('(INGESTA)Datos_consumo_datadis'!A:A,"",""),"""")"),"ES0031408323131005HX0F")</f>
        <v>ES0031408323131005HX0F</v>
      </c>
      <c r="B8000" s="12">
        <f>IFERROR(__xludf.DUMMYFUNCTION("""COMPUTED_VALUE"""),45199.0)</f>
        <v>45199</v>
      </c>
      <c r="C8000" s="13">
        <f>IFERROR(__xludf.DUMMYFUNCTION("""COMPUTED_VALUE"""),0.3333333333333333)</f>
        <v>0.3333333333</v>
      </c>
      <c r="D8000" s="8">
        <f>IFERROR(__xludf.DUMMYFUNCTION("""COMPUTED_VALUE"""),0.071)</f>
        <v>0.071</v>
      </c>
      <c r="E8000" s="8" t="str">
        <f>IFERROR(__xludf.DUMMYFUNCTION("""COMPUTED_VALUE"""),"Real")</f>
        <v>Real</v>
      </c>
      <c r="G8000" s="8">
        <f t="shared" si="1"/>
        <v>9</v>
      </c>
      <c r="H8000" s="14">
        <f t="shared" si="2"/>
        <v>30</v>
      </c>
      <c r="I8000" s="15">
        <f t="shared" si="3"/>
        <v>8</v>
      </c>
    </row>
    <row r="8001">
      <c r="A8001" s="8" t="str">
        <f>IFERROR(__xludf.DUMMYFUNCTION("IF('(INGESTA)Datos_consumo_datadis'!A8001&lt;&gt;"""",SPLIT('(INGESTA)Datos_consumo_datadis'!A:A,"",""),"""")"),"ES0031408323131005HX0F")</f>
        <v>ES0031408323131005HX0F</v>
      </c>
      <c r="B8001" s="12">
        <f>IFERROR(__xludf.DUMMYFUNCTION("""COMPUTED_VALUE"""),45199.0)</f>
        <v>45199</v>
      </c>
      <c r="C8001" s="13">
        <f>IFERROR(__xludf.DUMMYFUNCTION("""COMPUTED_VALUE"""),0.375)</f>
        <v>0.375</v>
      </c>
      <c r="D8001" s="8">
        <f>IFERROR(__xludf.DUMMYFUNCTION("""COMPUTED_VALUE"""),0.076)</f>
        <v>0.076</v>
      </c>
      <c r="E8001" s="8" t="str">
        <f>IFERROR(__xludf.DUMMYFUNCTION("""COMPUTED_VALUE"""),"Real")</f>
        <v>Real</v>
      </c>
      <c r="G8001" s="8">
        <f t="shared" si="1"/>
        <v>9</v>
      </c>
      <c r="H8001" s="14">
        <f t="shared" si="2"/>
        <v>30</v>
      </c>
      <c r="I8001" s="15">
        <f t="shared" si="3"/>
        <v>9</v>
      </c>
    </row>
    <row r="8002">
      <c r="A8002" s="8" t="str">
        <f>IFERROR(__xludf.DUMMYFUNCTION("IF('(INGESTA)Datos_consumo_datadis'!A8002&lt;&gt;"""",SPLIT('(INGESTA)Datos_consumo_datadis'!A:A,"",""),"""")"),"ES0031408323131005HX0F")</f>
        <v>ES0031408323131005HX0F</v>
      </c>
      <c r="B8002" s="12">
        <f>IFERROR(__xludf.DUMMYFUNCTION("""COMPUTED_VALUE"""),45199.0)</f>
        <v>45199</v>
      </c>
      <c r="C8002" s="13">
        <f>IFERROR(__xludf.DUMMYFUNCTION("""COMPUTED_VALUE"""),0.4166666666666667)</f>
        <v>0.4166666667</v>
      </c>
      <c r="D8002" s="8">
        <f>IFERROR(__xludf.DUMMYFUNCTION("""COMPUTED_VALUE"""),0.05)</f>
        <v>0.05</v>
      </c>
      <c r="E8002" s="8" t="str">
        <f>IFERROR(__xludf.DUMMYFUNCTION("""COMPUTED_VALUE"""),"Real")</f>
        <v>Real</v>
      </c>
      <c r="G8002" s="8">
        <f t="shared" si="1"/>
        <v>9</v>
      </c>
      <c r="H8002" s="14">
        <f t="shared" si="2"/>
        <v>30</v>
      </c>
      <c r="I8002" s="15">
        <f t="shared" si="3"/>
        <v>10</v>
      </c>
    </row>
    <row r="8003">
      <c r="A8003" s="8" t="str">
        <f>IFERROR(__xludf.DUMMYFUNCTION("IF('(INGESTA)Datos_consumo_datadis'!A8003&lt;&gt;"""",SPLIT('(INGESTA)Datos_consumo_datadis'!A:A,"",""),"""")"),"ES0031408323131005HX0F")</f>
        <v>ES0031408323131005HX0F</v>
      </c>
      <c r="B8003" s="12">
        <f>IFERROR(__xludf.DUMMYFUNCTION("""COMPUTED_VALUE"""),45199.0)</f>
        <v>45199</v>
      </c>
      <c r="C8003" s="13">
        <f>IFERROR(__xludf.DUMMYFUNCTION("""COMPUTED_VALUE"""),0.4583333333333333)</f>
        <v>0.4583333333</v>
      </c>
      <c r="D8003" s="8">
        <f>IFERROR(__xludf.DUMMYFUNCTION("""COMPUTED_VALUE"""),0.108)</f>
        <v>0.108</v>
      </c>
      <c r="E8003" s="8" t="str">
        <f>IFERROR(__xludf.DUMMYFUNCTION("""COMPUTED_VALUE"""),"Real")</f>
        <v>Real</v>
      </c>
      <c r="G8003" s="8">
        <f t="shared" si="1"/>
        <v>9</v>
      </c>
      <c r="H8003" s="14">
        <f t="shared" si="2"/>
        <v>30</v>
      </c>
      <c r="I8003" s="15">
        <f t="shared" si="3"/>
        <v>11</v>
      </c>
    </row>
    <row r="8004">
      <c r="A8004" s="8" t="str">
        <f>IFERROR(__xludf.DUMMYFUNCTION("IF('(INGESTA)Datos_consumo_datadis'!A8004&lt;&gt;"""",SPLIT('(INGESTA)Datos_consumo_datadis'!A:A,"",""),"""")"),"ES0031408323131005HX0F")</f>
        <v>ES0031408323131005HX0F</v>
      </c>
      <c r="B8004" s="12">
        <f>IFERROR(__xludf.DUMMYFUNCTION("""COMPUTED_VALUE"""),45199.0)</f>
        <v>45199</v>
      </c>
      <c r="C8004" s="13">
        <f>IFERROR(__xludf.DUMMYFUNCTION("""COMPUTED_VALUE"""),0.5)</f>
        <v>0.5</v>
      </c>
      <c r="D8004" s="8">
        <f>IFERROR(__xludf.DUMMYFUNCTION("""COMPUTED_VALUE"""),0.076)</f>
        <v>0.076</v>
      </c>
      <c r="E8004" s="8" t="str">
        <f>IFERROR(__xludf.DUMMYFUNCTION("""COMPUTED_VALUE"""),"Real")</f>
        <v>Real</v>
      </c>
      <c r="G8004" s="8">
        <f t="shared" si="1"/>
        <v>9</v>
      </c>
      <c r="H8004" s="14">
        <f t="shared" si="2"/>
        <v>30</v>
      </c>
      <c r="I8004" s="15">
        <f t="shared" si="3"/>
        <v>12</v>
      </c>
    </row>
    <row r="8005">
      <c r="A8005" s="8" t="str">
        <f>IFERROR(__xludf.DUMMYFUNCTION("IF('(INGESTA)Datos_consumo_datadis'!A8005&lt;&gt;"""",SPLIT('(INGESTA)Datos_consumo_datadis'!A:A,"",""),"""")"),"ES0031408323131005HX0F")</f>
        <v>ES0031408323131005HX0F</v>
      </c>
      <c r="B8005" s="12">
        <f>IFERROR(__xludf.DUMMYFUNCTION("""COMPUTED_VALUE"""),45199.0)</f>
        <v>45199</v>
      </c>
      <c r="C8005" s="13">
        <f>IFERROR(__xludf.DUMMYFUNCTION("""COMPUTED_VALUE"""),0.5416666666666666)</f>
        <v>0.5416666667</v>
      </c>
      <c r="D8005" s="8">
        <f>IFERROR(__xludf.DUMMYFUNCTION("""COMPUTED_VALUE"""),0.319)</f>
        <v>0.319</v>
      </c>
      <c r="E8005" s="8" t="str">
        <f>IFERROR(__xludf.DUMMYFUNCTION("""COMPUTED_VALUE"""),"Real")</f>
        <v>Real</v>
      </c>
      <c r="G8005" s="8">
        <f t="shared" si="1"/>
        <v>9</v>
      </c>
      <c r="H8005" s="14">
        <f t="shared" si="2"/>
        <v>30</v>
      </c>
      <c r="I8005" s="15">
        <f t="shared" si="3"/>
        <v>13</v>
      </c>
    </row>
    <row r="8006">
      <c r="A8006" s="8" t="str">
        <f>IFERROR(__xludf.DUMMYFUNCTION("IF('(INGESTA)Datos_consumo_datadis'!A8006&lt;&gt;"""",SPLIT('(INGESTA)Datos_consumo_datadis'!A:A,"",""),"""")"),"ES0031408323131005HX0F")</f>
        <v>ES0031408323131005HX0F</v>
      </c>
      <c r="B8006" s="12">
        <f>IFERROR(__xludf.DUMMYFUNCTION("""COMPUTED_VALUE"""),45199.0)</f>
        <v>45199</v>
      </c>
      <c r="C8006" s="13">
        <f>IFERROR(__xludf.DUMMYFUNCTION("""COMPUTED_VALUE"""),0.5833333333333334)</f>
        <v>0.5833333333</v>
      </c>
      <c r="D8006" s="8">
        <f>IFERROR(__xludf.DUMMYFUNCTION("""COMPUTED_VALUE"""),0.089)</f>
        <v>0.089</v>
      </c>
      <c r="E8006" s="8" t="str">
        <f>IFERROR(__xludf.DUMMYFUNCTION("""COMPUTED_VALUE"""),"Real")</f>
        <v>Real</v>
      </c>
      <c r="G8006" s="8">
        <f t="shared" si="1"/>
        <v>9</v>
      </c>
      <c r="H8006" s="14">
        <f t="shared" si="2"/>
        <v>30</v>
      </c>
      <c r="I8006" s="15">
        <f t="shared" si="3"/>
        <v>14</v>
      </c>
    </row>
    <row r="8007">
      <c r="A8007" s="8" t="str">
        <f>IFERROR(__xludf.DUMMYFUNCTION("IF('(INGESTA)Datos_consumo_datadis'!A8007&lt;&gt;"""",SPLIT('(INGESTA)Datos_consumo_datadis'!A:A,"",""),"""")"),"ES0031408323131005HX0F")</f>
        <v>ES0031408323131005HX0F</v>
      </c>
      <c r="B8007" s="12">
        <f>IFERROR(__xludf.DUMMYFUNCTION("""COMPUTED_VALUE"""),45199.0)</f>
        <v>45199</v>
      </c>
      <c r="C8007" s="13">
        <f>IFERROR(__xludf.DUMMYFUNCTION("""COMPUTED_VALUE"""),0.625)</f>
        <v>0.625</v>
      </c>
      <c r="D8007" s="8">
        <f>IFERROR(__xludf.DUMMYFUNCTION("""COMPUTED_VALUE"""),0.126)</f>
        <v>0.126</v>
      </c>
      <c r="E8007" s="8" t="str">
        <f>IFERROR(__xludf.DUMMYFUNCTION("""COMPUTED_VALUE"""),"Real")</f>
        <v>Real</v>
      </c>
      <c r="G8007" s="8">
        <f t="shared" si="1"/>
        <v>9</v>
      </c>
      <c r="H8007" s="14">
        <f t="shared" si="2"/>
        <v>30</v>
      </c>
      <c r="I8007" s="15">
        <f t="shared" si="3"/>
        <v>15</v>
      </c>
    </row>
    <row r="8008">
      <c r="A8008" s="8" t="str">
        <f>IFERROR(__xludf.DUMMYFUNCTION("IF('(INGESTA)Datos_consumo_datadis'!A8008&lt;&gt;"""",SPLIT('(INGESTA)Datos_consumo_datadis'!A:A,"",""),"""")"),"ES0031408323131005HX0F")</f>
        <v>ES0031408323131005HX0F</v>
      </c>
      <c r="B8008" s="12">
        <f>IFERROR(__xludf.DUMMYFUNCTION("""COMPUTED_VALUE"""),45199.0)</f>
        <v>45199</v>
      </c>
      <c r="C8008" s="13">
        <f>IFERROR(__xludf.DUMMYFUNCTION("""COMPUTED_VALUE"""),0.6666666666666666)</f>
        <v>0.6666666667</v>
      </c>
      <c r="D8008" s="8">
        <f>IFERROR(__xludf.DUMMYFUNCTION("""COMPUTED_VALUE"""),0.071)</f>
        <v>0.071</v>
      </c>
      <c r="E8008" s="8" t="str">
        <f>IFERROR(__xludf.DUMMYFUNCTION("""COMPUTED_VALUE"""),"Real")</f>
        <v>Real</v>
      </c>
      <c r="G8008" s="8">
        <f t="shared" si="1"/>
        <v>9</v>
      </c>
      <c r="H8008" s="14">
        <f t="shared" si="2"/>
        <v>30</v>
      </c>
      <c r="I8008" s="15">
        <f t="shared" si="3"/>
        <v>16</v>
      </c>
    </row>
    <row r="8009">
      <c r="A8009" s="8" t="str">
        <f>IFERROR(__xludf.DUMMYFUNCTION("IF('(INGESTA)Datos_consumo_datadis'!A8009&lt;&gt;"""",SPLIT('(INGESTA)Datos_consumo_datadis'!A:A,"",""),"""")"),"ES0031408323131005HX0F")</f>
        <v>ES0031408323131005HX0F</v>
      </c>
      <c r="B8009" s="12">
        <f>IFERROR(__xludf.DUMMYFUNCTION("""COMPUTED_VALUE"""),45199.0)</f>
        <v>45199</v>
      </c>
      <c r="C8009" s="13">
        <f>IFERROR(__xludf.DUMMYFUNCTION("""COMPUTED_VALUE"""),0.7083333333333334)</f>
        <v>0.7083333333</v>
      </c>
      <c r="D8009" s="8">
        <f>IFERROR(__xludf.DUMMYFUNCTION("""COMPUTED_VALUE"""),0.164)</f>
        <v>0.164</v>
      </c>
      <c r="E8009" s="8" t="str">
        <f>IFERROR(__xludf.DUMMYFUNCTION("""COMPUTED_VALUE"""),"Real")</f>
        <v>Real</v>
      </c>
      <c r="G8009" s="8">
        <f t="shared" si="1"/>
        <v>9</v>
      </c>
      <c r="H8009" s="14">
        <f t="shared" si="2"/>
        <v>30</v>
      </c>
      <c r="I8009" s="15">
        <f t="shared" si="3"/>
        <v>17</v>
      </c>
    </row>
    <row r="8010">
      <c r="A8010" s="8" t="str">
        <f>IFERROR(__xludf.DUMMYFUNCTION("IF('(INGESTA)Datos_consumo_datadis'!A8010&lt;&gt;"""",SPLIT('(INGESTA)Datos_consumo_datadis'!A:A,"",""),"""")"),"ES0031408323131005HX0F")</f>
        <v>ES0031408323131005HX0F</v>
      </c>
      <c r="B8010" s="12">
        <f>IFERROR(__xludf.DUMMYFUNCTION("""COMPUTED_VALUE"""),45199.0)</f>
        <v>45199</v>
      </c>
      <c r="C8010" s="13">
        <f>IFERROR(__xludf.DUMMYFUNCTION("""COMPUTED_VALUE"""),0.75)</f>
        <v>0.75</v>
      </c>
      <c r="D8010" s="8">
        <f>IFERROR(__xludf.DUMMYFUNCTION("""COMPUTED_VALUE"""),0.119)</f>
        <v>0.119</v>
      </c>
      <c r="E8010" s="8" t="str">
        <f>IFERROR(__xludf.DUMMYFUNCTION("""COMPUTED_VALUE"""),"Real")</f>
        <v>Real</v>
      </c>
      <c r="G8010" s="8">
        <f t="shared" si="1"/>
        <v>9</v>
      </c>
      <c r="H8010" s="14">
        <f t="shared" si="2"/>
        <v>30</v>
      </c>
      <c r="I8010" s="15">
        <f t="shared" si="3"/>
        <v>18</v>
      </c>
    </row>
    <row r="8011">
      <c r="A8011" s="8" t="str">
        <f>IFERROR(__xludf.DUMMYFUNCTION("IF('(INGESTA)Datos_consumo_datadis'!A8011&lt;&gt;"""",SPLIT('(INGESTA)Datos_consumo_datadis'!A:A,"",""),"""")"),"ES0031408323131005HX0F")</f>
        <v>ES0031408323131005HX0F</v>
      </c>
      <c r="B8011" s="12">
        <f>IFERROR(__xludf.DUMMYFUNCTION("""COMPUTED_VALUE"""),45199.0)</f>
        <v>45199</v>
      </c>
      <c r="C8011" s="13">
        <f>IFERROR(__xludf.DUMMYFUNCTION("""COMPUTED_VALUE"""),0.7916666666666666)</f>
        <v>0.7916666667</v>
      </c>
      <c r="D8011" s="8">
        <f>IFERROR(__xludf.DUMMYFUNCTION("""COMPUTED_VALUE"""),0.083)</f>
        <v>0.083</v>
      </c>
      <c r="E8011" s="8" t="str">
        <f>IFERROR(__xludf.DUMMYFUNCTION("""COMPUTED_VALUE"""),"Real")</f>
        <v>Real</v>
      </c>
      <c r="G8011" s="8">
        <f t="shared" si="1"/>
        <v>9</v>
      </c>
      <c r="H8011" s="14">
        <f t="shared" si="2"/>
        <v>30</v>
      </c>
      <c r="I8011" s="15">
        <f t="shared" si="3"/>
        <v>19</v>
      </c>
    </row>
    <row r="8012">
      <c r="A8012" s="8" t="str">
        <f>IFERROR(__xludf.DUMMYFUNCTION("IF('(INGESTA)Datos_consumo_datadis'!A8012&lt;&gt;"""",SPLIT('(INGESTA)Datos_consumo_datadis'!A:A,"",""),"""")"),"ES0031408323131005HX0F")</f>
        <v>ES0031408323131005HX0F</v>
      </c>
      <c r="B8012" s="12">
        <f>IFERROR(__xludf.DUMMYFUNCTION("""COMPUTED_VALUE"""),45199.0)</f>
        <v>45199</v>
      </c>
      <c r="C8012" s="13">
        <f>IFERROR(__xludf.DUMMYFUNCTION("""COMPUTED_VALUE"""),0.8333333333333334)</f>
        <v>0.8333333333</v>
      </c>
      <c r="D8012" s="8">
        <f>IFERROR(__xludf.DUMMYFUNCTION("""COMPUTED_VALUE"""),0.362)</f>
        <v>0.362</v>
      </c>
      <c r="E8012" s="8" t="str">
        <f>IFERROR(__xludf.DUMMYFUNCTION("""COMPUTED_VALUE"""),"Real")</f>
        <v>Real</v>
      </c>
      <c r="G8012" s="8">
        <f t="shared" si="1"/>
        <v>9</v>
      </c>
      <c r="H8012" s="14">
        <f t="shared" si="2"/>
        <v>30</v>
      </c>
      <c r="I8012" s="15">
        <f t="shared" si="3"/>
        <v>20</v>
      </c>
    </row>
    <row r="8013">
      <c r="A8013" s="8" t="str">
        <f>IFERROR(__xludf.DUMMYFUNCTION("IF('(INGESTA)Datos_consumo_datadis'!A8013&lt;&gt;"""",SPLIT('(INGESTA)Datos_consumo_datadis'!A:A,"",""),"""")"),"ES0031408323131005HX0F")</f>
        <v>ES0031408323131005HX0F</v>
      </c>
      <c r="B8013" s="12">
        <f>IFERROR(__xludf.DUMMYFUNCTION("""COMPUTED_VALUE"""),45199.0)</f>
        <v>45199</v>
      </c>
      <c r="C8013" s="13">
        <f>IFERROR(__xludf.DUMMYFUNCTION("""COMPUTED_VALUE"""),0.875)</f>
        <v>0.875</v>
      </c>
      <c r="D8013" s="8">
        <f>IFERROR(__xludf.DUMMYFUNCTION("""COMPUTED_VALUE"""),0.036)</f>
        <v>0.036</v>
      </c>
      <c r="E8013" s="8" t="str">
        <f>IFERROR(__xludf.DUMMYFUNCTION("""COMPUTED_VALUE"""),"Real")</f>
        <v>Real</v>
      </c>
      <c r="G8013" s="8">
        <f t="shared" si="1"/>
        <v>9</v>
      </c>
      <c r="H8013" s="14">
        <f t="shared" si="2"/>
        <v>30</v>
      </c>
      <c r="I8013" s="15">
        <f t="shared" si="3"/>
        <v>21</v>
      </c>
    </row>
    <row r="8014">
      <c r="A8014" s="8" t="str">
        <f>IFERROR(__xludf.DUMMYFUNCTION("IF('(INGESTA)Datos_consumo_datadis'!A8014&lt;&gt;"""",SPLIT('(INGESTA)Datos_consumo_datadis'!A:A,"",""),"""")"),"ES0031408323131005HX0F")</f>
        <v>ES0031408323131005HX0F</v>
      </c>
      <c r="B8014" s="12">
        <f>IFERROR(__xludf.DUMMYFUNCTION("""COMPUTED_VALUE"""),45199.0)</f>
        <v>45199</v>
      </c>
      <c r="C8014" s="13">
        <f>IFERROR(__xludf.DUMMYFUNCTION("""COMPUTED_VALUE"""),0.9166666666666666)</f>
        <v>0.9166666667</v>
      </c>
      <c r="D8014" s="8">
        <f>IFERROR(__xludf.DUMMYFUNCTION("""COMPUTED_VALUE"""),0.11)</f>
        <v>0.11</v>
      </c>
      <c r="E8014" s="8" t="str">
        <f>IFERROR(__xludf.DUMMYFUNCTION("""COMPUTED_VALUE"""),"Real")</f>
        <v>Real</v>
      </c>
      <c r="G8014" s="8">
        <f t="shared" si="1"/>
        <v>9</v>
      </c>
      <c r="H8014" s="14">
        <f t="shared" si="2"/>
        <v>30</v>
      </c>
      <c r="I8014" s="15">
        <f t="shared" si="3"/>
        <v>22</v>
      </c>
    </row>
    <row r="8015">
      <c r="A8015" s="8" t="str">
        <f>IFERROR(__xludf.DUMMYFUNCTION("IF('(INGESTA)Datos_consumo_datadis'!A8015&lt;&gt;"""",SPLIT('(INGESTA)Datos_consumo_datadis'!A:A,"",""),"""")"),"ES0031408323131005HX0F")</f>
        <v>ES0031408323131005HX0F</v>
      </c>
      <c r="B8015" s="12">
        <f>IFERROR(__xludf.DUMMYFUNCTION("""COMPUTED_VALUE"""),45199.0)</f>
        <v>45199</v>
      </c>
      <c r="C8015" s="13">
        <f>IFERROR(__xludf.DUMMYFUNCTION("""COMPUTED_VALUE"""),0.9583333333333334)</f>
        <v>0.9583333333</v>
      </c>
      <c r="D8015" s="8">
        <f>IFERROR(__xludf.DUMMYFUNCTION("""COMPUTED_VALUE"""),0.076)</f>
        <v>0.076</v>
      </c>
      <c r="E8015" s="8" t="str">
        <f>IFERROR(__xludf.DUMMYFUNCTION("""COMPUTED_VALUE"""),"Real")</f>
        <v>Real</v>
      </c>
      <c r="G8015" s="8">
        <f t="shared" si="1"/>
        <v>9</v>
      </c>
      <c r="H8015" s="14">
        <f t="shared" si="2"/>
        <v>30</v>
      </c>
      <c r="I8015" s="15">
        <f t="shared" si="3"/>
        <v>23</v>
      </c>
    </row>
    <row r="8016">
      <c r="A8016" s="8" t="str">
        <f>IFERROR(__xludf.DUMMYFUNCTION("IF('(INGESTA)Datos_consumo_datadis'!A8016&lt;&gt;"""",SPLIT('(INGESTA)Datos_consumo_datadis'!A:A,"",""),"""")"),"ES0031408323131005HX0F")</f>
        <v>ES0031408323131005HX0F</v>
      </c>
      <c r="B8016" s="12">
        <f>IFERROR(__xludf.DUMMYFUNCTION("""COMPUTED_VALUE"""),45199.0)</f>
        <v>45199</v>
      </c>
      <c r="C8016" s="16">
        <f>IFERROR(__xludf.DUMMYFUNCTION("""COMPUTED_VALUE"""),1.0)</f>
        <v>1</v>
      </c>
      <c r="D8016" s="8">
        <f>IFERROR(__xludf.DUMMYFUNCTION("""COMPUTED_VALUE"""),0.106)</f>
        <v>0.106</v>
      </c>
      <c r="E8016" s="8" t="str">
        <f>IFERROR(__xludf.DUMMYFUNCTION("""COMPUTED_VALUE"""),"Real")</f>
        <v>Real</v>
      </c>
      <c r="G8016" s="8">
        <f t="shared" si="1"/>
        <v>9</v>
      </c>
      <c r="H8016" s="14">
        <f t="shared" si="2"/>
        <v>30</v>
      </c>
      <c r="I8016" s="15">
        <f t="shared" si="3"/>
        <v>0</v>
      </c>
    </row>
    <row r="8017">
      <c r="A8017" s="8" t="str">
        <f>IFERROR(__xludf.DUMMYFUNCTION("IF('(INGESTA)Datos_consumo_datadis'!A8017&lt;&gt;"""",SPLIT('(INGESTA)Datos_consumo_datadis'!A:A,"",""),"""")"),"ES0031408323131005HX0F")</f>
        <v>ES0031408323131005HX0F</v>
      </c>
      <c r="B8017" s="12">
        <f>IFERROR(__xludf.DUMMYFUNCTION("""COMPUTED_VALUE"""),45200.0)</f>
        <v>45200</v>
      </c>
      <c r="C8017" s="13">
        <f>IFERROR(__xludf.DUMMYFUNCTION("""COMPUTED_VALUE"""),0.041666666666666664)</f>
        <v>0.04166666667</v>
      </c>
      <c r="D8017" s="8">
        <f>IFERROR(__xludf.DUMMYFUNCTION("""COMPUTED_VALUE"""),0.036)</f>
        <v>0.036</v>
      </c>
      <c r="E8017" s="8" t="str">
        <f>IFERROR(__xludf.DUMMYFUNCTION("""COMPUTED_VALUE"""),"Real")</f>
        <v>Real</v>
      </c>
      <c r="G8017" s="8">
        <f t="shared" si="1"/>
        <v>10</v>
      </c>
      <c r="H8017" s="14">
        <f t="shared" si="2"/>
        <v>1</v>
      </c>
      <c r="I8017" s="15">
        <f t="shared" si="3"/>
        <v>1</v>
      </c>
    </row>
    <row r="8018">
      <c r="A8018" s="8" t="str">
        <f>IFERROR(__xludf.DUMMYFUNCTION("IF('(INGESTA)Datos_consumo_datadis'!A8018&lt;&gt;"""",SPLIT('(INGESTA)Datos_consumo_datadis'!A:A,"",""),"""")"),"ES0031408323131005HX0F")</f>
        <v>ES0031408323131005HX0F</v>
      </c>
      <c r="B8018" s="12">
        <f>IFERROR(__xludf.DUMMYFUNCTION("""COMPUTED_VALUE"""),45200.0)</f>
        <v>45200</v>
      </c>
      <c r="C8018" s="13">
        <f>IFERROR(__xludf.DUMMYFUNCTION("""COMPUTED_VALUE"""),0.08333333333333333)</f>
        <v>0.08333333333</v>
      </c>
      <c r="D8018" s="8">
        <f>IFERROR(__xludf.DUMMYFUNCTION("""COMPUTED_VALUE"""),0.112)</f>
        <v>0.112</v>
      </c>
      <c r="E8018" s="8" t="str">
        <f>IFERROR(__xludf.DUMMYFUNCTION("""COMPUTED_VALUE"""),"Real")</f>
        <v>Real</v>
      </c>
      <c r="G8018" s="8">
        <f t="shared" si="1"/>
        <v>10</v>
      </c>
      <c r="H8018" s="14">
        <f t="shared" si="2"/>
        <v>1</v>
      </c>
      <c r="I8018" s="15">
        <f t="shared" si="3"/>
        <v>2</v>
      </c>
    </row>
    <row r="8019">
      <c r="A8019" s="8" t="str">
        <f>IFERROR(__xludf.DUMMYFUNCTION("IF('(INGESTA)Datos_consumo_datadis'!A8019&lt;&gt;"""",SPLIT('(INGESTA)Datos_consumo_datadis'!A:A,"",""),"""")"),"ES0031408323131005HX0F")</f>
        <v>ES0031408323131005HX0F</v>
      </c>
      <c r="B8019" s="12">
        <f>IFERROR(__xludf.DUMMYFUNCTION("""COMPUTED_VALUE"""),45200.0)</f>
        <v>45200</v>
      </c>
      <c r="C8019" s="13">
        <f>IFERROR(__xludf.DUMMYFUNCTION("""COMPUTED_VALUE"""),0.125)</f>
        <v>0.125</v>
      </c>
      <c r="D8019" s="8">
        <f>IFERROR(__xludf.DUMMYFUNCTION("""COMPUTED_VALUE"""),0.361)</f>
        <v>0.361</v>
      </c>
      <c r="E8019" s="8" t="str">
        <f>IFERROR(__xludf.DUMMYFUNCTION("""COMPUTED_VALUE"""),"Real")</f>
        <v>Real</v>
      </c>
      <c r="G8019" s="8">
        <f t="shared" si="1"/>
        <v>10</v>
      </c>
      <c r="H8019" s="14">
        <f t="shared" si="2"/>
        <v>1</v>
      </c>
      <c r="I8019" s="15">
        <f t="shared" si="3"/>
        <v>3</v>
      </c>
    </row>
    <row r="8020">
      <c r="A8020" s="8" t="str">
        <f>IFERROR(__xludf.DUMMYFUNCTION("IF('(INGESTA)Datos_consumo_datadis'!A8020&lt;&gt;"""",SPLIT('(INGESTA)Datos_consumo_datadis'!A:A,"",""),"""")"),"ES0031408323131005HX0F")</f>
        <v>ES0031408323131005HX0F</v>
      </c>
      <c r="B8020" s="12">
        <f>IFERROR(__xludf.DUMMYFUNCTION("""COMPUTED_VALUE"""),45200.0)</f>
        <v>45200</v>
      </c>
      <c r="C8020" s="13">
        <f>IFERROR(__xludf.DUMMYFUNCTION("""COMPUTED_VALUE"""),0.16666666666666666)</f>
        <v>0.1666666667</v>
      </c>
      <c r="D8020" s="8">
        <f>IFERROR(__xludf.DUMMYFUNCTION("""COMPUTED_VALUE"""),0.082)</f>
        <v>0.082</v>
      </c>
      <c r="E8020" s="8" t="str">
        <f>IFERROR(__xludf.DUMMYFUNCTION("""COMPUTED_VALUE"""),"Real")</f>
        <v>Real</v>
      </c>
      <c r="G8020" s="8">
        <f t="shared" si="1"/>
        <v>10</v>
      </c>
      <c r="H8020" s="14">
        <f t="shared" si="2"/>
        <v>1</v>
      </c>
      <c r="I8020" s="15">
        <f t="shared" si="3"/>
        <v>4</v>
      </c>
    </row>
    <row r="8021">
      <c r="A8021" s="8" t="str">
        <f>IFERROR(__xludf.DUMMYFUNCTION("IF('(INGESTA)Datos_consumo_datadis'!A8021&lt;&gt;"""",SPLIT('(INGESTA)Datos_consumo_datadis'!A:A,"",""),"""")"),"ES0031408323131005HX0F")</f>
        <v>ES0031408323131005HX0F</v>
      </c>
      <c r="B8021" s="12">
        <f>IFERROR(__xludf.DUMMYFUNCTION("""COMPUTED_VALUE"""),45200.0)</f>
        <v>45200</v>
      </c>
      <c r="C8021" s="13">
        <f>IFERROR(__xludf.DUMMYFUNCTION("""COMPUTED_VALUE"""),0.20833333333333334)</f>
        <v>0.2083333333</v>
      </c>
      <c r="D8021" s="8">
        <f>IFERROR(__xludf.DUMMYFUNCTION("""COMPUTED_VALUE"""),0.051)</f>
        <v>0.051</v>
      </c>
      <c r="E8021" s="8" t="str">
        <f>IFERROR(__xludf.DUMMYFUNCTION("""COMPUTED_VALUE"""),"Real")</f>
        <v>Real</v>
      </c>
      <c r="G8021" s="8">
        <f t="shared" si="1"/>
        <v>10</v>
      </c>
      <c r="H8021" s="14">
        <f t="shared" si="2"/>
        <v>1</v>
      </c>
      <c r="I8021" s="15">
        <f t="shared" si="3"/>
        <v>5</v>
      </c>
    </row>
    <row r="8022">
      <c r="A8022" s="8" t="str">
        <f>IFERROR(__xludf.DUMMYFUNCTION("IF('(INGESTA)Datos_consumo_datadis'!A8022&lt;&gt;"""",SPLIT('(INGESTA)Datos_consumo_datadis'!A:A,"",""),"""")"),"ES0031408323131005HX0F")</f>
        <v>ES0031408323131005HX0F</v>
      </c>
      <c r="B8022" s="12">
        <f>IFERROR(__xludf.DUMMYFUNCTION("""COMPUTED_VALUE"""),45200.0)</f>
        <v>45200</v>
      </c>
      <c r="C8022" s="13">
        <f>IFERROR(__xludf.DUMMYFUNCTION("""COMPUTED_VALUE"""),0.25)</f>
        <v>0.25</v>
      </c>
      <c r="D8022" s="8">
        <f>IFERROR(__xludf.DUMMYFUNCTION("""COMPUTED_VALUE"""),0.109)</f>
        <v>0.109</v>
      </c>
      <c r="E8022" s="8" t="str">
        <f>IFERROR(__xludf.DUMMYFUNCTION("""COMPUTED_VALUE"""),"Real")</f>
        <v>Real</v>
      </c>
      <c r="G8022" s="8">
        <f t="shared" si="1"/>
        <v>10</v>
      </c>
      <c r="H8022" s="14">
        <f t="shared" si="2"/>
        <v>1</v>
      </c>
      <c r="I8022" s="15">
        <f t="shared" si="3"/>
        <v>6</v>
      </c>
    </row>
    <row r="8023">
      <c r="A8023" s="8" t="str">
        <f>IFERROR(__xludf.DUMMYFUNCTION("IF('(INGESTA)Datos_consumo_datadis'!A8023&lt;&gt;"""",SPLIT('(INGESTA)Datos_consumo_datadis'!A:A,"",""),"""")"),"ES0031408323131005HX0F")</f>
        <v>ES0031408323131005HX0F</v>
      </c>
      <c r="B8023" s="12">
        <f>IFERROR(__xludf.DUMMYFUNCTION("""COMPUTED_VALUE"""),45200.0)</f>
        <v>45200</v>
      </c>
      <c r="C8023" s="13">
        <f>IFERROR(__xludf.DUMMYFUNCTION("""COMPUTED_VALUE"""),0.2916666666666667)</f>
        <v>0.2916666667</v>
      </c>
      <c r="D8023" s="8">
        <f>IFERROR(__xludf.DUMMYFUNCTION("""COMPUTED_VALUE"""),0.076)</f>
        <v>0.076</v>
      </c>
      <c r="E8023" s="8" t="str">
        <f>IFERROR(__xludf.DUMMYFUNCTION("""COMPUTED_VALUE"""),"Real")</f>
        <v>Real</v>
      </c>
      <c r="G8023" s="8">
        <f t="shared" si="1"/>
        <v>10</v>
      </c>
      <c r="H8023" s="14">
        <f t="shared" si="2"/>
        <v>1</v>
      </c>
      <c r="I8023" s="15">
        <f t="shared" si="3"/>
        <v>7</v>
      </c>
    </row>
    <row r="8024">
      <c r="A8024" s="8" t="str">
        <f>IFERROR(__xludf.DUMMYFUNCTION("IF('(INGESTA)Datos_consumo_datadis'!A8024&lt;&gt;"""",SPLIT('(INGESTA)Datos_consumo_datadis'!A:A,"",""),"""")"),"ES0031408323131005HX0F")</f>
        <v>ES0031408323131005HX0F</v>
      </c>
      <c r="B8024" s="12">
        <f>IFERROR(__xludf.DUMMYFUNCTION("""COMPUTED_VALUE"""),45200.0)</f>
        <v>45200</v>
      </c>
      <c r="C8024" s="13">
        <f>IFERROR(__xludf.DUMMYFUNCTION("""COMPUTED_VALUE"""),0.3333333333333333)</f>
        <v>0.3333333333</v>
      </c>
      <c r="D8024" s="8">
        <f>IFERROR(__xludf.DUMMYFUNCTION("""COMPUTED_VALUE"""),0.089)</f>
        <v>0.089</v>
      </c>
      <c r="E8024" s="8" t="str">
        <f>IFERROR(__xludf.DUMMYFUNCTION("""COMPUTED_VALUE"""),"Real")</f>
        <v>Real</v>
      </c>
      <c r="G8024" s="8">
        <f t="shared" si="1"/>
        <v>10</v>
      </c>
      <c r="H8024" s="14">
        <f t="shared" si="2"/>
        <v>1</v>
      </c>
      <c r="I8024" s="15">
        <f t="shared" si="3"/>
        <v>8</v>
      </c>
    </row>
    <row r="8025">
      <c r="A8025" s="8" t="str">
        <f>IFERROR(__xludf.DUMMYFUNCTION("IF('(INGESTA)Datos_consumo_datadis'!A8025&lt;&gt;"""",SPLIT('(INGESTA)Datos_consumo_datadis'!A:A,"",""),"""")"),"ES0031408323131005HX0F")</f>
        <v>ES0031408323131005HX0F</v>
      </c>
      <c r="B8025" s="12">
        <f>IFERROR(__xludf.DUMMYFUNCTION("""COMPUTED_VALUE"""),45200.0)</f>
        <v>45200</v>
      </c>
      <c r="C8025" s="13">
        <f>IFERROR(__xludf.DUMMYFUNCTION("""COMPUTED_VALUE"""),0.375)</f>
        <v>0.375</v>
      </c>
      <c r="D8025" s="8">
        <f>IFERROR(__xludf.DUMMYFUNCTION("""COMPUTED_VALUE"""),0.05)</f>
        <v>0.05</v>
      </c>
      <c r="E8025" s="8" t="str">
        <f>IFERROR(__xludf.DUMMYFUNCTION("""COMPUTED_VALUE"""),"Real")</f>
        <v>Real</v>
      </c>
      <c r="G8025" s="8">
        <f t="shared" si="1"/>
        <v>10</v>
      </c>
      <c r="H8025" s="14">
        <f t="shared" si="2"/>
        <v>1</v>
      </c>
      <c r="I8025" s="15">
        <f t="shared" si="3"/>
        <v>9</v>
      </c>
    </row>
    <row r="8026">
      <c r="A8026" s="8" t="str">
        <f>IFERROR(__xludf.DUMMYFUNCTION("IF('(INGESTA)Datos_consumo_datadis'!A8026&lt;&gt;"""",SPLIT('(INGESTA)Datos_consumo_datadis'!A:A,"",""),"""")"),"ES0031408323131005HX0F")</f>
        <v>ES0031408323131005HX0F</v>
      </c>
      <c r="B8026" s="12">
        <f>IFERROR(__xludf.DUMMYFUNCTION("""COMPUTED_VALUE"""),45200.0)</f>
        <v>45200</v>
      </c>
      <c r="C8026" s="13">
        <f>IFERROR(__xludf.DUMMYFUNCTION("""COMPUTED_VALUE"""),0.4166666666666667)</f>
        <v>0.4166666667</v>
      </c>
      <c r="D8026" s="8">
        <f>IFERROR(__xludf.DUMMYFUNCTION("""COMPUTED_VALUE"""),0.397)</f>
        <v>0.397</v>
      </c>
      <c r="E8026" s="8" t="str">
        <f>IFERROR(__xludf.DUMMYFUNCTION("""COMPUTED_VALUE"""),"Real")</f>
        <v>Real</v>
      </c>
      <c r="G8026" s="8">
        <f t="shared" si="1"/>
        <v>10</v>
      </c>
      <c r="H8026" s="14">
        <f t="shared" si="2"/>
        <v>1</v>
      </c>
      <c r="I8026" s="15">
        <f t="shared" si="3"/>
        <v>10</v>
      </c>
    </row>
    <row r="8027">
      <c r="A8027" s="8" t="str">
        <f>IFERROR(__xludf.DUMMYFUNCTION("IF('(INGESTA)Datos_consumo_datadis'!A8027&lt;&gt;"""",SPLIT('(INGESTA)Datos_consumo_datadis'!A:A,"",""),"""")"),"ES0031408323131005HX0F")</f>
        <v>ES0031408323131005HX0F</v>
      </c>
      <c r="B8027" s="12">
        <f>IFERROR(__xludf.DUMMYFUNCTION("""COMPUTED_VALUE"""),45200.0)</f>
        <v>45200</v>
      </c>
      <c r="C8027" s="13">
        <f>IFERROR(__xludf.DUMMYFUNCTION("""COMPUTED_VALUE"""),0.4583333333333333)</f>
        <v>0.4583333333</v>
      </c>
      <c r="D8027" s="8">
        <f>IFERROR(__xludf.DUMMYFUNCTION("""COMPUTED_VALUE"""),0.084)</f>
        <v>0.084</v>
      </c>
      <c r="E8027" s="8" t="str">
        <f>IFERROR(__xludf.DUMMYFUNCTION("""COMPUTED_VALUE"""),"Real")</f>
        <v>Real</v>
      </c>
      <c r="G8027" s="8">
        <f t="shared" si="1"/>
        <v>10</v>
      </c>
      <c r="H8027" s="14">
        <f t="shared" si="2"/>
        <v>1</v>
      </c>
      <c r="I8027" s="15">
        <f t="shared" si="3"/>
        <v>11</v>
      </c>
    </row>
    <row r="8028">
      <c r="A8028" s="8" t="str">
        <f>IFERROR(__xludf.DUMMYFUNCTION("IF('(INGESTA)Datos_consumo_datadis'!A8028&lt;&gt;"""",SPLIT('(INGESTA)Datos_consumo_datadis'!A:A,"",""),"""")"),"ES0031408323131005HX0F")</f>
        <v>ES0031408323131005HX0F</v>
      </c>
      <c r="B8028" s="12">
        <f>IFERROR(__xludf.DUMMYFUNCTION("""COMPUTED_VALUE"""),45200.0)</f>
        <v>45200</v>
      </c>
      <c r="C8028" s="13">
        <f>IFERROR(__xludf.DUMMYFUNCTION("""COMPUTED_VALUE"""),0.5)</f>
        <v>0.5</v>
      </c>
      <c r="D8028" s="8">
        <f>IFERROR(__xludf.DUMMYFUNCTION("""COMPUTED_VALUE"""),0.075)</f>
        <v>0.075</v>
      </c>
      <c r="E8028" s="8" t="str">
        <f>IFERROR(__xludf.DUMMYFUNCTION("""COMPUTED_VALUE"""),"Real")</f>
        <v>Real</v>
      </c>
      <c r="G8028" s="8">
        <f t="shared" si="1"/>
        <v>10</v>
      </c>
      <c r="H8028" s="14">
        <f t="shared" si="2"/>
        <v>1</v>
      </c>
      <c r="I8028" s="15">
        <f t="shared" si="3"/>
        <v>12</v>
      </c>
    </row>
    <row r="8029">
      <c r="A8029" s="8" t="str">
        <f>IFERROR(__xludf.DUMMYFUNCTION("IF('(INGESTA)Datos_consumo_datadis'!A8029&lt;&gt;"""",SPLIT('(INGESTA)Datos_consumo_datadis'!A:A,"",""),"""")"),"ES0031408323131005HX0F")</f>
        <v>ES0031408323131005HX0F</v>
      </c>
      <c r="B8029" s="12">
        <f>IFERROR(__xludf.DUMMYFUNCTION("""COMPUTED_VALUE"""),45200.0)</f>
        <v>45200</v>
      </c>
      <c r="C8029" s="13">
        <f>IFERROR(__xludf.DUMMYFUNCTION("""COMPUTED_VALUE"""),0.5416666666666666)</f>
        <v>0.5416666667</v>
      </c>
      <c r="D8029" s="8">
        <f>IFERROR(__xludf.DUMMYFUNCTION("""COMPUTED_VALUE"""),0.114)</f>
        <v>0.114</v>
      </c>
      <c r="E8029" s="8" t="str">
        <f>IFERROR(__xludf.DUMMYFUNCTION("""COMPUTED_VALUE"""),"Real")</f>
        <v>Real</v>
      </c>
      <c r="G8029" s="8">
        <f t="shared" si="1"/>
        <v>10</v>
      </c>
      <c r="H8029" s="14">
        <f t="shared" si="2"/>
        <v>1</v>
      </c>
      <c r="I8029" s="15">
        <f t="shared" si="3"/>
        <v>13</v>
      </c>
    </row>
    <row r="8030">
      <c r="A8030" s="8" t="str">
        <f>IFERROR(__xludf.DUMMYFUNCTION("IF('(INGESTA)Datos_consumo_datadis'!A8030&lt;&gt;"""",SPLIT('(INGESTA)Datos_consumo_datadis'!A:A,"",""),"""")"),"ES0031408323131005HX0F")</f>
        <v>ES0031408323131005HX0F</v>
      </c>
      <c r="B8030" s="12">
        <f>IFERROR(__xludf.DUMMYFUNCTION("""COMPUTED_VALUE"""),45200.0)</f>
        <v>45200</v>
      </c>
      <c r="C8030" s="13">
        <f>IFERROR(__xludf.DUMMYFUNCTION("""COMPUTED_VALUE"""),0.5833333333333334)</f>
        <v>0.5833333333</v>
      </c>
      <c r="D8030" s="8">
        <f>IFERROR(__xludf.DUMMYFUNCTION("""COMPUTED_VALUE"""),0.087)</f>
        <v>0.087</v>
      </c>
      <c r="E8030" s="8" t="str">
        <f>IFERROR(__xludf.DUMMYFUNCTION("""COMPUTED_VALUE"""),"Real")</f>
        <v>Real</v>
      </c>
      <c r="G8030" s="8">
        <f t="shared" si="1"/>
        <v>10</v>
      </c>
      <c r="H8030" s="14">
        <f t="shared" si="2"/>
        <v>1</v>
      </c>
      <c r="I8030" s="15">
        <f t="shared" si="3"/>
        <v>14</v>
      </c>
    </row>
    <row r="8031">
      <c r="A8031" s="8" t="str">
        <f>IFERROR(__xludf.DUMMYFUNCTION("IF('(INGESTA)Datos_consumo_datadis'!A8031&lt;&gt;"""",SPLIT('(INGESTA)Datos_consumo_datadis'!A:A,"",""),"""")"),"ES0031408323131005HX0F")</f>
        <v>ES0031408323131005HX0F</v>
      </c>
      <c r="B8031" s="12">
        <f>IFERROR(__xludf.DUMMYFUNCTION("""COMPUTED_VALUE"""),45200.0)</f>
        <v>45200</v>
      </c>
      <c r="C8031" s="13">
        <f>IFERROR(__xludf.DUMMYFUNCTION("""COMPUTED_VALUE"""),0.625)</f>
        <v>0.625</v>
      </c>
      <c r="D8031" s="8">
        <f>IFERROR(__xludf.DUMMYFUNCTION("""COMPUTED_VALUE"""),0.066)</f>
        <v>0.066</v>
      </c>
      <c r="E8031" s="8" t="str">
        <f>IFERROR(__xludf.DUMMYFUNCTION("""COMPUTED_VALUE"""),"Real")</f>
        <v>Real</v>
      </c>
      <c r="G8031" s="8">
        <f t="shared" si="1"/>
        <v>10</v>
      </c>
      <c r="H8031" s="14">
        <f t="shared" si="2"/>
        <v>1</v>
      </c>
      <c r="I8031" s="15">
        <f t="shared" si="3"/>
        <v>15</v>
      </c>
    </row>
    <row r="8032">
      <c r="A8032" s="8" t="str">
        <f>IFERROR(__xludf.DUMMYFUNCTION("IF('(INGESTA)Datos_consumo_datadis'!A8032&lt;&gt;"""",SPLIT('(INGESTA)Datos_consumo_datadis'!A:A,"",""),"""")"),"ES0031408323131005HX0F")</f>
        <v>ES0031408323131005HX0F</v>
      </c>
      <c r="B8032" s="12">
        <f>IFERROR(__xludf.DUMMYFUNCTION("""COMPUTED_VALUE"""),45200.0)</f>
        <v>45200</v>
      </c>
      <c r="C8032" s="13">
        <f>IFERROR(__xludf.DUMMYFUNCTION("""COMPUTED_VALUE"""),0.6666666666666666)</f>
        <v>0.6666666667</v>
      </c>
      <c r="D8032" s="8">
        <f>IFERROR(__xludf.DUMMYFUNCTION("""COMPUTED_VALUE"""),0.077)</f>
        <v>0.077</v>
      </c>
      <c r="E8032" s="8" t="str">
        <f>IFERROR(__xludf.DUMMYFUNCTION("""COMPUTED_VALUE"""),"Real")</f>
        <v>Real</v>
      </c>
      <c r="G8032" s="8">
        <f t="shared" si="1"/>
        <v>10</v>
      </c>
      <c r="H8032" s="14">
        <f t="shared" si="2"/>
        <v>1</v>
      </c>
      <c r="I8032" s="15">
        <f t="shared" si="3"/>
        <v>16</v>
      </c>
    </row>
    <row r="8033">
      <c r="A8033" s="8" t="str">
        <f>IFERROR(__xludf.DUMMYFUNCTION("IF('(INGESTA)Datos_consumo_datadis'!A8033&lt;&gt;"""",SPLIT('(INGESTA)Datos_consumo_datadis'!A:A,"",""),"""")"),"ES0031408323131005HX0F")</f>
        <v>ES0031408323131005HX0F</v>
      </c>
      <c r="B8033" s="12">
        <f>IFERROR(__xludf.DUMMYFUNCTION("""COMPUTED_VALUE"""),45200.0)</f>
        <v>45200</v>
      </c>
      <c r="C8033" s="13">
        <f>IFERROR(__xludf.DUMMYFUNCTION("""COMPUTED_VALUE"""),0.7083333333333334)</f>
        <v>0.7083333333</v>
      </c>
      <c r="D8033" s="8">
        <f>IFERROR(__xludf.DUMMYFUNCTION("""COMPUTED_VALUE"""),0.089)</f>
        <v>0.089</v>
      </c>
      <c r="E8033" s="8" t="str">
        <f>IFERROR(__xludf.DUMMYFUNCTION("""COMPUTED_VALUE"""),"Real")</f>
        <v>Real</v>
      </c>
      <c r="G8033" s="8">
        <f t="shared" si="1"/>
        <v>10</v>
      </c>
      <c r="H8033" s="14">
        <f t="shared" si="2"/>
        <v>1</v>
      </c>
      <c r="I8033" s="15">
        <f t="shared" si="3"/>
        <v>17</v>
      </c>
    </row>
    <row r="8034">
      <c r="A8034" s="8" t="str">
        <f>IFERROR(__xludf.DUMMYFUNCTION("IF('(INGESTA)Datos_consumo_datadis'!A8034&lt;&gt;"""",SPLIT('(INGESTA)Datos_consumo_datadis'!A:A,"",""),"""")"),"ES0031408323131005HX0F")</f>
        <v>ES0031408323131005HX0F</v>
      </c>
      <c r="B8034" s="12">
        <f>IFERROR(__xludf.DUMMYFUNCTION("""COMPUTED_VALUE"""),45200.0)</f>
        <v>45200</v>
      </c>
      <c r="C8034" s="13">
        <f>IFERROR(__xludf.DUMMYFUNCTION("""COMPUTED_VALUE"""),0.75)</f>
        <v>0.75</v>
      </c>
      <c r="D8034" s="8">
        <f>IFERROR(__xludf.DUMMYFUNCTION("""COMPUTED_VALUE"""),0.401)</f>
        <v>0.401</v>
      </c>
      <c r="E8034" s="8" t="str">
        <f>IFERROR(__xludf.DUMMYFUNCTION("""COMPUTED_VALUE"""),"Real")</f>
        <v>Real</v>
      </c>
      <c r="G8034" s="8">
        <f t="shared" si="1"/>
        <v>10</v>
      </c>
      <c r="H8034" s="14">
        <f t="shared" si="2"/>
        <v>1</v>
      </c>
      <c r="I8034" s="15">
        <f t="shared" si="3"/>
        <v>18</v>
      </c>
    </row>
    <row r="8035">
      <c r="A8035" s="8" t="str">
        <f>IFERROR(__xludf.DUMMYFUNCTION("IF('(INGESTA)Datos_consumo_datadis'!A8035&lt;&gt;"""",SPLIT('(INGESTA)Datos_consumo_datadis'!A:A,"",""),"""")"),"ES0031408323131005HX0F")</f>
        <v>ES0031408323131005HX0F</v>
      </c>
      <c r="B8035" s="12">
        <f>IFERROR(__xludf.DUMMYFUNCTION("""COMPUTED_VALUE"""),45200.0)</f>
        <v>45200</v>
      </c>
      <c r="C8035" s="13">
        <f>IFERROR(__xludf.DUMMYFUNCTION("""COMPUTED_VALUE"""),0.7916666666666666)</f>
        <v>0.7916666667</v>
      </c>
      <c r="D8035" s="8">
        <f>IFERROR(__xludf.DUMMYFUNCTION("""COMPUTED_VALUE"""),0.632)</f>
        <v>0.632</v>
      </c>
      <c r="E8035" s="8" t="str">
        <f>IFERROR(__xludf.DUMMYFUNCTION("""COMPUTED_VALUE"""),"Real")</f>
        <v>Real</v>
      </c>
      <c r="G8035" s="8">
        <f t="shared" si="1"/>
        <v>10</v>
      </c>
      <c r="H8035" s="14">
        <f t="shared" si="2"/>
        <v>1</v>
      </c>
      <c r="I8035" s="15">
        <f t="shared" si="3"/>
        <v>19</v>
      </c>
    </row>
    <row r="8036">
      <c r="A8036" s="8" t="str">
        <f>IFERROR(__xludf.DUMMYFUNCTION("IF('(INGESTA)Datos_consumo_datadis'!A8036&lt;&gt;"""",SPLIT('(INGESTA)Datos_consumo_datadis'!A:A,"",""),"""")"),"ES0031408323131005HX0F")</f>
        <v>ES0031408323131005HX0F</v>
      </c>
      <c r="B8036" s="12">
        <f>IFERROR(__xludf.DUMMYFUNCTION("""COMPUTED_VALUE"""),45200.0)</f>
        <v>45200</v>
      </c>
      <c r="C8036" s="13">
        <f>IFERROR(__xludf.DUMMYFUNCTION("""COMPUTED_VALUE"""),0.8333333333333334)</f>
        <v>0.8333333333</v>
      </c>
      <c r="D8036" s="8">
        <f>IFERROR(__xludf.DUMMYFUNCTION("""COMPUTED_VALUE"""),0.074)</f>
        <v>0.074</v>
      </c>
      <c r="E8036" s="8" t="str">
        <f>IFERROR(__xludf.DUMMYFUNCTION("""COMPUTED_VALUE"""),"Real")</f>
        <v>Real</v>
      </c>
      <c r="G8036" s="8">
        <f t="shared" si="1"/>
        <v>10</v>
      </c>
      <c r="H8036" s="14">
        <f t="shared" si="2"/>
        <v>1</v>
      </c>
      <c r="I8036" s="15">
        <f t="shared" si="3"/>
        <v>20</v>
      </c>
    </row>
    <row r="8037">
      <c r="A8037" s="8" t="str">
        <f>IFERROR(__xludf.DUMMYFUNCTION("IF('(INGESTA)Datos_consumo_datadis'!A8037&lt;&gt;"""",SPLIT('(INGESTA)Datos_consumo_datadis'!A:A,"",""),"""")"),"ES0031408323131005HX0F")</f>
        <v>ES0031408323131005HX0F</v>
      </c>
      <c r="B8037" s="12">
        <f>IFERROR(__xludf.DUMMYFUNCTION("""COMPUTED_VALUE"""),45200.0)</f>
        <v>45200</v>
      </c>
      <c r="C8037" s="13">
        <f>IFERROR(__xludf.DUMMYFUNCTION("""COMPUTED_VALUE"""),0.875)</f>
        <v>0.875</v>
      </c>
      <c r="D8037" s="8">
        <f>IFERROR(__xludf.DUMMYFUNCTION("""COMPUTED_VALUE"""),0.125)</f>
        <v>0.125</v>
      </c>
      <c r="E8037" s="8" t="str">
        <f>IFERROR(__xludf.DUMMYFUNCTION("""COMPUTED_VALUE"""),"Real")</f>
        <v>Real</v>
      </c>
      <c r="G8037" s="8">
        <f t="shared" si="1"/>
        <v>10</v>
      </c>
      <c r="H8037" s="14">
        <f t="shared" si="2"/>
        <v>1</v>
      </c>
      <c r="I8037" s="15">
        <f t="shared" si="3"/>
        <v>21</v>
      </c>
    </row>
    <row r="8038">
      <c r="A8038" s="8" t="str">
        <f>IFERROR(__xludf.DUMMYFUNCTION("IF('(INGESTA)Datos_consumo_datadis'!A8038&lt;&gt;"""",SPLIT('(INGESTA)Datos_consumo_datadis'!A:A,"",""),"""")"),"ES0031408323131005HX0F")</f>
        <v>ES0031408323131005HX0F</v>
      </c>
      <c r="B8038" s="12">
        <f>IFERROR(__xludf.DUMMYFUNCTION("""COMPUTED_VALUE"""),45200.0)</f>
        <v>45200</v>
      </c>
      <c r="C8038" s="13">
        <f>IFERROR(__xludf.DUMMYFUNCTION("""COMPUTED_VALUE"""),0.9166666666666666)</f>
        <v>0.9166666667</v>
      </c>
      <c r="D8038" s="8">
        <f>IFERROR(__xludf.DUMMYFUNCTION("""COMPUTED_VALUE"""),0.066)</f>
        <v>0.066</v>
      </c>
      <c r="E8038" s="8" t="str">
        <f>IFERROR(__xludf.DUMMYFUNCTION("""COMPUTED_VALUE"""),"Real")</f>
        <v>Real</v>
      </c>
      <c r="G8038" s="8">
        <f t="shared" si="1"/>
        <v>10</v>
      </c>
      <c r="H8038" s="14">
        <f t="shared" si="2"/>
        <v>1</v>
      </c>
      <c r="I8038" s="15">
        <f t="shared" si="3"/>
        <v>22</v>
      </c>
    </row>
    <row r="8039">
      <c r="A8039" s="8" t="str">
        <f>IFERROR(__xludf.DUMMYFUNCTION("IF('(INGESTA)Datos_consumo_datadis'!A8039&lt;&gt;"""",SPLIT('(INGESTA)Datos_consumo_datadis'!A:A,"",""),"""")"),"ES0031408323131005HX0F")</f>
        <v>ES0031408323131005HX0F</v>
      </c>
      <c r="B8039" s="12">
        <f>IFERROR(__xludf.DUMMYFUNCTION("""COMPUTED_VALUE"""),45200.0)</f>
        <v>45200</v>
      </c>
      <c r="C8039" s="13">
        <f>IFERROR(__xludf.DUMMYFUNCTION("""COMPUTED_VALUE"""),0.9583333333333334)</f>
        <v>0.9583333333</v>
      </c>
      <c r="D8039" s="8">
        <f>IFERROR(__xludf.DUMMYFUNCTION("""COMPUTED_VALUE"""),0.073)</f>
        <v>0.073</v>
      </c>
      <c r="E8039" s="8" t="str">
        <f>IFERROR(__xludf.DUMMYFUNCTION("""COMPUTED_VALUE"""),"Real")</f>
        <v>Real</v>
      </c>
      <c r="G8039" s="8">
        <f t="shared" si="1"/>
        <v>10</v>
      </c>
      <c r="H8039" s="14">
        <f t="shared" si="2"/>
        <v>1</v>
      </c>
      <c r="I8039" s="15">
        <f t="shared" si="3"/>
        <v>23</v>
      </c>
    </row>
    <row r="8040">
      <c r="A8040" s="8" t="str">
        <f>IFERROR(__xludf.DUMMYFUNCTION("IF('(INGESTA)Datos_consumo_datadis'!A8040&lt;&gt;"""",SPLIT('(INGESTA)Datos_consumo_datadis'!A:A,"",""),"""")"),"ES0031408323131005HX0F")</f>
        <v>ES0031408323131005HX0F</v>
      </c>
      <c r="B8040" s="12">
        <f>IFERROR(__xludf.DUMMYFUNCTION("""COMPUTED_VALUE"""),45200.0)</f>
        <v>45200</v>
      </c>
      <c r="C8040" s="16">
        <f>IFERROR(__xludf.DUMMYFUNCTION("""COMPUTED_VALUE"""),1.0)</f>
        <v>1</v>
      </c>
      <c r="D8040" s="8">
        <f>IFERROR(__xludf.DUMMYFUNCTION("""COMPUTED_VALUE"""),0.086)</f>
        <v>0.086</v>
      </c>
      <c r="E8040" s="8" t="str">
        <f>IFERROR(__xludf.DUMMYFUNCTION("""COMPUTED_VALUE"""),"Real")</f>
        <v>Real</v>
      </c>
      <c r="G8040" s="8">
        <f t="shared" si="1"/>
        <v>10</v>
      </c>
      <c r="H8040" s="14">
        <f t="shared" si="2"/>
        <v>1</v>
      </c>
      <c r="I8040" s="15">
        <f t="shared" si="3"/>
        <v>0</v>
      </c>
    </row>
    <row r="8041">
      <c r="A8041" s="8" t="str">
        <f>IFERROR(__xludf.DUMMYFUNCTION("IF('(INGESTA)Datos_consumo_datadis'!A8041&lt;&gt;"""",SPLIT('(INGESTA)Datos_consumo_datadis'!A:A,"",""),"""")"),"ES0031408323131005HX0F")</f>
        <v>ES0031408323131005HX0F</v>
      </c>
      <c r="B8041" s="12">
        <f>IFERROR(__xludf.DUMMYFUNCTION("""COMPUTED_VALUE"""),45201.0)</f>
        <v>45201</v>
      </c>
      <c r="C8041" s="13">
        <f>IFERROR(__xludf.DUMMYFUNCTION("""COMPUTED_VALUE"""),0.041666666666666664)</f>
        <v>0.04166666667</v>
      </c>
      <c r="D8041" s="8">
        <f>IFERROR(__xludf.DUMMYFUNCTION("""COMPUTED_VALUE"""),0.367)</f>
        <v>0.367</v>
      </c>
      <c r="E8041" s="8" t="str">
        <f>IFERROR(__xludf.DUMMYFUNCTION("""COMPUTED_VALUE"""),"Real")</f>
        <v>Real</v>
      </c>
      <c r="G8041" s="8">
        <f t="shared" si="1"/>
        <v>10</v>
      </c>
      <c r="H8041" s="14">
        <f t="shared" si="2"/>
        <v>2</v>
      </c>
      <c r="I8041" s="15">
        <f t="shared" si="3"/>
        <v>1</v>
      </c>
    </row>
    <row r="8042">
      <c r="A8042" s="8" t="str">
        <f>IFERROR(__xludf.DUMMYFUNCTION("IF('(INGESTA)Datos_consumo_datadis'!A8042&lt;&gt;"""",SPLIT('(INGESTA)Datos_consumo_datadis'!A:A,"",""),"""")"),"ES0031408323131005HX0F")</f>
        <v>ES0031408323131005HX0F</v>
      </c>
      <c r="B8042" s="12">
        <f>IFERROR(__xludf.DUMMYFUNCTION("""COMPUTED_VALUE"""),45201.0)</f>
        <v>45201</v>
      </c>
      <c r="C8042" s="13">
        <f>IFERROR(__xludf.DUMMYFUNCTION("""COMPUTED_VALUE"""),0.08333333333333333)</f>
        <v>0.08333333333</v>
      </c>
      <c r="D8042" s="8">
        <f>IFERROR(__xludf.DUMMYFUNCTION("""COMPUTED_VALUE"""),0.076)</f>
        <v>0.076</v>
      </c>
      <c r="E8042" s="8" t="str">
        <f>IFERROR(__xludf.DUMMYFUNCTION("""COMPUTED_VALUE"""),"Real")</f>
        <v>Real</v>
      </c>
      <c r="G8042" s="8">
        <f t="shared" si="1"/>
        <v>10</v>
      </c>
      <c r="H8042" s="14">
        <f t="shared" si="2"/>
        <v>2</v>
      </c>
      <c r="I8042" s="15">
        <f t="shared" si="3"/>
        <v>2</v>
      </c>
    </row>
    <row r="8043">
      <c r="A8043" s="8" t="str">
        <f>IFERROR(__xludf.DUMMYFUNCTION("IF('(INGESTA)Datos_consumo_datadis'!A8043&lt;&gt;"""",SPLIT('(INGESTA)Datos_consumo_datadis'!A:A,"",""),"""")"),"ES0031408323131005HX0F")</f>
        <v>ES0031408323131005HX0F</v>
      </c>
      <c r="B8043" s="12">
        <f>IFERROR(__xludf.DUMMYFUNCTION("""COMPUTED_VALUE"""),45201.0)</f>
        <v>45201</v>
      </c>
      <c r="C8043" s="13">
        <f>IFERROR(__xludf.DUMMYFUNCTION("""COMPUTED_VALUE"""),0.125)</f>
        <v>0.125</v>
      </c>
      <c r="D8043" s="8">
        <f>IFERROR(__xludf.DUMMYFUNCTION("""COMPUTED_VALUE"""),0.091)</f>
        <v>0.091</v>
      </c>
      <c r="E8043" s="8" t="str">
        <f>IFERROR(__xludf.DUMMYFUNCTION("""COMPUTED_VALUE"""),"Real")</f>
        <v>Real</v>
      </c>
      <c r="G8043" s="8">
        <f t="shared" si="1"/>
        <v>10</v>
      </c>
      <c r="H8043" s="14">
        <f t="shared" si="2"/>
        <v>2</v>
      </c>
      <c r="I8043" s="15">
        <f t="shared" si="3"/>
        <v>3</v>
      </c>
    </row>
    <row r="8044">
      <c r="A8044" s="8" t="str">
        <f>IFERROR(__xludf.DUMMYFUNCTION("IF('(INGESTA)Datos_consumo_datadis'!A8044&lt;&gt;"""",SPLIT('(INGESTA)Datos_consumo_datadis'!A:A,"",""),"""")"),"ES0031408323131005HX0F")</f>
        <v>ES0031408323131005HX0F</v>
      </c>
      <c r="B8044" s="12">
        <f>IFERROR(__xludf.DUMMYFUNCTION("""COMPUTED_VALUE"""),45201.0)</f>
        <v>45201</v>
      </c>
      <c r="C8044" s="13">
        <f>IFERROR(__xludf.DUMMYFUNCTION("""COMPUTED_VALUE"""),0.16666666666666666)</f>
        <v>0.1666666667</v>
      </c>
      <c r="D8044" s="8">
        <f>IFERROR(__xludf.DUMMYFUNCTION("""COMPUTED_VALUE"""),0.082)</f>
        <v>0.082</v>
      </c>
      <c r="E8044" s="8" t="str">
        <f>IFERROR(__xludf.DUMMYFUNCTION("""COMPUTED_VALUE"""),"Real")</f>
        <v>Real</v>
      </c>
      <c r="G8044" s="8">
        <f t="shared" si="1"/>
        <v>10</v>
      </c>
      <c r="H8044" s="14">
        <f t="shared" si="2"/>
        <v>2</v>
      </c>
      <c r="I8044" s="15">
        <f t="shared" si="3"/>
        <v>4</v>
      </c>
    </row>
    <row r="8045">
      <c r="A8045" s="8" t="str">
        <f>IFERROR(__xludf.DUMMYFUNCTION("IF('(INGESTA)Datos_consumo_datadis'!A8045&lt;&gt;"""",SPLIT('(INGESTA)Datos_consumo_datadis'!A:A,"",""),"""")"),"ES0031408323131005HX0F")</f>
        <v>ES0031408323131005HX0F</v>
      </c>
      <c r="B8045" s="12">
        <f>IFERROR(__xludf.DUMMYFUNCTION("""COMPUTED_VALUE"""),45201.0)</f>
        <v>45201</v>
      </c>
      <c r="C8045" s="13">
        <f>IFERROR(__xludf.DUMMYFUNCTION("""COMPUTED_VALUE"""),0.20833333333333334)</f>
        <v>0.2083333333</v>
      </c>
      <c r="D8045" s="8">
        <f>IFERROR(__xludf.DUMMYFUNCTION("""COMPUTED_VALUE"""),0.127)</f>
        <v>0.127</v>
      </c>
      <c r="E8045" s="8" t="str">
        <f>IFERROR(__xludf.DUMMYFUNCTION("""COMPUTED_VALUE"""),"Real")</f>
        <v>Real</v>
      </c>
      <c r="G8045" s="8">
        <f t="shared" si="1"/>
        <v>10</v>
      </c>
      <c r="H8045" s="14">
        <f t="shared" si="2"/>
        <v>2</v>
      </c>
      <c r="I8045" s="15">
        <f t="shared" si="3"/>
        <v>5</v>
      </c>
    </row>
    <row r="8046">
      <c r="A8046" s="8" t="str">
        <f>IFERROR(__xludf.DUMMYFUNCTION("IF('(INGESTA)Datos_consumo_datadis'!A8046&lt;&gt;"""",SPLIT('(INGESTA)Datos_consumo_datadis'!A:A,"",""),"""")"),"ES0031408323131005HX0F")</f>
        <v>ES0031408323131005HX0F</v>
      </c>
      <c r="B8046" s="12">
        <f>IFERROR(__xludf.DUMMYFUNCTION("""COMPUTED_VALUE"""),45201.0)</f>
        <v>45201</v>
      </c>
      <c r="C8046" s="13">
        <f>IFERROR(__xludf.DUMMYFUNCTION("""COMPUTED_VALUE"""),0.25)</f>
        <v>0.25</v>
      </c>
      <c r="D8046" s="8">
        <f>IFERROR(__xludf.DUMMYFUNCTION("""COMPUTED_VALUE"""),0.124)</f>
        <v>0.124</v>
      </c>
      <c r="E8046" s="8" t="str">
        <f>IFERROR(__xludf.DUMMYFUNCTION("""COMPUTED_VALUE"""),"Real")</f>
        <v>Real</v>
      </c>
      <c r="G8046" s="8">
        <f t="shared" si="1"/>
        <v>10</v>
      </c>
      <c r="H8046" s="14">
        <f t="shared" si="2"/>
        <v>2</v>
      </c>
      <c r="I8046" s="15">
        <f t="shared" si="3"/>
        <v>6</v>
      </c>
    </row>
    <row r="8047">
      <c r="A8047" s="8" t="str">
        <f>IFERROR(__xludf.DUMMYFUNCTION("IF('(INGESTA)Datos_consumo_datadis'!A8047&lt;&gt;"""",SPLIT('(INGESTA)Datos_consumo_datadis'!A:A,"",""),"""")"),"ES0031408323131005HX0F")</f>
        <v>ES0031408323131005HX0F</v>
      </c>
      <c r="B8047" s="12">
        <f>IFERROR(__xludf.DUMMYFUNCTION("""COMPUTED_VALUE"""),45201.0)</f>
        <v>45201</v>
      </c>
      <c r="C8047" s="13">
        <f>IFERROR(__xludf.DUMMYFUNCTION("""COMPUTED_VALUE"""),0.2916666666666667)</f>
        <v>0.2916666667</v>
      </c>
      <c r="D8047" s="8">
        <f>IFERROR(__xludf.DUMMYFUNCTION("""COMPUTED_VALUE"""),0.098)</f>
        <v>0.098</v>
      </c>
      <c r="E8047" s="8" t="str">
        <f>IFERROR(__xludf.DUMMYFUNCTION("""COMPUTED_VALUE"""),"Real")</f>
        <v>Real</v>
      </c>
      <c r="G8047" s="8">
        <f t="shared" si="1"/>
        <v>10</v>
      </c>
      <c r="H8047" s="14">
        <f t="shared" si="2"/>
        <v>2</v>
      </c>
      <c r="I8047" s="15">
        <f t="shared" si="3"/>
        <v>7</v>
      </c>
    </row>
    <row r="8048">
      <c r="A8048" s="8" t="str">
        <f>IFERROR(__xludf.DUMMYFUNCTION("IF('(INGESTA)Datos_consumo_datadis'!A8048&lt;&gt;"""",SPLIT('(INGESTA)Datos_consumo_datadis'!A:A,"",""),"""")"),"ES0031408323131005HX0F")</f>
        <v>ES0031408323131005HX0F</v>
      </c>
      <c r="B8048" s="12">
        <f>IFERROR(__xludf.DUMMYFUNCTION("""COMPUTED_VALUE"""),45201.0)</f>
        <v>45201</v>
      </c>
      <c r="C8048" s="13">
        <f>IFERROR(__xludf.DUMMYFUNCTION("""COMPUTED_VALUE"""),0.3333333333333333)</f>
        <v>0.3333333333</v>
      </c>
      <c r="D8048" s="8">
        <f>IFERROR(__xludf.DUMMYFUNCTION("""COMPUTED_VALUE"""),0.13)</f>
        <v>0.13</v>
      </c>
      <c r="E8048" s="8" t="str">
        <f>IFERROR(__xludf.DUMMYFUNCTION("""COMPUTED_VALUE"""),"Real")</f>
        <v>Real</v>
      </c>
      <c r="G8048" s="8">
        <f t="shared" si="1"/>
        <v>10</v>
      </c>
      <c r="H8048" s="14">
        <f t="shared" si="2"/>
        <v>2</v>
      </c>
      <c r="I8048" s="15">
        <f t="shared" si="3"/>
        <v>8</v>
      </c>
    </row>
    <row r="8049">
      <c r="A8049" s="8" t="str">
        <f>IFERROR(__xludf.DUMMYFUNCTION("IF('(INGESTA)Datos_consumo_datadis'!A8049&lt;&gt;"""",SPLIT('(INGESTA)Datos_consumo_datadis'!A:A,"",""),"""")"),"ES0031408323131005HX0F")</f>
        <v>ES0031408323131005HX0F</v>
      </c>
      <c r="B8049" s="12">
        <f>IFERROR(__xludf.DUMMYFUNCTION("""COMPUTED_VALUE"""),45201.0)</f>
        <v>45201</v>
      </c>
      <c r="C8049" s="13">
        <f>IFERROR(__xludf.DUMMYFUNCTION("""COMPUTED_VALUE"""),0.375)</f>
        <v>0.375</v>
      </c>
      <c r="D8049" s="8">
        <f>IFERROR(__xludf.DUMMYFUNCTION("""COMPUTED_VALUE"""),0.285)</f>
        <v>0.285</v>
      </c>
      <c r="E8049" s="8" t="str">
        <f>IFERROR(__xludf.DUMMYFUNCTION("""COMPUTED_VALUE"""),"Real")</f>
        <v>Real</v>
      </c>
      <c r="G8049" s="8">
        <f t="shared" si="1"/>
        <v>10</v>
      </c>
      <c r="H8049" s="14">
        <f t="shared" si="2"/>
        <v>2</v>
      </c>
      <c r="I8049" s="15">
        <f t="shared" si="3"/>
        <v>9</v>
      </c>
    </row>
    <row r="8050">
      <c r="A8050" s="8" t="str">
        <f>IFERROR(__xludf.DUMMYFUNCTION("IF('(INGESTA)Datos_consumo_datadis'!A8050&lt;&gt;"""",SPLIT('(INGESTA)Datos_consumo_datadis'!A:A,"",""),"""")"),"ES0031408323131005HX0F")</f>
        <v>ES0031408323131005HX0F</v>
      </c>
      <c r="B8050" s="12">
        <f>IFERROR(__xludf.DUMMYFUNCTION("""COMPUTED_VALUE"""),45201.0)</f>
        <v>45201</v>
      </c>
      <c r="C8050" s="13">
        <f>IFERROR(__xludf.DUMMYFUNCTION("""COMPUTED_VALUE"""),0.4166666666666667)</f>
        <v>0.4166666667</v>
      </c>
      <c r="D8050" s="8">
        <f>IFERROR(__xludf.DUMMYFUNCTION("""COMPUTED_VALUE"""),0.118)</f>
        <v>0.118</v>
      </c>
      <c r="E8050" s="8" t="str">
        <f>IFERROR(__xludf.DUMMYFUNCTION("""COMPUTED_VALUE"""),"Real")</f>
        <v>Real</v>
      </c>
      <c r="G8050" s="8">
        <f t="shared" si="1"/>
        <v>10</v>
      </c>
      <c r="H8050" s="14">
        <f t="shared" si="2"/>
        <v>2</v>
      </c>
      <c r="I8050" s="15">
        <f t="shared" si="3"/>
        <v>10</v>
      </c>
    </row>
    <row r="8051">
      <c r="A8051" s="8" t="str">
        <f>IFERROR(__xludf.DUMMYFUNCTION("IF('(INGESTA)Datos_consumo_datadis'!A8051&lt;&gt;"""",SPLIT('(INGESTA)Datos_consumo_datadis'!A:A,"",""),"""")"),"ES0031408323131005HX0F")</f>
        <v>ES0031408323131005HX0F</v>
      </c>
      <c r="B8051" s="12">
        <f>IFERROR(__xludf.DUMMYFUNCTION("""COMPUTED_VALUE"""),45201.0)</f>
        <v>45201</v>
      </c>
      <c r="C8051" s="13">
        <f>IFERROR(__xludf.DUMMYFUNCTION("""COMPUTED_VALUE"""),0.4583333333333333)</f>
        <v>0.4583333333</v>
      </c>
      <c r="D8051" s="8">
        <f>IFERROR(__xludf.DUMMYFUNCTION("""COMPUTED_VALUE"""),0.081)</f>
        <v>0.081</v>
      </c>
      <c r="E8051" s="8" t="str">
        <f>IFERROR(__xludf.DUMMYFUNCTION("""COMPUTED_VALUE"""),"Real")</f>
        <v>Real</v>
      </c>
      <c r="G8051" s="8">
        <f t="shared" si="1"/>
        <v>10</v>
      </c>
      <c r="H8051" s="14">
        <f t="shared" si="2"/>
        <v>2</v>
      </c>
      <c r="I8051" s="15">
        <f t="shared" si="3"/>
        <v>11</v>
      </c>
    </row>
    <row r="8052">
      <c r="A8052" s="8" t="str">
        <f>IFERROR(__xludf.DUMMYFUNCTION("IF('(INGESTA)Datos_consumo_datadis'!A8052&lt;&gt;"""",SPLIT('(INGESTA)Datos_consumo_datadis'!A:A,"",""),"""")"),"ES0031408323131005HX0F")</f>
        <v>ES0031408323131005HX0F</v>
      </c>
      <c r="B8052" s="12">
        <f>IFERROR(__xludf.DUMMYFUNCTION("""COMPUTED_VALUE"""),45201.0)</f>
        <v>45201</v>
      </c>
      <c r="C8052" s="13">
        <f>IFERROR(__xludf.DUMMYFUNCTION("""COMPUTED_VALUE"""),0.5)</f>
        <v>0.5</v>
      </c>
      <c r="D8052" s="8">
        <f>IFERROR(__xludf.DUMMYFUNCTION("""COMPUTED_VALUE"""),0.12)</f>
        <v>0.12</v>
      </c>
      <c r="E8052" s="8" t="str">
        <f>IFERROR(__xludf.DUMMYFUNCTION("""COMPUTED_VALUE"""),"Real")</f>
        <v>Real</v>
      </c>
      <c r="G8052" s="8">
        <f t="shared" si="1"/>
        <v>10</v>
      </c>
      <c r="H8052" s="14">
        <f t="shared" si="2"/>
        <v>2</v>
      </c>
      <c r="I8052" s="15">
        <f t="shared" si="3"/>
        <v>12</v>
      </c>
    </row>
    <row r="8053">
      <c r="A8053" s="8" t="str">
        <f>IFERROR(__xludf.DUMMYFUNCTION("IF('(INGESTA)Datos_consumo_datadis'!A8053&lt;&gt;"""",SPLIT('(INGESTA)Datos_consumo_datadis'!A:A,"",""),"""")"),"ES0031408323131005HX0F")</f>
        <v>ES0031408323131005HX0F</v>
      </c>
      <c r="B8053" s="12">
        <f>IFERROR(__xludf.DUMMYFUNCTION("""COMPUTED_VALUE"""),45201.0)</f>
        <v>45201</v>
      </c>
      <c r="C8053" s="13">
        <f>IFERROR(__xludf.DUMMYFUNCTION("""COMPUTED_VALUE"""),0.5416666666666666)</f>
        <v>0.5416666667</v>
      </c>
      <c r="D8053" s="8">
        <f>IFERROR(__xludf.DUMMYFUNCTION("""COMPUTED_VALUE"""),0.123)</f>
        <v>0.123</v>
      </c>
      <c r="E8053" s="8" t="str">
        <f>IFERROR(__xludf.DUMMYFUNCTION("""COMPUTED_VALUE"""),"Real")</f>
        <v>Real</v>
      </c>
      <c r="G8053" s="8">
        <f t="shared" si="1"/>
        <v>10</v>
      </c>
      <c r="H8053" s="14">
        <f t="shared" si="2"/>
        <v>2</v>
      </c>
      <c r="I8053" s="15">
        <f t="shared" si="3"/>
        <v>13</v>
      </c>
    </row>
    <row r="8054">
      <c r="A8054" s="8" t="str">
        <f>IFERROR(__xludf.DUMMYFUNCTION("IF('(INGESTA)Datos_consumo_datadis'!A8054&lt;&gt;"""",SPLIT('(INGESTA)Datos_consumo_datadis'!A:A,"",""),"""")"),"ES0031408323131005HX0F")</f>
        <v>ES0031408323131005HX0F</v>
      </c>
      <c r="B8054" s="12">
        <f>IFERROR(__xludf.DUMMYFUNCTION("""COMPUTED_VALUE"""),45201.0)</f>
        <v>45201</v>
      </c>
      <c r="C8054" s="13">
        <f>IFERROR(__xludf.DUMMYFUNCTION("""COMPUTED_VALUE"""),0.5833333333333334)</f>
        <v>0.5833333333</v>
      </c>
      <c r="D8054" s="8">
        <f>IFERROR(__xludf.DUMMYFUNCTION("""COMPUTED_VALUE"""),0.114)</f>
        <v>0.114</v>
      </c>
      <c r="E8054" s="8" t="str">
        <f>IFERROR(__xludf.DUMMYFUNCTION("""COMPUTED_VALUE"""),"Real")</f>
        <v>Real</v>
      </c>
      <c r="G8054" s="8">
        <f t="shared" si="1"/>
        <v>10</v>
      </c>
      <c r="H8054" s="14">
        <f t="shared" si="2"/>
        <v>2</v>
      </c>
      <c r="I8054" s="15">
        <f t="shared" si="3"/>
        <v>14</v>
      </c>
    </row>
    <row r="8055">
      <c r="A8055" s="8" t="str">
        <f>IFERROR(__xludf.DUMMYFUNCTION("IF('(INGESTA)Datos_consumo_datadis'!A8055&lt;&gt;"""",SPLIT('(INGESTA)Datos_consumo_datadis'!A:A,"",""),"""")"),"ES0031408323131005HX0F")</f>
        <v>ES0031408323131005HX0F</v>
      </c>
      <c r="B8055" s="12">
        <f>IFERROR(__xludf.DUMMYFUNCTION("""COMPUTED_VALUE"""),45201.0)</f>
        <v>45201</v>
      </c>
      <c r="C8055" s="13">
        <f>IFERROR(__xludf.DUMMYFUNCTION("""COMPUTED_VALUE"""),0.625)</f>
        <v>0.625</v>
      </c>
      <c r="D8055" s="8">
        <f>IFERROR(__xludf.DUMMYFUNCTION("""COMPUTED_VALUE"""),0.115)</f>
        <v>0.115</v>
      </c>
      <c r="E8055" s="8" t="str">
        <f>IFERROR(__xludf.DUMMYFUNCTION("""COMPUTED_VALUE"""),"Real")</f>
        <v>Real</v>
      </c>
      <c r="G8055" s="8">
        <f t="shared" si="1"/>
        <v>10</v>
      </c>
      <c r="H8055" s="14">
        <f t="shared" si="2"/>
        <v>2</v>
      </c>
      <c r="I8055" s="15">
        <f t="shared" si="3"/>
        <v>15</v>
      </c>
    </row>
    <row r="8056">
      <c r="A8056" s="8" t="str">
        <f>IFERROR(__xludf.DUMMYFUNCTION("IF('(INGESTA)Datos_consumo_datadis'!A8056&lt;&gt;"""",SPLIT('(INGESTA)Datos_consumo_datadis'!A:A,"",""),"""")"),"ES0031408323131005HX0F")</f>
        <v>ES0031408323131005HX0F</v>
      </c>
      <c r="B8056" s="12">
        <f>IFERROR(__xludf.DUMMYFUNCTION("""COMPUTED_VALUE"""),45201.0)</f>
        <v>45201</v>
      </c>
      <c r="C8056" s="13">
        <f>IFERROR(__xludf.DUMMYFUNCTION("""COMPUTED_VALUE"""),0.6666666666666666)</f>
        <v>0.6666666667</v>
      </c>
      <c r="D8056" s="8">
        <f>IFERROR(__xludf.DUMMYFUNCTION("""COMPUTED_VALUE"""),0.343)</f>
        <v>0.343</v>
      </c>
      <c r="E8056" s="8" t="str">
        <f>IFERROR(__xludf.DUMMYFUNCTION("""COMPUTED_VALUE"""),"Real")</f>
        <v>Real</v>
      </c>
      <c r="G8056" s="8">
        <f t="shared" si="1"/>
        <v>10</v>
      </c>
      <c r="H8056" s="14">
        <f t="shared" si="2"/>
        <v>2</v>
      </c>
      <c r="I8056" s="15">
        <f t="shared" si="3"/>
        <v>16</v>
      </c>
    </row>
    <row r="8057">
      <c r="A8057" s="8" t="str">
        <f>IFERROR(__xludf.DUMMYFUNCTION("IF('(INGESTA)Datos_consumo_datadis'!A8057&lt;&gt;"""",SPLIT('(INGESTA)Datos_consumo_datadis'!A:A,"",""),"""")"),"ES0031408323131005HX0F")</f>
        <v>ES0031408323131005HX0F</v>
      </c>
      <c r="B8057" s="12">
        <f>IFERROR(__xludf.DUMMYFUNCTION("""COMPUTED_VALUE"""),45201.0)</f>
        <v>45201</v>
      </c>
      <c r="C8057" s="13">
        <f>IFERROR(__xludf.DUMMYFUNCTION("""COMPUTED_VALUE"""),0.7083333333333334)</f>
        <v>0.7083333333</v>
      </c>
      <c r="D8057" s="8">
        <f>IFERROR(__xludf.DUMMYFUNCTION("""COMPUTED_VALUE"""),0.137)</f>
        <v>0.137</v>
      </c>
      <c r="E8057" s="8" t="str">
        <f>IFERROR(__xludf.DUMMYFUNCTION("""COMPUTED_VALUE"""),"Real")</f>
        <v>Real</v>
      </c>
      <c r="G8057" s="8">
        <f t="shared" si="1"/>
        <v>10</v>
      </c>
      <c r="H8057" s="14">
        <f t="shared" si="2"/>
        <v>2</v>
      </c>
      <c r="I8057" s="15">
        <f t="shared" si="3"/>
        <v>17</v>
      </c>
    </row>
    <row r="8058">
      <c r="A8058" s="8" t="str">
        <f>IFERROR(__xludf.DUMMYFUNCTION("IF('(INGESTA)Datos_consumo_datadis'!A8058&lt;&gt;"""",SPLIT('(INGESTA)Datos_consumo_datadis'!A:A,"",""),"""")"),"ES0031408323131005HX0F")</f>
        <v>ES0031408323131005HX0F</v>
      </c>
      <c r="B8058" s="12">
        <f>IFERROR(__xludf.DUMMYFUNCTION("""COMPUTED_VALUE"""),45201.0)</f>
        <v>45201</v>
      </c>
      <c r="C8058" s="13">
        <f>IFERROR(__xludf.DUMMYFUNCTION("""COMPUTED_VALUE"""),0.75)</f>
        <v>0.75</v>
      </c>
      <c r="D8058" s="8">
        <f>IFERROR(__xludf.DUMMYFUNCTION("""COMPUTED_VALUE"""),0.102)</f>
        <v>0.102</v>
      </c>
      <c r="E8058" s="8" t="str">
        <f>IFERROR(__xludf.DUMMYFUNCTION("""COMPUTED_VALUE"""),"Real")</f>
        <v>Real</v>
      </c>
      <c r="G8058" s="8">
        <f t="shared" si="1"/>
        <v>10</v>
      </c>
      <c r="H8058" s="14">
        <f t="shared" si="2"/>
        <v>2</v>
      </c>
      <c r="I8058" s="15">
        <f t="shared" si="3"/>
        <v>18</v>
      </c>
    </row>
    <row r="8059">
      <c r="A8059" s="8" t="str">
        <f>IFERROR(__xludf.DUMMYFUNCTION("IF('(INGESTA)Datos_consumo_datadis'!A8059&lt;&gt;"""",SPLIT('(INGESTA)Datos_consumo_datadis'!A:A,"",""),"""")"),"ES0031408323131005HX0F")</f>
        <v>ES0031408323131005HX0F</v>
      </c>
      <c r="B8059" s="12">
        <f>IFERROR(__xludf.DUMMYFUNCTION("""COMPUTED_VALUE"""),45201.0)</f>
        <v>45201</v>
      </c>
      <c r="C8059" s="13">
        <f>IFERROR(__xludf.DUMMYFUNCTION("""COMPUTED_VALUE"""),0.7916666666666666)</f>
        <v>0.7916666667</v>
      </c>
      <c r="D8059" s="8">
        <f>IFERROR(__xludf.DUMMYFUNCTION("""COMPUTED_VALUE"""),0.087)</f>
        <v>0.087</v>
      </c>
      <c r="E8059" s="8" t="str">
        <f>IFERROR(__xludf.DUMMYFUNCTION("""COMPUTED_VALUE"""),"Real")</f>
        <v>Real</v>
      </c>
      <c r="G8059" s="8">
        <f t="shared" si="1"/>
        <v>10</v>
      </c>
      <c r="H8059" s="14">
        <f t="shared" si="2"/>
        <v>2</v>
      </c>
      <c r="I8059" s="15">
        <f t="shared" si="3"/>
        <v>19</v>
      </c>
    </row>
    <row r="8060">
      <c r="A8060" s="8" t="str">
        <f>IFERROR(__xludf.DUMMYFUNCTION("IF('(INGESTA)Datos_consumo_datadis'!A8060&lt;&gt;"""",SPLIT('(INGESTA)Datos_consumo_datadis'!A:A,"",""),"""")"),"ES0031408323131005HX0F")</f>
        <v>ES0031408323131005HX0F</v>
      </c>
      <c r="B8060" s="12">
        <f>IFERROR(__xludf.DUMMYFUNCTION("""COMPUTED_VALUE"""),45201.0)</f>
        <v>45201</v>
      </c>
      <c r="C8060" s="13">
        <f>IFERROR(__xludf.DUMMYFUNCTION("""COMPUTED_VALUE"""),0.8333333333333334)</f>
        <v>0.8333333333</v>
      </c>
      <c r="D8060" s="8">
        <f>IFERROR(__xludf.DUMMYFUNCTION("""COMPUTED_VALUE"""),0.099)</f>
        <v>0.099</v>
      </c>
      <c r="E8060" s="8" t="str">
        <f>IFERROR(__xludf.DUMMYFUNCTION("""COMPUTED_VALUE"""),"Real")</f>
        <v>Real</v>
      </c>
      <c r="G8060" s="8">
        <f t="shared" si="1"/>
        <v>10</v>
      </c>
      <c r="H8060" s="14">
        <f t="shared" si="2"/>
        <v>2</v>
      </c>
      <c r="I8060" s="15">
        <f t="shared" si="3"/>
        <v>20</v>
      </c>
    </row>
    <row r="8061">
      <c r="A8061" s="8" t="str">
        <f>IFERROR(__xludf.DUMMYFUNCTION("IF('(INGESTA)Datos_consumo_datadis'!A8061&lt;&gt;"""",SPLIT('(INGESTA)Datos_consumo_datadis'!A:A,"",""),"""")"),"ES0031408323131005HX0F")</f>
        <v>ES0031408323131005HX0F</v>
      </c>
      <c r="B8061" s="12">
        <f>IFERROR(__xludf.DUMMYFUNCTION("""COMPUTED_VALUE"""),45201.0)</f>
        <v>45201</v>
      </c>
      <c r="C8061" s="13">
        <f>IFERROR(__xludf.DUMMYFUNCTION("""COMPUTED_VALUE"""),0.875)</f>
        <v>0.875</v>
      </c>
      <c r="D8061" s="8">
        <f>IFERROR(__xludf.DUMMYFUNCTION("""COMPUTED_VALUE"""),0.12)</f>
        <v>0.12</v>
      </c>
      <c r="E8061" s="8" t="str">
        <f>IFERROR(__xludf.DUMMYFUNCTION("""COMPUTED_VALUE"""),"Real")</f>
        <v>Real</v>
      </c>
      <c r="G8061" s="8">
        <f t="shared" si="1"/>
        <v>10</v>
      </c>
      <c r="H8061" s="14">
        <f t="shared" si="2"/>
        <v>2</v>
      </c>
      <c r="I8061" s="15">
        <f t="shared" si="3"/>
        <v>21</v>
      </c>
    </row>
    <row r="8062">
      <c r="A8062" s="8" t="str">
        <f>IFERROR(__xludf.DUMMYFUNCTION("IF('(INGESTA)Datos_consumo_datadis'!A8062&lt;&gt;"""",SPLIT('(INGESTA)Datos_consumo_datadis'!A:A,"",""),"""")"),"ES0031408323131005HX0F")</f>
        <v>ES0031408323131005HX0F</v>
      </c>
      <c r="B8062" s="12">
        <f>IFERROR(__xludf.DUMMYFUNCTION("""COMPUTED_VALUE"""),45201.0)</f>
        <v>45201</v>
      </c>
      <c r="C8062" s="13">
        <f>IFERROR(__xludf.DUMMYFUNCTION("""COMPUTED_VALUE"""),0.9166666666666666)</f>
        <v>0.9166666667</v>
      </c>
      <c r="D8062" s="8">
        <f>IFERROR(__xludf.DUMMYFUNCTION("""COMPUTED_VALUE"""),0.125)</f>
        <v>0.125</v>
      </c>
      <c r="E8062" s="8" t="str">
        <f>IFERROR(__xludf.DUMMYFUNCTION("""COMPUTED_VALUE"""),"Real")</f>
        <v>Real</v>
      </c>
      <c r="G8062" s="8">
        <f t="shared" si="1"/>
        <v>10</v>
      </c>
      <c r="H8062" s="14">
        <f t="shared" si="2"/>
        <v>2</v>
      </c>
      <c r="I8062" s="15">
        <f t="shared" si="3"/>
        <v>22</v>
      </c>
    </row>
    <row r="8063">
      <c r="A8063" s="8" t="str">
        <f>IFERROR(__xludf.DUMMYFUNCTION("IF('(INGESTA)Datos_consumo_datadis'!A8063&lt;&gt;"""",SPLIT('(INGESTA)Datos_consumo_datadis'!A:A,"",""),"""")"),"ES0031408323131005HX0F")</f>
        <v>ES0031408323131005HX0F</v>
      </c>
      <c r="B8063" s="12">
        <f>IFERROR(__xludf.DUMMYFUNCTION("""COMPUTED_VALUE"""),45201.0)</f>
        <v>45201</v>
      </c>
      <c r="C8063" s="13">
        <f>IFERROR(__xludf.DUMMYFUNCTION("""COMPUTED_VALUE"""),0.9583333333333334)</f>
        <v>0.9583333333</v>
      </c>
      <c r="D8063" s="8">
        <f>IFERROR(__xludf.DUMMYFUNCTION("""COMPUTED_VALUE"""),1.101)</f>
        <v>1.101</v>
      </c>
      <c r="E8063" s="8" t="str">
        <f>IFERROR(__xludf.DUMMYFUNCTION("""COMPUTED_VALUE"""),"Real")</f>
        <v>Real</v>
      </c>
      <c r="G8063" s="8">
        <f t="shared" si="1"/>
        <v>10</v>
      </c>
      <c r="H8063" s="14">
        <f t="shared" si="2"/>
        <v>2</v>
      </c>
      <c r="I8063" s="15">
        <f t="shared" si="3"/>
        <v>23</v>
      </c>
    </row>
    <row r="8064">
      <c r="A8064" s="8" t="str">
        <f>IFERROR(__xludf.DUMMYFUNCTION("IF('(INGESTA)Datos_consumo_datadis'!A8064&lt;&gt;"""",SPLIT('(INGESTA)Datos_consumo_datadis'!A:A,"",""),"""")"),"ES0031408323131005HX0F")</f>
        <v>ES0031408323131005HX0F</v>
      </c>
      <c r="B8064" s="12">
        <f>IFERROR(__xludf.DUMMYFUNCTION("""COMPUTED_VALUE"""),45201.0)</f>
        <v>45201</v>
      </c>
      <c r="C8064" s="16">
        <f>IFERROR(__xludf.DUMMYFUNCTION("""COMPUTED_VALUE"""),1.0)</f>
        <v>1</v>
      </c>
      <c r="D8064" s="8">
        <f>IFERROR(__xludf.DUMMYFUNCTION("""COMPUTED_VALUE"""),0.216)</f>
        <v>0.216</v>
      </c>
      <c r="E8064" s="8" t="str">
        <f>IFERROR(__xludf.DUMMYFUNCTION("""COMPUTED_VALUE"""),"Real")</f>
        <v>Real</v>
      </c>
      <c r="G8064" s="8">
        <f t="shared" si="1"/>
        <v>10</v>
      </c>
      <c r="H8064" s="14">
        <f t="shared" si="2"/>
        <v>2</v>
      </c>
      <c r="I8064" s="15">
        <f t="shared" si="3"/>
        <v>0</v>
      </c>
    </row>
    <row r="8065">
      <c r="A8065" s="8" t="str">
        <f>IFERROR(__xludf.DUMMYFUNCTION("IF('(INGESTA)Datos_consumo_datadis'!A8065&lt;&gt;"""",SPLIT('(INGESTA)Datos_consumo_datadis'!A:A,"",""),"""")"),"ES0031408323131005HX0F")</f>
        <v>ES0031408323131005HX0F</v>
      </c>
      <c r="B8065" s="12">
        <f>IFERROR(__xludf.DUMMYFUNCTION("""COMPUTED_VALUE"""),45202.0)</f>
        <v>45202</v>
      </c>
      <c r="C8065" s="13">
        <f>IFERROR(__xludf.DUMMYFUNCTION("""COMPUTED_VALUE"""),0.041666666666666664)</f>
        <v>0.04166666667</v>
      </c>
      <c r="D8065" s="8">
        <f>IFERROR(__xludf.DUMMYFUNCTION("""COMPUTED_VALUE"""),0.197)</f>
        <v>0.197</v>
      </c>
      <c r="E8065" s="8" t="str">
        <f>IFERROR(__xludf.DUMMYFUNCTION("""COMPUTED_VALUE"""),"Real")</f>
        <v>Real</v>
      </c>
      <c r="G8065" s="8">
        <f t="shared" si="1"/>
        <v>10</v>
      </c>
      <c r="H8065" s="14">
        <f t="shared" si="2"/>
        <v>3</v>
      </c>
      <c r="I8065" s="15">
        <f t="shared" si="3"/>
        <v>1</v>
      </c>
    </row>
    <row r="8066">
      <c r="A8066" s="8" t="str">
        <f>IFERROR(__xludf.DUMMYFUNCTION("IF('(INGESTA)Datos_consumo_datadis'!A8066&lt;&gt;"""",SPLIT('(INGESTA)Datos_consumo_datadis'!A:A,"",""),"""")"),"ES0031408323131005HX0F")</f>
        <v>ES0031408323131005HX0F</v>
      </c>
      <c r="B8066" s="12">
        <f>IFERROR(__xludf.DUMMYFUNCTION("""COMPUTED_VALUE"""),45202.0)</f>
        <v>45202</v>
      </c>
      <c r="C8066" s="13">
        <f>IFERROR(__xludf.DUMMYFUNCTION("""COMPUTED_VALUE"""),0.08333333333333333)</f>
        <v>0.08333333333</v>
      </c>
      <c r="D8066" s="8">
        <f>IFERROR(__xludf.DUMMYFUNCTION("""COMPUTED_VALUE"""),0.118)</f>
        <v>0.118</v>
      </c>
      <c r="E8066" s="8" t="str">
        <f>IFERROR(__xludf.DUMMYFUNCTION("""COMPUTED_VALUE"""),"Real")</f>
        <v>Real</v>
      </c>
      <c r="G8066" s="8">
        <f t="shared" si="1"/>
        <v>10</v>
      </c>
      <c r="H8066" s="14">
        <f t="shared" si="2"/>
        <v>3</v>
      </c>
      <c r="I8066" s="15">
        <f t="shared" si="3"/>
        <v>2</v>
      </c>
    </row>
    <row r="8067">
      <c r="A8067" s="8" t="str">
        <f>IFERROR(__xludf.DUMMYFUNCTION("IF('(INGESTA)Datos_consumo_datadis'!A8067&lt;&gt;"""",SPLIT('(INGESTA)Datos_consumo_datadis'!A:A,"",""),"""")"),"ES0031408323131005HX0F")</f>
        <v>ES0031408323131005HX0F</v>
      </c>
      <c r="B8067" s="12">
        <f>IFERROR(__xludf.DUMMYFUNCTION("""COMPUTED_VALUE"""),45202.0)</f>
        <v>45202</v>
      </c>
      <c r="C8067" s="13">
        <f>IFERROR(__xludf.DUMMYFUNCTION("""COMPUTED_VALUE"""),0.125)</f>
        <v>0.125</v>
      </c>
      <c r="D8067" s="8">
        <f>IFERROR(__xludf.DUMMYFUNCTION("""COMPUTED_VALUE"""),0.114)</f>
        <v>0.114</v>
      </c>
      <c r="E8067" s="8" t="str">
        <f>IFERROR(__xludf.DUMMYFUNCTION("""COMPUTED_VALUE"""),"Real")</f>
        <v>Real</v>
      </c>
      <c r="G8067" s="8">
        <f t="shared" si="1"/>
        <v>10</v>
      </c>
      <c r="H8067" s="14">
        <f t="shared" si="2"/>
        <v>3</v>
      </c>
      <c r="I8067" s="15">
        <f t="shared" si="3"/>
        <v>3</v>
      </c>
    </row>
    <row r="8068">
      <c r="A8068" s="8" t="str">
        <f>IFERROR(__xludf.DUMMYFUNCTION("IF('(INGESTA)Datos_consumo_datadis'!A8068&lt;&gt;"""",SPLIT('(INGESTA)Datos_consumo_datadis'!A:A,"",""),"""")"),"ES0031408323131005HX0F")</f>
        <v>ES0031408323131005HX0F</v>
      </c>
      <c r="B8068" s="12">
        <f>IFERROR(__xludf.DUMMYFUNCTION("""COMPUTED_VALUE"""),45202.0)</f>
        <v>45202</v>
      </c>
      <c r="C8068" s="13">
        <f>IFERROR(__xludf.DUMMYFUNCTION("""COMPUTED_VALUE"""),0.16666666666666666)</f>
        <v>0.1666666667</v>
      </c>
      <c r="D8068" s="8">
        <f>IFERROR(__xludf.DUMMYFUNCTION("""COMPUTED_VALUE"""),0.068)</f>
        <v>0.068</v>
      </c>
      <c r="E8068" s="8" t="str">
        <f>IFERROR(__xludf.DUMMYFUNCTION("""COMPUTED_VALUE"""),"Real")</f>
        <v>Real</v>
      </c>
      <c r="G8068" s="8">
        <f t="shared" si="1"/>
        <v>10</v>
      </c>
      <c r="H8068" s="14">
        <f t="shared" si="2"/>
        <v>3</v>
      </c>
      <c r="I8068" s="15">
        <f t="shared" si="3"/>
        <v>4</v>
      </c>
    </row>
    <row r="8069">
      <c r="A8069" s="8" t="str">
        <f>IFERROR(__xludf.DUMMYFUNCTION("IF('(INGESTA)Datos_consumo_datadis'!A8069&lt;&gt;"""",SPLIT('(INGESTA)Datos_consumo_datadis'!A:A,"",""),"""")"),"ES0031408323131005HX0F")</f>
        <v>ES0031408323131005HX0F</v>
      </c>
      <c r="B8069" s="12">
        <f>IFERROR(__xludf.DUMMYFUNCTION("""COMPUTED_VALUE"""),45202.0)</f>
        <v>45202</v>
      </c>
      <c r="C8069" s="13">
        <f>IFERROR(__xludf.DUMMYFUNCTION("""COMPUTED_VALUE"""),0.20833333333333334)</f>
        <v>0.2083333333</v>
      </c>
      <c r="D8069" s="8">
        <f>IFERROR(__xludf.DUMMYFUNCTION("""COMPUTED_VALUE"""),0.107)</f>
        <v>0.107</v>
      </c>
      <c r="E8069" s="8" t="str">
        <f>IFERROR(__xludf.DUMMYFUNCTION("""COMPUTED_VALUE"""),"Real")</f>
        <v>Real</v>
      </c>
      <c r="G8069" s="8">
        <f t="shared" si="1"/>
        <v>10</v>
      </c>
      <c r="H8069" s="14">
        <f t="shared" si="2"/>
        <v>3</v>
      </c>
      <c r="I8069" s="15">
        <f t="shared" si="3"/>
        <v>5</v>
      </c>
    </row>
    <row r="8070">
      <c r="A8070" s="8" t="str">
        <f>IFERROR(__xludf.DUMMYFUNCTION("IF('(INGESTA)Datos_consumo_datadis'!A8070&lt;&gt;"""",SPLIT('(INGESTA)Datos_consumo_datadis'!A:A,"",""),"""")"),"ES0031408323131005HX0F")</f>
        <v>ES0031408323131005HX0F</v>
      </c>
      <c r="B8070" s="12">
        <f>IFERROR(__xludf.DUMMYFUNCTION("""COMPUTED_VALUE"""),45202.0)</f>
        <v>45202</v>
      </c>
      <c r="C8070" s="13">
        <f>IFERROR(__xludf.DUMMYFUNCTION("""COMPUTED_VALUE"""),0.25)</f>
        <v>0.25</v>
      </c>
      <c r="D8070" s="8">
        <f>IFERROR(__xludf.DUMMYFUNCTION("""COMPUTED_VALUE"""),0.303)</f>
        <v>0.303</v>
      </c>
      <c r="E8070" s="8" t="str">
        <f>IFERROR(__xludf.DUMMYFUNCTION("""COMPUTED_VALUE"""),"Real")</f>
        <v>Real</v>
      </c>
      <c r="G8070" s="8">
        <f t="shared" si="1"/>
        <v>10</v>
      </c>
      <c r="H8070" s="14">
        <f t="shared" si="2"/>
        <v>3</v>
      </c>
      <c r="I8070" s="15">
        <f t="shared" si="3"/>
        <v>6</v>
      </c>
    </row>
    <row r="8071">
      <c r="A8071" s="8" t="str">
        <f>IFERROR(__xludf.DUMMYFUNCTION("IF('(INGESTA)Datos_consumo_datadis'!A8071&lt;&gt;"""",SPLIT('(INGESTA)Datos_consumo_datadis'!A:A,"",""),"""")"),"ES0031408323131005HX0F")</f>
        <v>ES0031408323131005HX0F</v>
      </c>
      <c r="B8071" s="12">
        <f>IFERROR(__xludf.DUMMYFUNCTION("""COMPUTED_VALUE"""),45202.0)</f>
        <v>45202</v>
      </c>
      <c r="C8071" s="13">
        <f>IFERROR(__xludf.DUMMYFUNCTION("""COMPUTED_VALUE"""),0.2916666666666667)</f>
        <v>0.2916666667</v>
      </c>
      <c r="D8071" s="8">
        <f>IFERROR(__xludf.DUMMYFUNCTION("""COMPUTED_VALUE"""),0.079)</f>
        <v>0.079</v>
      </c>
      <c r="E8071" s="8" t="str">
        <f>IFERROR(__xludf.DUMMYFUNCTION("""COMPUTED_VALUE"""),"Real")</f>
        <v>Real</v>
      </c>
      <c r="G8071" s="8">
        <f t="shared" si="1"/>
        <v>10</v>
      </c>
      <c r="H8071" s="14">
        <f t="shared" si="2"/>
        <v>3</v>
      </c>
      <c r="I8071" s="15">
        <f t="shared" si="3"/>
        <v>7</v>
      </c>
    </row>
    <row r="8072">
      <c r="A8072" s="8" t="str">
        <f>IFERROR(__xludf.DUMMYFUNCTION("IF('(INGESTA)Datos_consumo_datadis'!A8072&lt;&gt;"""",SPLIT('(INGESTA)Datos_consumo_datadis'!A:A,"",""),"""")"),"ES0031408323131005HX0F")</f>
        <v>ES0031408323131005HX0F</v>
      </c>
      <c r="B8072" s="12">
        <f>IFERROR(__xludf.DUMMYFUNCTION("""COMPUTED_VALUE"""),45202.0)</f>
        <v>45202</v>
      </c>
      <c r="C8072" s="13">
        <f>IFERROR(__xludf.DUMMYFUNCTION("""COMPUTED_VALUE"""),0.3333333333333333)</f>
        <v>0.3333333333</v>
      </c>
      <c r="D8072" s="8">
        <f>IFERROR(__xludf.DUMMYFUNCTION("""COMPUTED_VALUE"""),0.116)</f>
        <v>0.116</v>
      </c>
      <c r="E8072" s="8" t="str">
        <f>IFERROR(__xludf.DUMMYFUNCTION("""COMPUTED_VALUE"""),"Real")</f>
        <v>Real</v>
      </c>
      <c r="G8072" s="8">
        <f t="shared" si="1"/>
        <v>10</v>
      </c>
      <c r="H8072" s="14">
        <f t="shared" si="2"/>
        <v>3</v>
      </c>
      <c r="I8072" s="15">
        <f t="shared" si="3"/>
        <v>8</v>
      </c>
    </row>
    <row r="8073">
      <c r="A8073" s="8" t="str">
        <f>IFERROR(__xludf.DUMMYFUNCTION("IF('(INGESTA)Datos_consumo_datadis'!A8073&lt;&gt;"""",SPLIT('(INGESTA)Datos_consumo_datadis'!A:A,"",""),"""")"),"ES0031408323131005HX0F")</f>
        <v>ES0031408323131005HX0F</v>
      </c>
      <c r="B8073" s="12">
        <f>IFERROR(__xludf.DUMMYFUNCTION("""COMPUTED_VALUE"""),45202.0)</f>
        <v>45202</v>
      </c>
      <c r="C8073" s="13">
        <f>IFERROR(__xludf.DUMMYFUNCTION("""COMPUTED_VALUE"""),0.375)</f>
        <v>0.375</v>
      </c>
      <c r="D8073" s="8">
        <f>IFERROR(__xludf.DUMMYFUNCTION("""COMPUTED_VALUE"""),0.069)</f>
        <v>0.069</v>
      </c>
      <c r="E8073" s="8" t="str">
        <f>IFERROR(__xludf.DUMMYFUNCTION("""COMPUTED_VALUE"""),"Real")</f>
        <v>Real</v>
      </c>
      <c r="G8073" s="8">
        <f t="shared" si="1"/>
        <v>10</v>
      </c>
      <c r="H8073" s="14">
        <f t="shared" si="2"/>
        <v>3</v>
      </c>
      <c r="I8073" s="15">
        <f t="shared" si="3"/>
        <v>9</v>
      </c>
    </row>
    <row r="8074">
      <c r="A8074" s="8" t="str">
        <f>IFERROR(__xludf.DUMMYFUNCTION("IF('(INGESTA)Datos_consumo_datadis'!A8074&lt;&gt;"""",SPLIT('(INGESTA)Datos_consumo_datadis'!A:A,"",""),"""")"),"ES0031408323131005HX0F")</f>
        <v>ES0031408323131005HX0F</v>
      </c>
      <c r="B8074" s="12">
        <f>IFERROR(__xludf.DUMMYFUNCTION("""COMPUTED_VALUE"""),45202.0)</f>
        <v>45202</v>
      </c>
      <c r="C8074" s="13">
        <f>IFERROR(__xludf.DUMMYFUNCTION("""COMPUTED_VALUE"""),0.4166666666666667)</f>
        <v>0.4166666667</v>
      </c>
      <c r="D8074" s="8">
        <f>IFERROR(__xludf.DUMMYFUNCTION("""COMPUTED_VALUE"""),0.024)</f>
        <v>0.024</v>
      </c>
      <c r="E8074" s="8" t="str">
        <f>IFERROR(__xludf.DUMMYFUNCTION("""COMPUTED_VALUE"""),"Real")</f>
        <v>Real</v>
      </c>
      <c r="G8074" s="8">
        <f t="shared" si="1"/>
        <v>10</v>
      </c>
      <c r="H8074" s="14">
        <f t="shared" si="2"/>
        <v>3</v>
      </c>
      <c r="I8074" s="15">
        <f t="shared" si="3"/>
        <v>10</v>
      </c>
    </row>
    <row r="8075">
      <c r="A8075" s="8" t="str">
        <f>IFERROR(__xludf.DUMMYFUNCTION("IF('(INGESTA)Datos_consumo_datadis'!A8075&lt;&gt;"""",SPLIT('(INGESTA)Datos_consumo_datadis'!A:A,"",""),"""")"),"ES0031408323131005HX0F")</f>
        <v>ES0031408323131005HX0F</v>
      </c>
      <c r="B8075" s="12">
        <f>IFERROR(__xludf.DUMMYFUNCTION("""COMPUTED_VALUE"""),45202.0)</f>
        <v>45202</v>
      </c>
      <c r="C8075" s="13">
        <f>IFERROR(__xludf.DUMMYFUNCTION("""COMPUTED_VALUE"""),0.4583333333333333)</f>
        <v>0.4583333333</v>
      </c>
      <c r="D8075" s="8">
        <f>IFERROR(__xludf.DUMMYFUNCTION("""COMPUTED_VALUE"""),0.088)</f>
        <v>0.088</v>
      </c>
      <c r="E8075" s="8" t="str">
        <f>IFERROR(__xludf.DUMMYFUNCTION("""COMPUTED_VALUE"""),"Real")</f>
        <v>Real</v>
      </c>
      <c r="G8075" s="8">
        <f t="shared" si="1"/>
        <v>10</v>
      </c>
      <c r="H8075" s="14">
        <f t="shared" si="2"/>
        <v>3</v>
      </c>
      <c r="I8075" s="15">
        <f t="shared" si="3"/>
        <v>11</v>
      </c>
    </row>
    <row r="8076">
      <c r="A8076" s="8" t="str">
        <f>IFERROR(__xludf.DUMMYFUNCTION("IF('(INGESTA)Datos_consumo_datadis'!A8076&lt;&gt;"""",SPLIT('(INGESTA)Datos_consumo_datadis'!A:A,"",""),"""")"),"ES0031408323131005HX0F")</f>
        <v>ES0031408323131005HX0F</v>
      </c>
      <c r="B8076" s="12">
        <f>IFERROR(__xludf.DUMMYFUNCTION("""COMPUTED_VALUE"""),45202.0)</f>
        <v>45202</v>
      </c>
      <c r="C8076" s="13">
        <f>IFERROR(__xludf.DUMMYFUNCTION("""COMPUTED_VALUE"""),0.5)</f>
        <v>0.5</v>
      </c>
      <c r="D8076" s="8">
        <f>IFERROR(__xludf.DUMMYFUNCTION("""COMPUTED_VALUE"""),0.081)</f>
        <v>0.081</v>
      </c>
      <c r="E8076" s="8" t="str">
        <f>IFERROR(__xludf.DUMMYFUNCTION("""COMPUTED_VALUE"""),"Real")</f>
        <v>Real</v>
      </c>
      <c r="G8076" s="8">
        <f t="shared" si="1"/>
        <v>10</v>
      </c>
      <c r="H8076" s="14">
        <f t="shared" si="2"/>
        <v>3</v>
      </c>
      <c r="I8076" s="15">
        <f t="shared" si="3"/>
        <v>12</v>
      </c>
    </row>
    <row r="8077">
      <c r="A8077" s="8" t="str">
        <f>IFERROR(__xludf.DUMMYFUNCTION("IF('(INGESTA)Datos_consumo_datadis'!A8077&lt;&gt;"""",SPLIT('(INGESTA)Datos_consumo_datadis'!A:A,"",""),"""")"),"ES0031408323131005HX0F")</f>
        <v>ES0031408323131005HX0F</v>
      </c>
      <c r="B8077" s="12">
        <f>IFERROR(__xludf.DUMMYFUNCTION("""COMPUTED_VALUE"""),45202.0)</f>
        <v>45202</v>
      </c>
      <c r="C8077" s="13">
        <f>IFERROR(__xludf.DUMMYFUNCTION("""COMPUTED_VALUE"""),0.5416666666666666)</f>
        <v>0.5416666667</v>
      </c>
      <c r="D8077" s="8">
        <f>IFERROR(__xludf.DUMMYFUNCTION("""COMPUTED_VALUE"""),0.17)</f>
        <v>0.17</v>
      </c>
      <c r="E8077" s="8" t="str">
        <f>IFERROR(__xludf.DUMMYFUNCTION("""COMPUTED_VALUE"""),"Real")</f>
        <v>Real</v>
      </c>
      <c r="G8077" s="8">
        <f t="shared" si="1"/>
        <v>10</v>
      </c>
      <c r="H8077" s="14">
        <f t="shared" si="2"/>
        <v>3</v>
      </c>
      <c r="I8077" s="15">
        <f t="shared" si="3"/>
        <v>13</v>
      </c>
    </row>
    <row r="8078">
      <c r="A8078" s="8" t="str">
        <f>IFERROR(__xludf.DUMMYFUNCTION("IF('(INGESTA)Datos_consumo_datadis'!A8078&lt;&gt;"""",SPLIT('(INGESTA)Datos_consumo_datadis'!A:A,"",""),"""")"),"ES0031408323131005HX0F")</f>
        <v>ES0031408323131005HX0F</v>
      </c>
      <c r="B8078" s="12">
        <f>IFERROR(__xludf.DUMMYFUNCTION("""COMPUTED_VALUE"""),45202.0)</f>
        <v>45202</v>
      </c>
      <c r="C8078" s="13">
        <f>IFERROR(__xludf.DUMMYFUNCTION("""COMPUTED_VALUE"""),0.5833333333333334)</f>
        <v>0.5833333333</v>
      </c>
      <c r="D8078" s="8">
        <f>IFERROR(__xludf.DUMMYFUNCTION("""COMPUTED_VALUE"""),0.3)</f>
        <v>0.3</v>
      </c>
      <c r="E8078" s="8" t="str">
        <f>IFERROR(__xludf.DUMMYFUNCTION("""COMPUTED_VALUE"""),"Real")</f>
        <v>Real</v>
      </c>
      <c r="G8078" s="8">
        <f t="shared" si="1"/>
        <v>10</v>
      </c>
      <c r="H8078" s="14">
        <f t="shared" si="2"/>
        <v>3</v>
      </c>
      <c r="I8078" s="15">
        <f t="shared" si="3"/>
        <v>14</v>
      </c>
    </row>
    <row r="8079">
      <c r="A8079" s="8" t="str">
        <f>IFERROR(__xludf.DUMMYFUNCTION("IF('(INGESTA)Datos_consumo_datadis'!A8079&lt;&gt;"""",SPLIT('(INGESTA)Datos_consumo_datadis'!A:A,"",""),"""")"),"ES0031408323131005HX0F")</f>
        <v>ES0031408323131005HX0F</v>
      </c>
      <c r="B8079" s="12">
        <f>IFERROR(__xludf.DUMMYFUNCTION("""COMPUTED_VALUE"""),45202.0)</f>
        <v>45202</v>
      </c>
      <c r="C8079" s="13">
        <f>IFERROR(__xludf.DUMMYFUNCTION("""COMPUTED_VALUE"""),0.625)</f>
        <v>0.625</v>
      </c>
      <c r="D8079" s="8">
        <f>IFERROR(__xludf.DUMMYFUNCTION("""COMPUTED_VALUE"""),0.083)</f>
        <v>0.083</v>
      </c>
      <c r="E8079" s="8" t="str">
        <f>IFERROR(__xludf.DUMMYFUNCTION("""COMPUTED_VALUE"""),"Real")</f>
        <v>Real</v>
      </c>
      <c r="G8079" s="8">
        <f t="shared" si="1"/>
        <v>10</v>
      </c>
      <c r="H8079" s="14">
        <f t="shared" si="2"/>
        <v>3</v>
      </c>
      <c r="I8079" s="15">
        <f t="shared" si="3"/>
        <v>15</v>
      </c>
    </row>
    <row r="8080">
      <c r="A8080" s="8" t="str">
        <f>IFERROR(__xludf.DUMMYFUNCTION("IF('(INGESTA)Datos_consumo_datadis'!A8080&lt;&gt;"""",SPLIT('(INGESTA)Datos_consumo_datadis'!A:A,"",""),"""")"),"ES0031408323131005HX0F")</f>
        <v>ES0031408323131005HX0F</v>
      </c>
      <c r="B8080" s="12">
        <f>IFERROR(__xludf.DUMMYFUNCTION("""COMPUTED_VALUE"""),45202.0)</f>
        <v>45202</v>
      </c>
      <c r="C8080" s="13">
        <f>IFERROR(__xludf.DUMMYFUNCTION("""COMPUTED_VALUE"""),0.6666666666666666)</f>
        <v>0.6666666667</v>
      </c>
      <c r="D8080" s="8">
        <f>IFERROR(__xludf.DUMMYFUNCTION("""COMPUTED_VALUE"""),0.132)</f>
        <v>0.132</v>
      </c>
      <c r="E8080" s="8" t="str">
        <f>IFERROR(__xludf.DUMMYFUNCTION("""COMPUTED_VALUE"""),"Real")</f>
        <v>Real</v>
      </c>
      <c r="G8080" s="8">
        <f t="shared" si="1"/>
        <v>10</v>
      </c>
      <c r="H8080" s="14">
        <f t="shared" si="2"/>
        <v>3</v>
      </c>
      <c r="I8080" s="15">
        <f t="shared" si="3"/>
        <v>16</v>
      </c>
    </row>
    <row r="8081">
      <c r="A8081" s="8" t="str">
        <f>IFERROR(__xludf.DUMMYFUNCTION("IF('(INGESTA)Datos_consumo_datadis'!A8081&lt;&gt;"""",SPLIT('(INGESTA)Datos_consumo_datadis'!A:A,"",""),"""")"),"ES0031408323131005HX0F")</f>
        <v>ES0031408323131005HX0F</v>
      </c>
      <c r="B8081" s="12">
        <f>IFERROR(__xludf.DUMMYFUNCTION("""COMPUTED_VALUE"""),45202.0)</f>
        <v>45202</v>
      </c>
      <c r="C8081" s="13">
        <f>IFERROR(__xludf.DUMMYFUNCTION("""COMPUTED_VALUE"""),0.7083333333333334)</f>
        <v>0.7083333333</v>
      </c>
      <c r="D8081" s="8">
        <f>IFERROR(__xludf.DUMMYFUNCTION("""COMPUTED_VALUE"""),0.113)</f>
        <v>0.113</v>
      </c>
      <c r="E8081" s="8" t="str">
        <f>IFERROR(__xludf.DUMMYFUNCTION("""COMPUTED_VALUE"""),"Real")</f>
        <v>Real</v>
      </c>
      <c r="G8081" s="8">
        <f t="shared" si="1"/>
        <v>10</v>
      </c>
      <c r="H8081" s="14">
        <f t="shared" si="2"/>
        <v>3</v>
      </c>
      <c r="I8081" s="15">
        <f t="shared" si="3"/>
        <v>17</v>
      </c>
    </row>
    <row r="8082">
      <c r="A8082" s="8" t="str">
        <f>IFERROR(__xludf.DUMMYFUNCTION("IF('(INGESTA)Datos_consumo_datadis'!A8082&lt;&gt;"""",SPLIT('(INGESTA)Datos_consumo_datadis'!A:A,"",""),"""")"),"ES0031408323131005HX0F")</f>
        <v>ES0031408323131005HX0F</v>
      </c>
      <c r="B8082" s="12">
        <f>IFERROR(__xludf.DUMMYFUNCTION("""COMPUTED_VALUE"""),45202.0)</f>
        <v>45202</v>
      </c>
      <c r="C8082" s="13">
        <f>IFERROR(__xludf.DUMMYFUNCTION("""COMPUTED_VALUE"""),0.75)</f>
        <v>0.75</v>
      </c>
      <c r="D8082" s="8">
        <f>IFERROR(__xludf.DUMMYFUNCTION("""COMPUTED_VALUE"""),0.084)</f>
        <v>0.084</v>
      </c>
      <c r="E8082" s="8" t="str">
        <f>IFERROR(__xludf.DUMMYFUNCTION("""COMPUTED_VALUE"""),"Real")</f>
        <v>Real</v>
      </c>
      <c r="G8082" s="8">
        <f t="shared" si="1"/>
        <v>10</v>
      </c>
      <c r="H8082" s="14">
        <f t="shared" si="2"/>
        <v>3</v>
      </c>
      <c r="I8082" s="15">
        <f t="shared" si="3"/>
        <v>18</v>
      </c>
    </row>
    <row r="8083">
      <c r="A8083" s="8" t="str">
        <f>IFERROR(__xludf.DUMMYFUNCTION("IF('(INGESTA)Datos_consumo_datadis'!A8083&lt;&gt;"""",SPLIT('(INGESTA)Datos_consumo_datadis'!A:A,"",""),"""")"),"ES0031408323131005HX0F")</f>
        <v>ES0031408323131005HX0F</v>
      </c>
      <c r="B8083" s="12">
        <f>IFERROR(__xludf.DUMMYFUNCTION("""COMPUTED_VALUE"""),45202.0)</f>
        <v>45202</v>
      </c>
      <c r="C8083" s="13">
        <f>IFERROR(__xludf.DUMMYFUNCTION("""COMPUTED_VALUE"""),0.7916666666666666)</f>
        <v>0.7916666667</v>
      </c>
      <c r="D8083" s="8">
        <f>IFERROR(__xludf.DUMMYFUNCTION("""COMPUTED_VALUE"""),0.034)</f>
        <v>0.034</v>
      </c>
      <c r="E8083" s="8" t="str">
        <f>IFERROR(__xludf.DUMMYFUNCTION("""COMPUTED_VALUE"""),"Real")</f>
        <v>Real</v>
      </c>
      <c r="G8083" s="8">
        <f t="shared" si="1"/>
        <v>10</v>
      </c>
      <c r="H8083" s="14">
        <f t="shared" si="2"/>
        <v>3</v>
      </c>
      <c r="I8083" s="15">
        <f t="shared" si="3"/>
        <v>19</v>
      </c>
    </row>
    <row r="8084">
      <c r="A8084" s="8" t="str">
        <f>IFERROR(__xludf.DUMMYFUNCTION("IF('(INGESTA)Datos_consumo_datadis'!A8084&lt;&gt;"""",SPLIT('(INGESTA)Datos_consumo_datadis'!A:A,"",""),"""")"),"ES0031408323131005HX0F")</f>
        <v>ES0031408323131005HX0F</v>
      </c>
      <c r="B8084" s="12">
        <f>IFERROR(__xludf.DUMMYFUNCTION("""COMPUTED_VALUE"""),45202.0)</f>
        <v>45202</v>
      </c>
      <c r="C8084" s="13">
        <f>IFERROR(__xludf.DUMMYFUNCTION("""COMPUTED_VALUE"""),0.8333333333333334)</f>
        <v>0.8333333333</v>
      </c>
      <c r="D8084" s="8">
        <f>IFERROR(__xludf.DUMMYFUNCTION("""COMPUTED_VALUE"""),0.892)</f>
        <v>0.892</v>
      </c>
      <c r="E8084" s="8" t="str">
        <f>IFERROR(__xludf.DUMMYFUNCTION("""COMPUTED_VALUE"""),"Real")</f>
        <v>Real</v>
      </c>
      <c r="G8084" s="8">
        <f t="shared" si="1"/>
        <v>10</v>
      </c>
      <c r="H8084" s="14">
        <f t="shared" si="2"/>
        <v>3</v>
      </c>
      <c r="I8084" s="15">
        <f t="shared" si="3"/>
        <v>20</v>
      </c>
    </row>
    <row r="8085">
      <c r="A8085" s="8" t="str">
        <f>IFERROR(__xludf.DUMMYFUNCTION("IF('(INGESTA)Datos_consumo_datadis'!A8085&lt;&gt;"""",SPLIT('(INGESTA)Datos_consumo_datadis'!A:A,"",""),"""")"),"ES0031408323131005HX0F")</f>
        <v>ES0031408323131005HX0F</v>
      </c>
      <c r="B8085" s="12">
        <f>IFERROR(__xludf.DUMMYFUNCTION("""COMPUTED_VALUE"""),45202.0)</f>
        <v>45202</v>
      </c>
      <c r="C8085" s="13">
        <f>IFERROR(__xludf.DUMMYFUNCTION("""COMPUTED_VALUE"""),0.875)</f>
        <v>0.875</v>
      </c>
      <c r="D8085" s="8">
        <f>IFERROR(__xludf.DUMMYFUNCTION("""COMPUTED_VALUE"""),0.134)</f>
        <v>0.134</v>
      </c>
      <c r="E8085" s="8" t="str">
        <f>IFERROR(__xludf.DUMMYFUNCTION("""COMPUTED_VALUE"""),"Real")</f>
        <v>Real</v>
      </c>
      <c r="G8085" s="8">
        <f t="shared" si="1"/>
        <v>10</v>
      </c>
      <c r="H8085" s="14">
        <f t="shared" si="2"/>
        <v>3</v>
      </c>
      <c r="I8085" s="15">
        <f t="shared" si="3"/>
        <v>21</v>
      </c>
    </row>
    <row r="8086">
      <c r="A8086" s="8" t="str">
        <f>IFERROR(__xludf.DUMMYFUNCTION("IF('(INGESTA)Datos_consumo_datadis'!A8086&lt;&gt;"""",SPLIT('(INGESTA)Datos_consumo_datadis'!A:A,"",""),"""")"),"ES0031408323131005HX0F")</f>
        <v>ES0031408323131005HX0F</v>
      </c>
      <c r="B8086" s="12">
        <f>IFERROR(__xludf.DUMMYFUNCTION("""COMPUTED_VALUE"""),45202.0)</f>
        <v>45202</v>
      </c>
      <c r="C8086" s="13">
        <f>IFERROR(__xludf.DUMMYFUNCTION("""COMPUTED_VALUE"""),0.9166666666666666)</f>
        <v>0.9166666667</v>
      </c>
      <c r="D8086" s="8">
        <f>IFERROR(__xludf.DUMMYFUNCTION("""COMPUTED_VALUE"""),0.392)</f>
        <v>0.392</v>
      </c>
      <c r="E8086" s="8" t="str">
        <f>IFERROR(__xludf.DUMMYFUNCTION("""COMPUTED_VALUE"""),"Real")</f>
        <v>Real</v>
      </c>
      <c r="G8086" s="8">
        <f t="shared" si="1"/>
        <v>10</v>
      </c>
      <c r="H8086" s="14">
        <f t="shared" si="2"/>
        <v>3</v>
      </c>
      <c r="I8086" s="15">
        <f t="shared" si="3"/>
        <v>22</v>
      </c>
    </row>
    <row r="8087">
      <c r="A8087" s="8" t="str">
        <f>IFERROR(__xludf.DUMMYFUNCTION("IF('(INGESTA)Datos_consumo_datadis'!A8087&lt;&gt;"""",SPLIT('(INGESTA)Datos_consumo_datadis'!A:A,"",""),"""")"),"ES0031408323131005HX0F")</f>
        <v>ES0031408323131005HX0F</v>
      </c>
      <c r="B8087" s="12">
        <f>IFERROR(__xludf.DUMMYFUNCTION("""COMPUTED_VALUE"""),45202.0)</f>
        <v>45202</v>
      </c>
      <c r="C8087" s="13">
        <f>IFERROR(__xludf.DUMMYFUNCTION("""COMPUTED_VALUE"""),0.9583333333333334)</f>
        <v>0.9583333333</v>
      </c>
      <c r="D8087" s="8">
        <f>IFERROR(__xludf.DUMMYFUNCTION("""COMPUTED_VALUE"""),0.371)</f>
        <v>0.371</v>
      </c>
      <c r="E8087" s="8" t="str">
        <f>IFERROR(__xludf.DUMMYFUNCTION("""COMPUTED_VALUE"""),"Real")</f>
        <v>Real</v>
      </c>
      <c r="G8087" s="8">
        <f t="shared" si="1"/>
        <v>10</v>
      </c>
      <c r="H8087" s="14">
        <f t="shared" si="2"/>
        <v>3</v>
      </c>
      <c r="I8087" s="15">
        <f t="shared" si="3"/>
        <v>23</v>
      </c>
    </row>
    <row r="8088">
      <c r="A8088" s="8" t="str">
        <f>IFERROR(__xludf.DUMMYFUNCTION("IF('(INGESTA)Datos_consumo_datadis'!A8088&lt;&gt;"""",SPLIT('(INGESTA)Datos_consumo_datadis'!A:A,"",""),"""")"),"ES0031408323131005HX0F")</f>
        <v>ES0031408323131005HX0F</v>
      </c>
      <c r="B8088" s="12">
        <f>IFERROR(__xludf.DUMMYFUNCTION("""COMPUTED_VALUE"""),45202.0)</f>
        <v>45202</v>
      </c>
      <c r="C8088" s="16">
        <f>IFERROR(__xludf.DUMMYFUNCTION("""COMPUTED_VALUE"""),1.0)</f>
        <v>1</v>
      </c>
      <c r="D8088" s="8">
        <f>IFERROR(__xludf.DUMMYFUNCTION("""COMPUTED_VALUE"""),0.207)</f>
        <v>0.207</v>
      </c>
      <c r="E8088" s="8" t="str">
        <f>IFERROR(__xludf.DUMMYFUNCTION("""COMPUTED_VALUE"""),"Real")</f>
        <v>Real</v>
      </c>
      <c r="G8088" s="8">
        <f t="shared" si="1"/>
        <v>10</v>
      </c>
      <c r="H8088" s="14">
        <f t="shared" si="2"/>
        <v>3</v>
      </c>
      <c r="I8088" s="15">
        <f t="shared" si="3"/>
        <v>0</v>
      </c>
    </row>
    <row r="8089">
      <c r="A8089" s="8" t="str">
        <f>IFERROR(__xludf.DUMMYFUNCTION("IF('(INGESTA)Datos_consumo_datadis'!A8089&lt;&gt;"""",SPLIT('(INGESTA)Datos_consumo_datadis'!A:A,"",""),"""")"),"ES0031408323131005HX0F")</f>
        <v>ES0031408323131005HX0F</v>
      </c>
      <c r="B8089" s="12">
        <f>IFERROR(__xludf.DUMMYFUNCTION("""COMPUTED_VALUE"""),45203.0)</f>
        <v>45203</v>
      </c>
      <c r="C8089" s="13">
        <f>IFERROR(__xludf.DUMMYFUNCTION("""COMPUTED_VALUE"""),0.041666666666666664)</f>
        <v>0.04166666667</v>
      </c>
      <c r="D8089" s="8">
        <f>IFERROR(__xludf.DUMMYFUNCTION("""COMPUTED_VALUE"""),0.109)</f>
        <v>0.109</v>
      </c>
      <c r="E8089" s="8" t="str">
        <f>IFERROR(__xludf.DUMMYFUNCTION("""COMPUTED_VALUE"""),"Real")</f>
        <v>Real</v>
      </c>
      <c r="G8089" s="8">
        <f t="shared" si="1"/>
        <v>10</v>
      </c>
      <c r="H8089" s="14">
        <f t="shared" si="2"/>
        <v>4</v>
      </c>
      <c r="I8089" s="15">
        <f t="shared" si="3"/>
        <v>1</v>
      </c>
    </row>
    <row r="8090">
      <c r="A8090" s="8" t="str">
        <f>IFERROR(__xludf.DUMMYFUNCTION("IF('(INGESTA)Datos_consumo_datadis'!A8090&lt;&gt;"""",SPLIT('(INGESTA)Datos_consumo_datadis'!A:A,"",""),"""")"),"ES0031408323131005HX0F")</f>
        <v>ES0031408323131005HX0F</v>
      </c>
      <c r="B8090" s="12">
        <f>IFERROR(__xludf.DUMMYFUNCTION("""COMPUTED_VALUE"""),45203.0)</f>
        <v>45203</v>
      </c>
      <c r="C8090" s="13">
        <f>IFERROR(__xludf.DUMMYFUNCTION("""COMPUTED_VALUE"""),0.08333333333333333)</f>
        <v>0.08333333333</v>
      </c>
      <c r="D8090" s="8">
        <f>IFERROR(__xludf.DUMMYFUNCTION("""COMPUTED_VALUE"""),0.073)</f>
        <v>0.073</v>
      </c>
      <c r="E8090" s="8" t="str">
        <f>IFERROR(__xludf.DUMMYFUNCTION("""COMPUTED_VALUE"""),"Real")</f>
        <v>Real</v>
      </c>
      <c r="G8090" s="8">
        <f t="shared" si="1"/>
        <v>10</v>
      </c>
      <c r="H8090" s="14">
        <f t="shared" si="2"/>
        <v>4</v>
      </c>
      <c r="I8090" s="15">
        <f t="shared" si="3"/>
        <v>2</v>
      </c>
    </row>
    <row r="8091">
      <c r="A8091" s="8" t="str">
        <f>IFERROR(__xludf.DUMMYFUNCTION("IF('(INGESTA)Datos_consumo_datadis'!A8091&lt;&gt;"""",SPLIT('(INGESTA)Datos_consumo_datadis'!A:A,"",""),"""")"),"ES0031408323131005HX0F")</f>
        <v>ES0031408323131005HX0F</v>
      </c>
      <c r="B8091" s="12">
        <f>IFERROR(__xludf.DUMMYFUNCTION("""COMPUTED_VALUE"""),45203.0)</f>
        <v>45203</v>
      </c>
      <c r="C8091" s="13">
        <f>IFERROR(__xludf.DUMMYFUNCTION("""COMPUTED_VALUE"""),0.125)</f>
        <v>0.125</v>
      </c>
      <c r="D8091" s="8">
        <f>IFERROR(__xludf.DUMMYFUNCTION("""COMPUTED_VALUE"""),0.129)</f>
        <v>0.129</v>
      </c>
      <c r="E8091" s="8" t="str">
        <f>IFERROR(__xludf.DUMMYFUNCTION("""COMPUTED_VALUE"""),"Real")</f>
        <v>Real</v>
      </c>
      <c r="G8091" s="8">
        <f t="shared" si="1"/>
        <v>10</v>
      </c>
      <c r="H8091" s="14">
        <f t="shared" si="2"/>
        <v>4</v>
      </c>
      <c r="I8091" s="15">
        <f t="shared" si="3"/>
        <v>3</v>
      </c>
    </row>
    <row r="8092">
      <c r="A8092" s="8" t="str">
        <f>IFERROR(__xludf.DUMMYFUNCTION("IF('(INGESTA)Datos_consumo_datadis'!A8092&lt;&gt;"""",SPLIT('(INGESTA)Datos_consumo_datadis'!A:A,"",""),"""")"),"ES0031408323131005HX0F")</f>
        <v>ES0031408323131005HX0F</v>
      </c>
      <c r="B8092" s="12">
        <f>IFERROR(__xludf.DUMMYFUNCTION("""COMPUTED_VALUE"""),45203.0)</f>
        <v>45203</v>
      </c>
      <c r="C8092" s="13">
        <f>IFERROR(__xludf.DUMMYFUNCTION("""COMPUTED_VALUE"""),0.16666666666666666)</f>
        <v>0.1666666667</v>
      </c>
      <c r="D8092" s="8">
        <f>IFERROR(__xludf.DUMMYFUNCTION("""COMPUTED_VALUE"""),0.031)</f>
        <v>0.031</v>
      </c>
      <c r="E8092" s="8" t="str">
        <f>IFERROR(__xludf.DUMMYFUNCTION("""COMPUTED_VALUE"""),"Real")</f>
        <v>Real</v>
      </c>
      <c r="G8092" s="8">
        <f t="shared" si="1"/>
        <v>10</v>
      </c>
      <c r="H8092" s="14">
        <f t="shared" si="2"/>
        <v>4</v>
      </c>
      <c r="I8092" s="15">
        <f t="shared" si="3"/>
        <v>4</v>
      </c>
    </row>
    <row r="8093">
      <c r="A8093" s="8" t="str">
        <f>IFERROR(__xludf.DUMMYFUNCTION("IF('(INGESTA)Datos_consumo_datadis'!A8093&lt;&gt;"""",SPLIT('(INGESTA)Datos_consumo_datadis'!A:A,"",""),"""")"),"ES0031408323131005HX0F")</f>
        <v>ES0031408323131005HX0F</v>
      </c>
      <c r="B8093" s="12">
        <f>IFERROR(__xludf.DUMMYFUNCTION("""COMPUTED_VALUE"""),45203.0)</f>
        <v>45203</v>
      </c>
      <c r="C8093" s="13">
        <f>IFERROR(__xludf.DUMMYFUNCTION("""COMPUTED_VALUE"""),0.20833333333333334)</f>
        <v>0.2083333333</v>
      </c>
      <c r="D8093" s="8">
        <f>IFERROR(__xludf.DUMMYFUNCTION("""COMPUTED_VALUE"""),0.102)</f>
        <v>0.102</v>
      </c>
      <c r="E8093" s="8" t="str">
        <f>IFERROR(__xludf.DUMMYFUNCTION("""COMPUTED_VALUE"""),"Real")</f>
        <v>Real</v>
      </c>
      <c r="G8093" s="8">
        <f t="shared" si="1"/>
        <v>10</v>
      </c>
      <c r="H8093" s="14">
        <f t="shared" si="2"/>
        <v>4</v>
      </c>
      <c r="I8093" s="15">
        <f t="shared" si="3"/>
        <v>5</v>
      </c>
    </row>
    <row r="8094">
      <c r="A8094" s="8" t="str">
        <f>IFERROR(__xludf.DUMMYFUNCTION("IF('(INGESTA)Datos_consumo_datadis'!A8094&lt;&gt;"""",SPLIT('(INGESTA)Datos_consumo_datadis'!A:A,"",""),"""")"),"ES0031408323131005HX0F")</f>
        <v>ES0031408323131005HX0F</v>
      </c>
      <c r="B8094" s="12">
        <f>IFERROR(__xludf.DUMMYFUNCTION("""COMPUTED_VALUE"""),45203.0)</f>
        <v>45203</v>
      </c>
      <c r="C8094" s="13">
        <f>IFERROR(__xludf.DUMMYFUNCTION("""COMPUTED_VALUE"""),0.25)</f>
        <v>0.25</v>
      </c>
      <c r="D8094" s="8">
        <f>IFERROR(__xludf.DUMMYFUNCTION("""COMPUTED_VALUE"""),0.33)</f>
        <v>0.33</v>
      </c>
      <c r="E8094" s="8" t="str">
        <f>IFERROR(__xludf.DUMMYFUNCTION("""COMPUTED_VALUE"""),"Real")</f>
        <v>Real</v>
      </c>
      <c r="G8094" s="8">
        <f t="shared" si="1"/>
        <v>10</v>
      </c>
      <c r="H8094" s="14">
        <f t="shared" si="2"/>
        <v>4</v>
      </c>
      <c r="I8094" s="15">
        <f t="shared" si="3"/>
        <v>6</v>
      </c>
    </row>
    <row r="8095">
      <c r="A8095" s="8" t="str">
        <f>IFERROR(__xludf.DUMMYFUNCTION("IF('(INGESTA)Datos_consumo_datadis'!A8095&lt;&gt;"""",SPLIT('(INGESTA)Datos_consumo_datadis'!A:A,"",""),"""")"),"ES0031408323131005HX0F")</f>
        <v>ES0031408323131005HX0F</v>
      </c>
      <c r="B8095" s="12">
        <f>IFERROR(__xludf.DUMMYFUNCTION("""COMPUTED_VALUE"""),45203.0)</f>
        <v>45203</v>
      </c>
      <c r="C8095" s="13">
        <f>IFERROR(__xludf.DUMMYFUNCTION("""COMPUTED_VALUE"""),0.2916666666666667)</f>
        <v>0.2916666667</v>
      </c>
      <c r="D8095" s="8">
        <f>IFERROR(__xludf.DUMMYFUNCTION("""COMPUTED_VALUE"""),0.108)</f>
        <v>0.108</v>
      </c>
      <c r="E8095" s="8" t="str">
        <f>IFERROR(__xludf.DUMMYFUNCTION("""COMPUTED_VALUE"""),"Real")</f>
        <v>Real</v>
      </c>
      <c r="G8095" s="8">
        <f t="shared" si="1"/>
        <v>10</v>
      </c>
      <c r="H8095" s="14">
        <f t="shared" si="2"/>
        <v>4</v>
      </c>
      <c r="I8095" s="15">
        <f t="shared" si="3"/>
        <v>7</v>
      </c>
    </row>
    <row r="8096">
      <c r="A8096" s="8" t="str">
        <f>IFERROR(__xludf.DUMMYFUNCTION("IF('(INGESTA)Datos_consumo_datadis'!A8096&lt;&gt;"""",SPLIT('(INGESTA)Datos_consumo_datadis'!A:A,"",""),"""")"),"ES0031408323131005HX0F")</f>
        <v>ES0031408323131005HX0F</v>
      </c>
      <c r="B8096" s="12">
        <f>IFERROR(__xludf.DUMMYFUNCTION("""COMPUTED_VALUE"""),45203.0)</f>
        <v>45203</v>
      </c>
      <c r="C8096" s="13">
        <f>IFERROR(__xludf.DUMMYFUNCTION("""COMPUTED_VALUE"""),0.3333333333333333)</f>
        <v>0.3333333333</v>
      </c>
      <c r="D8096" s="8">
        <f>IFERROR(__xludf.DUMMYFUNCTION("""COMPUTED_VALUE"""),0.026)</f>
        <v>0.026</v>
      </c>
      <c r="E8096" s="8" t="str">
        <f>IFERROR(__xludf.DUMMYFUNCTION("""COMPUTED_VALUE"""),"Real")</f>
        <v>Real</v>
      </c>
      <c r="G8096" s="8">
        <f t="shared" si="1"/>
        <v>10</v>
      </c>
      <c r="H8096" s="14">
        <f t="shared" si="2"/>
        <v>4</v>
      </c>
      <c r="I8096" s="15">
        <f t="shared" si="3"/>
        <v>8</v>
      </c>
    </row>
    <row r="8097">
      <c r="A8097" s="8" t="str">
        <f>IFERROR(__xludf.DUMMYFUNCTION("IF('(INGESTA)Datos_consumo_datadis'!A8097&lt;&gt;"""",SPLIT('(INGESTA)Datos_consumo_datadis'!A:A,"",""),"""")"),"ES0031408323131005HX0F")</f>
        <v>ES0031408323131005HX0F</v>
      </c>
      <c r="B8097" s="12">
        <f>IFERROR(__xludf.DUMMYFUNCTION("""COMPUTED_VALUE"""),45203.0)</f>
        <v>45203</v>
      </c>
      <c r="C8097" s="13">
        <f>IFERROR(__xludf.DUMMYFUNCTION("""COMPUTED_VALUE"""),0.375)</f>
        <v>0.375</v>
      </c>
      <c r="D8097" s="8">
        <f>IFERROR(__xludf.DUMMYFUNCTION("""COMPUTED_VALUE"""),0.119)</f>
        <v>0.119</v>
      </c>
      <c r="E8097" s="8" t="str">
        <f>IFERROR(__xludf.DUMMYFUNCTION("""COMPUTED_VALUE"""),"Real")</f>
        <v>Real</v>
      </c>
      <c r="G8097" s="8">
        <f t="shared" si="1"/>
        <v>10</v>
      </c>
      <c r="H8097" s="14">
        <f t="shared" si="2"/>
        <v>4</v>
      </c>
      <c r="I8097" s="15">
        <f t="shared" si="3"/>
        <v>9</v>
      </c>
    </row>
    <row r="8098">
      <c r="A8098" s="8" t="str">
        <f>IFERROR(__xludf.DUMMYFUNCTION("IF('(INGESTA)Datos_consumo_datadis'!A8098&lt;&gt;"""",SPLIT('(INGESTA)Datos_consumo_datadis'!A:A,"",""),"""")"),"ES0031408323131005HX0F")</f>
        <v>ES0031408323131005HX0F</v>
      </c>
      <c r="B8098" s="12">
        <f>IFERROR(__xludf.DUMMYFUNCTION("""COMPUTED_VALUE"""),45203.0)</f>
        <v>45203</v>
      </c>
      <c r="C8098" s="13">
        <f>IFERROR(__xludf.DUMMYFUNCTION("""COMPUTED_VALUE"""),0.4166666666666667)</f>
        <v>0.4166666667</v>
      </c>
      <c r="D8098" s="8">
        <f>IFERROR(__xludf.DUMMYFUNCTION("""COMPUTED_VALUE"""),0.122)</f>
        <v>0.122</v>
      </c>
      <c r="E8098" s="8" t="str">
        <f>IFERROR(__xludf.DUMMYFUNCTION("""COMPUTED_VALUE"""),"Real")</f>
        <v>Real</v>
      </c>
      <c r="G8098" s="8">
        <f t="shared" si="1"/>
        <v>10</v>
      </c>
      <c r="H8098" s="14">
        <f t="shared" si="2"/>
        <v>4</v>
      </c>
      <c r="I8098" s="15">
        <f t="shared" si="3"/>
        <v>10</v>
      </c>
    </row>
    <row r="8099">
      <c r="A8099" s="8" t="str">
        <f>IFERROR(__xludf.DUMMYFUNCTION("IF('(INGESTA)Datos_consumo_datadis'!A8099&lt;&gt;"""",SPLIT('(INGESTA)Datos_consumo_datadis'!A:A,"",""),"""")"),"ES0031408323131005HX0F")</f>
        <v>ES0031408323131005HX0F</v>
      </c>
      <c r="B8099" s="12">
        <f>IFERROR(__xludf.DUMMYFUNCTION("""COMPUTED_VALUE"""),45203.0)</f>
        <v>45203</v>
      </c>
      <c r="C8099" s="13">
        <f>IFERROR(__xludf.DUMMYFUNCTION("""COMPUTED_VALUE"""),0.4583333333333333)</f>
        <v>0.4583333333</v>
      </c>
      <c r="D8099" s="8">
        <f>IFERROR(__xludf.DUMMYFUNCTION("""COMPUTED_VALUE"""),0.107)</f>
        <v>0.107</v>
      </c>
      <c r="E8099" s="8" t="str">
        <f>IFERROR(__xludf.DUMMYFUNCTION("""COMPUTED_VALUE"""),"Real")</f>
        <v>Real</v>
      </c>
      <c r="G8099" s="8">
        <f t="shared" si="1"/>
        <v>10</v>
      </c>
      <c r="H8099" s="14">
        <f t="shared" si="2"/>
        <v>4</v>
      </c>
      <c r="I8099" s="15">
        <f t="shared" si="3"/>
        <v>11</v>
      </c>
    </row>
    <row r="8100">
      <c r="A8100" s="8" t="str">
        <f>IFERROR(__xludf.DUMMYFUNCTION("IF('(INGESTA)Datos_consumo_datadis'!A8100&lt;&gt;"""",SPLIT('(INGESTA)Datos_consumo_datadis'!A:A,"",""),"""")"),"ES0031408323131005HX0F")</f>
        <v>ES0031408323131005HX0F</v>
      </c>
      <c r="B8100" s="12">
        <f>IFERROR(__xludf.DUMMYFUNCTION("""COMPUTED_VALUE"""),45203.0)</f>
        <v>45203</v>
      </c>
      <c r="C8100" s="13">
        <f>IFERROR(__xludf.DUMMYFUNCTION("""COMPUTED_VALUE"""),0.5)</f>
        <v>0.5</v>
      </c>
      <c r="D8100" s="8">
        <f>IFERROR(__xludf.DUMMYFUNCTION("""COMPUTED_VALUE"""),0.072)</f>
        <v>0.072</v>
      </c>
      <c r="E8100" s="8" t="str">
        <f>IFERROR(__xludf.DUMMYFUNCTION("""COMPUTED_VALUE"""),"Real")</f>
        <v>Real</v>
      </c>
      <c r="G8100" s="8">
        <f t="shared" si="1"/>
        <v>10</v>
      </c>
      <c r="H8100" s="14">
        <f t="shared" si="2"/>
        <v>4</v>
      </c>
      <c r="I8100" s="15">
        <f t="shared" si="3"/>
        <v>12</v>
      </c>
    </row>
    <row r="8101">
      <c r="A8101" s="8" t="str">
        <f>IFERROR(__xludf.DUMMYFUNCTION("IF('(INGESTA)Datos_consumo_datadis'!A8101&lt;&gt;"""",SPLIT('(INGESTA)Datos_consumo_datadis'!A:A,"",""),"""")"),"ES0031408323131005HX0F")</f>
        <v>ES0031408323131005HX0F</v>
      </c>
      <c r="B8101" s="12">
        <f>IFERROR(__xludf.DUMMYFUNCTION("""COMPUTED_VALUE"""),45203.0)</f>
        <v>45203</v>
      </c>
      <c r="C8101" s="13">
        <f>IFERROR(__xludf.DUMMYFUNCTION("""COMPUTED_VALUE"""),0.5416666666666666)</f>
        <v>0.5416666667</v>
      </c>
      <c r="D8101" s="8">
        <f>IFERROR(__xludf.DUMMYFUNCTION("""COMPUTED_VALUE"""),0.038)</f>
        <v>0.038</v>
      </c>
      <c r="E8101" s="8" t="str">
        <f>IFERROR(__xludf.DUMMYFUNCTION("""COMPUTED_VALUE"""),"Real")</f>
        <v>Real</v>
      </c>
      <c r="G8101" s="8">
        <f t="shared" si="1"/>
        <v>10</v>
      </c>
      <c r="H8101" s="14">
        <f t="shared" si="2"/>
        <v>4</v>
      </c>
      <c r="I8101" s="15">
        <f t="shared" si="3"/>
        <v>13</v>
      </c>
    </row>
    <row r="8102">
      <c r="A8102" s="8" t="str">
        <f>IFERROR(__xludf.DUMMYFUNCTION("IF('(INGESTA)Datos_consumo_datadis'!A8102&lt;&gt;"""",SPLIT('(INGESTA)Datos_consumo_datadis'!A:A,"",""),"""")"),"ES0031408323131005HX0F")</f>
        <v>ES0031408323131005HX0F</v>
      </c>
      <c r="B8102" s="12">
        <f>IFERROR(__xludf.DUMMYFUNCTION("""COMPUTED_VALUE"""),45203.0)</f>
        <v>45203</v>
      </c>
      <c r="C8102" s="13">
        <f>IFERROR(__xludf.DUMMYFUNCTION("""COMPUTED_VALUE"""),0.5833333333333334)</f>
        <v>0.5833333333</v>
      </c>
      <c r="D8102" s="8">
        <f>IFERROR(__xludf.DUMMYFUNCTION("""COMPUTED_VALUE"""),0.375)</f>
        <v>0.375</v>
      </c>
      <c r="E8102" s="8" t="str">
        <f>IFERROR(__xludf.DUMMYFUNCTION("""COMPUTED_VALUE"""),"Real")</f>
        <v>Real</v>
      </c>
      <c r="G8102" s="8">
        <f t="shared" si="1"/>
        <v>10</v>
      </c>
      <c r="H8102" s="14">
        <f t="shared" si="2"/>
        <v>4</v>
      </c>
      <c r="I8102" s="15">
        <f t="shared" si="3"/>
        <v>14</v>
      </c>
    </row>
    <row r="8103">
      <c r="A8103" s="8" t="str">
        <f>IFERROR(__xludf.DUMMYFUNCTION("IF('(INGESTA)Datos_consumo_datadis'!A8103&lt;&gt;"""",SPLIT('(INGESTA)Datos_consumo_datadis'!A:A,"",""),"""")"),"ES0031408323131005HX0F")</f>
        <v>ES0031408323131005HX0F</v>
      </c>
      <c r="B8103" s="12">
        <f>IFERROR(__xludf.DUMMYFUNCTION("""COMPUTED_VALUE"""),45203.0)</f>
        <v>45203</v>
      </c>
      <c r="C8103" s="13">
        <f>IFERROR(__xludf.DUMMYFUNCTION("""COMPUTED_VALUE"""),0.625)</f>
        <v>0.625</v>
      </c>
      <c r="D8103" s="8">
        <f>IFERROR(__xludf.DUMMYFUNCTION("""COMPUTED_VALUE"""),0.082)</f>
        <v>0.082</v>
      </c>
      <c r="E8103" s="8" t="str">
        <f>IFERROR(__xludf.DUMMYFUNCTION("""COMPUTED_VALUE"""),"Real")</f>
        <v>Real</v>
      </c>
      <c r="G8103" s="8">
        <f t="shared" si="1"/>
        <v>10</v>
      </c>
      <c r="H8103" s="14">
        <f t="shared" si="2"/>
        <v>4</v>
      </c>
      <c r="I8103" s="15">
        <f t="shared" si="3"/>
        <v>15</v>
      </c>
    </row>
    <row r="8104">
      <c r="A8104" s="8" t="str">
        <f>IFERROR(__xludf.DUMMYFUNCTION("IF('(INGESTA)Datos_consumo_datadis'!A8104&lt;&gt;"""",SPLIT('(INGESTA)Datos_consumo_datadis'!A:A,"",""),"""")"),"ES0031408323131005HX0F")</f>
        <v>ES0031408323131005HX0F</v>
      </c>
      <c r="B8104" s="12">
        <f>IFERROR(__xludf.DUMMYFUNCTION("""COMPUTED_VALUE"""),45203.0)</f>
        <v>45203</v>
      </c>
      <c r="C8104" s="13">
        <f>IFERROR(__xludf.DUMMYFUNCTION("""COMPUTED_VALUE"""),0.6666666666666666)</f>
        <v>0.6666666667</v>
      </c>
      <c r="D8104" s="8">
        <f>IFERROR(__xludf.DUMMYFUNCTION("""COMPUTED_VALUE"""),0.108)</f>
        <v>0.108</v>
      </c>
      <c r="E8104" s="8" t="str">
        <f>IFERROR(__xludf.DUMMYFUNCTION("""COMPUTED_VALUE"""),"Real")</f>
        <v>Real</v>
      </c>
      <c r="G8104" s="8">
        <f t="shared" si="1"/>
        <v>10</v>
      </c>
      <c r="H8104" s="14">
        <f t="shared" si="2"/>
        <v>4</v>
      </c>
      <c r="I8104" s="15">
        <f t="shared" si="3"/>
        <v>16</v>
      </c>
    </row>
    <row r="8105">
      <c r="A8105" s="8" t="str">
        <f>IFERROR(__xludf.DUMMYFUNCTION("IF('(INGESTA)Datos_consumo_datadis'!A8105&lt;&gt;"""",SPLIT('(INGESTA)Datos_consumo_datadis'!A:A,"",""),"""")"),"ES0031408323131005HX0F")</f>
        <v>ES0031408323131005HX0F</v>
      </c>
      <c r="B8105" s="12">
        <f>IFERROR(__xludf.DUMMYFUNCTION("""COMPUTED_VALUE"""),45203.0)</f>
        <v>45203</v>
      </c>
      <c r="C8105" s="13">
        <f>IFERROR(__xludf.DUMMYFUNCTION("""COMPUTED_VALUE"""),0.7083333333333334)</f>
        <v>0.7083333333</v>
      </c>
      <c r="D8105" s="8">
        <f>IFERROR(__xludf.DUMMYFUNCTION("""COMPUTED_VALUE"""),0.028)</f>
        <v>0.028</v>
      </c>
      <c r="E8105" s="8" t="str">
        <f>IFERROR(__xludf.DUMMYFUNCTION("""COMPUTED_VALUE"""),"Real")</f>
        <v>Real</v>
      </c>
      <c r="G8105" s="8">
        <f t="shared" si="1"/>
        <v>10</v>
      </c>
      <c r="H8105" s="14">
        <f t="shared" si="2"/>
        <v>4</v>
      </c>
      <c r="I8105" s="15">
        <f t="shared" si="3"/>
        <v>17</v>
      </c>
    </row>
    <row r="8106">
      <c r="A8106" s="8" t="str">
        <f>IFERROR(__xludf.DUMMYFUNCTION("IF('(INGESTA)Datos_consumo_datadis'!A8106&lt;&gt;"""",SPLIT('(INGESTA)Datos_consumo_datadis'!A:A,"",""),"""")"),"ES0031408323131005HX0F")</f>
        <v>ES0031408323131005HX0F</v>
      </c>
      <c r="B8106" s="12">
        <f>IFERROR(__xludf.DUMMYFUNCTION("""COMPUTED_VALUE"""),45203.0)</f>
        <v>45203</v>
      </c>
      <c r="C8106" s="13">
        <f>IFERROR(__xludf.DUMMYFUNCTION("""COMPUTED_VALUE"""),0.75)</f>
        <v>0.75</v>
      </c>
      <c r="D8106" s="8">
        <f>IFERROR(__xludf.DUMMYFUNCTION("""COMPUTED_VALUE"""),0.112)</f>
        <v>0.112</v>
      </c>
      <c r="E8106" s="8" t="str">
        <f>IFERROR(__xludf.DUMMYFUNCTION("""COMPUTED_VALUE"""),"Real")</f>
        <v>Real</v>
      </c>
      <c r="G8106" s="8">
        <f t="shared" si="1"/>
        <v>10</v>
      </c>
      <c r="H8106" s="14">
        <f t="shared" si="2"/>
        <v>4</v>
      </c>
      <c r="I8106" s="15">
        <f t="shared" si="3"/>
        <v>18</v>
      </c>
    </row>
    <row r="8107">
      <c r="A8107" s="8" t="str">
        <f>IFERROR(__xludf.DUMMYFUNCTION("IF('(INGESTA)Datos_consumo_datadis'!A8107&lt;&gt;"""",SPLIT('(INGESTA)Datos_consumo_datadis'!A:A,"",""),"""")"),"ES0031408323131005HX0F")</f>
        <v>ES0031408323131005HX0F</v>
      </c>
      <c r="B8107" s="12">
        <f>IFERROR(__xludf.DUMMYFUNCTION("""COMPUTED_VALUE"""),45203.0)</f>
        <v>45203</v>
      </c>
      <c r="C8107" s="13">
        <f>IFERROR(__xludf.DUMMYFUNCTION("""COMPUTED_VALUE"""),0.7916666666666666)</f>
        <v>0.7916666667</v>
      </c>
      <c r="D8107" s="8">
        <f>IFERROR(__xludf.DUMMYFUNCTION("""COMPUTED_VALUE"""),0.149)</f>
        <v>0.149</v>
      </c>
      <c r="E8107" s="8" t="str">
        <f>IFERROR(__xludf.DUMMYFUNCTION("""COMPUTED_VALUE"""),"Real")</f>
        <v>Real</v>
      </c>
      <c r="G8107" s="8">
        <f t="shared" si="1"/>
        <v>10</v>
      </c>
      <c r="H8107" s="14">
        <f t="shared" si="2"/>
        <v>4</v>
      </c>
      <c r="I8107" s="15">
        <f t="shared" si="3"/>
        <v>19</v>
      </c>
    </row>
    <row r="8108">
      <c r="A8108" s="8" t="str">
        <f>IFERROR(__xludf.DUMMYFUNCTION("IF('(INGESTA)Datos_consumo_datadis'!A8108&lt;&gt;"""",SPLIT('(INGESTA)Datos_consumo_datadis'!A:A,"",""),"""")"),"ES0031408323131005HX0F")</f>
        <v>ES0031408323131005HX0F</v>
      </c>
      <c r="B8108" s="12">
        <f>IFERROR(__xludf.DUMMYFUNCTION("""COMPUTED_VALUE"""),45203.0)</f>
        <v>45203</v>
      </c>
      <c r="C8108" s="13">
        <f>IFERROR(__xludf.DUMMYFUNCTION("""COMPUTED_VALUE"""),0.8333333333333334)</f>
        <v>0.8333333333</v>
      </c>
      <c r="D8108" s="8">
        <f>IFERROR(__xludf.DUMMYFUNCTION("""COMPUTED_VALUE"""),0.378)</f>
        <v>0.378</v>
      </c>
      <c r="E8108" s="8" t="str">
        <f>IFERROR(__xludf.DUMMYFUNCTION("""COMPUTED_VALUE"""),"Real")</f>
        <v>Real</v>
      </c>
      <c r="G8108" s="8">
        <f t="shared" si="1"/>
        <v>10</v>
      </c>
      <c r="H8108" s="14">
        <f t="shared" si="2"/>
        <v>4</v>
      </c>
      <c r="I8108" s="15">
        <f t="shared" si="3"/>
        <v>20</v>
      </c>
    </row>
    <row r="8109">
      <c r="A8109" s="8" t="str">
        <f>IFERROR(__xludf.DUMMYFUNCTION("IF('(INGESTA)Datos_consumo_datadis'!A8109&lt;&gt;"""",SPLIT('(INGESTA)Datos_consumo_datadis'!A:A,"",""),"""")"),"ES0031408323131005HX0F")</f>
        <v>ES0031408323131005HX0F</v>
      </c>
      <c r="B8109" s="12">
        <f>IFERROR(__xludf.DUMMYFUNCTION("""COMPUTED_VALUE"""),45203.0)</f>
        <v>45203</v>
      </c>
      <c r="C8109" s="13">
        <f>IFERROR(__xludf.DUMMYFUNCTION("""COMPUTED_VALUE"""),0.875)</f>
        <v>0.875</v>
      </c>
      <c r="D8109" s="8">
        <f>IFERROR(__xludf.DUMMYFUNCTION("""COMPUTED_VALUE"""),0.099)</f>
        <v>0.099</v>
      </c>
      <c r="E8109" s="8" t="str">
        <f>IFERROR(__xludf.DUMMYFUNCTION("""COMPUTED_VALUE"""),"Real")</f>
        <v>Real</v>
      </c>
      <c r="G8109" s="8">
        <f t="shared" si="1"/>
        <v>10</v>
      </c>
      <c r="H8109" s="14">
        <f t="shared" si="2"/>
        <v>4</v>
      </c>
      <c r="I8109" s="15">
        <f t="shared" si="3"/>
        <v>21</v>
      </c>
    </row>
    <row r="8110">
      <c r="A8110" s="8" t="str">
        <f>IFERROR(__xludf.DUMMYFUNCTION("IF('(INGESTA)Datos_consumo_datadis'!A8110&lt;&gt;"""",SPLIT('(INGESTA)Datos_consumo_datadis'!A:A,"",""),"""")"),"ES0031408323131005HX0F")</f>
        <v>ES0031408323131005HX0F</v>
      </c>
      <c r="B8110" s="12">
        <f>IFERROR(__xludf.DUMMYFUNCTION("""COMPUTED_VALUE"""),45203.0)</f>
        <v>45203</v>
      </c>
      <c r="C8110" s="13">
        <f>IFERROR(__xludf.DUMMYFUNCTION("""COMPUTED_VALUE"""),0.9166666666666666)</f>
        <v>0.9166666667</v>
      </c>
      <c r="D8110" s="8">
        <f>IFERROR(__xludf.DUMMYFUNCTION("""COMPUTED_VALUE"""),0.357)</f>
        <v>0.357</v>
      </c>
      <c r="E8110" s="8" t="str">
        <f>IFERROR(__xludf.DUMMYFUNCTION("""COMPUTED_VALUE"""),"Real")</f>
        <v>Real</v>
      </c>
      <c r="G8110" s="8">
        <f t="shared" si="1"/>
        <v>10</v>
      </c>
      <c r="H8110" s="14">
        <f t="shared" si="2"/>
        <v>4</v>
      </c>
      <c r="I8110" s="15">
        <f t="shared" si="3"/>
        <v>22</v>
      </c>
    </row>
    <row r="8111">
      <c r="A8111" s="8" t="str">
        <f>IFERROR(__xludf.DUMMYFUNCTION("IF('(INGESTA)Datos_consumo_datadis'!A8111&lt;&gt;"""",SPLIT('(INGESTA)Datos_consumo_datadis'!A:A,"",""),"""")"),"ES0031408323131005HX0F")</f>
        <v>ES0031408323131005HX0F</v>
      </c>
      <c r="B8111" s="12">
        <f>IFERROR(__xludf.DUMMYFUNCTION("""COMPUTED_VALUE"""),45203.0)</f>
        <v>45203</v>
      </c>
      <c r="C8111" s="13">
        <f>IFERROR(__xludf.DUMMYFUNCTION("""COMPUTED_VALUE"""),0.9583333333333334)</f>
        <v>0.9583333333</v>
      </c>
      <c r="D8111" s="8">
        <f>IFERROR(__xludf.DUMMYFUNCTION("""COMPUTED_VALUE"""),0.111)</f>
        <v>0.111</v>
      </c>
      <c r="E8111" s="8" t="str">
        <f>IFERROR(__xludf.DUMMYFUNCTION("""COMPUTED_VALUE"""),"Real")</f>
        <v>Real</v>
      </c>
      <c r="G8111" s="8">
        <f t="shared" si="1"/>
        <v>10</v>
      </c>
      <c r="H8111" s="14">
        <f t="shared" si="2"/>
        <v>4</v>
      </c>
      <c r="I8111" s="15">
        <f t="shared" si="3"/>
        <v>23</v>
      </c>
    </row>
    <row r="8112">
      <c r="A8112" s="8" t="str">
        <f>IFERROR(__xludf.DUMMYFUNCTION("IF('(INGESTA)Datos_consumo_datadis'!A8112&lt;&gt;"""",SPLIT('(INGESTA)Datos_consumo_datadis'!A:A,"",""),"""")"),"ES0031408323131005HX0F")</f>
        <v>ES0031408323131005HX0F</v>
      </c>
      <c r="B8112" s="12">
        <f>IFERROR(__xludf.DUMMYFUNCTION("""COMPUTED_VALUE"""),45203.0)</f>
        <v>45203</v>
      </c>
      <c r="C8112" s="16">
        <f>IFERROR(__xludf.DUMMYFUNCTION("""COMPUTED_VALUE"""),1.0)</f>
        <v>1</v>
      </c>
      <c r="D8112" s="8">
        <f>IFERROR(__xludf.DUMMYFUNCTION("""COMPUTED_VALUE"""),0.097)</f>
        <v>0.097</v>
      </c>
      <c r="E8112" s="8" t="str">
        <f>IFERROR(__xludf.DUMMYFUNCTION("""COMPUTED_VALUE"""),"Real")</f>
        <v>Real</v>
      </c>
      <c r="G8112" s="8">
        <f t="shared" si="1"/>
        <v>10</v>
      </c>
      <c r="H8112" s="14">
        <f t="shared" si="2"/>
        <v>4</v>
      </c>
      <c r="I8112" s="15">
        <f t="shared" si="3"/>
        <v>0</v>
      </c>
    </row>
    <row r="8113">
      <c r="A8113" s="8" t="str">
        <f>IFERROR(__xludf.DUMMYFUNCTION("IF('(INGESTA)Datos_consumo_datadis'!A8113&lt;&gt;"""",SPLIT('(INGESTA)Datos_consumo_datadis'!A:A,"",""),"""")"),"ES0031408323131005HX0F")</f>
        <v>ES0031408323131005HX0F</v>
      </c>
      <c r="B8113" s="12">
        <f>IFERROR(__xludf.DUMMYFUNCTION("""COMPUTED_VALUE"""),45204.0)</f>
        <v>45204</v>
      </c>
      <c r="C8113" s="13">
        <f>IFERROR(__xludf.DUMMYFUNCTION("""COMPUTED_VALUE"""),0.041666666666666664)</f>
        <v>0.04166666667</v>
      </c>
      <c r="D8113" s="8">
        <f>IFERROR(__xludf.DUMMYFUNCTION("""COMPUTED_VALUE"""),0.141)</f>
        <v>0.141</v>
      </c>
      <c r="E8113" s="8" t="str">
        <f>IFERROR(__xludf.DUMMYFUNCTION("""COMPUTED_VALUE"""),"Real")</f>
        <v>Real</v>
      </c>
      <c r="G8113" s="8">
        <f t="shared" si="1"/>
        <v>10</v>
      </c>
      <c r="H8113" s="14">
        <f t="shared" si="2"/>
        <v>5</v>
      </c>
      <c r="I8113" s="15">
        <f t="shared" si="3"/>
        <v>1</v>
      </c>
    </row>
    <row r="8114">
      <c r="A8114" s="8" t="str">
        <f>IFERROR(__xludf.DUMMYFUNCTION("IF('(INGESTA)Datos_consumo_datadis'!A8114&lt;&gt;"""",SPLIT('(INGESTA)Datos_consumo_datadis'!A:A,"",""),"""")"),"ES0031408323131005HX0F")</f>
        <v>ES0031408323131005HX0F</v>
      </c>
      <c r="B8114" s="12">
        <f>IFERROR(__xludf.DUMMYFUNCTION("""COMPUTED_VALUE"""),45204.0)</f>
        <v>45204</v>
      </c>
      <c r="C8114" s="13">
        <f>IFERROR(__xludf.DUMMYFUNCTION("""COMPUTED_VALUE"""),0.08333333333333333)</f>
        <v>0.08333333333</v>
      </c>
      <c r="D8114" s="8">
        <f>IFERROR(__xludf.DUMMYFUNCTION("""COMPUTED_VALUE"""),0.02)</f>
        <v>0.02</v>
      </c>
      <c r="E8114" s="8" t="str">
        <f>IFERROR(__xludf.DUMMYFUNCTION("""COMPUTED_VALUE"""),"Real")</f>
        <v>Real</v>
      </c>
      <c r="G8114" s="8">
        <f t="shared" si="1"/>
        <v>10</v>
      </c>
      <c r="H8114" s="14">
        <f t="shared" si="2"/>
        <v>5</v>
      </c>
      <c r="I8114" s="15">
        <f t="shared" si="3"/>
        <v>2</v>
      </c>
    </row>
    <row r="8115">
      <c r="A8115" s="8" t="str">
        <f>IFERROR(__xludf.DUMMYFUNCTION("IF('(INGESTA)Datos_consumo_datadis'!A8115&lt;&gt;"""",SPLIT('(INGESTA)Datos_consumo_datadis'!A:A,"",""),"""")"),"ES0031408323131005HX0F")</f>
        <v>ES0031408323131005HX0F</v>
      </c>
      <c r="B8115" s="12">
        <f>IFERROR(__xludf.DUMMYFUNCTION("""COMPUTED_VALUE"""),45204.0)</f>
        <v>45204</v>
      </c>
      <c r="C8115" s="13">
        <f>IFERROR(__xludf.DUMMYFUNCTION("""COMPUTED_VALUE"""),0.125)</f>
        <v>0.125</v>
      </c>
      <c r="D8115" s="8">
        <f>IFERROR(__xludf.DUMMYFUNCTION("""COMPUTED_VALUE"""),0.14)</f>
        <v>0.14</v>
      </c>
      <c r="E8115" s="8" t="str">
        <f>IFERROR(__xludf.DUMMYFUNCTION("""COMPUTED_VALUE"""),"Real")</f>
        <v>Real</v>
      </c>
      <c r="G8115" s="8">
        <f t="shared" si="1"/>
        <v>10</v>
      </c>
      <c r="H8115" s="14">
        <f t="shared" si="2"/>
        <v>5</v>
      </c>
      <c r="I8115" s="15">
        <f t="shared" si="3"/>
        <v>3</v>
      </c>
    </row>
    <row r="8116">
      <c r="A8116" s="8" t="str">
        <f>IFERROR(__xludf.DUMMYFUNCTION("IF('(INGESTA)Datos_consumo_datadis'!A8116&lt;&gt;"""",SPLIT('(INGESTA)Datos_consumo_datadis'!A:A,"",""),"""")"),"ES0031408323131005HX0F")</f>
        <v>ES0031408323131005HX0F</v>
      </c>
      <c r="B8116" s="12">
        <f>IFERROR(__xludf.DUMMYFUNCTION("""COMPUTED_VALUE"""),45204.0)</f>
        <v>45204</v>
      </c>
      <c r="C8116" s="13">
        <f>IFERROR(__xludf.DUMMYFUNCTION("""COMPUTED_VALUE"""),0.16666666666666666)</f>
        <v>0.1666666667</v>
      </c>
      <c r="D8116" s="8">
        <f>IFERROR(__xludf.DUMMYFUNCTION("""COMPUTED_VALUE"""),0.128)</f>
        <v>0.128</v>
      </c>
      <c r="E8116" s="8" t="str">
        <f>IFERROR(__xludf.DUMMYFUNCTION("""COMPUTED_VALUE"""),"Real")</f>
        <v>Real</v>
      </c>
      <c r="G8116" s="8">
        <f t="shared" si="1"/>
        <v>10</v>
      </c>
      <c r="H8116" s="14">
        <f t="shared" si="2"/>
        <v>5</v>
      </c>
      <c r="I8116" s="15">
        <f t="shared" si="3"/>
        <v>4</v>
      </c>
    </row>
    <row r="8117">
      <c r="A8117" s="8" t="str">
        <f>IFERROR(__xludf.DUMMYFUNCTION("IF('(INGESTA)Datos_consumo_datadis'!A8117&lt;&gt;"""",SPLIT('(INGESTA)Datos_consumo_datadis'!A:A,"",""),"""")"),"ES0031408323131005HX0F")</f>
        <v>ES0031408323131005HX0F</v>
      </c>
      <c r="B8117" s="12">
        <f>IFERROR(__xludf.DUMMYFUNCTION("""COMPUTED_VALUE"""),45204.0)</f>
        <v>45204</v>
      </c>
      <c r="C8117" s="13">
        <f>IFERROR(__xludf.DUMMYFUNCTION("""COMPUTED_VALUE"""),0.20833333333333334)</f>
        <v>0.2083333333</v>
      </c>
      <c r="D8117" s="8">
        <f>IFERROR(__xludf.DUMMYFUNCTION("""COMPUTED_VALUE"""),0.111)</f>
        <v>0.111</v>
      </c>
      <c r="E8117" s="8" t="str">
        <f>IFERROR(__xludf.DUMMYFUNCTION("""COMPUTED_VALUE"""),"Real")</f>
        <v>Real</v>
      </c>
      <c r="G8117" s="8">
        <f t="shared" si="1"/>
        <v>10</v>
      </c>
      <c r="H8117" s="14">
        <f t="shared" si="2"/>
        <v>5</v>
      </c>
      <c r="I8117" s="15">
        <f t="shared" si="3"/>
        <v>5</v>
      </c>
    </row>
    <row r="8118">
      <c r="A8118" s="8" t="str">
        <f>IFERROR(__xludf.DUMMYFUNCTION("IF('(INGESTA)Datos_consumo_datadis'!A8118&lt;&gt;"""",SPLIT('(INGESTA)Datos_consumo_datadis'!A:A,"",""),"""")"),"ES0031408323131005HX0F")</f>
        <v>ES0031408323131005HX0F</v>
      </c>
      <c r="B8118" s="12">
        <f>IFERROR(__xludf.DUMMYFUNCTION("""COMPUTED_VALUE"""),45204.0)</f>
        <v>45204</v>
      </c>
      <c r="C8118" s="13">
        <f>IFERROR(__xludf.DUMMYFUNCTION("""COMPUTED_VALUE"""),0.25)</f>
        <v>0.25</v>
      </c>
      <c r="D8118" s="8">
        <f>IFERROR(__xludf.DUMMYFUNCTION("""COMPUTED_VALUE"""),0.364)</f>
        <v>0.364</v>
      </c>
      <c r="E8118" s="8" t="str">
        <f>IFERROR(__xludf.DUMMYFUNCTION("""COMPUTED_VALUE"""),"Real")</f>
        <v>Real</v>
      </c>
      <c r="G8118" s="8">
        <f t="shared" si="1"/>
        <v>10</v>
      </c>
      <c r="H8118" s="14">
        <f t="shared" si="2"/>
        <v>5</v>
      </c>
      <c r="I8118" s="15">
        <f t="shared" si="3"/>
        <v>6</v>
      </c>
    </row>
    <row r="8119">
      <c r="A8119" s="8" t="str">
        <f>IFERROR(__xludf.DUMMYFUNCTION("IF('(INGESTA)Datos_consumo_datadis'!A8119&lt;&gt;"""",SPLIT('(INGESTA)Datos_consumo_datadis'!A:A,"",""),"""")"),"ES0031408323131005HX0F")</f>
        <v>ES0031408323131005HX0F</v>
      </c>
      <c r="B8119" s="12">
        <f>IFERROR(__xludf.DUMMYFUNCTION("""COMPUTED_VALUE"""),45204.0)</f>
        <v>45204</v>
      </c>
      <c r="C8119" s="13">
        <f>IFERROR(__xludf.DUMMYFUNCTION("""COMPUTED_VALUE"""),0.2916666666666667)</f>
        <v>0.2916666667</v>
      </c>
      <c r="D8119" s="8">
        <f>IFERROR(__xludf.DUMMYFUNCTION("""COMPUTED_VALUE"""),0.041)</f>
        <v>0.041</v>
      </c>
      <c r="E8119" s="8" t="str">
        <f>IFERROR(__xludf.DUMMYFUNCTION("""COMPUTED_VALUE"""),"Real")</f>
        <v>Real</v>
      </c>
      <c r="G8119" s="8">
        <f t="shared" si="1"/>
        <v>10</v>
      </c>
      <c r="H8119" s="14">
        <f t="shared" si="2"/>
        <v>5</v>
      </c>
      <c r="I8119" s="15">
        <f t="shared" si="3"/>
        <v>7</v>
      </c>
    </row>
    <row r="8120">
      <c r="A8120" s="8" t="str">
        <f>IFERROR(__xludf.DUMMYFUNCTION("IF('(INGESTA)Datos_consumo_datadis'!A8120&lt;&gt;"""",SPLIT('(INGESTA)Datos_consumo_datadis'!A:A,"",""),"""")"),"ES0031408323131005HX0F")</f>
        <v>ES0031408323131005HX0F</v>
      </c>
      <c r="B8120" s="12">
        <f>IFERROR(__xludf.DUMMYFUNCTION("""COMPUTED_VALUE"""),45204.0)</f>
        <v>45204</v>
      </c>
      <c r="C8120" s="13">
        <f>IFERROR(__xludf.DUMMYFUNCTION("""COMPUTED_VALUE"""),0.3333333333333333)</f>
        <v>0.3333333333</v>
      </c>
      <c r="D8120" s="8">
        <f>IFERROR(__xludf.DUMMYFUNCTION("""COMPUTED_VALUE"""),0.118)</f>
        <v>0.118</v>
      </c>
      <c r="E8120" s="8" t="str">
        <f>IFERROR(__xludf.DUMMYFUNCTION("""COMPUTED_VALUE"""),"Real")</f>
        <v>Real</v>
      </c>
      <c r="G8120" s="8">
        <f t="shared" si="1"/>
        <v>10</v>
      </c>
      <c r="H8120" s="14">
        <f t="shared" si="2"/>
        <v>5</v>
      </c>
      <c r="I8120" s="15">
        <f t="shared" si="3"/>
        <v>8</v>
      </c>
    </row>
    <row r="8121">
      <c r="A8121" s="8" t="str">
        <f>IFERROR(__xludf.DUMMYFUNCTION("IF('(INGESTA)Datos_consumo_datadis'!A8121&lt;&gt;"""",SPLIT('(INGESTA)Datos_consumo_datadis'!A:A,"",""),"""")"),"ES0031408323131005HX0F")</f>
        <v>ES0031408323131005HX0F</v>
      </c>
      <c r="B8121" s="12">
        <f>IFERROR(__xludf.DUMMYFUNCTION("""COMPUTED_VALUE"""),45204.0)</f>
        <v>45204</v>
      </c>
      <c r="C8121" s="13">
        <f>IFERROR(__xludf.DUMMYFUNCTION("""COMPUTED_VALUE"""),0.375)</f>
        <v>0.375</v>
      </c>
      <c r="D8121" s="8">
        <f>IFERROR(__xludf.DUMMYFUNCTION("""COMPUTED_VALUE"""),0.072)</f>
        <v>0.072</v>
      </c>
      <c r="E8121" s="8" t="str">
        <f>IFERROR(__xludf.DUMMYFUNCTION("""COMPUTED_VALUE"""),"Real")</f>
        <v>Real</v>
      </c>
      <c r="G8121" s="8">
        <f t="shared" si="1"/>
        <v>10</v>
      </c>
      <c r="H8121" s="14">
        <f t="shared" si="2"/>
        <v>5</v>
      </c>
      <c r="I8121" s="15">
        <f t="shared" si="3"/>
        <v>9</v>
      </c>
    </row>
    <row r="8122">
      <c r="A8122" s="8" t="str">
        <f>IFERROR(__xludf.DUMMYFUNCTION("IF('(INGESTA)Datos_consumo_datadis'!A8122&lt;&gt;"""",SPLIT('(INGESTA)Datos_consumo_datadis'!A:A,"",""),"""")"),"ES0031408323131005HX0F")</f>
        <v>ES0031408323131005HX0F</v>
      </c>
      <c r="B8122" s="12">
        <f>IFERROR(__xludf.DUMMYFUNCTION("""COMPUTED_VALUE"""),45204.0)</f>
        <v>45204</v>
      </c>
      <c r="C8122" s="13">
        <f>IFERROR(__xludf.DUMMYFUNCTION("""COMPUTED_VALUE"""),0.4166666666666667)</f>
        <v>0.4166666667</v>
      </c>
      <c r="D8122" s="8">
        <f>IFERROR(__xludf.DUMMYFUNCTION("""COMPUTED_VALUE"""),0.122)</f>
        <v>0.122</v>
      </c>
      <c r="E8122" s="8" t="str">
        <f>IFERROR(__xludf.DUMMYFUNCTION("""COMPUTED_VALUE"""),"Real")</f>
        <v>Real</v>
      </c>
      <c r="G8122" s="8">
        <f t="shared" si="1"/>
        <v>10</v>
      </c>
      <c r="H8122" s="14">
        <f t="shared" si="2"/>
        <v>5</v>
      </c>
      <c r="I8122" s="15">
        <f t="shared" si="3"/>
        <v>10</v>
      </c>
    </row>
    <row r="8123">
      <c r="A8123" s="8" t="str">
        <f>IFERROR(__xludf.DUMMYFUNCTION("IF('(INGESTA)Datos_consumo_datadis'!A8123&lt;&gt;"""",SPLIT('(INGESTA)Datos_consumo_datadis'!A:A,"",""),"""")"),"ES0031408323131005HX0F")</f>
        <v>ES0031408323131005HX0F</v>
      </c>
      <c r="B8123" s="12">
        <f>IFERROR(__xludf.DUMMYFUNCTION("""COMPUTED_VALUE"""),45204.0)</f>
        <v>45204</v>
      </c>
      <c r="C8123" s="13">
        <f>IFERROR(__xludf.DUMMYFUNCTION("""COMPUTED_VALUE"""),0.4583333333333333)</f>
        <v>0.4583333333</v>
      </c>
      <c r="D8123" s="8">
        <f>IFERROR(__xludf.DUMMYFUNCTION("""COMPUTED_VALUE"""),0.067)</f>
        <v>0.067</v>
      </c>
      <c r="E8123" s="8" t="str">
        <f>IFERROR(__xludf.DUMMYFUNCTION("""COMPUTED_VALUE"""),"Real")</f>
        <v>Real</v>
      </c>
      <c r="G8123" s="8">
        <f t="shared" si="1"/>
        <v>10</v>
      </c>
      <c r="H8123" s="14">
        <f t="shared" si="2"/>
        <v>5</v>
      </c>
      <c r="I8123" s="15">
        <f t="shared" si="3"/>
        <v>11</v>
      </c>
    </row>
    <row r="8124">
      <c r="A8124" s="8" t="str">
        <f>IFERROR(__xludf.DUMMYFUNCTION("IF('(INGESTA)Datos_consumo_datadis'!A8124&lt;&gt;"""",SPLIT('(INGESTA)Datos_consumo_datadis'!A:A,"",""),"""")"),"ES0031408323131005HX0F")</f>
        <v>ES0031408323131005HX0F</v>
      </c>
      <c r="B8124" s="12">
        <f>IFERROR(__xludf.DUMMYFUNCTION("""COMPUTED_VALUE"""),45204.0)</f>
        <v>45204</v>
      </c>
      <c r="C8124" s="13">
        <f>IFERROR(__xludf.DUMMYFUNCTION("""COMPUTED_VALUE"""),0.5)</f>
        <v>0.5</v>
      </c>
      <c r="D8124" s="8">
        <f>IFERROR(__xludf.DUMMYFUNCTION("""COMPUTED_VALUE"""),0.069)</f>
        <v>0.069</v>
      </c>
      <c r="E8124" s="8" t="str">
        <f>IFERROR(__xludf.DUMMYFUNCTION("""COMPUTED_VALUE"""),"Real")</f>
        <v>Real</v>
      </c>
      <c r="G8124" s="8">
        <f t="shared" si="1"/>
        <v>10</v>
      </c>
      <c r="H8124" s="14">
        <f t="shared" si="2"/>
        <v>5</v>
      </c>
      <c r="I8124" s="15">
        <f t="shared" si="3"/>
        <v>12</v>
      </c>
    </row>
    <row r="8125">
      <c r="A8125" s="8" t="str">
        <f>IFERROR(__xludf.DUMMYFUNCTION("IF('(INGESTA)Datos_consumo_datadis'!A8125&lt;&gt;"""",SPLIT('(INGESTA)Datos_consumo_datadis'!A:A,"",""),"""")"),"ES0031408323131005HX0F")</f>
        <v>ES0031408323131005HX0F</v>
      </c>
      <c r="B8125" s="12">
        <f>IFERROR(__xludf.DUMMYFUNCTION("""COMPUTED_VALUE"""),45204.0)</f>
        <v>45204</v>
      </c>
      <c r="C8125" s="13">
        <f>IFERROR(__xludf.DUMMYFUNCTION("""COMPUTED_VALUE"""),0.5416666666666666)</f>
        <v>0.5416666667</v>
      </c>
      <c r="D8125" s="8">
        <f>IFERROR(__xludf.DUMMYFUNCTION("""COMPUTED_VALUE"""),0.143)</f>
        <v>0.143</v>
      </c>
      <c r="E8125" s="8" t="str">
        <f>IFERROR(__xludf.DUMMYFUNCTION("""COMPUTED_VALUE"""),"Real")</f>
        <v>Real</v>
      </c>
      <c r="G8125" s="8">
        <f t="shared" si="1"/>
        <v>10</v>
      </c>
      <c r="H8125" s="14">
        <f t="shared" si="2"/>
        <v>5</v>
      </c>
      <c r="I8125" s="15">
        <f t="shared" si="3"/>
        <v>13</v>
      </c>
    </row>
    <row r="8126">
      <c r="A8126" s="8" t="str">
        <f>IFERROR(__xludf.DUMMYFUNCTION("IF('(INGESTA)Datos_consumo_datadis'!A8126&lt;&gt;"""",SPLIT('(INGESTA)Datos_consumo_datadis'!A:A,"",""),"""")"),"ES0031408323131005HX0F")</f>
        <v>ES0031408323131005HX0F</v>
      </c>
      <c r="B8126" s="12">
        <f>IFERROR(__xludf.DUMMYFUNCTION("""COMPUTED_VALUE"""),45204.0)</f>
        <v>45204</v>
      </c>
      <c r="C8126" s="13">
        <f>IFERROR(__xludf.DUMMYFUNCTION("""COMPUTED_VALUE"""),0.5833333333333334)</f>
        <v>0.5833333333</v>
      </c>
      <c r="D8126" s="8">
        <f>IFERROR(__xludf.DUMMYFUNCTION("""COMPUTED_VALUE"""),0.33)</f>
        <v>0.33</v>
      </c>
      <c r="E8126" s="8" t="str">
        <f>IFERROR(__xludf.DUMMYFUNCTION("""COMPUTED_VALUE"""),"Real")</f>
        <v>Real</v>
      </c>
      <c r="G8126" s="8">
        <f t="shared" si="1"/>
        <v>10</v>
      </c>
      <c r="H8126" s="14">
        <f t="shared" si="2"/>
        <v>5</v>
      </c>
      <c r="I8126" s="15">
        <f t="shared" si="3"/>
        <v>14</v>
      </c>
    </row>
    <row r="8127">
      <c r="A8127" s="8" t="str">
        <f>IFERROR(__xludf.DUMMYFUNCTION("IF('(INGESTA)Datos_consumo_datadis'!A8127&lt;&gt;"""",SPLIT('(INGESTA)Datos_consumo_datadis'!A:A,"",""),"""")"),"ES0031408323131005HX0F")</f>
        <v>ES0031408323131005HX0F</v>
      </c>
      <c r="B8127" s="12">
        <f>IFERROR(__xludf.DUMMYFUNCTION("""COMPUTED_VALUE"""),45204.0)</f>
        <v>45204</v>
      </c>
      <c r="C8127" s="13">
        <f>IFERROR(__xludf.DUMMYFUNCTION("""COMPUTED_VALUE"""),0.625)</f>
        <v>0.625</v>
      </c>
      <c r="D8127" s="8">
        <f>IFERROR(__xludf.DUMMYFUNCTION("""COMPUTED_VALUE"""),0.1)</f>
        <v>0.1</v>
      </c>
      <c r="E8127" s="8" t="str">
        <f>IFERROR(__xludf.DUMMYFUNCTION("""COMPUTED_VALUE"""),"Real")</f>
        <v>Real</v>
      </c>
      <c r="G8127" s="8">
        <f t="shared" si="1"/>
        <v>10</v>
      </c>
      <c r="H8127" s="14">
        <f t="shared" si="2"/>
        <v>5</v>
      </c>
      <c r="I8127" s="15">
        <f t="shared" si="3"/>
        <v>15</v>
      </c>
    </row>
    <row r="8128">
      <c r="A8128" s="8" t="str">
        <f>IFERROR(__xludf.DUMMYFUNCTION("IF('(INGESTA)Datos_consumo_datadis'!A8128&lt;&gt;"""",SPLIT('(INGESTA)Datos_consumo_datadis'!A:A,"",""),"""")"),"ES0031408323131005HX0F")</f>
        <v>ES0031408323131005HX0F</v>
      </c>
      <c r="B8128" s="12">
        <f>IFERROR(__xludf.DUMMYFUNCTION("""COMPUTED_VALUE"""),45204.0)</f>
        <v>45204</v>
      </c>
      <c r="C8128" s="13">
        <f>IFERROR(__xludf.DUMMYFUNCTION("""COMPUTED_VALUE"""),0.6666666666666666)</f>
        <v>0.6666666667</v>
      </c>
      <c r="D8128" s="8">
        <f>IFERROR(__xludf.DUMMYFUNCTION("""COMPUTED_VALUE"""),0.044)</f>
        <v>0.044</v>
      </c>
      <c r="E8128" s="8" t="str">
        <f>IFERROR(__xludf.DUMMYFUNCTION("""COMPUTED_VALUE"""),"Real")</f>
        <v>Real</v>
      </c>
      <c r="G8128" s="8">
        <f t="shared" si="1"/>
        <v>10</v>
      </c>
      <c r="H8128" s="14">
        <f t="shared" si="2"/>
        <v>5</v>
      </c>
      <c r="I8128" s="15">
        <f t="shared" si="3"/>
        <v>16</v>
      </c>
    </row>
    <row r="8129">
      <c r="A8129" s="8" t="str">
        <f>IFERROR(__xludf.DUMMYFUNCTION("IF('(INGESTA)Datos_consumo_datadis'!A8129&lt;&gt;"""",SPLIT('(INGESTA)Datos_consumo_datadis'!A:A,"",""),"""")"),"ES0031408323131005HX0F")</f>
        <v>ES0031408323131005HX0F</v>
      </c>
      <c r="B8129" s="12">
        <f>IFERROR(__xludf.DUMMYFUNCTION("""COMPUTED_VALUE"""),45204.0)</f>
        <v>45204</v>
      </c>
      <c r="C8129" s="13">
        <f>IFERROR(__xludf.DUMMYFUNCTION("""COMPUTED_VALUE"""),0.7083333333333334)</f>
        <v>0.7083333333</v>
      </c>
      <c r="D8129" s="8">
        <f>IFERROR(__xludf.DUMMYFUNCTION("""COMPUTED_VALUE"""),0.111)</f>
        <v>0.111</v>
      </c>
      <c r="E8129" s="8" t="str">
        <f>IFERROR(__xludf.DUMMYFUNCTION("""COMPUTED_VALUE"""),"Real")</f>
        <v>Real</v>
      </c>
      <c r="G8129" s="8">
        <f t="shared" si="1"/>
        <v>10</v>
      </c>
      <c r="H8129" s="14">
        <f t="shared" si="2"/>
        <v>5</v>
      </c>
      <c r="I8129" s="15">
        <f t="shared" si="3"/>
        <v>17</v>
      </c>
    </row>
    <row r="8130">
      <c r="A8130" s="8" t="str">
        <f>IFERROR(__xludf.DUMMYFUNCTION("IF('(INGESTA)Datos_consumo_datadis'!A8130&lt;&gt;"""",SPLIT('(INGESTA)Datos_consumo_datadis'!A:A,"",""),"""")"),"ES0031408323131005HX0F")</f>
        <v>ES0031408323131005HX0F</v>
      </c>
      <c r="B8130" s="12">
        <f>IFERROR(__xludf.DUMMYFUNCTION("""COMPUTED_VALUE"""),45204.0)</f>
        <v>45204</v>
      </c>
      <c r="C8130" s="13">
        <f>IFERROR(__xludf.DUMMYFUNCTION("""COMPUTED_VALUE"""),0.75)</f>
        <v>0.75</v>
      </c>
      <c r="D8130" s="8">
        <f>IFERROR(__xludf.DUMMYFUNCTION("""COMPUTED_VALUE"""),0.078)</f>
        <v>0.078</v>
      </c>
      <c r="E8130" s="8" t="str">
        <f>IFERROR(__xludf.DUMMYFUNCTION("""COMPUTED_VALUE"""),"Real")</f>
        <v>Real</v>
      </c>
      <c r="G8130" s="8">
        <f t="shared" si="1"/>
        <v>10</v>
      </c>
      <c r="H8130" s="14">
        <f t="shared" si="2"/>
        <v>5</v>
      </c>
      <c r="I8130" s="15">
        <f t="shared" si="3"/>
        <v>18</v>
      </c>
    </row>
    <row r="8131">
      <c r="A8131" s="8" t="str">
        <f>IFERROR(__xludf.DUMMYFUNCTION("IF('(INGESTA)Datos_consumo_datadis'!A8131&lt;&gt;"""",SPLIT('(INGESTA)Datos_consumo_datadis'!A:A,"",""),"""")"),"ES0031408323131005HX0F")</f>
        <v>ES0031408323131005HX0F</v>
      </c>
      <c r="B8131" s="12">
        <f>IFERROR(__xludf.DUMMYFUNCTION("""COMPUTED_VALUE"""),45204.0)</f>
        <v>45204</v>
      </c>
      <c r="C8131" s="13">
        <f>IFERROR(__xludf.DUMMYFUNCTION("""COMPUTED_VALUE"""),0.7916666666666666)</f>
        <v>0.7916666667</v>
      </c>
      <c r="D8131" s="8">
        <f>IFERROR(__xludf.DUMMYFUNCTION("""COMPUTED_VALUE"""),0.117)</f>
        <v>0.117</v>
      </c>
      <c r="E8131" s="8" t="str">
        <f>IFERROR(__xludf.DUMMYFUNCTION("""COMPUTED_VALUE"""),"Real")</f>
        <v>Real</v>
      </c>
      <c r="G8131" s="8">
        <f t="shared" si="1"/>
        <v>10</v>
      </c>
      <c r="H8131" s="14">
        <f t="shared" si="2"/>
        <v>5</v>
      </c>
      <c r="I8131" s="15">
        <f t="shared" si="3"/>
        <v>19</v>
      </c>
    </row>
    <row r="8132">
      <c r="A8132" s="8" t="str">
        <f>IFERROR(__xludf.DUMMYFUNCTION("IF('(INGESTA)Datos_consumo_datadis'!A8132&lt;&gt;"""",SPLIT('(INGESTA)Datos_consumo_datadis'!A:A,"",""),"""")"),"ES0031408323131005HX0F")</f>
        <v>ES0031408323131005HX0F</v>
      </c>
      <c r="B8132" s="12">
        <f>IFERROR(__xludf.DUMMYFUNCTION("""COMPUTED_VALUE"""),45204.0)</f>
        <v>45204</v>
      </c>
      <c r="C8132" s="13">
        <f>IFERROR(__xludf.DUMMYFUNCTION("""COMPUTED_VALUE"""),0.8333333333333334)</f>
        <v>0.8333333333</v>
      </c>
      <c r="D8132" s="8">
        <f>IFERROR(__xludf.DUMMYFUNCTION("""COMPUTED_VALUE"""),0.309)</f>
        <v>0.309</v>
      </c>
      <c r="E8132" s="8" t="str">
        <f>IFERROR(__xludf.DUMMYFUNCTION("""COMPUTED_VALUE"""),"Real")</f>
        <v>Real</v>
      </c>
      <c r="G8132" s="8">
        <f t="shared" si="1"/>
        <v>10</v>
      </c>
      <c r="H8132" s="14">
        <f t="shared" si="2"/>
        <v>5</v>
      </c>
      <c r="I8132" s="15">
        <f t="shared" si="3"/>
        <v>20</v>
      </c>
    </row>
    <row r="8133">
      <c r="A8133" s="8" t="str">
        <f>IFERROR(__xludf.DUMMYFUNCTION("IF('(INGESTA)Datos_consumo_datadis'!A8133&lt;&gt;"""",SPLIT('(INGESTA)Datos_consumo_datadis'!A:A,"",""),"""")"),"ES0031408323131005HX0F")</f>
        <v>ES0031408323131005HX0F</v>
      </c>
      <c r="B8133" s="12">
        <f>IFERROR(__xludf.DUMMYFUNCTION("""COMPUTED_VALUE"""),45204.0)</f>
        <v>45204</v>
      </c>
      <c r="C8133" s="13">
        <f>IFERROR(__xludf.DUMMYFUNCTION("""COMPUTED_VALUE"""),0.875)</f>
        <v>0.875</v>
      </c>
      <c r="D8133" s="8">
        <f>IFERROR(__xludf.DUMMYFUNCTION("""COMPUTED_VALUE"""),0.149)</f>
        <v>0.149</v>
      </c>
      <c r="E8133" s="8" t="str">
        <f>IFERROR(__xludf.DUMMYFUNCTION("""COMPUTED_VALUE"""),"Real")</f>
        <v>Real</v>
      </c>
      <c r="G8133" s="8">
        <f t="shared" si="1"/>
        <v>10</v>
      </c>
      <c r="H8133" s="14">
        <f t="shared" si="2"/>
        <v>5</v>
      </c>
      <c r="I8133" s="15">
        <f t="shared" si="3"/>
        <v>21</v>
      </c>
    </row>
    <row r="8134">
      <c r="A8134" s="8" t="str">
        <f>IFERROR(__xludf.DUMMYFUNCTION("IF('(INGESTA)Datos_consumo_datadis'!A8134&lt;&gt;"""",SPLIT('(INGESTA)Datos_consumo_datadis'!A:A,"",""),"""")"),"ES0031408323131005HX0F")</f>
        <v>ES0031408323131005HX0F</v>
      </c>
      <c r="B8134" s="12">
        <f>IFERROR(__xludf.DUMMYFUNCTION("""COMPUTED_VALUE"""),45204.0)</f>
        <v>45204</v>
      </c>
      <c r="C8134" s="13">
        <f>IFERROR(__xludf.DUMMYFUNCTION("""COMPUTED_VALUE"""),0.9166666666666666)</f>
        <v>0.9166666667</v>
      </c>
      <c r="D8134" s="8">
        <f>IFERROR(__xludf.DUMMYFUNCTION("""COMPUTED_VALUE"""),0.119)</f>
        <v>0.119</v>
      </c>
      <c r="E8134" s="8" t="str">
        <f>IFERROR(__xludf.DUMMYFUNCTION("""COMPUTED_VALUE"""),"Real")</f>
        <v>Real</v>
      </c>
      <c r="G8134" s="8">
        <f t="shared" si="1"/>
        <v>10</v>
      </c>
      <c r="H8134" s="14">
        <f t="shared" si="2"/>
        <v>5</v>
      </c>
      <c r="I8134" s="15">
        <f t="shared" si="3"/>
        <v>22</v>
      </c>
    </row>
    <row r="8135">
      <c r="A8135" s="8" t="str">
        <f>IFERROR(__xludf.DUMMYFUNCTION("IF('(INGESTA)Datos_consumo_datadis'!A8135&lt;&gt;"""",SPLIT('(INGESTA)Datos_consumo_datadis'!A:A,"",""),"""")"),"ES0031408323131005HX0F")</f>
        <v>ES0031408323131005HX0F</v>
      </c>
      <c r="B8135" s="12">
        <f>IFERROR(__xludf.DUMMYFUNCTION("""COMPUTED_VALUE"""),45204.0)</f>
        <v>45204</v>
      </c>
      <c r="C8135" s="13">
        <f>IFERROR(__xludf.DUMMYFUNCTION("""COMPUTED_VALUE"""),0.9583333333333334)</f>
        <v>0.9583333333</v>
      </c>
      <c r="D8135" s="8">
        <f>IFERROR(__xludf.DUMMYFUNCTION("""COMPUTED_VALUE"""),0.104)</f>
        <v>0.104</v>
      </c>
      <c r="E8135" s="8" t="str">
        <f>IFERROR(__xludf.DUMMYFUNCTION("""COMPUTED_VALUE"""),"Real")</f>
        <v>Real</v>
      </c>
      <c r="G8135" s="8">
        <f t="shared" si="1"/>
        <v>10</v>
      </c>
      <c r="H8135" s="14">
        <f t="shared" si="2"/>
        <v>5</v>
      </c>
      <c r="I8135" s="15">
        <f t="shared" si="3"/>
        <v>23</v>
      </c>
    </row>
    <row r="8136">
      <c r="A8136" s="8" t="str">
        <f>IFERROR(__xludf.DUMMYFUNCTION("IF('(INGESTA)Datos_consumo_datadis'!A8136&lt;&gt;"""",SPLIT('(INGESTA)Datos_consumo_datadis'!A:A,"",""),"""")"),"ES0031408323131005HX0F")</f>
        <v>ES0031408323131005HX0F</v>
      </c>
      <c r="B8136" s="12">
        <f>IFERROR(__xludf.DUMMYFUNCTION("""COMPUTED_VALUE"""),45204.0)</f>
        <v>45204</v>
      </c>
      <c r="C8136" s="16">
        <f>IFERROR(__xludf.DUMMYFUNCTION("""COMPUTED_VALUE"""),1.0)</f>
        <v>1</v>
      </c>
      <c r="D8136" s="8">
        <f>IFERROR(__xludf.DUMMYFUNCTION("""COMPUTED_VALUE"""),0.129)</f>
        <v>0.129</v>
      </c>
      <c r="E8136" s="8" t="str">
        <f>IFERROR(__xludf.DUMMYFUNCTION("""COMPUTED_VALUE"""),"Real")</f>
        <v>Real</v>
      </c>
      <c r="G8136" s="8">
        <f t="shared" si="1"/>
        <v>10</v>
      </c>
      <c r="H8136" s="14">
        <f t="shared" si="2"/>
        <v>5</v>
      </c>
      <c r="I8136" s="15">
        <f t="shared" si="3"/>
        <v>0</v>
      </c>
    </row>
    <row r="8137">
      <c r="A8137" s="8" t="str">
        <f>IFERROR(__xludf.DUMMYFUNCTION("IF('(INGESTA)Datos_consumo_datadis'!A8137&lt;&gt;"""",SPLIT('(INGESTA)Datos_consumo_datadis'!A:A,"",""),"""")"),"ES0031408323131005HX0F")</f>
        <v>ES0031408323131005HX0F</v>
      </c>
      <c r="B8137" s="12">
        <f>IFERROR(__xludf.DUMMYFUNCTION("""COMPUTED_VALUE"""),45205.0)</f>
        <v>45205</v>
      </c>
      <c r="C8137" s="13">
        <f>IFERROR(__xludf.DUMMYFUNCTION("""COMPUTED_VALUE"""),0.041666666666666664)</f>
        <v>0.04166666667</v>
      </c>
      <c r="D8137" s="8">
        <f>IFERROR(__xludf.DUMMYFUNCTION("""COMPUTED_VALUE"""),0.099)</f>
        <v>0.099</v>
      </c>
      <c r="E8137" s="8" t="str">
        <f>IFERROR(__xludf.DUMMYFUNCTION("""COMPUTED_VALUE"""),"Real")</f>
        <v>Real</v>
      </c>
      <c r="G8137" s="8">
        <f t="shared" si="1"/>
        <v>10</v>
      </c>
      <c r="H8137" s="14">
        <f t="shared" si="2"/>
        <v>6</v>
      </c>
      <c r="I8137" s="15">
        <f t="shared" si="3"/>
        <v>1</v>
      </c>
    </row>
    <row r="8138">
      <c r="A8138" s="8" t="str">
        <f>IFERROR(__xludf.DUMMYFUNCTION("IF('(INGESTA)Datos_consumo_datadis'!A8138&lt;&gt;"""",SPLIT('(INGESTA)Datos_consumo_datadis'!A:A,"",""),"""")"),"ES0031408323131005HX0F")</f>
        <v>ES0031408323131005HX0F</v>
      </c>
      <c r="B8138" s="12">
        <f>IFERROR(__xludf.DUMMYFUNCTION("""COMPUTED_VALUE"""),45205.0)</f>
        <v>45205</v>
      </c>
      <c r="C8138" s="13">
        <f>IFERROR(__xludf.DUMMYFUNCTION("""COMPUTED_VALUE"""),0.08333333333333333)</f>
        <v>0.08333333333</v>
      </c>
      <c r="D8138" s="8">
        <f>IFERROR(__xludf.DUMMYFUNCTION("""COMPUTED_VALUE"""),0.015)</f>
        <v>0.015</v>
      </c>
      <c r="E8138" s="8" t="str">
        <f>IFERROR(__xludf.DUMMYFUNCTION("""COMPUTED_VALUE"""),"Real")</f>
        <v>Real</v>
      </c>
      <c r="G8138" s="8">
        <f t="shared" si="1"/>
        <v>10</v>
      </c>
      <c r="H8138" s="14">
        <f t="shared" si="2"/>
        <v>6</v>
      </c>
      <c r="I8138" s="15">
        <f t="shared" si="3"/>
        <v>2</v>
      </c>
    </row>
    <row r="8139">
      <c r="A8139" s="8" t="str">
        <f>IFERROR(__xludf.DUMMYFUNCTION("IF('(INGESTA)Datos_consumo_datadis'!A8139&lt;&gt;"""",SPLIT('(INGESTA)Datos_consumo_datadis'!A:A,"",""),"""")"),"ES0031408323131005HX0F")</f>
        <v>ES0031408323131005HX0F</v>
      </c>
      <c r="B8139" s="12">
        <f>IFERROR(__xludf.DUMMYFUNCTION("""COMPUTED_VALUE"""),45205.0)</f>
        <v>45205</v>
      </c>
      <c r="C8139" s="13">
        <f>IFERROR(__xludf.DUMMYFUNCTION("""COMPUTED_VALUE"""),0.125)</f>
        <v>0.125</v>
      </c>
      <c r="D8139" s="8">
        <f>IFERROR(__xludf.DUMMYFUNCTION("""COMPUTED_VALUE"""),0.192)</f>
        <v>0.192</v>
      </c>
      <c r="E8139" s="8" t="str">
        <f>IFERROR(__xludf.DUMMYFUNCTION("""COMPUTED_VALUE"""),"Real")</f>
        <v>Real</v>
      </c>
      <c r="G8139" s="8">
        <f t="shared" si="1"/>
        <v>10</v>
      </c>
      <c r="H8139" s="14">
        <f t="shared" si="2"/>
        <v>6</v>
      </c>
      <c r="I8139" s="15">
        <f t="shared" si="3"/>
        <v>3</v>
      </c>
    </row>
    <row r="8140">
      <c r="A8140" s="8" t="str">
        <f>IFERROR(__xludf.DUMMYFUNCTION("IF('(INGESTA)Datos_consumo_datadis'!A8140&lt;&gt;"""",SPLIT('(INGESTA)Datos_consumo_datadis'!A:A,"",""),"""")"),"ES0031408323131005HX0F")</f>
        <v>ES0031408323131005HX0F</v>
      </c>
      <c r="B8140" s="12">
        <f>IFERROR(__xludf.DUMMYFUNCTION("""COMPUTED_VALUE"""),45205.0)</f>
        <v>45205</v>
      </c>
      <c r="C8140" s="13">
        <f>IFERROR(__xludf.DUMMYFUNCTION("""COMPUTED_VALUE"""),0.16666666666666666)</f>
        <v>0.1666666667</v>
      </c>
      <c r="D8140" s="8">
        <f>IFERROR(__xludf.DUMMYFUNCTION("""COMPUTED_VALUE"""),0.297)</f>
        <v>0.297</v>
      </c>
      <c r="E8140" s="8" t="str">
        <f>IFERROR(__xludf.DUMMYFUNCTION("""COMPUTED_VALUE"""),"Real")</f>
        <v>Real</v>
      </c>
      <c r="G8140" s="8">
        <f t="shared" si="1"/>
        <v>10</v>
      </c>
      <c r="H8140" s="14">
        <f t="shared" si="2"/>
        <v>6</v>
      </c>
      <c r="I8140" s="15">
        <f t="shared" si="3"/>
        <v>4</v>
      </c>
    </row>
    <row r="8141">
      <c r="A8141" s="8" t="str">
        <f>IFERROR(__xludf.DUMMYFUNCTION("IF('(INGESTA)Datos_consumo_datadis'!A8141&lt;&gt;"""",SPLIT('(INGESTA)Datos_consumo_datadis'!A:A,"",""),"""")"),"ES0031408323131005HX0F")</f>
        <v>ES0031408323131005HX0F</v>
      </c>
      <c r="B8141" s="12">
        <f>IFERROR(__xludf.DUMMYFUNCTION("""COMPUTED_VALUE"""),45205.0)</f>
        <v>45205</v>
      </c>
      <c r="C8141" s="13">
        <f>IFERROR(__xludf.DUMMYFUNCTION("""COMPUTED_VALUE"""),0.20833333333333334)</f>
        <v>0.2083333333</v>
      </c>
      <c r="D8141" s="8">
        <f>IFERROR(__xludf.DUMMYFUNCTION("""COMPUTED_VALUE"""),0.084)</f>
        <v>0.084</v>
      </c>
      <c r="E8141" s="8" t="str">
        <f>IFERROR(__xludf.DUMMYFUNCTION("""COMPUTED_VALUE"""),"Real")</f>
        <v>Real</v>
      </c>
      <c r="G8141" s="8">
        <f t="shared" si="1"/>
        <v>10</v>
      </c>
      <c r="H8141" s="14">
        <f t="shared" si="2"/>
        <v>6</v>
      </c>
      <c r="I8141" s="15">
        <f t="shared" si="3"/>
        <v>5</v>
      </c>
    </row>
    <row r="8142">
      <c r="A8142" s="8" t="str">
        <f>IFERROR(__xludf.DUMMYFUNCTION("IF('(INGESTA)Datos_consumo_datadis'!A8142&lt;&gt;"""",SPLIT('(INGESTA)Datos_consumo_datadis'!A:A,"",""),"""")"),"ES0031408323131005HX0F")</f>
        <v>ES0031408323131005HX0F</v>
      </c>
      <c r="B8142" s="12">
        <f>IFERROR(__xludf.DUMMYFUNCTION("""COMPUTED_VALUE"""),45205.0)</f>
        <v>45205</v>
      </c>
      <c r="C8142" s="13">
        <f>IFERROR(__xludf.DUMMYFUNCTION("""COMPUTED_VALUE"""),0.25)</f>
        <v>0.25</v>
      </c>
      <c r="D8142" s="8">
        <f>IFERROR(__xludf.DUMMYFUNCTION("""COMPUTED_VALUE"""),0.014)</f>
        <v>0.014</v>
      </c>
      <c r="E8142" s="8" t="str">
        <f>IFERROR(__xludf.DUMMYFUNCTION("""COMPUTED_VALUE"""),"Real")</f>
        <v>Real</v>
      </c>
      <c r="G8142" s="8">
        <f t="shared" si="1"/>
        <v>10</v>
      </c>
      <c r="H8142" s="14">
        <f t="shared" si="2"/>
        <v>6</v>
      </c>
      <c r="I8142" s="15">
        <f t="shared" si="3"/>
        <v>6</v>
      </c>
    </row>
    <row r="8143">
      <c r="A8143" s="8" t="str">
        <f>IFERROR(__xludf.DUMMYFUNCTION("IF('(INGESTA)Datos_consumo_datadis'!A8143&lt;&gt;"""",SPLIT('(INGESTA)Datos_consumo_datadis'!A:A,"",""),"""")"),"ES0031408323131005HX0F")</f>
        <v>ES0031408323131005HX0F</v>
      </c>
      <c r="B8143" s="12">
        <f>IFERROR(__xludf.DUMMYFUNCTION("""COMPUTED_VALUE"""),45205.0)</f>
        <v>45205</v>
      </c>
      <c r="C8143" s="13">
        <f>IFERROR(__xludf.DUMMYFUNCTION("""COMPUTED_VALUE"""),0.2916666666666667)</f>
        <v>0.2916666667</v>
      </c>
      <c r="D8143" s="8">
        <f>IFERROR(__xludf.DUMMYFUNCTION("""COMPUTED_VALUE"""),0.114)</f>
        <v>0.114</v>
      </c>
      <c r="E8143" s="8" t="str">
        <f>IFERROR(__xludf.DUMMYFUNCTION("""COMPUTED_VALUE"""),"Real")</f>
        <v>Real</v>
      </c>
      <c r="G8143" s="8">
        <f t="shared" si="1"/>
        <v>10</v>
      </c>
      <c r="H8143" s="14">
        <f t="shared" si="2"/>
        <v>6</v>
      </c>
      <c r="I8143" s="15">
        <f t="shared" si="3"/>
        <v>7</v>
      </c>
    </row>
    <row r="8144">
      <c r="A8144" s="8" t="str">
        <f>IFERROR(__xludf.DUMMYFUNCTION("IF('(INGESTA)Datos_consumo_datadis'!A8144&lt;&gt;"""",SPLIT('(INGESTA)Datos_consumo_datadis'!A:A,"",""),"""")"),"ES0031408323131005HX0F")</f>
        <v>ES0031408323131005HX0F</v>
      </c>
      <c r="B8144" s="12">
        <f>IFERROR(__xludf.DUMMYFUNCTION("""COMPUTED_VALUE"""),45205.0)</f>
        <v>45205</v>
      </c>
      <c r="C8144" s="13">
        <f>IFERROR(__xludf.DUMMYFUNCTION("""COMPUTED_VALUE"""),0.3333333333333333)</f>
        <v>0.3333333333</v>
      </c>
      <c r="D8144" s="8">
        <f>IFERROR(__xludf.DUMMYFUNCTION("""COMPUTED_VALUE"""),0.112)</f>
        <v>0.112</v>
      </c>
      <c r="E8144" s="8" t="str">
        <f>IFERROR(__xludf.DUMMYFUNCTION("""COMPUTED_VALUE"""),"Real")</f>
        <v>Real</v>
      </c>
      <c r="G8144" s="8">
        <f t="shared" si="1"/>
        <v>10</v>
      </c>
      <c r="H8144" s="14">
        <f t="shared" si="2"/>
        <v>6</v>
      </c>
      <c r="I8144" s="15">
        <f t="shared" si="3"/>
        <v>8</v>
      </c>
    </row>
    <row r="8145">
      <c r="A8145" s="8" t="str">
        <f>IFERROR(__xludf.DUMMYFUNCTION("IF('(INGESTA)Datos_consumo_datadis'!A8145&lt;&gt;"""",SPLIT('(INGESTA)Datos_consumo_datadis'!A:A,"",""),"""")"),"ES0031408323131005HX0F")</f>
        <v>ES0031408323131005HX0F</v>
      </c>
      <c r="B8145" s="12">
        <f>IFERROR(__xludf.DUMMYFUNCTION("""COMPUTED_VALUE"""),45205.0)</f>
        <v>45205</v>
      </c>
      <c r="C8145" s="13">
        <f>IFERROR(__xludf.DUMMYFUNCTION("""COMPUTED_VALUE"""),0.375)</f>
        <v>0.375</v>
      </c>
      <c r="D8145" s="8">
        <f>IFERROR(__xludf.DUMMYFUNCTION("""COMPUTED_VALUE"""),0.953)</f>
        <v>0.953</v>
      </c>
      <c r="E8145" s="8" t="str">
        <f>IFERROR(__xludf.DUMMYFUNCTION("""COMPUTED_VALUE"""),"Real")</f>
        <v>Real</v>
      </c>
      <c r="G8145" s="8">
        <f t="shared" si="1"/>
        <v>10</v>
      </c>
      <c r="H8145" s="14">
        <f t="shared" si="2"/>
        <v>6</v>
      </c>
      <c r="I8145" s="15">
        <f t="shared" si="3"/>
        <v>9</v>
      </c>
    </row>
    <row r="8146">
      <c r="A8146" s="8" t="str">
        <f>IFERROR(__xludf.DUMMYFUNCTION("IF('(INGESTA)Datos_consumo_datadis'!A8146&lt;&gt;"""",SPLIT('(INGESTA)Datos_consumo_datadis'!A:A,"",""),"""")"),"ES0031408323131005HX0F")</f>
        <v>ES0031408323131005HX0F</v>
      </c>
      <c r="B8146" s="12">
        <f>IFERROR(__xludf.DUMMYFUNCTION("""COMPUTED_VALUE"""),45205.0)</f>
        <v>45205</v>
      </c>
      <c r="C8146" s="13">
        <f>IFERROR(__xludf.DUMMYFUNCTION("""COMPUTED_VALUE"""),0.4166666666666667)</f>
        <v>0.4166666667</v>
      </c>
      <c r="D8146" s="8">
        <f>IFERROR(__xludf.DUMMYFUNCTION("""COMPUTED_VALUE"""),0.021)</f>
        <v>0.021</v>
      </c>
      <c r="E8146" s="8" t="str">
        <f>IFERROR(__xludf.DUMMYFUNCTION("""COMPUTED_VALUE"""),"Real")</f>
        <v>Real</v>
      </c>
      <c r="G8146" s="8">
        <f t="shared" si="1"/>
        <v>10</v>
      </c>
      <c r="H8146" s="14">
        <f t="shared" si="2"/>
        <v>6</v>
      </c>
      <c r="I8146" s="15">
        <f t="shared" si="3"/>
        <v>10</v>
      </c>
    </row>
    <row r="8147">
      <c r="A8147" s="8" t="str">
        <f>IFERROR(__xludf.DUMMYFUNCTION("IF('(INGESTA)Datos_consumo_datadis'!A8147&lt;&gt;"""",SPLIT('(INGESTA)Datos_consumo_datadis'!A:A,"",""),"""")"),"ES0031408323131005HX0F")</f>
        <v>ES0031408323131005HX0F</v>
      </c>
      <c r="B8147" s="12">
        <f>IFERROR(__xludf.DUMMYFUNCTION("""COMPUTED_VALUE"""),45205.0)</f>
        <v>45205</v>
      </c>
      <c r="C8147" s="13">
        <f>IFERROR(__xludf.DUMMYFUNCTION("""COMPUTED_VALUE"""),0.4583333333333333)</f>
        <v>0.4583333333</v>
      </c>
      <c r="D8147" s="8">
        <f>IFERROR(__xludf.DUMMYFUNCTION("""COMPUTED_VALUE"""),0.113)</f>
        <v>0.113</v>
      </c>
      <c r="E8147" s="8" t="str">
        <f>IFERROR(__xludf.DUMMYFUNCTION("""COMPUTED_VALUE"""),"Real")</f>
        <v>Real</v>
      </c>
      <c r="G8147" s="8">
        <f t="shared" si="1"/>
        <v>10</v>
      </c>
      <c r="H8147" s="14">
        <f t="shared" si="2"/>
        <v>6</v>
      </c>
      <c r="I8147" s="15">
        <f t="shared" si="3"/>
        <v>11</v>
      </c>
    </row>
    <row r="8148">
      <c r="A8148" s="8" t="str">
        <f>IFERROR(__xludf.DUMMYFUNCTION("IF('(INGESTA)Datos_consumo_datadis'!A8148&lt;&gt;"""",SPLIT('(INGESTA)Datos_consumo_datadis'!A:A,"",""),"""")"),"ES0031408323131005HX0F")</f>
        <v>ES0031408323131005HX0F</v>
      </c>
      <c r="B8148" s="12">
        <f>IFERROR(__xludf.DUMMYFUNCTION("""COMPUTED_VALUE"""),45205.0)</f>
        <v>45205</v>
      </c>
      <c r="C8148" s="13">
        <f>IFERROR(__xludf.DUMMYFUNCTION("""COMPUTED_VALUE"""),0.5)</f>
        <v>0.5</v>
      </c>
      <c r="D8148" s="8">
        <f>IFERROR(__xludf.DUMMYFUNCTION("""COMPUTED_VALUE"""),0.076)</f>
        <v>0.076</v>
      </c>
      <c r="E8148" s="8" t="str">
        <f>IFERROR(__xludf.DUMMYFUNCTION("""COMPUTED_VALUE"""),"Real")</f>
        <v>Real</v>
      </c>
      <c r="G8148" s="8">
        <f t="shared" si="1"/>
        <v>10</v>
      </c>
      <c r="H8148" s="14">
        <f t="shared" si="2"/>
        <v>6</v>
      </c>
      <c r="I8148" s="15">
        <f t="shared" si="3"/>
        <v>12</v>
      </c>
    </row>
    <row r="8149">
      <c r="A8149" s="8" t="str">
        <f>IFERROR(__xludf.DUMMYFUNCTION("IF('(INGESTA)Datos_consumo_datadis'!A8149&lt;&gt;"""",SPLIT('(INGESTA)Datos_consumo_datadis'!A:A,"",""),"""")"),"ES0031408323131005HX0F")</f>
        <v>ES0031408323131005HX0F</v>
      </c>
      <c r="B8149" s="12">
        <f>IFERROR(__xludf.DUMMYFUNCTION("""COMPUTED_VALUE"""),45205.0)</f>
        <v>45205</v>
      </c>
      <c r="C8149" s="13">
        <f>IFERROR(__xludf.DUMMYFUNCTION("""COMPUTED_VALUE"""),0.5416666666666666)</f>
        <v>0.5416666667</v>
      </c>
      <c r="D8149" s="8">
        <f>IFERROR(__xludf.DUMMYFUNCTION("""COMPUTED_VALUE"""),0.12)</f>
        <v>0.12</v>
      </c>
      <c r="E8149" s="8" t="str">
        <f>IFERROR(__xludf.DUMMYFUNCTION("""COMPUTED_VALUE"""),"Real")</f>
        <v>Real</v>
      </c>
      <c r="G8149" s="8">
        <f t="shared" si="1"/>
        <v>10</v>
      </c>
      <c r="H8149" s="14">
        <f t="shared" si="2"/>
        <v>6</v>
      </c>
      <c r="I8149" s="15">
        <f t="shared" si="3"/>
        <v>13</v>
      </c>
    </row>
    <row r="8150">
      <c r="A8150" s="8" t="str">
        <f>IFERROR(__xludf.DUMMYFUNCTION("IF('(INGESTA)Datos_consumo_datadis'!A8150&lt;&gt;"""",SPLIT('(INGESTA)Datos_consumo_datadis'!A:A,"",""),"""")"),"ES0031408323131005HX0F")</f>
        <v>ES0031408323131005HX0F</v>
      </c>
      <c r="B8150" s="12">
        <f>IFERROR(__xludf.DUMMYFUNCTION("""COMPUTED_VALUE"""),45205.0)</f>
        <v>45205</v>
      </c>
      <c r="C8150" s="13">
        <f>IFERROR(__xludf.DUMMYFUNCTION("""COMPUTED_VALUE"""),0.5833333333333334)</f>
        <v>0.5833333333</v>
      </c>
      <c r="D8150" s="8">
        <f>IFERROR(__xludf.DUMMYFUNCTION("""COMPUTED_VALUE"""),0.048)</f>
        <v>0.048</v>
      </c>
      <c r="E8150" s="8" t="str">
        <f>IFERROR(__xludf.DUMMYFUNCTION("""COMPUTED_VALUE"""),"Real")</f>
        <v>Real</v>
      </c>
      <c r="G8150" s="8">
        <f t="shared" si="1"/>
        <v>10</v>
      </c>
      <c r="H8150" s="14">
        <f t="shared" si="2"/>
        <v>6</v>
      </c>
      <c r="I8150" s="15">
        <f t="shared" si="3"/>
        <v>14</v>
      </c>
    </row>
    <row r="8151">
      <c r="A8151" s="8" t="str">
        <f>IFERROR(__xludf.DUMMYFUNCTION("IF('(INGESTA)Datos_consumo_datadis'!A8151&lt;&gt;"""",SPLIT('(INGESTA)Datos_consumo_datadis'!A:A,"",""),"""")"),"ES0031408323131005HX0F")</f>
        <v>ES0031408323131005HX0F</v>
      </c>
      <c r="B8151" s="12">
        <f>IFERROR(__xludf.DUMMYFUNCTION("""COMPUTED_VALUE"""),45205.0)</f>
        <v>45205</v>
      </c>
      <c r="C8151" s="13">
        <f>IFERROR(__xludf.DUMMYFUNCTION("""COMPUTED_VALUE"""),0.625)</f>
        <v>0.625</v>
      </c>
      <c r="D8151" s="8">
        <f>IFERROR(__xludf.DUMMYFUNCTION("""COMPUTED_VALUE"""),0.195)</f>
        <v>0.195</v>
      </c>
      <c r="E8151" s="8" t="str">
        <f>IFERROR(__xludf.DUMMYFUNCTION("""COMPUTED_VALUE"""),"Real")</f>
        <v>Real</v>
      </c>
      <c r="G8151" s="8">
        <f t="shared" si="1"/>
        <v>10</v>
      </c>
      <c r="H8151" s="14">
        <f t="shared" si="2"/>
        <v>6</v>
      </c>
      <c r="I8151" s="15">
        <f t="shared" si="3"/>
        <v>15</v>
      </c>
    </row>
    <row r="8152">
      <c r="A8152" s="8" t="str">
        <f>IFERROR(__xludf.DUMMYFUNCTION("IF('(INGESTA)Datos_consumo_datadis'!A8152&lt;&gt;"""",SPLIT('(INGESTA)Datos_consumo_datadis'!A:A,"",""),"""")"),"ES0031408323131005HX0F")</f>
        <v>ES0031408323131005HX0F</v>
      </c>
      <c r="B8152" s="12">
        <f>IFERROR(__xludf.DUMMYFUNCTION("""COMPUTED_VALUE"""),45205.0)</f>
        <v>45205</v>
      </c>
      <c r="C8152" s="13">
        <f>IFERROR(__xludf.DUMMYFUNCTION("""COMPUTED_VALUE"""),0.6666666666666666)</f>
        <v>0.6666666667</v>
      </c>
      <c r="D8152" s="8">
        <f>IFERROR(__xludf.DUMMYFUNCTION("""COMPUTED_VALUE"""),0.301)</f>
        <v>0.301</v>
      </c>
      <c r="E8152" s="8" t="str">
        <f>IFERROR(__xludf.DUMMYFUNCTION("""COMPUTED_VALUE"""),"Real")</f>
        <v>Real</v>
      </c>
      <c r="G8152" s="8">
        <f t="shared" si="1"/>
        <v>10</v>
      </c>
      <c r="H8152" s="14">
        <f t="shared" si="2"/>
        <v>6</v>
      </c>
      <c r="I8152" s="15">
        <f t="shared" si="3"/>
        <v>16</v>
      </c>
    </row>
    <row r="8153">
      <c r="A8153" s="8" t="str">
        <f>IFERROR(__xludf.DUMMYFUNCTION("IF('(INGESTA)Datos_consumo_datadis'!A8153&lt;&gt;"""",SPLIT('(INGESTA)Datos_consumo_datadis'!A:A,"",""),"""")"),"ES0031408323131005HX0F")</f>
        <v>ES0031408323131005HX0F</v>
      </c>
      <c r="B8153" s="12">
        <f>IFERROR(__xludf.DUMMYFUNCTION("""COMPUTED_VALUE"""),45205.0)</f>
        <v>45205</v>
      </c>
      <c r="C8153" s="13">
        <f>IFERROR(__xludf.DUMMYFUNCTION("""COMPUTED_VALUE"""),0.7083333333333334)</f>
        <v>0.7083333333</v>
      </c>
      <c r="D8153" s="8">
        <f>IFERROR(__xludf.DUMMYFUNCTION("""COMPUTED_VALUE"""),0.11)</f>
        <v>0.11</v>
      </c>
      <c r="E8153" s="8" t="str">
        <f>IFERROR(__xludf.DUMMYFUNCTION("""COMPUTED_VALUE"""),"Real")</f>
        <v>Real</v>
      </c>
      <c r="G8153" s="8">
        <f t="shared" si="1"/>
        <v>10</v>
      </c>
      <c r="H8153" s="14">
        <f t="shared" si="2"/>
        <v>6</v>
      </c>
      <c r="I8153" s="15">
        <f t="shared" si="3"/>
        <v>17</v>
      </c>
    </row>
    <row r="8154">
      <c r="A8154" s="8" t="str">
        <f>IFERROR(__xludf.DUMMYFUNCTION("IF('(INGESTA)Datos_consumo_datadis'!A8154&lt;&gt;"""",SPLIT('(INGESTA)Datos_consumo_datadis'!A:A,"",""),"""")"),"ES0031408323131005HX0F")</f>
        <v>ES0031408323131005HX0F</v>
      </c>
      <c r="B8154" s="12">
        <f>IFERROR(__xludf.DUMMYFUNCTION("""COMPUTED_VALUE"""),45205.0)</f>
        <v>45205</v>
      </c>
      <c r="C8154" s="13">
        <f>IFERROR(__xludf.DUMMYFUNCTION("""COMPUTED_VALUE"""),0.75)</f>
        <v>0.75</v>
      </c>
      <c r="D8154" s="8">
        <f>IFERROR(__xludf.DUMMYFUNCTION("""COMPUTED_VALUE"""),0.072)</f>
        <v>0.072</v>
      </c>
      <c r="E8154" s="8" t="str">
        <f>IFERROR(__xludf.DUMMYFUNCTION("""COMPUTED_VALUE"""),"Real")</f>
        <v>Real</v>
      </c>
      <c r="G8154" s="8">
        <f t="shared" si="1"/>
        <v>10</v>
      </c>
      <c r="H8154" s="14">
        <f t="shared" si="2"/>
        <v>6</v>
      </c>
      <c r="I8154" s="15">
        <f t="shared" si="3"/>
        <v>18</v>
      </c>
    </row>
    <row r="8155">
      <c r="A8155" s="8" t="str">
        <f>IFERROR(__xludf.DUMMYFUNCTION("IF('(INGESTA)Datos_consumo_datadis'!A8155&lt;&gt;"""",SPLIT('(INGESTA)Datos_consumo_datadis'!A:A,"",""),"""")"),"ES0031408323131005HX0F")</f>
        <v>ES0031408323131005HX0F</v>
      </c>
      <c r="B8155" s="12">
        <f>IFERROR(__xludf.DUMMYFUNCTION("""COMPUTED_VALUE"""),45205.0)</f>
        <v>45205</v>
      </c>
      <c r="C8155" s="13">
        <f>IFERROR(__xludf.DUMMYFUNCTION("""COMPUTED_VALUE"""),0.7916666666666666)</f>
        <v>0.7916666667</v>
      </c>
      <c r="D8155" s="8">
        <f>IFERROR(__xludf.DUMMYFUNCTION("""COMPUTED_VALUE"""),0.014)</f>
        <v>0.014</v>
      </c>
      <c r="E8155" s="8" t="str">
        <f>IFERROR(__xludf.DUMMYFUNCTION("""COMPUTED_VALUE"""),"Real")</f>
        <v>Real</v>
      </c>
      <c r="G8155" s="8">
        <f t="shared" si="1"/>
        <v>10</v>
      </c>
      <c r="H8155" s="14">
        <f t="shared" si="2"/>
        <v>6</v>
      </c>
      <c r="I8155" s="15">
        <f t="shared" si="3"/>
        <v>19</v>
      </c>
    </row>
    <row r="8156">
      <c r="A8156" s="8" t="str">
        <f>IFERROR(__xludf.DUMMYFUNCTION("IF('(INGESTA)Datos_consumo_datadis'!A8156&lt;&gt;"""",SPLIT('(INGESTA)Datos_consumo_datadis'!A:A,"",""),"""")"),"ES0031408323131005HX0F")</f>
        <v>ES0031408323131005HX0F</v>
      </c>
      <c r="B8156" s="12">
        <f>IFERROR(__xludf.DUMMYFUNCTION("""COMPUTED_VALUE"""),45205.0)</f>
        <v>45205</v>
      </c>
      <c r="C8156" s="13">
        <f>IFERROR(__xludf.DUMMYFUNCTION("""COMPUTED_VALUE"""),0.8333333333333334)</f>
        <v>0.8333333333</v>
      </c>
      <c r="D8156" s="8">
        <f>IFERROR(__xludf.DUMMYFUNCTION("""COMPUTED_VALUE"""),0.139)</f>
        <v>0.139</v>
      </c>
      <c r="E8156" s="8" t="str">
        <f>IFERROR(__xludf.DUMMYFUNCTION("""COMPUTED_VALUE"""),"Real")</f>
        <v>Real</v>
      </c>
      <c r="G8156" s="8">
        <f t="shared" si="1"/>
        <v>10</v>
      </c>
      <c r="H8156" s="14">
        <f t="shared" si="2"/>
        <v>6</v>
      </c>
      <c r="I8156" s="15">
        <f t="shared" si="3"/>
        <v>20</v>
      </c>
    </row>
    <row r="8157">
      <c r="A8157" s="8" t="str">
        <f>IFERROR(__xludf.DUMMYFUNCTION("IF('(INGESTA)Datos_consumo_datadis'!A8157&lt;&gt;"""",SPLIT('(INGESTA)Datos_consumo_datadis'!A:A,"",""),"""")"),"ES0031408323131005HX0F")</f>
        <v>ES0031408323131005HX0F</v>
      </c>
      <c r="B8157" s="12">
        <f>IFERROR(__xludf.DUMMYFUNCTION("""COMPUTED_VALUE"""),45205.0)</f>
        <v>45205</v>
      </c>
      <c r="C8157" s="13">
        <f>IFERROR(__xludf.DUMMYFUNCTION("""COMPUTED_VALUE"""),0.875)</f>
        <v>0.875</v>
      </c>
      <c r="D8157" s="8">
        <f>IFERROR(__xludf.DUMMYFUNCTION("""COMPUTED_VALUE"""),1.111)</f>
        <v>1.111</v>
      </c>
      <c r="E8157" s="8" t="str">
        <f>IFERROR(__xludf.DUMMYFUNCTION("""COMPUTED_VALUE"""),"Real")</f>
        <v>Real</v>
      </c>
      <c r="G8157" s="8">
        <f t="shared" si="1"/>
        <v>10</v>
      </c>
      <c r="H8157" s="14">
        <f t="shared" si="2"/>
        <v>6</v>
      </c>
      <c r="I8157" s="15">
        <f t="shared" si="3"/>
        <v>21</v>
      </c>
    </row>
    <row r="8158">
      <c r="A8158" s="8" t="str">
        <f>IFERROR(__xludf.DUMMYFUNCTION("IF('(INGESTA)Datos_consumo_datadis'!A8158&lt;&gt;"""",SPLIT('(INGESTA)Datos_consumo_datadis'!A:A,"",""),"""")"),"ES0031408323131005HX0F")</f>
        <v>ES0031408323131005HX0F</v>
      </c>
      <c r="B8158" s="12">
        <f>IFERROR(__xludf.DUMMYFUNCTION("""COMPUTED_VALUE"""),45205.0)</f>
        <v>45205</v>
      </c>
      <c r="C8158" s="13">
        <f>IFERROR(__xludf.DUMMYFUNCTION("""COMPUTED_VALUE"""),0.9166666666666666)</f>
        <v>0.9166666667</v>
      </c>
      <c r="D8158" s="8">
        <f>IFERROR(__xludf.DUMMYFUNCTION("""COMPUTED_VALUE"""),0.178)</f>
        <v>0.178</v>
      </c>
      <c r="E8158" s="8" t="str">
        <f>IFERROR(__xludf.DUMMYFUNCTION("""COMPUTED_VALUE"""),"Real")</f>
        <v>Real</v>
      </c>
      <c r="G8158" s="8">
        <f t="shared" si="1"/>
        <v>10</v>
      </c>
      <c r="H8158" s="14">
        <f t="shared" si="2"/>
        <v>6</v>
      </c>
      <c r="I8158" s="15">
        <f t="shared" si="3"/>
        <v>22</v>
      </c>
    </row>
    <row r="8159">
      <c r="A8159" s="8" t="str">
        <f>IFERROR(__xludf.DUMMYFUNCTION("IF('(INGESTA)Datos_consumo_datadis'!A8159&lt;&gt;"""",SPLIT('(INGESTA)Datos_consumo_datadis'!A:A,"",""),"""")"),"ES0031408323131005HX0F")</f>
        <v>ES0031408323131005HX0F</v>
      </c>
      <c r="B8159" s="12">
        <f>IFERROR(__xludf.DUMMYFUNCTION("""COMPUTED_VALUE"""),45205.0)</f>
        <v>45205</v>
      </c>
      <c r="C8159" s="13">
        <f>IFERROR(__xludf.DUMMYFUNCTION("""COMPUTED_VALUE"""),0.9583333333333334)</f>
        <v>0.9583333333</v>
      </c>
      <c r="D8159" s="8">
        <f>IFERROR(__xludf.DUMMYFUNCTION("""COMPUTED_VALUE"""),0.11)</f>
        <v>0.11</v>
      </c>
      <c r="E8159" s="8" t="str">
        <f>IFERROR(__xludf.DUMMYFUNCTION("""COMPUTED_VALUE"""),"Real")</f>
        <v>Real</v>
      </c>
      <c r="G8159" s="8">
        <f t="shared" si="1"/>
        <v>10</v>
      </c>
      <c r="H8159" s="14">
        <f t="shared" si="2"/>
        <v>6</v>
      </c>
      <c r="I8159" s="15">
        <f t="shared" si="3"/>
        <v>23</v>
      </c>
    </row>
    <row r="8160">
      <c r="A8160" s="8" t="str">
        <f>IFERROR(__xludf.DUMMYFUNCTION("IF('(INGESTA)Datos_consumo_datadis'!A8160&lt;&gt;"""",SPLIT('(INGESTA)Datos_consumo_datadis'!A:A,"",""),"""")"),"ES0031408323131005HX0F")</f>
        <v>ES0031408323131005HX0F</v>
      </c>
      <c r="B8160" s="12">
        <f>IFERROR(__xludf.DUMMYFUNCTION("""COMPUTED_VALUE"""),45205.0)</f>
        <v>45205</v>
      </c>
      <c r="C8160" s="16">
        <f>IFERROR(__xludf.DUMMYFUNCTION("""COMPUTED_VALUE"""),1.0)</f>
        <v>1</v>
      </c>
      <c r="D8160" s="8">
        <f>IFERROR(__xludf.DUMMYFUNCTION("""COMPUTED_VALUE"""),0.108)</f>
        <v>0.108</v>
      </c>
      <c r="E8160" s="8" t="str">
        <f>IFERROR(__xludf.DUMMYFUNCTION("""COMPUTED_VALUE"""),"Real")</f>
        <v>Real</v>
      </c>
      <c r="G8160" s="8">
        <f t="shared" si="1"/>
        <v>10</v>
      </c>
      <c r="H8160" s="14">
        <f t="shared" si="2"/>
        <v>6</v>
      </c>
      <c r="I8160" s="15">
        <f t="shared" si="3"/>
        <v>0</v>
      </c>
    </row>
    <row r="8161">
      <c r="A8161" s="8" t="str">
        <f>IFERROR(__xludf.DUMMYFUNCTION("IF('(INGESTA)Datos_consumo_datadis'!A8161&lt;&gt;"""",SPLIT('(INGESTA)Datos_consumo_datadis'!A:A,"",""),"""")"),"ES0031408323131005HX0F")</f>
        <v>ES0031408323131005HX0F</v>
      </c>
      <c r="B8161" s="12">
        <f>IFERROR(__xludf.DUMMYFUNCTION("""COMPUTED_VALUE"""),45206.0)</f>
        <v>45206</v>
      </c>
      <c r="C8161" s="13">
        <f>IFERROR(__xludf.DUMMYFUNCTION("""COMPUTED_VALUE"""),0.041666666666666664)</f>
        <v>0.04166666667</v>
      </c>
      <c r="D8161" s="8">
        <f>IFERROR(__xludf.DUMMYFUNCTION("""COMPUTED_VALUE"""),0.118)</f>
        <v>0.118</v>
      </c>
      <c r="E8161" s="8" t="str">
        <f>IFERROR(__xludf.DUMMYFUNCTION("""COMPUTED_VALUE"""),"Real")</f>
        <v>Real</v>
      </c>
      <c r="G8161" s="8">
        <f t="shared" si="1"/>
        <v>10</v>
      </c>
      <c r="H8161" s="14">
        <f t="shared" si="2"/>
        <v>7</v>
      </c>
      <c r="I8161" s="15">
        <f t="shared" si="3"/>
        <v>1</v>
      </c>
    </row>
    <row r="8162">
      <c r="A8162" s="8" t="str">
        <f>IFERROR(__xludf.DUMMYFUNCTION("IF('(INGESTA)Datos_consumo_datadis'!A8162&lt;&gt;"""",SPLIT('(INGESTA)Datos_consumo_datadis'!A:A,"",""),"""")"),"ES0031408323131005HX0F")</f>
        <v>ES0031408323131005HX0F</v>
      </c>
      <c r="B8162" s="12">
        <f>IFERROR(__xludf.DUMMYFUNCTION("""COMPUTED_VALUE"""),45206.0)</f>
        <v>45206</v>
      </c>
      <c r="C8162" s="13">
        <f>IFERROR(__xludf.DUMMYFUNCTION("""COMPUTED_VALUE"""),0.08333333333333333)</f>
        <v>0.08333333333</v>
      </c>
      <c r="D8162" s="8">
        <f>IFERROR(__xludf.DUMMYFUNCTION("""COMPUTED_VALUE"""),0.125)</f>
        <v>0.125</v>
      </c>
      <c r="E8162" s="8" t="str">
        <f>IFERROR(__xludf.DUMMYFUNCTION("""COMPUTED_VALUE"""),"Real")</f>
        <v>Real</v>
      </c>
      <c r="G8162" s="8">
        <f t="shared" si="1"/>
        <v>10</v>
      </c>
      <c r="H8162" s="14">
        <f t="shared" si="2"/>
        <v>7</v>
      </c>
      <c r="I8162" s="15">
        <f t="shared" si="3"/>
        <v>2</v>
      </c>
    </row>
    <row r="8163">
      <c r="A8163" s="8" t="str">
        <f>IFERROR(__xludf.DUMMYFUNCTION("IF('(INGESTA)Datos_consumo_datadis'!A8163&lt;&gt;"""",SPLIT('(INGESTA)Datos_consumo_datadis'!A:A,"",""),"""")"),"ES0031408323131005HX0F")</f>
        <v>ES0031408323131005HX0F</v>
      </c>
      <c r="B8163" s="12">
        <f>IFERROR(__xludf.DUMMYFUNCTION("""COMPUTED_VALUE"""),45206.0)</f>
        <v>45206</v>
      </c>
      <c r="C8163" s="13">
        <f>IFERROR(__xludf.DUMMYFUNCTION("""COMPUTED_VALUE"""),0.125)</f>
        <v>0.125</v>
      </c>
      <c r="D8163" s="8">
        <f>IFERROR(__xludf.DUMMYFUNCTION("""COMPUTED_VALUE"""),0.457)</f>
        <v>0.457</v>
      </c>
      <c r="E8163" s="8" t="str">
        <f>IFERROR(__xludf.DUMMYFUNCTION("""COMPUTED_VALUE"""),"Real")</f>
        <v>Real</v>
      </c>
      <c r="G8163" s="8">
        <f t="shared" si="1"/>
        <v>10</v>
      </c>
      <c r="H8163" s="14">
        <f t="shared" si="2"/>
        <v>7</v>
      </c>
      <c r="I8163" s="15">
        <f t="shared" si="3"/>
        <v>3</v>
      </c>
    </row>
    <row r="8164">
      <c r="A8164" s="8" t="str">
        <f>IFERROR(__xludf.DUMMYFUNCTION("IF('(INGESTA)Datos_consumo_datadis'!A8164&lt;&gt;"""",SPLIT('(INGESTA)Datos_consumo_datadis'!A:A,"",""),"""")"),"ES0031408323131005HX0F")</f>
        <v>ES0031408323131005HX0F</v>
      </c>
      <c r="B8164" s="12">
        <f>IFERROR(__xludf.DUMMYFUNCTION("""COMPUTED_VALUE"""),45206.0)</f>
        <v>45206</v>
      </c>
      <c r="C8164" s="13">
        <f>IFERROR(__xludf.DUMMYFUNCTION("""COMPUTED_VALUE"""),0.16666666666666666)</f>
        <v>0.1666666667</v>
      </c>
      <c r="D8164" s="8">
        <f>IFERROR(__xludf.DUMMYFUNCTION("""COMPUTED_VALUE"""),0.127)</f>
        <v>0.127</v>
      </c>
      <c r="E8164" s="8" t="str">
        <f>IFERROR(__xludf.DUMMYFUNCTION("""COMPUTED_VALUE"""),"Real")</f>
        <v>Real</v>
      </c>
      <c r="G8164" s="8">
        <f t="shared" si="1"/>
        <v>10</v>
      </c>
      <c r="H8164" s="14">
        <f t="shared" si="2"/>
        <v>7</v>
      </c>
      <c r="I8164" s="15">
        <f t="shared" si="3"/>
        <v>4</v>
      </c>
    </row>
    <row r="8165">
      <c r="A8165" s="8" t="str">
        <f>IFERROR(__xludf.DUMMYFUNCTION("IF('(INGESTA)Datos_consumo_datadis'!A8165&lt;&gt;"""",SPLIT('(INGESTA)Datos_consumo_datadis'!A:A,"",""),"""")"),"ES0031408323131005HX0F")</f>
        <v>ES0031408323131005HX0F</v>
      </c>
      <c r="B8165" s="12">
        <f>IFERROR(__xludf.DUMMYFUNCTION("""COMPUTED_VALUE"""),45206.0)</f>
        <v>45206</v>
      </c>
      <c r="C8165" s="13">
        <f>IFERROR(__xludf.DUMMYFUNCTION("""COMPUTED_VALUE"""),0.20833333333333334)</f>
        <v>0.2083333333</v>
      </c>
      <c r="D8165" s="8">
        <f>IFERROR(__xludf.DUMMYFUNCTION("""COMPUTED_VALUE"""),0.015)</f>
        <v>0.015</v>
      </c>
      <c r="E8165" s="8" t="str">
        <f>IFERROR(__xludf.DUMMYFUNCTION("""COMPUTED_VALUE"""),"Real")</f>
        <v>Real</v>
      </c>
      <c r="G8165" s="8">
        <f t="shared" si="1"/>
        <v>10</v>
      </c>
      <c r="H8165" s="14">
        <f t="shared" si="2"/>
        <v>7</v>
      </c>
      <c r="I8165" s="15">
        <f t="shared" si="3"/>
        <v>5</v>
      </c>
    </row>
    <row r="8166">
      <c r="A8166" s="8" t="str">
        <f>IFERROR(__xludf.DUMMYFUNCTION("IF('(INGESTA)Datos_consumo_datadis'!A8166&lt;&gt;"""",SPLIT('(INGESTA)Datos_consumo_datadis'!A:A,"",""),"""")"),"ES0031408323131005HX0F")</f>
        <v>ES0031408323131005HX0F</v>
      </c>
      <c r="B8166" s="12">
        <f>IFERROR(__xludf.DUMMYFUNCTION("""COMPUTED_VALUE"""),45206.0)</f>
        <v>45206</v>
      </c>
      <c r="C8166" s="13">
        <f>IFERROR(__xludf.DUMMYFUNCTION("""COMPUTED_VALUE"""),0.25)</f>
        <v>0.25</v>
      </c>
      <c r="D8166" s="8">
        <f>IFERROR(__xludf.DUMMYFUNCTION("""COMPUTED_VALUE"""),0.123)</f>
        <v>0.123</v>
      </c>
      <c r="E8166" s="8" t="str">
        <f>IFERROR(__xludf.DUMMYFUNCTION("""COMPUTED_VALUE"""),"Real")</f>
        <v>Real</v>
      </c>
      <c r="G8166" s="8">
        <f t="shared" si="1"/>
        <v>10</v>
      </c>
      <c r="H8166" s="14">
        <f t="shared" si="2"/>
        <v>7</v>
      </c>
      <c r="I8166" s="15">
        <f t="shared" si="3"/>
        <v>6</v>
      </c>
    </row>
    <row r="8167">
      <c r="A8167" s="8" t="str">
        <f>IFERROR(__xludf.DUMMYFUNCTION("IF('(INGESTA)Datos_consumo_datadis'!A8167&lt;&gt;"""",SPLIT('(INGESTA)Datos_consumo_datadis'!A:A,"",""),"""")"),"ES0031408323131005HX0F")</f>
        <v>ES0031408323131005HX0F</v>
      </c>
      <c r="B8167" s="12">
        <f>IFERROR(__xludf.DUMMYFUNCTION("""COMPUTED_VALUE"""),45206.0)</f>
        <v>45206</v>
      </c>
      <c r="C8167" s="13">
        <f>IFERROR(__xludf.DUMMYFUNCTION("""COMPUTED_VALUE"""),0.2916666666666667)</f>
        <v>0.2916666667</v>
      </c>
      <c r="D8167" s="8">
        <f>IFERROR(__xludf.DUMMYFUNCTION("""COMPUTED_VALUE"""),0.118)</f>
        <v>0.118</v>
      </c>
      <c r="E8167" s="8" t="str">
        <f>IFERROR(__xludf.DUMMYFUNCTION("""COMPUTED_VALUE"""),"Real")</f>
        <v>Real</v>
      </c>
      <c r="G8167" s="8">
        <f t="shared" si="1"/>
        <v>10</v>
      </c>
      <c r="H8167" s="14">
        <f t="shared" si="2"/>
        <v>7</v>
      </c>
      <c r="I8167" s="15">
        <f t="shared" si="3"/>
        <v>7</v>
      </c>
    </row>
    <row r="8168">
      <c r="A8168" s="8" t="str">
        <f>IFERROR(__xludf.DUMMYFUNCTION("IF('(INGESTA)Datos_consumo_datadis'!A8168&lt;&gt;"""",SPLIT('(INGESTA)Datos_consumo_datadis'!A:A,"",""),"""")"),"ES0031408323131005HX0F")</f>
        <v>ES0031408323131005HX0F</v>
      </c>
      <c r="B8168" s="12">
        <f>IFERROR(__xludf.DUMMYFUNCTION("""COMPUTED_VALUE"""),45206.0)</f>
        <v>45206</v>
      </c>
      <c r="C8168" s="13">
        <f>IFERROR(__xludf.DUMMYFUNCTION("""COMPUTED_VALUE"""),0.3333333333333333)</f>
        <v>0.3333333333</v>
      </c>
      <c r="D8168" s="8">
        <f>IFERROR(__xludf.DUMMYFUNCTION("""COMPUTED_VALUE"""),0.086)</f>
        <v>0.086</v>
      </c>
      <c r="E8168" s="8" t="str">
        <f>IFERROR(__xludf.DUMMYFUNCTION("""COMPUTED_VALUE"""),"Real")</f>
        <v>Real</v>
      </c>
      <c r="G8168" s="8">
        <f t="shared" si="1"/>
        <v>10</v>
      </c>
      <c r="H8168" s="14">
        <f t="shared" si="2"/>
        <v>7</v>
      </c>
      <c r="I8168" s="15">
        <f t="shared" si="3"/>
        <v>8</v>
      </c>
    </row>
    <row r="8169">
      <c r="A8169" s="8" t="str">
        <f>IFERROR(__xludf.DUMMYFUNCTION("IF('(INGESTA)Datos_consumo_datadis'!A8169&lt;&gt;"""",SPLIT('(INGESTA)Datos_consumo_datadis'!A:A,"",""),"""")"),"ES0031408323131005HX0F")</f>
        <v>ES0031408323131005HX0F</v>
      </c>
      <c r="B8169" s="12">
        <f>IFERROR(__xludf.DUMMYFUNCTION("""COMPUTED_VALUE"""),45206.0)</f>
        <v>45206</v>
      </c>
      <c r="C8169" s="13">
        <f>IFERROR(__xludf.DUMMYFUNCTION("""COMPUTED_VALUE"""),0.375)</f>
        <v>0.375</v>
      </c>
      <c r="D8169" s="8">
        <f>IFERROR(__xludf.DUMMYFUNCTION("""COMPUTED_VALUE"""),0.061)</f>
        <v>0.061</v>
      </c>
      <c r="E8169" s="8" t="str">
        <f>IFERROR(__xludf.DUMMYFUNCTION("""COMPUTED_VALUE"""),"Real")</f>
        <v>Real</v>
      </c>
      <c r="G8169" s="8">
        <f t="shared" si="1"/>
        <v>10</v>
      </c>
      <c r="H8169" s="14">
        <f t="shared" si="2"/>
        <v>7</v>
      </c>
      <c r="I8169" s="15">
        <f t="shared" si="3"/>
        <v>9</v>
      </c>
    </row>
    <row r="8170">
      <c r="A8170" s="8" t="str">
        <f>IFERROR(__xludf.DUMMYFUNCTION("IF('(INGESTA)Datos_consumo_datadis'!A8170&lt;&gt;"""",SPLIT('(INGESTA)Datos_consumo_datadis'!A:A,"",""),"""")"),"ES0031408323131005HX0F")</f>
        <v>ES0031408323131005HX0F</v>
      </c>
      <c r="B8170" s="12">
        <f>IFERROR(__xludf.DUMMYFUNCTION("""COMPUTED_VALUE"""),45206.0)</f>
        <v>45206</v>
      </c>
      <c r="C8170" s="13">
        <f>IFERROR(__xludf.DUMMYFUNCTION("""COMPUTED_VALUE"""),0.4166666666666667)</f>
        <v>0.4166666667</v>
      </c>
      <c r="D8170" s="8">
        <f>IFERROR(__xludf.DUMMYFUNCTION("""COMPUTED_VALUE"""),0.072)</f>
        <v>0.072</v>
      </c>
      <c r="E8170" s="8" t="str">
        <f>IFERROR(__xludf.DUMMYFUNCTION("""COMPUTED_VALUE"""),"Real")</f>
        <v>Real</v>
      </c>
      <c r="G8170" s="8">
        <f t="shared" si="1"/>
        <v>10</v>
      </c>
      <c r="H8170" s="14">
        <f t="shared" si="2"/>
        <v>7</v>
      </c>
      <c r="I8170" s="15">
        <f t="shared" si="3"/>
        <v>10</v>
      </c>
    </row>
    <row r="8171">
      <c r="A8171" s="8" t="str">
        <f>IFERROR(__xludf.DUMMYFUNCTION("IF('(INGESTA)Datos_consumo_datadis'!A8171&lt;&gt;"""",SPLIT('(INGESTA)Datos_consumo_datadis'!A:A,"",""),"""")"),"ES0031408323131005HX0F")</f>
        <v>ES0031408323131005HX0F</v>
      </c>
      <c r="B8171" s="12">
        <f>IFERROR(__xludf.DUMMYFUNCTION("""COMPUTED_VALUE"""),45206.0)</f>
        <v>45206</v>
      </c>
      <c r="C8171" s="13">
        <f>IFERROR(__xludf.DUMMYFUNCTION("""COMPUTED_VALUE"""),0.4583333333333333)</f>
        <v>0.4583333333</v>
      </c>
      <c r="D8171" s="8">
        <f>IFERROR(__xludf.DUMMYFUNCTION("""COMPUTED_VALUE"""),0.084)</f>
        <v>0.084</v>
      </c>
      <c r="E8171" s="8" t="str">
        <f>IFERROR(__xludf.DUMMYFUNCTION("""COMPUTED_VALUE"""),"Real")</f>
        <v>Real</v>
      </c>
      <c r="G8171" s="8">
        <f t="shared" si="1"/>
        <v>10</v>
      </c>
      <c r="H8171" s="14">
        <f t="shared" si="2"/>
        <v>7</v>
      </c>
      <c r="I8171" s="15">
        <f t="shared" si="3"/>
        <v>11</v>
      </c>
    </row>
    <row r="8172">
      <c r="A8172" s="8" t="str">
        <f>IFERROR(__xludf.DUMMYFUNCTION("IF('(INGESTA)Datos_consumo_datadis'!A8172&lt;&gt;"""",SPLIT('(INGESTA)Datos_consumo_datadis'!A:A,"",""),"""")"),"ES0031408323131005HX0F")</f>
        <v>ES0031408323131005HX0F</v>
      </c>
      <c r="B8172" s="12">
        <f>IFERROR(__xludf.DUMMYFUNCTION("""COMPUTED_VALUE"""),45206.0)</f>
        <v>45206</v>
      </c>
      <c r="C8172" s="13">
        <f>IFERROR(__xludf.DUMMYFUNCTION("""COMPUTED_VALUE"""),0.5)</f>
        <v>0.5</v>
      </c>
      <c r="D8172" s="8">
        <f>IFERROR(__xludf.DUMMYFUNCTION("""COMPUTED_VALUE"""),0.06)</f>
        <v>0.06</v>
      </c>
      <c r="E8172" s="8" t="str">
        <f>IFERROR(__xludf.DUMMYFUNCTION("""COMPUTED_VALUE"""),"Real")</f>
        <v>Real</v>
      </c>
      <c r="G8172" s="8">
        <f t="shared" si="1"/>
        <v>10</v>
      </c>
      <c r="H8172" s="14">
        <f t="shared" si="2"/>
        <v>7</v>
      </c>
      <c r="I8172" s="15">
        <f t="shared" si="3"/>
        <v>12</v>
      </c>
    </row>
    <row r="8173">
      <c r="A8173" s="8" t="str">
        <f>IFERROR(__xludf.DUMMYFUNCTION("IF('(INGESTA)Datos_consumo_datadis'!A8173&lt;&gt;"""",SPLIT('(INGESTA)Datos_consumo_datadis'!A:A,"",""),"""")"),"ES0031408323131005HX0F")</f>
        <v>ES0031408323131005HX0F</v>
      </c>
      <c r="B8173" s="12">
        <f>IFERROR(__xludf.DUMMYFUNCTION("""COMPUTED_VALUE"""),45206.0)</f>
        <v>45206</v>
      </c>
      <c r="C8173" s="13">
        <f>IFERROR(__xludf.DUMMYFUNCTION("""COMPUTED_VALUE"""),0.5416666666666666)</f>
        <v>0.5416666667</v>
      </c>
      <c r="D8173" s="8">
        <f>IFERROR(__xludf.DUMMYFUNCTION("""COMPUTED_VALUE"""),0.224)</f>
        <v>0.224</v>
      </c>
      <c r="E8173" s="8" t="str">
        <f>IFERROR(__xludf.DUMMYFUNCTION("""COMPUTED_VALUE"""),"Real")</f>
        <v>Real</v>
      </c>
      <c r="G8173" s="8">
        <f t="shared" si="1"/>
        <v>10</v>
      </c>
      <c r="H8173" s="14">
        <f t="shared" si="2"/>
        <v>7</v>
      </c>
      <c r="I8173" s="15">
        <f t="shared" si="3"/>
        <v>13</v>
      </c>
    </row>
    <row r="8174">
      <c r="A8174" s="8" t="str">
        <f>IFERROR(__xludf.DUMMYFUNCTION("IF('(INGESTA)Datos_consumo_datadis'!A8174&lt;&gt;"""",SPLIT('(INGESTA)Datos_consumo_datadis'!A:A,"",""),"""")"),"ES0031408323131005HX0F")</f>
        <v>ES0031408323131005HX0F</v>
      </c>
      <c r="B8174" s="12">
        <f>IFERROR(__xludf.DUMMYFUNCTION("""COMPUTED_VALUE"""),45206.0)</f>
        <v>45206</v>
      </c>
      <c r="C8174" s="13">
        <f>IFERROR(__xludf.DUMMYFUNCTION("""COMPUTED_VALUE"""),0.5833333333333334)</f>
        <v>0.5833333333</v>
      </c>
      <c r="D8174" s="8">
        <f>IFERROR(__xludf.DUMMYFUNCTION("""COMPUTED_VALUE"""),0.265)</f>
        <v>0.265</v>
      </c>
      <c r="E8174" s="8" t="str">
        <f>IFERROR(__xludf.DUMMYFUNCTION("""COMPUTED_VALUE"""),"Real")</f>
        <v>Real</v>
      </c>
      <c r="G8174" s="8">
        <f t="shared" si="1"/>
        <v>10</v>
      </c>
      <c r="H8174" s="14">
        <f t="shared" si="2"/>
        <v>7</v>
      </c>
      <c r="I8174" s="15">
        <f t="shared" si="3"/>
        <v>14</v>
      </c>
    </row>
    <row r="8175">
      <c r="A8175" s="8" t="str">
        <f>IFERROR(__xludf.DUMMYFUNCTION("IF('(INGESTA)Datos_consumo_datadis'!A8175&lt;&gt;"""",SPLIT('(INGESTA)Datos_consumo_datadis'!A:A,"",""),"""")"),"ES0031408323131005HX0F")</f>
        <v>ES0031408323131005HX0F</v>
      </c>
      <c r="B8175" s="12">
        <f>IFERROR(__xludf.DUMMYFUNCTION("""COMPUTED_VALUE"""),45206.0)</f>
        <v>45206</v>
      </c>
      <c r="C8175" s="13">
        <f>IFERROR(__xludf.DUMMYFUNCTION("""COMPUTED_VALUE"""),0.625)</f>
        <v>0.625</v>
      </c>
      <c r="D8175" s="8">
        <f>IFERROR(__xludf.DUMMYFUNCTION("""COMPUTED_VALUE"""),0.066)</f>
        <v>0.066</v>
      </c>
      <c r="E8175" s="8" t="str">
        <f>IFERROR(__xludf.DUMMYFUNCTION("""COMPUTED_VALUE"""),"Real")</f>
        <v>Real</v>
      </c>
      <c r="G8175" s="8">
        <f t="shared" si="1"/>
        <v>10</v>
      </c>
      <c r="H8175" s="14">
        <f t="shared" si="2"/>
        <v>7</v>
      </c>
      <c r="I8175" s="15">
        <f t="shared" si="3"/>
        <v>15</v>
      </c>
    </row>
    <row r="8176">
      <c r="A8176" s="8" t="str">
        <f>IFERROR(__xludf.DUMMYFUNCTION("IF('(INGESTA)Datos_consumo_datadis'!A8176&lt;&gt;"""",SPLIT('(INGESTA)Datos_consumo_datadis'!A:A,"",""),"""")"),"ES0031408323131005HX0F")</f>
        <v>ES0031408323131005HX0F</v>
      </c>
      <c r="B8176" s="12">
        <f>IFERROR(__xludf.DUMMYFUNCTION("""COMPUTED_VALUE"""),45206.0)</f>
        <v>45206</v>
      </c>
      <c r="C8176" s="13">
        <f>IFERROR(__xludf.DUMMYFUNCTION("""COMPUTED_VALUE"""),0.6666666666666666)</f>
        <v>0.6666666667</v>
      </c>
      <c r="D8176" s="8">
        <f>IFERROR(__xludf.DUMMYFUNCTION("""COMPUTED_VALUE"""),0.042)</f>
        <v>0.042</v>
      </c>
      <c r="E8176" s="8" t="str">
        <f>IFERROR(__xludf.DUMMYFUNCTION("""COMPUTED_VALUE"""),"Real")</f>
        <v>Real</v>
      </c>
      <c r="G8176" s="8">
        <f t="shared" si="1"/>
        <v>10</v>
      </c>
      <c r="H8176" s="14">
        <f t="shared" si="2"/>
        <v>7</v>
      </c>
      <c r="I8176" s="15">
        <f t="shared" si="3"/>
        <v>16</v>
      </c>
    </row>
    <row r="8177">
      <c r="A8177" s="8" t="str">
        <f>IFERROR(__xludf.DUMMYFUNCTION("IF('(INGESTA)Datos_consumo_datadis'!A8177&lt;&gt;"""",SPLIT('(INGESTA)Datos_consumo_datadis'!A:A,"",""),"""")"),"ES0031408323131005HX0F")</f>
        <v>ES0031408323131005HX0F</v>
      </c>
      <c r="B8177" s="12">
        <f>IFERROR(__xludf.DUMMYFUNCTION("""COMPUTED_VALUE"""),45206.0)</f>
        <v>45206</v>
      </c>
      <c r="C8177" s="13">
        <f>IFERROR(__xludf.DUMMYFUNCTION("""COMPUTED_VALUE"""),0.7083333333333334)</f>
        <v>0.7083333333</v>
      </c>
      <c r="D8177" s="8">
        <f>IFERROR(__xludf.DUMMYFUNCTION("""COMPUTED_VALUE"""),0.075)</f>
        <v>0.075</v>
      </c>
      <c r="E8177" s="8" t="str">
        <f>IFERROR(__xludf.DUMMYFUNCTION("""COMPUTED_VALUE"""),"Real")</f>
        <v>Real</v>
      </c>
      <c r="G8177" s="8">
        <f t="shared" si="1"/>
        <v>10</v>
      </c>
      <c r="H8177" s="14">
        <f t="shared" si="2"/>
        <v>7</v>
      </c>
      <c r="I8177" s="15">
        <f t="shared" si="3"/>
        <v>17</v>
      </c>
    </row>
    <row r="8178">
      <c r="A8178" s="8" t="str">
        <f>IFERROR(__xludf.DUMMYFUNCTION("IF('(INGESTA)Datos_consumo_datadis'!A8178&lt;&gt;"""",SPLIT('(INGESTA)Datos_consumo_datadis'!A:A,"",""),"""")"),"ES0031408323131005HX0F")</f>
        <v>ES0031408323131005HX0F</v>
      </c>
      <c r="B8178" s="12">
        <f>IFERROR(__xludf.DUMMYFUNCTION("""COMPUTED_VALUE"""),45206.0)</f>
        <v>45206</v>
      </c>
      <c r="C8178" s="13">
        <f>IFERROR(__xludf.DUMMYFUNCTION("""COMPUTED_VALUE"""),0.75)</f>
        <v>0.75</v>
      </c>
      <c r="D8178" s="8">
        <f>IFERROR(__xludf.DUMMYFUNCTION("""COMPUTED_VALUE"""),0.086)</f>
        <v>0.086</v>
      </c>
      <c r="E8178" s="8" t="str">
        <f>IFERROR(__xludf.DUMMYFUNCTION("""COMPUTED_VALUE"""),"Real")</f>
        <v>Real</v>
      </c>
      <c r="G8178" s="8">
        <f t="shared" si="1"/>
        <v>10</v>
      </c>
      <c r="H8178" s="14">
        <f t="shared" si="2"/>
        <v>7</v>
      </c>
      <c r="I8178" s="15">
        <f t="shared" si="3"/>
        <v>18</v>
      </c>
    </row>
    <row r="8179">
      <c r="A8179" s="8" t="str">
        <f>IFERROR(__xludf.DUMMYFUNCTION("IF('(INGESTA)Datos_consumo_datadis'!A8179&lt;&gt;"""",SPLIT('(INGESTA)Datos_consumo_datadis'!A:A,"",""),"""")"),"ES0031408323131005HX0F")</f>
        <v>ES0031408323131005HX0F</v>
      </c>
      <c r="B8179" s="12">
        <f>IFERROR(__xludf.DUMMYFUNCTION("""COMPUTED_VALUE"""),45206.0)</f>
        <v>45206</v>
      </c>
      <c r="C8179" s="13">
        <f>IFERROR(__xludf.DUMMYFUNCTION("""COMPUTED_VALUE"""),0.7916666666666666)</f>
        <v>0.7916666667</v>
      </c>
      <c r="D8179" s="8">
        <f>IFERROR(__xludf.DUMMYFUNCTION("""COMPUTED_VALUE"""),0.049)</f>
        <v>0.049</v>
      </c>
      <c r="E8179" s="8" t="str">
        <f>IFERROR(__xludf.DUMMYFUNCTION("""COMPUTED_VALUE"""),"Real")</f>
        <v>Real</v>
      </c>
      <c r="G8179" s="8">
        <f t="shared" si="1"/>
        <v>10</v>
      </c>
      <c r="H8179" s="14">
        <f t="shared" si="2"/>
        <v>7</v>
      </c>
      <c r="I8179" s="15">
        <f t="shared" si="3"/>
        <v>19</v>
      </c>
    </row>
    <row r="8180">
      <c r="A8180" s="8" t="str">
        <f>IFERROR(__xludf.DUMMYFUNCTION("IF('(INGESTA)Datos_consumo_datadis'!A8180&lt;&gt;"""",SPLIT('(INGESTA)Datos_consumo_datadis'!A:A,"",""),"""")"),"ES0031408323131005HX0F")</f>
        <v>ES0031408323131005HX0F</v>
      </c>
      <c r="B8180" s="12">
        <f>IFERROR(__xludf.DUMMYFUNCTION("""COMPUTED_VALUE"""),45206.0)</f>
        <v>45206</v>
      </c>
      <c r="C8180" s="13">
        <f>IFERROR(__xludf.DUMMYFUNCTION("""COMPUTED_VALUE"""),0.8333333333333334)</f>
        <v>0.8333333333</v>
      </c>
      <c r="D8180" s="8">
        <f>IFERROR(__xludf.DUMMYFUNCTION("""COMPUTED_VALUE"""),0.083)</f>
        <v>0.083</v>
      </c>
      <c r="E8180" s="8" t="str">
        <f>IFERROR(__xludf.DUMMYFUNCTION("""COMPUTED_VALUE"""),"Real")</f>
        <v>Real</v>
      </c>
      <c r="G8180" s="8">
        <f t="shared" si="1"/>
        <v>10</v>
      </c>
      <c r="H8180" s="14">
        <f t="shared" si="2"/>
        <v>7</v>
      </c>
      <c r="I8180" s="15">
        <f t="shared" si="3"/>
        <v>20</v>
      </c>
    </row>
    <row r="8181">
      <c r="A8181" s="8" t="str">
        <f>IFERROR(__xludf.DUMMYFUNCTION("IF('(INGESTA)Datos_consumo_datadis'!A8181&lt;&gt;"""",SPLIT('(INGESTA)Datos_consumo_datadis'!A:A,"",""),"""")"),"ES0031408323131005HX0F")</f>
        <v>ES0031408323131005HX0F</v>
      </c>
      <c r="B8181" s="12">
        <f>IFERROR(__xludf.DUMMYFUNCTION("""COMPUTED_VALUE"""),45206.0)</f>
        <v>45206</v>
      </c>
      <c r="C8181" s="13">
        <f>IFERROR(__xludf.DUMMYFUNCTION("""COMPUTED_VALUE"""),0.875)</f>
        <v>0.875</v>
      </c>
      <c r="D8181" s="8">
        <f>IFERROR(__xludf.DUMMYFUNCTION("""COMPUTED_VALUE"""),0.1)</f>
        <v>0.1</v>
      </c>
      <c r="E8181" s="8" t="str">
        <f>IFERROR(__xludf.DUMMYFUNCTION("""COMPUTED_VALUE"""),"Real")</f>
        <v>Real</v>
      </c>
      <c r="G8181" s="8">
        <f t="shared" si="1"/>
        <v>10</v>
      </c>
      <c r="H8181" s="14">
        <f t="shared" si="2"/>
        <v>7</v>
      </c>
      <c r="I8181" s="15">
        <f t="shared" si="3"/>
        <v>21</v>
      </c>
    </row>
    <row r="8182">
      <c r="A8182" s="8" t="str">
        <f>IFERROR(__xludf.DUMMYFUNCTION("IF('(INGESTA)Datos_consumo_datadis'!A8182&lt;&gt;"""",SPLIT('(INGESTA)Datos_consumo_datadis'!A:A,"",""),"""")"),"ES0031408323131005HX0F")</f>
        <v>ES0031408323131005HX0F</v>
      </c>
      <c r="B8182" s="12">
        <f>IFERROR(__xludf.DUMMYFUNCTION("""COMPUTED_VALUE"""),45206.0)</f>
        <v>45206</v>
      </c>
      <c r="C8182" s="13">
        <f>IFERROR(__xludf.DUMMYFUNCTION("""COMPUTED_VALUE"""),0.9166666666666666)</f>
        <v>0.9166666667</v>
      </c>
      <c r="D8182" s="8">
        <f>IFERROR(__xludf.DUMMYFUNCTION("""COMPUTED_VALUE"""),0.347)</f>
        <v>0.347</v>
      </c>
      <c r="E8182" s="8" t="str">
        <f>IFERROR(__xludf.DUMMYFUNCTION("""COMPUTED_VALUE"""),"Real")</f>
        <v>Real</v>
      </c>
      <c r="G8182" s="8">
        <f t="shared" si="1"/>
        <v>10</v>
      </c>
      <c r="H8182" s="14">
        <f t="shared" si="2"/>
        <v>7</v>
      </c>
      <c r="I8182" s="15">
        <f t="shared" si="3"/>
        <v>22</v>
      </c>
    </row>
    <row r="8183">
      <c r="A8183" s="8" t="str">
        <f>IFERROR(__xludf.DUMMYFUNCTION("IF('(INGESTA)Datos_consumo_datadis'!A8183&lt;&gt;"""",SPLIT('(INGESTA)Datos_consumo_datadis'!A:A,"",""),"""")"),"ES0031408323131005HX0F")</f>
        <v>ES0031408323131005HX0F</v>
      </c>
      <c r="B8183" s="12">
        <f>IFERROR(__xludf.DUMMYFUNCTION("""COMPUTED_VALUE"""),45206.0)</f>
        <v>45206</v>
      </c>
      <c r="C8183" s="13">
        <f>IFERROR(__xludf.DUMMYFUNCTION("""COMPUTED_VALUE"""),0.9583333333333334)</f>
        <v>0.9583333333</v>
      </c>
      <c r="D8183" s="8">
        <f>IFERROR(__xludf.DUMMYFUNCTION("""COMPUTED_VALUE"""),0.093)</f>
        <v>0.093</v>
      </c>
      <c r="E8183" s="8" t="str">
        <f>IFERROR(__xludf.DUMMYFUNCTION("""COMPUTED_VALUE"""),"Real")</f>
        <v>Real</v>
      </c>
      <c r="G8183" s="8">
        <f t="shared" si="1"/>
        <v>10</v>
      </c>
      <c r="H8183" s="14">
        <f t="shared" si="2"/>
        <v>7</v>
      </c>
      <c r="I8183" s="15">
        <f t="shared" si="3"/>
        <v>23</v>
      </c>
    </row>
    <row r="8184">
      <c r="A8184" s="8" t="str">
        <f>IFERROR(__xludf.DUMMYFUNCTION("IF('(INGESTA)Datos_consumo_datadis'!A8184&lt;&gt;"""",SPLIT('(INGESTA)Datos_consumo_datadis'!A:A,"",""),"""")"),"ES0031408323131005HX0F")</f>
        <v>ES0031408323131005HX0F</v>
      </c>
      <c r="B8184" s="12">
        <f>IFERROR(__xludf.DUMMYFUNCTION("""COMPUTED_VALUE"""),45206.0)</f>
        <v>45206</v>
      </c>
      <c r="C8184" s="16">
        <f>IFERROR(__xludf.DUMMYFUNCTION("""COMPUTED_VALUE"""),1.0)</f>
        <v>1</v>
      </c>
      <c r="D8184" s="8">
        <f>IFERROR(__xludf.DUMMYFUNCTION("""COMPUTED_VALUE"""),0.086)</f>
        <v>0.086</v>
      </c>
      <c r="E8184" s="8" t="str">
        <f>IFERROR(__xludf.DUMMYFUNCTION("""COMPUTED_VALUE"""),"Real")</f>
        <v>Real</v>
      </c>
      <c r="G8184" s="8">
        <f t="shared" si="1"/>
        <v>10</v>
      </c>
      <c r="H8184" s="14">
        <f t="shared" si="2"/>
        <v>7</v>
      </c>
      <c r="I8184" s="15">
        <f t="shared" si="3"/>
        <v>0</v>
      </c>
    </row>
    <row r="8185">
      <c r="A8185" s="8" t="str">
        <f>IFERROR(__xludf.DUMMYFUNCTION("IF('(INGESTA)Datos_consumo_datadis'!A8185&lt;&gt;"""",SPLIT('(INGESTA)Datos_consumo_datadis'!A:A,"",""),"""")"),"ES0031408323131005HX0F")</f>
        <v>ES0031408323131005HX0F</v>
      </c>
      <c r="B8185" s="12">
        <f>IFERROR(__xludf.DUMMYFUNCTION("""COMPUTED_VALUE"""),45207.0)</f>
        <v>45207</v>
      </c>
      <c r="C8185" s="13">
        <f>IFERROR(__xludf.DUMMYFUNCTION("""COMPUTED_VALUE"""),0.041666666666666664)</f>
        <v>0.04166666667</v>
      </c>
      <c r="D8185" s="8">
        <f>IFERROR(__xludf.DUMMYFUNCTION("""COMPUTED_VALUE"""),0.036)</f>
        <v>0.036</v>
      </c>
      <c r="E8185" s="8" t="str">
        <f>IFERROR(__xludf.DUMMYFUNCTION("""COMPUTED_VALUE"""),"Real")</f>
        <v>Real</v>
      </c>
      <c r="G8185" s="8">
        <f t="shared" si="1"/>
        <v>10</v>
      </c>
      <c r="H8185" s="14">
        <f t="shared" si="2"/>
        <v>8</v>
      </c>
      <c r="I8185" s="15">
        <f t="shared" si="3"/>
        <v>1</v>
      </c>
    </row>
    <row r="8186">
      <c r="A8186" s="8" t="str">
        <f>IFERROR(__xludf.DUMMYFUNCTION("IF('(INGESTA)Datos_consumo_datadis'!A8186&lt;&gt;"""",SPLIT('(INGESTA)Datos_consumo_datadis'!A:A,"",""),"""")"),"ES0031408323131005HX0F")</f>
        <v>ES0031408323131005HX0F</v>
      </c>
      <c r="B8186" s="12">
        <f>IFERROR(__xludf.DUMMYFUNCTION("""COMPUTED_VALUE"""),45207.0)</f>
        <v>45207</v>
      </c>
      <c r="C8186" s="13">
        <f>IFERROR(__xludf.DUMMYFUNCTION("""COMPUTED_VALUE"""),0.08333333333333333)</f>
        <v>0.08333333333</v>
      </c>
      <c r="D8186" s="8">
        <f>IFERROR(__xludf.DUMMYFUNCTION("""COMPUTED_VALUE"""),0.13)</f>
        <v>0.13</v>
      </c>
      <c r="E8186" s="8" t="str">
        <f>IFERROR(__xludf.DUMMYFUNCTION("""COMPUTED_VALUE"""),"Real")</f>
        <v>Real</v>
      </c>
      <c r="G8186" s="8">
        <f t="shared" si="1"/>
        <v>10</v>
      </c>
      <c r="H8186" s="14">
        <f t="shared" si="2"/>
        <v>8</v>
      </c>
      <c r="I8186" s="15">
        <f t="shared" si="3"/>
        <v>2</v>
      </c>
    </row>
    <row r="8187">
      <c r="A8187" s="8" t="str">
        <f>IFERROR(__xludf.DUMMYFUNCTION("IF('(INGESTA)Datos_consumo_datadis'!A8187&lt;&gt;"""",SPLIT('(INGESTA)Datos_consumo_datadis'!A:A,"",""),"""")"),"ES0031408323131005HX0F")</f>
        <v>ES0031408323131005HX0F</v>
      </c>
      <c r="B8187" s="12">
        <f>IFERROR(__xludf.DUMMYFUNCTION("""COMPUTED_VALUE"""),45207.0)</f>
        <v>45207</v>
      </c>
      <c r="C8187" s="13">
        <f>IFERROR(__xludf.DUMMYFUNCTION("""COMPUTED_VALUE"""),0.125)</f>
        <v>0.125</v>
      </c>
      <c r="D8187" s="8">
        <f>IFERROR(__xludf.DUMMYFUNCTION("""COMPUTED_VALUE"""),0.149)</f>
        <v>0.149</v>
      </c>
      <c r="E8187" s="8" t="str">
        <f>IFERROR(__xludf.DUMMYFUNCTION("""COMPUTED_VALUE"""),"Real")</f>
        <v>Real</v>
      </c>
      <c r="G8187" s="8">
        <f t="shared" si="1"/>
        <v>10</v>
      </c>
      <c r="H8187" s="14">
        <f t="shared" si="2"/>
        <v>8</v>
      </c>
      <c r="I8187" s="15">
        <f t="shared" si="3"/>
        <v>3</v>
      </c>
    </row>
    <row r="8188">
      <c r="A8188" s="8" t="str">
        <f>IFERROR(__xludf.DUMMYFUNCTION("IF('(INGESTA)Datos_consumo_datadis'!A8188&lt;&gt;"""",SPLIT('(INGESTA)Datos_consumo_datadis'!A:A,"",""),"""")"),"ES0031408323131005HX0F")</f>
        <v>ES0031408323131005HX0F</v>
      </c>
      <c r="B8188" s="12">
        <f>IFERROR(__xludf.DUMMYFUNCTION("""COMPUTED_VALUE"""),45207.0)</f>
        <v>45207</v>
      </c>
      <c r="C8188" s="13">
        <f>IFERROR(__xludf.DUMMYFUNCTION("""COMPUTED_VALUE"""),0.16666666666666666)</f>
        <v>0.1666666667</v>
      </c>
      <c r="D8188" s="8">
        <f>IFERROR(__xludf.DUMMYFUNCTION("""COMPUTED_VALUE"""),0.108)</f>
        <v>0.108</v>
      </c>
      <c r="E8188" s="8" t="str">
        <f>IFERROR(__xludf.DUMMYFUNCTION("""COMPUTED_VALUE"""),"Real")</f>
        <v>Real</v>
      </c>
      <c r="G8188" s="8">
        <f t="shared" si="1"/>
        <v>10</v>
      </c>
      <c r="H8188" s="14">
        <f t="shared" si="2"/>
        <v>8</v>
      </c>
      <c r="I8188" s="15">
        <f t="shared" si="3"/>
        <v>4</v>
      </c>
    </row>
    <row r="8189">
      <c r="A8189" s="8" t="str">
        <f>IFERROR(__xludf.DUMMYFUNCTION("IF('(INGESTA)Datos_consumo_datadis'!A8189&lt;&gt;"""",SPLIT('(INGESTA)Datos_consumo_datadis'!A:A,"",""),"""")"),"ES0031408323131005HX0F")</f>
        <v>ES0031408323131005HX0F</v>
      </c>
      <c r="B8189" s="12">
        <f>IFERROR(__xludf.DUMMYFUNCTION("""COMPUTED_VALUE"""),45207.0)</f>
        <v>45207</v>
      </c>
      <c r="C8189" s="13">
        <f>IFERROR(__xludf.DUMMYFUNCTION("""COMPUTED_VALUE"""),0.20833333333333334)</f>
        <v>0.2083333333</v>
      </c>
      <c r="D8189" s="8">
        <f>IFERROR(__xludf.DUMMYFUNCTION("""COMPUTED_VALUE"""),0.127)</f>
        <v>0.127</v>
      </c>
      <c r="E8189" s="8" t="str">
        <f>IFERROR(__xludf.DUMMYFUNCTION("""COMPUTED_VALUE"""),"Real")</f>
        <v>Real</v>
      </c>
      <c r="G8189" s="8">
        <f t="shared" si="1"/>
        <v>10</v>
      </c>
      <c r="H8189" s="14">
        <f t="shared" si="2"/>
        <v>8</v>
      </c>
      <c r="I8189" s="15">
        <f t="shared" si="3"/>
        <v>5</v>
      </c>
    </row>
    <row r="8190">
      <c r="A8190" s="8" t="str">
        <f>IFERROR(__xludf.DUMMYFUNCTION("IF('(INGESTA)Datos_consumo_datadis'!A8190&lt;&gt;"""",SPLIT('(INGESTA)Datos_consumo_datadis'!A:A,"",""),"""")"),"ES0031408323131005HX0F")</f>
        <v>ES0031408323131005HX0F</v>
      </c>
      <c r="B8190" s="12">
        <f>IFERROR(__xludf.DUMMYFUNCTION("""COMPUTED_VALUE"""),45207.0)</f>
        <v>45207</v>
      </c>
      <c r="C8190" s="13">
        <f>IFERROR(__xludf.DUMMYFUNCTION("""COMPUTED_VALUE"""),0.25)</f>
        <v>0.25</v>
      </c>
      <c r="D8190" s="8">
        <f>IFERROR(__xludf.DUMMYFUNCTION("""COMPUTED_VALUE"""),0.345)</f>
        <v>0.345</v>
      </c>
      <c r="E8190" s="8" t="str">
        <f>IFERROR(__xludf.DUMMYFUNCTION("""COMPUTED_VALUE"""),"Real")</f>
        <v>Real</v>
      </c>
      <c r="G8190" s="8">
        <f t="shared" si="1"/>
        <v>10</v>
      </c>
      <c r="H8190" s="14">
        <f t="shared" si="2"/>
        <v>8</v>
      </c>
      <c r="I8190" s="15">
        <f t="shared" si="3"/>
        <v>6</v>
      </c>
    </row>
    <row r="8191">
      <c r="A8191" s="8" t="str">
        <f>IFERROR(__xludf.DUMMYFUNCTION("IF('(INGESTA)Datos_consumo_datadis'!A8191&lt;&gt;"""",SPLIT('(INGESTA)Datos_consumo_datadis'!A:A,"",""),"""")"),"ES0031408323131005HX0F")</f>
        <v>ES0031408323131005HX0F</v>
      </c>
      <c r="B8191" s="12">
        <f>IFERROR(__xludf.DUMMYFUNCTION("""COMPUTED_VALUE"""),45207.0)</f>
        <v>45207</v>
      </c>
      <c r="C8191" s="13">
        <f>IFERROR(__xludf.DUMMYFUNCTION("""COMPUTED_VALUE"""),0.2916666666666667)</f>
        <v>0.2916666667</v>
      </c>
      <c r="D8191" s="8">
        <f>IFERROR(__xludf.DUMMYFUNCTION("""COMPUTED_VALUE"""),0.108)</f>
        <v>0.108</v>
      </c>
      <c r="E8191" s="8" t="str">
        <f>IFERROR(__xludf.DUMMYFUNCTION("""COMPUTED_VALUE"""),"Real")</f>
        <v>Real</v>
      </c>
      <c r="G8191" s="8">
        <f t="shared" si="1"/>
        <v>10</v>
      </c>
      <c r="H8191" s="14">
        <f t="shared" si="2"/>
        <v>8</v>
      </c>
      <c r="I8191" s="15">
        <f t="shared" si="3"/>
        <v>7</v>
      </c>
    </row>
    <row r="8192">
      <c r="A8192" s="8" t="str">
        <f>IFERROR(__xludf.DUMMYFUNCTION("IF('(INGESTA)Datos_consumo_datadis'!A8192&lt;&gt;"""",SPLIT('(INGESTA)Datos_consumo_datadis'!A:A,"",""),"""")"),"ES0031408323131005HX0F")</f>
        <v>ES0031408323131005HX0F</v>
      </c>
      <c r="B8192" s="12">
        <f>IFERROR(__xludf.DUMMYFUNCTION("""COMPUTED_VALUE"""),45207.0)</f>
        <v>45207</v>
      </c>
      <c r="C8192" s="13">
        <f>IFERROR(__xludf.DUMMYFUNCTION("""COMPUTED_VALUE"""),0.3333333333333333)</f>
        <v>0.3333333333</v>
      </c>
      <c r="D8192" s="8">
        <f>IFERROR(__xludf.DUMMYFUNCTION("""COMPUTED_VALUE"""),0.092)</f>
        <v>0.092</v>
      </c>
      <c r="E8192" s="8" t="str">
        <f>IFERROR(__xludf.DUMMYFUNCTION("""COMPUTED_VALUE"""),"Real")</f>
        <v>Real</v>
      </c>
      <c r="G8192" s="8">
        <f t="shared" si="1"/>
        <v>10</v>
      </c>
      <c r="H8192" s="14">
        <f t="shared" si="2"/>
        <v>8</v>
      </c>
      <c r="I8192" s="15">
        <f t="shared" si="3"/>
        <v>8</v>
      </c>
    </row>
    <row r="8193">
      <c r="A8193" s="8" t="str">
        <f>IFERROR(__xludf.DUMMYFUNCTION("IF('(INGESTA)Datos_consumo_datadis'!A8193&lt;&gt;"""",SPLIT('(INGESTA)Datos_consumo_datadis'!A:A,"",""),"""")"),"ES0031408323131005HX0F")</f>
        <v>ES0031408323131005HX0F</v>
      </c>
      <c r="B8193" s="12">
        <f>IFERROR(__xludf.DUMMYFUNCTION("""COMPUTED_VALUE"""),45207.0)</f>
        <v>45207</v>
      </c>
      <c r="C8193" s="13">
        <f>IFERROR(__xludf.DUMMYFUNCTION("""COMPUTED_VALUE"""),0.375)</f>
        <v>0.375</v>
      </c>
      <c r="D8193" s="8">
        <f>IFERROR(__xludf.DUMMYFUNCTION("""COMPUTED_VALUE"""),0.026)</f>
        <v>0.026</v>
      </c>
      <c r="E8193" s="8" t="str">
        <f>IFERROR(__xludf.DUMMYFUNCTION("""COMPUTED_VALUE"""),"Real")</f>
        <v>Real</v>
      </c>
      <c r="G8193" s="8">
        <f t="shared" si="1"/>
        <v>10</v>
      </c>
      <c r="H8193" s="14">
        <f t="shared" si="2"/>
        <v>8</v>
      </c>
      <c r="I8193" s="15">
        <f t="shared" si="3"/>
        <v>9</v>
      </c>
    </row>
    <row r="8194">
      <c r="A8194" s="8" t="str">
        <f>IFERROR(__xludf.DUMMYFUNCTION("IF('(INGESTA)Datos_consumo_datadis'!A8194&lt;&gt;"""",SPLIT('(INGESTA)Datos_consumo_datadis'!A:A,"",""),"""")"),"ES0031408323131005HX0F")</f>
        <v>ES0031408323131005HX0F</v>
      </c>
      <c r="B8194" s="12">
        <f>IFERROR(__xludf.DUMMYFUNCTION("""COMPUTED_VALUE"""),45207.0)</f>
        <v>45207</v>
      </c>
      <c r="C8194" s="13">
        <f>IFERROR(__xludf.DUMMYFUNCTION("""COMPUTED_VALUE"""),0.4166666666666667)</f>
        <v>0.4166666667</v>
      </c>
      <c r="D8194" s="8">
        <f>IFERROR(__xludf.DUMMYFUNCTION("""COMPUTED_VALUE"""),0.122)</f>
        <v>0.122</v>
      </c>
      <c r="E8194" s="8" t="str">
        <f>IFERROR(__xludf.DUMMYFUNCTION("""COMPUTED_VALUE"""),"Real")</f>
        <v>Real</v>
      </c>
      <c r="G8194" s="8">
        <f t="shared" si="1"/>
        <v>10</v>
      </c>
      <c r="H8194" s="14">
        <f t="shared" si="2"/>
        <v>8</v>
      </c>
      <c r="I8194" s="15">
        <f t="shared" si="3"/>
        <v>10</v>
      </c>
    </row>
    <row r="8195">
      <c r="A8195" s="8" t="str">
        <f>IFERROR(__xludf.DUMMYFUNCTION("IF('(INGESTA)Datos_consumo_datadis'!A8195&lt;&gt;"""",SPLIT('(INGESTA)Datos_consumo_datadis'!A:A,"",""),"""")"),"ES0031408323131005HX0F")</f>
        <v>ES0031408323131005HX0F</v>
      </c>
      <c r="B8195" s="12">
        <f>IFERROR(__xludf.DUMMYFUNCTION("""COMPUTED_VALUE"""),45207.0)</f>
        <v>45207</v>
      </c>
      <c r="C8195" s="13">
        <f>IFERROR(__xludf.DUMMYFUNCTION("""COMPUTED_VALUE"""),0.4583333333333333)</f>
        <v>0.4583333333</v>
      </c>
      <c r="D8195" s="8">
        <f>IFERROR(__xludf.DUMMYFUNCTION("""COMPUTED_VALUE"""),0.075)</f>
        <v>0.075</v>
      </c>
      <c r="E8195" s="8" t="str">
        <f>IFERROR(__xludf.DUMMYFUNCTION("""COMPUTED_VALUE"""),"Real")</f>
        <v>Real</v>
      </c>
      <c r="G8195" s="8">
        <f t="shared" si="1"/>
        <v>10</v>
      </c>
      <c r="H8195" s="14">
        <f t="shared" si="2"/>
        <v>8</v>
      </c>
      <c r="I8195" s="15">
        <f t="shared" si="3"/>
        <v>11</v>
      </c>
    </row>
    <row r="8196">
      <c r="A8196" s="8" t="str">
        <f>IFERROR(__xludf.DUMMYFUNCTION("IF('(INGESTA)Datos_consumo_datadis'!A8196&lt;&gt;"""",SPLIT('(INGESTA)Datos_consumo_datadis'!A:A,"",""),"""")"),"ES0031408323131005HX0F")</f>
        <v>ES0031408323131005HX0F</v>
      </c>
      <c r="B8196" s="12">
        <f>IFERROR(__xludf.DUMMYFUNCTION("""COMPUTED_VALUE"""),45207.0)</f>
        <v>45207</v>
      </c>
      <c r="C8196" s="13">
        <f>IFERROR(__xludf.DUMMYFUNCTION("""COMPUTED_VALUE"""),0.5)</f>
        <v>0.5</v>
      </c>
      <c r="D8196" s="8">
        <f>IFERROR(__xludf.DUMMYFUNCTION("""COMPUTED_VALUE"""),0.805)</f>
        <v>0.805</v>
      </c>
      <c r="E8196" s="8" t="str">
        <f>IFERROR(__xludf.DUMMYFUNCTION("""COMPUTED_VALUE"""),"Real")</f>
        <v>Real</v>
      </c>
      <c r="G8196" s="8">
        <f t="shared" si="1"/>
        <v>10</v>
      </c>
      <c r="H8196" s="14">
        <f t="shared" si="2"/>
        <v>8</v>
      </c>
      <c r="I8196" s="15">
        <f t="shared" si="3"/>
        <v>12</v>
      </c>
    </row>
    <row r="8197">
      <c r="A8197" s="8" t="str">
        <f>IFERROR(__xludf.DUMMYFUNCTION("IF('(INGESTA)Datos_consumo_datadis'!A8197&lt;&gt;"""",SPLIT('(INGESTA)Datos_consumo_datadis'!A:A,"",""),"""")"),"ES0031408323131005HX0F")</f>
        <v>ES0031408323131005HX0F</v>
      </c>
      <c r="B8197" s="12">
        <f>IFERROR(__xludf.DUMMYFUNCTION("""COMPUTED_VALUE"""),45207.0)</f>
        <v>45207</v>
      </c>
      <c r="C8197" s="13">
        <f>IFERROR(__xludf.DUMMYFUNCTION("""COMPUTED_VALUE"""),0.5416666666666666)</f>
        <v>0.5416666667</v>
      </c>
      <c r="D8197" s="8">
        <f>IFERROR(__xludf.DUMMYFUNCTION("""COMPUTED_VALUE"""),0.459)</f>
        <v>0.459</v>
      </c>
      <c r="E8197" s="8" t="str">
        <f>IFERROR(__xludf.DUMMYFUNCTION("""COMPUTED_VALUE"""),"Real")</f>
        <v>Real</v>
      </c>
      <c r="G8197" s="8">
        <f t="shared" si="1"/>
        <v>10</v>
      </c>
      <c r="H8197" s="14">
        <f t="shared" si="2"/>
        <v>8</v>
      </c>
      <c r="I8197" s="15">
        <f t="shared" si="3"/>
        <v>13</v>
      </c>
    </row>
    <row r="8198">
      <c r="A8198" s="8" t="str">
        <f>IFERROR(__xludf.DUMMYFUNCTION("IF('(INGESTA)Datos_consumo_datadis'!A8198&lt;&gt;"""",SPLIT('(INGESTA)Datos_consumo_datadis'!A:A,"",""),"""")"),"ES0031408323131005HX0F")</f>
        <v>ES0031408323131005HX0F</v>
      </c>
      <c r="B8198" s="12">
        <f>IFERROR(__xludf.DUMMYFUNCTION("""COMPUTED_VALUE"""),45207.0)</f>
        <v>45207</v>
      </c>
      <c r="C8198" s="13">
        <f>IFERROR(__xludf.DUMMYFUNCTION("""COMPUTED_VALUE"""),0.5833333333333334)</f>
        <v>0.5833333333</v>
      </c>
      <c r="D8198" s="8">
        <f>IFERROR(__xludf.DUMMYFUNCTION("""COMPUTED_VALUE"""),0.079)</f>
        <v>0.079</v>
      </c>
      <c r="E8198" s="8" t="str">
        <f>IFERROR(__xludf.DUMMYFUNCTION("""COMPUTED_VALUE"""),"Real")</f>
        <v>Real</v>
      </c>
      <c r="G8198" s="8">
        <f t="shared" si="1"/>
        <v>10</v>
      </c>
      <c r="H8198" s="14">
        <f t="shared" si="2"/>
        <v>8</v>
      </c>
      <c r="I8198" s="15">
        <f t="shared" si="3"/>
        <v>14</v>
      </c>
    </row>
    <row r="8199">
      <c r="A8199" s="8" t="str">
        <f>IFERROR(__xludf.DUMMYFUNCTION("IF('(INGESTA)Datos_consumo_datadis'!A8199&lt;&gt;"""",SPLIT('(INGESTA)Datos_consumo_datadis'!A:A,"",""),"""")"),"ES0031408323131005HX0F")</f>
        <v>ES0031408323131005HX0F</v>
      </c>
      <c r="B8199" s="12">
        <f>IFERROR(__xludf.DUMMYFUNCTION("""COMPUTED_VALUE"""),45207.0)</f>
        <v>45207</v>
      </c>
      <c r="C8199" s="13">
        <f>IFERROR(__xludf.DUMMYFUNCTION("""COMPUTED_VALUE"""),0.625)</f>
        <v>0.625</v>
      </c>
      <c r="D8199" s="8">
        <f>IFERROR(__xludf.DUMMYFUNCTION("""COMPUTED_VALUE"""),0.084)</f>
        <v>0.084</v>
      </c>
      <c r="E8199" s="8" t="str">
        <f>IFERROR(__xludf.DUMMYFUNCTION("""COMPUTED_VALUE"""),"Real")</f>
        <v>Real</v>
      </c>
      <c r="G8199" s="8">
        <f t="shared" si="1"/>
        <v>10</v>
      </c>
      <c r="H8199" s="14">
        <f t="shared" si="2"/>
        <v>8</v>
      </c>
      <c r="I8199" s="15">
        <f t="shared" si="3"/>
        <v>15</v>
      </c>
    </row>
    <row r="8200">
      <c r="A8200" s="8" t="str">
        <f>IFERROR(__xludf.DUMMYFUNCTION("IF('(INGESTA)Datos_consumo_datadis'!A8200&lt;&gt;"""",SPLIT('(INGESTA)Datos_consumo_datadis'!A:A,"",""),"""")"),"ES0031408323131005HX0F")</f>
        <v>ES0031408323131005HX0F</v>
      </c>
      <c r="B8200" s="12">
        <f>IFERROR(__xludf.DUMMYFUNCTION("""COMPUTED_VALUE"""),45207.0)</f>
        <v>45207</v>
      </c>
      <c r="C8200" s="13">
        <f>IFERROR(__xludf.DUMMYFUNCTION("""COMPUTED_VALUE"""),0.6666666666666666)</f>
        <v>0.6666666667</v>
      </c>
      <c r="D8200" s="8">
        <f>IFERROR(__xludf.DUMMYFUNCTION("""COMPUTED_VALUE"""),0.021)</f>
        <v>0.021</v>
      </c>
      <c r="E8200" s="8" t="str">
        <f>IFERROR(__xludf.DUMMYFUNCTION("""COMPUTED_VALUE"""),"Real")</f>
        <v>Real</v>
      </c>
      <c r="G8200" s="8">
        <f t="shared" si="1"/>
        <v>10</v>
      </c>
      <c r="H8200" s="14">
        <f t="shared" si="2"/>
        <v>8</v>
      </c>
      <c r="I8200" s="15">
        <f t="shared" si="3"/>
        <v>16</v>
      </c>
    </row>
    <row r="8201">
      <c r="A8201" s="8" t="str">
        <f>IFERROR(__xludf.DUMMYFUNCTION("IF('(INGESTA)Datos_consumo_datadis'!A8201&lt;&gt;"""",SPLIT('(INGESTA)Datos_consumo_datadis'!A:A,"",""),"""")"),"ES0031408323131005HX0F")</f>
        <v>ES0031408323131005HX0F</v>
      </c>
      <c r="B8201" s="12">
        <f>IFERROR(__xludf.DUMMYFUNCTION("""COMPUTED_VALUE"""),45207.0)</f>
        <v>45207</v>
      </c>
      <c r="C8201" s="13">
        <f>IFERROR(__xludf.DUMMYFUNCTION("""COMPUTED_VALUE"""),0.7083333333333334)</f>
        <v>0.7083333333</v>
      </c>
      <c r="D8201" s="8">
        <f>IFERROR(__xludf.DUMMYFUNCTION("""COMPUTED_VALUE"""),0.118)</f>
        <v>0.118</v>
      </c>
      <c r="E8201" s="8" t="str">
        <f>IFERROR(__xludf.DUMMYFUNCTION("""COMPUTED_VALUE"""),"Real")</f>
        <v>Real</v>
      </c>
      <c r="G8201" s="8">
        <f t="shared" si="1"/>
        <v>10</v>
      </c>
      <c r="H8201" s="14">
        <f t="shared" si="2"/>
        <v>8</v>
      </c>
      <c r="I8201" s="15">
        <f t="shared" si="3"/>
        <v>17</v>
      </c>
    </row>
    <row r="8202">
      <c r="A8202" s="8" t="str">
        <f>IFERROR(__xludf.DUMMYFUNCTION("IF('(INGESTA)Datos_consumo_datadis'!A8202&lt;&gt;"""",SPLIT('(INGESTA)Datos_consumo_datadis'!A:A,"",""),"""")"),"ES0031408323131005HX0F")</f>
        <v>ES0031408323131005HX0F</v>
      </c>
      <c r="B8202" s="12">
        <f>IFERROR(__xludf.DUMMYFUNCTION("""COMPUTED_VALUE"""),45207.0)</f>
        <v>45207</v>
      </c>
      <c r="C8202" s="13">
        <f>IFERROR(__xludf.DUMMYFUNCTION("""COMPUTED_VALUE"""),0.75)</f>
        <v>0.75</v>
      </c>
      <c r="D8202" s="8">
        <f>IFERROR(__xludf.DUMMYFUNCTION("""COMPUTED_VALUE"""),0.087)</f>
        <v>0.087</v>
      </c>
      <c r="E8202" s="8" t="str">
        <f>IFERROR(__xludf.DUMMYFUNCTION("""COMPUTED_VALUE"""),"Real")</f>
        <v>Real</v>
      </c>
      <c r="G8202" s="8">
        <f t="shared" si="1"/>
        <v>10</v>
      </c>
      <c r="H8202" s="14">
        <f t="shared" si="2"/>
        <v>8</v>
      </c>
      <c r="I8202" s="15">
        <f t="shared" si="3"/>
        <v>18</v>
      </c>
    </row>
    <row r="8203">
      <c r="A8203" s="8" t="str">
        <f>IFERROR(__xludf.DUMMYFUNCTION("IF('(INGESTA)Datos_consumo_datadis'!A8203&lt;&gt;"""",SPLIT('(INGESTA)Datos_consumo_datadis'!A:A,"",""),"""")"),"ES0031408323131005HX0F")</f>
        <v>ES0031408323131005HX0F</v>
      </c>
      <c r="B8203" s="12">
        <f>IFERROR(__xludf.DUMMYFUNCTION("""COMPUTED_VALUE"""),45207.0)</f>
        <v>45207</v>
      </c>
      <c r="C8203" s="13">
        <f>IFERROR(__xludf.DUMMYFUNCTION("""COMPUTED_VALUE"""),0.7916666666666666)</f>
        <v>0.7916666667</v>
      </c>
      <c r="D8203" s="8">
        <f>IFERROR(__xludf.DUMMYFUNCTION("""COMPUTED_VALUE"""),0.301)</f>
        <v>0.301</v>
      </c>
      <c r="E8203" s="8" t="str">
        <f>IFERROR(__xludf.DUMMYFUNCTION("""COMPUTED_VALUE"""),"Real")</f>
        <v>Real</v>
      </c>
      <c r="G8203" s="8">
        <f t="shared" si="1"/>
        <v>10</v>
      </c>
      <c r="H8203" s="14">
        <f t="shared" si="2"/>
        <v>8</v>
      </c>
      <c r="I8203" s="15">
        <f t="shared" si="3"/>
        <v>19</v>
      </c>
    </row>
    <row r="8204">
      <c r="A8204" s="8" t="str">
        <f>IFERROR(__xludf.DUMMYFUNCTION("IF('(INGESTA)Datos_consumo_datadis'!A8204&lt;&gt;"""",SPLIT('(INGESTA)Datos_consumo_datadis'!A:A,"",""),"""")"),"ES0031408323131005HX0F")</f>
        <v>ES0031408323131005HX0F</v>
      </c>
      <c r="B8204" s="12">
        <f>IFERROR(__xludf.DUMMYFUNCTION("""COMPUTED_VALUE"""),45207.0)</f>
        <v>45207</v>
      </c>
      <c r="C8204" s="13">
        <f>IFERROR(__xludf.DUMMYFUNCTION("""COMPUTED_VALUE"""),0.8333333333333334)</f>
        <v>0.8333333333</v>
      </c>
      <c r="D8204" s="8">
        <f>IFERROR(__xludf.DUMMYFUNCTION("""COMPUTED_VALUE"""),0.122)</f>
        <v>0.122</v>
      </c>
      <c r="E8204" s="8" t="str">
        <f>IFERROR(__xludf.DUMMYFUNCTION("""COMPUTED_VALUE"""),"Real")</f>
        <v>Real</v>
      </c>
      <c r="G8204" s="8">
        <f t="shared" si="1"/>
        <v>10</v>
      </c>
      <c r="H8204" s="14">
        <f t="shared" si="2"/>
        <v>8</v>
      </c>
      <c r="I8204" s="15">
        <f t="shared" si="3"/>
        <v>20</v>
      </c>
    </row>
    <row r="8205">
      <c r="A8205" s="8" t="str">
        <f>IFERROR(__xludf.DUMMYFUNCTION("IF('(INGESTA)Datos_consumo_datadis'!A8205&lt;&gt;"""",SPLIT('(INGESTA)Datos_consumo_datadis'!A:A,"",""),"""")"),"ES0031408323131005HX0F")</f>
        <v>ES0031408323131005HX0F</v>
      </c>
      <c r="B8205" s="12">
        <f>IFERROR(__xludf.DUMMYFUNCTION("""COMPUTED_VALUE"""),45207.0)</f>
        <v>45207</v>
      </c>
      <c r="C8205" s="13">
        <f>IFERROR(__xludf.DUMMYFUNCTION("""COMPUTED_VALUE"""),0.875)</f>
        <v>0.875</v>
      </c>
      <c r="D8205" s="8">
        <f>IFERROR(__xludf.DUMMYFUNCTION("""COMPUTED_VALUE"""),0.125)</f>
        <v>0.125</v>
      </c>
      <c r="E8205" s="8" t="str">
        <f>IFERROR(__xludf.DUMMYFUNCTION("""COMPUTED_VALUE"""),"Real")</f>
        <v>Real</v>
      </c>
      <c r="G8205" s="8">
        <f t="shared" si="1"/>
        <v>10</v>
      </c>
      <c r="H8205" s="14">
        <f t="shared" si="2"/>
        <v>8</v>
      </c>
      <c r="I8205" s="15">
        <f t="shared" si="3"/>
        <v>21</v>
      </c>
    </row>
    <row r="8206">
      <c r="A8206" s="8" t="str">
        <f>IFERROR(__xludf.DUMMYFUNCTION("IF('(INGESTA)Datos_consumo_datadis'!A8206&lt;&gt;"""",SPLIT('(INGESTA)Datos_consumo_datadis'!A:A,"",""),"""")"),"ES0031408323131005HX0F")</f>
        <v>ES0031408323131005HX0F</v>
      </c>
      <c r="B8206" s="12">
        <f>IFERROR(__xludf.DUMMYFUNCTION("""COMPUTED_VALUE"""),45207.0)</f>
        <v>45207</v>
      </c>
      <c r="C8206" s="13">
        <f>IFERROR(__xludf.DUMMYFUNCTION("""COMPUTED_VALUE"""),0.9166666666666666)</f>
        <v>0.9166666667</v>
      </c>
      <c r="D8206" s="8">
        <f>IFERROR(__xludf.DUMMYFUNCTION("""COMPUTED_VALUE"""),0.261)</f>
        <v>0.261</v>
      </c>
      <c r="E8206" s="8" t="str">
        <f>IFERROR(__xludf.DUMMYFUNCTION("""COMPUTED_VALUE"""),"Real")</f>
        <v>Real</v>
      </c>
      <c r="G8206" s="8">
        <f t="shared" si="1"/>
        <v>10</v>
      </c>
      <c r="H8206" s="14">
        <f t="shared" si="2"/>
        <v>8</v>
      </c>
      <c r="I8206" s="15">
        <f t="shared" si="3"/>
        <v>22</v>
      </c>
    </row>
    <row r="8207">
      <c r="A8207" s="8" t="str">
        <f>IFERROR(__xludf.DUMMYFUNCTION("IF('(INGESTA)Datos_consumo_datadis'!A8207&lt;&gt;"""",SPLIT('(INGESTA)Datos_consumo_datadis'!A:A,"",""),"""")"),"ES0031408323131005HX0F")</f>
        <v>ES0031408323131005HX0F</v>
      </c>
      <c r="B8207" s="12">
        <f>IFERROR(__xludf.DUMMYFUNCTION("""COMPUTED_VALUE"""),45207.0)</f>
        <v>45207</v>
      </c>
      <c r="C8207" s="13">
        <f>IFERROR(__xludf.DUMMYFUNCTION("""COMPUTED_VALUE"""),0.9583333333333334)</f>
        <v>0.9583333333</v>
      </c>
      <c r="D8207" s="8">
        <f>IFERROR(__xludf.DUMMYFUNCTION("""COMPUTED_VALUE"""),0.797)</f>
        <v>0.797</v>
      </c>
      <c r="E8207" s="8" t="str">
        <f>IFERROR(__xludf.DUMMYFUNCTION("""COMPUTED_VALUE"""),"Real")</f>
        <v>Real</v>
      </c>
      <c r="G8207" s="8">
        <f t="shared" si="1"/>
        <v>10</v>
      </c>
      <c r="H8207" s="14">
        <f t="shared" si="2"/>
        <v>8</v>
      </c>
      <c r="I8207" s="15">
        <f t="shared" si="3"/>
        <v>23</v>
      </c>
    </row>
    <row r="8208">
      <c r="A8208" s="8" t="str">
        <f>IFERROR(__xludf.DUMMYFUNCTION("IF('(INGESTA)Datos_consumo_datadis'!A8208&lt;&gt;"""",SPLIT('(INGESTA)Datos_consumo_datadis'!A:A,"",""),"""")"),"ES0031408323131005HX0F")</f>
        <v>ES0031408323131005HX0F</v>
      </c>
      <c r="B8208" s="12">
        <f>IFERROR(__xludf.DUMMYFUNCTION("""COMPUTED_VALUE"""),45207.0)</f>
        <v>45207</v>
      </c>
      <c r="C8208" s="16">
        <f>IFERROR(__xludf.DUMMYFUNCTION("""COMPUTED_VALUE"""),1.0)</f>
        <v>1</v>
      </c>
      <c r="D8208" s="8">
        <f>IFERROR(__xludf.DUMMYFUNCTION("""COMPUTED_VALUE"""),0.117)</f>
        <v>0.117</v>
      </c>
      <c r="E8208" s="8" t="str">
        <f>IFERROR(__xludf.DUMMYFUNCTION("""COMPUTED_VALUE"""),"Real")</f>
        <v>Real</v>
      </c>
      <c r="G8208" s="8">
        <f t="shared" si="1"/>
        <v>10</v>
      </c>
      <c r="H8208" s="14">
        <f t="shared" si="2"/>
        <v>8</v>
      </c>
      <c r="I8208" s="15">
        <f t="shared" si="3"/>
        <v>0</v>
      </c>
    </row>
    <row r="8209">
      <c r="A8209" s="8" t="str">
        <f>IFERROR(__xludf.DUMMYFUNCTION("IF('(INGESTA)Datos_consumo_datadis'!A8209&lt;&gt;"""",SPLIT('(INGESTA)Datos_consumo_datadis'!A:A,"",""),"""")"),"ES0031408323131005HX0F")</f>
        <v>ES0031408323131005HX0F</v>
      </c>
      <c r="B8209" s="12">
        <f>IFERROR(__xludf.DUMMYFUNCTION("""COMPUTED_VALUE"""),45208.0)</f>
        <v>45208</v>
      </c>
      <c r="C8209" s="13">
        <f>IFERROR(__xludf.DUMMYFUNCTION("""COMPUTED_VALUE"""),0.041666666666666664)</f>
        <v>0.04166666667</v>
      </c>
      <c r="D8209" s="8">
        <f>IFERROR(__xludf.DUMMYFUNCTION("""COMPUTED_VALUE"""),0.113)</f>
        <v>0.113</v>
      </c>
      <c r="E8209" s="8" t="str">
        <f>IFERROR(__xludf.DUMMYFUNCTION("""COMPUTED_VALUE"""),"Real")</f>
        <v>Real</v>
      </c>
      <c r="G8209" s="8">
        <f t="shared" si="1"/>
        <v>10</v>
      </c>
      <c r="H8209" s="14">
        <f t="shared" si="2"/>
        <v>9</v>
      </c>
      <c r="I8209" s="15">
        <f t="shared" si="3"/>
        <v>1</v>
      </c>
    </row>
    <row r="8210">
      <c r="A8210" s="8" t="str">
        <f>IFERROR(__xludf.DUMMYFUNCTION("IF('(INGESTA)Datos_consumo_datadis'!A8210&lt;&gt;"""",SPLIT('(INGESTA)Datos_consumo_datadis'!A:A,"",""),"""")"),"ES0031408323131005HX0F")</f>
        <v>ES0031408323131005HX0F</v>
      </c>
      <c r="B8210" s="12">
        <f>IFERROR(__xludf.DUMMYFUNCTION("""COMPUTED_VALUE"""),45208.0)</f>
        <v>45208</v>
      </c>
      <c r="C8210" s="13">
        <f>IFERROR(__xludf.DUMMYFUNCTION("""COMPUTED_VALUE"""),0.08333333333333333)</f>
        <v>0.08333333333</v>
      </c>
      <c r="D8210" s="8">
        <f>IFERROR(__xludf.DUMMYFUNCTION("""COMPUTED_VALUE"""),0.11)</f>
        <v>0.11</v>
      </c>
      <c r="E8210" s="8" t="str">
        <f>IFERROR(__xludf.DUMMYFUNCTION("""COMPUTED_VALUE"""),"Real")</f>
        <v>Real</v>
      </c>
      <c r="G8210" s="8">
        <f t="shared" si="1"/>
        <v>10</v>
      </c>
      <c r="H8210" s="14">
        <f t="shared" si="2"/>
        <v>9</v>
      </c>
      <c r="I8210" s="15">
        <f t="shared" si="3"/>
        <v>2</v>
      </c>
    </row>
    <row r="8211">
      <c r="A8211" s="8" t="str">
        <f>IFERROR(__xludf.DUMMYFUNCTION("IF('(INGESTA)Datos_consumo_datadis'!A8211&lt;&gt;"""",SPLIT('(INGESTA)Datos_consumo_datadis'!A:A,"",""),"""")"),"ES0031408323131005HX0F")</f>
        <v>ES0031408323131005HX0F</v>
      </c>
      <c r="B8211" s="12">
        <f>IFERROR(__xludf.DUMMYFUNCTION("""COMPUTED_VALUE"""),45208.0)</f>
        <v>45208</v>
      </c>
      <c r="C8211" s="13">
        <f>IFERROR(__xludf.DUMMYFUNCTION("""COMPUTED_VALUE"""),0.125)</f>
        <v>0.125</v>
      </c>
      <c r="D8211" s="8">
        <f>IFERROR(__xludf.DUMMYFUNCTION("""COMPUTED_VALUE"""),0.095)</f>
        <v>0.095</v>
      </c>
      <c r="E8211" s="8" t="str">
        <f>IFERROR(__xludf.DUMMYFUNCTION("""COMPUTED_VALUE"""),"Real")</f>
        <v>Real</v>
      </c>
      <c r="G8211" s="8">
        <f t="shared" si="1"/>
        <v>10</v>
      </c>
      <c r="H8211" s="14">
        <f t="shared" si="2"/>
        <v>9</v>
      </c>
      <c r="I8211" s="15">
        <f t="shared" si="3"/>
        <v>3</v>
      </c>
    </row>
    <row r="8212">
      <c r="A8212" s="8" t="str">
        <f>IFERROR(__xludf.DUMMYFUNCTION("IF('(INGESTA)Datos_consumo_datadis'!A8212&lt;&gt;"""",SPLIT('(INGESTA)Datos_consumo_datadis'!A:A,"",""),"""")"),"ES0031408323131005HX0F")</f>
        <v>ES0031408323131005HX0F</v>
      </c>
      <c r="B8212" s="12">
        <f>IFERROR(__xludf.DUMMYFUNCTION("""COMPUTED_VALUE"""),45208.0)</f>
        <v>45208</v>
      </c>
      <c r="C8212" s="13">
        <f>IFERROR(__xludf.DUMMYFUNCTION("""COMPUTED_VALUE"""),0.16666666666666666)</f>
        <v>0.1666666667</v>
      </c>
      <c r="D8212" s="8">
        <f>IFERROR(__xludf.DUMMYFUNCTION("""COMPUTED_VALUE"""),0.07)</f>
        <v>0.07</v>
      </c>
      <c r="E8212" s="8" t="str">
        <f>IFERROR(__xludf.DUMMYFUNCTION("""COMPUTED_VALUE"""),"Real")</f>
        <v>Real</v>
      </c>
      <c r="G8212" s="8">
        <f t="shared" si="1"/>
        <v>10</v>
      </c>
      <c r="H8212" s="14">
        <f t="shared" si="2"/>
        <v>9</v>
      </c>
      <c r="I8212" s="15">
        <f t="shared" si="3"/>
        <v>4</v>
      </c>
    </row>
    <row r="8213">
      <c r="A8213" s="8" t="str">
        <f>IFERROR(__xludf.DUMMYFUNCTION("IF('(INGESTA)Datos_consumo_datadis'!A8213&lt;&gt;"""",SPLIT('(INGESTA)Datos_consumo_datadis'!A:A,"",""),"""")"),"ES0031408323131005HX0F")</f>
        <v>ES0031408323131005HX0F</v>
      </c>
      <c r="B8213" s="12">
        <f>IFERROR(__xludf.DUMMYFUNCTION("""COMPUTED_VALUE"""),45208.0)</f>
        <v>45208</v>
      </c>
      <c r="C8213" s="13">
        <f>IFERROR(__xludf.DUMMYFUNCTION("""COMPUTED_VALUE"""),0.20833333333333334)</f>
        <v>0.2083333333</v>
      </c>
      <c r="D8213" s="8">
        <f>IFERROR(__xludf.DUMMYFUNCTION("""COMPUTED_VALUE"""),0.289)</f>
        <v>0.289</v>
      </c>
      <c r="E8213" s="8" t="str">
        <f>IFERROR(__xludf.DUMMYFUNCTION("""COMPUTED_VALUE"""),"Real")</f>
        <v>Real</v>
      </c>
      <c r="G8213" s="8">
        <f t="shared" si="1"/>
        <v>10</v>
      </c>
      <c r="H8213" s="14">
        <f t="shared" si="2"/>
        <v>9</v>
      </c>
      <c r="I8213" s="15">
        <f t="shared" si="3"/>
        <v>5</v>
      </c>
    </row>
    <row r="8214">
      <c r="A8214" s="8" t="str">
        <f>IFERROR(__xludf.DUMMYFUNCTION("IF('(INGESTA)Datos_consumo_datadis'!A8214&lt;&gt;"""",SPLIT('(INGESTA)Datos_consumo_datadis'!A:A,"",""),"""")"),"ES0031408323131005HX0F")</f>
        <v>ES0031408323131005HX0F</v>
      </c>
      <c r="B8214" s="12">
        <f>IFERROR(__xludf.DUMMYFUNCTION("""COMPUTED_VALUE"""),45208.0)</f>
        <v>45208</v>
      </c>
      <c r="C8214" s="13">
        <f>IFERROR(__xludf.DUMMYFUNCTION("""COMPUTED_VALUE"""),0.25)</f>
        <v>0.25</v>
      </c>
      <c r="D8214" s="8">
        <f>IFERROR(__xludf.DUMMYFUNCTION("""COMPUTED_VALUE"""),0.11)</f>
        <v>0.11</v>
      </c>
      <c r="E8214" s="8" t="str">
        <f>IFERROR(__xludf.DUMMYFUNCTION("""COMPUTED_VALUE"""),"Real")</f>
        <v>Real</v>
      </c>
      <c r="G8214" s="8">
        <f t="shared" si="1"/>
        <v>10</v>
      </c>
      <c r="H8214" s="14">
        <f t="shared" si="2"/>
        <v>9</v>
      </c>
      <c r="I8214" s="15">
        <f t="shared" si="3"/>
        <v>6</v>
      </c>
    </row>
    <row r="8215">
      <c r="A8215" s="8" t="str">
        <f>IFERROR(__xludf.DUMMYFUNCTION("IF('(INGESTA)Datos_consumo_datadis'!A8215&lt;&gt;"""",SPLIT('(INGESTA)Datos_consumo_datadis'!A:A,"",""),"""")"),"ES0031408323131005HX0F")</f>
        <v>ES0031408323131005HX0F</v>
      </c>
      <c r="B8215" s="12">
        <f>IFERROR(__xludf.DUMMYFUNCTION("""COMPUTED_VALUE"""),45208.0)</f>
        <v>45208</v>
      </c>
      <c r="C8215" s="13">
        <f>IFERROR(__xludf.DUMMYFUNCTION("""COMPUTED_VALUE"""),0.2916666666666667)</f>
        <v>0.2916666667</v>
      </c>
      <c r="D8215" s="8">
        <f>IFERROR(__xludf.DUMMYFUNCTION("""COMPUTED_VALUE"""),0.096)</f>
        <v>0.096</v>
      </c>
      <c r="E8215" s="8" t="str">
        <f>IFERROR(__xludf.DUMMYFUNCTION("""COMPUTED_VALUE"""),"Real")</f>
        <v>Real</v>
      </c>
      <c r="G8215" s="8">
        <f t="shared" si="1"/>
        <v>10</v>
      </c>
      <c r="H8215" s="14">
        <f t="shared" si="2"/>
        <v>9</v>
      </c>
      <c r="I8215" s="15">
        <f t="shared" si="3"/>
        <v>7</v>
      </c>
    </row>
    <row r="8216">
      <c r="A8216" s="8" t="str">
        <f>IFERROR(__xludf.DUMMYFUNCTION("IF('(INGESTA)Datos_consumo_datadis'!A8216&lt;&gt;"""",SPLIT('(INGESTA)Datos_consumo_datadis'!A:A,"",""),"""")"),"ES0031408323131005HX0F")</f>
        <v>ES0031408323131005HX0F</v>
      </c>
      <c r="B8216" s="12">
        <f>IFERROR(__xludf.DUMMYFUNCTION("""COMPUTED_VALUE"""),45208.0)</f>
        <v>45208</v>
      </c>
      <c r="C8216" s="13">
        <f>IFERROR(__xludf.DUMMYFUNCTION("""COMPUTED_VALUE"""),0.3333333333333333)</f>
        <v>0.3333333333</v>
      </c>
      <c r="D8216" s="8">
        <f>IFERROR(__xludf.DUMMYFUNCTION("""COMPUTED_VALUE"""),0.097)</f>
        <v>0.097</v>
      </c>
      <c r="E8216" s="8" t="str">
        <f>IFERROR(__xludf.DUMMYFUNCTION("""COMPUTED_VALUE"""),"Real")</f>
        <v>Real</v>
      </c>
      <c r="G8216" s="8">
        <f t="shared" si="1"/>
        <v>10</v>
      </c>
      <c r="H8216" s="14">
        <f t="shared" si="2"/>
        <v>9</v>
      </c>
      <c r="I8216" s="15">
        <f t="shared" si="3"/>
        <v>8</v>
      </c>
    </row>
    <row r="8217">
      <c r="A8217" s="8" t="str">
        <f>IFERROR(__xludf.DUMMYFUNCTION("IF('(INGESTA)Datos_consumo_datadis'!A8217&lt;&gt;"""",SPLIT('(INGESTA)Datos_consumo_datadis'!A:A,"",""),"""")"),"ES0031408323131005HX0F")</f>
        <v>ES0031408323131005HX0F</v>
      </c>
      <c r="B8217" s="12">
        <f>IFERROR(__xludf.DUMMYFUNCTION("""COMPUTED_VALUE"""),45208.0)</f>
        <v>45208</v>
      </c>
      <c r="C8217" s="13">
        <f>IFERROR(__xludf.DUMMYFUNCTION("""COMPUTED_VALUE"""),0.375)</f>
        <v>0.375</v>
      </c>
      <c r="D8217" s="8">
        <f>IFERROR(__xludf.DUMMYFUNCTION("""COMPUTED_VALUE"""),0.023)</f>
        <v>0.023</v>
      </c>
      <c r="E8217" s="8" t="str">
        <f>IFERROR(__xludf.DUMMYFUNCTION("""COMPUTED_VALUE"""),"Real")</f>
        <v>Real</v>
      </c>
      <c r="G8217" s="8">
        <f t="shared" si="1"/>
        <v>10</v>
      </c>
      <c r="H8217" s="14">
        <f t="shared" si="2"/>
        <v>9</v>
      </c>
      <c r="I8217" s="15">
        <f t="shared" si="3"/>
        <v>9</v>
      </c>
    </row>
    <row r="8218">
      <c r="A8218" s="8" t="str">
        <f>IFERROR(__xludf.DUMMYFUNCTION("IF('(INGESTA)Datos_consumo_datadis'!A8218&lt;&gt;"""",SPLIT('(INGESTA)Datos_consumo_datadis'!A:A,"",""),"""")"),"ES0031408323131005HX0F")</f>
        <v>ES0031408323131005HX0F</v>
      </c>
      <c r="B8218" s="12">
        <f>IFERROR(__xludf.DUMMYFUNCTION("""COMPUTED_VALUE"""),45208.0)</f>
        <v>45208</v>
      </c>
      <c r="C8218" s="13">
        <f>IFERROR(__xludf.DUMMYFUNCTION("""COMPUTED_VALUE"""),0.4166666666666667)</f>
        <v>0.4166666667</v>
      </c>
      <c r="D8218" s="8">
        <f>IFERROR(__xludf.DUMMYFUNCTION("""COMPUTED_VALUE"""),0.089)</f>
        <v>0.089</v>
      </c>
      <c r="E8218" s="8" t="str">
        <f>IFERROR(__xludf.DUMMYFUNCTION("""COMPUTED_VALUE"""),"Real")</f>
        <v>Real</v>
      </c>
      <c r="G8218" s="8">
        <f t="shared" si="1"/>
        <v>10</v>
      </c>
      <c r="H8218" s="14">
        <f t="shared" si="2"/>
        <v>9</v>
      </c>
      <c r="I8218" s="15">
        <f t="shared" si="3"/>
        <v>10</v>
      </c>
    </row>
    <row r="8219">
      <c r="A8219" s="8" t="str">
        <f>IFERROR(__xludf.DUMMYFUNCTION("IF('(INGESTA)Datos_consumo_datadis'!A8219&lt;&gt;"""",SPLIT('(INGESTA)Datos_consumo_datadis'!A:A,"",""),"""")"),"ES0031408323131005HX0F")</f>
        <v>ES0031408323131005HX0F</v>
      </c>
      <c r="B8219" s="12">
        <f>IFERROR(__xludf.DUMMYFUNCTION("""COMPUTED_VALUE"""),45208.0)</f>
        <v>45208</v>
      </c>
      <c r="C8219" s="13">
        <f>IFERROR(__xludf.DUMMYFUNCTION("""COMPUTED_VALUE"""),0.4583333333333333)</f>
        <v>0.4583333333</v>
      </c>
      <c r="D8219" s="8">
        <f>IFERROR(__xludf.DUMMYFUNCTION("""COMPUTED_VALUE"""),0.094)</f>
        <v>0.094</v>
      </c>
      <c r="E8219" s="8" t="str">
        <f>IFERROR(__xludf.DUMMYFUNCTION("""COMPUTED_VALUE"""),"Real")</f>
        <v>Real</v>
      </c>
      <c r="G8219" s="8">
        <f t="shared" si="1"/>
        <v>10</v>
      </c>
      <c r="H8219" s="14">
        <f t="shared" si="2"/>
        <v>9</v>
      </c>
      <c r="I8219" s="15">
        <f t="shared" si="3"/>
        <v>11</v>
      </c>
    </row>
    <row r="8220">
      <c r="A8220" s="8" t="str">
        <f>IFERROR(__xludf.DUMMYFUNCTION("IF('(INGESTA)Datos_consumo_datadis'!A8220&lt;&gt;"""",SPLIT('(INGESTA)Datos_consumo_datadis'!A:A,"",""),"""")"),"ES0031408323131005HX0F")</f>
        <v>ES0031408323131005HX0F</v>
      </c>
      <c r="B8220" s="12">
        <f>IFERROR(__xludf.DUMMYFUNCTION("""COMPUTED_VALUE"""),45208.0)</f>
        <v>45208</v>
      </c>
      <c r="C8220" s="13">
        <f>IFERROR(__xludf.DUMMYFUNCTION("""COMPUTED_VALUE"""),0.5)</f>
        <v>0.5</v>
      </c>
      <c r="D8220" s="8">
        <f>IFERROR(__xludf.DUMMYFUNCTION("""COMPUTED_VALUE"""),0.082)</f>
        <v>0.082</v>
      </c>
      <c r="E8220" s="8" t="str">
        <f>IFERROR(__xludf.DUMMYFUNCTION("""COMPUTED_VALUE"""),"Real")</f>
        <v>Real</v>
      </c>
      <c r="G8220" s="8">
        <f t="shared" si="1"/>
        <v>10</v>
      </c>
      <c r="H8220" s="14">
        <f t="shared" si="2"/>
        <v>9</v>
      </c>
      <c r="I8220" s="15">
        <f t="shared" si="3"/>
        <v>12</v>
      </c>
    </row>
    <row r="8221">
      <c r="A8221" s="8" t="str">
        <f>IFERROR(__xludf.DUMMYFUNCTION("IF('(INGESTA)Datos_consumo_datadis'!A8221&lt;&gt;"""",SPLIT('(INGESTA)Datos_consumo_datadis'!A:A,"",""),"""")"),"ES0031408323131005HX0F")</f>
        <v>ES0031408323131005HX0F</v>
      </c>
      <c r="B8221" s="12">
        <f>IFERROR(__xludf.DUMMYFUNCTION("""COMPUTED_VALUE"""),45208.0)</f>
        <v>45208</v>
      </c>
      <c r="C8221" s="13">
        <f>IFERROR(__xludf.DUMMYFUNCTION("""COMPUTED_VALUE"""),0.5416666666666666)</f>
        <v>0.5416666667</v>
      </c>
      <c r="D8221" s="8">
        <f>IFERROR(__xludf.DUMMYFUNCTION("""COMPUTED_VALUE"""),0.302)</f>
        <v>0.302</v>
      </c>
      <c r="E8221" s="8" t="str">
        <f>IFERROR(__xludf.DUMMYFUNCTION("""COMPUTED_VALUE"""),"Real")</f>
        <v>Real</v>
      </c>
      <c r="G8221" s="8">
        <f t="shared" si="1"/>
        <v>10</v>
      </c>
      <c r="H8221" s="14">
        <f t="shared" si="2"/>
        <v>9</v>
      </c>
      <c r="I8221" s="15">
        <f t="shared" si="3"/>
        <v>13</v>
      </c>
    </row>
    <row r="8222">
      <c r="A8222" s="8" t="str">
        <f>IFERROR(__xludf.DUMMYFUNCTION("IF('(INGESTA)Datos_consumo_datadis'!A8222&lt;&gt;"""",SPLIT('(INGESTA)Datos_consumo_datadis'!A:A,"",""),"""")"),"ES0031408323131005HX0F")</f>
        <v>ES0031408323131005HX0F</v>
      </c>
      <c r="B8222" s="12">
        <f>IFERROR(__xludf.DUMMYFUNCTION("""COMPUTED_VALUE"""),45208.0)</f>
        <v>45208</v>
      </c>
      <c r="C8222" s="13">
        <f>IFERROR(__xludf.DUMMYFUNCTION("""COMPUTED_VALUE"""),0.5833333333333334)</f>
        <v>0.5833333333</v>
      </c>
      <c r="D8222" s="8">
        <f>IFERROR(__xludf.DUMMYFUNCTION("""COMPUTED_VALUE"""),0.126)</f>
        <v>0.126</v>
      </c>
      <c r="E8222" s="8" t="str">
        <f>IFERROR(__xludf.DUMMYFUNCTION("""COMPUTED_VALUE"""),"Real")</f>
        <v>Real</v>
      </c>
      <c r="G8222" s="8">
        <f t="shared" si="1"/>
        <v>10</v>
      </c>
      <c r="H8222" s="14">
        <f t="shared" si="2"/>
        <v>9</v>
      </c>
      <c r="I8222" s="15">
        <f t="shared" si="3"/>
        <v>14</v>
      </c>
    </row>
    <row r="8223">
      <c r="A8223" s="8" t="str">
        <f>IFERROR(__xludf.DUMMYFUNCTION("IF('(INGESTA)Datos_consumo_datadis'!A8223&lt;&gt;"""",SPLIT('(INGESTA)Datos_consumo_datadis'!A:A,"",""),"""")"),"ES0031408323131005HX0F")</f>
        <v>ES0031408323131005HX0F</v>
      </c>
      <c r="B8223" s="12">
        <f>IFERROR(__xludf.DUMMYFUNCTION("""COMPUTED_VALUE"""),45208.0)</f>
        <v>45208</v>
      </c>
      <c r="C8223" s="13">
        <f>IFERROR(__xludf.DUMMYFUNCTION("""COMPUTED_VALUE"""),0.625)</f>
        <v>0.625</v>
      </c>
      <c r="D8223" s="8">
        <f>IFERROR(__xludf.DUMMYFUNCTION("""COMPUTED_VALUE"""),0.244)</f>
        <v>0.244</v>
      </c>
      <c r="E8223" s="8" t="str">
        <f>IFERROR(__xludf.DUMMYFUNCTION("""COMPUTED_VALUE"""),"Real")</f>
        <v>Real</v>
      </c>
      <c r="G8223" s="8">
        <f t="shared" si="1"/>
        <v>10</v>
      </c>
      <c r="H8223" s="14">
        <f t="shared" si="2"/>
        <v>9</v>
      </c>
      <c r="I8223" s="15">
        <f t="shared" si="3"/>
        <v>15</v>
      </c>
    </row>
    <row r="8224">
      <c r="A8224" s="8" t="str">
        <f>IFERROR(__xludf.DUMMYFUNCTION("IF('(INGESTA)Datos_consumo_datadis'!A8224&lt;&gt;"""",SPLIT('(INGESTA)Datos_consumo_datadis'!A:A,"",""),"""")"),"ES0031408323131005HX0F")</f>
        <v>ES0031408323131005HX0F</v>
      </c>
      <c r="B8224" s="12">
        <f>IFERROR(__xludf.DUMMYFUNCTION("""COMPUTED_VALUE"""),45208.0)</f>
        <v>45208</v>
      </c>
      <c r="C8224" s="13">
        <f>IFERROR(__xludf.DUMMYFUNCTION("""COMPUTED_VALUE"""),0.6666666666666666)</f>
        <v>0.6666666667</v>
      </c>
      <c r="D8224" s="8">
        <f>IFERROR(__xludf.DUMMYFUNCTION("""COMPUTED_VALUE"""),0.116)</f>
        <v>0.116</v>
      </c>
      <c r="E8224" s="8" t="str">
        <f>IFERROR(__xludf.DUMMYFUNCTION("""COMPUTED_VALUE"""),"Real")</f>
        <v>Real</v>
      </c>
      <c r="G8224" s="8">
        <f t="shared" si="1"/>
        <v>10</v>
      </c>
      <c r="H8224" s="14">
        <f t="shared" si="2"/>
        <v>9</v>
      </c>
      <c r="I8224" s="15">
        <f t="shared" si="3"/>
        <v>16</v>
      </c>
    </row>
    <row r="8225">
      <c r="A8225" s="8" t="str">
        <f>IFERROR(__xludf.DUMMYFUNCTION("IF('(INGESTA)Datos_consumo_datadis'!A8225&lt;&gt;"""",SPLIT('(INGESTA)Datos_consumo_datadis'!A:A,"",""),"""")"),"ES0031408323131005HX0F")</f>
        <v>ES0031408323131005HX0F</v>
      </c>
      <c r="B8225" s="12">
        <f>IFERROR(__xludf.DUMMYFUNCTION("""COMPUTED_VALUE"""),45208.0)</f>
        <v>45208</v>
      </c>
      <c r="C8225" s="13">
        <f>IFERROR(__xludf.DUMMYFUNCTION("""COMPUTED_VALUE"""),0.7083333333333334)</f>
        <v>0.7083333333</v>
      </c>
      <c r="D8225" s="8">
        <f>IFERROR(__xludf.DUMMYFUNCTION("""COMPUTED_VALUE"""),0.113)</f>
        <v>0.113</v>
      </c>
      <c r="E8225" s="8" t="str">
        <f>IFERROR(__xludf.DUMMYFUNCTION("""COMPUTED_VALUE"""),"Real")</f>
        <v>Real</v>
      </c>
      <c r="G8225" s="8">
        <f t="shared" si="1"/>
        <v>10</v>
      </c>
      <c r="H8225" s="14">
        <f t="shared" si="2"/>
        <v>9</v>
      </c>
      <c r="I8225" s="15">
        <f t="shared" si="3"/>
        <v>17</v>
      </c>
    </row>
    <row r="8226">
      <c r="A8226" s="8" t="str">
        <f>IFERROR(__xludf.DUMMYFUNCTION("IF('(INGESTA)Datos_consumo_datadis'!A8226&lt;&gt;"""",SPLIT('(INGESTA)Datos_consumo_datadis'!A:A,"",""),"""")"),"ES0031408323131005HX0F")</f>
        <v>ES0031408323131005HX0F</v>
      </c>
      <c r="B8226" s="12">
        <f>IFERROR(__xludf.DUMMYFUNCTION("""COMPUTED_VALUE"""),45208.0)</f>
        <v>45208</v>
      </c>
      <c r="C8226" s="13">
        <f>IFERROR(__xludf.DUMMYFUNCTION("""COMPUTED_VALUE"""),0.75)</f>
        <v>0.75</v>
      </c>
      <c r="D8226" s="8">
        <f>IFERROR(__xludf.DUMMYFUNCTION("""COMPUTED_VALUE"""),0.08)</f>
        <v>0.08</v>
      </c>
      <c r="E8226" s="8" t="str">
        <f>IFERROR(__xludf.DUMMYFUNCTION("""COMPUTED_VALUE"""),"Real")</f>
        <v>Real</v>
      </c>
      <c r="G8226" s="8">
        <f t="shared" si="1"/>
        <v>10</v>
      </c>
      <c r="H8226" s="14">
        <f t="shared" si="2"/>
        <v>9</v>
      </c>
      <c r="I8226" s="15">
        <f t="shared" si="3"/>
        <v>18</v>
      </c>
    </row>
    <row r="8227">
      <c r="A8227" s="8" t="str">
        <f>IFERROR(__xludf.DUMMYFUNCTION("IF('(INGESTA)Datos_consumo_datadis'!A8227&lt;&gt;"""",SPLIT('(INGESTA)Datos_consumo_datadis'!A:A,"",""),"""")"),"ES0031408323131005HX0F")</f>
        <v>ES0031408323131005HX0F</v>
      </c>
      <c r="B8227" s="12">
        <f>IFERROR(__xludf.DUMMYFUNCTION("""COMPUTED_VALUE"""),45208.0)</f>
        <v>45208</v>
      </c>
      <c r="C8227" s="13">
        <f>IFERROR(__xludf.DUMMYFUNCTION("""COMPUTED_VALUE"""),0.7916666666666666)</f>
        <v>0.7916666667</v>
      </c>
      <c r="D8227" s="8">
        <f>IFERROR(__xludf.DUMMYFUNCTION("""COMPUTED_VALUE"""),0.107)</f>
        <v>0.107</v>
      </c>
      <c r="E8227" s="8" t="str">
        <f>IFERROR(__xludf.DUMMYFUNCTION("""COMPUTED_VALUE"""),"Real")</f>
        <v>Real</v>
      </c>
      <c r="G8227" s="8">
        <f t="shared" si="1"/>
        <v>10</v>
      </c>
      <c r="H8227" s="14">
        <f t="shared" si="2"/>
        <v>9</v>
      </c>
      <c r="I8227" s="15">
        <f t="shared" si="3"/>
        <v>19</v>
      </c>
    </row>
    <row r="8228">
      <c r="A8228" s="8" t="str">
        <f>IFERROR(__xludf.DUMMYFUNCTION("IF('(INGESTA)Datos_consumo_datadis'!A8228&lt;&gt;"""",SPLIT('(INGESTA)Datos_consumo_datadis'!A:A,"",""),"""")"),"ES0031408323131005HX0F")</f>
        <v>ES0031408323131005HX0F</v>
      </c>
      <c r="B8228" s="12">
        <f>IFERROR(__xludf.DUMMYFUNCTION("""COMPUTED_VALUE"""),45208.0)</f>
        <v>45208</v>
      </c>
      <c r="C8228" s="13">
        <f>IFERROR(__xludf.DUMMYFUNCTION("""COMPUTED_VALUE"""),0.8333333333333334)</f>
        <v>0.8333333333</v>
      </c>
      <c r="D8228" s="8">
        <f>IFERROR(__xludf.DUMMYFUNCTION("""COMPUTED_VALUE"""),0.109)</f>
        <v>0.109</v>
      </c>
      <c r="E8228" s="8" t="str">
        <f>IFERROR(__xludf.DUMMYFUNCTION("""COMPUTED_VALUE"""),"Real")</f>
        <v>Real</v>
      </c>
      <c r="G8228" s="8">
        <f t="shared" si="1"/>
        <v>10</v>
      </c>
      <c r="H8228" s="14">
        <f t="shared" si="2"/>
        <v>9</v>
      </c>
      <c r="I8228" s="15">
        <f t="shared" si="3"/>
        <v>20</v>
      </c>
    </row>
    <row r="8229">
      <c r="A8229" s="8" t="str">
        <f>IFERROR(__xludf.DUMMYFUNCTION("IF('(INGESTA)Datos_consumo_datadis'!A8229&lt;&gt;"""",SPLIT('(INGESTA)Datos_consumo_datadis'!A:A,"",""),"""")"),"ES0031408323131005HX0F")</f>
        <v>ES0031408323131005HX0F</v>
      </c>
      <c r="B8229" s="12">
        <f>IFERROR(__xludf.DUMMYFUNCTION("""COMPUTED_VALUE"""),45208.0)</f>
        <v>45208</v>
      </c>
      <c r="C8229" s="13">
        <f>IFERROR(__xludf.DUMMYFUNCTION("""COMPUTED_VALUE"""),0.875)</f>
        <v>0.875</v>
      </c>
      <c r="D8229" s="8">
        <f>IFERROR(__xludf.DUMMYFUNCTION("""COMPUTED_VALUE"""),0.318)</f>
        <v>0.318</v>
      </c>
      <c r="E8229" s="8" t="str">
        <f>IFERROR(__xludf.DUMMYFUNCTION("""COMPUTED_VALUE"""),"Real")</f>
        <v>Real</v>
      </c>
      <c r="G8229" s="8">
        <f t="shared" si="1"/>
        <v>10</v>
      </c>
      <c r="H8229" s="14">
        <f t="shared" si="2"/>
        <v>9</v>
      </c>
      <c r="I8229" s="15">
        <f t="shared" si="3"/>
        <v>21</v>
      </c>
    </row>
    <row r="8230">
      <c r="A8230" s="8" t="str">
        <f>IFERROR(__xludf.DUMMYFUNCTION("IF('(INGESTA)Datos_consumo_datadis'!A8230&lt;&gt;"""",SPLIT('(INGESTA)Datos_consumo_datadis'!A:A,"",""),"""")"),"ES0031408323131005HX0F")</f>
        <v>ES0031408323131005HX0F</v>
      </c>
      <c r="B8230" s="12">
        <f>IFERROR(__xludf.DUMMYFUNCTION("""COMPUTED_VALUE"""),45208.0)</f>
        <v>45208</v>
      </c>
      <c r="C8230" s="13">
        <f>IFERROR(__xludf.DUMMYFUNCTION("""COMPUTED_VALUE"""),0.9166666666666666)</f>
        <v>0.9166666667</v>
      </c>
      <c r="D8230" s="8">
        <f>IFERROR(__xludf.DUMMYFUNCTION("""COMPUTED_VALUE"""),0.085)</f>
        <v>0.085</v>
      </c>
      <c r="E8230" s="8" t="str">
        <f>IFERROR(__xludf.DUMMYFUNCTION("""COMPUTED_VALUE"""),"Real")</f>
        <v>Real</v>
      </c>
      <c r="G8230" s="8">
        <f t="shared" si="1"/>
        <v>10</v>
      </c>
      <c r="H8230" s="14">
        <f t="shared" si="2"/>
        <v>9</v>
      </c>
      <c r="I8230" s="15">
        <f t="shared" si="3"/>
        <v>22</v>
      </c>
    </row>
    <row r="8231">
      <c r="A8231" s="8" t="str">
        <f>IFERROR(__xludf.DUMMYFUNCTION("IF('(INGESTA)Datos_consumo_datadis'!A8231&lt;&gt;"""",SPLIT('(INGESTA)Datos_consumo_datadis'!A:A,"",""),"""")"),"ES0031408323131005HX0F")</f>
        <v>ES0031408323131005HX0F</v>
      </c>
      <c r="B8231" s="12">
        <f>IFERROR(__xludf.DUMMYFUNCTION("""COMPUTED_VALUE"""),45208.0)</f>
        <v>45208</v>
      </c>
      <c r="C8231" s="13">
        <f>IFERROR(__xludf.DUMMYFUNCTION("""COMPUTED_VALUE"""),0.9583333333333334)</f>
        <v>0.9583333333</v>
      </c>
      <c r="D8231" s="8">
        <f>IFERROR(__xludf.DUMMYFUNCTION("""COMPUTED_VALUE"""),0.09)</f>
        <v>0.09</v>
      </c>
      <c r="E8231" s="8" t="str">
        <f>IFERROR(__xludf.DUMMYFUNCTION("""COMPUTED_VALUE"""),"Real")</f>
        <v>Real</v>
      </c>
      <c r="G8231" s="8">
        <f t="shared" si="1"/>
        <v>10</v>
      </c>
      <c r="H8231" s="14">
        <f t="shared" si="2"/>
        <v>9</v>
      </c>
      <c r="I8231" s="15">
        <f t="shared" si="3"/>
        <v>23</v>
      </c>
    </row>
    <row r="8232">
      <c r="A8232" s="8" t="str">
        <f>IFERROR(__xludf.DUMMYFUNCTION("IF('(INGESTA)Datos_consumo_datadis'!A8232&lt;&gt;"""",SPLIT('(INGESTA)Datos_consumo_datadis'!A:A,"",""),"""")"),"ES0031408323131005HX0F")</f>
        <v>ES0031408323131005HX0F</v>
      </c>
      <c r="B8232" s="12">
        <f>IFERROR(__xludf.DUMMYFUNCTION("""COMPUTED_VALUE"""),45208.0)</f>
        <v>45208</v>
      </c>
      <c r="C8232" s="16">
        <f>IFERROR(__xludf.DUMMYFUNCTION("""COMPUTED_VALUE"""),1.0)</f>
        <v>1</v>
      </c>
      <c r="D8232" s="8">
        <f>IFERROR(__xludf.DUMMYFUNCTION("""COMPUTED_VALUE"""),0.152)</f>
        <v>0.152</v>
      </c>
      <c r="E8232" s="8" t="str">
        <f>IFERROR(__xludf.DUMMYFUNCTION("""COMPUTED_VALUE"""),"Real")</f>
        <v>Real</v>
      </c>
      <c r="G8232" s="8">
        <f t="shared" si="1"/>
        <v>10</v>
      </c>
      <c r="H8232" s="14">
        <f t="shared" si="2"/>
        <v>9</v>
      </c>
      <c r="I8232" s="15">
        <f t="shared" si="3"/>
        <v>0</v>
      </c>
    </row>
    <row r="8233">
      <c r="A8233" s="8" t="str">
        <f>IFERROR(__xludf.DUMMYFUNCTION("IF('(INGESTA)Datos_consumo_datadis'!A8233&lt;&gt;"""",SPLIT('(INGESTA)Datos_consumo_datadis'!A:A,"",""),"""")"),"ES0031408323131005HX0F")</f>
        <v>ES0031408323131005HX0F</v>
      </c>
      <c r="B8233" s="17">
        <f>IFERROR(__xludf.DUMMYFUNCTION("""COMPUTED_VALUE"""),45209.0)</f>
        <v>45209</v>
      </c>
      <c r="C8233" s="13">
        <f>IFERROR(__xludf.DUMMYFUNCTION("""COMPUTED_VALUE"""),0.041666666666666664)</f>
        <v>0.04166666667</v>
      </c>
      <c r="D8233" s="8">
        <f>IFERROR(__xludf.DUMMYFUNCTION("""COMPUTED_VALUE"""),0.132)</f>
        <v>0.132</v>
      </c>
      <c r="E8233" s="8" t="str">
        <f>IFERROR(__xludf.DUMMYFUNCTION("""COMPUTED_VALUE"""),"Real")</f>
        <v>Real</v>
      </c>
      <c r="G8233" s="8">
        <f t="shared" si="1"/>
        <v>10</v>
      </c>
      <c r="H8233" s="14">
        <f t="shared" si="2"/>
        <v>10</v>
      </c>
      <c r="I8233" s="15">
        <f t="shared" si="3"/>
        <v>1</v>
      </c>
    </row>
    <row r="8234">
      <c r="A8234" s="8" t="str">
        <f>IFERROR(__xludf.DUMMYFUNCTION("IF('(INGESTA)Datos_consumo_datadis'!A8234&lt;&gt;"""",SPLIT('(INGESTA)Datos_consumo_datadis'!A:A,"",""),"""")"),"ES0031408323131005HX0F")</f>
        <v>ES0031408323131005HX0F</v>
      </c>
      <c r="B8234" s="17">
        <f>IFERROR(__xludf.DUMMYFUNCTION("""COMPUTED_VALUE"""),45209.0)</f>
        <v>45209</v>
      </c>
      <c r="C8234" s="13">
        <f>IFERROR(__xludf.DUMMYFUNCTION("""COMPUTED_VALUE"""),0.08333333333333333)</f>
        <v>0.08333333333</v>
      </c>
      <c r="D8234" s="8">
        <f>IFERROR(__xludf.DUMMYFUNCTION("""COMPUTED_VALUE"""),0.121)</f>
        <v>0.121</v>
      </c>
      <c r="E8234" s="8" t="str">
        <f>IFERROR(__xludf.DUMMYFUNCTION("""COMPUTED_VALUE"""),"Real")</f>
        <v>Real</v>
      </c>
      <c r="G8234" s="8">
        <f t="shared" si="1"/>
        <v>10</v>
      </c>
      <c r="H8234" s="14">
        <f t="shared" si="2"/>
        <v>10</v>
      </c>
      <c r="I8234" s="15">
        <f t="shared" si="3"/>
        <v>2</v>
      </c>
    </row>
    <row r="8235">
      <c r="A8235" s="8" t="str">
        <f>IFERROR(__xludf.DUMMYFUNCTION("IF('(INGESTA)Datos_consumo_datadis'!A8235&lt;&gt;"""",SPLIT('(INGESTA)Datos_consumo_datadis'!A:A,"",""),"""")"),"ES0031408323131005HX0F")</f>
        <v>ES0031408323131005HX0F</v>
      </c>
      <c r="B8235" s="17">
        <f>IFERROR(__xludf.DUMMYFUNCTION("""COMPUTED_VALUE"""),45209.0)</f>
        <v>45209</v>
      </c>
      <c r="C8235" s="13">
        <f>IFERROR(__xludf.DUMMYFUNCTION("""COMPUTED_VALUE"""),0.125)</f>
        <v>0.125</v>
      </c>
      <c r="D8235" s="8">
        <f>IFERROR(__xludf.DUMMYFUNCTION("""COMPUTED_VALUE"""),0.139)</f>
        <v>0.139</v>
      </c>
      <c r="E8235" s="8" t="str">
        <f>IFERROR(__xludf.DUMMYFUNCTION("""COMPUTED_VALUE"""),"Real")</f>
        <v>Real</v>
      </c>
      <c r="G8235" s="8">
        <f t="shared" si="1"/>
        <v>10</v>
      </c>
      <c r="H8235" s="14">
        <f t="shared" si="2"/>
        <v>10</v>
      </c>
      <c r="I8235" s="15">
        <f t="shared" si="3"/>
        <v>3</v>
      </c>
    </row>
    <row r="8236">
      <c r="A8236" s="8" t="str">
        <f>IFERROR(__xludf.DUMMYFUNCTION("IF('(INGESTA)Datos_consumo_datadis'!A8236&lt;&gt;"""",SPLIT('(INGESTA)Datos_consumo_datadis'!A:A,"",""),"""")"),"ES0031408323131005HX0F")</f>
        <v>ES0031408323131005HX0F</v>
      </c>
      <c r="B8236" s="17">
        <f>IFERROR(__xludf.DUMMYFUNCTION("""COMPUTED_VALUE"""),45209.0)</f>
        <v>45209</v>
      </c>
      <c r="C8236" s="13">
        <f>IFERROR(__xludf.DUMMYFUNCTION("""COMPUTED_VALUE"""),0.16666666666666666)</f>
        <v>0.1666666667</v>
      </c>
      <c r="D8236" s="8">
        <f>IFERROR(__xludf.DUMMYFUNCTION("""COMPUTED_VALUE"""),0.139)</f>
        <v>0.139</v>
      </c>
      <c r="E8236" s="8" t="str">
        <f>IFERROR(__xludf.DUMMYFUNCTION("""COMPUTED_VALUE"""),"Real")</f>
        <v>Real</v>
      </c>
      <c r="G8236" s="8">
        <f t="shared" si="1"/>
        <v>10</v>
      </c>
      <c r="H8236" s="14">
        <f t="shared" si="2"/>
        <v>10</v>
      </c>
      <c r="I8236" s="15">
        <f t="shared" si="3"/>
        <v>4</v>
      </c>
    </row>
    <row r="8237">
      <c r="A8237" s="8" t="str">
        <f>IFERROR(__xludf.DUMMYFUNCTION("IF('(INGESTA)Datos_consumo_datadis'!A8237&lt;&gt;"""",SPLIT('(INGESTA)Datos_consumo_datadis'!A:A,"",""),"""")"),"ES0031408323131005HX0F")</f>
        <v>ES0031408323131005HX0F</v>
      </c>
      <c r="B8237" s="17">
        <f>IFERROR(__xludf.DUMMYFUNCTION("""COMPUTED_VALUE"""),45209.0)</f>
        <v>45209</v>
      </c>
      <c r="C8237" s="13">
        <f>IFERROR(__xludf.DUMMYFUNCTION("""COMPUTED_VALUE"""),0.20833333333333334)</f>
        <v>0.2083333333</v>
      </c>
      <c r="D8237" s="8">
        <f>IFERROR(__xludf.DUMMYFUNCTION("""COMPUTED_VALUE"""),0.21)</f>
        <v>0.21</v>
      </c>
      <c r="E8237" s="8" t="str">
        <f>IFERROR(__xludf.DUMMYFUNCTION("""COMPUTED_VALUE"""),"Real")</f>
        <v>Real</v>
      </c>
      <c r="G8237" s="8">
        <f t="shared" si="1"/>
        <v>10</v>
      </c>
      <c r="H8237" s="14">
        <f t="shared" si="2"/>
        <v>10</v>
      </c>
      <c r="I8237" s="15">
        <f t="shared" si="3"/>
        <v>5</v>
      </c>
    </row>
    <row r="8238">
      <c r="A8238" s="8" t="str">
        <f>IFERROR(__xludf.DUMMYFUNCTION("IF('(INGESTA)Datos_consumo_datadis'!A8238&lt;&gt;"""",SPLIT('(INGESTA)Datos_consumo_datadis'!A:A,"",""),"""")"),"ES0031408323131005HX0F")</f>
        <v>ES0031408323131005HX0F</v>
      </c>
      <c r="B8238" s="17">
        <f>IFERROR(__xludf.DUMMYFUNCTION("""COMPUTED_VALUE"""),45209.0)</f>
        <v>45209</v>
      </c>
      <c r="C8238" s="13">
        <f>IFERROR(__xludf.DUMMYFUNCTION("""COMPUTED_VALUE"""),0.25)</f>
        <v>0.25</v>
      </c>
      <c r="D8238" s="8">
        <f>IFERROR(__xludf.DUMMYFUNCTION("""COMPUTED_VALUE"""),0.281)</f>
        <v>0.281</v>
      </c>
      <c r="E8238" s="8" t="str">
        <f>IFERROR(__xludf.DUMMYFUNCTION("""COMPUTED_VALUE"""),"Real")</f>
        <v>Real</v>
      </c>
      <c r="G8238" s="8">
        <f t="shared" si="1"/>
        <v>10</v>
      </c>
      <c r="H8238" s="14">
        <f t="shared" si="2"/>
        <v>10</v>
      </c>
      <c r="I8238" s="15">
        <f t="shared" si="3"/>
        <v>6</v>
      </c>
    </row>
    <row r="8239">
      <c r="A8239" s="8" t="str">
        <f>IFERROR(__xludf.DUMMYFUNCTION("IF('(INGESTA)Datos_consumo_datadis'!A8239&lt;&gt;"""",SPLIT('(INGESTA)Datos_consumo_datadis'!A:A,"",""),"""")"),"ES0031408323131005HX0F")</f>
        <v>ES0031408323131005HX0F</v>
      </c>
      <c r="B8239" s="17">
        <f>IFERROR(__xludf.DUMMYFUNCTION("""COMPUTED_VALUE"""),45209.0)</f>
        <v>45209</v>
      </c>
      <c r="C8239" s="13">
        <f>IFERROR(__xludf.DUMMYFUNCTION("""COMPUTED_VALUE"""),0.2916666666666667)</f>
        <v>0.2916666667</v>
      </c>
      <c r="D8239" s="8">
        <f>IFERROR(__xludf.DUMMYFUNCTION("""COMPUTED_VALUE"""),0.122)</f>
        <v>0.122</v>
      </c>
      <c r="E8239" s="8" t="str">
        <f>IFERROR(__xludf.DUMMYFUNCTION("""COMPUTED_VALUE"""),"Real")</f>
        <v>Real</v>
      </c>
      <c r="G8239" s="8">
        <f t="shared" si="1"/>
        <v>10</v>
      </c>
      <c r="H8239" s="14">
        <f t="shared" si="2"/>
        <v>10</v>
      </c>
      <c r="I8239" s="15">
        <f t="shared" si="3"/>
        <v>7</v>
      </c>
    </row>
    <row r="8240">
      <c r="A8240" s="8" t="str">
        <f>IFERROR(__xludf.DUMMYFUNCTION("IF('(INGESTA)Datos_consumo_datadis'!A8240&lt;&gt;"""",SPLIT('(INGESTA)Datos_consumo_datadis'!A:A,"",""),"""")"),"ES0031408323131005HX0F")</f>
        <v>ES0031408323131005HX0F</v>
      </c>
      <c r="B8240" s="17">
        <f>IFERROR(__xludf.DUMMYFUNCTION("""COMPUTED_VALUE"""),45209.0)</f>
        <v>45209</v>
      </c>
      <c r="C8240" s="13">
        <f>IFERROR(__xludf.DUMMYFUNCTION("""COMPUTED_VALUE"""),0.3333333333333333)</f>
        <v>0.3333333333</v>
      </c>
      <c r="D8240" s="8">
        <f>IFERROR(__xludf.DUMMYFUNCTION("""COMPUTED_VALUE"""),0.121)</f>
        <v>0.121</v>
      </c>
      <c r="E8240" s="8" t="str">
        <f>IFERROR(__xludf.DUMMYFUNCTION("""COMPUTED_VALUE"""),"Real")</f>
        <v>Real</v>
      </c>
      <c r="G8240" s="8">
        <f t="shared" si="1"/>
        <v>10</v>
      </c>
      <c r="H8240" s="14">
        <f t="shared" si="2"/>
        <v>10</v>
      </c>
      <c r="I8240" s="15">
        <f t="shared" si="3"/>
        <v>8</v>
      </c>
    </row>
    <row r="8241">
      <c r="A8241" s="8" t="str">
        <f>IFERROR(__xludf.DUMMYFUNCTION("IF('(INGESTA)Datos_consumo_datadis'!A8241&lt;&gt;"""",SPLIT('(INGESTA)Datos_consumo_datadis'!A:A,"",""),"""")"),"ES0031408323131005HX0F")</f>
        <v>ES0031408323131005HX0F</v>
      </c>
      <c r="B8241" s="17">
        <f>IFERROR(__xludf.DUMMYFUNCTION("""COMPUTED_VALUE"""),45209.0)</f>
        <v>45209</v>
      </c>
      <c r="C8241" s="13">
        <f>IFERROR(__xludf.DUMMYFUNCTION("""COMPUTED_VALUE"""),0.375)</f>
        <v>0.375</v>
      </c>
      <c r="D8241" s="8">
        <f>IFERROR(__xludf.DUMMYFUNCTION("""COMPUTED_VALUE"""),0.111)</f>
        <v>0.111</v>
      </c>
      <c r="E8241" s="8" t="str">
        <f>IFERROR(__xludf.DUMMYFUNCTION("""COMPUTED_VALUE"""),"Real")</f>
        <v>Real</v>
      </c>
      <c r="G8241" s="8">
        <f t="shared" si="1"/>
        <v>10</v>
      </c>
      <c r="H8241" s="14">
        <f t="shared" si="2"/>
        <v>10</v>
      </c>
      <c r="I8241" s="15">
        <f t="shared" si="3"/>
        <v>9</v>
      </c>
    </row>
    <row r="8242">
      <c r="A8242" s="8" t="str">
        <f>IFERROR(__xludf.DUMMYFUNCTION("IF('(INGESTA)Datos_consumo_datadis'!A8242&lt;&gt;"""",SPLIT('(INGESTA)Datos_consumo_datadis'!A:A,"",""),"""")"),"ES0031408323131005HX0F")</f>
        <v>ES0031408323131005HX0F</v>
      </c>
      <c r="B8242" s="17">
        <f>IFERROR(__xludf.DUMMYFUNCTION("""COMPUTED_VALUE"""),45209.0)</f>
        <v>45209</v>
      </c>
      <c r="C8242" s="13">
        <f>IFERROR(__xludf.DUMMYFUNCTION("""COMPUTED_VALUE"""),0.4166666666666667)</f>
        <v>0.4166666667</v>
      </c>
      <c r="D8242" s="8">
        <f>IFERROR(__xludf.DUMMYFUNCTION("""COMPUTED_VALUE"""),0.056)</f>
        <v>0.056</v>
      </c>
      <c r="E8242" s="8" t="str">
        <f>IFERROR(__xludf.DUMMYFUNCTION("""COMPUTED_VALUE"""),"Real")</f>
        <v>Real</v>
      </c>
      <c r="G8242" s="8">
        <f t="shared" si="1"/>
        <v>10</v>
      </c>
      <c r="H8242" s="14">
        <f t="shared" si="2"/>
        <v>10</v>
      </c>
      <c r="I8242" s="15">
        <f t="shared" si="3"/>
        <v>10</v>
      </c>
    </row>
    <row r="8243">
      <c r="A8243" s="8" t="str">
        <f>IFERROR(__xludf.DUMMYFUNCTION("IF('(INGESTA)Datos_consumo_datadis'!A8243&lt;&gt;"""",SPLIT('(INGESTA)Datos_consumo_datadis'!A:A,"",""),"""")"),"ES0031408323131005HX0F")</f>
        <v>ES0031408323131005HX0F</v>
      </c>
      <c r="B8243" s="17">
        <f>IFERROR(__xludf.DUMMYFUNCTION("""COMPUTED_VALUE"""),45209.0)</f>
        <v>45209</v>
      </c>
      <c r="C8243" s="13">
        <f>IFERROR(__xludf.DUMMYFUNCTION("""COMPUTED_VALUE"""),0.4583333333333333)</f>
        <v>0.4583333333</v>
      </c>
      <c r="D8243" s="8">
        <f>IFERROR(__xludf.DUMMYFUNCTION("""COMPUTED_VALUE"""),0.103)</f>
        <v>0.103</v>
      </c>
      <c r="E8243" s="8" t="str">
        <f>IFERROR(__xludf.DUMMYFUNCTION("""COMPUTED_VALUE"""),"Real")</f>
        <v>Real</v>
      </c>
      <c r="G8243" s="8">
        <f t="shared" si="1"/>
        <v>10</v>
      </c>
      <c r="H8243" s="14">
        <f t="shared" si="2"/>
        <v>10</v>
      </c>
      <c r="I8243" s="15">
        <f t="shared" si="3"/>
        <v>11</v>
      </c>
    </row>
    <row r="8244">
      <c r="A8244" s="8" t="str">
        <f>IFERROR(__xludf.DUMMYFUNCTION("IF('(INGESTA)Datos_consumo_datadis'!A8244&lt;&gt;"""",SPLIT('(INGESTA)Datos_consumo_datadis'!A:A,"",""),"""")"),"ES0031408323131005HX0F")</f>
        <v>ES0031408323131005HX0F</v>
      </c>
      <c r="B8244" s="17">
        <f>IFERROR(__xludf.DUMMYFUNCTION("""COMPUTED_VALUE"""),45209.0)</f>
        <v>45209</v>
      </c>
      <c r="C8244" s="13">
        <f>IFERROR(__xludf.DUMMYFUNCTION("""COMPUTED_VALUE"""),0.5)</f>
        <v>0.5</v>
      </c>
      <c r="D8244" s="8">
        <f>IFERROR(__xludf.DUMMYFUNCTION("""COMPUTED_VALUE"""),0.311)</f>
        <v>0.311</v>
      </c>
      <c r="E8244" s="8" t="str">
        <f>IFERROR(__xludf.DUMMYFUNCTION("""COMPUTED_VALUE"""),"Real")</f>
        <v>Real</v>
      </c>
      <c r="G8244" s="8">
        <f t="shared" si="1"/>
        <v>10</v>
      </c>
      <c r="H8244" s="14">
        <f t="shared" si="2"/>
        <v>10</v>
      </c>
      <c r="I8244" s="15">
        <f t="shared" si="3"/>
        <v>12</v>
      </c>
    </row>
    <row r="8245">
      <c r="A8245" s="8" t="str">
        <f>IFERROR(__xludf.DUMMYFUNCTION("IF('(INGESTA)Datos_consumo_datadis'!A8245&lt;&gt;"""",SPLIT('(INGESTA)Datos_consumo_datadis'!A:A,"",""),"""")"),"ES0031408323131005HX0F")</f>
        <v>ES0031408323131005HX0F</v>
      </c>
      <c r="B8245" s="17">
        <f>IFERROR(__xludf.DUMMYFUNCTION("""COMPUTED_VALUE"""),45209.0)</f>
        <v>45209</v>
      </c>
      <c r="C8245" s="13">
        <f>IFERROR(__xludf.DUMMYFUNCTION("""COMPUTED_VALUE"""),0.5416666666666666)</f>
        <v>0.5416666667</v>
      </c>
      <c r="D8245" s="8">
        <f>IFERROR(__xludf.DUMMYFUNCTION("""COMPUTED_VALUE"""),0.09)</f>
        <v>0.09</v>
      </c>
      <c r="E8245" s="8" t="str">
        <f>IFERROR(__xludf.DUMMYFUNCTION("""COMPUTED_VALUE"""),"Real")</f>
        <v>Real</v>
      </c>
      <c r="G8245" s="8">
        <f t="shared" si="1"/>
        <v>10</v>
      </c>
      <c r="H8245" s="14">
        <f t="shared" si="2"/>
        <v>10</v>
      </c>
      <c r="I8245" s="15">
        <f t="shared" si="3"/>
        <v>13</v>
      </c>
    </row>
    <row r="8246">
      <c r="A8246" s="8" t="str">
        <f>IFERROR(__xludf.DUMMYFUNCTION("IF('(INGESTA)Datos_consumo_datadis'!A8246&lt;&gt;"""",SPLIT('(INGESTA)Datos_consumo_datadis'!A:A,"",""),"""")"),"ES0031408323131005HX0F")</f>
        <v>ES0031408323131005HX0F</v>
      </c>
      <c r="B8246" s="17">
        <f>IFERROR(__xludf.DUMMYFUNCTION("""COMPUTED_VALUE"""),45209.0)</f>
        <v>45209</v>
      </c>
      <c r="C8246" s="13">
        <f>IFERROR(__xludf.DUMMYFUNCTION("""COMPUTED_VALUE"""),0.5833333333333334)</f>
        <v>0.5833333333</v>
      </c>
      <c r="D8246" s="8">
        <f>IFERROR(__xludf.DUMMYFUNCTION("""COMPUTED_VALUE"""),0.113)</f>
        <v>0.113</v>
      </c>
      <c r="E8246" s="8" t="str">
        <f>IFERROR(__xludf.DUMMYFUNCTION("""COMPUTED_VALUE"""),"Real")</f>
        <v>Real</v>
      </c>
      <c r="G8246" s="8">
        <f t="shared" si="1"/>
        <v>10</v>
      </c>
      <c r="H8246" s="14">
        <f t="shared" si="2"/>
        <v>10</v>
      </c>
      <c r="I8246" s="15">
        <f t="shared" si="3"/>
        <v>14</v>
      </c>
    </row>
    <row r="8247">
      <c r="A8247" s="8" t="str">
        <f>IFERROR(__xludf.DUMMYFUNCTION("IF('(INGESTA)Datos_consumo_datadis'!A8247&lt;&gt;"""",SPLIT('(INGESTA)Datos_consumo_datadis'!A:A,"",""),"""")"),"ES0031408323131005HX0F")</f>
        <v>ES0031408323131005HX0F</v>
      </c>
      <c r="B8247" s="17">
        <f>IFERROR(__xludf.DUMMYFUNCTION("""COMPUTED_VALUE"""),45209.0)</f>
        <v>45209</v>
      </c>
      <c r="C8247" s="13">
        <f>IFERROR(__xludf.DUMMYFUNCTION("""COMPUTED_VALUE"""),0.625)</f>
        <v>0.625</v>
      </c>
      <c r="D8247" s="8">
        <f>IFERROR(__xludf.DUMMYFUNCTION("""COMPUTED_VALUE"""),0.204)</f>
        <v>0.204</v>
      </c>
      <c r="E8247" s="8" t="str">
        <f>IFERROR(__xludf.DUMMYFUNCTION("""COMPUTED_VALUE"""),"Real")</f>
        <v>Real</v>
      </c>
      <c r="G8247" s="8">
        <f t="shared" si="1"/>
        <v>10</v>
      </c>
      <c r="H8247" s="14">
        <f t="shared" si="2"/>
        <v>10</v>
      </c>
      <c r="I8247" s="15">
        <f t="shared" si="3"/>
        <v>15</v>
      </c>
    </row>
    <row r="8248">
      <c r="A8248" s="8" t="str">
        <f>IFERROR(__xludf.DUMMYFUNCTION("IF('(INGESTA)Datos_consumo_datadis'!A8248&lt;&gt;"""",SPLIT('(INGESTA)Datos_consumo_datadis'!A:A,"",""),"""")"),"ES0031408323131005HX0F")</f>
        <v>ES0031408323131005HX0F</v>
      </c>
      <c r="B8248" s="17">
        <f>IFERROR(__xludf.DUMMYFUNCTION("""COMPUTED_VALUE"""),45209.0)</f>
        <v>45209</v>
      </c>
      <c r="C8248" s="13">
        <f>IFERROR(__xludf.DUMMYFUNCTION("""COMPUTED_VALUE"""),0.6666666666666666)</f>
        <v>0.6666666667</v>
      </c>
      <c r="D8248" s="8">
        <f>IFERROR(__xludf.DUMMYFUNCTION("""COMPUTED_VALUE"""),0.284)</f>
        <v>0.284</v>
      </c>
      <c r="E8248" s="8" t="str">
        <f>IFERROR(__xludf.DUMMYFUNCTION("""COMPUTED_VALUE"""),"Real")</f>
        <v>Real</v>
      </c>
      <c r="G8248" s="8">
        <f t="shared" si="1"/>
        <v>10</v>
      </c>
      <c r="H8248" s="14">
        <f t="shared" si="2"/>
        <v>10</v>
      </c>
      <c r="I8248" s="15">
        <f t="shared" si="3"/>
        <v>16</v>
      </c>
    </row>
    <row r="8249">
      <c r="A8249" s="8" t="str">
        <f>IFERROR(__xludf.DUMMYFUNCTION("IF('(INGESTA)Datos_consumo_datadis'!A8249&lt;&gt;"""",SPLIT('(INGESTA)Datos_consumo_datadis'!A:A,"",""),"""")"),"ES0031408323131005HX0F")</f>
        <v>ES0031408323131005HX0F</v>
      </c>
      <c r="B8249" s="17">
        <f>IFERROR(__xludf.DUMMYFUNCTION("""COMPUTED_VALUE"""),45209.0)</f>
        <v>45209</v>
      </c>
      <c r="C8249" s="13">
        <f>IFERROR(__xludf.DUMMYFUNCTION("""COMPUTED_VALUE"""),0.7083333333333334)</f>
        <v>0.7083333333</v>
      </c>
      <c r="D8249" s="8">
        <f>IFERROR(__xludf.DUMMYFUNCTION("""COMPUTED_VALUE"""),0.216)</f>
        <v>0.216</v>
      </c>
      <c r="E8249" s="8" t="str">
        <f>IFERROR(__xludf.DUMMYFUNCTION("""COMPUTED_VALUE"""),"Real")</f>
        <v>Real</v>
      </c>
      <c r="G8249" s="8">
        <f t="shared" si="1"/>
        <v>10</v>
      </c>
      <c r="H8249" s="14">
        <f t="shared" si="2"/>
        <v>10</v>
      </c>
      <c r="I8249" s="15">
        <f t="shared" si="3"/>
        <v>17</v>
      </c>
    </row>
    <row r="8250">
      <c r="A8250" s="8" t="str">
        <f>IFERROR(__xludf.DUMMYFUNCTION("IF('(INGESTA)Datos_consumo_datadis'!A8250&lt;&gt;"""",SPLIT('(INGESTA)Datos_consumo_datadis'!A:A,"",""),"""")"),"ES0031408323131005HX0F")</f>
        <v>ES0031408323131005HX0F</v>
      </c>
      <c r="B8250" s="17">
        <f>IFERROR(__xludf.DUMMYFUNCTION("""COMPUTED_VALUE"""),45209.0)</f>
        <v>45209</v>
      </c>
      <c r="C8250" s="13">
        <f>IFERROR(__xludf.DUMMYFUNCTION("""COMPUTED_VALUE"""),0.75)</f>
        <v>0.75</v>
      </c>
      <c r="D8250" s="8">
        <f>IFERROR(__xludf.DUMMYFUNCTION("""COMPUTED_VALUE"""),0.096)</f>
        <v>0.096</v>
      </c>
      <c r="E8250" s="8" t="str">
        <f>IFERROR(__xludf.DUMMYFUNCTION("""COMPUTED_VALUE"""),"Real")</f>
        <v>Real</v>
      </c>
      <c r="G8250" s="8">
        <f t="shared" si="1"/>
        <v>10</v>
      </c>
      <c r="H8250" s="14">
        <f t="shared" si="2"/>
        <v>10</v>
      </c>
      <c r="I8250" s="15">
        <f t="shared" si="3"/>
        <v>18</v>
      </c>
    </row>
    <row r="8251">
      <c r="A8251" s="8" t="str">
        <f>IFERROR(__xludf.DUMMYFUNCTION("IF('(INGESTA)Datos_consumo_datadis'!A8251&lt;&gt;"""",SPLIT('(INGESTA)Datos_consumo_datadis'!A:A,"",""),"""")"),"ES0031408323131005HX0F")</f>
        <v>ES0031408323131005HX0F</v>
      </c>
      <c r="B8251" s="17">
        <f>IFERROR(__xludf.DUMMYFUNCTION("""COMPUTED_VALUE"""),45209.0)</f>
        <v>45209</v>
      </c>
      <c r="C8251" s="13">
        <f>IFERROR(__xludf.DUMMYFUNCTION("""COMPUTED_VALUE"""),0.7916666666666666)</f>
        <v>0.7916666667</v>
      </c>
      <c r="D8251" s="8">
        <f>IFERROR(__xludf.DUMMYFUNCTION("""COMPUTED_VALUE"""),0.113)</f>
        <v>0.113</v>
      </c>
      <c r="E8251" s="8" t="str">
        <f>IFERROR(__xludf.DUMMYFUNCTION("""COMPUTED_VALUE"""),"Real")</f>
        <v>Real</v>
      </c>
      <c r="G8251" s="8">
        <f t="shared" si="1"/>
        <v>10</v>
      </c>
      <c r="H8251" s="14">
        <f t="shared" si="2"/>
        <v>10</v>
      </c>
      <c r="I8251" s="15">
        <f t="shared" si="3"/>
        <v>19</v>
      </c>
    </row>
    <row r="8252">
      <c r="A8252" s="8" t="str">
        <f>IFERROR(__xludf.DUMMYFUNCTION("IF('(INGESTA)Datos_consumo_datadis'!A8252&lt;&gt;"""",SPLIT('(INGESTA)Datos_consumo_datadis'!A:A,"",""),"""")"),"ES0031408323131005HX0F")</f>
        <v>ES0031408323131005HX0F</v>
      </c>
      <c r="B8252" s="17">
        <f>IFERROR(__xludf.DUMMYFUNCTION("""COMPUTED_VALUE"""),45209.0)</f>
        <v>45209</v>
      </c>
      <c r="C8252" s="13">
        <f>IFERROR(__xludf.DUMMYFUNCTION("""COMPUTED_VALUE"""),0.8333333333333334)</f>
        <v>0.8333333333</v>
      </c>
      <c r="D8252" s="8">
        <f>IFERROR(__xludf.DUMMYFUNCTION("""COMPUTED_VALUE"""),0.413)</f>
        <v>0.413</v>
      </c>
      <c r="E8252" s="8" t="str">
        <f>IFERROR(__xludf.DUMMYFUNCTION("""COMPUTED_VALUE"""),"Real")</f>
        <v>Real</v>
      </c>
      <c r="G8252" s="8">
        <f t="shared" si="1"/>
        <v>10</v>
      </c>
      <c r="H8252" s="14">
        <f t="shared" si="2"/>
        <v>10</v>
      </c>
      <c r="I8252" s="15">
        <f t="shared" si="3"/>
        <v>20</v>
      </c>
    </row>
    <row r="8253">
      <c r="A8253" s="8" t="str">
        <f>IFERROR(__xludf.DUMMYFUNCTION("IF('(INGESTA)Datos_consumo_datadis'!A8253&lt;&gt;"""",SPLIT('(INGESTA)Datos_consumo_datadis'!A:A,"",""),"""")"),"ES0031408323131005HX0F")</f>
        <v>ES0031408323131005HX0F</v>
      </c>
      <c r="B8253" s="17">
        <f>IFERROR(__xludf.DUMMYFUNCTION("""COMPUTED_VALUE"""),45209.0)</f>
        <v>45209</v>
      </c>
      <c r="C8253" s="13">
        <f>IFERROR(__xludf.DUMMYFUNCTION("""COMPUTED_VALUE"""),0.875)</f>
        <v>0.875</v>
      </c>
      <c r="D8253" s="8">
        <f>IFERROR(__xludf.DUMMYFUNCTION("""COMPUTED_VALUE"""),0.076)</f>
        <v>0.076</v>
      </c>
      <c r="E8253" s="8" t="str">
        <f>IFERROR(__xludf.DUMMYFUNCTION("""COMPUTED_VALUE"""),"Real")</f>
        <v>Real</v>
      </c>
      <c r="G8253" s="8">
        <f t="shared" si="1"/>
        <v>10</v>
      </c>
      <c r="H8253" s="14">
        <f t="shared" si="2"/>
        <v>10</v>
      </c>
      <c r="I8253" s="15">
        <f t="shared" si="3"/>
        <v>21</v>
      </c>
    </row>
    <row r="8254">
      <c r="A8254" s="8" t="str">
        <f>IFERROR(__xludf.DUMMYFUNCTION("IF('(INGESTA)Datos_consumo_datadis'!A8254&lt;&gt;"""",SPLIT('(INGESTA)Datos_consumo_datadis'!A:A,"",""),"""")"),"ES0031408323131005HX0F")</f>
        <v>ES0031408323131005HX0F</v>
      </c>
      <c r="B8254" s="17">
        <f>IFERROR(__xludf.DUMMYFUNCTION("""COMPUTED_VALUE"""),45209.0)</f>
        <v>45209</v>
      </c>
      <c r="C8254" s="13">
        <f>IFERROR(__xludf.DUMMYFUNCTION("""COMPUTED_VALUE"""),0.9166666666666666)</f>
        <v>0.9166666667</v>
      </c>
      <c r="D8254" s="8">
        <f>IFERROR(__xludf.DUMMYFUNCTION("""COMPUTED_VALUE"""),1.004)</f>
        <v>1.004</v>
      </c>
      <c r="E8254" s="8" t="str">
        <f>IFERROR(__xludf.DUMMYFUNCTION("""COMPUTED_VALUE"""),"Real")</f>
        <v>Real</v>
      </c>
      <c r="G8254" s="8">
        <f t="shared" si="1"/>
        <v>10</v>
      </c>
      <c r="H8254" s="14">
        <f t="shared" si="2"/>
        <v>10</v>
      </c>
      <c r="I8254" s="15">
        <f t="shared" si="3"/>
        <v>22</v>
      </c>
    </row>
    <row r="8255">
      <c r="A8255" s="8" t="str">
        <f>IFERROR(__xludf.DUMMYFUNCTION("IF('(INGESTA)Datos_consumo_datadis'!A8255&lt;&gt;"""",SPLIT('(INGESTA)Datos_consumo_datadis'!A:A,"",""),"""")"),"ES0031408323131005HX0F")</f>
        <v>ES0031408323131005HX0F</v>
      </c>
      <c r="B8255" s="17">
        <f>IFERROR(__xludf.DUMMYFUNCTION("""COMPUTED_VALUE"""),45209.0)</f>
        <v>45209</v>
      </c>
      <c r="C8255" s="13">
        <f>IFERROR(__xludf.DUMMYFUNCTION("""COMPUTED_VALUE"""),0.9583333333333334)</f>
        <v>0.9583333333</v>
      </c>
      <c r="D8255" s="8">
        <f>IFERROR(__xludf.DUMMYFUNCTION("""COMPUTED_VALUE"""),0.144)</f>
        <v>0.144</v>
      </c>
      <c r="E8255" s="8" t="str">
        <f>IFERROR(__xludf.DUMMYFUNCTION("""COMPUTED_VALUE"""),"Real")</f>
        <v>Real</v>
      </c>
      <c r="G8255" s="8">
        <f t="shared" si="1"/>
        <v>10</v>
      </c>
      <c r="H8255" s="14">
        <f t="shared" si="2"/>
        <v>10</v>
      </c>
      <c r="I8255" s="15">
        <f t="shared" si="3"/>
        <v>23</v>
      </c>
    </row>
    <row r="8256">
      <c r="A8256" s="8" t="str">
        <f>IFERROR(__xludf.DUMMYFUNCTION("IF('(INGESTA)Datos_consumo_datadis'!A8256&lt;&gt;"""",SPLIT('(INGESTA)Datos_consumo_datadis'!A:A,"",""),"""")"),"ES0031408323131005HX0F")</f>
        <v>ES0031408323131005HX0F</v>
      </c>
      <c r="B8256" s="17">
        <f>IFERROR(__xludf.DUMMYFUNCTION("""COMPUTED_VALUE"""),45209.0)</f>
        <v>45209</v>
      </c>
      <c r="C8256" s="16">
        <f>IFERROR(__xludf.DUMMYFUNCTION("""COMPUTED_VALUE"""),1.0)</f>
        <v>1</v>
      </c>
      <c r="D8256" s="8">
        <f>IFERROR(__xludf.DUMMYFUNCTION("""COMPUTED_VALUE"""),0.126)</f>
        <v>0.126</v>
      </c>
      <c r="E8256" s="8" t="str">
        <f>IFERROR(__xludf.DUMMYFUNCTION("""COMPUTED_VALUE"""),"Real")</f>
        <v>Real</v>
      </c>
      <c r="G8256" s="8">
        <f t="shared" si="1"/>
        <v>10</v>
      </c>
      <c r="H8256" s="14">
        <f t="shared" si="2"/>
        <v>10</v>
      </c>
      <c r="I8256" s="15">
        <f t="shared" si="3"/>
        <v>0</v>
      </c>
    </row>
    <row r="8257">
      <c r="A8257" s="8" t="str">
        <f>IFERROR(__xludf.DUMMYFUNCTION("IF('(INGESTA)Datos_consumo_datadis'!A8257&lt;&gt;"""",SPLIT('(INGESTA)Datos_consumo_datadis'!A:A,"",""),"""")"),"ES0031408323131005HX0F")</f>
        <v>ES0031408323131005HX0F</v>
      </c>
      <c r="B8257" s="17">
        <f>IFERROR(__xludf.DUMMYFUNCTION("""COMPUTED_VALUE"""),45210.0)</f>
        <v>45210</v>
      </c>
      <c r="C8257" s="13">
        <f>IFERROR(__xludf.DUMMYFUNCTION("""COMPUTED_VALUE"""),0.041666666666666664)</f>
        <v>0.04166666667</v>
      </c>
      <c r="D8257" s="8">
        <f>IFERROR(__xludf.DUMMYFUNCTION("""COMPUTED_VALUE"""),0.087)</f>
        <v>0.087</v>
      </c>
      <c r="E8257" s="8" t="str">
        <f>IFERROR(__xludf.DUMMYFUNCTION("""COMPUTED_VALUE"""),"Real")</f>
        <v>Real</v>
      </c>
      <c r="G8257" s="8">
        <f t="shared" si="1"/>
        <v>10</v>
      </c>
      <c r="H8257" s="14">
        <f t="shared" si="2"/>
        <v>11</v>
      </c>
      <c r="I8257" s="15">
        <f t="shared" si="3"/>
        <v>1</v>
      </c>
    </row>
    <row r="8258">
      <c r="A8258" s="8" t="str">
        <f>IFERROR(__xludf.DUMMYFUNCTION("IF('(INGESTA)Datos_consumo_datadis'!A8258&lt;&gt;"""",SPLIT('(INGESTA)Datos_consumo_datadis'!A:A,"",""),"""")"),"ES0031408323131005HX0F")</f>
        <v>ES0031408323131005HX0F</v>
      </c>
      <c r="B8258" s="17">
        <f>IFERROR(__xludf.DUMMYFUNCTION("""COMPUTED_VALUE"""),45210.0)</f>
        <v>45210</v>
      </c>
      <c r="C8258" s="13">
        <f>IFERROR(__xludf.DUMMYFUNCTION("""COMPUTED_VALUE"""),0.08333333333333333)</f>
        <v>0.08333333333</v>
      </c>
      <c r="D8258" s="8">
        <f>IFERROR(__xludf.DUMMYFUNCTION("""COMPUTED_VALUE"""),0.092)</f>
        <v>0.092</v>
      </c>
      <c r="E8258" s="8" t="str">
        <f>IFERROR(__xludf.DUMMYFUNCTION("""COMPUTED_VALUE"""),"Real")</f>
        <v>Real</v>
      </c>
      <c r="G8258" s="8">
        <f t="shared" si="1"/>
        <v>10</v>
      </c>
      <c r="H8258" s="14">
        <f t="shared" si="2"/>
        <v>11</v>
      </c>
      <c r="I8258" s="15">
        <f t="shared" si="3"/>
        <v>2</v>
      </c>
    </row>
    <row r="8259">
      <c r="A8259" s="8" t="str">
        <f>IFERROR(__xludf.DUMMYFUNCTION("IF('(INGESTA)Datos_consumo_datadis'!A8259&lt;&gt;"""",SPLIT('(INGESTA)Datos_consumo_datadis'!A:A,"",""),"""")"),"ES0031408323131005HX0F")</f>
        <v>ES0031408323131005HX0F</v>
      </c>
      <c r="B8259" s="17">
        <f>IFERROR(__xludf.DUMMYFUNCTION("""COMPUTED_VALUE"""),45210.0)</f>
        <v>45210</v>
      </c>
      <c r="C8259" s="13">
        <f>IFERROR(__xludf.DUMMYFUNCTION("""COMPUTED_VALUE"""),0.125)</f>
        <v>0.125</v>
      </c>
      <c r="D8259" s="8">
        <f>IFERROR(__xludf.DUMMYFUNCTION("""COMPUTED_VALUE"""),0.041)</f>
        <v>0.041</v>
      </c>
      <c r="E8259" s="8" t="str">
        <f>IFERROR(__xludf.DUMMYFUNCTION("""COMPUTED_VALUE"""),"Real")</f>
        <v>Real</v>
      </c>
      <c r="G8259" s="8">
        <f t="shared" si="1"/>
        <v>10</v>
      </c>
      <c r="H8259" s="14">
        <f t="shared" si="2"/>
        <v>11</v>
      </c>
      <c r="I8259" s="15">
        <f t="shared" si="3"/>
        <v>3</v>
      </c>
    </row>
    <row r="8260">
      <c r="A8260" s="8" t="str">
        <f>IFERROR(__xludf.DUMMYFUNCTION("IF('(INGESTA)Datos_consumo_datadis'!A8260&lt;&gt;"""",SPLIT('(INGESTA)Datos_consumo_datadis'!A:A,"",""),"""")"),"ES0031408323131005HX0F")</f>
        <v>ES0031408323131005HX0F</v>
      </c>
      <c r="B8260" s="17">
        <f>IFERROR(__xludf.DUMMYFUNCTION("""COMPUTED_VALUE"""),45210.0)</f>
        <v>45210</v>
      </c>
      <c r="C8260" s="13">
        <f>IFERROR(__xludf.DUMMYFUNCTION("""COMPUTED_VALUE"""),0.16666666666666666)</f>
        <v>0.1666666667</v>
      </c>
      <c r="D8260" s="8">
        <f>IFERROR(__xludf.DUMMYFUNCTION("""COMPUTED_VALUE"""),0.38)</f>
        <v>0.38</v>
      </c>
      <c r="E8260" s="8" t="str">
        <f>IFERROR(__xludf.DUMMYFUNCTION("""COMPUTED_VALUE"""),"Real")</f>
        <v>Real</v>
      </c>
      <c r="G8260" s="8">
        <f t="shared" si="1"/>
        <v>10</v>
      </c>
      <c r="H8260" s="14">
        <f t="shared" si="2"/>
        <v>11</v>
      </c>
      <c r="I8260" s="15">
        <f t="shared" si="3"/>
        <v>4</v>
      </c>
    </row>
    <row r="8261">
      <c r="A8261" s="8" t="str">
        <f>IFERROR(__xludf.DUMMYFUNCTION("IF('(INGESTA)Datos_consumo_datadis'!A8261&lt;&gt;"""",SPLIT('(INGESTA)Datos_consumo_datadis'!A:A,"",""),"""")"),"ES0031408323131005HX0F")</f>
        <v>ES0031408323131005HX0F</v>
      </c>
      <c r="B8261" s="17">
        <f>IFERROR(__xludf.DUMMYFUNCTION("""COMPUTED_VALUE"""),45210.0)</f>
        <v>45210</v>
      </c>
      <c r="C8261" s="13">
        <f>IFERROR(__xludf.DUMMYFUNCTION("""COMPUTED_VALUE"""),0.20833333333333334)</f>
        <v>0.2083333333</v>
      </c>
      <c r="D8261" s="8">
        <f>IFERROR(__xludf.DUMMYFUNCTION("""COMPUTED_VALUE"""),0.075)</f>
        <v>0.075</v>
      </c>
      <c r="E8261" s="8" t="str">
        <f>IFERROR(__xludf.DUMMYFUNCTION("""COMPUTED_VALUE"""),"Real")</f>
        <v>Real</v>
      </c>
      <c r="G8261" s="8">
        <f t="shared" si="1"/>
        <v>10</v>
      </c>
      <c r="H8261" s="14">
        <f t="shared" si="2"/>
        <v>11</v>
      </c>
      <c r="I8261" s="15">
        <f t="shared" si="3"/>
        <v>5</v>
      </c>
    </row>
    <row r="8262">
      <c r="A8262" s="8" t="str">
        <f>IFERROR(__xludf.DUMMYFUNCTION("IF('(INGESTA)Datos_consumo_datadis'!A8262&lt;&gt;"""",SPLIT('(INGESTA)Datos_consumo_datadis'!A:A,"",""),"""")"),"ES0031408323131005HX0F")</f>
        <v>ES0031408323131005HX0F</v>
      </c>
      <c r="B8262" s="17">
        <f>IFERROR(__xludf.DUMMYFUNCTION("""COMPUTED_VALUE"""),45210.0)</f>
        <v>45210</v>
      </c>
      <c r="C8262" s="13">
        <f>IFERROR(__xludf.DUMMYFUNCTION("""COMPUTED_VALUE"""),0.25)</f>
        <v>0.25</v>
      </c>
      <c r="D8262" s="8">
        <f>IFERROR(__xludf.DUMMYFUNCTION("""COMPUTED_VALUE"""),0.052)</f>
        <v>0.052</v>
      </c>
      <c r="E8262" s="8" t="str">
        <f>IFERROR(__xludf.DUMMYFUNCTION("""COMPUTED_VALUE"""),"Real")</f>
        <v>Real</v>
      </c>
      <c r="G8262" s="8">
        <f t="shared" si="1"/>
        <v>10</v>
      </c>
      <c r="H8262" s="14">
        <f t="shared" si="2"/>
        <v>11</v>
      </c>
      <c r="I8262" s="15">
        <f t="shared" si="3"/>
        <v>6</v>
      </c>
    </row>
    <row r="8263">
      <c r="A8263" s="8" t="str">
        <f>IFERROR(__xludf.DUMMYFUNCTION("IF('(INGESTA)Datos_consumo_datadis'!A8263&lt;&gt;"""",SPLIT('(INGESTA)Datos_consumo_datadis'!A:A,"",""),"""")"),"ES0031408323131005HX0F")</f>
        <v>ES0031408323131005HX0F</v>
      </c>
      <c r="B8263" s="17">
        <f>IFERROR(__xludf.DUMMYFUNCTION("""COMPUTED_VALUE"""),45210.0)</f>
        <v>45210</v>
      </c>
      <c r="C8263" s="13">
        <f>IFERROR(__xludf.DUMMYFUNCTION("""COMPUTED_VALUE"""),0.2916666666666667)</f>
        <v>0.2916666667</v>
      </c>
      <c r="D8263" s="8">
        <f>IFERROR(__xludf.DUMMYFUNCTION("""COMPUTED_VALUE"""),0.067)</f>
        <v>0.067</v>
      </c>
      <c r="E8263" s="8" t="str">
        <f>IFERROR(__xludf.DUMMYFUNCTION("""COMPUTED_VALUE"""),"Real")</f>
        <v>Real</v>
      </c>
      <c r="G8263" s="8">
        <f t="shared" si="1"/>
        <v>10</v>
      </c>
      <c r="H8263" s="14">
        <f t="shared" si="2"/>
        <v>11</v>
      </c>
      <c r="I8263" s="15">
        <f t="shared" si="3"/>
        <v>7</v>
      </c>
    </row>
    <row r="8264">
      <c r="A8264" s="8" t="str">
        <f>IFERROR(__xludf.DUMMYFUNCTION("IF('(INGESTA)Datos_consumo_datadis'!A8264&lt;&gt;"""",SPLIT('(INGESTA)Datos_consumo_datadis'!A:A,"",""),"""")"),"ES0031408323131005HX0F")</f>
        <v>ES0031408323131005HX0F</v>
      </c>
      <c r="B8264" s="17">
        <f>IFERROR(__xludf.DUMMYFUNCTION("""COMPUTED_VALUE"""),45210.0)</f>
        <v>45210</v>
      </c>
      <c r="C8264" s="13">
        <f>IFERROR(__xludf.DUMMYFUNCTION("""COMPUTED_VALUE"""),0.3333333333333333)</f>
        <v>0.3333333333</v>
      </c>
      <c r="D8264" s="8">
        <f>IFERROR(__xludf.DUMMYFUNCTION("""COMPUTED_VALUE"""),0.099)</f>
        <v>0.099</v>
      </c>
      <c r="E8264" s="8" t="str">
        <f>IFERROR(__xludf.DUMMYFUNCTION("""COMPUTED_VALUE"""),"Real")</f>
        <v>Real</v>
      </c>
      <c r="G8264" s="8">
        <f t="shared" si="1"/>
        <v>10</v>
      </c>
      <c r="H8264" s="14">
        <f t="shared" si="2"/>
        <v>11</v>
      </c>
      <c r="I8264" s="15">
        <f t="shared" si="3"/>
        <v>8</v>
      </c>
    </row>
    <row r="8265">
      <c r="A8265" s="8" t="str">
        <f>IFERROR(__xludf.DUMMYFUNCTION("IF('(INGESTA)Datos_consumo_datadis'!A8265&lt;&gt;"""",SPLIT('(INGESTA)Datos_consumo_datadis'!A:A,"",""),"""")"),"ES0031408323131005HX0F")</f>
        <v>ES0031408323131005HX0F</v>
      </c>
      <c r="B8265" s="17">
        <f>IFERROR(__xludf.DUMMYFUNCTION("""COMPUTED_VALUE"""),45210.0)</f>
        <v>45210</v>
      </c>
      <c r="C8265" s="13">
        <f>IFERROR(__xludf.DUMMYFUNCTION("""COMPUTED_VALUE"""),0.375)</f>
        <v>0.375</v>
      </c>
      <c r="D8265" s="8">
        <f>IFERROR(__xludf.DUMMYFUNCTION("""COMPUTED_VALUE"""),0.073)</f>
        <v>0.073</v>
      </c>
      <c r="E8265" s="8" t="str">
        <f>IFERROR(__xludf.DUMMYFUNCTION("""COMPUTED_VALUE"""),"Real")</f>
        <v>Real</v>
      </c>
      <c r="G8265" s="8">
        <f t="shared" si="1"/>
        <v>10</v>
      </c>
      <c r="H8265" s="14">
        <f t="shared" si="2"/>
        <v>11</v>
      </c>
      <c r="I8265" s="15">
        <f t="shared" si="3"/>
        <v>9</v>
      </c>
    </row>
    <row r="8266">
      <c r="A8266" s="8" t="str">
        <f>IFERROR(__xludf.DUMMYFUNCTION("IF('(INGESTA)Datos_consumo_datadis'!A8266&lt;&gt;"""",SPLIT('(INGESTA)Datos_consumo_datadis'!A:A,"",""),"""")"),"ES0031408323131005HX0F")</f>
        <v>ES0031408323131005HX0F</v>
      </c>
      <c r="B8266" s="17">
        <f>IFERROR(__xludf.DUMMYFUNCTION("""COMPUTED_VALUE"""),45210.0)</f>
        <v>45210</v>
      </c>
      <c r="C8266" s="13">
        <f>IFERROR(__xludf.DUMMYFUNCTION("""COMPUTED_VALUE"""),0.4166666666666667)</f>
        <v>0.4166666667</v>
      </c>
      <c r="D8266" s="8">
        <f>IFERROR(__xludf.DUMMYFUNCTION("""COMPUTED_VALUE"""),0.055)</f>
        <v>0.055</v>
      </c>
      <c r="E8266" s="8" t="str">
        <f>IFERROR(__xludf.DUMMYFUNCTION("""COMPUTED_VALUE"""),"Real")</f>
        <v>Real</v>
      </c>
      <c r="G8266" s="8">
        <f t="shared" si="1"/>
        <v>10</v>
      </c>
      <c r="H8266" s="14">
        <f t="shared" si="2"/>
        <v>11</v>
      </c>
      <c r="I8266" s="15">
        <f t="shared" si="3"/>
        <v>10</v>
      </c>
    </row>
    <row r="8267">
      <c r="A8267" s="8" t="str">
        <f>IFERROR(__xludf.DUMMYFUNCTION("IF('(INGESTA)Datos_consumo_datadis'!A8267&lt;&gt;"""",SPLIT('(INGESTA)Datos_consumo_datadis'!A:A,"",""),"""")"),"ES0031408323131005HX0F")</f>
        <v>ES0031408323131005HX0F</v>
      </c>
      <c r="B8267" s="17">
        <f>IFERROR(__xludf.DUMMYFUNCTION("""COMPUTED_VALUE"""),45210.0)</f>
        <v>45210</v>
      </c>
      <c r="C8267" s="13">
        <f>IFERROR(__xludf.DUMMYFUNCTION("""COMPUTED_VALUE"""),0.4583333333333333)</f>
        <v>0.4583333333</v>
      </c>
      <c r="D8267" s="8">
        <f>IFERROR(__xludf.DUMMYFUNCTION("""COMPUTED_VALUE"""),0.103)</f>
        <v>0.103</v>
      </c>
      <c r="E8267" s="8" t="str">
        <f>IFERROR(__xludf.DUMMYFUNCTION("""COMPUTED_VALUE"""),"Real")</f>
        <v>Real</v>
      </c>
      <c r="G8267" s="8">
        <f t="shared" si="1"/>
        <v>10</v>
      </c>
      <c r="H8267" s="14">
        <f t="shared" si="2"/>
        <v>11</v>
      </c>
      <c r="I8267" s="15">
        <f t="shared" si="3"/>
        <v>11</v>
      </c>
    </row>
    <row r="8268">
      <c r="A8268" s="8" t="str">
        <f>IFERROR(__xludf.DUMMYFUNCTION("IF('(INGESTA)Datos_consumo_datadis'!A8268&lt;&gt;"""",SPLIT('(INGESTA)Datos_consumo_datadis'!A:A,"",""),"""")"),"ES0031408323131005HX0F")</f>
        <v>ES0031408323131005HX0F</v>
      </c>
      <c r="B8268" s="17">
        <f>IFERROR(__xludf.DUMMYFUNCTION("""COMPUTED_VALUE"""),45210.0)</f>
        <v>45210</v>
      </c>
      <c r="C8268" s="13">
        <f>IFERROR(__xludf.DUMMYFUNCTION("""COMPUTED_VALUE"""),0.5)</f>
        <v>0.5</v>
      </c>
      <c r="D8268" s="8">
        <f>IFERROR(__xludf.DUMMYFUNCTION("""COMPUTED_VALUE"""),0.349)</f>
        <v>0.349</v>
      </c>
      <c r="E8268" s="8" t="str">
        <f>IFERROR(__xludf.DUMMYFUNCTION("""COMPUTED_VALUE"""),"Real")</f>
        <v>Real</v>
      </c>
      <c r="G8268" s="8">
        <f t="shared" si="1"/>
        <v>10</v>
      </c>
      <c r="H8268" s="14">
        <f t="shared" si="2"/>
        <v>11</v>
      </c>
      <c r="I8268" s="15">
        <f t="shared" si="3"/>
        <v>12</v>
      </c>
    </row>
    <row r="8269">
      <c r="A8269" s="8" t="str">
        <f>IFERROR(__xludf.DUMMYFUNCTION("IF('(INGESTA)Datos_consumo_datadis'!A8269&lt;&gt;"""",SPLIT('(INGESTA)Datos_consumo_datadis'!A:A,"",""),"""")"),"ES0031408323131005HX0F")</f>
        <v>ES0031408323131005HX0F</v>
      </c>
      <c r="B8269" s="17">
        <f>IFERROR(__xludf.DUMMYFUNCTION("""COMPUTED_VALUE"""),45210.0)</f>
        <v>45210</v>
      </c>
      <c r="C8269" s="13">
        <f>IFERROR(__xludf.DUMMYFUNCTION("""COMPUTED_VALUE"""),0.5416666666666666)</f>
        <v>0.5416666667</v>
      </c>
      <c r="D8269" s="8">
        <f>IFERROR(__xludf.DUMMYFUNCTION("""COMPUTED_VALUE"""),0.044)</f>
        <v>0.044</v>
      </c>
      <c r="E8269" s="8" t="str">
        <f>IFERROR(__xludf.DUMMYFUNCTION("""COMPUTED_VALUE"""),"Real")</f>
        <v>Real</v>
      </c>
      <c r="G8269" s="8">
        <f t="shared" si="1"/>
        <v>10</v>
      </c>
      <c r="H8269" s="14">
        <f t="shared" si="2"/>
        <v>11</v>
      </c>
      <c r="I8269" s="15">
        <f t="shared" si="3"/>
        <v>13</v>
      </c>
    </row>
    <row r="8270">
      <c r="A8270" s="8" t="str">
        <f>IFERROR(__xludf.DUMMYFUNCTION("IF('(INGESTA)Datos_consumo_datadis'!A8270&lt;&gt;"""",SPLIT('(INGESTA)Datos_consumo_datadis'!A:A,"",""),"""")"),"ES0031408323131005HX0F")</f>
        <v>ES0031408323131005HX0F</v>
      </c>
      <c r="B8270" s="17">
        <f>IFERROR(__xludf.DUMMYFUNCTION("""COMPUTED_VALUE"""),45210.0)</f>
        <v>45210</v>
      </c>
      <c r="C8270" s="13">
        <f>IFERROR(__xludf.DUMMYFUNCTION("""COMPUTED_VALUE"""),0.5833333333333334)</f>
        <v>0.5833333333</v>
      </c>
      <c r="D8270" s="8">
        <f>IFERROR(__xludf.DUMMYFUNCTION("""COMPUTED_VALUE"""),0.116)</f>
        <v>0.116</v>
      </c>
      <c r="E8270" s="8" t="str">
        <f>IFERROR(__xludf.DUMMYFUNCTION("""COMPUTED_VALUE"""),"Real")</f>
        <v>Real</v>
      </c>
      <c r="G8270" s="8">
        <f t="shared" si="1"/>
        <v>10</v>
      </c>
      <c r="H8270" s="14">
        <f t="shared" si="2"/>
        <v>11</v>
      </c>
      <c r="I8270" s="15">
        <f t="shared" si="3"/>
        <v>14</v>
      </c>
    </row>
    <row r="8271">
      <c r="A8271" s="8" t="str">
        <f>IFERROR(__xludf.DUMMYFUNCTION("IF('(INGESTA)Datos_consumo_datadis'!A8271&lt;&gt;"""",SPLIT('(INGESTA)Datos_consumo_datadis'!A:A,"",""),"""")"),"ES0031408323131005HX0F")</f>
        <v>ES0031408323131005HX0F</v>
      </c>
      <c r="B8271" s="17">
        <f>IFERROR(__xludf.DUMMYFUNCTION("""COMPUTED_VALUE"""),45210.0)</f>
        <v>45210</v>
      </c>
      <c r="C8271" s="13">
        <f>IFERROR(__xludf.DUMMYFUNCTION("""COMPUTED_VALUE"""),0.625)</f>
        <v>0.625</v>
      </c>
      <c r="D8271" s="8">
        <f>IFERROR(__xludf.DUMMYFUNCTION("""COMPUTED_VALUE"""),0.07)</f>
        <v>0.07</v>
      </c>
      <c r="E8271" s="8" t="str">
        <f>IFERROR(__xludf.DUMMYFUNCTION("""COMPUTED_VALUE"""),"Real")</f>
        <v>Real</v>
      </c>
      <c r="G8271" s="8">
        <f t="shared" si="1"/>
        <v>10</v>
      </c>
      <c r="H8271" s="14">
        <f t="shared" si="2"/>
        <v>11</v>
      </c>
      <c r="I8271" s="15">
        <f t="shared" si="3"/>
        <v>15</v>
      </c>
    </row>
    <row r="8272">
      <c r="A8272" s="8" t="str">
        <f>IFERROR(__xludf.DUMMYFUNCTION("IF('(INGESTA)Datos_consumo_datadis'!A8272&lt;&gt;"""",SPLIT('(INGESTA)Datos_consumo_datadis'!A:A,"",""),"""")"),"ES0031408323131005HX0F")</f>
        <v>ES0031408323131005HX0F</v>
      </c>
      <c r="B8272" s="17">
        <f>IFERROR(__xludf.DUMMYFUNCTION("""COMPUTED_VALUE"""),45210.0)</f>
        <v>45210</v>
      </c>
      <c r="C8272" s="13">
        <f>IFERROR(__xludf.DUMMYFUNCTION("""COMPUTED_VALUE"""),0.6666666666666666)</f>
        <v>0.6666666667</v>
      </c>
      <c r="D8272" s="8">
        <f>IFERROR(__xludf.DUMMYFUNCTION("""COMPUTED_VALUE"""),0.031)</f>
        <v>0.031</v>
      </c>
      <c r="E8272" s="8" t="str">
        <f>IFERROR(__xludf.DUMMYFUNCTION("""COMPUTED_VALUE"""),"Real")</f>
        <v>Real</v>
      </c>
      <c r="G8272" s="8">
        <f t="shared" si="1"/>
        <v>10</v>
      </c>
      <c r="H8272" s="14">
        <f t="shared" si="2"/>
        <v>11</v>
      </c>
      <c r="I8272" s="15">
        <f t="shared" si="3"/>
        <v>16</v>
      </c>
    </row>
    <row r="8273">
      <c r="A8273" s="8" t="str">
        <f>IFERROR(__xludf.DUMMYFUNCTION("IF('(INGESTA)Datos_consumo_datadis'!A8273&lt;&gt;"""",SPLIT('(INGESTA)Datos_consumo_datadis'!A:A,"",""),"""")"),"ES0031408323131005HX0F")</f>
        <v>ES0031408323131005HX0F</v>
      </c>
      <c r="B8273" s="17">
        <f>IFERROR(__xludf.DUMMYFUNCTION("""COMPUTED_VALUE"""),45210.0)</f>
        <v>45210</v>
      </c>
      <c r="C8273" s="13">
        <f>IFERROR(__xludf.DUMMYFUNCTION("""COMPUTED_VALUE"""),0.7083333333333334)</f>
        <v>0.7083333333</v>
      </c>
      <c r="D8273" s="8">
        <f>IFERROR(__xludf.DUMMYFUNCTION("""COMPUTED_VALUE"""),0.13)</f>
        <v>0.13</v>
      </c>
      <c r="E8273" s="8" t="str">
        <f>IFERROR(__xludf.DUMMYFUNCTION("""COMPUTED_VALUE"""),"Real")</f>
        <v>Real</v>
      </c>
      <c r="G8273" s="8">
        <f t="shared" si="1"/>
        <v>10</v>
      </c>
      <c r="H8273" s="14">
        <f t="shared" si="2"/>
        <v>11</v>
      </c>
      <c r="I8273" s="15">
        <f t="shared" si="3"/>
        <v>17</v>
      </c>
    </row>
    <row r="8274">
      <c r="A8274" s="8" t="str">
        <f>IFERROR(__xludf.DUMMYFUNCTION("IF('(INGESTA)Datos_consumo_datadis'!A8274&lt;&gt;"""",SPLIT('(INGESTA)Datos_consumo_datadis'!A:A,"",""),"""")"),"ES0031408323131005HX0F")</f>
        <v>ES0031408323131005HX0F</v>
      </c>
      <c r="B8274" s="17">
        <f>IFERROR(__xludf.DUMMYFUNCTION("""COMPUTED_VALUE"""),45210.0)</f>
        <v>45210</v>
      </c>
      <c r="C8274" s="13">
        <f>IFERROR(__xludf.DUMMYFUNCTION("""COMPUTED_VALUE"""),0.75)</f>
        <v>0.75</v>
      </c>
      <c r="D8274" s="8">
        <f>IFERROR(__xludf.DUMMYFUNCTION("""COMPUTED_VALUE"""),0.126)</f>
        <v>0.126</v>
      </c>
      <c r="E8274" s="8" t="str">
        <f>IFERROR(__xludf.DUMMYFUNCTION("""COMPUTED_VALUE"""),"Real")</f>
        <v>Real</v>
      </c>
      <c r="G8274" s="8">
        <f t="shared" si="1"/>
        <v>10</v>
      </c>
      <c r="H8274" s="14">
        <f t="shared" si="2"/>
        <v>11</v>
      </c>
      <c r="I8274" s="15">
        <f t="shared" si="3"/>
        <v>18</v>
      </c>
    </row>
    <row r="8275">
      <c r="A8275" s="8" t="str">
        <f>IFERROR(__xludf.DUMMYFUNCTION("IF('(INGESTA)Datos_consumo_datadis'!A8275&lt;&gt;"""",SPLIT('(INGESTA)Datos_consumo_datadis'!A:A,"",""),"""")"),"ES0031408323131005HX0F")</f>
        <v>ES0031408323131005HX0F</v>
      </c>
      <c r="B8275" s="17">
        <f>IFERROR(__xludf.DUMMYFUNCTION("""COMPUTED_VALUE"""),45210.0)</f>
        <v>45210</v>
      </c>
      <c r="C8275" s="13">
        <f>IFERROR(__xludf.DUMMYFUNCTION("""COMPUTED_VALUE"""),0.7916666666666666)</f>
        <v>0.7916666667</v>
      </c>
      <c r="D8275" s="8">
        <f>IFERROR(__xludf.DUMMYFUNCTION("""COMPUTED_VALUE"""),0.412)</f>
        <v>0.412</v>
      </c>
      <c r="E8275" s="8" t="str">
        <f>IFERROR(__xludf.DUMMYFUNCTION("""COMPUTED_VALUE"""),"Real")</f>
        <v>Real</v>
      </c>
      <c r="G8275" s="8">
        <f t="shared" si="1"/>
        <v>10</v>
      </c>
      <c r="H8275" s="14">
        <f t="shared" si="2"/>
        <v>11</v>
      </c>
      <c r="I8275" s="15">
        <f t="shared" si="3"/>
        <v>19</v>
      </c>
    </row>
    <row r="8276">
      <c r="A8276" s="8" t="str">
        <f>IFERROR(__xludf.DUMMYFUNCTION("IF('(INGESTA)Datos_consumo_datadis'!A8276&lt;&gt;"""",SPLIT('(INGESTA)Datos_consumo_datadis'!A:A,"",""),"""")"),"ES0031408323131005HX0F")</f>
        <v>ES0031408323131005HX0F</v>
      </c>
      <c r="B8276" s="17">
        <f>IFERROR(__xludf.DUMMYFUNCTION("""COMPUTED_VALUE"""),45210.0)</f>
        <v>45210</v>
      </c>
      <c r="C8276" s="13">
        <f>IFERROR(__xludf.DUMMYFUNCTION("""COMPUTED_VALUE"""),0.8333333333333334)</f>
        <v>0.8333333333</v>
      </c>
      <c r="D8276" s="8">
        <f>IFERROR(__xludf.DUMMYFUNCTION("""COMPUTED_VALUE"""),0.112)</f>
        <v>0.112</v>
      </c>
      <c r="E8276" s="8" t="str">
        <f>IFERROR(__xludf.DUMMYFUNCTION("""COMPUTED_VALUE"""),"Real")</f>
        <v>Real</v>
      </c>
      <c r="G8276" s="8">
        <f t="shared" si="1"/>
        <v>10</v>
      </c>
      <c r="H8276" s="14">
        <f t="shared" si="2"/>
        <v>11</v>
      </c>
      <c r="I8276" s="15">
        <f t="shared" si="3"/>
        <v>20</v>
      </c>
    </row>
    <row r="8277">
      <c r="A8277" s="8" t="str">
        <f>IFERROR(__xludf.DUMMYFUNCTION("IF('(INGESTA)Datos_consumo_datadis'!A8277&lt;&gt;"""",SPLIT('(INGESTA)Datos_consumo_datadis'!A:A,"",""),"""")"),"ES0031408323131005HX0F")</f>
        <v>ES0031408323131005HX0F</v>
      </c>
      <c r="B8277" s="17">
        <f>IFERROR(__xludf.DUMMYFUNCTION("""COMPUTED_VALUE"""),45210.0)</f>
        <v>45210</v>
      </c>
      <c r="C8277" s="13">
        <f>IFERROR(__xludf.DUMMYFUNCTION("""COMPUTED_VALUE"""),0.875)</f>
        <v>0.875</v>
      </c>
      <c r="D8277" s="8">
        <f>IFERROR(__xludf.DUMMYFUNCTION("""COMPUTED_VALUE"""),0.062)</f>
        <v>0.062</v>
      </c>
      <c r="E8277" s="8" t="str">
        <f>IFERROR(__xludf.DUMMYFUNCTION("""COMPUTED_VALUE"""),"Real")</f>
        <v>Real</v>
      </c>
      <c r="G8277" s="8">
        <f t="shared" si="1"/>
        <v>10</v>
      </c>
      <c r="H8277" s="14">
        <f t="shared" si="2"/>
        <v>11</v>
      </c>
      <c r="I8277" s="15">
        <f t="shared" si="3"/>
        <v>21</v>
      </c>
    </row>
    <row r="8278">
      <c r="A8278" s="8" t="str">
        <f>IFERROR(__xludf.DUMMYFUNCTION("IF('(INGESTA)Datos_consumo_datadis'!A8278&lt;&gt;"""",SPLIT('(INGESTA)Datos_consumo_datadis'!A:A,"",""),"""")"),"ES0031408323131005HX0F")</f>
        <v>ES0031408323131005HX0F</v>
      </c>
      <c r="B8278" s="17">
        <f>IFERROR(__xludf.DUMMYFUNCTION("""COMPUTED_VALUE"""),45210.0)</f>
        <v>45210</v>
      </c>
      <c r="C8278" s="13">
        <f>IFERROR(__xludf.DUMMYFUNCTION("""COMPUTED_VALUE"""),0.9166666666666666)</f>
        <v>0.9166666667</v>
      </c>
      <c r="D8278" s="8">
        <f>IFERROR(__xludf.DUMMYFUNCTION("""COMPUTED_VALUE"""),0.059)</f>
        <v>0.059</v>
      </c>
      <c r="E8278" s="8" t="str">
        <f>IFERROR(__xludf.DUMMYFUNCTION("""COMPUTED_VALUE"""),"Real")</f>
        <v>Real</v>
      </c>
      <c r="G8278" s="8">
        <f t="shared" si="1"/>
        <v>10</v>
      </c>
      <c r="H8278" s="14">
        <f t="shared" si="2"/>
        <v>11</v>
      </c>
      <c r="I8278" s="15">
        <f t="shared" si="3"/>
        <v>22</v>
      </c>
    </row>
    <row r="8279">
      <c r="A8279" s="8" t="str">
        <f>IFERROR(__xludf.DUMMYFUNCTION("IF('(INGESTA)Datos_consumo_datadis'!A8279&lt;&gt;"""",SPLIT('(INGESTA)Datos_consumo_datadis'!A:A,"",""),"""")"),"ES0031408323131005HX0F")</f>
        <v>ES0031408323131005HX0F</v>
      </c>
      <c r="B8279" s="17">
        <f>IFERROR(__xludf.DUMMYFUNCTION("""COMPUTED_VALUE"""),45210.0)</f>
        <v>45210</v>
      </c>
      <c r="C8279" s="13">
        <f>IFERROR(__xludf.DUMMYFUNCTION("""COMPUTED_VALUE"""),0.9583333333333334)</f>
        <v>0.9583333333</v>
      </c>
      <c r="D8279" s="8">
        <f>IFERROR(__xludf.DUMMYFUNCTION("""COMPUTED_VALUE"""),0.083)</f>
        <v>0.083</v>
      </c>
      <c r="E8279" s="8" t="str">
        <f>IFERROR(__xludf.DUMMYFUNCTION("""COMPUTED_VALUE"""),"Real")</f>
        <v>Real</v>
      </c>
      <c r="G8279" s="8">
        <f t="shared" si="1"/>
        <v>10</v>
      </c>
      <c r="H8279" s="14">
        <f t="shared" si="2"/>
        <v>11</v>
      </c>
      <c r="I8279" s="15">
        <f t="shared" si="3"/>
        <v>23</v>
      </c>
    </row>
    <row r="8280">
      <c r="A8280" s="8" t="str">
        <f>IFERROR(__xludf.DUMMYFUNCTION("IF('(INGESTA)Datos_consumo_datadis'!A8280&lt;&gt;"""",SPLIT('(INGESTA)Datos_consumo_datadis'!A:A,"",""),"""")"),"ES0031408323131005HX0F")</f>
        <v>ES0031408323131005HX0F</v>
      </c>
      <c r="B8280" s="17">
        <f>IFERROR(__xludf.DUMMYFUNCTION("""COMPUTED_VALUE"""),45210.0)</f>
        <v>45210</v>
      </c>
      <c r="C8280" s="16">
        <f>IFERROR(__xludf.DUMMYFUNCTION("""COMPUTED_VALUE"""),1.0)</f>
        <v>1</v>
      </c>
      <c r="D8280" s="8">
        <f>IFERROR(__xludf.DUMMYFUNCTION("""COMPUTED_VALUE"""),0.418)</f>
        <v>0.418</v>
      </c>
      <c r="E8280" s="8" t="str">
        <f>IFERROR(__xludf.DUMMYFUNCTION("""COMPUTED_VALUE"""),"Real")</f>
        <v>Real</v>
      </c>
      <c r="G8280" s="8">
        <f t="shared" si="1"/>
        <v>10</v>
      </c>
      <c r="H8280" s="14">
        <f t="shared" si="2"/>
        <v>11</v>
      </c>
      <c r="I8280" s="15">
        <f t="shared" si="3"/>
        <v>0</v>
      </c>
    </row>
    <row r="8281">
      <c r="A8281" s="8" t="str">
        <f>IFERROR(__xludf.DUMMYFUNCTION("IF('(INGESTA)Datos_consumo_datadis'!A8281&lt;&gt;"""",SPLIT('(INGESTA)Datos_consumo_datadis'!A:A,"",""),"""")"),"ES0031408323131005HX0F")</f>
        <v>ES0031408323131005HX0F</v>
      </c>
      <c r="B8281" s="17">
        <f>IFERROR(__xludf.DUMMYFUNCTION("""COMPUTED_VALUE"""),45211.0)</f>
        <v>45211</v>
      </c>
      <c r="C8281" s="13">
        <f>IFERROR(__xludf.DUMMYFUNCTION("""COMPUTED_VALUE"""),0.041666666666666664)</f>
        <v>0.04166666667</v>
      </c>
      <c r="D8281" s="8">
        <f>IFERROR(__xludf.DUMMYFUNCTION("""COMPUTED_VALUE"""),0.086)</f>
        <v>0.086</v>
      </c>
      <c r="E8281" s="8" t="str">
        <f>IFERROR(__xludf.DUMMYFUNCTION("""COMPUTED_VALUE"""),"Real")</f>
        <v>Real</v>
      </c>
      <c r="G8281" s="8">
        <f t="shared" si="1"/>
        <v>10</v>
      </c>
      <c r="H8281" s="14">
        <f t="shared" si="2"/>
        <v>12</v>
      </c>
      <c r="I8281" s="15">
        <f t="shared" si="3"/>
        <v>1</v>
      </c>
    </row>
    <row r="8282">
      <c r="A8282" s="8" t="str">
        <f>IFERROR(__xludf.DUMMYFUNCTION("IF('(INGESTA)Datos_consumo_datadis'!A8282&lt;&gt;"""",SPLIT('(INGESTA)Datos_consumo_datadis'!A:A,"",""),"""")"),"ES0031408323131005HX0F")</f>
        <v>ES0031408323131005HX0F</v>
      </c>
      <c r="B8282" s="17">
        <f>IFERROR(__xludf.DUMMYFUNCTION("""COMPUTED_VALUE"""),45211.0)</f>
        <v>45211</v>
      </c>
      <c r="C8282" s="13">
        <f>IFERROR(__xludf.DUMMYFUNCTION("""COMPUTED_VALUE"""),0.08333333333333333)</f>
        <v>0.08333333333</v>
      </c>
      <c r="D8282" s="8">
        <f>IFERROR(__xludf.DUMMYFUNCTION("""COMPUTED_VALUE"""),0.045)</f>
        <v>0.045</v>
      </c>
      <c r="E8282" s="8" t="str">
        <f>IFERROR(__xludf.DUMMYFUNCTION("""COMPUTED_VALUE"""),"Real")</f>
        <v>Real</v>
      </c>
      <c r="G8282" s="8">
        <f t="shared" si="1"/>
        <v>10</v>
      </c>
      <c r="H8282" s="14">
        <f t="shared" si="2"/>
        <v>12</v>
      </c>
      <c r="I8282" s="15">
        <f t="shared" si="3"/>
        <v>2</v>
      </c>
    </row>
    <row r="8283">
      <c r="A8283" s="8" t="str">
        <f>IFERROR(__xludf.DUMMYFUNCTION("IF('(INGESTA)Datos_consumo_datadis'!A8283&lt;&gt;"""",SPLIT('(INGESTA)Datos_consumo_datadis'!A:A,"",""),"""")"),"ES0031408323131005HX0F")</f>
        <v>ES0031408323131005HX0F</v>
      </c>
      <c r="B8283" s="17">
        <f>IFERROR(__xludf.DUMMYFUNCTION("""COMPUTED_VALUE"""),45211.0)</f>
        <v>45211</v>
      </c>
      <c r="C8283" s="13">
        <f>IFERROR(__xludf.DUMMYFUNCTION("""COMPUTED_VALUE"""),0.125)</f>
        <v>0.125</v>
      </c>
      <c r="D8283" s="8">
        <f>IFERROR(__xludf.DUMMYFUNCTION("""COMPUTED_VALUE"""),0.091)</f>
        <v>0.091</v>
      </c>
      <c r="E8283" s="8" t="str">
        <f>IFERROR(__xludf.DUMMYFUNCTION("""COMPUTED_VALUE"""),"Real")</f>
        <v>Real</v>
      </c>
      <c r="G8283" s="8">
        <f t="shared" si="1"/>
        <v>10</v>
      </c>
      <c r="H8283" s="14">
        <f t="shared" si="2"/>
        <v>12</v>
      </c>
      <c r="I8283" s="15">
        <f t="shared" si="3"/>
        <v>3</v>
      </c>
    </row>
    <row r="8284">
      <c r="A8284" s="8" t="str">
        <f>IFERROR(__xludf.DUMMYFUNCTION("IF('(INGESTA)Datos_consumo_datadis'!A8284&lt;&gt;"""",SPLIT('(INGESTA)Datos_consumo_datadis'!A:A,"",""),"""")"),"ES0031408323131005HX0F")</f>
        <v>ES0031408323131005HX0F</v>
      </c>
      <c r="B8284" s="17">
        <f>IFERROR(__xludf.DUMMYFUNCTION("""COMPUTED_VALUE"""),45211.0)</f>
        <v>45211</v>
      </c>
      <c r="C8284" s="13">
        <f>IFERROR(__xludf.DUMMYFUNCTION("""COMPUTED_VALUE"""),0.16666666666666666)</f>
        <v>0.1666666667</v>
      </c>
      <c r="D8284" s="8">
        <f>IFERROR(__xludf.DUMMYFUNCTION("""COMPUTED_VALUE"""),0.121)</f>
        <v>0.121</v>
      </c>
      <c r="E8284" s="8" t="str">
        <f>IFERROR(__xludf.DUMMYFUNCTION("""COMPUTED_VALUE"""),"Real")</f>
        <v>Real</v>
      </c>
      <c r="G8284" s="8">
        <f t="shared" si="1"/>
        <v>10</v>
      </c>
      <c r="H8284" s="14">
        <f t="shared" si="2"/>
        <v>12</v>
      </c>
      <c r="I8284" s="15">
        <f t="shared" si="3"/>
        <v>4</v>
      </c>
    </row>
    <row r="8285">
      <c r="A8285" s="8" t="str">
        <f>IFERROR(__xludf.DUMMYFUNCTION("IF('(INGESTA)Datos_consumo_datadis'!A8285&lt;&gt;"""",SPLIT('(INGESTA)Datos_consumo_datadis'!A:A,"",""),"""")"),"ES0031408323131005HX0F")</f>
        <v>ES0031408323131005HX0F</v>
      </c>
      <c r="B8285" s="17">
        <f>IFERROR(__xludf.DUMMYFUNCTION("""COMPUTED_VALUE"""),45211.0)</f>
        <v>45211</v>
      </c>
      <c r="C8285" s="13">
        <f>IFERROR(__xludf.DUMMYFUNCTION("""COMPUTED_VALUE"""),0.20833333333333334)</f>
        <v>0.2083333333</v>
      </c>
      <c r="D8285" s="8">
        <f>IFERROR(__xludf.DUMMYFUNCTION("""COMPUTED_VALUE"""),0.072)</f>
        <v>0.072</v>
      </c>
      <c r="E8285" s="8" t="str">
        <f>IFERROR(__xludf.DUMMYFUNCTION("""COMPUTED_VALUE"""),"Real")</f>
        <v>Real</v>
      </c>
      <c r="G8285" s="8">
        <f t="shared" si="1"/>
        <v>10</v>
      </c>
      <c r="H8285" s="14">
        <f t="shared" si="2"/>
        <v>12</v>
      </c>
      <c r="I8285" s="15">
        <f t="shared" si="3"/>
        <v>5</v>
      </c>
    </row>
    <row r="8286">
      <c r="A8286" s="8" t="str">
        <f>IFERROR(__xludf.DUMMYFUNCTION("IF('(INGESTA)Datos_consumo_datadis'!A8286&lt;&gt;"""",SPLIT('(INGESTA)Datos_consumo_datadis'!A:A,"",""),"""")"),"ES0031408323131005HX0F")</f>
        <v>ES0031408323131005HX0F</v>
      </c>
      <c r="B8286" s="17">
        <f>IFERROR(__xludf.DUMMYFUNCTION("""COMPUTED_VALUE"""),45211.0)</f>
        <v>45211</v>
      </c>
      <c r="C8286" s="13">
        <f>IFERROR(__xludf.DUMMYFUNCTION("""COMPUTED_VALUE"""),0.25)</f>
        <v>0.25</v>
      </c>
      <c r="D8286" s="8">
        <f>IFERROR(__xludf.DUMMYFUNCTION("""COMPUTED_VALUE"""),0.072)</f>
        <v>0.072</v>
      </c>
      <c r="E8286" s="8" t="str">
        <f>IFERROR(__xludf.DUMMYFUNCTION("""COMPUTED_VALUE"""),"Real")</f>
        <v>Real</v>
      </c>
      <c r="G8286" s="8">
        <f t="shared" si="1"/>
        <v>10</v>
      </c>
      <c r="H8286" s="14">
        <f t="shared" si="2"/>
        <v>12</v>
      </c>
      <c r="I8286" s="15">
        <f t="shared" si="3"/>
        <v>6</v>
      </c>
    </row>
    <row r="8287">
      <c r="A8287" s="8" t="str">
        <f>IFERROR(__xludf.DUMMYFUNCTION("IF('(INGESTA)Datos_consumo_datadis'!A8287&lt;&gt;"""",SPLIT('(INGESTA)Datos_consumo_datadis'!A:A,"",""),"""")"),"ES0031408323131005HX0F")</f>
        <v>ES0031408323131005HX0F</v>
      </c>
      <c r="B8287" s="17">
        <f>IFERROR(__xludf.DUMMYFUNCTION("""COMPUTED_VALUE"""),45211.0)</f>
        <v>45211</v>
      </c>
      <c r="C8287" s="13">
        <f>IFERROR(__xludf.DUMMYFUNCTION("""COMPUTED_VALUE"""),0.2916666666666667)</f>
        <v>0.2916666667</v>
      </c>
      <c r="D8287" s="8">
        <f>IFERROR(__xludf.DUMMYFUNCTION("""COMPUTED_VALUE"""),0.337)</f>
        <v>0.337</v>
      </c>
      <c r="E8287" s="8" t="str">
        <f>IFERROR(__xludf.DUMMYFUNCTION("""COMPUTED_VALUE"""),"Real")</f>
        <v>Real</v>
      </c>
      <c r="G8287" s="8">
        <f t="shared" si="1"/>
        <v>10</v>
      </c>
      <c r="H8287" s="14">
        <f t="shared" si="2"/>
        <v>12</v>
      </c>
      <c r="I8287" s="15">
        <f t="shared" si="3"/>
        <v>7</v>
      </c>
    </row>
    <row r="8288">
      <c r="A8288" s="8" t="str">
        <f>IFERROR(__xludf.DUMMYFUNCTION("IF('(INGESTA)Datos_consumo_datadis'!A8288&lt;&gt;"""",SPLIT('(INGESTA)Datos_consumo_datadis'!A:A,"",""),"""")"),"ES0031408323131005HX0F")</f>
        <v>ES0031408323131005HX0F</v>
      </c>
      <c r="B8288" s="17">
        <f>IFERROR(__xludf.DUMMYFUNCTION("""COMPUTED_VALUE"""),45211.0)</f>
        <v>45211</v>
      </c>
      <c r="C8288" s="13">
        <f>IFERROR(__xludf.DUMMYFUNCTION("""COMPUTED_VALUE"""),0.3333333333333333)</f>
        <v>0.3333333333</v>
      </c>
      <c r="D8288" s="8">
        <f>IFERROR(__xludf.DUMMYFUNCTION("""COMPUTED_VALUE"""),0.11)</f>
        <v>0.11</v>
      </c>
      <c r="E8288" s="8" t="str">
        <f>IFERROR(__xludf.DUMMYFUNCTION("""COMPUTED_VALUE"""),"Real")</f>
        <v>Real</v>
      </c>
      <c r="G8288" s="8">
        <f t="shared" si="1"/>
        <v>10</v>
      </c>
      <c r="H8288" s="14">
        <f t="shared" si="2"/>
        <v>12</v>
      </c>
      <c r="I8288" s="15">
        <f t="shared" si="3"/>
        <v>8</v>
      </c>
    </row>
    <row r="8289">
      <c r="A8289" s="8" t="str">
        <f>IFERROR(__xludf.DUMMYFUNCTION("IF('(INGESTA)Datos_consumo_datadis'!A8289&lt;&gt;"""",SPLIT('(INGESTA)Datos_consumo_datadis'!A:A,"",""),"""")"),"ES0031408323131005HX0F")</f>
        <v>ES0031408323131005HX0F</v>
      </c>
      <c r="B8289" s="17">
        <f>IFERROR(__xludf.DUMMYFUNCTION("""COMPUTED_VALUE"""),45211.0)</f>
        <v>45211</v>
      </c>
      <c r="C8289" s="13">
        <f>IFERROR(__xludf.DUMMYFUNCTION("""COMPUTED_VALUE"""),0.375)</f>
        <v>0.375</v>
      </c>
      <c r="D8289" s="8">
        <f>IFERROR(__xludf.DUMMYFUNCTION("""COMPUTED_VALUE"""),0.068)</f>
        <v>0.068</v>
      </c>
      <c r="E8289" s="8" t="str">
        <f>IFERROR(__xludf.DUMMYFUNCTION("""COMPUTED_VALUE"""),"Real")</f>
        <v>Real</v>
      </c>
      <c r="G8289" s="8">
        <f t="shared" si="1"/>
        <v>10</v>
      </c>
      <c r="H8289" s="14">
        <f t="shared" si="2"/>
        <v>12</v>
      </c>
      <c r="I8289" s="15">
        <f t="shared" si="3"/>
        <v>9</v>
      </c>
    </row>
    <row r="8290">
      <c r="A8290" s="8" t="str">
        <f>IFERROR(__xludf.DUMMYFUNCTION("IF('(INGESTA)Datos_consumo_datadis'!A8290&lt;&gt;"""",SPLIT('(INGESTA)Datos_consumo_datadis'!A:A,"",""),"""")"),"ES0031408323131005HX0F")</f>
        <v>ES0031408323131005HX0F</v>
      </c>
      <c r="B8290" s="17">
        <f>IFERROR(__xludf.DUMMYFUNCTION("""COMPUTED_VALUE"""),45211.0)</f>
        <v>45211</v>
      </c>
      <c r="C8290" s="13">
        <f>IFERROR(__xludf.DUMMYFUNCTION("""COMPUTED_VALUE"""),0.4166666666666667)</f>
        <v>0.4166666667</v>
      </c>
      <c r="D8290" s="8">
        <f>IFERROR(__xludf.DUMMYFUNCTION("""COMPUTED_VALUE"""),0.788)</f>
        <v>0.788</v>
      </c>
      <c r="E8290" s="8" t="str">
        <f>IFERROR(__xludf.DUMMYFUNCTION("""COMPUTED_VALUE"""),"Real")</f>
        <v>Real</v>
      </c>
      <c r="G8290" s="8">
        <f t="shared" si="1"/>
        <v>10</v>
      </c>
      <c r="H8290" s="14">
        <f t="shared" si="2"/>
        <v>12</v>
      </c>
      <c r="I8290" s="15">
        <f t="shared" si="3"/>
        <v>10</v>
      </c>
    </row>
    <row r="8291">
      <c r="A8291" s="8" t="str">
        <f>IFERROR(__xludf.DUMMYFUNCTION("IF('(INGESTA)Datos_consumo_datadis'!A8291&lt;&gt;"""",SPLIT('(INGESTA)Datos_consumo_datadis'!A:A,"",""),"""")"),"ES0031408323131005HX0F")</f>
        <v>ES0031408323131005HX0F</v>
      </c>
      <c r="B8291" s="17">
        <f>IFERROR(__xludf.DUMMYFUNCTION("""COMPUTED_VALUE"""),45211.0)</f>
        <v>45211</v>
      </c>
      <c r="C8291" s="13">
        <f>IFERROR(__xludf.DUMMYFUNCTION("""COMPUTED_VALUE"""),0.4583333333333333)</f>
        <v>0.4583333333</v>
      </c>
      <c r="D8291" s="8">
        <f>IFERROR(__xludf.DUMMYFUNCTION("""COMPUTED_VALUE"""),0.118)</f>
        <v>0.118</v>
      </c>
      <c r="E8291" s="8" t="str">
        <f>IFERROR(__xludf.DUMMYFUNCTION("""COMPUTED_VALUE"""),"Real")</f>
        <v>Real</v>
      </c>
      <c r="G8291" s="8">
        <f t="shared" si="1"/>
        <v>10</v>
      </c>
      <c r="H8291" s="14">
        <f t="shared" si="2"/>
        <v>12</v>
      </c>
      <c r="I8291" s="15">
        <f t="shared" si="3"/>
        <v>11</v>
      </c>
    </row>
    <row r="8292">
      <c r="A8292" s="8" t="str">
        <f>IFERROR(__xludf.DUMMYFUNCTION("IF('(INGESTA)Datos_consumo_datadis'!A8292&lt;&gt;"""",SPLIT('(INGESTA)Datos_consumo_datadis'!A:A,"",""),"""")"),"ES0031408323131005HX0F")</f>
        <v>ES0031408323131005HX0F</v>
      </c>
      <c r="B8292" s="17">
        <f>IFERROR(__xludf.DUMMYFUNCTION("""COMPUTED_VALUE"""),45211.0)</f>
        <v>45211</v>
      </c>
      <c r="C8292" s="13">
        <f>IFERROR(__xludf.DUMMYFUNCTION("""COMPUTED_VALUE"""),0.5)</f>
        <v>0.5</v>
      </c>
      <c r="D8292" s="8">
        <f>IFERROR(__xludf.DUMMYFUNCTION("""COMPUTED_VALUE"""),0.072)</f>
        <v>0.072</v>
      </c>
      <c r="E8292" s="8" t="str">
        <f>IFERROR(__xludf.DUMMYFUNCTION("""COMPUTED_VALUE"""),"Real")</f>
        <v>Real</v>
      </c>
      <c r="G8292" s="8">
        <f t="shared" si="1"/>
        <v>10</v>
      </c>
      <c r="H8292" s="14">
        <f t="shared" si="2"/>
        <v>12</v>
      </c>
      <c r="I8292" s="15">
        <f t="shared" si="3"/>
        <v>12</v>
      </c>
    </row>
    <row r="8293">
      <c r="A8293" s="8" t="str">
        <f>IFERROR(__xludf.DUMMYFUNCTION("IF('(INGESTA)Datos_consumo_datadis'!A8293&lt;&gt;"""",SPLIT('(INGESTA)Datos_consumo_datadis'!A:A,"",""),"""")"),"ES0031408323131005HX0F")</f>
        <v>ES0031408323131005HX0F</v>
      </c>
      <c r="B8293" s="17">
        <f>IFERROR(__xludf.DUMMYFUNCTION("""COMPUTED_VALUE"""),45211.0)</f>
        <v>45211</v>
      </c>
      <c r="C8293" s="13">
        <f>IFERROR(__xludf.DUMMYFUNCTION("""COMPUTED_VALUE"""),0.5416666666666666)</f>
        <v>0.5416666667</v>
      </c>
      <c r="D8293" s="8">
        <f>IFERROR(__xludf.DUMMYFUNCTION("""COMPUTED_VALUE"""),0.077)</f>
        <v>0.077</v>
      </c>
      <c r="E8293" s="8" t="str">
        <f>IFERROR(__xludf.DUMMYFUNCTION("""COMPUTED_VALUE"""),"Real")</f>
        <v>Real</v>
      </c>
      <c r="G8293" s="8">
        <f t="shared" si="1"/>
        <v>10</v>
      </c>
      <c r="H8293" s="14">
        <f t="shared" si="2"/>
        <v>12</v>
      </c>
      <c r="I8293" s="15">
        <f t="shared" si="3"/>
        <v>13</v>
      </c>
    </row>
    <row r="8294">
      <c r="A8294" s="8" t="str">
        <f>IFERROR(__xludf.DUMMYFUNCTION("IF('(INGESTA)Datos_consumo_datadis'!A8294&lt;&gt;"""",SPLIT('(INGESTA)Datos_consumo_datadis'!A:A,"",""),"""")"),"ES0031408323131005HX0F")</f>
        <v>ES0031408323131005HX0F</v>
      </c>
      <c r="B8294" s="17">
        <f>IFERROR(__xludf.DUMMYFUNCTION("""COMPUTED_VALUE"""),45211.0)</f>
        <v>45211</v>
      </c>
      <c r="C8294" s="13">
        <f>IFERROR(__xludf.DUMMYFUNCTION("""COMPUTED_VALUE"""),0.5833333333333334)</f>
        <v>0.5833333333</v>
      </c>
      <c r="D8294" s="8">
        <f>IFERROR(__xludf.DUMMYFUNCTION("""COMPUTED_VALUE"""),0.124)</f>
        <v>0.124</v>
      </c>
      <c r="E8294" s="8" t="str">
        <f>IFERROR(__xludf.DUMMYFUNCTION("""COMPUTED_VALUE"""),"Real")</f>
        <v>Real</v>
      </c>
      <c r="G8294" s="8">
        <f t="shared" si="1"/>
        <v>10</v>
      </c>
      <c r="H8294" s="14">
        <f t="shared" si="2"/>
        <v>12</v>
      </c>
      <c r="I8294" s="15">
        <f t="shared" si="3"/>
        <v>14</v>
      </c>
    </row>
    <row r="8295">
      <c r="A8295" s="8" t="str">
        <f>IFERROR(__xludf.DUMMYFUNCTION("IF('(INGESTA)Datos_consumo_datadis'!A8295&lt;&gt;"""",SPLIT('(INGESTA)Datos_consumo_datadis'!A:A,"",""),"""")"),"ES0031408323131005HX0F")</f>
        <v>ES0031408323131005HX0F</v>
      </c>
      <c r="B8295" s="17">
        <f>IFERROR(__xludf.DUMMYFUNCTION("""COMPUTED_VALUE"""),45211.0)</f>
        <v>45211</v>
      </c>
      <c r="C8295" s="13">
        <f>IFERROR(__xludf.DUMMYFUNCTION("""COMPUTED_VALUE"""),0.625)</f>
        <v>0.625</v>
      </c>
      <c r="D8295" s="8">
        <f>IFERROR(__xludf.DUMMYFUNCTION("""COMPUTED_VALUE"""),0.264)</f>
        <v>0.264</v>
      </c>
      <c r="E8295" s="8" t="str">
        <f>IFERROR(__xludf.DUMMYFUNCTION("""COMPUTED_VALUE"""),"Real")</f>
        <v>Real</v>
      </c>
      <c r="G8295" s="8">
        <f t="shared" si="1"/>
        <v>10</v>
      </c>
      <c r="H8295" s="14">
        <f t="shared" si="2"/>
        <v>12</v>
      </c>
      <c r="I8295" s="15">
        <f t="shared" si="3"/>
        <v>15</v>
      </c>
    </row>
    <row r="8296">
      <c r="A8296" s="8" t="str">
        <f>IFERROR(__xludf.DUMMYFUNCTION("IF('(INGESTA)Datos_consumo_datadis'!A8296&lt;&gt;"""",SPLIT('(INGESTA)Datos_consumo_datadis'!A:A,"",""),"""")"),"ES0031408323131005HX0F")</f>
        <v>ES0031408323131005HX0F</v>
      </c>
      <c r="B8296" s="17">
        <f>IFERROR(__xludf.DUMMYFUNCTION("""COMPUTED_VALUE"""),45211.0)</f>
        <v>45211</v>
      </c>
      <c r="C8296" s="13">
        <f>IFERROR(__xludf.DUMMYFUNCTION("""COMPUTED_VALUE"""),0.6666666666666666)</f>
        <v>0.6666666667</v>
      </c>
      <c r="D8296" s="8">
        <f>IFERROR(__xludf.DUMMYFUNCTION("""COMPUTED_VALUE"""),0.197)</f>
        <v>0.197</v>
      </c>
      <c r="E8296" s="8" t="str">
        <f>IFERROR(__xludf.DUMMYFUNCTION("""COMPUTED_VALUE"""),"Real")</f>
        <v>Real</v>
      </c>
      <c r="G8296" s="8">
        <f t="shared" si="1"/>
        <v>10</v>
      </c>
      <c r="H8296" s="14">
        <f t="shared" si="2"/>
        <v>12</v>
      </c>
      <c r="I8296" s="15">
        <f t="shared" si="3"/>
        <v>16</v>
      </c>
    </row>
    <row r="8297">
      <c r="A8297" s="8" t="str">
        <f>IFERROR(__xludf.DUMMYFUNCTION("IF('(INGESTA)Datos_consumo_datadis'!A8297&lt;&gt;"""",SPLIT('(INGESTA)Datos_consumo_datadis'!A:A,"",""),"""")"),"ES0031408323131005HX0F")</f>
        <v>ES0031408323131005HX0F</v>
      </c>
      <c r="B8297" s="17">
        <f>IFERROR(__xludf.DUMMYFUNCTION("""COMPUTED_VALUE"""),45211.0)</f>
        <v>45211</v>
      </c>
      <c r="C8297" s="13">
        <f>IFERROR(__xludf.DUMMYFUNCTION("""COMPUTED_VALUE"""),0.7083333333333334)</f>
        <v>0.7083333333</v>
      </c>
      <c r="D8297" s="8">
        <f>IFERROR(__xludf.DUMMYFUNCTION("""COMPUTED_VALUE"""),0.066)</f>
        <v>0.066</v>
      </c>
      <c r="E8297" s="8" t="str">
        <f>IFERROR(__xludf.DUMMYFUNCTION("""COMPUTED_VALUE"""),"Real")</f>
        <v>Real</v>
      </c>
      <c r="G8297" s="8">
        <f t="shared" si="1"/>
        <v>10</v>
      </c>
      <c r="H8297" s="14">
        <f t="shared" si="2"/>
        <v>12</v>
      </c>
      <c r="I8297" s="15">
        <f t="shared" si="3"/>
        <v>17</v>
      </c>
    </row>
    <row r="8298">
      <c r="A8298" s="8" t="str">
        <f>IFERROR(__xludf.DUMMYFUNCTION("IF('(INGESTA)Datos_consumo_datadis'!A8298&lt;&gt;"""",SPLIT('(INGESTA)Datos_consumo_datadis'!A:A,"",""),"""")"),"ES0031408323131005HX0F")</f>
        <v>ES0031408323131005HX0F</v>
      </c>
      <c r="B8298" s="17">
        <f>IFERROR(__xludf.DUMMYFUNCTION("""COMPUTED_VALUE"""),45211.0)</f>
        <v>45211</v>
      </c>
      <c r="C8298" s="13">
        <f>IFERROR(__xludf.DUMMYFUNCTION("""COMPUTED_VALUE"""),0.75)</f>
        <v>0.75</v>
      </c>
      <c r="D8298" s="8">
        <f>IFERROR(__xludf.DUMMYFUNCTION("""COMPUTED_VALUE"""),0.089)</f>
        <v>0.089</v>
      </c>
      <c r="E8298" s="8" t="str">
        <f>IFERROR(__xludf.DUMMYFUNCTION("""COMPUTED_VALUE"""),"Real")</f>
        <v>Real</v>
      </c>
      <c r="G8298" s="8">
        <f t="shared" si="1"/>
        <v>10</v>
      </c>
      <c r="H8298" s="14">
        <f t="shared" si="2"/>
        <v>12</v>
      </c>
      <c r="I8298" s="15">
        <f t="shared" si="3"/>
        <v>18</v>
      </c>
    </row>
    <row r="8299">
      <c r="A8299" s="8" t="str">
        <f>IFERROR(__xludf.DUMMYFUNCTION("IF('(INGESTA)Datos_consumo_datadis'!A8299&lt;&gt;"""",SPLIT('(INGESTA)Datos_consumo_datadis'!A:A,"",""),"""")"),"ES0031408323131005HX0F")</f>
        <v>ES0031408323131005HX0F</v>
      </c>
      <c r="B8299" s="17">
        <f>IFERROR(__xludf.DUMMYFUNCTION("""COMPUTED_VALUE"""),45211.0)</f>
        <v>45211</v>
      </c>
      <c r="C8299" s="13">
        <f>IFERROR(__xludf.DUMMYFUNCTION("""COMPUTED_VALUE"""),0.7916666666666666)</f>
        <v>0.7916666667</v>
      </c>
      <c r="D8299" s="8">
        <f>IFERROR(__xludf.DUMMYFUNCTION("""COMPUTED_VALUE"""),0.072)</f>
        <v>0.072</v>
      </c>
      <c r="E8299" s="8" t="str">
        <f>IFERROR(__xludf.DUMMYFUNCTION("""COMPUTED_VALUE"""),"Real")</f>
        <v>Real</v>
      </c>
      <c r="G8299" s="8">
        <f t="shared" si="1"/>
        <v>10</v>
      </c>
      <c r="H8299" s="14">
        <f t="shared" si="2"/>
        <v>12</v>
      </c>
      <c r="I8299" s="15">
        <f t="shared" si="3"/>
        <v>19</v>
      </c>
    </row>
    <row r="8300">
      <c r="A8300" s="8" t="str">
        <f>IFERROR(__xludf.DUMMYFUNCTION("IF('(INGESTA)Datos_consumo_datadis'!A8300&lt;&gt;"""",SPLIT('(INGESTA)Datos_consumo_datadis'!A:A,"",""),"""")"),"ES0031408323131005HX0F")</f>
        <v>ES0031408323131005HX0F</v>
      </c>
      <c r="B8300" s="17">
        <f>IFERROR(__xludf.DUMMYFUNCTION("""COMPUTED_VALUE"""),45211.0)</f>
        <v>45211</v>
      </c>
      <c r="C8300" s="13">
        <f>IFERROR(__xludf.DUMMYFUNCTION("""COMPUTED_VALUE"""),0.8333333333333334)</f>
        <v>0.8333333333</v>
      </c>
      <c r="D8300" s="8">
        <f>IFERROR(__xludf.DUMMYFUNCTION("""COMPUTED_VALUE"""),0.234)</f>
        <v>0.234</v>
      </c>
      <c r="E8300" s="8" t="str">
        <f>IFERROR(__xludf.DUMMYFUNCTION("""COMPUTED_VALUE"""),"Real")</f>
        <v>Real</v>
      </c>
      <c r="G8300" s="8">
        <f t="shared" si="1"/>
        <v>10</v>
      </c>
      <c r="H8300" s="14">
        <f t="shared" si="2"/>
        <v>12</v>
      </c>
      <c r="I8300" s="15">
        <f t="shared" si="3"/>
        <v>20</v>
      </c>
    </row>
    <row r="8301">
      <c r="A8301" s="8" t="str">
        <f>IFERROR(__xludf.DUMMYFUNCTION("IF('(INGESTA)Datos_consumo_datadis'!A8301&lt;&gt;"""",SPLIT('(INGESTA)Datos_consumo_datadis'!A:A,"",""),"""")"),"ES0031408323131005HX0F")</f>
        <v>ES0031408323131005HX0F</v>
      </c>
      <c r="B8301" s="17">
        <f>IFERROR(__xludf.DUMMYFUNCTION("""COMPUTED_VALUE"""),45211.0)</f>
        <v>45211</v>
      </c>
      <c r="C8301" s="13">
        <f>IFERROR(__xludf.DUMMYFUNCTION("""COMPUTED_VALUE"""),0.875)</f>
        <v>0.875</v>
      </c>
      <c r="D8301" s="8">
        <f>IFERROR(__xludf.DUMMYFUNCTION("""COMPUTED_VALUE"""),1.126)</f>
        <v>1.126</v>
      </c>
      <c r="E8301" s="8" t="str">
        <f>IFERROR(__xludf.DUMMYFUNCTION("""COMPUTED_VALUE"""),"Real")</f>
        <v>Real</v>
      </c>
      <c r="G8301" s="8">
        <f t="shared" si="1"/>
        <v>10</v>
      </c>
      <c r="H8301" s="14">
        <f t="shared" si="2"/>
        <v>12</v>
      </c>
      <c r="I8301" s="15">
        <f t="shared" si="3"/>
        <v>21</v>
      </c>
    </row>
    <row r="8302">
      <c r="A8302" s="8" t="str">
        <f>IFERROR(__xludf.DUMMYFUNCTION("IF('(INGESTA)Datos_consumo_datadis'!A8302&lt;&gt;"""",SPLIT('(INGESTA)Datos_consumo_datadis'!A:A,"",""),"""")"),"ES0031408323131005HX0F")</f>
        <v>ES0031408323131005HX0F</v>
      </c>
      <c r="B8302" s="17">
        <f>IFERROR(__xludf.DUMMYFUNCTION("""COMPUTED_VALUE"""),45211.0)</f>
        <v>45211</v>
      </c>
      <c r="C8302" s="13">
        <f>IFERROR(__xludf.DUMMYFUNCTION("""COMPUTED_VALUE"""),0.9166666666666666)</f>
        <v>0.9166666667</v>
      </c>
      <c r="D8302" s="8">
        <f>IFERROR(__xludf.DUMMYFUNCTION("""COMPUTED_VALUE"""),0.242)</f>
        <v>0.242</v>
      </c>
      <c r="E8302" s="8" t="str">
        <f>IFERROR(__xludf.DUMMYFUNCTION("""COMPUTED_VALUE"""),"Real")</f>
        <v>Real</v>
      </c>
      <c r="G8302" s="8">
        <f t="shared" si="1"/>
        <v>10</v>
      </c>
      <c r="H8302" s="14">
        <f t="shared" si="2"/>
        <v>12</v>
      </c>
      <c r="I8302" s="15">
        <f t="shared" si="3"/>
        <v>22</v>
      </c>
    </row>
    <row r="8303">
      <c r="A8303" s="8" t="str">
        <f>IFERROR(__xludf.DUMMYFUNCTION("IF('(INGESTA)Datos_consumo_datadis'!A8303&lt;&gt;"""",SPLIT('(INGESTA)Datos_consumo_datadis'!A:A,"",""),"""")"),"ES0031408323131005HX0F")</f>
        <v>ES0031408323131005HX0F</v>
      </c>
      <c r="B8303" s="17">
        <f>IFERROR(__xludf.DUMMYFUNCTION("""COMPUTED_VALUE"""),45211.0)</f>
        <v>45211</v>
      </c>
      <c r="C8303" s="13">
        <f>IFERROR(__xludf.DUMMYFUNCTION("""COMPUTED_VALUE"""),0.9583333333333334)</f>
        <v>0.9583333333</v>
      </c>
      <c r="D8303" s="8">
        <f>IFERROR(__xludf.DUMMYFUNCTION("""COMPUTED_VALUE"""),0.246)</f>
        <v>0.246</v>
      </c>
      <c r="E8303" s="8" t="str">
        <f>IFERROR(__xludf.DUMMYFUNCTION("""COMPUTED_VALUE"""),"Real")</f>
        <v>Real</v>
      </c>
      <c r="G8303" s="8">
        <f t="shared" si="1"/>
        <v>10</v>
      </c>
      <c r="H8303" s="14">
        <f t="shared" si="2"/>
        <v>12</v>
      </c>
      <c r="I8303" s="15">
        <f t="shared" si="3"/>
        <v>23</v>
      </c>
    </row>
    <row r="8304">
      <c r="A8304" s="8" t="str">
        <f>IFERROR(__xludf.DUMMYFUNCTION("IF('(INGESTA)Datos_consumo_datadis'!A8304&lt;&gt;"""",SPLIT('(INGESTA)Datos_consumo_datadis'!A:A,"",""),"""")"),"ES0031408323131005HX0F")</f>
        <v>ES0031408323131005HX0F</v>
      </c>
      <c r="B8304" s="17">
        <f>IFERROR(__xludf.DUMMYFUNCTION("""COMPUTED_VALUE"""),45211.0)</f>
        <v>45211</v>
      </c>
      <c r="C8304" s="16">
        <f>IFERROR(__xludf.DUMMYFUNCTION("""COMPUTED_VALUE"""),1.0)</f>
        <v>1</v>
      </c>
      <c r="D8304" s="8">
        <f>IFERROR(__xludf.DUMMYFUNCTION("""COMPUTED_VALUE"""),0.284)</f>
        <v>0.284</v>
      </c>
      <c r="E8304" s="8" t="str">
        <f>IFERROR(__xludf.DUMMYFUNCTION("""COMPUTED_VALUE"""),"Real")</f>
        <v>Real</v>
      </c>
      <c r="G8304" s="8">
        <f t="shared" si="1"/>
        <v>10</v>
      </c>
      <c r="H8304" s="14">
        <f t="shared" si="2"/>
        <v>12</v>
      </c>
      <c r="I8304" s="15">
        <f t="shared" si="3"/>
        <v>0</v>
      </c>
    </row>
    <row r="8305">
      <c r="A8305" s="8" t="str">
        <f>IFERROR(__xludf.DUMMYFUNCTION("IF('(INGESTA)Datos_consumo_datadis'!A8305&lt;&gt;"""",SPLIT('(INGESTA)Datos_consumo_datadis'!A:A,"",""),"""")"),"ES0031408323131005HX0F")</f>
        <v>ES0031408323131005HX0F</v>
      </c>
      <c r="B8305" s="17">
        <f>IFERROR(__xludf.DUMMYFUNCTION("""COMPUTED_VALUE"""),45212.0)</f>
        <v>45212</v>
      </c>
      <c r="C8305" s="13">
        <f>IFERROR(__xludf.DUMMYFUNCTION("""COMPUTED_VALUE"""),0.041666666666666664)</f>
        <v>0.04166666667</v>
      </c>
      <c r="D8305" s="8">
        <f>IFERROR(__xludf.DUMMYFUNCTION("""COMPUTED_VALUE"""),0.22)</f>
        <v>0.22</v>
      </c>
      <c r="E8305" s="8" t="str">
        <f>IFERROR(__xludf.DUMMYFUNCTION("""COMPUTED_VALUE"""),"Real")</f>
        <v>Real</v>
      </c>
      <c r="G8305" s="8">
        <f t="shared" si="1"/>
        <v>10</v>
      </c>
      <c r="H8305" s="14">
        <f t="shared" si="2"/>
        <v>13</v>
      </c>
      <c r="I8305" s="15">
        <f t="shared" si="3"/>
        <v>1</v>
      </c>
    </row>
    <row r="8306">
      <c r="A8306" s="8" t="str">
        <f>IFERROR(__xludf.DUMMYFUNCTION("IF('(INGESTA)Datos_consumo_datadis'!A8306&lt;&gt;"""",SPLIT('(INGESTA)Datos_consumo_datadis'!A:A,"",""),"""")"),"ES0031408323131005HX0F")</f>
        <v>ES0031408323131005HX0F</v>
      </c>
      <c r="B8306" s="17">
        <f>IFERROR(__xludf.DUMMYFUNCTION("""COMPUTED_VALUE"""),45212.0)</f>
        <v>45212</v>
      </c>
      <c r="C8306" s="13">
        <f>IFERROR(__xludf.DUMMYFUNCTION("""COMPUTED_VALUE"""),0.08333333333333333)</f>
        <v>0.08333333333</v>
      </c>
      <c r="D8306" s="8">
        <f>IFERROR(__xludf.DUMMYFUNCTION("""COMPUTED_VALUE"""),0.124)</f>
        <v>0.124</v>
      </c>
      <c r="E8306" s="8" t="str">
        <f>IFERROR(__xludf.DUMMYFUNCTION("""COMPUTED_VALUE"""),"Real")</f>
        <v>Real</v>
      </c>
      <c r="G8306" s="8">
        <f t="shared" si="1"/>
        <v>10</v>
      </c>
      <c r="H8306" s="14">
        <f t="shared" si="2"/>
        <v>13</v>
      </c>
      <c r="I8306" s="15">
        <f t="shared" si="3"/>
        <v>2</v>
      </c>
    </row>
    <row r="8307">
      <c r="A8307" s="8" t="str">
        <f>IFERROR(__xludf.DUMMYFUNCTION("IF('(INGESTA)Datos_consumo_datadis'!A8307&lt;&gt;"""",SPLIT('(INGESTA)Datos_consumo_datadis'!A:A,"",""),"""")"),"ES0031408323131005HX0F")</f>
        <v>ES0031408323131005HX0F</v>
      </c>
      <c r="B8307" s="17">
        <f>IFERROR(__xludf.DUMMYFUNCTION("""COMPUTED_VALUE"""),45212.0)</f>
        <v>45212</v>
      </c>
      <c r="C8307" s="13">
        <f>IFERROR(__xludf.DUMMYFUNCTION("""COMPUTED_VALUE"""),0.125)</f>
        <v>0.125</v>
      </c>
      <c r="D8307" s="8">
        <f>IFERROR(__xludf.DUMMYFUNCTION("""COMPUTED_VALUE"""),0.36)</f>
        <v>0.36</v>
      </c>
      <c r="E8307" s="8" t="str">
        <f>IFERROR(__xludf.DUMMYFUNCTION("""COMPUTED_VALUE"""),"Real")</f>
        <v>Real</v>
      </c>
      <c r="G8307" s="8">
        <f t="shared" si="1"/>
        <v>10</v>
      </c>
      <c r="H8307" s="14">
        <f t="shared" si="2"/>
        <v>13</v>
      </c>
      <c r="I8307" s="15">
        <f t="shared" si="3"/>
        <v>3</v>
      </c>
    </row>
    <row r="8308">
      <c r="A8308" s="8" t="str">
        <f>IFERROR(__xludf.DUMMYFUNCTION("IF('(INGESTA)Datos_consumo_datadis'!A8308&lt;&gt;"""",SPLIT('(INGESTA)Datos_consumo_datadis'!A:A,"",""),"""")"),"ES0031408323131005HX0F")</f>
        <v>ES0031408323131005HX0F</v>
      </c>
      <c r="B8308" s="17">
        <f>IFERROR(__xludf.DUMMYFUNCTION("""COMPUTED_VALUE"""),45212.0)</f>
        <v>45212</v>
      </c>
      <c r="C8308" s="13">
        <f>IFERROR(__xludf.DUMMYFUNCTION("""COMPUTED_VALUE"""),0.16666666666666666)</f>
        <v>0.1666666667</v>
      </c>
      <c r="D8308" s="8">
        <f>IFERROR(__xludf.DUMMYFUNCTION("""COMPUTED_VALUE"""),0.071)</f>
        <v>0.071</v>
      </c>
      <c r="E8308" s="8" t="str">
        <f>IFERROR(__xludf.DUMMYFUNCTION("""COMPUTED_VALUE"""),"Real")</f>
        <v>Real</v>
      </c>
      <c r="G8308" s="8">
        <f t="shared" si="1"/>
        <v>10</v>
      </c>
      <c r="H8308" s="14">
        <f t="shared" si="2"/>
        <v>13</v>
      </c>
      <c r="I8308" s="15">
        <f t="shared" si="3"/>
        <v>4</v>
      </c>
    </row>
    <row r="8309">
      <c r="A8309" s="8" t="str">
        <f>IFERROR(__xludf.DUMMYFUNCTION("IF('(INGESTA)Datos_consumo_datadis'!A8309&lt;&gt;"""",SPLIT('(INGESTA)Datos_consumo_datadis'!A:A,"",""),"""")"),"ES0031408323131005HX0F")</f>
        <v>ES0031408323131005HX0F</v>
      </c>
      <c r="B8309" s="17">
        <f>IFERROR(__xludf.DUMMYFUNCTION("""COMPUTED_VALUE"""),45212.0)</f>
        <v>45212</v>
      </c>
      <c r="C8309" s="13">
        <f>IFERROR(__xludf.DUMMYFUNCTION("""COMPUTED_VALUE"""),0.20833333333333334)</f>
        <v>0.2083333333</v>
      </c>
      <c r="D8309" s="8">
        <f>IFERROR(__xludf.DUMMYFUNCTION("""COMPUTED_VALUE"""),0.053)</f>
        <v>0.053</v>
      </c>
      <c r="E8309" s="8" t="str">
        <f>IFERROR(__xludf.DUMMYFUNCTION("""COMPUTED_VALUE"""),"Real")</f>
        <v>Real</v>
      </c>
      <c r="G8309" s="8">
        <f t="shared" si="1"/>
        <v>10</v>
      </c>
      <c r="H8309" s="14">
        <f t="shared" si="2"/>
        <v>13</v>
      </c>
      <c r="I8309" s="15">
        <f t="shared" si="3"/>
        <v>5</v>
      </c>
    </row>
    <row r="8310">
      <c r="A8310" s="8" t="str">
        <f>IFERROR(__xludf.DUMMYFUNCTION("IF('(INGESTA)Datos_consumo_datadis'!A8310&lt;&gt;"""",SPLIT('(INGESTA)Datos_consumo_datadis'!A:A,"",""),"""")"),"ES0031408323131005HX0F")</f>
        <v>ES0031408323131005HX0F</v>
      </c>
      <c r="B8310" s="17">
        <f>IFERROR(__xludf.DUMMYFUNCTION("""COMPUTED_VALUE"""),45212.0)</f>
        <v>45212</v>
      </c>
      <c r="C8310" s="13">
        <f>IFERROR(__xludf.DUMMYFUNCTION("""COMPUTED_VALUE"""),0.25)</f>
        <v>0.25</v>
      </c>
      <c r="D8310" s="8">
        <f>IFERROR(__xludf.DUMMYFUNCTION("""COMPUTED_VALUE"""),0.095)</f>
        <v>0.095</v>
      </c>
      <c r="E8310" s="8" t="str">
        <f>IFERROR(__xludf.DUMMYFUNCTION("""COMPUTED_VALUE"""),"Real")</f>
        <v>Real</v>
      </c>
      <c r="G8310" s="8">
        <f t="shared" si="1"/>
        <v>10</v>
      </c>
      <c r="H8310" s="14">
        <f t="shared" si="2"/>
        <v>13</v>
      </c>
      <c r="I8310" s="15">
        <f t="shared" si="3"/>
        <v>6</v>
      </c>
    </row>
    <row r="8311">
      <c r="A8311" s="8" t="str">
        <f>IFERROR(__xludf.DUMMYFUNCTION("IF('(INGESTA)Datos_consumo_datadis'!A8311&lt;&gt;"""",SPLIT('(INGESTA)Datos_consumo_datadis'!A:A,"",""),"""")"),"ES0031408323131005HX0F")</f>
        <v>ES0031408323131005HX0F</v>
      </c>
      <c r="B8311" s="17">
        <f>IFERROR(__xludf.DUMMYFUNCTION("""COMPUTED_VALUE"""),45212.0)</f>
        <v>45212</v>
      </c>
      <c r="C8311" s="13">
        <f>IFERROR(__xludf.DUMMYFUNCTION("""COMPUTED_VALUE"""),0.2916666666666667)</f>
        <v>0.2916666667</v>
      </c>
      <c r="D8311" s="8">
        <f>IFERROR(__xludf.DUMMYFUNCTION("""COMPUTED_VALUE"""),0.071)</f>
        <v>0.071</v>
      </c>
      <c r="E8311" s="8" t="str">
        <f>IFERROR(__xludf.DUMMYFUNCTION("""COMPUTED_VALUE"""),"Real")</f>
        <v>Real</v>
      </c>
      <c r="G8311" s="8">
        <f t="shared" si="1"/>
        <v>10</v>
      </c>
      <c r="H8311" s="14">
        <f t="shared" si="2"/>
        <v>13</v>
      </c>
      <c r="I8311" s="15">
        <f t="shared" si="3"/>
        <v>7</v>
      </c>
    </row>
    <row r="8312">
      <c r="A8312" s="8" t="str">
        <f>IFERROR(__xludf.DUMMYFUNCTION("IF('(INGESTA)Datos_consumo_datadis'!A8312&lt;&gt;"""",SPLIT('(INGESTA)Datos_consumo_datadis'!A:A,"",""),"""")"),"ES0031408323131005HX0F")</f>
        <v>ES0031408323131005HX0F</v>
      </c>
      <c r="B8312" s="17">
        <f>IFERROR(__xludf.DUMMYFUNCTION("""COMPUTED_VALUE"""),45212.0)</f>
        <v>45212</v>
      </c>
      <c r="C8312" s="13">
        <f>IFERROR(__xludf.DUMMYFUNCTION("""COMPUTED_VALUE"""),0.3333333333333333)</f>
        <v>0.3333333333</v>
      </c>
      <c r="D8312" s="8">
        <f>IFERROR(__xludf.DUMMYFUNCTION("""COMPUTED_VALUE"""),0.056)</f>
        <v>0.056</v>
      </c>
      <c r="E8312" s="8" t="str">
        <f>IFERROR(__xludf.DUMMYFUNCTION("""COMPUTED_VALUE"""),"Real")</f>
        <v>Real</v>
      </c>
      <c r="G8312" s="8">
        <f t="shared" si="1"/>
        <v>10</v>
      </c>
      <c r="H8312" s="14">
        <f t="shared" si="2"/>
        <v>13</v>
      </c>
      <c r="I8312" s="15">
        <f t="shared" si="3"/>
        <v>8</v>
      </c>
    </row>
    <row r="8313">
      <c r="A8313" s="8" t="str">
        <f>IFERROR(__xludf.DUMMYFUNCTION("IF('(INGESTA)Datos_consumo_datadis'!A8313&lt;&gt;"""",SPLIT('(INGESTA)Datos_consumo_datadis'!A:A,"",""),"""")"),"ES0031408323131005HX0F")</f>
        <v>ES0031408323131005HX0F</v>
      </c>
      <c r="B8313" s="17">
        <f>IFERROR(__xludf.DUMMYFUNCTION("""COMPUTED_VALUE"""),45212.0)</f>
        <v>45212</v>
      </c>
      <c r="C8313" s="13">
        <f>IFERROR(__xludf.DUMMYFUNCTION("""COMPUTED_VALUE"""),0.375)</f>
        <v>0.375</v>
      </c>
      <c r="D8313" s="8">
        <f>IFERROR(__xludf.DUMMYFUNCTION("""COMPUTED_VALUE"""),0.132)</f>
        <v>0.132</v>
      </c>
      <c r="E8313" s="8" t="str">
        <f>IFERROR(__xludf.DUMMYFUNCTION("""COMPUTED_VALUE"""),"Real")</f>
        <v>Real</v>
      </c>
      <c r="G8313" s="8">
        <f t="shared" si="1"/>
        <v>10</v>
      </c>
      <c r="H8313" s="14">
        <f t="shared" si="2"/>
        <v>13</v>
      </c>
      <c r="I8313" s="15">
        <f t="shared" si="3"/>
        <v>9</v>
      </c>
    </row>
    <row r="8314">
      <c r="A8314" s="8" t="str">
        <f>IFERROR(__xludf.DUMMYFUNCTION("IF('(INGESTA)Datos_consumo_datadis'!A8314&lt;&gt;"""",SPLIT('(INGESTA)Datos_consumo_datadis'!A:A,"",""),"""")"),"ES0031408323131005HX0F")</f>
        <v>ES0031408323131005HX0F</v>
      </c>
      <c r="B8314" s="17">
        <f>IFERROR(__xludf.DUMMYFUNCTION("""COMPUTED_VALUE"""),45212.0)</f>
        <v>45212</v>
      </c>
      <c r="C8314" s="13">
        <f>IFERROR(__xludf.DUMMYFUNCTION("""COMPUTED_VALUE"""),0.4166666666666667)</f>
        <v>0.4166666667</v>
      </c>
      <c r="D8314" s="8">
        <f>IFERROR(__xludf.DUMMYFUNCTION("""COMPUTED_VALUE"""),0.158)</f>
        <v>0.158</v>
      </c>
      <c r="E8314" s="8" t="str">
        <f>IFERROR(__xludf.DUMMYFUNCTION("""COMPUTED_VALUE"""),"Real")</f>
        <v>Real</v>
      </c>
      <c r="G8314" s="8">
        <f t="shared" si="1"/>
        <v>10</v>
      </c>
      <c r="H8314" s="14">
        <f t="shared" si="2"/>
        <v>13</v>
      </c>
      <c r="I8314" s="15">
        <f t="shared" si="3"/>
        <v>10</v>
      </c>
    </row>
    <row r="8315">
      <c r="A8315" s="8" t="str">
        <f>IFERROR(__xludf.DUMMYFUNCTION("IF('(INGESTA)Datos_consumo_datadis'!A8315&lt;&gt;"""",SPLIT('(INGESTA)Datos_consumo_datadis'!A:A,"",""),"""")"),"ES0031408323131005HX0F")</f>
        <v>ES0031408323131005HX0F</v>
      </c>
      <c r="B8315" s="17">
        <f>IFERROR(__xludf.DUMMYFUNCTION("""COMPUTED_VALUE"""),45212.0)</f>
        <v>45212</v>
      </c>
      <c r="C8315" s="13">
        <f>IFERROR(__xludf.DUMMYFUNCTION("""COMPUTED_VALUE"""),0.4583333333333333)</f>
        <v>0.4583333333</v>
      </c>
      <c r="D8315" s="8">
        <f>IFERROR(__xludf.DUMMYFUNCTION("""COMPUTED_VALUE"""),1.397)</f>
        <v>1.397</v>
      </c>
      <c r="E8315" s="8" t="str">
        <f>IFERROR(__xludf.DUMMYFUNCTION("""COMPUTED_VALUE"""),"Real")</f>
        <v>Real</v>
      </c>
      <c r="G8315" s="8">
        <f t="shared" si="1"/>
        <v>10</v>
      </c>
      <c r="H8315" s="14">
        <f t="shared" si="2"/>
        <v>13</v>
      </c>
      <c r="I8315" s="15">
        <f t="shared" si="3"/>
        <v>11</v>
      </c>
    </row>
    <row r="8316">
      <c r="A8316" s="8" t="str">
        <f>IFERROR(__xludf.DUMMYFUNCTION("IF('(INGESTA)Datos_consumo_datadis'!A8316&lt;&gt;"""",SPLIT('(INGESTA)Datos_consumo_datadis'!A:A,"",""),"""")"),"ES0031408323131005HX0F")</f>
        <v>ES0031408323131005HX0F</v>
      </c>
      <c r="B8316" s="17">
        <f>IFERROR(__xludf.DUMMYFUNCTION("""COMPUTED_VALUE"""),45212.0)</f>
        <v>45212</v>
      </c>
      <c r="C8316" s="13">
        <f>IFERROR(__xludf.DUMMYFUNCTION("""COMPUTED_VALUE"""),0.5)</f>
        <v>0.5</v>
      </c>
      <c r="D8316" s="8">
        <f>IFERROR(__xludf.DUMMYFUNCTION("""COMPUTED_VALUE"""),0.137)</f>
        <v>0.137</v>
      </c>
      <c r="E8316" s="8" t="str">
        <f>IFERROR(__xludf.DUMMYFUNCTION("""COMPUTED_VALUE"""),"Real")</f>
        <v>Real</v>
      </c>
      <c r="G8316" s="8">
        <f t="shared" si="1"/>
        <v>10</v>
      </c>
      <c r="H8316" s="14">
        <f t="shared" si="2"/>
        <v>13</v>
      </c>
      <c r="I8316" s="15">
        <f t="shared" si="3"/>
        <v>12</v>
      </c>
    </row>
    <row r="8317">
      <c r="A8317" s="8" t="str">
        <f>IFERROR(__xludf.DUMMYFUNCTION("IF('(INGESTA)Datos_consumo_datadis'!A8317&lt;&gt;"""",SPLIT('(INGESTA)Datos_consumo_datadis'!A:A,"",""),"""")"),"ES0031408323131005HX0F")</f>
        <v>ES0031408323131005HX0F</v>
      </c>
      <c r="B8317" s="17">
        <f>IFERROR(__xludf.DUMMYFUNCTION("""COMPUTED_VALUE"""),45212.0)</f>
        <v>45212</v>
      </c>
      <c r="C8317" s="13">
        <f>IFERROR(__xludf.DUMMYFUNCTION("""COMPUTED_VALUE"""),0.5416666666666666)</f>
        <v>0.5416666667</v>
      </c>
      <c r="D8317" s="8">
        <f>IFERROR(__xludf.DUMMYFUNCTION("""COMPUTED_VALUE"""),0.143)</f>
        <v>0.143</v>
      </c>
      <c r="E8317" s="8" t="str">
        <f>IFERROR(__xludf.DUMMYFUNCTION("""COMPUTED_VALUE"""),"Real")</f>
        <v>Real</v>
      </c>
      <c r="G8317" s="8">
        <f t="shared" si="1"/>
        <v>10</v>
      </c>
      <c r="H8317" s="14">
        <f t="shared" si="2"/>
        <v>13</v>
      </c>
      <c r="I8317" s="15">
        <f t="shared" si="3"/>
        <v>13</v>
      </c>
    </row>
    <row r="8318">
      <c r="A8318" s="8" t="str">
        <f>IFERROR(__xludf.DUMMYFUNCTION("IF('(INGESTA)Datos_consumo_datadis'!A8318&lt;&gt;"""",SPLIT('(INGESTA)Datos_consumo_datadis'!A:A,"",""),"""")"),"ES0031408323131005HX0F")</f>
        <v>ES0031408323131005HX0F</v>
      </c>
      <c r="B8318" s="17">
        <f>IFERROR(__xludf.DUMMYFUNCTION("""COMPUTED_VALUE"""),45212.0)</f>
        <v>45212</v>
      </c>
      <c r="C8318" s="13">
        <f>IFERROR(__xludf.DUMMYFUNCTION("""COMPUTED_VALUE"""),0.5833333333333334)</f>
        <v>0.5833333333</v>
      </c>
      <c r="D8318" s="8">
        <f>IFERROR(__xludf.DUMMYFUNCTION("""COMPUTED_VALUE"""),0.175)</f>
        <v>0.175</v>
      </c>
      <c r="E8318" s="8" t="str">
        <f>IFERROR(__xludf.DUMMYFUNCTION("""COMPUTED_VALUE"""),"Real")</f>
        <v>Real</v>
      </c>
      <c r="G8318" s="8">
        <f t="shared" si="1"/>
        <v>10</v>
      </c>
      <c r="H8318" s="14">
        <f t="shared" si="2"/>
        <v>13</v>
      </c>
      <c r="I8318" s="15">
        <f t="shared" si="3"/>
        <v>14</v>
      </c>
    </row>
    <row r="8319">
      <c r="A8319" s="8" t="str">
        <f>IFERROR(__xludf.DUMMYFUNCTION("IF('(INGESTA)Datos_consumo_datadis'!A8319&lt;&gt;"""",SPLIT('(INGESTA)Datos_consumo_datadis'!A:A,"",""),"""")"),"ES0031408323131005HX0F")</f>
        <v>ES0031408323131005HX0F</v>
      </c>
      <c r="B8319" s="17">
        <f>IFERROR(__xludf.DUMMYFUNCTION("""COMPUTED_VALUE"""),45212.0)</f>
        <v>45212</v>
      </c>
      <c r="C8319" s="13">
        <f>IFERROR(__xludf.DUMMYFUNCTION("""COMPUTED_VALUE"""),0.625)</f>
        <v>0.625</v>
      </c>
      <c r="D8319" s="8">
        <f>IFERROR(__xludf.DUMMYFUNCTION("""COMPUTED_VALUE"""),0.159)</f>
        <v>0.159</v>
      </c>
      <c r="E8319" s="8" t="str">
        <f>IFERROR(__xludf.DUMMYFUNCTION("""COMPUTED_VALUE"""),"Real")</f>
        <v>Real</v>
      </c>
      <c r="G8319" s="8">
        <f t="shared" si="1"/>
        <v>10</v>
      </c>
      <c r="H8319" s="14">
        <f t="shared" si="2"/>
        <v>13</v>
      </c>
      <c r="I8319" s="15">
        <f t="shared" si="3"/>
        <v>15</v>
      </c>
    </row>
    <row r="8320">
      <c r="A8320" s="8" t="str">
        <f>IFERROR(__xludf.DUMMYFUNCTION("IF('(INGESTA)Datos_consumo_datadis'!A8320&lt;&gt;"""",SPLIT('(INGESTA)Datos_consumo_datadis'!A:A,"",""),"""")"),"ES0031408323131005HX0F")</f>
        <v>ES0031408323131005HX0F</v>
      </c>
      <c r="B8320" s="17">
        <f>IFERROR(__xludf.DUMMYFUNCTION("""COMPUTED_VALUE"""),45212.0)</f>
        <v>45212</v>
      </c>
      <c r="C8320" s="13">
        <f>IFERROR(__xludf.DUMMYFUNCTION("""COMPUTED_VALUE"""),0.6666666666666666)</f>
        <v>0.6666666667</v>
      </c>
      <c r="D8320" s="8">
        <f>IFERROR(__xludf.DUMMYFUNCTION("""COMPUTED_VALUE"""),0.107)</f>
        <v>0.107</v>
      </c>
      <c r="E8320" s="8" t="str">
        <f>IFERROR(__xludf.DUMMYFUNCTION("""COMPUTED_VALUE"""),"Real")</f>
        <v>Real</v>
      </c>
      <c r="G8320" s="8">
        <f t="shared" si="1"/>
        <v>10</v>
      </c>
      <c r="H8320" s="14">
        <f t="shared" si="2"/>
        <v>13</v>
      </c>
      <c r="I8320" s="15">
        <f t="shared" si="3"/>
        <v>16</v>
      </c>
    </row>
    <row r="8321">
      <c r="A8321" s="8" t="str">
        <f>IFERROR(__xludf.DUMMYFUNCTION("IF('(INGESTA)Datos_consumo_datadis'!A8321&lt;&gt;"""",SPLIT('(INGESTA)Datos_consumo_datadis'!A:A,"",""),"""")"),"ES0031408323131005HX0F")</f>
        <v>ES0031408323131005HX0F</v>
      </c>
      <c r="B8321" s="17">
        <f>IFERROR(__xludf.DUMMYFUNCTION("""COMPUTED_VALUE"""),45212.0)</f>
        <v>45212</v>
      </c>
      <c r="C8321" s="13">
        <f>IFERROR(__xludf.DUMMYFUNCTION("""COMPUTED_VALUE"""),0.7083333333333334)</f>
        <v>0.7083333333</v>
      </c>
      <c r="D8321" s="8">
        <f>IFERROR(__xludf.DUMMYFUNCTION("""COMPUTED_VALUE"""),0.373)</f>
        <v>0.373</v>
      </c>
      <c r="E8321" s="8" t="str">
        <f>IFERROR(__xludf.DUMMYFUNCTION("""COMPUTED_VALUE"""),"Real")</f>
        <v>Real</v>
      </c>
      <c r="G8321" s="8">
        <f t="shared" si="1"/>
        <v>10</v>
      </c>
      <c r="H8321" s="14">
        <f t="shared" si="2"/>
        <v>13</v>
      </c>
      <c r="I8321" s="15">
        <f t="shared" si="3"/>
        <v>17</v>
      </c>
    </row>
    <row r="8322">
      <c r="A8322" s="8" t="str">
        <f>IFERROR(__xludf.DUMMYFUNCTION("IF('(INGESTA)Datos_consumo_datadis'!A8322&lt;&gt;"""",SPLIT('(INGESTA)Datos_consumo_datadis'!A:A,"",""),"""")"),"ES0031408323131005HX0F")</f>
        <v>ES0031408323131005HX0F</v>
      </c>
      <c r="B8322" s="17">
        <f>IFERROR(__xludf.DUMMYFUNCTION("""COMPUTED_VALUE"""),45212.0)</f>
        <v>45212</v>
      </c>
      <c r="C8322" s="13">
        <f>IFERROR(__xludf.DUMMYFUNCTION("""COMPUTED_VALUE"""),0.75)</f>
        <v>0.75</v>
      </c>
      <c r="D8322" s="8">
        <f>IFERROR(__xludf.DUMMYFUNCTION("""COMPUTED_VALUE"""),0.075)</f>
        <v>0.075</v>
      </c>
      <c r="E8322" s="8" t="str">
        <f>IFERROR(__xludf.DUMMYFUNCTION("""COMPUTED_VALUE"""),"Real")</f>
        <v>Real</v>
      </c>
      <c r="G8322" s="8">
        <f t="shared" si="1"/>
        <v>10</v>
      </c>
      <c r="H8322" s="14">
        <f t="shared" si="2"/>
        <v>13</v>
      </c>
      <c r="I8322" s="15">
        <f t="shared" si="3"/>
        <v>18</v>
      </c>
    </row>
    <row r="8323">
      <c r="A8323" s="8" t="str">
        <f>IFERROR(__xludf.DUMMYFUNCTION("IF('(INGESTA)Datos_consumo_datadis'!A8323&lt;&gt;"""",SPLIT('(INGESTA)Datos_consumo_datadis'!A:A,"",""),"""")"),"ES0031408323131005HX0F")</f>
        <v>ES0031408323131005HX0F</v>
      </c>
      <c r="B8323" s="17">
        <f>IFERROR(__xludf.DUMMYFUNCTION("""COMPUTED_VALUE"""),45212.0)</f>
        <v>45212</v>
      </c>
      <c r="C8323" s="13">
        <f>IFERROR(__xludf.DUMMYFUNCTION("""COMPUTED_VALUE"""),0.7916666666666666)</f>
        <v>0.7916666667</v>
      </c>
      <c r="D8323" s="8">
        <f>IFERROR(__xludf.DUMMYFUNCTION("""COMPUTED_VALUE"""),0.067)</f>
        <v>0.067</v>
      </c>
      <c r="E8323" s="8" t="str">
        <f>IFERROR(__xludf.DUMMYFUNCTION("""COMPUTED_VALUE"""),"Real")</f>
        <v>Real</v>
      </c>
      <c r="G8323" s="8">
        <f t="shared" si="1"/>
        <v>10</v>
      </c>
      <c r="H8323" s="14">
        <f t="shared" si="2"/>
        <v>13</v>
      </c>
      <c r="I8323" s="15">
        <f t="shared" si="3"/>
        <v>19</v>
      </c>
    </row>
    <row r="8324">
      <c r="A8324" s="8" t="str">
        <f>IFERROR(__xludf.DUMMYFUNCTION("IF('(INGESTA)Datos_consumo_datadis'!A8324&lt;&gt;"""",SPLIT('(INGESTA)Datos_consumo_datadis'!A:A,"",""),"""")"),"ES0031408323131005HX0F")</f>
        <v>ES0031408323131005HX0F</v>
      </c>
      <c r="B8324" s="17">
        <f>IFERROR(__xludf.DUMMYFUNCTION("""COMPUTED_VALUE"""),45212.0)</f>
        <v>45212</v>
      </c>
      <c r="C8324" s="13">
        <f>IFERROR(__xludf.DUMMYFUNCTION("""COMPUTED_VALUE"""),0.8333333333333334)</f>
        <v>0.8333333333</v>
      </c>
      <c r="D8324" s="8">
        <f>IFERROR(__xludf.DUMMYFUNCTION("""COMPUTED_VALUE"""),0.143)</f>
        <v>0.143</v>
      </c>
      <c r="E8324" s="8" t="str">
        <f>IFERROR(__xludf.DUMMYFUNCTION("""COMPUTED_VALUE"""),"Real")</f>
        <v>Real</v>
      </c>
      <c r="G8324" s="8">
        <f t="shared" si="1"/>
        <v>10</v>
      </c>
      <c r="H8324" s="14">
        <f t="shared" si="2"/>
        <v>13</v>
      </c>
      <c r="I8324" s="15">
        <f t="shared" si="3"/>
        <v>20</v>
      </c>
    </row>
    <row r="8325">
      <c r="A8325" s="8" t="str">
        <f>IFERROR(__xludf.DUMMYFUNCTION("IF('(INGESTA)Datos_consumo_datadis'!A8325&lt;&gt;"""",SPLIT('(INGESTA)Datos_consumo_datadis'!A:A,"",""),"""")"),"ES0031408323131005HX0F")</f>
        <v>ES0031408323131005HX0F</v>
      </c>
      <c r="B8325" s="17">
        <f>IFERROR(__xludf.DUMMYFUNCTION("""COMPUTED_VALUE"""),45212.0)</f>
        <v>45212</v>
      </c>
      <c r="C8325" s="13">
        <f>IFERROR(__xludf.DUMMYFUNCTION("""COMPUTED_VALUE"""),0.875)</f>
        <v>0.875</v>
      </c>
      <c r="D8325" s="8">
        <f>IFERROR(__xludf.DUMMYFUNCTION("""COMPUTED_VALUE"""),0.112)</f>
        <v>0.112</v>
      </c>
      <c r="E8325" s="8" t="str">
        <f>IFERROR(__xludf.DUMMYFUNCTION("""COMPUTED_VALUE"""),"Real")</f>
        <v>Real</v>
      </c>
      <c r="G8325" s="8">
        <f t="shared" si="1"/>
        <v>10</v>
      </c>
      <c r="H8325" s="14">
        <f t="shared" si="2"/>
        <v>13</v>
      </c>
      <c r="I8325" s="15">
        <f t="shared" si="3"/>
        <v>21</v>
      </c>
    </row>
    <row r="8326">
      <c r="A8326" s="8" t="str">
        <f>IFERROR(__xludf.DUMMYFUNCTION("IF('(INGESTA)Datos_consumo_datadis'!A8326&lt;&gt;"""",SPLIT('(INGESTA)Datos_consumo_datadis'!A:A,"",""),"""")"),"ES0031408323131005HX0F")</f>
        <v>ES0031408323131005HX0F</v>
      </c>
      <c r="B8326" s="17">
        <f>IFERROR(__xludf.DUMMYFUNCTION("""COMPUTED_VALUE"""),45212.0)</f>
        <v>45212</v>
      </c>
      <c r="C8326" s="13">
        <f>IFERROR(__xludf.DUMMYFUNCTION("""COMPUTED_VALUE"""),0.9166666666666666)</f>
        <v>0.9166666667</v>
      </c>
      <c r="D8326" s="8">
        <f>IFERROR(__xludf.DUMMYFUNCTION("""COMPUTED_VALUE"""),0.111)</f>
        <v>0.111</v>
      </c>
      <c r="E8326" s="8" t="str">
        <f>IFERROR(__xludf.DUMMYFUNCTION("""COMPUTED_VALUE"""),"Real")</f>
        <v>Real</v>
      </c>
      <c r="G8326" s="8">
        <f t="shared" si="1"/>
        <v>10</v>
      </c>
      <c r="H8326" s="14">
        <f t="shared" si="2"/>
        <v>13</v>
      </c>
      <c r="I8326" s="15">
        <f t="shared" si="3"/>
        <v>22</v>
      </c>
    </row>
    <row r="8327">
      <c r="A8327" s="8" t="str">
        <f>IFERROR(__xludf.DUMMYFUNCTION("IF('(INGESTA)Datos_consumo_datadis'!A8327&lt;&gt;"""",SPLIT('(INGESTA)Datos_consumo_datadis'!A:A,"",""),"""")"),"ES0031408323131005HX0F")</f>
        <v>ES0031408323131005HX0F</v>
      </c>
      <c r="B8327" s="17">
        <f>IFERROR(__xludf.DUMMYFUNCTION("""COMPUTED_VALUE"""),45212.0)</f>
        <v>45212</v>
      </c>
      <c r="C8327" s="13">
        <f>IFERROR(__xludf.DUMMYFUNCTION("""COMPUTED_VALUE"""),0.9583333333333334)</f>
        <v>0.9583333333</v>
      </c>
      <c r="D8327" s="8">
        <f>IFERROR(__xludf.DUMMYFUNCTION("""COMPUTED_VALUE"""),0.111)</f>
        <v>0.111</v>
      </c>
      <c r="E8327" s="8" t="str">
        <f>IFERROR(__xludf.DUMMYFUNCTION("""COMPUTED_VALUE"""),"Real")</f>
        <v>Real</v>
      </c>
      <c r="G8327" s="8">
        <f t="shared" si="1"/>
        <v>10</v>
      </c>
      <c r="H8327" s="14">
        <f t="shared" si="2"/>
        <v>13</v>
      </c>
      <c r="I8327" s="15">
        <f t="shared" si="3"/>
        <v>23</v>
      </c>
    </row>
    <row r="8328">
      <c r="A8328" s="8" t="str">
        <f>IFERROR(__xludf.DUMMYFUNCTION("IF('(INGESTA)Datos_consumo_datadis'!A8328&lt;&gt;"""",SPLIT('(INGESTA)Datos_consumo_datadis'!A:A,"",""),"""")"),"ES0031408323131005HX0F")</f>
        <v>ES0031408323131005HX0F</v>
      </c>
      <c r="B8328" s="17">
        <f>IFERROR(__xludf.DUMMYFUNCTION("""COMPUTED_VALUE"""),45212.0)</f>
        <v>45212</v>
      </c>
      <c r="C8328" s="16">
        <f>IFERROR(__xludf.DUMMYFUNCTION("""COMPUTED_VALUE"""),1.0)</f>
        <v>1</v>
      </c>
      <c r="D8328" s="8">
        <f>IFERROR(__xludf.DUMMYFUNCTION("""COMPUTED_VALUE"""),0.111)</f>
        <v>0.111</v>
      </c>
      <c r="E8328" s="8" t="str">
        <f>IFERROR(__xludf.DUMMYFUNCTION("""COMPUTED_VALUE"""),"Real")</f>
        <v>Real</v>
      </c>
      <c r="G8328" s="8">
        <f t="shared" si="1"/>
        <v>10</v>
      </c>
      <c r="H8328" s="14">
        <f t="shared" si="2"/>
        <v>13</v>
      </c>
      <c r="I8328" s="15">
        <f t="shared" si="3"/>
        <v>0</v>
      </c>
    </row>
    <row r="8329">
      <c r="A8329" s="8" t="str">
        <f>IFERROR(__xludf.DUMMYFUNCTION("IF('(INGESTA)Datos_consumo_datadis'!A8329&lt;&gt;"""",SPLIT('(INGESTA)Datos_consumo_datadis'!A:A,"",""),"""")"),"ES0031408323131005HX0F")</f>
        <v>ES0031408323131005HX0F</v>
      </c>
      <c r="B8329" s="17">
        <f>IFERROR(__xludf.DUMMYFUNCTION("""COMPUTED_VALUE"""),45213.0)</f>
        <v>45213</v>
      </c>
      <c r="C8329" s="13">
        <f>IFERROR(__xludf.DUMMYFUNCTION("""COMPUTED_VALUE"""),0.041666666666666664)</f>
        <v>0.04166666667</v>
      </c>
      <c r="D8329" s="8">
        <f>IFERROR(__xludf.DUMMYFUNCTION("""COMPUTED_VALUE"""),0.374)</f>
        <v>0.374</v>
      </c>
      <c r="E8329" s="8" t="str">
        <f>IFERROR(__xludf.DUMMYFUNCTION("""COMPUTED_VALUE"""),"Real")</f>
        <v>Real</v>
      </c>
      <c r="G8329" s="8">
        <f t="shared" si="1"/>
        <v>10</v>
      </c>
      <c r="H8329" s="14">
        <f t="shared" si="2"/>
        <v>14</v>
      </c>
      <c r="I8329" s="15">
        <f t="shared" si="3"/>
        <v>1</v>
      </c>
    </row>
    <row r="8330">
      <c r="A8330" s="8" t="str">
        <f>IFERROR(__xludf.DUMMYFUNCTION("IF('(INGESTA)Datos_consumo_datadis'!A8330&lt;&gt;"""",SPLIT('(INGESTA)Datos_consumo_datadis'!A:A,"",""),"""")"),"ES0031408323131005HX0F")</f>
        <v>ES0031408323131005HX0F</v>
      </c>
      <c r="B8330" s="17">
        <f>IFERROR(__xludf.DUMMYFUNCTION("""COMPUTED_VALUE"""),45213.0)</f>
        <v>45213</v>
      </c>
      <c r="C8330" s="13">
        <f>IFERROR(__xludf.DUMMYFUNCTION("""COMPUTED_VALUE"""),0.08333333333333333)</f>
        <v>0.08333333333</v>
      </c>
      <c r="D8330" s="8">
        <f>IFERROR(__xludf.DUMMYFUNCTION("""COMPUTED_VALUE"""),0.088)</f>
        <v>0.088</v>
      </c>
      <c r="E8330" s="8" t="str">
        <f>IFERROR(__xludf.DUMMYFUNCTION("""COMPUTED_VALUE"""),"Real")</f>
        <v>Real</v>
      </c>
      <c r="G8330" s="8">
        <f t="shared" si="1"/>
        <v>10</v>
      </c>
      <c r="H8330" s="14">
        <f t="shared" si="2"/>
        <v>14</v>
      </c>
      <c r="I8330" s="15">
        <f t="shared" si="3"/>
        <v>2</v>
      </c>
    </row>
    <row r="8331">
      <c r="A8331" s="8" t="str">
        <f>IFERROR(__xludf.DUMMYFUNCTION("IF('(INGESTA)Datos_consumo_datadis'!A8331&lt;&gt;"""",SPLIT('(INGESTA)Datos_consumo_datadis'!A:A,"",""),"""")"),"ES0031408323131005HX0F")</f>
        <v>ES0031408323131005HX0F</v>
      </c>
      <c r="B8331" s="17">
        <f>IFERROR(__xludf.DUMMYFUNCTION("""COMPUTED_VALUE"""),45213.0)</f>
        <v>45213</v>
      </c>
      <c r="C8331" s="13">
        <f>IFERROR(__xludf.DUMMYFUNCTION("""COMPUTED_VALUE"""),0.125)</f>
        <v>0.125</v>
      </c>
      <c r="D8331" s="8">
        <f>IFERROR(__xludf.DUMMYFUNCTION("""COMPUTED_VALUE"""),0.139)</f>
        <v>0.139</v>
      </c>
      <c r="E8331" s="8" t="str">
        <f>IFERROR(__xludf.DUMMYFUNCTION("""COMPUTED_VALUE"""),"Real")</f>
        <v>Real</v>
      </c>
      <c r="G8331" s="8">
        <f t="shared" si="1"/>
        <v>10</v>
      </c>
      <c r="H8331" s="14">
        <f t="shared" si="2"/>
        <v>14</v>
      </c>
      <c r="I8331" s="15">
        <f t="shared" si="3"/>
        <v>3</v>
      </c>
    </row>
    <row r="8332">
      <c r="A8332" s="8" t="str">
        <f>IFERROR(__xludf.DUMMYFUNCTION("IF('(INGESTA)Datos_consumo_datadis'!A8332&lt;&gt;"""",SPLIT('(INGESTA)Datos_consumo_datadis'!A:A,"",""),"""")"),"ES0031408323131005HX0F")</f>
        <v>ES0031408323131005HX0F</v>
      </c>
      <c r="B8332" s="17">
        <f>IFERROR(__xludf.DUMMYFUNCTION("""COMPUTED_VALUE"""),45213.0)</f>
        <v>45213</v>
      </c>
      <c r="C8332" s="13">
        <f>IFERROR(__xludf.DUMMYFUNCTION("""COMPUTED_VALUE"""),0.16666666666666666)</f>
        <v>0.1666666667</v>
      </c>
      <c r="D8332" s="8">
        <f>IFERROR(__xludf.DUMMYFUNCTION("""COMPUTED_VALUE"""),0.095)</f>
        <v>0.095</v>
      </c>
      <c r="E8332" s="8" t="str">
        <f>IFERROR(__xludf.DUMMYFUNCTION("""COMPUTED_VALUE"""),"Real")</f>
        <v>Real</v>
      </c>
      <c r="G8332" s="8">
        <f t="shared" si="1"/>
        <v>10</v>
      </c>
      <c r="H8332" s="14">
        <f t="shared" si="2"/>
        <v>14</v>
      </c>
      <c r="I8332" s="15">
        <f t="shared" si="3"/>
        <v>4</v>
      </c>
    </row>
    <row r="8333">
      <c r="A8333" s="8" t="str">
        <f>IFERROR(__xludf.DUMMYFUNCTION("IF('(INGESTA)Datos_consumo_datadis'!A8333&lt;&gt;"""",SPLIT('(INGESTA)Datos_consumo_datadis'!A:A,"",""),"""")"),"ES0031408323131005HX0F")</f>
        <v>ES0031408323131005HX0F</v>
      </c>
      <c r="B8333" s="17">
        <f>IFERROR(__xludf.DUMMYFUNCTION("""COMPUTED_VALUE"""),45213.0)</f>
        <v>45213</v>
      </c>
      <c r="C8333" s="13">
        <f>IFERROR(__xludf.DUMMYFUNCTION("""COMPUTED_VALUE"""),0.20833333333333334)</f>
        <v>0.2083333333</v>
      </c>
      <c r="D8333" s="8">
        <f>IFERROR(__xludf.DUMMYFUNCTION("""COMPUTED_VALUE"""),0.039)</f>
        <v>0.039</v>
      </c>
      <c r="E8333" s="8" t="str">
        <f>IFERROR(__xludf.DUMMYFUNCTION("""COMPUTED_VALUE"""),"Real")</f>
        <v>Real</v>
      </c>
      <c r="G8333" s="8">
        <f t="shared" si="1"/>
        <v>10</v>
      </c>
      <c r="H8333" s="14">
        <f t="shared" si="2"/>
        <v>14</v>
      </c>
      <c r="I8333" s="15">
        <f t="shared" si="3"/>
        <v>5</v>
      </c>
    </row>
    <row r="8334">
      <c r="A8334" s="8" t="str">
        <f>IFERROR(__xludf.DUMMYFUNCTION("IF('(INGESTA)Datos_consumo_datadis'!A8334&lt;&gt;"""",SPLIT('(INGESTA)Datos_consumo_datadis'!A:A,"",""),"""")"),"ES0031408323131005HX0F")</f>
        <v>ES0031408323131005HX0F</v>
      </c>
      <c r="B8334" s="17">
        <f>IFERROR(__xludf.DUMMYFUNCTION("""COMPUTED_VALUE"""),45213.0)</f>
        <v>45213</v>
      </c>
      <c r="C8334" s="13">
        <f>IFERROR(__xludf.DUMMYFUNCTION("""COMPUTED_VALUE"""),0.25)</f>
        <v>0.25</v>
      </c>
      <c r="D8334" s="8">
        <f>IFERROR(__xludf.DUMMYFUNCTION("""COMPUTED_VALUE"""),0.104)</f>
        <v>0.104</v>
      </c>
      <c r="E8334" s="8" t="str">
        <f>IFERROR(__xludf.DUMMYFUNCTION("""COMPUTED_VALUE"""),"Real")</f>
        <v>Real</v>
      </c>
      <c r="G8334" s="8">
        <f t="shared" si="1"/>
        <v>10</v>
      </c>
      <c r="H8334" s="14">
        <f t="shared" si="2"/>
        <v>14</v>
      </c>
      <c r="I8334" s="15">
        <f t="shared" si="3"/>
        <v>6</v>
      </c>
    </row>
    <row r="8335">
      <c r="A8335" s="8" t="str">
        <f>IFERROR(__xludf.DUMMYFUNCTION("IF('(INGESTA)Datos_consumo_datadis'!A8335&lt;&gt;"""",SPLIT('(INGESTA)Datos_consumo_datadis'!A:A,"",""),"""")"),"ES0031408323131005HX0F")</f>
        <v>ES0031408323131005HX0F</v>
      </c>
      <c r="B8335" s="17">
        <f>IFERROR(__xludf.DUMMYFUNCTION("""COMPUTED_VALUE"""),45213.0)</f>
        <v>45213</v>
      </c>
      <c r="C8335" s="13">
        <f>IFERROR(__xludf.DUMMYFUNCTION("""COMPUTED_VALUE"""),0.2916666666666667)</f>
        <v>0.2916666667</v>
      </c>
      <c r="D8335" s="8">
        <f>IFERROR(__xludf.DUMMYFUNCTION("""COMPUTED_VALUE"""),0.083)</f>
        <v>0.083</v>
      </c>
      <c r="E8335" s="8" t="str">
        <f>IFERROR(__xludf.DUMMYFUNCTION("""COMPUTED_VALUE"""),"Real")</f>
        <v>Real</v>
      </c>
      <c r="G8335" s="8">
        <f t="shared" si="1"/>
        <v>10</v>
      </c>
      <c r="H8335" s="14">
        <f t="shared" si="2"/>
        <v>14</v>
      </c>
      <c r="I8335" s="15">
        <f t="shared" si="3"/>
        <v>7</v>
      </c>
    </row>
    <row r="8336">
      <c r="A8336" s="8" t="str">
        <f>IFERROR(__xludf.DUMMYFUNCTION("IF('(INGESTA)Datos_consumo_datadis'!A8336&lt;&gt;"""",SPLIT('(INGESTA)Datos_consumo_datadis'!A:A,"",""),"""")"),"ES0031408323131005HX0F")</f>
        <v>ES0031408323131005HX0F</v>
      </c>
      <c r="B8336" s="17">
        <f>IFERROR(__xludf.DUMMYFUNCTION("""COMPUTED_VALUE"""),45213.0)</f>
        <v>45213</v>
      </c>
      <c r="C8336" s="13">
        <f>IFERROR(__xludf.DUMMYFUNCTION("""COMPUTED_VALUE"""),0.3333333333333333)</f>
        <v>0.3333333333</v>
      </c>
      <c r="D8336" s="8">
        <f>IFERROR(__xludf.DUMMYFUNCTION("""COMPUTED_VALUE"""),0.028)</f>
        <v>0.028</v>
      </c>
      <c r="E8336" s="8" t="str">
        <f>IFERROR(__xludf.DUMMYFUNCTION("""COMPUTED_VALUE"""),"Real")</f>
        <v>Real</v>
      </c>
      <c r="G8336" s="8">
        <f t="shared" si="1"/>
        <v>10</v>
      </c>
      <c r="H8336" s="14">
        <f t="shared" si="2"/>
        <v>14</v>
      </c>
      <c r="I8336" s="15">
        <f t="shared" si="3"/>
        <v>8</v>
      </c>
    </row>
    <row r="8337">
      <c r="A8337" s="8" t="str">
        <f>IFERROR(__xludf.DUMMYFUNCTION("IF('(INGESTA)Datos_consumo_datadis'!A8337&lt;&gt;"""",SPLIT('(INGESTA)Datos_consumo_datadis'!A:A,"",""),"""")"),"ES0031408323131005HX0F")</f>
        <v>ES0031408323131005HX0F</v>
      </c>
      <c r="B8337" s="17">
        <f>IFERROR(__xludf.DUMMYFUNCTION("""COMPUTED_VALUE"""),45213.0)</f>
        <v>45213</v>
      </c>
      <c r="C8337" s="13">
        <f>IFERROR(__xludf.DUMMYFUNCTION("""COMPUTED_VALUE"""),0.375)</f>
        <v>0.375</v>
      </c>
      <c r="D8337" s="8">
        <f>IFERROR(__xludf.DUMMYFUNCTION("""COMPUTED_VALUE"""),0.399)</f>
        <v>0.399</v>
      </c>
      <c r="E8337" s="8" t="str">
        <f>IFERROR(__xludf.DUMMYFUNCTION("""COMPUTED_VALUE"""),"Real")</f>
        <v>Real</v>
      </c>
      <c r="G8337" s="8">
        <f t="shared" si="1"/>
        <v>10</v>
      </c>
      <c r="H8337" s="14">
        <f t="shared" si="2"/>
        <v>14</v>
      </c>
      <c r="I8337" s="15">
        <f t="shared" si="3"/>
        <v>9</v>
      </c>
    </row>
    <row r="8338">
      <c r="A8338" s="8" t="str">
        <f>IFERROR(__xludf.DUMMYFUNCTION("IF('(INGESTA)Datos_consumo_datadis'!A8338&lt;&gt;"""",SPLIT('(INGESTA)Datos_consumo_datadis'!A:A,"",""),"""")"),"ES0031408323131005HX0F")</f>
        <v>ES0031408323131005HX0F</v>
      </c>
      <c r="B8338" s="17">
        <f>IFERROR(__xludf.DUMMYFUNCTION("""COMPUTED_VALUE"""),45213.0)</f>
        <v>45213</v>
      </c>
      <c r="C8338" s="13">
        <f>IFERROR(__xludf.DUMMYFUNCTION("""COMPUTED_VALUE"""),0.4166666666666667)</f>
        <v>0.4166666667</v>
      </c>
      <c r="D8338" s="8">
        <f>IFERROR(__xludf.DUMMYFUNCTION("""COMPUTED_VALUE"""),0.07)</f>
        <v>0.07</v>
      </c>
      <c r="E8338" s="8" t="str">
        <f>IFERROR(__xludf.DUMMYFUNCTION("""COMPUTED_VALUE"""),"Real")</f>
        <v>Real</v>
      </c>
      <c r="G8338" s="8">
        <f t="shared" si="1"/>
        <v>10</v>
      </c>
      <c r="H8338" s="14">
        <f t="shared" si="2"/>
        <v>14</v>
      </c>
      <c r="I8338" s="15">
        <f t="shared" si="3"/>
        <v>10</v>
      </c>
    </row>
    <row r="8339">
      <c r="A8339" s="8" t="str">
        <f>IFERROR(__xludf.DUMMYFUNCTION("IF('(INGESTA)Datos_consumo_datadis'!A8339&lt;&gt;"""",SPLIT('(INGESTA)Datos_consumo_datadis'!A:A,"",""),"""")"),"ES0031408323131005HX0F")</f>
        <v>ES0031408323131005HX0F</v>
      </c>
      <c r="B8339" s="17">
        <f>IFERROR(__xludf.DUMMYFUNCTION("""COMPUTED_VALUE"""),45213.0)</f>
        <v>45213</v>
      </c>
      <c r="C8339" s="13">
        <f>IFERROR(__xludf.DUMMYFUNCTION("""COMPUTED_VALUE"""),0.4583333333333333)</f>
        <v>0.4583333333</v>
      </c>
      <c r="D8339" s="8">
        <f>IFERROR(__xludf.DUMMYFUNCTION("""COMPUTED_VALUE"""),0.052)</f>
        <v>0.052</v>
      </c>
      <c r="E8339" s="8" t="str">
        <f>IFERROR(__xludf.DUMMYFUNCTION("""COMPUTED_VALUE"""),"Real")</f>
        <v>Real</v>
      </c>
      <c r="G8339" s="8">
        <f t="shared" si="1"/>
        <v>10</v>
      </c>
      <c r="H8339" s="14">
        <f t="shared" si="2"/>
        <v>14</v>
      </c>
      <c r="I8339" s="15">
        <f t="shared" si="3"/>
        <v>11</v>
      </c>
    </row>
    <row r="8340">
      <c r="A8340" s="8" t="str">
        <f>IFERROR(__xludf.DUMMYFUNCTION("IF('(INGESTA)Datos_consumo_datadis'!A8340&lt;&gt;"""",SPLIT('(INGESTA)Datos_consumo_datadis'!A:A,"",""),"""")"),"ES0031408323131005HX0F")</f>
        <v>ES0031408323131005HX0F</v>
      </c>
      <c r="B8340" s="17">
        <f>IFERROR(__xludf.DUMMYFUNCTION("""COMPUTED_VALUE"""),45213.0)</f>
        <v>45213</v>
      </c>
      <c r="C8340" s="13">
        <f>IFERROR(__xludf.DUMMYFUNCTION("""COMPUTED_VALUE"""),0.5)</f>
        <v>0.5</v>
      </c>
      <c r="D8340" s="8">
        <f>IFERROR(__xludf.DUMMYFUNCTION("""COMPUTED_VALUE"""),0.089)</f>
        <v>0.089</v>
      </c>
      <c r="E8340" s="8" t="str">
        <f>IFERROR(__xludf.DUMMYFUNCTION("""COMPUTED_VALUE"""),"Real")</f>
        <v>Real</v>
      </c>
      <c r="G8340" s="8">
        <f t="shared" si="1"/>
        <v>10</v>
      </c>
      <c r="H8340" s="14">
        <f t="shared" si="2"/>
        <v>14</v>
      </c>
      <c r="I8340" s="15">
        <f t="shared" si="3"/>
        <v>12</v>
      </c>
    </row>
    <row r="8341">
      <c r="A8341" s="8" t="str">
        <f>IFERROR(__xludf.DUMMYFUNCTION("IF('(INGESTA)Datos_consumo_datadis'!A8341&lt;&gt;"""",SPLIT('(INGESTA)Datos_consumo_datadis'!A:A,"",""),"""")"),"ES0031408323131005HX0F")</f>
        <v>ES0031408323131005HX0F</v>
      </c>
      <c r="B8341" s="17">
        <f>IFERROR(__xludf.DUMMYFUNCTION("""COMPUTED_VALUE"""),45213.0)</f>
        <v>45213</v>
      </c>
      <c r="C8341" s="13">
        <f>IFERROR(__xludf.DUMMYFUNCTION("""COMPUTED_VALUE"""),0.5416666666666666)</f>
        <v>0.5416666667</v>
      </c>
      <c r="D8341" s="8">
        <f>IFERROR(__xludf.DUMMYFUNCTION("""COMPUTED_VALUE"""),0.061)</f>
        <v>0.061</v>
      </c>
      <c r="E8341" s="8" t="str">
        <f>IFERROR(__xludf.DUMMYFUNCTION("""COMPUTED_VALUE"""),"Real")</f>
        <v>Real</v>
      </c>
      <c r="G8341" s="8">
        <f t="shared" si="1"/>
        <v>10</v>
      </c>
      <c r="H8341" s="14">
        <f t="shared" si="2"/>
        <v>14</v>
      </c>
      <c r="I8341" s="15">
        <f t="shared" si="3"/>
        <v>13</v>
      </c>
    </row>
    <row r="8342">
      <c r="A8342" s="8" t="str">
        <f>IFERROR(__xludf.DUMMYFUNCTION("IF('(INGESTA)Datos_consumo_datadis'!A8342&lt;&gt;"""",SPLIT('(INGESTA)Datos_consumo_datadis'!A:A,"",""),"""")"),"ES0031408323131005HX0F")</f>
        <v>ES0031408323131005HX0F</v>
      </c>
      <c r="B8342" s="17">
        <f>IFERROR(__xludf.DUMMYFUNCTION("""COMPUTED_VALUE"""),45213.0)</f>
        <v>45213</v>
      </c>
      <c r="C8342" s="13">
        <f>IFERROR(__xludf.DUMMYFUNCTION("""COMPUTED_VALUE"""),0.5833333333333334)</f>
        <v>0.5833333333</v>
      </c>
      <c r="D8342" s="8">
        <f>IFERROR(__xludf.DUMMYFUNCTION("""COMPUTED_VALUE"""),0.079)</f>
        <v>0.079</v>
      </c>
      <c r="E8342" s="8" t="str">
        <f>IFERROR(__xludf.DUMMYFUNCTION("""COMPUTED_VALUE"""),"Real")</f>
        <v>Real</v>
      </c>
      <c r="G8342" s="8">
        <f t="shared" si="1"/>
        <v>10</v>
      </c>
      <c r="H8342" s="14">
        <f t="shared" si="2"/>
        <v>14</v>
      </c>
      <c r="I8342" s="15">
        <f t="shared" si="3"/>
        <v>14</v>
      </c>
    </row>
    <row r="8343">
      <c r="A8343" s="8" t="str">
        <f>IFERROR(__xludf.DUMMYFUNCTION("IF('(INGESTA)Datos_consumo_datadis'!A8343&lt;&gt;"""",SPLIT('(INGESTA)Datos_consumo_datadis'!A:A,"",""),"""")"),"ES0031408323131005HX0F")</f>
        <v>ES0031408323131005HX0F</v>
      </c>
      <c r="B8343" s="17">
        <f>IFERROR(__xludf.DUMMYFUNCTION("""COMPUTED_VALUE"""),45213.0)</f>
        <v>45213</v>
      </c>
      <c r="C8343" s="13">
        <f>IFERROR(__xludf.DUMMYFUNCTION("""COMPUTED_VALUE"""),0.625)</f>
        <v>0.625</v>
      </c>
      <c r="D8343" s="8">
        <f>IFERROR(__xludf.DUMMYFUNCTION("""COMPUTED_VALUE"""),0.09)</f>
        <v>0.09</v>
      </c>
      <c r="E8343" s="8" t="str">
        <f>IFERROR(__xludf.DUMMYFUNCTION("""COMPUTED_VALUE"""),"Real")</f>
        <v>Real</v>
      </c>
      <c r="G8343" s="8">
        <f t="shared" si="1"/>
        <v>10</v>
      </c>
      <c r="H8343" s="14">
        <f t="shared" si="2"/>
        <v>14</v>
      </c>
      <c r="I8343" s="15">
        <f t="shared" si="3"/>
        <v>15</v>
      </c>
    </row>
    <row r="8344">
      <c r="A8344" s="8" t="str">
        <f>IFERROR(__xludf.DUMMYFUNCTION("IF('(INGESTA)Datos_consumo_datadis'!A8344&lt;&gt;"""",SPLIT('(INGESTA)Datos_consumo_datadis'!A:A,"",""),"""")"),"ES0031408323131005HX0F")</f>
        <v>ES0031408323131005HX0F</v>
      </c>
      <c r="B8344" s="17">
        <f>IFERROR(__xludf.DUMMYFUNCTION("""COMPUTED_VALUE"""),45213.0)</f>
        <v>45213</v>
      </c>
      <c r="C8344" s="13">
        <f>IFERROR(__xludf.DUMMYFUNCTION("""COMPUTED_VALUE"""),0.6666666666666666)</f>
        <v>0.6666666667</v>
      </c>
      <c r="D8344" s="8">
        <f>IFERROR(__xludf.DUMMYFUNCTION("""COMPUTED_VALUE"""),0.045)</f>
        <v>0.045</v>
      </c>
      <c r="E8344" s="8" t="str">
        <f>IFERROR(__xludf.DUMMYFUNCTION("""COMPUTED_VALUE"""),"Real")</f>
        <v>Real</v>
      </c>
      <c r="G8344" s="8">
        <f t="shared" si="1"/>
        <v>10</v>
      </c>
      <c r="H8344" s="14">
        <f t="shared" si="2"/>
        <v>14</v>
      </c>
      <c r="I8344" s="15">
        <f t="shared" si="3"/>
        <v>16</v>
      </c>
    </row>
    <row r="8345">
      <c r="A8345" s="8" t="str">
        <f>IFERROR(__xludf.DUMMYFUNCTION("IF('(INGESTA)Datos_consumo_datadis'!A8345&lt;&gt;"""",SPLIT('(INGESTA)Datos_consumo_datadis'!A:A,"",""),"""")"),"ES0031408323131005HX0F")</f>
        <v>ES0031408323131005HX0F</v>
      </c>
      <c r="B8345" s="17">
        <f>IFERROR(__xludf.DUMMYFUNCTION("""COMPUTED_VALUE"""),45213.0)</f>
        <v>45213</v>
      </c>
      <c r="C8345" s="13">
        <f>IFERROR(__xludf.DUMMYFUNCTION("""COMPUTED_VALUE"""),0.7083333333333334)</f>
        <v>0.7083333333</v>
      </c>
      <c r="D8345" s="8">
        <f>IFERROR(__xludf.DUMMYFUNCTION("""COMPUTED_VALUE"""),0.82)</f>
        <v>0.82</v>
      </c>
      <c r="E8345" s="8" t="str">
        <f>IFERROR(__xludf.DUMMYFUNCTION("""COMPUTED_VALUE"""),"Real")</f>
        <v>Real</v>
      </c>
      <c r="G8345" s="8">
        <f t="shared" si="1"/>
        <v>10</v>
      </c>
      <c r="H8345" s="14">
        <f t="shared" si="2"/>
        <v>14</v>
      </c>
      <c r="I8345" s="15">
        <f t="shared" si="3"/>
        <v>17</v>
      </c>
    </row>
    <row r="8346">
      <c r="A8346" s="8" t="str">
        <f>IFERROR(__xludf.DUMMYFUNCTION("IF('(INGESTA)Datos_consumo_datadis'!A8346&lt;&gt;"""",SPLIT('(INGESTA)Datos_consumo_datadis'!A:A,"",""),"""")"),"ES0031408323131005HX0F")</f>
        <v>ES0031408323131005HX0F</v>
      </c>
      <c r="B8346" s="17">
        <f>IFERROR(__xludf.DUMMYFUNCTION("""COMPUTED_VALUE"""),45213.0)</f>
        <v>45213</v>
      </c>
      <c r="C8346" s="13">
        <f>IFERROR(__xludf.DUMMYFUNCTION("""COMPUTED_VALUE"""),0.75)</f>
        <v>0.75</v>
      </c>
      <c r="D8346" s="8">
        <f>IFERROR(__xludf.DUMMYFUNCTION("""COMPUTED_VALUE"""),0.668)</f>
        <v>0.668</v>
      </c>
      <c r="E8346" s="8" t="str">
        <f>IFERROR(__xludf.DUMMYFUNCTION("""COMPUTED_VALUE"""),"Real")</f>
        <v>Real</v>
      </c>
      <c r="G8346" s="8">
        <f t="shared" si="1"/>
        <v>10</v>
      </c>
      <c r="H8346" s="14">
        <f t="shared" si="2"/>
        <v>14</v>
      </c>
      <c r="I8346" s="15">
        <f t="shared" si="3"/>
        <v>18</v>
      </c>
    </row>
    <row r="8347">
      <c r="A8347" s="8" t="str">
        <f>IFERROR(__xludf.DUMMYFUNCTION("IF('(INGESTA)Datos_consumo_datadis'!A8347&lt;&gt;"""",SPLIT('(INGESTA)Datos_consumo_datadis'!A:A,"",""),"""")"),"ES0031408323131005HX0F")</f>
        <v>ES0031408323131005HX0F</v>
      </c>
      <c r="B8347" s="17">
        <f>IFERROR(__xludf.DUMMYFUNCTION("""COMPUTED_VALUE"""),45213.0)</f>
        <v>45213</v>
      </c>
      <c r="C8347" s="13">
        <f>IFERROR(__xludf.DUMMYFUNCTION("""COMPUTED_VALUE"""),0.7916666666666666)</f>
        <v>0.7916666667</v>
      </c>
      <c r="D8347" s="8">
        <f>IFERROR(__xludf.DUMMYFUNCTION("""COMPUTED_VALUE"""),0.112)</f>
        <v>0.112</v>
      </c>
      <c r="E8347" s="8" t="str">
        <f>IFERROR(__xludf.DUMMYFUNCTION("""COMPUTED_VALUE"""),"Real")</f>
        <v>Real</v>
      </c>
      <c r="G8347" s="8">
        <f t="shared" si="1"/>
        <v>10</v>
      </c>
      <c r="H8347" s="14">
        <f t="shared" si="2"/>
        <v>14</v>
      </c>
      <c r="I8347" s="15">
        <f t="shared" si="3"/>
        <v>19</v>
      </c>
    </row>
    <row r="8348">
      <c r="A8348" s="8" t="str">
        <f>IFERROR(__xludf.DUMMYFUNCTION("IF('(INGESTA)Datos_consumo_datadis'!A8348&lt;&gt;"""",SPLIT('(INGESTA)Datos_consumo_datadis'!A:A,"",""),"""")"),"ES0031408323131005HX0F")</f>
        <v>ES0031408323131005HX0F</v>
      </c>
      <c r="B8348" s="17">
        <f>IFERROR(__xludf.DUMMYFUNCTION("""COMPUTED_VALUE"""),45213.0)</f>
        <v>45213</v>
      </c>
      <c r="C8348" s="13">
        <f>IFERROR(__xludf.DUMMYFUNCTION("""COMPUTED_VALUE"""),0.8333333333333334)</f>
        <v>0.8333333333</v>
      </c>
      <c r="D8348" s="8">
        <f>IFERROR(__xludf.DUMMYFUNCTION("""COMPUTED_VALUE"""),0.404)</f>
        <v>0.404</v>
      </c>
      <c r="E8348" s="8" t="str">
        <f>IFERROR(__xludf.DUMMYFUNCTION("""COMPUTED_VALUE"""),"Real")</f>
        <v>Real</v>
      </c>
      <c r="G8348" s="8">
        <f t="shared" si="1"/>
        <v>10</v>
      </c>
      <c r="H8348" s="14">
        <f t="shared" si="2"/>
        <v>14</v>
      </c>
      <c r="I8348" s="15">
        <f t="shared" si="3"/>
        <v>20</v>
      </c>
    </row>
    <row r="8349">
      <c r="A8349" s="8" t="str">
        <f>IFERROR(__xludf.DUMMYFUNCTION("IF('(INGESTA)Datos_consumo_datadis'!A8349&lt;&gt;"""",SPLIT('(INGESTA)Datos_consumo_datadis'!A:A,"",""),"""")"),"ES0031408323131005HX0F")</f>
        <v>ES0031408323131005HX0F</v>
      </c>
      <c r="B8349" s="17">
        <f>IFERROR(__xludf.DUMMYFUNCTION("""COMPUTED_VALUE"""),45213.0)</f>
        <v>45213</v>
      </c>
      <c r="C8349" s="13">
        <f>IFERROR(__xludf.DUMMYFUNCTION("""COMPUTED_VALUE"""),0.875)</f>
        <v>0.875</v>
      </c>
      <c r="D8349" s="8">
        <f>IFERROR(__xludf.DUMMYFUNCTION("""COMPUTED_VALUE"""),1.901)</f>
        <v>1.901</v>
      </c>
      <c r="E8349" s="8" t="str">
        <f>IFERROR(__xludf.DUMMYFUNCTION("""COMPUTED_VALUE"""),"Real")</f>
        <v>Real</v>
      </c>
      <c r="G8349" s="8">
        <f t="shared" si="1"/>
        <v>10</v>
      </c>
      <c r="H8349" s="14">
        <f t="shared" si="2"/>
        <v>14</v>
      </c>
      <c r="I8349" s="15">
        <f t="shared" si="3"/>
        <v>21</v>
      </c>
    </row>
    <row r="8350">
      <c r="A8350" s="8" t="str">
        <f>IFERROR(__xludf.DUMMYFUNCTION("IF('(INGESTA)Datos_consumo_datadis'!A8350&lt;&gt;"""",SPLIT('(INGESTA)Datos_consumo_datadis'!A:A,"",""),"""")"),"ES0031408323131005HX0F")</f>
        <v>ES0031408323131005HX0F</v>
      </c>
      <c r="B8350" s="17">
        <f>IFERROR(__xludf.DUMMYFUNCTION("""COMPUTED_VALUE"""),45213.0)</f>
        <v>45213</v>
      </c>
      <c r="C8350" s="13">
        <f>IFERROR(__xludf.DUMMYFUNCTION("""COMPUTED_VALUE"""),0.9166666666666666)</f>
        <v>0.9166666667</v>
      </c>
      <c r="D8350" s="8">
        <f>IFERROR(__xludf.DUMMYFUNCTION("""COMPUTED_VALUE"""),0.644)</f>
        <v>0.644</v>
      </c>
      <c r="E8350" s="8" t="str">
        <f>IFERROR(__xludf.DUMMYFUNCTION("""COMPUTED_VALUE"""),"Real")</f>
        <v>Real</v>
      </c>
      <c r="G8350" s="8">
        <f t="shared" si="1"/>
        <v>10</v>
      </c>
      <c r="H8350" s="14">
        <f t="shared" si="2"/>
        <v>14</v>
      </c>
      <c r="I8350" s="15">
        <f t="shared" si="3"/>
        <v>22</v>
      </c>
    </row>
    <row r="8351">
      <c r="A8351" s="8" t="str">
        <f>IFERROR(__xludf.DUMMYFUNCTION("IF('(INGESTA)Datos_consumo_datadis'!A8351&lt;&gt;"""",SPLIT('(INGESTA)Datos_consumo_datadis'!A:A,"",""),"""")"),"ES0031408323131005HX0F")</f>
        <v>ES0031408323131005HX0F</v>
      </c>
      <c r="B8351" s="17">
        <f>IFERROR(__xludf.DUMMYFUNCTION("""COMPUTED_VALUE"""),45213.0)</f>
        <v>45213</v>
      </c>
      <c r="C8351" s="13">
        <f>IFERROR(__xludf.DUMMYFUNCTION("""COMPUTED_VALUE"""),0.9583333333333334)</f>
        <v>0.9583333333</v>
      </c>
      <c r="D8351" s="8">
        <f>IFERROR(__xludf.DUMMYFUNCTION("""COMPUTED_VALUE"""),1.014)</f>
        <v>1.014</v>
      </c>
      <c r="E8351" s="8" t="str">
        <f>IFERROR(__xludf.DUMMYFUNCTION("""COMPUTED_VALUE"""),"Real")</f>
        <v>Real</v>
      </c>
      <c r="G8351" s="8">
        <f t="shared" si="1"/>
        <v>10</v>
      </c>
      <c r="H8351" s="14">
        <f t="shared" si="2"/>
        <v>14</v>
      </c>
      <c r="I8351" s="15">
        <f t="shared" si="3"/>
        <v>23</v>
      </c>
    </row>
    <row r="8352">
      <c r="A8352" s="8" t="str">
        <f>IFERROR(__xludf.DUMMYFUNCTION("IF('(INGESTA)Datos_consumo_datadis'!A8352&lt;&gt;"""",SPLIT('(INGESTA)Datos_consumo_datadis'!A:A,"",""),"""")"),"ES0031408323131005HX0F")</f>
        <v>ES0031408323131005HX0F</v>
      </c>
      <c r="B8352" s="17">
        <f>IFERROR(__xludf.DUMMYFUNCTION("""COMPUTED_VALUE"""),45213.0)</f>
        <v>45213</v>
      </c>
      <c r="C8352" s="16">
        <f>IFERROR(__xludf.DUMMYFUNCTION("""COMPUTED_VALUE"""),1.0)</f>
        <v>1</v>
      </c>
      <c r="D8352" s="8">
        <f>IFERROR(__xludf.DUMMYFUNCTION("""COMPUTED_VALUE"""),0.381)</f>
        <v>0.381</v>
      </c>
      <c r="E8352" s="8" t="str">
        <f>IFERROR(__xludf.DUMMYFUNCTION("""COMPUTED_VALUE"""),"Real")</f>
        <v>Real</v>
      </c>
      <c r="G8352" s="8">
        <f t="shared" si="1"/>
        <v>10</v>
      </c>
      <c r="H8352" s="14">
        <f t="shared" si="2"/>
        <v>14</v>
      </c>
      <c r="I8352" s="15">
        <f t="shared" si="3"/>
        <v>0</v>
      </c>
    </row>
    <row r="8353">
      <c r="A8353" s="8" t="str">
        <f>IFERROR(__xludf.DUMMYFUNCTION("IF('(INGESTA)Datos_consumo_datadis'!A8353&lt;&gt;"""",SPLIT('(INGESTA)Datos_consumo_datadis'!A:A,"",""),"""")"),"ES0031408323131005HX0F")</f>
        <v>ES0031408323131005HX0F</v>
      </c>
      <c r="B8353" s="17">
        <f>IFERROR(__xludf.DUMMYFUNCTION("""COMPUTED_VALUE"""),45214.0)</f>
        <v>45214</v>
      </c>
      <c r="C8353" s="13">
        <f>IFERROR(__xludf.DUMMYFUNCTION("""COMPUTED_VALUE"""),0.041666666666666664)</f>
        <v>0.04166666667</v>
      </c>
      <c r="D8353" s="8">
        <f>IFERROR(__xludf.DUMMYFUNCTION("""COMPUTED_VALUE"""),0.186)</f>
        <v>0.186</v>
      </c>
      <c r="E8353" s="8" t="str">
        <f>IFERROR(__xludf.DUMMYFUNCTION("""COMPUTED_VALUE"""),"Real")</f>
        <v>Real</v>
      </c>
      <c r="G8353" s="8">
        <f t="shared" si="1"/>
        <v>10</v>
      </c>
      <c r="H8353" s="14">
        <f t="shared" si="2"/>
        <v>15</v>
      </c>
      <c r="I8353" s="15">
        <f t="shared" si="3"/>
        <v>1</v>
      </c>
    </row>
    <row r="8354">
      <c r="A8354" s="8" t="str">
        <f>IFERROR(__xludf.DUMMYFUNCTION("IF('(INGESTA)Datos_consumo_datadis'!A8354&lt;&gt;"""",SPLIT('(INGESTA)Datos_consumo_datadis'!A:A,"",""),"""")"),"ES0031408323131005HX0F")</f>
        <v>ES0031408323131005HX0F</v>
      </c>
      <c r="B8354" s="17">
        <f>IFERROR(__xludf.DUMMYFUNCTION("""COMPUTED_VALUE"""),45214.0)</f>
        <v>45214</v>
      </c>
      <c r="C8354" s="13">
        <f>IFERROR(__xludf.DUMMYFUNCTION("""COMPUTED_VALUE"""),0.08333333333333333)</f>
        <v>0.08333333333</v>
      </c>
      <c r="D8354" s="8">
        <f>IFERROR(__xludf.DUMMYFUNCTION("""COMPUTED_VALUE"""),0.319)</f>
        <v>0.319</v>
      </c>
      <c r="E8354" s="8" t="str">
        <f>IFERROR(__xludf.DUMMYFUNCTION("""COMPUTED_VALUE"""),"Real")</f>
        <v>Real</v>
      </c>
      <c r="G8354" s="8">
        <f t="shared" si="1"/>
        <v>10</v>
      </c>
      <c r="H8354" s="14">
        <f t="shared" si="2"/>
        <v>15</v>
      </c>
      <c r="I8354" s="15">
        <f t="shared" si="3"/>
        <v>2</v>
      </c>
    </row>
    <row r="8355">
      <c r="A8355" s="8" t="str">
        <f>IFERROR(__xludf.DUMMYFUNCTION("IF('(INGESTA)Datos_consumo_datadis'!A8355&lt;&gt;"""",SPLIT('(INGESTA)Datos_consumo_datadis'!A:A,"",""),"""")"),"ES0031408323131005HX0F")</f>
        <v>ES0031408323131005HX0F</v>
      </c>
      <c r="B8355" s="17">
        <f>IFERROR(__xludf.DUMMYFUNCTION("""COMPUTED_VALUE"""),45214.0)</f>
        <v>45214</v>
      </c>
      <c r="C8355" s="13">
        <f>IFERROR(__xludf.DUMMYFUNCTION("""COMPUTED_VALUE"""),0.125)</f>
        <v>0.125</v>
      </c>
      <c r="D8355" s="8">
        <f>IFERROR(__xludf.DUMMYFUNCTION("""COMPUTED_VALUE"""),0.122)</f>
        <v>0.122</v>
      </c>
      <c r="E8355" s="8" t="str">
        <f>IFERROR(__xludf.DUMMYFUNCTION("""COMPUTED_VALUE"""),"Real")</f>
        <v>Real</v>
      </c>
      <c r="G8355" s="8">
        <f t="shared" si="1"/>
        <v>10</v>
      </c>
      <c r="H8355" s="14">
        <f t="shared" si="2"/>
        <v>15</v>
      </c>
      <c r="I8355" s="15">
        <f t="shared" si="3"/>
        <v>3</v>
      </c>
    </row>
    <row r="8356">
      <c r="A8356" s="8" t="str">
        <f>IFERROR(__xludf.DUMMYFUNCTION("IF('(INGESTA)Datos_consumo_datadis'!A8356&lt;&gt;"""",SPLIT('(INGESTA)Datos_consumo_datadis'!A:A,"",""),"""")"),"ES0031408323131005HX0F")</f>
        <v>ES0031408323131005HX0F</v>
      </c>
      <c r="B8356" s="17">
        <f>IFERROR(__xludf.DUMMYFUNCTION("""COMPUTED_VALUE"""),45214.0)</f>
        <v>45214</v>
      </c>
      <c r="C8356" s="13">
        <f>IFERROR(__xludf.DUMMYFUNCTION("""COMPUTED_VALUE"""),0.16666666666666666)</f>
        <v>0.1666666667</v>
      </c>
      <c r="D8356" s="8">
        <f>IFERROR(__xludf.DUMMYFUNCTION("""COMPUTED_VALUE"""),0.074)</f>
        <v>0.074</v>
      </c>
      <c r="E8356" s="8" t="str">
        <f>IFERROR(__xludf.DUMMYFUNCTION("""COMPUTED_VALUE"""),"Real")</f>
        <v>Real</v>
      </c>
      <c r="G8356" s="8">
        <f t="shared" si="1"/>
        <v>10</v>
      </c>
      <c r="H8356" s="14">
        <f t="shared" si="2"/>
        <v>15</v>
      </c>
      <c r="I8356" s="15">
        <f t="shared" si="3"/>
        <v>4</v>
      </c>
    </row>
    <row r="8357">
      <c r="A8357" s="8" t="str">
        <f>IFERROR(__xludf.DUMMYFUNCTION("IF('(INGESTA)Datos_consumo_datadis'!A8357&lt;&gt;"""",SPLIT('(INGESTA)Datos_consumo_datadis'!A:A,"",""),"""")"),"ES0031408323131005HX0F")</f>
        <v>ES0031408323131005HX0F</v>
      </c>
      <c r="B8357" s="17">
        <f>IFERROR(__xludf.DUMMYFUNCTION("""COMPUTED_VALUE"""),45214.0)</f>
        <v>45214</v>
      </c>
      <c r="C8357" s="13">
        <f>IFERROR(__xludf.DUMMYFUNCTION("""COMPUTED_VALUE"""),0.20833333333333334)</f>
        <v>0.2083333333</v>
      </c>
      <c r="D8357" s="8">
        <f>IFERROR(__xludf.DUMMYFUNCTION("""COMPUTED_VALUE"""),0.035)</f>
        <v>0.035</v>
      </c>
      <c r="E8357" s="8" t="str">
        <f>IFERROR(__xludf.DUMMYFUNCTION("""COMPUTED_VALUE"""),"Real")</f>
        <v>Real</v>
      </c>
      <c r="G8357" s="8">
        <f t="shared" si="1"/>
        <v>10</v>
      </c>
      <c r="H8357" s="14">
        <f t="shared" si="2"/>
        <v>15</v>
      </c>
      <c r="I8357" s="15">
        <f t="shared" si="3"/>
        <v>5</v>
      </c>
    </row>
    <row r="8358">
      <c r="A8358" s="8" t="str">
        <f>IFERROR(__xludf.DUMMYFUNCTION("IF('(INGESTA)Datos_consumo_datadis'!A8358&lt;&gt;"""",SPLIT('(INGESTA)Datos_consumo_datadis'!A:A,"",""),"""")"),"ES0031408323131005HX0F")</f>
        <v>ES0031408323131005HX0F</v>
      </c>
      <c r="B8358" s="17">
        <f>IFERROR(__xludf.DUMMYFUNCTION("""COMPUTED_VALUE"""),45214.0)</f>
        <v>45214</v>
      </c>
      <c r="C8358" s="13">
        <f>IFERROR(__xludf.DUMMYFUNCTION("""COMPUTED_VALUE"""),0.25)</f>
        <v>0.25</v>
      </c>
      <c r="D8358" s="8">
        <f>IFERROR(__xludf.DUMMYFUNCTION("""COMPUTED_VALUE"""),0.096)</f>
        <v>0.096</v>
      </c>
      <c r="E8358" s="8" t="str">
        <f>IFERROR(__xludf.DUMMYFUNCTION("""COMPUTED_VALUE"""),"Real")</f>
        <v>Real</v>
      </c>
      <c r="G8358" s="8">
        <f t="shared" si="1"/>
        <v>10</v>
      </c>
      <c r="H8358" s="14">
        <f t="shared" si="2"/>
        <v>15</v>
      </c>
      <c r="I8358" s="15">
        <f t="shared" si="3"/>
        <v>6</v>
      </c>
    </row>
    <row r="8359">
      <c r="A8359" s="8" t="str">
        <f>IFERROR(__xludf.DUMMYFUNCTION("IF('(INGESTA)Datos_consumo_datadis'!A8359&lt;&gt;"""",SPLIT('(INGESTA)Datos_consumo_datadis'!A:A,"",""),"""")"),"ES0031408323131005HX0F")</f>
        <v>ES0031408323131005HX0F</v>
      </c>
      <c r="B8359" s="17">
        <f>IFERROR(__xludf.DUMMYFUNCTION("""COMPUTED_VALUE"""),45214.0)</f>
        <v>45214</v>
      </c>
      <c r="C8359" s="13">
        <f>IFERROR(__xludf.DUMMYFUNCTION("""COMPUTED_VALUE"""),0.2916666666666667)</f>
        <v>0.2916666667</v>
      </c>
      <c r="D8359" s="8">
        <f>IFERROR(__xludf.DUMMYFUNCTION("""COMPUTED_VALUE"""),0.088)</f>
        <v>0.088</v>
      </c>
      <c r="E8359" s="8" t="str">
        <f>IFERROR(__xludf.DUMMYFUNCTION("""COMPUTED_VALUE"""),"Real")</f>
        <v>Real</v>
      </c>
      <c r="G8359" s="8">
        <f t="shared" si="1"/>
        <v>10</v>
      </c>
      <c r="H8359" s="14">
        <f t="shared" si="2"/>
        <v>15</v>
      </c>
      <c r="I8359" s="15">
        <f t="shared" si="3"/>
        <v>7</v>
      </c>
    </row>
    <row r="8360">
      <c r="A8360" s="8" t="str">
        <f>IFERROR(__xludf.DUMMYFUNCTION("IF('(INGESTA)Datos_consumo_datadis'!A8360&lt;&gt;"""",SPLIT('(INGESTA)Datos_consumo_datadis'!A:A,"",""),"""")"),"ES0031408323131005HX0F")</f>
        <v>ES0031408323131005HX0F</v>
      </c>
      <c r="B8360" s="17">
        <f>IFERROR(__xludf.DUMMYFUNCTION("""COMPUTED_VALUE"""),45214.0)</f>
        <v>45214</v>
      </c>
      <c r="C8360" s="13">
        <f>IFERROR(__xludf.DUMMYFUNCTION("""COMPUTED_VALUE"""),0.3333333333333333)</f>
        <v>0.3333333333</v>
      </c>
      <c r="D8360" s="8">
        <f>IFERROR(__xludf.DUMMYFUNCTION("""COMPUTED_VALUE"""),0.049)</f>
        <v>0.049</v>
      </c>
      <c r="E8360" s="8" t="str">
        <f>IFERROR(__xludf.DUMMYFUNCTION("""COMPUTED_VALUE"""),"Real")</f>
        <v>Real</v>
      </c>
      <c r="G8360" s="8">
        <f t="shared" si="1"/>
        <v>10</v>
      </c>
      <c r="H8360" s="14">
        <f t="shared" si="2"/>
        <v>15</v>
      </c>
      <c r="I8360" s="15">
        <f t="shared" si="3"/>
        <v>8</v>
      </c>
    </row>
    <row r="8361">
      <c r="A8361" s="8" t="str">
        <f>IFERROR(__xludf.DUMMYFUNCTION("IF('(INGESTA)Datos_consumo_datadis'!A8361&lt;&gt;"""",SPLIT('(INGESTA)Datos_consumo_datadis'!A:A,"",""),"""")"),"ES0031408323131005HX0F")</f>
        <v>ES0031408323131005HX0F</v>
      </c>
      <c r="B8361" s="17">
        <f>IFERROR(__xludf.DUMMYFUNCTION("""COMPUTED_VALUE"""),45214.0)</f>
        <v>45214</v>
      </c>
      <c r="C8361" s="13">
        <f>IFERROR(__xludf.DUMMYFUNCTION("""COMPUTED_VALUE"""),0.375)</f>
        <v>0.375</v>
      </c>
      <c r="D8361" s="8">
        <f>IFERROR(__xludf.DUMMYFUNCTION("""COMPUTED_VALUE"""),0.102)</f>
        <v>0.102</v>
      </c>
      <c r="E8361" s="8" t="str">
        <f>IFERROR(__xludf.DUMMYFUNCTION("""COMPUTED_VALUE"""),"Real")</f>
        <v>Real</v>
      </c>
      <c r="G8361" s="8">
        <f t="shared" si="1"/>
        <v>10</v>
      </c>
      <c r="H8361" s="14">
        <f t="shared" si="2"/>
        <v>15</v>
      </c>
      <c r="I8361" s="15">
        <f t="shared" si="3"/>
        <v>9</v>
      </c>
    </row>
    <row r="8362">
      <c r="A8362" s="8" t="str">
        <f>IFERROR(__xludf.DUMMYFUNCTION("IF('(INGESTA)Datos_consumo_datadis'!A8362&lt;&gt;"""",SPLIT('(INGESTA)Datos_consumo_datadis'!A:A,"",""),"""")"),"ES0031408323131005HX0F")</f>
        <v>ES0031408323131005HX0F</v>
      </c>
      <c r="B8362" s="17">
        <f>IFERROR(__xludf.DUMMYFUNCTION("""COMPUTED_VALUE"""),45214.0)</f>
        <v>45214</v>
      </c>
      <c r="C8362" s="13">
        <f>IFERROR(__xludf.DUMMYFUNCTION("""COMPUTED_VALUE"""),0.4166666666666667)</f>
        <v>0.4166666667</v>
      </c>
      <c r="D8362" s="8">
        <f>IFERROR(__xludf.DUMMYFUNCTION("""COMPUTED_VALUE"""),0.334)</f>
        <v>0.334</v>
      </c>
      <c r="E8362" s="8" t="str">
        <f>IFERROR(__xludf.DUMMYFUNCTION("""COMPUTED_VALUE"""),"Real")</f>
        <v>Real</v>
      </c>
      <c r="G8362" s="8">
        <f t="shared" si="1"/>
        <v>10</v>
      </c>
      <c r="H8362" s="14">
        <f t="shared" si="2"/>
        <v>15</v>
      </c>
      <c r="I8362" s="15">
        <f t="shared" si="3"/>
        <v>10</v>
      </c>
    </row>
    <row r="8363">
      <c r="A8363" s="8" t="str">
        <f>IFERROR(__xludf.DUMMYFUNCTION("IF('(INGESTA)Datos_consumo_datadis'!A8363&lt;&gt;"""",SPLIT('(INGESTA)Datos_consumo_datadis'!A:A,"",""),"""")"),"ES0031408323131005HX0F")</f>
        <v>ES0031408323131005HX0F</v>
      </c>
      <c r="B8363" s="17">
        <f>IFERROR(__xludf.DUMMYFUNCTION("""COMPUTED_VALUE"""),45214.0)</f>
        <v>45214</v>
      </c>
      <c r="C8363" s="13">
        <f>IFERROR(__xludf.DUMMYFUNCTION("""COMPUTED_VALUE"""),0.4583333333333333)</f>
        <v>0.4583333333</v>
      </c>
      <c r="D8363" s="8">
        <f>IFERROR(__xludf.DUMMYFUNCTION("""COMPUTED_VALUE"""),0.756)</f>
        <v>0.756</v>
      </c>
      <c r="E8363" s="8" t="str">
        <f>IFERROR(__xludf.DUMMYFUNCTION("""COMPUTED_VALUE"""),"Real")</f>
        <v>Real</v>
      </c>
      <c r="G8363" s="8">
        <f t="shared" si="1"/>
        <v>10</v>
      </c>
      <c r="H8363" s="14">
        <f t="shared" si="2"/>
        <v>15</v>
      </c>
      <c r="I8363" s="15">
        <f t="shared" si="3"/>
        <v>11</v>
      </c>
    </row>
    <row r="8364">
      <c r="A8364" s="8" t="str">
        <f>IFERROR(__xludf.DUMMYFUNCTION("IF('(INGESTA)Datos_consumo_datadis'!A8364&lt;&gt;"""",SPLIT('(INGESTA)Datos_consumo_datadis'!A:A,"",""),"""")"),"ES0031408323131005HX0F")</f>
        <v>ES0031408323131005HX0F</v>
      </c>
      <c r="B8364" s="17">
        <f>IFERROR(__xludf.DUMMYFUNCTION("""COMPUTED_VALUE"""),45214.0)</f>
        <v>45214</v>
      </c>
      <c r="C8364" s="13">
        <f>IFERROR(__xludf.DUMMYFUNCTION("""COMPUTED_VALUE"""),0.5)</f>
        <v>0.5</v>
      </c>
      <c r="D8364" s="8">
        <f>IFERROR(__xludf.DUMMYFUNCTION("""COMPUTED_VALUE"""),0.114)</f>
        <v>0.114</v>
      </c>
      <c r="E8364" s="8" t="str">
        <f>IFERROR(__xludf.DUMMYFUNCTION("""COMPUTED_VALUE"""),"Real")</f>
        <v>Real</v>
      </c>
      <c r="G8364" s="8">
        <f t="shared" si="1"/>
        <v>10</v>
      </c>
      <c r="H8364" s="14">
        <f t="shared" si="2"/>
        <v>15</v>
      </c>
      <c r="I8364" s="15">
        <f t="shared" si="3"/>
        <v>12</v>
      </c>
    </row>
    <row r="8365">
      <c r="A8365" s="8" t="str">
        <f>IFERROR(__xludf.DUMMYFUNCTION("IF('(INGESTA)Datos_consumo_datadis'!A8365&lt;&gt;"""",SPLIT('(INGESTA)Datos_consumo_datadis'!A:A,"",""),"""")"),"ES0031408323131005HX0F")</f>
        <v>ES0031408323131005HX0F</v>
      </c>
      <c r="B8365" s="17">
        <f>IFERROR(__xludf.DUMMYFUNCTION("""COMPUTED_VALUE"""),45214.0)</f>
        <v>45214</v>
      </c>
      <c r="C8365" s="13">
        <f>IFERROR(__xludf.DUMMYFUNCTION("""COMPUTED_VALUE"""),0.5416666666666666)</f>
        <v>0.5416666667</v>
      </c>
      <c r="D8365" s="8">
        <f>IFERROR(__xludf.DUMMYFUNCTION("""COMPUTED_VALUE"""),0.139)</f>
        <v>0.139</v>
      </c>
      <c r="E8365" s="8" t="str">
        <f>IFERROR(__xludf.DUMMYFUNCTION("""COMPUTED_VALUE"""),"Real")</f>
        <v>Real</v>
      </c>
      <c r="G8365" s="8">
        <f t="shared" si="1"/>
        <v>10</v>
      </c>
      <c r="H8365" s="14">
        <f t="shared" si="2"/>
        <v>15</v>
      </c>
      <c r="I8365" s="15">
        <f t="shared" si="3"/>
        <v>13</v>
      </c>
    </row>
    <row r="8366">
      <c r="A8366" s="8" t="str">
        <f>IFERROR(__xludf.DUMMYFUNCTION("IF('(INGESTA)Datos_consumo_datadis'!A8366&lt;&gt;"""",SPLIT('(INGESTA)Datos_consumo_datadis'!A:A,"",""),"""")"),"ES0031408323131005HX0F")</f>
        <v>ES0031408323131005HX0F</v>
      </c>
      <c r="B8366" s="17">
        <f>IFERROR(__xludf.DUMMYFUNCTION("""COMPUTED_VALUE"""),45214.0)</f>
        <v>45214</v>
      </c>
      <c r="C8366" s="13">
        <f>IFERROR(__xludf.DUMMYFUNCTION("""COMPUTED_VALUE"""),0.5833333333333334)</f>
        <v>0.5833333333</v>
      </c>
      <c r="D8366" s="8">
        <f>IFERROR(__xludf.DUMMYFUNCTION("""COMPUTED_VALUE"""),0.33)</f>
        <v>0.33</v>
      </c>
      <c r="E8366" s="8" t="str">
        <f>IFERROR(__xludf.DUMMYFUNCTION("""COMPUTED_VALUE"""),"Real")</f>
        <v>Real</v>
      </c>
      <c r="G8366" s="8">
        <f t="shared" si="1"/>
        <v>10</v>
      </c>
      <c r="H8366" s="14">
        <f t="shared" si="2"/>
        <v>15</v>
      </c>
      <c r="I8366" s="15">
        <f t="shared" si="3"/>
        <v>14</v>
      </c>
    </row>
    <row r="8367">
      <c r="A8367" s="8" t="str">
        <f>IFERROR(__xludf.DUMMYFUNCTION("IF('(INGESTA)Datos_consumo_datadis'!A8367&lt;&gt;"""",SPLIT('(INGESTA)Datos_consumo_datadis'!A:A,"",""),"""")"),"ES0031408323131005HX0F")</f>
        <v>ES0031408323131005HX0F</v>
      </c>
      <c r="B8367" s="17">
        <f>IFERROR(__xludf.DUMMYFUNCTION("""COMPUTED_VALUE"""),45214.0)</f>
        <v>45214</v>
      </c>
      <c r="C8367" s="13">
        <f>IFERROR(__xludf.DUMMYFUNCTION("""COMPUTED_VALUE"""),0.625)</f>
        <v>0.625</v>
      </c>
      <c r="D8367" s="8">
        <f>IFERROR(__xludf.DUMMYFUNCTION("""COMPUTED_VALUE"""),0.36)</f>
        <v>0.36</v>
      </c>
      <c r="E8367" s="8" t="str">
        <f>IFERROR(__xludf.DUMMYFUNCTION("""COMPUTED_VALUE"""),"Real")</f>
        <v>Real</v>
      </c>
      <c r="G8367" s="8">
        <f t="shared" si="1"/>
        <v>10</v>
      </c>
      <c r="H8367" s="14">
        <f t="shared" si="2"/>
        <v>15</v>
      </c>
      <c r="I8367" s="15">
        <f t="shared" si="3"/>
        <v>15</v>
      </c>
    </row>
    <row r="8368">
      <c r="A8368" s="8" t="str">
        <f>IFERROR(__xludf.DUMMYFUNCTION("IF('(INGESTA)Datos_consumo_datadis'!A8368&lt;&gt;"""",SPLIT('(INGESTA)Datos_consumo_datadis'!A:A,"",""),"""")"),"ES0031408323131005HX0F")</f>
        <v>ES0031408323131005HX0F</v>
      </c>
      <c r="B8368" s="17">
        <f>IFERROR(__xludf.DUMMYFUNCTION("""COMPUTED_VALUE"""),45214.0)</f>
        <v>45214</v>
      </c>
      <c r="C8368" s="13">
        <f>IFERROR(__xludf.DUMMYFUNCTION("""COMPUTED_VALUE"""),0.6666666666666666)</f>
        <v>0.6666666667</v>
      </c>
      <c r="D8368" s="8">
        <f>IFERROR(__xludf.DUMMYFUNCTION("""COMPUTED_VALUE"""),0.609)</f>
        <v>0.609</v>
      </c>
      <c r="E8368" s="8" t="str">
        <f>IFERROR(__xludf.DUMMYFUNCTION("""COMPUTED_VALUE"""),"Real")</f>
        <v>Real</v>
      </c>
      <c r="G8368" s="8">
        <f t="shared" si="1"/>
        <v>10</v>
      </c>
      <c r="H8368" s="14">
        <f t="shared" si="2"/>
        <v>15</v>
      </c>
      <c r="I8368" s="15">
        <f t="shared" si="3"/>
        <v>16</v>
      </c>
    </row>
    <row r="8369">
      <c r="A8369" s="8" t="str">
        <f>IFERROR(__xludf.DUMMYFUNCTION("IF('(INGESTA)Datos_consumo_datadis'!A8369&lt;&gt;"""",SPLIT('(INGESTA)Datos_consumo_datadis'!A:A,"",""),"""")"),"ES0031408323131005HX0F")</f>
        <v>ES0031408323131005HX0F</v>
      </c>
      <c r="B8369" s="17">
        <f>IFERROR(__xludf.DUMMYFUNCTION("""COMPUTED_VALUE"""),45214.0)</f>
        <v>45214</v>
      </c>
      <c r="C8369" s="13">
        <f>IFERROR(__xludf.DUMMYFUNCTION("""COMPUTED_VALUE"""),0.7083333333333334)</f>
        <v>0.7083333333</v>
      </c>
      <c r="D8369" s="8">
        <f>IFERROR(__xludf.DUMMYFUNCTION("""COMPUTED_VALUE"""),0.322)</f>
        <v>0.322</v>
      </c>
      <c r="E8369" s="8" t="str">
        <f>IFERROR(__xludf.DUMMYFUNCTION("""COMPUTED_VALUE"""),"Real")</f>
        <v>Real</v>
      </c>
      <c r="G8369" s="8">
        <f t="shared" si="1"/>
        <v>10</v>
      </c>
      <c r="H8369" s="14">
        <f t="shared" si="2"/>
        <v>15</v>
      </c>
      <c r="I8369" s="15">
        <f t="shared" si="3"/>
        <v>17</v>
      </c>
    </row>
    <row r="8370">
      <c r="A8370" s="8" t="str">
        <f>IFERROR(__xludf.DUMMYFUNCTION("IF('(INGESTA)Datos_consumo_datadis'!A8370&lt;&gt;"""",SPLIT('(INGESTA)Datos_consumo_datadis'!A:A,"",""),"""")"),"ES0031408323131005HX0F")</f>
        <v>ES0031408323131005HX0F</v>
      </c>
      <c r="B8370" s="17">
        <f>IFERROR(__xludf.DUMMYFUNCTION("""COMPUTED_VALUE"""),45214.0)</f>
        <v>45214</v>
      </c>
      <c r="C8370" s="13">
        <f>IFERROR(__xludf.DUMMYFUNCTION("""COMPUTED_VALUE"""),0.75)</f>
        <v>0.75</v>
      </c>
      <c r="D8370" s="8">
        <f>IFERROR(__xludf.DUMMYFUNCTION("""COMPUTED_VALUE"""),0.112)</f>
        <v>0.112</v>
      </c>
      <c r="E8370" s="8" t="str">
        <f>IFERROR(__xludf.DUMMYFUNCTION("""COMPUTED_VALUE"""),"Real")</f>
        <v>Real</v>
      </c>
      <c r="G8370" s="8">
        <f t="shared" si="1"/>
        <v>10</v>
      </c>
      <c r="H8370" s="14">
        <f t="shared" si="2"/>
        <v>15</v>
      </c>
      <c r="I8370" s="15">
        <f t="shared" si="3"/>
        <v>18</v>
      </c>
    </row>
    <row r="8371">
      <c r="A8371" s="8" t="str">
        <f>IFERROR(__xludf.DUMMYFUNCTION("IF('(INGESTA)Datos_consumo_datadis'!A8371&lt;&gt;"""",SPLIT('(INGESTA)Datos_consumo_datadis'!A:A,"",""),"""")"),"ES0031408323131005HX0F")</f>
        <v>ES0031408323131005HX0F</v>
      </c>
      <c r="B8371" s="17">
        <f>IFERROR(__xludf.DUMMYFUNCTION("""COMPUTED_VALUE"""),45214.0)</f>
        <v>45214</v>
      </c>
      <c r="C8371" s="13">
        <f>IFERROR(__xludf.DUMMYFUNCTION("""COMPUTED_VALUE"""),0.7916666666666666)</f>
        <v>0.7916666667</v>
      </c>
      <c r="D8371" s="8">
        <f>IFERROR(__xludf.DUMMYFUNCTION("""COMPUTED_VALUE"""),0.128)</f>
        <v>0.128</v>
      </c>
      <c r="E8371" s="8" t="str">
        <f>IFERROR(__xludf.DUMMYFUNCTION("""COMPUTED_VALUE"""),"Real")</f>
        <v>Real</v>
      </c>
      <c r="G8371" s="8">
        <f t="shared" si="1"/>
        <v>10</v>
      </c>
      <c r="H8371" s="14">
        <f t="shared" si="2"/>
        <v>15</v>
      </c>
      <c r="I8371" s="15">
        <f t="shared" si="3"/>
        <v>19</v>
      </c>
    </row>
    <row r="8372">
      <c r="A8372" s="8" t="str">
        <f>IFERROR(__xludf.DUMMYFUNCTION("IF('(INGESTA)Datos_consumo_datadis'!A8372&lt;&gt;"""",SPLIT('(INGESTA)Datos_consumo_datadis'!A:A,"",""),"""")"),"ES0031408323131005HX0F")</f>
        <v>ES0031408323131005HX0F</v>
      </c>
      <c r="B8372" s="17">
        <f>IFERROR(__xludf.DUMMYFUNCTION("""COMPUTED_VALUE"""),45214.0)</f>
        <v>45214</v>
      </c>
      <c r="C8372" s="13">
        <f>IFERROR(__xludf.DUMMYFUNCTION("""COMPUTED_VALUE"""),0.8333333333333334)</f>
        <v>0.8333333333</v>
      </c>
      <c r="D8372" s="8">
        <f>IFERROR(__xludf.DUMMYFUNCTION("""COMPUTED_VALUE"""),0.091)</f>
        <v>0.091</v>
      </c>
      <c r="E8372" s="8" t="str">
        <f>IFERROR(__xludf.DUMMYFUNCTION("""COMPUTED_VALUE"""),"Real")</f>
        <v>Real</v>
      </c>
      <c r="G8372" s="8">
        <f t="shared" si="1"/>
        <v>10</v>
      </c>
      <c r="H8372" s="14">
        <f t="shared" si="2"/>
        <v>15</v>
      </c>
      <c r="I8372" s="15">
        <f t="shared" si="3"/>
        <v>20</v>
      </c>
    </row>
    <row r="8373">
      <c r="A8373" s="8" t="str">
        <f>IFERROR(__xludf.DUMMYFUNCTION("IF('(INGESTA)Datos_consumo_datadis'!A8373&lt;&gt;"""",SPLIT('(INGESTA)Datos_consumo_datadis'!A:A,"",""),"""")"),"ES0031408323131005HX0F")</f>
        <v>ES0031408323131005HX0F</v>
      </c>
      <c r="B8373" s="17">
        <f>IFERROR(__xludf.DUMMYFUNCTION("""COMPUTED_VALUE"""),45214.0)</f>
        <v>45214</v>
      </c>
      <c r="C8373" s="13">
        <f>IFERROR(__xludf.DUMMYFUNCTION("""COMPUTED_VALUE"""),0.875)</f>
        <v>0.875</v>
      </c>
      <c r="D8373" s="8">
        <f>IFERROR(__xludf.DUMMYFUNCTION("""COMPUTED_VALUE"""),0.09)</f>
        <v>0.09</v>
      </c>
      <c r="E8373" s="8" t="str">
        <f>IFERROR(__xludf.DUMMYFUNCTION("""COMPUTED_VALUE"""),"Real")</f>
        <v>Real</v>
      </c>
      <c r="G8373" s="8">
        <f t="shared" si="1"/>
        <v>10</v>
      </c>
      <c r="H8373" s="14">
        <f t="shared" si="2"/>
        <v>15</v>
      </c>
      <c r="I8373" s="15">
        <f t="shared" si="3"/>
        <v>21</v>
      </c>
    </row>
    <row r="8374">
      <c r="A8374" s="8" t="str">
        <f>IFERROR(__xludf.DUMMYFUNCTION("IF('(INGESTA)Datos_consumo_datadis'!A8374&lt;&gt;"""",SPLIT('(INGESTA)Datos_consumo_datadis'!A:A,"",""),"""")"),"ES0031408323131005HX0F")</f>
        <v>ES0031408323131005HX0F</v>
      </c>
      <c r="B8374" s="17">
        <f>IFERROR(__xludf.DUMMYFUNCTION("""COMPUTED_VALUE"""),45214.0)</f>
        <v>45214</v>
      </c>
      <c r="C8374" s="13">
        <f>IFERROR(__xludf.DUMMYFUNCTION("""COMPUTED_VALUE"""),0.9166666666666666)</f>
        <v>0.9166666667</v>
      </c>
      <c r="D8374" s="8">
        <f>IFERROR(__xludf.DUMMYFUNCTION("""COMPUTED_VALUE"""),0.13)</f>
        <v>0.13</v>
      </c>
      <c r="E8374" s="8" t="str">
        <f>IFERROR(__xludf.DUMMYFUNCTION("""COMPUTED_VALUE"""),"Real")</f>
        <v>Real</v>
      </c>
      <c r="G8374" s="8">
        <f t="shared" si="1"/>
        <v>10</v>
      </c>
      <c r="H8374" s="14">
        <f t="shared" si="2"/>
        <v>15</v>
      </c>
      <c r="I8374" s="15">
        <f t="shared" si="3"/>
        <v>22</v>
      </c>
    </row>
    <row r="8375">
      <c r="A8375" s="8" t="str">
        <f>IFERROR(__xludf.DUMMYFUNCTION("IF('(INGESTA)Datos_consumo_datadis'!A8375&lt;&gt;"""",SPLIT('(INGESTA)Datos_consumo_datadis'!A:A,"",""),"""")"),"ES0031408323131005HX0F")</f>
        <v>ES0031408323131005HX0F</v>
      </c>
      <c r="B8375" s="17">
        <f>IFERROR(__xludf.DUMMYFUNCTION("""COMPUTED_VALUE"""),45214.0)</f>
        <v>45214</v>
      </c>
      <c r="C8375" s="13">
        <f>IFERROR(__xludf.DUMMYFUNCTION("""COMPUTED_VALUE"""),0.9583333333333334)</f>
        <v>0.9583333333</v>
      </c>
      <c r="D8375" s="8">
        <f>IFERROR(__xludf.DUMMYFUNCTION("""COMPUTED_VALUE"""),0.378)</f>
        <v>0.378</v>
      </c>
      <c r="E8375" s="8" t="str">
        <f>IFERROR(__xludf.DUMMYFUNCTION("""COMPUTED_VALUE"""),"Real")</f>
        <v>Real</v>
      </c>
      <c r="G8375" s="8">
        <f t="shared" si="1"/>
        <v>10</v>
      </c>
      <c r="H8375" s="14">
        <f t="shared" si="2"/>
        <v>15</v>
      </c>
      <c r="I8375" s="15">
        <f t="shared" si="3"/>
        <v>23</v>
      </c>
    </row>
    <row r="8376">
      <c r="A8376" s="8" t="str">
        <f>IFERROR(__xludf.DUMMYFUNCTION("IF('(INGESTA)Datos_consumo_datadis'!A8376&lt;&gt;"""",SPLIT('(INGESTA)Datos_consumo_datadis'!A:A,"",""),"""")"),"ES0031408323131005HX0F")</f>
        <v>ES0031408323131005HX0F</v>
      </c>
      <c r="B8376" s="17">
        <f>IFERROR(__xludf.DUMMYFUNCTION("""COMPUTED_VALUE"""),45214.0)</f>
        <v>45214</v>
      </c>
      <c r="C8376" s="16">
        <f>IFERROR(__xludf.DUMMYFUNCTION("""COMPUTED_VALUE"""),1.0)</f>
        <v>1</v>
      </c>
      <c r="D8376" s="8">
        <f>IFERROR(__xludf.DUMMYFUNCTION("""COMPUTED_VALUE"""),0.158)</f>
        <v>0.158</v>
      </c>
      <c r="E8376" s="8" t="str">
        <f>IFERROR(__xludf.DUMMYFUNCTION("""COMPUTED_VALUE"""),"Real")</f>
        <v>Real</v>
      </c>
      <c r="G8376" s="8">
        <f t="shared" si="1"/>
        <v>10</v>
      </c>
      <c r="H8376" s="14">
        <f t="shared" si="2"/>
        <v>15</v>
      </c>
      <c r="I8376" s="15">
        <f t="shared" si="3"/>
        <v>0</v>
      </c>
    </row>
    <row r="8377">
      <c r="A8377" s="8" t="str">
        <f>IFERROR(__xludf.DUMMYFUNCTION("IF('(INGESTA)Datos_consumo_datadis'!A8377&lt;&gt;"""",SPLIT('(INGESTA)Datos_consumo_datadis'!A:A,"",""),"""")"),"ES0031408323131005HX0F")</f>
        <v>ES0031408323131005HX0F</v>
      </c>
      <c r="B8377" s="17">
        <f>IFERROR(__xludf.DUMMYFUNCTION("""COMPUTED_VALUE"""),45215.0)</f>
        <v>45215</v>
      </c>
      <c r="C8377" s="13">
        <f>IFERROR(__xludf.DUMMYFUNCTION("""COMPUTED_VALUE"""),0.041666666666666664)</f>
        <v>0.04166666667</v>
      </c>
      <c r="D8377" s="8">
        <f>IFERROR(__xludf.DUMMYFUNCTION("""COMPUTED_VALUE"""),0.126)</f>
        <v>0.126</v>
      </c>
      <c r="E8377" s="8" t="str">
        <f>IFERROR(__xludf.DUMMYFUNCTION("""COMPUTED_VALUE"""),"Real")</f>
        <v>Real</v>
      </c>
      <c r="G8377" s="8">
        <f t="shared" si="1"/>
        <v>10</v>
      </c>
      <c r="H8377" s="14">
        <f t="shared" si="2"/>
        <v>16</v>
      </c>
      <c r="I8377" s="15">
        <f t="shared" si="3"/>
        <v>1</v>
      </c>
    </row>
    <row r="8378">
      <c r="A8378" s="8" t="str">
        <f>IFERROR(__xludf.DUMMYFUNCTION("IF('(INGESTA)Datos_consumo_datadis'!A8378&lt;&gt;"""",SPLIT('(INGESTA)Datos_consumo_datadis'!A:A,"",""),"""")"),"ES0031408323131005HX0F")</f>
        <v>ES0031408323131005HX0F</v>
      </c>
      <c r="B8378" s="17">
        <f>IFERROR(__xludf.DUMMYFUNCTION("""COMPUTED_VALUE"""),45215.0)</f>
        <v>45215</v>
      </c>
      <c r="C8378" s="13">
        <f>IFERROR(__xludf.DUMMYFUNCTION("""COMPUTED_VALUE"""),0.08333333333333333)</f>
        <v>0.08333333333</v>
      </c>
      <c r="D8378" s="8">
        <f>IFERROR(__xludf.DUMMYFUNCTION("""COMPUTED_VALUE"""),0.377)</f>
        <v>0.377</v>
      </c>
      <c r="E8378" s="8" t="str">
        <f>IFERROR(__xludf.DUMMYFUNCTION("""COMPUTED_VALUE"""),"Real")</f>
        <v>Real</v>
      </c>
      <c r="G8378" s="8">
        <f t="shared" si="1"/>
        <v>10</v>
      </c>
      <c r="H8378" s="14">
        <f t="shared" si="2"/>
        <v>16</v>
      </c>
      <c r="I8378" s="15">
        <f t="shared" si="3"/>
        <v>2</v>
      </c>
    </row>
    <row r="8379">
      <c r="A8379" s="8" t="str">
        <f>IFERROR(__xludf.DUMMYFUNCTION("IF('(INGESTA)Datos_consumo_datadis'!A8379&lt;&gt;"""",SPLIT('(INGESTA)Datos_consumo_datadis'!A:A,"",""),"""")"),"ES0031408323131005HX0F")</f>
        <v>ES0031408323131005HX0F</v>
      </c>
      <c r="B8379" s="17">
        <f>IFERROR(__xludf.DUMMYFUNCTION("""COMPUTED_VALUE"""),45215.0)</f>
        <v>45215</v>
      </c>
      <c r="C8379" s="13">
        <f>IFERROR(__xludf.DUMMYFUNCTION("""COMPUTED_VALUE"""),0.125)</f>
        <v>0.125</v>
      </c>
      <c r="D8379" s="8">
        <f>IFERROR(__xludf.DUMMYFUNCTION("""COMPUTED_VALUE"""),0.152)</f>
        <v>0.152</v>
      </c>
      <c r="E8379" s="8" t="str">
        <f>IFERROR(__xludf.DUMMYFUNCTION("""COMPUTED_VALUE"""),"Real")</f>
        <v>Real</v>
      </c>
      <c r="G8379" s="8">
        <f t="shared" si="1"/>
        <v>10</v>
      </c>
      <c r="H8379" s="14">
        <f t="shared" si="2"/>
        <v>16</v>
      </c>
      <c r="I8379" s="15">
        <f t="shared" si="3"/>
        <v>3</v>
      </c>
    </row>
    <row r="8380">
      <c r="A8380" s="8" t="str">
        <f>IFERROR(__xludf.DUMMYFUNCTION("IF('(INGESTA)Datos_consumo_datadis'!A8380&lt;&gt;"""",SPLIT('(INGESTA)Datos_consumo_datadis'!A:A,"",""),"""")"),"ES0031408323131005HX0F")</f>
        <v>ES0031408323131005HX0F</v>
      </c>
      <c r="B8380" s="17">
        <f>IFERROR(__xludf.DUMMYFUNCTION("""COMPUTED_VALUE"""),45215.0)</f>
        <v>45215</v>
      </c>
      <c r="C8380" s="13">
        <f>IFERROR(__xludf.DUMMYFUNCTION("""COMPUTED_VALUE"""),0.16666666666666666)</f>
        <v>0.1666666667</v>
      </c>
      <c r="D8380" s="8">
        <f>IFERROR(__xludf.DUMMYFUNCTION("""COMPUTED_VALUE"""),0.131)</f>
        <v>0.131</v>
      </c>
      <c r="E8380" s="8" t="str">
        <f>IFERROR(__xludf.DUMMYFUNCTION("""COMPUTED_VALUE"""),"Real")</f>
        <v>Real</v>
      </c>
      <c r="G8380" s="8">
        <f t="shared" si="1"/>
        <v>10</v>
      </c>
      <c r="H8380" s="14">
        <f t="shared" si="2"/>
        <v>16</v>
      </c>
      <c r="I8380" s="15">
        <f t="shared" si="3"/>
        <v>4</v>
      </c>
    </row>
    <row r="8381">
      <c r="A8381" s="8" t="str">
        <f>IFERROR(__xludf.DUMMYFUNCTION("IF('(INGESTA)Datos_consumo_datadis'!A8381&lt;&gt;"""",SPLIT('(INGESTA)Datos_consumo_datadis'!A:A,"",""),"""")"),"ES0031408323131005HX0F")</f>
        <v>ES0031408323131005HX0F</v>
      </c>
      <c r="B8381" s="17">
        <f>IFERROR(__xludf.DUMMYFUNCTION("""COMPUTED_VALUE"""),45215.0)</f>
        <v>45215</v>
      </c>
      <c r="C8381" s="13">
        <f>IFERROR(__xludf.DUMMYFUNCTION("""COMPUTED_VALUE"""),0.20833333333333334)</f>
        <v>0.2083333333</v>
      </c>
      <c r="D8381" s="8">
        <f>IFERROR(__xludf.DUMMYFUNCTION("""COMPUTED_VALUE"""),0.119)</f>
        <v>0.119</v>
      </c>
      <c r="E8381" s="8" t="str">
        <f>IFERROR(__xludf.DUMMYFUNCTION("""COMPUTED_VALUE"""),"Real")</f>
        <v>Real</v>
      </c>
      <c r="G8381" s="8">
        <f t="shared" si="1"/>
        <v>10</v>
      </c>
      <c r="H8381" s="14">
        <f t="shared" si="2"/>
        <v>16</v>
      </c>
      <c r="I8381" s="15">
        <f t="shared" si="3"/>
        <v>5</v>
      </c>
    </row>
    <row r="8382">
      <c r="A8382" s="8" t="str">
        <f>IFERROR(__xludf.DUMMYFUNCTION("IF('(INGESTA)Datos_consumo_datadis'!A8382&lt;&gt;"""",SPLIT('(INGESTA)Datos_consumo_datadis'!A:A,"",""),"""")"),"ES0031408323131005HX0F")</f>
        <v>ES0031408323131005HX0F</v>
      </c>
      <c r="B8382" s="17">
        <f>IFERROR(__xludf.DUMMYFUNCTION("""COMPUTED_VALUE"""),45215.0)</f>
        <v>45215</v>
      </c>
      <c r="C8382" s="13">
        <f>IFERROR(__xludf.DUMMYFUNCTION("""COMPUTED_VALUE"""),0.25)</f>
        <v>0.25</v>
      </c>
      <c r="D8382" s="8">
        <f>IFERROR(__xludf.DUMMYFUNCTION("""COMPUTED_VALUE"""),0.034)</f>
        <v>0.034</v>
      </c>
      <c r="E8382" s="8" t="str">
        <f>IFERROR(__xludf.DUMMYFUNCTION("""COMPUTED_VALUE"""),"Real")</f>
        <v>Real</v>
      </c>
      <c r="G8382" s="8">
        <f t="shared" si="1"/>
        <v>10</v>
      </c>
      <c r="H8382" s="14">
        <f t="shared" si="2"/>
        <v>16</v>
      </c>
      <c r="I8382" s="15">
        <f t="shared" si="3"/>
        <v>6</v>
      </c>
    </row>
    <row r="8383">
      <c r="A8383" s="8" t="str">
        <f>IFERROR(__xludf.DUMMYFUNCTION("IF('(INGESTA)Datos_consumo_datadis'!A8383&lt;&gt;"""",SPLIT('(INGESTA)Datos_consumo_datadis'!A:A,"",""),"""")"),"ES0031408323131005HX0F")</f>
        <v>ES0031408323131005HX0F</v>
      </c>
      <c r="B8383" s="17">
        <f>IFERROR(__xludf.DUMMYFUNCTION("""COMPUTED_VALUE"""),45215.0)</f>
        <v>45215</v>
      </c>
      <c r="C8383" s="13">
        <f>IFERROR(__xludf.DUMMYFUNCTION("""COMPUTED_VALUE"""),0.2916666666666667)</f>
        <v>0.2916666667</v>
      </c>
      <c r="D8383" s="8">
        <f>IFERROR(__xludf.DUMMYFUNCTION("""COMPUTED_VALUE"""),0.108)</f>
        <v>0.108</v>
      </c>
      <c r="E8383" s="8" t="str">
        <f>IFERROR(__xludf.DUMMYFUNCTION("""COMPUTED_VALUE"""),"Real")</f>
        <v>Real</v>
      </c>
      <c r="G8383" s="8">
        <f t="shared" si="1"/>
        <v>10</v>
      </c>
      <c r="H8383" s="14">
        <f t="shared" si="2"/>
        <v>16</v>
      </c>
      <c r="I8383" s="15">
        <f t="shared" si="3"/>
        <v>7</v>
      </c>
    </row>
    <row r="8384">
      <c r="A8384" s="8" t="str">
        <f>IFERROR(__xludf.DUMMYFUNCTION("IF('(INGESTA)Datos_consumo_datadis'!A8384&lt;&gt;"""",SPLIT('(INGESTA)Datos_consumo_datadis'!A:A,"",""),"""")"),"ES0031408323131005HX0F")</f>
        <v>ES0031408323131005HX0F</v>
      </c>
      <c r="B8384" s="17">
        <f>IFERROR(__xludf.DUMMYFUNCTION("""COMPUTED_VALUE"""),45215.0)</f>
        <v>45215</v>
      </c>
      <c r="C8384" s="13">
        <f>IFERROR(__xludf.DUMMYFUNCTION("""COMPUTED_VALUE"""),0.3333333333333333)</f>
        <v>0.3333333333</v>
      </c>
      <c r="D8384" s="8">
        <f>IFERROR(__xludf.DUMMYFUNCTION("""COMPUTED_VALUE"""),0.142)</f>
        <v>0.142</v>
      </c>
      <c r="E8384" s="8" t="str">
        <f>IFERROR(__xludf.DUMMYFUNCTION("""COMPUTED_VALUE"""),"Real")</f>
        <v>Real</v>
      </c>
      <c r="G8384" s="8">
        <f t="shared" si="1"/>
        <v>10</v>
      </c>
      <c r="H8384" s="14">
        <f t="shared" si="2"/>
        <v>16</v>
      </c>
      <c r="I8384" s="15">
        <f t="shared" si="3"/>
        <v>8</v>
      </c>
    </row>
    <row r="8385">
      <c r="A8385" s="8" t="str">
        <f>IFERROR(__xludf.DUMMYFUNCTION("IF('(INGESTA)Datos_consumo_datadis'!A8385&lt;&gt;"""",SPLIT('(INGESTA)Datos_consumo_datadis'!A:A,"",""),"""")"),"ES0031408323131005HX0F")</f>
        <v>ES0031408323131005HX0F</v>
      </c>
      <c r="B8385" s="17">
        <f>IFERROR(__xludf.DUMMYFUNCTION("""COMPUTED_VALUE"""),45215.0)</f>
        <v>45215</v>
      </c>
      <c r="C8385" s="13">
        <f>IFERROR(__xludf.DUMMYFUNCTION("""COMPUTED_VALUE"""),0.375)</f>
        <v>0.375</v>
      </c>
      <c r="D8385" s="8">
        <f>IFERROR(__xludf.DUMMYFUNCTION("""COMPUTED_VALUE"""),0.192)</f>
        <v>0.192</v>
      </c>
      <c r="E8385" s="8" t="str">
        <f>IFERROR(__xludf.DUMMYFUNCTION("""COMPUTED_VALUE"""),"Real")</f>
        <v>Real</v>
      </c>
      <c r="G8385" s="8">
        <f t="shared" si="1"/>
        <v>10</v>
      </c>
      <c r="H8385" s="14">
        <f t="shared" si="2"/>
        <v>16</v>
      </c>
      <c r="I8385" s="15">
        <f t="shared" si="3"/>
        <v>9</v>
      </c>
    </row>
    <row r="8386">
      <c r="A8386" s="8" t="str">
        <f>IFERROR(__xludf.DUMMYFUNCTION("IF('(INGESTA)Datos_consumo_datadis'!A8386&lt;&gt;"""",SPLIT('(INGESTA)Datos_consumo_datadis'!A:A,"",""),"""")"),"ES0031408323131005HX0F")</f>
        <v>ES0031408323131005HX0F</v>
      </c>
      <c r="B8386" s="17">
        <f>IFERROR(__xludf.DUMMYFUNCTION("""COMPUTED_VALUE"""),45215.0)</f>
        <v>45215</v>
      </c>
      <c r="C8386" s="13">
        <f>IFERROR(__xludf.DUMMYFUNCTION("""COMPUTED_VALUE"""),0.4166666666666667)</f>
        <v>0.4166666667</v>
      </c>
      <c r="D8386" s="8">
        <f>IFERROR(__xludf.DUMMYFUNCTION("""COMPUTED_VALUE"""),0.286)</f>
        <v>0.286</v>
      </c>
      <c r="E8386" s="8" t="str">
        <f>IFERROR(__xludf.DUMMYFUNCTION("""COMPUTED_VALUE"""),"Real")</f>
        <v>Real</v>
      </c>
      <c r="G8386" s="8">
        <f t="shared" si="1"/>
        <v>10</v>
      </c>
      <c r="H8386" s="14">
        <f t="shared" si="2"/>
        <v>16</v>
      </c>
      <c r="I8386" s="15">
        <f t="shared" si="3"/>
        <v>10</v>
      </c>
    </row>
    <row r="8387">
      <c r="A8387" s="8" t="str">
        <f>IFERROR(__xludf.DUMMYFUNCTION("IF('(INGESTA)Datos_consumo_datadis'!A8387&lt;&gt;"""",SPLIT('(INGESTA)Datos_consumo_datadis'!A:A,"",""),"""")"),"ES0031408323131005HX0F")</f>
        <v>ES0031408323131005HX0F</v>
      </c>
      <c r="B8387" s="17">
        <f>IFERROR(__xludf.DUMMYFUNCTION("""COMPUTED_VALUE"""),45215.0)</f>
        <v>45215</v>
      </c>
      <c r="C8387" s="13">
        <f>IFERROR(__xludf.DUMMYFUNCTION("""COMPUTED_VALUE"""),0.4583333333333333)</f>
        <v>0.4583333333</v>
      </c>
      <c r="D8387" s="8">
        <f>IFERROR(__xludf.DUMMYFUNCTION("""COMPUTED_VALUE"""),0.087)</f>
        <v>0.087</v>
      </c>
      <c r="E8387" s="8" t="str">
        <f>IFERROR(__xludf.DUMMYFUNCTION("""COMPUTED_VALUE"""),"Real")</f>
        <v>Real</v>
      </c>
      <c r="G8387" s="8">
        <f t="shared" si="1"/>
        <v>10</v>
      </c>
      <c r="H8387" s="14">
        <f t="shared" si="2"/>
        <v>16</v>
      </c>
      <c r="I8387" s="15">
        <f t="shared" si="3"/>
        <v>11</v>
      </c>
    </row>
    <row r="8388">
      <c r="A8388" s="8" t="str">
        <f>IFERROR(__xludf.DUMMYFUNCTION("IF('(INGESTA)Datos_consumo_datadis'!A8388&lt;&gt;"""",SPLIT('(INGESTA)Datos_consumo_datadis'!A:A,"",""),"""")"),"ES0031408323131005HX0F")</f>
        <v>ES0031408323131005HX0F</v>
      </c>
      <c r="B8388" s="17">
        <f>IFERROR(__xludf.DUMMYFUNCTION("""COMPUTED_VALUE"""),45215.0)</f>
        <v>45215</v>
      </c>
      <c r="C8388" s="13">
        <f>IFERROR(__xludf.DUMMYFUNCTION("""COMPUTED_VALUE"""),0.5)</f>
        <v>0.5</v>
      </c>
      <c r="D8388" s="8">
        <f>IFERROR(__xludf.DUMMYFUNCTION("""COMPUTED_VALUE"""),0.021)</f>
        <v>0.021</v>
      </c>
      <c r="E8388" s="8" t="str">
        <f>IFERROR(__xludf.DUMMYFUNCTION("""COMPUTED_VALUE"""),"Real")</f>
        <v>Real</v>
      </c>
      <c r="G8388" s="8">
        <f t="shared" si="1"/>
        <v>10</v>
      </c>
      <c r="H8388" s="14">
        <f t="shared" si="2"/>
        <v>16</v>
      </c>
      <c r="I8388" s="15">
        <f t="shared" si="3"/>
        <v>12</v>
      </c>
    </row>
    <row r="8389">
      <c r="A8389" s="8" t="str">
        <f>IFERROR(__xludf.DUMMYFUNCTION("IF('(INGESTA)Datos_consumo_datadis'!A8389&lt;&gt;"""",SPLIT('(INGESTA)Datos_consumo_datadis'!A:A,"",""),"""")"),"ES0031408323131005HX0F")</f>
        <v>ES0031408323131005HX0F</v>
      </c>
      <c r="B8389" s="17">
        <f>IFERROR(__xludf.DUMMYFUNCTION("""COMPUTED_VALUE"""),45215.0)</f>
        <v>45215</v>
      </c>
      <c r="C8389" s="13">
        <f>IFERROR(__xludf.DUMMYFUNCTION("""COMPUTED_VALUE"""),0.5416666666666666)</f>
        <v>0.5416666667</v>
      </c>
      <c r="D8389" s="8">
        <f>IFERROR(__xludf.DUMMYFUNCTION("""COMPUTED_VALUE"""),0.075)</f>
        <v>0.075</v>
      </c>
      <c r="E8389" s="8" t="str">
        <f>IFERROR(__xludf.DUMMYFUNCTION("""COMPUTED_VALUE"""),"Real")</f>
        <v>Real</v>
      </c>
      <c r="G8389" s="8">
        <f t="shared" si="1"/>
        <v>10</v>
      </c>
      <c r="H8389" s="14">
        <f t="shared" si="2"/>
        <v>16</v>
      </c>
      <c r="I8389" s="15">
        <f t="shared" si="3"/>
        <v>13</v>
      </c>
    </row>
    <row r="8390">
      <c r="A8390" s="8" t="str">
        <f>IFERROR(__xludf.DUMMYFUNCTION("IF('(INGESTA)Datos_consumo_datadis'!A8390&lt;&gt;"""",SPLIT('(INGESTA)Datos_consumo_datadis'!A:A,"",""),"""")"),"ES0031408323131005HX0F")</f>
        <v>ES0031408323131005HX0F</v>
      </c>
      <c r="B8390" s="17">
        <f>IFERROR(__xludf.DUMMYFUNCTION("""COMPUTED_VALUE"""),45215.0)</f>
        <v>45215</v>
      </c>
      <c r="C8390" s="13">
        <f>IFERROR(__xludf.DUMMYFUNCTION("""COMPUTED_VALUE"""),0.5833333333333334)</f>
        <v>0.5833333333</v>
      </c>
      <c r="D8390" s="8">
        <f>IFERROR(__xludf.DUMMYFUNCTION("""COMPUTED_VALUE"""),0.105)</f>
        <v>0.105</v>
      </c>
      <c r="E8390" s="8" t="str">
        <f>IFERROR(__xludf.DUMMYFUNCTION("""COMPUTED_VALUE"""),"Real")</f>
        <v>Real</v>
      </c>
      <c r="G8390" s="8">
        <f t="shared" si="1"/>
        <v>10</v>
      </c>
      <c r="H8390" s="14">
        <f t="shared" si="2"/>
        <v>16</v>
      </c>
      <c r="I8390" s="15">
        <f t="shared" si="3"/>
        <v>14</v>
      </c>
    </row>
    <row r="8391">
      <c r="A8391" s="8" t="str">
        <f>IFERROR(__xludf.DUMMYFUNCTION("IF('(INGESTA)Datos_consumo_datadis'!A8391&lt;&gt;"""",SPLIT('(INGESTA)Datos_consumo_datadis'!A:A,"",""),"""")"),"ES0031408323131005HX0F")</f>
        <v>ES0031408323131005HX0F</v>
      </c>
      <c r="B8391" s="17">
        <f>IFERROR(__xludf.DUMMYFUNCTION("""COMPUTED_VALUE"""),45215.0)</f>
        <v>45215</v>
      </c>
      <c r="C8391" s="13">
        <f>IFERROR(__xludf.DUMMYFUNCTION("""COMPUTED_VALUE"""),0.625)</f>
        <v>0.625</v>
      </c>
      <c r="D8391" s="8">
        <f>IFERROR(__xludf.DUMMYFUNCTION("""COMPUTED_VALUE"""),0.174)</f>
        <v>0.174</v>
      </c>
      <c r="E8391" s="8" t="str">
        <f>IFERROR(__xludf.DUMMYFUNCTION("""COMPUTED_VALUE"""),"Real")</f>
        <v>Real</v>
      </c>
      <c r="G8391" s="8">
        <f t="shared" si="1"/>
        <v>10</v>
      </c>
      <c r="H8391" s="14">
        <f t="shared" si="2"/>
        <v>16</v>
      </c>
      <c r="I8391" s="15">
        <f t="shared" si="3"/>
        <v>15</v>
      </c>
    </row>
    <row r="8392">
      <c r="A8392" s="8" t="str">
        <f>IFERROR(__xludf.DUMMYFUNCTION("IF('(INGESTA)Datos_consumo_datadis'!A8392&lt;&gt;"""",SPLIT('(INGESTA)Datos_consumo_datadis'!A:A,"",""),"""")"),"ES0031408323131005HX0F")</f>
        <v>ES0031408323131005HX0F</v>
      </c>
      <c r="B8392" s="17">
        <f>IFERROR(__xludf.DUMMYFUNCTION("""COMPUTED_VALUE"""),45215.0)</f>
        <v>45215</v>
      </c>
      <c r="C8392" s="13">
        <f>IFERROR(__xludf.DUMMYFUNCTION("""COMPUTED_VALUE"""),0.6666666666666666)</f>
        <v>0.6666666667</v>
      </c>
      <c r="D8392" s="8">
        <f>IFERROR(__xludf.DUMMYFUNCTION("""COMPUTED_VALUE"""),0.097)</f>
        <v>0.097</v>
      </c>
      <c r="E8392" s="8" t="str">
        <f>IFERROR(__xludf.DUMMYFUNCTION("""COMPUTED_VALUE"""),"Real")</f>
        <v>Real</v>
      </c>
      <c r="G8392" s="8">
        <f t="shared" si="1"/>
        <v>10</v>
      </c>
      <c r="H8392" s="14">
        <f t="shared" si="2"/>
        <v>16</v>
      </c>
      <c r="I8392" s="15">
        <f t="shared" si="3"/>
        <v>16</v>
      </c>
    </row>
    <row r="8393">
      <c r="A8393" s="8" t="str">
        <f>IFERROR(__xludf.DUMMYFUNCTION("IF('(INGESTA)Datos_consumo_datadis'!A8393&lt;&gt;"""",SPLIT('(INGESTA)Datos_consumo_datadis'!A:A,"",""),"""")"),"ES0031408323131005HX0F")</f>
        <v>ES0031408323131005HX0F</v>
      </c>
      <c r="B8393" s="17">
        <f>IFERROR(__xludf.DUMMYFUNCTION("""COMPUTED_VALUE"""),45215.0)</f>
        <v>45215</v>
      </c>
      <c r="C8393" s="13">
        <f>IFERROR(__xludf.DUMMYFUNCTION("""COMPUTED_VALUE"""),0.7083333333333334)</f>
        <v>0.7083333333</v>
      </c>
      <c r="D8393" s="8">
        <f>IFERROR(__xludf.DUMMYFUNCTION("""COMPUTED_VALUE"""),0.326)</f>
        <v>0.326</v>
      </c>
      <c r="E8393" s="8" t="str">
        <f>IFERROR(__xludf.DUMMYFUNCTION("""COMPUTED_VALUE"""),"Real")</f>
        <v>Real</v>
      </c>
      <c r="G8393" s="8">
        <f t="shared" si="1"/>
        <v>10</v>
      </c>
      <c r="H8393" s="14">
        <f t="shared" si="2"/>
        <v>16</v>
      </c>
      <c r="I8393" s="15">
        <f t="shared" si="3"/>
        <v>17</v>
      </c>
    </row>
    <row r="8394">
      <c r="A8394" s="8" t="str">
        <f>IFERROR(__xludf.DUMMYFUNCTION("IF('(INGESTA)Datos_consumo_datadis'!A8394&lt;&gt;"""",SPLIT('(INGESTA)Datos_consumo_datadis'!A:A,"",""),"""")"),"ES0031408323131005HX0F")</f>
        <v>ES0031408323131005HX0F</v>
      </c>
      <c r="B8394" s="17">
        <f>IFERROR(__xludf.DUMMYFUNCTION("""COMPUTED_VALUE"""),45215.0)</f>
        <v>45215</v>
      </c>
      <c r="C8394" s="13">
        <f>IFERROR(__xludf.DUMMYFUNCTION("""COMPUTED_VALUE"""),0.75)</f>
        <v>0.75</v>
      </c>
      <c r="D8394" s="8">
        <f>IFERROR(__xludf.DUMMYFUNCTION("""COMPUTED_VALUE"""),0.058)</f>
        <v>0.058</v>
      </c>
      <c r="E8394" s="8" t="str">
        <f>IFERROR(__xludf.DUMMYFUNCTION("""COMPUTED_VALUE"""),"Real")</f>
        <v>Real</v>
      </c>
      <c r="G8394" s="8">
        <f t="shared" si="1"/>
        <v>10</v>
      </c>
      <c r="H8394" s="14">
        <f t="shared" si="2"/>
        <v>16</v>
      </c>
      <c r="I8394" s="15">
        <f t="shared" si="3"/>
        <v>18</v>
      </c>
    </row>
    <row r="8395">
      <c r="A8395" s="8" t="str">
        <f>IFERROR(__xludf.DUMMYFUNCTION("IF('(INGESTA)Datos_consumo_datadis'!A8395&lt;&gt;"""",SPLIT('(INGESTA)Datos_consumo_datadis'!A:A,"",""),"""")"),"ES0031408323131005HX0F")</f>
        <v>ES0031408323131005HX0F</v>
      </c>
      <c r="B8395" s="17">
        <f>IFERROR(__xludf.DUMMYFUNCTION("""COMPUTED_VALUE"""),45215.0)</f>
        <v>45215</v>
      </c>
      <c r="C8395" s="13">
        <f>IFERROR(__xludf.DUMMYFUNCTION("""COMPUTED_VALUE"""),0.7916666666666666)</f>
        <v>0.7916666667</v>
      </c>
      <c r="D8395" s="8">
        <f>IFERROR(__xludf.DUMMYFUNCTION("""COMPUTED_VALUE"""),0.126)</f>
        <v>0.126</v>
      </c>
      <c r="E8395" s="8" t="str">
        <f>IFERROR(__xludf.DUMMYFUNCTION("""COMPUTED_VALUE"""),"Real")</f>
        <v>Real</v>
      </c>
      <c r="G8395" s="8">
        <f t="shared" si="1"/>
        <v>10</v>
      </c>
      <c r="H8395" s="14">
        <f t="shared" si="2"/>
        <v>16</v>
      </c>
      <c r="I8395" s="15">
        <f t="shared" si="3"/>
        <v>19</v>
      </c>
    </row>
    <row r="8396">
      <c r="A8396" s="8" t="str">
        <f>IFERROR(__xludf.DUMMYFUNCTION("IF('(INGESTA)Datos_consumo_datadis'!A8396&lt;&gt;"""",SPLIT('(INGESTA)Datos_consumo_datadis'!A:A,"",""),"""")"),"ES0031408323131005HX0F")</f>
        <v>ES0031408323131005HX0F</v>
      </c>
      <c r="B8396" s="17">
        <f>IFERROR(__xludf.DUMMYFUNCTION("""COMPUTED_VALUE"""),45215.0)</f>
        <v>45215</v>
      </c>
      <c r="C8396" s="13">
        <f>IFERROR(__xludf.DUMMYFUNCTION("""COMPUTED_VALUE"""),0.8333333333333334)</f>
        <v>0.8333333333</v>
      </c>
      <c r="D8396" s="8">
        <f>IFERROR(__xludf.DUMMYFUNCTION("""COMPUTED_VALUE"""),0.114)</f>
        <v>0.114</v>
      </c>
      <c r="E8396" s="8" t="str">
        <f>IFERROR(__xludf.DUMMYFUNCTION("""COMPUTED_VALUE"""),"Real")</f>
        <v>Real</v>
      </c>
      <c r="G8396" s="8">
        <f t="shared" si="1"/>
        <v>10</v>
      </c>
      <c r="H8396" s="14">
        <f t="shared" si="2"/>
        <v>16</v>
      </c>
      <c r="I8396" s="15">
        <f t="shared" si="3"/>
        <v>20</v>
      </c>
    </row>
    <row r="8397">
      <c r="A8397" s="8" t="str">
        <f>IFERROR(__xludf.DUMMYFUNCTION("IF('(INGESTA)Datos_consumo_datadis'!A8397&lt;&gt;"""",SPLIT('(INGESTA)Datos_consumo_datadis'!A:A,"",""),"""")"),"ES0031408323131005HX0F")</f>
        <v>ES0031408323131005HX0F</v>
      </c>
      <c r="B8397" s="17">
        <f>IFERROR(__xludf.DUMMYFUNCTION("""COMPUTED_VALUE"""),45215.0)</f>
        <v>45215</v>
      </c>
      <c r="C8397" s="13">
        <f>IFERROR(__xludf.DUMMYFUNCTION("""COMPUTED_VALUE"""),0.875)</f>
        <v>0.875</v>
      </c>
      <c r="D8397" s="8">
        <f>IFERROR(__xludf.DUMMYFUNCTION("""COMPUTED_VALUE"""),0.1)</f>
        <v>0.1</v>
      </c>
      <c r="E8397" s="8" t="str">
        <f>IFERROR(__xludf.DUMMYFUNCTION("""COMPUTED_VALUE"""),"Real")</f>
        <v>Real</v>
      </c>
      <c r="G8397" s="8">
        <f t="shared" si="1"/>
        <v>10</v>
      </c>
      <c r="H8397" s="14">
        <f t="shared" si="2"/>
        <v>16</v>
      </c>
      <c r="I8397" s="15">
        <f t="shared" si="3"/>
        <v>21</v>
      </c>
    </row>
    <row r="8398">
      <c r="A8398" s="8" t="str">
        <f>IFERROR(__xludf.DUMMYFUNCTION("IF('(INGESTA)Datos_consumo_datadis'!A8398&lt;&gt;"""",SPLIT('(INGESTA)Datos_consumo_datadis'!A:A,"",""),"""")"),"ES0031408323131005HX0F")</f>
        <v>ES0031408323131005HX0F</v>
      </c>
      <c r="B8398" s="17">
        <f>IFERROR(__xludf.DUMMYFUNCTION("""COMPUTED_VALUE"""),45215.0)</f>
        <v>45215</v>
      </c>
      <c r="C8398" s="13">
        <f>IFERROR(__xludf.DUMMYFUNCTION("""COMPUTED_VALUE"""),0.9166666666666666)</f>
        <v>0.9166666667</v>
      </c>
      <c r="D8398" s="8">
        <f>IFERROR(__xludf.DUMMYFUNCTION("""COMPUTED_VALUE"""),0.311)</f>
        <v>0.311</v>
      </c>
      <c r="E8398" s="8" t="str">
        <f>IFERROR(__xludf.DUMMYFUNCTION("""COMPUTED_VALUE"""),"Real")</f>
        <v>Real</v>
      </c>
      <c r="G8398" s="8">
        <f t="shared" si="1"/>
        <v>10</v>
      </c>
      <c r="H8398" s="14">
        <f t="shared" si="2"/>
        <v>16</v>
      </c>
      <c r="I8398" s="15">
        <f t="shared" si="3"/>
        <v>22</v>
      </c>
    </row>
    <row r="8399">
      <c r="A8399" s="8" t="str">
        <f>IFERROR(__xludf.DUMMYFUNCTION("IF('(INGESTA)Datos_consumo_datadis'!A8399&lt;&gt;"""",SPLIT('(INGESTA)Datos_consumo_datadis'!A:A,"",""),"""")"),"ES0031408323131005HX0F")</f>
        <v>ES0031408323131005HX0F</v>
      </c>
      <c r="B8399" s="17">
        <f>IFERROR(__xludf.DUMMYFUNCTION("""COMPUTED_VALUE"""),45215.0)</f>
        <v>45215</v>
      </c>
      <c r="C8399" s="13">
        <f>IFERROR(__xludf.DUMMYFUNCTION("""COMPUTED_VALUE"""),0.9583333333333334)</f>
        <v>0.9583333333</v>
      </c>
      <c r="D8399" s="8">
        <f>IFERROR(__xludf.DUMMYFUNCTION("""COMPUTED_VALUE"""),0.421)</f>
        <v>0.421</v>
      </c>
      <c r="E8399" s="8" t="str">
        <f>IFERROR(__xludf.DUMMYFUNCTION("""COMPUTED_VALUE"""),"Real")</f>
        <v>Real</v>
      </c>
      <c r="G8399" s="8">
        <f t="shared" si="1"/>
        <v>10</v>
      </c>
      <c r="H8399" s="14">
        <f t="shared" si="2"/>
        <v>16</v>
      </c>
      <c r="I8399" s="15">
        <f t="shared" si="3"/>
        <v>23</v>
      </c>
    </row>
    <row r="8400">
      <c r="A8400" s="8" t="str">
        <f>IFERROR(__xludf.DUMMYFUNCTION("IF('(INGESTA)Datos_consumo_datadis'!A8400&lt;&gt;"""",SPLIT('(INGESTA)Datos_consumo_datadis'!A:A,"",""),"""")"),"ES0031408323131005HX0F")</f>
        <v>ES0031408323131005HX0F</v>
      </c>
      <c r="B8400" s="17">
        <f>IFERROR(__xludf.DUMMYFUNCTION("""COMPUTED_VALUE"""),45215.0)</f>
        <v>45215</v>
      </c>
      <c r="C8400" s="16">
        <f>IFERROR(__xludf.DUMMYFUNCTION("""COMPUTED_VALUE"""),1.0)</f>
        <v>1</v>
      </c>
      <c r="D8400" s="8">
        <f>IFERROR(__xludf.DUMMYFUNCTION("""COMPUTED_VALUE"""),0.192)</f>
        <v>0.192</v>
      </c>
      <c r="E8400" s="8" t="str">
        <f>IFERROR(__xludf.DUMMYFUNCTION("""COMPUTED_VALUE"""),"Real")</f>
        <v>Real</v>
      </c>
      <c r="G8400" s="8">
        <f t="shared" si="1"/>
        <v>10</v>
      </c>
      <c r="H8400" s="14">
        <f t="shared" si="2"/>
        <v>16</v>
      </c>
      <c r="I8400" s="15">
        <f t="shared" si="3"/>
        <v>0</v>
      </c>
    </row>
    <row r="8401">
      <c r="A8401" s="8" t="str">
        <f>IFERROR(__xludf.DUMMYFUNCTION("IF('(INGESTA)Datos_consumo_datadis'!A8401&lt;&gt;"""",SPLIT('(INGESTA)Datos_consumo_datadis'!A:A,"",""),"""")"),"ES0031408323131005HX0F")</f>
        <v>ES0031408323131005HX0F</v>
      </c>
      <c r="B8401" s="17">
        <f>IFERROR(__xludf.DUMMYFUNCTION("""COMPUTED_VALUE"""),45216.0)</f>
        <v>45216</v>
      </c>
      <c r="C8401" s="13">
        <f>IFERROR(__xludf.DUMMYFUNCTION("""COMPUTED_VALUE"""),0.041666666666666664)</f>
        <v>0.04166666667</v>
      </c>
      <c r="D8401" s="8">
        <f>IFERROR(__xludf.DUMMYFUNCTION("""COMPUTED_VALUE"""),0.388)</f>
        <v>0.388</v>
      </c>
      <c r="E8401" s="8" t="str">
        <f>IFERROR(__xludf.DUMMYFUNCTION("""COMPUTED_VALUE"""),"Real")</f>
        <v>Real</v>
      </c>
      <c r="G8401" s="8">
        <f t="shared" si="1"/>
        <v>10</v>
      </c>
      <c r="H8401" s="14">
        <f t="shared" si="2"/>
        <v>17</v>
      </c>
      <c r="I8401" s="15">
        <f t="shared" si="3"/>
        <v>1</v>
      </c>
    </row>
    <row r="8402">
      <c r="A8402" s="8" t="str">
        <f>IFERROR(__xludf.DUMMYFUNCTION("IF('(INGESTA)Datos_consumo_datadis'!A8402&lt;&gt;"""",SPLIT('(INGESTA)Datos_consumo_datadis'!A:A,"",""),"""")"),"ES0031408323131005HX0F")</f>
        <v>ES0031408323131005HX0F</v>
      </c>
      <c r="B8402" s="17">
        <f>IFERROR(__xludf.DUMMYFUNCTION("""COMPUTED_VALUE"""),45216.0)</f>
        <v>45216</v>
      </c>
      <c r="C8402" s="13">
        <f>IFERROR(__xludf.DUMMYFUNCTION("""COMPUTED_VALUE"""),0.08333333333333333)</f>
        <v>0.08333333333</v>
      </c>
      <c r="D8402" s="8">
        <f>IFERROR(__xludf.DUMMYFUNCTION("""COMPUTED_VALUE"""),0.105)</f>
        <v>0.105</v>
      </c>
      <c r="E8402" s="8" t="str">
        <f>IFERROR(__xludf.DUMMYFUNCTION("""COMPUTED_VALUE"""),"Real")</f>
        <v>Real</v>
      </c>
      <c r="G8402" s="8">
        <f t="shared" si="1"/>
        <v>10</v>
      </c>
      <c r="H8402" s="14">
        <f t="shared" si="2"/>
        <v>17</v>
      </c>
      <c r="I8402" s="15">
        <f t="shared" si="3"/>
        <v>2</v>
      </c>
    </row>
    <row r="8403">
      <c r="A8403" s="8" t="str">
        <f>IFERROR(__xludf.DUMMYFUNCTION("IF('(INGESTA)Datos_consumo_datadis'!A8403&lt;&gt;"""",SPLIT('(INGESTA)Datos_consumo_datadis'!A:A,"",""),"""")"),"ES0031408323131005HX0F")</f>
        <v>ES0031408323131005HX0F</v>
      </c>
      <c r="B8403" s="17">
        <f>IFERROR(__xludf.DUMMYFUNCTION("""COMPUTED_VALUE"""),45216.0)</f>
        <v>45216</v>
      </c>
      <c r="C8403" s="13">
        <f>IFERROR(__xludf.DUMMYFUNCTION("""COMPUTED_VALUE"""),0.125)</f>
        <v>0.125</v>
      </c>
      <c r="D8403" s="8">
        <f>IFERROR(__xludf.DUMMYFUNCTION("""COMPUTED_VALUE"""),0.068)</f>
        <v>0.068</v>
      </c>
      <c r="E8403" s="8" t="str">
        <f>IFERROR(__xludf.DUMMYFUNCTION("""COMPUTED_VALUE"""),"Real")</f>
        <v>Real</v>
      </c>
      <c r="G8403" s="8">
        <f t="shared" si="1"/>
        <v>10</v>
      </c>
      <c r="H8403" s="14">
        <f t="shared" si="2"/>
        <v>17</v>
      </c>
      <c r="I8403" s="15">
        <f t="shared" si="3"/>
        <v>3</v>
      </c>
    </row>
    <row r="8404">
      <c r="A8404" s="8" t="str">
        <f>IFERROR(__xludf.DUMMYFUNCTION("IF('(INGESTA)Datos_consumo_datadis'!A8404&lt;&gt;"""",SPLIT('(INGESTA)Datos_consumo_datadis'!A:A,"",""),"""")"),"ES0031408323131005HX0F")</f>
        <v>ES0031408323131005HX0F</v>
      </c>
      <c r="B8404" s="17">
        <f>IFERROR(__xludf.DUMMYFUNCTION("""COMPUTED_VALUE"""),45216.0)</f>
        <v>45216</v>
      </c>
      <c r="C8404" s="13">
        <f>IFERROR(__xludf.DUMMYFUNCTION("""COMPUTED_VALUE"""),0.16666666666666666)</f>
        <v>0.1666666667</v>
      </c>
      <c r="D8404" s="8">
        <f>IFERROR(__xludf.DUMMYFUNCTION("""COMPUTED_VALUE"""),0.022)</f>
        <v>0.022</v>
      </c>
      <c r="E8404" s="8" t="str">
        <f>IFERROR(__xludf.DUMMYFUNCTION("""COMPUTED_VALUE"""),"Real")</f>
        <v>Real</v>
      </c>
      <c r="G8404" s="8">
        <f t="shared" si="1"/>
        <v>10</v>
      </c>
      <c r="H8404" s="14">
        <f t="shared" si="2"/>
        <v>17</v>
      </c>
      <c r="I8404" s="15">
        <f t="shared" si="3"/>
        <v>4</v>
      </c>
    </row>
    <row r="8405">
      <c r="A8405" s="8" t="str">
        <f>IFERROR(__xludf.DUMMYFUNCTION("IF('(INGESTA)Datos_consumo_datadis'!A8405&lt;&gt;"""",SPLIT('(INGESTA)Datos_consumo_datadis'!A:A,"",""),"""")"),"ES0031408323131005HX0F")</f>
        <v>ES0031408323131005HX0F</v>
      </c>
      <c r="B8405" s="17">
        <f>IFERROR(__xludf.DUMMYFUNCTION("""COMPUTED_VALUE"""),45216.0)</f>
        <v>45216</v>
      </c>
      <c r="C8405" s="13">
        <f>IFERROR(__xludf.DUMMYFUNCTION("""COMPUTED_VALUE"""),0.20833333333333334)</f>
        <v>0.2083333333</v>
      </c>
      <c r="D8405" s="8">
        <f>IFERROR(__xludf.DUMMYFUNCTION("""COMPUTED_VALUE"""),0.097)</f>
        <v>0.097</v>
      </c>
      <c r="E8405" s="8" t="str">
        <f>IFERROR(__xludf.DUMMYFUNCTION("""COMPUTED_VALUE"""),"Real")</f>
        <v>Real</v>
      </c>
      <c r="G8405" s="8">
        <f t="shared" si="1"/>
        <v>10</v>
      </c>
      <c r="H8405" s="14">
        <f t="shared" si="2"/>
        <v>17</v>
      </c>
      <c r="I8405" s="15">
        <f t="shared" si="3"/>
        <v>5</v>
      </c>
    </row>
    <row r="8406">
      <c r="A8406" s="8" t="str">
        <f>IFERROR(__xludf.DUMMYFUNCTION("IF('(INGESTA)Datos_consumo_datadis'!A8406&lt;&gt;"""",SPLIT('(INGESTA)Datos_consumo_datadis'!A:A,"",""),"""")"),"ES0031408323131005HX0F")</f>
        <v>ES0031408323131005HX0F</v>
      </c>
      <c r="B8406" s="17">
        <f>IFERROR(__xludf.DUMMYFUNCTION("""COMPUTED_VALUE"""),45216.0)</f>
        <v>45216</v>
      </c>
      <c r="C8406" s="13">
        <f>IFERROR(__xludf.DUMMYFUNCTION("""COMPUTED_VALUE"""),0.25)</f>
        <v>0.25</v>
      </c>
      <c r="D8406" s="8">
        <f>IFERROR(__xludf.DUMMYFUNCTION("""COMPUTED_VALUE"""),0.107)</f>
        <v>0.107</v>
      </c>
      <c r="E8406" s="8" t="str">
        <f>IFERROR(__xludf.DUMMYFUNCTION("""COMPUTED_VALUE"""),"Real")</f>
        <v>Real</v>
      </c>
      <c r="G8406" s="8">
        <f t="shared" si="1"/>
        <v>10</v>
      </c>
      <c r="H8406" s="14">
        <f t="shared" si="2"/>
        <v>17</v>
      </c>
      <c r="I8406" s="15">
        <f t="shared" si="3"/>
        <v>6</v>
      </c>
    </row>
    <row r="8407">
      <c r="A8407" s="8" t="str">
        <f>IFERROR(__xludf.DUMMYFUNCTION("IF('(INGESTA)Datos_consumo_datadis'!A8407&lt;&gt;"""",SPLIT('(INGESTA)Datos_consumo_datadis'!A:A,"",""),"""")"),"ES0031408323131005HX0F")</f>
        <v>ES0031408323131005HX0F</v>
      </c>
      <c r="B8407" s="17">
        <f>IFERROR(__xludf.DUMMYFUNCTION("""COMPUTED_VALUE"""),45216.0)</f>
        <v>45216</v>
      </c>
      <c r="C8407" s="13">
        <f>IFERROR(__xludf.DUMMYFUNCTION("""COMPUTED_VALUE"""),0.2916666666666667)</f>
        <v>0.2916666667</v>
      </c>
      <c r="D8407" s="8">
        <f>IFERROR(__xludf.DUMMYFUNCTION("""COMPUTED_VALUE"""),0.059)</f>
        <v>0.059</v>
      </c>
      <c r="E8407" s="8" t="str">
        <f>IFERROR(__xludf.DUMMYFUNCTION("""COMPUTED_VALUE"""),"Real")</f>
        <v>Real</v>
      </c>
      <c r="G8407" s="8">
        <f t="shared" si="1"/>
        <v>10</v>
      </c>
      <c r="H8407" s="14">
        <f t="shared" si="2"/>
        <v>17</v>
      </c>
      <c r="I8407" s="15">
        <f t="shared" si="3"/>
        <v>7</v>
      </c>
    </row>
    <row r="8408">
      <c r="A8408" s="8" t="str">
        <f>IFERROR(__xludf.DUMMYFUNCTION("IF('(INGESTA)Datos_consumo_datadis'!A8408&lt;&gt;"""",SPLIT('(INGESTA)Datos_consumo_datadis'!A:A,"",""),"""")"),"ES0031408323131005HX0F")</f>
        <v>ES0031408323131005HX0F</v>
      </c>
      <c r="B8408" s="17">
        <f>IFERROR(__xludf.DUMMYFUNCTION("""COMPUTED_VALUE"""),45216.0)</f>
        <v>45216</v>
      </c>
      <c r="C8408" s="13">
        <f>IFERROR(__xludf.DUMMYFUNCTION("""COMPUTED_VALUE"""),0.3333333333333333)</f>
        <v>0.3333333333</v>
      </c>
      <c r="D8408" s="8">
        <f>IFERROR(__xludf.DUMMYFUNCTION("""COMPUTED_VALUE"""),0.397)</f>
        <v>0.397</v>
      </c>
      <c r="E8408" s="8" t="str">
        <f>IFERROR(__xludf.DUMMYFUNCTION("""COMPUTED_VALUE"""),"Real")</f>
        <v>Real</v>
      </c>
      <c r="G8408" s="8">
        <f t="shared" si="1"/>
        <v>10</v>
      </c>
      <c r="H8408" s="14">
        <f t="shared" si="2"/>
        <v>17</v>
      </c>
      <c r="I8408" s="15">
        <f t="shared" si="3"/>
        <v>8</v>
      </c>
    </row>
    <row r="8409">
      <c r="A8409" s="8" t="str">
        <f>IFERROR(__xludf.DUMMYFUNCTION("IF('(INGESTA)Datos_consumo_datadis'!A8409&lt;&gt;"""",SPLIT('(INGESTA)Datos_consumo_datadis'!A:A,"",""),"""")"),"ES0031408323131005HX0F")</f>
        <v>ES0031408323131005HX0F</v>
      </c>
      <c r="B8409" s="17">
        <f>IFERROR(__xludf.DUMMYFUNCTION("""COMPUTED_VALUE"""),45216.0)</f>
        <v>45216</v>
      </c>
      <c r="C8409" s="13">
        <f>IFERROR(__xludf.DUMMYFUNCTION("""COMPUTED_VALUE"""),0.375)</f>
        <v>0.375</v>
      </c>
      <c r="D8409" s="8">
        <f>IFERROR(__xludf.DUMMYFUNCTION("""COMPUTED_VALUE"""),0.062)</f>
        <v>0.062</v>
      </c>
      <c r="E8409" s="8" t="str">
        <f>IFERROR(__xludf.DUMMYFUNCTION("""COMPUTED_VALUE"""),"Real")</f>
        <v>Real</v>
      </c>
      <c r="G8409" s="8">
        <f t="shared" si="1"/>
        <v>10</v>
      </c>
      <c r="H8409" s="14">
        <f t="shared" si="2"/>
        <v>17</v>
      </c>
      <c r="I8409" s="15">
        <f t="shared" si="3"/>
        <v>9</v>
      </c>
    </row>
    <row r="8410">
      <c r="A8410" s="8" t="str">
        <f>IFERROR(__xludf.DUMMYFUNCTION("IF('(INGESTA)Datos_consumo_datadis'!A8410&lt;&gt;"""",SPLIT('(INGESTA)Datos_consumo_datadis'!A:A,"",""),"""")"),"ES0031408323131005HX0F")</f>
        <v>ES0031408323131005HX0F</v>
      </c>
      <c r="B8410" s="17">
        <f>IFERROR(__xludf.DUMMYFUNCTION("""COMPUTED_VALUE"""),45216.0)</f>
        <v>45216</v>
      </c>
      <c r="C8410" s="13">
        <f>IFERROR(__xludf.DUMMYFUNCTION("""COMPUTED_VALUE"""),0.4166666666666667)</f>
        <v>0.4166666667</v>
      </c>
      <c r="D8410" s="8">
        <f>IFERROR(__xludf.DUMMYFUNCTION("""COMPUTED_VALUE"""),0.015)</f>
        <v>0.015</v>
      </c>
      <c r="E8410" s="8" t="str">
        <f>IFERROR(__xludf.DUMMYFUNCTION("""COMPUTED_VALUE"""),"Real")</f>
        <v>Real</v>
      </c>
      <c r="G8410" s="8">
        <f t="shared" si="1"/>
        <v>10</v>
      </c>
      <c r="H8410" s="14">
        <f t="shared" si="2"/>
        <v>17</v>
      </c>
      <c r="I8410" s="15">
        <f t="shared" si="3"/>
        <v>10</v>
      </c>
    </row>
    <row r="8411">
      <c r="A8411" s="8" t="str">
        <f>IFERROR(__xludf.DUMMYFUNCTION("IF('(INGESTA)Datos_consumo_datadis'!A8411&lt;&gt;"""",SPLIT('(INGESTA)Datos_consumo_datadis'!A:A,"",""),"""")"),"ES0031408323131005HX0F")</f>
        <v>ES0031408323131005HX0F</v>
      </c>
      <c r="B8411" s="17">
        <f>IFERROR(__xludf.DUMMYFUNCTION("""COMPUTED_VALUE"""),45216.0)</f>
        <v>45216</v>
      </c>
      <c r="C8411" s="13">
        <f>IFERROR(__xludf.DUMMYFUNCTION("""COMPUTED_VALUE"""),0.4583333333333333)</f>
        <v>0.4583333333</v>
      </c>
      <c r="D8411" s="8">
        <f>IFERROR(__xludf.DUMMYFUNCTION("""COMPUTED_VALUE"""),0.114)</f>
        <v>0.114</v>
      </c>
      <c r="E8411" s="8" t="str">
        <f>IFERROR(__xludf.DUMMYFUNCTION("""COMPUTED_VALUE"""),"Real")</f>
        <v>Real</v>
      </c>
      <c r="G8411" s="8">
        <f t="shared" si="1"/>
        <v>10</v>
      </c>
      <c r="H8411" s="14">
        <f t="shared" si="2"/>
        <v>17</v>
      </c>
      <c r="I8411" s="15">
        <f t="shared" si="3"/>
        <v>11</v>
      </c>
    </row>
    <row r="8412">
      <c r="A8412" s="8" t="str">
        <f>IFERROR(__xludf.DUMMYFUNCTION("IF('(INGESTA)Datos_consumo_datadis'!A8412&lt;&gt;"""",SPLIT('(INGESTA)Datos_consumo_datadis'!A:A,"",""),"""")"),"ES0031408323131005HX0F")</f>
        <v>ES0031408323131005HX0F</v>
      </c>
      <c r="B8412" s="17">
        <f>IFERROR(__xludf.DUMMYFUNCTION("""COMPUTED_VALUE"""),45216.0)</f>
        <v>45216</v>
      </c>
      <c r="C8412" s="13">
        <f>IFERROR(__xludf.DUMMYFUNCTION("""COMPUTED_VALUE"""),0.5)</f>
        <v>0.5</v>
      </c>
      <c r="D8412" s="8">
        <f>IFERROR(__xludf.DUMMYFUNCTION("""COMPUTED_VALUE"""),0.115)</f>
        <v>0.115</v>
      </c>
      <c r="E8412" s="8" t="str">
        <f>IFERROR(__xludf.DUMMYFUNCTION("""COMPUTED_VALUE"""),"Real")</f>
        <v>Real</v>
      </c>
      <c r="G8412" s="8">
        <f t="shared" si="1"/>
        <v>10</v>
      </c>
      <c r="H8412" s="14">
        <f t="shared" si="2"/>
        <v>17</v>
      </c>
      <c r="I8412" s="15">
        <f t="shared" si="3"/>
        <v>12</v>
      </c>
    </row>
    <row r="8413">
      <c r="A8413" s="8" t="str">
        <f>IFERROR(__xludf.DUMMYFUNCTION("IF('(INGESTA)Datos_consumo_datadis'!A8413&lt;&gt;"""",SPLIT('(INGESTA)Datos_consumo_datadis'!A:A,"",""),"""")"),"ES0031408323131005HX0F")</f>
        <v>ES0031408323131005HX0F</v>
      </c>
      <c r="B8413" s="17">
        <f>IFERROR(__xludf.DUMMYFUNCTION("""COMPUTED_VALUE"""),45216.0)</f>
        <v>45216</v>
      </c>
      <c r="C8413" s="13">
        <f>IFERROR(__xludf.DUMMYFUNCTION("""COMPUTED_VALUE"""),0.5416666666666666)</f>
        <v>0.5416666667</v>
      </c>
      <c r="D8413" s="8">
        <f>IFERROR(__xludf.DUMMYFUNCTION("""COMPUTED_VALUE"""),0.109)</f>
        <v>0.109</v>
      </c>
      <c r="E8413" s="8" t="str">
        <f>IFERROR(__xludf.DUMMYFUNCTION("""COMPUTED_VALUE"""),"Real")</f>
        <v>Real</v>
      </c>
      <c r="G8413" s="8">
        <f t="shared" si="1"/>
        <v>10</v>
      </c>
      <c r="H8413" s="14">
        <f t="shared" si="2"/>
        <v>17</v>
      </c>
      <c r="I8413" s="15">
        <f t="shared" si="3"/>
        <v>13</v>
      </c>
    </row>
    <row r="8414">
      <c r="A8414" s="8" t="str">
        <f>IFERROR(__xludf.DUMMYFUNCTION("IF('(INGESTA)Datos_consumo_datadis'!A8414&lt;&gt;"""",SPLIT('(INGESTA)Datos_consumo_datadis'!A:A,"",""),"""")"),"ES0031408323131005HX0F")</f>
        <v>ES0031408323131005HX0F</v>
      </c>
      <c r="B8414" s="17">
        <f>IFERROR(__xludf.DUMMYFUNCTION("""COMPUTED_VALUE"""),45216.0)</f>
        <v>45216</v>
      </c>
      <c r="C8414" s="13">
        <f>IFERROR(__xludf.DUMMYFUNCTION("""COMPUTED_VALUE"""),0.5833333333333334)</f>
        <v>0.5833333333</v>
      </c>
      <c r="D8414" s="8">
        <f>IFERROR(__xludf.DUMMYFUNCTION("""COMPUTED_VALUE"""),0.082)</f>
        <v>0.082</v>
      </c>
      <c r="E8414" s="8" t="str">
        <f>IFERROR(__xludf.DUMMYFUNCTION("""COMPUTED_VALUE"""),"Real")</f>
        <v>Real</v>
      </c>
      <c r="G8414" s="8">
        <f t="shared" si="1"/>
        <v>10</v>
      </c>
      <c r="H8414" s="14">
        <f t="shared" si="2"/>
        <v>17</v>
      </c>
      <c r="I8414" s="15">
        <f t="shared" si="3"/>
        <v>14</v>
      </c>
    </row>
    <row r="8415">
      <c r="A8415" s="8" t="str">
        <f>IFERROR(__xludf.DUMMYFUNCTION("IF('(INGESTA)Datos_consumo_datadis'!A8415&lt;&gt;"""",SPLIT('(INGESTA)Datos_consumo_datadis'!A:A,"",""),"""")"),"ES0031408323131005HX0F")</f>
        <v>ES0031408323131005HX0F</v>
      </c>
      <c r="B8415" s="17">
        <f>IFERROR(__xludf.DUMMYFUNCTION("""COMPUTED_VALUE"""),45216.0)</f>
        <v>45216</v>
      </c>
      <c r="C8415" s="13">
        <f>IFERROR(__xludf.DUMMYFUNCTION("""COMPUTED_VALUE"""),0.625)</f>
        <v>0.625</v>
      </c>
      <c r="D8415" s="8">
        <f>IFERROR(__xludf.DUMMYFUNCTION("""COMPUTED_VALUE"""),0.628)</f>
        <v>0.628</v>
      </c>
      <c r="E8415" s="8" t="str">
        <f>IFERROR(__xludf.DUMMYFUNCTION("""COMPUTED_VALUE"""),"Real")</f>
        <v>Real</v>
      </c>
      <c r="G8415" s="8">
        <f t="shared" si="1"/>
        <v>10</v>
      </c>
      <c r="H8415" s="14">
        <f t="shared" si="2"/>
        <v>17</v>
      </c>
      <c r="I8415" s="15">
        <f t="shared" si="3"/>
        <v>15</v>
      </c>
    </row>
    <row r="8416">
      <c r="A8416" s="8" t="str">
        <f>IFERROR(__xludf.DUMMYFUNCTION("IF('(INGESTA)Datos_consumo_datadis'!A8416&lt;&gt;"""",SPLIT('(INGESTA)Datos_consumo_datadis'!A:A,"",""),"""")"),"ES0031408323131005HX0F")</f>
        <v>ES0031408323131005HX0F</v>
      </c>
      <c r="B8416" s="17">
        <f>IFERROR(__xludf.DUMMYFUNCTION("""COMPUTED_VALUE"""),45216.0)</f>
        <v>45216</v>
      </c>
      <c r="C8416" s="13">
        <f>IFERROR(__xludf.DUMMYFUNCTION("""COMPUTED_VALUE"""),0.6666666666666666)</f>
        <v>0.6666666667</v>
      </c>
      <c r="D8416" s="8">
        <f>IFERROR(__xludf.DUMMYFUNCTION("""COMPUTED_VALUE"""),0.106)</f>
        <v>0.106</v>
      </c>
      <c r="E8416" s="8" t="str">
        <f>IFERROR(__xludf.DUMMYFUNCTION("""COMPUTED_VALUE"""),"Real")</f>
        <v>Real</v>
      </c>
      <c r="G8416" s="8">
        <f t="shared" si="1"/>
        <v>10</v>
      </c>
      <c r="H8416" s="14">
        <f t="shared" si="2"/>
        <v>17</v>
      </c>
      <c r="I8416" s="15">
        <f t="shared" si="3"/>
        <v>16</v>
      </c>
    </row>
    <row r="8417">
      <c r="A8417" s="8" t="str">
        <f>IFERROR(__xludf.DUMMYFUNCTION("IF('(INGESTA)Datos_consumo_datadis'!A8417&lt;&gt;"""",SPLIT('(INGESTA)Datos_consumo_datadis'!A:A,"",""),"""")"),"ES0031408323131005HX0F")</f>
        <v>ES0031408323131005HX0F</v>
      </c>
      <c r="B8417" s="17">
        <f>IFERROR(__xludf.DUMMYFUNCTION("""COMPUTED_VALUE"""),45216.0)</f>
        <v>45216</v>
      </c>
      <c r="C8417" s="13">
        <f>IFERROR(__xludf.DUMMYFUNCTION("""COMPUTED_VALUE"""),0.7083333333333334)</f>
        <v>0.7083333333</v>
      </c>
      <c r="D8417" s="8">
        <f>IFERROR(__xludf.DUMMYFUNCTION("""COMPUTED_VALUE"""),0.049)</f>
        <v>0.049</v>
      </c>
      <c r="E8417" s="8" t="str">
        <f>IFERROR(__xludf.DUMMYFUNCTION("""COMPUTED_VALUE"""),"Real")</f>
        <v>Real</v>
      </c>
      <c r="G8417" s="8">
        <f t="shared" si="1"/>
        <v>10</v>
      </c>
      <c r="H8417" s="14">
        <f t="shared" si="2"/>
        <v>17</v>
      </c>
      <c r="I8417" s="15">
        <f t="shared" si="3"/>
        <v>17</v>
      </c>
    </row>
    <row r="8418">
      <c r="A8418" s="8" t="str">
        <f>IFERROR(__xludf.DUMMYFUNCTION("IF('(INGESTA)Datos_consumo_datadis'!A8418&lt;&gt;"""",SPLIT('(INGESTA)Datos_consumo_datadis'!A:A,"",""),"""")"),"ES0031408323131005HX0F")</f>
        <v>ES0031408323131005HX0F</v>
      </c>
      <c r="B8418" s="17">
        <f>IFERROR(__xludf.DUMMYFUNCTION("""COMPUTED_VALUE"""),45216.0)</f>
        <v>45216</v>
      </c>
      <c r="C8418" s="13">
        <f>IFERROR(__xludf.DUMMYFUNCTION("""COMPUTED_VALUE"""),0.75)</f>
        <v>0.75</v>
      </c>
      <c r="D8418" s="8">
        <f>IFERROR(__xludf.DUMMYFUNCTION("""COMPUTED_VALUE"""),0.015)</f>
        <v>0.015</v>
      </c>
      <c r="E8418" s="8" t="str">
        <f>IFERROR(__xludf.DUMMYFUNCTION("""COMPUTED_VALUE"""),"Real")</f>
        <v>Real</v>
      </c>
      <c r="G8418" s="8">
        <f t="shared" si="1"/>
        <v>10</v>
      </c>
      <c r="H8418" s="14">
        <f t="shared" si="2"/>
        <v>17</v>
      </c>
      <c r="I8418" s="15">
        <f t="shared" si="3"/>
        <v>18</v>
      </c>
    </row>
    <row r="8419">
      <c r="A8419" s="8" t="str">
        <f>IFERROR(__xludf.DUMMYFUNCTION("IF('(INGESTA)Datos_consumo_datadis'!A8419&lt;&gt;"""",SPLIT('(INGESTA)Datos_consumo_datadis'!A:A,"",""),"""")"),"ES0031408323131005HX0F")</f>
        <v>ES0031408323131005HX0F</v>
      </c>
      <c r="B8419" s="17">
        <f>IFERROR(__xludf.DUMMYFUNCTION("""COMPUTED_VALUE"""),45216.0)</f>
        <v>45216</v>
      </c>
      <c r="C8419" s="13">
        <f>IFERROR(__xludf.DUMMYFUNCTION("""COMPUTED_VALUE"""),0.7916666666666666)</f>
        <v>0.7916666667</v>
      </c>
      <c r="D8419" s="8">
        <f>IFERROR(__xludf.DUMMYFUNCTION("""COMPUTED_VALUE"""),0.097)</f>
        <v>0.097</v>
      </c>
      <c r="E8419" s="8" t="str">
        <f>IFERROR(__xludf.DUMMYFUNCTION("""COMPUTED_VALUE"""),"Real")</f>
        <v>Real</v>
      </c>
      <c r="G8419" s="8">
        <f t="shared" si="1"/>
        <v>10</v>
      </c>
      <c r="H8419" s="14">
        <f t="shared" si="2"/>
        <v>17</v>
      </c>
      <c r="I8419" s="15">
        <f t="shared" si="3"/>
        <v>19</v>
      </c>
    </row>
    <row r="8420">
      <c r="A8420" s="8" t="str">
        <f>IFERROR(__xludf.DUMMYFUNCTION("IF('(INGESTA)Datos_consumo_datadis'!A8420&lt;&gt;"""",SPLIT('(INGESTA)Datos_consumo_datadis'!A:A,"",""),"""")"),"ES0031408323131005HX0F")</f>
        <v>ES0031408323131005HX0F</v>
      </c>
      <c r="B8420" s="17">
        <f>IFERROR(__xludf.DUMMYFUNCTION("""COMPUTED_VALUE"""),45216.0)</f>
        <v>45216</v>
      </c>
      <c r="C8420" s="13">
        <f>IFERROR(__xludf.DUMMYFUNCTION("""COMPUTED_VALUE"""),0.8333333333333334)</f>
        <v>0.8333333333</v>
      </c>
      <c r="D8420" s="8">
        <f>IFERROR(__xludf.DUMMYFUNCTION("""COMPUTED_VALUE"""),0.78)</f>
        <v>0.78</v>
      </c>
      <c r="E8420" s="8" t="str">
        <f>IFERROR(__xludf.DUMMYFUNCTION("""COMPUTED_VALUE"""),"Real")</f>
        <v>Real</v>
      </c>
      <c r="G8420" s="8">
        <f t="shared" si="1"/>
        <v>10</v>
      </c>
      <c r="H8420" s="14">
        <f t="shared" si="2"/>
        <v>17</v>
      </c>
      <c r="I8420" s="15">
        <f t="shared" si="3"/>
        <v>20</v>
      </c>
    </row>
    <row r="8421">
      <c r="A8421" s="8" t="str">
        <f>IFERROR(__xludf.DUMMYFUNCTION("IF('(INGESTA)Datos_consumo_datadis'!A8421&lt;&gt;"""",SPLIT('(INGESTA)Datos_consumo_datadis'!A:A,"",""),"""")"),"ES0031408323131005HX0F")</f>
        <v>ES0031408323131005HX0F</v>
      </c>
      <c r="B8421" s="17">
        <f>IFERROR(__xludf.DUMMYFUNCTION("""COMPUTED_VALUE"""),45216.0)</f>
        <v>45216</v>
      </c>
      <c r="C8421" s="13">
        <f>IFERROR(__xludf.DUMMYFUNCTION("""COMPUTED_VALUE"""),0.875)</f>
        <v>0.875</v>
      </c>
      <c r="D8421" s="8">
        <f>IFERROR(__xludf.DUMMYFUNCTION("""COMPUTED_VALUE"""),0.106)</f>
        <v>0.106</v>
      </c>
      <c r="E8421" s="8" t="str">
        <f>IFERROR(__xludf.DUMMYFUNCTION("""COMPUTED_VALUE"""),"Real")</f>
        <v>Real</v>
      </c>
      <c r="G8421" s="8">
        <f t="shared" si="1"/>
        <v>10</v>
      </c>
      <c r="H8421" s="14">
        <f t="shared" si="2"/>
        <v>17</v>
      </c>
      <c r="I8421" s="15">
        <f t="shared" si="3"/>
        <v>21</v>
      </c>
    </row>
    <row r="8422">
      <c r="A8422" s="8" t="str">
        <f>IFERROR(__xludf.DUMMYFUNCTION("IF('(INGESTA)Datos_consumo_datadis'!A8422&lt;&gt;"""",SPLIT('(INGESTA)Datos_consumo_datadis'!A:A,"",""),"""")"),"ES0031408323131005HX0F")</f>
        <v>ES0031408323131005HX0F</v>
      </c>
      <c r="B8422" s="17">
        <f>IFERROR(__xludf.DUMMYFUNCTION("""COMPUTED_VALUE"""),45216.0)</f>
        <v>45216</v>
      </c>
      <c r="C8422" s="13">
        <f>IFERROR(__xludf.DUMMYFUNCTION("""COMPUTED_VALUE"""),0.9166666666666666)</f>
        <v>0.9166666667</v>
      </c>
      <c r="D8422" s="8">
        <f>IFERROR(__xludf.DUMMYFUNCTION("""COMPUTED_VALUE"""),1.893)</f>
        <v>1.893</v>
      </c>
      <c r="E8422" s="8" t="str">
        <f>IFERROR(__xludf.DUMMYFUNCTION("""COMPUTED_VALUE"""),"Real")</f>
        <v>Real</v>
      </c>
      <c r="G8422" s="8">
        <f t="shared" si="1"/>
        <v>10</v>
      </c>
      <c r="H8422" s="14">
        <f t="shared" si="2"/>
        <v>17</v>
      </c>
      <c r="I8422" s="15">
        <f t="shared" si="3"/>
        <v>22</v>
      </c>
    </row>
    <row r="8423">
      <c r="A8423" s="8" t="str">
        <f>IFERROR(__xludf.DUMMYFUNCTION("IF('(INGESTA)Datos_consumo_datadis'!A8423&lt;&gt;"""",SPLIT('(INGESTA)Datos_consumo_datadis'!A:A,"",""),"""")"),"ES0031408323131005HX0F")</f>
        <v>ES0031408323131005HX0F</v>
      </c>
      <c r="B8423" s="17">
        <f>IFERROR(__xludf.DUMMYFUNCTION("""COMPUTED_VALUE"""),45216.0)</f>
        <v>45216</v>
      </c>
      <c r="C8423" s="13">
        <f>IFERROR(__xludf.DUMMYFUNCTION("""COMPUTED_VALUE"""),0.9583333333333334)</f>
        <v>0.9583333333</v>
      </c>
      <c r="D8423" s="8">
        <f>IFERROR(__xludf.DUMMYFUNCTION("""COMPUTED_VALUE"""),0.333)</f>
        <v>0.333</v>
      </c>
      <c r="E8423" s="8" t="str">
        <f>IFERROR(__xludf.DUMMYFUNCTION("""COMPUTED_VALUE"""),"Real")</f>
        <v>Real</v>
      </c>
      <c r="G8423" s="8">
        <f t="shared" si="1"/>
        <v>10</v>
      </c>
      <c r="H8423" s="14">
        <f t="shared" si="2"/>
        <v>17</v>
      </c>
      <c r="I8423" s="15">
        <f t="shared" si="3"/>
        <v>23</v>
      </c>
    </row>
    <row r="8424">
      <c r="A8424" s="8" t="str">
        <f>IFERROR(__xludf.DUMMYFUNCTION("IF('(INGESTA)Datos_consumo_datadis'!A8424&lt;&gt;"""",SPLIT('(INGESTA)Datos_consumo_datadis'!A:A,"",""),"""")"),"ES0031408323131005HX0F")</f>
        <v>ES0031408323131005HX0F</v>
      </c>
      <c r="B8424" s="17">
        <f>IFERROR(__xludf.DUMMYFUNCTION("""COMPUTED_VALUE"""),45216.0)</f>
        <v>45216</v>
      </c>
      <c r="C8424" s="16">
        <f>IFERROR(__xludf.DUMMYFUNCTION("""COMPUTED_VALUE"""),1.0)</f>
        <v>1</v>
      </c>
      <c r="D8424" s="8">
        <f>IFERROR(__xludf.DUMMYFUNCTION("""COMPUTED_VALUE"""),0.215)</f>
        <v>0.215</v>
      </c>
      <c r="E8424" s="8" t="str">
        <f>IFERROR(__xludf.DUMMYFUNCTION("""COMPUTED_VALUE"""),"Real")</f>
        <v>Real</v>
      </c>
      <c r="G8424" s="8">
        <f t="shared" si="1"/>
        <v>10</v>
      </c>
      <c r="H8424" s="14">
        <f t="shared" si="2"/>
        <v>17</v>
      </c>
      <c r="I8424" s="15">
        <f t="shared" si="3"/>
        <v>0</v>
      </c>
    </row>
    <row r="8425">
      <c r="A8425" s="8" t="str">
        <f>IFERROR(__xludf.DUMMYFUNCTION("IF('(INGESTA)Datos_consumo_datadis'!A8425&lt;&gt;"""",SPLIT('(INGESTA)Datos_consumo_datadis'!A:A,"",""),"""")"),"ES0031408323131005HX0F")</f>
        <v>ES0031408323131005HX0F</v>
      </c>
      <c r="B8425" s="17">
        <f>IFERROR(__xludf.DUMMYFUNCTION("""COMPUTED_VALUE"""),45217.0)</f>
        <v>45217</v>
      </c>
      <c r="C8425" s="13">
        <f>IFERROR(__xludf.DUMMYFUNCTION("""COMPUTED_VALUE"""),0.041666666666666664)</f>
        <v>0.04166666667</v>
      </c>
      <c r="D8425" s="8">
        <f>IFERROR(__xludf.DUMMYFUNCTION("""COMPUTED_VALUE"""),0.231)</f>
        <v>0.231</v>
      </c>
      <c r="E8425" s="8" t="str">
        <f>IFERROR(__xludf.DUMMYFUNCTION("""COMPUTED_VALUE"""),"Real")</f>
        <v>Real</v>
      </c>
      <c r="G8425" s="8">
        <f t="shared" si="1"/>
        <v>10</v>
      </c>
      <c r="H8425" s="14">
        <f t="shared" si="2"/>
        <v>18</v>
      </c>
      <c r="I8425" s="15">
        <f t="shared" si="3"/>
        <v>1</v>
      </c>
    </row>
    <row r="8426">
      <c r="A8426" s="8" t="str">
        <f>IFERROR(__xludf.DUMMYFUNCTION("IF('(INGESTA)Datos_consumo_datadis'!A8426&lt;&gt;"""",SPLIT('(INGESTA)Datos_consumo_datadis'!A:A,"",""),"""")"),"ES0031408323131005HX0F")</f>
        <v>ES0031408323131005HX0F</v>
      </c>
      <c r="B8426" s="17">
        <f>IFERROR(__xludf.DUMMYFUNCTION("""COMPUTED_VALUE"""),45217.0)</f>
        <v>45217</v>
      </c>
      <c r="C8426" s="13">
        <f>IFERROR(__xludf.DUMMYFUNCTION("""COMPUTED_VALUE"""),0.08333333333333333)</f>
        <v>0.08333333333</v>
      </c>
      <c r="D8426" s="8">
        <f>IFERROR(__xludf.DUMMYFUNCTION("""COMPUTED_VALUE"""),0.517)</f>
        <v>0.517</v>
      </c>
      <c r="E8426" s="8" t="str">
        <f>IFERROR(__xludf.DUMMYFUNCTION("""COMPUTED_VALUE"""),"Real")</f>
        <v>Real</v>
      </c>
      <c r="G8426" s="8">
        <f t="shared" si="1"/>
        <v>10</v>
      </c>
      <c r="H8426" s="14">
        <f t="shared" si="2"/>
        <v>18</v>
      </c>
      <c r="I8426" s="15">
        <f t="shared" si="3"/>
        <v>2</v>
      </c>
    </row>
    <row r="8427">
      <c r="A8427" s="8" t="str">
        <f>IFERROR(__xludf.DUMMYFUNCTION("IF('(INGESTA)Datos_consumo_datadis'!A8427&lt;&gt;"""",SPLIT('(INGESTA)Datos_consumo_datadis'!A:A,"",""),"""")"),"ES0031408323131005HX0F")</f>
        <v>ES0031408323131005HX0F</v>
      </c>
      <c r="B8427" s="17">
        <f>IFERROR(__xludf.DUMMYFUNCTION("""COMPUTED_VALUE"""),45217.0)</f>
        <v>45217</v>
      </c>
      <c r="C8427" s="13">
        <f>IFERROR(__xludf.DUMMYFUNCTION("""COMPUTED_VALUE"""),0.125)</f>
        <v>0.125</v>
      </c>
      <c r="D8427" s="8">
        <f>IFERROR(__xludf.DUMMYFUNCTION("""COMPUTED_VALUE"""),0.237)</f>
        <v>0.237</v>
      </c>
      <c r="E8427" s="8" t="str">
        <f>IFERROR(__xludf.DUMMYFUNCTION("""COMPUTED_VALUE"""),"Real")</f>
        <v>Real</v>
      </c>
      <c r="G8427" s="8">
        <f t="shared" si="1"/>
        <v>10</v>
      </c>
      <c r="H8427" s="14">
        <f t="shared" si="2"/>
        <v>18</v>
      </c>
      <c r="I8427" s="15">
        <f t="shared" si="3"/>
        <v>3</v>
      </c>
    </row>
    <row r="8428">
      <c r="A8428" s="8" t="str">
        <f>IFERROR(__xludf.DUMMYFUNCTION("IF('(INGESTA)Datos_consumo_datadis'!A8428&lt;&gt;"""",SPLIT('(INGESTA)Datos_consumo_datadis'!A:A,"",""),"""")"),"ES0031408323131005HX0F")</f>
        <v>ES0031408323131005HX0F</v>
      </c>
      <c r="B8428" s="17">
        <f>IFERROR(__xludf.DUMMYFUNCTION("""COMPUTED_VALUE"""),45217.0)</f>
        <v>45217</v>
      </c>
      <c r="C8428" s="13">
        <f>IFERROR(__xludf.DUMMYFUNCTION("""COMPUTED_VALUE"""),0.16666666666666666)</f>
        <v>0.1666666667</v>
      </c>
      <c r="D8428" s="8">
        <f>IFERROR(__xludf.DUMMYFUNCTION("""COMPUTED_VALUE"""),0.131)</f>
        <v>0.131</v>
      </c>
      <c r="E8428" s="8" t="str">
        <f>IFERROR(__xludf.DUMMYFUNCTION("""COMPUTED_VALUE"""),"Real")</f>
        <v>Real</v>
      </c>
      <c r="G8428" s="8">
        <f t="shared" si="1"/>
        <v>10</v>
      </c>
      <c r="H8428" s="14">
        <f t="shared" si="2"/>
        <v>18</v>
      </c>
      <c r="I8428" s="15">
        <f t="shared" si="3"/>
        <v>4</v>
      </c>
    </row>
    <row r="8429">
      <c r="A8429" s="8" t="str">
        <f>IFERROR(__xludf.DUMMYFUNCTION("IF('(INGESTA)Datos_consumo_datadis'!A8429&lt;&gt;"""",SPLIT('(INGESTA)Datos_consumo_datadis'!A:A,"",""),"""")"),"ES0031408323131005HX0F")</f>
        <v>ES0031408323131005HX0F</v>
      </c>
      <c r="B8429" s="17">
        <f>IFERROR(__xludf.DUMMYFUNCTION("""COMPUTED_VALUE"""),45217.0)</f>
        <v>45217</v>
      </c>
      <c r="C8429" s="13">
        <f>IFERROR(__xludf.DUMMYFUNCTION("""COMPUTED_VALUE"""),0.20833333333333334)</f>
        <v>0.2083333333</v>
      </c>
      <c r="D8429" s="8">
        <f>IFERROR(__xludf.DUMMYFUNCTION("""COMPUTED_VALUE"""),0.204)</f>
        <v>0.204</v>
      </c>
      <c r="E8429" s="8" t="str">
        <f>IFERROR(__xludf.DUMMYFUNCTION("""COMPUTED_VALUE"""),"Real")</f>
        <v>Real</v>
      </c>
      <c r="G8429" s="8">
        <f t="shared" si="1"/>
        <v>10</v>
      </c>
      <c r="H8429" s="14">
        <f t="shared" si="2"/>
        <v>18</v>
      </c>
      <c r="I8429" s="15">
        <f t="shared" si="3"/>
        <v>5</v>
      </c>
    </row>
    <row r="8430">
      <c r="A8430" s="8" t="str">
        <f>IFERROR(__xludf.DUMMYFUNCTION("IF('(INGESTA)Datos_consumo_datadis'!A8430&lt;&gt;"""",SPLIT('(INGESTA)Datos_consumo_datadis'!A:A,"",""),"""")"),"ES0031408323131005HX0F")</f>
        <v>ES0031408323131005HX0F</v>
      </c>
      <c r="B8430" s="17">
        <f>IFERROR(__xludf.DUMMYFUNCTION("""COMPUTED_VALUE"""),45217.0)</f>
        <v>45217</v>
      </c>
      <c r="C8430" s="13">
        <f>IFERROR(__xludf.DUMMYFUNCTION("""COMPUTED_VALUE"""),0.25)</f>
        <v>0.25</v>
      </c>
      <c r="D8430" s="8">
        <f>IFERROR(__xludf.DUMMYFUNCTION("""COMPUTED_VALUE"""),0.211)</f>
        <v>0.211</v>
      </c>
      <c r="E8430" s="8" t="str">
        <f>IFERROR(__xludf.DUMMYFUNCTION("""COMPUTED_VALUE"""),"Real")</f>
        <v>Real</v>
      </c>
      <c r="G8430" s="8">
        <f t="shared" si="1"/>
        <v>10</v>
      </c>
      <c r="H8430" s="14">
        <f t="shared" si="2"/>
        <v>18</v>
      </c>
      <c r="I8430" s="15">
        <f t="shared" si="3"/>
        <v>6</v>
      </c>
    </row>
    <row r="8431">
      <c r="A8431" s="8" t="str">
        <f>IFERROR(__xludf.DUMMYFUNCTION("IF('(INGESTA)Datos_consumo_datadis'!A8431&lt;&gt;"""",SPLIT('(INGESTA)Datos_consumo_datadis'!A:A,"",""),"""")"),"ES0031408323131005HX0F")</f>
        <v>ES0031408323131005HX0F</v>
      </c>
      <c r="B8431" s="17">
        <f>IFERROR(__xludf.DUMMYFUNCTION("""COMPUTED_VALUE"""),45217.0)</f>
        <v>45217</v>
      </c>
      <c r="C8431" s="13">
        <f>IFERROR(__xludf.DUMMYFUNCTION("""COMPUTED_VALUE"""),0.2916666666666667)</f>
        <v>0.2916666667</v>
      </c>
      <c r="D8431" s="8">
        <f>IFERROR(__xludf.DUMMYFUNCTION("""COMPUTED_VALUE"""),0.166)</f>
        <v>0.166</v>
      </c>
      <c r="E8431" s="8" t="str">
        <f>IFERROR(__xludf.DUMMYFUNCTION("""COMPUTED_VALUE"""),"Real")</f>
        <v>Real</v>
      </c>
      <c r="G8431" s="8">
        <f t="shared" si="1"/>
        <v>10</v>
      </c>
      <c r="H8431" s="14">
        <f t="shared" si="2"/>
        <v>18</v>
      </c>
      <c r="I8431" s="15">
        <f t="shared" si="3"/>
        <v>7</v>
      </c>
    </row>
    <row r="8432">
      <c r="A8432" s="8" t="str">
        <f>IFERROR(__xludf.DUMMYFUNCTION("IF('(INGESTA)Datos_consumo_datadis'!A8432&lt;&gt;"""",SPLIT('(INGESTA)Datos_consumo_datadis'!A:A,"",""),"""")"),"ES0031408323131005HX0F")</f>
        <v>ES0031408323131005HX0F</v>
      </c>
      <c r="B8432" s="17">
        <f>IFERROR(__xludf.DUMMYFUNCTION("""COMPUTED_VALUE"""),45217.0)</f>
        <v>45217</v>
      </c>
      <c r="C8432" s="13">
        <f>IFERROR(__xludf.DUMMYFUNCTION("""COMPUTED_VALUE"""),0.3333333333333333)</f>
        <v>0.3333333333</v>
      </c>
      <c r="D8432" s="8">
        <f>IFERROR(__xludf.DUMMYFUNCTION("""COMPUTED_VALUE"""),0.123)</f>
        <v>0.123</v>
      </c>
      <c r="E8432" s="8" t="str">
        <f>IFERROR(__xludf.DUMMYFUNCTION("""COMPUTED_VALUE"""),"Real")</f>
        <v>Real</v>
      </c>
      <c r="G8432" s="8">
        <f t="shared" si="1"/>
        <v>10</v>
      </c>
      <c r="H8432" s="14">
        <f t="shared" si="2"/>
        <v>18</v>
      </c>
      <c r="I8432" s="15">
        <f t="shared" si="3"/>
        <v>8</v>
      </c>
    </row>
    <row r="8433">
      <c r="A8433" s="8" t="str">
        <f>IFERROR(__xludf.DUMMYFUNCTION("IF('(INGESTA)Datos_consumo_datadis'!A8433&lt;&gt;"""",SPLIT('(INGESTA)Datos_consumo_datadis'!A:A,"",""),"""")"),"ES0031408323131005HX0F")</f>
        <v>ES0031408323131005HX0F</v>
      </c>
      <c r="B8433" s="17">
        <f>IFERROR(__xludf.DUMMYFUNCTION("""COMPUTED_VALUE"""),45217.0)</f>
        <v>45217</v>
      </c>
      <c r="C8433" s="13">
        <f>IFERROR(__xludf.DUMMYFUNCTION("""COMPUTED_VALUE"""),0.375)</f>
        <v>0.375</v>
      </c>
      <c r="D8433" s="8">
        <f>IFERROR(__xludf.DUMMYFUNCTION("""COMPUTED_VALUE"""),0.303)</f>
        <v>0.303</v>
      </c>
      <c r="E8433" s="8" t="str">
        <f>IFERROR(__xludf.DUMMYFUNCTION("""COMPUTED_VALUE"""),"Real")</f>
        <v>Real</v>
      </c>
      <c r="G8433" s="8">
        <f t="shared" si="1"/>
        <v>10</v>
      </c>
      <c r="H8433" s="14">
        <f t="shared" si="2"/>
        <v>18</v>
      </c>
      <c r="I8433" s="15">
        <f t="shared" si="3"/>
        <v>9</v>
      </c>
    </row>
    <row r="8434">
      <c r="A8434" s="8" t="str">
        <f>IFERROR(__xludf.DUMMYFUNCTION("IF('(INGESTA)Datos_consumo_datadis'!A8434&lt;&gt;"""",SPLIT('(INGESTA)Datos_consumo_datadis'!A:A,"",""),"""")"),"ES0031408323131005HX0F")</f>
        <v>ES0031408323131005HX0F</v>
      </c>
      <c r="B8434" s="17">
        <f>IFERROR(__xludf.DUMMYFUNCTION("""COMPUTED_VALUE"""),45217.0)</f>
        <v>45217</v>
      </c>
      <c r="C8434" s="13">
        <f>IFERROR(__xludf.DUMMYFUNCTION("""COMPUTED_VALUE"""),0.4166666666666667)</f>
        <v>0.4166666667</v>
      </c>
      <c r="D8434" s="8">
        <f>IFERROR(__xludf.DUMMYFUNCTION("""COMPUTED_VALUE"""),0.121)</f>
        <v>0.121</v>
      </c>
      <c r="E8434" s="8" t="str">
        <f>IFERROR(__xludf.DUMMYFUNCTION("""COMPUTED_VALUE"""),"Real")</f>
        <v>Real</v>
      </c>
      <c r="G8434" s="8">
        <f t="shared" si="1"/>
        <v>10</v>
      </c>
      <c r="H8434" s="14">
        <f t="shared" si="2"/>
        <v>18</v>
      </c>
      <c r="I8434" s="15">
        <f t="shared" si="3"/>
        <v>10</v>
      </c>
    </row>
    <row r="8435">
      <c r="A8435" s="8" t="str">
        <f>IFERROR(__xludf.DUMMYFUNCTION("IF('(INGESTA)Datos_consumo_datadis'!A8435&lt;&gt;"""",SPLIT('(INGESTA)Datos_consumo_datadis'!A:A,"",""),"""")"),"ES0031408323131005HX0F")</f>
        <v>ES0031408323131005HX0F</v>
      </c>
      <c r="B8435" s="17">
        <f>IFERROR(__xludf.DUMMYFUNCTION("""COMPUTED_VALUE"""),45217.0)</f>
        <v>45217</v>
      </c>
      <c r="C8435" s="13">
        <f>IFERROR(__xludf.DUMMYFUNCTION("""COMPUTED_VALUE"""),0.4583333333333333)</f>
        <v>0.4583333333</v>
      </c>
      <c r="D8435" s="8">
        <f>IFERROR(__xludf.DUMMYFUNCTION("""COMPUTED_VALUE"""),0.144)</f>
        <v>0.144</v>
      </c>
      <c r="E8435" s="8" t="str">
        <f>IFERROR(__xludf.DUMMYFUNCTION("""COMPUTED_VALUE"""),"Real")</f>
        <v>Real</v>
      </c>
      <c r="G8435" s="8">
        <f t="shared" si="1"/>
        <v>10</v>
      </c>
      <c r="H8435" s="14">
        <f t="shared" si="2"/>
        <v>18</v>
      </c>
      <c r="I8435" s="15">
        <f t="shared" si="3"/>
        <v>11</v>
      </c>
    </row>
    <row r="8436">
      <c r="A8436" s="8" t="str">
        <f>IFERROR(__xludf.DUMMYFUNCTION("IF('(INGESTA)Datos_consumo_datadis'!A8436&lt;&gt;"""",SPLIT('(INGESTA)Datos_consumo_datadis'!A:A,"",""),"""")"),"ES0031408323131005HX0F")</f>
        <v>ES0031408323131005HX0F</v>
      </c>
      <c r="B8436" s="17">
        <f>IFERROR(__xludf.DUMMYFUNCTION("""COMPUTED_VALUE"""),45217.0)</f>
        <v>45217</v>
      </c>
      <c r="C8436" s="13">
        <f>IFERROR(__xludf.DUMMYFUNCTION("""COMPUTED_VALUE"""),0.5)</f>
        <v>0.5</v>
      </c>
      <c r="D8436" s="8">
        <f>IFERROR(__xludf.DUMMYFUNCTION("""COMPUTED_VALUE"""),0.135)</f>
        <v>0.135</v>
      </c>
      <c r="E8436" s="8" t="str">
        <f>IFERROR(__xludf.DUMMYFUNCTION("""COMPUTED_VALUE"""),"Real")</f>
        <v>Real</v>
      </c>
      <c r="G8436" s="8">
        <f t="shared" si="1"/>
        <v>10</v>
      </c>
      <c r="H8436" s="14">
        <f t="shared" si="2"/>
        <v>18</v>
      </c>
      <c r="I8436" s="15">
        <f t="shared" si="3"/>
        <v>12</v>
      </c>
    </row>
    <row r="8437">
      <c r="A8437" s="8" t="str">
        <f>IFERROR(__xludf.DUMMYFUNCTION("IF('(INGESTA)Datos_consumo_datadis'!A8437&lt;&gt;"""",SPLIT('(INGESTA)Datos_consumo_datadis'!A:A,"",""),"""")"),"ES0031408323131005HX0F")</f>
        <v>ES0031408323131005HX0F</v>
      </c>
      <c r="B8437" s="17">
        <f>IFERROR(__xludf.DUMMYFUNCTION("""COMPUTED_VALUE"""),45217.0)</f>
        <v>45217</v>
      </c>
      <c r="C8437" s="13">
        <f>IFERROR(__xludf.DUMMYFUNCTION("""COMPUTED_VALUE"""),0.5416666666666666)</f>
        <v>0.5416666667</v>
      </c>
      <c r="D8437" s="8">
        <f>IFERROR(__xludf.DUMMYFUNCTION("""COMPUTED_VALUE"""),0.055)</f>
        <v>0.055</v>
      </c>
      <c r="E8437" s="8" t="str">
        <f>IFERROR(__xludf.DUMMYFUNCTION("""COMPUTED_VALUE"""),"Real")</f>
        <v>Real</v>
      </c>
      <c r="G8437" s="8">
        <f t="shared" si="1"/>
        <v>10</v>
      </c>
      <c r="H8437" s="14">
        <f t="shared" si="2"/>
        <v>18</v>
      </c>
      <c r="I8437" s="15">
        <f t="shared" si="3"/>
        <v>13</v>
      </c>
    </row>
    <row r="8438">
      <c r="A8438" s="8" t="str">
        <f>IFERROR(__xludf.DUMMYFUNCTION("IF('(INGESTA)Datos_consumo_datadis'!A8438&lt;&gt;"""",SPLIT('(INGESTA)Datos_consumo_datadis'!A:A,"",""),"""")"),"ES0031408323131005HX0F")</f>
        <v>ES0031408323131005HX0F</v>
      </c>
      <c r="B8438" s="17">
        <f>IFERROR(__xludf.DUMMYFUNCTION("""COMPUTED_VALUE"""),45217.0)</f>
        <v>45217</v>
      </c>
      <c r="C8438" s="13">
        <f>IFERROR(__xludf.DUMMYFUNCTION("""COMPUTED_VALUE"""),0.5833333333333334)</f>
        <v>0.5833333333</v>
      </c>
      <c r="D8438" s="8">
        <f>IFERROR(__xludf.DUMMYFUNCTION("""COMPUTED_VALUE"""),0.087)</f>
        <v>0.087</v>
      </c>
      <c r="E8438" s="8" t="str">
        <f>IFERROR(__xludf.DUMMYFUNCTION("""COMPUTED_VALUE"""),"Real")</f>
        <v>Real</v>
      </c>
      <c r="G8438" s="8">
        <f t="shared" si="1"/>
        <v>10</v>
      </c>
      <c r="H8438" s="14">
        <f t="shared" si="2"/>
        <v>18</v>
      </c>
      <c r="I8438" s="15">
        <f t="shared" si="3"/>
        <v>14</v>
      </c>
    </row>
    <row r="8439">
      <c r="A8439" s="8" t="str">
        <f>IFERROR(__xludf.DUMMYFUNCTION("IF('(INGESTA)Datos_consumo_datadis'!A8439&lt;&gt;"""",SPLIT('(INGESTA)Datos_consumo_datadis'!A:A,"",""),"""")"),"ES0031408323131005HX0F")</f>
        <v>ES0031408323131005HX0F</v>
      </c>
      <c r="B8439" s="17">
        <f>IFERROR(__xludf.DUMMYFUNCTION("""COMPUTED_VALUE"""),45217.0)</f>
        <v>45217</v>
      </c>
      <c r="C8439" s="13">
        <f>IFERROR(__xludf.DUMMYFUNCTION("""COMPUTED_VALUE"""),0.625)</f>
        <v>0.625</v>
      </c>
      <c r="D8439" s="8">
        <f>IFERROR(__xludf.DUMMYFUNCTION("""COMPUTED_VALUE"""),0.093)</f>
        <v>0.093</v>
      </c>
      <c r="E8439" s="8" t="str">
        <f>IFERROR(__xludf.DUMMYFUNCTION("""COMPUTED_VALUE"""),"Real")</f>
        <v>Real</v>
      </c>
      <c r="G8439" s="8">
        <f t="shared" si="1"/>
        <v>10</v>
      </c>
      <c r="H8439" s="14">
        <f t="shared" si="2"/>
        <v>18</v>
      </c>
      <c r="I8439" s="15">
        <f t="shared" si="3"/>
        <v>15</v>
      </c>
    </row>
    <row r="8440">
      <c r="A8440" s="8" t="str">
        <f>IFERROR(__xludf.DUMMYFUNCTION("IF('(INGESTA)Datos_consumo_datadis'!A8440&lt;&gt;"""",SPLIT('(INGESTA)Datos_consumo_datadis'!A:A,"",""),"""")"),"ES0031408323131005HX0F")</f>
        <v>ES0031408323131005HX0F</v>
      </c>
      <c r="B8440" s="17">
        <f>IFERROR(__xludf.DUMMYFUNCTION("""COMPUTED_VALUE"""),45217.0)</f>
        <v>45217</v>
      </c>
      <c r="C8440" s="13">
        <f>IFERROR(__xludf.DUMMYFUNCTION("""COMPUTED_VALUE"""),0.6666666666666666)</f>
        <v>0.6666666667</v>
      </c>
      <c r="D8440" s="8">
        <f>IFERROR(__xludf.DUMMYFUNCTION("""COMPUTED_VALUE"""),0.071)</f>
        <v>0.071</v>
      </c>
      <c r="E8440" s="8" t="str">
        <f>IFERROR(__xludf.DUMMYFUNCTION("""COMPUTED_VALUE"""),"Real")</f>
        <v>Real</v>
      </c>
      <c r="G8440" s="8">
        <f t="shared" si="1"/>
        <v>10</v>
      </c>
      <c r="H8440" s="14">
        <f t="shared" si="2"/>
        <v>18</v>
      </c>
      <c r="I8440" s="15">
        <f t="shared" si="3"/>
        <v>16</v>
      </c>
    </row>
    <row r="8441">
      <c r="A8441" s="8" t="str">
        <f>IFERROR(__xludf.DUMMYFUNCTION("IF('(INGESTA)Datos_consumo_datadis'!A8441&lt;&gt;"""",SPLIT('(INGESTA)Datos_consumo_datadis'!A:A,"",""),"""")"),"ES0031408323131005HX0F")</f>
        <v>ES0031408323131005HX0F</v>
      </c>
      <c r="B8441" s="17">
        <f>IFERROR(__xludf.DUMMYFUNCTION("""COMPUTED_VALUE"""),45217.0)</f>
        <v>45217</v>
      </c>
      <c r="C8441" s="13">
        <f>IFERROR(__xludf.DUMMYFUNCTION("""COMPUTED_VALUE"""),0.7083333333333334)</f>
        <v>0.7083333333</v>
      </c>
      <c r="D8441" s="8">
        <f>IFERROR(__xludf.DUMMYFUNCTION("""COMPUTED_VALUE"""),0.306)</f>
        <v>0.306</v>
      </c>
      <c r="E8441" s="8" t="str">
        <f>IFERROR(__xludf.DUMMYFUNCTION("""COMPUTED_VALUE"""),"Real")</f>
        <v>Real</v>
      </c>
      <c r="G8441" s="8">
        <f t="shared" si="1"/>
        <v>10</v>
      </c>
      <c r="H8441" s="14">
        <f t="shared" si="2"/>
        <v>18</v>
      </c>
      <c r="I8441" s="15">
        <f t="shared" si="3"/>
        <v>17</v>
      </c>
    </row>
    <row r="8442">
      <c r="A8442" s="8" t="str">
        <f>IFERROR(__xludf.DUMMYFUNCTION("IF('(INGESTA)Datos_consumo_datadis'!A8442&lt;&gt;"""",SPLIT('(INGESTA)Datos_consumo_datadis'!A:A,"",""),"""")"),"ES0031408323131005HX0F")</f>
        <v>ES0031408323131005HX0F</v>
      </c>
      <c r="B8442" s="17">
        <f>IFERROR(__xludf.DUMMYFUNCTION("""COMPUTED_VALUE"""),45217.0)</f>
        <v>45217</v>
      </c>
      <c r="C8442" s="13">
        <f>IFERROR(__xludf.DUMMYFUNCTION("""COMPUTED_VALUE"""),0.75)</f>
        <v>0.75</v>
      </c>
      <c r="D8442" s="8">
        <f>IFERROR(__xludf.DUMMYFUNCTION("""COMPUTED_VALUE"""),0.084)</f>
        <v>0.084</v>
      </c>
      <c r="E8442" s="8" t="str">
        <f>IFERROR(__xludf.DUMMYFUNCTION("""COMPUTED_VALUE"""),"Real")</f>
        <v>Real</v>
      </c>
      <c r="G8442" s="8">
        <f t="shared" si="1"/>
        <v>10</v>
      </c>
      <c r="H8442" s="14">
        <f t="shared" si="2"/>
        <v>18</v>
      </c>
      <c r="I8442" s="15">
        <f t="shared" si="3"/>
        <v>18</v>
      </c>
    </row>
    <row r="8443">
      <c r="A8443" s="8" t="str">
        <f>IFERROR(__xludf.DUMMYFUNCTION("IF('(INGESTA)Datos_consumo_datadis'!A8443&lt;&gt;"""",SPLIT('(INGESTA)Datos_consumo_datadis'!A:A,"",""),"""")"),"ES0031408323131005HX0F")</f>
        <v>ES0031408323131005HX0F</v>
      </c>
      <c r="B8443" s="17">
        <f>IFERROR(__xludf.DUMMYFUNCTION("""COMPUTED_VALUE"""),45217.0)</f>
        <v>45217</v>
      </c>
      <c r="C8443" s="13">
        <f>IFERROR(__xludf.DUMMYFUNCTION("""COMPUTED_VALUE"""),0.7916666666666666)</f>
        <v>0.7916666667</v>
      </c>
      <c r="D8443" s="8">
        <f>IFERROR(__xludf.DUMMYFUNCTION("""COMPUTED_VALUE"""),0.099)</f>
        <v>0.099</v>
      </c>
      <c r="E8443" s="8" t="str">
        <f>IFERROR(__xludf.DUMMYFUNCTION("""COMPUTED_VALUE"""),"Real")</f>
        <v>Real</v>
      </c>
      <c r="G8443" s="8">
        <f t="shared" si="1"/>
        <v>10</v>
      </c>
      <c r="H8443" s="14">
        <f t="shared" si="2"/>
        <v>18</v>
      </c>
      <c r="I8443" s="15">
        <f t="shared" si="3"/>
        <v>19</v>
      </c>
    </row>
    <row r="8444">
      <c r="A8444" s="8" t="str">
        <f>IFERROR(__xludf.DUMMYFUNCTION("IF('(INGESTA)Datos_consumo_datadis'!A8444&lt;&gt;"""",SPLIT('(INGESTA)Datos_consumo_datadis'!A:A,"",""),"""")"),"ES0031408323131005HX0F")</f>
        <v>ES0031408323131005HX0F</v>
      </c>
      <c r="B8444" s="17">
        <f>IFERROR(__xludf.DUMMYFUNCTION("""COMPUTED_VALUE"""),45217.0)</f>
        <v>45217</v>
      </c>
      <c r="C8444" s="13">
        <f>IFERROR(__xludf.DUMMYFUNCTION("""COMPUTED_VALUE"""),0.8333333333333334)</f>
        <v>0.8333333333</v>
      </c>
      <c r="D8444" s="8">
        <f>IFERROR(__xludf.DUMMYFUNCTION("""COMPUTED_VALUE"""),0.165)</f>
        <v>0.165</v>
      </c>
      <c r="E8444" s="8" t="str">
        <f>IFERROR(__xludf.DUMMYFUNCTION("""COMPUTED_VALUE"""),"Real")</f>
        <v>Real</v>
      </c>
      <c r="G8444" s="8">
        <f t="shared" si="1"/>
        <v>10</v>
      </c>
      <c r="H8444" s="14">
        <f t="shared" si="2"/>
        <v>18</v>
      </c>
      <c r="I8444" s="15">
        <f t="shared" si="3"/>
        <v>20</v>
      </c>
    </row>
    <row r="8445">
      <c r="A8445" s="8" t="str">
        <f>IFERROR(__xludf.DUMMYFUNCTION("IF('(INGESTA)Datos_consumo_datadis'!A8445&lt;&gt;"""",SPLIT('(INGESTA)Datos_consumo_datadis'!A:A,"",""),"""")"),"ES0031408323131005HX0F")</f>
        <v>ES0031408323131005HX0F</v>
      </c>
      <c r="B8445" s="17">
        <f>IFERROR(__xludf.DUMMYFUNCTION("""COMPUTED_VALUE"""),45217.0)</f>
        <v>45217</v>
      </c>
      <c r="C8445" s="13">
        <f>IFERROR(__xludf.DUMMYFUNCTION("""COMPUTED_VALUE"""),0.875)</f>
        <v>0.875</v>
      </c>
      <c r="D8445" s="8">
        <f>IFERROR(__xludf.DUMMYFUNCTION("""COMPUTED_VALUE"""),0.081)</f>
        <v>0.081</v>
      </c>
      <c r="E8445" s="8" t="str">
        <f>IFERROR(__xludf.DUMMYFUNCTION("""COMPUTED_VALUE"""),"Real")</f>
        <v>Real</v>
      </c>
      <c r="G8445" s="8">
        <f t="shared" si="1"/>
        <v>10</v>
      </c>
      <c r="H8445" s="14">
        <f t="shared" si="2"/>
        <v>18</v>
      </c>
      <c r="I8445" s="15">
        <f t="shared" si="3"/>
        <v>21</v>
      </c>
    </row>
    <row r="8446">
      <c r="A8446" s="8" t="str">
        <f>IFERROR(__xludf.DUMMYFUNCTION("IF('(INGESTA)Datos_consumo_datadis'!A8446&lt;&gt;"""",SPLIT('(INGESTA)Datos_consumo_datadis'!A:A,"",""),"""")"),"ES0031408323131005HX0F")</f>
        <v>ES0031408323131005HX0F</v>
      </c>
      <c r="B8446" s="17">
        <f>IFERROR(__xludf.DUMMYFUNCTION("""COMPUTED_VALUE"""),45217.0)</f>
        <v>45217</v>
      </c>
      <c r="C8446" s="13">
        <f>IFERROR(__xludf.DUMMYFUNCTION("""COMPUTED_VALUE"""),0.9166666666666666)</f>
        <v>0.9166666667</v>
      </c>
      <c r="D8446" s="8">
        <f>IFERROR(__xludf.DUMMYFUNCTION("""COMPUTED_VALUE"""),0.093)</f>
        <v>0.093</v>
      </c>
      <c r="E8446" s="8" t="str">
        <f>IFERROR(__xludf.DUMMYFUNCTION("""COMPUTED_VALUE"""),"Real")</f>
        <v>Real</v>
      </c>
      <c r="G8446" s="8">
        <f t="shared" si="1"/>
        <v>10</v>
      </c>
      <c r="H8446" s="14">
        <f t="shared" si="2"/>
        <v>18</v>
      </c>
      <c r="I8446" s="15">
        <f t="shared" si="3"/>
        <v>22</v>
      </c>
    </row>
    <row r="8447">
      <c r="A8447" s="8" t="str">
        <f>IFERROR(__xludf.DUMMYFUNCTION("IF('(INGESTA)Datos_consumo_datadis'!A8447&lt;&gt;"""",SPLIT('(INGESTA)Datos_consumo_datadis'!A:A,"",""),"""")"),"ES0031408323131005HX0F")</f>
        <v>ES0031408323131005HX0F</v>
      </c>
      <c r="B8447" s="17">
        <f>IFERROR(__xludf.DUMMYFUNCTION("""COMPUTED_VALUE"""),45217.0)</f>
        <v>45217</v>
      </c>
      <c r="C8447" s="13">
        <f>IFERROR(__xludf.DUMMYFUNCTION("""COMPUTED_VALUE"""),0.9583333333333334)</f>
        <v>0.9583333333</v>
      </c>
      <c r="D8447" s="8">
        <f>IFERROR(__xludf.DUMMYFUNCTION("""COMPUTED_VALUE"""),0.111)</f>
        <v>0.111</v>
      </c>
      <c r="E8447" s="8" t="str">
        <f>IFERROR(__xludf.DUMMYFUNCTION("""COMPUTED_VALUE"""),"Real")</f>
        <v>Real</v>
      </c>
      <c r="G8447" s="8">
        <f t="shared" si="1"/>
        <v>10</v>
      </c>
      <c r="H8447" s="14">
        <f t="shared" si="2"/>
        <v>18</v>
      </c>
      <c r="I8447" s="15">
        <f t="shared" si="3"/>
        <v>23</v>
      </c>
    </row>
    <row r="8448">
      <c r="A8448" s="8" t="str">
        <f>IFERROR(__xludf.DUMMYFUNCTION("IF('(INGESTA)Datos_consumo_datadis'!A8448&lt;&gt;"""",SPLIT('(INGESTA)Datos_consumo_datadis'!A:A,"",""),"""")"),"ES0031408323131005HX0F")</f>
        <v>ES0031408323131005HX0F</v>
      </c>
      <c r="B8448" s="17">
        <f>IFERROR(__xludf.DUMMYFUNCTION("""COMPUTED_VALUE"""),45217.0)</f>
        <v>45217</v>
      </c>
      <c r="C8448" s="16">
        <f>IFERROR(__xludf.DUMMYFUNCTION("""COMPUTED_VALUE"""),1.0)</f>
        <v>1</v>
      </c>
      <c r="D8448" s="8">
        <f>IFERROR(__xludf.DUMMYFUNCTION("""COMPUTED_VALUE"""),0.398)</f>
        <v>0.398</v>
      </c>
      <c r="E8448" s="8" t="str">
        <f>IFERROR(__xludf.DUMMYFUNCTION("""COMPUTED_VALUE"""),"Real")</f>
        <v>Real</v>
      </c>
      <c r="G8448" s="8">
        <f t="shared" si="1"/>
        <v>10</v>
      </c>
      <c r="H8448" s="14">
        <f t="shared" si="2"/>
        <v>18</v>
      </c>
      <c r="I8448" s="15">
        <f t="shared" si="3"/>
        <v>0</v>
      </c>
    </row>
    <row r="8449">
      <c r="A8449" s="8" t="str">
        <f>IFERROR(__xludf.DUMMYFUNCTION("IF('(INGESTA)Datos_consumo_datadis'!A8449&lt;&gt;"""",SPLIT('(INGESTA)Datos_consumo_datadis'!A:A,"",""),"""")"),"ES0031408323131005HX0F")</f>
        <v>ES0031408323131005HX0F</v>
      </c>
      <c r="B8449" s="17">
        <f>IFERROR(__xludf.DUMMYFUNCTION("""COMPUTED_VALUE"""),45218.0)</f>
        <v>45218</v>
      </c>
      <c r="C8449" s="13">
        <f>IFERROR(__xludf.DUMMYFUNCTION("""COMPUTED_VALUE"""),0.041666666666666664)</f>
        <v>0.04166666667</v>
      </c>
      <c r="D8449" s="8">
        <f>IFERROR(__xludf.DUMMYFUNCTION("""COMPUTED_VALUE"""),0.084)</f>
        <v>0.084</v>
      </c>
      <c r="E8449" s="8" t="str">
        <f>IFERROR(__xludf.DUMMYFUNCTION("""COMPUTED_VALUE"""),"Real")</f>
        <v>Real</v>
      </c>
      <c r="G8449" s="8">
        <f t="shared" si="1"/>
        <v>10</v>
      </c>
      <c r="H8449" s="14">
        <f t="shared" si="2"/>
        <v>19</v>
      </c>
      <c r="I8449" s="15">
        <f t="shared" si="3"/>
        <v>1</v>
      </c>
    </row>
    <row r="8450">
      <c r="A8450" s="8" t="str">
        <f>IFERROR(__xludf.DUMMYFUNCTION("IF('(INGESTA)Datos_consumo_datadis'!A8450&lt;&gt;"""",SPLIT('(INGESTA)Datos_consumo_datadis'!A:A,"",""),"""")"),"ES0031408323131005HX0F")</f>
        <v>ES0031408323131005HX0F</v>
      </c>
      <c r="B8450" s="17">
        <f>IFERROR(__xludf.DUMMYFUNCTION("""COMPUTED_VALUE"""),45218.0)</f>
        <v>45218</v>
      </c>
      <c r="C8450" s="13">
        <f>IFERROR(__xludf.DUMMYFUNCTION("""COMPUTED_VALUE"""),0.08333333333333333)</f>
        <v>0.08333333333</v>
      </c>
      <c r="D8450" s="8">
        <f>IFERROR(__xludf.DUMMYFUNCTION("""COMPUTED_VALUE"""),0.026)</f>
        <v>0.026</v>
      </c>
      <c r="E8450" s="8" t="str">
        <f>IFERROR(__xludf.DUMMYFUNCTION("""COMPUTED_VALUE"""),"Real")</f>
        <v>Real</v>
      </c>
      <c r="G8450" s="8">
        <f t="shared" si="1"/>
        <v>10</v>
      </c>
      <c r="H8450" s="14">
        <f t="shared" si="2"/>
        <v>19</v>
      </c>
      <c r="I8450" s="15">
        <f t="shared" si="3"/>
        <v>2</v>
      </c>
    </row>
    <row r="8451">
      <c r="A8451" s="8" t="str">
        <f>IFERROR(__xludf.DUMMYFUNCTION("IF('(INGESTA)Datos_consumo_datadis'!A8451&lt;&gt;"""",SPLIT('(INGESTA)Datos_consumo_datadis'!A:A,"",""),"""")"),"ES0031408323131005HX0F")</f>
        <v>ES0031408323131005HX0F</v>
      </c>
      <c r="B8451" s="17">
        <f>IFERROR(__xludf.DUMMYFUNCTION("""COMPUTED_VALUE"""),45218.0)</f>
        <v>45218</v>
      </c>
      <c r="C8451" s="13">
        <f>IFERROR(__xludf.DUMMYFUNCTION("""COMPUTED_VALUE"""),0.125)</f>
        <v>0.125</v>
      </c>
      <c r="D8451" s="8">
        <f>IFERROR(__xludf.DUMMYFUNCTION("""COMPUTED_VALUE"""),0.062)</f>
        <v>0.062</v>
      </c>
      <c r="E8451" s="8" t="str">
        <f>IFERROR(__xludf.DUMMYFUNCTION("""COMPUTED_VALUE"""),"Real")</f>
        <v>Real</v>
      </c>
      <c r="G8451" s="8">
        <f t="shared" si="1"/>
        <v>10</v>
      </c>
      <c r="H8451" s="14">
        <f t="shared" si="2"/>
        <v>19</v>
      </c>
      <c r="I8451" s="15">
        <f t="shared" si="3"/>
        <v>3</v>
      </c>
    </row>
    <row r="8452">
      <c r="A8452" s="8" t="str">
        <f>IFERROR(__xludf.DUMMYFUNCTION("IF('(INGESTA)Datos_consumo_datadis'!A8452&lt;&gt;"""",SPLIT('(INGESTA)Datos_consumo_datadis'!A:A,"",""),"""")"),"ES0031408323131005HX0F")</f>
        <v>ES0031408323131005HX0F</v>
      </c>
      <c r="B8452" s="17">
        <f>IFERROR(__xludf.DUMMYFUNCTION("""COMPUTED_VALUE"""),45218.0)</f>
        <v>45218</v>
      </c>
      <c r="C8452" s="13">
        <f>IFERROR(__xludf.DUMMYFUNCTION("""COMPUTED_VALUE"""),0.16666666666666666)</f>
        <v>0.1666666667</v>
      </c>
      <c r="D8452" s="8">
        <f>IFERROR(__xludf.DUMMYFUNCTION("""COMPUTED_VALUE"""),0.121)</f>
        <v>0.121</v>
      </c>
      <c r="E8452" s="8" t="str">
        <f>IFERROR(__xludf.DUMMYFUNCTION("""COMPUTED_VALUE"""),"Real")</f>
        <v>Real</v>
      </c>
      <c r="G8452" s="8">
        <f t="shared" si="1"/>
        <v>10</v>
      </c>
      <c r="H8452" s="14">
        <f t="shared" si="2"/>
        <v>19</v>
      </c>
      <c r="I8452" s="15">
        <f t="shared" si="3"/>
        <v>4</v>
      </c>
    </row>
    <row r="8453">
      <c r="A8453" s="8" t="str">
        <f>IFERROR(__xludf.DUMMYFUNCTION("IF('(INGESTA)Datos_consumo_datadis'!A8453&lt;&gt;"""",SPLIT('(INGESTA)Datos_consumo_datadis'!A:A,"",""),"""")"),"ES0031408323131005HX0F")</f>
        <v>ES0031408323131005HX0F</v>
      </c>
      <c r="B8453" s="17">
        <f>IFERROR(__xludf.DUMMYFUNCTION("""COMPUTED_VALUE"""),45218.0)</f>
        <v>45218</v>
      </c>
      <c r="C8453" s="13">
        <f>IFERROR(__xludf.DUMMYFUNCTION("""COMPUTED_VALUE"""),0.20833333333333334)</f>
        <v>0.2083333333</v>
      </c>
      <c r="D8453" s="8">
        <f>IFERROR(__xludf.DUMMYFUNCTION("""COMPUTED_VALUE"""),0.075)</f>
        <v>0.075</v>
      </c>
      <c r="E8453" s="8" t="str">
        <f>IFERROR(__xludf.DUMMYFUNCTION("""COMPUTED_VALUE"""),"Real")</f>
        <v>Real</v>
      </c>
      <c r="G8453" s="8">
        <f t="shared" si="1"/>
        <v>10</v>
      </c>
      <c r="H8453" s="14">
        <f t="shared" si="2"/>
        <v>19</v>
      </c>
      <c r="I8453" s="15">
        <f t="shared" si="3"/>
        <v>5</v>
      </c>
    </row>
    <row r="8454">
      <c r="A8454" s="8" t="str">
        <f>IFERROR(__xludf.DUMMYFUNCTION("IF('(INGESTA)Datos_consumo_datadis'!A8454&lt;&gt;"""",SPLIT('(INGESTA)Datos_consumo_datadis'!A:A,"",""),"""")"),"ES0031408323131005HX0F")</f>
        <v>ES0031408323131005HX0F</v>
      </c>
      <c r="B8454" s="17">
        <f>IFERROR(__xludf.DUMMYFUNCTION("""COMPUTED_VALUE"""),45218.0)</f>
        <v>45218</v>
      </c>
      <c r="C8454" s="13">
        <f>IFERROR(__xludf.DUMMYFUNCTION("""COMPUTED_VALUE"""),0.25)</f>
        <v>0.25</v>
      </c>
      <c r="D8454" s="8">
        <f>IFERROR(__xludf.DUMMYFUNCTION("""COMPUTED_VALUE"""),0.063)</f>
        <v>0.063</v>
      </c>
      <c r="E8454" s="8" t="str">
        <f>IFERROR(__xludf.DUMMYFUNCTION("""COMPUTED_VALUE"""),"Real")</f>
        <v>Real</v>
      </c>
      <c r="G8454" s="8">
        <f t="shared" si="1"/>
        <v>10</v>
      </c>
      <c r="H8454" s="14">
        <f t="shared" si="2"/>
        <v>19</v>
      </c>
      <c r="I8454" s="15">
        <f t="shared" si="3"/>
        <v>6</v>
      </c>
    </row>
    <row r="8455">
      <c r="A8455" s="8" t="str">
        <f>IFERROR(__xludf.DUMMYFUNCTION("IF('(INGESTA)Datos_consumo_datadis'!A8455&lt;&gt;"""",SPLIT('(INGESTA)Datos_consumo_datadis'!A:A,"",""),"""")"),"ES0031408323131005HX0F")</f>
        <v>ES0031408323131005HX0F</v>
      </c>
      <c r="B8455" s="17">
        <f>IFERROR(__xludf.DUMMYFUNCTION("""COMPUTED_VALUE"""),45218.0)</f>
        <v>45218</v>
      </c>
      <c r="C8455" s="13">
        <f>IFERROR(__xludf.DUMMYFUNCTION("""COMPUTED_VALUE"""),0.2916666666666667)</f>
        <v>0.2916666667</v>
      </c>
      <c r="D8455" s="8">
        <f>IFERROR(__xludf.DUMMYFUNCTION("""COMPUTED_VALUE"""),0.142)</f>
        <v>0.142</v>
      </c>
      <c r="E8455" s="8" t="str">
        <f>IFERROR(__xludf.DUMMYFUNCTION("""COMPUTED_VALUE"""),"Real")</f>
        <v>Real</v>
      </c>
      <c r="G8455" s="8">
        <f t="shared" si="1"/>
        <v>10</v>
      </c>
      <c r="H8455" s="14">
        <f t="shared" si="2"/>
        <v>19</v>
      </c>
      <c r="I8455" s="15">
        <f t="shared" si="3"/>
        <v>7</v>
      </c>
    </row>
    <row r="8456">
      <c r="A8456" s="8" t="str">
        <f>IFERROR(__xludf.DUMMYFUNCTION("IF('(INGESTA)Datos_consumo_datadis'!A8456&lt;&gt;"""",SPLIT('(INGESTA)Datos_consumo_datadis'!A:A,"",""),"""")"),"ES0031408323131005HX0F")</f>
        <v>ES0031408323131005HX0F</v>
      </c>
      <c r="B8456" s="17">
        <f>IFERROR(__xludf.DUMMYFUNCTION("""COMPUTED_VALUE"""),45218.0)</f>
        <v>45218</v>
      </c>
      <c r="C8456" s="13">
        <f>IFERROR(__xludf.DUMMYFUNCTION("""COMPUTED_VALUE"""),0.3333333333333333)</f>
        <v>0.3333333333</v>
      </c>
      <c r="D8456" s="8">
        <f>IFERROR(__xludf.DUMMYFUNCTION("""COMPUTED_VALUE"""),0.782)</f>
        <v>0.782</v>
      </c>
      <c r="E8456" s="8" t="str">
        <f>IFERROR(__xludf.DUMMYFUNCTION("""COMPUTED_VALUE"""),"Real")</f>
        <v>Real</v>
      </c>
      <c r="G8456" s="8">
        <f t="shared" si="1"/>
        <v>10</v>
      </c>
      <c r="H8456" s="14">
        <f t="shared" si="2"/>
        <v>19</v>
      </c>
      <c r="I8456" s="15">
        <f t="shared" si="3"/>
        <v>8</v>
      </c>
    </row>
    <row r="8457">
      <c r="A8457" s="8" t="str">
        <f>IFERROR(__xludf.DUMMYFUNCTION("IF('(INGESTA)Datos_consumo_datadis'!A8457&lt;&gt;"""",SPLIT('(INGESTA)Datos_consumo_datadis'!A:A,"",""),"""")"),"ES0031408323131005HX0F")</f>
        <v>ES0031408323131005HX0F</v>
      </c>
      <c r="B8457" s="17">
        <f>IFERROR(__xludf.DUMMYFUNCTION("""COMPUTED_VALUE"""),45218.0)</f>
        <v>45218</v>
      </c>
      <c r="C8457" s="13">
        <f>IFERROR(__xludf.DUMMYFUNCTION("""COMPUTED_VALUE"""),0.375)</f>
        <v>0.375</v>
      </c>
      <c r="D8457" s="8">
        <f>IFERROR(__xludf.DUMMYFUNCTION("""COMPUTED_VALUE"""),0.102)</f>
        <v>0.102</v>
      </c>
      <c r="E8457" s="8" t="str">
        <f>IFERROR(__xludf.DUMMYFUNCTION("""COMPUTED_VALUE"""),"Real")</f>
        <v>Real</v>
      </c>
      <c r="G8457" s="8">
        <f t="shared" si="1"/>
        <v>10</v>
      </c>
      <c r="H8457" s="14">
        <f t="shared" si="2"/>
        <v>19</v>
      </c>
      <c r="I8457" s="15">
        <f t="shared" si="3"/>
        <v>9</v>
      </c>
    </row>
    <row r="8458">
      <c r="A8458" s="8" t="str">
        <f>IFERROR(__xludf.DUMMYFUNCTION("IF('(INGESTA)Datos_consumo_datadis'!A8458&lt;&gt;"""",SPLIT('(INGESTA)Datos_consumo_datadis'!A:A,"",""),"""")"),"ES0031408323131005HX0F")</f>
        <v>ES0031408323131005HX0F</v>
      </c>
      <c r="B8458" s="17">
        <f>IFERROR(__xludf.DUMMYFUNCTION("""COMPUTED_VALUE"""),45218.0)</f>
        <v>45218</v>
      </c>
      <c r="C8458" s="13">
        <f>IFERROR(__xludf.DUMMYFUNCTION("""COMPUTED_VALUE"""),0.4166666666666667)</f>
        <v>0.4166666667</v>
      </c>
      <c r="D8458" s="8">
        <f>IFERROR(__xludf.DUMMYFUNCTION("""COMPUTED_VALUE"""),0.074)</f>
        <v>0.074</v>
      </c>
      <c r="E8458" s="8" t="str">
        <f>IFERROR(__xludf.DUMMYFUNCTION("""COMPUTED_VALUE"""),"Real")</f>
        <v>Real</v>
      </c>
      <c r="G8458" s="8">
        <f t="shared" si="1"/>
        <v>10</v>
      </c>
      <c r="H8458" s="14">
        <f t="shared" si="2"/>
        <v>19</v>
      </c>
      <c r="I8458" s="15">
        <f t="shared" si="3"/>
        <v>10</v>
      </c>
    </row>
    <row r="8459">
      <c r="A8459" s="8" t="str">
        <f>IFERROR(__xludf.DUMMYFUNCTION("IF('(INGESTA)Datos_consumo_datadis'!A8459&lt;&gt;"""",SPLIT('(INGESTA)Datos_consumo_datadis'!A:A,"",""),"""")"),"ES0031408323131005HX0F")</f>
        <v>ES0031408323131005HX0F</v>
      </c>
      <c r="B8459" s="17">
        <f>IFERROR(__xludf.DUMMYFUNCTION("""COMPUTED_VALUE"""),45218.0)</f>
        <v>45218</v>
      </c>
      <c r="C8459" s="13">
        <f>IFERROR(__xludf.DUMMYFUNCTION("""COMPUTED_VALUE"""),0.4583333333333333)</f>
        <v>0.4583333333</v>
      </c>
      <c r="D8459" s="8">
        <f>IFERROR(__xludf.DUMMYFUNCTION("""COMPUTED_VALUE"""),0.014)</f>
        <v>0.014</v>
      </c>
      <c r="E8459" s="8" t="str">
        <f>IFERROR(__xludf.DUMMYFUNCTION("""COMPUTED_VALUE"""),"Real")</f>
        <v>Real</v>
      </c>
      <c r="G8459" s="8">
        <f t="shared" si="1"/>
        <v>10</v>
      </c>
      <c r="H8459" s="14">
        <f t="shared" si="2"/>
        <v>19</v>
      </c>
      <c r="I8459" s="15">
        <f t="shared" si="3"/>
        <v>11</v>
      </c>
    </row>
    <row r="8460">
      <c r="A8460" s="8" t="str">
        <f>IFERROR(__xludf.DUMMYFUNCTION("IF('(INGESTA)Datos_consumo_datadis'!A8460&lt;&gt;"""",SPLIT('(INGESTA)Datos_consumo_datadis'!A:A,"",""),"""")"),"ES0031408323131005HX0F")</f>
        <v>ES0031408323131005HX0F</v>
      </c>
      <c r="B8460" s="17">
        <f>IFERROR(__xludf.DUMMYFUNCTION("""COMPUTED_VALUE"""),45218.0)</f>
        <v>45218</v>
      </c>
      <c r="C8460" s="13">
        <f>IFERROR(__xludf.DUMMYFUNCTION("""COMPUTED_VALUE"""),0.5)</f>
        <v>0.5</v>
      </c>
      <c r="D8460" s="8">
        <f>IFERROR(__xludf.DUMMYFUNCTION("""COMPUTED_VALUE"""),0.059)</f>
        <v>0.059</v>
      </c>
      <c r="E8460" s="8" t="str">
        <f>IFERROR(__xludf.DUMMYFUNCTION("""COMPUTED_VALUE"""),"Real")</f>
        <v>Real</v>
      </c>
      <c r="G8460" s="8">
        <f t="shared" si="1"/>
        <v>10</v>
      </c>
      <c r="H8460" s="14">
        <f t="shared" si="2"/>
        <v>19</v>
      </c>
      <c r="I8460" s="15">
        <f t="shared" si="3"/>
        <v>12</v>
      </c>
    </row>
    <row r="8461">
      <c r="A8461" s="8" t="str">
        <f>IFERROR(__xludf.DUMMYFUNCTION("IF('(INGESTA)Datos_consumo_datadis'!A8461&lt;&gt;"""",SPLIT('(INGESTA)Datos_consumo_datadis'!A:A,"",""),"""")"),"ES0031408323131005HX0F")</f>
        <v>ES0031408323131005HX0F</v>
      </c>
      <c r="B8461" s="17">
        <f>IFERROR(__xludf.DUMMYFUNCTION("""COMPUTED_VALUE"""),45218.0)</f>
        <v>45218</v>
      </c>
      <c r="C8461" s="13">
        <f>IFERROR(__xludf.DUMMYFUNCTION("""COMPUTED_VALUE"""),0.5416666666666666)</f>
        <v>0.5416666667</v>
      </c>
      <c r="D8461" s="8">
        <f>IFERROR(__xludf.DUMMYFUNCTION("""COMPUTED_VALUE"""),0.362)</f>
        <v>0.362</v>
      </c>
      <c r="E8461" s="8" t="str">
        <f>IFERROR(__xludf.DUMMYFUNCTION("""COMPUTED_VALUE"""),"Real")</f>
        <v>Real</v>
      </c>
      <c r="G8461" s="8">
        <f t="shared" si="1"/>
        <v>10</v>
      </c>
      <c r="H8461" s="14">
        <f t="shared" si="2"/>
        <v>19</v>
      </c>
      <c r="I8461" s="15">
        <f t="shared" si="3"/>
        <v>13</v>
      </c>
    </row>
    <row r="8462">
      <c r="A8462" s="8" t="str">
        <f>IFERROR(__xludf.DUMMYFUNCTION("IF('(INGESTA)Datos_consumo_datadis'!A8462&lt;&gt;"""",SPLIT('(INGESTA)Datos_consumo_datadis'!A:A,"",""),"""")"),"ES0031408323131005HX0F")</f>
        <v>ES0031408323131005HX0F</v>
      </c>
      <c r="B8462" s="17">
        <f>IFERROR(__xludf.DUMMYFUNCTION("""COMPUTED_VALUE"""),45218.0)</f>
        <v>45218</v>
      </c>
      <c r="C8462" s="13">
        <f>IFERROR(__xludf.DUMMYFUNCTION("""COMPUTED_VALUE"""),0.5833333333333334)</f>
        <v>0.5833333333</v>
      </c>
      <c r="D8462" s="8">
        <f>IFERROR(__xludf.DUMMYFUNCTION("""COMPUTED_VALUE"""),0.075)</f>
        <v>0.075</v>
      </c>
      <c r="E8462" s="8" t="str">
        <f>IFERROR(__xludf.DUMMYFUNCTION("""COMPUTED_VALUE"""),"Real")</f>
        <v>Real</v>
      </c>
      <c r="G8462" s="8">
        <f t="shared" si="1"/>
        <v>10</v>
      </c>
      <c r="H8462" s="14">
        <f t="shared" si="2"/>
        <v>19</v>
      </c>
      <c r="I8462" s="15">
        <f t="shared" si="3"/>
        <v>14</v>
      </c>
    </row>
    <row r="8463">
      <c r="A8463" s="8" t="str">
        <f>IFERROR(__xludf.DUMMYFUNCTION("IF('(INGESTA)Datos_consumo_datadis'!A8463&lt;&gt;"""",SPLIT('(INGESTA)Datos_consumo_datadis'!A:A,"",""),"""")"),"ES0031408323131005HX0F")</f>
        <v>ES0031408323131005HX0F</v>
      </c>
      <c r="B8463" s="17">
        <f>IFERROR(__xludf.DUMMYFUNCTION("""COMPUTED_VALUE"""),45218.0)</f>
        <v>45218</v>
      </c>
      <c r="C8463" s="13">
        <f>IFERROR(__xludf.DUMMYFUNCTION("""COMPUTED_VALUE"""),0.625)</f>
        <v>0.625</v>
      </c>
      <c r="D8463" s="8">
        <f>IFERROR(__xludf.DUMMYFUNCTION("""COMPUTED_VALUE"""),0.043)</f>
        <v>0.043</v>
      </c>
      <c r="E8463" s="8" t="str">
        <f>IFERROR(__xludf.DUMMYFUNCTION("""COMPUTED_VALUE"""),"Real")</f>
        <v>Real</v>
      </c>
      <c r="G8463" s="8">
        <f t="shared" si="1"/>
        <v>10</v>
      </c>
      <c r="H8463" s="14">
        <f t="shared" si="2"/>
        <v>19</v>
      </c>
      <c r="I8463" s="15">
        <f t="shared" si="3"/>
        <v>15</v>
      </c>
    </row>
    <row r="8464">
      <c r="A8464" s="8" t="str">
        <f>IFERROR(__xludf.DUMMYFUNCTION("IF('(INGESTA)Datos_consumo_datadis'!A8464&lt;&gt;"""",SPLIT('(INGESTA)Datos_consumo_datadis'!A:A,"",""),"""")"),"ES0031408323131005HX0F")</f>
        <v>ES0031408323131005HX0F</v>
      </c>
      <c r="B8464" s="17">
        <f>IFERROR(__xludf.DUMMYFUNCTION("""COMPUTED_VALUE"""),45218.0)</f>
        <v>45218</v>
      </c>
      <c r="C8464" s="13">
        <f>IFERROR(__xludf.DUMMYFUNCTION("""COMPUTED_VALUE"""),0.6666666666666666)</f>
        <v>0.6666666667</v>
      </c>
      <c r="D8464" s="8">
        <f>IFERROR(__xludf.DUMMYFUNCTION("""COMPUTED_VALUE"""),0.02)</f>
        <v>0.02</v>
      </c>
      <c r="E8464" s="8" t="str">
        <f>IFERROR(__xludf.DUMMYFUNCTION("""COMPUTED_VALUE"""),"Real")</f>
        <v>Real</v>
      </c>
      <c r="G8464" s="8">
        <f t="shared" si="1"/>
        <v>10</v>
      </c>
      <c r="H8464" s="14">
        <f t="shared" si="2"/>
        <v>19</v>
      </c>
      <c r="I8464" s="15">
        <f t="shared" si="3"/>
        <v>16</v>
      </c>
    </row>
    <row r="8465">
      <c r="A8465" s="8" t="str">
        <f>IFERROR(__xludf.DUMMYFUNCTION("IF('(INGESTA)Datos_consumo_datadis'!A8465&lt;&gt;"""",SPLIT('(INGESTA)Datos_consumo_datadis'!A:A,"",""),"""")"),"ES0031408323131005HX0F")</f>
        <v>ES0031408323131005HX0F</v>
      </c>
      <c r="B8465" s="17">
        <f>IFERROR(__xludf.DUMMYFUNCTION("""COMPUTED_VALUE"""),45218.0)</f>
        <v>45218</v>
      </c>
      <c r="C8465" s="13">
        <f>IFERROR(__xludf.DUMMYFUNCTION("""COMPUTED_VALUE"""),0.7083333333333334)</f>
        <v>0.7083333333</v>
      </c>
      <c r="D8465" s="8">
        <f>IFERROR(__xludf.DUMMYFUNCTION("""COMPUTED_VALUE"""),0.112)</f>
        <v>0.112</v>
      </c>
      <c r="E8465" s="8" t="str">
        <f>IFERROR(__xludf.DUMMYFUNCTION("""COMPUTED_VALUE"""),"Real")</f>
        <v>Real</v>
      </c>
      <c r="G8465" s="8">
        <f t="shared" si="1"/>
        <v>10</v>
      </c>
      <c r="H8465" s="14">
        <f t="shared" si="2"/>
        <v>19</v>
      </c>
      <c r="I8465" s="15">
        <f t="shared" si="3"/>
        <v>17</v>
      </c>
    </row>
    <row r="8466">
      <c r="A8466" s="8" t="str">
        <f>IFERROR(__xludf.DUMMYFUNCTION("IF('(INGESTA)Datos_consumo_datadis'!A8466&lt;&gt;"""",SPLIT('(INGESTA)Datos_consumo_datadis'!A:A,"",""),"""")"),"ES0031408323131005HX0F")</f>
        <v>ES0031408323131005HX0F</v>
      </c>
      <c r="B8466" s="17">
        <f>IFERROR(__xludf.DUMMYFUNCTION("""COMPUTED_VALUE"""),45218.0)</f>
        <v>45218</v>
      </c>
      <c r="C8466" s="13">
        <f>IFERROR(__xludf.DUMMYFUNCTION("""COMPUTED_VALUE"""),0.75)</f>
        <v>0.75</v>
      </c>
      <c r="D8466" s="8">
        <f>IFERROR(__xludf.DUMMYFUNCTION("""COMPUTED_VALUE"""),0.125)</f>
        <v>0.125</v>
      </c>
      <c r="E8466" s="8" t="str">
        <f>IFERROR(__xludf.DUMMYFUNCTION("""COMPUTED_VALUE"""),"Real")</f>
        <v>Real</v>
      </c>
      <c r="G8466" s="8">
        <f t="shared" si="1"/>
        <v>10</v>
      </c>
      <c r="H8466" s="14">
        <f t="shared" si="2"/>
        <v>19</v>
      </c>
      <c r="I8466" s="15">
        <f t="shared" si="3"/>
        <v>18</v>
      </c>
    </row>
    <row r="8467">
      <c r="A8467" s="8" t="str">
        <f>IFERROR(__xludf.DUMMYFUNCTION("IF('(INGESTA)Datos_consumo_datadis'!A8467&lt;&gt;"""",SPLIT('(INGESTA)Datos_consumo_datadis'!A:A,"",""),"""")"),"ES0031408323131005HX0F")</f>
        <v>ES0031408323131005HX0F</v>
      </c>
      <c r="B8467" s="17">
        <f>IFERROR(__xludf.DUMMYFUNCTION("""COMPUTED_VALUE"""),45218.0)</f>
        <v>45218</v>
      </c>
      <c r="C8467" s="13">
        <f>IFERROR(__xludf.DUMMYFUNCTION("""COMPUTED_VALUE"""),0.7916666666666666)</f>
        <v>0.7916666667</v>
      </c>
      <c r="D8467" s="8">
        <f>IFERROR(__xludf.DUMMYFUNCTION("""COMPUTED_VALUE"""),0.174)</f>
        <v>0.174</v>
      </c>
      <c r="E8467" s="8" t="str">
        <f>IFERROR(__xludf.DUMMYFUNCTION("""COMPUTED_VALUE"""),"Real")</f>
        <v>Real</v>
      </c>
      <c r="G8467" s="8">
        <f t="shared" si="1"/>
        <v>10</v>
      </c>
      <c r="H8467" s="14">
        <f t="shared" si="2"/>
        <v>19</v>
      </c>
      <c r="I8467" s="15">
        <f t="shared" si="3"/>
        <v>19</v>
      </c>
    </row>
    <row r="8468">
      <c r="A8468" s="8" t="str">
        <f>IFERROR(__xludf.DUMMYFUNCTION("IF('(INGESTA)Datos_consumo_datadis'!A8468&lt;&gt;"""",SPLIT('(INGESTA)Datos_consumo_datadis'!A:A,"",""),"""")"),"ES0031408323131005HX0F")</f>
        <v>ES0031408323131005HX0F</v>
      </c>
      <c r="B8468" s="17">
        <f>IFERROR(__xludf.DUMMYFUNCTION("""COMPUTED_VALUE"""),45218.0)</f>
        <v>45218</v>
      </c>
      <c r="C8468" s="13">
        <f>IFERROR(__xludf.DUMMYFUNCTION("""COMPUTED_VALUE"""),0.8333333333333334)</f>
        <v>0.8333333333</v>
      </c>
      <c r="D8468" s="8">
        <f>IFERROR(__xludf.DUMMYFUNCTION("""COMPUTED_VALUE"""),0.524)</f>
        <v>0.524</v>
      </c>
      <c r="E8468" s="8" t="str">
        <f>IFERROR(__xludf.DUMMYFUNCTION("""COMPUTED_VALUE"""),"Real")</f>
        <v>Real</v>
      </c>
      <c r="G8468" s="8">
        <f t="shared" si="1"/>
        <v>10</v>
      </c>
      <c r="H8468" s="14">
        <f t="shared" si="2"/>
        <v>19</v>
      </c>
      <c r="I8468" s="15">
        <f t="shared" si="3"/>
        <v>20</v>
      </c>
    </row>
    <row r="8469">
      <c r="A8469" s="8" t="str">
        <f>IFERROR(__xludf.DUMMYFUNCTION("IF('(INGESTA)Datos_consumo_datadis'!A8469&lt;&gt;"""",SPLIT('(INGESTA)Datos_consumo_datadis'!A:A,"",""),"""")"),"ES0031408323131005HX0F")</f>
        <v>ES0031408323131005HX0F</v>
      </c>
      <c r="B8469" s="17">
        <f>IFERROR(__xludf.DUMMYFUNCTION("""COMPUTED_VALUE"""),45218.0)</f>
        <v>45218</v>
      </c>
      <c r="C8469" s="13">
        <f>IFERROR(__xludf.DUMMYFUNCTION("""COMPUTED_VALUE"""),0.875)</f>
        <v>0.875</v>
      </c>
      <c r="D8469" s="8">
        <f>IFERROR(__xludf.DUMMYFUNCTION("""COMPUTED_VALUE"""),1.668)</f>
        <v>1.668</v>
      </c>
      <c r="E8469" s="8" t="str">
        <f>IFERROR(__xludf.DUMMYFUNCTION("""COMPUTED_VALUE"""),"Real")</f>
        <v>Real</v>
      </c>
      <c r="G8469" s="8">
        <f t="shared" si="1"/>
        <v>10</v>
      </c>
      <c r="H8469" s="14">
        <f t="shared" si="2"/>
        <v>19</v>
      </c>
      <c r="I8469" s="15">
        <f t="shared" si="3"/>
        <v>21</v>
      </c>
    </row>
    <row r="8470">
      <c r="A8470" s="8" t="str">
        <f>IFERROR(__xludf.DUMMYFUNCTION("IF('(INGESTA)Datos_consumo_datadis'!A8470&lt;&gt;"""",SPLIT('(INGESTA)Datos_consumo_datadis'!A:A,"",""),"""")"),"ES0031408323131005HX0F")</f>
        <v>ES0031408323131005HX0F</v>
      </c>
      <c r="B8470" s="17">
        <f>IFERROR(__xludf.DUMMYFUNCTION("""COMPUTED_VALUE"""),45218.0)</f>
        <v>45218</v>
      </c>
      <c r="C8470" s="13">
        <f>IFERROR(__xludf.DUMMYFUNCTION("""COMPUTED_VALUE"""),0.9166666666666666)</f>
        <v>0.9166666667</v>
      </c>
      <c r="D8470" s="8">
        <f>IFERROR(__xludf.DUMMYFUNCTION("""COMPUTED_VALUE"""),2.0)</f>
        <v>2</v>
      </c>
      <c r="E8470" s="8" t="str">
        <f>IFERROR(__xludf.DUMMYFUNCTION("""COMPUTED_VALUE"""),"Real")</f>
        <v>Real</v>
      </c>
      <c r="G8470" s="8">
        <f t="shared" si="1"/>
        <v>10</v>
      </c>
      <c r="H8470" s="14">
        <f t="shared" si="2"/>
        <v>19</v>
      </c>
      <c r="I8470" s="15">
        <f t="shared" si="3"/>
        <v>22</v>
      </c>
    </row>
    <row r="8471">
      <c r="A8471" s="8" t="str">
        <f>IFERROR(__xludf.DUMMYFUNCTION("IF('(INGESTA)Datos_consumo_datadis'!A8471&lt;&gt;"""",SPLIT('(INGESTA)Datos_consumo_datadis'!A:A,"",""),"""")"),"ES0031408323131005HX0F")</f>
        <v>ES0031408323131005HX0F</v>
      </c>
      <c r="B8471" s="17">
        <f>IFERROR(__xludf.DUMMYFUNCTION("""COMPUTED_VALUE"""),45218.0)</f>
        <v>45218</v>
      </c>
      <c r="C8471" s="13">
        <f>IFERROR(__xludf.DUMMYFUNCTION("""COMPUTED_VALUE"""),0.9583333333333334)</f>
        <v>0.9583333333</v>
      </c>
      <c r="D8471" s="8">
        <f>IFERROR(__xludf.DUMMYFUNCTION("""COMPUTED_VALUE"""),0.306)</f>
        <v>0.306</v>
      </c>
      <c r="E8471" s="8" t="str">
        <f>IFERROR(__xludf.DUMMYFUNCTION("""COMPUTED_VALUE"""),"Real")</f>
        <v>Real</v>
      </c>
      <c r="G8471" s="8">
        <f t="shared" si="1"/>
        <v>10</v>
      </c>
      <c r="H8471" s="14">
        <f t="shared" si="2"/>
        <v>19</v>
      </c>
      <c r="I8471" s="15">
        <f t="shared" si="3"/>
        <v>23</v>
      </c>
    </row>
    <row r="8472">
      <c r="A8472" s="8" t="str">
        <f>IFERROR(__xludf.DUMMYFUNCTION("IF('(INGESTA)Datos_consumo_datadis'!A8472&lt;&gt;"""",SPLIT('(INGESTA)Datos_consumo_datadis'!A:A,"",""),"""")"),"ES0031408323131005HX0F")</f>
        <v>ES0031408323131005HX0F</v>
      </c>
      <c r="B8472" s="17">
        <f>IFERROR(__xludf.DUMMYFUNCTION("""COMPUTED_VALUE"""),45218.0)</f>
        <v>45218</v>
      </c>
      <c r="C8472" s="16">
        <f>IFERROR(__xludf.DUMMYFUNCTION("""COMPUTED_VALUE"""),1.0)</f>
        <v>1</v>
      </c>
      <c r="D8472" s="8">
        <f>IFERROR(__xludf.DUMMYFUNCTION("""COMPUTED_VALUE"""),0.177)</f>
        <v>0.177</v>
      </c>
      <c r="E8472" s="8" t="str">
        <f>IFERROR(__xludf.DUMMYFUNCTION("""COMPUTED_VALUE"""),"Real")</f>
        <v>Real</v>
      </c>
      <c r="G8472" s="8">
        <f t="shared" si="1"/>
        <v>10</v>
      </c>
      <c r="H8472" s="14">
        <f t="shared" si="2"/>
        <v>19</v>
      </c>
      <c r="I8472" s="15">
        <f t="shared" si="3"/>
        <v>0</v>
      </c>
    </row>
    <row r="8473">
      <c r="A8473" s="8" t="str">
        <f>IFERROR(__xludf.DUMMYFUNCTION("IF('(INGESTA)Datos_consumo_datadis'!A8473&lt;&gt;"""",SPLIT('(INGESTA)Datos_consumo_datadis'!A:A,"",""),"""")"),"ES0031408323131005HX0F")</f>
        <v>ES0031408323131005HX0F</v>
      </c>
      <c r="B8473" s="17">
        <f>IFERROR(__xludf.DUMMYFUNCTION("""COMPUTED_VALUE"""),45219.0)</f>
        <v>45219</v>
      </c>
      <c r="C8473" s="13">
        <f>IFERROR(__xludf.DUMMYFUNCTION("""COMPUTED_VALUE"""),0.041666666666666664)</f>
        <v>0.04166666667</v>
      </c>
      <c r="D8473" s="8">
        <f>IFERROR(__xludf.DUMMYFUNCTION("""COMPUTED_VALUE"""),0.291)</f>
        <v>0.291</v>
      </c>
      <c r="E8473" s="8" t="str">
        <f>IFERROR(__xludf.DUMMYFUNCTION("""COMPUTED_VALUE"""),"Real")</f>
        <v>Real</v>
      </c>
      <c r="G8473" s="8">
        <f t="shared" si="1"/>
        <v>10</v>
      </c>
      <c r="H8473" s="14">
        <f t="shared" si="2"/>
        <v>20</v>
      </c>
      <c r="I8473" s="15">
        <f t="shared" si="3"/>
        <v>1</v>
      </c>
    </row>
    <row r="8474">
      <c r="A8474" s="8" t="str">
        <f>IFERROR(__xludf.DUMMYFUNCTION("IF('(INGESTA)Datos_consumo_datadis'!A8474&lt;&gt;"""",SPLIT('(INGESTA)Datos_consumo_datadis'!A:A,"",""),"""")"),"ES0031408323131005HX0F")</f>
        <v>ES0031408323131005HX0F</v>
      </c>
      <c r="B8474" s="17">
        <f>IFERROR(__xludf.DUMMYFUNCTION("""COMPUTED_VALUE"""),45219.0)</f>
        <v>45219</v>
      </c>
      <c r="C8474" s="13">
        <f>IFERROR(__xludf.DUMMYFUNCTION("""COMPUTED_VALUE"""),0.08333333333333333)</f>
        <v>0.08333333333</v>
      </c>
      <c r="D8474" s="8">
        <f>IFERROR(__xludf.DUMMYFUNCTION("""COMPUTED_VALUE"""),0.015)</f>
        <v>0.015</v>
      </c>
      <c r="E8474" s="8" t="str">
        <f>IFERROR(__xludf.DUMMYFUNCTION("""COMPUTED_VALUE"""),"Real")</f>
        <v>Real</v>
      </c>
      <c r="G8474" s="8">
        <f t="shared" si="1"/>
        <v>10</v>
      </c>
      <c r="H8474" s="14">
        <f t="shared" si="2"/>
        <v>20</v>
      </c>
      <c r="I8474" s="15">
        <f t="shared" si="3"/>
        <v>2</v>
      </c>
    </row>
    <row r="8475">
      <c r="A8475" s="8" t="str">
        <f>IFERROR(__xludf.DUMMYFUNCTION("IF('(INGESTA)Datos_consumo_datadis'!A8475&lt;&gt;"""",SPLIT('(INGESTA)Datos_consumo_datadis'!A:A,"",""),"""")"),"ES0031408323131005HX0F")</f>
        <v>ES0031408323131005HX0F</v>
      </c>
      <c r="B8475" s="17">
        <f>IFERROR(__xludf.DUMMYFUNCTION("""COMPUTED_VALUE"""),45219.0)</f>
        <v>45219</v>
      </c>
      <c r="C8475" s="13">
        <f>IFERROR(__xludf.DUMMYFUNCTION("""COMPUTED_VALUE"""),0.125)</f>
        <v>0.125</v>
      </c>
      <c r="D8475" s="8">
        <f>IFERROR(__xludf.DUMMYFUNCTION("""COMPUTED_VALUE"""),0.096)</f>
        <v>0.096</v>
      </c>
      <c r="E8475" s="8" t="str">
        <f>IFERROR(__xludf.DUMMYFUNCTION("""COMPUTED_VALUE"""),"Real")</f>
        <v>Real</v>
      </c>
      <c r="G8475" s="8">
        <f t="shared" si="1"/>
        <v>10</v>
      </c>
      <c r="H8475" s="14">
        <f t="shared" si="2"/>
        <v>20</v>
      </c>
      <c r="I8475" s="15">
        <f t="shared" si="3"/>
        <v>3</v>
      </c>
    </row>
    <row r="8476">
      <c r="A8476" s="8" t="str">
        <f>IFERROR(__xludf.DUMMYFUNCTION("IF('(INGESTA)Datos_consumo_datadis'!A8476&lt;&gt;"""",SPLIT('(INGESTA)Datos_consumo_datadis'!A:A,"",""),"""")"),"ES0031408323131005HX0F")</f>
        <v>ES0031408323131005HX0F</v>
      </c>
      <c r="B8476" s="17">
        <f>IFERROR(__xludf.DUMMYFUNCTION("""COMPUTED_VALUE"""),45219.0)</f>
        <v>45219</v>
      </c>
      <c r="C8476" s="13">
        <f>IFERROR(__xludf.DUMMYFUNCTION("""COMPUTED_VALUE"""),0.16666666666666666)</f>
        <v>0.1666666667</v>
      </c>
      <c r="D8476" s="8">
        <f>IFERROR(__xludf.DUMMYFUNCTION("""COMPUTED_VALUE"""),0.12)</f>
        <v>0.12</v>
      </c>
      <c r="E8476" s="8" t="str">
        <f>IFERROR(__xludf.DUMMYFUNCTION("""COMPUTED_VALUE"""),"Real")</f>
        <v>Real</v>
      </c>
      <c r="G8476" s="8">
        <f t="shared" si="1"/>
        <v>10</v>
      </c>
      <c r="H8476" s="14">
        <f t="shared" si="2"/>
        <v>20</v>
      </c>
      <c r="I8476" s="15">
        <f t="shared" si="3"/>
        <v>4</v>
      </c>
    </row>
    <row r="8477">
      <c r="A8477" s="8" t="str">
        <f>IFERROR(__xludf.DUMMYFUNCTION("IF('(INGESTA)Datos_consumo_datadis'!A8477&lt;&gt;"""",SPLIT('(INGESTA)Datos_consumo_datadis'!A:A,"",""),"""")"),"ES0031408323131005HX0F")</f>
        <v>ES0031408323131005HX0F</v>
      </c>
      <c r="B8477" s="17">
        <f>IFERROR(__xludf.DUMMYFUNCTION("""COMPUTED_VALUE"""),45219.0)</f>
        <v>45219</v>
      </c>
      <c r="C8477" s="13">
        <f>IFERROR(__xludf.DUMMYFUNCTION("""COMPUTED_VALUE"""),0.20833333333333334)</f>
        <v>0.2083333333</v>
      </c>
      <c r="D8477" s="8">
        <f>IFERROR(__xludf.DUMMYFUNCTION("""COMPUTED_VALUE"""),0.052)</f>
        <v>0.052</v>
      </c>
      <c r="E8477" s="8" t="str">
        <f>IFERROR(__xludf.DUMMYFUNCTION("""COMPUTED_VALUE"""),"Real")</f>
        <v>Real</v>
      </c>
      <c r="G8477" s="8">
        <f t="shared" si="1"/>
        <v>10</v>
      </c>
      <c r="H8477" s="14">
        <f t="shared" si="2"/>
        <v>20</v>
      </c>
      <c r="I8477" s="15">
        <f t="shared" si="3"/>
        <v>5</v>
      </c>
    </row>
    <row r="8478">
      <c r="A8478" s="8" t="str">
        <f>IFERROR(__xludf.DUMMYFUNCTION("IF('(INGESTA)Datos_consumo_datadis'!A8478&lt;&gt;"""",SPLIT('(INGESTA)Datos_consumo_datadis'!A:A,"",""),"""")"),"ES0031408323131005HX0F")</f>
        <v>ES0031408323131005HX0F</v>
      </c>
      <c r="B8478" s="17">
        <f>IFERROR(__xludf.DUMMYFUNCTION("""COMPUTED_VALUE"""),45219.0)</f>
        <v>45219</v>
      </c>
      <c r="C8478" s="13">
        <f>IFERROR(__xludf.DUMMYFUNCTION("""COMPUTED_VALUE"""),0.25)</f>
        <v>0.25</v>
      </c>
      <c r="D8478" s="8">
        <f>IFERROR(__xludf.DUMMYFUNCTION("""COMPUTED_VALUE"""),0.092)</f>
        <v>0.092</v>
      </c>
      <c r="E8478" s="8" t="str">
        <f>IFERROR(__xludf.DUMMYFUNCTION("""COMPUTED_VALUE"""),"Real")</f>
        <v>Real</v>
      </c>
      <c r="G8478" s="8">
        <f t="shared" si="1"/>
        <v>10</v>
      </c>
      <c r="H8478" s="14">
        <f t="shared" si="2"/>
        <v>20</v>
      </c>
      <c r="I8478" s="15">
        <f t="shared" si="3"/>
        <v>6</v>
      </c>
    </row>
    <row r="8479">
      <c r="A8479" s="8" t="str">
        <f>IFERROR(__xludf.DUMMYFUNCTION("IF('(INGESTA)Datos_consumo_datadis'!A8479&lt;&gt;"""",SPLIT('(INGESTA)Datos_consumo_datadis'!A:A,"",""),"""")"),"ES0031408323131005HX0F")</f>
        <v>ES0031408323131005HX0F</v>
      </c>
      <c r="B8479" s="17">
        <f>IFERROR(__xludf.DUMMYFUNCTION("""COMPUTED_VALUE"""),45219.0)</f>
        <v>45219</v>
      </c>
      <c r="C8479" s="13">
        <f>IFERROR(__xludf.DUMMYFUNCTION("""COMPUTED_VALUE"""),0.2916666666666667)</f>
        <v>0.2916666667</v>
      </c>
      <c r="D8479" s="8">
        <f>IFERROR(__xludf.DUMMYFUNCTION("""COMPUTED_VALUE"""),0.015)</f>
        <v>0.015</v>
      </c>
      <c r="E8479" s="8" t="str">
        <f>IFERROR(__xludf.DUMMYFUNCTION("""COMPUTED_VALUE"""),"Real")</f>
        <v>Real</v>
      </c>
      <c r="G8479" s="8">
        <f t="shared" si="1"/>
        <v>10</v>
      </c>
      <c r="H8479" s="14">
        <f t="shared" si="2"/>
        <v>20</v>
      </c>
      <c r="I8479" s="15">
        <f t="shared" si="3"/>
        <v>7</v>
      </c>
    </row>
    <row r="8480">
      <c r="A8480" s="8" t="str">
        <f>IFERROR(__xludf.DUMMYFUNCTION("IF('(INGESTA)Datos_consumo_datadis'!A8480&lt;&gt;"""",SPLIT('(INGESTA)Datos_consumo_datadis'!A:A,"",""),"""")"),"ES0031408323131005HX0F")</f>
        <v>ES0031408323131005HX0F</v>
      </c>
      <c r="B8480" s="17">
        <f>IFERROR(__xludf.DUMMYFUNCTION("""COMPUTED_VALUE"""),45219.0)</f>
        <v>45219</v>
      </c>
      <c r="C8480" s="13">
        <f>IFERROR(__xludf.DUMMYFUNCTION("""COMPUTED_VALUE"""),0.3333333333333333)</f>
        <v>0.3333333333</v>
      </c>
      <c r="D8480" s="8">
        <f>IFERROR(__xludf.DUMMYFUNCTION("""COMPUTED_VALUE"""),1.067)</f>
        <v>1.067</v>
      </c>
      <c r="E8480" s="8" t="str">
        <f>IFERROR(__xludf.DUMMYFUNCTION("""COMPUTED_VALUE"""),"Real")</f>
        <v>Real</v>
      </c>
      <c r="G8480" s="8">
        <f t="shared" si="1"/>
        <v>10</v>
      </c>
      <c r="H8480" s="14">
        <f t="shared" si="2"/>
        <v>20</v>
      </c>
      <c r="I8480" s="15">
        <f t="shared" si="3"/>
        <v>8</v>
      </c>
    </row>
    <row r="8481">
      <c r="A8481" s="8" t="str">
        <f>IFERROR(__xludf.DUMMYFUNCTION("IF('(INGESTA)Datos_consumo_datadis'!A8481&lt;&gt;"""",SPLIT('(INGESTA)Datos_consumo_datadis'!A:A,"",""),"""")"),"ES0031408323131005HX0F")</f>
        <v>ES0031408323131005HX0F</v>
      </c>
      <c r="B8481" s="17">
        <f>IFERROR(__xludf.DUMMYFUNCTION("""COMPUTED_VALUE"""),45219.0)</f>
        <v>45219</v>
      </c>
      <c r="C8481" s="13">
        <f>IFERROR(__xludf.DUMMYFUNCTION("""COMPUTED_VALUE"""),0.375)</f>
        <v>0.375</v>
      </c>
      <c r="D8481" s="8">
        <f>IFERROR(__xludf.DUMMYFUNCTION("""COMPUTED_VALUE"""),0.12)</f>
        <v>0.12</v>
      </c>
      <c r="E8481" s="8" t="str">
        <f>IFERROR(__xludf.DUMMYFUNCTION("""COMPUTED_VALUE"""),"Real")</f>
        <v>Real</v>
      </c>
      <c r="G8481" s="8">
        <f t="shared" si="1"/>
        <v>10</v>
      </c>
      <c r="H8481" s="14">
        <f t="shared" si="2"/>
        <v>20</v>
      </c>
      <c r="I8481" s="15">
        <f t="shared" si="3"/>
        <v>9</v>
      </c>
    </row>
    <row r="8482">
      <c r="A8482" s="8" t="str">
        <f>IFERROR(__xludf.DUMMYFUNCTION("IF('(INGESTA)Datos_consumo_datadis'!A8482&lt;&gt;"""",SPLIT('(INGESTA)Datos_consumo_datadis'!A:A,"",""),"""")"),"ES0031408323131005HX0F")</f>
        <v>ES0031408323131005HX0F</v>
      </c>
      <c r="B8482" s="17">
        <f>IFERROR(__xludf.DUMMYFUNCTION("""COMPUTED_VALUE"""),45219.0)</f>
        <v>45219</v>
      </c>
      <c r="C8482" s="13">
        <f>IFERROR(__xludf.DUMMYFUNCTION("""COMPUTED_VALUE"""),0.4166666666666667)</f>
        <v>0.4166666667</v>
      </c>
      <c r="D8482" s="8">
        <f>IFERROR(__xludf.DUMMYFUNCTION("""COMPUTED_VALUE"""),0.118)</f>
        <v>0.118</v>
      </c>
      <c r="E8482" s="8" t="str">
        <f>IFERROR(__xludf.DUMMYFUNCTION("""COMPUTED_VALUE"""),"Real")</f>
        <v>Real</v>
      </c>
      <c r="G8482" s="8">
        <f t="shared" si="1"/>
        <v>10</v>
      </c>
      <c r="H8482" s="14">
        <f t="shared" si="2"/>
        <v>20</v>
      </c>
      <c r="I8482" s="15">
        <f t="shared" si="3"/>
        <v>10</v>
      </c>
    </row>
    <row r="8483">
      <c r="A8483" s="8" t="str">
        <f>IFERROR(__xludf.DUMMYFUNCTION("IF('(INGESTA)Datos_consumo_datadis'!A8483&lt;&gt;"""",SPLIT('(INGESTA)Datos_consumo_datadis'!A:A,"",""),"""")"),"ES0031408323131005HX0F")</f>
        <v>ES0031408323131005HX0F</v>
      </c>
      <c r="B8483" s="17">
        <f>IFERROR(__xludf.DUMMYFUNCTION("""COMPUTED_VALUE"""),45219.0)</f>
        <v>45219</v>
      </c>
      <c r="C8483" s="13">
        <f>IFERROR(__xludf.DUMMYFUNCTION("""COMPUTED_VALUE"""),0.4583333333333333)</f>
        <v>0.4583333333</v>
      </c>
      <c r="D8483" s="8">
        <f>IFERROR(__xludf.DUMMYFUNCTION("""COMPUTED_VALUE"""),0.112)</f>
        <v>0.112</v>
      </c>
      <c r="E8483" s="8" t="str">
        <f>IFERROR(__xludf.DUMMYFUNCTION("""COMPUTED_VALUE"""),"Real")</f>
        <v>Real</v>
      </c>
      <c r="G8483" s="8">
        <f t="shared" si="1"/>
        <v>10</v>
      </c>
      <c r="H8483" s="14">
        <f t="shared" si="2"/>
        <v>20</v>
      </c>
      <c r="I8483" s="15">
        <f t="shared" si="3"/>
        <v>11</v>
      </c>
    </row>
    <row r="8484">
      <c r="A8484" s="8" t="str">
        <f>IFERROR(__xludf.DUMMYFUNCTION("IF('(INGESTA)Datos_consumo_datadis'!A8484&lt;&gt;"""",SPLIT('(INGESTA)Datos_consumo_datadis'!A:A,"",""),"""")"),"ES0031408323131005HX0F")</f>
        <v>ES0031408323131005HX0F</v>
      </c>
      <c r="B8484" s="17">
        <f>IFERROR(__xludf.DUMMYFUNCTION("""COMPUTED_VALUE"""),45219.0)</f>
        <v>45219</v>
      </c>
      <c r="C8484" s="13">
        <f>IFERROR(__xludf.DUMMYFUNCTION("""COMPUTED_VALUE"""),0.5)</f>
        <v>0.5</v>
      </c>
      <c r="D8484" s="8">
        <f>IFERROR(__xludf.DUMMYFUNCTION("""COMPUTED_VALUE"""),0.111)</f>
        <v>0.111</v>
      </c>
      <c r="E8484" s="8" t="str">
        <f>IFERROR(__xludf.DUMMYFUNCTION("""COMPUTED_VALUE"""),"Real")</f>
        <v>Real</v>
      </c>
      <c r="G8484" s="8">
        <f t="shared" si="1"/>
        <v>10</v>
      </c>
      <c r="H8484" s="14">
        <f t="shared" si="2"/>
        <v>20</v>
      </c>
      <c r="I8484" s="15">
        <f t="shared" si="3"/>
        <v>12</v>
      </c>
    </row>
    <row r="8485">
      <c r="A8485" s="8" t="str">
        <f>IFERROR(__xludf.DUMMYFUNCTION("IF('(INGESTA)Datos_consumo_datadis'!A8485&lt;&gt;"""",SPLIT('(INGESTA)Datos_consumo_datadis'!A:A,"",""),"""")"),"ES0031408323131005HX0F")</f>
        <v>ES0031408323131005HX0F</v>
      </c>
      <c r="B8485" s="17">
        <f>IFERROR(__xludf.DUMMYFUNCTION("""COMPUTED_VALUE"""),45219.0)</f>
        <v>45219</v>
      </c>
      <c r="C8485" s="13">
        <f>IFERROR(__xludf.DUMMYFUNCTION("""COMPUTED_VALUE"""),0.5416666666666666)</f>
        <v>0.5416666667</v>
      </c>
      <c r="D8485" s="8">
        <f>IFERROR(__xludf.DUMMYFUNCTION("""COMPUTED_VALUE"""),0.109)</f>
        <v>0.109</v>
      </c>
      <c r="E8485" s="8" t="str">
        <f>IFERROR(__xludf.DUMMYFUNCTION("""COMPUTED_VALUE"""),"Real")</f>
        <v>Real</v>
      </c>
      <c r="G8485" s="8">
        <f t="shared" si="1"/>
        <v>10</v>
      </c>
      <c r="H8485" s="14">
        <f t="shared" si="2"/>
        <v>20</v>
      </c>
      <c r="I8485" s="15">
        <f t="shared" si="3"/>
        <v>13</v>
      </c>
    </row>
    <row r="8486">
      <c r="A8486" s="8" t="str">
        <f>IFERROR(__xludf.DUMMYFUNCTION("IF('(INGESTA)Datos_consumo_datadis'!A8486&lt;&gt;"""",SPLIT('(INGESTA)Datos_consumo_datadis'!A:A,"",""),"""")"),"ES0031408323131005HX0F")</f>
        <v>ES0031408323131005HX0F</v>
      </c>
      <c r="B8486" s="17">
        <f>IFERROR(__xludf.DUMMYFUNCTION("""COMPUTED_VALUE"""),45219.0)</f>
        <v>45219</v>
      </c>
      <c r="C8486" s="13">
        <f>IFERROR(__xludf.DUMMYFUNCTION("""COMPUTED_VALUE"""),0.5833333333333334)</f>
        <v>0.5833333333</v>
      </c>
      <c r="D8486" s="8">
        <f>IFERROR(__xludf.DUMMYFUNCTION("""COMPUTED_VALUE"""),0.383)</f>
        <v>0.383</v>
      </c>
      <c r="E8486" s="8" t="str">
        <f>IFERROR(__xludf.DUMMYFUNCTION("""COMPUTED_VALUE"""),"Real")</f>
        <v>Real</v>
      </c>
      <c r="G8486" s="8">
        <f t="shared" si="1"/>
        <v>10</v>
      </c>
      <c r="H8486" s="14">
        <f t="shared" si="2"/>
        <v>20</v>
      </c>
      <c r="I8486" s="15">
        <f t="shared" si="3"/>
        <v>14</v>
      </c>
    </row>
    <row r="8487">
      <c r="A8487" s="8" t="str">
        <f>IFERROR(__xludf.DUMMYFUNCTION("IF('(INGESTA)Datos_consumo_datadis'!A8487&lt;&gt;"""",SPLIT('(INGESTA)Datos_consumo_datadis'!A:A,"",""),"""")"),"ES0031408323131005HX0F")</f>
        <v>ES0031408323131005HX0F</v>
      </c>
      <c r="B8487" s="17">
        <f>IFERROR(__xludf.DUMMYFUNCTION("""COMPUTED_VALUE"""),45219.0)</f>
        <v>45219</v>
      </c>
      <c r="C8487" s="13">
        <f>IFERROR(__xludf.DUMMYFUNCTION("""COMPUTED_VALUE"""),0.625)</f>
        <v>0.625</v>
      </c>
      <c r="D8487" s="8">
        <f>IFERROR(__xludf.DUMMYFUNCTION("""COMPUTED_VALUE"""),0.107)</f>
        <v>0.107</v>
      </c>
      <c r="E8487" s="8" t="str">
        <f>IFERROR(__xludf.DUMMYFUNCTION("""COMPUTED_VALUE"""),"Real")</f>
        <v>Real</v>
      </c>
      <c r="G8487" s="8">
        <f t="shared" si="1"/>
        <v>10</v>
      </c>
      <c r="H8487" s="14">
        <f t="shared" si="2"/>
        <v>20</v>
      </c>
      <c r="I8487" s="15">
        <f t="shared" si="3"/>
        <v>15</v>
      </c>
    </row>
    <row r="8488">
      <c r="A8488" s="8" t="str">
        <f>IFERROR(__xludf.DUMMYFUNCTION("IF('(INGESTA)Datos_consumo_datadis'!A8488&lt;&gt;"""",SPLIT('(INGESTA)Datos_consumo_datadis'!A:A,"",""),"""")"),"ES0031408323131005HX0F")</f>
        <v>ES0031408323131005HX0F</v>
      </c>
      <c r="B8488" s="17">
        <f>IFERROR(__xludf.DUMMYFUNCTION("""COMPUTED_VALUE"""),45219.0)</f>
        <v>45219</v>
      </c>
      <c r="C8488" s="13">
        <f>IFERROR(__xludf.DUMMYFUNCTION("""COMPUTED_VALUE"""),0.6666666666666666)</f>
        <v>0.6666666667</v>
      </c>
      <c r="D8488" s="8">
        <f>IFERROR(__xludf.DUMMYFUNCTION("""COMPUTED_VALUE"""),0.082)</f>
        <v>0.082</v>
      </c>
      <c r="E8488" s="8" t="str">
        <f>IFERROR(__xludf.DUMMYFUNCTION("""COMPUTED_VALUE"""),"Real")</f>
        <v>Real</v>
      </c>
      <c r="G8488" s="8">
        <f t="shared" si="1"/>
        <v>10</v>
      </c>
      <c r="H8488" s="14">
        <f t="shared" si="2"/>
        <v>20</v>
      </c>
      <c r="I8488" s="15">
        <f t="shared" si="3"/>
        <v>16</v>
      </c>
    </row>
    <row r="8489">
      <c r="A8489" s="8" t="str">
        <f>IFERROR(__xludf.DUMMYFUNCTION("IF('(INGESTA)Datos_consumo_datadis'!A8489&lt;&gt;"""",SPLIT('(INGESTA)Datos_consumo_datadis'!A:A,"",""),"""")"),"ES0031408323131005HX0F")</f>
        <v>ES0031408323131005HX0F</v>
      </c>
      <c r="B8489" s="17">
        <f>IFERROR(__xludf.DUMMYFUNCTION("""COMPUTED_VALUE"""),45219.0)</f>
        <v>45219</v>
      </c>
      <c r="C8489" s="13">
        <f>IFERROR(__xludf.DUMMYFUNCTION("""COMPUTED_VALUE"""),0.7083333333333334)</f>
        <v>0.7083333333</v>
      </c>
      <c r="D8489" s="8">
        <f>IFERROR(__xludf.DUMMYFUNCTION("""COMPUTED_VALUE"""),0.014)</f>
        <v>0.014</v>
      </c>
      <c r="E8489" s="8" t="str">
        <f>IFERROR(__xludf.DUMMYFUNCTION("""COMPUTED_VALUE"""),"Real")</f>
        <v>Real</v>
      </c>
      <c r="G8489" s="8">
        <f t="shared" si="1"/>
        <v>10</v>
      </c>
      <c r="H8489" s="14">
        <f t="shared" si="2"/>
        <v>20</v>
      </c>
      <c r="I8489" s="15">
        <f t="shared" si="3"/>
        <v>17</v>
      </c>
    </row>
    <row r="8490">
      <c r="A8490" s="8" t="str">
        <f>IFERROR(__xludf.DUMMYFUNCTION("IF('(INGESTA)Datos_consumo_datadis'!A8490&lt;&gt;"""",SPLIT('(INGESTA)Datos_consumo_datadis'!A:A,"",""),"""")"),"ES0031408323131005HX0F")</f>
        <v>ES0031408323131005HX0F</v>
      </c>
      <c r="B8490" s="17">
        <f>IFERROR(__xludf.DUMMYFUNCTION("""COMPUTED_VALUE"""),45219.0)</f>
        <v>45219</v>
      </c>
      <c r="C8490" s="13">
        <f>IFERROR(__xludf.DUMMYFUNCTION("""COMPUTED_VALUE"""),0.75)</f>
        <v>0.75</v>
      </c>
      <c r="D8490" s="8">
        <f>IFERROR(__xludf.DUMMYFUNCTION("""COMPUTED_VALUE"""),0.071)</f>
        <v>0.071</v>
      </c>
      <c r="E8490" s="8" t="str">
        <f>IFERROR(__xludf.DUMMYFUNCTION("""COMPUTED_VALUE"""),"Real")</f>
        <v>Real</v>
      </c>
      <c r="G8490" s="8">
        <f t="shared" si="1"/>
        <v>10</v>
      </c>
      <c r="H8490" s="14">
        <f t="shared" si="2"/>
        <v>20</v>
      </c>
      <c r="I8490" s="15">
        <f t="shared" si="3"/>
        <v>18</v>
      </c>
    </row>
    <row r="8491">
      <c r="A8491" s="8" t="str">
        <f>IFERROR(__xludf.DUMMYFUNCTION("IF('(INGESTA)Datos_consumo_datadis'!A8491&lt;&gt;"""",SPLIT('(INGESTA)Datos_consumo_datadis'!A:A,"",""),"""")"),"ES0031408323131005HX0F")</f>
        <v>ES0031408323131005HX0F</v>
      </c>
      <c r="B8491" s="17">
        <f>IFERROR(__xludf.DUMMYFUNCTION("""COMPUTED_VALUE"""),45219.0)</f>
        <v>45219</v>
      </c>
      <c r="C8491" s="13">
        <f>IFERROR(__xludf.DUMMYFUNCTION("""COMPUTED_VALUE"""),0.7916666666666666)</f>
        <v>0.7916666667</v>
      </c>
      <c r="D8491" s="8">
        <f>IFERROR(__xludf.DUMMYFUNCTION("""COMPUTED_VALUE"""),0.109)</f>
        <v>0.109</v>
      </c>
      <c r="E8491" s="8" t="str">
        <f>IFERROR(__xludf.DUMMYFUNCTION("""COMPUTED_VALUE"""),"Real")</f>
        <v>Real</v>
      </c>
      <c r="G8491" s="8">
        <f t="shared" si="1"/>
        <v>10</v>
      </c>
      <c r="H8491" s="14">
        <f t="shared" si="2"/>
        <v>20</v>
      </c>
      <c r="I8491" s="15">
        <f t="shared" si="3"/>
        <v>19</v>
      </c>
    </row>
    <row r="8492">
      <c r="A8492" s="8" t="str">
        <f>IFERROR(__xludf.DUMMYFUNCTION("IF('(INGESTA)Datos_consumo_datadis'!A8492&lt;&gt;"""",SPLIT('(INGESTA)Datos_consumo_datadis'!A:A,"",""),"""")"),"ES0031408323131005HX0F")</f>
        <v>ES0031408323131005HX0F</v>
      </c>
      <c r="B8492" s="17">
        <f>IFERROR(__xludf.DUMMYFUNCTION("""COMPUTED_VALUE"""),45219.0)</f>
        <v>45219</v>
      </c>
      <c r="C8492" s="13">
        <f>IFERROR(__xludf.DUMMYFUNCTION("""COMPUTED_VALUE"""),0.8333333333333334)</f>
        <v>0.8333333333</v>
      </c>
      <c r="D8492" s="8">
        <f>IFERROR(__xludf.DUMMYFUNCTION("""COMPUTED_VALUE"""),0.611)</f>
        <v>0.611</v>
      </c>
      <c r="E8492" s="8" t="str">
        <f>IFERROR(__xludf.DUMMYFUNCTION("""COMPUTED_VALUE"""),"Real")</f>
        <v>Real</v>
      </c>
      <c r="G8492" s="8">
        <f t="shared" si="1"/>
        <v>10</v>
      </c>
      <c r="H8492" s="14">
        <f t="shared" si="2"/>
        <v>20</v>
      </c>
      <c r="I8492" s="15">
        <f t="shared" si="3"/>
        <v>20</v>
      </c>
    </row>
    <row r="8493">
      <c r="A8493" s="8" t="str">
        <f>IFERROR(__xludf.DUMMYFUNCTION("IF('(INGESTA)Datos_consumo_datadis'!A8493&lt;&gt;"""",SPLIT('(INGESTA)Datos_consumo_datadis'!A:A,"",""),"""")"),"ES0031408323131005HX0F")</f>
        <v>ES0031408323131005HX0F</v>
      </c>
      <c r="B8493" s="17">
        <f>IFERROR(__xludf.DUMMYFUNCTION("""COMPUTED_VALUE"""),45219.0)</f>
        <v>45219</v>
      </c>
      <c r="C8493" s="13">
        <f>IFERROR(__xludf.DUMMYFUNCTION("""COMPUTED_VALUE"""),0.875)</f>
        <v>0.875</v>
      </c>
      <c r="D8493" s="8">
        <f>IFERROR(__xludf.DUMMYFUNCTION("""COMPUTED_VALUE"""),0.105)</f>
        <v>0.105</v>
      </c>
      <c r="E8493" s="8" t="str">
        <f>IFERROR(__xludf.DUMMYFUNCTION("""COMPUTED_VALUE"""),"Real")</f>
        <v>Real</v>
      </c>
      <c r="G8493" s="8">
        <f t="shared" si="1"/>
        <v>10</v>
      </c>
      <c r="H8493" s="14">
        <f t="shared" si="2"/>
        <v>20</v>
      </c>
      <c r="I8493" s="15">
        <f t="shared" si="3"/>
        <v>21</v>
      </c>
    </row>
    <row r="8494">
      <c r="A8494" s="8" t="str">
        <f>IFERROR(__xludf.DUMMYFUNCTION("IF('(INGESTA)Datos_consumo_datadis'!A8494&lt;&gt;"""",SPLIT('(INGESTA)Datos_consumo_datadis'!A:A,"",""),"""")"),"ES0031408323131005HX0F")</f>
        <v>ES0031408323131005HX0F</v>
      </c>
      <c r="B8494" s="17">
        <f>IFERROR(__xludf.DUMMYFUNCTION("""COMPUTED_VALUE"""),45219.0)</f>
        <v>45219</v>
      </c>
      <c r="C8494" s="13">
        <f>IFERROR(__xludf.DUMMYFUNCTION("""COMPUTED_VALUE"""),0.9166666666666666)</f>
        <v>0.9166666667</v>
      </c>
      <c r="D8494" s="8">
        <f>IFERROR(__xludf.DUMMYFUNCTION("""COMPUTED_VALUE"""),0.105)</f>
        <v>0.105</v>
      </c>
      <c r="E8494" s="8" t="str">
        <f>IFERROR(__xludf.DUMMYFUNCTION("""COMPUTED_VALUE"""),"Real")</f>
        <v>Real</v>
      </c>
      <c r="G8494" s="8">
        <f t="shared" si="1"/>
        <v>10</v>
      </c>
      <c r="H8494" s="14">
        <f t="shared" si="2"/>
        <v>20</v>
      </c>
      <c r="I8494" s="15">
        <f t="shared" si="3"/>
        <v>22</v>
      </c>
    </row>
    <row r="8495">
      <c r="A8495" s="8" t="str">
        <f>IFERROR(__xludf.DUMMYFUNCTION("IF('(INGESTA)Datos_consumo_datadis'!A8495&lt;&gt;"""",SPLIT('(INGESTA)Datos_consumo_datadis'!A:A,"",""),"""")"),"ES0031408323131005HX0F")</f>
        <v>ES0031408323131005HX0F</v>
      </c>
      <c r="B8495" s="17">
        <f>IFERROR(__xludf.DUMMYFUNCTION("""COMPUTED_VALUE"""),45219.0)</f>
        <v>45219</v>
      </c>
      <c r="C8495" s="13">
        <f>IFERROR(__xludf.DUMMYFUNCTION("""COMPUTED_VALUE"""),0.9583333333333334)</f>
        <v>0.9583333333</v>
      </c>
      <c r="D8495" s="8">
        <f>IFERROR(__xludf.DUMMYFUNCTION("""COMPUTED_VALUE"""),0.086)</f>
        <v>0.086</v>
      </c>
      <c r="E8495" s="8" t="str">
        <f>IFERROR(__xludf.DUMMYFUNCTION("""COMPUTED_VALUE"""),"Real")</f>
        <v>Real</v>
      </c>
      <c r="G8495" s="8">
        <f t="shared" si="1"/>
        <v>10</v>
      </c>
      <c r="H8495" s="14">
        <f t="shared" si="2"/>
        <v>20</v>
      </c>
      <c r="I8495" s="15">
        <f t="shared" si="3"/>
        <v>23</v>
      </c>
    </row>
    <row r="8496">
      <c r="A8496" s="8" t="str">
        <f>IFERROR(__xludf.DUMMYFUNCTION("IF('(INGESTA)Datos_consumo_datadis'!A8496&lt;&gt;"""",SPLIT('(INGESTA)Datos_consumo_datadis'!A:A,"",""),"""")"),"ES0031408323131005HX0F")</f>
        <v>ES0031408323131005HX0F</v>
      </c>
      <c r="B8496" s="17">
        <f>IFERROR(__xludf.DUMMYFUNCTION("""COMPUTED_VALUE"""),45219.0)</f>
        <v>45219</v>
      </c>
      <c r="C8496" s="16">
        <f>IFERROR(__xludf.DUMMYFUNCTION("""COMPUTED_VALUE"""),1.0)</f>
        <v>1</v>
      </c>
      <c r="D8496" s="8">
        <f>IFERROR(__xludf.DUMMYFUNCTION("""COMPUTED_VALUE"""),0.014)</f>
        <v>0.014</v>
      </c>
      <c r="E8496" s="8" t="str">
        <f>IFERROR(__xludf.DUMMYFUNCTION("""COMPUTED_VALUE"""),"Real")</f>
        <v>Real</v>
      </c>
      <c r="G8496" s="8">
        <f t="shared" si="1"/>
        <v>10</v>
      </c>
      <c r="H8496" s="14">
        <f t="shared" si="2"/>
        <v>20</v>
      </c>
      <c r="I8496" s="15">
        <f t="shared" si="3"/>
        <v>0</v>
      </c>
    </row>
    <row r="8497">
      <c r="A8497" s="8" t="str">
        <f>IFERROR(__xludf.DUMMYFUNCTION("IF('(INGESTA)Datos_consumo_datadis'!A8497&lt;&gt;"""",SPLIT('(INGESTA)Datos_consumo_datadis'!A:A,"",""),"""")"),"ES0031408323131005HX0F")</f>
        <v>ES0031408323131005HX0F</v>
      </c>
      <c r="B8497" s="17">
        <f>IFERROR(__xludf.DUMMYFUNCTION("""COMPUTED_VALUE"""),45220.0)</f>
        <v>45220</v>
      </c>
      <c r="C8497" s="13">
        <f>IFERROR(__xludf.DUMMYFUNCTION("""COMPUTED_VALUE"""),0.041666666666666664)</f>
        <v>0.04166666667</v>
      </c>
      <c r="D8497" s="8">
        <f>IFERROR(__xludf.DUMMYFUNCTION("""COMPUTED_VALUE"""),0.15)</f>
        <v>0.15</v>
      </c>
      <c r="E8497" s="8" t="str">
        <f>IFERROR(__xludf.DUMMYFUNCTION("""COMPUTED_VALUE"""),"Real")</f>
        <v>Real</v>
      </c>
      <c r="G8497" s="8">
        <f t="shared" si="1"/>
        <v>10</v>
      </c>
      <c r="H8497" s="14">
        <f t="shared" si="2"/>
        <v>21</v>
      </c>
      <c r="I8497" s="15">
        <f t="shared" si="3"/>
        <v>1</v>
      </c>
    </row>
    <row r="8498">
      <c r="A8498" s="8" t="str">
        <f>IFERROR(__xludf.DUMMYFUNCTION("IF('(INGESTA)Datos_consumo_datadis'!A8498&lt;&gt;"""",SPLIT('(INGESTA)Datos_consumo_datadis'!A:A,"",""),"""")"),"ES0031408323131005HX0F")</f>
        <v>ES0031408323131005HX0F</v>
      </c>
      <c r="B8498" s="17">
        <f>IFERROR(__xludf.DUMMYFUNCTION("""COMPUTED_VALUE"""),45220.0)</f>
        <v>45220</v>
      </c>
      <c r="C8498" s="13">
        <f>IFERROR(__xludf.DUMMYFUNCTION("""COMPUTED_VALUE"""),0.08333333333333333)</f>
        <v>0.08333333333</v>
      </c>
      <c r="D8498" s="8">
        <f>IFERROR(__xludf.DUMMYFUNCTION("""COMPUTED_VALUE"""),0.321)</f>
        <v>0.321</v>
      </c>
      <c r="E8498" s="8" t="str">
        <f>IFERROR(__xludf.DUMMYFUNCTION("""COMPUTED_VALUE"""),"Real")</f>
        <v>Real</v>
      </c>
      <c r="G8498" s="8">
        <f t="shared" si="1"/>
        <v>10</v>
      </c>
      <c r="H8498" s="14">
        <f t="shared" si="2"/>
        <v>21</v>
      </c>
      <c r="I8498" s="15">
        <f t="shared" si="3"/>
        <v>2</v>
      </c>
    </row>
    <row r="8499">
      <c r="A8499" s="8" t="str">
        <f>IFERROR(__xludf.DUMMYFUNCTION("IF('(INGESTA)Datos_consumo_datadis'!A8499&lt;&gt;"""",SPLIT('(INGESTA)Datos_consumo_datadis'!A:A,"",""),"""")"),"ES0031408323131005HX0F")</f>
        <v>ES0031408323131005HX0F</v>
      </c>
      <c r="B8499" s="17">
        <f>IFERROR(__xludf.DUMMYFUNCTION("""COMPUTED_VALUE"""),45220.0)</f>
        <v>45220</v>
      </c>
      <c r="C8499" s="13">
        <f>IFERROR(__xludf.DUMMYFUNCTION("""COMPUTED_VALUE"""),0.125)</f>
        <v>0.125</v>
      </c>
      <c r="D8499" s="8">
        <f>IFERROR(__xludf.DUMMYFUNCTION("""COMPUTED_VALUE"""),0.142)</f>
        <v>0.142</v>
      </c>
      <c r="E8499" s="8" t="str">
        <f>IFERROR(__xludf.DUMMYFUNCTION("""COMPUTED_VALUE"""),"Real")</f>
        <v>Real</v>
      </c>
      <c r="G8499" s="8">
        <f t="shared" si="1"/>
        <v>10</v>
      </c>
      <c r="H8499" s="14">
        <f t="shared" si="2"/>
        <v>21</v>
      </c>
      <c r="I8499" s="15">
        <f t="shared" si="3"/>
        <v>3</v>
      </c>
    </row>
    <row r="8500">
      <c r="A8500" s="8" t="str">
        <f>IFERROR(__xludf.DUMMYFUNCTION("IF('(INGESTA)Datos_consumo_datadis'!A8500&lt;&gt;"""",SPLIT('(INGESTA)Datos_consumo_datadis'!A:A,"",""),"""")"),"ES0031408323131005HX0F")</f>
        <v>ES0031408323131005HX0F</v>
      </c>
      <c r="B8500" s="17">
        <f>IFERROR(__xludf.DUMMYFUNCTION("""COMPUTED_VALUE"""),45220.0)</f>
        <v>45220</v>
      </c>
      <c r="C8500" s="13">
        <f>IFERROR(__xludf.DUMMYFUNCTION("""COMPUTED_VALUE"""),0.16666666666666666)</f>
        <v>0.1666666667</v>
      </c>
      <c r="D8500" s="8">
        <f>IFERROR(__xludf.DUMMYFUNCTION("""COMPUTED_VALUE"""),0.084)</f>
        <v>0.084</v>
      </c>
      <c r="E8500" s="8" t="str">
        <f>IFERROR(__xludf.DUMMYFUNCTION("""COMPUTED_VALUE"""),"Real")</f>
        <v>Real</v>
      </c>
      <c r="G8500" s="8">
        <f t="shared" si="1"/>
        <v>10</v>
      </c>
      <c r="H8500" s="14">
        <f t="shared" si="2"/>
        <v>21</v>
      </c>
      <c r="I8500" s="15">
        <f t="shared" si="3"/>
        <v>4</v>
      </c>
    </row>
    <row r="8501">
      <c r="A8501" s="8" t="str">
        <f>IFERROR(__xludf.DUMMYFUNCTION("IF('(INGESTA)Datos_consumo_datadis'!A8501&lt;&gt;"""",SPLIT('(INGESTA)Datos_consumo_datadis'!A:A,"",""),"""")"),"ES0031408323131005HX0F")</f>
        <v>ES0031408323131005HX0F</v>
      </c>
      <c r="B8501" s="17">
        <f>IFERROR(__xludf.DUMMYFUNCTION("""COMPUTED_VALUE"""),45220.0)</f>
        <v>45220</v>
      </c>
      <c r="C8501" s="13">
        <f>IFERROR(__xludf.DUMMYFUNCTION("""COMPUTED_VALUE"""),0.20833333333333334)</f>
        <v>0.2083333333</v>
      </c>
      <c r="D8501" s="8">
        <f>IFERROR(__xludf.DUMMYFUNCTION("""COMPUTED_VALUE"""),0.053)</f>
        <v>0.053</v>
      </c>
      <c r="E8501" s="8" t="str">
        <f>IFERROR(__xludf.DUMMYFUNCTION("""COMPUTED_VALUE"""),"Real")</f>
        <v>Real</v>
      </c>
      <c r="G8501" s="8">
        <f t="shared" si="1"/>
        <v>10</v>
      </c>
      <c r="H8501" s="14">
        <f t="shared" si="2"/>
        <v>21</v>
      </c>
      <c r="I8501" s="15">
        <f t="shared" si="3"/>
        <v>5</v>
      </c>
    </row>
    <row r="8502">
      <c r="A8502" s="8" t="str">
        <f>IFERROR(__xludf.DUMMYFUNCTION("IF('(INGESTA)Datos_consumo_datadis'!A8502&lt;&gt;"""",SPLIT('(INGESTA)Datos_consumo_datadis'!A:A,"",""),"""")"),"ES0031408323131005HX0F")</f>
        <v>ES0031408323131005HX0F</v>
      </c>
      <c r="B8502" s="17">
        <f>IFERROR(__xludf.DUMMYFUNCTION("""COMPUTED_VALUE"""),45220.0)</f>
        <v>45220</v>
      </c>
      <c r="C8502" s="13">
        <f>IFERROR(__xludf.DUMMYFUNCTION("""COMPUTED_VALUE"""),0.25)</f>
        <v>0.25</v>
      </c>
      <c r="D8502" s="8">
        <f>IFERROR(__xludf.DUMMYFUNCTION("""COMPUTED_VALUE"""),0.019)</f>
        <v>0.019</v>
      </c>
      <c r="E8502" s="8" t="str">
        <f>IFERROR(__xludf.DUMMYFUNCTION("""COMPUTED_VALUE"""),"Real")</f>
        <v>Real</v>
      </c>
      <c r="G8502" s="8">
        <f t="shared" si="1"/>
        <v>10</v>
      </c>
      <c r="H8502" s="14">
        <f t="shared" si="2"/>
        <v>21</v>
      </c>
      <c r="I8502" s="15">
        <f t="shared" si="3"/>
        <v>6</v>
      </c>
    </row>
    <row r="8503">
      <c r="A8503" s="8" t="str">
        <f>IFERROR(__xludf.DUMMYFUNCTION("IF('(INGESTA)Datos_consumo_datadis'!A8503&lt;&gt;"""",SPLIT('(INGESTA)Datos_consumo_datadis'!A:A,"",""),"""")"),"ES0031408323131005HX0F")</f>
        <v>ES0031408323131005HX0F</v>
      </c>
      <c r="B8503" s="17">
        <f>IFERROR(__xludf.DUMMYFUNCTION("""COMPUTED_VALUE"""),45220.0)</f>
        <v>45220</v>
      </c>
      <c r="C8503" s="13">
        <f>IFERROR(__xludf.DUMMYFUNCTION("""COMPUTED_VALUE"""),0.2916666666666667)</f>
        <v>0.2916666667</v>
      </c>
      <c r="D8503" s="8">
        <f>IFERROR(__xludf.DUMMYFUNCTION("""COMPUTED_VALUE"""),0.096)</f>
        <v>0.096</v>
      </c>
      <c r="E8503" s="8" t="str">
        <f>IFERROR(__xludf.DUMMYFUNCTION("""COMPUTED_VALUE"""),"Real")</f>
        <v>Real</v>
      </c>
      <c r="G8503" s="8">
        <f t="shared" si="1"/>
        <v>10</v>
      </c>
      <c r="H8503" s="14">
        <f t="shared" si="2"/>
        <v>21</v>
      </c>
      <c r="I8503" s="15">
        <f t="shared" si="3"/>
        <v>7</v>
      </c>
    </row>
    <row r="8504">
      <c r="A8504" s="8" t="str">
        <f>IFERROR(__xludf.DUMMYFUNCTION("IF('(INGESTA)Datos_consumo_datadis'!A8504&lt;&gt;"""",SPLIT('(INGESTA)Datos_consumo_datadis'!A:A,"",""),"""")"),"ES0031408323131005HX0F")</f>
        <v>ES0031408323131005HX0F</v>
      </c>
      <c r="B8504" s="17">
        <f>IFERROR(__xludf.DUMMYFUNCTION("""COMPUTED_VALUE"""),45220.0)</f>
        <v>45220</v>
      </c>
      <c r="C8504" s="13">
        <f>IFERROR(__xludf.DUMMYFUNCTION("""COMPUTED_VALUE"""),0.3333333333333333)</f>
        <v>0.3333333333</v>
      </c>
      <c r="D8504" s="8">
        <f>IFERROR(__xludf.DUMMYFUNCTION("""COMPUTED_VALUE"""),0.091)</f>
        <v>0.091</v>
      </c>
      <c r="E8504" s="8" t="str">
        <f>IFERROR(__xludf.DUMMYFUNCTION("""COMPUTED_VALUE"""),"Real")</f>
        <v>Real</v>
      </c>
      <c r="G8504" s="8">
        <f t="shared" si="1"/>
        <v>10</v>
      </c>
      <c r="H8504" s="14">
        <f t="shared" si="2"/>
        <v>21</v>
      </c>
      <c r="I8504" s="15">
        <f t="shared" si="3"/>
        <v>8</v>
      </c>
    </row>
    <row r="8505">
      <c r="A8505" s="8" t="str">
        <f>IFERROR(__xludf.DUMMYFUNCTION("IF('(INGESTA)Datos_consumo_datadis'!A8505&lt;&gt;"""",SPLIT('(INGESTA)Datos_consumo_datadis'!A:A,"",""),"""")"),"ES0031408323131005HX0F")</f>
        <v>ES0031408323131005HX0F</v>
      </c>
      <c r="B8505" s="17">
        <f>IFERROR(__xludf.DUMMYFUNCTION("""COMPUTED_VALUE"""),45220.0)</f>
        <v>45220</v>
      </c>
      <c r="C8505" s="13">
        <f>IFERROR(__xludf.DUMMYFUNCTION("""COMPUTED_VALUE"""),0.375)</f>
        <v>0.375</v>
      </c>
      <c r="D8505" s="8">
        <f>IFERROR(__xludf.DUMMYFUNCTION("""COMPUTED_VALUE"""),0.334)</f>
        <v>0.334</v>
      </c>
      <c r="E8505" s="8" t="str">
        <f>IFERROR(__xludf.DUMMYFUNCTION("""COMPUTED_VALUE"""),"Real")</f>
        <v>Real</v>
      </c>
      <c r="G8505" s="8">
        <f t="shared" si="1"/>
        <v>10</v>
      </c>
      <c r="H8505" s="14">
        <f t="shared" si="2"/>
        <v>21</v>
      </c>
      <c r="I8505" s="15">
        <f t="shared" si="3"/>
        <v>9</v>
      </c>
    </row>
    <row r="8506">
      <c r="A8506" s="8" t="str">
        <f>IFERROR(__xludf.DUMMYFUNCTION("IF('(INGESTA)Datos_consumo_datadis'!A8506&lt;&gt;"""",SPLIT('(INGESTA)Datos_consumo_datadis'!A:A,"",""),"""")"),"ES0031408323131005HX0F")</f>
        <v>ES0031408323131005HX0F</v>
      </c>
      <c r="B8506" s="17">
        <f>IFERROR(__xludf.DUMMYFUNCTION("""COMPUTED_VALUE"""),45220.0)</f>
        <v>45220</v>
      </c>
      <c r="C8506" s="13">
        <f>IFERROR(__xludf.DUMMYFUNCTION("""COMPUTED_VALUE"""),0.4166666666666667)</f>
        <v>0.4166666667</v>
      </c>
      <c r="D8506" s="8">
        <f>IFERROR(__xludf.DUMMYFUNCTION("""COMPUTED_VALUE"""),0.129)</f>
        <v>0.129</v>
      </c>
      <c r="E8506" s="8" t="str">
        <f>IFERROR(__xludf.DUMMYFUNCTION("""COMPUTED_VALUE"""),"Real")</f>
        <v>Real</v>
      </c>
      <c r="G8506" s="8">
        <f t="shared" si="1"/>
        <v>10</v>
      </c>
      <c r="H8506" s="14">
        <f t="shared" si="2"/>
        <v>21</v>
      </c>
      <c r="I8506" s="15">
        <f t="shared" si="3"/>
        <v>10</v>
      </c>
    </row>
    <row r="8507">
      <c r="A8507" s="8" t="str">
        <f>IFERROR(__xludf.DUMMYFUNCTION("IF('(INGESTA)Datos_consumo_datadis'!A8507&lt;&gt;"""",SPLIT('(INGESTA)Datos_consumo_datadis'!A:A,"",""),"""")"),"ES0031408323131005HX0F")</f>
        <v>ES0031408323131005HX0F</v>
      </c>
      <c r="B8507" s="17">
        <f>IFERROR(__xludf.DUMMYFUNCTION("""COMPUTED_VALUE"""),45220.0)</f>
        <v>45220</v>
      </c>
      <c r="C8507" s="13">
        <f>IFERROR(__xludf.DUMMYFUNCTION("""COMPUTED_VALUE"""),0.4583333333333333)</f>
        <v>0.4583333333</v>
      </c>
      <c r="D8507" s="8">
        <f>IFERROR(__xludf.DUMMYFUNCTION("""COMPUTED_VALUE"""),0.092)</f>
        <v>0.092</v>
      </c>
      <c r="E8507" s="8" t="str">
        <f>IFERROR(__xludf.DUMMYFUNCTION("""COMPUTED_VALUE"""),"Real")</f>
        <v>Real</v>
      </c>
      <c r="G8507" s="8">
        <f t="shared" si="1"/>
        <v>10</v>
      </c>
      <c r="H8507" s="14">
        <f t="shared" si="2"/>
        <v>21</v>
      </c>
      <c r="I8507" s="15">
        <f t="shared" si="3"/>
        <v>11</v>
      </c>
    </row>
    <row r="8508">
      <c r="A8508" s="8" t="str">
        <f>IFERROR(__xludf.DUMMYFUNCTION("IF('(INGESTA)Datos_consumo_datadis'!A8508&lt;&gt;"""",SPLIT('(INGESTA)Datos_consumo_datadis'!A:A,"",""),"""")"),"ES0031408323131005HX0F")</f>
        <v>ES0031408323131005HX0F</v>
      </c>
      <c r="B8508" s="17">
        <f>IFERROR(__xludf.DUMMYFUNCTION("""COMPUTED_VALUE"""),45220.0)</f>
        <v>45220</v>
      </c>
      <c r="C8508" s="13">
        <f>IFERROR(__xludf.DUMMYFUNCTION("""COMPUTED_VALUE"""),0.5)</f>
        <v>0.5</v>
      </c>
      <c r="D8508" s="8">
        <f>IFERROR(__xludf.DUMMYFUNCTION("""COMPUTED_VALUE"""),0.106)</f>
        <v>0.106</v>
      </c>
      <c r="E8508" s="8" t="str">
        <f>IFERROR(__xludf.DUMMYFUNCTION("""COMPUTED_VALUE"""),"Real")</f>
        <v>Real</v>
      </c>
      <c r="G8508" s="8">
        <f t="shared" si="1"/>
        <v>10</v>
      </c>
      <c r="H8508" s="14">
        <f t="shared" si="2"/>
        <v>21</v>
      </c>
      <c r="I8508" s="15">
        <f t="shared" si="3"/>
        <v>12</v>
      </c>
    </row>
    <row r="8509">
      <c r="A8509" s="8" t="str">
        <f>IFERROR(__xludf.DUMMYFUNCTION("IF('(INGESTA)Datos_consumo_datadis'!A8509&lt;&gt;"""",SPLIT('(INGESTA)Datos_consumo_datadis'!A:A,"",""),"""")"),"ES0031408323131005HX0F")</f>
        <v>ES0031408323131005HX0F</v>
      </c>
      <c r="B8509" s="17">
        <f>IFERROR(__xludf.DUMMYFUNCTION("""COMPUTED_VALUE"""),45220.0)</f>
        <v>45220</v>
      </c>
      <c r="C8509" s="13">
        <f>IFERROR(__xludf.DUMMYFUNCTION("""COMPUTED_VALUE"""),0.5416666666666666)</f>
        <v>0.5416666667</v>
      </c>
      <c r="D8509" s="8">
        <f>IFERROR(__xludf.DUMMYFUNCTION("""COMPUTED_VALUE"""),0.061)</f>
        <v>0.061</v>
      </c>
      <c r="E8509" s="8" t="str">
        <f>IFERROR(__xludf.DUMMYFUNCTION("""COMPUTED_VALUE"""),"Real")</f>
        <v>Real</v>
      </c>
      <c r="G8509" s="8">
        <f t="shared" si="1"/>
        <v>10</v>
      </c>
      <c r="H8509" s="14">
        <f t="shared" si="2"/>
        <v>21</v>
      </c>
      <c r="I8509" s="15">
        <f t="shared" si="3"/>
        <v>13</v>
      </c>
    </row>
    <row r="8510">
      <c r="A8510" s="8" t="str">
        <f>IFERROR(__xludf.DUMMYFUNCTION("IF('(INGESTA)Datos_consumo_datadis'!A8510&lt;&gt;"""",SPLIT('(INGESTA)Datos_consumo_datadis'!A:A,"",""),"""")"),"ES0031408323131005HX0F")</f>
        <v>ES0031408323131005HX0F</v>
      </c>
      <c r="B8510" s="17">
        <f>IFERROR(__xludf.DUMMYFUNCTION("""COMPUTED_VALUE"""),45220.0)</f>
        <v>45220</v>
      </c>
      <c r="C8510" s="13">
        <f>IFERROR(__xludf.DUMMYFUNCTION("""COMPUTED_VALUE"""),0.5833333333333334)</f>
        <v>0.5833333333</v>
      </c>
      <c r="D8510" s="8">
        <f>IFERROR(__xludf.DUMMYFUNCTION("""COMPUTED_VALUE"""),0.331)</f>
        <v>0.331</v>
      </c>
      <c r="E8510" s="8" t="str">
        <f>IFERROR(__xludf.DUMMYFUNCTION("""COMPUTED_VALUE"""),"Real")</f>
        <v>Real</v>
      </c>
      <c r="G8510" s="8">
        <f t="shared" si="1"/>
        <v>10</v>
      </c>
      <c r="H8510" s="14">
        <f t="shared" si="2"/>
        <v>21</v>
      </c>
      <c r="I8510" s="15">
        <f t="shared" si="3"/>
        <v>14</v>
      </c>
    </row>
    <row r="8511">
      <c r="A8511" s="8" t="str">
        <f>IFERROR(__xludf.DUMMYFUNCTION("IF('(INGESTA)Datos_consumo_datadis'!A8511&lt;&gt;"""",SPLIT('(INGESTA)Datos_consumo_datadis'!A:A,"",""),"""")"),"ES0031408323131005HX0F")</f>
        <v>ES0031408323131005HX0F</v>
      </c>
      <c r="B8511" s="17">
        <f>IFERROR(__xludf.DUMMYFUNCTION("""COMPUTED_VALUE"""),45220.0)</f>
        <v>45220</v>
      </c>
      <c r="C8511" s="13">
        <f>IFERROR(__xludf.DUMMYFUNCTION("""COMPUTED_VALUE"""),0.625)</f>
        <v>0.625</v>
      </c>
      <c r="D8511" s="8">
        <f>IFERROR(__xludf.DUMMYFUNCTION("""COMPUTED_VALUE"""),0.182)</f>
        <v>0.182</v>
      </c>
      <c r="E8511" s="8" t="str">
        <f>IFERROR(__xludf.DUMMYFUNCTION("""COMPUTED_VALUE"""),"Real")</f>
        <v>Real</v>
      </c>
      <c r="G8511" s="8">
        <f t="shared" si="1"/>
        <v>10</v>
      </c>
      <c r="H8511" s="14">
        <f t="shared" si="2"/>
        <v>21</v>
      </c>
      <c r="I8511" s="15">
        <f t="shared" si="3"/>
        <v>15</v>
      </c>
    </row>
    <row r="8512">
      <c r="A8512" s="8" t="str">
        <f>IFERROR(__xludf.DUMMYFUNCTION("IF('(INGESTA)Datos_consumo_datadis'!A8512&lt;&gt;"""",SPLIT('(INGESTA)Datos_consumo_datadis'!A:A,"",""),"""")"),"ES0031408323131005HX0F")</f>
        <v>ES0031408323131005HX0F</v>
      </c>
      <c r="B8512" s="17">
        <f>IFERROR(__xludf.DUMMYFUNCTION("""COMPUTED_VALUE"""),45220.0)</f>
        <v>45220</v>
      </c>
      <c r="C8512" s="13">
        <f>IFERROR(__xludf.DUMMYFUNCTION("""COMPUTED_VALUE"""),0.6666666666666666)</f>
        <v>0.6666666667</v>
      </c>
      <c r="D8512" s="8">
        <f>IFERROR(__xludf.DUMMYFUNCTION("""COMPUTED_VALUE"""),0.35)</f>
        <v>0.35</v>
      </c>
      <c r="E8512" s="8" t="str">
        <f>IFERROR(__xludf.DUMMYFUNCTION("""COMPUTED_VALUE"""),"Real")</f>
        <v>Real</v>
      </c>
      <c r="G8512" s="8">
        <f t="shared" si="1"/>
        <v>10</v>
      </c>
      <c r="H8512" s="14">
        <f t="shared" si="2"/>
        <v>21</v>
      </c>
      <c r="I8512" s="15">
        <f t="shared" si="3"/>
        <v>16</v>
      </c>
    </row>
    <row r="8513">
      <c r="A8513" s="8" t="str">
        <f>IFERROR(__xludf.DUMMYFUNCTION("IF('(INGESTA)Datos_consumo_datadis'!A8513&lt;&gt;"""",SPLIT('(INGESTA)Datos_consumo_datadis'!A:A,"",""),"""")"),"ES0031408323131005HX0F")</f>
        <v>ES0031408323131005HX0F</v>
      </c>
      <c r="B8513" s="17">
        <f>IFERROR(__xludf.DUMMYFUNCTION("""COMPUTED_VALUE"""),45220.0)</f>
        <v>45220</v>
      </c>
      <c r="C8513" s="13">
        <f>IFERROR(__xludf.DUMMYFUNCTION("""COMPUTED_VALUE"""),0.7083333333333334)</f>
        <v>0.7083333333</v>
      </c>
      <c r="D8513" s="8">
        <f>IFERROR(__xludf.DUMMYFUNCTION("""COMPUTED_VALUE"""),0.322)</f>
        <v>0.322</v>
      </c>
      <c r="E8513" s="8" t="str">
        <f>IFERROR(__xludf.DUMMYFUNCTION("""COMPUTED_VALUE"""),"Real")</f>
        <v>Real</v>
      </c>
      <c r="G8513" s="8">
        <f t="shared" si="1"/>
        <v>10</v>
      </c>
      <c r="H8513" s="14">
        <f t="shared" si="2"/>
        <v>21</v>
      </c>
      <c r="I8513" s="15">
        <f t="shared" si="3"/>
        <v>17</v>
      </c>
    </row>
    <row r="8514">
      <c r="A8514" s="8" t="str">
        <f>IFERROR(__xludf.DUMMYFUNCTION("IF('(INGESTA)Datos_consumo_datadis'!A8514&lt;&gt;"""",SPLIT('(INGESTA)Datos_consumo_datadis'!A:A,"",""),"""")"),"ES0031408323131005HX0F")</f>
        <v>ES0031408323131005HX0F</v>
      </c>
      <c r="B8514" s="17">
        <f>IFERROR(__xludf.DUMMYFUNCTION("""COMPUTED_VALUE"""),45220.0)</f>
        <v>45220</v>
      </c>
      <c r="C8514" s="13">
        <f>IFERROR(__xludf.DUMMYFUNCTION("""COMPUTED_VALUE"""),0.75)</f>
        <v>0.75</v>
      </c>
      <c r="D8514" s="8">
        <f>IFERROR(__xludf.DUMMYFUNCTION("""COMPUTED_VALUE"""),0.144)</f>
        <v>0.144</v>
      </c>
      <c r="E8514" s="8" t="str">
        <f>IFERROR(__xludf.DUMMYFUNCTION("""COMPUTED_VALUE"""),"Real")</f>
        <v>Real</v>
      </c>
      <c r="G8514" s="8">
        <f t="shared" si="1"/>
        <v>10</v>
      </c>
      <c r="H8514" s="14">
        <f t="shared" si="2"/>
        <v>21</v>
      </c>
      <c r="I8514" s="15">
        <f t="shared" si="3"/>
        <v>18</v>
      </c>
    </row>
    <row r="8515">
      <c r="A8515" s="8" t="str">
        <f>IFERROR(__xludf.DUMMYFUNCTION("IF('(INGESTA)Datos_consumo_datadis'!A8515&lt;&gt;"""",SPLIT('(INGESTA)Datos_consumo_datadis'!A:A,"",""),"""")"),"ES0031408323131005HX0F")</f>
        <v>ES0031408323131005HX0F</v>
      </c>
      <c r="B8515" s="17">
        <f>IFERROR(__xludf.DUMMYFUNCTION("""COMPUTED_VALUE"""),45220.0)</f>
        <v>45220</v>
      </c>
      <c r="C8515" s="13">
        <f>IFERROR(__xludf.DUMMYFUNCTION("""COMPUTED_VALUE"""),0.7916666666666666)</f>
        <v>0.7916666667</v>
      </c>
      <c r="D8515" s="8">
        <f>IFERROR(__xludf.DUMMYFUNCTION("""COMPUTED_VALUE"""),0.038)</f>
        <v>0.038</v>
      </c>
      <c r="E8515" s="8" t="str">
        <f>IFERROR(__xludf.DUMMYFUNCTION("""COMPUTED_VALUE"""),"Real")</f>
        <v>Real</v>
      </c>
      <c r="G8515" s="8">
        <f t="shared" si="1"/>
        <v>10</v>
      </c>
      <c r="H8515" s="14">
        <f t="shared" si="2"/>
        <v>21</v>
      </c>
      <c r="I8515" s="15">
        <f t="shared" si="3"/>
        <v>19</v>
      </c>
    </row>
    <row r="8516">
      <c r="A8516" s="8" t="str">
        <f>IFERROR(__xludf.DUMMYFUNCTION("IF('(INGESTA)Datos_consumo_datadis'!A8516&lt;&gt;"""",SPLIT('(INGESTA)Datos_consumo_datadis'!A:A,"",""),"""")"),"ES0031408323131005HX0F")</f>
        <v>ES0031408323131005HX0F</v>
      </c>
      <c r="B8516" s="17">
        <f>IFERROR(__xludf.DUMMYFUNCTION("""COMPUTED_VALUE"""),45220.0)</f>
        <v>45220</v>
      </c>
      <c r="C8516" s="13">
        <f>IFERROR(__xludf.DUMMYFUNCTION("""COMPUTED_VALUE"""),0.8333333333333334)</f>
        <v>0.8333333333</v>
      </c>
      <c r="D8516" s="8">
        <f>IFERROR(__xludf.DUMMYFUNCTION("""COMPUTED_VALUE"""),0.52)</f>
        <v>0.52</v>
      </c>
      <c r="E8516" s="8" t="str">
        <f>IFERROR(__xludf.DUMMYFUNCTION("""COMPUTED_VALUE"""),"Real")</f>
        <v>Real</v>
      </c>
      <c r="G8516" s="8">
        <f t="shared" si="1"/>
        <v>10</v>
      </c>
      <c r="H8516" s="14">
        <f t="shared" si="2"/>
        <v>21</v>
      </c>
      <c r="I8516" s="15">
        <f t="shared" si="3"/>
        <v>20</v>
      </c>
    </row>
    <row r="8517">
      <c r="A8517" s="8" t="str">
        <f>IFERROR(__xludf.DUMMYFUNCTION("IF('(INGESTA)Datos_consumo_datadis'!A8517&lt;&gt;"""",SPLIT('(INGESTA)Datos_consumo_datadis'!A:A,"",""),"""")"),"ES0031408323131005HX0F")</f>
        <v>ES0031408323131005HX0F</v>
      </c>
      <c r="B8517" s="17">
        <f>IFERROR(__xludf.DUMMYFUNCTION("""COMPUTED_VALUE"""),45220.0)</f>
        <v>45220</v>
      </c>
      <c r="C8517" s="13">
        <f>IFERROR(__xludf.DUMMYFUNCTION("""COMPUTED_VALUE"""),0.875)</f>
        <v>0.875</v>
      </c>
      <c r="D8517" s="8">
        <f>IFERROR(__xludf.DUMMYFUNCTION("""COMPUTED_VALUE"""),0.122)</f>
        <v>0.122</v>
      </c>
      <c r="E8517" s="8" t="str">
        <f>IFERROR(__xludf.DUMMYFUNCTION("""COMPUTED_VALUE"""),"Real")</f>
        <v>Real</v>
      </c>
      <c r="G8517" s="8">
        <f t="shared" si="1"/>
        <v>10</v>
      </c>
      <c r="H8517" s="14">
        <f t="shared" si="2"/>
        <v>21</v>
      </c>
      <c r="I8517" s="15">
        <f t="shared" si="3"/>
        <v>21</v>
      </c>
    </row>
    <row r="8518">
      <c r="A8518" s="8" t="str">
        <f>IFERROR(__xludf.DUMMYFUNCTION("IF('(INGESTA)Datos_consumo_datadis'!A8518&lt;&gt;"""",SPLIT('(INGESTA)Datos_consumo_datadis'!A:A,"",""),"""")"),"ES0031408323131005HX0F")</f>
        <v>ES0031408323131005HX0F</v>
      </c>
      <c r="B8518" s="17">
        <f>IFERROR(__xludf.DUMMYFUNCTION("""COMPUTED_VALUE"""),45220.0)</f>
        <v>45220</v>
      </c>
      <c r="C8518" s="13">
        <f>IFERROR(__xludf.DUMMYFUNCTION("""COMPUTED_VALUE"""),0.9166666666666666)</f>
        <v>0.9166666667</v>
      </c>
      <c r="D8518" s="8">
        <f>IFERROR(__xludf.DUMMYFUNCTION("""COMPUTED_VALUE"""),1.295)</f>
        <v>1.295</v>
      </c>
      <c r="E8518" s="8" t="str">
        <f>IFERROR(__xludf.DUMMYFUNCTION("""COMPUTED_VALUE"""),"Real")</f>
        <v>Real</v>
      </c>
      <c r="G8518" s="8">
        <f t="shared" si="1"/>
        <v>10</v>
      </c>
      <c r="H8518" s="14">
        <f t="shared" si="2"/>
        <v>21</v>
      </c>
      <c r="I8518" s="15">
        <f t="shared" si="3"/>
        <v>22</v>
      </c>
    </row>
    <row r="8519">
      <c r="A8519" s="8" t="str">
        <f>IFERROR(__xludf.DUMMYFUNCTION("IF('(INGESTA)Datos_consumo_datadis'!A8519&lt;&gt;"""",SPLIT('(INGESTA)Datos_consumo_datadis'!A:A,"",""),"""")"),"ES0031408323131005HX0F")</f>
        <v>ES0031408323131005HX0F</v>
      </c>
      <c r="B8519" s="17">
        <f>IFERROR(__xludf.DUMMYFUNCTION("""COMPUTED_VALUE"""),45220.0)</f>
        <v>45220</v>
      </c>
      <c r="C8519" s="13">
        <f>IFERROR(__xludf.DUMMYFUNCTION("""COMPUTED_VALUE"""),0.9583333333333334)</f>
        <v>0.9583333333</v>
      </c>
      <c r="D8519" s="8">
        <f>IFERROR(__xludf.DUMMYFUNCTION("""COMPUTED_VALUE"""),1.645)</f>
        <v>1.645</v>
      </c>
      <c r="E8519" s="8" t="str">
        <f>IFERROR(__xludf.DUMMYFUNCTION("""COMPUTED_VALUE"""),"Real")</f>
        <v>Real</v>
      </c>
      <c r="G8519" s="8">
        <f t="shared" si="1"/>
        <v>10</v>
      </c>
      <c r="H8519" s="14">
        <f t="shared" si="2"/>
        <v>21</v>
      </c>
      <c r="I8519" s="15">
        <f t="shared" si="3"/>
        <v>23</v>
      </c>
    </row>
    <row r="8520">
      <c r="A8520" s="8" t="str">
        <f>IFERROR(__xludf.DUMMYFUNCTION("IF('(INGESTA)Datos_consumo_datadis'!A8520&lt;&gt;"""",SPLIT('(INGESTA)Datos_consumo_datadis'!A:A,"",""),"""")"),"ES0031408323131005HX0F")</f>
        <v>ES0031408323131005HX0F</v>
      </c>
      <c r="B8520" s="17">
        <f>IFERROR(__xludf.DUMMYFUNCTION("""COMPUTED_VALUE"""),45220.0)</f>
        <v>45220</v>
      </c>
      <c r="C8520" s="16">
        <f>IFERROR(__xludf.DUMMYFUNCTION("""COMPUTED_VALUE"""),1.0)</f>
        <v>1</v>
      </c>
      <c r="D8520" s="8">
        <f>IFERROR(__xludf.DUMMYFUNCTION("""COMPUTED_VALUE"""),0.465)</f>
        <v>0.465</v>
      </c>
      <c r="E8520" s="8" t="str">
        <f>IFERROR(__xludf.DUMMYFUNCTION("""COMPUTED_VALUE"""),"Real")</f>
        <v>Real</v>
      </c>
      <c r="G8520" s="8">
        <f t="shared" si="1"/>
        <v>10</v>
      </c>
      <c r="H8520" s="14">
        <f t="shared" si="2"/>
        <v>21</v>
      </c>
      <c r="I8520" s="15">
        <f t="shared" si="3"/>
        <v>0</v>
      </c>
    </row>
    <row r="8521">
      <c r="A8521" s="8" t="str">
        <f>IFERROR(__xludf.DUMMYFUNCTION("IF('(INGESTA)Datos_consumo_datadis'!A8521&lt;&gt;"""",SPLIT('(INGESTA)Datos_consumo_datadis'!A:A,"",""),"""")"),"ES0031408323131005HX0F")</f>
        <v>ES0031408323131005HX0F</v>
      </c>
      <c r="B8521" s="17">
        <f>IFERROR(__xludf.DUMMYFUNCTION("""COMPUTED_VALUE"""),45221.0)</f>
        <v>45221</v>
      </c>
      <c r="C8521" s="13">
        <f>IFERROR(__xludf.DUMMYFUNCTION("""COMPUTED_VALUE"""),0.041666666666666664)</f>
        <v>0.04166666667</v>
      </c>
      <c r="D8521" s="8">
        <f>IFERROR(__xludf.DUMMYFUNCTION("""COMPUTED_VALUE"""),0.456)</f>
        <v>0.456</v>
      </c>
      <c r="E8521" s="8" t="str">
        <f>IFERROR(__xludf.DUMMYFUNCTION("""COMPUTED_VALUE"""),"Real")</f>
        <v>Real</v>
      </c>
      <c r="G8521" s="8">
        <f t="shared" si="1"/>
        <v>10</v>
      </c>
      <c r="H8521" s="14">
        <f t="shared" si="2"/>
        <v>22</v>
      </c>
      <c r="I8521" s="15">
        <f t="shared" si="3"/>
        <v>1</v>
      </c>
    </row>
    <row r="8522">
      <c r="A8522" s="8" t="str">
        <f>IFERROR(__xludf.DUMMYFUNCTION("IF('(INGESTA)Datos_consumo_datadis'!A8522&lt;&gt;"""",SPLIT('(INGESTA)Datos_consumo_datadis'!A:A,"",""),"""")"),"ES0031408323131005HX0F")</f>
        <v>ES0031408323131005HX0F</v>
      </c>
      <c r="B8522" s="17">
        <f>IFERROR(__xludf.DUMMYFUNCTION("""COMPUTED_VALUE"""),45221.0)</f>
        <v>45221</v>
      </c>
      <c r="C8522" s="13">
        <f>IFERROR(__xludf.DUMMYFUNCTION("""COMPUTED_VALUE"""),0.08333333333333333)</f>
        <v>0.08333333333</v>
      </c>
      <c r="D8522" s="8">
        <f>IFERROR(__xludf.DUMMYFUNCTION("""COMPUTED_VALUE"""),0.245)</f>
        <v>0.245</v>
      </c>
      <c r="E8522" s="8" t="str">
        <f>IFERROR(__xludf.DUMMYFUNCTION("""COMPUTED_VALUE"""),"Real")</f>
        <v>Real</v>
      </c>
      <c r="G8522" s="8">
        <f t="shared" si="1"/>
        <v>10</v>
      </c>
      <c r="H8522" s="14">
        <f t="shared" si="2"/>
        <v>22</v>
      </c>
      <c r="I8522" s="15">
        <f t="shared" si="3"/>
        <v>2</v>
      </c>
    </row>
    <row r="8523">
      <c r="A8523" s="8" t="str">
        <f>IFERROR(__xludf.DUMMYFUNCTION("IF('(INGESTA)Datos_consumo_datadis'!A8523&lt;&gt;"""",SPLIT('(INGESTA)Datos_consumo_datadis'!A:A,"",""),"""")"),"ES0031408323131005HX0F")</f>
        <v>ES0031408323131005HX0F</v>
      </c>
      <c r="B8523" s="17">
        <f>IFERROR(__xludf.DUMMYFUNCTION("""COMPUTED_VALUE"""),45221.0)</f>
        <v>45221</v>
      </c>
      <c r="C8523" s="13">
        <f>IFERROR(__xludf.DUMMYFUNCTION("""COMPUTED_VALUE"""),0.125)</f>
        <v>0.125</v>
      </c>
      <c r="D8523" s="8">
        <f>IFERROR(__xludf.DUMMYFUNCTION("""COMPUTED_VALUE"""),0.176)</f>
        <v>0.176</v>
      </c>
      <c r="E8523" s="8" t="str">
        <f>IFERROR(__xludf.DUMMYFUNCTION("""COMPUTED_VALUE"""),"Real")</f>
        <v>Real</v>
      </c>
      <c r="G8523" s="8">
        <f t="shared" si="1"/>
        <v>10</v>
      </c>
      <c r="H8523" s="14">
        <f t="shared" si="2"/>
        <v>22</v>
      </c>
      <c r="I8523" s="15">
        <f t="shared" si="3"/>
        <v>3</v>
      </c>
    </row>
    <row r="8524">
      <c r="A8524" s="8" t="str">
        <f>IFERROR(__xludf.DUMMYFUNCTION("IF('(INGESTA)Datos_consumo_datadis'!A8524&lt;&gt;"""",SPLIT('(INGESTA)Datos_consumo_datadis'!A:A,"",""),"""")"),"ES0031408323131005HX0F")</f>
        <v>ES0031408323131005HX0F</v>
      </c>
      <c r="B8524" s="17">
        <f>IFERROR(__xludf.DUMMYFUNCTION("""COMPUTED_VALUE"""),45221.0)</f>
        <v>45221</v>
      </c>
      <c r="C8524" s="13">
        <f>IFERROR(__xludf.DUMMYFUNCTION("""COMPUTED_VALUE"""),0.16666666666666666)</f>
        <v>0.1666666667</v>
      </c>
      <c r="D8524" s="8">
        <f>IFERROR(__xludf.DUMMYFUNCTION("""COMPUTED_VALUE"""),0.178)</f>
        <v>0.178</v>
      </c>
      <c r="E8524" s="8" t="str">
        <f>IFERROR(__xludf.DUMMYFUNCTION("""COMPUTED_VALUE"""),"Real")</f>
        <v>Real</v>
      </c>
      <c r="G8524" s="8">
        <f t="shared" si="1"/>
        <v>10</v>
      </c>
      <c r="H8524" s="14">
        <f t="shared" si="2"/>
        <v>22</v>
      </c>
      <c r="I8524" s="15">
        <f t="shared" si="3"/>
        <v>4</v>
      </c>
    </row>
    <row r="8525">
      <c r="A8525" s="8" t="str">
        <f>IFERROR(__xludf.DUMMYFUNCTION("IF('(INGESTA)Datos_consumo_datadis'!A8525&lt;&gt;"""",SPLIT('(INGESTA)Datos_consumo_datadis'!A:A,"",""),"""")"),"ES0031408323131005HX0F")</f>
        <v>ES0031408323131005HX0F</v>
      </c>
      <c r="B8525" s="17">
        <f>IFERROR(__xludf.DUMMYFUNCTION("""COMPUTED_VALUE"""),45221.0)</f>
        <v>45221</v>
      </c>
      <c r="C8525" s="13">
        <f>IFERROR(__xludf.DUMMYFUNCTION("""COMPUTED_VALUE"""),0.20833333333333334)</f>
        <v>0.2083333333</v>
      </c>
      <c r="D8525" s="8">
        <f>IFERROR(__xludf.DUMMYFUNCTION("""COMPUTED_VALUE"""),0.084)</f>
        <v>0.084</v>
      </c>
      <c r="E8525" s="8" t="str">
        <f>IFERROR(__xludf.DUMMYFUNCTION("""COMPUTED_VALUE"""),"Real")</f>
        <v>Real</v>
      </c>
      <c r="G8525" s="8">
        <f t="shared" si="1"/>
        <v>10</v>
      </c>
      <c r="H8525" s="14">
        <f t="shared" si="2"/>
        <v>22</v>
      </c>
      <c r="I8525" s="15">
        <f t="shared" si="3"/>
        <v>5</v>
      </c>
    </row>
    <row r="8526">
      <c r="A8526" s="8" t="str">
        <f>IFERROR(__xludf.DUMMYFUNCTION("IF('(INGESTA)Datos_consumo_datadis'!A8526&lt;&gt;"""",SPLIT('(INGESTA)Datos_consumo_datadis'!A:A,"",""),"""")"),"ES0031408323131005HX0F")</f>
        <v>ES0031408323131005HX0F</v>
      </c>
      <c r="B8526" s="17">
        <f>IFERROR(__xludf.DUMMYFUNCTION("""COMPUTED_VALUE"""),45221.0)</f>
        <v>45221</v>
      </c>
      <c r="C8526" s="13">
        <f>IFERROR(__xludf.DUMMYFUNCTION("""COMPUTED_VALUE"""),0.25)</f>
        <v>0.25</v>
      </c>
      <c r="D8526" s="8">
        <f>IFERROR(__xludf.DUMMYFUNCTION("""COMPUTED_VALUE"""),0.079)</f>
        <v>0.079</v>
      </c>
      <c r="E8526" s="8" t="str">
        <f>IFERROR(__xludf.DUMMYFUNCTION("""COMPUTED_VALUE"""),"Real")</f>
        <v>Real</v>
      </c>
      <c r="G8526" s="8">
        <f t="shared" si="1"/>
        <v>10</v>
      </c>
      <c r="H8526" s="14">
        <f t="shared" si="2"/>
        <v>22</v>
      </c>
      <c r="I8526" s="15">
        <f t="shared" si="3"/>
        <v>6</v>
      </c>
    </row>
    <row r="8527">
      <c r="A8527" s="8" t="str">
        <f>IFERROR(__xludf.DUMMYFUNCTION("IF('(INGESTA)Datos_consumo_datadis'!A8527&lt;&gt;"""",SPLIT('(INGESTA)Datos_consumo_datadis'!A:A,"",""),"""")"),"ES0031408323131005HX0F")</f>
        <v>ES0031408323131005HX0F</v>
      </c>
      <c r="B8527" s="17">
        <f>IFERROR(__xludf.DUMMYFUNCTION("""COMPUTED_VALUE"""),45221.0)</f>
        <v>45221</v>
      </c>
      <c r="C8527" s="13">
        <f>IFERROR(__xludf.DUMMYFUNCTION("""COMPUTED_VALUE"""),0.2916666666666667)</f>
        <v>0.2916666667</v>
      </c>
      <c r="D8527" s="8">
        <f>IFERROR(__xludf.DUMMYFUNCTION("""COMPUTED_VALUE"""),0.339)</f>
        <v>0.339</v>
      </c>
      <c r="E8527" s="8" t="str">
        <f>IFERROR(__xludf.DUMMYFUNCTION("""COMPUTED_VALUE"""),"Real")</f>
        <v>Real</v>
      </c>
      <c r="G8527" s="8">
        <f t="shared" si="1"/>
        <v>10</v>
      </c>
      <c r="H8527" s="14">
        <f t="shared" si="2"/>
        <v>22</v>
      </c>
      <c r="I8527" s="15">
        <f t="shared" si="3"/>
        <v>7</v>
      </c>
    </row>
    <row r="8528">
      <c r="A8528" s="8" t="str">
        <f>IFERROR(__xludf.DUMMYFUNCTION("IF('(INGESTA)Datos_consumo_datadis'!A8528&lt;&gt;"""",SPLIT('(INGESTA)Datos_consumo_datadis'!A:A,"",""),"""")"),"ES0031408323131005HX0F")</f>
        <v>ES0031408323131005HX0F</v>
      </c>
      <c r="B8528" s="17">
        <f>IFERROR(__xludf.DUMMYFUNCTION("""COMPUTED_VALUE"""),45221.0)</f>
        <v>45221</v>
      </c>
      <c r="C8528" s="13">
        <f>IFERROR(__xludf.DUMMYFUNCTION("""COMPUTED_VALUE"""),0.3333333333333333)</f>
        <v>0.3333333333</v>
      </c>
      <c r="D8528" s="8">
        <f>IFERROR(__xludf.DUMMYFUNCTION("""COMPUTED_VALUE"""),0.032)</f>
        <v>0.032</v>
      </c>
      <c r="E8528" s="8" t="str">
        <f>IFERROR(__xludf.DUMMYFUNCTION("""COMPUTED_VALUE"""),"Real")</f>
        <v>Real</v>
      </c>
      <c r="G8528" s="8">
        <f t="shared" si="1"/>
        <v>10</v>
      </c>
      <c r="H8528" s="14">
        <f t="shared" si="2"/>
        <v>22</v>
      </c>
      <c r="I8528" s="15">
        <f t="shared" si="3"/>
        <v>8</v>
      </c>
    </row>
    <row r="8529">
      <c r="A8529" s="8" t="str">
        <f>IFERROR(__xludf.DUMMYFUNCTION("IF('(INGESTA)Datos_consumo_datadis'!A8529&lt;&gt;"""",SPLIT('(INGESTA)Datos_consumo_datadis'!A:A,"",""),"""")"),"ES0031408323131005HX0F")</f>
        <v>ES0031408323131005HX0F</v>
      </c>
      <c r="B8529" s="17">
        <f>IFERROR(__xludf.DUMMYFUNCTION("""COMPUTED_VALUE"""),45221.0)</f>
        <v>45221</v>
      </c>
      <c r="C8529" s="13">
        <f>IFERROR(__xludf.DUMMYFUNCTION("""COMPUTED_VALUE"""),0.375)</f>
        <v>0.375</v>
      </c>
      <c r="D8529" s="8">
        <f>IFERROR(__xludf.DUMMYFUNCTION("""COMPUTED_VALUE"""),0.091)</f>
        <v>0.091</v>
      </c>
      <c r="E8529" s="8" t="str">
        <f>IFERROR(__xludf.DUMMYFUNCTION("""COMPUTED_VALUE"""),"Real")</f>
        <v>Real</v>
      </c>
      <c r="G8529" s="8">
        <f t="shared" si="1"/>
        <v>10</v>
      </c>
      <c r="H8529" s="14">
        <f t="shared" si="2"/>
        <v>22</v>
      </c>
      <c r="I8529" s="15">
        <f t="shared" si="3"/>
        <v>9</v>
      </c>
    </row>
    <row r="8530">
      <c r="A8530" s="8" t="str">
        <f>IFERROR(__xludf.DUMMYFUNCTION("IF('(INGESTA)Datos_consumo_datadis'!A8530&lt;&gt;"""",SPLIT('(INGESTA)Datos_consumo_datadis'!A:A,"",""),"""")"),"ES0031408323131005HX0F")</f>
        <v>ES0031408323131005HX0F</v>
      </c>
      <c r="B8530" s="17">
        <f>IFERROR(__xludf.DUMMYFUNCTION("""COMPUTED_VALUE"""),45221.0)</f>
        <v>45221</v>
      </c>
      <c r="C8530" s="13">
        <f>IFERROR(__xludf.DUMMYFUNCTION("""COMPUTED_VALUE"""),0.4166666666666667)</f>
        <v>0.4166666667</v>
      </c>
      <c r="D8530" s="8">
        <f>IFERROR(__xludf.DUMMYFUNCTION("""COMPUTED_VALUE"""),0.089)</f>
        <v>0.089</v>
      </c>
      <c r="E8530" s="8" t="str">
        <f>IFERROR(__xludf.DUMMYFUNCTION("""COMPUTED_VALUE"""),"Real")</f>
        <v>Real</v>
      </c>
      <c r="G8530" s="8">
        <f t="shared" si="1"/>
        <v>10</v>
      </c>
      <c r="H8530" s="14">
        <f t="shared" si="2"/>
        <v>22</v>
      </c>
      <c r="I8530" s="15">
        <f t="shared" si="3"/>
        <v>10</v>
      </c>
    </row>
    <row r="8531">
      <c r="A8531" s="8" t="str">
        <f>IFERROR(__xludf.DUMMYFUNCTION("IF('(INGESTA)Datos_consumo_datadis'!A8531&lt;&gt;"""",SPLIT('(INGESTA)Datos_consumo_datadis'!A:A,"",""),"""")"),"ES0031408323131005HX0F")</f>
        <v>ES0031408323131005HX0F</v>
      </c>
      <c r="B8531" s="17">
        <f>IFERROR(__xludf.DUMMYFUNCTION("""COMPUTED_VALUE"""),45221.0)</f>
        <v>45221</v>
      </c>
      <c r="C8531" s="13">
        <f>IFERROR(__xludf.DUMMYFUNCTION("""COMPUTED_VALUE"""),0.4583333333333333)</f>
        <v>0.4583333333</v>
      </c>
      <c r="D8531" s="8">
        <f>IFERROR(__xludf.DUMMYFUNCTION("""COMPUTED_VALUE"""),0.026)</f>
        <v>0.026</v>
      </c>
      <c r="E8531" s="8" t="str">
        <f>IFERROR(__xludf.DUMMYFUNCTION("""COMPUTED_VALUE"""),"Real")</f>
        <v>Real</v>
      </c>
      <c r="G8531" s="8">
        <f t="shared" si="1"/>
        <v>10</v>
      </c>
      <c r="H8531" s="14">
        <f t="shared" si="2"/>
        <v>22</v>
      </c>
      <c r="I8531" s="15">
        <f t="shared" si="3"/>
        <v>11</v>
      </c>
    </row>
    <row r="8532">
      <c r="A8532" s="8" t="str">
        <f>IFERROR(__xludf.DUMMYFUNCTION("IF('(INGESTA)Datos_consumo_datadis'!A8532&lt;&gt;"""",SPLIT('(INGESTA)Datos_consumo_datadis'!A:A,"",""),"""")"),"ES0031408323131005HX0F")</f>
        <v>ES0031408323131005HX0F</v>
      </c>
      <c r="B8532" s="17">
        <f>IFERROR(__xludf.DUMMYFUNCTION("""COMPUTED_VALUE"""),45221.0)</f>
        <v>45221</v>
      </c>
      <c r="C8532" s="13">
        <f>IFERROR(__xludf.DUMMYFUNCTION("""COMPUTED_VALUE"""),0.5)</f>
        <v>0.5</v>
      </c>
      <c r="D8532" s="8">
        <f>IFERROR(__xludf.DUMMYFUNCTION("""COMPUTED_VALUE"""),0.11)</f>
        <v>0.11</v>
      </c>
      <c r="E8532" s="8" t="str">
        <f>IFERROR(__xludf.DUMMYFUNCTION("""COMPUTED_VALUE"""),"Real")</f>
        <v>Real</v>
      </c>
      <c r="G8532" s="8">
        <f t="shared" si="1"/>
        <v>10</v>
      </c>
      <c r="H8532" s="14">
        <f t="shared" si="2"/>
        <v>22</v>
      </c>
      <c r="I8532" s="15">
        <f t="shared" si="3"/>
        <v>12</v>
      </c>
    </row>
    <row r="8533">
      <c r="A8533" s="8" t="str">
        <f>IFERROR(__xludf.DUMMYFUNCTION("IF('(INGESTA)Datos_consumo_datadis'!A8533&lt;&gt;"""",SPLIT('(INGESTA)Datos_consumo_datadis'!A:A,"",""),"""")"),"ES0031408323131005HX0F")</f>
        <v>ES0031408323131005HX0F</v>
      </c>
      <c r="B8533" s="17">
        <f>IFERROR(__xludf.DUMMYFUNCTION("""COMPUTED_VALUE"""),45221.0)</f>
        <v>45221</v>
      </c>
      <c r="C8533" s="13">
        <f>IFERROR(__xludf.DUMMYFUNCTION("""COMPUTED_VALUE"""),0.5416666666666666)</f>
        <v>0.5416666667</v>
      </c>
      <c r="D8533" s="8">
        <f>IFERROR(__xludf.DUMMYFUNCTION("""COMPUTED_VALUE"""),0.068)</f>
        <v>0.068</v>
      </c>
      <c r="E8533" s="8" t="str">
        <f>IFERROR(__xludf.DUMMYFUNCTION("""COMPUTED_VALUE"""),"Real")</f>
        <v>Real</v>
      </c>
      <c r="G8533" s="8">
        <f t="shared" si="1"/>
        <v>10</v>
      </c>
      <c r="H8533" s="14">
        <f t="shared" si="2"/>
        <v>22</v>
      </c>
      <c r="I8533" s="15">
        <f t="shared" si="3"/>
        <v>13</v>
      </c>
    </row>
    <row r="8534">
      <c r="A8534" s="8" t="str">
        <f>IFERROR(__xludf.DUMMYFUNCTION("IF('(INGESTA)Datos_consumo_datadis'!A8534&lt;&gt;"""",SPLIT('(INGESTA)Datos_consumo_datadis'!A:A,"",""),"""")"),"ES0031408323131005HX0F")</f>
        <v>ES0031408323131005HX0F</v>
      </c>
      <c r="B8534" s="17">
        <f>IFERROR(__xludf.DUMMYFUNCTION("""COMPUTED_VALUE"""),45221.0)</f>
        <v>45221</v>
      </c>
      <c r="C8534" s="13">
        <f>IFERROR(__xludf.DUMMYFUNCTION("""COMPUTED_VALUE"""),0.5833333333333334)</f>
        <v>0.5833333333</v>
      </c>
      <c r="D8534" s="8">
        <f>IFERROR(__xludf.DUMMYFUNCTION("""COMPUTED_VALUE"""),0.324)</f>
        <v>0.324</v>
      </c>
      <c r="E8534" s="8" t="str">
        <f>IFERROR(__xludf.DUMMYFUNCTION("""COMPUTED_VALUE"""),"Real")</f>
        <v>Real</v>
      </c>
      <c r="G8534" s="8">
        <f t="shared" si="1"/>
        <v>10</v>
      </c>
      <c r="H8534" s="14">
        <f t="shared" si="2"/>
        <v>22</v>
      </c>
      <c r="I8534" s="15">
        <f t="shared" si="3"/>
        <v>14</v>
      </c>
    </row>
    <row r="8535">
      <c r="A8535" s="8" t="str">
        <f>IFERROR(__xludf.DUMMYFUNCTION("IF('(INGESTA)Datos_consumo_datadis'!A8535&lt;&gt;"""",SPLIT('(INGESTA)Datos_consumo_datadis'!A:A,"",""),"""")"),"ES0031408323131005HX0F")</f>
        <v>ES0031408323131005HX0F</v>
      </c>
      <c r="B8535" s="17">
        <f>IFERROR(__xludf.DUMMYFUNCTION("""COMPUTED_VALUE"""),45221.0)</f>
        <v>45221</v>
      </c>
      <c r="C8535" s="13">
        <f>IFERROR(__xludf.DUMMYFUNCTION("""COMPUTED_VALUE"""),0.625)</f>
        <v>0.625</v>
      </c>
      <c r="D8535" s="8">
        <f>IFERROR(__xludf.DUMMYFUNCTION("""COMPUTED_VALUE"""),0.05)</f>
        <v>0.05</v>
      </c>
      <c r="E8535" s="8" t="str">
        <f>IFERROR(__xludf.DUMMYFUNCTION("""COMPUTED_VALUE"""),"Real")</f>
        <v>Real</v>
      </c>
      <c r="G8535" s="8">
        <f t="shared" si="1"/>
        <v>10</v>
      </c>
      <c r="H8535" s="14">
        <f t="shared" si="2"/>
        <v>22</v>
      </c>
      <c r="I8535" s="15">
        <f t="shared" si="3"/>
        <v>15</v>
      </c>
    </row>
    <row r="8536">
      <c r="A8536" s="8" t="str">
        <f>IFERROR(__xludf.DUMMYFUNCTION("IF('(INGESTA)Datos_consumo_datadis'!A8536&lt;&gt;"""",SPLIT('(INGESTA)Datos_consumo_datadis'!A:A,"",""),"""")"),"ES0031408323131005HX0F")</f>
        <v>ES0031408323131005HX0F</v>
      </c>
      <c r="B8536" s="17">
        <f>IFERROR(__xludf.DUMMYFUNCTION("""COMPUTED_VALUE"""),45221.0)</f>
        <v>45221</v>
      </c>
      <c r="C8536" s="13">
        <f>IFERROR(__xludf.DUMMYFUNCTION("""COMPUTED_VALUE"""),0.6666666666666666)</f>
        <v>0.6666666667</v>
      </c>
      <c r="D8536" s="8">
        <f>IFERROR(__xludf.DUMMYFUNCTION("""COMPUTED_VALUE"""),0.086)</f>
        <v>0.086</v>
      </c>
      <c r="E8536" s="8" t="str">
        <f>IFERROR(__xludf.DUMMYFUNCTION("""COMPUTED_VALUE"""),"Real")</f>
        <v>Real</v>
      </c>
      <c r="G8536" s="8">
        <f t="shared" si="1"/>
        <v>10</v>
      </c>
      <c r="H8536" s="14">
        <f t="shared" si="2"/>
        <v>22</v>
      </c>
      <c r="I8536" s="15">
        <f t="shared" si="3"/>
        <v>16</v>
      </c>
    </row>
    <row r="8537">
      <c r="A8537" s="8" t="str">
        <f>IFERROR(__xludf.DUMMYFUNCTION("IF('(INGESTA)Datos_consumo_datadis'!A8537&lt;&gt;"""",SPLIT('(INGESTA)Datos_consumo_datadis'!A:A,"",""),"""")"),"ES0031408323131005HX0F")</f>
        <v>ES0031408323131005HX0F</v>
      </c>
      <c r="B8537" s="17">
        <f>IFERROR(__xludf.DUMMYFUNCTION("""COMPUTED_VALUE"""),45221.0)</f>
        <v>45221</v>
      </c>
      <c r="C8537" s="13">
        <f>IFERROR(__xludf.DUMMYFUNCTION("""COMPUTED_VALUE"""),0.7083333333333334)</f>
        <v>0.7083333333</v>
      </c>
      <c r="D8537" s="8">
        <f>IFERROR(__xludf.DUMMYFUNCTION("""COMPUTED_VALUE"""),0.082)</f>
        <v>0.082</v>
      </c>
      <c r="E8537" s="8" t="str">
        <f>IFERROR(__xludf.DUMMYFUNCTION("""COMPUTED_VALUE"""),"Real")</f>
        <v>Real</v>
      </c>
      <c r="G8537" s="8">
        <f t="shared" si="1"/>
        <v>10</v>
      </c>
      <c r="H8537" s="14">
        <f t="shared" si="2"/>
        <v>22</v>
      </c>
      <c r="I8537" s="15">
        <f t="shared" si="3"/>
        <v>17</v>
      </c>
    </row>
    <row r="8538">
      <c r="A8538" s="8" t="str">
        <f>IFERROR(__xludf.DUMMYFUNCTION("IF('(INGESTA)Datos_consumo_datadis'!A8538&lt;&gt;"""",SPLIT('(INGESTA)Datos_consumo_datadis'!A:A,"",""),"""")"),"ES0031408323131005HX0F")</f>
        <v>ES0031408323131005HX0F</v>
      </c>
      <c r="B8538" s="17">
        <f>IFERROR(__xludf.DUMMYFUNCTION("""COMPUTED_VALUE"""),45221.0)</f>
        <v>45221</v>
      </c>
      <c r="C8538" s="13">
        <f>IFERROR(__xludf.DUMMYFUNCTION("""COMPUTED_VALUE"""),0.75)</f>
        <v>0.75</v>
      </c>
      <c r="D8538" s="8">
        <f>IFERROR(__xludf.DUMMYFUNCTION("""COMPUTED_VALUE"""),0.09)</f>
        <v>0.09</v>
      </c>
      <c r="E8538" s="8" t="str">
        <f>IFERROR(__xludf.DUMMYFUNCTION("""COMPUTED_VALUE"""),"Real")</f>
        <v>Real</v>
      </c>
      <c r="G8538" s="8">
        <f t="shared" si="1"/>
        <v>10</v>
      </c>
      <c r="H8538" s="14">
        <f t="shared" si="2"/>
        <v>22</v>
      </c>
      <c r="I8538" s="15">
        <f t="shared" si="3"/>
        <v>18</v>
      </c>
    </row>
    <row r="8539">
      <c r="A8539" s="8" t="str">
        <f>IFERROR(__xludf.DUMMYFUNCTION("IF('(INGESTA)Datos_consumo_datadis'!A8539&lt;&gt;"""",SPLIT('(INGESTA)Datos_consumo_datadis'!A:A,"",""),"""")"),"ES0031408323131005HX0F")</f>
        <v>ES0031408323131005HX0F</v>
      </c>
      <c r="B8539" s="17">
        <f>IFERROR(__xludf.DUMMYFUNCTION("""COMPUTED_VALUE"""),45221.0)</f>
        <v>45221</v>
      </c>
      <c r="C8539" s="13">
        <f>IFERROR(__xludf.DUMMYFUNCTION("""COMPUTED_VALUE"""),0.7916666666666666)</f>
        <v>0.7916666667</v>
      </c>
      <c r="D8539" s="8">
        <f>IFERROR(__xludf.DUMMYFUNCTION("""COMPUTED_VALUE"""),0.314)</f>
        <v>0.314</v>
      </c>
      <c r="E8539" s="8" t="str">
        <f>IFERROR(__xludf.DUMMYFUNCTION("""COMPUTED_VALUE"""),"Real")</f>
        <v>Real</v>
      </c>
      <c r="G8539" s="8">
        <f t="shared" si="1"/>
        <v>10</v>
      </c>
      <c r="H8539" s="14">
        <f t="shared" si="2"/>
        <v>22</v>
      </c>
      <c r="I8539" s="15">
        <f t="shared" si="3"/>
        <v>19</v>
      </c>
    </row>
    <row r="8540">
      <c r="A8540" s="8" t="str">
        <f>IFERROR(__xludf.DUMMYFUNCTION("IF('(INGESTA)Datos_consumo_datadis'!A8540&lt;&gt;"""",SPLIT('(INGESTA)Datos_consumo_datadis'!A:A,"",""),"""")"),"ES0031408323131005HX0F")</f>
        <v>ES0031408323131005HX0F</v>
      </c>
      <c r="B8540" s="17">
        <f>IFERROR(__xludf.DUMMYFUNCTION("""COMPUTED_VALUE"""),45221.0)</f>
        <v>45221</v>
      </c>
      <c r="C8540" s="13">
        <f>IFERROR(__xludf.DUMMYFUNCTION("""COMPUTED_VALUE"""),0.8333333333333334)</f>
        <v>0.8333333333</v>
      </c>
      <c r="D8540" s="8">
        <f>IFERROR(__xludf.DUMMYFUNCTION("""COMPUTED_VALUE"""),0.562)</f>
        <v>0.562</v>
      </c>
      <c r="E8540" s="8" t="str">
        <f>IFERROR(__xludf.DUMMYFUNCTION("""COMPUTED_VALUE"""),"Real")</f>
        <v>Real</v>
      </c>
      <c r="G8540" s="8">
        <f t="shared" si="1"/>
        <v>10</v>
      </c>
      <c r="H8540" s="14">
        <f t="shared" si="2"/>
        <v>22</v>
      </c>
      <c r="I8540" s="15">
        <f t="shared" si="3"/>
        <v>20</v>
      </c>
    </row>
    <row r="8541">
      <c r="A8541" s="8" t="str">
        <f>IFERROR(__xludf.DUMMYFUNCTION("IF('(INGESTA)Datos_consumo_datadis'!A8541&lt;&gt;"""",SPLIT('(INGESTA)Datos_consumo_datadis'!A:A,"",""),"""")"),"ES0031408323131005HX0F")</f>
        <v>ES0031408323131005HX0F</v>
      </c>
      <c r="B8541" s="17">
        <f>IFERROR(__xludf.DUMMYFUNCTION("""COMPUTED_VALUE"""),45221.0)</f>
        <v>45221</v>
      </c>
      <c r="C8541" s="13">
        <f>IFERROR(__xludf.DUMMYFUNCTION("""COMPUTED_VALUE"""),0.875)</f>
        <v>0.875</v>
      </c>
      <c r="D8541" s="8">
        <f>IFERROR(__xludf.DUMMYFUNCTION("""COMPUTED_VALUE"""),0.017)</f>
        <v>0.017</v>
      </c>
      <c r="E8541" s="8" t="str">
        <f>IFERROR(__xludf.DUMMYFUNCTION("""COMPUTED_VALUE"""),"Real")</f>
        <v>Real</v>
      </c>
      <c r="G8541" s="8">
        <f t="shared" si="1"/>
        <v>10</v>
      </c>
      <c r="H8541" s="14">
        <f t="shared" si="2"/>
        <v>22</v>
      </c>
      <c r="I8541" s="15">
        <f t="shared" si="3"/>
        <v>21</v>
      </c>
    </row>
    <row r="8542">
      <c r="A8542" s="8" t="str">
        <f>IFERROR(__xludf.DUMMYFUNCTION("IF('(INGESTA)Datos_consumo_datadis'!A8542&lt;&gt;"""",SPLIT('(INGESTA)Datos_consumo_datadis'!A:A,"",""),"""")"),"ES0031408323131005HX0F")</f>
        <v>ES0031408323131005HX0F</v>
      </c>
      <c r="B8542" s="17">
        <f>IFERROR(__xludf.DUMMYFUNCTION("""COMPUTED_VALUE"""),45221.0)</f>
        <v>45221</v>
      </c>
      <c r="C8542" s="13">
        <f>IFERROR(__xludf.DUMMYFUNCTION("""COMPUTED_VALUE"""),0.9166666666666666)</f>
        <v>0.9166666667</v>
      </c>
      <c r="D8542" s="8">
        <f>IFERROR(__xludf.DUMMYFUNCTION("""COMPUTED_VALUE"""),0.11)</f>
        <v>0.11</v>
      </c>
      <c r="E8542" s="8" t="str">
        <f>IFERROR(__xludf.DUMMYFUNCTION("""COMPUTED_VALUE"""),"Real")</f>
        <v>Real</v>
      </c>
      <c r="G8542" s="8">
        <f t="shared" si="1"/>
        <v>10</v>
      </c>
      <c r="H8542" s="14">
        <f t="shared" si="2"/>
        <v>22</v>
      </c>
      <c r="I8542" s="15">
        <f t="shared" si="3"/>
        <v>22</v>
      </c>
    </row>
    <row r="8543">
      <c r="A8543" s="8" t="str">
        <f>IFERROR(__xludf.DUMMYFUNCTION("IF('(INGESTA)Datos_consumo_datadis'!A8543&lt;&gt;"""",SPLIT('(INGESTA)Datos_consumo_datadis'!A:A,"",""),"""")"),"ES0031408323131005HX0F")</f>
        <v>ES0031408323131005HX0F</v>
      </c>
      <c r="B8543" s="17">
        <f>IFERROR(__xludf.DUMMYFUNCTION("""COMPUTED_VALUE"""),45221.0)</f>
        <v>45221</v>
      </c>
      <c r="C8543" s="13">
        <f>IFERROR(__xludf.DUMMYFUNCTION("""COMPUTED_VALUE"""),0.9583333333333334)</f>
        <v>0.9583333333</v>
      </c>
      <c r="D8543" s="8">
        <f>IFERROR(__xludf.DUMMYFUNCTION("""COMPUTED_VALUE"""),0.073)</f>
        <v>0.073</v>
      </c>
      <c r="E8543" s="8" t="str">
        <f>IFERROR(__xludf.DUMMYFUNCTION("""COMPUTED_VALUE"""),"Real")</f>
        <v>Real</v>
      </c>
      <c r="G8543" s="8">
        <f t="shared" si="1"/>
        <v>10</v>
      </c>
      <c r="H8543" s="14">
        <f t="shared" si="2"/>
        <v>22</v>
      </c>
      <c r="I8543" s="15">
        <f t="shared" si="3"/>
        <v>23</v>
      </c>
    </row>
    <row r="8544">
      <c r="A8544" s="8" t="str">
        <f>IFERROR(__xludf.DUMMYFUNCTION("IF('(INGESTA)Datos_consumo_datadis'!A8544&lt;&gt;"""",SPLIT('(INGESTA)Datos_consumo_datadis'!A:A,"",""),"""")"),"ES0031408323131005HX0F")</f>
        <v>ES0031408323131005HX0F</v>
      </c>
      <c r="B8544" s="17">
        <f>IFERROR(__xludf.DUMMYFUNCTION("""COMPUTED_VALUE"""),45221.0)</f>
        <v>45221</v>
      </c>
      <c r="C8544" s="16">
        <f>IFERROR(__xludf.DUMMYFUNCTION("""COMPUTED_VALUE"""),1.0)</f>
        <v>1</v>
      </c>
      <c r="D8544" s="8">
        <f>IFERROR(__xludf.DUMMYFUNCTION("""COMPUTED_VALUE"""),0.051)</f>
        <v>0.051</v>
      </c>
      <c r="E8544" s="8" t="str">
        <f>IFERROR(__xludf.DUMMYFUNCTION("""COMPUTED_VALUE"""),"Real")</f>
        <v>Real</v>
      </c>
      <c r="G8544" s="8">
        <f t="shared" si="1"/>
        <v>10</v>
      </c>
      <c r="H8544" s="14">
        <f t="shared" si="2"/>
        <v>22</v>
      </c>
      <c r="I8544" s="15">
        <f t="shared" si="3"/>
        <v>0</v>
      </c>
    </row>
    <row r="8545">
      <c r="A8545" s="8" t="str">
        <f>IFERROR(__xludf.DUMMYFUNCTION("IF('(INGESTA)Datos_consumo_datadis'!A8545&lt;&gt;"""",SPLIT('(INGESTA)Datos_consumo_datadis'!A:A,"",""),"""")"),"ES0031408323131005HX0F")</f>
        <v>ES0031408323131005HX0F</v>
      </c>
      <c r="B8545" s="17">
        <f>IFERROR(__xludf.DUMMYFUNCTION("""COMPUTED_VALUE"""),45222.0)</f>
        <v>45222</v>
      </c>
      <c r="C8545" s="13">
        <f>IFERROR(__xludf.DUMMYFUNCTION("""COMPUTED_VALUE"""),0.041666666666666664)</f>
        <v>0.04166666667</v>
      </c>
      <c r="D8545" s="8">
        <f>IFERROR(__xludf.DUMMYFUNCTION("""COMPUTED_VALUE"""),0.108)</f>
        <v>0.108</v>
      </c>
      <c r="E8545" s="8" t="str">
        <f>IFERROR(__xludf.DUMMYFUNCTION("""COMPUTED_VALUE"""),"Real")</f>
        <v>Real</v>
      </c>
      <c r="G8545" s="8">
        <f t="shared" si="1"/>
        <v>10</v>
      </c>
      <c r="H8545" s="14">
        <f t="shared" si="2"/>
        <v>23</v>
      </c>
      <c r="I8545" s="15">
        <f t="shared" si="3"/>
        <v>1</v>
      </c>
    </row>
    <row r="8546">
      <c r="A8546" s="8" t="str">
        <f>IFERROR(__xludf.DUMMYFUNCTION("IF('(INGESTA)Datos_consumo_datadis'!A8546&lt;&gt;"""",SPLIT('(INGESTA)Datos_consumo_datadis'!A:A,"",""),"""")"),"ES0031408323131005HX0F")</f>
        <v>ES0031408323131005HX0F</v>
      </c>
      <c r="B8546" s="17">
        <f>IFERROR(__xludf.DUMMYFUNCTION("""COMPUTED_VALUE"""),45222.0)</f>
        <v>45222</v>
      </c>
      <c r="C8546" s="13">
        <f>IFERROR(__xludf.DUMMYFUNCTION("""COMPUTED_VALUE"""),0.08333333333333333)</f>
        <v>0.08333333333</v>
      </c>
      <c r="D8546" s="8">
        <f>IFERROR(__xludf.DUMMYFUNCTION("""COMPUTED_VALUE"""),0.078)</f>
        <v>0.078</v>
      </c>
      <c r="E8546" s="8" t="str">
        <f>IFERROR(__xludf.DUMMYFUNCTION("""COMPUTED_VALUE"""),"Real")</f>
        <v>Real</v>
      </c>
      <c r="G8546" s="8">
        <f t="shared" si="1"/>
        <v>10</v>
      </c>
      <c r="H8546" s="14">
        <f t="shared" si="2"/>
        <v>23</v>
      </c>
      <c r="I8546" s="15">
        <f t="shared" si="3"/>
        <v>2</v>
      </c>
    </row>
    <row r="8547">
      <c r="A8547" s="8" t="str">
        <f>IFERROR(__xludf.DUMMYFUNCTION("IF('(INGESTA)Datos_consumo_datadis'!A8547&lt;&gt;"""",SPLIT('(INGESTA)Datos_consumo_datadis'!A:A,"",""),"""")"),"ES0031408323131005HX0F")</f>
        <v>ES0031408323131005HX0F</v>
      </c>
      <c r="B8547" s="17">
        <f>IFERROR(__xludf.DUMMYFUNCTION("""COMPUTED_VALUE"""),45222.0)</f>
        <v>45222</v>
      </c>
      <c r="C8547" s="13">
        <f>IFERROR(__xludf.DUMMYFUNCTION("""COMPUTED_VALUE"""),0.125)</f>
        <v>0.125</v>
      </c>
      <c r="D8547" s="8">
        <f>IFERROR(__xludf.DUMMYFUNCTION("""COMPUTED_VALUE"""),0.33)</f>
        <v>0.33</v>
      </c>
      <c r="E8547" s="8" t="str">
        <f>IFERROR(__xludf.DUMMYFUNCTION("""COMPUTED_VALUE"""),"Real")</f>
        <v>Real</v>
      </c>
      <c r="G8547" s="8">
        <f t="shared" si="1"/>
        <v>10</v>
      </c>
      <c r="H8547" s="14">
        <f t="shared" si="2"/>
        <v>23</v>
      </c>
      <c r="I8547" s="15">
        <f t="shared" si="3"/>
        <v>3</v>
      </c>
    </row>
    <row r="8548">
      <c r="A8548" s="8" t="str">
        <f>IFERROR(__xludf.DUMMYFUNCTION("IF('(INGESTA)Datos_consumo_datadis'!A8548&lt;&gt;"""",SPLIT('(INGESTA)Datos_consumo_datadis'!A:A,"",""),"""")"),"ES0031408323131005HX0F")</f>
        <v>ES0031408323131005HX0F</v>
      </c>
      <c r="B8548" s="17">
        <f>IFERROR(__xludf.DUMMYFUNCTION("""COMPUTED_VALUE"""),45222.0)</f>
        <v>45222</v>
      </c>
      <c r="C8548" s="13">
        <f>IFERROR(__xludf.DUMMYFUNCTION("""COMPUTED_VALUE"""),0.16666666666666666)</f>
        <v>0.1666666667</v>
      </c>
      <c r="D8548" s="8">
        <f>IFERROR(__xludf.DUMMYFUNCTION("""COMPUTED_VALUE"""),0.117)</f>
        <v>0.117</v>
      </c>
      <c r="E8548" s="8" t="str">
        <f>IFERROR(__xludf.DUMMYFUNCTION("""COMPUTED_VALUE"""),"Real")</f>
        <v>Real</v>
      </c>
      <c r="G8548" s="8">
        <f t="shared" si="1"/>
        <v>10</v>
      </c>
      <c r="H8548" s="14">
        <f t="shared" si="2"/>
        <v>23</v>
      </c>
      <c r="I8548" s="15">
        <f t="shared" si="3"/>
        <v>4</v>
      </c>
    </row>
    <row r="8549">
      <c r="A8549" s="8" t="str">
        <f>IFERROR(__xludf.DUMMYFUNCTION("IF('(INGESTA)Datos_consumo_datadis'!A8549&lt;&gt;"""",SPLIT('(INGESTA)Datos_consumo_datadis'!A:A,"",""),"""")"),"ES0031408323131005HX0F")</f>
        <v>ES0031408323131005HX0F</v>
      </c>
      <c r="B8549" s="17">
        <f>IFERROR(__xludf.DUMMYFUNCTION("""COMPUTED_VALUE"""),45222.0)</f>
        <v>45222</v>
      </c>
      <c r="C8549" s="13">
        <f>IFERROR(__xludf.DUMMYFUNCTION("""COMPUTED_VALUE"""),0.20833333333333334)</f>
        <v>0.2083333333</v>
      </c>
      <c r="D8549" s="8">
        <f>IFERROR(__xludf.DUMMYFUNCTION("""COMPUTED_VALUE"""),0.076)</f>
        <v>0.076</v>
      </c>
      <c r="E8549" s="8" t="str">
        <f>IFERROR(__xludf.DUMMYFUNCTION("""COMPUTED_VALUE"""),"Real")</f>
        <v>Real</v>
      </c>
      <c r="G8549" s="8">
        <f t="shared" si="1"/>
        <v>10</v>
      </c>
      <c r="H8549" s="14">
        <f t="shared" si="2"/>
        <v>23</v>
      </c>
      <c r="I8549" s="15">
        <f t="shared" si="3"/>
        <v>5</v>
      </c>
    </row>
    <row r="8550">
      <c r="A8550" s="8" t="str">
        <f>IFERROR(__xludf.DUMMYFUNCTION("IF('(INGESTA)Datos_consumo_datadis'!A8550&lt;&gt;"""",SPLIT('(INGESTA)Datos_consumo_datadis'!A:A,"",""),"""")"),"ES0031408323131005HX0F")</f>
        <v>ES0031408323131005HX0F</v>
      </c>
      <c r="B8550" s="17">
        <f>IFERROR(__xludf.DUMMYFUNCTION("""COMPUTED_VALUE"""),45222.0)</f>
        <v>45222</v>
      </c>
      <c r="C8550" s="13">
        <f>IFERROR(__xludf.DUMMYFUNCTION("""COMPUTED_VALUE"""),0.25)</f>
        <v>0.25</v>
      </c>
      <c r="D8550" s="8">
        <f>IFERROR(__xludf.DUMMYFUNCTION("""COMPUTED_VALUE"""),0.018)</f>
        <v>0.018</v>
      </c>
      <c r="E8550" s="8" t="str">
        <f>IFERROR(__xludf.DUMMYFUNCTION("""COMPUTED_VALUE"""),"Real")</f>
        <v>Real</v>
      </c>
      <c r="G8550" s="8">
        <f t="shared" si="1"/>
        <v>10</v>
      </c>
      <c r="H8550" s="14">
        <f t="shared" si="2"/>
        <v>23</v>
      </c>
      <c r="I8550" s="15">
        <f t="shared" si="3"/>
        <v>6</v>
      </c>
    </row>
    <row r="8551">
      <c r="A8551" s="8" t="str">
        <f>IFERROR(__xludf.DUMMYFUNCTION("IF('(INGESTA)Datos_consumo_datadis'!A8551&lt;&gt;"""",SPLIT('(INGESTA)Datos_consumo_datadis'!A:A,"",""),"""")"),"ES0031408323131005HX0F")</f>
        <v>ES0031408323131005HX0F</v>
      </c>
      <c r="B8551" s="17">
        <f>IFERROR(__xludf.DUMMYFUNCTION("""COMPUTED_VALUE"""),45222.0)</f>
        <v>45222</v>
      </c>
      <c r="C8551" s="13">
        <f>IFERROR(__xludf.DUMMYFUNCTION("""COMPUTED_VALUE"""),0.2916666666666667)</f>
        <v>0.2916666667</v>
      </c>
      <c r="D8551" s="8">
        <f>IFERROR(__xludf.DUMMYFUNCTION("""COMPUTED_VALUE"""),0.105)</f>
        <v>0.105</v>
      </c>
      <c r="E8551" s="8" t="str">
        <f>IFERROR(__xludf.DUMMYFUNCTION("""COMPUTED_VALUE"""),"Real")</f>
        <v>Real</v>
      </c>
      <c r="G8551" s="8">
        <f t="shared" si="1"/>
        <v>10</v>
      </c>
      <c r="H8551" s="14">
        <f t="shared" si="2"/>
        <v>23</v>
      </c>
      <c r="I8551" s="15">
        <f t="shared" si="3"/>
        <v>7</v>
      </c>
    </row>
    <row r="8552">
      <c r="A8552" s="8" t="str">
        <f>IFERROR(__xludf.DUMMYFUNCTION("IF('(INGESTA)Datos_consumo_datadis'!A8552&lt;&gt;"""",SPLIT('(INGESTA)Datos_consumo_datadis'!A:A,"",""),"""")"),"ES0031408323131005HX0F")</f>
        <v>ES0031408323131005HX0F</v>
      </c>
      <c r="B8552" s="17">
        <f>IFERROR(__xludf.DUMMYFUNCTION("""COMPUTED_VALUE"""),45222.0)</f>
        <v>45222</v>
      </c>
      <c r="C8552" s="13">
        <f>IFERROR(__xludf.DUMMYFUNCTION("""COMPUTED_VALUE"""),0.3333333333333333)</f>
        <v>0.3333333333</v>
      </c>
      <c r="D8552" s="8">
        <f>IFERROR(__xludf.DUMMYFUNCTION("""COMPUTED_VALUE"""),0.298)</f>
        <v>0.298</v>
      </c>
      <c r="E8552" s="8" t="str">
        <f>IFERROR(__xludf.DUMMYFUNCTION("""COMPUTED_VALUE"""),"Real")</f>
        <v>Real</v>
      </c>
      <c r="G8552" s="8">
        <f t="shared" si="1"/>
        <v>10</v>
      </c>
      <c r="H8552" s="14">
        <f t="shared" si="2"/>
        <v>23</v>
      </c>
      <c r="I8552" s="15">
        <f t="shared" si="3"/>
        <v>8</v>
      </c>
    </row>
    <row r="8553">
      <c r="A8553" s="8" t="str">
        <f>IFERROR(__xludf.DUMMYFUNCTION("IF('(INGESTA)Datos_consumo_datadis'!A8553&lt;&gt;"""",SPLIT('(INGESTA)Datos_consumo_datadis'!A:A,"",""),"""")"),"ES0031408323131005HX0F")</f>
        <v>ES0031408323131005HX0F</v>
      </c>
      <c r="B8553" s="17">
        <f>IFERROR(__xludf.DUMMYFUNCTION("""COMPUTED_VALUE"""),45222.0)</f>
        <v>45222</v>
      </c>
      <c r="C8553" s="13">
        <f>IFERROR(__xludf.DUMMYFUNCTION("""COMPUTED_VALUE"""),0.375)</f>
        <v>0.375</v>
      </c>
      <c r="D8553" s="8">
        <f>IFERROR(__xludf.DUMMYFUNCTION("""COMPUTED_VALUE"""),0.099)</f>
        <v>0.099</v>
      </c>
      <c r="E8553" s="8" t="str">
        <f>IFERROR(__xludf.DUMMYFUNCTION("""COMPUTED_VALUE"""),"Real")</f>
        <v>Real</v>
      </c>
      <c r="G8553" s="8">
        <f t="shared" si="1"/>
        <v>10</v>
      </c>
      <c r="H8553" s="14">
        <f t="shared" si="2"/>
        <v>23</v>
      </c>
      <c r="I8553" s="15">
        <f t="shared" si="3"/>
        <v>9</v>
      </c>
    </row>
    <row r="8554">
      <c r="A8554" s="8" t="str">
        <f>IFERROR(__xludf.DUMMYFUNCTION("IF('(INGESTA)Datos_consumo_datadis'!A8554&lt;&gt;"""",SPLIT('(INGESTA)Datos_consumo_datadis'!A:A,"",""),"""")"),"ES0031408323131005HX0F")</f>
        <v>ES0031408323131005HX0F</v>
      </c>
      <c r="B8554" s="17">
        <f>IFERROR(__xludf.DUMMYFUNCTION("""COMPUTED_VALUE"""),45222.0)</f>
        <v>45222</v>
      </c>
      <c r="C8554" s="13">
        <f>IFERROR(__xludf.DUMMYFUNCTION("""COMPUTED_VALUE"""),0.4166666666666667)</f>
        <v>0.4166666667</v>
      </c>
      <c r="D8554" s="8">
        <f>IFERROR(__xludf.DUMMYFUNCTION("""COMPUTED_VALUE"""),0.106)</f>
        <v>0.106</v>
      </c>
      <c r="E8554" s="8" t="str">
        <f>IFERROR(__xludf.DUMMYFUNCTION("""COMPUTED_VALUE"""),"Real")</f>
        <v>Real</v>
      </c>
      <c r="G8554" s="8">
        <f t="shared" si="1"/>
        <v>10</v>
      </c>
      <c r="H8554" s="14">
        <f t="shared" si="2"/>
        <v>23</v>
      </c>
      <c r="I8554" s="15">
        <f t="shared" si="3"/>
        <v>10</v>
      </c>
    </row>
    <row r="8555">
      <c r="A8555" s="8" t="str">
        <f>IFERROR(__xludf.DUMMYFUNCTION("IF('(INGESTA)Datos_consumo_datadis'!A8555&lt;&gt;"""",SPLIT('(INGESTA)Datos_consumo_datadis'!A:A,"",""),"""")"),"ES0031408323131005HX0F")</f>
        <v>ES0031408323131005HX0F</v>
      </c>
      <c r="B8555" s="17">
        <f>IFERROR(__xludf.DUMMYFUNCTION("""COMPUTED_VALUE"""),45222.0)</f>
        <v>45222</v>
      </c>
      <c r="C8555" s="13">
        <f>IFERROR(__xludf.DUMMYFUNCTION("""COMPUTED_VALUE"""),0.4583333333333333)</f>
        <v>0.4583333333</v>
      </c>
      <c r="D8555" s="8">
        <f>IFERROR(__xludf.DUMMYFUNCTION("""COMPUTED_VALUE"""),0.076)</f>
        <v>0.076</v>
      </c>
      <c r="E8555" s="8" t="str">
        <f>IFERROR(__xludf.DUMMYFUNCTION("""COMPUTED_VALUE"""),"Real")</f>
        <v>Real</v>
      </c>
      <c r="G8555" s="8">
        <f t="shared" si="1"/>
        <v>10</v>
      </c>
      <c r="H8555" s="14">
        <f t="shared" si="2"/>
        <v>23</v>
      </c>
      <c r="I8555" s="15">
        <f t="shared" si="3"/>
        <v>11</v>
      </c>
    </row>
    <row r="8556">
      <c r="A8556" s="8" t="str">
        <f>IFERROR(__xludf.DUMMYFUNCTION("IF('(INGESTA)Datos_consumo_datadis'!A8556&lt;&gt;"""",SPLIT('(INGESTA)Datos_consumo_datadis'!A:A,"",""),"""")"),"ES0031408323131005HX0F")</f>
        <v>ES0031408323131005HX0F</v>
      </c>
      <c r="B8556" s="17">
        <f>IFERROR(__xludf.DUMMYFUNCTION("""COMPUTED_VALUE"""),45222.0)</f>
        <v>45222</v>
      </c>
      <c r="C8556" s="13">
        <f>IFERROR(__xludf.DUMMYFUNCTION("""COMPUTED_VALUE"""),0.5)</f>
        <v>0.5</v>
      </c>
      <c r="D8556" s="8">
        <f>IFERROR(__xludf.DUMMYFUNCTION("""COMPUTED_VALUE"""),0.018)</f>
        <v>0.018</v>
      </c>
      <c r="E8556" s="8" t="str">
        <f>IFERROR(__xludf.DUMMYFUNCTION("""COMPUTED_VALUE"""),"Real")</f>
        <v>Real</v>
      </c>
      <c r="G8556" s="8">
        <f t="shared" si="1"/>
        <v>10</v>
      </c>
      <c r="H8556" s="14">
        <f t="shared" si="2"/>
        <v>23</v>
      </c>
      <c r="I8556" s="15">
        <f t="shared" si="3"/>
        <v>12</v>
      </c>
    </row>
    <row r="8557">
      <c r="A8557" s="8" t="str">
        <f>IFERROR(__xludf.DUMMYFUNCTION("IF('(INGESTA)Datos_consumo_datadis'!A8557&lt;&gt;"""",SPLIT('(INGESTA)Datos_consumo_datadis'!A:A,"",""),"""")"),"ES0031408323131005HX0F")</f>
        <v>ES0031408323131005HX0F</v>
      </c>
      <c r="B8557" s="17">
        <f>IFERROR(__xludf.DUMMYFUNCTION("""COMPUTED_VALUE"""),45222.0)</f>
        <v>45222</v>
      </c>
      <c r="C8557" s="13">
        <f>IFERROR(__xludf.DUMMYFUNCTION("""COMPUTED_VALUE"""),0.5416666666666666)</f>
        <v>0.5416666667</v>
      </c>
      <c r="D8557" s="8">
        <f>IFERROR(__xludf.DUMMYFUNCTION("""COMPUTED_VALUE"""),0.1)</f>
        <v>0.1</v>
      </c>
      <c r="E8557" s="8" t="str">
        <f>IFERROR(__xludf.DUMMYFUNCTION("""COMPUTED_VALUE"""),"Real")</f>
        <v>Real</v>
      </c>
      <c r="G8557" s="8">
        <f t="shared" si="1"/>
        <v>10</v>
      </c>
      <c r="H8557" s="14">
        <f t="shared" si="2"/>
        <v>23</v>
      </c>
      <c r="I8557" s="15">
        <f t="shared" si="3"/>
        <v>13</v>
      </c>
    </row>
    <row r="8558">
      <c r="A8558" s="8" t="str">
        <f>IFERROR(__xludf.DUMMYFUNCTION("IF('(INGESTA)Datos_consumo_datadis'!A8558&lt;&gt;"""",SPLIT('(INGESTA)Datos_consumo_datadis'!A:A,"",""),"""")"),"ES0031408323131005HX0F")</f>
        <v>ES0031408323131005HX0F</v>
      </c>
      <c r="B8558" s="17">
        <f>IFERROR(__xludf.DUMMYFUNCTION("""COMPUTED_VALUE"""),45222.0)</f>
        <v>45222</v>
      </c>
      <c r="C8558" s="13">
        <f>IFERROR(__xludf.DUMMYFUNCTION("""COMPUTED_VALUE"""),0.5833333333333334)</f>
        <v>0.5833333333</v>
      </c>
      <c r="D8558" s="8">
        <f>IFERROR(__xludf.DUMMYFUNCTION("""COMPUTED_VALUE"""),0.08)</f>
        <v>0.08</v>
      </c>
      <c r="E8558" s="8" t="str">
        <f>IFERROR(__xludf.DUMMYFUNCTION("""COMPUTED_VALUE"""),"Real")</f>
        <v>Real</v>
      </c>
      <c r="G8558" s="8">
        <f t="shared" si="1"/>
        <v>10</v>
      </c>
      <c r="H8558" s="14">
        <f t="shared" si="2"/>
        <v>23</v>
      </c>
      <c r="I8558" s="15">
        <f t="shared" si="3"/>
        <v>14</v>
      </c>
    </row>
    <row r="8559">
      <c r="A8559" s="8" t="str">
        <f>IFERROR(__xludf.DUMMYFUNCTION("IF('(INGESTA)Datos_consumo_datadis'!A8559&lt;&gt;"""",SPLIT('(INGESTA)Datos_consumo_datadis'!A:A,"",""),"""")"),"ES0031408323131005HX0F")</f>
        <v>ES0031408323131005HX0F</v>
      </c>
      <c r="B8559" s="17">
        <f>IFERROR(__xludf.DUMMYFUNCTION("""COMPUTED_VALUE"""),45222.0)</f>
        <v>45222</v>
      </c>
      <c r="C8559" s="13">
        <f>IFERROR(__xludf.DUMMYFUNCTION("""COMPUTED_VALUE"""),0.625)</f>
        <v>0.625</v>
      </c>
      <c r="D8559" s="8">
        <f>IFERROR(__xludf.DUMMYFUNCTION("""COMPUTED_VALUE"""),0.285)</f>
        <v>0.285</v>
      </c>
      <c r="E8559" s="8" t="str">
        <f>IFERROR(__xludf.DUMMYFUNCTION("""COMPUTED_VALUE"""),"Real")</f>
        <v>Real</v>
      </c>
      <c r="G8559" s="8">
        <f t="shared" si="1"/>
        <v>10</v>
      </c>
      <c r="H8559" s="14">
        <f t="shared" si="2"/>
        <v>23</v>
      </c>
      <c r="I8559" s="15">
        <f t="shared" si="3"/>
        <v>15</v>
      </c>
    </row>
    <row r="8560">
      <c r="A8560" s="8" t="str">
        <f>IFERROR(__xludf.DUMMYFUNCTION("IF('(INGESTA)Datos_consumo_datadis'!A8560&lt;&gt;"""",SPLIT('(INGESTA)Datos_consumo_datadis'!A:A,"",""),"""")"),"ES0031408323131005HX0F")</f>
        <v>ES0031408323131005HX0F</v>
      </c>
      <c r="B8560" s="17">
        <f>IFERROR(__xludf.DUMMYFUNCTION("""COMPUTED_VALUE"""),45222.0)</f>
        <v>45222</v>
      </c>
      <c r="C8560" s="13">
        <f>IFERROR(__xludf.DUMMYFUNCTION("""COMPUTED_VALUE"""),0.6666666666666666)</f>
        <v>0.6666666667</v>
      </c>
      <c r="D8560" s="8">
        <f>IFERROR(__xludf.DUMMYFUNCTION("""COMPUTED_VALUE"""),0.105)</f>
        <v>0.105</v>
      </c>
      <c r="E8560" s="8" t="str">
        <f>IFERROR(__xludf.DUMMYFUNCTION("""COMPUTED_VALUE"""),"Real")</f>
        <v>Real</v>
      </c>
      <c r="G8560" s="8">
        <f t="shared" si="1"/>
        <v>10</v>
      </c>
      <c r="H8560" s="14">
        <f t="shared" si="2"/>
        <v>23</v>
      </c>
      <c r="I8560" s="15">
        <f t="shared" si="3"/>
        <v>16</v>
      </c>
    </row>
    <row r="8561">
      <c r="A8561" s="8" t="str">
        <f>IFERROR(__xludf.DUMMYFUNCTION("IF('(INGESTA)Datos_consumo_datadis'!A8561&lt;&gt;"""",SPLIT('(INGESTA)Datos_consumo_datadis'!A:A,"",""),"""")"),"ES0031408323131005HX0F")</f>
        <v>ES0031408323131005HX0F</v>
      </c>
      <c r="B8561" s="17">
        <f>IFERROR(__xludf.DUMMYFUNCTION("""COMPUTED_VALUE"""),45222.0)</f>
        <v>45222</v>
      </c>
      <c r="C8561" s="13">
        <f>IFERROR(__xludf.DUMMYFUNCTION("""COMPUTED_VALUE"""),0.7083333333333334)</f>
        <v>0.7083333333</v>
      </c>
      <c r="D8561" s="8">
        <f>IFERROR(__xludf.DUMMYFUNCTION("""COMPUTED_VALUE"""),0.114)</f>
        <v>0.114</v>
      </c>
      <c r="E8561" s="8" t="str">
        <f>IFERROR(__xludf.DUMMYFUNCTION("""COMPUTED_VALUE"""),"Real")</f>
        <v>Real</v>
      </c>
      <c r="G8561" s="8">
        <f t="shared" si="1"/>
        <v>10</v>
      </c>
      <c r="H8561" s="14">
        <f t="shared" si="2"/>
        <v>23</v>
      </c>
      <c r="I8561" s="15">
        <f t="shared" si="3"/>
        <v>17</v>
      </c>
    </row>
    <row r="8562">
      <c r="A8562" s="8" t="str">
        <f>IFERROR(__xludf.DUMMYFUNCTION("IF('(INGESTA)Datos_consumo_datadis'!A8562&lt;&gt;"""",SPLIT('(INGESTA)Datos_consumo_datadis'!A:A,"",""),"""")"),"ES0031408323131005HX0F")</f>
        <v>ES0031408323131005HX0F</v>
      </c>
      <c r="B8562" s="17">
        <f>IFERROR(__xludf.DUMMYFUNCTION("""COMPUTED_VALUE"""),45222.0)</f>
        <v>45222</v>
      </c>
      <c r="C8562" s="13">
        <f>IFERROR(__xludf.DUMMYFUNCTION("""COMPUTED_VALUE"""),0.75)</f>
        <v>0.75</v>
      </c>
      <c r="D8562" s="8">
        <f>IFERROR(__xludf.DUMMYFUNCTION("""COMPUTED_VALUE"""),0.086)</f>
        <v>0.086</v>
      </c>
      <c r="E8562" s="8" t="str">
        <f>IFERROR(__xludf.DUMMYFUNCTION("""COMPUTED_VALUE"""),"Real")</f>
        <v>Real</v>
      </c>
      <c r="G8562" s="8">
        <f t="shared" si="1"/>
        <v>10</v>
      </c>
      <c r="H8562" s="14">
        <f t="shared" si="2"/>
        <v>23</v>
      </c>
      <c r="I8562" s="15">
        <f t="shared" si="3"/>
        <v>18</v>
      </c>
    </row>
    <row r="8563">
      <c r="A8563" s="8" t="str">
        <f>IFERROR(__xludf.DUMMYFUNCTION("IF('(INGESTA)Datos_consumo_datadis'!A8563&lt;&gt;"""",SPLIT('(INGESTA)Datos_consumo_datadis'!A:A,"",""),"""")"),"ES0031408323131005HX0F")</f>
        <v>ES0031408323131005HX0F</v>
      </c>
      <c r="B8563" s="17">
        <f>IFERROR(__xludf.DUMMYFUNCTION("""COMPUTED_VALUE"""),45222.0)</f>
        <v>45222</v>
      </c>
      <c r="C8563" s="13">
        <f>IFERROR(__xludf.DUMMYFUNCTION("""COMPUTED_VALUE"""),0.7916666666666666)</f>
        <v>0.7916666667</v>
      </c>
      <c r="D8563" s="8">
        <f>IFERROR(__xludf.DUMMYFUNCTION("""COMPUTED_VALUE"""),0.036)</f>
        <v>0.036</v>
      </c>
      <c r="E8563" s="8" t="str">
        <f>IFERROR(__xludf.DUMMYFUNCTION("""COMPUTED_VALUE"""),"Real")</f>
        <v>Real</v>
      </c>
      <c r="G8563" s="8">
        <f t="shared" si="1"/>
        <v>10</v>
      </c>
      <c r="H8563" s="14">
        <f t="shared" si="2"/>
        <v>23</v>
      </c>
      <c r="I8563" s="15">
        <f t="shared" si="3"/>
        <v>19</v>
      </c>
    </row>
    <row r="8564">
      <c r="A8564" s="8" t="str">
        <f>IFERROR(__xludf.DUMMYFUNCTION("IF('(INGESTA)Datos_consumo_datadis'!A8564&lt;&gt;"""",SPLIT('(INGESTA)Datos_consumo_datadis'!A:A,"",""),"""")"),"ES0031408323131005HX0F")</f>
        <v>ES0031408323131005HX0F</v>
      </c>
      <c r="B8564" s="17">
        <f>IFERROR(__xludf.DUMMYFUNCTION("""COMPUTED_VALUE"""),45222.0)</f>
        <v>45222</v>
      </c>
      <c r="C8564" s="13">
        <f>IFERROR(__xludf.DUMMYFUNCTION("""COMPUTED_VALUE"""),0.8333333333333334)</f>
        <v>0.8333333333</v>
      </c>
      <c r="D8564" s="8">
        <f>IFERROR(__xludf.DUMMYFUNCTION("""COMPUTED_VALUE"""),0.072)</f>
        <v>0.072</v>
      </c>
      <c r="E8564" s="8" t="str">
        <f>IFERROR(__xludf.DUMMYFUNCTION("""COMPUTED_VALUE"""),"Real")</f>
        <v>Real</v>
      </c>
      <c r="G8564" s="8">
        <f t="shared" si="1"/>
        <v>10</v>
      </c>
      <c r="H8564" s="14">
        <f t="shared" si="2"/>
        <v>23</v>
      </c>
      <c r="I8564" s="15">
        <f t="shared" si="3"/>
        <v>20</v>
      </c>
    </row>
    <row r="8565">
      <c r="A8565" s="8" t="str">
        <f>IFERROR(__xludf.DUMMYFUNCTION("IF('(INGESTA)Datos_consumo_datadis'!A8565&lt;&gt;"""",SPLIT('(INGESTA)Datos_consumo_datadis'!A:A,"",""),"""")"),"ES0031408323131005HX0F")</f>
        <v>ES0031408323131005HX0F</v>
      </c>
      <c r="B8565" s="17">
        <f>IFERROR(__xludf.DUMMYFUNCTION("""COMPUTED_VALUE"""),45222.0)</f>
        <v>45222</v>
      </c>
      <c r="C8565" s="13">
        <f>IFERROR(__xludf.DUMMYFUNCTION("""COMPUTED_VALUE"""),0.875)</f>
        <v>0.875</v>
      </c>
      <c r="D8565" s="8">
        <f>IFERROR(__xludf.DUMMYFUNCTION("""COMPUTED_VALUE"""),0.364)</f>
        <v>0.364</v>
      </c>
      <c r="E8565" s="8" t="str">
        <f>IFERROR(__xludf.DUMMYFUNCTION("""COMPUTED_VALUE"""),"Real")</f>
        <v>Real</v>
      </c>
      <c r="G8565" s="8">
        <f t="shared" si="1"/>
        <v>10</v>
      </c>
      <c r="H8565" s="14">
        <f t="shared" si="2"/>
        <v>23</v>
      </c>
      <c r="I8565" s="15">
        <f t="shared" si="3"/>
        <v>21</v>
      </c>
    </row>
    <row r="8566">
      <c r="A8566" s="8" t="str">
        <f>IFERROR(__xludf.DUMMYFUNCTION("IF('(INGESTA)Datos_consumo_datadis'!A8566&lt;&gt;"""",SPLIT('(INGESTA)Datos_consumo_datadis'!A:A,"",""),"""")"),"ES0031408323131005HX0F")</f>
        <v>ES0031408323131005HX0F</v>
      </c>
      <c r="B8566" s="17">
        <f>IFERROR(__xludf.DUMMYFUNCTION("""COMPUTED_VALUE"""),45222.0)</f>
        <v>45222</v>
      </c>
      <c r="C8566" s="13">
        <f>IFERROR(__xludf.DUMMYFUNCTION("""COMPUTED_VALUE"""),0.9166666666666666)</f>
        <v>0.9166666667</v>
      </c>
      <c r="D8566" s="8">
        <f>IFERROR(__xludf.DUMMYFUNCTION("""COMPUTED_VALUE"""),0.045)</f>
        <v>0.045</v>
      </c>
      <c r="E8566" s="8" t="str">
        <f>IFERROR(__xludf.DUMMYFUNCTION("""COMPUTED_VALUE"""),"Real")</f>
        <v>Real</v>
      </c>
      <c r="G8566" s="8">
        <f t="shared" si="1"/>
        <v>10</v>
      </c>
      <c r="H8566" s="14">
        <f t="shared" si="2"/>
        <v>23</v>
      </c>
      <c r="I8566" s="15">
        <f t="shared" si="3"/>
        <v>22</v>
      </c>
    </row>
    <row r="8567">
      <c r="A8567" s="8" t="str">
        <f>IFERROR(__xludf.DUMMYFUNCTION("IF('(INGESTA)Datos_consumo_datadis'!A8567&lt;&gt;"""",SPLIT('(INGESTA)Datos_consumo_datadis'!A:A,"",""),"""")"),"ES0031408323131005HX0F")</f>
        <v>ES0031408323131005HX0F</v>
      </c>
      <c r="B8567" s="17">
        <f>IFERROR(__xludf.DUMMYFUNCTION("""COMPUTED_VALUE"""),45222.0)</f>
        <v>45222</v>
      </c>
      <c r="C8567" s="13">
        <f>IFERROR(__xludf.DUMMYFUNCTION("""COMPUTED_VALUE"""),0.9583333333333334)</f>
        <v>0.9583333333</v>
      </c>
      <c r="D8567" s="8">
        <f>IFERROR(__xludf.DUMMYFUNCTION("""COMPUTED_VALUE"""),0.063)</f>
        <v>0.063</v>
      </c>
      <c r="E8567" s="8" t="str">
        <f>IFERROR(__xludf.DUMMYFUNCTION("""COMPUTED_VALUE"""),"Real")</f>
        <v>Real</v>
      </c>
      <c r="G8567" s="8">
        <f t="shared" si="1"/>
        <v>10</v>
      </c>
      <c r="H8567" s="14">
        <f t="shared" si="2"/>
        <v>23</v>
      </c>
      <c r="I8567" s="15">
        <f t="shared" si="3"/>
        <v>23</v>
      </c>
    </row>
    <row r="8568">
      <c r="A8568" s="8" t="str">
        <f>IFERROR(__xludf.DUMMYFUNCTION("IF('(INGESTA)Datos_consumo_datadis'!A8568&lt;&gt;"""",SPLIT('(INGESTA)Datos_consumo_datadis'!A:A,"",""),"""")"),"ES0031408323131005HX0F")</f>
        <v>ES0031408323131005HX0F</v>
      </c>
      <c r="B8568" s="17">
        <f>IFERROR(__xludf.DUMMYFUNCTION("""COMPUTED_VALUE"""),45222.0)</f>
        <v>45222</v>
      </c>
      <c r="C8568" s="16">
        <f>IFERROR(__xludf.DUMMYFUNCTION("""COMPUTED_VALUE"""),1.0)</f>
        <v>1</v>
      </c>
      <c r="D8568" s="8">
        <f>IFERROR(__xludf.DUMMYFUNCTION("""COMPUTED_VALUE"""),0.099)</f>
        <v>0.099</v>
      </c>
      <c r="E8568" s="8" t="str">
        <f>IFERROR(__xludf.DUMMYFUNCTION("""COMPUTED_VALUE"""),"Real")</f>
        <v>Real</v>
      </c>
      <c r="G8568" s="8">
        <f t="shared" si="1"/>
        <v>10</v>
      </c>
      <c r="H8568" s="14">
        <f t="shared" si="2"/>
        <v>23</v>
      </c>
      <c r="I8568" s="15">
        <f t="shared" si="3"/>
        <v>0</v>
      </c>
    </row>
    <row r="8569">
      <c r="A8569" s="8" t="str">
        <f>IFERROR(__xludf.DUMMYFUNCTION("IF('(INGESTA)Datos_consumo_datadis'!A8569&lt;&gt;"""",SPLIT('(INGESTA)Datos_consumo_datadis'!A:A,"",""),"""")"),"ES0031408323131005HX0F")</f>
        <v>ES0031408323131005HX0F</v>
      </c>
      <c r="B8569" s="17">
        <f>IFERROR(__xludf.DUMMYFUNCTION("""COMPUTED_VALUE"""),45223.0)</f>
        <v>45223</v>
      </c>
      <c r="C8569" s="13">
        <f>IFERROR(__xludf.DUMMYFUNCTION("""COMPUTED_VALUE"""),0.041666666666666664)</f>
        <v>0.04166666667</v>
      </c>
      <c r="D8569" s="8">
        <f>IFERROR(__xludf.DUMMYFUNCTION("""COMPUTED_VALUE"""),0.106)</f>
        <v>0.106</v>
      </c>
      <c r="E8569" s="8" t="str">
        <f>IFERROR(__xludf.DUMMYFUNCTION("""COMPUTED_VALUE"""),"Real")</f>
        <v>Real</v>
      </c>
      <c r="G8569" s="8">
        <f t="shared" si="1"/>
        <v>10</v>
      </c>
      <c r="H8569" s="14">
        <f t="shared" si="2"/>
        <v>24</v>
      </c>
      <c r="I8569" s="15">
        <f t="shared" si="3"/>
        <v>1</v>
      </c>
    </row>
    <row r="8570">
      <c r="A8570" s="8" t="str">
        <f>IFERROR(__xludf.DUMMYFUNCTION("IF('(INGESTA)Datos_consumo_datadis'!A8570&lt;&gt;"""",SPLIT('(INGESTA)Datos_consumo_datadis'!A:A,"",""),"""")"),"ES0031408323131005HX0F")</f>
        <v>ES0031408323131005HX0F</v>
      </c>
      <c r="B8570" s="17">
        <f>IFERROR(__xludf.DUMMYFUNCTION("""COMPUTED_VALUE"""),45223.0)</f>
        <v>45223</v>
      </c>
      <c r="C8570" s="13">
        <f>IFERROR(__xludf.DUMMYFUNCTION("""COMPUTED_VALUE"""),0.08333333333333333)</f>
        <v>0.08333333333</v>
      </c>
      <c r="D8570" s="8">
        <f>IFERROR(__xludf.DUMMYFUNCTION("""COMPUTED_VALUE"""),0.017)</f>
        <v>0.017</v>
      </c>
      <c r="E8570" s="8" t="str">
        <f>IFERROR(__xludf.DUMMYFUNCTION("""COMPUTED_VALUE"""),"Real")</f>
        <v>Real</v>
      </c>
      <c r="G8570" s="8">
        <f t="shared" si="1"/>
        <v>10</v>
      </c>
      <c r="H8570" s="14">
        <f t="shared" si="2"/>
        <v>24</v>
      </c>
      <c r="I8570" s="15">
        <f t="shared" si="3"/>
        <v>2</v>
      </c>
    </row>
    <row r="8571">
      <c r="A8571" s="8" t="str">
        <f>IFERROR(__xludf.DUMMYFUNCTION("IF('(INGESTA)Datos_consumo_datadis'!A8571&lt;&gt;"""",SPLIT('(INGESTA)Datos_consumo_datadis'!A:A,"",""),"""")"),"ES0031408323131005HX0F")</f>
        <v>ES0031408323131005HX0F</v>
      </c>
      <c r="B8571" s="17">
        <f>IFERROR(__xludf.DUMMYFUNCTION("""COMPUTED_VALUE"""),45223.0)</f>
        <v>45223</v>
      </c>
      <c r="C8571" s="13">
        <f>IFERROR(__xludf.DUMMYFUNCTION("""COMPUTED_VALUE"""),0.125)</f>
        <v>0.125</v>
      </c>
      <c r="D8571" s="8">
        <f>IFERROR(__xludf.DUMMYFUNCTION("""COMPUTED_VALUE"""),0.089)</f>
        <v>0.089</v>
      </c>
      <c r="E8571" s="8" t="str">
        <f>IFERROR(__xludf.DUMMYFUNCTION("""COMPUTED_VALUE"""),"Real")</f>
        <v>Real</v>
      </c>
      <c r="G8571" s="8">
        <f t="shared" si="1"/>
        <v>10</v>
      </c>
      <c r="H8571" s="14">
        <f t="shared" si="2"/>
        <v>24</v>
      </c>
      <c r="I8571" s="15">
        <f t="shared" si="3"/>
        <v>3</v>
      </c>
    </row>
    <row r="8572">
      <c r="A8572" s="8" t="str">
        <f>IFERROR(__xludf.DUMMYFUNCTION("IF('(INGESTA)Datos_consumo_datadis'!A8572&lt;&gt;"""",SPLIT('(INGESTA)Datos_consumo_datadis'!A:A,"",""),"""")"),"ES0031408323131005HX0F")</f>
        <v>ES0031408323131005HX0F</v>
      </c>
      <c r="B8572" s="17">
        <f>IFERROR(__xludf.DUMMYFUNCTION("""COMPUTED_VALUE"""),45223.0)</f>
        <v>45223</v>
      </c>
      <c r="C8572" s="13">
        <f>IFERROR(__xludf.DUMMYFUNCTION("""COMPUTED_VALUE"""),0.16666666666666666)</f>
        <v>0.1666666667</v>
      </c>
      <c r="D8572" s="8">
        <f>IFERROR(__xludf.DUMMYFUNCTION("""COMPUTED_VALUE"""),0.372)</f>
        <v>0.372</v>
      </c>
      <c r="E8572" s="8" t="str">
        <f>IFERROR(__xludf.DUMMYFUNCTION("""COMPUTED_VALUE"""),"Real")</f>
        <v>Real</v>
      </c>
      <c r="G8572" s="8">
        <f t="shared" si="1"/>
        <v>10</v>
      </c>
      <c r="H8572" s="14">
        <f t="shared" si="2"/>
        <v>24</v>
      </c>
      <c r="I8572" s="15">
        <f t="shared" si="3"/>
        <v>4</v>
      </c>
    </row>
    <row r="8573">
      <c r="A8573" s="8" t="str">
        <f>IFERROR(__xludf.DUMMYFUNCTION("IF('(INGESTA)Datos_consumo_datadis'!A8573&lt;&gt;"""",SPLIT('(INGESTA)Datos_consumo_datadis'!A:A,"",""),"""")"),"ES0031408323131005HX0F")</f>
        <v>ES0031408323131005HX0F</v>
      </c>
      <c r="B8573" s="17">
        <f>IFERROR(__xludf.DUMMYFUNCTION("""COMPUTED_VALUE"""),45223.0)</f>
        <v>45223</v>
      </c>
      <c r="C8573" s="13">
        <f>IFERROR(__xludf.DUMMYFUNCTION("""COMPUTED_VALUE"""),0.20833333333333334)</f>
        <v>0.2083333333</v>
      </c>
      <c r="D8573" s="8">
        <f>IFERROR(__xludf.DUMMYFUNCTION("""COMPUTED_VALUE"""),0.061)</f>
        <v>0.061</v>
      </c>
      <c r="E8573" s="8" t="str">
        <f>IFERROR(__xludf.DUMMYFUNCTION("""COMPUTED_VALUE"""),"Real")</f>
        <v>Real</v>
      </c>
      <c r="G8573" s="8">
        <f t="shared" si="1"/>
        <v>10</v>
      </c>
      <c r="H8573" s="14">
        <f t="shared" si="2"/>
        <v>24</v>
      </c>
      <c r="I8573" s="15">
        <f t="shared" si="3"/>
        <v>5</v>
      </c>
    </row>
    <row r="8574">
      <c r="A8574" s="8" t="str">
        <f>IFERROR(__xludf.DUMMYFUNCTION("IF('(INGESTA)Datos_consumo_datadis'!A8574&lt;&gt;"""",SPLIT('(INGESTA)Datos_consumo_datadis'!A:A,"",""),"""")"),"ES0031408323131005HX0F")</f>
        <v>ES0031408323131005HX0F</v>
      </c>
      <c r="B8574" s="17">
        <f>IFERROR(__xludf.DUMMYFUNCTION("""COMPUTED_VALUE"""),45223.0)</f>
        <v>45223</v>
      </c>
      <c r="C8574" s="13">
        <f>IFERROR(__xludf.DUMMYFUNCTION("""COMPUTED_VALUE"""),0.25)</f>
        <v>0.25</v>
      </c>
      <c r="D8574" s="8">
        <f>IFERROR(__xludf.DUMMYFUNCTION("""COMPUTED_VALUE"""),0.026)</f>
        <v>0.026</v>
      </c>
      <c r="E8574" s="8" t="str">
        <f>IFERROR(__xludf.DUMMYFUNCTION("""COMPUTED_VALUE"""),"Real")</f>
        <v>Real</v>
      </c>
      <c r="G8574" s="8">
        <f t="shared" si="1"/>
        <v>10</v>
      </c>
      <c r="H8574" s="14">
        <f t="shared" si="2"/>
        <v>24</v>
      </c>
      <c r="I8574" s="15">
        <f t="shared" si="3"/>
        <v>6</v>
      </c>
    </row>
    <row r="8575">
      <c r="A8575" s="8" t="str">
        <f>IFERROR(__xludf.DUMMYFUNCTION("IF('(INGESTA)Datos_consumo_datadis'!A8575&lt;&gt;"""",SPLIT('(INGESTA)Datos_consumo_datadis'!A:A,"",""),"""")"),"ES0031408323131005HX0F")</f>
        <v>ES0031408323131005HX0F</v>
      </c>
      <c r="B8575" s="17">
        <f>IFERROR(__xludf.DUMMYFUNCTION("""COMPUTED_VALUE"""),45223.0)</f>
        <v>45223</v>
      </c>
      <c r="C8575" s="13">
        <f>IFERROR(__xludf.DUMMYFUNCTION("""COMPUTED_VALUE"""),0.2916666666666667)</f>
        <v>0.2916666667</v>
      </c>
      <c r="D8575" s="8">
        <f>IFERROR(__xludf.DUMMYFUNCTION("""COMPUTED_VALUE"""),0.09)</f>
        <v>0.09</v>
      </c>
      <c r="E8575" s="8" t="str">
        <f>IFERROR(__xludf.DUMMYFUNCTION("""COMPUTED_VALUE"""),"Real")</f>
        <v>Real</v>
      </c>
      <c r="G8575" s="8">
        <f t="shared" si="1"/>
        <v>10</v>
      </c>
      <c r="H8575" s="14">
        <f t="shared" si="2"/>
        <v>24</v>
      </c>
      <c r="I8575" s="15">
        <f t="shared" si="3"/>
        <v>7</v>
      </c>
    </row>
    <row r="8576">
      <c r="A8576" s="8" t="str">
        <f>IFERROR(__xludf.DUMMYFUNCTION("IF('(INGESTA)Datos_consumo_datadis'!A8576&lt;&gt;"""",SPLIT('(INGESTA)Datos_consumo_datadis'!A:A,"",""),"""")"),"ES0031408323131005HX0F")</f>
        <v>ES0031408323131005HX0F</v>
      </c>
      <c r="B8576" s="17">
        <f>IFERROR(__xludf.DUMMYFUNCTION("""COMPUTED_VALUE"""),45223.0)</f>
        <v>45223</v>
      </c>
      <c r="C8576" s="13">
        <f>IFERROR(__xludf.DUMMYFUNCTION("""COMPUTED_VALUE"""),0.3333333333333333)</f>
        <v>0.3333333333</v>
      </c>
      <c r="D8576" s="8">
        <f>IFERROR(__xludf.DUMMYFUNCTION("""COMPUTED_VALUE"""),0.081)</f>
        <v>0.081</v>
      </c>
      <c r="E8576" s="8" t="str">
        <f>IFERROR(__xludf.DUMMYFUNCTION("""COMPUTED_VALUE"""),"Real")</f>
        <v>Real</v>
      </c>
      <c r="G8576" s="8">
        <f t="shared" si="1"/>
        <v>10</v>
      </c>
      <c r="H8576" s="14">
        <f t="shared" si="2"/>
        <v>24</v>
      </c>
      <c r="I8576" s="15">
        <f t="shared" si="3"/>
        <v>8</v>
      </c>
    </row>
    <row r="8577">
      <c r="A8577" s="8" t="str">
        <f>IFERROR(__xludf.DUMMYFUNCTION("IF('(INGESTA)Datos_consumo_datadis'!A8577&lt;&gt;"""",SPLIT('(INGESTA)Datos_consumo_datadis'!A:A,"",""),"""")"),"ES0031408323131005HX0F")</f>
        <v>ES0031408323131005HX0F</v>
      </c>
      <c r="B8577" s="17">
        <f>IFERROR(__xludf.DUMMYFUNCTION("""COMPUTED_VALUE"""),45223.0)</f>
        <v>45223</v>
      </c>
      <c r="C8577" s="13">
        <f>IFERROR(__xludf.DUMMYFUNCTION("""COMPUTED_VALUE"""),0.375)</f>
        <v>0.375</v>
      </c>
      <c r="D8577" s="8">
        <f>IFERROR(__xludf.DUMMYFUNCTION("""COMPUTED_VALUE"""),0.103)</f>
        <v>0.103</v>
      </c>
      <c r="E8577" s="8" t="str">
        <f>IFERROR(__xludf.DUMMYFUNCTION("""COMPUTED_VALUE"""),"Real")</f>
        <v>Real</v>
      </c>
      <c r="G8577" s="8">
        <f t="shared" si="1"/>
        <v>10</v>
      </c>
      <c r="H8577" s="14">
        <f t="shared" si="2"/>
        <v>24</v>
      </c>
      <c r="I8577" s="15">
        <f t="shared" si="3"/>
        <v>9</v>
      </c>
    </row>
    <row r="8578">
      <c r="A8578" s="8" t="str">
        <f>IFERROR(__xludf.DUMMYFUNCTION("IF('(INGESTA)Datos_consumo_datadis'!A8578&lt;&gt;"""",SPLIT('(INGESTA)Datos_consumo_datadis'!A:A,"",""),"""")"),"ES0031408323131005HX0F")</f>
        <v>ES0031408323131005HX0F</v>
      </c>
      <c r="B8578" s="17">
        <f>IFERROR(__xludf.DUMMYFUNCTION("""COMPUTED_VALUE"""),45223.0)</f>
        <v>45223</v>
      </c>
      <c r="C8578" s="13">
        <f>IFERROR(__xludf.DUMMYFUNCTION("""COMPUTED_VALUE"""),0.4166666666666667)</f>
        <v>0.4166666667</v>
      </c>
      <c r="D8578" s="8">
        <f>IFERROR(__xludf.DUMMYFUNCTION("""COMPUTED_VALUE"""),0.293)</f>
        <v>0.293</v>
      </c>
      <c r="E8578" s="8" t="str">
        <f>IFERROR(__xludf.DUMMYFUNCTION("""COMPUTED_VALUE"""),"Real")</f>
        <v>Real</v>
      </c>
      <c r="G8578" s="8">
        <f t="shared" si="1"/>
        <v>10</v>
      </c>
      <c r="H8578" s="14">
        <f t="shared" si="2"/>
        <v>24</v>
      </c>
      <c r="I8578" s="15">
        <f t="shared" si="3"/>
        <v>10</v>
      </c>
    </row>
    <row r="8579">
      <c r="A8579" s="8" t="str">
        <f>IFERROR(__xludf.DUMMYFUNCTION("IF('(INGESTA)Datos_consumo_datadis'!A8579&lt;&gt;"""",SPLIT('(INGESTA)Datos_consumo_datadis'!A:A,"",""),"""")"),"ES0031408323131005HX0F")</f>
        <v>ES0031408323131005HX0F</v>
      </c>
      <c r="B8579" s="17">
        <f>IFERROR(__xludf.DUMMYFUNCTION("""COMPUTED_VALUE"""),45223.0)</f>
        <v>45223</v>
      </c>
      <c r="C8579" s="13">
        <f>IFERROR(__xludf.DUMMYFUNCTION("""COMPUTED_VALUE"""),0.4583333333333333)</f>
        <v>0.4583333333</v>
      </c>
      <c r="D8579" s="8">
        <f>IFERROR(__xludf.DUMMYFUNCTION("""COMPUTED_VALUE"""),0.088)</f>
        <v>0.088</v>
      </c>
      <c r="E8579" s="8" t="str">
        <f>IFERROR(__xludf.DUMMYFUNCTION("""COMPUTED_VALUE"""),"Real")</f>
        <v>Real</v>
      </c>
      <c r="G8579" s="8">
        <f t="shared" si="1"/>
        <v>10</v>
      </c>
      <c r="H8579" s="14">
        <f t="shared" si="2"/>
        <v>24</v>
      </c>
      <c r="I8579" s="15">
        <f t="shared" si="3"/>
        <v>11</v>
      </c>
    </row>
    <row r="8580">
      <c r="A8580" s="8" t="str">
        <f>IFERROR(__xludf.DUMMYFUNCTION("IF('(INGESTA)Datos_consumo_datadis'!A8580&lt;&gt;"""",SPLIT('(INGESTA)Datos_consumo_datadis'!A:A,"",""),"""")"),"ES0031408323131005HX0F")</f>
        <v>ES0031408323131005HX0F</v>
      </c>
      <c r="B8580" s="17">
        <f>IFERROR(__xludf.DUMMYFUNCTION("""COMPUTED_VALUE"""),45223.0)</f>
        <v>45223</v>
      </c>
      <c r="C8580" s="13">
        <f>IFERROR(__xludf.DUMMYFUNCTION("""COMPUTED_VALUE"""),0.5)</f>
        <v>0.5</v>
      </c>
      <c r="D8580" s="8">
        <f>IFERROR(__xludf.DUMMYFUNCTION("""COMPUTED_VALUE"""),0.075)</f>
        <v>0.075</v>
      </c>
      <c r="E8580" s="8" t="str">
        <f>IFERROR(__xludf.DUMMYFUNCTION("""COMPUTED_VALUE"""),"Real")</f>
        <v>Real</v>
      </c>
      <c r="G8580" s="8">
        <f t="shared" si="1"/>
        <v>10</v>
      </c>
      <c r="H8580" s="14">
        <f t="shared" si="2"/>
        <v>24</v>
      </c>
      <c r="I8580" s="15">
        <f t="shared" si="3"/>
        <v>12</v>
      </c>
    </row>
    <row r="8581">
      <c r="A8581" s="8" t="str">
        <f>IFERROR(__xludf.DUMMYFUNCTION("IF('(INGESTA)Datos_consumo_datadis'!A8581&lt;&gt;"""",SPLIT('(INGESTA)Datos_consumo_datadis'!A:A,"",""),"""")"),"ES0031408323131005HX0F")</f>
        <v>ES0031408323131005HX0F</v>
      </c>
      <c r="B8581" s="17">
        <f>IFERROR(__xludf.DUMMYFUNCTION("""COMPUTED_VALUE"""),45223.0)</f>
        <v>45223</v>
      </c>
      <c r="C8581" s="13">
        <f>IFERROR(__xludf.DUMMYFUNCTION("""COMPUTED_VALUE"""),0.5416666666666666)</f>
        <v>0.5416666667</v>
      </c>
      <c r="D8581" s="8">
        <f>IFERROR(__xludf.DUMMYFUNCTION("""COMPUTED_VALUE"""),0.066)</f>
        <v>0.066</v>
      </c>
      <c r="E8581" s="8" t="str">
        <f>IFERROR(__xludf.DUMMYFUNCTION("""COMPUTED_VALUE"""),"Real")</f>
        <v>Real</v>
      </c>
      <c r="G8581" s="8">
        <f t="shared" si="1"/>
        <v>10</v>
      </c>
      <c r="H8581" s="14">
        <f t="shared" si="2"/>
        <v>24</v>
      </c>
      <c r="I8581" s="15">
        <f t="shared" si="3"/>
        <v>13</v>
      </c>
    </row>
    <row r="8582">
      <c r="A8582" s="8" t="str">
        <f>IFERROR(__xludf.DUMMYFUNCTION("IF('(INGESTA)Datos_consumo_datadis'!A8582&lt;&gt;"""",SPLIT('(INGESTA)Datos_consumo_datadis'!A:A,"",""),"""")"),"ES0031408323131005HX0F")</f>
        <v>ES0031408323131005HX0F</v>
      </c>
      <c r="B8582" s="17">
        <f>IFERROR(__xludf.DUMMYFUNCTION("""COMPUTED_VALUE"""),45223.0)</f>
        <v>45223</v>
      </c>
      <c r="C8582" s="13">
        <f>IFERROR(__xludf.DUMMYFUNCTION("""COMPUTED_VALUE"""),0.5833333333333334)</f>
        <v>0.5833333333</v>
      </c>
      <c r="D8582" s="8">
        <f>IFERROR(__xludf.DUMMYFUNCTION("""COMPUTED_VALUE"""),0.014)</f>
        <v>0.014</v>
      </c>
      <c r="E8582" s="8" t="str">
        <f>IFERROR(__xludf.DUMMYFUNCTION("""COMPUTED_VALUE"""),"Real")</f>
        <v>Real</v>
      </c>
      <c r="G8582" s="8">
        <f t="shared" si="1"/>
        <v>10</v>
      </c>
      <c r="H8582" s="14">
        <f t="shared" si="2"/>
        <v>24</v>
      </c>
      <c r="I8582" s="15">
        <f t="shared" si="3"/>
        <v>14</v>
      </c>
    </row>
    <row r="8583">
      <c r="A8583" s="8" t="str">
        <f>IFERROR(__xludf.DUMMYFUNCTION("IF('(INGESTA)Datos_consumo_datadis'!A8583&lt;&gt;"""",SPLIT('(INGESTA)Datos_consumo_datadis'!A:A,"",""),"""")"),"ES0031408323131005HX0F")</f>
        <v>ES0031408323131005HX0F</v>
      </c>
      <c r="B8583" s="17">
        <f>IFERROR(__xludf.DUMMYFUNCTION("""COMPUTED_VALUE"""),45223.0)</f>
        <v>45223</v>
      </c>
      <c r="C8583" s="13">
        <f>IFERROR(__xludf.DUMMYFUNCTION("""COMPUTED_VALUE"""),0.625)</f>
        <v>0.625</v>
      </c>
      <c r="D8583" s="8">
        <f>IFERROR(__xludf.DUMMYFUNCTION("""COMPUTED_VALUE"""),0.097)</f>
        <v>0.097</v>
      </c>
      <c r="E8583" s="8" t="str">
        <f>IFERROR(__xludf.DUMMYFUNCTION("""COMPUTED_VALUE"""),"Real")</f>
        <v>Real</v>
      </c>
      <c r="G8583" s="8">
        <f t="shared" si="1"/>
        <v>10</v>
      </c>
      <c r="H8583" s="14">
        <f t="shared" si="2"/>
        <v>24</v>
      </c>
      <c r="I8583" s="15">
        <f t="shared" si="3"/>
        <v>15</v>
      </c>
    </row>
    <row r="8584">
      <c r="A8584" s="8" t="str">
        <f>IFERROR(__xludf.DUMMYFUNCTION("IF('(INGESTA)Datos_consumo_datadis'!A8584&lt;&gt;"""",SPLIT('(INGESTA)Datos_consumo_datadis'!A:A,"",""),"""")"),"ES0031408323131005HX0F")</f>
        <v>ES0031408323131005HX0F</v>
      </c>
      <c r="B8584" s="17">
        <f>IFERROR(__xludf.DUMMYFUNCTION("""COMPUTED_VALUE"""),45223.0)</f>
        <v>45223</v>
      </c>
      <c r="C8584" s="13">
        <f>IFERROR(__xludf.DUMMYFUNCTION("""COMPUTED_VALUE"""),0.6666666666666666)</f>
        <v>0.6666666667</v>
      </c>
      <c r="D8584" s="8">
        <f>IFERROR(__xludf.DUMMYFUNCTION("""COMPUTED_VALUE"""),0.114)</f>
        <v>0.114</v>
      </c>
      <c r="E8584" s="8" t="str">
        <f>IFERROR(__xludf.DUMMYFUNCTION("""COMPUTED_VALUE"""),"Real")</f>
        <v>Real</v>
      </c>
      <c r="G8584" s="8">
        <f t="shared" si="1"/>
        <v>10</v>
      </c>
      <c r="H8584" s="14">
        <f t="shared" si="2"/>
        <v>24</v>
      </c>
      <c r="I8584" s="15">
        <f t="shared" si="3"/>
        <v>16</v>
      </c>
    </row>
    <row r="8585">
      <c r="A8585" s="8" t="str">
        <f>IFERROR(__xludf.DUMMYFUNCTION("IF('(INGESTA)Datos_consumo_datadis'!A8585&lt;&gt;"""",SPLIT('(INGESTA)Datos_consumo_datadis'!A:A,"",""),"""")"),"ES0031408323131005HX0F")</f>
        <v>ES0031408323131005HX0F</v>
      </c>
      <c r="B8585" s="17">
        <f>IFERROR(__xludf.DUMMYFUNCTION("""COMPUTED_VALUE"""),45223.0)</f>
        <v>45223</v>
      </c>
      <c r="C8585" s="13">
        <f>IFERROR(__xludf.DUMMYFUNCTION("""COMPUTED_VALUE"""),0.7083333333333334)</f>
        <v>0.7083333333</v>
      </c>
      <c r="D8585" s="8">
        <f>IFERROR(__xludf.DUMMYFUNCTION("""COMPUTED_VALUE"""),0.337)</f>
        <v>0.337</v>
      </c>
      <c r="E8585" s="8" t="str">
        <f>IFERROR(__xludf.DUMMYFUNCTION("""COMPUTED_VALUE"""),"Real")</f>
        <v>Real</v>
      </c>
      <c r="G8585" s="8">
        <f t="shared" si="1"/>
        <v>10</v>
      </c>
      <c r="H8585" s="14">
        <f t="shared" si="2"/>
        <v>24</v>
      </c>
      <c r="I8585" s="15">
        <f t="shared" si="3"/>
        <v>17</v>
      </c>
    </row>
    <row r="8586">
      <c r="A8586" s="8" t="str">
        <f>IFERROR(__xludf.DUMMYFUNCTION("IF('(INGESTA)Datos_consumo_datadis'!A8586&lt;&gt;"""",SPLIT('(INGESTA)Datos_consumo_datadis'!A:A,"",""),"""")"),"ES0031408323131005HX0F")</f>
        <v>ES0031408323131005HX0F</v>
      </c>
      <c r="B8586" s="17">
        <f>IFERROR(__xludf.DUMMYFUNCTION("""COMPUTED_VALUE"""),45223.0)</f>
        <v>45223</v>
      </c>
      <c r="C8586" s="13">
        <f>IFERROR(__xludf.DUMMYFUNCTION("""COMPUTED_VALUE"""),0.75)</f>
        <v>0.75</v>
      </c>
      <c r="D8586" s="8">
        <f>IFERROR(__xludf.DUMMYFUNCTION("""COMPUTED_VALUE"""),0.057)</f>
        <v>0.057</v>
      </c>
      <c r="E8586" s="8" t="str">
        <f>IFERROR(__xludf.DUMMYFUNCTION("""COMPUTED_VALUE"""),"Real")</f>
        <v>Real</v>
      </c>
      <c r="G8586" s="8">
        <f t="shared" si="1"/>
        <v>10</v>
      </c>
      <c r="H8586" s="14">
        <f t="shared" si="2"/>
        <v>24</v>
      </c>
      <c r="I8586" s="15">
        <f t="shared" si="3"/>
        <v>18</v>
      </c>
    </row>
    <row r="8587">
      <c r="A8587" s="8" t="str">
        <f>IFERROR(__xludf.DUMMYFUNCTION("IF('(INGESTA)Datos_consumo_datadis'!A8587&lt;&gt;"""",SPLIT('(INGESTA)Datos_consumo_datadis'!A:A,"",""),"""")"),"ES0031408323131005HX0F")</f>
        <v>ES0031408323131005HX0F</v>
      </c>
      <c r="B8587" s="17">
        <f>IFERROR(__xludf.DUMMYFUNCTION("""COMPUTED_VALUE"""),45223.0)</f>
        <v>45223</v>
      </c>
      <c r="C8587" s="13">
        <f>IFERROR(__xludf.DUMMYFUNCTION("""COMPUTED_VALUE"""),0.7916666666666666)</f>
        <v>0.7916666667</v>
      </c>
      <c r="D8587" s="8">
        <f>IFERROR(__xludf.DUMMYFUNCTION("""COMPUTED_VALUE"""),0.036)</f>
        <v>0.036</v>
      </c>
      <c r="E8587" s="8" t="str">
        <f>IFERROR(__xludf.DUMMYFUNCTION("""COMPUTED_VALUE"""),"Real")</f>
        <v>Real</v>
      </c>
      <c r="G8587" s="8">
        <f t="shared" si="1"/>
        <v>10</v>
      </c>
      <c r="H8587" s="14">
        <f t="shared" si="2"/>
        <v>24</v>
      </c>
      <c r="I8587" s="15">
        <f t="shared" si="3"/>
        <v>19</v>
      </c>
    </row>
    <row r="8588">
      <c r="A8588" s="8" t="str">
        <f>IFERROR(__xludf.DUMMYFUNCTION("IF('(INGESTA)Datos_consumo_datadis'!A8588&lt;&gt;"""",SPLIT('(INGESTA)Datos_consumo_datadis'!A:A,"",""),"""")"),"ES0031408323131005HX0F")</f>
        <v>ES0031408323131005HX0F</v>
      </c>
      <c r="B8588" s="17">
        <f>IFERROR(__xludf.DUMMYFUNCTION("""COMPUTED_VALUE"""),45223.0)</f>
        <v>45223</v>
      </c>
      <c r="C8588" s="13">
        <f>IFERROR(__xludf.DUMMYFUNCTION("""COMPUTED_VALUE"""),0.8333333333333334)</f>
        <v>0.8333333333</v>
      </c>
      <c r="D8588" s="8">
        <f>IFERROR(__xludf.DUMMYFUNCTION("""COMPUTED_VALUE"""),0.136)</f>
        <v>0.136</v>
      </c>
      <c r="E8588" s="8" t="str">
        <f>IFERROR(__xludf.DUMMYFUNCTION("""COMPUTED_VALUE"""),"Real")</f>
        <v>Real</v>
      </c>
      <c r="G8588" s="8">
        <f t="shared" si="1"/>
        <v>10</v>
      </c>
      <c r="H8588" s="14">
        <f t="shared" si="2"/>
        <v>24</v>
      </c>
      <c r="I8588" s="15">
        <f t="shared" si="3"/>
        <v>20</v>
      </c>
    </row>
    <row r="8589">
      <c r="A8589" s="8" t="str">
        <f>IFERROR(__xludf.DUMMYFUNCTION("IF('(INGESTA)Datos_consumo_datadis'!A8589&lt;&gt;"""",SPLIT('(INGESTA)Datos_consumo_datadis'!A:A,"",""),"""")"),"ES0031408323131005HX0F")</f>
        <v>ES0031408323131005HX0F</v>
      </c>
      <c r="B8589" s="17">
        <f>IFERROR(__xludf.DUMMYFUNCTION("""COMPUTED_VALUE"""),45223.0)</f>
        <v>45223</v>
      </c>
      <c r="C8589" s="13">
        <f>IFERROR(__xludf.DUMMYFUNCTION("""COMPUTED_VALUE"""),0.875)</f>
        <v>0.875</v>
      </c>
      <c r="D8589" s="8">
        <f>IFERROR(__xludf.DUMMYFUNCTION("""COMPUTED_VALUE"""),0.106)</f>
        <v>0.106</v>
      </c>
      <c r="E8589" s="8" t="str">
        <f>IFERROR(__xludf.DUMMYFUNCTION("""COMPUTED_VALUE"""),"Real")</f>
        <v>Real</v>
      </c>
      <c r="G8589" s="8">
        <f t="shared" si="1"/>
        <v>10</v>
      </c>
      <c r="H8589" s="14">
        <f t="shared" si="2"/>
        <v>24</v>
      </c>
      <c r="I8589" s="15">
        <f t="shared" si="3"/>
        <v>21</v>
      </c>
    </row>
    <row r="8590">
      <c r="A8590" s="8" t="str">
        <f>IFERROR(__xludf.DUMMYFUNCTION("IF('(INGESTA)Datos_consumo_datadis'!A8590&lt;&gt;"""",SPLIT('(INGESTA)Datos_consumo_datadis'!A:A,"",""),"""")"),"ES0031408323131005HX0F")</f>
        <v>ES0031408323131005HX0F</v>
      </c>
      <c r="B8590" s="17">
        <f>IFERROR(__xludf.DUMMYFUNCTION("""COMPUTED_VALUE"""),45223.0)</f>
        <v>45223</v>
      </c>
      <c r="C8590" s="13">
        <f>IFERROR(__xludf.DUMMYFUNCTION("""COMPUTED_VALUE"""),0.9166666666666666)</f>
        <v>0.9166666667</v>
      </c>
      <c r="D8590" s="8">
        <f>IFERROR(__xludf.DUMMYFUNCTION("""COMPUTED_VALUE"""),0.478)</f>
        <v>0.478</v>
      </c>
      <c r="E8590" s="8" t="str">
        <f>IFERROR(__xludf.DUMMYFUNCTION("""COMPUTED_VALUE"""),"Real")</f>
        <v>Real</v>
      </c>
      <c r="G8590" s="8">
        <f t="shared" si="1"/>
        <v>10</v>
      </c>
      <c r="H8590" s="14">
        <f t="shared" si="2"/>
        <v>24</v>
      </c>
      <c r="I8590" s="15">
        <f t="shared" si="3"/>
        <v>22</v>
      </c>
    </row>
    <row r="8591">
      <c r="A8591" s="8" t="str">
        <f>IFERROR(__xludf.DUMMYFUNCTION("IF('(INGESTA)Datos_consumo_datadis'!A8591&lt;&gt;"""",SPLIT('(INGESTA)Datos_consumo_datadis'!A:A,"",""),"""")"),"ES0031408323131005HX0F")</f>
        <v>ES0031408323131005HX0F</v>
      </c>
      <c r="B8591" s="17">
        <f>IFERROR(__xludf.DUMMYFUNCTION("""COMPUTED_VALUE"""),45223.0)</f>
        <v>45223</v>
      </c>
      <c r="C8591" s="13">
        <f>IFERROR(__xludf.DUMMYFUNCTION("""COMPUTED_VALUE"""),0.9583333333333334)</f>
        <v>0.9583333333</v>
      </c>
      <c r="D8591" s="8">
        <f>IFERROR(__xludf.DUMMYFUNCTION("""COMPUTED_VALUE"""),1.989)</f>
        <v>1.989</v>
      </c>
      <c r="E8591" s="8" t="str">
        <f>IFERROR(__xludf.DUMMYFUNCTION("""COMPUTED_VALUE"""),"Real")</f>
        <v>Real</v>
      </c>
      <c r="G8591" s="8">
        <f t="shared" si="1"/>
        <v>10</v>
      </c>
      <c r="H8591" s="14">
        <f t="shared" si="2"/>
        <v>24</v>
      </c>
      <c r="I8591" s="15">
        <f t="shared" si="3"/>
        <v>23</v>
      </c>
    </row>
    <row r="8592">
      <c r="A8592" s="8" t="str">
        <f>IFERROR(__xludf.DUMMYFUNCTION("IF('(INGESTA)Datos_consumo_datadis'!A8592&lt;&gt;"""",SPLIT('(INGESTA)Datos_consumo_datadis'!A:A,"",""),"""")"),"ES0031408323131005HX0F")</f>
        <v>ES0031408323131005HX0F</v>
      </c>
      <c r="B8592" s="17">
        <f>IFERROR(__xludf.DUMMYFUNCTION("""COMPUTED_VALUE"""),45223.0)</f>
        <v>45223</v>
      </c>
      <c r="C8592" s="16">
        <f>IFERROR(__xludf.DUMMYFUNCTION("""COMPUTED_VALUE"""),1.0)</f>
        <v>1</v>
      </c>
      <c r="D8592" s="8">
        <f>IFERROR(__xludf.DUMMYFUNCTION("""COMPUTED_VALUE"""),0.141)</f>
        <v>0.141</v>
      </c>
      <c r="E8592" s="8" t="str">
        <f>IFERROR(__xludf.DUMMYFUNCTION("""COMPUTED_VALUE"""),"Real")</f>
        <v>Real</v>
      </c>
      <c r="G8592" s="8">
        <f t="shared" si="1"/>
        <v>10</v>
      </c>
      <c r="H8592" s="14">
        <f t="shared" si="2"/>
        <v>24</v>
      </c>
      <c r="I8592" s="15">
        <f t="shared" si="3"/>
        <v>0</v>
      </c>
    </row>
    <row r="8593">
      <c r="A8593" s="8" t="str">
        <f>IFERROR(__xludf.DUMMYFUNCTION("IF('(INGESTA)Datos_consumo_datadis'!A8593&lt;&gt;"""",SPLIT('(INGESTA)Datos_consumo_datadis'!A:A,"",""),"""")"),"ES0031408323131005HX0F")</f>
        <v>ES0031408323131005HX0F</v>
      </c>
      <c r="B8593" s="17">
        <f>IFERROR(__xludf.DUMMYFUNCTION("""COMPUTED_VALUE"""),45224.0)</f>
        <v>45224</v>
      </c>
      <c r="C8593" s="13">
        <f>IFERROR(__xludf.DUMMYFUNCTION("""COMPUTED_VALUE"""),0.041666666666666664)</f>
        <v>0.04166666667</v>
      </c>
      <c r="D8593" s="8">
        <f>IFERROR(__xludf.DUMMYFUNCTION("""COMPUTED_VALUE"""),0.024)</f>
        <v>0.024</v>
      </c>
      <c r="E8593" s="8" t="str">
        <f>IFERROR(__xludf.DUMMYFUNCTION("""COMPUTED_VALUE"""),"Real")</f>
        <v>Real</v>
      </c>
      <c r="G8593" s="8">
        <f t="shared" si="1"/>
        <v>10</v>
      </c>
      <c r="H8593" s="14">
        <f t="shared" si="2"/>
        <v>25</v>
      </c>
      <c r="I8593" s="15">
        <f t="shared" si="3"/>
        <v>1</v>
      </c>
    </row>
    <row r="8594">
      <c r="A8594" s="8" t="str">
        <f>IFERROR(__xludf.DUMMYFUNCTION("IF('(INGESTA)Datos_consumo_datadis'!A8594&lt;&gt;"""",SPLIT('(INGESTA)Datos_consumo_datadis'!A:A,"",""),"""")"),"ES0031408323131005HX0F")</f>
        <v>ES0031408323131005HX0F</v>
      </c>
      <c r="B8594" s="17">
        <f>IFERROR(__xludf.DUMMYFUNCTION("""COMPUTED_VALUE"""),45224.0)</f>
        <v>45224</v>
      </c>
      <c r="C8594" s="13">
        <f>IFERROR(__xludf.DUMMYFUNCTION("""COMPUTED_VALUE"""),0.08333333333333333)</f>
        <v>0.08333333333</v>
      </c>
      <c r="D8594" s="8">
        <f>IFERROR(__xludf.DUMMYFUNCTION("""COMPUTED_VALUE"""),0.101)</f>
        <v>0.101</v>
      </c>
      <c r="E8594" s="8" t="str">
        <f>IFERROR(__xludf.DUMMYFUNCTION("""COMPUTED_VALUE"""),"Real")</f>
        <v>Real</v>
      </c>
      <c r="G8594" s="8">
        <f t="shared" si="1"/>
        <v>10</v>
      </c>
      <c r="H8594" s="14">
        <f t="shared" si="2"/>
        <v>25</v>
      </c>
      <c r="I8594" s="15">
        <f t="shared" si="3"/>
        <v>2</v>
      </c>
    </row>
    <row r="8595">
      <c r="A8595" s="8" t="str">
        <f>IFERROR(__xludf.DUMMYFUNCTION("IF('(INGESTA)Datos_consumo_datadis'!A8595&lt;&gt;"""",SPLIT('(INGESTA)Datos_consumo_datadis'!A:A,"",""),"""")"),"ES0031408323131005HX0F")</f>
        <v>ES0031408323131005HX0F</v>
      </c>
      <c r="B8595" s="17">
        <f>IFERROR(__xludf.DUMMYFUNCTION("""COMPUTED_VALUE"""),45224.0)</f>
        <v>45224</v>
      </c>
      <c r="C8595" s="13">
        <f>IFERROR(__xludf.DUMMYFUNCTION("""COMPUTED_VALUE"""),0.125)</f>
        <v>0.125</v>
      </c>
      <c r="D8595" s="8">
        <f>IFERROR(__xludf.DUMMYFUNCTION("""COMPUTED_VALUE"""),0.082)</f>
        <v>0.082</v>
      </c>
      <c r="E8595" s="8" t="str">
        <f>IFERROR(__xludf.DUMMYFUNCTION("""COMPUTED_VALUE"""),"Real")</f>
        <v>Real</v>
      </c>
      <c r="G8595" s="8">
        <f t="shared" si="1"/>
        <v>10</v>
      </c>
      <c r="H8595" s="14">
        <f t="shared" si="2"/>
        <v>25</v>
      </c>
      <c r="I8595" s="15">
        <f t="shared" si="3"/>
        <v>3</v>
      </c>
    </row>
    <row r="8596">
      <c r="A8596" s="8" t="str">
        <f>IFERROR(__xludf.DUMMYFUNCTION("IF('(INGESTA)Datos_consumo_datadis'!A8596&lt;&gt;"""",SPLIT('(INGESTA)Datos_consumo_datadis'!A:A,"",""),"""")"),"ES0031408323131005HX0F")</f>
        <v>ES0031408323131005HX0F</v>
      </c>
      <c r="B8596" s="17">
        <f>IFERROR(__xludf.DUMMYFUNCTION("""COMPUTED_VALUE"""),45224.0)</f>
        <v>45224</v>
      </c>
      <c r="C8596" s="13">
        <f>IFERROR(__xludf.DUMMYFUNCTION("""COMPUTED_VALUE"""),0.16666666666666666)</f>
        <v>0.1666666667</v>
      </c>
      <c r="D8596" s="8">
        <f>IFERROR(__xludf.DUMMYFUNCTION("""COMPUTED_VALUE"""),0.341)</f>
        <v>0.341</v>
      </c>
      <c r="E8596" s="8" t="str">
        <f>IFERROR(__xludf.DUMMYFUNCTION("""COMPUTED_VALUE"""),"Real")</f>
        <v>Real</v>
      </c>
      <c r="G8596" s="8">
        <f t="shared" si="1"/>
        <v>10</v>
      </c>
      <c r="H8596" s="14">
        <f t="shared" si="2"/>
        <v>25</v>
      </c>
      <c r="I8596" s="15">
        <f t="shared" si="3"/>
        <v>4</v>
      </c>
    </row>
    <row r="8597">
      <c r="A8597" s="8" t="str">
        <f>IFERROR(__xludf.DUMMYFUNCTION("IF('(INGESTA)Datos_consumo_datadis'!A8597&lt;&gt;"""",SPLIT('(INGESTA)Datos_consumo_datadis'!A:A,"",""),"""")"),"ES0031408323131005HX0F")</f>
        <v>ES0031408323131005HX0F</v>
      </c>
      <c r="B8597" s="17">
        <f>IFERROR(__xludf.DUMMYFUNCTION("""COMPUTED_VALUE"""),45224.0)</f>
        <v>45224</v>
      </c>
      <c r="C8597" s="13">
        <f>IFERROR(__xludf.DUMMYFUNCTION("""COMPUTED_VALUE"""),0.20833333333333334)</f>
        <v>0.2083333333</v>
      </c>
      <c r="D8597" s="8">
        <f>IFERROR(__xludf.DUMMYFUNCTION("""COMPUTED_VALUE"""),0.042)</f>
        <v>0.042</v>
      </c>
      <c r="E8597" s="8" t="str">
        <f>IFERROR(__xludf.DUMMYFUNCTION("""COMPUTED_VALUE"""),"Real")</f>
        <v>Real</v>
      </c>
      <c r="G8597" s="8">
        <f t="shared" si="1"/>
        <v>10</v>
      </c>
      <c r="H8597" s="14">
        <f t="shared" si="2"/>
        <v>25</v>
      </c>
      <c r="I8597" s="15">
        <f t="shared" si="3"/>
        <v>5</v>
      </c>
    </row>
    <row r="8598">
      <c r="A8598" s="8" t="str">
        <f>IFERROR(__xludf.DUMMYFUNCTION("IF('(INGESTA)Datos_consumo_datadis'!A8598&lt;&gt;"""",SPLIT('(INGESTA)Datos_consumo_datadis'!A:A,"",""),"""")"),"ES0031408323131005HX0F")</f>
        <v>ES0031408323131005HX0F</v>
      </c>
      <c r="B8598" s="17">
        <f>IFERROR(__xludf.DUMMYFUNCTION("""COMPUTED_VALUE"""),45224.0)</f>
        <v>45224</v>
      </c>
      <c r="C8598" s="13">
        <f>IFERROR(__xludf.DUMMYFUNCTION("""COMPUTED_VALUE"""),0.25)</f>
        <v>0.25</v>
      </c>
      <c r="D8598" s="8">
        <f>IFERROR(__xludf.DUMMYFUNCTION("""COMPUTED_VALUE"""),0.079)</f>
        <v>0.079</v>
      </c>
      <c r="E8598" s="8" t="str">
        <f>IFERROR(__xludf.DUMMYFUNCTION("""COMPUTED_VALUE"""),"Real")</f>
        <v>Real</v>
      </c>
      <c r="G8598" s="8">
        <f t="shared" si="1"/>
        <v>10</v>
      </c>
      <c r="H8598" s="14">
        <f t="shared" si="2"/>
        <v>25</v>
      </c>
      <c r="I8598" s="15">
        <f t="shared" si="3"/>
        <v>6</v>
      </c>
    </row>
    <row r="8599">
      <c r="A8599" s="8" t="str">
        <f>IFERROR(__xludf.DUMMYFUNCTION("IF('(INGESTA)Datos_consumo_datadis'!A8599&lt;&gt;"""",SPLIT('(INGESTA)Datos_consumo_datadis'!A:A,"",""),"""")"),"ES0031408323131005HX0F")</f>
        <v>ES0031408323131005HX0F</v>
      </c>
      <c r="B8599" s="17">
        <f>IFERROR(__xludf.DUMMYFUNCTION("""COMPUTED_VALUE"""),45224.0)</f>
        <v>45224</v>
      </c>
      <c r="C8599" s="13">
        <f>IFERROR(__xludf.DUMMYFUNCTION("""COMPUTED_VALUE"""),0.2916666666666667)</f>
        <v>0.2916666667</v>
      </c>
      <c r="D8599" s="8">
        <f>IFERROR(__xludf.DUMMYFUNCTION("""COMPUTED_VALUE"""),0.067)</f>
        <v>0.067</v>
      </c>
      <c r="E8599" s="8" t="str">
        <f>IFERROR(__xludf.DUMMYFUNCTION("""COMPUTED_VALUE"""),"Real")</f>
        <v>Real</v>
      </c>
      <c r="G8599" s="8">
        <f t="shared" si="1"/>
        <v>10</v>
      </c>
      <c r="H8599" s="14">
        <f t="shared" si="2"/>
        <v>25</v>
      </c>
      <c r="I8599" s="15">
        <f t="shared" si="3"/>
        <v>7</v>
      </c>
    </row>
    <row r="8600">
      <c r="A8600" s="8" t="str">
        <f>IFERROR(__xludf.DUMMYFUNCTION("IF('(INGESTA)Datos_consumo_datadis'!A8600&lt;&gt;"""",SPLIT('(INGESTA)Datos_consumo_datadis'!A:A,"",""),"""")"),"ES0031408323131005HX0F")</f>
        <v>ES0031408323131005HX0F</v>
      </c>
      <c r="B8600" s="17">
        <f>IFERROR(__xludf.DUMMYFUNCTION("""COMPUTED_VALUE"""),45224.0)</f>
        <v>45224</v>
      </c>
      <c r="C8600" s="13">
        <f>IFERROR(__xludf.DUMMYFUNCTION("""COMPUTED_VALUE"""),0.3333333333333333)</f>
        <v>0.3333333333</v>
      </c>
      <c r="D8600" s="8">
        <f>IFERROR(__xludf.DUMMYFUNCTION("""COMPUTED_VALUE"""),0.065)</f>
        <v>0.065</v>
      </c>
      <c r="E8600" s="8" t="str">
        <f>IFERROR(__xludf.DUMMYFUNCTION("""COMPUTED_VALUE"""),"Real")</f>
        <v>Real</v>
      </c>
      <c r="G8600" s="8">
        <f t="shared" si="1"/>
        <v>10</v>
      </c>
      <c r="H8600" s="14">
        <f t="shared" si="2"/>
        <v>25</v>
      </c>
      <c r="I8600" s="15">
        <f t="shared" si="3"/>
        <v>8</v>
      </c>
    </row>
    <row r="8601">
      <c r="A8601" s="8" t="str">
        <f>IFERROR(__xludf.DUMMYFUNCTION("IF('(INGESTA)Datos_consumo_datadis'!A8601&lt;&gt;"""",SPLIT('(INGESTA)Datos_consumo_datadis'!A:A,"",""),"""")"),"ES0031408323131005HX0F")</f>
        <v>ES0031408323131005HX0F</v>
      </c>
      <c r="B8601" s="17">
        <f>IFERROR(__xludf.DUMMYFUNCTION("""COMPUTED_VALUE"""),45224.0)</f>
        <v>45224</v>
      </c>
      <c r="C8601" s="13">
        <f>IFERROR(__xludf.DUMMYFUNCTION("""COMPUTED_VALUE"""),0.375)</f>
        <v>0.375</v>
      </c>
      <c r="D8601" s="8">
        <f>IFERROR(__xludf.DUMMYFUNCTION("""COMPUTED_VALUE"""),0.061)</f>
        <v>0.061</v>
      </c>
      <c r="E8601" s="8" t="str">
        <f>IFERROR(__xludf.DUMMYFUNCTION("""COMPUTED_VALUE"""),"Real")</f>
        <v>Real</v>
      </c>
      <c r="G8601" s="8">
        <f t="shared" si="1"/>
        <v>10</v>
      </c>
      <c r="H8601" s="14">
        <f t="shared" si="2"/>
        <v>25</v>
      </c>
      <c r="I8601" s="15">
        <f t="shared" si="3"/>
        <v>9</v>
      </c>
    </row>
    <row r="8602">
      <c r="A8602" s="8" t="str">
        <f>IFERROR(__xludf.DUMMYFUNCTION("IF('(INGESTA)Datos_consumo_datadis'!A8602&lt;&gt;"""",SPLIT('(INGESTA)Datos_consumo_datadis'!A:A,"",""),"""")"),"ES0031408323131005HX0F")</f>
        <v>ES0031408323131005HX0F</v>
      </c>
      <c r="B8602" s="17">
        <f>IFERROR(__xludf.DUMMYFUNCTION("""COMPUTED_VALUE"""),45224.0)</f>
        <v>45224</v>
      </c>
      <c r="C8602" s="13">
        <f>IFERROR(__xludf.DUMMYFUNCTION("""COMPUTED_VALUE"""),0.4166666666666667)</f>
        <v>0.4166666667</v>
      </c>
      <c r="D8602" s="8">
        <f>IFERROR(__xludf.DUMMYFUNCTION("""COMPUTED_VALUE"""),0.095)</f>
        <v>0.095</v>
      </c>
      <c r="E8602" s="8" t="str">
        <f>IFERROR(__xludf.DUMMYFUNCTION("""COMPUTED_VALUE"""),"Real")</f>
        <v>Real</v>
      </c>
      <c r="G8602" s="8">
        <f t="shared" si="1"/>
        <v>10</v>
      </c>
      <c r="H8602" s="14">
        <f t="shared" si="2"/>
        <v>25</v>
      </c>
      <c r="I8602" s="15">
        <f t="shared" si="3"/>
        <v>10</v>
      </c>
    </row>
    <row r="8603">
      <c r="A8603" s="8" t="str">
        <f>IFERROR(__xludf.DUMMYFUNCTION("IF('(INGESTA)Datos_consumo_datadis'!A8603&lt;&gt;"""",SPLIT('(INGESTA)Datos_consumo_datadis'!A:A,"",""),"""")"),"ES0031408323131005HX0F")</f>
        <v>ES0031408323131005HX0F</v>
      </c>
      <c r="B8603" s="17">
        <f>IFERROR(__xludf.DUMMYFUNCTION("""COMPUTED_VALUE"""),45224.0)</f>
        <v>45224</v>
      </c>
      <c r="C8603" s="13">
        <f>IFERROR(__xludf.DUMMYFUNCTION("""COMPUTED_VALUE"""),0.4583333333333333)</f>
        <v>0.4583333333</v>
      </c>
      <c r="D8603" s="8">
        <f>IFERROR(__xludf.DUMMYFUNCTION("""COMPUTED_VALUE"""),0.353)</f>
        <v>0.353</v>
      </c>
      <c r="E8603" s="8" t="str">
        <f>IFERROR(__xludf.DUMMYFUNCTION("""COMPUTED_VALUE"""),"Real")</f>
        <v>Real</v>
      </c>
      <c r="G8603" s="8">
        <f t="shared" si="1"/>
        <v>10</v>
      </c>
      <c r="H8603" s="14">
        <f t="shared" si="2"/>
        <v>25</v>
      </c>
      <c r="I8603" s="15">
        <f t="shared" si="3"/>
        <v>11</v>
      </c>
    </row>
    <row r="8604">
      <c r="A8604" s="8" t="str">
        <f>IFERROR(__xludf.DUMMYFUNCTION("IF('(INGESTA)Datos_consumo_datadis'!A8604&lt;&gt;"""",SPLIT('(INGESTA)Datos_consumo_datadis'!A:A,"",""),"""")"),"ES0031408323131005HX0F")</f>
        <v>ES0031408323131005HX0F</v>
      </c>
      <c r="B8604" s="17">
        <f>IFERROR(__xludf.DUMMYFUNCTION("""COMPUTED_VALUE"""),45224.0)</f>
        <v>45224</v>
      </c>
      <c r="C8604" s="13">
        <f>IFERROR(__xludf.DUMMYFUNCTION("""COMPUTED_VALUE"""),0.5)</f>
        <v>0.5</v>
      </c>
      <c r="D8604" s="8">
        <f>IFERROR(__xludf.DUMMYFUNCTION("""COMPUTED_VALUE"""),0.043)</f>
        <v>0.043</v>
      </c>
      <c r="E8604" s="8" t="str">
        <f>IFERROR(__xludf.DUMMYFUNCTION("""COMPUTED_VALUE"""),"Real")</f>
        <v>Real</v>
      </c>
      <c r="G8604" s="8">
        <f t="shared" si="1"/>
        <v>10</v>
      </c>
      <c r="H8604" s="14">
        <f t="shared" si="2"/>
        <v>25</v>
      </c>
      <c r="I8604" s="15">
        <f t="shared" si="3"/>
        <v>12</v>
      </c>
    </row>
    <row r="8605">
      <c r="A8605" s="8" t="str">
        <f>IFERROR(__xludf.DUMMYFUNCTION("IF('(INGESTA)Datos_consumo_datadis'!A8605&lt;&gt;"""",SPLIT('(INGESTA)Datos_consumo_datadis'!A:A,"",""),"""")"),"ES0031408323131005HX0F")</f>
        <v>ES0031408323131005HX0F</v>
      </c>
      <c r="B8605" s="17">
        <f>IFERROR(__xludf.DUMMYFUNCTION("""COMPUTED_VALUE"""),45224.0)</f>
        <v>45224</v>
      </c>
      <c r="C8605" s="13">
        <f>IFERROR(__xludf.DUMMYFUNCTION("""COMPUTED_VALUE"""),0.5416666666666666)</f>
        <v>0.5416666667</v>
      </c>
      <c r="D8605" s="8">
        <f>IFERROR(__xludf.DUMMYFUNCTION("""COMPUTED_VALUE"""),0.116)</f>
        <v>0.116</v>
      </c>
      <c r="E8605" s="8" t="str">
        <f>IFERROR(__xludf.DUMMYFUNCTION("""COMPUTED_VALUE"""),"Real")</f>
        <v>Real</v>
      </c>
      <c r="G8605" s="8">
        <f t="shared" si="1"/>
        <v>10</v>
      </c>
      <c r="H8605" s="14">
        <f t="shared" si="2"/>
        <v>25</v>
      </c>
      <c r="I8605" s="15">
        <f t="shared" si="3"/>
        <v>13</v>
      </c>
    </row>
    <row r="8606">
      <c r="A8606" s="8" t="str">
        <f>IFERROR(__xludf.DUMMYFUNCTION("IF('(INGESTA)Datos_consumo_datadis'!A8606&lt;&gt;"""",SPLIT('(INGESTA)Datos_consumo_datadis'!A:A,"",""),"""")"),"ES0031408323131005HX0F")</f>
        <v>ES0031408323131005HX0F</v>
      </c>
      <c r="B8606" s="17">
        <f>IFERROR(__xludf.DUMMYFUNCTION("""COMPUTED_VALUE"""),45224.0)</f>
        <v>45224</v>
      </c>
      <c r="C8606" s="13">
        <f>IFERROR(__xludf.DUMMYFUNCTION("""COMPUTED_VALUE"""),0.5833333333333334)</f>
        <v>0.5833333333</v>
      </c>
      <c r="D8606" s="8">
        <f>IFERROR(__xludf.DUMMYFUNCTION("""COMPUTED_VALUE"""),0.095)</f>
        <v>0.095</v>
      </c>
      <c r="E8606" s="8" t="str">
        <f>IFERROR(__xludf.DUMMYFUNCTION("""COMPUTED_VALUE"""),"Real")</f>
        <v>Real</v>
      </c>
      <c r="G8606" s="8">
        <f t="shared" si="1"/>
        <v>10</v>
      </c>
      <c r="H8606" s="14">
        <f t="shared" si="2"/>
        <v>25</v>
      </c>
      <c r="I8606" s="15">
        <f t="shared" si="3"/>
        <v>14</v>
      </c>
    </row>
    <row r="8607">
      <c r="A8607" s="8" t="str">
        <f>IFERROR(__xludf.DUMMYFUNCTION("IF('(INGESTA)Datos_consumo_datadis'!A8607&lt;&gt;"""",SPLIT('(INGESTA)Datos_consumo_datadis'!A:A,"",""),"""")"),"ES0031408323131005HX0F")</f>
        <v>ES0031408323131005HX0F</v>
      </c>
      <c r="B8607" s="17">
        <f>IFERROR(__xludf.DUMMYFUNCTION("""COMPUTED_VALUE"""),45224.0)</f>
        <v>45224</v>
      </c>
      <c r="C8607" s="13">
        <f>IFERROR(__xludf.DUMMYFUNCTION("""COMPUTED_VALUE"""),0.625)</f>
        <v>0.625</v>
      </c>
      <c r="D8607" s="8">
        <f>IFERROR(__xludf.DUMMYFUNCTION("""COMPUTED_VALUE"""),0.043)</f>
        <v>0.043</v>
      </c>
      <c r="E8607" s="8" t="str">
        <f>IFERROR(__xludf.DUMMYFUNCTION("""COMPUTED_VALUE"""),"Real")</f>
        <v>Real</v>
      </c>
      <c r="G8607" s="8">
        <f t="shared" si="1"/>
        <v>10</v>
      </c>
      <c r="H8607" s="14">
        <f t="shared" si="2"/>
        <v>25</v>
      </c>
      <c r="I8607" s="15">
        <f t="shared" si="3"/>
        <v>15</v>
      </c>
    </row>
    <row r="8608">
      <c r="A8608" s="8" t="str">
        <f>IFERROR(__xludf.DUMMYFUNCTION("IF('(INGESTA)Datos_consumo_datadis'!A8608&lt;&gt;"""",SPLIT('(INGESTA)Datos_consumo_datadis'!A:A,"",""),"""")"),"ES0031408323131005HX0F")</f>
        <v>ES0031408323131005HX0F</v>
      </c>
      <c r="B8608" s="17">
        <f>IFERROR(__xludf.DUMMYFUNCTION("""COMPUTED_VALUE"""),45224.0)</f>
        <v>45224</v>
      </c>
      <c r="C8608" s="13">
        <f>IFERROR(__xludf.DUMMYFUNCTION("""COMPUTED_VALUE"""),0.6666666666666666)</f>
        <v>0.6666666667</v>
      </c>
      <c r="D8608" s="8">
        <f>IFERROR(__xludf.DUMMYFUNCTION("""COMPUTED_VALUE"""),0.07)</f>
        <v>0.07</v>
      </c>
      <c r="E8608" s="8" t="str">
        <f>IFERROR(__xludf.DUMMYFUNCTION("""COMPUTED_VALUE"""),"Real")</f>
        <v>Real</v>
      </c>
      <c r="G8608" s="8">
        <f t="shared" si="1"/>
        <v>10</v>
      </c>
      <c r="H8608" s="14">
        <f t="shared" si="2"/>
        <v>25</v>
      </c>
      <c r="I8608" s="15">
        <f t="shared" si="3"/>
        <v>16</v>
      </c>
    </row>
    <row r="8609">
      <c r="A8609" s="8" t="str">
        <f>IFERROR(__xludf.DUMMYFUNCTION("IF('(INGESTA)Datos_consumo_datadis'!A8609&lt;&gt;"""",SPLIT('(INGESTA)Datos_consumo_datadis'!A:A,"",""),"""")"),"ES0031408323131005HX0F")</f>
        <v>ES0031408323131005HX0F</v>
      </c>
      <c r="B8609" s="17">
        <f>IFERROR(__xludf.DUMMYFUNCTION("""COMPUTED_VALUE"""),45224.0)</f>
        <v>45224</v>
      </c>
      <c r="C8609" s="13">
        <f>IFERROR(__xludf.DUMMYFUNCTION("""COMPUTED_VALUE"""),0.7083333333333334)</f>
        <v>0.7083333333</v>
      </c>
      <c r="D8609" s="8">
        <f>IFERROR(__xludf.DUMMYFUNCTION("""COMPUTED_VALUE"""),0.351)</f>
        <v>0.351</v>
      </c>
      <c r="E8609" s="8" t="str">
        <f>IFERROR(__xludf.DUMMYFUNCTION("""COMPUTED_VALUE"""),"Real")</f>
        <v>Real</v>
      </c>
      <c r="G8609" s="8">
        <f t="shared" si="1"/>
        <v>10</v>
      </c>
      <c r="H8609" s="14">
        <f t="shared" si="2"/>
        <v>25</v>
      </c>
      <c r="I8609" s="15">
        <f t="shared" si="3"/>
        <v>17</v>
      </c>
    </row>
    <row r="8610">
      <c r="A8610" s="8" t="str">
        <f>IFERROR(__xludf.DUMMYFUNCTION("IF('(INGESTA)Datos_consumo_datadis'!A8610&lt;&gt;"""",SPLIT('(INGESTA)Datos_consumo_datadis'!A:A,"",""),"""")"),"ES0031408323131005HX0F")</f>
        <v>ES0031408323131005HX0F</v>
      </c>
      <c r="B8610" s="17">
        <f>IFERROR(__xludf.DUMMYFUNCTION("""COMPUTED_VALUE"""),45224.0)</f>
        <v>45224</v>
      </c>
      <c r="C8610" s="13">
        <f>IFERROR(__xludf.DUMMYFUNCTION("""COMPUTED_VALUE"""),0.75)</f>
        <v>0.75</v>
      </c>
      <c r="D8610" s="8">
        <f>IFERROR(__xludf.DUMMYFUNCTION("""COMPUTED_VALUE"""),0.198)</f>
        <v>0.198</v>
      </c>
      <c r="E8610" s="8" t="str">
        <f>IFERROR(__xludf.DUMMYFUNCTION("""COMPUTED_VALUE"""),"Real")</f>
        <v>Real</v>
      </c>
      <c r="G8610" s="8">
        <f t="shared" si="1"/>
        <v>10</v>
      </c>
      <c r="H8610" s="14">
        <f t="shared" si="2"/>
        <v>25</v>
      </c>
      <c r="I8610" s="15">
        <f t="shared" si="3"/>
        <v>18</v>
      </c>
    </row>
    <row r="8611">
      <c r="A8611" s="8" t="str">
        <f>IFERROR(__xludf.DUMMYFUNCTION("IF('(INGESTA)Datos_consumo_datadis'!A8611&lt;&gt;"""",SPLIT('(INGESTA)Datos_consumo_datadis'!A:A,"",""),"""")"),"ES0031408323131005HX0F")</f>
        <v>ES0031408323131005HX0F</v>
      </c>
      <c r="B8611" s="17">
        <f>IFERROR(__xludf.DUMMYFUNCTION("""COMPUTED_VALUE"""),45224.0)</f>
        <v>45224</v>
      </c>
      <c r="C8611" s="13">
        <f>IFERROR(__xludf.DUMMYFUNCTION("""COMPUTED_VALUE"""),0.7916666666666666)</f>
        <v>0.7916666667</v>
      </c>
      <c r="D8611" s="8">
        <f>IFERROR(__xludf.DUMMYFUNCTION("""COMPUTED_VALUE"""),0.099)</f>
        <v>0.099</v>
      </c>
      <c r="E8611" s="8" t="str">
        <f>IFERROR(__xludf.DUMMYFUNCTION("""COMPUTED_VALUE"""),"Real")</f>
        <v>Real</v>
      </c>
      <c r="G8611" s="8">
        <f t="shared" si="1"/>
        <v>10</v>
      </c>
      <c r="H8611" s="14">
        <f t="shared" si="2"/>
        <v>25</v>
      </c>
      <c r="I8611" s="15">
        <f t="shared" si="3"/>
        <v>19</v>
      </c>
    </row>
    <row r="8612">
      <c r="A8612" s="8" t="str">
        <f>IFERROR(__xludf.DUMMYFUNCTION("IF('(INGESTA)Datos_consumo_datadis'!A8612&lt;&gt;"""",SPLIT('(INGESTA)Datos_consumo_datadis'!A:A,"",""),"""")"),"ES0031408323131005HX0F")</f>
        <v>ES0031408323131005HX0F</v>
      </c>
      <c r="B8612" s="17">
        <f>IFERROR(__xludf.DUMMYFUNCTION("""COMPUTED_VALUE"""),45224.0)</f>
        <v>45224</v>
      </c>
      <c r="C8612" s="13">
        <f>IFERROR(__xludf.DUMMYFUNCTION("""COMPUTED_VALUE"""),0.8333333333333334)</f>
        <v>0.8333333333</v>
      </c>
      <c r="D8612" s="8">
        <f>IFERROR(__xludf.DUMMYFUNCTION("""COMPUTED_VALUE"""),0.121)</f>
        <v>0.121</v>
      </c>
      <c r="E8612" s="8" t="str">
        <f>IFERROR(__xludf.DUMMYFUNCTION("""COMPUTED_VALUE"""),"Real")</f>
        <v>Real</v>
      </c>
      <c r="G8612" s="8">
        <f t="shared" si="1"/>
        <v>10</v>
      </c>
      <c r="H8612" s="14">
        <f t="shared" si="2"/>
        <v>25</v>
      </c>
      <c r="I8612" s="15">
        <f t="shared" si="3"/>
        <v>20</v>
      </c>
    </row>
    <row r="8613">
      <c r="A8613" s="8" t="str">
        <f>IFERROR(__xludf.DUMMYFUNCTION("IF('(INGESTA)Datos_consumo_datadis'!A8613&lt;&gt;"""",SPLIT('(INGESTA)Datos_consumo_datadis'!A:A,"",""),"""")"),"ES0031408323131005HX0F")</f>
        <v>ES0031408323131005HX0F</v>
      </c>
      <c r="B8613" s="17">
        <f>IFERROR(__xludf.DUMMYFUNCTION("""COMPUTED_VALUE"""),45224.0)</f>
        <v>45224</v>
      </c>
      <c r="C8613" s="13">
        <f>IFERROR(__xludf.DUMMYFUNCTION("""COMPUTED_VALUE"""),0.875)</f>
        <v>0.875</v>
      </c>
      <c r="D8613" s="8">
        <f>IFERROR(__xludf.DUMMYFUNCTION("""COMPUTED_VALUE"""),0.898)</f>
        <v>0.898</v>
      </c>
      <c r="E8613" s="8" t="str">
        <f>IFERROR(__xludf.DUMMYFUNCTION("""COMPUTED_VALUE"""),"Real")</f>
        <v>Real</v>
      </c>
      <c r="G8613" s="8">
        <f t="shared" si="1"/>
        <v>10</v>
      </c>
      <c r="H8613" s="14">
        <f t="shared" si="2"/>
        <v>25</v>
      </c>
      <c r="I8613" s="15">
        <f t="shared" si="3"/>
        <v>21</v>
      </c>
    </row>
    <row r="8614">
      <c r="A8614" s="8" t="str">
        <f>IFERROR(__xludf.DUMMYFUNCTION("IF('(INGESTA)Datos_consumo_datadis'!A8614&lt;&gt;"""",SPLIT('(INGESTA)Datos_consumo_datadis'!A:A,"",""),"""")"),"ES0031408323131005HX0F")</f>
        <v>ES0031408323131005HX0F</v>
      </c>
      <c r="B8614" s="17">
        <f>IFERROR(__xludf.DUMMYFUNCTION("""COMPUTED_VALUE"""),45224.0)</f>
        <v>45224</v>
      </c>
      <c r="C8614" s="13">
        <f>IFERROR(__xludf.DUMMYFUNCTION("""COMPUTED_VALUE"""),0.9166666666666666)</f>
        <v>0.9166666667</v>
      </c>
      <c r="D8614" s="8">
        <f>IFERROR(__xludf.DUMMYFUNCTION("""COMPUTED_VALUE"""),0.581)</f>
        <v>0.581</v>
      </c>
      <c r="E8614" s="8" t="str">
        <f>IFERROR(__xludf.DUMMYFUNCTION("""COMPUTED_VALUE"""),"Real")</f>
        <v>Real</v>
      </c>
      <c r="G8614" s="8">
        <f t="shared" si="1"/>
        <v>10</v>
      </c>
      <c r="H8614" s="14">
        <f t="shared" si="2"/>
        <v>25</v>
      </c>
      <c r="I8614" s="15">
        <f t="shared" si="3"/>
        <v>22</v>
      </c>
    </row>
    <row r="8615">
      <c r="A8615" s="8" t="str">
        <f>IFERROR(__xludf.DUMMYFUNCTION("IF('(INGESTA)Datos_consumo_datadis'!A8615&lt;&gt;"""",SPLIT('(INGESTA)Datos_consumo_datadis'!A:A,"",""),"""")"),"ES0031408323131005HX0F")</f>
        <v>ES0031408323131005HX0F</v>
      </c>
      <c r="B8615" s="17">
        <f>IFERROR(__xludf.DUMMYFUNCTION("""COMPUTED_VALUE"""),45224.0)</f>
        <v>45224</v>
      </c>
      <c r="C8615" s="13">
        <f>IFERROR(__xludf.DUMMYFUNCTION("""COMPUTED_VALUE"""),0.9583333333333334)</f>
        <v>0.9583333333</v>
      </c>
      <c r="D8615" s="8">
        <f>IFERROR(__xludf.DUMMYFUNCTION("""COMPUTED_VALUE"""),0.329)</f>
        <v>0.329</v>
      </c>
      <c r="E8615" s="8" t="str">
        <f>IFERROR(__xludf.DUMMYFUNCTION("""COMPUTED_VALUE"""),"Real")</f>
        <v>Real</v>
      </c>
      <c r="G8615" s="8">
        <f t="shared" si="1"/>
        <v>10</v>
      </c>
      <c r="H8615" s="14">
        <f t="shared" si="2"/>
        <v>25</v>
      </c>
      <c r="I8615" s="15">
        <f t="shared" si="3"/>
        <v>23</v>
      </c>
    </row>
    <row r="8616">
      <c r="A8616" s="8" t="str">
        <f>IFERROR(__xludf.DUMMYFUNCTION("IF('(INGESTA)Datos_consumo_datadis'!A8616&lt;&gt;"""",SPLIT('(INGESTA)Datos_consumo_datadis'!A:A,"",""),"""")"),"ES0031408323131005HX0F")</f>
        <v>ES0031408323131005HX0F</v>
      </c>
      <c r="B8616" s="17">
        <f>IFERROR(__xludf.DUMMYFUNCTION("""COMPUTED_VALUE"""),45224.0)</f>
        <v>45224</v>
      </c>
      <c r="C8616" s="16">
        <f>IFERROR(__xludf.DUMMYFUNCTION("""COMPUTED_VALUE"""),1.0)</f>
        <v>1</v>
      </c>
      <c r="D8616" s="8">
        <f>IFERROR(__xludf.DUMMYFUNCTION("""COMPUTED_VALUE"""),0.361)</f>
        <v>0.361</v>
      </c>
      <c r="E8616" s="8" t="str">
        <f>IFERROR(__xludf.DUMMYFUNCTION("""COMPUTED_VALUE"""),"Real")</f>
        <v>Real</v>
      </c>
      <c r="G8616" s="8">
        <f t="shared" si="1"/>
        <v>10</v>
      </c>
      <c r="H8616" s="14">
        <f t="shared" si="2"/>
        <v>25</v>
      </c>
      <c r="I8616" s="15">
        <f t="shared" si="3"/>
        <v>0</v>
      </c>
    </row>
    <row r="8617">
      <c r="A8617" s="8" t="str">
        <f>IFERROR(__xludf.DUMMYFUNCTION("IF('(INGESTA)Datos_consumo_datadis'!A8617&lt;&gt;"""",SPLIT('(INGESTA)Datos_consumo_datadis'!A:A,"",""),"""")"),"ES0031408323131005HX0F")</f>
        <v>ES0031408323131005HX0F</v>
      </c>
      <c r="B8617" s="17">
        <f>IFERROR(__xludf.DUMMYFUNCTION("""COMPUTED_VALUE"""),45225.0)</f>
        <v>45225</v>
      </c>
      <c r="C8617" s="13">
        <f>IFERROR(__xludf.DUMMYFUNCTION("""COMPUTED_VALUE"""),0.041666666666666664)</f>
        <v>0.04166666667</v>
      </c>
      <c r="D8617" s="8">
        <f>IFERROR(__xludf.DUMMYFUNCTION("""COMPUTED_VALUE"""),0.119)</f>
        <v>0.119</v>
      </c>
      <c r="E8617" s="8" t="str">
        <f>IFERROR(__xludf.DUMMYFUNCTION("""COMPUTED_VALUE"""),"Real")</f>
        <v>Real</v>
      </c>
      <c r="G8617" s="8">
        <f t="shared" si="1"/>
        <v>10</v>
      </c>
      <c r="H8617" s="14">
        <f t="shared" si="2"/>
        <v>26</v>
      </c>
      <c r="I8617" s="15">
        <f t="shared" si="3"/>
        <v>1</v>
      </c>
    </row>
    <row r="8618">
      <c r="A8618" s="8" t="str">
        <f>IFERROR(__xludf.DUMMYFUNCTION("IF('(INGESTA)Datos_consumo_datadis'!A8618&lt;&gt;"""",SPLIT('(INGESTA)Datos_consumo_datadis'!A:A,"",""),"""")"),"ES0031408323131005HX0F")</f>
        <v>ES0031408323131005HX0F</v>
      </c>
      <c r="B8618" s="17">
        <f>IFERROR(__xludf.DUMMYFUNCTION("""COMPUTED_VALUE"""),45225.0)</f>
        <v>45225</v>
      </c>
      <c r="C8618" s="13">
        <f>IFERROR(__xludf.DUMMYFUNCTION("""COMPUTED_VALUE"""),0.08333333333333333)</f>
        <v>0.08333333333</v>
      </c>
      <c r="D8618" s="8">
        <f>IFERROR(__xludf.DUMMYFUNCTION("""COMPUTED_VALUE"""),0.116)</f>
        <v>0.116</v>
      </c>
      <c r="E8618" s="8" t="str">
        <f>IFERROR(__xludf.DUMMYFUNCTION("""COMPUTED_VALUE"""),"Real")</f>
        <v>Real</v>
      </c>
      <c r="G8618" s="8">
        <f t="shared" si="1"/>
        <v>10</v>
      </c>
      <c r="H8618" s="14">
        <f t="shared" si="2"/>
        <v>26</v>
      </c>
      <c r="I8618" s="15">
        <f t="shared" si="3"/>
        <v>2</v>
      </c>
    </row>
    <row r="8619">
      <c r="A8619" s="8" t="str">
        <f>IFERROR(__xludf.DUMMYFUNCTION("IF('(INGESTA)Datos_consumo_datadis'!A8619&lt;&gt;"""",SPLIT('(INGESTA)Datos_consumo_datadis'!A:A,"",""),"""")"),"ES0031408323131005HX0F")</f>
        <v>ES0031408323131005HX0F</v>
      </c>
      <c r="B8619" s="17">
        <f>IFERROR(__xludf.DUMMYFUNCTION("""COMPUTED_VALUE"""),45225.0)</f>
        <v>45225</v>
      </c>
      <c r="C8619" s="13">
        <f>IFERROR(__xludf.DUMMYFUNCTION("""COMPUTED_VALUE"""),0.125)</f>
        <v>0.125</v>
      </c>
      <c r="D8619" s="8">
        <f>IFERROR(__xludf.DUMMYFUNCTION("""COMPUTED_VALUE"""),0.102)</f>
        <v>0.102</v>
      </c>
      <c r="E8619" s="8" t="str">
        <f>IFERROR(__xludf.DUMMYFUNCTION("""COMPUTED_VALUE"""),"Real")</f>
        <v>Real</v>
      </c>
      <c r="G8619" s="8">
        <f t="shared" si="1"/>
        <v>10</v>
      </c>
      <c r="H8619" s="14">
        <f t="shared" si="2"/>
        <v>26</v>
      </c>
      <c r="I8619" s="15">
        <f t="shared" si="3"/>
        <v>3</v>
      </c>
    </row>
    <row r="8620">
      <c r="A8620" s="8" t="str">
        <f>IFERROR(__xludf.DUMMYFUNCTION("IF('(INGESTA)Datos_consumo_datadis'!A8620&lt;&gt;"""",SPLIT('(INGESTA)Datos_consumo_datadis'!A:A,"",""),"""")"),"ES0031408323131005HX0F")</f>
        <v>ES0031408323131005HX0F</v>
      </c>
      <c r="B8620" s="17">
        <f>IFERROR(__xludf.DUMMYFUNCTION("""COMPUTED_VALUE"""),45225.0)</f>
        <v>45225</v>
      </c>
      <c r="C8620" s="13">
        <f>IFERROR(__xludf.DUMMYFUNCTION("""COMPUTED_VALUE"""),0.16666666666666666)</f>
        <v>0.1666666667</v>
      </c>
      <c r="D8620" s="8">
        <f>IFERROR(__xludf.DUMMYFUNCTION("""COMPUTED_VALUE"""),0.026)</f>
        <v>0.026</v>
      </c>
      <c r="E8620" s="8" t="str">
        <f>IFERROR(__xludf.DUMMYFUNCTION("""COMPUTED_VALUE"""),"Real")</f>
        <v>Real</v>
      </c>
      <c r="G8620" s="8">
        <f t="shared" si="1"/>
        <v>10</v>
      </c>
      <c r="H8620" s="14">
        <f t="shared" si="2"/>
        <v>26</v>
      </c>
      <c r="I8620" s="15">
        <f t="shared" si="3"/>
        <v>4</v>
      </c>
    </row>
    <row r="8621">
      <c r="A8621" s="8" t="str">
        <f>IFERROR(__xludf.DUMMYFUNCTION("IF('(INGESTA)Datos_consumo_datadis'!A8621&lt;&gt;"""",SPLIT('(INGESTA)Datos_consumo_datadis'!A:A,"",""),"""")"),"ES0031408323131005HX0F")</f>
        <v>ES0031408323131005HX0F</v>
      </c>
      <c r="B8621" s="17">
        <f>IFERROR(__xludf.DUMMYFUNCTION("""COMPUTED_VALUE"""),45225.0)</f>
        <v>45225</v>
      </c>
      <c r="C8621" s="13">
        <f>IFERROR(__xludf.DUMMYFUNCTION("""COMPUTED_VALUE"""),0.20833333333333334)</f>
        <v>0.2083333333</v>
      </c>
      <c r="D8621" s="8">
        <f>IFERROR(__xludf.DUMMYFUNCTION("""COMPUTED_VALUE"""),0.098)</f>
        <v>0.098</v>
      </c>
      <c r="E8621" s="8" t="str">
        <f>IFERROR(__xludf.DUMMYFUNCTION("""COMPUTED_VALUE"""),"Real")</f>
        <v>Real</v>
      </c>
      <c r="G8621" s="8">
        <f t="shared" si="1"/>
        <v>10</v>
      </c>
      <c r="H8621" s="14">
        <f t="shared" si="2"/>
        <v>26</v>
      </c>
      <c r="I8621" s="15">
        <f t="shared" si="3"/>
        <v>5</v>
      </c>
    </row>
    <row r="8622">
      <c r="A8622" s="8" t="str">
        <f>IFERROR(__xludf.DUMMYFUNCTION("IF('(INGESTA)Datos_consumo_datadis'!A8622&lt;&gt;"""",SPLIT('(INGESTA)Datos_consumo_datadis'!A:A,"",""),"""")"),"ES0031408323131005HX0F")</f>
        <v>ES0031408323131005HX0F</v>
      </c>
      <c r="B8622" s="17">
        <f>IFERROR(__xludf.DUMMYFUNCTION("""COMPUTED_VALUE"""),45225.0)</f>
        <v>45225</v>
      </c>
      <c r="C8622" s="13">
        <f>IFERROR(__xludf.DUMMYFUNCTION("""COMPUTED_VALUE"""),0.25)</f>
        <v>0.25</v>
      </c>
      <c r="D8622" s="8">
        <f>IFERROR(__xludf.DUMMYFUNCTION("""COMPUTED_VALUE"""),0.128)</f>
        <v>0.128</v>
      </c>
      <c r="E8622" s="8" t="str">
        <f>IFERROR(__xludf.DUMMYFUNCTION("""COMPUTED_VALUE"""),"Real")</f>
        <v>Real</v>
      </c>
      <c r="G8622" s="8">
        <f t="shared" si="1"/>
        <v>10</v>
      </c>
      <c r="H8622" s="14">
        <f t="shared" si="2"/>
        <v>26</v>
      </c>
      <c r="I8622" s="15">
        <f t="shared" si="3"/>
        <v>6</v>
      </c>
    </row>
    <row r="8623">
      <c r="A8623" s="8" t="str">
        <f>IFERROR(__xludf.DUMMYFUNCTION("IF('(INGESTA)Datos_consumo_datadis'!A8623&lt;&gt;"""",SPLIT('(INGESTA)Datos_consumo_datadis'!A:A,"",""),"""")"),"ES0031408323131005HX0F")</f>
        <v>ES0031408323131005HX0F</v>
      </c>
      <c r="B8623" s="17">
        <f>IFERROR(__xludf.DUMMYFUNCTION("""COMPUTED_VALUE"""),45225.0)</f>
        <v>45225</v>
      </c>
      <c r="C8623" s="13">
        <f>IFERROR(__xludf.DUMMYFUNCTION("""COMPUTED_VALUE"""),0.2916666666666667)</f>
        <v>0.2916666667</v>
      </c>
      <c r="D8623" s="8">
        <f>IFERROR(__xludf.DUMMYFUNCTION("""COMPUTED_VALUE"""),0.114)</f>
        <v>0.114</v>
      </c>
      <c r="E8623" s="8" t="str">
        <f>IFERROR(__xludf.DUMMYFUNCTION("""COMPUTED_VALUE"""),"Real")</f>
        <v>Real</v>
      </c>
      <c r="G8623" s="8">
        <f t="shared" si="1"/>
        <v>10</v>
      </c>
      <c r="H8623" s="14">
        <f t="shared" si="2"/>
        <v>26</v>
      </c>
      <c r="I8623" s="15">
        <f t="shared" si="3"/>
        <v>7</v>
      </c>
    </row>
    <row r="8624">
      <c r="A8624" s="8" t="str">
        <f>IFERROR(__xludf.DUMMYFUNCTION("IF('(INGESTA)Datos_consumo_datadis'!A8624&lt;&gt;"""",SPLIT('(INGESTA)Datos_consumo_datadis'!A:A,"",""),"""")"),"ES0031408323131005HX0F")</f>
        <v>ES0031408323131005HX0F</v>
      </c>
      <c r="B8624" s="17">
        <f>IFERROR(__xludf.DUMMYFUNCTION("""COMPUTED_VALUE"""),45225.0)</f>
        <v>45225</v>
      </c>
      <c r="C8624" s="13">
        <f>IFERROR(__xludf.DUMMYFUNCTION("""COMPUTED_VALUE"""),0.3333333333333333)</f>
        <v>0.3333333333</v>
      </c>
      <c r="D8624" s="8">
        <f>IFERROR(__xludf.DUMMYFUNCTION("""COMPUTED_VALUE"""),0.36)</f>
        <v>0.36</v>
      </c>
      <c r="E8624" s="8" t="str">
        <f>IFERROR(__xludf.DUMMYFUNCTION("""COMPUTED_VALUE"""),"Real")</f>
        <v>Real</v>
      </c>
      <c r="G8624" s="8">
        <f t="shared" si="1"/>
        <v>10</v>
      </c>
      <c r="H8624" s="14">
        <f t="shared" si="2"/>
        <v>26</v>
      </c>
      <c r="I8624" s="15">
        <f t="shared" si="3"/>
        <v>8</v>
      </c>
    </row>
    <row r="8625">
      <c r="A8625" s="8" t="str">
        <f>IFERROR(__xludf.DUMMYFUNCTION("IF('(INGESTA)Datos_consumo_datadis'!A8625&lt;&gt;"""",SPLIT('(INGESTA)Datos_consumo_datadis'!A:A,"",""),"""")"),"ES0031408323131005HX0F")</f>
        <v>ES0031408323131005HX0F</v>
      </c>
      <c r="B8625" s="17">
        <f>IFERROR(__xludf.DUMMYFUNCTION("""COMPUTED_VALUE"""),45225.0)</f>
        <v>45225</v>
      </c>
      <c r="C8625" s="13">
        <f>IFERROR(__xludf.DUMMYFUNCTION("""COMPUTED_VALUE"""),0.375)</f>
        <v>0.375</v>
      </c>
      <c r="D8625" s="8">
        <f>IFERROR(__xludf.DUMMYFUNCTION("""COMPUTED_VALUE"""),0.022)</f>
        <v>0.022</v>
      </c>
      <c r="E8625" s="8" t="str">
        <f>IFERROR(__xludf.DUMMYFUNCTION("""COMPUTED_VALUE"""),"Real")</f>
        <v>Real</v>
      </c>
      <c r="G8625" s="8">
        <f t="shared" si="1"/>
        <v>10</v>
      </c>
      <c r="H8625" s="14">
        <f t="shared" si="2"/>
        <v>26</v>
      </c>
      <c r="I8625" s="15">
        <f t="shared" si="3"/>
        <v>9</v>
      </c>
    </row>
    <row r="8626">
      <c r="A8626" s="8" t="str">
        <f>IFERROR(__xludf.DUMMYFUNCTION("IF('(INGESTA)Datos_consumo_datadis'!A8626&lt;&gt;"""",SPLIT('(INGESTA)Datos_consumo_datadis'!A:A,"",""),"""")"),"ES0031408323131005HX0F")</f>
        <v>ES0031408323131005HX0F</v>
      </c>
      <c r="B8626" s="17">
        <f>IFERROR(__xludf.DUMMYFUNCTION("""COMPUTED_VALUE"""),45225.0)</f>
        <v>45225</v>
      </c>
      <c r="C8626" s="13">
        <f>IFERROR(__xludf.DUMMYFUNCTION("""COMPUTED_VALUE"""),0.4166666666666667)</f>
        <v>0.4166666667</v>
      </c>
      <c r="D8626" s="8">
        <f>IFERROR(__xludf.DUMMYFUNCTION("""COMPUTED_VALUE"""),0.107)</f>
        <v>0.107</v>
      </c>
      <c r="E8626" s="8" t="str">
        <f>IFERROR(__xludf.DUMMYFUNCTION("""COMPUTED_VALUE"""),"Real")</f>
        <v>Real</v>
      </c>
      <c r="G8626" s="8">
        <f t="shared" si="1"/>
        <v>10</v>
      </c>
      <c r="H8626" s="14">
        <f t="shared" si="2"/>
        <v>26</v>
      </c>
      <c r="I8626" s="15">
        <f t="shared" si="3"/>
        <v>10</v>
      </c>
    </row>
    <row r="8627">
      <c r="A8627" s="8" t="str">
        <f>IFERROR(__xludf.DUMMYFUNCTION("IF('(INGESTA)Datos_consumo_datadis'!A8627&lt;&gt;"""",SPLIT('(INGESTA)Datos_consumo_datadis'!A:A,"",""),"""")"),"ES0031408323131005HX0F")</f>
        <v>ES0031408323131005HX0F</v>
      </c>
      <c r="B8627" s="17">
        <f>IFERROR(__xludf.DUMMYFUNCTION("""COMPUTED_VALUE"""),45225.0)</f>
        <v>45225</v>
      </c>
      <c r="C8627" s="13">
        <f>IFERROR(__xludf.DUMMYFUNCTION("""COMPUTED_VALUE"""),0.4583333333333333)</f>
        <v>0.4583333333</v>
      </c>
      <c r="D8627" s="8">
        <f>IFERROR(__xludf.DUMMYFUNCTION("""COMPUTED_VALUE"""),0.097)</f>
        <v>0.097</v>
      </c>
      <c r="E8627" s="8" t="str">
        <f>IFERROR(__xludf.DUMMYFUNCTION("""COMPUTED_VALUE"""),"Real")</f>
        <v>Real</v>
      </c>
      <c r="G8627" s="8">
        <f t="shared" si="1"/>
        <v>10</v>
      </c>
      <c r="H8627" s="14">
        <f t="shared" si="2"/>
        <v>26</v>
      </c>
      <c r="I8627" s="15">
        <f t="shared" si="3"/>
        <v>11</v>
      </c>
    </row>
    <row r="8628">
      <c r="A8628" s="8" t="str">
        <f>IFERROR(__xludf.DUMMYFUNCTION("IF('(INGESTA)Datos_consumo_datadis'!A8628&lt;&gt;"""",SPLIT('(INGESTA)Datos_consumo_datadis'!A:A,"",""),"""")"),"ES0031408323131005HX0F")</f>
        <v>ES0031408323131005HX0F</v>
      </c>
      <c r="B8628" s="17">
        <f>IFERROR(__xludf.DUMMYFUNCTION("""COMPUTED_VALUE"""),45225.0)</f>
        <v>45225</v>
      </c>
      <c r="C8628" s="13">
        <f>IFERROR(__xludf.DUMMYFUNCTION("""COMPUTED_VALUE"""),0.5)</f>
        <v>0.5</v>
      </c>
      <c r="D8628" s="8">
        <f>IFERROR(__xludf.DUMMYFUNCTION("""COMPUTED_VALUE"""),0.048)</f>
        <v>0.048</v>
      </c>
      <c r="E8628" s="8" t="str">
        <f>IFERROR(__xludf.DUMMYFUNCTION("""COMPUTED_VALUE"""),"Real")</f>
        <v>Real</v>
      </c>
      <c r="G8628" s="8">
        <f t="shared" si="1"/>
        <v>10</v>
      </c>
      <c r="H8628" s="14">
        <f t="shared" si="2"/>
        <v>26</v>
      </c>
      <c r="I8628" s="15">
        <f t="shared" si="3"/>
        <v>12</v>
      </c>
    </row>
    <row r="8629">
      <c r="A8629" s="8" t="str">
        <f>IFERROR(__xludf.DUMMYFUNCTION("IF('(INGESTA)Datos_consumo_datadis'!A8629&lt;&gt;"""",SPLIT('(INGESTA)Datos_consumo_datadis'!A:A,"",""),"""")"),"ES0031408323131005HX0F")</f>
        <v>ES0031408323131005HX0F</v>
      </c>
      <c r="B8629" s="17">
        <f>IFERROR(__xludf.DUMMYFUNCTION("""COMPUTED_VALUE"""),45225.0)</f>
        <v>45225</v>
      </c>
      <c r="C8629" s="13">
        <f>IFERROR(__xludf.DUMMYFUNCTION("""COMPUTED_VALUE"""),0.5416666666666666)</f>
        <v>0.5416666667</v>
      </c>
      <c r="D8629" s="8">
        <f>IFERROR(__xludf.DUMMYFUNCTION("""COMPUTED_VALUE"""),0.059)</f>
        <v>0.059</v>
      </c>
      <c r="E8629" s="8" t="str">
        <f>IFERROR(__xludf.DUMMYFUNCTION("""COMPUTED_VALUE"""),"Real")</f>
        <v>Real</v>
      </c>
      <c r="G8629" s="8">
        <f t="shared" si="1"/>
        <v>10</v>
      </c>
      <c r="H8629" s="14">
        <f t="shared" si="2"/>
        <v>26</v>
      </c>
      <c r="I8629" s="15">
        <f t="shared" si="3"/>
        <v>13</v>
      </c>
    </row>
    <row r="8630">
      <c r="A8630" s="8" t="str">
        <f>IFERROR(__xludf.DUMMYFUNCTION("IF('(INGESTA)Datos_consumo_datadis'!A8630&lt;&gt;"""",SPLIT('(INGESTA)Datos_consumo_datadis'!A:A,"",""),"""")"),"ES0031408323131005HX0F")</f>
        <v>ES0031408323131005HX0F</v>
      </c>
      <c r="B8630" s="17">
        <f>IFERROR(__xludf.DUMMYFUNCTION("""COMPUTED_VALUE"""),45225.0)</f>
        <v>45225</v>
      </c>
      <c r="C8630" s="13">
        <f>IFERROR(__xludf.DUMMYFUNCTION("""COMPUTED_VALUE"""),0.5833333333333334)</f>
        <v>0.5833333333</v>
      </c>
      <c r="D8630" s="8">
        <f>IFERROR(__xludf.DUMMYFUNCTION("""COMPUTED_VALUE"""),0.09)</f>
        <v>0.09</v>
      </c>
      <c r="E8630" s="8" t="str">
        <f>IFERROR(__xludf.DUMMYFUNCTION("""COMPUTED_VALUE"""),"Real")</f>
        <v>Real</v>
      </c>
      <c r="G8630" s="8">
        <f t="shared" si="1"/>
        <v>10</v>
      </c>
      <c r="H8630" s="14">
        <f t="shared" si="2"/>
        <v>26</v>
      </c>
      <c r="I8630" s="15">
        <f t="shared" si="3"/>
        <v>14</v>
      </c>
    </row>
    <row r="8631">
      <c r="A8631" s="8" t="str">
        <f>IFERROR(__xludf.DUMMYFUNCTION("IF('(INGESTA)Datos_consumo_datadis'!A8631&lt;&gt;"""",SPLIT('(INGESTA)Datos_consumo_datadis'!A:A,"",""),"""")"),"ES0031408323131005HX0F")</f>
        <v>ES0031408323131005HX0F</v>
      </c>
      <c r="B8631" s="17">
        <f>IFERROR(__xludf.DUMMYFUNCTION("""COMPUTED_VALUE"""),45225.0)</f>
        <v>45225</v>
      </c>
      <c r="C8631" s="13">
        <f>IFERROR(__xludf.DUMMYFUNCTION("""COMPUTED_VALUE"""),0.625)</f>
        <v>0.625</v>
      </c>
      <c r="D8631" s="8">
        <f>IFERROR(__xludf.DUMMYFUNCTION("""COMPUTED_VALUE"""),0.351)</f>
        <v>0.351</v>
      </c>
      <c r="E8631" s="8" t="str">
        <f>IFERROR(__xludf.DUMMYFUNCTION("""COMPUTED_VALUE"""),"Real")</f>
        <v>Real</v>
      </c>
      <c r="G8631" s="8">
        <f t="shared" si="1"/>
        <v>10</v>
      </c>
      <c r="H8631" s="14">
        <f t="shared" si="2"/>
        <v>26</v>
      </c>
      <c r="I8631" s="15">
        <f t="shared" si="3"/>
        <v>15</v>
      </c>
    </row>
    <row r="8632">
      <c r="A8632" s="8" t="str">
        <f>IFERROR(__xludf.DUMMYFUNCTION("IF('(INGESTA)Datos_consumo_datadis'!A8632&lt;&gt;"""",SPLIT('(INGESTA)Datos_consumo_datadis'!A:A,"",""),"""")"),"ES0031408323131005HX0F")</f>
        <v>ES0031408323131005HX0F</v>
      </c>
      <c r="B8632" s="17">
        <f>IFERROR(__xludf.DUMMYFUNCTION("""COMPUTED_VALUE"""),45225.0)</f>
        <v>45225</v>
      </c>
      <c r="C8632" s="13">
        <f>IFERROR(__xludf.DUMMYFUNCTION("""COMPUTED_VALUE"""),0.6666666666666666)</f>
        <v>0.6666666667</v>
      </c>
      <c r="D8632" s="8">
        <f>IFERROR(__xludf.DUMMYFUNCTION("""COMPUTED_VALUE"""),0.022)</f>
        <v>0.022</v>
      </c>
      <c r="E8632" s="8" t="str">
        <f>IFERROR(__xludf.DUMMYFUNCTION("""COMPUTED_VALUE"""),"Real")</f>
        <v>Real</v>
      </c>
      <c r="G8632" s="8">
        <f t="shared" si="1"/>
        <v>10</v>
      </c>
      <c r="H8632" s="14">
        <f t="shared" si="2"/>
        <v>26</v>
      </c>
      <c r="I8632" s="15">
        <f t="shared" si="3"/>
        <v>16</v>
      </c>
    </row>
    <row r="8633">
      <c r="A8633" s="8" t="str">
        <f>IFERROR(__xludf.DUMMYFUNCTION("IF('(INGESTA)Datos_consumo_datadis'!A8633&lt;&gt;"""",SPLIT('(INGESTA)Datos_consumo_datadis'!A:A,"",""),"""")"),"ES0031408323131005HX0F")</f>
        <v>ES0031408323131005HX0F</v>
      </c>
      <c r="B8633" s="17">
        <f>IFERROR(__xludf.DUMMYFUNCTION("""COMPUTED_VALUE"""),45225.0)</f>
        <v>45225</v>
      </c>
      <c r="C8633" s="13">
        <f>IFERROR(__xludf.DUMMYFUNCTION("""COMPUTED_VALUE"""),0.7083333333333334)</f>
        <v>0.7083333333</v>
      </c>
      <c r="D8633" s="8">
        <f>IFERROR(__xludf.DUMMYFUNCTION("""COMPUTED_VALUE"""),0.088)</f>
        <v>0.088</v>
      </c>
      <c r="E8633" s="8" t="str">
        <f>IFERROR(__xludf.DUMMYFUNCTION("""COMPUTED_VALUE"""),"Real")</f>
        <v>Real</v>
      </c>
      <c r="G8633" s="8">
        <f t="shared" si="1"/>
        <v>10</v>
      </c>
      <c r="H8633" s="14">
        <f t="shared" si="2"/>
        <v>26</v>
      </c>
      <c r="I8633" s="15">
        <f t="shared" si="3"/>
        <v>17</v>
      </c>
    </row>
    <row r="8634">
      <c r="A8634" s="8" t="str">
        <f>IFERROR(__xludf.DUMMYFUNCTION("IF('(INGESTA)Datos_consumo_datadis'!A8634&lt;&gt;"""",SPLIT('(INGESTA)Datos_consumo_datadis'!A:A,"",""),"""")"),"ES0031408323131005HX0F")</f>
        <v>ES0031408323131005HX0F</v>
      </c>
      <c r="B8634" s="17">
        <f>IFERROR(__xludf.DUMMYFUNCTION("""COMPUTED_VALUE"""),45225.0)</f>
        <v>45225</v>
      </c>
      <c r="C8634" s="13">
        <f>IFERROR(__xludf.DUMMYFUNCTION("""COMPUTED_VALUE"""),0.75)</f>
        <v>0.75</v>
      </c>
      <c r="D8634" s="8">
        <f>IFERROR(__xludf.DUMMYFUNCTION("""COMPUTED_VALUE"""),0.117)</f>
        <v>0.117</v>
      </c>
      <c r="E8634" s="8" t="str">
        <f>IFERROR(__xludf.DUMMYFUNCTION("""COMPUTED_VALUE"""),"Real")</f>
        <v>Real</v>
      </c>
      <c r="G8634" s="8">
        <f t="shared" si="1"/>
        <v>10</v>
      </c>
      <c r="H8634" s="14">
        <f t="shared" si="2"/>
        <v>26</v>
      </c>
      <c r="I8634" s="15">
        <f t="shared" si="3"/>
        <v>18</v>
      </c>
    </row>
    <row r="8635">
      <c r="A8635" s="8" t="str">
        <f>IFERROR(__xludf.DUMMYFUNCTION("IF('(INGESTA)Datos_consumo_datadis'!A8635&lt;&gt;"""",SPLIT('(INGESTA)Datos_consumo_datadis'!A:A,"",""),"""")"),"ES0031408323131005HX0F")</f>
        <v>ES0031408323131005HX0F</v>
      </c>
      <c r="B8635" s="17">
        <f>IFERROR(__xludf.DUMMYFUNCTION("""COMPUTED_VALUE"""),45225.0)</f>
        <v>45225</v>
      </c>
      <c r="C8635" s="13">
        <f>IFERROR(__xludf.DUMMYFUNCTION("""COMPUTED_VALUE"""),0.7916666666666666)</f>
        <v>0.7916666667</v>
      </c>
      <c r="D8635" s="8">
        <f>IFERROR(__xludf.DUMMYFUNCTION("""COMPUTED_VALUE"""),0.024)</f>
        <v>0.024</v>
      </c>
      <c r="E8635" s="8" t="str">
        <f>IFERROR(__xludf.DUMMYFUNCTION("""COMPUTED_VALUE"""),"Real")</f>
        <v>Real</v>
      </c>
      <c r="G8635" s="8">
        <f t="shared" si="1"/>
        <v>10</v>
      </c>
      <c r="H8635" s="14">
        <f t="shared" si="2"/>
        <v>26</v>
      </c>
      <c r="I8635" s="15">
        <f t="shared" si="3"/>
        <v>19</v>
      </c>
    </row>
    <row r="8636">
      <c r="A8636" s="8" t="str">
        <f>IFERROR(__xludf.DUMMYFUNCTION("IF('(INGESTA)Datos_consumo_datadis'!A8636&lt;&gt;"""",SPLIT('(INGESTA)Datos_consumo_datadis'!A:A,"",""),"""")"),"ES0031408323131005HX0F")</f>
        <v>ES0031408323131005HX0F</v>
      </c>
      <c r="B8636" s="17">
        <f>IFERROR(__xludf.DUMMYFUNCTION("""COMPUTED_VALUE"""),45225.0)</f>
        <v>45225</v>
      </c>
      <c r="C8636" s="13">
        <f>IFERROR(__xludf.DUMMYFUNCTION("""COMPUTED_VALUE"""),0.8333333333333334)</f>
        <v>0.8333333333</v>
      </c>
      <c r="D8636" s="8">
        <f>IFERROR(__xludf.DUMMYFUNCTION("""COMPUTED_VALUE"""),0.21)</f>
        <v>0.21</v>
      </c>
      <c r="E8636" s="8" t="str">
        <f>IFERROR(__xludf.DUMMYFUNCTION("""COMPUTED_VALUE"""),"Real")</f>
        <v>Real</v>
      </c>
      <c r="G8636" s="8">
        <f t="shared" si="1"/>
        <v>10</v>
      </c>
      <c r="H8636" s="14">
        <f t="shared" si="2"/>
        <v>26</v>
      </c>
      <c r="I8636" s="15">
        <f t="shared" si="3"/>
        <v>20</v>
      </c>
    </row>
    <row r="8637">
      <c r="A8637" s="8" t="str">
        <f>IFERROR(__xludf.DUMMYFUNCTION("IF('(INGESTA)Datos_consumo_datadis'!A8637&lt;&gt;"""",SPLIT('(INGESTA)Datos_consumo_datadis'!A:A,"",""),"""")"),"ES0031408323131005HX0F")</f>
        <v>ES0031408323131005HX0F</v>
      </c>
      <c r="B8637" s="17">
        <f>IFERROR(__xludf.DUMMYFUNCTION("""COMPUTED_VALUE"""),45225.0)</f>
        <v>45225</v>
      </c>
      <c r="C8637" s="13">
        <f>IFERROR(__xludf.DUMMYFUNCTION("""COMPUTED_VALUE"""),0.875)</f>
        <v>0.875</v>
      </c>
      <c r="D8637" s="8">
        <f>IFERROR(__xludf.DUMMYFUNCTION("""COMPUTED_VALUE"""),1.078)</f>
        <v>1.078</v>
      </c>
      <c r="E8637" s="8" t="str">
        <f>IFERROR(__xludf.DUMMYFUNCTION("""COMPUTED_VALUE"""),"Real")</f>
        <v>Real</v>
      </c>
      <c r="G8637" s="8">
        <f t="shared" si="1"/>
        <v>10</v>
      </c>
      <c r="H8637" s="14">
        <f t="shared" si="2"/>
        <v>26</v>
      </c>
      <c r="I8637" s="15">
        <f t="shared" si="3"/>
        <v>21</v>
      </c>
    </row>
    <row r="8638">
      <c r="A8638" s="8" t="str">
        <f>IFERROR(__xludf.DUMMYFUNCTION("IF('(INGESTA)Datos_consumo_datadis'!A8638&lt;&gt;"""",SPLIT('(INGESTA)Datos_consumo_datadis'!A:A,"",""),"""")"),"ES0031408323131005HX0F")</f>
        <v>ES0031408323131005HX0F</v>
      </c>
      <c r="B8638" s="17">
        <f>IFERROR(__xludf.DUMMYFUNCTION("""COMPUTED_VALUE"""),45225.0)</f>
        <v>45225</v>
      </c>
      <c r="C8638" s="13">
        <f>IFERROR(__xludf.DUMMYFUNCTION("""COMPUTED_VALUE"""),0.9166666666666666)</f>
        <v>0.9166666667</v>
      </c>
      <c r="D8638" s="8">
        <f>IFERROR(__xludf.DUMMYFUNCTION("""COMPUTED_VALUE"""),0.107)</f>
        <v>0.107</v>
      </c>
      <c r="E8638" s="8" t="str">
        <f>IFERROR(__xludf.DUMMYFUNCTION("""COMPUTED_VALUE"""),"Real")</f>
        <v>Real</v>
      </c>
      <c r="G8638" s="8">
        <f t="shared" si="1"/>
        <v>10</v>
      </c>
      <c r="H8638" s="14">
        <f t="shared" si="2"/>
        <v>26</v>
      </c>
      <c r="I8638" s="15">
        <f t="shared" si="3"/>
        <v>22</v>
      </c>
    </row>
    <row r="8639">
      <c r="A8639" s="8" t="str">
        <f>IFERROR(__xludf.DUMMYFUNCTION("IF('(INGESTA)Datos_consumo_datadis'!A8639&lt;&gt;"""",SPLIT('(INGESTA)Datos_consumo_datadis'!A:A,"",""),"""")"),"ES0031408323131005HX0F")</f>
        <v>ES0031408323131005HX0F</v>
      </c>
      <c r="B8639" s="17">
        <f>IFERROR(__xludf.DUMMYFUNCTION("""COMPUTED_VALUE"""),45225.0)</f>
        <v>45225</v>
      </c>
      <c r="C8639" s="13">
        <f>IFERROR(__xludf.DUMMYFUNCTION("""COMPUTED_VALUE"""),0.9583333333333334)</f>
        <v>0.9583333333</v>
      </c>
      <c r="D8639" s="8">
        <f>IFERROR(__xludf.DUMMYFUNCTION("""COMPUTED_VALUE"""),0.106)</f>
        <v>0.106</v>
      </c>
      <c r="E8639" s="8" t="str">
        <f>IFERROR(__xludf.DUMMYFUNCTION("""COMPUTED_VALUE"""),"Real")</f>
        <v>Real</v>
      </c>
      <c r="G8639" s="8">
        <f t="shared" si="1"/>
        <v>10</v>
      </c>
      <c r="H8639" s="14">
        <f t="shared" si="2"/>
        <v>26</v>
      </c>
      <c r="I8639" s="15">
        <f t="shared" si="3"/>
        <v>23</v>
      </c>
    </row>
    <row r="8640">
      <c r="A8640" s="8" t="str">
        <f>IFERROR(__xludf.DUMMYFUNCTION("IF('(INGESTA)Datos_consumo_datadis'!A8640&lt;&gt;"""",SPLIT('(INGESTA)Datos_consumo_datadis'!A:A,"",""),"""")"),"ES0031408323131005HX0F")</f>
        <v>ES0031408323131005HX0F</v>
      </c>
      <c r="B8640" s="17">
        <f>IFERROR(__xludf.DUMMYFUNCTION("""COMPUTED_VALUE"""),45225.0)</f>
        <v>45225</v>
      </c>
      <c r="C8640" s="16">
        <f>IFERROR(__xludf.DUMMYFUNCTION("""COMPUTED_VALUE"""),1.0)</f>
        <v>1</v>
      </c>
      <c r="D8640" s="8">
        <f>IFERROR(__xludf.DUMMYFUNCTION("""COMPUTED_VALUE"""),0.123)</f>
        <v>0.123</v>
      </c>
      <c r="E8640" s="8" t="str">
        <f>IFERROR(__xludf.DUMMYFUNCTION("""COMPUTED_VALUE"""),"Real")</f>
        <v>Real</v>
      </c>
      <c r="G8640" s="8">
        <f t="shared" si="1"/>
        <v>10</v>
      </c>
      <c r="H8640" s="14">
        <f t="shared" si="2"/>
        <v>26</v>
      </c>
      <c r="I8640" s="15">
        <f t="shared" si="3"/>
        <v>0</v>
      </c>
    </row>
    <row r="8641">
      <c r="A8641" s="8" t="str">
        <f>IFERROR(__xludf.DUMMYFUNCTION("IF('(INGESTA)Datos_consumo_datadis'!A8641&lt;&gt;"""",SPLIT('(INGESTA)Datos_consumo_datadis'!A:A,"",""),"""")"),"ES0031408323131005HX0F")</f>
        <v>ES0031408323131005HX0F</v>
      </c>
      <c r="B8641" s="17">
        <f>IFERROR(__xludf.DUMMYFUNCTION("""COMPUTED_VALUE"""),45226.0)</f>
        <v>45226</v>
      </c>
      <c r="C8641" s="13">
        <f>IFERROR(__xludf.DUMMYFUNCTION("""COMPUTED_VALUE"""),0.041666666666666664)</f>
        <v>0.04166666667</v>
      </c>
      <c r="D8641" s="8">
        <f>IFERROR(__xludf.DUMMYFUNCTION("""COMPUTED_VALUE"""),0.14)</f>
        <v>0.14</v>
      </c>
      <c r="E8641" s="8" t="str">
        <f>IFERROR(__xludf.DUMMYFUNCTION("""COMPUTED_VALUE"""),"Real")</f>
        <v>Real</v>
      </c>
      <c r="G8641" s="8">
        <f t="shared" si="1"/>
        <v>10</v>
      </c>
      <c r="H8641" s="14">
        <f t="shared" si="2"/>
        <v>27</v>
      </c>
      <c r="I8641" s="15">
        <f t="shared" si="3"/>
        <v>1</v>
      </c>
    </row>
    <row r="8642">
      <c r="A8642" s="8" t="str">
        <f>IFERROR(__xludf.DUMMYFUNCTION("IF('(INGESTA)Datos_consumo_datadis'!A8642&lt;&gt;"""",SPLIT('(INGESTA)Datos_consumo_datadis'!A:A,"",""),"""")"),"ES0031408323131005HX0F")</f>
        <v>ES0031408323131005HX0F</v>
      </c>
      <c r="B8642" s="17">
        <f>IFERROR(__xludf.DUMMYFUNCTION("""COMPUTED_VALUE"""),45226.0)</f>
        <v>45226</v>
      </c>
      <c r="C8642" s="13">
        <f>IFERROR(__xludf.DUMMYFUNCTION("""COMPUTED_VALUE"""),0.08333333333333333)</f>
        <v>0.08333333333</v>
      </c>
      <c r="D8642" s="8">
        <f>IFERROR(__xludf.DUMMYFUNCTION("""COMPUTED_VALUE"""),0.387)</f>
        <v>0.387</v>
      </c>
      <c r="E8642" s="8" t="str">
        <f>IFERROR(__xludf.DUMMYFUNCTION("""COMPUTED_VALUE"""),"Real")</f>
        <v>Real</v>
      </c>
      <c r="G8642" s="8">
        <f t="shared" si="1"/>
        <v>10</v>
      </c>
      <c r="H8642" s="14">
        <f t="shared" si="2"/>
        <v>27</v>
      </c>
      <c r="I8642" s="15">
        <f t="shared" si="3"/>
        <v>2</v>
      </c>
    </row>
    <row r="8643">
      <c r="A8643" s="8" t="str">
        <f>IFERROR(__xludf.DUMMYFUNCTION("IF('(INGESTA)Datos_consumo_datadis'!A8643&lt;&gt;"""",SPLIT('(INGESTA)Datos_consumo_datadis'!A:A,"",""),"""")"),"ES0031408323131005HX0F")</f>
        <v>ES0031408323131005HX0F</v>
      </c>
      <c r="B8643" s="17">
        <f>IFERROR(__xludf.DUMMYFUNCTION("""COMPUTED_VALUE"""),45226.0)</f>
        <v>45226</v>
      </c>
      <c r="C8643" s="13">
        <f>IFERROR(__xludf.DUMMYFUNCTION("""COMPUTED_VALUE"""),0.125)</f>
        <v>0.125</v>
      </c>
      <c r="D8643" s="8">
        <f>IFERROR(__xludf.DUMMYFUNCTION("""COMPUTED_VALUE"""),0.132)</f>
        <v>0.132</v>
      </c>
      <c r="E8643" s="8" t="str">
        <f>IFERROR(__xludf.DUMMYFUNCTION("""COMPUTED_VALUE"""),"Real")</f>
        <v>Real</v>
      </c>
      <c r="G8643" s="8">
        <f t="shared" si="1"/>
        <v>10</v>
      </c>
      <c r="H8643" s="14">
        <f t="shared" si="2"/>
        <v>27</v>
      </c>
      <c r="I8643" s="15">
        <f t="shared" si="3"/>
        <v>3</v>
      </c>
    </row>
    <row r="8644">
      <c r="A8644" s="8" t="str">
        <f>IFERROR(__xludf.DUMMYFUNCTION("IF('(INGESTA)Datos_consumo_datadis'!A8644&lt;&gt;"""",SPLIT('(INGESTA)Datos_consumo_datadis'!A:A,"",""),"""")"),"ES0031408323131005HX0F")</f>
        <v>ES0031408323131005HX0F</v>
      </c>
      <c r="B8644" s="17">
        <f>IFERROR(__xludf.DUMMYFUNCTION("""COMPUTED_VALUE"""),45226.0)</f>
        <v>45226</v>
      </c>
      <c r="C8644" s="13">
        <f>IFERROR(__xludf.DUMMYFUNCTION("""COMPUTED_VALUE"""),0.16666666666666666)</f>
        <v>0.1666666667</v>
      </c>
      <c r="D8644" s="8">
        <f>IFERROR(__xludf.DUMMYFUNCTION("""COMPUTED_VALUE"""),0.115)</f>
        <v>0.115</v>
      </c>
      <c r="E8644" s="8" t="str">
        <f>IFERROR(__xludf.DUMMYFUNCTION("""COMPUTED_VALUE"""),"Real")</f>
        <v>Real</v>
      </c>
      <c r="G8644" s="8">
        <f t="shared" si="1"/>
        <v>10</v>
      </c>
      <c r="H8644" s="14">
        <f t="shared" si="2"/>
        <v>27</v>
      </c>
      <c r="I8644" s="15">
        <f t="shared" si="3"/>
        <v>4</v>
      </c>
    </row>
    <row r="8645">
      <c r="A8645" s="8" t="str">
        <f>IFERROR(__xludf.DUMMYFUNCTION("IF('(INGESTA)Datos_consumo_datadis'!A8645&lt;&gt;"""",SPLIT('(INGESTA)Datos_consumo_datadis'!A:A,"",""),"""")"),"ES0031408323131005HX0F")</f>
        <v>ES0031408323131005HX0F</v>
      </c>
      <c r="B8645" s="17">
        <f>IFERROR(__xludf.DUMMYFUNCTION("""COMPUTED_VALUE"""),45226.0)</f>
        <v>45226</v>
      </c>
      <c r="C8645" s="13">
        <f>IFERROR(__xludf.DUMMYFUNCTION("""COMPUTED_VALUE"""),0.20833333333333334)</f>
        <v>0.2083333333</v>
      </c>
      <c r="D8645" s="8">
        <f>IFERROR(__xludf.DUMMYFUNCTION("""COMPUTED_VALUE"""),0.014)</f>
        <v>0.014</v>
      </c>
      <c r="E8645" s="8" t="str">
        <f>IFERROR(__xludf.DUMMYFUNCTION("""COMPUTED_VALUE"""),"Real")</f>
        <v>Real</v>
      </c>
      <c r="G8645" s="8">
        <f t="shared" si="1"/>
        <v>10</v>
      </c>
      <c r="H8645" s="14">
        <f t="shared" si="2"/>
        <v>27</v>
      </c>
      <c r="I8645" s="15">
        <f t="shared" si="3"/>
        <v>5</v>
      </c>
    </row>
    <row r="8646">
      <c r="A8646" s="8" t="str">
        <f>IFERROR(__xludf.DUMMYFUNCTION("IF('(INGESTA)Datos_consumo_datadis'!A8646&lt;&gt;"""",SPLIT('(INGESTA)Datos_consumo_datadis'!A:A,"",""),"""")"),"ES0031408323131005HX0F")</f>
        <v>ES0031408323131005HX0F</v>
      </c>
      <c r="B8646" s="17">
        <f>IFERROR(__xludf.DUMMYFUNCTION("""COMPUTED_VALUE"""),45226.0)</f>
        <v>45226</v>
      </c>
      <c r="C8646" s="13">
        <f>IFERROR(__xludf.DUMMYFUNCTION("""COMPUTED_VALUE"""),0.25)</f>
        <v>0.25</v>
      </c>
      <c r="D8646" s="8">
        <f>IFERROR(__xludf.DUMMYFUNCTION("""COMPUTED_VALUE"""),0.085)</f>
        <v>0.085</v>
      </c>
      <c r="E8646" s="8" t="str">
        <f>IFERROR(__xludf.DUMMYFUNCTION("""COMPUTED_VALUE"""),"Real")</f>
        <v>Real</v>
      </c>
      <c r="G8646" s="8">
        <f t="shared" si="1"/>
        <v>10</v>
      </c>
      <c r="H8646" s="14">
        <f t="shared" si="2"/>
        <v>27</v>
      </c>
      <c r="I8646" s="15">
        <f t="shared" si="3"/>
        <v>6</v>
      </c>
    </row>
    <row r="8647">
      <c r="A8647" s="8" t="str">
        <f>IFERROR(__xludf.DUMMYFUNCTION("IF('(INGESTA)Datos_consumo_datadis'!A8647&lt;&gt;"""",SPLIT('(INGESTA)Datos_consumo_datadis'!A:A,"",""),"""")"),"ES0031408323131005HX0F")</f>
        <v>ES0031408323131005HX0F</v>
      </c>
      <c r="B8647" s="17">
        <f>IFERROR(__xludf.DUMMYFUNCTION("""COMPUTED_VALUE"""),45226.0)</f>
        <v>45226</v>
      </c>
      <c r="C8647" s="13">
        <f>IFERROR(__xludf.DUMMYFUNCTION("""COMPUTED_VALUE"""),0.2916666666666667)</f>
        <v>0.2916666667</v>
      </c>
      <c r="D8647" s="8">
        <f>IFERROR(__xludf.DUMMYFUNCTION("""COMPUTED_VALUE"""),0.067)</f>
        <v>0.067</v>
      </c>
      <c r="E8647" s="8" t="str">
        <f>IFERROR(__xludf.DUMMYFUNCTION("""COMPUTED_VALUE"""),"Real")</f>
        <v>Real</v>
      </c>
      <c r="G8647" s="8">
        <f t="shared" si="1"/>
        <v>10</v>
      </c>
      <c r="H8647" s="14">
        <f t="shared" si="2"/>
        <v>27</v>
      </c>
      <c r="I8647" s="15">
        <f t="shared" si="3"/>
        <v>7</v>
      </c>
    </row>
    <row r="8648">
      <c r="A8648" s="8" t="str">
        <f>IFERROR(__xludf.DUMMYFUNCTION("IF('(INGESTA)Datos_consumo_datadis'!A8648&lt;&gt;"""",SPLIT('(INGESTA)Datos_consumo_datadis'!A:A,"",""),"""")"),"ES0031408323131005HX0F")</f>
        <v>ES0031408323131005HX0F</v>
      </c>
      <c r="B8648" s="17">
        <f>IFERROR(__xludf.DUMMYFUNCTION("""COMPUTED_VALUE"""),45226.0)</f>
        <v>45226</v>
      </c>
      <c r="C8648" s="13">
        <f>IFERROR(__xludf.DUMMYFUNCTION("""COMPUTED_VALUE"""),0.3333333333333333)</f>
        <v>0.3333333333</v>
      </c>
      <c r="D8648" s="8">
        <f>IFERROR(__xludf.DUMMYFUNCTION("""COMPUTED_VALUE"""),0.067)</f>
        <v>0.067</v>
      </c>
      <c r="E8648" s="8" t="str">
        <f>IFERROR(__xludf.DUMMYFUNCTION("""COMPUTED_VALUE"""),"Real")</f>
        <v>Real</v>
      </c>
      <c r="G8648" s="8">
        <f t="shared" si="1"/>
        <v>10</v>
      </c>
      <c r="H8648" s="14">
        <f t="shared" si="2"/>
        <v>27</v>
      </c>
      <c r="I8648" s="15">
        <f t="shared" si="3"/>
        <v>8</v>
      </c>
    </row>
    <row r="8649">
      <c r="A8649" s="8" t="str">
        <f>IFERROR(__xludf.DUMMYFUNCTION("IF('(INGESTA)Datos_consumo_datadis'!A8649&lt;&gt;"""",SPLIT('(INGESTA)Datos_consumo_datadis'!A:A,"",""),"""")"),"ES0031408323131005HX0F")</f>
        <v>ES0031408323131005HX0F</v>
      </c>
      <c r="B8649" s="17">
        <f>IFERROR(__xludf.DUMMYFUNCTION("""COMPUTED_VALUE"""),45226.0)</f>
        <v>45226</v>
      </c>
      <c r="C8649" s="13">
        <f>IFERROR(__xludf.DUMMYFUNCTION("""COMPUTED_VALUE"""),0.375)</f>
        <v>0.375</v>
      </c>
      <c r="D8649" s="8">
        <f>IFERROR(__xludf.DUMMYFUNCTION("""COMPUTED_VALUE"""),0.343)</f>
        <v>0.343</v>
      </c>
      <c r="E8649" s="8" t="str">
        <f>IFERROR(__xludf.DUMMYFUNCTION("""COMPUTED_VALUE"""),"Real")</f>
        <v>Real</v>
      </c>
      <c r="G8649" s="8">
        <f t="shared" si="1"/>
        <v>10</v>
      </c>
      <c r="H8649" s="14">
        <f t="shared" si="2"/>
        <v>27</v>
      </c>
      <c r="I8649" s="15">
        <f t="shared" si="3"/>
        <v>9</v>
      </c>
    </row>
    <row r="8650">
      <c r="A8650" s="8" t="str">
        <f>IFERROR(__xludf.DUMMYFUNCTION("IF('(INGESTA)Datos_consumo_datadis'!A8650&lt;&gt;"""",SPLIT('(INGESTA)Datos_consumo_datadis'!A:A,"",""),"""")"),"ES0031408323131005HX0F")</f>
        <v>ES0031408323131005HX0F</v>
      </c>
      <c r="B8650" s="17">
        <f>IFERROR(__xludf.DUMMYFUNCTION("""COMPUTED_VALUE"""),45226.0)</f>
        <v>45226</v>
      </c>
      <c r="C8650" s="13">
        <f>IFERROR(__xludf.DUMMYFUNCTION("""COMPUTED_VALUE"""),0.4166666666666667)</f>
        <v>0.4166666667</v>
      </c>
      <c r="D8650" s="8">
        <f>IFERROR(__xludf.DUMMYFUNCTION("""COMPUTED_VALUE"""),0.091)</f>
        <v>0.091</v>
      </c>
      <c r="E8650" s="8" t="str">
        <f>IFERROR(__xludf.DUMMYFUNCTION("""COMPUTED_VALUE"""),"Real")</f>
        <v>Real</v>
      </c>
      <c r="G8650" s="8">
        <f t="shared" si="1"/>
        <v>10</v>
      </c>
      <c r="H8650" s="14">
        <f t="shared" si="2"/>
        <v>27</v>
      </c>
      <c r="I8650" s="15">
        <f t="shared" si="3"/>
        <v>10</v>
      </c>
    </row>
    <row r="8651">
      <c r="A8651" s="8" t="str">
        <f>IFERROR(__xludf.DUMMYFUNCTION("IF('(INGESTA)Datos_consumo_datadis'!A8651&lt;&gt;"""",SPLIT('(INGESTA)Datos_consumo_datadis'!A:A,"",""),"""")"),"ES0031408323131005HX0F")</f>
        <v>ES0031408323131005HX0F</v>
      </c>
      <c r="B8651" s="17">
        <f>IFERROR(__xludf.DUMMYFUNCTION("""COMPUTED_VALUE"""),45226.0)</f>
        <v>45226</v>
      </c>
      <c r="C8651" s="13">
        <f>IFERROR(__xludf.DUMMYFUNCTION("""COMPUTED_VALUE"""),0.4583333333333333)</f>
        <v>0.4583333333</v>
      </c>
      <c r="D8651" s="8">
        <f>IFERROR(__xludf.DUMMYFUNCTION("""COMPUTED_VALUE"""),0.068)</f>
        <v>0.068</v>
      </c>
      <c r="E8651" s="8" t="str">
        <f>IFERROR(__xludf.DUMMYFUNCTION("""COMPUTED_VALUE"""),"Real")</f>
        <v>Real</v>
      </c>
      <c r="G8651" s="8">
        <f t="shared" si="1"/>
        <v>10</v>
      </c>
      <c r="H8651" s="14">
        <f t="shared" si="2"/>
        <v>27</v>
      </c>
      <c r="I8651" s="15">
        <f t="shared" si="3"/>
        <v>11</v>
      </c>
    </row>
    <row r="8652">
      <c r="A8652" s="8" t="str">
        <f>IFERROR(__xludf.DUMMYFUNCTION("IF('(INGESTA)Datos_consumo_datadis'!A8652&lt;&gt;"""",SPLIT('(INGESTA)Datos_consumo_datadis'!A:A,"",""),"""")"),"ES0031408323131005HX0F")</f>
        <v>ES0031408323131005HX0F</v>
      </c>
      <c r="B8652" s="17">
        <f>IFERROR(__xludf.DUMMYFUNCTION("""COMPUTED_VALUE"""),45226.0)</f>
        <v>45226</v>
      </c>
      <c r="C8652" s="13">
        <f>IFERROR(__xludf.DUMMYFUNCTION("""COMPUTED_VALUE"""),0.5)</f>
        <v>0.5</v>
      </c>
      <c r="D8652" s="8">
        <f>IFERROR(__xludf.DUMMYFUNCTION("""COMPUTED_VALUE"""),0.02)</f>
        <v>0.02</v>
      </c>
      <c r="E8652" s="8" t="str">
        <f>IFERROR(__xludf.DUMMYFUNCTION("""COMPUTED_VALUE"""),"Real")</f>
        <v>Real</v>
      </c>
      <c r="G8652" s="8">
        <f t="shared" si="1"/>
        <v>10</v>
      </c>
      <c r="H8652" s="14">
        <f t="shared" si="2"/>
        <v>27</v>
      </c>
      <c r="I8652" s="15">
        <f t="shared" si="3"/>
        <v>12</v>
      </c>
    </row>
    <row r="8653">
      <c r="A8653" s="8" t="str">
        <f>IFERROR(__xludf.DUMMYFUNCTION("IF('(INGESTA)Datos_consumo_datadis'!A8653&lt;&gt;"""",SPLIT('(INGESTA)Datos_consumo_datadis'!A:A,"",""),"""")"),"ES0031408323131005HX0F")</f>
        <v>ES0031408323131005HX0F</v>
      </c>
      <c r="B8653" s="17">
        <f>IFERROR(__xludf.DUMMYFUNCTION("""COMPUTED_VALUE"""),45226.0)</f>
        <v>45226</v>
      </c>
      <c r="C8653" s="13">
        <f>IFERROR(__xludf.DUMMYFUNCTION("""COMPUTED_VALUE"""),0.5416666666666666)</f>
        <v>0.5416666667</v>
      </c>
      <c r="D8653" s="8">
        <f>IFERROR(__xludf.DUMMYFUNCTION("""COMPUTED_VALUE"""),0.106)</f>
        <v>0.106</v>
      </c>
      <c r="E8653" s="8" t="str">
        <f>IFERROR(__xludf.DUMMYFUNCTION("""COMPUTED_VALUE"""),"Real")</f>
        <v>Real</v>
      </c>
      <c r="G8653" s="8">
        <f t="shared" si="1"/>
        <v>10</v>
      </c>
      <c r="H8653" s="14">
        <f t="shared" si="2"/>
        <v>27</v>
      </c>
      <c r="I8653" s="15">
        <f t="shared" si="3"/>
        <v>13</v>
      </c>
    </row>
    <row r="8654">
      <c r="A8654" s="8" t="str">
        <f>IFERROR(__xludf.DUMMYFUNCTION("IF('(INGESTA)Datos_consumo_datadis'!A8654&lt;&gt;"""",SPLIT('(INGESTA)Datos_consumo_datadis'!A:A,"",""),"""")"),"ES0031408323131005HX0F")</f>
        <v>ES0031408323131005HX0F</v>
      </c>
      <c r="B8654" s="17">
        <f>IFERROR(__xludf.DUMMYFUNCTION("""COMPUTED_VALUE"""),45226.0)</f>
        <v>45226</v>
      </c>
      <c r="C8654" s="13">
        <f>IFERROR(__xludf.DUMMYFUNCTION("""COMPUTED_VALUE"""),0.5833333333333334)</f>
        <v>0.5833333333</v>
      </c>
      <c r="D8654" s="8">
        <f>IFERROR(__xludf.DUMMYFUNCTION("""COMPUTED_VALUE"""),0.096)</f>
        <v>0.096</v>
      </c>
      <c r="E8654" s="8" t="str">
        <f>IFERROR(__xludf.DUMMYFUNCTION("""COMPUTED_VALUE"""),"Real")</f>
        <v>Real</v>
      </c>
      <c r="G8654" s="8">
        <f t="shared" si="1"/>
        <v>10</v>
      </c>
      <c r="H8654" s="14">
        <f t="shared" si="2"/>
        <v>27</v>
      </c>
      <c r="I8654" s="15">
        <f t="shared" si="3"/>
        <v>14</v>
      </c>
    </row>
    <row r="8655">
      <c r="A8655" s="8" t="str">
        <f>IFERROR(__xludf.DUMMYFUNCTION("IF('(INGESTA)Datos_consumo_datadis'!A8655&lt;&gt;"""",SPLIT('(INGESTA)Datos_consumo_datadis'!A:A,"",""),"""")"),"ES0031408323131005HX0F")</f>
        <v>ES0031408323131005HX0F</v>
      </c>
      <c r="B8655" s="17">
        <f>IFERROR(__xludf.DUMMYFUNCTION("""COMPUTED_VALUE"""),45226.0)</f>
        <v>45226</v>
      </c>
      <c r="C8655" s="13">
        <f>IFERROR(__xludf.DUMMYFUNCTION("""COMPUTED_VALUE"""),0.625)</f>
        <v>0.625</v>
      </c>
      <c r="D8655" s="8">
        <f>IFERROR(__xludf.DUMMYFUNCTION("""COMPUTED_VALUE"""),0.067)</f>
        <v>0.067</v>
      </c>
      <c r="E8655" s="8" t="str">
        <f>IFERROR(__xludf.DUMMYFUNCTION("""COMPUTED_VALUE"""),"Real")</f>
        <v>Real</v>
      </c>
      <c r="G8655" s="8">
        <f t="shared" si="1"/>
        <v>10</v>
      </c>
      <c r="H8655" s="14">
        <f t="shared" si="2"/>
        <v>27</v>
      </c>
      <c r="I8655" s="15">
        <f t="shared" si="3"/>
        <v>15</v>
      </c>
    </row>
    <row r="8656">
      <c r="A8656" s="8" t="str">
        <f>IFERROR(__xludf.DUMMYFUNCTION("IF('(INGESTA)Datos_consumo_datadis'!A8656&lt;&gt;"""",SPLIT('(INGESTA)Datos_consumo_datadis'!A:A,"",""),"""")"),"ES0031408323131005HX0F")</f>
        <v>ES0031408323131005HX0F</v>
      </c>
      <c r="B8656" s="17">
        <f>IFERROR(__xludf.DUMMYFUNCTION("""COMPUTED_VALUE"""),45226.0)</f>
        <v>45226</v>
      </c>
      <c r="C8656" s="13">
        <f>IFERROR(__xludf.DUMMYFUNCTION("""COMPUTED_VALUE"""),0.6666666666666666)</f>
        <v>0.6666666667</v>
      </c>
      <c r="D8656" s="8">
        <f>IFERROR(__xludf.DUMMYFUNCTION("""COMPUTED_VALUE"""),0.024)</f>
        <v>0.024</v>
      </c>
      <c r="E8656" s="8" t="str">
        <f>IFERROR(__xludf.DUMMYFUNCTION("""COMPUTED_VALUE"""),"Real")</f>
        <v>Real</v>
      </c>
      <c r="G8656" s="8">
        <f t="shared" si="1"/>
        <v>10</v>
      </c>
      <c r="H8656" s="14">
        <f t="shared" si="2"/>
        <v>27</v>
      </c>
      <c r="I8656" s="15">
        <f t="shared" si="3"/>
        <v>16</v>
      </c>
    </row>
    <row r="8657">
      <c r="A8657" s="8" t="str">
        <f>IFERROR(__xludf.DUMMYFUNCTION("IF('(INGESTA)Datos_consumo_datadis'!A8657&lt;&gt;"""",SPLIT('(INGESTA)Datos_consumo_datadis'!A:A,"",""),"""")"),"ES0031408323131005HX0F")</f>
        <v>ES0031408323131005HX0F</v>
      </c>
      <c r="B8657" s="17">
        <f>IFERROR(__xludf.DUMMYFUNCTION("""COMPUTED_VALUE"""),45226.0)</f>
        <v>45226</v>
      </c>
      <c r="C8657" s="13">
        <f>IFERROR(__xludf.DUMMYFUNCTION("""COMPUTED_VALUE"""),0.7083333333333334)</f>
        <v>0.7083333333</v>
      </c>
      <c r="D8657" s="8">
        <f>IFERROR(__xludf.DUMMYFUNCTION("""COMPUTED_VALUE"""),0.394)</f>
        <v>0.394</v>
      </c>
      <c r="E8657" s="8" t="str">
        <f>IFERROR(__xludf.DUMMYFUNCTION("""COMPUTED_VALUE"""),"Real")</f>
        <v>Real</v>
      </c>
      <c r="G8657" s="8">
        <f t="shared" si="1"/>
        <v>10</v>
      </c>
      <c r="H8657" s="14">
        <f t="shared" si="2"/>
        <v>27</v>
      </c>
      <c r="I8657" s="15">
        <f t="shared" si="3"/>
        <v>17</v>
      </c>
    </row>
    <row r="8658">
      <c r="A8658" s="8" t="str">
        <f>IFERROR(__xludf.DUMMYFUNCTION("IF('(INGESTA)Datos_consumo_datadis'!A8658&lt;&gt;"""",SPLIT('(INGESTA)Datos_consumo_datadis'!A:A,"",""),"""")"),"ES0031408323131005HX0F")</f>
        <v>ES0031408323131005HX0F</v>
      </c>
      <c r="B8658" s="17">
        <f>IFERROR(__xludf.DUMMYFUNCTION("""COMPUTED_VALUE"""),45226.0)</f>
        <v>45226</v>
      </c>
      <c r="C8658" s="13">
        <f>IFERROR(__xludf.DUMMYFUNCTION("""COMPUTED_VALUE"""),0.75)</f>
        <v>0.75</v>
      </c>
      <c r="D8658" s="8">
        <f>IFERROR(__xludf.DUMMYFUNCTION("""COMPUTED_VALUE"""),0.248)</f>
        <v>0.248</v>
      </c>
      <c r="E8658" s="8" t="str">
        <f>IFERROR(__xludf.DUMMYFUNCTION("""COMPUTED_VALUE"""),"Real")</f>
        <v>Real</v>
      </c>
      <c r="G8658" s="8">
        <f t="shared" si="1"/>
        <v>10</v>
      </c>
      <c r="H8658" s="14">
        <f t="shared" si="2"/>
        <v>27</v>
      </c>
      <c r="I8658" s="15">
        <f t="shared" si="3"/>
        <v>18</v>
      </c>
    </row>
    <row r="8659">
      <c r="A8659" s="8" t="str">
        <f>IFERROR(__xludf.DUMMYFUNCTION("IF('(INGESTA)Datos_consumo_datadis'!A8659&lt;&gt;"""",SPLIT('(INGESTA)Datos_consumo_datadis'!A:A,"",""),"""")"),"ES0031408323131005HX0F")</f>
        <v>ES0031408323131005HX0F</v>
      </c>
      <c r="B8659" s="17">
        <f>IFERROR(__xludf.DUMMYFUNCTION("""COMPUTED_VALUE"""),45226.0)</f>
        <v>45226</v>
      </c>
      <c r="C8659" s="13">
        <f>IFERROR(__xludf.DUMMYFUNCTION("""COMPUTED_VALUE"""),0.7916666666666666)</f>
        <v>0.7916666667</v>
      </c>
      <c r="D8659" s="8">
        <f>IFERROR(__xludf.DUMMYFUNCTION("""COMPUTED_VALUE"""),0.337)</f>
        <v>0.337</v>
      </c>
      <c r="E8659" s="8" t="str">
        <f>IFERROR(__xludf.DUMMYFUNCTION("""COMPUTED_VALUE"""),"Real")</f>
        <v>Real</v>
      </c>
      <c r="G8659" s="8">
        <f t="shared" si="1"/>
        <v>10</v>
      </c>
      <c r="H8659" s="14">
        <f t="shared" si="2"/>
        <v>27</v>
      </c>
      <c r="I8659" s="15">
        <f t="shared" si="3"/>
        <v>19</v>
      </c>
    </row>
    <row r="8660">
      <c r="A8660" s="8" t="str">
        <f>IFERROR(__xludf.DUMMYFUNCTION("IF('(INGESTA)Datos_consumo_datadis'!A8660&lt;&gt;"""",SPLIT('(INGESTA)Datos_consumo_datadis'!A:A,"",""),"""")"),"ES0031408323131005HX0F")</f>
        <v>ES0031408323131005HX0F</v>
      </c>
      <c r="B8660" s="17">
        <f>IFERROR(__xludf.DUMMYFUNCTION("""COMPUTED_VALUE"""),45226.0)</f>
        <v>45226</v>
      </c>
      <c r="C8660" s="13">
        <f>IFERROR(__xludf.DUMMYFUNCTION("""COMPUTED_VALUE"""),0.8333333333333334)</f>
        <v>0.8333333333</v>
      </c>
      <c r="D8660" s="8">
        <f>IFERROR(__xludf.DUMMYFUNCTION("""COMPUTED_VALUE"""),0.423)</f>
        <v>0.423</v>
      </c>
      <c r="E8660" s="8" t="str">
        <f>IFERROR(__xludf.DUMMYFUNCTION("""COMPUTED_VALUE"""),"Real")</f>
        <v>Real</v>
      </c>
      <c r="G8660" s="8">
        <f t="shared" si="1"/>
        <v>10</v>
      </c>
      <c r="H8660" s="14">
        <f t="shared" si="2"/>
        <v>27</v>
      </c>
      <c r="I8660" s="15">
        <f t="shared" si="3"/>
        <v>20</v>
      </c>
    </row>
    <row r="8661">
      <c r="A8661" s="8" t="str">
        <f>IFERROR(__xludf.DUMMYFUNCTION("IF('(INGESTA)Datos_consumo_datadis'!A8661&lt;&gt;"""",SPLIT('(INGESTA)Datos_consumo_datadis'!A:A,"",""),"""")"),"ES0031408323131005HX0F")</f>
        <v>ES0031408323131005HX0F</v>
      </c>
      <c r="B8661" s="17">
        <f>IFERROR(__xludf.DUMMYFUNCTION("""COMPUTED_VALUE"""),45226.0)</f>
        <v>45226</v>
      </c>
      <c r="C8661" s="13">
        <f>IFERROR(__xludf.DUMMYFUNCTION("""COMPUTED_VALUE"""),0.875)</f>
        <v>0.875</v>
      </c>
      <c r="D8661" s="8">
        <f>IFERROR(__xludf.DUMMYFUNCTION("""COMPUTED_VALUE"""),0.199)</f>
        <v>0.199</v>
      </c>
      <c r="E8661" s="8" t="str">
        <f>IFERROR(__xludf.DUMMYFUNCTION("""COMPUTED_VALUE"""),"Real")</f>
        <v>Real</v>
      </c>
      <c r="G8661" s="8">
        <f t="shared" si="1"/>
        <v>10</v>
      </c>
      <c r="H8661" s="14">
        <f t="shared" si="2"/>
        <v>27</v>
      </c>
      <c r="I8661" s="15">
        <f t="shared" si="3"/>
        <v>21</v>
      </c>
    </row>
    <row r="8662">
      <c r="A8662" s="8" t="str">
        <f>IFERROR(__xludf.DUMMYFUNCTION("IF('(INGESTA)Datos_consumo_datadis'!A8662&lt;&gt;"""",SPLIT('(INGESTA)Datos_consumo_datadis'!A:A,"",""),"""")"),"ES0031408323131005HX0F")</f>
        <v>ES0031408323131005HX0F</v>
      </c>
      <c r="B8662" s="17">
        <f>IFERROR(__xludf.DUMMYFUNCTION("""COMPUTED_VALUE"""),45226.0)</f>
        <v>45226</v>
      </c>
      <c r="C8662" s="13">
        <f>IFERROR(__xludf.DUMMYFUNCTION("""COMPUTED_VALUE"""),0.9166666666666666)</f>
        <v>0.9166666667</v>
      </c>
      <c r="D8662" s="8">
        <f>IFERROR(__xludf.DUMMYFUNCTION("""COMPUTED_VALUE"""),1.414)</f>
        <v>1.414</v>
      </c>
      <c r="E8662" s="8" t="str">
        <f>IFERROR(__xludf.DUMMYFUNCTION("""COMPUTED_VALUE"""),"Real")</f>
        <v>Real</v>
      </c>
      <c r="G8662" s="8">
        <f t="shared" si="1"/>
        <v>10</v>
      </c>
      <c r="H8662" s="14">
        <f t="shared" si="2"/>
        <v>27</v>
      </c>
      <c r="I8662" s="15">
        <f t="shared" si="3"/>
        <v>22</v>
      </c>
    </row>
    <row r="8663">
      <c r="A8663" s="8" t="str">
        <f>IFERROR(__xludf.DUMMYFUNCTION("IF('(INGESTA)Datos_consumo_datadis'!A8663&lt;&gt;"""",SPLIT('(INGESTA)Datos_consumo_datadis'!A:A,"",""),"""")"),"ES0031408323131005HX0F")</f>
        <v>ES0031408323131005HX0F</v>
      </c>
      <c r="B8663" s="17">
        <f>IFERROR(__xludf.DUMMYFUNCTION("""COMPUTED_VALUE"""),45226.0)</f>
        <v>45226</v>
      </c>
      <c r="C8663" s="13">
        <f>IFERROR(__xludf.DUMMYFUNCTION("""COMPUTED_VALUE"""),0.9583333333333334)</f>
        <v>0.9583333333</v>
      </c>
      <c r="D8663" s="8">
        <f>IFERROR(__xludf.DUMMYFUNCTION("""COMPUTED_VALUE"""),0.853)</f>
        <v>0.853</v>
      </c>
      <c r="E8663" s="8" t="str">
        <f>IFERROR(__xludf.DUMMYFUNCTION("""COMPUTED_VALUE"""),"Real")</f>
        <v>Real</v>
      </c>
      <c r="G8663" s="8">
        <f t="shared" si="1"/>
        <v>10</v>
      </c>
      <c r="H8663" s="14">
        <f t="shared" si="2"/>
        <v>27</v>
      </c>
      <c r="I8663" s="15">
        <f t="shared" si="3"/>
        <v>23</v>
      </c>
    </row>
    <row r="8664">
      <c r="A8664" s="8" t="str">
        <f>IFERROR(__xludf.DUMMYFUNCTION("IF('(INGESTA)Datos_consumo_datadis'!A8664&lt;&gt;"""",SPLIT('(INGESTA)Datos_consumo_datadis'!A:A,"",""),"""")"),"ES0031408323131005HX0F")</f>
        <v>ES0031408323131005HX0F</v>
      </c>
      <c r="B8664" s="17">
        <f>IFERROR(__xludf.DUMMYFUNCTION("""COMPUTED_VALUE"""),45226.0)</f>
        <v>45226</v>
      </c>
      <c r="C8664" s="16">
        <f>IFERROR(__xludf.DUMMYFUNCTION("""COMPUTED_VALUE"""),1.0)</f>
        <v>1</v>
      </c>
      <c r="D8664" s="8">
        <f>IFERROR(__xludf.DUMMYFUNCTION("""COMPUTED_VALUE"""),0.155)</f>
        <v>0.155</v>
      </c>
      <c r="E8664" s="8" t="str">
        <f>IFERROR(__xludf.DUMMYFUNCTION("""COMPUTED_VALUE"""),"Real")</f>
        <v>Real</v>
      </c>
      <c r="G8664" s="8">
        <f t="shared" si="1"/>
        <v>10</v>
      </c>
      <c r="H8664" s="14">
        <f t="shared" si="2"/>
        <v>27</v>
      </c>
      <c r="I8664" s="15">
        <f t="shared" si="3"/>
        <v>0</v>
      </c>
    </row>
    <row r="8665">
      <c r="A8665" s="8" t="str">
        <f>IFERROR(__xludf.DUMMYFUNCTION("IF('(INGESTA)Datos_consumo_datadis'!A8665&lt;&gt;"""",SPLIT('(INGESTA)Datos_consumo_datadis'!A:A,"",""),"""")"),"ES0031408323131005HX0F")</f>
        <v>ES0031408323131005HX0F</v>
      </c>
      <c r="B8665" s="17">
        <f>IFERROR(__xludf.DUMMYFUNCTION("""COMPUTED_VALUE"""),45227.0)</f>
        <v>45227</v>
      </c>
      <c r="C8665" s="13">
        <f>IFERROR(__xludf.DUMMYFUNCTION("""COMPUTED_VALUE"""),0.041666666666666664)</f>
        <v>0.04166666667</v>
      </c>
      <c r="D8665" s="8">
        <f>IFERROR(__xludf.DUMMYFUNCTION("""COMPUTED_VALUE"""),0.115)</f>
        <v>0.115</v>
      </c>
      <c r="E8665" s="8" t="str">
        <f>IFERROR(__xludf.DUMMYFUNCTION("""COMPUTED_VALUE"""),"Real")</f>
        <v>Real</v>
      </c>
      <c r="G8665" s="8">
        <f t="shared" si="1"/>
        <v>10</v>
      </c>
      <c r="H8665" s="14">
        <f t="shared" si="2"/>
        <v>28</v>
      </c>
      <c r="I8665" s="15">
        <f t="shared" si="3"/>
        <v>1</v>
      </c>
    </row>
    <row r="8666">
      <c r="A8666" s="8" t="str">
        <f>IFERROR(__xludf.DUMMYFUNCTION("IF('(INGESTA)Datos_consumo_datadis'!A8666&lt;&gt;"""",SPLIT('(INGESTA)Datos_consumo_datadis'!A:A,"",""),"""")"),"ES0031408323131005HX0F")</f>
        <v>ES0031408323131005HX0F</v>
      </c>
      <c r="B8666" s="17">
        <f>IFERROR(__xludf.DUMMYFUNCTION("""COMPUTED_VALUE"""),45227.0)</f>
        <v>45227</v>
      </c>
      <c r="C8666" s="13">
        <f>IFERROR(__xludf.DUMMYFUNCTION("""COMPUTED_VALUE"""),0.08333333333333333)</f>
        <v>0.08333333333</v>
      </c>
      <c r="D8666" s="8">
        <f>IFERROR(__xludf.DUMMYFUNCTION("""COMPUTED_VALUE"""),0.036)</f>
        <v>0.036</v>
      </c>
      <c r="E8666" s="8" t="str">
        <f>IFERROR(__xludf.DUMMYFUNCTION("""COMPUTED_VALUE"""),"Real")</f>
        <v>Real</v>
      </c>
      <c r="G8666" s="8">
        <f t="shared" si="1"/>
        <v>10</v>
      </c>
      <c r="H8666" s="14">
        <f t="shared" si="2"/>
        <v>28</v>
      </c>
      <c r="I8666" s="15">
        <f t="shared" si="3"/>
        <v>2</v>
      </c>
    </row>
    <row r="8667">
      <c r="A8667" s="8" t="str">
        <f>IFERROR(__xludf.DUMMYFUNCTION("IF('(INGESTA)Datos_consumo_datadis'!A8667&lt;&gt;"""",SPLIT('(INGESTA)Datos_consumo_datadis'!A:A,"",""),"""")"),"ES0031408323131005HX0F")</f>
        <v>ES0031408323131005HX0F</v>
      </c>
      <c r="B8667" s="17">
        <f>IFERROR(__xludf.DUMMYFUNCTION("""COMPUTED_VALUE"""),45227.0)</f>
        <v>45227</v>
      </c>
      <c r="C8667" s="13">
        <f>IFERROR(__xludf.DUMMYFUNCTION("""COMPUTED_VALUE"""),0.125)</f>
        <v>0.125</v>
      </c>
      <c r="D8667" s="8">
        <f>IFERROR(__xludf.DUMMYFUNCTION("""COMPUTED_VALUE"""),0.117)</f>
        <v>0.117</v>
      </c>
      <c r="E8667" s="8" t="str">
        <f>IFERROR(__xludf.DUMMYFUNCTION("""COMPUTED_VALUE"""),"Real")</f>
        <v>Real</v>
      </c>
      <c r="G8667" s="8">
        <f t="shared" si="1"/>
        <v>10</v>
      </c>
      <c r="H8667" s="14">
        <f t="shared" si="2"/>
        <v>28</v>
      </c>
      <c r="I8667" s="15">
        <f t="shared" si="3"/>
        <v>3</v>
      </c>
    </row>
    <row r="8668">
      <c r="A8668" s="8" t="str">
        <f>IFERROR(__xludf.DUMMYFUNCTION("IF('(INGESTA)Datos_consumo_datadis'!A8668&lt;&gt;"""",SPLIT('(INGESTA)Datos_consumo_datadis'!A:A,"",""),"""")"),"ES0031408323131005HX0F")</f>
        <v>ES0031408323131005HX0F</v>
      </c>
      <c r="B8668" s="17">
        <f>IFERROR(__xludf.DUMMYFUNCTION("""COMPUTED_VALUE"""),45227.0)</f>
        <v>45227</v>
      </c>
      <c r="C8668" s="13">
        <f>IFERROR(__xludf.DUMMYFUNCTION("""COMPUTED_VALUE"""),0.16666666666666666)</f>
        <v>0.1666666667</v>
      </c>
      <c r="D8668" s="8">
        <f>IFERROR(__xludf.DUMMYFUNCTION("""COMPUTED_VALUE"""),0.325)</f>
        <v>0.325</v>
      </c>
      <c r="E8668" s="8" t="str">
        <f>IFERROR(__xludf.DUMMYFUNCTION("""COMPUTED_VALUE"""),"Real")</f>
        <v>Real</v>
      </c>
      <c r="G8668" s="8">
        <f t="shared" si="1"/>
        <v>10</v>
      </c>
      <c r="H8668" s="14">
        <f t="shared" si="2"/>
        <v>28</v>
      </c>
      <c r="I8668" s="15">
        <f t="shared" si="3"/>
        <v>4</v>
      </c>
    </row>
    <row r="8669">
      <c r="A8669" s="8" t="str">
        <f>IFERROR(__xludf.DUMMYFUNCTION("IF('(INGESTA)Datos_consumo_datadis'!A8669&lt;&gt;"""",SPLIT('(INGESTA)Datos_consumo_datadis'!A:A,"",""),"""")"),"ES0031408323131005HX0F")</f>
        <v>ES0031408323131005HX0F</v>
      </c>
      <c r="B8669" s="17">
        <f>IFERROR(__xludf.DUMMYFUNCTION("""COMPUTED_VALUE"""),45227.0)</f>
        <v>45227</v>
      </c>
      <c r="C8669" s="13">
        <f>IFERROR(__xludf.DUMMYFUNCTION("""COMPUTED_VALUE"""),0.20833333333333334)</f>
        <v>0.2083333333</v>
      </c>
      <c r="D8669" s="8">
        <f>IFERROR(__xludf.DUMMYFUNCTION("""COMPUTED_VALUE"""),0.095)</f>
        <v>0.095</v>
      </c>
      <c r="E8669" s="8" t="str">
        <f>IFERROR(__xludf.DUMMYFUNCTION("""COMPUTED_VALUE"""),"Real")</f>
        <v>Real</v>
      </c>
      <c r="G8669" s="8">
        <f t="shared" si="1"/>
        <v>10</v>
      </c>
      <c r="H8669" s="14">
        <f t="shared" si="2"/>
        <v>28</v>
      </c>
      <c r="I8669" s="15">
        <f t="shared" si="3"/>
        <v>5</v>
      </c>
    </row>
    <row r="8670">
      <c r="A8670" s="8" t="str">
        <f>IFERROR(__xludf.DUMMYFUNCTION("IF('(INGESTA)Datos_consumo_datadis'!A8670&lt;&gt;"""",SPLIT('(INGESTA)Datos_consumo_datadis'!A:A,"",""),"""")"),"ES0031408323131005HX0F")</f>
        <v>ES0031408323131005HX0F</v>
      </c>
      <c r="B8670" s="17">
        <f>IFERROR(__xludf.DUMMYFUNCTION("""COMPUTED_VALUE"""),45227.0)</f>
        <v>45227</v>
      </c>
      <c r="C8670" s="13">
        <f>IFERROR(__xludf.DUMMYFUNCTION("""COMPUTED_VALUE"""),0.25)</f>
        <v>0.25</v>
      </c>
      <c r="D8670" s="8">
        <f>IFERROR(__xludf.DUMMYFUNCTION("""COMPUTED_VALUE"""),0.019)</f>
        <v>0.019</v>
      </c>
      <c r="E8670" s="8" t="str">
        <f>IFERROR(__xludf.DUMMYFUNCTION("""COMPUTED_VALUE"""),"Real")</f>
        <v>Real</v>
      </c>
      <c r="G8670" s="8">
        <f t="shared" si="1"/>
        <v>10</v>
      </c>
      <c r="H8670" s="14">
        <f t="shared" si="2"/>
        <v>28</v>
      </c>
      <c r="I8670" s="15">
        <f t="shared" si="3"/>
        <v>6</v>
      </c>
    </row>
    <row r="8671">
      <c r="A8671" s="8" t="str">
        <f>IFERROR(__xludf.DUMMYFUNCTION("IF('(INGESTA)Datos_consumo_datadis'!A8671&lt;&gt;"""",SPLIT('(INGESTA)Datos_consumo_datadis'!A:A,"",""),"""")"),"ES0031408323131005HX0F")</f>
        <v>ES0031408323131005HX0F</v>
      </c>
      <c r="B8671" s="17">
        <f>IFERROR(__xludf.DUMMYFUNCTION("""COMPUTED_VALUE"""),45227.0)</f>
        <v>45227</v>
      </c>
      <c r="C8671" s="13">
        <f>IFERROR(__xludf.DUMMYFUNCTION("""COMPUTED_VALUE"""),0.2916666666666667)</f>
        <v>0.2916666667</v>
      </c>
      <c r="D8671" s="8">
        <f>IFERROR(__xludf.DUMMYFUNCTION("""COMPUTED_VALUE"""),0.092)</f>
        <v>0.092</v>
      </c>
      <c r="E8671" s="8" t="str">
        <f>IFERROR(__xludf.DUMMYFUNCTION("""COMPUTED_VALUE"""),"Real")</f>
        <v>Real</v>
      </c>
      <c r="G8671" s="8">
        <f t="shared" si="1"/>
        <v>10</v>
      </c>
      <c r="H8671" s="14">
        <f t="shared" si="2"/>
        <v>28</v>
      </c>
      <c r="I8671" s="15">
        <f t="shared" si="3"/>
        <v>7</v>
      </c>
    </row>
    <row r="8672">
      <c r="A8672" s="8" t="str">
        <f>IFERROR(__xludf.DUMMYFUNCTION("IF('(INGESTA)Datos_consumo_datadis'!A8672&lt;&gt;"""",SPLIT('(INGESTA)Datos_consumo_datadis'!A:A,"",""),"""")"),"ES0031408323131005HX0F")</f>
        <v>ES0031408323131005HX0F</v>
      </c>
      <c r="B8672" s="17">
        <f>IFERROR(__xludf.DUMMYFUNCTION("""COMPUTED_VALUE"""),45227.0)</f>
        <v>45227</v>
      </c>
      <c r="C8672" s="13">
        <f>IFERROR(__xludf.DUMMYFUNCTION("""COMPUTED_VALUE"""),0.3333333333333333)</f>
        <v>0.3333333333</v>
      </c>
      <c r="D8672" s="8">
        <f>IFERROR(__xludf.DUMMYFUNCTION("""COMPUTED_VALUE"""),0.085)</f>
        <v>0.085</v>
      </c>
      <c r="E8672" s="8" t="str">
        <f>IFERROR(__xludf.DUMMYFUNCTION("""COMPUTED_VALUE"""),"Real")</f>
        <v>Real</v>
      </c>
      <c r="G8672" s="8">
        <f t="shared" si="1"/>
        <v>10</v>
      </c>
      <c r="H8672" s="14">
        <f t="shared" si="2"/>
        <v>28</v>
      </c>
      <c r="I8672" s="15">
        <f t="shared" si="3"/>
        <v>8</v>
      </c>
    </row>
    <row r="8673">
      <c r="A8673" s="8" t="str">
        <f>IFERROR(__xludf.DUMMYFUNCTION("IF('(INGESTA)Datos_consumo_datadis'!A8673&lt;&gt;"""",SPLIT('(INGESTA)Datos_consumo_datadis'!A:A,"",""),"""")"),"ES0031408323131005HX0F")</f>
        <v>ES0031408323131005HX0F</v>
      </c>
      <c r="B8673" s="17">
        <f>IFERROR(__xludf.DUMMYFUNCTION("""COMPUTED_VALUE"""),45227.0)</f>
        <v>45227</v>
      </c>
      <c r="C8673" s="13">
        <f>IFERROR(__xludf.DUMMYFUNCTION("""COMPUTED_VALUE"""),0.375)</f>
        <v>0.375</v>
      </c>
      <c r="D8673" s="8">
        <f>IFERROR(__xludf.DUMMYFUNCTION("""COMPUTED_VALUE"""),0.045)</f>
        <v>0.045</v>
      </c>
      <c r="E8673" s="8" t="str">
        <f>IFERROR(__xludf.DUMMYFUNCTION("""COMPUTED_VALUE"""),"Real")</f>
        <v>Real</v>
      </c>
      <c r="G8673" s="8">
        <f t="shared" si="1"/>
        <v>10</v>
      </c>
      <c r="H8673" s="14">
        <f t="shared" si="2"/>
        <v>28</v>
      </c>
      <c r="I8673" s="15">
        <f t="shared" si="3"/>
        <v>9</v>
      </c>
    </row>
    <row r="8674">
      <c r="A8674" s="8" t="str">
        <f>IFERROR(__xludf.DUMMYFUNCTION("IF('(INGESTA)Datos_consumo_datadis'!A8674&lt;&gt;"""",SPLIT('(INGESTA)Datos_consumo_datadis'!A:A,"",""),"""")"),"ES0031408323131005HX0F")</f>
        <v>ES0031408323131005HX0F</v>
      </c>
      <c r="B8674" s="17">
        <f>IFERROR(__xludf.DUMMYFUNCTION("""COMPUTED_VALUE"""),45227.0)</f>
        <v>45227</v>
      </c>
      <c r="C8674" s="13">
        <f>IFERROR(__xludf.DUMMYFUNCTION("""COMPUTED_VALUE"""),0.4166666666666667)</f>
        <v>0.4166666667</v>
      </c>
      <c r="D8674" s="8">
        <f>IFERROR(__xludf.DUMMYFUNCTION("""COMPUTED_VALUE"""),0.053)</f>
        <v>0.053</v>
      </c>
      <c r="E8674" s="8" t="str">
        <f>IFERROR(__xludf.DUMMYFUNCTION("""COMPUTED_VALUE"""),"Real")</f>
        <v>Real</v>
      </c>
      <c r="G8674" s="8">
        <f t="shared" si="1"/>
        <v>10</v>
      </c>
      <c r="H8674" s="14">
        <f t="shared" si="2"/>
        <v>28</v>
      </c>
      <c r="I8674" s="15">
        <f t="shared" si="3"/>
        <v>10</v>
      </c>
    </row>
    <row r="8675">
      <c r="A8675" s="8" t="str">
        <f>IFERROR(__xludf.DUMMYFUNCTION("IF('(INGESTA)Datos_consumo_datadis'!A8675&lt;&gt;"""",SPLIT('(INGESTA)Datos_consumo_datadis'!A:A,"",""),"""")"),"ES0031408323131005HX0F")</f>
        <v>ES0031408323131005HX0F</v>
      </c>
      <c r="B8675" s="17">
        <f>IFERROR(__xludf.DUMMYFUNCTION("""COMPUTED_VALUE"""),45227.0)</f>
        <v>45227</v>
      </c>
      <c r="C8675" s="13">
        <f>IFERROR(__xludf.DUMMYFUNCTION("""COMPUTED_VALUE"""),0.4583333333333333)</f>
        <v>0.4583333333</v>
      </c>
      <c r="D8675" s="8">
        <f>IFERROR(__xludf.DUMMYFUNCTION("""COMPUTED_VALUE"""),0.372)</f>
        <v>0.372</v>
      </c>
      <c r="E8675" s="8" t="str">
        <f>IFERROR(__xludf.DUMMYFUNCTION("""COMPUTED_VALUE"""),"Real")</f>
        <v>Real</v>
      </c>
      <c r="G8675" s="8">
        <f t="shared" si="1"/>
        <v>10</v>
      </c>
      <c r="H8675" s="14">
        <f t="shared" si="2"/>
        <v>28</v>
      </c>
      <c r="I8675" s="15">
        <f t="shared" si="3"/>
        <v>11</v>
      </c>
    </row>
    <row r="8676">
      <c r="A8676" s="8" t="str">
        <f>IFERROR(__xludf.DUMMYFUNCTION("IF('(INGESTA)Datos_consumo_datadis'!A8676&lt;&gt;"""",SPLIT('(INGESTA)Datos_consumo_datadis'!A:A,"",""),"""")"),"ES0031408323131005HX0F")</f>
        <v>ES0031408323131005HX0F</v>
      </c>
      <c r="B8676" s="17">
        <f>IFERROR(__xludf.DUMMYFUNCTION("""COMPUTED_VALUE"""),45227.0)</f>
        <v>45227</v>
      </c>
      <c r="C8676" s="13">
        <f>IFERROR(__xludf.DUMMYFUNCTION("""COMPUTED_VALUE"""),0.5)</f>
        <v>0.5</v>
      </c>
      <c r="D8676" s="8">
        <f>IFERROR(__xludf.DUMMYFUNCTION("""COMPUTED_VALUE"""),0.186)</f>
        <v>0.186</v>
      </c>
      <c r="E8676" s="8" t="str">
        <f>IFERROR(__xludf.DUMMYFUNCTION("""COMPUTED_VALUE"""),"Real")</f>
        <v>Real</v>
      </c>
      <c r="G8676" s="8">
        <f t="shared" si="1"/>
        <v>10</v>
      </c>
      <c r="H8676" s="14">
        <f t="shared" si="2"/>
        <v>28</v>
      </c>
      <c r="I8676" s="15">
        <f t="shared" si="3"/>
        <v>12</v>
      </c>
    </row>
    <row r="8677">
      <c r="A8677" s="8" t="str">
        <f>IFERROR(__xludf.DUMMYFUNCTION("IF('(INGESTA)Datos_consumo_datadis'!A8677&lt;&gt;"""",SPLIT('(INGESTA)Datos_consumo_datadis'!A:A,"",""),"""")"),"ES0031408323131005HX0F")</f>
        <v>ES0031408323131005HX0F</v>
      </c>
      <c r="B8677" s="17">
        <f>IFERROR(__xludf.DUMMYFUNCTION("""COMPUTED_VALUE"""),45227.0)</f>
        <v>45227</v>
      </c>
      <c r="C8677" s="13">
        <f>IFERROR(__xludf.DUMMYFUNCTION("""COMPUTED_VALUE"""),0.5416666666666666)</f>
        <v>0.5416666667</v>
      </c>
      <c r="D8677" s="8">
        <f>IFERROR(__xludf.DUMMYFUNCTION("""COMPUTED_VALUE"""),0.016)</f>
        <v>0.016</v>
      </c>
      <c r="E8677" s="8" t="str">
        <f>IFERROR(__xludf.DUMMYFUNCTION("""COMPUTED_VALUE"""),"Real")</f>
        <v>Real</v>
      </c>
      <c r="G8677" s="8">
        <f t="shared" si="1"/>
        <v>10</v>
      </c>
      <c r="H8677" s="14">
        <f t="shared" si="2"/>
        <v>28</v>
      </c>
      <c r="I8677" s="15">
        <f t="shared" si="3"/>
        <v>13</v>
      </c>
    </row>
    <row r="8678">
      <c r="A8678" s="8" t="str">
        <f>IFERROR(__xludf.DUMMYFUNCTION("IF('(INGESTA)Datos_consumo_datadis'!A8678&lt;&gt;"""",SPLIT('(INGESTA)Datos_consumo_datadis'!A:A,"",""),"""")"),"ES0031408323131005HX0F")</f>
        <v>ES0031408323131005HX0F</v>
      </c>
      <c r="B8678" s="17">
        <f>IFERROR(__xludf.DUMMYFUNCTION("""COMPUTED_VALUE"""),45227.0)</f>
        <v>45227</v>
      </c>
      <c r="C8678" s="13">
        <f>IFERROR(__xludf.DUMMYFUNCTION("""COMPUTED_VALUE"""),0.5833333333333334)</f>
        <v>0.5833333333</v>
      </c>
      <c r="D8678" s="8">
        <f>IFERROR(__xludf.DUMMYFUNCTION("""COMPUTED_VALUE"""),0.357)</f>
        <v>0.357</v>
      </c>
      <c r="E8678" s="8" t="str">
        <f>IFERROR(__xludf.DUMMYFUNCTION("""COMPUTED_VALUE"""),"Real")</f>
        <v>Real</v>
      </c>
      <c r="G8678" s="8">
        <f t="shared" si="1"/>
        <v>10</v>
      </c>
      <c r="H8678" s="14">
        <f t="shared" si="2"/>
        <v>28</v>
      </c>
      <c r="I8678" s="15">
        <f t="shared" si="3"/>
        <v>14</v>
      </c>
    </row>
    <row r="8679">
      <c r="A8679" s="8" t="str">
        <f>IFERROR(__xludf.DUMMYFUNCTION("IF('(INGESTA)Datos_consumo_datadis'!A8679&lt;&gt;"""",SPLIT('(INGESTA)Datos_consumo_datadis'!A:A,"",""),"""")"),"ES0031408323131005HX0F")</f>
        <v>ES0031408323131005HX0F</v>
      </c>
      <c r="B8679" s="17">
        <f>IFERROR(__xludf.DUMMYFUNCTION("""COMPUTED_VALUE"""),45227.0)</f>
        <v>45227</v>
      </c>
      <c r="C8679" s="13">
        <f>IFERROR(__xludf.DUMMYFUNCTION("""COMPUTED_VALUE"""),0.625)</f>
        <v>0.625</v>
      </c>
      <c r="D8679" s="8">
        <f>IFERROR(__xludf.DUMMYFUNCTION("""COMPUTED_VALUE"""),0.985)</f>
        <v>0.985</v>
      </c>
      <c r="E8679" s="8" t="str">
        <f>IFERROR(__xludf.DUMMYFUNCTION("""COMPUTED_VALUE"""),"Real")</f>
        <v>Real</v>
      </c>
      <c r="G8679" s="8">
        <f t="shared" si="1"/>
        <v>10</v>
      </c>
      <c r="H8679" s="14">
        <f t="shared" si="2"/>
        <v>28</v>
      </c>
      <c r="I8679" s="15">
        <f t="shared" si="3"/>
        <v>15</v>
      </c>
    </row>
    <row r="8680">
      <c r="A8680" s="8" t="str">
        <f>IFERROR(__xludf.DUMMYFUNCTION("IF('(INGESTA)Datos_consumo_datadis'!A8680&lt;&gt;"""",SPLIT('(INGESTA)Datos_consumo_datadis'!A:A,"",""),"""")"),"ES0031408323131005HX0F")</f>
        <v>ES0031408323131005HX0F</v>
      </c>
      <c r="B8680" s="17">
        <f>IFERROR(__xludf.DUMMYFUNCTION("""COMPUTED_VALUE"""),45227.0)</f>
        <v>45227</v>
      </c>
      <c r="C8680" s="13">
        <f>IFERROR(__xludf.DUMMYFUNCTION("""COMPUTED_VALUE"""),0.6666666666666666)</f>
        <v>0.6666666667</v>
      </c>
      <c r="D8680" s="8">
        <f>IFERROR(__xludf.DUMMYFUNCTION("""COMPUTED_VALUE"""),0.392)</f>
        <v>0.392</v>
      </c>
      <c r="E8680" s="8" t="str">
        <f>IFERROR(__xludf.DUMMYFUNCTION("""COMPUTED_VALUE"""),"Real")</f>
        <v>Real</v>
      </c>
      <c r="G8680" s="8">
        <f t="shared" si="1"/>
        <v>10</v>
      </c>
      <c r="H8680" s="14">
        <f t="shared" si="2"/>
        <v>28</v>
      </c>
      <c r="I8680" s="15">
        <f t="shared" si="3"/>
        <v>16</v>
      </c>
    </row>
    <row r="8681">
      <c r="A8681" s="8" t="str">
        <f>IFERROR(__xludf.DUMMYFUNCTION("IF('(INGESTA)Datos_consumo_datadis'!A8681&lt;&gt;"""",SPLIT('(INGESTA)Datos_consumo_datadis'!A:A,"",""),"""")"),"ES0031408323131005HX0F")</f>
        <v>ES0031408323131005HX0F</v>
      </c>
      <c r="B8681" s="17">
        <f>IFERROR(__xludf.DUMMYFUNCTION("""COMPUTED_VALUE"""),45227.0)</f>
        <v>45227</v>
      </c>
      <c r="C8681" s="13">
        <f>IFERROR(__xludf.DUMMYFUNCTION("""COMPUTED_VALUE"""),0.7083333333333334)</f>
        <v>0.7083333333</v>
      </c>
      <c r="D8681" s="8">
        <f>IFERROR(__xludf.DUMMYFUNCTION("""COMPUTED_VALUE"""),0.16)</f>
        <v>0.16</v>
      </c>
      <c r="E8681" s="8" t="str">
        <f>IFERROR(__xludf.DUMMYFUNCTION("""COMPUTED_VALUE"""),"Real")</f>
        <v>Real</v>
      </c>
      <c r="G8681" s="8">
        <f t="shared" si="1"/>
        <v>10</v>
      </c>
      <c r="H8681" s="14">
        <f t="shared" si="2"/>
        <v>28</v>
      </c>
      <c r="I8681" s="15">
        <f t="shared" si="3"/>
        <v>17</v>
      </c>
    </row>
    <row r="8682">
      <c r="A8682" s="8" t="str">
        <f>IFERROR(__xludf.DUMMYFUNCTION("IF('(INGESTA)Datos_consumo_datadis'!A8682&lt;&gt;"""",SPLIT('(INGESTA)Datos_consumo_datadis'!A:A,"",""),"""")"),"ES0031408323131005HX0F")</f>
        <v>ES0031408323131005HX0F</v>
      </c>
      <c r="B8682" s="17">
        <f>IFERROR(__xludf.DUMMYFUNCTION("""COMPUTED_VALUE"""),45227.0)</f>
        <v>45227</v>
      </c>
      <c r="C8682" s="13">
        <f>IFERROR(__xludf.DUMMYFUNCTION("""COMPUTED_VALUE"""),0.75)</f>
        <v>0.75</v>
      </c>
      <c r="D8682" s="8">
        <f>IFERROR(__xludf.DUMMYFUNCTION("""COMPUTED_VALUE"""),0.108)</f>
        <v>0.108</v>
      </c>
      <c r="E8682" s="8" t="str">
        <f>IFERROR(__xludf.DUMMYFUNCTION("""COMPUTED_VALUE"""),"Real")</f>
        <v>Real</v>
      </c>
      <c r="G8682" s="8">
        <f t="shared" si="1"/>
        <v>10</v>
      </c>
      <c r="H8682" s="14">
        <f t="shared" si="2"/>
        <v>28</v>
      </c>
      <c r="I8682" s="15">
        <f t="shared" si="3"/>
        <v>18</v>
      </c>
    </row>
    <row r="8683">
      <c r="A8683" s="8" t="str">
        <f>IFERROR(__xludf.DUMMYFUNCTION("IF('(INGESTA)Datos_consumo_datadis'!A8683&lt;&gt;"""",SPLIT('(INGESTA)Datos_consumo_datadis'!A:A,"",""),"""")"),"ES0031408323131005HX0F")</f>
        <v>ES0031408323131005HX0F</v>
      </c>
      <c r="B8683" s="17">
        <f>IFERROR(__xludf.DUMMYFUNCTION("""COMPUTED_VALUE"""),45227.0)</f>
        <v>45227</v>
      </c>
      <c r="C8683" s="13">
        <f>IFERROR(__xludf.DUMMYFUNCTION("""COMPUTED_VALUE"""),0.7916666666666666)</f>
        <v>0.7916666667</v>
      </c>
      <c r="D8683" s="8">
        <f>IFERROR(__xludf.DUMMYFUNCTION("""COMPUTED_VALUE"""),0.068)</f>
        <v>0.068</v>
      </c>
      <c r="E8683" s="8" t="str">
        <f>IFERROR(__xludf.DUMMYFUNCTION("""COMPUTED_VALUE"""),"Real")</f>
        <v>Real</v>
      </c>
      <c r="G8683" s="8">
        <f t="shared" si="1"/>
        <v>10</v>
      </c>
      <c r="H8683" s="14">
        <f t="shared" si="2"/>
        <v>28</v>
      </c>
      <c r="I8683" s="15">
        <f t="shared" si="3"/>
        <v>19</v>
      </c>
    </row>
    <row r="8684">
      <c r="A8684" s="8" t="str">
        <f>IFERROR(__xludf.DUMMYFUNCTION("IF('(INGESTA)Datos_consumo_datadis'!A8684&lt;&gt;"""",SPLIT('(INGESTA)Datos_consumo_datadis'!A:A,"",""),"""")"),"ES0031408323131005HX0F")</f>
        <v>ES0031408323131005HX0F</v>
      </c>
      <c r="B8684" s="17">
        <f>IFERROR(__xludf.DUMMYFUNCTION("""COMPUTED_VALUE"""),45227.0)</f>
        <v>45227</v>
      </c>
      <c r="C8684" s="13">
        <f>IFERROR(__xludf.DUMMYFUNCTION("""COMPUTED_VALUE"""),0.8333333333333334)</f>
        <v>0.8333333333</v>
      </c>
      <c r="D8684" s="8">
        <f>IFERROR(__xludf.DUMMYFUNCTION("""COMPUTED_VALUE"""),0.3)</f>
        <v>0.3</v>
      </c>
      <c r="E8684" s="8" t="str">
        <f>IFERROR(__xludf.DUMMYFUNCTION("""COMPUTED_VALUE"""),"Real")</f>
        <v>Real</v>
      </c>
      <c r="G8684" s="8">
        <f t="shared" si="1"/>
        <v>10</v>
      </c>
      <c r="H8684" s="14">
        <f t="shared" si="2"/>
        <v>28</v>
      </c>
      <c r="I8684" s="15">
        <f t="shared" si="3"/>
        <v>20</v>
      </c>
    </row>
    <row r="8685">
      <c r="A8685" s="8" t="str">
        <f>IFERROR(__xludf.DUMMYFUNCTION("IF('(INGESTA)Datos_consumo_datadis'!A8685&lt;&gt;"""",SPLIT('(INGESTA)Datos_consumo_datadis'!A:A,"",""),"""")"),"ES0031408323131005HX0F")</f>
        <v>ES0031408323131005HX0F</v>
      </c>
      <c r="B8685" s="17">
        <f>IFERROR(__xludf.DUMMYFUNCTION("""COMPUTED_VALUE"""),45227.0)</f>
        <v>45227</v>
      </c>
      <c r="C8685" s="13">
        <f>IFERROR(__xludf.DUMMYFUNCTION("""COMPUTED_VALUE"""),0.875)</f>
        <v>0.875</v>
      </c>
      <c r="D8685" s="8">
        <f>IFERROR(__xludf.DUMMYFUNCTION("""COMPUTED_VALUE"""),0.311)</f>
        <v>0.311</v>
      </c>
      <c r="E8685" s="8" t="str">
        <f>IFERROR(__xludf.DUMMYFUNCTION("""COMPUTED_VALUE"""),"Real")</f>
        <v>Real</v>
      </c>
      <c r="G8685" s="8">
        <f t="shared" si="1"/>
        <v>10</v>
      </c>
      <c r="H8685" s="14">
        <f t="shared" si="2"/>
        <v>28</v>
      </c>
      <c r="I8685" s="15">
        <f t="shared" si="3"/>
        <v>21</v>
      </c>
    </row>
    <row r="8686">
      <c r="A8686" s="8" t="str">
        <f>IFERROR(__xludf.DUMMYFUNCTION("IF('(INGESTA)Datos_consumo_datadis'!A8686&lt;&gt;"""",SPLIT('(INGESTA)Datos_consumo_datadis'!A:A,"",""),"""")"),"ES0031408323131005HX0F")</f>
        <v>ES0031408323131005HX0F</v>
      </c>
      <c r="B8686" s="17">
        <f>IFERROR(__xludf.DUMMYFUNCTION("""COMPUTED_VALUE"""),45227.0)</f>
        <v>45227</v>
      </c>
      <c r="C8686" s="13">
        <f>IFERROR(__xludf.DUMMYFUNCTION("""COMPUTED_VALUE"""),0.9166666666666666)</f>
        <v>0.9166666667</v>
      </c>
      <c r="D8686" s="8">
        <f>IFERROR(__xludf.DUMMYFUNCTION("""COMPUTED_VALUE"""),1.334)</f>
        <v>1.334</v>
      </c>
      <c r="E8686" s="8" t="str">
        <f>IFERROR(__xludf.DUMMYFUNCTION("""COMPUTED_VALUE"""),"Real")</f>
        <v>Real</v>
      </c>
      <c r="G8686" s="8">
        <f t="shared" si="1"/>
        <v>10</v>
      </c>
      <c r="H8686" s="14">
        <f t="shared" si="2"/>
        <v>28</v>
      </c>
      <c r="I8686" s="15">
        <f t="shared" si="3"/>
        <v>22</v>
      </c>
    </row>
    <row r="8687">
      <c r="A8687" s="8" t="str">
        <f>IFERROR(__xludf.DUMMYFUNCTION("IF('(INGESTA)Datos_consumo_datadis'!A8687&lt;&gt;"""",SPLIT('(INGESTA)Datos_consumo_datadis'!A:A,"",""),"""")"),"ES0031408323131005HX0F")</f>
        <v>ES0031408323131005HX0F</v>
      </c>
      <c r="B8687" s="17">
        <f>IFERROR(__xludf.DUMMYFUNCTION("""COMPUTED_VALUE"""),45227.0)</f>
        <v>45227</v>
      </c>
      <c r="C8687" s="13">
        <f>IFERROR(__xludf.DUMMYFUNCTION("""COMPUTED_VALUE"""),0.9583333333333334)</f>
        <v>0.9583333333</v>
      </c>
      <c r="D8687" s="8">
        <f>IFERROR(__xludf.DUMMYFUNCTION("""COMPUTED_VALUE"""),0.18)</f>
        <v>0.18</v>
      </c>
      <c r="E8687" s="8" t="str">
        <f>IFERROR(__xludf.DUMMYFUNCTION("""COMPUTED_VALUE"""),"Real")</f>
        <v>Real</v>
      </c>
      <c r="G8687" s="8">
        <f t="shared" si="1"/>
        <v>10</v>
      </c>
      <c r="H8687" s="14">
        <f t="shared" si="2"/>
        <v>28</v>
      </c>
      <c r="I8687" s="15">
        <f t="shared" si="3"/>
        <v>23</v>
      </c>
    </row>
    <row r="8688">
      <c r="A8688" s="8" t="str">
        <f>IFERROR(__xludf.DUMMYFUNCTION("IF('(INGESTA)Datos_consumo_datadis'!A8688&lt;&gt;"""",SPLIT('(INGESTA)Datos_consumo_datadis'!A:A,"",""),"""")"),"ES0031408323131005HX0F")</f>
        <v>ES0031408323131005HX0F</v>
      </c>
      <c r="B8688" s="17">
        <f>IFERROR(__xludf.DUMMYFUNCTION("""COMPUTED_VALUE"""),45227.0)</f>
        <v>45227</v>
      </c>
      <c r="C8688" s="16">
        <f>IFERROR(__xludf.DUMMYFUNCTION("""COMPUTED_VALUE"""),1.0)</f>
        <v>1</v>
      </c>
      <c r="D8688" s="8">
        <f>IFERROR(__xludf.DUMMYFUNCTION("""COMPUTED_VALUE"""),0.212)</f>
        <v>0.212</v>
      </c>
      <c r="E8688" s="8" t="str">
        <f>IFERROR(__xludf.DUMMYFUNCTION("""COMPUTED_VALUE"""),"Real")</f>
        <v>Real</v>
      </c>
      <c r="G8688" s="8">
        <f t="shared" si="1"/>
        <v>10</v>
      </c>
      <c r="H8688" s="14">
        <f t="shared" si="2"/>
        <v>28</v>
      </c>
      <c r="I8688" s="15">
        <f t="shared" si="3"/>
        <v>0</v>
      </c>
    </row>
    <row r="8689">
      <c r="A8689" s="8" t="str">
        <f>IFERROR(__xludf.DUMMYFUNCTION("IF('(INGESTA)Datos_consumo_datadis'!A8689&lt;&gt;"""",SPLIT('(INGESTA)Datos_consumo_datadis'!A:A,"",""),"""")"),"ES0031408323131005HX0F")</f>
        <v>ES0031408323131005HX0F</v>
      </c>
      <c r="B8689" s="17">
        <f>IFERROR(__xludf.DUMMYFUNCTION("""COMPUTED_VALUE"""),45228.0)</f>
        <v>45228</v>
      </c>
      <c r="C8689" s="13">
        <f>IFERROR(__xludf.DUMMYFUNCTION("""COMPUTED_VALUE"""),0.041666666666666664)</f>
        <v>0.04166666667</v>
      </c>
      <c r="D8689" s="8">
        <f>IFERROR(__xludf.DUMMYFUNCTION("""COMPUTED_VALUE"""),0.112)</f>
        <v>0.112</v>
      </c>
      <c r="E8689" s="8" t="str">
        <f>IFERROR(__xludf.DUMMYFUNCTION("""COMPUTED_VALUE"""),"Real")</f>
        <v>Real</v>
      </c>
      <c r="G8689" s="8">
        <f t="shared" si="1"/>
        <v>10</v>
      </c>
      <c r="H8689" s="14">
        <f t="shared" si="2"/>
        <v>29</v>
      </c>
      <c r="I8689" s="15">
        <f t="shared" si="3"/>
        <v>1</v>
      </c>
    </row>
    <row r="8690">
      <c r="A8690" s="8" t="str">
        <f>IFERROR(__xludf.DUMMYFUNCTION("IF('(INGESTA)Datos_consumo_datadis'!A8690&lt;&gt;"""",SPLIT('(INGESTA)Datos_consumo_datadis'!A:A,"",""),"""")"),"ES0031408323131005HX0F")</f>
        <v>ES0031408323131005HX0F</v>
      </c>
      <c r="B8690" s="17">
        <f>IFERROR(__xludf.DUMMYFUNCTION("""COMPUTED_VALUE"""),45228.0)</f>
        <v>45228</v>
      </c>
      <c r="C8690" s="13">
        <f>IFERROR(__xludf.DUMMYFUNCTION("""COMPUTED_VALUE"""),0.08333333333333333)</f>
        <v>0.08333333333</v>
      </c>
      <c r="D8690" s="8">
        <f>IFERROR(__xludf.DUMMYFUNCTION("""COMPUTED_VALUE"""),0.112)</f>
        <v>0.112</v>
      </c>
      <c r="E8690" s="8" t="str">
        <f>IFERROR(__xludf.DUMMYFUNCTION("""COMPUTED_VALUE"""),"Real")</f>
        <v>Real</v>
      </c>
      <c r="G8690" s="8">
        <f t="shared" si="1"/>
        <v>10</v>
      </c>
      <c r="H8690" s="14">
        <f t="shared" si="2"/>
        <v>29</v>
      </c>
      <c r="I8690" s="15">
        <f t="shared" si="3"/>
        <v>2</v>
      </c>
    </row>
    <row r="8691">
      <c r="A8691" s="8" t="str">
        <f>IFERROR(__xludf.DUMMYFUNCTION("IF('(INGESTA)Datos_consumo_datadis'!A8691&lt;&gt;"""",SPLIT('(INGESTA)Datos_consumo_datadis'!A:A,"",""),"""")"),"ES0031408323131005HX0F")</f>
        <v>ES0031408323131005HX0F</v>
      </c>
      <c r="B8691" s="17">
        <f>IFERROR(__xludf.DUMMYFUNCTION("""COMPUTED_VALUE"""),45228.0)</f>
        <v>45228</v>
      </c>
      <c r="C8691" s="13">
        <f>IFERROR(__xludf.DUMMYFUNCTION("""COMPUTED_VALUE"""),0.125)</f>
        <v>0.125</v>
      </c>
      <c r="D8691" s="8">
        <f>IFERROR(__xludf.DUMMYFUNCTION("""COMPUTED_VALUE"""),0.121)</f>
        <v>0.121</v>
      </c>
      <c r="E8691" s="8" t="str">
        <f>IFERROR(__xludf.DUMMYFUNCTION("""COMPUTED_VALUE"""),"Real")</f>
        <v>Real</v>
      </c>
      <c r="G8691" s="8">
        <f t="shared" si="1"/>
        <v>10</v>
      </c>
      <c r="H8691" s="14">
        <f t="shared" si="2"/>
        <v>29</v>
      </c>
      <c r="I8691" s="15">
        <f t="shared" si="3"/>
        <v>3</v>
      </c>
    </row>
    <row r="8692">
      <c r="A8692" s="8" t="str">
        <f>IFERROR(__xludf.DUMMYFUNCTION("IF('(INGESTA)Datos_consumo_datadis'!A8692&lt;&gt;"""",SPLIT('(INGESTA)Datos_consumo_datadis'!A:A,"",""),"""")"),"ES0031408323131005HX0F")</f>
        <v>ES0031408323131005HX0F</v>
      </c>
      <c r="B8692" s="17">
        <f>IFERROR(__xludf.DUMMYFUNCTION("""COMPUTED_VALUE"""),45228.0)</f>
        <v>45228</v>
      </c>
      <c r="C8692" s="13">
        <f>IFERROR(__xludf.DUMMYFUNCTION("""COMPUTED_VALUE"""),0.125)</f>
        <v>0.125</v>
      </c>
      <c r="D8692" s="8">
        <f>IFERROR(__xludf.DUMMYFUNCTION("""COMPUTED_VALUE"""),0.307)</f>
        <v>0.307</v>
      </c>
      <c r="E8692" s="8" t="str">
        <f>IFERROR(__xludf.DUMMYFUNCTION("""COMPUTED_VALUE"""),"Real")</f>
        <v>Real</v>
      </c>
      <c r="G8692" s="8">
        <f t="shared" si="1"/>
        <v>10</v>
      </c>
      <c r="H8692" s="14">
        <f t="shared" si="2"/>
        <v>29</v>
      </c>
      <c r="I8692" s="15">
        <f t="shared" si="3"/>
        <v>3</v>
      </c>
    </row>
    <row r="8693">
      <c r="A8693" s="8" t="str">
        <f>IFERROR(__xludf.DUMMYFUNCTION("IF('(INGESTA)Datos_consumo_datadis'!A8693&lt;&gt;"""",SPLIT('(INGESTA)Datos_consumo_datadis'!A:A,"",""),"""")"),"ES0031408323131005HX0F")</f>
        <v>ES0031408323131005HX0F</v>
      </c>
      <c r="B8693" s="17">
        <f>IFERROR(__xludf.DUMMYFUNCTION("""COMPUTED_VALUE"""),45228.0)</f>
        <v>45228</v>
      </c>
      <c r="C8693" s="13">
        <f>IFERROR(__xludf.DUMMYFUNCTION("""COMPUTED_VALUE"""),0.16666666666666666)</f>
        <v>0.1666666667</v>
      </c>
      <c r="D8693" s="8">
        <f>IFERROR(__xludf.DUMMYFUNCTION("""COMPUTED_VALUE"""),0.019)</f>
        <v>0.019</v>
      </c>
      <c r="E8693" s="8" t="str">
        <f>IFERROR(__xludf.DUMMYFUNCTION("""COMPUTED_VALUE"""),"Real")</f>
        <v>Real</v>
      </c>
      <c r="G8693" s="8">
        <f t="shared" si="1"/>
        <v>10</v>
      </c>
      <c r="H8693" s="14">
        <f t="shared" si="2"/>
        <v>29</v>
      </c>
      <c r="I8693" s="15">
        <f t="shared" si="3"/>
        <v>4</v>
      </c>
    </row>
    <row r="8694">
      <c r="A8694" s="8" t="str">
        <f>IFERROR(__xludf.DUMMYFUNCTION("IF('(INGESTA)Datos_consumo_datadis'!A8694&lt;&gt;"""",SPLIT('(INGESTA)Datos_consumo_datadis'!A:A,"",""),"""")"),"ES0031408323131005HX0F")</f>
        <v>ES0031408323131005HX0F</v>
      </c>
      <c r="B8694" s="17">
        <f>IFERROR(__xludf.DUMMYFUNCTION("""COMPUTED_VALUE"""),45228.0)</f>
        <v>45228</v>
      </c>
      <c r="C8694" s="13">
        <f>IFERROR(__xludf.DUMMYFUNCTION("""COMPUTED_VALUE"""),0.20833333333333334)</f>
        <v>0.2083333333</v>
      </c>
      <c r="D8694" s="8">
        <f>IFERROR(__xludf.DUMMYFUNCTION("""COMPUTED_VALUE"""),0.03)</f>
        <v>0.03</v>
      </c>
      <c r="E8694" s="8" t="str">
        <f>IFERROR(__xludf.DUMMYFUNCTION("""COMPUTED_VALUE"""),"Real")</f>
        <v>Real</v>
      </c>
      <c r="G8694" s="8">
        <f t="shared" si="1"/>
        <v>10</v>
      </c>
      <c r="H8694" s="14">
        <f t="shared" si="2"/>
        <v>29</v>
      </c>
      <c r="I8694" s="15">
        <f t="shared" si="3"/>
        <v>5</v>
      </c>
    </row>
    <row r="8695">
      <c r="A8695" s="8" t="str">
        <f>IFERROR(__xludf.DUMMYFUNCTION("IF('(INGESTA)Datos_consumo_datadis'!A8695&lt;&gt;"""",SPLIT('(INGESTA)Datos_consumo_datadis'!A:A,"",""),"""")"),"ES0031408323131005HX0F")</f>
        <v>ES0031408323131005HX0F</v>
      </c>
      <c r="B8695" s="17">
        <f>IFERROR(__xludf.DUMMYFUNCTION("""COMPUTED_VALUE"""),45228.0)</f>
        <v>45228</v>
      </c>
      <c r="C8695" s="13">
        <f>IFERROR(__xludf.DUMMYFUNCTION("""COMPUTED_VALUE"""),0.25)</f>
        <v>0.25</v>
      </c>
      <c r="D8695" s="8">
        <f>IFERROR(__xludf.DUMMYFUNCTION("""COMPUTED_VALUE"""),0.11)</f>
        <v>0.11</v>
      </c>
      <c r="E8695" s="8" t="str">
        <f>IFERROR(__xludf.DUMMYFUNCTION("""COMPUTED_VALUE"""),"Real")</f>
        <v>Real</v>
      </c>
      <c r="G8695" s="8">
        <f t="shared" si="1"/>
        <v>10</v>
      </c>
      <c r="H8695" s="14">
        <f t="shared" si="2"/>
        <v>29</v>
      </c>
      <c r="I8695" s="15">
        <f t="shared" si="3"/>
        <v>6</v>
      </c>
    </row>
    <row r="8696">
      <c r="A8696" s="8" t="str">
        <f>IFERROR(__xludf.DUMMYFUNCTION("IF('(INGESTA)Datos_consumo_datadis'!A8696&lt;&gt;"""",SPLIT('(INGESTA)Datos_consumo_datadis'!A:A,"",""),"""")"),"ES0031408323131005HX0F")</f>
        <v>ES0031408323131005HX0F</v>
      </c>
      <c r="B8696" s="17">
        <f>IFERROR(__xludf.DUMMYFUNCTION("""COMPUTED_VALUE"""),45228.0)</f>
        <v>45228</v>
      </c>
      <c r="C8696" s="13">
        <f>IFERROR(__xludf.DUMMYFUNCTION("""COMPUTED_VALUE"""),0.2916666666666667)</f>
        <v>0.2916666667</v>
      </c>
      <c r="D8696" s="8">
        <f>IFERROR(__xludf.DUMMYFUNCTION("""COMPUTED_VALUE"""),0.129)</f>
        <v>0.129</v>
      </c>
      <c r="E8696" s="8" t="str">
        <f>IFERROR(__xludf.DUMMYFUNCTION("""COMPUTED_VALUE"""),"Real")</f>
        <v>Real</v>
      </c>
      <c r="G8696" s="8">
        <f t="shared" si="1"/>
        <v>10</v>
      </c>
      <c r="H8696" s="14">
        <f t="shared" si="2"/>
        <v>29</v>
      </c>
      <c r="I8696" s="15">
        <f t="shared" si="3"/>
        <v>7</v>
      </c>
    </row>
    <row r="8697">
      <c r="A8697" s="8" t="str">
        <f>IFERROR(__xludf.DUMMYFUNCTION("IF('(INGESTA)Datos_consumo_datadis'!A8697&lt;&gt;"""",SPLIT('(INGESTA)Datos_consumo_datadis'!A:A,"",""),"""")"),"ES0031408323131005HX0F")</f>
        <v>ES0031408323131005HX0F</v>
      </c>
      <c r="B8697" s="17">
        <f>IFERROR(__xludf.DUMMYFUNCTION("""COMPUTED_VALUE"""),45228.0)</f>
        <v>45228</v>
      </c>
      <c r="C8697" s="13">
        <f>IFERROR(__xludf.DUMMYFUNCTION("""COMPUTED_VALUE"""),0.3333333333333333)</f>
        <v>0.3333333333</v>
      </c>
      <c r="D8697" s="8">
        <f>IFERROR(__xludf.DUMMYFUNCTION("""COMPUTED_VALUE"""),0.101)</f>
        <v>0.101</v>
      </c>
      <c r="E8697" s="8" t="str">
        <f>IFERROR(__xludf.DUMMYFUNCTION("""COMPUTED_VALUE"""),"Real")</f>
        <v>Real</v>
      </c>
      <c r="G8697" s="8">
        <f t="shared" si="1"/>
        <v>10</v>
      </c>
      <c r="H8697" s="14">
        <f t="shared" si="2"/>
        <v>29</v>
      </c>
      <c r="I8697" s="15">
        <f t="shared" si="3"/>
        <v>8</v>
      </c>
    </row>
    <row r="8698">
      <c r="A8698" s="8" t="str">
        <f>IFERROR(__xludf.DUMMYFUNCTION("IF('(INGESTA)Datos_consumo_datadis'!A8698&lt;&gt;"""",SPLIT('(INGESTA)Datos_consumo_datadis'!A:A,"",""),"""")"),"ES0031408323131005HX0F")</f>
        <v>ES0031408323131005HX0F</v>
      </c>
      <c r="B8698" s="17">
        <f>IFERROR(__xludf.DUMMYFUNCTION("""COMPUTED_VALUE"""),45228.0)</f>
        <v>45228</v>
      </c>
      <c r="C8698" s="13">
        <f>IFERROR(__xludf.DUMMYFUNCTION("""COMPUTED_VALUE"""),0.375)</f>
        <v>0.375</v>
      </c>
      <c r="D8698" s="8">
        <f>IFERROR(__xludf.DUMMYFUNCTION("""COMPUTED_VALUE"""),0.382)</f>
        <v>0.382</v>
      </c>
      <c r="E8698" s="8" t="str">
        <f>IFERROR(__xludf.DUMMYFUNCTION("""COMPUTED_VALUE"""),"Real")</f>
        <v>Real</v>
      </c>
      <c r="G8698" s="8">
        <f t="shared" si="1"/>
        <v>10</v>
      </c>
      <c r="H8698" s="14">
        <f t="shared" si="2"/>
        <v>29</v>
      </c>
      <c r="I8698" s="15">
        <f t="shared" si="3"/>
        <v>9</v>
      </c>
    </row>
    <row r="8699">
      <c r="A8699" s="8" t="str">
        <f>IFERROR(__xludf.DUMMYFUNCTION("IF('(INGESTA)Datos_consumo_datadis'!A8699&lt;&gt;"""",SPLIT('(INGESTA)Datos_consumo_datadis'!A:A,"",""),"""")"),"ES0031408323131005HX0F")</f>
        <v>ES0031408323131005HX0F</v>
      </c>
      <c r="B8699" s="17">
        <f>IFERROR(__xludf.DUMMYFUNCTION("""COMPUTED_VALUE"""),45228.0)</f>
        <v>45228</v>
      </c>
      <c r="C8699" s="13">
        <f>IFERROR(__xludf.DUMMYFUNCTION("""COMPUTED_VALUE"""),0.4166666666666667)</f>
        <v>0.4166666667</v>
      </c>
      <c r="D8699" s="8">
        <f>IFERROR(__xludf.DUMMYFUNCTION("""COMPUTED_VALUE"""),1.114)</f>
        <v>1.114</v>
      </c>
      <c r="E8699" s="8" t="str">
        <f>IFERROR(__xludf.DUMMYFUNCTION("""COMPUTED_VALUE"""),"Real")</f>
        <v>Real</v>
      </c>
      <c r="G8699" s="8">
        <f t="shared" si="1"/>
        <v>10</v>
      </c>
      <c r="H8699" s="14">
        <f t="shared" si="2"/>
        <v>29</v>
      </c>
      <c r="I8699" s="15">
        <f t="shared" si="3"/>
        <v>10</v>
      </c>
    </row>
    <row r="8700">
      <c r="A8700" s="8" t="str">
        <f>IFERROR(__xludf.DUMMYFUNCTION("IF('(INGESTA)Datos_consumo_datadis'!A8700&lt;&gt;"""",SPLIT('(INGESTA)Datos_consumo_datadis'!A:A,"",""),"""")"),"ES0031408323131005HX0F")</f>
        <v>ES0031408323131005HX0F</v>
      </c>
      <c r="B8700" s="17">
        <f>IFERROR(__xludf.DUMMYFUNCTION("""COMPUTED_VALUE"""),45228.0)</f>
        <v>45228</v>
      </c>
      <c r="C8700" s="13">
        <f>IFERROR(__xludf.DUMMYFUNCTION("""COMPUTED_VALUE"""),0.4583333333333333)</f>
        <v>0.4583333333</v>
      </c>
      <c r="D8700" s="8">
        <f>IFERROR(__xludf.DUMMYFUNCTION("""COMPUTED_VALUE"""),0.614)</f>
        <v>0.614</v>
      </c>
      <c r="E8700" s="8" t="str">
        <f>IFERROR(__xludf.DUMMYFUNCTION("""COMPUTED_VALUE"""),"Real")</f>
        <v>Real</v>
      </c>
      <c r="G8700" s="8">
        <f t="shared" si="1"/>
        <v>10</v>
      </c>
      <c r="H8700" s="14">
        <f t="shared" si="2"/>
        <v>29</v>
      </c>
      <c r="I8700" s="15">
        <f t="shared" si="3"/>
        <v>11</v>
      </c>
    </row>
    <row r="8701">
      <c r="A8701" s="8" t="str">
        <f>IFERROR(__xludf.DUMMYFUNCTION("IF('(INGESTA)Datos_consumo_datadis'!A8701&lt;&gt;"""",SPLIT('(INGESTA)Datos_consumo_datadis'!A:A,"",""),"""")"),"ES0031408323131005HX0F")</f>
        <v>ES0031408323131005HX0F</v>
      </c>
      <c r="B8701" s="17">
        <f>IFERROR(__xludf.DUMMYFUNCTION("""COMPUTED_VALUE"""),45228.0)</f>
        <v>45228</v>
      </c>
      <c r="C8701" s="13">
        <f>IFERROR(__xludf.DUMMYFUNCTION("""COMPUTED_VALUE"""),0.5)</f>
        <v>0.5</v>
      </c>
      <c r="D8701" s="8">
        <f>IFERROR(__xludf.DUMMYFUNCTION("""COMPUTED_VALUE"""),0.239)</f>
        <v>0.239</v>
      </c>
      <c r="E8701" s="8" t="str">
        <f>IFERROR(__xludf.DUMMYFUNCTION("""COMPUTED_VALUE"""),"Real")</f>
        <v>Real</v>
      </c>
      <c r="G8701" s="8">
        <f t="shared" si="1"/>
        <v>10</v>
      </c>
      <c r="H8701" s="14">
        <f t="shared" si="2"/>
        <v>29</v>
      </c>
      <c r="I8701" s="15">
        <f t="shared" si="3"/>
        <v>12</v>
      </c>
    </row>
    <row r="8702">
      <c r="A8702" s="8" t="str">
        <f>IFERROR(__xludf.DUMMYFUNCTION("IF('(INGESTA)Datos_consumo_datadis'!A8702&lt;&gt;"""",SPLIT('(INGESTA)Datos_consumo_datadis'!A:A,"",""),"""")"),"ES0031408323131005HX0F")</f>
        <v>ES0031408323131005HX0F</v>
      </c>
      <c r="B8702" s="17">
        <f>IFERROR(__xludf.DUMMYFUNCTION("""COMPUTED_VALUE"""),45228.0)</f>
        <v>45228</v>
      </c>
      <c r="C8702" s="13">
        <f>IFERROR(__xludf.DUMMYFUNCTION("""COMPUTED_VALUE"""),0.5416666666666666)</f>
        <v>0.5416666667</v>
      </c>
      <c r="D8702" s="8">
        <f>IFERROR(__xludf.DUMMYFUNCTION("""COMPUTED_VALUE"""),1.328)</f>
        <v>1.328</v>
      </c>
      <c r="E8702" s="8" t="str">
        <f>IFERROR(__xludf.DUMMYFUNCTION("""COMPUTED_VALUE"""),"Real")</f>
        <v>Real</v>
      </c>
      <c r="G8702" s="8">
        <f t="shared" si="1"/>
        <v>10</v>
      </c>
      <c r="H8702" s="14">
        <f t="shared" si="2"/>
        <v>29</v>
      </c>
      <c r="I8702" s="15">
        <f t="shared" si="3"/>
        <v>13</v>
      </c>
    </row>
    <row r="8703">
      <c r="A8703" s="8" t="str">
        <f>IFERROR(__xludf.DUMMYFUNCTION("IF('(INGESTA)Datos_consumo_datadis'!A8703&lt;&gt;"""",SPLIT('(INGESTA)Datos_consumo_datadis'!A:A,"",""),"""")"),"ES0031408323131005HX0F")</f>
        <v>ES0031408323131005HX0F</v>
      </c>
      <c r="B8703" s="17">
        <f>IFERROR(__xludf.DUMMYFUNCTION("""COMPUTED_VALUE"""),45228.0)</f>
        <v>45228</v>
      </c>
      <c r="C8703" s="13">
        <f>IFERROR(__xludf.DUMMYFUNCTION("""COMPUTED_VALUE"""),0.5833333333333334)</f>
        <v>0.5833333333</v>
      </c>
      <c r="D8703" s="8">
        <f>IFERROR(__xludf.DUMMYFUNCTION("""COMPUTED_VALUE"""),0.772)</f>
        <v>0.772</v>
      </c>
      <c r="E8703" s="8" t="str">
        <f>IFERROR(__xludf.DUMMYFUNCTION("""COMPUTED_VALUE"""),"Real")</f>
        <v>Real</v>
      </c>
      <c r="G8703" s="8">
        <f t="shared" si="1"/>
        <v>10</v>
      </c>
      <c r="H8703" s="14">
        <f t="shared" si="2"/>
        <v>29</v>
      </c>
      <c r="I8703" s="15">
        <f t="shared" si="3"/>
        <v>14</v>
      </c>
    </row>
    <row r="8704">
      <c r="A8704" s="8" t="str">
        <f>IFERROR(__xludf.DUMMYFUNCTION("IF('(INGESTA)Datos_consumo_datadis'!A8704&lt;&gt;"""",SPLIT('(INGESTA)Datos_consumo_datadis'!A:A,"",""),"""")"),"ES0031408323131005HX0F")</f>
        <v>ES0031408323131005HX0F</v>
      </c>
      <c r="B8704" s="17">
        <f>IFERROR(__xludf.DUMMYFUNCTION("""COMPUTED_VALUE"""),45228.0)</f>
        <v>45228</v>
      </c>
      <c r="C8704" s="13">
        <f>IFERROR(__xludf.DUMMYFUNCTION("""COMPUTED_VALUE"""),0.625)</f>
        <v>0.625</v>
      </c>
      <c r="D8704" s="8">
        <f>IFERROR(__xludf.DUMMYFUNCTION("""COMPUTED_VALUE"""),0.617)</f>
        <v>0.617</v>
      </c>
      <c r="E8704" s="8" t="str">
        <f>IFERROR(__xludf.DUMMYFUNCTION("""COMPUTED_VALUE"""),"Real")</f>
        <v>Real</v>
      </c>
      <c r="G8704" s="8">
        <f t="shared" si="1"/>
        <v>10</v>
      </c>
      <c r="H8704" s="14">
        <f t="shared" si="2"/>
        <v>29</v>
      </c>
      <c r="I8704" s="15">
        <f t="shared" si="3"/>
        <v>15</v>
      </c>
    </row>
    <row r="8705">
      <c r="A8705" s="8" t="str">
        <f>IFERROR(__xludf.DUMMYFUNCTION("IF('(INGESTA)Datos_consumo_datadis'!A8705&lt;&gt;"""",SPLIT('(INGESTA)Datos_consumo_datadis'!A:A,"",""),"""")"),"ES0031408323131005HX0F")</f>
        <v>ES0031408323131005HX0F</v>
      </c>
      <c r="B8705" s="17">
        <f>IFERROR(__xludf.DUMMYFUNCTION("""COMPUTED_VALUE"""),45228.0)</f>
        <v>45228</v>
      </c>
      <c r="C8705" s="13">
        <f>IFERROR(__xludf.DUMMYFUNCTION("""COMPUTED_VALUE"""),0.6666666666666666)</f>
        <v>0.6666666667</v>
      </c>
      <c r="D8705" s="8">
        <f>IFERROR(__xludf.DUMMYFUNCTION("""COMPUTED_VALUE"""),0.861)</f>
        <v>0.861</v>
      </c>
      <c r="E8705" s="8" t="str">
        <f>IFERROR(__xludf.DUMMYFUNCTION("""COMPUTED_VALUE"""),"Real")</f>
        <v>Real</v>
      </c>
      <c r="G8705" s="8">
        <f t="shared" si="1"/>
        <v>10</v>
      </c>
      <c r="H8705" s="14">
        <f t="shared" si="2"/>
        <v>29</v>
      </c>
      <c r="I8705" s="15">
        <f t="shared" si="3"/>
        <v>16</v>
      </c>
    </row>
    <row r="8706">
      <c r="A8706" s="8" t="str">
        <f>IFERROR(__xludf.DUMMYFUNCTION("IF('(INGESTA)Datos_consumo_datadis'!A8706&lt;&gt;"""",SPLIT('(INGESTA)Datos_consumo_datadis'!A:A,"",""),"""")"),"ES0031408323131005HX0F")</f>
        <v>ES0031408323131005HX0F</v>
      </c>
      <c r="B8706" s="17">
        <f>IFERROR(__xludf.DUMMYFUNCTION("""COMPUTED_VALUE"""),45228.0)</f>
        <v>45228</v>
      </c>
      <c r="C8706" s="13">
        <f>IFERROR(__xludf.DUMMYFUNCTION("""COMPUTED_VALUE"""),0.7083333333333334)</f>
        <v>0.7083333333</v>
      </c>
      <c r="D8706" s="8">
        <f>IFERROR(__xludf.DUMMYFUNCTION("""COMPUTED_VALUE"""),0.292)</f>
        <v>0.292</v>
      </c>
      <c r="E8706" s="8" t="str">
        <f>IFERROR(__xludf.DUMMYFUNCTION("""COMPUTED_VALUE"""),"Real")</f>
        <v>Real</v>
      </c>
      <c r="G8706" s="8">
        <f t="shared" si="1"/>
        <v>10</v>
      </c>
      <c r="H8706" s="14">
        <f t="shared" si="2"/>
        <v>29</v>
      </c>
      <c r="I8706" s="15">
        <f t="shared" si="3"/>
        <v>17</v>
      </c>
    </row>
    <row r="8707">
      <c r="A8707" s="8" t="str">
        <f>IFERROR(__xludf.DUMMYFUNCTION("IF('(INGESTA)Datos_consumo_datadis'!A8707&lt;&gt;"""",SPLIT('(INGESTA)Datos_consumo_datadis'!A:A,"",""),"""")"),"ES0031408323131005HX0F")</f>
        <v>ES0031408323131005HX0F</v>
      </c>
      <c r="B8707" s="17">
        <f>IFERROR(__xludf.DUMMYFUNCTION("""COMPUTED_VALUE"""),45228.0)</f>
        <v>45228</v>
      </c>
      <c r="C8707" s="13">
        <f>IFERROR(__xludf.DUMMYFUNCTION("""COMPUTED_VALUE"""),0.75)</f>
        <v>0.75</v>
      </c>
      <c r="D8707" s="8">
        <f>IFERROR(__xludf.DUMMYFUNCTION("""COMPUTED_VALUE"""),0.271)</f>
        <v>0.271</v>
      </c>
      <c r="E8707" s="8" t="str">
        <f>IFERROR(__xludf.DUMMYFUNCTION("""COMPUTED_VALUE"""),"Real")</f>
        <v>Real</v>
      </c>
      <c r="G8707" s="8">
        <f t="shared" si="1"/>
        <v>10</v>
      </c>
      <c r="H8707" s="14">
        <f t="shared" si="2"/>
        <v>29</v>
      </c>
      <c r="I8707" s="15">
        <f t="shared" si="3"/>
        <v>18</v>
      </c>
    </row>
    <row r="8708">
      <c r="A8708" s="8" t="str">
        <f>IFERROR(__xludf.DUMMYFUNCTION("IF('(INGESTA)Datos_consumo_datadis'!A8708&lt;&gt;"""",SPLIT('(INGESTA)Datos_consumo_datadis'!A:A,"",""),"""")"),"ES0031408323131005HX0F")</f>
        <v>ES0031408323131005HX0F</v>
      </c>
      <c r="B8708" s="17">
        <f>IFERROR(__xludf.DUMMYFUNCTION("""COMPUTED_VALUE"""),45228.0)</f>
        <v>45228</v>
      </c>
      <c r="C8708" s="13">
        <f>IFERROR(__xludf.DUMMYFUNCTION("""COMPUTED_VALUE"""),0.7916666666666666)</f>
        <v>0.7916666667</v>
      </c>
      <c r="D8708" s="8">
        <f>IFERROR(__xludf.DUMMYFUNCTION("""COMPUTED_VALUE"""),0.239)</f>
        <v>0.239</v>
      </c>
      <c r="E8708" s="8" t="str">
        <f>IFERROR(__xludf.DUMMYFUNCTION("""COMPUTED_VALUE"""),"Real")</f>
        <v>Real</v>
      </c>
      <c r="G8708" s="8">
        <f t="shared" si="1"/>
        <v>10</v>
      </c>
      <c r="H8708" s="14">
        <f t="shared" si="2"/>
        <v>29</v>
      </c>
      <c r="I8708" s="15">
        <f t="shared" si="3"/>
        <v>19</v>
      </c>
    </row>
    <row r="8709">
      <c r="A8709" s="8" t="str">
        <f>IFERROR(__xludf.DUMMYFUNCTION("IF('(INGESTA)Datos_consumo_datadis'!A8709&lt;&gt;"""",SPLIT('(INGESTA)Datos_consumo_datadis'!A:A,"",""),"""")"),"ES0031408323131005HX0F")</f>
        <v>ES0031408323131005HX0F</v>
      </c>
      <c r="B8709" s="17">
        <f>IFERROR(__xludf.DUMMYFUNCTION("""COMPUTED_VALUE"""),45228.0)</f>
        <v>45228</v>
      </c>
      <c r="C8709" s="13">
        <f>IFERROR(__xludf.DUMMYFUNCTION("""COMPUTED_VALUE"""),0.8333333333333334)</f>
        <v>0.8333333333</v>
      </c>
      <c r="D8709" s="8">
        <f>IFERROR(__xludf.DUMMYFUNCTION("""COMPUTED_VALUE"""),0.401)</f>
        <v>0.401</v>
      </c>
      <c r="E8709" s="8" t="str">
        <f>IFERROR(__xludf.DUMMYFUNCTION("""COMPUTED_VALUE"""),"Real")</f>
        <v>Real</v>
      </c>
      <c r="G8709" s="8">
        <f t="shared" si="1"/>
        <v>10</v>
      </c>
      <c r="H8709" s="14">
        <f t="shared" si="2"/>
        <v>29</v>
      </c>
      <c r="I8709" s="15">
        <f t="shared" si="3"/>
        <v>20</v>
      </c>
    </row>
    <row r="8710">
      <c r="A8710" s="8" t="str">
        <f>IFERROR(__xludf.DUMMYFUNCTION("IF('(INGESTA)Datos_consumo_datadis'!A8710&lt;&gt;"""",SPLIT('(INGESTA)Datos_consumo_datadis'!A:A,"",""),"""")"),"ES0031408323131005HX0F")</f>
        <v>ES0031408323131005HX0F</v>
      </c>
      <c r="B8710" s="17">
        <f>IFERROR(__xludf.DUMMYFUNCTION("""COMPUTED_VALUE"""),45228.0)</f>
        <v>45228</v>
      </c>
      <c r="C8710" s="13">
        <f>IFERROR(__xludf.DUMMYFUNCTION("""COMPUTED_VALUE"""),0.875)</f>
        <v>0.875</v>
      </c>
      <c r="D8710" s="8">
        <f>IFERROR(__xludf.DUMMYFUNCTION("""COMPUTED_VALUE"""),0.128)</f>
        <v>0.128</v>
      </c>
      <c r="E8710" s="8" t="str">
        <f>IFERROR(__xludf.DUMMYFUNCTION("""COMPUTED_VALUE"""),"Real")</f>
        <v>Real</v>
      </c>
      <c r="G8710" s="8">
        <f t="shared" si="1"/>
        <v>10</v>
      </c>
      <c r="H8710" s="14">
        <f t="shared" si="2"/>
        <v>29</v>
      </c>
      <c r="I8710" s="15">
        <f t="shared" si="3"/>
        <v>21</v>
      </c>
    </row>
    <row r="8711">
      <c r="A8711" s="8" t="str">
        <f>IFERROR(__xludf.DUMMYFUNCTION("IF('(INGESTA)Datos_consumo_datadis'!A8711&lt;&gt;"""",SPLIT('(INGESTA)Datos_consumo_datadis'!A:A,"",""),"""")"),"ES0031408323131005HX0F")</f>
        <v>ES0031408323131005HX0F</v>
      </c>
      <c r="B8711" s="17">
        <f>IFERROR(__xludf.DUMMYFUNCTION("""COMPUTED_VALUE"""),45228.0)</f>
        <v>45228</v>
      </c>
      <c r="C8711" s="13">
        <f>IFERROR(__xludf.DUMMYFUNCTION("""COMPUTED_VALUE"""),0.9166666666666666)</f>
        <v>0.9166666667</v>
      </c>
      <c r="D8711" s="8">
        <f>IFERROR(__xludf.DUMMYFUNCTION("""COMPUTED_VALUE"""),0.014)</f>
        <v>0.014</v>
      </c>
      <c r="E8711" s="8" t="str">
        <f>IFERROR(__xludf.DUMMYFUNCTION("""COMPUTED_VALUE"""),"Real")</f>
        <v>Real</v>
      </c>
      <c r="G8711" s="8">
        <f t="shared" si="1"/>
        <v>10</v>
      </c>
      <c r="H8711" s="14">
        <f t="shared" si="2"/>
        <v>29</v>
      </c>
      <c r="I8711" s="15">
        <f t="shared" si="3"/>
        <v>22</v>
      </c>
    </row>
    <row r="8712">
      <c r="A8712" s="8" t="str">
        <f>IFERROR(__xludf.DUMMYFUNCTION("IF('(INGESTA)Datos_consumo_datadis'!A8712&lt;&gt;"""",SPLIT('(INGESTA)Datos_consumo_datadis'!A:A,"",""),"""")"),"ES0031408323131005HX0F")</f>
        <v>ES0031408323131005HX0F</v>
      </c>
      <c r="B8712" s="17">
        <f>IFERROR(__xludf.DUMMYFUNCTION("""COMPUTED_VALUE"""),45228.0)</f>
        <v>45228</v>
      </c>
      <c r="C8712" s="13">
        <f>IFERROR(__xludf.DUMMYFUNCTION("""COMPUTED_VALUE"""),0.9583333333333334)</f>
        <v>0.9583333333</v>
      </c>
      <c r="D8712" s="8">
        <f>IFERROR(__xludf.DUMMYFUNCTION("""COMPUTED_VALUE"""),0.018)</f>
        <v>0.018</v>
      </c>
      <c r="E8712" s="8" t="str">
        <f>IFERROR(__xludf.DUMMYFUNCTION("""COMPUTED_VALUE"""),"Real")</f>
        <v>Real</v>
      </c>
      <c r="G8712" s="8">
        <f t="shared" si="1"/>
        <v>10</v>
      </c>
      <c r="H8712" s="14">
        <f t="shared" si="2"/>
        <v>29</v>
      </c>
      <c r="I8712" s="15">
        <f t="shared" si="3"/>
        <v>23</v>
      </c>
    </row>
    <row r="8713">
      <c r="A8713" s="8" t="str">
        <f>IFERROR(__xludf.DUMMYFUNCTION("IF('(INGESTA)Datos_consumo_datadis'!A8713&lt;&gt;"""",SPLIT('(INGESTA)Datos_consumo_datadis'!A:A,"",""),"""")"),"ES0031408323131005HX0F")</f>
        <v>ES0031408323131005HX0F</v>
      </c>
      <c r="B8713" s="17">
        <f>IFERROR(__xludf.DUMMYFUNCTION("""COMPUTED_VALUE"""),45228.0)</f>
        <v>45228</v>
      </c>
      <c r="C8713" s="16">
        <f>IFERROR(__xludf.DUMMYFUNCTION("""COMPUTED_VALUE"""),1.0)</f>
        <v>1</v>
      </c>
      <c r="D8713" s="8">
        <f>IFERROR(__xludf.DUMMYFUNCTION("""COMPUTED_VALUE"""),0.123)</f>
        <v>0.123</v>
      </c>
      <c r="E8713" s="8" t="str">
        <f>IFERROR(__xludf.DUMMYFUNCTION("""COMPUTED_VALUE"""),"Real")</f>
        <v>Real</v>
      </c>
      <c r="G8713" s="8">
        <f t="shared" si="1"/>
        <v>10</v>
      </c>
      <c r="H8713" s="14">
        <f t="shared" si="2"/>
        <v>29</v>
      </c>
      <c r="I8713" s="15">
        <f t="shared" si="3"/>
        <v>0</v>
      </c>
    </row>
    <row r="8714">
      <c r="A8714" s="8" t="str">
        <f>IFERROR(__xludf.DUMMYFUNCTION("IF('(INGESTA)Datos_consumo_datadis'!A8714&lt;&gt;"""",SPLIT('(INGESTA)Datos_consumo_datadis'!A:A,"",""),"""")"),"ES0031408323131005HX0F")</f>
        <v>ES0031408323131005HX0F</v>
      </c>
      <c r="B8714" s="17">
        <f>IFERROR(__xludf.DUMMYFUNCTION("""COMPUTED_VALUE"""),45229.0)</f>
        <v>45229</v>
      </c>
      <c r="C8714" s="13">
        <f>IFERROR(__xludf.DUMMYFUNCTION("""COMPUTED_VALUE"""),0.041666666666666664)</f>
        <v>0.04166666667</v>
      </c>
      <c r="D8714" s="8">
        <f>IFERROR(__xludf.DUMMYFUNCTION("""COMPUTED_VALUE"""),0.127)</f>
        <v>0.127</v>
      </c>
      <c r="E8714" s="8" t="str">
        <f>IFERROR(__xludf.DUMMYFUNCTION("""COMPUTED_VALUE"""),"Real")</f>
        <v>Real</v>
      </c>
      <c r="G8714" s="8">
        <f t="shared" si="1"/>
        <v>10</v>
      </c>
      <c r="H8714" s="14">
        <f t="shared" si="2"/>
        <v>30</v>
      </c>
      <c r="I8714" s="15">
        <f t="shared" si="3"/>
        <v>1</v>
      </c>
    </row>
    <row r="8715">
      <c r="A8715" s="8" t="str">
        <f>IFERROR(__xludf.DUMMYFUNCTION("IF('(INGESTA)Datos_consumo_datadis'!A8715&lt;&gt;"""",SPLIT('(INGESTA)Datos_consumo_datadis'!A:A,"",""),"""")"),"ES0031408323131005HX0F")</f>
        <v>ES0031408323131005HX0F</v>
      </c>
      <c r="B8715" s="17">
        <f>IFERROR(__xludf.DUMMYFUNCTION("""COMPUTED_VALUE"""),45229.0)</f>
        <v>45229</v>
      </c>
      <c r="C8715" s="13">
        <f>IFERROR(__xludf.DUMMYFUNCTION("""COMPUTED_VALUE"""),0.08333333333333333)</f>
        <v>0.08333333333</v>
      </c>
      <c r="D8715" s="8">
        <f>IFERROR(__xludf.DUMMYFUNCTION("""COMPUTED_VALUE"""),0.116)</f>
        <v>0.116</v>
      </c>
      <c r="E8715" s="8" t="str">
        <f>IFERROR(__xludf.DUMMYFUNCTION("""COMPUTED_VALUE"""),"Real")</f>
        <v>Real</v>
      </c>
      <c r="G8715" s="8">
        <f t="shared" si="1"/>
        <v>10</v>
      </c>
      <c r="H8715" s="14">
        <f t="shared" si="2"/>
        <v>30</v>
      </c>
      <c r="I8715" s="15">
        <f t="shared" si="3"/>
        <v>2</v>
      </c>
    </row>
    <row r="8716">
      <c r="A8716" s="8" t="str">
        <f>IFERROR(__xludf.DUMMYFUNCTION("IF('(INGESTA)Datos_consumo_datadis'!A8716&lt;&gt;"""",SPLIT('(INGESTA)Datos_consumo_datadis'!A:A,"",""),"""")"),"ES0031408323131005HX0F")</f>
        <v>ES0031408323131005HX0F</v>
      </c>
      <c r="B8716" s="17">
        <f>IFERROR(__xludf.DUMMYFUNCTION("""COMPUTED_VALUE"""),45229.0)</f>
        <v>45229</v>
      </c>
      <c r="C8716" s="13">
        <f>IFERROR(__xludf.DUMMYFUNCTION("""COMPUTED_VALUE"""),0.125)</f>
        <v>0.125</v>
      </c>
      <c r="D8716" s="8">
        <f>IFERROR(__xludf.DUMMYFUNCTION("""COMPUTED_VALUE"""),0.108)</f>
        <v>0.108</v>
      </c>
      <c r="E8716" s="8" t="str">
        <f>IFERROR(__xludf.DUMMYFUNCTION("""COMPUTED_VALUE"""),"Real")</f>
        <v>Real</v>
      </c>
      <c r="G8716" s="8">
        <f t="shared" si="1"/>
        <v>10</v>
      </c>
      <c r="H8716" s="14">
        <f t="shared" si="2"/>
        <v>30</v>
      </c>
      <c r="I8716" s="15">
        <f t="shared" si="3"/>
        <v>3</v>
      </c>
    </row>
    <row r="8717">
      <c r="A8717" s="8" t="str">
        <f>IFERROR(__xludf.DUMMYFUNCTION("IF('(INGESTA)Datos_consumo_datadis'!A8717&lt;&gt;"""",SPLIT('(INGESTA)Datos_consumo_datadis'!A:A,"",""),"""")"),"ES0031408323131005HX0F")</f>
        <v>ES0031408323131005HX0F</v>
      </c>
      <c r="B8717" s="17">
        <f>IFERROR(__xludf.DUMMYFUNCTION("""COMPUTED_VALUE"""),45229.0)</f>
        <v>45229</v>
      </c>
      <c r="C8717" s="13">
        <f>IFERROR(__xludf.DUMMYFUNCTION("""COMPUTED_VALUE"""),0.16666666666666666)</f>
        <v>0.1666666667</v>
      </c>
      <c r="D8717" s="8">
        <f>IFERROR(__xludf.DUMMYFUNCTION("""COMPUTED_VALUE"""),0.398)</f>
        <v>0.398</v>
      </c>
      <c r="E8717" s="8" t="str">
        <f>IFERROR(__xludf.DUMMYFUNCTION("""COMPUTED_VALUE"""),"Real")</f>
        <v>Real</v>
      </c>
      <c r="G8717" s="8">
        <f t="shared" si="1"/>
        <v>10</v>
      </c>
      <c r="H8717" s="14">
        <f t="shared" si="2"/>
        <v>30</v>
      </c>
      <c r="I8717" s="15">
        <f t="shared" si="3"/>
        <v>4</v>
      </c>
    </row>
    <row r="8718">
      <c r="A8718" s="8" t="str">
        <f>IFERROR(__xludf.DUMMYFUNCTION("IF('(INGESTA)Datos_consumo_datadis'!A8718&lt;&gt;"""",SPLIT('(INGESTA)Datos_consumo_datadis'!A:A,"",""),"""")"),"ES0031408323131005HX0F")</f>
        <v>ES0031408323131005HX0F</v>
      </c>
      <c r="B8718" s="17">
        <f>IFERROR(__xludf.DUMMYFUNCTION("""COMPUTED_VALUE"""),45229.0)</f>
        <v>45229</v>
      </c>
      <c r="C8718" s="13">
        <f>IFERROR(__xludf.DUMMYFUNCTION("""COMPUTED_VALUE"""),0.20833333333333334)</f>
        <v>0.2083333333</v>
      </c>
      <c r="D8718" s="8">
        <f>IFERROR(__xludf.DUMMYFUNCTION("""COMPUTED_VALUE"""),0.052)</f>
        <v>0.052</v>
      </c>
      <c r="E8718" s="8" t="str">
        <f>IFERROR(__xludf.DUMMYFUNCTION("""COMPUTED_VALUE"""),"Real")</f>
        <v>Real</v>
      </c>
      <c r="G8718" s="8">
        <f t="shared" si="1"/>
        <v>10</v>
      </c>
      <c r="H8718" s="14">
        <f t="shared" si="2"/>
        <v>30</v>
      </c>
      <c r="I8718" s="15">
        <f t="shared" si="3"/>
        <v>5</v>
      </c>
    </row>
    <row r="8719">
      <c r="A8719" s="8" t="str">
        <f>IFERROR(__xludf.DUMMYFUNCTION("IF('(INGESTA)Datos_consumo_datadis'!A8719&lt;&gt;"""",SPLIT('(INGESTA)Datos_consumo_datadis'!A:A,"",""),"""")"),"ES0031408323131005HX0F")</f>
        <v>ES0031408323131005HX0F</v>
      </c>
      <c r="B8719" s="17">
        <f>IFERROR(__xludf.DUMMYFUNCTION("""COMPUTED_VALUE"""),45229.0)</f>
        <v>45229</v>
      </c>
      <c r="C8719" s="13">
        <f>IFERROR(__xludf.DUMMYFUNCTION("""COMPUTED_VALUE"""),0.25)</f>
        <v>0.25</v>
      </c>
      <c r="D8719" s="8">
        <f>IFERROR(__xludf.DUMMYFUNCTION("""COMPUTED_VALUE"""),0.02)</f>
        <v>0.02</v>
      </c>
      <c r="E8719" s="8" t="str">
        <f>IFERROR(__xludf.DUMMYFUNCTION("""COMPUTED_VALUE"""),"Real")</f>
        <v>Real</v>
      </c>
      <c r="G8719" s="8">
        <f t="shared" si="1"/>
        <v>10</v>
      </c>
      <c r="H8719" s="14">
        <f t="shared" si="2"/>
        <v>30</v>
      </c>
      <c r="I8719" s="15">
        <f t="shared" si="3"/>
        <v>6</v>
      </c>
    </row>
    <row r="8720">
      <c r="A8720" s="8" t="str">
        <f>IFERROR(__xludf.DUMMYFUNCTION("IF('(INGESTA)Datos_consumo_datadis'!A8720&lt;&gt;"""",SPLIT('(INGESTA)Datos_consumo_datadis'!A:A,"",""),"""")"),"ES0031408323131005HX0F")</f>
        <v>ES0031408323131005HX0F</v>
      </c>
      <c r="B8720" s="17">
        <f>IFERROR(__xludf.DUMMYFUNCTION("""COMPUTED_VALUE"""),45229.0)</f>
        <v>45229</v>
      </c>
      <c r="C8720" s="13">
        <f>IFERROR(__xludf.DUMMYFUNCTION("""COMPUTED_VALUE"""),0.2916666666666667)</f>
        <v>0.2916666667</v>
      </c>
      <c r="D8720" s="8">
        <f>IFERROR(__xludf.DUMMYFUNCTION("""COMPUTED_VALUE"""),0.094)</f>
        <v>0.094</v>
      </c>
      <c r="E8720" s="8" t="str">
        <f>IFERROR(__xludf.DUMMYFUNCTION("""COMPUTED_VALUE"""),"Real")</f>
        <v>Real</v>
      </c>
      <c r="G8720" s="8">
        <f t="shared" si="1"/>
        <v>10</v>
      </c>
      <c r="H8720" s="14">
        <f t="shared" si="2"/>
        <v>30</v>
      </c>
      <c r="I8720" s="15">
        <f t="shared" si="3"/>
        <v>7</v>
      </c>
    </row>
    <row r="8721">
      <c r="A8721" s="8" t="str">
        <f>IFERROR(__xludf.DUMMYFUNCTION("IF('(INGESTA)Datos_consumo_datadis'!A8721&lt;&gt;"""",SPLIT('(INGESTA)Datos_consumo_datadis'!A:A,"",""),"""")"),"ES0031408323131005HX0F")</f>
        <v>ES0031408323131005HX0F</v>
      </c>
      <c r="B8721" s="17">
        <f>IFERROR(__xludf.DUMMYFUNCTION("""COMPUTED_VALUE"""),45229.0)</f>
        <v>45229</v>
      </c>
      <c r="C8721" s="13">
        <f>IFERROR(__xludf.DUMMYFUNCTION("""COMPUTED_VALUE"""),0.3333333333333333)</f>
        <v>0.3333333333</v>
      </c>
      <c r="D8721" s="8">
        <f>IFERROR(__xludf.DUMMYFUNCTION("""COMPUTED_VALUE"""),0.093)</f>
        <v>0.093</v>
      </c>
      <c r="E8721" s="8" t="str">
        <f>IFERROR(__xludf.DUMMYFUNCTION("""COMPUTED_VALUE"""),"Real")</f>
        <v>Real</v>
      </c>
      <c r="G8721" s="8">
        <f t="shared" si="1"/>
        <v>10</v>
      </c>
      <c r="H8721" s="14">
        <f t="shared" si="2"/>
        <v>30</v>
      </c>
      <c r="I8721" s="15">
        <f t="shared" si="3"/>
        <v>8</v>
      </c>
    </row>
    <row r="8722">
      <c r="A8722" s="8" t="str">
        <f>IFERROR(__xludf.DUMMYFUNCTION("IF('(INGESTA)Datos_consumo_datadis'!A8722&lt;&gt;"""",SPLIT('(INGESTA)Datos_consumo_datadis'!A:A,"",""),"""")"),"ES0031408323131005HX0F")</f>
        <v>ES0031408323131005HX0F</v>
      </c>
      <c r="B8722" s="17">
        <f>IFERROR(__xludf.DUMMYFUNCTION("""COMPUTED_VALUE"""),45229.0)</f>
        <v>45229</v>
      </c>
      <c r="C8722" s="13">
        <f>IFERROR(__xludf.DUMMYFUNCTION("""COMPUTED_VALUE"""),0.375)</f>
        <v>0.375</v>
      </c>
      <c r="D8722" s="8">
        <f>IFERROR(__xludf.DUMMYFUNCTION("""COMPUTED_VALUE"""),0.097)</f>
        <v>0.097</v>
      </c>
      <c r="E8722" s="8" t="str">
        <f>IFERROR(__xludf.DUMMYFUNCTION("""COMPUTED_VALUE"""),"Real")</f>
        <v>Real</v>
      </c>
      <c r="G8722" s="8">
        <f t="shared" si="1"/>
        <v>10</v>
      </c>
      <c r="H8722" s="14">
        <f t="shared" si="2"/>
        <v>30</v>
      </c>
      <c r="I8722" s="15">
        <f t="shared" si="3"/>
        <v>9</v>
      </c>
    </row>
    <row r="8723">
      <c r="A8723" s="8" t="str">
        <f>IFERROR(__xludf.DUMMYFUNCTION("IF('(INGESTA)Datos_consumo_datadis'!A8723&lt;&gt;"""",SPLIT('(INGESTA)Datos_consumo_datadis'!A:A,"",""),"""")"),"ES0031408323131005HX0F")</f>
        <v>ES0031408323131005HX0F</v>
      </c>
      <c r="B8723" s="17">
        <f>IFERROR(__xludf.DUMMYFUNCTION("""COMPUTED_VALUE"""),45229.0)</f>
        <v>45229</v>
      </c>
      <c r="C8723" s="13">
        <f>IFERROR(__xludf.DUMMYFUNCTION("""COMPUTED_VALUE"""),0.4166666666666667)</f>
        <v>0.4166666667</v>
      </c>
      <c r="D8723" s="8">
        <f>IFERROR(__xludf.DUMMYFUNCTION("""COMPUTED_VALUE"""),0.305)</f>
        <v>0.305</v>
      </c>
      <c r="E8723" s="8" t="str">
        <f>IFERROR(__xludf.DUMMYFUNCTION("""COMPUTED_VALUE"""),"Real")</f>
        <v>Real</v>
      </c>
      <c r="G8723" s="8">
        <f t="shared" si="1"/>
        <v>10</v>
      </c>
      <c r="H8723" s="14">
        <f t="shared" si="2"/>
        <v>30</v>
      </c>
      <c r="I8723" s="15">
        <f t="shared" si="3"/>
        <v>10</v>
      </c>
    </row>
    <row r="8724">
      <c r="A8724" s="8" t="str">
        <f>IFERROR(__xludf.DUMMYFUNCTION("IF('(INGESTA)Datos_consumo_datadis'!A8724&lt;&gt;"""",SPLIT('(INGESTA)Datos_consumo_datadis'!A:A,"",""),"""")"),"ES0031408323131005HX0F")</f>
        <v>ES0031408323131005HX0F</v>
      </c>
      <c r="B8724" s="17">
        <f>IFERROR(__xludf.DUMMYFUNCTION("""COMPUTED_VALUE"""),45229.0)</f>
        <v>45229</v>
      </c>
      <c r="C8724" s="13">
        <f>IFERROR(__xludf.DUMMYFUNCTION("""COMPUTED_VALUE"""),0.4583333333333333)</f>
        <v>0.4583333333</v>
      </c>
      <c r="D8724" s="8">
        <f>IFERROR(__xludf.DUMMYFUNCTION("""COMPUTED_VALUE"""),0.076)</f>
        <v>0.076</v>
      </c>
      <c r="E8724" s="8" t="str">
        <f>IFERROR(__xludf.DUMMYFUNCTION("""COMPUTED_VALUE"""),"Real")</f>
        <v>Real</v>
      </c>
      <c r="G8724" s="8">
        <f t="shared" si="1"/>
        <v>10</v>
      </c>
      <c r="H8724" s="14">
        <f t="shared" si="2"/>
        <v>30</v>
      </c>
      <c r="I8724" s="15">
        <f t="shared" si="3"/>
        <v>11</v>
      </c>
    </row>
    <row r="8725">
      <c r="A8725" s="8" t="str">
        <f>IFERROR(__xludf.DUMMYFUNCTION("IF('(INGESTA)Datos_consumo_datadis'!A8725&lt;&gt;"""",SPLIT('(INGESTA)Datos_consumo_datadis'!A:A,"",""),"""")"),"ES0031408323131005HX0F")</f>
        <v>ES0031408323131005HX0F</v>
      </c>
      <c r="B8725" s="17">
        <f>IFERROR(__xludf.DUMMYFUNCTION("""COMPUTED_VALUE"""),45229.0)</f>
        <v>45229</v>
      </c>
      <c r="C8725" s="13">
        <f>IFERROR(__xludf.DUMMYFUNCTION("""COMPUTED_VALUE"""),0.5)</f>
        <v>0.5</v>
      </c>
      <c r="D8725" s="8">
        <f>IFERROR(__xludf.DUMMYFUNCTION("""COMPUTED_VALUE"""),0.08)</f>
        <v>0.08</v>
      </c>
      <c r="E8725" s="8" t="str">
        <f>IFERROR(__xludf.DUMMYFUNCTION("""COMPUTED_VALUE"""),"Real")</f>
        <v>Real</v>
      </c>
      <c r="G8725" s="8">
        <f t="shared" si="1"/>
        <v>10</v>
      </c>
      <c r="H8725" s="14">
        <f t="shared" si="2"/>
        <v>30</v>
      </c>
      <c r="I8725" s="15">
        <f t="shared" si="3"/>
        <v>12</v>
      </c>
    </row>
    <row r="8726">
      <c r="A8726" s="8" t="str">
        <f>IFERROR(__xludf.DUMMYFUNCTION("IF('(INGESTA)Datos_consumo_datadis'!A8726&lt;&gt;"""",SPLIT('(INGESTA)Datos_consumo_datadis'!A:A,"",""),"""")"),"ES0031408323131005HX0F")</f>
        <v>ES0031408323131005HX0F</v>
      </c>
      <c r="B8726" s="17">
        <f>IFERROR(__xludf.DUMMYFUNCTION("""COMPUTED_VALUE"""),45229.0)</f>
        <v>45229</v>
      </c>
      <c r="C8726" s="13">
        <f>IFERROR(__xludf.DUMMYFUNCTION("""COMPUTED_VALUE"""),0.5416666666666666)</f>
        <v>0.5416666667</v>
      </c>
      <c r="D8726" s="8">
        <f>IFERROR(__xludf.DUMMYFUNCTION("""COMPUTED_VALUE"""),0.058)</f>
        <v>0.058</v>
      </c>
      <c r="E8726" s="8" t="str">
        <f>IFERROR(__xludf.DUMMYFUNCTION("""COMPUTED_VALUE"""),"Real")</f>
        <v>Real</v>
      </c>
      <c r="G8726" s="8">
        <f t="shared" si="1"/>
        <v>10</v>
      </c>
      <c r="H8726" s="14">
        <f t="shared" si="2"/>
        <v>30</v>
      </c>
      <c r="I8726" s="15">
        <f t="shared" si="3"/>
        <v>13</v>
      </c>
    </row>
    <row r="8727">
      <c r="A8727" s="8" t="str">
        <f>IFERROR(__xludf.DUMMYFUNCTION("IF('(INGESTA)Datos_consumo_datadis'!A8727&lt;&gt;"""",SPLIT('(INGESTA)Datos_consumo_datadis'!A:A,"",""),"""")"),"ES0031408323131005HX0F")</f>
        <v>ES0031408323131005HX0F</v>
      </c>
      <c r="B8727" s="17">
        <f>IFERROR(__xludf.DUMMYFUNCTION("""COMPUTED_VALUE"""),45229.0)</f>
        <v>45229</v>
      </c>
      <c r="C8727" s="13">
        <f>IFERROR(__xludf.DUMMYFUNCTION("""COMPUTED_VALUE"""),0.5833333333333334)</f>
        <v>0.5833333333</v>
      </c>
      <c r="D8727" s="8">
        <f>IFERROR(__xludf.DUMMYFUNCTION("""COMPUTED_VALUE"""),0.045)</f>
        <v>0.045</v>
      </c>
      <c r="E8727" s="8" t="str">
        <f>IFERROR(__xludf.DUMMYFUNCTION("""COMPUTED_VALUE"""),"Real")</f>
        <v>Real</v>
      </c>
      <c r="G8727" s="8">
        <f t="shared" si="1"/>
        <v>10</v>
      </c>
      <c r="H8727" s="14">
        <f t="shared" si="2"/>
        <v>30</v>
      </c>
      <c r="I8727" s="15">
        <f t="shared" si="3"/>
        <v>14</v>
      </c>
    </row>
    <row r="8728">
      <c r="A8728" s="8" t="str">
        <f>IFERROR(__xludf.DUMMYFUNCTION("IF('(INGESTA)Datos_consumo_datadis'!A8728&lt;&gt;"""",SPLIT('(INGESTA)Datos_consumo_datadis'!A:A,"",""),"""")"),"ES0031408323131005HX0F")</f>
        <v>ES0031408323131005HX0F</v>
      </c>
      <c r="B8728" s="17">
        <f>IFERROR(__xludf.DUMMYFUNCTION("""COMPUTED_VALUE"""),45229.0)</f>
        <v>45229</v>
      </c>
      <c r="C8728" s="13">
        <f>IFERROR(__xludf.DUMMYFUNCTION("""COMPUTED_VALUE"""),0.625)</f>
        <v>0.625</v>
      </c>
      <c r="D8728" s="8">
        <f>IFERROR(__xludf.DUMMYFUNCTION("""COMPUTED_VALUE"""),0.087)</f>
        <v>0.087</v>
      </c>
      <c r="E8728" s="8" t="str">
        <f>IFERROR(__xludf.DUMMYFUNCTION("""COMPUTED_VALUE"""),"Real")</f>
        <v>Real</v>
      </c>
      <c r="G8728" s="8">
        <f t="shared" si="1"/>
        <v>10</v>
      </c>
      <c r="H8728" s="14">
        <f t="shared" si="2"/>
        <v>30</v>
      </c>
      <c r="I8728" s="15">
        <f t="shared" si="3"/>
        <v>15</v>
      </c>
    </row>
    <row r="8729">
      <c r="A8729" s="8" t="str">
        <f>IFERROR(__xludf.DUMMYFUNCTION("IF('(INGESTA)Datos_consumo_datadis'!A8729&lt;&gt;"""",SPLIT('(INGESTA)Datos_consumo_datadis'!A:A,"",""),"""")"),"ES0031408323131005HX0F")</f>
        <v>ES0031408323131005HX0F</v>
      </c>
      <c r="B8729" s="17">
        <f>IFERROR(__xludf.DUMMYFUNCTION("""COMPUTED_VALUE"""),45229.0)</f>
        <v>45229</v>
      </c>
      <c r="C8729" s="13">
        <f>IFERROR(__xludf.DUMMYFUNCTION("""COMPUTED_VALUE"""),0.6666666666666666)</f>
        <v>0.6666666667</v>
      </c>
      <c r="D8729" s="8">
        <f>IFERROR(__xludf.DUMMYFUNCTION("""COMPUTED_VALUE"""),0.079)</f>
        <v>0.079</v>
      </c>
      <c r="E8729" s="8" t="str">
        <f>IFERROR(__xludf.DUMMYFUNCTION("""COMPUTED_VALUE"""),"Real")</f>
        <v>Real</v>
      </c>
      <c r="G8729" s="8">
        <f t="shared" si="1"/>
        <v>10</v>
      </c>
      <c r="H8729" s="14">
        <f t="shared" si="2"/>
        <v>30</v>
      </c>
      <c r="I8729" s="15">
        <f t="shared" si="3"/>
        <v>16</v>
      </c>
    </row>
    <row r="8730">
      <c r="A8730" s="8" t="str">
        <f>IFERROR(__xludf.DUMMYFUNCTION("IF('(INGESTA)Datos_consumo_datadis'!A8730&lt;&gt;"""",SPLIT('(INGESTA)Datos_consumo_datadis'!A:A,"",""),"""")"),"ES0031408323131005HX0F")</f>
        <v>ES0031408323131005HX0F</v>
      </c>
      <c r="B8730" s="17">
        <f>IFERROR(__xludf.DUMMYFUNCTION("""COMPUTED_VALUE"""),45229.0)</f>
        <v>45229</v>
      </c>
      <c r="C8730" s="13">
        <f>IFERROR(__xludf.DUMMYFUNCTION("""COMPUTED_VALUE"""),0.7083333333333334)</f>
        <v>0.7083333333</v>
      </c>
      <c r="D8730" s="8">
        <f>IFERROR(__xludf.DUMMYFUNCTION("""COMPUTED_VALUE"""),0.315)</f>
        <v>0.315</v>
      </c>
      <c r="E8730" s="8" t="str">
        <f>IFERROR(__xludf.DUMMYFUNCTION("""COMPUTED_VALUE"""),"Real")</f>
        <v>Real</v>
      </c>
      <c r="G8730" s="8">
        <f t="shared" si="1"/>
        <v>10</v>
      </c>
      <c r="H8730" s="14">
        <f t="shared" si="2"/>
        <v>30</v>
      </c>
      <c r="I8730" s="15">
        <f t="shared" si="3"/>
        <v>17</v>
      </c>
    </row>
    <row r="8731">
      <c r="A8731" s="8" t="str">
        <f>IFERROR(__xludf.DUMMYFUNCTION("IF('(INGESTA)Datos_consumo_datadis'!A8731&lt;&gt;"""",SPLIT('(INGESTA)Datos_consumo_datadis'!A:A,"",""),"""")"),"ES0031408323131005HX0F")</f>
        <v>ES0031408323131005HX0F</v>
      </c>
      <c r="B8731" s="17">
        <f>IFERROR(__xludf.DUMMYFUNCTION("""COMPUTED_VALUE"""),45229.0)</f>
        <v>45229</v>
      </c>
      <c r="C8731" s="13">
        <f>IFERROR(__xludf.DUMMYFUNCTION("""COMPUTED_VALUE"""),0.75)</f>
        <v>0.75</v>
      </c>
      <c r="D8731" s="8">
        <f>IFERROR(__xludf.DUMMYFUNCTION("""COMPUTED_VALUE"""),0.107)</f>
        <v>0.107</v>
      </c>
      <c r="E8731" s="8" t="str">
        <f>IFERROR(__xludf.DUMMYFUNCTION("""COMPUTED_VALUE"""),"Real")</f>
        <v>Real</v>
      </c>
      <c r="G8731" s="8">
        <f t="shared" si="1"/>
        <v>10</v>
      </c>
      <c r="H8731" s="14">
        <f t="shared" si="2"/>
        <v>30</v>
      </c>
      <c r="I8731" s="15">
        <f t="shared" si="3"/>
        <v>18</v>
      </c>
    </row>
    <row r="8732">
      <c r="A8732" s="8" t="str">
        <f>IFERROR(__xludf.DUMMYFUNCTION("IF('(INGESTA)Datos_consumo_datadis'!A8732&lt;&gt;"""",SPLIT('(INGESTA)Datos_consumo_datadis'!A:A,"",""),"""")"),"ES0031408323131005HX0F")</f>
        <v>ES0031408323131005HX0F</v>
      </c>
      <c r="B8732" s="17">
        <f>IFERROR(__xludf.DUMMYFUNCTION("""COMPUTED_VALUE"""),45229.0)</f>
        <v>45229</v>
      </c>
      <c r="C8732" s="13">
        <f>IFERROR(__xludf.DUMMYFUNCTION("""COMPUTED_VALUE"""),0.7916666666666666)</f>
        <v>0.7916666667</v>
      </c>
      <c r="D8732" s="8">
        <f>IFERROR(__xludf.DUMMYFUNCTION("""COMPUTED_VALUE"""),0.092)</f>
        <v>0.092</v>
      </c>
      <c r="E8732" s="8" t="str">
        <f>IFERROR(__xludf.DUMMYFUNCTION("""COMPUTED_VALUE"""),"Real")</f>
        <v>Real</v>
      </c>
      <c r="G8732" s="8">
        <f t="shared" si="1"/>
        <v>10</v>
      </c>
      <c r="H8732" s="14">
        <f t="shared" si="2"/>
        <v>30</v>
      </c>
      <c r="I8732" s="15">
        <f t="shared" si="3"/>
        <v>19</v>
      </c>
    </row>
    <row r="8733">
      <c r="A8733" s="8" t="str">
        <f>IFERROR(__xludf.DUMMYFUNCTION("IF('(INGESTA)Datos_consumo_datadis'!A8733&lt;&gt;"""",SPLIT('(INGESTA)Datos_consumo_datadis'!A:A,"",""),"""")"),"ES0031408323131005HX0F")</f>
        <v>ES0031408323131005HX0F</v>
      </c>
      <c r="B8733" s="17">
        <f>IFERROR(__xludf.DUMMYFUNCTION("""COMPUTED_VALUE"""),45229.0)</f>
        <v>45229</v>
      </c>
      <c r="C8733" s="13">
        <f>IFERROR(__xludf.DUMMYFUNCTION("""COMPUTED_VALUE"""),0.8333333333333334)</f>
        <v>0.8333333333</v>
      </c>
      <c r="D8733" s="8">
        <f>IFERROR(__xludf.DUMMYFUNCTION("""COMPUTED_VALUE"""),0.071)</f>
        <v>0.071</v>
      </c>
      <c r="E8733" s="8" t="str">
        <f>IFERROR(__xludf.DUMMYFUNCTION("""COMPUTED_VALUE"""),"Real")</f>
        <v>Real</v>
      </c>
      <c r="G8733" s="8">
        <f t="shared" si="1"/>
        <v>10</v>
      </c>
      <c r="H8733" s="14">
        <f t="shared" si="2"/>
        <v>30</v>
      </c>
      <c r="I8733" s="15">
        <f t="shared" si="3"/>
        <v>20</v>
      </c>
    </row>
    <row r="8734">
      <c r="A8734" s="8" t="str">
        <f>IFERROR(__xludf.DUMMYFUNCTION("IF('(INGESTA)Datos_consumo_datadis'!A8734&lt;&gt;"""",SPLIT('(INGESTA)Datos_consumo_datadis'!A:A,"",""),"""")"),"ES0031408323131005HX0F")</f>
        <v>ES0031408323131005HX0F</v>
      </c>
      <c r="B8734" s="17">
        <f>IFERROR(__xludf.DUMMYFUNCTION("""COMPUTED_VALUE"""),45229.0)</f>
        <v>45229</v>
      </c>
      <c r="C8734" s="13">
        <f>IFERROR(__xludf.DUMMYFUNCTION("""COMPUTED_VALUE"""),0.875)</f>
        <v>0.875</v>
      </c>
      <c r="D8734" s="8">
        <f>IFERROR(__xludf.DUMMYFUNCTION("""COMPUTED_VALUE"""),0.123)</f>
        <v>0.123</v>
      </c>
      <c r="E8734" s="8" t="str">
        <f>IFERROR(__xludf.DUMMYFUNCTION("""COMPUTED_VALUE"""),"Real")</f>
        <v>Real</v>
      </c>
      <c r="G8734" s="8">
        <f t="shared" si="1"/>
        <v>10</v>
      </c>
      <c r="H8734" s="14">
        <f t="shared" si="2"/>
        <v>30</v>
      </c>
      <c r="I8734" s="15">
        <f t="shared" si="3"/>
        <v>21</v>
      </c>
    </row>
    <row r="8735">
      <c r="A8735" s="8" t="str">
        <f>IFERROR(__xludf.DUMMYFUNCTION("IF('(INGESTA)Datos_consumo_datadis'!A8735&lt;&gt;"""",SPLIT('(INGESTA)Datos_consumo_datadis'!A:A,"",""),"""")"),"ES0031408323131005HX0F")</f>
        <v>ES0031408323131005HX0F</v>
      </c>
      <c r="B8735" s="17">
        <f>IFERROR(__xludf.DUMMYFUNCTION("""COMPUTED_VALUE"""),45229.0)</f>
        <v>45229</v>
      </c>
      <c r="C8735" s="13">
        <f>IFERROR(__xludf.DUMMYFUNCTION("""COMPUTED_VALUE"""),0.9166666666666666)</f>
        <v>0.9166666667</v>
      </c>
      <c r="D8735" s="8">
        <f>IFERROR(__xludf.DUMMYFUNCTION("""COMPUTED_VALUE"""),1.424)</f>
        <v>1.424</v>
      </c>
      <c r="E8735" s="8" t="str">
        <f>IFERROR(__xludf.DUMMYFUNCTION("""COMPUTED_VALUE"""),"Real")</f>
        <v>Real</v>
      </c>
      <c r="G8735" s="8">
        <f t="shared" si="1"/>
        <v>10</v>
      </c>
      <c r="H8735" s="14">
        <f t="shared" si="2"/>
        <v>30</v>
      </c>
      <c r="I8735" s="15">
        <f t="shared" si="3"/>
        <v>22</v>
      </c>
    </row>
    <row r="8736">
      <c r="A8736" s="8" t="str">
        <f>IFERROR(__xludf.DUMMYFUNCTION("IF('(INGESTA)Datos_consumo_datadis'!A8736&lt;&gt;"""",SPLIT('(INGESTA)Datos_consumo_datadis'!A:A,"",""),"""")"),"ES0031408323131005HX0F")</f>
        <v>ES0031408323131005HX0F</v>
      </c>
      <c r="B8736" s="17">
        <f>IFERROR(__xludf.DUMMYFUNCTION("""COMPUTED_VALUE"""),45229.0)</f>
        <v>45229</v>
      </c>
      <c r="C8736" s="13">
        <f>IFERROR(__xludf.DUMMYFUNCTION("""COMPUTED_VALUE"""),0.9583333333333334)</f>
        <v>0.9583333333</v>
      </c>
      <c r="D8736" s="8">
        <f>IFERROR(__xludf.DUMMYFUNCTION("""COMPUTED_VALUE"""),0.953)</f>
        <v>0.953</v>
      </c>
      <c r="E8736" s="8" t="str">
        <f>IFERROR(__xludf.DUMMYFUNCTION("""COMPUTED_VALUE"""),"Real")</f>
        <v>Real</v>
      </c>
      <c r="G8736" s="8">
        <f t="shared" si="1"/>
        <v>10</v>
      </c>
      <c r="H8736" s="14">
        <f t="shared" si="2"/>
        <v>30</v>
      </c>
      <c r="I8736" s="15">
        <f t="shared" si="3"/>
        <v>23</v>
      </c>
    </row>
    <row r="8737">
      <c r="A8737" s="8" t="str">
        <f>IFERROR(__xludf.DUMMYFUNCTION("IF('(INGESTA)Datos_consumo_datadis'!A8737&lt;&gt;"""",SPLIT('(INGESTA)Datos_consumo_datadis'!A:A,"",""),"""")"),"ES0031408323131005HX0F")</f>
        <v>ES0031408323131005HX0F</v>
      </c>
      <c r="B8737" s="17">
        <f>IFERROR(__xludf.DUMMYFUNCTION("""COMPUTED_VALUE"""),45229.0)</f>
        <v>45229</v>
      </c>
      <c r="C8737" s="16">
        <f>IFERROR(__xludf.DUMMYFUNCTION("""COMPUTED_VALUE"""),1.0)</f>
        <v>1</v>
      </c>
      <c r="D8737" s="8">
        <f>IFERROR(__xludf.DUMMYFUNCTION("""COMPUTED_VALUE"""),0.075)</f>
        <v>0.075</v>
      </c>
      <c r="E8737" s="8" t="str">
        <f>IFERROR(__xludf.DUMMYFUNCTION("""COMPUTED_VALUE"""),"Real")</f>
        <v>Real</v>
      </c>
      <c r="G8737" s="8">
        <f t="shared" si="1"/>
        <v>10</v>
      </c>
      <c r="H8737" s="14">
        <f t="shared" si="2"/>
        <v>30</v>
      </c>
      <c r="I8737" s="15">
        <f t="shared" si="3"/>
        <v>0</v>
      </c>
    </row>
    <row r="8738">
      <c r="A8738" s="8" t="str">
        <f>IFERROR(__xludf.DUMMYFUNCTION("IF('(INGESTA)Datos_consumo_datadis'!A8738&lt;&gt;"""",SPLIT('(INGESTA)Datos_consumo_datadis'!A:A,"",""),"""")"),"ES0031408323131005HX0F")</f>
        <v>ES0031408323131005HX0F</v>
      </c>
      <c r="B8738" s="17">
        <f>IFERROR(__xludf.DUMMYFUNCTION("""COMPUTED_VALUE"""),45230.0)</f>
        <v>45230</v>
      </c>
      <c r="C8738" s="13">
        <f>IFERROR(__xludf.DUMMYFUNCTION("""COMPUTED_VALUE"""),0.041666666666666664)</f>
        <v>0.04166666667</v>
      </c>
      <c r="D8738" s="8">
        <f>IFERROR(__xludf.DUMMYFUNCTION("""COMPUTED_VALUE"""),0.069)</f>
        <v>0.069</v>
      </c>
      <c r="E8738" s="8" t="str">
        <f>IFERROR(__xludf.DUMMYFUNCTION("""COMPUTED_VALUE"""),"Real")</f>
        <v>Real</v>
      </c>
      <c r="G8738" s="8">
        <f t="shared" si="1"/>
        <v>10</v>
      </c>
      <c r="H8738" s="14">
        <f t="shared" si="2"/>
        <v>31</v>
      </c>
      <c r="I8738" s="15">
        <f t="shared" si="3"/>
        <v>1</v>
      </c>
    </row>
    <row r="8739">
      <c r="A8739" s="8" t="str">
        <f>IFERROR(__xludf.DUMMYFUNCTION("IF('(INGESTA)Datos_consumo_datadis'!A8739&lt;&gt;"""",SPLIT('(INGESTA)Datos_consumo_datadis'!A:A,"",""),"""")"),"ES0031408323131005HX0F")</f>
        <v>ES0031408323131005HX0F</v>
      </c>
      <c r="B8739" s="17">
        <f>IFERROR(__xludf.DUMMYFUNCTION("""COMPUTED_VALUE"""),45230.0)</f>
        <v>45230</v>
      </c>
      <c r="C8739" s="13">
        <f>IFERROR(__xludf.DUMMYFUNCTION("""COMPUTED_VALUE"""),0.08333333333333333)</f>
        <v>0.08333333333</v>
      </c>
      <c r="D8739" s="8">
        <f>IFERROR(__xludf.DUMMYFUNCTION("""COMPUTED_VALUE"""),0.04)</f>
        <v>0.04</v>
      </c>
      <c r="E8739" s="8" t="str">
        <f>IFERROR(__xludf.DUMMYFUNCTION("""COMPUTED_VALUE"""),"Real")</f>
        <v>Real</v>
      </c>
      <c r="G8739" s="8">
        <f t="shared" si="1"/>
        <v>10</v>
      </c>
      <c r="H8739" s="14">
        <f t="shared" si="2"/>
        <v>31</v>
      </c>
      <c r="I8739" s="15">
        <f t="shared" si="3"/>
        <v>2</v>
      </c>
    </row>
    <row r="8740">
      <c r="A8740" s="8" t="str">
        <f>IFERROR(__xludf.DUMMYFUNCTION("IF('(INGESTA)Datos_consumo_datadis'!A8740&lt;&gt;"""",SPLIT('(INGESTA)Datos_consumo_datadis'!A:A,"",""),"""")"),"ES0031408323131005HX0F")</f>
        <v>ES0031408323131005HX0F</v>
      </c>
      <c r="B8740" s="17">
        <f>IFERROR(__xludf.DUMMYFUNCTION("""COMPUTED_VALUE"""),45230.0)</f>
        <v>45230</v>
      </c>
      <c r="C8740" s="13">
        <f>IFERROR(__xludf.DUMMYFUNCTION("""COMPUTED_VALUE"""),0.125)</f>
        <v>0.125</v>
      </c>
      <c r="D8740" s="8">
        <f>IFERROR(__xludf.DUMMYFUNCTION("""COMPUTED_VALUE"""),0.117)</f>
        <v>0.117</v>
      </c>
      <c r="E8740" s="8" t="str">
        <f>IFERROR(__xludf.DUMMYFUNCTION("""COMPUTED_VALUE"""),"Real")</f>
        <v>Real</v>
      </c>
      <c r="G8740" s="8">
        <f t="shared" si="1"/>
        <v>10</v>
      </c>
      <c r="H8740" s="14">
        <f t="shared" si="2"/>
        <v>31</v>
      </c>
      <c r="I8740" s="15">
        <f t="shared" si="3"/>
        <v>3</v>
      </c>
    </row>
    <row r="8741">
      <c r="A8741" s="8" t="str">
        <f>IFERROR(__xludf.DUMMYFUNCTION("IF('(INGESTA)Datos_consumo_datadis'!A8741&lt;&gt;"""",SPLIT('(INGESTA)Datos_consumo_datadis'!A:A,"",""),"""")"),"ES0031408323131005HX0F")</f>
        <v>ES0031408323131005HX0F</v>
      </c>
      <c r="B8741" s="17">
        <f>IFERROR(__xludf.DUMMYFUNCTION("""COMPUTED_VALUE"""),45230.0)</f>
        <v>45230</v>
      </c>
      <c r="C8741" s="13">
        <f>IFERROR(__xludf.DUMMYFUNCTION("""COMPUTED_VALUE"""),0.16666666666666666)</f>
        <v>0.1666666667</v>
      </c>
      <c r="D8741" s="8">
        <f>IFERROR(__xludf.DUMMYFUNCTION("""COMPUTED_VALUE"""),0.343)</f>
        <v>0.343</v>
      </c>
      <c r="E8741" s="8" t="str">
        <f>IFERROR(__xludf.DUMMYFUNCTION("""COMPUTED_VALUE"""),"Real")</f>
        <v>Real</v>
      </c>
      <c r="G8741" s="8">
        <f t="shared" si="1"/>
        <v>10</v>
      </c>
      <c r="H8741" s="14">
        <f t="shared" si="2"/>
        <v>31</v>
      </c>
      <c r="I8741" s="15">
        <f t="shared" si="3"/>
        <v>4</v>
      </c>
    </row>
    <row r="8742">
      <c r="A8742" s="8" t="str">
        <f>IFERROR(__xludf.DUMMYFUNCTION("IF('(INGESTA)Datos_consumo_datadis'!A8742&lt;&gt;"""",SPLIT('(INGESTA)Datos_consumo_datadis'!A:A,"",""),"""")"),"ES0031408323131005HX0F")</f>
        <v>ES0031408323131005HX0F</v>
      </c>
      <c r="B8742" s="17">
        <f>IFERROR(__xludf.DUMMYFUNCTION("""COMPUTED_VALUE"""),45230.0)</f>
        <v>45230</v>
      </c>
      <c r="C8742" s="13">
        <f>IFERROR(__xludf.DUMMYFUNCTION("""COMPUTED_VALUE"""),0.20833333333333334)</f>
        <v>0.2083333333</v>
      </c>
      <c r="D8742" s="8">
        <f>IFERROR(__xludf.DUMMYFUNCTION("""COMPUTED_VALUE"""),0.025)</f>
        <v>0.025</v>
      </c>
      <c r="E8742" s="8" t="str">
        <f>IFERROR(__xludf.DUMMYFUNCTION("""COMPUTED_VALUE"""),"Real")</f>
        <v>Real</v>
      </c>
      <c r="G8742" s="8">
        <f t="shared" si="1"/>
        <v>10</v>
      </c>
      <c r="H8742" s="14">
        <f t="shared" si="2"/>
        <v>31</v>
      </c>
      <c r="I8742" s="15">
        <f t="shared" si="3"/>
        <v>5</v>
      </c>
    </row>
    <row r="8743">
      <c r="A8743" s="8" t="str">
        <f>IFERROR(__xludf.DUMMYFUNCTION("IF('(INGESTA)Datos_consumo_datadis'!A8743&lt;&gt;"""",SPLIT('(INGESTA)Datos_consumo_datadis'!A:A,"",""),"""")"),"ES0031408323131005HX0F")</f>
        <v>ES0031408323131005HX0F</v>
      </c>
      <c r="B8743" s="17">
        <f>IFERROR(__xludf.DUMMYFUNCTION("""COMPUTED_VALUE"""),45230.0)</f>
        <v>45230</v>
      </c>
      <c r="C8743" s="13">
        <f>IFERROR(__xludf.DUMMYFUNCTION("""COMPUTED_VALUE"""),0.25)</f>
        <v>0.25</v>
      </c>
      <c r="D8743" s="8">
        <f>IFERROR(__xludf.DUMMYFUNCTION("""COMPUTED_VALUE"""),0.11)</f>
        <v>0.11</v>
      </c>
      <c r="E8743" s="8" t="str">
        <f>IFERROR(__xludf.DUMMYFUNCTION("""COMPUTED_VALUE"""),"Real")</f>
        <v>Real</v>
      </c>
      <c r="G8743" s="8">
        <f t="shared" si="1"/>
        <v>10</v>
      </c>
      <c r="H8743" s="14">
        <f t="shared" si="2"/>
        <v>31</v>
      </c>
      <c r="I8743" s="15">
        <f t="shared" si="3"/>
        <v>6</v>
      </c>
    </row>
    <row r="8744">
      <c r="A8744" s="8" t="str">
        <f>IFERROR(__xludf.DUMMYFUNCTION("IF('(INGESTA)Datos_consumo_datadis'!A8744&lt;&gt;"""",SPLIT('(INGESTA)Datos_consumo_datadis'!A:A,"",""),"""")"),"ES0031408323131005HX0F")</f>
        <v>ES0031408323131005HX0F</v>
      </c>
      <c r="B8744" s="17">
        <f>IFERROR(__xludf.DUMMYFUNCTION("""COMPUTED_VALUE"""),45230.0)</f>
        <v>45230</v>
      </c>
      <c r="C8744" s="13">
        <f>IFERROR(__xludf.DUMMYFUNCTION("""COMPUTED_VALUE"""),0.2916666666666667)</f>
        <v>0.2916666667</v>
      </c>
      <c r="D8744" s="8">
        <f>IFERROR(__xludf.DUMMYFUNCTION("""COMPUTED_VALUE"""),0.06)</f>
        <v>0.06</v>
      </c>
      <c r="E8744" s="8" t="str">
        <f>IFERROR(__xludf.DUMMYFUNCTION("""COMPUTED_VALUE"""),"Real")</f>
        <v>Real</v>
      </c>
      <c r="G8744" s="8">
        <f t="shared" si="1"/>
        <v>10</v>
      </c>
      <c r="H8744" s="14">
        <f t="shared" si="2"/>
        <v>31</v>
      </c>
      <c r="I8744" s="15">
        <f t="shared" si="3"/>
        <v>7</v>
      </c>
    </row>
    <row r="8745">
      <c r="A8745" s="8" t="str">
        <f>IFERROR(__xludf.DUMMYFUNCTION("IF('(INGESTA)Datos_consumo_datadis'!A8745&lt;&gt;"""",SPLIT('(INGESTA)Datos_consumo_datadis'!A:A,"",""),"""")"),"ES0031408323131005HX0F")</f>
        <v>ES0031408323131005HX0F</v>
      </c>
      <c r="B8745" s="17">
        <f>IFERROR(__xludf.DUMMYFUNCTION("""COMPUTED_VALUE"""),45230.0)</f>
        <v>45230</v>
      </c>
      <c r="C8745" s="13">
        <f>IFERROR(__xludf.DUMMYFUNCTION("""COMPUTED_VALUE"""),0.3333333333333333)</f>
        <v>0.3333333333</v>
      </c>
      <c r="D8745" s="8">
        <f>IFERROR(__xludf.DUMMYFUNCTION("""COMPUTED_VALUE"""),0.047)</f>
        <v>0.047</v>
      </c>
      <c r="E8745" s="8" t="str">
        <f>IFERROR(__xludf.DUMMYFUNCTION("""COMPUTED_VALUE"""),"Real")</f>
        <v>Real</v>
      </c>
      <c r="G8745" s="8">
        <f t="shared" si="1"/>
        <v>10</v>
      </c>
      <c r="H8745" s="14">
        <f t="shared" si="2"/>
        <v>31</v>
      </c>
      <c r="I8745" s="15">
        <f t="shared" si="3"/>
        <v>8</v>
      </c>
    </row>
    <row r="8746">
      <c r="A8746" s="8" t="str">
        <f>IFERROR(__xludf.DUMMYFUNCTION("IF('(INGESTA)Datos_consumo_datadis'!A8746&lt;&gt;"""",SPLIT('(INGESTA)Datos_consumo_datadis'!A:A,"",""),"""")"),"ES0031408323131005HX0F")</f>
        <v>ES0031408323131005HX0F</v>
      </c>
      <c r="B8746" s="17">
        <f>IFERROR(__xludf.DUMMYFUNCTION("""COMPUTED_VALUE"""),45230.0)</f>
        <v>45230</v>
      </c>
      <c r="C8746" s="13">
        <f>IFERROR(__xludf.DUMMYFUNCTION("""COMPUTED_VALUE"""),0.375)</f>
        <v>0.375</v>
      </c>
      <c r="D8746" s="8">
        <f>IFERROR(__xludf.DUMMYFUNCTION("""COMPUTED_VALUE"""),0.233)</f>
        <v>0.233</v>
      </c>
      <c r="E8746" s="8" t="str">
        <f>IFERROR(__xludf.DUMMYFUNCTION("""COMPUTED_VALUE"""),"Real")</f>
        <v>Real</v>
      </c>
      <c r="G8746" s="8">
        <f t="shared" si="1"/>
        <v>10</v>
      </c>
      <c r="H8746" s="14">
        <f t="shared" si="2"/>
        <v>31</v>
      </c>
      <c r="I8746" s="15">
        <f t="shared" si="3"/>
        <v>9</v>
      </c>
    </row>
    <row r="8747">
      <c r="A8747" s="8" t="str">
        <f>IFERROR(__xludf.DUMMYFUNCTION("IF('(INGESTA)Datos_consumo_datadis'!A8747&lt;&gt;"""",SPLIT('(INGESTA)Datos_consumo_datadis'!A:A,"",""),"""")"),"ES0031408323131005HX0F")</f>
        <v>ES0031408323131005HX0F</v>
      </c>
      <c r="B8747" s="17">
        <f>IFERROR(__xludf.DUMMYFUNCTION("""COMPUTED_VALUE"""),45230.0)</f>
        <v>45230</v>
      </c>
      <c r="C8747" s="13">
        <f>IFERROR(__xludf.DUMMYFUNCTION("""COMPUTED_VALUE"""),0.4166666666666667)</f>
        <v>0.4166666667</v>
      </c>
      <c r="D8747" s="8">
        <f>IFERROR(__xludf.DUMMYFUNCTION("""COMPUTED_VALUE"""),0.126)</f>
        <v>0.126</v>
      </c>
      <c r="E8747" s="8" t="str">
        <f>IFERROR(__xludf.DUMMYFUNCTION("""COMPUTED_VALUE"""),"Real")</f>
        <v>Real</v>
      </c>
      <c r="G8747" s="8">
        <f t="shared" si="1"/>
        <v>10</v>
      </c>
      <c r="H8747" s="14">
        <f t="shared" si="2"/>
        <v>31</v>
      </c>
      <c r="I8747" s="15">
        <f t="shared" si="3"/>
        <v>10</v>
      </c>
    </row>
    <row r="8748">
      <c r="A8748" s="8" t="str">
        <f>IFERROR(__xludf.DUMMYFUNCTION("IF('(INGESTA)Datos_consumo_datadis'!A8748&lt;&gt;"""",SPLIT('(INGESTA)Datos_consumo_datadis'!A:A,"",""),"""")"),"ES0031408323131005HX0F")</f>
        <v>ES0031408323131005HX0F</v>
      </c>
      <c r="B8748" s="17">
        <f>IFERROR(__xludf.DUMMYFUNCTION("""COMPUTED_VALUE"""),45230.0)</f>
        <v>45230</v>
      </c>
      <c r="C8748" s="13">
        <f>IFERROR(__xludf.DUMMYFUNCTION("""COMPUTED_VALUE"""),0.4583333333333333)</f>
        <v>0.4583333333</v>
      </c>
      <c r="D8748" s="8">
        <f>IFERROR(__xludf.DUMMYFUNCTION("""COMPUTED_VALUE"""),0.287)</f>
        <v>0.287</v>
      </c>
      <c r="E8748" s="8" t="str">
        <f>IFERROR(__xludf.DUMMYFUNCTION("""COMPUTED_VALUE"""),"Real")</f>
        <v>Real</v>
      </c>
      <c r="G8748" s="8">
        <f t="shared" si="1"/>
        <v>10</v>
      </c>
      <c r="H8748" s="14">
        <f t="shared" si="2"/>
        <v>31</v>
      </c>
      <c r="I8748" s="15">
        <f t="shared" si="3"/>
        <v>11</v>
      </c>
    </row>
    <row r="8749">
      <c r="A8749" s="8" t="str">
        <f>IFERROR(__xludf.DUMMYFUNCTION("IF('(INGESTA)Datos_consumo_datadis'!A8749&lt;&gt;"""",SPLIT('(INGESTA)Datos_consumo_datadis'!A:A,"",""),"""")"),"ES0031408323131005HX0F")</f>
        <v>ES0031408323131005HX0F</v>
      </c>
      <c r="B8749" s="17">
        <f>IFERROR(__xludf.DUMMYFUNCTION("""COMPUTED_VALUE"""),45230.0)</f>
        <v>45230</v>
      </c>
      <c r="C8749" s="13">
        <f>IFERROR(__xludf.DUMMYFUNCTION("""COMPUTED_VALUE"""),0.5)</f>
        <v>0.5</v>
      </c>
      <c r="D8749" s="8">
        <f>IFERROR(__xludf.DUMMYFUNCTION("""COMPUTED_VALUE"""),0.015)</f>
        <v>0.015</v>
      </c>
      <c r="E8749" s="8" t="str">
        <f>IFERROR(__xludf.DUMMYFUNCTION("""COMPUTED_VALUE"""),"Real")</f>
        <v>Real</v>
      </c>
      <c r="G8749" s="8">
        <f t="shared" si="1"/>
        <v>10</v>
      </c>
      <c r="H8749" s="14">
        <f t="shared" si="2"/>
        <v>31</v>
      </c>
      <c r="I8749" s="15">
        <f t="shared" si="3"/>
        <v>12</v>
      </c>
    </row>
    <row r="8750">
      <c r="A8750" s="8" t="str">
        <f>IFERROR(__xludf.DUMMYFUNCTION("IF('(INGESTA)Datos_consumo_datadis'!A8750&lt;&gt;"""",SPLIT('(INGESTA)Datos_consumo_datadis'!A:A,"",""),"""")"),"ES0031408323131005HX0F")</f>
        <v>ES0031408323131005HX0F</v>
      </c>
      <c r="B8750" s="17">
        <f>IFERROR(__xludf.DUMMYFUNCTION("""COMPUTED_VALUE"""),45230.0)</f>
        <v>45230</v>
      </c>
      <c r="C8750" s="13">
        <f>IFERROR(__xludf.DUMMYFUNCTION("""COMPUTED_VALUE"""),0.5416666666666666)</f>
        <v>0.5416666667</v>
      </c>
      <c r="D8750" s="8">
        <f>IFERROR(__xludf.DUMMYFUNCTION("""COMPUTED_VALUE"""),0.083)</f>
        <v>0.083</v>
      </c>
      <c r="E8750" s="8" t="str">
        <f>IFERROR(__xludf.DUMMYFUNCTION("""COMPUTED_VALUE"""),"Real")</f>
        <v>Real</v>
      </c>
      <c r="G8750" s="8">
        <f t="shared" si="1"/>
        <v>10</v>
      </c>
      <c r="H8750" s="14">
        <f t="shared" si="2"/>
        <v>31</v>
      </c>
      <c r="I8750" s="15">
        <f t="shared" si="3"/>
        <v>13</v>
      </c>
    </row>
    <row r="8751">
      <c r="A8751" s="8" t="str">
        <f>IFERROR(__xludf.DUMMYFUNCTION("IF('(INGESTA)Datos_consumo_datadis'!A8751&lt;&gt;"""",SPLIT('(INGESTA)Datos_consumo_datadis'!A:A,"",""),"""")"),"ES0031408323131005HX0F")</f>
        <v>ES0031408323131005HX0F</v>
      </c>
      <c r="B8751" s="17">
        <f>IFERROR(__xludf.DUMMYFUNCTION("""COMPUTED_VALUE"""),45230.0)</f>
        <v>45230</v>
      </c>
      <c r="C8751" s="13">
        <f>IFERROR(__xludf.DUMMYFUNCTION("""COMPUTED_VALUE"""),0.5833333333333334)</f>
        <v>0.5833333333</v>
      </c>
      <c r="D8751" s="8">
        <f>IFERROR(__xludf.DUMMYFUNCTION("""COMPUTED_VALUE"""),0.079)</f>
        <v>0.079</v>
      </c>
      <c r="E8751" s="8" t="str">
        <f>IFERROR(__xludf.DUMMYFUNCTION("""COMPUTED_VALUE"""),"Real")</f>
        <v>Real</v>
      </c>
      <c r="G8751" s="8">
        <f t="shared" si="1"/>
        <v>10</v>
      </c>
      <c r="H8751" s="14">
        <f t="shared" si="2"/>
        <v>31</v>
      </c>
      <c r="I8751" s="15">
        <f t="shared" si="3"/>
        <v>14</v>
      </c>
    </row>
    <row r="8752">
      <c r="A8752" s="8" t="str">
        <f>IFERROR(__xludf.DUMMYFUNCTION("IF('(INGESTA)Datos_consumo_datadis'!A8752&lt;&gt;"""",SPLIT('(INGESTA)Datos_consumo_datadis'!A:A,"",""),"""")"),"ES0031408323131005HX0F")</f>
        <v>ES0031408323131005HX0F</v>
      </c>
      <c r="B8752" s="17">
        <f>IFERROR(__xludf.DUMMYFUNCTION("""COMPUTED_VALUE"""),45230.0)</f>
        <v>45230</v>
      </c>
      <c r="C8752" s="13">
        <f>IFERROR(__xludf.DUMMYFUNCTION("""COMPUTED_VALUE"""),0.625)</f>
        <v>0.625</v>
      </c>
      <c r="D8752" s="8">
        <f>IFERROR(__xludf.DUMMYFUNCTION("""COMPUTED_VALUE"""),0.043)</f>
        <v>0.043</v>
      </c>
      <c r="E8752" s="8" t="str">
        <f>IFERROR(__xludf.DUMMYFUNCTION("""COMPUTED_VALUE"""),"Real")</f>
        <v>Real</v>
      </c>
      <c r="G8752" s="8">
        <f t="shared" si="1"/>
        <v>10</v>
      </c>
      <c r="H8752" s="14">
        <f t="shared" si="2"/>
        <v>31</v>
      </c>
      <c r="I8752" s="15">
        <f t="shared" si="3"/>
        <v>15</v>
      </c>
    </row>
    <row r="8753">
      <c r="A8753" s="8" t="str">
        <f>IFERROR(__xludf.DUMMYFUNCTION("IF('(INGESTA)Datos_consumo_datadis'!A8753&lt;&gt;"""",SPLIT('(INGESTA)Datos_consumo_datadis'!A:A,"",""),"""")"),"ES0031408323131005HX0F")</f>
        <v>ES0031408323131005HX0F</v>
      </c>
      <c r="B8753" s="17">
        <f>IFERROR(__xludf.DUMMYFUNCTION("""COMPUTED_VALUE"""),45230.0)</f>
        <v>45230</v>
      </c>
      <c r="C8753" s="13">
        <f>IFERROR(__xludf.DUMMYFUNCTION("""COMPUTED_VALUE"""),0.6666666666666666)</f>
        <v>0.6666666667</v>
      </c>
      <c r="D8753" s="8">
        <f>IFERROR(__xludf.DUMMYFUNCTION("""COMPUTED_VALUE"""),0.057)</f>
        <v>0.057</v>
      </c>
      <c r="E8753" s="8" t="str">
        <f>IFERROR(__xludf.DUMMYFUNCTION("""COMPUTED_VALUE"""),"Real")</f>
        <v>Real</v>
      </c>
      <c r="G8753" s="8">
        <f t="shared" si="1"/>
        <v>10</v>
      </c>
      <c r="H8753" s="14">
        <f t="shared" si="2"/>
        <v>31</v>
      </c>
      <c r="I8753" s="15">
        <f t="shared" si="3"/>
        <v>16</v>
      </c>
    </row>
    <row r="8754">
      <c r="A8754" s="8" t="str">
        <f>IFERROR(__xludf.DUMMYFUNCTION("IF('(INGESTA)Datos_consumo_datadis'!A8754&lt;&gt;"""",SPLIT('(INGESTA)Datos_consumo_datadis'!A:A,"",""),"""")"),"ES0031408323131005HX0F")</f>
        <v>ES0031408323131005HX0F</v>
      </c>
      <c r="B8754" s="17">
        <f>IFERROR(__xludf.DUMMYFUNCTION("""COMPUTED_VALUE"""),45230.0)</f>
        <v>45230</v>
      </c>
      <c r="C8754" s="13">
        <f>IFERROR(__xludf.DUMMYFUNCTION("""COMPUTED_VALUE"""),0.7083333333333334)</f>
        <v>0.7083333333</v>
      </c>
      <c r="D8754" s="8">
        <f>IFERROR(__xludf.DUMMYFUNCTION("""COMPUTED_VALUE"""),0.383)</f>
        <v>0.383</v>
      </c>
      <c r="E8754" s="8" t="str">
        <f>IFERROR(__xludf.DUMMYFUNCTION("""COMPUTED_VALUE"""),"Real")</f>
        <v>Real</v>
      </c>
      <c r="G8754" s="8">
        <f t="shared" si="1"/>
        <v>10</v>
      </c>
      <c r="H8754" s="14">
        <f t="shared" si="2"/>
        <v>31</v>
      </c>
      <c r="I8754" s="15">
        <f t="shared" si="3"/>
        <v>17</v>
      </c>
    </row>
    <row r="8755">
      <c r="A8755" s="8" t="str">
        <f>IFERROR(__xludf.DUMMYFUNCTION("IF('(INGESTA)Datos_consumo_datadis'!A8755&lt;&gt;"""",SPLIT('(INGESTA)Datos_consumo_datadis'!A:A,"",""),"""")"),"ES0031408323131005HX0F")</f>
        <v>ES0031408323131005HX0F</v>
      </c>
      <c r="B8755" s="17">
        <f>IFERROR(__xludf.DUMMYFUNCTION("""COMPUTED_VALUE"""),45230.0)</f>
        <v>45230</v>
      </c>
      <c r="C8755" s="13">
        <f>IFERROR(__xludf.DUMMYFUNCTION("""COMPUTED_VALUE"""),0.75)</f>
        <v>0.75</v>
      </c>
      <c r="D8755" s="8">
        <f>IFERROR(__xludf.DUMMYFUNCTION("""COMPUTED_VALUE"""),0.062)</f>
        <v>0.062</v>
      </c>
      <c r="E8755" s="8" t="str">
        <f>IFERROR(__xludf.DUMMYFUNCTION("""COMPUTED_VALUE"""),"Real")</f>
        <v>Real</v>
      </c>
      <c r="G8755" s="8">
        <f t="shared" si="1"/>
        <v>10</v>
      </c>
      <c r="H8755" s="14">
        <f t="shared" si="2"/>
        <v>31</v>
      </c>
      <c r="I8755" s="15">
        <f t="shared" si="3"/>
        <v>18</v>
      </c>
    </row>
    <row r="8756">
      <c r="A8756" s="8" t="str">
        <f>IFERROR(__xludf.DUMMYFUNCTION("IF('(INGESTA)Datos_consumo_datadis'!A8756&lt;&gt;"""",SPLIT('(INGESTA)Datos_consumo_datadis'!A:A,"",""),"""")"),"ES0031408323131005HX0F")</f>
        <v>ES0031408323131005HX0F</v>
      </c>
      <c r="B8756" s="17">
        <f>IFERROR(__xludf.DUMMYFUNCTION("""COMPUTED_VALUE"""),45230.0)</f>
        <v>45230</v>
      </c>
      <c r="C8756" s="13">
        <f>IFERROR(__xludf.DUMMYFUNCTION("""COMPUTED_VALUE"""),0.7916666666666666)</f>
        <v>0.7916666667</v>
      </c>
      <c r="D8756" s="8">
        <f>IFERROR(__xludf.DUMMYFUNCTION("""COMPUTED_VALUE"""),0.074)</f>
        <v>0.074</v>
      </c>
      <c r="E8756" s="8" t="str">
        <f>IFERROR(__xludf.DUMMYFUNCTION("""COMPUTED_VALUE"""),"Real")</f>
        <v>Real</v>
      </c>
      <c r="G8756" s="8">
        <f t="shared" si="1"/>
        <v>10</v>
      </c>
      <c r="H8756" s="14">
        <f t="shared" si="2"/>
        <v>31</v>
      </c>
      <c r="I8756" s="15">
        <f t="shared" si="3"/>
        <v>19</v>
      </c>
    </row>
    <row r="8757">
      <c r="A8757" s="8" t="str">
        <f>IFERROR(__xludf.DUMMYFUNCTION("IF('(INGESTA)Datos_consumo_datadis'!A8757&lt;&gt;"""",SPLIT('(INGESTA)Datos_consumo_datadis'!A:A,"",""),"""")"),"ES0031408323131005HX0F")</f>
        <v>ES0031408323131005HX0F</v>
      </c>
      <c r="B8757" s="17">
        <f>IFERROR(__xludf.DUMMYFUNCTION("""COMPUTED_VALUE"""),45230.0)</f>
        <v>45230</v>
      </c>
      <c r="C8757" s="13">
        <f>IFERROR(__xludf.DUMMYFUNCTION("""COMPUTED_VALUE"""),0.8333333333333334)</f>
        <v>0.8333333333</v>
      </c>
      <c r="D8757" s="8">
        <f>IFERROR(__xludf.DUMMYFUNCTION("""COMPUTED_VALUE"""),0.856)</f>
        <v>0.856</v>
      </c>
      <c r="E8757" s="8" t="str">
        <f>IFERROR(__xludf.DUMMYFUNCTION("""COMPUTED_VALUE"""),"Real")</f>
        <v>Real</v>
      </c>
      <c r="G8757" s="8">
        <f t="shared" si="1"/>
        <v>10</v>
      </c>
      <c r="H8757" s="14">
        <f t="shared" si="2"/>
        <v>31</v>
      </c>
      <c r="I8757" s="15">
        <f t="shared" si="3"/>
        <v>20</v>
      </c>
    </row>
    <row r="8758">
      <c r="A8758" s="8" t="str">
        <f>IFERROR(__xludf.DUMMYFUNCTION("IF('(INGESTA)Datos_consumo_datadis'!A8758&lt;&gt;"""",SPLIT('(INGESTA)Datos_consumo_datadis'!A:A,"",""),"""")"),"ES0031408323131005HX0F")</f>
        <v>ES0031408323131005HX0F</v>
      </c>
      <c r="B8758" s="17">
        <f>IFERROR(__xludf.DUMMYFUNCTION("""COMPUTED_VALUE"""),45230.0)</f>
        <v>45230</v>
      </c>
      <c r="C8758" s="13">
        <f>IFERROR(__xludf.DUMMYFUNCTION("""COMPUTED_VALUE"""),0.875)</f>
        <v>0.875</v>
      </c>
      <c r="D8758" s="8">
        <f>IFERROR(__xludf.DUMMYFUNCTION("""COMPUTED_VALUE"""),0.204)</f>
        <v>0.204</v>
      </c>
      <c r="E8758" s="8" t="str">
        <f>IFERROR(__xludf.DUMMYFUNCTION("""COMPUTED_VALUE"""),"Real")</f>
        <v>Real</v>
      </c>
      <c r="G8758" s="8">
        <f t="shared" si="1"/>
        <v>10</v>
      </c>
      <c r="H8758" s="14">
        <f t="shared" si="2"/>
        <v>31</v>
      </c>
      <c r="I8758" s="15">
        <f t="shared" si="3"/>
        <v>21</v>
      </c>
    </row>
    <row r="8759">
      <c r="A8759" s="8" t="str">
        <f>IFERROR(__xludf.DUMMYFUNCTION("IF('(INGESTA)Datos_consumo_datadis'!A8759&lt;&gt;"""",SPLIT('(INGESTA)Datos_consumo_datadis'!A:A,"",""),"""")"),"ES0031408323131005HX0F")</f>
        <v>ES0031408323131005HX0F</v>
      </c>
      <c r="B8759" s="17">
        <f>IFERROR(__xludf.DUMMYFUNCTION("""COMPUTED_VALUE"""),45230.0)</f>
        <v>45230</v>
      </c>
      <c r="C8759" s="13">
        <f>IFERROR(__xludf.DUMMYFUNCTION("""COMPUTED_VALUE"""),0.9166666666666666)</f>
        <v>0.9166666667</v>
      </c>
      <c r="D8759" s="8">
        <f>IFERROR(__xludf.DUMMYFUNCTION("""COMPUTED_VALUE"""),0.154)</f>
        <v>0.154</v>
      </c>
      <c r="E8759" s="8" t="str">
        <f>IFERROR(__xludf.DUMMYFUNCTION("""COMPUTED_VALUE"""),"Real")</f>
        <v>Real</v>
      </c>
      <c r="G8759" s="8">
        <f t="shared" si="1"/>
        <v>10</v>
      </c>
      <c r="H8759" s="14">
        <f t="shared" si="2"/>
        <v>31</v>
      </c>
      <c r="I8759" s="15">
        <f t="shared" si="3"/>
        <v>22</v>
      </c>
    </row>
    <row r="8760">
      <c r="A8760" s="8" t="str">
        <f>IFERROR(__xludf.DUMMYFUNCTION("IF('(INGESTA)Datos_consumo_datadis'!A8760&lt;&gt;"""",SPLIT('(INGESTA)Datos_consumo_datadis'!A:A,"",""),"""")"),"ES0031408323131005HX0F")</f>
        <v>ES0031408323131005HX0F</v>
      </c>
      <c r="B8760" s="17">
        <f>IFERROR(__xludf.DUMMYFUNCTION("""COMPUTED_VALUE"""),45230.0)</f>
        <v>45230</v>
      </c>
      <c r="C8760" s="13">
        <f>IFERROR(__xludf.DUMMYFUNCTION("""COMPUTED_VALUE"""),0.9583333333333334)</f>
        <v>0.9583333333</v>
      </c>
      <c r="D8760" s="8">
        <f>IFERROR(__xludf.DUMMYFUNCTION("""COMPUTED_VALUE"""),0.13)</f>
        <v>0.13</v>
      </c>
      <c r="E8760" s="8" t="str">
        <f>IFERROR(__xludf.DUMMYFUNCTION("""COMPUTED_VALUE"""),"Real")</f>
        <v>Real</v>
      </c>
      <c r="G8760" s="8">
        <f t="shared" si="1"/>
        <v>10</v>
      </c>
      <c r="H8760" s="14">
        <f t="shared" si="2"/>
        <v>31</v>
      </c>
      <c r="I8760" s="15">
        <f t="shared" si="3"/>
        <v>23</v>
      </c>
    </row>
    <row r="8761">
      <c r="A8761" s="8" t="str">
        <f>IFERROR(__xludf.DUMMYFUNCTION("IF('(INGESTA)Datos_consumo_datadis'!A8761&lt;&gt;"""",SPLIT('(INGESTA)Datos_consumo_datadis'!A:A,"",""),"""")"),"ES0031408323131005HX0F")</f>
        <v>ES0031408323131005HX0F</v>
      </c>
      <c r="B8761" s="17">
        <f>IFERROR(__xludf.DUMMYFUNCTION("""COMPUTED_VALUE"""),45230.0)</f>
        <v>45230</v>
      </c>
      <c r="C8761" s="16">
        <f>IFERROR(__xludf.DUMMYFUNCTION("""COMPUTED_VALUE"""),1.0)</f>
        <v>1</v>
      </c>
      <c r="D8761" s="8">
        <f>IFERROR(__xludf.DUMMYFUNCTION("""COMPUTED_VALUE"""),0.107)</f>
        <v>0.107</v>
      </c>
      <c r="E8761" s="8" t="str">
        <f>IFERROR(__xludf.DUMMYFUNCTION("""COMPUTED_VALUE"""),"Real")</f>
        <v>Real</v>
      </c>
      <c r="G8761" s="8">
        <f t="shared" si="1"/>
        <v>10</v>
      </c>
      <c r="H8761" s="14">
        <f t="shared" si="2"/>
        <v>31</v>
      </c>
      <c r="I8761" s="15">
        <f t="shared" si="3"/>
        <v>0</v>
      </c>
    </row>
    <row r="8762">
      <c r="A8762" s="8" t="str">
        <f>IFERROR(__xludf.DUMMYFUNCTION("IF('(INGESTA)Datos_consumo_datadis'!A8762&lt;&gt;"""",SPLIT('(INGESTA)Datos_consumo_datadis'!A:A,"",""),"""")"),"ES0031408323131005HX0F")</f>
        <v>ES0031408323131005HX0F</v>
      </c>
      <c r="B8762" s="12">
        <f>IFERROR(__xludf.DUMMYFUNCTION("""COMPUTED_VALUE"""),45231.0)</f>
        <v>45231</v>
      </c>
      <c r="C8762" s="13">
        <f>IFERROR(__xludf.DUMMYFUNCTION("""COMPUTED_VALUE"""),0.041666666666666664)</f>
        <v>0.04166666667</v>
      </c>
      <c r="D8762" s="8">
        <f>IFERROR(__xludf.DUMMYFUNCTION("""COMPUTED_VALUE"""),0.311)</f>
        <v>0.311</v>
      </c>
      <c r="E8762" s="8" t="str">
        <f>IFERROR(__xludf.DUMMYFUNCTION("""COMPUTED_VALUE"""),"Real")</f>
        <v>Real</v>
      </c>
      <c r="G8762" s="8">
        <f t="shared" si="1"/>
        <v>11</v>
      </c>
      <c r="H8762" s="14">
        <f t="shared" si="2"/>
        <v>1</v>
      </c>
      <c r="I8762" s="15">
        <f t="shared" si="3"/>
        <v>1</v>
      </c>
    </row>
    <row r="8763">
      <c r="A8763" s="8" t="str">
        <f>IFERROR(__xludf.DUMMYFUNCTION("IF('(INGESTA)Datos_consumo_datadis'!A8763&lt;&gt;"""",SPLIT('(INGESTA)Datos_consumo_datadis'!A:A,"",""),"""")"),"ES0031408323131005HX0F")</f>
        <v>ES0031408323131005HX0F</v>
      </c>
      <c r="B8763" s="12">
        <f>IFERROR(__xludf.DUMMYFUNCTION("""COMPUTED_VALUE"""),45231.0)</f>
        <v>45231</v>
      </c>
      <c r="C8763" s="13">
        <f>IFERROR(__xludf.DUMMYFUNCTION("""COMPUTED_VALUE"""),0.08333333333333333)</f>
        <v>0.08333333333</v>
      </c>
      <c r="D8763" s="8">
        <f>IFERROR(__xludf.DUMMYFUNCTION("""COMPUTED_VALUE"""),0.116)</f>
        <v>0.116</v>
      </c>
      <c r="E8763" s="8" t="str">
        <f>IFERROR(__xludf.DUMMYFUNCTION("""COMPUTED_VALUE"""),"Real")</f>
        <v>Real</v>
      </c>
      <c r="G8763" s="8">
        <f t="shared" si="1"/>
        <v>11</v>
      </c>
      <c r="H8763" s="14">
        <f t="shared" si="2"/>
        <v>1</v>
      </c>
      <c r="I8763" s="15">
        <f t="shared" si="3"/>
        <v>2</v>
      </c>
    </row>
    <row r="8764">
      <c r="A8764" s="8" t="str">
        <f>IFERROR(__xludf.DUMMYFUNCTION("IF('(INGESTA)Datos_consumo_datadis'!A8764&lt;&gt;"""",SPLIT('(INGESTA)Datos_consumo_datadis'!A:A,"",""),"""")"),"ES0031408323131005HX0F")</f>
        <v>ES0031408323131005HX0F</v>
      </c>
      <c r="B8764" s="12">
        <f>IFERROR(__xludf.DUMMYFUNCTION("""COMPUTED_VALUE"""),45231.0)</f>
        <v>45231</v>
      </c>
      <c r="C8764" s="13">
        <f>IFERROR(__xludf.DUMMYFUNCTION("""COMPUTED_VALUE"""),0.125)</f>
        <v>0.125</v>
      </c>
      <c r="D8764" s="8">
        <f>IFERROR(__xludf.DUMMYFUNCTION("""COMPUTED_VALUE"""),0.078)</f>
        <v>0.078</v>
      </c>
      <c r="E8764" s="8" t="str">
        <f>IFERROR(__xludf.DUMMYFUNCTION("""COMPUTED_VALUE"""),"Real")</f>
        <v>Real</v>
      </c>
      <c r="G8764" s="8">
        <f t="shared" si="1"/>
        <v>11</v>
      </c>
      <c r="H8764" s="14">
        <f t="shared" si="2"/>
        <v>1</v>
      </c>
      <c r="I8764" s="15">
        <f t="shared" si="3"/>
        <v>3</v>
      </c>
    </row>
    <row r="8765">
      <c r="A8765" s="8" t="str">
        <f>IFERROR(__xludf.DUMMYFUNCTION("IF('(INGESTA)Datos_consumo_datadis'!A8765&lt;&gt;"""",SPLIT('(INGESTA)Datos_consumo_datadis'!A:A,"",""),"""")"),"ES0031408323131005HX0F")</f>
        <v>ES0031408323131005HX0F</v>
      </c>
      <c r="B8765" s="12">
        <f>IFERROR(__xludf.DUMMYFUNCTION("""COMPUTED_VALUE"""),45231.0)</f>
        <v>45231</v>
      </c>
      <c r="C8765" s="13">
        <f>IFERROR(__xludf.DUMMYFUNCTION("""COMPUTED_VALUE"""),0.16666666666666666)</f>
        <v>0.1666666667</v>
      </c>
      <c r="D8765" s="8">
        <f>IFERROR(__xludf.DUMMYFUNCTION("""COMPUTED_VALUE"""),0.022)</f>
        <v>0.022</v>
      </c>
      <c r="E8765" s="8" t="str">
        <f>IFERROR(__xludf.DUMMYFUNCTION("""COMPUTED_VALUE"""),"Real")</f>
        <v>Real</v>
      </c>
      <c r="G8765" s="8">
        <f t="shared" si="1"/>
        <v>11</v>
      </c>
      <c r="H8765" s="14">
        <f t="shared" si="2"/>
        <v>1</v>
      </c>
      <c r="I8765" s="15">
        <f t="shared" si="3"/>
        <v>4</v>
      </c>
    </row>
    <row r="8766">
      <c r="A8766" s="8" t="str">
        <f>IFERROR(__xludf.DUMMYFUNCTION("IF('(INGESTA)Datos_consumo_datadis'!A8766&lt;&gt;"""",SPLIT('(INGESTA)Datos_consumo_datadis'!A:A,"",""),"""")"),"ES0031408323131005HX0F")</f>
        <v>ES0031408323131005HX0F</v>
      </c>
      <c r="B8766" s="12">
        <f>IFERROR(__xludf.DUMMYFUNCTION("""COMPUTED_VALUE"""),45231.0)</f>
        <v>45231</v>
      </c>
      <c r="C8766" s="13">
        <f>IFERROR(__xludf.DUMMYFUNCTION("""COMPUTED_VALUE"""),0.20833333333333334)</f>
        <v>0.2083333333</v>
      </c>
      <c r="D8766" s="8">
        <f>IFERROR(__xludf.DUMMYFUNCTION("""COMPUTED_VALUE"""),0.104)</f>
        <v>0.104</v>
      </c>
      <c r="E8766" s="8" t="str">
        <f>IFERROR(__xludf.DUMMYFUNCTION("""COMPUTED_VALUE"""),"Real")</f>
        <v>Real</v>
      </c>
      <c r="G8766" s="8">
        <f t="shared" si="1"/>
        <v>11</v>
      </c>
      <c r="H8766" s="14">
        <f t="shared" si="2"/>
        <v>1</v>
      </c>
      <c r="I8766" s="15">
        <f t="shared" si="3"/>
        <v>5</v>
      </c>
    </row>
    <row r="8767">
      <c r="A8767" s="8" t="str">
        <f>IFERROR(__xludf.DUMMYFUNCTION("IF('(INGESTA)Datos_consumo_datadis'!A8767&lt;&gt;"""",SPLIT('(INGESTA)Datos_consumo_datadis'!A:A,"",""),"""")"),"ES0031408323131005HX0F")</f>
        <v>ES0031408323131005HX0F</v>
      </c>
      <c r="B8767" s="12">
        <f>IFERROR(__xludf.DUMMYFUNCTION("""COMPUTED_VALUE"""),45231.0)</f>
        <v>45231</v>
      </c>
      <c r="C8767" s="13">
        <f>IFERROR(__xludf.DUMMYFUNCTION("""COMPUTED_VALUE"""),0.25)</f>
        <v>0.25</v>
      </c>
      <c r="D8767" s="8">
        <f>IFERROR(__xludf.DUMMYFUNCTION("""COMPUTED_VALUE"""),0.057)</f>
        <v>0.057</v>
      </c>
      <c r="E8767" s="8" t="str">
        <f>IFERROR(__xludf.DUMMYFUNCTION("""COMPUTED_VALUE"""),"Real")</f>
        <v>Real</v>
      </c>
      <c r="G8767" s="8">
        <f t="shared" si="1"/>
        <v>11</v>
      </c>
      <c r="H8767" s="14">
        <f t="shared" si="2"/>
        <v>1</v>
      </c>
      <c r="I8767" s="15">
        <f t="shared" si="3"/>
        <v>6</v>
      </c>
    </row>
    <row r="8768">
      <c r="A8768" s="8" t="str">
        <f>IFERROR(__xludf.DUMMYFUNCTION("IF('(INGESTA)Datos_consumo_datadis'!A8768&lt;&gt;"""",SPLIT('(INGESTA)Datos_consumo_datadis'!A:A,"",""),"""")"),"ES0031408323131005HX0F")</f>
        <v>ES0031408323131005HX0F</v>
      </c>
      <c r="B8768" s="12">
        <f>IFERROR(__xludf.DUMMYFUNCTION("""COMPUTED_VALUE"""),45231.0)</f>
        <v>45231</v>
      </c>
      <c r="C8768" s="13">
        <f>IFERROR(__xludf.DUMMYFUNCTION("""COMPUTED_VALUE"""),0.2916666666666667)</f>
        <v>0.2916666667</v>
      </c>
      <c r="D8768" s="8">
        <f>IFERROR(__xludf.DUMMYFUNCTION("""COMPUTED_VALUE"""),0.026)</f>
        <v>0.026</v>
      </c>
      <c r="E8768" s="8" t="str">
        <f>IFERROR(__xludf.DUMMYFUNCTION("""COMPUTED_VALUE"""),"Real")</f>
        <v>Real</v>
      </c>
      <c r="G8768" s="8">
        <f t="shared" si="1"/>
        <v>11</v>
      </c>
      <c r="H8768" s="14">
        <f t="shared" si="2"/>
        <v>1</v>
      </c>
      <c r="I8768" s="15">
        <f t="shared" si="3"/>
        <v>7</v>
      </c>
    </row>
    <row r="8769">
      <c r="A8769" s="8" t="str">
        <f>IFERROR(__xludf.DUMMYFUNCTION("IF('(INGESTA)Datos_consumo_datadis'!A8769&lt;&gt;"""",SPLIT('(INGESTA)Datos_consumo_datadis'!A:A,"",""),"""")"),"ES0031408323131005HX0F")</f>
        <v>ES0031408323131005HX0F</v>
      </c>
      <c r="B8769" s="12">
        <f>IFERROR(__xludf.DUMMYFUNCTION("""COMPUTED_VALUE"""),45231.0)</f>
        <v>45231</v>
      </c>
      <c r="C8769" s="13">
        <f>IFERROR(__xludf.DUMMYFUNCTION("""COMPUTED_VALUE"""),0.3333333333333333)</f>
        <v>0.3333333333</v>
      </c>
      <c r="D8769" s="8">
        <f>IFERROR(__xludf.DUMMYFUNCTION("""COMPUTED_VALUE"""),0.362)</f>
        <v>0.362</v>
      </c>
      <c r="E8769" s="8" t="str">
        <f>IFERROR(__xludf.DUMMYFUNCTION("""COMPUTED_VALUE"""),"Real")</f>
        <v>Real</v>
      </c>
      <c r="G8769" s="8">
        <f t="shared" si="1"/>
        <v>11</v>
      </c>
      <c r="H8769" s="14">
        <f t="shared" si="2"/>
        <v>1</v>
      </c>
      <c r="I8769" s="15">
        <f t="shared" si="3"/>
        <v>8</v>
      </c>
    </row>
    <row r="8770">
      <c r="A8770" s="8" t="str">
        <f>IFERROR(__xludf.DUMMYFUNCTION("IF('(INGESTA)Datos_consumo_datadis'!A8770&lt;&gt;"""",SPLIT('(INGESTA)Datos_consumo_datadis'!A:A,"",""),"""")"),"ES0031408323131005HX0F")</f>
        <v>ES0031408323131005HX0F</v>
      </c>
      <c r="B8770" s="12">
        <f>IFERROR(__xludf.DUMMYFUNCTION("""COMPUTED_VALUE"""),45231.0)</f>
        <v>45231</v>
      </c>
      <c r="C8770" s="13">
        <f>IFERROR(__xludf.DUMMYFUNCTION("""COMPUTED_VALUE"""),0.375)</f>
        <v>0.375</v>
      </c>
      <c r="D8770" s="8">
        <f>IFERROR(__xludf.DUMMYFUNCTION("""COMPUTED_VALUE"""),0.07)</f>
        <v>0.07</v>
      </c>
      <c r="E8770" s="8" t="str">
        <f>IFERROR(__xludf.DUMMYFUNCTION("""COMPUTED_VALUE"""),"Real")</f>
        <v>Real</v>
      </c>
      <c r="G8770" s="8">
        <f t="shared" si="1"/>
        <v>11</v>
      </c>
      <c r="H8770" s="14">
        <f t="shared" si="2"/>
        <v>1</v>
      </c>
      <c r="I8770" s="15">
        <f t="shared" si="3"/>
        <v>9</v>
      </c>
    </row>
    <row r="8771">
      <c r="A8771" s="8" t="str">
        <f>IFERROR(__xludf.DUMMYFUNCTION("IF('(INGESTA)Datos_consumo_datadis'!A8771&lt;&gt;"""",SPLIT('(INGESTA)Datos_consumo_datadis'!A:A,"",""),"""")"),"ES0031408323131005HX0F")</f>
        <v>ES0031408323131005HX0F</v>
      </c>
      <c r="B8771" s="12">
        <f>IFERROR(__xludf.DUMMYFUNCTION("""COMPUTED_VALUE"""),45231.0)</f>
        <v>45231</v>
      </c>
      <c r="C8771" s="13">
        <f>IFERROR(__xludf.DUMMYFUNCTION("""COMPUTED_VALUE"""),0.4166666666666667)</f>
        <v>0.4166666667</v>
      </c>
      <c r="D8771" s="8">
        <f>IFERROR(__xludf.DUMMYFUNCTION("""COMPUTED_VALUE"""),0.058)</f>
        <v>0.058</v>
      </c>
      <c r="E8771" s="8" t="str">
        <f>IFERROR(__xludf.DUMMYFUNCTION("""COMPUTED_VALUE"""),"Real")</f>
        <v>Real</v>
      </c>
      <c r="G8771" s="8">
        <f t="shared" si="1"/>
        <v>11</v>
      </c>
      <c r="H8771" s="14">
        <f t="shared" si="2"/>
        <v>1</v>
      </c>
      <c r="I8771" s="15">
        <f t="shared" si="3"/>
        <v>10</v>
      </c>
    </row>
    <row r="8772">
      <c r="A8772" s="8" t="str">
        <f>IFERROR(__xludf.DUMMYFUNCTION("IF('(INGESTA)Datos_consumo_datadis'!A8772&lt;&gt;"""",SPLIT('(INGESTA)Datos_consumo_datadis'!A:A,"",""),"""")"),"ES0031408323131005HX0F")</f>
        <v>ES0031408323131005HX0F</v>
      </c>
      <c r="B8772" s="12">
        <f>IFERROR(__xludf.DUMMYFUNCTION("""COMPUTED_VALUE"""),45231.0)</f>
        <v>45231</v>
      </c>
      <c r="C8772" s="13">
        <f>IFERROR(__xludf.DUMMYFUNCTION("""COMPUTED_VALUE"""),0.4583333333333333)</f>
        <v>0.4583333333</v>
      </c>
      <c r="D8772" s="8">
        <f>IFERROR(__xludf.DUMMYFUNCTION("""COMPUTED_VALUE"""),0.082)</f>
        <v>0.082</v>
      </c>
      <c r="E8772" s="8" t="str">
        <f>IFERROR(__xludf.DUMMYFUNCTION("""COMPUTED_VALUE"""),"Real")</f>
        <v>Real</v>
      </c>
      <c r="G8772" s="8">
        <f t="shared" si="1"/>
        <v>11</v>
      </c>
      <c r="H8772" s="14">
        <f t="shared" si="2"/>
        <v>1</v>
      </c>
      <c r="I8772" s="15">
        <f t="shared" si="3"/>
        <v>11</v>
      </c>
    </row>
    <row r="8773">
      <c r="A8773" s="8" t="str">
        <f>IFERROR(__xludf.DUMMYFUNCTION("IF('(INGESTA)Datos_consumo_datadis'!A8773&lt;&gt;"""",SPLIT('(INGESTA)Datos_consumo_datadis'!A:A,"",""),"""")"),"ES0031408323131005HX0F")</f>
        <v>ES0031408323131005HX0F</v>
      </c>
      <c r="B8773" s="12">
        <f>IFERROR(__xludf.DUMMYFUNCTION("""COMPUTED_VALUE"""),45231.0)</f>
        <v>45231</v>
      </c>
      <c r="C8773" s="13">
        <f>IFERROR(__xludf.DUMMYFUNCTION("""COMPUTED_VALUE"""),0.5)</f>
        <v>0.5</v>
      </c>
      <c r="D8773" s="8">
        <f>IFERROR(__xludf.DUMMYFUNCTION("""COMPUTED_VALUE"""),0.548)</f>
        <v>0.548</v>
      </c>
      <c r="E8773" s="8" t="str">
        <f>IFERROR(__xludf.DUMMYFUNCTION("""COMPUTED_VALUE"""),"Real")</f>
        <v>Real</v>
      </c>
      <c r="G8773" s="8">
        <f t="shared" si="1"/>
        <v>11</v>
      </c>
      <c r="H8773" s="14">
        <f t="shared" si="2"/>
        <v>1</v>
      </c>
      <c r="I8773" s="15">
        <f t="shared" si="3"/>
        <v>12</v>
      </c>
    </row>
    <row r="8774">
      <c r="A8774" s="8" t="str">
        <f>IFERROR(__xludf.DUMMYFUNCTION("IF('(INGESTA)Datos_consumo_datadis'!A8774&lt;&gt;"""",SPLIT('(INGESTA)Datos_consumo_datadis'!A:A,"",""),"""")"),"ES0031408323131005HX0F")</f>
        <v>ES0031408323131005HX0F</v>
      </c>
      <c r="B8774" s="12">
        <f>IFERROR(__xludf.DUMMYFUNCTION("""COMPUTED_VALUE"""),45231.0)</f>
        <v>45231</v>
      </c>
      <c r="C8774" s="13">
        <f>IFERROR(__xludf.DUMMYFUNCTION("""COMPUTED_VALUE"""),0.5416666666666666)</f>
        <v>0.5416666667</v>
      </c>
      <c r="D8774" s="8">
        <f>IFERROR(__xludf.DUMMYFUNCTION("""COMPUTED_VALUE"""),0.74)</f>
        <v>0.74</v>
      </c>
      <c r="E8774" s="8" t="str">
        <f>IFERROR(__xludf.DUMMYFUNCTION("""COMPUTED_VALUE"""),"Real")</f>
        <v>Real</v>
      </c>
      <c r="G8774" s="8">
        <f t="shared" si="1"/>
        <v>11</v>
      </c>
      <c r="H8774" s="14">
        <f t="shared" si="2"/>
        <v>1</v>
      </c>
      <c r="I8774" s="15">
        <f t="shared" si="3"/>
        <v>13</v>
      </c>
    </row>
    <row r="8775">
      <c r="A8775" s="8" t="str">
        <f>IFERROR(__xludf.DUMMYFUNCTION("IF('(INGESTA)Datos_consumo_datadis'!A8775&lt;&gt;"""",SPLIT('(INGESTA)Datos_consumo_datadis'!A:A,"",""),"""")"),"ES0031408323131005HX0F")</f>
        <v>ES0031408323131005HX0F</v>
      </c>
      <c r="B8775" s="12">
        <f>IFERROR(__xludf.DUMMYFUNCTION("""COMPUTED_VALUE"""),45231.0)</f>
        <v>45231</v>
      </c>
      <c r="C8775" s="13">
        <f>IFERROR(__xludf.DUMMYFUNCTION("""COMPUTED_VALUE"""),0.5833333333333334)</f>
        <v>0.5833333333</v>
      </c>
      <c r="D8775" s="8">
        <f>IFERROR(__xludf.DUMMYFUNCTION("""COMPUTED_VALUE"""),0.163)</f>
        <v>0.163</v>
      </c>
      <c r="E8775" s="8" t="str">
        <f>IFERROR(__xludf.DUMMYFUNCTION("""COMPUTED_VALUE"""),"Real")</f>
        <v>Real</v>
      </c>
      <c r="G8775" s="8">
        <f t="shared" si="1"/>
        <v>11</v>
      </c>
      <c r="H8775" s="14">
        <f t="shared" si="2"/>
        <v>1</v>
      </c>
      <c r="I8775" s="15">
        <f t="shared" si="3"/>
        <v>14</v>
      </c>
    </row>
    <row r="8776">
      <c r="A8776" s="8" t="str">
        <f>IFERROR(__xludf.DUMMYFUNCTION("IF('(INGESTA)Datos_consumo_datadis'!A8776&lt;&gt;"""",SPLIT('(INGESTA)Datos_consumo_datadis'!A:A,"",""),"""")"),"ES0031408323131005HX0F")</f>
        <v>ES0031408323131005HX0F</v>
      </c>
      <c r="B8776" s="12">
        <f>IFERROR(__xludf.DUMMYFUNCTION("""COMPUTED_VALUE"""),45231.0)</f>
        <v>45231</v>
      </c>
      <c r="C8776" s="13">
        <f>IFERROR(__xludf.DUMMYFUNCTION("""COMPUTED_VALUE"""),0.625)</f>
        <v>0.625</v>
      </c>
      <c r="D8776" s="8">
        <f>IFERROR(__xludf.DUMMYFUNCTION("""COMPUTED_VALUE"""),0.258)</f>
        <v>0.258</v>
      </c>
      <c r="E8776" s="8" t="str">
        <f>IFERROR(__xludf.DUMMYFUNCTION("""COMPUTED_VALUE"""),"Real")</f>
        <v>Real</v>
      </c>
      <c r="G8776" s="8">
        <f t="shared" si="1"/>
        <v>11</v>
      </c>
      <c r="H8776" s="14">
        <f t="shared" si="2"/>
        <v>1</v>
      </c>
      <c r="I8776" s="15">
        <f t="shared" si="3"/>
        <v>15</v>
      </c>
    </row>
    <row r="8777">
      <c r="A8777" s="8" t="str">
        <f>IFERROR(__xludf.DUMMYFUNCTION("IF('(INGESTA)Datos_consumo_datadis'!A8777&lt;&gt;"""",SPLIT('(INGESTA)Datos_consumo_datadis'!A:A,"",""),"""")"),"ES0031408323131005HX0F")</f>
        <v>ES0031408323131005HX0F</v>
      </c>
      <c r="B8777" s="12">
        <f>IFERROR(__xludf.DUMMYFUNCTION("""COMPUTED_VALUE"""),45231.0)</f>
        <v>45231</v>
      </c>
      <c r="C8777" s="13">
        <f>IFERROR(__xludf.DUMMYFUNCTION("""COMPUTED_VALUE"""),0.6666666666666666)</f>
        <v>0.6666666667</v>
      </c>
      <c r="D8777" s="8">
        <f>IFERROR(__xludf.DUMMYFUNCTION("""COMPUTED_VALUE"""),0.159)</f>
        <v>0.159</v>
      </c>
      <c r="E8777" s="8" t="str">
        <f>IFERROR(__xludf.DUMMYFUNCTION("""COMPUTED_VALUE"""),"Real")</f>
        <v>Real</v>
      </c>
      <c r="G8777" s="8">
        <f t="shared" si="1"/>
        <v>11</v>
      </c>
      <c r="H8777" s="14">
        <f t="shared" si="2"/>
        <v>1</v>
      </c>
      <c r="I8777" s="15">
        <f t="shared" si="3"/>
        <v>16</v>
      </c>
    </row>
    <row r="8778">
      <c r="A8778" s="8" t="str">
        <f>IFERROR(__xludf.DUMMYFUNCTION("IF('(INGESTA)Datos_consumo_datadis'!A8778&lt;&gt;"""",SPLIT('(INGESTA)Datos_consumo_datadis'!A:A,"",""),"""")"),"ES0031408323131005HX0F")</f>
        <v>ES0031408323131005HX0F</v>
      </c>
      <c r="B8778" s="12">
        <f>IFERROR(__xludf.DUMMYFUNCTION("""COMPUTED_VALUE"""),45231.0)</f>
        <v>45231</v>
      </c>
      <c r="C8778" s="13">
        <f>IFERROR(__xludf.DUMMYFUNCTION("""COMPUTED_VALUE"""),0.7083333333333334)</f>
        <v>0.7083333333</v>
      </c>
      <c r="D8778" s="8">
        <f>IFERROR(__xludf.DUMMYFUNCTION("""COMPUTED_VALUE"""),0.379)</f>
        <v>0.379</v>
      </c>
      <c r="E8778" s="8" t="str">
        <f>IFERROR(__xludf.DUMMYFUNCTION("""COMPUTED_VALUE"""),"Real")</f>
        <v>Real</v>
      </c>
      <c r="G8778" s="8">
        <f t="shared" si="1"/>
        <v>11</v>
      </c>
      <c r="H8778" s="14">
        <f t="shared" si="2"/>
        <v>1</v>
      </c>
      <c r="I8778" s="15">
        <f t="shared" si="3"/>
        <v>17</v>
      </c>
    </row>
    <row r="8779">
      <c r="A8779" s="8" t="str">
        <f>IFERROR(__xludf.DUMMYFUNCTION("IF('(INGESTA)Datos_consumo_datadis'!A8779&lt;&gt;"""",SPLIT('(INGESTA)Datos_consumo_datadis'!A:A,"",""),"""")"),"ES0031408323131005HX0F")</f>
        <v>ES0031408323131005HX0F</v>
      </c>
      <c r="B8779" s="12">
        <f>IFERROR(__xludf.DUMMYFUNCTION("""COMPUTED_VALUE"""),45231.0)</f>
        <v>45231</v>
      </c>
      <c r="C8779" s="13">
        <f>IFERROR(__xludf.DUMMYFUNCTION("""COMPUTED_VALUE"""),0.75)</f>
        <v>0.75</v>
      </c>
      <c r="D8779" s="8">
        <f>IFERROR(__xludf.DUMMYFUNCTION("""COMPUTED_VALUE"""),0.664)</f>
        <v>0.664</v>
      </c>
      <c r="E8779" s="8" t="str">
        <f>IFERROR(__xludf.DUMMYFUNCTION("""COMPUTED_VALUE"""),"Real")</f>
        <v>Real</v>
      </c>
      <c r="G8779" s="8">
        <f t="shared" si="1"/>
        <v>11</v>
      </c>
      <c r="H8779" s="14">
        <f t="shared" si="2"/>
        <v>1</v>
      </c>
      <c r="I8779" s="15">
        <f t="shared" si="3"/>
        <v>18</v>
      </c>
    </row>
    <row r="8780">
      <c r="A8780" s="8" t="str">
        <f>IFERROR(__xludf.DUMMYFUNCTION("IF('(INGESTA)Datos_consumo_datadis'!A8780&lt;&gt;"""",SPLIT('(INGESTA)Datos_consumo_datadis'!A:A,"",""),"""")"),"ES0031408323131005HX0F")</f>
        <v>ES0031408323131005HX0F</v>
      </c>
      <c r="B8780" s="12">
        <f>IFERROR(__xludf.DUMMYFUNCTION("""COMPUTED_VALUE"""),45231.0)</f>
        <v>45231</v>
      </c>
      <c r="C8780" s="13">
        <f>IFERROR(__xludf.DUMMYFUNCTION("""COMPUTED_VALUE"""),0.7916666666666666)</f>
        <v>0.7916666667</v>
      </c>
      <c r="D8780" s="8">
        <f>IFERROR(__xludf.DUMMYFUNCTION("""COMPUTED_VALUE"""),0.159)</f>
        <v>0.159</v>
      </c>
      <c r="E8780" s="8" t="str">
        <f>IFERROR(__xludf.DUMMYFUNCTION("""COMPUTED_VALUE"""),"Real")</f>
        <v>Real</v>
      </c>
      <c r="G8780" s="8">
        <f t="shared" si="1"/>
        <v>11</v>
      </c>
      <c r="H8780" s="14">
        <f t="shared" si="2"/>
        <v>1</v>
      </c>
      <c r="I8780" s="15">
        <f t="shared" si="3"/>
        <v>19</v>
      </c>
    </row>
    <row r="8781">
      <c r="A8781" s="8" t="str">
        <f>IFERROR(__xludf.DUMMYFUNCTION("IF('(INGESTA)Datos_consumo_datadis'!A8781&lt;&gt;"""",SPLIT('(INGESTA)Datos_consumo_datadis'!A:A,"",""),"""")"),"ES0031408323131005HX0F")</f>
        <v>ES0031408323131005HX0F</v>
      </c>
      <c r="B8781" s="12">
        <f>IFERROR(__xludf.DUMMYFUNCTION("""COMPUTED_VALUE"""),45231.0)</f>
        <v>45231</v>
      </c>
      <c r="C8781" s="13">
        <f>IFERROR(__xludf.DUMMYFUNCTION("""COMPUTED_VALUE"""),0.8333333333333334)</f>
        <v>0.8333333333</v>
      </c>
      <c r="D8781" s="8">
        <f>IFERROR(__xludf.DUMMYFUNCTION("""COMPUTED_VALUE"""),0.099)</f>
        <v>0.099</v>
      </c>
      <c r="E8781" s="8" t="str">
        <f>IFERROR(__xludf.DUMMYFUNCTION("""COMPUTED_VALUE"""),"Real")</f>
        <v>Real</v>
      </c>
      <c r="G8781" s="8">
        <f t="shared" si="1"/>
        <v>11</v>
      </c>
      <c r="H8781" s="14">
        <f t="shared" si="2"/>
        <v>1</v>
      </c>
      <c r="I8781" s="15">
        <f t="shared" si="3"/>
        <v>20</v>
      </c>
    </row>
    <row r="8782">
      <c r="A8782" s="8" t="str">
        <f>IFERROR(__xludf.DUMMYFUNCTION("IF('(INGESTA)Datos_consumo_datadis'!A8782&lt;&gt;"""",SPLIT('(INGESTA)Datos_consumo_datadis'!A:A,"",""),"""")"),"ES0031408323131005HX0F")</f>
        <v>ES0031408323131005HX0F</v>
      </c>
      <c r="B8782" s="12">
        <f>IFERROR(__xludf.DUMMYFUNCTION("""COMPUTED_VALUE"""),45231.0)</f>
        <v>45231</v>
      </c>
      <c r="C8782" s="13">
        <f>IFERROR(__xludf.DUMMYFUNCTION("""COMPUTED_VALUE"""),0.875)</f>
        <v>0.875</v>
      </c>
      <c r="D8782" s="8">
        <f>IFERROR(__xludf.DUMMYFUNCTION("""COMPUTED_VALUE"""),0.893)</f>
        <v>0.893</v>
      </c>
      <c r="E8782" s="8" t="str">
        <f>IFERROR(__xludf.DUMMYFUNCTION("""COMPUTED_VALUE"""),"Real")</f>
        <v>Real</v>
      </c>
      <c r="G8782" s="8">
        <f t="shared" si="1"/>
        <v>11</v>
      </c>
      <c r="H8782" s="14">
        <f t="shared" si="2"/>
        <v>1</v>
      </c>
      <c r="I8782" s="15">
        <f t="shared" si="3"/>
        <v>21</v>
      </c>
    </row>
    <row r="8783">
      <c r="A8783" s="8" t="str">
        <f>IFERROR(__xludf.DUMMYFUNCTION("IF('(INGESTA)Datos_consumo_datadis'!A8783&lt;&gt;"""",SPLIT('(INGESTA)Datos_consumo_datadis'!A:A,"",""),"""")"),"ES0031408323131005HX0F")</f>
        <v>ES0031408323131005HX0F</v>
      </c>
      <c r="B8783" s="12">
        <f>IFERROR(__xludf.DUMMYFUNCTION("""COMPUTED_VALUE"""),45231.0)</f>
        <v>45231</v>
      </c>
      <c r="C8783" s="13">
        <f>IFERROR(__xludf.DUMMYFUNCTION("""COMPUTED_VALUE"""),0.9166666666666666)</f>
        <v>0.9166666667</v>
      </c>
      <c r="D8783" s="8">
        <f>IFERROR(__xludf.DUMMYFUNCTION("""COMPUTED_VALUE"""),1.399)</f>
        <v>1.399</v>
      </c>
      <c r="E8783" s="8" t="str">
        <f>IFERROR(__xludf.DUMMYFUNCTION("""COMPUTED_VALUE"""),"Real")</f>
        <v>Real</v>
      </c>
      <c r="G8783" s="8">
        <f t="shared" si="1"/>
        <v>11</v>
      </c>
      <c r="H8783" s="14">
        <f t="shared" si="2"/>
        <v>1</v>
      </c>
      <c r="I8783" s="15">
        <f t="shared" si="3"/>
        <v>22</v>
      </c>
    </row>
    <row r="8784">
      <c r="A8784" s="8" t="str">
        <f>IFERROR(__xludf.DUMMYFUNCTION("IF('(INGESTA)Datos_consumo_datadis'!A8784&lt;&gt;"""",SPLIT('(INGESTA)Datos_consumo_datadis'!A:A,"",""),"""")"),"ES0031408323131005HX0F")</f>
        <v>ES0031408323131005HX0F</v>
      </c>
      <c r="B8784" s="12">
        <f>IFERROR(__xludf.DUMMYFUNCTION("""COMPUTED_VALUE"""),45231.0)</f>
        <v>45231</v>
      </c>
      <c r="C8784" s="13">
        <f>IFERROR(__xludf.DUMMYFUNCTION("""COMPUTED_VALUE"""),0.9583333333333334)</f>
        <v>0.9583333333</v>
      </c>
      <c r="D8784" s="8">
        <f>IFERROR(__xludf.DUMMYFUNCTION("""COMPUTED_VALUE"""),0.476)</f>
        <v>0.476</v>
      </c>
      <c r="E8784" s="8" t="str">
        <f>IFERROR(__xludf.DUMMYFUNCTION("""COMPUTED_VALUE"""),"Real")</f>
        <v>Real</v>
      </c>
      <c r="G8784" s="8">
        <f t="shared" si="1"/>
        <v>11</v>
      </c>
      <c r="H8784" s="14">
        <f t="shared" si="2"/>
        <v>1</v>
      </c>
      <c r="I8784" s="15">
        <f t="shared" si="3"/>
        <v>23</v>
      </c>
    </row>
    <row r="8785">
      <c r="A8785" s="8" t="str">
        <f>IFERROR(__xludf.DUMMYFUNCTION("IF('(INGESTA)Datos_consumo_datadis'!A8785&lt;&gt;"""",SPLIT('(INGESTA)Datos_consumo_datadis'!A:A,"",""),"""")"),"ES0031408323131005HX0F")</f>
        <v>ES0031408323131005HX0F</v>
      </c>
      <c r="B8785" s="12">
        <f>IFERROR(__xludf.DUMMYFUNCTION("""COMPUTED_VALUE"""),45231.0)</f>
        <v>45231</v>
      </c>
      <c r="C8785" s="16">
        <f>IFERROR(__xludf.DUMMYFUNCTION("""COMPUTED_VALUE"""),1.0)</f>
        <v>1</v>
      </c>
      <c r="D8785" s="8">
        <f>IFERROR(__xludf.DUMMYFUNCTION("""COMPUTED_VALUE"""),0.331)</f>
        <v>0.331</v>
      </c>
      <c r="E8785" s="8" t="str">
        <f>IFERROR(__xludf.DUMMYFUNCTION("""COMPUTED_VALUE"""),"Real")</f>
        <v>Real</v>
      </c>
      <c r="G8785" s="8">
        <f t="shared" si="1"/>
        <v>11</v>
      </c>
      <c r="H8785" s="14">
        <f t="shared" si="2"/>
        <v>1</v>
      </c>
      <c r="I8785" s="15">
        <f t="shared" si="3"/>
        <v>0</v>
      </c>
    </row>
    <row r="8786">
      <c r="A8786" s="8" t="str">
        <f>IFERROR(__xludf.DUMMYFUNCTION("IF('(INGESTA)Datos_consumo_datadis'!A8786&lt;&gt;"""",SPLIT('(INGESTA)Datos_consumo_datadis'!A:A,"",""),"""")"),"ES0031408323131005HX0F")</f>
        <v>ES0031408323131005HX0F</v>
      </c>
      <c r="B8786" s="12">
        <f>IFERROR(__xludf.DUMMYFUNCTION("""COMPUTED_VALUE"""),45232.0)</f>
        <v>45232</v>
      </c>
      <c r="C8786" s="13">
        <f>IFERROR(__xludf.DUMMYFUNCTION("""COMPUTED_VALUE"""),0.041666666666666664)</f>
        <v>0.04166666667</v>
      </c>
      <c r="D8786" s="8">
        <f>IFERROR(__xludf.DUMMYFUNCTION("""COMPUTED_VALUE"""),0.201)</f>
        <v>0.201</v>
      </c>
      <c r="E8786" s="8" t="str">
        <f>IFERROR(__xludf.DUMMYFUNCTION("""COMPUTED_VALUE"""),"Real")</f>
        <v>Real</v>
      </c>
      <c r="G8786" s="8">
        <f t="shared" si="1"/>
        <v>11</v>
      </c>
      <c r="H8786" s="14">
        <f t="shared" si="2"/>
        <v>2</v>
      </c>
      <c r="I8786" s="15">
        <f t="shared" si="3"/>
        <v>1</v>
      </c>
    </row>
    <row r="8787">
      <c r="A8787" s="8" t="str">
        <f>IFERROR(__xludf.DUMMYFUNCTION("IF('(INGESTA)Datos_consumo_datadis'!A8787&lt;&gt;"""",SPLIT('(INGESTA)Datos_consumo_datadis'!A:A,"",""),"""")"),"ES0031408323131005HX0F")</f>
        <v>ES0031408323131005HX0F</v>
      </c>
      <c r="B8787" s="12">
        <f>IFERROR(__xludf.DUMMYFUNCTION("""COMPUTED_VALUE"""),45232.0)</f>
        <v>45232</v>
      </c>
      <c r="C8787" s="13">
        <f>IFERROR(__xludf.DUMMYFUNCTION("""COMPUTED_VALUE"""),0.08333333333333333)</f>
        <v>0.08333333333</v>
      </c>
      <c r="D8787" s="8">
        <f>IFERROR(__xludf.DUMMYFUNCTION("""COMPUTED_VALUE"""),0.144)</f>
        <v>0.144</v>
      </c>
      <c r="E8787" s="8" t="str">
        <f>IFERROR(__xludf.DUMMYFUNCTION("""COMPUTED_VALUE"""),"Real")</f>
        <v>Real</v>
      </c>
      <c r="G8787" s="8">
        <f t="shared" si="1"/>
        <v>11</v>
      </c>
      <c r="H8787" s="14">
        <f t="shared" si="2"/>
        <v>2</v>
      </c>
      <c r="I8787" s="15">
        <f t="shared" si="3"/>
        <v>2</v>
      </c>
    </row>
    <row r="8788">
      <c r="A8788" s="8" t="str">
        <f>IFERROR(__xludf.DUMMYFUNCTION("IF('(INGESTA)Datos_consumo_datadis'!A8788&lt;&gt;"""",SPLIT('(INGESTA)Datos_consumo_datadis'!A:A,"",""),"""")"),"ES0031408323131005HX0F")</f>
        <v>ES0031408323131005HX0F</v>
      </c>
      <c r="B8788" s="12">
        <f>IFERROR(__xludf.DUMMYFUNCTION("""COMPUTED_VALUE"""),45232.0)</f>
        <v>45232</v>
      </c>
      <c r="C8788" s="13">
        <f>IFERROR(__xludf.DUMMYFUNCTION("""COMPUTED_VALUE"""),0.125)</f>
        <v>0.125</v>
      </c>
      <c r="D8788" s="8">
        <f>IFERROR(__xludf.DUMMYFUNCTION("""COMPUTED_VALUE"""),0.19)</f>
        <v>0.19</v>
      </c>
      <c r="E8788" s="8" t="str">
        <f>IFERROR(__xludf.DUMMYFUNCTION("""COMPUTED_VALUE"""),"Real")</f>
        <v>Real</v>
      </c>
      <c r="G8788" s="8">
        <f t="shared" si="1"/>
        <v>11</v>
      </c>
      <c r="H8788" s="14">
        <f t="shared" si="2"/>
        <v>2</v>
      </c>
      <c r="I8788" s="15">
        <f t="shared" si="3"/>
        <v>3</v>
      </c>
    </row>
    <row r="8789">
      <c r="A8789" s="8" t="str">
        <f>IFERROR(__xludf.DUMMYFUNCTION("IF('(INGESTA)Datos_consumo_datadis'!A8789&lt;&gt;"""",SPLIT('(INGESTA)Datos_consumo_datadis'!A:A,"",""),"""")"),"ES0031408323131005HX0F")</f>
        <v>ES0031408323131005HX0F</v>
      </c>
      <c r="B8789" s="12">
        <f>IFERROR(__xludf.DUMMYFUNCTION("""COMPUTED_VALUE"""),45232.0)</f>
        <v>45232</v>
      </c>
      <c r="C8789" s="13">
        <f>IFERROR(__xludf.DUMMYFUNCTION("""COMPUTED_VALUE"""),0.16666666666666666)</f>
        <v>0.1666666667</v>
      </c>
      <c r="D8789" s="8">
        <f>IFERROR(__xludf.DUMMYFUNCTION("""COMPUTED_VALUE"""),0.1)</f>
        <v>0.1</v>
      </c>
      <c r="E8789" s="8" t="str">
        <f>IFERROR(__xludf.DUMMYFUNCTION("""COMPUTED_VALUE"""),"Real")</f>
        <v>Real</v>
      </c>
      <c r="G8789" s="8">
        <f t="shared" si="1"/>
        <v>11</v>
      </c>
      <c r="H8789" s="14">
        <f t="shared" si="2"/>
        <v>2</v>
      </c>
      <c r="I8789" s="15">
        <f t="shared" si="3"/>
        <v>4</v>
      </c>
    </row>
    <row r="8790">
      <c r="A8790" s="8" t="str">
        <f>IFERROR(__xludf.DUMMYFUNCTION("IF('(INGESTA)Datos_consumo_datadis'!A8790&lt;&gt;"""",SPLIT('(INGESTA)Datos_consumo_datadis'!A:A,"",""),"""")"),"ES0031408323131005HX0F")</f>
        <v>ES0031408323131005HX0F</v>
      </c>
      <c r="B8790" s="12">
        <f>IFERROR(__xludf.DUMMYFUNCTION("""COMPUTED_VALUE"""),45232.0)</f>
        <v>45232</v>
      </c>
      <c r="C8790" s="13">
        <f>IFERROR(__xludf.DUMMYFUNCTION("""COMPUTED_VALUE"""),0.20833333333333334)</f>
        <v>0.2083333333</v>
      </c>
      <c r="D8790" s="8">
        <f>IFERROR(__xludf.DUMMYFUNCTION("""COMPUTED_VALUE"""),0.094)</f>
        <v>0.094</v>
      </c>
      <c r="E8790" s="8" t="str">
        <f>IFERROR(__xludf.DUMMYFUNCTION("""COMPUTED_VALUE"""),"Real")</f>
        <v>Real</v>
      </c>
      <c r="G8790" s="8">
        <f t="shared" si="1"/>
        <v>11</v>
      </c>
      <c r="H8790" s="14">
        <f t="shared" si="2"/>
        <v>2</v>
      </c>
      <c r="I8790" s="15">
        <f t="shared" si="3"/>
        <v>5</v>
      </c>
    </row>
    <row r="8791">
      <c r="A8791" s="8" t="str">
        <f>IFERROR(__xludf.DUMMYFUNCTION("IF('(INGESTA)Datos_consumo_datadis'!A8791&lt;&gt;"""",SPLIT('(INGESTA)Datos_consumo_datadis'!A:A,"",""),"""")"),"ES0031408323131005HX0F")</f>
        <v>ES0031408323131005HX0F</v>
      </c>
      <c r="B8791" s="12">
        <f>IFERROR(__xludf.DUMMYFUNCTION("""COMPUTED_VALUE"""),45232.0)</f>
        <v>45232</v>
      </c>
      <c r="C8791" s="13">
        <f>IFERROR(__xludf.DUMMYFUNCTION("""COMPUTED_VALUE"""),0.25)</f>
        <v>0.25</v>
      </c>
      <c r="D8791" s="8">
        <f>IFERROR(__xludf.DUMMYFUNCTION("""COMPUTED_VALUE"""),0.264)</f>
        <v>0.264</v>
      </c>
      <c r="E8791" s="8" t="str">
        <f>IFERROR(__xludf.DUMMYFUNCTION("""COMPUTED_VALUE"""),"Real")</f>
        <v>Real</v>
      </c>
      <c r="G8791" s="8">
        <f t="shared" si="1"/>
        <v>11</v>
      </c>
      <c r="H8791" s="14">
        <f t="shared" si="2"/>
        <v>2</v>
      </c>
      <c r="I8791" s="15">
        <f t="shared" si="3"/>
        <v>6</v>
      </c>
    </row>
    <row r="8792">
      <c r="A8792" s="8" t="str">
        <f>IFERROR(__xludf.DUMMYFUNCTION("IF('(INGESTA)Datos_consumo_datadis'!A8792&lt;&gt;"""",SPLIT('(INGESTA)Datos_consumo_datadis'!A:A,"",""),"""")"),"ES0031408323131005HX0F")</f>
        <v>ES0031408323131005HX0F</v>
      </c>
      <c r="B8792" s="12">
        <f>IFERROR(__xludf.DUMMYFUNCTION("""COMPUTED_VALUE"""),45232.0)</f>
        <v>45232</v>
      </c>
      <c r="C8792" s="13">
        <f>IFERROR(__xludf.DUMMYFUNCTION("""COMPUTED_VALUE"""),0.2916666666666667)</f>
        <v>0.2916666667</v>
      </c>
      <c r="D8792" s="8">
        <f>IFERROR(__xludf.DUMMYFUNCTION("""COMPUTED_VALUE"""),0.151)</f>
        <v>0.151</v>
      </c>
      <c r="E8792" s="8" t="str">
        <f>IFERROR(__xludf.DUMMYFUNCTION("""COMPUTED_VALUE"""),"Real")</f>
        <v>Real</v>
      </c>
      <c r="G8792" s="8">
        <f t="shared" si="1"/>
        <v>11</v>
      </c>
      <c r="H8792" s="14">
        <f t="shared" si="2"/>
        <v>2</v>
      </c>
      <c r="I8792" s="15">
        <f t="shared" si="3"/>
        <v>7</v>
      </c>
    </row>
    <row r="8793">
      <c r="A8793" s="8" t="str">
        <f>IFERROR(__xludf.DUMMYFUNCTION("IF('(INGESTA)Datos_consumo_datadis'!A8793&lt;&gt;"""",SPLIT('(INGESTA)Datos_consumo_datadis'!A:A,"",""),"""")"),"ES0031408323131005HX0F")</f>
        <v>ES0031408323131005HX0F</v>
      </c>
      <c r="B8793" s="12">
        <f>IFERROR(__xludf.DUMMYFUNCTION("""COMPUTED_VALUE"""),45232.0)</f>
        <v>45232</v>
      </c>
      <c r="C8793" s="13">
        <f>IFERROR(__xludf.DUMMYFUNCTION("""COMPUTED_VALUE"""),0.3333333333333333)</f>
        <v>0.3333333333</v>
      </c>
      <c r="D8793" s="8">
        <f>IFERROR(__xludf.DUMMYFUNCTION("""COMPUTED_VALUE"""),0.102)</f>
        <v>0.102</v>
      </c>
      <c r="E8793" s="8" t="str">
        <f>IFERROR(__xludf.DUMMYFUNCTION("""COMPUTED_VALUE"""),"Real")</f>
        <v>Real</v>
      </c>
      <c r="G8793" s="8">
        <f t="shared" si="1"/>
        <v>11</v>
      </c>
      <c r="H8793" s="14">
        <f t="shared" si="2"/>
        <v>2</v>
      </c>
      <c r="I8793" s="15">
        <f t="shared" si="3"/>
        <v>8</v>
      </c>
    </row>
    <row r="8794">
      <c r="A8794" s="8" t="str">
        <f>IFERROR(__xludf.DUMMYFUNCTION("IF('(INGESTA)Datos_consumo_datadis'!A8794&lt;&gt;"""",SPLIT('(INGESTA)Datos_consumo_datadis'!A:A,"",""),"""")"),"ES0031408323131005HX0F")</f>
        <v>ES0031408323131005HX0F</v>
      </c>
      <c r="B8794" s="12">
        <f>IFERROR(__xludf.DUMMYFUNCTION("""COMPUTED_VALUE"""),45232.0)</f>
        <v>45232</v>
      </c>
      <c r="C8794" s="13">
        <f>IFERROR(__xludf.DUMMYFUNCTION("""COMPUTED_VALUE"""),0.375)</f>
        <v>0.375</v>
      </c>
      <c r="D8794" s="8">
        <f>IFERROR(__xludf.DUMMYFUNCTION("""COMPUTED_VALUE"""),0.084)</f>
        <v>0.084</v>
      </c>
      <c r="E8794" s="8" t="str">
        <f>IFERROR(__xludf.DUMMYFUNCTION("""COMPUTED_VALUE"""),"Real")</f>
        <v>Real</v>
      </c>
      <c r="G8794" s="8">
        <f t="shared" si="1"/>
        <v>11</v>
      </c>
      <c r="H8794" s="14">
        <f t="shared" si="2"/>
        <v>2</v>
      </c>
      <c r="I8794" s="15">
        <f t="shared" si="3"/>
        <v>9</v>
      </c>
    </row>
    <row r="8795">
      <c r="A8795" s="8" t="str">
        <f>IFERROR(__xludf.DUMMYFUNCTION("IF('(INGESTA)Datos_consumo_datadis'!A8795&lt;&gt;"""",SPLIT('(INGESTA)Datos_consumo_datadis'!A:A,"",""),"""")"),"ES0031408323131005HX0F")</f>
        <v>ES0031408323131005HX0F</v>
      </c>
      <c r="B8795" s="12">
        <f>IFERROR(__xludf.DUMMYFUNCTION("""COMPUTED_VALUE"""),45232.0)</f>
        <v>45232</v>
      </c>
      <c r="C8795" s="13">
        <f>IFERROR(__xludf.DUMMYFUNCTION("""COMPUTED_VALUE"""),0.4166666666666667)</f>
        <v>0.4166666667</v>
      </c>
      <c r="D8795" s="8">
        <f>IFERROR(__xludf.DUMMYFUNCTION("""COMPUTED_VALUE"""),0.015)</f>
        <v>0.015</v>
      </c>
      <c r="E8795" s="8" t="str">
        <f>IFERROR(__xludf.DUMMYFUNCTION("""COMPUTED_VALUE"""),"Real")</f>
        <v>Real</v>
      </c>
      <c r="G8795" s="8">
        <f t="shared" si="1"/>
        <v>11</v>
      </c>
      <c r="H8795" s="14">
        <f t="shared" si="2"/>
        <v>2</v>
      </c>
      <c r="I8795" s="15">
        <f t="shared" si="3"/>
        <v>10</v>
      </c>
    </row>
    <row r="8796">
      <c r="A8796" s="8" t="str">
        <f>IFERROR(__xludf.DUMMYFUNCTION("IF('(INGESTA)Datos_consumo_datadis'!A8796&lt;&gt;"""",SPLIT('(INGESTA)Datos_consumo_datadis'!A:A,"",""),"""")"),"ES0031408323131005HX0F")</f>
        <v>ES0031408323131005HX0F</v>
      </c>
      <c r="B8796" s="12">
        <f>IFERROR(__xludf.DUMMYFUNCTION("""COMPUTED_VALUE"""),45232.0)</f>
        <v>45232</v>
      </c>
      <c r="C8796" s="13">
        <f>IFERROR(__xludf.DUMMYFUNCTION("""COMPUTED_VALUE"""),0.4583333333333333)</f>
        <v>0.4583333333</v>
      </c>
      <c r="D8796" s="8">
        <f>IFERROR(__xludf.DUMMYFUNCTION("""COMPUTED_VALUE"""),0.115)</f>
        <v>0.115</v>
      </c>
      <c r="E8796" s="8" t="str">
        <f>IFERROR(__xludf.DUMMYFUNCTION("""COMPUTED_VALUE"""),"Real")</f>
        <v>Real</v>
      </c>
      <c r="G8796" s="8">
        <f t="shared" si="1"/>
        <v>11</v>
      </c>
      <c r="H8796" s="14">
        <f t="shared" si="2"/>
        <v>2</v>
      </c>
      <c r="I8796" s="15">
        <f t="shared" si="3"/>
        <v>11</v>
      </c>
    </row>
    <row r="8797">
      <c r="A8797" s="8" t="str">
        <f>IFERROR(__xludf.DUMMYFUNCTION("IF('(INGESTA)Datos_consumo_datadis'!A8797&lt;&gt;"""",SPLIT('(INGESTA)Datos_consumo_datadis'!A:A,"",""),"""")"),"ES0031408323131005HX0F")</f>
        <v>ES0031408323131005HX0F</v>
      </c>
      <c r="B8797" s="12">
        <f>IFERROR(__xludf.DUMMYFUNCTION("""COMPUTED_VALUE"""),45232.0)</f>
        <v>45232</v>
      </c>
      <c r="C8797" s="13">
        <f>IFERROR(__xludf.DUMMYFUNCTION("""COMPUTED_VALUE"""),0.5)</f>
        <v>0.5</v>
      </c>
      <c r="D8797" s="8">
        <f>IFERROR(__xludf.DUMMYFUNCTION("""COMPUTED_VALUE"""),0.112)</f>
        <v>0.112</v>
      </c>
      <c r="E8797" s="8" t="str">
        <f>IFERROR(__xludf.DUMMYFUNCTION("""COMPUTED_VALUE"""),"Real")</f>
        <v>Real</v>
      </c>
      <c r="G8797" s="8">
        <f t="shared" si="1"/>
        <v>11</v>
      </c>
      <c r="H8797" s="14">
        <f t="shared" si="2"/>
        <v>2</v>
      </c>
      <c r="I8797" s="15">
        <f t="shared" si="3"/>
        <v>12</v>
      </c>
    </row>
    <row r="8798">
      <c r="A8798" s="8" t="str">
        <f>IFERROR(__xludf.DUMMYFUNCTION("IF('(INGESTA)Datos_consumo_datadis'!A8798&lt;&gt;"""",SPLIT('(INGESTA)Datos_consumo_datadis'!A:A,"",""),"""")"),"ES0031408323131005HX0F")</f>
        <v>ES0031408323131005HX0F</v>
      </c>
      <c r="B8798" s="12">
        <f>IFERROR(__xludf.DUMMYFUNCTION("""COMPUTED_VALUE"""),45232.0)</f>
        <v>45232</v>
      </c>
      <c r="C8798" s="13">
        <f>IFERROR(__xludf.DUMMYFUNCTION("""COMPUTED_VALUE"""),0.5416666666666666)</f>
        <v>0.5416666667</v>
      </c>
      <c r="D8798" s="8">
        <f>IFERROR(__xludf.DUMMYFUNCTION("""COMPUTED_VALUE"""),0.367)</f>
        <v>0.367</v>
      </c>
      <c r="E8798" s="8" t="str">
        <f>IFERROR(__xludf.DUMMYFUNCTION("""COMPUTED_VALUE"""),"Real")</f>
        <v>Real</v>
      </c>
      <c r="G8798" s="8">
        <f t="shared" si="1"/>
        <v>11</v>
      </c>
      <c r="H8798" s="14">
        <f t="shared" si="2"/>
        <v>2</v>
      </c>
      <c r="I8798" s="15">
        <f t="shared" si="3"/>
        <v>13</v>
      </c>
    </row>
    <row r="8799">
      <c r="A8799" s="8" t="str">
        <f>IFERROR(__xludf.DUMMYFUNCTION("IF('(INGESTA)Datos_consumo_datadis'!A8799&lt;&gt;"""",SPLIT('(INGESTA)Datos_consumo_datadis'!A:A,"",""),"""")"),"ES0031408323131005HX0F")</f>
        <v>ES0031408323131005HX0F</v>
      </c>
      <c r="B8799" s="12">
        <f>IFERROR(__xludf.DUMMYFUNCTION("""COMPUTED_VALUE"""),45232.0)</f>
        <v>45232</v>
      </c>
      <c r="C8799" s="13">
        <f>IFERROR(__xludf.DUMMYFUNCTION("""COMPUTED_VALUE"""),0.5833333333333334)</f>
        <v>0.5833333333</v>
      </c>
      <c r="D8799" s="8">
        <f>IFERROR(__xludf.DUMMYFUNCTION("""COMPUTED_VALUE"""),0.377)</f>
        <v>0.377</v>
      </c>
      <c r="E8799" s="8" t="str">
        <f>IFERROR(__xludf.DUMMYFUNCTION("""COMPUTED_VALUE"""),"Real")</f>
        <v>Real</v>
      </c>
      <c r="G8799" s="8">
        <f t="shared" si="1"/>
        <v>11</v>
      </c>
      <c r="H8799" s="14">
        <f t="shared" si="2"/>
        <v>2</v>
      </c>
      <c r="I8799" s="15">
        <f t="shared" si="3"/>
        <v>14</v>
      </c>
    </row>
    <row r="8800">
      <c r="A8800" s="8" t="str">
        <f>IFERROR(__xludf.DUMMYFUNCTION("IF('(INGESTA)Datos_consumo_datadis'!A8800&lt;&gt;"""",SPLIT('(INGESTA)Datos_consumo_datadis'!A:A,"",""),"""")"),"ES0031408323131005HX0F")</f>
        <v>ES0031408323131005HX0F</v>
      </c>
      <c r="B8800" s="12">
        <f>IFERROR(__xludf.DUMMYFUNCTION("""COMPUTED_VALUE"""),45232.0)</f>
        <v>45232</v>
      </c>
      <c r="C8800" s="13">
        <f>IFERROR(__xludf.DUMMYFUNCTION("""COMPUTED_VALUE"""),0.625)</f>
        <v>0.625</v>
      </c>
      <c r="D8800" s="8">
        <f>IFERROR(__xludf.DUMMYFUNCTION("""COMPUTED_VALUE"""),0.098)</f>
        <v>0.098</v>
      </c>
      <c r="E8800" s="8" t="str">
        <f>IFERROR(__xludf.DUMMYFUNCTION("""COMPUTED_VALUE"""),"Real")</f>
        <v>Real</v>
      </c>
      <c r="G8800" s="8">
        <f t="shared" si="1"/>
        <v>11</v>
      </c>
      <c r="H8800" s="14">
        <f t="shared" si="2"/>
        <v>2</v>
      </c>
      <c r="I8800" s="15">
        <f t="shared" si="3"/>
        <v>15</v>
      </c>
    </row>
    <row r="8801">
      <c r="A8801" s="8" t="str">
        <f>IFERROR(__xludf.DUMMYFUNCTION("IF('(INGESTA)Datos_consumo_datadis'!A8801&lt;&gt;"""",SPLIT('(INGESTA)Datos_consumo_datadis'!A:A,"",""),"""")"),"ES0031408323131005HX0F")</f>
        <v>ES0031408323131005HX0F</v>
      </c>
      <c r="B8801" s="12">
        <f>IFERROR(__xludf.DUMMYFUNCTION("""COMPUTED_VALUE"""),45232.0)</f>
        <v>45232</v>
      </c>
      <c r="C8801" s="13">
        <f>IFERROR(__xludf.DUMMYFUNCTION("""COMPUTED_VALUE"""),0.6666666666666666)</f>
        <v>0.6666666667</v>
      </c>
      <c r="D8801" s="8">
        <f>IFERROR(__xludf.DUMMYFUNCTION("""COMPUTED_VALUE"""),0.084)</f>
        <v>0.084</v>
      </c>
      <c r="E8801" s="8" t="str">
        <f>IFERROR(__xludf.DUMMYFUNCTION("""COMPUTED_VALUE"""),"Real")</f>
        <v>Real</v>
      </c>
      <c r="G8801" s="8">
        <f t="shared" si="1"/>
        <v>11</v>
      </c>
      <c r="H8801" s="14">
        <f t="shared" si="2"/>
        <v>2</v>
      </c>
      <c r="I8801" s="15">
        <f t="shared" si="3"/>
        <v>16</v>
      </c>
    </row>
    <row r="8802">
      <c r="A8802" s="8" t="str">
        <f>IFERROR(__xludf.DUMMYFUNCTION("IF('(INGESTA)Datos_consumo_datadis'!A8802&lt;&gt;"""",SPLIT('(INGESTA)Datos_consumo_datadis'!A:A,"",""),"""")"),"ES0031408323131005HX0F")</f>
        <v>ES0031408323131005HX0F</v>
      </c>
      <c r="B8802" s="12">
        <f>IFERROR(__xludf.DUMMYFUNCTION("""COMPUTED_VALUE"""),45232.0)</f>
        <v>45232</v>
      </c>
      <c r="C8802" s="13">
        <f>IFERROR(__xludf.DUMMYFUNCTION("""COMPUTED_VALUE"""),0.7083333333333334)</f>
        <v>0.7083333333</v>
      </c>
      <c r="D8802" s="8">
        <f>IFERROR(__xludf.DUMMYFUNCTION("""COMPUTED_VALUE"""),0.072)</f>
        <v>0.072</v>
      </c>
      <c r="E8802" s="8" t="str">
        <f>IFERROR(__xludf.DUMMYFUNCTION("""COMPUTED_VALUE"""),"Real")</f>
        <v>Real</v>
      </c>
      <c r="G8802" s="8">
        <f t="shared" si="1"/>
        <v>11</v>
      </c>
      <c r="H8802" s="14">
        <f t="shared" si="2"/>
        <v>2</v>
      </c>
      <c r="I8802" s="15">
        <f t="shared" si="3"/>
        <v>17</v>
      </c>
    </row>
    <row r="8803">
      <c r="A8803" s="8" t="str">
        <f>IFERROR(__xludf.DUMMYFUNCTION("IF('(INGESTA)Datos_consumo_datadis'!A8803&lt;&gt;"""",SPLIT('(INGESTA)Datos_consumo_datadis'!A:A,"",""),"""")"),"ES0031408323131005HX0F")</f>
        <v>ES0031408323131005HX0F</v>
      </c>
      <c r="B8803" s="12">
        <f>IFERROR(__xludf.DUMMYFUNCTION("""COMPUTED_VALUE"""),45232.0)</f>
        <v>45232</v>
      </c>
      <c r="C8803" s="13">
        <f>IFERROR(__xludf.DUMMYFUNCTION("""COMPUTED_VALUE"""),0.75)</f>
        <v>0.75</v>
      </c>
      <c r="D8803" s="8">
        <f>IFERROR(__xludf.DUMMYFUNCTION("""COMPUTED_VALUE"""),0.015)</f>
        <v>0.015</v>
      </c>
      <c r="E8803" s="8" t="str">
        <f>IFERROR(__xludf.DUMMYFUNCTION("""COMPUTED_VALUE"""),"Real")</f>
        <v>Real</v>
      </c>
      <c r="G8803" s="8">
        <f t="shared" si="1"/>
        <v>11</v>
      </c>
      <c r="H8803" s="14">
        <f t="shared" si="2"/>
        <v>2</v>
      </c>
      <c r="I8803" s="15">
        <f t="shared" si="3"/>
        <v>18</v>
      </c>
    </row>
    <row r="8804">
      <c r="A8804" s="8" t="str">
        <f>IFERROR(__xludf.DUMMYFUNCTION("IF('(INGESTA)Datos_consumo_datadis'!A8804&lt;&gt;"""",SPLIT('(INGESTA)Datos_consumo_datadis'!A:A,"",""),"""")"),"ES0031408323131005HX0F")</f>
        <v>ES0031408323131005HX0F</v>
      </c>
      <c r="B8804" s="12">
        <f>IFERROR(__xludf.DUMMYFUNCTION("""COMPUTED_VALUE"""),45232.0)</f>
        <v>45232</v>
      </c>
      <c r="C8804" s="13">
        <f>IFERROR(__xludf.DUMMYFUNCTION("""COMPUTED_VALUE"""),0.7916666666666666)</f>
        <v>0.7916666667</v>
      </c>
      <c r="D8804" s="8">
        <f>IFERROR(__xludf.DUMMYFUNCTION("""COMPUTED_VALUE"""),0.079)</f>
        <v>0.079</v>
      </c>
      <c r="E8804" s="8" t="str">
        <f>IFERROR(__xludf.DUMMYFUNCTION("""COMPUTED_VALUE"""),"Real")</f>
        <v>Real</v>
      </c>
      <c r="G8804" s="8">
        <f t="shared" si="1"/>
        <v>11</v>
      </c>
      <c r="H8804" s="14">
        <f t="shared" si="2"/>
        <v>2</v>
      </c>
      <c r="I8804" s="15">
        <f t="shared" si="3"/>
        <v>19</v>
      </c>
    </row>
    <row r="8805">
      <c r="A8805" s="8" t="str">
        <f>IFERROR(__xludf.DUMMYFUNCTION("IF('(INGESTA)Datos_consumo_datadis'!A8805&lt;&gt;"""",SPLIT('(INGESTA)Datos_consumo_datadis'!A:A,"",""),"""")"),"ES0031408323131005HX0F")</f>
        <v>ES0031408323131005HX0F</v>
      </c>
      <c r="B8805" s="12">
        <f>IFERROR(__xludf.DUMMYFUNCTION("""COMPUTED_VALUE"""),45232.0)</f>
        <v>45232</v>
      </c>
      <c r="C8805" s="13">
        <f>IFERROR(__xludf.DUMMYFUNCTION("""COMPUTED_VALUE"""),0.8333333333333334)</f>
        <v>0.8333333333</v>
      </c>
      <c r="D8805" s="8">
        <f>IFERROR(__xludf.DUMMYFUNCTION("""COMPUTED_VALUE"""),0.432)</f>
        <v>0.432</v>
      </c>
      <c r="E8805" s="8" t="str">
        <f>IFERROR(__xludf.DUMMYFUNCTION("""COMPUTED_VALUE"""),"Real")</f>
        <v>Real</v>
      </c>
      <c r="G8805" s="8">
        <f t="shared" si="1"/>
        <v>11</v>
      </c>
      <c r="H8805" s="14">
        <f t="shared" si="2"/>
        <v>2</v>
      </c>
      <c r="I8805" s="15">
        <f t="shared" si="3"/>
        <v>20</v>
      </c>
    </row>
    <row r="8806">
      <c r="A8806" s="8" t="str">
        <f>IFERROR(__xludf.DUMMYFUNCTION("IF('(INGESTA)Datos_consumo_datadis'!A8806&lt;&gt;"""",SPLIT('(INGESTA)Datos_consumo_datadis'!A:A,"",""),"""")"),"ES0031408323131005HX0F")</f>
        <v>ES0031408323131005HX0F</v>
      </c>
      <c r="B8806" s="12">
        <f>IFERROR(__xludf.DUMMYFUNCTION("""COMPUTED_VALUE"""),45232.0)</f>
        <v>45232</v>
      </c>
      <c r="C8806" s="13">
        <f>IFERROR(__xludf.DUMMYFUNCTION("""COMPUTED_VALUE"""),0.875)</f>
        <v>0.875</v>
      </c>
      <c r="D8806" s="8">
        <f>IFERROR(__xludf.DUMMYFUNCTION("""COMPUTED_VALUE"""),2.18)</f>
        <v>2.18</v>
      </c>
      <c r="E8806" s="8" t="str">
        <f>IFERROR(__xludf.DUMMYFUNCTION("""COMPUTED_VALUE"""),"Real")</f>
        <v>Real</v>
      </c>
      <c r="G8806" s="8">
        <f t="shared" si="1"/>
        <v>11</v>
      </c>
      <c r="H8806" s="14">
        <f t="shared" si="2"/>
        <v>2</v>
      </c>
      <c r="I8806" s="15">
        <f t="shared" si="3"/>
        <v>21</v>
      </c>
    </row>
    <row r="8807">
      <c r="A8807" s="8" t="str">
        <f>IFERROR(__xludf.DUMMYFUNCTION("IF('(INGESTA)Datos_consumo_datadis'!A8807&lt;&gt;"""",SPLIT('(INGESTA)Datos_consumo_datadis'!A:A,"",""),"""")"),"ES0031408323131005HX0F")</f>
        <v>ES0031408323131005HX0F</v>
      </c>
      <c r="B8807" s="12">
        <f>IFERROR(__xludf.DUMMYFUNCTION("""COMPUTED_VALUE"""),45232.0)</f>
        <v>45232</v>
      </c>
      <c r="C8807" s="13">
        <f>IFERROR(__xludf.DUMMYFUNCTION("""COMPUTED_VALUE"""),0.9166666666666666)</f>
        <v>0.9166666667</v>
      </c>
      <c r="D8807" s="8">
        <f>IFERROR(__xludf.DUMMYFUNCTION("""COMPUTED_VALUE"""),0.464)</f>
        <v>0.464</v>
      </c>
      <c r="E8807" s="8" t="str">
        <f>IFERROR(__xludf.DUMMYFUNCTION("""COMPUTED_VALUE"""),"Real")</f>
        <v>Real</v>
      </c>
      <c r="G8807" s="8">
        <f t="shared" si="1"/>
        <v>11</v>
      </c>
      <c r="H8807" s="14">
        <f t="shared" si="2"/>
        <v>2</v>
      </c>
      <c r="I8807" s="15">
        <f t="shared" si="3"/>
        <v>22</v>
      </c>
    </row>
    <row r="8808">
      <c r="A8808" s="8" t="str">
        <f>IFERROR(__xludf.DUMMYFUNCTION("IF('(INGESTA)Datos_consumo_datadis'!A8808&lt;&gt;"""",SPLIT('(INGESTA)Datos_consumo_datadis'!A:A,"",""),"""")"),"ES0031408323131005HX0F")</f>
        <v>ES0031408323131005HX0F</v>
      </c>
      <c r="B8808" s="12">
        <f>IFERROR(__xludf.DUMMYFUNCTION("""COMPUTED_VALUE"""),45232.0)</f>
        <v>45232</v>
      </c>
      <c r="C8808" s="13">
        <f>IFERROR(__xludf.DUMMYFUNCTION("""COMPUTED_VALUE"""),0.9583333333333334)</f>
        <v>0.9583333333</v>
      </c>
      <c r="D8808" s="8">
        <f>IFERROR(__xludf.DUMMYFUNCTION("""COMPUTED_VALUE"""),0.67)</f>
        <v>0.67</v>
      </c>
      <c r="E8808" s="8" t="str">
        <f>IFERROR(__xludf.DUMMYFUNCTION("""COMPUTED_VALUE"""),"Real")</f>
        <v>Real</v>
      </c>
      <c r="G8808" s="8">
        <f t="shared" si="1"/>
        <v>11</v>
      </c>
      <c r="H8808" s="14">
        <f t="shared" si="2"/>
        <v>2</v>
      </c>
      <c r="I8808" s="15">
        <f t="shared" si="3"/>
        <v>23</v>
      </c>
    </row>
    <row r="8809">
      <c r="A8809" s="8" t="str">
        <f>IFERROR(__xludf.DUMMYFUNCTION("IF('(INGESTA)Datos_consumo_datadis'!A8809&lt;&gt;"""",SPLIT('(INGESTA)Datos_consumo_datadis'!A:A,"",""),"""")"),"ES0031408323131005HX0F")</f>
        <v>ES0031408323131005HX0F</v>
      </c>
      <c r="B8809" s="12">
        <f>IFERROR(__xludf.DUMMYFUNCTION("""COMPUTED_VALUE"""),45232.0)</f>
        <v>45232</v>
      </c>
      <c r="C8809" s="16">
        <f>IFERROR(__xludf.DUMMYFUNCTION("""COMPUTED_VALUE"""),1.0)</f>
        <v>1</v>
      </c>
      <c r="D8809" s="8">
        <f>IFERROR(__xludf.DUMMYFUNCTION("""COMPUTED_VALUE"""),0.031)</f>
        <v>0.031</v>
      </c>
      <c r="E8809" s="8" t="str">
        <f>IFERROR(__xludf.DUMMYFUNCTION("""COMPUTED_VALUE"""),"Real")</f>
        <v>Real</v>
      </c>
      <c r="G8809" s="8">
        <f t="shared" si="1"/>
        <v>11</v>
      </c>
      <c r="H8809" s="14">
        <f t="shared" si="2"/>
        <v>2</v>
      </c>
      <c r="I8809" s="15">
        <f t="shared" si="3"/>
        <v>0</v>
      </c>
    </row>
    <row r="8810">
      <c r="A8810" s="8" t="str">
        <f>IFERROR(__xludf.DUMMYFUNCTION("IF('(INGESTA)Datos_consumo_datadis'!A8810&lt;&gt;"""",SPLIT('(INGESTA)Datos_consumo_datadis'!A:A,"",""),"""")"),"ES0031408323131005HX0F")</f>
        <v>ES0031408323131005HX0F</v>
      </c>
      <c r="B8810" s="12">
        <f>IFERROR(__xludf.DUMMYFUNCTION("""COMPUTED_VALUE"""),45233.0)</f>
        <v>45233</v>
      </c>
      <c r="C8810" s="13">
        <f>IFERROR(__xludf.DUMMYFUNCTION("""COMPUTED_VALUE"""),0.041666666666666664)</f>
        <v>0.04166666667</v>
      </c>
      <c r="D8810" s="8">
        <f>IFERROR(__xludf.DUMMYFUNCTION("""COMPUTED_VALUE"""),0.083)</f>
        <v>0.083</v>
      </c>
      <c r="E8810" s="8" t="str">
        <f>IFERROR(__xludf.DUMMYFUNCTION("""COMPUTED_VALUE"""),"Real")</f>
        <v>Real</v>
      </c>
      <c r="G8810" s="8">
        <f t="shared" si="1"/>
        <v>11</v>
      </c>
      <c r="H8810" s="14">
        <f t="shared" si="2"/>
        <v>3</v>
      </c>
      <c r="I8810" s="15">
        <f t="shared" si="3"/>
        <v>1</v>
      </c>
    </row>
    <row r="8811">
      <c r="A8811" s="8" t="str">
        <f>IFERROR(__xludf.DUMMYFUNCTION("IF('(INGESTA)Datos_consumo_datadis'!A8811&lt;&gt;"""",SPLIT('(INGESTA)Datos_consumo_datadis'!A:A,"",""),"""")"),"ES0031408323131005HX0F")</f>
        <v>ES0031408323131005HX0F</v>
      </c>
      <c r="B8811" s="12">
        <f>IFERROR(__xludf.DUMMYFUNCTION("""COMPUTED_VALUE"""),45233.0)</f>
        <v>45233</v>
      </c>
      <c r="C8811" s="13">
        <f>IFERROR(__xludf.DUMMYFUNCTION("""COMPUTED_VALUE"""),0.08333333333333333)</f>
        <v>0.08333333333</v>
      </c>
      <c r="D8811" s="8">
        <f>IFERROR(__xludf.DUMMYFUNCTION("""COMPUTED_VALUE"""),0.105)</f>
        <v>0.105</v>
      </c>
      <c r="E8811" s="8" t="str">
        <f>IFERROR(__xludf.DUMMYFUNCTION("""COMPUTED_VALUE"""),"Real")</f>
        <v>Real</v>
      </c>
      <c r="G8811" s="8">
        <f t="shared" si="1"/>
        <v>11</v>
      </c>
      <c r="H8811" s="14">
        <f t="shared" si="2"/>
        <v>3</v>
      </c>
      <c r="I8811" s="15">
        <f t="shared" si="3"/>
        <v>2</v>
      </c>
    </row>
    <row r="8812">
      <c r="A8812" s="8" t="str">
        <f>IFERROR(__xludf.DUMMYFUNCTION("IF('(INGESTA)Datos_consumo_datadis'!A8812&lt;&gt;"""",SPLIT('(INGESTA)Datos_consumo_datadis'!A:A,"",""),"""")"),"ES0031408323131005HX0F")</f>
        <v>ES0031408323131005HX0F</v>
      </c>
      <c r="B8812" s="12">
        <f>IFERROR(__xludf.DUMMYFUNCTION("""COMPUTED_VALUE"""),45233.0)</f>
        <v>45233</v>
      </c>
      <c r="C8812" s="13">
        <f>IFERROR(__xludf.DUMMYFUNCTION("""COMPUTED_VALUE"""),0.125)</f>
        <v>0.125</v>
      </c>
      <c r="D8812" s="8">
        <f>IFERROR(__xludf.DUMMYFUNCTION("""COMPUTED_VALUE"""),0.373)</f>
        <v>0.373</v>
      </c>
      <c r="E8812" s="8" t="str">
        <f>IFERROR(__xludf.DUMMYFUNCTION("""COMPUTED_VALUE"""),"Real")</f>
        <v>Real</v>
      </c>
      <c r="G8812" s="8">
        <f t="shared" si="1"/>
        <v>11</v>
      </c>
      <c r="H8812" s="14">
        <f t="shared" si="2"/>
        <v>3</v>
      </c>
      <c r="I8812" s="15">
        <f t="shared" si="3"/>
        <v>3</v>
      </c>
    </row>
    <row r="8813">
      <c r="A8813" s="8" t="str">
        <f>IFERROR(__xludf.DUMMYFUNCTION("IF('(INGESTA)Datos_consumo_datadis'!A8813&lt;&gt;"""",SPLIT('(INGESTA)Datos_consumo_datadis'!A:A,"",""),"""")"),"ES0031408323131005HX0F")</f>
        <v>ES0031408323131005HX0F</v>
      </c>
      <c r="B8813" s="12">
        <f>IFERROR(__xludf.DUMMYFUNCTION("""COMPUTED_VALUE"""),45233.0)</f>
        <v>45233</v>
      </c>
      <c r="C8813" s="13">
        <f>IFERROR(__xludf.DUMMYFUNCTION("""COMPUTED_VALUE"""),0.16666666666666666)</f>
        <v>0.1666666667</v>
      </c>
      <c r="D8813" s="8">
        <f>IFERROR(__xludf.DUMMYFUNCTION("""COMPUTED_VALUE"""),0.088)</f>
        <v>0.088</v>
      </c>
      <c r="E8813" s="8" t="str">
        <f>IFERROR(__xludf.DUMMYFUNCTION("""COMPUTED_VALUE"""),"Real")</f>
        <v>Real</v>
      </c>
      <c r="G8813" s="8">
        <f t="shared" si="1"/>
        <v>11</v>
      </c>
      <c r="H8813" s="14">
        <f t="shared" si="2"/>
        <v>3</v>
      </c>
      <c r="I8813" s="15">
        <f t="shared" si="3"/>
        <v>4</v>
      </c>
    </row>
    <row r="8814">
      <c r="A8814" s="8" t="str">
        <f>IFERROR(__xludf.DUMMYFUNCTION("IF('(INGESTA)Datos_consumo_datadis'!A8814&lt;&gt;"""",SPLIT('(INGESTA)Datos_consumo_datadis'!A:A,"",""),"""")"),"ES0031408323131005HX0F")</f>
        <v>ES0031408323131005HX0F</v>
      </c>
      <c r="B8814" s="12">
        <f>IFERROR(__xludf.DUMMYFUNCTION("""COMPUTED_VALUE"""),45233.0)</f>
        <v>45233</v>
      </c>
      <c r="C8814" s="13">
        <f>IFERROR(__xludf.DUMMYFUNCTION("""COMPUTED_VALUE"""),0.20833333333333334)</f>
        <v>0.2083333333</v>
      </c>
      <c r="D8814" s="8">
        <f>IFERROR(__xludf.DUMMYFUNCTION("""COMPUTED_VALUE"""),0.05)</f>
        <v>0.05</v>
      </c>
      <c r="E8814" s="8" t="str">
        <f>IFERROR(__xludf.DUMMYFUNCTION("""COMPUTED_VALUE"""),"Real")</f>
        <v>Real</v>
      </c>
      <c r="G8814" s="8">
        <f t="shared" si="1"/>
        <v>11</v>
      </c>
      <c r="H8814" s="14">
        <f t="shared" si="2"/>
        <v>3</v>
      </c>
      <c r="I8814" s="15">
        <f t="shared" si="3"/>
        <v>5</v>
      </c>
    </row>
    <row r="8815">
      <c r="A8815" s="8" t="str">
        <f>IFERROR(__xludf.DUMMYFUNCTION("IF('(INGESTA)Datos_consumo_datadis'!A8815&lt;&gt;"""",SPLIT('(INGESTA)Datos_consumo_datadis'!A:A,"",""),"""")"),"ES0031408323131005HX0F")</f>
        <v>ES0031408323131005HX0F</v>
      </c>
      <c r="B8815" s="12">
        <f>IFERROR(__xludf.DUMMYFUNCTION("""COMPUTED_VALUE"""),45233.0)</f>
        <v>45233</v>
      </c>
      <c r="C8815" s="13">
        <f>IFERROR(__xludf.DUMMYFUNCTION("""COMPUTED_VALUE"""),0.25)</f>
        <v>0.25</v>
      </c>
      <c r="D8815" s="8">
        <f>IFERROR(__xludf.DUMMYFUNCTION("""COMPUTED_VALUE"""),0.063)</f>
        <v>0.063</v>
      </c>
      <c r="E8815" s="8" t="str">
        <f>IFERROR(__xludf.DUMMYFUNCTION("""COMPUTED_VALUE"""),"Real")</f>
        <v>Real</v>
      </c>
      <c r="G8815" s="8">
        <f t="shared" si="1"/>
        <v>11</v>
      </c>
      <c r="H8815" s="14">
        <f t="shared" si="2"/>
        <v>3</v>
      </c>
      <c r="I8815" s="15">
        <f t="shared" si="3"/>
        <v>6</v>
      </c>
    </row>
    <row r="8816">
      <c r="A8816" s="8" t="str">
        <f>IFERROR(__xludf.DUMMYFUNCTION("IF('(INGESTA)Datos_consumo_datadis'!A8816&lt;&gt;"""",SPLIT('(INGESTA)Datos_consumo_datadis'!A:A,"",""),"""")"),"ES0031408323131005HX0F")</f>
        <v>ES0031408323131005HX0F</v>
      </c>
      <c r="B8816" s="12">
        <f>IFERROR(__xludf.DUMMYFUNCTION("""COMPUTED_VALUE"""),45233.0)</f>
        <v>45233</v>
      </c>
      <c r="C8816" s="13">
        <f>IFERROR(__xludf.DUMMYFUNCTION("""COMPUTED_VALUE"""),0.2916666666666667)</f>
        <v>0.2916666667</v>
      </c>
      <c r="D8816" s="8">
        <f>IFERROR(__xludf.DUMMYFUNCTION("""COMPUTED_VALUE"""),0.12)</f>
        <v>0.12</v>
      </c>
      <c r="E8816" s="8" t="str">
        <f>IFERROR(__xludf.DUMMYFUNCTION("""COMPUTED_VALUE"""),"Real")</f>
        <v>Real</v>
      </c>
      <c r="G8816" s="8">
        <f t="shared" si="1"/>
        <v>11</v>
      </c>
      <c r="H8816" s="14">
        <f t="shared" si="2"/>
        <v>3</v>
      </c>
      <c r="I8816" s="15">
        <f t="shared" si="3"/>
        <v>7</v>
      </c>
    </row>
    <row r="8817">
      <c r="A8817" s="8" t="str">
        <f>IFERROR(__xludf.DUMMYFUNCTION("IF('(INGESTA)Datos_consumo_datadis'!A8817&lt;&gt;"""",SPLIT('(INGESTA)Datos_consumo_datadis'!A:A,"",""),"""")"),"ES0031408323131005HX0F")</f>
        <v>ES0031408323131005HX0F</v>
      </c>
      <c r="B8817" s="12">
        <f>IFERROR(__xludf.DUMMYFUNCTION("""COMPUTED_VALUE"""),45233.0)</f>
        <v>45233</v>
      </c>
      <c r="C8817" s="13">
        <f>IFERROR(__xludf.DUMMYFUNCTION("""COMPUTED_VALUE"""),0.3333333333333333)</f>
        <v>0.3333333333</v>
      </c>
      <c r="D8817" s="8">
        <f>IFERROR(__xludf.DUMMYFUNCTION("""COMPUTED_VALUE"""),0.089)</f>
        <v>0.089</v>
      </c>
      <c r="E8817" s="8" t="str">
        <f>IFERROR(__xludf.DUMMYFUNCTION("""COMPUTED_VALUE"""),"Real")</f>
        <v>Real</v>
      </c>
      <c r="G8817" s="8">
        <f t="shared" si="1"/>
        <v>11</v>
      </c>
      <c r="H8817" s="14">
        <f t="shared" si="2"/>
        <v>3</v>
      </c>
      <c r="I8817" s="15">
        <f t="shared" si="3"/>
        <v>8</v>
      </c>
    </row>
    <row r="8818">
      <c r="A8818" s="8" t="str">
        <f>IFERROR(__xludf.DUMMYFUNCTION("IF('(INGESTA)Datos_consumo_datadis'!A8818&lt;&gt;"""",SPLIT('(INGESTA)Datos_consumo_datadis'!A:A,"",""),"""")"),"ES0031408323131005HX0F")</f>
        <v>ES0031408323131005HX0F</v>
      </c>
      <c r="B8818" s="12">
        <f>IFERROR(__xludf.DUMMYFUNCTION("""COMPUTED_VALUE"""),45233.0)</f>
        <v>45233</v>
      </c>
      <c r="C8818" s="13">
        <f>IFERROR(__xludf.DUMMYFUNCTION("""COMPUTED_VALUE"""),0.375)</f>
        <v>0.375</v>
      </c>
      <c r="D8818" s="8">
        <f>IFERROR(__xludf.DUMMYFUNCTION("""COMPUTED_VALUE"""),0.044)</f>
        <v>0.044</v>
      </c>
      <c r="E8818" s="8" t="str">
        <f>IFERROR(__xludf.DUMMYFUNCTION("""COMPUTED_VALUE"""),"Real")</f>
        <v>Real</v>
      </c>
      <c r="G8818" s="8">
        <f t="shared" si="1"/>
        <v>11</v>
      </c>
      <c r="H8818" s="14">
        <f t="shared" si="2"/>
        <v>3</v>
      </c>
      <c r="I8818" s="15">
        <f t="shared" si="3"/>
        <v>9</v>
      </c>
    </row>
    <row r="8819">
      <c r="A8819" s="8" t="str">
        <f>IFERROR(__xludf.DUMMYFUNCTION("IF('(INGESTA)Datos_consumo_datadis'!A8819&lt;&gt;"""",SPLIT('(INGESTA)Datos_consumo_datadis'!A:A,"",""),"""")"),"ES0031408323131005HX0F")</f>
        <v>ES0031408323131005HX0F</v>
      </c>
      <c r="B8819" s="12">
        <f>IFERROR(__xludf.DUMMYFUNCTION("""COMPUTED_VALUE"""),45233.0)</f>
        <v>45233</v>
      </c>
      <c r="C8819" s="13">
        <f>IFERROR(__xludf.DUMMYFUNCTION("""COMPUTED_VALUE"""),0.4166666666666667)</f>
        <v>0.4166666667</v>
      </c>
      <c r="D8819" s="8">
        <f>IFERROR(__xludf.DUMMYFUNCTION("""COMPUTED_VALUE"""),0.033)</f>
        <v>0.033</v>
      </c>
      <c r="E8819" s="8" t="str">
        <f>IFERROR(__xludf.DUMMYFUNCTION("""COMPUTED_VALUE"""),"Real")</f>
        <v>Real</v>
      </c>
      <c r="G8819" s="8">
        <f t="shared" si="1"/>
        <v>11</v>
      </c>
      <c r="H8819" s="14">
        <f t="shared" si="2"/>
        <v>3</v>
      </c>
      <c r="I8819" s="15">
        <f t="shared" si="3"/>
        <v>10</v>
      </c>
    </row>
    <row r="8820">
      <c r="A8820" s="8" t="str">
        <f>IFERROR(__xludf.DUMMYFUNCTION("IF('(INGESTA)Datos_consumo_datadis'!A8820&lt;&gt;"""",SPLIT('(INGESTA)Datos_consumo_datadis'!A:A,"",""),"""")"),"ES0031408323131005HX0F")</f>
        <v>ES0031408323131005HX0F</v>
      </c>
      <c r="B8820" s="12">
        <f>IFERROR(__xludf.DUMMYFUNCTION("""COMPUTED_VALUE"""),45233.0)</f>
        <v>45233</v>
      </c>
      <c r="C8820" s="13">
        <f>IFERROR(__xludf.DUMMYFUNCTION("""COMPUTED_VALUE"""),0.4583333333333333)</f>
        <v>0.4583333333</v>
      </c>
      <c r="D8820" s="8">
        <f>IFERROR(__xludf.DUMMYFUNCTION("""COMPUTED_VALUE"""),0.35)</f>
        <v>0.35</v>
      </c>
      <c r="E8820" s="8" t="str">
        <f>IFERROR(__xludf.DUMMYFUNCTION("""COMPUTED_VALUE"""),"Real")</f>
        <v>Real</v>
      </c>
      <c r="G8820" s="8">
        <f t="shared" si="1"/>
        <v>11</v>
      </c>
      <c r="H8820" s="14">
        <f t="shared" si="2"/>
        <v>3</v>
      </c>
      <c r="I8820" s="15">
        <f t="shared" si="3"/>
        <v>11</v>
      </c>
    </row>
    <row r="8821">
      <c r="A8821" s="8" t="str">
        <f>IFERROR(__xludf.DUMMYFUNCTION("IF('(INGESTA)Datos_consumo_datadis'!A8821&lt;&gt;"""",SPLIT('(INGESTA)Datos_consumo_datadis'!A:A,"",""),"""")"),"ES0031408323131005HX0F")</f>
        <v>ES0031408323131005HX0F</v>
      </c>
      <c r="B8821" s="12">
        <f>IFERROR(__xludf.DUMMYFUNCTION("""COMPUTED_VALUE"""),45233.0)</f>
        <v>45233</v>
      </c>
      <c r="C8821" s="13">
        <f>IFERROR(__xludf.DUMMYFUNCTION("""COMPUTED_VALUE"""),0.5)</f>
        <v>0.5</v>
      </c>
      <c r="D8821" s="8">
        <f>IFERROR(__xludf.DUMMYFUNCTION("""COMPUTED_VALUE"""),0.06)</f>
        <v>0.06</v>
      </c>
      <c r="E8821" s="8" t="str">
        <f>IFERROR(__xludf.DUMMYFUNCTION("""COMPUTED_VALUE"""),"Real")</f>
        <v>Real</v>
      </c>
      <c r="G8821" s="8">
        <f t="shared" si="1"/>
        <v>11</v>
      </c>
      <c r="H8821" s="14">
        <f t="shared" si="2"/>
        <v>3</v>
      </c>
      <c r="I8821" s="15">
        <f t="shared" si="3"/>
        <v>12</v>
      </c>
    </row>
    <row r="8822">
      <c r="A8822" s="8" t="str">
        <f>IFERROR(__xludf.DUMMYFUNCTION("IF('(INGESTA)Datos_consumo_datadis'!A8822&lt;&gt;"""",SPLIT('(INGESTA)Datos_consumo_datadis'!A:A,"",""),"""")"),"ES0031408323131005HX0F")</f>
        <v>ES0031408323131005HX0F</v>
      </c>
      <c r="B8822" s="12">
        <f>IFERROR(__xludf.DUMMYFUNCTION("""COMPUTED_VALUE"""),45233.0)</f>
        <v>45233</v>
      </c>
      <c r="C8822" s="13">
        <f>IFERROR(__xludf.DUMMYFUNCTION("""COMPUTED_VALUE"""),0.5416666666666666)</f>
        <v>0.5416666667</v>
      </c>
      <c r="D8822" s="8">
        <f>IFERROR(__xludf.DUMMYFUNCTION("""COMPUTED_VALUE"""),0.033)</f>
        <v>0.033</v>
      </c>
      <c r="E8822" s="8" t="str">
        <f>IFERROR(__xludf.DUMMYFUNCTION("""COMPUTED_VALUE"""),"Real")</f>
        <v>Real</v>
      </c>
      <c r="G8822" s="8">
        <f t="shared" si="1"/>
        <v>11</v>
      </c>
      <c r="H8822" s="14">
        <f t="shared" si="2"/>
        <v>3</v>
      </c>
      <c r="I8822" s="15">
        <f t="shared" si="3"/>
        <v>13</v>
      </c>
    </row>
    <row r="8823">
      <c r="A8823" s="8" t="str">
        <f>IFERROR(__xludf.DUMMYFUNCTION("IF('(INGESTA)Datos_consumo_datadis'!A8823&lt;&gt;"""",SPLIT('(INGESTA)Datos_consumo_datadis'!A:A,"",""),"""")"),"ES0031408323131005HX0F")</f>
        <v>ES0031408323131005HX0F</v>
      </c>
      <c r="B8823" s="12">
        <f>IFERROR(__xludf.DUMMYFUNCTION("""COMPUTED_VALUE"""),45233.0)</f>
        <v>45233</v>
      </c>
      <c r="C8823" s="13">
        <f>IFERROR(__xludf.DUMMYFUNCTION("""COMPUTED_VALUE"""),0.5833333333333334)</f>
        <v>0.5833333333</v>
      </c>
      <c r="D8823" s="8">
        <f>IFERROR(__xludf.DUMMYFUNCTION("""COMPUTED_VALUE"""),0.132)</f>
        <v>0.132</v>
      </c>
      <c r="E8823" s="8" t="str">
        <f>IFERROR(__xludf.DUMMYFUNCTION("""COMPUTED_VALUE"""),"Real")</f>
        <v>Real</v>
      </c>
      <c r="G8823" s="8">
        <f t="shared" si="1"/>
        <v>11</v>
      </c>
      <c r="H8823" s="14">
        <f t="shared" si="2"/>
        <v>3</v>
      </c>
      <c r="I8823" s="15">
        <f t="shared" si="3"/>
        <v>14</v>
      </c>
    </row>
    <row r="8824">
      <c r="A8824" s="8" t="str">
        <f>IFERROR(__xludf.DUMMYFUNCTION("IF('(INGESTA)Datos_consumo_datadis'!A8824&lt;&gt;"""",SPLIT('(INGESTA)Datos_consumo_datadis'!A:A,"",""),"""")"),"ES0031408323131005HX0F")</f>
        <v>ES0031408323131005HX0F</v>
      </c>
      <c r="B8824" s="12">
        <f>IFERROR(__xludf.DUMMYFUNCTION("""COMPUTED_VALUE"""),45233.0)</f>
        <v>45233</v>
      </c>
      <c r="C8824" s="13">
        <f>IFERROR(__xludf.DUMMYFUNCTION("""COMPUTED_VALUE"""),0.625)</f>
        <v>0.625</v>
      </c>
      <c r="D8824" s="8">
        <f>IFERROR(__xludf.DUMMYFUNCTION("""COMPUTED_VALUE"""),0.477)</f>
        <v>0.477</v>
      </c>
      <c r="E8824" s="8" t="str">
        <f>IFERROR(__xludf.DUMMYFUNCTION("""COMPUTED_VALUE"""),"Real")</f>
        <v>Real</v>
      </c>
      <c r="G8824" s="8">
        <f t="shared" si="1"/>
        <v>11</v>
      </c>
      <c r="H8824" s="14">
        <f t="shared" si="2"/>
        <v>3</v>
      </c>
      <c r="I8824" s="15">
        <f t="shared" si="3"/>
        <v>15</v>
      </c>
    </row>
    <row r="8825">
      <c r="A8825" s="8" t="str">
        <f>IFERROR(__xludf.DUMMYFUNCTION("IF('(INGESTA)Datos_consumo_datadis'!A8825&lt;&gt;"""",SPLIT('(INGESTA)Datos_consumo_datadis'!A:A,"",""),"""")"),"ES0031408323131005HX0F")</f>
        <v>ES0031408323131005HX0F</v>
      </c>
      <c r="B8825" s="12">
        <f>IFERROR(__xludf.DUMMYFUNCTION("""COMPUTED_VALUE"""),45233.0)</f>
        <v>45233</v>
      </c>
      <c r="C8825" s="13">
        <f>IFERROR(__xludf.DUMMYFUNCTION("""COMPUTED_VALUE"""),0.6666666666666666)</f>
        <v>0.6666666667</v>
      </c>
      <c r="D8825" s="8">
        <f>IFERROR(__xludf.DUMMYFUNCTION("""COMPUTED_VALUE"""),0.522)</f>
        <v>0.522</v>
      </c>
      <c r="E8825" s="8" t="str">
        <f>IFERROR(__xludf.DUMMYFUNCTION("""COMPUTED_VALUE"""),"Real")</f>
        <v>Real</v>
      </c>
      <c r="G8825" s="8">
        <f t="shared" si="1"/>
        <v>11</v>
      </c>
      <c r="H8825" s="14">
        <f t="shared" si="2"/>
        <v>3</v>
      </c>
      <c r="I8825" s="15">
        <f t="shared" si="3"/>
        <v>16</v>
      </c>
    </row>
    <row r="8826">
      <c r="A8826" s="8" t="str">
        <f>IFERROR(__xludf.DUMMYFUNCTION("IF('(INGESTA)Datos_consumo_datadis'!A8826&lt;&gt;"""",SPLIT('(INGESTA)Datos_consumo_datadis'!A:A,"",""),"""")"),"ES0031408323131005HX0F")</f>
        <v>ES0031408323131005HX0F</v>
      </c>
      <c r="B8826" s="12">
        <f>IFERROR(__xludf.DUMMYFUNCTION("""COMPUTED_VALUE"""),45233.0)</f>
        <v>45233</v>
      </c>
      <c r="C8826" s="13">
        <f>IFERROR(__xludf.DUMMYFUNCTION("""COMPUTED_VALUE"""),0.7083333333333334)</f>
        <v>0.7083333333</v>
      </c>
      <c r="D8826" s="8">
        <f>IFERROR(__xludf.DUMMYFUNCTION("""COMPUTED_VALUE"""),0.087)</f>
        <v>0.087</v>
      </c>
      <c r="E8826" s="8" t="str">
        <f>IFERROR(__xludf.DUMMYFUNCTION("""COMPUTED_VALUE"""),"Real")</f>
        <v>Real</v>
      </c>
      <c r="G8826" s="8">
        <f t="shared" si="1"/>
        <v>11</v>
      </c>
      <c r="H8826" s="14">
        <f t="shared" si="2"/>
        <v>3</v>
      </c>
      <c r="I8826" s="15">
        <f t="shared" si="3"/>
        <v>17</v>
      </c>
    </row>
    <row r="8827">
      <c r="A8827" s="8" t="str">
        <f>IFERROR(__xludf.DUMMYFUNCTION("IF('(INGESTA)Datos_consumo_datadis'!A8827&lt;&gt;"""",SPLIT('(INGESTA)Datos_consumo_datadis'!A:A,"",""),"""")"),"ES0031408323131005HX0F")</f>
        <v>ES0031408323131005HX0F</v>
      </c>
      <c r="B8827" s="12">
        <f>IFERROR(__xludf.DUMMYFUNCTION("""COMPUTED_VALUE"""),45233.0)</f>
        <v>45233</v>
      </c>
      <c r="C8827" s="13">
        <f>IFERROR(__xludf.DUMMYFUNCTION("""COMPUTED_VALUE"""),0.75)</f>
        <v>0.75</v>
      </c>
      <c r="D8827" s="8">
        <f>IFERROR(__xludf.DUMMYFUNCTION("""COMPUTED_VALUE"""),0.049)</f>
        <v>0.049</v>
      </c>
      <c r="E8827" s="8" t="str">
        <f>IFERROR(__xludf.DUMMYFUNCTION("""COMPUTED_VALUE"""),"Real")</f>
        <v>Real</v>
      </c>
      <c r="G8827" s="8">
        <f t="shared" si="1"/>
        <v>11</v>
      </c>
      <c r="H8827" s="14">
        <f t="shared" si="2"/>
        <v>3</v>
      </c>
      <c r="I8827" s="15">
        <f t="shared" si="3"/>
        <v>18</v>
      </c>
    </row>
    <row r="8828">
      <c r="A8828" s="8" t="str">
        <f>IFERROR(__xludf.DUMMYFUNCTION("IF('(INGESTA)Datos_consumo_datadis'!A8828&lt;&gt;"""",SPLIT('(INGESTA)Datos_consumo_datadis'!A:A,"",""),"""")"),"ES0031408323131005HX0F")</f>
        <v>ES0031408323131005HX0F</v>
      </c>
      <c r="B8828" s="12">
        <f>IFERROR(__xludf.DUMMYFUNCTION("""COMPUTED_VALUE"""),45233.0)</f>
        <v>45233</v>
      </c>
      <c r="C8828" s="13">
        <f>IFERROR(__xludf.DUMMYFUNCTION("""COMPUTED_VALUE"""),0.7916666666666666)</f>
        <v>0.7916666667</v>
      </c>
      <c r="D8828" s="8">
        <f>IFERROR(__xludf.DUMMYFUNCTION("""COMPUTED_VALUE"""),0.512)</f>
        <v>0.512</v>
      </c>
      <c r="E8828" s="8" t="str">
        <f>IFERROR(__xludf.DUMMYFUNCTION("""COMPUTED_VALUE"""),"Real")</f>
        <v>Real</v>
      </c>
      <c r="G8828" s="8">
        <f t="shared" si="1"/>
        <v>11</v>
      </c>
      <c r="H8828" s="14">
        <f t="shared" si="2"/>
        <v>3</v>
      </c>
      <c r="I8828" s="15">
        <f t="shared" si="3"/>
        <v>19</v>
      </c>
    </row>
    <row r="8829">
      <c r="A8829" s="8" t="str">
        <f>IFERROR(__xludf.DUMMYFUNCTION("IF('(INGESTA)Datos_consumo_datadis'!A8829&lt;&gt;"""",SPLIT('(INGESTA)Datos_consumo_datadis'!A:A,"",""),"""")"),"ES0031408323131005HX0F")</f>
        <v>ES0031408323131005HX0F</v>
      </c>
      <c r="B8829" s="12">
        <f>IFERROR(__xludf.DUMMYFUNCTION("""COMPUTED_VALUE"""),45233.0)</f>
        <v>45233</v>
      </c>
      <c r="C8829" s="13">
        <f>IFERROR(__xludf.DUMMYFUNCTION("""COMPUTED_VALUE"""),0.8333333333333334)</f>
        <v>0.8333333333</v>
      </c>
      <c r="D8829" s="8">
        <f>IFERROR(__xludf.DUMMYFUNCTION("""COMPUTED_VALUE"""),0.332)</f>
        <v>0.332</v>
      </c>
      <c r="E8829" s="8" t="str">
        <f>IFERROR(__xludf.DUMMYFUNCTION("""COMPUTED_VALUE"""),"Real")</f>
        <v>Real</v>
      </c>
      <c r="G8829" s="8">
        <f t="shared" si="1"/>
        <v>11</v>
      </c>
      <c r="H8829" s="14">
        <f t="shared" si="2"/>
        <v>3</v>
      </c>
      <c r="I8829" s="15">
        <f t="shared" si="3"/>
        <v>20</v>
      </c>
    </row>
    <row r="8830">
      <c r="A8830" s="8" t="str">
        <f>IFERROR(__xludf.DUMMYFUNCTION("IF('(INGESTA)Datos_consumo_datadis'!A8830&lt;&gt;"""",SPLIT('(INGESTA)Datos_consumo_datadis'!A:A,"",""),"""")"),"ES0031408323131005HX0F")</f>
        <v>ES0031408323131005HX0F</v>
      </c>
      <c r="B8830" s="12">
        <f>IFERROR(__xludf.DUMMYFUNCTION("""COMPUTED_VALUE"""),45233.0)</f>
        <v>45233</v>
      </c>
      <c r="C8830" s="13">
        <f>IFERROR(__xludf.DUMMYFUNCTION("""COMPUTED_VALUE"""),0.875)</f>
        <v>0.875</v>
      </c>
      <c r="D8830" s="8">
        <f>IFERROR(__xludf.DUMMYFUNCTION("""COMPUTED_VALUE"""),0.939)</f>
        <v>0.939</v>
      </c>
      <c r="E8830" s="8" t="str">
        <f>IFERROR(__xludf.DUMMYFUNCTION("""COMPUTED_VALUE"""),"Real")</f>
        <v>Real</v>
      </c>
      <c r="G8830" s="8">
        <f t="shared" si="1"/>
        <v>11</v>
      </c>
      <c r="H8830" s="14">
        <f t="shared" si="2"/>
        <v>3</v>
      </c>
      <c r="I8830" s="15">
        <f t="shared" si="3"/>
        <v>21</v>
      </c>
    </row>
    <row r="8831">
      <c r="A8831" s="8" t="str">
        <f>IFERROR(__xludf.DUMMYFUNCTION("IF('(INGESTA)Datos_consumo_datadis'!A8831&lt;&gt;"""",SPLIT('(INGESTA)Datos_consumo_datadis'!A:A,"",""),"""")"),"ES0031408323131005HX0F")</f>
        <v>ES0031408323131005HX0F</v>
      </c>
      <c r="B8831" s="12">
        <f>IFERROR(__xludf.DUMMYFUNCTION("""COMPUTED_VALUE"""),45233.0)</f>
        <v>45233</v>
      </c>
      <c r="C8831" s="13">
        <f>IFERROR(__xludf.DUMMYFUNCTION("""COMPUTED_VALUE"""),0.9166666666666666)</f>
        <v>0.9166666667</v>
      </c>
      <c r="D8831" s="8">
        <f>IFERROR(__xludf.DUMMYFUNCTION("""COMPUTED_VALUE"""),0.051)</f>
        <v>0.051</v>
      </c>
      <c r="E8831" s="8" t="str">
        <f>IFERROR(__xludf.DUMMYFUNCTION("""COMPUTED_VALUE"""),"Real")</f>
        <v>Real</v>
      </c>
      <c r="G8831" s="8">
        <f t="shared" si="1"/>
        <v>11</v>
      </c>
      <c r="H8831" s="14">
        <f t="shared" si="2"/>
        <v>3</v>
      </c>
      <c r="I8831" s="15">
        <f t="shared" si="3"/>
        <v>22</v>
      </c>
    </row>
    <row r="8832">
      <c r="A8832" s="8" t="str">
        <f>IFERROR(__xludf.DUMMYFUNCTION("IF('(INGESTA)Datos_consumo_datadis'!A8832&lt;&gt;"""",SPLIT('(INGESTA)Datos_consumo_datadis'!A:A,"",""),"""")"),"ES0031408323131005HX0F")</f>
        <v>ES0031408323131005HX0F</v>
      </c>
      <c r="B8832" s="12">
        <f>IFERROR(__xludf.DUMMYFUNCTION("""COMPUTED_VALUE"""),45233.0)</f>
        <v>45233</v>
      </c>
      <c r="C8832" s="13">
        <f>IFERROR(__xludf.DUMMYFUNCTION("""COMPUTED_VALUE"""),0.9583333333333334)</f>
        <v>0.9583333333</v>
      </c>
      <c r="D8832" s="8">
        <f>IFERROR(__xludf.DUMMYFUNCTION("""COMPUTED_VALUE"""),0.344)</f>
        <v>0.344</v>
      </c>
      <c r="E8832" s="8" t="str">
        <f>IFERROR(__xludf.DUMMYFUNCTION("""COMPUTED_VALUE"""),"Real")</f>
        <v>Real</v>
      </c>
      <c r="G8832" s="8">
        <f t="shared" si="1"/>
        <v>11</v>
      </c>
      <c r="H8832" s="14">
        <f t="shared" si="2"/>
        <v>3</v>
      </c>
      <c r="I8832" s="15">
        <f t="shared" si="3"/>
        <v>23</v>
      </c>
    </row>
    <row r="8833">
      <c r="A8833" s="8" t="str">
        <f>IFERROR(__xludf.DUMMYFUNCTION("IF('(INGESTA)Datos_consumo_datadis'!A8833&lt;&gt;"""",SPLIT('(INGESTA)Datos_consumo_datadis'!A:A,"",""),"""")"),"ES0031408323131005HX0F")</f>
        <v>ES0031408323131005HX0F</v>
      </c>
      <c r="B8833" s="12">
        <f>IFERROR(__xludf.DUMMYFUNCTION("""COMPUTED_VALUE"""),45233.0)</f>
        <v>45233</v>
      </c>
      <c r="C8833" s="16">
        <f>IFERROR(__xludf.DUMMYFUNCTION("""COMPUTED_VALUE"""),1.0)</f>
        <v>1</v>
      </c>
      <c r="D8833" s="8">
        <f>IFERROR(__xludf.DUMMYFUNCTION("""COMPUTED_VALUE"""),0.092)</f>
        <v>0.092</v>
      </c>
      <c r="E8833" s="8" t="str">
        <f>IFERROR(__xludf.DUMMYFUNCTION("""COMPUTED_VALUE"""),"Real")</f>
        <v>Real</v>
      </c>
      <c r="G8833" s="8">
        <f t="shared" si="1"/>
        <v>11</v>
      </c>
      <c r="H8833" s="14">
        <f t="shared" si="2"/>
        <v>3</v>
      </c>
      <c r="I8833" s="15">
        <f t="shared" si="3"/>
        <v>0</v>
      </c>
    </row>
    <row r="8834">
      <c r="A8834" s="8" t="str">
        <f>IFERROR(__xludf.DUMMYFUNCTION("IF('(INGESTA)Datos_consumo_datadis'!A8834&lt;&gt;"""",SPLIT('(INGESTA)Datos_consumo_datadis'!A:A,"",""),"""")"),"ES0031408323131005HX0F")</f>
        <v>ES0031408323131005HX0F</v>
      </c>
      <c r="B8834" s="12">
        <f>IFERROR(__xludf.DUMMYFUNCTION("""COMPUTED_VALUE"""),45234.0)</f>
        <v>45234</v>
      </c>
      <c r="C8834" s="13">
        <f>IFERROR(__xludf.DUMMYFUNCTION("""COMPUTED_VALUE"""),0.041666666666666664)</f>
        <v>0.04166666667</v>
      </c>
      <c r="D8834" s="8">
        <f>IFERROR(__xludf.DUMMYFUNCTION("""COMPUTED_VALUE"""),0.063)</f>
        <v>0.063</v>
      </c>
      <c r="E8834" s="8" t="str">
        <f>IFERROR(__xludf.DUMMYFUNCTION("""COMPUTED_VALUE"""),"Real")</f>
        <v>Real</v>
      </c>
      <c r="G8834" s="8">
        <f t="shared" si="1"/>
        <v>11</v>
      </c>
      <c r="H8834" s="14">
        <f t="shared" si="2"/>
        <v>4</v>
      </c>
      <c r="I8834" s="15">
        <f t="shared" si="3"/>
        <v>1</v>
      </c>
    </row>
    <row r="8835">
      <c r="A8835" s="8" t="str">
        <f>IFERROR(__xludf.DUMMYFUNCTION("IF('(INGESTA)Datos_consumo_datadis'!A8835&lt;&gt;"""",SPLIT('(INGESTA)Datos_consumo_datadis'!A:A,"",""),"""")"),"ES0031408323131005HX0F")</f>
        <v>ES0031408323131005HX0F</v>
      </c>
      <c r="B8835" s="12">
        <f>IFERROR(__xludf.DUMMYFUNCTION("""COMPUTED_VALUE"""),45234.0)</f>
        <v>45234</v>
      </c>
      <c r="C8835" s="13">
        <f>IFERROR(__xludf.DUMMYFUNCTION("""COMPUTED_VALUE"""),0.08333333333333333)</f>
        <v>0.08333333333</v>
      </c>
      <c r="D8835" s="8">
        <f>IFERROR(__xludf.DUMMYFUNCTION("""COMPUTED_VALUE"""),0.037)</f>
        <v>0.037</v>
      </c>
      <c r="E8835" s="8" t="str">
        <f>IFERROR(__xludf.DUMMYFUNCTION("""COMPUTED_VALUE"""),"Real")</f>
        <v>Real</v>
      </c>
      <c r="G8835" s="8">
        <f t="shared" si="1"/>
        <v>11</v>
      </c>
      <c r="H8835" s="14">
        <f t="shared" si="2"/>
        <v>4</v>
      </c>
      <c r="I8835" s="15">
        <f t="shared" si="3"/>
        <v>2</v>
      </c>
    </row>
    <row r="8836">
      <c r="A8836" s="8" t="str">
        <f>IFERROR(__xludf.DUMMYFUNCTION("IF('(INGESTA)Datos_consumo_datadis'!A8836&lt;&gt;"""",SPLIT('(INGESTA)Datos_consumo_datadis'!A:A,"",""),"""")"),"ES0031408323131005HX0F")</f>
        <v>ES0031408323131005HX0F</v>
      </c>
      <c r="B8836" s="12">
        <f>IFERROR(__xludf.DUMMYFUNCTION("""COMPUTED_VALUE"""),45234.0)</f>
        <v>45234</v>
      </c>
      <c r="C8836" s="13">
        <f>IFERROR(__xludf.DUMMYFUNCTION("""COMPUTED_VALUE"""),0.125)</f>
        <v>0.125</v>
      </c>
      <c r="D8836" s="8">
        <f>IFERROR(__xludf.DUMMYFUNCTION("""COMPUTED_VALUE"""),0.136)</f>
        <v>0.136</v>
      </c>
      <c r="E8836" s="8" t="str">
        <f>IFERROR(__xludf.DUMMYFUNCTION("""COMPUTED_VALUE"""),"Real")</f>
        <v>Real</v>
      </c>
      <c r="G8836" s="8">
        <f t="shared" si="1"/>
        <v>11</v>
      </c>
      <c r="H8836" s="14">
        <f t="shared" si="2"/>
        <v>4</v>
      </c>
      <c r="I8836" s="15">
        <f t="shared" si="3"/>
        <v>3</v>
      </c>
    </row>
    <row r="8837">
      <c r="A8837" s="8" t="str">
        <f>IFERROR(__xludf.DUMMYFUNCTION("IF('(INGESTA)Datos_consumo_datadis'!A8837&lt;&gt;"""",SPLIT('(INGESTA)Datos_consumo_datadis'!A:A,"",""),"""")"),"ES0031408323131005HX0F")</f>
        <v>ES0031408323131005HX0F</v>
      </c>
      <c r="B8837" s="12">
        <f>IFERROR(__xludf.DUMMYFUNCTION("""COMPUTED_VALUE"""),45234.0)</f>
        <v>45234</v>
      </c>
      <c r="C8837" s="13">
        <f>IFERROR(__xludf.DUMMYFUNCTION("""COMPUTED_VALUE"""),0.16666666666666666)</f>
        <v>0.1666666667</v>
      </c>
      <c r="D8837" s="8">
        <f>IFERROR(__xludf.DUMMYFUNCTION("""COMPUTED_VALUE"""),0.102)</f>
        <v>0.102</v>
      </c>
      <c r="E8837" s="8" t="str">
        <f>IFERROR(__xludf.DUMMYFUNCTION("""COMPUTED_VALUE"""),"Real")</f>
        <v>Real</v>
      </c>
      <c r="G8837" s="8">
        <f t="shared" si="1"/>
        <v>11</v>
      </c>
      <c r="H8837" s="14">
        <f t="shared" si="2"/>
        <v>4</v>
      </c>
      <c r="I8837" s="15">
        <f t="shared" si="3"/>
        <v>4</v>
      </c>
    </row>
    <row r="8838">
      <c r="A8838" s="8" t="str">
        <f>IFERROR(__xludf.DUMMYFUNCTION("IF('(INGESTA)Datos_consumo_datadis'!A8838&lt;&gt;"""",SPLIT('(INGESTA)Datos_consumo_datadis'!A:A,"",""),"""")"),"ES0031408323131005HX0F")</f>
        <v>ES0031408323131005HX0F</v>
      </c>
      <c r="B8838" s="12">
        <f>IFERROR(__xludf.DUMMYFUNCTION("""COMPUTED_VALUE"""),45234.0)</f>
        <v>45234</v>
      </c>
      <c r="C8838" s="13">
        <f>IFERROR(__xludf.DUMMYFUNCTION("""COMPUTED_VALUE"""),0.20833333333333334)</f>
        <v>0.2083333333</v>
      </c>
      <c r="D8838" s="8">
        <f>IFERROR(__xludf.DUMMYFUNCTION("""COMPUTED_VALUE"""),0.024)</f>
        <v>0.024</v>
      </c>
      <c r="E8838" s="8" t="str">
        <f>IFERROR(__xludf.DUMMYFUNCTION("""COMPUTED_VALUE"""),"Real")</f>
        <v>Real</v>
      </c>
      <c r="G8838" s="8">
        <f t="shared" si="1"/>
        <v>11</v>
      </c>
      <c r="H8838" s="14">
        <f t="shared" si="2"/>
        <v>4</v>
      </c>
      <c r="I8838" s="15">
        <f t="shared" si="3"/>
        <v>5</v>
      </c>
    </row>
    <row r="8839">
      <c r="A8839" s="8" t="str">
        <f>IFERROR(__xludf.DUMMYFUNCTION("IF('(INGESTA)Datos_consumo_datadis'!A8839&lt;&gt;"""",SPLIT('(INGESTA)Datos_consumo_datadis'!A:A,"",""),"""")"),"ES0031408323131005HX0F")</f>
        <v>ES0031408323131005HX0F</v>
      </c>
      <c r="B8839" s="12">
        <f>IFERROR(__xludf.DUMMYFUNCTION("""COMPUTED_VALUE"""),45234.0)</f>
        <v>45234</v>
      </c>
      <c r="C8839" s="13">
        <f>IFERROR(__xludf.DUMMYFUNCTION("""COMPUTED_VALUE"""),0.25)</f>
        <v>0.25</v>
      </c>
      <c r="D8839" s="8">
        <f>IFERROR(__xludf.DUMMYFUNCTION("""COMPUTED_VALUE"""),0.372)</f>
        <v>0.372</v>
      </c>
      <c r="E8839" s="8" t="str">
        <f>IFERROR(__xludf.DUMMYFUNCTION("""COMPUTED_VALUE"""),"Real")</f>
        <v>Real</v>
      </c>
      <c r="G8839" s="8">
        <f t="shared" si="1"/>
        <v>11</v>
      </c>
      <c r="H8839" s="14">
        <f t="shared" si="2"/>
        <v>4</v>
      </c>
      <c r="I8839" s="15">
        <f t="shared" si="3"/>
        <v>6</v>
      </c>
    </row>
    <row r="8840">
      <c r="A8840" s="8" t="str">
        <f>IFERROR(__xludf.DUMMYFUNCTION("IF('(INGESTA)Datos_consumo_datadis'!A8840&lt;&gt;"""",SPLIT('(INGESTA)Datos_consumo_datadis'!A:A,"",""),"""")"),"ES0031408323131005HX0F")</f>
        <v>ES0031408323131005HX0F</v>
      </c>
      <c r="B8840" s="12">
        <f>IFERROR(__xludf.DUMMYFUNCTION("""COMPUTED_VALUE"""),45234.0)</f>
        <v>45234</v>
      </c>
      <c r="C8840" s="13">
        <f>IFERROR(__xludf.DUMMYFUNCTION("""COMPUTED_VALUE"""),0.2916666666666667)</f>
        <v>0.2916666667</v>
      </c>
      <c r="D8840" s="8">
        <f>IFERROR(__xludf.DUMMYFUNCTION("""COMPUTED_VALUE"""),0.094)</f>
        <v>0.094</v>
      </c>
      <c r="E8840" s="8" t="str">
        <f>IFERROR(__xludf.DUMMYFUNCTION("""COMPUTED_VALUE"""),"Real")</f>
        <v>Real</v>
      </c>
      <c r="G8840" s="8">
        <f t="shared" si="1"/>
        <v>11</v>
      </c>
      <c r="H8840" s="14">
        <f t="shared" si="2"/>
        <v>4</v>
      </c>
      <c r="I8840" s="15">
        <f t="shared" si="3"/>
        <v>7</v>
      </c>
    </row>
    <row r="8841">
      <c r="A8841" s="8" t="str">
        <f>IFERROR(__xludf.DUMMYFUNCTION("IF('(INGESTA)Datos_consumo_datadis'!A8841&lt;&gt;"""",SPLIT('(INGESTA)Datos_consumo_datadis'!A:A,"",""),"""")"),"ES0031408323131005HX0F")</f>
        <v>ES0031408323131005HX0F</v>
      </c>
      <c r="B8841" s="12">
        <f>IFERROR(__xludf.DUMMYFUNCTION("""COMPUTED_VALUE"""),45234.0)</f>
        <v>45234</v>
      </c>
      <c r="C8841" s="13">
        <f>IFERROR(__xludf.DUMMYFUNCTION("""COMPUTED_VALUE"""),0.3333333333333333)</f>
        <v>0.3333333333</v>
      </c>
      <c r="D8841" s="8">
        <f>IFERROR(__xludf.DUMMYFUNCTION("""COMPUTED_VALUE"""),0.098)</f>
        <v>0.098</v>
      </c>
      <c r="E8841" s="8" t="str">
        <f>IFERROR(__xludf.DUMMYFUNCTION("""COMPUTED_VALUE"""),"Real")</f>
        <v>Real</v>
      </c>
      <c r="G8841" s="8">
        <f t="shared" si="1"/>
        <v>11</v>
      </c>
      <c r="H8841" s="14">
        <f t="shared" si="2"/>
        <v>4</v>
      </c>
      <c r="I8841" s="15">
        <f t="shared" si="3"/>
        <v>8</v>
      </c>
    </row>
    <row r="8842">
      <c r="A8842" s="8" t="str">
        <f>IFERROR(__xludf.DUMMYFUNCTION("IF('(INGESTA)Datos_consumo_datadis'!A8842&lt;&gt;"""",SPLIT('(INGESTA)Datos_consumo_datadis'!A:A,"",""),"""")"),"ES0031408323131005HX0F")</f>
        <v>ES0031408323131005HX0F</v>
      </c>
      <c r="B8842" s="12">
        <f>IFERROR(__xludf.DUMMYFUNCTION("""COMPUTED_VALUE"""),45234.0)</f>
        <v>45234</v>
      </c>
      <c r="C8842" s="13">
        <f>IFERROR(__xludf.DUMMYFUNCTION("""COMPUTED_VALUE"""),0.375)</f>
        <v>0.375</v>
      </c>
      <c r="D8842" s="8">
        <f>IFERROR(__xludf.DUMMYFUNCTION("""COMPUTED_VALUE"""),0.061)</f>
        <v>0.061</v>
      </c>
      <c r="E8842" s="8" t="str">
        <f>IFERROR(__xludf.DUMMYFUNCTION("""COMPUTED_VALUE"""),"Real")</f>
        <v>Real</v>
      </c>
      <c r="G8842" s="8">
        <f t="shared" si="1"/>
        <v>11</v>
      </c>
      <c r="H8842" s="14">
        <f t="shared" si="2"/>
        <v>4</v>
      </c>
      <c r="I8842" s="15">
        <f t="shared" si="3"/>
        <v>9</v>
      </c>
    </row>
    <row r="8843">
      <c r="A8843" s="8" t="str">
        <f>IFERROR(__xludf.DUMMYFUNCTION("IF('(INGESTA)Datos_consumo_datadis'!A8843&lt;&gt;"""",SPLIT('(INGESTA)Datos_consumo_datadis'!A:A,"",""),"""")"),"ES0031408323131005HX0F")</f>
        <v>ES0031408323131005HX0F</v>
      </c>
      <c r="B8843" s="12">
        <f>IFERROR(__xludf.DUMMYFUNCTION("""COMPUTED_VALUE"""),45234.0)</f>
        <v>45234</v>
      </c>
      <c r="C8843" s="13">
        <f>IFERROR(__xludf.DUMMYFUNCTION("""COMPUTED_VALUE"""),0.4166666666666667)</f>
        <v>0.4166666667</v>
      </c>
      <c r="D8843" s="8">
        <f>IFERROR(__xludf.DUMMYFUNCTION("""COMPUTED_VALUE"""),0.45)</f>
        <v>0.45</v>
      </c>
      <c r="E8843" s="8" t="str">
        <f>IFERROR(__xludf.DUMMYFUNCTION("""COMPUTED_VALUE"""),"Real")</f>
        <v>Real</v>
      </c>
      <c r="G8843" s="8">
        <f t="shared" si="1"/>
        <v>11</v>
      </c>
      <c r="H8843" s="14">
        <f t="shared" si="2"/>
        <v>4</v>
      </c>
      <c r="I8843" s="15">
        <f t="shared" si="3"/>
        <v>10</v>
      </c>
    </row>
    <row r="8844">
      <c r="A8844" s="8" t="str">
        <f>IFERROR(__xludf.DUMMYFUNCTION("IF('(INGESTA)Datos_consumo_datadis'!A8844&lt;&gt;"""",SPLIT('(INGESTA)Datos_consumo_datadis'!A:A,"",""),"""")"),"ES0031408323131005HX0F")</f>
        <v>ES0031408323131005HX0F</v>
      </c>
      <c r="B8844" s="12">
        <f>IFERROR(__xludf.DUMMYFUNCTION("""COMPUTED_VALUE"""),45234.0)</f>
        <v>45234</v>
      </c>
      <c r="C8844" s="13">
        <f>IFERROR(__xludf.DUMMYFUNCTION("""COMPUTED_VALUE"""),0.4583333333333333)</f>
        <v>0.4583333333</v>
      </c>
      <c r="D8844" s="8">
        <f>IFERROR(__xludf.DUMMYFUNCTION("""COMPUTED_VALUE"""),0.197)</f>
        <v>0.197</v>
      </c>
      <c r="E8844" s="8" t="str">
        <f>IFERROR(__xludf.DUMMYFUNCTION("""COMPUTED_VALUE"""),"Real")</f>
        <v>Real</v>
      </c>
      <c r="G8844" s="8">
        <f t="shared" si="1"/>
        <v>11</v>
      </c>
      <c r="H8844" s="14">
        <f t="shared" si="2"/>
        <v>4</v>
      </c>
      <c r="I8844" s="15">
        <f t="shared" si="3"/>
        <v>11</v>
      </c>
    </row>
    <row r="8845">
      <c r="A8845" s="8" t="str">
        <f>IFERROR(__xludf.DUMMYFUNCTION("IF('(INGESTA)Datos_consumo_datadis'!A8845&lt;&gt;"""",SPLIT('(INGESTA)Datos_consumo_datadis'!A:A,"",""),"""")"),"ES0031408323131005HX0F")</f>
        <v>ES0031408323131005HX0F</v>
      </c>
      <c r="B8845" s="12">
        <f>IFERROR(__xludf.DUMMYFUNCTION("""COMPUTED_VALUE"""),45234.0)</f>
        <v>45234</v>
      </c>
      <c r="C8845" s="13">
        <f>IFERROR(__xludf.DUMMYFUNCTION("""COMPUTED_VALUE"""),0.5)</f>
        <v>0.5</v>
      </c>
      <c r="D8845" s="8">
        <f>IFERROR(__xludf.DUMMYFUNCTION("""COMPUTED_VALUE"""),0.053)</f>
        <v>0.053</v>
      </c>
      <c r="E8845" s="8" t="str">
        <f>IFERROR(__xludf.DUMMYFUNCTION("""COMPUTED_VALUE"""),"Real")</f>
        <v>Real</v>
      </c>
      <c r="G8845" s="8">
        <f t="shared" si="1"/>
        <v>11</v>
      </c>
      <c r="H8845" s="14">
        <f t="shared" si="2"/>
        <v>4</v>
      </c>
      <c r="I8845" s="15">
        <f t="shared" si="3"/>
        <v>12</v>
      </c>
    </row>
    <row r="8846">
      <c r="A8846" s="8" t="str">
        <f>IFERROR(__xludf.DUMMYFUNCTION("IF('(INGESTA)Datos_consumo_datadis'!A8846&lt;&gt;"""",SPLIT('(INGESTA)Datos_consumo_datadis'!A:A,"",""),"""")"),"ES0031408323131005HX0F")</f>
        <v>ES0031408323131005HX0F</v>
      </c>
      <c r="B8846" s="12">
        <f>IFERROR(__xludf.DUMMYFUNCTION("""COMPUTED_VALUE"""),45234.0)</f>
        <v>45234</v>
      </c>
      <c r="C8846" s="13">
        <f>IFERROR(__xludf.DUMMYFUNCTION("""COMPUTED_VALUE"""),0.5416666666666666)</f>
        <v>0.5416666667</v>
      </c>
      <c r="D8846" s="8">
        <f>IFERROR(__xludf.DUMMYFUNCTION("""COMPUTED_VALUE"""),0.073)</f>
        <v>0.073</v>
      </c>
      <c r="E8846" s="8" t="str">
        <f>IFERROR(__xludf.DUMMYFUNCTION("""COMPUTED_VALUE"""),"Real")</f>
        <v>Real</v>
      </c>
      <c r="G8846" s="8">
        <f t="shared" si="1"/>
        <v>11</v>
      </c>
      <c r="H8846" s="14">
        <f t="shared" si="2"/>
        <v>4</v>
      </c>
      <c r="I8846" s="15">
        <f t="shared" si="3"/>
        <v>13</v>
      </c>
    </row>
    <row r="8847">
      <c r="A8847" s="8" t="str">
        <f>IFERROR(__xludf.DUMMYFUNCTION("IF('(INGESTA)Datos_consumo_datadis'!A8847&lt;&gt;"""",SPLIT('(INGESTA)Datos_consumo_datadis'!A:A,"",""),"""")"),"ES0031408323131005HX0F")</f>
        <v>ES0031408323131005HX0F</v>
      </c>
      <c r="B8847" s="12">
        <f>IFERROR(__xludf.DUMMYFUNCTION("""COMPUTED_VALUE"""),45234.0)</f>
        <v>45234</v>
      </c>
      <c r="C8847" s="13">
        <f>IFERROR(__xludf.DUMMYFUNCTION("""COMPUTED_VALUE"""),0.5833333333333334)</f>
        <v>0.5833333333</v>
      </c>
      <c r="D8847" s="8">
        <f>IFERROR(__xludf.DUMMYFUNCTION("""COMPUTED_VALUE"""),0.054)</f>
        <v>0.054</v>
      </c>
      <c r="E8847" s="8" t="str">
        <f>IFERROR(__xludf.DUMMYFUNCTION("""COMPUTED_VALUE"""),"Real")</f>
        <v>Real</v>
      </c>
      <c r="G8847" s="8">
        <f t="shared" si="1"/>
        <v>11</v>
      </c>
      <c r="H8847" s="14">
        <f t="shared" si="2"/>
        <v>4</v>
      </c>
      <c r="I8847" s="15">
        <f t="shared" si="3"/>
        <v>14</v>
      </c>
    </row>
    <row r="8848">
      <c r="A8848" s="8" t="str">
        <f>IFERROR(__xludf.DUMMYFUNCTION("IF('(INGESTA)Datos_consumo_datadis'!A8848&lt;&gt;"""",SPLIT('(INGESTA)Datos_consumo_datadis'!A:A,"",""),"""")"),"ES0031408323131005HX0F")</f>
        <v>ES0031408323131005HX0F</v>
      </c>
      <c r="B8848" s="12">
        <f>IFERROR(__xludf.DUMMYFUNCTION("""COMPUTED_VALUE"""),45234.0)</f>
        <v>45234</v>
      </c>
      <c r="C8848" s="13">
        <f>IFERROR(__xludf.DUMMYFUNCTION("""COMPUTED_VALUE"""),0.625)</f>
        <v>0.625</v>
      </c>
      <c r="D8848" s="8">
        <f>IFERROR(__xludf.DUMMYFUNCTION("""COMPUTED_VALUE"""),0.029)</f>
        <v>0.029</v>
      </c>
      <c r="E8848" s="8" t="str">
        <f>IFERROR(__xludf.DUMMYFUNCTION("""COMPUTED_VALUE"""),"Real")</f>
        <v>Real</v>
      </c>
      <c r="G8848" s="8">
        <f t="shared" si="1"/>
        <v>11</v>
      </c>
      <c r="H8848" s="14">
        <f t="shared" si="2"/>
        <v>4</v>
      </c>
      <c r="I8848" s="15">
        <f t="shared" si="3"/>
        <v>15</v>
      </c>
    </row>
    <row r="8849">
      <c r="A8849" s="8" t="str">
        <f>IFERROR(__xludf.DUMMYFUNCTION("IF('(INGESTA)Datos_consumo_datadis'!A8849&lt;&gt;"""",SPLIT('(INGESTA)Datos_consumo_datadis'!A:A,"",""),"""")"),"ES0031408323131005HX0F")</f>
        <v>ES0031408323131005HX0F</v>
      </c>
      <c r="B8849" s="12">
        <f>IFERROR(__xludf.DUMMYFUNCTION("""COMPUTED_VALUE"""),45234.0)</f>
        <v>45234</v>
      </c>
      <c r="C8849" s="13">
        <f>IFERROR(__xludf.DUMMYFUNCTION("""COMPUTED_VALUE"""),0.6666666666666666)</f>
        <v>0.6666666667</v>
      </c>
      <c r="D8849" s="8">
        <f>IFERROR(__xludf.DUMMYFUNCTION("""COMPUTED_VALUE"""),0.383)</f>
        <v>0.383</v>
      </c>
      <c r="E8849" s="8" t="str">
        <f>IFERROR(__xludf.DUMMYFUNCTION("""COMPUTED_VALUE"""),"Real")</f>
        <v>Real</v>
      </c>
      <c r="G8849" s="8">
        <f t="shared" si="1"/>
        <v>11</v>
      </c>
      <c r="H8849" s="14">
        <f t="shared" si="2"/>
        <v>4</v>
      </c>
      <c r="I8849" s="15">
        <f t="shared" si="3"/>
        <v>16</v>
      </c>
    </row>
    <row r="8850">
      <c r="A8850" s="8" t="str">
        <f>IFERROR(__xludf.DUMMYFUNCTION("IF('(INGESTA)Datos_consumo_datadis'!A8850&lt;&gt;"""",SPLIT('(INGESTA)Datos_consumo_datadis'!A:A,"",""),"""")"),"ES0031408323131005HX0F")</f>
        <v>ES0031408323131005HX0F</v>
      </c>
      <c r="B8850" s="12">
        <f>IFERROR(__xludf.DUMMYFUNCTION("""COMPUTED_VALUE"""),45234.0)</f>
        <v>45234</v>
      </c>
      <c r="C8850" s="13">
        <f>IFERROR(__xludf.DUMMYFUNCTION("""COMPUTED_VALUE"""),0.7083333333333334)</f>
        <v>0.7083333333</v>
      </c>
      <c r="D8850" s="8">
        <f>IFERROR(__xludf.DUMMYFUNCTION("""COMPUTED_VALUE"""),0.577)</f>
        <v>0.577</v>
      </c>
      <c r="E8850" s="8" t="str">
        <f>IFERROR(__xludf.DUMMYFUNCTION("""COMPUTED_VALUE"""),"Real")</f>
        <v>Real</v>
      </c>
      <c r="G8850" s="8">
        <f t="shared" si="1"/>
        <v>11</v>
      </c>
      <c r="H8850" s="14">
        <f t="shared" si="2"/>
        <v>4</v>
      </c>
      <c r="I8850" s="15">
        <f t="shared" si="3"/>
        <v>17</v>
      </c>
    </row>
    <row r="8851">
      <c r="A8851" s="8" t="str">
        <f>IFERROR(__xludf.DUMMYFUNCTION("IF('(INGESTA)Datos_consumo_datadis'!A8851&lt;&gt;"""",SPLIT('(INGESTA)Datos_consumo_datadis'!A:A,"",""),"""")"),"ES0031408323131005HX0F")</f>
        <v>ES0031408323131005HX0F</v>
      </c>
      <c r="B8851" s="12">
        <f>IFERROR(__xludf.DUMMYFUNCTION("""COMPUTED_VALUE"""),45234.0)</f>
        <v>45234</v>
      </c>
      <c r="C8851" s="13">
        <f>IFERROR(__xludf.DUMMYFUNCTION("""COMPUTED_VALUE"""),0.75)</f>
        <v>0.75</v>
      </c>
      <c r="D8851" s="8">
        <f>IFERROR(__xludf.DUMMYFUNCTION("""COMPUTED_VALUE"""),0.578)</f>
        <v>0.578</v>
      </c>
      <c r="E8851" s="8" t="str">
        <f>IFERROR(__xludf.DUMMYFUNCTION("""COMPUTED_VALUE"""),"Real")</f>
        <v>Real</v>
      </c>
      <c r="G8851" s="8">
        <f t="shared" si="1"/>
        <v>11</v>
      </c>
      <c r="H8851" s="14">
        <f t="shared" si="2"/>
        <v>4</v>
      </c>
      <c r="I8851" s="15">
        <f t="shared" si="3"/>
        <v>18</v>
      </c>
    </row>
    <row r="8852">
      <c r="A8852" s="8" t="str">
        <f>IFERROR(__xludf.DUMMYFUNCTION("IF('(INGESTA)Datos_consumo_datadis'!A8852&lt;&gt;"""",SPLIT('(INGESTA)Datos_consumo_datadis'!A:A,"",""),"""")"),"ES0031408323131005HX0F")</f>
        <v>ES0031408323131005HX0F</v>
      </c>
      <c r="B8852" s="12">
        <f>IFERROR(__xludf.DUMMYFUNCTION("""COMPUTED_VALUE"""),45234.0)</f>
        <v>45234</v>
      </c>
      <c r="C8852" s="13">
        <f>IFERROR(__xludf.DUMMYFUNCTION("""COMPUTED_VALUE"""),0.7916666666666666)</f>
        <v>0.7916666667</v>
      </c>
      <c r="D8852" s="8">
        <f>IFERROR(__xludf.DUMMYFUNCTION("""COMPUTED_VALUE"""),0.076)</f>
        <v>0.076</v>
      </c>
      <c r="E8852" s="8" t="str">
        <f>IFERROR(__xludf.DUMMYFUNCTION("""COMPUTED_VALUE"""),"Real")</f>
        <v>Real</v>
      </c>
      <c r="G8852" s="8">
        <f t="shared" si="1"/>
        <v>11</v>
      </c>
      <c r="H8852" s="14">
        <f t="shared" si="2"/>
        <v>4</v>
      </c>
      <c r="I8852" s="15">
        <f t="shared" si="3"/>
        <v>19</v>
      </c>
    </row>
    <row r="8853">
      <c r="A8853" s="8" t="str">
        <f>IFERROR(__xludf.DUMMYFUNCTION("IF('(INGESTA)Datos_consumo_datadis'!A8853&lt;&gt;"""",SPLIT('(INGESTA)Datos_consumo_datadis'!A:A,"",""),"""")"),"ES0031408323131005HX0F")</f>
        <v>ES0031408323131005HX0F</v>
      </c>
      <c r="B8853" s="12">
        <f>IFERROR(__xludf.DUMMYFUNCTION("""COMPUTED_VALUE"""),45234.0)</f>
        <v>45234</v>
      </c>
      <c r="C8853" s="13">
        <f>IFERROR(__xludf.DUMMYFUNCTION("""COMPUTED_VALUE"""),0.8333333333333334)</f>
        <v>0.8333333333</v>
      </c>
      <c r="D8853" s="8">
        <f>IFERROR(__xludf.DUMMYFUNCTION("""COMPUTED_VALUE"""),0.079)</f>
        <v>0.079</v>
      </c>
      <c r="E8853" s="8" t="str">
        <f>IFERROR(__xludf.DUMMYFUNCTION("""COMPUTED_VALUE"""),"Real")</f>
        <v>Real</v>
      </c>
      <c r="G8853" s="8">
        <f t="shared" si="1"/>
        <v>11</v>
      </c>
      <c r="H8853" s="14">
        <f t="shared" si="2"/>
        <v>4</v>
      </c>
      <c r="I8853" s="15">
        <f t="shared" si="3"/>
        <v>20</v>
      </c>
    </row>
    <row r="8854">
      <c r="A8854" s="8" t="str">
        <f>IFERROR(__xludf.DUMMYFUNCTION("IF('(INGESTA)Datos_consumo_datadis'!A8854&lt;&gt;"""",SPLIT('(INGESTA)Datos_consumo_datadis'!A:A,"",""),"""")"),"ES0031408323131005HX0F")</f>
        <v>ES0031408323131005HX0F</v>
      </c>
      <c r="B8854" s="12">
        <f>IFERROR(__xludf.DUMMYFUNCTION("""COMPUTED_VALUE"""),45234.0)</f>
        <v>45234</v>
      </c>
      <c r="C8854" s="13">
        <f>IFERROR(__xludf.DUMMYFUNCTION("""COMPUTED_VALUE"""),0.875)</f>
        <v>0.875</v>
      </c>
      <c r="D8854" s="8">
        <f>IFERROR(__xludf.DUMMYFUNCTION("""COMPUTED_VALUE"""),0.387)</f>
        <v>0.387</v>
      </c>
      <c r="E8854" s="8" t="str">
        <f>IFERROR(__xludf.DUMMYFUNCTION("""COMPUTED_VALUE"""),"Real")</f>
        <v>Real</v>
      </c>
      <c r="G8854" s="8">
        <f t="shared" si="1"/>
        <v>11</v>
      </c>
      <c r="H8854" s="14">
        <f t="shared" si="2"/>
        <v>4</v>
      </c>
      <c r="I8854" s="15">
        <f t="shared" si="3"/>
        <v>21</v>
      </c>
    </row>
    <row r="8855">
      <c r="A8855" s="8" t="str">
        <f>IFERROR(__xludf.DUMMYFUNCTION("IF('(INGESTA)Datos_consumo_datadis'!A8855&lt;&gt;"""",SPLIT('(INGESTA)Datos_consumo_datadis'!A:A,"",""),"""")"),"ES0031408323131005HX0F")</f>
        <v>ES0031408323131005HX0F</v>
      </c>
      <c r="B8855" s="12">
        <f>IFERROR(__xludf.DUMMYFUNCTION("""COMPUTED_VALUE"""),45234.0)</f>
        <v>45234</v>
      </c>
      <c r="C8855" s="13">
        <f>IFERROR(__xludf.DUMMYFUNCTION("""COMPUTED_VALUE"""),0.9166666666666666)</f>
        <v>0.9166666667</v>
      </c>
      <c r="D8855" s="8">
        <f>IFERROR(__xludf.DUMMYFUNCTION("""COMPUTED_VALUE"""),0.722)</f>
        <v>0.722</v>
      </c>
      <c r="E8855" s="8" t="str">
        <f>IFERROR(__xludf.DUMMYFUNCTION("""COMPUTED_VALUE"""),"Real")</f>
        <v>Real</v>
      </c>
      <c r="G8855" s="8">
        <f t="shared" si="1"/>
        <v>11</v>
      </c>
      <c r="H8855" s="14">
        <f t="shared" si="2"/>
        <v>4</v>
      </c>
      <c r="I8855" s="15">
        <f t="shared" si="3"/>
        <v>22</v>
      </c>
    </row>
    <row r="8856">
      <c r="A8856" s="8" t="str">
        <f>IFERROR(__xludf.DUMMYFUNCTION("IF('(INGESTA)Datos_consumo_datadis'!A8856&lt;&gt;"""",SPLIT('(INGESTA)Datos_consumo_datadis'!A:A,"",""),"""")"),"ES0031408323131005HX0F")</f>
        <v>ES0031408323131005HX0F</v>
      </c>
      <c r="B8856" s="12">
        <f>IFERROR(__xludf.DUMMYFUNCTION("""COMPUTED_VALUE"""),45234.0)</f>
        <v>45234</v>
      </c>
      <c r="C8856" s="13">
        <f>IFERROR(__xludf.DUMMYFUNCTION("""COMPUTED_VALUE"""),0.9583333333333334)</f>
        <v>0.9583333333</v>
      </c>
      <c r="D8856" s="8">
        <f>IFERROR(__xludf.DUMMYFUNCTION("""COMPUTED_VALUE"""),0.101)</f>
        <v>0.101</v>
      </c>
      <c r="E8856" s="8" t="str">
        <f>IFERROR(__xludf.DUMMYFUNCTION("""COMPUTED_VALUE"""),"Real")</f>
        <v>Real</v>
      </c>
      <c r="G8856" s="8">
        <f t="shared" si="1"/>
        <v>11</v>
      </c>
      <c r="H8856" s="14">
        <f t="shared" si="2"/>
        <v>4</v>
      </c>
      <c r="I8856" s="15">
        <f t="shared" si="3"/>
        <v>23</v>
      </c>
    </row>
    <row r="8857">
      <c r="A8857" s="8" t="str">
        <f>IFERROR(__xludf.DUMMYFUNCTION("IF('(INGESTA)Datos_consumo_datadis'!A8857&lt;&gt;"""",SPLIT('(INGESTA)Datos_consumo_datadis'!A:A,"",""),"""")"),"ES0031408323131005HX0F")</f>
        <v>ES0031408323131005HX0F</v>
      </c>
      <c r="B8857" s="12">
        <f>IFERROR(__xludf.DUMMYFUNCTION("""COMPUTED_VALUE"""),45234.0)</f>
        <v>45234</v>
      </c>
      <c r="C8857" s="16">
        <f>IFERROR(__xludf.DUMMYFUNCTION("""COMPUTED_VALUE"""),1.0)</f>
        <v>1</v>
      </c>
      <c r="D8857" s="8">
        <f>IFERROR(__xludf.DUMMYFUNCTION("""COMPUTED_VALUE"""),0.127)</f>
        <v>0.127</v>
      </c>
      <c r="E8857" s="8" t="str">
        <f>IFERROR(__xludf.DUMMYFUNCTION("""COMPUTED_VALUE"""),"Real")</f>
        <v>Real</v>
      </c>
      <c r="G8857" s="8">
        <f t="shared" si="1"/>
        <v>11</v>
      </c>
      <c r="H8857" s="14">
        <f t="shared" si="2"/>
        <v>4</v>
      </c>
      <c r="I8857" s="15">
        <f t="shared" si="3"/>
        <v>0</v>
      </c>
    </row>
    <row r="8858">
      <c r="A8858" s="8" t="str">
        <f>IFERROR(__xludf.DUMMYFUNCTION("IF('(INGESTA)Datos_consumo_datadis'!A8858&lt;&gt;"""",SPLIT('(INGESTA)Datos_consumo_datadis'!A:A,"",""),"""")"),"ES0031408323131005HX0F")</f>
        <v>ES0031408323131005HX0F</v>
      </c>
      <c r="B8858" s="12">
        <f>IFERROR(__xludf.DUMMYFUNCTION("""COMPUTED_VALUE"""),45235.0)</f>
        <v>45235</v>
      </c>
      <c r="C8858" s="13">
        <f>IFERROR(__xludf.DUMMYFUNCTION("""COMPUTED_VALUE"""),0.041666666666666664)</f>
        <v>0.04166666667</v>
      </c>
      <c r="D8858" s="8">
        <f>IFERROR(__xludf.DUMMYFUNCTION("""COMPUTED_VALUE"""),0.112)</f>
        <v>0.112</v>
      </c>
      <c r="E8858" s="8" t="str">
        <f>IFERROR(__xludf.DUMMYFUNCTION("""COMPUTED_VALUE"""),"Real")</f>
        <v>Real</v>
      </c>
      <c r="G8858" s="8">
        <f t="shared" si="1"/>
        <v>11</v>
      </c>
      <c r="H8858" s="14">
        <f t="shared" si="2"/>
        <v>5</v>
      </c>
      <c r="I8858" s="15">
        <f t="shared" si="3"/>
        <v>1</v>
      </c>
    </row>
    <row r="8859">
      <c r="A8859" s="8" t="str">
        <f>IFERROR(__xludf.DUMMYFUNCTION("IF('(INGESTA)Datos_consumo_datadis'!A8859&lt;&gt;"""",SPLIT('(INGESTA)Datos_consumo_datadis'!A:A,"",""),"""")"),"ES0031408323131005HX0F")</f>
        <v>ES0031408323131005HX0F</v>
      </c>
      <c r="B8859" s="12">
        <f>IFERROR(__xludf.DUMMYFUNCTION("""COMPUTED_VALUE"""),45235.0)</f>
        <v>45235</v>
      </c>
      <c r="C8859" s="13">
        <f>IFERROR(__xludf.DUMMYFUNCTION("""COMPUTED_VALUE"""),0.08333333333333333)</f>
        <v>0.08333333333</v>
      </c>
      <c r="D8859" s="8">
        <f>IFERROR(__xludf.DUMMYFUNCTION("""COMPUTED_VALUE"""),0.216)</f>
        <v>0.216</v>
      </c>
      <c r="E8859" s="8" t="str">
        <f>IFERROR(__xludf.DUMMYFUNCTION("""COMPUTED_VALUE"""),"Real")</f>
        <v>Real</v>
      </c>
      <c r="G8859" s="8">
        <f t="shared" si="1"/>
        <v>11</v>
      </c>
      <c r="H8859" s="14">
        <f t="shared" si="2"/>
        <v>5</v>
      </c>
      <c r="I8859" s="15">
        <f t="shared" si="3"/>
        <v>2</v>
      </c>
    </row>
    <row r="8860">
      <c r="A8860" s="8" t="str">
        <f>IFERROR(__xludf.DUMMYFUNCTION("IF('(INGESTA)Datos_consumo_datadis'!A8860&lt;&gt;"""",SPLIT('(INGESTA)Datos_consumo_datadis'!A:A,"",""),"""")"),"ES0031408323131005HX0F")</f>
        <v>ES0031408323131005HX0F</v>
      </c>
      <c r="B8860" s="12">
        <f>IFERROR(__xludf.DUMMYFUNCTION("""COMPUTED_VALUE"""),45235.0)</f>
        <v>45235</v>
      </c>
      <c r="C8860" s="13">
        <f>IFERROR(__xludf.DUMMYFUNCTION("""COMPUTED_VALUE"""),0.125)</f>
        <v>0.125</v>
      </c>
      <c r="D8860" s="8">
        <f>IFERROR(__xludf.DUMMYFUNCTION("""COMPUTED_VALUE"""),0.183)</f>
        <v>0.183</v>
      </c>
      <c r="E8860" s="8" t="str">
        <f>IFERROR(__xludf.DUMMYFUNCTION("""COMPUTED_VALUE"""),"Real")</f>
        <v>Real</v>
      </c>
      <c r="G8860" s="8">
        <f t="shared" si="1"/>
        <v>11</v>
      </c>
      <c r="H8860" s="14">
        <f t="shared" si="2"/>
        <v>5</v>
      </c>
      <c r="I8860" s="15">
        <f t="shared" si="3"/>
        <v>3</v>
      </c>
    </row>
    <row r="8861">
      <c r="A8861" s="8" t="str">
        <f>IFERROR(__xludf.DUMMYFUNCTION("IF('(INGESTA)Datos_consumo_datadis'!A8861&lt;&gt;"""",SPLIT('(INGESTA)Datos_consumo_datadis'!A:A,"",""),"""")"),"ES0031408323131005HX0F")</f>
        <v>ES0031408323131005HX0F</v>
      </c>
      <c r="B8861" s="12">
        <f>IFERROR(__xludf.DUMMYFUNCTION("""COMPUTED_VALUE"""),45235.0)</f>
        <v>45235</v>
      </c>
      <c r="C8861" s="13">
        <f>IFERROR(__xludf.DUMMYFUNCTION("""COMPUTED_VALUE"""),0.16666666666666666)</f>
        <v>0.1666666667</v>
      </c>
      <c r="D8861" s="8">
        <f>IFERROR(__xludf.DUMMYFUNCTION("""COMPUTED_VALUE"""),0.038)</f>
        <v>0.038</v>
      </c>
      <c r="E8861" s="8" t="str">
        <f>IFERROR(__xludf.DUMMYFUNCTION("""COMPUTED_VALUE"""),"Real")</f>
        <v>Real</v>
      </c>
      <c r="G8861" s="8">
        <f t="shared" si="1"/>
        <v>11</v>
      </c>
      <c r="H8861" s="14">
        <f t="shared" si="2"/>
        <v>5</v>
      </c>
      <c r="I8861" s="15">
        <f t="shared" si="3"/>
        <v>4</v>
      </c>
    </row>
    <row r="8862">
      <c r="A8862" s="8" t="str">
        <f>IFERROR(__xludf.DUMMYFUNCTION("IF('(INGESTA)Datos_consumo_datadis'!A8862&lt;&gt;"""",SPLIT('(INGESTA)Datos_consumo_datadis'!A:A,"",""),"""")"),"ES0031408323131005HX0F")</f>
        <v>ES0031408323131005HX0F</v>
      </c>
      <c r="B8862" s="12">
        <f>IFERROR(__xludf.DUMMYFUNCTION("""COMPUTED_VALUE"""),45235.0)</f>
        <v>45235</v>
      </c>
      <c r="C8862" s="13">
        <f>IFERROR(__xludf.DUMMYFUNCTION("""COMPUTED_VALUE"""),0.20833333333333334)</f>
        <v>0.2083333333</v>
      </c>
      <c r="D8862" s="8">
        <f>IFERROR(__xludf.DUMMYFUNCTION("""COMPUTED_VALUE"""),0.122)</f>
        <v>0.122</v>
      </c>
      <c r="E8862" s="8" t="str">
        <f>IFERROR(__xludf.DUMMYFUNCTION("""COMPUTED_VALUE"""),"Real")</f>
        <v>Real</v>
      </c>
      <c r="G8862" s="8">
        <f t="shared" si="1"/>
        <v>11</v>
      </c>
      <c r="H8862" s="14">
        <f t="shared" si="2"/>
        <v>5</v>
      </c>
      <c r="I8862" s="15">
        <f t="shared" si="3"/>
        <v>5</v>
      </c>
    </row>
    <row r="8863">
      <c r="A8863" s="8" t="str">
        <f>IFERROR(__xludf.DUMMYFUNCTION("IF('(INGESTA)Datos_consumo_datadis'!A8863&lt;&gt;"""",SPLIT('(INGESTA)Datos_consumo_datadis'!A:A,"",""),"""")"),"ES0031408323131005HX0F")</f>
        <v>ES0031408323131005HX0F</v>
      </c>
      <c r="B8863" s="12">
        <f>IFERROR(__xludf.DUMMYFUNCTION("""COMPUTED_VALUE"""),45235.0)</f>
        <v>45235</v>
      </c>
      <c r="C8863" s="13">
        <f>IFERROR(__xludf.DUMMYFUNCTION("""COMPUTED_VALUE"""),0.25)</f>
        <v>0.25</v>
      </c>
      <c r="D8863" s="8">
        <f>IFERROR(__xludf.DUMMYFUNCTION("""COMPUTED_VALUE"""),0.093)</f>
        <v>0.093</v>
      </c>
      <c r="E8863" s="8" t="str">
        <f>IFERROR(__xludf.DUMMYFUNCTION("""COMPUTED_VALUE"""),"Real")</f>
        <v>Real</v>
      </c>
      <c r="G8863" s="8">
        <f t="shared" si="1"/>
        <v>11</v>
      </c>
      <c r="H8863" s="14">
        <f t="shared" si="2"/>
        <v>5</v>
      </c>
      <c r="I8863" s="15">
        <f t="shared" si="3"/>
        <v>6</v>
      </c>
    </row>
    <row r="8864">
      <c r="A8864" s="8" t="str">
        <f>IFERROR(__xludf.DUMMYFUNCTION("IF('(INGESTA)Datos_consumo_datadis'!A8864&lt;&gt;"""",SPLIT('(INGESTA)Datos_consumo_datadis'!A:A,"",""),"""")"),"ES0031408323131005HX0F")</f>
        <v>ES0031408323131005HX0F</v>
      </c>
      <c r="B8864" s="12">
        <f>IFERROR(__xludf.DUMMYFUNCTION("""COMPUTED_VALUE"""),45235.0)</f>
        <v>45235</v>
      </c>
      <c r="C8864" s="13">
        <f>IFERROR(__xludf.DUMMYFUNCTION("""COMPUTED_VALUE"""),0.2916666666666667)</f>
        <v>0.2916666667</v>
      </c>
      <c r="D8864" s="8">
        <f>IFERROR(__xludf.DUMMYFUNCTION("""COMPUTED_VALUE"""),0.066)</f>
        <v>0.066</v>
      </c>
      <c r="E8864" s="8" t="str">
        <f>IFERROR(__xludf.DUMMYFUNCTION("""COMPUTED_VALUE"""),"Real")</f>
        <v>Real</v>
      </c>
      <c r="G8864" s="8">
        <f t="shared" si="1"/>
        <v>11</v>
      </c>
      <c r="H8864" s="14">
        <f t="shared" si="2"/>
        <v>5</v>
      </c>
      <c r="I8864" s="15">
        <f t="shared" si="3"/>
        <v>7</v>
      </c>
    </row>
    <row r="8865">
      <c r="A8865" s="8" t="str">
        <f>IFERROR(__xludf.DUMMYFUNCTION("IF('(INGESTA)Datos_consumo_datadis'!A8865&lt;&gt;"""",SPLIT('(INGESTA)Datos_consumo_datadis'!A:A,"",""),"""")"),"ES0031408323131005HX0F")</f>
        <v>ES0031408323131005HX0F</v>
      </c>
      <c r="B8865" s="12">
        <f>IFERROR(__xludf.DUMMYFUNCTION("""COMPUTED_VALUE"""),45235.0)</f>
        <v>45235</v>
      </c>
      <c r="C8865" s="13">
        <f>IFERROR(__xludf.DUMMYFUNCTION("""COMPUTED_VALUE"""),0.3333333333333333)</f>
        <v>0.3333333333</v>
      </c>
      <c r="D8865" s="8">
        <f>IFERROR(__xludf.DUMMYFUNCTION("""COMPUTED_VALUE"""),0.017)</f>
        <v>0.017</v>
      </c>
      <c r="E8865" s="8" t="str">
        <f>IFERROR(__xludf.DUMMYFUNCTION("""COMPUTED_VALUE"""),"Real")</f>
        <v>Real</v>
      </c>
      <c r="G8865" s="8">
        <f t="shared" si="1"/>
        <v>11</v>
      </c>
      <c r="H8865" s="14">
        <f t="shared" si="2"/>
        <v>5</v>
      </c>
      <c r="I8865" s="15">
        <f t="shared" si="3"/>
        <v>8</v>
      </c>
    </row>
    <row r="8866">
      <c r="A8866" s="8" t="str">
        <f>IFERROR(__xludf.DUMMYFUNCTION("IF('(INGESTA)Datos_consumo_datadis'!A8866&lt;&gt;"""",SPLIT('(INGESTA)Datos_consumo_datadis'!A:A,"",""),"""")"),"ES0031408323131005HX0F")</f>
        <v>ES0031408323131005HX0F</v>
      </c>
      <c r="B8866" s="12">
        <f>IFERROR(__xludf.DUMMYFUNCTION("""COMPUTED_VALUE"""),45235.0)</f>
        <v>45235</v>
      </c>
      <c r="C8866" s="13">
        <f>IFERROR(__xludf.DUMMYFUNCTION("""COMPUTED_VALUE"""),0.375)</f>
        <v>0.375</v>
      </c>
      <c r="D8866" s="8">
        <f>IFERROR(__xludf.DUMMYFUNCTION("""COMPUTED_VALUE"""),0.37)</f>
        <v>0.37</v>
      </c>
      <c r="E8866" s="8" t="str">
        <f>IFERROR(__xludf.DUMMYFUNCTION("""COMPUTED_VALUE"""),"Real")</f>
        <v>Real</v>
      </c>
      <c r="G8866" s="8">
        <f t="shared" si="1"/>
        <v>11</v>
      </c>
      <c r="H8866" s="14">
        <f t="shared" si="2"/>
        <v>5</v>
      </c>
      <c r="I8866" s="15">
        <f t="shared" si="3"/>
        <v>9</v>
      </c>
    </row>
    <row r="8867">
      <c r="A8867" s="8" t="str">
        <f>IFERROR(__xludf.DUMMYFUNCTION("IF('(INGESTA)Datos_consumo_datadis'!A8867&lt;&gt;"""",SPLIT('(INGESTA)Datos_consumo_datadis'!A:A,"",""),"""")"),"ES0031408323131005HX0F")</f>
        <v>ES0031408323131005HX0F</v>
      </c>
      <c r="B8867" s="12">
        <f>IFERROR(__xludf.DUMMYFUNCTION("""COMPUTED_VALUE"""),45235.0)</f>
        <v>45235</v>
      </c>
      <c r="C8867" s="13">
        <f>IFERROR(__xludf.DUMMYFUNCTION("""COMPUTED_VALUE"""),0.4166666666666667)</f>
        <v>0.4166666667</v>
      </c>
      <c r="D8867" s="8">
        <f>IFERROR(__xludf.DUMMYFUNCTION("""COMPUTED_VALUE"""),0.069)</f>
        <v>0.069</v>
      </c>
      <c r="E8867" s="8" t="str">
        <f>IFERROR(__xludf.DUMMYFUNCTION("""COMPUTED_VALUE"""),"Real")</f>
        <v>Real</v>
      </c>
      <c r="G8867" s="8">
        <f t="shared" si="1"/>
        <v>11</v>
      </c>
      <c r="H8867" s="14">
        <f t="shared" si="2"/>
        <v>5</v>
      </c>
      <c r="I8867" s="15">
        <f t="shared" si="3"/>
        <v>10</v>
      </c>
    </row>
    <row r="8868">
      <c r="A8868" s="8" t="str">
        <f>IFERROR(__xludf.DUMMYFUNCTION("IF('(INGESTA)Datos_consumo_datadis'!A8868&lt;&gt;"""",SPLIT('(INGESTA)Datos_consumo_datadis'!A:A,"",""),"""")"),"ES0031408323131005HX0F")</f>
        <v>ES0031408323131005HX0F</v>
      </c>
      <c r="B8868" s="12">
        <f>IFERROR(__xludf.DUMMYFUNCTION("""COMPUTED_VALUE"""),45235.0)</f>
        <v>45235</v>
      </c>
      <c r="C8868" s="13">
        <f>IFERROR(__xludf.DUMMYFUNCTION("""COMPUTED_VALUE"""),0.4583333333333333)</f>
        <v>0.4583333333</v>
      </c>
      <c r="D8868" s="8">
        <f>IFERROR(__xludf.DUMMYFUNCTION("""COMPUTED_VALUE"""),0.028)</f>
        <v>0.028</v>
      </c>
      <c r="E8868" s="8" t="str">
        <f>IFERROR(__xludf.DUMMYFUNCTION("""COMPUTED_VALUE"""),"Real")</f>
        <v>Real</v>
      </c>
      <c r="G8868" s="8">
        <f t="shared" si="1"/>
        <v>11</v>
      </c>
      <c r="H8868" s="14">
        <f t="shared" si="2"/>
        <v>5</v>
      </c>
      <c r="I8868" s="15">
        <f t="shared" si="3"/>
        <v>11</v>
      </c>
    </row>
    <row r="8869">
      <c r="A8869" s="8" t="str">
        <f>IFERROR(__xludf.DUMMYFUNCTION("IF('(INGESTA)Datos_consumo_datadis'!A8869&lt;&gt;"""",SPLIT('(INGESTA)Datos_consumo_datadis'!A:A,"",""),"""")"),"ES0031408323131005HX0F")</f>
        <v>ES0031408323131005HX0F</v>
      </c>
      <c r="B8869" s="12">
        <f>IFERROR(__xludf.DUMMYFUNCTION("""COMPUTED_VALUE"""),45235.0)</f>
        <v>45235</v>
      </c>
      <c r="C8869" s="13">
        <f>IFERROR(__xludf.DUMMYFUNCTION("""COMPUTED_VALUE"""),0.5)</f>
        <v>0.5</v>
      </c>
      <c r="D8869" s="8">
        <f>IFERROR(__xludf.DUMMYFUNCTION("""COMPUTED_VALUE"""),0.102)</f>
        <v>0.102</v>
      </c>
      <c r="E8869" s="8" t="str">
        <f>IFERROR(__xludf.DUMMYFUNCTION("""COMPUTED_VALUE"""),"Real")</f>
        <v>Real</v>
      </c>
      <c r="G8869" s="8">
        <f t="shared" si="1"/>
        <v>11</v>
      </c>
      <c r="H8869" s="14">
        <f t="shared" si="2"/>
        <v>5</v>
      </c>
      <c r="I8869" s="15">
        <f t="shared" si="3"/>
        <v>12</v>
      </c>
    </row>
    <row r="8870">
      <c r="A8870" s="8" t="str">
        <f>IFERROR(__xludf.DUMMYFUNCTION("IF('(INGESTA)Datos_consumo_datadis'!A8870&lt;&gt;"""",SPLIT('(INGESTA)Datos_consumo_datadis'!A:A,"",""),"""")"),"ES0031408323131005HX0F")</f>
        <v>ES0031408323131005HX0F</v>
      </c>
      <c r="B8870" s="12">
        <f>IFERROR(__xludf.DUMMYFUNCTION("""COMPUTED_VALUE"""),45235.0)</f>
        <v>45235</v>
      </c>
      <c r="C8870" s="13">
        <f>IFERROR(__xludf.DUMMYFUNCTION("""COMPUTED_VALUE"""),0.5416666666666666)</f>
        <v>0.5416666667</v>
      </c>
      <c r="D8870" s="8">
        <f>IFERROR(__xludf.DUMMYFUNCTION("""COMPUTED_VALUE"""),0.072)</f>
        <v>0.072</v>
      </c>
      <c r="E8870" s="8" t="str">
        <f>IFERROR(__xludf.DUMMYFUNCTION("""COMPUTED_VALUE"""),"Real")</f>
        <v>Real</v>
      </c>
      <c r="G8870" s="8">
        <f t="shared" si="1"/>
        <v>11</v>
      </c>
      <c r="H8870" s="14">
        <f t="shared" si="2"/>
        <v>5</v>
      </c>
      <c r="I8870" s="15">
        <f t="shared" si="3"/>
        <v>13</v>
      </c>
    </row>
    <row r="8871">
      <c r="A8871" s="8" t="str">
        <f>IFERROR(__xludf.DUMMYFUNCTION("IF('(INGESTA)Datos_consumo_datadis'!A8871&lt;&gt;"""",SPLIT('(INGESTA)Datos_consumo_datadis'!A:A,"",""),"""")"),"ES0031408323131005HX0F")</f>
        <v>ES0031408323131005HX0F</v>
      </c>
      <c r="B8871" s="12">
        <f>IFERROR(__xludf.DUMMYFUNCTION("""COMPUTED_VALUE"""),45235.0)</f>
        <v>45235</v>
      </c>
      <c r="C8871" s="13">
        <f>IFERROR(__xludf.DUMMYFUNCTION("""COMPUTED_VALUE"""),0.5833333333333334)</f>
        <v>0.5833333333</v>
      </c>
      <c r="D8871" s="8">
        <f>IFERROR(__xludf.DUMMYFUNCTION("""COMPUTED_VALUE"""),0.019)</f>
        <v>0.019</v>
      </c>
      <c r="E8871" s="8" t="str">
        <f>IFERROR(__xludf.DUMMYFUNCTION("""COMPUTED_VALUE"""),"Real")</f>
        <v>Real</v>
      </c>
      <c r="G8871" s="8">
        <f t="shared" si="1"/>
        <v>11</v>
      </c>
      <c r="H8871" s="14">
        <f t="shared" si="2"/>
        <v>5</v>
      </c>
      <c r="I8871" s="15">
        <f t="shared" si="3"/>
        <v>14</v>
      </c>
    </row>
    <row r="8872">
      <c r="A8872" s="8" t="str">
        <f>IFERROR(__xludf.DUMMYFUNCTION("IF('(INGESTA)Datos_consumo_datadis'!A8872&lt;&gt;"""",SPLIT('(INGESTA)Datos_consumo_datadis'!A:A,"",""),"""")"),"ES0031408323131005HX0F")</f>
        <v>ES0031408323131005HX0F</v>
      </c>
      <c r="B8872" s="12">
        <f>IFERROR(__xludf.DUMMYFUNCTION("""COMPUTED_VALUE"""),45235.0)</f>
        <v>45235</v>
      </c>
      <c r="C8872" s="13">
        <f>IFERROR(__xludf.DUMMYFUNCTION("""COMPUTED_VALUE"""),0.625)</f>
        <v>0.625</v>
      </c>
      <c r="D8872" s="8">
        <f>IFERROR(__xludf.DUMMYFUNCTION("""COMPUTED_VALUE"""),0.358)</f>
        <v>0.358</v>
      </c>
      <c r="E8872" s="8" t="str">
        <f>IFERROR(__xludf.DUMMYFUNCTION("""COMPUTED_VALUE"""),"Real")</f>
        <v>Real</v>
      </c>
      <c r="G8872" s="8">
        <f t="shared" si="1"/>
        <v>11</v>
      </c>
      <c r="H8872" s="14">
        <f t="shared" si="2"/>
        <v>5</v>
      </c>
      <c r="I8872" s="15">
        <f t="shared" si="3"/>
        <v>15</v>
      </c>
    </row>
    <row r="8873">
      <c r="A8873" s="8" t="str">
        <f>IFERROR(__xludf.DUMMYFUNCTION("IF('(INGESTA)Datos_consumo_datadis'!A8873&lt;&gt;"""",SPLIT('(INGESTA)Datos_consumo_datadis'!A:A,"",""),"""")"),"ES0031408323131005HX0F")</f>
        <v>ES0031408323131005HX0F</v>
      </c>
      <c r="B8873" s="12">
        <f>IFERROR(__xludf.DUMMYFUNCTION("""COMPUTED_VALUE"""),45235.0)</f>
        <v>45235</v>
      </c>
      <c r="C8873" s="13">
        <f>IFERROR(__xludf.DUMMYFUNCTION("""COMPUTED_VALUE"""),0.6666666666666666)</f>
        <v>0.6666666667</v>
      </c>
      <c r="D8873" s="8">
        <f>IFERROR(__xludf.DUMMYFUNCTION("""COMPUTED_VALUE"""),0.628)</f>
        <v>0.628</v>
      </c>
      <c r="E8873" s="8" t="str">
        <f>IFERROR(__xludf.DUMMYFUNCTION("""COMPUTED_VALUE"""),"Real")</f>
        <v>Real</v>
      </c>
      <c r="G8873" s="8">
        <f t="shared" si="1"/>
        <v>11</v>
      </c>
      <c r="H8873" s="14">
        <f t="shared" si="2"/>
        <v>5</v>
      </c>
      <c r="I8873" s="15">
        <f t="shared" si="3"/>
        <v>16</v>
      </c>
    </row>
    <row r="8874">
      <c r="A8874" s="8" t="str">
        <f>IFERROR(__xludf.DUMMYFUNCTION("IF('(INGESTA)Datos_consumo_datadis'!A8874&lt;&gt;"""",SPLIT('(INGESTA)Datos_consumo_datadis'!A:A,"",""),"""")"),"ES0031408323131005HX0F")</f>
        <v>ES0031408323131005HX0F</v>
      </c>
      <c r="B8874" s="12">
        <f>IFERROR(__xludf.DUMMYFUNCTION("""COMPUTED_VALUE"""),45235.0)</f>
        <v>45235</v>
      </c>
      <c r="C8874" s="13">
        <f>IFERROR(__xludf.DUMMYFUNCTION("""COMPUTED_VALUE"""),0.7083333333333334)</f>
        <v>0.7083333333</v>
      </c>
      <c r="D8874" s="8">
        <f>IFERROR(__xludf.DUMMYFUNCTION("""COMPUTED_VALUE"""),0.538)</f>
        <v>0.538</v>
      </c>
      <c r="E8874" s="8" t="str">
        <f>IFERROR(__xludf.DUMMYFUNCTION("""COMPUTED_VALUE"""),"Real")</f>
        <v>Real</v>
      </c>
      <c r="G8874" s="8">
        <f t="shared" si="1"/>
        <v>11</v>
      </c>
      <c r="H8874" s="14">
        <f t="shared" si="2"/>
        <v>5</v>
      </c>
      <c r="I8874" s="15">
        <f t="shared" si="3"/>
        <v>17</v>
      </c>
    </row>
    <row r="8875">
      <c r="A8875" s="8" t="str">
        <f>IFERROR(__xludf.DUMMYFUNCTION("IF('(INGESTA)Datos_consumo_datadis'!A8875&lt;&gt;"""",SPLIT('(INGESTA)Datos_consumo_datadis'!A:A,"",""),"""")"),"ES0031408323131005HX0F")</f>
        <v>ES0031408323131005HX0F</v>
      </c>
      <c r="B8875" s="12">
        <f>IFERROR(__xludf.DUMMYFUNCTION("""COMPUTED_VALUE"""),45235.0)</f>
        <v>45235</v>
      </c>
      <c r="C8875" s="13">
        <f>IFERROR(__xludf.DUMMYFUNCTION("""COMPUTED_VALUE"""),0.75)</f>
        <v>0.75</v>
      </c>
      <c r="D8875" s="8">
        <f>IFERROR(__xludf.DUMMYFUNCTION("""COMPUTED_VALUE"""),0.077)</f>
        <v>0.077</v>
      </c>
      <c r="E8875" s="8" t="str">
        <f>IFERROR(__xludf.DUMMYFUNCTION("""COMPUTED_VALUE"""),"Real")</f>
        <v>Real</v>
      </c>
      <c r="G8875" s="8">
        <f t="shared" si="1"/>
        <v>11</v>
      </c>
      <c r="H8875" s="14">
        <f t="shared" si="2"/>
        <v>5</v>
      </c>
      <c r="I8875" s="15">
        <f t="shared" si="3"/>
        <v>18</v>
      </c>
    </row>
    <row r="8876">
      <c r="A8876" s="8" t="str">
        <f>IFERROR(__xludf.DUMMYFUNCTION("IF('(INGESTA)Datos_consumo_datadis'!A8876&lt;&gt;"""",SPLIT('(INGESTA)Datos_consumo_datadis'!A:A,"",""),"""")"),"ES0031408323131005HX0F")</f>
        <v>ES0031408323131005HX0F</v>
      </c>
      <c r="B8876" s="12">
        <f>IFERROR(__xludf.DUMMYFUNCTION("""COMPUTED_VALUE"""),45235.0)</f>
        <v>45235</v>
      </c>
      <c r="C8876" s="13">
        <f>IFERROR(__xludf.DUMMYFUNCTION("""COMPUTED_VALUE"""),0.7916666666666666)</f>
        <v>0.7916666667</v>
      </c>
      <c r="D8876" s="8">
        <f>IFERROR(__xludf.DUMMYFUNCTION("""COMPUTED_VALUE"""),0.331)</f>
        <v>0.331</v>
      </c>
      <c r="E8876" s="8" t="str">
        <f>IFERROR(__xludf.DUMMYFUNCTION("""COMPUTED_VALUE"""),"Real")</f>
        <v>Real</v>
      </c>
      <c r="G8876" s="8">
        <f t="shared" si="1"/>
        <v>11</v>
      </c>
      <c r="H8876" s="14">
        <f t="shared" si="2"/>
        <v>5</v>
      </c>
      <c r="I8876" s="15">
        <f t="shared" si="3"/>
        <v>19</v>
      </c>
    </row>
    <row r="8877">
      <c r="A8877" s="8" t="str">
        <f>IFERROR(__xludf.DUMMYFUNCTION("IF('(INGESTA)Datos_consumo_datadis'!A8877&lt;&gt;"""",SPLIT('(INGESTA)Datos_consumo_datadis'!A:A,"",""),"""")"),"ES0031408323131005HX0F")</f>
        <v>ES0031408323131005HX0F</v>
      </c>
      <c r="B8877" s="12">
        <f>IFERROR(__xludf.DUMMYFUNCTION("""COMPUTED_VALUE"""),45235.0)</f>
        <v>45235</v>
      </c>
      <c r="C8877" s="13">
        <f>IFERROR(__xludf.DUMMYFUNCTION("""COMPUTED_VALUE"""),0.8333333333333334)</f>
        <v>0.8333333333</v>
      </c>
      <c r="D8877" s="8">
        <f>IFERROR(__xludf.DUMMYFUNCTION("""COMPUTED_VALUE"""),0.171)</f>
        <v>0.171</v>
      </c>
      <c r="E8877" s="8" t="str">
        <f>IFERROR(__xludf.DUMMYFUNCTION("""COMPUTED_VALUE"""),"Real")</f>
        <v>Real</v>
      </c>
      <c r="G8877" s="8">
        <f t="shared" si="1"/>
        <v>11</v>
      </c>
      <c r="H8877" s="14">
        <f t="shared" si="2"/>
        <v>5</v>
      </c>
      <c r="I8877" s="15">
        <f t="shared" si="3"/>
        <v>20</v>
      </c>
    </row>
    <row r="8878">
      <c r="A8878" s="8" t="str">
        <f>IFERROR(__xludf.DUMMYFUNCTION("IF('(INGESTA)Datos_consumo_datadis'!A8878&lt;&gt;"""",SPLIT('(INGESTA)Datos_consumo_datadis'!A:A,"",""),"""")"),"ES0031408323131005HX0F")</f>
        <v>ES0031408323131005HX0F</v>
      </c>
      <c r="B8878" s="12">
        <f>IFERROR(__xludf.DUMMYFUNCTION("""COMPUTED_VALUE"""),45235.0)</f>
        <v>45235</v>
      </c>
      <c r="C8878" s="13">
        <f>IFERROR(__xludf.DUMMYFUNCTION("""COMPUTED_VALUE"""),0.875)</f>
        <v>0.875</v>
      </c>
      <c r="D8878" s="8">
        <f>IFERROR(__xludf.DUMMYFUNCTION("""COMPUTED_VALUE"""),0.058)</f>
        <v>0.058</v>
      </c>
      <c r="E8878" s="8" t="str">
        <f>IFERROR(__xludf.DUMMYFUNCTION("""COMPUTED_VALUE"""),"Real")</f>
        <v>Real</v>
      </c>
      <c r="G8878" s="8">
        <f t="shared" si="1"/>
        <v>11</v>
      </c>
      <c r="H8878" s="14">
        <f t="shared" si="2"/>
        <v>5</v>
      </c>
      <c r="I8878" s="15">
        <f t="shared" si="3"/>
        <v>21</v>
      </c>
    </row>
    <row r="8879">
      <c r="A8879" s="8" t="str">
        <f>IFERROR(__xludf.DUMMYFUNCTION("IF('(INGESTA)Datos_consumo_datadis'!A8879&lt;&gt;"""",SPLIT('(INGESTA)Datos_consumo_datadis'!A:A,"",""),"""")"),"ES0031408323131005HX0F")</f>
        <v>ES0031408323131005HX0F</v>
      </c>
      <c r="B8879" s="12">
        <f>IFERROR(__xludf.DUMMYFUNCTION("""COMPUTED_VALUE"""),45235.0)</f>
        <v>45235</v>
      </c>
      <c r="C8879" s="13">
        <f>IFERROR(__xludf.DUMMYFUNCTION("""COMPUTED_VALUE"""),0.9166666666666666)</f>
        <v>0.9166666667</v>
      </c>
      <c r="D8879" s="8">
        <f>IFERROR(__xludf.DUMMYFUNCTION("""COMPUTED_VALUE"""),0.078)</f>
        <v>0.078</v>
      </c>
      <c r="E8879" s="8" t="str">
        <f>IFERROR(__xludf.DUMMYFUNCTION("""COMPUTED_VALUE"""),"Real")</f>
        <v>Real</v>
      </c>
      <c r="G8879" s="8">
        <f t="shared" si="1"/>
        <v>11</v>
      </c>
      <c r="H8879" s="14">
        <f t="shared" si="2"/>
        <v>5</v>
      </c>
      <c r="I8879" s="15">
        <f t="shared" si="3"/>
        <v>22</v>
      </c>
    </row>
    <row r="8880">
      <c r="A8880" s="8" t="str">
        <f>IFERROR(__xludf.DUMMYFUNCTION("IF('(INGESTA)Datos_consumo_datadis'!A8880&lt;&gt;"""",SPLIT('(INGESTA)Datos_consumo_datadis'!A:A,"",""),"""")"),"ES0031408323131005HX0F")</f>
        <v>ES0031408323131005HX0F</v>
      </c>
      <c r="B8880" s="12">
        <f>IFERROR(__xludf.DUMMYFUNCTION("""COMPUTED_VALUE"""),45235.0)</f>
        <v>45235</v>
      </c>
      <c r="C8880" s="13">
        <f>IFERROR(__xludf.DUMMYFUNCTION("""COMPUTED_VALUE"""),0.9583333333333334)</f>
        <v>0.9583333333</v>
      </c>
      <c r="D8880" s="8">
        <f>IFERROR(__xludf.DUMMYFUNCTION("""COMPUTED_VALUE"""),0.405)</f>
        <v>0.405</v>
      </c>
      <c r="E8880" s="8" t="str">
        <f>IFERROR(__xludf.DUMMYFUNCTION("""COMPUTED_VALUE"""),"Real")</f>
        <v>Real</v>
      </c>
      <c r="G8880" s="8">
        <f t="shared" si="1"/>
        <v>11</v>
      </c>
      <c r="H8880" s="14">
        <f t="shared" si="2"/>
        <v>5</v>
      </c>
      <c r="I8880" s="15">
        <f t="shared" si="3"/>
        <v>23</v>
      </c>
    </row>
    <row r="8881">
      <c r="A8881" s="8" t="str">
        <f>IFERROR(__xludf.DUMMYFUNCTION("IF('(INGESTA)Datos_consumo_datadis'!A8881&lt;&gt;"""",SPLIT('(INGESTA)Datos_consumo_datadis'!A:A,"",""),"""")"),"ES0031408323131005HX0F")</f>
        <v>ES0031408323131005HX0F</v>
      </c>
      <c r="B8881" s="12">
        <f>IFERROR(__xludf.DUMMYFUNCTION("""COMPUTED_VALUE"""),45235.0)</f>
        <v>45235</v>
      </c>
      <c r="C8881" s="16">
        <f>IFERROR(__xludf.DUMMYFUNCTION("""COMPUTED_VALUE"""),1.0)</f>
        <v>1</v>
      </c>
      <c r="D8881" s="8">
        <f>IFERROR(__xludf.DUMMYFUNCTION("""COMPUTED_VALUE"""),0.082)</f>
        <v>0.082</v>
      </c>
      <c r="E8881" s="8" t="str">
        <f>IFERROR(__xludf.DUMMYFUNCTION("""COMPUTED_VALUE"""),"Real")</f>
        <v>Real</v>
      </c>
      <c r="G8881" s="8">
        <f t="shared" si="1"/>
        <v>11</v>
      </c>
      <c r="H8881" s="14">
        <f t="shared" si="2"/>
        <v>5</v>
      </c>
      <c r="I8881" s="15">
        <f t="shared" si="3"/>
        <v>0</v>
      </c>
    </row>
    <row r="8882">
      <c r="A8882" s="8" t="str">
        <f>IFERROR(__xludf.DUMMYFUNCTION("IF('(INGESTA)Datos_consumo_datadis'!A8882&lt;&gt;"""",SPLIT('(INGESTA)Datos_consumo_datadis'!A:A,"",""),"""")"),"ES0031408323131005HX0F")</f>
        <v>ES0031408323131005HX0F</v>
      </c>
      <c r="B8882" s="12">
        <f>IFERROR(__xludf.DUMMYFUNCTION("""COMPUTED_VALUE"""),45236.0)</f>
        <v>45236</v>
      </c>
      <c r="C8882" s="13">
        <f>IFERROR(__xludf.DUMMYFUNCTION("""COMPUTED_VALUE"""),0.041666666666666664)</f>
        <v>0.04166666667</v>
      </c>
      <c r="D8882" s="8">
        <f>IFERROR(__xludf.DUMMYFUNCTION("""COMPUTED_VALUE"""),0.306)</f>
        <v>0.306</v>
      </c>
      <c r="E8882" s="8" t="str">
        <f>IFERROR(__xludf.DUMMYFUNCTION("""COMPUTED_VALUE"""),"Real")</f>
        <v>Real</v>
      </c>
      <c r="G8882" s="8">
        <f t="shared" si="1"/>
        <v>11</v>
      </c>
      <c r="H8882" s="14">
        <f t="shared" si="2"/>
        <v>6</v>
      </c>
      <c r="I8882" s="15">
        <f t="shared" si="3"/>
        <v>1</v>
      </c>
    </row>
    <row r="8883">
      <c r="A8883" s="8" t="str">
        <f>IFERROR(__xludf.DUMMYFUNCTION("IF('(INGESTA)Datos_consumo_datadis'!A8883&lt;&gt;"""",SPLIT('(INGESTA)Datos_consumo_datadis'!A:A,"",""),"""")"),"ES0031408323131005HX0F")</f>
        <v>ES0031408323131005HX0F</v>
      </c>
      <c r="B8883" s="12">
        <f>IFERROR(__xludf.DUMMYFUNCTION("""COMPUTED_VALUE"""),45236.0)</f>
        <v>45236</v>
      </c>
      <c r="C8883" s="13">
        <f>IFERROR(__xludf.DUMMYFUNCTION("""COMPUTED_VALUE"""),0.08333333333333333)</f>
        <v>0.08333333333</v>
      </c>
      <c r="D8883" s="8">
        <f>IFERROR(__xludf.DUMMYFUNCTION("""COMPUTED_VALUE"""),0.129)</f>
        <v>0.129</v>
      </c>
      <c r="E8883" s="8" t="str">
        <f>IFERROR(__xludf.DUMMYFUNCTION("""COMPUTED_VALUE"""),"Real")</f>
        <v>Real</v>
      </c>
      <c r="G8883" s="8">
        <f t="shared" si="1"/>
        <v>11</v>
      </c>
      <c r="H8883" s="14">
        <f t="shared" si="2"/>
        <v>6</v>
      </c>
      <c r="I8883" s="15">
        <f t="shared" si="3"/>
        <v>2</v>
      </c>
    </row>
    <row r="8884">
      <c r="A8884" s="8" t="str">
        <f>IFERROR(__xludf.DUMMYFUNCTION("IF('(INGESTA)Datos_consumo_datadis'!A8884&lt;&gt;"""",SPLIT('(INGESTA)Datos_consumo_datadis'!A:A,"",""),"""")"),"ES0031408323131005HX0F")</f>
        <v>ES0031408323131005HX0F</v>
      </c>
      <c r="B8884" s="12">
        <f>IFERROR(__xludf.DUMMYFUNCTION("""COMPUTED_VALUE"""),45236.0)</f>
        <v>45236</v>
      </c>
      <c r="C8884" s="13">
        <f>IFERROR(__xludf.DUMMYFUNCTION("""COMPUTED_VALUE"""),0.125)</f>
        <v>0.125</v>
      </c>
      <c r="D8884" s="8">
        <f>IFERROR(__xludf.DUMMYFUNCTION("""COMPUTED_VALUE"""),0.195)</f>
        <v>0.195</v>
      </c>
      <c r="E8884" s="8" t="str">
        <f>IFERROR(__xludf.DUMMYFUNCTION("""COMPUTED_VALUE"""),"Real")</f>
        <v>Real</v>
      </c>
      <c r="G8884" s="8">
        <f t="shared" si="1"/>
        <v>11</v>
      </c>
      <c r="H8884" s="14">
        <f t="shared" si="2"/>
        <v>6</v>
      </c>
      <c r="I8884" s="15">
        <f t="shared" si="3"/>
        <v>3</v>
      </c>
    </row>
    <row r="8885">
      <c r="A8885" s="8" t="str">
        <f>IFERROR(__xludf.DUMMYFUNCTION("IF('(INGESTA)Datos_consumo_datadis'!A8885&lt;&gt;"""",SPLIT('(INGESTA)Datos_consumo_datadis'!A:A,"",""),"""")"),"ES0031408323131005HX0F")</f>
        <v>ES0031408323131005HX0F</v>
      </c>
      <c r="B8885" s="12">
        <f>IFERROR(__xludf.DUMMYFUNCTION("""COMPUTED_VALUE"""),45236.0)</f>
        <v>45236</v>
      </c>
      <c r="C8885" s="13">
        <f>IFERROR(__xludf.DUMMYFUNCTION("""COMPUTED_VALUE"""),0.16666666666666666)</f>
        <v>0.1666666667</v>
      </c>
      <c r="D8885" s="8">
        <f>IFERROR(__xludf.DUMMYFUNCTION("""COMPUTED_VALUE"""),0.234)</f>
        <v>0.234</v>
      </c>
      <c r="E8885" s="8" t="str">
        <f>IFERROR(__xludf.DUMMYFUNCTION("""COMPUTED_VALUE"""),"Real")</f>
        <v>Real</v>
      </c>
      <c r="G8885" s="8">
        <f t="shared" si="1"/>
        <v>11</v>
      </c>
      <c r="H8885" s="14">
        <f t="shared" si="2"/>
        <v>6</v>
      </c>
      <c r="I8885" s="15">
        <f t="shared" si="3"/>
        <v>4</v>
      </c>
    </row>
    <row r="8886">
      <c r="A8886" s="8" t="str">
        <f>IFERROR(__xludf.DUMMYFUNCTION("IF('(INGESTA)Datos_consumo_datadis'!A8886&lt;&gt;"""",SPLIT('(INGESTA)Datos_consumo_datadis'!A:A,"",""),"""")"),"ES0031408323131005HX0F")</f>
        <v>ES0031408323131005HX0F</v>
      </c>
      <c r="B8886" s="12">
        <f>IFERROR(__xludf.DUMMYFUNCTION("""COMPUTED_VALUE"""),45236.0)</f>
        <v>45236</v>
      </c>
      <c r="C8886" s="13">
        <f>IFERROR(__xludf.DUMMYFUNCTION("""COMPUTED_VALUE"""),0.20833333333333334)</f>
        <v>0.2083333333</v>
      </c>
      <c r="D8886" s="8">
        <f>IFERROR(__xludf.DUMMYFUNCTION("""COMPUTED_VALUE"""),0.356)</f>
        <v>0.356</v>
      </c>
      <c r="E8886" s="8" t="str">
        <f>IFERROR(__xludf.DUMMYFUNCTION("""COMPUTED_VALUE"""),"Real")</f>
        <v>Real</v>
      </c>
      <c r="G8886" s="8">
        <f t="shared" si="1"/>
        <v>11</v>
      </c>
      <c r="H8886" s="14">
        <f t="shared" si="2"/>
        <v>6</v>
      </c>
      <c r="I8886" s="15">
        <f t="shared" si="3"/>
        <v>5</v>
      </c>
    </row>
    <row r="8887">
      <c r="A8887" s="8" t="str">
        <f>IFERROR(__xludf.DUMMYFUNCTION("IF('(INGESTA)Datos_consumo_datadis'!A8887&lt;&gt;"""",SPLIT('(INGESTA)Datos_consumo_datadis'!A:A,"",""),"""")"),"ES0031408323131005HX0F")</f>
        <v>ES0031408323131005HX0F</v>
      </c>
      <c r="B8887" s="12">
        <f>IFERROR(__xludf.DUMMYFUNCTION("""COMPUTED_VALUE"""),45236.0)</f>
        <v>45236</v>
      </c>
      <c r="C8887" s="13">
        <f>IFERROR(__xludf.DUMMYFUNCTION("""COMPUTED_VALUE"""),0.25)</f>
        <v>0.25</v>
      </c>
      <c r="D8887" s="8">
        <f>IFERROR(__xludf.DUMMYFUNCTION("""COMPUTED_VALUE"""),0.078)</f>
        <v>0.078</v>
      </c>
      <c r="E8887" s="8" t="str">
        <f>IFERROR(__xludf.DUMMYFUNCTION("""COMPUTED_VALUE"""),"Real")</f>
        <v>Real</v>
      </c>
      <c r="G8887" s="8">
        <f t="shared" si="1"/>
        <v>11</v>
      </c>
      <c r="H8887" s="14">
        <f t="shared" si="2"/>
        <v>6</v>
      </c>
      <c r="I8887" s="15">
        <f t="shared" si="3"/>
        <v>6</v>
      </c>
    </row>
    <row r="8888">
      <c r="A8888" s="8" t="str">
        <f>IFERROR(__xludf.DUMMYFUNCTION("IF('(INGESTA)Datos_consumo_datadis'!A8888&lt;&gt;"""",SPLIT('(INGESTA)Datos_consumo_datadis'!A:A,"",""),"""")"),"ES0031408323131005HX0F")</f>
        <v>ES0031408323131005HX0F</v>
      </c>
      <c r="B8888" s="12">
        <f>IFERROR(__xludf.DUMMYFUNCTION("""COMPUTED_VALUE"""),45236.0)</f>
        <v>45236</v>
      </c>
      <c r="C8888" s="13">
        <f>IFERROR(__xludf.DUMMYFUNCTION("""COMPUTED_VALUE"""),0.2916666666666667)</f>
        <v>0.2916666667</v>
      </c>
      <c r="D8888" s="8">
        <f>IFERROR(__xludf.DUMMYFUNCTION("""COMPUTED_VALUE"""),0.02)</f>
        <v>0.02</v>
      </c>
      <c r="E8888" s="8" t="str">
        <f>IFERROR(__xludf.DUMMYFUNCTION("""COMPUTED_VALUE"""),"Real")</f>
        <v>Real</v>
      </c>
      <c r="G8888" s="8">
        <f t="shared" si="1"/>
        <v>11</v>
      </c>
      <c r="H8888" s="14">
        <f t="shared" si="2"/>
        <v>6</v>
      </c>
      <c r="I8888" s="15">
        <f t="shared" si="3"/>
        <v>7</v>
      </c>
    </row>
    <row r="8889">
      <c r="A8889" s="8" t="str">
        <f>IFERROR(__xludf.DUMMYFUNCTION("IF('(INGESTA)Datos_consumo_datadis'!A8889&lt;&gt;"""",SPLIT('(INGESTA)Datos_consumo_datadis'!A:A,"",""),"""")"),"ES0031408323131005HX0F")</f>
        <v>ES0031408323131005HX0F</v>
      </c>
      <c r="B8889" s="12">
        <f>IFERROR(__xludf.DUMMYFUNCTION("""COMPUTED_VALUE"""),45236.0)</f>
        <v>45236</v>
      </c>
      <c r="C8889" s="13">
        <f>IFERROR(__xludf.DUMMYFUNCTION("""COMPUTED_VALUE"""),0.3333333333333333)</f>
        <v>0.3333333333</v>
      </c>
      <c r="D8889" s="8">
        <f>IFERROR(__xludf.DUMMYFUNCTION("""COMPUTED_VALUE"""),0.194)</f>
        <v>0.194</v>
      </c>
      <c r="E8889" s="8" t="str">
        <f>IFERROR(__xludf.DUMMYFUNCTION("""COMPUTED_VALUE"""),"Real")</f>
        <v>Real</v>
      </c>
      <c r="G8889" s="8">
        <f t="shared" si="1"/>
        <v>11</v>
      </c>
      <c r="H8889" s="14">
        <f t="shared" si="2"/>
        <v>6</v>
      </c>
      <c r="I8889" s="15">
        <f t="shared" si="3"/>
        <v>8</v>
      </c>
    </row>
    <row r="8890">
      <c r="A8890" s="8" t="str">
        <f>IFERROR(__xludf.DUMMYFUNCTION("IF('(INGESTA)Datos_consumo_datadis'!A8890&lt;&gt;"""",SPLIT('(INGESTA)Datos_consumo_datadis'!A:A,"",""),"""")"),"ES0031408323131005HX0F")</f>
        <v>ES0031408323131005HX0F</v>
      </c>
      <c r="B8890" s="12">
        <f>IFERROR(__xludf.DUMMYFUNCTION("""COMPUTED_VALUE"""),45236.0)</f>
        <v>45236</v>
      </c>
      <c r="C8890" s="13">
        <f>IFERROR(__xludf.DUMMYFUNCTION("""COMPUTED_VALUE"""),0.375)</f>
        <v>0.375</v>
      </c>
      <c r="D8890" s="8">
        <f>IFERROR(__xludf.DUMMYFUNCTION("""COMPUTED_VALUE"""),0.078)</f>
        <v>0.078</v>
      </c>
      <c r="E8890" s="8" t="str">
        <f>IFERROR(__xludf.DUMMYFUNCTION("""COMPUTED_VALUE"""),"Real")</f>
        <v>Real</v>
      </c>
      <c r="G8890" s="8">
        <f t="shared" si="1"/>
        <v>11</v>
      </c>
      <c r="H8890" s="14">
        <f t="shared" si="2"/>
        <v>6</v>
      </c>
      <c r="I8890" s="15">
        <f t="shared" si="3"/>
        <v>9</v>
      </c>
    </row>
    <row r="8891">
      <c r="A8891" s="8" t="str">
        <f>IFERROR(__xludf.DUMMYFUNCTION("IF('(INGESTA)Datos_consumo_datadis'!A8891&lt;&gt;"""",SPLIT('(INGESTA)Datos_consumo_datadis'!A:A,"",""),"""")"),"ES0031408323131005HX0F")</f>
        <v>ES0031408323131005HX0F</v>
      </c>
      <c r="B8891" s="12">
        <f>IFERROR(__xludf.DUMMYFUNCTION("""COMPUTED_VALUE"""),45236.0)</f>
        <v>45236</v>
      </c>
      <c r="C8891" s="13">
        <f>IFERROR(__xludf.DUMMYFUNCTION("""COMPUTED_VALUE"""),0.4166666666666667)</f>
        <v>0.4166666667</v>
      </c>
      <c r="D8891" s="8">
        <f>IFERROR(__xludf.DUMMYFUNCTION("""COMPUTED_VALUE"""),0.301)</f>
        <v>0.301</v>
      </c>
      <c r="E8891" s="8" t="str">
        <f>IFERROR(__xludf.DUMMYFUNCTION("""COMPUTED_VALUE"""),"Real")</f>
        <v>Real</v>
      </c>
      <c r="G8891" s="8">
        <f t="shared" si="1"/>
        <v>11</v>
      </c>
      <c r="H8891" s="14">
        <f t="shared" si="2"/>
        <v>6</v>
      </c>
      <c r="I8891" s="15">
        <f t="shared" si="3"/>
        <v>10</v>
      </c>
    </row>
    <row r="8892">
      <c r="A8892" s="8" t="str">
        <f>IFERROR(__xludf.DUMMYFUNCTION("IF('(INGESTA)Datos_consumo_datadis'!A8892&lt;&gt;"""",SPLIT('(INGESTA)Datos_consumo_datadis'!A:A,"",""),"""")"),"ES0031408323131005HX0F")</f>
        <v>ES0031408323131005HX0F</v>
      </c>
      <c r="B8892" s="12">
        <f>IFERROR(__xludf.DUMMYFUNCTION("""COMPUTED_VALUE"""),45236.0)</f>
        <v>45236</v>
      </c>
      <c r="C8892" s="13">
        <f>IFERROR(__xludf.DUMMYFUNCTION("""COMPUTED_VALUE"""),0.4583333333333333)</f>
        <v>0.4583333333</v>
      </c>
      <c r="D8892" s="8">
        <f>IFERROR(__xludf.DUMMYFUNCTION("""COMPUTED_VALUE"""),0.064)</f>
        <v>0.064</v>
      </c>
      <c r="E8892" s="8" t="str">
        <f>IFERROR(__xludf.DUMMYFUNCTION("""COMPUTED_VALUE"""),"Real")</f>
        <v>Real</v>
      </c>
      <c r="G8892" s="8">
        <f t="shared" si="1"/>
        <v>11</v>
      </c>
      <c r="H8892" s="14">
        <f t="shared" si="2"/>
        <v>6</v>
      </c>
      <c r="I8892" s="15">
        <f t="shared" si="3"/>
        <v>11</v>
      </c>
    </row>
    <row r="8893">
      <c r="A8893" s="8" t="str">
        <f>IFERROR(__xludf.DUMMYFUNCTION("IF('(INGESTA)Datos_consumo_datadis'!A8893&lt;&gt;"""",SPLIT('(INGESTA)Datos_consumo_datadis'!A:A,"",""),"""")"),"ES0031408323131005HX0F")</f>
        <v>ES0031408323131005HX0F</v>
      </c>
      <c r="B8893" s="12">
        <f>IFERROR(__xludf.DUMMYFUNCTION("""COMPUTED_VALUE"""),45236.0)</f>
        <v>45236</v>
      </c>
      <c r="C8893" s="13">
        <f>IFERROR(__xludf.DUMMYFUNCTION("""COMPUTED_VALUE"""),0.5)</f>
        <v>0.5</v>
      </c>
      <c r="D8893" s="8">
        <f>IFERROR(__xludf.DUMMYFUNCTION("""COMPUTED_VALUE"""),0.073)</f>
        <v>0.073</v>
      </c>
      <c r="E8893" s="8" t="str">
        <f>IFERROR(__xludf.DUMMYFUNCTION("""COMPUTED_VALUE"""),"Real")</f>
        <v>Real</v>
      </c>
      <c r="G8893" s="8">
        <f t="shared" si="1"/>
        <v>11</v>
      </c>
      <c r="H8893" s="14">
        <f t="shared" si="2"/>
        <v>6</v>
      </c>
      <c r="I8893" s="15">
        <f t="shared" si="3"/>
        <v>12</v>
      </c>
    </row>
    <row r="8894">
      <c r="A8894" s="8" t="str">
        <f>IFERROR(__xludf.DUMMYFUNCTION("IF('(INGESTA)Datos_consumo_datadis'!A8894&lt;&gt;"""",SPLIT('(INGESTA)Datos_consumo_datadis'!A:A,"",""),"""")"),"ES0031408323131005HX0F")</f>
        <v>ES0031408323131005HX0F</v>
      </c>
      <c r="B8894" s="12">
        <f>IFERROR(__xludf.DUMMYFUNCTION("""COMPUTED_VALUE"""),45236.0)</f>
        <v>45236</v>
      </c>
      <c r="C8894" s="13">
        <f>IFERROR(__xludf.DUMMYFUNCTION("""COMPUTED_VALUE"""),0.5416666666666666)</f>
        <v>0.5416666667</v>
      </c>
      <c r="D8894" s="8">
        <f>IFERROR(__xludf.DUMMYFUNCTION("""COMPUTED_VALUE"""),0.073)</f>
        <v>0.073</v>
      </c>
      <c r="E8894" s="8" t="str">
        <f>IFERROR(__xludf.DUMMYFUNCTION("""COMPUTED_VALUE"""),"Real")</f>
        <v>Real</v>
      </c>
      <c r="G8894" s="8">
        <f t="shared" si="1"/>
        <v>11</v>
      </c>
      <c r="H8894" s="14">
        <f t="shared" si="2"/>
        <v>6</v>
      </c>
      <c r="I8894" s="15">
        <f t="shared" si="3"/>
        <v>13</v>
      </c>
    </row>
    <row r="8895">
      <c r="A8895" s="8" t="str">
        <f>IFERROR(__xludf.DUMMYFUNCTION("IF('(INGESTA)Datos_consumo_datadis'!A8895&lt;&gt;"""",SPLIT('(INGESTA)Datos_consumo_datadis'!A:A,"",""),"""")"),"ES0031408323131005HX0F")</f>
        <v>ES0031408323131005HX0F</v>
      </c>
      <c r="B8895" s="12">
        <f>IFERROR(__xludf.DUMMYFUNCTION("""COMPUTED_VALUE"""),45236.0)</f>
        <v>45236</v>
      </c>
      <c r="C8895" s="13">
        <f>IFERROR(__xludf.DUMMYFUNCTION("""COMPUTED_VALUE"""),0.5833333333333334)</f>
        <v>0.5833333333</v>
      </c>
      <c r="D8895" s="8">
        <f>IFERROR(__xludf.DUMMYFUNCTION("""COMPUTED_VALUE"""),0.022)</f>
        <v>0.022</v>
      </c>
      <c r="E8895" s="8" t="str">
        <f>IFERROR(__xludf.DUMMYFUNCTION("""COMPUTED_VALUE"""),"Real")</f>
        <v>Real</v>
      </c>
      <c r="G8895" s="8">
        <f t="shared" si="1"/>
        <v>11</v>
      </c>
      <c r="H8895" s="14">
        <f t="shared" si="2"/>
        <v>6</v>
      </c>
      <c r="I8895" s="15">
        <f t="shared" si="3"/>
        <v>14</v>
      </c>
    </row>
    <row r="8896">
      <c r="A8896" s="8" t="str">
        <f>IFERROR(__xludf.DUMMYFUNCTION("IF('(INGESTA)Datos_consumo_datadis'!A8896&lt;&gt;"""",SPLIT('(INGESTA)Datos_consumo_datadis'!A:A,"",""),"""")"),"ES0031408323131005HX0F")</f>
        <v>ES0031408323131005HX0F</v>
      </c>
      <c r="B8896" s="12">
        <f>IFERROR(__xludf.DUMMYFUNCTION("""COMPUTED_VALUE"""),45236.0)</f>
        <v>45236</v>
      </c>
      <c r="C8896" s="13">
        <f>IFERROR(__xludf.DUMMYFUNCTION("""COMPUTED_VALUE"""),0.625)</f>
        <v>0.625</v>
      </c>
      <c r="D8896" s="8">
        <f>IFERROR(__xludf.DUMMYFUNCTION("""COMPUTED_VALUE"""),0.102)</f>
        <v>0.102</v>
      </c>
      <c r="E8896" s="8" t="str">
        <f>IFERROR(__xludf.DUMMYFUNCTION("""COMPUTED_VALUE"""),"Real")</f>
        <v>Real</v>
      </c>
      <c r="G8896" s="8">
        <f t="shared" si="1"/>
        <v>11</v>
      </c>
      <c r="H8896" s="14">
        <f t="shared" si="2"/>
        <v>6</v>
      </c>
      <c r="I8896" s="15">
        <f t="shared" si="3"/>
        <v>15</v>
      </c>
    </row>
    <row r="8897">
      <c r="A8897" s="8" t="str">
        <f>IFERROR(__xludf.DUMMYFUNCTION("IF('(INGESTA)Datos_consumo_datadis'!A8897&lt;&gt;"""",SPLIT('(INGESTA)Datos_consumo_datadis'!A:A,"",""),"""")"),"ES0031408323131005HX0F")</f>
        <v>ES0031408323131005HX0F</v>
      </c>
      <c r="B8897" s="12">
        <f>IFERROR(__xludf.DUMMYFUNCTION("""COMPUTED_VALUE"""),45236.0)</f>
        <v>45236</v>
      </c>
      <c r="C8897" s="13">
        <f>IFERROR(__xludf.DUMMYFUNCTION("""COMPUTED_VALUE"""),0.6666666666666666)</f>
        <v>0.6666666667</v>
      </c>
      <c r="D8897" s="8">
        <f>IFERROR(__xludf.DUMMYFUNCTION("""COMPUTED_VALUE"""),0.365)</f>
        <v>0.365</v>
      </c>
      <c r="E8897" s="8" t="str">
        <f>IFERROR(__xludf.DUMMYFUNCTION("""COMPUTED_VALUE"""),"Real")</f>
        <v>Real</v>
      </c>
      <c r="G8897" s="8">
        <f t="shared" si="1"/>
        <v>11</v>
      </c>
      <c r="H8897" s="14">
        <f t="shared" si="2"/>
        <v>6</v>
      </c>
      <c r="I8897" s="15">
        <f t="shared" si="3"/>
        <v>16</v>
      </c>
    </row>
    <row r="8898">
      <c r="A8898" s="8" t="str">
        <f>IFERROR(__xludf.DUMMYFUNCTION("IF('(INGESTA)Datos_consumo_datadis'!A8898&lt;&gt;"""",SPLIT('(INGESTA)Datos_consumo_datadis'!A:A,"",""),"""")"),"ES0031408323131005HX0F")</f>
        <v>ES0031408323131005HX0F</v>
      </c>
      <c r="B8898" s="12">
        <f>IFERROR(__xludf.DUMMYFUNCTION("""COMPUTED_VALUE"""),45236.0)</f>
        <v>45236</v>
      </c>
      <c r="C8898" s="13">
        <f>IFERROR(__xludf.DUMMYFUNCTION("""COMPUTED_VALUE"""),0.7083333333333334)</f>
        <v>0.7083333333</v>
      </c>
      <c r="D8898" s="8">
        <f>IFERROR(__xludf.DUMMYFUNCTION("""COMPUTED_VALUE"""),0.021)</f>
        <v>0.021</v>
      </c>
      <c r="E8898" s="8" t="str">
        <f>IFERROR(__xludf.DUMMYFUNCTION("""COMPUTED_VALUE"""),"Real")</f>
        <v>Real</v>
      </c>
      <c r="G8898" s="8">
        <f t="shared" si="1"/>
        <v>11</v>
      </c>
      <c r="H8898" s="14">
        <f t="shared" si="2"/>
        <v>6</v>
      </c>
      <c r="I8898" s="15">
        <f t="shared" si="3"/>
        <v>17</v>
      </c>
    </row>
    <row r="8899">
      <c r="A8899" s="8" t="str">
        <f>IFERROR(__xludf.DUMMYFUNCTION("IF('(INGESTA)Datos_consumo_datadis'!A8899&lt;&gt;"""",SPLIT('(INGESTA)Datos_consumo_datadis'!A:A,"",""),"""")"),"ES0031408323131005HX0F")</f>
        <v>ES0031408323131005HX0F</v>
      </c>
      <c r="B8899" s="12">
        <f>IFERROR(__xludf.DUMMYFUNCTION("""COMPUTED_VALUE"""),45236.0)</f>
        <v>45236</v>
      </c>
      <c r="C8899" s="13">
        <f>IFERROR(__xludf.DUMMYFUNCTION("""COMPUTED_VALUE"""),0.75)</f>
        <v>0.75</v>
      </c>
      <c r="D8899" s="8">
        <f>IFERROR(__xludf.DUMMYFUNCTION("""COMPUTED_VALUE"""),0.075)</f>
        <v>0.075</v>
      </c>
      <c r="E8899" s="8" t="str">
        <f>IFERROR(__xludf.DUMMYFUNCTION("""COMPUTED_VALUE"""),"Real")</f>
        <v>Real</v>
      </c>
      <c r="G8899" s="8">
        <f t="shared" si="1"/>
        <v>11</v>
      </c>
      <c r="H8899" s="14">
        <f t="shared" si="2"/>
        <v>6</v>
      </c>
      <c r="I8899" s="15">
        <f t="shared" si="3"/>
        <v>18</v>
      </c>
    </row>
    <row r="8900">
      <c r="A8900" s="8" t="str">
        <f>IFERROR(__xludf.DUMMYFUNCTION("IF('(INGESTA)Datos_consumo_datadis'!A8900&lt;&gt;"""",SPLIT('(INGESTA)Datos_consumo_datadis'!A:A,"",""),"""")"),"ES0031408323131005HX0F")</f>
        <v>ES0031408323131005HX0F</v>
      </c>
      <c r="B8900" s="12">
        <f>IFERROR(__xludf.DUMMYFUNCTION("""COMPUTED_VALUE"""),45236.0)</f>
        <v>45236</v>
      </c>
      <c r="C8900" s="13">
        <f>IFERROR(__xludf.DUMMYFUNCTION("""COMPUTED_VALUE"""),0.7916666666666666)</f>
        <v>0.7916666667</v>
      </c>
      <c r="D8900" s="8">
        <f>IFERROR(__xludf.DUMMYFUNCTION("""COMPUTED_VALUE"""),0.074)</f>
        <v>0.074</v>
      </c>
      <c r="E8900" s="8" t="str">
        <f>IFERROR(__xludf.DUMMYFUNCTION("""COMPUTED_VALUE"""),"Real")</f>
        <v>Real</v>
      </c>
      <c r="G8900" s="8">
        <f t="shared" si="1"/>
        <v>11</v>
      </c>
      <c r="H8900" s="14">
        <f t="shared" si="2"/>
        <v>6</v>
      </c>
      <c r="I8900" s="15">
        <f t="shared" si="3"/>
        <v>19</v>
      </c>
    </row>
    <row r="8901">
      <c r="A8901" s="8" t="str">
        <f>IFERROR(__xludf.DUMMYFUNCTION("IF('(INGESTA)Datos_consumo_datadis'!A8901&lt;&gt;"""",SPLIT('(INGESTA)Datos_consumo_datadis'!A:A,"",""),"""")"),"ES0031408323131005HX0F")</f>
        <v>ES0031408323131005HX0F</v>
      </c>
      <c r="B8901" s="12">
        <f>IFERROR(__xludf.DUMMYFUNCTION("""COMPUTED_VALUE"""),45236.0)</f>
        <v>45236</v>
      </c>
      <c r="C8901" s="13">
        <f>IFERROR(__xludf.DUMMYFUNCTION("""COMPUTED_VALUE"""),0.8333333333333334)</f>
        <v>0.8333333333</v>
      </c>
      <c r="D8901" s="8">
        <f>IFERROR(__xludf.DUMMYFUNCTION("""COMPUTED_VALUE"""),0.087)</f>
        <v>0.087</v>
      </c>
      <c r="E8901" s="8" t="str">
        <f>IFERROR(__xludf.DUMMYFUNCTION("""COMPUTED_VALUE"""),"Real")</f>
        <v>Real</v>
      </c>
      <c r="G8901" s="8">
        <f t="shared" si="1"/>
        <v>11</v>
      </c>
      <c r="H8901" s="14">
        <f t="shared" si="2"/>
        <v>6</v>
      </c>
      <c r="I8901" s="15">
        <f t="shared" si="3"/>
        <v>20</v>
      </c>
    </row>
    <row r="8902">
      <c r="A8902" s="8" t="str">
        <f>IFERROR(__xludf.DUMMYFUNCTION("IF('(INGESTA)Datos_consumo_datadis'!A8902&lt;&gt;"""",SPLIT('(INGESTA)Datos_consumo_datadis'!A:A,"",""),"""")"),"ES0031408323131005HX0F")</f>
        <v>ES0031408323131005HX0F</v>
      </c>
      <c r="B8902" s="12">
        <f>IFERROR(__xludf.DUMMYFUNCTION("""COMPUTED_VALUE"""),45236.0)</f>
        <v>45236</v>
      </c>
      <c r="C8902" s="13">
        <f>IFERROR(__xludf.DUMMYFUNCTION("""COMPUTED_VALUE"""),0.875)</f>
        <v>0.875</v>
      </c>
      <c r="D8902" s="8">
        <f>IFERROR(__xludf.DUMMYFUNCTION("""COMPUTED_VALUE"""),0.085)</f>
        <v>0.085</v>
      </c>
      <c r="E8902" s="8" t="str">
        <f>IFERROR(__xludf.DUMMYFUNCTION("""COMPUTED_VALUE"""),"Real")</f>
        <v>Real</v>
      </c>
      <c r="G8902" s="8">
        <f t="shared" si="1"/>
        <v>11</v>
      </c>
      <c r="H8902" s="14">
        <f t="shared" si="2"/>
        <v>6</v>
      </c>
      <c r="I8902" s="15">
        <f t="shared" si="3"/>
        <v>21</v>
      </c>
    </row>
    <row r="8903">
      <c r="A8903" s="8" t="str">
        <f>IFERROR(__xludf.DUMMYFUNCTION("IF('(INGESTA)Datos_consumo_datadis'!A8903&lt;&gt;"""",SPLIT('(INGESTA)Datos_consumo_datadis'!A:A,"",""),"""")"),"ES0031408323131005HX0F")</f>
        <v>ES0031408323131005HX0F</v>
      </c>
      <c r="B8903" s="12">
        <f>IFERROR(__xludf.DUMMYFUNCTION("""COMPUTED_VALUE"""),45236.0)</f>
        <v>45236</v>
      </c>
      <c r="C8903" s="13">
        <f>IFERROR(__xludf.DUMMYFUNCTION("""COMPUTED_VALUE"""),0.9166666666666666)</f>
        <v>0.9166666667</v>
      </c>
      <c r="D8903" s="8">
        <f>IFERROR(__xludf.DUMMYFUNCTION("""COMPUTED_VALUE"""),1.446)</f>
        <v>1.446</v>
      </c>
      <c r="E8903" s="8" t="str">
        <f>IFERROR(__xludf.DUMMYFUNCTION("""COMPUTED_VALUE"""),"Real")</f>
        <v>Real</v>
      </c>
      <c r="G8903" s="8">
        <f t="shared" si="1"/>
        <v>11</v>
      </c>
      <c r="H8903" s="14">
        <f t="shared" si="2"/>
        <v>6</v>
      </c>
      <c r="I8903" s="15">
        <f t="shared" si="3"/>
        <v>22</v>
      </c>
    </row>
    <row r="8904">
      <c r="A8904" s="8" t="str">
        <f>IFERROR(__xludf.DUMMYFUNCTION("IF('(INGESTA)Datos_consumo_datadis'!A8904&lt;&gt;"""",SPLIT('(INGESTA)Datos_consumo_datadis'!A:A,"",""),"""")"),"ES0031408323131005HX0F")</f>
        <v>ES0031408323131005HX0F</v>
      </c>
      <c r="B8904" s="12">
        <f>IFERROR(__xludf.DUMMYFUNCTION("""COMPUTED_VALUE"""),45236.0)</f>
        <v>45236</v>
      </c>
      <c r="C8904" s="13">
        <f>IFERROR(__xludf.DUMMYFUNCTION("""COMPUTED_VALUE"""),0.9583333333333334)</f>
        <v>0.9583333333</v>
      </c>
      <c r="D8904" s="8">
        <f>IFERROR(__xludf.DUMMYFUNCTION("""COMPUTED_VALUE"""),1.309)</f>
        <v>1.309</v>
      </c>
      <c r="E8904" s="8" t="str">
        <f>IFERROR(__xludf.DUMMYFUNCTION("""COMPUTED_VALUE"""),"Real")</f>
        <v>Real</v>
      </c>
      <c r="G8904" s="8">
        <f t="shared" si="1"/>
        <v>11</v>
      </c>
      <c r="H8904" s="14">
        <f t="shared" si="2"/>
        <v>6</v>
      </c>
      <c r="I8904" s="15">
        <f t="shared" si="3"/>
        <v>23</v>
      </c>
    </row>
    <row r="8905">
      <c r="A8905" s="8" t="str">
        <f>IFERROR(__xludf.DUMMYFUNCTION("IF('(INGESTA)Datos_consumo_datadis'!A8905&lt;&gt;"""",SPLIT('(INGESTA)Datos_consumo_datadis'!A:A,"",""),"""")"),"ES0031408323131005HX0F")</f>
        <v>ES0031408323131005HX0F</v>
      </c>
      <c r="B8905" s="12">
        <f>IFERROR(__xludf.DUMMYFUNCTION("""COMPUTED_VALUE"""),45236.0)</f>
        <v>45236</v>
      </c>
      <c r="C8905" s="16">
        <f>IFERROR(__xludf.DUMMYFUNCTION("""COMPUTED_VALUE"""),1.0)</f>
        <v>1</v>
      </c>
      <c r="D8905" s="8">
        <f>IFERROR(__xludf.DUMMYFUNCTION("""COMPUTED_VALUE"""),0.049)</f>
        <v>0.049</v>
      </c>
      <c r="E8905" s="8" t="str">
        <f>IFERROR(__xludf.DUMMYFUNCTION("""COMPUTED_VALUE"""),"Real")</f>
        <v>Real</v>
      </c>
      <c r="G8905" s="8">
        <f t="shared" si="1"/>
        <v>11</v>
      </c>
      <c r="H8905" s="14">
        <f t="shared" si="2"/>
        <v>6</v>
      </c>
      <c r="I8905" s="15">
        <f t="shared" si="3"/>
        <v>0</v>
      </c>
    </row>
    <row r="8906">
      <c r="A8906" s="8" t="str">
        <f>IFERROR(__xludf.DUMMYFUNCTION("IF('(INGESTA)Datos_consumo_datadis'!A8906&lt;&gt;"""",SPLIT('(INGESTA)Datos_consumo_datadis'!A:A,"",""),"""")"),"ES0031408323131005HX0F")</f>
        <v>ES0031408323131005HX0F</v>
      </c>
      <c r="B8906" s="12">
        <f>IFERROR(__xludf.DUMMYFUNCTION("""COMPUTED_VALUE"""),45237.0)</f>
        <v>45237</v>
      </c>
      <c r="C8906" s="13">
        <f>IFERROR(__xludf.DUMMYFUNCTION("""COMPUTED_VALUE"""),0.041666666666666664)</f>
        <v>0.04166666667</v>
      </c>
      <c r="D8906" s="8">
        <f>IFERROR(__xludf.DUMMYFUNCTION("""COMPUTED_VALUE"""),0.092)</f>
        <v>0.092</v>
      </c>
      <c r="E8906" s="8" t="str">
        <f>IFERROR(__xludf.DUMMYFUNCTION("""COMPUTED_VALUE"""),"Real")</f>
        <v>Real</v>
      </c>
      <c r="G8906" s="8">
        <f t="shared" si="1"/>
        <v>11</v>
      </c>
      <c r="H8906" s="14">
        <f t="shared" si="2"/>
        <v>7</v>
      </c>
      <c r="I8906" s="15">
        <f t="shared" si="3"/>
        <v>1</v>
      </c>
    </row>
    <row r="8907">
      <c r="A8907" s="8" t="str">
        <f>IFERROR(__xludf.DUMMYFUNCTION("IF('(INGESTA)Datos_consumo_datadis'!A8907&lt;&gt;"""",SPLIT('(INGESTA)Datos_consumo_datadis'!A:A,"",""),"""")"),"ES0031408323131005HX0F")</f>
        <v>ES0031408323131005HX0F</v>
      </c>
      <c r="B8907" s="12">
        <f>IFERROR(__xludf.DUMMYFUNCTION("""COMPUTED_VALUE"""),45237.0)</f>
        <v>45237</v>
      </c>
      <c r="C8907" s="13">
        <f>IFERROR(__xludf.DUMMYFUNCTION("""COMPUTED_VALUE"""),0.08333333333333333)</f>
        <v>0.08333333333</v>
      </c>
      <c r="D8907" s="8">
        <f>IFERROR(__xludf.DUMMYFUNCTION("""COMPUTED_VALUE"""),0.069)</f>
        <v>0.069</v>
      </c>
      <c r="E8907" s="8" t="str">
        <f>IFERROR(__xludf.DUMMYFUNCTION("""COMPUTED_VALUE"""),"Real")</f>
        <v>Real</v>
      </c>
      <c r="G8907" s="8">
        <f t="shared" si="1"/>
        <v>11</v>
      </c>
      <c r="H8907" s="14">
        <f t="shared" si="2"/>
        <v>7</v>
      </c>
      <c r="I8907" s="15">
        <f t="shared" si="3"/>
        <v>2</v>
      </c>
    </row>
    <row r="8908">
      <c r="A8908" s="8" t="str">
        <f>IFERROR(__xludf.DUMMYFUNCTION("IF('(INGESTA)Datos_consumo_datadis'!A8908&lt;&gt;"""",SPLIT('(INGESTA)Datos_consumo_datadis'!A:A,"",""),"""")"),"ES0031408323131005HX0F")</f>
        <v>ES0031408323131005HX0F</v>
      </c>
      <c r="B8908" s="12">
        <f>IFERROR(__xludf.DUMMYFUNCTION("""COMPUTED_VALUE"""),45237.0)</f>
        <v>45237</v>
      </c>
      <c r="C8908" s="13">
        <f>IFERROR(__xludf.DUMMYFUNCTION("""COMPUTED_VALUE"""),0.125)</f>
        <v>0.125</v>
      </c>
      <c r="D8908" s="8">
        <f>IFERROR(__xludf.DUMMYFUNCTION("""COMPUTED_VALUE"""),0.111)</f>
        <v>0.111</v>
      </c>
      <c r="E8908" s="8" t="str">
        <f>IFERROR(__xludf.DUMMYFUNCTION("""COMPUTED_VALUE"""),"Real")</f>
        <v>Real</v>
      </c>
      <c r="G8908" s="8">
        <f t="shared" si="1"/>
        <v>11</v>
      </c>
      <c r="H8908" s="14">
        <f t="shared" si="2"/>
        <v>7</v>
      </c>
      <c r="I8908" s="15">
        <f t="shared" si="3"/>
        <v>3</v>
      </c>
    </row>
    <row r="8909">
      <c r="A8909" s="8" t="str">
        <f>IFERROR(__xludf.DUMMYFUNCTION("IF('(INGESTA)Datos_consumo_datadis'!A8909&lt;&gt;"""",SPLIT('(INGESTA)Datos_consumo_datadis'!A:A,"",""),"""")"),"ES0031408323131005HX0F")</f>
        <v>ES0031408323131005HX0F</v>
      </c>
      <c r="B8909" s="12">
        <f>IFERROR(__xludf.DUMMYFUNCTION("""COMPUTED_VALUE"""),45237.0)</f>
        <v>45237</v>
      </c>
      <c r="C8909" s="13">
        <f>IFERROR(__xludf.DUMMYFUNCTION("""COMPUTED_VALUE"""),0.16666666666666666)</f>
        <v>0.1666666667</v>
      </c>
      <c r="D8909" s="8">
        <f>IFERROR(__xludf.DUMMYFUNCTION("""COMPUTED_VALUE"""),0.386)</f>
        <v>0.386</v>
      </c>
      <c r="E8909" s="8" t="str">
        <f>IFERROR(__xludf.DUMMYFUNCTION("""COMPUTED_VALUE"""),"Real")</f>
        <v>Real</v>
      </c>
      <c r="G8909" s="8">
        <f t="shared" si="1"/>
        <v>11</v>
      </c>
      <c r="H8909" s="14">
        <f t="shared" si="2"/>
        <v>7</v>
      </c>
      <c r="I8909" s="15">
        <f t="shared" si="3"/>
        <v>4</v>
      </c>
    </row>
    <row r="8910">
      <c r="A8910" s="8" t="str">
        <f>IFERROR(__xludf.DUMMYFUNCTION("IF('(INGESTA)Datos_consumo_datadis'!A8910&lt;&gt;"""",SPLIT('(INGESTA)Datos_consumo_datadis'!A:A,"",""),"""")"),"ES0031408323131005HX0F")</f>
        <v>ES0031408323131005HX0F</v>
      </c>
      <c r="B8910" s="12">
        <f>IFERROR(__xludf.DUMMYFUNCTION("""COMPUTED_VALUE"""),45237.0)</f>
        <v>45237</v>
      </c>
      <c r="C8910" s="13">
        <f>IFERROR(__xludf.DUMMYFUNCTION("""COMPUTED_VALUE"""),0.20833333333333334)</f>
        <v>0.2083333333</v>
      </c>
      <c r="D8910" s="8">
        <f>IFERROR(__xludf.DUMMYFUNCTION("""COMPUTED_VALUE"""),0.081)</f>
        <v>0.081</v>
      </c>
      <c r="E8910" s="8" t="str">
        <f>IFERROR(__xludf.DUMMYFUNCTION("""COMPUTED_VALUE"""),"Real")</f>
        <v>Real</v>
      </c>
      <c r="G8910" s="8">
        <f t="shared" si="1"/>
        <v>11</v>
      </c>
      <c r="H8910" s="14">
        <f t="shared" si="2"/>
        <v>7</v>
      </c>
      <c r="I8910" s="15">
        <f t="shared" si="3"/>
        <v>5</v>
      </c>
    </row>
    <row r="8911">
      <c r="A8911" s="8" t="str">
        <f>IFERROR(__xludf.DUMMYFUNCTION("IF('(INGESTA)Datos_consumo_datadis'!A8911&lt;&gt;"""",SPLIT('(INGESTA)Datos_consumo_datadis'!A:A,"",""),"""")"),"ES0031408323131005HX0F")</f>
        <v>ES0031408323131005HX0F</v>
      </c>
      <c r="B8911" s="12">
        <f>IFERROR(__xludf.DUMMYFUNCTION("""COMPUTED_VALUE"""),45237.0)</f>
        <v>45237</v>
      </c>
      <c r="C8911" s="13">
        <f>IFERROR(__xludf.DUMMYFUNCTION("""COMPUTED_VALUE"""),0.25)</f>
        <v>0.25</v>
      </c>
      <c r="D8911" s="8">
        <f>IFERROR(__xludf.DUMMYFUNCTION("""COMPUTED_VALUE"""),0.062)</f>
        <v>0.062</v>
      </c>
      <c r="E8911" s="8" t="str">
        <f>IFERROR(__xludf.DUMMYFUNCTION("""COMPUTED_VALUE"""),"Real")</f>
        <v>Real</v>
      </c>
      <c r="G8911" s="8">
        <f t="shared" si="1"/>
        <v>11</v>
      </c>
      <c r="H8911" s="14">
        <f t="shared" si="2"/>
        <v>7</v>
      </c>
      <c r="I8911" s="15">
        <f t="shared" si="3"/>
        <v>6</v>
      </c>
    </row>
    <row r="8912">
      <c r="A8912" s="8" t="str">
        <f>IFERROR(__xludf.DUMMYFUNCTION("IF('(INGESTA)Datos_consumo_datadis'!A8912&lt;&gt;"""",SPLIT('(INGESTA)Datos_consumo_datadis'!A:A,"",""),"""")"),"ES0031408323131005HX0F")</f>
        <v>ES0031408323131005HX0F</v>
      </c>
      <c r="B8912" s="12">
        <f>IFERROR(__xludf.DUMMYFUNCTION("""COMPUTED_VALUE"""),45237.0)</f>
        <v>45237</v>
      </c>
      <c r="C8912" s="13">
        <f>IFERROR(__xludf.DUMMYFUNCTION("""COMPUTED_VALUE"""),0.2916666666666667)</f>
        <v>0.2916666667</v>
      </c>
      <c r="D8912" s="8">
        <f>IFERROR(__xludf.DUMMYFUNCTION("""COMPUTED_VALUE"""),0.061)</f>
        <v>0.061</v>
      </c>
      <c r="E8912" s="8" t="str">
        <f>IFERROR(__xludf.DUMMYFUNCTION("""COMPUTED_VALUE"""),"Real")</f>
        <v>Real</v>
      </c>
      <c r="G8912" s="8">
        <f t="shared" si="1"/>
        <v>11</v>
      </c>
      <c r="H8912" s="14">
        <f t="shared" si="2"/>
        <v>7</v>
      </c>
      <c r="I8912" s="15">
        <f t="shared" si="3"/>
        <v>7</v>
      </c>
    </row>
    <row r="8913">
      <c r="A8913" s="8" t="str">
        <f>IFERROR(__xludf.DUMMYFUNCTION("IF('(INGESTA)Datos_consumo_datadis'!A8913&lt;&gt;"""",SPLIT('(INGESTA)Datos_consumo_datadis'!A:A,"",""),"""")"),"ES0031408323131005HX0F")</f>
        <v>ES0031408323131005HX0F</v>
      </c>
      <c r="B8913" s="12">
        <f>IFERROR(__xludf.DUMMYFUNCTION("""COMPUTED_VALUE"""),45237.0)</f>
        <v>45237</v>
      </c>
      <c r="C8913" s="13">
        <f>IFERROR(__xludf.DUMMYFUNCTION("""COMPUTED_VALUE"""),0.3333333333333333)</f>
        <v>0.3333333333</v>
      </c>
      <c r="D8913" s="8">
        <f>IFERROR(__xludf.DUMMYFUNCTION("""COMPUTED_VALUE"""),0.401)</f>
        <v>0.401</v>
      </c>
      <c r="E8913" s="8" t="str">
        <f>IFERROR(__xludf.DUMMYFUNCTION("""COMPUTED_VALUE"""),"Real")</f>
        <v>Real</v>
      </c>
      <c r="G8913" s="8">
        <f t="shared" si="1"/>
        <v>11</v>
      </c>
      <c r="H8913" s="14">
        <f t="shared" si="2"/>
        <v>7</v>
      </c>
      <c r="I8913" s="15">
        <f t="shared" si="3"/>
        <v>8</v>
      </c>
    </row>
    <row r="8914">
      <c r="A8914" s="8" t="str">
        <f>IFERROR(__xludf.DUMMYFUNCTION("IF('(INGESTA)Datos_consumo_datadis'!A8914&lt;&gt;"""",SPLIT('(INGESTA)Datos_consumo_datadis'!A:A,"",""),"""")"),"ES0031408323131005HX0F")</f>
        <v>ES0031408323131005HX0F</v>
      </c>
      <c r="B8914" s="12">
        <f>IFERROR(__xludf.DUMMYFUNCTION("""COMPUTED_VALUE"""),45237.0)</f>
        <v>45237</v>
      </c>
      <c r="C8914" s="13">
        <f>IFERROR(__xludf.DUMMYFUNCTION("""COMPUTED_VALUE"""),0.375)</f>
        <v>0.375</v>
      </c>
      <c r="D8914" s="8">
        <f>IFERROR(__xludf.DUMMYFUNCTION("""COMPUTED_VALUE"""),0.166)</f>
        <v>0.166</v>
      </c>
      <c r="E8914" s="8" t="str">
        <f>IFERROR(__xludf.DUMMYFUNCTION("""COMPUTED_VALUE"""),"Real")</f>
        <v>Real</v>
      </c>
      <c r="G8914" s="8">
        <f t="shared" si="1"/>
        <v>11</v>
      </c>
      <c r="H8914" s="14">
        <f t="shared" si="2"/>
        <v>7</v>
      </c>
      <c r="I8914" s="15">
        <f t="shared" si="3"/>
        <v>9</v>
      </c>
    </row>
    <row r="8915">
      <c r="A8915" s="8" t="str">
        <f>IFERROR(__xludf.DUMMYFUNCTION("IF('(INGESTA)Datos_consumo_datadis'!A8915&lt;&gt;"""",SPLIT('(INGESTA)Datos_consumo_datadis'!A:A,"",""),"""")"),"ES0031408323131005HX0F")</f>
        <v>ES0031408323131005HX0F</v>
      </c>
      <c r="B8915" s="12">
        <f>IFERROR(__xludf.DUMMYFUNCTION("""COMPUTED_VALUE"""),45237.0)</f>
        <v>45237</v>
      </c>
      <c r="C8915" s="13">
        <f>IFERROR(__xludf.DUMMYFUNCTION("""COMPUTED_VALUE"""),0.4166666666666667)</f>
        <v>0.4166666667</v>
      </c>
      <c r="D8915" s="8">
        <f>IFERROR(__xludf.DUMMYFUNCTION("""COMPUTED_VALUE"""),0.037)</f>
        <v>0.037</v>
      </c>
      <c r="E8915" s="8" t="str">
        <f>IFERROR(__xludf.DUMMYFUNCTION("""COMPUTED_VALUE"""),"Real")</f>
        <v>Real</v>
      </c>
      <c r="G8915" s="8">
        <f t="shared" si="1"/>
        <v>11</v>
      </c>
      <c r="H8915" s="14">
        <f t="shared" si="2"/>
        <v>7</v>
      </c>
      <c r="I8915" s="15">
        <f t="shared" si="3"/>
        <v>10</v>
      </c>
    </row>
    <row r="8916">
      <c r="A8916" s="8" t="str">
        <f>IFERROR(__xludf.DUMMYFUNCTION("IF('(INGESTA)Datos_consumo_datadis'!A8916&lt;&gt;"""",SPLIT('(INGESTA)Datos_consumo_datadis'!A:A,"",""),"""")"),"ES0031408323131005HX0F")</f>
        <v>ES0031408323131005HX0F</v>
      </c>
      <c r="B8916" s="12">
        <f>IFERROR(__xludf.DUMMYFUNCTION("""COMPUTED_VALUE"""),45237.0)</f>
        <v>45237</v>
      </c>
      <c r="C8916" s="13">
        <f>IFERROR(__xludf.DUMMYFUNCTION("""COMPUTED_VALUE"""),0.4583333333333333)</f>
        <v>0.4583333333</v>
      </c>
      <c r="D8916" s="8">
        <f>IFERROR(__xludf.DUMMYFUNCTION("""COMPUTED_VALUE"""),0.084)</f>
        <v>0.084</v>
      </c>
      <c r="E8916" s="8" t="str">
        <f>IFERROR(__xludf.DUMMYFUNCTION("""COMPUTED_VALUE"""),"Real")</f>
        <v>Real</v>
      </c>
      <c r="G8916" s="8">
        <f t="shared" si="1"/>
        <v>11</v>
      </c>
      <c r="H8916" s="14">
        <f t="shared" si="2"/>
        <v>7</v>
      </c>
      <c r="I8916" s="15">
        <f t="shared" si="3"/>
        <v>11</v>
      </c>
    </row>
    <row r="8917">
      <c r="A8917" s="8" t="str">
        <f>IFERROR(__xludf.DUMMYFUNCTION("IF('(INGESTA)Datos_consumo_datadis'!A8917&lt;&gt;"""",SPLIT('(INGESTA)Datos_consumo_datadis'!A:A,"",""),"""")"),"ES0031408323131005HX0F")</f>
        <v>ES0031408323131005HX0F</v>
      </c>
      <c r="B8917" s="12">
        <f>IFERROR(__xludf.DUMMYFUNCTION("""COMPUTED_VALUE"""),45237.0)</f>
        <v>45237</v>
      </c>
      <c r="C8917" s="13">
        <f>IFERROR(__xludf.DUMMYFUNCTION("""COMPUTED_VALUE"""),0.5)</f>
        <v>0.5</v>
      </c>
      <c r="D8917" s="8">
        <f>IFERROR(__xludf.DUMMYFUNCTION("""COMPUTED_VALUE"""),0.058)</f>
        <v>0.058</v>
      </c>
      <c r="E8917" s="8" t="str">
        <f>IFERROR(__xludf.DUMMYFUNCTION("""COMPUTED_VALUE"""),"Real")</f>
        <v>Real</v>
      </c>
      <c r="G8917" s="8">
        <f t="shared" si="1"/>
        <v>11</v>
      </c>
      <c r="H8917" s="14">
        <f t="shared" si="2"/>
        <v>7</v>
      </c>
      <c r="I8917" s="15">
        <f t="shared" si="3"/>
        <v>12</v>
      </c>
    </row>
    <row r="8918">
      <c r="A8918" s="8" t="str">
        <f>IFERROR(__xludf.DUMMYFUNCTION("IF('(INGESTA)Datos_consumo_datadis'!A8918&lt;&gt;"""",SPLIT('(INGESTA)Datos_consumo_datadis'!A:A,"",""),"""")"),"ES0031408323131005HX0F")</f>
        <v>ES0031408323131005HX0F</v>
      </c>
      <c r="B8918" s="12">
        <f>IFERROR(__xludf.DUMMYFUNCTION("""COMPUTED_VALUE"""),45237.0)</f>
        <v>45237</v>
      </c>
      <c r="C8918" s="13">
        <f>IFERROR(__xludf.DUMMYFUNCTION("""COMPUTED_VALUE"""),0.5416666666666666)</f>
        <v>0.5416666667</v>
      </c>
      <c r="D8918" s="8">
        <f>IFERROR(__xludf.DUMMYFUNCTION("""COMPUTED_VALUE"""),0.047)</f>
        <v>0.047</v>
      </c>
      <c r="E8918" s="8" t="str">
        <f>IFERROR(__xludf.DUMMYFUNCTION("""COMPUTED_VALUE"""),"Real")</f>
        <v>Real</v>
      </c>
      <c r="G8918" s="8">
        <f t="shared" si="1"/>
        <v>11</v>
      </c>
      <c r="H8918" s="14">
        <f t="shared" si="2"/>
        <v>7</v>
      </c>
      <c r="I8918" s="15">
        <f t="shared" si="3"/>
        <v>13</v>
      </c>
    </row>
    <row r="8919">
      <c r="A8919" s="8" t="str">
        <f>IFERROR(__xludf.DUMMYFUNCTION("IF('(INGESTA)Datos_consumo_datadis'!A8919&lt;&gt;"""",SPLIT('(INGESTA)Datos_consumo_datadis'!A:A,"",""),"""")"),"ES0031408323131005HX0F")</f>
        <v>ES0031408323131005HX0F</v>
      </c>
      <c r="B8919" s="12">
        <f>IFERROR(__xludf.DUMMYFUNCTION("""COMPUTED_VALUE"""),45237.0)</f>
        <v>45237</v>
      </c>
      <c r="C8919" s="13">
        <f>IFERROR(__xludf.DUMMYFUNCTION("""COMPUTED_VALUE"""),0.5833333333333334)</f>
        <v>0.5833333333</v>
      </c>
      <c r="D8919" s="8">
        <f>IFERROR(__xludf.DUMMYFUNCTION("""COMPUTED_VALUE"""),0.083)</f>
        <v>0.083</v>
      </c>
      <c r="E8919" s="8" t="str">
        <f>IFERROR(__xludf.DUMMYFUNCTION("""COMPUTED_VALUE"""),"Real")</f>
        <v>Real</v>
      </c>
      <c r="G8919" s="8">
        <f t="shared" si="1"/>
        <v>11</v>
      </c>
      <c r="H8919" s="14">
        <f t="shared" si="2"/>
        <v>7</v>
      </c>
      <c r="I8919" s="15">
        <f t="shared" si="3"/>
        <v>14</v>
      </c>
    </row>
    <row r="8920">
      <c r="A8920" s="8" t="str">
        <f>IFERROR(__xludf.DUMMYFUNCTION("IF('(INGESTA)Datos_consumo_datadis'!A8920&lt;&gt;"""",SPLIT('(INGESTA)Datos_consumo_datadis'!A:A,"",""),"""")"),"ES0031408323131005HX0F")</f>
        <v>ES0031408323131005HX0F</v>
      </c>
      <c r="B8920" s="12">
        <f>IFERROR(__xludf.DUMMYFUNCTION("""COMPUTED_VALUE"""),45237.0)</f>
        <v>45237</v>
      </c>
      <c r="C8920" s="13">
        <f>IFERROR(__xludf.DUMMYFUNCTION("""COMPUTED_VALUE"""),0.625)</f>
        <v>0.625</v>
      </c>
      <c r="D8920" s="8">
        <f>IFERROR(__xludf.DUMMYFUNCTION("""COMPUTED_VALUE"""),0.342)</f>
        <v>0.342</v>
      </c>
      <c r="E8920" s="8" t="str">
        <f>IFERROR(__xludf.DUMMYFUNCTION("""COMPUTED_VALUE"""),"Real")</f>
        <v>Real</v>
      </c>
      <c r="G8920" s="8">
        <f t="shared" si="1"/>
        <v>11</v>
      </c>
      <c r="H8920" s="14">
        <f t="shared" si="2"/>
        <v>7</v>
      </c>
      <c r="I8920" s="15">
        <f t="shared" si="3"/>
        <v>15</v>
      </c>
    </row>
    <row r="8921">
      <c r="A8921" s="8" t="str">
        <f>IFERROR(__xludf.DUMMYFUNCTION("IF('(INGESTA)Datos_consumo_datadis'!A8921&lt;&gt;"""",SPLIT('(INGESTA)Datos_consumo_datadis'!A:A,"",""),"""")"),"ES0031408323131005HX0F")</f>
        <v>ES0031408323131005HX0F</v>
      </c>
      <c r="B8921" s="12">
        <f>IFERROR(__xludf.DUMMYFUNCTION("""COMPUTED_VALUE"""),45237.0)</f>
        <v>45237</v>
      </c>
      <c r="C8921" s="13">
        <f>IFERROR(__xludf.DUMMYFUNCTION("""COMPUTED_VALUE"""),0.6666666666666666)</f>
        <v>0.6666666667</v>
      </c>
      <c r="D8921" s="8">
        <f>IFERROR(__xludf.DUMMYFUNCTION("""COMPUTED_VALUE"""),0.051)</f>
        <v>0.051</v>
      </c>
      <c r="E8921" s="8" t="str">
        <f>IFERROR(__xludf.DUMMYFUNCTION("""COMPUTED_VALUE"""),"Real")</f>
        <v>Real</v>
      </c>
      <c r="G8921" s="8">
        <f t="shared" si="1"/>
        <v>11</v>
      </c>
      <c r="H8921" s="14">
        <f t="shared" si="2"/>
        <v>7</v>
      </c>
      <c r="I8921" s="15">
        <f t="shared" si="3"/>
        <v>16</v>
      </c>
    </row>
    <row r="8922">
      <c r="A8922" s="8" t="str">
        <f>IFERROR(__xludf.DUMMYFUNCTION("IF('(INGESTA)Datos_consumo_datadis'!A8922&lt;&gt;"""",SPLIT('(INGESTA)Datos_consumo_datadis'!A:A,"",""),"""")"),"ES0031408323131005HX0F")</f>
        <v>ES0031408323131005HX0F</v>
      </c>
      <c r="B8922" s="12">
        <f>IFERROR(__xludf.DUMMYFUNCTION("""COMPUTED_VALUE"""),45237.0)</f>
        <v>45237</v>
      </c>
      <c r="C8922" s="13">
        <f>IFERROR(__xludf.DUMMYFUNCTION("""COMPUTED_VALUE"""),0.7083333333333334)</f>
        <v>0.7083333333</v>
      </c>
      <c r="D8922" s="8">
        <f>IFERROR(__xludf.DUMMYFUNCTION("""COMPUTED_VALUE"""),0.085)</f>
        <v>0.085</v>
      </c>
      <c r="E8922" s="8" t="str">
        <f>IFERROR(__xludf.DUMMYFUNCTION("""COMPUTED_VALUE"""),"Real")</f>
        <v>Real</v>
      </c>
      <c r="G8922" s="8">
        <f t="shared" si="1"/>
        <v>11</v>
      </c>
      <c r="H8922" s="14">
        <f t="shared" si="2"/>
        <v>7</v>
      </c>
      <c r="I8922" s="15">
        <f t="shared" si="3"/>
        <v>17</v>
      </c>
    </row>
    <row r="8923">
      <c r="A8923" s="8" t="str">
        <f>IFERROR(__xludf.DUMMYFUNCTION("IF('(INGESTA)Datos_consumo_datadis'!A8923&lt;&gt;"""",SPLIT('(INGESTA)Datos_consumo_datadis'!A:A,"",""),"""")"),"ES0031408323131005HX0F")</f>
        <v>ES0031408323131005HX0F</v>
      </c>
      <c r="B8923" s="12">
        <f>IFERROR(__xludf.DUMMYFUNCTION("""COMPUTED_VALUE"""),45237.0)</f>
        <v>45237</v>
      </c>
      <c r="C8923" s="13">
        <f>IFERROR(__xludf.DUMMYFUNCTION("""COMPUTED_VALUE"""),0.75)</f>
        <v>0.75</v>
      </c>
      <c r="D8923" s="8">
        <f>IFERROR(__xludf.DUMMYFUNCTION("""COMPUTED_VALUE"""),0.043)</f>
        <v>0.043</v>
      </c>
      <c r="E8923" s="8" t="str">
        <f>IFERROR(__xludf.DUMMYFUNCTION("""COMPUTED_VALUE"""),"Real")</f>
        <v>Real</v>
      </c>
      <c r="G8923" s="8">
        <f t="shared" si="1"/>
        <v>11</v>
      </c>
      <c r="H8923" s="14">
        <f t="shared" si="2"/>
        <v>7</v>
      </c>
      <c r="I8923" s="15">
        <f t="shared" si="3"/>
        <v>18</v>
      </c>
    </row>
    <row r="8924">
      <c r="A8924" s="8" t="str">
        <f>IFERROR(__xludf.DUMMYFUNCTION("IF('(INGESTA)Datos_consumo_datadis'!A8924&lt;&gt;"""",SPLIT('(INGESTA)Datos_consumo_datadis'!A:A,"",""),"""")"),"ES0031408323131005HX0F")</f>
        <v>ES0031408323131005HX0F</v>
      </c>
      <c r="B8924" s="12">
        <f>IFERROR(__xludf.DUMMYFUNCTION("""COMPUTED_VALUE"""),45237.0)</f>
        <v>45237</v>
      </c>
      <c r="C8924" s="13">
        <f>IFERROR(__xludf.DUMMYFUNCTION("""COMPUTED_VALUE"""),0.7916666666666666)</f>
        <v>0.7916666667</v>
      </c>
      <c r="D8924" s="8">
        <f>IFERROR(__xludf.DUMMYFUNCTION("""COMPUTED_VALUE"""),0.057)</f>
        <v>0.057</v>
      </c>
      <c r="E8924" s="8" t="str">
        <f>IFERROR(__xludf.DUMMYFUNCTION("""COMPUTED_VALUE"""),"Real")</f>
        <v>Real</v>
      </c>
      <c r="G8924" s="8">
        <f t="shared" si="1"/>
        <v>11</v>
      </c>
      <c r="H8924" s="14">
        <f t="shared" si="2"/>
        <v>7</v>
      </c>
      <c r="I8924" s="15">
        <f t="shared" si="3"/>
        <v>19</v>
      </c>
    </row>
    <row r="8925">
      <c r="A8925" s="8" t="str">
        <f>IFERROR(__xludf.DUMMYFUNCTION("IF('(INGESTA)Datos_consumo_datadis'!A8925&lt;&gt;"""",SPLIT('(INGESTA)Datos_consumo_datadis'!A:A,"",""),"""")"),"ES0031408323131005HX0F")</f>
        <v>ES0031408323131005HX0F</v>
      </c>
      <c r="B8925" s="12">
        <f>IFERROR(__xludf.DUMMYFUNCTION("""COMPUTED_VALUE"""),45237.0)</f>
        <v>45237</v>
      </c>
      <c r="C8925" s="13">
        <f>IFERROR(__xludf.DUMMYFUNCTION("""COMPUTED_VALUE"""),0.8333333333333334)</f>
        <v>0.8333333333</v>
      </c>
      <c r="D8925" s="8">
        <f>IFERROR(__xludf.DUMMYFUNCTION("""COMPUTED_VALUE"""),0.142)</f>
        <v>0.142</v>
      </c>
      <c r="E8925" s="8" t="str">
        <f>IFERROR(__xludf.DUMMYFUNCTION("""COMPUTED_VALUE"""),"Real")</f>
        <v>Real</v>
      </c>
      <c r="G8925" s="8">
        <f t="shared" si="1"/>
        <v>11</v>
      </c>
      <c r="H8925" s="14">
        <f t="shared" si="2"/>
        <v>7</v>
      </c>
      <c r="I8925" s="15">
        <f t="shared" si="3"/>
        <v>20</v>
      </c>
    </row>
    <row r="8926">
      <c r="A8926" s="8" t="str">
        <f>IFERROR(__xludf.DUMMYFUNCTION("IF('(INGESTA)Datos_consumo_datadis'!A8926&lt;&gt;"""",SPLIT('(INGESTA)Datos_consumo_datadis'!A:A,"",""),"""")"),"ES0031408323131005HX0F")</f>
        <v>ES0031408323131005HX0F</v>
      </c>
      <c r="B8926" s="12">
        <f>IFERROR(__xludf.DUMMYFUNCTION("""COMPUTED_VALUE"""),45237.0)</f>
        <v>45237</v>
      </c>
      <c r="C8926" s="13">
        <f>IFERROR(__xludf.DUMMYFUNCTION("""COMPUTED_VALUE"""),0.875)</f>
        <v>0.875</v>
      </c>
      <c r="D8926" s="8">
        <f>IFERROR(__xludf.DUMMYFUNCTION("""COMPUTED_VALUE"""),0.447)</f>
        <v>0.447</v>
      </c>
      <c r="E8926" s="8" t="str">
        <f>IFERROR(__xludf.DUMMYFUNCTION("""COMPUTED_VALUE"""),"Real")</f>
        <v>Real</v>
      </c>
      <c r="G8926" s="8">
        <f t="shared" si="1"/>
        <v>11</v>
      </c>
      <c r="H8926" s="14">
        <f t="shared" si="2"/>
        <v>7</v>
      </c>
      <c r="I8926" s="15">
        <f t="shared" si="3"/>
        <v>21</v>
      </c>
    </row>
    <row r="8927">
      <c r="A8927" s="8" t="str">
        <f>IFERROR(__xludf.DUMMYFUNCTION("IF('(INGESTA)Datos_consumo_datadis'!A8927&lt;&gt;"""",SPLIT('(INGESTA)Datos_consumo_datadis'!A:A,"",""),"""")"),"ES0031408323131005HX0F")</f>
        <v>ES0031408323131005HX0F</v>
      </c>
      <c r="B8927" s="12">
        <f>IFERROR(__xludf.DUMMYFUNCTION("""COMPUTED_VALUE"""),45237.0)</f>
        <v>45237</v>
      </c>
      <c r="C8927" s="13">
        <f>IFERROR(__xludf.DUMMYFUNCTION("""COMPUTED_VALUE"""),0.9166666666666666)</f>
        <v>0.9166666667</v>
      </c>
      <c r="D8927" s="8">
        <f>IFERROR(__xludf.DUMMYFUNCTION("""COMPUTED_VALUE"""),0.292)</f>
        <v>0.292</v>
      </c>
      <c r="E8927" s="8" t="str">
        <f>IFERROR(__xludf.DUMMYFUNCTION("""COMPUTED_VALUE"""),"Real")</f>
        <v>Real</v>
      </c>
      <c r="G8927" s="8">
        <f t="shared" si="1"/>
        <v>11</v>
      </c>
      <c r="H8927" s="14">
        <f t="shared" si="2"/>
        <v>7</v>
      </c>
      <c r="I8927" s="15">
        <f t="shared" si="3"/>
        <v>22</v>
      </c>
    </row>
    <row r="8928">
      <c r="A8928" s="8" t="str">
        <f>IFERROR(__xludf.DUMMYFUNCTION("IF('(INGESTA)Datos_consumo_datadis'!A8928&lt;&gt;"""",SPLIT('(INGESTA)Datos_consumo_datadis'!A:A,"",""),"""")"),"ES0031408323131005HX0F")</f>
        <v>ES0031408323131005HX0F</v>
      </c>
      <c r="B8928" s="12">
        <f>IFERROR(__xludf.DUMMYFUNCTION("""COMPUTED_VALUE"""),45237.0)</f>
        <v>45237</v>
      </c>
      <c r="C8928" s="13">
        <f>IFERROR(__xludf.DUMMYFUNCTION("""COMPUTED_VALUE"""),0.9583333333333334)</f>
        <v>0.9583333333</v>
      </c>
      <c r="D8928" s="8">
        <f>IFERROR(__xludf.DUMMYFUNCTION("""COMPUTED_VALUE"""),0.49)</f>
        <v>0.49</v>
      </c>
      <c r="E8928" s="8" t="str">
        <f>IFERROR(__xludf.DUMMYFUNCTION("""COMPUTED_VALUE"""),"Real")</f>
        <v>Real</v>
      </c>
      <c r="G8928" s="8">
        <f t="shared" si="1"/>
        <v>11</v>
      </c>
      <c r="H8928" s="14">
        <f t="shared" si="2"/>
        <v>7</v>
      </c>
      <c r="I8928" s="15">
        <f t="shared" si="3"/>
        <v>23</v>
      </c>
    </row>
    <row r="8929">
      <c r="A8929" s="8" t="str">
        <f>IFERROR(__xludf.DUMMYFUNCTION("IF('(INGESTA)Datos_consumo_datadis'!A8929&lt;&gt;"""",SPLIT('(INGESTA)Datos_consumo_datadis'!A:A,"",""),"""")"),"ES0031408323131005HX0F")</f>
        <v>ES0031408323131005HX0F</v>
      </c>
      <c r="B8929" s="12">
        <f>IFERROR(__xludf.DUMMYFUNCTION("""COMPUTED_VALUE"""),45237.0)</f>
        <v>45237</v>
      </c>
      <c r="C8929" s="16">
        <f>IFERROR(__xludf.DUMMYFUNCTION("""COMPUTED_VALUE"""),1.0)</f>
        <v>1</v>
      </c>
      <c r="D8929" s="8">
        <f>IFERROR(__xludf.DUMMYFUNCTION("""COMPUTED_VALUE"""),0.098)</f>
        <v>0.098</v>
      </c>
      <c r="E8929" s="8" t="str">
        <f>IFERROR(__xludf.DUMMYFUNCTION("""COMPUTED_VALUE"""),"Real")</f>
        <v>Real</v>
      </c>
      <c r="G8929" s="8">
        <f t="shared" si="1"/>
        <v>11</v>
      </c>
      <c r="H8929" s="14">
        <f t="shared" si="2"/>
        <v>7</v>
      </c>
      <c r="I8929" s="15">
        <f t="shared" si="3"/>
        <v>0</v>
      </c>
    </row>
    <row r="8930">
      <c r="A8930" s="8" t="str">
        <f>IFERROR(__xludf.DUMMYFUNCTION("IF('(INGESTA)Datos_consumo_datadis'!A8930&lt;&gt;"""",SPLIT('(INGESTA)Datos_consumo_datadis'!A:A,"",""),"""")"),"ES0031408323131005HX0F")</f>
        <v>ES0031408323131005HX0F</v>
      </c>
      <c r="B8930" s="12">
        <f>IFERROR(__xludf.DUMMYFUNCTION("""COMPUTED_VALUE"""),45238.0)</f>
        <v>45238</v>
      </c>
      <c r="C8930" s="13">
        <f>IFERROR(__xludf.DUMMYFUNCTION("""COMPUTED_VALUE"""),0.041666666666666664)</f>
        <v>0.04166666667</v>
      </c>
      <c r="D8930" s="8">
        <f>IFERROR(__xludf.DUMMYFUNCTION("""COMPUTED_VALUE"""),0.042)</f>
        <v>0.042</v>
      </c>
      <c r="E8930" s="8" t="str">
        <f>IFERROR(__xludf.DUMMYFUNCTION("""COMPUTED_VALUE"""),"Real")</f>
        <v>Real</v>
      </c>
      <c r="G8930" s="8">
        <f t="shared" si="1"/>
        <v>11</v>
      </c>
      <c r="H8930" s="14">
        <f t="shared" si="2"/>
        <v>8</v>
      </c>
      <c r="I8930" s="15">
        <f t="shared" si="3"/>
        <v>1</v>
      </c>
    </row>
    <row r="8931">
      <c r="A8931" s="8" t="str">
        <f>IFERROR(__xludf.DUMMYFUNCTION("IF('(INGESTA)Datos_consumo_datadis'!A8931&lt;&gt;"""",SPLIT('(INGESTA)Datos_consumo_datadis'!A:A,"",""),"""")"),"ES0031408323131005HX0F")</f>
        <v>ES0031408323131005HX0F</v>
      </c>
      <c r="B8931" s="12">
        <f>IFERROR(__xludf.DUMMYFUNCTION("""COMPUTED_VALUE"""),45238.0)</f>
        <v>45238</v>
      </c>
      <c r="C8931" s="13">
        <f>IFERROR(__xludf.DUMMYFUNCTION("""COMPUTED_VALUE"""),0.08333333333333333)</f>
        <v>0.08333333333</v>
      </c>
      <c r="D8931" s="8">
        <f>IFERROR(__xludf.DUMMYFUNCTION("""COMPUTED_VALUE"""),0.105)</f>
        <v>0.105</v>
      </c>
      <c r="E8931" s="8" t="str">
        <f>IFERROR(__xludf.DUMMYFUNCTION("""COMPUTED_VALUE"""),"Real")</f>
        <v>Real</v>
      </c>
      <c r="G8931" s="8">
        <f t="shared" si="1"/>
        <v>11</v>
      </c>
      <c r="H8931" s="14">
        <f t="shared" si="2"/>
        <v>8</v>
      </c>
      <c r="I8931" s="15">
        <f t="shared" si="3"/>
        <v>2</v>
      </c>
    </row>
    <row r="8932">
      <c r="A8932" s="8" t="str">
        <f>IFERROR(__xludf.DUMMYFUNCTION("IF('(INGESTA)Datos_consumo_datadis'!A8932&lt;&gt;"""",SPLIT('(INGESTA)Datos_consumo_datadis'!A:A,"",""),"""")"),"ES0031408323131005HX0F")</f>
        <v>ES0031408323131005HX0F</v>
      </c>
      <c r="B8932" s="12">
        <f>IFERROR(__xludf.DUMMYFUNCTION("""COMPUTED_VALUE"""),45238.0)</f>
        <v>45238</v>
      </c>
      <c r="C8932" s="13">
        <f>IFERROR(__xludf.DUMMYFUNCTION("""COMPUTED_VALUE"""),0.125)</f>
        <v>0.125</v>
      </c>
      <c r="D8932" s="8">
        <f>IFERROR(__xludf.DUMMYFUNCTION("""COMPUTED_VALUE"""),0.126)</f>
        <v>0.126</v>
      </c>
      <c r="E8932" s="8" t="str">
        <f>IFERROR(__xludf.DUMMYFUNCTION("""COMPUTED_VALUE"""),"Real")</f>
        <v>Real</v>
      </c>
      <c r="G8932" s="8">
        <f t="shared" si="1"/>
        <v>11</v>
      </c>
      <c r="H8932" s="14">
        <f t="shared" si="2"/>
        <v>8</v>
      </c>
      <c r="I8932" s="15">
        <f t="shared" si="3"/>
        <v>3</v>
      </c>
    </row>
    <row r="8933">
      <c r="A8933" s="8" t="str">
        <f>IFERROR(__xludf.DUMMYFUNCTION("IF('(INGESTA)Datos_consumo_datadis'!A8933&lt;&gt;"""",SPLIT('(INGESTA)Datos_consumo_datadis'!A:A,"",""),"""")"),"ES0031408323131005HX0F")</f>
        <v>ES0031408323131005HX0F</v>
      </c>
      <c r="B8933" s="12">
        <f>IFERROR(__xludf.DUMMYFUNCTION("""COMPUTED_VALUE"""),45238.0)</f>
        <v>45238</v>
      </c>
      <c r="C8933" s="13">
        <f>IFERROR(__xludf.DUMMYFUNCTION("""COMPUTED_VALUE"""),0.16666666666666666)</f>
        <v>0.1666666667</v>
      </c>
      <c r="D8933" s="8">
        <f>IFERROR(__xludf.DUMMYFUNCTION("""COMPUTED_VALUE"""),0.128)</f>
        <v>0.128</v>
      </c>
      <c r="E8933" s="8" t="str">
        <f>IFERROR(__xludf.DUMMYFUNCTION("""COMPUTED_VALUE"""),"Real")</f>
        <v>Real</v>
      </c>
      <c r="G8933" s="8">
        <f t="shared" si="1"/>
        <v>11</v>
      </c>
      <c r="H8933" s="14">
        <f t="shared" si="2"/>
        <v>8</v>
      </c>
      <c r="I8933" s="15">
        <f t="shared" si="3"/>
        <v>4</v>
      </c>
    </row>
    <row r="8934">
      <c r="A8934" s="8" t="str">
        <f>IFERROR(__xludf.DUMMYFUNCTION("IF('(INGESTA)Datos_consumo_datadis'!A8934&lt;&gt;"""",SPLIT('(INGESTA)Datos_consumo_datadis'!A:A,"",""),"""")"),"ES0031408323131005HX0F")</f>
        <v>ES0031408323131005HX0F</v>
      </c>
      <c r="B8934" s="12">
        <f>IFERROR(__xludf.DUMMYFUNCTION("""COMPUTED_VALUE"""),45238.0)</f>
        <v>45238</v>
      </c>
      <c r="C8934" s="13">
        <f>IFERROR(__xludf.DUMMYFUNCTION("""COMPUTED_VALUE"""),0.20833333333333334)</f>
        <v>0.2083333333</v>
      </c>
      <c r="D8934" s="8">
        <f>IFERROR(__xludf.DUMMYFUNCTION("""COMPUTED_VALUE"""),0.064)</f>
        <v>0.064</v>
      </c>
      <c r="E8934" s="8" t="str">
        <f>IFERROR(__xludf.DUMMYFUNCTION("""COMPUTED_VALUE"""),"Real")</f>
        <v>Real</v>
      </c>
      <c r="G8934" s="8">
        <f t="shared" si="1"/>
        <v>11</v>
      </c>
      <c r="H8934" s="14">
        <f t="shared" si="2"/>
        <v>8</v>
      </c>
      <c r="I8934" s="15">
        <f t="shared" si="3"/>
        <v>5</v>
      </c>
    </row>
    <row r="8935">
      <c r="A8935" s="8" t="str">
        <f>IFERROR(__xludf.DUMMYFUNCTION("IF('(INGESTA)Datos_consumo_datadis'!A8935&lt;&gt;"""",SPLIT('(INGESTA)Datos_consumo_datadis'!A:A,"",""),"""")"),"ES0031408323131005HX0F")</f>
        <v>ES0031408323131005HX0F</v>
      </c>
      <c r="B8935" s="12">
        <f>IFERROR(__xludf.DUMMYFUNCTION("""COMPUTED_VALUE"""),45238.0)</f>
        <v>45238</v>
      </c>
      <c r="C8935" s="13">
        <f>IFERROR(__xludf.DUMMYFUNCTION("""COMPUTED_VALUE"""),0.25)</f>
        <v>0.25</v>
      </c>
      <c r="D8935" s="8">
        <f>IFERROR(__xludf.DUMMYFUNCTION("""COMPUTED_VALUE"""),0.302)</f>
        <v>0.302</v>
      </c>
      <c r="E8935" s="8" t="str">
        <f>IFERROR(__xludf.DUMMYFUNCTION("""COMPUTED_VALUE"""),"Real")</f>
        <v>Real</v>
      </c>
      <c r="G8935" s="8">
        <f t="shared" si="1"/>
        <v>11</v>
      </c>
      <c r="H8935" s="14">
        <f t="shared" si="2"/>
        <v>8</v>
      </c>
      <c r="I8935" s="15">
        <f t="shared" si="3"/>
        <v>6</v>
      </c>
    </row>
    <row r="8936">
      <c r="A8936" s="8" t="str">
        <f>IFERROR(__xludf.DUMMYFUNCTION("IF('(INGESTA)Datos_consumo_datadis'!A8936&lt;&gt;"""",SPLIT('(INGESTA)Datos_consumo_datadis'!A:A,"",""),"""")"),"ES0031408323131005HX0F")</f>
        <v>ES0031408323131005HX0F</v>
      </c>
      <c r="B8936" s="12">
        <f>IFERROR(__xludf.DUMMYFUNCTION("""COMPUTED_VALUE"""),45238.0)</f>
        <v>45238</v>
      </c>
      <c r="C8936" s="13">
        <f>IFERROR(__xludf.DUMMYFUNCTION("""COMPUTED_VALUE"""),0.2916666666666667)</f>
        <v>0.2916666667</v>
      </c>
      <c r="D8936" s="8">
        <f>IFERROR(__xludf.DUMMYFUNCTION("""COMPUTED_VALUE"""),0.075)</f>
        <v>0.075</v>
      </c>
      <c r="E8936" s="8" t="str">
        <f>IFERROR(__xludf.DUMMYFUNCTION("""COMPUTED_VALUE"""),"Real")</f>
        <v>Real</v>
      </c>
      <c r="G8936" s="8">
        <f t="shared" si="1"/>
        <v>11</v>
      </c>
      <c r="H8936" s="14">
        <f t="shared" si="2"/>
        <v>8</v>
      </c>
      <c r="I8936" s="15">
        <f t="shared" si="3"/>
        <v>7</v>
      </c>
    </row>
    <row r="8937">
      <c r="A8937" s="8" t="str">
        <f>IFERROR(__xludf.DUMMYFUNCTION("IF('(INGESTA)Datos_consumo_datadis'!A8937&lt;&gt;"""",SPLIT('(INGESTA)Datos_consumo_datadis'!A:A,"",""),"""")"),"ES0031408323131005HX0F")</f>
        <v>ES0031408323131005HX0F</v>
      </c>
      <c r="B8937" s="12">
        <f>IFERROR(__xludf.DUMMYFUNCTION("""COMPUTED_VALUE"""),45238.0)</f>
        <v>45238</v>
      </c>
      <c r="C8937" s="13">
        <f>IFERROR(__xludf.DUMMYFUNCTION("""COMPUTED_VALUE"""),0.3333333333333333)</f>
        <v>0.3333333333</v>
      </c>
      <c r="D8937" s="8">
        <f>IFERROR(__xludf.DUMMYFUNCTION("""COMPUTED_VALUE"""),0.104)</f>
        <v>0.104</v>
      </c>
      <c r="E8937" s="8" t="str">
        <f>IFERROR(__xludf.DUMMYFUNCTION("""COMPUTED_VALUE"""),"Real")</f>
        <v>Real</v>
      </c>
      <c r="G8937" s="8">
        <f t="shared" si="1"/>
        <v>11</v>
      </c>
      <c r="H8937" s="14">
        <f t="shared" si="2"/>
        <v>8</v>
      </c>
      <c r="I8937" s="15">
        <f t="shared" si="3"/>
        <v>8</v>
      </c>
    </row>
    <row r="8938">
      <c r="A8938" s="8" t="str">
        <f>IFERROR(__xludf.DUMMYFUNCTION("IF('(INGESTA)Datos_consumo_datadis'!A8938&lt;&gt;"""",SPLIT('(INGESTA)Datos_consumo_datadis'!A:A,"",""),"""")"),"ES0031408323131005HX0F")</f>
        <v>ES0031408323131005HX0F</v>
      </c>
      <c r="B8938" s="12">
        <f>IFERROR(__xludf.DUMMYFUNCTION("""COMPUTED_VALUE"""),45238.0)</f>
        <v>45238</v>
      </c>
      <c r="C8938" s="13">
        <f>IFERROR(__xludf.DUMMYFUNCTION("""COMPUTED_VALUE"""),0.375)</f>
        <v>0.375</v>
      </c>
      <c r="D8938" s="8">
        <f>IFERROR(__xludf.DUMMYFUNCTION("""COMPUTED_VALUE"""),0.322)</f>
        <v>0.322</v>
      </c>
      <c r="E8938" s="8" t="str">
        <f>IFERROR(__xludf.DUMMYFUNCTION("""COMPUTED_VALUE"""),"Real")</f>
        <v>Real</v>
      </c>
      <c r="G8938" s="8">
        <f t="shared" si="1"/>
        <v>11</v>
      </c>
      <c r="H8938" s="14">
        <f t="shared" si="2"/>
        <v>8</v>
      </c>
      <c r="I8938" s="15">
        <f t="shared" si="3"/>
        <v>9</v>
      </c>
    </row>
    <row r="8939">
      <c r="A8939" s="8" t="str">
        <f>IFERROR(__xludf.DUMMYFUNCTION("IF('(INGESTA)Datos_consumo_datadis'!A8939&lt;&gt;"""",SPLIT('(INGESTA)Datos_consumo_datadis'!A:A,"",""),"""")"),"ES0031408323131005HX0F")</f>
        <v>ES0031408323131005HX0F</v>
      </c>
      <c r="B8939" s="12">
        <f>IFERROR(__xludf.DUMMYFUNCTION("""COMPUTED_VALUE"""),45238.0)</f>
        <v>45238</v>
      </c>
      <c r="C8939" s="13">
        <f>IFERROR(__xludf.DUMMYFUNCTION("""COMPUTED_VALUE"""),0.4166666666666667)</f>
        <v>0.4166666667</v>
      </c>
      <c r="D8939" s="8">
        <f>IFERROR(__xludf.DUMMYFUNCTION("""COMPUTED_VALUE"""),0.06)</f>
        <v>0.06</v>
      </c>
      <c r="E8939" s="8" t="str">
        <f>IFERROR(__xludf.DUMMYFUNCTION("""COMPUTED_VALUE"""),"Real")</f>
        <v>Real</v>
      </c>
      <c r="G8939" s="8">
        <f t="shared" si="1"/>
        <v>11</v>
      </c>
      <c r="H8939" s="14">
        <f t="shared" si="2"/>
        <v>8</v>
      </c>
      <c r="I8939" s="15">
        <f t="shared" si="3"/>
        <v>10</v>
      </c>
    </row>
    <row r="8940">
      <c r="A8940" s="8" t="str">
        <f>IFERROR(__xludf.DUMMYFUNCTION("IF('(INGESTA)Datos_consumo_datadis'!A8940&lt;&gt;"""",SPLIT('(INGESTA)Datos_consumo_datadis'!A:A,"",""),"""")"),"ES0031408323131005HX0F")</f>
        <v>ES0031408323131005HX0F</v>
      </c>
      <c r="B8940" s="12">
        <f>IFERROR(__xludf.DUMMYFUNCTION("""COMPUTED_VALUE"""),45238.0)</f>
        <v>45238</v>
      </c>
      <c r="C8940" s="13">
        <f>IFERROR(__xludf.DUMMYFUNCTION("""COMPUTED_VALUE"""),0.4583333333333333)</f>
        <v>0.4583333333</v>
      </c>
      <c r="D8940" s="8">
        <f>IFERROR(__xludf.DUMMYFUNCTION("""COMPUTED_VALUE"""),0.058)</f>
        <v>0.058</v>
      </c>
      <c r="E8940" s="8" t="str">
        <f>IFERROR(__xludf.DUMMYFUNCTION("""COMPUTED_VALUE"""),"Real")</f>
        <v>Real</v>
      </c>
      <c r="G8940" s="8">
        <f t="shared" si="1"/>
        <v>11</v>
      </c>
      <c r="H8940" s="14">
        <f t="shared" si="2"/>
        <v>8</v>
      </c>
      <c r="I8940" s="15">
        <f t="shared" si="3"/>
        <v>11</v>
      </c>
    </row>
    <row r="8941">
      <c r="A8941" s="8" t="str">
        <f>IFERROR(__xludf.DUMMYFUNCTION("IF('(INGESTA)Datos_consumo_datadis'!A8941&lt;&gt;"""",SPLIT('(INGESTA)Datos_consumo_datadis'!A:A,"",""),"""")"),"ES0031408323131005HX0F")</f>
        <v>ES0031408323131005HX0F</v>
      </c>
      <c r="B8941" s="12">
        <f>IFERROR(__xludf.DUMMYFUNCTION("""COMPUTED_VALUE"""),45238.0)</f>
        <v>45238</v>
      </c>
      <c r="C8941" s="13">
        <f>IFERROR(__xludf.DUMMYFUNCTION("""COMPUTED_VALUE"""),0.5)</f>
        <v>0.5</v>
      </c>
      <c r="D8941" s="8">
        <f>IFERROR(__xludf.DUMMYFUNCTION("""COMPUTED_VALUE"""),0.061)</f>
        <v>0.061</v>
      </c>
      <c r="E8941" s="8" t="str">
        <f>IFERROR(__xludf.DUMMYFUNCTION("""COMPUTED_VALUE"""),"Real")</f>
        <v>Real</v>
      </c>
      <c r="G8941" s="8">
        <f t="shared" si="1"/>
        <v>11</v>
      </c>
      <c r="H8941" s="14">
        <f t="shared" si="2"/>
        <v>8</v>
      </c>
      <c r="I8941" s="15">
        <f t="shared" si="3"/>
        <v>12</v>
      </c>
    </row>
    <row r="8942">
      <c r="A8942" s="8" t="str">
        <f>IFERROR(__xludf.DUMMYFUNCTION("IF('(INGESTA)Datos_consumo_datadis'!A8942&lt;&gt;"""",SPLIT('(INGESTA)Datos_consumo_datadis'!A:A,"",""),"""")"),"ES0031408323131005HX0F")</f>
        <v>ES0031408323131005HX0F</v>
      </c>
      <c r="B8942" s="12">
        <f>IFERROR(__xludf.DUMMYFUNCTION("""COMPUTED_VALUE"""),45238.0)</f>
        <v>45238</v>
      </c>
      <c r="C8942" s="13">
        <f>IFERROR(__xludf.DUMMYFUNCTION("""COMPUTED_VALUE"""),0.5416666666666666)</f>
        <v>0.5416666667</v>
      </c>
      <c r="D8942" s="8">
        <f>IFERROR(__xludf.DUMMYFUNCTION("""COMPUTED_VALUE"""),0.017)</f>
        <v>0.017</v>
      </c>
      <c r="E8942" s="8" t="str">
        <f>IFERROR(__xludf.DUMMYFUNCTION("""COMPUTED_VALUE"""),"Real")</f>
        <v>Real</v>
      </c>
      <c r="G8942" s="8">
        <f t="shared" si="1"/>
        <v>11</v>
      </c>
      <c r="H8942" s="14">
        <f t="shared" si="2"/>
        <v>8</v>
      </c>
      <c r="I8942" s="15">
        <f t="shared" si="3"/>
        <v>13</v>
      </c>
    </row>
    <row r="8943">
      <c r="A8943" s="8" t="str">
        <f>IFERROR(__xludf.DUMMYFUNCTION("IF('(INGESTA)Datos_consumo_datadis'!A8943&lt;&gt;"""",SPLIT('(INGESTA)Datos_consumo_datadis'!A:A,"",""),"""")"),"ES0031408323131005HX0F")</f>
        <v>ES0031408323131005HX0F</v>
      </c>
      <c r="B8943" s="12">
        <f>IFERROR(__xludf.DUMMYFUNCTION("""COMPUTED_VALUE"""),45238.0)</f>
        <v>45238</v>
      </c>
      <c r="C8943" s="13">
        <f>IFERROR(__xludf.DUMMYFUNCTION("""COMPUTED_VALUE"""),0.5833333333333334)</f>
        <v>0.5833333333</v>
      </c>
      <c r="D8943" s="8">
        <f>IFERROR(__xludf.DUMMYFUNCTION("""COMPUTED_VALUE"""),0.089)</f>
        <v>0.089</v>
      </c>
      <c r="E8943" s="8" t="str">
        <f>IFERROR(__xludf.DUMMYFUNCTION("""COMPUTED_VALUE"""),"Real")</f>
        <v>Real</v>
      </c>
      <c r="G8943" s="8">
        <f t="shared" si="1"/>
        <v>11</v>
      </c>
      <c r="H8943" s="14">
        <f t="shared" si="2"/>
        <v>8</v>
      </c>
      <c r="I8943" s="15">
        <f t="shared" si="3"/>
        <v>14</v>
      </c>
    </row>
    <row r="8944">
      <c r="A8944" s="8" t="str">
        <f>IFERROR(__xludf.DUMMYFUNCTION("IF('(INGESTA)Datos_consumo_datadis'!A8944&lt;&gt;"""",SPLIT('(INGESTA)Datos_consumo_datadis'!A:A,"",""),"""")"),"ES0031408323131005HX0F")</f>
        <v>ES0031408323131005HX0F</v>
      </c>
      <c r="B8944" s="12">
        <f>IFERROR(__xludf.DUMMYFUNCTION("""COMPUTED_VALUE"""),45238.0)</f>
        <v>45238</v>
      </c>
      <c r="C8944" s="13">
        <f>IFERROR(__xludf.DUMMYFUNCTION("""COMPUTED_VALUE"""),0.625)</f>
        <v>0.625</v>
      </c>
      <c r="D8944" s="8">
        <f>IFERROR(__xludf.DUMMYFUNCTION("""COMPUTED_VALUE"""),0.055)</f>
        <v>0.055</v>
      </c>
      <c r="E8944" s="8" t="str">
        <f>IFERROR(__xludf.DUMMYFUNCTION("""COMPUTED_VALUE"""),"Real")</f>
        <v>Real</v>
      </c>
      <c r="G8944" s="8">
        <f t="shared" si="1"/>
        <v>11</v>
      </c>
      <c r="H8944" s="14">
        <f t="shared" si="2"/>
        <v>8</v>
      </c>
      <c r="I8944" s="15">
        <f t="shared" si="3"/>
        <v>15</v>
      </c>
    </row>
    <row r="8945">
      <c r="A8945" s="8" t="str">
        <f>IFERROR(__xludf.DUMMYFUNCTION("IF('(INGESTA)Datos_consumo_datadis'!A8945&lt;&gt;"""",SPLIT('(INGESTA)Datos_consumo_datadis'!A:A,"",""),"""")"),"ES0031408323131005HX0F")</f>
        <v>ES0031408323131005HX0F</v>
      </c>
      <c r="B8945" s="12">
        <f>IFERROR(__xludf.DUMMYFUNCTION("""COMPUTED_VALUE"""),45238.0)</f>
        <v>45238</v>
      </c>
      <c r="C8945" s="13">
        <f>IFERROR(__xludf.DUMMYFUNCTION("""COMPUTED_VALUE"""),0.6666666666666666)</f>
        <v>0.6666666667</v>
      </c>
      <c r="D8945" s="8">
        <f>IFERROR(__xludf.DUMMYFUNCTION("""COMPUTED_VALUE"""),0.302)</f>
        <v>0.302</v>
      </c>
      <c r="E8945" s="8" t="str">
        <f>IFERROR(__xludf.DUMMYFUNCTION("""COMPUTED_VALUE"""),"Real")</f>
        <v>Real</v>
      </c>
      <c r="G8945" s="8">
        <f t="shared" si="1"/>
        <v>11</v>
      </c>
      <c r="H8945" s="14">
        <f t="shared" si="2"/>
        <v>8</v>
      </c>
      <c r="I8945" s="15">
        <f t="shared" si="3"/>
        <v>16</v>
      </c>
    </row>
    <row r="8946">
      <c r="A8946" s="8" t="str">
        <f>IFERROR(__xludf.DUMMYFUNCTION("IF('(INGESTA)Datos_consumo_datadis'!A8946&lt;&gt;"""",SPLIT('(INGESTA)Datos_consumo_datadis'!A:A,"",""),"""")"),"ES0031408323131005HX0F")</f>
        <v>ES0031408323131005HX0F</v>
      </c>
      <c r="B8946" s="12">
        <f>IFERROR(__xludf.DUMMYFUNCTION("""COMPUTED_VALUE"""),45238.0)</f>
        <v>45238</v>
      </c>
      <c r="C8946" s="13">
        <f>IFERROR(__xludf.DUMMYFUNCTION("""COMPUTED_VALUE"""),0.7083333333333334)</f>
        <v>0.7083333333</v>
      </c>
      <c r="D8946" s="8">
        <f>IFERROR(__xludf.DUMMYFUNCTION("""COMPUTED_VALUE"""),0.093)</f>
        <v>0.093</v>
      </c>
      <c r="E8946" s="8" t="str">
        <f>IFERROR(__xludf.DUMMYFUNCTION("""COMPUTED_VALUE"""),"Real")</f>
        <v>Real</v>
      </c>
      <c r="G8946" s="8">
        <f t="shared" si="1"/>
        <v>11</v>
      </c>
      <c r="H8946" s="14">
        <f t="shared" si="2"/>
        <v>8</v>
      </c>
      <c r="I8946" s="15">
        <f t="shared" si="3"/>
        <v>17</v>
      </c>
    </row>
    <row r="8947">
      <c r="A8947" s="8" t="str">
        <f>IFERROR(__xludf.DUMMYFUNCTION("IF('(INGESTA)Datos_consumo_datadis'!A8947&lt;&gt;"""",SPLIT('(INGESTA)Datos_consumo_datadis'!A:A,"",""),"""")"),"ES0031408323131005HX0F")</f>
        <v>ES0031408323131005HX0F</v>
      </c>
      <c r="B8947" s="12">
        <f>IFERROR(__xludf.DUMMYFUNCTION("""COMPUTED_VALUE"""),45238.0)</f>
        <v>45238</v>
      </c>
      <c r="C8947" s="13">
        <f>IFERROR(__xludf.DUMMYFUNCTION("""COMPUTED_VALUE"""),0.75)</f>
        <v>0.75</v>
      </c>
      <c r="D8947" s="8">
        <f>IFERROR(__xludf.DUMMYFUNCTION("""COMPUTED_VALUE"""),0.762)</f>
        <v>0.762</v>
      </c>
      <c r="E8947" s="8" t="str">
        <f>IFERROR(__xludf.DUMMYFUNCTION("""COMPUTED_VALUE"""),"Real")</f>
        <v>Real</v>
      </c>
      <c r="G8947" s="8">
        <f t="shared" si="1"/>
        <v>11</v>
      </c>
      <c r="H8947" s="14">
        <f t="shared" si="2"/>
        <v>8</v>
      </c>
      <c r="I8947" s="15">
        <f t="shared" si="3"/>
        <v>18</v>
      </c>
    </row>
    <row r="8948">
      <c r="A8948" s="8" t="str">
        <f>IFERROR(__xludf.DUMMYFUNCTION("IF('(INGESTA)Datos_consumo_datadis'!A8948&lt;&gt;"""",SPLIT('(INGESTA)Datos_consumo_datadis'!A:A,"",""),"""")"),"ES0031408323131005HX0F")</f>
        <v>ES0031408323131005HX0F</v>
      </c>
      <c r="B8948" s="12">
        <f>IFERROR(__xludf.DUMMYFUNCTION("""COMPUTED_VALUE"""),45238.0)</f>
        <v>45238</v>
      </c>
      <c r="C8948" s="13">
        <f>IFERROR(__xludf.DUMMYFUNCTION("""COMPUTED_VALUE"""),0.7916666666666666)</f>
        <v>0.7916666667</v>
      </c>
      <c r="D8948" s="8">
        <f>IFERROR(__xludf.DUMMYFUNCTION("""COMPUTED_VALUE"""),0.523)</f>
        <v>0.523</v>
      </c>
      <c r="E8948" s="8" t="str">
        <f>IFERROR(__xludf.DUMMYFUNCTION("""COMPUTED_VALUE"""),"Real")</f>
        <v>Real</v>
      </c>
      <c r="G8948" s="8">
        <f t="shared" si="1"/>
        <v>11</v>
      </c>
      <c r="H8948" s="14">
        <f t="shared" si="2"/>
        <v>8</v>
      </c>
      <c r="I8948" s="15">
        <f t="shared" si="3"/>
        <v>19</v>
      </c>
    </row>
    <row r="8949">
      <c r="A8949" s="8" t="str">
        <f>IFERROR(__xludf.DUMMYFUNCTION("IF('(INGESTA)Datos_consumo_datadis'!A8949&lt;&gt;"""",SPLIT('(INGESTA)Datos_consumo_datadis'!A:A,"",""),"""")"),"ES0031408323131005HX0F")</f>
        <v>ES0031408323131005HX0F</v>
      </c>
      <c r="B8949" s="12">
        <f>IFERROR(__xludf.DUMMYFUNCTION("""COMPUTED_VALUE"""),45238.0)</f>
        <v>45238</v>
      </c>
      <c r="C8949" s="13">
        <f>IFERROR(__xludf.DUMMYFUNCTION("""COMPUTED_VALUE"""),0.8333333333333334)</f>
        <v>0.8333333333</v>
      </c>
      <c r="D8949" s="8">
        <f>IFERROR(__xludf.DUMMYFUNCTION("""COMPUTED_VALUE"""),0.332)</f>
        <v>0.332</v>
      </c>
      <c r="E8949" s="8" t="str">
        <f>IFERROR(__xludf.DUMMYFUNCTION("""COMPUTED_VALUE"""),"Real")</f>
        <v>Real</v>
      </c>
      <c r="G8949" s="8">
        <f t="shared" si="1"/>
        <v>11</v>
      </c>
      <c r="H8949" s="14">
        <f t="shared" si="2"/>
        <v>8</v>
      </c>
      <c r="I8949" s="15">
        <f t="shared" si="3"/>
        <v>20</v>
      </c>
    </row>
    <row r="8950">
      <c r="A8950" s="8" t="str">
        <f>IFERROR(__xludf.DUMMYFUNCTION("IF('(INGESTA)Datos_consumo_datadis'!A8950&lt;&gt;"""",SPLIT('(INGESTA)Datos_consumo_datadis'!A:A,"",""),"""")"),"ES0031408323131005HX0F")</f>
        <v>ES0031408323131005HX0F</v>
      </c>
      <c r="B8950" s="12">
        <f>IFERROR(__xludf.DUMMYFUNCTION("""COMPUTED_VALUE"""),45238.0)</f>
        <v>45238</v>
      </c>
      <c r="C8950" s="13">
        <f>IFERROR(__xludf.DUMMYFUNCTION("""COMPUTED_VALUE"""),0.875)</f>
        <v>0.875</v>
      </c>
      <c r="D8950" s="8">
        <f>IFERROR(__xludf.DUMMYFUNCTION("""COMPUTED_VALUE"""),1.154)</f>
        <v>1.154</v>
      </c>
      <c r="E8950" s="8" t="str">
        <f>IFERROR(__xludf.DUMMYFUNCTION("""COMPUTED_VALUE"""),"Real")</f>
        <v>Real</v>
      </c>
      <c r="G8950" s="8">
        <f t="shared" si="1"/>
        <v>11</v>
      </c>
      <c r="H8950" s="14">
        <f t="shared" si="2"/>
        <v>8</v>
      </c>
      <c r="I8950" s="15">
        <f t="shared" si="3"/>
        <v>21</v>
      </c>
    </row>
    <row r="8951">
      <c r="A8951" s="8" t="str">
        <f>IFERROR(__xludf.DUMMYFUNCTION("IF('(INGESTA)Datos_consumo_datadis'!A8951&lt;&gt;"""",SPLIT('(INGESTA)Datos_consumo_datadis'!A:A,"",""),"""")"),"ES0031408323131005HX0F")</f>
        <v>ES0031408323131005HX0F</v>
      </c>
      <c r="B8951" s="12">
        <f>IFERROR(__xludf.DUMMYFUNCTION("""COMPUTED_VALUE"""),45238.0)</f>
        <v>45238</v>
      </c>
      <c r="C8951" s="13">
        <f>IFERROR(__xludf.DUMMYFUNCTION("""COMPUTED_VALUE"""),0.9166666666666666)</f>
        <v>0.9166666667</v>
      </c>
      <c r="D8951" s="8">
        <f>IFERROR(__xludf.DUMMYFUNCTION("""COMPUTED_VALUE"""),0.028)</f>
        <v>0.028</v>
      </c>
      <c r="E8951" s="8" t="str">
        <f>IFERROR(__xludf.DUMMYFUNCTION("""COMPUTED_VALUE"""),"Real")</f>
        <v>Real</v>
      </c>
      <c r="G8951" s="8">
        <f t="shared" si="1"/>
        <v>11</v>
      </c>
      <c r="H8951" s="14">
        <f t="shared" si="2"/>
        <v>8</v>
      </c>
      <c r="I8951" s="15">
        <f t="shared" si="3"/>
        <v>22</v>
      </c>
    </row>
    <row r="8952">
      <c r="A8952" s="8" t="str">
        <f>IFERROR(__xludf.DUMMYFUNCTION("IF('(INGESTA)Datos_consumo_datadis'!A8952&lt;&gt;"""",SPLIT('(INGESTA)Datos_consumo_datadis'!A:A,"",""),"""")"),"ES0031408323131005HX0F")</f>
        <v>ES0031408323131005HX0F</v>
      </c>
      <c r="B8952" s="12">
        <f>IFERROR(__xludf.DUMMYFUNCTION("""COMPUTED_VALUE"""),45238.0)</f>
        <v>45238</v>
      </c>
      <c r="C8952" s="13">
        <f>IFERROR(__xludf.DUMMYFUNCTION("""COMPUTED_VALUE"""),0.9583333333333334)</f>
        <v>0.9583333333</v>
      </c>
      <c r="D8952" s="8">
        <f>IFERROR(__xludf.DUMMYFUNCTION("""COMPUTED_VALUE"""),0.078)</f>
        <v>0.078</v>
      </c>
      <c r="E8952" s="8" t="str">
        <f>IFERROR(__xludf.DUMMYFUNCTION("""COMPUTED_VALUE"""),"Real")</f>
        <v>Real</v>
      </c>
      <c r="G8952" s="8">
        <f t="shared" si="1"/>
        <v>11</v>
      </c>
      <c r="H8952" s="14">
        <f t="shared" si="2"/>
        <v>8</v>
      </c>
      <c r="I8952" s="15">
        <f t="shared" si="3"/>
        <v>23</v>
      </c>
    </row>
    <row r="8953">
      <c r="A8953" s="8" t="str">
        <f>IFERROR(__xludf.DUMMYFUNCTION("IF('(INGESTA)Datos_consumo_datadis'!A8953&lt;&gt;"""",SPLIT('(INGESTA)Datos_consumo_datadis'!A:A,"",""),"""")"),"ES0031408323131005HX0F")</f>
        <v>ES0031408323131005HX0F</v>
      </c>
      <c r="B8953" s="12">
        <f>IFERROR(__xludf.DUMMYFUNCTION("""COMPUTED_VALUE"""),45238.0)</f>
        <v>45238</v>
      </c>
      <c r="C8953" s="16">
        <f>IFERROR(__xludf.DUMMYFUNCTION("""COMPUTED_VALUE"""),1.0)</f>
        <v>1</v>
      </c>
      <c r="D8953" s="8">
        <f>IFERROR(__xludf.DUMMYFUNCTION("""COMPUTED_VALUE"""),0.073)</f>
        <v>0.073</v>
      </c>
      <c r="E8953" s="8" t="str">
        <f>IFERROR(__xludf.DUMMYFUNCTION("""COMPUTED_VALUE"""),"Real")</f>
        <v>Real</v>
      </c>
      <c r="G8953" s="8">
        <f t="shared" si="1"/>
        <v>11</v>
      </c>
      <c r="H8953" s="14">
        <f t="shared" si="2"/>
        <v>8</v>
      </c>
      <c r="I8953" s="15">
        <f t="shared" si="3"/>
        <v>0</v>
      </c>
    </row>
    <row r="8954">
      <c r="A8954" s="8" t="str">
        <f>IFERROR(__xludf.DUMMYFUNCTION("IF('(INGESTA)Datos_consumo_datadis'!A8954&lt;&gt;"""",SPLIT('(INGESTA)Datos_consumo_datadis'!A:A,"",""),"""")"),"ES0031408323131005HX0F")</f>
        <v>ES0031408323131005HX0F</v>
      </c>
      <c r="B8954" s="12">
        <f>IFERROR(__xludf.DUMMYFUNCTION("""COMPUTED_VALUE"""),45239.0)</f>
        <v>45239</v>
      </c>
      <c r="C8954" s="13">
        <f>IFERROR(__xludf.DUMMYFUNCTION("""COMPUTED_VALUE"""),0.041666666666666664)</f>
        <v>0.04166666667</v>
      </c>
      <c r="D8954" s="8">
        <f>IFERROR(__xludf.DUMMYFUNCTION("""COMPUTED_VALUE"""),0.069)</f>
        <v>0.069</v>
      </c>
      <c r="E8954" s="8" t="str">
        <f>IFERROR(__xludf.DUMMYFUNCTION("""COMPUTED_VALUE"""),"Real")</f>
        <v>Real</v>
      </c>
      <c r="G8954" s="8">
        <f t="shared" si="1"/>
        <v>11</v>
      </c>
      <c r="H8954" s="14">
        <f t="shared" si="2"/>
        <v>9</v>
      </c>
      <c r="I8954" s="15">
        <f t="shared" si="3"/>
        <v>1</v>
      </c>
    </row>
    <row r="8955">
      <c r="A8955" s="8" t="str">
        <f>IFERROR(__xludf.DUMMYFUNCTION("IF('(INGESTA)Datos_consumo_datadis'!A8955&lt;&gt;"""",SPLIT('(INGESTA)Datos_consumo_datadis'!A:A,"",""),"""")"),"ES0031408323131005HX0F")</f>
        <v>ES0031408323131005HX0F</v>
      </c>
      <c r="B8955" s="12">
        <f>IFERROR(__xludf.DUMMYFUNCTION("""COMPUTED_VALUE"""),45239.0)</f>
        <v>45239</v>
      </c>
      <c r="C8955" s="13">
        <f>IFERROR(__xludf.DUMMYFUNCTION("""COMPUTED_VALUE"""),0.08333333333333333)</f>
        <v>0.08333333333</v>
      </c>
      <c r="D8955" s="8">
        <f>IFERROR(__xludf.DUMMYFUNCTION("""COMPUTED_VALUE"""),0.091)</f>
        <v>0.091</v>
      </c>
      <c r="E8955" s="8" t="str">
        <f>IFERROR(__xludf.DUMMYFUNCTION("""COMPUTED_VALUE"""),"Real")</f>
        <v>Real</v>
      </c>
      <c r="G8955" s="8">
        <f t="shared" si="1"/>
        <v>11</v>
      </c>
      <c r="H8955" s="14">
        <f t="shared" si="2"/>
        <v>9</v>
      </c>
      <c r="I8955" s="15">
        <f t="shared" si="3"/>
        <v>2</v>
      </c>
    </row>
    <row r="8956">
      <c r="A8956" s="8" t="str">
        <f>IFERROR(__xludf.DUMMYFUNCTION("IF('(INGESTA)Datos_consumo_datadis'!A8956&lt;&gt;"""",SPLIT('(INGESTA)Datos_consumo_datadis'!A:A,"",""),"""")"),"ES0031408323131005HX0F")</f>
        <v>ES0031408323131005HX0F</v>
      </c>
      <c r="B8956" s="12">
        <f>IFERROR(__xludf.DUMMYFUNCTION("""COMPUTED_VALUE"""),45239.0)</f>
        <v>45239</v>
      </c>
      <c r="C8956" s="13">
        <f>IFERROR(__xludf.DUMMYFUNCTION("""COMPUTED_VALUE"""),0.125)</f>
        <v>0.125</v>
      </c>
      <c r="D8956" s="8">
        <f>IFERROR(__xludf.DUMMYFUNCTION("""COMPUTED_VALUE"""),0.395)</f>
        <v>0.395</v>
      </c>
      <c r="E8956" s="8" t="str">
        <f>IFERROR(__xludf.DUMMYFUNCTION("""COMPUTED_VALUE"""),"Real")</f>
        <v>Real</v>
      </c>
      <c r="G8956" s="8">
        <f t="shared" si="1"/>
        <v>11</v>
      </c>
      <c r="H8956" s="14">
        <f t="shared" si="2"/>
        <v>9</v>
      </c>
      <c r="I8956" s="15">
        <f t="shared" si="3"/>
        <v>3</v>
      </c>
    </row>
    <row r="8957">
      <c r="A8957" s="8" t="str">
        <f>IFERROR(__xludf.DUMMYFUNCTION("IF('(INGESTA)Datos_consumo_datadis'!A8957&lt;&gt;"""",SPLIT('(INGESTA)Datos_consumo_datadis'!A:A,"",""),"""")"),"ES0031408323131005HX0F")</f>
        <v>ES0031408323131005HX0F</v>
      </c>
      <c r="B8957" s="12">
        <f>IFERROR(__xludf.DUMMYFUNCTION("""COMPUTED_VALUE"""),45239.0)</f>
        <v>45239</v>
      </c>
      <c r="C8957" s="13">
        <f>IFERROR(__xludf.DUMMYFUNCTION("""COMPUTED_VALUE"""),0.16666666666666666)</f>
        <v>0.1666666667</v>
      </c>
      <c r="D8957" s="8">
        <f>IFERROR(__xludf.DUMMYFUNCTION("""COMPUTED_VALUE"""),0.069)</f>
        <v>0.069</v>
      </c>
      <c r="E8957" s="8" t="str">
        <f>IFERROR(__xludf.DUMMYFUNCTION("""COMPUTED_VALUE"""),"Real")</f>
        <v>Real</v>
      </c>
      <c r="G8957" s="8">
        <f t="shared" si="1"/>
        <v>11</v>
      </c>
      <c r="H8957" s="14">
        <f t="shared" si="2"/>
        <v>9</v>
      </c>
      <c r="I8957" s="15">
        <f t="shared" si="3"/>
        <v>4</v>
      </c>
    </row>
    <row r="8958">
      <c r="A8958" s="8" t="str">
        <f>IFERROR(__xludf.DUMMYFUNCTION("IF('(INGESTA)Datos_consumo_datadis'!A8958&lt;&gt;"""",SPLIT('(INGESTA)Datos_consumo_datadis'!A:A,"",""),"""")"),"ES0031408323131005HX0F")</f>
        <v>ES0031408323131005HX0F</v>
      </c>
      <c r="B8958" s="12">
        <f>IFERROR(__xludf.DUMMYFUNCTION("""COMPUTED_VALUE"""),45239.0)</f>
        <v>45239</v>
      </c>
      <c r="C8958" s="13">
        <f>IFERROR(__xludf.DUMMYFUNCTION("""COMPUTED_VALUE"""),0.20833333333333334)</f>
        <v>0.2083333333</v>
      </c>
      <c r="D8958" s="8">
        <f>IFERROR(__xludf.DUMMYFUNCTION("""COMPUTED_VALUE"""),0.117)</f>
        <v>0.117</v>
      </c>
      <c r="E8958" s="8" t="str">
        <f>IFERROR(__xludf.DUMMYFUNCTION("""COMPUTED_VALUE"""),"Real")</f>
        <v>Real</v>
      </c>
      <c r="G8958" s="8">
        <f t="shared" si="1"/>
        <v>11</v>
      </c>
      <c r="H8958" s="14">
        <f t="shared" si="2"/>
        <v>9</v>
      </c>
      <c r="I8958" s="15">
        <f t="shared" si="3"/>
        <v>5</v>
      </c>
    </row>
    <row r="8959">
      <c r="A8959" s="8" t="str">
        <f>IFERROR(__xludf.DUMMYFUNCTION("IF('(INGESTA)Datos_consumo_datadis'!A8959&lt;&gt;"""",SPLIT('(INGESTA)Datos_consumo_datadis'!A:A,"",""),"""")"),"ES0031408323131005HX0F")</f>
        <v>ES0031408323131005HX0F</v>
      </c>
      <c r="B8959" s="12">
        <f>IFERROR(__xludf.DUMMYFUNCTION("""COMPUTED_VALUE"""),45239.0)</f>
        <v>45239</v>
      </c>
      <c r="C8959" s="13">
        <f>IFERROR(__xludf.DUMMYFUNCTION("""COMPUTED_VALUE"""),0.25)</f>
        <v>0.25</v>
      </c>
      <c r="D8959" s="8">
        <f>IFERROR(__xludf.DUMMYFUNCTION("""COMPUTED_VALUE"""),0.072)</f>
        <v>0.072</v>
      </c>
      <c r="E8959" s="8" t="str">
        <f>IFERROR(__xludf.DUMMYFUNCTION("""COMPUTED_VALUE"""),"Real")</f>
        <v>Real</v>
      </c>
      <c r="G8959" s="8">
        <f t="shared" si="1"/>
        <v>11</v>
      </c>
      <c r="H8959" s="14">
        <f t="shared" si="2"/>
        <v>9</v>
      </c>
      <c r="I8959" s="15">
        <f t="shared" si="3"/>
        <v>6</v>
      </c>
    </row>
    <row r="8960">
      <c r="A8960" s="8" t="str">
        <f>IFERROR(__xludf.DUMMYFUNCTION("IF('(INGESTA)Datos_consumo_datadis'!A8960&lt;&gt;"""",SPLIT('(INGESTA)Datos_consumo_datadis'!A:A,"",""),"""")"),"ES0031408323131005HX0F")</f>
        <v>ES0031408323131005HX0F</v>
      </c>
      <c r="B8960" s="12">
        <f>IFERROR(__xludf.DUMMYFUNCTION("""COMPUTED_VALUE"""),45239.0)</f>
        <v>45239</v>
      </c>
      <c r="C8960" s="13">
        <f>IFERROR(__xludf.DUMMYFUNCTION("""COMPUTED_VALUE"""),0.2916666666666667)</f>
        <v>0.2916666667</v>
      </c>
      <c r="D8960" s="8">
        <f>IFERROR(__xludf.DUMMYFUNCTION("""COMPUTED_VALUE"""),0.033)</f>
        <v>0.033</v>
      </c>
      <c r="E8960" s="8" t="str">
        <f>IFERROR(__xludf.DUMMYFUNCTION("""COMPUTED_VALUE"""),"Real")</f>
        <v>Real</v>
      </c>
      <c r="G8960" s="8">
        <f t="shared" si="1"/>
        <v>11</v>
      </c>
      <c r="H8960" s="14">
        <f t="shared" si="2"/>
        <v>9</v>
      </c>
      <c r="I8960" s="15">
        <f t="shared" si="3"/>
        <v>7</v>
      </c>
    </row>
    <row r="8961">
      <c r="A8961" s="8" t="str">
        <f>IFERROR(__xludf.DUMMYFUNCTION("IF('(INGESTA)Datos_consumo_datadis'!A8961&lt;&gt;"""",SPLIT('(INGESTA)Datos_consumo_datadis'!A:A,"",""),"""")"),"ES0031408323131005HX0F")</f>
        <v>ES0031408323131005HX0F</v>
      </c>
      <c r="B8961" s="12">
        <f>IFERROR(__xludf.DUMMYFUNCTION("""COMPUTED_VALUE"""),45239.0)</f>
        <v>45239</v>
      </c>
      <c r="C8961" s="13">
        <f>IFERROR(__xludf.DUMMYFUNCTION("""COMPUTED_VALUE"""),0.3333333333333333)</f>
        <v>0.3333333333</v>
      </c>
      <c r="D8961" s="8">
        <f>IFERROR(__xludf.DUMMYFUNCTION("""COMPUTED_VALUE"""),0.096)</f>
        <v>0.096</v>
      </c>
      <c r="E8961" s="8" t="str">
        <f>IFERROR(__xludf.DUMMYFUNCTION("""COMPUTED_VALUE"""),"Real")</f>
        <v>Real</v>
      </c>
      <c r="G8961" s="8">
        <f t="shared" si="1"/>
        <v>11</v>
      </c>
      <c r="H8961" s="14">
        <f t="shared" si="2"/>
        <v>9</v>
      </c>
      <c r="I8961" s="15">
        <f t="shared" si="3"/>
        <v>8</v>
      </c>
    </row>
    <row r="8962">
      <c r="A8962" s="8" t="str">
        <f>IFERROR(__xludf.DUMMYFUNCTION("IF('(INGESTA)Datos_consumo_datadis'!A8962&lt;&gt;"""",SPLIT('(INGESTA)Datos_consumo_datadis'!A:A,"",""),"""")"),"ES0031408323131005HX0F")</f>
        <v>ES0031408323131005HX0F</v>
      </c>
      <c r="B8962" s="12">
        <f>IFERROR(__xludf.DUMMYFUNCTION("""COMPUTED_VALUE"""),45239.0)</f>
        <v>45239</v>
      </c>
      <c r="C8962" s="13">
        <f>IFERROR(__xludf.DUMMYFUNCTION("""COMPUTED_VALUE"""),0.375)</f>
        <v>0.375</v>
      </c>
      <c r="D8962" s="8">
        <f>IFERROR(__xludf.DUMMYFUNCTION("""COMPUTED_VALUE"""),0.348)</f>
        <v>0.348</v>
      </c>
      <c r="E8962" s="8" t="str">
        <f>IFERROR(__xludf.DUMMYFUNCTION("""COMPUTED_VALUE"""),"Real")</f>
        <v>Real</v>
      </c>
      <c r="G8962" s="8">
        <f t="shared" si="1"/>
        <v>11</v>
      </c>
      <c r="H8962" s="14">
        <f t="shared" si="2"/>
        <v>9</v>
      </c>
      <c r="I8962" s="15">
        <f t="shared" si="3"/>
        <v>9</v>
      </c>
    </row>
    <row r="8963">
      <c r="A8963" s="8" t="str">
        <f>IFERROR(__xludf.DUMMYFUNCTION("IF('(INGESTA)Datos_consumo_datadis'!A8963&lt;&gt;"""",SPLIT('(INGESTA)Datos_consumo_datadis'!A:A,"",""),"""")"),"ES0031408323131005HX0F")</f>
        <v>ES0031408323131005HX0F</v>
      </c>
      <c r="B8963" s="12">
        <f>IFERROR(__xludf.DUMMYFUNCTION("""COMPUTED_VALUE"""),45239.0)</f>
        <v>45239</v>
      </c>
      <c r="C8963" s="13">
        <f>IFERROR(__xludf.DUMMYFUNCTION("""COMPUTED_VALUE"""),0.4166666666666667)</f>
        <v>0.4166666667</v>
      </c>
      <c r="D8963" s="8">
        <f>IFERROR(__xludf.DUMMYFUNCTION("""COMPUTED_VALUE"""),0.032)</f>
        <v>0.032</v>
      </c>
      <c r="E8963" s="8" t="str">
        <f>IFERROR(__xludf.DUMMYFUNCTION("""COMPUTED_VALUE"""),"Real")</f>
        <v>Real</v>
      </c>
      <c r="G8963" s="8">
        <f t="shared" si="1"/>
        <v>11</v>
      </c>
      <c r="H8963" s="14">
        <f t="shared" si="2"/>
        <v>9</v>
      </c>
      <c r="I8963" s="15">
        <f t="shared" si="3"/>
        <v>10</v>
      </c>
    </row>
    <row r="8964">
      <c r="A8964" s="8" t="str">
        <f>IFERROR(__xludf.DUMMYFUNCTION("IF('(INGESTA)Datos_consumo_datadis'!A8964&lt;&gt;"""",SPLIT('(INGESTA)Datos_consumo_datadis'!A:A,"",""),"""")"),"ES0031408323131005HX0F")</f>
        <v>ES0031408323131005HX0F</v>
      </c>
      <c r="B8964" s="12">
        <f>IFERROR(__xludf.DUMMYFUNCTION("""COMPUTED_VALUE"""),45239.0)</f>
        <v>45239</v>
      </c>
      <c r="C8964" s="13">
        <f>IFERROR(__xludf.DUMMYFUNCTION("""COMPUTED_VALUE"""),0.4583333333333333)</f>
        <v>0.4583333333</v>
      </c>
      <c r="D8964" s="8">
        <f>IFERROR(__xludf.DUMMYFUNCTION("""COMPUTED_VALUE"""),0.061)</f>
        <v>0.061</v>
      </c>
      <c r="E8964" s="8" t="str">
        <f>IFERROR(__xludf.DUMMYFUNCTION("""COMPUTED_VALUE"""),"Real")</f>
        <v>Real</v>
      </c>
      <c r="G8964" s="8">
        <f t="shared" si="1"/>
        <v>11</v>
      </c>
      <c r="H8964" s="14">
        <f t="shared" si="2"/>
        <v>9</v>
      </c>
      <c r="I8964" s="15">
        <f t="shared" si="3"/>
        <v>11</v>
      </c>
    </row>
    <row r="8965">
      <c r="A8965" s="8" t="str">
        <f>IFERROR(__xludf.DUMMYFUNCTION("IF('(INGESTA)Datos_consumo_datadis'!A8965&lt;&gt;"""",SPLIT('(INGESTA)Datos_consumo_datadis'!A:A,"",""),"""")"),"ES0031408323131005HX0F")</f>
        <v>ES0031408323131005HX0F</v>
      </c>
      <c r="B8965" s="12">
        <f>IFERROR(__xludf.DUMMYFUNCTION("""COMPUTED_VALUE"""),45239.0)</f>
        <v>45239</v>
      </c>
      <c r="C8965" s="13">
        <f>IFERROR(__xludf.DUMMYFUNCTION("""COMPUTED_VALUE"""),0.5)</f>
        <v>0.5</v>
      </c>
      <c r="D8965" s="8">
        <f>IFERROR(__xludf.DUMMYFUNCTION("""COMPUTED_VALUE"""),0.078)</f>
        <v>0.078</v>
      </c>
      <c r="E8965" s="8" t="str">
        <f>IFERROR(__xludf.DUMMYFUNCTION("""COMPUTED_VALUE"""),"Real")</f>
        <v>Real</v>
      </c>
      <c r="G8965" s="8">
        <f t="shared" si="1"/>
        <v>11</v>
      </c>
      <c r="H8965" s="14">
        <f t="shared" si="2"/>
        <v>9</v>
      </c>
      <c r="I8965" s="15">
        <f t="shared" si="3"/>
        <v>12</v>
      </c>
    </row>
    <row r="8966">
      <c r="A8966" s="8" t="str">
        <f>IFERROR(__xludf.DUMMYFUNCTION("IF('(INGESTA)Datos_consumo_datadis'!A8966&lt;&gt;"""",SPLIT('(INGESTA)Datos_consumo_datadis'!A:A,"",""),"""")"),"ES0031408323131005HX0F")</f>
        <v>ES0031408323131005HX0F</v>
      </c>
      <c r="B8966" s="12">
        <f>IFERROR(__xludf.DUMMYFUNCTION("""COMPUTED_VALUE"""),45239.0)</f>
        <v>45239</v>
      </c>
      <c r="C8966" s="13">
        <f>IFERROR(__xludf.DUMMYFUNCTION("""COMPUTED_VALUE"""),0.5416666666666666)</f>
        <v>0.5416666667</v>
      </c>
      <c r="D8966" s="8">
        <f>IFERROR(__xludf.DUMMYFUNCTION("""COMPUTED_VALUE"""),0.044)</f>
        <v>0.044</v>
      </c>
      <c r="E8966" s="8" t="str">
        <f>IFERROR(__xludf.DUMMYFUNCTION("""COMPUTED_VALUE"""),"Real")</f>
        <v>Real</v>
      </c>
      <c r="G8966" s="8">
        <f t="shared" si="1"/>
        <v>11</v>
      </c>
      <c r="H8966" s="14">
        <f t="shared" si="2"/>
        <v>9</v>
      </c>
      <c r="I8966" s="15">
        <f t="shared" si="3"/>
        <v>13</v>
      </c>
    </row>
    <row r="8967">
      <c r="A8967" s="8" t="str">
        <f>IFERROR(__xludf.DUMMYFUNCTION("IF('(INGESTA)Datos_consumo_datadis'!A8967&lt;&gt;"""",SPLIT('(INGESTA)Datos_consumo_datadis'!A:A,"",""),"""")"),"ES0031408323131005HX0F")</f>
        <v>ES0031408323131005HX0F</v>
      </c>
      <c r="B8967" s="12">
        <f>IFERROR(__xludf.DUMMYFUNCTION("""COMPUTED_VALUE"""),45239.0)</f>
        <v>45239</v>
      </c>
      <c r="C8967" s="13">
        <f>IFERROR(__xludf.DUMMYFUNCTION("""COMPUTED_VALUE"""),0.5833333333333334)</f>
        <v>0.5833333333</v>
      </c>
      <c r="D8967" s="8">
        <f>IFERROR(__xludf.DUMMYFUNCTION("""COMPUTED_VALUE"""),0.05)</f>
        <v>0.05</v>
      </c>
      <c r="E8967" s="8" t="str">
        <f>IFERROR(__xludf.DUMMYFUNCTION("""COMPUTED_VALUE"""),"Real")</f>
        <v>Real</v>
      </c>
      <c r="G8967" s="8">
        <f t="shared" si="1"/>
        <v>11</v>
      </c>
      <c r="H8967" s="14">
        <f t="shared" si="2"/>
        <v>9</v>
      </c>
      <c r="I8967" s="15">
        <f t="shared" si="3"/>
        <v>14</v>
      </c>
    </row>
    <row r="8968">
      <c r="A8968" s="8" t="str">
        <f>IFERROR(__xludf.DUMMYFUNCTION("IF('(INGESTA)Datos_consumo_datadis'!A8968&lt;&gt;"""",SPLIT('(INGESTA)Datos_consumo_datadis'!A:A,"",""),"""")"),"ES0031408323131005HX0F")</f>
        <v>ES0031408323131005HX0F</v>
      </c>
      <c r="B8968" s="12">
        <f>IFERROR(__xludf.DUMMYFUNCTION("""COMPUTED_VALUE"""),45239.0)</f>
        <v>45239</v>
      </c>
      <c r="C8968" s="13">
        <f>IFERROR(__xludf.DUMMYFUNCTION("""COMPUTED_VALUE"""),0.625)</f>
        <v>0.625</v>
      </c>
      <c r="D8968" s="8">
        <f>IFERROR(__xludf.DUMMYFUNCTION("""COMPUTED_VALUE"""),0.378)</f>
        <v>0.378</v>
      </c>
      <c r="E8968" s="8" t="str">
        <f>IFERROR(__xludf.DUMMYFUNCTION("""COMPUTED_VALUE"""),"Real")</f>
        <v>Real</v>
      </c>
      <c r="G8968" s="8">
        <f t="shared" si="1"/>
        <v>11</v>
      </c>
      <c r="H8968" s="14">
        <f t="shared" si="2"/>
        <v>9</v>
      </c>
      <c r="I8968" s="15">
        <f t="shared" si="3"/>
        <v>15</v>
      </c>
    </row>
    <row r="8969">
      <c r="A8969" s="8" t="str">
        <f>IFERROR(__xludf.DUMMYFUNCTION("IF('(INGESTA)Datos_consumo_datadis'!A8969&lt;&gt;"""",SPLIT('(INGESTA)Datos_consumo_datadis'!A:A,"",""),"""")"),"ES0031408323131005HX0F")</f>
        <v>ES0031408323131005HX0F</v>
      </c>
      <c r="B8969" s="12">
        <f>IFERROR(__xludf.DUMMYFUNCTION("""COMPUTED_VALUE"""),45239.0)</f>
        <v>45239</v>
      </c>
      <c r="C8969" s="13">
        <f>IFERROR(__xludf.DUMMYFUNCTION("""COMPUTED_VALUE"""),0.6666666666666666)</f>
        <v>0.6666666667</v>
      </c>
      <c r="D8969" s="8">
        <f>IFERROR(__xludf.DUMMYFUNCTION("""COMPUTED_VALUE"""),0.063)</f>
        <v>0.063</v>
      </c>
      <c r="E8969" s="8" t="str">
        <f>IFERROR(__xludf.DUMMYFUNCTION("""COMPUTED_VALUE"""),"Real")</f>
        <v>Real</v>
      </c>
      <c r="G8969" s="8">
        <f t="shared" si="1"/>
        <v>11</v>
      </c>
      <c r="H8969" s="14">
        <f t="shared" si="2"/>
        <v>9</v>
      </c>
      <c r="I8969" s="15">
        <f t="shared" si="3"/>
        <v>16</v>
      </c>
    </row>
    <row r="8970">
      <c r="A8970" s="8" t="str">
        <f>IFERROR(__xludf.DUMMYFUNCTION("IF('(INGESTA)Datos_consumo_datadis'!A8970&lt;&gt;"""",SPLIT('(INGESTA)Datos_consumo_datadis'!A:A,"",""),"""")"),"ES0031408323131005HX0F")</f>
        <v>ES0031408323131005HX0F</v>
      </c>
      <c r="B8970" s="12">
        <f>IFERROR(__xludf.DUMMYFUNCTION("""COMPUTED_VALUE"""),45239.0)</f>
        <v>45239</v>
      </c>
      <c r="C8970" s="13">
        <f>IFERROR(__xludf.DUMMYFUNCTION("""COMPUTED_VALUE"""),0.7083333333333334)</f>
        <v>0.7083333333</v>
      </c>
      <c r="D8970" s="8">
        <f>IFERROR(__xludf.DUMMYFUNCTION("""COMPUTED_VALUE"""),0.049)</f>
        <v>0.049</v>
      </c>
      <c r="E8970" s="8" t="str">
        <f>IFERROR(__xludf.DUMMYFUNCTION("""COMPUTED_VALUE"""),"Real")</f>
        <v>Real</v>
      </c>
      <c r="G8970" s="8">
        <f t="shared" si="1"/>
        <v>11</v>
      </c>
      <c r="H8970" s="14">
        <f t="shared" si="2"/>
        <v>9</v>
      </c>
      <c r="I8970" s="15">
        <f t="shared" si="3"/>
        <v>17</v>
      </c>
    </row>
    <row r="8971">
      <c r="A8971" s="8" t="str">
        <f>IFERROR(__xludf.DUMMYFUNCTION("IF('(INGESTA)Datos_consumo_datadis'!A8971&lt;&gt;"""",SPLIT('(INGESTA)Datos_consumo_datadis'!A:A,"",""),"""")"),"ES0031408323131005HX0F")</f>
        <v>ES0031408323131005HX0F</v>
      </c>
      <c r="B8971" s="12">
        <f>IFERROR(__xludf.DUMMYFUNCTION("""COMPUTED_VALUE"""),45239.0)</f>
        <v>45239</v>
      </c>
      <c r="C8971" s="13">
        <f>IFERROR(__xludf.DUMMYFUNCTION("""COMPUTED_VALUE"""),0.75)</f>
        <v>0.75</v>
      </c>
      <c r="D8971" s="8">
        <f>IFERROR(__xludf.DUMMYFUNCTION("""COMPUTED_VALUE"""),0.172)</f>
        <v>0.172</v>
      </c>
      <c r="E8971" s="8" t="str">
        <f>IFERROR(__xludf.DUMMYFUNCTION("""COMPUTED_VALUE"""),"Real")</f>
        <v>Real</v>
      </c>
      <c r="G8971" s="8">
        <f t="shared" si="1"/>
        <v>11</v>
      </c>
      <c r="H8971" s="14">
        <f t="shared" si="2"/>
        <v>9</v>
      </c>
      <c r="I8971" s="15">
        <f t="shared" si="3"/>
        <v>18</v>
      </c>
    </row>
    <row r="8972">
      <c r="A8972" s="8" t="str">
        <f>IFERROR(__xludf.DUMMYFUNCTION("IF('(INGESTA)Datos_consumo_datadis'!A8972&lt;&gt;"""",SPLIT('(INGESTA)Datos_consumo_datadis'!A:A,"",""),"""")"),"ES0031408323131005HX0F")</f>
        <v>ES0031408323131005HX0F</v>
      </c>
      <c r="B8972" s="12">
        <f>IFERROR(__xludf.DUMMYFUNCTION("""COMPUTED_VALUE"""),45239.0)</f>
        <v>45239</v>
      </c>
      <c r="C8972" s="13">
        <f>IFERROR(__xludf.DUMMYFUNCTION("""COMPUTED_VALUE"""),0.7916666666666666)</f>
        <v>0.7916666667</v>
      </c>
      <c r="D8972" s="8">
        <f>IFERROR(__xludf.DUMMYFUNCTION("""COMPUTED_VALUE"""),0.066)</f>
        <v>0.066</v>
      </c>
      <c r="E8972" s="8" t="str">
        <f>IFERROR(__xludf.DUMMYFUNCTION("""COMPUTED_VALUE"""),"Real")</f>
        <v>Real</v>
      </c>
      <c r="G8972" s="8">
        <f t="shared" si="1"/>
        <v>11</v>
      </c>
      <c r="H8972" s="14">
        <f t="shared" si="2"/>
        <v>9</v>
      </c>
      <c r="I8972" s="15">
        <f t="shared" si="3"/>
        <v>19</v>
      </c>
    </row>
    <row r="8973">
      <c r="A8973" s="8" t="str">
        <f>IFERROR(__xludf.DUMMYFUNCTION("IF('(INGESTA)Datos_consumo_datadis'!A8973&lt;&gt;"""",SPLIT('(INGESTA)Datos_consumo_datadis'!A:A,"",""),"""")"),"ES0031408323131005HX0F")</f>
        <v>ES0031408323131005HX0F</v>
      </c>
      <c r="B8973" s="12">
        <f>IFERROR(__xludf.DUMMYFUNCTION("""COMPUTED_VALUE"""),45239.0)</f>
        <v>45239</v>
      </c>
      <c r="C8973" s="13">
        <f>IFERROR(__xludf.DUMMYFUNCTION("""COMPUTED_VALUE"""),0.8333333333333334)</f>
        <v>0.8333333333</v>
      </c>
      <c r="D8973" s="8">
        <f>IFERROR(__xludf.DUMMYFUNCTION("""COMPUTED_VALUE"""),0.026)</f>
        <v>0.026</v>
      </c>
      <c r="E8973" s="8" t="str">
        <f>IFERROR(__xludf.DUMMYFUNCTION("""COMPUTED_VALUE"""),"Real")</f>
        <v>Real</v>
      </c>
      <c r="G8973" s="8">
        <f t="shared" si="1"/>
        <v>11</v>
      </c>
      <c r="H8973" s="14">
        <f t="shared" si="2"/>
        <v>9</v>
      </c>
      <c r="I8973" s="15">
        <f t="shared" si="3"/>
        <v>20</v>
      </c>
    </row>
    <row r="8974">
      <c r="A8974" s="8" t="str">
        <f>IFERROR(__xludf.DUMMYFUNCTION("IF('(INGESTA)Datos_consumo_datadis'!A8974&lt;&gt;"""",SPLIT('(INGESTA)Datos_consumo_datadis'!A:A,"",""),"""")"),"ES0031408323131005HX0F")</f>
        <v>ES0031408323131005HX0F</v>
      </c>
      <c r="B8974" s="12">
        <f>IFERROR(__xludf.DUMMYFUNCTION("""COMPUTED_VALUE"""),45239.0)</f>
        <v>45239</v>
      </c>
      <c r="C8974" s="13">
        <f>IFERROR(__xludf.DUMMYFUNCTION("""COMPUTED_VALUE"""),0.875)</f>
        <v>0.875</v>
      </c>
      <c r="D8974" s="8">
        <f>IFERROR(__xludf.DUMMYFUNCTION("""COMPUTED_VALUE"""),0.405)</f>
        <v>0.405</v>
      </c>
      <c r="E8974" s="8" t="str">
        <f>IFERROR(__xludf.DUMMYFUNCTION("""COMPUTED_VALUE"""),"Real")</f>
        <v>Real</v>
      </c>
      <c r="G8974" s="8">
        <f t="shared" si="1"/>
        <v>11</v>
      </c>
      <c r="H8974" s="14">
        <f t="shared" si="2"/>
        <v>9</v>
      </c>
      <c r="I8974" s="15">
        <f t="shared" si="3"/>
        <v>21</v>
      </c>
    </row>
    <row r="8975">
      <c r="A8975" s="8" t="str">
        <f>IFERROR(__xludf.DUMMYFUNCTION("IF('(INGESTA)Datos_consumo_datadis'!A8975&lt;&gt;"""",SPLIT('(INGESTA)Datos_consumo_datadis'!A:A,"",""),"""")"),"ES0031408323131005HX0F")</f>
        <v>ES0031408323131005HX0F</v>
      </c>
      <c r="B8975" s="12">
        <f>IFERROR(__xludf.DUMMYFUNCTION("""COMPUTED_VALUE"""),45239.0)</f>
        <v>45239</v>
      </c>
      <c r="C8975" s="13">
        <f>IFERROR(__xludf.DUMMYFUNCTION("""COMPUTED_VALUE"""),0.9166666666666666)</f>
        <v>0.9166666667</v>
      </c>
      <c r="D8975" s="8">
        <f>IFERROR(__xludf.DUMMYFUNCTION("""COMPUTED_VALUE"""),0.303)</f>
        <v>0.303</v>
      </c>
      <c r="E8975" s="8" t="str">
        <f>IFERROR(__xludf.DUMMYFUNCTION("""COMPUTED_VALUE"""),"Real")</f>
        <v>Real</v>
      </c>
      <c r="G8975" s="8">
        <f t="shared" si="1"/>
        <v>11</v>
      </c>
      <c r="H8975" s="14">
        <f t="shared" si="2"/>
        <v>9</v>
      </c>
      <c r="I8975" s="15">
        <f t="shared" si="3"/>
        <v>22</v>
      </c>
    </row>
    <row r="8976">
      <c r="A8976" s="8" t="str">
        <f>IFERROR(__xludf.DUMMYFUNCTION("IF('(INGESTA)Datos_consumo_datadis'!A8976&lt;&gt;"""",SPLIT('(INGESTA)Datos_consumo_datadis'!A:A,"",""),"""")"),"ES0031408323131005HX0F")</f>
        <v>ES0031408323131005HX0F</v>
      </c>
      <c r="B8976" s="12">
        <f>IFERROR(__xludf.DUMMYFUNCTION("""COMPUTED_VALUE"""),45239.0)</f>
        <v>45239</v>
      </c>
      <c r="C8976" s="13">
        <f>IFERROR(__xludf.DUMMYFUNCTION("""COMPUTED_VALUE"""),0.9583333333333334)</f>
        <v>0.9583333333</v>
      </c>
      <c r="D8976" s="8">
        <f>IFERROR(__xludf.DUMMYFUNCTION("""COMPUTED_VALUE"""),0.125)</f>
        <v>0.125</v>
      </c>
      <c r="E8976" s="8" t="str">
        <f>IFERROR(__xludf.DUMMYFUNCTION("""COMPUTED_VALUE"""),"Real")</f>
        <v>Real</v>
      </c>
      <c r="G8976" s="8">
        <f t="shared" si="1"/>
        <v>11</v>
      </c>
      <c r="H8976" s="14">
        <f t="shared" si="2"/>
        <v>9</v>
      </c>
      <c r="I8976" s="15">
        <f t="shared" si="3"/>
        <v>23</v>
      </c>
    </row>
    <row r="8977">
      <c r="A8977" s="8" t="str">
        <f>IFERROR(__xludf.DUMMYFUNCTION("IF('(INGESTA)Datos_consumo_datadis'!A8977&lt;&gt;"""",SPLIT('(INGESTA)Datos_consumo_datadis'!A:A,"",""),"""")"),"ES0031408323131005HX0F")</f>
        <v>ES0031408323131005HX0F</v>
      </c>
      <c r="B8977" s="12">
        <f>IFERROR(__xludf.DUMMYFUNCTION("""COMPUTED_VALUE"""),45239.0)</f>
        <v>45239</v>
      </c>
      <c r="C8977" s="16">
        <f>IFERROR(__xludf.DUMMYFUNCTION("""COMPUTED_VALUE"""),1.0)</f>
        <v>1</v>
      </c>
      <c r="D8977" s="8">
        <f>IFERROR(__xludf.DUMMYFUNCTION("""COMPUTED_VALUE"""),0.039)</f>
        <v>0.039</v>
      </c>
      <c r="E8977" s="8" t="str">
        <f>IFERROR(__xludf.DUMMYFUNCTION("""COMPUTED_VALUE"""),"Real")</f>
        <v>Real</v>
      </c>
      <c r="G8977" s="8">
        <f t="shared" si="1"/>
        <v>11</v>
      </c>
      <c r="H8977" s="14">
        <f t="shared" si="2"/>
        <v>9</v>
      </c>
      <c r="I8977" s="15">
        <f t="shared" si="3"/>
        <v>0</v>
      </c>
    </row>
    <row r="8978">
      <c r="A8978" s="8" t="str">
        <f>IFERROR(__xludf.DUMMYFUNCTION("IF('(INGESTA)Datos_consumo_datadis'!A8978&lt;&gt;"""",SPLIT('(INGESTA)Datos_consumo_datadis'!A:A,"",""),"""")"),"ES0031408323131005HX0F")</f>
        <v>ES0031408323131005HX0F</v>
      </c>
      <c r="B8978" s="17">
        <f>IFERROR(__xludf.DUMMYFUNCTION("""COMPUTED_VALUE"""),45240.0)</f>
        <v>45240</v>
      </c>
      <c r="C8978" s="13">
        <f>IFERROR(__xludf.DUMMYFUNCTION("""COMPUTED_VALUE"""),0.041666666666666664)</f>
        <v>0.04166666667</v>
      </c>
      <c r="D8978" s="8">
        <f>IFERROR(__xludf.DUMMYFUNCTION("""COMPUTED_VALUE"""),0.065)</f>
        <v>0.065</v>
      </c>
      <c r="E8978" s="8" t="str">
        <f>IFERROR(__xludf.DUMMYFUNCTION("""COMPUTED_VALUE"""),"Real")</f>
        <v>Real</v>
      </c>
      <c r="G8978" s="8">
        <f t="shared" si="1"/>
        <v>11</v>
      </c>
      <c r="H8978" s="14">
        <f t="shared" si="2"/>
        <v>10</v>
      </c>
      <c r="I8978" s="15">
        <f t="shared" si="3"/>
        <v>1</v>
      </c>
    </row>
    <row r="8979">
      <c r="A8979" s="8" t="str">
        <f>IFERROR(__xludf.DUMMYFUNCTION("IF('(INGESTA)Datos_consumo_datadis'!A8979&lt;&gt;"""",SPLIT('(INGESTA)Datos_consumo_datadis'!A:A,"",""),"""")"),"ES0031408323131005HX0F")</f>
        <v>ES0031408323131005HX0F</v>
      </c>
      <c r="B8979" s="17">
        <f>IFERROR(__xludf.DUMMYFUNCTION("""COMPUTED_VALUE"""),45240.0)</f>
        <v>45240</v>
      </c>
      <c r="C8979" s="13">
        <f>IFERROR(__xludf.DUMMYFUNCTION("""COMPUTED_VALUE"""),0.08333333333333333)</f>
        <v>0.08333333333</v>
      </c>
      <c r="D8979" s="8">
        <f>IFERROR(__xludf.DUMMYFUNCTION("""COMPUTED_VALUE"""),0.076)</f>
        <v>0.076</v>
      </c>
      <c r="E8979" s="8" t="str">
        <f>IFERROR(__xludf.DUMMYFUNCTION("""COMPUTED_VALUE"""),"Real")</f>
        <v>Real</v>
      </c>
      <c r="G8979" s="8">
        <f t="shared" si="1"/>
        <v>11</v>
      </c>
      <c r="H8979" s="14">
        <f t="shared" si="2"/>
        <v>10</v>
      </c>
      <c r="I8979" s="15">
        <f t="shared" si="3"/>
        <v>2</v>
      </c>
    </row>
    <row r="8980">
      <c r="A8980" s="8" t="str">
        <f>IFERROR(__xludf.DUMMYFUNCTION("IF('(INGESTA)Datos_consumo_datadis'!A8980&lt;&gt;"""",SPLIT('(INGESTA)Datos_consumo_datadis'!A:A,"",""),"""")"),"ES0031408323131005HX0F")</f>
        <v>ES0031408323131005HX0F</v>
      </c>
      <c r="B8980" s="17">
        <f>IFERROR(__xludf.DUMMYFUNCTION("""COMPUTED_VALUE"""),45240.0)</f>
        <v>45240</v>
      </c>
      <c r="C8980" s="13">
        <f>IFERROR(__xludf.DUMMYFUNCTION("""COMPUTED_VALUE"""),0.125)</f>
        <v>0.125</v>
      </c>
      <c r="D8980" s="8">
        <f>IFERROR(__xludf.DUMMYFUNCTION("""COMPUTED_VALUE"""),0.417)</f>
        <v>0.417</v>
      </c>
      <c r="E8980" s="8" t="str">
        <f>IFERROR(__xludf.DUMMYFUNCTION("""COMPUTED_VALUE"""),"Real")</f>
        <v>Real</v>
      </c>
      <c r="G8980" s="8">
        <f t="shared" si="1"/>
        <v>11</v>
      </c>
      <c r="H8980" s="14">
        <f t="shared" si="2"/>
        <v>10</v>
      </c>
      <c r="I8980" s="15">
        <f t="shared" si="3"/>
        <v>3</v>
      </c>
    </row>
    <row r="8981">
      <c r="A8981" s="8" t="str">
        <f>IFERROR(__xludf.DUMMYFUNCTION("IF('(INGESTA)Datos_consumo_datadis'!A8981&lt;&gt;"""",SPLIT('(INGESTA)Datos_consumo_datadis'!A:A,"",""),"""")"),"ES0031408323131005HX0F")</f>
        <v>ES0031408323131005HX0F</v>
      </c>
      <c r="B8981" s="17">
        <f>IFERROR(__xludf.DUMMYFUNCTION("""COMPUTED_VALUE"""),45240.0)</f>
        <v>45240</v>
      </c>
      <c r="C8981" s="13">
        <f>IFERROR(__xludf.DUMMYFUNCTION("""COMPUTED_VALUE"""),0.16666666666666666)</f>
        <v>0.1666666667</v>
      </c>
      <c r="D8981" s="8">
        <f>IFERROR(__xludf.DUMMYFUNCTION("""COMPUTED_VALUE"""),0.054)</f>
        <v>0.054</v>
      </c>
      <c r="E8981" s="8" t="str">
        <f>IFERROR(__xludf.DUMMYFUNCTION("""COMPUTED_VALUE"""),"Real")</f>
        <v>Real</v>
      </c>
      <c r="G8981" s="8">
        <f t="shared" si="1"/>
        <v>11</v>
      </c>
      <c r="H8981" s="14">
        <f t="shared" si="2"/>
        <v>10</v>
      </c>
      <c r="I8981" s="15">
        <f t="shared" si="3"/>
        <v>4</v>
      </c>
    </row>
    <row r="8982">
      <c r="A8982" s="8" t="str">
        <f>IFERROR(__xludf.DUMMYFUNCTION("IF('(INGESTA)Datos_consumo_datadis'!A8982&lt;&gt;"""",SPLIT('(INGESTA)Datos_consumo_datadis'!A:A,"",""),"""")"),"ES0031408323131005HX0F")</f>
        <v>ES0031408323131005HX0F</v>
      </c>
      <c r="B8982" s="17">
        <f>IFERROR(__xludf.DUMMYFUNCTION("""COMPUTED_VALUE"""),45240.0)</f>
        <v>45240</v>
      </c>
      <c r="C8982" s="13">
        <f>IFERROR(__xludf.DUMMYFUNCTION("""COMPUTED_VALUE"""),0.20833333333333334)</f>
        <v>0.2083333333</v>
      </c>
      <c r="D8982" s="8">
        <f>IFERROR(__xludf.DUMMYFUNCTION("""COMPUTED_VALUE"""),0.112)</f>
        <v>0.112</v>
      </c>
      <c r="E8982" s="8" t="str">
        <f>IFERROR(__xludf.DUMMYFUNCTION("""COMPUTED_VALUE"""),"Real")</f>
        <v>Real</v>
      </c>
      <c r="G8982" s="8">
        <f t="shared" si="1"/>
        <v>11</v>
      </c>
      <c r="H8982" s="14">
        <f t="shared" si="2"/>
        <v>10</v>
      </c>
      <c r="I8982" s="15">
        <f t="shared" si="3"/>
        <v>5</v>
      </c>
    </row>
    <row r="8983">
      <c r="A8983" s="8" t="str">
        <f>IFERROR(__xludf.DUMMYFUNCTION("IF('(INGESTA)Datos_consumo_datadis'!A8983&lt;&gt;"""",SPLIT('(INGESTA)Datos_consumo_datadis'!A:A,"",""),"""")"),"ES0031408323131005HX0F")</f>
        <v>ES0031408323131005HX0F</v>
      </c>
      <c r="B8983" s="17">
        <f>IFERROR(__xludf.DUMMYFUNCTION("""COMPUTED_VALUE"""),45240.0)</f>
        <v>45240</v>
      </c>
      <c r="C8983" s="13">
        <f>IFERROR(__xludf.DUMMYFUNCTION("""COMPUTED_VALUE"""),0.25)</f>
        <v>0.25</v>
      </c>
      <c r="D8983" s="8">
        <f>IFERROR(__xludf.DUMMYFUNCTION("""COMPUTED_VALUE"""),0.069)</f>
        <v>0.069</v>
      </c>
      <c r="E8983" s="8" t="str">
        <f>IFERROR(__xludf.DUMMYFUNCTION("""COMPUTED_VALUE"""),"Real")</f>
        <v>Real</v>
      </c>
      <c r="G8983" s="8">
        <f t="shared" si="1"/>
        <v>11</v>
      </c>
      <c r="H8983" s="14">
        <f t="shared" si="2"/>
        <v>10</v>
      </c>
      <c r="I8983" s="15">
        <f t="shared" si="3"/>
        <v>6</v>
      </c>
    </row>
    <row r="8984">
      <c r="A8984" s="8" t="str">
        <f>IFERROR(__xludf.DUMMYFUNCTION("IF('(INGESTA)Datos_consumo_datadis'!A8984&lt;&gt;"""",SPLIT('(INGESTA)Datos_consumo_datadis'!A:A,"",""),"""")"),"ES0031408323131005HX0F")</f>
        <v>ES0031408323131005HX0F</v>
      </c>
      <c r="B8984" s="17">
        <f>IFERROR(__xludf.DUMMYFUNCTION("""COMPUTED_VALUE"""),45240.0)</f>
        <v>45240</v>
      </c>
      <c r="C8984" s="13">
        <f>IFERROR(__xludf.DUMMYFUNCTION("""COMPUTED_VALUE"""),0.2916666666666667)</f>
        <v>0.2916666667</v>
      </c>
      <c r="D8984" s="8">
        <f>IFERROR(__xludf.DUMMYFUNCTION("""COMPUTED_VALUE"""),0.038)</f>
        <v>0.038</v>
      </c>
      <c r="E8984" s="8" t="str">
        <f>IFERROR(__xludf.DUMMYFUNCTION("""COMPUTED_VALUE"""),"Real")</f>
        <v>Real</v>
      </c>
      <c r="G8984" s="8">
        <f t="shared" si="1"/>
        <v>11</v>
      </c>
      <c r="H8984" s="14">
        <f t="shared" si="2"/>
        <v>10</v>
      </c>
      <c r="I8984" s="15">
        <f t="shared" si="3"/>
        <v>7</v>
      </c>
    </row>
    <row r="8985">
      <c r="A8985" s="8" t="str">
        <f>IFERROR(__xludf.DUMMYFUNCTION("IF('(INGESTA)Datos_consumo_datadis'!A8985&lt;&gt;"""",SPLIT('(INGESTA)Datos_consumo_datadis'!A:A,"",""),"""")"),"ES0031408323131005HX0F")</f>
        <v>ES0031408323131005HX0F</v>
      </c>
      <c r="B8985" s="17">
        <f>IFERROR(__xludf.DUMMYFUNCTION("""COMPUTED_VALUE"""),45240.0)</f>
        <v>45240</v>
      </c>
      <c r="C8985" s="13">
        <f>IFERROR(__xludf.DUMMYFUNCTION("""COMPUTED_VALUE"""),0.3333333333333333)</f>
        <v>0.3333333333</v>
      </c>
      <c r="D8985" s="8">
        <f>IFERROR(__xludf.DUMMYFUNCTION("""COMPUTED_VALUE"""),0.068)</f>
        <v>0.068</v>
      </c>
      <c r="E8985" s="8" t="str">
        <f>IFERROR(__xludf.DUMMYFUNCTION("""COMPUTED_VALUE"""),"Real")</f>
        <v>Real</v>
      </c>
      <c r="G8985" s="8">
        <f t="shared" si="1"/>
        <v>11</v>
      </c>
      <c r="H8985" s="14">
        <f t="shared" si="2"/>
        <v>10</v>
      </c>
      <c r="I8985" s="15">
        <f t="shared" si="3"/>
        <v>8</v>
      </c>
    </row>
    <row r="8986">
      <c r="A8986" s="8" t="str">
        <f>IFERROR(__xludf.DUMMYFUNCTION("IF('(INGESTA)Datos_consumo_datadis'!A8986&lt;&gt;"""",SPLIT('(INGESTA)Datos_consumo_datadis'!A:A,"",""),"""")"),"ES0031408323131005HX0F")</f>
        <v>ES0031408323131005HX0F</v>
      </c>
      <c r="B8986" s="17">
        <f>IFERROR(__xludf.DUMMYFUNCTION("""COMPUTED_VALUE"""),45240.0)</f>
        <v>45240</v>
      </c>
      <c r="C8986" s="13">
        <f>IFERROR(__xludf.DUMMYFUNCTION("""COMPUTED_VALUE"""),0.375)</f>
        <v>0.375</v>
      </c>
      <c r="D8986" s="8">
        <f>IFERROR(__xludf.DUMMYFUNCTION("""COMPUTED_VALUE"""),0.374)</f>
        <v>0.374</v>
      </c>
      <c r="E8986" s="8" t="str">
        <f>IFERROR(__xludf.DUMMYFUNCTION("""COMPUTED_VALUE"""),"Real")</f>
        <v>Real</v>
      </c>
      <c r="G8986" s="8">
        <f t="shared" si="1"/>
        <v>11</v>
      </c>
      <c r="H8986" s="14">
        <f t="shared" si="2"/>
        <v>10</v>
      </c>
      <c r="I8986" s="15">
        <f t="shared" si="3"/>
        <v>9</v>
      </c>
    </row>
    <row r="8987">
      <c r="A8987" s="8" t="str">
        <f>IFERROR(__xludf.DUMMYFUNCTION("IF('(INGESTA)Datos_consumo_datadis'!A8987&lt;&gt;"""",SPLIT('(INGESTA)Datos_consumo_datadis'!A:A,"",""),"""")"),"ES0031408323131005HX0F")</f>
        <v>ES0031408323131005HX0F</v>
      </c>
      <c r="B8987" s="17">
        <f>IFERROR(__xludf.DUMMYFUNCTION("""COMPUTED_VALUE"""),45240.0)</f>
        <v>45240</v>
      </c>
      <c r="C8987" s="13">
        <f>IFERROR(__xludf.DUMMYFUNCTION("""COMPUTED_VALUE"""),0.4166666666666667)</f>
        <v>0.4166666667</v>
      </c>
      <c r="D8987" s="8">
        <f>IFERROR(__xludf.DUMMYFUNCTION("""COMPUTED_VALUE"""),0.06)</f>
        <v>0.06</v>
      </c>
      <c r="E8987" s="8" t="str">
        <f>IFERROR(__xludf.DUMMYFUNCTION("""COMPUTED_VALUE"""),"Real")</f>
        <v>Real</v>
      </c>
      <c r="G8987" s="8">
        <f t="shared" si="1"/>
        <v>11</v>
      </c>
      <c r="H8987" s="14">
        <f t="shared" si="2"/>
        <v>10</v>
      </c>
      <c r="I8987" s="15">
        <f t="shared" si="3"/>
        <v>10</v>
      </c>
    </row>
    <row r="8988">
      <c r="A8988" s="8" t="str">
        <f>IFERROR(__xludf.DUMMYFUNCTION("IF('(INGESTA)Datos_consumo_datadis'!A8988&lt;&gt;"""",SPLIT('(INGESTA)Datos_consumo_datadis'!A:A,"",""),"""")"),"ES0031408323131005HX0F")</f>
        <v>ES0031408323131005HX0F</v>
      </c>
      <c r="B8988" s="17">
        <f>IFERROR(__xludf.DUMMYFUNCTION("""COMPUTED_VALUE"""),45240.0)</f>
        <v>45240</v>
      </c>
      <c r="C8988" s="13">
        <f>IFERROR(__xludf.DUMMYFUNCTION("""COMPUTED_VALUE"""),0.4583333333333333)</f>
        <v>0.4583333333</v>
      </c>
      <c r="D8988" s="8">
        <f>IFERROR(__xludf.DUMMYFUNCTION("""COMPUTED_VALUE"""),0.031)</f>
        <v>0.031</v>
      </c>
      <c r="E8988" s="8" t="str">
        <f>IFERROR(__xludf.DUMMYFUNCTION("""COMPUTED_VALUE"""),"Real")</f>
        <v>Real</v>
      </c>
      <c r="G8988" s="8">
        <f t="shared" si="1"/>
        <v>11</v>
      </c>
      <c r="H8988" s="14">
        <f t="shared" si="2"/>
        <v>10</v>
      </c>
      <c r="I8988" s="15">
        <f t="shared" si="3"/>
        <v>11</v>
      </c>
    </row>
    <row r="8989">
      <c r="A8989" s="8" t="str">
        <f>IFERROR(__xludf.DUMMYFUNCTION("IF('(INGESTA)Datos_consumo_datadis'!A8989&lt;&gt;"""",SPLIT('(INGESTA)Datos_consumo_datadis'!A:A,"",""),"""")"),"ES0031408323131005HX0F")</f>
        <v>ES0031408323131005HX0F</v>
      </c>
      <c r="B8989" s="17">
        <f>IFERROR(__xludf.DUMMYFUNCTION("""COMPUTED_VALUE"""),45240.0)</f>
        <v>45240</v>
      </c>
      <c r="C8989" s="13">
        <f>IFERROR(__xludf.DUMMYFUNCTION("""COMPUTED_VALUE"""),0.5)</f>
        <v>0.5</v>
      </c>
      <c r="D8989" s="8">
        <f>IFERROR(__xludf.DUMMYFUNCTION("""COMPUTED_VALUE"""),0.057)</f>
        <v>0.057</v>
      </c>
      <c r="E8989" s="8" t="str">
        <f>IFERROR(__xludf.DUMMYFUNCTION("""COMPUTED_VALUE"""),"Real")</f>
        <v>Real</v>
      </c>
      <c r="G8989" s="8">
        <f t="shared" si="1"/>
        <v>11</v>
      </c>
      <c r="H8989" s="14">
        <f t="shared" si="2"/>
        <v>10</v>
      </c>
      <c r="I8989" s="15">
        <f t="shared" si="3"/>
        <v>12</v>
      </c>
    </row>
    <row r="8990">
      <c r="A8990" s="8" t="str">
        <f>IFERROR(__xludf.DUMMYFUNCTION("IF('(INGESTA)Datos_consumo_datadis'!A8990&lt;&gt;"""",SPLIT('(INGESTA)Datos_consumo_datadis'!A:A,"",""),"""")"),"ES0031408323131005HX0F")</f>
        <v>ES0031408323131005HX0F</v>
      </c>
      <c r="B8990" s="17">
        <f>IFERROR(__xludf.DUMMYFUNCTION("""COMPUTED_VALUE"""),45240.0)</f>
        <v>45240</v>
      </c>
      <c r="C8990" s="13">
        <f>IFERROR(__xludf.DUMMYFUNCTION("""COMPUTED_VALUE"""),0.5416666666666666)</f>
        <v>0.5416666667</v>
      </c>
      <c r="D8990" s="8">
        <f>IFERROR(__xludf.DUMMYFUNCTION("""COMPUTED_VALUE"""),0.07)</f>
        <v>0.07</v>
      </c>
      <c r="E8990" s="8" t="str">
        <f>IFERROR(__xludf.DUMMYFUNCTION("""COMPUTED_VALUE"""),"Real")</f>
        <v>Real</v>
      </c>
      <c r="G8990" s="8">
        <f t="shared" si="1"/>
        <v>11</v>
      </c>
      <c r="H8990" s="14">
        <f t="shared" si="2"/>
        <v>10</v>
      </c>
      <c r="I8990" s="15">
        <f t="shared" si="3"/>
        <v>13</v>
      </c>
    </row>
    <row r="8991">
      <c r="A8991" s="8" t="str">
        <f>IFERROR(__xludf.DUMMYFUNCTION("IF('(INGESTA)Datos_consumo_datadis'!A8991&lt;&gt;"""",SPLIT('(INGESTA)Datos_consumo_datadis'!A:A,"",""),"""")"),"ES0031408323131005HX0F")</f>
        <v>ES0031408323131005HX0F</v>
      </c>
      <c r="B8991" s="17">
        <f>IFERROR(__xludf.DUMMYFUNCTION("""COMPUTED_VALUE"""),45240.0)</f>
        <v>45240</v>
      </c>
      <c r="C8991" s="13">
        <f>IFERROR(__xludf.DUMMYFUNCTION("""COMPUTED_VALUE"""),0.5833333333333334)</f>
        <v>0.5833333333</v>
      </c>
      <c r="D8991" s="8">
        <f>IFERROR(__xludf.DUMMYFUNCTION("""COMPUTED_VALUE"""),0.079)</f>
        <v>0.079</v>
      </c>
      <c r="E8991" s="8" t="str">
        <f>IFERROR(__xludf.DUMMYFUNCTION("""COMPUTED_VALUE"""),"Real")</f>
        <v>Real</v>
      </c>
      <c r="G8991" s="8">
        <f t="shared" si="1"/>
        <v>11</v>
      </c>
      <c r="H8991" s="14">
        <f t="shared" si="2"/>
        <v>10</v>
      </c>
      <c r="I8991" s="15">
        <f t="shared" si="3"/>
        <v>14</v>
      </c>
    </row>
    <row r="8992">
      <c r="A8992" s="8" t="str">
        <f>IFERROR(__xludf.DUMMYFUNCTION("IF('(INGESTA)Datos_consumo_datadis'!A8992&lt;&gt;"""",SPLIT('(INGESTA)Datos_consumo_datadis'!A:A,"",""),"""")"),"ES0031408323131005HX0F")</f>
        <v>ES0031408323131005HX0F</v>
      </c>
      <c r="B8992" s="17">
        <f>IFERROR(__xludf.DUMMYFUNCTION("""COMPUTED_VALUE"""),45240.0)</f>
        <v>45240</v>
      </c>
      <c r="C8992" s="13">
        <f>IFERROR(__xludf.DUMMYFUNCTION("""COMPUTED_VALUE"""),0.625)</f>
        <v>0.625</v>
      </c>
      <c r="D8992" s="8">
        <f>IFERROR(__xludf.DUMMYFUNCTION("""COMPUTED_VALUE"""),0.306)</f>
        <v>0.306</v>
      </c>
      <c r="E8992" s="8" t="str">
        <f>IFERROR(__xludf.DUMMYFUNCTION("""COMPUTED_VALUE"""),"Real")</f>
        <v>Real</v>
      </c>
      <c r="G8992" s="8">
        <f t="shared" si="1"/>
        <v>11</v>
      </c>
      <c r="H8992" s="14">
        <f t="shared" si="2"/>
        <v>10</v>
      </c>
      <c r="I8992" s="15">
        <f t="shared" si="3"/>
        <v>15</v>
      </c>
    </row>
    <row r="8993">
      <c r="A8993" s="8" t="str">
        <f>IFERROR(__xludf.DUMMYFUNCTION("IF('(INGESTA)Datos_consumo_datadis'!A8993&lt;&gt;"""",SPLIT('(INGESTA)Datos_consumo_datadis'!A:A,"",""),"""")"),"ES0031408323131005HX0F")</f>
        <v>ES0031408323131005HX0F</v>
      </c>
      <c r="B8993" s="17">
        <f>IFERROR(__xludf.DUMMYFUNCTION("""COMPUTED_VALUE"""),45240.0)</f>
        <v>45240</v>
      </c>
      <c r="C8993" s="13">
        <f>IFERROR(__xludf.DUMMYFUNCTION("""COMPUTED_VALUE"""),0.6666666666666666)</f>
        <v>0.6666666667</v>
      </c>
      <c r="D8993" s="8">
        <f>IFERROR(__xludf.DUMMYFUNCTION("""COMPUTED_VALUE"""),0.08)</f>
        <v>0.08</v>
      </c>
      <c r="E8993" s="8" t="str">
        <f>IFERROR(__xludf.DUMMYFUNCTION("""COMPUTED_VALUE"""),"Real")</f>
        <v>Real</v>
      </c>
      <c r="G8993" s="8">
        <f t="shared" si="1"/>
        <v>11</v>
      </c>
      <c r="H8993" s="14">
        <f t="shared" si="2"/>
        <v>10</v>
      </c>
      <c r="I8993" s="15">
        <f t="shared" si="3"/>
        <v>16</v>
      </c>
    </row>
    <row r="8994">
      <c r="A8994" s="8" t="str">
        <f>IFERROR(__xludf.DUMMYFUNCTION("IF('(INGESTA)Datos_consumo_datadis'!A8994&lt;&gt;"""",SPLIT('(INGESTA)Datos_consumo_datadis'!A:A,"",""),"""")"),"ES0031408323131005HX0F")</f>
        <v>ES0031408323131005HX0F</v>
      </c>
      <c r="B8994" s="17">
        <f>IFERROR(__xludf.DUMMYFUNCTION("""COMPUTED_VALUE"""),45240.0)</f>
        <v>45240</v>
      </c>
      <c r="C8994" s="13">
        <f>IFERROR(__xludf.DUMMYFUNCTION("""COMPUTED_VALUE"""),0.7083333333333334)</f>
        <v>0.7083333333</v>
      </c>
      <c r="D8994" s="8">
        <f>IFERROR(__xludf.DUMMYFUNCTION("""COMPUTED_VALUE"""),0.071)</f>
        <v>0.071</v>
      </c>
      <c r="E8994" s="8" t="str">
        <f>IFERROR(__xludf.DUMMYFUNCTION("""COMPUTED_VALUE"""),"Real")</f>
        <v>Real</v>
      </c>
      <c r="G8994" s="8">
        <f t="shared" si="1"/>
        <v>11</v>
      </c>
      <c r="H8994" s="14">
        <f t="shared" si="2"/>
        <v>10</v>
      </c>
      <c r="I8994" s="15">
        <f t="shared" si="3"/>
        <v>17</v>
      </c>
    </row>
    <row r="8995">
      <c r="A8995" s="8" t="str">
        <f>IFERROR(__xludf.DUMMYFUNCTION("IF('(INGESTA)Datos_consumo_datadis'!A8995&lt;&gt;"""",SPLIT('(INGESTA)Datos_consumo_datadis'!A:A,"",""),"""")"),"ES0031408323131005HX0F")</f>
        <v>ES0031408323131005HX0F</v>
      </c>
      <c r="B8995" s="17">
        <f>IFERROR(__xludf.DUMMYFUNCTION("""COMPUTED_VALUE"""),45240.0)</f>
        <v>45240</v>
      </c>
      <c r="C8995" s="13">
        <f>IFERROR(__xludf.DUMMYFUNCTION("""COMPUTED_VALUE"""),0.75)</f>
        <v>0.75</v>
      </c>
      <c r="D8995" s="8">
        <f>IFERROR(__xludf.DUMMYFUNCTION("""COMPUTED_VALUE"""),0.077)</f>
        <v>0.077</v>
      </c>
      <c r="E8995" s="8" t="str">
        <f>IFERROR(__xludf.DUMMYFUNCTION("""COMPUTED_VALUE"""),"Real")</f>
        <v>Real</v>
      </c>
      <c r="G8995" s="8">
        <f t="shared" si="1"/>
        <v>11</v>
      </c>
      <c r="H8995" s="14">
        <f t="shared" si="2"/>
        <v>10</v>
      </c>
      <c r="I8995" s="15">
        <f t="shared" si="3"/>
        <v>18</v>
      </c>
    </row>
    <row r="8996">
      <c r="A8996" s="8" t="str">
        <f>IFERROR(__xludf.DUMMYFUNCTION("IF('(INGESTA)Datos_consumo_datadis'!A8996&lt;&gt;"""",SPLIT('(INGESTA)Datos_consumo_datadis'!A:A,"",""),"""")"),"ES0031408323131005HX0F")</f>
        <v>ES0031408323131005HX0F</v>
      </c>
      <c r="B8996" s="17">
        <f>IFERROR(__xludf.DUMMYFUNCTION("""COMPUTED_VALUE"""),45240.0)</f>
        <v>45240</v>
      </c>
      <c r="C8996" s="13">
        <f>IFERROR(__xludf.DUMMYFUNCTION("""COMPUTED_VALUE"""),0.7916666666666666)</f>
        <v>0.7916666667</v>
      </c>
      <c r="D8996" s="8">
        <f>IFERROR(__xludf.DUMMYFUNCTION("""COMPUTED_VALUE"""),0.015)</f>
        <v>0.015</v>
      </c>
      <c r="E8996" s="8" t="str">
        <f>IFERROR(__xludf.DUMMYFUNCTION("""COMPUTED_VALUE"""),"Real")</f>
        <v>Real</v>
      </c>
      <c r="G8996" s="8">
        <f t="shared" si="1"/>
        <v>11</v>
      </c>
      <c r="H8996" s="14">
        <f t="shared" si="2"/>
        <v>10</v>
      </c>
      <c r="I8996" s="15">
        <f t="shared" si="3"/>
        <v>19</v>
      </c>
    </row>
    <row r="8997">
      <c r="A8997" s="8" t="str">
        <f>IFERROR(__xludf.DUMMYFUNCTION("IF('(INGESTA)Datos_consumo_datadis'!A8997&lt;&gt;"""",SPLIT('(INGESTA)Datos_consumo_datadis'!A:A,"",""),"""")"),"ES0031408323131005HX0F")</f>
        <v>ES0031408323131005HX0F</v>
      </c>
      <c r="B8997" s="17">
        <f>IFERROR(__xludf.DUMMYFUNCTION("""COMPUTED_VALUE"""),45240.0)</f>
        <v>45240</v>
      </c>
      <c r="C8997" s="13">
        <f>IFERROR(__xludf.DUMMYFUNCTION("""COMPUTED_VALUE"""),0.8333333333333334)</f>
        <v>0.8333333333</v>
      </c>
      <c r="D8997" s="8">
        <f>IFERROR(__xludf.DUMMYFUNCTION("""COMPUTED_VALUE"""),0.093)</f>
        <v>0.093</v>
      </c>
      <c r="E8997" s="8" t="str">
        <f>IFERROR(__xludf.DUMMYFUNCTION("""COMPUTED_VALUE"""),"Real")</f>
        <v>Real</v>
      </c>
      <c r="G8997" s="8">
        <f t="shared" si="1"/>
        <v>11</v>
      </c>
      <c r="H8997" s="14">
        <f t="shared" si="2"/>
        <v>10</v>
      </c>
      <c r="I8997" s="15">
        <f t="shared" si="3"/>
        <v>20</v>
      </c>
    </row>
    <row r="8998">
      <c r="A8998" s="8" t="str">
        <f>IFERROR(__xludf.DUMMYFUNCTION("IF('(INGESTA)Datos_consumo_datadis'!A8998&lt;&gt;"""",SPLIT('(INGESTA)Datos_consumo_datadis'!A:A,"",""),"""")"),"ES0031408323131005HX0F")</f>
        <v>ES0031408323131005HX0F</v>
      </c>
      <c r="B8998" s="17">
        <f>IFERROR(__xludf.DUMMYFUNCTION("""COMPUTED_VALUE"""),45240.0)</f>
        <v>45240</v>
      </c>
      <c r="C8998" s="13">
        <f>IFERROR(__xludf.DUMMYFUNCTION("""COMPUTED_VALUE"""),0.875)</f>
        <v>0.875</v>
      </c>
      <c r="D8998" s="8">
        <f>IFERROR(__xludf.DUMMYFUNCTION("""COMPUTED_VALUE"""),0.347)</f>
        <v>0.347</v>
      </c>
      <c r="E8998" s="8" t="str">
        <f>IFERROR(__xludf.DUMMYFUNCTION("""COMPUTED_VALUE"""),"Real")</f>
        <v>Real</v>
      </c>
      <c r="G8998" s="8">
        <f t="shared" si="1"/>
        <v>11</v>
      </c>
      <c r="H8998" s="14">
        <f t="shared" si="2"/>
        <v>10</v>
      </c>
      <c r="I8998" s="15">
        <f t="shared" si="3"/>
        <v>21</v>
      </c>
    </row>
    <row r="8999">
      <c r="A8999" s="8" t="str">
        <f>IFERROR(__xludf.DUMMYFUNCTION("IF('(INGESTA)Datos_consumo_datadis'!A8999&lt;&gt;"""",SPLIT('(INGESTA)Datos_consumo_datadis'!A:A,"",""),"""")"),"ES0031408323131005HX0F")</f>
        <v>ES0031408323131005HX0F</v>
      </c>
      <c r="B8999" s="17">
        <f>IFERROR(__xludf.DUMMYFUNCTION("""COMPUTED_VALUE"""),45240.0)</f>
        <v>45240</v>
      </c>
      <c r="C8999" s="13">
        <f>IFERROR(__xludf.DUMMYFUNCTION("""COMPUTED_VALUE"""),0.9166666666666666)</f>
        <v>0.9166666667</v>
      </c>
      <c r="D8999" s="8">
        <f>IFERROR(__xludf.DUMMYFUNCTION("""COMPUTED_VALUE"""),0.042)</f>
        <v>0.042</v>
      </c>
      <c r="E8999" s="8" t="str">
        <f>IFERROR(__xludf.DUMMYFUNCTION("""COMPUTED_VALUE"""),"Real")</f>
        <v>Real</v>
      </c>
      <c r="G8999" s="8">
        <f t="shared" si="1"/>
        <v>11</v>
      </c>
      <c r="H8999" s="14">
        <f t="shared" si="2"/>
        <v>10</v>
      </c>
      <c r="I8999" s="15">
        <f t="shared" si="3"/>
        <v>22</v>
      </c>
    </row>
    <row r="9000">
      <c r="A9000" s="8" t="str">
        <f>IFERROR(__xludf.DUMMYFUNCTION("IF('(INGESTA)Datos_consumo_datadis'!A9000&lt;&gt;"""",SPLIT('(INGESTA)Datos_consumo_datadis'!A:A,"",""),"""")"),"ES0031408323131005HX0F")</f>
        <v>ES0031408323131005HX0F</v>
      </c>
      <c r="B9000" s="17">
        <f>IFERROR(__xludf.DUMMYFUNCTION("""COMPUTED_VALUE"""),45240.0)</f>
        <v>45240</v>
      </c>
      <c r="C9000" s="13">
        <f>IFERROR(__xludf.DUMMYFUNCTION("""COMPUTED_VALUE"""),0.9583333333333334)</f>
        <v>0.9583333333</v>
      </c>
      <c r="D9000" s="8">
        <f>IFERROR(__xludf.DUMMYFUNCTION("""COMPUTED_VALUE"""),0.49)</f>
        <v>0.49</v>
      </c>
      <c r="E9000" s="8" t="str">
        <f>IFERROR(__xludf.DUMMYFUNCTION("""COMPUTED_VALUE"""),"Real")</f>
        <v>Real</v>
      </c>
      <c r="G9000" s="8">
        <f t="shared" si="1"/>
        <v>11</v>
      </c>
      <c r="H9000" s="14">
        <f t="shared" si="2"/>
        <v>10</v>
      </c>
      <c r="I9000" s="15">
        <f t="shared" si="3"/>
        <v>23</v>
      </c>
    </row>
    <row r="9001">
      <c r="A9001" s="8" t="str">
        <f>IFERROR(__xludf.DUMMYFUNCTION("IF('(INGESTA)Datos_consumo_datadis'!A9001&lt;&gt;"""",SPLIT('(INGESTA)Datos_consumo_datadis'!A:A,"",""),"""")"),"ES0031408323131005HX0F")</f>
        <v>ES0031408323131005HX0F</v>
      </c>
      <c r="B9001" s="17">
        <f>IFERROR(__xludf.DUMMYFUNCTION("""COMPUTED_VALUE"""),45240.0)</f>
        <v>45240</v>
      </c>
      <c r="C9001" s="16">
        <f>IFERROR(__xludf.DUMMYFUNCTION("""COMPUTED_VALUE"""),1.0)</f>
        <v>1</v>
      </c>
      <c r="D9001" s="8">
        <f>IFERROR(__xludf.DUMMYFUNCTION("""COMPUTED_VALUE"""),0.159)</f>
        <v>0.159</v>
      </c>
      <c r="E9001" s="8" t="str">
        <f>IFERROR(__xludf.DUMMYFUNCTION("""COMPUTED_VALUE"""),"Real")</f>
        <v>Real</v>
      </c>
      <c r="G9001" s="8">
        <f t="shared" si="1"/>
        <v>11</v>
      </c>
      <c r="H9001" s="14">
        <f t="shared" si="2"/>
        <v>10</v>
      </c>
      <c r="I9001" s="15">
        <f t="shared" si="3"/>
        <v>0</v>
      </c>
    </row>
    <row r="9002">
      <c r="A9002" s="8" t="str">
        <f>IFERROR(__xludf.DUMMYFUNCTION("IF('(INGESTA)Datos_consumo_datadis'!A9002&lt;&gt;"""",SPLIT('(INGESTA)Datos_consumo_datadis'!A:A,"",""),"""")"),"ES0031408323131005HX0F")</f>
        <v>ES0031408323131005HX0F</v>
      </c>
      <c r="B9002" s="17">
        <f>IFERROR(__xludf.DUMMYFUNCTION("""COMPUTED_VALUE"""),45241.0)</f>
        <v>45241</v>
      </c>
      <c r="C9002" s="13">
        <f>IFERROR(__xludf.DUMMYFUNCTION("""COMPUTED_VALUE"""),0.041666666666666664)</f>
        <v>0.04166666667</v>
      </c>
      <c r="D9002" s="8">
        <f>IFERROR(__xludf.DUMMYFUNCTION("""COMPUTED_VALUE"""),0.189)</f>
        <v>0.189</v>
      </c>
      <c r="E9002" s="8" t="str">
        <f>IFERROR(__xludf.DUMMYFUNCTION("""COMPUTED_VALUE"""),"Real")</f>
        <v>Real</v>
      </c>
      <c r="G9002" s="8">
        <f t="shared" si="1"/>
        <v>11</v>
      </c>
      <c r="H9002" s="14">
        <f t="shared" si="2"/>
        <v>11</v>
      </c>
      <c r="I9002" s="15">
        <f t="shared" si="3"/>
        <v>1</v>
      </c>
    </row>
    <row r="9003">
      <c r="A9003" s="8" t="str">
        <f>IFERROR(__xludf.DUMMYFUNCTION("IF('(INGESTA)Datos_consumo_datadis'!A9003&lt;&gt;"""",SPLIT('(INGESTA)Datos_consumo_datadis'!A:A,"",""),"""")"),"ES0031408323131005HX0F")</f>
        <v>ES0031408323131005HX0F</v>
      </c>
      <c r="B9003" s="17">
        <f>IFERROR(__xludf.DUMMYFUNCTION("""COMPUTED_VALUE"""),45241.0)</f>
        <v>45241</v>
      </c>
      <c r="C9003" s="13">
        <f>IFERROR(__xludf.DUMMYFUNCTION("""COMPUTED_VALUE"""),0.08333333333333333)</f>
        <v>0.08333333333</v>
      </c>
      <c r="D9003" s="8">
        <f>IFERROR(__xludf.DUMMYFUNCTION("""COMPUTED_VALUE"""),0.082)</f>
        <v>0.082</v>
      </c>
      <c r="E9003" s="8" t="str">
        <f>IFERROR(__xludf.DUMMYFUNCTION("""COMPUTED_VALUE"""),"Real")</f>
        <v>Real</v>
      </c>
      <c r="G9003" s="8">
        <f t="shared" si="1"/>
        <v>11</v>
      </c>
      <c r="H9003" s="14">
        <f t="shared" si="2"/>
        <v>11</v>
      </c>
      <c r="I9003" s="15">
        <f t="shared" si="3"/>
        <v>2</v>
      </c>
    </row>
    <row r="9004">
      <c r="A9004" s="8" t="str">
        <f>IFERROR(__xludf.DUMMYFUNCTION("IF('(INGESTA)Datos_consumo_datadis'!A9004&lt;&gt;"""",SPLIT('(INGESTA)Datos_consumo_datadis'!A:A,"",""),"""")"),"ES0031408323131005HX0F")</f>
        <v>ES0031408323131005HX0F</v>
      </c>
      <c r="B9004" s="17">
        <f>IFERROR(__xludf.DUMMYFUNCTION("""COMPUTED_VALUE"""),45241.0)</f>
        <v>45241</v>
      </c>
      <c r="C9004" s="13">
        <f>IFERROR(__xludf.DUMMYFUNCTION("""COMPUTED_VALUE"""),0.125)</f>
        <v>0.125</v>
      </c>
      <c r="D9004" s="8">
        <f>IFERROR(__xludf.DUMMYFUNCTION("""COMPUTED_VALUE"""),0.138)</f>
        <v>0.138</v>
      </c>
      <c r="E9004" s="8" t="str">
        <f>IFERROR(__xludf.DUMMYFUNCTION("""COMPUTED_VALUE"""),"Real")</f>
        <v>Real</v>
      </c>
      <c r="G9004" s="8">
        <f t="shared" si="1"/>
        <v>11</v>
      </c>
      <c r="H9004" s="14">
        <f t="shared" si="2"/>
        <v>11</v>
      </c>
      <c r="I9004" s="15">
        <f t="shared" si="3"/>
        <v>3</v>
      </c>
    </row>
    <row r="9005">
      <c r="A9005" s="8" t="str">
        <f>IFERROR(__xludf.DUMMYFUNCTION("IF('(INGESTA)Datos_consumo_datadis'!A9005&lt;&gt;"""",SPLIT('(INGESTA)Datos_consumo_datadis'!A:A,"",""),"""")"),"ES0031408323131005HX0F")</f>
        <v>ES0031408323131005HX0F</v>
      </c>
      <c r="B9005" s="17">
        <f>IFERROR(__xludf.DUMMYFUNCTION("""COMPUTED_VALUE"""),45241.0)</f>
        <v>45241</v>
      </c>
      <c r="C9005" s="13">
        <f>IFERROR(__xludf.DUMMYFUNCTION("""COMPUTED_VALUE"""),0.16666666666666666)</f>
        <v>0.1666666667</v>
      </c>
      <c r="D9005" s="8">
        <f>IFERROR(__xludf.DUMMYFUNCTION("""COMPUTED_VALUE"""),0.139)</f>
        <v>0.139</v>
      </c>
      <c r="E9005" s="8" t="str">
        <f>IFERROR(__xludf.DUMMYFUNCTION("""COMPUTED_VALUE"""),"Real")</f>
        <v>Real</v>
      </c>
      <c r="G9005" s="8">
        <f t="shared" si="1"/>
        <v>11</v>
      </c>
      <c r="H9005" s="14">
        <f t="shared" si="2"/>
        <v>11</v>
      </c>
      <c r="I9005" s="15">
        <f t="shared" si="3"/>
        <v>4</v>
      </c>
    </row>
    <row r="9006">
      <c r="A9006" s="8" t="str">
        <f>IFERROR(__xludf.DUMMYFUNCTION("IF('(INGESTA)Datos_consumo_datadis'!A9006&lt;&gt;"""",SPLIT('(INGESTA)Datos_consumo_datadis'!A:A,"",""),"""")"),"ES0031408323131005HX0F")</f>
        <v>ES0031408323131005HX0F</v>
      </c>
      <c r="B9006" s="17">
        <f>IFERROR(__xludf.DUMMYFUNCTION("""COMPUTED_VALUE"""),45241.0)</f>
        <v>45241</v>
      </c>
      <c r="C9006" s="13">
        <f>IFERROR(__xludf.DUMMYFUNCTION("""COMPUTED_VALUE"""),0.20833333333333334)</f>
        <v>0.2083333333</v>
      </c>
      <c r="D9006" s="8">
        <f>IFERROR(__xludf.DUMMYFUNCTION("""COMPUTED_VALUE"""),0.086)</f>
        <v>0.086</v>
      </c>
      <c r="E9006" s="8" t="str">
        <f>IFERROR(__xludf.DUMMYFUNCTION("""COMPUTED_VALUE"""),"Real")</f>
        <v>Real</v>
      </c>
      <c r="G9006" s="8">
        <f t="shared" si="1"/>
        <v>11</v>
      </c>
      <c r="H9006" s="14">
        <f t="shared" si="2"/>
        <v>11</v>
      </c>
      <c r="I9006" s="15">
        <f t="shared" si="3"/>
        <v>5</v>
      </c>
    </row>
    <row r="9007">
      <c r="A9007" s="8" t="str">
        <f>IFERROR(__xludf.DUMMYFUNCTION("IF('(INGESTA)Datos_consumo_datadis'!A9007&lt;&gt;"""",SPLIT('(INGESTA)Datos_consumo_datadis'!A:A,"",""),"""")"),"ES0031408323131005HX0F")</f>
        <v>ES0031408323131005HX0F</v>
      </c>
      <c r="B9007" s="17">
        <f>IFERROR(__xludf.DUMMYFUNCTION("""COMPUTED_VALUE"""),45241.0)</f>
        <v>45241</v>
      </c>
      <c r="C9007" s="13">
        <f>IFERROR(__xludf.DUMMYFUNCTION("""COMPUTED_VALUE"""),0.25)</f>
        <v>0.25</v>
      </c>
      <c r="D9007" s="8">
        <f>IFERROR(__xludf.DUMMYFUNCTION("""COMPUTED_VALUE"""),0.365)</f>
        <v>0.365</v>
      </c>
      <c r="E9007" s="8" t="str">
        <f>IFERROR(__xludf.DUMMYFUNCTION("""COMPUTED_VALUE"""),"Real")</f>
        <v>Real</v>
      </c>
      <c r="G9007" s="8">
        <f t="shared" si="1"/>
        <v>11</v>
      </c>
      <c r="H9007" s="14">
        <f t="shared" si="2"/>
        <v>11</v>
      </c>
      <c r="I9007" s="15">
        <f t="shared" si="3"/>
        <v>6</v>
      </c>
    </row>
    <row r="9008">
      <c r="A9008" s="8" t="str">
        <f>IFERROR(__xludf.DUMMYFUNCTION("IF('(INGESTA)Datos_consumo_datadis'!A9008&lt;&gt;"""",SPLIT('(INGESTA)Datos_consumo_datadis'!A:A,"",""),"""")"),"ES0031408323131005HX0F")</f>
        <v>ES0031408323131005HX0F</v>
      </c>
      <c r="B9008" s="17">
        <f>IFERROR(__xludf.DUMMYFUNCTION("""COMPUTED_VALUE"""),45241.0)</f>
        <v>45241</v>
      </c>
      <c r="C9008" s="13">
        <f>IFERROR(__xludf.DUMMYFUNCTION("""COMPUTED_VALUE"""),0.2916666666666667)</f>
        <v>0.2916666667</v>
      </c>
      <c r="D9008" s="8">
        <f>IFERROR(__xludf.DUMMYFUNCTION("""COMPUTED_VALUE"""),0.025)</f>
        <v>0.025</v>
      </c>
      <c r="E9008" s="8" t="str">
        <f>IFERROR(__xludf.DUMMYFUNCTION("""COMPUTED_VALUE"""),"Real")</f>
        <v>Real</v>
      </c>
      <c r="G9008" s="8">
        <f t="shared" si="1"/>
        <v>11</v>
      </c>
      <c r="H9008" s="14">
        <f t="shared" si="2"/>
        <v>11</v>
      </c>
      <c r="I9008" s="15">
        <f t="shared" si="3"/>
        <v>7</v>
      </c>
    </row>
    <row r="9009">
      <c r="A9009" s="8" t="str">
        <f>IFERROR(__xludf.DUMMYFUNCTION("IF('(INGESTA)Datos_consumo_datadis'!A9009&lt;&gt;"""",SPLIT('(INGESTA)Datos_consumo_datadis'!A:A,"",""),"""")"),"ES0031408323131005HX0F")</f>
        <v>ES0031408323131005HX0F</v>
      </c>
      <c r="B9009" s="17">
        <f>IFERROR(__xludf.DUMMYFUNCTION("""COMPUTED_VALUE"""),45241.0)</f>
        <v>45241</v>
      </c>
      <c r="C9009" s="13">
        <f>IFERROR(__xludf.DUMMYFUNCTION("""COMPUTED_VALUE"""),0.3333333333333333)</f>
        <v>0.3333333333</v>
      </c>
      <c r="D9009" s="8">
        <f>IFERROR(__xludf.DUMMYFUNCTION("""COMPUTED_VALUE"""),0.125)</f>
        <v>0.125</v>
      </c>
      <c r="E9009" s="8" t="str">
        <f>IFERROR(__xludf.DUMMYFUNCTION("""COMPUTED_VALUE"""),"Real")</f>
        <v>Real</v>
      </c>
      <c r="G9009" s="8">
        <f t="shared" si="1"/>
        <v>11</v>
      </c>
      <c r="H9009" s="14">
        <f t="shared" si="2"/>
        <v>11</v>
      </c>
      <c r="I9009" s="15">
        <f t="shared" si="3"/>
        <v>8</v>
      </c>
    </row>
    <row r="9010">
      <c r="A9010" s="8" t="str">
        <f>IFERROR(__xludf.DUMMYFUNCTION("IF('(INGESTA)Datos_consumo_datadis'!A9010&lt;&gt;"""",SPLIT('(INGESTA)Datos_consumo_datadis'!A:A,"",""),"""")"),"ES0031408323131005HX0F")</f>
        <v>ES0031408323131005HX0F</v>
      </c>
      <c r="B9010" s="17">
        <f>IFERROR(__xludf.DUMMYFUNCTION("""COMPUTED_VALUE"""),45241.0)</f>
        <v>45241</v>
      </c>
      <c r="C9010" s="13">
        <f>IFERROR(__xludf.DUMMYFUNCTION("""COMPUTED_VALUE"""),0.375)</f>
        <v>0.375</v>
      </c>
      <c r="D9010" s="8">
        <f>IFERROR(__xludf.DUMMYFUNCTION("""COMPUTED_VALUE"""),0.081)</f>
        <v>0.081</v>
      </c>
      <c r="E9010" s="8" t="str">
        <f>IFERROR(__xludf.DUMMYFUNCTION("""COMPUTED_VALUE"""),"Real")</f>
        <v>Real</v>
      </c>
      <c r="G9010" s="8">
        <f t="shared" si="1"/>
        <v>11</v>
      </c>
      <c r="H9010" s="14">
        <f t="shared" si="2"/>
        <v>11</v>
      </c>
      <c r="I9010" s="15">
        <f t="shared" si="3"/>
        <v>9</v>
      </c>
    </row>
    <row r="9011">
      <c r="A9011" s="8" t="str">
        <f>IFERROR(__xludf.DUMMYFUNCTION("IF('(INGESTA)Datos_consumo_datadis'!A9011&lt;&gt;"""",SPLIT('(INGESTA)Datos_consumo_datadis'!A:A,"",""),"""")"),"ES0031408323131005HX0F")</f>
        <v>ES0031408323131005HX0F</v>
      </c>
      <c r="B9011" s="17">
        <f>IFERROR(__xludf.DUMMYFUNCTION("""COMPUTED_VALUE"""),45241.0)</f>
        <v>45241</v>
      </c>
      <c r="C9011" s="13">
        <f>IFERROR(__xludf.DUMMYFUNCTION("""COMPUTED_VALUE"""),0.4166666666666667)</f>
        <v>0.4166666667</v>
      </c>
      <c r="D9011" s="8">
        <f>IFERROR(__xludf.DUMMYFUNCTION("""COMPUTED_VALUE"""),0.04)</f>
        <v>0.04</v>
      </c>
      <c r="E9011" s="8" t="str">
        <f>IFERROR(__xludf.DUMMYFUNCTION("""COMPUTED_VALUE"""),"Real")</f>
        <v>Real</v>
      </c>
      <c r="G9011" s="8">
        <f t="shared" si="1"/>
        <v>11</v>
      </c>
      <c r="H9011" s="14">
        <f t="shared" si="2"/>
        <v>11</v>
      </c>
      <c r="I9011" s="15">
        <f t="shared" si="3"/>
        <v>10</v>
      </c>
    </row>
    <row r="9012">
      <c r="A9012" s="8" t="str">
        <f>IFERROR(__xludf.DUMMYFUNCTION("IF('(INGESTA)Datos_consumo_datadis'!A9012&lt;&gt;"""",SPLIT('(INGESTA)Datos_consumo_datadis'!A:A,"",""),"""")"),"ES0031408323131005HX0F")</f>
        <v>ES0031408323131005HX0F</v>
      </c>
      <c r="B9012" s="17">
        <f>IFERROR(__xludf.DUMMYFUNCTION("""COMPUTED_VALUE"""),45241.0)</f>
        <v>45241</v>
      </c>
      <c r="C9012" s="13">
        <f>IFERROR(__xludf.DUMMYFUNCTION("""COMPUTED_VALUE"""),0.4583333333333333)</f>
        <v>0.4583333333</v>
      </c>
      <c r="D9012" s="8">
        <f>IFERROR(__xludf.DUMMYFUNCTION("""COMPUTED_VALUE"""),0.041)</f>
        <v>0.041</v>
      </c>
      <c r="E9012" s="8" t="str">
        <f>IFERROR(__xludf.DUMMYFUNCTION("""COMPUTED_VALUE"""),"Real")</f>
        <v>Real</v>
      </c>
      <c r="G9012" s="8">
        <f t="shared" si="1"/>
        <v>11</v>
      </c>
      <c r="H9012" s="14">
        <f t="shared" si="2"/>
        <v>11</v>
      </c>
      <c r="I9012" s="15">
        <f t="shared" si="3"/>
        <v>11</v>
      </c>
    </row>
    <row r="9013">
      <c r="A9013" s="8" t="str">
        <f>IFERROR(__xludf.DUMMYFUNCTION("IF('(INGESTA)Datos_consumo_datadis'!A9013&lt;&gt;"""",SPLIT('(INGESTA)Datos_consumo_datadis'!A:A,"",""),"""")"),"ES0031408323131005HX0F")</f>
        <v>ES0031408323131005HX0F</v>
      </c>
      <c r="B9013" s="17">
        <f>IFERROR(__xludf.DUMMYFUNCTION("""COMPUTED_VALUE"""),45241.0)</f>
        <v>45241</v>
      </c>
      <c r="C9013" s="13">
        <f>IFERROR(__xludf.DUMMYFUNCTION("""COMPUTED_VALUE"""),0.5)</f>
        <v>0.5</v>
      </c>
      <c r="D9013" s="8">
        <f>IFERROR(__xludf.DUMMYFUNCTION("""COMPUTED_VALUE"""),0.345)</f>
        <v>0.345</v>
      </c>
      <c r="E9013" s="8" t="str">
        <f>IFERROR(__xludf.DUMMYFUNCTION("""COMPUTED_VALUE"""),"Real")</f>
        <v>Real</v>
      </c>
      <c r="G9013" s="8">
        <f t="shared" si="1"/>
        <v>11</v>
      </c>
      <c r="H9013" s="14">
        <f t="shared" si="2"/>
        <v>11</v>
      </c>
      <c r="I9013" s="15">
        <f t="shared" si="3"/>
        <v>12</v>
      </c>
    </row>
    <row r="9014">
      <c r="A9014" s="8" t="str">
        <f>IFERROR(__xludf.DUMMYFUNCTION("IF('(INGESTA)Datos_consumo_datadis'!A9014&lt;&gt;"""",SPLIT('(INGESTA)Datos_consumo_datadis'!A:A,"",""),"""")"),"ES0031408323131005HX0F")</f>
        <v>ES0031408323131005HX0F</v>
      </c>
      <c r="B9014" s="17">
        <f>IFERROR(__xludf.DUMMYFUNCTION("""COMPUTED_VALUE"""),45241.0)</f>
        <v>45241</v>
      </c>
      <c r="C9014" s="13">
        <f>IFERROR(__xludf.DUMMYFUNCTION("""COMPUTED_VALUE"""),0.5416666666666666)</f>
        <v>0.5416666667</v>
      </c>
      <c r="D9014" s="8">
        <f>IFERROR(__xludf.DUMMYFUNCTION("""COMPUTED_VALUE"""),0.096)</f>
        <v>0.096</v>
      </c>
      <c r="E9014" s="8" t="str">
        <f>IFERROR(__xludf.DUMMYFUNCTION("""COMPUTED_VALUE"""),"Real")</f>
        <v>Real</v>
      </c>
      <c r="G9014" s="8">
        <f t="shared" si="1"/>
        <v>11</v>
      </c>
      <c r="H9014" s="14">
        <f t="shared" si="2"/>
        <v>11</v>
      </c>
      <c r="I9014" s="15">
        <f t="shared" si="3"/>
        <v>13</v>
      </c>
    </row>
    <row r="9015">
      <c r="A9015" s="8" t="str">
        <f>IFERROR(__xludf.DUMMYFUNCTION("IF('(INGESTA)Datos_consumo_datadis'!A9015&lt;&gt;"""",SPLIT('(INGESTA)Datos_consumo_datadis'!A:A,"",""),"""")"),"ES0031408323131005HX0F")</f>
        <v>ES0031408323131005HX0F</v>
      </c>
      <c r="B9015" s="17">
        <f>IFERROR(__xludf.DUMMYFUNCTION("""COMPUTED_VALUE"""),45241.0)</f>
        <v>45241</v>
      </c>
      <c r="C9015" s="13">
        <f>IFERROR(__xludf.DUMMYFUNCTION("""COMPUTED_VALUE"""),0.5833333333333334)</f>
        <v>0.5833333333</v>
      </c>
      <c r="D9015" s="8">
        <f>IFERROR(__xludf.DUMMYFUNCTION("""COMPUTED_VALUE"""),0.018)</f>
        <v>0.018</v>
      </c>
      <c r="E9015" s="8" t="str">
        <f>IFERROR(__xludf.DUMMYFUNCTION("""COMPUTED_VALUE"""),"Real")</f>
        <v>Real</v>
      </c>
      <c r="G9015" s="8">
        <f t="shared" si="1"/>
        <v>11</v>
      </c>
      <c r="H9015" s="14">
        <f t="shared" si="2"/>
        <v>11</v>
      </c>
      <c r="I9015" s="15">
        <f t="shared" si="3"/>
        <v>14</v>
      </c>
    </row>
    <row r="9016">
      <c r="A9016" s="8" t="str">
        <f>IFERROR(__xludf.DUMMYFUNCTION("IF('(INGESTA)Datos_consumo_datadis'!A9016&lt;&gt;"""",SPLIT('(INGESTA)Datos_consumo_datadis'!A:A,"",""),"""")"),"ES0031408323131005HX0F")</f>
        <v>ES0031408323131005HX0F</v>
      </c>
      <c r="B9016" s="17">
        <f>IFERROR(__xludf.DUMMYFUNCTION("""COMPUTED_VALUE"""),45241.0)</f>
        <v>45241</v>
      </c>
      <c r="C9016" s="13">
        <f>IFERROR(__xludf.DUMMYFUNCTION("""COMPUTED_VALUE"""),0.625)</f>
        <v>0.625</v>
      </c>
      <c r="D9016" s="8">
        <f>IFERROR(__xludf.DUMMYFUNCTION("""COMPUTED_VALUE"""),0.077)</f>
        <v>0.077</v>
      </c>
      <c r="E9016" s="8" t="str">
        <f>IFERROR(__xludf.DUMMYFUNCTION("""COMPUTED_VALUE"""),"Real")</f>
        <v>Real</v>
      </c>
      <c r="G9016" s="8">
        <f t="shared" si="1"/>
        <v>11</v>
      </c>
      <c r="H9016" s="14">
        <f t="shared" si="2"/>
        <v>11</v>
      </c>
      <c r="I9016" s="15">
        <f t="shared" si="3"/>
        <v>15</v>
      </c>
    </row>
    <row r="9017">
      <c r="A9017" s="8" t="str">
        <f>IFERROR(__xludf.DUMMYFUNCTION("IF('(INGESTA)Datos_consumo_datadis'!A9017&lt;&gt;"""",SPLIT('(INGESTA)Datos_consumo_datadis'!A:A,"",""),"""")"),"ES0031408323131005HX0F")</f>
        <v>ES0031408323131005HX0F</v>
      </c>
      <c r="B9017" s="17">
        <f>IFERROR(__xludf.DUMMYFUNCTION("""COMPUTED_VALUE"""),45241.0)</f>
        <v>45241</v>
      </c>
      <c r="C9017" s="13">
        <f>IFERROR(__xludf.DUMMYFUNCTION("""COMPUTED_VALUE"""),0.6666666666666666)</f>
        <v>0.6666666667</v>
      </c>
      <c r="D9017" s="8">
        <f>IFERROR(__xludf.DUMMYFUNCTION("""COMPUTED_VALUE"""),0.075)</f>
        <v>0.075</v>
      </c>
      <c r="E9017" s="8" t="str">
        <f>IFERROR(__xludf.DUMMYFUNCTION("""COMPUTED_VALUE"""),"Real")</f>
        <v>Real</v>
      </c>
      <c r="G9017" s="8">
        <f t="shared" si="1"/>
        <v>11</v>
      </c>
      <c r="H9017" s="14">
        <f t="shared" si="2"/>
        <v>11</v>
      </c>
      <c r="I9017" s="15">
        <f t="shared" si="3"/>
        <v>16</v>
      </c>
    </row>
    <row r="9018">
      <c r="A9018" s="8" t="str">
        <f>IFERROR(__xludf.DUMMYFUNCTION("IF('(INGESTA)Datos_consumo_datadis'!A9018&lt;&gt;"""",SPLIT('(INGESTA)Datos_consumo_datadis'!A:A,"",""),"""")"),"ES0031408323131005HX0F")</f>
        <v>ES0031408323131005HX0F</v>
      </c>
      <c r="B9018" s="17">
        <f>IFERROR(__xludf.DUMMYFUNCTION("""COMPUTED_VALUE"""),45241.0)</f>
        <v>45241</v>
      </c>
      <c r="C9018" s="13">
        <f>IFERROR(__xludf.DUMMYFUNCTION("""COMPUTED_VALUE"""),0.7083333333333334)</f>
        <v>0.7083333333</v>
      </c>
      <c r="D9018" s="8">
        <f>IFERROR(__xludf.DUMMYFUNCTION("""COMPUTED_VALUE"""),0.065)</f>
        <v>0.065</v>
      </c>
      <c r="E9018" s="8" t="str">
        <f>IFERROR(__xludf.DUMMYFUNCTION("""COMPUTED_VALUE"""),"Real")</f>
        <v>Real</v>
      </c>
      <c r="G9018" s="8">
        <f t="shared" si="1"/>
        <v>11</v>
      </c>
      <c r="H9018" s="14">
        <f t="shared" si="2"/>
        <v>11</v>
      </c>
      <c r="I9018" s="15">
        <f t="shared" si="3"/>
        <v>17</v>
      </c>
    </row>
    <row r="9019">
      <c r="A9019" s="8" t="str">
        <f>IFERROR(__xludf.DUMMYFUNCTION("IF('(INGESTA)Datos_consumo_datadis'!A9019&lt;&gt;"""",SPLIT('(INGESTA)Datos_consumo_datadis'!A:A,"",""),"""")"),"ES0031408323131005HX0F")</f>
        <v>ES0031408323131005HX0F</v>
      </c>
      <c r="B9019" s="17">
        <f>IFERROR(__xludf.DUMMYFUNCTION("""COMPUTED_VALUE"""),45241.0)</f>
        <v>45241</v>
      </c>
      <c r="C9019" s="13">
        <f>IFERROR(__xludf.DUMMYFUNCTION("""COMPUTED_VALUE"""),0.75)</f>
        <v>0.75</v>
      </c>
      <c r="D9019" s="8">
        <f>IFERROR(__xludf.DUMMYFUNCTION("""COMPUTED_VALUE"""),0.288)</f>
        <v>0.288</v>
      </c>
      <c r="E9019" s="8" t="str">
        <f>IFERROR(__xludf.DUMMYFUNCTION("""COMPUTED_VALUE"""),"Real")</f>
        <v>Real</v>
      </c>
      <c r="G9019" s="8">
        <f t="shared" si="1"/>
        <v>11</v>
      </c>
      <c r="H9019" s="14">
        <f t="shared" si="2"/>
        <v>11</v>
      </c>
      <c r="I9019" s="15">
        <f t="shared" si="3"/>
        <v>18</v>
      </c>
    </row>
    <row r="9020">
      <c r="A9020" s="8" t="str">
        <f>IFERROR(__xludf.DUMMYFUNCTION("IF('(INGESTA)Datos_consumo_datadis'!A9020&lt;&gt;"""",SPLIT('(INGESTA)Datos_consumo_datadis'!A:A,"",""),"""")"),"ES0031408323131005HX0F")</f>
        <v>ES0031408323131005HX0F</v>
      </c>
      <c r="B9020" s="17">
        <f>IFERROR(__xludf.DUMMYFUNCTION("""COMPUTED_VALUE"""),45241.0)</f>
        <v>45241</v>
      </c>
      <c r="C9020" s="13">
        <f>IFERROR(__xludf.DUMMYFUNCTION("""COMPUTED_VALUE"""),0.7916666666666666)</f>
        <v>0.7916666667</v>
      </c>
      <c r="D9020" s="8">
        <f>IFERROR(__xludf.DUMMYFUNCTION("""COMPUTED_VALUE"""),0.412)</f>
        <v>0.412</v>
      </c>
      <c r="E9020" s="8" t="str">
        <f>IFERROR(__xludf.DUMMYFUNCTION("""COMPUTED_VALUE"""),"Real")</f>
        <v>Real</v>
      </c>
      <c r="G9020" s="8">
        <f t="shared" si="1"/>
        <v>11</v>
      </c>
      <c r="H9020" s="14">
        <f t="shared" si="2"/>
        <v>11</v>
      </c>
      <c r="I9020" s="15">
        <f t="shared" si="3"/>
        <v>19</v>
      </c>
    </row>
    <row r="9021">
      <c r="A9021" s="8" t="str">
        <f>IFERROR(__xludf.DUMMYFUNCTION("IF('(INGESTA)Datos_consumo_datadis'!A9021&lt;&gt;"""",SPLIT('(INGESTA)Datos_consumo_datadis'!A:A,"",""),"""")"),"ES0031408323131005HX0F")</f>
        <v>ES0031408323131005HX0F</v>
      </c>
      <c r="B9021" s="17">
        <f>IFERROR(__xludf.DUMMYFUNCTION("""COMPUTED_VALUE"""),45241.0)</f>
        <v>45241</v>
      </c>
      <c r="C9021" s="13">
        <f>IFERROR(__xludf.DUMMYFUNCTION("""COMPUTED_VALUE"""),0.8333333333333334)</f>
        <v>0.8333333333</v>
      </c>
      <c r="D9021" s="8">
        <f>IFERROR(__xludf.DUMMYFUNCTION("""COMPUTED_VALUE"""),0.663)</f>
        <v>0.663</v>
      </c>
      <c r="E9021" s="8" t="str">
        <f>IFERROR(__xludf.DUMMYFUNCTION("""COMPUTED_VALUE"""),"Real")</f>
        <v>Real</v>
      </c>
      <c r="G9021" s="8">
        <f t="shared" si="1"/>
        <v>11</v>
      </c>
      <c r="H9021" s="14">
        <f t="shared" si="2"/>
        <v>11</v>
      </c>
      <c r="I9021" s="15">
        <f t="shared" si="3"/>
        <v>20</v>
      </c>
    </row>
    <row r="9022">
      <c r="A9022" s="8" t="str">
        <f>IFERROR(__xludf.DUMMYFUNCTION("IF('(INGESTA)Datos_consumo_datadis'!A9022&lt;&gt;"""",SPLIT('(INGESTA)Datos_consumo_datadis'!A:A,"",""),"""")"),"ES0031408323131005HX0F")</f>
        <v>ES0031408323131005HX0F</v>
      </c>
      <c r="B9022" s="17">
        <f>IFERROR(__xludf.DUMMYFUNCTION("""COMPUTED_VALUE"""),45241.0)</f>
        <v>45241</v>
      </c>
      <c r="C9022" s="13">
        <f>IFERROR(__xludf.DUMMYFUNCTION("""COMPUTED_VALUE"""),0.875)</f>
        <v>0.875</v>
      </c>
      <c r="D9022" s="8">
        <f>IFERROR(__xludf.DUMMYFUNCTION("""COMPUTED_VALUE"""),0.132)</f>
        <v>0.132</v>
      </c>
      <c r="E9022" s="8" t="str">
        <f>IFERROR(__xludf.DUMMYFUNCTION("""COMPUTED_VALUE"""),"Real")</f>
        <v>Real</v>
      </c>
      <c r="G9022" s="8">
        <f t="shared" si="1"/>
        <v>11</v>
      </c>
      <c r="H9022" s="14">
        <f t="shared" si="2"/>
        <v>11</v>
      </c>
      <c r="I9022" s="15">
        <f t="shared" si="3"/>
        <v>21</v>
      </c>
    </row>
    <row r="9023">
      <c r="A9023" s="8" t="str">
        <f>IFERROR(__xludf.DUMMYFUNCTION("IF('(INGESTA)Datos_consumo_datadis'!A9023&lt;&gt;"""",SPLIT('(INGESTA)Datos_consumo_datadis'!A:A,"",""),"""")"),"ES0031408323131005HX0F")</f>
        <v>ES0031408323131005HX0F</v>
      </c>
      <c r="B9023" s="17">
        <f>IFERROR(__xludf.DUMMYFUNCTION("""COMPUTED_VALUE"""),45241.0)</f>
        <v>45241</v>
      </c>
      <c r="C9023" s="13">
        <f>IFERROR(__xludf.DUMMYFUNCTION("""COMPUTED_VALUE"""),0.9166666666666666)</f>
        <v>0.9166666667</v>
      </c>
      <c r="D9023" s="8">
        <f>IFERROR(__xludf.DUMMYFUNCTION("""COMPUTED_VALUE"""),0.094)</f>
        <v>0.094</v>
      </c>
      <c r="E9023" s="8" t="str">
        <f>IFERROR(__xludf.DUMMYFUNCTION("""COMPUTED_VALUE"""),"Real")</f>
        <v>Real</v>
      </c>
      <c r="G9023" s="8">
        <f t="shared" si="1"/>
        <v>11</v>
      </c>
      <c r="H9023" s="14">
        <f t="shared" si="2"/>
        <v>11</v>
      </c>
      <c r="I9023" s="15">
        <f t="shared" si="3"/>
        <v>22</v>
      </c>
    </row>
    <row r="9024">
      <c r="A9024" s="8" t="str">
        <f>IFERROR(__xludf.DUMMYFUNCTION("IF('(INGESTA)Datos_consumo_datadis'!A9024&lt;&gt;"""",SPLIT('(INGESTA)Datos_consumo_datadis'!A:A,"",""),"""")"),"ES0031408323131005HX0F")</f>
        <v>ES0031408323131005HX0F</v>
      </c>
      <c r="B9024" s="17">
        <f>IFERROR(__xludf.DUMMYFUNCTION("""COMPUTED_VALUE"""),45241.0)</f>
        <v>45241</v>
      </c>
      <c r="C9024" s="13">
        <f>IFERROR(__xludf.DUMMYFUNCTION("""COMPUTED_VALUE"""),0.9583333333333334)</f>
        <v>0.9583333333</v>
      </c>
      <c r="D9024" s="8">
        <f>IFERROR(__xludf.DUMMYFUNCTION("""COMPUTED_VALUE"""),0.072)</f>
        <v>0.072</v>
      </c>
      <c r="E9024" s="8" t="str">
        <f>IFERROR(__xludf.DUMMYFUNCTION("""COMPUTED_VALUE"""),"Real")</f>
        <v>Real</v>
      </c>
      <c r="G9024" s="8">
        <f t="shared" si="1"/>
        <v>11</v>
      </c>
      <c r="H9024" s="14">
        <f t="shared" si="2"/>
        <v>11</v>
      </c>
      <c r="I9024" s="15">
        <f t="shared" si="3"/>
        <v>23</v>
      </c>
    </row>
    <row r="9025">
      <c r="A9025" s="8" t="str">
        <f>IFERROR(__xludf.DUMMYFUNCTION("IF('(INGESTA)Datos_consumo_datadis'!A9025&lt;&gt;"""",SPLIT('(INGESTA)Datos_consumo_datadis'!A:A,"",""),"""")"),"ES0031408323131005HX0F")</f>
        <v>ES0031408323131005HX0F</v>
      </c>
      <c r="B9025" s="17">
        <f>IFERROR(__xludf.DUMMYFUNCTION("""COMPUTED_VALUE"""),45241.0)</f>
        <v>45241</v>
      </c>
      <c r="C9025" s="16">
        <f>IFERROR(__xludf.DUMMYFUNCTION("""COMPUTED_VALUE"""),1.0)</f>
        <v>1</v>
      </c>
      <c r="D9025" s="8">
        <f>IFERROR(__xludf.DUMMYFUNCTION("""COMPUTED_VALUE"""),0.301)</f>
        <v>0.301</v>
      </c>
      <c r="E9025" s="8" t="str">
        <f>IFERROR(__xludf.DUMMYFUNCTION("""COMPUTED_VALUE"""),"Real")</f>
        <v>Real</v>
      </c>
      <c r="G9025" s="8">
        <f t="shared" si="1"/>
        <v>11</v>
      </c>
      <c r="H9025" s="14">
        <f t="shared" si="2"/>
        <v>11</v>
      </c>
      <c r="I9025" s="15">
        <f t="shared" si="3"/>
        <v>0</v>
      </c>
    </row>
    <row r="9026">
      <c r="A9026" s="8" t="str">
        <f>IFERROR(__xludf.DUMMYFUNCTION("IF('(INGESTA)Datos_consumo_datadis'!A9026&lt;&gt;"""",SPLIT('(INGESTA)Datos_consumo_datadis'!A:A,"",""),"""")"),"ES0031408323131005HX0F")</f>
        <v>ES0031408323131005HX0F</v>
      </c>
      <c r="B9026" s="17">
        <f>IFERROR(__xludf.DUMMYFUNCTION("""COMPUTED_VALUE"""),45242.0)</f>
        <v>45242</v>
      </c>
      <c r="C9026" s="13">
        <f>IFERROR(__xludf.DUMMYFUNCTION("""COMPUTED_VALUE"""),0.041666666666666664)</f>
        <v>0.04166666667</v>
      </c>
      <c r="D9026" s="8">
        <f>IFERROR(__xludf.DUMMYFUNCTION("""COMPUTED_VALUE"""),0.052)</f>
        <v>0.052</v>
      </c>
      <c r="E9026" s="8" t="str">
        <f>IFERROR(__xludf.DUMMYFUNCTION("""COMPUTED_VALUE"""),"Real")</f>
        <v>Real</v>
      </c>
      <c r="G9026" s="8">
        <f t="shared" si="1"/>
        <v>11</v>
      </c>
      <c r="H9026" s="14">
        <f t="shared" si="2"/>
        <v>12</v>
      </c>
      <c r="I9026" s="15">
        <f t="shared" si="3"/>
        <v>1</v>
      </c>
    </row>
    <row r="9027">
      <c r="A9027" s="8" t="str">
        <f>IFERROR(__xludf.DUMMYFUNCTION("IF('(INGESTA)Datos_consumo_datadis'!A9027&lt;&gt;"""",SPLIT('(INGESTA)Datos_consumo_datadis'!A:A,"",""),"""")"),"ES0031408323131005HX0F")</f>
        <v>ES0031408323131005HX0F</v>
      </c>
      <c r="B9027" s="17">
        <f>IFERROR(__xludf.DUMMYFUNCTION("""COMPUTED_VALUE"""),45242.0)</f>
        <v>45242</v>
      </c>
      <c r="C9027" s="13">
        <f>IFERROR(__xludf.DUMMYFUNCTION("""COMPUTED_VALUE"""),0.08333333333333333)</f>
        <v>0.08333333333</v>
      </c>
      <c r="D9027" s="8">
        <f>IFERROR(__xludf.DUMMYFUNCTION("""COMPUTED_VALUE"""),0.102)</f>
        <v>0.102</v>
      </c>
      <c r="E9027" s="8" t="str">
        <f>IFERROR(__xludf.DUMMYFUNCTION("""COMPUTED_VALUE"""),"Real")</f>
        <v>Real</v>
      </c>
      <c r="G9027" s="8">
        <f t="shared" si="1"/>
        <v>11</v>
      </c>
      <c r="H9027" s="14">
        <f t="shared" si="2"/>
        <v>12</v>
      </c>
      <c r="I9027" s="15">
        <f t="shared" si="3"/>
        <v>2</v>
      </c>
    </row>
    <row r="9028">
      <c r="A9028" s="8" t="str">
        <f>IFERROR(__xludf.DUMMYFUNCTION("IF('(INGESTA)Datos_consumo_datadis'!A9028&lt;&gt;"""",SPLIT('(INGESTA)Datos_consumo_datadis'!A:A,"",""),"""")"),"ES0031408323131005HX0F")</f>
        <v>ES0031408323131005HX0F</v>
      </c>
      <c r="B9028" s="17">
        <f>IFERROR(__xludf.DUMMYFUNCTION("""COMPUTED_VALUE"""),45242.0)</f>
        <v>45242</v>
      </c>
      <c r="C9028" s="13">
        <f>IFERROR(__xludf.DUMMYFUNCTION("""COMPUTED_VALUE"""),0.125)</f>
        <v>0.125</v>
      </c>
      <c r="D9028" s="8">
        <f>IFERROR(__xludf.DUMMYFUNCTION("""COMPUTED_VALUE"""),0.083)</f>
        <v>0.083</v>
      </c>
      <c r="E9028" s="8" t="str">
        <f>IFERROR(__xludf.DUMMYFUNCTION("""COMPUTED_VALUE"""),"Real")</f>
        <v>Real</v>
      </c>
      <c r="G9028" s="8">
        <f t="shared" si="1"/>
        <v>11</v>
      </c>
      <c r="H9028" s="14">
        <f t="shared" si="2"/>
        <v>12</v>
      </c>
      <c r="I9028" s="15">
        <f t="shared" si="3"/>
        <v>3</v>
      </c>
    </row>
    <row r="9029">
      <c r="A9029" s="8" t="str">
        <f>IFERROR(__xludf.DUMMYFUNCTION("IF('(INGESTA)Datos_consumo_datadis'!A9029&lt;&gt;"""",SPLIT('(INGESTA)Datos_consumo_datadis'!A:A,"",""),"""")"),"ES0031408323131005HX0F")</f>
        <v>ES0031408323131005HX0F</v>
      </c>
      <c r="B9029" s="17">
        <f>IFERROR(__xludf.DUMMYFUNCTION("""COMPUTED_VALUE"""),45242.0)</f>
        <v>45242</v>
      </c>
      <c r="C9029" s="13">
        <f>IFERROR(__xludf.DUMMYFUNCTION("""COMPUTED_VALUE"""),0.16666666666666666)</f>
        <v>0.1666666667</v>
      </c>
      <c r="D9029" s="8">
        <f>IFERROR(__xludf.DUMMYFUNCTION("""COMPUTED_VALUE"""),0.038)</f>
        <v>0.038</v>
      </c>
      <c r="E9029" s="8" t="str">
        <f>IFERROR(__xludf.DUMMYFUNCTION("""COMPUTED_VALUE"""),"Real")</f>
        <v>Real</v>
      </c>
      <c r="G9029" s="8">
        <f t="shared" si="1"/>
        <v>11</v>
      </c>
      <c r="H9029" s="14">
        <f t="shared" si="2"/>
        <v>12</v>
      </c>
      <c r="I9029" s="15">
        <f t="shared" si="3"/>
        <v>4</v>
      </c>
    </row>
    <row r="9030">
      <c r="A9030" s="8" t="str">
        <f>IFERROR(__xludf.DUMMYFUNCTION("IF('(INGESTA)Datos_consumo_datadis'!A9030&lt;&gt;"""",SPLIT('(INGESTA)Datos_consumo_datadis'!A:A,"",""),"""")"),"ES0031408323131005HX0F")</f>
        <v>ES0031408323131005HX0F</v>
      </c>
      <c r="B9030" s="17">
        <f>IFERROR(__xludf.DUMMYFUNCTION("""COMPUTED_VALUE"""),45242.0)</f>
        <v>45242</v>
      </c>
      <c r="C9030" s="13">
        <f>IFERROR(__xludf.DUMMYFUNCTION("""COMPUTED_VALUE"""),0.20833333333333334)</f>
        <v>0.2083333333</v>
      </c>
      <c r="D9030" s="8">
        <f>IFERROR(__xludf.DUMMYFUNCTION("""COMPUTED_VALUE"""),0.099)</f>
        <v>0.099</v>
      </c>
      <c r="E9030" s="8" t="str">
        <f>IFERROR(__xludf.DUMMYFUNCTION("""COMPUTED_VALUE"""),"Real")</f>
        <v>Real</v>
      </c>
      <c r="G9030" s="8">
        <f t="shared" si="1"/>
        <v>11</v>
      </c>
      <c r="H9030" s="14">
        <f t="shared" si="2"/>
        <v>12</v>
      </c>
      <c r="I9030" s="15">
        <f t="shared" si="3"/>
        <v>5</v>
      </c>
    </row>
    <row r="9031">
      <c r="A9031" s="8" t="str">
        <f>IFERROR(__xludf.DUMMYFUNCTION("IF('(INGESTA)Datos_consumo_datadis'!A9031&lt;&gt;"""",SPLIT('(INGESTA)Datos_consumo_datadis'!A:A,"",""),"""")"),"ES0031408323131005HX0F")</f>
        <v>ES0031408323131005HX0F</v>
      </c>
      <c r="B9031" s="17">
        <f>IFERROR(__xludf.DUMMYFUNCTION("""COMPUTED_VALUE"""),45242.0)</f>
        <v>45242</v>
      </c>
      <c r="C9031" s="13">
        <f>IFERROR(__xludf.DUMMYFUNCTION("""COMPUTED_VALUE"""),0.25)</f>
        <v>0.25</v>
      </c>
      <c r="D9031" s="8">
        <f>IFERROR(__xludf.DUMMYFUNCTION("""COMPUTED_VALUE"""),0.391)</f>
        <v>0.391</v>
      </c>
      <c r="E9031" s="8" t="str">
        <f>IFERROR(__xludf.DUMMYFUNCTION("""COMPUTED_VALUE"""),"Real")</f>
        <v>Real</v>
      </c>
      <c r="G9031" s="8">
        <f t="shared" si="1"/>
        <v>11</v>
      </c>
      <c r="H9031" s="14">
        <f t="shared" si="2"/>
        <v>12</v>
      </c>
      <c r="I9031" s="15">
        <f t="shared" si="3"/>
        <v>6</v>
      </c>
    </row>
    <row r="9032">
      <c r="A9032" s="8" t="str">
        <f>IFERROR(__xludf.DUMMYFUNCTION("IF('(INGESTA)Datos_consumo_datadis'!A9032&lt;&gt;"""",SPLIT('(INGESTA)Datos_consumo_datadis'!A:A,"",""),"""")"),"ES0031408323131005HX0F")</f>
        <v>ES0031408323131005HX0F</v>
      </c>
      <c r="B9032" s="17">
        <f>IFERROR(__xludf.DUMMYFUNCTION("""COMPUTED_VALUE"""),45242.0)</f>
        <v>45242</v>
      </c>
      <c r="C9032" s="13">
        <f>IFERROR(__xludf.DUMMYFUNCTION("""COMPUTED_VALUE"""),0.2916666666666667)</f>
        <v>0.2916666667</v>
      </c>
      <c r="D9032" s="8">
        <f>IFERROR(__xludf.DUMMYFUNCTION("""COMPUTED_VALUE"""),0.071)</f>
        <v>0.071</v>
      </c>
      <c r="E9032" s="8" t="str">
        <f>IFERROR(__xludf.DUMMYFUNCTION("""COMPUTED_VALUE"""),"Real")</f>
        <v>Real</v>
      </c>
      <c r="G9032" s="8">
        <f t="shared" si="1"/>
        <v>11</v>
      </c>
      <c r="H9032" s="14">
        <f t="shared" si="2"/>
        <v>12</v>
      </c>
      <c r="I9032" s="15">
        <f t="shared" si="3"/>
        <v>7</v>
      </c>
    </row>
    <row r="9033">
      <c r="A9033" s="8" t="str">
        <f>IFERROR(__xludf.DUMMYFUNCTION("IF('(INGESTA)Datos_consumo_datadis'!A9033&lt;&gt;"""",SPLIT('(INGESTA)Datos_consumo_datadis'!A:A,"",""),"""")"),"ES0031408323131005HX0F")</f>
        <v>ES0031408323131005HX0F</v>
      </c>
      <c r="B9033" s="17">
        <f>IFERROR(__xludf.DUMMYFUNCTION("""COMPUTED_VALUE"""),45242.0)</f>
        <v>45242</v>
      </c>
      <c r="C9033" s="13">
        <f>IFERROR(__xludf.DUMMYFUNCTION("""COMPUTED_VALUE"""),0.3333333333333333)</f>
        <v>0.3333333333</v>
      </c>
      <c r="D9033" s="8">
        <f>IFERROR(__xludf.DUMMYFUNCTION("""COMPUTED_VALUE"""),0.087)</f>
        <v>0.087</v>
      </c>
      <c r="E9033" s="8" t="str">
        <f>IFERROR(__xludf.DUMMYFUNCTION("""COMPUTED_VALUE"""),"Real")</f>
        <v>Real</v>
      </c>
      <c r="G9033" s="8">
        <f t="shared" si="1"/>
        <v>11</v>
      </c>
      <c r="H9033" s="14">
        <f t="shared" si="2"/>
        <v>12</v>
      </c>
      <c r="I9033" s="15">
        <f t="shared" si="3"/>
        <v>8</v>
      </c>
    </row>
    <row r="9034">
      <c r="A9034" s="8" t="str">
        <f>IFERROR(__xludf.DUMMYFUNCTION("IF('(INGESTA)Datos_consumo_datadis'!A9034&lt;&gt;"""",SPLIT('(INGESTA)Datos_consumo_datadis'!A:A,"",""),"""")"),"ES0031408323131005HX0F")</f>
        <v>ES0031408323131005HX0F</v>
      </c>
      <c r="B9034" s="17">
        <f>IFERROR(__xludf.DUMMYFUNCTION("""COMPUTED_VALUE"""),45242.0)</f>
        <v>45242</v>
      </c>
      <c r="C9034" s="13">
        <f>IFERROR(__xludf.DUMMYFUNCTION("""COMPUTED_VALUE"""),0.375)</f>
        <v>0.375</v>
      </c>
      <c r="D9034" s="8">
        <f>IFERROR(__xludf.DUMMYFUNCTION("""COMPUTED_VALUE"""),0.02)</f>
        <v>0.02</v>
      </c>
      <c r="E9034" s="8" t="str">
        <f>IFERROR(__xludf.DUMMYFUNCTION("""COMPUTED_VALUE"""),"Real")</f>
        <v>Real</v>
      </c>
      <c r="G9034" s="8">
        <f t="shared" si="1"/>
        <v>11</v>
      </c>
      <c r="H9034" s="14">
        <f t="shared" si="2"/>
        <v>12</v>
      </c>
      <c r="I9034" s="15">
        <f t="shared" si="3"/>
        <v>9</v>
      </c>
    </row>
    <row r="9035">
      <c r="A9035" s="8" t="str">
        <f>IFERROR(__xludf.DUMMYFUNCTION("IF('(INGESTA)Datos_consumo_datadis'!A9035&lt;&gt;"""",SPLIT('(INGESTA)Datos_consumo_datadis'!A:A,"",""),"""")"),"ES0031408323131005HX0F")</f>
        <v>ES0031408323131005HX0F</v>
      </c>
      <c r="B9035" s="17">
        <f>IFERROR(__xludf.DUMMYFUNCTION("""COMPUTED_VALUE"""),45242.0)</f>
        <v>45242</v>
      </c>
      <c r="C9035" s="13">
        <f>IFERROR(__xludf.DUMMYFUNCTION("""COMPUTED_VALUE"""),0.4166666666666667)</f>
        <v>0.4166666667</v>
      </c>
      <c r="D9035" s="8">
        <f>IFERROR(__xludf.DUMMYFUNCTION("""COMPUTED_VALUE"""),0.1)</f>
        <v>0.1</v>
      </c>
      <c r="E9035" s="8" t="str">
        <f>IFERROR(__xludf.DUMMYFUNCTION("""COMPUTED_VALUE"""),"Real")</f>
        <v>Real</v>
      </c>
      <c r="G9035" s="8">
        <f t="shared" si="1"/>
        <v>11</v>
      </c>
      <c r="H9035" s="14">
        <f t="shared" si="2"/>
        <v>12</v>
      </c>
      <c r="I9035" s="15">
        <f t="shared" si="3"/>
        <v>10</v>
      </c>
    </row>
    <row r="9036">
      <c r="A9036" s="8" t="str">
        <f>IFERROR(__xludf.DUMMYFUNCTION("IF('(INGESTA)Datos_consumo_datadis'!A9036&lt;&gt;"""",SPLIT('(INGESTA)Datos_consumo_datadis'!A:A,"",""),"""")"),"ES0031408323131005HX0F")</f>
        <v>ES0031408323131005HX0F</v>
      </c>
      <c r="B9036" s="17">
        <f>IFERROR(__xludf.DUMMYFUNCTION("""COMPUTED_VALUE"""),45242.0)</f>
        <v>45242</v>
      </c>
      <c r="C9036" s="13">
        <f>IFERROR(__xludf.DUMMYFUNCTION("""COMPUTED_VALUE"""),0.4583333333333333)</f>
        <v>0.4583333333</v>
      </c>
      <c r="D9036" s="8">
        <f>IFERROR(__xludf.DUMMYFUNCTION("""COMPUTED_VALUE"""),0.358)</f>
        <v>0.358</v>
      </c>
      <c r="E9036" s="8" t="str">
        <f>IFERROR(__xludf.DUMMYFUNCTION("""COMPUTED_VALUE"""),"Real")</f>
        <v>Real</v>
      </c>
      <c r="G9036" s="8">
        <f t="shared" si="1"/>
        <v>11</v>
      </c>
      <c r="H9036" s="14">
        <f t="shared" si="2"/>
        <v>12</v>
      </c>
      <c r="I9036" s="15">
        <f t="shared" si="3"/>
        <v>11</v>
      </c>
    </row>
    <row r="9037">
      <c r="A9037" s="8" t="str">
        <f>IFERROR(__xludf.DUMMYFUNCTION("IF('(INGESTA)Datos_consumo_datadis'!A9037&lt;&gt;"""",SPLIT('(INGESTA)Datos_consumo_datadis'!A:A,"",""),"""")"),"ES0031408323131005HX0F")</f>
        <v>ES0031408323131005HX0F</v>
      </c>
      <c r="B9037" s="17">
        <f>IFERROR(__xludf.DUMMYFUNCTION("""COMPUTED_VALUE"""),45242.0)</f>
        <v>45242</v>
      </c>
      <c r="C9037" s="13">
        <f>IFERROR(__xludf.DUMMYFUNCTION("""COMPUTED_VALUE"""),0.5)</f>
        <v>0.5</v>
      </c>
      <c r="D9037" s="8">
        <f>IFERROR(__xludf.DUMMYFUNCTION("""COMPUTED_VALUE"""),0.065)</f>
        <v>0.065</v>
      </c>
      <c r="E9037" s="8" t="str">
        <f>IFERROR(__xludf.DUMMYFUNCTION("""COMPUTED_VALUE"""),"Real")</f>
        <v>Real</v>
      </c>
      <c r="G9037" s="8">
        <f t="shared" si="1"/>
        <v>11</v>
      </c>
      <c r="H9037" s="14">
        <f t="shared" si="2"/>
        <v>12</v>
      </c>
      <c r="I9037" s="15">
        <f t="shared" si="3"/>
        <v>12</v>
      </c>
    </row>
    <row r="9038">
      <c r="A9038" s="8" t="str">
        <f>IFERROR(__xludf.DUMMYFUNCTION("IF('(INGESTA)Datos_consumo_datadis'!A9038&lt;&gt;"""",SPLIT('(INGESTA)Datos_consumo_datadis'!A:A,"",""),"""")"),"ES0031408323131005HX0F")</f>
        <v>ES0031408323131005HX0F</v>
      </c>
      <c r="B9038" s="17">
        <f>IFERROR(__xludf.DUMMYFUNCTION("""COMPUTED_VALUE"""),45242.0)</f>
        <v>45242</v>
      </c>
      <c r="C9038" s="13">
        <f>IFERROR(__xludf.DUMMYFUNCTION("""COMPUTED_VALUE"""),0.5416666666666666)</f>
        <v>0.5416666667</v>
      </c>
      <c r="D9038" s="8">
        <f>IFERROR(__xludf.DUMMYFUNCTION("""COMPUTED_VALUE"""),0.022)</f>
        <v>0.022</v>
      </c>
      <c r="E9038" s="8" t="str">
        <f>IFERROR(__xludf.DUMMYFUNCTION("""COMPUTED_VALUE"""),"Real")</f>
        <v>Real</v>
      </c>
      <c r="G9038" s="8">
        <f t="shared" si="1"/>
        <v>11</v>
      </c>
      <c r="H9038" s="14">
        <f t="shared" si="2"/>
        <v>12</v>
      </c>
      <c r="I9038" s="15">
        <f t="shared" si="3"/>
        <v>13</v>
      </c>
    </row>
    <row r="9039">
      <c r="A9039" s="8" t="str">
        <f>IFERROR(__xludf.DUMMYFUNCTION("IF('(INGESTA)Datos_consumo_datadis'!A9039&lt;&gt;"""",SPLIT('(INGESTA)Datos_consumo_datadis'!A:A,"",""),"""")"),"ES0031408323131005HX0F")</f>
        <v>ES0031408323131005HX0F</v>
      </c>
      <c r="B9039" s="17">
        <f>IFERROR(__xludf.DUMMYFUNCTION("""COMPUTED_VALUE"""),45242.0)</f>
        <v>45242</v>
      </c>
      <c r="C9039" s="13">
        <f>IFERROR(__xludf.DUMMYFUNCTION("""COMPUTED_VALUE"""),0.5833333333333334)</f>
        <v>0.5833333333</v>
      </c>
      <c r="D9039" s="8">
        <f>IFERROR(__xludf.DUMMYFUNCTION("""COMPUTED_VALUE"""),0.114)</f>
        <v>0.114</v>
      </c>
      <c r="E9039" s="8" t="str">
        <f>IFERROR(__xludf.DUMMYFUNCTION("""COMPUTED_VALUE"""),"Real")</f>
        <v>Real</v>
      </c>
      <c r="G9039" s="8">
        <f t="shared" si="1"/>
        <v>11</v>
      </c>
      <c r="H9039" s="14">
        <f t="shared" si="2"/>
        <v>12</v>
      </c>
      <c r="I9039" s="15">
        <f t="shared" si="3"/>
        <v>14</v>
      </c>
    </row>
    <row r="9040">
      <c r="A9040" s="8" t="str">
        <f>IFERROR(__xludf.DUMMYFUNCTION("IF('(INGESTA)Datos_consumo_datadis'!A9040&lt;&gt;"""",SPLIT('(INGESTA)Datos_consumo_datadis'!A:A,"",""),"""")"),"ES0031408323131005HX0F")</f>
        <v>ES0031408323131005HX0F</v>
      </c>
      <c r="B9040" s="17">
        <f>IFERROR(__xludf.DUMMYFUNCTION("""COMPUTED_VALUE"""),45242.0)</f>
        <v>45242</v>
      </c>
      <c r="C9040" s="13">
        <f>IFERROR(__xludf.DUMMYFUNCTION("""COMPUTED_VALUE"""),0.625)</f>
        <v>0.625</v>
      </c>
      <c r="D9040" s="8">
        <f>IFERROR(__xludf.DUMMYFUNCTION("""COMPUTED_VALUE"""),0.105)</f>
        <v>0.105</v>
      </c>
      <c r="E9040" s="8" t="str">
        <f>IFERROR(__xludf.DUMMYFUNCTION("""COMPUTED_VALUE"""),"Real")</f>
        <v>Real</v>
      </c>
      <c r="G9040" s="8">
        <f t="shared" si="1"/>
        <v>11</v>
      </c>
      <c r="H9040" s="14">
        <f t="shared" si="2"/>
        <v>12</v>
      </c>
      <c r="I9040" s="15">
        <f t="shared" si="3"/>
        <v>15</v>
      </c>
    </row>
    <row r="9041">
      <c r="A9041" s="8" t="str">
        <f>IFERROR(__xludf.DUMMYFUNCTION("IF('(INGESTA)Datos_consumo_datadis'!A9041&lt;&gt;"""",SPLIT('(INGESTA)Datos_consumo_datadis'!A:A,"",""),"""")"),"ES0031408323131005HX0F")</f>
        <v>ES0031408323131005HX0F</v>
      </c>
      <c r="B9041" s="17">
        <f>IFERROR(__xludf.DUMMYFUNCTION("""COMPUTED_VALUE"""),45242.0)</f>
        <v>45242</v>
      </c>
      <c r="C9041" s="13">
        <f>IFERROR(__xludf.DUMMYFUNCTION("""COMPUTED_VALUE"""),0.6666666666666666)</f>
        <v>0.6666666667</v>
      </c>
      <c r="D9041" s="8">
        <f>IFERROR(__xludf.DUMMYFUNCTION("""COMPUTED_VALUE"""),0.104)</f>
        <v>0.104</v>
      </c>
      <c r="E9041" s="8" t="str">
        <f>IFERROR(__xludf.DUMMYFUNCTION("""COMPUTED_VALUE"""),"Real")</f>
        <v>Real</v>
      </c>
      <c r="G9041" s="8">
        <f t="shared" si="1"/>
        <v>11</v>
      </c>
      <c r="H9041" s="14">
        <f t="shared" si="2"/>
        <v>12</v>
      </c>
      <c r="I9041" s="15">
        <f t="shared" si="3"/>
        <v>16</v>
      </c>
    </row>
    <row r="9042">
      <c r="A9042" s="8" t="str">
        <f>IFERROR(__xludf.DUMMYFUNCTION("IF('(INGESTA)Datos_consumo_datadis'!A9042&lt;&gt;"""",SPLIT('(INGESTA)Datos_consumo_datadis'!A:A,"",""),"""")"),"ES0031408323131005HX0F")</f>
        <v>ES0031408323131005HX0F</v>
      </c>
      <c r="B9042" s="17">
        <f>IFERROR(__xludf.DUMMYFUNCTION("""COMPUTED_VALUE"""),45242.0)</f>
        <v>45242</v>
      </c>
      <c r="C9042" s="13">
        <f>IFERROR(__xludf.DUMMYFUNCTION("""COMPUTED_VALUE"""),0.7083333333333334)</f>
        <v>0.7083333333</v>
      </c>
      <c r="D9042" s="8">
        <f>IFERROR(__xludf.DUMMYFUNCTION("""COMPUTED_VALUE"""),0.181)</f>
        <v>0.181</v>
      </c>
      <c r="E9042" s="8" t="str">
        <f>IFERROR(__xludf.DUMMYFUNCTION("""COMPUTED_VALUE"""),"Real")</f>
        <v>Real</v>
      </c>
      <c r="G9042" s="8">
        <f t="shared" si="1"/>
        <v>11</v>
      </c>
      <c r="H9042" s="14">
        <f t="shared" si="2"/>
        <v>12</v>
      </c>
      <c r="I9042" s="15">
        <f t="shared" si="3"/>
        <v>17</v>
      </c>
    </row>
    <row r="9043">
      <c r="A9043" s="8" t="str">
        <f>IFERROR(__xludf.DUMMYFUNCTION("IF('(INGESTA)Datos_consumo_datadis'!A9043&lt;&gt;"""",SPLIT('(INGESTA)Datos_consumo_datadis'!A:A,"",""),"""")"),"ES0031408323131005HX0F")</f>
        <v>ES0031408323131005HX0F</v>
      </c>
      <c r="B9043" s="17">
        <f>IFERROR(__xludf.DUMMYFUNCTION("""COMPUTED_VALUE"""),45242.0)</f>
        <v>45242</v>
      </c>
      <c r="C9043" s="13">
        <f>IFERROR(__xludf.DUMMYFUNCTION("""COMPUTED_VALUE"""),0.75)</f>
        <v>0.75</v>
      </c>
      <c r="D9043" s="8">
        <f>IFERROR(__xludf.DUMMYFUNCTION("""COMPUTED_VALUE"""),0.313)</f>
        <v>0.313</v>
      </c>
      <c r="E9043" s="8" t="str">
        <f>IFERROR(__xludf.DUMMYFUNCTION("""COMPUTED_VALUE"""),"Real")</f>
        <v>Real</v>
      </c>
      <c r="G9043" s="8">
        <f t="shared" si="1"/>
        <v>11</v>
      </c>
      <c r="H9043" s="14">
        <f t="shared" si="2"/>
        <v>12</v>
      </c>
      <c r="I9043" s="15">
        <f t="shared" si="3"/>
        <v>18</v>
      </c>
    </row>
    <row r="9044">
      <c r="A9044" s="8" t="str">
        <f>IFERROR(__xludf.DUMMYFUNCTION("IF('(INGESTA)Datos_consumo_datadis'!A9044&lt;&gt;"""",SPLIT('(INGESTA)Datos_consumo_datadis'!A:A,"",""),"""")"),"ES0031408323131005HX0F")</f>
        <v>ES0031408323131005HX0F</v>
      </c>
      <c r="B9044" s="17">
        <f>IFERROR(__xludf.DUMMYFUNCTION("""COMPUTED_VALUE"""),45242.0)</f>
        <v>45242</v>
      </c>
      <c r="C9044" s="13">
        <f>IFERROR(__xludf.DUMMYFUNCTION("""COMPUTED_VALUE"""),0.7916666666666666)</f>
        <v>0.7916666667</v>
      </c>
      <c r="D9044" s="8">
        <f>IFERROR(__xludf.DUMMYFUNCTION("""COMPUTED_VALUE"""),0.051)</f>
        <v>0.051</v>
      </c>
      <c r="E9044" s="8" t="str">
        <f>IFERROR(__xludf.DUMMYFUNCTION("""COMPUTED_VALUE"""),"Real")</f>
        <v>Real</v>
      </c>
      <c r="G9044" s="8">
        <f t="shared" si="1"/>
        <v>11</v>
      </c>
      <c r="H9044" s="14">
        <f t="shared" si="2"/>
        <v>12</v>
      </c>
      <c r="I9044" s="15">
        <f t="shared" si="3"/>
        <v>19</v>
      </c>
    </row>
    <row r="9045">
      <c r="A9045" s="8" t="str">
        <f>IFERROR(__xludf.DUMMYFUNCTION("IF('(INGESTA)Datos_consumo_datadis'!A9045&lt;&gt;"""",SPLIT('(INGESTA)Datos_consumo_datadis'!A:A,"",""),"""")"),"ES0031408323131005HX0F")</f>
        <v>ES0031408323131005HX0F</v>
      </c>
      <c r="B9045" s="17">
        <f>IFERROR(__xludf.DUMMYFUNCTION("""COMPUTED_VALUE"""),45242.0)</f>
        <v>45242</v>
      </c>
      <c r="C9045" s="13">
        <f>IFERROR(__xludf.DUMMYFUNCTION("""COMPUTED_VALUE"""),0.8333333333333334)</f>
        <v>0.8333333333</v>
      </c>
      <c r="D9045" s="8">
        <f>IFERROR(__xludf.DUMMYFUNCTION("""COMPUTED_VALUE"""),0.08)</f>
        <v>0.08</v>
      </c>
      <c r="E9045" s="8" t="str">
        <f>IFERROR(__xludf.DUMMYFUNCTION("""COMPUTED_VALUE"""),"Real")</f>
        <v>Real</v>
      </c>
      <c r="G9045" s="8">
        <f t="shared" si="1"/>
        <v>11</v>
      </c>
      <c r="H9045" s="14">
        <f t="shared" si="2"/>
        <v>12</v>
      </c>
      <c r="I9045" s="15">
        <f t="shared" si="3"/>
        <v>20</v>
      </c>
    </row>
    <row r="9046">
      <c r="A9046" s="8" t="str">
        <f>IFERROR(__xludf.DUMMYFUNCTION("IF('(INGESTA)Datos_consumo_datadis'!A9046&lt;&gt;"""",SPLIT('(INGESTA)Datos_consumo_datadis'!A:A,"",""),"""")"),"ES0031408323131005HX0F")</f>
        <v>ES0031408323131005HX0F</v>
      </c>
      <c r="B9046" s="17">
        <f>IFERROR(__xludf.DUMMYFUNCTION("""COMPUTED_VALUE"""),45242.0)</f>
        <v>45242</v>
      </c>
      <c r="C9046" s="13">
        <f>IFERROR(__xludf.DUMMYFUNCTION("""COMPUTED_VALUE"""),0.875)</f>
        <v>0.875</v>
      </c>
      <c r="D9046" s="8">
        <f>IFERROR(__xludf.DUMMYFUNCTION("""COMPUTED_VALUE"""),0.026)</f>
        <v>0.026</v>
      </c>
      <c r="E9046" s="8" t="str">
        <f>IFERROR(__xludf.DUMMYFUNCTION("""COMPUTED_VALUE"""),"Real")</f>
        <v>Real</v>
      </c>
      <c r="G9046" s="8">
        <f t="shared" si="1"/>
        <v>11</v>
      </c>
      <c r="H9046" s="14">
        <f t="shared" si="2"/>
        <v>12</v>
      </c>
      <c r="I9046" s="15">
        <f t="shared" si="3"/>
        <v>21</v>
      </c>
    </row>
    <row r="9047">
      <c r="A9047" s="8" t="str">
        <f>IFERROR(__xludf.DUMMYFUNCTION("IF('(INGESTA)Datos_consumo_datadis'!A9047&lt;&gt;"""",SPLIT('(INGESTA)Datos_consumo_datadis'!A:A,"",""),"""")"),"ES0031408323131005HX0F")</f>
        <v>ES0031408323131005HX0F</v>
      </c>
      <c r="B9047" s="17">
        <f>IFERROR(__xludf.DUMMYFUNCTION("""COMPUTED_VALUE"""),45242.0)</f>
        <v>45242</v>
      </c>
      <c r="C9047" s="13">
        <f>IFERROR(__xludf.DUMMYFUNCTION("""COMPUTED_VALUE"""),0.9166666666666666)</f>
        <v>0.9166666667</v>
      </c>
      <c r="D9047" s="8">
        <f>IFERROR(__xludf.DUMMYFUNCTION("""COMPUTED_VALUE"""),0.105)</f>
        <v>0.105</v>
      </c>
      <c r="E9047" s="8" t="str">
        <f>IFERROR(__xludf.DUMMYFUNCTION("""COMPUTED_VALUE"""),"Real")</f>
        <v>Real</v>
      </c>
      <c r="G9047" s="8">
        <f t="shared" si="1"/>
        <v>11</v>
      </c>
      <c r="H9047" s="14">
        <f t="shared" si="2"/>
        <v>12</v>
      </c>
      <c r="I9047" s="15">
        <f t="shared" si="3"/>
        <v>22</v>
      </c>
    </row>
    <row r="9048">
      <c r="A9048" s="8" t="str">
        <f>IFERROR(__xludf.DUMMYFUNCTION("IF('(INGESTA)Datos_consumo_datadis'!A9048&lt;&gt;"""",SPLIT('(INGESTA)Datos_consumo_datadis'!A:A,"",""),"""")"),"ES0031408323131005HX0F")</f>
        <v>ES0031408323131005HX0F</v>
      </c>
      <c r="B9048" s="17">
        <f>IFERROR(__xludf.DUMMYFUNCTION("""COMPUTED_VALUE"""),45242.0)</f>
        <v>45242</v>
      </c>
      <c r="C9048" s="13">
        <f>IFERROR(__xludf.DUMMYFUNCTION("""COMPUTED_VALUE"""),0.9583333333333334)</f>
        <v>0.9583333333</v>
      </c>
      <c r="D9048" s="8">
        <f>IFERROR(__xludf.DUMMYFUNCTION("""COMPUTED_VALUE"""),0.045)</f>
        <v>0.045</v>
      </c>
      <c r="E9048" s="8" t="str">
        <f>IFERROR(__xludf.DUMMYFUNCTION("""COMPUTED_VALUE"""),"Real")</f>
        <v>Real</v>
      </c>
      <c r="G9048" s="8">
        <f t="shared" si="1"/>
        <v>11</v>
      </c>
      <c r="H9048" s="14">
        <f t="shared" si="2"/>
        <v>12</v>
      </c>
      <c r="I9048" s="15">
        <f t="shared" si="3"/>
        <v>23</v>
      </c>
    </row>
    <row r="9049">
      <c r="A9049" s="8" t="str">
        <f>IFERROR(__xludf.DUMMYFUNCTION("IF('(INGESTA)Datos_consumo_datadis'!A9049&lt;&gt;"""",SPLIT('(INGESTA)Datos_consumo_datadis'!A:A,"",""),"""")"),"ES0031408323131005HX0F")</f>
        <v>ES0031408323131005HX0F</v>
      </c>
      <c r="B9049" s="17">
        <f>IFERROR(__xludf.DUMMYFUNCTION("""COMPUTED_VALUE"""),45242.0)</f>
        <v>45242</v>
      </c>
      <c r="C9049" s="16">
        <f>IFERROR(__xludf.DUMMYFUNCTION("""COMPUTED_VALUE"""),1.0)</f>
        <v>1</v>
      </c>
      <c r="D9049" s="8">
        <f>IFERROR(__xludf.DUMMYFUNCTION("""COMPUTED_VALUE"""),0.566)</f>
        <v>0.566</v>
      </c>
      <c r="E9049" s="8" t="str">
        <f>IFERROR(__xludf.DUMMYFUNCTION("""COMPUTED_VALUE"""),"Real")</f>
        <v>Real</v>
      </c>
      <c r="G9049" s="8">
        <f t="shared" si="1"/>
        <v>11</v>
      </c>
      <c r="H9049" s="14">
        <f t="shared" si="2"/>
        <v>12</v>
      </c>
      <c r="I9049" s="15">
        <f t="shared" si="3"/>
        <v>0</v>
      </c>
    </row>
    <row r="9050">
      <c r="A9050" s="8" t="str">
        <f>IFERROR(__xludf.DUMMYFUNCTION("IF('(INGESTA)Datos_consumo_datadis'!A9050&lt;&gt;"""",SPLIT('(INGESTA)Datos_consumo_datadis'!A:A,"",""),"""")"),"ES0031408323131005HX0F")</f>
        <v>ES0031408323131005HX0F</v>
      </c>
      <c r="B9050" s="17">
        <f>IFERROR(__xludf.DUMMYFUNCTION("""COMPUTED_VALUE"""),45243.0)</f>
        <v>45243</v>
      </c>
      <c r="C9050" s="13">
        <f>IFERROR(__xludf.DUMMYFUNCTION("""COMPUTED_VALUE"""),0.041666666666666664)</f>
        <v>0.04166666667</v>
      </c>
      <c r="D9050" s="8">
        <f>IFERROR(__xludf.DUMMYFUNCTION("""COMPUTED_VALUE"""),0.122)</f>
        <v>0.122</v>
      </c>
      <c r="E9050" s="8" t="str">
        <f>IFERROR(__xludf.DUMMYFUNCTION("""COMPUTED_VALUE"""),"Real")</f>
        <v>Real</v>
      </c>
      <c r="G9050" s="8">
        <f t="shared" si="1"/>
        <v>11</v>
      </c>
      <c r="H9050" s="14">
        <f t="shared" si="2"/>
        <v>13</v>
      </c>
      <c r="I9050" s="15">
        <f t="shared" si="3"/>
        <v>1</v>
      </c>
    </row>
    <row r="9051">
      <c r="A9051" s="8" t="str">
        <f>IFERROR(__xludf.DUMMYFUNCTION("IF('(INGESTA)Datos_consumo_datadis'!A9051&lt;&gt;"""",SPLIT('(INGESTA)Datos_consumo_datadis'!A:A,"",""),"""")"),"ES0031408323131005HX0F")</f>
        <v>ES0031408323131005HX0F</v>
      </c>
      <c r="B9051" s="17">
        <f>IFERROR(__xludf.DUMMYFUNCTION("""COMPUTED_VALUE"""),45243.0)</f>
        <v>45243</v>
      </c>
      <c r="C9051" s="13">
        <f>IFERROR(__xludf.DUMMYFUNCTION("""COMPUTED_VALUE"""),0.08333333333333333)</f>
        <v>0.08333333333</v>
      </c>
      <c r="D9051" s="8">
        <f>IFERROR(__xludf.DUMMYFUNCTION("""COMPUTED_VALUE"""),0.07)</f>
        <v>0.07</v>
      </c>
      <c r="E9051" s="8" t="str">
        <f>IFERROR(__xludf.DUMMYFUNCTION("""COMPUTED_VALUE"""),"Real")</f>
        <v>Real</v>
      </c>
      <c r="G9051" s="8">
        <f t="shared" si="1"/>
        <v>11</v>
      </c>
      <c r="H9051" s="14">
        <f t="shared" si="2"/>
        <v>13</v>
      </c>
      <c r="I9051" s="15">
        <f t="shared" si="3"/>
        <v>2</v>
      </c>
    </row>
    <row r="9052">
      <c r="A9052" s="8" t="str">
        <f>IFERROR(__xludf.DUMMYFUNCTION("IF('(INGESTA)Datos_consumo_datadis'!A9052&lt;&gt;"""",SPLIT('(INGESTA)Datos_consumo_datadis'!A:A,"",""),"""")"),"ES0031408323131005HX0F")</f>
        <v>ES0031408323131005HX0F</v>
      </c>
      <c r="B9052" s="17">
        <f>IFERROR(__xludf.DUMMYFUNCTION("""COMPUTED_VALUE"""),45243.0)</f>
        <v>45243</v>
      </c>
      <c r="C9052" s="13">
        <f>IFERROR(__xludf.DUMMYFUNCTION("""COMPUTED_VALUE"""),0.125)</f>
        <v>0.125</v>
      </c>
      <c r="D9052" s="8">
        <f>IFERROR(__xludf.DUMMYFUNCTION("""COMPUTED_VALUE"""),0.38)</f>
        <v>0.38</v>
      </c>
      <c r="E9052" s="8" t="str">
        <f>IFERROR(__xludf.DUMMYFUNCTION("""COMPUTED_VALUE"""),"Real")</f>
        <v>Real</v>
      </c>
      <c r="G9052" s="8">
        <f t="shared" si="1"/>
        <v>11</v>
      </c>
      <c r="H9052" s="14">
        <f t="shared" si="2"/>
        <v>13</v>
      </c>
      <c r="I9052" s="15">
        <f t="shared" si="3"/>
        <v>3</v>
      </c>
    </row>
    <row r="9053">
      <c r="A9053" s="8" t="str">
        <f>IFERROR(__xludf.DUMMYFUNCTION("IF('(INGESTA)Datos_consumo_datadis'!A9053&lt;&gt;"""",SPLIT('(INGESTA)Datos_consumo_datadis'!A:A,"",""),"""")"),"ES0031408323131005HX0F")</f>
        <v>ES0031408323131005HX0F</v>
      </c>
      <c r="B9053" s="17">
        <f>IFERROR(__xludf.DUMMYFUNCTION("""COMPUTED_VALUE"""),45243.0)</f>
        <v>45243</v>
      </c>
      <c r="C9053" s="13">
        <f>IFERROR(__xludf.DUMMYFUNCTION("""COMPUTED_VALUE"""),0.16666666666666666)</f>
        <v>0.1666666667</v>
      </c>
      <c r="D9053" s="8">
        <f>IFERROR(__xludf.DUMMYFUNCTION("""COMPUTED_VALUE"""),0.077)</f>
        <v>0.077</v>
      </c>
      <c r="E9053" s="8" t="str">
        <f>IFERROR(__xludf.DUMMYFUNCTION("""COMPUTED_VALUE"""),"Real")</f>
        <v>Real</v>
      </c>
      <c r="G9053" s="8">
        <f t="shared" si="1"/>
        <v>11</v>
      </c>
      <c r="H9053" s="14">
        <f t="shared" si="2"/>
        <v>13</v>
      </c>
      <c r="I9053" s="15">
        <f t="shared" si="3"/>
        <v>4</v>
      </c>
    </row>
    <row r="9054">
      <c r="A9054" s="8" t="str">
        <f>IFERROR(__xludf.DUMMYFUNCTION("IF('(INGESTA)Datos_consumo_datadis'!A9054&lt;&gt;"""",SPLIT('(INGESTA)Datos_consumo_datadis'!A:A,"",""),"""")"),"ES0031408323131005HX0F")</f>
        <v>ES0031408323131005HX0F</v>
      </c>
      <c r="B9054" s="17">
        <f>IFERROR(__xludf.DUMMYFUNCTION("""COMPUTED_VALUE"""),45243.0)</f>
        <v>45243</v>
      </c>
      <c r="C9054" s="13">
        <f>IFERROR(__xludf.DUMMYFUNCTION("""COMPUTED_VALUE"""),0.20833333333333334)</f>
        <v>0.2083333333</v>
      </c>
      <c r="D9054" s="8">
        <f>IFERROR(__xludf.DUMMYFUNCTION("""COMPUTED_VALUE"""),0.07)</f>
        <v>0.07</v>
      </c>
      <c r="E9054" s="8" t="str">
        <f>IFERROR(__xludf.DUMMYFUNCTION("""COMPUTED_VALUE"""),"Real")</f>
        <v>Real</v>
      </c>
      <c r="G9054" s="8">
        <f t="shared" si="1"/>
        <v>11</v>
      </c>
      <c r="H9054" s="14">
        <f t="shared" si="2"/>
        <v>13</v>
      </c>
      <c r="I9054" s="15">
        <f t="shared" si="3"/>
        <v>5</v>
      </c>
    </row>
    <row r="9055">
      <c r="A9055" s="8" t="str">
        <f>IFERROR(__xludf.DUMMYFUNCTION("IF('(INGESTA)Datos_consumo_datadis'!A9055&lt;&gt;"""",SPLIT('(INGESTA)Datos_consumo_datadis'!A:A,"",""),"""")"),"ES0031408323131005HX0F")</f>
        <v>ES0031408323131005HX0F</v>
      </c>
      <c r="B9055" s="17">
        <f>IFERROR(__xludf.DUMMYFUNCTION("""COMPUTED_VALUE"""),45243.0)</f>
        <v>45243</v>
      </c>
      <c r="C9055" s="13">
        <f>IFERROR(__xludf.DUMMYFUNCTION("""COMPUTED_VALUE"""),0.25)</f>
        <v>0.25</v>
      </c>
      <c r="D9055" s="8">
        <f>IFERROR(__xludf.DUMMYFUNCTION("""COMPUTED_VALUE"""),0.038)</f>
        <v>0.038</v>
      </c>
      <c r="E9055" s="8" t="str">
        <f>IFERROR(__xludf.DUMMYFUNCTION("""COMPUTED_VALUE"""),"Real")</f>
        <v>Real</v>
      </c>
      <c r="G9055" s="8">
        <f t="shared" si="1"/>
        <v>11</v>
      </c>
      <c r="H9055" s="14">
        <f t="shared" si="2"/>
        <v>13</v>
      </c>
      <c r="I9055" s="15">
        <f t="shared" si="3"/>
        <v>6</v>
      </c>
    </row>
    <row r="9056">
      <c r="A9056" s="8" t="str">
        <f>IFERROR(__xludf.DUMMYFUNCTION("IF('(INGESTA)Datos_consumo_datadis'!A9056&lt;&gt;"""",SPLIT('(INGESTA)Datos_consumo_datadis'!A:A,"",""),"""")"),"ES0031408323131005HX0F")</f>
        <v>ES0031408323131005HX0F</v>
      </c>
      <c r="B9056" s="17">
        <f>IFERROR(__xludf.DUMMYFUNCTION("""COMPUTED_VALUE"""),45243.0)</f>
        <v>45243</v>
      </c>
      <c r="C9056" s="13">
        <f>IFERROR(__xludf.DUMMYFUNCTION("""COMPUTED_VALUE"""),0.2916666666666667)</f>
        <v>0.2916666667</v>
      </c>
      <c r="D9056" s="8">
        <f>IFERROR(__xludf.DUMMYFUNCTION("""COMPUTED_VALUE"""),0.059)</f>
        <v>0.059</v>
      </c>
      <c r="E9056" s="8" t="str">
        <f>IFERROR(__xludf.DUMMYFUNCTION("""COMPUTED_VALUE"""),"Real")</f>
        <v>Real</v>
      </c>
      <c r="G9056" s="8">
        <f t="shared" si="1"/>
        <v>11</v>
      </c>
      <c r="H9056" s="14">
        <f t="shared" si="2"/>
        <v>13</v>
      </c>
      <c r="I9056" s="15">
        <f t="shared" si="3"/>
        <v>7</v>
      </c>
    </row>
    <row r="9057">
      <c r="A9057" s="8" t="str">
        <f>IFERROR(__xludf.DUMMYFUNCTION("IF('(INGESTA)Datos_consumo_datadis'!A9057&lt;&gt;"""",SPLIT('(INGESTA)Datos_consumo_datadis'!A:A,"",""),"""")"),"ES0031408323131005HX0F")</f>
        <v>ES0031408323131005HX0F</v>
      </c>
      <c r="B9057" s="17">
        <f>IFERROR(__xludf.DUMMYFUNCTION("""COMPUTED_VALUE"""),45243.0)</f>
        <v>45243</v>
      </c>
      <c r="C9057" s="13">
        <f>IFERROR(__xludf.DUMMYFUNCTION("""COMPUTED_VALUE"""),0.3333333333333333)</f>
        <v>0.3333333333</v>
      </c>
      <c r="D9057" s="8">
        <f>IFERROR(__xludf.DUMMYFUNCTION("""COMPUTED_VALUE"""),0.111)</f>
        <v>0.111</v>
      </c>
      <c r="E9057" s="8" t="str">
        <f>IFERROR(__xludf.DUMMYFUNCTION("""COMPUTED_VALUE"""),"Real")</f>
        <v>Real</v>
      </c>
      <c r="G9057" s="8">
        <f t="shared" si="1"/>
        <v>11</v>
      </c>
      <c r="H9057" s="14">
        <f t="shared" si="2"/>
        <v>13</v>
      </c>
      <c r="I9057" s="15">
        <f t="shared" si="3"/>
        <v>8</v>
      </c>
    </row>
    <row r="9058">
      <c r="A9058" s="8" t="str">
        <f>IFERROR(__xludf.DUMMYFUNCTION("IF('(INGESTA)Datos_consumo_datadis'!A9058&lt;&gt;"""",SPLIT('(INGESTA)Datos_consumo_datadis'!A:A,"",""),"""")"),"ES0031408323131005HX0F")</f>
        <v>ES0031408323131005HX0F</v>
      </c>
      <c r="B9058" s="17">
        <f>IFERROR(__xludf.DUMMYFUNCTION("""COMPUTED_VALUE"""),45243.0)</f>
        <v>45243</v>
      </c>
      <c r="C9058" s="13">
        <f>IFERROR(__xludf.DUMMYFUNCTION("""COMPUTED_VALUE"""),0.375)</f>
        <v>0.375</v>
      </c>
      <c r="D9058" s="8">
        <f>IFERROR(__xludf.DUMMYFUNCTION("""COMPUTED_VALUE"""),0.102)</f>
        <v>0.102</v>
      </c>
      <c r="E9058" s="8" t="str">
        <f>IFERROR(__xludf.DUMMYFUNCTION("""COMPUTED_VALUE"""),"Real")</f>
        <v>Real</v>
      </c>
      <c r="G9058" s="8">
        <f t="shared" si="1"/>
        <v>11</v>
      </c>
      <c r="H9058" s="14">
        <f t="shared" si="2"/>
        <v>13</v>
      </c>
      <c r="I9058" s="15">
        <f t="shared" si="3"/>
        <v>9</v>
      </c>
    </row>
    <row r="9059">
      <c r="A9059" s="8" t="str">
        <f>IFERROR(__xludf.DUMMYFUNCTION("IF('(INGESTA)Datos_consumo_datadis'!A9059&lt;&gt;"""",SPLIT('(INGESTA)Datos_consumo_datadis'!A:A,"",""),"""")"),"ES0031408323131005HX0F")</f>
        <v>ES0031408323131005HX0F</v>
      </c>
      <c r="B9059" s="17">
        <f>IFERROR(__xludf.DUMMYFUNCTION("""COMPUTED_VALUE"""),45243.0)</f>
        <v>45243</v>
      </c>
      <c r="C9059" s="13">
        <f>IFERROR(__xludf.DUMMYFUNCTION("""COMPUTED_VALUE"""),0.4166666666666667)</f>
        <v>0.4166666667</v>
      </c>
      <c r="D9059" s="8">
        <f>IFERROR(__xludf.DUMMYFUNCTION("""COMPUTED_VALUE"""),0.283)</f>
        <v>0.283</v>
      </c>
      <c r="E9059" s="8" t="str">
        <f>IFERROR(__xludf.DUMMYFUNCTION("""COMPUTED_VALUE"""),"Real")</f>
        <v>Real</v>
      </c>
      <c r="G9059" s="8">
        <f t="shared" si="1"/>
        <v>11</v>
      </c>
      <c r="H9059" s="14">
        <f t="shared" si="2"/>
        <v>13</v>
      </c>
      <c r="I9059" s="15">
        <f t="shared" si="3"/>
        <v>10</v>
      </c>
    </row>
    <row r="9060">
      <c r="A9060" s="8" t="str">
        <f>IFERROR(__xludf.DUMMYFUNCTION("IF('(INGESTA)Datos_consumo_datadis'!A9060&lt;&gt;"""",SPLIT('(INGESTA)Datos_consumo_datadis'!A:A,"",""),"""")"),"ES0031408323131005HX0F")</f>
        <v>ES0031408323131005HX0F</v>
      </c>
      <c r="B9060" s="17">
        <f>IFERROR(__xludf.DUMMYFUNCTION("""COMPUTED_VALUE"""),45243.0)</f>
        <v>45243</v>
      </c>
      <c r="C9060" s="13">
        <f>IFERROR(__xludf.DUMMYFUNCTION("""COMPUTED_VALUE"""),0.4583333333333333)</f>
        <v>0.4583333333</v>
      </c>
      <c r="D9060" s="8">
        <f>IFERROR(__xludf.DUMMYFUNCTION("""COMPUTED_VALUE"""),0.099)</f>
        <v>0.099</v>
      </c>
      <c r="E9060" s="8" t="str">
        <f>IFERROR(__xludf.DUMMYFUNCTION("""COMPUTED_VALUE"""),"Real")</f>
        <v>Real</v>
      </c>
      <c r="G9060" s="8">
        <f t="shared" si="1"/>
        <v>11</v>
      </c>
      <c r="H9060" s="14">
        <f t="shared" si="2"/>
        <v>13</v>
      </c>
      <c r="I9060" s="15">
        <f t="shared" si="3"/>
        <v>11</v>
      </c>
    </row>
    <row r="9061">
      <c r="A9061" s="8" t="str">
        <f>IFERROR(__xludf.DUMMYFUNCTION("IF('(INGESTA)Datos_consumo_datadis'!A9061&lt;&gt;"""",SPLIT('(INGESTA)Datos_consumo_datadis'!A:A,"",""),"""")"),"ES0031408323131005HX0F")</f>
        <v>ES0031408323131005HX0F</v>
      </c>
      <c r="B9061" s="17">
        <f>IFERROR(__xludf.DUMMYFUNCTION("""COMPUTED_VALUE"""),45243.0)</f>
        <v>45243</v>
      </c>
      <c r="C9061" s="13">
        <f>IFERROR(__xludf.DUMMYFUNCTION("""COMPUTED_VALUE"""),0.5)</f>
        <v>0.5</v>
      </c>
      <c r="D9061" s="8">
        <f>IFERROR(__xludf.DUMMYFUNCTION("""COMPUTED_VALUE"""),0.057)</f>
        <v>0.057</v>
      </c>
      <c r="E9061" s="8" t="str">
        <f>IFERROR(__xludf.DUMMYFUNCTION("""COMPUTED_VALUE"""),"Real")</f>
        <v>Real</v>
      </c>
      <c r="G9061" s="8">
        <f t="shared" si="1"/>
        <v>11</v>
      </c>
      <c r="H9061" s="14">
        <f t="shared" si="2"/>
        <v>13</v>
      </c>
      <c r="I9061" s="15">
        <f t="shared" si="3"/>
        <v>12</v>
      </c>
    </row>
    <row r="9062">
      <c r="A9062" s="8" t="str">
        <f>IFERROR(__xludf.DUMMYFUNCTION("IF('(INGESTA)Datos_consumo_datadis'!A9062&lt;&gt;"""",SPLIT('(INGESTA)Datos_consumo_datadis'!A:A,"",""),"""")"),"ES0031408323131005HX0F")</f>
        <v>ES0031408323131005HX0F</v>
      </c>
      <c r="B9062" s="17">
        <f>IFERROR(__xludf.DUMMYFUNCTION("""COMPUTED_VALUE"""),45243.0)</f>
        <v>45243</v>
      </c>
      <c r="C9062" s="13">
        <f>IFERROR(__xludf.DUMMYFUNCTION("""COMPUTED_VALUE"""),0.5416666666666666)</f>
        <v>0.5416666667</v>
      </c>
      <c r="D9062" s="8">
        <f>IFERROR(__xludf.DUMMYFUNCTION("""COMPUTED_VALUE"""),0.047)</f>
        <v>0.047</v>
      </c>
      <c r="E9062" s="8" t="str">
        <f>IFERROR(__xludf.DUMMYFUNCTION("""COMPUTED_VALUE"""),"Real")</f>
        <v>Real</v>
      </c>
      <c r="G9062" s="8">
        <f t="shared" si="1"/>
        <v>11</v>
      </c>
      <c r="H9062" s="14">
        <f t="shared" si="2"/>
        <v>13</v>
      </c>
      <c r="I9062" s="15">
        <f t="shared" si="3"/>
        <v>13</v>
      </c>
    </row>
    <row r="9063">
      <c r="A9063" s="8" t="str">
        <f>IFERROR(__xludf.DUMMYFUNCTION("IF('(INGESTA)Datos_consumo_datadis'!A9063&lt;&gt;"""",SPLIT('(INGESTA)Datos_consumo_datadis'!A:A,"",""),"""")"),"ES0031408323131005HX0F")</f>
        <v>ES0031408323131005HX0F</v>
      </c>
      <c r="B9063" s="17">
        <f>IFERROR(__xludf.DUMMYFUNCTION("""COMPUTED_VALUE"""),45243.0)</f>
        <v>45243</v>
      </c>
      <c r="C9063" s="13">
        <f>IFERROR(__xludf.DUMMYFUNCTION("""COMPUTED_VALUE"""),0.5833333333333334)</f>
        <v>0.5833333333</v>
      </c>
      <c r="D9063" s="8">
        <f>IFERROR(__xludf.DUMMYFUNCTION("""COMPUTED_VALUE"""),0.037)</f>
        <v>0.037</v>
      </c>
      <c r="E9063" s="8" t="str">
        <f>IFERROR(__xludf.DUMMYFUNCTION("""COMPUTED_VALUE"""),"Real")</f>
        <v>Real</v>
      </c>
      <c r="G9063" s="8">
        <f t="shared" si="1"/>
        <v>11</v>
      </c>
      <c r="H9063" s="14">
        <f t="shared" si="2"/>
        <v>13</v>
      </c>
      <c r="I9063" s="15">
        <f t="shared" si="3"/>
        <v>14</v>
      </c>
    </row>
    <row r="9064">
      <c r="A9064" s="8" t="str">
        <f>IFERROR(__xludf.DUMMYFUNCTION("IF('(INGESTA)Datos_consumo_datadis'!A9064&lt;&gt;"""",SPLIT('(INGESTA)Datos_consumo_datadis'!A:A,"",""),"""")"),"ES0031408323131005HX0F")</f>
        <v>ES0031408323131005HX0F</v>
      </c>
      <c r="B9064" s="17">
        <f>IFERROR(__xludf.DUMMYFUNCTION("""COMPUTED_VALUE"""),45243.0)</f>
        <v>45243</v>
      </c>
      <c r="C9064" s="13">
        <f>IFERROR(__xludf.DUMMYFUNCTION("""COMPUTED_VALUE"""),0.625)</f>
        <v>0.625</v>
      </c>
      <c r="D9064" s="8">
        <f>IFERROR(__xludf.DUMMYFUNCTION("""COMPUTED_VALUE"""),0.075)</f>
        <v>0.075</v>
      </c>
      <c r="E9064" s="8" t="str">
        <f>IFERROR(__xludf.DUMMYFUNCTION("""COMPUTED_VALUE"""),"Real")</f>
        <v>Real</v>
      </c>
      <c r="G9064" s="8">
        <f t="shared" si="1"/>
        <v>11</v>
      </c>
      <c r="H9064" s="14">
        <f t="shared" si="2"/>
        <v>13</v>
      </c>
      <c r="I9064" s="15">
        <f t="shared" si="3"/>
        <v>15</v>
      </c>
    </row>
    <row r="9065">
      <c r="A9065" s="8" t="str">
        <f>IFERROR(__xludf.DUMMYFUNCTION("IF('(INGESTA)Datos_consumo_datadis'!A9065&lt;&gt;"""",SPLIT('(INGESTA)Datos_consumo_datadis'!A:A,"",""),"""")"),"ES0031408323131005HX0F")</f>
        <v>ES0031408323131005HX0F</v>
      </c>
      <c r="B9065" s="17">
        <f>IFERROR(__xludf.DUMMYFUNCTION("""COMPUTED_VALUE"""),45243.0)</f>
        <v>45243</v>
      </c>
      <c r="C9065" s="13">
        <f>IFERROR(__xludf.DUMMYFUNCTION("""COMPUTED_VALUE"""),0.6666666666666666)</f>
        <v>0.6666666667</v>
      </c>
      <c r="D9065" s="8">
        <f>IFERROR(__xludf.DUMMYFUNCTION("""COMPUTED_VALUE"""),0.345)</f>
        <v>0.345</v>
      </c>
      <c r="E9065" s="8" t="str">
        <f>IFERROR(__xludf.DUMMYFUNCTION("""COMPUTED_VALUE"""),"Real")</f>
        <v>Real</v>
      </c>
      <c r="G9065" s="8">
        <f t="shared" si="1"/>
        <v>11</v>
      </c>
      <c r="H9065" s="14">
        <f t="shared" si="2"/>
        <v>13</v>
      </c>
      <c r="I9065" s="15">
        <f t="shared" si="3"/>
        <v>16</v>
      </c>
    </row>
    <row r="9066">
      <c r="A9066" s="8" t="str">
        <f>IFERROR(__xludf.DUMMYFUNCTION("IF('(INGESTA)Datos_consumo_datadis'!A9066&lt;&gt;"""",SPLIT('(INGESTA)Datos_consumo_datadis'!A:A,"",""),"""")"),"ES0031408323131005HX0F")</f>
        <v>ES0031408323131005HX0F</v>
      </c>
      <c r="B9066" s="17">
        <f>IFERROR(__xludf.DUMMYFUNCTION("""COMPUTED_VALUE"""),45243.0)</f>
        <v>45243</v>
      </c>
      <c r="C9066" s="13">
        <f>IFERROR(__xludf.DUMMYFUNCTION("""COMPUTED_VALUE"""),0.7083333333333334)</f>
        <v>0.7083333333</v>
      </c>
      <c r="D9066" s="8">
        <f>IFERROR(__xludf.DUMMYFUNCTION("""COMPUTED_VALUE"""),0.026)</f>
        <v>0.026</v>
      </c>
      <c r="E9066" s="8" t="str">
        <f>IFERROR(__xludf.DUMMYFUNCTION("""COMPUTED_VALUE"""),"Real")</f>
        <v>Real</v>
      </c>
      <c r="G9066" s="8">
        <f t="shared" si="1"/>
        <v>11</v>
      </c>
      <c r="H9066" s="14">
        <f t="shared" si="2"/>
        <v>13</v>
      </c>
      <c r="I9066" s="15">
        <f t="shared" si="3"/>
        <v>17</v>
      </c>
    </row>
    <row r="9067">
      <c r="A9067" s="8" t="str">
        <f>IFERROR(__xludf.DUMMYFUNCTION("IF('(INGESTA)Datos_consumo_datadis'!A9067&lt;&gt;"""",SPLIT('(INGESTA)Datos_consumo_datadis'!A:A,"",""),"""")"),"ES0031408323131005HX0F")</f>
        <v>ES0031408323131005HX0F</v>
      </c>
      <c r="B9067" s="17">
        <f>IFERROR(__xludf.DUMMYFUNCTION("""COMPUTED_VALUE"""),45243.0)</f>
        <v>45243</v>
      </c>
      <c r="C9067" s="13">
        <f>IFERROR(__xludf.DUMMYFUNCTION("""COMPUTED_VALUE"""),0.75)</f>
        <v>0.75</v>
      </c>
      <c r="D9067" s="8">
        <f>IFERROR(__xludf.DUMMYFUNCTION("""COMPUTED_VALUE"""),0.086)</f>
        <v>0.086</v>
      </c>
      <c r="E9067" s="8" t="str">
        <f>IFERROR(__xludf.DUMMYFUNCTION("""COMPUTED_VALUE"""),"Real")</f>
        <v>Real</v>
      </c>
      <c r="G9067" s="8">
        <f t="shared" si="1"/>
        <v>11</v>
      </c>
      <c r="H9067" s="14">
        <f t="shared" si="2"/>
        <v>13</v>
      </c>
      <c r="I9067" s="15">
        <f t="shared" si="3"/>
        <v>18</v>
      </c>
    </row>
    <row r="9068">
      <c r="A9068" s="8" t="str">
        <f>IFERROR(__xludf.DUMMYFUNCTION("IF('(INGESTA)Datos_consumo_datadis'!A9068&lt;&gt;"""",SPLIT('(INGESTA)Datos_consumo_datadis'!A:A,"",""),"""")"),"ES0031408323131005HX0F")</f>
        <v>ES0031408323131005HX0F</v>
      </c>
      <c r="B9068" s="17">
        <f>IFERROR(__xludf.DUMMYFUNCTION("""COMPUTED_VALUE"""),45243.0)</f>
        <v>45243</v>
      </c>
      <c r="C9068" s="13">
        <f>IFERROR(__xludf.DUMMYFUNCTION("""COMPUTED_VALUE"""),0.7916666666666666)</f>
        <v>0.7916666667</v>
      </c>
      <c r="D9068" s="8">
        <f>IFERROR(__xludf.DUMMYFUNCTION("""COMPUTED_VALUE"""),0.059)</f>
        <v>0.059</v>
      </c>
      <c r="E9068" s="8" t="str">
        <f>IFERROR(__xludf.DUMMYFUNCTION("""COMPUTED_VALUE"""),"Real")</f>
        <v>Real</v>
      </c>
      <c r="G9068" s="8">
        <f t="shared" si="1"/>
        <v>11</v>
      </c>
      <c r="H9068" s="14">
        <f t="shared" si="2"/>
        <v>13</v>
      </c>
      <c r="I9068" s="15">
        <f t="shared" si="3"/>
        <v>19</v>
      </c>
    </row>
    <row r="9069">
      <c r="A9069" s="8" t="str">
        <f>IFERROR(__xludf.DUMMYFUNCTION("IF('(INGESTA)Datos_consumo_datadis'!A9069&lt;&gt;"""",SPLIT('(INGESTA)Datos_consumo_datadis'!A:A,"",""),"""")"),"ES0031408323131005HX0F")</f>
        <v>ES0031408323131005HX0F</v>
      </c>
      <c r="B9069" s="17">
        <f>IFERROR(__xludf.DUMMYFUNCTION("""COMPUTED_VALUE"""),45243.0)</f>
        <v>45243</v>
      </c>
      <c r="C9069" s="13">
        <f>IFERROR(__xludf.DUMMYFUNCTION("""COMPUTED_VALUE"""),0.8333333333333334)</f>
        <v>0.8333333333</v>
      </c>
      <c r="D9069" s="8">
        <f>IFERROR(__xludf.DUMMYFUNCTION("""COMPUTED_VALUE"""),0.026)</f>
        <v>0.026</v>
      </c>
      <c r="E9069" s="8" t="str">
        <f>IFERROR(__xludf.DUMMYFUNCTION("""COMPUTED_VALUE"""),"Real")</f>
        <v>Real</v>
      </c>
      <c r="G9069" s="8">
        <f t="shared" si="1"/>
        <v>11</v>
      </c>
      <c r="H9069" s="14">
        <f t="shared" si="2"/>
        <v>13</v>
      </c>
      <c r="I9069" s="15">
        <f t="shared" si="3"/>
        <v>20</v>
      </c>
    </row>
    <row r="9070">
      <c r="A9070" s="8" t="str">
        <f>IFERROR(__xludf.DUMMYFUNCTION("IF('(INGESTA)Datos_consumo_datadis'!A9070&lt;&gt;"""",SPLIT('(INGESTA)Datos_consumo_datadis'!A:A,"",""),"""")"),"ES0031408323131005HX0F")</f>
        <v>ES0031408323131005HX0F</v>
      </c>
      <c r="B9070" s="17">
        <f>IFERROR(__xludf.DUMMYFUNCTION("""COMPUTED_VALUE"""),45243.0)</f>
        <v>45243</v>
      </c>
      <c r="C9070" s="13">
        <f>IFERROR(__xludf.DUMMYFUNCTION("""COMPUTED_VALUE"""),0.875)</f>
        <v>0.875</v>
      </c>
      <c r="D9070" s="8">
        <f>IFERROR(__xludf.DUMMYFUNCTION("""COMPUTED_VALUE"""),0.084)</f>
        <v>0.084</v>
      </c>
      <c r="E9070" s="8" t="str">
        <f>IFERROR(__xludf.DUMMYFUNCTION("""COMPUTED_VALUE"""),"Real")</f>
        <v>Real</v>
      </c>
      <c r="G9070" s="8">
        <f t="shared" si="1"/>
        <v>11</v>
      </c>
      <c r="H9070" s="14">
        <f t="shared" si="2"/>
        <v>13</v>
      </c>
      <c r="I9070" s="15">
        <f t="shared" si="3"/>
        <v>21</v>
      </c>
    </row>
    <row r="9071">
      <c r="A9071" s="8" t="str">
        <f>IFERROR(__xludf.DUMMYFUNCTION("IF('(INGESTA)Datos_consumo_datadis'!A9071&lt;&gt;"""",SPLIT('(INGESTA)Datos_consumo_datadis'!A:A,"",""),"""")"),"ES0031408323131005HX0F")</f>
        <v>ES0031408323131005HX0F</v>
      </c>
      <c r="B9071" s="17">
        <f>IFERROR(__xludf.DUMMYFUNCTION("""COMPUTED_VALUE"""),45243.0)</f>
        <v>45243</v>
      </c>
      <c r="C9071" s="13">
        <f>IFERROR(__xludf.DUMMYFUNCTION("""COMPUTED_VALUE"""),0.9166666666666666)</f>
        <v>0.9166666667</v>
      </c>
      <c r="D9071" s="8">
        <f>IFERROR(__xludf.DUMMYFUNCTION("""COMPUTED_VALUE"""),0.06)</f>
        <v>0.06</v>
      </c>
      <c r="E9071" s="8" t="str">
        <f>IFERROR(__xludf.DUMMYFUNCTION("""COMPUTED_VALUE"""),"Real")</f>
        <v>Real</v>
      </c>
      <c r="G9071" s="8">
        <f t="shared" si="1"/>
        <v>11</v>
      </c>
      <c r="H9071" s="14">
        <f t="shared" si="2"/>
        <v>13</v>
      </c>
      <c r="I9071" s="15">
        <f t="shared" si="3"/>
        <v>22</v>
      </c>
    </row>
    <row r="9072">
      <c r="A9072" s="8" t="str">
        <f>IFERROR(__xludf.DUMMYFUNCTION("IF('(INGESTA)Datos_consumo_datadis'!A9072&lt;&gt;"""",SPLIT('(INGESTA)Datos_consumo_datadis'!A:A,"",""),"""")"),"ES0031408323131005HX0F")</f>
        <v>ES0031408323131005HX0F</v>
      </c>
      <c r="B9072" s="17">
        <f>IFERROR(__xludf.DUMMYFUNCTION("""COMPUTED_VALUE"""),45243.0)</f>
        <v>45243</v>
      </c>
      <c r="C9072" s="13">
        <f>IFERROR(__xludf.DUMMYFUNCTION("""COMPUTED_VALUE"""),0.9583333333333334)</f>
        <v>0.9583333333</v>
      </c>
      <c r="D9072" s="8">
        <f>IFERROR(__xludf.DUMMYFUNCTION("""COMPUTED_VALUE"""),0.479)</f>
        <v>0.479</v>
      </c>
      <c r="E9072" s="8" t="str">
        <f>IFERROR(__xludf.DUMMYFUNCTION("""COMPUTED_VALUE"""),"Real")</f>
        <v>Real</v>
      </c>
      <c r="G9072" s="8">
        <f t="shared" si="1"/>
        <v>11</v>
      </c>
      <c r="H9072" s="14">
        <f t="shared" si="2"/>
        <v>13</v>
      </c>
      <c r="I9072" s="15">
        <f t="shared" si="3"/>
        <v>23</v>
      </c>
    </row>
    <row r="9073">
      <c r="A9073" s="8" t="str">
        <f>IFERROR(__xludf.DUMMYFUNCTION("IF('(INGESTA)Datos_consumo_datadis'!A9073&lt;&gt;"""",SPLIT('(INGESTA)Datos_consumo_datadis'!A:A,"",""),"""")"),"ES0031408323131005HX0F")</f>
        <v>ES0031408323131005HX0F</v>
      </c>
      <c r="B9073" s="17">
        <f>IFERROR(__xludf.DUMMYFUNCTION("""COMPUTED_VALUE"""),45243.0)</f>
        <v>45243</v>
      </c>
      <c r="C9073" s="16">
        <f>IFERROR(__xludf.DUMMYFUNCTION("""COMPUTED_VALUE"""),1.0)</f>
        <v>1</v>
      </c>
      <c r="D9073" s="8">
        <f>IFERROR(__xludf.DUMMYFUNCTION("""COMPUTED_VALUE"""),0.535)</f>
        <v>0.535</v>
      </c>
      <c r="E9073" s="8" t="str">
        <f>IFERROR(__xludf.DUMMYFUNCTION("""COMPUTED_VALUE"""),"Real")</f>
        <v>Real</v>
      </c>
      <c r="G9073" s="8">
        <f t="shared" si="1"/>
        <v>11</v>
      </c>
      <c r="H9073" s="14">
        <f t="shared" si="2"/>
        <v>13</v>
      </c>
      <c r="I9073" s="15">
        <f t="shared" si="3"/>
        <v>0</v>
      </c>
    </row>
    <row r="9074">
      <c r="A9074" s="8" t="str">
        <f>IFERROR(__xludf.DUMMYFUNCTION("IF('(INGESTA)Datos_consumo_datadis'!A9074&lt;&gt;"""",SPLIT('(INGESTA)Datos_consumo_datadis'!A:A,"",""),"""")"),"ES0031408323131005HX0F")</f>
        <v>ES0031408323131005HX0F</v>
      </c>
      <c r="B9074" s="17">
        <f>IFERROR(__xludf.DUMMYFUNCTION("""COMPUTED_VALUE"""),45244.0)</f>
        <v>45244</v>
      </c>
      <c r="C9074" s="13">
        <f>IFERROR(__xludf.DUMMYFUNCTION("""COMPUTED_VALUE"""),0.041666666666666664)</f>
        <v>0.04166666667</v>
      </c>
      <c r="D9074" s="8">
        <f>IFERROR(__xludf.DUMMYFUNCTION("""COMPUTED_VALUE"""),0.123)</f>
        <v>0.123</v>
      </c>
      <c r="E9074" s="8" t="str">
        <f>IFERROR(__xludf.DUMMYFUNCTION("""COMPUTED_VALUE"""),"Real")</f>
        <v>Real</v>
      </c>
      <c r="G9074" s="8">
        <f t="shared" si="1"/>
        <v>11</v>
      </c>
      <c r="H9074" s="14">
        <f t="shared" si="2"/>
        <v>14</v>
      </c>
      <c r="I9074" s="15">
        <f t="shared" si="3"/>
        <v>1</v>
      </c>
    </row>
    <row r="9075">
      <c r="A9075" s="8" t="str">
        <f>IFERROR(__xludf.DUMMYFUNCTION("IF('(INGESTA)Datos_consumo_datadis'!A9075&lt;&gt;"""",SPLIT('(INGESTA)Datos_consumo_datadis'!A:A,"",""),"""")"),"ES0031408323131005HX0F")</f>
        <v>ES0031408323131005HX0F</v>
      </c>
      <c r="B9075" s="17">
        <f>IFERROR(__xludf.DUMMYFUNCTION("""COMPUTED_VALUE"""),45244.0)</f>
        <v>45244</v>
      </c>
      <c r="C9075" s="13">
        <f>IFERROR(__xludf.DUMMYFUNCTION("""COMPUTED_VALUE"""),0.08333333333333333)</f>
        <v>0.08333333333</v>
      </c>
      <c r="D9075" s="8">
        <f>IFERROR(__xludf.DUMMYFUNCTION("""COMPUTED_VALUE"""),0.063)</f>
        <v>0.063</v>
      </c>
      <c r="E9075" s="8" t="str">
        <f>IFERROR(__xludf.DUMMYFUNCTION("""COMPUTED_VALUE"""),"Real")</f>
        <v>Real</v>
      </c>
      <c r="G9075" s="8">
        <f t="shared" si="1"/>
        <v>11</v>
      </c>
      <c r="H9075" s="14">
        <f t="shared" si="2"/>
        <v>14</v>
      </c>
      <c r="I9075" s="15">
        <f t="shared" si="3"/>
        <v>2</v>
      </c>
    </row>
    <row r="9076">
      <c r="A9076" s="8" t="str">
        <f>IFERROR(__xludf.DUMMYFUNCTION("IF('(INGESTA)Datos_consumo_datadis'!A9076&lt;&gt;"""",SPLIT('(INGESTA)Datos_consumo_datadis'!A:A,"",""),"""")"),"ES0031408323131005HX0F")</f>
        <v>ES0031408323131005HX0F</v>
      </c>
      <c r="B9076" s="17">
        <f>IFERROR(__xludf.DUMMYFUNCTION("""COMPUTED_VALUE"""),45244.0)</f>
        <v>45244</v>
      </c>
      <c r="C9076" s="13">
        <f>IFERROR(__xludf.DUMMYFUNCTION("""COMPUTED_VALUE"""),0.125)</f>
        <v>0.125</v>
      </c>
      <c r="D9076" s="8">
        <f>IFERROR(__xludf.DUMMYFUNCTION("""COMPUTED_VALUE"""),0.081)</f>
        <v>0.081</v>
      </c>
      <c r="E9076" s="8" t="str">
        <f>IFERROR(__xludf.DUMMYFUNCTION("""COMPUTED_VALUE"""),"Real")</f>
        <v>Real</v>
      </c>
      <c r="G9076" s="8">
        <f t="shared" si="1"/>
        <v>11</v>
      </c>
      <c r="H9076" s="14">
        <f t="shared" si="2"/>
        <v>14</v>
      </c>
      <c r="I9076" s="15">
        <f t="shared" si="3"/>
        <v>3</v>
      </c>
    </row>
    <row r="9077">
      <c r="A9077" s="8" t="str">
        <f>IFERROR(__xludf.DUMMYFUNCTION("IF('(INGESTA)Datos_consumo_datadis'!A9077&lt;&gt;"""",SPLIT('(INGESTA)Datos_consumo_datadis'!A:A,"",""),"""")"),"ES0031408323131005HX0F")</f>
        <v>ES0031408323131005HX0F</v>
      </c>
      <c r="B9077" s="17">
        <f>IFERROR(__xludf.DUMMYFUNCTION("""COMPUTED_VALUE"""),45244.0)</f>
        <v>45244</v>
      </c>
      <c r="C9077" s="13">
        <f>IFERROR(__xludf.DUMMYFUNCTION("""COMPUTED_VALUE"""),0.16666666666666666)</f>
        <v>0.1666666667</v>
      </c>
      <c r="D9077" s="8">
        <f>IFERROR(__xludf.DUMMYFUNCTION("""COMPUTED_VALUE"""),0.118)</f>
        <v>0.118</v>
      </c>
      <c r="E9077" s="8" t="str">
        <f>IFERROR(__xludf.DUMMYFUNCTION("""COMPUTED_VALUE"""),"Real")</f>
        <v>Real</v>
      </c>
      <c r="G9077" s="8">
        <f t="shared" si="1"/>
        <v>11</v>
      </c>
      <c r="H9077" s="14">
        <f t="shared" si="2"/>
        <v>14</v>
      </c>
      <c r="I9077" s="15">
        <f t="shared" si="3"/>
        <v>4</v>
      </c>
    </row>
    <row r="9078">
      <c r="A9078" s="8" t="str">
        <f>IFERROR(__xludf.DUMMYFUNCTION("IF('(INGESTA)Datos_consumo_datadis'!A9078&lt;&gt;"""",SPLIT('(INGESTA)Datos_consumo_datadis'!A:A,"",""),"""")"),"ES0031408323131005HX0F")</f>
        <v>ES0031408323131005HX0F</v>
      </c>
      <c r="B9078" s="17">
        <f>IFERROR(__xludf.DUMMYFUNCTION("""COMPUTED_VALUE"""),45244.0)</f>
        <v>45244</v>
      </c>
      <c r="C9078" s="13">
        <f>IFERROR(__xludf.DUMMYFUNCTION("""COMPUTED_VALUE"""),0.20833333333333334)</f>
        <v>0.2083333333</v>
      </c>
      <c r="D9078" s="8">
        <f>IFERROR(__xludf.DUMMYFUNCTION("""COMPUTED_VALUE"""),0.061)</f>
        <v>0.061</v>
      </c>
      <c r="E9078" s="8" t="str">
        <f>IFERROR(__xludf.DUMMYFUNCTION("""COMPUTED_VALUE"""),"Real")</f>
        <v>Real</v>
      </c>
      <c r="G9078" s="8">
        <f t="shared" si="1"/>
        <v>11</v>
      </c>
      <c r="H9078" s="14">
        <f t="shared" si="2"/>
        <v>14</v>
      </c>
      <c r="I9078" s="15">
        <f t="shared" si="3"/>
        <v>5</v>
      </c>
    </row>
    <row r="9079">
      <c r="A9079" s="8" t="str">
        <f>IFERROR(__xludf.DUMMYFUNCTION("IF('(INGESTA)Datos_consumo_datadis'!A9079&lt;&gt;"""",SPLIT('(INGESTA)Datos_consumo_datadis'!A:A,"",""),"""")"),"ES0031408323131005HX0F")</f>
        <v>ES0031408323131005HX0F</v>
      </c>
      <c r="B9079" s="17">
        <f>IFERROR(__xludf.DUMMYFUNCTION("""COMPUTED_VALUE"""),45244.0)</f>
        <v>45244</v>
      </c>
      <c r="C9079" s="13">
        <f>IFERROR(__xludf.DUMMYFUNCTION("""COMPUTED_VALUE"""),0.25)</f>
        <v>0.25</v>
      </c>
      <c r="D9079" s="8">
        <f>IFERROR(__xludf.DUMMYFUNCTION("""COMPUTED_VALUE"""),0.288)</f>
        <v>0.288</v>
      </c>
      <c r="E9079" s="8" t="str">
        <f>IFERROR(__xludf.DUMMYFUNCTION("""COMPUTED_VALUE"""),"Real")</f>
        <v>Real</v>
      </c>
      <c r="G9079" s="8">
        <f t="shared" si="1"/>
        <v>11</v>
      </c>
      <c r="H9079" s="14">
        <f t="shared" si="2"/>
        <v>14</v>
      </c>
      <c r="I9079" s="15">
        <f t="shared" si="3"/>
        <v>6</v>
      </c>
    </row>
    <row r="9080">
      <c r="A9080" s="8" t="str">
        <f>IFERROR(__xludf.DUMMYFUNCTION("IF('(INGESTA)Datos_consumo_datadis'!A9080&lt;&gt;"""",SPLIT('(INGESTA)Datos_consumo_datadis'!A:A,"",""),"""")"),"ES0031408323131005HX0F")</f>
        <v>ES0031408323131005HX0F</v>
      </c>
      <c r="B9080" s="17">
        <f>IFERROR(__xludf.DUMMYFUNCTION("""COMPUTED_VALUE"""),45244.0)</f>
        <v>45244</v>
      </c>
      <c r="C9080" s="13">
        <f>IFERROR(__xludf.DUMMYFUNCTION("""COMPUTED_VALUE"""),0.2916666666666667)</f>
        <v>0.2916666667</v>
      </c>
      <c r="D9080" s="8">
        <f>IFERROR(__xludf.DUMMYFUNCTION("""COMPUTED_VALUE"""),0.064)</f>
        <v>0.064</v>
      </c>
      <c r="E9080" s="8" t="str">
        <f>IFERROR(__xludf.DUMMYFUNCTION("""COMPUTED_VALUE"""),"Real")</f>
        <v>Real</v>
      </c>
      <c r="G9080" s="8">
        <f t="shared" si="1"/>
        <v>11</v>
      </c>
      <c r="H9080" s="14">
        <f t="shared" si="2"/>
        <v>14</v>
      </c>
      <c r="I9080" s="15">
        <f t="shared" si="3"/>
        <v>7</v>
      </c>
    </row>
    <row r="9081">
      <c r="A9081" s="8" t="str">
        <f>IFERROR(__xludf.DUMMYFUNCTION("IF('(INGESTA)Datos_consumo_datadis'!A9081&lt;&gt;"""",SPLIT('(INGESTA)Datos_consumo_datadis'!A:A,"",""),"""")"),"ES0031408323131005HX0F")</f>
        <v>ES0031408323131005HX0F</v>
      </c>
      <c r="B9081" s="17">
        <f>IFERROR(__xludf.DUMMYFUNCTION("""COMPUTED_VALUE"""),45244.0)</f>
        <v>45244</v>
      </c>
      <c r="C9081" s="13">
        <f>IFERROR(__xludf.DUMMYFUNCTION("""COMPUTED_VALUE"""),0.3333333333333333)</f>
        <v>0.3333333333</v>
      </c>
      <c r="D9081" s="8">
        <f>IFERROR(__xludf.DUMMYFUNCTION("""COMPUTED_VALUE"""),0.097)</f>
        <v>0.097</v>
      </c>
      <c r="E9081" s="8" t="str">
        <f>IFERROR(__xludf.DUMMYFUNCTION("""COMPUTED_VALUE"""),"Real")</f>
        <v>Real</v>
      </c>
      <c r="G9081" s="8">
        <f t="shared" si="1"/>
        <v>11</v>
      </c>
      <c r="H9081" s="14">
        <f t="shared" si="2"/>
        <v>14</v>
      </c>
      <c r="I9081" s="15">
        <f t="shared" si="3"/>
        <v>8</v>
      </c>
    </row>
    <row r="9082">
      <c r="A9082" s="8" t="str">
        <f>IFERROR(__xludf.DUMMYFUNCTION("IF('(INGESTA)Datos_consumo_datadis'!A9082&lt;&gt;"""",SPLIT('(INGESTA)Datos_consumo_datadis'!A:A,"",""),"""")"),"ES0031408323131005HX0F")</f>
        <v>ES0031408323131005HX0F</v>
      </c>
      <c r="B9082" s="17">
        <f>IFERROR(__xludf.DUMMYFUNCTION("""COMPUTED_VALUE"""),45244.0)</f>
        <v>45244</v>
      </c>
      <c r="C9082" s="13">
        <f>IFERROR(__xludf.DUMMYFUNCTION("""COMPUTED_VALUE"""),0.375)</f>
        <v>0.375</v>
      </c>
      <c r="D9082" s="8">
        <f>IFERROR(__xludf.DUMMYFUNCTION("""COMPUTED_VALUE"""),0.05)</f>
        <v>0.05</v>
      </c>
      <c r="E9082" s="8" t="str">
        <f>IFERROR(__xludf.DUMMYFUNCTION("""COMPUTED_VALUE"""),"Real")</f>
        <v>Real</v>
      </c>
      <c r="G9082" s="8">
        <f t="shared" si="1"/>
        <v>11</v>
      </c>
      <c r="H9082" s="14">
        <f t="shared" si="2"/>
        <v>14</v>
      </c>
      <c r="I9082" s="15">
        <f t="shared" si="3"/>
        <v>9</v>
      </c>
    </row>
    <row r="9083">
      <c r="A9083" s="8" t="str">
        <f>IFERROR(__xludf.DUMMYFUNCTION("IF('(INGESTA)Datos_consumo_datadis'!A9083&lt;&gt;"""",SPLIT('(INGESTA)Datos_consumo_datadis'!A:A,"",""),"""")"),"ES0031408323131005HX0F")</f>
        <v>ES0031408323131005HX0F</v>
      </c>
      <c r="B9083" s="17">
        <f>IFERROR(__xludf.DUMMYFUNCTION("""COMPUTED_VALUE"""),45244.0)</f>
        <v>45244</v>
      </c>
      <c r="C9083" s="13">
        <f>IFERROR(__xludf.DUMMYFUNCTION("""COMPUTED_VALUE"""),0.4166666666666667)</f>
        <v>0.4166666667</v>
      </c>
      <c r="D9083" s="8">
        <f>IFERROR(__xludf.DUMMYFUNCTION("""COMPUTED_VALUE"""),0.015)</f>
        <v>0.015</v>
      </c>
      <c r="E9083" s="8" t="str">
        <f>IFERROR(__xludf.DUMMYFUNCTION("""COMPUTED_VALUE"""),"Real")</f>
        <v>Real</v>
      </c>
      <c r="G9083" s="8">
        <f t="shared" si="1"/>
        <v>11</v>
      </c>
      <c r="H9083" s="14">
        <f t="shared" si="2"/>
        <v>14</v>
      </c>
      <c r="I9083" s="15">
        <f t="shared" si="3"/>
        <v>10</v>
      </c>
    </row>
    <row r="9084">
      <c r="A9084" s="8" t="str">
        <f>IFERROR(__xludf.DUMMYFUNCTION("IF('(INGESTA)Datos_consumo_datadis'!A9084&lt;&gt;"""",SPLIT('(INGESTA)Datos_consumo_datadis'!A:A,"",""),"""")"),"ES0031408323131005HX0F")</f>
        <v>ES0031408323131005HX0F</v>
      </c>
      <c r="B9084" s="17">
        <f>IFERROR(__xludf.DUMMYFUNCTION("""COMPUTED_VALUE"""),45244.0)</f>
        <v>45244</v>
      </c>
      <c r="C9084" s="13">
        <f>IFERROR(__xludf.DUMMYFUNCTION("""COMPUTED_VALUE"""),0.4583333333333333)</f>
        <v>0.4583333333</v>
      </c>
      <c r="D9084" s="8">
        <f>IFERROR(__xludf.DUMMYFUNCTION("""COMPUTED_VALUE"""),0.109)</f>
        <v>0.109</v>
      </c>
      <c r="E9084" s="8" t="str">
        <f>IFERROR(__xludf.DUMMYFUNCTION("""COMPUTED_VALUE"""),"Real")</f>
        <v>Real</v>
      </c>
      <c r="G9084" s="8">
        <f t="shared" si="1"/>
        <v>11</v>
      </c>
      <c r="H9084" s="14">
        <f t="shared" si="2"/>
        <v>14</v>
      </c>
      <c r="I9084" s="15">
        <f t="shared" si="3"/>
        <v>11</v>
      </c>
    </row>
    <row r="9085">
      <c r="A9085" s="8" t="str">
        <f>IFERROR(__xludf.DUMMYFUNCTION("IF('(INGESTA)Datos_consumo_datadis'!A9085&lt;&gt;"""",SPLIT('(INGESTA)Datos_consumo_datadis'!A:A,"",""),"""")"),"ES0031408323131005HX0F")</f>
        <v>ES0031408323131005HX0F</v>
      </c>
      <c r="B9085" s="17">
        <f>IFERROR(__xludf.DUMMYFUNCTION("""COMPUTED_VALUE"""),45244.0)</f>
        <v>45244</v>
      </c>
      <c r="C9085" s="13">
        <f>IFERROR(__xludf.DUMMYFUNCTION("""COMPUTED_VALUE"""),0.5)</f>
        <v>0.5</v>
      </c>
      <c r="D9085" s="8">
        <f>IFERROR(__xludf.DUMMYFUNCTION("""COMPUTED_VALUE"""),0.328)</f>
        <v>0.328</v>
      </c>
      <c r="E9085" s="8" t="str">
        <f>IFERROR(__xludf.DUMMYFUNCTION("""COMPUTED_VALUE"""),"Real")</f>
        <v>Real</v>
      </c>
      <c r="G9085" s="8">
        <f t="shared" si="1"/>
        <v>11</v>
      </c>
      <c r="H9085" s="14">
        <f t="shared" si="2"/>
        <v>14</v>
      </c>
      <c r="I9085" s="15">
        <f t="shared" si="3"/>
        <v>12</v>
      </c>
    </row>
    <row r="9086">
      <c r="A9086" s="8" t="str">
        <f>IFERROR(__xludf.DUMMYFUNCTION("IF('(INGESTA)Datos_consumo_datadis'!A9086&lt;&gt;"""",SPLIT('(INGESTA)Datos_consumo_datadis'!A:A,"",""),"""")"),"ES0031408323131005HX0F")</f>
        <v>ES0031408323131005HX0F</v>
      </c>
      <c r="B9086" s="17">
        <f>IFERROR(__xludf.DUMMYFUNCTION("""COMPUTED_VALUE"""),45244.0)</f>
        <v>45244</v>
      </c>
      <c r="C9086" s="13">
        <f>IFERROR(__xludf.DUMMYFUNCTION("""COMPUTED_VALUE"""),0.5416666666666666)</f>
        <v>0.5416666667</v>
      </c>
      <c r="D9086" s="8">
        <f>IFERROR(__xludf.DUMMYFUNCTION("""COMPUTED_VALUE"""),0.019)</f>
        <v>0.019</v>
      </c>
      <c r="E9086" s="8" t="str">
        <f>IFERROR(__xludf.DUMMYFUNCTION("""COMPUTED_VALUE"""),"Real")</f>
        <v>Real</v>
      </c>
      <c r="G9086" s="8">
        <f t="shared" si="1"/>
        <v>11</v>
      </c>
      <c r="H9086" s="14">
        <f t="shared" si="2"/>
        <v>14</v>
      </c>
      <c r="I9086" s="15">
        <f t="shared" si="3"/>
        <v>13</v>
      </c>
    </row>
    <row r="9087">
      <c r="A9087" s="8" t="str">
        <f>IFERROR(__xludf.DUMMYFUNCTION("IF('(INGESTA)Datos_consumo_datadis'!A9087&lt;&gt;"""",SPLIT('(INGESTA)Datos_consumo_datadis'!A:A,"",""),"""")"),"ES0031408323131005HX0F")</f>
        <v>ES0031408323131005HX0F</v>
      </c>
      <c r="B9087" s="17">
        <f>IFERROR(__xludf.DUMMYFUNCTION("""COMPUTED_VALUE"""),45244.0)</f>
        <v>45244</v>
      </c>
      <c r="C9087" s="13">
        <f>IFERROR(__xludf.DUMMYFUNCTION("""COMPUTED_VALUE"""),0.5833333333333334)</f>
        <v>0.5833333333</v>
      </c>
      <c r="D9087" s="8">
        <f>IFERROR(__xludf.DUMMYFUNCTION("""COMPUTED_VALUE"""),0.086)</f>
        <v>0.086</v>
      </c>
      <c r="E9087" s="8" t="str">
        <f>IFERROR(__xludf.DUMMYFUNCTION("""COMPUTED_VALUE"""),"Real")</f>
        <v>Real</v>
      </c>
      <c r="G9087" s="8">
        <f t="shared" si="1"/>
        <v>11</v>
      </c>
      <c r="H9087" s="14">
        <f t="shared" si="2"/>
        <v>14</v>
      </c>
      <c r="I9087" s="15">
        <f t="shared" si="3"/>
        <v>14</v>
      </c>
    </row>
    <row r="9088">
      <c r="A9088" s="8" t="str">
        <f>IFERROR(__xludf.DUMMYFUNCTION("IF('(INGESTA)Datos_consumo_datadis'!A9088&lt;&gt;"""",SPLIT('(INGESTA)Datos_consumo_datadis'!A:A,"",""),"""")"),"ES0031408323131005HX0F")</f>
        <v>ES0031408323131005HX0F</v>
      </c>
      <c r="B9088" s="17">
        <f>IFERROR(__xludf.DUMMYFUNCTION("""COMPUTED_VALUE"""),45244.0)</f>
        <v>45244</v>
      </c>
      <c r="C9088" s="13">
        <f>IFERROR(__xludf.DUMMYFUNCTION("""COMPUTED_VALUE"""),0.625)</f>
        <v>0.625</v>
      </c>
      <c r="D9088" s="8">
        <f>IFERROR(__xludf.DUMMYFUNCTION("""COMPUTED_VALUE"""),0.078)</f>
        <v>0.078</v>
      </c>
      <c r="E9088" s="8" t="str">
        <f>IFERROR(__xludf.DUMMYFUNCTION("""COMPUTED_VALUE"""),"Real")</f>
        <v>Real</v>
      </c>
      <c r="G9088" s="8">
        <f t="shared" si="1"/>
        <v>11</v>
      </c>
      <c r="H9088" s="14">
        <f t="shared" si="2"/>
        <v>14</v>
      </c>
      <c r="I9088" s="15">
        <f t="shared" si="3"/>
        <v>15</v>
      </c>
    </row>
    <row r="9089">
      <c r="A9089" s="8" t="str">
        <f>IFERROR(__xludf.DUMMYFUNCTION("IF('(INGESTA)Datos_consumo_datadis'!A9089&lt;&gt;"""",SPLIT('(INGESTA)Datos_consumo_datadis'!A:A,"",""),"""")"),"ES0031408323131005HX0F")</f>
        <v>ES0031408323131005HX0F</v>
      </c>
      <c r="B9089" s="17">
        <f>IFERROR(__xludf.DUMMYFUNCTION("""COMPUTED_VALUE"""),45244.0)</f>
        <v>45244</v>
      </c>
      <c r="C9089" s="13">
        <f>IFERROR(__xludf.DUMMYFUNCTION("""COMPUTED_VALUE"""),0.6666666666666666)</f>
        <v>0.6666666667</v>
      </c>
      <c r="D9089" s="8">
        <f>IFERROR(__xludf.DUMMYFUNCTION("""COMPUTED_VALUE"""),0.026)</f>
        <v>0.026</v>
      </c>
      <c r="E9089" s="8" t="str">
        <f>IFERROR(__xludf.DUMMYFUNCTION("""COMPUTED_VALUE"""),"Real")</f>
        <v>Real</v>
      </c>
      <c r="G9089" s="8">
        <f t="shared" si="1"/>
        <v>11</v>
      </c>
      <c r="H9089" s="14">
        <f t="shared" si="2"/>
        <v>14</v>
      </c>
      <c r="I9089" s="15">
        <f t="shared" si="3"/>
        <v>16</v>
      </c>
    </row>
    <row r="9090">
      <c r="A9090" s="8" t="str">
        <f>IFERROR(__xludf.DUMMYFUNCTION("IF('(INGESTA)Datos_consumo_datadis'!A9090&lt;&gt;"""",SPLIT('(INGESTA)Datos_consumo_datadis'!A:A,"",""),"""")"),"ES0031408323131005HX0F")</f>
        <v>ES0031408323131005HX0F</v>
      </c>
      <c r="B9090" s="17">
        <f>IFERROR(__xludf.DUMMYFUNCTION("""COMPUTED_VALUE"""),45244.0)</f>
        <v>45244</v>
      </c>
      <c r="C9090" s="13">
        <f>IFERROR(__xludf.DUMMYFUNCTION("""COMPUTED_VALUE"""),0.7083333333333334)</f>
        <v>0.7083333333</v>
      </c>
      <c r="D9090" s="8">
        <f>IFERROR(__xludf.DUMMYFUNCTION("""COMPUTED_VALUE"""),0.061)</f>
        <v>0.061</v>
      </c>
      <c r="E9090" s="8" t="str">
        <f>IFERROR(__xludf.DUMMYFUNCTION("""COMPUTED_VALUE"""),"Real")</f>
        <v>Real</v>
      </c>
      <c r="G9090" s="8">
        <f t="shared" si="1"/>
        <v>11</v>
      </c>
      <c r="H9090" s="14">
        <f t="shared" si="2"/>
        <v>14</v>
      </c>
      <c r="I9090" s="15">
        <f t="shared" si="3"/>
        <v>17</v>
      </c>
    </row>
    <row r="9091">
      <c r="A9091" s="8" t="str">
        <f>IFERROR(__xludf.DUMMYFUNCTION("IF('(INGESTA)Datos_consumo_datadis'!A9091&lt;&gt;"""",SPLIT('(INGESTA)Datos_consumo_datadis'!A:A,"",""),"""")"),"ES0031408323131005HX0F")</f>
        <v>ES0031408323131005HX0F</v>
      </c>
      <c r="B9091" s="17">
        <f>IFERROR(__xludf.DUMMYFUNCTION("""COMPUTED_VALUE"""),45244.0)</f>
        <v>45244</v>
      </c>
      <c r="C9091" s="13">
        <f>IFERROR(__xludf.DUMMYFUNCTION("""COMPUTED_VALUE"""),0.75)</f>
        <v>0.75</v>
      </c>
      <c r="D9091" s="8">
        <f>IFERROR(__xludf.DUMMYFUNCTION("""COMPUTED_VALUE"""),0.155)</f>
        <v>0.155</v>
      </c>
      <c r="E9091" s="8" t="str">
        <f>IFERROR(__xludf.DUMMYFUNCTION("""COMPUTED_VALUE"""),"Real")</f>
        <v>Real</v>
      </c>
      <c r="G9091" s="8">
        <f t="shared" si="1"/>
        <v>11</v>
      </c>
      <c r="H9091" s="14">
        <f t="shared" si="2"/>
        <v>14</v>
      </c>
      <c r="I9091" s="15">
        <f t="shared" si="3"/>
        <v>18</v>
      </c>
    </row>
    <row r="9092">
      <c r="A9092" s="8" t="str">
        <f>IFERROR(__xludf.DUMMYFUNCTION("IF('(INGESTA)Datos_consumo_datadis'!A9092&lt;&gt;"""",SPLIT('(INGESTA)Datos_consumo_datadis'!A:A,"",""),"""")"),"ES0031408323131005HX0F")</f>
        <v>ES0031408323131005HX0F</v>
      </c>
      <c r="B9092" s="17">
        <f>IFERROR(__xludf.DUMMYFUNCTION("""COMPUTED_VALUE"""),45244.0)</f>
        <v>45244</v>
      </c>
      <c r="C9092" s="13">
        <f>IFERROR(__xludf.DUMMYFUNCTION("""COMPUTED_VALUE"""),0.7916666666666666)</f>
        <v>0.7916666667</v>
      </c>
      <c r="D9092" s="8">
        <f>IFERROR(__xludf.DUMMYFUNCTION("""COMPUTED_VALUE"""),0.258)</f>
        <v>0.258</v>
      </c>
      <c r="E9092" s="8" t="str">
        <f>IFERROR(__xludf.DUMMYFUNCTION("""COMPUTED_VALUE"""),"Real")</f>
        <v>Real</v>
      </c>
      <c r="G9092" s="8">
        <f t="shared" si="1"/>
        <v>11</v>
      </c>
      <c r="H9092" s="14">
        <f t="shared" si="2"/>
        <v>14</v>
      </c>
      <c r="I9092" s="15">
        <f t="shared" si="3"/>
        <v>19</v>
      </c>
    </row>
    <row r="9093">
      <c r="A9093" s="8" t="str">
        <f>IFERROR(__xludf.DUMMYFUNCTION("IF('(INGESTA)Datos_consumo_datadis'!A9093&lt;&gt;"""",SPLIT('(INGESTA)Datos_consumo_datadis'!A:A,"",""),"""")"),"ES0031408323131005HX0F")</f>
        <v>ES0031408323131005HX0F</v>
      </c>
      <c r="B9093" s="17">
        <f>IFERROR(__xludf.DUMMYFUNCTION("""COMPUTED_VALUE"""),45244.0)</f>
        <v>45244</v>
      </c>
      <c r="C9093" s="13">
        <f>IFERROR(__xludf.DUMMYFUNCTION("""COMPUTED_VALUE"""),0.8333333333333334)</f>
        <v>0.8333333333</v>
      </c>
      <c r="D9093" s="8">
        <f>IFERROR(__xludf.DUMMYFUNCTION("""COMPUTED_VALUE"""),0.078)</f>
        <v>0.078</v>
      </c>
      <c r="E9093" s="8" t="str">
        <f>IFERROR(__xludf.DUMMYFUNCTION("""COMPUTED_VALUE"""),"Real")</f>
        <v>Real</v>
      </c>
      <c r="G9093" s="8">
        <f t="shared" si="1"/>
        <v>11</v>
      </c>
      <c r="H9093" s="14">
        <f t="shared" si="2"/>
        <v>14</v>
      </c>
      <c r="I9093" s="15">
        <f t="shared" si="3"/>
        <v>20</v>
      </c>
    </row>
    <row r="9094">
      <c r="A9094" s="8" t="str">
        <f>IFERROR(__xludf.DUMMYFUNCTION("IF('(INGESTA)Datos_consumo_datadis'!A9094&lt;&gt;"""",SPLIT('(INGESTA)Datos_consumo_datadis'!A:A,"",""),"""")"),"ES0031408323131005HX0F")</f>
        <v>ES0031408323131005HX0F</v>
      </c>
      <c r="B9094" s="17">
        <f>IFERROR(__xludf.DUMMYFUNCTION("""COMPUTED_VALUE"""),45244.0)</f>
        <v>45244</v>
      </c>
      <c r="C9094" s="13">
        <f>IFERROR(__xludf.DUMMYFUNCTION("""COMPUTED_VALUE"""),0.875)</f>
        <v>0.875</v>
      </c>
      <c r="D9094" s="8">
        <f>IFERROR(__xludf.DUMMYFUNCTION("""COMPUTED_VALUE"""),0.102)</f>
        <v>0.102</v>
      </c>
      <c r="E9094" s="8" t="str">
        <f>IFERROR(__xludf.DUMMYFUNCTION("""COMPUTED_VALUE"""),"Real")</f>
        <v>Real</v>
      </c>
      <c r="G9094" s="8">
        <f t="shared" si="1"/>
        <v>11</v>
      </c>
      <c r="H9094" s="14">
        <f t="shared" si="2"/>
        <v>14</v>
      </c>
      <c r="I9094" s="15">
        <f t="shared" si="3"/>
        <v>21</v>
      </c>
    </row>
    <row r="9095">
      <c r="A9095" s="8" t="str">
        <f>IFERROR(__xludf.DUMMYFUNCTION("IF('(INGESTA)Datos_consumo_datadis'!A9095&lt;&gt;"""",SPLIT('(INGESTA)Datos_consumo_datadis'!A:A,"",""),"""")"),"ES0031408323131005HX0F")</f>
        <v>ES0031408323131005HX0F</v>
      </c>
      <c r="B9095" s="17">
        <f>IFERROR(__xludf.DUMMYFUNCTION("""COMPUTED_VALUE"""),45244.0)</f>
        <v>45244</v>
      </c>
      <c r="C9095" s="13">
        <f>IFERROR(__xludf.DUMMYFUNCTION("""COMPUTED_VALUE"""),0.9166666666666666)</f>
        <v>0.9166666667</v>
      </c>
      <c r="D9095" s="8">
        <f>IFERROR(__xludf.DUMMYFUNCTION("""COMPUTED_VALUE"""),0.073)</f>
        <v>0.073</v>
      </c>
      <c r="E9095" s="8" t="str">
        <f>IFERROR(__xludf.DUMMYFUNCTION("""COMPUTED_VALUE"""),"Real")</f>
        <v>Real</v>
      </c>
      <c r="G9095" s="8">
        <f t="shared" si="1"/>
        <v>11</v>
      </c>
      <c r="H9095" s="14">
        <f t="shared" si="2"/>
        <v>14</v>
      </c>
      <c r="I9095" s="15">
        <f t="shared" si="3"/>
        <v>22</v>
      </c>
    </row>
    <row r="9096">
      <c r="A9096" s="8" t="str">
        <f>IFERROR(__xludf.DUMMYFUNCTION("IF('(INGESTA)Datos_consumo_datadis'!A9096&lt;&gt;"""",SPLIT('(INGESTA)Datos_consumo_datadis'!A:A,"",""),"""")"),"ES0031408323131005HX0F")</f>
        <v>ES0031408323131005HX0F</v>
      </c>
      <c r="B9096" s="17">
        <f>IFERROR(__xludf.DUMMYFUNCTION("""COMPUTED_VALUE"""),45244.0)</f>
        <v>45244</v>
      </c>
      <c r="C9096" s="13">
        <f>IFERROR(__xludf.DUMMYFUNCTION("""COMPUTED_VALUE"""),0.9583333333333334)</f>
        <v>0.9583333333</v>
      </c>
      <c r="D9096" s="8">
        <f>IFERROR(__xludf.DUMMYFUNCTION("""COMPUTED_VALUE"""),0.014)</f>
        <v>0.014</v>
      </c>
      <c r="E9096" s="8" t="str">
        <f>IFERROR(__xludf.DUMMYFUNCTION("""COMPUTED_VALUE"""),"Real")</f>
        <v>Real</v>
      </c>
      <c r="G9096" s="8">
        <f t="shared" si="1"/>
        <v>11</v>
      </c>
      <c r="H9096" s="14">
        <f t="shared" si="2"/>
        <v>14</v>
      </c>
      <c r="I9096" s="15">
        <f t="shared" si="3"/>
        <v>23</v>
      </c>
    </row>
    <row r="9097">
      <c r="A9097" s="8" t="str">
        <f>IFERROR(__xludf.DUMMYFUNCTION("IF('(INGESTA)Datos_consumo_datadis'!A9097&lt;&gt;"""",SPLIT('(INGESTA)Datos_consumo_datadis'!A:A,"",""),"""")"),"ES0031408323131005HX0F")</f>
        <v>ES0031408323131005HX0F</v>
      </c>
      <c r="B9097" s="17">
        <f>IFERROR(__xludf.DUMMYFUNCTION("""COMPUTED_VALUE"""),45244.0)</f>
        <v>45244</v>
      </c>
      <c r="C9097" s="16">
        <f>IFERROR(__xludf.DUMMYFUNCTION("""COMPUTED_VALUE"""),1.0)</f>
        <v>1</v>
      </c>
      <c r="D9097" s="8">
        <f>IFERROR(__xludf.DUMMYFUNCTION("""COMPUTED_VALUE"""),0.212)</f>
        <v>0.212</v>
      </c>
      <c r="E9097" s="8" t="str">
        <f>IFERROR(__xludf.DUMMYFUNCTION("""COMPUTED_VALUE"""),"Real")</f>
        <v>Real</v>
      </c>
      <c r="G9097" s="8">
        <f t="shared" si="1"/>
        <v>11</v>
      </c>
      <c r="H9097" s="14">
        <f t="shared" si="2"/>
        <v>14</v>
      </c>
      <c r="I9097" s="15">
        <f t="shared" si="3"/>
        <v>0</v>
      </c>
    </row>
    <row r="9098">
      <c r="A9098" s="8" t="str">
        <f>IFERROR(__xludf.DUMMYFUNCTION("IF('(INGESTA)Datos_consumo_datadis'!A9098&lt;&gt;"""",SPLIT('(INGESTA)Datos_consumo_datadis'!A:A,"",""),"""")"),"ES0031408323131005HX0F")</f>
        <v>ES0031408323131005HX0F</v>
      </c>
      <c r="B9098" s="17">
        <f>IFERROR(__xludf.DUMMYFUNCTION("""COMPUTED_VALUE"""),45245.0)</f>
        <v>45245</v>
      </c>
      <c r="C9098" s="13">
        <f>IFERROR(__xludf.DUMMYFUNCTION("""COMPUTED_VALUE"""),0.041666666666666664)</f>
        <v>0.04166666667</v>
      </c>
      <c r="D9098" s="8">
        <f>IFERROR(__xludf.DUMMYFUNCTION("""COMPUTED_VALUE"""),0.342)</f>
        <v>0.342</v>
      </c>
      <c r="E9098" s="8" t="str">
        <f>IFERROR(__xludf.DUMMYFUNCTION("""COMPUTED_VALUE"""),"Real")</f>
        <v>Real</v>
      </c>
      <c r="G9098" s="8">
        <f t="shared" si="1"/>
        <v>11</v>
      </c>
      <c r="H9098" s="14">
        <f t="shared" si="2"/>
        <v>15</v>
      </c>
      <c r="I9098" s="15">
        <f t="shared" si="3"/>
        <v>1</v>
      </c>
    </row>
    <row r="9099">
      <c r="A9099" s="8" t="str">
        <f>IFERROR(__xludf.DUMMYFUNCTION("IF('(INGESTA)Datos_consumo_datadis'!A9099&lt;&gt;"""",SPLIT('(INGESTA)Datos_consumo_datadis'!A:A,"",""),"""")"),"ES0031408323131005HX0F")</f>
        <v>ES0031408323131005HX0F</v>
      </c>
      <c r="B9099" s="17">
        <f>IFERROR(__xludf.DUMMYFUNCTION("""COMPUTED_VALUE"""),45245.0)</f>
        <v>45245</v>
      </c>
      <c r="C9099" s="13">
        <f>IFERROR(__xludf.DUMMYFUNCTION("""COMPUTED_VALUE"""),0.08333333333333333)</f>
        <v>0.08333333333</v>
      </c>
      <c r="D9099" s="8">
        <f>IFERROR(__xludf.DUMMYFUNCTION("""COMPUTED_VALUE"""),0.23)</f>
        <v>0.23</v>
      </c>
      <c r="E9099" s="8" t="str">
        <f>IFERROR(__xludf.DUMMYFUNCTION("""COMPUTED_VALUE"""),"Real")</f>
        <v>Real</v>
      </c>
      <c r="G9099" s="8">
        <f t="shared" si="1"/>
        <v>11</v>
      </c>
      <c r="H9099" s="14">
        <f t="shared" si="2"/>
        <v>15</v>
      </c>
      <c r="I9099" s="15">
        <f t="shared" si="3"/>
        <v>2</v>
      </c>
    </row>
    <row r="9100">
      <c r="A9100" s="8" t="str">
        <f>IFERROR(__xludf.DUMMYFUNCTION("IF('(INGESTA)Datos_consumo_datadis'!A9100&lt;&gt;"""",SPLIT('(INGESTA)Datos_consumo_datadis'!A:A,"",""),"""")"),"ES0031408323131005HX0F")</f>
        <v>ES0031408323131005HX0F</v>
      </c>
      <c r="B9100" s="17">
        <f>IFERROR(__xludf.DUMMYFUNCTION("""COMPUTED_VALUE"""),45245.0)</f>
        <v>45245</v>
      </c>
      <c r="C9100" s="13">
        <f>IFERROR(__xludf.DUMMYFUNCTION("""COMPUTED_VALUE"""),0.125)</f>
        <v>0.125</v>
      </c>
      <c r="D9100" s="8">
        <f>IFERROR(__xludf.DUMMYFUNCTION("""COMPUTED_VALUE"""),0.171)</f>
        <v>0.171</v>
      </c>
      <c r="E9100" s="8" t="str">
        <f>IFERROR(__xludf.DUMMYFUNCTION("""COMPUTED_VALUE"""),"Real")</f>
        <v>Real</v>
      </c>
      <c r="G9100" s="8">
        <f t="shared" si="1"/>
        <v>11</v>
      </c>
      <c r="H9100" s="14">
        <f t="shared" si="2"/>
        <v>15</v>
      </c>
      <c r="I9100" s="15">
        <f t="shared" si="3"/>
        <v>3</v>
      </c>
    </row>
    <row r="9101">
      <c r="A9101" s="8" t="str">
        <f>IFERROR(__xludf.DUMMYFUNCTION("IF('(INGESTA)Datos_consumo_datadis'!A9101&lt;&gt;"""",SPLIT('(INGESTA)Datos_consumo_datadis'!A:A,"",""),"""")"),"ES0031408323131005HX0F")</f>
        <v>ES0031408323131005HX0F</v>
      </c>
      <c r="B9101" s="17">
        <f>IFERROR(__xludf.DUMMYFUNCTION("""COMPUTED_VALUE"""),45245.0)</f>
        <v>45245</v>
      </c>
      <c r="C9101" s="13">
        <f>IFERROR(__xludf.DUMMYFUNCTION("""COMPUTED_VALUE"""),0.16666666666666666)</f>
        <v>0.1666666667</v>
      </c>
      <c r="D9101" s="8">
        <f>IFERROR(__xludf.DUMMYFUNCTION("""COMPUTED_VALUE"""),0.155)</f>
        <v>0.155</v>
      </c>
      <c r="E9101" s="8" t="str">
        <f>IFERROR(__xludf.DUMMYFUNCTION("""COMPUTED_VALUE"""),"Real")</f>
        <v>Real</v>
      </c>
      <c r="G9101" s="8">
        <f t="shared" si="1"/>
        <v>11</v>
      </c>
      <c r="H9101" s="14">
        <f t="shared" si="2"/>
        <v>15</v>
      </c>
      <c r="I9101" s="15">
        <f t="shared" si="3"/>
        <v>4</v>
      </c>
    </row>
    <row r="9102">
      <c r="A9102" s="8" t="str">
        <f>IFERROR(__xludf.DUMMYFUNCTION("IF('(INGESTA)Datos_consumo_datadis'!A9102&lt;&gt;"""",SPLIT('(INGESTA)Datos_consumo_datadis'!A:A,"",""),"""")"),"ES0031408323131005HX0F")</f>
        <v>ES0031408323131005HX0F</v>
      </c>
      <c r="B9102" s="17">
        <f>IFERROR(__xludf.DUMMYFUNCTION("""COMPUTED_VALUE"""),45245.0)</f>
        <v>45245</v>
      </c>
      <c r="C9102" s="13">
        <f>IFERROR(__xludf.DUMMYFUNCTION("""COMPUTED_VALUE"""),0.20833333333333334)</f>
        <v>0.2083333333</v>
      </c>
      <c r="D9102" s="8">
        <f>IFERROR(__xludf.DUMMYFUNCTION("""COMPUTED_VALUE"""),0.022)</f>
        <v>0.022</v>
      </c>
      <c r="E9102" s="8" t="str">
        <f>IFERROR(__xludf.DUMMYFUNCTION("""COMPUTED_VALUE"""),"Real")</f>
        <v>Real</v>
      </c>
      <c r="G9102" s="8">
        <f t="shared" si="1"/>
        <v>11</v>
      </c>
      <c r="H9102" s="14">
        <f t="shared" si="2"/>
        <v>15</v>
      </c>
      <c r="I9102" s="15">
        <f t="shared" si="3"/>
        <v>5</v>
      </c>
    </row>
    <row r="9103">
      <c r="A9103" s="8" t="str">
        <f>IFERROR(__xludf.DUMMYFUNCTION("IF('(INGESTA)Datos_consumo_datadis'!A9103&lt;&gt;"""",SPLIT('(INGESTA)Datos_consumo_datadis'!A:A,"",""),"""")"),"ES0031408323131005HX0F")</f>
        <v>ES0031408323131005HX0F</v>
      </c>
      <c r="B9103" s="17">
        <f>IFERROR(__xludf.DUMMYFUNCTION("""COMPUTED_VALUE"""),45245.0)</f>
        <v>45245</v>
      </c>
      <c r="C9103" s="13">
        <f>IFERROR(__xludf.DUMMYFUNCTION("""COMPUTED_VALUE"""),0.25)</f>
        <v>0.25</v>
      </c>
      <c r="D9103" s="8">
        <f>IFERROR(__xludf.DUMMYFUNCTION("""COMPUTED_VALUE"""),0.097)</f>
        <v>0.097</v>
      </c>
      <c r="E9103" s="8" t="str">
        <f>IFERROR(__xludf.DUMMYFUNCTION("""COMPUTED_VALUE"""),"Real")</f>
        <v>Real</v>
      </c>
      <c r="G9103" s="8">
        <f t="shared" si="1"/>
        <v>11</v>
      </c>
      <c r="H9103" s="14">
        <f t="shared" si="2"/>
        <v>15</v>
      </c>
      <c r="I9103" s="15">
        <f t="shared" si="3"/>
        <v>6</v>
      </c>
    </row>
    <row r="9104">
      <c r="A9104" s="8" t="str">
        <f>IFERROR(__xludf.DUMMYFUNCTION("IF('(INGESTA)Datos_consumo_datadis'!A9104&lt;&gt;"""",SPLIT('(INGESTA)Datos_consumo_datadis'!A:A,"",""),"""")"),"ES0031408323131005HX0F")</f>
        <v>ES0031408323131005HX0F</v>
      </c>
      <c r="B9104" s="17">
        <f>IFERROR(__xludf.DUMMYFUNCTION("""COMPUTED_VALUE"""),45245.0)</f>
        <v>45245</v>
      </c>
      <c r="C9104" s="13">
        <f>IFERROR(__xludf.DUMMYFUNCTION("""COMPUTED_VALUE"""),0.2916666666666667)</f>
        <v>0.2916666667</v>
      </c>
      <c r="D9104" s="8">
        <f>IFERROR(__xludf.DUMMYFUNCTION("""COMPUTED_VALUE"""),0.336)</f>
        <v>0.336</v>
      </c>
      <c r="E9104" s="8" t="str">
        <f>IFERROR(__xludf.DUMMYFUNCTION("""COMPUTED_VALUE"""),"Real")</f>
        <v>Real</v>
      </c>
      <c r="G9104" s="8">
        <f t="shared" si="1"/>
        <v>11</v>
      </c>
      <c r="H9104" s="14">
        <f t="shared" si="2"/>
        <v>15</v>
      </c>
      <c r="I9104" s="15">
        <f t="shared" si="3"/>
        <v>7</v>
      </c>
    </row>
    <row r="9105">
      <c r="A9105" s="8" t="str">
        <f>IFERROR(__xludf.DUMMYFUNCTION("IF('(INGESTA)Datos_consumo_datadis'!A9105&lt;&gt;"""",SPLIT('(INGESTA)Datos_consumo_datadis'!A:A,"",""),"""")"),"ES0031408323131005HX0F")</f>
        <v>ES0031408323131005HX0F</v>
      </c>
      <c r="B9105" s="17">
        <f>IFERROR(__xludf.DUMMYFUNCTION("""COMPUTED_VALUE"""),45245.0)</f>
        <v>45245</v>
      </c>
      <c r="C9105" s="13">
        <f>IFERROR(__xludf.DUMMYFUNCTION("""COMPUTED_VALUE"""),0.3333333333333333)</f>
        <v>0.3333333333</v>
      </c>
      <c r="D9105" s="8">
        <f>IFERROR(__xludf.DUMMYFUNCTION("""COMPUTED_VALUE"""),0.861)</f>
        <v>0.861</v>
      </c>
      <c r="E9105" s="8" t="str">
        <f>IFERROR(__xludf.DUMMYFUNCTION("""COMPUTED_VALUE"""),"Real")</f>
        <v>Real</v>
      </c>
      <c r="G9105" s="8">
        <f t="shared" si="1"/>
        <v>11</v>
      </c>
      <c r="H9105" s="14">
        <f t="shared" si="2"/>
        <v>15</v>
      </c>
      <c r="I9105" s="15">
        <f t="shared" si="3"/>
        <v>8</v>
      </c>
    </row>
    <row r="9106">
      <c r="A9106" s="8" t="str">
        <f>IFERROR(__xludf.DUMMYFUNCTION("IF('(INGESTA)Datos_consumo_datadis'!A9106&lt;&gt;"""",SPLIT('(INGESTA)Datos_consumo_datadis'!A:A,"",""),"""")"),"ES0031408323131005HX0F")</f>
        <v>ES0031408323131005HX0F</v>
      </c>
      <c r="B9106" s="17">
        <f>IFERROR(__xludf.DUMMYFUNCTION("""COMPUTED_VALUE"""),45245.0)</f>
        <v>45245</v>
      </c>
      <c r="C9106" s="13">
        <f>IFERROR(__xludf.DUMMYFUNCTION("""COMPUTED_VALUE"""),0.375)</f>
        <v>0.375</v>
      </c>
      <c r="D9106" s="8">
        <f>IFERROR(__xludf.DUMMYFUNCTION("""COMPUTED_VALUE"""),0.439)</f>
        <v>0.439</v>
      </c>
      <c r="E9106" s="8" t="str">
        <f>IFERROR(__xludf.DUMMYFUNCTION("""COMPUTED_VALUE"""),"Real")</f>
        <v>Real</v>
      </c>
      <c r="G9106" s="8">
        <f t="shared" si="1"/>
        <v>11</v>
      </c>
      <c r="H9106" s="14">
        <f t="shared" si="2"/>
        <v>15</v>
      </c>
      <c r="I9106" s="15">
        <f t="shared" si="3"/>
        <v>9</v>
      </c>
    </row>
    <row r="9107">
      <c r="A9107" s="8" t="str">
        <f>IFERROR(__xludf.DUMMYFUNCTION("IF('(INGESTA)Datos_consumo_datadis'!A9107&lt;&gt;"""",SPLIT('(INGESTA)Datos_consumo_datadis'!A:A,"",""),"""")"),"ES0031408323131005HX0F")</f>
        <v>ES0031408323131005HX0F</v>
      </c>
      <c r="B9107" s="17">
        <f>IFERROR(__xludf.DUMMYFUNCTION("""COMPUTED_VALUE"""),45245.0)</f>
        <v>45245</v>
      </c>
      <c r="C9107" s="13">
        <f>IFERROR(__xludf.DUMMYFUNCTION("""COMPUTED_VALUE"""),0.4166666666666667)</f>
        <v>0.4166666667</v>
      </c>
      <c r="D9107" s="8">
        <f>IFERROR(__xludf.DUMMYFUNCTION("""COMPUTED_VALUE"""),0.975)</f>
        <v>0.975</v>
      </c>
      <c r="E9107" s="8" t="str">
        <f>IFERROR(__xludf.DUMMYFUNCTION("""COMPUTED_VALUE"""),"Real")</f>
        <v>Real</v>
      </c>
      <c r="G9107" s="8">
        <f t="shared" si="1"/>
        <v>11</v>
      </c>
      <c r="H9107" s="14">
        <f t="shared" si="2"/>
        <v>15</v>
      </c>
      <c r="I9107" s="15">
        <f t="shared" si="3"/>
        <v>10</v>
      </c>
    </row>
    <row r="9108">
      <c r="A9108" s="8" t="str">
        <f>IFERROR(__xludf.DUMMYFUNCTION("IF('(INGESTA)Datos_consumo_datadis'!A9108&lt;&gt;"""",SPLIT('(INGESTA)Datos_consumo_datadis'!A:A,"",""),"""")"),"ES0031408323131005HX0F")</f>
        <v>ES0031408323131005HX0F</v>
      </c>
      <c r="B9108" s="17">
        <f>IFERROR(__xludf.DUMMYFUNCTION("""COMPUTED_VALUE"""),45245.0)</f>
        <v>45245</v>
      </c>
      <c r="C9108" s="13">
        <f>IFERROR(__xludf.DUMMYFUNCTION("""COMPUTED_VALUE"""),0.4583333333333333)</f>
        <v>0.4583333333</v>
      </c>
      <c r="D9108" s="8">
        <f>IFERROR(__xludf.DUMMYFUNCTION("""COMPUTED_VALUE"""),0.056)</f>
        <v>0.056</v>
      </c>
      <c r="E9108" s="8" t="str">
        <f>IFERROR(__xludf.DUMMYFUNCTION("""COMPUTED_VALUE"""),"Real")</f>
        <v>Real</v>
      </c>
      <c r="G9108" s="8">
        <f t="shared" si="1"/>
        <v>11</v>
      </c>
      <c r="H9108" s="14">
        <f t="shared" si="2"/>
        <v>15</v>
      </c>
      <c r="I9108" s="15">
        <f t="shared" si="3"/>
        <v>11</v>
      </c>
    </row>
    <row r="9109">
      <c r="A9109" s="8" t="str">
        <f>IFERROR(__xludf.DUMMYFUNCTION("IF('(INGESTA)Datos_consumo_datadis'!A9109&lt;&gt;"""",SPLIT('(INGESTA)Datos_consumo_datadis'!A:A,"",""),"""")"),"ES0031408323131005HX0F")</f>
        <v>ES0031408323131005HX0F</v>
      </c>
      <c r="B9109" s="17">
        <f>IFERROR(__xludf.DUMMYFUNCTION("""COMPUTED_VALUE"""),45245.0)</f>
        <v>45245</v>
      </c>
      <c r="C9109" s="13">
        <f>IFERROR(__xludf.DUMMYFUNCTION("""COMPUTED_VALUE"""),0.5)</f>
        <v>0.5</v>
      </c>
      <c r="D9109" s="8">
        <f>IFERROR(__xludf.DUMMYFUNCTION("""COMPUTED_VALUE"""),0.342)</f>
        <v>0.342</v>
      </c>
      <c r="E9109" s="8" t="str">
        <f>IFERROR(__xludf.DUMMYFUNCTION("""COMPUTED_VALUE"""),"Real")</f>
        <v>Real</v>
      </c>
      <c r="G9109" s="8">
        <f t="shared" si="1"/>
        <v>11</v>
      </c>
      <c r="H9109" s="14">
        <f t="shared" si="2"/>
        <v>15</v>
      </c>
      <c r="I9109" s="15">
        <f t="shared" si="3"/>
        <v>12</v>
      </c>
    </row>
    <row r="9110">
      <c r="A9110" s="8" t="str">
        <f>IFERROR(__xludf.DUMMYFUNCTION("IF('(INGESTA)Datos_consumo_datadis'!A9110&lt;&gt;"""",SPLIT('(INGESTA)Datos_consumo_datadis'!A:A,"",""),"""")"),"ES0031408323131005HX0F")</f>
        <v>ES0031408323131005HX0F</v>
      </c>
      <c r="B9110" s="17">
        <f>IFERROR(__xludf.DUMMYFUNCTION("""COMPUTED_VALUE"""),45245.0)</f>
        <v>45245</v>
      </c>
      <c r="C9110" s="13">
        <f>IFERROR(__xludf.DUMMYFUNCTION("""COMPUTED_VALUE"""),0.5416666666666666)</f>
        <v>0.5416666667</v>
      </c>
      <c r="D9110" s="8">
        <f>IFERROR(__xludf.DUMMYFUNCTION("""COMPUTED_VALUE"""),0.018)</f>
        <v>0.018</v>
      </c>
      <c r="E9110" s="8" t="str">
        <f>IFERROR(__xludf.DUMMYFUNCTION("""COMPUTED_VALUE"""),"Real")</f>
        <v>Real</v>
      </c>
      <c r="G9110" s="8">
        <f t="shared" si="1"/>
        <v>11</v>
      </c>
      <c r="H9110" s="14">
        <f t="shared" si="2"/>
        <v>15</v>
      </c>
      <c r="I9110" s="15">
        <f t="shared" si="3"/>
        <v>13</v>
      </c>
    </row>
    <row r="9111">
      <c r="A9111" s="8" t="str">
        <f>IFERROR(__xludf.DUMMYFUNCTION("IF('(INGESTA)Datos_consumo_datadis'!A9111&lt;&gt;"""",SPLIT('(INGESTA)Datos_consumo_datadis'!A:A,"",""),"""")"),"ES0031408323131005HX0F")</f>
        <v>ES0031408323131005HX0F</v>
      </c>
      <c r="B9111" s="17">
        <f>IFERROR(__xludf.DUMMYFUNCTION("""COMPUTED_VALUE"""),45245.0)</f>
        <v>45245</v>
      </c>
      <c r="C9111" s="13">
        <f>IFERROR(__xludf.DUMMYFUNCTION("""COMPUTED_VALUE"""),0.5833333333333334)</f>
        <v>0.5833333333</v>
      </c>
      <c r="D9111" s="8">
        <f>IFERROR(__xludf.DUMMYFUNCTION("""COMPUTED_VALUE"""),0.197)</f>
        <v>0.197</v>
      </c>
      <c r="E9111" s="8" t="str">
        <f>IFERROR(__xludf.DUMMYFUNCTION("""COMPUTED_VALUE"""),"Real")</f>
        <v>Real</v>
      </c>
      <c r="G9111" s="8">
        <f t="shared" si="1"/>
        <v>11</v>
      </c>
      <c r="H9111" s="14">
        <f t="shared" si="2"/>
        <v>15</v>
      </c>
      <c r="I9111" s="15">
        <f t="shared" si="3"/>
        <v>14</v>
      </c>
    </row>
    <row r="9112">
      <c r="A9112" s="8" t="str">
        <f>IFERROR(__xludf.DUMMYFUNCTION("IF('(INGESTA)Datos_consumo_datadis'!A9112&lt;&gt;"""",SPLIT('(INGESTA)Datos_consumo_datadis'!A:A,"",""),"""")"),"ES0031408323131005HX0F")</f>
        <v>ES0031408323131005HX0F</v>
      </c>
      <c r="B9112" s="17">
        <f>IFERROR(__xludf.DUMMYFUNCTION("""COMPUTED_VALUE"""),45245.0)</f>
        <v>45245</v>
      </c>
      <c r="C9112" s="13">
        <f>IFERROR(__xludf.DUMMYFUNCTION("""COMPUTED_VALUE"""),0.625)</f>
        <v>0.625</v>
      </c>
      <c r="D9112" s="8">
        <f>IFERROR(__xludf.DUMMYFUNCTION("""COMPUTED_VALUE"""),0.107)</f>
        <v>0.107</v>
      </c>
      <c r="E9112" s="8" t="str">
        <f>IFERROR(__xludf.DUMMYFUNCTION("""COMPUTED_VALUE"""),"Real")</f>
        <v>Real</v>
      </c>
      <c r="G9112" s="8">
        <f t="shared" si="1"/>
        <v>11</v>
      </c>
      <c r="H9112" s="14">
        <f t="shared" si="2"/>
        <v>15</v>
      </c>
      <c r="I9112" s="15">
        <f t="shared" si="3"/>
        <v>15</v>
      </c>
    </row>
    <row r="9113">
      <c r="A9113" s="8" t="str">
        <f>IFERROR(__xludf.DUMMYFUNCTION("IF('(INGESTA)Datos_consumo_datadis'!A9113&lt;&gt;"""",SPLIT('(INGESTA)Datos_consumo_datadis'!A:A,"",""),"""")"),"ES0031408323131005HX0F")</f>
        <v>ES0031408323131005HX0F</v>
      </c>
      <c r="B9113" s="17">
        <f>IFERROR(__xludf.DUMMYFUNCTION("""COMPUTED_VALUE"""),45245.0)</f>
        <v>45245</v>
      </c>
      <c r="C9113" s="13">
        <f>IFERROR(__xludf.DUMMYFUNCTION("""COMPUTED_VALUE"""),0.6666666666666666)</f>
        <v>0.6666666667</v>
      </c>
      <c r="D9113" s="8">
        <f>IFERROR(__xludf.DUMMYFUNCTION("""COMPUTED_VALUE"""),0.041)</f>
        <v>0.041</v>
      </c>
      <c r="E9113" s="8" t="str">
        <f>IFERROR(__xludf.DUMMYFUNCTION("""COMPUTED_VALUE"""),"Real")</f>
        <v>Real</v>
      </c>
      <c r="G9113" s="8">
        <f t="shared" si="1"/>
        <v>11</v>
      </c>
      <c r="H9113" s="14">
        <f t="shared" si="2"/>
        <v>15</v>
      </c>
      <c r="I9113" s="15">
        <f t="shared" si="3"/>
        <v>16</v>
      </c>
    </row>
    <row r="9114">
      <c r="A9114" s="8" t="str">
        <f>IFERROR(__xludf.DUMMYFUNCTION("IF('(INGESTA)Datos_consumo_datadis'!A9114&lt;&gt;"""",SPLIT('(INGESTA)Datos_consumo_datadis'!A:A,"",""),"""")"),"ES0031408323131005HX0F")</f>
        <v>ES0031408323131005HX0F</v>
      </c>
      <c r="B9114" s="17">
        <f>IFERROR(__xludf.DUMMYFUNCTION("""COMPUTED_VALUE"""),45245.0)</f>
        <v>45245</v>
      </c>
      <c r="C9114" s="13">
        <f>IFERROR(__xludf.DUMMYFUNCTION("""COMPUTED_VALUE"""),0.7083333333333334)</f>
        <v>0.7083333333</v>
      </c>
      <c r="D9114" s="8">
        <f>IFERROR(__xludf.DUMMYFUNCTION("""COMPUTED_VALUE"""),0.082)</f>
        <v>0.082</v>
      </c>
      <c r="E9114" s="8" t="str">
        <f>IFERROR(__xludf.DUMMYFUNCTION("""COMPUTED_VALUE"""),"Real")</f>
        <v>Real</v>
      </c>
      <c r="G9114" s="8">
        <f t="shared" si="1"/>
        <v>11</v>
      </c>
      <c r="H9114" s="14">
        <f t="shared" si="2"/>
        <v>15</v>
      </c>
      <c r="I9114" s="15">
        <f t="shared" si="3"/>
        <v>17</v>
      </c>
    </row>
    <row r="9115">
      <c r="A9115" s="8" t="str">
        <f>IFERROR(__xludf.DUMMYFUNCTION("IF('(INGESTA)Datos_consumo_datadis'!A9115&lt;&gt;"""",SPLIT('(INGESTA)Datos_consumo_datadis'!A:A,"",""),"""")"),"ES0031408323131005HX0F")</f>
        <v>ES0031408323131005HX0F</v>
      </c>
      <c r="B9115" s="17">
        <f>IFERROR(__xludf.DUMMYFUNCTION("""COMPUTED_VALUE"""),45245.0)</f>
        <v>45245</v>
      </c>
      <c r="C9115" s="13">
        <f>IFERROR(__xludf.DUMMYFUNCTION("""COMPUTED_VALUE"""),0.75)</f>
        <v>0.75</v>
      </c>
      <c r="D9115" s="8">
        <f>IFERROR(__xludf.DUMMYFUNCTION("""COMPUTED_VALUE"""),0.616)</f>
        <v>0.616</v>
      </c>
      <c r="E9115" s="8" t="str">
        <f>IFERROR(__xludf.DUMMYFUNCTION("""COMPUTED_VALUE"""),"Real")</f>
        <v>Real</v>
      </c>
      <c r="G9115" s="8">
        <f t="shared" si="1"/>
        <v>11</v>
      </c>
      <c r="H9115" s="14">
        <f t="shared" si="2"/>
        <v>15</v>
      </c>
      <c r="I9115" s="15">
        <f t="shared" si="3"/>
        <v>18</v>
      </c>
    </row>
    <row r="9116">
      <c r="A9116" s="8" t="str">
        <f>IFERROR(__xludf.DUMMYFUNCTION("IF('(INGESTA)Datos_consumo_datadis'!A9116&lt;&gt;"""",SPLIT('(INGESTA)Datos_consumo_datadis'!A:A,"",""),"""")"),"ES0031408323131005HX0F")</f>
        <v>ES0031408323131005HX0F</v>
      </c>
      <c r="B9116" s="17">
        <f>IFERROR(__xludf.DUMMYFUNCTION("""COMPUTED_VALUE"""),45245.0)</f>
        <v>45245</v>
      </c>
      <c r="C9116" s="13">
        <f>IFERROR(__xludf.DUMMYFUNCTION("""COMPUTED_VALUE"""),0.7916666666666666)</f>
        <v>0.7916666667</v>
      </c>
      <c r="D9116" s="8">
        <f>IFERROR(__xludf.DUMMYFUNCTION("""COMPUTED_VALUE"""),0.235)</f>
        <v>0.235</v>
      </c>
      <c r="E9116" s="8" t="str">
        <f>IFERROR(__xludf.DUMMYFUNCTION("""COMPUTED_VALUE"""),"Real")</f>
        <v>Real</v>
      </c>
      <c r="G9116" s="8">
        <f t="shared" si="1"/>
        <v>11</v>
      </c>
      <c r="H9116" s="14">
        <f t="shared" si="2"/>
        <v>15</v>
      </c>
      <c r="I9116" s="15">
        <f t="shared" si="3"/>
        <v>19</v>
      </c>
    </row>
    <row r="9117">
      <c r="A9117" s="8" t="str">
        <f>IFERROR(__xludf.DUMMYFUNCTION("IF('(INGESTA)Datos_consumo_datadis'!A9117&lt;&gt;"""",SPLIT('(INGESTA)Datos_consumo_datadis'!A:A,"",""),"""")"),"ES0031408323131005HX0F")</f>
        <v>ES0031408323131005HX0F</v>
      </c>
      <c r="B9117" s="17">
        <f>IFERROR(__xludf.DUMMYFUNCTION("""COMPUTED_VALUE"""),45245.0)</f>
        <v>45245</v>
      </c>
      <c r="C9117" s="13">
        <f>IFERROR(__xludf.DUMMYFUNCTION("""COMPUTED_VALUE"""),0.8333333333333334)</f>
        <v>0.8333333333</v>
      </c>
      <c r="D9117" s="8">
        <f>IFERROR(__xludf.DUMMYFUNCTION("""COMPUTED_VALUE"""),0.272)</f>
        <v>0.272</v>
      </c>
      <c r="E9117" s="8" t="str">
        <f>IFERROR(__xludf.DUMMYFUNCTION("""COMPUTED_VALUE"""),"Real")</f>
        <v>Real</v>
      </c>
      <c r="G9117" s="8">
        <f t="shared" si="1"/>
        <v>11</v>
      </c>
      <c r="H9117" s="14">
        <f t="shared" si="2"/>
        <v>15</v>
      </c>
      <c r="I9117" s="15">
        <f t="shared" si="3"/>
        <v>20</v>
      </c>
    </row>
    <row r="9118">
      <c r="A9118" s="8" t="str">
        <f>IFERROR(__xludf.DUMMYFUNCTION("IF('(INGESTA)Datos_consumo_datadis'!A9118&lt;&gt;"""",SPLIT('(INGESTA)Datos_consumo_datadis'!A:A,"",""),"""")"),"ES0031408323131005HX0F")</f>
        <v>ES0031408323131005HX0F</v>
      </c>
      <c r="B9118" s="17">
        <f>IFERROR(__xludf.DUMMYFUNCTION("""COMPUTED_VALUE"""),45245.0)</f>
        <v>45245</v>
      </c>
      <c r="C9118" s="13">
        <f>IFERROR(__xludf.DUMMYFUNCTION("""COMPUTED_VALUE"""),0.875)</f>
        <v>0.875</v>
      </c>
      <c r="D9118" s="8">
        <f>IFERROR(__xludf.DUMMYFUNCTION("""COMPUTED_VALUE"""),0.087)</f>
        <v>0.087</v>
      </c>
      <c r="E9118" s="8" t="str">
        <f>IFERROR(__xludf.DUMMYFUNCTION("""COMPUTED_VALUE"""),"Real")</f>
        <v>Real</v>
      </c>
      <c r="G9118" s="8">
        <f t="shared" si="1"/>
        <v>11</v>
      </c>
      <c r="H9118" s="14">
        <f t="shared" si="2"/>
        <v>15</v>
      </c>
      <c r="I9118" s="15">
        <f t="shared" si="3"/>
        <v>21</v>
      </c>
    </row>
    <row r="9119">
      <c r="A9119" s="8" t="str">
        <f>IFERROR(__xludf.DUMMYFUNCTION("IF('(INGESTA)Datos_consumo_datadis'!A9119&lt;&gt;"""",SPLIT('(INGESTA)Datos_consumo_datadis'!A:A,"",""),"""")"),"ES0031408323131005HX0F")</f>
        <v>ES0031408323131005HX0F</v>
      </c>
      <c r="B9119" s="17">
        <f>IFERROR(__xludf.DUMMYFUNCTION("""COMPUTED_VALUE"""),45245.0)</f>
        <v>45245</v>
      </c>
      <c r="C9119" s="13">
        <f>IFERROR(__xludf.DUMMYFUNCTION("""COMPUTED_VALUE"""),0.9166666666666666)</f>
        <v>0.9166666667</v>
      </c>
      <c r="D9119" s="8">
        <f>IFERROR(__xludf.DUMMYFUNCTION("""COMPUTED_VALUE"""),0.034)</f>
        <v>0.034</v>
      </c>
      <c r="E9119" s="8" t="str">
        <f>IFERROR(__xludf.DUMMYFUNCTION("""COMPUTED_VALUE"""),"Real")</f>
        <v>Real</v>
      </c>
      <c r="G9119" s="8">
        <f t="shared" si="1"/>
        <v>11</v>
      </c>
      <c r="H9119" s="14">
        <f t="shared" si="2"/>
        <v>15</v>
      </c>
      <c r="I9119" s="15">
        <f t="shared" si="3"/>
        <v>22</v>
      </c>
    </row>
    <row r="9120">
      <c r="A9120" s="8" t="str">
        <f>IFERROR(__xludf.DUMMYFUNCTION("IF('(INGESTA)Datos_consumo_datadis'!A9120&lt;&gt;"""",SPLIT('(INGESTA)Datos_consumo_datadis'!A:A,"",""),"""")"),"ES0031408323131005HX0F")</f>
        <v>ES0031408323131005HX0F</v>
      </c>
      <c r="B9120" s="17">
        <f>IFERROR(__xludf.DUMMYFUNCTION("""COMPUTED_VALUE"""),45245.0)</f>
        <v>45245</v>
      </c>
      <c r="C9120" s="13">
        <f>IFERROR(__xludf.DUMMYFUNCTION("""COMPUTED_VALUE"""),0.9583333333333334)</f>
        <v>0.9583333333</v>
      </c>
      <c r="D9120" s="8">
        <f>IFERROR(__xludf.DUMMYFUNCTION("""COMPUTED_VALUE"""),0.184)</f>
        <v>0.184</v>
      </c>
      <c r="E9120" s="8" t="str">
        <f>IFERROR(__xludf.DUMMYFUNCTION("""COMPUTED_VALUE"""),"Real")</f>
        <v>Real</v>
      </c>
      <c r="G9120" s="8">
        <f t="shared" si="1"/>
        <v>11</v>
      </c>
      <c r="H9120" s="14">
        <f t="shared" si="2"/>
        <v>15</v>
      </c>
      <c r="I9120" s="15">
        <f t="shared" si="3"/>
        <v>23</v>
      </c>
    </row>
    <row r="9121">
      <c r="A9121" s="8" t="str">
        <f>IFERROR(__xludf.DUMMYFUNCTION("IF('(INGESTA)Datos_consumo_datadis'!A9121&lt;&gt;"""",SPLIT('(INGESTA)Datos_consumo_datadis'!A:A,"",""),"""")"),"ES0031408323131005HX0F")</f>
        <v>ES0031408323131005HX0F</v>
      </c>
      <c r="B9121" s="17">
        <f>IFERROR(__xludf.DUMMYFUNCTION("""COMPUTED_VALUE"""),45245.0)</f>
        <v>45245</v>
      </c>
      <c r="C9121" s="16">
        <f>IFERROR(__xludf.DUMMYFUNCTION("""COMPUTED_VALUE"""),1.0)</f>
        <v>1</v>
      </c>
      <c r="D9121" s="8">
        <f>IFERROR(__xludf.DUMMYFUNCTION("""COMPUTED_VALUE"""),0.279)</f>
        <v>0.279</v>
      </c>
      <c r="E9121" s="8" t="str">
        <f>IFERROR(__xludf.DUMMYFUNCTION("""COMPUTED_VALUE"""),"Real")</f>
        <v>Real</v>
      </c>
      <c r="G9121" s="8">
        <f t="shared" si="1"/>
        <v>11</v>
      </c>
      <c r="H9121" s="14">
        <f t="shared" si="2"/>
        <v>15</v>
      </c>
      <c r="I9121" s="15">
        <f t="shared" si="3"/>
        <v>0</v>
      </c>
    </row>
    <row r="9122">
      <c r="A9122" s="8" t="str">
        <f>IFERROR(__xludf.DUMMYFUNCTION("IF('(INGESTA)Datos_consumo_datadis'!A9122&lt;&gt;"""",SPLIT('(INGESTA)Datos_consumo_datadis'!A:A,"",""),"""")"),"ES0031408323131005HX0F")</f>
        <v>ES0031408323131005HX0F</v>
      </c>
      <c r="B9122" s="17">
        <f>IFERROR(__xludf.DUMMYFUNCTION("""COMPUTED_VALUE"""),45246.0)</f>
        <v>45246</v>
      </c>
      <c r="C9122" s="13">
        <f>IFERROR(__xludf.DUMMYFUNCTION("""COMPUTED_VALUE"""),0.041666666666666664)</f>
        <v>0.04166666667</v>
      </c>
      <c r="D9122" s="8">
        <f>IFERROR(__xludf.DUMMYFUNCTION("""COMPUTED_VALUE"""),0.244)</f>
        <v>0.244</v>
      </c>
      <c r="E9122" s="8" t="str">
        <f>IFERROR(__xludf.DUMMYFUNCTION("""COMPUTED_VALUE"""),"Real")</f>
        <v>Real</v>
      </c>
      <c r="G9122" s="8">
        <f t="shared" si="1"/>
        <v>11</v>
      </c>
      <c r="H9122" s="14">
        <f t="shared" si="2"/>
        <v>16</v>
      </c>
      <c r="I9122" s="15">
        <f t="shared" si="3"/>
        <v>1</v>
      </c>
    </row>
    <row r="9123">
      <c r="A9123" s="8" t="str">
        <f>IFERROR(__xludf.DUMMYFUNCTION("IF('(INGESTA)Datos_consumo_datadis'!A9123&lt;&gt;"""",SPLIT('(INGESTA)Datos_consumo_datadis'!A:A,"",""),"""")"),"ES0031408323131005HX0F")</f>
        <v>ES0031408323131005HX0F</v>
      </c>
      <c r="B9123" s="17">
        <f>IFERROR(__xludf.DUMMYFUNCTION("""COMPUTED_VALUE"""),45246.0)</f>
        <v>45246</v>
      </c>
      <c r="C9123" s="13">
        <f>IFERROR(__xludf.DUMMYFUNCTION("""COMPUTED_VALUE"""),0.08333333333333333)</f>
        <v>0.08333333333</v>
      </c>
      <c r="D9123" s="8">
        <f>IFERROR(__xludf.DUMMYFUNCTION("""COMPUTED_VALUE"""),0.108)</f>
        <v>0.108</v>
      </c>
      <c r="E9123" s="8" t="str">
        <f>IFERROR(__xludf.DUMMYFUNCTION("""COMPUTED_VALUE"""),"Real")</f>
        <v>Real</v>
      </c>
      <c r="G9123" s="8">
        <f t="shared" si="1"/>
        <v>11</v>
      </c>
      <c r="H9123" s="14">
        <f t="shared" si="2"/>
        <v>16</v>
      </c>
      <c r="I9123" s="15">
        <f t="shared" si="3"/>
        <v>2</v>
      </c>
    </row>
    <row r="9124">
      <c r="A9124" s="8" t="str">
        <f>IFERROR(__xludf.DUMMYFUNCTION("IF('(INGESTA)Datos_consumo_datadis'!A9124&lt;&gt;"""",SPLIT('(INGESTA)Datos_consumo_datadis'!A:A,"",""),"""")"),"ES0031408323131005HX0F")</f>
        <v>ES0031408323131005HX0F</v>
      </c>
      <c r="B9124" s="17">
        <f>IFERROR(__xludf.DUMMYFUNCTION("""COMPUTED_VALUE"""),45246.0)</f>
        <v>45246</v>
      </c>
      <c r="C9124" s="13">
        <f>IFERROR(__xludf.DUMMYFUNCTION("""COMPUTED_VALUE"""),0.125)</f>
        <v>0.125</v>
      </c>
      <c r="D9124" s="8">
        <f>IFERROR(__xludf.DUMMYFUNCTION("""COMPUTED_VALUE"""),0.128)</f>
        <v>0.128</v>
      </c>
      <c r="E9124" s="8" t="str">
        <f>IFERROR(__xludf.DUMMYFUNCTION("""COMPUTED_VALUE"""),"Real")</f>
        <v>Real</v>
      </c>
      <c r="G9124" s="8">
        <f t="shared" si="1"/>
        <v>11</v>
      </c>
      <c r="H9124" s="14">
        <f t="shared" si="2"/>
        <v>16</v>
      </c>
      <c r="I9124" s="15">
        <f t="shared" si="3"/>
        <v>3</v>
      </c>
    </row>
    <row r="9125">
      <c r="A9125" s="8" t="str">
        <f>IFERROR(__xludf.DUMMYFUNCTION("IF('(INGESTA)Datos_consumo_datadis'!A9125&lt;&gt;"""",SPLIT('(INGESTA)Datos_consumo_datadis'!A:A,"",""),"""")"),"ES0031408323131005HX0F")</f>
        <v>ES0031408323131005HX0F</v>
      </c>
      <c r="B9125" s="17">
        <f>IFERROR(__xludf.DUMMYFUNCTION("""COMPUTED_VALUE"""),45246.0)</f>
        <v>45246</v>
      </c>
      <c r="C9125" s="13">
        <f>IFERROR(__xludf.DUMMYFUNCTION("""COMPUTED_VALUE"""),0.16666666666666666)</f>
        <v>0.1666666667</v>
      </c>
      <c r="D9125" s="8">
        <f>IFERROR(__xludf.DUMMYFUNCTION("""COMPUTED_VALUE"""),0.081)</f>
        <v>0.081</v>
      </c>
      <c r="E9125" s="8" t="str">
        <f>IFERROR(__xludf.DUMMYFUNCTION("""COMPUTED_VALUE"""),"Real")</f>
        <v>Real</v>
      </c>
      <c r="G9125" s="8">
        <f t="shared" si="1"/>
        <v>11</v>
      </c>
      <c r="H9125" s="14">
        <f t="shared" si="2"/>
        <v>16</v>
      </c>
      <c r="I9125" s="15">
        <f t="shared" si="3"/>
        <v>4</v>
      </c>
    </row>
    <row r="9126">
      <c r="A9126" s="8" t="str">
        <f>IFERROR(__xludf.DUMMYFUNCTION("IF('(INGESTA)Datos_consumo_datadis'!A9126&lt;&gt;"""",SPLIT('(INGESTA)Datos_consumo_datadis'!A:A,"",""),"""")"),"ES0031408323131005HX0F")</f>
        <v>ES0031408323131005HX0F</v>
      </c>
      <c r="B9126" s="17">
        <f>IFERROR(__xludf.DUMMYFUNCTION("""COMPUTED_VALUE"""),45246.0)</f>
        <v>45246</v>
      </c>
      <c r="C9126" s="13">
        <f>IFERROR(__xludf.DUMMYFUNCTION("""COMPUTED_VALUE"""),0.20833333333333334)</f>
        <v>0.2083333333</v>
      </c>
      <c r="D9126" s="8">
        <f>IFERROR(__xludf.DUMMYFUNCTION("""COMPUTED_VALUE"""),0.066)</f>
        <v>0.066</v>
      </c>
      <c r="E9126" s="8" t="str">
        <f>IFERROR(__xludf.DUMMYFUNCTION("""COMPUTED_VALUE"""),"Real")</f>
        <v>Real</v>
      </c>
      <c r="G9126" s="8">
        <f t="shared" si="1"/>
        <v>11</v>
      </c>
      <c r="H9126" s="14">
        <f t="shared" si="2"/>
        <v>16</v>
      </c>
      <c r="I9126" s="15">
        <f t="shared" si="3"/>
        <v>5</v>
      </c>
    </row>
    <row r="9127">
      <c r="A9127" s="8" t="str">
        <f>IFERROR(__xludf.DUMMYFUNCTION("IF('(INGESTA)Datos_consumo_datadis'!A9127&lt;&gt;"""",SPLIT('(INGESTA)Datos_consumo_datadis'!A:A,"",""),"""")"),"ES0031408323131005HX0F")</f>
        <v>ES0031408323131005HX0F</v>
      </c>
      <c r="B9127" s="17">
        <f>IFERROR(__xludf.DUMMYFUNCTION("""COMPUTED_VALUE"""),45246.0)</f>
        <v>45246</v>
      </c>
      <c r="C9127" s="13">
        <f>IFERROR(__xludf.DUMMYFUNCTION("""COMPUTED_VALUE"""),0.25)</f>
        <v>0.25</v>
      </c>
      <c r="D9127" s="8">
        <f>IFERROR(__xludf.DUMMYFUNCTION("""COMPUTED_VALUE"""),0.039)</f>
        <v>0.039</v>
      </c>
      <c r="E9127" s="8" t="str">
        <f>IFERROR(__xludf.DUMMYFUNCTION("""COMPUTED_VALUE"""),"Real")</f>
        <v>Real</v>
      </c>
      <c r="G9127" s="8">
        <f t="shared" si="1"/>
        <v>11</v>
      </c>
      <c r="H9127" s="14">
        <f t="shared" si="2"/>
        <v>16</v>
      </c>
      <c r="I9127" s="15">
        <f t="shared" si="3"/>
        <v>6</v>
      </c>
    </row>
    <row r="9128">
      <c r="A9128" s="8" t="str">
        <f>IFERROR(__xludf.DUMMYFUNCTION("IF('(INGESTA)Datos_consumo_datadis'!A9128&lt;&gt;"""",SPLIT('(INGESTA)Datos_consumo_datadis'!A:A,"",""),"""")"),"ES0031408323131005HX0F")</f>
        <v>ES0031408323131005HX0F</v>
      </c>
      <c r="B9128" s="17">
        <f>IFERROR(__xludf.DUMMYFUNCTION("""COMPUTED_VALUE"""),45246.0)</f>
        <v>45246</v>
      </c>
      <c r="C9128" s="13">
        <f>IFERROR(__xludf.DUMMYFUNCTION("""COMPUTED_VALUE"""),0.2916666666666667)</f>
        <v>0.2916666667</v>
      </c>
      <c r="D9128" s="8">
        <f>IFERROR(__xludf.DUMMYFUNCTION("""COMPUTED_VALUE"""),0.286)</f>
        <v>0.286</v>
      </c>
      <c r="E9128" s="8" t="str">
        <f>IFERROR(__xludf.DUMMYFUNCTION("""COMPUTED_VALUE"""),"Real")</f>
        <v>Real</v>
      </c>
      <c r="G9128" s="8">
        <f t="shared" si="1"/>
        <v>11</v>
      </c>
      <c r="H9128" s="14">
        <f t="shared" si="2"/>
        <v>16</v>
      </c>
      <c r="I9128" s="15">
        <f t="shared" si="3"/>
        <v>7</v>
      </c>
    </row>
    <row r="9129">
      <c r="A9129" s="8" t="str">
        <f>IFERROR(__xludf.DUMMYFUNCTION("IF('(INGESTA)Datos_consumo_datadis'!A9129&lt;&gt;"""",SPLIT('(INGESTA)Datos_consumo_datadis'!A:A,"",""),"""")"),"ES0031408323131005HX0F")</f>
        <v>ES0031408323131005HX0F</v>
      </c>
      <c r="B9129" s="17">
        <f>IFERROR(__xludf.DUMMYFUNCTION("""COMPUTED_VALUE"""),45246.0)</f>
        <v>45246</v>
      </c>
      <c r="C9129" s="13">
        <f>IFERROR(__xludf.DUMMYFUNCTION("""COMPUTED_VALUE"""),0.3333333333333333)</f>
        <v>0.3333333333</v>
      </c>
      <c r="D9129" s="8">
        <f>IFERROR(__xludf.DUMMYFUNCTION("""COMPUTED_VALUE"""),0.159)</f>
        <v>0.159</v>
      </c>
      <c r="E9129" s="8" t="str">
        <f>IFERROR(__xludf.DUMMYFUNCTION("""COMPUTED_VALUE"""),"Real")</f>
        <v>Real</v>
      </c>
      <c r="G9129" s="8">
        <f t="shared" si="1"/>
        <v>11</v>
      </c>
      <c r="H9129" s="14">
        <f t="shared" si="2"/>
        <v>16</v>
      </c>
      <c r="I9129" s="15">
        <f t="shared" si="3"/>
        <v>8</v>
      </c>
    </row>
    <row r="9130">
      <c r="A9130" s="8" t="str">
        <f>IFERROR(__xludf.DUMMYFUNCTION("IF('(INGESTA)Datos_consumo_datadis'!A9130&lt;&gt;"""",SPLIT('(INGESTA)Datos_consumo_datadis'!A:A,"",""),"""")"),"ES0031408323131005HX0F")</f>
        <v>ES0031408323131005HX0F</v>
      </c>
      <c r="B9130" s="17">
        <f>IFERROR(__xludf.DUMMYFUNCTION("""COMPUTED_VALUE"""),45246.0)</f>
        <v>45246</v>
      </c>
      <c r="C9130" s="13">
        <f>IFERROR(__xludf.DUMMYFUNCTION("""COMPUTED_VALUE"""),0.375)</f>
        <v>0.375</v>
      </c>
      <c r="D9130" s="8">
        <f>IFERROR(__xludf.DUMMYFUNCTION("""COMPUTED_VALUE"""),0.055)</f>
        <v>0.055</v>
      </c>
      <c r="E9130" s="8" t="str">
        <f>IFERROR(__xludf.DUMMYFUNCTION("""COMPUTED_VALUE"""),"Real")</f>
        <v>Real</v>
      </c>
      <c r="G9130" s="8">
        <f t="shared" si="1"/>
        <v>11</v>
      </c>
      <c r="H9130" s="14">
        <f t="shared" si="2"/>
        <v>16</v>
      </c>
      <c r="I9130" s="15">
        <f t="shared" si="3"/>
        <v>9</v>
      </c>
    </row>
    <row r="9131">
      <c r="A9131" s="8" t="str">
        <f>IFERROR(__xludf.DUMMYFUNCTION("IF('(INGESTA)Datos_consumo_datadis'!A9131&lt;&gt;"""",SPLIT('(INGESTA)Datos_consumo_datadis'!A:A,"",""),"""")"),"ES0031408323131005HX0F")</f>
        <v>ES0031408323131005HX0F</v>
      </c>
      <c r="B9131" s="17">
        <f>IFERROR(__xludf.DUMMYFUNCTION("""COMPUTED_VALUE"""),45246.0)</f>
        <v>45246</v>
      </c>
      <c r="C9131" s="13">
        <f>IFERROR(__xludf.DUMMYFUNCTION("""COMPUTED_VALUE"""),0.4166666666666667)</f>
        <v>0.4166666667</v>
      </c>
      <c r="D9131" s="8">
        <f>IFERROR(__xludf.DUMMYFUNCTION("""COMPUTED_VALUE"""),0.083)</f>
        <v>0.083</v>
      </c>
      <c r="E9131" s="8" t="str">
        <f>IFERROR(__xludf.DUMMYFUNCTION("""COMPUTED_VALUE"""),"Real")</f>
        <v>Real</v>
      </c>
      <c r="G9131" s="8">
        <f t="shared" si="1"/>
        <v>11</v>
      </c>
      <c r="H9131" s="14">
        <f t="shared" si="2"/>
        <v>16</v>
      </c>
      <c r="I9131" s="15">
        <f t="shared" si="3"/>
        <v>10</v>
      </c>
    </row>
    <row r="9132">
      <c r="A9132" s="8" t="str">
        <f>IFERROR(__xludf.DUMMYFUNCTION("IF('(INGESTA)Datos_consumo_datadis'!A9132&lt;&gt;"""",SPLIT('(INGESTA)Datos_consumo_datadis'!A:A,"",""),"""")"),"ES0031408323131005HX0F")</f>
        <v>ES0031408323131005HX0F</v>
      </c>
      <c r="B9132" s="17">
        <f>IFERROR(__xludf.DUMMYFUNCTION("""COMPUTED_VALUE"""),45246.0)</f>
        <v>45246</v>
      </c>
      <c r="C9132" s="13">
        <f>IFERROR(__xludf.DUMMYFUNCTION("""COMPUTED_VALUE"""),0.4583333333333333)</f>
        <v>0.4583333333</v>
      </c>
      <c r="D9132" s="8">
        <f>IFERROR(__xludf.DUMMYFUNCTION("""COMPUTED_VALUE"""),1.127)</f>
        <v>1.127</v>
      </c>
      <c r="E9132" s="8" t="str">
        <f>IFERROR(__xludf.DUMMYFUNCTION("""COMPUTED_VALUE"""),"Real")</f>
        <v>Real</v>
      </c>
      <c r="G9132" s="8">
        <f t="shared" si="1"/>
        <v>11</v>
      </c>
      <c r="H9132" s="14">
        <f t="shared" si="2"/>
        <v>16</v>
      </c>
      <c r="I9132" s="15">
        <f t="shared" si="3"/>
        <v>11</v>
      </c>
    </row>
    <row r="9133">
      <c r="A9133" s="8" t="str">
        <f>IFERROR(__xludf.DUMMYFUNCTION("IF('(INGESTA)Datos_consumo_datadis'!A9133&lt;&gt;"""",SPLIT('(INGESTA)Datos_consumo_datadis'!A:A,"",""),"""")"),"ES0031408323131005HX0F")</f>
        <v>ES0031408323131005HX0F</v>
      </c>
      <c r="B9133" s="17">
        <f>IFERROR(__xludf.DUMMYFUNCTION("""COMPUTED_VALUE"""),45246.0)</f>
        <v>45246</v>
      </c>
      <c r="C9133" s="13">
        <f>IFERROR(__xludf.DUMMYFUNCTION("""COMPUTED_VALUE"""),0.5)</f>
        <v>0.5</v>
      </c>
      <c r="D9133" s="8">
        <f>IFERROR(__xludf.DUMMYFUNCTION("""COMPUTED_VALUE"""),1.673)</f>
        <v>1.673</v>
      </c>
      <c r="E9133" s="8" t="str">
        <f>IFERROR(__xludf.DUMMYFUNCTION("""COMPUTED_VALUE"""),"Real")</f>
        <v>Real</v>
      </c>
      <c r="G9133" s="8">
        <f t="shared" si="1"/>
        <v>11</v>
      </c>
      <c r="H9133" s="14">
        <f t="shared" si="2"/>
        <v>16</v>
      </c>
      <c r="I9133" s="15">
        <f t="shared" si="3"/>
        <v>12</v>
      </c>
    </row>
    <row r="9134">
      <c r="A9134" s="8" t="str">
        <f>IFERROR(__xludf.DUMMYFUNCTION("IF('(INGESTA)Datos_consumo_datadis'!A9134&lt;&gt;"""",SPLIT('(INGESTA)Datos_consumo_datadis'!A:A,"",""),"""")"),"ES0031408323131005HX0F")</f>
        <v>ES0031408323131005HX0F</v>
      </c>
      <c r="B9134" s="17">
        <f>IFERROR(__xludf.DUMMYFUNCTION("""COMPUTED_VALUE"""),45246.0)</f>
        <v>45246</v>
      </c>
      <c r="C9134" s="13">
        <f>IFERROR(__xludf.DUMMYFUNCTION("""COMPUTED_VALUE"""),0.5416666666666666)</f>
        <v>0.5416666667</v>
      </c>
      <c r="D9134" s="8">
        <f>IFERROR(__xludf.DUMMYFUNCTION("""COMPUTED_VALUE"""),0.078)</f>
        <v>0.078</v>
      </c>
      <c r="E9134" s="8" t="str">
        <f>IFERROR(__xludf.DUMMYFUNCTION("""COMPUTED_VALUE"""),"Real")</f>
        <v>Real</v>
      </c>
      <c r="G9134" s="8">
        <f t="shared" si="1"/>
        <v>11</v>
      </c>
      <c r="H9134" s="14">
        <f t="shared" si="2"/>
        <v>16</v>
      </c>
      <c r="I9134" s="15">
        <f t="shared" si="3"/>
        <v>13</v>
      </c>
    </row>
    <row r="9135">
      <c r="A9135" s="8" t="str">
        <f>IFERROR(__xludf.DUMMYFUNCTION("IF('(INGESTA)Datos_consumo_datadis'!A9135&lt;&gt;"""",SPLIT('(INGESTA)Datos_consumo_datadis'!A:A,"",""),"""")"),"ES0031408323131005HX0F")</f>
        <v>ES0031408323131005HX0F</v>
      </c>
      <c r="B9135" s="17">
        <f>IFERROR(__xludf.DUMMYFUNCTION("""COMPUTED_VALUE"""),45246.0)</f>
        <v>45246</v>
      </c>
      <c r="C9135" s="13">
        <f>IFERROR(__xludf.DUMMYFUNCTION("""COMPUTED_VALUE"""),0.5833333333333334)</f>
        <v>0.5833333333</v>
      </c>
      <c r="D9135" s="8">
        <f>IFERROR(__xludf.DUMMYFUNCTION("""COMPUTED_VALUE"""),0.092)</f>
        <v>0.092</v>
      </c>
      <c r="E9135" s="8" t="str">
        <f>IFERROR(__xludf.DUMMYFUNCTION("""COMPUTED_VALUE"""),"Real")</f>
        <v>Real</v>
      </c>
      <c r="G9135" s="8">
        <f t="shared" si="1"/>
        <v>11</v>
      </c>
      <c r="H9135" s="14">
        <f t="shared" si="2"/>
        <v>16</v>
      </c>
      <c r="I9135" s="15">
        <f t="shared" si="3"/>
        <v>14</v>
      </c>
    </row>
    <row r="9136">
      <c r="A9136" s="8" t="str">
        <f>IFERROR(__xludf.DUMMYFUNCTION("IF('(INGESTA)Datos_consumo_datadis'!A9136&lt;&gt;"""",SPLIT('(INGESTA)Datos_consumo_datadis'!A:A,"",""),"""")"),"ES0031408323131005HX0F")</f>
        <v>ES0031408323131005HX0F</v>
      </c>
      <c r="B9136" s="17">
        <f>IFERROR(__xludf.DUMMYFUNCTION("""COMPUTED_VALUE"""),45246.0)</f>
        <v>45246</v>
      </c>
      <c r="C9136" s="13">
        <f>IFERROR(__xludf.DUMMYFUNCTION("""COMPUTED_VALUE"""),0.625)</f>
        <v>0.625</v>
      </c>
      <c r="D9136" s="8">
        <f>IFERROR(__xludf.DUMMYFUNCTION("""COMPUTED_VALUE"""),0.052)</f>
        <v>0.052</v>
      </c>
      <c r="E9136" s="8" t="str">
        <f>IFERROR(__xludf.DUMMYFUNCTION("""COMPUTED_VALUE"""),"Real")</f>
        <v>Real</v>
      </c>
      <c r="G9136" s="8">
        <f t="shared" si="1"/>
        <v>11</v>
      </c>
      <c r="H9136" s="14">
        <f t="shared" si="2"/>
        <v>16</v>
      </c>
      <c r="I9136" s="15">
        <f t="shared" si="3"/>
        <v>15</v>
      </c>
    </row>
    <row r="9137">
      <c r="A9137" s="8" t="str">
        <f>IFERROR(__xludf.DUMMYFUNCTION("IF('(INGESTA)Datos_consumo_datadis'!A9137&lt;&gt;"""",SPLIT('(INGESTA)Datos_consumo_datadis'!A:A,"",""),"""")"),"ES0031408323131005HX0F")</f>
        <v>ES0031408323131005HX0F</v>
      </c>
      <c r="B9137" s="17">
        <f>IFERROR(__xludf.DUMMYFUNCTION("""COMPUTED_VALUE"""),45246.0)</f>
        <v>45246</v>
      </c>
      <c r="C9137" s="13">
        <f>IFERROR(__xludf.DUMMYFUNCTION("""COMPUTED_VALUE"""),0.6666666666666666)</f>
        <v>0.6666666667</v>
      </c>
      <c r="D9137" s="8">
        <f>IFERROR(__xludf.DUMMYFUNCTION("""COMPUTED_VALUE"""),0.316)</f>
        <v>0.316</v>
      </c>
      <c r="E9137" s="8" t="str">
        <f>IFERROR(__xludf.DUMMYFUNCTION("""COMPUTED_VALUE"""),"Real")</f>
        <v>Real</v>
      </c>
      <c r="G9137" s="8">
        <f t="shared" si="1"/>
        <v>11</v>
      </c>
      <c r="H9137" s="14">
        <f t="shared" si="2"/>
        <v>16</v>
      </c>
      <c r="I9137" s="15">
        <f t="shared" si="3"/>
        <v>16</v>
      </c>
    </row>
    <row r="9138">
      <c r="A9138" s="8" t="str">
        <f>IFERROR(__xludf.DUMMYFUNCTION("IF('(INGESTA)Datos_consumo_datadis'!A9138&lt;&gt;"""",SPLIT('(INGESTA)Datos_consumo_datadis'!A:A,"",""),"""")"),"ES0031408323131005HX0F")</f>
        <v>ES0031408323131005HX0F</v>
      </c>
      <c r="B9138" s="17">
        <f>IFERROR(__xludf.DUMMYFUNCTION("""COMPUTED_VALUE"""),45246.0)</f>
        <v>45246</v>
      </c>
      <c r="C9138" s="13">
        <f>IFERROR(__xludf.DUMMYFUNCTION("""COMPUTED_VALUE"""),0.7083333333333334)</f>
        <v>0.7083333333</v>
      </c>
      <c r="D9138" s="8">
        <f>IFERROR(__xludf.DUMMYFUNCTION("""COMPUTED_VALUE"""),0.122)</f>
        <v>0.122</v>
      </c>
      <c r="E9138" s="8" t="str">
        <f>IFERROR(__xludf.DUMMYFUNCTION("""COMPUTED_VALUE"""),"Real")</f>
        <v>Real</v>
      </c>
      <c r="G9138" s="8">
        <f t="shared" si="1"/>
        <v>11</v>
      </c>
      <c r="H9138" s="14">
        <f t="shared" si="2"/>
        <v>16</v>
      </c>
      <c r="I9138" s="15">
        <f t="shared" si="3"/>
        <v>17</v>
      </c>
    </row>
    <row r="9139">
      <c r="A9139" s="8" t="str">
        <f>IFERROR(__xludf.DUMMYFUNCTION("IF('(INGESTA)Datos_consumo_datadis'!A9139&lt;&gt;"""",SPLIT('(INGESTA)Datos_consumo_datadis'!A:A,"",""),"""")"),"ES0031408323131005HX0F")</f>
        <v>ES0031408323131005HX0F</v>
      </c>
      <c r="B9139" s="17">
        <f>IFERROR(__xludf.DUMMYFUNCTION("""COMPUTED_VALUE"""),45246.0)</f>
        <v>45246</v>
      </c>
      <c r="C9139" s="13">
        <f>IFERROR(__xludf.DUMMYFUNCTION("""COMPUTED_VALUE"""),0.75)</f>
        <v>0.75</v>
      </c>
      <c r="D9139" s="8">
        <f>IFERROR(__xludf.DUMMYFUNCTION("""COMPUTED_VALUE"""),0.108)</f>
        <v>0.108</v>
      </c>
      <c r="E9139" s="8" t="str">
        <f>IFERROR(__xludf.DUMMYFUNCTION("""COMPUTED_VALUE"""),"Real")</f>
        <v>Real</v>
      </c>
      <c r="G9139" s="8">
        <f t="shared" si="1"/>
        <v>11</v>
      </c>
      <c r="H9139" s="14">
        <f t="shared" si="2"/>
        <v>16</v>
      </c>
      <c r="I9139" s="15">
        <f t="shared" si="3"/>
        <v>18</v>
      </c>
    </row>
    <row r="9140">
      <c r="A9140" s="8" t="str">
        <f>IFERROR(__xludf.DUMMYFUNCTION("IF('(INGESTA)Datos_consumo_datadis'!A9140&lt;&gt;"""",SPLIT('(INGESTA)Datos_consumo_datadis'!A:A,"",""),"""")"),"ES0031408323131005HX0F")</f>
        <v>ES0031408323131005HX0F</v>
      </c>
      <c r="B9140" s="17">
        <f>IFERROR(__xludf.DUMMYFUNCTION("""COMPUTED_VALUE"""),45246.0)</f>
        <v>45246</v>
      </c>
      <c r="C9140" s="13">
        <f>IFERROR(__xludf.DUMMYFUNCTION("""COMPUTED_VALUE"""),0.7916666666666666)</f>
        <v>0.7916666667</v>
      </c>
      <c r="D9140" s="8">
        <f>IFERROR(__xludf.DUMMYFUNCTION("""COMPUTED_VALUE"""),0.117)</f>
        <v>0.117</v>
      </c>
      <c r="E9140" s="8" t="str">
        <f>IFERROR(__xludf.DUMMYFUNCTION("""COMPUTED_VALUE"""),"Real")</f>
        <v>Real</v>
      </c>
      <c r="G9140" s="8">
        <f t="shared" si="1"/>
        <v>11</v>
      </c>
      <c r="H9140" s="14">
        <f t="shared" si="2"/>
        <v>16</v>
      </c>
      <c r="I9140" s="15">
        <f t="shared" si="3"/>
        <v>19</v>
      </c>
    </row>
    <row r="9141">
      <c r="A9141" s="8" t="str">
        <f>IFERROR(__xludf.DUMMYFUNCTION("IF('(INGESTA)Datos_consumo_datadis'!A9141&lt;&gt;"""",SPLIT('(INGESTA)Datos_consumo_datadis'!A:A,"",""),"""")"),"ES0031408323131005HX0F")</f>
        <v>ES0031408323131005HX0F</v>
      </c>
      <c r="B9141" s="17">
        <f>IFERROR(__xludf.DUMMYFUNCTION("""COMPUTED_VALUE"""),45246.0)</f>
        <v>45246</v>
      </c>
      <c r="C9141" s="13">
        <f>IFERROR(__xludf.DUMMYFUNCTION("""COMPUTED_VALUE"""),0.8333333333333334)</f>
        <v>0.8333333333</v>
      </c>
      <c r="D9141" s="8">
        <f>IFERROR(__xludf.DUMMYFUNCTION("""COMPUTED_VALUE"""),0.422)</f>
        <v>0.422</v>
      </c>
      <c r="E9141" s="8" t="str">
        <f>IFERROR(__xludf.DUMMYFUNCTION("""COMPUTED_VALUE"""),"Real")</f>
        <v>Real</v>
      </c>
      <c r="G9141" s="8">
        <f t="shared" si="1"/>
        <v>11</v>
      </c>
      <c r="H9141" s="14">
        <f t="shared" si="2"/>
        <v>16</v>
      </c>
      <c r="I9141" s="15">
        <f t="shared" si="3"/>
        <v>20</v>
      </c>
    </row>
    <row r="9142">
      <c r="A9142" s="8" t="str">
        <f>IFERROR(__xludf.DUMMYFUNCTION("IF('(INGESTA)Datos_consumo_datadis'!A9142&lt;&gt;"""",SPLIT('(INGESTA)Datos_consumo_datadis'!A:A,"",""),"""")"),"ES0031408323131005HX0F")</f>
        <v>ES0031408323131005HX0F</v>
      </c>
      <c r="B9142" s="17">
        <f>IFERROR(__xludf.DUMMYFUNCTION("""COMPUTED_VALUE"""),45246.0)</f>
        <v>45246</v>
      </c>
      <c r="C9142" s="13">
        <f>IFERROR(__xludf.DUMMYFUNCTION("""COMPUTED_VALUE"""),0.875)</f>
        <v>0.875</v>
      </c>
      <c r="D9142" s="8">
        <f>IFERROR(__xludf.DUMMYFUNCTION("""COMPUTED_VALUE"""),0.073)</f>
        <v>0.073</v>
      </c>
      <c r="E9142" s="8" t="str">
        <f>IFERROR(__xludf.DUMMYFUNCTION("""COMPUTED_VALUE"""),"Real")</f>
        <v>Real</v>
      </c>
      <c r="G9142" s="8">
        <f t="shared" si="1"/>
        <v>11</v>
      </c>
      <c r="H9142" s="14">
        <f t="shared" si="2"/>
        <v>16</v>
      </c>
      <c r="I9142" s="15">
        <f t="shared" si="3"/>
        <v>21</v>
      </c>
    </row>
    <row r="9143">
      <c r="A9143" s="8" t="str">
        <f>IFERROR(__xludf.DUMMYFUNCTION("IF('(INGESTA)Datos_consumo_datadis'!A9143&lt;&gt;"""",SPLIT('(INGESTA)Datos_consumo_datadis'!A:A,"",""),"""")"),"ES0031408323131005HX0F")</f>
        <v>ES0031408323131005HX0F</v>
      </c>
      <c r="B9143" s="17">
        <f>IFERROR(__xludf.DUMMYFUNCTION("""COMPUTED_VALUE"""),45246.0)</f>
        <v>45246</v>
      </c>
      <c r="C9143" s="13">
        <f>IFERROR(__xludf.DUMMYFUNCTION("""COMPUTED_VALUE"""),0.9166666666666666)</f>
        <v>0.9166666667</v>
      </c>
      <c r="D9143" s="8">
        <f>IFERROR(__xludf.DUMMYFUNCTION("""COMPUTED_VALUE"""),0.206)</f>
        <v>0.206</v>
      </c>
      <c r="E9143" s="8" t="str">
        <f>IFERROR(__xludf.DUMMYFUNCTION("""COMPUTED_VALUE"""),"Real")</f>
        <v>Real</v>
      </c>
      <c r="G9143" s="8">
        <f t="shared" si="1"/>
        <v>11</v>
      </c>
      <c r="H9143" s="14">
        <f t="shared" si="2"/>
        <v>16</v>
      </c>
      <c r="I9143" s="15">
        <f t="shared" si="3"/>
        <v>22</v>
      </c>
    </row>
    <row r="9144">
      <c r="A9144" s="8" t="str">
        <f>IFERROR(__xludf.DUMMYFUNCTION("IF('(INGESTA)Datos_consumo_datadis'!A9144&lt;&gt;"""",SPLIT('(INGESTA)Datos_consumo_datadis'!A:A,"",""),"""")"),"ES0031408323131005HX0F")</f>
        <v>ES0031408323131005HX0F</v>
      </c>
      <c r="B9144" s="17">
        <f>IFERROR(__xludf.DUMMYFUNCTION("""COMPUTED_VALUE"""),45246.0)</f>
        <v>45246</v>
      </c>
      <c r="C9144" s="13">
        <f>IFERROR(__xludf.DUMMYFUNCTION("""COMPUTED_VALUE"""),0.9583333333333334)</f>
        <v>0.9583333333</v>
      </c>
      <c r="D9144" s="8">
        <f>IFERROR(__xludf.DUMMYFUNCTION("""COMPUTED_VALUE"""),0.517)</f>
        <v>0.517</v>
      </c>
      <c r="E9144" s="8" t="str">
        <f>IFERROR(__xludf.DUMMYFUNCTION("""COMPUTED_VALUE"""),"Real")</f>
        <v>Real</v>
      </c>
      <c r="G9144" s="8">
        <f t="shared" si="1"/>
        <v>11</v>
      </c>
      <c r="H9144" s="14">
        <f t="shared" si="2"/>
        <v>16</v>
      </c>
      <c r="I9144" s="15">
        <f t="shared" si="3"/>
        <v>23</v>
      </c>
    </row>
    <row r="9145">
      <c r="A9145" s="8" t="str">
        <f>IFERROR(__xludf.DUMMYFUNCTION("IF('(INGESTA)Datos_consumo_datadis'!A9145&lt;&gt;"""",SPLIT('(INGESTA)Datos_consumo_datadis'!A:A,"",""),"""")"),"ES0031408323131005HX0F")</f>
        <v>ES0031408323131005HX0F</v>
      </c>
      <c r="B9145" s="17">
        <f>IFERROR(__xludf.DUMMYFUNCTION("""COMPUTED_VALUE"""),45246.0)</f>
        <v>45246</v>
      </c>
      <c r="C9145" s="16">
        <f>IFERROR(__xludf.DUMMYFUNCTION("""COMPUTED_VALUE"""),1.0)</f>
        <v>1</v>
      </c>
      <c r="D9145" s="8">
        <f>IFERROR(__xludf.DUMMYFUNCTION("""COMPUTED_VALUE"""),0.257)</f>
        <v>0.257</v>
      </c>
      <c r="E9145" s="8" t="str">
        <f>IFERROR(__xludf.DUMMYFUNCTION("""COMPUTED_VALUE"""),"Real")</f>
        <v>Real</v>
      </c>
      <c r="G9145" s="8">
        <f t="shared" si="1"/>
        <v>11</v>
      </c>
      <c r="H9145" s="14">
        <f t="shared" si="2"/>
        <v>16</v>
      </c>
      <c r="I9145" s="15">
        <f t="shared" si="3"/>
        <v>0</v>
      </c>
    </row>
    <row r="9146">
      <c r="A9146" s="8" t="str">
        <f>IFERROR(__xludf.DUMMYFUNCTION("IF('(INGESTA)Datos_consumo_datadis'!A9146&lt;&gt;"""",SPLIT('(INGESTA)Datos_consumo_datadis'!A:A,"",""),"""")"),"ES0031408323131005HX0F")</f>
        <v>ES0031408323131005HX0F</v>
      </c>
      <c r="B9146" s="17">
        <f>IFERROR(__xludf.DUMMYFUNCTION("""COMPUTED_VALUE"""),45247.0)</f>
        <v>45247</v>
      </c>
      <c r="C9146" s="13">
        <f>IFERROR(__xludf.DUMMYFUNCTION("""COMPUTED_VALUE"""),0.041666666666666664)</f>
        <v>0.04166666667</v>
      </c>
      <c r="D9146" s="8">
        <f>IFERROR(__xludf.DUMMYFUNCTION("""COMPUTED_VALUE"""),0.176)</f>
        <v>0.176</v>
      </c>
      <c r="E9146" s="8" t="str">
        <f>IFERROR(__xludf.DUMMYFUNCTION("""COMPUTED_VALUE"""),"Real")</f>
        <v>Real</v>
      </c>
      <c r="G9146" s="8">
        <f t="shared" si="1"/>
        <v>11</v>
      </c>
      <c r="H9146" s="14">
        <f t="shared" si="2"/>
        <v>17</v>
      </c>
      <c r="I9146" s="15">
        <f t="shared" si="3"/>
        <v>1</v>
      </c>
    </row>
    <row r="9147">
      <c r="A9147" s="8" t="str">
        <f>IFERROR(__xludf.DUMMYFUNCTION("IF('(INGESTA)Datos_consumo_datadis'!A9147&lt;&gt;"""",SPLIT('(INGESTA)Datos_consumo_datadis'!A:A,"",""),"""")"),"ES0031408323131005HX0F")</f>
        <v>ES0031408323131005HX0F</v>
      </c>
      <c r="B9147" s="17">
        <f>IFERROR(__xludf.DUMMYFUNCTION("""COMPUTED_VALUE"""),45247.0)</f>
        <v>45247</v>
      </c>
      <c r="C9147" s="13">
        <f>IFERROR(__xludf.DUMMYFUNCTION("""COMPUTED_VALUE"""),0.08333333333333333)</f>
        <v>0.08333333333</v>
      </c>
      <c r="D9147" s="8">
        <f>IFERROR(__xludf.DUMMYFUNCTION("""COMPUTED_VALUE"""),0.211)</f>
        <v>0.211</v>
      </c>
      <c r="E9147" s="8" t="str">
        <f>IFERROR(__xludf.DUMMYFUNCTION("""COMPUTED_VALUE"""),"Real")</f>
        <v>Real</v>
      </c>
      <c r="G9147" s="8">
        <f t="shared" si="1"/>
        <v>11</v>
      </c>
      <c r="H9147" s="14">
        <f t="shared" si="2"/>
        <v>17</v>
      </c>
      <c r="I9147" s="15">
        <f t="shared" si="3"/>
        <v>2</v>
      </c>
    </row>
    <row r="9148">
      <c r="A9148" s="8" t="str">
        <f>IFERROR(__xludf.DUMMYFUNCTION("IF('(INGESTA)Datos_consumo_datadis'!A9148&lt;&gt;"""",SPLIT('(INGESTA)Datos_consumo_datadis'!A:A,"",""),"""")"),"ES0031408323131005HX0F")</f>
        <v>ES0031408323131005HX0F</v>
      </c>
      <c r="B9148" s="17">
        <f>IFERROR(__xludf.DUMMYFUNCTION("""COMPUTED_VALUE"""),45247.0)</f>
        <v>45247</v>
      </c>
      <c r="C9148" s="13">
        <f>IFERROR(__xludf.DUMMYFUNCTION("""COMPUTED_VALUE"""),0.125)</f>
        <v>0.125</v>
      </c>
      <c r="D9148" s="8">
        <f>IFERROR(__xludf.DUMMYFUNCTION("""COMPUTED_VALUE"""),0.123)</f>
        <v>0.123</v>
      </c>
      <c r="E9148" s="8" t="str">
        <f>IFERROR(__xludf.DUMMYFUNCTION("""COMPUTED_VALUE"""),"Real")</f>
        <v>Real</v>
      </c>
      <c r="G9148" s="8">
        <f t="shared" si="1"/>
        <v>11</v>
      </c>
      <c r="H9148" s="14">
        <f t="shared" si="2"/>
        <v>17</v>
      </c>
      <c r="I9148" s="15">
        <f t="shared" si="3"/>
        <v>3</v>
      </c>
    </row>
    <row r="9149">
      <c r="A9149" s="8" t="str">
        <f>IFERROR(__xludf.DUMMYFUNCTION("IF('(INGESTA)Datos_consumo_datadis'!A9149&lt;&gt;"""",SPLIT('(INGESTA)Datos_consumo_datadis'!A:A,"",""),"""")"),"ES0031408323131005HX0F")</f>
        <v>ES0031408323131005HX0F</v>
      </c>
      <c r="B9149" s="17">
        <f>IFERROR(__xludf.DUMMYFUNCTION("""COMPUTED_VALUE"""),45247.0)</f>
        <v>45247</v>
      </c>
      <c r="C9149" s="13">
        <f>IFERROR(__xludf.DUMMYFUNCTION("""COMPUTED_VALUE"""),0.16666666666666666)</f>
        <v>0.1666666667</v>
      </c>
      <c r="D9149" s="8">
        <f>IFERROR(__xludf.DUMMYFUNCTION("""COMPUTED_VALUE"""),0.04)</f>
        <v>0.04</v>
      </c>
      <c r="E9149" s="8" t="str">
        <f>IFERROR(__xludf.DUMMYFUNCTION("""COMPUTED_VALUE"""),"Real")</f>
        <v>Real</v>
      </c>
      <c r="G9149" s="8">
        <f t="shared" si="1"/>
        <v>11</v>
      </c>
      <c r="H9149" s="14">
        <f t="shared" si="2"/>
        <v>17</v>
      </c>
      <c r="I9149" s="15">
        <f t="shared" si="3"/>
        <v>4</v>
      </c>
    </row>
    <row r="9150">
      <c r="A9150" s="8" t="str">
        <f>IFERROR(__xludf.DUMMYFUNCTION("IF('(INGESTA)Datos_consumo_datadis'!A9150&lt;&gt;"""",SPLIT('(INGESTA)Datos_consumo_datadis'!A:A,"",""),"""")"),"ES0031408323131005HX0F")</f>
        <v>ES0031408323131005HX0F</v>
      </c>
      <c r="B9150" s="17">
        <f>IFERROR(__xludf.DUMMYFUNCTION("""COMPUTED_VALUE"""),45247.0)</f>
        <v>45247</v>
      </c>
      <c r="C9150" s="13">
        <f>IFERROR(__xludf.DUMMYFUNCTION("""COMPUTED_VALUE"""),0.20833333333333334)</f>
        <v>0.2083333333</v>
      </c>
      <c r="D9150" s="8">
        <f>IFERROR(__xludf.DUMMYFUNCTION("""COMPUTED_VALUE"""),0.327)</f>
        <v>0.327</v>
      </c>
      <c r="E9150" s="8" t="str">
        <f>IFERROR(__xludf.DUMMYFUNCTION("""COMPUTED_VALUE"""),"Real")</f>
        <v>Real</v>
      </c>
      <c r="G9150" s="8">
        <f t="shared" si="1"/>
        <v>11</v>
      </c>
      <c r="H9150" s="14">
        <f t="shared" si="2"/>
        <v>17</v>
      </c>
      <c r="I9150" s="15">
        <f t="shared" si="3"/>
        <v>5</v>
      </c>
    </row>
    <row r="9151">
      <c r="A9151" s="8" t="str">
        <f>IFERROR(__xludf.DUMMYFUNCTION("IF('(INGESTA)Datos_consumo_datadis'!A9151&lt;&gt;"""",SPLIT('(INGESTA)Datos_consumo_datadis'!A:A,"",""),"""")"),"ES0031408323131005HX0F")</f>
        <v>ES0031408323131005HX0F</v>
      </c>
      <c r="B9151" s="17">
        <f>IFERROR(__xludf.DUMMYFUNCTION("""COMPUTED_VALUE"""),45247.0)</f>
        <v>45247</v>
      </c>
      <c r="C9151" s="13">
        <f>IFERROR(__xludf.DUMMYFUNCTION("""COMPUTED_VALUE"""),0.25)</f>
        <v>0.25</v>
      </c>
      <c r="D9151" s="8">
        <f>IFERROR(__xludf.DUMMYFUNCTION("""COMPUTED_VALUE"""),0.092)</f>
        <v>0.092</v>
      </c>
      <c r="E9151" s="8" t="str">
        <f>IFERROR(__xludf.DUMMYFUNCTION("""COMPUTED_VALUE"""),"Real")</f>
        <v>Real</v>
      </c>
      <c r="G9151" s="8">
        <f t="shared" si="1"/>
        <v>11</v>
      </c>
      <c r="H9151" s="14">
        <f t="shared" si="2"/>
        <v>17</v>
      </c>
      <c r="I9151" s="15">
        <f t="shared" si="3"/>
        <v>6</v>
      </c>
    </row>
    <row r="9152">
      <c r="A9152" s="8" t="str">
        <f>IFERROR(__xludf.DUMMYFUNCTION("IF('(INGESTA)Datos_consumo_datadis'!A9152&lt;&gt;"""",SPLIT('(INGESTA)Datos_consumo_datadis'!A:A,"",""),"""")"),"ES0031408323131005HX0F")</f>
        <v>ES0031408323131005HX0F</v>
      </c>
      <c r="B9152" s="17">
        <f>IFERROR(__xludf.DUMMYFUNCTION("""COMPUTED_VALUE"""),45247.0)</f>
        <v>45247</v>
      </c>
      <c r="C9152" s="13">
        <f>IFERROR(__xludf.DUMMYFUNCTION("""COMPUTED_VALUE"""),0.2916666666666667)</f>
        <v>0.2916666667</v>
      </c>
      <c r="D9152" s="8">
        <f>IFERROR(__xludf.DUMMYFUNCTION("""COMPUTED_VALUE"""),1.372)</f>
        <v>1.372</v>
      </c>
      <c r="E9152" s="8" t="str">
        <f>IFERROR(__xludf.DUMMYFUNCTION("""COMPUTED_VALUE"""),"Real")</f>
        <v>Real</v>
      </c>
      <c r="G9152" s="8">
        <f t="shared" si="1"/>
        <v>11</v>
      </c>
      <c r="H9152" s="14">
        <f t="shared" si="2"/>
        <v>17</v>
      </c>
      <c r="I9152" s="15">
        <f t="shared" si="3"/>
        <v>7</v>
      </c>
    </row>
    <row r="9153">
      <c r="A9153" s="8" t="str">
        <f>IFERROR(__xludf.DUMMYFUNCTION("IF('(INGESTA)Datos_consumo_datadis'!A9153&lt;&gt;"""",SPLIT('(INGESTA)Datos_consumo_datadis'!A:A,"",""),"""")"),"ES0031408323131005HX0F")</f>
        <v>ES0031408323131005HX0F</v>
      </c>
      <c r="B9153" s="17">
        <f>IFERROR(__xludf.DUMMYFUNCTION("""COMPUTED_VALUE"""),45247.0)</f>
        <v>45247</v>
      </c>
      <c r="C9153" s="13">
        <f>IFERROR(__xludf.DUMMYFUNCTION("""COMPUTED_VALUE"""),0.3333333333333333)</f>
        <v>0.3333333333</v>
      </c>
      <c r="D9153" s="8">
        <f>IFERROR(__xludf.DUMMYFUNCTION("""COMPUTED_VALUE"""),0.084)</f>
        <v>0.084</v>
      </c>
      <c r="E9153" s="8" t="str">
        <f>IFERROR(__xludf.DUMMYFUNCTION("""COMPUTED_VALUE"""),"Real")</f>
        <v>Real</v>
      </c>
      <c r="G9153" s="8">
        <f t="shared" si="1"/>
        <v>11</v>
      </c>
      <c r="H9153" s="14">
        <f t="shared" si="2"/>
        <v>17</v>
      </c>
      <c r="I9153" s="15">
        <f t="shared" si="3"/>
        <v>8</v>
      </c>
    </row>
    <row r="9154">
      <c r="A9154" s="8" t="str">
        <f>IFERROR(__xludf.DUMMYFUNCTION("IF('(INGESTA)Datos_consumo_datadis'!A9154&lt;&gt;"""",SPLIT('(INGESTA)Datos_consumo_datadis'!A:A,"",""),"""")"),"ES0031408323131005HX0F")</f>
        <v>ES0031408323131005HX0F</v>
      </c>
      <c r="B9154" s="17">
        <f>IFERROR(__xludf.DUMMYFUNCTION("""COMPUTED_VALUE"""),45247.0)</f>
        <v>45247</v>
      </c>
      <c r="C9154" s="13">
        <f>IFERROR(__xludf.DUMMYFUNCTION("""COMPUTED_VALUE"""),0.375)</f>
        <v>0.375</v>
      </c>
      <c r="D9154" s="8">
        <f>IFERROR(__xludf.DUMMYFUNCTION("""COMPUTED_VALUE"""),0.056)</f>
        <v>0.056</v>
      </c>
      <c r="E9154" s="8" t="str">
        <f>IFERROR(__xludf.DUMMYFUNCTION("""COMPUTED_VALUE"""),"Real")</f>
        <v>Real</v>
      </c>
      <c r="G9154" s="8">
        <f t="shared" si="1"/>
        <v>11</v>
      </c>
      <c r="H9154" s="14">
        <f t="shared" si="2"/>
        <v>17</v>
      </c>
      <c r="I9154" s="15">
        <f t="shared" si="3"/>
        <v>9</v>
      </c>
    </row>
    <row r="9155">
      <c r="A9155" s="8" t="str">
        <f>IFERROR(__xludf.DUMMYFUNCTION("IF('(INGESTA)Datos_consumo_datadis'!A9155&lt;&gt;"""",SPLIT('(INGESTA)Datos_consumo_datadis'!A:A,"",""),"""")"),"ES0031408323131005HX0F")</f>
        <v>ES0031408323131005HX0F</v>
      </c>
      <c r="B9155" s="17">
        <f>IFERROR(__xludf.DUMMYFUNCTION("""COMPUTED_VALUE"""),45247.0)</f>
        <v>45247</v>
      </c>
      <c r="C9155" s="13">
        <f>IFERROR(__xludf.DUMMYFUNCTION("""COMPUTED_VALUE"""),0.4166666666666667)</f>
        <v>0.4166666667</v>
      </c>
      <c r="D9155" s="8">
        <f>IFERROR(__xludf.DUMMYFUNCTION("""COMPUTED_VALUE"""),0.12)</f>
        <v>0.12</v>
      </c>
      <c r="E9155" s="8" t="str">
        <f>IFERROR(__xludf.DUMMYFUNCTION("""COMPUTED_VALUE"""),"Real")</f>
        <v>Real</v>
      </c>
      <c r="G9155" s="8">
        <f t="shared" si="1"/>
        <v>11</v>
      </c>
      <c r="H9155" s="14">
        <f t="shared" si="2"/>
        <v>17</v>
      </c>
      <c r="I9155" s="15">
        <f t="shared" si="3"/>
        <v>10</v>
      </c>
    </row>
    <row r="9156">
      <c r="A9156" s="8" t="str">
        <f>IFERROR(__xludf.DUMMYFUNCTION("IF('(INGESTA)Datos_consumo_datadis'!A9156&lt;&gt;"""",SPLIT('(INGESTA)Datos_consumo_datadis'!A:A,"",""),"""")"),"ES0031408323131005HX0F")</f>
        <v>ES0031408323131005HX0F</v>
      </c>
      <c r="B9156" s="17">
        <f>IFERROR(__xludf.DUMMYFUNCTION("""COMPUTED_VALUE"""),45247.0)</f>
        <v>45247</v>
      </c>
      <c r="C9156" s="13">
        <f>IFERROR(__xludf.DUMMYFUNCTION("""COMPUTED_VALUE"""),0.4583333333333333)</f>
        <v>0.4583333333</v>
      </c>
      <c r="D9156" s="8">
        <f>IFERROR(__xludf.DUMMYFUNCTION("""COMPUTED_VALUE"""),0.113)</f>
        <v>0.113</v>
      </c>
      <c r="E9156" s="8" t="str">
        <f>IFERROR(__xludf.DUMMYFUNCTION("""COMPUTED_VALUE"""),"Real")</f>
        <v>Real</v>
      </c>
      <c r="G9156" s="8">
        <f t="shared" si="1"/>
        <v>11</v>
      </c>
      <c r="H9156" s="14">
        <f t="shared" si="2"/>
        <v>17</v>
      </c>
      <c r="I9156" s="15">
        <f t="shared" si="3"/>
        <v>11</v>
      </c>
    </row>
    <row r="9157">
      <c r="A9157" s="8" t="str">
        <f>IFERROR(__xludf.DUMMYFUNCTION("IF('(INGESTA)Datos_consumo_datadis'!A9157&lt;&gt;"""",SPLIT('(INGESTA)Datos_consumo_datadis'!A:A,"",""),"""")"),"ES0031408323131005HX0F")</f>
        <v>ES0031408323131005HX0F</v>
      </c>
      <c r="B9157" s="17">
        <f>IFERROR(__xludf.DUMMYFUNCTION("""COMPUTED_VALUE"""),45247.0)</f>
        <v>45247</v>
      </c>
      <c r="C9157" s="13">
        <f>IFERROR(__xludf.DUMMYFUNCTION("""COMPUTED_VALUE"""),0.5)</f>
        <v>0.5</v>
      </c>
      <c r="D9157" s="8">
        <f>IFERROR(__xludf.DUMMYFUNCTION("""COMPUTED_VALUE"""),0.371)</f>
        <v>0.371</v>
      </c>
      <c r="E9157" s="8" t="str">
        <f>IFERROR(__xludf.DUMMYFUNCTION("""COMPUTED_VALUE"""),"Real")</f>
        <v>Real</v>
      </c>
      <c r="G9157" s="8">
        <f t="shared" si="1"/>
        <v>11</v>
      </c>
      <c r="H9157" s="14">
        <f t="shared" si="2"/>
        <v>17</v>
      </c>
      <c r="I9157" s="15">
        <f t="shared" si="3"/>
        <v>12</v>
      </c>
    </row>
    <row r="9158">
      <c r="A9158" s="8" t="str">
        <f>IFERROR(__xludf.DUMMYFUNCTION("IF('(INGESTA)Datos_consumo_datadis'!A9158&lt;&gt;"""",SPLIT('(INGESTA)Datos_consumo_datadis'!A:A,"",""),"""")"),"ES0031408323131005HX0F")</f>
        <v>ES0031408323131005HX0F</v>
      </c>
      <c r="B9158" s="17">
        <f>IFERROR(__xludf.DUMMYFUNCTION("""COMPUTED_VALUE"""),45247.0)</f>
        <v>45247</v>
      </c>
      <c r="C9158" s="13">
        <f>IFERROR(__xludf.DUMMYFUNCTION("""COMPUTED_VALUE"""),0.5416666666666666)</f>
        <v>0.5416666667</v>
      </c>
      <c r="D9158" s="8">
        <f>IFERROR(__xludf.DUMMYFUNCTION("""COMPUTED_VALUE"""),0.025)</f>
        <v>0.025</v>
      </c>
      <c r="E9158" s="8" t="str">
        <f>IFERROR(__xludf.DUMMYFUNCTION("""COMPUTED_VALUE"""),"Real")</f>
        <v>Real</v>
      </c>
      <c r="G9158" s="8">
        <f t="shared" si="1"/>
        <v>11</v>
      </c>
      <c r="H9158" s="14">
        <f t="shared" si="2"/>
        <v>17</v>
      </c>
      <c r="I9158" s="15">
        <f t="shared" si="3"/>
        <v>13</v>
      </c>
    </row>
    <row r="9159">
      <c r="A9159" s="8" t="str">
        <f>IFERROR(__xludf.DUMMYFUNCTION("IF('(INGESTA)Datos_consumo_datadis'!A9159&lt;&gt;"""",SPLIT('(INGESTA)Datos_consumo_datadis'!A:A,"",""),"""")"),"ES0031408323131005HX0F")</f>
        <v>ES0031408323131005HX0F</v>
      </c>
      <c r="B9159" s="17">
        <f>IFERROR(__xludf.DUMMYFUNCTION("""COMPUTED_VALUE"""),45247.0)</f>
        <v>45247</v>
      </c>
      <c r="C9159" s="13">
        <f>IFERROR(__xludf.DUMMYFUNCTION("""COMPUTED_VALUE"""),0.5833333333333334)</f>
        <v>0.5833333333</v>
      </c>
      <c r="D9159" s="8">
        <f>IFERROR(__xludf.DUMMYFUNCTION("""COMPUTED_VALUE"""),0.053)</f>
        <v>0.053</v>
      </c>
      <c r="E9159" s="8" t="str">
        <f>IFERROR(__xludf.DUMMYFUNCTION("""COMPUTED_VALUE"""),"Real")</f>
        <v>Real</v>
      </c>
      <c r="G9159" s="8">
        <f t="shared" si="1"/>
        <v>11</v>
      </c>
      <c r="H9159" s="14">
        <f t="shared" si="2"/>
        <v>17</v>
      </c>
      <c r="I9159" s="15">
        <f t="shared" si="3"/>
        <v>14</v>
      </c>
    </row>
    <row r="9160">
      <c r="A9160" s="8" t="str">
        <f>IFERROR(__xludf.DUMMYFUNCTION("IF('(INGESTA)Datos_consumo_datadis'!A9160&lt;&gt;"""",SPLIT('(INGESTA)Datos_consumo_datadis'!A:A,"",""),"""")"),"ES0031408323131005HX0F")</f>
        <v>ES0031408323131005HX0F</v>
      </c>
      <c r="B9160" s="17">
        <f>IFERROR(__xludf.DUMMYFUNCTION("""COMPUTED_VALUE"""),45247.0)</f>
        <v>45247</v>
      </c>
      <c r="C9160" s="13">
        <f>IFERROR(__xludf.DUMMYFUNCTION("""COMPUTED_VALUE"""),0.625)</f>
        <v>0.625</v>
      </c>
      <c r="D9160" s="8">
        <f>IFERROR(__xludf.DUMMYFUNCTION("""COMPUTED_VALUE"""),0.079)</f>
        <v>0.079</v>
      </c>
      <c r="E9160" s="8" t="str">
        <f>IFERROR(__xludf.DUMMYFUNCTION("""COMPUTED_VALUE"""),"Real")</f>
        <v>Real</v>
      </c>
      <c r="G9160" s="8">
        <f t="shared" si="1"/>
        <v>11</v>
      </c>
      <c r="H9160" s="14">
        <f t="shared" si="2"/>
        <v>17</v>
      </c>
      <c r="I9160" s="15">
        <f t="shared" si="3"/>
        <v>15</v>
      </c>
    </row>
    <row r="9161">
      <c r="A9161" s="8" t="str">
        <f>IFERROR(__xludf.DUMMYFUNCTION("IF('(INGESTA)Datos_consumo_datadis'!A9161&lt;&gt;"""",SPLIT('(INGESTA)Datos_consumo_datadis'!A:A,"",""),"""")"),"ES0031408323131005HX0F")</f>
        <v>ES0031408323131005HX0F</v>
      </c>
      <c r="B9161" s="17">
        <f>IFERROR(__xludf.DUMMYFUNCTION("""COMPUTED_VALUE"""),45247.0)</f>
        <v>45247</v>
      </c>
      <c r="C9161" s="13">
        <f>IFERROR(__xludf.DUMMYFUNCTION("""COMPUTED_VALUE"""),0.6666666666666666)</f>
        <v>0.6666666667</v>
      </c>
      <c r="D9161" s="8">
        <f>IFERROR(__xludf.DUMMYFUNCTION("""COMPUTED_VALUE"""),0.051)</f>
        <v>0.051</v>
      </c>
      <c r="E9161" s="8" t="str">
        <f>IFERROR(__xludf.DUMMYFUNCTION("""COMPUTED_VALUE"""),"Real")</f>
        <v>Real</v>
      </c>
      <c r="G9161" s="8">
        <f t="shared" si="1"/>
        <v>11</v>
      </c>
      <c r="H9161" s="14">
        <f t="shared" si="2"/>
        <v>17</v>
      </c>
      <c r="I9161" s="15">
        <f t="shared" si="3"/>
        <v>16</v>
      </c>
    </row>
    <row r="9162">
      <c r="A9162" s="8" t="str">
        <f>IFERROR(__xludf.DUMMYFUNCTION("IF('(INGESTA)Datos_consumo_datadis'!A9162&lt;&gt;"""",SPLIT('(INGESTA)Datos_consumo_datadis'!A:A,"",""),"""")"),"ES0031408323131005HX0F")</f>
        <v>ES0031408323131005HX0F</v>
      </c>
      <c r="B9162" s="17">
        <f>IFERROR(__xludf.DUMMYFUNCTION("""COMPUTED_VALUE"""),45247.0)</f>
        <v>45247</v>
      </c>
      <c r="C9162" s="13">
        <f>IFERROR(__xludf.DUMMYFUNCTION("""COMPUTED_VALUE"""),0.7083333333333334)</f>
        <v>0.7083333333</v>
      </c>
      <c r="D9162" s="8">
        <f>IFERROR(__xludf.DUMMYFUNCTION("""COMPUTED_VALUE"""),0.035)</f>
        <v>0.035</v>
      </c>
      <c r="E9162" s="8" t="str">
        <f>IFERROR(__xludf.DUMMYFUNCTION("""COMPUTED_VALUE"""),"Real")</f>
        <v>Real</v>
      </c>
      <c r="G9162" s="8">
        <f t="shared" si="1"/>
        <v>11</v>
      </c>
      <c r="H9162" s="14">
        <f t="shared" si="2"/>
        <v>17</v>
      </c>
      <c r="I9162" s="15">
        <f t="shared" si="3"/>
        <v>17</v>
      </c>
    </row>
    <row r="9163">
      <c r="A9163" s="8" t="str">
        <f>IFERROR(__xludf.DUMMYFUNCTION("IF('(INGESTA)Datos_consumo_datadis'!A9163&lt;&gt;"""",SPLIT('(INGESTA)Datos_consumo_datadis'!A:A,"",""),"""")"),"ES0031408323131005HX0F")</f>
        <v>ES0031408323131005HX0F</v>
      </c>
      <c r="B9163" s="17">
        <f>IFERROR(__xludf.DUMMYFUNCTION("""COMPUTED_VALUE"""),45247.0)</f>
        <v>45247</v>
      </c>
      <c r="C9163" s="13">
        <f>IFERROR(__xludf.DUMMYFUNCTION("""COMPUTED_VALUE"""),0.75)</f>
        <v>0.75</v>
      </c>
      <c r="D9163" s="8">
        <f>IFERROR(__xludf.DUMMYFUNCTION("""COMPUTED_VALUE"""),0.085)</f>
        <v>0.085</v>
      </c>
      <c r="E9163" s="8" t="str">
        <f>IFERROR(__xludf.DUMMYFUNCTION("""COMPUTED_VALUE"""),"Real")</f>
        <v>Real</v>
      </c>
      <c r="G9163" s="8">
        <f t="shared" si="1"/>
        <v>11</v>
      </c>
      <c r="H9163" s="14">
        <f t="shared" si="2"/>
        <v>17</v>
      </c>
      <c r="I9163" s="15">
        <f t="shared" si="3"/>
        <v>18</v>
      </c>
    </row>
    <row r="9164">
      <c r="A9164" s="8" t="str">
        <f>IFERROR(__xludf.DUMMYFUNCTION("IF('(INGESTA)Datos_consumo_datadis'!A9164&lt;&gt;"""",SPLIT('(INGESTA)Datos_consumo_datadis'!A:A,"",""),"""")"),"ES0031408323131005HX0F")</f>
        <v>ES0031408323131005HX0F</v>
      </c>
      <c r="B9164" s="17">
        <f>IFERROR(__xludf.DUMMYFUNCTION("""COMPUTED_VALUE"""),45247.0)</f>
        <v>45247</v>
      </c>
      <c r="C9164" s="13">
        <f>IFERROR(__xludf.DUMMYFUNCTION("""COMPUTED_VALUE"""),0.7916666666666666)</f>
        <v>0.7916666667</v>
      </c>
      <c r="D9164" s="8">
        <f>IFERROR(__xludf.DUMMYFUNCTION("""COMPUTED_VALUE"""),0.387)</f>
        <v>0.387</v>
      </c>
      <c r="E9164" s="8" t="str">
        <f>IFERROR(__xludf.DUMMYFUNCTION("""COMPUTED_VALUE"""),"Real")</f>
        <v>Real</v>
      </c>
      <c r="G9164" s="8">
        <f t="shared" si="1"/>
        <v>11</v>
      </c>
      <c r="H9164" s="14">
        <f t="shared" si="2"/>
        <v>17</v>
      </c>
      <c r="I9164" s="15">
        <f t="shared" si="3"/>
        <v>19</v>
      </c>
    </row>
    <row r="9165">
      <c r="A9165" s="8" t="str">
        <f>IFERROR(__xludf.DUMMYFUNCTION("IF('(INGESTA)Datos_consumo_datadis'!A9165&lt;&gt;"""",SPLIT('(INGESTA)Datos_consumo_datadis'!A:A,"",""),"""")"),"ES0031408323131005HX0F")</f>
        <v>ES0031408323131005HX0F</v>
      </c>
      <c r="B9165" s="17">
        <f>IFERROR(__xludf.DUMMYFUNCTION("""COMPUTED_VALUE"""),45247.0)</f>
        <v>45247</v>
      </c>
      <c r="C9165" s="13">
        <f>IFERROR(__xludf.DUMMYFUNCTION("""COMPUTED_VALUE"""),0.8333333333333334)</f>
        <v>0.8333333333</v>
      </c>
      <c r="D9165" s="8">
        <f>IFERROR(__xludf.DUMMYFUNCTION("""COMPUTED_VALUE"""),0.151)</f>
        <v>0.151</v>
      </c>
      <c r="E9165" s="8" t="str">
        <f>IFERROR(__xludf.DUMMYFUNCTION("""COMPUTED_VALUE"""),"Real")</f>
        <v>Real</v>
      </c>
      <c r="G9165" s="8">
        <f t="shared" si="1"/>
        <v>11</v>
      </c>
      <c r="H9165" s="14">
        <f t="shared" si="2"/>
        <v>17</v>
      </c>
      <c r="I9165" s="15">
        <f t="shared" si="3"/>
        <v>20</v>
      </c>
    </row>
    <row r="9166">
      <c r="A9166" s="8" t="str">
        <f>IFERROR(__xludf.DUMMYFUNCTION("IF('(INGESTA)Datos_consumo_datadis'!A9166&lt;&gt;"""",SPLIT('(INGESTA)Datos_consumo_datadis'!A:A,"",""),"""")"),"ES0031408323131005HX0F")</f>
        <v>ES0031408323131005HX0F</v>
      </c>
      <c r="B9166" s="17">
        <f>IFERROR(__xludf.DUMMYFUNCTION("""COMPUTED_VALUE"""),45247.0)</f>
        <v>45247</v>
      </c>
      <c r="C9166" s="13">
        <f>IFERROR(__xludf.DUMMYFUNCTION("""COMPUTED_VALUE"""),0.875)</f>
        <v>0.875</v>
      </c>
      <c r="D9166" s="8">
        <f>IFERROR(__xludf.DUMMYFUNCTION("""COMPUTED_VALUE"""),0.086)</f>
        <v>0.086</v>
      </c>
      <c r="E9166" s="8" t="str">
        <f>IFERROR(__xludf.DUMMYFUNCTION("""COMPUTED_VALUE"""),"Real")</f>
        <v>Real</v>
      </c>
      <c r="G9166" s="8">
        <f t="shared" si="1"/>
        <v>11</v>
      </c>
      <c r="H9166" s="14">
        <f t="shared" si="2"/>
        <v>17</v>
      </c>
      <c r="I9166" s="15">
        <f t="shared" si="3"/>
        <v>21</v>
      </c>
    </row>
    <row r="9167">
      <c r="A9167" s="8" t="str">
        <f>IFERROR(__xludf.DUMMYFUNCTION("IF('(INGESTA)Datos_consumo_datadis'!A9167&lt;&gt;"""",SPLIT('(INGESTA)Datos_consumo_datadis'!A:A,"",""),"""")"),"ES0031408323131005HX0F")</f>
        <v>ES0031408323131005HX0F</v>
      </c>
      <c r="B9167" s="17">
        <f>IFERROR(__xludf.DUMMYFUNCTION("""COMPUTED_VALUE"""),45247.0)</f>
        <v>45247</v>
      </c>
      <c r="C9167" s="13">
        <f>IFERROR(__xludf.DUMMYFUNCTION("""COMPUTED_VALUE"""),0.9166666666666666)</f>
        <v>0.9166666667</v>
      </c>
      <c r="D9167" s="8">
        <f>IFERROR(__xludf.DUMMYFUNCTION("""COMPUTED_VALUE"""),0.42)</f>
        <v>0.42</v>
      </c>
      <c r="E9167" s="8" t="str">
        <f>IFERROR(__xludf.DUMMYFUNCTION("""COMPUTED_VALUE"""),"Real")</f>
        <v>Real</v>
      </c>
      <c r="G9167" s="8">
        <f t="shared" si="1"/>
        <v>11</v>
      </c>
      <c r="H9167" s="14">
        <f t="shared" si="2"/>
        <v>17</v>
      </c>
      <c r="I9167" s="15">
        <f t="shared" si="3"/>
        <v>22</v>
      </c>
    </row>
    <row r="9168">
      <c r="A9168" s="8" t="str">
        <f>IFERROR(__xludf.DUMMYFUNCTION("IF('(INGESTA)Datos_consumo_datadis'!A9168&lt;&gt;"""",SPLIT('(INGESTA)Datos_consumo_datadis'!A:A,"",""),"""")"),"ES0031408323131005HX0F")</f>
        <v>ES0031408323131005HX0F</v>
      </c>
      <c r="B9168" s="17">
        <f>IFERROR(__xludf.DUMMYFUNCTION("""COMPUTED_VALUE"""),45247.0)</f>
        <v>45247</v>
      </c>
      <c r="C9168" s="13">
        <f>IFERROR(__xludf.DUMMYFUNCTION("""COMPUTED_VALUE"""),0.9583333333333334)</f>
        <v>0.9583333333</v>
      </c>
      <c r="D9168" s="8">
        <f>IFERROR(__xludf.DUMMYFUNCTION("""COMPUTED_VALUE"""),2.52)</f>
        <v>2.52</v>
      </c>
      <c r="E9168" s="8" t="str">
        <f>IFERROR(__xludf.DUMMYFUNCTION("""COMPUTED_VALUE"""),"Real")</f>
        <v>Real</v>
      </c>
      <c r="G9168" s="8">
        <f t="shared" si="1"/>
        <v>11</v>
      </c>
      <c r="H9168" s="14">
        <f t="shared" si="2"/>
        <v>17</v>
      </c>
      <c r="I9168" s="15">
        <f t="shared" si="3"/>
        <v>23</v>
      </c>
    </row>
    <row r="9169">
      <c r="A9169" s="8" t="str">
        <f>IFERROR(__xludf.DUMMYFUNCTION("IF('(INGESTA)Datos_consumo_datadis'!A9169&lt;&gt;"""",SPLIT('(INGESTA)Datos_consumo_datadis'!A:A,"",""),"""")"),"ES0031408323131005HX0F")</f>
        <v>ES0031408323131005HX0F</v>
      </c>
      <c r="B9169" s="17">
        <f>IFERROR(__xludf.DUMMYFUNCTION("""COMPUTED_VALUE"""),45247.0)</f>
        <v>45247</v>
      </c>
      <c r="C9169" s="16">
        <f>IFERROR(__xludf.DUMMYFUNCTION("""COMPUTED_VALUE"""),1.0)</f>
        <v>1</v>
      </c>
      <c r="D9169" s="8">
        <f>IFERROR(__xludf.DUMMYFUNCTION("""COMPUTED_VALUE"""),0.853)</f>
        <v>0.853</v>
      </c>
      <c r="E9169" s="8" t="str">
        <f>IFERROR(__xludf.DUMMYFUNCTION("""COMPUTED_VALUE"""),"Real")</f>
        <v>Real</v>
      </c>
      <c r="G9169" s="8">
        <f t="shared" si="1"/>
        <v>11</v>
      </c>
      <c r="H9169" s="14">
        <f t="shared" si="2"/>
        <v>17</v>
      </c>
      <c r="I9169" s="15">
        <f t="shared" si="3"/>
        <v>0</v>
      </c>
    </row>
    <row r="9170">
      <c r="A9170" s="8" t="str">
        <f>IFERROR(__xludf.DUMMYFUNCTION("IF('(INGESTA)Datos_consumo_datadis'!A9170&lt;&gt;"""",SPLIT('(INGESTA)Datos_consumo_datadis'!A:A,"",""),"""")"),"ES0031408323131005HX0F")</f>
        <v>ES0031408323131005HX0F</v>
      </c>
      <c r="B9170" s="17">
        <f>IFERROR(__xludf.DUMMYFUNCTION("""COMPUTED_VALUE"""),45248.0)</f>
        <v>45248</v>
      </c>
      <c r="C9170" s="13">
        <f>IFERROR(__xludf.DUMMYFUNCTION("""COMPUTED_VALUE"""),0.041666666666666664)</f>
        <v>0.04166666667</v>
      </c>
      <c r="D9170" s="8">
        <f>IFERROR(__xludf.DUMMYFUNCTION("""COMPUTED_VALUE"""),0.572)</f>
        <v>0.572</v>
      </c>
      <c r="E9170" s="8" t="str">
        <f>IFERROR(__xludf.DUMMYFUNCTION("""COMPUTED_VALUE"""),"Real")</f>
        <v>Real</v>
      </c>
      <c r="G9170" s="8">
        <f t="shared" si="1"/>
        <v>11</v>
      </c>
      <c r="H9170" s="14">
        <f t="shared" si="2"/>
        <v>18</v>
      </c>
      <c r="I9170" s="15">
        <f t="shared" si="3"/>
        <v>1</v>
      </c>
    </row>
    <row r="9171">
      <c r="A9171" s="8" t="str">
        <f>IFERROR(__xludf.DUMMYFUNCTION("IF('(INGESTA)Datos_consumo_datadis'!A9171&lt;&gt;"""",SPLIT('(INGESTA)Datos_consumo_datadis'!A:A,"",""),"""")"),"ES0031408323131005HX0F")</f>
        <v>ES0031408323131005HX0F</v>
      </c>
      <c r="B9171" s="17">
        <f>IFERROR(__xludf.DUMMYFUNCTION("""COMPUTED_VALUE"""),45248.0)</f>
        <v>45248</v>
      </c>
      <c r="C9171" s="13">
        <f>IFERROR(__xludf.DUMMYFUNCTION("""COMPUTED_VALUE"""),0.08333333333333333)</f>
        <v>0.08333333333</v>
      </c>
      <c r="D9171" s="8">
        <f>IFERROR(__xludf.DUMMYFUNCTION("""COMPUTED_VALUE"""),0.612)</f>
        <v>0.612</v>
      </c>
      <c r="E9171" s="8" t="str">
        <f>IFERROR(__xludf.DUMMYFUNCTION("""COMPUTED_VALUE"""),"Real")</f>
        <v>Real</v>
      </c>
      <c r="G9171" s="8">
        <f t="shared" si="1"/>
        <v>11</v>
      </c>
      <c r="H9171" s="14">
        <f t="shared" si="2"/>
        <v>18</v>
      </c>
      <c r="I9171" s="15">
        <f t="shared" si="3"/>
        <v>2</v>
      </c>
    </row>
    <row r="9172">
      <c r="A9172" s="8" t="str">
        <f>IFERROR(__xludf.DUMMYFUNCTION("IF('(INGESTA)Datos_consumo_datadis'!A9172&lt;&gt;"""",SPLIT('(INGESTA)Datos_consumo_datadis'!A:A,"",""),"""")"),"ES0031408323131005HX0F")</f>
        <v>ES0031408323131005HX0F</v>
      </c>
      <c r="B9172" s="17">
        <f>IFERROR(__xludf.DUMMYFUNCTION("""COMPUTED_VALUE"""),45248.0)</f>
        <v>45248</v>
      </c>
      <c r="C9172" s="13">
        <f>IFERROR(__xludf.DUMMYFUNCTION("""COMPUTED_VALUE"""),0.125)</f>
        <v>0.125</v>
      </c>
      <c r="D9172" s="8">
        <f>IFERROR(__xludf.DUMMYFUNCTION("""COMPUTED_VALUE"""),0.189)</f>
        <v>0.189</v>
      </c>
      <c r="E9172" s="8" t="str">
        <f>IFERROR(__xludf.DUMMYFUNCTION("""COMPUTED_VALUE"""),"Real")</f>
        <v>Real</v>
      </c>
      <c r="G9172" s="8">
        <f t="shared" si="1"/>
        <v>11</v>
      </c>
      <c r="H9172" s="14">
        <f t="shared" si="2"/>
        <v>18</v>
      </c>
      <c r="I9172" s="15">
        <f t="shared" si="3"/>
        <v>3</v>
      </c>
    </row>
    <row r="9173">
      <c r="A9173" s="8" t="str">
        <f>IFERROR(__xludf.DUMMYFUNCTION("IF('(INGESTA)Datos_consumo_datadis'!A9173&lt;&gt;"""",SPLIT('(INGESTA)Datos_consumo_datadis'!A:A,"",""),"""")"),"ES0031408323131005HX0F")</f>
        <v>ES0031408323131005HX0F</v>
      </c>
      <c r="B9173" s="17">
        <f>IFERROR(__xludf.DUMMYFUNCTION("""COMPUTED_VALUE"""),45248.0)</f>
        <v>45248</v>
      </c>
      <c r="C9173" s="13">
        <f>IFERROR(__xludf.DUMMYFUNCTION("""COMPUTED_VALUE"""),0.16666666666666666)</f>
        <v>0.1666666667</v>
      </c>
      <c r="D9173" s="8">
        <f>IFERROR(__xludf.DUMMYFUNCTION("""COMPUTED_VALUE"""),0.061)</f>
        <v>0.061</v>
      </c>
      <c r="E9173" s="8" t="str">
        <f>IFERROR(__xludf.DUMMYFUNCTION("""COMPUTED_VALUE"""),"Real")</f>
        <v>Real</v>
      </c>
      <c r="G9173" s="8">
        <f t="shared" si="1"/>
        <v>11</v>
      </c>
      <c r="H9173" s="14">
        <f t="shared" si="2"/>
        <v>18</v>
      </c>
      <c r="I9173" s="15">
        <f t="shared" si="3"/>
        <v>4</v>
      </c>
    </row>
    <row r="9174">
      <c r="A9174" s="8" t="str">
        <f>IFERROR(__xludf.DUMMYFUNCTION("IF('(INGESTA)Datos_consumo_datadis'!A9174&lt;&gt;"""",SPLIT('(INGESTA)Datos_consumo_datadis'!A:A,"",""),"""")"),"ES0031408323131005HX0F")</f>
        <v>ES0031408323131005HX0F</v>
      </c>
      <c r="B9174" s="17">
        <f>IFERROR(__xludf.DUMMYFUNCTION("""COMPUTED_VALUE"""),45248.0)</f>
        <v>45248</v>
      </c>
      <c r="C9174" s="13">
        <f>IFERROR(__xludf.DUMMYFUNCTION("""COMPUTED_VALUE"""),0.20833333333333334)</f>
        <v>0.2083333333</v>
      </c>
      <c r="D9174" s="8">
        <f>IFERROR(__xludf.DUMMYFUNCTION("""COMPUTED_VALUE"""),0.085)</f>
        <v>0.085</v>
      </c>
      <c r="E9174" s="8" t="str">
        <f>IFERROR(__xludf.DUMMYFUNCTION("""COMPUTED_VALUE"""),"Real")</f>
        <v>Real</v>
      </c>
      <c r="G9174" s="8">
        <f t="shared" si="1"/>
        <v>11</v>
      </c>
      <c r="H9174" s="14">
        <f t="shared" si="2"/>
        <v>18</v>
      </c>
      <c r="I9174" s="15">
        <f t="shared" si="3"/>
        <v>5</v>
      </c>
    </row>
    <row r="9175">
      <c r="A9175" s="8" t="str">
        <f>IFERROR(__xludf.DUMMYFUNCTION("IF('(INGESTA)Datos_consumo_datadis'!A9175&lt;&gt;"""",SPLIT('(INGESTA)Datos_consumo_datadis'!A:A,"",""),"""")"),"ES0031408323131005HX0F")</f>
        <v>ES0031408323131005HX0F</v>
      </c>
      <c r="B9175" s="17">
        <f>IFERROR(__xludf.DUMMYFUNCTION("""COMPUTED_VALUE"""),45248.0)</f>
        <v>45248</v>
      </c>
      <c r="C9175" s="13">
        <f>IFERROR(__xludf.DUMMYFUNCTION("""COMPUTED_VALUE"""),0.25)</f>
        <v>0.25</v>
      </c>
      <c r="D9175" s="8">
        <f>IFERROR(__xludf.DUMMYFUNCTION("""COMPUTED_VALUE"""),0.24)</f>
        <v>0.24</v>
      </c>
      <c r="E9175" s="8" t="str">
        <f>IFERROR(__xludf.DUMMYFUNCTION("""COMPUTED_VALUE"""),"Real")</f>
        <v>Real</v>
      </c>
      <c r="G9175" s="8">
        <f t="shared" si="1"/>
        <v>11</v>
      </c>
      <c r="H9175" s="14">
        <f t="shared" si="2"/>
        <v>18</v>
      </c>
      <c r="I9175" s="15">
        <f t="shared" si="3"/>
        <v>6</v>
      </c>
    </row>
    <row r="9176">
      <c r="A9176" s="8" t="str">
        <f>IFERROR(__xludf.DUMMYFUNCTION("IF('(INGESTA)Datos_consumo_datadis'!A9176&lt;&gt;"""",SPLIT('(INGESTA)Datos_consumo_datadis'!A:A,"",""),"""")"),"ES0031408323131005HX0F")</f>
        <v>ES0031408323131005HX0F</v>
      </c>
      <c r="B9176" s="17">
        <f>IFERROR(__xludf.DUMMYFUNCTION("""COMPUTED_VALUE"""),45248.0)</f>
        <v>45248</v>
      </c>
      <c r="C9176" s="13">
        <f>IFERROR(__xludf.DUMMYFUNCTION("""COMPUTED_VALUE"""),0.2916666666666667)</f>
        <v>0.2916666667</v>
      </c>
      <c r="D9176" s="8">
        <f>IFERROR(__xludf.DUMMYFUNCTION("""COMPUTED_VALUE"""),0.22)</f>
        <v>0.22</v>
      </c>
      <c r="E9176" s="8" t="str">
        <f>IFERROR(__xludf.DUMMYFUNCTION("""COMPUTED_VALUE"""),"Real")</f>
        <v>Real</v>
      </c>
      <c r="G9176" s="8">
        <f t="shared" si="1"/>
        <v>11</v>
      </c>
      <c r="H9176" s="14">
        <f t="shared" si="2"/>
        <v>18</v>
      </c>
      <c r="I9176" s="15">
        <f t="shared" si="3"/>
        <v>7</v>
      </c>
    </row>
    <row r="9177">
      <c r="A9177" s="8" t="str">
        <f>IFERROR(__xludf.DUMMYFUNCTION("IF('(INGESTA)Datos_consumo_datadis'!A9177&lt;&gt;"""",SPLIT('(INGESTA)Datos_consumo_datadis'!A:A,"",""),"""")"),"ES0031408323131005HX0F")</f>
        <v>ES0031408323131005HX0F</v>
      </c>
      <c r="B9177" s="17">
        <f>IFERROR(__xludf.DUMMYFUNCTION("""COMPUTED_VALUE"""),45248.0)</f>
        <v>45248</v>
      </c>
      <c r="C9177" s="13">
        <f>IFERROR(__xludf.DUMMYFUNCTION("""COMPUTED_VALUE"""),0.3333333333333333)</f>
        <v>0.3333333333</v>
      </c>
      <c r="D9177" s="8">
        <f>IFERROR(__xludf.DUMMYFUNCTION("""COMPUTED_VALUE"""),0.024)</f>
        <v>0.024</v>
      </c>
      <c r="E9177" s="8" t="str">
        <f>IFERROR(__xludf.DUMMYFUNCTION("""COMPUTED_VALUE"""),"Real")</f>
        <v>Real</v>
      </c>
      <c r="G9177" s="8">
        <f t="shared" si="1"/>
        <v>11</v>
      </c>
      <c r="H9177" s="14">
        <f t="shared" si="2"/>
        <v>18</v>
      </c>
      <c r="I9177" s="15">
        <f t="shared" si="3"/>
        <v>8</v>
      </c>
    </row>
    <row r="9178">
      <c r="A9178" s="8" t="str">
        <f>IFERROR(__xludf.DUMMYFUNCTION("IF('(INGESTA)Datos_consumo_datadis'!A9178&lt;&gt;"""",SPLIT('(INGESTA)Datos_consumo_datadis'!A:A,"",""),"""")"),"ES0031408323131005HX0F")</f>
        <v>ES0031408323131005HX0F</v>
      </c>
      <c r="B9178" s="17">
        <f>IFERROR(__xludf.DUMMYFUNCTION("""COMPUTED_VALUE"""),45248.0)</f>
        <v>45248</v>
      </c>
      <c r="C9178" s="13">
        <f>IFERROR(__xludf.DUMMYFUNCTION("""COMPUTED_VALUE"""),0.375)</f>
        <v>0.375</v>
      </c>
      <c r="D9178" s="8">
        <f>IFERROR(__xludf.DUMMYFUNCTION("""COMPUTED_VALUE"""),0.27)</f>
        <v>0.27</v>
      </c>
      <c r="E9178" s="8" t="str">
        <f>IFERROR(__xludf.DUMMYFUNCTION("""COMPUTED_VALUE"""),"Real")</f>
        <v>Real</v>
      </c>
      <c r="G9178" s="8">
        <f t="shared" si="1"/>
        <v>11</v>
      </c>
      <c r="H9178" s="14">
        <f t="shared" si="2"/>
        <v>18</v>
      </c>
      <c r="I9178" s="15">
        <f t="shared" si="3"/>
        <v>9</v>
      </c>
    </row>
    <row r="9179">
      <c r="A9179" s="8" t="str">
        <f>IFERROR(__xludf.DUMMYFUNCTION("IF('(INGESTA)Datos_consumo_datadis'!A9179&lt;&gt;"""",SPLIT('(INGESTA)Datos_consumo_datadis'!A:A,"",""),"""")"),"ES0031408323131005HX0F")</f>
        <v>ES0031408323131005HX0F</v>
      </c>
      <c r="B9179" s="17">
        <f>IFERROR(__xludf.DUMMYFUNCTION("""COMPUTED_VALUE"""),45248.0)</f>
        <v>45248</v>
      </c>
      <c r="C9179" s="13">
        <f>IFERROR(__xludf.DUMMYFUNCTION("""COMPUTED_VALUE"""),0.4166666666666667)</f>
        <v>0.4166666667</v>
      </c>
      <c r="D9179" s="8">
        <f>IFERROR(__xludf.DUMMYFUNCTION("""COMPUTED_VALUE"""),0.107)</f>
        <v>0.107</v>
      </c>
      <c r="E9179" s="8" t="str">
        <f>IFERROR(__xludf.DUMMYFUNCTION("""COMPUTED_VALUE"""),"Real")</f>
        <v>Real</v>
      </c>
      <c r="G9179" s="8">
        <f t="shared" si="1"/>
        <v>11</v>
      </c>
      <c r="H9179" s="14">
        <f t="shared" si="2"/>
        <v>18</v>
      </c>
      <c r="I9179" s="15">
        <f t="shared" si="3"/>
        <v>10</v>
      </c>
    </row>
    <row r="9180">
      <c r="A9180" s="8" t="str">
        <f>IFERROR(__xludf.DUMMYFUNCTION("IF('(INGESTA)Datos_consumo_datadis'!A9180&lt;&gt;"""",SPLIT('(INGESTA)Datos_consumo_datadis'!A:A,"",""),"""")"),"ES0031408323131005HX0F")</f>
        <v>ES0031408323131005HX0F</v>
      </c>
      <c r="B9180" s="17">
        <f>IFERROR(__xludf.DUMMYFUNCTION("""COMPUTED_VALUE"""),45248.0)</f>
        <v>45248</v>
      </c>
      <c r="C9180" s="13">
        <f>IFERROR(__xludf.DUMMYFUNCTION("""COMPUTED_VALUE"""),0.4583333333333333)</f>
        <v>0.4583333333</v>
      </c>
      <c r="D9180" s="8">
        <f>IFERROR(__xludf.DUMMYFUNCTION("""COMPUTED_VALUE"""),0.322)</f>
        <v>0.322</v>
      </c>
      <c r="E9180" s="8" t="str">
        <f>IFERROR(__xludf.DUMMYFUNCTION("""COMPUTED_VALUE"""),"Real")</f>
        <v>Real</v>
      </c>
      <c r="G9180" s="8">
        <f t="shared" si="1"/>
        <v>11</v>
      </c>
      <c r="H9180" s="14">
        <f t="shared" si="2"/>
        <v>18</v>
      </c>
      <c r="I9180" s="15">
        <f t="shared" si="3"/>
        <v>11</v>
      </c>
    </row>
    <row r="9181">
      <c r="A9181" s="8" t="str">
        <f>IFERROR(__xludf.DUMMYFUNCTION("IF('(INGESTA)Datos_consumo_datadis'!A9181&lt;&gt;"""",SPLIT('(INGESTA)Datos_consumo_datadis'!A:A,"",""),"""")"),"ES0031408323131005HX0F")</f>
        <v>ES0031408323131005HX0F</v>
      </c>
      <c r="B9181" s="17">
        <f>IFERROR(__xludf.DUMMYFUNCTION("""COMPUTED_VALUE"""),45248.0)</f>
        <v>45248</v>
      </c>
      <c r="C9181" s="13">
        <f>IFERROR(__xludf.DUMMYFUNCTION("""COMPUTED_VALUE"""),0.5)</f>
        <v>0.5</v>
      </c>
      <c r="D9181" s="8">
        <f>IFERROR(__xludf.DUMMYFUNCTION("""COMPUTED_VALUE"""),0.014)</f>
        <v>0.014</v>
      </c>
      <c r="E9181" s="8" t="str">
        <f>IFERROR(__xludf.DUMMYFUNCTION("""COMPUTED_VALUE"""),"Real")</f>
        <v>Real</v>
      </c>
      <c r="G9181" s="8">
        <f t="shared" si="1"/>
        <v>11</v>
      </c>
      <c r="H9181" s="14">
        <f t="shared" si="2"/>
        <v>18</v>
      </c>
      <c r="I9181" s="15">
        <f t="shared" si="3"/>
        <v>12</v>
      </c>
    </row>
    <row r="9182">
      <c r="A9182" s="8" t="str">
        <f>IFERROR(__xludf.DUMMYFUNCTION("IF('(INGESTA)Datos_consumo_datadis'!A9182&lt;&gt;"""",SPLIT('(INGESTA)Datos_consumo_datadis'!A:A,"",""),"""")"),"ES0031408323131005HX0F")</f>
        <v>ES0031408323131005HX0F</v>
      </c>
      <c r="B9182" s="17">
        <f>IFERROR(__xludf.DUMMYFUNCTION("""COMPUTED_VALUE"""),45248.0)</f>
        <v>45248</v>
      </c>
      <c r="C9182" s="13">
        <f>IFERROR(__xludf.DUMMYFUNCTION("""COMPUTED_VALUE"""),0.5416666666666666)</f>
        <v>0.5416666667</v>
      </c>
      <c r="D9182" s="8">
        <f>IFERROR(__xludf.DUMMYFUNCTION("""COMPUTED_VALUE"""),0.047)</f>
        <v>0.047</v>
      </c>
      <c r="E9182" s="8" t="str">
        <f>IFERROR(__xludf.DUMMYFUNCTION("""COMPUTED_VALUE"""),"Real")</f>
        <v>Real</v>
      </c>
      <c r="G9182" s="8">
        <f t="shared" si="1"/>
        <v>11</v>
      </c>
      <c r="H9182" s="14">
        <f t="shared" si="2"/>
        <v>18</v>
      </c>
      <c r="I9182" s="15">
        <f t="shared" si="3"/>
        <v>13</v>
      </c>
    </row>
    <row r="9183">
      <c r="A9183" s="8" t="str">
        <f>IFERROR(__xludf.DUMMYFUNCTION("IF('(INGESTA)Datos_consumo_datadis'!A9183&lt;&gt;"""",SPLIT('(INGESTA)Datos_consumo_datadis'!A:A,"",""),"""")"),"ES0031408323131005HX0F")</f>
        <v>ES0031408323131005HX0F</v>
      </c>
      <c r="B9183" s="17">
        <f>IFERROR(__xludf.DUMMYFUNCTION("""COMPUTED_VALUE"""),45248.0)</f>
        <v>45248</v>
      </c>
      <c r="C9183" s="13">
        <f>IFERROR(__xludf.DUMMYFUNCTION("""COMPUTED_VALUE"""),0.5833333333333334)</f>
        <v>0.5833333333</v>
      </c>
      <c r="D9183" s="8">
        <f>IFERROR(__xludf.DUMMYFUNCTION("""COMPUTED_VALUE"""),0.085)</f>
        <v>0.085</v>
      </c>
      <c r="E9183" s="8" t="str">
        <f>IFERROR(__xludf.DUMMYFUNCTION("""COMPUTED_VALUE"""),"Real")</f>
        <v>Real</v>
      </c>
      <c r="G9183" s="8">
        <f t="shared" si="1"/>
        <v>11</v>
      </c>
      <c r="H9183" s="14">
        <f t="shared" si="2"/>
        <v>18</v>
      </c>
      <c r="I9183" s="15">
        <f t="shared" si="3"/>
        <v>14</v>
      </c>
    </row>
    <row r="9184">
      <c r="A9184" s="8" t="str">
        <f>IFERROR(__xludf.DUMMYFUNCTION("IF('(INGESTA)Datos_consumo_datadis'!A9184&lt;&gt;"""",SPLIT('(INGESTA)Datos_consumo_datadis'!A:A,"",""),"""")"),"ES0031408323131005HX0F")</f>
        <v>ES0031408323131005HX0F</v>
      </c>
      <c r="B9184" s="17">
        <f>IFERROR(__xludf.DUMMYFUNCTION("""COMPUTED_VALUE"""),45248.0)</f>
        <v>45248</v>
      </c>
      <c r="C9184" s="13">
        <f>IFERROR(__xludf.DUMMYFUNCTION("""COMPUTED_VALUE"""),0.625)</f>
        <v>0.625</v>
      </c>
      <c r="D9184" s="8">
        <f>IFERROR(__xludf.DUMMYFUNCTION("""COMPUTED_VALUE"""),0.451)</f>
        <v>0.451</v>
      </c>
      <c r="E9184" s="8" t="str">
        <f>IFERROR(__xludf.DUMMYFUNCTION("""COMPUTED_VALUE"""),"Real")</f>
        <v>Real</v>
      </c>
      <c r="G9184" s="8">
        <f t="shared" si="1"/>
        <v>11</v>
      </c>
      <c r="H9184" s="14">
        <f t="shared" si="2"/>
        <v>18</v>
      </c>
      <c r="I9184" s="15">
        <f t="shared" si="3"/>
        <v>15</v>
      </c>
    </row>
    <row r="9185">
      <c r="A9185" s="8" t="str">
        <f>IFERROR(__xludf.DUMMYFUNCTION("IF('(INGESTA)Datos_consumo_datadis'!A9185&lt;&gt;"""",SPLIT('(INGESTA)Datos_consumo_datadis'!A:A,"",""),"""")"),"ES0031408323131005HX0F")</f>
        <v>ES0031408323131005HX0F</v>
      </c>
      <c r="B9185" s="17">
        <f>IFERROR(__xludf.DUMMYFUNCTION("""COMPUTED_VALUE"""),45248.0)</f>
        <v>45248</v>
      </c>
      <c r="C9185" s="13">
        <f>IFERROR(__xludf.DUMMYFUNCTION("""COMPUTED_VALUE"""),0.6666666666666666)</f>
        <v>0.6666666667</v>
      </c>
      <c r="D9185" s="8">
        <f>IFERROR(__xludf.DUMMYFUNCTION("""COMPUTED_VALUE"""),0.037)</f>
        <v>0.037</v>
      </c>
      <c r="E9185" s="8" t="str">
        <f>IFERROR(__xludf.DUMMYFUNCTION("""COMPUTED_VALUE"""),"Real")</f>
        <v>Real</v>
      </c>
      <c r="G9185" s="8">
        <f t="shared" si="1"/>
        <v>11</v>
      </c>
      <c r="H9185" s="14">
        <f t="shared" si="2"/>
        <v>18</v>
      </c>
      <c r="I9185" s="15">
        <f t="shared" si="3"/>
        <v>16</v>
      </c>
    </row>
    <row r="9186">
      <c r="A9186" s="8" t="str">
        <f>IFERROR(__xludf.DUMMYFUNCTION("IF('(INGESTA)Datos_consumo_datadis'!A9186&lt;&gt;"""",SPLIT('(INGESTA)Datos_consumo_datadis'!A:A,"",""),"""")"),"ES0031408323131005HX0F")</f>
        <v>ES0031408323131005HX0F</v>
      </c>
      <c r="B9186" s="17">
        <f>IFERROR(__xludf.DUMMYFUNCTION("""COMPUTED_VALUE"""),45248.0)</f>
        <v>45248</v>
      </c>
      <c r="C9186" s="13">
        <f>IFERROR(__xludf.DUMMYFUNCTION("""COMPUTED_VALUE"""),0.7083333333333334)</f>
        <v>0.7083333333</v>
      </c>
      <c r="D9186" s="8">
        <f>IFERROR(__xludf.DUMMYFUNCTION("""COMPUTED_VALUE"""),0.165)</f>
        <v>0.165</v>
      </c>
      <c r="E9186" s="8" t="str">
        <f>IFERROR(__xludf.DUMMYFUNCTION("""COMPUTED_VALUE"""),"Real")</f>
        <v>Real</v>
      </c>
      <c r="G9186" s="8">
        <f t="shared" si="1"/>
        <v>11</v>
      </c>
      <c r="H9186" s="14">
        <f t="shared" si="2"/>
        <v>18</v>
      </c>
      <c r="I9186" s="15">
        <f t="shared" si="3"/>
        <v>17</v>
      </c>
    </row>
    <row r="9187">
      <c r="A9187" s="8" t="str">
        <f>IFERROR(__xludf.DUMMYFUNCTION("IF('(INGESTA)Datos_consumo_datadis'!A9187&lt;&gt;"""",SPLIT('(INGESTA)Datos_consumo_datadis'!A:A,"",""),"""")"),"ES0031408323131005HX0F")</f>
        <v>ES0031408323131005HX0F</v>
      </c>
      <c r="B9187" s="17">
        <f>IFERROR(__xludf.DUMMYFUNCTION("""COMPUTED_VALUE"""),45248.0)</f>
        <v>45248</v>
      </c>
      <c r="C9187" s="13">
        <f>IFERROR(__xludf.DUMMYFUNCTION("""COMPUTED_VALUE"""),0.75)</f>
        <v>0.75</v>
      </c>
      <c r="D9187" s="8">
        <f>IFERROR(__xludf.DUMMYFUNCTION("""COMPUTED_VALUE"""),0.105)</f>
        <v>0.105</v>
      </c>
      <c r="E9187" s="8" t="str">
        <f>IFERROR(__xludf.DUMMYFUNCTION("""COMPUTED_VALUE"""),"Real")</f>
        <v>Real</v>
      </c>
      <c r="G9187" s="8">
        <f t="shared" si="1"/>
        <v>11</v>
      </c>
      <c r="H9187" s="14">
        <f t="shared" si="2"/>
        <v>18</v>
      </c>
      <c r="I9187" s="15">
        <f t="shared" si="3"/>
        <v>18</v>
      </c>
    </row>
    <row r="9188">
      <c r="A9188" s="8" t="str">
        <f>IFERROR(__xludf.DUMMYFUNCTION("IF('(INGESTA)Datos_consumo_datadis'!A9188&lt;&gt;"""",SPLIT('(INGESTA)Datos_consumo_datadis'!A:A,"",""),"""")"),"ES0031408323131005HX0F")</f>
        <v>ES0031408323131005HX0F</v>
      </c>
      <c r="B9188" s="17">
        <f>IFERROR(__xludf.DUMMYFUNCTION("""COMPUTED_VALUE"""),45248.0)</f>
        <v>45248</v>
      </c>
      <c r="C9188" s="13">
        <f>IFERROR(__xludf.DUMMYFUNCTION("""COMPUTED_VALUE"""),0.7916666666666666)</f>
        <v>0.7916666667</v>
      </c>
      <c r="D9188" s="8">
        <f>IFERROR(__xludf.DUMMYFUNCTION("""COMPUTED_VALUE"""),0.095)</f>
        <v>0.095</v>
      </c>
      <c r="E9188" s="8" t="str">
        <f>IFERROR(__xludf.DUMMYFUNCTION("""COMPUTED_VALUE"""),"Real")</f>
        <v>Real</v>
      </c>
      <c r="G9188" s="8">
        <f t="shared" si="1"/>
        <v>11</v>
      </c>
      <c r="H9188" s="14">
        <f t="shared" si="2"/>
        <v>18</v>
      </c>
      <c r="I9188" s="15">
        <f t="shared" si="3"/>
        <v>19</v>
      </c>
    </row>
    <row r="9189">
      <c r="A9189" s="8" t="str">
        <f>IFERROR(__xludf.DUMMYFUNCTION("IF('(INGESTA)Datos_consumo_datadis'!A9189&lt;&gt;"""",SPLIT('(INGESTA)Datos_consumo_datadis'!A:A,"",""),"""")"),"ES0031408323131005HX0F")</f>
        <v>ES0031408323131005HX0F</v>
      </c>
      <c r="B9189" s="17">
        <f>IFERROR(__xludf.DUMMYFUNCTION("""COMPUTED_VALUE"""),45248.0)</f>
        <v>45248</v>
      </c>
      <c r="C9189" s="13">
        <f>IFERROR(__xludf.DUMMYFUNCTION("""COMPUTED_VALUE"""),0.8333333333333334)</f>
        <v>0.8333333333</v>
      </c>
      <c r="D9189" s="8">
        <f>IFERROR(__xludf.DUMMYFUNCTION("""COMPUTED_VALUE"""),0.049)</f>
        <v>0.049</v>
      </c>
      <c r="E9189" s="8" t="str">
        <f>IFERROR(__xludf.DUMMYFUNCTION("""COMPUTED_VALUE"""),"Real")</f>
        <v>Real</v>
      </c>
      <c r="G9189" s="8">
        <f t="shared" si="1"/>
        <v>11</v>
      </c>
      <c r="H9189" s="14">
        <f t="shared" si="2"/>
        <v>18</v>
      </c>
      <c r="I9189" s="15">
        <f t="shared" si="3"/>
        <v>20</v>
      </c>
    </row>
    <row r="9190">
      <c r="A9190" s="8" t="str">
        <f>IFERROR(__xludf.DUMMYFUNCTION("IF('(INGESTA)Datos_consumo_datadis'!A9190&lt;&gt;"""",SPLIT('(INGESTA)Datos_consumo_datadis'!A:A,"",""),"""")"),"ES0031408323131005HX0F")</f>
        <v>ES0031408323131005HX0F</v>
      </c>
      <c r="B9190" s="17">
        <f>IFERROR(__xludf.DUMMYFUNCTION("""COMPUTED_VALUE"""),45248.0)</f>
        <v>45248</v>
      </c>
      <c r="C9190" s="13">
        <f>IFERROR(__xludf.DUMMYFUNCTION("""COMPUTED_VALUE"""),0.875)</f>
        <v>0.875</v>
      </c>
      <c r="D9190" s="8">
        <f>IFERROR(__xludf.DUMMYFUNCTION("""COMPUTED_VALUE"""),1.119)</f>
        <v>1.119</v>
      </c>
      <c r="E9190" s="8" t="str">
        <f>IFERROR(__xludf.DUMMYFUNCTION("""COMPUTED_VALUE"""),"Real")</f>
        <v>Real</v>
      </c>
      <c r="G9190" s="8">
        <f t="shared" si="1"/>
        <v>11</v>
      </c>
      <c r="H9190" s="14">
        <f t="shared" si="2"/>
        <v>18</v>
      </c>
      <c r="I9190" s="15">
        <f t="shared" si="3"/>
        <v>21</v>
      </c>
    </row>
    <row r="9191">
      <c r="A9191" s="8" t="str">
        <f>IFERROR(__xludf.DUMMYFUNCTION("IF('(INGESTA)Datos_consumo_datadis'!A9191&lt;&gt;"""",SPLIT('(INGESTA)Datos_consumo_datadis'!A:A,"",""),"""")"),"ES0031408323131005HX0F")</f>
        <v>ES0031408323131005HX0F</v>
      </c>
      <c r="B9191" s="17">
        <f>IFERROR(__xludf.DUMMYFUNCTION("""COMPUTED_VALUE"""),45248.0)</f>
        <v>45248</v>
      </c>
      <c r="C9191" s="13">
        <f>IFERROR(__xludf.DUMMYFUNCTION("""COMPUTED_VALUE"""),0.9166666666666666)</f>
        <v>0.9166666667</v>
      </c>
      <c r="D9191" s="8">
        <f>IFERROR(__xludf.DUMMYFUNCTION("""COMPUTED_VALUE"""),0.769)</f>
        <v>0.769</v>
      </c>
      <c r="E9191" s="8" t="str">
        <f>IFERROR(__xludf.DUMMYFUNCTION("""COMPUTED_VALUE"""),"Real")</f>
        <v>Real</v>
      </c>
      <c r="G9191" s="8">
        <f t="shared" si="1"/>
        <v>11</v>
      </c>
      <c r="H9191" s="14">
        <f t="shared" si="2"/>
        <v>18</v>
      </c>
      <c r="I9191" s="15">
        <f t="shared" si="3"/>
        <v>22</v>
      </c>
    </row>
    <row r="9192">
      <c r="A9192" s="8" t="str">
        <f>IFERROR(__xludf.DUMMYFUNCTION("IF('(INGESTA)Datos_consumo_datadis'!A9192&lt;&gt;"""",SPLIT('(INGESTA)Datos_consumo_datadis'!A:A,"",""),"""")"),"ES0031408323131005HX0F")</f>
        <v>ES0031408323131005HX0F</v>
      </c>
      <c r="B9192" s="17">
        <f>IFERROR(__xludf.DUMMYFUNCTION("""COMPUTED_VALUE"""),45248.0)</f>
        <v>45248</v>
      </c>
      <c r="C9192" s="13">
        <f>IFERROR(__xludf.DUMMYFUNCTION("""COMPUTED_VALUE"""),0.9583333333333334)</f>
        <v>0.9583333333</v>
      </c>
      <c r="D9192" s="8">
        <f>IFERROR(__xludf.DUMMYFUNCTION("""COMPUTED_VALUE"""),0.025)</f>
        <v>0.025</v>
      </c>
      <c r="E9192" s="8" t="str">
        <f>IFERROR(__xludf.DUMMYFUNCTION("""COMPUTED_VALUE"""),"Real")</f>
        <v>Real</v>
      </c>
      <c r="G9192" s="8">
        <f t="shared" si="1"/>
        <v>11</v>
      </c>
      <c r="H9192" s="14">
        <f t="shared" si="2"/>
        <v>18</v>
      </c>
      <c r="I9192" s="15">
        <f t="shared" si="3"/>
        <v>23</v>
      </c>
    </row>
    <row r="9193">
      <c r="A9193" s="8" t="str">
        <f>IFERROR(__xludf.DUMMYFUNCTION("IF('(INGESTA)Datos_consumo_datadis'!A9193&lt;&gt;"""",SPLIT('(INGESTA)Datos_consumo_datadis'!A:A,"",""),"""")"),"ES0031408323131005HX0F")</f>
        <v>ES0031408323131005HX0F</v>
      </c>
      <c r="B9193" s="17">
        <f>IFERROR(__xludf.DUMMYFUNCTION("""COMPUTED_VALUE"""),45248.0)</f>
        <v>45248</v>
      </c>
      <c r="C9193" s="16">
        <f>IFERROR(__xludf.DUMMYFUNCTION("""COMPUTED_VALUE"""),1.0)</f>
        <v>1</v>
      </c>
      <c r="D9193" s="8">
        <f>IFERROR(__xludf.DUMMYFUNCTION("""COMPUTED_VALUE"""),0.14)</f>
        <v>0.14</v>
      </c>
      <c r="E9193" s="8" t="str">
        <f>IFERROR(__xludf.DUMMYFUNCTION("""COMPUTED_VALUE"""),"Real")</f>
        <v>Real</v>
      </c>
      <c r="G9193" s="8">
        <f t="shared" si="1"/>
        <v>11</v>
      </c>
      <c r="H9193" s="14">
        <f t="shared" si="2"/>
        <v>18</v>
      </c>
      <c r="I9193" s="15">
        <f t="shared" si="3"/>
        <v>0</v>
      </c>
    </row>
    <row r="9194">
      <c r="A9194" s="8" t="str">
        <f>IFERROR(__xludf.DUMMYFUNCTION("IF('(INGESTA)Datos_consumo_datadis'!A9194&lt;&gt;"""",SPLIT('(INGESTA)Datos_consumo_datadis'!A:A,"",""),"""")"),"ES0031408323131005HX0F")</f>
        <v>ES0031408323131005HX0F</v>
      </c>
      <c r="B9194" s="17">
        <f>IFERROR(__xludf.DUMMYFUNCTION("""COMPUTED_VALUE"""),45249.0)</f>
        <v>45249</v>
      </c>
      <c r="C9194" s="13">
        <f>IFERROR(__xludf.DUMMYFUNCTION("""COMPUTED_VALUE"""),0.041666666666666664)</f>
        <v>0.04166666667</v>
      </c>
      <c r="D9194" s="8">
        <f>IFERROR(__xludf.DUMMYFUNCTION("""COMPUTED_VALUE"""),0.108)</f>
        <v>0.108</v>
      </c>
      <c r="E9194" s="8" t="str">
        <f>IFERROR(__xludf.DUMMYFUNCTION("""COMPUTED_VALUE"""),"Real")</f>
        <v>Real</v>
      </c>
      <c r="G9194" s="8">
        <f t="shared" si="1"/>
        <v>11</v>
      </c>
      <c r="H9194" s="14">
        <f t="shared" si="2"/>
        <v>19</v>
      </c>
      <c r="I9194" s="15">
        <f t="shared" si="3"/>
        <v>1</v>
      </c>
    </row>
    <row r="9195">
      <c r="A9195" s="8" t="str">
        <f>IFERROR(__xludf.DUMMYFUNCTION("IF('(INGESTA)Datos_consumo_datadis'!A9195&lt;&gt;"""",SPLIT('(INGESTA)Datos_consumo_datadis'!A:A,"",""),"""")"),"ES0031408323131005HX0F")</f>
        <v>ES0031408323131005HX0F</v>
      </c>
      <c r="B9195" s="17">
        <f>IFERROR(__xludf.DUMMYFUNCTION("""COMPUTED_VALUE"""),45249.0)</f>
        <v>45249</v>
      </c>
      <c r="C9195" s="13">
        <f>IFERROR(__xludf.DUMMYFUNCTION("""COMPUTED_VALUE"""),0.08333333333333333)</f>
        <v>0.08333333333</v>
      </c>
      <c r="D9195" s="8">
        <f>IFERROR(__xludf.DUMMYFUNCTION("""COMPUTED_VALUE"""),0.081)</f>
        <v>0.081</v>
      </c>
      <c r="E9195" s="8" t="str">
        <f>IFERROR(__xludf.DUMMYFUNCTION("""COMPUTED_VALUE"""),"Real")</f>
        <v>Real</v>
      </c>
      <c r="G9195" s="8">
        <f t="shared" si="1"/>
        <v>11</v>
      </c>
      <c r="H9195" s="14">
        <f t="shared" si="2"/>
        <v>19</v>
      </c>
      <c r="I9195" s="15">
        <f t="shared" si="3"/>
        <v>2</v>
      </c>
    </row>
    <row r="9196">
      <c r="A9196" s="8" t="str">
        <f>IFERROR(__xludf.DUMMYFUNCTION("IF('(INGESTA)Datos_consumo_datadis'!A9196&lt;&gt;"""",SPLIT('(INGESTA)Datos_consumo_datadis'!A:A,"",""),"""")"),"ES0031408323131005HX0F")</f>
        <v>ES0031408323131005HX0F</v>
      </c>
      <c r="B9196" s="17">
        <f>IFERROR(__xludf.DUMMYFUNCTION("""COMPUTED_VALUE"""),45249.0)</f>
        <v>45249</v>
      </c>
      <c r="C9196" s="13">
        <f>IFERROR(__xludf.DUMMYFUNCTION("""COMPUTED_VALUE"""),0.125)</f>
        <v>0.125</v>
      </c>
      <c r="D9196" s="8">
        <f>IFERROR(__xludf.DUMMYFUNCTION("""COMPUTED_VALUE"""),0.379)</f>
        <v>0.379</v>
      </c>
      <c r="E9196" s="8" t="str">
        <f>IFERROR(__xludf.DUMMYFUNCTION("""COMPUTED_VALUE"""),"Real")</f>
        <v>Real</v>
      </c>
      <c r="G9196" s="8">
        <f t="shared" si="1"/>
        <v>11</v>
      </c>
      <c r="H9196" s="14">
        <f t="shared" si="2"/>
        <v>19</v>
      </c>
      <c r="I9196" s="15">
        <f t="shared" si="3"/>
        <v>3</v>
      </c>
    </row>
    <row r="9197">
      <c r="A9197" s="8" t="str">
        <f>IFERROR(__xludf.DUMMYFUNCTION("IF('(INGESTA)Datos_consumo_datadis'!A9197&lt;&gt;"""",SPLIT('(INGESTA)Datos_consumo_datadis'!A:A,"",""),"""")"),"ES0031408323131005HX0F")</f>
        <v>ES0031408323131005HX0F</v>
      </c>
      <c r="B9197" s="17">
        <f>IFERROR(__xludf.DUMMYFUNCTION("""COMPUTED_VALUE"""),45249.0)</f>
        <v>45249</v>
      </c>
      <c r="C9197" s="13">
        <f>IFERROR(__xludf.DUMMYFUNCTION("""COMPUTED_VALUE"""),0.16666666666666666)</f>
        <v>0.1666666667</v>
      </c>
      <c r="D9197" s="8">
        <f>IFERROR(__xludf.DUMMYFUNCTION("""COMPUTED_VALUE"""),0.117)</f>
        <v>0.117</v>
      </c>
      <c r="E9197" s="8" t="str">
        <f>IFERROR(__xludf.DUMMYFUNCTION("""COMPUTED_VALUE"""),"Real")</f>
        <v>Real</v>
      </c>
      <c r="G9197" s="8">
        <f t="shared" si="1"/>
        <v>11</v>
      </c>
      <c r="H9197" s="14">
        <f t="shared" si="2"/>
        <v>19</v>
      </c>
      <c r="I9197" s="15">
        <f t="shared" si="3"/>
        <v>4</v>
      </c>
    </row>
    <row r="9198">
      <c r="A9198" s="8" t="str">
        <f>IFERROR(__xludf.DUMMYFUNCTION("IF('(INGESTA)Datos_consumo_datadis'!A9198&lt;&gt;"""",SPLIT('(INGESTA)Datos_consumo_datadis'!A:A,"",""),"""")"),"ES0031408323131005HX0F")</f>
        <v>ES0031408323131005HX0F</v>
      </c>
      <c r="B9198" s="17">
        <f>IFERROR(__xludf.DUMMYFUNCTION("""COMPUTED_VALUE"""),45249.0)</f>
        <v>45249</v>
      </c>
      <c r="C9198" s="13">
        <f>IFERROR(__xludf.DUMMYFUNCTION("""COMPUTED_VALUE"""),0.20833333333333334)</f>
        <v>0.2083333333</v>
      </c>
      <c r="D9198" s="8">
        <f>IFERROR(__xludf.DUMMYFUNCTION("""COMPUTED_VALUE"""),0.062)</f>
        <v>0.062</v>
      </c>
      <c r="E9198" s="8" t="str">
        <f>IFERROR(__xludf.DUMMYFUNCTION("""COMPUTED_VALUE"""),"Real")</f>
        <v>Real</v>
      </c>
      <c r="G9198" s="8">
        <f t="shared" si="1"/>
        <v>11</v>
      </c>
      <c r="H9198" s="14">
        <f t="shared" si="2"/>
        <v>19</v>
      </c>
      <c r="I9198" s="15">
        <f t="shared" si="3"/>
        <v>5</v>
      </c>
    </row>
    <row r="9199">
      <c r="A9199" s="8" t="str">
        <f>IFERROR(__xludf.DUMMYFUNCTION("IF('(INGESTA)Datos_consumo_datadis'!A9199&lt;&gt;"""",SPLIT('(INGESTA)Datos_consumo_datadis'!A:A,"",""),"""")"),"ES0031408323131005HX0F")</f>
        <v>ES0031408323131005HX0F</v>
      </c>
      <c r="B9199" s="17">
        <f>IFERROR(__xludf.DUMMYFUNCTION("""COMPUTED_VALUE"""),45249.0)</f>
        <v>45249</v>
      </c>
      <c r="C9199" s="13">
        <f>IFERROR(__xludf.DUMMYFUNCTION("""COMPUTED_VALUE"""),0.25)</f>
        <v>0.25</v>
      </c>
      <c r="D9199" s="8">
        <f>IFERROR(__xludf.DUMMYFUNCTION("""COMPUTED_VALUE"""),0.072)</f>
        <v>0.072</v>
      </c>
      <c r="E9199" s="8" t="str">
        <f>IFERROR(__xludf.DUMMYFUNCTION("""COMPUTED_VALUE"""),"Real")</f>
        <v>Real</v>
      </c>
      <c r="G9199" s="8">
        <f t="shared" si="1"/>
        <v>11</v>
      </c>
      <c r="H9199" s="14">
        <f t="shared" si="2"/>
        <v>19</v>
      </c>
      <c r="I9199" s="15">
        <f t="shared" si="3"/>
        <v>6</v>
      </c>
    </row>
    <row r="9200">
      <c r="A9200" s="8" t="str">
        <f>IFERROR(__xludf.DUMMYFUNCTION("IF('(INGESTA)Datos_consumo_datadis'!A9200&lt;&gt;"""",SPLIT('(INGESTA)Datos_consumo_datadis'!A:A,"",""),"""")"),"ES0031408323131005HX0F")</f>
        <v>ES0031408323131005HX0F</v>
      </c>
      <c r="B9200" s="17">
        <f>IFERROR(__xludf.DUMMYFUNCTION("""COMPUTED_VALUE"""),45249.0)</f>
        <v>45249</v>
      </c>
      <c r="C9200" s="13">
        <f>IFERROR(__xludf.DUMMYFUNCTION("""COMPUTED_VALUE"""),0.2916666666666667)</f>
        <v>0.2916666667</v>
      </c>
      <c r="D9200" s="8">
        <f>IFERROR(__xludf.DUMMYFUNCTION("""COMPUTED_VALUE"""),0.022)</f>
        <v>0.022</v>
      </c>
      <c r="E9200" s="8" t="str">
        <f>IFERROR(__xludf.DUMMYFUNCTION("""COMPUTED_VALUE"""),"Real")</f>
        <v>Real</v>
      </c>
      <c r="G9200" s="8">
        <f t="shared" si="1"/>
        <v>11</v>
      </c>
      <c r="H9200" s="14">
        <f t="shared" si="2"/>
        <v>19</v>
      </c>
      <c r="I9200" s="15">
        <f t="shared" si="3"/>
        <v>7</v>
      </c>
    </row>
    <row r="9201">
      <c r="A9201" s="8" t="str">
        <f>IFERROR(__xludf.DUMMYFUNCTION("IF('(INGESTA)Datos_consumo_datadis'!A9201&lt;&gt;"""",SPLIT('(INGESTA)Datos_consumo_datadis'!A:A,"",""),"""")"),"ES0031408323131005HX0F")</f>
        <v>ES0031408323131005HX0F</v>
      </c>
      <c r="B9201" s="17">
        <f>IFERROR(__xludf.DUMMYFUNCTION("""COMPUTED_VALUE"""),45249.0)</f>
        <v>45249</v>
      </c>
      <c r="C9201" s="13">
        <f>IFERROR(__xludf.DUMMYFUNCTION("""COMPUTED_VALUE"""),0.3333333333333333)</f>
        <v>0.3333333333</v>
      </c>
      <c r="D9201" s="8">
        <f>IFERROR(__xludf.DUMMYFUNCTION("""COMPUTED_VALUE"""),0.089)</f>
        <v>0.089</v>
      </c>
      <c r="E9201" s="8" t="str">
        <f>IFERROR(__xludf.DUMMYFUNCTION("""COMPUTED_VALUE"""),"Real")</f>
        <v>Real</v>
      </c>
      <c r="G9201" s="8">
        <f t="shared" si="1"/>
        <v>11</v>
      </c>
      <c r="H9201" s="14">
        <f t="shared" si="2"/>
        <v>19</v>
      </c>
      <c r="I9201" s="15">
        <f t="shared" si="3"/>
        <v>8</v>
      </c>
    </row>
    <row r="9202">
      <c r="A9202" s="8" t="str">
        <f>IFERROR(__xludf.DUMMYFUNCTION("IF('(INGESTA)Datos_consumo_datadis'!A9202&lt;&gt;"""",SPLIT('(INGESTA)Datos_consumo_datadis'!A:A,"",""),"""")"),"ES0031408323131005HX0F")</f>
        <v>ES0031408323131005HX0F</v>
      </c>
      <c r="B9202" s="17">
        <f>IFERROR(__xludf.DUMMYFUNCTION("""COMPUTED_VALUE"""),45249.0)</f>
        <v>45249</v>
      </c>
      <c r="C9202" s="13">
        <f>IFERROR(__xludf.DUMMYFUNCTION("""COMPUTED_VALUE"""),0.375)</f>
        <v>0.375</v>
      </c>
      <c r="D9202" s="8">
        <f>IFERROR(__xludf.DUMMYFUNCTION("""COMPUTED_VALUE"""),0.338)</f>
        <v>0.338</v>
      </c>
      <c r="E9202" s="8" t="str">
        <f>IFERROR(__xludf.DUMMYFUNCTION("""COMPUTED_VALUE"""),"Real")</f>
        <v>Real</v>
      </c>
      <c r="G9202" s="8">
        <f t="shared" si="1"/>
        <v>11</v>
      </c>
      <c r="H9202" s="14">
        <f t="shared" si="2"/>
        <v>19</v>
      </c>
      <c r="I9202" s="15">
        <f t="shared" si="3"/>
        <v>9</v>
      </c>
    </row>
    <row r="9203">
      <c r="A9203" s="8" t="str">
        <f>IFERROR(__xludf.DUMMYFUNCTION("IF('(INGESTA)Datos_consumo_datadis'!A9203&lt;&gt;"""",SPLIT('(INGESTA)Datos_consumo_datadis'!A:A,"",""),"""")"),"ES0031408323131005HX0F")</f>
        <v>ES0031408323131005HX0F</v>
      </c>
      <c r="B9203" s="17">
        <f>IFERROR(__xludf.DUMMYFUNCTION("""COMPUTED_VALUE"""),45249.0)</f>
        <v>45249</v>
      </c>
      <c r="C9203" s="13">
        <f>IFERROR(__xludf.DUMMYFUNCTION("""COMPUTED_VALUE"""),0.4166666666666667)</f>
        <v>0.4166666667</v>
      </c>
      <c r="D9203" s="8">
        <f>IFERROR(__xludf.DUMMYFUNCTION("""COMPUTED_VALUE"""),0.076)</f>
        <v>0.076</v>
      </c>
      <c r="E9203" s="8" t="str">
        <f>IFERROR(__xludf.DUMMYFUNCTION("""COMPUTED_VALUE"""),"Real")</f>
        <v>Real</v>
      </c>
      <c r="G9203" s="8">
        <f t="shared" si="1"/>
        <v>11</v>
      </c>
      <c r="H9203" s="14">
        <f t="shared" si="2"/>
        <v>19</v>
      </c>
      <c r="I9203" s="15">
        <f t="shared" si="3"/>
        <v>10</v>
      </c>
    </row>
    <row r="9204">
      <c r="A9204" s="8" t="str">
        <f>IFERROR(__xludf.DUMMYFUNCTION("IF('(INGESTA)Datos_consumo_datadis'!A9204&lt;&gt;"""",SPLIT('(INGESTA)Datos_consumo_datadis'!A:A,"",""),"""")"),"ES0031408323131005HX0F")</f>
        <v>ES0031408323131005HX0F</v>
      </c>
      <c r="B9204" s="17">
        <f>IFERROR(__xludf.DUMMYFUNCTION("""COMPUTED_VALUE"""),45249.0)</f>
        <v>45249</v>
      </c>
      <c r="C9204" s="13">
        <f>IFERROR(__xludf.DUMMYFUNCTION("""COMPUTED_VALUE"""),0.4583333333333333)</f>
        <v>0.4583333333</v>
      </c>
      <c r="D9204" s="8">
        <f>IFERROR(__xludf.DUMMYFUNCTION("""COMPUTED_VALUE"""),0.052)</f>
        <v>0.052</v>
      </c>
      <c r="E9204" s="8" t="str">
        <f>IFERROR(__xludf.DUMMYFUNCTION("""COMPUTED_VALUE"""),"Real")</f>
        <v>Real</v>
      </c>
      <c r="G9204" s="8">
        <f t="shared" si="1"/>
        <v>11</v>
      </c>
      <c r="H9204" s="14">
        <f t="shared" si="2"/>
        <v>19</v>
      </c>
      <c r="I9204" s="15">
        <f t="shared" si="3"/>
        <v>11</v>
      </c>
    </row>
    <row r="9205">
      <c r="A9205" s="8" t="str">
        <f>IFERROR(__xludf.DUMMYFUNCTION("IF('(INGESTA)Datos_consumo_datadis'!A9205&lt;&gt;"""",SPLIT('(INGESTA)Datos_consumo_datadis'!A:A,"",""),"""")"),"ES0031408323131005HX0F")</f>
        <v>ES0031408323131005HX0F</v>
      </c>
      <c r="B9205" s="17">
        <f>IFERROR(__xludf.DUMMYFUNCTION("""COMPUTED_VALUE"""),45249.0)</f>
        <v>45249</v>
      </c>
      <c r="C9205" s="13">
        <f>IFERROR(__xludf.DUMMYFUNCTION("""COMPUTED_VALUE"""),0.5)</f>
        <v>0.5</v>
      </c>
      <c r="D9205" s="8">
        <f>IFERROR(__xludf.DUMMYFUNCTION("""COMPUTED_VALUE"""),0.11)</f>
        <v>0.11</v>
      </c>
      <c r="E9205" s="8" t="str">
        <f>IFERROR(__xludf.DUMMYFUNCTION("""COMPUTED_VALUE"""),"Real")</f>
        <v>Real</v>
      </c>
      <c r="G9205" s="8">
        <f t="shared" si="1"/>
        <v>11</v>
      </c>
      <c r="H9205" s="14">
        <f t="shared" si="2"/>
        <v>19</v>
      </c>
      <c r="I9205" s="15">
        <f t="shared" si="3"/>
        <v>12</v>
      </c>
    </row>
    <row r="9206">
      <c r="A9206" s="8" t="str">
        <f>IFERROR(__xludf.DUMMYFUNCTION("IF('(INGESTA)Datos_consumo_datadis'!A9206&lt;&gt;"""",SPLIT('(INGESTA)Datos_consumo_datadis'!A:A,"",""),"""")"),"ES0031408323131005HX0F")</f>
        <v>ES0031408323131005HX0F</v>
      </c>
      <c r="B9206" s="17">
        <f>IFERROR(__xludf.DUMMYFUNCTION("""COMPUTED_VALUE"""),45249.0)</f>
        <v>45249</v>
      </c>
      <c r="C9206" s="13">
        <f>IFERROR(__xludf.DUMMYFUNCTION("""COMPUTED_VALUE"""),0.5416666666666666)</f>
        <v>0.5416666667</v>
      </c>
      <c r="D9206" s="8">
        <f>IFERROR(__xludf.DUMMYFUNCTION("""COMPUTED_VALUE"""),0.068)</f>
        <v>0.068</v>
      </c>
      <c r="E9206" s="8" t="str">
        <f>IFERROR(__xludf.DUMMYFUNCTION("""COMPUTED_VALUE"""),"Real")</f>
        <v>Real</v>
      </c>
      <c r="G9206" s="8">
        <f t="shared" si="1"/>
        <v>11</v>
      </c>
      <c r="H9206" s="14">
        <f t="shared" si="2"/>
        <v>19</v>
      </c>
      <c r="I9206" s="15">
        <f t="shared" si="3"/>
        <v>13</v>
      </c>
    </row>
    <row r="9207">
      <c r="A9207" s="8" t="str">
        <f>IFERROR(__xludf.DUMMYFUNCTION("IF('(INGESTA)Datos_consumo_datadis'!A9207&lt;&gt;"""",SPLIT('(INGESTA)Datos_consumo_datadis'!A:A,"",""),"""")"),"ES0031408323131005HX0F")</f>
        <v>ES0031408323131005HX0F</v>
      </c>
      <c r="B9207" s="17">
        <f>IFERROR(__xludf.DUMMYFUNCTION("""COMPUTED_VALUE"""),45249.0)</f>
        <v>45249</v>
      </c>
      <c r="C9207" s="13">
        <f>IFERROR(__xludf.DUMMYFUNCTION("""COMPUTED_VALUE"""),0.5833333333333334)</f>
        <v>0.5833333333</v>
      </c>
      <c r="D9207" s="8">
        <f>IFERROR(__xludf.DUMMYFUNCTION("""COMPUTED_VALUE"""),0.332)</f>
        <v>0.332</v>
      </c>
      <c r="E9207" s="8" t="str">
        <f>IFERROR(__xludf.DUMMYFUNCTION("""COMPUTED_VALUE"""),"Real")</f>
        <v>Real</v>
      </c>
      <c r="G9207" s="8">
        <f t="shared" si="1"/>
        <v>11</v>
      </c>
      <c r="H9207" s="14">
        <f t="shared" si="2"/>
        <v>19</v>
      </c>
      <c r="I9207" s="15">
        <f t="shared" si="3"/>
        <v>14</v>
      </c>
    </row>
    <row r="9208">
      <c r="A9208" s="8" t="str">
        <f>IFERROR(__xludf.DUMMYFUNCTION("IF('(INGESTA)Datos_consumo_datadis'!A9208&lt;&gt;"""",SPLIT('(INGESTA)Datos_consumo_datadis'!A:A,"",""),"""")"),"ES0031408323131005HX0F")</f>
        <v>ES0031408323131005HX0F</v>
      </c>
      <c r="B9208" s="17">
        <f>IFERROR(__xludf.DUMMYFUNCTION("""COMPUTED_VALUE"""),45249.0)</f>
        <v>45249</v>
      </c>
      <c r="C9208" s="13">
        <f>IFERROR(__xludf.DUMMYFUNCTION("""COMPUTED_VALUE"""),0.625)</f>
        <v>0.625</v>
      </c>
      <c r="D9208" s="8">
        <f>IFERROR(__xludf.DUMMYFUNCTION("""COMPUTED_VALUE"""),0.928)</f>
        <v>0.928</v>
      </c>
      <c r="E9208" s="8" t="str">
        <f>IFERROR(__xludf.DUMMYFUNCTION("""COMPUTED_VALUE"""),"Real")</f>
        <v>Real</v>
      </c>
      <c r="G9208" s="8">
        <f t="shared" si="1"/>
        <v>11</v>
      </c>
      <c r="H9208" s="14">
        <f t="shared" si="2"/>
        <v>19</v>
      </c>
      <c r="I9208" s="15">
        <f t="shared" si="3"/>
        <v>15</v>
      </c>
    </row>
    <row r="9209">
      <c r="A9209" s="8" t="str">
        <f>IFERROR(__xludf.DUMMYFUNCTION("IF('(INGESTA)Datos_consumo_datadis'!A9209&lt;&gt;"""",SPLIT('(INGESTA)Datos_consumo_datadis'!A:A,"",""),"""")"),"ES0031408323131005HX0F")</f>
        <v>ES0031408323131005HX0F</v>
      </c>
      <c r="B9209" s="17">
        <f>IFERROR(__xludf.DUMMYFUNCTION("""COMPUTED_VALUE"""),45249.0)</f>
        <v>45249</v>
      </c>
      <c r="C9209" s="13">
        <f>IFERROR(__xludf.DUMMYFUNCTION("""COMPUTED_VALUE"""),0.6666666666666666)</f>
        <v>0.6666666667</v>
      </c>
      <c r="D9209" s="8">
        <f>IFERROR(__xludf.DUMMYFUNCTION("""COMPUTED_VALUE"""),0.109)</f>
        <v>0.109</v>
      </c>
      <c r="E9209" s="8" t="str">
        <f>IFERROR(__xludf.DUMMYFUNCTION("""COMPUTED_VALUE"""),"Real")</f>
        <v>Real</v>
      </c>
      <c r="G9209" s="8">
        <f t="shared" si="1"/>
        <v>11</v>
      </c>
      <c r="H9209" s="14">
        <f t="shared" si="2"/>
        <v>19</v>
      </c>
      <c r="I9209" s="15">
        <f t="shared" si="3"/>
        <v>16</v>
      </c>
    </row>
    <row r="9210">
      <c r="A9210" s="8" t="str">
        <f>IFERROR(__xludf.DUMMYFUNCTION("IF('(INGESTA)Datos_consumo_datadis'!A9210&lt;&gt;"""",SPLIT('(INGESTA)Datos_consumo_datadis'!A:A,"",""),"""")"),"ES0031408323131005HX0F")</f>
        <v>ES0031408323131005HX0F</v>
      </c>
      <c r="B9210" s="17">
        <f>IFERROR(__xludf.DUMMYFUNCTION("""COMPUTED_VALUE"""),45249.0)</f>
        <v>45249</v>
      </c>
      <c r="C9210" s="13">
        <f>IFERROR(__xludf.DUMMYFUNCTION("""COMPUTED_VALUE"""),0.7083333333333334)</f>
        <v>0.7083333333</v>
      </c>
      <c r="D9210" s="8">
        <f>IFERROR(__xludf.DUMMYFUNCTION("""COMPUTED_VALUE"""),0.065)</f>
        <v>0.065</v>
      </c>
      <c r="E9210" s="8" t="str">
        <f>IFERROR(__xludf.DUMMYFUNCTION("""COMPUTED_VALUE"""),"Real")</f>
        <v>Real</v>
      </c>
      <c r="G9210" s="8">
        <f t="shared" si="1"/>
        <v>11</v>
      </c>
      <c r="H9210" s="14">
        <f t="shared" si="2"/>
        <v>19</v>
      </c>
      <c r="I9210" s="15">
        <f t="shared" si="3"/>
        <v>17</v>
      </c>
    </row>
    <row r="9211">
      <c r="A9211" s="8" t="str">
        <f>IFERROR(__xludf.DUMMYFUNCTION("IF('(INGESTA)Datos_consumo_datadis'!A9211&lt;&gt;"""",SPLIT('(INGESTA)Datos_consumo_datadis'!A:A,"",""),"""")"),"ES0031408323131005HX0F")</f>
        <v>ES0031408323131005HX0F</v>
      </c>
      <c r="B9211" s="17">
        <f>IFERROR(__xludf.DUMMYFUNCTION("""COMPUTED_VALUE"""),45249.0)</f>
        <v>45249</v>
      </c>
      <c r="C9211" s="13">
        <f>IFERROR(__xludf.DUMMYFUNCTION("""COMPUTED_VALUE"""),0.75)</f>
        <v>0.75</v>
      </c>
      <c r="D9211" s="8">
        <f>IFERROR(__xludf.DUMMYFUNCTION("""COMPUTED_VALUE"""),0.557)</f>
        <v>0.557</v>
      </c>
      <c r="E9211" s="8" t="str">
        <f>IFERROR(__xludf.DUMMYFUNCTION("""COMPUTED_VALUE"""),"Real")</f>
        <v>Real</v>
      </c>
      <c r="G9211" s="8">
        <f t="shared" si="1"/>
        <v>11</v>
      </c>
      <c r="H9211" s="14">
        <f t="shared" si="2"/>
        <v>19</v>
      </c>
      <c r="I9211" s="15">
        <f t="shared" si="3"/>
        <v>18</v>
      </c>
    </row>
    <row r="9212">
      <c r="A9212" s="8" t="str">
        <f>IFERROR(__xludf.DUMMYFUNCTION("IF('(INGESTA)Datos_consumo_datadis'!A9212&lt;&gt;"""",SPLIT('(INGESTA)Datos_consumo_datadis'!A:A,"",""),"""")"),"ES0031408323131005HX0F")</f>
        <v>ES0031408323131005HX0F</v>
      </c>
      <c r="B9212" s="17">
        <f>IFERROR(__xludf.DUMMYFUNCTION("""COMPUTED_VALUE"""),45249.0)</f>
        <v>45249</v>
      </c>
      <c r="C9212" s="13">
        <f>IFERROR(__xludf.DUMMYFUNCTION("""COMPUTED_VALUE"""),0.7916666666666666)</f>
        <v>0.7916666667</v>
      </c>
      <c r="D9212" s="8">
        <f>IFERROR(__xludf.DUMMYFUNCTION("""COMPUTED_VALUE"""),0.289)</f>
        <v>0.289</v>
      </c>
      <c r="E9212" s="8" t="str">
        <f>IFERROR(__xludf.DUMMYFUNCTION("""COMPUTED_VALUE"""),"Real")</f>
        <v>Real</v>
      </c>
      <c r="G9212" s="8">
        <f t="shared" si="1"/>
        <v>11</v>
      </c>
      <c r="H9212" s="14">
        <f t="shared" si="2"/>
        <v>19</v>
      </c>
      <c r="I9212" s="15">
        <f t="shared" si="3"/>
        <v>19</v>
      </c>
    </row>
    <row r="9213">
      <c r="A9213" s="8" t="str">
        <f>IFERROR(__xludf.DUMMYFUNCTION("IF('(INGESTA)Datos_consumo_datadis'!A9213&lt;&gt;"""",SPLIT('(INGESTA)Datos_consumo_datadis'!A:A,"",""),"""")"),"ES0031408323131005HX0F")</f>
        <v>ES0031408323131005HX0F</v>
      </c>
      <c r="B9213" s="17">
        <f>IFERROR(__xludf.DUMMYFUNCTION("""COMPUTED_VALUE"""),45249.0)</f>
        <v>45249</v>
      </c>
      <c r="C9213" s="13">
        <f>IFERROR(__xludf.DUMMYFUNCTION("""COMPUTED_VALUE"""),0.8333333333333334)</f>
        <v>0.8333333333</v>
      </c>
      <c r="D9213" s="8">
        <f>IFERROR(__xludf.DUMMYFUNCTION("""COMPUTED_VALUE"""),0.26)</f>
        <v>0.26</v>
      </c>
      <c r="E9213" s="8" t="str">
        <f>IFERROR(__xludf.DUMMYFUNCTION("""COMPUTED_VALUE"""),"Real")</f>
        <v>Real</v>
      </c>
      <c r="G9213" s="8">
        <f t="shared" si="1"/>
        <v>11</v>
      </c>
      <c r="H9213" s="14">
        <f t="shared" si="2"/>
        <v>19</v>
      </c>
      <c r="I9213" s="15">
        <f t="shared" si="3"/>
        <v>20</v>
      </c>
    </row>
    <row r="9214">
      <c r="A9214" s="8" t="str">
        <f>IFERROR(__xludf.DUMMYFUNCTION("IF('(INGESTA)Datos_consumo_datadis'!A9214&lt;&gt;"""",SPLIT('(INGESTA)Datos_consumo_datadis'!A:A,"",""),"""")"),"ES0031408323131005HX0F")</f>
        <v>ES0031408323131005HX0F</v>
      </c>
      <c r="B9214" s="17">
        <f>IFERROR(__xludf.DUMMYFUNCTION("""COMPUTED_VALUE"""),45249.0)</f>
        <v>45249</v>
      </c>
      <c r="C9214" s="13">
        <f>IFERROR(__xludf.DUMMYFUNCTION("""COMPUTED_VALUE"""),0.875)</f>
        <v>0.875</v>
      </c>
      <c r="D9214" s="8">
        <f>IFERROR(__xludf.DUMMYFUNCTION("""COMPUTED_VALUE"""),0.177)</f>
        <v>0.177</v>
      </c>
      <c r="E9214" s="8" t="str">
        <f>IFERROR(__xludf.DUMMYFUNCTION("""COMPUTED_VALUE"""),"Real")</f>
        <v>Real</v>
      </c>
      <c r="G9214" s="8">
        <f t="shared" si="1"/>
        <v>11</v>
      </c>
      <c r="H9214" s="14">
        <f t="shared" si="2"/>
        <v>19</v>
      </c>
      <c r="I9214" s="15">
        <f t="shared" si="3"/>
        <v>21</v>
      </c>
    </row>
    <row r="9215">
      <c r="A9215" s="8" t="str">
        <f>IFERROR(__xludf.DUMMYFUNCTION("IF('(INGESTA)Datos_consumo_datadis'!A9215&lt;&gt;"""",SPLIT('(INGESTA)Datos_consumo_datadis'!A:A,"",""),"""")"),"ES0031408323131005HX0F")</f>
        <v>ES0031408323131005HX0F</v>
      </c>
      <c r="B9215" s="17">
        <f>IFERROR(__xludf.DUMMYFUNCTION("""COMPUTED_VALUE"""),45249.0)</f>
        <v>45249</v>
      </c>
      <c r="C9215" s="13">
        <f>IFERROR(__xludf.DUMMYFUNCTION("""COMPUTED_VALUE"""),0.9166666666666666)</f>
        <v>0.9166666667</v>
      </c>
      <c r="D9215" s="8">
        <f>IFERROR(__xludf.DUMMYFUNCTION("""COMPUTED_VALUE"""),0.142)</f>
        <v>0.142</v>
      </c>
      <c r="E9215" s="8" t="str">
        <f>IFERROR(__xludf.DUMMYFUNCTION("""COMPUTED_VALUE"""),"Real")</f>
        <v>Real</v>
      </c>
      <c r="G9215" s="8">
        <f t="shared" si="1"/>
        <v>11</v>
      </c>
      <c r="H9215" s="14">
        <f t="shared" si="2"/>
        <v>19</v>
      </c>
      <c r="I9215" s="15">
        <f t="shared" si="3"/>
        <v>22</v>
      </c>
    </row>
    <row r="9216">
      <c r="A9216" s="8" t="str">
        <f>IFERROR(__xludf.DUMMYFUNCTION("IF('(INGESTA)Datos_consumo_datadis'!A9216&lt;&gt;"""",SPLIT('(INGESTA)Datos_consumo_datadis'!A:A,"",""),"""")"),"ES0031408323131005HX0F")</f>
        <v>ES0031408323131005HX0F</v>
      </c>
      <c r="B9216" s="17">
        <f>IFERROR(__xludf.DUMMYFUNCTION("""COMPUTED_VALUE"""),45249.0)</f>
        <v>45249</v>
      </c>
      <c r="C9216" s="13">
        <f>IFERROR(__xludf.DUMMYFUNCTION("""COMPUTED_VALUE"""),0.9583333333333334)</f>
        <v>0.9583333333</v>
      </c>
      <c r="D9216" s="8">
        <f>IFERROR(__xludf.DUMMYFUNCTION("""COMPUTED_VALUE"""),0.117)</f>
        <v>0.117</v>
      </c>
      <c r="E9216" s="8" t="str">
        <f>IFERROR(__xludf.DUMMYFUNCTION("""COMPUTED_VALUE"""),"Real")</f>
        <v>Real</v>
      </c>
      <c r="G9216" s="8">
        <f t="shared" si="1"/>
        <v>11</v>
      </c>
      <c r="H9216" s="14">
        <f t="shared" si="2"/>
        <v>19</v>
      </c>
      <c r="I9216" s="15">
        <f t="shared" si="3"/>
        <v>23</v>
      </c>
    </row>
    <row r="9217">
      <c r="A9217" s="8" t="str">
        <f>IFERROR(__xludf.DUMMYFUNCTION("IF('(INGESTA)Datos_consumo_datadis'!A9217&lt;&gt;"""",SPLIT('(INGESTA)Datos_consumo_datadis'!A:A,"",""),"""")"),"ES0031408323131005HX0F")</f>
        <v>ES0031408323131005HX0F</v>
      </c>
      <c r="B9217" s="17">
        <f>IFERROR(__xludf.DUMMYFUNCTION("""COMPUTED_VALUE"""),45249.0)</f>
        <v>45249</v>
      </c>
      <c r="C9217" s="16">
        <f>IFERROR(__xludf.DUMMYFUNCTION("""COMPUTED_VALUE"""),1.0)</f>
        <v>1</v>
      </c>
      <c r="D9217" s="8">
        <f>IFERROR(__xludf.DUMMYFUNCTION("""COMPUTED_VALUE"""),0.066)</f>
        <v>0.066</v>
      </c>
      <c r="E9217" s="8" t="str">
        <f>IFERROR(__xludf.DUMMYFUNCTION("""COMPUTED_VALUE"""),"Real")</f>
        <v>Real</v>
      </c>
      <c r="G9217" s="8">
        <f t="shared" si="1"/>
        <v>11</v>
      </c>
      <c r="H9217" s="14">
        <f t="shared" si="2"/>
        <v>19</v>
      </c>
      <c r="I9217" s="15">
        <f t="shared" si="3"/>
        <v>0</v>
      </c>
    </row>
    <row r="9218">
      <c r="A9218" s="8" t="str">
        <f>IFERROR(__xludf.DUMMYFUNCTION("IF('(INGESTA)Datos_consumo_datadis'!A9218&lt;&gt;"""",SPLIT('(INGESTA)Datos_consumo_datadis'!A:A,"",""),"""")"),"ES0031408323131005HX0F")</f>
        <v>ES0031408323131005HX0F</v>
      </c>
      <c r="B9218" s="17">
        <f>IFERROR(__xludf.DUMMYFUNCTION("""COMPUTED_VALUE"""),45250.0)</f>
        <v>45250</v>
      </c>
      <c r="C9218" s="13">
        <f>IFERROR(__xludf.DUMMYFUNCTION("""COMPUTED_VALUE"""),0.041666666666666664)</f>
        <v>0.04166666667</v>
      </c>
      <c r="D9218" s="8">
        <f>IFERROR(__xludf.DUMMYFUNCTION("""COMPUTED_VALUE"""),0.11)</f>
        <v>0.11</v>
      </c>
      <c r="E9218" s="8" t="str">
        <f>IFERROR(__xludf.DUMMYFUNCTION("""COMPUTED_VALUE"""),"Real")</f>
        <v>Real</v>
      </c>
      <c r="G9218" s="8">
        <f t="shared" si="1"/>
        <v>11</v>
      </c>
      <c r="H9218" s="14">
        <f t="shared" si="2"/>
        <v>20</v>
      </c>
      <c r="I9218" s="15">
        <f t="shared" si="3"/>
        <v>1</v>
      </c>
    </row>
    <row r="9219">
      <c r="A9219" s="8" t="str">
        <f>IFERROR(__xludf.DUMMYFUNCTION("IF('(INGESTA)Datos_consumo_datadis'!A9219&lt;&gt;"""",SPLIT('(INGESTA)Datos_consumo_datadis'!A:A,"",""),"""")"),"ES0031408323131005HX0F")</f>
        <v>ES0031408323131005HX0F</v>
      </c>
      <c r="B9219" s="17">
        <f>IFERROR(__xludf.DUMMYFUNCTION("""COMPUTED_VALUE"""),45250.0)</f>
        <v>45250</v>
      </c>
      <c r="C9219" s="13">
        <f>IFERROR(__xludf.DUMMYFUNCTION("""COMPUTED_VALUE"""),0.08333333333333333)</f>
        <v>0.08333333333</v>
      </c>
      <c r="D9219" s="8">
        <f>IFERROR(__xludf.DUMMYFUNCTION("""COMPUTED_VALUE"""),0.349)</f>
        <v>0.349</v>
      </c>
      <c r="E9219" s="8" t="str">
        <f>IFERROR(__xludf.DUMMYFUNCTION("""COMPUTED_VALUE"""),"Real")</f>
        <v>Real</v>
      </c>
      <c r="G9219" s="8">
        <f t="shared" si="1"/>
        <v>11</v>
      </c>
      <c r="H9219" s="14">
        <f t="shared" si="2"/>
        <v>20</v>
      </c>
      <c r="I9219" s="15">
        <f t="shared" si="3"/>
        <v>2</v>
      </c>
    </row>
    <row r="9220">
      <c r="A9220" s="8" t="str">
        <f>IFERROR(__xludf.DUMMYFUNCTION("IF('(INGESTA)Datos_consumo_datadis'!A9220&lt;&gt;"""",SPLIT('(INGESTA)Datos_consumo_datadis'!A:A,"",""),"""")"),"ES0031408323131005HX0F")</f>
        <v>ES0031408323131005HX0F</v>
      </c>
      <c r="B9220" s="17">
        <f>IFERROR(__xludf.DUMMYFUNCTION("""COMPUTED_VALUE"""),45250.0)</f>
        <v>45250</v>
      </c>
      <c r="C9220" s="13">
        <f>IFERROR(__xludf.DUMMYFUNCTION("""COMPUTED_VALUE"""),0.125)</f>
        <v>0.125</v>
      </c>
      <c r="D9220" s="8">
        <f>IFERROR(__xludf.DUMMYFUNCTION("""COMPUTED_VALUE"""),0.13)</f>
        <v>0.13</v>
      </c>
      <c r="E9220" s="8" t="str">
        <f>IFERROR(__xludf.DUMMYFUNCTION("""COMPUTED_VALUE"""),"Real")</f>
        <v>Real</v>
      </c>
      <c r="G9220" s="8">
        <f t="shared" si="1"/>
        <v>11</v>
      </c>
      <c r="H9220" s="14">
        <f t="shared" si="2"/>
        <v>20</v>
      </c>
      <c r="I9220" s="15">
        <f t="shared" si="3"/>
        <v>3</v>
      </c>
    </row>
    <row r="9221">
      <c r="A9221" s="8" t="str">
        <f>IFERROR(__xludf.DUMMYFUNCTION("IF('(INGESTA)Datos_consumo_datadis'!A9221&lt;&gt;"""",SPLIT('(INGESTA)Datos_consumo_datadis'!A:A,"",""),"""")"),"ES0031408323131005HX0F")</f>
        <v>ES0031408323131005HX0F</v>
      </c>
      <c r="B9221" s="17">
        <f>IFERROR(__xludf.DUMMYFUNCTION("""COMPUTED_VALUE"""),45250.0)</f>
        <v>45250</v>
      </c>
      <c r="C9221" s="13">
        <f>IFERROR(__xludf.DUMMYFUNCTION("""COMPUTED_VALUE"""),0.16666666666666666)</f>
        <v>0.1666666667</v>
      </c>
      <c r="D9221" s="8">
        <f>IFERROR(__xludf.DUMMYFUNCTION("""COMPUTED_VALUE"""),0.065)</f>
        <v>0.065</v>
      </c>
      <c r="E9221" s="8" t="str">
        <f>IFERROR(__xludf.DUMMYFUNCTION("""COMPUTED_VALUE"""),"Real")</f>
        <v>Real</v>
      </c>
      <c r="G9221" s="8">
        <f t="shared" si="1"/>
        <v>11</v>
      </c>
      <c r="H9221" s="14">
        <f t="shared" si="2"/>
        <v>20</v>
      </c>
      <c r="I9221" s="15">
        <f t="shared" si="3"/>
        <v>4</v>
      </c>
    </row>
    <row r="9222">
      <c r="A9222" s="8" t="str">
        <f>IFERROR(__xludf.DUMMYFUNCTION("IF('(INGESTA)Datos_consumo_datadis'!A9222&lt;&gt;"""",SPLIT('(INGESTA)Datos_consumo_datadis'!A:A,"",""),"""")"),"ES0031408323131005HX0F")</f>
        <v>ES0031408323131005HX0F</v>
      </c>
      <c r="B9222" s="17">
        <f>IFERROR(__xludf.DUMMYFUNCTION("""COMPUTED_VALUE"""),45250.0)</f>
        <v>45250</v>
      </c>
      <c r="C9222" s="13">
        <f>IFERROR(__xludf.DUMMYFUNCTION("""COMPUTED_VALUE"""),0.20833333333333334)</f>
        <v>0.2083333333</v>
      </c>
      <c r="D9222" s="8">
        <f>IFERROR(__xludf.DUMMYFUNCTION("""COMPUTED_VALUE"""),0.039)</f>
        <v>0.039</v>
      </c>
      <c r="E9222" s="8" t="str">
        <f>IFERROR(__xludf.DUMMYFUNCTION("""COMPUTED_VALUE"""),"Real")</f>
        <v>Real</v>
      </c>
      <c r="G9222" s="8">
        <f t="shared" si="1"/>
        <v>11</v>
      </c>
      <c r="H9222" s="14">
        <f t="shared" si="2"/>
        <v>20</v>
      </c>
      <c r="I9222" s="15">
        <f t="shared" si="3"/>
        <v>5</v>
      </c>
    </row>
    <row r="9223">
      <c r="A9223" s="8" t="str">
        <f>IFERROR(__xludf.DUMMYFUNCTION("IF('(INGESTA)Datos_consumo_datadis'!A9223&lt;&gt;"""",SPLIT('(INGESTA)Datos_consumo_datadis'!A:A,"",""),"""")"),"ES0031408323131005HX0F")</f>
        <v>ES0031408323131005HX0F</v>
      </c>
      <c r="B9223" s="17">
        <f>IFERROR(__xludf.DUMMYFUNCTION("""COMPUTED_VALUE"""),45250.0)</f>
        <v>45250</v>
      </c>
      <c r="C9223" s="13">
        <f>IFERROR(__xludf.DUMMYFUNCTION("""COMPUTED_VALUE"""),0.25)</f>
        <v>0.25</v>
      </c>
      <c r="D9223" s="8">
        <f>IFERROR(__xludf.DUMMYFUNCTION("""COMPUTED_VALUE"""),0.062)</f>
        <v>0.062</v>
      </c>
      <c r="E9223" s="8" t="str">
        <f>IFERROR(__xludf.DUMMYFUNCTION("""COMPUTED_VALUE"""),"Real")</f>
        <v>Real</v>
      </c>
      <c r="G9223" s="8">
        <f t="shared" si="1"/>
        <v>11</v>
      </c>
      <c r="H9223" s="14">
        <f t="shared" si="2"/>
        <v>20</v>
      </c>
      <c r="I9223" s="15">
        <f t="shared" si="3"/>
        <v>6</v>
      </c>
    </row>
    <row r="9224">
      <c r="A9224" s="8" t="str">
        <f>IFERROR(__xludf.DUMMYFUNCTION("IF('(INGESTA)Datos_consumo_datadis'!A9224&lt;&gt;"""",SPLIT('(INGESTA)Datos_consumo_datadis'!A:A,"",""),"""")"),"ES0031408323131005HX0F")</f>
        <v>ES0031408323131005HX0F</v>
      </c>
      <c r="B9224" s="17">
        <f>IFERROR(__xludf.DUMMYFUNCTION("""COMPUTED_VALUE"""),45250.0)</f>
        <v>45250</v>
      </c>
      <c r="C9224" s="13">
        <f>IFERROR(__xludf.DUMMYFUNCTION("""COMPUTED_VALUE"""),0.2916666666666667)</f>
        <v>0.2916666667</v>
      </c>
      <c r="D9224" s="8">
        <f>IFERROR(__xludf.DUMMYFUNCTION("""COMPUTED_VALUE"""),0.26)</f>
        <v>0.26</v>
      </c>
      <c r="E9224" s="8" t="str">
        <f>IFERROR(__xludf.DUMMYFUNCTION("""COMPUTED_VALUE"""),"Real")</f>
        <v>Real</v>
      </c>
      <c r="G9224" s="8">
        <f t="shared" si="1"/>
        <v>11</v>
      </c>
      <c r="H9224" s="14">
        <f t="shared" si="2"/>
        <v>20</v>
      </c>
      <c r="I9224" s="15">
        <f t="shared" si="3"/>
        <v>7</v>
      </c>
    </row>
    <row r="9225">
      <c r="A9225" s="8" t="str">
        <f>IFERROR(__xludf.DUMMYFUNCTION("IF('(INGESTA)Datos_consumo_datadis'!A9225&lt;&gt;"""",SPLIT('(INGESTA)Datos_consumo_datadis'!A:A,"",""),"""")"),"ES0031408323131005HX0F")</f>
        <v>ES0031408323131005HX0F</v>
      </c>
      <c r="B9225" s="17">
        <f>IFERROR(__xludf.DUMMYFUNCTION("""COMPUTED_VALUE"""),45250.0)</f>
        <v>45250</v>
      </c>
      <c r="C9225" s="13">
        <f>IFERROR(__xludf.DUMMYFUNCTION("""COMPUTED_VALUE"""),0.3333333333333333)</f>
        <v>0.3333333333</v>
      </c>
      <c r="D9225" s="8">
        <f>IFERROR(__xludf.DUMMYFUNCTION("""COMPUTED_VALUE"""),0.206)</f>
        <v>0.206</v>
      </c>
      <c r="E9225" s="8" t="str">
        <f>IFERROR(__xludf.DUMMYFUNCTION("""COMPUTED_VALUE"""),"Real")</f>
        <v>Real</v>
      </c>
      <c r="G9225" s="8">
        <f t="shared" si="1"/>
        <v>11</v>
      </c>
      <c r="H9225" s="14">
        <f t="shared" si="2"/>
        <v>20</v>
      </c>
      <c r="I9225" s="15">
        <f t="shared" si="3"/>
        <v>8</v>
      </c>
    </row>
    <row r="9226">
      <c r="A9226" s="8" t="str">
        <f>IFERROR(__xludf.DUMMYFUNCTION("IF('(INGESTA)Datos_consumo_datadis'!A9226&lt;&gt;"""",SPLIT('(INGESTA)Datos_consumo_datadis'!A:A,"",""),"""")"),"ES0031408323131005HX0F")</f>
        <v>ES0031408323131005HX0F</v>
      </c>
      <c r="B9226" s="17">
        <f>IFERROR(__xludf.DUMMYFUNCTION("""COMPUTED_VALUE"""),45250.0)</f>
        <v>45250</v>
      </c>
      <c r="C9226" s="13">
        <f>IFERROR(__xludf.DUMMYFUNCTION("""COMPUTED_VALUE"""),0.375)</f>
        <v>0.375</v>
      </c>
      <c r="D9226" s="8">
        <f>IFERROR(__xludf.DUMMYFUNCTION("""COMPUTED_VALUE"""),0.018)</f>
        <v>0.018</v>
      </c>
      <c r="E9226" s="8" t="str">
        <f>IFERROR(__xludf.DUMMYFUNCTION("""COMPUTED_VALUE"""),"Real")</f>
        <v>Real</v>
      </c>
      <c r="G9226" s="8">
        <f t="shared" si="1"/>
        <v>11</v>
      </c>
      <c r="H9226" s="14">
        <f t="shared" si="2"/>
        <v>20</v>
      </c>
      <c r="I9226" s="15">
        <f t="shared" si="3"/>
        <v>9</v>
      </c>
    </row>
    <row r="9227">
      <c r="A9227" s="8" t="str">
        <f>IFERROR(__xludf.DUMMYFUNCTION("IF('(INGESTA)Datos_consumo_datadis'!A9227&lt;&gt;"""",SPLIT('(INGESTA)Datos_consumo_datadis'!A:A,"",""),"""")"),"ES0031408323131005HX0F")</f>
        <v>ES0031408323131005HX0F</v>
      </c>
      <c r="B9227" s="17">
        <f>IFERROR(__xludf.DUMMYFUNCTION("""COMPUTED_VALUE"""),45250.0)</f>
        <v>45250</v>
      </c>
      <c r="C9227" s="13">
        <f>IFERROR(__xludf.DUMMYFUNCTION("""COMPUTED_VALUE"""),0.4166666666666667)</f>
        <v>0.4166666667</v>
      </c>
      <c r="D9227" s="8">
        <f>IFERROR(__xludf.DUMMYFUNCTION("""COMPUTED_VALUE"""),0.106)</f>
        <v>0.106</v>
      </c>
      <c r="E9227" s="8" t="str">
        <f>IFERROR(__xludf.DUMMYFUNCTION("""COMPUTED_VALUE"""),"Real")</f>
        <v>Real</v>
      </c>
      <c r="G9227" s="8">
        <f t="shared" si="1"/>
        <v>11</v>
      </c>
      <c r="H9227" s="14">
        <f t="shared" si="2"/>
        <v>20</v>
      </c>
      <c r="I9227" s="15">
        <f t="shared" si="3"/>
        <v>10</v>
      </c>
    </row>
    <row r="9228">
      <c r="A9228" s="8" t="str">
        <f>IFERROR(__xludf.DUMMYFUNCTION("IF('(INGESTA)Datos_consumo_datadis'!A9228&lt;&gt;"""",SPLIT('(INGESTA)Datos_consumo_datadis'!A:A,"",""),"""")"),"ES0031408323131005HX0F")</f>
        <v>ES0031408323131005HX0F</v>
      </c>
      <c r="B9228" s="17">
        <f>IFERROR(__xludf.DUMMYFUNCTION("""COMPUTED_VALUE"""),45250.0)</f>
        <v>45250</v>
      </c>
      <c r="C9228" s="13">
        <f>IFERROR(__xludf.DUMMYFUNCTION("""COMPUTED_VALUE"""),0.4583333333333333)</f>
        <v>0.4583333333</v>
      </c>
      <c r="D9228" s="8">
        <f>IFERROR(__xludf.DUMMYFUNCTION("""COMPUTED_VALUE"""),0.068)</f>
        <v>0.068</v>
      </c>
      <c r="E9228" s="8" t="str">
        <f>IFERROR(__xludf.DUMMYFUNCTION("""COMPUTED_VALUE"""),"Real")</f>
        <v>Real</v>
      </c>
      <c r="G9228" s="8">
        <f t="shared" si="1"/>
        <v>11</v>
      </c>
      <c r="H9228" s="14">
        <f t="shared" si="2"/>
        <v>20</v>
      </c>
      <c r="I9228" s="15">
        <f t="shared" si="3"/>
        <v>11</v>
      </c>
    </row>
    <row r="9229">
      <c r="A9229" s="8" t="str">
        <f>IFERROR(__xludf.DUMMYFUNCTION("IF('(INGESTA)Datos_consumo_datadis'!A9229&lt;&gt;"""",SPLIT('(INGESTA)Datos_consumo_datadis'!A:A,"",""),"""")"),"ES0031408323131005HX0F")</f>
        <v>ES0031408323131005HX0F</v>
      </c>
      <c r="B9229" s="17">
        <f>IFERROR(__xludf.DUMMYFUNCTION("""COMPUTED_VALUE"""),45250.0)</f>
        <v>45250</v>
      </c>
      <c r="C9229" s="13">
        <f>IFERROR(__xludf.DUMMYFUNCTION("""COMPUTED_VALUE"""),0.5)</f>
        <v>0.5</v>
      </c>
      <c r="D9229" s="8">
        <f>IFERROR(__xludf.DUMMYFUNCTION("""COMPUTED_VALUE"""),0.081)</f>
        <v>0.081</v>
      </c>
      <c r="E9229" s="8" t="str">
        <f>IFERROR(__xludf.DUMMYFUNCTION("""COMPUTED_VALUE"""),"Real")</f>
        <v>Real</v>
      </c>
      <c r="G9229" s="8">
        <f t="shared" si="1"/>
        <v>11</v>
      </c>
      <c r="H9229" s="14">
        <f t="shared" si="2"/>
        <v>20</v>
      </c>
      <c r="I9229" s="15">
        <f t="shared" si="3"/>
        <v>12</v>
      </c>
    </row>
    <row r="9230">
      <c r="A9230" s="8" t="str">
        <f>IFERROR(__xludf.DUMMYFUNCTION("IF('(INGESTA)Datos_consumo_datadis'!A9230&lt;&gt;"""",SPLIT('(INGESTA)Datos_consumo_datadis'!A:A,"",""),"""")"),"ES0031408323131005HX0F")</f>
        <v>ES0031408323131005HX0F</v>
      </c>
      <c r="B9230" s="17">
        <f>IFERROR(__xludf.DUMMYFUNCTION("""COMPUTED_VALUE"""),45250.0)</f>
        <v>45250</v>
      </c>
      <c r="C9230" s="13">
        <f>IFERROR(__xludf.DUMMYFUNCTION("""COMPUTED_VALUE"""),0.5416666666666666)</f>
        <v>0.5416666667</v>
      </c>
      <c r="D9230" s="8">
        <f>IFERROR(__xludf.DUMMYFUNCTION("""COMPUTED_VALUE"""),0.292)</f>
        <v>0.292</v>
      </c>
      <c r="E9230" s="8" t="str">
        <f>IFERROR(__xludf.DUMMYFUNCTION("""COMPUTED_VALUE"""),"Real")</f>
        <v>Real</v>
      </c>
      <c r="G9230" s="8">
        <f t="shared" si="1"/>
        <v>11</v>
      </c>
      <c r="H9230" s="14">
        <f t="shared" si="2"/>
        <v>20</v>
      </c>
      <c r="I9230" s="15">
        <f t="shared" si="3"/>
        <v>13</v>
      </c>
    </row>
    <row r="9231">
      <c r="A9231" s="8" t="str">
        <f>IFERROR(__xludf.DUMMYFUNCTION("IF('(INGESTA)Datos_consumo_datadis'!A9231&lt;&gt;"""",SPLIT('(INGESTA)Datos_consumo_datadis'!A:A,"",""),"""")"),"ES0031408323131005HX0F")</f>
        <v>ES0031408323131005HX0F</v>
      </c>
      <c r="B9231" s="17">
        <f>IFERROR(__xludf.DUMMYFUNCTION("""COMPUTED_VALUE"""),45250.0)</f>
        <v>45250</v>
      </c>
      <c r="C9231" s="13">
        <f>IFERROR(__xludf.DUMMYFUNCTION("""COMPUTED_VALUE"""),0.5833333333333334)</f>
        <v>0.5833333333</v>
      </c>
      <c r="D9231" s="8">
        <f>IFERROR(__xludf.DUMMYFUNCTION("""COMPUTED_VALUE"""),0.078)</f>
        <v>0.078</v>
      </c>
      <c r="E9231" s="8" t="str">
        <f>IFERROR(__xludf.DUMMYFUNCTION("""COMPUTED_VALUE"""),"Real")</f>
        <v>Real</v>
      </c>
      <c r="G9231" s="8">
        <f t="shared" si="1"/>
        <v>11</v>
      </c>
      <c r="H9231" s="14">
        <f t="shared" si="2"/>
        <v>20</v>
      </c>
      <c r="I9231" s="15">
        <f t="shared" si="3"/>
        <v>14</v>
      </c>
    </row>
    <row r="9232">
      <c r="A9232" s="8" t="str">
        <f>IFERROR(__xludf.DUMMYFUNCTION("IF('(INGESTA)Datos_consumo_datadis'!A9232&lt;&gt;"""",SPLIT('(INGESTA)Datos_consumo_datadis'!A:A,"",""),"""")"),"ES0031408323131005HX0F")</f>
        <v>ES0031408323131005HX0F</v>
      </c>
      <c r="B9232" s="17">
        <f>IFERROR(__xludf.DUMMYFUNCTION("""COMPUTED_VALUE"""),45250.0)</f>
        <v>45250</v>
      </c>
      <c r="C9232" s="13">
        <f>IFERROR(__xludf.DUMMYFUNCTION("""COMPUTED_VALUE"""),0.625)</f>
        <v>0.625</v>
      </c>
      <c r="D9232" s="8">
        <f>IFERROR(__xludf.DUMMYFUNCTION("""COMPUTED_VALUE"""),0.093)</f>
        <v>0.093</v>
      </c>
      <c r="E9232" s="8" t="str">
        <f>IFERROR(__xludf.DUMMYFUNCTION("""COMPUTED_VALUE"""),"Real")</f>
        <v>Real</v>
      </c>
      <c r="G9232" s="8">
        <f t="shared" si="1"/>
        <v>11</v>
      </c>
      <c r="H9232" s="14">
        <f t="shared" si="2"/>
        <v>20</v>
      </c>
      <c r="I9232" s="15">
        <f t="shared" si="3"/>
        <v>15</v>
      </c>
    </row>
    <row r="9233">
      <c r="A9233" s="8" t="str">
        <f>IFERROR(__xludf.DUMMYFUNCTION("IF('(INGESTA)Datos_consumo_datadis'!A9233&lt;&gt;"""",SPLIT('(INGESTA)Datos_consumo_datadis'!A:A,"",""),"""")"),"ES0031408323131005HX0F")</f>
        <v>ES0031408323131005HX0F</v>
      </c>
      <c r="B9233" s="17">
        <f>IFERROR(__xludf.DUMMYFUNCTION("""COMPUTED_VALUE"""),45250.0)</f>
        <v>45250</v>
      </c>
      <c r="C9233" s="13">
        <f>IFERROR(__xludf.DUMMYFUNCTION("""COMPUTED_VALUE"""),0.6666666666666666)</f>
        <v>0.6666666667</v>
      </c>
      <c r="D9233" s="8">
        <f>IFERROR(__xludf.DUMMYFUNCTION("""COMPUTED_VALUE"""),0.02)</f>
        <v>0.02</v>
      </c>
      <c r="E9233" s="8" t="str">
        <f>IFERROR(__xludf.DUMMYFUNCTION("""COMPUTED_VALUE"""),"Real")</f>
        <v>Real</v>
      </c>
      <c r="G9233" s="8">
        <f t="shared" si="1"/>
        <v>11</v>
      </c>
      <c r="H9233" s="14">
        <f t="shared" si="2"/>
        <v>20</v>
      </c>
      <c r="I9233" s="15">
        <f t="shared" si="3"/>
        <v>16</v>
      </c>
    </row>
    <row r="9234">
      <c r="A9234" s="8" t="str">
        <f>IFERROR(__xludf.DUMMYFUNCTION("IF('(INGESTA)Datos_consumo_datadis'!A9234&lt;&gt;"""",SPLIT('(INGESTA)Datos_consumo_datadis'!A:A,"",""),"""")"),"ES0031408323131005HX0F")</f>
        <v>ES0031408323131005HX0F</v>
      </c>
      <c r="B9234" s="17">
        <f>IFERROR(__xludf.DUMMYFUNCTION("""COMPUTED_VALUE"""),45250.0)</f>
        <v>45250</v>
      </c>
      <c r="C9234" s="13">
        <f>IFERROR(__xludf.DUMMYFUNCTION("""COMPUTED_VALUE"""),0.7083333333333334)</f>
        <v>0.7083333333</v>
      </c>
      <c r="D9234" s="8">
        <f>IFERROR(__xludf.DUMMYFUNCTION("""COMPUTED_VALUE"""),0.075)</f>
        <v>0.075</v>
      </c>
      <c r="E9234" s="8" t="str">
        <f>IFERROR(__xludf.DUMMYFUNCTION("""COMPUTED_VALUE"""),"Real")</f>
        <v>Real</v>
      </c>
      <c r="G9234" s="8">
        <f t="shared" si="1"/>
        <v>11</v>
      </c>
      <c r="H9234" s="14">
        <f t="shared" si="2"/>
        <v>20</v>
      </c>
      <c r="I9234" s="15">
        <f t="shared" si="3"/>
        <v>17</v>
      </c>
    </row>
    <row r="9235">
      <c r="A9235" s="8" t="str">
        <f>IFERROR(__xludf.DUMMYFUNCTION("IF('(INGESTA)Datos_consumo_datadis'!A9235&lt;&gt;"""",SPLIT('(INGESTA)Datos_consumo_datadis'!A:A,"",""),"""")"),"ES0031408323131005HX0F")</f>
        <v>ES0031408323131005HX0F</v>
      </c>
      <c r="B9235" s="17">
        <f>IFERROR(__xludf.DUMMYFUNCTION("""COMPUTED_VALUE"""),45250.0)</f>
        <v>45250</v>
      </c>
      <c r="C9235" s="13">
        <f>IFERROR(__xludf.DUMMYFUNCTION("""COMPUTED_VALUE"""),0.75)</f>
        <v>0.75</v>
      </c>
      <c r="D9235" s="8">
        <f>IFERROR(__xludf.DUMMYFUNCTION("""COMPUTED_VALUE"""),0.068)</f>
        <v>0.068</v>
      </c>
      <c r="E9235" s="8" t="str">
        <f>IFERROR(__xludf.DUMMYFUNCTION("""COMPUTED_VALUE"""),"Real")</f>
        <v>Real</v>
      </c>
      <c r="G9235" s="8">
        <f t="shared" si="1"/>
        <v>11</v>
      </c>
      <c r="H9235" s="14">
        <f t="shared" si="2"/>
        <v>20</v>
      </c>
      <c r="I9235" s="15">
        <f t="shared" si="3"/>
        <v>18</v>
      </c>
    </row>
    <row r="9236">
      <c r="A9236" s="8" t="str">
        <f>IFERROR(__xludf.DUMMYFUNCTION("IF('(INGESTA)Datos_consumo_datadis'!A9236&lt;&gt;"""",SPLIT('(INGESTA)Datos_consumo_datadis'!A:A,"",""),"""")"),"ES0031408323131005HX0F")</f>
        <v>ES0031408323131005HX0F</v>
      </c>
      <c r="B9236" s="17">
        <f>IFERROR(__xludf.DUMMYFUNCTION("""COMPUTED_VALUE"""),45250.0)</f>
        <v>45250</v>
      </c>
      <c r="C9236" s="13">
        <f>IFERROR(__xludf.DUMMYFUNCTION("""COMPUTED_VALUE"""),0.7916666666666666)</f>
        <v>0.7916666667</v>
      </c>
      <c r="D9236" s="8">
        <f>IFERROR(__xludf.DUMMYFUNCTION("""COMPUTED_VALUE"""),0.414)</f>
        <v>0.414</v>
      </c>
      <c r="E9236" s="8" t="str">
        <f>IFERROR(__xludf.DUMMYFUNCTION("""COMPUTED_VALUE"""),"Real")</f>
        <v>Real</v>
      </c>
      <c r="G9236" s="8">
        <f t="shared" si="1"/>
        <v>11</v>
      </c>
      <c r="H9236" s="14">
        <f t="shared" si="2"/>
        <v>20</v>
      </c>
      <c r="I9236" s="15">
        <f t="shared" si="3"/>
        <v>19</v>
      </c>
    </row>
    <row r="9237">
      <c r="A9237" s="8" t="str">
        <f>IFERROR(__xludf.DUMMYFUNCTION("IF('(INGESTA)Datos_consumo_datadis'!A9237&lt;&gt;"""",SPLIT('(INGESTA)Datos_consumo_datadis'!A:A,"",""),"""")"),"ES0031408323131005HX0F")</f>
        <v>ES0031408323131005HX0F</v>
      </c>
      <c r="B9237" s="17">
        <f>IFERROR(__xludf.DUMMYFUNCTION("""COMPUTED_VALUE"""),45250.0)</f>
        <v>45250</v>
      </c>
      <c r="C9237" s="13">
        <f>IFERROR(__xludf.DUMMYFUNCTION("""COMPUTED_VALUE"""),0.8333333333333334)</f>
        <v>0.8333333333</v>
      </c>
      <c r="D9237" s="8">
        <f>IFERROR(__xludf.DUMMYFUNCTION("""COMPUTED_VALUE"""),0.015)</f>
        <v>0.015</v>
      </c>
      <c r="E9237" s="8" t="str">
        <f>IFERROR(__xludf.DUMMYFUNCTION("""COMPUTED_VALUE"""),"Real")</f>
        <v>Real</v>
      </c>
      <c r="G9237" s="8">
        <f t="shared" si="1"/>
        <v>11</v>
      </c>
      <c r="H9237" s="14">
        <f t="shared" si="2"/>
        <v>20</v>
      </c>
      <c r="I9237" s="15">
        <f t="shared" si="3"/>
        <v>20</v>
      </c>
    </row>
    <row r="9238">
      <c r="A9238" s="8" t="str">
        <f>IFERROR(__xludf.DUMMYFUNCTION("IF('(INGESTA)Datos_consumo_datadis'!A9238&lt;&gt;"""",SPLIT('(INGESTA)Datos_consumo_datadis'!A:A,"",""),"""")"),"ES0031408323131005HX0F")</f>
        <v>ES0031408323131005HX0F</v>
      </c>
      <c r="B9238" s="17">
        <f>IFERROR(__xludf.DUMMYFUNCTION("""COMPUTED_VALUE"""),45250.0)</f>
        <v>45250</v>
      </c>
      <c r="C9238" s="13">
        <f>IFERROR(__xludf.DUMMYFUNCTION("""COMPUTED_VALUE"""),0.875)</f>
        <v>0.875</v>
      </c>
      <c r="D9238" s="8">
        <f>IFERROR(__xludf.DUMMYFUNCTION("""COMPUTED_VALUE"""),0.091)</f>
        <v>0.091</v>
      </c>
      <c r="E9238" s="8" t="str">
        <f>IFERROR(__xludf.DUMMYFUNCTION("""COMPUTED_VALUE"""),"Real")</f>
        <v>Real</v>
      </c>
      <c r="G9238" s="8">
        <f t="shared" si="1"/>
        <v>11</v>
      </c>
      <c r="H9238" s="14">
        <f t="shared" si="2"/>
        <v>20</v>
      </c>
      <c r="I9238" s="15">
        <f t="shared" si="3"/>
        <v>21</v>
      </c>
    </row>
    <row r="9239">
      <c r="A9239" s="8" t="str">
        <f>IFERROR(__xludf.DUMMYFUNCTION("IF('(INGESTA)Datos_consumo_datadis'!A9239&lt;&gt;"""",SPLIT('(INGESTA)Datos_consumo_datadis'!A:A,"",""),"""")"),"ES0031408323131005HX0F")</f>
        <v>ES0031408323131005HX0F</v>
      </c>
      <c r="B9239" s="17">
        <f>IFERROR(__xludf.DUMMYFUNCTION("""COMPUTED_VALUE"""),45250.0)</f>
        <v>45250</v>
      </c>
      <c r="C9239" s="13">
        <f>IFERROR(__xludf.DUMMYFUNCTION("""COMPUTED_VALUE"""),0.9166666666666666)</f>
        <v>0.9166666667</v>
      </c>
      <c r="D9239" s="8">
        <f>IFERROR(__xludf.DUMMYFUNCTION("""COMPUTED_VALUE"""),0.25)</f>
        <v>0.25</v>
      </c>
      <c r="E9239" s="8" t="str">
        <f>IFERROR(__xludf.DUMMYFUNCTION("""COMPUTED_VALUE"""),"Real")</f>
        <v>Real</v>
      </c>
      <c r="G9239" s="8">
        <f t="shared" si="1"/>
        <v>11</v>
      </c>
      <c r="H9239" s="14">
        <f t="shared" si="2"/>
        <v>20</v>
      </c>
      <c r="I9239" s="15">
        <f t="shared" si="3"/>
        <v>22</v>
      </c>
    </row>
    <row r="9240">
      <c r="A9240" s="8" t="str">
        <f>IFERROR(__xludf.DUMMYFUNCTION("IF('(INGESTA)Datos_consumo_datadis'!A9240&lt;&gt;"""",SPLIT('(INGESTA)Datos_consumo_datadis'!A:A,"",""),"""")"),"ES0031408323131005HX0F")</f>
        <v>ES0031408323131005HX0F</v>
      </c>
      <c r="B9240" s="17">
        <f>IFERROR(__xludf.DUMMYFUNCTION("""COMPUTED_VALUE"""),45250.0)</f>
        <v>45250</v>
      </c>
      <c r="C9240" s="13">
        <f>IFERROR(__xludf.DUMMYFUNCTION("""COMPUTED_VALUE"""),0.9583333333333334)</f>
        <v>0.9583333333</v>
      </c>
      <c r="D9240" s="8">
        <f>IFERROR(__xludf.DUMMYFUNCTION("""COMPUTED_VALUE"""),0.464)</f>
        <v>0.464</v>
      </c>
      <c r="E9240" s="8" t="str">
        <f>IFERROR(__xludf.DUMMYFUNCTION("""COMPUTED_VALUE"""),"Real")</f>
        <v>Real</v>
      </c>
      <c r="G9240" s="8">
        <f t="shared" si="1"/>
        <v>11</v>
      </c>
      <c r="H9240" s="14">
        <f t="shared" si="2"/>
        <v>20</v>
      </c>
      <c r="I9240" s="15">
        <f t="shared" si="3"/>
        <v>23</v>
      </c>
    </row>
    <row r="9241">
      <c r="A9241" s="8" t="str">
        <f>IFERROR(__xludf.DUMMYFUNCTION("IF('(INGESTA)Datos_consumo_datadis'!A9241&lt;&gt;"""",SPLIT('(INGESTA)Datos_consumo_datadis'!A:A,"",""),"""")"),"ES0031408323131005HX0F")</f>
        <v>ES0031408323131005HX0F</v>
      </c>
      <c r="B9241" s="17">
        <f>IFERROR(__xludf.DUMMYFUNCTION("""COMPUTED_VALUE"""),45250.0)</f>
        <v>45250</v>
      </c>
      <c r="C9241" s="16">
        <f>IFERROR(__xludf.DUMMYFUNCTION("""COMPUTED_VALUE"""),1.0)</f>
        <v>1</v>
      </c>
      <c r="D9241" s="8">
        <f>IFERROR(__xludf.DUMMYFUNCTION("""COMPUTED_VALUE"""),0.128)</f>
        <v>0.128</v>
      </c>
      <c r="E9241" s="8" t="str">
        <f>IFERROR(__xludf.DUMMYFUNCTION("""COMPUTED_VALUE"""),"Real")</f>
        <v>Real</v>
      </c>
      <c r="G9241" s="8">
        <f t="shared" si="1"/>
        <v>11</v>
      </c>
      <c r="H9241" s="14">
        <f t="shared" si="2"/>
        <v>20</v>
      </c>
      <c r="I9241" s="15">
        <f t="shared" si="3"/>
        <v>0</v>
      </c>
    </row>
    <row r="9242">
      <c r="A9242" s="8" t="str">
        <f>IFERROR(__xludf.DUMMYFUNCTION("IF('(INGESTA)Datos_consumo_datadis'!A9242&lt;&gt;"""",SPLIT('(INGESTA)Datos_consumo_datadis'!A:A,"",""),"""")"),"ES0031408323131005HX0F")</f>
        <v>ES0031408323131005HX0F</v>
      </c>
      <c r="B9242" s="17">
        <f>IFERROR(__xludf.DUMMYFUNCTION("""COMPUTED_VALUE"""),45251.0)</f>
        <v>45251</v>
      </c>
      <c r="C9242" s="13">
        <f>IFERROR(__xludf.DUMMYFUNCTION("""COMPUTED_VALUE"""),0.041666666666666664)</f>
        <v>0.04166666667</v>
      </c>
      <c r="D9242" s="8">
        <f>IFERROR(__xludf.DUMMYFUNCTION("""COMPUTED_VALUE"""),0.109)</f>
        <v>0.109</v>
      </c>
      <c r="E9242" s="8" t="str">
        <f>IFERROR(__xludf.DUMMYFUNCTION("""COMPUTED_VALUE"""),"Real")</f>
        <v>Real</v>
      </c>
      <c r="G9242" s="8">
        <f t="shared" si="1"/>
        <v>11</v>
      </c>
      <c r="H9242" s="14">
        <f t="shared" si="2"/>
        <v>21</v>
      </c>
      <c r="I9242" s="15">
        <f t="shared" si="3"/>
        <v>1</v>
      </c>
    </row>
    <row r="9243">
      <c r="A9243" s="8" t="str">
        <f>IFERROR(__xludf.DUMMYFUNCTION("IF('(INGESTA)Datos_consumo_datadis'!A9243&lt;&gt;"""",SPLIT('(INGESTA)Datos_consumo_datadis'!A:A,"",""),"""")"),"ES0031408323131005HX0F")</f>
        <v>ES0031408323131005HX0F</v>
      </c>
      <c r="B9243" s="17">
        <f>IFERROR(__xludf.DUMMYFUNCTION("""COMPUTED_VALUE"""),45251.0)</f>
        <v>45251</v>
      </c>
      <c r="C9243" s="13">
        <f>IFERROR(__xludf.DUMMYFUNCTION("""COMPUTED_VALUE"""),0.08333333333333333)</f>
        <v>0.08333333333</v>
      </c>
      <c r="D9243" s="8">
        <f>IFERROR(__xludf.DUMMYFUNCTION("""COMPUTED_VALUE"""),0.11)</f>
        <v>0.11</v>
      </c>
      <c r="E9243" s="8" t="str">
        <f>IFERROR(__xludf.DUMMYFUNCTION("""COMPUTED_VALUE"""),"Real")</f>
        <v>Real</v>
      </c>
      <c r="G9243" s="8">
        <f t="shared" si="1"/>
        <v>11</v>
      </c>
      <c r="H9243" s="14">
        <f t="shared" si="2"/>
        <v>21</v>
      </c>
      <c r="I9243" s="15">
        <f t="shared" si="3"/>
        <v>2</v>
      </c>
    </row>
    <row r="9244">
      <c r="A9244" s="8" t="str">
        <f>IFERROR(__xludf.DUMMYFUNCTION("IF('(INGESTA)Datos_consumo_datadis'!A9244&lt;&gt;"""",SPLIT('(INGESTA)Datos_consumo_datadis'!A:A,"",""),"""")"),"ES0031408323131005HX0F")</f>
        <v>ES0031408323131005HX0F</v>
      </c>
      <c r="B9244" s="17">
        <f>IFERROR(__xludf.DUMMYFUNCTION("""COMPUTED_VALUE"""),45251.0)</f>
        <v>45251</v>
      </c>
      <c r="C9244" s="13">
        <f>IFERROR(__xludf.DUMMYFUNCTION("""COMPUTED_VALUE"""),0.125)</f>
        <v>0.125</v>
      </c>
      <c r="D9244" s="8">
        <f>IFERROR(__xludf.DUMMYFUNCTION("""COMPUTED_VALUE"""),0.084)</f>
        <v>0.084</v>
      </c>
      <c r="E9244" s="8" t="str">
        <f>IFERROR(__xludf.DUMMYFUNCTION("""COMPUTED_VALUE"""),"Real")</f>
        <v>Real</v>
      </c>
      <c r="G9244" s="8">
        <f t="shared" si="1"/>
        <v>11</v>
      </c>
      <c r="H9244" s="14">
        <f t="shared" si="2"/>
        <v>21</v>
      </c>
      <c r="I9244" s="15">
        <f t="shared" si="3"/>
        <v>3</v>
      </c>
    </row>
    <row r="9245">
      <c r="A9245" s="8" t="str">
        <f>IFERROR(__xludf.DUMMYFUNCTION("IF('(INGESTA)Datos_consumo_datadis'!A9245&lt;&gt;"""",SPLIT('(INGESTA)Datos_consumo_datadis'!A:A,"",""),"""")"),"ES0031408323131005HX0F")</f>
        <v>ES0031408323131005HX0F</v>
      </c>
      <c r="B9245" s="17">
        <f>IFERROR(__xludf.DUMMYFUNCTION("""COMPUTED_VALUE"""),45251.0)</f>
        <v>45251</v>
      </c>
      <c r="C9245" s="13">
        <f>IFERROR(__xludf.DUMMYFUNCTION("""COMPUTED_VALUE"""),0.16666666666666666)</f>
        <v>0.1666666667</v>
      </c>
      <c r="D9245" s="8">
        <f>IFERROR(__xludf.DUMMYFUNCTION("""COMPUTED_VALUE"""),0.346)</f>
        <v>0.346</v>
      </c>
      <c r="E9245" s="8" t="str">
        <f>IFERROR(__xludf.DUMMYFUNCTION("""COMPUTED_VALUE"""),"Real")</f>
        <v>Real</v>
      </c>
      <c r="G9245" s="8">
        <f t="shared" si="1"/>
        <v>11</v>
      </c>
      <c r="H9245" s="14">
        <f t="shared" si="2"/>
        <v>21</v>
      </c>
      <c r="I9245" s="15">
        <f t="shared" si="3"/>
        <v>4</v>
      </c>
    </row>
    <row r="9246">
      <c r="A9246" s="8" t="str">
        <f>IFERROR(__xludf.DUMMYFUNCTION("IF('(INGESTA)Datos_consumo_datadis'!A9246&lt;&gt;"""",SPLIT('(INGESTA)Datos_consumo_datadis'!A:A,"",""),"""")"),"ES0031408323131005HX0F")</f>
        <v>ES0031408323131005HX0F</v>
      </c>
      <c r="B9246" s="17">
        <f>IFERROR(__xludf.DUMMYFUNCTION("""COMPUTED_VALUE"""),45251.0)</f>
        <v>45251</v>
      </c>
      <c r="C9246" s="13">
        <f>IFERROR(__xludf.DUMMYFUNCTION("""COMPUTED_VALUE"""),0.20833333333333334)</f>
        <v>0.2083333333</v>
      </c>
      <c r="D9246" s="8">
        <f>IFERROR(__xludf.DUMMYFUNCTION("""COMPUTED_VALUE"""),0.039)</f>
        <v>0.039</v>
      </c>
      <c r="E9246" s="8" t="str">
        <f>IFERROR(__xludf.DUMMYFUNCTION("""COMPUTED_VALUE"""),"Real")</f>
        <v>Real</v>
      </c>
      <c r="G9246" s="8">
        <f t="shared" si="1"/>
        <v>11</v>
      </c>
      <c r="H9246" s="14">
        <f t="shared" si="2"/>
        <v>21</v>
      </c>
      <c r="I9246" s="15">
        <f t="shared" si="3"/>
        <v>5</v>
      </c>
    </row>
    <row r="9247">
      <c r="A9247" s="8" t="str">
        <f>IFERROR(__xludf.DUMMYFUNCTION("IF('(INGESTA)Datos_consumo_datadis'!A9247&lt;&gt;"""",SPLIT('(INGESTA)Datos_consumo_datadis'!A:A,"",""),"""")"),"ES0031408323131005HX0F")</f>
        <v>ES0031408323131005HX0F</v>
      </c>
      <c r="B9247" s="17">
        <f>IFERROR(__xludf.DUMMYFUNCTION("""COMPUTED_VALUE"""),45251.0)</f>
        <v>45251</v>
      </c>
      <c r="C9247" s="13">
        <f>IFERROR(__xludf.DUMMYFUNCTION("""COMPUTED_VALUE"""),0.25)</f>
        <v>0.25</v>
      </c>
      <c r="D9247" s="8">
        <f>IFERROR(__xludf.DUMMYFUNCTION("""COMPUTED_VALUE"""),0.026)</f>
        <v>0.026</v>
      </c>
      <c r="E9247" s="8" t="str">
        <f>IFERROR(__xludf.DUMMYFUNCTION("""COMPUTED_VALUE"""),"Real")</f>
        <v>Real</v>
      </c>
      <c r="G9247" s="8">
        <f t="shared" si="1"/>
        <v>11</v>
      </c>
      <c r="H9247" s="14">
        <f t="shared" si="2"/>
        <v>21</v>
      </c>
      <c r="I9247" s="15">
        <f t="shared" si="3"/>
        <v>6</v>
      </c>
    </row>
    <row r="9248">
      <c r="A9248" s="8" t="str">
        <f>IFERROR(__xludf.DUMMYFUNCTION("IF('(INGESTA)Datos_consumo_datadis'!A9248&lt;&gt;"""",SPLIT('(INGESTA)Datos_consumo_datadis'!A:A,"",""),"""")"),"ES0031408323131005HX0F")</f>
        <v>ES0031408323131005HX0F</v>
      </c>
      <c r="B9248" s="17">
        <f>IFERROR(__xludf.DUMMYFUNCTION("""COMPUTED_VALUE"""),45251.0)</f>
        <v>45251</v>
      </c>
      <c r="C9248" s="13">
        <f>IFERROR(__xludf.DUMMYFUNCTION("""COMPUTED_VALUE"""),0.2916666666666667)</f>
        <v>0.2916666667</v>
      </c>
      <c r="D9248" s="8">
        <f>IFERROR(__xludf.DUMMYFUNCTION("""COMPUTED_VALUE"""),0.098)</f>
        <v>0.098</v>
      </c>
      <c r="E9248" s="8" t="str">
        <f>IFERROR(__xludf.DUMMYFUNCTION("""COMPUTED_VALUE"""),"Real")</f>
        <v>Real</v>
      </c>
      <c r="G9248" s="8">
        <f t="shared" si="1"/>
        <v>11</v>
      </c>
      <c r="H9248" s="14">
        <f t="shared" si="2"/>
        <v>21</v>
      </c>
      <c r="I9248" s="15">
        <f t="shared" si="3"/>
        <v>7</v>
      </c>
    </row>
    <row r="9249">
      <c r="A9249" s="8" t="str">
        <f>IFERROR(__xludf.DUMMYFUNCTION("IF('(INGESTA)Datos_consumo_datadis'!A9249&lt;&gt;"""",SPLIT('(INGESTA)Datos_consumo_datadis'!A:A,"",""),"""")"),"ES0031408323131005HX0F")</f>
        <v>ES0031408323131005HX0F</v>
      </c>
      <c r="B9249" s="17">
        <f>IFERROR(__xludf.DUMMYFUNCTION("""COMPUTED_VALUE"""),45251.0)</f>
        <v>45251</v>
      </c>
      <c r="C9249" s="13">
        <f>IFERROR(__xludf.DUMMYFUNCTION("""COMPUTED_VALUE"""),0.3333333333333333)</f>
        <v>0.3333333333</v>
      </c>
      <c r="D9249" s="8">
        <f>IFERROR(__xludf.DUMMYFUNCTION("""COMPUTED_VALUE"""),0.064)</f>
        <v>0.064</v>
      </c>
      <c r="E9249" s="8" t="str">
        <f>IFERROR(__xludf.DUMMYFUNCTION("""COMPUTED_VALUE"""),"Real")</f>
        <v>Real</v>
      </c>
      <c r="G9249" s="8">
        <f t="shared" si="1"/>
        <v>11</v>
      </c>
      <c r="H9249" s="14">
        <f t="shared" si="2"/>
        <v>21</v>
      </c>
      <c r="I9249" s="15">
        <f t="shared" si="3"/>
        <v>8</v>
      </c>
    </row>
    <row r="9250">
      <c r="A9250" s="8" t="str">
        <f>IFERROR(__xludf.DUMMYFUNCTION("IF('(INGESTA)Datos_consumo_datadis'!A9250&lt;&gt;"""",SPLIT('(INGESTA)Datos_consumo_datadis'!A:A,"",""),"""")"),"ES0031408323131005HX0F")</f>
        <v>ES0031408323131005HX0F</v>
      </c>
      <c r="B9250" s="17">
        <f>IFERROR(__xludf.DUMMYFUNCTION("""COMPUTED_VALUE"""),45251.0)</f>
        <v>45251</v>
      </c>
      <c r="C9250" s="13">
        <f>IFERROR(__xludf.DUMMYFUNCTION("""COMPUTED_VALUE"""),0.375)</f>
        <v>0.375</v>
      </c>
      <c r="D9250" s="8">
        <f>IFERROR(__xludf.DUMMYFUNCTION("""COMPUTED_VALUE"""),0.034)</f>
        <v>0.034</v>
      </c>
      <c r="E9250" s="8" t="str">
        <f>IFERROR(__xludf.DUMMYFUNCTION("""COMPUTED_VALUE"""),"Real")</f>
        <v>Real</v>
      </c>
      <c r="G9250" s="8">
        <f t="shared" si="1"/>
        <v>11</v>
      </c>
      <c r="H9250" s="14">
        <f t="shared" si="2"/>
        <v>21</v>
      </c>
      <c r="I9250" s="15">
        <f t="shared" si="3"/>
        <v>9</v>
      </c>
    </row>
    <row r="9251">
      <c r="A9251" s="8" t="str">
        <f>IFERROR(__xludf.DUMMYFUNCTION("IF('(INGESTA)Datos_consumo_datadis'!A9251&lt;&gt;"""",SPLIT('(INGESTA)Datos_consumo_datadis'!A:A,"",""),"""")"),"ES0031408323131005HX0F")</f>
        <v>ES0031408323131005HX0F</v>
      </c>
      <c r="B9251" s="17">
        <f>IFERROR(__xludf.DUMMYFUNCTION("""COMPUTED_VALUE"""),45251.0)</f>
        <v>45251</v>
      </c>
      <c r="C9251" s="13">
        <f>IFERROR(__xludf.DUMMYFUNCTION("""COMPUTED_VALUE"""),0.4166666666666667)</f>
        <v>0.4166666667</v>
      </c>
      <c r="D9251" s="8">
        <f>IFERROR(__xludf.DUMMYFUNCTION("""COMPUTED_VALUE"""),0.328)</f>
        <v>0.328</v>
      </c>
      <c r="E9251" s="8" t="str">
        <f>IFERROR(__xludf.DUMMYFUNCTION("""COMPUTED_VALUE"""),"Real")</f>
        <v>Real</v>
      </c>
      <c r="G9251" s="8">
        <f t="shared" si="1"/>
        <v>11</v>
      </c>
      <c r="H9251" s="14">
        <f t="shared" si="2"/>
        <v>21</v>
      </c>
      <c r="I9251" s="15">
        <f t="shared" si="3"/>
        <v>10</v>
      </c>
    </row>
    <row r="9252">
      <c r="A9252" s="8" t="str">
        <f>IFERROR(__xludf.DUMMYFUNCTION("IF('(INGESTA)Datos_consumo_datadis'!A9252&lt;&gt;"""",SPLIT('(INGESTA)Datos_consumo_datadis'!A:A,"",""),"""")"),"ES0031408323131005HX0F")</f>
        <v>ES0031408323131005HX0F</v>
      </c>
      <c r="B9252" s="17">
        <f>IFERROR(__xludf.DUMMYFUNCTION("""COMPUTED_VALUE"""),45251.0)</f>
        <v>45251</v>
      </c>
      <c r="C9252" s="13">
        <f>IFERROR(__xludf.DUMMYFUNCTION("""COMPUTED_VALUE"""),0.4583333333333333)</f>
        <v>0.4583333333</v>
      </c>
      <c r="D9252" s="8">
        <f>IFERROR(__xludf.DUMMYFUNCTION("""COMPUTED_VALUE"""),0.082)</f>
        <v>0.082</v>
      </c>
      <c r="E9252" s="8" t="str">
        <f>IFERROR(__xludf.DUMMYFUNCTION("""COMPUTED_VALUE"""),"Real")</f>
        <v>Real</v>
      </c>
      <c r="G9252" s="8">
        <f t="shared" si="1"/>
        <v>11</v>
      </c>
      <c r="H9252" s="14">
        <f t="shared" si="2"/>
        <v>21</v>
      </c>
      <c r="I9252" s="15">
        <f t="shared" si="3"/>
        <v>11</v>
      </c>
    </row>
    <row r="9253">
      <c r="A9253" s="8" t="str">
        <f>IFERROR(__xludf.DUMMYFUNCTION("IF('(INGESTA)Datos_consumo_datadis'!A9253&lt;&gt;"""",SPLIT('(INGESTA)Datos_consumo_datadis'!A:A,"",""),"""")"),"ES0031408323131005HX0F")</f>
        <v>ES0031408323131005HX0F</v>
      </c>
      <c r="B9253" s="17">
        <f>IFERROR(__xludf.DUMMYFUNCTION("""COMPUTED_VALUE"""),45251.0)</f>
        <v>45251</v>
      </c>
      <c r="C9253" s="13">
        <f>IFERROR(__xludf.DUMMYFUNCTION("""COMPUTED_VALUE"""),0.5)</f>
        <v>0.5</v>
      </c>
      <c r="D9253" s="8">
        <f>IFERROR(__xludf.DUMMYFUNCTION("""COMPUTED_VALUE"""),0.059)</f>
        <v>0.059</v>
      </c>
      <c r="E9253" s="8" t="str">
        <f>IFERROR(__xludf.DUMMYFUNCTION("""COMPUTED_VALUE"""),"Real")</f>
        <v>Real</v>
      </c>
      <c r="G9253" s="8">
        <f t="shared" si="1"/>
        <v>11</v>
      </c>
      <c r="H9253" s="14">
        <f t="shared" si="2"/>
        <v>21</v>
      </c>
      <c r="I9253" s="15">
        <f t="shared" si="3"/>
        <v>12</v>
      </c>
    </row>
    <row r="9254">
      <c r="A9254" s="8" t="str">
        <f>IFERROR(__xludf.DUMMYFUNCTION("IF('(INGESTA)Datos_consumo_datadis'!A9254&lt;&gt;"""",SPLIT('(INGESTA)Datos_consumo_datadis'!A:A,"",""),"""")"),"ES0031408323131005HX0F")</f>
        <v>ES0031408323131005HX0F</v>
      </c>
      <c r="B9254" s="17">
        <f>IFERROR(__xludf.DUMMYFUNCTION("""COMPUTED_VALUE"""),45251.0)</f>
        <v>45251</v>
      </c>
      <c r="C9254" s="13">
        <f>IFERROR(__xludf.DUMMYFUNCTION("""COMPUTED_VALUE"""),0.5416666666666666)</f>
        <v>0.5416666667</v>
      </c>
      <c r="D9254" s="8">
        <f>IFERROR(__xludf.DUMMYFUNCTION("""COMPUTED_VALUE"""),0.02)</f>
        <v>0.02</v>
      </c>
      <c r="E9254" s="8" t="str">
        <f>IFERROR(__xludf.DUMMYFUNCTION("""COMPUTED_VALUE"""),"Real")</f>
        <v>Real</v>
      </c>
      <c r="G9254" s="8">
        <f t="shared" si="1"/>
        <v>11</v>
      </c>
      <c r="H9254" s="14">
        <f t="shared" si="2"/>
        <v>21</v>
      </c>
      <c r="I9254" s="15">
        <f t="shared" si="3"/>
        <v>13</v>
      </c>
    </row>
    <row r="9255">
      <c r="A9255" s="8" t="str">
        <f>IFERROR(__xludf.DUMMYFUNCTION("IF('(INGESTA)Datos_consumo_datadis'!A9255&lt;&gt;"""",SPLIT('(INGESTA)Datos_consumo_datadis'!A:A,"",""),"""")"),"ES0031408323131005HX0F")</f>
        <v>ES0031408323131005HX0F</v>
      </c>
      <c r="B9255" s="17">
        <f>IFERROR(__xludf.DUMMYFUNCTION("""COMPUTED_VALUE"""),45251.0)</f>
        <v>45251</v>
      </c>
      <c r="C9255" s="13">
        <f>IFERROR(__xludf.DUMMYFUNCTION("""COMPUTED_VALUE"""),0.5833333333333334)</f>
        <v>0.5833333333</v>
      </c>
      <c r="D9255" s="8">
        <f>IFERROR(__xludf.DUMMYFUNCTION("""COMPUTED_VALUE"""),0.069)</f>
        <v>0.069</v>
      </c>
      <c r="E9255" s="8" t="str">
        <f>IFERROR(__xludf.DUMMYFUNCTION("""COMPUTED_VALUE"""),"Real")</f>
        <v>Real</v>
      </c>
      <c r="G9255" s="8">
        <f t="shared" si="1"/>
        <v>11</v>
      </c>
      <c r="H9255" s="14">
        <f t="shared" si="2"/>
        <v>21</v>
      </c>
      <c r="I9255" s="15">
        <f t="shared" si="3"/>
        <v>14</v>
      </c>
    </row>
    <row r="9256">
      <c r="A9256" s="8" t="str">
        <f>IFERROR(__xludf.DUMMYFUNCTION("IF('(INGESTA)Datos_consumo_datadis'!A9256&lt;&gt;"""",SPLIT('(INGESTA)Datos_consumo_datadis'!A:A,"",""),"""")"),"ES0031408323131005HX0F")</f>
        <v>ES0031408323131005HX0F</v>
      </c>
      <c r="B9256" s="17">
        <f>IFERROR(__xludf.DUMMYFUNCTION("""COMPUTED_VALUE"""),45251.0)</f>
        <v>45251</v>
      </c>
      <c r="C9256" s="13">
        <f>IFERROR(__xludf.DUMMYFUNCTION("""COMPUTED_VALUE"""),0.625)</f>
        <v>0.625</v>
      </c>
      <c r="D9256" s="8">
        <f>IFERROR(__xludf.DUMMYFUNCTION("""COMPUTED_VALUE"""),0.06)</f>
        <v>0.06</v>
      </c>
      <c r="E9256" s="8" t="str">
        <f>IFERROR(__xludf.DUMMYFUNCTION("""COMPUTED_VALUE"""),"Real")</f>
        <v>Real</v>
      </c>
      <c r="G9256" s="8">
        <f t="shared" si="1"/>
        <v>11</v>
      </c>
      <c r="H9256" s="14">
        <f t="shared" si="2"/>
        <v>21</v>
      </c>
      <c r="I9256" s="15">
        <f t="shared" si="3"/>
        <v>15</v>
      </c>
    </row>
    <row r="9257">
      <c r="A9257" s="8" t="str">
        <f>IFERROR(__xludf.DUMMYFUNCTION("IF('(INGESTA)Datos_consumo_datadis'!A9257&lt;&gt;"""",SPLIT('(INGESTA)Datos_consumo_datadis'!A:A,"",""),"""")"),"ES0031408323131005HX0F")</f>
        <v>ES0031408323131005HX0F</v>
      </c>
      <c r="B9257" s="17">
        <f>IFERROR(__xludf.DUMMYFUNCTION("""COMPUTED_VALUE"""),45251.0)</f>
        <v>45251</v>
      </c>
      <c r="C9257" s="13">
        <f>IFERROR(__xludf.DUMMYFUNCTION("""COMPUTED_VALUE"""),0.6666666666666666)</f>
        <v>0.6666666667</v>
      </c>
      <c r="D9257" s="8">
        <f>IFERROR(__xludf.DUMMYFUNCTION("""COMPUTED_VALUE"""),0.235)</f>
        <v>0.235</v>
      </c>
      <c r="E9257" s="8" t="str">
        <f>IFERROR(__xludf.DUMMYFUNCTION("""COMPUTED_VALUE"""),"Real")</f>
        <v>Real</v>
      </c>
      <c r="G9257" s="8">
        <f t="shared" si="1"/>
        <v>11</v>
      </c>
      <c r="H9257" s="14">
        <f t="shared" si="2"/>
        <v>21</v>
      </c>
      <c r="I9257" s="15">
        <f t="shared" si="3"/>
        <v>16</v>
      </c>
    </row>
    <row r="9258">
      <c r="A9258" s="8" t="str">
        <f>IFERROR(__xludf.DUMMYFUNCTION("IF('(INGESTA)Datos_consumo_datadis'!A9258&lt;&gt;"""",SPLIT('(INGESTA)Datos_consumo_datadis'!A:A,"",""),"""")"),"ES0031408323131005HX0F")</f>
        <v>ES0031408323131005HX0F</v>
      </c>
      <c r="B9258" s="17">
        <f>IFERROR(__xludf.DUMMYFUNCTION("""COMPUTED_VALUE"""),45251.0)</f>
        <v>45251</v>
      </c>
      <c r="C9258" s="13">
        <f>IFERROR(__xludf.DUMMYFUNCTION("""COMPUTED_VALUE"""),0.7083333333333334)</f>
        <v>0.7083333333</v>
      </c>
      <c r="D9258" s="8">
        <f>IFERROR(__xludf.DUMMYFUNCTION("""COMPUTED_VALUE"""),0.12)</f>
        <v>0.12</v>
      </c>
      <c r="E9258" s="8" t="str">
        <f>IFERROR(__xludf.DUMMYFUNCTION("""COMPUTED_VALUE"""),"Real")</f>
        <v>Real</v>
      </c>
      <c r="G9258" s="8">
        <f t="shared" si="1"/>
        <v>11</v>
      </c>
      <c r="H9258" s="14">
        <f t="shared" si="2"/>
        <v>21</v>
      </c>
      <c r="I9258" s="15">
        <f t="shared" si="3"/>
        <v>17</v>
      </c>
    </row>
    <row r="9259">
      <c r="A9259" s="8" t="str">
        <f>IFERROR(__xludf.DUMMYFUNCTION("IF('(INGESTA)Datos_consumo_datadis'!A9259&lt;&gt;"""",SPLIT('(INGESTA)Datos_consumo_datadis'!A:A,"",""),"""")"),"ES0031408323131005HX0F")</f>
        <v>ES0031408323131005HX0F</v>
      </c>
      <c r="B9259" s="17">
        <f>IFERROR(__xludf.DUMMYFUNCTION("""COMPUTED_VALUE"""),45251.0)</f>
        <v>45251</v>
      </c>
      <c r="C9259" s="13">
        <f>IFERROR(__xludf.DUMMYFUNCTION("""COMPUTED_VALUE"""),0.75)</f>
        <v>0.75</v>
      </c>
      <c r="D9259" s="8">
        <f>IFERROR(__xludf.DUMMYFUNCTION("""COMPUTED_VALUE"""),0.083)</f>
        <v>0.083</v>
      </c>
      <c r="E9259" s="8" t="str">
        <f>IFERROR(__xludf.DUMMYFUNCTION("""COMPUTED_VALUE"""),"Real")</f>
        <v>Real</v>
      </c>
      <c r="G9259" s="8">
        <f t="shared" si="1"/>
        <v>11</v>
      </c>
      <c r="H9259" s="14">
        <f t="shared" si="2"/>
        <v>21</v>
      </c>
      <c r="I9259" s="15">
        <f t="shared" si="3"/>
        <v>18</v>
      </c>
    </row>
    <row r="9260">
      <c r="A9260" s="8" t="str">
        <f>IFERROR(__xludf.DUMMYFUNCTION("IF('(INGESTA)Datos_consumo_datadis'!A9260&lt;&gt;"""",SPLIT('(INGESTA)Datos_consumo_datadis'!A:A,"",""),"""")"),"ES0031408323131005HX0F")</f>
        <v>ES0031408323131005HX0F</v>
      </c>
      <c r="B9260" s="17">
        <f>IFERROR(__xludf.DUMMYFUNCTION("""COMPUTED_VALUE"""),45251.0)</f>
        <v>45251</v>
      </c>
      <c r="C9260" s="13">
        <f>IFERROR(__xludf.DUMMYFUNCTION("""COMPUTED_VALUE"""),0.7916666666666666)</f>
        <v>0.7916666667</v>
      </c>
      <c r="D9260" s="8">
        <f>IFERROR(__xludf.DUMMYFUNCTION("""COMPUTED_VALUE"""),0.117)</f>
        <v>0.117</v>
      </c>
      <c r="E9260" s="8" t="str">
        <f>IFERROR(__xludf.DUMMYFUNCTION("""COMPUTED_VALUE"""),"Real")</f>
        <v>Real</v>
      </c>
      <c r="G9260" s="8">
        <f t="shared" si="1"/>
        <v>11</v>
      </c>
      <c r="H9260" s="14">
        <f t="shared" si="2"/>
        <v>21</v>
      </c>
      <c r="I9260" s="15">
        <f t="shared" si="3"/>
        <v>19</v>
      </c>
    </row>
    <row r="9261">
      <c r="A9261" s="8" t="str">
        <f>IFERROR(__xludf.DUMMYFUNCTION("IF('(INGESTA)Datos_consumo_datadis'!A9261&lt;&gt;"""",SPLIT('(INGESTA)Datos_consumo_datadis'!A:A,"",""),"""")"),"ES0031408323131005HX0F")</f>
        <v>ES0031408323131005HX0F</v>
      </c>
      <c r="B9261" s="17">
        <f>IFERROR(__xludf.DUMMYFUNCTION("""COMPUTED_VALUE"""),45251.0)</f>
        <v>45251</v>
      </c>
      <c r="C9261" s="13">
        <f>IFERROR(__xludf.DUMMYFUNCTION("""COMPUTED_VALUE"""),0.8333333333333334)</f>
        <v>0.8333333333</v>
      </c>
      <c r="D9261" s="8">
        <f>IFERROR(__xludf.DUMMYFUNCTION("""COMPUTED_VALUE"""),0.432)</f>
        <v>0.432</v>
      </c>
      <c r="E9261" s="8" t="str">
        <f>IFERROR(__xludf.DUMMYFUNCTION("""COMPUTED_VALUE"""),"Real")</f>
        <v>Real</v>
      </c>
      <c r="G9261" s="8">
        <f t="shared" si="1"/>
        <v>11</v>
      </c>
      <c r="H9261" s="14">
        <f t="shared" si="2"/>
        <v>21</v>
      </c>
      <c r="I9261" s="15">
        <f t="shared" si="3"/>
        <v>20</v>
      </c>
    </row>
    <row r="9262">
      <c r="A9262" s="8" t="str">
        <f>IFERROR(__xludf.DUMMYFUNCTION("IF('(INGESTA)Datos_consumo_datadis'!A9262&lt;&gt;"""",SPLIT('(INGESTA)Datos_consumo_datadis'!A:A,"",""),"""")"),"ES0031408323131005HX0F")</f>
        <v>ES0031408323131005HX0F</v>
      </c>
      <c r="B9262" s="17">
        <f>IFERROR(__xludf.DUMMYFUNCTION("""COMPUTED_VALUE"""),45251.0)</f>
        <v>45251</v>
      </c>
      <c r="C9262" s="13">
        <f>IFERROR(__xludf.DUMMYFUNCTION("""COMPUTED_VALUE"""),0.875)</f>
        <v>0.875</v>
      </c>
      <c r="D9262" s="8">
        <f>IFERROR(__xludf.DUMMYFUNCTION("""COMPUTED_VALUE"""),0.553)</f>
        <v>0.553</v>
      </c>
      <c r="E9262" s="8" t="str">
        <f>IFERROR(__xludf.DUMMYFUNCTION("""COMPUTED_VALUE"""),"Real")</f>
        <v>Real</v>
      </c>
      <c r="G9262" s="8">
        <f t="shared" si="1"/>
        <v>11</v>
      </c>
      <c r="H9262" s="14">
        <f t="shared" si="2"/>
        <v>21</v>
      </c>
      <c r="I9262" s="15">
        <f t="shared" si="3"/>
        <v>21</v>
      </c>
    </row>
    <row r="9263">
      <c r="A9263" s="8" t="str">
        <f>IFERROR(__xludf.DUMMYFUNCTION("IF('(INGESTA)Datos_consumo_datadis'!A9263&lt;&gt;"""",SPLIT('(INGESTA)Datos_consumo_datadis'!A:A,"",""),"""")"),"ES0031408323131005HX0F")</f>
        <v>ES0031408323131005HX0F</v>
      </c>
      <c r="B9263" s="17">
        <f>IFERROR(__xludf.DUMMYFUNCTION("""COMPUTED_VALUE"""),45251.0)</f>
        <v>45251</v>
      </c>
      <c r="C9263" s="13">
        <f>IFERROR(__xludf.DUMMYFUNCTION("""COMPUTED_VALUE"""),0.9166666666666666)</f>
        <v>0.9166666667</v>
      </c>
      <c r="D9263" s="8">
        <f>IFERROR(__xludf.DUMMYFUNCTION("""COMPUTED_VALUE"""),0.596)</f>
        <v>0.596</v>
      </c>
      <c r="E9263" s="8" t="str">
        <f>IFERROR(__xludf.DUMMYFUNCTION("""COMPUTED_VALUE"""),"Real")</f>
        <v>Real</v>
      </c>
      <c r="G9263" s="8">
        <f t="shared" si="1"/>
        <v>11</v>
      </c>
      <c r="H9263" s="14">
        <f t="shared" si="2"/>
        <v>21</v>
      </c>
      <c r="I9263" s="15">
        <f t="shared" si="3"/>
        <v>22</v>
      </c>
    </row>
    <row r="9264">
      <c r="A9264" s="8" t="str">
        <f>IFERROR(__xludf.DUMMYFUNCTION("IF('(INGESTA)Datos_consumo_datadis'!A9264&lt;&gt;"""",SPLIT('(INGESTA)Datos_consumo_datadis'!A:A,"",""),"""")"),"ES0031408323131005HX0F")</f>
        <v>ES0031408323131005HX0F</v>
      </c>
      <c r="B9264" s="17">
        <f>IFERROR(__xludf.DUMMYFUNCTION("""COMPUTED_VALUE"""),45251.0)</f>
        <v>45251</v>
      </c>
      <c r="C9264" s="13">
        <f>IFERROR(__xludf.DUMMYFUNCTION("""COMPUTED_VALUE"""),0.9583333333333334)</f>
        <v>0.9583333333</v>
      </c>
      <c r="D9264" s="8">
        <f>IFERROR(__xludf.DUMMYFUNCTION("""COMPUTED_VALUE"""),1.037)</f>
        <v>1.037</v>
      </c>
      <c r="E9264" s="8" t="str">
        <f>IFERROR(__xludf.DUMMYFUNCTION("""COMPUTED_VALUE"""),"Real")</f>
        <v>Real</v>
      </c>
      <c r="G9264" s="8">
        <f t="shared" si="1"/>
        <v>11</v>
      </c>
      <c r="H9264" s="14">
        <f t="shared" si="2"/>
        <v>21</v>
      </c>
      <c r="I9264" s="15">
        <f t="shared" si="3"/>
        <v>23</v>
      </c>
    </row>
    <row r="9265">
      <c r="A9265" s="8" t="str">
        <f>IFERROR(__xludf.DUMMYFUNCTION("IF('(INGESTA)Datos_consumo_datadis'!A9265&lt;&gt;"""",SPLIT('(INGESTA)Datos_consumo_datadis'!A:A,"",""),"""")"),"ES0031408323131005HX0F")</f>
        <v>ES0031408323131005HX0F</v>
      </c>
      <c r="B9265" s="17">
        <f>IFERROR(__xludf.DUMMYFUNCTION("""COMPUTED_VALUE"""),45251.0)</f>
        <v>45251</v>
      </c>
      <c r="C9265" s="16">
        <f>IFERROR(__xludf.DUMMYFUNCTION("""COMPUTED_VALUE"""),1.0)</f>
        <v>1</v>
      </c>
      <c r="D9265" s="8">
        <f>IFERROR(__xludf.DUMMYFUNCTION("""COMPUTED_VALUE"""),0.52)</f>
        <v>0.52</v>
      </c>
      <c r="E9265" s="8" t="str">
        <f>IFERROR(__xludf.DUMMYFUNCTION("""COMPUTED_VALUE"""),"Real")</f>
        <v>Real</v>
      </c>
      <c r="G9265" s="8">
        <f t="shared" si="1"/>
        <v>11</v>
      </c>
      <c r="H9265" s="14">
        <f t="shared" si="2"/>
        <v>21</v>
      </c>
      <c r="I9265" s="15">
        <f t="shared" si="3"/>
        <v>0</v>
      </c>
    </row>
    <row r="9266">
      <c r="A9266" s="8" t="str">
        <f>IFERROR(__xludf.DUMMYFUNCTION("IF('(INGESTA)Datos_consumo_datadis'!A9266&lt;&gt;"""",SPLIT('(INGESTA)Datos_consumo_datadis'!A:A,"",""),"""")"),"ES0031408323131005HX0F")</f>
        <v>ES0031408323131005HX0F</v>
      </c>
      <c r="B9266" s="17">
        <f>IFERROR(__xludf.DUMMYFUNCTION("""COMPUTED_VALUE"""),45252.0)</f>
        <v>45252</v>
      </c>
      <c r="C9266" s="13">
        <f>IFERROR(__xludf.DUMMYFUNCTION("""COMPUTED_VALUE"""),0.041666666666666664)</f>
        <v>0.04166666667</v>
      </c>
      <c r="D9266" s="8">
        <f>IFERROR(__xludf.DUMMYFUNCTION("""COMPUTED_VALUE"""),0.426)</f>
        <v>0.426</v>
      </c>
      <c r="E9266" s="8" t="str">
        <f>IFERROR(__xludf.DUMMYFUNCTION("""COMPUTED_VALUE"""),"Real")</f>
        <v>Real</v>
      </c>
      <c r="G9266" s="8">
        <f t="shared" si="1"/>
        <v>11</v>
      </c>
      <c r="H9266" s="14">
        <f t="shared" si="2"/>
        <v>22</v>
      </c>
      <c r="I9266" s="15">
        <f t="shared" si="3"/>
        <v>1</v>
      </c>
    </row>
    <row r="9267">
      <c r="A9267" s="8" t="str">
        <f>IFERROR(__xludf.DUMMYFUNCTION("IF('(INGESTA)Datos_consumo_datadis'!A9267&lt;&gt;"""",SPLIT('(INGESTA)Datos_consumo_datadis'!A:A,"",""),"""")"),"ES0031408323131005HX0F")</f>
        <v>ES0031408323131005HX0F</v>
      </c>
      <c r="B9267" s="17">
        <f>IFERROR(__xludf.DUMMYFUNCTION("""COMPUTED_VALUE"""),45252.0)</f>
        <v>45252</v>
      </c>
      <c r="C9267" s="13">
        <f>IFERROR(__xludf.DUMMYFUNCTION("""COMPUTED_VALUE"""),0.08333333333333333)</f>
        <v>0.08333333333</v>
      </c>
      <c r="D9267" s="8">
        <f>IFERROR(__xludf.DUMMYFUNCTION("""COMPUTED_VALUE"""),0.123)</f>
        <v>0.123</v>
      </c>
      <c r="E9267" s="8" t="str">
        <f>IFERROR(__xludf.DUMMYFUNCTION("""COMPUTED_VALUE"""),"Real")</f>
        <v>Real</v>
      </c>
      <c r="G9267" s="8">
        <f t="shared" si="1"/>
        <v>11</v>
      </c>
      <c r="H9267" s="14">
        <f t="shared" si="2"/>
        <v>22</v>
      </c>
      <c r="I9267" s="15">
        <f t="shared" si="3"/>
        <v>2</v>
      </c>
    </row>
    <row r="9268">
      <c r="A9268" s="8" t="str">
        <f>IFERROR(__xludf.DUMMYFUNCTION("IF('(INGESTA)Datos_consumo_datadis'!A9268&lt;&gt;"""",SPLIT('(INGESTA)Datos_consumo_datadis'!A:A,"",""),"""")"),"ES0031408323131005HX0F")</f>
        <v>ES0031408323131005HX0F</v>
      </c>
      <c r="B9268" s="17">
        <f>IFERROR(__xludf.DUMMYFUNCTION("""COMPUTED_VALUE"""),45252.0)</f>
        <v>45252</v>
      </c>
      <c r="C9268" s="13">
        <f>IFERROR(__xludf.DUMMYFUNCTION("""COMPUTED_VALUE"""),0.125)</f>
        <v>0.125</v>
      </c>
      <c r="D9268" s="8">
        <f>IFERROR(__xludf.DUMMYFUNCTION("""COMPUTED_VALUE"""),0.114)</f>
        <v>0.114</v>
      </c>
      <c r="E9268" s="8" t="str">
        <f>IFERROR(__xludf.DUMMYFUNCTION("""COMPUTED_VALUE"""),"Real")</f>
        <v>Real</v>
      </c>
      <c r="G9268" s="8">
        <f t="shared" si="1"/>
        <v>11</v>
      </c>
      <c r="H9268" s="14">
        <f t="shared" si="2"/>
        <v>22</v>
      </c>
      <c r="I9268" s="15">
        <f t="shared" si="3"/>
        <v>3</v>
      </c>
    </row>
    <row r="9269">
      <c r="A9269" s="8" t="str">
        <f>IFERROR(__xludf.DUMMYFUNCTION("IF('(INGESTA)Datos_consumo_datadis'!A9269&lt;&gt;"""",SPLIT('(INGESTA)Datos_consumo_datadis'!A:A,"",""),"""")"),"ES0031408323131005HX0F")</f>
        <v>ES0031408323131005HX0F</v>
      </c>
      <c r="B9269" s="17">
        <f>IFERROR(__xludf.DUMMYFUNCTION("""COMPUTED_VALUE"""),45252.0)</f>
        <v>45252</v>
      </c>
      <c r="C9269" s="13">
        <f>IFERROR(__xludf.DUMMYFUNCTION("""COMPUTED_VALUE"""),0.16666666666666666)</f>
        <v>0.1666666667</v>
      </c>
      <c r="D9269" s="8">
        <f>IFERROR(__xludf.DUMMYFUNCTION("""COMPUTED_VALUE"""),0.199)</f>
        <v>0.199</v>
      </c>
      <c r="E9269" s="8" t="str">
        <f>IFERROR(__xludf.DUMMYFUNCTION("""COMPUTED_VALUE"""),"Real")</f>
        <v>Real</v>
      </c>
      <c r="G9269" s="8">
        <f t="shared" si="1"/>
        <v>11</v>
      </c>
      <c r="H9269" s="14">
        <f t="shared" si="2"/>
        <v>22</v>
      </c>
      <c r="I9269" s="15">
        <f t="shared" si="3"/>
        <v>4</v>
      </c>
    </row>
    <row r="9270">
      <c r="A9270" s="8" t="str">
        <f>IFERROR(__xludf.DUMMYFUNCTION("IF('(INGESTA)Datos_consumo_datadis'!A9270&lt;&gt;"""",SPLIT('(INGESTA)Datos_consumo_datadis'!A:A,"",""),"""")"),"ES0031408323131005HX0F")</f>
        <v>ES0031408323131005HX0F</v>
      </c>
      <c r="B9270" s="17">
        <f>IFERROR(__xludf.DUMMYFUNCTION("""COMPUTED_VALUE"""),45252.0)</f>
        <v>45252</v>
      </c>
      <c r="C9270" s="13">
        <f>IFERROR(__xludf.DUMMYFUNCTION("""COMPUTED_VALUE"""),0.20833333333333334)</f>
        <v>0.2083333333</v>
      </c>
      <c r="D9270" s="8">
        <f>IFERROR(__xludf.DUMMYFUNCTION("""COMPUTED_VALUE"""),0.197)</f>
        <v>0.197</v>
      </c>
      <c r="E9270" s="8" t="str">
        <f>IFERROR(__xludf.DUMMYFUNCTION("""COMPUTED_VALUE"""),"Real")</f>
        <v>Real</v>
      </c>
      <c r="G9270" s="8">
        <f t="shared" si="1"/>
        <v>11</v>
      </c>
      <c r="H9270" s="14">
        <f t="shared" si="2"/>
        <v>22</v>
      </c>
      <c r="I9270" s="15">
        <f t="shared" si="3"/>
        <v>5</v>
      </c>
    </row>
    <row r="9271">
      <c r="A9271" s="8" t="str">
        <f>IFERROR(__xludf.DUMMYFUNCTION("IF('(INGESTA)Datos_consumo_datadis'!A9271&lt;&gt;"""",SPLIT('(INGESTA)Datos_consumo_datadis'!A:A,"",""),"""")"),"ES0031408323131005HX0F")</f>
        <v>ES0031408323131005HX0F</v>
      </c>
      <c r="B9271" s="17">
        <f>IFERROR(__xludf.DUMMYFUNCTION("""COMPUTED_VALUE"""),45252.0)</f>
        <v>45252</v>
      </c>
      <c r="C9271" s="13">
        <f>IFERROR(__xludf.DUMMYFUNCTION("""COMPUTED_VALUE"""),0.25)</f>
        <v>0.25</v>
      </c>
      <c r="D9271" s="8">
        <f>IFERROR(__xludf.DUMMYFUNCTION("""COMPUTED_VALUE"""),0.018)</f>
        <v>0.018</v>
      </c>
      <c r="E9271" s="8" t="str">
        <f>IFERROR(__xludf.DUMMYFUNCTION("""COMPUTED_VALUE"""),"Real")</f>
        <v>Real</v>
      </c>
      <c r="G9271" s="8">
        <f t="shared" si="1"/>
        <v>11</v>
      </c>
      <c r="H9271" s="14">
        <f t="shared" si="2"/>
        <v>22</v>
      </c>
      <c r="I9271" s="15">
        <f t="shared" si="3"/>
        <v>6</v>
      </c>
    </row>
    <row r="9272">
      <c r="A9272" s="8" t="str">
        <f>IFERROR(__xludf.DUMMYFUNCTION("IF('(INGESTA)Datos_consumo_datadis'!A9272&lt;&gt;"""",SPLIT('(INGESTA)Datos_consumo_datadis'!A:A,"",""),"""")"),"ES0031408323131005HX0F")</f>
        <v>ES0031408323131005HX0F</v>
      </c>
      <c r="B9272" s="17">
        <f>IFERROR(__xludf.DUMMYFUNCTION("""COMPUTED_VALUE"""),45252.0)</f>
        <v>45252</v>
      </c>
      <c r="C9272" s="13">
        <f>IFERROR(__xludf.DUMMYFUNCTION("""COMPUTED_VALUE"""),0.2916666666666667)</f>
        <v>0.2916666667</v>
      </c>
      <c r="D9272" s="8">
        <f>IFERROR(__xludf.DUMMYFUNCTION("""COMPUTED_VALUE"""),0.086)</f>
        <v>0.086</v>
      </c>
      <c r="E9272" s="8" t="str">
        <f>IFERROR(__xludf.DUMMYFUNCTION("""COMPUTED_VALUE"""),"Real")</f>
        <v>Real</v>
      </c>
      <c r="G9272" s="8">
        <f t="shared" si="1"/>
        <v>11</v>
      </c>
      <c r="H9272" s="14">
        <f t="shared" si="2"/>
        <v>22</v>
      </c>
      <c r="I9272" s="15">
        <f t="shared" si="3"/>
        <v>7</v>
      </c>
    </row>
    <row r="9273">
      <c r="A9273" s="8" t="str">
        <f>IFERROR(__xludf.DUMMYFUNCTION("IF('(INGESTA)Datos_consumo_datadis'!A9273&lt;&gt;"""",SPLIT('(INGESTA)Datos_consumo_datadis'!A:A,"",""),"""")"),"ES0031408323131005HX0F")</f>
        <v>ES0031408323131005HX0F</v>
      </c>
      <c r="B9273" s="17">
        <f>IFERROR(__xludf.DUMMYFUNCTION("""COMPUTED_VALUE"""),45252.0)</f>
        <v>45252</v>
      </c>
      <c r="C9273" s="13">
        <f>IFERROR(__xludf.DUMMYFUNCTION("""COMPUTED_VALUE"""),0.3333333333333333)</f>
        <v>0.3333333333</v>
      </c>
      <c r="D9273" s="8">
        <f>IFERROR(__xludf.DUMMYFUNCTION("""COMPUTED_VALUE"""),0.063)</f>
        <v>0.063</v>
      </c>
      <c r="E9273" s="8" t="str">
        <f>IFERROR(__xludf.DUMMYFUNCTION("""COMPUTED_VALUE"""),"Real")</f>
        <v>Real</v>
      </c>
      <c r="G9273" s="8">
        <f t="shared" si="1"/>
        <v>11</v>
      </c>
      <c r="H9273" s="14">
        <f t="shared" si="2"/>
        <v>22</v>
      </c>
      <c r="I9273" s="15">
        <f t="shared" si="3"/>
        <v>8</v>
      </c>
    </row>
    <row r="9274">
      <c r="A9274" s="8" t="str">
        <f>IFERROR(__xludf.DUMMYFUNCTION("IF('(INGESTA)Datos_consumo_datadis'!A9274&lt;&gt;"""",SPLIT('(INGESTA)Datos_consumo_datadis'!A:A,"",""),"""")"),"ES0031408323131005HX0F")</f>
        <v>ES0031408323131005HX0F</v>
      </c>
      <c r="B9274" s="17">
        <f>IFERROR(__xludf.DUMMYFUNCTION("""COMPUTED_VALUE"""),45252.0)</f>
        <v>45252</v>
      </c>
      <c r="C9274" s="13">
        <f>IFERROR(__xludf.DUMMYFUNCTION("""COMPUTED_VALUE"""),0.375)</f>
        <v>0.375</v>
      </c>
      <c r="D9274" s="8">
        <f>IFERROR(__xludf.DUMMYFUNCTION("""COMPUTED_VALUE"""),0.06)</f>
        <v>0.06</v>
      </c>
      <c r="E9274" s="8" t="str">
        <f>IFERROR(__xludf.DUMMYFUNCTION("""COMPUTED_VALUE"""),"Real")</f>
        <v>Real</v>
      </c>
      <c r="G9274" s="8">
        <f t="shared" si="1"/>
        <v>11</v>
      </c>
      <c r="H9274" s="14">
        <f t="shared" si="2"/>
        <v>22</v>
      </c>
      <c r="I9274" s="15">
        <f t="shared" si="3"/>
        <v>9</v>
      </c>
    </row>
    <row r="9275">
      <c r="A9275" s="8" t="str">
        <f>IFERROR(__xludf.DUMMYFUNCTION("IF('(INGESTA)Datos_consumo_datadis'!A9275&lt;&gt;"""",SPLIT('(INGESTA)Datos_consumo_datadis'!A:A,"",""),"""")"),"ES0031408323131005HX0F")</f>
        <v>ES0031408323131005HX0F</v>
      </c>
      <c r="B9275" s="17">
        <f>IFERROR(__xludf.DUMMYFUNCTION("""COMPUTED_VALUE"""),45252.0)</f>
        <v>45252</v>
      </c>
      <c r="C9275" s="13">
        <f>IFERROR(__xludf.DUMMYFUNCTION("""COMPUTED_VALUE"""),0.4166666666666667)</f>
        <v>0.4166666667</v>
      </c>
      <c r="D9275" s="8">
        <f>IFERROR(__xludf.DUMMYFUNCTION("""COMPUTED_VALUE"""),0.015)</f>
        <v>0.015</v>
      </c>
      <c r="E9275" s="8" t="str">
        <f>IFERROR(__xludf.DUMMYFUNCTION("""COMPUTED_VALUE"""),"Real")</f>
        <v>Real</v>
      </c>
      <c r="G9275" s="8">
        <f t="shared" si="1"/>
        <v>11</v>
      </c>
      <c r="H9275" s="14">
        <f t="shared" si="2"/>
        <v>22</v>
      </c>
      <c r="I9275" s="15">
        <f t="shared" si="3"/>
        <v>10</v>
      </c>
    </row>
    <row r="9276">
      <c r="A9276" s="8" t="str">
        <f>IFERROR(__xludf.DUMMYFUNCTION("IF('(INGESTA)Datos_consumo_datadis'!A9276&lt;&gt;"""",SPLIT('(INGESTA)Datos_consumo_datadis'!A:A,"",""),"""")"),"ES0031408323131005HX0F")</f>
        <v>ES0031408323131005HX0F</v>
      </c>
      <c r="B9276" s="17">
        <f>IFERROR(__xludf.DUMMYFUNCTION("""COMPUTED_VALUE"""),45252.0)</f>
        <v>45252</v>
      </c>
      <c r="C9276" s="13">
        <f>IFERROR(__xludf.DUMMYFUNCTION("""COMPUTED_VALUE"""),0.4583333333333333)</f>
        <v>0.4583333333</v>
      </c>
      <c r="D9276" s="8">
        <f>IFERROR(__xludf.DUMMYFUNCTION("""COMPUTED_VALUE"""),0.368)</f>
        <v>0.368</v>
      </c>
      <c r="E9276" s="8" t="str">
        <f>IFERROR(__xludf.DUMMYFUNCTION("""COMPUTED_VALUE"""),"Real")</f>
        <v>Real</v>
      </c>
      <c r="G9276" s="8">
        <f t="shared" si="1"/>
        <v>11</v>
      </c>
      <c r="H9276" s="14">
        <f t="shared" si="2"/>
        <v>22</v>
      </c>
      <c r="I9276" s="15">
        <f t="shared" si="3"/>
        <v>11</v>
      </c>
    </row>
    <row r="9277">
      <c r="A9277" s="8" t="str">
        <f>IFERROR(__xludf.DUMMYFUNCTION("IF('(INGESTA)Datos_consumo_datadis'!A9277&lt;&gt;"""",SPLIT('(INGESTA)Datos_consumo_datadis'!A:A,"",""),"""")"),"ES0031408323131005HX0F")</f>
        <v>ES0031408323131005HX0F</v>
      </c>
      <c r="B9277" s="17">
        <f>IFERROR(__xludf.DUMMYFUNCTION("""COMPUTED_VALUE"""),45252.0)</f>
        <v>45252</v>
      </c>
      <c r="C9277" s="13">
        <f>IFERROR(__xludf.DUMMYFUNCTION("""COMPUTED_VALUE"""),0.5)</f>
        <v>0.5</v>
      </c>
      <c r="D9277" s="8">
        <f>IFERROR(__xludf.DUMMYFUNCTION("""COMPUTED_VALUE"""),0.057)</f>
        <v>0.057</v>
      </c>
      <c r="E9277" s="8" t="str">
        <f>IFERROR(__xludf.DUMMYFUNCTION("""COMPUTED_VALUE"""),"Real")</f>
        <v>Real</v>
      </c>
      <c r="G9277" s="8">
        <f t="shared" si="1"/>
        <v>11</v>
      </c>
      <c r="H9277" s="14">
        <f t="shared" si="2"/>
        <v>22</v>
      </c>
      <c r="I9277" s="15">
        <f t="shared" si="3"/>
        <v>12</v>
      </c>
    </row>
    <row r="9278">
      <c r="A9278" s="8" t="str">
        <f>IFERROR(__xludf.DUMMYFUNCTION("IF('(INGESTA)Datos_consumo_datadis'!A9278&lt;&gt;"""",SPLIT('(INGESTA)Datos_consumo_datadis'!A:A,"",""),"""")"),"ES0031408323131005HX0F")</f>
        <v>ES0031408323131005HX0F</v>
      </c>
      <c r="B9278" s="17">
        <f>IFERROR(__xludf.DUMMYFUNCTION("""COMPUTED_VALUE"""),45252.0)</f>
        <v>45252</v>
      </c>
      <c r="C9278" s="13">
        <f>IFERROR(__xludf.DUMMYFUNCTION("""COMPUTED_VALUE"""),0.5416666666666666)</f>
        <v>0.5416666667</v>
      </c>
      <c r="D9278" s="8">
        <f>IFERROR(__xludf.DUMMYFUNCTION("""COMPUTED_VALUE"""),0.017)</f>
        <v>0.017</v>
      </c>
      <c r="E9278" s="8" t="str">
        <f>IFERROR(__xludf.DUMMYFUNCTION("""COMPUTED_VALUE"""),"Real")</f>
        <v>Real</v>
      </c>
      <c r="G9278" s="8">
        <f t="shared" si="1"/>
        <v>11</v>
      </c>
      <c r="H9278" s="14">
        <f t="shared" si="2"/>
        <v>22</v>
      </c>
      <c r="I9278" s="15">
        <f t="shared" si="3"/>
        <v>13</v>
      </c>
    </row>
    <row r="9279">
      <c r="A9279" s="8" t="str">
        <f>IFERROR(__xludf.DUMMYFUNCTION("IF('(INGESTA)Datos_consumo_datadis'!A9279&lt;&gt;"""",SPLIT('(INGESTA)Datos_consumo_datadis'!A:A,"",""),"""")"),"ES0031408323131005HX0F")</f>
        <v>ES0031408323131005HX0F</v>
      </c>
      <c r="B9279" s="17">
        <f>IFERROR(__xludf.DUMMYFUNCTION("""COMPUTED_VALUE"""),45252.0)</f>
        <v>45252</v>
      </c>
      <c r="C9279" s="13">
        <f>IFERROR(__xludf.DUMMYFUNCTION("""COMPUTED_VALUE"""),0.5833333333333334)</f>
        <v>0.5833333333</v>
      </c>
      <c r="D9279" s="8">
        <f>IFERROR(__xludf.DUMMYFUNCTION("""COMPUTED_VALUE"""),0.053)</f>
        <v>0.053</v>
      </c>
      <c r="E9279" s="8" t="str">
        <f>IFERROR(__xludf.DUMMYFUNCTION("""COMPUTED_VALUE"""),"Real")</f>
        <v>Real</v>
      </c>
      <c r="G9279" s="8">
        <f t="shared" si="1"/>
        <v>11</v>
      </c>
      <c r="H9279" s="14">
        <f t="shared" si="2"/>
        <v>22</v>
      </c>
      <c r="I9279" s="15">
        <f t="shared" si="3"/>
        <v>14</v>
      </c>
    </row>
    <row r="9280">
      <c r="A9280" s="8" t="str">
        <f>IFERROR(__xludf.DUMMYFUNCTION("IF('(INGESTA)Datos_consumo_datadis'!A9280&lt;&gt;"""",SPLIT('(INGESTA)Datos_consumo_datadis'!A:A,"",""),"""")"),"ES0031408323131005HX0F")</f>
        <v>ES0031408323131005HX0F</v>
      </c>
      <c r="B9280" s="17">
        <f>IFERROR(__xludf.DUMMYFUNCTION("""COMPUTED_VALUE"""),45252.0)</f>
        <v>45252</v>
      </c>
      <c r="C9280" s="13">
        <f>IFERROR(__xludf.DUMMYFUNCTION("""COMPUTED_VALUE"""),0.625)</f>
        <v>0.625</v>
      </c>
      <c r="D9280" s="8">
        <f>IFERROR(__xludf.DUMMYFUNCTION("""COMPUTED_VALUE"""),0.076)</f>
        <v>0.076</v>
      </c>
      <c r="E9280" s="8" t="str">
        <f>IFERROR(__xludf.DUMMYFUNCTION("""COMPUTED_VALUE"""),"Real")</f>
        <v>Real</v>
      </c>
      <c r="G9280" s="8">
        <f t="shared" si="1"/>
        <v>11</v>
      </c>
      <c r="H9280" s="14">
        <f t="shared" si="2"/>
        <v>22</v>
      </c>
      <c r="I9280" s="15">
        <f t="shared" si="3"/>
        <v>15</v>
      </c>
    </row>
    <row r="9281">
      <c r="A9281" s="8" t="str">
        <f>IFERROR(__xludf.DUMMYFUNCTION("IF('(INGESTA)Datos_consumo_datadis'!A9281&lt;&gt;"""",SPLIT('(INGESTA)Datos_consumo_datadis'!A:A,"",""),"""")"),"ES0031408323131005HX0F")</f>
        <v>ES0031408323131005HX0F</v>
      </c>
      <c r="B9281" s="17">
        <f>IFERROR(__xludf.DUMMYFUNCTION("""COMPUTED_VALUE"""),45252.0)</f>
        <v>45252</v>
      </c>
      <c r="C9281" s="13">
        <f>IFERROR(__xludf.DUMMYFUNCTION("""COMPUTED_VALUE"""),0.6666666666666666)</f>
        <v>0.6666666667</v>
      </c>
      <c r="D9281" s="8">
        <f>IFERROR(__xludf.DUMMYFUNCTION("""COMPUTED_VALUE"""),0.044)</f>
        <v>0.044</v>
      </c>
      <c r="E9281" s="8" t="str">
        <f>IFERROR(__xludf.DUMMYFUNCTION("""COMPUTED_VALUE"""),"Real")</f>
        <v>Real</v>
      </c>
      <c r="G9281" s="8">
        <f t="shared" si="1"/>
        <v>11</v>
      </c>
      <c r="H9281" s="14">
        <f t="shared" si="2"/>
        <v>22</v>
      </c>
      <c r="I9281" s="15">
        <f t="shared" si="3"/>
        <v>16</v>
      </c>
    </row>
    <row r="9282">
      <c r="A9282" s="8" t="str">
        <f>IFERROR(__xludf.DUMMYFUNCTION("IF('(INGESTA)Datos_consumo_datadis'!A9282&lt;&gt;"""",SPLIT('(INGESTA)Datos_consumo_datadis'!A:A,"",""),"""")"),"ES0031408323131005HX0F")</f>
        <v>ES0031408323131005HX0F</v>
      </c>
      <c r="B9282" s="17">
        <f>IFERROR(__xludf.DUMMYFUNCTION("""COMPUTED_VALUE"""),45252.0)</f>
        <v>45252</v>
      </c>
      <c r="C9282" s="13">
        <f>IFERROR(__xludf.DUMMYFUNCTION("""COMPUTED_VALUE"""),0.7083333333333334)</f>
        <v>0.7083333333</v>
      </c>
      <c r="D9282" s="8">
        <f>IFERROR(__xludf.DUMMYFUNCTION("""COMPUTED_VALUE"""),0.33)</f>
        <v>0.33</v>
      </c>
      <c r="E9282" s="8" t="str">
        <f>IFERROR(__xludf.DUMMYFUNCTION("""COMPUTED_VALUE"""),"Real")</f>
        <v>Real</v>
      </c>
      <c r="G9282" s="8">
        <f t="shared" si="1"/>
        <v>11</v>
      </c>
      <c r="H9282" s="14">
        <f t="shared" si="2"/>
        <v>22</v>
      </c>
      <c r="I9282" s="15">
        <f t="shared" si="3"/>
        <v>17</v>
      </c>
    </row>
    <row r="9283">
      <c r="A9283" s="8" t="str">
        <f>IFERROR(__xludf.DUMMYFUNCTION("IF('(INGESTA)Datos_consumo_datadis'!A9283&lt;&gt;"""",SPLIT('(INGESTA)Datos_consumo_datadis'!A:A,"",""),"""")"),"ES0031408323131005HX0F")</f>
        <v>ES0031408323131005HX0F</v>
      </c>
      <c r="B9283" s="17">
        <f>IFERROR(__xludf.DUMMYFUNCTION("""COMPUTED_VALUE"""),45252.0)</f>
        <v>45252</v>
      </c>
      <c r="C9283" s="13">
        <f>IFERROR(__xludf.DUMMYFUNCTION("""COMPUTED_VALUE"""),0.75)</f>
        <v>0.75</v>
      </c>
      <c r="D9283" s="8">
        <f>IFERROR(__xludf.DUMMYFUNCTION("""COMPUTED_VALUE"""),0.083)</f>
        <v>0.083</v>
      </c>
      <c r="E9283" s="8" t="str">
        <f>IFERROR(__xludf.DUMMYFUNCTION("""COMPUTED_VALUE"""),"Real")</f>
        <v>Real</v>
      </c>
      <c r="G9283" s="8">
        <f t="shared" si="1"/>
        <v>11</v>
      </c>
      <c r="H9283" s="14">
        <f t="shared" si="2"/>
        <v>22</v>
      </c>
      <c r="I9283" s="15">
        <f t="shared" si="3"/>
        <v>18</v>
      </c>
    </row>
    <row r="9284">
      <c r="A9284" s="8" t="str">
        <f>IFERROR(__xludf.DUMMYFUNCTION("IF('(INGESTA)Datos_consumo_datadis'!A9284&lt;&gt;"""",SPLIT('(INGESTA)Datos_consumo_datadis'!A:A,"",""),"""")"),"ES0031408323131005HX0F")</f>
        <v>ES0031408323131005HX0F</v>
      </c>
      <c r="B9284" s="17">
        <f>IFERROR(__xludf.DUMMYFUNCTION("""COMPUTED_VALUE"""),45252.0)</f>
        <v>45252</v>
      </c>
      <c r="C9284" s="13">
        <f>IFERROR(__xludf.DUMMYFUNCTION("""COMPUTED_VALUE"""),0.7916666666666666)</f>
        <v>0.7916666667</v>
      </c>
      <c r="D9284" s="8">
        <f>IFERROR(__xludf.DUMMYFUNCTION("""COMPUTED_VALUE"""),0.235)</f>
        <v>0.235</v>
      </c>
      <c r="E9284" s="8" t="str">
        <f>IFERROR(__xludf.DUMMYFUNCTION("""COMPUTED_VALUE"""),"Real")</f>
        <v>Real</v>
      </c>
      <c r="G9284" s="8">
        <f t="shared" si="1"/>
        <v>11</v>
      </c>
      <c r="H9284" s="14">
        <f t="shared" si="2"/>
        <v>22</v>
      </c>
      <c r="I9284" s="15">
        <f t="shared" si="3"/>
        <v>19</v>
      </c>
    </row>
    <row r="9285">
      <c r="A9285" s="8" t="str">
        <f>IFERROR(__xludf.DUMMYFUNCTION("IF('(INGESTA)Datos_consumo_datadis'!A9285&lt;&gt;"""",SPLIT('(INGESTA)Datos_consumo_datadis'!A:A,"",""),"""")"),"ES0031408323131005HX0F")</f>
        <v>ES0031408323131005HX0F</v>
      </c>
      <c r="B9285" s="17">
        <f>IFERROR(__xludf.DUMMYFUNCTION("""COMPUTED_VALUE"""),45252.0)</f>
        <v>45252</v>
      </c>
      <c r="C9285" s="13">
        <f>IFERROR(__xludf.DUMMYFUNCTION("""COMPUTED_VALUE"""),0.8333333333333334)</f>
        <v>0.8333333333</v>
      </c>
      <c r="D9285" s="8">
        <f>IFERROR(__xludf.DUMMYFUNCTION("""COMPUTED_VALUE"""),0.278)</f>
        <v>0.278</v>
      </c>
      <c r="E9285" s="8" t="str">
        <f>IFERROR(__xludf.DUMMYFUNCTION("""COMPUTED_VALUE"""),"Real")</f>
        <v>Real</v>
      </c>
      <c r="G9285" s="8">
        <f t="shared" si="1"/>
        <v>11</v>
      </c>
      <c r="H9285" s="14">
        <f t="shared" si="2"/>
        <v>22</v>
      </c>
      <c r="I9285" s="15">
        <f t="shared" si="3"/>
        <v>20</v>
      </c>
    </row>
    <row r="9286">
      <c r="A9286" s="8" t="str">
        <f>IFERROR(__xludf.DUMMYFUNCTION("IF('(INGESTA)Datos_consumo_datadis'!A9286&lt;&gt;"""",SPLIT('(INGESTA)Datos_consumo_datadis'!A:A,"",""),"""")"),"ES0031408323131005HX0F")</f>
        <v>ES0031408323131005HX0F</v>
      </c>
      <c r="B9286" s="17">
        <f>IFERROR(__xludf.DUMMYFUNCTION("""COMPUTED_VALUE"""),45252.0)</f>
        <v>45252</v>
      </c>
      <c r="C9286" s="13">
        <f>IFERROR(__xludf.DUMMYFUNCTION("""COMPUTED_VALUE"""),0.875)</f>
        <v>0.875</v>
      </c>
      <c r="D9286" s="8">
        <f>IFERROR(__xludf.DUMMYFUNCTION("""COMPUTED_VALUE"""),1.224)</f>
        <v>1.224</v>
      </c>
      <c r="E9286" s="8" t="str">
        <f>IFERROR(__xludf.DUMMYFUNCTION("""COMPUTED_VALUE"""),"Real")</f>
        <v>Real</v>
      </c>
      <c r="G9286" s="8">
        <f t="shared" si="1"/>
        <v>11</v>
      </c>
      <c r="H9286" s="14">
        <f t="shared" si="2"/>
        <v>22</v>
      </c>
      <c r="I9286" s="15">
        <f t="shared" si="3"/>
        <v>21</v>
      </c>
    </row>
    <row r="9287">
      <c r="A9287" s="8" t="str">
        <f>IFERROR(__xludf.DUMMYFUNCTION("IF('(INGESTA)Datos_consumo_datadis'!A9287&lt;&gt;"""",SPLIT('(INGESTA)Datos_consumo_datadis'!A:A,"",""),"""")"),"ES0031408323131005HX0F")</f>
        <v>ES0031408323131005HX0F</v>
      </c>
      <c r="B9287" s="17">
        <f>IFERROR(__xludf.DUMMYFUNCTION("""COMPUTED_VALUE"""),45252.0)</f>
        <v>45252</v>
      </c>
      <c r="C9287" s="13">
        <f>IFERROR(__xludf.DUMMYFUNCTION("""COMPUTED_VALUE"""),0.9166666666666666)</f>
        <v>0.9166666667</v>
      </c>
      <c r="D9287" s="8">
        <f>IFERROR(__xludf.DUMMYFUNCTION("""COMPUTED_VALUE"""),0.539)</f>
        <v>0.539</v>
      </c>
      <c r="E9287" s="8" t="str">
        <f>IFERROR(__xludf.DUMMYFUNCTION("""COMPUTED_VALUE"""),"Real")</f>
        <v>Real</v>
      </c>
      <c r="G9287" s="8">
        <f t="shared" si="1"/>
        <v>11</v>
      </c>
      <c r="H9287" s="14">
        <f t="shared" si="2"/>
        <v>22</v>
      </c>
      <c r="I9287" s="15">
        <f t="shared" si="3"/>
        <v>22</v>
      </c>
    </row>
    <row r="9288">
      <c r="A9288" s="8" t="str">
        <f>IFERROR(__xludf.DUMMYFUNCTION("IF('(INGESTA)Datos_consumo_datadis'!A9288&lt;&gt;"""",SPLIT('(INGESTA)Datos_consumo_datadis'!A:A,"",""),"""")"),"ES0031408323131005HX0F")</f>
        <v>ES0031408323131005HX0F</v>
      </c>
      <c r="B9288" s="17">
        <f>IFERROR(__xludf.DUMMYFUNCTION("""COMPUTED_VALUE"""),45252.0)</f>
        <v>45252</v>
      </c>
      <c r="C9288" s="13">
        <f>IFERROR(__xludf.DUMMYFUNCTION("""COMPUTED_VALUE"""),0.9583333333333334)</f>
        <v>0.9583333333</v>
      </c>
      <c r="D9288" s="8">
        <f>IFERROR(__xludf.DUMMYFUNCTION("""COMPUTED_VALUE"""),0.095)</f>
        <v>0.095</v>
      </c>
      <c r="E9288" s="8" t="str">
        <f>IFERROR(__xludf.DUMMYFUNCTION("""COMPUTED_VALUE"""),"Real")</f>
        <v>Real</v>
      </c>
      <c r="G9288" s="8">
        <f t="shared" si="1"/>
        <v>11</v>
      </c>
      <c r="H9288" s="14">
        <f t="shared" si="2"/>
        <v>22</v>
      </c>
      <c r="I9288" s="15">
        <f t="shared" si="3"/>
        <v>23</v>
      </c>
    </row>
    <row r="9289">
      <c r="A9289" s="8" t="str">
        <f>IFERROR(__xludf.DUMMYFUNCTION("IF('(INGESTA)Datos_consumo_datadis'!A9289&lt;&gt;"""",SPLIT('(INGESTA)Datos_consumo_datadis'!A:A,"",""),"""")"),"ES0031408323131005HX0F")</f>
        <v>ES0031408323131005HX0F</v>
      </c>
      <c r="B9289" s="17">
        <f>IFERROR(__xludf.DUMMYFUNCTION("""COMPUTED_VALUE"""),45252.0)</f>
        <v>45252</v>
      </c>
      <c r="C9289" s="16">
        <f>IFERROR(__xludf.DUMMYFUNCTION("""COMPUTED_VALUE"""),1.0)</f>
        <v>1</v>
      </c>
      <c r="D9289" s="8">
        <f>IFERROR(__xludf.DUMMYFUNCTION("""COMPUTED_VALUE"""),0.069)</f>
        <v>0.069</v>
      </c>
      <c r="E9289" s="8" t="str">
        <f>IFERROR(__xludf.DUMMYFUNCTION("""COMPUTED_VALUE"""),"Real")</f>
        <v>Real</v>
      </c>
      <c r="G9289" s="8">
        <f t="shared" si="1"/>
        <v>11</v>
      </c>
      <c r="H9289" s="14">
        <f t="shared" si="2"/>
        <v>22</v>
      </c>
      <c r="I9289" s="15">
        <f t="shared" si="3"/>
        <v>0</v>
      </c>
    </row>
    <row r="9290">
      <c r="A9290" s="8" t="str">
        <f>IFERROR(__xludf.DUMMYFUNCTION("IF('(INGESTA)Datos_consumo_datadis'!A9290&lt;&gt;"""",SPLIT('(INGESTA)Datos_consumo_datadis'!A:A,"",""),"""")"),"ES0031408323131005HX0F")</f>
        <v>ES0031408323131005HX0F</v>
      </c>
      <c r="B9290" s="17">
        <f>IFERROR(__xludf.DUMMYFUNCTION("""COMPUTED_VALUE"""),45253.0)</f>
        <v>45253</v>
      </c>
      <c r="C9290" s="13">
        <f>IFERROR(__xludf.DUMMYFUNCTION("""COMPUTED_VALUE"""),0.041666666666666664)</f>
        <v>0.04166666667</v>
      </c>
      <c r="D9290" s="8">
        <f>IFERROR(__xludf.DUMMYFUNCTION("""COMPUTED_VALUE"""),0.024)</f>
        <v>0.024</v>
      </c>
      <c r="E9290" s="8" t="str">
        <f>IFERROR(__xludf.DUMMYFUNCTION("""COMPUTED_VALUE"""),"Real")</f>
        <v>Real</v>
      </c>
      <c r="G9290" s="8">
        <f t="shared" si="1"/>
        <v>11</v>
      </c>
      <c r="H9290" s="14">
        <f t="shared" si="2"/>
        <v>23</v>
      </c>
      <c r="I9290" s="15">
        <f t="shared" si="3"/>
        <v>1</v>
      </c>
    </row>
    <row r="9291">
      <c r="A9291" s="8" t="str">
        <f>IFERROR(__xludf.DUMMYFUNCTION("IF('(INGESTA)Datos_consumo_datadis'!A9291&lt;&gt;"""",SPLIT('(INGESTA)Datos_consumo_datadis'!A:A,"",""),"""")"),"ES0031408323131005HX0F")</f>
        <v>ES0031408323131005HX0F</v>
      </c>
      <c r="B9291" s="17">
        <f>IFERROR(__xludf.DUMMYFUNCTION("""COMPUTED_VALUE"""),45253.0)</f>
        <v>45253</v>
      </c>
      <c r="C9291" s="13">
        <f>IFERROR(__xludf.DUMMYFUNCTION("""COMPUTED_VALUE"""),0.08333333333333333)</f>
        <v>0.08333333333</v>
      </c>
      <c r="D9291" s="8">
        <f>IFERROR(__xludf.DUMMYFUNCTION("""COMPUTED_VALUE"""),0.082)</f>
        <v>0.082</v>
      </c>
      <c r="E9291" s="8" t="str">
        <f>IFERROR(__xludf.DUMMYFUNCTION("""COMPUTED_VALUE"""),"Real")</f>
        <v>Real</v>
      </c>
      <c r="G9291" s="8">
        <f t="shared" si="1"/>
        <v>11</v>
      </c>
      <c r="H9291" s="14">
        <f t="shared" si="2"/>
        <v>23</v>
      </c>
      <c r="I9291" s="15">
        <f t="shared" si="3"/>
        <v>2</v>
      </c>
    </row>
    <row r="9292">
      <c r="A9292" s="8" t="str">
        <f>IFERROR(__xludf.DUMMYFUNCTION("IF('(INGESTA)Datos_consumo_datadis'!A9292&lt;&gt;"""",SPLIT('(INGESTA)Datos_consumo_datadis'!A:A,"",""),"""")"),"ES0031408323131005HX0F")</f>
        <v>ES0031408323131005HX0F</v>
      </c>
      <c r="B9292" s="17">
        <f>IFERROR(__xludf.DUMMYFUNCTION("""COMPUTED_VALUE"""),45253.0)</f>
        <v>45253</v>
      </c>
      <c r="C9292" s="13">
        <f>IFERROR(__xludf.DUMMYFUNCTION("""COMPUTED_VALUE"""),0.125)</f>
        <v>0.125</v>
      </c>
      <c r="D9292" s="8">
        <f>IFERROR(__xludf.DUMMYFUNCTION("""COMPUTED_VALUE"""),0.355)</f>
        <v>0.355</v>
      </c>
      <c r="E9292" s="8" t="str">
        <f>IFERROR(__xludf.DUMMYFUNCTION("""COMPUTED_VALUE"""),"Real")</f>
        <v>Real</v>
      </c>
      <c r="G9292" s="8">
        <f t="shared" si="1"/>
        <v>11</v>
      </c>
      <c r="H9292" s="14">
        <f t="shared" si="2"/>
        <v>23</v>
      </c>
      <c r="I9292" s="15">
        <f t="shared" si="3"/>
        <v>3</v>
      </c>
    </row>
    <row r="9293">
      <c r="A9293" s="8" t="str">
        <f>IFERROR(__xludf.DUMMYFUNCTION("IF('(INGESTA)Datos_consumo_datadis'!A9293&lt;&gt;"""",SPLIT('(INGESTA)Datos_consumo_datadis'!A:A,"",""),"""")"),"ES0031408323131005HX0F")</f>
        <v>ES0031408323131005HX0F</v>
      </c>
      <c r="B9293" s="17">
        <f>IFERROR(__xludf.DUMMYFUNCTION("""COMPUTED_VALUE"""),45253.0)</f>
        <v>45253</v>
      </c>
      <c r="C9293" s="13">
        <f>IFERROR(__xludf.DUMMYFUNCTION("""COMPUTED_VALUE"""),0.16666666666666666)</f>
        <v>0.1666666667</v>
      </c>
      <c r="D9293" s="8">
        <f>IFERROR(__xludf.DUMMYFUNCTION("""COMPUTED_VALUE"""),0.056)</f>
        <v>0.056</v>
      </c>
      <c r="E9293" s="8" t="str">
        <f>IFERROR(__xludf.DUMMYFUNCTION("""COMPUTED_VALUE"""),"Real")</f>
        <v>Real</v>
      </c>
      <c r="G9293" s="8">
        <f t="shared" si="1"/>
        <v>11</v>
      </c>
      <c r="H9293" s="14">
        <f t="shared" si="2"/>
        <v>23</v>
      </c>
      <c r="I9293" s="15">
        <f t="shared" si="3"/>
        <v>4</v>
      </c>
    </row>
    <row r="9294">
      <c r="A9294" s="8" t="str">
        <f>IFERROR(__xludf.DUMMYFUNCTION("IF('(INGESTA)Datos_consumo_datadis'!A9294&lt;&gt;"""",SPLIT('(INGESTA)Datos_consumo_datadis'!A:A,"",""),"""")"),"ES0031408323131005HX0F")</f>
        <v>ES0031408323131005HX0F</v>
      </c>
      <c r="B9294" s="17">
        <f>IFERROR(__xludf.DUMMYFUNCTION("""COMPUTED_VALUE"""),45253.0)</f>
        <v>45253</v>
      </c>
      <c r="C9294" s="13">
        <f>IFERROR(__xludf.DUMMYFUNCTION("""COMPUTED_VALUE"""),0.20833333333333334)</f>
        <v>0.2083333333</v>
      </c>
      <c r="D9294" s="8">
        <f>IFERROR(__xludf.DUMMYFUNCTION("""COMPUTED_VALUE"""),0.018)</f>
        <v>0.018</v>
      </c>
      <c r="E9294" s="8" t="str">
        <f>IFERROR(__xludf.DUMMYFUNCTION("""COMPUTED_VALUE"""),"Real")</f>
        <v>Real</v>
      </c>
      <c r="G9294" s="8">
        <f t="shared" si="1"/>
        <v>11</v>
      </c>
      <c r="H9294" s="14">
        <f t="shared" si="2"/>
        <v>23</v>
      </c>
      <c r="I9294" s="15">
        <f t="shared" si="3"/>
        <v>5</v>
      </c>
    </row>
    <row r="9295">
      <c r="A9295" s="8" t="str">
        <f>IFERROR(__xludf.DUMMYFUNCTION("IF('(INGESTA)Datos_consumo_datadis'!A9295&lt;&gt;"""",SPLIT('(INGESTA)Datos_consumo_datadis'!A:A,"",""),"""")"),"ES0031408323131005HX0F")</f>
        <v>ES0031408323131005HX0F</v>
      </c>
      <c r="B9295" s="17">
        <f>IFERROR(__xludf.DUMMYFUNCTION("""COMPUTED_VALUE"""),45253.0)</f>
        <v>45253</v>
      </c>
      <c r="C9295" s="13">
        <f>IFERROR(__xludf.DUMMYFUNCTION("""COMPUTED_VALUE"""),0.25)</f>
        <v>0.25</v>
      </c>
      <c r="D9295" s="8">
        <f>IFERROR(__xludf.DUMMYFUNCTION("""COMPUTED_VALUE"""),0.109)</f>
        <v>0.109</v>
      </c>
      <c r="E9295" s="8" t="str">
        <f>IFERROR(__xludf.DUMMYFUNCTION("""COMPUTED_VALUE"""),"Real")</f>
        <v>Real</v>
      </c>
      <c r="G9295" s="8">
        <f t="shared" si="1"/>
        <v>11</v>
      </c>
      <c r="H9295" s="14">
        <f t="shared" si="2"/>
        <v>23</v>
      </c>
      <c r="I9295" s="15">
        <f t="shared" si="3"/>
        <v>6</v>
      </c>
    </row>
    <row r="9296">
      <c r="A9296" s="8" t="str">
        <f>IFERROR(__xludf.DUMMYFUNCTION("IF('(INGESTA)Datos_consumo_datadis'!A9296&lt;&gt;"""",SPLIT('(INGESTA)Datos_consumo_datadis'!A:A,"",""),"""")"),"ES0031408323131005HX0F")</f>
        <v>ES0031408323131005HX0F</v>
      </c>
      <c r="B9296" s="17">
        <f>IFERROR(__xludf.DUMMYFUNCTION("""COMPUTED_VALUE"""),45253.0)</f>
        <v>45253</v>
      </c>
      <c r="C9296" s="13">
        <f>IFERROR(__xludf.DUMMYFUNCTION("""COMPUTED_VALUE"""),0.2916666666666667)</f>
        <v>0.2916666667</v>
      </c>
      <c r="D9296" s="8">
        <f>IFERROR(__xludf.DUMMYFUNCTION("""COMPUTED_VALUE"""),0.056)</f>
        <v>0.056</v>
      </c>
      <c r="E9296" s="8" t="str">
        <f>IFERROR(__xludf.DUMMYFUNCTION("""COMPUTED_VALUE"""),"Real")</f>
        <v>Real</v>
      </c>
      <c r="G9296" s="8">
        <f t="shared" si="1"/>
        <v>11</v>
      </c>
      <c r="H9296" s="14">
        <f t="shared" si="2"/>
        <v>23</v>
      </c>
      <c r="I9296" s="15">
        <f t="shared" si="3"/>
        <v>7</v>
      </c>
    </row>
    <row r="9297">
      <c r="A9297" s="8" t="str">
        <f>IFERROR(__xludf.DUMMYFUNCTION("IF('(INGESTA)Datos_consumo_datadis'!A9297&lt;&gt;"""",SPLIT('(INGESTA)Datos_consumo_datadis'!A:A,"",""),"""")"),"ES0031408323131005HX0F")</f>
        <v>ES0031408323131005HX0F</v>
      </c>
      <c r="B9297" s="17">
        <f>IFERROR(__xludf.DUMMYFUNCTION("""COMPUTED_VALUE"""),45253.0)</f>
        <v>45253</v>
      </c>
      <c r="C9297" s="13">
        <f>IFERROR(__xludf.DUMMYFUNCTION("""COMPUTED_VALUE"""),0.3333333333333333)</f>
        <v>0.3333333333</v>
      </c>
      <c r="D9297" s="8">
        <f>IFERROR(__xludf.DUMMYFUNCTION("""COMPUTED_VALUE"""),0.03)</f>
        <v>0.03</v>
      </c>
      <c r="E9297" s="8" t="str">
        <f>IFERROR(__xludf.DUMMYFUNCTION("""COMPUTED_VALUE"""),"Real")</f>
        <v>Real</v>
      </c>
      <c r="G9297" s="8">
        <f t="shared" si="1"/>
        <v>11</v>
      </c>
      <c r="H9297" s="14">
        <f t="shared" si="2"/>
        <v>23</v>
      </c>
      <c r="I9297" s="15">
        <f t="shared" si="3"/>
        <v>8</v>
      </c>
    </row>
    <row r="9298">
      <c r="A9298" s="8" t="str">
        <f>IFERROR(__xludf.DUMMYFUNCTION("IF('(INGESTA)Datos_consumo_datadis'!A9298&lt;&gt;"""",SPLIT('(INGESTA)Datos_consumo_datadis'!A:A,"",""),"""")"),"ES0031408323131005HX0F")</f>
        <v>ES0031408323131005HX0F</v>
      </c>
      <c r="B9298" s="17">
        <f>IFERROR(__xludf.DUMMYFUNCTION("""COMPUTED_VALUE"""),45253.0)</f>
        <v>45253</v>
      </c>
      <c r="C9298" s="13">
        <f>IFERROR(__xludf.DUMMYFUNCTION("""COMPUTED_VALUE"""),0.375)</f>
        <v>0.375</v>
      </c>
      <c r="D9298" s="8">
        <f>IFERROR(__xludf.DUMMYFUNCTION("""COMPUTED_VALUE"""),0.195)</f>
        <v>0.195</v>
      </c>
      <c r="E9298" s="8" t="str">
        <f>IFERROR(__xludf.DUMMYFUNCTION("""COMPUTED_VALUE"""),"Real")</f>
        <v>Real</v>
      </c>
      <c r="G9298" s="8">
        <f t="shared" si="1"/>
        <v>11</v>
      </c>
      <c r="H9298" s="14">
        <f t="shared" si="2"/>
        <v>23</v>
      </c>
      <c r="I9298" s="15">
        <f t="shared" si="3"/>
        <v>9</v>
      </c>
    </row>
    <row r="9299">
      <c r="A9299" s="8" t="str">
        <f>IFERROR(__xludf.DUMMYFUNCTION("IF('(INGESTA)Datos_consumo_datadis'!A9299&lt;&gt;"""",SPLIT('(INGESTA)Datos_consumo_datadis'!A:A,"",""),"""")"),"ES0031408323131005HX0F")</f>
        <v>ES0031408323131005HX0F</v>
      </c>
      <c r="B9299" s="17">
        <f>IFERROR(__xludf.DUMMYFUNCTION("""COMPUTED_VALUE"""),45253.0)</f>
        <v>45253</v>
      </c>
      <c r="C9299" s="13">
        <f>IFERROR(__xludf.DUMMYFUNCTION("""COMPUTED_VALUE"""),0.4166666666666667)</f>
        <v>0.4166666667</v>
      </c>
      <c r="D9299" s="8">
        <f>IFERROR(__xludf.DUMMYFUNCTION("""COMPUTED_VALUE"""),0.218)</f>
        <v>0.218</v>
      </c>
      <c r="E9299" s="8" t="str">
        <f>IFERROR(__xludf.DUMMYFUNCTION("""COMPUTED_VALUE"""),"Real")</f>
        <v>Real</v>
      </c>
      <c r="G9299" s="8">
        <f t="shared" si="1"/>
        <v>11</v>
      </c>
      <c r="H9299" s="14">
        <f t="shared" si="2"/>
        <v>23</v>
      </c>
      <c r="I9299" s="15">
        <f t="shared" si="3"/>
        <v>10</v>
      </c>
    </row>
    <row r="9300">
      <c r="A9300" s="8" t="str">
        <f>IFERROR(__xludf.DUMMYFUNCTION("IF('(INGESTA)Datos_consumo_datadis'!A9300&lt;&gt;"""",SPLIT('(INGESTA)Datos_consumo_datadis'!A:A,"",""),"""")"),"ES0031408323131005HX0F")</f>
        <v>ES0031408323131005HX0F</v>
      </c>
      <c r="B9300" s="17">
        <f>IFERROR(__xludf.DUMMYFUNCTION("""COMPUTED_VALUE"""),45253.0)</f>
        <v>45253</v>
      </c>
      <c r="C9300" s="13">
        <f>IFERROR(__xludf.DUMMYFUNCTION("""COMPUTED_VALUE"""),0.4583333333333333)</f>
        <v>0.4583333333</v>
      </c>
      <c r="D9300" s="8">
        <f>IFERROR(__xludf.DUMMYFUNCTION("""COMPUTED_VALUE"""),0.041)</f>
        <v>0.041</v>
      </c>
      <c r="E9300" s="8" t="str">
        <f>IFERROR(__xludf.DUMMYFUNCTION("""COMPUTED_VALUE"""),"Real")</f>
        <v>Real</v>
      </c>
      <c r="G9300" s="8">
        <f t="shared" si="1"/>
        <v>11</v>
      </c>
      <c r="H9300" s="14">
        <f t="shared" si="2"/>
        <v>23</v>
      </c>
      <c r="I9300" s="15">
        <f t="shared" si="3"/>
        <v>11</v>
      </c>
    </row>
    <row r="9301">
      <c r="A9301" s="8" t="str">
        <f>IFERROR(__xludf.DUMMYFUNCTION("IF('(INGESTA)Datos_consumo_datadis'!A9301&lt;&gt;"""",SPLIT('(INGESTA)Datos_consumo_datadis'!A:A,"",""),"""")"),"ES0031408323131005HX0F")</f>
        <v>ES0031408323131005HX0F</v>
      </c>
      <c r="B9301" s="17">
        <f>IFERROR(__xludf.DUMMYFUNCTION("""COMPUTED_VALUE"""),45253.0)</f>
        <v>45253</v>
      </c>
      <c r="C9301" s="13">
        <f>IFERROR(__xludf.DUMMYFUNCTION("""COMPUTED_VALUE"""),0.5)</f>
        <v>0.5</v>
      </c>
      <c r="D9301" s="8">
        <f>IFERROR(__xludf.DUMMYFUNCTION("""COMPUTED_VALUE"""),0.031)</f>
        <v>0.031</v>
      </c>
      <c r="E9301" s="8" t="str">
        <f>IFERROR(__xludf.DUMMYFUNCTION("""COMPUTED_VALUE"""),"Real")</f>
        <v>Real</v>
      </c>
      <c r="G9301" s="8">
        <f t="shared" si="1"/>
        <v>11</v>
      </c>
      <c r="H9301" s="14">
        <f t="shared" si="2"/>
        <v>23</v>
      </c>
      <c r="I9301" s="15">
        <f t="shared" si="3"/>
        <v>12</v>
      </c>
    </row>
    <row r="9302">
      <c r="A9302" s="8" t="str">
        <f>IFERROR(__xludf.DUMMYFUNCTION("IF('(INGESTA)Datos_consumo_datadis'!A9302&lt;&gt;"""",SPLIT('(INGESTA)Datos_consumo_datadis'!A:A,"",""),"""")"),"ES0031408323131005HX0F")</f>
        <v>ES0031408323131005HX0F</v>
      </c>
      <c r="B9302" s="17">
        <f>IFERROR(__xludf.DUMMYFUNCTION("""COMPUTED_VALUE"""),45253.0)</f>
        <v>45253</v>
      </c>
      <c r="C9302" s="13">
        <f>IFERROR(__xludf.DUMMYFUNCTION("""COMPUTED_VALUE"""),0.5416666666666666)</f>
        <v>0.5416666667</v>
      </c>
      <c r="D9302" s="8">
        <f>IFERROR(__xludf.DUMMYFUNCTION("""COMPUTED_VALUE"""),0.091)</f>
        <v>0.091</v>
      </c>
      <c r="E9302" s="8" t="str">
        <f>IFERROR(__xludf.DUMMYFUNCTION("""COMPUTED_VALUE"""),"Real")</f>
        <v>Real</v>
      </c>
      <c r="G9302" s="8">
        <f t="shared" si="1"/>
        <v>11</v>
      </c>
      <c r="H9302" s="14">
        <f t="shared" si="2"/>
        <v>23</v>
      </c>
      <c r="I9302" s="15">
        <f t="shared" si="3"/>
        <v>13</v>
      </c>
    </row>
    <row r="9303">
      <c r="A9303" s="8" t="str">
        <f>IFERROR(__xludf.DUMMYFUNCTION("IF('(INGESTA)Datos_consumo_datadis'!A9303&lt;&gt;"""",SPLIT('(INGESTA)Datos_consumo_datadis'!A:A,"",""),"""")"),"ES0031408323131005HX0F")</f>
        <v>ES0031408323131005HX0F</v>
      </c>
      <c r="B9303" s="17">
        <f>IFERROR(__xludf.DUMMYFUNCTION("""COMPUTED_VALUE"""),45253.0)</f>
        <v>45253</v>
      </c>
      <c r="C9303" s="13">
        <f>IFERROR(__xludf.DUMMYFUNCTION("""COMPUTED_VALUE"""),0.5833333333333334)</f>
        <v>0.5833333333</v>
      </c>
      <c r="D9303" s="8">
        <f>IFERROR(__xludf.DUMMYFUNCTION("""COMPUTED_VALUE"""),0.053)</f>
        <v>0.053</v>
      </c>
      <c r="E9303" s="8" t="str">
        <f>IFERROR(__xludf.DUMMYFUNCTION("""COMPUTED_VALUE"""),"Real")</f>
        <v>Real</v>
      </c>
      <c r="G9303" s="8">
        <f t="shared" si="1"/>
        <v>11</v>
      </c>
      <c r="H9303" s="14">
        <f t="shared" si="2"/>
        <v>23</v>
      </c>
      <c r="I9303" s="15">
        <f t="shared" si="3"/>
        <v>14</v>
      </c>
    </row>
    <row r="9304">
      <c r="A9304" s="8" t="str">
        <f>IFERROR(__xludf.DUMMYFUNCTION("IF('(INGESTA)Datos_consumo_datadis'!A9304&lt;&gt;"""",SPLIT('(INGESTA)Datos_consumo_datadis'!A:A,"",""),"""")"),"ES0031408323131005HX0F")</f>
        <v>ES0031408323131005HX0F</v>
      </c>
      <c r="B9304" s="17">
        <f>IFERROR(__xludf.DUMMYFUNCTION("""COMPUTED_VALUE"""),45253.0)</f>
        <v>45253</v>
      </c>
      <c r="C9304" s="13">
        <f>IFERROR(__xludf.DUMMYFUNCTION("""COMPUTED_VALUE"""),0.625)</f>
        <v>0.625</v>
      </c>
      <c r="D9304" s="8">
        <f>IFERROR(__xludf.DUMMYFUNCTION("""COMPUTED_VALUE"""),0.02)</f>
        <v>0.02</v>
      </c>
      <c r="E9304" s="8" t="str">
        <f>IFERROR(__xludf.DUMMYFUNCTION("""COMPUTED_VALUE"""),"Real")</f>
        <v>Real</v>
      </c>
      <c r="G9304" s="8">
        <f t="shared" si="1"/>
        <v>11</v>
      </c>
      <c r="H9304" s="14">
        <f t="shared" si="2"/>
        <v>23</v>
      </c>
      <c r="I9304" s="15">
        <f t="shared" si="3"/>
        <v>15</v>
      </c>
    </row>
    <row r="9305">
      <c r="A9305" s="8" t="str">
        <f>IFERROR(__xludf.DUMMYFUNCTION("IF('(INGESTA)Datos_consumo_datadis'!A9305&lt;&gt;"""",SPLIT('(INGESTA)Datos_consumo_datadis'!A:A,"",""),"""")"),"ES0031408323131005HX0F")</f>
        <v>ES0031408323131005HX0F</v>
      </c>
      <c r="B9305" s="17">
        <f>IFERROR(__xludf.DUMMYFUNCTION("""COMPUTED_VALUE"""),45253.0)</f>
        <v>45253</v>
      </c>
      <c r="C9305" s="13">
        <f>IFERROR(__xludf.DUMMYFUNCTION("""COMPUTED_VALUE"""),0.6666666666666666)</f>
        <v>0.6666666667</v>
      </c>
      <c r="D9305" s="8">
        <f>IFERROR(__xludf.DUMMYFUNCTION("""COMPUTED_VALUE"""),0.361)</f>
        <v>0.361</v>
      </c>
      <c r="E9305" s="8" t="str">
        <f>IFERROR(__xludf.DUMMYFUNCTION("""COMPUTED_VALUE"""),"Real")</f>
        <v>Real</v>
      </c>
      <c r="G9305" s="8">
        <f t="shared" si="1"/>
        <v>11</v>
      </c>
      <c r="H9305" s="14">
        <f t="shared" si="2"/>
        <v>23</v>
      </c>
      <c r="I9305" s="15">
        <f t="shared" si="3"/>
        <v>16</v>
      </c>
    </row>
    <row r="9306">
      <c r="A9306" s="8" t="str">
        <f>IFERROR(__xludf.DUMMYFUNCTION("IF('(INGESTA)Datos_consumo_datadis'!A9306&lt;&gt;"""",SPLIT('(INGESTA)Datos_consumo_datadis'!A:A,"",""),"""")"),"ES0031408323131005HX0F")</f>
        <v>ES0031408323131005HX0F</v>
      </c>
      <c r="B9306" s="17">
        <f>IFERROR(__xludf.DUMMYFUNCTION("""COMPUTED_VALUE"""),45253.0)</f>
        <v>45253</v>
      </c>
      <c r="C9306" s="13">
        <f>IFERROR(__xludf.DUMMYFUNCTION("""COMPUTED_VALUE"""),0.7083333333333334)</f>
        <v>0.7083333333</v>
      </c>
      <c r="D9306" s="8">
        <f>IFERROR(__xludf.DUMMYFUNCTION("""COMPUTED_VALUE"""),0.063)</f>
        <v>0.063</v>
      </c>
      <c r="E9306" s="8" t="str">
        <f>IFERROR(__xludf.DUMMYFUNCTION("""COMPUTED_VALUE"""),"Real")</f>
        <v>Real</v>
      </c>
      <c r="G9306" s="8">
        <f t="shared" si="1"/>
        <v>11</v>
      </c>
      <c r="H9306" s="14">
        <f t="shared" si="2"/>
        <v>23</v>
      </c>
      <c r="I9306" s="15">
        <f t="shared" si="3"/>
        <v>17</v>
      </c>
    </row>
    <row r="9307">
      <c r="A9307" s="8" t="str">
        <f>IFERROR(__xludf.DUMMYFUNCTION("IF('(INGESTA)Datos_consumo_datadis'!A9307&lt;&gt;"""",SPLIT('(INGESTA)Datos_consumo_datadis'!A:A,"",""),"""")"),"ES0031408323131005HX0F")</f>
        <v>ES0031408323131005HX0F</v>
      </c>
      <c r="B9307" s="17">
        <f>IFERROR(__xludf.DUMMYFUNCTION("""COMPUTED_VALUE"""),45253.0)</f>
        <v>45253</v>
      </c>
      <c r="C9307" s="13">
        <f>IFERROR(__xludf.DUMMYFUNCTION("""COMPUTED_VALUE"""),0.75)</f>
        <v>0.75</v>
      </c>
      <c r="D9307" s="8">
        <f>IFERROR(__xludf.DUMMYFUNCTION("""COMPUTED_VALUE"""),0.034)</f>
        <v>0.034</v>
      </c>
      <c r="E9307" s="8" t="str">
        <f>IFERROR(__xludf.DUMMYFUNCTION("""COMPUTED_VALUE"""),"Real")</f>
        <v>Real</v>
      </c>
      <c r="G9307" s="8">
        <f t="shared" si="1"/>
        <v>11</v>
      </c>
      <c r="H9307" s="14">
        <f t="shared" si="2"/>
        <v>23</v>
      </c>
      <c r="I9307" s="15">
        <f t="shared" si="3"/>
        <v>18</v>
      </c>
    </row>
    <row r="9308">
      <c r="A9308" s="8" t="str">
        <f>IFERROR(__xludf.DUMMYFUNCTION("IF('(INGESTA)Datos_consumo_datadis'!A9308&lt;&gt;"""",SPLIT('(INGESTA)Datos_consumo_datadis'!A:A,"",""),"""")"),"ES0031408323131005HX0F")</f>
        <v>ES0031408323131005HX0F</v>
      </c>
      <c r="B9308" s="17">
        <f>IFERROR(__xludf.DUMMYFUNCTION("""COMPUTED_VALUE"""),45253.0)</f>
        <v>45253</v>
      </c>
      <c r="C9308" s="13">
        <f>IFERROR(__xludf.DUMMYFUNCTION("""COMPUTED_VALUE"""),0.7916666666666666)</f>
        <v>0.7916666667</v>
      </c>
      <c r="D9308" s="8">
        <f>IFERROR(__xludf.DUMMYFUNCTION("""COMPUTED_VALUE"""),0.038)</f>
        <v>0.038</v>
      </c>
      <c r="E9308" s="8" t="str">
        <f>IFERROR(__xludf.DUMMYFUNCTION("""COMPUTED_VALUE"""),"Real")</f>
        <v>Real</v>
      </c>
      <c r="G9308" s="8">
        <f t="shared" si="1"/>
        <v>11</v>
      </c>
      <c r="H9308" s="14">
        <f t="shared" si="2"/>
        <v>23</v>
      </c>
      <c r="I9308" s="15">
        <f t="shared" si="3"/>
        <v>19</v>
      </c>
    </row>
    <row r="9309">
      <c r="A9309" s="8" t="str">
        <f>IFERROR(__xludf.DUMMYFUNCTION("IF('(INGESTA)Datos_consumo_datadis'!A9309&lt;&gt;"""",SPLIT('(INGESTA)Datos_consumo_datadis'!A:A,"",""),"""")"),"ES0031408323131005HX0F")</f>
        <v>ES0031408323131005HX0F</v>
      </c>
      <c r="B9309" s="17">
        <f>IFERROR(__xludf.DUMMYFUNCTION("""COMPUTED_VALUE"""),45253.0)</f>
        <v>45253</v>
      </c>
      <c r="C9309" s="13">
        <f>IFERROR(__xludf.DUMMYFUNCTION("""COMPUTED_VALUE"""),0.8333333333333334)</f>
        <v>0.8333333333</v>
      </c>
      <c r="D9309" s="8">
        <f>IFERROR(__xludf.DUMMYFUNCTION("""COMPUTED_VALUE"""),0.082)</f>
        <v>0.082</v>
      </c>
      <c r="E9309" s="8" t="str">
        <f>IFERROR(__xludf.DUMMYFUNCTION("""COMPUTED_VALUE"""),"Real")</f>
        <v>Real</v>
      </c>
      <c r="G9309" s="8">
        <f t="shared" si="1"/>
        <v>11</v>
      </c>
      <c r="H9309" s="14">
        <f t="shared" si="2"/>
        <v>23</v>
      </c>
      <c r="I9309" s="15">
        <f t="shared" si="3"/>
        <v>20</v>
      </c>
    </row>
    <row r="9310">
      <c r="A9310" s="8" t="str">
        <f>IFERROR(__xludf.DUMMYFUNCTION("IF('(INGESTA)Datos_consumo_datadis'!A9310&lt;&gt;"""",SPLIT('(INGESTA)Datos_consumo_datadis'!A:A,"",""),"""")"),"ES0031408323131005HX0F")</f>
        <v>ES0031408323131005HX0F</v>
      </c>
      <c r="B9310" s="17">
        <f>IFERROR(__xludf.DUMMYFUNCTION("""COMPUTED_VALUE"""),45253.0)</f>
        <v>45253</v>
      </c>
      <c r="C9310" s="13">
        <f>IFERROR(__xludf.DUMMYFUNCTION("""COMPUTED_VALUE"""),0.875)</f>
        <v>0.875</v>
      </c>
      <c r="D9310" s="8">
        <f>IFERROR(__xludf.DUMMYFUNCTION("""COMPUTED_VALUE"""),0.261)</f>
        <v>0.261</v>
      </c>
      <c r="E9310" s="8" t="str">
        <f>IFERROR(__xludf.DUMMYFUNCTION("""COMPUTED_VALUE"""),"Real")</f>
        <v>Real</v>
      </c>
      <c r="G9310" s="8">
        <f t="shared" si="1"/>
        <v>11</v>
      </c>
      <c r="H9310" s="14">
        <f t="shared" si="2"/>
        <v>23</v>
      </c>
      <c r="I9310" s="15">
        <f t="shared" si="3"/>
        <v>21</v>
      </c>
    </row>
    <row r="9311">
      <c r="A9311" s="8" t="str">
        <f>IFERROR(__xludf.DUMMYFUNCTION("IF('(INGESTA)Datos_consumo_datadis'!A9311&lt;&gt;"""",SPLIT('(INGESTA)Datos_consumo_datadis'!A:A,"",""),"""")"),"ES0031408323131005HX0F")</f>
        <v>ES0031408323131005HX0F</v>
      </c>
      <c r="B9311" s="17">
        <f>IFERROR(__xludf.DUMMYFUNCTION("""COMPUTED_VALUE"""),45253.0)</f>
        <v>45253</v>
      </c>
      <c r="C9311" s="13">
        <f>IFERROR(__xludf.DUMMYFUNCTION("""COMPUTED_VALUE"""),0.9166666666666666)</f>
        <v>0.9166666667</v>
      </c>
      <c r="D9311" s="8">
        <f>IFERROR(__xludf.DUMMYFUNCTION("""COMPUTED_VALUE"""),2.134)</f>
        <v>2.134</v>
      </c>
      <c r="E9311" s="8" t="str">
        <f>IFERROR(__xludf.DUMMYFUNCTION("""COMPUTED_VALUE"""),"Real")</f>
        <v>Real</v>
      </c>
      <c r="G9311" s="8">
        <f t="shared" si="1"/>
        <v>11</v>
      </c>
      <c r="H9311" s="14">
        <f t="shared" si="2"/>
        <v>23</v>
      </c>
      <c r="I9311" s="15">
        <f t="shared" si="3"/>
        <v>22</v>
      </c>
    </row>
    <row r="9312">
      <c r="A9312" s="8" t="str">
        <f>IFERROR(__xludf.DUMMYFUNCTION("IF('(INGESTA)Datos_consumo_datadis'!A9312&lt;&gt;"""",SPLIT('(INGESTA)Datos_consumo_datadis'!A:A,"",""),"""")"),"ES0031408323131005HX0F")</f>
        <v>ES0031408323131005HX0F</v>
      </c>
      <c r="B9312" s="17">
        <f>IFERROR(__xludf.DUMMYFUNCTION("""COMPUTED_VALUE"""),45253.0)</f>
        <v>45253</v>
      </c>
      <c r="C9312" s="13">
        <f>IFERROR(__xludf.DUMMYFUNCTION("""COMPUTED_VALUE"""),0.9583333333333334)</f>
        <v>0.9583333333</v>
      </c>
      <c r="D9312" s="8">
        <f>IFERROR(__xludf.DUMMYFUNCTION("""COMPUTED_VALUE"""),2.182)</f>
        <v>2.182</v>
      </c>
      <c r="E9312" s="8" t="str">
        <f>IFERROR(__xludf.DUMMYFUNCTION("""COMPUTED_VALUE"""),"Real")</f>
        <v>Real</v>
      </c>
      <c r="G9312" s="8">
        <f t="shared" si="1"/>
        <v>11</v>
      </c>
      <c r="H9312" s="14">
        <f t="shared" si="2"/>
        <v>23</v>
      </c>
      <c r="I9312" s="15">
        <f t="shared" si="3"/>
        <v>23</v>
      </c>
    </row>
    <row r="9313">
      <c r="A9313" s="8" t="str">
        <f>IFERROR(__xludf.DUMMYFUNCTION("IF('(INGESTA)Datos_consumo_datadis'!A9313&lt;&gt;"""",SPLIT('(INGESTA)Datos_consumo_datadis'!A:A,"",""),"""")"),"ES0031408323131005HX0F")</f>
        <v>ES0031408323131005HX0F</v>
      </c>
      <c r="B9313" s="17">
        <f>IFERROR(__xludf.DUMMYFUNCTION("""COMPUTED_VALUE"""),45253.0)</f>
        <v>45253</v>
      </c>
      <c r="C9313" s="16">
        <f>IFERROR(__xludf.DUMMYFUNCTION("""COMPUTED_VALUE"""),1.0)</f>
        <v>1</v>
      </c>
      <c r="D9313" s="8">
        <f>IFERROR(__xludf.DUMMYFUNCTION("""COMPUTED_VALUE"""),0.524)</f>
        <v>0.524</v>
      </c>
      <c r="E9313" s="8" t="str">
        <f>IFERROR(__xludf.DUMMYFUNCTION("""COMPUTED_VALUE"""),"Real")</f>
        <v>Real</v>
      </c>
      <c r="G9313" s="8">
        <f t="shared" si="1"/>
        <v>11</v>
      </c>
      <c r="H9313" s="14">
        <f t="shared" si="2"/>
        <v>23</v>
      </c>
      <c r="I9313" s="15">
        <f t="shared" si="3"/>
        <v>0</v>
      </c>
    </row>
    <row r="9314">
      <c r="A9314" s="8" t="str">
        <f>IFERROR(__xludf.DUMMYFUNCTION("IF('(INGESTA)Datos_consumo_datadis'!A9314&lt;&gt;"""",SPLIT('(INGESTA)Datos_consumo_datadis'!A:A,"",""),"""")"),"ES0031408323131005HX0F")</f>
        <v>ES0031408323131005HX0F</v>
      </c>
      <c r="B9314" s="17">
        <f>IFERROR(__xludf.DUMMYFUNCTION("""COMPUTED_VALUE"""),45254.0)</f>
        <v>45254</v>
      </c>
      <c r="C9314" s="13">
        <f>IFERROR(__xludf.DUMMYFUNCTION("""COMPUTED_VALUE"""),0.041666666666666664)</f>
        <v>0.04166666667</v>
      </c>
      <c r="D9314" s="8">
        <f>IFERROR(__xludf.DUMMYFUNCTION("""COMPUTED_VALUE"""),0.555)</f>
        <v>0.555</v>
      </c>
      <c r="E9314" s="8" t="str">
        <f>IFERROR(__xludf.DUMMYFUNCTION("""COMPUTED_VALUE"""),"Real")</f>
        <v>Real</v>
      </c>
      <c r="G9314" s="8">
        <f t="shared" si="1"/>
        <v>11</v>
      </c>
      <c r="H9314" s="14">
        <f t="shared" si="2"/>
        <v>24</v>
      </c>
      <c r="I9314" s="15">
        <f t="shared" si="3"/>
        <v>1</v>
      </c>
    </row>
    <row r="9315">
      <c r="A9315" s="8" t="str">
        <f>IFERROR(__xludf.DUMMYFUNCTION("IF('(INGESTA)Datos_consumo_datadis'!A9315&lt;&gt;"""",SPLIT('(INGESTA)Datos_consumo_datadis'!A:A,"",""),"""")"),"ES0031408323131005HX0F")</f>
        <v>ES0031408323131005HX0F</v>
      </c>
      <c r="B9315" s="17">
        <f>IFERROR(__xludf.DUMMYFUNCTION("""COMPUTED_VALUE"""),45254.0)</f>
        <v>45254</v>
      </c>
      <c r="C9315" s="13">
        <f>IFERROR(__xludf.DUMMYFUNCTION("""COMPUTED_VALUE"""),0.08333333333333333)</f>
        <v>0.08333333333</v>
      </c>
      <c r="D9315" s="8">
        <f>IFERROR(__xludf.DUMMYFUNCTION("""COMPUTED_VALUE"""),0.162)</f>
        <v>0.162</v>
      </c>
      <c r="E9315" s="8" t="str">
        <f>IFERROR(__xludf.DUMMYFUNCTION("""COMPUTED_VALUE"""),"Real")</f>
        <v>Real</v>
      </c>
      <c r="G9315" s="8">
        <f t="shared" si="1"/>
        <v>11</v>
      </c>
      <c r="H9315" s="14">
        <f t="shared" si="2"/>
        <v>24</v>
      </c>
      <c r="I9315" s="15">
        <f t="shared" si="3"/>
        <v>2</v>
      </c>
    </row>
    <row r="9316">
      <c r="A9316" s="8" t="str">
        <f>IFERROR(__xludf.DUMMYFUNCTION("IF('(INGESTA)Datos_consumo_datadis'!A9316&lt;&gt;"""",SPLIT('(INGESTA)Datos_consumo_datadis'!A:A,"",""),"""")"),"ES0031408323131005HX0F")</f>
        <v>ES0031408323131005HX0F</v>
      </c>
      <c r="B9316" s="17">
        <f>IFERROR(__xludf.DUMMYFUNCTION("""COMPUTED_VALUE"""),45254.0)</f>
        <v>45254</v>
      </c>
      <c r="C9316" s="13">
        <f>IFERROR(__xludf.DUMMYFUNCTION("""COMPUTED_VALUE"""),0.125)</f>
        <v>0.125</v>
      </c>
      <c r="D9316" s="8">
        <f>IFERROR(__xludf.DUMMYFUNCTION("""COMPUTED_VALUE"""),0.054)</f>
        <v>0.054</v>
      </c>
      <c r="E9316" s="8" t="str">
        <f>IFERROR(__xludf.DUMMYFUNCTION("""COMPUTED_VALUE"""),"Real")</f>
        <v>Real</v>
      </c>
      <c r="G9316" s="8">
        <f t="shared" si="1"/>
        <v>11</v>
      </c>
      <c r="H9316" s="14">
        <f t="shared" si="2"/>
        <v>24</v>
      </c>
      <c r="I9316" s="15">
        <f t="shared" si="3"/>
        <v>3</v>
      </c>
    </row>
    <row r="9317">
      <c r="A9317" s="8" t="str">
        <f>IFERROR(__xludf.DUMMYFUNCTION("IF('(INGESTA)Datos_consumo_datadis'!A9317&lt;&gt;"""",SPLIT('(INGESTA)Datos_consumo_datadis'!A:A,"",""),"""")"),"ES0031408323131005HX0F")</f>
        <v>ES0031408323131005HX0F</v>
      </c>
      <c r="B9317" s="17">
        <f>IFERROR(__xludf.DUMMYFUNCTION("""COMPUTED_VALUE"""),45254.0)</f>
        <v>45254</v>
      </c>
      <c r="C9317" s="13">
        <f>IFERROR(__xludf.DUMMYFUNCTION("""COMPUTED_VALUE"""),0.16666666666666666)</f>
        <v>0.1666666667</v>
      </c>
      <c r="D9317" s="8">
        <f>IFERROR(__xludf.DUMMYFUNCTION("""COMPUTED_VALUE"""),0.393)</f>
        <v>0.393</v>
      </c>
      <c r="E9317" s="8" t="str">
        <f>IFERROR(__xludf.DUMMYFUNCTION("""COMPUTED_VALUE"""),"Real")</f>
        <v>Real</v>
      </c>
      <c r="G9317" s="8">
        <f t="shared" si="1"/>
        <v>11</v>
      </c>
      <c r="H9317" s="14">
        <f t="shared" si="2"/>
        <v>24</v>
      </c>
      <c r="I9317" s="15">
        <f t="shared" si="3"/>
        <v>4</v>
      </c>
    </row>
    <row r="9318">
      <c r="A9318" s="8" t="str">
        <f>IFERROR(__xludf.DUMMYFUNCTION("IF('(INGESTA)Datos_consumo_datadis'!A9318&lt;&gt;"""",SPLIT('(INGESTA)Datos_consumo_datadis'!A:A,"",""),"""")"),"ES0031408323131005HX0F")</f>
        <v>ES0031408323131005HX0F</v>
      </c>
      <c r="B9318" s="17">
        <f>IFERROR(__xludf.DUMMYFUNCTION("""COMPUTED_VALUE"""),45254.0)</f>
        <v>45254</v>
      </c>
      <c r="C9318" s="13">
        <f>IFERROR(__xludf.DUMMYFUNCTION("""COMPUTED_VALUE"""),0.20833333333333334)</f>
        <v>0.2083333333</v>
      </c>
      <c r="D9318" s="8">
        <f>IFERROR(__xludf.DUMMYFUNCTION("""COMPUTED_VALUE"""),0.059)</f>
        <v>0.059</v>
      </c>
      <c r="E9318" s="8" t="str">
        <f>IFERROR(__xludf.DUMMYFUNCTION("""COMPUTED_VALUE"""),"Real")</f>
        <v>Real</v>
      </c>
      <c r="G9318" s="8">
        <f t="shared" si="1"/>
        <v>11</v>
      </c>
      <c r="H9318" s="14">
        <f t="shared" si="2"/>
        <v>24</v>
      </c>
      <c r="I9318" s="15">
        <f t="shared" si="3"/>
        <v>5</v>
      </c>
    </row>
    <row r="9319">
      <c r="A9319" s="8" t="str">
        <f>IFERROR(__xludf.DUMMYFUNCTION("IF('(INGESTA)Datos_consumo_datadis'!A9319&lt;&gt;"""",SPLIT('(INGESTA)Datos_consumo_datadis'!A:A,"",""),"""")"),"ES0031408323131005HX0F")</f>
        <v>ES0031408323131005HX0F</v>
      </c>
      <c r="B9319" s="17">
        <f>IFERROR(__xludf.DUMMYFUNCTION("""COMPUTED_VALUE"""),45254.0)</f>
        <v>45254</v>
      </c>
      <c r="C9319" s="13">
        <f>IFERROR(__xludf.DUMMYFUNCTION("""COMPUTED_VALUE"""),0.25)</f>
        <v>0.25</v>
      </c>
      <c r="D9319" s="8">
        <f>IFERROR(__xludf.DUMMYFUNCTION("""COMPUTED_VALUE"""),0.068)</f>
        <v>0.068</v>
      </c>
      <c r="E9319" s="8" t="str">
        <f>IFERROR(__xludf.DUMMYFUNCTION("""COMPUTED_VALUE"""),"Real")</f>
        <v>Real</v>
      </c>
      <c r="G9319" s="8">
        <f t="shared" si="1"/>
        <v>11</v>
      </c>
      <c r="H9319" s="14">
        <f t="shared" si="2"/>
        <v>24</v>
      </c>
      <c r="I9319" s="15">
        <f t="shared" si="3"/>
        <v>6</v>
      </c>
    </row>
    <row r="9320">
      <c r="A9320" s="8" t="str">
        <f>IFERROR(__xludf.DUMMYFUNCTION("IF('(INGESTA)Datos_consumo_datadis'!A9320&lt;&gt;"""",SPLIT('(INGESTA)Datos_consumo_datadis'!A:A,"",""),"""")"),"ES0031408323131005HX0F")</f>
        <v>ES0031408323131005HX0F</v>
      </c>
      <c r="B9320" s="17">
        <f>IFERROR(__xludf.DUMMYFUNCTION("""COMPUTED_VALUE"""),45254.0)</f>
        <v>45254</v>
      </c>
      <c r="C9320" s="13">
        <f>IFERROR(__xludf.DUMMYFUNCTION("""COMPUTED_VALUE"""),0.2916666666666667)</f>
        <v>0.2916666667</v>
      </c>
      <c r="D9320" s="8">
        <f>IFERROR(__xludf.DUMMYFUNCTION("""COMPUTED_VALUE"""),0.016)</f>
        <v>0.016</v>
      </c>
      <c r="E9320" s="8" t="str">
        <f>IFERROR(__xludf.DUMMYFUNCTION("""COMPUTED_VALUE"""),"Real")</f>
        <v>Real</v>
      </c>
      <c r="G9320" s="8">
        <f t="shared" si="1"/>
        <v>11</v>
      </c>
      <c r="H9320" s="14">
        <f t="shared" si="2"/>
        <v>24</v>
      </c>
      <c r="I9320" s="15">
        <f t="shared" si="3"/>
        <v>7</v>
      </c>
    </row>
    <row r="9321">
      <c r="A9321" s="8" t="str">
        <f>IFERROR(__xludf.DUMMYFUNCTION("IF('(INGESTA)Datos_consumo_datadis'!A9321&lt;&gt;"""",SPLIT('(INGESTA)Datos_consumo_datadis'!A:A,"",""),"""")"),"ES0031408323131005HX0F")</f>
        <v>ES0031408323131005HX0F</v>
      </c>
      <c r="B9321" s="17">
        <f>IFERROR(__xludf.DUMMYFUNCTION("""COMPUTED_VALUE"""),45254.0)</f>
        <v>45254</v>
      </c>
      <c r="C9321" s="13">
        <f>IFERROR(__xludf.DUMMYFUNCTION("""COMPUTED_VALUE"""),0.3333333333333333)</f>
        <v>0.3333333333</v>
      </c>
      <c r="D9321" s="8">
        <f>IFERROR(__xludf.DUMMYFUNCTION("""COMPUTED_VALUE"""),0.223)</f>
        <v>0.223</v>
      </c>
      <c r="E9321" s="8" t="str">
        <f>IFERROR(__xludf.DUMMYFUNCTION("""COMPUTED_VALUE"""),"Real")</f>
        <v>Real</v>
      </c>
      <c r="G9321" s="8">
        <f t="shared" si="1"/>
        <v>11</v>
      </c>
      <c r="H9321" s="14">
        <f t="shared" si="2"/>
        <v>24</v>
      </c>
      <c r="I9321" s="15">
        <f t="shared" si="3"/>
        <v>8</v>
      </c>
    </row>
    <row r="9322">
      <c r="A9322" s="8" t="str">
        <f>IFERROR(__xludf.DUMMYFUNCTION("IF('(INGESTA)Datos_consumo_datadis'!A9322&lt;&gt;"""",SPLIT('(INGESTA)Datos_consumo_datadis'!A:A,"",""),"""")"),"ES0031408323131005HX0F")</f>
        <v>ES0031408323131005HX0F</v>
      </c>
      <c r="B9322" s="17">
        <f>IFERROR(__xludf.DUMMYFUNCTION("""COMPUTED_VALUE"""),45254.0)</f>
        <v>45254</v>
      </c>
      <c r="C9322" s="13">
        <f>IFERROR(__xludf.DUMMYFUNCTION("""COMPUTED_VALUE"""),0.375)</f>
        <v>0.375</v>
      </c>
      <c r="D9322" s="8">
        <f>IFERROR(__xludf.DUMMYFUNCTION("""COMPUTED_VALUE"""),0.389)</f>
        <v>0.389</v>
      </c>
      <c r="E9322" s="8" t="str">
        <f>IFERROR(__xludf.DUMMYFUNCTION("""COMPUTED_VALUE"""),"Real")</f>
        <v>Real</v>
      </c>
      <c r="G9322" s="8">
        <f t="shared" si="1"/>
        <v>11</v>
      </c>
      <c r="H9322" s="14">
        <f t="shared" si="2"/>
        <v>24</v>
      </c>
      <c r="I9322" s="15">
        <f t="shared" si="3"/>
        <v>9</v>
      </c>
    </row>
    <row r="9323">
      <c r="A9323" s="8" t="str">
        <f>IFERROR(__xludf.DUMMYFUNCTION("IF('(INGESTA)Datos_consumo_datadis'!A9323&lt;&gt;"""",SPLIT('(INGESTA)Datos_consumo_datadis'!A:A,"",""),"""")"),"ES0031408323131005HX0F")</f>
        <v>ES0031408323131005HX0F</v>
      </c>
      <c r="B9323" s="17">
        <f>IFERROR(__xludf.DUMMYFUNCTION("""COMPUTED_VALUE"""),45254.0)</f>
        <v>45254</v>
      </c>
      <c r="C9323" s="13">
        <f>IFERROR(__xludf.DUMMYFUNCTION("""COMPUTED_VALUE"""),0.4166666666666667)</f>
        <v>0.4166666667</v>
      </c>
      <c r="D9323" s="8">
        <f>IFERROR(__xludf.DUMMYFUNCTION("""COMPUTED_VALUE"""),0.019)</f>
        <v>0.019</v>
      </c>
      <c r="E9323" s="8" t="str">
        <f>IFERROR(__xludf.DUMMYFUNCTION("""COMPUTED_VALUE"""),"Real")</f>
        <v>Real</v>
      </c>
      <c r="G9323" s="8">
        <f t="shared" si="1"/>
        <v>11</v>
      </c>
      <c r="H9323" s="14">
        <f t="shared" si="2"/>
        <v>24</v>
      </c>
      <c r="I9323" s="15">
        <f t="shared" si="3"/>
        <v>10</v>
      </c>
    </row>
    <row r="9324">
      <c r="A9324" s="8" t="str">
        <f>IFERROR(__xludf.DUMMYFUNCTION("IF('(INGESTA)Datos_consumo_datadis'!A9324&lt;&gt;"""",SPLIT('(INGESTA)Datos_consumo_datadis'!A:A,"",""),"""")"),"ES0031408323131005HX0F")</f>
        <v>ES0031408323131005HX0F</v>
      </c>
      <c r="B9324" s="17">
        <f>IFERROR(__xludf.DUMMYFUNCTION("""COMPUTED_VALUE"""),45254.0)</f>
        <v>45254</v>
      </c>
      <c r="C9324" s="13">
        <f>IFERROR(__xludf.DUMMYFUNCTION("""COMPUTED_VALUE"""),0.4583333333333333)</f>
        <v>0.4583333333</v>
      </c>
      <c r="D9324" s="8">
        <f>IFERROR(__xludf.DUMMYFUNCTION("""COMPUTED_VALUE"""),0.066)</f>
        <v>0.066</v>
      </c>
      <c r="E9324" s="8" t="str">
        <f>IFERROR(__xludf.DUMMYFUNCTION("""COMPUTED_VALUE"""),"Real")</f>
        <v>Real</v>
      </c>
      <c r="G9324" s="8">
        <f t="shared" si="1"/>
        <v>11</v>
      </c>
      <c r="H9324" s="14">
        <f t="shared" si="2"/>
        <v>24</v>
      </c>
      <c r="I9324" s="15">
        <f t="shared" si="3"/>
        <v>11</v>
      </c>
    </row>
    <row r="9325">
      <c r="A9325" s="8" t="str">
        <f>IFERROR(__xludf.DUMMYFUNCTION("IF('(INGESTA)Datos_consumo_datadis'!A9325&lt;&gt;"""",SPLIT('(INGESTA)Datos_consumo_datadis'!A:A,"",""),"""")"),"ES0031408323131005HX0F")</f>
        <v>ES0031408323131005HX0F</v>
      </c>
      <c r="B9325" s="17">
        <f>IFERROR(__xludf.DUMMYFUNCTION("""COMPUTED_VALUE"""),45254.0)</f>
        <v>45254</v>
      </c>
      <c r="C9325" s="13">
        <f>IFERROR(__xludf.DUMMYFUNCTION("""COMPUTED_VALUE"""),0.5)</f>
        <v>0.5</v>
      </c>
      <c r="D9325" s="8">
        <f>IFERROR(__xludf.DUMMYFUNCTION("""COMPUTED_VALUE"""),0.072)</f>
        <v>0.072</v>
      </c>
      <c r="E9325" s="8" t="str">
        <f>IFERROR(__xludf.DUMMYFUNCTION("""COMPUTED_VALUE"""),"Real")</f>
        <v>Real</v>
      </c>
      <c r="G9325" s="8">
        <f t="shared" si="1"/>
        <v>11</v>
      </c>
      <c r="H9325" s="14">
        <f t="shared" si="2"/>
        <v>24</v>
      </c>
      <c r="I9325" s="15">
        <f t="shared" si="3"/>
        <v>12</v>
      </c>
    </row>
    <row r="9326">
      <c r="A9326" s="8" t="str">
        <f>IFERROR(__xludf.DUMMYFUNCTION("IF('(INGESTA)Datos_consumo_datadis'!A9326&lt;&gt;"""",SPLIT('(INGESTA)Datos_consumo_datadis'!A:A,"",""),"""")"),"ES0031408323131005HX0F")</f>
        <v>ES0031408323131005HX0F</v>
      </c>
      <c r="B9326" s="17">
        <f>IFERROR(__xludf.DUMMYFUNCTION("""COMPUTED_VALUE"""),45254.0)</f>
        <v>45254</v>
      </c>
      <c r="C9326" s="13">
        <f>IFERROR(__xludf.DUMMYFUNCTION("""COMPUTED_VALUE"""),0.5416666666666666)</f>
        <v>0.5416666667</v>
      </c>
      <c r="D9326" s="8">
        <f>IFERROR(__xludf.DUMMYFUNCTION("""COMPUTED_VALUE"""),0.023)</f>
        <v>0.023</v>
      </c>
      <c r="E9326" s="8" t="str">
        <f>IFERROR(__xludf.DUMMYFUNCTION("""COMPUTED_VALUE"""),"Real")</f>
        <v>Real</v>
      </c>
      <c r="G9326" s="8">
        <f t="shared" si="1"/>
        <v>11</v>
      </c>
      <c r="H9326" s="14">
        <f t="shared" si="2"/>
        <v>24</v>
      </c>
      <c r="I9326" s="15">
        <f t="shared" si="3"/>
        <v>13</v>
      </c>
    </row>
    <row r="9327">
      <c r="A9327" s="8" t="str">
        <f>IFERROR(__xludf.DUMMYFUNCTION("IF('(INGESTA)Datos_consumo_datadis'!A9327&lt;&gt;"""",SPLIT('(INGESTA)Datos_consumo_datadis'!A:A,"",""),"""")"),"ES0031408323131005HX0F")</f>
        <v>ES0031408323131005HX0F</v>
      </c>
      <c r="B9327" s="17">
        <f>IFERROR(__xludf.DUMMYFUNCTION("""COMPUTED_VALUE"""),45254.0)</f>
        <v>45254</v>
      </c>
      <c r="C9327" s="13">
        <f>IFERROR(__xludf.DUMMYFUNCTION("""COMPUTED_VALUE"""),0.5833333333333334)</f>
        <v>0.5833333333</v>
      </c>
      <c r="D9327" s="8">
        <f>IFERROR(__xludf.DUMMYFUNCTION("""COMPUTED_VALUE"""),0.323)</f>
        <v>0.323</v>
      </c>
      <c r="E9327" s="8" t="str">
        <f>IFERROR(__xludf.DUMMYFUNCTION("""COMPUTED_VALUE"""),"Real")</f>
        <v>Real</v>
      </c>
      <c r="G9327" s="8">
        <f t="shared" si="1"/>
        <v>11</v>
      </c>
      <c r="H9327" s="14">
        <f t="shared" si="2"/>
        <v>24</v>
      </c>
      <c r="I9327" s="15">
        <f t="shared" si="3"/>
        <v>14</v>
      </c>
    </row>
    <row r="9328">
      <c r="A9328" s="8" t="str">
        <f>IFERROR(__xludf.DUMMYFUNCTION("IF('(INGESTA)Datos_consumo_datadis'!A9328&lt;&gt;"""",SPLIT('(INGESTA)Datos_consumo_datadis'!A:A,"",""),"""")"),"ES0031408323131005HX0F")</f>
        <v>ES0031408323131005HX0F</v>
      </c>
      <c r="B9328" s="17">
        <f>IFERROR(__xludf.DUMMYFUNCTION("""COMPUTED_VALUE"""),45254.0)</f>
        <v>45254</v>
      </c>
      <c r="C9328" s="13">
        <f>IFERROR(__xludf.DUMMYFUNCTION("""COMPUTED_VALUE"""),0.625)</f>
        <v>0.625</v>
      </c>
      <c r="D9328" s="8">
        <f>IFERROR(__xludf.DUMMYFUNCTION("""COMPUTED_VALUE"""),0.074)</f>
        <v>0.074</v>
      </c>
      <c r="E9328" s="8" t="str">
        <f>IFERROR(__xludf.DUMMYFUNCTION("""COMPUTED_VALUE"""),"Real")</f>
        <v>Real</v>
      </c>
      <c r="G9328" s="8">
        <f t="shared" si="1"/>
        <v>11</v>
      </c>
      <c r="H9328" s="14">
        <f t="shared" si="2"/>
        <v>24</v>
      </c>
      <c r="I9328" s="15">
        <f t="shared" si="3"/>
        <v>15</v>
      </c>
    </row>
    <row r="9329">
      <c r="A9329" s="8" t="str">
        <f>IFERROR(__xludf.DUMMYFUNCTION("IF('(INGESTA)Datos_consumo_datadis'!A9329&lt;&gt;"""",SPLIT('(INGESTA)Datos_consumo_datadis'!A:A,"",""),"""")"),"ES0031408323131005HX0F")</f>
        <v>ES0031408323131005HX0F</v>
      </c>
      <c r="B9329" s="17">
        <f>IFERROR(__xludf.DUMMYFUNCTION("""COMPUTED_VALUE"""),45254.0)</f>
        <v>45254</v>
      </c>
      <c r="C9329" s="13">
        <f>IFERROR(__xludf.DUMMYFUNCTION("""COMPUTED_VALUE"""),0.6666666666666666)</f>
        <v>0.6666666667</v>
      </c>
      <c r="D9329" s="8">
        <f>IFERROR(__xludf.DUMMYFUNCTION("""COMPUTED_VALUE"""),0.035)</f>
        <v>0.035</v>
      </c>
      <c r="E9329" s="8" t="str">
        <f>IFERROR(__xludf.DUMMYFUNCTION("""COMPUTED_VALUE"""),"Real")</f>
        <v>Real</v>
      </c>
      <c r="G9329" s="8">
        <f t="shared" si="1"/>
        <v>11</v>
      </c>
      <c r="H9329" s="14">
        <f t="shared" si="2"/>
        <v>24</v>
      </c>
      <c r="I9329" s="15">
        <f t="shared" si="3"/>
        <v>16</v>
      </c>
    </row>
    <row r="9330">
      <c r="A9330" s="8" t="str">
        <f>IFERROR(__xludf.DUMMYFUNCTION("IF('(INGESTA)Datos_consumo_datadis'!A9330&lt;&gt;"""",SPLIT('(INGESTA)Datos_consumo_datadis'!A:A,"",""),"""")"),"ES0031408323131005HX0F")</f>
        <v>ES0031408323131005HX0F</v>
      </c>
      <c r="B9330" s="17">
        <f>IFERROR(__xludf.DUMMYFUNCTION("""COMPUTED_VALUE"""),45254.0)</f>
        <v>45254</v>
      </c>
      <c r="C9330" s="13">
        <f>IFERROR(__xludf.DUMMYFUNCTION("""COMPUTED_VALUE"""),0.7083333333333334)</f>
        <v>0.7083333333</v>
      </c>
      <c r="D9330" s="8">
        <f>IFERROR(__xludf.DUMMYFUNCTION("""COMPUTED_VALUE"""),0.074)</f>
        <v>0.074</v>
      </c>
      <c r="E9330" s="8" t="str">
        <f>IFERROR(__xludf.DUMMYFUNCTION("""COMPUTED_VALUE"""),"Real")</f>
        <v>Real</v>
      </c>
      <c r="G9330" s="8">
        <f t="shared" si="1"/>
        <v>11</v>
      </c>
      <c r="H9330" s="14">
        <f t="shared" si="2"/>
        <v>24</v>
      </c>
      <c r="I9330" s="15">
        <f t="shared" si="3"/>
        <v>17</v>
      </c>
    </row>
    <row r="9331">
      <c r="A9331" s="8" t="str">
        <f>IFERROR(__xludf.DUMMYFUNCTION("IF('(INGESTA)Datos_consumo_datadis'!A9331&lt;&gt;"""",SPLIT('(INGESTA)Datos_consumo_datadis'!A:A,"",""),"""")"),"ES0031408323131005HX0F")</f>
        <v>ES0031408323131005HX0F</v>
      </c>
      <c r="B9331" s="17">
        <f>IFERROR(__xludf.DUMMYFUNCTION("""COMPUTED_VALUE"""),45254.0)</f>
        <v>45254</v>
      </c>
      <c r="C9331" s="13">
        <f>IFERROR(__xludf.DUMMYFUNCTION("""COMPUTED_VALUE"""),0.75)</f>
        <v>0.75</v>
      </c>
      <c r="D9331" s="8">
        <f>IFERROR(__xludf.DUMMYFUNCTION("""COMPUTED_VALUE"""),0.319)</f>
        <v>0.319</v>
      </c>
      <c r="E9331" s="8" t="str">
        <f>IFERROR(__xludf.DUMMYFUNCTION("""COMPUTED_VALUE"""),"Real")</f>
        <v>Real</v>
      </c>
      <c r="G9331" s="8">
        <f t="shared" si="1"/>
        <v>11</v>
      </c>
      <c r="H9331" s="14">
        <f t="shared" si="2"/>
        <v>24</v>
      </c>
      <c r="I9331" s="15">
        <f t="shared" si="3"/>
        <v>18</v>
      </c>
    </row>
    <row r="9332">
      <c r="A9332" s="8" t="str">
        <f>IFERROR(__xludf.DUMMYFUNCTION("IF('(INGESTA)Datos_consumo_datadis'!A9332&lt;&gt;"""",SPLIT('(INGESTA)Datos_consumo_datadis'!A:A,"",""),"""")"),"ES0031408323131005HX0F")</f>
        <v>ES0031408323131005HX0F</v>
      </c>
      <c r="B9332" s="17">
        <f>IFERROR(__xludf.DUMMYFUNCTION("""COMPUTED_VALUE"""),45254.0)</f>
        <v>45254</v>
      </c>
      <c r="C9332" s="13">
        <f>IFERROR(__xludf.DUMMYFUNCTION("""COMPUTED_VALUE"""),0.7916666666666666)</f>
        <v>0.7916666667</v>
      </c>
      <c r="D9332" s="8">
        <f>IFERROR(__xludf.DUMMYFUNCTION("""COMPUTED_VALUE"""),0.046)</f>
        <v>0.046</v>
      </c>
      <c r="E9332" s="8" t="str">
        <f>IFERROR(__xludf.DUMMYFUNCTION("""COMPUTED_VALUE"""),"Real")</f>
        <v>Real</v>
      </c>
      <c r="G9332" s="8">
        <f t="shared" si="1"/>
        <v>11</v>
      </c>
      <c r="H9332" s="14">
        <f t="shared" si="2"/>
        <v>24</v>
      </c>
      <c r="I9332" s="15">
        <f t="shared" si="3"/>
        <v>19</v>
      </c>
    </row>
    <row r="9333">
      <c r="A9333" s="8" t="str">
        <f>IFERROR(__xludf.DUMMYFUNCTION("IF('(INGESTA)Datos_consumo_datadis'!A9333&lt;&gt;"""",SPLIT('(INGESTA)Datos_consumo_datadis'!A:A,"",""),"""")"),"ES0031408323131005HX0F")</f>
        <v>ES0031408323131005HX0F</v>
      </c>
      <c r="B9333" s="17">
        <f>IFERROR(__xludf.DUMMYFUNCTION("""COMPUTED_VALUE"""),45254.0)</f>
        <v>45254</v>
      </c>
      <c r="C9333" s="13">
        <f>IFERROR(__xludf.DUMMYFUNCTION("""COMPUTED_VALUE"""),0.8333333333333334)</f>
        <v>0.8333333333</v>
      </c>
      <c r="D9333" s="8">
        <f>IFERROR(__xludf.DUMMYFUNCTION("""COMPUTED_VALUE"""),0.014)</f>
        <v>0.014</v>
      </c>
      <c r="E9333" s="8" t="str">
        <f>IFERROR(__xludf.DUMMYFUNCTION("""COMPUTED_VALUE"""),"Real")</f>
        <v>Real</v>
      </c>
      <c r="G9333" s="8">
        <f t="shared" si="1"/>
        <v>11</v>
      </c>
      <c r="H9333" s="14">
        <f t="shared" si="2"/>
        <v>24</v>
      </c>
      <c r="I9333" s="15">
        <f t="shared" si="3"/>
        <v>20</v>
      </c>
    </row>
    <row r="9334">
      <c r="A9334" s="8" t="str">
        <f>IFERROR(__xludf.DUMMYFUNCTION("IF('(INGESTA)Datos_consumo_datadis'!A9334&lt;&gt;"""",SPLIT('(INGESTA)Datos_consumo_datadis'!A:A,"",""),"""")"),"ES0031408323131005HX0F")</f>
        <v>ES0031408323131005HX0F</v>
      </c>
      <c r="B9334" s="17">
        <f>IFERROR(__xludf.DUMMYFUNCTION("""COMPUTED_VALUE"""),45254.0)</f>
        <v>45254</v>
      </c>
      <c r="C9334" s="13">
        <f>IFERROR(__xludf.DUMMYFUNCTION("""COMPUTED_VALUE"""),0.875)</f>
        <v>0.875</v>
      </c>
      <c r="D9334" s="8">
        <f>IFERROR(__xludf.DUMMYFUNCTION("""COMPUTED_VALUE"""),0.091)</f>
        <v>0.091</v>
      </c>
      <c r="E9334" s="8" t="str">
        <f>IFERROR(__xludf.DUMMYFUNCTION("""COMPUTED_VALUE"""),"Real")</f>
        <v>Real</v>
      </c>
      <c r="G9334" s="8">
        <f t="shared" si="1"/>
        <v>11</v>
      </c>
      <c r="H9334" s="14">
        <f t="shared" si="2"/>
        <v>24</v>
      </c>
      <c r="I9334" s="15">
        <f t="shared" si="3"/>
        <v>21</v>
      </c>
    </row>
    <row r="9335">
      <c r="A9335" s="8" t="str">
        <f>IFERROR(__xludf.DUMMYFUNCTION("IF('(INGESTA)Datos_consumo_datadis'!A9335&lt;&gt;"""",SPLIT('(INGESTA)Datos_consumo_datadis'!A:A,"",""),"""")"),"ES0031408323131005HX0F")</f>
        <v>ES0031408323131005HX0F</v>
      </c>
      <c r="B9335" s="17">
        <f>IFERROR(__xludf.DUMMYFUNCTION("""COMPUTED_VALUE"""),45254.0)</f>
        <v>45254</v>
      </c>
      <c r="C9335" s="13">
        <f>IFERROR(__xludf.DUMMYFUNCTION("""COMPUTED_VALUE"""),0.9166666666666666)</f>
        <v>0.9166666667</v>
      </c>
      <c r="D9335" s="8">
        <f>IFERROR(__xludf.DUMMYFUNCTION("""COMPUTED_VALUE"""),0.056)</f>
        <v>0.056</v>
      </c>
      <c r="E9335" s="8" t="str">
        <f>IFERROR(__xludf.DUMMYFUNCTION("""COMPUTED_VALUE"""),"Real")</f>
        <v>Real</v>
      </c>
      <c r="G9335" s="8">
        <f t="shared" si="1"/>
        <v>11</v>
      </c>
      <c r="H9335" s="14">
        <f t="shared" si="2"/>
        <v>24</v>
      </c>
      <c r="I9335" s="15">
        <f t="shared" si="3"/>
        <v>22</v>
      </c>
    </row>
    <row r="9336">
      <c r="A9336" s="8" t="str">
        <f>IFERROR(__xludf.DUMMYFUNCTION("IF('(INGESTA)Datos_consumo_datadis'!A9336&lt;&gt;"""",SPLIT('(INGESTA)Datos_consumo_datadis'!A:A,"",""),"""")"),"ES0031408323131005HX0F")</f>
        <v>ES0031408323131005HX0F</v>
      </c>
      <c r="B9336" s="17">
        <f>IFERROR(__xludf.DUMMYFUNCTION("""COMPUTED_VALUE"""),45254.0)</f>
        <v>45254</v>
      </c>
      <c r="C9336" s="13">
        <f>IFERROR(__xludf.DUMMYFUNCTION("""COMPUTED_VALUE"""),0.9583333333333334)</f>
        <v>0.9583333333</v>
      </c>
      <c r="D9336" s="8">
        <f>IFERROR(__xludf.DUMMYFUNCTION("""COMPUTED_VALUE"""),0.017)</f>
        <v>0.017</v>
      </c>
      <c r="E9336" s="8" t="str">
        <f>IFERROR(__xludf.DUMMYFUNCTION("""COMPUTED_VALUE"""),"Real")</f>
        <v>Real</v>
      </c>
      <c r="G9336" s="8">
        <f t="shared" si="1"/>
        <v>11</v>
      </c>
      <c r="H9336" s="14">
        <f t="shared" si="2"/>
        <v>24</v>
      </c>
      <c r="I9336" s="15">
        <f t="shared" si="3"/>
        <v>23</v>
      </c>
    </row>
    <row r="9337">
      <c r="A9337" s="8" t="str">
        <f>IFERROR(__xludf.DUMMYFUNCTION("IF('(INGESTA)Datos_consumo_datadis'!A9337&lt;&gt;"""",SPLIT('(INGESTA)Datos_consumo_datadis'!A:A,"",""),"""")"),"ES0031408323131005HX0F")</f>
        <v>ES0031408323131005HX0F</v>
      </c>
      <c r="B9337" s="17">
        <f>IFERROR(__xludf.DUMMYFUNCTION("""COMPUTED_VALUE"""),45254.0)</f>
        <v>45254</v>
      </c>
      <c r="C9337" s="16">
        <f>IFERROR(__xludf.DUMMYFUNCTION("""COMPUTED_VALUE"""),1.0)</f>
        <v>1</v>
      </c>
      <c r="D9337" s="8">
        <f>IFERROR(__xludf.DUMMYFUNCTION("""COMPUTED_VALUE"""),0.343)</f>
        <v>0.343</v>
      </c>
      <c r="E9337" s="8" t="str">
        <f>IFERROR(__xludf.DUMMYFUNCTION("""COMPUTED_VALUE"""),"Real")</f>
        <v>Real</v>
      </c>
      <c r="G9337" s="8">
        <f t="shared" si="1"/>
        <v>11</v>
      </c>
      <c r="H9337" s="14">
        <f t="shared" si="2"/>
        <v>24</v>
      </c>
      <c r="I9337" s="15">
        <f t="shared" si="3"/>
        <v>0</v>
      </c>
    </row>
    <row r="9338">
      <c r="A9338" s="8" t="str">
        <f>IFERROR(__xludf.DUMMYFUNCTION("IF('(INGESTA)Datos_consumo_datadis'!A9338&lt;&gt;"""",SPLIT('(INGESTA)Datos_consumo_datadis'!A:A,"",""),"""")"),"ES0031408323131005HX0F")</f>
        <v>ES0031408323131005HX0F</v>
      </c>
      <c r="B9338" s="17">
        <f>IFERROR(__xludf.DUMMYFUNCTION("""COMPUTED_VALUE"""),45255.0)</f>
        <v>45255</v>
      </c>
      <c r="C9338" s="13">
        <f>IFERROR(__xludf.DUMMYFUNCTION("""COMPUTED_VALUE"""),0.041666666666666664)</f>
        <v>0.04166666667</v>
      </c>
      <c r="D9338" s="8">
        <f>IFERROR(__xludf.DUMMYFUNCTION("""COMPUTED_VALUE"""),0.056)</f>
        <v>0.056</v>
      </c>
      <c r="E9338" s="8" t="str">
        <f>IFERROR(__xludf.DUMMYFUNCTION("""COMPUTED_VALUE"""),"Real")</f>
        <v>Real</v>
      </c>
      <c r="G9338" s="8">
        <f t="shared" si="1"/>
        <v>11</v>
      </c>
      <c r="H9338" s="14">
        <f t="shared" si="2"/>
        <v>25</v>
      </c>
      <c r="I9338" s="15">
        <f t="shared" si="3"/>
        <v>1</v>
      </c>
    </row>
    <row r="9339">
      <c r="A9339" s="8" t="str">
        <f>IFERROR(__xludf.DUMMYFUNCTION("IF('(INGESTA)Datos_consumo_datadis'!A9339&lt;&gt;"""",SPLIT('(INGESTA)Datos_consumo_datadis'!A:A,"",""),"""")"),"ES0031408323131005HX0F")</f>
        <v>ES0031408323131005HX0F</v>
      </c>
      <c r="B9339" s="17">
        <f>IFERROR(__xludf.DUMMYFUNCTION("""COMPUTED_VALUE"""),45255.0)</f>
        <v>45255</v>
      </c>
      <c r="C9339" s="13">
        <f>IFERROR(__xludf.DUMMYFUNCTION("""COMPUTED_VALUE"""),0.08333333333333333)</f>
        <v>0.08333333333</v>
      </c>
      <c r="D9339" s="8">
        <f>IFERROR(__xludf.DUMMYFUNCTION("""COMPUTED_VALUE"""),0.019)</f>
        <v>0.019</v>
      </c>
      <c r="E9339" s="8" t="str">
        <f>IFERROR(__xludf.DUMMYFUNCTION("""COMPUTED_VALUE"""),"Real")</f>
        <v>Real</v>
      </c>
      <c r="G9339" s="8">
        <f t="shared" si="1"/>
        <v>11</v>
      </c>
      <c r="H9339" s="14">
        <f t="shared" si="2"/>
        <v>25</v>
      </c>
      <c r="I9339" s="15">
        <f t="shared" si="3"/>
        <v>2</v>
      </c>
    </row>
    <row r="9340">
      <c r="A9340" s="8" t="str">
        <f>IFERROR(__xludf.DUMMYFUNCTION("IF('(INGESTA)Datos_consumo_datadis'!A9340&lt;&gt;"""",SPLIT('(INGESTA)Datos_consumo_datadis'!A:A,"",""),"""")"),"ES0031408323131005HX0F")</f>
        <v>ES0031408323131005HX0F</v>
      </c>
      <c r="B9340" s="17">
        <f>IFERROR(__xludf.DUMMYFUNCTION("""COMPUTED_VALUE"""),45255.0)</f>
        <v>45255</v>
      </c>
      <c r="C9340" s="13">
        <f>IFERROR(__xludf.DUMMYFUNCTION("""COMPUTED_VALUE"""),0.125)</f>
        <v>0.125</v>
      </c>
      <c r="D9340" s="8">
        <f>IFERROR(__xludf.DUMMYFUNCTION("""COMPUTED_VALUE"""),0.103)</f>
        <v>0.103</v>
      </c>
      <c r="E9340" s="8" t="str">
        <f>IFERROR(__xludf.DUMMYFUNCTION("""COMPUTED_VALUE"""),"Real")</f>
        <v>Real</v>
      </c>
      <c r="G9340" s="8">
        <f t="shared" si="1"/>
        <v>11</v>
      </c>
      <c r="H9340" s="14">
        <f t="shared" si="2"/>
        <v>25</v>
      </c>
      <c r="I9340" s="15">
        <f t="shared" si="3"/>
        <v>3</v>
      </c>
    </row>
    <row r="9341">
      <c r="A9341" s="8" t="str">
        <f>IFERROR(__xludf.DUMMYFUNCTION("IF('(INGESTA)Datos_consumo_datadis'!A9341&lt;&gt;"""",SPLIT('(INGESTA)Datos_consumo_datadis'!A:A,"",""),"""")"),"ES0031408323131005HX0F")</f>
        <v>ES0031408323131005HX0F</v>
      </c>
      <c r="B9341" s="17">
        <f>IFERROR(__xludf.DUMMYFUNCTION("""COMPUTED_VALUE"""),45255.0)</f>
        <v>45255</v>
      </c>
      <c r="C9341" s="13">
        <f>IFERROR(__xludf.DUMMYFUNCTION("""COMPUTED_VALUE"""),0.16666666666666666)</f>
        <v>0.1666666667</v>
      </c>
      <c r="D9341" s="8">
        <f>IFERROR(__xludf.DUMMYFUNCTION("""COMPUTED_VALUE"""),0.127)</f>
        <v>0.127</v>
      </c>
      <c r="E9341" s="8" t="str">
        <f>IFERROR(__xludf.DUMMYFUNCTION("""COMPUTED_VALUE"""),"Real")</f>
        <v>Real</v>
      </c>
      <c r="G9341" s="8">
        <f t="shared" si="1"/>
        <v>11</v>
      </c>
      <c r="H9341" s="14">
        <f t="shared" si="2"/>
        <v>25</v>
      </c>
      <c r="I9341" s="15">
        <f t="shared" si="3"/>
        <v>4</v>
      </c>
    </row>
    <row r="9342">
      <c r="A9342" s="8" t="str">
        <f>IFERROR(__xludf.DUMMYFUNCTION("IF('(INGESTA)Datos_consumo_datadis'!A9342&lt;&gt;"""",SPLIT('(INGESTA)Datos_consumo_datadis'!A:A,"",""),"""")"),"ES0031408323131005HX0F")</f>
        <v>ES0031408323131005HX0F</v>
      </c>
      <c r="B9342" s="17">
        <f>IFERROR(__xludf.DUMMYFUNCTION("""COMPUTED_VALUE"""),45255.0)</f>
        <v>45255</v>
      </c>
      <c r="C9342" s="13">
        <f>IFERROR(__xludf.DUMMYFUNCTION("""COMPUTED_VALUE"""),0.20833333333333334)</f>
        <v>0.2083333333</v>
      </c>
      <c r="D9342" s="8">
        <f>IFERROR(__xludf.DUMMYFUNCTION("""COMPUTED_VALUE"""),0.355)</f>
        <v>0.355</v>
      </c>
      <c r="E9342" s="8" t="str">
        <f>IFERROR(__xludf.DUMMYFUNCTION("""COMPUTED_VALUE"""),"Real")</f>
        <v>Real</v>
      </c>
      <c r="G9342" s="8">
        <f t="shared" si="1"/>
        <v>11</v>
      </c>
      <c r="H9342" s="14">
        <f t="shared" si="2"/>
        <v>25</v>
      </c>
      <c r="I9342" s="15">
        <f t="shared" si="3"/>
        <v>5</v>
      </c>
    </row>
    <row r="9343">
      <c r="A9343" s="8" t="str">
        <f>IFERROR(__xludf.DUMMYFUNCTION("IF('(INGESTA)Datos_consumo_datadis'!A9343&lt;&gt;"""",SPLIT('(INGESTA)Datos_consumo_datadis'!A:A,"",""),"""")"),"ES0031408323131005HX0F")</f>
        <v>ES0031408323131005HX0F</v>
      </c>
      <c r="B9343" s="17">
        <f>IFERROR(__xludf.DUMMYFUNCTION("""COMPUTED_VALUE"""),45255.0)</f>
        <v>45255</v>
      </c>
      <c r="C9343" s="13">
        <f>IFERROR(__xludf.DUMMYFUNCTION("""COMPUTED_VALUE"""),0.25)</f>
        <v>0.25</v>
      </c>
      <c r="D9343" s="8">
        <f>IFERROR(__xludf.DUMMYFUNCTION("""COMPUTED_VALUE"""),0.037)</f>
        <v>0.037</v>
      </c>
      <c r="E9343" s="8" t="str">
        <f>IFERROR(__xludf.DUMMYFUNCTION("""COMPUTED_VALUE"""),"Real")</f>
        <v>Real</v>
      </c>
      <c r="G9343" s="8">
        <f t="shared" si="1"/>
        <v>11</v>
      </c>
      <c r="H9343" s="14">
        <f t="shared" si="2"/>
        <v>25</v>
      </c>
      <c r="I9343" s="15">
        <f t="shared" si="3"/>
        <v>6</v>
      </c>
    </row>
    <row r="9344">
      <c r="A9344" s="8" t="str">
        <f>IFERROR(__xludf.DUMMYFUNCTION("IF('(INGESTA)Datos_consumo_datadis'!A9344&lt;&gt;"""",SPLIT('(INGESTA)Datos_consumo_datadis'!A:A,"",""),"""")"),"ES0031408323131005HX0F")</f>
        <v>ES0031408323131005HX0F</v>
      </c>
      <c r="B9344" s="17">
        <f>IFERROR(__xludf.DUMMYFUNCTION("""COMPUTED_VALUE"""),45255.0)</f>
        <v>45255</v>
      </c>
      <c r="C9344" s="13">
        <f>IFERROR(__xludf.DUMMYFUNCTION("""COMPUTED_VALUE"""),0.2916666666666667)</f>
        <v>0.2916666667</v>
      </c>
      <c r="D9344" s="8">
        <f>IFERROR(__xludf.DUMMYFUNCTION("""COMPUTED_VALUE"""),0.029)</f>
        <v>0.029</v>
      </c>
      <c r="E9344" s="8" t="str">
        <f>IFERROR(__xludf.DUMMYFUNCTION("""COMPUTED_VALUE"""),"Real")</f>
        <v>Real</v>
      </c>
      <c r="G9344" s="8">
        <f t="shared" si="1"/>
        <v>11</v>
      </c>
      <c r="H9344" s="14">
        <f t="shared" si="2"/>
        <v>25</v>
      </c>
      <c r="I9344" s="15">
        <f t="shared" si="3"/>
        <v>7</v>
      </c>
    </row>
    <row r="9345">
      <c r="A9345" s="8" t="str">
        <f>IFERROR(__xludf.DUMMYFUNCTION("IF('(INGESTA)Datos_consumo_datadis'!A9345&lt;&gt;"""",SPLIT('(INGESTA)Datos_consumo_datadis'!A:A,"",""),"""")"),"ES0031408323131005HX0F")</f>
        <v>ES0031408323131005HX0F</v>
      </c>
      <c r="B9345" s="17">
        <f>IFERROR(__xludf.DUMMYFUNCTION("""COMPUTED_VALUE"""),45255.0)</f>
        <v>45255</v>
      </c>
      <c r="C9345" s="13">
        <f>IFERROR(__xludf.DUMMYFUNCTION("""COMPUTED_VALUE"""),0.3333333333333333)</f>
        <v>0.3333333333</v>
      </c>
      <c r="D9345" s="8">
        <f>IFERROR(__xludf.DUMMYFUNCTION("""COMPUTED_VALUE"""),0.082)</f>
        <v>0.082</v>
      </c>
      <c r="E9345" s="8" t="str">
        <f>IFERROR(__xludf.DUMMYFUNCTION("""COMPUTED_VALUE"""),"Real")</f>
        <v>Real</v>
      </c>
      <c r="G9345" s="8">
        <f t="shared" si="1"/>
        <v>11</v>
      </c>
      <c r="H9345" s="14">
        <f t="shared" si="2"/>
        <v>25</v>
      </c>
      <c r="I9345" s="15">
        <f t="shared" si="3"/>
        <v>8</v>
      </c>
    </row>
    <row r="9346">
      <c r="A9346" s="8" t="str">
        <f>IFERROR(__xludf.DUMMYFUNCTION("IF('(INGESTA)Datos_consumo_datadis'!A9346&lt;&gt;"""",SPLIT('(INGESTA)Datos_consumo_datadis'!A:A,"",""),"""")"),"ES0031408323131005HX0F")</f>
        <v>ES0031408323131005HX0F</v>
      </c>
      <c r="B9346" s="17">
        <f>IFERROR(__xludf.DUMMYFUNCTION("""COMPUTED_VALUE"""),45255.0)</f>
        <v>45255</v>
      </c>
      <c r="C9346" s="13">
        <f>IFERROR(__xludf.DUMMYFUNCTION("""COMPUTED_VALUE"""),0.375)</f>
        <v>0.375</v>
      </c>
      <c r="D9346" s="8">
        <f>IFERROR(__xludf.DUMMYFUNCTION("""COMPUTED_VALUE"""),0.071)</f>
        <v>0.071</v>
      </c>
      <c r="E9346" s="8" t="str">
        <f>IFERROR(__xludf.DUMMYFUNCTION("""COMPUTED_VALUE"""),"Real")</f>
        <v>Real</v>
      </c>
      <c r="G9346" s="8">
        <f t="shared" si="1"/>
        <v>11</v>
      </c>
      <c r="H9346" s="14">
        <f t="shared" si="2"/>
        <v>25</v>
      </c>
      <c r="I9346" s="15">
        <f t="shared" si="3"/>
        <v>9</v>
      </c>
    </row>
    <row r="9347">
      <c r="A9347" s="8" t="str">
        <f>IFERROR(__xludf.DUMMYFUNCTION("IF('(INGESTA)Datos_consumo_datadis'!A9347&lt;&gt;"""",SPLIT('(INGESTA)Datos_consumo_datadis'!A:A,"",""),"""")"),"ES0031408323131005HX0F")</f>
        <v>ES0031408323131005HX0F</v>
      </c>
      <c r="B9347" s="17">
        <f>IFERROR(__xludf.DUMMYFUNCTION("""COMPUTED_VALUE"""),45255.0)</f>
        <v>45255</v>
      </c>
      <c r="C9347" s="13">
        <f>IFERROR(__xludf.DUMMYFUNCTION("""COMPUTED_VALUE"""),0.4166666666666667)</f>
        <v>0.4166666667</v>
      </c>
      <c r="D9347" s="8">
        <f>IFERROR(__xludf.DUMMYFUNCTION("""COMPUTED_VALUE"""),0.015)</f>
        <v>0.015</v>
      </c>
      <c r="E9347" s="8" t="str">
        <f>IFERROR(__xludf.DUMMYFUNCTION("""COMPUTED_VALUE"""),"Real")</f>
        <v>Real</v>
      </c>
      <c r="G9347" s="8">
        <f t="shared" si="1"/>
        <v>11</v>
      </c>
      <c r="H9347" s="14">
        <f t="shared" si="2"/>
        <v>25</v>
      </c>
      <c r="I9347" s="15">
        <f t="shared" si="3"/>
        <v>10</v>
      </c>
    </row>
    <row r="9348">
      <c r="A9348" s="8" t="str">
        <f>IFERROR(__xludf.DUMMYFUNCTION("IF('(INGESTA)Datos_consumo_datadis'!A9348&lt;&gt;"""",SPLIT('(INGESTA)Datos_consumo_datadis'!A:A,"",""),"""")"),"ES0031408323131005HX0F")</f>
        <v>ES0031408323131005HX0F</v>
      </c>
      <c r="B9348" s="17">
        <f>IFERROR(__xludf.DUMMYFUNCTION("""COMPUTED_VALUE"""),45255.0)</f>
        <v>45255</v>
      </c>
      <c r="C9348" s="13">
        <f>IFERROR(__xludf.DUMMYFUNCTION("""COMPUTED_VALUE"""),0.4583333333333333)</f>
        <v>0.4583333333</v>
      </c>
      <c r="D9348" s="8">
        <f>IFERROR(__xludf.DUMMYFUNCTION("""COMPUTED_VALUE"""),0.392)</f>
        <v>0.392</v>
      </c>
      <c r="E9348" s="8" t="str">
        <f>IFERROR(__xludf.DUMMYFUNCTION("""COMPUTED_VALUE"""),"Real")</f>
        <v>Real</v>
      </c>
      <c r="G9348" s="8">
        <f t="shared" si="1"/>
        <v>11</v>
      </c>
      <c r="H9348" s="14">
        <f t="shared" si="2"/>
        <v>25</v>
      </c>
      <c r="I9348" s="15">
        <f t="shared" si="3"/>
        <v>11</v>
      </c>
    </row>
    <row r="9349">
      <c r="A9349" s="8" t="str">
        <f>IFERROR(__xludf.DUMMYFUNCTION("IF('(INGESTA)Datos_consumo_datadis'!A9349&lt;&gt;"""",SPLIT('(INGESTA)Datos_consumo_datadis'!A:A,"",""),"""")"),"ES0031408323131005HX0F")</f>
        <v>ES0031408323131005HX0F</v>
      </c>
      <c r="B9349" s="17">
        <f>IFERROR(__xludf.DUMMYFUNCTION("""COMPUTED_VALUE"""),45255.0)</f>
        <v>45255</v>
      </c>
      <c r="C9349" s="13">
        <f>IFERROR(__xludf.DUMMYFUNCTION("""COMPUTED_VALUE"""),0.5)</f>
        <v>0.5</v>
      </c>
      <c r="D9349" s="8">
        <f>IFERROR(__xludf.DUMMYFUNCTION("""COMPUTED_VALUE"""),0.055)</f>
        <v>0.055</v>
      </c>
      <c r="E9349" s="8" t="str">
        <f>IFERROR(__xludf.DUMMYFUNCTION("""COMPUTED_VALUE"""),"Real")</f>
        <v>Real</v>
      </c>
      <c r="G9349" s="8">
        <f t="shared" si="1"/>
        <v>11</v>
      </c>
      <c r="H9349" s="14">
        <f t="shared" si="2"/>
        <v>25</v>
      </c>
      <c r="I9349" s="15">
        <f t="shared" si="3"/>
        <v>12</v>
      </c>
    </row>
    <row r="9350">
      <c r="A9350" s="8" t="str">
        <f>IFERROR(__xludf.DUMMYFUNCTION("IF('(INGESTA)Datos_consumo_datadis'!A9350&lt;&gt;"""",SPLIT('(INGESTA)Datos_consumo_datadis'!A:A,"",""),"""")"),"ES0031408323131005HX0F")</f>
        <v>ES0031408323131005HX0F</v>
      </c>
      <c r="B9350" s="17">
        <f>IFERROR(__xludf.DUMMYFUNCTION("""COMPUTED_VALUE"""),45255.0)</f>
        <v>45255</v>
      </c>
      <c r="C9350" s="13">
        <f>IFERROR(__xludf.DUMMYFUNCTION("""COMPUTED_VALUE"""),0.5416666666666666)</f>
        <v>0.5416666667</v>
      </c>
      <c r="D9350" s="8">
        <f>IFERROR(__xludf.DUMMYFUNCTION("""COMPUTED_VALUE"""),0.018)</f>
        <v>0.018</v>
      </c>
      <c r="E9350" s="8" t="str">
        <f>IFERROR(__xludf.DUMMYFUNCTION("""COMPUTED_VALUE"""),"Real")</f>
        <v>Real</v>
      </c>
      <c r="G9350" s="8">
        <f t="shared" si="1"/>
        <v>11</v>
      </c>
      <c r="H9350" s="14">
        <f t="shared" si="2"/>
        <v>25</v>
      </c>
      <c r="I9350" s="15">
        <f t="shared" si="3"/>
        <v>13</v>
      </c>
    </row>
    <row r="9351">
      <c r="A9351" s="8" t="str">
        <f>IFERROR(__xludf.DUMMYFUNCTION("IF('(INGESTA)Datos_consumo_datadis'!A9351&lt;&gt;"""",SPLIT('(INGESTA)Datos_consumo_datadis'!A:A,"",""),"""")"),"ES0031408323131005HX0F")</f>
        <v>ES0031408323131005HX0F</v>
      </c>
      <c r="B9351" s="17">
        <f>IFERROR(__xludf.DUMMYFUNCTION("""COMPUTED_VALUE"""),45255.0)</f>
        <v>45255</v>
      </c>
      <c r="C9351" s="13">
        <f>IFERROR(__xludf.DUMMYFUNCTION("""COMPUTED_VALUE"""),0.5833333333333334)</f>
        <v>0.5833333333</v>
      </c>
      <c r="D9351" s="8">
        <f>IFERROR(__xludf.DUMMYFUNCTION("""COMPUTED_VALUE"""),0.079)</f>
        <v>0.079</v>
      </c>
      <c r="E9351" s="8" t="str">
        <f>IFERROR(__xludf.DUMMYFUNCTION("""COMPUTED_VALUE"""),"Real")</f>
        <v>Real</v>
      </c>
      <c r="G9351" s="8">
        <f t="shared" si="1"/>
        <v>11</v>
      </c>
      <c r="H9351" s="14">
        <f t="shared" si="2"/>
        <v>25</v>
      </c>
      <c r="I9351" s="15">
        <f t="shared" si="3"/>
        <v>14</v>
      </c>
    </row>
    <row r="9352">
      <c r="A9352" s="8" t="str">
        <f>IFERROR(__xludf.DUMMYFUNCTION("IF('(INGESTA)Datos_consumo_datadis'!A9352&lt;&gt;"""",SPLIT('(INGESTA)Datos_consumo_datadis'!A:A,"",""),"""")"),"ES0031408323131005HX0F")</f>
        <v>ES0031408323131005HX0F</v>
      </c>
      <c r="B9352" s="17">
        <f>IFERROR(__xludf.DUMMYFUNCTION("""COMPUTED_VALUE"""),45255.0)</f>
        <v>45255</v>
      </c>
      <c r="C9352" s="13">
        <f>IFERROR(__xludf.DUMMYFUNCTION("""COMPUTED_VALUE"""),0.625)</f>
        <v>0.625</v>
      </c>
      <c r="D9352" s="8">
        <f>IFERROR(__xludf.DUMMYFUNCTION("""COMPUTED_VALUE"""),0.063)</f>
        <v>0.063</v>
      </c>
      <c r="E9352" s="8" t="str">
        <f>IFERROR(__xludf.DUMMYFUNCTION("""COMPUTED_VALUE"""),"Real")</f>
        <v>Real</v>
      </c>
      <c r="G9352" s="8">
        <f t="shared" si="1"/>
        <v>11</v>
      </c>
      <c r="H9352" s="14">
        <f t="shared" si="2"/>
        <v>25</v>
      </c>
      <c r="I9352" s="15">
        <f t="shared" si="3"/>
        <v>15</v>
      </c>
    </row>
    <row r="9353">
      <c r="A9353" s="8" t="str">
        <f>IFERROR(__xludf.DUMMYFUNCTION("IF('(INGESTA)Datos_consumo_datadis'!A9353&lt;&gt;"""",SPLIT('(INGESTA)Datos_consumo_datadis'!A:A,"",""),"""")"),"ES0031408323131005HX0F")</f>
        <v>ES0031408323131005HX0F</v>
      </c>
      <c r="B9353" s="17">
        <f>IFERROR(__xludf.DUMMYFUNCTION("""COMPUTED_VALUE"""),45255.0)</f>
        <v>45255</v>
      </c>
      <c r="C9353" s="13">
        <f>IFERROR(__xludf.DUMMYFUNCTION("""COMPUTED_VALUE"""),0.6666666666666666)</f>
        <v>0.6666666667</v>
      </c>
      <c r="D9353" s="8">
        <f>IFERROR(__xludf.DUMMYFUNCTION("""COMPUTED_VALUE"""),0.02)</f>
        <v>0.02</v>
      </c>
      <c r="E9353" s="8" t="str">
        <f>IFERROR(__xludf.DUMMYFUNCTION("""COMPUTED_VALUE"""),"Real")</f>
        <v>Real</v>
      </c>
      <c r="G9353" s="8">
        <f t="shared" si="1"/>
        <v>11</v>
      </c>
      <c r="H9353" s="14">
        <f t="shared" si="2"/>
        <v>25</v>
      </c>
      <c r="I9353" s="15">
        <f t="shared" si="3"/>
        <v>16</v>
      </c>
    </row>
    <row r="9354">
      <c r="A9354" s="8" t="str">
        <f>IFERROR(__xludf.DUMMYFUNCTION("IF('(INGESTA)Datos_consumo_datadis'!A9354&lt;&gt;"""",SPLIT('(INGESTA)Datos_consumo_datadis'!A:A,"",""),"""")"),"ES0031408323131005HX0F")</f>
        <v>ES0031408323131005HX0F</v>
      </c>
      <c r="B9354" s="17">
        <f>IFERROR(__xludf.DUMMYFUNCTION("""COMPUTED_VALUE"""),45255.0)</f>
        <v>45255</v>
      </c>
      <c r="C9354" s="13">
        <f>IFERROR(__xludf.DUMMYFUNCTION("""COMPUTED_VALUE"""),0.7083333333333334)</f>
        <v>0.7083333333</v>
      </c>
      <c r="D9354" s="8">
        <f>IFERROR(__xludf.DUMMYFUNCTION("""COMPUTED_VALUE"""),0.355)</f>
        <v>0.355</v>
      </c>
      <c r="E9354" s="8" t="str">
        <f>IFERROR(__xludf.DUMMYFUNCTION("""COMPUTED_VALUE"""),"Real")</f>
        <v>Real</v>
      </c>
      <c r="G9354" s="8">
        <f t="shared" si="1"/>
        <v>11</v>
      </c>
      <c r="H9354" s="14">
        <f t="shared" si="2"/>
        <v>25</v>
      </c>
      <c r="I9354" s="15">
        <f t="shared" si="3"/>
        <v>17</v>
      </c>
    </row>
    <row r="9355">
      <c r="A9355" s="8" t="str">
        <f>IFERROR(__xludf.DUMMYFUNCTION("IF('(INGESTA)Datos_consumo_datadis'!A9355&lt;&gt;"""",SPLIT('(INGESTA)Datos_consumo_datadis'!A:A,"",""),"""")"),"ES0031408323131005HX0F")</f>
        <v>ES0031408323131005HX0F</v>
      </c>
      <c r="B9355" s="17">
        <f>IFERROR(__xludf.DUMMYFUNCTION("""COMPUTED_VALUE"""),45255.0)</f>
        <v>45255</v>
      </c>
      <c r="C9355" s="13">
        <f>IFERROR(__xludf.DUMMYFUNCTION("""COMPUTED_VALUE"""),0.75)</f>
        <v>0.75</v>
      </c>
      <c r="D9355" s="8">
        <f>IFERROR(__xludf.DUMMYFUNCTION("""COMPUTED_VALUE"""),0.074)</f>
        <v>0.074</v>
      </c>
      <c r="E9355" s="8" t="str">
        <f>IFERROR(__xludf.DUMMYFUNCTION("""COMPUTED_VALUE"""),"Real")</f>
        <v>Real</v>
      </c>
      <c r="G9355" s="8">
        <f t="shared" si="1"/>
        <v>11</v>
      </c>
      <c r="H9355" s="14">
        <f t="shared" si="2"/>
        <v>25</v>
      </c>
      <c r="I9355" s="15">
        <f t="shared" si="3"/>
        <v>18</v>
      </c>
    </row>
    <row r="9356">
      <c r="A9356" s="8" t="str">
        <f>IFERROR(__xludf.DUMMYFUNCTION("IF('(INGESTA)Datos_consumo_datadis'!A9356&lt;&gt;"""",SPLIT('(INGESTA)Datos_consumo_datadis'!A:A,"",""),"""")"),"ES0031408323131005HX0F")</f>
        <v>ES0031408323131005HX0F</v>
      </c>
      <c r="B9356" s="17">
        <f>IFERROR(__xludf.DUMMYFUNCTION("""COMPUTED_VALUE"""),45255.0)</f>
        <v>45255</v>
      </c>
      <c r="C9356" s="13">
        <f>IFERROR(__xludf.DUMMYFUNCTION("""COMPUTED_VALUE"""),0.7916666666666666)</f>
        <v>0.7916666667</v>
      </c>
      <c r="D9356" s="8">
        <f>IFERROR(__xludf.DUMMYFUNCTION("""COMPUTED_VALUE"""),0.021)</f>
        <v>0.021</v>
      </c>
      <c r="E9356" s="8" t="str">
        <f>IFERROR(__xludf.DUMMYFUNCTION("""COMPUTED_VALUE"""),"Real")</f>
        <v>Real</v>
      </c>
      <c r="G9356" s="8">
        <f t="shared" si="1"/>
        <v>11</v>
      </c>
      <c r="H9356" s="14">
        <f t="shared" si="2"/>
        <v>25</v>
      </c>
      <c r="I9356" s="15">
        <f t="shared" si="3"/>
        <v>19</v>
      </c>
    </row>
    <row r="9357">
      <c r="A9357" s="8" t="str">
        <f>IFERROR(__xludf.DUMMYFUNCTION("IF('(INGESTA)Datos_consumo_datadis'!A9357&lt;&gt;"""",SPLIT('(INGESTA)Datos_consumo_datadis'!A:A,"",""),"""")"),"ES0031408323131005HX0F")</f>
        <v>ES0031408323131005HX0F</v>
      </c>
      <c r="B9357" s="17">
        <f>IFERROR(__xludf.DUMMYFUNCTION("""COMPUTED_VALUE"""),45255.0)</f>
        <v>45255</v>
      </c>
      <c r="C9357" s="13">
        <f>IFERROR(__xludf.DUMMYFUNCTION("""COMPUTED_VALUE"""),0.8333333333333334)</f>
        <v>0.8333333333</v>
      </c>
      <c r="D9357" s="8">
        <f>IFERROR(__xludf.DUMMYFUNCTION("""COMPUTED_VALUE"""),0.055)</f>
        <v>0.055</v>
      </c>
      <c r="E9357" s="8" t="str">
        <f>IFERROR(__xludf.DUMMYFUNCTION("""COMPUTED_VALUE"""),"Real")</f>
        <v>Real</v>
      </c>
      <c r="G9357" s="8">
        <f t="shared" si="1"/>
        <v>11</v>
      </c>
      <c r="H9357" s="14">
        <f t="shared" si="2"/>
        <v>25</v>
      </c>
      <c r="I9357" s="15">
        <f t="shared" si="3"/>
        <v>20</v>
      </c>
    </row>
    <row r="9358">
      <c r="A9358" s="8" t="str">
        <f>IFERROR(__xludf.DUMMYFUNCTION("IF('(INGESTA)Datos_consumo_datadis'!A9358&lt;&gt;"""",SPLIT('(INGESTA)Datos_consumo_datadis'!A:A,"",""),"""")"),"ES0031408323131005HX0F")</f>
        <v>ES0031408323131005HX0F</v>
      </c>
      <c r="B9358" s="17">
        <f>IFERROR(__xludf.DUMMYFUNCTION("""COMPUTED_VALUE"""),45255.0)</f>
        <v>45255</v>
      </c>
      <c r="C9358" s="13">
        <f>IFERROR(__xludf.DUMMYFUNCTION("""COMPUTED_VALUE"""),0.875)</f>
        <v>0.875</v>
      </c>
      <c r="D9358" s="8">
        <f>IFERROR(__xludf.DUMMYFUNCTION("""COMPUTED_VALUE"""),0.075)</f>
        <v>0.075</v>
      </c>
      <c r="E9358" s="8" t="str">
        <f>IFERROR(__xludf.DUMMYFUNCTION("""COMPUTED_VALUE"""),"Real")</f>
        <v>Real</v>
      </c>
      <c r="G9358" s="8">
        <f t="shared" si="1"/>
        <v>11</v>
      </c>
      <c r="H9358" s="14">
        <f t="shared" si="2"/>
        <v>25</v>
      </c>
      <c r="I9358" s="15">
        <f t="shared" si="3"/>
        <v>21</v>
      </c>
    </row>
    <row r="9359">
      <c r="A9359" s="8" t="str">
        <f>IFERROR(__xludf.DUMMYFUNCTION("IF('(INGESTA)Datos_consumo_datadis'!A9359&lt;&gt;"""",SPLIT('(INGESTA)Datos_consumo_datadis'!A:A,"",""),"""")"),"ES0031408323131005HX0F")</f>
        <v>ES0031408323131005HX0F</v>
      </c>
      <c r="B9359" s="17">
        <f>IFERROR(__xludf.DUMMYFUNCTION("""COMPUTED_VALUE"""),45255.0)</f>
        <v>45255</v>
      </c>
      <c r="C9359" s="13">
        <f>IFERROR(__xludf.DUMMYFUNCTION("""COMPUTED_VALUE"""),0.9166666666666666)</f>
        <v>0.9166666667</v>
      </c>
      <c r="D9359" s="8">
        <f>IFERROR(__xludf.DUMMYFUNCTION("""COMPUTED_VALUE"""),0.044)</f>
        <v>0.044</v>
      </c>
      <c r="E9359" s="8" t="str">
        <f>IFERROR(__xludf.DUMMYFUNCTION("""COMPUTED_VALUE"""),"Real")</f>
        <v>Real</v>
      </c>
      <c r="G9359" s="8">
        <f t="shared" si="1"/>
        <v>11</v>
      </c>
      <c r="H9359" s="14">
        <f t="shared" si="2"/>
        <v>25</v>
      </c>
      <c r="I9359" s="15">
        <f t="shared" si="3"/>
        <v>22</v>
      </c>
    </row>
    <row r="9360">
      <c r="A9360" s="8" t="str">
        <f>IFERROR(__xludf.DUMMYFUNCTION("IF('(INGESTA)Datos_consumo_datadis'!A9360&lt;&gt;"""",SPLIT('(INGESTA)Datos_consumo_datadis'!A:A,"",""),"""")"),"ES0031408323131005HX0F")</f>
        <v>ES0031408323131005HX0F</v>
      </c>
      <c r="B9360" s="17">
        <f>IFERROR(__xludf.DUMMYFUNCTION("""COMPUTED_VALUE"""),45255.0)</f>
        <v>45255</v>
      </c>
      <c r="C9360" s="13">
        <f>IFERROR(__xludf.DUMMYFUNCTION("""COMPUTED_VALUE"""),0.9583333333333334)</f>
        <v>0.9583333333</v>
      </c>
      <c r="D9360" s="8">
        <f>IFERROR(__xludf.DUMMYFUNCTION("""COMPUTED_VALUE"""),0.282)</f>
        <v>0.282</v>
      </c>
      <c r="E9360" s="8" t="str">
        <f>IFERROR(__xludf.DUMMYFUNCTION("""COMPUTED_VALUE"""),"Real")</f>
        <v>Real</v>
      </c>
      <c r="G9360" s="8">
        <f t="shared" si="1"/>
        <v>11</v>
      </c>
      <c r="H9360" s="14">
        <f t="shared" si="2"/>
        <v>25</v>
      </c>
      <c r="I9360" s="15">
        <f t="shared" si="3"/>
        <v>23</v>
      </c>
    </row>
    <row r="9361">
      <c r="A9361" s="8" t="str">
        <f>IFERROR(__xludf.DUMMYFUNCTION("IF('(INGESTA)Datos_consumo_datadis'!A9361&lt;&gt;"""",SPLIT('(INGESTA)Datos_consumo_datadis'!A:A,"",""),"""")"),"ES0031408323131005HX0F")</f>
        <v>ES0031408323131005HX0F</v>
      </c>
      <c r="B9361" s="17">
        <f>IFERROR(__xludf.DUMMYFUNCTION("""COMPUTED_VALUE"""),45255.0)</f>
        <v>45255</v>
      </c>
      <c r="C9361" s="16">
        <f>IFERROR(__xludf.DUMMYFUNCTION("""COMPUTED_VALUE"""),1.0)</f>
        <v>1</v>
      </c>
      <c r="D9361" s="8">
        <f>IFERROR(__xludf.DUMMYFUNCTION("""COMPUTED_VALUE"""),0.009)</f>
        <v>0.009</v>
      </c>
      <c r="E9361" s="8" t="str">
        <f>IFERROR(__xludf.DUMMYFUNCTION("""COMPUTED_VALUE"""),"Real")</f>
        <v>Real</v>
      </c>
      <c r="G9361" s="8">
        <f t="shared" si="1"/>
        <v>11</v>
      </c>
      <c r="H9361" s="14">
        <f t="shared" si="2"/>
        <v>25</v>
      </c>
      <c r="I9361" s="15">
        <f t="shared" si="3"/>
        <v>0</v>
      </c>
    </row>
    <row r="9362">
      <c r="A9362" s="8" t="str">
        <f>IFERROR(__xludf.DUMMYFUNCTION("IF('(INGESTA)Datos_consumo_datadis'!A9362&lt;&gt;"""",SPLIT('(INGESTA)Datos_consumo_datadis'!A:A,"",""),"""")"),"ES0031408323131005HX0F")</f>
        <v>ES0031408323131005HX0F</v>
      </c>
      <c r="B9362" s="17">
        <f>IFERROR(__xludf.DUMMYFUNCTION("""COMPUTED_VALUE"""),45256.0)</f>
        <v>45256</v>
      </c>
      <c r="C9362" s="13">
        <f>IFERROR(__xludf.DUMMYFUNCTION("""COMPUTED_VALUE"""),0.041666666666666664)</f>
        <v>0.04166666667</v>
      </c>
      <c r="D9362" s="8">
        <f>IFERROR(__xludf.DUMMYFUNCTION("""COMPUTED_VALUE"""),0.094)</f>
        <v>0.094</v>
      </c>
      <c r="E9362" s="8" t="str">
        <f>IFERROR(__xludf.DUMMYFUNCTION("""COMPUTED_VALUE"""),"Real")</f>
        <v>Real</v>
      </c>
      <c r="G9362" s="8">
        <f t="shared" si="1"/>
        <v>11</v>
      </c>
      <c r="H9362" s="14">
        <f t="shared" si="2"/>
        <v>26</v>
      </c>
      <c r="I9362" s="15">
        <f t="shared" si="3"/>
        <v>1</v>
      </c>
    </row>
    <row r="9363">
      <c r="A9363" s="8" t="str">
        <f>IFERROR(__xludf.DUMMYFUNCTION("IF('(INGESTA)Datos_consumo_datadis'!A9363&lt;&gt;"""",SPLIT('(INGESTA)Datos_consumo_datadis'!A:A,"",""),"""")"),"ES0031408323131005HX0F")</f>
        <v>ES0031408323131005HX0F</v>
      </c>
      <c r="B9363" s="17">
        <f>IFERROR(__xludf.DUMMYFUNCTION("""COMPUTED_VALUE"""),45256.0)</f>
        <v>45256</v>
      </c>
      <c r="C9363" s="13">
        <f>IFERROR(__xludf.DUMMYFUNCTION("""COMPUTED_VALUE"""),0.08333333333333333)</f>
        <v>0.08333333333</v>
      </c>
      <c r="D9363" s="8">
        <f>IFERROR(__xludf.DUMMYFUNCTION("""COMPUTED_VALUE"""),0.049)</f>
        <v>0.049</v>
      </c>
      <c r="E9363" s="8" t="str">
        <f>IFERROR(__xludf.DUMMYFUNCTION("""COMPUTED_VALUE"""),"Real")</f>
        <v>Real</v>
      </c>
      <c r="G9363" s="8">
        <f t="shared" si="1"/>
        <v>11</v>
      </c>
      <c r="H9363" s="14">
        <f t="shared" si="2"/>
        <v>26</v>
      </c>
      <c r="I9363" s="15">
        <f t="shared" si="3"/>
        <v>2</v>
      </c>
    </row>
    <row r="9364">
      <c r="A9364" s="8" t="str">
        <f>IFERROR(__xludf.DUMMYFUNCTION("IF('(INGESTA)Datos_consumo_datadis'!A9364&lt;&gt;"""",SPLIT('(INGESTA)Datos_consumo_datadis'!A:A,"",""),"""")"),"ES0031408323131005HX0F")</f>
        <v>ES0031408323131005HX0F</v>
      </c>
      <c r="B9364" s="17">
        <f>IFERROR(__xludf.DUMMYFUNCTION("""COMPUTED_VALUE"""),45256.0)</f>
        <v>45256</v>
      </c>
      <c r="C9364" s="13">
        <f>IFERROR(__xludf.DUMMYFUNCTION("""COMPUTED_VALUE"""),0.125)</f>
        <v>0.125</v>
      </c>
      <c r="D9364" s="8">
        <f>IFERROR(__xludf.DUMMYFUNCTION("""COMPUTED_VALUE"""),0.051)</f>
        <v>0.051</v>
      </c>
      <c r="E9364" s="8" t="str">
        <f>IFERROR(__xludf.DUMMYFUNCTION("""COMPUTED_VALUE"""),"Real")</f>
        <v>Real</v>
      </c>
      <c r="G9364" s="8">
        <f t="shared" si="1"/>
        <v>11</v>
      </c>
      <c r="H9364" s="14">
        <f t="shared" si="2"/>
        <v>26</v>
      </c>
      <c r="I9364" s="15">
        <f t="shared" si="3"/>
        <v>3</v>
      </c>
    </row>
    <row r="9365">
      <c r="A9365" s="8" t="str">
        <f>IFERROR(__xludf.DUMMYFUNCTION("IF('(INGESTA)Datos_consumo_datadis'!A9365&lt;&gt;"""",SPLIT('(INGESTA)Datos_consumo_datadis'!A:A,"",""),"""")"),"ES0031408323131005HX0F")</f>
        <v>ES0031408323131005HX0F</v>
      </c>
      <c r="B9365" s="17">
        <f>IFERROR(__xludf.DUMMYFUNCTION("""COMPUTED_VALUE"""),45256.0)</f>
        <v>45256</v>
      </c>
      <c r="C9365" s="13">
        <f>IFERROR(__xludf.DUMMYFUNCTION("""COMPUTED_VALUE"""),0.16666666666666666)</f>
        <v>0.1666666667</v>
      </c>
      <c r="D9365" s="8">
        <f>IFERROR(__xludf.DUMMYFUNCTION("""COMPUTED_VALUE"""),0.02)</f>
        <v>0.02</v>
      </c>
      <c r="E9365" s="8" t="str">
        <f>IFERROR(__xludf.DUMMYFUNCTION("""COMPUTED_VALUE"""),"Real")</f>
        <v>Real</v>
      </c>
      <c r="G9365" s="8">
        <f t="shared" si="1"/>
        <v>11</v>
      </c>
      <c r="H9365" s="14">
        <f t="shared" si="2"/>
        <v>26</v>
      </c>
      <c r="I9365" s="15">
        <f t="shared" si="3"/>
        <v>4</v>
      </c>
    </row>
    <row r="9366">
      <c r="A9366" s="8" t="str">
        <f>IFERROR(__xludf.DUMMYFUNCTION("IF('(INGESTA)Datos_consumo_datadis'!A9366&lt;&gt;"""",SPLIT('(INGESTA)Datos_consumo_datadis'!A:A,"",""),"""")"),"ES0031408323131005HX0F")</f>
        <v>ES0031408323131005HX0F</v>
      </c>
      <c r="B9366" s="17">
        <f>IFERROR(__xludf.DUMMYFUNCTION("""COMPUTED_VALUE"""),45256.0)</f>
        <v>45256</v>
      </c>
      <c r="C9366" s="13">
        <f>IFERROR(__xludf.DUMMYFUNCTION("""COMPUTED_VALUE"""),0.20833333333333334)</f>
        <v>0.2083333333</v>
      </c>
      <c r="D9366" s="8">
        <f>IFERROR(__xludf.DUMMYFUNCTION("""COMPUTED_VALUE"""),0.356)</f>
        <v>0.356</v>
      </c>
      <c r="E9366" s="8" t="str">
        <f>IFERROR(__xludf.DUMMYFUNCTION("""COMPUTED_VALUE"""),"Real")</f>
        <v>Real</v>
      </c>
      <c r="G9366" s="8">
        <f t="shared" si="1"/>
        <v>11</v>
      </c>
      <c r="H9366" s="14">
        <f t="shared" si="2"/>
        <v>26</v>
      </c>
      <c r="I9366" s="15">
        <f t="shared" si="3"/>
        <v>5</v>
      </c>
    </row>
    <row r="9367">
      <c r="A9367" s="8" t="str">
        <f>IFERROR(__xludf.DUMMYFUNCTION("IF('(INGESTA)Datos_consumo_datadis'!A9367&lt;&gt;"""",SPLIT('(INGESTA)Datos_consumo_datadis'!A:A,"",""),"""")"),"ES0031408323131005HX0F")</f>
        <v>ES0031408323131005HX0F</v>
      </c>
      <c r="B9367" s="17">
        <f>IFERROR(__xludf.DUMMYFUNCTION("""COMPUTED_VALUE"""),45256.0)</f>
        <v>45256</v>
      </c>
      <c r="C9367" s="13">
        <f>IFERROR(__xludf.DUMMYFUNCTION("""COMPUTED_VALUE"""),0.25)</f>
        <v>0.25</v>
      </c>
      <c r="D9367" s="8">
        <f>IFERROR(__xludf.DUMMYFUNCTION("""COMPUTED_VALUE"""),0.069)</f>
        <v>0.069</v>
      </c>
      <c r="E9367" s="8" t="str">
        <f>IFERROR(__xludf.DUMMYFUNCTION("""COMPUTED_VALUE"""),"Real")</f>
        <v>Real</v>
      </c>
      <c r="G9367" s="8">
        <f t="shared" si="1"/>
        <v>11</v>
      </c>
      <c r="H9367" s="14">
        <f t="shared" si="2"/>
        <v>26</v>
      </c>
      <c r="I9367" s="15">
        <f t="shared" si="3"/>
        <v>6</v>
      </c>
    </row>
    <row r="9368">
      <c r="A9368" s="8" t="str">
        <f>IFERROR(__xludf.DUMMYFUNCTION("IF('(INGESTA)Datos_consumo_datadis'!A9368&lt;&gt;"""",SPLIT('(INGESTA)Datos_consumo_datadis'!A:A,"",""),"""")"),"ES0031408323131005HX0F")</f>
        <v>ES0031408323131005HX0F</v>
      </c>
      <c r="B9368" s="17">
        <f>IFERROR(__xludf.DUMMYFUNCTION("""COMPUTED_VALUE"""),45256.0)</f>
        <v>45256</v>
      </c>
      <c r="C9368" s="13">
        <f>IFERROR(__xludf.DUMMYFUNCTION("""COMPUTED_VALUE"""),0.2916666666666667)</f>
        <v>0.2916666667</v>
      </c>
      <c r="D9368" s="8">
        <f>IFERROR(__xludf.DUMMYFUNCTION("""COMPUTED_VALUE"""),0.04)</f>
        <v>0.04</v>
      </c>
      <c r="E9368" s="8" t="str">
        <f>IFERROR(__xludf.DUMMYFUNCTION("""COMPUTED_VALUE"""),"Real")</f>
        <v>Real</v>
      </c>
      <c r="G9368" s="8">
        <f t="shared" si="1"/>
        <v>11</v>
      </c>
      <c r="H9368" s="14">
        <f t="shared" si="2"/>
        <v>26</v>
      </c>
      <c r="I9368" s="15">
        <f t="shared" si="3"/>
        <v>7</v>
      </c>
    </row>
    <row r="9369">
      <c r="A9369" s="8" t="str">
        <f>IFERROR(__xludf.DUMMYFUNCTION("IF('(INGESTA)Datos_consumo_datadis'!A9369&lt;&gt;"""",SPLIT('(INGESTA)Datos_consumo_datadis'!A:A,"",""),"""")"),"ES0031408323131005HX0F")</f>
        <v>ES0031408323131005HX0F</v>
      </c>
      <c r="B9369" s="17">
        <f>IFERROR(__xludf.DUMMYFUNCTION("""COMPUTED_VALUE"""),45256.0)</f>
        <v>45256</v>
      </c>
      <c r="C9369" s="13">
        <f>IFERROR(__xludf.DUMMYFUNCTION("""COMPUTED_VALUE"""),0.3333333333333333)</f>
        <v>0.3333333333</v>
      </c>
      <c r="D9369" s="8">
        <f>IFERROR(__xludf.DUMMYFUNCTION("""COMPUTED_VALUE"""),0.009)</f>
        <v>0.009</v>
      </c>
      <c r="E9369" s="8" t="str">
        <f>IFERROR(__xludf.DUMMYFUNCTION("""COMPUTED_VALUE"""),"Real")</f>
        <v>Real</v>
      </c>
      <c r="G9369" s="8">
        <f t="shared" si="1"/>
        <v>11</v>
      </c>
      <c r="H9369" s="14">
        <f t="shared" si="2"/>
        <v>26</v>
      </c>
      <c r="I9369" s="15">
        <f t="shared" si="3"/>
        <v>8</v>
      </c>
    </row>
    <row r="9370">
      <c r="A9370" s="8" t="str">
        <f>IFERROR(__xludf.DUMMYFUNCTION("IF('(INGESTA)Datos_consumo_datadis'!A9370&lt;&gt;"""",SPLIT('(INGESTA)Datos_consumo_datadis'!A:A,"",""),"""")"),"ES0031408323131005HX0F")</f>
        <v>ES0031408323131005HX0F</v>
      </c>
      <c r="B9370" s="17">
        <f>IFERROR(__xludf.DUMMYFUNCTION("""COMPUTED_VALUE"""),45256.0)</f>
        <v>45256</v>
      </c>
      <c r="C9370" s="13">
        <f>IFERROR(__xludf.DUMMYFUNCTION("""COMPUTED_VALUE"""),0.375)</f>
        <v>0.375</v>
      </c>
      <c r="D9370" s="8">
        <f>IFERROR(__xludf.DUMMYFUNCTION("""COMPUTED_VALUE"""),0.009)</f>
        <v>0.009</v>
      </c>
      <c r="E9370" s="8" t="str">
        <f>IFERROR(__xludf.DUMMYFUNCTION("""COMPUTED_VALUE"""),"Real")</f>
        <v>Real</v>
      </c>
      <c r="G9370" s="8">
        <f t="shared" si="1"/>
        <v>11</v>
      </c>
      <c r="H9370" s="14">
        <f t="shared" si="2"/>
        <v>26</v>
      </c>
      <c r="I9370" s="15">
        <f t="shared" si="3"/>
        <v>9</v>
      </c>
    </row>
    <row r="9371">
      <c r="A9371" s="8" t="str">
        <f>IFERROR(__xludf.DUMMYFUNCTION("IF('(INGESTA)Datos_consumo_datadis'!A9371&lt;&gt;"""",SPLIT('(INGESTA)Datos_consumo_datadis'!A:A,"",""),"""")"),"ES0031408323131005HX0F")</f>
        <v>ES0031408323131005HX0F</v>
      </c>
      <c r="B9371" s="17">
        <f>IFERROR(__xludf.DUMMYFUNCTION("""COMPUTED_VALUE"""),45256.0)</f>
        <v>45256</v>
      </c>
      <c r="C9371" s="13">
        <f>IFERROR(__xludf.DUMMYFUNCTION("""COMPUTED_VALUE"""),0.4166666666666667)</f>
        <v>0.4166666667</v>
      </c>
      <c r="D9371" s="8">
        <f>IFERROR(__xludf.DUMMYFUNCTION("""COMPUTED_VALUE"""),0.091)</f>
        <v>0.091</v>
      </c>
      <c r="E9371" s="8" t="str">
        <f>IFERROR(__xludf.DUMMYFUNCTION("""COMPUTED_VALUE"""),"Real")</f>
        <v>Real</v>
      </c>
      <c r="G9371" s="8">
        <f t="shared" si="1"/>
        <v>11</v>
      </c>
      <c r="H9371" s="14">
        <f t="shared" si="2"/>
        <v>26</v>
      </c>
      <c r="I9371" s="15">
        <f t="shared" si="3"/>
        <v>10</v>
      </c>
    </row>
    <row r="9372">
      <c r="A9372" s="8" t="str">
        <f>IFERROR(__xludf.DUMMYFUNCTION("IF('(INGESTA)Datos_consumo_datadis'!A9372&lt;&gt;"""",SPLIT('(INGESTA)Datos_consumo_datadis'!A:A,"",""),"""")"),"ES0031408323131005HX0F")</f>
        <v>ES0031408323131005HX0F</v>
      </c>
      <c r="B9372" s="17">
        <f>IFERROR(__xludf.DUMMYFUNCTION("""COMPUTED_VALUE"""),45256.0)</f>
        <v>45256</v>
      </c>
      <c r="C9372" s="13">
        <f>IFERROR(__xludf.DUMMYFUNCTION("""COMPUTED_VALUE"""),0.4583333333333333)</f>
        <v>0.4583333333</v>
      </c>
      <c r="D9372" s="8">
        <f>IFERROR(__xludf.DUMMYFUNCTION("""COMPUTED_VALUE"""),0.347)</f>
        <v>0.347</v>
      </c>
      <c r="E9372" s="8" t="str">
        <f>IFERROR(__xludf.DUMMYFUNCTION("""COMPUTED_VALUE"""),"Real")</f>
        <v>Real</v>
      </c>
      <c r="G9372" s="8">
        <f t="shared" si="1"/>
        <v>11</v>
      </c>
      <c r="H9372" s="14">
        <f t="shared" si="2"/>
        <v>26</v>
      </c>
      <c r="I9372" s="15">
        <f t="shared" si="3"/>
        <v>11</v>
      </c>
    </row>
    <row r="9373">
      <c r="A9373" s="8" t="str">
        <f>IFERROR(__xludf.DUMMYFUNCTION("IF('(INGESTA)Datos_consumo_datadis'!A9373&lt;&gt;"""",SPLIT('(INGESTA)Datos_consumo_datadis'!A:A,"",""),"""")"),"ES0031408323131005HX0F")</f>
        <v>ES0031408323131005HX0F</v>
      </c>
      <c r="B9373" s="17">
        <f>IFERROR(__xludf.DUMMYFUNCTION("""COMPUTED_VALUE"""),45256.0)</f>
        <v>45256</v>
      </c>
      <c r="C9373" s="13">
        <f>IFERROR(__xludf.DUMMYFUNCTION("""COMPUTED_VALUE"""),0.5)</f>
        <v>0.5</v>
      </c>
      <c r="D9373" s="8">
        <f>IFERROR(__xludf.DUMMYFUNCTION("""COMPUTED_VALUE"""),0.028)</f>
        <v>0.028</v>
      </c>
      <c r="E9373" s="8" t="str">
        <f>IFERROR(__xludf.DUMMYFUNCTION("""COMPUTED_VALUE"""),"Real")</f>
        <v>Real</v>
      </c>
      <c r="G9373" s="8">
        <f t="shared" si="1"/>
        <v>11</v>
      </c>
      <c r="H9373" s="14">
        <f t="shared" si="2"/>
        <v>26</v>
      </c>
      <c r="I9373" s="15">
        <f t="shared" si="3"/>
        <v>12</v>
      </c>
    </row>
    <row r="9374">
      <c r="A9374" s="8" t="str">
        <f>IFERROR(__xludf.DUMMYFUNCTION("IF('(INGESTA)Datos_consumo_datadis'!A9374&lt;&gt;"""",SPLIT('(INGESTA)Datos_consumo_datadis'!A:A,"",""),"""")"),"ES0031408323131005HX0F")</f>
        <v>ES0031408323131005HX0F</v>
      </c>
      <c r="B9374" s="17">
        <f>IFERROR(__xludf.DUMMYFUNCTION("""COMPUTED_VALUE"""),45256.0)</f>
        <v>45256</v>
      </c>
      <c r="C9374" s="13">
        <f>IFERROR(__xludf.DUMMYFUNCTION("""COMPUTED_VALUE"""),0.5416666666666666)</f>
        <v>0.5416666667</v>
      </c>
      <c r="D9374" s="8">
        <f>IFERROR(__xludf.DUMMYFUNCTION("""COMPUTED_VALUE"""),0.009)</f>
        <v>0.009</v>
      </c>
      <c r="E9374" s="8" t="str">
        <f>IFERROR(__xludf.DUMMYFUNCTION("""COMPUTED_VALUE"""),"Real")</f>
        <v>Real</v>
      </c>
      <c r="G9374" s="8">
        <f t="shared" si="1"/>
        <v>11</v>
      </c>
      <c r="H9374" s="14">
        <f t="shared" si="2"/>
        <v>26</v>
      </c>
      <c r="I9374" s="15">
        <f t="shared" si="3"/>
        <v>13</v>
      </c>
    </row>
    <row r="9375">
      <c r="A9375" s="8" t="str">
        <f>IFERROR(__xludf.DUMMYFUNCTION("IF('(INGESTA)Datos_consumo_datadis'!A9375&lt;&gt;"""",SPLIT('(INGESTA)Datos_consumo_datadis'!A:A,"",""),"""")"),"ES0031408323131005HX0F")</f>
        <v>ES0031408323131005HX0F</v>
      </c>
      <c r="B9375" s="17">
        <f>IFERROR(__xludf.DUMMYFUNCTION("""COMPUTED_VALUE"""),45256.0)</f>
        <v>45256</v>
      </c>
      <c r="C9375" s="13">
        <f>IFERROR(__xludf.DUMMYFUNCTION("""COMPUTED_VALUE"""),0.5833333333333334)</f>
        <v>0.5833333333</v>
      </c>
      <c r="D9375" s="8">
        <f>IFERROR(__xludf.DUMMYFUNCTION("""COMPUTED_VALUE"""),0.059)</f>
        <v>0.059</v>
      </c>
      <c r="E9375" s="8" t="str">
        <f>IFERROR(__xludf.DUMMYFUNCTION("""COMPUTED_VALUE"""),"Real")</f>
        <v>Real</v>
      </c>
      <c r="G9375" s="8">
        <f t="shared" si="1"/>
        <v>11</v>
      </c>
      <c r="H9375" s="14">
        <f t="shared" si="2"/>
        <v>26</v>
      </c>
      <c r="I9375" s="15">
        <f t="shared" si="3"/>
        <v>14</v>
      </c>
    </row>
    <row r="9376">
      <c r="A9376" s="8" t="str">
        <f>IFERROR(__xludf.DUMMYFUNCTION("IF('(INGESTA)Datos_consumo_datadis'!A9376&lt;&gt;"""",SPLIT('(INGESTA)Datos_consumo_datadis'!A:A,"",""),"""")"),"ES0031408323131005HX0F")</f>
        <v>ES0031408323131005HX0F</v>
      </c>
      <c r="B9376" s="17">
        <f>IFERROR(__xludf.DUMMYFUNCTION("""COMPUTED_VALUE"""),45256.0)</f>
        <v>45256</v>
      </c>
      <c r="C9376" s="13">
        <f>IFERROR(__xludf.DUMMYFUNCTION("""COMPUTED_VALUE"""),0.625)</f>
        <v>0.625</v>
      </c>
      <c r="D9376" s="8">
        <f>IFERROR(__xludf.DUMMYFUNCTION("""COMPUTED_VALUE"""),0.068)</f>
        <v>0.068</v>
      </c>
      <c r="E9376" s="8" t="str">
        <f>IFERROR(__xludf.DUMMYFUNCTION("""COMPUTED_VALUE"""),"Real")</f>
        <v>Real</v>
      </c>
      <c r="G9376" s="8">
        <f t="shared" si="1"/>
        <v>11</v>
      </c>
      <c r="H9376" s="14">
        <f t="shared" si="2"/>
        <v>26</v>
      </c>
      <c r="I9376" s="15">
        <f t="shared" si="3"/>
        <v>15</v>
      </c>
    </row>
    <row r="9377">
      <c r="A9377" s="8" t="str">
        <f>IFERROR(__xludf.DUMMYFUNCTION("IF('(INGESTA)Datos_consumo_datadis'!A9377&lt;&gt;"""",SPLIT('(INGESTA)Datos_consumo_datadis'!A:A,"",""),"""")"),"ES0031408323131005HX0F")</f>
        <v>ES0031408323131005HX0F</v>
      </c>
      <c r="B9377" s="17">
        <f>IFERROR(__xludf.DUMMYFUNCTION("""COMPUTED_VALUE"""),45256.0)</f>
        <v>45256</v>
      </c>
      <c r="C9377" s="13">
        <f>IFERROR(__xludf.DUMMYFUNCTION("""COMPUTED_VALUE"""),0.6666666666666666)</f>
        <v>0.6666666667</v>
      </c>
      <c r="D9377" s="8">
        <f>IFERROR(__xludf.DUMMYFUNCTION("""COMPUTED_VALUE"""),0.039)</f>
        <v>0.039</v>
      </c>
      <c r="E9377" s="8" t="str">
        <f>IFERROR(__xludf.DUMMYFUNCTION("""COMPUTED_VALUE"""),"Real")</f>
        <v>Real</v>
      </c>
      <c r="G9377" s="8">
        <f t="shared" si="1"/>
        <v>11</v>
      </c>
      <c r="H9377" s="14">
        <f t="shared" si="2"/>
        <v>26</v>
      </c>
      <c r="I9377" s="15">
        <f t="shared" si="3"/>
        <v>16</v>
      </c>
    </row>
    <row r="9378">
      <c r="A9378" s="8" t="str">
        <f>IFERROR(__xludf.DUMMYFUNCTION("IF('(INGESTA)Datos_consumo_datadis'!A9378&lt;&gt;"""",SPLIT('(INGESTA)Datos_consumo_datadis'!A:A,"",""),"""")"),"ES0031408323131005HX0F")</f>
        <v>ES0031408323131005HX0F</v>
      </c>
      <c r="B9378" s="17">
        <f>IFERROR(__xludf.DUMMYFUNCTION("""COMPUTED_VALUE"""),45256.0)</f>
        <v>45256</v>
      </c>
      <c r="C9378" s="13">
        <f>IFERROR(__xludf.DUMMYFUNCTION("""COMPUTED_VALUE"""),0.7083333333333334)</f>
        <v>0.7083333333</v>
      </c>
      <c r="D9378" s="8">
        <f>IFERROR(__xludf.DUMMYFUNCTION("""COMPUTED_VALUE"""),0.31)</f>
        <v>0.31</v>
      </c>
      <c r="E9378" s="8" t="str">
        <f>IFERROR(__xludf.DUMMYFUNCTION("""COMPUTED_VALUE"""),"Real")</f>
        <v>Real</v>
      </c>
      <c r="G9378" s="8">
        <f t="shared" si="1"/>
        <v>11</v>
      </c>
      <c r="H9378" s="14">
        <f t="shared" si="2"/>
        <v>26</v>
      </c>
      <c r="I9378" s="15">
        <f t="shared" si="3"/>
        <v>17</v>
      </c>
    </row>
    <row r="9379">
      <c r="A9379" s="8" t="str">
        <f>IFERROR(__xludf.DUMMYFUNCTION("IF('(INGESTA)Datos_consumo_datadis'!A9379&lt;&gt;"""",SPLIT('(INGESTA)Datos_consumo_datadis'!A:A,"",""),"""")"),"ES0031408323131005HX0F")</f>
        <v>ES0031408323131005HX0F</v>
      </c>
      <c r="B9379" s="17">
        <f>IFERROR(__xludf.DUMMYFUNCTION("""COMPUTED_VALUE"""),45256.0)</f>
        <v>45256</v>
      </c>
      <c r="C9379" s="13">
        <f>IFERROR(__xludf.DUMMYFUNCTION("""COMPUTED_VALUE"""),0.75)</f>
        <v>0.75</v>
      </c>
      <c r="D9379" s="8">
        <f>IFERROR(__xludf.DUMMYFUNCTION("""COMPUTED_VALUE"""),0.009)</f>
        <v>0.009</v>
      </c>
      <c r="E9379" s="8" t="str">
        <f>IFERROR(__xludf.DUMMYFUNCTION("""COMPUTED_VALUE"""),"Real")</f>
        <v>Real</v>
      </c>
      <c r="G9379" s="8">
        <f t="shared" si="1"/>
        <v>11</v>
      </c>
      <c r="H9379" s="14">
        <f t="shared" si="2"/>
        <v>26</v>
      </c>
      <c r="I9379" s="15">
        <f t="shared" si="3"/>
        <v>18</v>
      </c>
    </row>
    <row r="9380">
      <c r="A9380" s="8" t="str">
        <f>IFERROR(__xludf.DUMMYFUNCTION("IF('(INGESTA)Datos_consumo_datadis'!A9380&lt;&gt;"""",SPLIT('(INGESTA)Datos_consumo_datadis'!A:A,"",""),"""")"),"ES0031408323131005HX0F")</f>
        <v>ES0031408323131005HX0F</v>
      </c>
      <c r="B9380" s="17">
        <f>IFERROR(__xludf.DUMMYFUNCTION("""COMPUTED_VALUE"""),45256.0)</f>
        <v>45256</v>
      </c>
      <c r="C9380" s="13">
        <f>IFERROR(__xludf.DUMMYFUNCTION("""COMPUTED_VALUE"""),0.7916666666666666)</f>
        <v>0.7916666667</v>
      </c>
      <c r="D9380" s="8">
        <f>IFERROR(__xludf.DUMMYFUNCTION("""COMPUTED_VALUE"""),0.091)</f>
        <v>0.091</v>
      </c>
      <c r="E9380" s="8" t="str">
        <f>IFERROR(__xludf.DUMMYFUNCTION("""COMPUTED_VALUE"""),"Real")</f>
        <v>Real</v>
      </c>
      <c r="G9380" s="8">
        <f t="shared" si="1"/>
        <v>11</v>
      </c>
      <c r="H9380" s="14">
        <f t="shared" si="2"/>
        <v>26</v>
      </c>
      <c r="I9380" s="15">
        <f t="shared" si="3"/>
        <v>19</v>
      </c>
    </row>
    <row r="9381">
      <c r="A9381" s="8" t="str">
        <f>IFERROR(__xludf.DUMMYFUNCTION("IF('(INGESTA)Datos_consumo_datadis'!A9381&lt;&gt;"""",SPLIT('(INGESTA)Datos_consumo_datadis'!A:A,"",""),"""")"),"ES0031408323131005HX0F")</f>
        <v>ES0031408323131005HX0F</v>
      </c>
      <c r="B9381" s="17">
        <f>IFERROR(__xludf.DUMMYFUNCTION("""COMPUTED_VALUE"""),45256.0)</f>
        <v>45256</v>
      </c>
      <c r="C9381" s="13">
        <f>IFERROR(__xludf.DUMMYFUNCTION("""COMPUTED_VALUE"""),0.8333333333333334)</f>
        <v>0.8333333333</v>
      </c>
      <c r="D9381" s="8">
        <f>IFERROR(__xludf.DUMMYFUNCTION("""COMPUTED_VALUE"""),0.275)</f>
        <v>0.275</v>
      </c>
      <c r="E9381" s="8" t="str">
        <f>IFERROR(__xludf.DUMMYFUNCTION("""COMPUTED_VALUE"""),"Real")</f>
        <v>Real</v>
      </c>
      <c r="G9381" s="8">
        <f t="shared" si="1"/>
        <v>11</v>
      </c>
      <c r="H9381" s="14">
        <f t="shared" si="2"/>
        <v>26</v>
      </c>
      <c r="I9381" s="15">
        <f t="shared" si="3"/>
        <v>20</v>
      </c>
    </row>
    <row r="9382">
      <c r="A9382" s="8" t="str">
        <f>IFERROR(__xludf.DUMMYFUNCTION("IF('(INGESTA)Datos_consumo_datadis'!A9382&lt;&gt;"""",SPLIT('(INGESTA)Datos_consumo_datadis'!A:A,"",""),"""")"),"ES0031408323131005HX0F")</f>
        <v>ES0031408323131005HX0F</v>
      </c>
      <c r="B9382" s="17">
        <f>IFERROR(__xludf.DUMMYFUNCTION("""COMPUTED_VALUE"""),45256.0)</f>
        <v>45256</v>
      </c>
      <c r="C9382" s="13">
        <f>IFERROR(__xludf.DUMMYFUNCTION("""COMPUTED_VALUE"""),0.875)</f>
        <v>0.875</v>
      </c>
      <c r="D9382" s="8">
        <f>IFERROR(__xludf.DUMMYFUNCTION("""COMPUTED_VALUE"""),2.26)</f>
        <v>2.26</v>
      </c>
      <c r="E9382" s="8" t="str">
        <f>IFERROR(__xludf.DUMMYFUNCTION("""COMPUTED_VALUE"""),"Real")</f>
        <v>Real</v>
      </c>
      <c r="G9382" s="8">
        <f t="shared" si="1"/>
        <v>11</v>
      </c>
      <c r="H9382" s="14">
        <f t="shared" si="2"/>
        <v>26</v>
      </c>
      <c r="I9382" s="15">
        <f t="shared" si="3"/>
        <v>21</v>
      </c>
    </row>
    <row r="9383">
      <c r="A9383" s="8" t="str">
        <f>IFERROR(__xludf.DUMMYFUNCTION("IF('(INGESTA)Datos_consumo_datadis'!A9383&lt;&gt;"""",SPLIT('(INGESTA)Datos_consumo_datadis'!A:A,"",""),"""")"),"ES0031408323131005HX0F")</f>
        <v>ES0031408323131005HX0F</v>
      </c>
      <c r="B9383" s="17">
        <f>IFERROR(__xludf.DUMMYFUNCTION("""COMPUTED_VALUE"""),45256.0)</f>
        <v>45256</v>
      </c>
      <c r="C9383" s="13">
        <f>IFERROR(__xludf.DUMMYFUNCTION("""COMPUTED_VALUE"""),0.9166666666666666)</f>
        <v>0.9166666667</v>
      </c>
      <c r="D9383" s="8">
        <f>IFERROR(__xludf.DUMMYFUNCTION("""COMPUTED_VALUE"""),0.747)</f>
        <v>0.747</v>
      </c>
      <c r="E9383" s="8" t="str">
        <f>IFERROR(__xludf.DUMMYFUNCTION("""COMPUTED_VALUE"""),"Real")</f>
        <v>Real</v>
      </c>
      <c r="G9383" s="8">
        <f t="shared" si="1"/>
        <v>11</v>
      </c>
      <c r="H9383" s="14">
        <f t="shared" si="2"/>
        <v>26</v>
      </c>
      <c r="I9383" s="15">
        <f t="shared" si="3"/>
        <v>22</v>
      </c>
    </row>
    <row r="9384">
      <c r="A9384" s="8" t="str">
        <f>IFERROR(__xludf.DUMMYFUNCTION("IF('(INGESTA)Datos_consumo_datadis'!A9384&lt;&gt;"""",SPLIT('(INGESTA)Datos_consumo_datadis'!A:A,"",""),"""")"),"ES0031408323131005HX0F")</f>
        <v>ES0031408323131005HX0F</v>
      </c>
      <c r="B9384" s="17">
        <f>IFERROR(__xludf.DUMMYFUNCTION("""COMPUTED_VALUE"""),45256.0)</f>
        <v>45256</v>
      </c>
      <c r="C9384" s="13">
        <f>IFERROR(__xludf.DUMMYFUNCTION("""COMPUTED_VALUE"""),0.9583333333333334)</f>
        <v>0.9583333333</v>
      </c>
      <c r="D9384" s="8">
        <f>IFERROR(__xludf.DUMMYFUNCTION("""COMPUTED_VALUE"""),0.154)</f>
        <v>0.154</v>
      </c>
      <c r="E9384" s="8" t="str">
        <f>IFERROR(__xludf.DUMMYFUNCTION("""COMPUTED_VALUE"""),"Real")</f>
        <v>Real</v>
      </c>
      <c r="G9384" s="8">
        <f t="shared" si="1"/>
        <v>11</v>
      </c>
      <c r="H9384" s="14">
        <f t="shared" si="2"/>
        <v>26</v>
      </c>
      <c r="I9384" s="15">
        <f t="shared" si="3"/>
        <v>23</v>
      </c>
    </row>
    <row r="9385">
      <c r="A9385" s="8" t="str">
        <f>IFERROR(__xludf.DUMMYFUNCTION("IF('(INGESTA)Datos_consumo_datadis'!A9385&lt;&gt;"""",SPLIT('(INGESTA)Datos_consumo_datadis'!A:A,"",""),"""")"),"ES0031408323131005HX0F")</f>
        <v>ES0031408323131005HX0F</v>
      </c>
      <c r="B9385" s="17">
        <f>IFERROR(__xludf.DUMMYFUNCTION("""COMPUTED_VALUE"""),45256.0)</f>
        <v>45256</v>
      </c>
      <c r="C9385" s="16">
        <f>IFERROR(__xludf.DUMMYFUNCTION("""COMPUTED_VALUE"""),1.0)</f>
        <v>1</v>
      </c>
      <c r="D9385" s="8">
        <f>IFERROR(__xludf.DUMMYFUNCTION("""COMPUTED_VALUE"""),0.153)</f>
        <v>0.153</v>
      </c>
      <c r="E9385" s="8" t="str">
        <f>IFERROR(__xludf.DUMMYFUNCTION("""COMPUTED_VALUE"""),"Real")</f>
        <v>Real</v>
      </c>
      <c r="G9385" s="8">
        <f t="shared" si="1"/>
        <v>11</v>
      </c>
      <c r="H9385" s="14">
        <f t="shared" si="2"/>
        <v>26</v>
      </c>
      <c r="I9385" s="15">
        <f t="shared" si="3"/>
        <v>0</v>
      </c>
    </row>
    <row r="9386">
      <c r="A9386" s="8" t="str">
        <f>IFERROR(__xludf.DUMMYFUNCTION("IF('(INGESTA)Datos_consumo_datadis'!A9386&lt;&gt;"""",SPLIT('(INGESTA)Datos_consumo_datadis'!A:A,"",""),"""")"),"ES0031408323131005HX0F")</f>
        <v>ES0031408323131005HX0F</v>
      </c>
      <c r="B9386" s="17">
        <f>IFERROR(__xludf.DUMMYFUNCTION("""COMPUTED_VALUE"""),45257.0)</f>
        <v>45257</v>
      </c>
      <c r="C9386" s="13">
        <f>IFERROR(__xludf.DUMMYFUNCTION("""COMPUTED_VALUE"""),0.041666666666666664)</f>
        <v>0.04166666667</v>
      </c>
      <c r="D9386" s="8">
        <f>IFERROR(__xludf.DUMMYFUNCTION("""COMPUTED_VALUE"""),0.058)</f>
        <v>0.058</v>
      </c>
      <c r="E9386" s="8" t="str">
        <f>IFERROR(__xludf.DUMMYFUNCTION("""COMPUTED_VALUE"""),"Real")</f>
        <v>Real</v>
      </c>
      <c r="G9386" s="8">
        <f t="shared" si="1"/>
        <v>11</v>
      </c>
      <c r="H9386" s="14">
        <f t="shared" si="2"/>
        <v>27</v>
      </c>
      <c r="I9386" s="15">
        <f t="shared" si="3"/>
        <v>1</v>
      </c>
    </row>
    <row r="9387">
      <c r="A9387" s="8" t="str">
        <f>IFERROR(__xludf.DUMMYFUNCTION("IF('(INGESTA)Datos_consumo_datadis'!A9387&lt;&gt;"""",SPLIT('(INGESTA)Datos_consumo_datadis'!A:A,"",""),"""")"),"ES0031408323131005HX0F")</f>
        <v>ES0031408323131005HX0F</v>
      </c>
      <c r="B9387" s="17">
        <f>IFERROR(__xludf.DUMMYFUNCTION("""COMPUTED_VALUE"""),45257.0)</f>
        <v>45257</v>
      </c>
      <c r="C9387" s="13">
        <f>IFERROR(__xludf.DUMMYFUNCTION("""COMPUTED_VALUE"""),0.08333333333333333)</f>
        <v>0.08333333333</v>
      </c>
      <c r="D9387" s="8">
        <f>IFERROR(__xludf.DUMMYFUNCTION("""COMPUTED_VALUE"""),0.074)</f>
        <v>0.074</v>
      </c>
      <c r="E9387" s="8" t="str">
        <f>IFERROR(__xludf.DUMMYFUNCTION("""COMPUTED_VALUE"""),"Real")</f>
        <v>Real</v>
      </c>
      <c r="G9387" s="8">
        <f t="shared" si="1"/>
        <v>11</v>
      </c>
      <c r="H9387" s="14">
        <f t="shared" si="2"/>
        <v>27</v>
      </c>
      <c r="I9387" s="15">
        <f t="shared" si="3"/>
        <v>2</v>
      </c>
    </row>
    <row r="9388">
      <c r="A9388" s="8" t="str">
        <f>IFERROR(__xludf.DUMMYFUNCTION("IF('(INGESTA)Datos_consumo_datadis'!A9388&lt;&gt;"""",SPLIT('(INGESTA)Datos_consumo_datadis'!A:A,"",""),"""")"),"ES0031408323131005HX0F")</f>
        <v>ES0031408323131005HX0F</v>
      </c>
      <c r="B9388" s="17">
        <f>IFERROR(__xludf.DUMMYFUNCTION("""COMPUTED_VALUE"""),45257.0)</f>
        <v>45257</v>
      </c>
      <c r="C9388" s="13">
        <f>IFERROR(__xludf.DUMMYFUNCTION("""COMPUTED_VALUE"""),0.125)</f>
        <v>0.125</v>
      </c>
      <c r="D9388" s="8">
        <f>IFERROR(__xludf.DUMMYFUNCTION("""COMPUTED_VALUE"""),0.354)</f>
        <v>0.354</v>
      </c>
      <c r="E9388" s="8" t="str">
        <f>IFERROR(__xludf.DUMMYFUNCTION("""COMPUTED_VALUE"""),"Real")</f>
        <v>Real</v>
      </c>
      <c r="G9388" s="8">
        <f t="shared" si="1"/>
        <v>11</v>
      </c>
      <c r="H9388" s="14">
        <f t="shared" si="2"/>
        <v>27</v>
      </c>
      <c r="I9388" s="15">
        <f t="shared" si="3"/>
        <v>3</v>
      </c>
    </row>
    <row r="9389">
      <c r="A9389" s="8" t="str">
        <f>IFERROR(__xludf.DUMMYFUNCTION("IF('(INGESTA)Datos_consumo_datadis'!A9389&lt;&gt;"""",SPLIT('(INGESTA)Datos_consumo_datadis'!A:A,"",""),"""")"),"ES0031408323131005HX0F")</f>
        <v>ES0031408323131005HX0F</v>
      </c>
      <c r="B9389" s="17">
        <f>IFERROR(__xludf.DUMMYFUNCTION("""COMPUTED_VALUE"""),45257.0)</f>
        <v>45257</v>
      </c>
      <c r="C9389" s="13">
        <f>IFERROR(__xludf.DUMMYFUNCTION("""COMPUTED_VALUE"""),0.16666666666666666)</f>
        <v>0.1666666667</v>
      </c>
      <c r="D9389" s="8">
        <f>IFERROR(__xludf.DUMMYFUNCTION("""COMPUTED_VALUE"""),0.029)</f>
        <v>0.029</v>
      </c>
      <c r="E9389" s="8" t="str">
        <f>IFERROR(__xludf.DUMMYFUNCTION("""COMPUTED_VALUE"""),"Real")</f>
        <v>Real</v>
      </c>
      <c r="G9389" s="8">
        <f t="shared" si="1"/>
        <v>11</v>
      </c>
      <c r="H9389" s="14">
        <f t="shared" si="2"/>
        <v>27</v>
      </c>
      <c r="I9389" s="15">
        <f t="shared" si="3"/>
        <v>4</v>
      </c>
    </row>
    <row r="9390">
      <c r="A9390" s="8" t="str">
        <f>IFERROR(__xludf.DUMMYFUNCTION("IF('(INGESTA)Datos_consumo_datadis'!A9390&lt;&gt;"""",SPLIT('(INGESTA)Datos_consumo_datadis'!A:A,"",""),"""")"),"ES0031408323131005HX0F")</f>
        <v>ES0031408323131005HX0F</v>
      </c>
      <c r="B9390" s="17">
        <f>IFERROR(__xludf.DUMMYFUNCTION("""COMPUTED_VALUE"""),45257.0)</f>
        <v>45257</v>
      </c>
      <c r="C9390" s="13">
        <f>IFERROR(__xludf.DUMMYFUNCTION("""COMPUTED_VALUE"""),0.20833333333333334)</f>
        <v>0.2083333333</v>
      </c>
      <c r="D9390" s="8">
        <f>IFERROR(__xludf.DUMMYFUNCTION("""COMPUTED_VALUE"""),0.082)</f>
        <v>0.082</v>
      </c>
      <c r="E9390" s="8" t="str">
        <f>IFERROR(__xludf.DUMMYFUNCTION("""COMPUTED_VALUE"""),"Real")</f>
        <v>Real</v>
      </c>
      <c r="G9390" s="8">
        <f t="shared" si="1"/>
        <v>11</v>
      </c>
      <c r="H9390" s="14">
        <f t="shared" si="2"/>
        <v>27</v>
      </c>
      <c r="I9390" s="15">
        <f t="shared" si="3"/>
        <v>5</v>
      </c>
    </row>
    <row r="9391">
      <c r="A9391" s="8" t="str">
        <f>IFERROR(__xludf.DUMMYFUNCTION("IF('(INGESTA)Datos_consumo_datadis'!A9391&lt;&gt;"""",SPLIT('(INGESTA)Datos_consumo_datadis'!A:A,"",""),"""")"),"ES0031408323131005HX0F")</f>
        <v>ES0031408323131005HX0F</v>
      </c>
      <c r="B9391" s="17">
        <f>IFERROR(__xludf.DUMMYFUNCTION("""COMPUTED_VALUE"""),45257.0)</f>
        <v>45257</v>
      </c>
      <c r="C9391" s="13">
        <f>IFERROR(__xludf.DUMMYFUNCTION("""COMPUTED_VALUE"""),0.25)</f>
        <v>0.25</v>
      </c>
      <c r="D9391" s="8">
        <f>IFERROR(__xludf.DUMMYFUNCTION("""COMPUTED_VALUE"""),0.055)</f>
        <v>0.055</v>
      </c>
      <c r="E9391" s="8" t="str">
        <f>IFERROR(__xludf.DUMMYFUNCTION("""COMPUTED_VALUE"""),"Real")</f>
        <v>Real</v>
      </c>
      <c r="G9391" s="8">
        <f t="shared" si="1"/>
        <v>11</v>
      </c>
      <c r="H9391" s="14">
        <f t="shared" si="2"/>
        <v>27</v>
      </c>
      <c r="I9391" s="15">
        <f t="shared" si="3"/>
        <v>6</v>
      </c>
    </row>
    <row r="9392">
      <c r="A9392" s="8" t="str">
        <f>IFERROR(__xludf.DUMMYFUNCTION("IF('(INGESTA)Datos_consumo_datadis'!A9392&lt;&gt;"""",SPLIT('(INGESTA)Datos_consumo_datadis'!A:A,"",""),"""")"),"ES0031408323131005HX0F")</f>
        <v>ES0031408323131005HX0F</v>
      </c>
      <c r="B9392" s="17">
        <f>IFERROR(__xludf.DUMMYFUNCTION("""COMPUTED_VALUE"""),45257.0)</f>
        <v>45257</v>
      </c>
      <c r="C9392" s="13">
        <f>IFERROR(__xludf.DUMMYFUNCTION("""COMPUTED_VALUE"""),0.2916666666666667)</f>
        <v>0.2916666667</v>
      </c>
      <c r="D9392" s="8">
        <f>IFERROR(__xludf.DUMMYFUNCTION("""COMPUTED_VALUE"""),0.017)</f>
        <v>0.017</v>
      </c>
      <c r="E9392" s="8" t="str">
        <f>IFERROR(__xludf.DUMMYFUNCTION("""COMPUTED_VALUE"""),"Real")</f>
        <v>Real</v>
      </c>
      <c r="G9392" s="8">
        <f t="shared" si="1"/>
        <v>11</v>
      </c>
      <c r="H9392" s="14">
        <f t="shared" si="2"/>
        <v>27</v>
      </c>
      <c r="I9392" s="15">
        <f t="shared" si="3"/>
        <v>7</v>
      </c>
    </row>
    <row r="9393">
      <c r="A9393" s="8" t="str">
        <f>IFERROR(__xludf.DUMMYFUNCTION("IF('(INGESTA)Datos_consumo_datadis'!A9393&lt;&gt;"""",SPLIT('(INGESTA)Datos_consumo_datadis'!A:A,"",""),"""")"),"ES0031408323131005HX0F")</f>
        <v>ES0031408323131005HX0F</v>
      </c>
      <c r="B9393" s="17">
        <f>IFERROR(__xludf.DUMMYFUNCTION("""COMPUTED_VALUE"""),45257.0)</f>
        <v>45257</v>
      </c>
      <c r="C9393" s="13">
        <f>IFERROR(__xludf.DUMMYFUNCTION("""COMPUTED_VALUE"""),0.3333333333333333)</f>
        <v>0.3333333333</v>
      </c>
      <c r="D9393" s="8">
        <f>IFERROR(__xludf.DUMMYFUNCTION("""COMPUTED_VALUE"""),0.404)</f>
        <v>0.404</v>
      </c>
      <c r="E9393" s="8" t="str">
        <f>IFERROR(__xludf.DUMMYFUNCTION("""COMPUTED_VALUE"""),"Real")</f>
        <v>Real</v>
      </c>
      <c r="G9393" s="8">
        <f t="shared" si="1"/>
        <v>11</v>
      </c>
      <c r="H9393" s="14">
        <f t="shared" si="2"/>
        <v>27</v>
      </c>
      <c r="I9393" s="15">
        <f t="shared" si="3"/>
        <v>8</v>
      </c>
    </row>
    <row r="9394">
      <c r="A9394" s="8" t="str">
        <f>IFERROR(__xludf.DUMMYFUNCTION("IF('(INGESTA)Datos_consumo_datadis'!A9394&lt;&gt;"""",SPLIT('(INGESTA)Datos_consumo_datadis'!A:A,"",""),"""")"),"ES0031408323131005HX0F")</f>
        <v>ES0031408323131005HX0F</v>
      </c>
      <c r="B9394" s="17">
        <f>IFERROR(__xludf.DUMMYFUNCTION("""COMPUTED_VALUE"""),45257.0)</f>
        <v>45257</v>
      </c>
      <c r="C9394" s="13">
        <f>IFERROR(__xludf.DUMMYFUNCTION("""COMPUTED_VALUE"""),0.375)</f>
        <v>0.375</v>
      </c>
      <c r="D9394" s="8">
        <f>IFERROR(__xludf.DUMMYFUNCTION("""COMPUTED_VALUE"""),0.27)</f>
        <v>0.27</v>
      </c>
      <c r="E9394" s="8" t="str">
        <f>IFERROR(__xludf.DUMMYFUNCTION("""COMPUTED_VALUE"""),"Real")</f>
        <v>Real</v>
      </c>
      <c r="G9394" s="8">
        <f t="shared" si="1"/>
        <v>11</v>
      </c>
      <c r="H9394" s="14">
        <f t="shared" si="2"/>
        <v>27</v>
      </c>
      <c r="I9394" s="15">
        <f t="shared" si="3"/>
        <v>9</v>
      </c>
    </row>
    <row r="9395">
      <c r="A9395" s="8" t="str">
        <f>IFERROR(__xludf.DUMMYFUNCTION("IF('(INGESTA)Datos_consumo_datadis'!A9395&lt;&gt;"""",SPLIT('(INGESTA)Datos_consumo_datadis'!A:A,"",""),"""")"),"ES0031408323131005HX0F")</f>
        <v>ES0031408323131005HX0F</v>
      </c>
      <c r="B9395" s="17">
        <f>IFERROR(__xludf.DUMMYFUNCTION("""COMPUTED_VALUE"""),45257.0)</f>
        <v>45257</v>
      </c>
      <c r="C9395" s="13">
        <f>IFERROR(__xludf.DUMMYFUNCTION("""COMPUTED_VALUE"""),0.4166666666666667)</f>
        <v>0.4166666667</v>
      </c>
      <c r="D9395" s="8">
        <f>IFERROR(__xludf.DUMMYFUNCTION("""COMPUTED_VALUE"""),0.017)</f>
        <v>0.017</v>
      </c>
      <c r="E9395" s="8" t="str">
        <f>IFERROR(__xludf.DUMMYFUNCTION("""COMPUTED_VALUE"""),"Real")</f>
        <v>Real</v>
      </c>
      <c r="G9395" s="8">
        <f t="shared" si="1"/>
        <v>11</v>
      </c>
      <c r="H9395" s="14">
        <f t="shared" si="2"/>
        <v>27</v>
      </c>
      <c r="I9395" s="15">
        <f t="shared" si="3"/>
        <v>10</v>
      </c>
    </row>
    <row r="9396">
      <c r="A9396" s="8" t="str">
        <f>IFERROR(__xludf.DUMMYFUNCTION("IF('(INGESTA)Datos_consumo_datadis'!A9396&lt;&gt;"""",SPLIT('(INGESTA)Datos_consumo_datadis'!A:A,"",""),"""")"),"ES0031408323131005HX0F")</f>
        <v>ES0031408323131005HX0F</v>
      </c>
      <c r="B9396" s="17">
        <f>IFERROR(__xludf.DUMMYFUNCTION("""COMPUTED_VALUE"""),45257.0)</f>
        <v>45257</v>
      </c>
      <c r="C9396" s="13">
        <f>IFERROR(__xludf.DUMMYFUNCTION("""COMPUTED_VALUE"""),0.4583333333333333)</f>
        <v>0.4583333333</v>
      </c>
      <c r="D9396" s="8">
        <f>IFERROR(__xludf.DUMMYFUNCTION("""COMPUTED_VALUE"""),0.086)</f>
        <v>0.086</v>
      </c>
      <c r="E9396" s="8" t="str">
        <f>IFERROR(__xludf.DUMMYFUNCTION("""COMPUTED_VALUE"""),"Real")</f>
        <v>Real</v>
      </c>
      <c r="G9396" s="8">
        <f t="shared" si="1"/>
        <v>11</v>
      </c>
      <c r="H9396" s="14">
        <f t="shared" si="2"/>
        <v>27</v>
      </c>
      <c r="I9396" s="15">
        <f t="shared" si="3"/>
        <v>11</v>
      </c>
    </row>
    <row r="9397">
      <c r="A9397" s="8" t="str">
        <f>IFERROR(__xludf.DUMMYFUNCTION("IF('(INGESTA)Datos_consumo_datadis'!A9397&lt;&gt;"""",SPLIT('(INGESTA)Datos_consumo_datadis'!A:A,"",""),"""")"),"ES0031408323131005HX0F")</f>
        <v>ES0031408323131005HX0F</v>
      </c>
      <c r="B9397" s="17">
        <f>IFERROR(__xludf.DUMMYFUNCTION("""COMPUTED_VALUE"""),45257.0)</f>
        <v>45257</v>
      </c>
      <c r="C9397" s="13">
        <f>IFERROR(__xludf.DUMMYFUNCTION("""COMPUTED_VALUE"""),0.5)</f>
        <v>0.5</v>
      </c>
      <c r="D9397" s="8">
        <f>IFERROR(__xludf.DUMMYFUNCTION("""COMPUTED_VALUE"""),0.068)</f>
        <v>0.068</v>
      </c>
      <c r="E9397" s="8" t="str">
        <f>IFERROR(__xludf.DUMMYFUNCTION("""COMPUTED_VALUE"""),"Real")</f>
        <v>Real</v>
      </c>
      <c r="G9397" s="8">
        <f t="shared" si="1"/>
        <v>11</v>
      </c>
      <c r="H9397" s="14">
        <f t="shared" si="2"/>
        <v>27</v>
      </c>
      <c r="I9397" s="15">
        <f t="shared" si="3"/>
        <v>12</v>
      </c>
    </row>
    <row r="9398">
      <c r="A9398" s="8" t="str">
        <f>IFERROR(__xludf.DUMMYFUNCTION("IF('(INGESTA)Datos_consumo_datadis'!A9398&lt;&gt;"""",SPLIT('(INGESTA)Datos_consumo_datadis'!A:A,"",""),"""")"),"ES0031408323131005HX0F")</f>
        <v>ES0031408323131005HX0F</v>
      </c>
      <c r="B9398" s="17">
        <f>IFERROR(__xludf.DUMMYFUNCTION("""COMPUTED_VALUE"""),45257.0)</f>
        <v>45257</v>
      </c>
      <c r="C9398" s="13">
        <f>IFERROR(__xludf.DUMMYFUNCTION("""COMPUTED_VALUE"""),0.5416666666666666)</f>
        <v>0.5416666667</v>
      </c>
      <c r="D9398" s="8">
        <f>IFERROR(__xludf.DUMMYFUNCTION("""COMPUTED_VALUE"""),0.122)</f>
        <v>0.122</v>
      </c>
      <c r="E9398" s="8" t="str">
        <f>IFERROR(__xludf.DUMMYFUNCTION("""COMPUTED_VALUE"""),"Real")</f>
        <v>Real</v>
      </c>
      <c r="G9398" s="8">
        <f t="shared" si="1"/>
        <v>11</v>
      </c>
      <c r="H9398" s="14">
        <f t="shared" si="2"/>
        <v>27</v>
      </c>
      <c r="I9398" s="15">
        <f t="shared" si="3"/>
        <v>13</v>
      </c>
    </row>
    <row r="9399">
      <c r="A9399" s="8" t="str">
        <f>IFERROR(__xludf.DUMMYFUNCTION("IF('(INGESTA)Datos_consumo_datadis'!A9399&lt;&gt;"""",SPLIT('(INGESTA)Datos_consumo_datadis'!A:A,"",""),"""")"),"ES0031408323131005HX0F")</f>
        <v>ES0031408323131005HX0F</v>
      </c>
      <c r="B9399" s="17">
        <f>IFERROR(__xludf.DUMMYFUNCTION("""COMPUTED_VALUE"""),45257.0)</f>
        <v>45257</v>
      </c>
      <c r="C9399" s="13">
        <f>IFERROR(__xludf.DUMMYFUNCTION("""COMPUTED_VALUE"""),0.5833333333333334)</f>
        <v>0.5833333333</v>
      </c>
      <c r="D9399" s="8">
        <f>IFERROR(__xludf.DUMMYFUNCTION("""COMPUTED_VALUE"""),0.253)</f>
        <v>0.253</v>
      </c>
      <c r="E9399" s="8" t="str">
        <f>IFERROR(__xludf.DUMMYFUNCTION("""COMPUTED_VALUE"""),"Real")</f>
        <v>Real</v>
      </c>
      <c r="G9399" s="8">
        <f t="shared" si="1"/>
        <v>11</v>
      </c>
      <c r="H9399" s="14">
        <f t="shared" si="2"/>
        <v>27</v>
      </c>
      <c r="I9399" s="15">
        <f t="shared" si="3"/>
        <v>14</v>
      </c>
    </row>
    <row r="9400">
      <c r="A9400" s="8" t="str">
        <f>IFERROR(__xludf.DUMMYFUNCTION("IF('(INGESTA)Datos_consumo_datadis'!A9400&lt;&gt;"""",SPLIT('(INGESTA)Datos_consumo_datadis'!A:A,"",""),"""")"),"ES0031408323131005HX0F")</f>
        <v>ES0031408323131005HX0F</v>
      </c>
      <c r="B9400" s="17">
        <f>IFERROR(__xludf.DUMMYFUNCTION("""COMPUTED_VALUE"""),45257.0)</f>
        <v>45257</v>
      </c>
      <c r="C9400" s="13">
        <f>IFERROR(__xludf.DUMMYFUNCTION("""COMPUTED_VALUE"""),0.625)</f>
        <v>0.625</v>
      </c>
      <c r="D9400" s="8">
        <f>IFERROR(__xludf.DUMMYFUNCTION("""COMPUTED_VALUE"""),0.07)</f>
        <v>0.07</v>
      </c>
      <c r="E9400" s="8" t="str">
        <f>IFERROR(__xludf.DUMMYFUNCTION("""COMPUTED_VALUE"""),"Real")</f>
        <v>Real</v>
      </c>
      <c r="G9400" s="8">
        <f t="shared" si="1"/>
        <v>11</v>
      </c>
      <c r="H9400" s="14">
        <f t="shared" si="2"/>
        <v>27</v>
      </c>
      <c r="I9400" s="15">
        <f t="shared" si="3"/>
        <v>15</v>
      </c>
    </row>
    <row r="9401">
      <c r="A9401" s="8" t="str">
        <f>IFERROR(__xludf.DUMMYFUNCTION("IF('(INGESTA)Datos_consumo_datadis'!A9401&lt;&gt;"""",SPLIT('(INGESTA)Datos_consumo_datadis'!A:A,"",""),"""")"),"ES0031408323131005HX0F")</f>
        <v>ES0031408323131005HX0F</v>
      </c>
      <c r="B9401" s="17">
        <f>IFERROR(__xludf.DUMMYFUNCTION("""COMPUTED_VALUE"""),45257.0)</f>
        <v>45257</v>
      </c>
      <c r="C9401" s="13">
        <f>IFERROR(__xludf.DUMMYFUNCTION("""COMPUTED_VALUE"""),0.6666666666666666)</f>
        <v>0.6666666667</v>
      </c>
      <c r="D9401" s="8">
        <f>IFERROR(__xludf.DUMMYFUNCTION("""COMPUTED_VALUE"""),0.016)</f>
        <v>0.016</v>
      </c>
      <c r="E9401" s="8" t="str">
        <f>IFERROR(__xludf.DUMMYFUNCTION("""COMPUTED_VALUE"""),"Real")</f>
        <v>Real</v>
      </c>
      <c r="G9401" s="8">
        <f t="shared" si="1"/>
        <v>11</v>
      </c>
      <c r="H9401" s="14">
        <f t="shared" si="2"/>
        <v>27</v>
      </c>
      <c r="I9401" s="15">
        <f t="shared" si="3"/>
        <v>16</v>
      </c>
    </row>
    <row r="9402">
      <c r="A9402" s="8" t="str">
        <f>IFERROR(__xludf.DUMMYFUNCTION("IF('(INGESTA)Datos_consumo_datadis'!A9402&lt;&gt;"""",SPLIT('(INGESTA)Datos_consumo_datadis'!A:A,"",""),"""")"),"ES0031408323131005HX0F")</f>
        <v>ES0031408323131005HX0F</v>
      </c>
      <c r="B9402" s="17">
        <f>IFERROR(__xludf.DUMMYFUNCTION("""COMPUTED_VALUE"""),45257.0)</f>
        <v>45257</v>
      </c>
      <c r="C9402" s="13">
        <f>IFERROR(__xludf.DUMMYFUNCTION("""COMPUTED_VALUE"""),0.7083333333333334)</f>
        <v>0.7083333333</v>
      </c>
      <c r="D9402" s="8">
        <f>IFERROR(__xludf.DUMMYFUNCTION("""COMPUTED_VALUE"""),0.083)</f>
        <v>0.083</v>
      </c>
      <c r="E9402" s="8" t="str">
        <f>IFERROR(__xludf.DUMMYFUNCTION("""COMPUTED_VALUE"""),"Real")</f>
        <v>Real</v>
      </c>
      <c r="G9402" s="8">
        <f t="shared" si="1"/>
        <v>11</v>
      </c>
      <c r="H9402" s="14">
        <f t="shared" si="2"/>
        <v>27</v>
      </c>
      <c r="I9402" s="15">
        <f t="shared" si="3"/>
        <v>17</v>
      </c>
    </row>
    <row r="9403">
      <c r="A9403" s="8" t="str">
        <f>IFERROR(__xludf.DUMMYFUNCTION("IF('(INGESTA)Datos_consumo_datadis'!A9403&lt;&gt;"""",SPLIT('(INGESTA)Datos_consumo_datadis'!A:A,"",""),"""")"),"ES0031408323131005HX0F")</f>
        <v>ES0031408323131005HX0F</v>
      </c>
      <c r="B9403" s="17">
        <f>IFERROR(__xludf.DUMMYFUNCTION("""COMPUTED_VALUE"""),45257.0)</f>
        <v>45257</v>
      </c>
      <c r="C9403" s="13">
        <f>IFERROR(__xludf.DUMMYFUNCTION("""COMPUTED_VALUE"""),0.75)</f>
        <v>0.75</v>
      </c>
      <c r="D9403" s="8">
        <f>IFERROR(__xludf.DUMMYFUNCTION("""COMPUTED_VALUE"""),0.069)</f>
        <v>0.069</v>
      </c>
      <c r="E9403" s="8" t="str">
        <f>IFERROR(__xludf.DUMMYFUNCTION("""COMPUTED_VALUE"""),"Real")</f>
        <v>Real</v>
      </c>
      <c r="G9403" s="8">
        <f t="shared" si="1"/>
        <v>11</v>
      </c>
      <c r="H9403" s="14">
        <f t="shared" si="2"/>
        <v>27</v>
      </c>
      <c r="I9403" s="15">
        <f t="shared" si="3"/>
        <v>18</v>
      </c>
    </row>
    <row r="9404">
      <c r="A9404" s="8" t="str">
        <f>IFERROR(__xludf.DUMMYFUNCTION("IF('(INGESTA)Datos_consumo_datadis'!A9404&lt;&gt;"""",SPLIT('(INGESTA)Datos_consumo_datadis'!A:A,"",""),"""")"),"ES0031408323131005HX0F")</f>
        <v>ES0031408323131005HX0F</v>
      </c>
      <c r="B9404" s="17">
        <f>IFERROR(__xludf.DUMMYFUNCTION("""COMPUTED_VALUE"""),45257.0)</f>
        <v>45257</v>
      </c>
      <c r="C9404" s="13">
        <f>IFERROR(__xludf.DUMMYFUNCTION("""COMPUTED_VALUE"""),0.7916666666666666)</f>
        <v>0.7916666667</v>
      </c>
      <c r="D9404" s="8">
        <f>IFERROR(__xludf.DUMMYFUNCTION("""COMPUTED_VALUE"""),0.311)</f>
        <v>0.311</v>
      </c>
      <c r="E9404" s="8" t="str">
        <f>IFERROR(__xludf.DUMMYFUNCTION("""COMPUTED_VALUE"""),"Real")</f>
        <v>Real</v>
      </c>
      <c r="G9404" s="8">
        <f t="shared" si="1"/>
        <v>11</v>
      </c>
      <c r="H9404" s="14">
        <f t="shared" si="2"/>
        <v>27</v>
      </c>
      <c r="I9404" s="15">
        <f t="shared" si="3"/>
        <v>19</v>
      </c>
    </row>
    <row r="9405">
      <c r="A9405" s="8" t="str">
        <f>IFERROR(__xludf.DUMMYFUNCTION("IF('(INGESTA)Datos_consumo_datadis'!A9405&lt;&gt;"""",SPLIT('(INGESTA)Datos_consumo_datadis'!A:A,"",""),"""")"),"ES0031408323131005HX0F")</f>
        <v>ES0031408323131005HX0F</v>
      </c>
      <c r="B9405" s="17">
        <f>IFERROR(__xludf.DUMMYFUNCTION("""COMPUTED_VALUE"""),45257.0)</f>
        <v>45257</v>
      </c>
      <c r="C9405" s="13">
        <f>IFERROR(__xludf.DUMMYFUNCTION("""COMPUTED_VALUE"""),0.8333333333333334)</f>
        <v>0.8333333333</v>
      </c>
      <c r="D9405" s="8">
        <f>IFERROR(__xludf.DUMMYFUNCTION("""COMPUTED_VALUE"""),0.237)</f>
        <v>0.237</v>
      </c>
      <c r="E9405" s="8" t="str">
        <f>IFERROR(__xludf.DUMMYFUNCTION("""COMPUTED_VALUE"""),"Real")</f>
        <v>Real</v>
      </c>
      <c r="G9405" s="8">
        <f t="shared" si="1"/>
        <v>11</v>
      </c>
      <c r="H9405" s="14">
        <f t="shared" si="2"/>
        <v>27</v>
      </c>
      <c r="I9405" s="15">
        <f t="shared" si="3"/>
        <v>20</v>
      </c>
    </row>
    <row r="9406">
      <c r="A9406" s="8" t="str">
        <f>IFERROR(__xludf.DUMMYFUNCTION("IF('(INGESTA)Datos_consumo_datadis'!A9406&lt;&gt;"""",SPLIT('(INGESTA)Datos_consumo_datadis'!A:A,"",""),"""")"),"ES0031408323131005HX0F")</f>
        <v>ES0031408323131005HX0F</v>
      </c>
      <c r="B9406" s="17">
        <f>IFERROR(__xludf.DUMMYFUNCTION("""COMPUTED_VALUE"""),45257.0)</f>
        <v>45257</v>
      </c>
      <c r="C9406" s="13">
        <f>IFERROR(__xludf.DUMMYFUNCTION("""COMPUTED_VALUE"""),0.875)</f>
        <v>0.875</v>
      </c>
      <c r="D9406" s="8">
        <f>IFERROR(__xludf.DUMMYFUNCTION("""COMPUTED_VALUE"""),0.454)</f>
        <v>0.454</v>
      </c>
      <c r="E9406" s="8" t="str">
        <f>IFERROR(__xludf.DUMMYFUNCTION("""COMPUTED_VALUE"""),"Real")</f>
        <v>Real</v>
      </c>
      <c r="G9406" s="8">
        <f t="shared" si="1"/>
        <v>11</v>
      </c>
      <c r="H9406" s="14">
        <f t="shared" si="2"/>
        <v>27</v>
      </c>
      <c r="I9406" s="15">
        <f t="shared" si="3"/>
        <v>21</v>
      </c>
    </row>
    <row r="9407">
      <c r="A9407" s="8" t="str">
        <f>IFERROR(__xludf.DUMMYFUNCTION("IF('(INGESTA)Datos_consumo_datadis'!A9407&lt;&gt;"""",SPLIT('(INGESTA)Datos_consumo_datadis'!A:A,"",""),"""")"),"ES0031408323131005HX0F")</f>
        <v>ES0031408323131005HX0F</v>
      </c>
      <c r="B9407" s="17">
        <f>IFERROR(__xludf.DUMMYFUNCTION("""COMPUTED_VALUE"""),45257.0)</f>
        <v>45257</v>
      </c>
      <c r="C9407" s="13">
        <f>IFERROR(__xludf.DUMMYFUNCTION("""COMPUTED_VALUE"""),0.9166666666666666)</f>
        <v>0.9166666667</v>
      </c>
      <c r="D9407" s="8">
        <f>IFERROR(__xludf.DUMMYFUNCTION("""COMPUTED_VALUE"""),0.227)</f>
        <v>0.227</v>
      </c>
      <c r="E9407" s="8" t="str">
        <f>IFERROR(__xludf.DUMMYFUNCTION("""COMPUTED_VALUE"""),"Real")</f>
        <v>Real</v>
      </c>
      <c r="G9407" s="8">
        <f t="shared" si="1"/>
        <v>11</v>
      </c>
      <c r="H9407" s="14">
        <f t="shared" si="2"/>
        <v>27</v>
      </c>
      <c r="I9407" s="15">
        <f t="shared" si="3"/>
        <v>22</v>
      </c>
    </row>
    <row r="9408">
      <c r="A9408" s="8" t="str">
        <f>IFERROR(__xludf.DUMMYFUNCTION("IF('(INGESTA)Datos_consumo_datadis'!A9408&lt;&gt;"""",SPLIT('(INGESTA)Datos_consumo_datadis'!A:A,"",""),"""")"),"ES0031408323131005HX0F")</f>
        <v>ES0031408323131005HX0F</v>
      </c>
      <c r="B9408" s="17">
        <f>IFERROR(__xludf.DUMMYFUNCTION("""COMPUTED_VALUE"""),45257.0)</f>
        <v>45257</v>
      </c>
      <c r="C9408" s="13">
        <f>IFERROR(__xludf.DUMMYFUNCTION("""COMPUTED_VALUE"""),0.9583333333333334)</f>
        <v>0.9583333333</v>
      </c>
      <c r="D9408" s="8">
        <f>IFERROR(__xludf.DUMMYFUNCTION("""COMPUTED_VALUE"""),0.071)</f>
        <v>0.071</v>
      </c>
      <c r="E9408" s="8" t="str">
        <f>IFERROR(__xludf.DUMMYFUNCTION("""COMPUTED_VALUE"""),"Real")</f>
        <v>Real</v>
      </c>
      <c r="G9408" s="8">
        <f t="shared" si="1"/>
        <v>11</v>
      </c>
      <c r="H9408" s="14">
        <f t="shared" si="2"/>
        <v>27</v>
      </c>
      <c r="I9408" s="15">
        <f t="shared" si="3"/>
        <v>23</v>
      </c>
    </row>
    <row r="9409">
      <c r="A9409" s="8" t="str">
        <f>IFERROR(__xludf.DUMMYFUNCTION("IF('(INGESTA)Datos_consumo_datadis'!A9409&lt;&gt;"""",SPLIT('(INGESTA)Datos_consumo_datadis'!A:A,"",""),"""")"),"ES0031408323131005HX0F")</f>
        <v>ES0031408323131005HX0F</v>
      </c>
      <c r="B9409" s="17">
        <f>IFERROR(__xludf.DUMMYFUNCTION("""COMPUTED_VALUE"""),45257.0)</f>
        <v>45257</v>
      </c>
      <c r="C9409" s="16">
        <f>IFERROR(__xludf.DUMMYFUNCTION("""COMPUTED_VALUE"""),1.0)</f>
        <v>1</v>
      </c>
      <c r="D9409" s="8">
        <f>IFERROR(__xludf.DUMMYFUNCTION("""COMPUTED_VALUE"""),0.645)</f>
        <v>0.645</v>
      </c>
      <c r="E9409" s="8" t="str">
        <f>IFERROR(__xludf.DUMMYFUNCTION("""COMPUTED_VALUE"""),"Real")</f>
        <v>Real</v>
      </c>
      <c r="G9409" s="8">
        <f t="shared" si="1"/>
        <v>11</v>
      </c>
      <c r="H9409" s="14">
        <f t="shared" si="2"/>
        <v>27</v>
      </c>
      <c r="I9409" s="15">
        <f t="shared" si="3"/>
        <v>0</v>
      </c>
    </row>
    <row r="9410">
      <c r="A9410" s="8" t="str">
        <f>IFERROR(__xludf.DUMMYFUNCTION("IF('(INGESTA)Datos_consumo_datadis'!A9410&lt;&gt;"""",SPLIT('(INGESTA)Datos_consumo_datadis'!A:A,"",""),"""")"),"ES0031408323131005HX0F")</f>
        <v>ES0031408323131005HX0F</v>
      </c>
      <c r="B9410" s="17">
        <f>IFERROR(__xludf.DUMMYFUNCTION("""COMPUTED_VALUE"""),45258.0)</f>
        <v>45258</v>
      </c>
      <c r="C9410" s="13">
        <f>IFERROR(__xludf.DUMMYFUNCTION("""COMPUTED_VALUE"""),0.041666666666666664)</f>
        <v>0.04166666667</v>
      </c>
      <c r="D9410" s="8">
        <f>IFERROR(__xludf.DUMMYFUNCTION("""COMPUTED_VALUE"""),0.143)</f>
        <v>0.143</v>
      </c>
      <c r="E9410" s="8" t="str">
        <f>IFERROR(__xludf.DUMMYFUNCTION("""COMPUTED_VALUE"""),"Real")</f>
        <v>Real</v>
      </c>
      <c r="G9410" s="8">
        <f t="shared" si="1"/>
        <v>11</v>
      </c>
      <c r="H9410" s="14">
        <f t="shared" si="2"/>
        <v>28</v>
      </c>
      <c r="I9410" s="15">
        <f t="shared" si="3"/>
        <v>1</v>
      </c>
    </row>
    <row r="9411">
      <c r="A9411" s="8" t="str">
        <f>IFERROR(__xludf.DUMMYFUNCTION("IF('(INGESTA)Datos_consumo_datadis'!A9411&lt;&gt;"""",SPLIT('(INGESTA)Datos_consumo_datadis'!A:A,"",""),"""")"),"ES0031408323131005HX0F")</f>
        <v>ES0031408323131005HX0F</v>
      </c>
      <c r="B9411" s="17">
        <f>IFERROR(__xludf.DUMMYFUNCTION("""COMPUTED_VALUE"""),45258.0)</f>
        <v>45258</v>
      </c>
      <c r="C9411" s="13">
        <f>IFERROR(__xludf.DUMMYFUNCTION("""COMPUTED_VALUE"""),0.08333333333333333)</f>
        <v>0.08333333333</v>
      </c>
      <c r="D9411" s="8">
        <f>IFERROR(__xludf.DUMMYFUNCTION("""COMPUTED_VALUE"""),0.087)</f>
        <v>0.087</v>
      </c>
      <c r="E9411" s="8" t="str">
        <f>IFERROR(__xludf.DUMMYFUNCTION("""COMPUTED_VALUE"""),"Real")</f>
        <v>Real</v>
      </c>
      <c r="G9411" s="8">
        <f t="shared" si="1"/>
        <v>11</v>
      </c>
      <c r="H9411" s="14">
        <f t="shared" si="2"/>
        <v>28</v>
      </c>
      <c r="I9411" s="15">
        <f t="shared" si="3"/>
        <v>2</v>
      </c>
    </row>
    <row r="9412">
      <c r="A9412" s="8" t="str">
        <f>IFERROR(__xludf.DUMMYFUNCTION("IF('(INGESTA)Datos_consumo_datadis'!A9412&lt;&gt;"""",SPLIT('(INGESTA)Datos_consumo_datadis'!A:A,"",""),"""")"),"ES0031408323131005HX0F")</f>
        <v>ES0031408323131005HX0F</v>
      </c>
      <c r="B9412" s="17">
        <f>IFERROR(__xludf.DUMMYFUNCTION("""COMPUTED_VALUE"""),45258.0)</f>
        <v>45258</v>
      </c>
      <c r="C9412" s="13">
        <f>IFERROR(__xludf.DUMMYFUNCTION("""COMPUTED_VALUE"""),0.125)</f>
        <v>0.125</v>
      </c>
      <c r="D9412" s="8">
        <f>IFERROR(__xludf.DUMMYFUNCTION("""COMPUTED_VALUE"""),0.054)</f>
        <v>0.054</v>
      </c>
      <c r="E9412" s="8" t="str">
        <f>IFERROR(__xludf.DUMMYFUNCTION("""COMPUTED_VALUE"""),"Real")</f>
        <v>Real</v>
      </c>
      <c r="G9412" s="8">
        <f t="shared" si="1"/>
        <v>11</v>
      </c>
      <c r="H9412" s="14">
        <f t="shared" si="2"/>
        <v>28</v>
      </c>
      <c r="I9412" s="15">
        <f t="shared" si="3"/>
        <v>3</v>
      </c>
    </row>
    <row r="9413">
      <c r="A9413" s="8" t="str">
        <f>IFERROR(__xludf.DUMMYFUNCTION("IF('(INGESTA)Datos_consumo_datadis'!A9413&lt;&gt;"""",SPLIT('(INGESTA)Datos_consumo_datadis'!A:A,"",""),"""")"),"ES0031408323131005HX0F")</f>
        <v>ES0031408323131005HX0F</v>
      </c>
      <c r="B9413" s="17">
        <f>IFERROR(__xludf.DUMMYFUNCTION("""COMPUTED_VALUE"""),45258.0)</f>
        <v>45258</v>
      </c>
      <c r="C9413" s="13">
        <f>IFERROR(__xludf.DUMMYFUNCTION("""COMPUTED_VALUE"""),0.16666666666666666)</f>
        <v>0.1666666667</v>
      </c>
      <c r="D9413" s="8">
        <f>IFERROR(__xludf.DUMMYFUNCTION("""COMPUTED_VALUE"""),0.073)</f>
        <v>0.073</v>
      </c>
      <c r="E9413" s="8" t="str">
        <f>IFERROR(__xludf.DUMMYFUNCTION("""COMPUTED_VALUE"""),"Real")</f>
        <v>Real</v>
      </c>
      <c r="G9413" s="8">
        <f t="shared" si="1"/>
        <v>11</v>
      </c>
      <c r="H9413" s="14">
        <f t="shared" si="2"/>
        <v>28</v>
      </c>
      <c r="I9413" s="15">
        <f t="shared" si="3"/>
        <v>4</v>
      </c>
    </row>
    <row r="9414">
      <c r="A9414" s="8" t="str">
        <f>IFERROR(__xludf.DUMMYFUNCTION("IF('(INGESTA)Datos_consumo_datadis'!A9414&lt;&gt;"""",SPLIT('(INGESTA)Datos_consumo_datadis'!A:A,"",""),"""")"),"ES0031408323131005HX0F")</f>
        <v>ES0031408323131005HX0F</v>
      </c>
      <c r="B9414" s="17">
        <f>IFERROR(__xludf.DUMMYFUNCTION("""COMPUTED_VALUE"""),45258.0)</f>
        <v>45258</v>
      </c>
      <c r="C9414" s="13">
        <f>IFERROR(__xludf.DUMMYFUNCTION("""COMPUTED_VALUE"""),0.20833333333333334)</f>
        <v>0.2083333333</v>
      </c>
      <c r="D9414" s="8">
        <f>IFERROR(__xludf.DUMMYFUNCTION("""COMPUTED_VALUE"""),0.345)</f>
        <v>0.345</v>
      </c>
      <c r="E9414" s="8" t="str">
        <f>IFERROR(__xludf.DUMMYFUNCTION("""COMPUTED_VALUE"""),"Real")</f>
        <v>Real</v>
      </c>
      <c r="G9414" s="8">
        <f t="shared" si="1"/>
        <v>11</v>
      </c>
      <c r="H9414" s="14">
        <f t="shared" si="2"/>
        <v>28</v>
      </c>
      <c r="I9414" s="15">
        <f t="shared" si="3"/>
        <v>5</v>
      </c>
    </row>
    <row r="9415">
      <c r="A9415" s="8" t="str">
        <f>IFERROR(__xludf.DUMMYFUNCTION("IF('(INGESTA)Datos_consumo_datadis'!A9415&lt;&gt;"""",SPLIT('(INGESTA)Datos_consumo_datadis'!A:A,"",""),"""")"),"ES0031408323131005HX0F")</f>
        <v>ES0031408323131005HX0F</v>
      </c>
      <c r="B9415" s="17">
        <f>IFERROR(__xludf.DUMMYFUNCTION("""COMPUTED_VALUE"""),45258.0)</f>
        <v>45258</v>
      </c>
      <c r="C9415" s="13">
        <f>IFERROR(__xludf.DUMMYFUNCTION("""COMPUTED_VALUE"""),0.25)</f>
        <v>0.25</v>
      </c>
      <c r="D9415" s="8">
        <f>IFERROR(__xludf.DUMMYFUNCTION("""COMPUTED_VALUE"""),0.039)</f>
        <v>0.039</v>
      </c>
      <c r="E9415" s="8" t="str">
        <f>IFERROR(__xludf.DUMMYFUNCTION("""COMPUTED_VALUE"""),"Real")</f>
        <v>Real</v>
      </c>
      <c r="G9415" s="8">
        <f t="shared" si="1"/>
        <v>11</v>
      </c>
      <c r="H9415" s="14">
        <f t="shared" si="2"/>
        <v>28</v>
      </c>
      <c r="I9415" s="15">
        <f t="shared" si="3"/>
        <v>6</v>
      </c>
    </row>
    <row r="9416">
      <c r="A9416" s="8" t="str">
        <f>IFERROR(__xludf.DUMMYFUNCTION("IF('(INGESTA)Datos_consumo_datadis'!A9416&lt;&gt;"""",SPLIT('(INGESTA)Datos_consumo_datadis'!A:A,"",""),"""")"),"ES0031408323131005HX0F")</f>
        <v>ES0031408323131005HX0F</v>
      </c>
      <c r="B9416" s="17">
        <f>IFERROR(__xludf.DUMMYFUNCTION("""COMPUTED_VALUE"""),45258.0)</f>
        <v>45258</v>
      </c>
      <c r="C9416" s="13">
        <f>IFERROR(__xludf.DUMMYFUNCTION("""COMPUTED_VALUE"""),0.2916666666666667)</f>
        <v>0.2916666667</v>
      </c>
      <c r="D9416" s="8">
        <f>IFERROR(__xludf.DUMMYFUNCTION("""COMPUTED_VALUE"""),0.046)</f>
        <v>0.046</v>
      </c>
      <c r="E9416" s="8" t="str">
        <f>IFERROR(__xludf.DUMMYFUNCTION("""COMPUTED_VALUE"""),"Real")</f>
        <v>Real</v>
      </c>
      <c r="G9416" s="8">
        <f t="shared" si="1"/>
        <v>11</v>
      </c>
      <c r="H9416" s="14">
        <f t="shared" si="2"/>
        <v>28</v>
      </c>
      <c r="I9416" s="15">
        <f t="shared" si="3"/>
        <v>7</v>
      </c>
    </row>
    <row r="9417">
      <c r="A9417" s="8" t="str">
        <f>IFERROR(__xludf.DUMMYFUNCTION("IF('(INGESTA)Datos_consumo_datadis'!A9417&lt;&gt;"""",SPLIT('(INGESTA)Datos_consumo_datadis'!A:A,"",""),"""")"),"ES0031408323131005HX0F")</f>
        <v>ES0031408323131005HX0F</v>
      </c>
      <c r="B9417" s="17">
        <f>IFERROR(__xludf.DUMMYFUNCTION("""COMPUTED_VALUE"""),45258.0)</f>
        <v>45258</v>
      </c>
      <c r="C9417" s="13">
        <f>IFERROR(__xludf.DUMMYFUNCTION("""COMPUTED_VALUE"""),0.3333333333333333)</f>
        <v>0.3333333333</v>
      </c>
      <c r="D9417" s="8">
        <f>IFERROR(__xludf.DUMMYFUNCTION("""COMPUTED_VALUE"""),0.487)</f>
        <v>0.487</v>
      </c>
      <c r="E9417" s="8" t="str">
        <f>IFERROR(__xludf.DUMMYFUNCTION("""COMPUTED_VALUE"""),"Real")</f>
        <v>Real</v>
      </c>
      <c r="G9417" s="8">
        <f t="shared" si="1"/>
        <v>11</v>
      </c>
      <c r="H9417" s="14">
        <f t="shared" si="2"/>
        <v>28</v>
      </c>
      <c r="I9417" s="15">
        <f t="shared" si="3"/>
        <v>8</v>
      </c>
    </row>
    <row r="9418">
      <c r="A9418" s="8" t="str">
        <f>IFERROR(__xludf.DUMMYFUNCTION("IF('(INGESTA)Datos_consumo_datadis'!A9418&lt;&gt;"""",SPLIT('(INGESTA)Datos_consumo_datadis'!A:A,"",""),"""")"),"ES0031408323131005HX0F")</f>
        <v>ES0031408323131005HX0F</v>
      </c>
      <c r="B9418" s="17">
        <f>IFERROR(__xludf.DUMMYFUNCTION("""COMPUTED_VALUE"""),45258.0)</f>
        <v>45258</v>
      </c>
      <c r="C9418" s="13">
        <f>IFERROR(__xludf.DUMMYFUNCTION("""COMPUTED_VALUE"""),0.375)</f>
        <v>0.375</v>
      </c>
      <c r="D9418" s="8">
        <f>IFERROR(__xludf.DUMMYFUNCTION("""COMPUTED_VALUE"""),0.061)</f>
        <v>0.061</v>
      </c>
      <c r="E9418" s="8" t="str">
        <f>IFERROR(__xludf.DUMMYFUNCTION("""COMPUTED_VALUE"""),"Real")</f>
        <v>Real</v>
      </c>
      <c r="G9418" s="8">
        <f t="shared" si="1"/>
        <v>11</v>
      </c>
      <c r="H9418" s="14">
        <f t="shared" si="2"/>
        <v>28</v>
      </c>
      <c r="I9418" s="15">
        <f t="shared" si="3"/>
        <v>9</v>
      </c>
    </row>
    <row r="9419">
      <c r="A9419" s="8" t="str">
        <f>IFERROR(__xludf.DUMMYFUNCTION("IF('(INGESTA)Datos_consumo_datadis'!A9419&lt;&gt;"""",SPLIT('(INGESTA)Datos_consumo_datadis'!A:A,"",""),"""")"),"ES0031408323131005HX0F")</f>
        <v>ES0031408323131005HX0F</v>
      </c>
      <c r="B9419" s="17">
        <f>IFERROR(__xludf.DUMMYFUNCTION("""COMPUTED_VALUE"""),45258.0)</f>
        <v>45258</v>
      </c>
      <c r="C9419" s="13">
        <f>IFERROR(__xludf.DUMMYFUNCTION("""COMPUTED_VALUE"""),0.4166666666666667)</f>
        <v>0.4166666667</v>
      </c>
      <c r="D9419" s="8">
        <f>IFERROR(__xludf.DUMMYFUNCTION("""COMPUTED_VALUE"""),0.027)</f>
        <v>0.027</v>
      </c>
      <c r="E9419" s="8" t="str">
        <f>IFERROR(__xludf.DUMMYFUNCTION("""COMPUTED_VALUE"""),"Real")</f>
        <v>Real</v>
      </c>
      <c r="G9419" s="8">
        <f t="shared" si="1"/>
        <v>11</v>
      </c>
      <c r="H9419" s="14">
        <f t="shared" si="2"/>
        <v>28</v>
      </c>
      <c r="I9419" s="15">
        <f t="shared" si="3"/>
        <v>10</v>
      </c>
    </row>
    <row r="9420">
      <c r="A9420" s="8" t="str">
        <f>IFERROR(__xludf.DUMMYFUNCTION("IF('(INGESTA)Datos_consumo_datadis'!A9420&lt;&gt;"""",SPLIT('(INGESTA)Datos_consumo_datadis'!A:A,"",""),"""")"),"ES0031408323131005HX0F")</f>
        <v>ES0031408323131005HX0F</v>
      </c>
      <c r="B9420" s="17">
        <f>IFERROR(__xludf.DUMMYFUNCTION("""COMPUTED_VALUE"""),45258.0)</f>
        <v>45258</v>
      </c>
      <c r="C9420" s="13">
        <f>IFERROR(__xludf.DUMMYFUNCTION("""COMPUTED_VALUE"""),0.4583333333333333)</f>
        <v>0.4583333333</v>
      </c>
      <c r="D9420" s="8">
        <f>IFERROR(__xludf.DUMMYFUNCTION("""COMPUTED_VALUE"""),0.075)</f>
        <v>0.075</v>
      </c>
      <c r="E9420" s="8" t="str">
        <f>IFERROR(__xludf.DUMMYFUNCTION("""COMPUTED_VALUE"""),"Real")</f>
        <v>Real</v>
      </c>
      <c r="G9420" s="8">
        <f t="shared" si="1"/>
        <v>11</v>
      </c>
      <c r="H9420" s="14">
        <f t="shared" si="2"/>
        <v>28</v>
      </c>
      <c r="I9420" s="15">
        <f t="shared" si="3"/>
        <v>11</v>
      </c>
    </row>
    <row r="9421">
      <c r="A9421" s="8" t="str">
        <f>IFERROR(__xludf.DUMMYFUNCTION("IF('(INGESTA)Datos_consumo_datadis'!A9421&lt;&gt;"""",SPLIT('(INGESTA)Datos_consumo_datadis'!A:A,"",""),"""")"),"ES0031408323131005HX0F")</f>
        <v>ES0031408323131005HX0F</v>
      </c>
      <c r="B9421" s="17">
        <f>IFERROR(__xludf.DUMMYFUNCTION("""COMPUTED_VALUE"""),45258.0)</f>
        <v>45258</v>
      </c>
      <c r="C9421" s="13">
        <f>IFERROR(__xludf.DUMMYFUNCTION("""COMPUTED_VALUE"""),0.5)</f>
        <v>0.5</v>
      </c>
      <c r="D9421" s="8">
        <f>IFERROR(__xludf.DUMMYFUNCTION("""COMPUTED_VALUE"""),0.08)</f>
        <v>0.08</v>
      </c>
      <c r="E9421" s="8" t="str">
        <f>IFERROR(__xludf.DUMMYFUNCTION("""COMPUTED_VALUE"""),"Real")</f>
        <v>Real</v>
      </c>
      <c r="G9421" s="8">
        <f t="shared" si="1"/>
        <v>11</v>
      </c>
      <c r="H9421" s="14">
        <f t="shared" si="2"/>
        <v>28</v>
      </c>
      <c r="I9421" s="15">
        <f t="shared" si="3"/>
        <v>12</v>
      </c>
    </row>
    <row r="9422">
      <c r="A9422" s="8" t="str">
        <f>IFERROR(__xludf.DUMMYFUNCTION("IF('(INGESTA)Datos_consumo_datadis'!A9422&lt;&gt;"""",SPLIT('(INGESTA)Datos_consumo_datadis'!A:A,"",""),"""")"),"ES0031408323131005HX0F")</f>
        <v>ES0031408323131005HX0F</v>
      </c>
      <c r="B9422" s="17">
        <f>IFERROR(__xludf.DUMMYFUNCTION("""COMPUTED_VALUE"""),45258.0)</f>
        <v>45258</v>
      </c>
      <c r="C9422" s="13">
        <f>IFERROR(__xludf.DUMMYFUNCTION("""COMPUTED_VALUE"""),0.5416666666666666)</f>
        <v>0.5416666667</v>
      </c>
      <c r="D9422" s="8">
        <f>IFERROR(__xludf.DUMMYFUNCTION("""COMPUTED_VALUE"""),0.016)</f>
        <v>0.016</v>
      </c>
      <c r="E9422" s="8" t="str">
        <f>IFERROR(__xludf.DUMMYFUNCTION("""COMPUTED_VALUE"""),"Real")</f>
        <v>Real</v>
      </c>
      <c r="G9422" s="8">
        <f t="shared" si="1"/>
        <v>11</v>
      </c>
      <c r="H9422" s="14">
        <f t="shared" si="2"/>
        <v>28</v>
      </c>
      <c r="I9422" s="15">
        <f t="shared" si="3"/>
        <v>13</v>
      </c>
    </row>
    <row r="9423">
      <c r="A9423" s="8" t="str">
        <f>IFERROR(__xludf.DUMMYFUNCTION("IF('(INGESTA)Datos_consumo_datadis'!A9423&lt;&gt;"""",SPLIT('(INGESTA)Datos_consumo_datadis'!A:A,"",""),"""")"),"ES0031408323131005HX0F")</f>
        <v>ES0031408323131005HX0F</v>
      </c>
      <c r="B9423" s="17">
        <f>IFERROR(__xludf.DUMMYFUNCTION("""COMPUTED_VALUE"""),45258.0)</f>
        <v>45258</v>
      </c>
      <c r="C9423" s="13">
        <f>IFERROR(__xludf.DUMMYFUNCTION("""COMPUTED_VALUE"""),0.5833333333333334)</f>
        <v>0.5833333333</v>
      </c>
      <c r="D9423" s="8">
        <f>IFERROR(__xludf.DUMMYFUNCTION("""COMPUTED_VALUE"""),0.355)</f>
        <v>0.355</v>
      </c>
      <c r="E9423" s="8" t="str">
        <f>IFERROR(__xludf.DUMMYFUNCTION("""COMPUTED_VALUE"""),"Real")</f>
        <v>Real</v>
      </c>
      <c r="G9423" s="8">
        <f t="shared" si="1"/>
        <v>11</v>
      </c>
      <c r="H9423" s="14">
        <f t="shared" si="2"/>
        <v>28</v>
      </c>
      <c r="I9423" s="15">
        <f t="shared" si="3"/>
        <v>14</v>
      </c>
    </row>
    <row r="9424">
      <c r="A9424" s="8" t="str">
        <f>IFERROR(__xludf.DUMMYFUNCTION("IF('(INGESTA)Datos_consumo_datadis'!A9424&lt;&gt;"""",SPLIT('(INGESTA)Datos_consumo_datadis'!A:A,"",""),"""")"),"ES0031408323131005HX0F")</f>
        <v>ES0031408323131005HX0F</v>
      </c>
      <c r="B9424" s="17">
        <f>IFERROR(__xludf.DUMMYFUNCTION("""COMPUTED_VALUE"""),45258.0)</f>
        <v>45258</v>
      </c>
      <c r="C9424" s="13">
        <f>IFERROR(__xludf.DUMMYFUNCTION("""COMPUTED_VALUE"""),0.625)</f>
        <v>0.625</v>
      </c>
      <c r="D9424" s="8">
        <f>IFERROR(__xludf.DUMMYFUNCTION("""COMPUTED_VALUE"""),0.08)</f>
        <v>0.08</v>
      </c>
      <c r="E9424" s="8" t="str">
        <f>IFERROR(__xludf.DUMMYFUNCTION("""COMPUTED_VALUE"""),"Real")</f>
        <v>Real</v>
      </c>
      <c r="G9424" s="8">
        <f t="shared" si="1"/>
        <v>11</v>
      </c>
      <c r="H9424" s="14">
        <f t="shared" si="2"/>
        <v>28</v>
      </c>
      <c r="I9424" s="15">
        <f t="shared" si="3"/>
        <v>15</v>
      </c>
    </row>
    <row r="9425">
      <c r="A9425" s="8" t="str">
        <f>IFERROR(__xludf.DUMMYFUNCTION("IF('(INGESTA)Datos_consumo_datadis'!A9425&lt;&gt;"""",SPLIT('(INGESTA)Datos_consumo_datadis'!A:A,"",""),"""")"),"ES0031408323131005HX0F")</f>
        <v>ES0031408323131005HX0F</v>
      </c>
      <c r="B9425" s="17">
        <f>IFERROR(__xludf.DUMMYFUNCTION("""COMPUTED_VALUE"""),45258.0)</f>
        <v>45258</v>
      </c>
      <c r="C9425" s="13">
        <f>IFERROR(__xludf.DUMMYFUNCTION("""COMPUTED_VALUE"""),0.6666666666666666)</f>
        <v>0.6666666667</v>
      </c>
      <c r="D9425" s="8">
        <f>IFERROR(__xludf.DUMMYFUNCTION("""COMPUTED_VALUE"""),0.019)</f>
        <v>0.019</v>
      </c>
      <c r="E9425" s="8" t="str">
        <f>IFERROR(__xludf.DUMMYFUNCTION("""COMPUTED_VALUE"""),"Real")</f>
        <v>Real</v>
      </c>
      <c r="G9425" s="8">
        <f t="shared" si="1"/>
        <v>11</v>
      </c>
      <c r="H9425" s="14">
        <f t="shared" si="2"/>
        <v>28</v>
      </c>
      <c r="I9425" s="15">
        <f t="shared" si="3"/>
        <v>16</v>
      </c>
    </row>
    <row r="9426">
      <c r="A9426" s="8" t="str">
        <f>IFERROR(__xludf.DUMMYFUNCTION("IF('(INGESTA)Datos_consumo_datadis'!A9426&lt;&gt;"""",SPLIT('(INGESTA)Datos_consumo_datadis'!A:A,"",""),"""")"),"ES0031408323131005HX0F")</f>
        <v>ES0031408323131005HX0F</v>
      </c>
      <c r="B9426" s="17">
        <f>IFERROR(__xludf.DUMMYFUNCTION("""COMPUTED_VALUE"""),45258.0)</f>
        <v>45258</v>
      </c>
      <c r="C9426" s="13">
        <f>IFERROR(__xludf.DUMMYFUNCTION("""COMPUTED_VALUE"""),0.7083333333333334)</f>
        <v>0.7083333333</v>
      </c>
      <c r="D9426" s="8">
        <f>IFERROR(__xludf.DUMMYFUNCTION("""COMPUTED_VALUE"""),0.076)</f>
        <v>0.076</v>
      </c>
      <c r="E9426" s="8" t="str">
        <f>IFERROR(__xludf.DUMMYFUNCTION("""COMPUTED_VALUE"""),"Real")</f>
        <v>Real</v>
      </c>
      <c r="G9426" s="8">
        <f t="shared" si="1"/>
        <v>11</v>
      </c>
      <c r="H9426" s="14">
        <f t="shared" si="2"/>
        <v>28</v>
      </c>
      <c r="I9426" s="15">
        <f t="shared" si="3"/>
        <v>17</v>
      </c>
    </row>
    <row r="9427">
      <c r="A9427" s="8" t="str">
        <f>IFERROR(__xludf.DUMMYFUNCTION("IF('(INGESTA)Datos_consumo_datadis'!A9427&lt;&gt;"""",SPLIT('(INGESTA)Datos_consumo_datadis'!A:A,"",""),"""")"),"ES0031408323131005HX0F")</f>
        <v>ES0031408323131005HX0F</v>
      </c>
      <c r="B9427" s="17">
        <f>IFERROR(__xludf.DUMMYFUNCTION("""COMPUTED_VALUE"""),45258.0)</f>
        <v>45258</v>
      </c>
      <c r="C9427" s="13">
        <f>IFERROR(__xludf.DUMMYFUNCTION("""COMPUTED_VALUE"""),0.75)</f>
        <v>0.75</v>
      </c>
      <c r="D9427" s="8">
        <f>IFERROR(__xludf.DUMMYFUNCTION("""COMPUTED_VALUE"""),0.078)</f>
        <v>0.078</v>
      </c>
      <c r="E9427" s="8" t="str">
        <f>IFERROR(__xludf.DUMMYFUNCTION("""COMPUTED_VALUE"""),"Real")</f>
        <v>Real</v>
      </c>
      <c r="G9427" s="8">
        <f t="shared" si="1"/>
        <v>11</v>
      </c>
      <c r="H9427" s="14">
        <f t="shared" si="2"/>
        <v>28</v>
      </c>
      <c r="I9427" s="15">
        <f t="shared" si="3"/>
        <v>18</v>
      </c>
    </row>
    <row r="9428">
      <c r="A9428" s="8" t="str">
        <f>IFERROR(__xludf.DUMMYFUNCTION("IF('(INGESTA)Datos_consumo_datadis'!A9428&lt;&gt;"""",SPLIT('(INGESTA)Datos_consumo_datadis'!A:A,"",""),"""")"),"ES0031408323131005HX0F")</f>
        <v>ES0031408323131005HX0F</v>
      </c>
      <c r="B9428" s="17">
        <f>IFERROR(__xludf.DUMMYFUNCTION("""COMPUTED_VALUE"""),45258.0)</f>
        <v>45258</v>
      </c>
      <c r="C9428" s="13">
        <f>IFERROR(__xludf.DUMMYFUNCTION("""COMPUTED_VALUE"""),0.7916666666666666)</f>
        <v>0.7916666667</v>
      </c>
      <c r="D9428" s="8">
        <f>IFERROR(__xludf.DUMMYFUNCTION("""COMPUTED_VALUE"""),0.03)</f>
        <v>0.03</v>
      </c>
      <c r="E9428" s="8" t="str">
        <f>IFERROR(__xludf.DUMMYFUNCTION("""COMPUTED_VALUE"""),"Real")</f>
        <v>Real</v>
      </c>
      <c r="G9428" s="8">
        <f t="shared" si="1"/>
        <v>11</v>
      </c>
      <c r="H9428" s="14">
        <f t="shared" si="2"/>
        <v>28</v>
      </c>
      <c r="I9428" s="15">
        <f t="shared" si="3"/>
        <v>19</v>
      </c>
    </row>
    <row r="9429">
      <c r="A9429" s="8" t="str">
        <f>IFERROR(__xludf.DUMMYFUNCTION("IF('(INGESTA)Datos_consumo_datadis'!A9429&lt;&gt;"""",SPLIT('(INGESTA)Datos_consumo_datadis'!A:A,"",""),"""")"),"ES0031408323131005HX0F")</f>
        <v>ES0031408323131005HX0F</v>
      </c>
      <c r="B9429" s="17">
        <f>IFERROR(__xludf.DUMMYFUNCTION("""COMPUTED_VALUE"""),45258.0)</f>
        <v>45258</v>
      </c>
      <c r="C9429" s="13">
        <f>IFERROR(__xludf.DUMMYFUNCTION("""COMPUTED_VALUE"""),0.8333333333333334)</f>
        <v>0.8333333333</v>
      </c>
      <c r="D9429" s="8">
        <f>IFERROR(__xludf.DUMMYFUNCTION("""COMPUTED_VALUE"""),0.326)</f>
        <v>0.326</v>
      </c>
      <c r="E9429" s="8" t="str">
        <f>IFERROR(__xludf.DUMMYFUNCTION("""COMPUTED_VALUE"""),"Real")</f>
        <v>Real</v>
      </c>
      <c r="G9429" s="8">
        <f t="shared" si="1"/>
        <v>11</v>
      </c>
      <c r="H9429" s="14">
        <f t="shared" si="2"/>
        <v>28</v>
      </c>
      <c r="I9429" s="15">
        <f t="shared" si="3"/>
        <v>20</v>
      </c>
    </row>
    <row r="9430">
      <c r="A9430" s="8" t="str">
        <f>IFERROR(__xludf.DUMMYFUNCTION("IF('(INGESTA)Datos_consumo_datadis'!A9430&lt;&gt;"""",SPLIT('(INGESTA)Datos_consumo_datadis'!A:A,"",""),"""")"),"ES0031408323131005HX0F")</f>
        <v>ES0031408323131005HX0F</v>
      </c>
      <c r="B9430" s="17">
        <f>IFERROR(__xludf.DUMMYFUNCTION("""COMPUTED_VALUE"""),45258.0)</f>
        <v>45258</v>
      </c>
      <c r="C9430" s="13">
        <f>IFERROR(__xludf.DUMMYFUNCTION("""COMPUTED_VALUE"""),0.875)</f>
        <v>0.875</v>
      </c>
      <c r="D9430" s="8">
        <f>IFERROR(__xludf.DUMMYFUNCTION("""COMPUTED_VALUE"""),0.075)</f>
        <v>0.075</v>
      </c>
      <c r="E9430" s="8" t="str">
        <f>IFERROR(__xludf.DUMMYFUNCTION("""COMPUTED_VALUE"""),"Real")</f>
        <v>Real</v>
      </c>
      <c r="G9430" s="8">
        <f t="shared" si="1"/>
        <v>11</v>
      </c>
      <c r="H9430" s="14">
        <f t="shared" si="2"/>
        <v>28</v>
      </c>
      <c r="I9430" s="15">
        <f t="shared" si="3"/>
        <v>21</v>
      </c>
    </row>
    <row r="9431">
      <c r="A9431" s="8" t="str">
        <f>IFERROR(__xludf.DUMMYFUNCTION("IF('(INGESTA)Datos_consumo_datadis'!A9431&lt;&gt;"""",SPLIT('(INGESTA)Datos_consumo_datadis'!A:A,"",""),"""")"),"ES0031408323131005HX0F")</f>
        <v>ES0031408323131005HX0F</v>
      </c>
      <c r="B9431" s="17">
        <f>IFERROR(__xludf.DUMMYFUNCTION("""COMPUTED_VALUE"""),45258.0)</f>
        <v>45258</v>
      </c>
      <c r="C9431" s="13">
        <f>IFERROR(__xludf.DUMMYFUNCTION("""COMPUTED_VALUE"""),0.9166666666666666)</f>
        <v>0.9166666667</v>
      </c>
      <c r="D9431" s="8">
        <f>IFERROR(__xludf.DUMMYFUNCTION("""COMPUTED_VALUE"""),0.06)</f>
        <v>0.06</v>
      </c>
      <c r="E9431" s="8" t="str">
        <f>IFERROR(__xludf.DUMMYFUNCTION("""COMPUTED_VALUE"""),"Real")</f>
        <v>Real</v>
      </c>
      <c r="G9431" s="8">
        <f t="shared" si="1"/>
        <v>11</v>
      </c>
      <c r="H9431" s="14">
        <f t="shared" si="2"/>
        <v>28</v>
      </c>
      <c r="I9431" s="15">
        <f t="shared" si="3"/>
        <v>22</v>
      </c>
    </row>
    <row r="9432">
      <c r="A9432" s="8" t="str">
        <f>IFERROR(__xludf.DUMMYFUNCTION("IF('(INGESTA)Datos_consumo_datadis'!A9432&lt;&gt;"""",SPLIT('(INGESTA)Datos_consumo_datadis'!A:A,"",""),"""")"),"ES0031408323131005HX0F")</f>
        <v>ES0031408323131005HX0F</v>
      </c>
      <c r="B9432" s="17">
        <f>IFERROR(__xludf.DUMMYFUNCTION("""COMPUTED_VALUE"""),45258.0)</f>
        <v>45258</v>
      </c>
      <c r="C9432" s="13">
        <f>IFERROR(__xludf.DUMMYFUNCTION("""COMPUTED_VALUE"""),0.9583333333333334)</f>
        <v>0.9583333333</v>
      </c>
      <c r="D9432" s="8">
        <f>IFERROR(__xludf.DUMMYFUNCTION("""COMPUTED_VALUE"""),0.027)</f>
        <v>0.027</v>
      </c>
      <c r="E9432" s="8" t="str">
        <f>IFERROR(__xludf.DUMMYFUNCTION("""COMPUTED_VALUE"""),"Real")</f>
        <v>Real</v>
      </c>
      <c r="G9432" s="8">
        <f t="shared" si="1"/>
        <v>11</v>
      </c>
      <c r="H9432" s="14">
        <f t="shared" si="2"/>
        <v>28</v>
      </c>
      <c r="I9432" s="15">
        <f t="shared" si="3"/>
        <v>23</v>
      </c>
    </row>
    <row r="9433">
      <c r="A9433" s="8" t="str">
        <f>IFERROR(__xludf.DUMMYFUNCTION("IF('(INGESTA)Datos_consumo_datadis'!A9433&lt;&gt;"""",SPLIT('(INGESTA)Datos_consumo_datadis'!A:A,"",""),"""")"),"ES0031408323131005HX0F")</f>
        <v>ES0031408323131005HX0F</v>
      </c>
      <c r="B9433" s="17">
        <f>IFERROR(__xludf.DUMMYFUNCTION("""COMPUTED_VALUE"""),45258.0)</f>
        <v>45258</v>
      </c>
      <c r="C9433" s="16">
        <f>IFERROR(__xludf.DUMMYFUNCTION("""COMPUTED_VALUE"""),1.0)</f>
        <v>1</v>
      </c>
      <c r="D9433" s="8">
        <f>IFERROR(__xludf.DUMMYFUNCTION("""COMPUTED_VALUE"""),1.289)</f>
        <v>1.289</v>
      </c>
      <c r="E9433" s="8" t="str">
        <f>IFERROR(__xludf.DUMMYFUNCTION("""COMPUTED_VALUE"""),"Real")</f>
        <v>Real</v>
      </c>
      <c r="G9433" s="8">
        <f t="shared" si="1"/>
        <v>11</v>
      </c>
      <c r="H9433" s="14">
        <f t="shared" si="2"/>
        <v>28</v>
      </c>
      <c r="I9433" s="15">
        <f t="shared" si="3"/>
        <v>0</v>
      </c>
    </row>
    <row r="9434">
      <c r="A9434" s="8" t="str">
        <f>IFERROR(__xludf.DUMMYFUNCTION("IF('(INGESTA)Datos_consumo_datadis'!A9434&lt;&gt;"""",SPLIT('(INGESTA)Datos_consumo_datadis'!A:A,"",""),"""")"),"ES0031408323131005HX0F")</f>
        <v>ES0031408323131005HX0F</v>
      </c>
      <c r="B9434" s="17">
        <f>IFERROR(__xludf.DUMMYFUNCTION("""COMPUTED_VALUE"""),45259.0)</f>
        <v>45259</v>
      </c>
      <c r="C9434" s="13">
        <f>IFERROR(__xludf.DUMMYFUNCTION("""COMPUTED_VALUE"""),0.041666666666666664)</f>
        <v>0.04166666667</v>
      </c>
      <c r="D9434" s="8">
        <f>IFERROR(__xludf.DUMMYFUNCTION("""COMPUTED_VALUE"""),0.071)</f>
        <v>0.071</v>
      </c>
      <c r="E9434" s="8" t="str">
        <f>IFERROR(__xludf.DUMMYFUNCTION("""COMPUTED_VALUE"""),"Real")</f>
        <v>Real</v>
      </c>
      <c r="G9434" s="8">
        <f t="shared" si="1"/>
        <v>11</v>
      </c>
      <c r="H9434" s="14">
        <f t="shared" si="2"/>
        <v>29</v>
      </c>
      <c r="I9434" s="15">
        <f t="shared" si="3"/>
        <v>1</v>
      </c>
    </row>
    <row r="9435">
      <c r="A9435" s="8" t="str">
        <f>IFERROR(__xludf.DUMMYFUNCTION("IF('(INGESTA)Datos_consumo_datadis'!A9435&lt;&gt;"""",SPLIT('(INGESTA)Datos_consumo_datadis'!A:A,"",""),"""")"),"ES0031408323131005HX0F")</f>
        <v>ES0031408323131005HX0F</v>
      </c>
      <c r="B9435" s="17">
        <f>IFERROR(__xludf.DUMMYFUNCTION("""COMPUTED_VALUE"""),45259.0)</f>
        <v>45259</v>
      </c>
      <c r="C9435" s="13">
        <f>IFERROR(__xludf.DUMMYFUNCTION("""COMPUTED_VALUE"""),0.08333333333333333)</f>
        <v>0.08333333333</v>
      </c>
      <c r="D9435" s="8">
        <f>IFERROR(__xludf.DUMMYFUNCTION("""COMPUTED_VALUE"""),0.034)</f>
        <v>0.034</v>
      </c>
      <c r="E9435" s="8" t="str">
        <f>IFERROR(__xludf.DUMMYFUNCTION("""COMPUTED_VALUE"""),"Real")</f>
        <v>Real</v>
      </c>
      <c r="G9435" s="8">
        <f t="shared" si="1"/>
        <v>11</v>
      </c>
      <c r="H9435" s="14">
        <f t="shared" si="2"/>
        <v>29</v>
      </c>
      <c r="I9435" s="15">
        <f t="shared" si="3"/>
        <v>2</v>
      </c>
    </row>
    <row r="9436">
      <c r="A9436" s="8" t="str">
        <f>IFERROR(__xludf.DUMMYFUNCTION("IF('(INGESTA)Datos_consumo_datadis'!A9436&lt;&gt;"""",SPLIT('(INGESTA)Datos_consumo_datadis'!A:A,"",""),"""")"),"ES0031408323131005HX0F")</f>
        <v>ES0031408323131005HX0F</v>
      </c>
      <c r="B9436" s="17">
        <f>IFERROR(__xludf.DUMMYFUNCTION("""COMPUTED_VALUE"""),45259.0)</f>
        <v>45259</v>
      </c>
      <c r="C9436" s="13">
        <f>IFERROR(__xludf.DUMMYFUNCTION("""COMPUTED_VALUE"""),0.125)</f>
        <v>0.125</v>
      </c>
      <c r="D9436" s="8">
        <f>IFERROR(__xludf.DUMMYFUNCTION("""COMPUTED_VALUE"""),0.112)</f>
        <v>0.112</v>
      </c>
      <c r="E9436" s="8" t="str">
        <f>IFERROR(__xludf.DUMMYFUNCTION("""COMPUTED_VALUE"""),"Real")</f>
        <v>Real</v>
      </c>
      <c r="G9436" s="8">
        <f t="shared" si="1"/>
        <v>11</v>
      </c>
      <c r="H9436" s="14">
        <f t="shared" si="2"/>
        <v>29</v>
      </c>
      <c r="I9436" s="15">
        <f t="shared" si="3"/>
        <v>3</v>
      </c>
    </row>
    <row r="9437">
      <c r="A9437" s="8" t="str">
        <f>IFERROR(__xludf.DUMMYFUNCTION("IF('(INGESTA)Datos_consumo_datadis'!A9437&lt;&gt;"""",SPLIT('(INGESTA)Datos_consumo_datadis'!A:A,"",""),"""")"),"ES0031408323131005HX0F")</f>
        <v>ES0031408323131005HX0F</v>
      </c>
      <c r="B9437" s="17">
        <f>IFERROR(__xludf.DUMMYFUNCTION("""COMPUTED_VALUE"""),45259.0)</f>
        <v>45259</v>
      </c>
      <c r="C9437" s="13">
        <f>IFERROR(__xludf.DUMMYFUNCTION("""COMPUTED_VALUE"""),0.16666666666666666)</f>
        <v>0.1666666667</v>
      </c>
      <c r="D9437" s="8">
        <f>IFERROR(__xludf.DUMMYFUNCTION("""COMPUTED_VALUE"""),0.204)</f>
        <v>0.204</v>
      </c>
      <c r="E9437" s="8" t="str">
        <f>IFERROR(__xludf.DUMMYFUNCTION("""COMPUTED_VALUE"""),"Real")</f>
        <v>Real</v>
      </c>
      <c r="G9437" s="8">
        <f t="shared" si="1"/>
        <v>11</v>
      </c>
      <c r="H9437" s="14">
        <f t="shared" si="2"/>
        <v>29</v>
      </c>
      <c r="I9437" s="15">
        <f t="shared" si="3"/>
        <v>4</v>
      </c>
    </row>
    <row r="9438">
      <c r="A9438" s="8" t="str">
        <f>IFERROR(__xludf.DUMMYFUNCTION("IF('(INGESTA)Datos_consumo_datadis'!A9438&lt;&gt;"""",SPLIT('(INGESTA)Datos_consumo_datadis'!A:A,"",""),"""")"),"ES0031408323131005HX0F")</f>
        <v>ES0031408323131005HX0F</v>
      </c>
      <c r="B9438" s="17">
        <f>IFERROR(__xludf.DUMMYFUNCTION("""COMPUTED_VALUE"""),45259.0)</f>
        <v>45259</v>
      </c>
      <c r="C9438" s="13">
        <f>IFERROR(__xludf.DUMMYFUNCTION("""COMPUTED_VALUE"""),0.20833333333333334)</f>
        <v>0.2083333333</v>
      </c>
      <c r="D9438" s="8">
        <f>IFERROR(__xludf.DUMMYFUNCTION("""COMPUTED_VALUE"""),0.241)</f>
        <v>0.241</v>
      </c>
      <c r="E9438" s="8" t="str">
        <f>IFERROR(__xludf.DUMMYFUNCTION("""COMPUTED_VALUE"""),"Real")</f>
        <v>Real</v>
      </c>
      <c r="G9438" s="8">
        <f t="shared" si="1"/>
        <v>11</v>
      </c>
      <c r="H9438" s="14">
        <f t="shared" si="2"/>
        <v>29</v>
      </c>
      <c r="I9438" s="15">
        <f t="shared" si="3"/>
        <v>5</v>
      </c>
    </row>
    <row r="9439">
      <c r="A9439" s="8" t="str">
        <f>IFERROR(__xludf.DUMMYFUNCTION("IF('(INGESTA)Datos_consumo_datadis'!A9439&lt;&gt;"""",SPLIT('(INGESTA)Datos_consumo_datadis'!A:A,"",""),"""")"),"ES0031408323131005HX0F")</f>
        <v>ES0031408323131005HX0F</v>
      </c>
      <c r="B9439" s="17">
        <f>IFERROR(__xludf.DUMMYFUNCTION("""COMPUTED_VALUE"""),45259.0)</f>
        <v>45259</v>
      </c>
      <c r="C9439" s="13">
        <f>IFERROR(__xludf.DUMMYFUNCTION("""COMPUTED_VALUE"""),0.25)</f>
        <v>0.25</v>
      </c>
      <c r="D9439" s="8">
        <f>IFERROR(__xludf.DUMMYFUNCTION("""COMPUTED_VALUE"""),0.106)</f>
        <v>0.106</v>
      </c>
      <c r="E9439" s="8" t="str">
        <f>IFERROR(__xludf.DUMMYFUNCTION("""COMPUTED_VALUE"""),"Real")</f>
        <v>Real</v>
      </c>
      <c r="G9439" s="8">
        <f t="shared" si="1"/>
        <v>11</v>
      </c>
      <c r="H9439" s="14">
        <f t="shared" si="2"/>
        <v>29</v>
      </c>
      <c r="I9439" s="15">
        <f t="shared" si="3"/>
        <v>6</v>
      </c>
    </row>
    <row r="9440">
      <c r="A9440" s="8" t="str">
        <f>IFERROR(__xludf.DUMMYFUNCTION("IF('(INGESTA)Datos_consumo_datadis'!A9440&lt;&gt;"""",SPLIT('(INGESTA)Datos_consumo_datadis'!A:A,"",""),"""")"),"ES0031408323131005HX0F")</f>
        <v>ES0031408323131005HX0F</v>
      </c>
      <c r="B9440" s="17">
        <f>IFERROR(__xludf.DUMMYFUNCTION("""COMPUTED_VALUE"""),45259.0)</f>
        <v>45259</v>
      </c>
      <c r="C9440" s="13">
        <f>IFERROR(__xludf.DUMMYFUNCTION("""COMPUTED_VALUE"""),0.2916666666666667)</f>
        <v>0.2916666667</v>
      </c>
      <c r="D9440" s="8">
        <f>IFERROR(__xludf.DUMMYFUNCTION("""COMPUTED_VALUE"""),0.086)</f>
        <v>0.086</v>
      </c>
      <c r="E9440" s="8" t="str">
        <f>IFERROR(__xludf.DUMMYFUNCTION("""COMPUTED_VALUE"""),"Real")</f>
        <v>Real</v>
      </c>
      <c r="G9440" s="8">
        <f t="shared" si="1"/>
        <v>11</v>
      </c>
      <c r="H9440" s="14">
        <f t="shared" si="2"/>
        <v>29</v>
      </c>
      <c r="I9440" s="15">
        <f t="shared" si="3"/>
        <v>7</v>
      </c>
    </row>
    <row r="9441">
      <c r="A9441" s="8" t="str">
        <f>IFERROR(__xludf.DUMMYFUNCTION("IF('(INGESTA)Datos_consumo_datadis'!A9441&lt;&gt;"""",SPLIT('(INGESTA)Datos_consumo_datadis'!A:A,"",""),"""")"),"ES0031408323131005HX0F")</f>
        <v>ES0031408323131005HX0F</v>
      </c>
      <c r="B9441" s="17">
        <f>IFERROR(__xludf.DUMMYFUNCTION("""COMPUTED_VALUE"""),45259.0)</f>
        <v>45259</v>
      </c>
      <c r="C9441" s="13">
        <f>IFERROR(__xludf.DUMMYFUNCTION("""COMPUTED_VALUE"""),0.3333333333333333)</f>
        <v>0.3333333333</v>
      </c>
      <c r="D9441" s="8">
        <f>IFERROR(__xludf.DUMMYFUNCTION("""COMPUTED_VALUE"""),0.994)</f>
        <v>0.994</v>
      </c>
      <c r="E9441" s="8" t="str">
        <f>IFERROR(__xludf.DUMMYFUNCTION("""COMPUTED_VALUE"""),"Real")</f>
        <v>Real</v>
      </c>
      <c r="G9441" s="8">
        <f t="shared" si="1"/>
        <v>11</v>
      </c>
      <c r="H9441" s="14">
        <f t="shared" si="2"/>
        <v>29</v>
      </c>
      <c r="I9441" s="15">
        <f t="shared" si="3"/>
        <v>8</v>
      </c>
    </row>
    <row r="9442">
      <c r="A9442" s="8" t="str">
        <f>IFERROR(__xludf.DUMMYFUNCTION("IF('(INGESTA)Datos_consumo_datadis'!A9442&lt;&gt;"""",SPLIT('(INGESTA)Datos_consumo_datadis'!A:A,"",""),"""")"),"ES0031408323131005HX0F")</f>
        <v>ES0031408323131005HX0F</v>
      </c>
      <c r="B9442" s="17">
        <f>IFERROR(__xludf.DUMMYFUNCTION("""COMPUTED_VALUE"""),45259.0)</f>
        <v>45259</v>
      </c>
      <c r="C9442" s="13">
        <f>IFERROR(__xludf.DUMMYFUNCTION("""COMPUTED_VALUE"""),0.375)</f>
        <v>0.375</v>
      </c>
      <c r="D9442" s="8">
        <f>IFERROR(__xludf.DUMMYFUNCTION("""COMPUTED_VALUE"""),0.625)</f>
        <v>0.625</v>
      </c>
      <c r="E9442" s="8" t="str">
        <f>IFERROR(__xludf.DUMMYFUNCTION("""COMPUTED_VALUE"""),"Real")</f>
        <v>Real</v>
      </c>
      <c r="G9442" s="8">
        <f t="shared" si="1"/>
        <v>11</v>
      </c>
      <c r="H9442" s="14">
        <f t="shared" si="2"/>
        <v>29</v>
      </c>
      <c r="I9442" s="15">
        <f t="shared" si="3"/>
        <v>9</v>
      </c>
    </row>
    <row r="9443">
      <c r="A9443" s="8" t="str">
        <f>IFERROR(__xludf.DUMMYFUNCTION("IF('(INGESTA)Datos_consumo_datadis'!A9443&lt;&gt;"""",SPLIT('(INGESTA)Datos_consumo_datadis'!A:A,"",""),"""")"),"ES0031408323131005HX0F")</f>
        <v>ES0031408323131005HX0F</v>
      </c>
      <c r="B9443" s="17">
        <f>IFERROR(__xludf.DUMMYFUNCTION("""COMPUTED_VALUE"""),45259.0)</f>
        <v>45259</v>
      </c>
      <c r="C9443" s="13">
        <f>IFERROR(__xludf.DUMMYFUNCTION("""COMPUTED_VALUE"""),0.4166666666666667)</f>
        <v>0.4166666667</v>
      </c>
      <c r="D9443" s="8">
        <f>IFERROR(__xludf.DUMMYFUNCTION("""COMPUTED_VALUE"""),0.073)</f>
        <v>0.073</v>
      </c>
      <c r="E9443" s="8" t="str">
        <f>IFERROR(__xludf.DUMMYFUNCTION("""COMPUTED_VALUE"""),"Real")</f>
        <v>Real</v>
      </c>
      <c r="G9443" s="8">
        <f t="shared" si="1"/>
        <v>11</v>
      </c>
      <c r="H9443" s="14">
        <f t="shared" si="2"/>
        <v>29</v>
      </c>
      <c r="I9443" s="15">
        <f t="shared" si="3"/>
        <v>10</v>
      </c>
    </row>
    <row r="9444">
      <c r="A9444" s="8" t="str">
        <f>IFERROR(__xludf.DUMMYFUNCTION("IF('(INGESTA)Datos_consumo_datadis'!A9444&lt;&gt;"""",SPLIT('(INGESTA)Datos_consumo_datadis'!A:A,"",""),"""")"),"ES0031408323131005HX0F")</f>
        <v>ES0031408323131005HX0F</v>
      </c>
      <c r="B9444" s="17">
        <f>IFERROR(__xludf.DUMMYFUNCTION("""COMPUTED_VALUE"""),45259.0)</f>
        <v>45259</v>
      </c>
      <c r="C9444" s="13">
        <f>IFERROR(__xludf.DUMMYFUNCTION("""COMPUTED_VALUE"""),0.4583333333333333)</f>
        <v>0.4583333333</v>
      </c>
      <c r="D9444" s="8">
        <f>IFERROR(__xludf.DUMMYFUNCTION("""COMPUTED_VALUE"""),0.018)</f>
        <v>0.018</v>
      </c>
      <c r="E9444" s="8" t="str">
        <f>IFERROR(__xludf.DUMMYFUNCTION("""COMPUTED_VALUE"""),"Real")</f>
        <v>Real</v>
      </c>
      <c r="G9444" s="8">
        <f t="shared" si="1"/>
        <v>11</v>
      </c>
      <c r="H9444" s="14">
        <f t="shared" si="2"/>
        <v>29</v>
      </c>
      <c r="I9444" s="15">
        <f t="shared" si="3"/>
        <v>11</v>
      </c>
    </row>
    <row r="9445">
      <c r="A9445" s="8" t="str">
        <f>IFERROR(__xludf.DUMMYFUNCTION("IF('(INGESTA)Datos_consumo_datadis'!A9445&lt;&gt;"""",SPLIT('(INGESTA)Datos_consumo_datadis'!A:A,"",""),"""")"),"ES0031408323131005HX0F")</f>
        <v>ES0031408323131005HX0F</v>
      </c>
      <c r="B9445" s="17">
        <f>IFERROR(__xludf.DUMMYFUNCTION("""COMPUTED_VALUE"""),45259.0)</f>
        <v>45259</v>
      </c>
      <c r="C9445" s="13">
        <f>IFERROR(__xludf.DUMMYFUNCTION("""COMPUTED_VALUE"""),0.5)</f>
        <v>0.5</v>
      </c>
      <c r="D9445" s="8">
        <f>IFERROR(__xludf.DUMMYFUNCTION("""COMPUTED_VALUE"""),0.085)</f>
        <v>0.085</v>
      </c>
      <c r="E9445" s="8" t="str">
        <f>IFERROR(__xludf.DUMMYFUNCTION("""COMPUTED_VALUE"""),"Real")</f>
        <v>Real</v>
      </c>
      <c r="G9445" s="8">
        <f t="shared" si="1"/>
        <v>11</v>
      </c>
      <c r="H9445" s="14">
        <f t="shared" si="2"/>
        <v>29</v>
      </c>
      <c r="I9445" s="15">
        <f t="shared" si="3"/>
        <v>12</v>
      </c>
    </row>
    <row r="9446">
      <c r="A9446" s="8" t="str">
        <f>IFERROR(__xludf.DUMMYFUNCTION("IF('(INGESTA)Datos_consumo_datadis'!A9446&lt;&gt;"""",SPLIT('(INGESTA)Datos_consumo_datadis'!A:A,"",""),"""")"),"ES0031408323131005HX0F")</f>
        <v>ES0031408323131005HX0F</v>
      </c>
      <c r="B9446" s="17">
        <f>IFERROR(__xludf.DUMMYFUNCTION("""COMPUTED_VALUE"""),45259.0)</f>
        <v>45259</v>
      </c>
      <c r="C9446" s="13">
        <f>IFERROR(__xludf.DUMMYFUNCTION("""COMPUTED_VALUE"""),0.5416666666666666)</f>
        <v>0.5416666667</v>
      </c>
      <c r="D9446" s="8">
        <f>IFERROR(__xludf.DUMMYFUNCTION("""COMPUTED_VALUE"""),0.367)</f>
        <v>0.367</v>
      </c>
      <c r="E9446" s="8" t="str">
        <f>IFERROR(__xludf.DUMMYFUNCTION("""COMPUTED_VALUE"""),"Real")</f>
        <v>Real</v>
      </c>
      <c r="G9446" s="8">
        <f t="shared" si="1"/>
        <v>11</v>
      </c>
      <c r="H9446" s="14">
        <f t="shared" si="2"/>
        <v>29</v>
      </c>
      <c r="I9446" s="15">
        <f t="shared" si="3"/>
        <v>13</v>
      </c>
    </row>
    <row r="9447">
      <c r="A9447" s="8" t="str">
        <f>IFERROR(__xludf.DUMMYFUNCTION("IF('(INGESTA)Datos_consumo_datadis'!A9447&lt;&gt;"""",SPLIT('(INGESTA)Datos_consumo_datadis'!A:A,"",""),"""")"),"ES0031408323131005HX0F")</f>
        <v>ES0031408323131005HX0F</v>
      </c>
      <c r="B9447" s="17">
        <f>IFERROR(__xludf.DUMMYFUNCTION("""COMPUTED_VALUE"""),45259.0)</f>
        <v>45259</v>
      </c>
      <c r="C9447" s="13">
        <f>IFERROR(__xludf.DUMMYFUNCTION("""COMPUTED_VALUE"""),0.5833333333333334)</f>
        <v>0.5833333333</v>
      </c>
      <c r="D9447" s="8">
        <f>IFERROR(__xludf.DUMMYFUNCTION("""COMPUTED_VALUE"""),0.019)</f>
        <v>0.019</v>
      </c>
      <c r="E9447" s="8" t="str">
        <f>IFERROR(__xludf.DUMMYFUNCTION("""COMPUTED_VALUE"""),"Real")</f>
        <v>Real</v>
      </c>
      <c r="G9447" s="8">
        <f t="shared" si="1"/>
        <v>11</v>
      </c>
      <c r="H9447" s="14">
        <f t="shared" si="2"/>
        <v>29</v>
      </c>
      <c r="I9447" s="15">
        <f t="shared" si="3"/>
        <v>14</v>
      </c>
    </row>
    <row r="9448">
      <c r="A9448" s="8" t="str">
        <f>IFERROR(__xludf.DUMMYFUNCTION("IF('(INGESTA)Datos_consumo_datadis'!A9448&lt;&gt;"""",SPLIT('(INGESTA)Datos_consumo_datadis'!A:A,"",""),"""")"),"ES0031408323131005HX0F")</f>
        <v>ES0031408323131005HX0F</v>
      </c>
      <c r="B9448" s="17">
        <f>IFERROR(__xludf.DUMMYFUNCTION("""COMPUTED_VALUE"""),45259.0)</f>
        <v>45259</v>
      </c>
      <c r="C9448" s="13">
        <f>IFERROR(__xludf.DUMMYFUNCTION("""COMPUTED_VALUE"""),0.625)</f>
        <v>0.625</v>
      </c>
      <c r="D9448" s="8">
        <f>IFERROR(__xludf.DUMMYFUNCTION("""COMPUTED_VALUE"""),0.078)</f>
        <v>0.078</v>
      </c>
      <c r="E9448" s="8" t="str">
        <f>IFERROR(__xludf.DUMMYFUNCTION("""COMPUTED_VALUE"""),"Real")</f>
        <v>Real</v>
      </c>
      <c r="G9448" s="8">
        <f t="shared" si="1"/>
        <v>11</v>
      </c>
      <c r="H9448" s="14">
        <f t="shared" si="2"/>
        <v>29</v>
      </c>
      <c r="I9448" s="15">
        <f t="shared" si="3"/>
        <v>15</v>
      </c>
    </row>
    <row r="9449">
      <c r="A9449" s="8" t="str">
        <f>IFERROR(__xludf.DUMMYFUNCTION("IF('(INGESTA)Datos_consumo_datadis'!A9449&lt;&gt;"""",SPLIT('(INGESTA)Datos_consumo_datadis'!A:A,"",""),"""")"),"ES0031408323131005HX0F")</f>
        <v>ES0031408323131005HX0F</v>
      </c>
      <c r="B9449" s="17">
        <f>IFERROR(__xludf.DUMMYFUNCTION("""COMPUTED_VALUE"""),45259.0)</f>
        <v>45259</v>
      </c>
      <c r="C9449" s="13">
        <f>IFERROR(__xludf.DUMMYFUNCTION("""COMPUTED_VALUE"""),0.6666666666666666)</f>
        <v>0.6666666667</v>
      </c>
      <c r="D9449" s="8">
        <f>IFERROR(__xludf.DUMMYFUNCTION("""COMPUTED_VALUE"""),0.083)</f>
        <v>0.083</v>
      </c>
      <c r="E9449" s="8" t="str">
        <f>IFERROR(__xludf.DUMMYFUNCTION("""COMPUTED_VALUE"""),"Real")</f>
        <v>Real</v>
      </c>
      <c r="G9449" s="8">
        <f t="shared" si="1"/>
        <v>11</v>
      </c>
      <c r="H9449" s="14">
        <f t="shared" si="2"/>
        <v>29</v>
      </c>
      <c r="I9449" s="15">
        <f t="shared" si="3"/>
        <v>16</v>
      </c>
    </row>
    <row r="9450">
      <c r="A9450" s="8" t="str">
        <f>IFERROR(__xludf.DUMMYFUNCTION("IF('(INGESTA)Datos_consumo_datadis'!A9450&lt;&gt;"""",SPLIT('(INGESTA)Datos_consumo_datadis'!A:A,"",""),"""")"),"ES0031408323131005HX0F")</f>
        <v>ES0031408323131005HX0F</v>
      </c>
      <c r="B9450" s="17">
        <f>IFERROR(__xludf.DUMMYFUNCTION("""COMPUTED_VALUE"""),45259.0)</f>
        <v>45259</v>
      </c>
      <c r="C9450" s="13">
        <f>IFERROR(__xludf.DUMMYFUNCTION("""COMPUTED_VALUE"""),0.7083333333333334)</f>
        <v>0.7083333333</v>
      </c>
      <c r="D9450" s="8">
        <f>IFERROR(__xludf.DUMMYFUNCTION("""COMPUTED_VALUE"""),0.019)</f>
        <v>0.019</v>
      </c>
      <c r="E9450" s="8" t="str">
        <f>IFERROR(__xludf.DUMMYFUNCTION("""COMPUTED_VALUE"""),"Real")</f>
        <v>Real</v>
      </c>
      <c r="G9450" s="8">
        <f t="shared" si="1"/>
        <v>11</v>
      </c>
      <c r="H9450" s="14">
        <f t="shared" si="2"/>
        <v>29</v>
      </c>
      <c r="I9450" s="15">
        <f t="shared" si="3"/>
        <v>17</v>
      </c>
    </row>
    <row r="9451">
      <c r="A9451" s="8" t="str">
        <f>IFERROR(__xludf.DUMMYFUNCTION("IF('(INGESTA)Datos_consumo_datadis'!A9451&lt;&gt;"""",SPLIT('(INGESTA)Datos_consumo_datadis'!A:A,"",""),"""")"),"ES0031408323131005HX0F")</f>
        <v>ES0031408323131005HX0F</v>
      </c>
      <c r="B9451" s="17">
        <f>IFERROR(__xludf.DUMMYFUNCTION("""COMPUTED_VALUE"""),45259.0)</f>
        <v>45259</v>
      </c>
      <c r="C9451" s="13">
        <f>IFERROR(__xludf.DUMMYFUNCTION("""COMPUTED_VALUE"""),0.75)</f>
        <v>0.75</v>
      </c>
      <c r="D9451" s="8">
        <f>IFERROR(__xludf.DUMMYFUNCTION("""COMPUTED_VALUE"""),0.072)</f>
        <v>0.072</v>
      </c>
      <c r="E9451" s="8" t="str">
        <f>IFERROR(__xludf.DUMMYFUNCTION("""COMPUTED_VALUE"""),"Real")</f>
        <v>Real</v>
      </c>
      <c r="G9451" s="8">
        <f t="shared" si="1"/>
        <v>11</v>
      </c>
      <c r="H9451" s="14">
        <f t="shared" si="2"/>
        <v>29</v>
      </c>
      <c r="I9451" s="15">
        <f t="shared" si="3"/>
        <v>18</v>
      </c>
    </row>
    <row r="9452">
      <c r="A9452" s="8" t="str">
        <f>IFERROR(__xludf.DUMMYFUNCTION("IF('(INGESTA)Datos_consumo_datadis'!A9452&lt;&gt;"""",SPLIT('(INGESTA)Datos_consumo_datadis'!A:A,"",""),"""")"),"ES0031408323131005HX0F")</f>
        <v>ES0031408323131005HX0F</v>
      </c>
      <c r="B9452" s="17">
        <f>IFERROR(__xludf.DUMMYFUNCTION("""COMPUTED_VALUE"""),45259.0)</f>
        <v>45259</v>
      </c>
      <c r="C9452" s="13">
        <f>IFERROR(__xludf.DUMMYFUNCTION("""COMPUTED_VALUE"""),0.7916666666666666)</f>
        <v>0.7916666667</v>
      </c>
      <c r="D9452" s="8">
        <f>IFERROR(__xludf.DUMMYFUNCTION("""COMPUTED_VALUE"""),0.335)</f>
        <v>0.335</v>
      </c>
      <c r="E9452" s="8" t="str">
        <f>IFERROR(__xludf.DUMMYFUNCTION("""COMPUTED_VALUE"""),"Real")</f>
        <v>Real</v>
      </c>
      <c r="G9452" s="8">
        <f t="shared" si="1"/>
        <v>11</v>
      </c>
      <c r="H9452" s="14">
        <f t="shared" si="2"/>
        <v>29</v>
      </c>
      <c r="I9452" s="15">
        <f t="shared" si="3"/>
        <v>19</v>
      </c>
    </row>
    <row r="9453">
      <c r="A9453" s="8" t="str">
        <f>IFERROR(__xludf.DUMMYFUNCTION("IF('(INGESTA)Datos_consumo_datadis'!A9453&lt;&gt;"""",SPLIT('(INGESTA)Datos_consumo_datadis'!A:A,"",""),"""")"),"ES0031408323131005HX0F")</f>
        <v>ES0031408323131005HX0F</v>
      </c>
      <c r="B9453" s="17">
        <f>IFERROR(__xludf.DUMMYFUNCTION("""COMPUTED_VALUE"""),45259.0)</f>
        <v>45259</v>
      </c>
      <c r="C9453" s="13">
        <f>IFERROR(__xludf.DUMMYFUNCTION("""COMPUTED_VALUE"""),0.8333333333333334)</f>
        <v>0.8333333333</v>
      </c>
      <c r="D9453" s="8">
        <f>IFERROR(__xludf.DUMMYFUNCTION("""COMPUTED_VALUE"""),0.026)</f>
        <v>0.026</v>
      </c>
      <c r="E9453" s="8" t="str">
        <f>IFERROR(__xludf.DUMMYFUNCTION("""COMPUTED_VALUE"""),"Real")</f>
        <v>Real</v>
      </c>
      <c r="G9453" s="8">
        <f t="shared" si="1"/>
        <v>11</v>
      </c>
      <c r="H9453" s="14">
        <f t="shared" si="2"/>
        <v>29</v>
      </c>
      <c r="I9453" s="15">
        <f t="shared" si="3"/>
        <v>20</v>
      </c>
    </row>
    <row r="9454">
      <c r="A9454" s="8" t="str">
        <f>IFERROR(__xludf.DUMMYFUNCTION("IF('(INGESTA)Datos_consumo_datadis'!A9454&lt;&gt;"""",SPLIT('(INGESTA)Datos_consumo_datadis'!A:A,"",""),"""")"),"ES0031408323131005HX0F")</f>
        <v>ES0031408323131005HX0F</v>
      </c>
      <c r="B9454" s="17">
        <f>IFERROR(__xludf.DUMMYFUNCTION("""COMPUTED_VALUE"""),45259.0)</f>
        <v>45259</v>
      </c>
      <c r="C9454" s="13">
        <f>IFERROR(__xludf.DUMMYFUNCTION("""COMPUTED_VALUE"""),0.875)</f>
        <v>0.875</v>
      </c>
      <c r="D9454" s="8">
        <f>IFERROR(__xludf.DUMMYFUNCTION("""COMPUTED_VALUE"""),0.063)</f>
        <v>0.063</v>
      </c>
      <c r="E9454" s="8" t="str">
        <f>IFERROR(__xludf.DUMMYFUNCTION("""COMPUTED_VALUE"""),"Real")</f>
        <v>Real</v>
      </c>
      <c r="G9454" s="8">
        <f t="shared" si="1"/>
        <v>11</v>
      </c>
      <c r="H9454" s="14">
        <f t="shared" si="2"/>
        <v>29</v>
      </c>
      <c r="I9454" s="15">
        <f t="shared" si="3"/>
        <v>21</v>
      </c>
    </row>
    <row r="9455">
      <c r="A9455" s="8" t="str">
        <f>IFERROR(__xludf.DUMMYFUNCTION("IF('(INGESTA)Datos_consumo_datadis'!A9455&lt;&gt;"""",SPLIT('(INGESTA)Datos_consumo_datadis'!A:A,"",""),"""")"),"ES0031408323131005HX0F")</f>
        <v>ES0031408323131005HX0F</v>
      </c>
      <c r="B9455" s="17">
        <f>IFERROR(__xludf.DUMMYFUNCTION("""COMPUTED_VALUE"""),45259.0)</f>
        <v>45259</v>
      </c>
      <c r="C9455" s="13">
        <f>IFERROR(__xludf.DUMMYFUNCTION("""COMPUTED_VALUE"""),0.9166666666666666)</f>
        <v>0.9166666667</v>
      </c>
      <c r="D9455" s="8">
        <f>IFERROR(__xludf.DUMMYFUNCTION("""COMPUTED_VALUE"""),0.082)</f>
        <v>0.082</v>
      </c>
      <c r="E9455" s="8" t="str">
        <f>IFERROR(__xludf.DUMMYFUNCTION("""COMPUTED_VALUE"""),"Real")</f>
        <v>Real</v>
      </c>
      <c r="G9455" s="8">
        <f t="shared" si="1"/>
        <v>11</v>
      </c>
      <c r="H9455" s="14">
        <f t="shared" si="2"/>
        <v>29</v>
      </c>
      <c r="I9455" s="15">
        <f t="shared" si="3"/>
        <v>22</v>
      </c>
    </row>
    <row r="9456">
      <c r="A9456" s="8" t="str">
        <f>IFERROR(__xludf.DUMMYFUNCTION("IF('(INGESTA)Datos_consumo_datadis'!A9456&lt;&gt;"""",SPLIT('(INGESTA)Datos_consumo_datadis'!A:A,"",""),"""")"),"ES0031408323131005HX0F")</f>
        <v>ES0031408323131005HX0F</v>
      </c>
      <c r="B9456" s="17">
        <f>IFERROR(__xludf.DUMMYFUNCTION("""COMPUTED_VALUE"""),45259.0)</f>
        <v>45259</v>
      </c>
      <c r="C9456" s="13">
        <f>IFERROR(__xludf.DUMMYFUNCTION("""COMPUTED_VALUE"""),0.9583333333333334)</f>
        <v>0.9583333333</v>
      </c>
      <c r="D9456" s="8">
        <f>IFERROR(__xludf.DUMMYFUNCTION("""COMPUTED_VALUE"""),0.035)</f>
        <v>0.035</v>
      </c>
      <c r="E9456" s="8" t="str">
        <f>IFERROR(__xludf.DUMMYFUNCTION("""COMPUTED_VALUE"""),"Real")</f>
        <v>Real</v>
      </c>
      <c r="G9456" s="8">
        <f t="shared" si="1"/>
        <v>11</v>
      </c>
      <c r="H9456" s="14">
        <f t="shared" si="2"/>
        <v>29</v>
      </c>
      <c r="I9456" s="15">
        <f t="shared" si="3"/>
        <v>23</v>
      </c>
    </row>
    <row r="9457">
      <c r="A9457" s="8" t="str">
        <f>IFERROR(__xludf.DUMMYFUNCTION("IF('(INGESTA)Datos_consumo_datadis'!A9457&lt;&gt;"""",SPLIT('(INGESTA)Datos_consumo_datadis'!A:A,"",""),"""")"),"ES0031408323131005HX0F")</f>
        <v>ES0031408323131005HX0F</v>
      </c>
      <c r="B9457" s="17">
        <f>IFERROR(__xludf.DUMMYFUNCTION("""COMPUTED_VALUE"""),45259.0)</f>
        <v>45259</v>
      </c>
      <c r="C9457" s="16">
        <f>IFERROR(__xludf.DUMMYFUNCTION("""COMPUTED_VALUE"""),1.0)</f>
        <v>1</v>
      </c>
      <c r="D9457" s="8">
        <f>IFERROR(__xludf.DUMMYFUNCTION("""COMPUTED_VALUE"""),0.057)</f>
        <v>0.057</v>
      </c>
      <c r="E9457" s="8" t="str">
        <f>IFERROR(__xludf.DUMMYFUNCTION("""COMPUTED_VALUE"""),"Real")</f>
        <v>Real</v>
      </c>
      <c r="G9457" s="8">
        <f t="shared" si="1"/>
        <v>11</v>
      </c>
      <c r="H9457" s="14">
        <f t="shared" si="2"/>
        <v>29</v>
      </c>
      <c r="I9457" s="15">
        <f t="shared" si="3"/>
        <v>0</v>
      </c>
    </row>
    <row r="9458">
      <c r="A9458" s="8" t="str">
        <f>IFERROR(__xludf.DUMMYFUNCTION("IF('(INGESTA)Datos_consumo_datadis'!A9458&lt;&gt;"""",SPLIT('(INGESTA)Datos_consumo_datadis'!A:A,"",""),"""")"),"ES0031408323131005HX0F")</f>
        <v>ES0031408323131005HX0F</v>
      </c>
      <c r="B9458" s="17">
        <f>IFERROR(__xludf.DUMMYFUNCTION("""COMPUTED_VALUE"""),45260.0)</f>
        <v>45260</v>
      </c>
      <c r="C9458" s="13">
        <f>IFERROR(__xludf.DUMMYFUNCTION("""COMPUTED_VALUE"""),0.041666666666666664)</f>
        <v>0.04166666667</v>
      </c>
      <c r="D9458" s="8">
        <f>IFERROR(__xludf.DUMMYFUNCTION("""COMPUTED_VALUE"""),0.382)</f>
        <v>0.382</v>
      </c>
      <c r="E9458" s="8" t="str">
        <f>IFERROR(__xludf.DUMMYFUNCTION("""COMPUTED_VALUE"""),"Real")</f>
        <v>Real</v>
      </c>
      <c r="G9458" s="8">
        <f t="shared" si="1"/>
        <v>11</v>
      </c>
      <c r="H9458" s="14">
        <f t="shared" si="2"/>
        <v>30</v>
      </c>
      <c r="I9458" s="15">
        <f t="shared" si="3"/>
        <v>1</v>
      </c>
    </row>
    <row r="9459">
      <c r="A9459" s="8" t="str">
        <f>IFERROR(__xludf.DUMMYFUNCTION("IF('(INGESTA)Datos_consumo_datadis'!A9459&lt;&gt;"""",SPLIT('(INGESTA)Datos_consumo_datadis'!A:A,"",""),"""")"),"ES0031408323131005HX0F")</f>
        <v>ES0031408323131005HX0F</v>
      </c>
      <c r="B9459" s="17">
        <f>IFERROR(__xludf.DUMMYFUNCTION("""COMPUTED_VALUE"""),45260.0)</f>
        <v>45260</v>
      </c>
      <c r="C9459" s="13">
        <f>IFERROR(__xludf.DUMMYFUNCTION("""COMPUTED_VALUE"""),0.08333333333333333)</f>
        <v>0.08333333333</v>
      </c>
      <c r="D9459" s="8">
        <f>IFERROR(__xludf.DUMMYFUNCTION("""COMPUTED_VALUE"""),0.044)</f>
        <v>0.044</v>
      </c>
      <c r="E9459" s="8" t="str">
        <f>IFERROR(__xludf.DUMMYFUNCTION("""COMPUTED_VALUE"""),"Real")</f>
        <v>Real</v>
      </c>
      <c r="G9459" s="8">
        <f t="shared" si="1"/>
        <v>11</v>
      </c>
      <c r="H9459" s="14">
        <f t="shared" si="2"/>
        <v>30</v>
      </c>
      <c r="I9459" s="15">
        <f t="shared" si="3"/>
        <v>2</v>
      </c>
    </row>
    <row r="9460">
      <c r="A9460" s="8" t="str">
        <f>IFERROR(__xludf.DUMMYFUNCTION("IF('(INGESTA)Datos_consumo_datadis'!A9460&lt;&gt;"""",SPLIT('(INGESTA)Datos_consumo_datadis'!A:A,"",""),"""")"),"ES0031408323131005HX0F")</f>
        <v>ES0031408323131005HX0F</v>
      </c>
      <c r="B9460" s="17">
        <f>IFERROR(__xludf.DUMMYFUNCTION("""COMPUTED_VALUE"""),45260.0)</f>
        <v>45260</v>
      </c>
      <c r="C9460" s="13">
        <f>IFERROR(__xludf.DUMMYFUNCTION("""COMPUTED_VALUE"""),0.125)</f>
        <v>0.125</v>
      </c>
      <c r="D9460" s="8">
        <f>IFERROR(__xludf.DUMMYFUNCTION("""COMPUTED_VALUE"""),0.069)</f>
        <v>0.069</v>
      </c>
      <c r="E9460" s="8" t="str">
        <f>IFERROR(__xludf.DUMMYFUNCTION("""COMPUTED_VALUE"""),"Real")</f>
        <v>Real</v>
      </c>
      <c r="G9460" s="8">
        <f t="shared" si="1"/>
        <v>11</v>
      </c>
      <c r="H9460" s="14">
        <f t="shared" si="2"/>
        <v>30</v>
      </c>
      <c r="I9460" s="15">
        <f t="shared" si="3"/>
        <v>3</v>
      </c>
    </row>
    <row r="9461">
      <c r="A9461" s="8" t="str">
        <f>IFERROR(__xludf.DUMMYFUNCTION("IF('(INGESTA)Datos_consumo_datadis'!A9461&lt;&gt;"""",SPLIT('(INGESTA)Datos_consumo_datadis'!A:A,"",""),"""")"),"ES0031408323131005HX0F")</f>
        <v>ES0031408323131005HX0F</v>
      </c>
      <c r="B9461" s="17">
        <f>IFERROR(__xludf.DUMMYFUNCTION("""COMPUTED_VALUE"""),45260.0)</f>
        <v>45260</v>
      </c>
      <c r="C9461" s="13">
        <f>IFERROR(__xludf.DUMMYFUNCTION("""COMPUTED_VALUE"""),0.16666666666666666)</f>
        <v>0.1666666667</v>
      </c>
      <c r="D9461" s="8">
        <f>IFERROR(__xludf.DUMMYFUNCTION("""COMPUTED_VALUE"""),0.091)</f>
        <v>0.091</v>
      </c>
      <c r="E9461" s="8" t="str">
        <f>IFERROR(__xludf.DUMMYFUNCTION("""COMPUTED_VALUE"""),"Real")</f>
        <v>Real</v>
      </c>
      <c r="G9461" s="8">
        <f t="shared" si="1"/>
        <v>11</v>
      </c>
      <c r="H9461" s="14">
        <f t="shared" si="2"/>
        <v>30</v>
      </c>
      <c r="I9461" s="15">
        <f t="shared" si="3"/>
        <v>4</v>
      </c>
    </row>
    <row r="9462">
      <c r="A9462" s="8" t="str">
        <f>IFERROR(__xludf.DUMMYFUNCTION("IF('(INGESTA)Datos_consumo_datadis'!A9462&lt;&gt;"""",SPLIT('(INGESTA)Datos_consumo_datadis'!A:A,"",""),"""")"),"ES0031408323131005HX0F")</f>
        <v>ES0031408323131005HX0F</v>
      </c>
      <c r="B9462" s="17">
        <f>IFERROR(__xludf.DUMMYFUNCTION("""COMPUTED_VALUE"""),45260.0)</f>
        <v>45260</v>
      </c>
      <c r="C9462" s="13">
        <f>IFERROR(__xludf.DUMMYFUNCTION("""COMPUTED_VALUE"""),0.20833333333333334)</f>
        <v>0.2083333333</v>
      </c>
      <c r="D9462" s="8">
        <f>IFERROR(__xludf.DUMMYFUNCTION("""COMPUTED_VALUE"""),0.051)</f>
        <v>0.051</v>
      </c>
      <c r="E9462" s="8" t="str">
        <f>IFERROR(__xludf.DUMMYFUNCTION("""COMPUTED_VALUE"""),"Real")</f>
        <v>Real</v>
      </c>
      <c r="G9462" s="8">
        <f t="shared" si="1"/>
        <v>11</v>
      </c>
      <c r="H9462" s="14">
        <f t="shared" si="2"/>
        <v>30</v>
      </c>
      <c r="I9462" s="15">
        <f t="shared" si="3"/>
        <v>5</v>
      </c>
    </row>
    <row r="9463">
      <c r="A9463" s="8" t="str">
        <f>IFERROR(__xludf.DUMMYFUNCTION("IF('(INGESTA)Datos_consumo_datadis'!A9463&lt;&gt;"""",SPLIT('(INGESTA)Datos_consumo_datadis'!A:A,"",""),"""")"),"ES0031408323131005HX0F")</f>
        <v>ES0031408323131005HX0F</v>
      </c>
      <c r="B9463" s="17">
        <f>IFERROR(__xludf.DUMMYFUNCTION("""COMPUTED_VALUE"""),45260.0)</f>
        <v>45260</v>
      </c>
      <c r="C9463" s="13">
        <f>IFERROR(__xludf.DUMMYFUNCTION("""COMPUTED_VALUE"""),0.25)</f>
        <v>0.25</v>
      </c>
      <c r="D9463" s="8">
        <f>IFERROR(__xludf.DUMMYFUNCTION("""COMPUTED_VALUE"""),0.043)</f>
        <v>0.043</v>
      </c>
      <c r="E9463" s="8" t="str">
        <f>IFERROR(__xludf.DUMMYFUNCTION("""COMPUTED_VALUE"""),"Real")</f>
        <v>Real</v>
      </c>
      <c r="G9463" s="8">
        <f t="shared" si="1"/>
        <v>11</v>
      </c>
      <c r="H9463" s="14">
        <f t="shared" si="2"/>
        <v>30</v>
      </c>
      <c r="I9463" s="15">
        <f t="shared" si="3"/>
        <v>6</v>
      </c>
    </row>
    <row r="9464">
      <c r="A9464" s="8" t="str">
        <f>IFERROR(__xludf.DUMMYFUNCTION("IF('(INGESTA)Datos_consumo_datadis'!A9464&lt;&gt;"""",SPLIT('(INGESTA)Datos_consumo_datadis'!A:A,"",""),"""")"),"ES0031408323131005HX0F")</f>
        <v>ES0031408323131005HX0F</v>
      </c>
      <c r="B9464" s="17">
        <f>IFERROR(__xludf.DUMMYFUNCTION("""COMPUTED_VALUE"""),45260.0)</f>
        <v>45260</v>
      </c>
      <c r="C9464" s="13">
        <f>IFERROR(__xludf.DUMMYFUNCTION("""COMPUTED_VALUE"""),0.2916666666666667)</f>
        <v>0.2916666667</v>
      </c>
      <c r="D9464" s="8">
        <f>IFERROR(__xludf.DUMMYFUNCTION("""COMPUTED_VALUE"""),0.409)</f>
        <v>0.409</v>
      </c>
      <c r="E9464" s="8" t="str">
        <f>IFERROR(__xludf.DUMMYFUNCTION("""COMPUTED_VALUE"""),"Real")</f>
        <v>Real</v>
      </c>
      <c r="G9464" s="8">
        <f t="shared" si="1"/>
        <v>11</v>
      </c>
      <c r="H9464" s="14">
        <f t="shared" si="2"/>
        <v>30</v>
      </c>
      <c r="I9464" s="15">
        <f t="shared" si="3"/>
        <v>7</v>
      </c>
    </row>
    <row r="9465">
      <c r="A9465" s="8" t="str">
        <f>IFERROR(__xludf.DUMMYFUNCTION("IF('(INGESTA)Datos_consumo_datadis'!A9465&lt;&gt;"""",SPLIT('(INGESTA)Datos_consumo_datadis'!A:A,"",""),"""")"),"ES0031408323131005HX0F")</f>
        <v>ES0031408323131005HX0F</v>
      </c>
      <c r="B9465" s="17">
        <f>IFERROR(__xludf.DUMMYFUNCTION("""COMPUTED_VALUE"""),45260.0)</f>
        <v>45260</v>
      </c>
      <c r="C9465" s="13">
        <f>IFERROR(__xludf.DUMMYFUNCTION("""COMPUTED_VALUE"""),0.3333333333333333)</f>
        <v>0.3333333333</v>
      </c>
      <c r="D9465" s="8">
        <f>IFERROR(__xludf.DUMMYFUNCTION("""COMPUTED_VALUE"""),0.103)</f>
        <v>0.103</v>
      </c>
      <c r="E9465" s="8" t="str">
        <f>IFERROR(__xludf.DUMMYFUNCTION("""COMPUTED_VALUE"""),"Real")</f>
        <v>Real</v>
      </c>
      <c r="G9465" s="8">
        <f t="shared" si="1"/>
        <v>11</v>
      </c>
      <c r="H9465" s="14">
        <f t="shared" si="2"/>
        <v>30</v>
      </c>
      <c r="I9465" s="15">
        <f t="shared" si="3"/>
        <v>8</v>
      </c>
    </row>
    <row r="9466">
      <c r="A9466" s="8" t="str">
        <f>IFERROR(__xludf.DUMMYFUNCTION("IF('(INGESTA)Datos_consumo_datadis'!A9466&lt;&gt;"""",SPLIT('(INGESTA)Datos_consumo_datadis'!A:A,"",""),"""")"),"ES0031408323131005HX0F")</f>
        <v>ES0031408323131005HX0F</v>
      </c>
      <c r="B9466" s="17">
        <f>IFERROR(__xludf.DUMMYFUNCTION("""COMPUTED_VALUE"""),45260.0)</f>
        <v>45260</v>
      </c>
      <c r="C9466" s="13">
        <f>IFERROR(__xludf.DUMMYFUNCTION("""COMPUTED_VALUE"""),0.375)</f>
        <v>0.375</v>
      </c>
      <c r="D9466" s="8">
        <f>IFERROR(__xludf.DUMMYFUNCTION("""COMPUTED_VALUE"""),0.064)</f>
        <v>0.064</v>
      </c>
      <c r="E9466" s="8" t="str">
        <f>IFERROR(__xludf.DUMMYFUNCTION("""COMPUTED_VALUE"""),"Real")</f>
        <v>Real</v>
      </c>
      <c r="G9466" s="8">
        <f t="shared" si="1"/>
        <v>11</v>
      </c>
      <c r="H9466" s="14">
        <f t="shared" si="2"/>
        <v>30</v>
      </c>
      <c r="I9466" s="15">
        <f t="shared" si="3"/>
        <v>9</v>
      </c>
    </row>
    <row r="9467">
      <c r="A9467" s="8" t="str">
        <f>IFERROR(__xludf.DUMMYFUNCTION("IF('(INGESTA)Datos_consumo_datadis'!A9467&lt;&gt;"""",SPLIT('(INGESTA)Datos_consumo_datadis'!A:A,"",""),"""")"),"ES0031408323131005HX0F")</f>
        <v>ES0031408323131005HX0F</v>
      </c>
      <c r="B9467" s="17">
        <f>IFERROR(__xludf.DUMMYFUNCTION("""COMPUTED_VALUE"""),45260.0)</f>
        <v>45260</v>
      </c>
      <c r="C9467" s="13">
        <f>IFERROR(__xludf.DUMMYFUNCTION("""COMPUTED_VALUE"""),0.4166666666666667)</f>
        <v>0.4166666667</v>
      </c>
      <c r="D9467" s="8">
        <f>IFERROR(__xludf.DUMMYFUNCTION("""COMPUTED_VALUE"""),0.019)</f>
        <v>0.019</v>
      </c>
      <c r="E9467" s="8" t="str">
        <f>IFERROR(__xludf.DUMMYFUNCTION("""COMPUTED_VALUE"""),"Real")</f>
        <v>Real</v>
      </c>
      <c r="G9467" s="8">
        <f t="shared" si="1"/>
        <v>11</v>
      </c>
      <c r="H9467" s="14">
        <f t="shared" si="2"/>
        <v>30</v>
      </c>
      <c r="I9467" s="15">
        <f t="shared" si="3"/>
        <v>10</v>
      </c>
    </row>
    <row r="9468">
      <c r="A9468" s="8" t="str">
        <f>IFERROR(__xludf.DUMMYFUNCTION("IF('(INGESTA)Datos_consumo_datadis'!A9468&lt;&gt;"""",SPLIT('(INGESTA)Datos_consumo_datadis'!A:A,"",""),"""")"),"ES0031408323131005HX0F")</f>
        <v>ES0031408323131005HX0F</v>
      </c>
      <c r="B9468" s="17">
        <f>IFERROR(__xludf.DUMMYFUNCTION("""COMPUTED_VALUE"""),45260.0)</f>
        <v>45260</v>
      </c>
      <c r="C9468" s="13">
        <f>IFERROR(__xludf.DUMMYFUNCTION("""COMPUTED_VALUE"""),0.4583333333333333)</f>
        <v>0.4583333333</v>
      </c>
      <c r="D9468" s="8">
        <f>IFERROR(__xludf.DUMMYFUNCTION("""COMPUTED_VALUE"""),0.08)</f>
        <v>0.08</v>
      </c>
      <c r="E9468" s="8" t="str">
        <f>IFERROR(__xludf.DUMMYFUNCTION("""COMPUTED_VALUE"""),"Real")</f>
        <v>Real</v>
      </c>
      <c r="G9468" s="8">
        <f t="shared" si="1"/>
        <v>11</v>
      </c>
      <c r="H9468" s="14">
        <f t="shared" si="2"/>
        <v>30</v>
      </c>
      <c r="I9468" s="15">
        <f t="shared" si="3"/>
        <v>11</v>
      </c>
    </row>
    <row r="9469">
      <c r="A9469" s="8" t="str">
        <f>IFERROR(__xludf.DUMMYFUNCTION("IF('(INGESTA)Datos_consumo_datadis'!A9469&lt;&gt;"""",SPLIT('(INGESTA)Datos_consumo_datadis'!A:A,"",""),"""")"),"ES0031408323131005HX0F")</f>
        <v>ES0031408323131005HX0F</v>
      </c>
      <c r="B9469" s="17">
        <f>IFERROR(__xludf.DUMMYFUNCTION("""COMPUTED_VALUE"""),45260.0)</f>
        <v>45260</v>
      </c>
      <c r="C9469" s="13">
        <f>IFERROR(__xludf.DUMMYFUNCTION("""COMPUTED_VALUE"""),0.5)</f>
        <v>0.5</v>
      </c>
      <c r="D9469" s="8">
        <f>IFERROR(__xludf.DUMMYFUNCTION("""COMPUTED_VALUE"""),0.07)</f>
        <v>0.07</v>
      </c>
      <c r="E9469" s="8" t="str">
        <f>IFERROR(__xludf.DUMMYFUNCTION("""COMPUTED_VALUE"""),"Real")</f>
        <v>Real</v>
      </c>
      <c r="G9469" s="8">
        <f t="shared" si="1"/>
        <v>11</v>
      </c>
      <c r="H9469" s="14">
        <f t="shared" si="2"/>
        <v>30</v>
      </c>
      <c r="I9469" s="15">
        <f t="shared" si="3"/>
        <v>12</v>
      </c>
    </row>
    <row r="9470">
      <c r="A9470" s="8" t="str">
        <f>IFERROR(__xludf.DUMMYFUNCTION("IF('(INGESTA)Datos_consumo_datadis'!A9470&lt;&gt;"""",SPLIT('(INGESTA)Datos_consumo_datadis'!A:A,"",""),"""")"),"ES0031408323131005HX0F")</f>
        <v>ES0031408323131005HX0F</v>
      </c>
      <c r="B9470" s="17">
        <f>IFERROR(__xludf.DUMMYFUNCTION("""COMPUTED_VALUE"""),45260.0)</f>
        <v>45260</v>
      </c>
      <c r="C9470" s="13">
        <f>IFERROR(__xludf.DUMMYFUNCTION("""COMPUTED_VALUE"""),0.5416666666666666)</f>
        <v>0.5416666667</v>
      </c>
      <c r="D9470" s="8">
        <f>IFERROR(__xludf.DUMMYFUNCTION("""COMPUTED_VALUE"""),0.349)</f>
        <v>0.349</v>
      </c>
      <c r="E9470" s="8" t="str">
        <f>IFERROR(__xludf.DUMMYFUNCTION("""COMPUTED_VALUE"""),"Real")</f>
        <v>Real</v>
      </c>
      <c r="G9470" s="8">
        <f t="shared" si="1"/>
        <v>11</v>
      </c>
      <c r="H9470" s="14">
        <f t="shared" si="2"/>
        <v>30</v>
      </c>
      <c r="I9470" s="15">
        <f t="shared" si="3"/>
        <v>13</v>
      </c>
    </row>
    <row r="9471">
      <c r="A9471" s="8" t="str">
        <f>IFERROR(__xludf.DUMMYFUNCTION("IF('(INGESTA)Datos_consumo_datadis'!A9471&lt;&gt;"""",SPLIT('(INGESTA)Datos_consumo_datadis'!A:A,"",""),"""")"),"ES0031408323131005HX0F")</f>
        <v>ES0031408323131005HX0F</v>
      </c>
      <c r="B9471" s="17">
        <f>IFERROR(__xludf.DUMMYFUNCTION("""COMPUTED_VALUE"""),45260.0)</f>
        <v>45260</v>
      </c>
      <c r="C9471" s="13">
        <f>IFERROR(__xludf.DUMMYFUNCTION("""COMPUTED_VALUE"""),0.5833333333333334)</f>
        <v>0.5833333333</v>
      </c>
      <c r="D9471" s="8">
        <f>IFERROR(__xludf.DUMMYFUNCTION("""COMPUTED_VALUE"""),0.009)</f>
        <v>0.009</v>
      </c>
      <c r="E9471" s="8" t="str">
        <f>IFERROR(__xludf.DUMMYFUNCTION("""COMPUTED_VALUE"""),"Real")</f>
        <v>Real</v>
      </c>
      <c r="G9471" s="8">
        <f t="shared" si="1"/>
        <v>11</v>
      </c>
      <c r="H9471" s="14">
        <f t="shared" si="2"/>
        <v>30</v>
      </c>
      <c r="I9471" s="15">
        <f t="shared" si="3"/>
        <v>14</v>
      </c>
    </row>
    <row r="9472">
      <c r="A9472" s="8" t="str">
        <f>IFERROR(__xludf.DUMMYFUNCTION("IF('(INGESTA)Datos_consumo_datadis'!A9472&lt;&gt;"""",SPLIT('(INGESTA)Datos_consumo_datadis'!A:A,"",""),"""")"),"ES0031408323131005HX0F")</f>
        <v>ES0031408323131005HX0F</v>
      </c>
      <c r="B9472" s="17">
        <f>IFERROR(__xludf.DUMMYFUNCTION("""COMPUTED_VALUE"""),45260.0)</f>
        <v>45260</v>
      </c>
      <c r="C9472" s="13">
        <f>IFERROR(__xludf.DUMMYFUNCTION("""COMPUTED_VALUE"""),0.625)</f>
        <v>0.625</v>
      </c>
      <c r="D9472" s="8">
        <f>IFERROR(__xludf.DUMMYFUNCTION("""COMPUTED_VALUE"""),0.015)</f>
        <v>0.015</v>
      </c>
      <c r="E9472" s="8" t="str">
        <f>IFERROR(__xludf.DUMMYFUNCTION("""COMPUTED_VALUE"""),"Real")</f>
        <v>Real</v>
      </c>
      <c r="G9472" s="8">
        <f t="shared" si="1"/>
        <v>11</v>
      </c>
      <c r="H9472" s="14">
        <f t="shared" si="2"/>
        <v>30</v>
      </c>
      <c r="I9472" s="15">
        <f t="shared" si="3"/>
        <v>15</v>
      </c>
    </row>
    <row r="9473">
      <c r="A9473" s="8" t="str">
        <f>IFERROR(__xludf.DUMMYFUNCTION("IF('(INGESTA)Datos_consumo_datadis'!A9473&lt;&gt;"""",SPLIT('(INGESTA)Datos_consumo_datadis'!A:A,"",""),"""")"),"ES0031408323131005HX0F")</f>
        <v>ES0031408323131005HX0F</v>
      </c>
      <c r="B9473" s="17">
        <f>IFERROR(__xludf.DUMMYFUNCTION("""COMPUTED_VALUE"""),45260.0)</f>
        <v>45260</v>
      </c>
      <c r="C9473" s="13">
        <f>IFERROR(__xludf.DUMMYFUNCTION("""COMPUTED_VALUE"""),0.6666666666666666)</f>
        <v>0.6666666667</v>
      </c>
      <c r="D9473" s="8">
        <f>IFERROR(__xludf.DUMMYFUNCTION("""COMPUTED_VALUE"""),0.089)</f>
        <v>0.089</v>
      </c>
      <c r="E9473" s="8" t="str">
        <f>IFERROR(__xludf.DUMMYFUNCTION("""COMPUTED_VALUE"""),"Real")</f>
        <v>Real</v>
      </c>
      <c r="G9473" s="8">
        <f t="shared" si="1"/>
        <v>11</v>
      </c>
      <c r="H9473" s="14">
        <f t="shared" si="2"/>
        <v>30</v>
      </c>
      <c r="I9473" s="15">
        <f t="shared" si="3"/>
        <v>16</v>
      </c>
    </row>
    <row r="9474">
      <c r="A9474" s="8" t="str">
        <f>IFERROR(__xludf.DUMMYFUNCTION("IF('(INGESTA)Datos_consumo_datadis'!A9474&lt;&gt;"""",SPLIT('(INGESTA)Datos_consumo_datadis'!A:A,"",""),"""")"),"ES0031408323131005HX0F")</f>
        <v>ES0031408323131005HX0F</v>
      </c>
      <c r="B9474" s="17">
        <f>IFERROR(__xludf.DUMMYFUNCTION("""COMPUTED_VALUE"""),45260.0)</f>
        <v>45260</v>
      </c>
      <c r="C9474" s="13">
        <f>IFERROR(__xludf.DUMMYFUNCTION("""COMPUTED_VALUE"""),0.7083333333333334)</f>
        <v>0.7083333333</v>
      </c>
      <c r="D9474" s="8">
        <f>IFERROR(__xludf.DUMMYFUNCTION("""COMPUTED_VALUE"""),0.047)</f>
        <v>0.047</v>
      </c>
      <c r="E9474" s="8" t="str">
        <f>IFERROR(__xludf.DUMMYFUNCTION("""COMPUTED_VALUE"""),"Real")</f>
        <v>Real</v>
      </c>
      <c r="G9474" s="8">
        <f t="shared" si="1"/>
        <v>11</v>
      </c>
      <c r="H9474" s="14">
        <f t="shared" si="2"/>
        <v>30</v>
      </c>
      <c r="I9474" s="15">
        <f t="shared" si="3"/>
        <v>17</v>
      </c>
    </row>
    <row r="9475">
      <c r="A9475" s="8" t="str">
        <f>IFERROR(__xludf.DUMMYFUNCTION("IF('(INGESTA)Datos_consumo_datadis'!A9475&lt;&gt;"""",SPLIT('(INGESTA)Datos_consumo_datadis'!A:A,"",""),"""")"),"ES0031408323131005HX0F")</f>
        <v>ES0031408323131005HX0F</v>
      </c>
      <c r="B9475" s="17">
        <f>IFERROR(__xludf.DUMMYFUNCTION("""COMPUTED_VALUE"""),45260.0)</f>
        <v>45260</v>
      </c>
      <c r="C9475" s="13">
        <f>IFERROR(__xludf.DUMMYFUNCTION("""COMPUTED_VALUE"""),0.75)</f>
        <v>0.75</v>
      </c>
      <c r="D9475" s="8">
        <f>IFERROR(__xludf.DUMMYFUNCTION("""COMPUTED_VALUE"""),0.041)</f>
        <v>0.041</v>
      </c>
      <c r="E9475" s="8" t="str">
        <f>IFERROR(__xludf.DUMMYFUNCTION("""COMPUTED_VALUE"""),"Real")</f>
        <v>Real</v>
      </c>
      <c r="G9475" s="8">
        <f t="shared" si="1"/>
        <v>11</v>
      </c>
      <c r="H9475" s="14">
        <f t="shared" si="2"/>
        <v>30</v>
      </c>
      <c r="I9475" s="15">
        <f t="shared" si="3"/>
        <v>18</v>
      </c>
    </row>
    <row r="9476">
      <c r="A9476" s="8" t="str">
        <f>IFERROR(__xludf.DUMMYFUNCTION("IF('(INGESTA)Datos_consumo_datadis'!A9476&lt;&gt;"""",SPLIT('(INGESTA)Datos_consumo_datadis'!A:A,"",""),"""")"),"ES0031408323131005HX0F")</f>
        <v>ES0031408323131005HX0F</v>
      </c>
      <c r="B9476" s="17">
        <f>IFERROR(__xludf.DUMMYFUNCTION("""COMPUTED_VALUE"""),45260.0)</f>
        <v>45260</v>
      </c>
      <c r="C9476" s="13">
        <f>IFERROR(__xludf.DUMMYFUNCTION("""COMPUTED_VALUE"""),0.7916666666666666)</f>
        <v>0.7916666667</v>
      </c>
      <c r="D9476" s="8">
        <f>IFERROR(__xludf.DUMMYFUNCTION("""COMPUTED_VALUE"""),0.294)</f>
        <v>0.294</v>
      </c>
      <c r="E9476" s="8" t="str">
        <f>IFERROR(__xludf.DUMMYFUNCTION("""COMPUTED_VALUE"""),"Real")</f>
        <v>Real</v>
      </c>
      <c r="G9476" s="8">
        <f t="shared" si="1"/>
        <v>11</v>
      </c>
      <c r="H9476" s="14">
        <f t="shared" si="2"/>
        <v>30</v>
      </c>
      <c r="I9476" s="15">
        <f t="shared" si="3"/>
        <v>19</v>
      </c>
    </row>
    <row r="9477">
      <c r="A9477" s="8" t="str">
        <f>IFERROR(__xludf.DUMMYFUNCTION("IF('(INGESTA)Datos_consumo_datadis'!A9477&lt;&gt;"""",SPLIT('(INGESTA)Datos_consumo_datadis'!A:A,"",""),"""")"),"ES0031408323131005HX0F")</f>
        <v>ES0031408323131005HX0F</v>
      </c>
      <c r="B9477" s="17">
        <f>IFERROR(__xludf.DUMMYFUNCTION("""COMPUTED_VALUE"""),45260.0)</f>
        <v>45260</v>
      </c>
      <c r="C9477" s="13">
        <f>IFERROR(__xludf.DUMMYFUNCTION("""COMPUTED_VALUE"""),0.8333333333333334)</f>
        <v>0.8333333333</v>
      </c>
      <c r="D9477" s="8">
        <f>IFERROR(__xludf.DUMMYFUNCTION("""COMPUTED_VALUE"""),0.046)</f>
        <v>0.046</v>
      </c>
      <c r="E9477" s="8" t="str">
        <f>IFERROR(__xludf.DUMMYFUNCTION("""COMPUTED_VALUE"""),"Real")</f>
        <v>Real</v>
      </c>
      <c r="G9477" s="8">
        <f t="shared" si="1"/>
        <v>11</v>
      </c>
      <c r="H9477" s="14">
        <f t="shared" si="2"/>
        <v>30</v>
      </c>
      <c r="I9477" s="15">
        <f t="shared" si="3"/>
        <v>20</v>
      </c>
    </row>
    <row r="9478">
      <c r="A9478" s="8" t="str">
        <f>IFERROR(__xludf.DUMMYFUNCTION("IF('(INGESTA)Datos_consumo_datadis'!A9478&lt;&gt;"""",SPLIT('(INGESTA)Datos_consumo_datadis'!A:A,"",""),"""")"),"ES0031408323131005HX0F")</f>
        <v>ES0031408323131005HX0F</v>
      </c>
      <c r="B9478" s="17">
        <f>IFERROR(__xludf.DUMMYFUNCTION("""COMPUTED_VALUE"""),45260.0)</f>
        <v>45260</v>
      </c>
      <c r="C9478" s="13">
        <f>IFERROR(__xludf.DUMMYFUNCTION("""COMPUTED_VALUE"""),0.875)</f>
        <v>0.875</v>
      </c>
      <c r="D9478" s="8">
        <f>IFERROR(__xludf.DUMMYFUNCTION("""COMPUTED_VALUE"""),0.067)</f>
        <v>0.067</v>
      </c>
      <c r="E9478" s="8" t="str">
        <f>IFERROR(__xludf.DUMMYFUNCTION("""COMPUTED_VALUE"""),"Real")</f>
        <v>Real</v>
      </c>
      <c r="G9478" s="8">
        <f t="shared" si="1"/>
        <v>11</v>
      </c>
      <c r="H9478" s="14">
        <f t="shared" si="2"/>
        <v>30</v>
      </c>
      <c r="I9478" s="15">
        <f t="shared" si="3"/>
        <v>21</v>
      </c>
    </row>
    <row r="9479">
      <c r="A9479" s="8" t="str">
        <f>IFERROR(__xludf.DUMMYFUNCTION("IF('(INGESTA)Datos_consumo_datadis'!A9479&lt;&gt;"""",SPLIT('(INGESTA)Datos_consumo_datadis'!A:A,"",""),"""")"),"ES0031408323131005HX0F")</f>
        <v>ES0031408323131005HX0F</v>
      </c>
      <c r="B9479" s="17">
        <f>IFERROR(__xludf.DUMMYFUNCTION("""COMPUTED_VALUE"""),45260.0)</f>
        <v>45260</v>
      </c>
      <c r="C9479" s="13">
        <f>IFERROR(__xludf.DUMMYFUNCTION("""COMPUTED_VALUE"""),0.9166666666666666)</f>
        <v>0.9166666667</v>
      </c>
      <c r="D9479" s="8">
        <f>IFERROR(__xludf.DUMMYFUNCTION("""COMPUTED_VALUE"""),0.064)</f>
        <v>0.064</v>
      </c>
      <c r="E9479" s="8" t="str">
        <f>IFERROR(__xludf.DUMMYFUNCTION("""COMPUTED_VALUE"""),"Real")</f>
        <v>Real</v>
      </c>
      <c r="G9479" s="8">
        <f t="shared" si="1"/>
        <v>11</v>
      </c>
      <c r="H9479" s="14">
        <f t="shared" si="2"/>
        <v>30</v>
      </c>
      <c r="I9479" s="15">
        <f t="shared" si="3"/>
        <v>22</v>
      </c>
    </row>
    <row r="9480">
      <c r="A9480" s="8" t="str">
        <f>IFERROR(__xludf.DUMMYFUNCTION("IF('(INGESTA)Datos_consumo_datadis'!A9480&lt;&gt;"""",SPLIT('(INGESTA)Datos_consumo_datadis'!A:A,"",""),"""")"),"ES0031408323131005HX0F")</f>
        <v>ES0031408323131005HX0F</v>
      </c>
      <c r="B9480" s="17">
        <f>IFERROR(__xludf.DUMMYFUNCTION("""COMPUTED_VALUE"""),45260.0)</f>
        <v>45260</v>
      </c>
      <c r="C9480" s="13">
        <f>IFERROR(__xludf.DUMMYFUNCTION("""COMPUTED_VALUE"""),0.9583333333333334)</f>
        <v>0.9583333333</v>
      </c>
      <c r="D9480" s="8">
        <f>IFERROR(__xludf.DUMMYFUNCTION("""COMPUTED_VALUE"""),0.133)</f>
        <v>0.133</v>
      </c>
      <c r="E9480" s="8" t="str">
        <f>IFERROR(__xludf.DUMMYFUNCTION("""COMPUTED_VALUE"""),"Real")</f>
        <v>Real</v>
      </c>
      <c r="G9480" s="8">
        <f t="shared" si="1"/>
        <v>11</v>
      </c>
      <c r="H9480" s="14">
        <f t="shared" si="2"/>
        <v>30</v>
      </c>
      <c r="I9480" s="15">
        <f t="shared" si="3"/>
        <v>23</v>
      </c>
    </row>
    <row r="9481">
      <c r="A9481" s="8" t="str">
        <f>IFERROR(__xludf.DUMMYFUNCTION("IF('(INGESTA)Datos_consumo_datadis'!A9481&lt;&gt;"""",SPLIT('(INGESTA)Datos_consumo_datadis'!A:A,"",""),"""")"),"ES0031408323131005HX0F")</f>
        <v>ES0031408323131005HX0F</v>
      </c>
      <c r="B9481" s="17">
        <f>IFERROR(__xludf.DUMMYFUNCTION("""COMPUTED_VALUE"""),45260.0)</f>
        <v>45260</v>
      </c>
      <c r="C9481" s="16">
        <f>IFERROR(__xludf.DUMMYFUNCTION("""COMPUTED_VALUE"""),1.0)</f>
        <v>1</v>
      </c>
      <c r="D9481" s="8">
        <f>IFERROR(__xludf.DUMMYFUNCTION("""COMPUTED_VALUE"""),0.395)</f>
        <v>0.395</v>
      </c>
      <c r="E9481" s="8" t="str">
        <f>IFERROR(__xludf.DUMMYFUNCTION("""COMPUTED_VALUE"""),"Real")</f>
        <v>Real</v>
      </c>
      <c r="G9481" s="8">
        <f t="shared" si="1"/>
        <v>11</v>
      </c>
      <c r="H9481" s="14">
        <f t="shared" si="2"/>
        <v>30</v>
      </c>
      <c r="I9481" s="15">
        <f t="shared" si="3"/>
        <v>0</v>
      </c>
    </row>
    <row r="9482">
      <c r="A9482" s="8" t="str">
        <f>IFERROR(__xludf.DUMMYFUNCTION("IF('(INGESTA)Datos_consumo_datadis'!A9482&lt;&gt;"""",SPLIT('(INGESTA)Datos_consumo_datadis'!A:A,"",""),"""")"),"ES0031408323131005HX0F")</f>
        <v>ES0031408323131005HX0F</v>
      </c>
      <c r="B9482" s="12">
        <f>IFERROR(__xludf.DUMMYFUNCTION("""COMPUTED_VALUE"""),45261.0)</f>
        <v>45261</v>
      </c>
      <c r="C9482" s="13">
        <f>IFERROR(__xludf.DUMMYFUNCTION("""COMPUTED_VALUE"""),0.041666666666666664)</f>
        <v>0.04166666667</v>
      </c>
      <c r="D9482" s="8">
        <f>IFERROR(__xludf.DUMMYFUNCTION("""COMPUTED_VALUE"""),0.458)</f>
        <v>0.458</v>
      </c>
      <c r="E9482" s="8" t="str">
        <f>IFERROR(__xludf.DUMMYFUNCTION("""COMPUTED_VALUE"""),"Real")</f>
        <v>Real</v>
      </c>
      <c r="G9482" s="8">
        <f t="shared" si="1"/>
        <v>12</v>
      </c>
      <c r="H9482" s="14">
        <f t="shared" si="2"/>
        <v>1</v>
      </c>
      <c r="I9482" s="15">
        <f t="shared" si="3"/>
        <v>1</v>
      </c>
    </row>
    <row r="9483">
      <c r="A9483" s="8" t="str">
        <f>IFERROR(__xludf.DUMMYFUNCTION("IF('(INGESTA)Datos_consumo_datadis'!A9483&lt;&gt;"""",SPLIT('(INGESTA)Datos_consumo_datadis'!A:A,"",""),"""")"),"ES0031408323131005HX0F")</f>
        <v>ES0031408323131005HX0F</v>
      </c>
      <c r="B9483" s="12">
        <f>IFERROR(__xludf.DUMMYFUNCTION("""COMPUTED_VALUE"""),45261.0)</f>
        <v>45261</v>
      </c>
      <c r="C9483" s="13">
        <f>IFERROR(__xludf.DUMMYFUNCTION("""COMPUTED_VALUE"""),0.08333333333333333)</f>
        <v>0.08333333333</v>
      </c>
      <c r="D9483" s="8">
        <f>IFERROR(__xludf.DUMMYFUNCTION("""COMPUTED_VALUE"""),0.127)</f>
        <v>0.127</v>
      </c>
      <c r="E9483" s="8" t="str">
        <f>IFERROR(__xludf.DUMMYFUNCTION("""COMPUTED_VALUE"""),"Real")</f>
        <v>Real</v>
      </c>
      <c r="G9483" s="8">
        <f t="shared" si="1"/>
        <v>12</v>
      </c>
      <c r="H9483" s="14">
        <f t="shared" si="2"/>
        <v>1</v>
      </c>
      <c r="I9483" s="15">
        <f t="shared" si="3"/>
        <v>2</v>
      </c>
    </row>
    <row r="9484">
      <c r="A9484" s="8" t="str">
        <f>IFERROR(__xludf.DUMMYFUNCTION("IF('(INGESTA)Datos_consumo_datadis'!A9484&lt;&gt;"""",SPLIT('(INGESTA)Datos_consumo_datadis'!A:A,"",""),"""")"),"ES0031408323131005HX0F")</f>
        <v>ES0031408323131005HX0F</v>
      </c>
      <c r="B9484" s="12">
        <f>IFERROR(__xludf.DUMMYFUNCTION("""COMPUTED_VALUE"""),45261.0)</f>
        <v>45261</v>
      </c>
      <c r="C9484" s="13">
        <f>IFERROR(__xludf.DUMMYFUNCTION("""COMPUTED_VALUE"""),0.125)</f>
        <v>0.125</v>
      </c>
      <c r="D9484" s="8">
        <f>IFERROR(__xludf.DUMMYFUNCTION("""COMPUTED_VALUE"""),0.161)</f>
        <v>0.161</v>
      </c>
      <c r="E9484" s="8" t="str">
        <f>IFERROR(__xludf.DUMMYFUNCTION("""COMPUTED_VALUE"""),"Real")</f>
        <v>Real</v>
      </c>
      <c r="G9484" s="8">
        <f t="shared" si="1"/>
        <v>12</v>
      </c>
      <c r="H9484" s="14">
        <f t="shared" si="2"/>
        <v>1</v>
      </c>
      <c r="I9484" s="15">
        <f t="shared" si="3"/>
        <v>3</v>
      </c>
    </row>
    <row r="9485">
      <c r="A9485" s="8" t="str">
        <f>IFERROR(__xludf.DUMMYFUNCTION("IF('(INGESTA)Datos_consumo_datadis'!A9485&lt;&gt;"""",SPLIT('(INGESTA)Datos_consumo_datadis'!A:A,"",""),"""")"),"ES0031408323131005HX0F")</f>
        <v>ES0031408323131005HX0F</v>
      </c>
      <c r="B9485" s="12">
        <f>IFERROR(__xludf.DUMMYFUNCTION("""COMPUTED_VALUE"""),45261.0)</f>
        <v>45261</v>
      </c>
      <c r="C9485" s="13">
        <f>IFERROR(__xludf.DUMMYFUNCTION("""COMPUTED_VALUE"""),0.16666666666666666)</f>
        <v>0.1666666667</v>
      </c>
      <c r="D9485" s="8">
        <f>IFERROR(__xludf.DUMMYFUNCTION("""COMPUTED_VALUE"""),0.085)</f>
        <v>0.085</v>
      </c>
      <c r="E9485" s="8" t="str">
        <f>IFERROR(__xludf.DUMMYFUNCTION("""COMPUTED_VALUE"""),"Real")</f>
        <v>Real</v>
      </c>
      <c r="G9485" s="8">
        <f t="shared" si="1"/>
        <v>12</v>
      </c>
      <c r="H9485" s="14">
        <f t="shared" si="2"/>
        <v>1</v>
      </c>
      <c r="I9485" s="15">
        <f t="shared" si="3"/>
        <v>4</v>
      </c>
    </row>
    <row r="9486">
      <c r="A9486" s="8" t="str">
        <f>IFERROR(__xludf.DUMMYFUNCTION("IF('(INGESTA)Datos_consumo_datadis'!A9486&lt;&gt;"""",SPLIT('(INGESTA)Datos_consumo_datadis'!A:A,"",""),"""")"),"ES0031408323131005HX0F")</f>
        <v>ES0031408323131005HX0F</v>
      </c>
      <c r="B9486" s="12">
        <f>IFERROR(__xludf.DUMMYFUNCTION("""COMPUTED_VALUE"""),45261.0)</f>
        <v>45261</v>
      </c>
      <c r="C9486" s="13">
        <f>IFERROR(__xludf.DUMMYFUNCTION("""COMPUTED_VALUE"""),0.20833333333333334)</f>
        <v>0.2083333333</v>
      </c>
      <c r="D9486" s="8">
        <f>IFERROR(__xludf.DUMMYFUNCTION("""COMPUTED_VALUE"""),0.033)</f>
        <v>0.033</v>
      </c>
      <c r="E9486" s="8" t="str">
        <f>IFERROR(__xludf.DUMMYFUNCTION("""COMPUTED_VALUE"""),"Real")</f>
        <v>Real</v>
      </c>
      <c r="G9486" s="8">
        <f t="shared" si="1"/>
        <v>12</v>
      </c>
      <c r="H9486" s="14">
        <f t="shared" si="2"/>
        <v>1</v>
      </c>
      <c r="I9486" s="15">
        <f t="shared" si="3"/>
        <v>5</v>
      </c>
    </row>
    <row r="9487">
      <c r="A9487" s="8" t="str">
        <f>IFERROR(__xludf.DUMMYFUNCTION("IF('(INGESTA)Datos_consumo_datadis'!A9487&lt;&gt;"""",SPLIT('(INGESTA)Datos_consumo_datadis'!A:A,"",""),"""")"),"ES0031408323131005HX0F")</f>
        <v>ES0031408323131005HX0F</v>
      </c>
      <c r="B9487" s="12">
        <f>IFERROR(__xludf.DUMMYFUNCTION("""COMPUTED_VALUE"""),45261.0)</f>
        <v>45261</v>
      </c>
      <c r="C9487" s="13">
        <f>IFERROR(__xludf.DUMMYFUNCTION("""COMPUTED_VALUE"""),0.25)</f>
        <v>0.25</v>
      </c>
      <c r="D9487" s="8">
        <f>IFERROR(__xludf.DUMMYFUNCTION("""COMPUTED_VALUE"""),0.08)</f>
        <v>0.08</v>
      </c>
      <c r="E9487" s="8" t="str">
        <f>IFERROR(__xludf.DUMMYFUNCTION("""COMPUTED_VALUE"""),"Real")</f>
        <v>Real</v>
      </c>
      <c r="G9487" s="8">
        <f t="shared" si="1"/>
        <v>12</v>
      </c>
      <c r="H9487" s="14">
        <f t="shared" si="2"/>
        <v>1</v>
      </c>
      <c r="I9487" s="15">
        <f t="shared" si="3"/>
        <v>6</v>
      </c>
    </row>
    <row r="9488">
      <c r="A9488" s="8" t="str">
        <f>IFERROR(__xludf.DUMMYFUNCTION("IF('(INGESTA)Datos_consumo_datadis'!A9488&lt;&gt;"""",SPLIT('(INGESTA)Datos_consumo_datadis'!A:A,"",""),"""")"),"ES0031408323131005HX0F")</f>
        <v>ES0031408323131005HX0F</v>
      </c>
      <c r="B9488" s="12">
        <f>IFERROR(__xludf.DUMMYFUNCTION("""COMPUTED_VALUE"""),45261.0)</f>
        <v>45261</v>
      </c>
      <c r="C9488" s="13">
        <f>IFERROR(__xludf.DUMMYFUNCTION("""COMPUTED_VALUE"""),0.2916666666666667)</f>
        <v>0.2916666667</v>
      </c>
      <c r="D9488" s="8">
        <f>IFERROR(__xludf.DUMMYFUNCTION("""COMPUTED_VALUE"""),0.342)</f>
        <v>0.342</v>
      </c>
      <c r="E9488" s="8" t="str">
        <f>IFERROR(__xludf.DUMMYFUNCTION("""COMPUTED_VALUE"""),"Real")</f>
        <v>Real</v>
      </c>
      <c r="G9488" s="8">
        <f t="shared" si="1"/>
        <v>12</v>
      </c>
      <c r="H9488" s="14">
        <f t="shared" si="2"/>
        <v>1</v>
      </c>
      <c r="I9488" s="15">
        <f t="shared" si="3"/>
        <v>7</v>
      </c>
    </row>
    <row r="9489">
      <c r="A9489" s="8" t="str">
        <f>IFERROR(__xludf.DUMMYFUNCTION("IF('(INGESTA)Datos_consumo_datadis'!A9489&lt;&gt;"""",SPLIT('(INGESTA)Datos_consumo_datadis'!A:A,"",""),"""")"),"ES0031408323131005HX0F")</f>
        <v>ES0031408323131005HX0F</v>
      </c>
      <c r="B9489" s="12">
        <f>IFERROR(__xludf.DUMMYFUNCTION("""COMPUTED_VALUE"""),45261.0)</f>
        <v>45261</v>
      </c>
      <c r="C9489" s="13">
        <f>IFERROR(__xludf.DUMMYFUNCTION("""COMPUTED_VALUE"""),0.3333333333333333)</f>
        <v>0.3333333333</v>
      </c>
      <c r="D9489" s="8">
        <f>IFERROR(__xludf.DUMMYFUNCTION("""COMPUTED_VALUE"""),0.12)</f>
        <v>0.12</v>
      </c>
      <c r="E9489" s="8" t="str">
        <f>IFERROR(__xludf.DUMMYFUNCTION("""COMPUTED_VALUE"""),"Real")</f>
        <v>Real</v>
      </c>
      <c r="G9489" s="8">
        <f t="shared" si="1"/>
        <v>12</v>
      </c>
      <c r="H9489" s="14">
        <f t="shared" si="2"/>
        <v>1</v>
      </c>
      <c r="I9489" s="15">
        <f t="shared" si="3"/>
        <v>8</v>
      </c>
    </row>
    <row r="9490">
      <c r="A9490" s="8" t="str">
        <f>IFERROR(__xludf.DUMMYFUNCTION("IF('(INGESTA)Datos_consumo_datadis'!A9490&lt;&gt;"""",SPLIT('(INGESTA)Datos_consumo_datadis'!A:A,"",""),"""")"),"ES0031408323131005HX0F")</f>
        <v>ES0031408323131005HX0F</v>
      </c>
      <c r="B9490" s="12">
        <f>IFERROR(__xludf.DUMMYFUNCTION("""COMPUTED_VALUE"""),45261.0)</f>
        <v>45261</v>
      </c>
      <c r="C9490" s="13">
        <f>IFERROR(__xludf.DUMMYFUNCTION("""COMPUTED_VALUE"""),0.375)</f>
        <v>0.375</v>
      </c>
      <c r="D9490" s="8">
        <f>IFERROR(__xludf.DUMMYFUNCTION("""COMPUTED_VALUE"""),0.019)</f>
        <v>0.019</v>
      </c>
      <c r="E9490" s="8" t="str">
        <f>IFERROR(__xludf.DUMMYFUNCTION("""COMPUTED_VALUE"""),"Real")</f>
        <v>Real</v>
      </c>
      <c r="G9490" s="8">
        <f t="shared" si="1"/>
        <v>12</v>
      </c>
      <c r="H9490" s="14">
        <f t="shared" si="2"/>
        <v>1</v>
      </c>
      <c r="I9490" s="15">
        <f t="shared" si="3"/>
        <v>9</v>
      </c>
    </row>
    <row r="9491">
      <c r="A9491" s="8" t="str">
        <f>IFERROR(__xludf.DUMMYFUNCTION("IF('(INGESTA)Datos_consumo_datadis'!A9491&lt;&gt;"""",SPLIT('(INGESTA)Datos_consumo_datadis'!A:A,"",""),"""")"),"ES0031408323131005HX0F")</f>
        <v>ES0031408323131005HX0F</v>
      </c>
      <c r="B9491" s="12">
        <f>IFERROR(__xludf.DUMMYFUNCTION("""COMPUTED_VALUE"""),45261.0)</f>
        <v>45261</v>
      </c>
      <c r="C9491" s="13">
        <f>IFERROR(__xludf.DUMMYFUNCTION("""COMPUTED_VALUE"""),0.4166666666666667)</f>
        <v>0.4166666667</v>
      </c>
      <c r="D9491" s="8">
        <f>IFERROR(__xludf.DUMMYFUNCTION("""COMPUTED_VALUE"""),0.115)</f>
        <v>0.115</v>
      </c>
      <c r="E9491" s="8" t="str">
        <f>IFERROR(__xludf.DUMMYFUNCTION("""COMPUTED_VALUE"""),"Real")</f>
        <v>Real</v>
      </c>
      <c r="G9491" s="8">
        <f t="shared" si="1"/>
        <v>12</v>
      </c>
      <c r="H9491" s="14">
        <f t="shared" si="2"/>
        <v>1</v>
      </c>
      <c r="I9491" s="15">
        <f t="shared" si="3"/>
        <v>10</v>
      </c>
    </row>
    <row r="9492">
      <c r="A9492" s="8" t="str">
        <f>IFERROR(__xludf.DUMMYFUNCTION("IF('(INGESTA)Datos_consumo_datadis'!A9492&lt;&gt;"""",SPLIT('(INGESTA)Datos_consumo_datadis'!A:A,"",""),"""")"),"ES0031408323131005HX0F")</f>
        <v>ES0031408323131005HX0F</v>
      </c>
      <c r="B9492" s="12">
        <f>IFERROR(__xludf.DUMMYFUNCTION("""COMPUTED_VALUE"""),45261.0)</f>
        <v>45261</v>
      </c>
      <c r="C9492" s="13">
        <f>IFERROR(__xludf.DUMMYFUNCTION("""COMPUTED_VALUE"""),0.4583333333333333)</f>
        <v>0.4583333333</v>
      </c>
      <c r="D9492" s="8">
        <f>IFERROR(__xludf.DUMMYFUNCTION("""COMPUTED_VALUE"""),0.115)</f>
        <v>0.115</v>
      </c>
      <c r="E9492" s="8" t="str">
        <f>IFERROR(__xludf.DUMMYFUNCTION("""COMPUTED_VALUE"""),"Real")</f>
        <v>Real</v>
      </c>
      <c r="G9492" s="8">
        <f t="shared" si="1"/>
        <v>12</v>
      </c>
      <c r="H9492" s="14">
        <f t="shared" si="2"/>
        <v>1</v>
      </c>
      <c r="I9492" s="15">
        <f t="shared" si="3"/>
        <v>11</v>
      </c>
    </row>
    <row r="9493">
      <c r="A9493" s="8" t="str">
        <f>IFERROR(__xludf.DUMMYFUNCTION("IF('(INGESTA)Datos_consumo_datadis'!A9493&lt;&gt;"""",SPLIT('(INGESTA)Datos_consumo_datadis'!A:A,"",""),"""")"),"ES0031408323131005HX0F")</f>
        <v>ES0031408323131005HX0F</v>
      </c>
      <c r="B9493" s="12">
        <f>IFERROR(__xludf.DUMMYFUNCTION("""COMPUTED_VALUE"""),45261.0)</f>
        <v>45261</v>
      </c>
      <c r="C9493" s="13">
        <f>IFERROR(__xludf.DUMMYFUNCTION("""COMPUTED_VALUE"""),0.5)</f>
        <v>0.5</v>
      </c>
      <c r="D9493" s="8">
        <f>IFERROR(__xludf.DUMMYFUNCTION("""COMPUTED_VALUE"""),0.227)</f>
        <v>0.227</v>
      </c>
      <c r="E9493" s="8" t="str">
        <f>IFERROR(__xludf.DUMMYFUNCTION("""COMPUTED_VALUE"""),"Real")</f>
        <v>Real</v>
      </c>
      <c r="G9493" s="8">
        <f t="shared" si="1"/>
        <v>12</v>
      </c>
      <c r="H9493" s="14">
        <f t="shared" si="2"/>
        <v>1</v>
      </c>
      <c r="I9493" s="15">
        <f t="shared" si="3"/>
        <v>12</v>
      </c>
    </row>
    <row r="9494">
      <c r="A9494" s="8" t="str">
        <f>IFERROR(__xludf.DUMMYFUNCTION("IF('(INGESTA)Datos_consumo_datadis'!A9494&lt;&gt;"""",SPLIT('(INGESTA)Datos_consumo_datadis'!A:A,"",""),"""")"),"ES0031408323131005HX0F")</f>
        <v>ES0031408323131005HX0F</v>
      </c>
      <c r="B9494" s="12">
        <f>IFERROR(__xludf.DUMMYFUNCTION("""COMPUTED_VALUE"""),45261.0)</f>
        <v>45261</v>
      </c>
      <c r="C9494" s="13">
        <f>IFERROR(__xludf.DUMMYFUNCTION("""COMPUTED_VALUE"""),0.5416666666666666)</f>
        <v>0.5416666667</v>
      </c>
      <c r="D9494" s="8">
        <f>IFERROR(__xludf.DUMMYFUNCTION("""COMPUTED_VALUE"""),0.18)</f>
        <v>0.18</v>
      </c>
      <c r="E9494" s="8" t="str">
        <f>IFERROR(__xludf.DUMMYFUNCTION("""COMPUTED_VALUE"""),"Real")</f>
        <v>Real</v>
      </c>
      <c r="G9494" s="8">
        <f t="shared" si="1"/>
        <v>12</v>
      </c>
      <c r="H9494" s="14">
        <f t="shared" si="2"/>
        <v>1</v>
      </c>
      <c r="I9494" s="15">
        <f t="shared" si="3"/>
        <v>13</v>
      </c>
    </row>
    <row r="9495">
      <c r="A9495" s="8" t="str">
        <f>IFERROR(__xludf.DUMMYFUNCTION("IF('(INGESTA)Datos_consumo_datadis'!A9495&lt;&gt;"""",SPLIT('(INGESTA)Datos_consumo_datadis'!A:A,"",""),"""")"),"ES0031408323131005HX0F")</f>
        <v>ES0031408323131005HX0F</v>
      </c>
      <c r="B9495" s="12">
        <f>IFERROR(__xludf.DUMMYFUNCTION("""COMPUTED_VALUE"""),45261.0)</f>
        <v>45261</v>
      </c>
      <c r="C9495" s="13">
        <f>IFERROR(__xludf.DUMMYFUNCTION("""COMPUTED_VALUE"""),0.5833333333333334)</f>
        <v>0.5833333333</v>
      </c>
      <c r="D9495" s="8">
        <f>IFERROR(__xludf.DUMMYFUNCTION("""COMPUTED_VALUE"""),0.043)</f>
        <v>0.043</v>
      </c>
      <c r="E9495" s="8" t="str">
        <f>IFERROR(__xludf.DUMMYFUNCTION("""COMPUTED_VALUE"""),"Real")</f>
        <v>Real</v>
      </c>
      <c r="G9495" s="8">
        <f t="shared" si="1"/>
        <v>12</v>
      </c>
      <c r="H9495" s="14">
        <f t="shared" si="2"/>
        <v>1</v>
      </c>
      <c r="I9495" s="15">
        <f t="shared" si="3"/>
        <v>14</v>
      </c>
    </row>
    <row r="9496">
      <c r="A9496" s="8" t="str">
        <f>IFERROR(__xludf.DUMMYFUNCTION("IF('(INGESTA)Datos_consumo_datadis'!A9496&lt;&gt;"""",SPLIT('(INGESTA)Datos_consumo_datadis'!A:A,"",""),"""")"),"ES0031408323131005HX0F")</f>
        <v>ES0031408323131005HX0F</v>
      </c>
      <c r="B9496" s="12">
        <f>IFERROR(__xludf.DUMMYFUNCTION("""COMPUTED_VALUE"""),45261.0)</f>
        <v>45261</v>
      </c>
      <c r="C9496" s="13">
        <f>IFERROR(__xludf.DUMMYFUNCTION("""COMPUTED_VALUE"""),0.625)</f>
        <v>0.625</v>
      </c>
      <c r="D9496" s="8">
        <f>IFERROR(__xludf.DUMMYFUNCTION("""COMPUTED_VALUE"""),0.077)</f>
        <v>0.077</v>
      </c>
      <c r="E9496" s="8" t="str">
        <f>IFERROR(__xludf.DUMMYFUNCTION("""COMPUTED_VALUE"""),"Real")</f>
        <v>Real</v>
      </c>
      <c r="G9496" s="8">
        <f t="shared" si="1"/>
        <v>12</v>
      </c>
      <c r="H9496" s="14">
        <f t="shared" si="2"/>
        <v>1</v>
      </c>
      <c r="I9496" s="15">
        <f t="shared" si="3"/>
        <v>15</v>
      </c>
    </row>
    <row r="9497">
      <c r="A9497" s="8" t="str">
        <f>IFERROR(__xludf.DUMMYFUNCTION("IF('(INGESTA)Datos_consumo_datadis'!A9497&lt;&gt;"""",SPLIT('(INGESTA)Datos_consumo_datadis'!A:A,"",""),"""")"),"ES0031408323131005HX0F")</f>
        <v>ES0031408323131005HX0F</v>
      </c>
      <c r="B9497" s="12">
        <f>IFERROR(__xludf.DUMMYFUNCTION("""COMPUTED_VALUE"""),45261.0)</f>
        <v>45261</v>
      </c>
      <c r="C9497" s="13">
        <f>IFERROR(__xludf.DUMMYFUNCTION("""COMPUTED_VALUE"""),0.6666666666666666)</f>
        <v>0.6666666667</v>
      </c>
      <c r="D9497" s="8">
        <f>IFERROR(__xludf.DUMMYFUNCTION("""COMPUTED_VALUE"""),0.073)</f>
        <v>0.073</v>
      </c>
      <c r="E9497" s="8" t="str">
        <f>IFERROR(__xludf.DUMMYFUNCTION("""COMPUTED_VALUE"""),"Real")</f>
        <v>Real</v>
      </c>
      <c r="G9497" s="8">
        <f t="shared" si="1"/>
        <v>12</v>
      </c>
      <c r="H9497" s="14">
        <f t="shared" si="2"/>
        <v>1</v>
      </c>
      <c r="I9497" s="15">
        <f t="shared" si="3"/>
        <v>16</v>
      </c>
    </row>
    <row r="9498">
      <c r="A9498" s="8" t="str">
        <f>IFERROR(__xludf.DUMMYFUNCTION("IF('(INGESTA)Datos_consumo_datadis'!A9498&lt;&gt;"""",SPLIT('(INGESTA)Datos_consumo_datadis'!A:A,"",""),"""")"),"ES0031408323131005HX0F")</f>
        <v>ES0031408323131005HX0F</v>
      </c>
      <c r="B9498" s="12">
        <f>IFERROR(__xludf.DUMMYFUNCTION("""COMPUTED_VALUE"""),45261.0)</f>
        <v>45261</v>
      </c>
      <c r="C9498" s="13">
        <f>IFERROR(__xludf.DUMMYFUNCTION("""COMPUTED_VALUE"""),0.7083333333333334)</f>
        <v>0.7083333333</v>
      </c>
      <c r="D9498" s="8">
        <f>IFERROR(__xludf.DUMMYFUNCTION("""COMPUTED_VALUE"""),0.017)</f>
        <v>0.017</v>
      </c>
      <c r="E9498" s="8" t="str">
        <f>IFERROR(__xludf.DUMMYFUNCTION("""COMPUTED_VALUE"""),"Real")</f>
        <v>Real</v>
      </c>
      <c r="G9498" s="8">
        <f t="shared" si="1"/>
        <v>12</v>
      </c>
      <c r="H9498" s="14">
        <f t="shared" si="2"/>
        <v>1</v>
      </c>
      <c r="I9498" s="15">
        <f t="shared" si="3"/>
        <v>17</v>
      </c>
    </row>
    <row r="9499">
      <c r="A9499" s="8" t="str">
        <f>IFERROR(__xludf.DUMMYFUNCTION("IF('(INGESTA)Datos_consumo_datadis'!A9499&lt;&gt;"""",SPLIT('(INGESTA)Datos_consumo_datadis'!A:A,"",""),"""")"),"ES0031408323131005HX0F")</f>
        <v>ES0031408323131005HX0F</v>
      </c>
      <c r="B9499" s="12">
        <f>IFERROR(__xludf.DUMMYFUNCTION("""COMPUTED_VALUE"""),45261.0)</f>
        <v>45261</v>
      </c>
      <c r="C9499" s="13">
        <f>IFERROR(__xludf.DUMMYFUNCTION("""COMPUTED_VALUE"""),0.75)</f>
        <v>0.75</v>
      </c>
      <c r="D9499" s="8">
        <f>IFERROR(__xludf.DUMMYFUNCTION("""COMPUTED_VALUE"""),0.102)</f>
        <v>0.102</v>
      </c>
      <c r="E9499" s="8" t="str">
        <f>IFERROR(__xludf.DUMMYFUNCTION("""COMPUTED_VALUE"""),"Real")</f>
        <v>Real</v>
      </c>
      <c r="G9499" s="8">
        <f t="shared" si="1"/>
        <v>12</v>
      </c>
      <c r="H9499" s="14">
        <f t="shared" si="2"/>
        <v>1</v>
      </c>
      <c r="I9499" s="15">
        <f t="shared" si="3"/>
        <v>18</v>
      </c>
    </row>
    <row r="9500">
      <c r="A9500" s="8" t="str">
        <f>IFERROR(__xludf.DUMMYFUNCTION("IF('(INGESTA)Datos_consumo_datadis'!A9500&lt;&gt;"""",SPLIT('(INGESTA)Datos_consumo_datadis'!A:A,"",""),"""")"),"ES0031408323131005HX0F")</f>
        <v>ES0031408323131005HX0F</v>
      </c>
      <c r="B9500" s="12">
        <f>IFERROR(__xludf.DUMMYFUNCTION("""COMPUTED_VALUE"""),45261.0)</f>
        <v>45261</v>
      </c>
      <c r="C9500" s="13">
        <f>IFERROR(__xludf.DUMMYFUNCTION("""COMPUTED_VALUE"""),0.7916666666666666)</f>
        <v>0.7916666667</v>
      </c>
      <c r="D9500" s="8">
        <f>IFERROR(__xludf.DUMMYFUNCTION("""COMPUTED_VALUE"""),0.424)</f>
        <v>0.424</v>
      </c>
      <c r="E9500" s="8" t="str">
        <f>IFERROR(__xludf.DUMMYFUNCTION("""COMPUTED_VALUE"""),"Real")</f>
        <v>Real</v>
      </c>
      <c r="G9500" s="8">
        <f t="shared" si="1"/>
        <v>12</v>
      </c>
      <c r="H9500" s="14">
        <f t="shared" si="2"/>
        <v>1</v>
      </c>
      <c r="I9500" s="15">
        <f t="shared" si="3"/>
        <v>19</v>
      </c>
    </row>
    <row r="9501">
      <c r="A9501" s="8" t="str">
        <f>IFERROR(__xludf.DUMMYFUNCTION("IF('(INGESTA)Datos_consumo_datadis'!A9501&lt;&gt;"""",SPLIT('(INGESTA)Datos_consumo_datadis'!A:A,"",""),"""")"),"ES0031408323131005HX0F")</f>
        <v>ES0031408323131005HX0F</v>
      </c>
      <c r="B9501" s="12">
        <f>IFERROR(__xludf.DUMMYFUNCTION("""COMPUTED_VALUE"""),45261.0)</f>
        <v>45261</v>
      </c>
      <c r="C9501" s="13">
        <f>IFERROR(__xludf.DUMMYFUNCTION("""COMPUTED_VALUE"""),0.8333333333333334)</f>
        <v>0.8333333333</v>
      </c>
      <c r="D9501" s="8">
        <f>IFERROR(__xludf.DUMMYFUNCTION("""COMPUTED_VALUE"""),1.898)</f>
        <v>1.898</v>
      </c>
      <c r="E9501" s="8" t="str">
        <f>IFERROR(__xludf.DUMMYFUNCTION("""COMPUTED_VALUE"""),"Real")</f>
        <v>Real</v>
      </c>
      <c r="G9501" s="8">
        <f t="shared" si="1"/>
        <v>12</v>
      </c>
      <c r="H9501" s="14">
        <f t="shared" si="2"/>
        <v>1</v>
      </c>
      <c r="I9501" s="15">
        <f t="shared" si="3"/>
        <v>20</v>
      </c>
    </row>
    <row r="9502">
      <c r="A9502" s="8" t="str">
        <f>IFERROR(__xludf.DUMMYFUNCTION("IF('(INGESTA)Datos_consumo_datadis'!A9502&lt;&gt;"""",SPLIT('(INGESTA)Datos_consumo_datadis'!A:A,"",""),"""")"),"ES0031408323131005HX0F")</f>
        <v>ES0031408323131005HX0F</v>
      </c>
      <c r="B9502" s="12">
        <f>IFERROR(__xludf.DUMMYFUNCTION("""COMPUTED_VALUE"""),45261.0)</f>
        <v>45261</v>
      </c>
      <c r="C9502" s="13">
        <f>IFERROR(__xludf.DUMMYFUNCTION("""COMPUTED_VALUE"""),0.875)</f>
        <v>0.875</v>
      </c>
      <c r="D9502" s="8">
        <f>IFERROR(__xludf.DUMMYFUNCTION("""COMPUTED_VALUE"""),1.071)</f>
        <v>1.071</v>
      </c>
      <c r="E9502" s="8" t="str">
        <f>IFERROR(__xludf.DUMMYFUNCTION("""COMPUTED_VALUE"""),"Real")</f>
        <v>Real</v>
      </c>
      <c r="G9502" s="8">
        <f t="shared" si="1"/>
        <v>12</v>
      </c>
      <c r="H9502" s="14">
        <f t="shared" si="2"/>
        <v>1</v>
      </c>
      <c r="I9502" s="15">
        <f t="shared" si="3"/>
        <v>21</v>
      </c>
    </row>
    <row r="9503">
      <c r="A9503" s="8" t="str">
        <f>IFERROR(__xludf.DUMMYFUNCTION("IF('(INGESTA)Datos_consumo_datadis'!A9503&lt;&gt;"""",SPLIT('(INGESTA)Datos_consumo_datadis'!A:A,"",""),"""")"),"ES0031408323131005HX0F")</f>
        <v>ES0031408323131005HX0F</v>
      </c>
      <c r="B9503" s="12">
        <f>IFERROR(__xludf.DUMMYFUNCTION("""COMPUTED_VALUE"""),45261.0)</f>
        <v>45261</v>
      </c>
      <c r="C9503" s="13">
        <f>IFERROR(__xludf.DUMMYFUNCTION("""COMPUTED_VALUE"""),0.9166666666666666)</f>
        <v>0.9166666667</v>
      </c>
      <c r="D9503" s="8">
        <f>IFERROR(__xludf.DUMMYFUNCTION("""COMPUTED_VALUE"""),1.397)</f>
        <v>1.397</v>
      </c>
      <c r="E9503" s="8" t="str">
        <f>IFERROR(__xludf.DUMMYFUNCTION("""COMPUTED_VALUE"""),"Real")</f>
        <v>Real</v>
      </c>
      <c r="G9503" s="8">
        <f t="shared" si="1"/>
        <v>12</v>
      </c>
      <c r="H9503" s="14">
        <f t="shared" si="2"/>
        <v>1</v>
      </c>
      <c r="I9503" s="15">
        <f t="shared" si="3"/>
        <v>22</v>
      </c>
    </row>
    <row r="9504">
      <c r="A9504" s="8" t="str">
        <f>IFERROR(__xludf.DUMMYFUNCTION("IF('(INGESTA)Datos_consumo_datadis'!A9504&lt;&gt;"""",SPLIT('(INGESTA)Datos_consumo_datadis'!A:A,"",""),"""")"),"ES0031408323131005HX0F")</f>
        <v>ES0031408323131005HX0F</v>
      </c>
      <c r="B9504" s="12">
        <f>IFERROR(__xludf.DUMMYFUNCTION("""COMPUTED_VALUE"""),45261.0)</f>
        <v>45261</v>
      </c>
      <c r="C9504" s="13">
        <f>IFERROR(__xludf.DUMMYFUNCTION("""COMPUTED_VALUE"""),0.9583333333333334)</f>
        <v>0.9583333333</v>
      </c>
      <c r="D9504" s="8">
        <f>IFERROR(__xludf.DUMMYFUNCTION("""COMPUTED_VALUE"""),0.518)</f>
        <v>0.518</v>
      </c>
      <c r="E9504" s="8" t="str">
        <f>IFERROR(__xludf.DUMMYFUNCTION("""COMPUTED_VALUE"""),"Real")</f>
        <v>Real</v>
      </c>
      <c r="G9504" s="8">
        <f t="shared" si="1"/>
        <v>12</v>
      </c>
      <c r="H9504" s="14">
        <f t="shared" si="2"/>
        <v>1</v>
      </c>
      <c r="I9504" s="15">
        <f t="shared" si="3"/>
        <v>23</v>
      </c>
    </row>
    <row r="9505">
      <c r="A9505" s="8" t="str">
        <f>IFERROR(__xludf.DUMMYFUNCTION("IF('(INGESTA)Datos_consumo_datadis'!A9505&lt;&gt;"""",SPLIT('(INGESTA)Datos_consumo_datadis'!A:A,"",""),"""")"),"ES0031408323131005HX0F")</f>
        <v>ES0031408323131005HX0F</v>
      </c>
      <c r="B9505" s="12">
        <f>IFERROR(__xludf.DUMMYFUNCTION("""COMPUTED_VALUE"""),45261.0)</f>
        <v>45261</v>
      </c>
      <c r="C9505" s="16">
        <f>IFERROR(__xludf.DUMMYFUNCTION("""COMPUTED_VALUE"""),1.0)</f>
        <v>1</v>
      </c>
      <c r="D9505" s="8">
        <f>IFERROR(__xludf.DUMMYFUNCTION("""COMPUTED_VALUE"""),0.321)</f>
        <v>0.321</v>
      </c>
      <c r="E9505" s="8" t="str">
        <f>IFERROR(__xludf.DUMMYFUNCTION("""COMPUTED_VALUE"""),"Real")</f>
        <v>Real</v>
      </c>
      <c r="G9505" s="8">
        <f t="shared" si="1"/>
        <v>12</v>
      </c>
      <c r="H9505" s="14">
        <f t="shared" si="2"/>
        <v>1</v>
      </c>
      <c r="I9505" s="15">
        <f t="shared" si="3"/>
        <v>0</v>
      </c>
    </row>
    <row r="9506">
      <c r="A9506" s="8" t="str">
        <f>IFERROR(__xludf.DUMMYFUNCTION("IF('(INGESTA)Datos_consumo_datadis'!A9506&lt;&gt;"""",SPLIT('(INGESTA)Datos_consumo_datadis'!A:A,"",""),"""")"),"ES0031408323131005HX0F")</f>
        <v>ES0031408323131005HX0F</v>
      </c>
      <c r="B9506" s="12">
        <f>IFERROR(__xludf.DUMMYFUNCTION("""COMPUTED_VALUE"""),45262.0)</f>
        <v>45262</v>
      </c>
      <c r="C9506" s="13">
        <f>IFERROR(__xludf.DUMMYFUNCTION("""COMPUTED_VALUE"""),0.041666666666666664)</f>
        <v>0.04166666667</v>
      </c>
      <c r="D9506" s="8">
        <f>IFERROR(__xludf.DUMMYFUNCTION("""COMPUTED_VALUE"""),0.11)</f>
        <v>0.11</v>
      </c>
      <c r="E9506" s="8" t="str">
        <f>IFERROR(__xludf.DUMMYFUNCTION("""COMPUTED_VALUE"""),"Real")</f>
        <v>Real</v>
      </c>
      <c r="G9506" s="8">
        <f t="shared" si="1"/>
        <v>12</v>
      </c>
      <c r="H9506" s="14">
        <f t="shared" si="2"/>
        <v>2</v>
      </c>
      <c r="I9506" s="15">
        <f t="shared" si="3"/>
        <v>1</v>
      </c>
    </row>
    <row r="9507">
      <c r="A9507" s="8" t="str">
        <f>IFERROR(__xludf.DUMMYFUNCTION("IF('(INGESTA)Datos_consumo_datadis'!A9507&lt;&gt;"""",SPLIT('(INGESTA)Datos_consumo_datadis'!A:A,"",""),"""")"),"ES0031408323131005HX0F")</f>
        <v>ES0031408323131005HX0F</v>
      </c>
      <c r="B9507" s="12">
        <f>IFERROR(__xludf.DUMMYFUNCTION("""COMPUTED_VALUE"""),45262.0)</f>
        <v>45262</v>
      </c>
      <c r="C9507" s="13">
        <f>IFERROR(__xludf.DUMMYFUNCTION("""COMPUTED_VALUE"""),0.08333333333333333)</f>
        <v>0.08333333333</v>
      </c>
      <c r="D9507" s="8">
        <f>IFERROR(__xludf.DUMMYFUNCTION("""COMPUTED_VALUE"""),0.041)</f>
        <v>0.041</v>
      </c>
      <c r="E9507" s="8" t="str">
        <f>IFERROR(__xludf.DUMMYFUNCTION("""COMPUTED_VALUE"""),"Real")</f>
        <v>Real</v>
      </c>
      <c r="G9507" s="8">
        <f t="shared" si="1"/>
        <v>12</v>
      </c>
      <c r="H9507" s="14">
        <f t="shared" si="2"/>
        <v>2</v>
      </c>
      <c r="I9507" s="15">
        <f t="shared" si="3"/>
        <v>2</v>
      </c>
    </row>
    <row r="9508">
      <c r="A9508" s="8" t="str">
        <f>IFERROR(__xludf.DUMMYFUNCTION("IF('(INGESTA)Datos_consumo_datadis'!A9508&lt;&gt;"""",SPLIT('(INGESTA)Datos_consumo_datadis'!A:A,"",""),"""")"),"ES0031408323131005HX0F")</f>
        <v>ES0031408323131005HX0F</v>
      </c>
      <c r="B9508" s="12">
        <f>IFERROR(__xludf.DUMMYFUNCTION("""COMPUTED_VALUE"""),45262.0)</f>
        <v>45262</v>
      </c>
      <c r="C9508" s="13">
        <f>IFERROR(__xludf.DUMMYFUNCTION("""COMPUTED_VALUE"""),0.125)</f>
        <v>0.125</v>
      </c>
      <c r="D9508" s="8">
        <f>IFERROR(__xludf.DUMMYFUNCTION("""COMPUTED_VALUE"""),0.308)</f>
        <v>0.308</v>
      </c>
      <c r="E9508" s="8" t="str">
        <f>IFERROR(__xludf.DUMMYFUNCTION("""COMPUTED_VALUE"""),"Real")</f>
        <v>Real</v>
      </c>
      <c r="G9508" s="8">
        <f t="shared" si="1"/>
        <v>12</v>
      </c>
      <c r="H9508" s="14">
        <f t="shared" si="2"/>
        <v>2</v>
      </c>
      <c r="I9508" s="15">
        <f t="shared" si="3"/>
        <v>3</v>
      </c>
    </row>
    <row r="9509">
      <c r="A9509" s="8" t="str">
        <f>IFERROR(__xludf.DUMMYFUNCTION("IF('(INGESTA)Datos_consumo_datadis'!A9509&lt;&gt;"""",SPLIT('(INGESTA)Datos_consumo_datadis'!A:A,"",""),"""")"),"ES0031408323131005HX0F")</f>
        <v>ES0031408323131005HX0F</v>
      </c>
      <c r="B9509" s="12">
        <f>IFERROR(__xludf.DUMMYFUNCTION("""COMPUTED_VALUE"""),45262.0)</f>
        <v>45262</v>
      </c>
      <c r="C9509" s="13">
        <f>IFERROR(__xludf.DUMMYFUNCTION("""COMPUTED_VALUE"""),0.16666666666666666)</f>
        <v>0.1666666667</v>
      </c>
      <c r="D9509" s="8">
        <f>IFERROR(__xludf.DUMMYFUNCTION("""COMPUTED_VALUE"""),0.128)</f>
        <v>0.128</v>
      </c>
      <c r="E9509" s="8" t="str">
        <f>IFERROR(__xludf.DUMMYFUNCTION("""COMPUTED_VALUE"""),"Real")</f>
        <v>Real</v>
      </c>
      <c r="G9509" s="8">
        <f t="shared" si="1"/>
        <v>12</v>
      </c>
      <c r="H9509" s="14">
        <f t="shared" si="2"/>
        <v>2</v>
      </c>
      <c r="I9509" s="15">
        <f t="shared" si="3"/>
        <v>4</v>
      </c>
    </row>
    <row r="9510">
      <c r="A9510" s="8" t="str">
        <f>IFERROR(__xludf.DUMMYFUNCTION("IF('(INGESTA)Datos_consumo_datadis'!A9510&lt;&gt;"""",SPLIT('(INGESTA)Datos_consumo_datadis'!A:A,"",""),"""")"),"ES0031408323131005HX0F")</f>
        <v>ES0031408323131005HX0F</v>
      </c>
      <c r="B9510" s="12">
        <f>IFERROR(__xludf.DUMMYFUNCTION("""COMPUTED_VALUE"""),45262.0)</f>
        <v>45262</v>
      </c>
      <c r="C9510" s="13">
        <f>IFERROR(__xludf.DUMMYFUNCTION("""COMPUTED_VALUE"""),0.20833333333333334)</f>
        <v>0.2083333333</v>
      </c>
      <c r="D9510" s="8">
        <f>IFERROR(__xludf.DUMMYFUNCTION("""COMPUTED_VALUE"""),0.118)</f>
        <v>0.118</v>
      </c>
      <c r="E9510" s="8" t="str">
        <f>IFERROR(__xludf.DUMMYFUNCTION("""COMPUTED_VALUE"""),"Real")</f>
        <v>Real</v>
      </c>
      <c r="G9510" s="8">
        <f t="shared" si="1"/>
        <v>12</v>
      </c>
      <c r="H9510" s="14">
        <f t="shared" si="2"/>
        <v>2</v>
      </c>
      <c r="I9510" s="15">
        <f t="shared" si="3"/>
        <v>5</v>
      </c>
    </row>
    <row r="9511">
      <c r="A9511" s="8" t="str">
        <f>IFERROR(__xludf.DUMMYFUNCTION("IF('(INGESTA)Datos_consumo_datadis'!A9511&lt;&gt;"""",SPLIT('(INGESTA)Datos_consumo_datadis'!A:A,"",""),"""")"),"ES0031408323131005HX0F")</f>
        <v>ES0031408323131005HX0F</v>
      </c>
      <c r="B9511" s="12">
        <f>IFERROR(__xludf.DUMMYFUNCTION("""COMPUTED_VALUE"""),45262.0)</f>
        <v>45262</v>
      </c>
      <c r="C9511" s="13">
        <f>IFERROR(__xludf.DUMMYFUNCTION("""COMPUTED_VALUE"""),0.25)</f>
        <v>0.25</v>
      </c>
      <c r="D9511" s="8">
        <f>IFERROR(__xludf.DUMMYFUNCTION("""COMPUTED_VALUE"""),0.08)</f>
        <v>0.08</v>
      </c>
      <c r="E9511" s="8" t="str">
        <f>IFERROR(__xludf.DUMMYFUNCTION("""COMPUTED_VALUE"""),"Real")</f>
        <v>Real</v>
      </c>
      <c r="G9511" s="8">
        <f t="shared" si="1"/>
        <v>12</v>
      </c>
      <c r="H9511" s="14">
        <f t="shared" si="2"/>
        <v>2</v>
      </c>
      <c r="I9511" s="15">
        <f t="shared" si="3"/>
        <v>6</v>
      </c>
    </row>
    <row r="9512">
      <c r="A9512" s="8" t="str">
        <f>IFERROR(__xludf.DUMMYFUNCTION("IF('(INGESTA)Datos_consumo_datadis'!A9512&lt;&gt;"""",SPLIT('(INGESTA)Datos_consumo_datadis'!A:A,"",""),"""")"),"ES0031408323131005HX0F")</f>
        <v>ES0031408323131005HX0F</v>
      </c>
      <c r="B9512" s="12">
        <f>IFERROR(__xludf.DUMMYFUNCTION("""COMPUTED_VALUE"""),45262.0)</f>
        <v>45262</v>
      </c>
      <c r="C9512" s="13">
        <f>IFERROR(__xludf.DUMMYFUNCTION("""COMPUTED_VALUE"""),0.2916666666666667)</f>
        <v>0.2916666667</v>
      </c>
      <c r="D9512" s="8">
        <f>IFERROR(__xludf.DUMMYFUNCTION("""COMPUTED_VALUE"""),0.07)</f>
        <v>0.07</v>
      </c>
      <c r="E9512" s="8" t="str">
        <f>IFERROR(__xludf.DUMMYFUNCTION("""COMPUTED_VALUE"""),"Real")</f>
        <v>Real</v>
      </c>
      <c r="G9512" s="8">
        <f t="shared" si="1"/>
        <v>12</v>
      </c>
      <c r="H9512" s="14">
        <f t="shared" si="2"/>
        <v>2</v>
      </c>
      <c r="I9512" s="15">
        <f t="shared" si="3"/>
        <v>7</v>
      </c>
    </row>
    <row r="9513">
      <c r="A9513" s="8" t="str">
        <f>IFERROR(__xludf.DUMMYFUNCTION("IF('(INGESTA)Datos_consumo_datadis'!A9513&lt;&gt;"""",SPLIT('(INGESTA)Datos_consumo_datadis'!A:A,"",""),"""")"),"ES0031408323131005HX0F")</f>
        <v>ES0031408323131005HX0F</v>
      </c>
      <c r="B9513" s="12">
        <f>IFERROR(__xludf.DUMMYFUNCTION("""COMPUTED_VALUE"""),45262.0)</f>
        <v>45262</v>
      </c>
      <c r="C9513" s="13">
        <f>IFERROR(__xludf.DUMMYFUNCTION("""COMPUTED_VALUE"""),0.3333333333333333)</f>
        <v>0.3333333333</v>
      </c>
      <c r="D9513" s="8">
        <f>IFERROR(__xludf.DUMMYFUNCTION("""COMPUTED_VALUE"""),0.274)</f>
        <v>0.274</v>
      </c>
      <c r="E9513" s="8" t="str">
        <f>IFERROR(__xludf.DUMMYFUNCTION("""COMPUTED_VALUE"""),"Real")</f>
        <v>Real</v>
      </c>
      <c r="G9513" s="8">
        <f t="shared" si="1"/>
        <v>12</v>
      </c>
      <c r="H9513" s="14">
        <f t="shared" si="2"/>
        <v>2</v>
      </c>
      <c r="I9513" s="15">
        <f t="shared" si="3"/>
        <v>8</v>
      </c>
    </row>
    <row r="9514">
      <c r="A9514" s="8" t="str">
        <f>IFERROR(__xludf.DUMMYFUNCTION("IF('(INGESTA)Datos_consumo_datadis'!A9514&lt;&gt;"""",SPLIT('(INGESTA)Datos_consumo_datadis'!A:A,"",""),"""")"),"ES0031408323131005HX0F")</f>
        <v>ES0031408323131005HX0F</v>
      </c>
      <c r="B9514" s="12">
        <f>IFERROR(__xludf.DUMMYFUNCTION("""COMPUTED_VALUE"""),45262.0)</f>
        <v>45262</v>
      </c>
      <c r="C9514" s="13">
        <f>IFERROR(__xludf.DUMMYFUNCTION("""COMPUTED_VALUE"""),0.375)</f>
        <v>0.375</v>
      </c>
      <c r="D9514" s="8">
        <f>IFERROR(__xludf.DUMMYFUNCTION("""COMPUTED_VALUE"""),0.155)</f>
        <v>0.155</v>
      </c>
      <c r="E9514" s="8" t="str">
        <f>IFERROR(__xludf.DUMMYFUNCTION("""COMPUTED_VALUE"""),"Real")</f>
        <v>Real</v>
      </c>
      <c r="G9514" s="8">
        <f t="shared" si="1"/>
        <v>12</v>
      </c>
      <c r="H9514" s="14">
        <f t="shared" si="2"/>
        <v>2</v>
      </c>
      <c r="I9514" s="15">
        <f t="shared" si="3"/>
        <v>9</v>
      </c>
    </row>
    <row r="9515">
      <c r="A9515" s="8" t="str">
        <f>IFERROR(__xludf.DUMMYFUNCTION("IF('(INGESTA)Datos_consumo_datadis'!A9515&lt;&gt;"""",SPLIT('(INGESTA)Datos_consumo_datadis'!A:A,"",""),"""")"),"ES0031408323131005HX0F")</f>
        <v>ES0031408323131005HX0F</v>
      </c>
      <c r="B9515" s="12">
        <f>IFERROR(__xludf.DUMMYFUNCTION("""COMPUTED_VALUE"""),45262.0)</f>
        <v>45262</v>
      </c>
      <c r="C9515" s="13">
        <f>IFERROR(__xludf.DUMMYFUNCTION("""COMPUTED_VALUE"""),0.4166666666666667)</f>
        <v>0.4166666667</v>
      </c>
      <c r="D9515" s="8">
        <f>IFERROR(__xludf.DUMMYFUNCTION("""COMPUTED_VALUE"""),0.358)</f>
        <v>0.358</v>
      </c>
      <c r="E9515" s="8" t="str">
        <f>IFERROR(__xludf.DUMMYFUNCTION("""COMPUTED_VALUE"""),"Real")</f>
        <v>Real</v>
      </c>
      <c r="G9515" s="8">
        <f t="shared" si="1"/>
        <v>12</v>
      </c>
      <c r="H9515" s="14">
        <f t="shared" si="2"/>
        <v>2</v>
      </c>
      <c r="I9515" s="15">
        <f t="shared" si="3"/>
        <v>10</v>
      </c>
    </row>
    <row r="9516">
      <c r="A9516" s="8" t="str">
        <f>IFERROR(__xludf.DUMMYFUNCTION("IF('(INGESTA)Datos_consumo_datadis'!A9516&lt;&gt;"""",SPLIT('(INGESTA)Datos_consumo_datadis'!A:A,"",""),"""")"),"ES0031408323131005HX0F")</f>
        <v>ES0031408323131005HX0F</v>
      </c>
      <c r="B9516" s="12">
        <f>IFERROR(__xludf.DUMMYFUNCTION("""COMPUTED_VALUE"""),45262.0)</f>
        <v>45262</v>
      </c>
      <c r="C9516" s="13">
        <f>IFERROR(__xludf.DUMMYFUNCTION("""COMPUTED_VALUE"""),0.4583333333333333)</f>
        <v>0.4583333333</v>
      </c>
      <c r="D9516" s="8">
        <f>IFERROR(__xludf.DUMMYFUNCTION("""COMPUTED_VALUE"""),3.03)</f>
        <v>3.03</v>
      </c>
      <c r="E9516" s="8" t="str">
        <f>IFERROR(__xludf.DUMMYFUNCTION("""COMPUTED_VALUE"""),"Real")</f>
        <v>Real</v>
      </c>
      <c r="G9516" s="8">
        <f t="shared" si="1"/>
        <v>12</v>
      </c>
      <c r="H9516" s="14">
        <f t="shared" si="2"/>
        <v>2</v>
      </c>
      <c r="I9516" s="15">
        <f t="shared" si="3"/>
        <v>11</v>
      </c>
    </row>
    <row r="9517">
      <c r="A9517" s="8" t="str">
        <f>IFERROR(__xludf.DUMMYFUNCTION("IF('(INGESTA)Datos_consumo_datadis'!A9517&lt;&gt;"""",SPLIT('(INGESTA)Datos_consumo_datadis'!A:A,"",""),"""")"),"ES0031408323131005HX0F")</f>
        <v>ES0031408323131005HX0F</v>
      </c>
      <c r="B9517" s="12">
        <f>IFERROR(__xludf.DUMMYFUNCTION("""COMPUTED_VALUE"""),45262.0)</f>
        <v>45262</v>
      </c>
      <c r="C9517" s="13">
        <f>IFERROR(__xludf.DUMMYFUNCTION("""COMPUTED_VALUE"""),0.5)</f>
        <v>0.5</v>
      </c>
      <c r="D9517" s="8">
        <f>IFERROR(__xludf.DUMMYFUNCTION("""COMPUTED_VALUE"""),0.248)</f>
        <v>0.248</v>
      </c>
      <c r="E9517" s="8" t="str">
        <f>IFERROR(__xludf.DUMMYFUNCTION("""COMPUTED_VALUE"""),"Real")</f>
        <v>Real</v>
      </c>
      <c r="G9517" s="8">
        <f t="shared" si="1"/>
        <v>12</v>
      </c>
      <c r="H9517" s="14">
        <f t="shared" si="2"/>
        <v>2</v>
      </c>
      <c r="I9517" s="15">
        <f t="shared" si="3"/>
        <v>12</v>
      </c>
    </row>
    <row r="9518">
      <c r="A9518" s="8" t="str">
        <f>IFERROR(__xludf.DUMMYFUNCTION("IF('(INGESTA)Datos_consumo_datadis'!A9518&lt;&gt;"""",SPLIT('(INGESTA)Datos_consumo_datadis'!A:A,"",""),"""")"),"ES0031408323131005HX0F")</f>
        <v>ES0031408323131005HX0F</v>
      </c>
      <c r="B9518" s="12">
        <f>IFERROR(__xludf.DUMMYFUNCTION("""COMPUTED_VALUE"""),45262.0)</f>
        <v>45262</v>
      </c>
      <c r="C9518" s="13">
        <f>IFERROR(__xludf.DUMMYFUNCTION("""COMPUTED_VALUE"""),0.5416666666666666)</f>
        <v>0.5416666667</v>
      </c>
      <c r="D9518" s="8">
        <f>IFERROR(__xludf.DUMMYFUNCTION("""COMPUTED_VALUE"""),0.104)</f>
        <v>0.104</v>
      </c>
      <c r="E9518" s="8" t="str">
        <f>IFERROR(__xludf.DUMMYFUNCTION("""COMPUTED_VALUE"""),"Real")</f>
        <v>Real</v>
      </c>
      <c r="G9518" s="8">
        <f t="shared" si="1"/>
        <v>12</v>
      </c>
      <c r="H9518" s="14">
        <f t="shared" si="2"/>
        <v>2</v>
      </c>
      <c r="I9518" s="15">
        <f t="shared" si="3"/>
        <v>13</v>
      </c>
    </row>
    <row r="9519">
      <c r="A9519" s="8" t="str">
        <f>IFERROR(__xludf.DUMMYFUNCTION("IF('(INGESTA)Datos_consumo_datadis'!A9519&lt;&gt;"""",SPLIT('(INGESTA)Datos_consumo_datadis'!A:A,"",""),"""")"),"ES0031408323131005HX0F")</f>
        <v>ES0031408323131005HX0F</v>
      </c>
      <c r="B9519" s="12">
        <f>IFERROR(__xludf.DUMMYFUNCTION("""COMPUTED_VALUE"""),45262.0)</f>
        <v>45262</v>
      </c>
      <c r="C9519" s="13">
        <f>IFERROR(__xludf.DUMMYFUNCTION("""COMPUTED_VALUE"""),0.5833333333333334)</f>
        <v>0.5833333333</v>
      </c>
      <c r="D9519" s="8">
        <f>IFERROR(__xludf.DUMMYFUNCTION("""COMPUTED_VALUE"""),0.666)</f>
        <v>0.666</v>
      </c>
      <c r="E9519" s="8" t="str">
        <f>IFERROR(__xludf.DUMMYFUNCTION("""COMPUTED_VALUE"""),"Real")</f>
        <v>Real</v>
      </c>
      <c r="G9519" s="8">
        <f t="shared" si="1"/>
        <v>12</v>
      </c>
      <c r="H9519" s="14">
        <f t="shared" si="2"/>
        <v>2</v>
      </c>
      <c r="I9519" s="15">
        <f t="shared" si="3"/>
        <v>14</v>
      </c>
    </row>
    <row r="9520">
      <c r="A9520" s="8" t="str">
        <f>IFERROR(__xludf.DUMMYFUNCTION("IF('(INGESTA)Datos_consumo_datadis'!A9520&lt;&gt;"""",SPLIT('(INGESTA)Datos_consumo_datadis'!A:A,"",""),"""")"),"ES0031408323131005HX0F")</f>
        <v>ES0031408323131005HX0F</v>
      </c>
      <c r="B9520" s="12">
        <f>IFERROR(__xludf.DUMMYFUNCTION("""COMPUTED_VALUE"""),45262.0)</f>
        <v>45262</v>
      </c>
      <c r="C9520" s="13">
        <f>IFERROR(__xludf.DUMMYFUNCTION("""COMPUTED_VALUE"""),0.625)</f>
        <v>0.625</v>
      </c>
      <c r="D9520" s="8">
        <f>IFERROR(__xludf.DUMMYFUNCTION("""COMPUTED_VALUE"""),1.232)</f>
        <v>1.232</v>
      </c>
      <c r="E9520" s="8" t="str">
        <f>IFERROR(__xludf.DUMMYFUNCTION("""COMPUTED_VALUE"""),"Real")</f>
        <v>Real</v>
      </c>
      <c r="G9520" s="8">
        <f t="shared" si="1"/>
        <v>12</v>
      </c>
      <c r="H9520" s="14">
        <f t="shared" si="2"/>
        <v>2</v>
      </c>
      <c r="I9520" s="15">
        <f t="shared" si="3"/>
        <v>15</v>
      </c>
    </row>
    <row r="9521">
      <c r="A9521" s="8" t="str">
        <f>IFERROR(__xludf.DUMMYFUNCTION("IF('(INGESTA)Datos_consumo_datadis'!A9521&lt;&gt;"""",SPLIT('(INGESTA)Datos_consumo_datadis'!A:A,"",""),"""")"),"ES0031408323131005HX0F")</f>
        <v>ES0031408323131005HX0F</v>
      </c>
      <c r="B9521" s="12">
        <f>IFERROR(__xludf.DUMMYFUNCTION("""COMPUTED_VALUE"""),45262.0)</f>
        <v>45262</v>
      </c>
      <c r="C9521" s="13">
        <f>IFERROR(__xludf.DUMMYFUNCTION("""COMPUTED_VALUE"""),0.6666666666666666)</f>
        <v>0.6666666667</v>
      </c>
      <c r="D9521" s="8">
        <f>IFERROR(__xludf.DUMMYFUNCTION("""COMPUTED_VALUE"""),0.137)</f>
        <v>0.137</v>
      </c>
      <c r="E9521" s="8" t="str">
        <f>IFERROR(__xludf.DUMMYFUNCTION("""COMPUTED_VALUE"""),"Real")</f>
        <v>Real</v>
      </c>
      <c r="G9521" s="8">
        <f t="shared" si="1"/>
        <v>12</v>
      </c>
      <c r="H9521" s="14">
        <f t="shared" si="2"/>
        <v>2</v>
      </c>
      <c r="I9521" s="15">
        <f t="shared" si="3"/>
        <v>16</v>
      </c>
    </row>
    <row r="9522">
      <c r="A9522" s="8" t="str">
        <f>IFERROR(__xludf.DUMMYFUNCTION("IF('(INGESTA)Datos_consumo_datadis'!A9522&lt;&gt;"""",SPLIT('(INGESTA)Datos_consumo_datadis'!A:A,"",""),"""")"),"ES0031408323131005HX0F")</f>
        <v>ES0031408323131005HX0F</v>
      </c>
      <c r="B9522" s="12">
        <f>IFERROR(__xludf.DUMMYFUNCTION("""COMPUTED_VALUE"""),45262.0)</f>
        <v>45262</v>
      </c>
      <c r="C9522" s="13">
        <f>IFERROR(__xludf.DUMMYFUNCTION("""COMPUTED_VALUE"""),0.7083333333333334)</f>
        <v>0.7083333333</v>
      </c>
      <c r="D9522" s="8">
        <f>IFERROR(__xludf.DUMMYFUNCTION("""COMPUTED_VALUE"""),1.376)</f>
        <v>1.376</v>
      </c>
      <c r="E9522" s="8" t="str">
        <f>IFERROR(__xludf.DUMMYFUNCTION("""COMPUTED_VALUE"""),"Real")</f>
        <v>Real</v>
      </c>
      <c r="G9522" s="8">
        <f t="shared" si="1"/>
        <v>12</v>
      </c>
      <c r="H9522" s="14">
        <f t="shared" si="2"/>
        <v>2</v>
      </c>
      <c r="I9522" s="15">
        <f t="shared" si="3"/>
        <v>17</v>
      </c>
    </row>
    <row r="9523">
      <c r="A9523" s="8" t="str">
        <f>IFERROR(__xludf.DUMMYFUNCTION("IF('(INGESTA)Datos_consumo_datadis'!A9523&lt;&gt;"""",SPLIT('(INGESTA)Datos_consumo_datadis'!A:A,"",""),"""")"),"ES0031408323131005HX0F")</f>
        <v>ES0031408323131005HX0F</v>
      </c>
      <c r="B9523" s="12">
        <f>IFERROR(__xludf.DUMMYFUNCTION("""COMPUTED_VALUE"""),45262.0)</f>
        <v>45262</v>
      </c>
      <c r="C9523" s="13">
        <f>IFERROR(__xludf.DUMMYFUNCTION("""COMPUTED_VALUE"""),0.75)</f>
        <v>0.75</v>
      </c>
      <c r="D9523" s="8">
        <f>IFERROR(__xludf.DUMMYFUNCTION("""COMPUTED_VALUE"""),1.111)</f>
        <v>1.111</v>
      </c>
      <c r="E9523" s="8" t="str">
        <f>IFERROR(__xludf.DUMMYFUNCTION("""COMPUTED_VALUE"""),"Real")</f>
        <v>Real</v>
      </c>
      <c r="G9523" s="8">
        <f t="shared" si="1"/>
        <v>12</v>
      </c>
      <c r="H9523" s="14">
        <f t="shared" si="2"/>
        <v>2</v>
      </c>
      <c r="I9523" s="15">
        <f t="shared" si="3"/>
        <v>18</v>
      </c>
    </row>
    <row r="9524">
      <c r="A9524" s="8" t="str">
        <f>IFERROR(__xludf.DUMMYFUNCTION("IF('(INGESTA)Datos_consumo_datadis'!A9524&lt;&gt;"""",SPLIT('(INGESTA)Datos_consumo_datadis'!A:A,"",""),"""")"),"ES0031408323131005HX0F")</f>
        <v>ES0031408323131005HX0F</v>
      </c>
      <c r="B9524" s="12">
        <f>IFERROR(__xludf.DUMMYFUNCTION("""COMPUTED_VALUE"""),45262.0)</f>
        <v>45262</v>
      </c>
      <c r="C9524" s="13">
        <f>IFERROR(__xludf.DUMMYFUNCTION("""COMPUTED_VALUE"""),0.7916666666666666)</f>
        <v>0.7916666667</v>
      </c>
      <c r="D9524" s="8">
        <f>IFERROR(__xludf.DUMMYFUNCTION("""COMPUTED_VALUE"""),0.688)</f>
        <v>0.688</v>
      </c>
      <c r="E9524" s="8" t="str">
        <f>IFERROR(__xludf.DUMMYFUNCTION("""COMPUTED_VALUE"""),"Real")</f>
        <v>Real</v>
      </c>
      <c r="G9524" s="8">
        <f t="shared" si="1"/>
        <v>12</v>
      </c>
      <c r="H9524" s="14">
        <f t="shared" si="2"/>
        <v>2</v>
      </c>
      <c r="I9524" s="15">
        <f t="shared" si="3"/>
        <v>19</v>
      </c>
    </row>
    <row r="9525">
      <c r="A9525" s="8" t="str">
        <f>IFERROR(__xludf.DUMMYFUNCTION("IF('(INGESTA)Datos_consumo_datadis'!A9525&lt;&gt;"""",SPLIT('(INGESTA)Datos_consumo_datadis'!A:A,"",""),"""")"),"ES0031408323131005HX0F")</f>
        <v>ES0031408323131005HX0F</v>
      </c>
      <c r="B9525" s="12">
        <f>IFERROR(__xludf.DUMMYFUNCTION("""COMPUTED_VALUE"""),45262.0)</f>
        <v>45262</v>
      </c>
      <c r="C9525" s="13">
        <f>IFERROR(__xludf.DUMMYFUNCTION("""COMPUTED_VALUE"""),0.8333333333333334)</f>
        <v>0.8333333333</v>
      </c>
      <c r="D9525" s="8">
        <f>IFERROR(__xludf.DUMMYFUNCTION("""COMPUTED_VALUE"""),0.055)</f>
        <v>0.055</v>
      </c>
      <c r="E9525" s="8" t="str">
        <f>IFERROR(__xludf.DUMMYFUNCTION("""COMPUTED_VALUE"""),"Real")</f>
        <v>Real</v>
      </c>
      <c r="G9525" s="8">
        <f t="shared" si="1"/>
        <v>12</v>
      </c>
      <c r="H9525" s="14">
        <f t="shared" si="2"/>
        <v>2</v>
      </c>
      <c r="I9525" s="15">
        <f t="shared" si="3"/>
        <v>20</v>
      </c>
    </row>
    <row r="9526">
      <c r="A9526" s="8" t="str">
        <f>IFERROR(__xludf.DUMMYFUNCTION("IF('(INGESTA)Datos_consumo_datadis'!A9526&lt;&gt;"""",SPLIT('(INGESTA)Datos_consumo_datadis'!A:A,"",""),"""")"),"ES0031408323131005HX0F")</f>
        <v>ES0031408323131005HX0F</v>
      </c>
      <c r="B9526" s="12">
        <f>IFERROR(__xludf.DUMMYFUNCTION("""COMPUTED_VALUE"""),45262.0)</f>
        <v>45262</v>
      </c>
      <c r="C9526" s="13">
        <f>IFERROR(__xludf.DUMMYFUNCTION("""COMPUTED_VALUE"""),0.875)</f>
        <v>0.875</v>
      </c>
      <c r="D9526" s="8">
        <f>IFERROR(__xludf.DUMMYFUNCTION("""COMPUTED_VALUE"""),0.05)</f>
        <v>0.05</v>
      </c>
      <c r="E9526" s="8" t="str">
        <f>IFERROR(__xludf.DUMMYFUNCTION("""COMPUTED_VALUE"""),"Real")</f>
        <v>Real</v>
      </c>
      <c r="G9526" s="8">
        <f t="shared" si="1"/>
        <v>12</v>
      </c>
      <c r="H9526" s="14">
        <f t="shared" si="2"/>
        <v>2</v>
      </c>
      <c r="I9526" s="15">
        <f t="shared" si="3"/>
        <v>21</v>
      </c>
    </row>
    <row r="9527">
      <c r="A9527" s="8" t="str">
        <f>IFERROR(__xludf.DUMMYFUNCTION("IF('(INGESTA)Datos_consumo_datadis'!A9527&lt;&gt;"""",SPLIT('(INGESTA)Datos_consumo_datadis'!A:A,"",""),"""")"),"ES0031408323131005HX0F")</f>
        <v>ES0031408323131005HX0F</v>
      </c>
      <c r="B9527" s="12">
        <f>IFERROR(__xludf.DUMMYFUNCTION("""COMPUTED_VALUE"""),45262.0)</f>
        <v>45262</v>
      </c>
      <c r="C9527" s="13">
        <f>IFERROR(__xludf.DUMMYFUNCTION("""COMPUTED_VALUE"""),0.9166666666666666)</f>
        <v>0.9166666667</v>
      </c>
      <c r="D9527" s="8">
        <f>IFERROR(__xludf.DUMMYFUNCTION("""COMPUTED_VALUE"""),0.029)</f>
        <v>0.029</v>
      </c>
      <c r="E9527" s="8" t="str">
        <f>IFERROR(__xludf.DUMMYFUNCTION("""COMPUTED_VALUE"""),"Real")</f>
        <v>Real</v>
      </c>
      <c r="G9527" s="8">
        <f t="shared" si="1"/>
        <v>12</v>
      </c>
      <c r="H9527" s="14">
        <f t="shared" si="2"/>
        <v>2</v>
      </c>
      <c r="I9527" s="15">
        <f t="shared" si="3"/>
        <v>22</v>
      </c>
    </row>
    <row r="9528">
      <c r="A9528" s="8" t="str">
        <f>IFERROR(__xludf.DUMMYFUNCTION("IF('(INGESTA)Datos_consumo_datadis'!A9528&lt;&gt;"""",SPLIT('(INGESTA)Datos_consumo_datadis'!A:A,"",""),"""")"),"ES0031408323131005HX0F")</f>
        <v>ES0031408323131005HX0F</v>
      </c>
      <c r="B9528" s="12">
        <f>IFERROR(__xludf.DUMMYFUNCTION("""COMPUTED_VALUE"""),45262.0)</f>
        <v>45262</v>
      </c>
      <c r="C9528" s="13">
        <f>IFERROR(__xludf.DUMMYFUNCTION("""COMPUTED_VALUE"""),0.9583333333333334)</f>
        <v>0.9583333333</v>
      </c>
      <c r="D9528" s="8">
        <f>IFERROR(__xludf.DUMMYFUNCTION("""COMPUTED_VALUE"""),0.131)</f>
        <v>0.131</v>
      </c>
      <c r="E9528" s="8" t="str">
        <f>IFERROR(__xludf.DUMMYFUNCTION("""COMPUTED_VALUE"""),"Real")</f>
        <v>Real</v>
      </c>
      <c r="G9528" s="8">
        <f t="shared" si="1"/>
        <v>12</v>
      </c>
      <c r="H9528" s="14">
        <f t="shared" si="2"/>
        <v>2</v>
      </c>
      <c r="I9528" s="15">
        <f t="shared" si="3"/>
        <v>23</v>
      </c>
    </row>
    <row r="9529">
      <c r="A9529" s="8" t="str">
        <f>IFERROR(__xludf.DUMMYFUNCTION("IF('(INGESTA)Datos_consumo_datadis'!A9529&lt;&gt;"""",SPLIT('(INGESTA)Datos_consumo_datadis'!A:A,"",""),"""")"),"ES0031408323131005HX0F")</f>
        <v>ES0031408323131005HX0F</v>
      </c>
      <c r="B9529" s="12">
        <f>IFERROR(__xludf.DUMMYFUNCTION("""COMPUTED_VALUE"""),45262.0)</f>
        <v>45262</v>
      </c>
      <c r="C9529" s="16">
        <f>IFERROR(__xludf.DUMMYFUNCTION("""COMPUTED_VALUE"""),1.0)</f>
        <v>1</v>
      </c>
      <c r="D9529" s="8">
        <f>IFERROR(__xludf.DUMMYFUNCTION("""COMPUTED_VALUE"""),0.318)</f>
        <v>0.318</v>
      </c>
      <c r="E9529" s="8" t="str">
        <f>IFERROR(__xludf.DUMMYFUNCTION("""COMPUTED_VALUE"""),"Real")</f>
        <v>Real</v>
      </c>
      <c r="G9529" s="8">
        <f t="shared" si="1"/>
        <v>12</v>
      </c>
      <c r="H9529" s="14">
        <f t="shared" si="2"/>
        <v>2</v>
      </c>
      <c r="I9529" s="15">
        <f t="shared" si="3"/>
        <v>0</v>
      </c>
    </row>
    <row r="9530">
      <c r="A9530" s="8" t="str">
        <f>IFERROR(__xludf.DUMMYFUNCTION("IF('(INGESTA)Datos_consumo_datadis'!A9530&lt;&gt;"""",SPLIT('(INGESTA)Datos_consumo_datadis'!A:A,"",""),"""")"),"ES0031408323131005HX0F")</f>
        <v>ES0031408323131005HX0F</v>
      </c>
      <c r="B9530" s="12">
        <f>IFERROR(__xludf.DUMMYFUNCTION("""COMPUTED_VALUE"""),45263.0)</f>
        <v>45263</v>
      </c>
      <c r="C9530" s="13">
        <f>IFERROR(__xludf.DUMMYFUNCTION("""COMPUTED_VALUE"""),0.041666666666666664)</f>
        <v>0.04166666667</v>
      </c>
      <c r="D9530" s="8">
        <f>IFERROR(__xludf.DUMMYFUNCTION("""COMPUTED_VALUE"""),0.11)</f>
        <v>0.11</v>
      </c>
      <c r="E9530" s="8" t="str">
        <f>IFERROR(__xludf.DUMMYFUNCTION("""COMPUTED_VALUE"""),"Real")</f>
        <v>Real</v>
      </c>
      <c r="G9530" s="8">
        <f t="shared" si="1"/>
        <v>12</v>
      </c>
      <c r="H9530" s="14">
        <f t="shared" si="2"/>
        <v>3</v>
      </c>
      <c r="I9530" s="15">
        <f t="shared" si="3"/>
        <v>1</v>
      </c>
    </row>
    <row r="9531">
      <c r="A9531" s="8" t="str">
        <f>IFERROR(__xludf.DUMMYFUNCTION("IF('(INGESTA)Datos_consumo_datadis'!A9531&lt;&gt;"""",SPLIT('(INGESTA)Datos_consumo_datadis'!A:A,"",""),"""")"),"ES0031408323131005HX0F")</f>
        <v>ES0031408323131005HX0F</v>
      </c>
      <c r="B9531" s="12">
        <f>IFERROR(__xludf.DUMMYFUNCTION("""COMPUTED_VALUE"""),45263.0)</f>
        <v>45263</v>
      </c>
      <c r="C9531" s="13">
        <f>IFERROR(__xludf.DUMMYFUNCTION("""COMPUTED_VALUE"""),0.08333333333333333)</f>
        <v>0.08333333333</v>
      </c>
      <c r="D9531" s="8">
        <f>IFERROR(__xludf.DUMMYFUNCTION("""COMPUTED_VALUE"""),0.117)</f>
        <v>0.117</v>
      </c>
      <c r="E9531" s="8" t="str">
        <f>IFERROR(__xludf.DUMMYFUNCTION("""COMPUTED_VALUE"""),"Real")</f>
        <v>Real</v>
      </c>
      <c r="G9531" s="8">
        <f t="shared" si="1"/>
        <v>12</v>
      </c>
      <c r="H9531" s="14">
        <f t="shared" si="2"/>
        <v>3</v>
      </c>
      <c r="I9531" s="15">
        <f t="shared" si="3"/>
        <v>2</v>
      </c>
    </row>
    <row r="9532">
      <c r="A9532" s="8" t="str">
        <f>IFERROR(__xludf.DUMMYFUNCTION("IF('(INGESTA)Datos_consumo_datadis'!A9532&lt;&gt;"""",SPLIT('(INGESTA)Datos_consumo_datadis'!A:A,"",""),"""")"),"ES0031408323131005HX0F")</f>
        <v>ES0031408323131005HX0F</v>
      </c>
      <c r="B9532" s="12">
        <f>IFERROR(__xludf.DUMMYFUNCTION("""COMPUTED_VALUE"""),45263.0)</f>
        <v>45263</v>
      </c>
      <c r="C9532" s="13">
        <f>IFERROR(__xludf.DUMMYFUNCTION("""COMPUTED_VALUE"""),0.125)</f>
        <v>0.125</v>
      </c>
      <c r="D9532" s="8">
        <f>IFERROR(__xludf.DUMMYFUNCTION("""COMPUTED_VALUE"""),0.13)</f>
        <v>0.13</v>
      </c>
      <c r="E9532" s="8" t="str">
        <f>IFERROR(__xludf.DUMMYFUNCTION("""COMPUTED_VALUE"""),"Real")</f>
        <v>Real</v>
      </c>
      <c r="G9532" s="8">
        <f t="shared" si="1"/>
        <v>12</v>
      </c>
      <c r="H9532" s="14">
        <f t="shared" si="2"/>
        <v>3</v>
      </c>
      <c r="I9532" s="15">
        <f t="shared" si="3"/>
        <v>3</v>
      </c>
    </row>
    <row r="9533">
      <c r="A9533" s="8" t="str">
        <f>IFERROR(__xludf.DUMMYFUNCTION("IF('(INGESTA)Datos_consumo_datadis'!A9533&lt;&gt;"""",SPLIT('(INGESTA)Datos_consumo_datadis'!A:A,"",""),"""")"),"ES0031408323131005HX0F")</f>
        <v>ES0031408323131005HX0F</v>
      </c>
      <c r="B9533" s="12">
        <f>IFERROR(__xludf.DUMMYFUNCTION("""COMPUTED_VALUE"""),45263.0)</f>
        <v>45263</v>
      </c>
      <c r="C9533" s="13">
        <f>IFERROR(__xludf.DUMMYFUNCTION("""COMPUTED_VALUE"""),0.16666666666666666)</f>
        <v>0.1666666667</v>
      </c>
      <c r="D9533" s="8">
        <f>IFERROR(__xludf.DUMMYFUNCTION("""COMPUTED_VALUE"""),0.114)</f>
        <v>0.114</v>
      </c>
      <c r="E9533" s="8" t="str">
        <f>IFERROR(__xludf.DUMMYFUNCTION("""COMPUTED_VALUE"""),"Real")</f>
        <v>Real</v>
      </c>
      <c r="G9533" s="8">
        <f t="shared" si="1"/>
        <v>12</v>
      </c>
      <c r="H9533" s="14">
        <f t="shared" si="2"/>
        <v>3</v>
      </c>
      <c r="I9533" s="15">
        <f t="shared" si="3"/>
        <v>4</v>
      </c>
    </row>
    <row r="9534">
      <c r="A9534" s="8" t="str">
        <f>IFERROR(__xludf.DUMMYFUNCTION("IF('(INGESTA)Datos_consumo_datadis'!A9534&lt;&gt;"""",SPLIT('(INGESTA)Datos_consumo_datadis'!A:A,"",""),"""")"),"ES0031408323131005HX0F")</f>
        <v>ES0031408323131005HX0F</v>
      </c>
      <c r="B9534" s="12">
        <f>IFERROR(__xludf.DUMMYFUNCTION("""COMPUTED_VALUE"""),45263.0)</f>
        <v>45263</v>
      </c>
      <c r="C9534" s="13">
        <f>IFERROR(__xludf.DUMMYFUNCTION("""COMPUTED_VALUE"""),0.20833333333333334)</f>
        <v>0.2083333333</v>
      </c>
      <c r="D9534" s="8">
        <f>IFERROR(__xludf.DUMMYFUNCTION("""COMPUTED_VALUE"""),0.048)</f>
        <v>0.048</v>
      </c>
      <c r="E9534" s="8" t="str">
        <f>IFERROR(__xludf.DUMMYFUNCTION("""COMPUTED_VALUE"""),"Real")</f>
        <v>Real</v>
      </c>
      <c r="G9534" s="8">
        <f t="shared" si="1"/>
        <v>12</v>
      </c>
      <c r="H9534" s="14">
        <f t="shared" si="2"/>
        <v>3</v>
      </c>
      <c r="I9534" s="15">
        <f t="shared" si="3"/>
        <v>5</v>
      </c>
    </row>
    <row r="9535">
      <c r="A9535" s="8" t="str">
        <f>IFERROR(__xludf.DUMMYFUNCTION("IF('(INGESTA)Datos_consumo_datadis'!A9535&lt;&gt;"""",SPLIT('(INGESTA)Datos_consumo_datadis'!A:A,"",""),"""")"),"ES0031408323131005HX0F")</f>
        <v>ES0031408323131005HX0F</v>
      </c>
      <c r="B9535" s="12">
        <f>IFERROR(__xludf.DUMMYFUNCTION("""COMPUTED_VALUE"""),45263.0)</f>
        <v>45263</v>
      </c>
      <c r="C9535" s="13">
        <f>IFERROR(__xludf.DUMMYFUNCTION("""COMPUTED_VALUE"""),0.25)</f>
        <v>0.25</v>
      </c>
      <c r="D9535" s="8">
        <f>IFERROR(__xludf.DUMMYFUNCTION("""COMPUTED_VALUE"""),0.344)</f>
        <v>0.344</v>
      </c>
      <c r="E9535" s="8" t="str">
        <f>IFERROR(__xludf.DUMMYFUNCTION("""COMPUTED_VALUE"""),"Real")</f>
        <v>Real</v>
      </c>
      <c r="G9535" s="8">
        <f t="shared" si="1"/>
        <v>12</v>
      </c>
      <c r="H9535" s="14">
        <f t="shared" si="2"/>
        <v>3</v>
      </c>
      <c r="I9535" s="15">
        <f t="shared" si="3"/>
        <v>6</v>
      </c>
    </row>
    <row r="9536">
      <c r="A9536" s="8" t="str">
        <f>IFERROR(__xludf.DUMMYFUNCTION("IF('(INGESTA)Datos_consumo_datadis'!A9536&lt;&gt;"""",SPLIT('(INGESTA)Datos_consumo_datadis'!A:A,"",""),"""")"),"ES0031408323131005HX0F")</f>
        <v>ES0031408323131005HX0F</v>
      </c>
      <c r="B9536" s="12">
        <f>IFERROR(__xludf.DUMMYFUNCTION("""COMPUTED_VALUE"""),45263.0)</f>
        <v>45263</v>
      </c>
      <c r="C9536" s="13">
        <f>IFERROR(__xludf.DUMMYFUNCTION("""COMPUTED_VALUE"""),0.2916666666666667)</f>
        <v>0.2916666667</v>
      </c>
      <c r="D9536" s="8">
        <f>IFERROR(__xludf.DUMMYFUNCTION("""COMPUTED_VALUE"""),0.015)</f>
        <v>0.015</v>
      </c>
      <c r="E9536" s="8" t="str">
        <f>IFERROR(__xludf.DUMMYFUNCTION("""COMPUTED_VALUE"""),"Real")</f>
        <v>Real</v>
      </c>
      <c r="G9536" s="8">
        <f t="shared" si="1"/>
        <v>12</v>
      </c>
      <c r="H9536" s="14">
        <f t="shared" si="2"/>
        <v>3</v>
      </c>
      <c r="I9536" s="15">
        <f t="shared" si="3"/>
        <v>7</v>
      </c>
    </row>
    <row r="9537">
      <c r="A9537" s="8" t="str">
        <f>IFERROR(__xludf.DUMMYFUNCTION("IF('(INGESTA)Datos_consumo_datadis'!A9537&lt;&gt;"""",SPLIT('(INGESTA)Datos_consumo_datadis'!A:A,"",""),"""")"),"ES0031408323131005HX0F")</f>
        <v>ES0031408323131005HX0F</v>
      </c>
      <c r="B9537" s="12">
        <f>IFERROR(__xludf.DUMMYFUNCTION("""COMPUTED_VALUE"""),45263.0)</f>
        <v>45263</v>
      </c>
      <c r="C9537" s="13">
        <f>IFERROR(__xludf.DUMMYFUNCTION("""COMPUTED_VALUE"""),0.3333333333333333)</f>
        <v>0.3333333333</v>
      </c>
      <c r="D9537" s="8">
        <f>IFERROR(__xludf.DUMMYFUNCTION("""COMPUTED_VALUE"""),0.105)</f>
        <v>0.105</v>
      </c>
      <c r="E9537" s="8" t="str">
        <f>IFERROR(__xludf.DUMMYFUNCTION("""COMPUTED_VALUE"""),"Real")</f>
        <v>Real</v>
      </c>
      <c r="G9537" s="8">
        <f t="shared" si="1"/>
        <v>12</v>
      </c>
      <c r="H9537" s="14">
        <f t="shared" si="2"/>
        <v>3</v>
      </c>
      <c r="I9537" s="15">
        <f t="shared" si="3"/>
        <v>8</v>
      </c>
    </row>
    <row r="9538">
      <c r="A9538" s="8" t="str">
        <f>IFERROR(__xludf.DUMMYFUNCTION("IF('(INGESTA)Datos_consumo_datadis'!A9538&lt;&gt;"""",SPLIT('(INGESTA)Datos_consumo_datadis'!A:A,"",""),"""")"),"ES0031408323131005HX0F")</f>
        <v>ES0031408323131005HX0F</v>
      </c>
      <c r="B9538" s="12">
        <f>IFERROR(__xludf.DUMMYFUNCTION("""COMPUTED_VALUE"""),45263.0)</f>
        <v>45263</v>
      </c>
      <c r="C9538" s="13">
        <f>IFERROR(__xludf.DUMMYFUNCTION("""COMPUTED_VALUE"""),0.375)</f>
        <v>0.375</v>
      </c>
      <c r="D9538" s="8">
        <f>IFERROR(__xludf.DUMMYFUNCTION("""COMPUTED_VALUE"""),0.046)</f>
        <v>0.046</v>
      </c>
      <c r="E9538" s="8" t="str">
        <f>IFERROR(__xludf.DUMMYFUNCTION("""COMPUTED_VALUE"""),"Real")</f>
        <v>Real</v>
      </c>
      <c r="G9538" s="8">
        <f t="shared" si="1"/>
        <v>12</v>
      </c>
      <c r="H9538" s="14">
        <f t="shared" si="2"/>
        <v>3</v>
      </c>
      <c r="I9538" s="15">
        <f t="shared" si="3"/>
        <v>9</v>
      </c>
    </row>
    <row r="9539">
      <c r="A9539" s="8" t="str">
        <f>IFERROR(__xludf.DUMMYFUNCTION("IF('(INGESTA)Datos_consumo_datadis'!A9539&lt;&gt;"""",SPLIT('(INGESTA)Datos_consumo_datadis'!A:A,"",""),"""")"),"ES0031408323131005HX0F")</f>
        <v>ES0031408323131005HX0F</v>
      </c>
      <c r="B9539" s="12">
        <f>IFERROR(__xludf.DUMMYFUNCTION("""COMPUTED_VALUE"""),45263.0)</f>
        <v>45263</v>
      </c>
      <c r="C9539" s="13">
        <f>IFERROR(__xludf.DUMMYFUNCTION("""COMPUTED_VALUE"""),0.4166666666666667)</f>
        <v>0.4166666667</v>
      </c>
      <c r="D9539" s="8">
        <f>IFERROR(__xludf.DUMMYFUNCTION("""COMPUTED_VALUE"""),0.05)</f>
        <v>0.05</v>
      </c>
      <c r="E9539" s="8" t="str">
        <f>IFERROR(__xludf.DUMMYFUNCTION("""COMPUTED_VALUE"""),"Real")</f>
        <v>Real</v>
      </c>
      <c r="G9539" s="8">
        <f t="shared" si="1"/>
        <v>12</v>
      </c>
      <c r="H9539" s="14">
        <f t="shared" si="2"/>
        <v>3</v>
      </c>
      <c r="I9539" s="15">
        <f t="shared" si="3"/>
        <v>10</v>
      </c>
    </row>
    <row r="9540">
      <c r="A9540" s="8" t="str">
        <f>IFERROR(__xludf.DUMMYFUNCTION("IF('(INGESTA)Datos_consumo_datadis'!A9540&lt;&gt;"""",SPLIT('(INGESTA)Datos_consumo_datadis'!A:A,"",""),"""")"),"ES0031408323131005HX0F")</f>
        <v>ES0031408323131005HX0F</v>
      </c>
      <c r="B9540" s="12">
        <f>IFERROR(__xludf.DUMMYFUNCTION("""COMPUTED_VALUE"""),45263.0)</f>
        <v>45263</v>
      </c>
      <c r="C9540" s="13">
        <f>IFERROR(__xludf.DUMMYFUNCTION("""COMPUTED_VALUE"""),0.4583333333333333)</f>
        <v>0.4583333333</v>
      </c>
      <c r="D9540" s="8">
        <f>IFERROR(__xludf.DUMMYFUNCTION("""COMPUTED_VALUE"""),0.395)</f>
        <v>0.395</v>
      </c>
      <c r="E9540" s="8" t="str">
        <f>IFERROR(__xludf.DUMMYFUNCTION("""COMPUTED_VALUE"""),"Real")</f>
        <v>Real</v>
      </c>
      <c r="G9540" s="8">
        <f t="shared" si="1"/>
        <v>12</v>
      </c>
      <c r="H9540" s="14">
        <f t="shared" si="2"/>
        <v>3</v>
      </c>
      <c r="I9540" s="15">
        <f t="shared" si="3"/>
        <v>11</v>
      </c>
    </row>
    <row r="9541">
      <c r="A9541" s="8" t="str">
        <f>IFERROR(__xludf.DUMMYFUNCTION("IF('(INGESTA)Datos_consumo_datadis'!A9541&lt;&gt;"""",SPLIT('(INGESTA)Datos_consumo_datadis'!A:A,"",""),"""")"),"ES0031408323131005HX0F")</f>
        <v>ES0031408323131005HX0F</v>
      </c>
      <c r="B9541" s="12">
        <f>IFERROR(__xludf.DUMMYFUNCTION("""COMPUTED_VALUE"""),45263.0)</f>
        <v>45263</v>
      </c>
      <c r="C9541" s="13">
        <f>IFERROR(__xludf.DUMMYFUNCTION("""COMPUTED_VALUE"""),0.5)</f>
        <v>0.5</v>
      </c>
      <c r="D9541" s="8">
        <f>IFERROR(__xludf.DUMMYFUNCTION("""COMPUTED_VALUE"""),0.093)</f>
        <v>0.093</v>
      </c>
      <c r="E9541" s="8" t="str">
        <f>IFERROR(__xludf.DUMMYFUNCTION("""COMPUTED_VALUE"""),"Real")</f>
        <v>Real</v>
      </c>
      <c r="G9541" s="8">
        <f t="shared" si="1"/>
        <v>12</v>
      </c>
      <c r="H9541" s="14">
        <f t="shared" si="2"/>
        <v>3</v>
      </c>
      <c r="I9541" s="15">
        <f t="shared" si="3"/>
        <v>12</v>
      </c>
    </row>
    <row r="9542">
      <c r="A9542" s="8" t="str">
        <f>IFERROR(__xludf.DUMMYFUNCTION("IF('(INGESTA)Datos_consumo_datadis'!A9542&lt;&gt;"""",SPLIT('(INGESTA)Datos_consumo_datadis'!A:A,"",""),"""")"),"ES0031408323131005HX0F")</f>
        <v>ES0031408323131005HX0F</v>
      </c>
      <c r="B9542" s="12">
        <f>IFERROR(__xludf.DUMMYFUNCTION("""COMPUTED_VALUE"""),45263.0)</f>
        <v>45263</v>
      </c>
      <c r="C9542" s="13">
        <f>IFERROR(__xludf.DUMMYFUNCTION("""COMPUTED_VALUE"""),0.5416666666666666)</f>
        <v>0.5416666667</v>
      </c>
      <c r="D9542" s="8">
        <f>IFERROR(__xludf.DUMMYFUNCTION("""COMPUTED_VALUE"""),0.07)</f>
        <v>0.07</v>
      </c>
      <c r="E9542" s="8" t="str">
        <f>IFERROR(__xludf.DUMMYFUNCTION("""COMPUTED_VALUE"""),"Real")</f>
        <v>Real</v>
      </c>
      <c r="G9542" s="8">
        <f t="shared" si="1"/>
        <v>12</v>
      </c>
      <c r="H9542" s="14">
        <f t="shared" si="2"/>
        <v>3</v>
      </c>
      <c r="I9542" s="15">
        <f t="shared" si="3"/>
        <v>13</v>
      </c>
    </row>
    <row r="9543">
      <c r="A9543" s="8" t="str">
        <f>IFERROR(__xludf.DUMMYFUNCTION("IF('(INGESTA)Datos_consumo_datadis'!A9543&lt;&gt;"""",SPLIT('(INGESTA)Datos_consumo_datadis'!A:A,"",""),"""")"),"ES0031408323131005HX0F")</f>
        <v>ES0031408323131005HX0F</v>
      </c>
      <c r="B9543" s="12">
        <f>IFERROR(__xludf.DUMMYFUNCTION("""COMPUTED_VALUE"""),45263.0)</f>
        <v>45263</v>
      </c>
      <c r="C9543" s="13">
        <f>IFERROR(__xludf.DUMMYFUNCTION("""COMPUTED_VALUE"""),0.5833333333333334)</f>
        <v>0.5833333333</v>
      </c>
      <c r="D9543" s="8">
        <f>IFERROR(__xludf.DUMMYFUNCTION("""COMPUTED_VALUE"""),0.088)</f>
        <v>0.088</v>
      </c>
      <c r="E9543" s="8" t="str">
        <f>IFERROR(__xludf.DUMMYFUNCTION("""COMPUTED_VALUE"""),"Real")</f>
        <v>Real</v>
      </c>
      <c r="G9543" s="8">
        <f t="shared" si="1"/>
        <v>12</v>
      </c>
      <c r="H9543" s="14">
        <f t="shared" si="2"/>
        <v>3</v>
      </c>
      <c r="I9543" s="15">
        <f t="shared" si="3"/>
        <v>14</v>
      </c>
    </row>
    <row r="9544">
      <c r="A9544" s="8" t="str">
        <f>IFERROR(__xludf.DUMMYFUNCTION("IF('(INGESTA)Datos_consumo_datadis'!A9544&lt;&gt;"""",SPLIT('(INGESTA)Datos_consumo_datadis'!A:A,"",""),"""")"),"ES0031408323131005HX0F")</f>
        <v>ES0031408323131005HX0F</v>
      </c>
      <c r="B9544" s="12">
        <f>IFERROR(__xludf.DUMMYFUNCTION("""COMPUTED_VALUE"""),45263.0)</f>
        <v>45263</v>
      </c>
      <c r="C9544" s="13">
        <f>IFERROR(__xludf.DUMMYFUNCTION("""COMPUTED_VALUE"""),0.625)</f>
        <v>0.625</v>
      </c>
      <c r="D9544" s="8">
        <f>IFERROR(__xludf.DUMMYFUNCTION("""COMPUTED_VALUE"""),1.117)</f>
        <v>1.117</v>
      </c>
      <c r="E9544" s="8" t="str">
        <f>IFERROR(__xludf.DUMMYFUNCTION("""COMPUTED_VALUE"""),"Real")</f>
        <v>Real</v>
      </c>
      <c r="G9544" s="8">
        <f t="shared" si="1"/>
        <v>12</v>
      </c>
      <c r="H9544" s="14">
        <f t="shared" si="2"/>
        <v>3</v>
      </c>
      <c r="I9544" s="15">
        <f t="shared" si="3"/>
        <v>15</v>
      </c>
    </row>
    <row r="9545">
      <c r="A9545" s="8" t="str">
        <f>IFERROR(__xludf.DUMMYFUNCTION("IF('(INGESTA)Datos_consumo_datadis'!A9545&lt;&gt;"""",SPLIT('(INGESTA)Datos_consumo_datadis'!A:A,"",""),"""")"),"ES0031408323131005HX0F")</f>
        <v>ES0031408323131005HX0F</v>
      </c>
      <c r="B9545" s="12">
        <f>IFERROR(__xludf.DUMMYFUNCTION("""COMPUTED_VALUE"""),45263.0)</f>
        <v>45263</v>
      </c>
      <c r="C9545" s="13">
        <f>IFERROR(__xludf.DUMMYFUNCTION("""COMPUTED_VALUE"""),0.6666666666666666)</f>
        <v>0.6666666667</v>
      </c>
      <c r="D9545" s="8">
        <f>IFERROR(__xludf.DUMMYFUNCTION("""COMPUTED_VALUE"""),1.526)</f>
        <v>1.526</v>
      </c>
      <c r="E9545" s="8" t="str">
        <f>IFERROR(__xludf.DUMMYFUNCTION("""COMPUTED_VALUE"""),"Real")</f>
        <v>Real</v>
      </c>
      <c r="G9545" s="8">
        <f t="shared" si="1"/>
        <v>12</v>
      </c>
      <c r="H9545" s="14">
        <f t="shared" si="2"/>
        <v>3</v>
      </c>
      <c r="I9545" s="15">
        <f t="shared" si="3"/>
        <v>16</v>
      </c>
    </row>
    <row r="9546">
      <c r="A9546" s="8" t="str">
        <f>IFERROR(__xludf.DUMMYFUNCTION("IF('(INGESTA)Datos_consumo_datadis'!A9546&lt;&gt;"""",SPLIT('(INGESTA)Datos_consumo_datadis'!A:A,"",""),"""")"),"ES0031408323131005HX0F")</f>
        <v>ES0031408323131005HX0F</v>
      </c>
      <c r="B9546" s="12">
        <f>IFERROR(__xludf.DUMMYFUNCTION("""COMPUTED_VALUE"""),45263.0)</f>
        <v>45263</v>
      </c>
      <c r="C9546" s="13">
        <f>IFERROR(__xludf.DUMMYFUNCTION("""COMPUTED_VALUE"""),0.7083333333333334)</f>
        <v>0.7083333333</v>
      </c>
      <c r="D9546" s="8">
        <f>IFERROR(__xludf.DUMMYFUNCTION("""COMPUTED_VALUE"""),0.465)</f>
        <v>0.465</v>
      </c>
      <c r="E9546" s="8" t="str">
        <f>IFERROR(__xludf.DUMMYFUNCTION("""COMPUTED_VALUE"""),"Real")</f>
        <v>Real</v>
      </c>
      <c r="G9546" s="8">
        <f t="shared" si="1"/>
        <v>12</v>
      </c>
      <c r="H9546" s="14">
        <f t="shared" si="2"/>
        <v>3</v>
      </c>
      <c r="I9546" s="15">
        <f t="shared" si="3"/>
        <v>17</v>
      </c>
    </row>
    <row r="9547">
      <c r="A9547" s="8" t="str">
        <f>IFERROR(__xludf.DUMMYFUNCTION("IF('(INGESTA)Datos_consumo_datadis'!A9547&lt;&gt;"""",SPLIT('(INGESTA)Datos_consumo_datadis'!A:A,"",""),"""")"),"ES0031408323131005HX0F")</f>
        <v>ES0031408323131005HX0F</v>
      </c>
      <c r="B9547" s="12">
        <f>IFERROR(__xludf.DUMMYFUNCTION("""COMPUTED_VALUE"""),45263.0)</f>
        <v>45263</v>
      </c>
      <c r="C9547" s="13">
        <f>IFERROR(__xludf.DUMMYFUNCTION("""COMPUTED_VALUE"""),0.75)</f>
        <v>0.75</v>
      </c>
      <c r="D9547" s="8">
        <f>IFERROR(__xludf.DUMMYFUNCTION("""COMPUTED_VALUE"""),0.157)</f>
        <v>0.157</v>
      </c>
      <c r="E9547" s="8" t="str">
        <f>IFERROR(__xludf.DUMMYFUNCTION("""COMPUTED_VALUE"""),"Real")</f>
        <v>Real</v>
      </c>
      <c r="G9547" s="8">
        <f t="shared" si="1"/>
        <v>12</v>
      </c>
      <c r="H9547" s="14">
        <f t="shared" si="2"/>
        <v>3</v>
      </c>
      <c r="I9547" s="15">
        <f t="shared" si="3"/>
        <v>18</v>
      </c>
    </row>
    <row r="9548">
      <c r="A9548" s="8" t="str">
        <f>IFERROR(__xludf.DUMMYFUNCTION("IF('(INGESTA)Datos_consumo_datadis'!A9548&lt;&gt;"""",SPLIT('(INGESTA)Datos_consumo_datadis'!A:A,"",""),"""")"),"ES0031408323131005HX0F")</f>
        <v>ES0031408323131005HX0F</v>
      </c>
      <c r="B9548" s="12">
        <f>IFERROR(__xludf.DUMMYFUNCTION("""COMPUTED_VALUE"""),45263.0)</f>
        <v>45263</v>
      </c>
      <c r="C9548" s="13">
        <f>IFERROR(__xludf.DUMMYFUNCTION("""COMPUTED_VALUE"""),0.7916666666666666)</f>
        <v>0.7916666667</v>
      </c>
      <c r="D9548" s="8">
        <f>IFERROR(__xludf.DUMMYFUNCTION("""COMPUTED_VALUE"""),0.146)</f>
        <v>0.146</v>
      </c>
      <c r="E9548" s="8" t="str">
        <f>IFERROR(__xludf.DUMMYFUNCTION("""COMPUTED_VALUE"""),"Real")</f>
        <v>Real</v>
      </c>
      <c r="G9548" s="8">
        <f t="shared" si="1"/>
        <v>12</v>
      </c>
      <c r="H9548" s="14">
        <f t="shared" si="2"/>
        <v>3</v>
      </c>
      <c r="I9548" s="15">
        <f t="shared" si="3"/>
        <v>19</v>
      </c>
    </row>
    <row r="9549">
      <c r="A9549" s="8" t="str">
        <f>IFERROR(__xludf.DUMMYFUNCTION("IF('(INGESTA)Datos_consumo_datadis'!A9549&lt;&gt;"""",SPLIT('(INGESTA)Datos_consumo_datadis'!A:A,"",""),"""")"),"ES0031408323131005HX0F")</f>
        <v>ES0031408323131005HX0F</v>
      </c>
      <c r="B9549" s="12">
        <f>IFERROR(__xludf.DUMMYFUNCTION("""COMPUTED_VALUE"""),45263.0)</f>
        <v>45263</v>
      </c>
      <c r="C9549" s="13">
        <f>IFERROR(__xludf.DUMMYFUNCTION("""COMPUTED_VALUE"""),0.8333333333333334)</f>
        <v>0.8333333333</v>
      </c>
      <c r="D9549" s="8">
        <f>IFERROR(__xludf.DUMMYFUNCTION("""COMPUTED_VALUE"""),0.26)</f>
        <v>0.26</v>
      </c>
      <c r="E9549" s="8" t="str">
        <f>IFERROR(__xludf.DUMMYFUNCTION("""COMPUTED_VALUE"""),"Real")</f>
        <v>Real</v>
      </c>
      <c r="G9549" s="8">
        <f t="shared" si="1"/>
        <v>12</v>
      </c>
      <c r="H9549" s="14">
        <f t="shared" si="2"/>
        <v>3</v>
      </c>
      <c r="I9549" s="15">
        <f t="shared" si="3"/>
        <v>20</v>
      </c>
    </row>
    <row r="9550">
      <c r="A9550" s="8" t="str">
        <f>IFERROR(__xludf.DUMMYFUNCTION("IF('(INGESTA)Datos_consumo_datadis'!A9550&lt;&gt;"""",SPLIT('(INGESTA)Datos_consumo_datadis'!A:A,"",""),"""")"),"ES0031408323131005HX0F")</f>
        <v>ES0031408323131005HX0F</v>
      </c>
      <c r="B9550" s="12">
        <f>IFERROR(__xludf.DUMMYFUNCTION("""COMPUTED_VALUE"""),45263.0)</f>
        <v>45263</v>
      </c>
      <c r="C9550" s="13">
        <f>IFERROR(__xludf.DUMMYFUNCTION("""COMPUTED_VALUE"""),0.875)</f>
        <v>0.875</v>
      </c>
      <c r="D9550" s="8">
        <f>IFERROR(__xludf.DUMMYFUNCTION("""COMPUTED_VALUE"""),0.543)</f>
        <v>0.543</v>
      </c>
      <c r="E9550" s="8" t="str">
        <f>IFERROR(__xludf.DUMMYFUNCTION("""COMPUTED_VALUE"""),"Real")</f>
        <v>Real</v>
      </c>
      <c r="G9550" s="8">
        <f t="shared" si="1"/>
        <v>12</v>
      </c>
      <c r="H9550" s="14">
        <f t="shared" si="2"/>
        <v>3</v>
      </c>
      <c r="I9550" s="15">
        <f t="shared" si="3"/>
        <v>21</v>
      </c>
    </row>
    <row r="9551">
      <c r="A9551" s="8" t="str">
        <f>IFERROR(__xludf.DUMMYFUNCTION("IF('(INGESTA)Datos_consumo_datadis'!A9551&lt;&gt;"""",SPLIT('(INGESTA)Datos_consumo_datadis'!A:A,"",""),"""")"),"ES0031408323131005HX0F")</f>
        <v>ES0031408323131005HX0F</v>
      </c>
      <c r="B9551" s="12">
        <f>IFERROR(__xludf.DUMMYFUNCTION("""COMPUTED_VALUE"""),45263.0)</f>
        <v>45263</v>
      </c>
      <c r="C9551" s="13">
        <f>IFERROR(__xludf.DUMMYFUNCTION("""COMPUTED_VALUE"""),0.9166666666666666)</f>
        <v>0.9166666667</v>
      </c>
      <c r="D9551" s="8">
        <f>IFERROR(__xludf.DUMMYFUNCTION("""COMPUTED_VALUE"""),1.216)</f>
        <v>1.216</v>
      </c>
      <c r="E9551" s="8" t="str">
        <f>IFERROR(__xludf.DUMMYFUNCTION("""COMPUTED_VALUE"""),"Real")</f>
        <v>Real</v>
      </c>
      <c r="G9551" s="8">
        <f t="shared" si="1"/>
        <v>12</v>
      </c>
      <c r="H9551" s="14">
        <f t="shared" si="2"/>
        <v>3</v>
      </c>
      <c r="I9551" s="15">
        <f t="shared" si="3"/>
        <v>22</v>
      </c>
    </row>
    <row r="9552">
      <c r="A9552" s="8" t="str">
        <f>IFERROR(__xludf.DUMMYFUNCTION("IF('(INGESTA)Datos_consumo_datadis'!A9552&lt;&gt;"""",SPLIT('(INGESTA)Datos_consumo_datadis'!A:A,"",""),"""")"),"ES0031408323131005HX0F")</f>
        <v>ES0031408323131005HX0F</v>
      </c>
      <c r="B9552" s="12">
        <f>IFERROR(__xludf.DUMMYFUNCTION("""COMPUTED_VALUE"""),45263.0)</f>
        <v>45263</v>
      </c>
      <c r="C9552" s="13">
        <f>IFERROR(__xludf.DUMMYFUNCTION("""COMPUTED_VALUE"""),0.9583333333333334)</f>
        <v>0.9583333333</v>
      </c>
      <c r="D9552" s="8">
        <f>IFERROR(__xludf.DUMMYFUNCTION("""COMPUTED_VALUE"""),0.69)</f>
        <v>0.69</v>
      </c>
      <c r="E9552" s="8" t="str">
        <f>IFERROR(__xludf.DUMMYFUNCTION("""COMPUTED_VALUE"""),"Real")</f>
        <v>Real</v>
      </c>
      <c r="G9552" s="8">
        <f t="shared" si="1"/>
        <v>12</v>
      </c>
      <c r="H9552" s="14">
        <f t="shared" si="2"/>
        <v>3</v>
      </c>
      <c r="I9552" s="15">
        <f t="shared" si="3"/>
        <v>23</v>
      </c>
    </row>
    <row r="9553">
      <c r="A9553" s="8" t="str">
        <f>IFERROR(__xludf.DUMMYFUNCTION("IF('(INGESTA)Datos_consumo_datadis'!A9553&lt;&gt;"""",SPLIT('(INGESTA)Datos_consumo_datadis'!A:A,"",""),"""")"),"ES0031408323131005HX0F")</f>
        <v>ES0031408323131005HX0F</v>
      </c>
      <c r="B9553" s="12">
        <f>IFERROR(__xludf.DUMMYFUNCTION("""COMPUTED_VALUE"""),45263.0)</f>
        <v>45263</v>
      </c>
      <c r="C9553" s="16">
        <f>IFERROR(__xludf.DUMMYFUNCTION("""COMPUTED_VALUE"""),1.0)</f>
        <v>1</v>
      </c>
      <c r="D9553" s="8">
        <f>IFERROR(__xludf.DUMMYFUNCTION("""COMPUTED_VALUE"""),0.603)</f>
        <v>0.603</v>
      </c>
      <c r="E9553" s="8" t="str">
        <f>IFERROR(__xludf.DUMMYFUNCTION("""COMPUTED_VALUE"""),"Real")</f>
        <v>Real</v>
      </c>
      <c r="G9553" s="8">
        <f t="shared" si="1"/>
        <v>12</v>
      </c>
      <c r="H9553" s="14">
        <f t="shared" si="2"/>
        <v>3</v>
      </c>
      <c r="I9553" s="15">
        <f t="shared" si="3"/>
        <v>0</v>
      </c>
    </row>
    <row r="9554">
      <c r="A9554" s="8" t="str">
        <f>IFERROR(__xludf.DUMMYFUNCTION("IF('(INGESTA)Datos_consumo_datadis'!A9554&lt;&gt;"""",SPLIT('(INGESTA)Datos_consumo_datadis'!A:A,"",""),"""")"),"ES0031408323131005HX0F")</f>
        <v>ES0031408323131005HX0F</v>
      </c>
      <c r="B9554" s="12">
        <f>IFERROR(__xludf.DUMMYFUNCTION("""COMPUTED_VALUE"""),45264.0)</f>
        <v>45264</v>
      </c>
      <c r="C9554" s="13">
        <f>IFERROR(__xludf.DUMMYFUNCTION("""COMPUTED_VALUE"""),0.041666666666666664)</f>
        <v>0.04166666667</v>
      </c>
      <c r="D9554" s="8">
        <f>IFERROR(__xludf.DUMMYFUNCTION("""COMPUTED_VALUE"""),0.486)</f>
        <v>0.486</v>
      </c>
      <c r="E9554" s="8" t="str">
        <f>IFERROR(__xludf.DUMMYFUNCTION("""COMPUTED_VALUE"""),"Real")</f>
        <v>Real</v>
      </c>
      <c r="G9554" s="8">
        <f t="shared" si="1"/>
        <v>12</v>
      </c>
      <c r="H9554" s="14">
        <f t="shared" si="2"/>
        <v>4</v>
      </c>
      <c r="I9554" s="15">
        <f t="shared" si="3"/>
        <v>1</v>
      </c>
    </row>
    <row r="9555">
      <c r="A9555" s="8" t="str">
        <f>IFERROR(__xludf.DUMMYFUNCTION("IF('(INGESTA)Datos_consumo_datadis'!A9555&lt;&gt;"""",SPLIT('(INGESTA)Datos_consumo_datadis'!A:A,"",""),"""")"),"ES0031408323131005HX0F")</f>
        <v>ES0031408323131005HX0F</v>
      </c>
      <c r="B9555" s="12">
        <f>IFERROR(__xludf.DUMMYFUNCTION("""COMPUTED_VALUE"""),45264.0)</f>
        <v>45264</v>
      </c>
      <c r="C9555" s="13">
        <f>IFERROR(__xludf.DUMMYFUNCTION("""COMPUTED_VALUE"""),0.08333333333333333)</f>
        <v>0.08333333333</v>
      </c>
      <c r="D9555" s="8">
        <f>IFERROR(__xludf.DUMMYFUNCTION("""COMPUTED_VALUE"""),0.111)</f>
        <v>0.111</v>
      </c>
      <c r="E9555" s="8" t="str">
        <f>IFERROR(__xludf.DUMMYFUNCTION("""COMPUTED_VALUE"""),"Real")</f>
        <v>Real</v>
      </c>
      <c r="G9555" s="8">
        <f t="shared" si="1"/>
        <v>12</v>
      </c>
      <c r="H9555" s="14">
        <f t="shared" si="2"/>
        <v>4</v>
      </c>
      <c r="I9555" s="15">
        <f t="shared" si="3"/>
        <v>2</v>
      </c>
    </row>
    <row r="9556">
      <c r="A9556" s="8" t="str">
        <f>IFERROR(__xludf.DUMMYFUNCTION("IF('(INGESTA)Datos_consumo_datadis'!A9556&lt;&gt;"""",SPLIT('(INGESTA)Datos_consumo_datadis'!A:A,"",""),"""")"),"ES0031408323131005HX0F")</f>
        <v>ES0031408323131005HX0F</v>
      </c>
      <c r="B9556" s="12">
        <f>IFERROR(__xludf.DUMMYFUNCTION("""COMPUTED_VALUE"""),45264.0)</f>
        <v>45264</v>
      </c>
      <c r="C9556" s="13">
        <f>IFERROR(__xludf.DUMMYFUNCTION("""COMPUTED_VALUE"""),0.125)</f>
        <v>0.125</v>
      </c>
      <c r="D9556" s="8">
        <f>IFERROR(__xludf.DUMMYFUNCTION("""COMPUTED_VALUE"""),0.103)</f>
        <v>0.103</v>
      </c>
      <c r="E9556" s="8" t="str">
        <f>IFERROR(__xludf.DUMMYFUNCTION("""COMPUTED_VALUE"""),"Real")</f>
        <v>Real</v>
      </c>
      <c r="G9556" s="8">
        <f t="shared" si="1"/>
        <v>12</v>
      </c>
      <c r="H9556" s="14">
        <f t="shared" si="2"/>
        <v>4</v>
      </c>
      <c r="I9556" s="15">
        <f t="shared" si="3"/>
        <v>3</v>
      </c>
    </row>
    <row r="9557">
      <c r="A9557" s="8" t="str">
        <f>IFERROR(__xludf.DUMMYFUNCTION("IF('(INGESTA)Datos_consumo_datadis'!A9557&lt;&gt;"""",SPLIT('(INGESTA)Datos_consumo_datadis'!A:A,"",""),"""")"),"ES0031408323131005HX0F")</f>
        <v>ES0031408323131005HX0F</v>
      </c>
      <c r="B9557" s="12">
        <f>IFERROR(__xludf.DUMMYFUNCTION("""COMPUTED_VALUE"""),45264.0)</f>
        <v>45264</v>
      </c>
      <c r="C9557" s="13">
        <f>IFERROR(__xludf.DUMMYFUNCTION("""COMPUTED_VALUE"""),0.16666666666666666)</f>
        <v>0.1666666667</v>
      </c>
      <c r="D9557" s="8">
        <f>IFERROR(__xludf.DUMMYFUNCTION("""COMPUTED_VALUE"""),0.079)</f>
        <v>0.079</v>
      </c>
      <c r="E9557" s="8" t="str">
        <f>IFERROR(__xludf.DUMMYFUNCTION("""COMPUTED_VALUE"""),"Real")</f>
        <v>Real</v>
      </c>
      <c r="G9557" s="8">
        <f t="shared" si="1"/>
        <v>12</v>
      </c>
      <c r="H9557" s="14">
        <f t="shared" si="2"/>
        <v>4</v>
      </c>
      <c r="I9557" s="15">
        <f t="shared" si="3"/>
        <v>4</v>
      </c>
    </row>
    <row r="9558">
      <c r="A9558" s="8" t="str">
        <f>IFERROR(__xludf.DUMMYFUNCTION("IF('(INGESTA)Datos_consumo_datadis'!A9558&lt;&gt;"""",SPLIT('(INGESTA)Datos_consumo_datadis'!A:A,"",""),"""")"),"ES0031408323131005HX0F")</f>
        <v>ES0031408323131005HX0F</v>
      </c>
      <c r="B9558" s="12">
        <f>IFERROR(__xludf.DUMMYFUNCTION("""COMPUTED_VALUE"""),45264.0)</f>
        <v>45264</v>
      </c>
      <c r="C9558" s="13">
        <f>IFERROR(__xludf.DUMMYFUNCTION("""COMPUTED_VALUE"""),0.20833333333333334)</f>
        <v>0.2083333333</v>
      </c>
      <c r="D9558" s="8">
        <f>IFERROR(__xludf.DUMMYFUNCTION("""COMPUTED_VALUE"""),0.347)</f>
        <v>0.347</v>
      </c>
      <c r="E9558" s="8" t="str">
        <f>IFERROR(__xludf.DUMMYFUNCTION("""COMPUTED_VALUE"""),"Real")</f>
        <v>Real</v>
      </c>
      <c r="G9558" s="8">
        <f t="shared" si="1"/>
        <v>12</v>
      </c>
      <c r="H9558" s="14">
        <f t="shared" si="2"/>
        <v>4</v>
      </c>
      <c r="I9558" s="15">
        <f t="shared" si="3"/>
        <v>5</v>
      </c>
    </row>
    <row r="9559">
      <c r="A9559" s="8" t="str">
        <f>IFERROR(__xludf.DUMMYFUNCTION("IF('(INGESTA)Datos_consumo_datadis'!A9559&lt;&gt;"""",SPLIT('(INGESTA)Datos_consumo_datadis'!A:A,"",""),"""")"),"ES0031408323131005HX0F")</f>
        <v>ES0031408323131005HX0F</v>
      </c>
      <c r="B9559" s="12">
        <f>IFERROR(__xludf.DUMMYFUNCTION("""COMPUTED_VALUE"""),45264.0)</f>
        <v>45264</v>
      </c>
      <c r="C9559" s="13">
        <f>IFERROR(__xludf.DUMMYFUNCTION("""COMPUTED_VALUE"""),0.25)</f>
        <v>0.25</v>
      </c>
      <c r="D9559" s="8">
        <f>IFERROR(__xludf.DUMMYFUNCTION("""COMPUTED_VALUE"""),0.027)</f>
        <v>0.027</v>
      </c>
      <c r="E9559" s="8" t="str">
        <f>IFERROR(__xludf.DUMMYFUNCTION("""COMPUTED_VALUE"""),"Real")</f>
        <v>Real</v>
      </c>
      <c r="G9559" s="8">
        <f t="shared" si="1"/>
        <v>12</v>
      </c>
      <c r="H9559" s="14">
        <f t="shared" si="2"/>
        <v>4</v>
      </c>
      <c r="I9559" s="15">
        <f t="shared" si="3"/>
        <v>6</v>
      </c>
    </row>
    <row r="9560">
      <c r="A9560" s="8" t="str">
        <f>IFERROR(__xludf.DUMMYFUNCTION("IF('(INGESTA)Datos_consumo_datadis'!A9560&lt;&gt;"""",SPLIT('(INGESTA)Datos_consumo_datadis'!A:A,"",""),"""")"),"ES0031408323131005HX0F")</f>
        <v>ES0031408323131005HX0F</v>
      </c>
      <c r="B9560" s="12">
        <f>IFERROR(__xludf.DUMMYFUNCTION("""COMPUTED_VALUE"""),45264.0)</f>
        <v>45264</v>
      </c>
      <c r="C9560" s="13">
        <f>IFERROR(__xludf.DUMMYFUNCTION("""COMPUTED_VALUE"""),0.2916666666666667)</f>
        <v>0.2916666667</v>
      </c>
      <c r="D9560" s="8">
        <f>IFERROR(__xludf.DUMMYFUNCTION("""COMPUTED_VALUE"""),0.086)</f>
        <v>0.086</v>
      </c>
      <c r="E9560" s="8" t="str">
        <f>IFERROR(__xludf.DUMMYFUNCTION("""COMPUTED_VALUE"""),"Real")</f>
        <v>Real</v>
      </c>
      <c r="G9560" s="8">
        <f t="shared" si="1"/>
        <v>12</v>
      </c>
      <c r="H9560" s="14">
        <f t="shared" si="2"/>
        <v>4</v>
      </c>
      <c r="I9560" s="15">
        <f t="shared" si="3"/>
        <v>7</v>
      </c>
    </row>
    <row r="9561">
      <c r="A9561" s="8" t="str">
        <f>IFERROR(__xludf.DUMMYFUNCTION("IF('(INGESTA)Datos_consumo_datadis'!A9561&lt;&gt;"""",SPLIT('(INGESTA)Datos_consumo_datadis'!A:A,"",""),"""")"),"ES0031408323131005HX0F")</f>
        <v>ES0031408323131005HX0F</v>
      </c>
      <c r="B9561" s="12">
        <f>IFERROR(__xludf.DUMMYFUNCTION("""COMPUTED_VALUE"""),45264.0)</f>
        <v>45264</v>
      </c>
      <c r="C9561" s="13">
        <f>IFERROR(__xludf.DUMMYFUNCTION("""COMPUTED_VALUE"""),0.3333333333333333)</f>
        <v>0.3333333333</v>
      </c>
      <c r="D9561" s="8">
        <f>IFERROR(__xludf.DUMMYFUNCTION("""COMPUTED_VALUE"""),0.121)</f>
        <v>0.121</v>
      </c>
      <c r="E9561" s="8" t="str">
        <f>IFERROR(__xludf.DUMMYFUNCTION("""COMPUTED_VALUE"""),"Real")</f>
        <v>Real</v>
      </c>
      <c r="G9561" s="8">
        <f t="shared" si="1"/>
        <v>12</v>
      </c>
      <c r="H9561" s="14">
        <f t="shared" si="2"/>
        <v>4</v>
      </c>
      <c r="I9561" s="15">
        <f t="shared" si="3"/>
        <v>8</v>
      </c>
    </row>
    <row r="9562">
      <c r="A9562" s="8" t="str">
        <f>IFERROR(__xludf.DUMMYFUNCTION("IF('(INGESTA)Datos_consumo_datadis'!A9562&lt;&gt;"""",SPLIT('(INGESTA)Datos_consumo_datadis'!A:A,"",""),"""")"),"ES0031408323131005HX0F")</f>
        <v>ES0031408323131005HX0F</v>
      </c>
      <c r="B9562" s="12">
        <f>IFERROR(__xludf.DUMMYFUNCTION("""COMPUTED_VALUE"""),45264.0)</f>
        <v>45264</v>
      </c>
      <c r="C9562" s="13">
        <f>IFERROR(__xludf.DUMMYFUNCTION("""COMPUTED_VALUE"""),0.375)</f>
        <v>0.375</v>
      </c>
      <c r="D9562" s="8">
        <f>IFERROR(__xludf.DUMMYFUNCTION("""COMPUTED_VALUE"""),0.033)</f>
        <v>0.033</v>
      </c>
      <c r="E9562" s="8" t="str">
        <f>IFERROR(__xludf.DUMMYFUNCTION("""COMPUTED_VALUE"""),"Real")</f>
        <v>Real</v>
      </c>
      <c r="G9562" s="8">
        <f t="shared" si="1"/>
        <v>12</v>
      </c>
      <c r="H9562" s="14">
        <f t="shared" si="2"/>
        <v>4</v>
      </c>
      <c r="I9562" s="15">
        <f t="shared" si="3"/>
        <v>9</v>
      </c>
    </row>
    <row r="9563">
      <c r="A9563" s="8" t="str">
        <f>IFERROR(__xludf.DUMMYFUNCTION("IF('(INGESTA)Datos_consumo_datadis'!A9563&lt;&gt;"""",SPLIT('(INGESTA)Datos_consumo_datadis'!A:A,"",""),"""")"),"ES0031408323131005HX0F")</f>
        <v>ES0031408323131005HX0F</v>
      </c>
      <c r="B9563" s="12">
        <f>IFERROR(__xludf.DUMMYFUNCTION("""COMPUTED_VALUE"""),45264.0)</f>
        <v>45264</v>
      </c>
      <c r="C9563" s="13">
        <f>IFERROR(__xludf.DUMMYFUNCTION("""COMPUTED_VALUE"""),0.4166666666666667)</f>
        <v>0.4166666667</v>
      </c>
      <c r="D9563" s="8">
        <f>IFERROR(__xludf.DUMMYFUNCTION("""COMPUTED_VALUE"""),0.082)</f>
        <v>0.082</v>
      </c>
      <c r="E9563" s="8" t="str">
        <f>IFERROR(__xludf.DUMMYFUNCTION("""COMPUTED_VALUE"""),"Real")</f>
        <v>Real</v>
      </c>
      <c r="G9563" s="8">
        <f t="shared" si="1"/>
        <v>12</v>
      </c>
      <c r="H9563" s="14">
        <f t="shared" si="2"/>
        <v>4</v>
      </c>
      <c r="I9563" s="15">
        <f t="shared" si="3"/>
        <v>10</v>
      </c>
    </row>
    <row r="9564">
      <c r="A9564" s="8" t="str">
        <f>IFERROR(__xludf.DUMMYFUNCTION("IF('(INGESTA)Datos_consumo_datadis'!A9564&lt;&gt;"""",SPLIT('(INGESTA)Datos_consumo_datadis'!A:A,"",""),"""")"),"ES0031408323131005HX0F")</f>
        <v>ES0031408323131005HX0F</v>
      </c>
      <c r="B9564" s="12">
        <f>IFERROR(__xludf.DUMMYFUNCTION("""COMPUTED_VALUE"""),45264.0)</f>
        <v>45264</v>
      </c>
      <c r="C9564" s="13">
        <f>IFERROR(__xludf.DUMMYFUNCTION("""COMPUTED_VALUE"""),0.4583333333333333)</f>
        <v>0.4583333333</v>
      </c>
      <c r="D9564" s="8">
        <f>IFERROR(__xludf.DUMMYFUNCTION("""COMPUTED_VALUE"""),0.055)</f>
        <v>0.055</v>
      </c>
      <c r="E9564" s="8" t="str">
        <f>IFERROR(__xludf.DUMMYFUNCTION("""COMPUTED_VALUE"""),"Real")</f>
        <v>Real</v>
      </c>
      <c r="G9564" s="8">
        <f t="shared" si="1"/>
        <v>12</v>
      </c>
      <c r="H9564" s="14">
        <f t="shared" si="2"/>
        <v>4</v>
      </c>
      <c r="I9564" s="15">
        <f t="shared" si="3"/>
        <v>11</v>
      </c>
    </row>
    <row r="9565">
      <c r="A9565" s="8" t="str">
        <f>IFERROR(__xludf.DUMMYFUNCTION("IF('(INGESTA)Datos_consumo_datadis'!A9565&lt;&gt;"""",SPLIT('(INGESTA)Datos_consumo_datadis'!A:A,"",""),"""")"),"ES0031408323131005HX0F")</f>
        <v>ES0031408323131005HX0F</v>
      </c>
      <c r="B9565" s="12">
        <f>IFERROR(__xludf.DUMMYFUNCTION("""COMPUTED_VALUE"""),45264.0)</f>
        <v>45264</v>
      </c>
      <c r="C9565" s="13">
        <f>IFERROR(__xludf.DUMMYFUNCTION("""COMPUTED_VALUE"""),0.5)</f>
        <v>0.5</v>
      </c>
      <c r="D9565" s="8">
        <f>IFERROR(__xludf.DUMMYFUNCTION("""COMPUTED_VALUE"""),0.342)</f>
        <v>0.342</v>
      </c>
      <c r="E9565" s="8" t="str">
        <f>IFERROR(__xludf.DUMMYFUNCTION("""COMPUTED_VALUE"""),"Real")</f>
        <v>Real</v>
      </c>
      <c r="G9565" s="8">
        <f t="shared" si="1"/>
        <v>12</v>
      </c>
      <c r="H9565" s="14">
        <f t="shared" si="2"/>
        <v>4</v>
      </c>
      <c r="I9565" s="15">
        <f t="shared" si="3"/>
        <v>12</v>
      </c>
    </row>
    <row r="9566">
      <c r="A9566" s="8" t="str">
        <f>IFERROR(__xludf.DUMMYFUNCTION("IF('(INGESTA)Datos_consumo_datadis'!A9566&lt;&gt;"""",SPLIT('(INGESTA)Datos_consumo_datadis'!A:A,"",""),"""")"),"ES0031408323131005HX0F")</f>
        <v>ES0031408323131005HX0F</v>
      </c>
      <c r="B9566" s="12">
        <f>IFERROR(__xludf.DUMMYFUNCTION("""COMPUTED_VALUE"""),45264.0)</f>
        <v>45264</v>
      </c>
      <c r="C9566" s="13">
        <f>IFERROR(__xludf.DUMMYFUNCTION("""COMPUTED_VALUE"""),0.5416666666666666)</f>
        <v>0.5416666667</v>
      </c>
      <c r="D9566" s="8">
        <f>IFERROR(__xludf.DUMMYFUNCTION("""COMPUTED_VALUE"""),0.082)</f>
        <v>0.082</v>
      </c>
      <c r="E9566" s="8" t="str">
        <f>IFERROR(__xludf.DUMMYFUNCTION("""COMPUTED_VALUE"""),"Real")</f>
        <v>Real</v>
      </c>
      <c r="G9566" s="8">
        <f t="shared" si="1"/>
        <v>12</v>
      </c>
      <c r="H9566" s="14">
        <f t="shared" si="2"/>
        <v>4</v>
      </c>
      <c r="I9566" s="15">
        <f t="shared" si="3"/>
        <v>13</v>
      </c>
    </row>
    <row r="9567">
      <c r="A9567" s="8" t="str">
        <f>IFERROR(__xludf.DUMMYFUNCTION("IF('(INGESTA)Datos_consumo_datadis'!A9567&lt;&gt;"""",SPLIT('(INGESTA)Datos_consumo_datadis'!A:A,"",""),"""")"),"ES0031408323131005HX0F")</f>
        <v>ES0031408323131005HX0F</v>
      </c>
      <c r="B9567" s="12">
        <f>IFERROR(__xludf.DUMMYFUNCTION("""COMPUTED_VALUE"""),45264.0)</f>
        <v>45264</v>
      </c>
      <c r="C9567" s="13">
        <f>IFERROR(__xludf.DUMMYFUNCTION("""COMPUTED_VALUE"""),0.5833333333333334)</f>
        <v>0.5833333333</v>
      </c>
      <c r="D9567" s="8">
        <f>IFERROR(__xludf.DUMMYFUNCTION("""COMPUTED_VALUE"""),0.88)</f>
        <v>0.88</v>
      </c>
      <c r="E9567" s="8" t="str">
        <f>IFERROR(__xludf.DUMMYFUNCTION("""COMPUTED_VALUE"""),"Real")</f>
        <v>Real</v>
      </c>
      <c r="G9567" s="8">
        <f t="shared" si="1"/>
        <v>12</v>
      </c>
      <c r="H9567" s="14">
        <f t="shared" si="2"/>
        <v>4</v>
      </c>
      <c r="I9567" s="15">
        <f t="shared" si="3"/>
        <v>14</v>
      </c>
    </row>
    <row r="9568">
      <c r="A9568" s="8" t="str">
        <f>IFERROR(__xludf.DUMMYFUNCTION("IF('(INGESTA)Datos_consumo_datadis'!A9568&lt;&gt;"""",SPLIT('(INGESTA)Datos_consumo_datadis'!A:A,"",""),"""")"),"ES0031408323131005HX0F")</f>
        <v>ES0031408323131005HX0F</v>
      </c>
      <c r="B9568" s="12">
        <f>IFERROR(__xludf.DUMMYFUNCTION("""COMPUTED_VALUE"""),45264.0)</f>
        <v>45264</v>
      </c>
      <c r="C9568" s="13">
        <f>IFERROR(__xludf.DUMMYFUNCTION("""COMPUTED_VALUE"""),0.625)</f>
        <v>0.625</v>
      </c>
      <c r="D9568" s="8">
        <f>IFERROR(__xludf.DUMMYFUNCTION("""COMPUTED_VALUE"""),0.085)</f>
        <v>0.085</v>
      </c>
      <c r="E9568" s="8" t="str">
        <f>IFERROR(__xludf.DUMMYFUNCTION("""COMPUTED_VALUE"""),"Real")</f>
        <v>Real</v>
      </c>
      <c r="G9568" s="8">
        <f t="shared" si="1"/>
        <v>12</v>
      </c>
      <c r="H9568" s="14">
        <f t="shared" si="2"/>
        <v>4</v>
      </c>
      <c r="I9568" s="15">
        <f t="shared" si="3"/>
        <v>15</v>
      </c>
    </row>
    <row r="9569">
      <c r="A9569" s="8" t="str">
        <f>IFERROR(__xludf.DUMMYFUNCTION("IF('(INGESTA)Datos_consumo_datadis'!A9569&lt;&gt;"""",SPLIT('(INGESTA)Datos_consumo_datadis'!A:A,"",""),"""")"),"ES0031408323131005HX0F")</f>
        <v>ES0031408323131005HX0F</v>
      </c>
      <c r="B9569" s="12">
        <f>IFERROR(__xludf.DUMMYFUNCTION("""COMPUTED_VALUE"""),45264.0)</f>
        <v>45264</v>
      </c>
      <c r="C9569" s="13">
        <f>IFERROR(__xludf.DUMMYFUNCTION("""COMPUTED_VALUE"""),0.6666666666666666)</f>
        <v>0.6666666667</v>
      </c>
      <c r="D9569" s="8">
        <f>IFERROR(__xludf.DUMMYFUNCTION("""COMPUTED_VALUE"""),0.09)</f>
        <v>0.09</v>
      </c>
      <c r="E9569" s="8" t="str">
        <f>IFERROR(__xludf.DUMMYFUNCTION("""COMPUTED_VALUE"""),"Real")</f>
        <v>Real</v>
      </c>
      <c r="G9569" s="8">
        <f t="shared" si="1"/>
        <v>12</v>
      </c>
      <c r="H9569" s="14">
        <f t="shared" si="2"/>
        <v>4</v>
      </c>
      <c r="I9569" s="15">
        <f t="shared" si="3"/>
        <v>16</v>
      </c>
    </row>
    <row r="9570">
      <c r="A9570" s="8" t="str">
        <f>IFERROR(__xludf.DUMMYFUNCTION("IF('(INGESTA)Datos_consumo_datadis'!A9570&lt;&gt;"""",SPLIT('(INGESTA)Datos_consumo_datadis'!A:A,"",""),"""")"),"ES0031408323131005HX0F")</f>
        <v>ES0031408323131005HX0F</v>
      </c>
      <c r="B9570" s="12">
        <f>IFERROR(__xludf.DUMMYFUNCTION("""COMPUTED_VALUE"""),45264.0)</f>
        <v>45264</v>
      </c>
      <c r="C9570" s="13">
        <f>IFERROR(__xludf.DUMMYFUNCTION("""COMPUTED_VALUE"""),0.7083333333333334)</f>
        <v>0.7083333333</v>
      </c>
      <c r="D9570" s="8">
        <f>IFERROR(__xludf.DUMMYFUNCTION("""COMPUTED_VALUE"""),0.351)</f>
        <v>0.351</v>
      </c>
      <c r="E9570" s="8" t="str">
        <f>IFERROR(__xludf.DUMMYFUNCTION("""COMPUTED_VALUE"""),"Real")</f>
        <v>Real</v>
      </c>
      <c r="G9570" s="8">
        <f t="shared" si="1"/>
        <v>12</v>
      </c>
      <c r="H9570" s="14">
        <f t="shared" si="2"/>
        <v>4</v>
      </c>
      <c r="I9570" s="15">
        <f t="shared" si="3"/>
        <v>17</v>
      </c>
    </row>
    <row r="9571">
      <c r="A9571" s="8" t="str">
        <f>IFERROR(__xludf.DUMMYFUNCTION("IF('(INGESTA)Datos_consumo_datadis'!A9571&lt;&gt;"""",SPLIT('(INGESTA)Datos_consumo_datadis'!A:A,"",""),"""")"),"ES0031408323131005HX0F")</f>
        <v>ES0031408323131005HX0F</v>
      </c>
      <c r="B9571" s="12">
        <f>IFERROR(__xludf.DUMMYFUNCTION("""COMPUTED_VALUE"""),45264.0)</f>
        <v>45264</v>
      </c>
      <c r="C9571" s="13">
        <f>IFERROR(__xludf.DUMMYFUNCTION("""COMPUTED_VALUE"""),0.75)</f>
        <v>0.75</v>
      </c>
      <c r="D9571" s="8">
        <f>IFERROR(__xludf.DUMMYFUNCTION("""COMPUTED_VALUE"""),0.08)</f>
        <v>0.08</v>
      </c>
      <c r="E9571" s="8" t="str">
        <f>IFERROR(__xludf.DUMMYFUNCTION("""COMPUTED_VALUE"""),"Real")</f>
        <v>Real</v>
      </c>
      <c r="G9571" s="8">
        <f t="shared" si="1"/>
        <v>12</v>
      </c>
      <c r="H9571" s="14">
        <f t="shared" si="2"/>
        <v>4</v>
      </c>
      <c r="I9571" s="15">
        <f t="shared" si="3"/>
        <v>18</v>
      </c>
    </row>
    <row r="9572">
      <c r="A9572" s="8" t="str">
        <f>IFERROR(__xludf.DUMMYFUNCTION("IF('(INGESTA)Datos_consumo_datadis'!A9572&lt;&gt;"""",SPLIT('(INGESTA)Datos_consumo_datadis'!A:A,"",""),"""")"),"ES0031408323131005HX0F")</f>
        <v>ES0031408323131005HX0F</v>
      </c>
      <c r="B9572" s="12">
        <f>IFERROR(__xludf.DUMMYFUNCTION("""COMPUTED_VALUE"""),45264.0)</f>
        <v>45264</v>
      </c>
      <c r="C9572" s="13">
        <f>IFERROR(__xludf.DUMMYFUNCTION("""COMPUTED_VALUE"""),0.7916666666666666)</f>
        <v>0.7916666667</v>
      </c>
      <c r="D9572" s="8">
        <f>IFERROR(__xludf.DUMMYFUNCTION("""COMPUTED_VALUE"""),0.054)</f>
        <v>0.054</v>
      </c>
      <c r="E9572" s="8" t="str">
        <f>IFERROR(__xludf.DUMMYFUNCTION("""COMPUTED_VALUE"""),"Real")</f>
        <v>Real</v>
      </c>
      <c r="G9572" s="8">
        <f t="shared" si="1"/>
        <v>12</v>
      </c>
      <c r="H9572" s="14">
        <f t="shared" si="2"/>
        <v>4</v>
      </c>
      <c r="I9572" s="15">
        <f t="shared" si="3"/>
        <v>19</v>
      </c>
    </row>
    <row r="9573">
      <c r="A9573" s="8" t="str">
        <f>IFERROR(__xludf.DUMMYFUNCTION("IF('(INGESTA)Datos_consumo_datadis'!A9573&lt;&gt;"""",SPLIT('(INGESTA)Datos_consumo_datadis'!A:A,"",""),"""")"),"ES0031408323131005HX0F")</f>
        <v>ES0031408323131005HX0F</v>
      </c>
      <c r="B9573" s="12">
        <f>IFERROR(__xludf.DUMMYFUNCTION("""COMPUTED_VALUE"""),45264.0)</f>
        <v>45264</v>
      </c>
      <c r="C9573" s="13">
        <f>IFERROR(__xludf.DUMMYFUNCTION("""COMPUTED_VALUE"""),0.8333333333333334)</f>
        <v>0.8333333333</v>
      </c>
      <c r="D9573" s="8">
        <f>IFERROR(__xludf.DUMMYFUNCTION("""COMPUTED_VALUE"""),0.065)</f>
        <v>0.065</v>
      </c>
      <c r="E9573" s="8" t="str">
        <f>IFERROR(__xludf.DUMMYFUNCTION("""COMPUTED_VALUE"""),"Real")</f>
        <v>Real</v>
      </c>
      <c r="G9573" s="8">
        <f t="shared" si="1"/>
        <v>12</v>
      </c>
      <c r="H9573" s="14">
        <f t="shared" si="2"/>
        <v>4</v>
      </c>
      <c r="I9573" s="15">
        <f t="shared" si="3"/>
        <v>20</v>
      </c>
    </row>
    <row r="9574">
      <c r="A9574" s="8" t="str">
        <f>IFERROR(__xludf.DUMMYFUNCTION("IF('(INGESTA)Datos_consumo_datadis'!A9574&lt;&gt;"""",SPLIT('(INGESTA)Datos_consumo_datadis'!A:A,"",""),"""")"),"ES0031408323131005HX0F")</f>
        <v>ES0031408323131005HX0F</v>
      </c>
      <c r="B9574" s="12">
        <f>IFERROR(__xludf.DUMMYFUNCTION("""COMPUTED_VALUE"""),45264.0)</f>
        <v>45264</v>
      </c>
      <c r="C9574" s="13">
        <f>IFERROR(__xludf.DUMMYFUNCTION("""COMPUTED_VALUE"""),0.875)</f>
        <v>0.875</v>
      </c>
      <c r="D9574" s="8">
        <f>IFERROR(__xludf.DUMMYFUNCTION("""COMPUTED_VALUE"""),0.085)</f>
        <v>0.085</v>
      </c>
      <c r="E9574" s="8" t="str">
        <f>IFERROR(__xludf.DUMMYFUNCTION("""COMPUTED_VALUE"""),"Real")</f>
        <v>Real</v>
      </c>
      <c r="G9574" s="8">
        <f t="shared" si="1"/>
        <v>12</v>
      </c>
      <c r="H9574" s="14">
        <f t="shared" si="2"/>
        <v>4</v>
      </c>
      <c r="I9574" s="15">
        <f t="shared" si="3"/>
        <v>21</v>
      </c>
    </row>
    <row r="9575">
      <c r="A9575" s="8" t="str">
        <f>IFERROR(__xludf.DUMMYFUNCTION("IF('(INGESTA)Datos_consumo_datadis'!A9575&lt;&gt;"""",SPLIT('(INGESTA)Datos_consumo_datadis'!A:A,"",""),"""")"),"ES0031408323131005HX0F")</f>
        <v>ES0031408323131005HX0F</v>
      </c>
      <c r="B9575" s="12">
        <f>IFERROR(__xludf.DUMMYFUNCTION("""COMPUTED_VALUE"""),45264.0)</f>
        <v>45264</v>
      </c>
      <c r="C9575" s="13">
        <f>IFERROR(__xludf.DUMMYFUNCTION("""COMPUTED_VALUE"""),0.9166666666666666)</f>
        <v>0.9166666667</v>
      </c>
      <c r="D9575" s="8">
        <f>IFERROR(__xludf.DUMMYFUNCTION("""COMPUTED_VALUE"""),1.92)</f>
        <v>1.92</v>
      </c>
      <c r="E9575" s="8" t="str">
        <f>IFERROR(__xludf.DUMMYFUNCTION("""COMPUTED_VALUE"""),"Real")</f>
        <v>Real</v>
      </c>
      <c r="G9575" s="8">
        <f t="shared" si="1"/>
        <v>12</v>
      </c>
      <c r="H9575" s="14">
        <f t="shared" si="2"/>
        <v>4</v>
      </c>
      <c r="I9575" s="15">
        <f t="shared" si="3"/>
        <v>22</v>
      </c>
    </row>
    <row r="9576">
      <c r="A9576" s="8" t="str">
        <f>IFERROR(__xludf.DUMMYFUNCTION("IF('(INGESTA)Datos_consumo_datadis'!A9576&lt;&gt;"""",SPLIT('(INGESTA)Datos_consumo_datadis'!A:A,"",""),"""")"),"ES0031408323131005HX0F")</f>
        <v>ES0031408323131005HX0F</v>
      </c>
      <c r="B9576" s="12">
        <f>IFERROR(__xludf.DUMMYFUNCTION("""COMPUTED_VALUE"""),45264.0)</f>
        <v>45264</v>
      </c>
      <c r="C9576" s="13">
        <f>IFERROR(__xludf.DUMMYFUNCTION("""COMPUTED_VALUE"""),0.9583333333333334)</f>
        <v>0.9583333333</v>
      </c>
      <c r="D9576" s="8">
        <f>IFERROR(__xludf.DUMMYFUNCTION("""COMPUTED_VALUE"""),0.463)</f>
        <v>0.463</v>
      </c>
      <c r="E9576" s="8" t="str">
        <f>IFERROR(__xludf.DUMMYFUNCTION("""COMPUTED_VALUE"""),"Real")</f>
        <v>Real</v>
      </c>
      <c r="G9576" s="8">
        <f t="shared" si="1"/>
        <v>12</v>
      </c>
      <c r="H9576" s="14">
        <f t="shared" si="2"/>
        <v>4</v>
      </c>
      <c r="I9576" s="15">
        <f t="shared" si="3"/>
        <v>23</v>
      </c>
    </row>
    <row r="9577">
      <c r="A9577" s="8" t="str">
        <f>IFERROR(__xludf.DUMMYFUNCTION("IF('(INGESTA)Datos_consumo_datadis'!A9577&lt;&gt;"""",SPLIT('(INGESTA)Datos_consumo_datadis'!A:A,"",""),"""")"),"ES0031408323131005HX0F")</f>
        <v>ES0031408323131005HX0F</v>
      </c>
      <c r="B9577" s="12">
        <f>IFERROR(__xludf.DUMMYFUNCTION("""COMPUTED_VALUE"""),45264.0)</f>
        <v>45264</v>
      </c>
      <c r="C9577" s="16">
        <f>IFERROR(__xludf.DUMMYFUNCTION("""COMPUTED_VALUE"""),1.0)</f>
        <v>1</v>
      </c>
      <c r="D9577" s="8">
        <f>IFERROR(__xludf.DUMMYFUNCTION("""COMPUTED_VALUE"""),0.466)</f>
        <v>0.466</v>
      </c>
      <c r="E9577" s="8" t="str">
        <f>IFERROR(__xludf.DUMMYFUNCTION("""COMPUTED_VALUE"""),"Real")</f>
        <v>Real</v>
      </c>
      <c r="G9577" s="8">
        <f t="shared" si="1"/>
        <v>12</v>
      </c>
      <c r="H9577" s="14">
        <f t="shared" si="2"/>
        <v>4</v>
      </c>
      <c r="I9577" s="15">
        <f t="shared" si="3"/>
        <v>0</v>
      </c>
    </row>
    <row r="9578">
      <c r="A9578" s="8" t="str">
        <f>IFERROR(__xludf.DUMMYFUNCTION("IF('(INGESTA)Datos_consumo_datadis'!A9578&lt;&gt;"""",SPLIT('(INGESTA)Datos_consumo_datadis'!A:A,"",""),"""")"),"ES0031408323131005HX0F")</f>
        <v>ES0031408323131005HX0F</v>
      </c>
      <c r="B9578" s="12">
        <f>IFERROR(__xludf.DUMMYFUNCTION("""COMPUTED_VALUE"""),45265.0)</f>
        <v>45265</v>
      </c>
      <c r="C9578" s="13">
        <f>IFERROR(__xludf.DUMMYFUNCTION("""COMPUTED_VALUE"""),0.041666666666666664)</f>
        <v>0.04166666667</v>
      </c>
      <c r="D9578" s="8">
        <f>IFERROR(__xludf.DUMMYFUNCTION("""COMPUTED_VALUE"""),0.494)</f>
        <v>0.494</v>
      </c>
      <c r="E9578" s="8" t="str">
        <f>IFERROR(__xludf.DUMMYFUNCTION("""COMPUTED_VALUE"""),"Real")</f>
        <v>Real</v>
      </c>
      <c r="G9578" s="8">
        <f t="shared" si="1"/>
        <v>12</v>
      </c>
      <c r="H9578" s="14">
        <f t="shared" si="2"/>
        <v>5</v>
      </c>
      <c r="I9578" s="15">
        <f t="shared" si="3"/>
        <v>1</v>
      </c>
    </row>
    <row r="9579">
      <c r="A9579" s="8" t="str">
        <f>IFERROR(__xludf.DUMMYFUNCTION("IF('(INGESTA)Datos_consumo_datadis'!A9579&lt;&gt;"""",SPLIT('(INGESTA)Datos_consumo_datadis'!A:A,"",""),"""")"),"ES0031408323131005HX0F")</f>
        <v>ES0031408323131005HX0F</v>
      </c>
      <c r="B9579" s="12">
        <f>IFERROR(__xludf.DUMMYFUNCTION("""COMPUTED_VALUE"""),45265.0)</f>
        <v>45265</v>
      </c>
      <c r="C9579" s="13">
        <f>IFERROR(__xludf.DUMMYFUNCTION("""COMPUTED_VALUE"""),0.08333333333333333)</f>
        <v>0.08333333333</v>
      </c>
      <c r="D9579" s="8">
        <f>IFERROR(__xludf.DUMMYFUNCTION("""COMPUTED_VALUE"""),0.122)</f>
        <v>0.122</v>
      </c>
      <c r="E9579" s="8" t="str">
        <f>IFERROR(__xludf.DUMMYFUNCTION("""COMPUTED_VALUE"""),"Real")</f>
        <v>Real</v>
      </c>
      <c r="G9579" s="8">
        <f t="shared" si="1"/>
        <v>12</v>
      </c>
      <c r="H9579" s="14">
        <f t="shared" si="2"/>
        <v>5</v>
      </c>
      <c r="I9579" s="15">
        <f t="shared" si="3"/>
        <v>2</v>
      </c>
    </row>
    <row r="9580">
      <c r="A9580" s="8" t="str">
        <f>IFERROR(__xludf.DUMMYFUNCTION("IF('(INGESTA)Datos_consumo_datadis'!A9580&lt;&gt;"""",SPLIT('(INGESTA)Datos_consumo_datadis'!A:A,"",""),"""")"),"ES0031408323131005HX0F")</f>
        <v>ES0031408323131005HX0F</v>
      </c>
      <c r="B9580" s="12">
        <f>IFERROR(__xludf.DUMMYFUNCTION("""COMPUTED_VALUE"""),45265.0)</f>
        <v>45265</v>
      </c>
      <c r="C9580" s="13">
        <f>IFERROR(__xludf.DUMMYFUNCTION("""COMPUTED_VALUE"""),0.125)</f>
        <v>0.125</v>
      </c>
      <c r="D9580" s="8">
        <f>IFERROR(__xludf.DUMMYFUNCTION("""COMPUTED_VALUE"""),0.1)</f>
        <v>0.1</v>
      </c>
      <c r="E9580" s="8" t="str">
        <f>IFERROR(__xludf.DUMMYFUNCTION("""COMPUTED_VALUE"""),"Real")</f>
        <v>Real</v>
      </c>
      <c r="G9580" s="8">
        <f t="shared" si="1"/>
        <v>12</v>
      </c>
      <c r="H9580" s="14">
        <f t="shared" si="2"/>
        <v>5</v>
      </c>
      <c r="I9580" s="15">
        <f t="shared" si="3"/>
        <v>3</v>
      </c>
    </row>
    <row r="9581">
      <c r="A9581" s="8" t="str">
        <f>IFERROR(__xludf.DUMMYFUNCTION("IF('(INGESTA)Datos_consumo_datadis'!A9581&lt;&gt;"""",SPLIT('(INGESTA)Datos_consumo_datadis'!A:A,"",""),"""")"),"ES0031408323131005HX0F")</f>
        <v>ES0031408323131005HX0F</v>
      </c>
      <c r="B9581" s="12">
        <f>IFERROR(__xludf.DUMMYFUNCTION("""COMPUTED_VALUE"""),45265.0)</f>
        <v>45265</v>
      </c>
      <c r="C9581" s="13">
        <f>IFERROR(__xludf.DUMMYFUNCTION("""COMPUTED_VALUE"""),0.16666666666666666)</f>
        <v>0.1666666667</v>
      </c>
      <c r="D9581" s="8">
        <f>IFERROR(__xludf.DUMMYFUNCTION("""COMPUTED_VALUE"""),0.106)</f>
        <v>0.106</v>
      </c>
      <c r="E9581" s="8" t="str">
        <f>IFERROR(__xludf.DUMMYFUNCTION("""COMPUTED_VALUE"""),"Real")</f>
        <v>Real</v>
      </c>
      <c r="G9581" s="8">
        <f t="shared" si="1"/>
        <v>12</v>
      </c>
      <c r="H9581" s="14">
        <f t="shared" si="2"/>
        <v>5</v>
      </c>
      <c r="I9581" s="15">
        <f t="shared" si="3"/>
        <v>4</v>
      </c>
    </row>
    <row r="9582">
      <c r="A9582" s="8" t="str">
        <f>IFERROR(__xludf.DUMMYFUNCTION("IF('(INGESTA)Datos_consumo_datadis'!A9582&lt;&gt;"""",SPLIT('(INGESTA)Datos_consumo_datadis'!A:A,"",""),"""")"),"ES0031408323131005HX0F")</f>
        <v>ES0031408323131005HX0F</v>
      </c>
      <c r="B9582" s="12">
        <f>IFERROR(__xludf.DUMMYFUNCTION("""COMPUTED_VALUE"""),45265.0)</f>
        <v>45265</v>
      </c>
      <c r="C9582" s="13">
        <f>IFERROR(__xludf.DUMMYFUNCTION("""COMPUTED_VALUE"""),0.20833333333333334)</f>
        <v>0.2083333333</v>
      </c>
      <c r="D9582" s="8">
        <f>IFERROR(__xludf.DUMMYFUNCTION("""COMPUTED_VALUE"""),0.356)</f>
        <v>0.356</v>
      </c>
      <c r="E9582" s="8" t="str">
        <f>IFERROR(__xludf.DUMMYFUNCTION("""COMPUTED_VALUE"""),"Real")</f>
        <v>Real</v>
      </c>
      <c r="G9582" s="8">
        <f t="shared" si="1"/>
        <v>12</v>
      </c>
      <c r="H9582" s="14">
        <f t="shared" si="2"/>
        <v>5</v>
      </c>
      <c r="I9582" s="15">
        <f t="shared" si="3"/>
        <v>5</v>
      </c>
    </row>
    <row r="9583">
      <c r="A9583" s="8" t="str">
        <f>IFERROR(__xludf.DUMMYFUNCTION("IF('(INGESTA)Datos_consumo_datadis'!A9583&lt;&gt;"""",SPLIT('(INGESTA)Datos_consumo_datadis'!A:A,"",""),"""")"),"ES0031408323131005HX0F")</f>
        <v>ES0031408323131005HX0F</v>
      </c>
      <c r="B9583" s="12">
        <f>IFERROR(__xludf.DUMMYFUNCTION("""COMPUTED_VALUE"""),45265.0)</f>
        <v>45265</v>
      </c>
      <c r="C9583" s="13">
        <f>IFERROR(__xludf.DUMMYFUNCTION("""COMPUTED_VALUE"""),0.25)</f>
        <v>0.25</v>
      </c>
      <c r="D9583" s="8">
        <f>IFERROR(__xludf.DUMMYFUNCTION("""COMPUTED_VALUE"""),0.076)</f>
        <v>0.076</v>
      </c>
      <c r="E9583" s="8" t="str">
        <f>IFERROR(__xludf.DUMMYFUNCTION("""COMPUTED_VALUE"""),"Real")</f>
        <v>Real</v>
      </c>
      <c r="G9583" s="8">
        <f t="shared" si="1"/>
        <v>12</v>
      </c>
      <c r="H9583" s="14">
        <f t="shared" si="2"/>
        <v>5</v>
      </c>
      <c r="I9583" s="15">
        <f t="shared" si="3"/>
        <v>6</v>
      </c>
    </row>
    <row r="9584">
      <c r="A9584" s="8" t="str">
        <f>IFERROR(__xludf.DUMMYFUNCTION("IF('(INGESTA)Datos_consumo_datadis'!A9584&lt;&gt;"""",SPLIT('(INGESTA)Datos_consumo_datadis'!A:A,"",""),"""")"),"ES0031408323131005HX0F")</f>
        <v>ES0031408323131005HX0F</v>
      </c>
      <c r="B9584" s="12">
        <f>IFERROR(__xludf.DUMMYFUNCTION("""COMPUTED_VALUE"""),45265.0)</f>
        <v>45265</v>
      </c>
      <c r="C9584" s="13">
        <f>IFERROR(__xludf.DUMMYFUNCTION("""COMPUTED_VALUE"""),0.2916666666666667)</f>
        <v>0.2916666667</v>
      </c>
      <c r="D9584" s="8">
        <f>IFERROR(__xludf.DUMMYFUNCTION("""COMPUTED_VALUE"""),0.036)</f>
        <v>0.036</v>
      </c>
      <c r="E9584" s="8" t="str">
        <f>IFERROR(__xludf.DUMMYFUNCTION("""COMPUTED_VALUE"""),"Real")</f>
        <v>Real</v>
      </c>
      <c r="G9584" s="8">
        <f t="shared" si="1"/>
        <v>12</v>
      </c>
      <c r="H9584" s="14">
        <f t="shared" si="2"/>
        <v>5</v>
      </c>
      <c r="I9584" s="15">
        <f t="shared" si="3"/>
        <v>7</v>
      </c>
    </row>
    <row r="9585">
      <c r="A9585" s="8" t="str">
        <f>IFERROR(__xludf.DUMMYFUNCTION("IF('(INGESTA)Datos_consumo_datadis'!A9585&lt;&gt;"""",SPLIT('(INGESTA)Datos_consumo_datadis'!A:A,"",""),"""")"),"ES0031408323131005HX0F")</f>
        <v>ES0031408323131005HX0F</v>
      </c>
      <c r="B9585" s="12">
        <f>IFERROR(__xludf.DUMMYFUNCTION("""COMPUTED_VALUE"""),45265.0)</f>
        <v>45265</v>
      </c>
      <c r="C9585" s="13">
        <f>IFERROR(__xludf.DUMMYFUNCTION("""COMPUTED_VALUE"""),0.3333333333333333)</f>
        <v>0.3333333333</v>
      </c>
      <c r="D9585" s="8">
        <f>IFERROR(__xludf.DUMMYFUNCTION("""COMPUTED_VALUE"""),0.097)</f>
        <v>0.097</v>
      </c>
      <c r="E9585" s="8" t="str">
        <f>IFERROR(__xludf.DUMMYFUNCTION("""COMPUTED_VALUE"""),"Real")</f>
        <v>Real</v>
      </c>
      <c r="G9585" s="8">
        <f t="shared" si="1"/>
        <v>12</v>
      </c>
      <c r="H9585" s="14">
        <f t="shared" si="2"/>
        <v>5</v>
      </c>
      <c r="I9585" s="15">
        <f t="shared" si="3"/>
        <v>8</v>
      </c>
    </row>
    <row r="9586">
      <c r="A9586" s="8" t="str">
        <f>IFERROR(__xludf.DUMMYFUNCTION("IF('(INGESTA)Datos_consumo_datadis'!A9586&lt;&gt;"""",SPLIT('(INGESTA)Datos_consumo_datadis'!A:A,"",""),"""")"),"ES0031408323131005HX0F")</f>
        <v>ES0031408323131005HX0F</v>
      </c>
      <c r="B9586" s="12">
        <f>IFERROR(__xludf.DUMMYFUNCTION("""COMPUTED_VALUE"""),45265.0)</f>
        <v>45265</v>
      </c>
      <c r="C9586" s="13">
        <f>IFERROR(__xludf.DUMMYFUNCTION("""COMPUTED_VALUE"""),0.375)</f>
        <v>0.375</v>
      </c>
      <c r="D9586" s="8">
        <f>IFERROR(__xludf.DUMMYFUNCTION("""COMPUTED_VALUE"""),0.072)</f>
        <v>0.072</v>
      </c>
      <c r="E9586" s="8" t="str">
        <f>IFERROR(__xludf.DUMMYFUNCTION("""COMPUTED_VALUE"""),"Real")</f>
        <v>Real</v>
      </c>
      <c r="G9586" s="8">
        <f t="shared" si="1"/>
        <v>12</v>
      </c>
      <c r="H9586" s="14">
        <f t="shared" si="2"/>
        <v>5</v>
      </c>
      <c r="I9586" s="15">
        <f t="shared" si="3"/>
        <v>9</v>
      </c>
    </row>
    <row r="9587">
      <c r="A9587" s="8" t="str">
        <f>IFERROR(__xludf.DUMMYFUNCTION("IF('(INGESTA)Datos_consumo_datadis'!A9587&lt;&gt;"""",SPLIT('(INGESTA)Datos_consumo_datadis'!A:A,"",""),"""")"),"ES0031408323131005HX0F")</f>
        <v>ES0031408323131005HX0F</v>
      </c>
      <c r="B9587" s="12">
        <f>IFERROR(__xludf.DUMMYFUNCTION("""COMPUTED_VALUE"""),45265.0)</f>
        <v>45265</v>
      </c>
      <c r="C9587" s="13">
        <f>IFERROR(__xludf.DUMMYFUNCTION("""COMPUTED_VALUE"""),0.4166666666666667)</f>
        <v>0.4166666667</v>
      </c>
      <c r="D9587" s="8">
        <f>IFERROR(__xludf.DUMMYFUNCTION("""COMPUTED_VALUE"""),0.279)</f>
        <v>0.279</v>
      </c>
      <c r="E9587" s="8" t="str">
        <f>IFERROR(__xludf.DUMMYFUNCTION("""COMPUTED_VALUE"""),"Real")</f>
        <v>Real</v>
      </c>
      <c r="G9587" s="8">
        <f t="shared" si="1"/>
        <v>12</v>
      </c>
      <c r="H9587" s="14">
        <f t="shared" si="2"/>
        <v>5</v>
      </c>
      <c r="I9587" s="15">
        <f t="shared" si="3"/>
        <v>10</v>
      </c>
    </row>
    <row r="9588">
      <c r="A9588" s="8" t="str">
        <f>IFERROR(__xludf.DUMMYFUNCTION("IF('(INGESTA)Datos_consumo_datadis'!A9588&lt;&gt;"""",SPLIT('(INGESTA)Datos_consumo_datadis'!A:A,"",""),"""")"),"ES0031408323131005HX0F")</f>
        <v>ES0031408323131005HX0F</v>
      </c>
      <c r="B9588" s="12">
        <f>IFERROR(__xludf.DUMMYFUNCTION("""COMPUTED_VALUE"""),45265.0)</f>
        <v>45265</v>
      </c>
      <c r="C9588" s="13">
        <f>IFERROR(__xludf.DUMMYFUNCTION("""COMPUTED_VALUE"""),0.4583333333333333)</f>
        <v>0.4583333333</v>
      </c>
      <c r="D9588" s="8">
        <f>IFERROR(__xludf.DUMMYFUNCTION("""COMPUTED_VALUE"""),0.112)</f>
        <v>0.112</v>
      </c>
      <c r="E9588" s="8" t="str">
        <f>IFERROR(__xludf.DUMMYFUNCTION("""COMPUTED_VALUE"""),"Real")</f>
        <v>Real</v>
      </c>
      <c r="G9588" s="8">
        <f t="shared" si="1"/>
        <v>12</v>
      </c>
      <c r="H9588" s="14">
        <f t="shared" si="2"/>
        <v>5</v>
      </c>
      <c r="I9588" s="15">
        <f t="shared" si="3"/>
        <v>11</v>
      </c>
    </row>
    <row r="9589">
      <c r="A9589" s="8" t="str">
        <f>IFERROR(__xludf.DUMMYFUNCTION("IF('(INGESTA)Datos_consumo_datadis'!A9589&lt;&gt;"""",SPLIT('(INGESTA)Datos_consumo_datadis'!A:A,"",""),"""")"),"ES0031408323131005HX0F")</f>
        <v>ES0031408323131005HX0F</v>
      </c>
      <c r="B9589" s="12">
        <f>IFERROR(__xludf.DUMMYFUNCTION("""COMPUTED_VALUE"""),45265.0)</f>
        <v>45265</v>
      </c>
      <c r="C9589" s="13">
        <f>IFERROR(__xludf.DUMMYFUNCTION("""COMPUTED_VALUE"""),0.5)</f>
        <v>0.5</v>
      </c>
      <c r="D9589" s="8">
        <f>IFERROR(__xludf.DUMMYFUNCTION("""COMPUTED_VALUE"""),0.065)</f>
        <v>0.065</v>
      </c>
      <c r="E9589" s="8" t="str">
        <f>IFERROR(__xludf.DUMMYFUNCTION("""COMPUTED_VALUE"""),"Real")</f>
        <v>Real</v>
      </c>
      <c r="G9589" s="8">
        <f t="shared" si="1"/>
        <v>12</v>
      </c>
      <c r="H9589" s="14">
        <f t="shared" si="2"/>
        <v>5</v>
      </c>
      <c r="I9589" s="15">
        <f t="shared" si="3"/>
        <v>12</v>
      </c>
    </row>
    <row r="9590">
      <c r="A9590" s="8" t="str">
        <f>IFERROR(__xludf.DUMMYFUNCTION("IF('(INGESTA)Datos_consumo_datadis'!A9590&lt;&gt;"""",SPLIT('(INGESTA)Datos_consumo_datadis'!A:A,"",""),"""")"),"ES0031408323131005HX0F")</f>
        <v>ES0031408323131005HX0F</v>
      </c>
      <c r="B9590" s="12">
        <f>IFERROR(__xludf.DUMMYFUNCTION("""COMPUTED_VALUE"""),45265.0)</f>
        <v>45265</v>
      </c>
      <c r="C9590" s="13">
        <f>IFERROR(__xludf.DUMMYFUNCTION("""COMPUTED_VALUE"""),0.5416666666666666)</f>
        <v>0.5416666667</v>
      </c>
      <c r="D9590" s="8">
        <f>IFERROR(__xludf.DUMMYFUNCTION("""COMPUTED_VALUE"""),0.022)</f>
        <v>0.022</v>
      </c>
      <c r="E9590" s="8" t="str">
        <f>IFERROR(__xludf.DUMMYFUNCTION("""COMPUTED_VALUE"""),"Real")</f>
        <v>Real</v>
      </c>
      <c r="G9590" s="8">
        <f t="shared" si="1"/>
        <v>12</v>
      </c>
      <c r="H9590" s="14">
        <f t="shared" si="2"/>
        <v>5</v>
      </c>
      <c r="I9590" s="15">
        <f t="shared" si="3"/>
        <v>13</v>
      </c>
    </row>
    <row r="9591">
      <c r="A9591" s="8" t="str">
        <f>IFERROR(__xludf.DUMMYFUNCTION("IF('(INGESTA)Datos_consumo_datadis'!A9591&lt;&gt;"""",SPLIT('(INGESTA)Datos_consumo_datadis'!A:A,"",""),"""")"),"ES0031408323131005HX0F")</f>
        <v>ES0031408323131005HX0F</v>
      </c>
      <c r="B9591" s="12">
        <f>IFERROR(__xludf.DUMMYFUNCTION("""COMPUTED_VALUE"""),45265.0)</f>
        <v>45265</v>
      </c>
      <c r="C9591" s="13">
        <f>IFERROR(__xludf.DUMMYFUNCTION("""COMPUTED_VALUE"""),0.5833333333333334)</f>
        <v>0.5833333333</v>
      </c>
      <c r="D9591" s="8">
        <f>IFERROR(__xludf.DUMMYFUNCTION("""COMPUTED_VALUE"""),0.092)</f>
        <v>0.092</v>
      </c>
      <c r="E9591" s="8" t="str">
        <f>IFERROR(__xludf.DUMMYFUNCTION("""COMPUTED_VALUE"""),"Real")</f>
        <v>Real</v>
      </c>
      <c r="G9591" s="8">
        <f t="shared" si="1"/>
        <v>12</v>
      </c>
      <c r="H9591" s="14">
        <f t="shared" si="2"/>
        <v>5</v>
      </c>
      <c r="I9591" s="15">
        <f t="shared" si="3"/>
        <v>14</v>
      </c>
    </row>
    <row r="9592">
      <c r="A9592" s="8" t="str">
        <f>IFERROR(__xludf.DUMMYFUNCTION("IF('(INGESTA)Datos_consumo_datadis'!A9592&lt;&gt;"""",SPLIT('(INGESTA)Datos_consumo_datadis'!A:A,"",""),"""")"),"ES0031408323131005HX0F")</f>
        <v>ES0031408323131005HX0F</v>
      </c>
      <c r="B9592" s="12">
        <f>IFERROR(__xludf.DUMMYFUNCTION("""COMPUTED_VALUE"""),45265.0)</f>
        <v>45265</v>
      </c>
      <c r="C9592" s="13">
        <f>IFERROR(__xludf.DUMMYFUNCTION("""COMPUTED_VALUE"""),0.625)</f>
        <v>0.625</v>
      </c>
      <c r="D9592" s="8">
        <f>IFERROR(__xludf.DUMMYFUNCTION("""COMPUTED_VALUE"""),0.44)</f>
        <v>0.44</v>
      </c>
      <c r="E9592" s="8" t="str">
        <f>IFERROR(__xludf.DUMMYFUNCTION("""COMPUTED_VALUE"""),"Real")</f>
        <v>Real</v>
      </c>
      <c r="G9592" s="8">
        <f t="shared" si="1"/>
        <v>12</v>
      </c>
      <c r="H9592" s="14">
        <f t="shared" si="2"/>
        <v>5</v>
      </c>
      <c r="I9592" s="15">
        <f t="shared" si="3"/>
        <v>15</v>
      </c>
    </row>
    <row r="9593">
      <c r="A9593" s="8" t="str">
        <f>IFERROR(__xludf.DUMMYFUNCTION("IF('(INGESTA)Datos_consumo_datadis'!A9593&lt;&gt;"""",SPLIT('(INGESTA)Datos_consumo_datadis'!A:A,"",""),"""")"),"ES0031408323131005HX0F")</f>
        <v>ES0031408323131005HX0F</v>
      </c>
      <c r="B9593" s="12">
        <f>IFERROR(__xludf.DUMMYFUNCTION("""COMPUTED_VALUE"""),45265.0)</f>
        <v>45265</v>
      </c>
      <c r="C9593" s="13">
        <f>IFERROR(__xludf.DUMMYFUNCTION("""COMPUTED_VALUE"""),0.6666666666666666)</f>
        <v>0.6666666667</v>
      </c>
      <c r="D9593" s="8">
        <f>IFERROR(__xludf.DUMMYFUNCTION("""COMPUTED_VALUE"""),0.263)</f>
        <v>0.263</v>
      </c>
      <c r="E9593" s="8" t="str">
        <f>IFERROR(__xludf.DUMMYFUNCTION("""COMPUTED_VALUE"""),"Real")</f>
        <v>Real</v>
      </c>
      <c r="G9593" s="8">
        <f t="shared" si="1"/>
        <v>12</v>
      </c>
      <c r="H9593" s="14">
        <f t="shared" si="2"/>
        <v>5</v>
      </c>
      <c r="I9593" s="15">
        <f t="shared" si="3"/>
        <v>16</v>
      </c>
    </row>
    <row r="9594">
      <c r="A9594" s="8" t="str">
        <f>IFERROR(__xludf.DUMMYFUNCTION("IF('(INGESTA)Datos_consumo_datadis'!A9594&lt;&gt;"""",SPLIT('(INGESTA)Datos_consumo_datadis'!A:A,"",""),"""")"),"ES0031408323131005HX0F")</f>
        <v>ES0031408323131005HX0F</v>
      </c>
      <c r="B9594" s="12">
        <f>IFERROR(__xludf.DUMMYFUNCTION("""COMPUTED_VALUE"""),45265.0)</f>
        <v>45265</v>
      </c>
      <c r="C9594" s="13">
        <f>IFERROR(__xludf.DUMMYFUNCTION("""COMPUTED_VALUE"""),0.7083333333333334)</f>
        <v>0.7083333333</v>
      </c>
      <c r="D9594" s="8">
        <f>IFERROR(__xludf.DUMMYFUNCTION("""COMPUTED_VALUE"""),1.14)</f>
        <v>1.14</v>
      </c>
      <c r="E9594" s="8" t="str">
        <f>IFERROR(__xludf.DUMMYFUNCTION("""COMPUTED_VALUE"""),"Real")</f>
        <v>Real</v>
      </c>
      <c r="G9594" s="8">
        <f t="shared" si="1"/>
        <v>12</v>
      </c>
      <c r="H9594" s="14">
        <f t="shared" si="2"/>
        <v>5</v>
      </c>
      <c r="I9594" s="15">
        <f t="shared" si="3"/>
        <v>17</v>
      </c>
    </row>
    <row r="9595">
      <c r="A9595" s="8" t="str">
        <f>IFERROR(__xludf.DUMMYFUNCTION("IF('(INGESTA)Datos_consumo_datadis'!A9595&lt;&gt;"""",SPLIT('(INGESTA)Datos_consumo_datadis'!A:A,"",""),"""")"),"ES0031408323131005HX0F")</f>
        <v>ES0031408323131005HX0F</v>
      </c>
      <c r="B9595" s="12">
        <f>IFERROR(__xludf.DUMMYFUNCTION("""COMPUTED_VALUE"""),45265.0)</f>
        <v>45265</v>
      </c>
      <c r="C9595" s="13">
        <f>IFERROR(__xludf.DUMMYFUNCTION("""COMPUTED_VALUE"""),0.75)</f>
        <v>0.75</v>
      </c>
      <c r="D9595" s="8">
        <f>IFERROR(__xludf.DUMMYFUNCTION("""COMPUTED_VALUE"""),0.227)</f>
        <v>0.227</v>
      </c>
      <c r="E9595" s="8" t="str">
        <f>IFERROR(__xludf.DUMMYFUNCTION("""COMPUTED_VALUE"""),"Real")</f>
        <v>Real</v>
      </c>
      <c r="G9595" s="8">
        <f t="shared" si="1"/>
        <v>12</v>
      </c>
      <c r="H9595" s="14">
        <f t="shared" si="2"/>
        <v>5</v>
      </c>
      <c r="I9595" s="15">
        <f t="shared" si="3"/>
        <v>18</v>
      </c>
    </row>
    <row r="9596">
      <c r="A9596" s="8" t="str">
        <f>IFERROR(__xludf.DUMMYFUNCTION("IF('(INGESTA)Datos_consumo_datadis'!A9596&lt;&gt;"""",SPLIT('(INGESTA)Datos_consumo_datadis'!A:A,"",""),"""")"),"ES0031408323131005HX0F")</f>
        <v>ES0031408323131005HX0F</v>
      </c>
      <c r="B9596" s="12">
        <f>IFERROR(__xludf.DUMMYFUNCTION("""COMPUTED_VALUE"""),45265.0)</f>
        <v>45265</v>
      </c>
      <c r="C9596" s="13">
        <f>IFERROR(__xludf.DUMMYFUNCTION("""COMPUTED_VALUE"""),0.7916666666666666)</f>
        <v>0.7916666667</v>
      </c>
      <c r="D9596" s="8">
        <f>IFERROR(__xludf.DUMMYFUNCTION("""COMPUTED_VALUE"""),0.032)</f>
        <v>0.032</v>
      </c>
      <c r="E9596" s="8" t="str">
        <f>IFERROR(__xludf.DUMMYFUNCTION("""COMPUTED_VALUE"""),"Real")</f>
        <v>Real</v>
      </c>
      <c r="G9596" s="8">
        <f t="shared" si="1"/>
        <v>12</v>
      </c>
      <c r="H9596" s="14">
        <f t="shared" si="2"/>
        <v>5</v>
      </c>
      <c r="I9596" s="15">
        <f t="shared" si="3"/>
        <v>19</v>
      </c>
    </row>
    <row r="9597">
      <c r="A9597" s="8" t="str">
        <f>IFERROR(__xludf.DUMMYFUNCTION("IF('(INGESTA)Datos_consumo_datadis'!A9597&lt;&gt;"""",SPLIT('(INGESTA)Datos_consumo_datadis'!A:A,"",""),"""")"),"ES0031408323131005HX0F")</f>
        <v>ES0031408323131005HX0F</v>
      </c>
      <c r="B9597" s="12">
        <f>IFERROR(__xludf.DUMMYFUNCTION("""COMPUTED_VALUE"""),45265.0)</f>
        <v>45265</v>
      </c>
      <c r="C9597" s="13">
        <f>IFERROR(__xludf.DUMMYFUNCTION("""COMPUTED_VALUE"""),0.8333333333333334)</f>
        <v>0.8333333333</v>
      </c>
      <c r="D9597" s="8">
        <f>IFERROR(__xludf.DUMMYFUNCTION("""COMPUTED_VALUE"""),0.059)</f>
        <v>0.059</v>
      </c>
      <c r="E9597" s="8" t="str">
        <f>IFERROR(__xludf.DUMMYFUNCTION("""COMPUTED_VALUE"""),"Real")</f>
        <v>Real</v>
      </c>
      <c r="G9597" s="8">
        <f t="shared" si="1"/>
        <v>12</v>
      </c>
      <c r="H9597" s="14">
        <f t="shared" si="2"/>
        <v>5</v>
      </c>
      <c r="I9597" s="15">
        <f t="shared" si="3"/>
        <v>20</v>
      </c>
    </row>
    <row r="9598">
      <c r="A9598" s="8" t="str">
        <f>IFERROR(__xludf.DUMMYFUNCTION("IF('(INGESTA)Datos_consumo_datadis'!A9598&lt;&gt;"""",SPLIT('(INGESTA)Datos_consumo_datadis'!A:A,"",""),"""")"),"ES0031408323131005HX0F")</f>
        <v>ES0031408323131005HX0F</v>
      </c>
      <c r="B9598" s="12">
        <f>IFERROR(__xludf.DUMMYFUNCTION("""COMPUTED_VALUE"""),45265.0)</f>
        <v>45265</v>
      </c>
      <c r="C9598" s="13">
        <f>IFERROR(__xludf.DUMMYFUNCTION("""COMPUTED_VALUE"""),0.875)</f>
        <v>0.875</v>
      </c>
      <c r="D9598" s="8">
        <f>IFERROR(__xludf.DUMMYFUNCTION("""COMPUTED_VALUE"""),0.074)</f>
        <v>0.074</v>
      </c>
      <c r="E9598" s="8" t="str">
        <f>IFERROR(__xludf.DUMMYFUNCTION("""COMPUTED_VALUE"""),"Real")</f>
        <v>Real</v>
      </c>
      <c r="G9598" s="8">
        <f t="shared" si="1"/>
        <v>12</v>
      </c>
      <c r="H9598" s="14">
        <f t="shared" si="2"/>
        <v>5</v>
      </c>
      <c r="I9598" s="15">
        <f t="shared" si="3"/>
        <v>21</v>
      </c>
    </row>
    <row r="9599">
      <c r="A9599" s="8" t="str">
        <f>IFERROR(__xludf.DUMMYFUNCTION("IF('(INGESTA)Datos_consumo_datadis'!A9599&lt;&gt;"""",SPLIT('(INGESTA)Datos_consumo_datadis'!A:A,"",""),"""")"),"ES0031408323131005HX0F")</f>
        <v>ES0031408323131005HX0F</v>
      </c>
      <c r="B9599" s="12">
        <f>IFERROR(__xludf.DUMMYFUNCTION("""COMPUTED_VALUE"""),45265.0)</f>
        <v>45265</v>
      </c>
      <c r="C9599" s="13">
        <f>IFERROR(__xludf.DUMMYFUNCTION("""COMPUTED_VALUE"""),0.9166666666666666)</f>
        <v>0.9166666667</v>
      </c>
      <c r="D9599" s="8">
        <f>IFERROR(__xludf.DUMMYFUNCTION("""COMPUTED_VALUE"""),0.331)</f>
        <v>0.331</v>
      </c>
      <c r="E9599" s="8" t="str">
        <f>IFERROR(__xludf.DUMMYFUNCTION("""COMPUTED_VALUE"""),"Real")</f>
        <v>Real</v>
      </c>
      <c r="G9599" s="8">
        <f t="shared" si="1"/>
        <v>12</v>
      </c>
      <c r="H9599" s="14">
        <f t="shared" si="2"/>
        <v>5</v>
      </c>
      <c r="I9599" s="15">
        <f t="shared" si="3"/>
        <v>22</v>
      </c>
    </row>
    <row r="9600">
      <c r="A9600" s="8" t="str">
        <f>IFERROR(__xludf.DUMMYFUNCTION("IF('(INGESTA)Datos_consumo_datadis'!A9600&lt;&gt;"""",SPLIT('(INGESTA)Datos_consumo_datadis'!A:A,"",""),"""")"),"ES0031408323131005HX0F")</f>
        <v>ES0031408323131005HX0F</v>
      </c>
      <c r="B9600" s="12">
        <f>IFERROR(__xludf.DUMMYFUNCTION("""COMPUTED_VALUE"""),45265.0)</f>
        <v>45265</v>
      </c>
      <c r="C9600" s="13">
        <f>IFERROR(__xludf.DUMMYFUNCTION("""COMPUTED_VALUE"""),0.9583333333333334)</f>
        <v>0.9583333333</v>
      </c>
      <c r="D9600" s="8">
        <f>IFERROR(__xludf.DUMMYFUNCTION("""COMPUTED_VALUE"""),0.067)</f>
        <v>0.067</v>
      </c>
      <c r="E9600" s="8" t="str">
        <f>IFERROR(__xludf.DUMMYFUNCTION("""COMPUTED_VALUE"""),"Real")</f>
        <v>Real</v>
      </c>
      <c r="G9600" s="8">
        <f t="shared" si="1"/>
        <v>12</v>
      </c>
      <c r="H9600" s="14">
        <f t="shared" si="2"/>
        <v>5</v>
      </c>
      <c r="I9600" s="15">
        <f t="shared" si="3"/>
        <v>23</v>
      </c>
    </row>
    <row r="9601">
      <c r="A9601" s="8" t="str">
        <f>IFERROR(__xludf.DUMMYFUNCTION("IF('(INGESTA)Datos_consumo_datadis'!A9601&lt;&gt;"""",SPLIT('(INGESTA)Datos_consumo_datadis'!A:A,"",""),"""")"),"ES0031408323131005HX0F")</f>
        <v>ES0031408323131005HX0F</v>
      </c>
      <c r="B9601" s="12">
        <f>IFERROR(__xludf.DUMMYFUNCTION("""COMPUTED_VALUE"""),45265.0)</f>
        <v>45265</v>
      </c>
      <c r="C9601" s="16">
        <f>IFERROR(__xludf.DUMMYFUNCTION("""COMPUTED_VALUE"""),1.0)</f>
        <v>1</v>
      </c>
      <c r="D9601" s="8">
        <f>IFERROR(__xludf.DUMMYFUNCTION("""COMPUTED_VALUE"""),0.084)</f>
        <v>0.084</v>
      </c>
      <c r="E9601" s="8" t="str">
        <f>IFERROR(__xludf.DUMMYFUNCTION("""COMPUTED_VALUE"""),"Real")</f>
        <v>Real</v>
      </c>
      <c r="G9601" s="8">
        <f t="shared" si="1"/>
        <v>12</v>
      </c>
      <c r="H9601" s="14">
        <f t="shared" si="2"/>
        <v>5</v>
      </c>
      <c r="I9601" s="15">
        <f t="shared" si="3"/>
        <v>0</v>
      </c>
    </row>
    <row r="9602">
      <c r="A9602" s="8" t="str">
        <f>IFERROR(__xludf.DUMMYFUNCTION("IF('(INGESTA)Datos_consumo_datadis'!A9602&lt;&gt;"""",SPLIT('(INGESTA)Datos_consumo_datadis'!A:A,"",""),"""")"),"ES0031408323131005HX0F")</f>
        <v>ES0031408323131005HX0F</v>
      </c>
      <c r="B9602" s="12">
        <f>IFERROR(__xludf.DUMMYFUNCTION("""COMPUTED_VALUE"""),45266.0)</f>
        <v>45266</v>
      </c>
      <c r="C9602" s="13">
        <f>IFERROR(__xludf.DUMMYFUNCTION("""COMPUTED_VALUE"""),0.041666666666666664)</f>
        <v>0.04166666667</v>
      </c>
      <c r="D9602" s="8">
        <f>IFERROR(__xludf.DUMMYFUNCTION("""COMPUTED_VALUE"""),0.06)</f>
        <v>0.06</v>
      </c>
      <c r="E9602" s="8" t="str">
        <f>IFERROR(__xludf.DUMMYFUNCTION("""COMPUTED_VALUE"""),"Real")</f>
        <v>Real</v>
      </c>
      <c r="G9602" s="8">
        <f t="shared" si="1"/>
        <v>12</v>
      </c>
      <c r="H9602" s="14">
        <f t="shared" si="2"/>
        <v>6</v>
      </c>
      <c r="I9602" s="15">
        <f t="shared" si="3"/>
        <v>1</v>
      </c>
    </row>
    <row r="9603">
      <c r="A9603" s="8" t="str">
        <f>IFERROR(__xludf.DUMMYFUNCTION("IF('(INGESTA)Datos_consumo_datadis'!A9603&lt;&gt;"""",SPLIT('(INGESTA)Datos_consumo_datadis'!A:A,"",""),"""")"),"ES0031408323131005HX0F")</f>
        <v>ES0031408323131005HX0F</v>
      </c>
      <c r="B9603" s="12">
        <f>IFERROR(__xludf.DUMMYFUNCTION("""COMPUTED_VALUE"""),45266.0)</f>
        <v>45266</v>
      </c>
      <c r="C9603" s="13">
        <f>IFERROR(__xludf.DUMMYFUNCTION("""COMPUTED_VALUE"""),0.08333333333333333)</f>
        <v>0.08333333333</v>
      </c>
      <c r="D9603" s="8">
        <f>IFERROR(__xludf.DUMMYFUNCTION("""COMPUTED_VALUE"""),0.058)</f>
        <v>0.058</v>
      </c>
      <c r="E9603" s="8" t="str">
        <f>IFERROR(__xludf.DUMMYFUNCTION("""COMPUTED_VALUE"""),"Real")</f>
        <v>Real</v>
      </c>
      <c r="G9603" s="8">
        <f t="shared" si="1"/>
        <v>12</v>
      </c>
      <c r="H9603" s="14">
        <f t="shared" si="2"/>
        <v>6</v>
      </c>
      <c r="I9603" s="15">
        <f t="shared" si="3"/>
        <v>2</v>
      </c>
    </row>
    <row r="9604">
      <c r="A9604" s="8" t="str">
        <f>IFERROR(__xludf.DUMMYFUNCTION("IF('(INGESTA)Datos_consumo_datadis'!A9604&lt;&gt;"""",SPLIT('(INGESTA)Datos_consumo_datadis'!A:A,"",""),"""")"),"ES0031408323131005HX0F")</f>
        <v>ES0031408323131005HX0F</v>
      </c>
      <c r="B9604" s="12">
        <f>IFERROR(__xludf.DUMMYFUNCTION("""COMPUTED_VALUE"""),45266.0)</f>
        <v>45266</v>
      </c>
      <c r="C9604" s="13">
        <f>IFERROR(__xludf.DUMMYFUNCTION("""COMPUTED_VALUE"""),0.125)</f>
        <v>0.125</v>
      </c>
      <c r="D9604" s="8">
        <f>IFERROR(__xludf.DUMMYFUNCTION("""COMPUTED_VALUE"""),0.098)</f>
        <v>0.098</v>
      </c>
      <c r="E9604" s="8" t="str">
        <f>IFERROR(__xludf.DUMMYFUNCTION("""COMPUTED_VALUE"""),"Real")</f>
        <v>Real</v>
      </c>
      <c r="G9604" s="8">
        <f t="shared" si="1"/>
        <v>12</v>
      </c>
      <c r="H9604" s="14">
        <f t="shared" si="2"/>
        <v>6</v>
      </c>
      <c r="I9604" s="15">
        <f t="shared" si="3"/>
        <v>3</v>
      </c>
    </row>
    <row r="9605">
      <c r="A9605" s="8" t="str">
        <f>IFERROR(__xludf.DUMMYFUNCTION("IF('(INGESTA)Datos_consumo_datadis'!A9605&lt;&gt;"""",SPLIT('(INGESTA)Datos_consumo_datadis'!A:A,"",""),"""")"),"ES0031408323131005HX0F")</f>
        <v>ES0031408323131005HX0F</v>
      </c>
      <c r="B9605" s="12">
        <f>IFERROR(__xludf.DUMMYFUNCTION("""COMPUTED_VALUE"""),45266.0)</f>
        <v>45266</v>
      </c>
      <c r="C9605" s="13">
        <f>IFERROR(__xludf.DUMMYFUNCTION("""COMPUTED_VALUE"""),0.16666666666666666)</f>
        <v>0.1666666667</v>
      </c>
      <c r="D9605" s="8">
        <f>IFERROR(__xludf.DUMMYFUNCTION("""COMPUTED_VALUE"""),0.342)</f>
        <v>0.342</v>
      </c>
      <c r="E9605" s="8" t="str">
        <f>IFERROR(__xludf.DUMMYFUNCTION("""COMPUTED_VALUE"""),"Real")</f>
        <v>Real</v>
      </c>
      <c r="G9605" s="8">
        <f t="shared" si="1"/>
        <v>12</v>
      </c>
      <c r="H9605" s="14">
        <f t="shared" si="2"/>
        <v>6</v>
      </c>
      <c r="I9605" s="15">
        <f t="shared" si="3"/>
        <v>4</v>
      </c>
    </row>
    <row r="9606">
      <c r="A9606" s="8" t="str">
        <f>IFERROR(__xludf.DUMMYFUNCTION("IF('(INGESTA)Datos_consumo_datadis'!A9606&lt;&gt;"""",SPLIT('(INGESTA)Datos_consumo_datadis'!A:A,"",""),"""")"),"ES0031408323131005HX0F")</f>
        <v>ES0031408323131005HX0F</v>
      </c>
      <c r="B9606" s="12">
        <f>IFERROR(__xludf.DUMMYFUNCTION("""COMPUTED_VALUE"""),45266.0)</f>
        <v>45266</v>
      </c>
      <c r="C9606" s="13">
        <f>IFERROR(__xludf.DUMMYFUNCTION("""COMPUTED_VALUE"""),0.20833333333333334)</f>
        <v>0.2083333333</v>
      </c>
      <c r="D9606" s="8">
        <f>IFERROR(__xludf.DUMMYFUNCTION("""COMPUTED_VALUE"""),0.046)</f>
        <v>0.046</v>
      </c>
      <c r="E9606" s="8" t="str">
        <f>IFERROR(__xludf.DUMMYFUNCTION("""COMPUTED_VALUE"""),"Real")</f>
        <v>Real</v>
      </c>
      <c r="G9606" s="8">
        <f t="shared" si="1"/>
        <v>12</v>
      </c>
      <c r="H9606" s="14">
        <f t="shared" si="2"/>
        <v>6</v>
      </c>
      <c r="I9606" s="15">
        <f t="shared" si="3"/>
        <v>5</v>
      </c>
    </row>
    <row r="9607">
      <c r="A9607" s="8" t="str">
        <f>IFERROR(__xludf.DUMMYFUNCTION("IF('(INGESTA)Datos_consumo_datadis'!A9607&lt;&gt;"""",SPLIT('(INGESTA)Datos_consumo_datadis'!A:A,"",""),"""")"),"ES0031408323131005HX0F")</f>
        <v>ES0031408323131005HX0F</v>
      </c>
      <c r="B9607" s="12">
        <f>IFERROR(__xludf.DUMMYFUNCTION("""COMPUTED_VALUE"""),45266.0)</f>
        <v>45266</v>
      </c>
      <c r="C9607" s="13">
        <f>IFERROR(__xludf.DUMMYFUNCTION("""COMPUTED_VALUE"""),0.25)</f>
        <v>0.25</v>
      </c>
      <c r="D9607" s="8">
        <f>IFERROR(__xludf.DUMMYFUNCTION("""COMPUTED_VALUE"""),0.082)</f>
        <v>0.082</v>
      </c>
      <c r="E9607" s="8" t="str">
        <f>IFERROR(__xludf.DUMMYFUNCTION("""COMPUTED_VALUE"""),"Real")</f>
        <v>Real</v>
      </c>
      <c r="G9607" s="8">
        <f t="shared" si="1"/>
        <v>12</v>
      </c>
      <c r="H9607" s="14">
        <f t="shared" si="2"/>
        <v>6</v>
      </c>
      <c r="I9607" s="15">
        <f t="shared" si="3"/>
        <v>6</v>
      </c>
    </row>
    <row r="9608">
      <c r="A9608" s="8" t="str">
        <f>IFERROR(__xludf.DUMMYFUNCTION("IF('(INGESTA)Datos_consumo_datadis'!A9608&lt;&gt;"""",SPLIT('(INGESTA)Datos_consumo_datadis'!A:A,"",""),"""")"),"ES0031408323131005HX0F")</f>
        <v>ES0031408323131005HX0F</v>
      </c>
      <c r="B9608" s="12">
        <f>IFERROR(__xludf.DUMMYFUNCTION("""COMPUTED_VALUE"""),45266.0)</f>
        <v>45266</v>
      </c>
      <c r="C9608" s="13">
        <f>IFERROR(__xludf.DUMMYFUNCTION("""COMPUTED_VALUE"""),0.2916666666666667)</f>
        <v>0.2916666667</v>
      </c>
      <c r="D9608" s="8">
        <f>IFERROR(__xludf.DUMMYFUNCTION("""COMPUTED_VALUE"""),0.124)</f>
        <v>0.124</v>
      </c>
      <c r="E9608" s="8" t="str">
        <f>IFERROR(__xludf.DUMMYFUNCTION("""COMPUTED_VALUE"""),"Real")</f>
        <v>Real</v>
      </c>
      <c r="G9608" s="8">
        <f t="shared" si="1"/>
        <v>12</v>
      </c>
      <c r="H9608" s="14">
        <f t="shared" si="2"/>
        <v>6</v>
      </c>
      <c r="I9608" s="15">
        <f t="shared" si="3"/>
        <v>7</v>
      </c>
    </row>
    <row r="9609">
      <c r="A9609" s="8" t="str">
        <f>IFERROR(__xludf.DUMMYFUNCTION("IF('(INGESTA)Datos_consumo_datadis'!A9609&lt;&gt;"""",SPLIT('(INGESTA)Datos_consumo_datadis'!A:A,"",""),"""")"),"ES0031408323131005HX0F")</f>
        <v>ES0031408323131005HX0F</v>
      </c>
      <c r="B9609" s="12">
        <f>IFERROR(__xludf.DUMMYFUNCTION("""COMPUTED_VALUE"""),45266.0)</f>
        <v>45266</v>
      </c>
      <c r="C9609" s="13">
        <f>IFERROR(__xludf.DUMMYFUNCTION("""COMPUTED_VALUE"""),0.3333333333333333)</f>
        <v>0.3333333333</v>
      </c>
      <c r="D9609" s="8">
        <f>IFERROR(__xludf.DUMMYFUNCTION("""COMPUTED_VALUE"""),0.137)</f>
        <v>0.137</v>
      </c>
      <c r="E9609" s="8" t="str">
        <f>IFERROR(__xludf.DUMMYFUNCTION("""COMPUTED_VALUE"""),"Real")</f>
        <v>Real</v>
      </c>
      <c r="G9609" s="8">
        <f t="shared" si="1"/>
        <v>12</v>
      </c>
      <c r="H9609" s="14">
        <f t="shared" si="2"/>
        <v>6</v>
      </c>
      <c r="I9609" s="15">
        <f t="shared" si="3"/>
        <v>8</v>
      </c>
    </row>
    <row r="9610">
      <c r="A9610" s="8" t="str">
        <f>IFERROR(__xludf.DUMMYFUNCTION("IF('(INGESTA)Datos_consumo_datadis'!A9610&lt;&gt;"""",SPLIT('(INGESTA)Datos_consumo_datadis'!A:A,"",""),"""")"),"ES0031408323131005HX0F")</f>
        <v>ES0031408323131005HX0F</v>
      </c>
      <c r="B9610" s="12">
        <f>IFERROR(__xludf.DUMMYFUNCTION("""COMPUTED_VALUE"""),45266.0)</f>
        <v>45266</v>
      </c>
      <c r="C9610" s="13">
        <f>IFERROR(__xludf.DUMMYFUNCTION("""COMPUTED_VALUE"""),0.375)</f>
        <v>0.375</v>
      </c>
      <c r="D9610" s="8">
        <f>IFERROR(__xludf.DUMMYFUNCTION("""COMPUTED_VALUE"""),0.348)</f>
        <v>0.348</v>
      </c>
      <c r="E9610" s="8" t="str">
        <f>IFERROR(__xludf.DUMMYFUNCTION("""COMPUTED_VALUE"""),"Real")</f>
        <v>Real</v>
      </c>
      <c r="G9610" s="8">
        <f t="shared" si="1"/>
        <v>12</v>
      </c>
      <c r="H9610" s="14">
        <f t="shared" si="2"/>
        <v>6</v>
      </c>
      <c r="I9610" s="15">
        <f t="shared" si="3"/>
        <v>9</v>
      </c>
    </row>
    <row r="9611">
      <c r="A9611" s="8" t="str">
        <f>IFERROR(__xludf.DUMMYFUNCTION("IF('(INGESTA)Datos_consumo_datadis'!A9611&lt;&gt;"""",SPLIT('(INGESTA)Datos_consumo_datadis'!A:A,"",""),"""")"),"ES0031408323131005HX0F")</f>
        <v>ES0031408323131005HX0F</v>
      </c>
      <c r="B9611" s="12">
        <f>IFERROR(__xludf.DUMMYFUNCTION("""COMPUTED_VALUE"""),45266.0)</f>
        <v>45266</v>
      </c>
      <c r="C9611" s="13">
        <f>IFERROR(__xludf.DUMMYFUNCTION("""COMPUTED_VALUE"""),0.4166666666666667)</f>
        <v>0.4166666667</v>
      </c>
      <c r="D9611" s="8">
        <f>IFERROR(__xludf.DUMMYFUNCTION("""COMPUTED_VALUE"""),0.039)</f>
        <v>0.039</v>
      </c>
      <c r="E9611" s="8" t="str">
        <f>IFERROR(__xludf.DUMMYFUNCTION("""COMPUTED_VALUE"""),"Real")</f>
        <v>Real</v>
      </c>
      <c r="G9611" s="8">
        <f t="shared" si="1"/>
        <v>12</v>
      </c>
      <c r="H9611" s="14">
        <f t="shared" si="2"/>
        <v>6</v>
      </c>
      <c r="I9611" s="15">
        <f t="shared" si="3"/>
        <v>10</v>
      </c>
    </row>
    <row r="9612">
      <c r="A9612" s="8" t="str">
        <f>IFERROR(__xludf.DUMMYFUNCTION("IF('(INGESTA)Datos_consumo_datadis'!A9612&lt;&gt;"""",SPLIT('(INGESTA)Datos_consumo_datadis'!A:A,"",""),"""")"),"ES0031408323131005HX0F")</f>
        <v>ES0031408323131005HX0F</v>
      </c>
      <c r="B9612" s="12">
        <f>IFERROR(__xludf.DUMMYFUNCTION("""COMPUTED_VALUE"""),45266.0)</f>
        <v>45266</v>
      </c>
      <c r="C9612" s="13">
        <f>IFERROR(__xludf.DUMMYFUNCTION("""COMPUTED_VALUE"""),0.4583333333333333)</f>
        <v>0.4583333333</v>
      </c>
      <c r="D9612" s="8">
        <f>IFERROR(__xludf.DUMMYFUNCTION("""COMPUTED_VALUE"""),0.078)</f>
        <v>0.078</v>
      </c>
      <c r="E9612" s="8" t="str">
        <f>IFERROR(__xludf.DUMMYFUNCTION("""COMPUTED_VALUE"""),"Real")</f>
        <v>Real</v>
      </c>
      <c r="G9612" s="8">
        <f t="shared" si="1"/>
        <v>12</v>
      </c>
      <c r="H9612" s="14">
        <f t="shared" si="2"/>
        <v>6</v>
      </c>
      <c r="I9612" s="15">
        <f t="shared" si="3"/>
        <v>11</v>
      </c>
    </row>
    <row r="9613">
      <c r="A9613" s="8" t="str">
        <f>IFERROR(__xludf.DUMMYFUNCTION("IF('(INGESTA)Datos_consumo_datadis'!A9613&lt;&gt;"""",SPLIT('(INGESTA)Datos_consumo_datadis'!A:A,"",""),"""")"),"ES0031408323131005HX0F")</f>
        <v>ES0031408323131005HX0F</v>
      </c>
      <c r="B9613" s="12">
        <f>IFERROR(__xludf.DUMMYFUNCTION("""COMPUTED_VALUE"""),45266.0)</f>
        <v>45266</v>
      </c>
      <c r="C9613" s="13">
        <f>IFERROR(__xludf.DUMMYFUNCTION("""COMPUTED_VALUE"""),0.5)</f>
        <v>0.5</v>
      </c>
      <c r="D9613" s="8">
        <f>IFERROR(__xludf.DUMMYFUNCTION("""COMPUTED_VALUE"""),0.064)</f>
        <v>0.064</v>
      </c>
      <c r="E9613" s="8" t="str">
        <f>IFERROR(__xludf.DUMMYFUNCTION("""COMPUTED_VALUE"""),"Real")</f>
        <v>Real</v>
      </c>
      <c r="G9613" s="8">
        <f t="shared" si="1"/>
        <v>12</v>
      </c>
      <c r="H9613" s="14">
        <f t="shared" si="2"/>
        <v>6</v>
      </c>
      <c r="I9613" s="15">
        <f t="shared" si="3"/>
        <v>12</v>
      </c>
    </row>
    <row r="9614">
      <c r="A9614" s="8" t="str">
        <f>IFERROR(__xludf.DUMMYFUNCTION("IF('(INGESTA)Datos_consumo_datadis'!A9614&lt;&gt;"""",SPLIT('(INGESTA)Datos_consumo_datadis'!A:A,"",""),"""")"),"ES0031408323131005HX0F")</f>
        <v>ES0031408323131005HX0F</v>
      </c>
      <c r="B9614" s="12">
        <f>IFERROR(__xludf.DUMMYFUNCTION("""COMPUTED_VALUE"""),45266.0)</f>
        <v>45266</v>
      </c>
      <c r="C9614" s="13">
        <f>IFERROR(__xludf.DUMMYFUNCTION("""COMPUTED_VALUE"""),0.5416666666666666)</f>
        <v>0.5416666667</v>
      </c>
      <c r="D9614" s="8">
        <f>IFERROR(__xludf.DUMMYFUNCTION("""COMPUTED_VALUE"""),0.018)</f>
        <v>0.018</v>
      </c>
      <c r="E9614" s="8" t="str">
        <f>IFERROR(__xludf.DUMMYFUNCTION("""COMPUTED_VALUE"""),"Real")</f>
        <v>Real</v>
      </c>
      <c r="G9614" s="8">
        <f t="shared" si="1"/>
        <v>12</v>
      </c>
      <c r="H9614" s="14">
        <f t="shared" si="2"/>
        <v>6</v>
      </c>
      <c r="I9614" s="15">
        <f t="shared" si="3"/>
        <v>13</v>
      </c>
    </row>
    <row r="9615">
      <c r="A9615" s="8" t="str">
        <f>IFERROR(__xludf.DUMMYFUNCTION("IF('(INGESTA)Datos_consumo_datadis'!A9615&lt;&gt;"""",SPLIT('(INGESTA)Datos_consumo_datadis'!A:A,"",""),"""")"),"ES0031408323131005HX0F")</f>
        <v>ES0031408323131005HX0F</v>
      </c>
      <c r="B9615" s="12">
        <f>IFERROR(__xludf.DUMMYFUNCTION("""COMPUTED_VALUE"""),45266.0)</f>
        <v>45266</v>
      </c>
      <c r="C9615" s="13">
        <f>IFERROR(__xludf.DUMMYFUNCTION("""COMPUTED_VALUE"""),0.5833333333333334)</f>
        <v>0.5833333333</v>
      </c>
      <c r="D9615" s="8">
        <f>IFERROR(__xludf.DUMMYFUNCTION("""COMPUTED_VALUE"""),0.379)</f>
        <v>0.379</v>
      </c>
      <c r="E9615" s="8" t="str">
        <f>IFERROR(__xludf.DUMMYFUNCTION("""COMPUTED_VALUE"""),"Real")</f>
        <v>Real</v>
      </c>
      <c r="G9615" s="8">
        <f t="shared" si="1"/>
        <v>12</v>
      </c>
      <c r="H9615" s="14">
        <f t="shared" si="2"/>
        <v>6</v>
      </c>
      <c r="I9615" s="15">
        <f t="shared" si="3"/>
        <v>14</v>
      </c>
    </row>
    <row r="9616">
      <c r="A9616" s="8" t="str">
        <f>IFERROR(__xludf.DUMMYFUNCTION("IF('(INGESTA)Datos_consumo_datadis'!A9616&lt;&gt;"""",SPLIT('(INGESTA)Datos_consumo_datadis'!A:A,"",""),"""")"),"ES0031408323131005HX0F")</f>
        <v>ES0031408323131005HX0F</v>
      </c>
      <c r="B9616" s="12">
        <f>IFERROR(__xludf.DUMMYFUNCTION("""COMPUTED_VALUE"""),45266.0)</f>
        <v>45266</v>
      </c>
      <c r="C9616" s="13">
        <f>IFERROR(__xludf.DUMMYFUNCTION("""COMPUTED_VALUE"""),0.625)</f>
        <v>0.625</v>
      </c>
      <c r="D9616" s="8">
        <f>IFERROR(__xludf.DUMMYFUNCTION("""COMPUTED_VALUE"""),0.063)</f>
        <v>0.063</v>
      </c>
      <c r="E9616" s="8" t="str">
        <f>IFERROR(__xludf.DUMMYFUNCTION("""COMPUTED_VALUE"""),"Real")</f>
        <v>Real</v>
      </c>
      <c r="G9616" s="8">
        <f t="shared" si="1"/>
        <v>12</v>
      </c>
      <c r="H9616" s="14">
        <f t="shared" si="2"/>
        <v>6</v>
      </c>
      <c r="I9616" s="15">
        <f t="shared" si="3"/>
        <v>15</v>
      </c>
    </row>
    <row r="9617">
      <c r="A9617" s="8" t="str">
        <f>IFERROR(__xludf.DUMMYFUNCTION("IF('(INGESTA)Datos_consumo_datadis'!A9617&lt;&gt;"""",SPLIT('(INGESTA)Datos_consumo_datadis'!A:A,"",""),"""")"),"ES0031408323131005HX0F")</f>
        <v>ES0031408323131005HX0F</v>
      </c>
      <c r="B9617" s="12">
        <f>IFERROR(__xludf.DUMMYFUNCTION("""COMPUTED_VALUE"""),45266.0)</f>
        <v>45266</v>
      </c>
      <c r="C9617" s="13">
        <f>IFERROR(__xludf.DUMMYFUNCTION("""COMPUTED_VALUE"""),0.6666666666666666)</f>
        <v>0.6666666667</v>
      </c>
      <c r="D9617" s="8">
        <f>IFERROR(__xludf.DUMMYFUNCTION("""COMPUTED_VALUE"""),0.021)</f>
        <v>0.021</v>
      </c>
      <c r="E9617" s="8" t="str">
        <f>IFERROR(__xludf.DUMMYFUNCTION("""COMPUTED_VALUE"""),"Real")</f>
        <v>Real</v>
      </c>
      <c r="G9617" s="8">
        <f t="shared" si="1"/>
        <v>12</v>
      </c>
      <c r="H9617" s="14">
        <f t="shared" si="2"/>
        <v>6</v>
      </c>
      <c r="I9617" s="15">
        <f t="shared" si="3"/>
        <v>16</v>
      </c>
    </row>
    <row r="9618">
      <c r="A9618" s="8" t="str">
        <f>IFERROR(__xludf.DUMMYFUNCTION("IF('(INGESTA)Datos_consumo_datadis'!A9618&lt;&gt;"""",SPLIT('(INGESTA)Datos_consumo_datadis'!A:A,"",""),"""")"),"ES0031408323131005HX0F")</f>
        <v>ES0031408323131005HX0F</v>
      </c>
      <c r="B9618" s="12">
        <f>IFERROR(__xludf.DUMMYFUNCTION("""COMPUTED_VALUE"""),45266.0)</f>
        <v>45266</v>
      </c>
      <c r="C9618" s="13">
        <f>IFERROR(__xludf.DUMMYFUNCTION("""COMPUTED_VALUE"""),0.7083333333333334)</f>
        <v>0.7083333333</v>
      </c>
      <c r="D9618" s="8">
        <f>IFERROR(__xludf.DUMMYFUNCTION("""COMPUTED_VALUE"""),0.091)</f>
        <v>0.091</v>
      </c>
      <c r="E9618" s="8" t="str">
        <f>IFERROR(__xludf.DUMMYFUNCTION("""COMPUTED_VALUE"""),"Real")</f>
        <v>Real</v>
      </c>
      <c r="G9618" s="8">
        <f t="shared" si="1"/>
        <v>12</v>
      </c>
      <c r="H9618" s="14">
        <f t="shared" si="2"/>
        <v>6</v>
      </c>
      <c r="I9618" s="15">
        <f t="shared" si="3"/>
        <v>17</v>
      </c>
    </row>
    <row r="9619">
      <c r="A9619" s="8" t="str">
        <f>IFERROR(__xludf.DUMMYFUNCTION("IF('(INGESTA)Datos_consumo_datadis'!A9619&lt;&gt;"""",SPLIT('(INGESTA)Datos_consumo_datadis'!A:A,"",""),"""")"),"ES0031408323131005HX0F")</f>
        <v>ES0031408323131005HX0F</v>
      </c>
      <c r="B9619" s="12">
        <f>IFERROR(__xludf.DUMMYFUNCTION("""COMPUTED_VALUE"""),45266.0)</f>
        <v>45266</v>
      </c>
      <c r="C9619" s="13">
        <f>IFERROR(__xludf.DUMMYFUNCTION("""COMPUTED_VALUE"""),0.75)</f>
        <v>0.75</v>
      </c>
      <c r="D9619" s="8">
        <f>IFERROR(__xludf.DUMMYFUNCTION("""COMPUTED_VALUE"""),0.063)</f>
        <v>0.063</v>
      </c>
      <c r="E9619" s="8" t="str">
        <f>IFERROR(__xludf.DUMMYFUNCTION("""COMPUTED_VALUE"""),"Real")</f>
        <v>Real</v>
      </c>
      <c r="G9619" s="8">
        <f t="shared" si="1"/>
        <v>12</v>
      </c>
      <c r="H9619" s="14">
        <f t="shared" si="2"/>
        <v>6</v>
      </c>
      <c r="I9619" s="15">
        <f t="shared" si="3"/>
        <v>18</v>
      </c>
    </row>
    <row r="9620">
      <c r="A9620" s="8" t="str">
        <f>IFERROR(__xludf.DUMMYFUNCTION("IF('(INGESTA)Datos_consumo_datadis'!A9620&lt;&gt;"""",SPLIT('(INGESTA)Datos_consumo_datadis'!A:A,"",""),"""")"),"ES0031408323131005HX0F")</f>
        <v>ES0031408323131005HX0F</v>
      </c>
      <c r="B9620" s="12">
        <f>IFERROR(__xludf.DUMMYFUNCTION("""COMPUTED_VALUE"""),45266.0)</f>
        <v>45266</v>
      </c>
      <c r="C9620" s="13">
        <f>IFERROR(__xludf.DUMMYFUNCTION("""COMPUTED_VALUE"""),0.7916666666666666)</f>
        <v>0.7916666667</v>
      </c>
      <c r="D9620" s="8">
        <f>IFERROR(__xludf.DUMMYFUNCTION("""COMPUTED_VALUE"""),0.573)</f>
        <v>0.573</v>
      </c>
      <c r="E9620" s="8" t="str">
        <f>IFERROR(__xludf.DUMMYFUNCTION("""COMPUTED_VALUE"""),"Real")</f>
        <v>Real</v>
      </c>
      <c r="G9620" s="8">
        <f t="shared" si="1"/>
        <v>12</v>
      </c>
      <c r="H9620" s="14">
        <f t="shared" si="2"/>
        <v>6</v>
      </c>
      <c r="I9620" s="15">
        <f t="shared" si="3"/>
        <v>19</v>
      </c>
    </row>
    <row r="9621">
      <c r="A9621" s="8" t="str">
        <f>IFERROR(__xludf.DUMMYFUNCTION("IF('(INGESTA)Datos_consumo_datadis'!A9621&lt;&gt;"""",SPLIT('(INGESTA)Datos_consumo_datadis'!A:A,"",""),"""")"),"ES0031408323131005HX0F")</f>
        <v>ES0031408323131005HX0F</v>
      </c>
      <c r="B9621" s="12">
        <f>IFERROR(__xludf.DUMMYFUNCTION("""COMPUTED_VALUE"""),45266.0)</f>
        <v>45266</v>
      </c>
      <c r="C9621" s="13">
        <f>IFERROR(__xludf.DUMMYFUNCTION("""COMPUTED_VALUE"""),0.8333333333333334)</f>
        <v>0.8333333333</v>
      </c>
      <c r="D9621" s="8">
        <f>IFERROR(__xludf.DUMMYFUNCTION("""COMPUTED_VALUE"""),1.792)</f>
        <v>1.792</v>
      </c>
      <c r="E9621" s="8" t="str">
        <f>IFERROR(__xludf.DUMMYFUNCTION("""COMPUTED_VALUE"""),"Real")</f>
        <v>Real</v>
      </c>
      <c r="G9621" s="8">
        <f t="shared" si="1"/>
        <v>12</v>
      </c>
      <c r="H9621" s="14">
        <f t="shared" si="2"/>
        <v>6</v>
      </c>
      <c r="I9621" s="15">
        <f t="shared" si="3"/>
        <v>20</v>
      </c>
    </row>
    <row r="9622">
      <c r="A9622" s="8" t="str">
        <f>IFERROR(__xludf.DUMMYFUNCTION("IF('(INGESTA)Datos_consumo_datadis'!A9622&lt;&gt;"""",SPLIT('(INGESTA)Datos_consumo_datadis'!A:A,"",""),"""")"),"ES0031408323131005HX0F")</f>
        <v>ES0031408323131005HX0F</v>
      </c>
      <c r="B9622" s="12">
        <f>IFERROR(__xludf.DUMMYFUNCTION("""COMPUTED_VALUE"""),45266.0)</f>
        <v>45266</v>
      </c>
      <c r="C9622" s="13">
        <f>IFERROR(__xludf.DUMMYFUNCTION("""COMPUTED_VALUE"""),0.875)</f>
        <v>0.875</v>
      </c>
      <c r="D9622" s="8">
        <f>IFERROR(__xludf.DUMMYFUNCTION("""COMPUTED_VALUE"""),1.334)</f>
        <v>1.334</v>
      </c>
      <c r="E9622" s="8" t="str">
        <f>IFERROR(__xludf.DUMMYFUNCTION("""COMPUTED_VALUE"""),"Real")</f>
        <v>Real</v>
      </c>
      <c r="G9622" s="8">
        <f t="shared" si="1"/>
        <v>12</v>
      </c>
      <c r="H9622" s="14">
        <f t="shared" si="2"/>
        <v>6</v>
      </c>
      <c r="I9622" s="15">
        <f t="shared" si="3"/>
        <v>21</v>
      </c>
    </row>
    <row r="9623">
      <c r="A9623" s="8" t="str">
        <f>IFERROR(__xludf.DUMMYFUNCTION("IF('(INGESTA)Datos_consumo_datadis'!A9623&lt;&gt;"""",SPLIT('(INGESTA)Datos_consumo_datadis'!A:A,"",""),"""")"),"ES0031408323131005HX0F")</f>
        <v>ES0031408323131005HX0F</v>
      </c>
      <c r="B9623" s="12">
        <f>IFERROR(__xludf.DUMMYFUNCTION("""COMPUTED_VALUE"""),45266.0)</f>
        <v>45266</v>
      </c>
      <c r="C9623" s="13">
        <f>IFERROR(__xludf.DUMMYFUNCTION("""COMPUTED_VALUE"""),0.9166666666666666)</f>
        <v>0.9166666667</v>
      </c>
      <c r="D9623" s="8">
        <f>IFERROR(__xludf.DUMMYFUNCTION("""COMPUTED_VALUE"""),0.051)</f>
        <v>0.051</v>
      </c>
      <c r="E9623" s="8" t="str">
        <f>IFERROR(__xludf.DUMMYFUNCTION("""COMPUTED_VALUE"""),"Real")</f>
        <v>Real</v>
      </c>
      <c r="G9623" s="8">
        <f t="shared" si="1"/>
        <v>12</v>
      </c>
      <c r="H9623" s="14">
        <f t="shared" si="2"/>
        <v>6</v>
      </c>
      <c r="I9623" s="15">
        <f t="shared" si="3"/>
        <v>22</v>
      </c>
    </row>
    <row r="9624">
      <c r="A9624" s="8" t="str">
        <f>IFERROR(__xludf.DUMMYFUNCTION("IF('(INGESTA)Datos_consumo_datadis'!A9624&lt;&gt;"""",SPLIT('(INGESTA)Datos_consumo_datadis'!A:A,"",""),"""")"),"ES0031408323131005HX0F")</f>
        <v>ES0031408323131005HX0F</v>
      </c>
      <c r="B9624" s="12">
        <f>IFERROR(__xludf.DUMMYFUNCTION("""COMPUTED_VALUE"""),45266.0)</f>
        <v>45266</v>
      </c>
      <c r="C9624" s="13">
        <f>IFERROR(__xludf.DUMMYFUNCTION("""COMPUTED_VALUE"""),0.9583333333333334)</f>
        <v>0.9583333333</v>
      </c>
      <c r="D9624" s="8">
        <f>IFERROR(__xludf.DUMMYFUNCTION("""COMPUTED_VALUE"""),0.945)</f>
        <v>0.945</v>
      </c>
      <c r="E9624" s="8" t="str">
        <f>IFERROR(__xludf.DUMMYFUNCTION("""COMPUTED_VALUE"""),"Real")</f>
        <v>Real</v>
      </c>
      <c r="G9624" s="8">
        <f t="shared" si="1"/>
        <v>12</v>
      </c>
      <c r="H9624" s="14">
        <f t="shared" si="2"/>
        <v>6</v>
      </c>
      <c r="I9624" s="15">
        <f t="shared" si="3"/>
        <v>23</v>
      </c>
    </row>
    <row r="9625">
      <c r="A9625" s="8" t="str">
        <f>IFERROR(__xludf.DUMMYFUNCTION("IF('(INGESTA)Datos_consumo_datadis'!A9625&lt;&gt;"""",SPLIT('(INGESTA)Datos_consumo_datadis'!A:A,"",""),"""")"),"ES0031408323131005HX0F")</f>
        <v>ES0031408323131005HX0F</v>
      </c>
      <c r="B9625" s="12">
        <f>IFERROR(__xludf.DUMMYFUNCTION("""COMPUTED_VALUE"""),45266.0)</f>
        <v>45266</v>
      </c>
      <c r="C9625" s="16">
        <f>IFERROR(__xludf.DUMMYFUNCTION("""COMPUTED_VALUE"""),1.0)</f>
        <v>1</v>
      </c>
      <c r="D9625" s="8">
        <f>IFERROR(__xludf.DUMMYFUNCTION("""COMPUTED_VALUE"""),0.425)</f>
        <v>0.425</v>
      </c>
      <c r="E9625" s="8" t="str">
        <f>IFERROR(__xludf.DUMMYFUNCTION("""COMPUTED_VALUE"""),"Real")</f>
        <v>Real</v>
      </c>
      <c r="G9625" s="8">
        <f t="shared" si="1"/>
        <v>12</v>
      </c>
      <c r="H9625" s="14">
        <f t="shared" si="2"/>
        <v>6</v>
      </c>
      <c r="I9625" s="15">
        <f t="shared" si="3"/>
        <v>0</v>
      </c>
    </row>
    <row r="9626">
      <c r="A9626" s="8" t="str">
        <f>IFERROR(__xludf.DUMMYFUNCTION("IF('(INGESTA)Datos_consumo_datadis'!A9626&lt;&gt;"""",SPLIT('(INGESTA)Datos_consumo_datadis'!A:A,"",""),"""")"),"ES0031408323131005HX0F")</f>
        <v>ES0031408323131005HX0F</v>
      </c>
      <c r="B9626" s="12">
        <f>IFERROR(__xludf.DUMMYFUNCTION("""COMPUTED_VALUE"""),45267.0)</f>
        <v>45267</v>
      </c>
      <c r="C9626" s="13">
        <f>IFERROR(__xludf.DUMMYFUNCTION("""COMPUTED_VALUE"""),0.041666666666666664)</f>
        <v>0.04166666667</v>
      </c>
      <c r="D9626" s="8">
        <f>IFERROR(__xludf.DUMMYFUNCTION("""COMPUTED_VALUE"""),0.053)</f>
        <v>0.053</v>
      </c>
      <c r="E9626" s="8" t="str">
        <f>IFERROR(__xludf.DUMMYFUNCTION("""COMPUTED_VALUE"""),"Real")</f>
        <v>Real</v>
      </c>
      <c r="G9626" s="8">
        <f t="shared" si="1"/>
        <v>12</v>
      </c>
      <c r="H9626" s="14">
        <f t="shared" si="2"/>
        <v>7</v>
      </c>
      <c r="I9626" s="15">
        <f t="shared" si="3"/>
        <v>1</v>
      </c>
    </row>
    <row r="9627">
      <c r="A9627" s="8" t="str">
        <f>IFERROR(__xludf.DUMMYFUNCTION("IF('(INGESTA)Datos_consumo_datadis'!A9627&lt;&gt;"""",SPLIT('(INGESTA)Datos_consumo_datadis'!A:A,"",""),"""")"),"ES0031408323131005HX0F")</f>
        <v>ES0031408323131005HX0F</v>
      </c>
      <c r="B9627" s="12">
        <f>IFERROR(__xludf.DUMMYFUNCTION("""COMPUTED_VALUE"""),45267.0)</f>
        <v>45267</v>
      </c>
      <c r="C9627" s="13">
        <f>IFERROR(__xludf.DUMMYFUNCTION("""COMPUTED_VALUE"""),0.08333333333333333)</f>
        <v>0.08333333333</v>
      </c>
      <c r="D9627" s="8">
        <f>IFERROR(__xludf.DUMMYFUNCTION("""COMPUTED_VALUE"""),0.123)</f>
        <v>0.123</v>
      </c>
      <c r="E9627" s="8" t="str">
        <f>IFERROR(__xludf.DUMMYFUNCTION("""COMPUTED_VALUE"""),"Real")</f>
        <v>Real</v>
      </c>
      <c r="G9627" s="8">
        <f t="shared" si="1"/>
        <v>12</v>
      </c>
      <c r="H9627" s="14">
        <f t="shared" si="2"/>
        <v>7</v>
      </c>
      <c r="I9627" s="15">
        <f t="shared" si="3"/>
        <v>2</v>
      </c>
    </row>
    <row r="9628">
      <c r="A9628" s="8" t="str">
        <f>IFERROR(__xludf.DUMMYFUNCTION("IF('(INGESTA)Datos_consumo_datadis'!A9628&lt;&gt;"""",SPLIT('(INGESTA)Datos_consumo_datadis'!A:A,"",""),"""")"),"ES0031408323131005HX0F")</f>
        <v>ES0031408323131005HX0F</v>
      </c>
      <c r="B9628" s="12">
        <f>IFERROR(__xludf.DUMMYFUNCTION("""COMPUTED_VALUE"""),45267.0)</f>
        <v>45267</v>
      </c>
      <c r="C9628" s="13">
        <f>IFERROR(__xludf.DUMMYFUNCTION("""COMPUTED_VALUE"""),0.125)</f>
        <v>0.125</v>
      </c>
      <c r="D9628" s="8">
        <f>IFERROR(__xludf.DUMMYFUNCTION("""COMPUTED_VALUE"""),0.133)</f>
        <v>0.133</v>
      </c>
      <c r="E9628" s="8" t="str">
        <f>IFERROR(__xludf.DUMMYFUNCTION("""COMPUTED_VALUE"""),"Real")</f>
        <v>Real</v>
      </c>
      <c r="G9628" s="8">
        <f t="shared" si="1"/>
        <v>12</v>
      </c>
      <c r="H9628" s="14">
        <f t="shared" si="2"/>
        <v>7</v>
      </c>
      <c r="I9628" s="15">
        <f t="shared" si="3"/>
        <v>3</v>
      </c>
    </row>
    <row r="9629">
      <c r="A9629" s="8" t="str">
        <f>IFERROR(__xludf.DUMMYFUNCTION("IF('(INGESTA)Datos_consumo_datadis'!A9629&lt;&gt;"""",SPLIT('(INGESTA)Datos_consumo_datadis'!A:A,"",""),"""")"),"ES0031408323131005HX0F")</f>
        <v>ES0031408323131005HX0F</v>
      </c>
      <c r="B9629" s="12">
        <f>IFERROR(__xludf.DUMMYFUNCTION("""COMPUTED_VALUE"""),45267.0)</f>
        <v>45267</v>
      </c>
      <c r="C9629" s="13">
        <f>IFERROR(__xludf.DUMMYFUNCTION("""COMPUTED_VALUE"""),0.16666666666666666)</f>
        <v>0.1666666667</v>
      </c>
      <c r="D9629" s="8">
        <f>IFERROR(__xludf.DUMMYFUNCTION("""COMPUTED_VALUE"""),0.034)</f>
        <v>0.034</v>
      </c>
      <c r="E9629" s="8" t="str">
        <f>IFERROR(__xludf.DUMMYFUNCTION("""COMPUTED_VALUE"""),"Real")</f>
        <v>Real</v>
      </c>
      <c r="G9629" s="8">
        <f t="shared" si="1"/>
        <v>12</v>
      </c>
      <c r="H9629" s="14">
        <f t="shared" si="2"/>
        <v>7</v>
      </c>
      <c r="I9629" s="15">
        <f t="shared" si="3"/>
        <v>4</v>
      </c>
    </row>
    <row r="9630">
      <c r="A9630" s="8" t="str">
        <f>IFERROR(__xludf.DUMMYFUNCTION("IF('(INGESTA)Datos_consumo_datadis'!A9630&lt;&gt;"""",SPLIT('(INGESTA)Datos_consumo_datadis'!A:A,"",""),"""")"),"ES0031408323131005HX0F")</f>
        <v>ES0031408323131005HX0F</v>
      </c>
      <c r="B9630" s="12">
        <f>IFERROR(__xludf.DUMMYFUNCTION("""COMPUTED_VALUE"""),45267.0)</f>
        <v>45267</v>
      </c>
      <c r="C9630" s="13">
        <f>IFERROR(__xludf.DUMMYFUNCTION("""COMPUTED_VALUE"""),0.20833333333333334)</f>
        <v>0.2083333333</v>
      </c>
      <c r="D9630" s="8">
        <f>IFERROR(__xludf.DUMMYFUNCTION("""COMPUTED_VALUE"""),0.081)</f>
        <v>0.081</v>
      </c>
      <c r="E9630" s="8" t="str">
        <f>IFERROR(__xludf.DUMMYFUNCTION("""COMPUTED_VALUE"""),"Real")</f>
        <v>Real</v>
      </c>
      <c r="G9630" s="8">
        <f t="shared" si="1"/>
        <v>12</v>
      </c>
      <c r="H9630" s="14">
        <f t="shared" si="2"/>
        <v>7</v>
      </c>
      <c r="I9630" s="15">
        <f t="shared" si="3"/>
        <v>5</v>
      </c>
    </row>
    <row r="9631">
      <c r="A9631" s="8" t="str">
        <f>IFERROR(__xludf.DUMMYFUNCTION("IF('(INGESTA)Datos_consumo_datadis'!A9631&lt;&gt;"""",SPLIT('(INGESTA)Datos_consumo_datadis'!A:A,"",""),"""")"),"ES0031408323131005HX0F")</f>
        <v>ES0031408323131005HX0F</v>
      </c>
      <c r="B9631" s="12">
        <f>IFERROR(__xludf.DUMMYFUNCTION("""COMPUTED_VALUE"""),45267.0)</f>
        <v>45267</v>
      </c>
      <c r="C9631" s="13">
        <f>IFERROR(__xludf.DUMMYFUNCTION("""COMPUTED_VALUE"""),0.25)</f>
        <v>0.25</v>
      </c>
      <c r="D9631" s="8">
        <f>IFERROR(__xludf.DUMMYFUNCTION("""COMPUTED_VALUE"""),0.039)</f>
        <v>0.039</v>
      </c>
      <c r="E9631" s="8" t="str">
        <f>IFERROR(__xludf.DUMMYFUNCTION("""COMPUTED_VALUE"""),"Real")</f>
        <v>Real</v>
      </c>
      <c r="G9631" s="8">
        <f t="shared" si="1"/>
        <v>12</v>
      </c>
      <c r="H9631" s="14">
        <f t="shared" si="2"/>
        <v>7</v>
      </c>
      <c r="I9631" s="15">
        <f t="shared" si="3"/>
        <v>6</v>
      </c>
    </row>
    <row r="9632">
      <c r="A9632" s="8" t="str">
        <f>IFERROR(__xludf.DUMMYFUNCTION("IF('(INGESTA)Datos_consumo_datadis'!A9632&lt;&gt;"""",SPLIT('(INGESTA)Datos_consumo_datadis'!A:A,"",""),"""")"),"ES0031408323131005HX0F")</f>
        <v>ES0031408323131005HX0F</v>
      </c>
      <c r="B9632" s="12">
        <f>IFERROR(__xludf.DUMMYFUNCTION("""COMPUTED_VALUE"""),45267.0)</f>
        <v>45267</v>
      </c>
      <c r="C9632" s="13">
        <f>IFERROR(__xludf.DUMMYFUNCTION("""COMPUTED_VALUE"""),0.2916666666666667)</f>
        <v>0.2916666667</v>
      </c>
      <c r="D9632" s="8">
        <f>IFERROR(__xludf.DUMMYFUNCTION("""COMPUTED_VALUE"""),0.342)</f>
        <v>0.342</v>
      </c>
      <c r="E9632" s="8" t="str">
        <f>IFERROR(__xludf.DUMMYFUNCTION("""COMPUTED_VALUE"""),"Real")</f>
        <v>Real</v>
      </c>
      <c r="G9632" s="8">
        <f t="shared" si="1"/>
        <v>12</v>
      </c>
      <c r="H9632" s="14">
        <f t="shared" si="2"/>
        <v>7</v>
      </c>
      <c r="I9632" s="15">
        <f t="shared" si="3"/>
        <v>7</v>
      </c>
    </row>
    <row r="9633">
      <c r="A9633" s="8" t="str">
        <f>IFERROR(__xludf.DUMMYFUNCTION("IF('(INGESTA)Datos_consumo_datadis'!A9633&lt;&gt;"""",SPLIT('(INGESTA)Datos_consumo_datadis'!A:A,"",""),"""")"),"ES0031408323131005HX0F")</f>
        <v>ES0031408323131005HX0F</v>
      </c>
      <c r="B9633" s="12">
        <f>IFERROR(__xludf.DUMMYFUNCTION("""COMPUTED_VALUE"""),45267.0)</f>
        <v>45267</v>
      </c>
      <c r="C9633" s="13">
        <f>IFERROR(__xludf.DUMMYFUNCTION("""COMPUTED_VALUE"""),0.3333333333333333)</f>
        <v>0.3333333333</v>
      </c>
      <c r="D9633" s="8">
        <f>IFERROR(__xludf.DUMMYFUNCTION("""COMPUTED_VALUE"""),0.125)</f>
        <v>0.125</v>
      </c>
      <c r="E9633" s="8" t="str">
        <f>IFERROR(__xludf.DUMMYFUNCTION("""COMPUTED_VALUE"""),"Real")</f>
        <v>Real</v>
      </c>
      <c r="G9633" s="8">
        <f t="shared" si="1"/>
        <v>12</v>
      </c>
      <c r="H9633" s="14">
        <f t="shared" si="2"/>
        <v>7</v>
      </c>
      <c r="I9633" s="15">
        <f t="shared" si="3"/>
        <v>8</v>
      </c>
    </row>
    <row r="9634">
      <c r="A9634" s="8" t="str">
        <f>IFERROR(__xludf.DUMMYFUNCTION("IF('(INGESTA)Datos_consumo_datadis'!A9634&lt;&gt;"""",SPLIT('(INGESTA)Datos_consumo_datadis'!A:A,"",""),"""")"),"ES0031408323131005HX0F")</f>
        <v>ES0031408323131005HX0F</v>
      </c>
      <c r="B9634" s="12">
        <f>IFERROR(__xludf.DUMMYFUNCTION("""COMPUTED_VALUE"""),45267.0)</f>
        <v>45267</v>
      </c>
      <c r="C9634" s="13">
        <f>IFERROR(__xludf.DUMMYFUNCTION("""COMPUTED_VALUE"""),0.375)</f>
        <v>0.375</v>
      </c>
      <c r="D9634" s="8">
        <f>IFERROR(__xludf.DUMMYFUNCTION("""COMPUTED_VALUE"""),0.103)</f>
        <v>0.103</v>
      </c>
      <c r="E9634" s="8" t="str">
        <f>IFERROR(__xludf.DUMMYFUNCTION("""COMPUTED_VALUE"""),"Real")</f>
        <v>Real</v>
      </c>
      <c r="G9634" s="8">
        <f t="shared" si="1"/>
        <v>12</v>
      </c>
      <c r="H9634" s="14">
        <f t="shared" si="2"/>
        <v>7</v>
      </c>
      <c r="I9634" s="15">
        <f t="shared" si="3"/>
        <v>9</v>
      </c>
    </row>
    <row r="9635">
      <c r="A9635" s="8" t="str">
        <f>IFERROR(__xludf.DUMMYFUNCTION("IF('(INGESTA)Datos_consumo_datadis'!A9635&lt;&gt;"""",SPLIT('(INGESTA)Datos_consumo_datadis'!A:A,"",""),"""")"),"ES0031408323131005HX0F")</f>
        <v>ES0031408323131005HX0F</v>
      </c>
      <c r="B9635" s="12">
        <f>IFERROR(__xludf.DUMMYFUNCTION("""COMPUTED_VALUE"""),45267.0)</f>
        <v>45267</v>
      </c>
      <c r="C9635" s="13">
        <f>IFERROR(__xludf.DUMMYFUNCTION("""COMPUTED_VALUE"""),0.4166666666666667)</f>
        <v>0.4166666667</v>
      </c>
      <c r="D9635" s="8">
        <f>IFERROR(__xludf.DUMMYFUNCTION("""COMPUTED_VALUE"""),0.073)</f>
        <v>0.073</v>
      </c>
      <c r="E9635" s="8" t="str">
        <f>IFERROR(__xludf.DUMMYFUNCTION("""COMPUTED_VALUE"""),"Real")</f>
        <v>Real</v>
      </c>
      <c r="G9635" s="8">
        <f t="shared" si="1"/>
        <v>12</v>
      </c>
      <c r="H9635" s="14">
        <f t="shared" si="2"/>
        <v>7</v>
      </c>
      <c r="I9635" s="15">
        <f t="shared" si="3"/>
        <v>10</v>
      </c>
    </row>
    <row r="9636">
      <c r="A9636" s="8" t="str">
        <f>IFERROR(__xludf.DUMMYFUNCTION("IF('(INGESTA)Datos_consumo_datadis'!A9636&lt;&gt;"""",SPLIT('(INGESTA)Datos_consumo_datadis'!A:A,"",""),"""")"),"ES0031408323131005HX0F")</f>
        <v>ES0031408323131005HX0F</v>
      </c>
      <c r="B9636" s="12">
        <f>IFERROR(__xludf.DUMMYFUNCTION("""COMPUTED_VALUE"""),45267.0)</f>
        <v>45267</v>
      </c>
      <c r="C9636" s="13">
        <f>IFERROR(__xludf.DUMMYFUNCTION("""COMPUTED_VALUE"""),0.4583333333333333)</f>
        <v>0.4583333333</v>
      </c>
      <c r="D9636" s="8">
        <f>IFERROR(__xludf.DUMMYFUNCTION("""COMPUTED_VALUE"""),0.024)</f>
        <v>0.024</v>
      </c>
      <c r="E9636" s="8" t="str">
        <f>IFERROR(__xludf.DUMMYFUNCTION("""COMPUTED_VALUE"""),"Real")</f>
        <v>Real</v>
      </c>
      <c r="G9636" s="8">
        <f t="shared" si="1"/>
        <v>12</v>
      </c>
      <c r="H9636" s="14">
        <f t="shared" si="2"/>
        <v>7</v>
      </c>
      <c r="I9636" s="15">
        <f t="shared" si="3"/>
        <v>11</v>
      </c>
    </row>
    <row r="9637">
      <c r="A9637" s="8" t="str">
        <f>IFERROR(__xludf.DUMMYFUNCTION("IF('(INGESTA)Datos_consumo_datadis'!A9637&lt;&gt;"""",SPLIT('(INGESTA)Datos_consumo_datadis'!A:A,"",""),"""")"),"ES0031408323131005HX0F")</f>
        <v>ES0031408323131005HX0F</v>
      </c>
      <c r="B9637" s="12">
        <f>IFERROR(__xludf.DUMMYFUNCTION("""COMPUTED_VALUE"""),45267.0)</f>
        <v>45267</v>
      </c>
      <c r="C9637" s="13">
        <f>IFERROR(__xludf.DUMMYFUNCTION("""COMPUTED_VALUE"""),0.5)</f>
        <v>0.5</v>
      </c>
      <c r="D9637" s="8">
        <f>IFERROR(__xludf.DUMMYFUNCTION("""COMPUTED_VALUE"""),0.073)</f>
        <v>0.073</v>
      </c>
      <c r="E9637" s="8" t="str">
        <f>IFERROR(__xludf.DUMMYFUNCTION("""COMPUTED_VALUE"""),"Real")</f>
        <v>Real</v>
      </c>
      <c r="G9637" s="8">
        <f t="shared" si="1"/>
        <v>12</v>
      </c>
      <c r="H9637" s="14">
        <f t="shared" si="2"/>
        <v>7</v>
      </c>
      <c r="I9637" s="15">
        <f t="shared" si="3"/>
        <v>12</v>
      </c>
    </row>
    <row r="9638">
      <c r="A9638" s="8" t="str">
        <f>IFERROR(__xludf.DUMMYFUNCTION("IF('(INGESTA)Datos_consumo_datadis'!A9638&lt;&gt;"""",SPLIT('(INGESTA)Datos_consumo_datadis'!A:A,"",""),"""")"),"ES0031408323131005HX0F")</f>
        <v>ES0031408323131005HX0F</v>
      </c>
      <c r="B9638" s="12">
        <f>IFERROR(__xludf.DUMMYFUNCTION("""COMPUTED_VALUE"""),45267.0)</f>
        <v>45267</v>
      </c>
      <c r="C9638" s="13">
        <f>IFERROR(__xludf.DUMMYFUNCTION("""COMPUTED_VALUE"""),0.5416666666666666)</f>
        <v>0.5416666667</v>
      </c>
      <c r="D9638" s="8">
        <f>IFERROR(__xludf.DUMMYFUNCTION("""COMPUTED_VALUE"""),0.852)</f>
        <v>0.852</v>
      </c>
      <c r="E9638" s="8" t="str">
        <f>IFERROR(__xludf.DUMMYFUNCTION("""COMPUTED_VALUE"""),"Real")</f>
        <v>Real</v>
      </c>
      <c r="G9638" s="8">
        <f t="shared" si="1"/>
        <v>12</v>
      </c>
      <c r="H9638" s="14">
        <f t="shared" si="2"/>
        <v>7</v>
      </c>
      <c r="I9638" s="15">
        <f t="shared" si="3"/>
        <v>13</v>
      </c>
    </row>
    <row r="9639">
      <c r="A9639" s="8" t="str">
        <f>IFERROR(__xludf.DUMMYFUNCTION("IF('(INGESTA)Datos_consumo_datadis'!A9639&lt;&gt;"""",SPLIT('(INGESTA)Datos_consumo_datadis'!A:A,"",""),"""")"),"ES0031408323131005HX0F")</f>
        <v>ES0031408323131005HX0F</v>
      </c>
      <c r="B9639" s="12">
        <f>IFERROR(__xludf.DUMMYFUNCTION("""COMPUTED_VALUE"""),45267.0)</f>
        <v>45267</v>
      </c>
      <c r="C9639" s="13">
        <f>IFERROR(__xludf.DUMMYFUNCTION("""COMPUTED_VALUE"""),0.5833333333333334)</f>
        <v>0.5833333333</v>
      </c>
      <c r="D9639" s="8">
        <f>IFERROR(__xludf.DUMMYFUNCTION("""COMPUTED_VALUE"""),0.846)</f>
        <v>0.846</v>
      </c>
      <c r="E9639" s="8" t="str">
        <f>IFERROR(__xludf.DUMMYFUNCTION("""COMPUTED_VALUE"""),"Real")</f>
        <v>Real</v>
      </c>
      <c r="G9639" s="8">
        <f t="shared" si="1"/>
        <v>12</v>
      </c>
      <c r="H9639" s="14">
        <f t="shared" si="2"/>
        <v>7</v>
      </c>
      <c r="I9639" s="15">
        <f t="shared" si="3"/>
        <v>14</v>
      </c>
    </row>
    <row r="9640">
      <c r="A9640" s="8" t="str">
        <f>IFERROR(__xludf.DUMMYFUNCTION("IF('(INGESTA)Datos_consumo_datadis'!A9640&lt;&gt;"""",SPLIT('(INGESTA)Datos_consumo_datadis'!A:A,"",""),"""")"),"ES0031408323131005HX0F")</f>
        <v>ES0031408323131005HX0F</v>
      </c>
      <c r="B9640" s="12">
        <f>IFERROR(__xludf.DUMMYFUNCTION("""COMPUTED_VALUE"""),45267.0)</f>
        <v>45267</v>
      </c>
      <c r="C9640" s="13">
        <f>IFERROR(__xludf.DUMMYFUNCTION("""COMPUTED_VALUE"""),0.625)</f>
        <v>0.625</v>
      </c>
      <c r="D9640" s="8">
        <f>IFERROR(__xludf.DUMMYFUNCTION("""COMPUTED_VALUE"""),0.445)</f>
        <v>0.445</v>
      </c>
      <c r="E9640" s="8" t="str">
        <f>IFERROR(__xludf.DUMMYFUNCTION("""COMPUTED_VALUE"""),"Real")</f>
        <v>Real</v>
      </c>
      <c r="G9640" s="8">
        <f t="shared" si="1"/>
        <v>12</v>
      </c>
      <c r="H9640" s="14">
        <f t="shared" si="2"/>
        <v>7</v>
      </c>
      <c r="I9640" s="15">
        <f t="shared" si="3"/>
        <v>15</v>
      </c>
    </row>
    <row r="9641">
      <c r="A9641" s="8" t="str">
        <f>IFERROR(__xludf.DUMMYFUNCTION("IF('(INGESTA)Datos_consumo_datadis'!A9641&lt;&gt;"""",SPLIT('(INGESTA)Datos_consumo_datadis'!A:A,"",""),"""")"),"ES0031408323131005HX0F")</f>
        <v>ES0031408323131005HX0F</v>
      </c>
      <c r="B9641" s="12">
        <f>IFERROR(__xludf.DUMMYFUNCTION("""COMPUTED_VALUE"""),45267.0)</f>
        <v>45267</v>
      </c>
      <c r="C9641" s="13">
        <f>IFERROR(__xludf.DUMMYFUNCTION("""COMPUTED_VALUE"""),0.6666666666666666)</f>
        <v>0.6666666667</v>
      </c>
      <c r="D9641" s="8">
        <f>IFERROR(__xludf.DUMMYFUNCTION("""COMPUTED_VALUE"""),0.078)</f>
        <v>0.078</v>
      </c>
      <c r="E9641" s="8" t="str">
        <f>IFERROR(__xludf.DUMMYFUNCTION("""COMPUTED_VALUE"""),"Real")</f>
        <v>Real</v>
      </c>
      <c r="G9641" s="8">
        <f t="shared" si="1"/>
        <v>12</v>
      </c>
      <c r="H9641" s="14">
        <f t="shared" si="2"/>
        <v>7</v>
      </c>
      <c r="I9641" s="15">
        <f t="shared" si="3"/>
        <v>16</v>
      </c>
    </row>
    <row r="9642">
      <c r="A9642" s="8" t="str">
        <f>IFERROR(__xludf.DUMMYFUNCTION("IF('(INGESTA)Datos_consumo_datadis'!A9642&lt;&gt;"""",SPLIT('(INGESTA)Datos_consumo_datadis'!A:A,"",""),"""")"),"ES0031408323131005HX0F")</f>
        <v>ES0031408323131005HX0F</v>
      </c>
      <c r="B9642" s="12">
        <f>IFERROR(__xludf.DUMMYFUNCTION("""COMPUTED_VALUE"""),45267.0)</f>
        <v>45267</v>
      </c>
      <c r="C9642" s="13">
        <f>IFERROR(__xludf.DUMMYFUNCTION("""COMPUTED_VALUE"""),0.7083333333333334)</f>
        <v>0.7083333333</v>
      </c>
      <c r="D9642" s="8">
        <f>IFERROR(__xludf.DUMMYFUNCTION("""COMPUTED_VALUE"""),0.058)</f>
        <v>0.058</v>
      </c>
      <c r="E9642" s="8" t="str">
        <f>IFERROR(__xludf.DUMMYFUNCTION("""COMPUTED_VALUE"""),"Real")</f>
        <v>Real</v>
      </c>
      <c r="G9642" s="8">
        <f t="shared" si="1"/>
        <v>12</v>
      </c>
      <c r="H9642" s="14">
        <f t="shared" si="2"/>
        <v>7</v>
      </c>
      <c r="I9642" s="15">
        <f t="shared" si="3"/>
        <v>17</v>
      </c>
    </row>
    <row r="9643">
      <c r="A9643" s="8" t="str">
        <f>IFERROR(__xludf.DUMMYFUNCTION("IF('(INGESTA)Datos_consumo_datadis'!A9643&lt;&gt;"""",SPLIT('(INGESTA)Datos_consumo_datadis'!A:A,"",""),"""")"),"ES0031408323131005HX0F")</f>
        <v>ES0031408323131005HX0F</v>
      </c>
      <c r="B9643" s="12">
        <f>IFERROR(__xludf.DUMMYFUNCTION("""COMPUTED_VALUE"""),45267.0)</f>
        <v>45267</v>
      </c>
      <c r="C9643" s="13">
        <f>IFERROR(__xludf.DUMMYFUNCTION("""COMPUTED_VALUE"""),0.75)</f>
        <v>0.75</v>
      </c>
      <c r="D9643" s="8">
        <f>IFERROR(__xludf.DUMMYFUNCTION("""COMPUTED_VALUE"""),0.106)</f>
        <v>0.106</v>
      </c>
      <c r="E9643" s="8" t="str">
        <f>IFERROR(__xludf.DUMMYFUNCTION("""COMPUTED_VALUE"""),"Real")</f>
        <v>Real</v>
      </c>
      <c r="G9643" s="8">
        <f t="shared" si="1"/>
        <v>12</v>
      </c>
      <c r="H9643" s="14">
        <f t="shared" si="2"/>
        <v>7</v>
      </c>
      <c r="I9643" s="15">
        <f t="shared" si="3"/>
        <v>18</v>
      </c>
    </row>
    <row r="9644">
      <c r="A9644" s="8" t="str">
        <f>IFERROR(__xludf.DUMMYFUNCTION("IF('(INGESTA)Datos_consumo_datadis'!A9644&lt;&gt;"""",SPLIT('(INGESTA)Datos_consumo_datadis'!A:A,"",""),"""")"),"ES0031408323131005HX0F")</f>
        <v>ES0031408323131005HX0F</v>
      </c>
      <c r="B9644" s="12">
        <f>IFERROR(__xludf.DUMMYFUNCTION("""COMPUTED_VALUE"""),45267.0)</f>
        <v>45267</v>
      </c>
      <c r="C9644" s="13">
        <f>IFERROR(__xludf.DUMMYFUNCTION("""COMPUTED_VALUE"""),0.7916666666666666)</f>
        <v>0.7916666667</v>
      </c>
      <c r="D9644" s="8">
        <f>IFERROR(__xludf.DUMMYFUNCTION("""COMPUTED_VALUE"""),0.303)</f>
        <v>0.303</v>
      </c>
      <c r="E9644" s="8" t="str">
        <f>IFERROR(__xludf.DUMMYFUNCTION("""COMPUTED_VALUE"""),"Real")</f>
        <v>Real</v>
      </c>
      <c r="G9644" s="8">
        <f t="shared" si="1"/>
        <v>12</v>
      </c>
      <c r="H9644" s="14">
        <f t="shared" si="2"/>
        <v>7</v>
      </c>
      <c r="I9644" s="15">
        <f t="shared" si="3"/>
        <v>19</v>
      </c>
    </row>
    <row r="9645">
      <c r="A9645" s="8" t="str">
        <f>IFERROR(__xludf.DUMMYFUNCTION("IF('(INGESTA)Datos_consumo_datadis'!A9645&lt;&gt;"""",SPLIT('(INGESTA)Datos_consumo_datadis'!A:A,"",""),"""")"),"ES0031408323131005HX0F")</f>
        <v>ES0031408323131005HX0F</v>
      </c>
      <c r="B9645" s="12">
        <f>IFERROR(__xludf.DUMMYFUNCTION("""COMPUTED_VALUE"""),45267.0)</f>
        <v>45267</v>
      </c>
      <c r="C9645" s="13">
        <f>IFERROR(__xludf.DUMMYFUNCTION("""COMPUTED_VALUE"""),0.8333333333333334)</f>
        <v>0.8333333333</v>
      </c>
      <c r="D9645" s="8">
        <f>IFERROR(__xludf.DUMMYFUNCTION("""COMPUTED_VALUE"""),0.799)</f>
        <v>0.799</v>
      </c>
      <c r="E9645" s="8" t="str">
        <f>IFERROR(__xludf.DUMMYFUNCTION("""COMPUTED_VALUE"""),"Real")</f>
        <v>Real</v>
      </c>
      <c r="G9645" s="8">
        <f t="shared" si="1"/>
        <v>12</v>
      </c>
      <c r="H9645" s="14">
        <f t="shared" si="2"/>
        <v>7</v>
      </c>
      <c r="I9645" s="15">
        <f t="shared" si="3"/>
        <v>20</v>
      </c>
    </row>
    <row r="9646">
      <c r="A9646" s="8" t="str">
        <f>IFERROR(__xludf.DUMMYFUNCTION("IF('(INGESTA)Datos_consumo_datadis'!A9646&lt;&gt;"""",SPLIT('(INGESTA)Datos_consumo_datadis'!A:A,"",""),"""")"),"ES0031408323131005HX0F")</f>
        <v>ES0031408323131005HX0F</v>
      </c>
      <c r="B9646" s="12">
        <f>IFERROR(__xludf.DUMMYFUNCTION("""COMPUTED_VALUE"""),45267.0)</f>
        <v>45267</v>
      </c>
      <c r="C9646" s="13">
        <f>IFERROR(__xludf.DUMMYFUNCTION("""COMPUTED_VALUE"""),0.875)</f>
        <v>0.875</v>
      </c>
      <c r="D9646" s="8">
        <f>IFERROR(__xludf.DUMMYFUNCTION("""COMPUTED_VALUE"""),2.094)</f>
        <v>2.094</v>
      </c>
      <c r="E9646" s="8" t="str">
        <f>IFERROR(__xludf.DUMMYFUNCTION("""COMPUTED_VALUE"""),"Real")</f>
        <v>Real</v>
      </c>
      <c r="G9646" s="8">
        <f t="shared" si="1"/>
        <v>12</v>
      </c>
      <c r="H9646" s="14">
        <f t="shared" si="2"/>
        <v>7</v>
      </c>
      <c r="I9646" s="15">
        <f t="shared" si="3"/>
        <v>21</v>
      </c>
    </row>
    <row r="9647">
      <c r="A9647" s="8" t="str">
        <f>IFERROR(__xludf.DUMMYFUNCTION("IF('(INGESTA)Datos_consumo_datadis'!A9647&lt;&gt;"""",SPLIT('(INGESTA)Datos_consumo_datadis'!A:A,"",""),"""")"),"ES0031408323131005HX0F")</f>
        <v>ES0031408323131005HX0F</v>
      </c>
      <c r="B9647" s="12">
        <f>IFERROR(__xludf.DUMMYFUNCTION("""COMPUTED_VALUE"""),45267.0)</f>
        <v>45267</v>
      </c>
      <c r="C9647" s="13">
        <f>IFERROR(__xludf.DUMMYFUNCTION("""COMPUTED_VALUE"""),0.9166666666666666)</f>
        <v>0.9166666667</v>
      </c>
      <c r="D9647" s="8">
        <f>IFERROR(__xludf.DUMMYFUNCTION("""COMPUTED_VALUE"""),1.597)</f>
        <v>1.597</v>
      </c>
      <c r="E9647" s="8" t="str">
        <f>IFERROR(__xludf.DUMMYFUNCTION("""COMPUTED_VALUE"""),"Real")</f>
        <v>Real</v>
      </c>
      <c r="G9647" s="8">
        <f t="shared" si="1"/>
        <v>12</v>
      </c>
      <c r="H9647" s="14">
        <f t="shared" si="2"/>
        <v>7</v>
      </c>
      <c r="I9647" s="15">
        <f t="shared" si="3"/>
        <v>22</v>
      </c>
    </row>
    <row r="9648">
      <c r="A9648" s="8" t="str">
        <f>IFERROR(__xludf.DUMMYFUNCTION("IF('(INGESTA)Datos_consumo_datadis'!A9648&lt;&gt;"""",SPLIT('(INGESTA)Datos_consumo_datadis'!A:A,"",""),"""")"),"ES0031408323131005HX0F")</f>
        <v>ES0031408323131005HX0F</v>
      </c>
      <c r="B9648" s="12">
        <f>IFERROR(__xludf.DUMMYFUNCTION("""COMPUTED_VALUE"""),45267.0)</f>
        <v>45267</v>
      </c>
      <c r="C9648" s="13">
        <f>IFERROR(__xludf.DUMMYFUNCTION("""COMPUTED_VALUE"""),0.9583333333333334)</f>
        <v>0.9583333333</v>
      </c>
      <c r="D9648" s="8">
        <f>IFERROR(__xludf.DUMMYFUNCTION("""COMPUTED_VALUE"""),0.19)</f>
        <v>0.19</v>
      </c>
      <c r="E9648" s="8" t="str">
        <f>IFERROR(__xludf.DUMMYFUNCTION("""COMPUTED_VALUE"""),"Real")</f>
        <v>Real</v>
      </c>
      <c r="G9648" s="8">
        <f t="shared" si="1"/>
        <v>12</v>
      </c>
      <c r="H9648" s="14">
        <f t="shared" si="2"/>
        <v>7</v>
      </c>
      <c r="I9648" s="15">
        <f t="shared" si="3"/>
        <v>23</v>
      </c>
    </row>
    <row r="9649">
      <c r="A9649" s="8" t="str">
        <f>IFERROR(__xludf.DUMMYFUNCTION("IF('(INGESTA)Datos_consumo_datadis'!A9649&lt;&gt;"""",SPLIT('(INGESTA)Datos_consumo_datadis'!A:A,"",""),"""")"),"ES0031408323131005HX0F")</f>
        <v>ES0031408323131005HX0F</v>
      </c>
      <c r="B9649" s="12">
        <f>IFERROR(__xludf.DUMMYFUNCTION("""COMPUTED_VALUE"""),45267.0)</f>
        <v>45267</v>
      </c>
      <c r="C9649" s="16">
        <f>IFERROR(__xludf.DUMMYFUNCTION("""COMPUTED_VALUE"""),1.0)</f>
        <v>1</v>
      </c>
      <c r="D9649" s="8">
        <f>IFERROR(__xludf.DUMMYFUNCTION("""COMPUTED_VALUE"""),0.107)</f>
        <v>0.107</v>
      </c>
      <c r="E9649" s="8" t="str">
        <f>IFERROR(__xludf.DUMMYFUNCTION("""COMPUTED_VALUE"""),"Real")</f>
        <v>Real</v>
      </c>
      <c r="G9649" s="8">
        <f t="shared" si="1"/>
        <v>12</v>
      </c>
      <c r="H9649" s="14">
        <f t="shared" si="2"/>
        <v>7</v>
      </c>
      <c r="I9649" s="15">
        <f t="shared" si="3"/>
        <v>0</v>
      </c>
    </row>
    <row r="9650">
      <c r="A9650" s="8" t="str">
        <f>IFERROR(__xludf.DUMMYFUNCTION("IF('(INGESTA)Datos_consumo_datadis'!A9650&lt;&gt;"""",SPLIT('(INGESTA)Datos_consumo_datadis'!A:A,"",""),"""")"),"ES0031408323131005HX0F")</f>
        <v>ES0031408323131005HX0F</v>
      </c>
      <c r="B9650" s="12">
        <f>IFERROR(__xludf.DUMMYFUNCTION("""COMPUTED_VALUE"""),45268.0)</f>
        <v>45268</v>
      </c>
      <c r="C9650" s="13">
        <f>IFERROR(__xludf.DUMMYFUNCTION("""COMPUTED_VALUE"""),0.041666666666666664)</f>
        <v>0.04166666667</v>
      </c>
      <c r="D9650" s="8">
        <f>IFERROR(__xludf.DUMMYFUNCTION("""COMPUTED_VALUE"""),0.302)</f>
        <v>0.302</v>
      </c>
      <c r="E9650" s="8" t="str">
        <f>IFERROR(__xludf.DUMMYFUNCTION("""COMPUTED_VALUE"""),"Real")</f>
        <v>Real</v>
      </c>
      <c r="G9650" s="8">
        <f t="shared" si="1"/>
        <v>12</v>
      </c>
      <c r="H9650" s="14">
        <f t="shared" si="2"/>
        <v>8</v>
      </c>
      <c r="I9650" s="15">
        <f t="shared" si="3"/>
        <v>1</v>
      </c>
    </row>
    <row r="9651">
      <c r="A9651" s="8" t="str">
        <f>IFERROR(__xludf.DUMMYFUNCTION("IF('(INGESTA)Datos_consumo_datadis'!A9651&lt;&gt;"""",SPLIT('(INGESTA)Datos_consumo_datadis'!A:A,"",""),"""")"),"ES0031408323131005HX0F")</f>
        <v>ES0031408323131005HX0F</v>
      </c>
      <c r="B9651" s="12">
        <f>IFERROR(__xludf.DUMMYFUNCTION("""COMPUTED_VALUE"""),45268.0)</f>
        <v>45268</v>
      </c>
      <c r="C9651" s="13">
        <f>IFERROR(__xludf.DUMMYFUNCTION("""COMPUTED_VALUE"""),0.08333333333333333)</f>
        <v>0.08333333333</v>
      </c>
      <c r="D9651" s="8">
        <f>IFERROR(__xludf.DUMMYFUNCTION("""COMPUTED_VALUE"""),0.061)</f>
        <v>0.061</v>
      </c>
      <c r="E9651" s="8" t="str">
        <f>IFERROR(__xludf.DUMMYFUNCTION("""COMPUTED_VALUE"""),"Real")</f>
        <v>Real</v>
      </c>
      <c r="G9651" s="8">
        <f t="shared" si="1"/>
        <v>12</v>
      </c>
      <c r="H9651" s="14">
        <f t="shared" si="2"/>
        <v>8</v>
      </c>
      <c r="I9651" s="15">
        <f t="shared" si="3"/>
        <v>2</v>
      </c>
    </row>
    <row r="9652">
      <c r="A9652" s="8" t="str">
        <f>IFERROR(__xludf.DUMMYFUNCTION("IF('(INGESTA)Datos_consumo_datadis'!A9652&lt;&gt;"""",SPLIT('(INGESTA)Datos_consumo_datadis'!A:A,"",""),"""")"),"ES0031408323131005HX0F")</f>
        <v>ES0031408323131005HX0F</v>
      </c>
      <c r="B9652" s="12">
        <f>IFERROR(__xludf.DUMMYFUNCTION("""COMPUTED_VALUE"""),45268.0)</f>
        <v>45268</v>
      </c>
      <c r="C9652" s="13">
        <f>IFERROR(__xludf.DUMMYFUNCTION("""COMPUTED_VALUE"""),0.125)</f>
        <v>0.125</v>
      </c>
      <c r="D9652" s="8">
        <f>IFERROR(__xludf.DUMMYFUNCTION("""COMPUTED_VALUE"""),0.084)</f>
        <v>0.084</v>
      </c>
      <c r="E9652" s="8" t="str">
        <f>IFERROR(__xludf.DUMMYFUNCTION("""COMPUTED_VALUE"""),"Real")</f>
        <v>Real</v>
      </c>
      <c r="G9652" s="8">
        <f t="shared" si="1"/>
        <v>12</v>
      </c>
      <c r="H9652" s="14">
        <f t="shared" si="2"/>
        <v>8</v>
      </c>
      <c r="I9652" s="15">
        <f t="shared" si="3"/>
        <v>3</v>
      </c>
    </row>
    <row r="9653">
      <c r="A9653" s="8" t="str">
        <f>IFERROR(__xludf.DUMMYFUNCTION("IF('(INGESTA)Datos_consumo_datadis'!A9653&lt;&gt;"""",SPLIT('(INGESTA)Datos_consumo_datadis'!A:A,"",""),"""")"),"ES0031408323131005HX0F")</f>
        <v>ES0031408323131005HX0F</v>
      </c>
      <c r="B9653" s="12">
        <f>IFERROR(__xludf.DUMMYFUNCTION("""COMPUTED_VALUE"""),45268.0)</f>
        <v>45268</v>
      </c>
      <c r="C9653" s="13">
        <f>IFERROR(__xludf.DUMMYFUNCTION("""COMPUTED_VALUE"""),0.16666666666666666)</f>
        <v>0.1666666667</v>
      </c>
      <c r="D9653" s="8">
        <f>IFERROR(__xludf.DUMMYFUNCTION("""COMPUTED_VALUE"""),0.093)</f>
        <v>0.093</v>
      </c>
      <c r="E9653" s="8" t="str">
        <f>IFERROR(__xludf.DUMMYFUNCTION("""COMPUTED_VALUE"""),"Real")</f>
        <v>Real</v>
      </c>
      <c r="G9653" s="8">
        <f t="shared" si="1"/>
        <v>12</v>
      </c>
      <c r="H9653" s="14">
        <f t="shared" si="2"/>
        <v>8</v>
      </c>
      <c r="I9653" s="15">
        <f t="shared" si="3"/>
        <v>4</v>
      </c>
    </row>
    <row r="9654">
      <c r="A9654" s="8" t="str">
        <f>IFERROR(__xludf.DUMMYFUNCTION("IF('(INGESTA)Datos_consumo_datadis'!A9654&lt;&gt;"""",SPLIT('(INGESTA)Datos_consumo_datadis'!A:A,"",""),"""")"),"ES0031408323131005HX0F")</f>
        <v>ES0031408323131005HX0F</v>
      </c>
      <c r="B9654" s="12">
        <f>IFERROR(__xludf.DUMMYFUNCTION("""COMPUTED_VALUE"""),45268.0)</f>
        <v>45268</v>
      </c>
      <c r="C9654" s="13">
        <f>IFERROR(__xludf.DUMMYFUNCTION("""COMPUTED_VALUE"""),0.20833333333333334)</f>
        <v>0.2083333333</v>
      </c>
      <c r="D9654" s="8">
        <f>IFERROR(__xludf.DUMMYFUNCTION("""COMPUTED_VALUE"""),0.082)</f>
        <v>0.082</v>
      </c>
      <c r="E9654" s="8" t="str">
        <f>IFERROR(__xludf.DUMMYFUNCTION("""COMPUTED_VALUE"""),"Real")</f>
        <v>Real</v>
      </c>
      <c r="G9654" s="8">
        <f t="shared" si="1"/>
        <v>12</v>
      </c>
      <c r="H9654" s="14">
        <f t="shared" si="2"/>
        <v>8</v>
      </c>
      <c r="I9654" s="15">
        <f t="shared" si="3"/>
        <v>5</v>
      </c>
    </row>
    <row r="9655">
      <c r="A9655" s="8" t="str">
        <f>IFERROR(__xludf.DUMMYFUNCTION("IF('(INGESTA)Datos_consumo_datadis'!A9655&lt;&gt;"""",SPLIT('(INGESTA)Datos_consumo_datadis'!A:A,"",""),"""")"),"ES0031408323131005HX0F")</f>
        <v>ES0031408323131005HX0F</v>
      </c>
      <c r="B9655" s="12">
        <f>IFERROR(__xludf.DUMMYFUNCTION("""COMPUTED_VALUE"""),45268.0)</f>
        <v>45268</v>
      </c>
      <c r="C9655" s="13">
        <f>IFERROR(__xludf.DUMMYFUNCTION("""COMPUTED_VALUE"""),0.25)</f>
        <v>0.25</v>
      </c>
      <c r="D9655" s="8">
        <f>IFERROR(__xludf.DUMMYFUNCTION("""COMPUTED_VALUE"""),0.041)</f>
        <v>0.041</v>
      </c>
      <c r="E9655" s="8" t="str">
        <f>IFERROR(__xludf.DUMMYFUNCTION("""COMPUTED_VALUE"""),"Real")</f>
        <v>Real</v>
      </c>
      <c r="G9655" s="8">
        <f t="shared" si="1"/>
        <v>12</v>
      </c>
      <c r="H9655" s="14">
        <f t="shared" si="2"/>
        <v>8</v>
      </c>
      <c r="I9655" s="15">
        <f t="shared" si="3"/>
        <v>6</v>
      </c>
    </row>
    <row r="9656">
      <c r="A9656" s="8" t="str">
        <f>IFERROR(__xludf.DUMMYFUNCTION("IF('(INGESTA)Datos_consumo_datadis'!A9656&lt;&gt;"""",SPLIT('(INGESTA)Datos_consumo_datadis'!A:A,"",""),"""")"),"ES0031408323131005HX0F")</f>
        <v>ES0031408323131005HX0F</v>
      </c>
      <c r="B9656" s="12">
        <f>IFERROR(__xludf.DUMMYFUNCTION("""COMPUTED_VALUE"""),45268.0)</f>
        <v>45268</v>
      </c>
      <c r="C9656" s="13">
        <f>IFERROR(__xludf.DUMMYFUNCTION("""COMPUTED_VALUE"""),0.2916666666666667)</f>
        <v>0.2916666667</v>
      </c>
      <c r="D9656" s="8">
        <f>IFERROR(__xludf.DUMMYFUNCTION("""COMPUTED_VALUE"""),0.387)</f>
        <v>0.387</v>
      </c>
      <c r="E9656" s="8" t="str">
        <f>IFERROR(__xludf.DUMMYFUNCTION("""COMPUTED_VALUE"""),"Real")</f>
        <v>Real</v>
      </c>
      <c r="G9656" s="8">
        <f t="shared" si="1"/>
        <v>12</v>
      </c>
      <c r="H9656" s="14">
        <f t="shared" si="2"/>
        <v>8</v>
      </c>
      <c r="I9656" s="15">
        <f t="shared" si="3"/>
        <v>7</v>
      </c>
    </row>
    <row r="9657">
      <c r="A9657" s="8" t="str">
        <f>IFERROR(__xludf.DUMMYFUNCTION("IF('(INGESTA)Datos_consumo_datadis'!A9657&lt;&gt;"""",SPLIT('(INGESTA)Datos_consumo_datadis'!A:A,"",""),"""")"),"ES0031408323131005HX0F")</f>
        <v>ES0031408323131005HX0F</v>
      </c>
      <c r="B9657" s="12">
        <f>IFERROR(__xludf.DUMMYFUNCTION("""COMPUTED_VALUE"""),45268.0)</f>
        <v>45268</v>
      </c>
      <c r="C9657" s="13">
        <f>IFERROR(__xludf.DUMMYFUNCTION("""COMPUTED_VALUE"""),0.3333333333333333)</f>
        <v>0.3333333333</v>
      </c>
      <c r="D9657" s="8">
        <f>IFERROR(__xludf.DUMMYFUNCTION("""COMPUTED_VALUE"""),0.076)</f>
        <v>0.076</v>
      </c>
      <c r="E9657" s="8" t="str">
        <f>IFERROR(__xludf.DUMMYFUNCTION("""COMPUTED_VALUE"""),"Real")</f>
        <v>Real</v>
      </c>
      <c r="G9657" s="8">
        <f t="shared" si="1"/>
        <v>12</v>
      </c>
      <c r="H9657" s="14">
        <f t="shared" si="2"/>
        <v>8</v>
      </c>
      <c r="I9657" s="15">
        <f t="shared" si="3"/>
        <v>8</v>
      </c>
    </row>
    <row r="9658">
      <c r="A9658" s="8" t="str">
        <f>IFERROR(__xludf.DUMMYFUNCTION("IF('(INGESTA)Datos_consumo_datadis'!A9658&lt;&gt;"""",SPLIT('(INGESTA)Datos_consumo_datadis'!A:A,"",""),"""")"),"ES0031408323131005HX0F")</f>
        <v>ES0031408323131005HX0F</v>
      </c>
      <c r="B9658" s="12">
        <f>IFERROR(__xludf.DUMMYFUNCTION("""COMPUTED_VALUE"""),45268.0)</f>
        <v>45268</v>
      </c>
      <c r="C9658" s="13">
        <f>IFERROR(__xludf.DUMMYFUNCTION("""COMPUTED_VALUE"""),0.375)</f>
        <v>0.375</v>
      </c>
      <c r="D9658" s="8">
        <f>IFERROR(__xludf.DUMMYFUNCTION("""COMPUTED_VALUE"""),0.036)</f>
        <v>0.036</v>
      </c>
      <c r="E9658" s="8" t="str">
        <f>IFERROR(__xludf.DUMMYFUNCTION("""COMPUTED_VALUE"""),"Real")</f>
        <v>Real</v>
      </c>
      <c r="G9658" s="8">
        <f t="shared" si="1"/>
        <v>12</v>
      </c>
      <c r="H9658" s="14">
        <f t="shared" si="2"/>
        <v>8</v>
      </c>
      <c r="I9658" s="15">
        <f t="shared" si="3"/>
        <v>9</v>
      </c>
    </row>
    <row r="9659">
      <c r="A9659" s="8" t="str">
        <f>IFERROR(__xludf.DUMMYFUNCTION("IF('(INGESTA)Datos_consumo_datadis'!A9659&lt;&gt;"""",SPLIT('(INGESTA)Datos_consumo_datadis'!A:A,"",""),"""")"),"ES0031408323131005HX0F")</f>
        <v>ES0031408323131005HX0F</v>
      </c>
      <c r="B9659" s="12">
        <f>IFERROR(__xludf.DUMMYFUNCTION("""COMPUTED_VALUE"""),45268.0)</f>
        <v>45268</v>
      </c>
      <c r="C9659" s="13">
        <f>IFERROR(__xludf.DUMMYFUNCTION("""COMPUTED_VALUE"""),0.4166666666666667)</f>
        <v>0.4166666667</v>
      </c>
      <c r="D9659" s="8">
        <f>IFERROR(__xludf.DUMMYFUNCTION("""COMPUTED_VALUE"""),0.087)</f>
        <v>0.087</v>
      </c>
      <c r="E9659" s="8" t="str">
        <f>IFERROR(__xludf.DUMMYFUNCTION("""COMPUTED_VALUE"""),"Real")</f>
        <v>Real</v>
      </c>
      <c r="G9659" s="8">
        <f t="shared" si="1"/>
        <v>12</v>
      </c>
      <c r="H9659" s="14">
        <f t="shared" si="2"/>
        <v>8</v>
      </c>
      <c r="I9659" s="15">
        <f t="shared" si="3"/>
        <v>10</v>
      </c>
    </row>
    <row r="9660">
      <c r="A9660" s="8" t="str">
        <f>IFERROR(__xludf.DUMMYFUNCTION("IF('(INGESTA)Datos_consumo_datadis'!A9660&lt;&gt;"""",SPLIT('(INGESTA)Datos_consumo_datadis'!A:A,"",""),"""")"),"ES0031408323131005HX0F")</f>
        <v>ES0031408323131005HX0F</v>
      </c>
      <c r="B9660" s="12">
        <f>IFERROR(__xludf.DUMMYFUNCTION("""COMPUTED_VALUE"""),45268.0)</f>
        <v>45268</v>
      </c>
      <c r="C9660" s="13">
        <f>IFERROR(__xludf.DUMMYFUNCTION("""COMPUTED_VALUE"""),0.4583333333333333)</f>
        <v>0.4583333333</v>
      </c>
      <c r="D9660" s="8">
        <f>IFERROR(__xludf.DUMMYFUNCTION("""COMPUTED_VALUE"""),0.073)</f>
        <v>0.073</v>
      </c>
      <c r="E9660" s="8" t="str">
        <f>IFERROR(__xludf.DUMMYFUNCTION("""COMPUTED_VALUE"""),"Real")</f>
        <v>Real</v>
      </c>
      <c r="G9660" s="8">
        <f t="shared" si="1"/>
        <v>12</v>
      </c>
      <c r="H9660" s="14">
        <f t="shared" si="2"/>
        <v>8</v>
      </c>
      <c r="I9660" s="15">
        <f t="shared" si="3"/>
        <v>11</v>
      </c>
    </row>
    <row r="9661">
      <c r="A9661" s="8" t="str">
        <f>IFERROR(__xludf.DUMMYFUNCTION("IF('(INGESTA)Datos_consumo_datadis'!A9661&lt;&gt;"""",SPLIT('(INGESTA)Datos_consumo_datadis'!A:A,"",""),"""")"),"ES0031408323131005HX0F")</f>
        <v>ES0031408323131005HX0F</v>
      </c>
      <c r="B9661" s="12">
        <f>IFERROR(__xludf.DUMMYFUNCTION("""COMPUTED_VALUE"""),45268.0)</f>
        <v>45268</v>
      </c>
      <c r="C9661" s="13">
        <f>IFERROR(__xludf.DUMMYFUNCTION("""COMPUTED_VALUE"""),0.5)</f>
        <v>0.5</v>
      </c>
      <c r="D9661" s="8">
        <f>IFERROR(__xludf.DUMMYFUNCTION("""COMPUTED_VALUE"""),0.315)</f>
        <v>0.315</v>
      </c>
      <c r="E9661" s="8" t="str">
        <f>IFERROR(__xludf.DUMMYFUNCTION("""COMPUTED_VALUE"""),"Real")</f>
        <v>Real</v>
      </c>
      <c r="G9661" s="8">
        <f t="shared" si="1"/>
        <v>12</v>
      </c>
      <c r="H9661" s="14">
        <f t="shared" si="2"/>
        <v>8</v>
      </c>
      <c r="I9661" s="15">
        <f t="shared" si="3"/>
        <v>12</v>
      </c>
    </row>
    <row r="9662">
      <c r="A9662" s="8" t="str">
        <f>IFERROR(__xludf.DUMMYFUNCTION("IF('(INGESTA)Datos_consumo_datadis'!A9662&lt;&gt;"""",SPLIT('(INGESTA)Datos_consumo_datadis'!A:A,"",""),"""")"),"ES0031408323131005HX0F")</f>
        <v>ES0031408323131005HX0F</v>
      </c>
      <c r="B9662" s="12">
        <f>IFERROR(__xludf.DUMMYFUNCTION("""COMPUTED_VALUE"""),45268.0)</f>
        <v>45268</v>
      </c>
      <c r="C9662" s="13">
        <f>IFERROR(__xludf.DUMMYFUNCTION("""COMPUTED_VALUE"""),0.5416666666666666)</f>
        <v>0.5416666667</v>
      </c>
      <c r="D9662" s="8">
        <f>IFERROR(__xludf.DUMMYFUNCTION("""COMPUTED_VALUE"""),0.051)</f>
        <v>0.051</v>
      </c>
      <c r="E9662" s="8" t="str">
        <f>IFERROR(__xludf.DUMMYFUNCTION("""COMPUTED_VALUE"""),"Real")</f>
        <v>Real</v>
      </c>
      <c r="G9662" s="8">
        <f t="shared" si="1"/>
        <v>12</v>
      </c>
      <c r="H9662" s="14">
        <f t="shared" si="2"/>
        <v>8</v>
      </c>
      <c r="I9662" s="15">
        <f t="shared" si="3"/>
        <v>13</v>
      </c>
    </row>
    <row r="9663">
      <c r="A9663" s="8" t="str">
        <f>IFERROR(__xludf.DUMMYFUNCTION("IF('(INGESTA)Datos_consumo_datadis'!A9663&lt;&gt;"""",SPLIT('(INGESTA)Datos_consumo_datadis'!A:A,"",""),"""")"),"ES0031408323131005HX0F")</f>
        <v>ES0031408323131005HX0F</v>
      </c>
      <c r="B9663" s="12">
        <f>IFERROR(__xludf.DUMMYFUNCTION("""COMPUTED_VALUE"""),45268.0)</f>
        <v>45268</v>
      </c>
      <c r="C9663" s="13">
        <f>IFERROR(__xludf.DUMMYFUNCTION("""COMPUTED_VALUE"""),0.5833333333333334)</f>
        <v>0.5833333333</v>
      </c>
      <c r="D9663" s="8">
        <f>IFERROR(__xludf.DUMMYFUNCTION("""COMPUTED_VALUE"""),0.071)</f>
        <v>0.071</v>
      </c>
      <c r="E9663" s="8" t="str">
        <f>IFERROR(__xludf.DUMMYFUNCTION("""COMPUTED_VALUE"""),"Real")</f>
        <v>Real</v>
      </c>
      <c r="G9663" s="8">
        <f t="shared" si="1"/>
        <v>12</v>
      </c>
      <c r="H9663" s="14">
        <f t="shared" si="2"/>
        <v>8</v>
      </c>
      <c r="I9663" s="15">
        <f t="shared" si="3"/>
        <v>14</v>
      </c>
    </row>
    <row r="9664">
      <c r="A9664" s="8" t="str">
        <f>IFERROR(__xludf.DUMMYFUNCTION("IF('(INGESTA)Datos_consumo_datadis'!A9664&lt;&gt;"""",SPLIT('(INGESTA)Datos_consumo_datadis'!A:A,"",""),"""")"),"ES0031408323131005HX0F")</f>
        <v>ES0031408323131005HX0F</v>
      </c>
      <c r="B9664" s="12">
        <f>IFERROR(__xludf.DUMMYFUNCTION("""COMPUTED_VALUE"""),45268.0)</f>
        <v>45268</v>
      </c>
      <c r="C9664" s="13">
        <f>IFERROR(__xludf.DUMMYFUNCTION("""COMPUTED_VALUE"""),0.625)</f>
        <v>0.625</v>
      </c>
      <c r="D9664" s="8">
        <f>IFERROR(__xludf.DUMMYFUNCTION("""COMPUTED_VALUE"""),0.063)</f>
        <v>0.063</v>
      </c>
      <c r="E9664" s="8" t="str">
        <f>IFERROR(__xludf.DUMMYFUNCTION("""COMPUTED_VALUE"""),"Real")</f>
        <v>Real</v>
      </c>
      <c r="G9664" s="8">
        <f t="shared" si="1"/>
        <v>12</v>
      </c>
      <c r="H9664" s="14">
        <f t="shared" si="2"/>
        <v>8</v>
      </c>
      <c r="I9664" s="15">
        <f t="shared" si="3"/>
        <v>15</v>
      </c>
    </row>
    <row r="9665">
      <c r="A9665" s="8" t="str">
        <f>IFERROR(__xludf.DUMMYFUNCTION("IF('(INGESTA)Datos_consumo_datadis'!A9665&lt;&gt;"""",SPLIT('(INGESTA)Datos_consumo_datadis'!A:A,"",""),"""")"),"ES0031408323131005HX0F")</f>
        <v>ES0031408323131005HX0F</v>
      </c>
      <c r="B9665" s="12">
        <f>IFERROR(__xludf.DUMMYFUNCTION("""COMPUTED_VALUE"""),45268.0)</f>
        <v>45268</v>
      </c>
      <c r="C9665" s="13">
        <f>IFERROR(__xludf.DUMMYFUNCTION("""COMPUTED_VALUE"""),0.6666666666666666)</f>
        <v>0.6666666667</v>
      </c>
      <c r="D9665" s="8">
        <f>IFERROR(__xludf.DUMMYFUNCTION("""COMPUTED_VALUE"""),0.018)</f>
        <v>0.018</v>
      </c>
      <c r="E9665" s="8" t="str">
        <f>IFERROR(__xludf.DUMMYFUNCTION("""COMPUTED_VALUE"""),"Real")</f>
        <v>Real</v>
      </c>
      <c r="G9665" s="8">
        <f t="shared" si="1"/>
        <v>12</v>
      </c>
      <c r="H9665" s="14">
        <f t="shared" si="2"/>
        <v>8</v>
      </c>
      <c r="I9665" s="15">
        <f t="shared" si="3"/>
        <v>16</v>
      </c>
    </row>
    <row r="9666">
      <c r="A9666" s="8" t="str">
        <f>IFERROR(__xludf.DUMMYFUNCTION("IF('(INGESTA)Datos_consumo_datadis'!A9666&lt;&gt;"""",SPLIT('(INGESTA)Datos_consumo_datadis'!A:A,"",""),"""")"),"ES0031408323131005HX0F")</f>
        <v>ES0031408323131005HX0F</v>
      </c>
      <c r="B9666" s="12">
        <f>IFERROR(__xludf.DUMMYFUNCTION("""COMPUTED_VALUE"""),45268.0)</f>
        <v>45268</v>
      </c>
      <c r="C9666" s="13">
        <f>IFERROR(__xludf.DUMMYFUNCTION("""COMPUTED_VALUE"""),0.7083333333333334)</f>
        <v>0.7083333333</v>
      </c>
      <c r="D9666" s="8">
        <f>IFERROR(__xludf.DUMMYFUNCTION("""COMPUTED_VALUE"""),0.097)</f>
        <v>0.097</v>
      </c>
      <c r="E9666" s="8" t="str">
        <f>IFERROR(__xludf.DUMMYFUNCTION("""COMPUTED_VALUE"""),"Real")</f>
        <v>Real</v>
      </c>
      <c r="G9666" s="8">
        <f t="shared" si="1"/>
        <v>12</v>
      </c>
      <c r="H9666" s="14">
        <f t="shared" si="2"/>
        <v>8</v>
      </c>
      <c r="I9666" s="15">
        <f t="shared" si="3"/>
        <v>17</v>
      </c>
    </row>
    <row r="9667">
      <c r="A9667" s="8" t="str">
        <f>IFERROR(__xludf.DUMMYFUNCTION("IF('(INGESTA)Datos_consumo_datadis'!A9667&lt;&gt;"""",SPLIT('(INGESTA)Datos_consumo_datadis'!A:A,"",""),"""")"),"ES0031408323131005HX0F")</f>
        <v>ES0031408323131005HX0F</v>
      </c>
      <c r="B9667" s="12">
        <f>IFERROR(__xludf.DUMMYFUNCTION("""COMPUTED_VALUE"""),45268.0)</f>
        <v>45268</v>
      </c>
      <c r="C9667" s="13">
        <f>IFERROR(__xludf.DUMMYFUNCTION("""COMPUTED_VALUE"""),0.75)</f>
        <v>0.75</v>
      </c>
      <c r="D9667" s="8">
        <f>IFERROR(__xludf.DUMMYFUNCTION("""COMPUTED_VALUE"""),0.336)</f>
        <v>0.336</v>
      </c>
      <c r="E9667" s="8" t="str">
        <f>IFERROR(__xludf.DUMMYFUNCTION("""COMPUTED_VALUE"""),"Real")</f>
        <v>Real</v>
      </c>
      <c r="G9667" s="8">
        <f t="shared" si="1"/>
        <v>12</v>
      </c>
      <c r="H9667" s="14">
        <f t="shared" si="2"/>
        <v>8</v>
      </c>
      <c r="I9667" s="15">
        <f t="shared" si="3"/>
        <v>18</v>
      </c>
    </row>
    <row r="9668">
      <c r="A9668" s="8" t="str">
        <f>IFERROR(__xludf.DUMMYFUNCTION("IF('(INGESTA)Datos_consumo_datadis'!A9668&lt;&gt;"""",SPLIT('(INGESTA)Datos_consumo_datadis'!A:A,"",""),"""")"),"ES0031408323131005HX0F")</f>
        <v>ES0031408323131005HX0F</v>
      </c>
      <c r="B9668" s="12">
        <f>IFERROR(__xludf.DUMMYFUNCTION("""COMPUTED_VALUE"""),45268.0)</f>
        <v>45268</v>
      </c>
      <c r="C9668" s="13">
        <f>IFERROR(__xludf.DUMMYFUNCTION("""COMPUTED_VALUE"""),0.7916666666666666)</f>
        <v>0.7916666667</v>
      </c>
      <c r="D9668" s="8">
        <f>IFERROR(__xludf.DUMMYFUNCTION("""COMPUTED_VALUE"""),0.022)</f>
        <v>0.022</v>
      </c>
      <c r="E9668" s="8" t="str">
        <f>IFERROR(__xludf.DUMMYFUNCTION("""COMPUTED_VALUE"""),"Real")</f>
        <v>Real</v>
      </c>
      <c r="G9668" s="8">
        <f t="shared" si="1"/>
        <v>12</v>
      </c>
      <c r="H9668" s="14">
        <f t="shared" si="2"/>
        <v>8</v>
      </c>
      <c r="I9668" s="15">
        <f t="shared" si="3"/>
        <v>19</v>
      </c>
    </row>
    <row r="9669">
      <c r="A9669" s="8" t="str">
        <f>IFERROR(__xludf.DUMMYFUNCTION("IF('(INGESTA)Datos_consumo_datadis'!A9669&lt;&gt;"""",SPLIT('(INGESTA)Datos_consumo_datadis'!A:A,"",""),"""")"),"ES0031408323131005HX0F")</f>
        <v>ES0031408323131005HX0F</v>
      </c>
      <c r="B9669" s="12">
        <f>IFERROR(__xludf.DUMMYFUNCTION("""COMPUTED_VALUE"""),45268.0)</f>
        <v>45268</v>
      </c>
      <c r="C9669" s="13">
        <f>IFERROR(__xludf.DUMMYFUNCTION("""COMPUTED_VALUE"""),0.8333333333333334)</f>
        <v>0.8333333333</v>
      </c>
      <c r="D9669" s="8">
        <f>IFERROR(__xludf.DUMMYFUNCTION("""COMPUTED_VALUE"""),0.078)</f>
        <v>0.078</v>
      </c>
      <c r="E9669" s="8" t="str">
        <f>IFERROR(__xludf.DUMMYFUNCTION("""COMPUTED_VALUE"""),"Real")</f>
        <v>Real</v>
      </c>
      <c r="G9669" s="8">
        <f t="shared" si="1"/>
        <v>12</v>
      </c>
      <c r="H9669" s="14">
        <f t="shared" si="2"/>
        <v>8</v>
      </c>
      <c r="I9669" s="15">
        <f t="shared" si="3"/>
        <v>20</v>
      </c>
    </row>
    <row r="9670">
      <c r="A9670" s="8" t="str">
        <f>IFERROR(__xludf.DUMMYFUNCTION("IF('(INGESTA)Datos_consumo_datadis'!A9670&lt;&gt;"""",SPLIT('(INGESTA)Datos_consumo_datadis'!A:A,"",""),"""")"),"ES0031408323131005HX0F")</f>
        <v>ES0031408323131005HX0F</v>
      </c>
      <c r="B9670" s="12">
        <f>IFERROR(__xludf.DUMMYFUNCTION("""COMPUTED_VALUE"""),45268.0)</f>
        <v>45268</v>
      </c>
      <c r="C9670" s="13">
        <f>IFERROR(__xludf.DUMMYFUNCTION("""COMPUTED_VALUE"""),0.875)</f>
        <v>0.875</v>
      </c>
      <c r="D9670" s="8">
        <f>IFERROR(__xludf.DUMMYFUNCTION("""COMPUTED_VALUE"""),1.152)</f>
        <v>1.152</v>
      </c>
      <c r="E9670" s="8" t="str">
        <f>IFERROR(__xludf.DUMMYFUNCTION("""COMPUTED_VALUE"""),"Real")</f>
        <v>Real</v>
      </c>
      <c r="G9670" s="8">
        <f t="shared" si="1"/>
        <v>12</v>
      </c>
      <c r="H9670" s="14">
        <f t="shared" si="2"/>
        <v>8</v>
      </c>
      <c r="I9670" s="15">
        <f t="shared" si="3"/>
        <v>21</v>
      </c>
    </row>
    <row r="9671">
      <c r="A9671" s="8" t="str">
        <f>IFERROR(__xludf.DUMMYFUNCTION("IF('(INGESTA)Datos_consumo_datadis'!A9671&lt;&gt;"""",SPLIT('(INGESTA)Datos_consumo_datadis'!A:A,"",""),"""")"),"ES0031408323131005HX0F")</f>
        <v>ES0031408323131005HX0F</v>
      </c>
      <c r="B9671" s="12">
        <f>IFERROR(__xludf.DUMMYFUNCTION("""COMPUTED_VALUE"""),45268.0)</f>
        <v>45268</v>
      </c>
      <c r="C9671" s="13">
        <f>IFERROR(__xludf.DUMMYFUNCTION("""COMPUTED_VALUE"""),0.9166666666666666)</f>
        <v>0.9166666667</v>
      </c>
      <c r="D9671" s="8">
        <f>IFERROR(__xludf.DUMMYFUNCTION("""COMPUTED_VALUE"""),1.904)</f>
        <v>1.904</v>
      </c>
      <c r="E9671" s="8" t="str">
        <f>IFERROR(__xludf.DUMMYFUNCTION("""COMPUTED_VALUE"""),"Real")</f>
        <v>Real</v>
      </c>
      <c r="G9671" s="8">
        <f t="shared" si="1"/>
        <v>12</v>
      </c>
      <c r="H9671" s="14">
        <f t="shared" si="2"/>
        <v>8</v>
      </c>
      <c r="I9671" s="15">
        <f t="shared" si="3"/>
        <v>22</v>
      </c>
    </row>
    <row r="9672">
      <c r="A9672" s="8" t="str">
        <f>IFERROR(__xludf.DUMMYFUNCTION("IF('(INGESTA)Datos_consumo_datadis'!A9672&lt;&gt;"""",SPLIT('(INGESTA)Datos_consumo_datadis'!A:A,"",""),"""")"),"ES0031408323131005HX0F")</f>
        <v>ES0031408323131005HX0F</v>
      </c>
      <c r="B9672" s="12">
        <f>IFERROR(__xludf.DUMMYFUNCTION("""COMPUTED_VALUE"""),45268.0)</f>
        <v>45268</v>
      </c>
      <c r="C9672" s="13">
        <f>IFERROR(__xludf.DUMMYFUNCTION("""COMPUTED_VALUE"""),0.9583333333333334)</f>
        <v>0.9583333333</v>
      </c>
      <c r="D9672" s="8">
        <f>IFERROR(__xludf.DUMMYFUNCTION("""COMPUTED_VALUE"""),1.05)</f>
        <v>1.05</v>
      </c>
      <c r="E9672" s="8" t="str">
        <f>IFERROR(__xludf.DUMMYFUNCTION("""COMPUTED_VALUE"""),"Real")</f>
        <v>Real</v>
      </c>
      <c r="G9672" s="8">
        <f t="shared" si="1"/>
        <v>12</v>
      </c>
      <c r="H9672" s="14">
        <f t="shared" si="2"/>
        <v>8</v>
      </c>
      <c r="I9672" s="15">
        <f t="shared" si="3"/>
        <v>23</v>
      </c>
    </row>
    <row r="9673">
      <c r="A9673" s="8" t="str">
        <f>IFERROR(__xludf.DUMMYFUNCTION("IF('(INGESTA)Datos_consumo_datadis'!A9673&lt;&gt;"""",SPLIT('(INGESTA)Datos_consumo_datadis'!A:A,"",""),"""")"),"ES0031408323131005HX0F")</f>
        <v>ES0031408323131005HX0F</v>
      </c>
      <c r="B9673" s="12">
        <f>IFERROR(__xludf.DUMMYFUNCTION("""COMPUTED_VALUE"""),45268.0)</f>
        <v>45268</v>
      </c>
      <c r="C9673" s="16">
        <f>IFERROR(__xludf.DUMMYFUNCTION("""COMPUTED_VALUE"""),1.0)</f>
        <v>1</v>
      </c>
      <c r="D9673" s="8">
        <f>IFERROR(__xludf.DUMMYFUNCTION("""COMPUTED_VALUE"""),0.108)</f>
        <v>0.108</v>
      </c>
      <c r="E9673" s="8" t="str">
        <f>IFERROR(__xludf.DUMMYFUNCTION("""COMPUTED_VALUE"""),"Real")</f>
        <v>Real</v>
      </c>
      <c r="G9673" s="8">
        <f t="shared" si="1"/>
        <v>12</v>
      </c>
      <c r="H9673" s="14">
        <f t="shared" si="2"/>
        <v>8</v>
      </c>
      <c r="I9673" s="15">
        <f t="shared" si="3"/>
        <v>0</v>
      </c>
    </row>
    <row r="9674">
      <c r="A9674" s="8" t="str">
        <f>IFERROR(__xludf.DUMMYFUNCTION("IF('(INGESTA)Datos_consumo_datadis'!A9674&lt;&gt;"""",SPLIT('(INGESTA)Datos_consumo_datadis'!A:A,"",""),"""")"),"ES0031408323131005HX0F")</f>
        <v>ES0031408323131005HX0F</v>
      </c>
      <c r="B9674" s="12">
        <f>IFERROR(__xludf.DUMMYFUNCTION("""COMPUTED_VALUE"""),45269.0)</f>
        <v>45269</v>
      </c>
      <c r="C9674" s="13">
        <f>IFERROR(__xludf.DUMMYFUNCTION("""COMPUTED_VALUE"""),0.041666666666666664)</f>
        <v>0.04166666667</v>
      </c>
      <c r="D9674" s="8">
        <f>IFERROR(__xludf.DUMMYFUNCTION("""COMPUTED_VALUE"""),0.05)</f>
        <v>0.05</v>
      </c>
      <c r="E9674" s="8" t="str">
        <f>IFERROR(__xludf.DUMMYFUNCTION("""COMPUTED_VALUE"""),"Real")</f>
        <v>Real</v>
      </c>
      <c r="G9674" s="8">
        <f t="shared" si="1"/>
        <v>12</v>
      </c>
      <c r="H9674" s="14">
        <f t="shared" si="2"/>
        <v>9</v>
      </c>
      <c r="I9674" s="15">
        <f t="shared" si="3"/>
        <v>1</v>
      </c>
    </row>
    <row r="9675">
      <c r="A9675" s="8" t="str">
        <f>IFERROR(__xludf.DUMMYFUNCTION("IF('(INGESTA)Datos_consumo_datadis'!A9675&lt;&gt;"""",SPLIT('(INGESTA)Datos_consumo_datadis'!A:A,"",""),"""")"),"ES0031408323131005HX0F")</f>
        <v>ES0031408323131005HX0F</v>
      </c>
      <c r="B9675" s="12">
        <f>IFERROR(__xludf.DUMMYFUNCTION("""COMPUTED_VALUE"""),45269.0)</f>
        <v>45269</v>
      </c>
      <c r="C9675" s="13">
        <f>IFERROR(__xludf.DUMMYFUNCTION("""COMPUTED_VALUE"""),0.08333333333333333)</f>
        <v>0.08333333333</v>
      </c>
      <c r="D9675" s="8">
        <f>IFERROR(__xludf.DUMMYFUNCTION("""COMPUTED_VALUE"""),0.097)</f>
        <v>0.097</v>
      </c>
      <c r="E9675" s="8" t="str">
        <f>IFERROR(__xludf.DUMMYFUNCTION("""COMPUTED_VALUE"""),"Real")</f>
        <v>Real</v>
      </c>
      <c r="G9675" s="8">
        <f t="shared" si="1"/>
        <v>12</v>
      </c>
      <c r="H9675" s="14">
        <f t="shared" si="2"/>
        <v>9</v>
      </c>
      <c r="I9675" s="15">
        <f t="shared" si="3"/>
        <v>2</v>
      </c>
    </row>
    <row r="9676">
      <c r="A9676" s="8" t="str">
        <f>IFERROR(__xludf.DUMMYFUNCTION("IF('(INGESTA)Datos_consumo_datadis'!A9676&lt;&gt;"""",SPLIT('(INGESTA)Datos_consumo_datadis'!A:A,"",""),"""")"),"ES0031408323131005HX0F")</f>
        <v>ES0031408323131005HX0F</v>
      </c>
      <c r="B9676" s="12">
        <f>IFERROR(__xludf.DUMMYFUNCTION("""COMPUTED_VALUE"""),45269.0)</f>
        <v>45269</v>
      </c>
      <c r="C9676" s="13">
        <f>IFERROR(__xludf.DUMMYFUNCTION("""COMPUTED_VALUE"""),0.125)</f>
        <v>0.125</v>
      </c>
      <c r="D9676" s="8">
        <f>IFERROR(__xludf.DUMMYFUNCTION("""COMPUTED_VALUE"""),0.055)</f>
        <v>0.055</v>
      </c>
      <c r="E9676" s="8" t="str">
        <f>IFERROR(__xludf.DUMMYFUNCTION("""COMPUTED_VALUE"""),"Real")</f>
        <v>Real</v>
      </c>
      <c r="G9676" s="8">
        <f t="shared" si="1"/>
        <v>12</v>
      </c>
      <c r="H9676" s="14">
        <f t="shared" si="2"/>
        <v>9</v>
      </c>
      <c r="I9676" s="15">
        <f t="shared" si="3"/>
        <v>3</v>
      </c>
    </row>
    <row r="9677">
      <c r="A9677" s="8" t="str">
        <f>IFERROR(__xludf.DUMMYFUNCTION("IF('(INGESTA)Datos_consumo_datadis'!A9677&lt;&gt;"""",SPLIT('(INGESTA)Datos_consumo_datadis'!A:A,"",""),"""")"),"ES0031408323131005HX0F")</f>
        <v>ES0031408323131005HX0F</v>
      </c>
      <c r="B9677" s="12">
        <f>IFERROR(__xludf.DUMMYFUNCTION("""COMPUTED_VALUE"""),45269.0)</f>
        <v>45269</v>
      </c>
      <c r="C9677" s="13">
        <f>IFERROR(__xludf.DUMMYFUNCTION("""COMPUTED_VALUE"""),0.16666666666666666)</f>
        <v>0.1666666667</v>
      </c>
      <c r="D9677" s="8">
        <f>IFERROR(__xludf.DUMMYFUNCTION("""COMPUTED_VALUE"""),0.402)</f>
        <v>0.402</v>
      </c>
      <c r="E9677" s="8" t="str">
        <f>IFERROR(__xludf.DUMMYFUNCTION("""COMPUTED_VALUE"""),"Real")</f>
        <v>Real</v>
      </c>
      <c r="G9677" s="8">
        <f t="shared" si="1"/>
        <v>12</v>
      </c>
      <c r="H9677" s="14">
        <f t="shared" si="2"/>
        <v>9</v>
      </c>
      <c r="I9677" s="15">
        <f t="shared" si="3"/>
        <v>4</v>
      </c>
    </row>
    <row r="9678">
      <c r="A9678" s="8" t="str">
        <f>IFERROR(__xludf.DUMMYFUNCTION("IF('(INGESTA)Datos_consumo_datadis'!A9678&lt;&gt;"""",SPLIT('(INGESTA)Datos_consumo_datadis'!A:A,"",""),"""")"),"ES0031408323131005HX0F")</f>
        <v>ES0031408323131005HX0F</v>
      </c>
      <c r="B9678" s="12">
        <f>IFERROR(__xludf.DUMMYFUNCTION("""COMPUTED_VALUE"""),45269.0)</f>
        <v>45269</v>
      </c>
      <c r="C9678" s="13">
        <f>IFERROR(__xludf.DUMMYFUNCTION("""COMPUTED_VALUE"""),0.20833333333333334)</f>
        <v>0.2083333333</v>
      </c>
      <c r="D9678" s="8">
        <f>IFERROR(__xludf.DUMMYFUNCTION("""COMPUTED_VALUE"""),0.052)</f>
        <v>0.052</v>
      </c>
      <c r="E9678" s="8" t="str">
        <f>IFERROR(__xludf.DUMMYFUNCTION("""COMPUTED_VALUE"""),"Real")</f>
        <v>Real</v>
      </c>
      <c r="G9678" s="8">
        <f t="shared" si="1"/>
        <v>12</v>
      </c>
      <c r="H9678" s="14">
        <f t="shared" si="2"/>
        <v>9</v>
      </c>
      <c r="I9678" s="15">
        <f t="shared" si="3"/>
        <v>5</v>
      </c>
    </row>
    <row r="9679">
      <c r="A9679" s="8" t="str">
        <f>IFERROR(__xludf.DUMMYFUNCTION("IF('(INGESTA)Datos_consumo_datadis'!A9679&lt;&gt;"""",SPLIT('(INGESTA)Datos_consumo_datadis'!A:A,"",""),"""")"),"ES0031408323131005HX0F")</f>
        <v>ES0031408323131005HX0F</v>
      </c>
      <c r="B9679" s="12">
        <f>IFERROR(__xludf.DUMMYFUNCTION("""COMPUTED_VALUE"""),45269.0)</f>
        <v>45269</v>
      </c>
      <c r="C9679" s="13">
        <f>IFERROR(__xludf.DUMMYFUNCTION("""COMPUTED_VALUE"""),0.25)</f>
        <v>0.25</v>
      </c>
      <c r="D9679" s="8">
        <f>IFERROR(__xludf.DUMMYFUNCTION("""COMPUTED_VALUE"""),0.092)</f>
        <v>0.092</v>
      </c>
      <c r="E9679" s="8" t="str">
        <f>IFERROR(__xludf.DUMMYFUNCTION("""COMPUTED_VALUE"""),"Real")</f>
        <v>Real</v>
      </c>
      <c r="G9679" s="8">
        <f t="shared" si="1"/>
        <v>12</v>
      </c>
      <c r="H9679" s="14">
        <f t="shared" si="2"/>
        <v>9</v>
      </c>
      <c r="I9679" s="15">
        <f t="shared" si="3"/>
        <v>6</v>
      </c>
    </row>
    <row r="9680">
      <c r="A9680" s="8" t="str">
        <f>IFERROR(__xludf.DUMMYFUNCTION("IF('(INGESTA)Datos_consumo_datadis'!A9680&lt;&gt;"""",SPLIT('(INGESTA)Datos_consumo_datadis'!A:A,"",""),"""")"),"ES0031408323131005HX0F")</f>
        <v>ES0031408323131005HX0F</v>
      </c>
      <c r="B9680" s="12">
        <f>IFERROR(__xludf.DUMMYFUNCTION("""COMPUTED_VALUE"""),45269.0)</f>
        <v>45269</v>
      </c>
      <c r="C9680" s="13">
        <f>IFERROR(__xludf.DUMMYFUNCTION("""COMPUTED_VALUE"""),0.2916666666666667)</f>
        <v>0.2916666667</v>
      </c>
      <c r="D9680" s="8">
        <f>IFERROR(__xludf.DUMMYFUNCTION("""COMPUTED_VALUE"""),0.029)</f>
        <v>0.029</v>
      </c>
      <c r="E9680" s="8" t="str">
        <f>IFERROR(__xludf.DUMMYFUNCTION("""COMPUTED_VALUE"""),"Real")</f>
        <v>Real</v>
      </c>
      <c r="G9680" s="8">
        <f t="shared" si="1"/>
        <v>12</v>
      </c>
      <c r="H9680" s="14">
        <f t="shared" si="2"/>
        <v>9</v>
      </c>
      <c r="I9680" s="15">
        <f t="shared" si="3"/>
        <v>7</v>
      </c>
    </row>
    <row r="9681">
      <c r="A9681" s="8" t="str">
        <f>IFERROR(__xludf.DUMMYFUNCTION("IF('(INGESTA)Datos_consumo_datadis'!A9681&lt;&gt;"""",SPLIT('(INGESTA)Datos_consumo_datadis'!A:A,"",""),"""")"),"ES0031408323131005HX0F")</f>
        <v>ES0031408323131005HX0F</v>
      </c>
      <c r="B9681" s="12">
        <f>IFERROR(__xludf.DUMMYFUNCTION("""COMPUTED_VALUE"""),45269.0)</f>
        <v>45269</v>
      </c>
      <c r="C9681" s="13">
        <f>IFERROR(__xludf.DUMMYFUNCTION("""COMPUTED_VALUE"""),0.3333333333333333)</f>
        <v>0.3333333333</v>
      </c>
      <c r="D9681" s="8">
        <f>IFERROR(__xludf.DUMMYFUNCTION("""COMPUTED_VALUE"""),0.035)</f>
        <v>0.035</v>
      </c>
      <c r="E9681" s="8" t="str">
        <f>IFERROR(__xludf.DUMMYFUNCTION("""COMPUTED_VALUE"""),"Real")</f>
        <v>Real</v>
      </c>
      <c r="G9681" s="8">
        <f t="shared" si="1"/>
        <v>12</v>
      </c>
      <c r="H9681" s="14">
        <f t="shared" si="2"/>
        <v>9</v>
      </c>
      <c r="I9681" s="15">
        <f t="shared" si="3"/>
        <v>8</v>
      </c>
    </row>
    <row r="9682">
      <c r="A9682" s="8" t="str">
        <f>IFERROR(__xludf.DUMMYFUNCTION("IF('(INGESTA)Datos_consumo_datadis'!A9682&lt;&gt;"""",SPLIT('(INGESTA)Datos_consumo_datadis'!A:A,"",""),"""")"),"ES0031408323131005HX0F")</f>
        <v>ES0031408323131005HX0F</v>
      </c>
      <c r="B9682" s="12">
        <f>IFERROR(__xludf.DUMMYFUNCTION("""COMPUTED_VALUE"""),45269.0)</f>
        <v>45269</v>
      </c>
      <c r="C9682" s="13">
        <f>IFERROR(__xludf.DUMMYFUNCTION("""COMPUTED_VALUE"""),0.375)</f>
        <v>0.375</v>
      </c>
      <c r="D9682" s="8">
        <f>IFERROR(__xludf.DUMMYFUNCTION("""COMPUTED_VALUE"""),0.375)</f>
        <v>0.375</v>
      </c>
      <c r="E9682" s="8" t="str">
        <f>IFERROR(__xludf.DUMMYFUNCTION("""COMPUTED_VALUE"""),"Real")</f>
        <v>Real</v>
      </c>
      <c r="G9682" s="8">
        <f t="shared" si="1"/>
        <v>12</v>
      </c>
      <c r="H9682" s="14">
        <f t="shared" si="2"/>
        <v>9</v>
      </c>
      <c r="I9682" s="15">
        <f t="shared" si="3"/>
        <v>9</v>
      </c>
    </row>
    <row r="9683">
      <c r="A9683" s="8" t="str">
        <f>IFERROR(__xludf.DUMMYFUNCTION("IF('(INGESTA)Datos_consumo_datadis'!A9683&lt;&gt;"""",SPLIT('(INGESTA)Datos_consumo_datadis'!A:A,"",""),"""")"),"ES0031408323131005HX0F")</f>
        <v>ES0031408323131005HX0F</v>
      </c>
      <c r="B9683" s="12">
        <f>IFERROR(__xludf.DUMMYFUNCTION("""COMPUTED_VALUE"""),45269.0)</f>
        <v>45269</v>
      </c>
      <c r="C9683" s="13">
        <f>IFERROR(__xludf.DUMMYFUNCTION("""COMPUTED_VALUE"""),0.4166666666666667)</f>
        <v>0.4166666667</v>
      </c>
      <c r="D9683" s="8">
        <f>IFERROR(__xludf.DUMMYFUNCTION("""COMPUTED_VALUE"""),0.388)</f>
        <v>0.388</v>
      </c>
      <c r="E9683" s="8" t="str">
        <f>IFERROR(__xludf.DUMMYFUNCTION("""COMPUTED_VALUE"""),"Real")</f>
        <v>Real</v>
      </c>
      <c r="G9683" s="8">
        <f t="shared" si="1"/>
        <v>12</v>
      </c>
      <c r="H9683" s="14">
        <f t="shared" si="2"/>
        <v>9</v>
      </c>
      <c r="I9683" s="15">
        <f t="shared" si="3"/>
        <v>10</v>
      </c>
    </row>
    <row r="9684">
      <c r="A9684" s="8" t="str">
        <f>IFERROR(__xludf.DUMMYFUNCTION("IF('(INGESTA)Datos_consumo_datadis'!A9684&lt;&gt;"""",SPLIT('(INGESTA)Datos_consumo_datadis'!A:A,"",""),"""")"),"ES0031408323131005HX0F")</f>
        <v>ES0031408323131005HX0F</v>
      </c>
      <c r="B9684" s="12">
        <f>IFERROR(__xludf.DUMMYFUNCTION("""COMPUTED_VALUE"""),45269.0)</f>
        <v>45269</v>
      </c>
      <c r="C9684" s="13">
        <f>IFERROR(__xludf.DUMMYFUNCTION("""COMPUTED_VALUE"""),0.4583333333333333)</f>
        <v>0.4583333333</v>
      </c>
      <c r="D9684" s="8">
        <f>IFERROR(__xludf.DUMMYFUNCTION("""COMPUTED_VALUE"""),0.146)</f>
        <v>0.146</v>
      </c>
      <c r="E9684" s="8" t="str">
        <f>IFERROR(__xludf.DUMMYFUNCTION("""COMPUTED_VALUE"""),"Real")</f>
        <v>Real</v>
      </c>
      <c r="G9684" s="8">
        <f t="shared" si="1"/>
        <v>12</v>
      </c>
      <c r="H9684" s="14">
        <f t="shared" si="2"/>
        <v>9</v>
      </c>
      <c r="I9684" s="15">
        <f t="shared" si="3"/>
        <v>11</v>
      </c>
    </row>
    <row r="9685">
      <c r="A9685" s="8" t="str">
        <f>IFERROR(__xludf.DUMMYFUNCTION("IF('(INGESTA)Datos_consumo_datadis'!A9685&lt;&gt;"""",SPLIT('(INGESTA)Datos_consumo_datadis'!A:A,"",""),"""")"),"ES0031408323131005HX0F")</f>
        <v>ES0031408323131005HX0F</v>
      </c>
      <c r="B9685" s="12">
        <f>IFERROR(__xludf.DUMMYFUNCTION("""COMPUTED_VALUE"""),45269.0)</f>
        <v>45269</v>
      </c>
      <c r="C9685" s="13">
        <f>IFERROR(__xludf.DUMMYFUNCTION("""COMPUTED_VALUE"""),0.5)</f>
        <v>0.5</v>
      </c>
      <c r="D9685" s="8">
        <f>IFERROR(__xludf.DUMMYFUNCTION("""COMPUTED_VALUE"""),0.129)</f>
        <v>0.129</v>
      </c>
      <c r="E9685" s="8" t="str">
        <f>IFERROR(__xludf.DUMMYFUNCTION("""COMPUTED_VALUE"""),"Real")</f>
        <v>Real</v>
      </c>
      <c r="G9685" s="8">
        <f t="shared" si="1"/>
        <v>12</v>
      </c>
      <c r="H9685" s="14">
        <f t="shared" si="2"/>
        <v>9</v>
      </c>
      <c r="I9685" s="15">
        <f t="shared" si="3"/>
        <v>12</v>
      </c>
    </row>
    <row r="9686">
      <c r="A9686" s="8" t="str">
        <f>IFERROR(__xludf.DUMMYFUNCTION("IF('(INGESTA)Datos_consumo_datadis'!A9686&lt;&gt;"""",SPLIT('(INGESTA)Datos_consumo_datadis'!A:A,"",""),"""")"),"ES0031408323131005HX0F")</f>
        <v>ES0031408323131005HX0F</v>
      </c>
      <c r="B9686" s="12">
        <f>IFERROR(__xludf.DUMMYFUNCTION("""COMPUTED_VALUE"""),45269.0)</f>
        <v>45269</v>
      </c>
      <c r="C9686" s="13">
        <f>IFERROR(__xludf.DUMMYFUNCTION("""COMPUTED_VALUE"""),0.5416666666666666)</f>
        <v>0.5416666667</v>
      </c>
      <c r="D9686" s="8">
        <f>IFERROR(__xludf.DUMMYFUNCTION("""COMPUTED_VALUE"""),0.04)</f>
        <v>0.04</v>
      </c>
      <c r="E9686" s="8" t="str">
        <f>IFERROR(__xludf.DUMMYFUNCTION("""COMPUTED_VALUE"""),"Real")</f>
        <v>Real</v>
      </c>
      <c r="G9686" s="8">
        <f t="shared" si="1"/>
        <v>12</v>
      </c>
      <c r="H9686" s="14">
        <f t="shared" si="2"/>
        <v>9</v>
      </c>
      <c r="I9686" s="15">
        <f t="shared" si="3"/>
        <v>13</v>
      </c>
    </row>
    <row r="9687">
      <c r="A9687" s="8" t="str">
        <f>IFERROR(__xludf.DUMMYFUNCTION("IF('(INGESTA)Datos_consumo_datadis'!A9687&lt;&gt;"""",SPLIT('(INGESTA)Datos_consumo_datadis'!A:A,"",""),"""")"),"ES0031408323131005HX0F")</f>
        <v>ES0031408323131005HX0F</v>
      </c>
      <c r="B9687" s="12">
        <f>IFERROR(__xludf.DUMMYFUNCTION("""COMPUTED_VALUE"""),45269.0)</f>
        <v>45269</v>
      </c>
      <c r="C9687" s="13">
        <f>IFERROR(__xludf.DUMMYFUNCTION("""COMPUTED_VALUE"""),0.5833333333333334)</f>
        <v>0.5833333333</v>
      </c>
      <c r="D9687" s="8">
        <f>IFERROR(__xludf.DUMMYFUNCTION("""COMPUTED_VALUE"""),0.1)</f>
        <v>0.1</v>
      </c>
      <c r="E9687" s="8" t="str">
        <f>IFERROR(__xludf.DUMMYFUNCTION("""COMPUTED_VALUE"""),"Real")</f>
        <v>Real</v>
      </c>
      <c r="G9687" s="8">
        <f t="shared" si="1"/>
        <v>12</v>
      </c>
      <c r="H9687" s="14">
        <f t="shared" si="2"/>
        <v>9</v>
      </c>
      <c r="I9687" s="15">
        <f t="shared" si="3"/>
        <v>14</v>
      </c>
    </row>
    <row r="9688">
      <c r="A9688" s="8" t="str">
        <f>IFERROR(__xludf.DUMMYFUNCTION("IF('(INGESTA)Datos_consumo_datadis'!A9688&lt;&gt;"""",SPLIT('(INGESTA)Datos_consumo_datadis'!A:A,"",""),"""")"),"ES0031408323131005HX0F")</f>
        <v>ES0031408323131005HX0F</v>
      </c>
      <c r="B9688" s="12">
        <f>IFERROR(__xludf.DUMMYFUNCTION("""COMPUTED_VALUE"""),45269.0)</f>
        <v>45269</v>
      </c>
      <c r="C9688" s="13">
        <f>IFERROR(__xludf.DUMMYFUNCTION("""COMPUTED_VALUE"""),0.625)</f>
        <v>0.625</v>
      </c>
      <c r="D9688" s="8">
        <f>IFERROR(__xludf.DUMMYFUNCTION("""COMPUTED_VALUE"""),0.369)</f>
        <v>0.369</v>
      </c>
      <c r="E9688" s="8" t="str">
        <f>IFERROR(__xludf.DUMMYFUNCTION("""COMPUTED_VALUE"""),"Real")</f>
        <v>Real</v>
      </c>
      <c r="G9688" s="8">
        <f t="shared" si="1"/>
        <v>12</v>
      </c>
      <c r="H9688" s="14">
        <f t="shared" si="2"/>
        <v>9</v>
      </c>
      <c r="I9688" s="15">
        <f t="shared" si="3"/>
        <v>15</v>
      </c>
    </row>
    <row r="9689">
      <c r="A9689" s="8" t="str">
        <f>IFERROR(__xludf.DUMMYFUNCTION("IF('(INGESTA)Datos_consumo_datadis'!A9689&lt;&gt;"""",SPLIT('(INGESTA)Datos_consumo_datadis'!A:A,"",""),"""")"),"ES0031408323131005HX0F")</f>
        <v>ES0031408323131005HX0F</v>
      </c>
      <c r="B9689" s="12">
        <f>IFERROR(__xludf.DUMMYFUNCTION("""COMPUTED_VALUE"""),45269.0)</f>
        <v>45269</v>
      </c>
      <c r="C9689" s="13">
        <f>IFERROR(__xludf.DUMMYFUNCTION("""COMPUTED_VALUE"""),0.6666666666666666)</f>
        <v>0.6666666667</v>
      </c>
      <c r="D9689" s="8">
        <f>IFERROR(__xludf.DUMMYFUNCTION("""COMPUTED_VALUE"""),0.038)</f>
        <v>0.038</v>
      </c>
      <c r="E9689" s="8" t="str">
        <f>IFERROR(__xludf.DUMMYFUNCTION("""COMPUTED_VALUE"""),"Real")</f>
        <v>Real</v>
      </c>
      <c r="G9689" s="8">
        <f t="shared" si="1"/>
        <v>12</v>
      </c>
      <c r="H9689" s="14">
        <f t="shared" si="2"/>
        <v>9</v>
      </c>
      <c r="I9689" s="15">
        <f t="shared" si="3"/>
        <v>16</v>
      </c>
    </row>
    <row r="9690">
      <c r="A9690" s="8" t="str">
        <f>IFERROR(__xludf.DUMMYFUNCTION("IF('(INGESTA)Datos_consumo_datadis'!A9690&lt;&gt;"""",SPLIT('(INGESTA)Datos_consumo_datadis'!A:A,"",""),"""")"),"ES0031408323131005HX0F")</f>
        <v>ES0031408323131005HX0F</v>
      </c>
      <c r="B9690" s="12">
        <f>IFERROR(__xludf.DUMMYFUNCTION("""COMPUTED_VALUE"""),45269.0)</f>
        <v>45269</v>
      </c>
      <c r="C9690" s="13">
        <f>IFERROR(__xludf.DUMMYFUNCTION("""COMPUTED_VALUE"""),0.7083333333333334)</f>
        <v>0.7083333333</v>
      </c>
      <c r="D9690" s="8">
        <f>IFERROR(__xludf.DUMMYFUNCTION("""COMPUTED_VALUE"""),0.654)</f>
        <v>0.654</v>
      </c>
      <c r="E9690" s="8" t="str">
        <f>IFERROR(__xludf.DUMMYFUNCTION("""COMPUTED_VALUE"""),"Real")</f>
        <v>Real</v>
      </c>
      <c r="G9690" s="8">
        <f t="shared" si="1"/>
        <v>12</v>
      </c>
      <c r="H9690" s="14">
        <f t="shared" si="2"/>
        <v>9</v>
      </c>
      <c r="I9690" s="15">
        <f t="shared" si="3"/>
        <v>17</v>
      </c>
    </row>
    <row r="9691">
      <c r="A9691" s="8" t="str">
        <f>IFERROR(__xludf.DUMMYFUNCTION("IF('(INGESTA)Datos_consumo_datadis'!A9691&lt;&gt;"""",SPLIT('(INGESTA)Datos_consumo_datadis'!A:A,"",""),"""")"),"ES0031408323131005HX0F")</f>
        <v>ES0031408323131005HX0F</v>
      </c>
      <c r="B9691" s="12">
        <f>IFERROR(__xludf.DUMMYFUNCTION("""COMPUTED_VALUE"""),45269.0)</f>
        <v>45269</v>
      </c>
      <c r="C9691" s="13">
        <f>IFERROR(__xludf.DUMMYFUNCTION("""COMPUTED_VALUE"""),0.75)</f>
        <v>0.75</v>
      </c>
      <c r="D9691" s="8">
        <f>IFERROR(__xludf.DUMMYFUNCTION("""COMPUTED_VALUE"""),2.256)</f>
        <v>2.256</v>
      </c>
      <c r="E9691" s="8" t="str">
        <f>IFERROR(__xludf.DUMMYFUNCTION("""COMPUTED_VALUE"""),"Real")</f>
        <v>Real</v>
      </c>
      <c r="G9691" s="8">
        <f t="shared" si="1"/>
        <v>12</v>
      </c>
      <c r="H9691" s="14">
        <f t="shared" si="2"/>
        <v>9</v>
      </c>
      <c r="I9691" s="15">
        <f t="shared" si="3"/>
        <v>18</v>
      </c>
    </row>
    <row r="9692">
      <c r="A9692" s="8" t="str">
        <f>IFERROR(__xludf.DUMMYFUNCTION("IF('(INGESTA)Datos_consumo_datadis'!A9692&lt;&gt;"""",SPLIT('(INGESTA)Datos_consumo_datadis'!A:A,"",""),"""")"),"ES0031408323131005HX0F")</f>
        <v>ES0031408323131005HX0F</v>
      </c>
      <c r="B9692" s="12">
        <f>IFERROR(__xludf.DUMMYFUNCTION("""COMPUTED_VALUE"""),45269.0)</f>
        <v>45269</v>
      </c>
      <c r="C9692" s="13">
        <f>IFERROR(__xludf.DUMMYFUNCTION("""COMPUTED_VALUE"""),0.7916666666666666)</f>
        <v>0.7916666667</v>
      </c>
      <c r="D9692" s="8">
        <f>IFERROR(__xludf.DUMMYFUNCTION("""COMPUTED_VALUE"""),0.596)</f>
        <v>0.596</v>
      </c>
      <c r="E9692" s="8" t="str">
        <f>IFERROR(__xludf.DUMMYFUNCTION("""COMPUTED_VALUE"""),"Real")</f>
        <v>Real</v>
      </c>
      <c r="G9692" s="8">
        <f t="shared" si="1"/>
        <v>12</v>
      </c>
      <c r="H9692" s="14">
        <f t="shared" si="2"/>
        <v>9</v>
      </c>
      <c r="I9692" s="15">
        <f t="shared" si="3"/>
        <v>19</v>
      </c>
    </row>
    <row r="9693">
      <c r="A9693" s="8" t="str">
        <f>IFERROR(__xludf.DUMMYFUNCTION("IF('(INGESTA)Datos_consumo_datadis'!A9693&lt;&gt;"""",SPLIT('(INGESTA)Datos_consumo_datadis'!A:A,"",""),"""")"),"ES0031408323131005HX0F")</f>
        <v>ES0031408323131005HX0F</v>
      </c>
      <c r="B9693" s="12">
        <f>IFERROR(__xludf.DUMMYFUNCTION("""COMPUTED_VALUE"""),45269.0)</f>
        <v>45269</v>
      </c>
      <c r="C9693" s="13">
        <f>IFERROR(__xludf.DUMMYFUNCTION("""COMPUTED_VALUE"""),0.8333333333333334)</f>
        <v>0.8333333333</v>
      </c>
      <c r="D9693" s="8">
        <f>IFERROR(__xludf.DUMMYFUNCTION("""COMPUTED_VALUE"""),0.104)</f>
        <v>0.104</v>
      </c>
      <c r="E9693" s="8" t="str">
        <f>IFERROR(__xludf.DUMMYFUNCTION("""COMPUTED_VALUE"""),"Real")</f>
        <v>Real</v>
      </c>
      <c r="G9693" s="8">
        <f t="shared" si="1"/>
        <v>12</v>
      </c>
      <c r="H9693" s="14">
        <f t="shared" si="2"/>
        <v>9</v>
      </c>
      <c r="I9693" s="15">
        <f t="shared" si="3"/>
        <v>20</v>
      </c>
    </row>
    <row r="9694">
      <c r="A9694" s="8" t="str">
        <f>IFERROR(__xludf.DUMMYFUNCTION("IF('(INGESTA)Datos_consumo_datadis'!A9694&lt;&gt;"""",SPLIT('(INGESTA)Datos_consumo_datadis'!A:A,"",""),"""")"),"ES0031408323131005HX0F")</f>
        <v>ES0031408323131005HX0F</v>
      </c>
      <c r="B9694" s="12">
        <f>IFERROR(__xludf.DUMMYFUNCTION("""COMPUTED_VALUE"""),45269.0)</f>
        <v>45269</v>
      </c>
      <c r="C9694" s="13">
        <f>IFERROR(__xludf.DUMMYFUNCTION("""COMPUTED_VALUE"""),0.875)</f>
        <v>0.875</v>
      </c>
      <c r="D9694" s="8">
        <f>IFERROR(__xludf.DUMMYFUNCTION("""COMPUTED_VALUE"""),0.019)</f>
        <v>0.019</v>
      </c>
      <c r="E9694" s="8" t="str">
        <f>IFERROR(__xludf.DUMMYFUNCTION("""COMPUTED_VALUE"""),"Real")</f>
        <v>Real</v>
      </c>
      <c r="G9694" s="8">
        <f t="shared" si="1"/>
        <v>12</v>
      </c>
      <c r="H9694" s="14">
        <f t="shared" si="2"/>
        <v>9</v>
      </c>
      <c r="I9694" s="15">
        <f t="shared" si="3"/>
        <v>21</v>
      </c>
    </row>
    <row r="9695">
      <c r="A9695" s="8" t="str">
        <f>IFERROR(__xludf.DUMMYFUNCTION("IF('(INGESTA)Datos_consumo_datadis'!A9695&lt;&gt;"""",SPLIT('(INGESTA)Datos_consumo_datadis'!A:A,"",""),"""")"),"ES0031408323131005HX0F")</f>
        <v>ES0031408323131005HX0F</v>
      </c>
      <c r="B9695" s="12">
        <f>IFERROR(__xludf.DUMMYFUNCTION("""COMPUTED_VALUE"""),45269.0)</f>
        <v>45269</v>
      </c>
      <c r="C9695" s="13">
        <f>IFERROR(__xludf.DUMMYFUNCTION("""COMPUTED_VALUE"""),0.9166666666666666)</f>
        <v>0.9166666667</v>
      </c>
      <c r="D9695" s="8">
        <f>IFERROR(__xludf.DUMMYFUNCTION("""COMPUTED_VALUE"""),0.042)</f>
        <v>0.042</v>
      </c>
      <c r="E9695" s="8" t="str">
        <f>IFERROR(__xludf.DUMMYFUNCTION("""COMPUTED_VALUE"""),"Real")</f>
        <v>Real</v>
      </c>
      <c r="G9695" s="8">
        <f t="shared" si="1"/>
        <v>12</v>
      </c>
      <c r="H9695" s="14">
        <f t="shared" si="2"/>
        <v>9</v>
      </c>
      <c r="I9695" s="15">
        <f t="shared" si="3"/>
        <v>22</v>
      </c>
    </row>
    <row r="9696">
      <c r="A9696" s="8" t="str">
        <f>IFERROR(__xludf.DUMMYFUNCTION("IF('(INGESTA)Datos_consumo_datadis'!A9696&lt;&gt;"""",SPLIT('(INGESTA)Datos_consumo_datadis'!A:A,"",""),"""")"),"ES0031408323131005HX0F")</f>
        <v>ES0031408323131005HX0F</v>
      </c>
      <c r="B9696" s="12">
        <f>IFERROR(__xludf.DUMMYFUNCTION("""COMPUTED_VALUE"""),45269.0)</f>
        <v>45269</v>
      </c>
      <c r="C9696" s="13">
        <f>IFERROR(__xludf.DUMMYFUNCTION("""COMPUTED_VALUE"""),0.9583333333333334)</f>
        <v>0.9583333333</v>
      </c>
      <c r="D9696" s="8">
        <f>IFERROR(__xludf.DUMMYFUNCTION("""COMPUTED_VALUE"""),0.376)</f>
        <v>0.376</v>
      </c>
      <c r="E9696" s="8" t="str">
        <f>IFERROR(__xludf.DUMMYFUNCTION("""COMPUTED_VALUE"""),"Real")</f>
        <v>Real</v>
      </c>
      <c r="G9696" s="8">
        <f t="shared" si="1"/>
        <v>12</v>
      </c>
      <c r="H9696" s="14">
        <f t="shared" si="2"/>
        <v>9</v>
      </c>
      <c r="I9696" s="15">
        <f t="shared" si="3"/>
        <v>23</v>
      </c>
    </row>
    <row r="9697">
      <c r="A9697" s="8" t="str">
        <f>IFERROR(__xludf.DUMMYFUNCTION("IF('(INGESTA)Datos_consumo_datadis'!A9697&lt;&gt;"""",SPLIT('(INGESTA)Datos_consumo_datadis'!A:A,"",""),"""")"),"ES0031408323131005HX0F")</f>
        <v>ES0031408323131005HX0F</v>
      </c>
      <c r="B9697" s="12">
        <f>IFERROR(__xludf.DUMMYFUNCTION("""COMPUTED_VALUE"""),45269.0)</f>
        <v>45269</v>
      </c>
      <c r="C9697" s="16">
        <f>IFERROR(__xludf.DUMMYFUNCTION("""COMPUTED_VALUE"""),1.0)</f>
        <v>1</v>
      </c>
      <c r="D9697" s="8">
        <f>IFERROR(__xludf.DUMMYFUNCTION("""COMPUTED_VALUE"""),0.09)</f>
        <v>0.09</v>
      </c>
      <c r="E9697" s="8" t="str">
        <f>IFERROR(__xludf.DUMMYFUNCTION("""COMPUTED_VALUE"""),"Real")</f>
        <v>Real</v>
      </c>
      <c r="G9697" s="8">
        <f t="shared" si="1"/>
        <v>12</v>
      </c>
      <c r="H9697" s="14">
        <f t="shared" si="2"/>
        <v>9</v>
      </c>
      <c r="I9697" s="15">
        <f t="shared" si="3"/>
        <v>0</v>
      </c>
    </row>
    <row r="9698">
      <c r="A9698" s="8" t="str">
        <f>IFERROR(__xludf.DUMMYFUNCTION("IF('(INGESTA)Datos_consumo_datadis'!A9698&lt;&gt;"""",SPLIT('(INGESTA)Datos_consumo_datadis'!A:A,"",""),"""")"),"ES0031408323131005HX0F")</f>
        <v>ES0031408323131005HX0F</v>
      </c>
      <c r="B9698" s="17">
        <f>IFERROR(__xludf.DUMMYFUNCTION("""COMPUTED_VALUE"""),45270.0)</f>
        <v>45270</v>
      </c>
      <c r="C9698" s="13">
        <f>IFERROR(__xludf.DUMMYFUNCTION("""COMPUTED_VALUE"""),0.041666666666666664)</f>
        <v>0.04166666667</v>
      </c>
      <c r="D9698" s="8">
        <f>IFERROR(__xludf.DUMMYFUNCTION("""COMPUTED_VALUE"""),0.074)</f>
        <v>0.074</v>
      </c>
      <c r="E9698" s="8" t="str">
        <f>IFERROR(__xludf.DUMMYFUNCTION("""COMPUTED_VALUE"""),"Real")</f>
        <v>Real</v>
      </c>
      <c r="G9698" s="8">
        <f t="shared" si="1"/>
        <v>12</v>
      </c>
      <c r="H9698" s="14">
        <f t="shared" si="2"/>
        <v>10</v>
      </c>
      <c r="I9698" s="15">
        <f t="shared" si="3"/>
        <v>1</v>
      </c>
    </row>
    <row r="9699">
      <c r="A9699" s="8" t="str">
        <f>IFERROR(__xludf.DUMMYFUNCTION("IF('(INGESTA)Datos_consumo_datadis'!A9699&lt;&gt;"""",SPLIT('(INGESTA)Datos_consumo_datadis'!A:A,"",""),"""")"),"ES0031408323131005HX0F")</f>
        <v>ES0031408323131005HX0F</v>
      </c>
      <c r="B9699" s="17">
        <f>IFERROR(__xludf.DUMMYFUNCTION("""COMPUTED_VALUE"""),45270.0)</f>
        <v>45270</v>
      </c>
      <c r="C9699" s="13">
        <f>IFERROR(__xludf.DUMMYFUNCTION("""COMPUTED_VALUE"""),0.08333333333333333)</f>
        <v>0.08333333333</v>
      </c>
      <c r="D9699" s="8">
        <f>IFERROR(__xludf.DUMMYFUNCTION("""COMPUTED_VALUE"""),0.028)</f>
        <v>0.028</v>
      </c>
      <c r="E9699" s="8" t="str">
        <f>IFERROR(__xludf.DUMMYFUNCTION("""COMPUTED_VALUE"""),"Real")</f>
        <v>Real</v>
      </c>
      <c r="G9699" s="8">
        <f t="shared" si="1"/>
        <v>12</v>
      </c>
      <c r="H9699" s="14">
        <f t="shared" si="2"/>
        <v>10</v>
      </c>
      <c r="I9699" s="15">
        <f t="shared" si="3"/>
        <v>2</v>
      </c>
    </row>
    <row r="9700">
      <c r="A9700" s="8" t="str">
        <f>IFERROR(__xludf.DUMMYFUNCTION("IF('(INGESTA)Datos_consumo_datadis'!A9700&lt;&gt;"""",SPLIT('(INGESTA)Datos_consumo_datadis'!A:A,"",""),"""")"),"ES0031408323131005HX0F")</f>
        <v>ES0031408323131005HX0F</v>
      </c>
      <c r="B9700" s="17">
        <f>IFERROR(__xludf.DUMMYFUNCTION("""COMPUTED_VALUE"""),45270.0)</f>
        <v>45270</v>
      </c>
      <c r="C9700" s="13">
        <f>IFERROR(__xludf.DUMMYFUNCTION("""COMPUTED_VALUE"""),0.125)</f>
        <v>0.125</v>
      </c>
      <c r="D9700" s="8">
        <f>IFERROR(__xludf.DUMMYFUNCTION("""COMPUTED_VALUE"""),0.114)</f>
        <v>0.114</v>
      </c>
      <c r="E9700" s="8" t="str">
        <f>IFERROR(__xludf.DUMMYFUNCTION("""COMPUTED_VALUE"""),"Real")</f>
        <v>Real</v>
      </c>
      <c r="G9700" s="8">
        <f t="shared" si="1"/>
        <v>12</v>
      </c>
      <c r="H9700" s="14">
        <f t="shared" si="2"/>
        <v>10</v>
      </c>
      <c r="I9700" s="15">
        <f t="shared" si="3"/>
        <v>3</v>
      </c>
    </row>
    <row r="9701">
      <c r="A9701" s="8" t="str">
        <f>IFERROR(__xludf.DUMMYFUNCTION("IF('(INGESTA)Datos_consumo_datadis'!A9701&lt;&gt;"""",SPLIT('(INGESTA)Datos_consumo_datadis'!A:A,"",""),"""")"),"ES0031408323131005HX0F")</f>
        <v>ES0031408323131005HX0F</v>
      </c>
      <c r="B9701" s="17">
        <f>IFERROR(__xludf.DUMMYFUNCTION("""COMPUTED_VALUE"""),45270.0)</f>
        <v>45270</v>
      </c>
      <c r="C9701" s="13">
        <f>IFERROR(__xludf.DUMMYFUNCTION("""COMPUTED_VALUE"""),0.16666666666666666)</f>
        <v>0.1666666667</v>
      </c>
      <c r="D9701" s="8">
        <f>IFERROR(__xludf.DUMMYFUNCTION("""COMPUTED_VALUE"""),0.091)</f>
        <v>0.091</v>
      </c>
      <c r="E9701" s="8" t="str">
        <f>IFERROR(__xludf.DUMMYFUNCTION("""COMPUTED_VALUE"""),"Real")</f>
        <v>Real</v>
      </c>
      <c r="G9701" s="8">
        <f t="shared" si="1"/>
        <v>12</v>
      </c>
      <c r="H9701" s="14">
        <f t="shared" si="2"/>
        <v>10</v>
      </c>
      <c r="I9701" s="15">
        <f t="shared" si="3"/>
        <v>4</v>
      </c>
    </row>
    <row r="9702">
      <c r="A9702" s="8" t="str">
        <f>IFERROR(__xludf.DUMMYFUNCTION("IF('(INGESTA)Datos_consumo_datadis'!A9702&lt;&gt;"""",SPLIT('(INGESTA)Datos_consumo_datadis'!A:A,"",""),"""")"),"ES0031408323131005HX0F")</f>
        <v>ES0031408323131005HX0F</v>
      </c>
      <c r="B9702" s="17">
        <f>IFERROR(__xludf.DUMMYFUNCTION("""COMPUTED_VALUE"""),45270.0)</f>
        <v>45270</v>
      </c>
      <c r="C9702" s="13">
        <f>IFERROR(__xludf.DUMMYFUNCTION("""COMPUTED_VALUE"""),0.20833333333333334)</f>
        <v>0.2083333333</v>
      </c>
      <c r="D9702" s="8">
        <f>IFERROR(__xludf.DUMMYFUNCTION("""COMPUTED_VALUE"""),0.344)</f>
        <v>0.344</v>
      </c>
      <c r="E9702" s="8" t="str">
        <f>IFERROR(__xludf.DUMMYFUNCTION("""COMPUTED_VALUE"""),"Real")</f>
        <v>Real</v>
      </c>
      <c r="G9702" s="8">
        <f t="shared" si="1"/>
        <v>12</v>
      </c>
      <c r="H9702" s="14">
        <f t="shared" si="2"/>
        <v>10</v>
      </c>
      <c r="I9702" s="15">
        <f t="shared" si="3"/>
        <v>5</v>
      </c>
    </row>
    <row r="9703">
      <c r="A9703" s="8" t="str">
        <f>IFERROR(__xludf.DUMMYFUNCTION("IF('(INGESTA)Datos_consumo_datadis'!A9703&lt;&gt;"""",SPLIT('(INGESTA)Datos_consumo_datadis'!A:A,"",""),"""")"),"ES0031408323131005HX0F")</f>
        <v>ES0031408323131005HX0F</v>
      </c>
      <c r="B9703" s="17">
        <f>IFERROR(__xludf.DUMMYFUNCTION("""COMPUTED_VALUE"""),45270.0)</f>
        <v>45270</v>
      </c>
      <c r="C9703" s="13">
        <f>IFERROR(__xludf.DUMMYFUNCTION("""COMPUTED_VALUE"""),0.25)</f>
        <v>0.25</v>
      </c>
      <c r="D9703" s="8">
        <f>IFERROR(__xludf.DUMMYFUNCTION("""COMPUTED_VALUE"""),0.03)</f>
        <v>0.03</v>
      </c>
      <c r="E9703" s="8" t="str">
        <f>IFERROR(__xludf.DUMMYFUNCTION("""COMPUTED_VALUE"""),"Real")</f>
        <v>Real</v>
      </c>
      <c r="G9703" s="8">
        <f t="shared" si="1"/>
        <v>12</v>
      </c>
      <c r="H9703" s="14">
        <f t="shared" si="2"/>
        <v>10</v>
      </c>
      <c r="I9703" s="15">
        <f t="shared" si="3"/>
        <v>6</v>
      </c>
    </row>
    <row r="9704">
      <c r="A9704" s="8" t="str">
        <f>IFERROR(__xludf.DUMMYFUNCTION("IF('(INGESTA)Datos_consumo_datadis'!A9704&lt;&gt;"""",SPLIT('(INGESTA)Datos_consumo_datadis'!A:A,"",""),"""")"),"ES0031408323131005HX0F")</f>
        <v>ES0031408323131005HX0F</v>
      </c>
      <c r="B9704" s="17">
        <f>IFERROR(__xludf.DUMMYFUNCTION("""COMPUTED_VALUE"""),45270.0)</f>
        <v>45270</v>
      </c>
      <c r="C9704" s="13">
        <f>IFERROR(__xludf.DUMMYFUNCTION("""COMPUTED_VALUE"""),0.2916666666666667)</f>
        <v>0.2916666667</v>
      </c>
      <c r="D9704" s="8">
        <f>IFERROR(__xludf.DUMMYFUNCTION("""COMPUTED_VALUE"""),0.023)</f>
        <v>0.023</v>
      </c>
      <c r="E9704" s="8" t="str">
        <f>IFERROR(__xludf.DUMMYFUNCTION("""COMPUTED_VALUE"""),"Real")</f>
        <v>Real</v>
      </c>
      <c r="G9704" s="8">
        <f t="shared" si="1"/>
        <v>12</v>
      </c>
      <c r="H9704" s="14">
        <f t="shared" si="2"/>
        <v>10</v>
      </c>
      <c r="I9704" s="15">
        <f t="shared" si="3"/>
        <v>7</v>
      </c>
    </row>
    <row r="9705">
      <c r="A9705" s="8" t="str">
        <f>IFERROR(__xludf.DUMMYFUNCTION("IF('(INGESTA)Datos_consumo_datadis'!A9705&lt;&gt;"""",SPLIT('(INGESTA)Datos_consumo_datadis'!A:A,"",""),"""")"),"ES0031408323131005HX0F")</f>
        <v>ES0031408323131005HX0F</v>
      </c>
      <c r="B9705" s="17">
        <f>IFERROR(__xludf.DUMMYFUNCTION("""COMPUTED_VALUE"""),45270.0)</f>
        <v>45270</v>
      </c>
      <c r="C9705" s="13">
        <f>IFERROR(__xludf.DUMMYFUNCTION("""COMPUTED_VALUE"""),0.3333333333333333)</f>
        <v>0.3333333333</v>
      </c>
      <c r="D9705" s="8">
        <f>IFERROR(__xludf.DUMMYFUNCTION("""COMPUTED_VALUE"""),0.115)</f>
        <v>0.115</v>
      </c>
      <c r="E9705" s="8" t="str">
        <f>IFERROR(__xludf.DUMMYFUNCTION("""COMPUTED_VALUE"""),"Real")</f>
        <v>Real</v>
      </c>
      <c r="G9705" s="8">
        <f t="shared" si="1"/>
        <v>12</v>
      </c>
      <c r="H9705" s="14">
        <f t="shared" si="2"/>
        <v>10</v>
      </c>
      <c r="I9705" s="15">
        <f t="shared" si="3"/>
        <v>8</v>
      </c>
    </row>
    <row r="9706">
      <c r="A9706" s="8" t="str">
        <f>IFERROR(__xludf.DUMMYFUNCTION("IF('(INGESTA)Datos_consumo_datadis'!A9706&lt;&gt;"""",SPLIT('(INGESTA)Datos_consumo_datadis'!A:A,"",""),"""")"),"ES0031408323131005HX0F")</f>
        <v>ES0031408323131005HX0F</v>
      </c>
      <c r="B9706" s="17">
        <f>IFERROR(__xludf.DUMMYFUNCTION("""COMPUTED_VALUE"""),45270.0)</f>
        <v>45270</v>
      </c>
      <c r="C9706" s="13">
        <f>IFERROR(__xludf.DUMMYFUNCTION("""COMPUTED_VALUE"""),0.375)</f>
        <v>0.375</v>
      </c>
      <c r="D9706" s="8">
        <f>IFERROR(__xludf.DUMMYFUNCTION("""COMPUTED_VALUE"""),0.06)</f>
        <v>0.06</v>
      </c>
      <c r="E9706" s="8" t="str">
        <f>IFERROR(__xludf.DUMMYFUNCTION("""COMPUTED_VALUE"""),"Real")</f>
        <v>Real</v>
      </c>
      <c r="G9706" s="8">
        <f t="shared" si="1"/>
        <v>12</v>
      </c>
      <c r="H9706" s="14">
        <f t="shared" si="2"/>
        <v>10</v>
      </c>
      <c r="I9706" s="15">
        <f t="shared" si="3"/>
        <v>9</v>
      </c>
    </row>
    <row r="9707">
      <c r="A9707" s="8" t="str">
        <f>IFERROR(__xludf.DUMMYFUNCTION("IF('(INGESTA)Datos_consumo_datadis'!A9707&lt;&gt;"""",SPLIT('(INGESTA)Datos_consumo_datadis'!A:A,"",""),"""")"),"ES0031408323131005HX0F")</f>
        <v>ES0031408323131005HX0F</v>
      </c>
      <c r="B9707" s="17">
        <f>IFERROR(__xludf.DUMMYFUNCTION("""COMPUTED_VALUE"""),45270.0)</f>
        <v>45270</v>
      </c>
      <c r="C9707" s="13">
        <f>IFERROR(__xludf.DUMMYFUNCTION("""COMPUTED_VALUE"""),0.4166666666666667)</f>
        <v>0.4166666667</v>
      </c>
      <c r="D9707" s="8">
        <f>IFERROR(__xludf.DUMMYFUNCTION("""COMPUTED_VALUE"""),0.425)</f>
        <v>0.425</v>
      </c>
      <c r="E9707" s="8" t="str">
        <f>IFERROR(__xludf.DUMMYFUNCTION("""COMPUTED_VALUE"""),"Real")</f>
        <v>Real</v>
      </c>
      <c r="G9707" s="8">
        <f t="shared" si="1"/>
        <v>12</v>
      </c>
      <c r="H9707" s="14">
        <f t="shared" si="2"/>
        <v>10</v>
      </c>
      <c r="I9707" s="15">
        <f t="shared" si="3"/>
        <v>10</v>
      </c>
    </row>
    <row r="9708">
      <c r="A9708" s="8" t="str">
        <f>IFERROR(__xludf.DUMMYFUNCTION("IF('(INGESTA)Datos_consumo_datadis'!A9708&lt;&gt;"""",SPLIT('(INGESTA)Datos_consumo_datadis'!A:A,"",""),"""")"),"ES0031408323131005HX0F")</f>
        <v>ES0031408323131005HX0F</v>
      </c>
      <c r="B9708" s="17">
        <f>IFERROR(__xludf.DUMMYFUNCTION("""COMPUTED_VALUE"""),45270.0)</f>
        <v>45270</v>
      </c>
      <c r="C9708" s="13">
        <f>IFERROR(__xludf.DUMMYFUNCTION("""COMPUTED_VALUE"""),0.4583333333333333)</f>
        <v>0.4583333333</v>
      </c>
      <c r="D9708" s="8">
        <f>IFERROR(__xludf.DUMMYFUNCTION("""COMPUTED_VALUE"""),0.019)</f>
        <v>0.019</v>
      </c>
      <c r="E9708" s="8" t="str">
        <f>IFERROR(__xludf.DUMMYFUNCTION("""COMPUTED_VALUE"""),"Real")</f>
        <v>Real</v>
      </c>
      <c r="G9708" s="8">
        <f t="shared" si="1"/>
        <v>12</v>
      </c>
      <c r="H9708" s="14">
        <f t="shared" si="2"/>
        <v>10</v>
      </c>
      <c r="I9708" s="15">
        <f t="shared" si="3"/>
        <v>11</v>
      </c>
    </row>
    <row r="9709">
      <c r="A9709" s="8" t="str">
        <f>IFERROR(__xludf.DUMMYFUNCTION("IF('(INGESTA)Datos_consumo_datadis'!A9709&lt;&gt;"""",SPLIT('(INGESTA)Datos_consumo_datadis'!A:A,"",""),"""")"),"ES0031408323131005HX0F")</f>
        <v>ES0031408323131005HX0F</v>
      </c>
      <c r="B9709" s="17">
        <f>IFERROR(__xludf.DUMMYFUNCTION("""COMPUTED_VALUE"""),45270.0)</f>
        <v>45270</v>
      </c>
      <c r="C9709" s="13">
        <f>IFERROR(__xludf.DUMMYFUNCTION("""COMPUTED_VALUE"""),0.5)</f>
        <v>0.5</v>
      </c>
      <c r="D9709" s="8">
        <f>IFERROR(__xludf.DUMMYFUNCTION("""COMPUTED_VALUE"""),0.102)</f>
        <v>0.102</v>
      </c>
      <c r="E9709" s="8" t="str">
        <f>IFERROR(__xludf.DUMMYFUNCTION("""COMPUTED_VALUE"""),"Real")</f>
        <v>Real</v>
      </c>
      <c r="G9709" s="8">
        <f t="shared" si="1"/>
        <v>12</v>
      </c>
      <c r="H9709" s="14">
        <f t="shared" si="2"/>
        <v>10</v>
      </c>
      <c r="I9709" s="15">
        <f t="shared" si="3"/>
        <v>12</v>
      </c>
    </row>
    <row r="9710">
      <c r="A9710" s="8" t="str">
        <f>IFERROR(__xludf.DUMMYFUNCTION("IF('(INGESTA)Datos_consumo_datadis'!A9710&lt;&gt;"""",SPLIT('(INGESTA)Datos_consumo_datadis'!A:A,"",""),"""")"),"ES0031408323131005HX0F")</f>
        <v>ES0031408323131005HX0F</v>
      </c>
      <c r="B9710" s="17">
        <f>IFERROR(__xludf.DUMMYFUNCTION("""COMPUTED_VALUE"""),45270.0)</f>
        <v>45270</v>
      </c>
      <c r="C9710" s="13">
        <f>IFERROR(__xludf.DUMMYFUNCTION("""COMPUTED_VALUE"""),0.5416666666666666)</f>
        <v>0.5416666667</v>
      </c>
      <c r="D9710" s="8">
        <f>IFERROR(__xludf.DUMMYFUNCTION("""COMPUTED_VALUE"""),0.109)</f>
        <v>0.109</v>
      </c>
      <c r="E9710" s="8" t="str">
        <f>IFERROR(__xludf.DUMMYFUNCTION("""COMPUTED_VALUE"""),"Real")</f>
        <v>Real</v>
      </c>
      <c r="G9710" s="8">
        <f t="shared" si="1"/>
        <v>12</v>
      </c>
      <c r="H9710" s="14">
        <f t="shared" si="2"/>
        <v>10</v>
      </c>
      <c r="I9710" s="15">
        <f t="shared" si="3"/>
        <v>13</v>
      </c>
    </row>
    <row r="9711">
      <c r="A9711" s="8" t="str">
        <f>IFERROR(__xludf.DUMMYFUNCTION("IF('(INGESTA)Datos_consumo_datadis'!A9711&lt;&gt;"""",SPLIT('(INGESTA)Datos_consumo_datadis'!A:A,"",""),"""")"),"ES0031408323131005HX0F")</f>
        <v>ES0031408323131005HX0F</v>
      </c>
      <c r="B9711" s="17">
        <f>IFERROR(__xludf.DUMMYFUNCTION("""COMPUTED_VALUE"""),45270.0)</f>
        <v>45270</v>
      </c>
      <c r="C9711" s="13">
        <f>IFERROR(__xludf.DUMMYFUNCTION("""COMPUTED_VALUE"""),0.5833333333333334)</f>
        <v>0.5833333333</v>
      </c>
      <c r="D9711" s="8">
        <f>IFERROR(__xludf.DUMMYFUNCTION("""COMPUTED_VALUE"""),0.079)</f>
        <v>0.079</v>
      </c>
      <c r="E9711" s="8" t="str">
        <f>IFERROR(__xludf.DUMMYFUNCTION("""COMPUTED_VALUE"""),"Real")</f>
        <v>Real</v>
      </c>
      <c r="G9711" s="8">
        <f t="shared" si="1"/>
        <v>12</v>
      </c>
      <c r="H9711" s="14">
        <f t="shared" si="2"/>
        <v>10</v>
      </c>
      <c r="I9711" s="15">
        <f t="shared" si="3"/>
        <v>14</v>
      </c>
    </row>
    <row r="9712">
      <c r="A9712" s="8" t="str">
        <f>IFERROR(__xludf.DUMMYFUNCTION("IF('(INGESTA)Datos_consumo_datadis'!A9712&lt;&gt;"""",SPLIT('(INGESTA)Datos_consumo_datadis'!A:A,"",""),"""")"),"ES0031408323131005HX0F")</f>
        <v>ES0031408323131005HX0F</v>
      </c>
      <c r="B9712" s="17">
        <f>IFERROR(__xludf.DUMMYFUNCTION("""COMPUTED_VALUE"""),45270.0)</f>
        <v>45270</v>
      </c>
      <c r="C9712" s="13">
        <f>IFERROR(__xludf.DUMMYFUNCTION("""COMPUTED_VALUE"""),0.625)</f>
        <v>0.625</v>
      </c>
      <c r="D9712" s="8">
        <f>IFERROR(__xludf.DUMMYFUNCTION("""COMPUTED_VALUE"""),0.323)</f>
        <v>0.323</v>
      </c>
      <c r="E9712" s="8" t="str">
        <f>IFERROR(__xludf.DUMMYFUNCTION("""COMPUTED_VALUE"""),"Real")</f>
        <v>Real</v>
      </c>
      <c r="G9712" s="8">
        <f t="shared" si="1"/>
        <v>12</v>
      </c>
      <c r="H9712" s="14">
        <f t="shared" si="2"/>
        <v>10</v>
      </c>
      <c r="I9712" s="15">
        <f t="shared" si="3"/>
        <v>15</v>
      </c>
    </row>
    <row r="9713">
      <c r="A9713" s="8" t="str">
        <f>IFERROR(__xludf.DUMMYFUNCTION("IF('(INGESTA)Datos_consumo_datadis'!A9713&lt;&gt;"""",SPLIT('(INGESTA)Datos_consumo_datadis'!A:A,"",""),"""")"),"ES0031408323131005HX0F")</f>
        <v>ES0031408323131005HX0F</v>
      </c>
      <c r="B9713" s="17">
        <f>IFERROR(__xludf.DUMMYFUNCTION("""COMPUTED_VALUE"""),45270.0)</f>
        <v>45270</v>
      </c>
      <c r="C9713" s="13">
        <f>IFERROR(__xludf.DUMMYFUNCTION("""COMPUTED_VALUE"""),0.6666666666666666)</f>
        <v>0.6666666667</v>
      </c>
      <c r="D9713" s="8">
        <f>IFERROR(__xludf.DUMMYFUNCTION("""COMPUTED_VALUE"""),0.019)</f>
        <v>0.019</v>
      </c>
      <c r="E9713" s="8" t="str">
        <f>IFERROR(__xludf.DUMMYFUNCTION("""COMPUTED_VALUE"""),"Real")</f>
        <v>Real</v>
      </c>
      <c r="G9713" s="8">
        <f t="shared" si="1"/>
        <v>12</v>
      </c>
      <c r="H9713" s="14">
        <f t="shared" si="2"/>
        <v>10</v>
      </c>
      <c r="I9713" s="15">
        <f t="shared" si="3"/>
        <v>16</v>
      </c>
    </row>
    <row r="9714">
      <c r="A9714" s="8" t="str">
        <f>IFERROR(__xludf.DUMMYFUNCTION("IF('(INGESTA)Datos_consumo_datadis'!A9714&lt;&gt;"""",SPLIT('(INGESTA)Datos_consumo_datadis'!A:A,"",""),"""")"),"ES0031408323131005HX0F")</f>
        <v>ES0031408323131005HX0F</v>
      </c>
      <c r="B9714" s="17">
        <f>IFERROR(__xludf.DUMMYFUNCTION("""COMPUTED_VALUE"""),45270.0)</f>
        <v>45270</v>
      </c>
      <c r="C9714" s="13">
        <f>IFERROR(__xludf.DUMMYFUNCTION("""COMPUTED_VALUE"""),0.7083333333333334)</f>
        <v>0.7083333333</v>
      </c>
      <c r="D9714" s="8">
        <f>IFERROR(__xludf.DUMMYFUNCTION("""COMPUTED_VALUE"""),0.089)</f>
        <v>0.089</v>
      </c>
      <c r="E9714" s="8" t="str">
        <f>IFERROR(__xludf.DUMMYFUNCTION("""COMPUTED_VALUE"""),"Real")</f>
        <v>Real</v>
      </c>
      <c r="G9714" s="8">
        <f t="shared" si="1"/>
        <v>12</v>
      </c>
      <c r="H9714" s="14">
        <f t="shared" si="2"/>
        <v>10</v>
      </c>
      <c r="I9714" s="15">
        <f t="shared" si="3"/>
        <v>17</v>
      </c>
    </row>
    <row r="9715">
      <c r="A9715" s="8" t="str">
        <f>IFERROR(__xludf.DUMMYFUNCTION("IF('(INGESTA)Datos_consumo_datadis'!A9715&lt;&gt;"""",SPLIT('(INGESTA)Datos_consumo_datadis'!A:A,"",""),"""")"),"ES0031408323131005HX0F")</f>
        <v>ES0031408323131005HX0F</v>
      </c>
      <c r="B9715" s="17">
        <f>IFERROR(__xludf.DUMMYFUNCTION("""COMPUTED_VALUE"""),45270.0)</f>
        <v>45270</v>
      </c>
      <c r="C9715" s="13">
        <f>IFERROR(__xludf.DUMMYFUNCTION("""COMPUTED_VALUE"""),0.75)</f>
        <v>0.75</v>
      </c>
      <c r="D9715" s="8">
        <f>IFERROR(__xludf.DUMMYFUNCTION("""COMPUTED_VALUE"""),0.066)</f>
        <v>0.066</v>
      </c>
      <c r="E9715" s="8" t="str">
        <f>IFERROR(__xludf.DUMMYFUNCTION("""COMPUTED_VALUE"""),"Real")</f>
        <v>Real</v>
      </c>
      <c r="G9715" s="8">
        <f t="shared" si="1"/>
        <v>12</v>
      </c>
      <c r="H9715" s="14">
        <f t="shared" si="2"/>
        <v>10</v>
      </c>
      <c r="I9715" s="15">
        <f t="shared" si="3"/>
        <v>18</v>
      </c>
    </row>
    <row r="9716">
      <c r="A9716" s="8" t="str">
        <f>IFERROR(__xludf.DUMMYFUNCTION("IF('(INGESTA)Datos_consumo_datadis'!A9716&lt;&gt;"""",SPLIT('(INGESTA)Datos_consumo_datadis'!A:A,"",""),"""")"),"ES0031408323131005HX0F")</f>
        <v>ES0031408323131005HX0F</v>
      </c>
      <c r="B9716" s="17">
        <f>IFERROR(__xludf.DUMMYFUNCTION("""COMPUTED_VALUE"""),45270.0)</f>
        <v>45270</v>
      </c>
      <c r="C9716" s="13">
        <f>IFERROR(__xludf.DUMMYFUNCTION("""COMPUTED_VALUE"""),0.7916666666666666)</f>
        <v>0.7916666667</v>
      </c>
      <c r="D9716" s="8">
        <f>IFERROR(__xludf.DUMMYFUNCTION("""COMPUTED_VALUE"""),0.078)</f>
        <v>0.078</v>
      </c>
      <c r="E9716" s="8" t="str">
        <f>IFERROR(__xludf.DUMMYFUNCTION("""COMPUTED_VALUE"""),"Real")</f>
        <v>Real</v>
      </c>
      <c r="G9716" s="8">
        <f t="shared" si="1"/>
        <v>12</v>
      </c>
      <c r="H9716" s="14">
        <f t="shared" si="2"/>
        <v>10</v>
      </c>
      <c r="I9716" s="15">
        <f t="shared" si="3"/>
        <v>19</v>
      </c>
    </row>
    <row r="9717">
      <c r="A9717" s="8" t="str">
        <f>IFERROR(__xludf.DUMMYFUNCTION("IF('(INGESTA)Datos_consumo_datadis'!A9717&lt;&gt;"""",SPLIT('(INGESTA)Datos_consumo_datadis'!A:A,"",""),"""")"),"ES0031408323131005HX0F")</f>
        <v>ES0031408323131005HX0F</v>
      </c>
      <c r="B9717" s="17">
        <f>IFERROR(__xludf.DUMMYFUNCTION("""COMPUTED_VALUE"""),45270.0)</f>
        <v>45270</v>
      </c>
      <c r="C9717" s="13">
        <f>IFERROR(__xludf.DUMMYFUNCTION("""COMPUTED_VALUE"""),0.8333333333333334)</f>
        <v>0.8333333333</v>
      </c>
      <c r="D9717" s="8">
        <f>IFERROR(__xludf.DUMMYFUNCTION("""COMPUTED_VALUE"""),1.965)</f>
        <v>1.965</v>
      </c>
      <c r="E9717" s="8" t="str">
        <f>IFERROR(__xludf.DUMMYFUNCTION("""COMPUTED_VALUE"""),"Real")</f>
        <v>Real</v>
      </c>
      <c r="G9717" s="8">
        <f t="shared" si="1"/>
        <v>12</v>
      </c>
      <c r="H9717" s="14">
        <f t="shared" si="2"/>
        <v>10</v>
      </c>
      <c r="I9717" s="15">
        <f t="shared" si="3"/>
        <v>20</v>
      </c>
    </row>
    <row r="9718">
      <c r="A9718" s="8" t="str">
        <f>IFERROR(__xludf.DUMMYFUNCTION("IF('(INGESTA)Datos_consumo_datadis'!A9718&lt;&gt;"""",SPLIT('(INGESTA)Datos_consumo_datadis'!A:A,"",""),"""")"),"ES0031408323131005HX0F")</f>
        <v>ES0031408323131005HX0F</v>
      </c>
      <c r="B9718" s="17">
        <f>IFERROR(__xludf.DUMMYFUNCTION("""COMPUTED_VALUE"""),45270.0)</f>
        <v>45270</v>
      </c>
      <c r="C9718" s="13">
        <f>IFERROR(__xludf.DUMMYFUNCTION("""COMPUTED_VALUE"""),0.875)</f>
        <v>0.875</v>
      </c>
      <c r="D9718" s="8">
        <f>IFERROR(__xludf.DUMMYFUNCTION("""COMPUTED_VALUE"""),2.404)</f>
        <v>2.404</v>
      </c>
      <c r="E9718" s="8" t="str">
        <f>IFERROR(__xludf.DUMMYFUNCTION("""COMPUTED_VALUE"""),"Real")</f>
        <v>Real</v>
      </c>
      <c r="G9718" s="8">
        <f t="shared" si="1"/>
        <v>12</v>
      </c>
      <c r="H9718" s="14">
        <f t="shared" si="2"/>
        <v>10</v>
      </c>
      <c r="I9718" s="15">
        <f t="shared" si="3"/>
        <v>21</v>
      </c>
    </row>
    <row r="9719">
      <c r="A9719" s="8" t="str">
        <f>IFERROR(__xludf.DUMMYFUNCTION("IF('(INGESTA)Datos_consumo_datadis'!A9719&lt;&gt;"""",SPLIT('(INGESTA)Datos_consumo_datadis'!A:A,"",""),"""")"),"ES0031408323131005HX0F")</f>
        <v>ES0031408323131005HX0F</v>
      </c>
      <c r="B9719" s="17">
        <f>IFERROR(__xludf.DUMMYFUNCTION("""COMPUTED_VALUE"""),45270.0)</f>
        <v>45270</v>
      </c>
      <c r="C9719" s="13">
        <f>IFERROR(__xludf.DUMMYFUNCTION("""COMPUTED_VALUE"""),0.9166666666666666)</f>
        <v>0.9166666667</v>
      </c>
      <c r="D9719" s="8">
        <f>IFERROR(__xludf.DUMMYFUNCTION("""COMPUTED_VALUE"""),0.226)</f>
        <v>0.226</v>
      </c>
      <c r="E9719" s="8" t="str">
        <f>IFERROR(__xludf.DUMMYFUNCTION("""COMPUTED_VALUE"""),"Real")</f>
        <v>Real</v>
      </c>
      <c r="G9719" s="8">
        <f t="shared" si="1"/>
        <v>12</v>
      </c>
      <c r="H9719" s="14">
        <f t="shared" si="2"/>
        <v>10</v>
      </c>
      <c r="I9719" s="15">
        <f t="shared" si="3"/>
        <v>22</v>
      </c>
    </row>
    <row r="9720">
      <c r="A9720" s="8" t="str">
        <f>IFERROR(__xludf.DUMMYFUNCTION("IF('(INGESTA)Datos_consumo_datadis'!A9720&lt;&gt;"""",SPLIT('(INGESTA)Datos_consumo_datadis'!A:A,"",""),"""")"),"ES0031408323131005HX0F")</f>
        <v>ES0031408323131005HX0F</v>
      </c>
      <c r="B9720" s="17">
        <f>IFERROR(__xludf.DUMMYFUNCTION("""COMPUTED_VALUE"""),45270.0)</f>
        <v>45270</v>
      </c>
      <c r="C9720" s="13">
        <f>IFERROR(__xludf.DUMMYFUNCTION("""COMPUTED_VALUE"""),0.9583333333333334)</f>
        <v>0.9583333333</v>
      </c>
      <c r="D9720" s="8">
        <f>IFERROR(__xludf.DUMMYFUNCTION("""COMPUTED_VALUE"""),0.203)</f>
        <v>0.203</v>
      </c>
      <c r="E9720" s="8" t="str">
        <f>IFERROR(__xludf.DUMMYFUNCTION("""COMPUTED_VALUE"""),"Real")</f>
        <v>Real</v>
      </c>
      <c r="G9720" s="8">
        <f t="shared" si="1"/>
        <v>12</v>
      </c>
      <c r="H9720" s="14">
        <f t="shared" si="2"/>
        <v>10</v>
      </c>
      <c r="I9720" s="15">
        <f t="shared" si="3"/>
        <v>23</v>
      </c>
    </row>
    <row r="9721">
      <c r="A9721" s="8" t="str">
        <f>IFERROR(__xludf.DUMMYFUNCTION("IF('(INGESTA)Datos_consumo_datadis'!A9721&lt;&gt;"""",SPLIT('(INGESTA)Datos_consumo_datadis'!A:A,"",""),"""")"),"ES0031408323131005HX0F")</f>
        <v>ES0031408323131005HX0F</v>
      </c>
      <c r="B9721" s="17">
        <f>IFERROR(__xludf.DUMMYFUNCTION("""COMPUTED_VALUE"""),45270.0)</f>
        <v>45270</v>
      </c>
      <c r="C9721" s="16">
        <f>IFERROR(__xludf.DUMMYFUNCTION("""COMPUTED_VALUE"""),1.0)</f>
        <v>1</v>
      </c>
      <c r="D9721" s="8">
        <f>IFERROR(__xludf.DUMMYFUNCTION("""COMPUTED_VALUE"""),0.083)</f>
        <v>0.083</v>
      </c>
      <c r="E9721" s="8" t="str">
        <f>IFERROR(__xludf.DUMMYFUNCTION("""COMPUTED_VALUE"""),"Real")</f>
        <v>Real</v>
      </c>
      <c r="G9721" s="8">
        <f t="shared" si="1"/>
        <v>12</v>
      </c>
      <c r="H9721" s="14">
        <f t="shared" si="2"/>
        <v>10</v>
      </c>
      <c r="I9721" s="15">
        <f t="shared" si="3"/>
        <v>0</v>
      </c>
    </row>
    <row r="9722">
      <c r="A9722" s="8" t="str">
        <f>IFERROR(__xludf.DUMMYFUNCTION("IF('(INGESTA)Datos_consumo_datadis'!A9722&lt;&gt;"""",SPLIT('(INGESTA)Datos_consumo_datadis'!A:A,"",""),"""")"),"ES0031408323131005HX0F")</f>
        <v>ES0031408323131005HX0F</v>
      </c>
      <c r="B9722" s="17">
        <f>IFERROR(__xludf.DUMMYFUNCTION("""COMPUTED_VALUE"""),45271.0)</f>
        <v>45271</v>
      </c>
      <c r="C9722" s="13">
        <f>IFERROR(__xludf.DUMMYFUNCTION("""COMPUTED_VALUE"""),0.041666666666666664)</f>
        <v>0.04166666667</v>
      </c>
      <c r="D9722" s="8">
        <f>IFERROR(__xludf.DUMMYFUNCTION("""COMPUTED_VALUE"""),0.034)</f>
        <v>0.034</v>
      </c>
      <c r="E9722" s="8" t="str">
        <f>IFERROR(__xludf.DUMMYFUNCTION("""COMPUTED_VALUE"""),"Real")</f>
        <v>Real</v>
      </c>
      <c r="G9722" s="8">
        <f t="shared" si="1"/>
        <v>12</v>
      </c>
      <c r="H9722" s="14">
        <f t="shared" si="2"/>
        <v>11</v>
      </c>
      <c r="I9722" s="15">
        <f t="shared" si="3"/>
        <v>1</v>
      </c>
    </row>
    <row r="9723">
      <c r="A9723" s="8" t="str">
        <f>IFERROR(__xludf.DUMMYFUNCTION("IF('(INGESTA)Datos_consumo_datadis'!A9723&lt;&gt;"""",SPLIT('(INGESTA)Datos_consumo_datadis'!A:A,"",""),"""")"),"ES0031408323131005HX0F")</f>
        <v>ES0031408323131005HX0F</v>
      </c>
      <c r="B9723" s="17">
        <f>IFERROR(__xludf.DUMMYFUNCTION("""COMPUTED_VALUE"""),45271.0)</f>
        <v>45271</v>
      </c>
      <c r="C9723" s="13">
        <f>IFERROR(__xludf.DUMMYFUNCTION("""COMPUTED_VALUE"""),0.08333333333333333)</f>
        <v>0.08333333333</v>
      </c>
      <c r="D9723" s="8">
        <f>IFERROR(__xludf.DUMMYFUNCTION("""COMPUTED_VALUE"""),0.365)</f>
        <v>0.365</v>
      </c>
      <c r="E9723" s="8" t="str">
        <f>IFERROR(__xludf.DUMMYFUNCTION("""COMPUTED_VALUE"""),"Real")</f>
        <v>Real</v>
      </c>
      <c r="G9723" s="8">
        <f t="shared" si="1"/>
        <v>12</v>
      </c>
      <c r="H9723" s="14">
        <f t="shared" si="2"/>
        <v>11</v>
      </c>
      <c r="I9723" s="15">
        <f t="shared" si="3"/>
        <v>2</v>
      </c>
    </row>
    <row r="9724">
      <c r="A9724" s="8" t="str">
        <f>IFERROR(__xludf.DUMMYFUNCTION("IF('(INGESTA)Datos_consumo_datadis'!A9724&lt;&gt;"""",SPLIT('(INGESTA)Datos_consumo_datadis'!A:A,"",""),"""")"),"ES0031408323131005HX0F")</f>
        <v>ES0031408323131005HX0F</v>
      </c>
      <c r="B9724" s="17">
        <f>IFERROR(__xludf.DUMMYFUNCTION("""COMPUTED_VALUE"""),45271.0)</f>
        <v>45271</v>
      </c>
      <c r="C9724" s="13">
        <f>IFERROR(__xludf.DUMMYFUNCTION("""COMPUTED_VALUE"""),0.125)</f>
        <v>0.125</v>
      </c>
      <c r="D9724" s="8">
        <f>IFERROR(__xludf.DUMMYFUNCTION("""COMPUTED_VALUE"""),0.128)</f>
        <v>0.128</v>
      </c>
      <c r="E9724" s="8" t="str">
        <f>IFERROR(__xludf.DUMMYFUNCTION("""COMPUTED_VALUE"""),"Real")</f>
        <v>Real</v>
      </c>
      <c r="G9724" s="8">
        <f t="shared" si="1"/>
        <v>12</v>
      </c>
      <c r="H9724" s="14">
        <f t="shared" si="2"/>
        <v>11</v>
      </c>
      <c r="I9724" s="15">
        <f t="shared" si="3"/>
        <v>3</v>
      </c>
    </row>
    <row r="9725">
      <c r="A9725" s="8" t="str">
        <f>IFERROR(__xludf.DUMMYFUNCTION("IF('(INGESTA)Datos_consumo_datadis'!A9725&lt;&gt;"""",SPLIT('(INGESTA)Datos_consumo_datadis'!A:A,"",""),"""")"),"ES0031408323131005HX0F")</f>
        <v>ES0031408323131005HX0F</v>
      </c>
      <c r="B9725" s="17">
        <f>IFERROR(__xludf.DUMMYFUNCTION("""COMPUTED_VALUE"""),45271.0)</f>
        <v>45271</v>
      </c>
      <c r="C9725" s="13">
        <f>IFERROR(__xludf.DUMMYFUNCTION("""COMPUTED_VALUE"""),0.16666666666666666)</f>
        <v>0.1666666667</v>
      </c>
      <c r="D9725" s="8">
        <f>IFERROR(__xludf.DUMMYFUNCTION("""COMPUTED_VALUE"""),0.083)</f>
        <v>0.083</v>
      </c>
      <c r="E9725" s="8" t="str">
        <f>IFERROR(__xludf.DUMMYFUNCTION("""COMPUTED_VALUE"""),"Real")</f>
        <v>Real</v>
      </c>
      <c r="G9725" s="8">
        <f t="shared" si="1"/>
        <v>12</v>
      </c>
      <c r="H9725" s="14">
        <f t="shared" si="2"/>
        <v>11</v>
      </c>
      <c r="I9725" s="15">
        <f t="shared" si="3"/>
        <v>4</v>
      </c>
    </row>
    <row r="9726">
      <c r="A9726" s="8" t="str">
        <f>IFERROR(__xludf.DUMMYFUNCTION("IF('(INGESTA)Datos_consumo_datadis'!A9726&lt;&gt;"""",SPLIT('(INGESTA)Datos_consumo_datadis'!A:A,"",""),"""")"),"ES0031408323131005HX0F")</f>
        <v>ES0031408323131005HX0F</v>
      </c>
      <c r="B9726" s="17">
        <f>IFERROR(__xludf.DUMMYFUNCTION("""COMPUTED_VALUE"""),45271.0)</f>
        <v>45271</v>
      </c>
      <c r="C9726" s="13">
        <f>IFERROR(__xludf.DUMMYFUNCTION("""COMPUTED_VALUE"""),0.20833333333333334)</f>
        <v>0.2083333333</v>
      </c>
      <c r="D9726" s="8">
        <f>IFERROR(__xludf.DUMMYFUNCTION("""COMPUTED_VALUE"""),0.02)</f>
        <v>0.02</v>
      </c>
      <c r="E9726" s="8" t="str">
        <f>IFERROR(__xludf.DUMMYFUNCTION("""COMPUTED_VALUE"""),"Real")</f>
        <v>Real</v>
      </c>
      <c r="G9726" s="8">
        <f t="shared" si="1"/>
        <v>12</v>
      </c>
      <c r="H9726" s="14">
        <f t="shared" si="2"/>
        <v>11</v>
      </c>
      <c r="I9726" s="15">
        <f t="shared" si="3"/>
        <v>5</v>
      </c>
    </row>
    <row r="9727">
      <c r="A9727" s="8" t="str">
        <f>IFERROR(__xludf.DUMMYFUNCTION("IF('(INGESTA)Datos_consumo_datadis'!A9727&lt;&gt;"""",SPLIT('(INGESTA)Datos_consumo_datadis'!A:A,"",""),"""")"),"ES0031408323131005HX0F")</f>
        <v>ES0031408323131005HX0F</v>
      </c>
      <c r="B9727" s="17">
        <f>IFERROR(__xludf.DUMMYFUNCTION("""COMPUTED_VALUE"""),45271.0)</f>
        <v>45271</v>
      </c>
      <c r="C9727" s="13">
        <f>IFERROR(__xludf.DUMMYFUNCTION("""COMPUTED_VALUE"""),0.25)</f>
        <v>0.25</v>
      </c>
      <c r="D9727" s="8">
        <f>IFERROR(__xludf.DUMMYFUNCTION("""COMPUTED_VALUE"""),0.02)</f>
        <v>0.02</v>
      </c>
      <c r="E9727" s="8" t="str">
        <f>IFERROR(__xludf.DUMMYFUNCTION("""COMPUTED_VALUE"""),"Real")</f>
        <v>Real</v>
      </c>
      <c r="G9727" s="8">
        <f t="shared" si="1"/>
        <v>12</v>
      </c>
      <c r="H9727" s="14">
        <f t="shared" si="2"/>
        <v>11</v>
      </c>
      <c r="I9727" s="15">
        <f t="shared" si="3"/>
        <v>6</v>
      </c>
    </row>
    <row r="9728">
      <c r="A9728" s="8" t="str">
        <f>IFERROR(__xludf.DUMMYFUNCTION("IF('(INGESTA)Datos_consumo_datadis'!A9728&lt;&gt;"""",SPLIT('(INGESTA)Datos_consumo_datadis'!A:A,"",""),"""")"),"ES0031408323131005HX0F")</f>
        <v>ES0031408323131005HX0F</v>
      </c>
      <c r="B9728" s="17">
        <f>IFERROR(__xludf.DUMMYFUNCTION("""COMPUTED_VALUE"""),45271.0)</f>
        <v>45271</v>
      </c>
      <c r="C9728" s="13">
        <f>IFERROR(__xludf.DUMMYFUNCTION("""COMPUTED_VALUE"""),0.2916666666666667)</f>
        <v>0.2916666667</v>
      </c>
      <c r="D9728" s="8">
        <f>IFERROR(__xludf.DUMMYFUNCTION("""COMPUTED_VALUE"""),0.151)</f>
        <v>0.151</v>
      </c>
      <c r="E9728" s="8" t="str">
        <f>IFERROR(__xludf.DUMMYFUNCTION("""COMPUTED_VALUE"""),"Real")</f>
        <v>Real</v>
      </c>
      <c r="G9728" s="8">
        <f t="shared" si="1"/>
        <v>12</v>
      </c>
      <c r="H9728" s="14">
        <f t="shared" si="2"/>
        <v>11</v>
      </c>
      <c r="I9728" s="15">
        <f t="shared" si="3"/>
        <v>7</v>
      </c>
    </row>
    <row r="9729">
      <c r="A9729" s="8" t="str">
        <f>IFERROR(__xludf.DUMMYFUNCTION("IF('(INGESTA)Datos_consumo_datadis'!A9729&lt;&gt;"""",SPLIT('(INGESTA)Datos_consumo_datadis'!A:A,"",""),"""")"),"ES0031408323131005HX0F")</f>
        <v>ES0031408323131005HX0F</v>
      </c>
      <c r="B9729" s="17">
        <f>IFERROR(__xludf.DUMMYFUNCTION("""COMPUTED_VALUE"""),45271.0)</f>
        <v>45271</v>
      </c>
      <c r="C9729" s="13">
        <f>IFERROR(__xludf.DUMMYFUNCTION("""COMPUTED_VALUE"""),0.3333333333333333)</f>
        <v>0.3333333333</v>
      </c>
      <c r="D9729" s="8">
        <f>IFERROR(__xludf.DUMMYFUNCTION("""COMPUTED_VALUE"""),0.345)</f>
        <v>0.345</v>
      </c>
      <c r="E9729" s="8" t="str">
        <f>IFERROR(__xludf.DUMMYFUNCTION("""COMPUTED_VALUE"""),"Real")</f>
        <v>Real</v>
      </c>
      <c r="G9729" s="8">
        <f t="shared" si="1"/>
        <v>12</v>
      </c>
      <c r="H9729" s="14">
        <f t="shared" si="2"/>
        <v>11</v>
      </c>
      <c r="I9729" s="15">
        <f t="shared" si="3"/>
        <v>8</v>
      </c>
    </row>
    <row r="9730">
      <c r="A9730" s="8" t="str">
        <f>IFERROR(__xludf.DUMMYFUNCTION("IF('(INGESTA)Datos_consumo_datadis'!A9730&lt;&gt;"""",SPLIT('(INGESTA)Datos_consumo_datadis'!A:A,"",""),"""")"),"ES0031408323131005HX0F")</f>
        <v>ES0031408323131005HX0F</v>
      </c>
      <c r="B9730" s="17">
        <f>IFERROR(__xludf.DUMMYFUNCTION("""COMPUTED_VALUE"""),45271.0)</f>
        <v>45271</v>
      </c>
      <c r="C9730" s="13">
        <f>IFERROR(__xludf.DUMMYFUNCTION("""COMPUTED_VALUE"""),0.375)</f>
        <v>0.375</v>
      </c>
      <c r="D9730" s="8">
        <f>IFERROR(__xludf.DUMMYFUNCTION("""COMPUTED_VALUE"""),0.04)</f>
        <v>0.04</v>
      </c>
      <c r="E9730" s="8" t="str">
        <f>IFERROR(__xludf.DUMMYFUNCTION("""COMPUTED_VALUE"""),"Real")</f>
        <v>Real</v>
      </c>
      <c r="G9730" s="8">
        <f t="shared" si="1"/>
        <v>12</v>
      </c>
      <c r="H9730" s="14">
        <f t="shared" si="2"/>
        <v>11</v>
      </c>
      <c r="I9730" s="15">
        <f t="shared" si="3"/>
        <v>9</v>
      </c>
    </row>
    <row r="9731">
      <c r="A9731" s="8" t="str">
        <f>IFERROR(__xludf.DUMMYFUNCTION("IF('(INGESTA)Datos_consumo_datadis'!A9731&lt;&gt;"""",SPLIT('(INGESTA)Datos_consumo_datadis'!A:A,"",""),"""")"),"ES0031408323131005HX0F")</f>
        <v>ES0031408323131005HX0F</v>
      </c>
      <c r="B9731" s="17">
        <f>IFERROR(__xludf.DUMMYFUNCTION("""COMPUTED_VALUE"""),45271.0)</f>
        <v>45271</v>
      </c>
      <c r="C9731" s="13">
        <f>IFERROR(__xludf.DUMMYFUNCTION("""COMPUTED_VALUE"""),0.4166666666666667)</f>
        <v>0.4166666667</v>
      </c>
      <c r="D9731" s="8">
        <f>IFERROR(__xludf.DUMMYFUNCTION("""COMPUTED_VALUE"""),0.018)</f>
        <v>0.018</v>
      </c>
      <c r="E9731" s="8" t="str">
        <f>IFERROR(__xludf.DUMMYFUNCTION("""COMPUTED_VALUE"""),"Real")</f>
        <v>Real</v>
      </c>
      <c r="G9731" s="8">
        <f t="shared" si="1"/>
        <v>12</v>
      </c>
      <c r="H9731" s="14">
        <f t="shared" si="2"/>
        <v>11</v>
      </c>
      <c r="I9731" s="15">
        <f t="shared" si="3"/>
        <v>10</v>
      </c>
    </row>
    <row r="9732">
      <c r="A9732" s="8" t="str">
        <f>IFERROR(__xludf.DUMMYFUNCTION("IF('(INGESTA)Datos_consumo_datadis'!A9732&lt;&gt;"""",SPLIT('(INGESTA)Datos_consumo_datadis'!A:A,"",""),"""")"),"ES0031408323131005HX0F")</f>
        <v>ES0031408323131005HX0F</v>
      </c>
      <c r="B9732" s="17">
        <f>IFERROR(__xludf.DUMMYFUNCTION("""COMPUTED_VALUE"""),45271.0)</f>
        <v>45271</v>
      </c>
      <c r="C9732" s="13">
        <f>IFERROR(__xludf.DUMMYFUNCTION("""COMPUTED_VALUE"""),0.4583333333333333)</f>
        <v>0.4583333333</v>
      </c>
      <c r="D9732" s="8">
        <f>IFERROR(__xludf.DUMMYFUNCTION("""COMPUTED_VALUE"""),0.08)</f>
        <v>0.08</v>
      </c>
      <c r="E9732" s="8" t="str">
        <f>IFERROR(__xludf.DUMMYFUNCTION("""COMPUTED_VALUE"""),"Real")</f>
        <v>Real</v>
      </c>
      <c r="G9732" s="8">
        <f t="shared" si="1"/>
        <v>12</v>
      </c>
      <c r="H9732" s="14">
        <f t="shared" si="2"/>
        <v>11</v>
      </c>
      <c r="I9732" s="15">
        <f t="shared" si="3"/>
        <v>11</v>
      </c>
    </row>
    <row r="9733">
      <c r="A9733" s="8" t="str">
        <f>IFERROR(__xludf.DUMMYFUNCTION("IF('(INGESTA)Datos_consumo_datadis'!A9733&lt;&gt;"""",SPLIT('(INGESTA)Datos_consumo_datadis'!A:A,"",""),"""")"),"ES0031408323131005HX0F")</f>
        <v>ES0031408323131005HX0F</v>
      </c>
      <c r="B9733" s="17">
        <f>IFERROR(__xludf.DUMMYFUNCTION("""COMPUTED_VALUE"""),45271.0)</f>
        <v>45271</v>
      </c>
      <c r="C9733" s="13">
        <f>IFERROR(__xludf.DUMMYFUNCTION("""COMPUTED_VALUE"""),0.5)</f>
        <v>0.5</v>
      </c>
      <c r="D9733" s="8">
        <f>IFERROR(__xludf.DUMMYFUNCTION("""COMPUTED_VALUE"""),0.127)</f>
        <v>0.127</v>
      </c>
      <c r="E9733" s="8" t="str">
        <f>IFERROR(__xludf.DUMMYFUNCTION("""COMPUTED_VALUE"""),"Real")</f>
        <v>Real</v>
      </c>
      <c r="G9733" s="8">
        <f t="shared" si="1"/>
        <v>12</v>
      </c>
      <c r="H9733" s="14">
        <f t="shared" si="2"/>
        <v>11</v>
      </c>
      <c r="I9733" s="15">
        <f t="shared" si="3"/>
        <v>12</v>
      </c>
    </row>
    <row r="9734">
      <c r="A9734" s="8" t="str">
        <f>IFERROR(__xludf.DUMMYFUNCTION("IF('(INGESTA)Datos_consumo_datadis'!A9734&lt;&gt;"""",SPLIT('(INGESTA)Datos_consumo_datadis'!A:A,"",""),"""")"),"ES0031408323131005HX0F")</f>
        <v>ES0031408323131005HX0F</v>
      </c>
      <c r="B9734" s="17">
        <f>IFERROR(__xludf.DUMMYFUNCTION("""COMPUTED_VALUE"""),45271.0)</f>
        <v>45271</v>
      </c>
      <c r="C9734" s="13">
        <f>IFERROR(__xludf.DUMMYFUNCTION("""COMPUTED_VALUE"""),0.5416666666666666)</f>
        <v>0.5416666667</v>
      </c>
      <c r="D9734" s="8">
        <f>IFERROR(__xludf.DUMMYFUNCTION("""COMPUTED_VALUE"""),0.093)</f>
        <v>0.093</v>
      </c>
      <c r="E9734" s="8" t="str">
        <f>IFERROR(__xludf.DUMMYFUNCTION("""COMPUTED_VALUE"""),"Real")</f>
        <v>Real</v>
      </c>
      <c r="G9734" s="8">
        <f t="shared" si="1"/>
        <v>12</v>
      </c>
      <c r="H9734" s="14">
        <f t="shared" si="2"/>
        <v>11</v>
      </c>
      <c r="I9734" s="15">
        <f t="shared" si="3"/>
        <v>13</v>
      </c>
    </row>
    <row r="9735">
      <c r="A9735" s="8" t="str">
        <f>IFERROR(__xludf.DUMMYFUNCTION("IF('(INGESTA)Datos_consumo_datadis'!A9735&lt;&gt;"""",SPLIT('(INGESTA)Datos_consumo_datadis'!A:A,"",""),"""")"),"ES0031408323131005HX0F")</f>
        <v>ES0031408323131005HX0F</v>
      </c>
      <c r="B9735" s="17">
        <f>IFERROR(__xludf.DUMMYFUNCTION("""COMPUTED_VALUE"""),45271.0)</f>
        <v>45271</v>
      </c>
      <c r="C9735" s="13">
        <f>IFERROR(__xludf.DUMMYFUNCTION("""COMPUTED_VALUE"""),0.5833333333333334)</f>
        <v>0.5833333333</v>
      </c>
      <c r="D9735" s="8">
        <f>IFERROR(__xludf.DUMMYFUNCTION("""COMPUTED_VALUE"""),0.38)</f>
        <v>0.38</v>
      </c>
      <c r="E9735" s="8" t="str">
        <f>IFERROR(__xludf.DUMMYFUNCTION("""COMPUTED_VALUE"""),"Real")</f>
        <v>Real</v>
      </c>
      <c r="G9735" s="8">
        <f t="shared" si="1"/>
        <v>12</v>
      </c>
      <c r="H9735" s="14">
        <f t="shared" si="2"/>
        <v>11</v>
      </c>
      <c r="I9735" s="15">
        <f t="shared" si="3"/>
        <v>14</v>
      </c>
    </row>
    <row r="9736">
      <c r="A9736" s="8" t="str">
        <f>IFERROR(__xludf.DUMMYFUNCTION("IF('(INGESTA)Datos_consumo_datadis'!A9736&lt;&gt;"""",SPLIT('(INGESTA)Datos_consumo_datadis'!A:A,"",""),"""")"),"ES0031408323131005HX0F")</f>
        <v>ES0031408323131005HX0F</v>
      </c>
      <c r="B9736" s="17">
        <f>IFERROR(__xludf.DUMMYFUNCTION("""COMPUTED_VALUE"""),45271.0)</f>
        <v>45271</v>
      </c>
      <c r="C9736" s="13">
        <f>IFERROR(__xludf.DUMMYFUNCTION("""COMPUTED_VALUE"""),0.625)</f>
        <v>0.625</v>
      </c>
      <c r="D9736" s="8">
        <f>IFERROR(__xludf.DUMMYFUNCTION("""COMPUTED_VALUE"""),0.021)</f>
        <v>0.021</v>
      </c>
      <c r="E9736" s="8" t="str">
        <f>IFERROR(__xludf.DUMMYFUNCTION("""COMPUTED_VALUE"""),"Real")</f>
        <v>Real</v>
      </c>
      <c r="G9736" s="8">
        <f t="shared" si="1"/>
        <v>12</v>
      </c>
      <c r="H9736" s="14">
        <f t="shared" si="2"/>
        <v>11</v>
      </c>
      <c r="I9736" s="15">
        <f t="shared" si="3"/>
        <v>15</v>
      </c>
    </row>
    <row r="9737">
      <c r="A9737" s="8" t="str">
        <f>IFERROR(__xludf.DUMMYFUNCTION("IF('(INGESTA)Datos_consumo_datadis'!A9737&lt;&gt;"""",SPLIT('(INGESTA)Datos_consumo_datadis'!A:A,"",""),"""")"),"ES0031408323131005HX0F")</f>
        <v>ES0031408323131005HX0F</v>
      </c>
      <c r="B9737" s="17">
        <f>IFERROR(__xludf.DUMMYFUNCTION("""COMPUTED_VALUE"""),45271.0)</f>
        <v>45271</v>
      </c>
      <c r="C9737" s="13">
        <f>IFERROR(__xludf.DUMMYFUNCTION("""COMPUTED_VALUE"""),0.6666666666666666)</f>
        <v>0.6666666667</v>
      </c>
      <c r="D9737" s="8">
        <f>IFERROR(__xludf.DUMMYFUNCTION("""COMPUTED_VALUE"""),0.724)</f>
        <v>0.724</v>
      </c>
      <c r="E9737" s="8" t="str">
        <f>IFERROR(__xludf.DUMMYFUNCTION("""COMPUTED_VALUE"""),"Real")</f>
        <v>Real</v>
      </c>
      <c r="G9737" s="8">
        <f t="shared" si="1"/>
        <v>12</v>
      </c>
      <c r="H9737" s="14">
        <f t="shared" si="2"/>
        <v>11</v>
      </c>
      <c r="I9737" s="15">
        <f t="shared" si="3"/>
        <v>16</v>
      </c>
    </row>
    <row r="9738">
      <c r="A9738" s="8" t="str">
        <f>IFERROR(__xludf.DUMMYFUNCTION("IF('(INGESTA)Datos_consumo_datadis'!A9738&lt;&gt;"""",SPLIT('(INGESTA)Datos_consumo_datadis'!A:A,"",""),"""")"),"ES0031408323131005HX0F")</f>
        <v>ES0031408323131005HX0F</v>
      </c>
      <c r="B9738" s="17">
        <f>IFERROR(__xludf.DUMMYFUNCTION("""COMPUTED_VALUE"""),45271.0)</f>
        <v>45271</v>
      </c>
      <c r="C9738" s="13">
        <f>IFERROR(__xludf.DUMMYFUNCTION("""COMPUTED_VALUE"""),0.7083333333333334)</f>
        <v>0.7083333333</v>
      </c>
      <c r="D9738" s="8">
        <f>IFERROR(__xludf.DUMMYFUNCTION("""COMPUTED_VALUE"""),0.656)</f>
        <v>0.656</v>
      </c>
      <c r="E9738" s="8" t="str">
        <f>IFERROR(__xludf.DUMMYFUNCTION("""COMPUTED_VALUE"""),"Real")</f>
        <v>Real</v>
      </c>
      <c r="G9738" s="8">
        <f t="shared" si="1"/>
        <v>12</v>
      </c>
      <c r="H9738" s="14">
        <f t="shared" si="2"/>
        <v>11</v>
      </c>
      <c r="I9738" s="15">
        <f t="shared" si="3"/>
        <v>17</v>
      </c>
    </row>
    <row r="9739">
      <c r="A9739" s="8" t="str">
        <f>IFERROR(__xludf.DUMMYFUNCTION("IF('(INGESTA)Datos_consumo_datadis'!A9739&lt;&gt;"""",SPLIT('(INGESTA)Datos_consumo_datadis'!A:A,"",""),"""")"),"ES0031408323131005HX0F")</f>
        <v>ES0031408323131005HX0F</v>
      </c>
      <c r="B9739" s="17">
        <f>IFERROR(__xludf.DUMMYFUNCTION("""COMPUTED_VALUE"""),45271.0)</f>
        <v>45271</v>
      </c>
      <c r="C9739" s="13">
        <f>IFERROR(__xludf.DUMMYFUNCTION("""COMPUTED_VALUE"""),0.75)</f>
        <v>0.75</v>
      </c>
      <c r="D9739" s="8">
        <f>IFERROR(__xludf.DUMMYFUNCTION("""COMPUTED_VALUE"""),0.158)</f>
        <v>0.158</v>
      </c>
      <c r="E9739" s="8" t="str">
        <f>IFERROR(__xludf.DUMMYFUNCTION("""COMPUTED_VALUE"""),"Real")</f>
        <v>Real</v>
      </c>
      <c r="G9739" s="8">
        <f t="shared" si="1"/>
        <v>12</v>
      </c>
      <c r="H9739" s="14">
        <f t="shared" si="2"/>
        <v>11</v>
      </c>
      <c r="I9739" s="15">
        <f t="shared" si="3"/>
        <v>18</v>
      </c>
    </row>
    <row r="9740">
      <c r="A9740" s="8" t="str">
        <f>IFERROR(__xludf.DUMMYFUNCTION("IF('(INGESTA)Datos_consumo_datadis'!A9740&lt;&gt;"""",SPLIT('(INGESTA)Datos_consumo_datadis'!A:A,"",""),"""")"),"ES0031408323131005HX0F")</f>
        <v>ES0031408323131005HX0F</v>
      </c>
      <c r="B9740" s="17">
        <f>IFERROR(__xludf.DUMMYFUNCTION("""COMPUTED_VALUE"""),45271.0)</f>
        <v>45271</v>
      </c>
      <c r="C9740" s="13">
        <f>IFERROR(__xludf.DUMMYFUNCTION("""COMPUTED_VALUE"""),0.7916666666666666)</f>
        <v>0.7916666667</v>
      </c>
      <c r="D9740" s="8">
        <f>IFERROR(__xludf.DUMMYFUNCTION("""COMPUTED_VALUE"""),0.099)</f>
        <v>0.099</v>
      </c>
      <c r="E9740" s="8" t="str">
        <f>IFERROR(__xludf.DUMMYFUNCTION("""COMPUTED_VALUE"""),"Real")</f>
        <v>Real</v>
      </c>
      <c r="G9740" s="8">
        <f t="shared" si="1"/>
        <v>12</v>
      </c>
      <c r="H9740" s="14">
        <f t="shared" si="2"/>
        <v>11</v>
      </c>
      <c r="I9740" s="15">
        <f t="shared" si="3"/>
        <v>19</v>
      </c>
    </row>
    <row r="9741">
      <c r="A9741" s="8" t="str">
        <f>IFERROR(__xludf.DUMMYFUNCTION("IF('(INGESTA)Datos_consumo_datadis'!A9741&lt;&gt;"""",SPLIT('(INGESTA)Datos_consumo_datadis'!A:A,"",""),"""")"),"ES0031408323131005HX0F")</f>
        <v>ES0031408323131005HX0F</v>
      </c>
      <c r="B9741" s="17">
        <f>IFERROR(__xludf.DUMMYFUNCTION("""COMPUTED_VALUE"""),45271.0)</f>
        <v>45271</v>
      </c>
      <c r="C9741" s="13">
        <f>IFERROR(__xludf.DUMMYFUNCTION("""COMPUTED_VALUE"""),0.8333333333333334)</f>
        <v>0.8333333333</v>
      </c>
      <c r="D9741" s="8">
        <f>IFERROR(__xludf.DUMMYFUNCTION("""COMPUTED_VALUE"""),0.037)</f>
        <v>0.037</v>
      </c>
      <c r="E9741" s="8" t="str">
        <f>IFERROR(__xludf.DUMMYFUNCTION("""COMPUTED_VALUE"""),"Real")</f>
        <v>Real</v>
      </c>
      <c r="G9741" s="8">
        <f t="shared" si="1"/>
        <v>12</v>
      </c>
      <c r="H9741" s="14">
        <f t="shared" si="2"/>
        <v>11</v>
      </c>
      <c r="I9741" s="15">
        <f t="shared" si="3"/>
        <v>20</v>
      </c>
    </row>
    <row r="9742">
      <c r="A9742" s="8" t="str">
        <f>IFERROR(__xludf.DUMMYFUNCTION("IF('(INGESTA)Datos_consumo_datadis'!A9742&lt;&gt;"""",SPLIT('(INGESTA)Datos_consumo_datadis'!A:A,"",""),"""")"),"ES0031408323131005HX0F")</f>
        <v>ES0031408323131005HX0F</v>
      </c>
      <c r="B9742" s="17">
        <f>IFERROR(__xludf.DUMMYFUNCTION("""COMPUTED_VALUE"""),45271.0)</f>
        <v>45271</v>
      </c>
      <c r="C9742" s="13">
        <f>IFERROR(__xludf.DUMMYFUNCTION("""COMPUTED_VALUE"""),0.875)</f>
        <v>0.875</v>
      </c>
      <c r="D9742" s="8">
        <f>IFERROR(__xludf.DUMMYFUNCTION("""COMPUTED_VALUE"""),0.038)</f>
        <v>0.038</v>
      </c>
      <c r="E9742" s="8" t="str">
        <f>IFERROR(__xludf.DUMMYFUNCTION("""COMPUTED_VALUE"""),"Real")</f>
        <v>Real</v>
      </c>
      <c r="G9742" s="8">
        <f t="shared" si="1"/>
        <v>12</v>
      </c>
      <c r="H9742" s="14">
        <f t="shared" si="2"/>
        <v>11</v>
      </c>
      <c r="I9742" s="15">
        <f t="shared" si="3"/>
        <v>21</v>
      </c>
    </row>
    <row r="9743">
      <c r="A9743" s="8" t="str">
        <f>IFERROR(__xludf.DUMMYFUNCTION("IF('(INGESTA)Datos_consumo_datadis'!A9743&lt;&gt;"""",SPLIT('(INGESTA)Datos_consumo_datadis'!A:A,"",""),"""")"),"ES0031408323131005HX0F")</f>
        <v>ES0031408323131005HX0F</v>
      </c>
      <c r="B9743" s="17">
        <f>IFERROR(__xludf.DUMMYFUNCTION("""COMPUTED_VALUE"""),45271.0)</f>
        <v>45271</v>
      </c>
      <c r="C9743" s="13">
        <f>IFERROR(__xludf.DUMMYFUNCTION("""COMPUTED_VALUE"""),0.9166666666666666)</f>
        <v>0.9166666667</v>
      </c>
      <c r="D9743" s="8">
        <f>IFERROR(__xludf.DUMMYFUNCTION("""COMPUTED_VALUE"""),0.679)</f>
        <v>0.679</v>
      </c>
      <c r="E9743" s="8" t="str">
        <f>IFERROR(__xludf.DUMMYFUNCTION("""COMPUTED_VALUE"""),"Real")</f>
        <v>Real</v>
      </c>
      <c r="G9743" s="8">
        <f t="shared" si="1"/>
        <v>12</v>
      </c>
      <c r="H9743" s="14">
        <f t="shared" si="2"/>
        <v>11</v>
      </c>
      <c r="I9743" s="15">
        <f t="shared" si="3"/>
        <v>22</v>
      </c>
    </row>
    <row r="9744">
      <c r="A9744" s="8" t="str">
        <f>IFERROR(__xludf.DUMMYFUNCTION("IF('(INGESTA)Datos_consumo_datadis'!A9744&lt;&gt;"""",SPLIT('(INGESTA)Datos_consumo_datadis'!A:A,"",""),"""")"),"ES0031408323131005HX0F")</f>
        <v>ES0031408323131005HX0F</v>
      </c>
      <c r="B9744" s="17">
        <f>IFERROR(__xludf.DUMMYFUNCTION("""COMPUTED_VALUE"""),45271.0)</f>
        <v>45271</v>
      </c>
      <c r="C9744" s="13">
        <f>IFERROR(__xludf.DUMMYFUNCTION("""COMPUTED_VALUE"""),0.9583333333333334)</f>
        <v>0.9583333333</v>
      </c>
      <c r="D9744" s="8">
        <f>IFERROR(__xludf.DUMMYFUNCTION("""COMPUTED_VALUE"""),0.56)</f>
        <v>0.56</v>
      </c>
      <c r="E9744" s="8" t="str">
        <f>IFERROR(__xludf.DUMMYFUNCTION("""COMPUTED_VALUE"""),"Real")</f>
        <v>Real</v>
      </c>
      <c r="G9744" s="8">
        <f t="shared" si="1"/>
        <v>12</v>
      </c>
      <c r="H9744" s="14">
        <f t="shared" si="2"/>
        <v>11</v>
      </c>
      <c r="I9744" s="15">
        <f t="shared" si="3"/>
        <v>23</v>
      </c>
    </row>
    <row r="9745">
      <c r="A9745" s="8" t="str">
        <f>IFERROR(__xludf.DUMMYFUNCTION("IF('(INGESTA)Datos_consumo_datadis'!A9745&lt;&gt;"""",SPLIT('(INGESTA)Datos_consumo_datadis'!A:A,"",""),"""")"),"ES0031408323131005HX0F")</f>
        <v>ES0031408323131005HX0F</v>
      </c>
      <c r="B9745" s="17">
        <f>IFERROR(__xludf.DUMMYFUNCTION("""COMPUTED_VALUE"""),45271.0)</f>
        <v>45271</v>
      </c>
      <c r="C9745" s="16">
        <f>IFERROR(__xludf.DUMMYFUNCTION("""COMPUTED_VALUE"""),1.0)</f>
        <v>1</v>
      </c>
      <c r="D9745" s="8">
        <f>IFERROR(__xludf.DUMMYFUNCTION("""COMPUTED_VALUE"""),0.051)</f>
        <v>0.051</v>
      </c>
      <c r="E9745" s="8" t="str">
        <f>IFERROR(__xludf.DUMMYFUNCTION("""COMPUTED_VALUE"""),"Real")</f>
        <v>Real</v>
      </c>
      <c r="G9745" s="8">
        <f t="shared" si="1"/>
        <v>12</v>
      </c>
      <c r="H9745" s="14">
        <f t="shared" si="2"/>
        <v>11</v>
      </c>
      <c r="I9745" s="15">
        <f t="shared" si="3"/>
        <v>0</v>
      </c>
    </row>
    <row r="9746">
      <c r="A9746" s="8" t="str">
        <f>IFERROR(__xludf.DUMMYFUNCTION("IF('(INGESTA)Datos_consumo_datadis'!A9746&lt;&gt;"""",SPLIT('(INGESTA)Datos_consumo_datadis'!A:A,"",""),"""")"),"ES0031408323131005HX0F")</f>
        <v>ES0031408323131005HX0F</v>
      </c>
      <c r="B9746" s="17">
        <f>IFERROR(__xludf.DUMMYFUNCTION("""COMPUTED_VALUE"""),45272.0)</f>
        <v>45272</v>
      </c>
      <c r="C9746" s="13">
        <f>IFERROR(__xludf.DUMMYFUNCTION("""COMPUTED_VALUE"""),0.041666666666666664)</f>
        <v>0.04166666667</v>
      </c>
      <c r="D9746" s="8">
        <f>IFERROR(__xludf.DUMMYFUNCTION("""COMPUTED_VALUE"""),0.065)</f>
        <v>0.065</v>
      </c>
      <c r="E9746" s="8" t="str">
        <f>IFERROR(__xludf.DUMMYFUNCTION("""COMPUTED_VALUE"""),"Real")</f>
        <v>Real</v>
      </c>
      <c r="G9746" s="8">
        <f t="shared" si="1"/>
        <v>12</v>
      </c>
      <c r="H9746" s="14">
        <f t="shared" si="2"/>
        <v>12</v>
      </c>
      <c r="I9746" s="15">
        <f t="shared" si="3"/>
        <v>1</v>
      </c>
    </row>
    <row r="9747">
      <c r="A9747" s="8" t="str">
        <f>IFERROR(__xludf.DUMMYFUNCTION("IF('(INGESTA)Datos_consumo_datadis'!A9747&lt;&gt;"""",SPLIT('(INGESTA)Datos_consumo_datadis'!A:A,"",""),"""")"),"ES0031408323131005HX0F")</f>
        <v>ES0031408323131005HX0F</v>
      </c>
      <c r="B9747" s="17">
        <f>IFERROR(__xludf.DUMMYFUNCTION("""COMPUTED_VALUE"""),45272.0)</f>
        <v>45272</v>
      </c>
      <c r="C9747" s="13">
        <f>IFERROR(__xludf.DUMMYFUNCTION("""COMPUTED_VALUE"""),0.08333333333333333)</f>
        <v>0.08333333333</v>
      </c>
      <c r="D9747" s="8">
        <f>IFERROR(__xludf.DUMMYFUNCTION("""COMPUTED_VALUE"""),0.021)</f>
        <v>0.021</v>
      </c>
      <c r="E9747" s="8" t="str">
        <f>IFERROR(__xludf.DUMMYFUNCTION("""COMPUTED_VALUE"""),"Real")</f>
        <v>Real</v>
      </c>
      <c r="G9747" s="8">
        <f t="shared" si="1"/>
        <v>12</v>
      </c>
      <c r="H9747" s="14">
        <f t="shared" si="2"/>
        <v>12</v>
      </c>
      <c r="I9747" s="15">
        <f t="shared" si="3"/>
        <v>2</v>
      </c>
    </row>
    <row r="9748">
      <c r="A9748" s="8" t="str">
        <f>IFERROR(__xludf.DUMMYFUNCTION("IF('(INGESTA)Datos_consumo_datadis'!A9748&lt;&gt;"""",SPLIT('(INGESTA)Datos_consumo_datadis'!A:A,"",""),"""")"),"ES0031408323131005HX0F")</f>
        <v>ES0031408323131005HX0F</v>
      </c>
      <c r="B9748" s="17">
        <f>IFERROR(__xludf.DUMMYFUNCTION("""COMPUTED_VALUE"""),45272.0)</f>
        <v>45272</v>
      </c>
      <c r="C9748" s="13">
        <f>IFERROR(__xludf.DUMMYFUNCTION("""COMPUTED_VALUE"""),0.125)</f>
        <v>0.125</v>
      </c>
      <c r="D9748" s="8">
        <f>IFERROR(__xludf.DUMMYFUNCTION("""COMPUTED_VALUE"""),0.116)</f>
        <v>0.116</v>
      </c>
      <c r="E9748" s="8" t="str">
        <f>IFERROR(__xludf.DUMMYFUNCTION("""COMPUTED_VALUE"""),"Real")</f>
        <v>Real</v>
      </c>
      <c r="G9748" s="8">
        <f t="shared" si="1"/>
        <v>12</v>
      </c>
      <c r="H9748" s="14">
        <f t="shared" si="2"/>
        <v>12</v>
      </c>
      <c r="I9748" s="15">
        <f t="shared" si="3"/>
        <v>3</v>
      </c>
    </row>
    <row r="9749">
      <c r="A9749" s="8" t="str">
        <f>IFERROR(__xludf.DUMMYFUNCTION("IF('(INGESTA)Datos_consumo_datadis'!A9749&lt;&gt;"""",SPLIT('(INGESTA)Datos_consumo_datadis'!A:A,"",""),"""")"),"ES0031408323131005HX0F")</f>
        <v>ES0031408323131005HX0F</v>
      </c>
      <c r="B9749" s="17">
        <f>IFERROR(__xludf.DUMMYFUNCTION("""COMPUTED_VALUE"""),45272.0)</f>
        <v>45272</v>
      </c>
      <c r="C9749" s="13">
        <f>IFERROR(__xludf.DUMMYFUNCTION("""COMPUTED_VALUE"""),0.16666666666666666)</f>
        <v>0.1666666667</v>
      </c>
      <c r="D9749" s="8">
        <f>IFERROR(__xludf.DUMMYFUNCTION("""COMPUTED_VALUE"""),0.094)</f>
        <v>0.094</v>
      </c>
      <c r="E9749" s="8" t="str">
        <f>IFERROR(__xludf.DUMMYFUNCTION("""COMPUTED_VALUE"""),"Real")</f>
        <v>Real</v>
      </c>
      <c r="G9749" s="8">
        <f t="shared" si="1"/>
        <v>12</v>
      </c>
      <c r="H9749" s="14">
        <f t="shared" si="2"/>
        <v>12</v>
      </c>
      <c r="I9749" s="15">
        <f t="shared" si="3"/>
        <v>4</v>
      </c>
    </row>
    <row r="9750">
      <c r="A9750" s="8" t="str">
        <f>IFERROR(__xludf.DUMMYFUNCTION("IF('(INGESTA)Datos_consumo_datadis'!A9750&lt;&gt;"""",SPLIT('(INGESTA)Datos_consumo_datadis'!A:A,"",""),"""")"),"ES0031408323131005HX0F")</f>
        <v>ES0031408323131005HX0F</v>
      </c>
      <c r="B9750" s="17">
        <f>IFERROR(__xludf.DUMMYFUNCTION("""COMPUTED_VALUE"""),45272.0)</f>
        <v>45272</v>
      </c>
      <c r="C9750" s="13">
        <f>IFERROR(__xludf.DUMMYFUNCTION("""COMPUTED_VALUE"""),0.20833333333333334)</f>
        <v>0.2083333333</v>
      </c>
      <c r="D9750" s="8">
        <f>IFERROR(__xludf.DUMMYFUNCTION("""COMPUTED_VALUE"""),0.284)</f>
        <v>0.284</v>
      </c>
      <c r="E9750" s="8" t="str">
        <f>IFERROR(__xludf.DUMMYFUNCTION("""COMPUTED_VALUE"""),"Real")</f>
        <v>Real</v>
      </c>
      <c r="G9750" s="8">
        <f t="shared" si="1"/>
        <v>12</v>
      </c>
      <c r="H9750" s="14">
        <f t="shared" si="2"/>
        <v>12</v>
      </c>
      <c r="I9750" s="15">
        <f t="shared" si="3"/>
        <v>5</v>
      </c>
    </row>
    <row r="9751">
      <c r="A9751" s="8" t="str">
        <f>IFERROR(__xludf.DUMMYFUNCTION("IF('(INGESTA)Datos_consumo_datadis'!A9751&lt;&gt;"""",SPLIT('(INGESTA)Datos_consumo_datadis'!A:A,"",""),"""")"),"ES0031408323131005HX0F")</f>
        <v>ES0031408323131005HX0F</v>
      </c>
      <c r="B9751" s="17">
        <f>IFERROR(__xludf.DUMMYFUNCTION("""COMPUTED_VALUE"""),45272.0)</f>
        <v>45272</v>
      </c>
      <c r="C9751" s="13">
        <f>IFERROR(__xludf.DUMMYFUNCTION("""COMPUTED_VALUE"""),0.25)</f>
        <v>0.25</v>
      </c>
      <c r="D9751" s="8">
        <f>IFERROR(__xludf.DUMMYFUNCTION("""COMPUTED_VALUE"""),0.058)</f>
        <v>0.058</v>
      </c>
      <c r="E9751" s="8" t="str">
        <f>IFERROR(__xludf.DUMMYFUNCTION("""COMPUTED_VALUE"""),"Real")</f>
        <v>Real</v>
      </c>
      <c r="G9751" s="8">
        <f t="shared" si="1"/>
        <v>12</v>
      </c>
      <c r="H9751" s="14">
        <f t="shared" si="2"/>
        <v>12</v>
      </c>
      <c r="I9751" s="15">
        <f t="shared" si="3"/>
        <v>6</v>
      </c>
    </row>
    <row r="9752">
      <c r="A9752" s="8" t="str">
        <f>IFERROR(__xludf.DUMMYFUNCTION("IF('(INGESTA)Datos_consumo_datadis'!A9752&lt;&gt;"""",SPLIT('(INGESTA)Datos_consumo_datadis'!A:A,"",""),"""")"),"ES0031408323131005HX0F")</f>
        <v>ES0031408323131005HX0F</v>
      </c>
      <c r="B9752" s="17">
        <f>IFERROR(__xludf.DUMMYFUNCTION("""COMPUTED_VALUE"""),45272.0)</f>
        <v>45272</v>
      </c>
      <c r="C9752" s="13">
        <f>IFERROR(__xludf.DUMMYFUNCTION("""COMPUTED_VALUE"""),0.2916666666666667)</f>
        <v>0.2916666667</v>
      </c>
      <c r="D9752" s="8">
        <f>IFERROR(__xludf.DUMMYFUNCTION("""COMPUTED_VALUE"""),0.083)</f>
        <v>0.083</v>
      </c>
      <c r="E9752" s="8" t="str">
        <f>IFERROR(__xludf.DUMMYFUNCTION("""COMPUTED_VALUE"""),"Real")</f>
        <v>Real</v>
      </c>
      <c r="G9752" s="8">
        <f t="shared" si="1"/>
        <v>12</v>
      </c>
      <c r="H9752" s="14">
        <f t="shared" si="2"/>
        <v>12</v>
      </c>
      <c r="I9752" s="15">
        <f t="shared" si="3"/>
        <v>7</v>
      </c>
    </row>
    <row r="9753">
      <c r="A9753" s="8" t="str">
        <f>IFERROR(__xludf.DUMMYFUNCTION("IF('(INGESTA)Datos_consumo_datadis'!A9753&lt;&gt;"""",SPLIT('(INGESTA)Datos_consumo_datadis'!A:A,"",""),"""")"),"ES0031408323131005HX0F")</f>
        <v>ES0031408323131005HX0F</v>
      </c>
      <c r="B9753" s="17">
        <f>IFERROR(__xludf.DUMMYFUNCTION("""COMPUTED_VALUE"""),45272.0)</f>
        <v>45272</v>
      </c>
      <c r="C9753" s="13">
        <f>IFERROR(__xludf.DUMMYFUNCTION("""COMPUTED_VALUE"""),0.3333333333333333)</f>
        <v>0.3333333333</v>
      </c>
      <c r="D9753" s="8">
        <f>IFERROR(__xludf.DUMMYFUNCTION("""COMPUTED_VALUE"""),0.091)</f>
        <v>0.091</v>
      </c>
      <c r="E9753" s="8" t="str">
        <f>IFERROR(__xludf.DUMMYFUNCTION("""COMPUTED_VALUE"""),"Real")</f>
        <v>Real</v>
      </c>
      <c r="G9753" s="8">
        <f t="shared" si="1"/>
        <v>12</v>
      </c>
      <c r="H9753" s="14">
        <f t="shared" si="2"/>
        <v>12</v>
      </c>
      <c r="I9753" s="15">
        <f t="shared" si="3"/>
        <v>8</v>
      </c>
    </row>
    <row r="9754">
      <c r="A9754" s="8" t="str">
        <f>IFERROR(__xludf.DUMMYFUNCTION("IF('(INGESTA)Datos_consumo_datadis'!A9754&lt;&gt;"""",SPLIT('(INGESTA)Datos_consumo_datadis'!A:A,"",""),"""")"),"ES0031408323131005HX0F")</f>
        <v>ES0031408323131005HX0F</v>
      </c>
      <c r="B9754" s="17">
        <f>IFERROR(__xludf.DUMMYFUNCTION("""COMPUTED_VALUE"""),45272.0)</f>
        <v>45272</v>
      </c>
      <c r="C9754" s="13">
        <f>IFERROR(__xludf.DUMMYFUNCTION("""COMPUTED_VALUE"""),0.375)</f>
        <v>0.375</v>
      </c>
      <c r="D9754" s="8">
        <f>IFERROR(__xludf.DUMMYFUNCTION("""COMPUTED_VALUE"""),0.035)</f>
        <v>0.035</v>
      </c>
      <c r="E9754" s="8" t="str">
        <f>IFERROR(__xludf.DUMMYFUNCTION("""COMPUTED_VALUE"""),"Real")</f>
        <v>Real</v>
      </c>
      <c r="G9754" s="8">
        <f t="shared" si="1"/>
        <v>12</v>
      </c>
      <c r="H9754" s="14">
        <f t="shared" si="2"/>
        <v>12</v>
      </c>
      <c r="I9754" s="15">
        <f t="shared" si="3"/>
        <v>9</v>
      </c>
    </row>
    <row r="9755">
      <c r="A9755" s="8" t="str">
        <f>IFERROR(__xludf.DUMMYFUNCTION("IF('(INGESTA)Datos_consumo_datadis'!A9755&lt;&gt;"""",SPLIT('(INGESTA)Datos_consumo_datadis'!A:A,"",""),"""")"),"ES0031408323131005HX0F")</f>
        <v>ES0031408323131005HX0F</v>
      </c>
      <c r="B9755" s="17">
        <f>IFERROR(__xludf.DUMMYFUNCTION("""COMPUTED_VALUE"""),45272.0)</f>
        <v>45272</v>
      </c>
      <c r="C9755" s="13">
        <f>IFERROR(__xludf.DUMMYFUNCTION("""COMPUTED_VALUE"""),0.4166666666666667)</f>
        <v>0.4166666667</v>
      </c>
      <c r="D9755" s="8">
        <f>IFERROR(__xludf.DUMMYFUNCTION("""COMPUTED_VALUE"""),0.277)</f>
        <v>0.277</v>
      </c>
      <c r="E9755" s="8" t="str">
        <f>IFERROR(__xludf.DUMMYFUNCTION("""COMPUTED_VALUE"""),"Real")</f>
        <v>Real</v>
      </c>
      <c r="G9755" s="8">
        <f t="shared" si="1"/>
        <v>12</v>
      </c>
      <c r="H9755" s="14">
        <f t="shared" si="2"/>
        <v>12</v>
      </c>
      <c r="I9755" s="15">
        <f t="shared" si="3"/>
        <v>10</v>
      </c>
    </row>
    <row r="9756">
      <c r="A9756" s="8" t="str">
        <f>IFERROR(__xludf.DUMMYFUNCTION("IF('(INGESTA)Datos_consumo_datadis'!A9756&lt;&gt;"""",SPLIT('(INGESTA)Datos_consumo_datadis'!A:A,"",""),"""")"),"ES0031408323131005HX0F")</f>
        <v>ES0031408323131005HX0F</v>
      </c>
      <c r="B9756" s="17">
        <f>IFERROR(__xludf.DUMMYFUNCTION("""COMPUTED_VALUE"""),45272.0)</f>
        <v>45272</v>
      </c>
      <c r="C9756" s="13">
        <f>IFERROR(__xludf.DUMMYFUNCTION("""COMPUTED_VALUE"""),0.4583333333333333)</f>
        <v>0.4583333333</v>
      </c>
      <c r="D9756" s="8">
        <f>IFERROR(__xludf.DUMMYFUNCTION("""COMPUTED_VALUE"""),0.118)</f>
        <v>0.118</v>
      </c>
      <c r="E9756" s="8" t="str">
        <f>IFERROR(__xludf.DUMMYFUNCTION("""COMPUTED_VALUE"""),"Real")</f>
        <v>Real</v>
      </c>
      <c r="G9756" s="8">
        <f t="shared" si="1"/>
        <v>12</v>
      </c>
      <c r="H9756" s="14">
        <f t="shared" si="2"/>
        <v>12</v>
      </c>
      <c r="I9756" s="15">
        <f t="shared" si="3"/>
        <v>11</v>
      </c>
    </row>
    <row r="9757">
      <c r="A9757" s="8" t="str">
        <f>IFERROR(__xludf.DUMMYFUNCTION("IF('(INGESTA)Datos_consumo_datadis'!A9757&lt;&gt;"""",SPLIT('(INGESTA)Datos_consumo_datadis'!A:A,"",""),"""")"),"ES0031408323131005HX0F")</f>
        <v>ES0031408323131005HX0F</v>
      </c>
      <c r="B9757" s="17">
        <f>IFERROR(__xludf.DUMMYFUNCTION("""COMPUTED_VALUE"""),45272.0)</f>
        <v>45272</v>
      </c>
      <c r="C9757" s="13">
        <f>IFERROR(__xludf.DUMMYFUNCTION("""COMPUTED_VALUE"""),0.5)</f>
        <v>0.5</v>
      </c>
      <c r="D9757" s="8">
        <f>IFERROR(__xludf.DUMMYFUNCTION("""COMPUTED_VALUE"""),0.109)</f>
        <v>0.109</v>
      </c>
      <c r="E9757" s="8" t="str">
        <f>IFERROR(__xludf.DUMMYFUNCTION("""COMPUTED_VALUE"""),"Real")</f>
        <v>Real</v>
      </c>
      <c r="G9757" s="8">
        <f t="shared" si="1"/>
        <v>12</v>
      </c>
      <c r="H9757" s="14">
        <f t="shared" si="2"/>
        <v>12</v>
      </c>
      <c r="I9757" s="15">
        <f t="shared" si="3"/>
        <v>12</v>
      </c>
    </row>
    <row r="9758">
      <c r="A9758" s="8" t="str">
        <f>IFERROR(__xludf.DUMMYFUNCTION("IF('(INGESTA)Datos_consumo_datadis'!A9758&lt;&gt;"""",SPLIT('(INGESTA)Datos_consumo_datadis'!A:A,"",""),"""")"),"ES0031408323131005HX0F")</f>
        <v>ES0031408323131005HX0F</v>
      </c>
      <c r="B9758" s="17">
        <f>IFERROR(__xludf.DUMMYFUNCTION("""COMPUTED_VALUE"""),45272.0)</f>
        <v>45272</v>
      </c>
      <c r="C9758" s="13">
        <f>IFERROR(__xludf.DUMMYFUNCTION("""COMPUTED_VALUE"""),0.5416666666666666)</f>
        <v>0.5416666667</v>
      </c>
      <c r="D9758" s="8">
        <f>IFERROR(__xludf.DUMMYFUNCTION("""COMPUTED_VALUE"""),0.08)</f>
        <v>0.08</v>
      </c>
      <c r="E9758" s="8" t="str">
        <f>IFERROR(__xludf.DUMMYFUNCTION("""COMPUTED_VALUE"""),"Real")</f>
        <v>Real</v>
      </c>
      <c r="G9758" s="8">
        <f t="shared" si="1"/>
        <v>12</v>
      </c>
      <c r="H9758" s="14">
        <f t="shared" si="2"/>
        <v>12</v>
      </c>
      <c r="I9758" s="15">
        <f t="shared" si="3"/>
        <v>13</v>
      </c>
    </row>
    <row r="9759">
      <c r="A9759" s="8" t="str">
        <f>IFERROR(__xludf.DUMMYFUNCTION("IF('(INGESTA)Datos_consumo_datadis'!A9759&lt;&gt;"""",SPLIT('(INGESTA)Datos_consumo_datadis'!A:A,"",""),"""")"),"ES0031408323131005HX0F")</f>
        <v>ES0031408323131005HX0F</v>
      </c>
      <c r="B9759" s="17">
        <f>IFERROR(__xludf.DUMMYFUNCTION("""COMPUTED_VALUE"""),45272.0)</f>
        <v>45272</v>
      </c>
      <c r="C9759" s="13">
        <f>IFERROR(__xludf.DUMMYFUNCTION("""COMPUTED_VALUE"""),0.5833333333333334)</f>
        <v>0.5833333333</v>
      </c>
      <c r="D9759" s="8">
        <f>IFERROR(__xludf.DUMMYFUNCTION("""COMPUTED_VALUE"""),0.066)</f>
        <v>0.066</v>
      </c>
      <c r="E9759" s="8" t="str">
        <f>IFERROR(__xludf.DUMMYFUNCTION("""COMPUTED_VALUE"""),"Real")</f>
        <v>Real</v>
      </c>
      <c r="G9759" s="8">
        <f t="shared" si="1"/>
        <v>12</v>
      </c>
      <c r="H9759" s="14">
        <f t="shared" si="2"/>
        <v>12</v>
      </c>
      <c r="I9759" s="15">
        <f t="shared" si="3"/>
        <v>14</v>
      </c>
    </row>
    <row r="9760">
      <c r="A9760" s="8" t="str">
        <f>IFERROR(__xludf.DUMMYFUNCTION("IF('(INGESTA)Datos_consumo_datadis'!A9760&lt;&gt;"""",SPLIT('(INGESTA)Datos_consumo_datadis'!A:A,"",""),"""")"),"ES0031408323131005HX0F")</f>
        <v>ES0031408323131005HX0F</v>
      </c>
      <c r="B9760" s="17">
        <f>IFERROR(__xludf.DUMMYFUNCTION("""COMPUTED_VALUE"""),45272.0)</f>
        <v>45272</v>
      </c>
      <c r="C9760" s="13">
        <f>IFERROR(__xludf.DUMMYFUNCTION("""COMPUTED_VALUE"""),0.625)</f>
        <v>0.625</v>
      </c>
      <c r="D9760" s="8">
        <f>IFERROR(__xludf.DUMMYFUNCTION("""COMPUTED_VALUE"""),0.015)</f>
        <v>0.015</v>
      </c>
      <c r="E9760" s="8" t="str">
        <f>IFERROR(__xludf.DUMMYFUNCTION("""COMPUTED_VALUE"""),"Real")</f>
        <v>Real</v>
      </c>
      <c r="G9760" s="8">
        <f t="shared" si="1"/>
        <v>12</v>
      </c>
      <c r="H9760" s="14">
        <f t="shared" si="2"/>
        <v>12</v>
      </c>
      <c r="I9760" s="15">
        <f t="shared" si="3"/>
        <v>15</v>
      </c>
    </row>
    <row r="9761">
      <c r="A9761" s="8" t="str">
        <f>IFERROR(__xludf.DUMMYFUNCTION("IF('(INGESTA)Datos_consumo_datadis'!A9761&lt;&gt;"""",SPLIT('(INGESTA)Datos_consumo_datadis'!A:A,"",""),"""")"),"ES0031408323131005HX0F")</f>
        <v>ES0031408323131005HX0F</v>
      </c>
      <c r="B9761" s="17">
        <f>IFERROR(__xludf.DUMMYFUNCTION("""COMPUTED_VALUE"""),45272.0)</f>
        <v>45272</v>
      </c>
      <c r="C9761" s="13">
        <f>IFERROR(__xludf.DUMMYFUNCTION("""COMPUTED_VALUE"""),0.6666666666666666)</f>
        <v>0.6666666667</v>
      </c>
      <c r="D9761" s="8">
        <f>IFERROR(__xludf.DUMMYFUNCTION("""COMPUTED_VALUE"""),0.338)</f>
        <v>0.338</v>
      </c>
      <c r="E9761" s="8" t="str">
        <f>IFERROR(__xludf.DUMMYFUNCTION("""COMPUTED_VALUE"""),"Real")</f>
        <v>Real</v>
      </c>
      <c r="G9761" s="8">
        <f t="shared" si="1"/>
        <v>12</v>
      </c>
      <c r="H9761" s="14">
        <f t="shared" si="2"/>
        <v>12</v>
      </c>
      <c r="I9761" s="15">
        <f t="shared" si="3"/>
        <v>16</v>
      </c>
    </row>
    <row r="9762">
      <c r="A9762" s="8" t="str">
        <f>IFERROR(__xludf.DUMMYFUNCTION("IF('(INGESTA)Datos_consumo_datadis'!A9762&lt;&gt;"""",SPLIT('(INGESTA)Datos_consumo_datadis'!A:A,"",""),"""")"),"ES0031408323131005HX0F")</f>
        <v>ES0031408323131005HX0F</v>
      </c>
      <c r="B9762" s="17">
        <f>IFERROR(__xludf.DUMMYFUNCTION("""COMPUTED_VALUE"""),45272.0)</f>
        <v>45272</v>
      </c>
      <c r="C9762" s="13">
        <f>IFERROR(__xludf.DUMMYFUNCTION("""COMPUTED_VALUE"""),0.7083333333333334)</f>
        <v>0.7083333333</v>
      </c>
      <c r="D9762" s="8">
        <f>IFERROR(__xludf.DUMMYFUNCTION("""COMPUTED_VALUE"""),0.071)</f>
        <v>0.071</v>
      </c>
      <c r="E9762" s="8" t="str">
        <f>IFERROR(__xludf.DUMMYFUNCTION("""COMPUTED_VALUE"""),"Real")</f>
        <v>Real</v>
      </c>
      <c r="G9762" s="8">
        <f t="shared" si="1"/>
        <v>12</v>
      </c>
      <c r="H9762" s="14">
        <f t="shared" si="2"/>
        <v>12</v>
      </c>
      <c r="I9762" s="15">
        <f t="shared" si="3"/>
        <v>17</v>
      </c>
    </row>
    <row r="9763">
      <c r="A9763" s="8" t="str">
        <f>IFERROR(__xludf.DUMMYFUNCTION("IF('(INGESTA)Datos_consumo_datadis'!A9763&lt;&gt;"""",SPLIT('(INGESTA)Datos_consumo_datadis'!A:A,"",""),"""")"),"ES0031408323131005HX0F")</f>
        <v>ES0031408323131005HX0F</v>
      </c>
      <c r="B9763" s="17">
        <f>IFERROR(__xludf.DUMMYFUNCTION("""COMPUTED_VALUE"""),45272.0)</f>
        <v>45272</v>
      </c>
      <c r="C9763" s="13">
        <f>IFERROR(__xludf.DUMMYFUNCTION("""COMPUTED_VALUE"""),0.75)</f>
        <v>0.75</v>
      </c>
      <c r="D9763" s="8">
        <f>IFERROR(__xludf.DUMMYFUNCTION("""COMPUTED_VALUE"""),0.067)</f>
        <v>0.067</v>
      </c>
      <c r="E9763" s="8" t="str">
        <f>IFERROR(__xludf.DUMMYFUNCTION("""COMPUTED_VALUE"""),"Real")</f>
        <v>Real</v>
      </c>
      <c r="G9763" s="8">
        <f t="shared" si="1"/>
        <v>12</v>
      </c>
      <c r="H9763" s="14">
        <f t="shared" si="2"/>
        <v>12</v>
      </c>
      <c r="I9763" s="15">
        <f t="shared" si="3"/>
        <v>18</v>
      </c>
    </row>
    <row r="9764">
      <c r="A9764" s="8" t="str">
        <f>IFERROR(__xludf.DUMMYFUNCTION("IF('(INGESTA)Datos_consumo_datadis'!A9764&lt;&gt;"""",SPLIT('(INGESTA)Datos_consumo_datadis'!A:A,"",""),"""")"),"ES0031408323131005HX0F")</f>
        <v>ES0031408323131005HX0F</v>
      </c>
      <c r="B9764" s="17">
        <f>IFERROR(__xludf.DUMMYFUNCTION("""COMPUTED_VALUE"""),45272.0)</f>
        <v>45272</v>
      </c>
      <c r="C9764" s="13">
        <f>IFERROR(__xludf.DUMMYFUNCTION("""COMPUTED_VALUE"""),0.7916666666666666)</f>
        <v>0.7916666667</v>
      </c>
      <c r="D9764" s="8">
        <f>IFERROR(__xludf.DUMMYFUNCTION("""COMPUTED_VALUE"""),0.019)</f>
        <v>0.019</v>
      </c>
      <c r="E9764" s="8" t="str">
        <f>IFERROR(__xludf.DUMMYFUNCTION("""COMPUTED_VALUE"""),"Real")</f>
        <v>Real</v>
      </c>
      <c r="G9764" s="8">
        <f t="shared" si="1"/>
        <v>12</v>
      </c>
      <c r="H9764" s="14">
        <f t="shared" si="2"/>
        <v>12</v>
      </c>
      <c r="I9764" s="15">
        <f t="shared" si="3"/>
        <v>19</v>
      </c>
    </row>
    <row r="9765">
      <c r="A9765" s="8" t="str">
        <f>IFERROR(__xludf.DUMMYFUNCTION("IF('(INGESTA)Datos_consumo_datadis'!A9765&lt;&gt;"""",SPLIT('(INGESTA)Datos_consumo_datadis'!A:A,"",""),"""")"),"ES0031408323131005HX0F")</f>
        <v>ES0031408323131005HX0F</v>
      </c>
      <c r="B9765" s="17">
        <f>IFERROR(__xludf.DUMMYFUNCTION("""COMPUTED_VALUE"""),45272.0)</f>
        <v>45272</v>
      </c>
      <c r="C9765" s="13">
        <f>IFERROR(__xludf.DUMMYFUNCTION("""COMPUTED_VALUE"""),0.8333333333333334)</f>
        <v>0.8333333333</v>
      </c>
      <c r="D9765" s="8">
        <f>IFERROR(__xludf.DUMMYFUNCTION("""COMPUTED_VALUE"""),0.068)</f>
        <v>0.068</v>
      </c>
      <c r="E9765" s="8" t="str">
        <f>IFERROR(__xludf.DUMMYFUNCTION("""COMPUTED_VALUE"""),"Real")</f>
        <v>Real</v>
      </c>
      <c r="G9765" s="8">
        <f t="shared" si="1"/>
        <v>12</v>
      </c>
      <c r="H9765" s="14">
        <f t="shared" si="2"/>
        <v>12</v>
      </c>
      <c r="I9765" s="15">
        <f t="shared" si="3"/>
        <v>20</v>
      </c>
    </row>
    <row r="9766">
      <c r="A9766" s="8" t="str">
        <f>IFERROR(__xludf.DUMMYFUNCTION("IF('(INGESTA)Datos_consumo_datadis'!A9766&lt;&gt;"""",SPLIT('(INGESTA)Datos_consumo_datadis'!A:A,"",""),"""")"),"ES0031408323131005HX0F")</f>
        <v>ES0031408323131005HX0F</v>
      </c>
      <c r="B9766" s="17">
        <f>IFERROR(__xludf.DUMMYFUNCTION("""COMPUTED_VALUE"""),45272.0)</f>
        <v>45272</v>
      </c>
      <c r="C9766" s="13">
        <f>IFERROR(__xludf.DUMMYFUNCTION("""COMPUTED_VALUE"""),0.875)</f>
        <v>0.875</v>
      </c>
      <c r="D9766" s="8">
        <f>IFERROR(__xludf.DUMMYFUNCTION("""COMPUTED_VALUE"""),0.071)</f>
        <v>0.071</v>
      </c>
      <c r="E9766" s="8" t="str">
        <f>IFERROR(__xludf.DUMMYFUNCTION("""COMPUTED_VALUE"""),"Real")</f>
        <v>Real</v>
      </c>
      <c r="G9766" s="8">
        <f t="shared" si="1"/>
        <v>12</v>
      </c>
      <c r="H9766" s="14">
        <f t="shared" si="2"/>
        <v>12</v>
      </c>
      <c r="I9766" s="15">
        <f t="shared" si="3"/>
        <v>21</v>
      </c>
    </row>
    <row r="9767">
      <c r="A9767" s="8" t="str">
        <f>IFERROR(__xludf.DUMMYFUNCTION("IF('(INGESTA)Datos_consumo_datadis'!A9767&lt;&gt;"""",SPLIT('(INGESTA)Datos_consumo_datadis'!A:A,"",""),"""")"),"ES0031408323131005HX0F")</f>
        <v>ES0031408323131005HX0F</v>
      </c>
      <c r="B9767" s="17">
        <f>IFERROR(__xludf.DUMMYFUNCTION("""COMPUTED_VALUE"""),45272.0)</f>
        <v>45272</v>
      </c>
      <c r="C9767" s="13">
        <f>IFERROR(__xludf.DUMMYFUNCTION("""COMPUTED_VALUE"""),0.9166666666666666)</f>
        <v>0.9166666667</v>
      </c>
      <c r="D9767" s="8">
        <f>IFERROR(__xludf.DUMMYFUNCTION("""COMPUTED_VALUE"""),0.344)</f>
        <v>0.344</v>
      </c>
      <c r="E9767" s="8" t="str">
        <f>IFERROR(__xludf.DUMMYFUNCTION("""COMPUTED_VALUE"""),"Real")</f>
        <v>Real</v>
      </c>
      <c r="G9767" s="8">
        <f t="shared" si="1"/>
        <v>12</v>
      </c>
      <c r="H9767" s="14">
        <f t="shared" si="2"/>
        <v>12</v>
      </c>
      <c r="I9767" s="15">
        <f t="shared" si="3"/>
        <v>22</v>
      </c>
    </row>
    <row r="9768">
      <c r="A9768" s="8" t="str">
        <f>IFERROR(__xludf.DUMMYFUNCTION("IF('(INGESTA)Datos_consumo_datadis'!A9768&lt;&gt;"""",SPLIT('(INGESTA)Datos_consumo_datadis'!A:A,"",""),"""")"),"ES0031408323131005HX0F")</f>
        <v>ES0031408323131005HX0F</v>
      </c>
      <c r="B9768" s="17">
        <f>IFERROR(__xludf.DUMMYFUNCTION("""COMPUTED_VALUE"""),45272.0)</f>
        <v>45272</v>
      </c>
      <c r="C9768" s="13">
        <f>IFERROR(__xludf.DUMMYFUNCTION("""COMPUTED_VALUE"""),0.9583333333333334)</f>
        <v>0.9583333333</v>
      </c>
      <c r="D9768" s="8">
        <f>IFERROR(__xludf.DUMMYFUNCTION("""COMPUTED_VALUE"""),0.019)</f>
        <v>0.019</v>
      </c>
      <c r="E9768" s="8" t="str">
        <f>IFERROR(__xludf.DUMMYFUNCTION("""COMPUTED_VALUE"""),"Real")</f>
        <v>Real</v>
      </c>
      <c r="G9768" s="8">
        <f t="shared" si="1"/>
        <v>12</v>
      </c>
      <c r="H9768" s="14">
        <f t="shared" si="2"/>
        <v>12</v>
      </c>
      <c r="I9768" s="15">
        <f t="shared" si="3"/>
        <v>23</v>
      </c>
    </row>
    <row r="9769">
      <c r="A9769" s="8" t="str">
        <f>IFERROR(__xludf.DUMMYFUNCTION("IF('(INGESTA)Datos_consumo_datadis'!A9769&lt;&gt;"""",SPLIT('(INGESTA)Datos_consumo_datadis'!A:A,"",""),"""")"),"ES0031408323131005HX0F")</f>
        <v>ES0031408323131005HX0F</v>
      </c>
      <c r="B9769" s="17">
        <f>IFERROR(__xludf.DUMMYFUNCTION("""COMPUTED_VALUE"""),45272.0)</f>
        <v>45272</v>
      </c>
      <c r="C9769" s="16">
        <f>IFERROR(__xludf.DUMMYFUNCTION("""COMPUTED_VALUE"""),1.0)</f>
        <v>1</v>
      </c>
      <c r="D9769" s="8">
        <f>IFERROR(__xludf.DUMMYFUNCTION("""COMPUTED_VALUE"""),0.13)</f>
        <v>0.13</v>
      </c>
      <c r="E9769" s="8" t="str">
        <f>IFERROR(__xludf.DUMMYFUNCTION("""COMPUTED_VALUE"""),"Real")</f>
        <v>Real</v>
      </c>
      <c r="G9769" s="8">
        <f t="shared" si="1"/>
        <v>12</v>
      </c>
      <c r="H9769" s="14">
        <f t="shared" si="2"/>
        <v>12</v>
      </c>
      <c r="I9769" s="15">
        <f t="shared" si="3"/>
        <v>0</v>
      </c>
    </row>
    <row r="9770">
      <c r="A9770" s="8" t="str">
        <f>IFERROR(__xludf.DUMMYFUNCTION("IF('(INGESTA)Datos_consumo_datadis'!A9770&lt;&gt;"""",SPLIT('(INGESTA)Datos_consumo_datadis'!A:A,"",""),"""")"),"ES0031408323131005HX0F")</f>
        <v>ES0031408323131005HX0F</v>
      </c>
      <c r="B9770" s="17">
        <f>IFERROR(__xludf.DUMMYFUNCTION("""COMPUTED_VALUE"""),45273.0)</f>
        <v>45273</v>
      </c>
      <c r="C9770" s="13">
        <f>IFERROR(__xludf.DUMMYFUNCTION("""COMPUTED_VALUE"""),0.041666666666666664)</f>
        <v>0.04166666667</v>
      </c>
      <c r="D9770" s="8">
        <f>IFERROR(__xludf.DUMMYFUNCTION("""COMPUTED_VALUE"""),0.07)</f>
        <v>0.07</v>
      </c>
      <c r="E9770" s="8" t="str">
        <f>IFERROR(__xludf.DUMMYFUNCTION("""COMPUTED_VALUE"""),"Real")</f>
        <v>Real</v>
      </c>
      <c r="G9770" s="8">
        <f t="shared" si="1"/>
        <v>12</v>
      </c>
      <c r="H9770" s="14">
        <f t="shared" si="2"/>
        <v>13</v>
      </c>
      <c r="I9770" s="15">
        <f t="shared" si="3"/>
        <v>1</v>
      </c>
    </row>
    <row r="9771">
      <c r="A9771" s="8" t="str">
        <f>IFERROR(__xludf.DUMMYFUNCTION("IF('(INGESTA)Datos_consumo_datadis'!A9771&lt;&gt;"""",SPLIT('(INGESTA)Datos_consumo_datadis'!A:A,"",""),"""")"),"ES0031408323131005HX0F")</f>
        <v>ES0031408323131005HX0F</v>
      </c>
      <c r="B9771" s="17">
        <f>IFERROR(__xludf.DUMMYFUNCTION("""COMPUTED_VALUE"""),45273.0)</f>
        <v>45273</v>
      </c>
      <c r="C9771" s="13">
        <f>IFERROR(__xludf.DUMMYFUNCTION("""COMPUTED_VALUE"""),0.08333333333333333)</f>
        <v>0.08333333333</v>
      </c>
      <c r="D9771" s="8">
        <f>IFERROR(__xludf.DUMMYFUNCTION("""COMPUTED_VALUE"""),0.073)</f>
        <v>0.073</v>
      </c>
      <c r="E9771" s="8" t="str">
        <f>IFERROR(__xludf.DUMMYFUNCTION("""COMPUTED_VALUE"""),"Real")</f>
        <v>Real</v>
      </c>
      <c r="G9771" s="8">
        <f t="shared" si="1"/>
        <v>12</v>
      </c>
      <c r="H9771" s="14">
        <f t="shared" si="2"/>
        <v>13</v>
      </c>
      <c r="I9771" s="15">
        <f t="shared" si="3"/>
        <v>2</v>
      </c>
    </row>
    <row r="9772">
      <c r="A9772" s="8" t="str">
        <f>IFERROR(__xludf.DUMMYFUNCTION("IF('(INGESTA)Datos_consumo_datadis'!A9772&lt;&gt;"""",SPLIT('(INGESTA)Datos_consumo_datadis'!A:A,"",""),"""")"),"ES0031408323131005HX0F")</f>
        <v>ES0031408323131005HX0F</v>
      </c>
      <c r="B9772" s="17">
        <f>IFERROR(__xludf.DUMMYFUNCTION("""COMPUTED_VALUE"""),45273.0)</f>
        <v>45273</v>
      </c>
      <c r="C9772" s="13">
        <f>IFERROR(__xludf.DUMMYFUNCTION("""COMPUTED_VALUE"""),0.125)</f>
        <v>0.125</v>
      </c>
      <c r="D9772" s="8">
        <f>IFERROR(__xludf.DUMMYFUNCTION("""COMPUTED_VALUE"""),0.043)</f>
        <v>0.043</v>
      </c>
      <c r="E9772" s="8" t="str">
        <f>IFERROR(__xludf.DUMMYFUNCTION("""COMPUTED_VALUE"""),"Real")</f>
        <v>Real</v>
      </c>
      <c r="G9772" s="8">
        <f t="shared" si="1"/>
        <v>12</v>
      </c>
      <c r="H9772" s="14">
        <f t="shared" si="2"/>
        <v>13</v>
      </c>
      <c r="I9772" s="15">
        <f t="shared" si="3"/>
        <v>3</v>
      </c>
    </row>
    <row r="9773">
      <c r="A9773" s="8" t="str">
        <f>IFERROR(__xludf.DUMMYFUNCTION("IF('(INGESTA)Datos_consumo_datadis'!A9773&lt;&gt;"""",SPLIT('(INGESTA)Datos_consumo_datadis'!A:A,"",""),"""")"),"ES0031408323131005HX0F")</f>
        <v>ES0031408323131005HX0F</v>
      </c>
      <c r="B9773" s="17">
        <f>IFERROR(__xludf.DUMMYFUNCTION("""COMPUTED_VALUE"""),45273.0)</f>
        <v>45273</v>
      </c>
      <c r="C9773" s="13">
        <f>IFERROR(__xludf.DUMMYFUNCTION("""COMPUTED_VALUE"""),0.16666666666666666)</f>
        <v>0.1666666667</v>
      </c>
      <c r="D9773" s="8">
        <f>IFERROR(__xludf.DUMMYFUNCTION("""COMPUTED_VALUE"""),0.397)</f>
        <v>0.397</v>
      </c>
      <c r="E9773" s="8" t="str">
        <f>IFERROR(__xludf.DUMMYFUNCTION("""COMPUTED_VALUE"""),"Real")</f>
        <v>Real</v>
      </c>
      <c r="G9773" s="8">
        <f t="shared" si="1"/>
        <v>12</v>
      </c>
      <c r="H9773" s="14">
        <f t="shared" si="2"/>
        <v>13</v>
      </c>
      <c r="I9773" s="15">
        <f t="shared" si="3"/>
        <v>4</v>
      </c>
    </row>
    <row r="9774">
      <c r="A9774" s="8" t="str">
        <f>IFERROR(__xludf.DUMMYFUNCTION("IF('(INGESTA)Datos_consumo_datadis'!A9774&lt;&gt;"""",SPLIT('(INGESTA)Datos_consumo_datadis'!A:A,"",""),"""")"),"ES0031408323131005HX0F")</f>
        <v>ES0031408323131005HX0F</v>
      </c>
      <c r="B9774" s="17">
        <f>IFERROR(__xludf.DUMMYFUNCTION("""COMPUTED_VALUE"""),45273.0)</f>
        <v>45273</v>
      </c>
      <c r="C9774" s="13">
        <f>IFERROR(__xludf.DUMMYFUNCTION("""COMPUTED_VALUE"""),0.20833333333333334)</f>
        <v>0.2083333333</v>
      </c>
      <c r="D9774" s="8">
        <f>IFERROR(__xludf.DUMMYFUNCTION("""COMPUTED_VALUE"""),0.088)</f>
        <v>0.088</v>
      </c>
      <c r="E9774" s="8" t="str">
        <f>IFERROR(__xludf.DUMMYFUNCTION("""COMPUTED_VALUE"""),"Real")</f>
        <v>Real</v>
      </c>
      <c r="G9774" s="8">
        <f t="shared" si="1"/>
        <v>12</v>
      </c>
      <c r="H9774" s="14">
        <f t="shared" si="2"/>
        <v>13</v>
      </c>
      <c r="I9774" s="15">
        <f t="shared" si="3"/>
        <v>5</v>
      </c>
    </row>
    <row r="9775">
      <c r="A9775" s="8" t="str">
        <f>IFERROR(__xludf.DUMMYFUNCTION("IF('(INGESTA)Datos_consumo_datadis'!A9775&lt;&gt;"""",SPLIT('(INGESTA)Datos_consumo_datadis'!A:A,"",""),"""")"),"ES0031408323131005HX0F")</f>
        <v>ES0031408323131005HX0F</v>
      </c>
      <c r="B9775" s="17">
        <f>IFERROR(__xludf.DUMMYFUNCTION("""COMPUTED_VALUE"""),45273.0)</f>
        <v>45273</v>
      </c>
      <c r="C9775" s="13">
        <f>IFERROR(__xludf.DUMMYFUNCTION("""COMPUTED_VALUE"""),0.25)</f>
        <v>0.25</v>
      </c>
      <c r="D9775" s="8">
        <f>IFERROR(__xludf.DUMMYFUNCTION("""COMPUTED_VALUE"""),0.069)</f>
        <v>0.069</v>
      </c>
      <c r="E9775" s="8" t="str">
        <f>IFERROR(__xludf.DUMMYFUNCTION("""COMPUTED_VALUE"""),"Real")</f>
        <v>Real</v>
      </c>
      <c r="G9775" s="8">
        <f t="shared" si="1"/>
        <v>12</v>
      </c>
      <c r="H9775" s="14">
        <f t="shared" si="2"/>
        <v>13</v>
      </c>
      <c r="I9775" s="15">
        <f t="shared" si="3"/>
        <v>6</v>
      </c>
    </row>
    <row r="9776">
      <c r="A9776" s="8" t="str">
        <f>IFERROR(__xludf.DUMMYFUNCTION("IF('(INGESTA)Datos_consumo_datadis'!A9776&lt;&gt;"""",SPLIT('(INGESTA)Datos_consumo_datadis'!A:A,"",""),"""")"),"ES0031408323131005HX0F")</f>
        <v>ES0031408323131005HX0F</v>
      </c>
      <c r="B9776" s="17">
        <f>IFERROR(__xludf.DUMMYFUNCTION("""COMPUTED_VALUE"""),45273.0)</f>
        <v>45273</v>
      </c>
      <c r="C9776" s="13">
        <f>IFERROR(__xludf.DUMMYFUNCTION("""COMPUTED_VALUE"""),0.2916666666666667)</f>
        <v>0.2916666667</v>
      </c>
      <c r="D9776" s="8">
        <f>IFERROR(__xludf.DUMMYFUNCTION("""COMPUTED_VALUE"""),0.038)</f>
        <v>0.038</v>
      </c>
      <c r="E9776" s="8" t="str">
        <f>IFERROR(__xludf.DUMMYFUNCTION("""COMPUTED_VALUE"""),"Real")</f>
        <v>Real</v>
      </c>
      <c r="G9776" s="8">
        <f t="shared" si="1"/>
        <v>12</v>
      </c>
      <c r="H9776" s="14">
        <f t="shared" si="2"/>
        <v>13</v>
      </c>
      <c r="I9776" s="15">
        <f t="shared" si="3"/>
        <v>7</v>
      </c>
    </row>
    <row r="9777">
      <c r="A9777" s="8" t="str">
        <f>IFERROR(__xludf.DUMMYFUNCTION("IF('(INGESTA)Datos_consumo_datadis'!A9777&lt;&gt;"""",SPLIT('(INGESTA)Datos_consumo_datadis'!A:A,"",""),"""")"),"ES0031408323131005HX0F")</f>
        <v>ES0031408323131005HX0F</v>
      </c>
      <c r="B9777" s="17">
        <f>IFERROR(__xludf.DUMMYFUNCTION("""COMPUTED_VALUE"""),45273.0)</f>
        <v>45273</v>
      </c>
      <c r="C9777" s="13">
        <f>IFERROR(__xludf.DUMMYFUNCTION("""COMPUTED_VALUE"""),0.3333333333333333)</f>
        <v>0.3333333333</v>
      </c>
      <c r="D9777" s="8">
        <f>IFERROR(__xludf.DUMMYFUNCTION("""COMPUTED_VALUE"""),0.03)</f>
        <v>0.03</v>
      </c>
      <c r="E9777" s="8" t="str">
        <f>IFERROR(__xludf.DUMMYFUNCTION("""COMPUTED_VALUE"""),"Real")</f>
        <v>Real</v>
      </c>
      <c r="G9777" s="8">
        <f t="shared" si="1"/>
        <v>12</v>
      </c>
      <c r="H9777" s="14">
        <f t="shared" si="2"/>
        <v>13</v>
      </c>
      <c r="I9777" s="15">
        <f t="shared" si="3"/>
        <v>8</v>
      </c>
    </row>
    <row r="9778">
      <c r="A9778" s="8" t="str">
        <f>IFERROR(__xludf.DUMMYFUNCTION("IF('(INGESTA)Datos_consumo_datadis'!A9778&lt;&gt;"""",SPLIT('(INGESTA)Datos_consumo_datadis'!A:A,"",""),"""")"),"ES0031408323131005HX0F")</f>
        <v>ES0031408323131005HX0F</v>
      </c>
      <c r="B9778" s="17">
        <f>IFERROR(__xludf.DUMMYFUNCTION("""COMPUTED_VALUE"""),45273.0)</f>
        <v>45273</v>
      </c>
      <c r="C9778" s="13">
        <f>IFERROR(__xludf.DUMMYFUNCTION("""COMPUTED_VALUE"""),0.375)</f>
        <v>0.375</v>
      </c>
      <c r="D9778" s="8">
        <f>IFERROR(__xludf.DUMMYFUNCTION("""COMPUTED_VALUE"""),0.388)</f>
        <v>0.388</v>
      </c>
      <c r="E9778" s="8" t="str">
        <f>IFERROR(__xludf.DUMMYFUNCTION("""COMPUTED_VALUE"""),"Real")</f>
        <v>Real</v>
      </c>
      <c r="G9778" s="8">
        <f t="shared" si="1"/>
        <v>12</v>
      </c>
      <c r="H9778" s="14">
        <f t="shared" si="2"/>
        <v>13</v>
      </c>
      <c r="I9778" s="15">
        <f t="shared" si="3"/>
        <v>9</v>
      </c>
    </row>
    <row r="9779">
      <c r="A9779" s="8" t="str">
        <f>IFERROR(__xludf.DUMMYFUNCTION("IF('(INGESTA)Datos_consumo_datadis'!A9779&lt;&gt;"""",SPLIT('(INGESTA)Datos_consumo_datadis'!A:A,"",""),"""")"),"ES0031408323131005HX0F")</f>
        <v>ES0031408323131005HX0F</v>
      </c>
      <c r="B9779" s="17">
        <f>IFERROR(__xludf.DUMMYFUNCTION("""COMPUTED_VALUE"""),45273.0)</f>
        <v>45273</v>
      </c>
      <c r="C9779" s="13">
        <f>IFERROR(__xludf.DUMMYFUNCTION("""COMPUTED_VALUE"""),0.4166666666666667)</f>
        <v>0.4166666667</v>
      </c>
      <c r="D9779" s="8">
        <f>IFERROR(__xludf.DUMMYFUNCTION("""COMPUTED_VALUE"""),0.061)</f>
        <v>0.061</v>
      </c>
      <c r="E9779" s="8" t="str">
        <f>IFERROR(__xludf.DUMMYFUNCTION("""COMPUTED_VALUE"""),"Real")</f>
        <v>Real</v>
      </c>
      <c r="G9779" s="8">
        <f t="shared" si="1"/>
        <v>12</v>
      </c>
      <c r="H9779" s="14">
        <f t="shared" si="2"/>
        <v>13</v>
      </c>
      <c r="I9779" s="15">
        <f t="shared" si="3"/>
        <v>10</v>
      </c>
    </row>
    <row r="9780">
      <c r="A9780" s="8" t="str">
        <f>IFERROR(__xludf.DUMMYFUNCTION("IF('(INGESTA)Datos_consumo_datadis'!A9780&lt;&gt;"""",SPLIT('(INGESTA)Datos_consumo_datadis'!A:A,"",""),"""")"),"ES0031408323131005HX0F")</f>
        <v>ES0031408323131005HX0F</v>
      </c>
      <c r="B9780" s="17">
        <f>IFERROR(__xludf.DUMMYFUNCTION("""COMPUTED_VALUE"""),45273.0)</f>
        <v>45273</v>
      </c>
      <c r="C9780" s="13">
        <f>IFERROR(__xludf.DUMMYFUNCTION("""COMPUTED_VALUE"""),0.4583333333333333)</f>
        <v>0.4583333333</v>
      </c>
      <c r="D9780" s="8">
        <f>IFERROR(__xludf.DUMMYFUNCTION("""COMPUTED_VALUE"""),0.028)</f>
        <v>0.028</v>
      </c>
      <c r="E9780" s="8" t="str">
        <f>IFERROR(__xludf.DUMMYFUNCTION("""COMPUTED_VALUE"""),"Real")</f>
        <v>Real</v>
      </c>
      <c r="G9780" s="8">
        <f t="shared" si="1"/>
        <v>12</v>
      </c>
      <c r="H9780" s="14">
        <f t="shared" si="2"/>
        <v>13</v>
      </c>
      <c r="I9780" s="15">
        <f t="shared" si="3"/>
        <v>11</v>
      </c>
    </row>
    <row r="9781">
      <c r="A9781" s="8" t="str">
        <f>IFERROR(__xludf.DUMMYFUNCTION("IF('(INGESTA)Datos_consumo_datadis'!A9781&lt;&gt;"""",SPLIT('(INGESTA)Datos_consumo_datadis'!A:A,"",""),"""")"),"ES0031408323131005HX0F")</f>
        <v>ES0031408323131005HX0F</v>
      </c>
      <c r="B9781" s="17">
        <f>IFERROR(__xludf.DUMMYFUNCTION("""COMPUTED_VALUE"""),45273.0)</f>
        <v>45273</v>
      </c>
      <c r="C9781" s="13">
        <f>IFERROR(__xludf.DUMMYFUNCTION("""COMPUTED_VALUE"""),0.5)</f>
        <v>0.5</v>
      </c>
      <c r="D9781" s="8">
        <f>IFERROR(__xludf.DUMMYFUNCTION("""COMPUTED_VALUE"""),0.029)</f>
        <v>0.029</v>
      </c>
      <c r="E9781" s="8" t="str">
        <f>IFERROR(__xludf.DUMMYFUNCTION("""COMPUTED_VALUE"""),"Real")</f>
        <v>Real</v>
      </c>
      <c r="G9781" s="8">
        <f t="shared" si="1"/>
        <v>12</v>
      </c>
      <c r="H9781" s="14">
        <f t="shared" si="2"/>
        <v>13</v>
      </c>
      <c r="I9781" s="15">
        <f t="shared" si="3"/>
        <v>12</v>
      </c>
    </row>
    <row r="9782">
      <c r="A9782" s="8" t="str">
        <f>IFERROR(__xludf.DUMMYFUNCTION("IF('(INGESTA)Datos_consumo_datadis'!A9782&lt;&gt;"""",SPLIT('(INGESTA)Datos_consumo_datadis'!A:A,"",""),"""")"),"ES0031408323131005HX0F")</f>
        <v>ES0031408323131005HX0F</v>
      </c>
      <c r="B9782" s="17">
        <f>IFERROR(__xludf.DUMMYFUNCTION("""COMPUTED_VALUE"""),45273.0)</f>
        <v>45273</v>
      </c>
      <c r="C9782" s="13">
        <f>IFERROR(__xludf.DUMMYFUNCTION("""COMPUTED_VALUE"""),0.5416666666666666)</f>
        <v>0.5416666667</v>
      </c>
      <c r="D9782" s="8">
        <f>IFERROR(__xludf.DUMMYFUNCTION("""COMPUTED_VALUE"""),0.124)</f>
        <v>0.124</v>
      </c>
      <c r="E9782" s="8" t="str">
        <f>IFERROR(__xludf.DUMMYFUNCTION("""COMPUTED_VALUE"""),"Real")</f>
        <v>Real</v>
      </c>
      <c r="G9782" s="8">
        <f t="shared" si="1"/>
        <v>12</v>
      </c>
      <c r="H9782" s="14">
        <f t="shared" si="2"/>
        <v>13</v>
      </c>
      <c r="I9782" s="15">
        <f t="shared" si="3"/>
        <v>13</v>
      </c>
    </row>
    <row r="9783">
      <c r="A9783" s="8" t="str">
        <f>IFERROR(__xludf.DUMMYFUNCTION("IF('(INGESTA)Datos_consumo_datadis'!A9783&lt;&gt;"""",SPLIT('(INGESTA)Datos_consumo_datadis'!A:A,"",""),"""")"),"ES0031408323131005HX0F")</f>
        <v>ES0031408323131005HX0F</v>
      </c>
      <c r="B9783" s="17">
        <f>IFERROR(__xludf.DUMMYFUNCTION("""COMPUTED_VALUE"""),45273.0)</f>
        <v>45273</v>
      </c>
      <c r="C9783" s="13">
        <f>IFERROR(__xludf.DUMMYFUNCTION("""COMPUTED_VALUE"""),0.5833333333333334)</f>
        <v>0.5833333333</v>
      </c>
      <c r="D9783" s="8">
        <f>IFERROR(__xludf.DUMMYFUNCTION("""COMPUTED_VALUE"""),0.11)</f>
        <v>0.11</v>
      </c>
      <c r="E9783" s="8" t="str">
        <f>IFERROR(__xludf.DUMMYFUNCTION("""COMPUTED_VALUE"""),"Real")</f>
        <v>Real</v>
      </c>
      <c r="G9783" s="8">
        <f t="shared" si="1"/>
        <v>12</v>
      </c>
      <c r="H9783" s="14">
        <f t="shared" si="2"/>
        <v>13</v>
      </c>
      <c r="I9783" s="15">
        <f t="shared" si="3"/>
        <v>14</v>
      </c>
    </row>
    <row r="9784">
      <c r="A9784" s="8" t="str">
        <f>IFERROR(__xludf.DUMMYFUNCTION("IF('(INGESTA)Datos_consumo_datadis'!A9784&lt;&gt;"""",SPLIT('(INGESTA)Datos_consumo_datadis'!A:A,"",""),"""")"),"ES0031408323131005HX0F")</f>
        <v>ES0031408323131005HX0F</v>
      </c>
      <c r="B9784" s="17">
        <f>IFERROR(__xludf.DUMMYFUNCTION("""COMPUTED_VALUE"""),45273.0)</f>
        <v>45273</v>
      </c>
      <c r="C9784" s="13">
        <f>IFERROR(__xludf.DUMMYFUNCTION("""COMPUTED_VALUE"""),0.625)</f>
        <v>0.625</v>
      </c>
      <c r="D9784" s="8">
        <f>IFERROR(__xludf.DUMMYFUNCTION("""COMPUTED_VALUE"""),0.384)</f>
        <v>0.384</v>
      </c>
      <c r="E9784" s="8" t="str">
        <f>IFERROR(__xludf.DUMMYFUNCTION("""COMPUTED_VALUE"""),"Real")</f>
        <v>Real</v>
      </c>
      <c r="G9784" s="8">
        <f t="shared" si="1"/>
        <v>12</v>
      </c>
      <c r="H9784" s="14">
        <f t="shared" si="2"/>
        <v>13</v>
      </c>
      <c r="I9784" s="15">
        <f t="shared" si="3"/>
        <v>15</v>
      </c>
    </row>
    <row r="9785">
      <c r="A9785" s="8" t="str">
        <f>IFERROR(__xludf.DUMMYFUNCTION("IF('(INGESTA)Datos_consumo_datadis'!A9785&lt;&gt;"""",SPLIT('(INGESTA)Datos_consumo_datadis'!A:A,"",""),"""")"),"ES0031408323131005HX0F")</f>
        <v>ES0031408323131005HX0F</v>
      </c>
      <c r="B9785" s="17">
        <f>IFERROR(__xludf.DUMMYFUNCTION("""COMPUTED_VALUE"""),45273.0)</f>
        <v>45273</v>
      </c>
      <c r="C9785" s="13">
        <f>IFERROR(__xludf.DUMMYFUNCTION("""COMPUTED_VALUE"""),0.6666666666666666)</f>
        <v>0.6666666667</v>
      </c>
      <c r="D9785" s="8">
        <f>IFERROR(__xludf.DUMMYFUNCTION("""COMPUTED_VALUE"""),0.06)</f>
        <v>0.06</v>
      </c>
      <c r="E9785" s="8" t="str">
        <f>IFERROR(__xludf.DUMMYFUNCTION("""COMPUTED_VALUE"""),"Real")</f>
        <v>Real</v>
      </c>
      <c r="G9785" s="8">
        <f t="shared" si="1"/>
        <v>12</v>
      </c>
      <c r="H9785" s="14">
        <f t="shared" si="2"/>
        <v>13</v>
      </c>
      <c r="I9785" s="15">
        <f t="shared" si="3"/>
        <v>16</v>
      </c>
    </row>
    <row r="9786">
      <c r="A9786" s="8" t="str">
        <f>IFERROR(__xludf.DUMMYFUNCTION("IF('(INGESTA)Datos_consumo_datadis'!A9786&lt;&gt;"""",SPLIT('(INGESTA)Datos_consumo_datadis'!A:A,"",""),"""")"),"ES0031408323131005HX0F")</f>
        <v>ES0031408323131005HX0F</v>
      </c>
      <c r="B9786" s="17">
        <f>IFERROR(__xludf.DUMMYFUNCTION("""COMPUTED_VALUE"""),45273.0)</f>
        <v>45273</v>
      </c>
      <c r="C9786" s="13">
        <f>IFERROR(__xludf.DUMMYFUNCTION("""COMPUTED_VALUE"""),0.7083333333333334)</f>
        <v>0.7083333333</v>
      </c>
      <c r="D9786" s="8">
        <f>IFERROR(__xludf.DUMMYFUNCTION("""COMPUTED_VALUE"""),0.025)</f>
        <v>0.025</v>
      </c>
      <c r="E9786" s="8" t="str">
        <f>IFERROR(__xludf.DUMMYFUNCTION("""COMPUTED_VALUE"""),"Real")</f>
        <v>Real</v>
      </c>
      <c r="G9786" s="8">
        <f t="shared" si="1"/>
        <v>12</v>
      </c>
      <c r="H9786" s="14">
        <f t="shared" si="2"/>
        <v>13</v>
      </c>
      <c r="I9786" s="15">
        <f t="shared" si="3"/>
        <v>17</v>
      </c>
    </row>
    <row r="9787">
      <c r="A9787" s="8" t="str">
        <f>IFERROR(__xludf.DUMMYFUNCTION("IF('(INGESTA)Datos_consumo_datadis'!A9787&lt;&gt;"""",SPLIT('(INGESTA)Datos_consumo_datadis'!A:A,"",""),"""")"),"ES0031408323131005HX0F")</f>
        <v>ES0031408323131005HX0F</v>
      </c>
      <c r="B9787" s="17">
        <f>IFERROR(__xludf.DUMMYFUNCTION("""COMPUTED_VALUE"""),45273.0)</f>
        <v>45273</v>
      </c>
      <c r="C9787" s="13">
        <f>IFERROR(__xludf.DUMMYFUNCTION("""COMPUTED_VALUE"""),0.75)</f>
        <v>0.75</v>
      </c>
      <c r="D9787" s="8">
        <f>IFERROR(__xludf.DUMMYFUNCTION("""COMPUTED_VALUE"""),0.52)</f>
        <v>0.52</v>
      </c>
      <c r="E9787" s="8" t="str">
        <f>IFERROR(__xludf.DUMMYFUNCTION("""COMPUTED_VALUE"""),"Real")</f>
        <v>Real</v>
      </c>
      <c r="G9787" s="8">
        <f t="shared" si="1"/>
        <v>12</v>
      </c>
      <c r="H9787" s="14">
        <f t="shared" si="2"/>
        <v>13</v>
      </c>
      <c r="I9787" s="15">
        <f t="shared" si="3"/>
        <v>18</v>
      </c>
    </row>
    <row r="9788">
      <c r="A9788" s="8" t="str">
        <f>IFERROR(__xludf.DUMMYFUNCTION("IF('(INGESTA)Datos_consumo_datadis'!A9788&lt;&gt;"""",SPLIT('(INGESTA)Datos_consumo_datadis'!A:A,"",""),"""")"),"ES0031408323131005HX0F")</f>
        <v>ES0031408323131005HX0F</v>
      </c>
      <c r="B9788" s="17">
        <f>IFERROR(__xludf.DUMMYFUNCTION("""COMPUTED_VALUE"""),45273.0)</f>
        <v>45273</v>
      </c>
      <c r="C9788" s="13">
        <f>IFERROR(__xludf.DUMMYFUNCTION("""COMPUTED_VALUE"""),0.7916666666666666)</f>
        <v>0.7916666667</v>
      </c>
      <c r="D9788" s="8">
        <f>IFERROR(__xludf.DUMMYFUNCTION("""COMPUTED_VALUE"""),0.509)</f>
        <v>0.509</v>
      </c>
      <c r="E9788" s="8" t="str">
        <f>IFERROR(__xludf.DUMMYFUNCTION("""COMPUTED_VALUE"""),"Real")</f>
        <v>Real</v>
      </c>
      <c r="G9788" s="8">
        <f t="shared" si="1"/>
        <v>12</v>
      </c>
      <c r="H9788" s="14">
        <f t="shared" si="2"/>
        <v>13</v>
      </c>
      <c r="I9788" s="15">
        <f t="shared" si="3"/>
        <v>19</v>
      </c>
    </row>
    <row r="9789">
      <c r="A9789" s="8" t="str">
        <f>IFERROR(__xludf.DUMMYFUNCTION("IF('(INGESTA)Datos_consumo_datadis'!A9789&lt;&gt;"""",SPLIT('(INGESTA)Datos_consumo_datadis'!A:A,"",""),"""")"),"ES0031408323131005HX0F")</f>
        <v>ES0031408323131005HX0F</v>
      </c>
      <c r="B9789" s="17">
        <f>IFERROR(__xludf.DUMMYFUNCTION("""COMPUTED_VALUE"""),45273.0)</f>
        <v>45273</v>
      </c>
      <c r="C9789" s="13">
        <f>IFERROR(__xludf.DUMMYFUNCTION("""COMPUTED_VALUE"""),0.8333333333333334)</f>
        <v>0.8333333333</v>
      </c>
      <c r="D9789" s="8">
        <f>IFERROR(__xludf.DUMMYFUNCTION("""COMPUTED_VALUE"""),0.118)</f>
        <v>0.118</v>
      </c>
      <c r="E9789" s="8" t="str">
        <f>IFERROR(__xludf.DUMMYFUNCTION("""COMPUTED_VALUE"""),"Real")</f>
        <v>Real</v>
      </c>
      <c r="G9789" s="8">
        <f t="shared" si="1"/>
        <v>12</v>
      </c>
      <c r="H9789" s="14">
        <f t="shared" si="2"/>
        <v>13</v>
      </c>
      <c r="I9789" s="15">
        <f t="shared" si="3"/>
        <v>20</v>
      </c>
    </row>
    <row r="9790">
      <c r="A9790" s="8" t="str">
        <f>IFERROR(__xludf.DUMMYFUNCTION("IF('(INGESTA)Datos_consumo_datadis'!A9790&lt;&gt;"""",SPLIT('(INGESTA)Datos_consumo_datadis'!A:A,"",""),"""")"),"ES0031408323131005HX0F")</f>
        <v>ES0031408323131005HX0F</v>
      </c>
      <c r="B9790" s="17">
        <f>IFERROR(__xludf.DUMMYFUNCTION("""COMPUTED_VALUE"""),45273.0)</f>
        <v>45273</v>
      </c>
      <c r="C9790" s="13">
        <f>IFERROR(__xludf.DUMMYFUNCTION("""COMPUTED_VALUE"""),0.875)</f>
        <v>0.875</v>
      </c>
      <c r="D9790" s="8">
        <f>IFERROR(__xludf.DUMMYFUNCTION("""COMPUTED_VALUE"""),1.386)</f>
        <v>1.386</v>
      </c>
      <c r="E9790" s="8" t="str">
        <f>IFERROR(__xludf.DUMMYFUNCTION("""COMPUTED_VALUE"""),"Real")</f>
        <v>Real</v>
      </c>
      <c r="G9790" s="8">
        <f t="shared" si="1"/>
        <v>12</v>
      </c>
      <c r="H9790" s="14">
        <f t="shared" si="2"/>
        <v>13</v>
      </c>
      <c r="I9790" s="15">
        <f t="shared" si="3"/>
        <v>21</v>
      </c>
    </row>
    <row r="9791">
      <c r="A9791" s="8" t="str">
        <f>IFERROR(__xludf.DUMMYFUNCTION("IF('(INGESTA)Datos_consumo_datadis'!A9791&lt;&gt;"""",SPLIT('(INGESTA)Datos_consumo_datadis'!A:A,"",""),"""")"),"ES0031408323131005HX0F")</f>
        <v>ES0031408323131005HX0F</v>
      </c>
      <c r="B9791" s="17">
        <f>IFERROR(__xludf.DUMMYFUNCTION("""COMPUTED_VALUE"""),45273.0)</f>
        <v>45273</v>
      </c>
      <c r="C9791" s="13">
        <f>IFERROR(__xludf.DUMMYFUNCTION("""COMPUTED_VALUE"""),0.9166666666666666)</f>
        <v>0.9166666667</v>
      </c>
      <c r="D9791" s="8">
        <f>IFERROR(__xludf.DUMMYFUNCTION("""COMPUTED_VALUE"""),0.095)</f>
        <v>0.095</v>
      </c>
      <c r="E9791" s="8" t="str">
        <f>IFERROR(__xludf.DUMMYFUNCTION("""COMPUTED_VALUE"""),"Real")</f>
        <v>Real</v>
      </c>
      <c r="G9791" s="8">
        <f t="shared" si="1"/>
        <v>12</v>
      </c>
      <c r="H9791" s="14">
        <f t="shared" si="2"/>
        <v>13</v>
      </c>
      <c r="I9791" s="15">
        <f t="shared" si="3"/>
        <v>22</v>
      </c>
    </row>
    <row r="9792">
      <c r="A9792" s="8" t="str">
        <f>IFERROR(__xludf.DUMMYFUNCTION("IF('(INGESTA)Datos_consumo_datadis'!A9792&lt;&gt;"""",SPLIT('(INGESTA)Datos_consumo_datadis'!A:A,"",""),"""")"),"ES0031408323131005HX0F")</f>
        <v>ES0031408323131005HX0F</v>
      </c>
      <c r="B9792" s="17">
        <f>IFERROR(__xludf.DUMMYFUNCTION("""COMPUTED_VALUE"""),45273.0)</f>
        <v>45273</v>
      </c>
      <c r="C9792" s="13">
        <f>IFERROR(__xludf.DUMMYFUNCTION("""COMPUTED_VALUE"""),0.9583333333333334)</f>
        <v>0.9583333333</v>
      </c>
      <c r="D9792" s="8">
        <f>IFERROR(__xludf.DUMMYFUNCTION("""COMPUTED_VALUE"""),0.057)</f>
        <v>0.057</v>
      </c>
      <c r="E9792" s="8" t="str">
        <f>IFERROR(__xludf.DUMMYFUNCTION("""COMPUTED_VALUE"""),"Real")</f>
        <v>Real</v>
      </c>
      <c r="G9792" s="8">
        <f t="shared" si="1"/>
        <v>12</v>
      </c>
      <c r="H9792" s="14">
        <f t="shared" si="2"/>
        <v>13</v>
      </c>
      <c r="I9792" s="15">
        <f t="shared" si="3"/>
        <v>23</v>
      </c>
    </row>
    <row r="9793">
      <c r="A9793" s="8" t="str">
        <f>IFERROR(__xludf.DUMMYFUNCTION("IF('(INGESTA)Datos_consumo_datadis'!A9793&lt;&gt;"""",SPLIT('(INGESTA)Datos_consumo_datadis'!A:A,"",""),"""")"),"ES0031408323131005HX0F")</f>
        <v>ES0031408323131005HX0F</v>
      </c>
      <c r="B9793" s="17">
        <f>IFERROR(__xludf.DUMMYFUNCTION("""COMPUTED_VALUE"""),45273.0)</f>
        <v>45273</v>
      </c>
      <c r="C9793" s="16">
        <f>IFERROR(__xludf.DUMMYFUNCTION("""COMPUTED_VALUE"""),1.0)</f>
        <v>1</v>
      </c>
      <c r="D9793" s="8">
        <f>IFERROR(__xludf.DUMMYFUNCTION("""COMPUTED_VALUE"""),0.07)</f>
        <v>0.07</v>
      </c>
      <c r="E9793" s="8" t="str">
        <f>IFERROR(__xludf.DUMMYFUNCTION("""COMPUTED_VALUE"""),"Real")</f>
        <v>Real</v>
      </c>
      <c r="G9793" s="8">
        <f t="shared" si="1"/>
        <v>12</v>
      </c>
      <c r="H9793" s="14">
        <f t="shared" si="2"/>
        <v>13</v>
      </c>
      <c r="I9793" s="15">
        <f t="shared" si="3"/>
        <v>0</v>
      </c>
    </row>
    <row r="9794">
      <c r="A9794" s="8" t="str">
        <f>IFERROR(__xludf.DUMMYFUNCTION("IF('(INGESTA)Datos_consumo_datadis'!A9794&lt;&gt;"""",SPLIT('(INGESTA)Datos_consumo_datadis'!A:A,"",""),"""")"),"ES0031408323131005HX0F")</f>
        <v>ES0031408323131005HX0F</v>
      </c>
      <c r="B9794" s="17">
        <f>IFERROR(__xludf.DUMMYFUNCTION("""COMPUTED_VALUE"""),45274.0)</f>
        <v>45274</v>
      </c>
      <c r="C9794" s="13">
        <f>IFERROR(__xludf.DUMMYFUNCTION("""COMPUTED_VALUE"""),0.041666666666666664)</f>
        <v>0.04166666667</v>
      </c>
      <c r="D9794" s="8">
        <f>IFERROR(__xludf.DUMMYFUNCTION("""COMPUTED_VALUE"""),0.037)</f>
        <v>0.037</v>
      </c>
      <c r="E9794" s="8" t="str">
        <f>IFERROR(__xludf.DUMMYFUNCTION("""COMPUTED_VALUE"""),"Real")</f>
        <v>Real</v>
      </c>
      <c r="G9794" s="8">
        <f t="shared" si="1"/>
        <v>12</v>
      </c>
      <c r="H9794" s="14">
        <f t="shared" si="2"/>
        <v>14</v>
      </c>
      <c r="I9794" s="15">
        <f t="shared" si="3"/>
        <v>1</v>
      </c>
    </row>
    <row r="9795">
      <c r="A9795" s="8" t="str">
        <f>IFERROR(__xludf.DUMMYFUNCTION("IF('(INGESTA)Datos_consumo_datadis'!A9795&lt;&gt;"""",SPLIT('(INGESTA)Datos_consumo_datadis'!A:A,"",""),"""")"),"ES0031408323131005HX0F")</f>
        <v>ES0031408323131005HX0F</v>
      </c>
      <c r="B9795" s="17">
        <f>IFERROR(__xludf.DUMMYFUNCTION("""COMPUTED_VALUE"""),45274.0)</f>
        <v>45274</v>
      </c>
      <c r="C9795" s="13">
        <f>IFERROR(__xludf.DUMMYFUNCTION("""COMPUTED_VALUE"""),0.08333333333333333)</f>
        <v>0.08333333333</v>
      </c>
      <c r="D9795" s="8">
        <f>IFERROR(__xludf.DUMMYFUNCTION("""COMPUTED_VALUE"""),0.398)</f>
        <v>0.398</v>
      </c>
      <c r="E9795" s="8" t="str">
        <f>IFERROR(__xludf.DUMMYFUNCTION("""COMPUTED_VALUE"""),"Real")</f>
        <v>Real</v>
      </c>
      <c r="G9795" s="8">
        <f t="shared" si="1"/>
        <v>12</v>
      </c>
      <c r="H9795" s="14">
        <f t="shared" si="2"/>
        <v>14</v>
      </c>
      <c r="I9795" s="15">
        <f t="shared" si="3"/>
        <v>2</v>
      </c>
    </row>
    <row r="9796">
      <c r="A9796" s="8" t="str">
        <f>IFERROR(__xludf.DUMMYFUNCTION("IF('(INGESTA)Datos_consumo_datadis'!A9796&lt;&gt;"""",SPLIT('(INGESTA)Datos_consumo_datadis'!A:A,"",""),"""")"),"ES0031408323131005HX0F")</f>
        <v>ES0031408323131005HX0F</v>
      </c>
      <c r="B9796" s="17">
        <f>IFERROR(__xludf.DUMMYFUNCTION("""COMPUTED_VALUE"""),45274.0)</f>
        <v>45274</v>
      </c>
      <c r="C9796" s="13">
        <f>IFERROR(__xludf.DUMMYFUNCTION("""COMPUTED_VALUE"""),0.125)</f>
        <v>0.125</v>
      </c>
      <c r="D9796" s="8">
        <f>IFERROR(__xludf.DUMMYFUNCTION("""COMPUTED_VALUE"""),0.133)</f>
        <v>0.133</v>
      </c>
      <c r="E9796" s="8" t="str">
        <f>IFERROR(__xludf.DUMMYFUNCTION("""COMPUTED_VALUE"""),"Real")</f>
        <v>Real</v>
      </c>
      <c r="G9796" s="8">
        <f t="shared" si="1"/>
        <v>12</v>
      </c>
      <c r="H9796" s="14">
        <f t="shared" si="2"/>
        <v>14</v>
      </c>
      <c r="I9796" s="15">
        <f t="shared" si="3"/>
        <v>3</v>
      </c>
    </row>
    <row r="9797">
      <c r="A9797" s="8" t="str">
        <f>IFERROR(__xludf.DUMMYFUNCTION("IF('(INGESTA)Datos_consumo_datadis'!A9797&lt;&gt;"""",SPLIT('(INGESTA)Datos_consumo_datadis'!A:A,"",""),"""")"),"ES0031408323131005HX0F")</f>
        <v>ES0031408323131005HX0F</v>
      </c>
      <c r="B9797" s="17">
        <f>IFERROR(__xludf.DUMMYFUNCTION("""COMPUTED_VALUE"""),45274.0)</f>
        <v>45274</v>
      </c>
      <c r="C9797" s="13">
        <f>IFERROR(__xludf.DUMMYFUNCTION("""COMPUTED_VALUE"""),0.16666666666666666)</f>
        <v>0.1666666667</v>
      </c>
      <c r="D9797" s="8">
        <f>IFERROR(__xludf.DUMMYFUNCTION("""COMPUTED_VALUE"""),0.067)</f>
        <v>0.067</v>
      </c>
      <c r="E9797" s="8" t="str">
        <f>IFERROR(__xludf.DUMMYFUNCTION("""COMPUTED_VALUE"""),"Real")</f>
        <v>Real</v>
      </c>
      <c r="G9797" s="8">
        <f t="shared" si="1"/>
        <v>12</v>
      </c>
      <c r="H9797" s="14">
        <f t="shared" si="2"/>
        <v>14</v>
      </c>
      <c r="I9797" s="15">
        <f t="shared" si="3"/>
        <v>4</v>
      </c>
    </row>
    <row r="9798">
      <c r="A9798" s="8" t="str">
        <f>IFERROR(__xludf.DUMMYFUNCTION("IF('(INGESTA)Datos_consumo_datadis'!A9798&lt;&gt;"""",SPLIT('(INGESTA)Datos_consumo_datadis'!A:A,"",""),"""")"),"ES0031408323131005HX0F")</f>
        <v>ES0031408323131005HX0F</v>
      </c>
      <c r="B9798" s="17">
        <f>IFERROR(__xludf.DUMMYFUNCTION("""COMPUTED_VALUE"""),45274.0)</f>
        <v>45274</v>
      </c>
      <c r="C9798" s="13">
        <f>IFERROR(__xludf.DUMMYFUNCTION("""COMPUTED_VALUE"""),0.20833333333333334)</f>
        <v>0.2083333333</v>
      </c>
      <c r="D9798" s="8">
        <f>IFERROR(__xludf.DUMMYFUNCTION("""COMPUTED_VALUE"""),0.081)</f>
        <v>0.081</v>
      </c>
      <c r="E9798" s="8" t="str">
        <f>IFERROR(__xludf.DUMMYFUNCTION("""COMPUTED_VALUE"""),"Real")</f>
        <v>Real</v>
      </c>
      <c r="G9798" s="8">
        <f t="shared" si="1"/>
        <v>12</v>
      </c>
      <c r="H9798" s="14">
        <f t="shared" si="2"/>
        <v>14</v>
      </c>
      <c r="I9798" s="15">
        <f t="shared" si="3"/>
        <v>5</v>
      </c>
    </row>
    <row r="9799">
      <c r="A9799" s="8" t="str">
        <f>IFERROR(__xludf.DUMMYFUNCTION("IF('(INGESTA)Datos_consumo_datadis'!A9799&lt;&gt;"""",SPLIT('(INGESTA)Datos_consumo_datadis'!A:A,"",""),"""")"),"ES0031408323131005HX0F")</f>
        <v>ES0031408323131005HX0F</v>
      </c>
      <c r="B9799" s="17">
        <f>IFERROR(__xludf.DUMMYFUNCTION("""COMPUTED_VALUE"""),45274.0)</f>
        <v>45274</v>
      </c>
      <c r="C9799" s="13">
        <f>IFERROR(__xludf.DUMMYFUNCTION("""COMPUTED_VALUE"""),0.25)</f>
        <v>0.25</v>
      </c>
      <c r="D9799" s="8">
        <f>IFERROR(__xludf.DUMMYFUNCTION("""COMPUTED_VALUE"""),0.016)</f>
        <v>0.016</v>
      </c>
      <c r="E9799" s="8" t="str">
        <f>IFERROR(__xludf.DUMMYFUNCTION("""COMPUTED_VALUE"""),"Real")</f>
        <v>Real</v>
      </c>
      <c r="G9799" s="8">
        <f t="shared" si="1"/>
        <v>12</v>
      </c>
      <c r="H9799" s="14">
        <f t="shared" si="2"/>
        <v>14</v>
      </c>
      <c r="I9799" s="15">
        <f t="shared" si="3"/>
        <v>6</v>
      </c>
    </row>
    <row r="9800">
      <c r="A9800" s="8" t="str">
        <f>IFERROR(__xludf.DUMMYFUNCTION("IF('(INGESTA)Datos_consumo_datadis'!A9800&lt;&gt;"""",SPLIT('(INGESTA)Datos_consumo_datadis'!A:A,"",""),"""")"),"ES0031408323131005HX0F")</f>
        <v>ES0031408323131005HX0F</v>
      </c>
      <c r="B9800" s="17">
        <f>IFERROR(__xludf.DUMMYFUNCTION("""COMPUTED_VALUE"""),45274.0)</f>
        <v>45274</v>
      </c>
      <c r="C9800" s="13">
        <f>IFERROR(__xludf.DUMMYFUNCTION("""COMPUTED_VALUE"""),0.2916666666666667)</f>
        <v>0.2916666667</v>
      </c>
      <c r="D9800" s="8">
        <f>IFERROR(__xludf.DUMMYFUNCTION("""COMPUTED_VALUE"""),0.153)</f>
        <v>0.153</v>
      </c>
      <c r="E9800" s="8" t="str">
        <f>IFERROR(__xludf.DUMMYFUNCTION("""COMPUTED_VALUE"""),"Real")</f>
        <v>Real</v>
      </c>
      <c r="G9800" s="8">
        <f t="shared" si="1"/>
        <v>12</v>
      </c>
      <c r="H9800" s="14">
        <f t="shared" si="2"/>
        <v>14</v>
      </c>
      <c r="I9800" s="15">
        <f t="shared" si="3"/>
        <v>7</v>
      </c>
    </row>
    <row r="9801">
      <c r="A9801" s="8" t="str">
        <f>IFERROR(__xludf.DUMMYFUNCTION("IF('(INGESTA)Datos_consumo_datadis'!A9801&lt;&gt;"""",SPLIT('(INGESTA)Datos_consumo_datadis'!A:A,"",""),"""")"),"ES0031408323131005HX0F")</f>
        <v>ES0031408323131005HX0F</v>
      </c>
      <c r="B9801" s="17">
        <f>IFERROR(__xludf.DUMMYFUNCTION("""COMPUTED_VALUE"""),45274.0)</f>
        <v>45274</v>
      </c>
      <c r="C9801" s="13">
        <f>IFERROR(__xludf.DUMMYFUNCTION("""COMPUTED_VALUE"""),0.3333333333333333)</f>
        <v>0.3333333333</v>
      </c>
      <c r="D9801" s="8">
        <f>IFERROR(__xludf.DUMMYFUNCTION("""COMPUTED_VALUE"""),0.296)</f>
        <v>0.296</v>
      </c>
      <c r="E9801" s="8" t="str">
        <f>IFERROR(__xludf.DUMMYFUNCTION("""COMPUTED_VALUE"""),"Real")</f>
        <v>Real</v>
      </c>
      <c r="G9801" s="8">
        <f t="shared" si="1"/>
        <v>12</v>
      </c>
      <c r="H9801" s="14">
        <f t="shared" si="2"/>
        <v>14</v>
      </c>
      <c r="I9801" s="15">
        <f t="shared" si="3"/>
        <v>8</v>
      </c>
    </row>
    <row r="9802">
      <c r="A9802" s="8" t="str">
        <f>IFERROR(__xludf.DUMMYFUNCTION("IF('(INGESTA)Datos_consumo_datadis'!A9802&lt;&gt;"""",SPLIT('(INGESTA)Datos_consumo_datadis'!A:A,"",""),"""")"),"ES0031408323131005HX0F")</f>
        <v>ES0031408323131005HX0F</v>
      </c>
      <c r="B9802" s="17">
        <f>IFERROR(__xludf.DUMMYFUNCTION("""COMPUTED_VALUE"""),45274.0)</f>
        <v>45274</v>
      </c>
      <c r="C9802" s="13">
        <f>IFERROR(__xludf.DUMMYFUNCTION("""COMPUTED_VALUE"""),0.375)</f>
        <v>0.375</v>
      </c>
      <c r="D9802" s="8">
        <f>IFERROR(__xludf.DUMMYFUNCTION("""COMPUTED_VALUE"""),0.089)</f>
        <v>0.089</v>
      </c>
      <c r="E9802" s="8" t="str">
        <f>IFERROR(__xludf.DUMMYFUNCTION("""COMPUTED_VALUE"""),"Real")</f>
        <v>Real</v>
      </c>
      <c r="G9802" s="8">
        <f t="shared" si="1"/>
        <v>12</v>
      </c>
      <c r="H9802" s="14">
        <f t="shared" si="2"/>
        <v>14</v>
      </c>
      <c r="I9802" s="15">
        <f t="shared" si="3"/>
        <v>9</v>
      </c>
    </row>
    <row r="9803">
      <c r="A9803" s="8" t="str">
        <f>IFERROR(__xludf.DUMMYFUNCTION("IF('(INGESTA)Datos_consumo_datadis'!A9803&lt;&gt;"""",SPLIT('(INGESTA)Datos_consumo_datadis'!A:A,"",""),"""")"),"ES0031408323131005HX0F")</f>
        <v>ES0031408323131005HX0F</v>
      </c>
      <c r="B9803" s="17">
        <f>IFERROR(__xludf.DUMMYFUNCTION("""COMPUTED_VALUE"""),45274.0)</f>
        <v>45274</v>
      </c>
      <c r="C9803" s="13">
        <f>IFERROR(__xludf.DUMMYFUNCTION("""COMPUTED_VALUE"""),0.4166666666666667)</f>
        <v>0.4166666667</v>
      </c>
      <c r="D9803" s="8">
        <f>IFERROR(__xludf.DUMMYFUNCTION("""COMPUTED_VALUE"""),0.015)</f>
        <v>0.015</v>
      </c>
      <c r="E9803" s="8" t="str">
        <f>IFERROR(__xludf.DUMMYFUNCTION("""COMPUTED_VALUE"""),"Real")</f>
        <v>Real</v>
      </c>
      <c r="G9803" s="8">
        <f t="shared" si="1"/>
        <v>12</v>
      </c>
      <c r="H9803" s="14">
        <f t="shared" si="2"/>
        <v>14</v>
      </c>
      <c r="I9803" s="15">
        <f t="shared" si="3"/>
        <v>10</v>
      </c>
    </row>
    <row r="9804">
      <c r="A9804" s="8" t="str">
        <f>IFERROR(__xludf.DUMMYFUNCTION("IF('(INGESTA)Datos_consumo_datadis'!A9804&lt;&gt;"""",SPLIT('(INGESTA)Datos_consumo_datadis'!A:A,"",""),"""")"),"ES0031408323131005HX0F")</f>
        <v>ES0031408323131005HX0F</v>
      </c>
      <c r="B9804" s="17">
        <f>IFERROR(__xludf.DUMMYFUNCTION("""COMPUTED_VALUE"""),45274.0)</f>
        <v>45274</v>
      </c>
      <c r="C9804" s="13">
        <f>IFERROR(__xludf.DUMMYFUNCTION("""COMPUTED_VALUE"""),0.4583333333333333)</f>
        <v>0.4583333333</v>
      </c>
      <c r="D9804" s="8">
        <f>IFERROR(__xludf.DUMMYFUNCTION("""COMPUTED_VALUE"""),0.036)</f>
        <v>0.036</v>
      </c>
      <c r="E9804" s="8" t="str">
        <f>IFERROR(__xludf.DUMMYFUNCTION("""COMPUTED_VALUE"""),"Real")</f>
        <v>Real</v>
      </c>
      <c r="G9804" s="8">
        <f t="shared" si="1"/>
        <v>12</v>
      </c>
      <c r="H9804" s="14">
        <f t="shared" si="2"/>
        <v>14</v>
      </c>
      <c r="I9804" s="15">
        <f t="shared" si="3"/>
        <v>11</v>
      </c>
    </row>
    <row r="9805">
      <c r="A9805" s="8" t="str">
        <f>IFERROR(__xludf.DUMMYFUNCTION("IF('(INGESTA)Datos_consumo_datadis'!A9805&lt;&gt;"""",SPLIT('(INGESTA)Datos_consumo_datadis'!A:A,"",""),"""")"),"ES0031408323131005HX0F")</f>
        <v>ES0031408323131005HX0F</v>
      </c>
      <c r="B9805" s="17">
        <f>IFERROR(__xludf.DUMMYFUNCTION("""COMPUTED_VALUE"""),45274.0)</f>
        <v>45274</v>
      </c>
      <c r="C9805" s="13">
        <f>IFERROR(__xludf.DUMMYFUNCTION("""COMPUTED_VALUE"""),0.5)</f>
        <v>0.5</v>
      </c>
      <c r="D9805" s="8">
        <f>IFERROR(__xludf.DUMMYFUNCTION("""COMPUTED_VALUE"""),0.105)</f>
        <v>0.105</v>
      </c>
      <c r="E9805" s="8" t="str">
        <f>IFERROR(__xludf.DUMMYFUNCTION("""COMPUTED_VALUE"""),"Real")</f>
        <v>Real</v>
      </c>
      <c r="G9805" s="8">
        <f t="shared" si="1"/>
        <v>12</v>
      </c>
      <c r="H9805" s="14">
        <f t="shared" si="2"/>
        <v>14</v>
      </c>
      <c r="I9805" s="15">
        <f t="shared" si="3"/>
        <v>12</v>
      </c>
    </row>
    <row r="9806">
      <c r="A9806" s="8" t="str">
        <f>IFERROR(__xludf.DUMMYFUNCTION("IF('(INGESTA)Datos_consumo_datadis'!A9806&lt;&gt;"""",SPLIT('(INGESTA)Datos_consumo_datadis'!A:A,"",""),"""")"),"ES0031408323131005HX0F")</f>
        <v>ES0031408323131005HX0F</v>
      </c>
      <c r="B9806" s="17">
        <f>IFERROR(__xludf.DUMMYFUNCTION("""COMPUTED_VALUE"""),45274.0)</f>
        <v>45274</v>
      </c>
      <c r="C9806" s="13">
        <f>IFERROR(__xludf.DUMMYFUNCTION("""COMPUTED_VALUE"""),0.5416666666666666)</f>
        <v>0.5416666667</v>
      </c>
      <c r="D9806" s="8">
        <f>IFERROR(__xludf.DUMMYFUNCTION("""COMPUTED_VALUE"""),0.348)</f>
        <v>0.348</v>
      </c>
      <c r="E9806" s="8" t="str">
        <f>IFERROR(__xludf.DUMMYFUNCTION("""COMPUTED_VALUE"""),"Real")</f>
        <v>Real</v>
      </c>
      <c r="G9806" s="8">
        <f t="shared" si="1"/>
        <v>12</v>
      </c>
      <c r="H9806" s="14">
        <f t="shared" si="2"/>
        <v>14</v>
      </c>
      <c r="I9806" s="15">
        <f t="shared" si="3"/>
        <v>13</v>
      </c>
    </row>
    <row r="9807">
      <c r="A9807" s="8" t="str">
        <f>IFERROR(__xludf.DUMMYFUNCTION("IF('(INGESTA)Datos_consumo_datadis'!A9807&lt;&gt;"""",SPLIT('(INGESTA)Datos_consumo_datadis'!A:A,"",""),"""")"),"ES0031408323131005HX0F")</f>
        <v>ES0031408323131005HX0F</v>
      </c>
      <c r="B9807" s="17">
        <f>IFERROR(__xludf.DUMMYFUNCTION("""COMPUTED_VALUE"""),45274.0)</f>
        <v>45274</v>
      </c>
      <c r="C9807" s="13">
        <f>IFERROR(__xludf.DUMMYFUNCTION("""COMPUTED_VALUE"""),0.5833333333333334)</f>
        <v>0.5833333333</v>
      </c>
      <c r="D9807" s="8">
        <f>IFERROR(__xludf.DUMMYFUNCTION("""COMPUTED_VALUE"""),0.066)</f>
        <v>0.066</v>
      </c>
      <c r="E9807" s="8" t="str">
        <f>IFERROR(__xludf.DUMMYFUNCTION("""COMPUTED_VALUE"""),"Real")</f>
        <v>Real</v>
      </c>
      <c r="G9807" s="8">
        <f t="shared" si="1"/>
        <v>12</v>
      </c>
      <c r="H9807" s="14">
        <f t="shared" si="2"/>
        <v>14</v>
      </c>
      <c r="I9807" s="15">
        <f t="shared" si="3"/>
        <v>14</v>
      </c>
    </row>
    <row r="9808">
      <c r="A9808" s="8" t="str">
        <f>IFERROR(__xludf.DUMMYFUNCTION("IF('(INGESTA)Datos_consumo_datadis'!A9808&lt;&gt;"""",SPLIT('(INGESTA)Datos_consumo_datadis'!A:A,"",""),"""")"),"ES0031408323131005HX0F")</f>
        <v>ES0031408323131005HX0F</v>
      </c>
      <c r="B9808" s="17">
        <f>IFERROR(__xludf.DUMMYFUNCTION("""COMPUTED_VALUE"""),45274.0)</f>
        <v>45274</v>
      </c>
      <c r="C9808" s="13">
        <f>IFERROR(__xludf.DUMMYFUNCTION("""COMPUTED_VALUE"""),0.625)</f>
        <v>0.625</v>
      </c>
      <c r="D9808" s="8">
        <f>IFERROR(__xludf.DUMMYFUNCTION("""COMPUTED_VALUE"""),0.172)</f>
        <v>0.172</v>
      </c>
      <c r="E9808" s="8" t="str">
        <f>IFERROR(__xludf.DUMMYFUNCTION("""COMPUTED_VALUE"""),"Real")</f>
        <v>Real</v>
      </c>
      <c r="G9808" s="8">
        <f t="shared" si="1"/>
        <v>12</v>
      </c>
      <c r="H9808" s="14">
        <f t="shared" si="2"/>
        <v>14</v>
      </c>
      <c r="I9808" s="15">
        <f t="shared" si="3"/>
        <v>15</v>
      </c>
    </row>
    <row r="9809">
      <c r="A9809" s="8" t="str">
        <f>IFERROR(__xludf.DUMMYFUNCTION("IF('(INGESTA)Datos_consumo_datadis'!A9809&lt;&gt;"""",SPLIT('(INGESTA)Datos_consumo_datadis'!A:A,"",""),"""")"),"ES0031408323131005HX0F")</f>
        <v>ES0031408323131005HX0F</v>
      </c>
      <c r="B9809" s="17">
        <f>IFERROR(__xludf.DUMMYFUNCTION("""COMPUTED_VALUE"""),45274.0)</f>
        <v>45274</v>
      </c>
      <c r="C9809" s="13">
        <f>IFERROR(__xludf.DUMMYFUNCTION("""COMPUTED_VALUE"""),0.6666666666666666)</f>
        <v>0.6666666667</v>
      </c>
      <c r="D9809" s="8">
        <f>IFERROR(__xludf.DUMMYFUNCTION("""COMPUTED_VALUE"""),0.113)</f>
        <v>0.113</v>
      </c>
      <c r="E9809" s="8" t="str">
        <f>IFERROR(__xludf.DUMMYFUNCTION("""COMPUTED_VALUE"""),"Real")</f>
        <v>Real</v>
      </c>
      <c r="G9809" s="8">
        <f t="shared" si="1"/>
        <v>12</v>
      </c>
      <c r="H9809" s="14">
        <f t="shared" si="2"/>
        <v>14</v>
      </c>
      <c r="I9809" s="15">
        <f t="shared" si="3"/>
        <v>16</v>
      </c>
    </row>
    <row r="9810">
      <c r="A9810" s="8" t="str">
        <f>IFERROR(__xludf.DUMMYFUNCTION("IF('(INGESTA)Datos_consumo_datadis'!A9810&lt;&gt;"""",SPLIT('(INGESTA)Datos_consumo_datadis'!A:A,"",""),"""")"),"ES0031408323131005HX0F")</f>
        <v>ES0031408323131005HX0F</v>
      </c>
      <c r="B9810" s="17">
        <f>IFERROR(__xludf.DUMMYFUNCTION("""COMPUTED_VALUE"""),45274.0)</f>
        <v>45274</v>
      </c>
      <c r="C9810" s="13">
        <f>IFERROR(__xludf.DUMMYFUNCTION("""COMPUTED_VALUE"""),0.7083333333333334)</f>
        <v>0.7083333333</v>
      </c>
      <c r="D9810" s="8">
        <f>IFERROR(__xludf.DUMMYFUNCTION("""COMPUTED_VALUE"""),0.102)</f>
        <v>0.102</v>
      </c>
      <c r="E9810" s="8" t="str">
        <f>IFERROR(__xludf.DUMMYFUNCTION("""COMPUTED_VALUE"""),"Real")</f>
        <v>Real</v>
      </c>
      <c r="G9810" s="8">
        <f t="shared" si="1"/>
        <v>12</v>
      </c>
      <c r="H9810" s="14">
        <f t="shared" si="2"/>
        <v>14</v>
      </c>
      <c r="I9810" s="15">
        <f t="shared" si="3"/>
        <v>17</v>
      </c>
    </row>
    <row r="9811">
      <c r="A9811" s="8" t="str">
        <f>IFERROR(__xludf.DUMMYFUNCTION("IF('(INGESTA)Datos_consumo_datadis'!A9811&lt;&gt;"""",SPLIT('(INGESTA)Datos_consumo_datadis'!A:A,"",""),"""")"),"ES0031408323131005HX0F")</f>
        <v>ES0031408323131005HX0F</v>
      </c>
      <c r="B9811" s="17">
        <f>IFERROR(__xludf.DUMMYFUNCTION("""COMPUTED_VALUE"""),45274.0)</f>
        <v>45274</v>
      </c>
      <c r="C9811" s="13">
        <f>IFERROR(__xludf.DUMMYFUNCTION("""COMPUTED_VALUE"""),0.75)</f>
        <v>0.75</v>
      </c>
      <c r="D9811" s="8">
        <f>IFERROR(__xludf.DUMMYFUNCTION("""COMPUTED_VALUE"""),0.049)</f>
        <v>0.049</v>
      </c>
      <c r="E9811" s="8" t="str">
        <f>IFERROR(__xludf.DUMMYFUNCTION("""COMPUTED_VALUE"""),"Real")</f>
        <v>Real</v>
      </c>
      <c r="G9811" s="8">
        <f t="shared" si="1"/>
        <v>12</v>
      </c>
      <c r="H9811" s="14">
        <f t="shared" si="2"/>
        <v>14</v>
      </c>
      <c r="I9811" s="15">
        <f t="shared" si="3"/>
        <v>18</v>
      </c>
    </row>
    <row r="9812">
      <c r="A9812" s="8" t="str">
        <f>IFERROR(__xludf.DUMMYFUNCTION("IF('(INGESTA)Datos_consumo_datadis'!A9812&lt;&gt;"""",SPLIT('(INGESTA)Datos_consumo_datadis'!A:A,"",""),"""")"),"ES0031408323131005HX0F")</f>
        <v>ES0031408323131005HX0F</v>
      </c>
      <c r="B9812" s="17">
        <f>IFERROR(__xludf.DUMMYFUNCTION("""COMPUTED_VALUE"""),45274.0)</f>
        <v>45274</v>
      </c>
      <c r="C9812" s="13">
        <f>IFERROR(__xludf.DUMMYFUNCTION("""COMPUTED_VALUE"""),0.7916666666666666)</f>
        <v>0.7916666667</v>
      </c>
      <c r="D9812" s="8">
        <f>IFERROR(__xludf.DUMMYFUNCTION("""COMPUTED_VALUE"""),0.099)</f>
        <v>0.099</v>
      </c>
      <c r="E9812" s="8" t="str">
        <f>IFERROR(__xludf.DUMMYFUNCTION("""COMPUTED_VALUE"""),"Real")</f>
        <v>Real</v>
      </c>
      <c r="G9812" s="8">
        <f t="shared" si="1"/>
        <v>12</v>
      </c>
      <c r="H9812" s="14">
        <f t="shared" si="2"/>
        <v>14</v>
      </c>
      <c r="I9812" s="15">
        <f t="shared" si="3"/>
        <v>19</v>
      </c>
    </row>
    <row r="9813">
      <c r="A9813" s="8" t="str">
        <f>IFERROR(__xludf.DUMMYFUNCTION("IF('(INGESTA)Datos_consumo_datadis'!A9813&lt;&gt;"""",SPLIT('(INGESTA)Datos_consumo_datadis'!A:A,"",""),"""")"),"ES0031408323131005HX0F")</f>
        <v>ES0031408323131005HX0F</v>
      </c>
      <c r="B9813" s="17">
        <f>IFERROR(__xludf.DUMMYFUNCTION("""COMPUTED_VALUE"""),45274.0)</f>
        <v>45274</v>
      </c>
      <c r="C9813" s="13">
        <f>IFERROR(__xludf.DUMMYFUNCTION("""COMPUTED_VALUE"""),0.8333333333333334)</f>
        <v>0.8333333333</v>
      </c>
      <c r="D9813" s="8">
        <f>IFERROR(__xludf.DUMMYFUNCTION("""COMPUTED_VALUE"""),0.309)</f>
        <v>0.309</v>
      </c>
      <c r="E9813" s="8" t="str">
        <f>IFERROR(__xludf.DUMMYFUNCTION("""COMPUTED_VALUE"""),"Real")</f>
        <v>Real</v>
      </c>
      <c r="G9813" s="8">
        <f t="shared" si="1"/>
        <v>12</v>
      </c>
      <c r="H9813" s="14">
        <f t="shared" si="2"/>
        <v>14</v>
      </c>
      <c r="I9813" s="15">
        <f t="shared" si="3"/>
        <v>20</v>
      </c>
    </row>
    <row r="9814">
      <c r="A9814" s="8" t="str">
        <f>IFERROR(__xludf.DUMMYFUNCTION("IF('(INGESTA)Datos_consumo_datadis'!A9814&lt;&gt;"""",SPLIT('(INGESTA)Datos_consumo_datadis'!A:A,"",""),"""")"),"ES0031408323131005HX0F")</f>
        <v>ES0031408323131005HX0F</v>
      </c>
      <c r="B9814" s="17">
        <f>IFERROR(__xludf.DUMMYFUNCTION("""COMPUTED_VALUE"""),45274.0)</f>
        <v>45274</v>
      </c>
      <c r="C9814" s="13">
        <f>IFERROR(__xludf.DUMMYFUNCTION("""COMPUTED_VALUE"""),0.875)</f>
        <v>0.875</v>
      </c>
      <c r="D9814" s="8">
        <f>IFERROR(__xludf.DUMMYFUNCTION("""COMPUTED_VALUE"""),0.064)</f>
        <v>0.064</v>
      </c>
      <c r="E9814" s="8" t="str">
        <f>IFERROR(__xludf.DUMMYFUNCTION("""COMPUTED_VALUE"""),"Real")</f>
        <v>Real</v>
      </c>
      <c r="G9814" s="8">
        <f t="shared" si="1"/>
        <v>12</v>
      </c>
      <c r="H9814" s="14">
        <f t="shared" si="2"/>
        <v>14</v>
      </c>
      <c r="I9814" s="15">
        <f t="shared" si="3"/>
        <v>21</v>
      </c>
    </row>
    <row r="9815">
      <c r="A9815" s="8" t="str">
        <f>IFERROR(__xludf.DUMMYFUNCTION("IF('(INGESTA)Datos_consumo_datadis'!A9815&lt;&gt;"""",SPLIT('(INGESTA)Datos_consumo_datadis'!A:A,"",""),"""")"),"ES0031408323131005HX0F")</f>
        <v>ES0031408323131005HX0F</v>
      </c>
      <c r="B9815" s="17">
        <f>IFERROR(__xludf.DUMMYFUNCTION("""COMPUTED_VALUE"""),45274.0)</f>
        <v>45274</v>
      </c>
      <c r="C9815" s="13">
        <f>IFERROR(__xludf.DUMMYFUNCTION("""COMPUTED_VALUE"""),0.9166666666666666)</f>
        <v>0.9166666667</v>
      </c>
      <c r="D9815" s="8">
        <f>IFERROR(__xludf.DUMMYFUNCTION("""COMPUTED_VALUE"""),0.075)</f>
        <v>0.075</v>
      </c>
      <c r="E9815" s="8" t="str">
        <f>IFERROR(__xludf.DUMMYFUNCTION("""COMPUTED_VALUE"""),"Real")</f>
        <v>Real</v>
      </c>
      <c r="G9815" s="8">
        <f t="shared" si="1"/>
        <v>12</v>
      </c>
      <c r="H9815" s="14">
        <f t="shared" si="2"/>
        <v>14</v>
      </c>
      <c r="I9815" s="15">
        <f t="shared" si="3"/>
        <v>22</v>
      </c>
    </row>
    <row r="9816">
      <c r="A9816" s="8" t="str">
        <f>IFERROR(__xludf.DUMMYFUNCTION("IF('(INGESTA)Datos_consumo_datadis'!A9816&lt;&gt;"""",SPLIT('(INGESTA)Datos_consumo_datadis'!A:A,"",""),"""")"),"ES0031408323131005HX0F")</f>
        <v>ES0031408323131005HX0F</v>
      </c>
      <c r="B9816" s="17">
        <f>IFERROR(__xludf.DUMMYFUNCTION("""COMPUTED_VALUE"""),45274.0)</f>
        <v>45274</v>
      </c>
      <c r="C9816" s="13">
        <f>IFERROR(__xludf.DUMMYFUNCTION("""COMPUTED_VALUE"""),0.9583333333333334)</f>
        <v>0.9583333333</v>
      </c>
      <c r="D9816" s="8">
        <f>IFERROR(__xludf.DUMMYFUNCTION("""COMPUTED_VALUE"""),0.024)</f>
        <v>0.024</v>
      </c>
      <c r="E9816" s="8" t="str">
        <f>IFERROR(__xludf.DUMMYFUNCTION("""COMPUTED_VALUE"""),"Real")</f>
        <v>Real</v>
      </c>
      <c r="G9816" s="8">
        <f t="shared" si="1"/>
        <v>12</v>
      </c>
      <c r="H9816" s="14">
        <f t="shared" si="2"/>
        <v>14</v>
      </c>
      <c r="I9816" s="15">
        <f t="shared" si="3"/>
        <v>23</v>
      </c>
    </row>
    <row r="9817">
      <c r="A9817" s="8" t="str">
        <f>IFERROR(__xludf.DUMMYFUNCTION("IF('(INGESTA)Datos_consumo_datadis'!A9817&lt;&gt;"""",SPLIT('(INGESTA)Datos_consumo_datadis'!A:A,"",""),"""")"),"ES0031408323131005HX0F")</f>
        <v>ES0031408323131005HX0F</v>
      </c>
      <c r="B9817" s="17">
        <f>IFERROR(__xludf.DUMMYFUNCTION("""COMPUTED_VALUE"""),45274.0)</f>
        <v>45274</v>
      </c>
      <c r="C9817" s="16">
        <f>IFERROR(__xludf.DUMMYFUNCTION("""COMPUTED_VALUE"""),1.0)</f>
        <v>1</v>
      </c>
      <c r="D9817" s="8">
        <f>IFERROR(__xludf.DUMMYFUNCTION("""COMPUTED_VALUE"""),0.117)</f>
        <v>0.117</v>
      </c>
      <c r="E9817" s="8" t="str">
        <f>IFERROR(__xludf.DUMMYFUNCTION("""COMPUTED_VALUE"""),"Real")</f>
        <v>Real</v>
      </c>
      <c r="G9817" s="8">
        <f t="shared" si="1"/>
        <v>12</v>
      </c>
      <c r="H9817" s="14">
        <f t="shared" si="2"/>
        <v>14</v>
      </c>
      <c r="I9817" s="15">
        <f t="shared" si="3"/>
        <v>0</v>
      </c>
    </row>
    <row r="9818">
      <c r="A9818" s="8" t="str">
        <f>IFERROR(__xludf.DUMMYFUNCTION("IF('(INGESTA)Datos_consumo_datadis'!A9818&lt;&gt;"""",SPLIT('(INGESTA)Datos_consumo_datadis'!A:A,"",""),"""")"),"ES0031408323131005HX0F")</f>
        <v>ES0031408323131005HX0F</v>
      </c>
      <c r="B9818" s="17">
        <f>IFERROR(__xludf.DUMMYFUNCTION("""COMPUTED_VALUE"""),45275.0)</f>
        <v>45275</v>
      </c>
      <c r="C9818" s="13">
        <f>IFERROR(__xludf.DUMMYFUNCTION("""COMPUTED_VALUE"""),0.041666666666666664)</f>
        <v>0.04166666667</v>
      </c>
      <c r="D9818" s="8">
        <f>IFERROR(__xludf.DUMMYFUNCTION("""COMPUTED_VALUE"""),0.098)</f>
        <v>0.098</v>
      </c>
      <c r="E9818" s="8" t="str">
        <f>IFERROR(__xludf.DUMMYFUNCTION("""COMPUTED_VALUE"""),"Real")</f>
        <v>Real</v>
      </c>
      <c r="G9818" s="8">
        <f t="shared" si="1"/>
        <v>12</v>
      </c>
      <c r="H9818" s="14">
        <f t="shared" si="2"/>
        <v>15</v>
      </c>
      <c r="I9818" s="15">
        <f t="shared" si="3"/>
        <v>1</v>
      </c>
    </row>
    <row r="9819">
      <c r="A9819" s="8" t="str">
        <f>IFERROR(__xludf.DUMMYFUNCTION("IF('(INGESTA)Datos_consumo_datadis'!A9819&lt;&gt;"""",SPLIT('(INGESTA)Datos_consumo_datadis'!A:A,"",""),"""")"),"ES0031408323131005HX0F")</f>
        <v>ES0031408323131005HX0F</v>
      </c>
      <c r="B9819" s="17">
        <f>IFERROR(__xludf.DUMMYFUNCTION("""COMPUTED_VALUE"""),45275.0)</f>
        <v>45275</v>
      </c>
      <c r="C9819" s="13">
        <f>IFERROR(__xludf.DUMMYFUNCTION("""COMPUTED_VALUE"""),0.08333333333333333)</f>
        <v>0.08333333333</v>
      </c>
      <c r="D9819" s="8">
        <f>IFERROR(__xludf.DUMMYFUNCTION("""COMPUTED_VALUE"""),0.378)</f>
        <v>0.378</v>
      </c>
      <c r="E9819" s="8" t="str">
        <f>IFERROR(__xludf.DUMMYFUNCTION("""COMPUTED_VALUE"""),"Real")</f>
        <v>Real</v>
      </c>
      <c r="G9819" s="8">
        <f t="shared" si="1"/>
        <v>12</v>
      </c>
      <c r="H9819" s="14">
        <f t="shared" si="2"/>
        <v>15</v>
      </c>
      <c r="I9819" s="15">
        <f t="shared" si="3"/>
        <v>2</v>
      </c>
    </row>
    <row r="9820">
      <c r="A9820" s="8" t="str">
        <f>IFERROR(__xludf.DUMMYFUNCTION("IF('(INGESTA)Datos_consumo_datadis'!A9820&lt;&gt;"""",SPLIT('(INGESTA)Datos_consumo_datadis'!A:A,"",""),"""")"),"ES0031408323131005HX0F")</f>
        <v>ES0031408323131005HX0F</v>
      </c>
      <c r="B9820" s="17">
        <f>IFERROR(__xludf.DUMMYFUNCTION("""COMPUTED_VALUE"""),45275.0)</f>
        <v>45275</v>
      </c>
      <c r="C9820" s="13">
        <f>IFERROR(__xludf.DUMMYFUNCTION("""COMPUTED_VALUE"""),0.125)</f>
        <v>0.125</v>
      </c>
      <c r="D9820" s="8">
        <f>IFERROR(__xludf.DUMMYFUNCTION("""COMPUTED_VALUE"""),0.051)</f>
        <v>0.051</v>
      </c>
      <c r="E9820" s="8" t="str">
        <f>IFERROR(__xludf.DUMMYFUNCTION("""COMPUTED_VALUE"""),"Real")</f>
        <v>Real</v>
      </c>
      <c r="G9820" s="8">
        <f t="shared" si="1"/>
        <v>12</v>
      </c>
      <c r="H9820" s="14">
        <f t="shared" si="2"/>
        <v>15</v>
      </c>
      <c r="I9820" s="15">
        <f t="shared" si="3"/>
        <v>3</v>
      </c>
    </row>
    <row r="9821">
      <c r="A9821" s="8" t="str">
        <f>IFERROR(__xludf.DUMMYFUNCTION("IF('(INGESTA)Datos_consumo_datadis'!A9821&lt;&gt;"""",SPLIT('(INGESTA)Datos_consumo_datadis'!A:A,"",""),"""")"),"ES0031408323131005HX0F")</f>
        <v>ES0031408323131005HX0F</v>
      </c>
      <c r="B9821" s="17">
        <f>IFERROR(__xludf.DUMMYFUNCTION("""COMPUTED_VALUE"""),45275.0)</f>
        <v>45275</v>
      </c>
      <c r="C9821" s="13">
        <f>IFERROR(__xludf.DUMMYFUNCTION("""COMPUTED_VALUE"""),0.16666666666666666)</f>
        <v>0.1666666667</v>
      </c>
      <c r="D9821" s="8">
        <f>IFERROR(__xludf.DUMMYFUNCTION("""COMPUTED_VALUE"""),0.028)</f>
        <v>0.028</v>
      </c>
      <c r="E9821" s="8" t="str">
        <f>IFERROR(__xludf.DUMMYFUNCTION("""COMPUTED_VALUE"""),"Real")</f>
        <v>Real</v>
      </c>
      <c r="G9821" s="8">
        <f t="shared" si="1"/>
        <v>12</v>
      </c>
      <c r="H9821" s="14">
        <f t="shared" si="2"/>
        <v>15</v>
      </c>
      <c r="I9821" s="15">
        <f t="shared" si="3"/>
        <v>4</v>
      </c>
    </row>
    <row r="9822">
      <c r="A9822" s="8" t="str">
        <f>IFERROR(__xludf.DUMMYFUNCTION("IF('(INGESTA)Datos_consumo_datadis'!A9822&lt;&gt;"""",SPLIT('(INGESTA)Datos_consumo_datadis'!A:A,"",""),"""")"),"ES0031408323131005HX0F")</f>
        <v>ES0031408323131005HX0F</v>
      </c>
      <c r="B9822" s="17">
        <f>IFERROR(__xludf.DUMMYFUNCTION("""COMPUTED_VALUE"""),45275.0)</f>
        <v>45275</v>
      </c>
      <c r="C9822" s="13">
        <f>IFERROR(__xludf.DUMMYFUNCTION("""COMPUTED_VALUE"""),0.20833333333333334)</f>
        <v>0.2083333333</v>
      </c>
      <c r="D9822" s="8">
        <f>IFERROR(__xludf.DUMMYFUNCTION("""COMPUTED_VALUE"""),0.098)</f>
        <v>0.098</v>
      </c>
      <c r="E9822" s="8" t="str">
        <f>IFERROR(__xludf.DUMMYFUNCTION("""COMPUTED_VALUE"""),"Real")</f>
        <v>Real</v>
      </c>
      <c r="G9822" s="8">
        <f t="shared" si="1"/>
        <v>12</v>
      </c>
      <c r="H9822" s="14">
        <f t="shared" si="2"/>
        <v>15</v>
      </c>
      <c r="I9822" s="15">
        <f t="shared" si="3"/>
        <v>5</v>
      </c>
    </row>
    <row r="9823">
      <c r="A9823" s="8" t="str">
        <f>IFERROR(__xludf.DUMMYFUNCTION("IF('(INGESTA)Datos_consumo_datadis'!A9823&lt;&gt;"""",SPLIT('(INGESTA)Datos_consumo_datadis'!A:A,"",""),"""")"),"ES0031408323131005HX0F")</f>
        <v>ES0031408323131005HX0F</v>
      </c>
      <c r="B9823" s="17">
        <f>IFERROR(__xludf.DUMMYFUNCTION("""COMPUTED_VALUE"""),45275.0)</f>
        <v>45275</v>
      </c>
      <c r="C9823" s="13">
        <f>IFERROR(__xludf.DUMMYFUNCTION("""COMPUTED_VALUE"""),0.25)</f>
        <v>0.25</v>
      </c>
      <c r="D9823" s="8">
        <f>IFERROR(__xludf.DUMMYFUNCTION("""COMPUTED_VALUE"""),0.06)</f>
        <v>0.06</v>
      </c>
      <c r="E9823" s="8" t="str">
        <f>IFERROR(__xludf.DUMMYFUNCTION("""COMPUTED_VALUE"""),"Real")</f>
        <v>Real</v>
      </c>
      <c r="G9823" s="8">
        <f t="shared" si="1"/>
        <v>12</v>
      </c>
      <c r="H9823" s="14">
        <f t="shared" si="2"/>
        <v>15</v>
      </c>
      <c r="I9823" s="15">
        <f t="shared" si="3"/>
        <v>6</v>
      </c>
    </row>
    <row r="9824">
      <c r="A9824" s="8" t="str">
        <f>IFERROR(__xludf.DUMMYFUNCTION("IF('(INGESTA)Datos_consumo_datadis'!A9824&lt;&gt;"""",SPLIT('(INGESTA)Datos_consumo_datadis'!A:A,"",""),"""")"),"ES0031408323131005HX0F")</f>
        <v>ES0031408323131005HX0F</v>
      </c>
      <c r="B9824" s="17">
        <f>IFERROR(__xludf.DUMMYFUNCTION("""COMPUTED_VALUE"""),45275.0)</f>
        <v>45275</v>
      </c>
      <c r="C9824" s="13">
        <f>IFERROR(__xludf.DUMMYFUNCTION("""COMPUTED_VALUE"""),0.2916666666666667)</f>
        <v>0.2916666667</v>
      </c>
      <c r="D9824" s="8">
        <f>IFERROR(__xludf.DUMMYFUNCTION("""COMPUTED_VALUE"""),0.042)</f>
        <v>0.042</v>
      </c>
      <c r="E9824" s="8" t="str">
        <f>IFERROR(__xludf.DUMMYFUNCTION("""COMPUTED_VALUE"""),"Real")</f>
        <v>Real</v>
      </c>
      <c r="G9824" s="8">
        <f t="shared" si="1"/>
        <v>12</v>
      </c>
      <c r="H9824" s="14">
        <f t="shared" si="2"/>
        <v>15</v>
      </c>
      <c r="I9824" s="15">
        <f t="shared" si="3"/>
        <v>7</v>
      </c>
    </row>
    <row r="9825">
      <c r="A9825" s="8" t="str">
        <f>IFERROR(__xludf.DUMMYFUNCTION("IF('(INGESTA)Datos_consumo_datadis'!A9825&lt;&gt;"""",SPLIT('(INGESTA)Datos_consumo_datadis'!A:A,"",""),"""")"),"ES0031408323131005HX0F")</f>
        <v>ES0031408323131005HX0F</v>
      </c>
      <c r="B9825" s="17">
        <f>IFERROR(__xludf.DUMMYFUNCTION("""COMPUTED_VALUE"""),45275.0)</f>
        <v>45275</v>
      </c>
      <c r="C9825" s="13">
        <f>IFERROR(__xludf.DUMMYFUNCTION("""COMPUTED_VALUE"""),0.3333333333333333)</f>
        <v>0.3333333333</v>
      </c>
      <c r="D9825" s="8">
        <f>IFERROR(__xludf.DUMMYFUNCTION("""COMPUTED_VALUE"""),0.356)</f>
        <v>0.356</v>
      </c>
      <c r="E9825" s="8" t="str">
        <f>IFERROR(__xludf.DUMMYFUNCTION("""COMPUTED_VALUE"""),"Real")</f>
        <v>Real</v>
      </c>
      <c r="G9825" s="8">
        <f t="shared" si="1"/>
        <v>12</v>
      </c>
      <c r="H9825" s="14">
        <f t="shared" si="2"/>
        <v>15</v>
      </c>
      <c r="I9825" s="15">
        <f t="shared" si="3"/>
        <v>8</v>
      </c>
    </row>
    <row r="9826">
      <c r="A9826" s="8" t="str">
        <f>IFERROR(__xludf.DUMMYFUNCTION("IF('(INGESTA)Datos_consumo_datadis'!A9826&lt;&gt;"""",SPLIT('(INGESTA)Datos_consumo_datadis'!A:A,"",""),"""")"),"ES0031408323131005HX0F")</f>
        <v>ES0031408323131005HX0F</v>
      </c>
      <c r="B9826" s="17">
        <f>IFERROR(__xludf.DUMMYFUNCTION("""COMPUTED_VALUE"""),45275.0)</f>
        <v>45275</v>
      </c>
      <c r="C9826" s="13">
        <f>IFERROR(__xludf.DUMMYFUNCTION("""COMPUTED_VALUE"""),0.375)</f>
        <v>0.375</v>
      </c>
      <c r="D9826" s="8">
        <f>IFERROR(__xludf.DUMMYFUNCTION("""COMPUTED_VALUE"""),0.107)</f>
        <v>0.107</v>
      </c>
      <c r="E9826" s="8" t="str">
        <f>IFERROR(__xludf.DUMMYFUNCTION("""COMPUTED_VALUE"""),"Real")</f>
        <v>Real</v>
      </c>
      <c r="G9826" s="8">
        <f t="shared" si="1"/>
        <v>12</v>
      </c>
      <c r="H9826" s="14">
        <f t="shared" si="2"/>
        <v>15</v>
      </c>
      <c r="I9826" s="15">
        <f t="shared" si="3"/>
        <v>9</v>
      </c>
    </row>
    <row r="9827">
      <c r="A9827" s="8" t="str">
        <f>IFERROR(__xludf.DUMMYFUNCTION("IF('(INGESTA)Datos_consumo_datadis'!A9827&lt;&gt;"""",SPLIT('(INGESTA)Datos_consumo_datadis'!A:A,"",""),"""")"),"ES0031408323131005HX0F")</f>
        <v>ES0031408323131005HX0F</v>
      </c>
      <c r="B9827" s="17">
        <f>IFERROR(__xludf.DUMMYFUNCTION("""COMPUTED_VALUE"""),45275.0)</f>
        <v>45275</v>
      </c>
      <c r="C9827" s="13">
        <f>IFERROR(__xludf.DUMMYFUNCTION("""COMPUTED_VALUE"""),0.4166666666666667)</f>
        <v>0.4166666667</v>
      </c>
      <c r="D9827" s="8">
        <f>IFERROR(__xludf.DUMMYFUNCTION("""COMPUTED_VALUE"""),0.059)</f>
        <v>0.059</v>
      </c>
      <c r="E9827" s="8" t="str">
        <f>IFERROR(__xludf.DUMMYFUNCTION("""COMPUTED_VALUE"""),"Real")</f>
        <v>Real</v>
      </c>
      <c r="G9827" s="8">
        <f t="shared" si="1"/>
        <v>12</v>
      </c>
      <c r="H9827" s="14">
        <f t="shared" si="2"/>
        <v>15</v>
      </c>
      <c r="I9827" s="15">
        <f t="shared" si="3"/>
        <v>10</v>
      </c>
    </row>
    <row r="9828">
      <c r="A9828" s="8" t="str">
        <f>IFERROR(__xludf.DUMMYFUNCTION("IF('(INGESTA)Datos_consumo_datadis'!A9828&lt;&gt;"""",SPLIT('(INGESTA)Datos_consumo_datadis'!A:A,"",""),"""")"),"ES0031408323131005HX0F")</f>
        <v>ES0031408323131005HX0F</v>
      </c>
      <c r="B9828" s="17">
        <f>IFERROR(__xludf.DUMMYFUNCTION("""COMPUTED_VALUE"""),45275.0)</f>
        <v>45275</v>
      </c>
      <c r="C9828" s="13">
        <f>IFERROR(__xludf.DUMMYFUNCTION("""COMPUTED_VALUE"""),0.4583333333333333)</f>
        <v>0.4583333333</v>
      </c>
      <c r="D9828" s="8">
        <f>IFERROR(__xludf.DUMMYFUNCTION("""COMPUTED_VALUE"""),0.032)</f>
        <v>0.032</v>
      </c>
      <c r="E9828" s="8" t="str">
        <f>IFERROR(__xludf.DUMMYFUNCTION("""COMPUTED_VALUE"""),"Real")</f>
        <v>Real</v>
      </c>
      <c r="G9828" s="8">
        <f t="shared" si="1"/>
        <v>12</v>
      </c>
      <c r="H9828" s="14">
        <f t="shared" si="2"/>
        <v>15</v>
      </c>
      <c r="I9828" s="15">
        <f t="shared" si="3"/>
        <v>11</v>
      </c>
    </row>
    <row r="9829">
      <c r="A9829" s="8" t="str">
        <f>IFERROR(__xludf.DUMMYFUNCTION("IF('(INGESTA)Datos_consumo_datadis'!A9829&lt;&gt;"""",SPLIT('(INGESTA)Datos_consumo_datadis'!A:A,"",""),"""")"),"ES0031408323131005HX0F")</f>
        <v>ES0031408323131005HX0F</v>
      </c>
      <c r="B9829" s="17">
        <f>IFERROR(__xludf.DUMMYFUNCTION("""COMPUTED_VALUE"""),45275.0)</f>
        <v>45275</v>
      </c>
      <c r="C9829" s="13">
        <f>IFERROR(__xludf.DUMMYFUNCTION("""COMPUTED_VALUE"""),0.5)</f>
        <v>0.5</v>
      </c>
      <c r="D9829" s="8">
        <f>IFERROR(__xludf.DUMMYFUNCTION("""COMPUTED_VALUE"""),0.017)</f>
        <v>0.017</v>
      </c>
      <c r="E9829" s="8" t="str">
        <f>IFERROR(__xludf.DUMMYFUNCTION("""COMPUTED_VALUE"""),"Real")</f>
        <v>Real</v>
      </c>
      <c r="G9829" s="8">
        <f t="shared" si="1"/>
        <v>12</v>
      </c>
      <c r="H9829" s="14">
        <f t="shared" si="2"/>
        <v>15</v>
      </c>
      <c r="I9829" s="15">
        <f t="shared" si="3"/>
        <v>12</v>
      </c>
    </row>
    <row r="9830">
      <c r="A9830" s="8" t="str">
        <f>IFERROR(__xludf.DUMMYFUNCTION("IF('(INGESTA)Datos_consumo_datadis'!A9830&lt;&gt;"""",SPLIT('(INGESTA)Datos_consumo_datadis'!A:A,"",""),"""")"),"ES0031408323131005HX0F")</f>
        <v>ES0031408323131005HX0F</v>
      </c>
      <c r="B9830" s="17">
        <f>IFERROR(__xludf.DUMMYFUNCTION("""COMPUTED_VALUE"""),45275.0)</f>
        <v>45275</v>
      </c>
      <c r="C9830" s="13">
        <f>IFERROR(__xludf.DUMMYFUNCTION("""COMPUTED_VALUE"""),0.5416666666666666)</f>
        <v>0.5416666667</v>
      </c>
      <c r="D9830" s="8">
        <f>IFERROR(__xludf.DUMMYFUNCTION("""COMPUTED_VALUE"""),0.108)</f>
        <v>0.108</v>
      </c>
      <c r="E9830" s="8" t="str">
        <f>IFERROR(__xludf.DUMMYFUNCTION("""COMPUTED_VALUE"""),"Real")</f>
        <v>Real</v>
      </c>
      <c r="G9830" s="8">
        <f t="shared" si="1"/>
        <v>12</v>
      </c>
      <c r="H9830" s="14">
        <f t="shared" si="2"/>
        <v>15</v>
      </c>
      <c r="I9830" s="15">
        <f t="shared" si="3"/>
        <v>13</v>
      </c>
    </row>
    <row r="9831">
      <c r="A9831" s="8" t="str">
        <f>IFERROR(__xludf.DUMMYFUNCTION("IF('(INGESTA)Datos_consumo_datadis'!A9831&lt;&gt;"""",SPLIT('(INGESTA)Datos_consumo_datadis'!A:A,"",""),"""")"),"ES0031408323131005HX0F")</f>
        <v>ES0031408323131005HX0F</v>
      </c>
      <c r="B9831" s="17">
        <f>IFERROR(__xludf.DUMMYFUNCTION("""COMPUTED_VALUE"""),45275.0)</f>
        <v>45275</v>
      </c>
      <c r="C9831" s="13">
        <f>IFERROR(__xludf.DUMMYFUNCTION("""COMPUTED_VALUE"""),0.5833333333333334)</f>
        <v>0.5833333333</v>
      </c>
      <c r="D9831" s="8">
        <f>IFERROR(__xludf.DUMMYFUNCTION("""COMPUTED_VALUE"""),0.424)</f>
        <v>0.424</v>
      </c>
      <c r="E9831" s="8" t="str">
        <f>IFERROR(__xludf.DUMMYFUNCTION("""COMPUTED_VALUE"""),"Real")</f>
        <v>Real</v>
      </c>
      <c r="G9831" s="8">
        <f t="shared" si="1"/>
        <v>12</v>
      </c>
      <c r="H9831" s="14">
        <f t="shared" si="2"/>
        <v>15</v>
      </c>
      <c r="I9831" s="15">
        <f t="shared" si="3"/>
        <v>14</v>
      </c>
    </row>
    <row r="9832">
      <c r="A9832" s="8" t="str">
        <f>IFERROR(__xludf.DUMMYFUNCTION("IF('(INGESTA)Datos_consumo_datadis'!A9832&lt;&gt;"""",SPLIT('(INGESTA)Datos_consumo_datadis'!A:A,"",""),"""")"),"ES0031408323131005HX0F")</f>
        <v>ES0031408323131005HX0F</v>
      </c>
      <c r="B9832" s="17">
        <f>IFERROR(__xludf.DUMMYFUNCTION("""COMPUTED_VALUE"""),45275.0)</f>
        <v>45275</v>
      </c>
      <c r="C9832" s="13">
        <f>IFERROR(__xludf.DUMMYFUNCTION("""COMPUTED_VALUE"""),0.625)</f>
        <v>0.625</v>
      </c>
      <c r="D9832" s="8">
        <f>IFERROR(__xludf.DUMMYFUNCTION("""COMPUTED_VALUE"""),0.082)</f>
        <v>0.082</v>
      </c>
      <c r="E9832" s="8" t="str">
        <f>IFERROR(__xludf.DUMMYFUNCTION("""COMPUTED_VALUE"""),"Real")</f>
        <v>Real</v>
      </c>
      <c r="G9832" s="8">
        <f t="shared" si="1"/>
        <v>12</v>
      </c>
      <c r="H9832" s="14">
        <f t="shared" si="2"/>
        <v>15</v>
      </c>
      <c r="I9832" s="15">
        <f t="shared" si="3"/>
        <v>15</v>
      </c>
    </row>
    <row r="9833">
      <c r="A9833" s="8" t="str">
        <f>IFERROR(__xludf.DUMMYFUNCTION("IF('(INGESTA)Datos_consumo_datadis'!A9833&lt;&gt;"""",SPLIT('(INGESTA)Datos_consumo_datadis'!A:A,"",""),"""")"),"ES0031408323131005HX0F")</f>
        <v>ES0031408323131005HX0F</v>
      </c>
      <c r="B9833" s="17">
        <f>IFERROR(__xludf.DUMMYFUNCTION("""COMPUTED_VALUE"""),45275.0)</f>
        <v>45275</v>
      </c>
      <c r="C9833" s="13">
        <f>IFERROR(__xludf.DUMMYFUNCTION("""COMPUTED_VALUE"""),0.6666666666666666)</f>
        <v>0.6666666667</v>
      </c>
      <c r="D9833" s="8">
        <f>IFERROR(__xludf.DUMMYFUNCTION("""COMPUTED_VALUE"""),0.078)</f>
        <v>0.078</v>
      </c>
      <c r="E9833" s="8" t="str">
        <f>IFERROR(__xludf.DUMMYFUNCTION("""COMPUTED_VALUE"""),"Real")</f>
        <v>Real</v>
      </c>
      <c r="G9833" s="8">
        <f t="shared" si="1"/>
        <v>12</v>
      </c>
      <c r="H9833" s="14">
        <f t="shared" si="2"/>
        <v>15</v>
      </c>
      <c r="I9833" s="15">
        <f t="shared" si="3"/>
        <v>16</v>
      </c>
    </row>
    <row r="9834">
      <c r="A9834" s="8" t="str">
        <f>IFERROR(__xludf.DUMMYFUNCTION("IF('(INGESTA)Datos_consumo_datadis'!A9834&lt;&gt;"""",SPLIT('(INGESTA)Datos_consumo_datadis'!A:A,"",""),"""")"),"ES0031408323131005HX0F")</f>
        <v>ES0031408323131005HX0F</v>
      </c>
      <c r="B9834" s="17">
        <f>IFERROR(__xludf.DUMMYFUNCTION("""COMPUTED_VALUE"""),45275.0)</f>
        <v>45275</v>
      </c>
      <c r="C9834" s="13">
        <f>IFERROR(__xludf.DUMMYFUNCTION("""COMPUTED_VALUE"""),0.7083333333333334)</f>
        <v>0.7083333333</v>
      </c>
      <c r="D9834" s="8">
        <f>IFERROR(__xludf.DUMMYFUNCTION("""COMPUTED_VALUE"""),0.02)</f>
        <v>0.02</v>
      </c>
      <c r="E9834" s="8" t="str">
        <f>IFERROR(__xludf.DUMMYFUNCTION("""COMPUTED_VALUE"""),"Real")</f>
        <v>Real</v>
      </c>
      <c r="G9834" s="8">
        <f t="shared" si="1"/>
        <v>12</v>
      </c>
      <c r="H9834" s="14">
        <f t="shared" si="2"/>
        <v>15</v>
      </c>
      <c r="I9834" s="15">
        <f t="shared" si="3"/>
        <v>17</v>
      </c>
    </row>
    <row r="9835">
      <c r="A9835" s="8" t="str">
        <f>IFERROR(__xludf.DUMMYFUNCTION("IF('(INGESTA)Datos_consumo_datadis'!A9835&lt;&gt;"""",SPLIT('(INGESTA)Datos_consumo_datadis'!A:A,"",""),"""")"),"ES0031408323131005HX0F")</f>
        <v>ES0031408323131005HX0F</v>
      </c>
      <c r="B9835" s="17">
        <f>IFERROR(__xludf.DUMMYFUNCTION("""COMPUTED_VALUE"""),45275.0)</f>
        <v>45275</v>
      </c>
      <c r="C9835" s="13">
        <f>IFERROR(__xludf.DUMMYFUNCTION("""COMPUTED_VALUE"""),0.75)</f>
        <v>0.75</v>
      </c>
      <c r="D9835" s="8">
        <f>IFERROR(__xludf.DUMMYFUNCTION("""COMPUTED_VALUE"""),0.048)</f>
        <v>0.048</v>
      </c>
      <c r="E9835" s="8" t="str">
        <f>IFERROR(__xludf.DUMMYFUNCTION("""COMPUTED_VALUE"""),"Real")</f>
        <v>Real</v>
      </c>
      <c r="G9835" s="8">
        <f t="shared" si="1"/>
        <v>12</v>
      </c>
      <c r="H9835" s="14">
        <f t="shared" si="2"/>
        <v>15</v>
      </c>
      <c r="I9835" s="15">
        <f t="shared" si="3"/>
        <v>18</v>
      </c>
    </row>
    <row r="9836">
      <c r="A9836" s="8" t="str">
        <f>IFERROR(__xludf.DUMMYFUNCTION("IF('(INGESTA)Datos_consumo_datadis'!A9836&lt;&gt;"""",SPLIT('(INGESTA)Datos_consumo_datadis'!A:A,"",""),"""")"),"ES0031408323131005HX0F")</f>
        <v>ES0031408323131005HX0F</v>
      </c>
      <c r="B9836" s="17">
        <f>IFERROR(__xludf.DUMMYFUNCTION("""COMPUTED_VALUE"""),45275.0)</f>
        <v>45275</v>
      </c>
      <c r="C9836" s="13">
        <f>IFERROR(__xludf.DUMMYFUNCTION("""COMPUTED_VALUE"""),0.7916666666666666)</f>
        <v>0.7916666667</v>
      </c>
      <c r="D9836" s="8">
        <f>IFERROR(__xludf.DUMMYFUNCTION("""COMPUTED_VALUE"""),0.187)</f>
        <v>0.187</v>
      </c>
      <c r="E9836" s="8" t="str">
        <f>IFERROR(__xludf.DUMMYFUNCTION("""COMPUTED_VALUE"""),"Real")</f>
        <v>Real</v>
      </c>
      <c r="G9836" s="8">
        <f t="shared" si="1"/>
        <v>12</v>
      </c>
      <c r="H9836" s="14">
        <f t="shared" si="2"/>
        <v>15</v>
      </c>
      <c r="I9836" s="15">
        <f t="shared" si="3"/>
        <v>19</v>
      </c>
    </row>
    <row r="9837">
      <c r="A9837" s="8" t="str">
        <f>IFERROR(__xludf.DUMMYFUNCTION("IF('(INGESTA)Datos_consumo_datadis'!A9837&lt;&gt;"""",SPLIT('(INGESTA)Datos_consumo_datadis'!A:A,"",""),"""")"),"ES0031408323131005HX0F")</f>
        <v>ES0031408323131005HX0F</v>
      </c>
      <c r="B9837" s="17">
        <f>IFERROR(__xludf.DUMMYFUNCTION("""COMPUTED_VALUE"""),45275.0)</f>
        <v>45275</v>
      </c>
      <c r="C9837" s="13">
        <f>IFERROR(__xludf.DUMMYFUNCTION("""COMPUTED_VALUE"""),0.8333333333333334)</f>
        <v>0.8333333333</v>
      </c>
      <c r="D9837" s="8">
        <f>IFERROR(__xludf.DUMMYFUNCTION("""COMPUTED_VALUE"""),1.943)</f>
        <v>1.943</v>
      </c>
      <c r="E9837" s="8" t="str">
        <f>IFERROR(__xludf.DUMMYFUNCTION("""COMPUTED_VALUE"""),"Real")</f>
        <v>Real</v>
      </c>
      <c r="G9837" s="8">
        <f t="shared" si="1"/>
        <v>12</v>
      </c>
      <c r="H9837" s="14">
        <f t="shared" si="2"/>
        <v>15</v>
      </c>
      <c r="I9837" s="15">
        <f t="shared" si="3"/>
        <v>20</v>
      </c>
    </row>
    <row r="9838">
      <c r="A9838" s="8" t="str">
        <f>IFERROR(__xludf.DUMMYFUNCTION("IF('(INGESTA)Datos_consumo_datadis'!A9838&lt;&gt;"""",SPLIT('(INGESTA)Datos_consumo_datadis'!A:A,"",""),"""")"),"ES0031408323131005HX0F")</f>
        <v>ES0031408323131005HX0F</v>
      </c>
      <c r="B9838" s="17">
        <f>IFERROR(__xludf.DUMMYFUNCTION("""COMPUTED_VALUE"""),45275.0)</f>
        <v>45275</v>
      </c>
      <c r="C9838" s="13">
        <f>IFERROR(__xludf.DUMMYFUNCTION("""COMPUTED_VALUE"""),0.875)</f>
        <v>0.875</v>
      </c>
      <c r="D9838" s="8">
        <f>IFERROR(__xludf.DUMMYFUNCTION("""COMPUTED_VALUE"""),2.144)</f>
        <v>2.144</v>
      </c>
      <c r="E9838" s="8" t="str">
        <f>IFERROR(__xludf.DUMMYFUNCTION("""COMPUTED_VALUE"""),"Real")</f>
        <v>Real</v>
      </c>
      <c r="G9838" s="8">
        <f t="shared" si="1"/>
        <v>12</v>
      </c>
      <c r="H9838" s="14">
        <f t="shared" si="2"/>
        <v>15</v>
      </c>
      <c r="I9838" s="15">
        <f t="shared" si="3"/>
        <v>21</v>
      </c>
    </row>
    <row r="9839">
      <c r="A9839" s="8" t="str">
        <f>IFERROR(__xludf.DUMMYFUNCTION("IF('(INGESTA)Datos_consumo_datadis'!A9839&lt;&gt;"""",SPLIT('(INGESTA)Datos_consumo_datadis'!A:A,"",""),"""")"),"ES0031408323131005HX0F")</f>
        <v>ES0031408323131005HX0F</v>
      </c>
      <c r="B9839" s="17">
        <f>IFERROR(__xludf.DUMMYFUNCTION("""COMPUTED_VALUE"""),45275.0)</f>
        <v>45275</v>
      </c>
      <c r="C9839" s="13">
        <f>IFERROR(__xludf.DUMMYFUNCTION("""COMPUTED_VALUE"""),0.9166666666666666)</f>
        <v>0.9166666667</v>
      </c>
      <c r="D9839" s="8">
        <f>IFERROR(__xludf.DUMMYFUNCTION("""COMPUTED_VALUE"""),0.151)</f>
        <v>0.151</v>
      </c>
      <c r="E9839" s="8" t="str">
        <f>IFERROR(__xludf.DUMMYFUNCTION("""COMPUTED_VALUE"""),"Real")</f>
        <v>Real</v>
      </c>
      <c r="G9839" s="8">
        <f t="shared" si="1"/>
        <v>12</v>
      </c>
      <c r="H9839" s="14">
        <f t="shared" si="2"/>
        <v>15</v>
      </c>
      <c r="I9839" s="15">
        <f t="shared" si="3"/>
        <v>22</v>
      </c>
    </row>
    <row r="9840">
      <c r="A9840" s="8" t="str">
        <f>IFERROR(__xludf.DUMMYFUNCTION("IF('(INGESTA)Datos_consumo_datadis'!A9840&lt;&gt;"""",SPLIT('(INGESTA)Datos_consumo_datadis'!A:A,"",""),"""")"),"ES0031408323131005HX0F")</f>
        <v>ES0031408323131005HX0F</v>
      </c>
      <c r="B9840" s="17">
        <f>IFERROR(__xludf.DUMMYFUNCTION("""COMPUTED_VALUE"""),45275.0)</f>
        <v>45275</v>
      </c>
      <c r="C9840" s="13">
        <f>IFERROR(__xludf.DUMMYFUNCTION("""COMPUTED_VALUE"""),0.9583333333333334)</f>
        <v>0.9583333333</v>
      </c>
      <c r="D9840" s="8">
        <f>IFERROR(__xludf.DUMMYFUNCTION("""COMPUTED_VALUE"""),0.115)</f>
        <v>0.115</v>
      </c>
      <c r="E9840" s="8" t="str">
        <f>IFERROR(__xludf.DUMMYFUNCTION("""COMPUTED_VALUE"""),"Real")</f>
        <v>Real</v>
      </c>
      <c r="G9840" s="8">
        <f t="shared" si="1"/>
        <v>12</v>
      </c>
      <c r="H9840" s="14">
        <f t="shared" si="2"/>
        <v>15</v>
      </c>
      <c r="I9840" s="15">
        <f t="shared" si="3"/>
        <v>23</v>
      </c>
    </row>
    <row r="9841">
      <c r="A9841" s="8" t="str">
        <f>IFERROR(__xludf.DUMMYFUNCTION("IF('(INGESTA)Datos_consumo_datadis'!A9841&lt;&gt;"""",SPLIT('(INGESTA)Datos_consumo_datadis'!A:A,"",""),"""")"),"ES0031408323131005HX0F")</f>
        <v>ES0031408323131005HX0F</v>
      </c>
      <c r="B9841" s="17">
        <f>IFERROR(__xludf.DUMMYFUNCTION("""COMPUTED_VALUE"""),45275.0)</f>
        <v>45275</v>
      </c>
      <c r="C9841" s="16">
        <f>IFERROR(__xludf.DUMMYFUNCTION("""COMPUTED_VALUE"""),1.0)</f>
        <v>1</v>
      </c>
      <c r="D9841" s="8">
        <f>IFERROR(__xludf.DUMMYFUNCTION("""COMPUTED_VALUE"""),0.054)</f>
        <v>0.054</v>
      </c>
      <c r="E9841" s="8" t="str">
        <f>IFERROR(__xludf.DUMMYFUNCTION("""COMPUTED_VALUE"""),"Real")</f>
        <v>Real</v>
      </c>
      <c r="G9841" s="8">
        <f t="shared" si="1"/>
        <v>12</v>
      </c>
      <c r="H9841" s="14">
        <f t="shared" si="2"/>
        <v>15</v>
      </c>
      <c r="I9841" s="15">
        <f t="shared" si="3"/>
        <v>0</v>
      </c>
    </row>
    <row r="9842">
      <c r="A9842" s="8" t="str">
        <f>IFERROR(__xludf.DUMMYFUNCTION("IF('(INGESTA)Datos_consumo_datadis'!A9842&lt;&gt;"""",SPLIT('(INGESTA)Datos_consumo_datadis'!A:A,"",""),"""")"),"ES0031408323131005HX0F")</f>
        <v>ES0031408323131005HX0F</v>
      </c>
      <c r="B9842" s="17">
        <f>IFERROR(__xludf.DUMMYFUNCTION("""COMPUTED_VALUE"""),45276.0)</f>
        <v>45276</v>
      </c>
      <c r="C9842" s="13">
        <f>IFERROR(__xludf.DUMMYFUNCTION("""COMPUTED_VALUE"""),0.041666666666666664)</f>
        <v>0.04166666667</v>
      </c>
      <c r="D9842" s="8">
        <f>IFERROR(__xludf.DUMMYFUNCTION("""COMPUTED_VALUE"""),0.036)</f>
        <v>0.036</v>
      </c>
      <c r="E9842" s="8" t="str">
        <f>IFERROR(__xludf.DUMMYFUNCTION("""COMPUTED_VALUE"""),"Real")</f>
        <v>Real</v>
      </c>
      <c r="G9842" s="8">
        <f t="shared" si="1"/>
        <v>12</v>
      </c>
      <c r="H9842" s="14">
        <f t="shared" si="2"/>
        <v>16</v>
      </c>
      <c r="I9842" s="15">
        <f t="shared" si="3"/>
        <v>1</v>
      </c>
    </row>
    <row r="9843">
      <c r="A9843" s="8" t="str">
        <f>IFERROR(__xludf.DUMMYFUNCTION("IF('(INGESTA)Datos_consumo_datadis'!A9843&lt;&gt;"""",SPLIT('(INGESTA)Datos_consumo_datadis'!A:A,"",""),"""")"),"ES0031408323131005HX0F")</f>
        <v>ES0031408323131005HX0F</v>
      </c>
      <c r="B9843" s="17">
        <f>IFERROR(__xludf.DUMMYFUNCTION("""COMPUTED_VALUE"""),45276.0)</f>
        <v>45276</v>
      </c>
      <c r="C9843" s="13">
        <f>IFERROR(__xludf.DUMMYFUNCTION("""COMPUTED_VALUE"""),0.08333333333333333)</f>
        <v>0.08333333333</v>
      </c>
      <c r="D9843" s="8">
        <f>IFERROR(__xludf.DUMMYFUNCTION("""COMPUTED_VALUE"""),0.073)</f>
        <v>0.073</v>
      </c>
      <c r="E9843" s="8" t="str">
        <f>IFERROR(__xludf.DUMMYFUNCTION("""COMPUTED_VALUE"""),"Real")</f>
        <v>Real</v>
      </c>
      <c r="G9843" s="8">
        <f t="shared" si="1"/>
        <v>12</v>
      </c>
      <c r="H9843" s="14">
        <f t="shared" si="2"/>
        <v>16</v>
      </c>
      <c r="I9843" s="15">
        <f t="shared" si="3"/>
        <v>2</v>
      </c>
    </row>
    <row r="9844">
      <c r="A9844" s="8" t="str">
        <f>IFERROR(__xludf.DUMMYFUNCTION("IF('(INGESTA)Datos_consumo_datadis'!A9844&lt;&gt;"""",SPLIT('(INGESTA)Datos_consumo_datadis'!A:A,"",""),"""")"),"ES0031408323131005HX0F")</f>
        <v>ES0031408323131005HX0F</v>
      </c>
      <c r="B9844" s="17">
        <f>IFERROR(__xludf.DUMMYFUNCTION("""COMPUTED_VALUE"""),45276.0)</f>
        <v>45276</v>
      </c>
      <c r="C9844" s="13">
        <f>IFERROR(__xludf.DUMMYFUNCTION("""COMPUTED_VALUE"""),0.125)</f>
        <v>0.125</v>
      </c>
      <c r="D9844" s="8">
        <f>IFERROR(__xludf.DUMMYFUNCTION("""COMPUTED_VALUE"""),0.378)</f>
        <v>0.378</v>
      </c>
      <c r="E9844" s="8" t="str">
        <f>IFERROR(__xludf.DUMMYFUNCTION("""COMPUTED_VALUE"""),"Real")</f>
        <v>Real</v>
      </c>
      <c r="G9844" s="8">
        <f t="shared" si="1"/>
        <v>12</v>
      </c>
      <c r="H9844" s="14">
        <f t="shared" si="2"/>
        <v>16</v>
      </c>
      <c r="I9844" s="15">
        <f t="shared" si="3"/>
        <v>3</v>
      </c>
    </row>
    <row r="9845">
      <c r="A9845" s="8" t="str">
        <f>IFERROR(__xludf.DUMMYFUNCTION("IF('(INGESTA)Datos_consumo_datadis'!A9845&lt;&gt;"""",SPLIT('(INGESTA)Datos_consumo_datadis'!A:A,"",""),"""")"),"ES0031408323131005HX0F")</f>
        <v>ES0031408323131005HX0F</v>
      </c>
      <c r="B9845" s="17">
        <f>IFERROR(__xludf.DUMMYFUNCTION("""COMPUTED_VALUE"""),45276.0)</f>
        <v>45276</v>
      </c>
      <c r="C9845" s="13">
        <f>IFERROR(__xludf.DUMMYFUNCTION("""COMPUTED_VALUE"""),0.16666666666666666)</f>
        <v>0.1666666667</v>
      </c>
      <c r="D9845" s="8">
        <f>IFERROR(__xludf.DUMMYFUNCTION("""COMPUTED_VALUE"""),0.097)</f>
        <v>0.097</v>
      </c>
      <c r="E9845" s="8" t="str">
        <f>IFERROR(__xludf.DUMMYFUNCTION("""COMPUTED_VALUE"""),"Real")</f>
        <v>Real</v>
      </c>
      <c r="G9845" s="8">
        <f t="shared" si="1"/>
        <v>12</v>
      </c>
      <c r="H9845" s="14">
        <f t="shared" si="2"/>
        <v>16</v>
      </c>
      <c r="I9845" s="15">
        <f t="shared" si="3"/>
        <v>4</v>
      </c>
    </row>
    <row r="9846">
      <c r="A9846" s="8" t="str">
        <f>IFERROR(__xludf.DUMMYFUNCTION("IF('(INGESTA)Datos_consumo_datadis'!A9846&lt;&gt;"""",SPLIT('(INGESTA)Datos_consumo_datadis'!A:A,"",""),"""")"),"ES0031408323131005HX0F")</f>
        <v>ES0031408323131005HX0F</v>
      </c>
      <c r="B9846" s="17">
        <f>IFERROR(__xludf.DUMMYFUNCTION("""COMPUTED_VALUE"""),45276.0)</f>
        <v>45276</v>
      </c>
      <c r="C9846" s="13">
        <f>IFERROR(__xludf.DUMMYFUNCTION("""COMPUTED_VALUE"""),0.20833333333333334)</f>
        <v>0.2083333333</v>
      </c>
      <c r="D9846" s="8">
        <f>IFERROR(__xludf.DUMMYFUNCTION("""COMPUTED_VALUE"""),0.015)</f>
        <v>0.015</v>
      </c>
      <c r="E9846" s="8" t="str">
        <f>IFERROR(__xludf.DUMMYFUNCTION("""COMPUTED_VALUE"""),"Real")</f>
        <v>Real</v>
      </c>
      <c r="G9846" s="8">
        <f t="shared" si="1"/>
        <v>12</v>
      </c>
      <c r="H9846" s="14">
        <f t="shared" si="2"/>
        <v>16</v>
      </c>
      <c r="I9846" s="15">
        <f t="shared" si="3"/>
        <v>5</v>
      </c>
    </row>
    <row r="9847">
      <c r="A9847" s="8" t="str">
        <f>IFERROR(__xludf.DUMMYFUNCTION("IF('(INGESTA)Datos_consumo_datadis'!A9847&lt;&gt;"""",SPLIT('(INGESTA)Datos_consumo_datadis'!A:A,"",""),"""")"),"ES0031408323131005HX0F")</f>
        <v>ES0031408323131005HX0F</v>
      </c>
      <c r="B9847" s="17">
        <f>IFERROR(__xludf.DUMMYFUNCTION("""COMPUTED_VALUE"""),45276.0)</f>
        <v>45276</v>
      </c>
      <c r="C9847" s="13">
        <f>IFERROR(__xludf.DUMMYFUNCTION("""COMPUTED_VALUE"""),0.25)</f>
        <v>0.25</v>
      </c>
      <c r="D9847" s="8">
        <f>IFERROR(__xludf.DUMMYFUNCTION("""COMPUTED_VALUE"""),0.024)</f>
        <v>0.024</v>
      </c>
      <c r="E9847" s="8" t="str">
        <f>IFERROR(__xludf.DUMMYFUNCTION("""COMPUTED_VALUE"""),"Real")</f>
        <v>Real</v>
      </c>
      <c r="G9847" s="8">
        <f t="shared" si="1"/>
        <v>12</v>
      </c>
      <c r="H9847" s="14">
        <f t="shared" si="2"/>
        <v>16</v>
      </c>
      <c r="I9847" s="15">
        <f t="shared" si="3"/>
        <v>6</v>
      </c>
    </row>
    <row r="9848">
      <c r="A9848" s="8" t="str">
        <f>IFERROR(__xludf.DUMMYFUNCTION("IF('(INGESTA)Datos_consumo_datadis'!A9848&lt;&gt;"""",SPLIT('(INGESTA)Datos_consumo_datadis'!A:A,"",""),"""")"),"ES0031408323131005HX0F")</f>
        <v>ES0031408323131005HX0F</v>
      </c>
      <c r="B9848" s="17">
        <f>IFERROR(__xludf.DUMMYFUNCTION("""COMPUTED_VALUE"""),45276.0)</f>
        <v>45276</v>
      </c>
      <c r="C9848" s="13">
        <f>IFERROR(__xludf.DUMMYFUNCTION("""COMPUTED_VALUE"""),0.2916666666666667)</f>
        <v>0.2916666667</v>
      </c>
      <c r="D9848" s="8">
        <f>IFERROR(__xludf.DUMMYFUNCTION("""COMPUTED_VALUE"""),0.106)</f>
        <v>0.106</v>
      </c>
      <c r="E9848" s="8" t="str">
        <f>IFERROR(__xludf.DUMMYFUNCTION("""COMPUTED_VALUE"""),"Real")</f>
        <v>Real</v>
      </c>
      <c r="G9848" s="8">
        <f t="shared" si="1"/>
        <v>12</v>
      </c>
      <c r="H9848" s="14">
        <f t="shared" si="2"/>
        <v>16</v>
      </c>
      <c r="I9848" s="15">
        <f t="shared" si="3"/>
        <v>7</v>
      </c>
    </row>
    <row r="9849">
      <c r="A9849" s="8" t="str">
        <f>IFERROR(__xludf.DUMMYFUNCTION("IF('(INGESTA)Datos_consumo_datadis'!A9849&lt;&gt;"""",SPLIT('(INGESTA)Datos_consumo_datadis'!A:A,"",""),"""")"),"ES0031408323131005HX0F")</f>
        <v>ES0031408323131005HX0F</v>
      </c>
      <c r="B9849" s="17">
        <f>IFERROR(__xludf.DUMMYFUNCTION("""COMPUTED_VALUE"""),45276.0)</f>
        <v>45276</v>
      </c>
      <c r="C9849" s="13">
        <f>IFERROR(__xludf.DUMMYFUNCTION("""COMPUTED_VALUE"""),0.3333333333333333)</f>
        <v>0.3333333333</v>
      </c>
      <c r="D9849" s="8">
        <f>IFERROR(__xludf.DUMMYFUNCTION("""COMPUTED_VALUE"""),0.376)</f>
        <v>0.376</v>
      </c>
      <c r="E9849" s="8" t="str">
        <f>IFERROR(__xludf.DUMMYFUNCTION("""COMPUTED_VALUE"""),"Real")</f>
        <v>Real</v>
      </c>
      <c r="G9849" s="8">
        <f t="shared" si="1"/>
        <v>12</v>
      </c>
      <c r="H9849" s="14">
        <f t="shared" si="2"/>
        <v>16</v>
      </c>
      <c r="I9849" s="15">
        <f t="shared" si="3"/>
        <v>8</v>
      </c>
    </row>
    <row r="9850">
      <c r="A9850" s="8" t="str">
        <f>IFERROR(__xludf.DUMMYFUNCTION("IF('(INGESTA)Datos_consumo_datadis'!A9850&lt;&gt;"""",SPLIT('(INGESTA)Datos_consumo_datadis'!A:A,"",""),"""")"),"ES0031408323131005HX0F")</f>
        <v>ES0031408323131005HX0F</v>
      </c>
      <c r="B9850" s="17">
        <f>IFERROR(__xludf.DUMMYFUNCTION("""COMPUTED_VALUE"""),45276.0)</f>
        <v>45276</v>
      </c>
      <c r="C9850" s="13">
        <f>IFERROR(__xludf.DUMMYFUNCTION("""COMPUTED_VALUE"""),0.375)</f>
        <v>0.375</v>
      </c>
      <c r="D9850" s="8">
        <f>IFERROR(__xludf.DUMMYFUNCTION("""COMPUTED_VALUE"""),0.032)</f>
        <v>0.032</v>
      </c>
      <c r="E9850" s="8" t="str">
        <f>IFERROR(__xludf.DUMMYFUNCTION("""COMPUTED_VALUE"""),"Real")</f>
        <v>Real</v>
      </c>
      <c r="G9850" s="8">
        <f t="shared" si="1"/>
        <v>12</v>
      </c>
      <c r="H9850" s="14">
        <f t="shared" si="2"/>
        <v>16</v>
      </c>
      <c r="I9850" s="15">
        <f t="shared" si="3"/>
        <v>9</v>
      </c>
    </row>
    <row r="9851">
      <c r="A9851" s="8" t="str">
        <f>IFERROR(__xludf.DUMMYFUNCTION("IF('(INGESTA)Datos_consumo_datadis'!A9851&lt;&gt;"""",SPLIT('(INGESTA)Datos_consumo_datadis'!A:A,"",""),"""")"),"ES0031408323131005HX0F")</f>
        <v>ES0031408323131005HX0F</v>
      </c>
      <c r="B9851" s="17">
        <f>IFERROR(__xludf.DUMMYFUNCTION("""COMPUTED_VALUE"""),45276.0)</f>
        <v>45276</v>
      </c>
      <c r="C9851" s="13">
        <f>IFERROR(__xludf.DUMMYFUNCTION("""COMPUTED_VALUE"""),0.4166666666666667)</f>
        <v>0.4166666667</v>
      </c>
      <c r="D9851" s="8">
        <f>IFERROR(__xludf.DUMMYFUNCTION("""COMPUTED_VALUE"""),0.46)</f>
        <v>0.46</v>
      </c>
      <c r="E9851" s="8" t="str">
        <f>IFERROR(__xludf.DUMMYFUNCTION("""COMPUTED_VALUE"""),"Real")</f>
        <v>Real</v>
      </c>
      <c r="G9851" s="8">
        <f t="shared" si="1"/>
        <v>12</v>
      </c>
      <c r="H9851" s="14">
        <f t="shared" si="2"/>
        <v>16</v>
      </c>
      <c r="I9851" s="15">
        <f t="shared" si="3"/>
        <v>10</v>
      </c>
    </row>
    <row r="9852">
      <c r="A9852" s="8" t="str">
        <f>IFERROR(__xludf.DUMMYFUNCTION("IF('(INGESTA)Datos_consumo_datadis'!A9852&lt;&gt;"""",SPLIT('(INGESTA)Datos_consumo_datadis'!A:A,"",""),"""")"),"ES0031408323131005HX0F")</f>
        <v>ES0031408323131005HX0F</v>
      </c>
      <c r="B9852" s="17">
        <f>IFERROR(__xludf.DUMMYFUNCTION("""COMPUTED_VALUE"""),45276.0)</f>
        <v>45276</v>
      </c>
      <c r="C9852" s="13">
        <f>IFERROR(__xludf.DUMMYFUNCTION("""COMPUTED_VALUE"""),0.4583333333333333)</f>
        <v>0.4583333333</v>
      </c>
      <c r="D9852" s="8">
        <f>IFERROR(__xludf.DUMMYFUNCTION("""COMPUTED_VALUE"""),0.179)</f>
        <v>0.179</v>
      </c>
      <c r="E9852" s="8" t="str">
        <f>IFERROR(__xludf.DUMMYFUNCTION("""COMPUTED_VALUE"""),"Real")</f>
        <v>Real</v>
      </c>
      <c r="G9852" s="8">
        <f t="shared" si="1"/>
        <v>12</v>
      </c>
      <c r="H9852" s="14">
        <f t="shared" si="2"/>
        <v>16</v>
      </c>
      <c r="I9852" s="15">
        <f t="shared" si="3"/>
        <v>11</v>
      </c>
    </row>
    <row r="9853">
      <c r="A9853" s="8" t="str">
        <f>IFERROR(__xludf.DUMMYFUNCTION("IF('(INGESTA)Datos_consumo_datadis'!A9853&lt;&gt;"""",SPLIT('(INGESTA)Datos_consumo_datadis'!A:A,"",""),"""")"),"ES0031408323131005HX0F")</f>
        <v>ES0031408323131005HX0F</v>
      </c>
      <c r="B9853" s="17">
        <f>IFERROR(__xludf.DUMMYFUNCTION("""COMPUTED_VALUE"""),45276.0)</f>
        <v>45276</v>
      </c>
      <c r="C9853" s="13">
        <f>IFERROR(__xludf.DUMMYFUNCTION("""COMPUTED_VALUE"""),0.5)</f>
        <v>0.5</v>
      </c>
      <c r="D9853" s="8">
        <f>IFERROR(__xludf.DUMMYFUNCTION("""COMPUTED_VALUE"""),0.122)</f>
        <v>0.122</v>
      </c>
      <c r="E9853" s="8" t="str">
        <f>IFERROR(__xludf.DUMMYFUNCTION("""COMPUTED_VALUE"""),"Real")</f>
        <v>Real</v>
      </c>
      <c r="G9853" s="8">
        <f t="shared" si="1"/>
        <v>12</v>
      </c>
      <c r="H9853" s="14">
        <f t="shared" si="2"/>
        <v>16</v>
      </c>
      <c r="I9853" s="15">
        <f t="shared" si="3"/>
        <v>12</v>
      </c>
    </row>
    <row r="9854">
      <c r="A9854" s="8" t="str">
        <f>IFERROR(__xludf.DUMMYFUNCTION("IF('(INGESTA)Datos_consumo_datadis'!A9854&lt;&gt;"""",SPLIT('(INGESTA)Datos_consumo_datadis'!A:A,"",""),"""")"),"ES0031408323131005HX0F")</f>
        <v>ES0031408323131005HX0F</v>
      </c>
      <c r="B9854" s="17">
        <f>IFERROR(__xludf.DUMMYFUNCTION("""COMPUTED_VALUE"""),45276.0)</f>
        <v>45276</v>
      </c>
      <c r="C9854" s="13">
        <f>IFERROR(__xludf.DUMMYFUNCTION("""COMPUTED_VALUE"""),0.5416666666666666)</f>
        <v>0.5416666667</v>
      </c>
      <c r="D9854" s="8">
        <f>IFERROR(__xludf.DUMMYFUNCTION("""COMPUTED_VALUE"""),0.114)</f>
        <v>0.114</v>
      </c>
      <c r="E9854" s="8" t="str">
        <f>IFERROR(__xludf.DUMMYFUNCTION("""COMPUTED_VALUE"""),"Real")</f>
        <v>Real</v>
      </c>
      <c r="G9854" s="8">
        <f t="shared" si="1"/>
        <v>12</v>
      </c>
      <c r="H9854" s="14">
        <f t="shared" si="2"/>
        <v>16</v>
      </c>
      <c r="I9854" s="15">
        <f t="shared" si="3"/>
        <v>13</v>
      </c>
    </row>
    <row r="9855">
      <c r="A9855" s="8" t="str">
        <f>IFERROR(__xludf.DUMMYFUNCTION("IF('(INGESTA)Datos_consumo_datadis'!A9855&lt;&gt;"""",SPLIT('(INGESTA)Datos_consumo_datadis'!A:A,"",""),"""")"),"ES0031408323131005HX0F")</f>
        <v>ES0031408323131005HX0F</v>
      </c>
      <c r="B9855" s="17">
        <f>IFERROR(__xludf.DUMMYFUNCTION("""COMPUTED_VALUE"""),45276.0)</f>
        <v>45276</v>
      </c>
      <c r="C9855" s="13">
        <f>IFERROR(__xludf.DUMMYFUNCTION("""COMPUTED_VALUE"""),0.5833333333333334)</f>
        <v>0.5833333333</v>
      </c>
      <c r="D9855" s="8">
        <f>IFERROR(__xludf.DUMMYFUNCTION("""COMPUTED_VALUE"""),0.303)</f>
        <v>0.303</v>
      </c>
      <c r="E9855" s="8" t="str">
        <f>IFERROR(__xludf.DUMMYFUNCTION("""COMPUTED_VALUE"""),"Real")</f>
        <v>Real</v>
      </c>
      <c r="G9855" s="8">
        <f t="shared" si="1"/>
        <v>12</v>
      </c>
      <c r="H9855" s="14">
        <f t="shared" si="2"/>
        <v>16</v>
      </c>
      <c r="I9855" s="15">
        <f t="shared" si="3"/>
        <v>14</v>
      </c>
    </row>
    <row r="9856">
      <c r="A9856" s="8" t="str">
        <f>IFERROR(__xludf.DUMMYFUNCTION("IF('(INGESTA)Datos_consumo_datadis'!A9856&lt;&gt;"""",SPLIT('(INGESTA)Datos_consumo_datadis'!A:A,"",""),"""")"),"ES0031408323131005HX0F")</f>
        <v>ES0031408323131005HX0F</v>
      </c>
      <c r="B9856" s="17">
        <f>IFERROR(__xludf.DUMMYFUNCTION("""COMPUTED_VALUE"""),45276.0)</f>
        <v>45276</v>
      </c>
      <c r="C9856" s="13">
        <f>IFERROR(__xludf.DUMMYFUNCTION("""COMPUTED_VALUE"""),0.625)</f>
        <v>0.625</v>
      </c>
      <c r="D9856" s="8">
        <f>IFERROR(__xludf.DUMMYFUNCTION("""COMPUTED_VALUE"""),0.07)</f>
        <v>0.07</v>
      </c>
      <c r="E9856" s="8" t="str">
        <f>IFERROR(__xludf.DUMMYFUNCTION("""COMPUTED_VALUE"""),"Real")</f>
        <v>Real</v>
      </c>
      <c r="G9856" s="8">
        <f t="shared" si="1"/>
        <v>12</v>
      </c>
      <c r="H9856" s="14">
        <f t="shared" si="2"/>
        <v>16</v>
      </c>
      <c r="I9856" s="15">
        <f t="shared" si="3"/>
        <v>15</v>
      </c>
    </row>
    <row r="9857">
      <c r="A9857" s="8" t="str">
        <f>IFERROR(__xludf.DUMMYFUNCTION("IF('(INGESTA)Datos_consumo_datadis'!A9857&lt;&gt;"""",SPLIT('(INGESTA)Datos_consumo_datadis'!A:A,"",""),"""")"),"ES0031408323131005HX0F")</f>
        <v>ES0031408323131005HX0F</v>
      </c>
      <c r="B9857" s="17">
        <f>IFERROR(__xludf.DUMMYFUNCTION("""COMPUTED_VALUE"""),45276.0)</f>
        <v>45276</v>
      </c>
      <c r="C9857" s="13">
        <f>IFERROR(__xludf.DUMMYFUNCTION("""COMPUTED_VALUE"""),0.6666666666666666)</f>
        <v>0.6666666667</v>
      </c>
      <c r="D9857" s="8">
        <f>IFERROR(__xludf.DUMMYFUNCTION("""COMPUTED_VALUE"""),0.118)</f>
        <v>0.118</v>
      </c>
      <c r="E9857" s="8" t="str">
        <f>IFERROR(__xludf.DUMMYFUNCTION("""COMPUTED_VALUE"""),"Real")</f>
        <v>Real</v>
      </c>
      <c r="G9857" s="8">
        <f t="shared" si="1"/>
        <v>12</v>
      </c>
      <c r="H9857" s="14">
        <f t="shared" si="2"/>
        <v>16</v>
      </c>
      <c r="I9857" s="15">
        <f t="shared" si="3"/>
        <v>16</v>
      </c>
    </row>
    <row r="9858">
      <c r="A9858" s="8" t="str">
        <f>IFERROR(__xludf.DUMMYFUNCTION("IF('(INGESTA)Datos_consumo_datadis'!A9858&lt;&gt;"""",SPLIT('(INGESTA)Datos_consumo_datadis'!A:A,"",""),"""")"),"ES0031408323131005HX0F")</f>
        <v>ES0031408323131005HX0F</v>
      </c>
      <c r="B9858" s="17">
        <f>IFERROR(__xludf.DUMMYFUNCTION("""COMPUTED_VALUE"""),45276.0)</f>
        <v>45276</v>
      </c>
      <c r="C9858" s="13">
        <f>IFERROR(__xludf.DUMMYFUNCTION("""COMPUTED_VALUE"""),0.7083333333333334)</f>
        <v>0.7083333333</v>
      </c>
      <c r="D9858" s="8">
        <f>IFERROR(__xludf.DUMMYFUNCTION("""COMPUTED_VALUE"""),0.113)</f>
        <v>0.113</v>
      </c>
      <c r="E9858" s="8" t="str">
        <f>IFERROR(__xludf.DUMMYFUNCTION("""COMPUTED_VALUE"""),"Real")</f>
        <v>Real</v>
      </c>
      <c r="G9858" s="8">
        <f t="shared" si="1"/>
        <v>12</v>
      </c>
      <c r="H9858" s="14">
        <f t="shared" si="2"/>
        <v>16</v>
      </c>
      <c r="I9858" s="15">
        <f t="shared" si="3"/>
        <v>17</v>
      </c>
    </row>
    <row r="9859">
      <c r="A9859" s="8" t="str">
        <f>IFERROR(__xludf.DUMMYFUNCTION("IF('(INGESTA)Datos_consumo_datadis'!A9859&lt;&gt;"""",SPLIT('(INGESTA)Datos_consumo_datadis'!A:A,"",""),"""")"),"ES0031408323131005HX0F")</f>
        <v>ES0031408323131005HX0F</v>
      </c>
      <c r="B9859" s="17">
        <f>IFERROR(__xludf.DUMMYFUNCTION("""COMPUTED_VALUE"""),45276.0)</f>
        <v>45276</v>
      </c>
      <c r="C9859" s="13">
        <f>IFERROR(__xludf.DUMMYFUNCTION("""COMPUTED_VALUE"""),0.75)</f>
        <v>0.75</v>
      </c>
      <c r="D9859" s="8">
        <f>IFERROR(__xludf.DUMMYFUNCTION("""COMPUTED_VALUE"""),0.074)</f>
        <v>0.074</v>
      </c>
      <c r="E9859" s="8" t="str">
        <f>IFERROR(__xludf.DUMMYFUNCTION("""COMPUTED_VALUE"""),"Real")</f>
        <v>Real</v>
      </c>
      <c r="G9859" s="8">
        <f t="shared" si="1"/>
        <v>12</v>
      </c>
      <c r="H9859" s="14">
        <f t="shared" si="2"/>
        <v>16</v>
      </c>
      <c r="I9859" s="15">
        <f t="shared" si="3"/>
        <v>18</v>
      </c>
    </row>
    <row r="9860">
      <c r="A9860" s="8" t="str">
        <f>IFERROR(__xludf.DUMMYFUNCTION("IF('(INGESTA)Datos_consumo_datadis'!A9860&lt;&gt;"""",SPLIT('(INGESTA)Datos_consumo_datadis'!A:A,"",""),"""")"),"ES0031408323131005HX0F")</f>
        <v>ES0031408323131005HX0F</v>
      </c>
      <c r="B9860" s="17">
        <f>IFERROR(__xludf.DUMMYFUNCTION("""COMPUTED_VALUE"""),45276.0)</f>
        <v>45276</v>
      </c>
      <c r="C9860" s="13">
        <f>IFERROR(__xludf.DUMMYFUNCTION("""COMPUTED_VALUE"""),0.7916666666666666)</f>
        <v>0.7916666667</v>
      </c>
      <c r="D9860" s="8">
        <f>IFERROR(__xludf.DUMMYFUNCTION("""COMPUTED_VALUE"""),0.022)</f>
        <v>0.022</v>
      </c>
      <c r="E9860" s="8" t="str">
        <f>IFERROR(__xludf.DUMMYFUNCTION("""COMPUTED_VALUE"""),"Real")</f>
        <v>Real</v>
      </c>
      <c r="G9860" s="8">
        <f t="shared" si="1"/>
        <v>12</v>
      </c>
      <c r="H9860" s="14">
        <f t="shared" si="2"/>
        <v>16</v>
      </c>
      <c r="I9860" s="15">
        <f t="shared" si="3"/>
        <v>19</v>
      </c>
    </row>
    <row r="9861">
      <c r="A9861" s="8" t="str">
        <f>IFERROR(__xludf.DUMMYFUNCTION("IF('(INGESTA)Datos_consumo_datadis'!A9861&lt;&gt;"""",SPLIT('(INGESTA)Datos_consumo_datadis'!A:A,"",""),"""")"),"ES0031408323131005HX0F")</f>
        <v>ES0031408323131005HX0F</v>
      </c>
      <c r="B9861" s="17">
        <f>IFERROR(__xludf.DUMMYFUNCTION("""COMPUTED_VALUE"""),45276.0)</f>
        <v>45276</v>
      </c>
      <c r="C9861" s="13">
        <f>IFERROR(__xludf.DUMMYFUNCTION("""COMPUTED_VALUE"""),0.8333333333333334)</f>
        <v>0.8333333333</v>
      </c>
      <c r="D9861" s="8">
        <f>IFERROR(__xludf.DUMMYFUNCTION("""COMPUTED_VALUE"""),0.144)</f>
        <v>0.144</v>
      </c>
      <c r="E9861" s="8" t="str">
        <f>IFERROR(__xludf.DUMMYFUNCTION("""COMPUTED_VALUE"""),"Real")</f>
        <v>Real</v>
      </c>
      <c r="G9861" s="8">
        <f t="shared" si="1"/>
        <v>12</v>
      </c>
      <c r="H9861" s="14">
        <f t="shared" si="2"/>
        <v>16</v>
      </c>
      <c r="I9861" s="15">
        <f t="shared" si="3"/>
        <v>20</v>
      </c>
    </row>
    <row r="9862">
      <c r="A9862" s="8" t="str">
        <f>IFERROR(__xludf.DUMMYFUNCTION("IF('(INGESTA)Datos_consumo_datadis'!A9862&lt;&gt;"""",SPLIT('(INGESTA)Datos_consumo_datadis'!A:A,"",""),"""")"),"ES0031408323131005HX0F")</f>
        <v>ES0031408323131005HX0F</v>
      </c>
      <c r="B9862" s="17">
        <f>IFERROR(__xludf.DUMMYFUNCTION("""COMPUTED_VALUE"""),45276.0)</f>
        <v>45276</v>
      </c>
      <c r="C9862" s="13">
        <f>IFERROR(__xludf.DUMMYFUNCTION("""COMPUTED_VALUE"""),0.875)</f>
        <v>0.875</v>
      </c>
      <c r="D9862" s="8">
        <f>IFERROR(__xludf.DUMMYFUNCTION("""COMPUTED_VALUE"""),0.411)</f>
        <v>0.411</v>
      </c>
      <c r="E9862" s="8" t="str">
        <f>IFERROR(__xludf.DUMMYFUNCTION("""COMPUTED_VALUE"""),"Real")</f>
        <v>Real</v>
      </c>
      <c r="G9862" s="8">
        <f t="shared" si="1"/>
        <v>12</v>
      </c>
      <c r="H9862" s="14">
        <f t="shared" si="2"/>
        <v>16</v>
      </c>
      <c r="I9862" s="15">
        <f t="shared" si="3"/>
        <v>21</v>
      </c>
    </row>
    <row r="9863">
      <c r="A9863" s="8" t="str">
        <f>IFERROR(__xludf.DUMMYFUNCTION("IF('(INGESTA)Datos_consumo_datadis'!A9863&lt;&gt;"""",SPLIT('(INGESTA)Datos_consumo_datadis'!A:A,"",""),"""")"),"ES0031408323131005HX0F")</f>
        <v>ES0031408323131005HX0F</v>
      </c>
      <c r="B9863" s="17">
        <f>IFERROR(__xludf.DUMMYFUNCTION("""COMPUTED_VALUE"""),45276.0)</f>
        <v>45276</v>
      </c>
      <c r="C9863" s="13">
        <f>IFERROR(__xludf.DUMMYFUNCTION("""COMPUTED_VALUE"""),0.9166666666666666)</f>
        <v>0.9166666667</v>
      </c>
      <c r="D9863" s="8">
        <f>IFERROR(__xludf.DUMMYFUNCTION("""COMPUTED_VALUE"""),2.979)</f>
        <v>2.979</v>
      </c>
      <c r="E9863" s="8" t="str">
        <f>IFERROR(__xludf.DUMMYFUNCTION("""COMPUTED_VALUE"""),"Real")</f>
        <v>Real</v>
      </c>
      <c r="G9863" s="8">
        <f t="shared" si="1"/>
        <v>12</v>
      </c>
      <c r="H9863" s="14">
        <f t="shared" si="2"/>
        <v>16</v>
      </c>
      <c r="I9863" s="15">
        <f t="shared" si="3"/>
        <v>22</v>
      </c>
    </row>
    <row r="9864">
      <c r="A9864" s="8" t="str">
        <f>IFERROR(__xludf.DUMMYFUNCTION("IF('(INGESTA)Datos_consumo_datadis'!A9864&lt;&gt;"""",SPLIT('(INGESTA)Datos_consumo_datadis'!A:A,"",""),"""")"),"ES0031408323131005HX0F")</f>
        <v>ES0031408323131005HX0F</v>
      </c>
      <c r="B9864" s="17">
        <f>IFERROR(__xludf.DUMMYFUNCTION("""COMPUTED_VALUE"""),45276.0)</f>
        <v>45276</v>
      </c>
      <c r="C9864" s="13">
        <f>IFERROR(__xludf.DUMMYFUNCTION("""COMPUTED_VALUE"""),0.9583333333333334)</f>
        <v>0.9583333333</v>
      </c>
      <c r="D9864" s="8">
        <f>IFERROR(__xludf.DUMMYFUNCTION("""COMPUTED_VALUE"""),0.395)</f>
        <v>0.395</v>
      </c>
      <c r="E9864" s="8" t="str">
        <f>IFERROR(__xludf.DUMMYFUNCTION("""COMPUTED_VALUE"""),"Real")</f>
        <v>Real</v>
      </c>
      <c r="G9864" s="8">
        <f t="shared" si="1"/>
        <v>12</v>
      </c>
      <c r="H9864" s="14">
        <f t="shared" si="2"/>
        <v>16</v>
      </c>
      <c r="I9864" s="15">
        <f t="shared" si="3"/>
        <v>23</v>
      </c>
    </row>
    <row r="9865">
      <c r="A9865" s="8" t="str">
        <f>IFERROR(__xludf.DUMMYFUNCTION("IF('(INGESTA)Datos_consumo_datadis'!A9865&lt;&gt;"""",SPLIT('(INGESTA)Datos_consumo_datadis'!A:A,"",""),"""")"),"ES0031408323131005HX0F")</f>
        <v>ES0031408323131005HX0F</v>
      </c>
      <c r="B9865" s="17">
        <f>IFERROR(__xludf.DUMMYFUNCTION("""COMPUTED_VALUE"""),45276.0)</f>
        <v>45276</v>
      </c>
      <c r="C9865" s="16">
        <f>IFERROR(__xludf.DUMMYFUNCTION("""COMPUTED_VALUE"""),1.0)</f>
        <v>1</v>
      </c>
      <c r="D9865" s="8">
        <f>IFERROR(__xludf.DUMMYFUNCTION("""COMPUTED_VALUE"""),0.091)</f>
        <v>0.091</v>
      </c>
      <c r="E9865" s="8" t="str">
        <f>IFERROR(__xludf.DUMMYFUNCTION("""COMPUTED_VALUE"""),"Real")</f>
        <v>Real</v>
      </c>
      <c r="G9865" s="8">
        <f t="shared" si="1"/>
        <v>12</v>
      </c>
      <c r="H9865" s="14">
        <f t="shared" si="2"/>
        <v>16</v>
      </c>
      <c r="I9865" s="15">
        <f t="shared" si="3"/>
        <v>0</v>
      </c>
    </row>
    <row r="9866">
      <c r="A9866" s="8" t="str">
        <f>IFERROR(__xludf.DUMMYFUNCTION("IF('(INGESTA)Datos_consumo_datadis'!A9866&lt;&gt;"""",SPLIT('(INGESTA)Datos_consumo_datadis'!A:A,"",""),"""")"),"ES0031408323131005HX0F")</f>
        <v>ES0031408323131005HX0F</v>
      </c>
      <c r="B9866" s="17">
        <f>IFERROR(__xludf.DUMMYFUNCTION("""COMPUTED_VALUE"""),45277.0)</f>
        <v>45277</v>
      </c>
      <c r="C9866" s="13">
        <f>IFERROR(__xludf.DUMMYFUNCTION("""COMPUTED_VALUE"""),0.041666666666666664)</f>
        <v>0.04166666667</v>
      </c>
      <c r="D9866" s="8">
        <f>IFERROR(__xludf.DUMMYFUNCTION("""COMPUTED_VALUE"""),0.068)</f>
        <v>0.068</v>
      </c>
      <c r="E9866" s="8" t="str">
        <f>IFERROR(__xludf.DUMMYFUNCTION("""COMPUTED_VALUE"""),"Real")</f>
        <v>Real</v>
      </c>
      <c r="G9866" s="8">
        <f t="shared" si="1"/>
        <v>12</v>
      </c>
      <c r="H9866" s="14">
        <f t="shared" si="2"/>
        <v>17</v>
      </c>
      <c r="I9866" s="15">
        <f t="shared" si="3"/>
        <v>1</v>
      </c>
    </row>
    <row r="9867">
      <c r="A9867" s="8" t="str">
        <f>IFERROR(__xludf.DUMMYFUNCTION("IF('(INGESTA)Datos_consumo_datadis'!A9867&lt;&gt;"""",SPLIT('(INGESTA)Datos_consumo_datadis'!A:A,"",""),"""")"),"ES0031408323131005HX0F")</f>
        <v>ES0031408323131005HX0F</v>
      </c>
      <c r="B9867" s="17">
        <f>IFERROR(__xludf.DUMMYFUNCTION("""COMPUTED_VALUE"""),45277.0)</f>
        <v>45277</v>
      </c>
      <c r="C9867" s="13">
        <f>IFERROR(__xludf.DUMMYFUNCTION("""COMPUTED_VALUE"""),0.08333333333333333)</f>
        <v>0.08333333333</v>
      </c>
      <c r="D9867" s="8">
        <f>IFERROR(__xludf.DUMMYFUNCTION("""COMPUTED_VALUE"""),0.306)</f>
        <v>0.306</v>
      </c>
      <c r="E9867" s="8" t="str">
        <f>IFERROR(__xludf.DUMMYFUNCTION("""COMPUTED_VALUE"""),"Real")</f>
        <v>Real</v>
      </c>
      <c r="G9867" s="8">
        <f t="shared" si="1"/>
        <v>12</v>
      </c>
      <c r="H9867" s="14">
        <f t="shared" si="2"/>
        <v>17</v>
      </c>
      <c r="I9867" s="15">
        <f t="shared" si="3"/>
        <v>2</v>
      </c>
    </row>
    <row r="9868">
      <c r="A9868" s="8" t="str">
        <f>IFERROR(__xludf.DUMMYFUNCTION("IF('(INGESTA)Datos_consumo_datadis'!A9868&lt;&gt;"""",SPLIT('(INGESTA)Datos_consumo_datadis'!A:A,"",""),"""")"),"ES0031408323131005HX0F")</f>
        <v>ES0031408323131005HX0F</v>
      </c>
      <c r="B9868" s="17">
        <f>IFERROR(__xludf.DUMMYFUNCTION("""COMPUTED_VALUE"""),45277.0)</f>
        <v>45277</v>
      </c>
      <c r="C9868" s="13">
        <f>IFERROR(__xludf.DUMMYFUNCTION("""COMPUTED_VALUE"""),0.125)</f>
        <v>0.125</v>
      </c>
      <c r="D9868" s="8">
        <f>IFERROR(__xludf.DUMMYFUNCTION("""COMPUTED_VALUE"""),0.127)</f>
        <v>0.127</v>
      </c>
      <c r="E9868" s="8" t="str">
        <f>IFERROR(__xludf.DUMMYFUNCTION("""COMPUTED_VALUE"""),"Real")</f>
        <v>Real</v>
      </c>
      <c r="G9868" s="8">
        <f t="shared" si="1"/>
        <v>12</v>
      </c>
      <c r="H9868" s="14">
        <f t="shared" si="2"/>
        <v>17</v>
      </c>
      <c r="I9868" s="15">
        <f t="shared" si="3"/>
        <v>3</v>
      </c>
    </row>
    <row r="9869">
      <c r="A9869" s="8" t="str">
        <f>IFERROR(__xludf.DUMMYFUNCTION("IF('(INGESTA)Datos_consumo_datadis'!A9869&lt;&gt;"""",SPLIT('(INGESTA)Datos_consumo_datadis'!A:A,"",""),"""")"),"ES0031408323131005HX0F")</f>
        <v>ES0031408323131005HX0F</v>
      </c>
      <c r="B9869" s="17">
        <f>IFERROR(__xludf.DUMMYFUNCTION("""COMPUTED_VALUE"""),45277.0)</f>
        <v>45277</v>
      </c>
      <c r="C9869" s="13">
        <f>IFERROR(__xludf.DUMMYFUNCTION("""COMPUTED_VALUE"""),0.16666666666666666)</f>
        <v>0.1666666667</v>
      </c>
      <c r="D9869" s="8">
        <f>IFERROR(__xludf.DUMMYFUNCTION("""COMPUTED_VALUE"""),0.062)</f>
        <v>0.062</v>
      </c>
      <c r="E9869" s="8" t="str">
        <f>IFERROR(__xludf.DUMMYFUNCTION("""COMPUTED_VALUE"""),"Real")</f>
        <v>Real</v>
      </c>
      <c r="G9869" s="8">
        <f t="shared" si="1"/>
        <v>12</v>
      </c>
      <c r="H9869" s="14">
        <f t="shared" si="2"/>
        <v>17</v>
      </c>
      <c r="I9869" s="15">
        <f t="shared" si="3"/>
        <v>4</v>
      </c>
    </row>
    <row r="9870">
      <c r="A9870" s="8" t="str">
        <f>IFERROR(__xludf.DUMMYFUNCTION("IF('(INGESTA)Datos_consumo_datadis'!A9870&lt;&gt;"""",SPLIT('(INGESTA)Datos_consumo_datadis'!A:A,"",""),"""")"),"ES0031408323131005HX0F")</f>
        <v>ES0031408323131005HX0F</v>
      </c>
      <c r="B9870" s="17">
        <f>IFERROR(__xludf.DUMMYFUNCTION("""COMPUTED_VALUE"""),45277.0)</f>
        <v>45277</v>
      </c>
      <c r="C9870" s="13">
        <f>IFERROR(__xludf.DUMMYFUNCTION("""COMPUTED_VALUE"""),0.20833333333333334)</f>
        <v>0.2083333333</v>
      </c>
      <c r="D9870" s="8">
        <f>IFERROR(__xludf.DUMMYFUNCTION("""COMPUTED_VALUE"""),0.089)</f>
        <v>0.089</v>
      </c>
      <c r="E9870" s="8" t="str">
        <f>IFERROR(__xludf.DUMMYFUNCTION("""COMPUTED_VALUE"""),"Real")</f>
        <v>Real</v>
      </c>
      <c r="G9870" s="8">
        <f t="shared" si="1"/>
        <v>12</v>
      </c>
      <c r="H9870" s="14">
        <f t="shared" si="2"/>
        <v>17</v>
      </c>
      <c r="I9870" s="15">
        <f t="shared" si="3"/>
        <v>5</v>
      </c>
    </row>
    <row r="9871">
      <c r="A9871" s="8" t="str">
        <f>IFERROR(__xludf.DUMMYFUNCTION("IF('(INGESTA)Datos_consumo_datadis'!A9871&lt;&gt;"""",SPLIT('(INGESTA)Datos_consumo_datadis'!A:A,"",""),"""")"),"ES0031408323131005HX0F")</f>
        <v>ES0031408323131005HX0F</v>
      </c>
      <c r="B9871" s="17">
        <f>IFERROR(__xludf.DUMMYFUNCTION("""COMPUTED_VALUE"""),45277.0)</f>
        <v>45277</v>
      </c>
      <c r="C9871" s="13">
        <f>IFERROR(__xludf.DUMMYFUNCTION("""COMPUTED_VALUE"""),0.25)</f>
        <v>0.25</v>
      </c>
      <c r="D9871" s="8">
        <f>IFERROR(__xludf.DUMMYFUNCTION("""COMPUTED_VALUE"""),0.029)</f>
        <v>0.029</v>
      </c>
      <c r="E9871" s="8" t="str">
        <f>IFERROR(__xludf.DUMMYFUNCTION("""COMPUTED_VALUE"""),"Real")</f>
        <v>Real</v>
      </c>
      <c r="G9871" s="8">
        <f t="shared" si="1"/>
        <v>12</v>
      </c>
      <c r="H9871" s="14">
        <f t="shared" si="2"/>
        <v>17</v>
      </c>
      <c r="I9871" s="15">
        <f t="shared" si="3"/>
        <v>6</v>
      </c>
    </row>
    <row r="9872">
      <c r="A9872" s="8" t="str">
        <f>IFERROR(__xludf.DUMMYFUNCTION("IF('(INGESTA)Datos_consumo_datadis'!A9872&lt;&gt;"""",SPLIT('(INGESTA)Datos_consumo_datadis'!A:A,"",""),"""")"),"ES0031408323131005HX0F")</f>
        <v>ES0031408323131005HX0F</v>
      </c>
      <c r="B9872" s="17">
        <f>IFERROR(__xludf.DUMMYFUNCTION("""COMPUTED_VALUE"""),45277.0)</f>
        <v>45277</v>
      </c>
      <c r="C9872" s="13">
        <f>IFERROR(__xludf.DUMMYFUNCTION("""COMPUTED_VALUE"""),0.2916666666666667)</f>
        <v>0.2916666667</v>
      </c>
      <c r="D9872" s="8">
        <f>IFERROR(__xludf.DUMMYFUNCTION("""COMPUTED_VALUE"""),0.016)</f>
        <v>0.016</v>
      </c>
      <c r="E9872" s="8" t="str">
        <f>IFERROR(__xludf.DUMMYFUNCTION("""COMPUTED_VALUE"""),"Real")</f>
        <v>Real</v>
      </c>
      <c r="G9872" s="8">
        <f t="shared" si="1"/>
        <v>12</v>
      </c>
      <c r="H9872" s="14">
        <f t="shared" si="2"/>
        <v>17</v>
      </c>
      <c r="I9872" s="15">
        <f t="shared" si="3"/>
        <v>7</v>
      </c>
    </row>
    <row r="9873">
      <c r="A9873" s="8" t="str">
        <f>IFERROR(__xludf.DUMMYFUNCTION("IF('(INGESTA)Datos_consumo_datadis'!A9873&lt;&gt;"""",SPLIT('(INGESTA)Datos_consumo_datadis'!A:A,"",""),"""")"),"ES0031408323131005HX0F")</f>
        <v>ES0031408323131005HX0F</v>
      </c>
      <c r="B9873" s="17">
        <f>IFERROR(__xludf.DUMMYFUNCTION("""COMPUTED_VALUE"""),45277.0)</f>
        <v>45277</v>
      </c>
      <c r="C9873" s="13">
        <f>IFERROR(__xludf.DUMMYFUNCTION("""COMPUTED_VALUE"""),0.3333333333333333)</f>
        <v>0.3333333333</v>
      </c>
      <c r="D9873" s="8">
        <f>IFERROR(__xludf.DUMMYFUNCTION("""COMPUTED_VALUE"""),0.38)</f>
        <v>0.38</v>
      </c>
      <c r="E9873" s="8" t="str">
        <f>IFERROR(__xludf.DUMMYFUNCTION("""COMPUTED_VALUE"""),"Real")</f>
        <v>Real</v>
      </c>
      <c r="G9873" s="8">
        <f t="shared" si="1"/>
        <v>12</v>
      </c>
      <c r="H9873" s="14">
        <f t="shared" si="2"/>
        <v>17</v>
      </c>
      <c r="I9873" s="15">
        <f t="shared" si="3"/>
        <v>8</v>
      </c>
    </row>
    <row r="9874">
      <c r="A9874" s="8" t="str">
        <f>IFERROR(__xludf.DUMMYFUNCTION("IF('(INGESTA)Datos_consumo_datadis'!A9874&lt;&gt;"""",SPLIT('(INGESTA)Datos_consumo_datadis'!A:A,"",""),"""")"),"ES0031408323131005HX0F")</f>
        <v>ES0031408323131005HX0F</v>
      </c>
      <c r="B9874" s="17">
        <f>IFERROR(__xludf.DUMMYFUNCTION("""COMPUTED_VALUE"""),45277.0)</f>
        <v>45277</v>
      </c>
      <c r="C9874" s="13">
        <f>IFERROR(__xludf.DUMMYFUNCTION("""COMPUTED_VALUE"""),0.375)</f>
        <v>0.375</v>
      </c>
      <c r="D9874" s="8">
        <f>IFERROR(__xludf.DUMMYFUNCTION("""COMPUTED_VALUE"""),0.048)</f>
        <v>0.048</v>
      </c>
      <c r="E9874" s="8" t="str">
        <f>IFERROR(__xludf.DUMMYFUNCTION("""COMPUTED_VALUE"""),"Real")</f>
        <v>Real</v>
      </c>
      <c r="G9874" s="8">
        <f t="shared" si="1"/>
        <v>12</v>
      </c>
      <c r="H9874" s="14">
        <f t="shared" si="2"/>
        <v>17</v>
      </c>
      <c r="I9874" s="15">
        <f t="shared" si="3"/>
        <v>9</v>
      </c>
    </row>
    <row r="9875">
      <c r="A9875" s="8" t="str">
        <f>IFERROR(__xludf.DUMMYFUNCTION("IF('(INGESTA)Datos_consumo_datadis'!A9875&lt;&gt;"""",SPLIT('(INGESTA)Datos_consumo_datadis'!A:A,"",""),"""")"),"ES0031408323131005HX0F")</f>
        <v>ES0031408323131005HX0F</v>
      </c>
      <c r="B9875" s="17">
        <f>IFERROR(__xludf.DUMMYFUNCTION("""COMPUTED_VALUE"""),45277.0)</f>
        <v>45277</v>
      </c>
      <c r="C9875" s="13">
        <f>IFERROR(__xludf.DUMMYFUNCTION("""COMPUTED_VALUE"""),0.4166666666666667)</f>
        <v>0.4166666667</v>
      </c>
      <c r="D9875" s="8">
        <f>IFERROR(__xludf.DUMMYFUNCTION("""COMPUTED_VALUE"""),0.065)</f>
        <v>0.065</v>
      </c>
      <c r="E9875" s="8" t="str">
        <f>IFERROR(__xludf.DUMMYFUNCTION("""COMPUTED_VALUE"""),"Real")</f>
        <v>Real</v>
      </c>
      <c r="G9875" s="8">
        <f t="shared" si="1"/>
        <v>12</v>
      </c>
      <c r="H9875" s="14">
        <f t="shared" si="2"/>
        <v>17</v>
      </c>
      <c r="I9875" s="15">
        <f t="shared" si="3"/>
        <v>10</v>
      </c>
    </row>
    <row r="9876">
      <c r="A9876" s="8" t="str">
        <f>IFERROR(__xludf.DUMMYFUNCTION("IF('(INGESTA)Datos_consumo_datadis'!A9876&lt;&gt;"""",SPLIT('(INGESTA)Datos_consumo_datadis'!A:A,"",""),"""")"),"ES0031408323131005HX0F")</f>
        <v>ES0031408323131005HX0F</v>
      </c>
      <c r="B9876" s="17">
        <f>IFERROR(__xludf.DUMMYFUNCTION("""COMPUTED_VALUE"""),45277.0)</f>
        <v>45277</v>
      </c>
      <c r="C9876" s="13">
        <f>IFERROR(__xludf.DUMMYFUNCTION("""COMPUTED_VALUE"""),0.4583333333333333)</f>
        <v>0.4583333333</v>
      </c>
      <c r="D9876" s="8">
        <f>IFERROR(__xludf.DUMMYFUNCTION("""COMPUTED_VALUE"""),0.034)</f>
        <v>0.034</v>
      </c>
      <c r="E9876" s="8" t="str">
        <f>IFERROR(__xludf.DUMMYFUNCTION("""COMPUTED_VALUE"""),"Real")</f>
        <v>Real</v>
      </c>
      <c r="G9876" s="8">
        <f t="shared" si="1"/>
        <v>12</v>
      </c>
      <c r="H9876" s="14">
        <f t="shared" si="2"/>
        <v>17</v>
      </c>
      <c r="I9876" s="15">
        <f t="shared" si="3"/>
        <v>11</v>
      </c>
    </row>
    <row r="9877">
      <c r="A9877" s="8" t="str">
        <f>IFERROR(__xludf.DUMMYFUNCTION("IF('(INGESTA)Datos_consumo_datadis'!A9877&lt;&gt;"""",SPLIT('(INGESTA)Datos_consumo_datadis'!A:A,"",""),"""")"),"ES0031408323131005HX0F")</f>
        <v>ES0031408323131005HX0F</v>
      </c>
      <c r="B9877" s="17">
        <f>IFERROR(__xludf.DUMMYFUNCTION("""COMPUTED_VALUE"""),45277.0)</f>
        <v>45277</v>
      </c>
      <c r="C9877" s="13">
        <f>IFERROR(__xludf.DUMMYFUNCTION("""COMPUTED_VALUE"""),0.5)</f>
        <v>0.5</v>
      </c>
      <c r="D9877" s="8">
        <f>IFERROR(__xludf.DUMMYFUNCTION("""COMPUTED_VALUE"""),0.866)</f>
        <v>0.866</v>
      </c>
      <c r="E9877" s="8" t="str">
        <f>IFERROR(__xludf.DUMMYFUNCTION("""COMPUTED_VALUE"""),"Real")</f>
        <v>Real</v>
      </c>
      <c r="G9877" s="8">
        <f t="shared" si="1"/>
        <v>12</v>
      </c>
      <c r="H9877" s="14">
        <f t="shared" si="2"/>
        <v>17</v>
      </c>
      <c r="I9877" s="15">
        <f t="shared" si="3"/>
        <v>12</v>
      </c>
    </row>
    <row r="9878">
      <c r="A9878" s="8" t="str">
        <f>IFERROR(__xludf.DUMMYFUNCTION("IF('(INGESTA)Datos_consumo_datadis'!A9878&lt;&gt;"""",SPLIT('(INGESTA)Datos_consumo_datadis'!A:A,"",""),"""")"),"ES0031408323131005HX0F")</f>
        <v>ES0031408323131005HX0F</v>
      </c>
      <c r="B9878" s="17">
        <f>IFERROR(__xludf.DUMMYFUNCTION("""COMPUTED_VALUE"""),45277.0)</f>
        <v>45277</v>
      </c>
      <c r="C9878" s="13">
        <f>IFERROR(__xludf.DUMMYFUNCTION("""COMPUTED_VALUE"""),0.5416666666666666)</f>
        <v>0.5416666667</v>
      </c>
      <c r="D9878" s="8">
        <f>IFERROR(__xludf.DUMMYFUNCTION("""COMPUTED_VALUE"""),0.306)</f>
        <v>0.306</v>
      </c>
      <c r="E9878" s="8" t="str">
        <f>IFERROR(__xludf.DUMMYFUNCTION("""COMPUTED_VALUE"""),"Real")</f>
        <v>Real</v>
      </c>
      <c r="G9878" s="8">
        <f t="shared" si="1"/>
        <v>12</v>
      </c>
      <c r="H9878" s="14">
        <f t="shared" si="2"/>
        <v>17</v>
      </c>
      <c r="I9878" s="15">
        <f t="shared" si="3"/>
        <v>13</v>
      </c>
    </row>
    <row r="9879">
      <c r="A9879" s="8" t="str">
        <f>IFERROR(__xludf.DUMMYFUNCTION("IF('(INGESTA)Datos_consumo_datadis'!A9879&lt;&gt;"""",SPLIT('(INGESTA)Datos_consumo_datadis'!A:A,"",""),"""")"),"ES0031408323131005HX0F")</f>
        <v>ES0031408323131005HX0F</v>
      </c>
      <c r="B9879" s="17">
        <f>IFERROR(__xludf.DUMMYFUNCTION("""COMPUTED_VALUE"""),45277.0)</f>
        <v>45277</v>
      </c>
      <c r="C9879" s="13">
        <f>IFERROR(__xludf.DUMMYFUNCTION("""COMPUTED_VALUE"""),0.5833333333333334)</f>
        <v>0.5833333333</v>
      </c>
      <c r="D9879" s="8">
        <f>IFERROR(__xludf.DUMMYFUNCTION("""COMPUTED_VALUE"""),0.303)</f>
        <v>0.303</v>
      </c>
      <c r="E9879" s="8" t="str">
        <f>IFERROR(__xludf.DUMMYFUNCTION("""COMPUTED_VALUE"""),"Real")</f>
        <v>Real</v>
      </c>
      <c r="G9879" s="8">
        <f t="shared" si="1"/>
        <v>12</v>
      </c>
      <c r="H9879" s="14">
        <f t="shared" si="2"/>
        <v>17</v>
      </c>
      <c r="I9879" s="15">
        <f t="shared" si="3"/>
        <v>14</v>
      </c>
    </row>
    <row r="9880">
      <c r="A9880" s="8" t="str">
        <f>IFERROR(__xludf.DUMMYFUNCTION("IF('(INGESTA)Datos_consumo_datadis'!A9880&lt;&gt;"""",SPLIT('(INGESTA)Datos_consumo_datadis'!A:A,"",""),"""")"),"ES0031408323131005HX0F")</f>
        <v>ES0031408323131005HX0F</v>
      </c>
      <c r="B9880" s="17">
        <f>IFERROR(__xludf.DUMMYFUNCTION("""COMPUTED_VALUE"""),45277.0)</f>
        <v>45277</v>
      </c>
      <c r="C9880" s="13">
        <f>IFERROR(__xludf.DUMMYFUNCTION("""COMPUTED_VALUE"""),0.625)</f>
        <v>0.625</v>
      </c>
      <c r="D9880" s="8">
        <f>IFERROR(__xludf.DUMMYFUNCTION("""COMPUTED_VALUE"""),0.037)</f>
        <v>0.037</v>
      </c>
      <c r="E9880" s="8" t="str">
        <f>IFERROR(__xludf.DUMMYFUNCTION("""COMPUTED_VALUE"""),"Real")</f>
        <v>Real</v>
      </c>
      <c r="G9880" s="8">
        <f t="shared" si="1"/>
        <v>12</v>
      </c>
      <c r="H9880" s="14">
        <f t="shared" si="2"/>
        <v>17</v>
      </c>
      <c r="I9880" s="15">
        <f t="shared" si="3"/>
        <v>15</v>
      </c>
    </row>
    <row r="9881">
      <c r="A9881" s="8" t="str">
        <f>IFERROR(__xludf.DUMMYFUNCTION("IF('(INGESTA)Datos_consumo_datadis'!A9881&lt;&gt;"""",SPLIT('(INGESTA)Datos_consumo_datadis'!A:A,"",""),"""")"),"ES0031408323131005HX0F")</f>
        <v>ES0031408323131005HX0F</v>
      </c>
      <c r="B9881" s="17">
        <f>IFERROR(__xludf.DUMMYFUNCTION("""COMPUTED_VALUE"""),45277.0)</f>
        <v>45277</v>
      </c>
      <c r="C9881" s="13">
        <f>IFERROR(__xludf.DUMMYFUNCTION("""COMPUTED_VALUE"""),0.6666666666666666)</f>
        <v>0.6666666667</v>
      </c>
      <c r="D9881" s="8">
        <f>IFERROR(__xludf.DUMMYFUNCTION("""COMPUTED_VALUE"""),0.064)</f>
        <v>0.064</v>
      </c>
      <c r="E9881" s="8" t="str">
        <f>IFERROR(__xludf.DUMMYFUNCTION("""COMPUTED_VALUE"""),"Real")</f>
        <v>Real</v>
      </c>
      <c r="G9881" s="8">
        <f t="shared" si="1"/>
        <v>12</v>
      </c>
      <c r="H9881" s="14">
        <f t="shared" si="2"/>
        <v>17</v>
      </c>
      <c r="I9881" s="15">
        <f t="shared" si="3"/>
        <v>16</v>
      </c>
    </row>
    <row r="9882">
      <c r="A9882" s="8" t="str">
        <f>IFERROR(__xludf.DUMMYFUNCTION("IF('(INGESTA)Datos_consumo_datadis'!A9882&lt;&gt;"""",SPLIT('(INGESTA)Datos_consumo_datadis'!A:A,"",""),"""")"),"ES0031408323131005HX0F")</f>
        <v>ES0031408323131005HX0F</v>
      </c>
      <c r="B9882" s="17">
        <f>IFERROR(__xludf.DUMMYFUNCTION("""COMPUTED_VALUE"""),45277.0)</f>
        <v>45277</v>
      </c>
      <c r="C9882" s="13">
        <f>IFERROR(__xludf.DUMMYFUNCTION("""COMPUTED_VALUE"""),0.7083333333333334)</f>
        <v>0.7083333333</v>
      </c>
      <c r="D9882" s="8">
        <f>IFERROR(__xludf.DUMMYFUNCTION("""COMPUTED_VALUE"""),0.391)</f>
        <v>0.391</v>
      </c>
      <c r="E9882" s="8" t="str">
        <f>IFERROR(__xludf.DUMMYFUNCTION("""COMPUTED_VALUE"""),"Real")</f>
        <v>Real</v>
      </c>
      <c r="G9882" s="8">
        <f t="shared" si="1"/>
        <v>12</v>
      </c>
      <c r="H9882" s="14">
        <f t="shared" si="2"/>
        <v>17</v>
      </c>
      <c r="I9882" s="15">
        <f t="shared" si="3"/>
        <v>17</v>
      </c>
    </row>
    <row r="9883">
      <c r="A9883" s="8" t="str">
        <f>IFERROR(__xludf.DUMMYFUNCTION("IF('(INGESTA)Datos_consumo_datadis'!A9883&lt;&gt;"""",SPLIT('(INGESTA)Datos_consumo_datadis'!A:A,"",""),"""")"),"ES0031408323131005HX0F")</f>
        <v>ES0031408323131005HX0F</v>
      </c>
      <c r="B9883" s="17">
        <f>IFERROR(__xludf.DUMMYFUNCTION("""COMPUTED_VALUE"""),45277.0)</f>
        <v>45277</v>
      </c>
      <c r="C9883" s="13">
        <f>IFERROR(__xludf.DUMMYFUNCTION("""COMPUTED_VALUE"""),0.75)</f>
        <v>0.75</v>
      </c>
      <c r="D9883" s="8">
        <f>IFERROR(__xludf.DUMMYFUNCTION("""COMPUTED_VALUE"""),0.103)</f>
        <v>0.103</v>
      </c>
      <c r="E9883" s="8" t="str">
        <f>IFERROR(__xludf.DUMMYFUNCTION("""COMPUTED_VALUE"""),"Real")</f>
        <v>Real</v>
      </c>
      <c r="G9883" s="8">
        <f t="shared" si="1"/>
        <v>12</v>
      </c>
      <c r="H9883" s="14">
        <f t="shared" si="2"/>
        <v>17</v>
      </c>
      <c r="I9883" s="15">
        <f t="shared" si="3"/>
        <v>18</v>
      </c>
    </row>
    <row r="9884">
      <c r="A9884" s="8" t="str">
        <f>IFERROR(__xludf.DUMMYFUNCTION("IF('(INGESTA)Datos_consumo_datadis'!A9884&lt;&gt;"""",SPLIT('(INGESTA)Datos_consumo_datadis'!A:A,"",""),"""")"),"ES0031408323131005HX0F")</f>
        <v>ES0031408323131005HX0F</v>
      </c>
      <c r="B9884" s="17">
        <f>IFERROR(__xludf.DUMMYFUNCTION("""COMPUTED_VALUE"""),45277.0)</f>
        <v>45277</v>
      </c>
      <c r="C9884" s="13">
        <f>IFERROR(__xludf.DUMMYFUNCTION("""COMPUTED_VALUE"""),0.7916666666666666)</f>
        <v>0.7916666667</v>
      </c>
      <c r="D9884" s="8">
        <f>IFERROR(__xludf.DUMMYFUNCTION("""COMPUTED_VALUE"""),0.046)</f>
        <v>0.046</v>
      </c>
      <c r="E9884" s="8" t="str">
        <f>IFERROR(__xludf.DUMMYFUNCTION("""COMPUTED_VALUE"""),"Real")</f>
        <v>Real</v>
      </c>
      <c r="G9884" s="8">
        <f t="shared" si="1"/>
        <v>12</v>
      </c>
      <c r="H9884" s="14">
        <f t="shared" si="2"/>
        <v>17</v>
      </c>
      <c r="I9884" s="15">
        <f t="shared" si="3"/>
        <v>19</v>
      </c>
    </row>
    <row r="9885">
      <c r="A9885" s="8" t="str">
        <f>IFERROR(__xludf.DUMMYFUNCTION("IF('(INGESTA)Datos_consumo_datadis'!A9885&lt;&gt;"""",SPLIT('(INGESTA)Datos_consumo_datadis'!A:A,"",""),"""")"),"ES0031408323131005HX0F")</f>
        <v>ES0031408323131005HX0F</v>
      </c>
      <c r="B9885" s="17">
        <f>IFERROR(__xludf.DUMMYFUNCTION("""COMPUTED_VALUE"""),45277.0)</f>
        <v>45277</v>
      </c>
      <c r="C9885" s="13">
        <f>IFERROR(__xludf.DUMMYFUNCTION("""COMPUTED_VALUE"""),0.8333333333333334)</f>
        <v>0.8333333333</v>
      </c>
      <c r="D9885" s="8">
        <f>IFERROR(__xludf.DUMMYFUNCTION("""COMPUTED_VALUE"""),0.074)</f>
        <v>0.074</v>
      </c>
      <c r="E9885" s="8" t="str">
        <f>IFERROR(__xludf.DUMMYFUNCTION("""COMPUTED_VALUE"""),"Real")</f>
        <v>Real</v>
      </c>
      <c r="G9885" s="8">
        <f t="shared" si="1"/>
        <v>12</v>
      </c>
      <c r="H9885" s="14">
        <f t="shared" si="2"/>
        <v>17</v>
      </c>
      <c r="I9885" s="15">
        <f t="shared" si="3"/>
        <v>20</v>
      </c>
    </row>
    <row r="9886">
      <c r="A9886" s="8" t="str">
        <f>IFERROR(__xludf.DUMMYFUNCTION("IF('(INGESTA)Datos_consumo_datadis'!A9886&lt;&gt;"""",SPLIT('(INGESTA)Datos_consumo_datadis'!A:A,"",""),"""")"),"ES0031408323131005HX0F")</f>
        <v>ES0031408323131005HX0F</v>
      </c>
      <c r="B9886" s="17">
        <f>IFERROR(__xludf.DUMMYFUNCTION("""COMPUTED_VALUE"""),45277.0)</f>
        <v>45277</v>
      </c>
      <c r="C9886" s="13">
        <f>IFERROR(__xludf.DUMMYFUNCTION("""COMPUTED_VALUE"""),0.875)</f>
        <v>0.875</v>
      </c>
      <c r="D9886" s="8">
        <f>IFERROR(__xludf.DUMMYFUNCTION("""COMPUTED_VALUE"""),1.725)</f>
        <v>1.725</v>
      </c>
      <c r="E9886" s="8" t="str">
        <f>IFERROR(__xludf.DUMMYFUNCTION("""COMPUTED_VALUE"""),"Real")</f>
        <v>Real</v>
      </c>
      <c r="G9886" s="8">
        <f t="shared" si="1"/>
        <v>12</v>
      </c>
      <c r="H9886" s="14">
        <f t="shared" si="2"/>
        <v>17</v>
      </c>
      <c r="I9886" s="15">
        <f t="shared" si="3"/>
        <v>21</v>
      </c>
    </row>
    <row r="9887">
      <c r="A9887" s="8" t="str">
        <f>IFERROR(__xludf.DUMMYFUNCTION("IF('(INGESTA)Datos_consumo_datadis'!A9887&lt;&gt;"""",SPLIT('(INGESTA)Datos_consumo_datadis'!A:A,"",""),"""")"),"ES0031408323131005HX0F")</f>
        <v>ES0031408323131005HX0F</v>
      </c>
      <c r="B9887" s="17">
        <f>IFERROR(__xludf.DUMMYFUNCTION("""COMPUTED_VALUE"""),45277.0)</f>
        <v>45277</v>
      </c>
      <c r="C9887" s="13">
        <f>IFERROR(__xludf.DUMMYFUNCTION("""COMPUTED_VALUE"""),0.9166666666666666)</f>
        <v>0.9166666667</v>
      </c>
      <c r="D9887" s="8">
        <f>IFERROR(__xludf.DUMMYFUNCTION("""COMPUTED_VALUE"""),0.918)</f>
        <v>0.918</v>
      </c>
      <c r="E9887" s="8" t="str">
        <f>IFERROR(__xludf.DUMMYFUNCTION("""COMPUTED_VALUE"""),"Real")</f>
        <v>Real</v>
      </c>
      <c r="G9887" s="8">
        <f t="shared" si="1"/>
        <v>12</v>
      </c>
      <c r="H9887" s="14">
        <f t="shared" si="2"/>
        <v>17</v>
      </c>
      <c r="I9887" s="15">
        <f t="shared" si="3"/>
        <v>22</v>
      </c>
    </row>
    <row r="9888">
      <c r="A9888" s="8" t="str">
        <f>IFERROR(__xludf.DUMMYFUNCTION("IF('(INGESTA)Datos_consumo_datadis'!A9888&lt;&gt;"""",SPLIT('(INGESTA)Datos_consumo_datadis'!A:A,"",""),"""")"),"ES0031408323131005HX0F")</f>
        <v>ES0031408323131005HX0F</v>
      </c>
      <c r="B9888" s="17">
        <f>IFERROR(__xludf.DUMMYFUNCTION("""COMPUTED_VALUE"""),45277.0)</f>
        <v>45277</v>
      </c>
      <c r="C9888" s="13">
        <f>IFERROR(__xludf.DUMMYFUNCTION("""COMPUTED_VALUE"""),0.9583333333333334)</f>
        <v>0.9583333333</v>
      </c>
      <c r="D9888" s="8">
        <f>IFERROR(__xludf.DUMMYFUNCTION("""COMPUTED_VALUE"""),0.079)</f>
        <v>0.079</v>
      </c>
      <c r="E9888" s="8" t="str">
        <f>IFERROR(__xludf.DUMMYFUNCTION("""COMPUTED_VALUE"""),"Real")</f>
        <v>Real</v>
      </c>
      <c r="G9888" s="8">
        <f t="shared" si="1"/>
        <v>12</v>
      </c>
      <c r="H9888" s="14">
        <f t="shared" si="2"/>
        <v>17</v>
      </c>
      <c r="I9888" s="15">
        <f t="shared" si="3"/>
        <v>23</v>
      </c>
    </row>
    <row r="9889">
      <c r="A9889" s="8" t="str">
        <f>IFERROR(__xludf.DUMMYFUNCTION("IF('(INGESTA)Datos_consumo_datadis'!A9889&lt;&gt;"""",SPLIT('(INGESTA)Datos_consumo_datadis'!A:A,"",""),"""")"),"ES0031408323131005HX0F")</f>
        <v>ES0031408323131005HX0F</v>
      </c>
      <c r="B9889" s="17">
        <f>IFERROR(__xludf.DUMMYFUNCTION("""COMPUTED_VALUE"""),45277.0)</f>
        <v>45277</v>
      </c>
      <c r="C9889" s="16">
        <f>IFERROR(__xludf.DUMMYFUNCTION("""COMPUTED_VALUE"""),1.0)</f>
        <v>1</v>
      </c>
      <c r="D9889" s="8">
        <f>IFERROR(__xludf.DUMMYFUNCTION("""COMPUTED_VALUE"""),0.079)</f>
        <v>0.079</v>
      </c>
      <c r="E9889" s="8" t="str">
        <f>IFERROR(__xludf.DUMMYFUNCTION("""COMPUTED_VALUE"""),"Real")</f>
        <v>Real</v>
      </c>
      <c r="G9889" s="8">
        <f t="shared" si="1"/>
        <v>12</v>
      </c>
      <c r="H9889" s="14">
        <f t="shared" si="2"/>
        <v>17</v>
      </c>
      <c r="I9889" s="15">
        <f t="shared" si="3"/>
        <v>0</v>
      </c>
    </row>
    <row r="9890">
      <c r="A9890" s="8" t="str">
        <f>IFERROR(__xludf.DUMMYFUNCTION("IF('(INGESTA)Datos_consumo_datadis'!A9890&lt;&gt;"""",SPLIT('(INGESTA)Datos_consumo_datadis'!A:A,"",""),"""")"),"ES0031408323131005HX0F")</f>
        <v>ES0031408323131005HX0F</v>
      </c>
      <c r="B9890" s="17">
        <f>IFERROR(__xludf.DUMMYFUNCTION("""COMPUTED_VALUE"""),45278.0)</f>
        <v>45278</v>
      </c>
      <c r="C9890" s="13">
        <f>IFERROR(__xludf.DUMMYFUNCTION("""COMPUTED_VALUE"""),0.041666666666666664)</f>
        <v>0.04166666667</v>
      </c>
      <c r="D9890" s="8">
        <f>IFERROR(__xludf.DUMMYFUNCTION("""COMPUTED_VALUE"""),0.348)</f>
        <v>0.348</v>
      </c>
      <c r="E9890" s="8" t="str">
        <f>IFERROR(__xludf.DUMMYFUNCTION("""COMPUTED_VALUE"""),"Real")</f>
        <v>Real</v>
      </c>
      <c r="G9890" s="8">
        <f t="shared" si="1"/>
        <v>12</v>
      </c>
      <c r="H9890" s="14">
        <f t="shared" si="2"/>
        <v>18</v>
      </c>
      <c r="I9890" s="15">
        <f t="shared" si="3"/>
        <v>1</v>
      </c>
    </row>
    <row r="9891">
      <c r="A9891" s="8" t="str">
        <f>IFERROR(__xludf.DUMMYFUNCTION("IF('(INGESTA)Datos_consumo_datadis'!A9891&lt;&gt;"""",SPLIT('(INGESTA)Datos_consumo_datadis'!A:A,"",""),"""")"),"ES0031408323131005HX0F")</f>
        <v>ES0031408323131005HX0F</v>
      </c>
      <c r="B9891" s="17">
        <f>IFERROR(__xludf.DUMMYFUNCTION("""COMPUTED_VALUE"""),45278.0)</f>
        <v>45278</v>
      </c>
      <c r="C9891" s="13">
        <f>IFERROR(__xludf.DUMMYFUNCTION("""COMPUTED_VALUE"""),0.08333333333333333)</f>
        <v>0.08333333333</v>
      </c>
      <c r="D9891" s="8">
        <f>IFERROR(__xludf.DUMMYFUNCTION("""COMPUTED_VALUE"""),0.067)</f>
        <v>0.067</v>
      </c>
      <c r="E9891" s="8" t="str">
        <f>IFERROR(__xludf.DUMMYFUNCTION("""COMPUTED_VALUE"""),"Real")</f>
        <v>Real</v>
      </c>
      <c r="G9891" s="8">
        <f t="shared" si="1"/>
        <v>12</v>
      </c>
      <c r="H9891" s="14">
        <f t="shared" si="2"/>
        <v>18</v>
      </c>
      <c r="I9891" s="15">
        <f t="shared" si="3"/>
        <v>2</v>
      </c>
    </row>
    <row r="9892">
      <c r="A9892" s="8" t="str">
        <f>IFERROR(__xludf.DUMMYFUNCTION("IF('(INGESTA)Datos_consumo_datadis'!A9892&lt;&gt;"""",SPLIT('(INGESTA)Datos_consumo_datadis'!A:A,"",""),"""")"),"ES0031408323131005HX0F")</f>
        <v>ES0031408323131005HX0F</v>
      </c>
      <c r="B9892" s="17">
        <f>IFERROR(__xludf.DUMMYFUNCTION("""COMPUTED_VALUE"""),45278.0)</f>
        <v>45278</v>
      </c>
      <c r="C9892" s="13">
        <f>IFERROR(__xludf.DUMMYFUNCTION("""COMPUTED_VALUE"""),0.125)</f>
        <v>0.125</v>
      </c>
      <c r="D9892" s="8">
        <f>IFERROR(__xludf.DUMMYFUNCTION("""COMPUTED_VALUE"""),0.036)</f>
        <v>0.036</v>
      </c>
      <c r="E9892" s="8" t="str">
        <f>IFERROR(__xludf.DUMMYFUNCTION("""COMPUTED_VALUE"""),"Real")</f>
        <v>Real</v>
      </c>
      <c r="G9892" s="8">
        <f t="shared" si="1"/>
        <v>12</v>
      </c>
      <c r="H9892" s="14">
        <f t="shared" si="2"/>
        <v>18</v>
      </c>
      <c r="I9892" s="15">
        <f t="shared" si="3"/>
        <v>3</v>
      </c>
    </row>
    <row r="9893">
      <c r="A9893" s="8" t="str">
        <f>IFERROR(__xludf.DUMMYFUNCTION("IF('(INGESTA)Datos_consumo_datadis'!A9893&lt;&gt;"""",SPLIT('(INGESTA)Datos_consumo_datadis'!A:A,"",""),"""")"),"ES0031408323131005HX0F")</f>
        <v>ES0031408323131005HX0F</v>
      </c>
      <c r="B9893" s="17">
        <f>IFERROR(__xludf.DUMMYFUNCTION("""COMPUTED_VALUE"""),45278.0)</f>
        <v>45278</v>
      </c>
      <c r="C9893" s="13">
        <f>IFERROR(__xludf.DUMMYFUNCTION("""COMPUTED_VALUE"""),0.16666666666666666)</f>
        <v>0.1666666667</v>
      </c>
      <c r="D9893" s="8">
        <f>IFERROR(__xludf.DUMMYFUNCTION("""COMPUTED_VALUE"""),0.053)</f>
        <v>0.053</v>
      </c>
      <c r="E9893" s="8" t="str">
        <f>IFERROR(__xludf.DUMMYFUNCTION("""COMPUTED_VALUE"""),"Real")</f>
        <v>Real</v>
      </c>
      <c r="G9893" s="8">
        <f t="shared" si="1"/>
        <v>12</v>
      </c>
      <c r="H9893" s="14">
        <f t="shared" si="2"/>
        <v>18</v>
      </c>
      <c r="I9893" s="15">
        <f t="shared" si="3"/>
        <v>4</v>
      </c>
    </row>
    <row r="9894">
      <c r="A9894" s="8" t="str">
        <f>IFERROR(__xludf.DUMMYFUNCTION("IF('(INGESTA)Datos_consumo_datadis'!A9894&lt;&gt;"""",SPLIT('(INGESTA)Datos_consumo_datadis'!A:A,"",""),"""")"),"ES0031408323131005HX0F")</f>
        <v>ES0031408323131005HX0F</v>
      </c>
      <c r="B9894" s="17">
        <f>IFERROR(__xludf.DUMMYFUNCTION("""COMPUTED_VALUE"""),45278.0)</f>
        <v>45278</v>
      </c>
      <c r="C9894" s="13">
        <f>IFERROR(__xludf.DUMMYFUNCTION("""COMPUTED_VALUE"""),0.20833333333333334)</f>
        <v>0.2083333333</v>
      </c>
      <c r="D9894" s="8">
        <f>IFERROR(__xludf.DUMMYFUNCTION("""COMPUTED_VALUE"""),0.098)</f>
        <v>0.098</v>
      </c>
      <c r="E9894" s="8" t="str">
        <f>IFERROR(__xludf.DUMMYFUNCTION("""COMPUTED_VALUE"""),"Real")</f>
        <v>Real</v>
      </c>
      <c r="G9894" s="8">
        <f t="shared" si="1"/>
        <v>12</v>
      </c>
      <c r="H9894" s="14">
        <f t="shared" si="2"/>
        <v>18</v>
      </c>
      <c r="I9894" s="15">
        <f t="shared" si="3"/>
        <v>5</v>
      </c>
    </row>
    <row r="9895">
      <c r="A9895" s="8" t="str">
        <f>IFERROR(__xludf.DUMMYFUNCTION("IF('(INGESTA)Datos_consumo_datadis'!A9895&lt;&gt;"""",SPLIT('(INGESTA)Datos_consumo_datadis'!A:A,"",""),"""")"),"ES0031408323131005HX0F")</f>
        <v>ES0031408323131005HX0F</v>
      </c>
      <c r="B9895" s="17">
        <f>IFERROR(__xludf.DUMMYFUNCTION("""COMPUTED_VALUE"""),45278.0)</f>
        <v>45278</v>
      </c>
      <c r="C9895" s="13">
        <f>IFERROR(__xludf.DUMMYFUNCTION("""COMPUTED_VALUE"""),0.25)</f>
        <v>0.25</v>
      </c>
      <c r="D9895" s="8">
        <f>IFERROR(__xludf.DUMMYFUNCTION("""COMPUTED_VALUE"""),0.061)</f>
        <v>0.061</v>
      </c>
      <c r="E9895" s="8" t="str">
        <f>IFERROR(__xludf.DUMMYFUNCTION("""COMPUTED_VALUE"""),"Real")</f>
        <v>Real</v>
      </c>
      <c r="G9895" s="8">
        <f t="shared" si="1"/>
        <v>12</v>
      </c>
      <c r="H9895" s="14">
        <f t="shared" si="2"/>
        <v>18</v>
      </c>
      <c r="I9895" s="15">
        <f t="shared" si="3"/>
        <v>6</v>
      </c>
    </row>
    <row r="9896">
      <c r="A9896" s="8" t="str">
        <f>IFERROR(__xludf.DUMMYFUNCTION("IF('(INGESTA)Datos_consumo_datadis'!A9896&lt;&gt;"""",SPLIT('(INGESTA)Datos_consumo_datadis'!A:A,"",""),"""")"),"ES0031408323131005HX0F")</f>
        <v>ES0031408323131005HX0F</v>
      </c>
      <c r="B9896" s="17">
        <f>IFERROR(__xludf.DUMMYFUNCTION("""COMPUTED_VALUE"""),45278.0)</f>
        <v>45278</v>
      </c>
      <c r="C9896" s="13">
        <f>IFERROR(__xludf.DUMMYFUNCTION("""COMPUTED_VALUE"""),0.2916666666666667)</f>
        <v>0.2916666667</v>
      </c>
      <c r="D9896" s="8">
        <f>IFERROR(__xludf.DUMMYFUNCTION("""COMPUTED_VALUE"""),0.315)</f>
        <v>0.315</v>
      </c>
      <c r="E9896" s="8" t="str">
        <f>IFERROR(__xludf.DUMMYFUNCTION("""COMPUTED_VALUE"""),"Real")</f>
        <v>Real</v>
      </c>
      <c r="G9896" s="8">
        <f t="shared" si="1"/>
        <v>12</v>
      </c>
      <c r="H9896" s="14">
        <f t="shared" si="2"/>
        <v>18</v>
      </c>
      <c r="I9896" s="15">
        <f t="shared" si="3"/>
        <v>7</v>
      </c>
    </row>
    <row r="9897">
      <c r="A9897" s="8" t="str">
        <f>IFERROR(__xludf.DUMMYFUNCTION("IF('(INGESTA)Datos_consumo_datadis'!A9897&lt;&gt;"""",SPLIT('(INGESTA)Datos_consumo_datadis'!A:A,"",""),"""")"),"ES0031408323131005HX0F")</f>
        <v>ES0031408323131005HX0F</v>
      </c>
      <c r="B9897" s="17">
        <f>IFERROR(__xludf.DUMMYFUNCTION("""COMPUTED_VALUE"""),45278.0)</f>
        <v>45278</v>
      </c>
      <c r="C9897" s="13">
        <f>IFERROR(__xludf.DUMMYFUNCTION("""COMPUTED_VALUE"""),0.3333333333333333)</f>
        <v>0.3333333333</v>
      </c>
      <c r="D9897" s="8">
        <f>IFERROR(__xludf.DUMMYFUNCTION("""COMPUTED_VALUE"""),0.038)</f>
        <v>0.038</v>
      </c>
      <c r="E9897" s="8" t="str">
        <f>IFERROR(__xludf.DUMMYFUNCTION("""COMPUTED_VALUE"""),"Real")</f>
        <v>Real</v>
      </c>
      <c r="G9897" s="8">
        <f t="shared" si="1"/>
        <v>12</v>
      </c>
      <c r="H9897" s="14">
        <f t="shared" si="2"/>
        <v>18</v>
      </c>
      <c r="I9897" s="15">
        <f t="shared" si="3"/>
        <v>8</v>
      </c>
    </row>
    <row r="9898">
      <c r="A9898" s="8" t="str">
        <f>IFERROR(__xludf.DUMMYFUNCTION("IF('(INGESTA)Datos_consumo_datadis'!A9898&lt;&gt;"""",SPLIT('(INGESTA)Datos_consumo_datadis'!A:A,"",""),"""")"),"ES0031408323131005HX0F")</f>
        <v>ES0031408323131005HX0F</v>
      </c>
      <c r="B9898" s="17">
        <f>IFERROR(__xludf.DUMMYFUNCTION("""COMPUTED_VALUE"""),45278.0)</f>
        <v>45278</v>
      </c>
      <c r="C9898" s="13">
        <f>IFERROR(__xludf.DUMMYFUNCTION("""COMPUTED_VALUE"""),0.375)</f>
        <v>0.375</v>
      </c>
      <c r="D9898" s="8">
        <f>IFERROR(__xludf.DUMMYFUNCTION("""COMPUTED_VALUE"""),0.094)</f>
        <v>0.094</v>
      </c>
      <c r="E9898" s="8" t="str">
        <f>IFERROR(__xludf.DUMMYFUNCTION("""COMPUTED_VALUE"""),"Real")</f>
        <v>Real</v>
      </c>
      <c r="G9898" s="8">
        <f t="shared" si="1"/>
        <v>12</v>
      </c>
      <c r="H9898" s="14">
        <f t="shared" si="2"/>
        <v>18</v>
      </c>
      <c r="I9898" s="15">
        <f t="shared" si="3"/>
        <v>9</v>
      </c>
    </row>
    <row r="9899">
      <c r="A9899" s="8" t="str">
        <f>IFERROR(__xludf.DUMMYFUNCTION("IF('(INGESTA)Datos_consumo_datadis'!A9899&lt;&gt;"""",SPLIT('(INGESTA)Datos_consumo_datadis'!A:A,"",""),"""")"),"ES0031408323131005HX0F")</f>
        <v>ES0031408323131005HX0F</v>
      </c>
      <c r="B9899" s="17">
        <f>IFERROR(__xludf.DUMMYFUNCTION("""COMPUTED_VALUE"""),45278.0)</f>
        <v>45278</v>
      </c>
      <c r="C9899" s="13">
        <f>IFERROR(__xludf.DUMMYFUNCTION("""COMPUTED_VALUE"""),0.4166666666666667)</f>
        <v>0.4166666667</v>
      </c>
      <c r="D9899" s="8">
        <f>IFERROR(__xludf.DUMMYFUNCTION("""COMPUTED_VALUE"""),0.136)</f>
        <v>0.136</v>
      </c>
      <c r="E9899" s="8" t="str">
        <f>IFERROR(__xludf.DUMMYFUNCTION("""COMPUTED_VALUE"""),"Real")</f>
        <v>Real</v>
      </c>
      <c r="G9899" s="8">
        <f t="shared" si="1"/>
        <v>12</v>
      </c>
      <c r="H9899" s="14">
        <f t="shared" si="2"/>
        <v>18</v>
      </c>
      <c r="I9899" s="15">
        <f t="shared" si="3"/>
        <v>10</v>
      </c>
    </row>
    <row r="9900">
      <c r="A9900" s="8" t="str">
        <f>IFERROR(__xludf.DUMMYFUNCTION("IF('(INGESTA)Datos_consumo_datadis'!A9900&lt;&gt;"""",SPLIT('(INGESTA)Datos_consumo_datadis'!A:A,"",""),"""")"),"ES0031408323131005HX0F")</f>
        <v>ES0031408323131005HX0F</v>
      </c>
      <c r="B9900" s="17">
        <f>IFERROR(__xludf.DUMMYFUNCTION("""COMPUTED_VALUE"""),45278.0)</f>
        <v>45278</v>
      </c>
      <c r="C9900" s="13">
        <f>IFERROR(__xludf.DUMMYFUNCTION("""COMPUTED_VALUE"""),0.4583333333333333)</f>
        <v>0.4583333333</v>
      </c>
      <c r="D9900" s="8">
        <f>IFERROR(__xludf.DUMMYFUNCTION("""COMPUTED_VALUE"""),0.252)</f>
        <v>0.252</v>
      </c>
      <c r="E9900" s="8" t="str">
        <f>IFERROR(__xludf.DUMMYFUNCTION("""COMPUTED_VALUE"""),"Real")</f>
        <v>Real</v>
      </c>
      <c r="G9900" s="8">
        <f t="shared" si="1"/>
        <v>12</v>
      </c>
      <c r="H9900" s="14">
        <f t="shared" si="2"/>
        <v>18</v>
      </c>
      <c r="I9900" s="15">
        <f t="shared" si="3"/>
        <v>11</v>
      </c>
    </row>
    <row r="9901">
      <c r="A9901" s="8" t="str">
        <f>IFERROR(__xludf.DUMMYFUNCTION("IF('(INGESTA)Datos_consumo_datadis'!A9901&lt;&gt;"""",SPLIT('(INGESTA)Datos_consumo_datadis'!A:A,"",""),"""")"),"ES0031408323131005HX0F")</f>
        <v>ES0031408323131005HX0F</v>
      </c>
      <c r="B9901" s="17">
        <f>IFERROR(__xludf.DUMMYFUNCTION("""COMPUTED_VALUE"""),45278.0)</f>
        <v>45278</v>
      </c>
      <c r="C9901" s="13">
        <f>IFERROR(__xludf.DUMMYFUNCTION("""COMPUTED_VALUE"""),0.5)</f>
        <v>0.5</v>
      </c>
      <c r="D9901" s="8">
        <f>IFERROR(__xludf.DUMMYFUNCTION("""COMPUTED_VALUE"""),0.355)</f>
        <v>0.355</v>
      </c>
      <c r="E9901" s="8" t="str">
        <f>IFERROR(__xludf.DUMMYFUNCTION("""COMPUTED_VALUE"""),"Real")</f>
        <v>Real</v>
      </c>
      <c r="G9901" s="8">
        <f t="shared" si="1"/>
        <v>12</v>
      </c>
      <c r="H9901" s="14">
        <f t="shared" si="2"/>
        <v>18</v>
      </c>
      <c r="I9901" s="15">
        <f t="shared" si="3"/>
        <v>12</v>
      </c>
    </row>
    <row r="9902">
      <c r="A9902" s="8" t="str">
        <f>IFERROR(__xludf.DUMMYFUNCTION("IF('(INGESTA)Datos_consumo_datadis'!A9902&lt;&gt;"""",SPLIT('(INGESTA)Datos_consumo_datadis'!A:A,"",""),"""")"),"ES0031408323131005HX0F")</f>
        <v>ES0031408323131005HX0F</v>
      </c>
      <c r="B9902" s="17">
        <f>IFERROR(__xludf.DUMMYFUNCTION("""COMPUTED_VALUE"""),45278.0)</f>
        <v>45278</v>
      </c>
      <c r="C9902" s="13">
        <f>IFERROR(__xludf.DUMMYFUNCTION("""COMPUTED_VALUE"""),0.5416666666666666)</f>
        <v>0.5416666667</v>
      </c>
      <c r="D9902" s="8">
        <f>IFERROR(__xludf.DUMMYFUNCTION("""COMPUTED_VALUE"""),0.015)</f>
        <v>0.015</v>
      </c>
      <c r="E9902" s="8" t="str">
        <f>IFERROR(__xludf.DUMMYFUNCTION("""COMPUTED_VALUE"""),"Real")</f>
        <v>Real</v>
      </c>
      <c r="G9902" s="8">
        <f t="shared" si="1"/>
        <v>12</v>
      </c>
      <c r="H9902" s="14">
        <f t="shared" si="2"/>
        <v>18</v>
      </c>
      <c r="I9902" s="15">
        <f t="shared" si="3"/>
        <v>13</v>
      </c>
    </row>
    <row r="9903">
      <c r="A9903" s="8" t="str">
        <f>IFERROR(__xludf.DUMMYFUNCTION("IF('(INGESTA)Datos_consumo_datadis'!A9903&lt;&gt;"""",SPLIT('(INGESTA)Datos_consumo_datadis'!A:A,"",""),"""")"),"ES0031408323131005HX0F")</f>
        <v>ES0031408323131005HX0F</v>
      </c>
      <c r="B9903" s="17">
        <f>IFERROR(__xludf.DUMMYFUNCTION("""COMPUTED_VALUE"""),45278.0)</f>
        <v>45278</v>
      </c>
      <c r="C9903" s="13">
        <f>IFERROR(__xludf.DUMMYFUNCTION("""COMPUTED_VALUE"""),0.5833333333333334)</f>
        <v>0.5833333333</v>
      </c>
      <c r="D9903" s="8">
        <f>IFERROR(__xludf.DUMMYFUNCTION("""COMPUTED_VALUE"""),0.105)</f>
        <v>0.105</v>
      </c>
      <c r="E9903" s="8" t="str">
        <f>IFERROR(__xludf.DUMMYFUNCTION("""COMPUTED_VALUE"""),"Real")</f>
        <v>Real</v>
      </c>
      <c r="G9903" s="8">
        <f t="shared" si="1"/>
        <v>12</v>
      </c>
      <c r="H9903" s="14">
        <f t="shared" si="2"/>
        <v>18</v>
      </c>
      <c r="I9903" s="15">
        <f t="shared" si="3"/>
        <v>14</v>
      </c>
    </row>
    <row r="9904">
      <c r="A9904" s="8" t="str">
        <f>IFERROR(__xludf.DUMMYFUNCTION("IF('(INGESTA)Datos_consumo_datadis'!A9904&lt;&gt;"""",SPLIT('(INGESTA)Datos_consumo_datadis'!A:A,"",""),"""")"),"ES0031408323131005HX0F")</f>
        <v>ES0031408323131005HX0F</v>
      </c>
      <c r="B9904" s="17">
        <f>IFERROR(__xludf.DUMMYFUNCTION("""COMPUTED_VALUE"""),45278.0)</f>
        <v>45278</v>
      </c>
      <c r="C9904" s="13">
        <f>IFERROR(__xludf.DUMMYFUNCTION("""COMPUTED_VALUE"""),0.625)</f>
        <v>0.625</v>
      </c>
      <c r="D9904" s="8">
        <f>IFERROR(__xludf.DUMMYFUNCTION("""COMPUTED_VALUE"""),0.241)</f>
        <v>0.241</v>
      </c>
      <c r="E9904" s="8" t="str">
        <f>IFERROR(__xludf.DUMMYFUNCTION("""COMPUTED_VALUE"""),"Real")</f>
        <v>Real</v>
      </c>
      <c r="G9904" s="8">
        <f t="shared" si="1"/>
        <v>12</v>
      </c>
      <c r="H9904" s="14">
        <f t="shared" si="2"/>
        <v>18</v>
      </c>
      <c r="I9904" s="15">
        <f t="shared" si="3"/>
        <v>15</v>
      </c>
    </row>
    <row r="9905">
      <c r="A9905" s="8" t="str">
        <f>IFERROR(__xludf.DUMMYFUNCTION("IF('(INGESTA)Datos_consumo_datadis'!A9905&lt;&gt;"""",SPLIT('(INGESTA)Datos_consumo_datadis'!A:A,"",""),"""")"),"ES0031408323131005HX0F")</f>
        <v>ES0031408323131005HX0F</v>
      </c>
      <c r="B9905" s="17">
        <f>IFERROR(__xludf.DUMMYFUNCTION("""COMPUTED_VALUE"""),45278.0)</f>
        <v>45278</v>
      </c>
      <c r="C9905" s="13">
        <f>IFERROR(__xludf.DUMMYFUNCTION("""COMPUTED_VALUE"""),0.6666666666666666)</f>
        <v>0.6666666667</v>
      </c>
      <c r="D9905" s="8">
        <f>IFERROR(__xludf.DUMMYFUNCTION("""COMPUTED_VALUE"""),0.342)</f>
        <v>0.342</v>
      </c>
      <c r="E9905" s="8" t="str">
        <f>IFERROR(__xludf.DUMMYFUNCTION("""COMPUTED_VALUE"""),"Real")</f>
        <v>Real</v>
      </c>
      <c r="G9905" s="8">
        <f t="shared" si="1"/>
        <v>12</v>
      </c>
      <c r="H9905" s="14">
        <f t="shared" si="2"/>
        <v>18</v>
      </c>
      <c r="I9905" s="15">
        <f t="shared" si="3"/>
        <v>16</v>
      </c>
    </row>
    <row r="9906">
      <c r="A9906" s="8" t="str">
        <f>IFERROR(__xludf.DUMMYFUNCTION("IF('(INGESTA)Datos_consumo_datadis'!A9906&lt;&gt;"""",SPLIT('(INGESTA)Datos_consumo_datadis'!A:A,"",""),"""")"),"ES0031408323131005HX0F")</f>
        <v>ES0031408323131005HX0F</v>
      </c>
      <c r="B9906" s="17">
        <f>IFERROR(__xludf.DUMMYFUNCTION("""COMPUTED_VALUE"""),45278.0)</f>
        <v>45278</v>
      </c>
      <c r="C9906" s="13">
        <f>IFERROR(__xludf.DUMMYFUNCTION("""COMPUTED_VALUE"""),0.7083333333333334)</f>
        <v>0.7083333333</v>
      </c>
      <c r="D9906" s="8">
        <f>IFERROR(__xludf.DUMMYFUNCTION("""COMPUTED_VALUE"""),0.537)</f>
        <v>0.537</v>
      </c>
      <c r="E9906" s="8" t="str">
        <f>IFERROR(__xludf.DUMMYFUNCTION("""COMPUTED_VALUE"""),"Real")</f>
        <v>Real</v>
      </c>
      <c r="G9906" s="8">
        <f t="shared" si="1"/>
        <v>12</v>
      </c>
      <c r="H9906" s="14">
        <f t="shared" si="2"/>
        <v>18</v>
      </c>
      <c r="I9906" s="15">
        <f t="shared" si="3"/>
        <v>17</v>
      </c>
    </row>
    <row r="9907">
      <c r="A9907" s="8" t="str">
        <f>IFERROR(__xludf.DUMMYFUNCTION("IF('(INGESTA)Datos_consumo_datadis'!A9907&lt;&gt;"""",SPLIT('(INGESTA)Datos_consumo_datadis'!A:A,"",""),"""")"),"ES0031408323131005HX0F")</f>
        <v>ES0031408323131005HX0F</v>
      </c>
      <c r="B9907" s="17">
        <f>IFERROR(__xludf.DUMMYFUNCTION("""COMPUTED_VALUE"""),45278.0)</f>
        <v>45278</v>
      </c>
      <c r="C9907" s="13">
        <f>IFERROR(__xludf.DUMMYFUNCTION("""COMPUTED_VALUE"""),0.75)</f>
        <v>0.75</v>
      </c>
      <c r="D9907" s="8">
        <f>IFERROR(__xludf.DUMMYFUNCTION("""COMPUTED_VALUE"""),0.136)</f>
        <v>0.136</v>
      </c>
      <c r="E9907" s="8" t="str">
        <f>IFERROR(__xludf.DUMMYFUNCTION("""COMPUTED_VALUE"""),"Real")</f>
        <v>Real</v>
      </c>
      <c r="G9907" s="8">
        <f t="shared" si="1"/>
        <v>12</v>
      </c>
      <c r="H9907" s="14">
        <f t="shared" si="2"/>
        <v>18</v>
      </c>
      <c r="I9907" s="15">
        <f t="shared" si="3"/>
        <v>18</v>
      </c>
    </row>
    <row r="9908">
      <c r="A9908" s="8" t="str">
        <f>IFERROR(__xludf.DUMMYFUNCTION("IF('(INGESTA)Datos_consumo_datadis'!A9908&lt;&gt;"""",SPLIT('(INGESTA)Datos_consumo_datadis'!A:A,"",""),"""")"),"ES0031408323131005HX0F")</f>
        <v>ES0031408323131005HX0F</v>
      </c>
      <c r="B9908" s="17">
        <f>IFERROR(__xludf.DUMMYFUNCTION("""COMPUTED_VALUE"""),45278.0)</f>
        <v>45278</v>
      </c>
      <c r="C9908" s="13">
        <f>IFERROR(__xludf.DUMMYFUNCTION("""COMPUTED_VALUE"""),0.7916666666666666)</f>
        <v>0.7916666667</v>
      </c>
      <c r="D9908" s="8">
        <f>IFERROR(__xludf.DUMMYFUNCTION("""COMPUTED_VALUE"""),0.069)</f>
        <v>0.069</v>
      </c>
      <c r="E9908" s="8" t="str">
        <f>IFERROR(__xludf.DUMMYFUNCTION("""COMPUTED_VALUE"""),"Real")</f>
        <v>Real</v>
      </c>
      <c r="G9908" s="8">
        <f t="shared" si="1"/>
        <v>12</v>
      </c>
      <c r="H9908" s="14">
        <f t="shared" si="2"/>
        <v>18</v>
      </c>
      <c r="I9908" s="15">
        <f t="shared" si="3"/>
        <v>19</v>
      </c>
    </row>
    <row r="9909">
      <c r="A9909" s="8" t="str">
        <f>IFERROR(__xludf.DUMMYFUNCTION("IF('(INGESTA)Datos_consumo_datadis'!A9909&lt;&gt;"""",SPLIT('(INGESTA)Datos_consumo_datadis'!A:A,"",""),"""")"),"ES0031408323131005HX0F")</f>
        <v>ES0031408323131005HX0F</v>
      </c>
      <c r="B9909" s="17">
        <f>IFERROR(__xludf.DUMMYFUNCTION("""COMPUTED_VALUE"""),45278.0)</f>
        <v>45278</v>
      </c>
      <c r="C9909" s="13">
        <f>IFERROR(__xludf.DUMMYFUNCTION("""COMPUTED_VALUE"""),0.8333333333333334)</f>
        <v>0.8333333333</v>
      </c>
      <c r="D9909" s="8">
        <f>IFERROR(__xludf.DUMMYFUNCTION("""COMPUTED_VALUE"""),0.077)</f>
        <v>0.077</v>
      </c>
      <c r="E9909" s="8" t="str">
        <f>IFERROR(__xludf.DUMMYFUNCTION("""COMPUTED_VALUE"""),"Real")</f>
        <v>Real</v>
      </c>
      <c r="G9909" s="8">
        <f t="shared" si="1"/>
        <v>12</v>
      </c>
      <c r="H9909" s="14">
        <f t="shared" si="2"/>
        <v>18</v>
      </c>
      <c r="I9909" s="15">
        <f t="shared" si="3"/>
        <v>20</v>
      </c>
    </row>
    <row r="9910">
      <c r="A9910" s="8" t="str">
        <f>IFERROR(__xludf.DUMMYFUNCTION("IF('(INGESTA)Datos_consumo_datadis'!A9910&lt;&gt;"""",SPLIT('(INGESTA)Datos_consumo_datadis'!A:A,"",""),"""")"),"ES0031408323131005HX0F")</f>
        <v>ES0031408323131005HX0F</v>
      </c>
      <c r="B9910" s="17">
        <f>IFERROR(__xludf.DUMMYFUNCTION("""COMPUTED_VALUE"""),45278.0)</f>
        <v>45278</v>
      </c>
      <c r="C9910" s="13">
        <f>IFERROR(__xludf.DUMMYFUNCTION("""COMPUTED_VALUE"""),0.875)</f>
        <v>0.875</v>
      </c>
      <c r="D9910" s="8">
        <f>IFERROR(__xludf.DUMMYFUNCTION("""COMPUTED_VALUE"""),0.087)</f>
        <v>0.087</v>
      </c>
      <c r="E9910" s="8" t="str">
        <f>IFERROR(__xludf.DUMMYFUNCTION("""COMPUTED_VALUE"""),"Real")</f>
        <v>Real</v>
      </c>
      <c r="G9910" s="8">
        <f t="shared" si="1"/>
        <v>12</v>
      </c>
      <c r="H9910" s="14">
        <f t="shared" si="2"/>
        <v>18</v>
      </c>
      <c r="I9910" s="15">
        <f t="shared" si="3"/>
        <v>21</v>
      </c>
    </row>
    <row r="9911">
      <c r="A9911" s="8" t="str">
        <f>IFERROR(__xludf.DUMMYFUNCTION("IF('(INGESTA)Datos_consumo_datadis'!A9911&lt;&gt;"""",SPLIT('(INGESTA)Datos_consumo_datadis'!A:A,"",""),"""")"),"ES0031408323131005HX0F")</f>
        <v>ES0031408323131005HX0F</v>
      </c>
      <c r="B9911" s="17">
        <f>IFERROR(__xludf.DUMMYFUNCTION("""COMPUTED_VALUE"""),45278.0)</f>
        <v>45278</v>
      </c>
      <c r="C9911" s="13">
        <f>IFERROR(__xludf.DUMMYFUNCTION("""COMPUTED_VALUE"""),0.9166666666666666)</f>
        <v>0.9166666667</v>
      </c>
      <c r="D9911" s="8">
        <f>IFERROR(__xludf.DUMMYFUNCTION("""COMPUTED_VALUE"""),0.786)</f>
        <v>0.786</v>
      </c>
      <c r="E9911" s="8" t="str">
        <f>IFERROR(__xludf.DUMMYFUNCTION("""COMPUTED_VALUE"""),"Real")</f>
        <v>Real</v>
      </c>
      <c r="G9911" s="8">
        <f t="shared" si="1"/>
        <v>12</v>
      </c>
      <c r="H9911" s="14">
        <f t="shared" si="2"/>
        <v>18</v>
      </c>
      <c r="I9911" s="15">
        <f t="shared" si="3"/>
        <v>22</v>
      </c>
    </row>
    <row r="9912">
      <c r="A9912" s="8" t="str">
        <f>IFERROR(__xludf.DUMMYFUNCTION("IF('(INGESTA)Datos_consumo_datadis'!A9912&lt;&gt;"""",SPLIT('(INGESTA)Datos_consumo_datadis'!A:A,"",""),"""")"),"ES0031408323131005HX0F")</f>
        <v>ES0031408323131005HX0F</v>
      </c>
      <c r="B9912" s="17">
        <f>IFERROR(__xludf.DUMMYFUNCTION("""COMPUTED_VALUE"""),45278.0)</f>
        <v>45278</v>
      </c>
      <c r="C9912" s="13">
        <f>IFERROR(__xludf.DUMMYFUNCTION("""COMPUTED_VALUE"""),0.9583333333333334)</f>
        <v>0.9583333333</v>
      </c>
      <c r="D9912" s="8">
        <f>IFERROR(__xludf.DUMMYFUNCTION("""COMPUTED_VALUE"""),1.118)</f>
        <v>1.118</v>
      </c>
      <c r="E9912" s="8" t="str">
        <f>IFERROR(__xludf.DUMMYFUNCTION("""COMPUTED_VALUE"""),"Real")</f>
        <v>Real</v>
      </c>
      <c r="G9912" s="8">
        <f t="shared" si="1"/>
        <v>12</v>
      </c>
      <c r="H9912" s="14">
        <f t="shared" si="2"/>
        <v>18</v>
      </c>
      <c r="I9912" s="15">
        <f t="shared" si="3"/>
        <v>23</v>
      </c>
    </row>
    <row r="9913">
      <c r="A9913" s="8" t="str">
        <f>IFERROR(__xludf.DUMMYFUNCTION("IF('(INGESTA)Datos_consumo_datadis'!A9913&lt;&gt;"""",SPLIT('(INGESTA)Datos_consumo_datadis'!A:A,"",""),"""")"),"ES0031408323131005HX0F")</f>
        <v>ES0031408323131005HX0F</v>
      </c>
      <c r="B9913" s="17">
        <f>IFERROR(__xludf.DUMMYFUNCTION("""COMPUTED_VALUE"""),45278.0)</f>
        <v>45278</v>
      </c>
      <c r="C9913" s="16">
        <f>IFERROR(__xludf.DUMMYFUNCTION("""COMPUTED_VALUE"""),1.0)</f>
        <v>1</v>
      </c>
      <c r="D9913" s="8">
        <f>IFERROR(__xludf.DUMMYFUNCTION("""COMPUTED_VALUE"""),2.234)</f>
        <v>2.234</v>
      </c>
      <c r="E9913" s="8" t="str">
        <f>IFERROR(__xludf.DUMMYFUNCTION("""COMPUTED_VALUE"""),"Real")</f>
        <v>Real</v>
      </c>
      <c r="G9913" s="8">
        <f t="shared" si="1"/>
        <v>12</v>
      </c>
      <c r="H9913" s="14">
        <f t="shared" si="2"/>
        <v>18</v>
      </c>
      <c r="I9913" s="15">
        <f t="shared" si="3"/>
        <v>0</v>
      </c>
    </row>
    <row r="9914">
      <c r="A9914" s="8" t="str">
        <f>IFERROR(__xludf.DUMMYFUNCTION("IF('(INGESTA)Datos_consumo_datadis'!A9914&lt;&gt;"""",SPLIT('(INGESTA)Datos_consumo_datadis'!A:A,"",""),"""")"),"ES0031408323131005HX0F")</f>
        <v>ES0031408323131005HX0F</v>
      </c>
      <c r="B9914" s="17">
        <f>IFERROR(__xludf.DUMMYFUNCTION("""COMPUTED_VALUE"""),45279.0)</f>
        <v>45279</v>
      </c>
      <c r="C9914" s="13">
        <f>IFERROR(__xludf.DUMMYFUNCTION("""COMPUTED_VALUE"""),0.041666666666666664)</f>
        <v>0.04166666667</v>
      </c>
      <c r="D9914" s="8">
        <f>IFERROR(__xludf.DUMMYFUNCTION("""COMPUTED_VALUE"""),1.07)</f>
        <v>1.07</v>
      </c>
      <c r="E9914" s="8" t="str">
        <f>IFERROR(__xludf.DUMMYFUNCTION("""COMPUTED_VALUE"""),"Real")</f>
        <v>Real</v>
      </c>
      <c r="G9914" s="8">
        <f t="shared" si="1"/>
        <v>12</v>
      </c>
      <c r="H9914" s="14">
        <f t="shared" si="2"/>
        <v>19</v>
      </c>
      <c r="I9914" s="15">
        <f t="shared" si="3"/>
        <v>1</v>
      </c>
    </row>
    <row r="9915">
      <c r="A9915" s="8" t="str">
        <f>IFERROR(__xludf.DUMMYFUNCTION("IF('(INGESTA)Datos_consumo_datadis'!A9915&lt;&gt;"""",SPLIT('(INGESTA)Datos_consumo_datadis'!A:A,"",""),"""")"),"ES0031408323131005HX0F")</f>
        <v>ES0031408323131005HX0F</v>
      </c>
      <c r="B9915" s="17">
        <f>IFERROR(__xludf.DUMMYFUNCTION("""COMPUTED_VALUE"""),45279.0)</f>
        <v>45279</v>
      </c>
      <c r="C9915" s="13">
        <f>IFERROR(__xludf.DUMMYFUNCTION("""COMPUTED_VALUE"""),0.08333333333333333)</f>
        <v>0.08333333333</v>
      </c>
      <c r="D9915" s="8">
        <f>IFERROR(__xludf.DUMMYFUNCTION("""COMPUTED_VALUE"""),0.328)</f>
        <v>0.328</v>
      </c>
      <c r="E9915" s="8" t="str">
        <f>IFERROR(__xludf.DUMMYFUNCTION("""COMPUTED_VALUE"""),"Real")</f>
        <v>Real</v>
      </c>
      <c r="G9915" s="8">
        <f t="shared" si="1"/>
        <v>12</v>
      </c>
      <c r="H9915" s="14">
        <f t="shared" si="2"/>
        <v>19</v>
      </c>
      <c r="I9915" s="15">
        <f t="shared" si="3"/>
        <v>2</v>
      </c>
    </row>
    <row r="9916">
      <c r="A9916" s="8" t="str">
        <f>IFERROR(__xludf.DUMMYFUNCTION("IF('(INGESTA)Datos_consumo_datadis'!A9916&lt;&gt;"""",SPLIT('(INGESTA)Datos_consumo_datadis'!A:A,"",""),"""")"),"ES0031408323131005HX0F")</f>
        <v>ES0031408323131005HX0F</v>
      </c>
      <c r="B9916" s="17">
        <f>IFERROR(__xludf.DUMMYFUNCTION("""COMPUTED_VALUE"""),45279.0)</f>
        <v>45279</v>
      </c>
      <c r="C9916" s="13">
        <f>IFERROR(__xludf.DUMMYFUNCTION("""COMPUTED_VALUE"""),0.125)</f>
        <v>0.125</v>
      </c>
      <c r="D9916" s="8">
        <f>IFERROR(__xludf.DUMMYFUNCTION("""COMPUTED_VALUE"""),0.043)</f>
        <v>0.043</v>
      </c>
      <c r="E9916" s="8" t="str">
        <f>IFERROR(__xludf.DUMMYFUNCTION("""COMPUTED_VALUE"""),"Real")</f>
        <v>Real</v>
      </c>
      <c r="G9916" s="8">
        <f t="shared" si="1"/>
        <v>12</v>
      </c>
      <c r="H9916" s="14">
        <f t="shared" si="2"/>
        <v>19</v>
      </c>
      <c r="I9916" s="15">
        <f t="shared" si="3"/>
        <v>3</v>
      </c>
    </row>
    <row r="9917">
      <c r="A9917" s="8" t="str">
        <f>IFERROR(__xludf.DUMMYFUNCTION("IF('(INGESTA)Datos_consumo_datadis'!A9917&lt;&gt;"""",SPLIT('(INGESTA)Datos_consumo_datadis'!A:A,"",""),"""")"),"ES0031408323131005HX0F")</f>
        <v>ES0031408323131005HX0F</v>
      </c>
      <c r="B9917" s="17">
        <f>IFERROR(__xludf.DUMMYFUNCTION("""COMPUTED_VALUE"""),45279.0)</f>
        <v>45279</v>
      </c>
      <c r="C9917" s="13">
        <f>IFERROR(__xludf.DUMMYFUNCTION("""COMPUTED_VALUE"""),0.16666666666666666)</f>
        <v>0.1666666667</v>
      </c>
      <c r="D9917" s="8">
        <f>IFERROR(__xludf.DUMMYFUNCTION("""COMPUTED_VALUE"""),0.05)</f>
        <v>0.05</v>
      </c>
      <c r="E9917" s="8" t="str">
        <f>IFERROR(__xludf.DUMMYFUNCTION("""COMPUTED_VALUE"""),"Real")</f>
        <v>Real</v>
      </c>
      <c r="G9917" s="8">
        <f t="shared" si="1"/>
        <v>12</v>
      </c>
      <c r="H9917" s="14">
        <f t="shared" si="2"/>
        <v>19</v>
      </c>
      <c r="I9917" s="15">
        <f t="shared" si="3"/>
        <v>4</v>
      </c>
    </row>
    <row r="9918">
      <c r="A9918" s="8" t="str">
        <f>IFERROR(__xludf.DUMMYFUNCTION("IF('(INGESTA)Datos_consumo_datadis'!A9918&lt;&gt;"""",SPLIT('(INGESTA)Datos_consumo_datadis'!A:A,"",""),"""")"),"ES0031408323131005HX0F")</f>
        <v>ES0031408323131005HX0F</v>
      </c>
      <c r="B9918" s="17">
        <f>IFERROR(__xludf.DUMMYFUNCTION("""COMPUTED_VALUE"""),45279.0)</f>
        <v>45279</v>
      </c>
      <c r="C9918" s="13">
        <f>IFERROR(__xludf.DUMMYFUNCTION("""COMPUTED_VALUE"""),0.20833333333333334)</f>
        <v>0.2083333333</v>
      </c>
      <c r="D9918" s="8">
        <f>IFERROR(__xludf.DUMMYFUNCTION("""COMPUTED_VALUE"""),0.113)</f>
        <v>0.113</v>
      </c>
      <c r="E9918" s="8" t="str">
        <f>IFERROR(__xludf.DUMMYFUNCTION("""COMPUTED_VALUE"""),"Real")</f>
        <v>Real</v>
      </c>
      <c r="G9918" s="8">
        <f t="shared" si="1"/>
        <v>12</v>
      </c>
      <c r="H9918" s="14">
        <f t="shared" si="2"/>
        <v>19</v>
      </c>
      <c r="I9918" s="15">
        <f t="shared" si="3"/>
        <v>5</v>
      </c>
    </row>
    <row r="9919">
      <c r="A9919" s="8" t="str">
        <f>IFERROR(__xludf.DUMMYFUNCTION("IF('(INGESTA)Datos_consumo_datadis'!A9919&lt;&gt;"""",SPLIT('(INGESTA)Datos_consumo_datadis'!A:A,"",""),"""")"),"ES0031408323131005HX0F")</f>
        <v>ES0031408323131005HX0F</v>
      </c>
      <c r="B9919" s="17">
        <f>IFERROR(__xludf.DUMMYFUNCTION("""COMPUTED_VALUE"""),45279.0)</f>
        <v>45279</v>
      </c>
      <c r="C9919" s="13">
        <f>IFERROR(__xludf.DUMMYFUNCTION("""COMPUTED_VALUE"""),0.25)</f>
        <v>0.25</v>
      </c>
      <c r="D9919" s="8">
        <f>IFERROR(__xludf.DUMMYFUNCTION("""COMPUTED_VALUE"""),0.309)</f>
        <v>0.309</v>
      </c>
      <c r="E9919" s="8" t="str">
        <f>IFERROR(__xludf.DUMMYFUNCTION("""COMPUTED_VALUE"""),"Real")</f>
        <v>Real</v>
      </c>
      <c r="G9919" s="8">
        <f t="shared" si="1"/>
        <v>12</v>
      </c>
      <c r="H9919" s="14">
        <f t="shared" si="2"/>
        <v>19</v>
      </c>
      <c r="I9919" s="15">
        <f t="shared" si="3"/>
        <v>6</v>
      </c>
    </row>
    <row r="9920">
      <c r="A9920" s="8" t="str">
        <f>IFERROR(__xludf.DUMMYFUNCTION("IF('(INGESTA)Datos_consumo_datadis'!A9920&lt;&gt;"""",SPLIT('(INGESTA)Datos_consumo_datadis'!A:A,"",""),"""")"),"ES0031408323131005HX0F")</f>
        <v>ES0031408323131005HX0F</v>
      </c>
      <c r="B9920" s="17">
        <f>IFERROR(__xludf.DUMMYFUNCTION("""COMPUTED_VALUE"""),45279.0)</f>
        <v>45279</v>
      </c>
      <c r="C9920" s="13">
        <f>IFERROR(__xludf.DUMMYFUNCTION("""COMPUTED_VALUE"""),0.2916666666666667)</f>
        <v>0.2916666667</v>
      </c>
      <c r="D9920" s="8">
        <f>IFERROR(__xludf.DUMMYFUNCTION("""COMPUTED_VALUE"""),0.067)</f>
        <v>0.067</v>
      </c>
      <c r="E9920" s="8" t="str">
        <f>IFERROR(__xludf.DUMMYFUNCTION("""COMPUTED_VALUE"""),"Real")</f>
        <v>Real</v>
      </c>
      <c r="G9920" s="8">
        <f t="shared" si="1"/>
        <v>12</v>
      </c>
      <c r="H9920" s="14">
        <f t="shared" si="2"/>
        <v>19</v>
      </c>
      <c r="I9920" s="15">
        <f t="shared" si="3"/>
        <v>7</v>
      </c>
    </row>
    <row r="9921">
      <c r="A9921" s="8" t="str">
        <f>IFERROR(__xludf.DUMMYFUNCTION("IF('(INGESTA)Datos_consumo_datadis'!A9921&lt;&gt;"""",SPLIT('(INGESTA)Datos_consumo_datadis'!A:A,"",""),"""")"),"ES0031408323131005HX0F")</f>
        <v>ES0031408323131005HX0F</v>
      </c>
      <c r="B9921" s="17">
        <f>IFERROR(__xludf.DUMMYFUNCTION("""COMPUTED_VALUE"""),45279.0)</f>
        <v>45279</v>
      </c>
      <c r="C9921" s="13">
        <f>IFERROR(__xludf.DUMMYFUNCTION("""COMPUTED_VALUE"""),0.3333333333333333)</f>
        <v>0.3333333333</v>
      </c>
      <c r="D9921" s="8">
        <f>IFERROR(__xludf.DUMMYFUNCTION("""COMPUTED_VALUE"""),0.677)</f>
        <v>0.677</v>
      </c>
      <c r="E9921" s="8" t="str">
        <f>IFERROR(__xludf.DUMMYFUNCTION("""COMPUTED_VALUE"""),"Real")</f>
        <v>Real</v>
      </c>
      <c r="G9921" s="8">
        <f t="shared" si="1"/>
        <v>12</v>
      </c>
      <c r="H9921" s="14">
        <f t="shared" si="2"/>
        <v>19</v>
      </c>
      <c r="I9921" s="15">
        <f t="shared" si="3"/>
        <v>8</v>
      </c>
    </row>
    <row r="9922">
      <c r="A9922" s="8" t="str">
        <f>IFERROR(__xludf.DUMMYFUNCTION("IF('(INGESTA)Datos_consumo_datadis'!A9922&lt;&gt;"""",SPLIT('(INGESTA)Datos_consumo_datadis'!A:A,"",""),"""")"),"ES0031408323131005HX0F")</f>
        <v>ES0031408323131005HX0F</v>
      </c>
      <c r="B9922" s="17">
        <f>IFERROR(__xludf.DUMMYFUNCTION("""COMPUTED_VALUE"""),45279.0)</f>
        <v>45279</v>
      </c>
      <c r="C9922" s="13">
        <f>IFERROR(__xludf.DUMMYFUNCTION("""COMPUTED_VALUE"""),0.375)</f>
        <v>0.375</v>
      </c>
      <c r="D9922" s="8">
        <f>IFERROR(__xludf.DUMMYFUNCTION("""COMPUTED_VALUE"""),0.106)</f>
        <v>0.106</v>
      </c>
      <c r="E9922" s="8" t="str">
        <f>IFERROR(__xludf.DUMMYFUNCTION("""COMPUTED_VALUE"""),"Real")</f>
        <v>Real</v>
      </c>
      <c r="G9922" s="8">
        <f t="shared" si="1"/>
        <v>12</v>
      </c>
      <c r="H9922" s="14">
        <f t="shared" si="2"/>
        <v>19</v>
      </c>
      <c r="I9922" s="15">
        <f t="shared" si="3"/>
        <v>9</v>
      </c>
    </row>
    <row r="9923">
      <c r="A9923" s="8" t="str">
        <f>IFERROR(__xludf.DUMMYFUNCTION("IF('(INGESTA)Datos_consumo_datadis'!A9923&lt;&gt;"""",SPLIT('(INGESTA)Datos_consumo_datadis'!A:A,"",""),"""")"),"ES0031408323131005HX0F")</f>
        <v>ES0031408323131005HX0F</v>
      </c>
      <c r="B9923" s="17">
        <f>IFERROR(__xludf.DUMMYFUNCTION("""COMPUTED_VALUE"""),45279.0)</f>
        <v>45279</v>
      </c>
      <c r="C9923" s="13">
        <f>IFERROR(__xludf.DUMMYFUNCTION("""COMPUTED_VALUE"""),0.4166666666666667)</f>
        <v>0.4166666667</v>
      </c>
      <c r="D9923" s="8">
        <f>IFERROR(__xludf.DUMMYFUNCTION("""COMPUTED_VALUE"""),0.252)</f>
        <v>0.252</v>
      </c>
      <c r="E9923" s="8" t="str">
        <f>IFERROR(__xludf.DUMMYFUNCTION("""COMPUTED_VALUE"""),"Real")</f>
        <v>Real</v>
      </c>
      <c r="G9923" s="8">
        <f t="shared" si="1"/>
        <v>12</v>
      </c>
      <c r="H9923" s="14">
        <f t="shared" si="2"/>
        <v>19</v>
      </c>
      <c r="I9923" s="15">
        <f t="shared" si="3"/>
        <v>10</v>
      </c>
    </row>
    <row r="9924">
      <c r="A9924" s="8" t="str">
        <f>IFERROR(__xludf.DUMMYFUNCTION("IF('(INGESTA)Datos_consumo_datadis'!A9924&lt;&gt;"""",SPLIT('(INGESTA)Datos_consumo_datadis'!A:A,"",""),"""")"),"ES0031408323131005HX0F")</f>
        <v>ES0031408323131005HX0F</v>
      </c>
      <c r="B9924" s="17">
        <f>IFERROR(__xludf.DUMMYFUNCTION("""COMPUTED_VALUE"""),45279.0)</f>
        <v>45279</v>
      </c>
      <c r="C9924" s="13">
        <f>IFERROR(__xludf.DUMMYFUNCTION("""COMPUTED_VALUE"""),0.4583333333333333)</f>
        <v>0.4583333333</v>
      </c>
      <c r="D9924" s="8">
        <f>IFERROR(__xludf.DUMMYFUNCTION("""COMPUTED_VALUE"""),0.492)</f>
        <v>0.492</v>
      </c>
      <c r="E9924" s="8" t="str">
        <f>IFERROR(__xludf.DUMMYFUNCTION("""COMPUTED_VALUE"""),"Real")</f>
        <v>Real</v>
      </c>
      <c r="G9924" s="8">
        <f t="shared" si="1"/>
        <v>12</v>
      </c>
      <c r="H9924" s="14">
        <f t="shared" si="2"/>
        <v>19</v>
      </c>
      <c r="I9924" s="15">
        <f t="shared" si="3"/>
        <v>11</v>
      </c>
    </row>
    <row r="9925">
      <c r="A9925" s="8" t="str">
        <f>IFERROR(__xludf.DUMMYFUNCTION("IF('(INGESTA)Datos_consumo_datadis'!A9925&lt;&gt;"""",SPLIT('(INGESTA)Datos_consumo_datadis'!A:A,"",""),"""")"),"ES0031408323131005HX0F")</f>
        <v>ES0031408323131005HX0F</v>
      </c>
      <c r="B9925" s="17">
        <f>IFERROR(__xludf.DUMMYFUNCTION("""COMPUTED_VALUE"""),45279.0)</f>
        <v>45279</v>
      </c>
      <c r="C9925" s="13">
        <f>IFERROR(__xludf.DUMMYFUNCTION("""COMPUTED_VALUE"""),0.5)</f>
        <v>0.5</v>
      </c>
      <c r="D9925" s="8">
        <f>IFERROR(__xludf.DUMMYFUNCTION("""COMPUTED_VALUE"""),0.033)</f>
        <v>0.033</v>
      </c>
      <c r="E9925" s="8" t="str">
        <f>IFERROR(__xludf.DUMMYFUNCTION("""COMPUTED_VALUE"""),"Real")</f>
        <v>Real</v>
      </c>
      <c r="G9925" s="8">
        <f t="shared" si="1"/>
        <v>12</v>
      </c>
      <c r="H9925" s="14">
        <f t="shared" si="2"/>
        <v>19</v>
      </c>
      <c r="I9925" s="15">
        <f t="shared" si="3"/>
        <v>12</v>
      </c>
    </row>
    <row r="9926">
      <c r="A9926" s="8" t="str">
        <f>IFERROR(__xludf.DUMMYFUNCTION("IF('(INGESTA)Datos_consumo_datadis'!A9926&lt;&gt;"""",SPLIT('(INGESTA)Datos_consumo_datadis'!A:A,"",""),"""")"),"ES0031408323131005HX0F")</f>
        <v>ES0031408323131005HX0F</v>
      </c>
      <c r="B9926" s="17">
        <f>IFERROR(__xludf.DUMMYFUNCTION("""COMPUTED_VALUE"""),45279.0)</f>
        <v>45279</v>
      </c>
      <c r="C9926" s="13">
        <f>IFERROR(__xludf.DUMMYFUNCTION("""COMPUTED_VALUE"""),0.5416666666666666)</f>
        <v>0.5416666667</v>
      </c>
      <c r="D9926" s="8">
        <f>IFERROR(__xludf.DUMMYFUNCTION("""COMPUTED_VALUE"""),0.038)</f>
        <v>0.038</v>
      </c>
      <c r="E9926" s="8" t="str">
        <f>IFERROR(__xludf.DUMMYFUNCTION("""COMPUTED_VALUE"""),"Real")</f>
        <v>Real</v>
      </c>
      <c r="G9926" s="8">
        <f t="shared" si="1"/>
        <v>12</v>
      </c>
      <c r="H9926" s="14">
        <f t="shared" si="2"/>
        <v>19</v>
      </c>
      <c r="I9926" s="15">
        <f t="shared" si="3"/>
        <v>13</v>
      </c>
    </row>
    <row r="9927">
      <c r="A9927" s="8" t="str">
        <f>IFERROR(__xludf.DUMMYFUNCTION("IF('(INGESTA)Datos_consumo_datadis'!A9927&lt;&gt;"""",SPLIT('(INGESTA)Datos_consumo_datadis'!A:A,"",""),"""")"),"ES0031408323131005HX0F")</f>
        <v>ES0031408323131005HX0F</v>
      </c>
      <c r="B9927" s="17">
        <f>IFERROR(__xludf.DUMMYFUNCTION("""COMPUTED_VALUE"""),45279.0)</f>
        <v>45279</v>
      </c>
      <c r="C9927" s="13">
        <f>IFERROR(__xludf.DUMMYFUNCTION("""COMPUTED_VALUE"""),0.5833333333333334)</f>
        <v>0.5833333333</v>
      </c>
      <c r="D9927" s="8">
        <f>IFERROR(__xludf.DUMMYFUNCTION("""COMPUTED_VALUE"""),0.096)</f>
        <v>0.096</v>
      </c>
      <c r="E9927" s="8" t="str">
        <f>IFERROR(__xludf.DUMMYFUNCTION("""COMPUTED_VALUE"""),"Real")</f>
        <v>Real</v>
      </c>
      <c r="G9927" s="8">
        <f t="shared" si="1"/>
        <v>12</v>
      </c>
      <c r="H9927" s="14">
        <f t="shared" si="2"/>
        <v>19</v>
      </c>
      <c r="I9927" s="15">
        <f t="shared" si="3"/>
        <v>14</v>
      </c>
    </row>
    <row r="9928">
      <c r="A9928" s="8" t="str">
        <f>IFERROR(__xludf.DUMMYFUNCTION("IF('(INGESTA)Datos_consumo_datadis'!A9928&lt;&gt;"""",SPLIT('(INGESTA)Datos_consumo_datadis'!A:A,"",""),"""")"),"ES0031408323131005HX0F")</f>
        <v>ES0031408323131005HX0F</v>
      </c>
      <c r="B9928" s="17">
        <f>IFERROR(__xludf.DUMMYFUNCTION("""COMPUTED_VALUE"""),45279.0)</f>
        <v>45279</v>
      </c>
      <c r="C9928" s="13">
        <f>IFERROR(__xludf.DUMMYFUNCTION("""COMPUTED_VALUE"""),0.625)</f>
        <v>0.625</v>
      </c>
      <c r="D9928" s="8">
        <f>IFERROR(__xludf.DUMMYFUNCTION("""COMPUTED_VALUE"""),0.046)</f>
        <v>0.046</v>
      </c>
      <c r="E9928" s="8" t="str">
        <f>IFERROR(__xludf.DUMMYFUNCTION("""COMPUTED_VALUE"""),"Real")</f>
        <v>Real</v>
      </c>
      <c r="G9928" s="8">
        <f t="shared" si="1"/>
        <v>12</v>
      </c>
      <c r="H9928" s="14">
        <f t="shared" si="2"/>
        <v>19</v>
      </c>
      <c r="I9928" s="15">
        <f t="shared" si="3"/>
        <v>15</v>
      </c>
    </row>
    <row r="9929">
      <c r="A9929" s="8" t="str">
        <f>IFERROR(__xludf.DUMMYFUNCTION("IF('(INGESTA)Datos_consumo_datadis'!A9929&lt;&gt;"""",SPLIT('(INGESTA)Datos_consumo_datadis'!A:A,"",""),"""")"),"ES0031408323131005HX0F")</f>
        <v>ES0031408323131005HX0F</v>
      </c>
      <c r="B9929" s="17">
        <f>IFERROR(__xludf.DUMMYFUNCTION("""COMPUTED_VALUE"""),45279.0)</f>
        <v>45279</v>
      </c>
      <c r="C9929" s="13">
        <f>IFERROR(__xludf.DUMMYFUNCTION("""COMPUTED_VALUE"""),0.6666666666666666)</f>
        <v>0.6666666667</v>
      </c>
      <c r="D9929" s="8">
        <f>IFERROR(__xludf.DUMMYFUNCTION("""COMPUTED_VALUE"""),0.333)</f>
        <v>0.333</v>
      </c>
      <c r="E9929" s="8" t="str">
        <f>IFERROR(__xludf.DUMMYFUNCTION("""COMPUTED_VALUE"""),"Real")</f>
        <v>Real</v>
      </c>
      <c r="G9929" s="8">
        <f t="shared" si="1"/>
        <v>12</v>
      </c>
      <c r="H9929" s="14">
        <f t="shared" si="2"/>
        <v>19</v>
      </c>
      <c r="I9929" s="15">
        <f t="shared" si="3"/>
        <v>16</v>
      </c>
    </row>
    <row r="9930">
      <c r="A9930" s="8" t="str">
        <f>IFERROR(__xludf.DUMMYFUNCTION("IF('(INGESTA)Datos_consumo_datadis'!A9930&lt;&gt;"""",SPLIT('(INGESTA)Datos_consumo_datadis'!A:A,"",""),"""")"),"ES0031408323131005HX0F")</f>
        <v>ES0031408323131005HX0F</v>
      </c>
      <c r="B9930" s="17">
        <f>IFERROR(__xludf.DUMMYFUNCTION("""COMPUTED_VALUE"""),45279.0)</f>
        <v>45279</v>
      </c>
      <c r="C9930" s="13">
        <f>IFERROR(__xludf.DUMMYFUNCTION("""COMPUTED_VALUE"""),0.7083333333333334)</f>
        <v>0.7083333333</v>
      </c>
      <c r="D9930" s="8">
        <f>IFERROR(__xludf.DUMMYFUNCTION("""COMPUTED_VALUE"""),0.022)</f>
        <v>0.022</v>
      </c>
      <c r="E9930" s="8" t="str">
        <f>IFERROR(__xludf.DUMMYFUNCTION("""COMPUTED_VALUE"""),"Real")</f>
        <v>Real</v>
      </c>
      <c r="G9930" s="8">
        <f t="shared" si="1"/>
        <v>12</v>
      </c>
      <c r="H9930" s="14">
        <f t="shared" si="2"/>
        <v>19</v>
      </c>
      <c r="I9930" s="15">
        <f t="shared" si="3"/>
        <v>17</v>
      </c>
    </row>
    <row r="9931">
      <c r="A9931" s="8" t="str">
        <f>IFERROR(__xludf.DUMMYFUNCTION("IF('(INGESTA)Datos_consumo_datadis'!A9931&lt;&gt;"""",SPLIT('(INGESTA)Datos_consumo_datadis'!A:A,"",""),"""")"),"ES0031408323131005HX0F")</f>
        <v>ES0031408323131005HX0F</v>
      </c>
      <c r="B9931" s="17">
        <f>IFERROR(__xludf.DUMMYFUNCTION("""COMPUTED_VALUE"""),45279.0)</f>
        <v>45279</v>
      </c>
      <c r="C9931" s="13">
        <f>IFERROR(__xludf.DUMMYFUNCTION("""COMPUTED_VALUE"""),0.75)</f>
        <v>0.75</v>
      </c>
      <c r="D9931" s="8">
        <f>IFERROR(__xludf.DUMMYFUNCTION("""COMPUTED_VALUE"""),0.072)</f>
        <v>0.072</v>
      </c>
      <c r="E9931" s="8" t="str">
        <f>IFERROR(__xludf.DUMMYFUNCTION("""COMPUTED_VALUE"""),"Real")</f>
        <v>Real</v>
      </c>
      <c r="G9931" s="8">
        <f t="shared" si="1"/>
        <v>12</v>
      </c>
      <c r="H9931" s="14">
        <f t="shared" si="2"/>
        <v>19</v>
      </c>
      <c r="I9931" s="15">
        <f t="shared" si="3"/>
        <v>18</v>
      </c>
    </row>
    <row r="9932">
      <c r="A9932" s="8" t="str">
        <f>IFERROR(__xludf.DUMMYFUNCTION("IF('(INGESTA)Datos_consumo_datadis'!A9932&lt;&gt;"""",SPLIT('(INGESTA)Datos_consumo_datadis'!A:A,"",""),"""")"),"ES0031408323131005HX0F")</f>
        <v>ES0031408323131005HX0F</v>
      </c>
      <c r="B9932" s="17">
        <f>IFERROR(__xludf.DUMMYFUNCTION("""COMPUTED_VALUE"""),45279.0)</f>
        <v>45279</v>
      </c>
      <c r="C9932" s="13">
        <f>IFERROR(__xludf.DUMMYFUNCTION("""COMPUTED_VALUE"""),0.7916666666666666)</f>
        <v>0.7916666667</v>
      </c>
      <c r="D9932" s="8">
        <f>IFERROR(__xludf.DUMMYFUNCTION("""COMPUTED_VALUE"""),0.085)</f>
        <v>0.085</v>
      </c>
      <c r="E9932" s="8" t="str">
        <f>IFERROR(__xludf.DUMMYFUNCTION("""COMPUTED_VALUE"""),"Real")</f>
        <v>Real</v>
      </c>
      <c r="G9932" s="8">
        <f t="shared" si="1"/>
        <v>12</v>
      </c>
      <c r="H9932" s="14">
        <f t="shared" si="2"/>
        <v>19</v>
      </c>
      <c r="I9932" s="15">
        <f t="shared" si="3"/>
        <v>19</v>
      </c>
    </row>
    <row r="9933">
      <c r="A9933" s="8" t="str">
        <f>IFERROR(__xludf.DUMMYFUNCTION("IF('(INGESTA)Datos_consumo_datadis'!A9933&lt;&gt;"""",SPLIT('(INGESTA)Datos_consumo_datadis'!A:A,"",""),"""")"),"ES0031408323131005HX0F")</f>
        <v>ES0031408323131005HX0F</v>
      </c>
      <c r="B9933" s="17">
        <f>IFERROR(__xludf.DUMMYFUNCTION("""COMPUTED_VALUE"""),45279.0)</f>
        <v>45279</v>
      </c>
      <c r="C9933" s="13">
        <f>IFERROR(__xludf.DUMMYFUNCTION("""COMPUTED_VALUE"""),0.8333333333333334)</f>
        <v>0.8333333333</v>
      </c>
      <c r="D9933" s="8">
        <f>IFERROR(__xludf.DUMMYFUNCTION("""COMPUTED_VALUE"""),0.072)</f>
        <v>0.072</v>
      </c>
      <c r="E9933" s="8" t="str">
        <f>IFERROR(__xludf.DUMMYFUNCTION("""COMPUTED_VALUE"""),"Real")</f>
        <v>Real</v>
      </c>
      <c r="G9933" s="8">
        <f t="shared" si="1"/>
        <v>12</v>
      </c>
      <c r="H9933" s="14">
        <f t="shared" si="2"/>
        <v>19</v>
      </c>
      <c r="I9933" s="15">
        <f t="shared" si="3"/>
        <v>20</v>
      </c>
    </row>
    <row r="9934">
      <c r="A9934" s="8" t="str">
        <f>IFERROR(__xludf.DUMMYFUNCTION("IF('(INGESTA)Datos_consumo_datadis'!A9934&lt;&gt;"""",SPLIT('(INGESTA)Datos_consumo_datadis'!A:A,"",""),"""")"),"ES0031408323131005HX0F")</f>
        <v>ES0031408323131005HX0F</v>
      </c>
      <c r="B9934" s="17">
        <f>IFERROR(__xludf.DUMMYFUNCTION("""COMPUTED_VALUE"""),45279.0)</f>
        <v>45279</v>
      </c>
      <c r="C9934" s="13">
        <f>IFERROR(__xludf.DUMMYFUNCTION("""COMPUTED_VALUE"""),0.875)</f>
        <v>0.875</v>
      </c>
      <c r="D9934" s="8">
        <f>IFERROR(__xludf.DUMMYFUNCTION("""COMPUTED_VALUE"""),0.045)</f>
        <v>0.045</v>
      </c>
      <c r="E9934" s="8" t="str">
        <f>IFERROR(__xludf.DUMMYFUNCTION("""COMPUTED_VALUE"""),"Real")</f>
        <v>Real</v>
      </c>
      <c r="G9934" s="8">
        <f t="shared" si="1"/>
        <v>12</v>
      </c>
      <c r="H9934" s="14">
        <f t="shared" si="2"/>
        <v>19</v>
      </c>
      <c r="I9934" s="15">
        <f t="shared" si="3"/>
        <v>21</v>
      </c>
    </row>
    <row r="9935">
      <c r="A9935" s="8" t="str">
        <f>IFERROR(__xludf.DUMMYFUNCTION("IF('(INGESTA)Datos_consumo_datadis'!A9935&lt;&gt;"""",SPLIT('(INGESTA)Datos_consumo_datadis'!A:A,"",""),"""")"),"ES0031408323131005HX0F")</f>
        <v>ES0031408323131005HX0F</v>
      </c>
      <c r="B9935" s="17">
        <f>IFERROR(__xludf.DUMMYFUNCTION("""COMPUTED_VALUE"""),45279.0)</f>
        <v>45279</v>
      </c>
      <c r="C9935" s="13">
        <f>IFERROR(__xludf.DUMMYFUNCTION("""COMPUTED_VALUE"""),0.9166666666666666)</f>
        <v>0.9166666667</v>
      </c>
      <c r="D9935" s="8">
        <f>IFERROR(__xludf.DUMMYFUNCTION("""COMPUTED_VALUE"""),0.757)</f>
        <v>0.757</v>
      </c>
      <c r="E9935" s="8" t="str">
        <f>IFERROR(__xludf.DUMMYFUNCTION("""COMPUTED_VALUE"""),"Real")</f>
        <v>Real</v>
      </c>
      <c r="G9935" s="8">
        <f t="shared" si="1"/>
        <v>12</v>
      </c>
      <c r="H9935" s="14">
        <f t="shared" si="2"/>
        <v>19</v>
      </c>
      <c r="I9935" s="15">
        <f t="shared" si="3"/>
        <v>22</v>
      </c>
    </row>
    <row r="9936">
      <c r="A9936" s="8" t="str">
        <f>IFERROR(__xludf.DUMMYFUNCTION("IF('(INGESTA)Datos_consumo_datadis'!A9936&lt;&gt;"""",SPLIT('(INGESTA)Datos_consumo_datadis'!A:A,"",""),"""")"),"ES0031408323131005HX0F")</f>
        <v>ES0031408323131005HX0F</v>
      </c>
      <c r="B9936" s="17">
        <f>IFERROR(__xludf.DUMMYFUNCTION("""COMPUTED_VALUE"""),45279.0)</f>
        <v>45279</v>
      </c>
      <c r="C9936" s="13">
        <f>IFERROR(__xludf.DUMMYFUNCTION("""COMPUTED_VALUE"""),0.9583333333333334)</f>
        <v>0.9583333333</v>
      </c>
      <c r="D9936" s="8">
        <f>IFERROR(__xludf.DUMMYFUNCTION("""COMPUTED_VALUE"""),0.44)</f>
        <v>0.44</v>
      </c>
      <c r="E9936" s="8" t="str">
        <f>IFERROR(__xludf.DUMMYFUNCTION("""COMPUTED_VALUE"""),"Real")</f>
        <v>Real</v>
      </c>
      <c r="G9936" s="8">
        <f t="shared" si="1"/>
        <v>12</v>
      </c>
      <c r="H9936" s="14">
        <f t="shared" si="2"/>
        <v>19</v>
      </c>
      <c r="I9936" s="15">
        <f t="shared" si="3"/>
        <v>23</v>
      </c>
    </row>
    <row r="9937">
      <c r="A9937" s="8" t="str">
        <f>IFERROR(__xludf.DUMMYFUNCTION("IF('(INGESTA)Datos_consumo_datadis'!A9937&lt;&gt;"""",SPLIT('(INGESTA)Datos_consumo_datadis'!A:A,"",""),"""")"),"ES0031408323131005HX0F")</f>
        <v>ES0031408323131005HX0F</v>
      </c>
      <c r="B9937" s="17">
        <f>IFERROR(__xludf.DUMMYFUNCTION("""COMPUTED_VALUE"""),45279.0)</f>
        <v>45279</v>
      </c>
      <c r="C9937" s="16">
        <f>IFERROR(__xludf.DUMMYFUNCTION("""COMPUTED_VALUE"""),1.0)</f>
        <v>1</v>
      </c>
      <c r="D9937" s="8">
        <f>IFERROR(__xludf.DUMMYFUNCTION("""COMPUTED_VALUE"""),1.073)</f>
        <v>1.073</v>
      </c>
      <c r="E9937" s="8" t="str">
        <f>IFERROR(__xludf.DUMMYFUNCTION("""COMPUTED_VALUE"""),"Real")</f>
        <v>Real</v>
      </c>
      <c r="G9937" s="8">
        <f t="shared" si="1"/>
        <v>12</v>
      </c>
      <c r="H9937" s="14">
        <f t="shared" si="2"/>
        <v>19</v>
      </c>
      <c r="I9937" s="15">
        <f t="shared" si="3"/>
        <v>0</v>
      </c>
    </row>
    <row r="9938">
      <c r="A9938" s="8" t="str">
        <f>IFERROR(__xludf.DUMMYFUNCTION("IF('(INGESTA)Datos_consumo_datadis'!A9938&lt;&gt;"""",SPLIT('(INGESTA)Datos_consumo_datadis'!A:A,"",""),"""")"),"ES0031408323131005HX0F")</f>
        <v>ES0031408323131005HX0F</v>
      </c>
      <c r="B9938" s="17">
        <f>IFERROR(__xludf.DUMMYFUNCTION("""COMPUTED_VALUE"""),45280.0)</f>
        <v>45280</v>
      </c>
      <c r="C9938" s="13">
        <f>IFERROR(__xludf.DUMMYFUNCTION("""COMPUTED_VALUE"""),0.041666666666666664)</f>
        <v>0.04166666667</v>
      </c>
      <c r="D9938" s="8">
        <f>IFERROR(__xludf.DUMMYFUNCTION("""COMPUTED_VALUE"""),0.5)</f>
        <v>0.5</v>
      </c>
      <c r="E9938" s="8" t="str">
        <f>IFERROR(__xludf.DUMMYFUNCTION("""COMPUTED_VALUE"""),"Real")</f>
        <v>Real</v>
      </c>
      <c r="G9938" s="8">
        <f t="shared" si="1"/>
        <v>12</v>
      </c>
      <c r="H9938" s="14">
        <f t="shared" si="2"/>
        <v>20</v>
      </c>
      <c r="I9938" s="15">
        <f t="shared" si="3"/>
        <v>1</v>
      </c>
    </row>
    <row r="9939">
      <c r="A9939" s="8" t="str">
        <f>IFERROR(__xludf.DUMMYFUNCTION("IF('(INGESTA)Datos_consumo_datadis'!A9939&lt;&gt;"""",SPLIT('(INGESTA)Datos_consumo_datadis'!A:A,"",""),"""")"),"ES0031408323131005HX0F")</f>
        <v>ES0031408323131005HX0F</v>
      </c>
      <c r="B9939" s="17">
        <f>IFERROR(__xludf.DUMMYFUNCTION("""COMPUTED_VALUE"""),45280.0)</f>
        <v>45280</v>
      </c>
      <c r="C9939" s="13">
        <f>IFERROR(__xludf.DUMMYFUNCTION("""COMPUTED_VALUE"""),0.08333333333333333)</f>
        <v>0.08333333333</v>
      </c>
      <c r="D9939" s="8">
        <f>IFERROR(__xludf.DUMMYFUNCTION("""COMPUTED_VALUE"""),0.051)</f>
        <v>0.051</v>
      </c>
      <c r="E9939" s="8" t="str">
        <f>IFERROR(__xludf.DUMMYFUNCTION("""COMPUTED_VALUE"""),"Real")</f>
        <v>Real</v>
      </c>
      <c r="G9939" s="8">
        <f t="shared" si="1"/>
        <v>12</v>
      </c>
      <c r="H9939" s="14">
        <f t="shared" si="2"/>
        <v>20</v>
      </c>
      <c r="I9939" s="15">
        <f t="shared" si="3"/>
        <v>2</v>
      </c>
    </row>
    <row r="9940">
      <c r="A9940" s="8" t="str">
        <f>IFERROR(__xludf.DUMMYFUNCTION("IF('(INGESTA)Datos_consumo_datadis'!A9940&lt;&gt;"""",SPLIT('(INGESTA)Datos_consumo_datadis'!A:A,"",""),"""")"),"ES0031408323131005HX0F")</f>
        <v>ES0031408323131005HX0F</v>
      </c>
      <c r="B9940" s="17">
        <f>IFERROR(__xludf.DUMMYFUNCTION("""COMPUTED_VALUE"""),45280.0)</f>
        <v>45280</v>
      </c>
      <c r="C9940" s="13">
        <f>IFERROR(__xludf.DUMMYFUNCTION("""COMPUTED_VALUE"""),0.125)</f>
        <v>0.125</v>
      </c>
      <c r="D9940" s="8">
        <f>IFERROR(__xludf.DUMMYFUNCTION("""COMPUTED_VALUE"""),0.064)</f>
        <v>0.064</v>
      </c>
      <c r="E9940" s="8" t="str">
        <f>IFERROR(__xludf.DUMMYFUNCTION("""COMPUTED_VALUE"""),"Real")</f>
        <v>Real</v>
      </c>
      <c r="G9940" s="8">
        <f t="shared" si="1"/>
        <v>12</v>
      </c>
      <c r="H9940" s="14">
        <f t="shared" si="2"/>
        <v>20</v>
      </c>
      <c r="I9940" s="15">
        <f t="shared" si="3"/>
        <v>3</v>
      </c>
    </row>
    <row r="9941">
      <c r="A9941" s="8" t="str">
        <f>IFERROR(__xludf.DUMMYFUNCTION("IF('(INGESTA)Datos_consumo_datadis'!A9941&lt;&gt;"""",SPLIT('(INGESTA)Datos_consumo_datadis'!A:A,"",""),"""")"),"ES0031408323131005HX0F")</f>
        <v>ES0031408323131005HX0F</v>
      </c>
      <c r="B9941" s="17">
        <f>IFERROR(__xludf.DUMMYFUNCTION("""COMPUTED_VALUE"""),45280.0)</f>
        <v>45280</v>
      </c>
      <c r="C9941" s="13">
        <f>IFERROR(__xludf.DUMMYFUNCTION("""COMPUTED_VALUE"""),0.16666666666666666)</f>
        <v>0.1666666667</v>
      </c>
      <c r="D9941" s="8">
        <f>IFERROR(__xludf.DUMMYFUNCTION("""COMPUTED_VALUE"""),0.384)</f>
        <v>0.384</v>
      </c>
      <c r="E9941" s="8" t="str">
        <f>IFERROR(__xludf.DUMMYFUNCTION("""COMPUTED_VALUE"""),"Real")</f>
        <v>Real</v>
      </c>
      <c r="G9941" s="8">
        <f t="shared" si="1"/>
        <v>12</v>
      </c>
      <c r="H9941" s="14">
        <f t="shared" si="2"/>
        <v>20</v>
      </c>
      <c r="I9941" s="15">
        <f t="shared" si="3"/>
        <v>4</v>
      </c>
    </row>
    <row r="9942">
      <c r="A9942" s="8" t="str">
        <f>IFERROR(__xludf.DUMMYFUNCTION("IF('(INGESTA)Datos_consumo_datadis'!A9942&lt;&gt;"""",SPLIT('(INGESTA)Datos_consumo_datadis'!A:A,"",""),"""")"),"ES0031408323131005HX0F")</f>
        <v>ES0031408323131005HX0F</v>
      </c>
      <c r="B9942" s="17">
        <f>IFERROR(__xludf.DUMMYFUNCTION("""COMPUTED_VALUE"""),45280.0)</f>
        <v>45280</v>
      </c>
      <c r="C9942" s="13">
        <f>IFERROR(__xludf.DUMMYFUNCTION("""COMPUTED_VALUE"""),0.20833333333333334)</f>
        <v>0.2083333333</v>
      </c>
      <c r="D9942" s="8">
        <f>IFERROR(__xludf.DUMMYFUNCTION("""COMPUTED_VALUE"""),0.073)</f>
        <v>0.073</v>
      </c>
      <c r="E9942" s="8" t="str">
        <f>IFERROR(__xludf.DUMMYFUNCTION("""COMPUTED_VALUE"""),"Real")</f>
        <v>Real</v>
      </c>
      <c r="G9942" s="8">
        <f t="shared" si="1"/>
        <v>12</v>
      </c>
      <c r="H9942" s="14">
        <f t="shared" si="2"/>
        <v>20</v>
      </c>
      <c r="I9942" s="15">
        <f t="shared" si="3"/>
        <v>5</v>
      </c>
    </row>
    <row r="9943">
      <c r="A9943" s="8" t="str">
        <f>IFERROR(__xludf.DUMMYFUNCTION("IF('(INGESTA)Datos_consumo_datadis'!A9943&lt;&gt;"""",SPLIT('(INGESTA)Datos_consumo_datadis'!A:A,"",""),"""")"),"ES0031408323131005HX0F")</f>
        <v>ES0031408323131005HX0F</v>
      </c>
      <c r="B9943" s="17">
        <f>IFERROR(__xludf.DUMMYFUNCTION("""COMPUTED_VALUE"""),45280.0)</f>
        <v>45280</v>
      </c>
      <c r="C9943" s="13">
        <f>IFERROR(__xludf.DUMMYFUNCTION("""COMPUTED_VALUE"""),0.25)</f>
        <v>0.25</v>
      </c>
      <c r="D9943" s="8">
        <f>IFERROR(__xludf.DUMMYFUNCTION("""COMPUTED_VALUE"""),0.051)</f>
        <v>0.051</v>
      </c>
      <c r="E9943" s="8" t="str">
        <f>IFERROR(__xludf.DUMMYFUNCTION("""COMPUTED_VALUE"""),"Real")</f>
        <v>Real</v>
      </c>
      <c r="G9943" s="8">
        <f t="shared" si="1"/>
        <v>12</v>
      </c>
      <c r="H9943" s="14">
        <f t="shared" si="2"/>
        <v>20</v>
      </c>
      <c r="I9943" s="15">
        <f t="shared" si="3"/>
        <v>6</v>
      </c>
    </row>
    <row r="9944">
      <c r="A9944" s="8" t="str">
        <f>IFERROR(__xludf.DUMMYFUNCTION("IF('(INGESTA)Datos_consumo_datadis'!A9944&lt;&gt;"""",SPLIT('(INGESTA)Datos_consumo_datadis'!A:A,"",""),"""")"),"ES0031408323131005HX0F")</f>
        <v>ES0031408323131005HX0F</v>
      </c>
      <c r="B9944" s="17">
        <f>IFERROR(__xludf.DUMMYFUNCTION("""COMPUTED_VALUE"""),45280.0)</f>
        <v>45280</v>
      </c>
      <c r="C9944" s="13">
        <f>IFERROR(__xludf.DUMMYFUNCTION("""COMPUTED_VALUE"""),0.2916666666666667)</f>
        <v>0.2916666667</v>
      </c>
      <c r="D9944" s="8">
        <f>IFERROR(__xludf.DUMMYFUNCTION("""COMPUTED_VALUE"""),0.018)</f>
        <v>0.018</v>
      </c>
      <c r="E9944" s="8" t="str">
        <f>IFERROR(__xludf.DUMMYFUNCTION("""COMPUTED_VALUE"""),"Real")</f>
        <v>Real</v>
      </c>
      <c r="G9944" s="8">
        <f t="shared" si="1"/>
        <v>12</v>
      </c>
      <c r="H9944" s="14">
        <f t="shared" si="2"/>
        <v>20</v>
      </c>
      <c r="I9944" s="15">
        <f t="shared" si="3"/>
        <v>7</v>
      </c>
    </row>
    <row r="9945">
      <c r="A9945" s="8" t="str">
        <f>IFERROR(__xludf.DUMMYFUNCTION("IF('(INGESTA)Datos_consumo_datadis'!A9945&lt;&gt;"""",SPLIT('(INGESTA)Datos_consumo_datadis'!A:A,"",""),"""")"),"ES0031408323131005HX0F")</f>
        <v>ES0031408323131005HX0F</v>
      </c>
      <c r="B9945" s="17">
        <f>IFERROR(__xludf.DUMMYFUNCTION("""COMPUTED_VALUE"""),45280.0)</f>
        <v>45280</v>
      </c>
      <c r="C9945" s="13">
        <f>IFERROR(__xludf.DUMMYFUNCTION("""COMPUTED_VALUE"""),0.3333333333333333)</f>
        <v>0.3333333333</v>
      </c>
      <c r="D9945" s="8">
        <f>IFERROR(__xludf.DUMMYFUNCTION("""COMPUTED_VALUE"""),0.108)</f>
        <v>0.108</v>
      </c>
      <c r="E9945" s="8" t="str">
        <f>IFERROR(__xludf.DUMMYFUNCTION("""COMPUTED_VALUE"""),"Real")</f>
        <v>Real</v>
      </c>
      <c r="G9945" s="8">
        <f t="shared" si="1"/>
        <v>12</v>
      </c>
      <c r="H9945" s="14">
        <f t="shared" si="2"/>
        <v>20</v>
      </c>
      <c r="I9945" s="15">
        <f t="shared" si="3"/>
        <v>8</v>
      </c>
    </row>
    <row r="9946">
      <c r="A9946" s="8" t="str">
        <f>IFERROR(__xludf.DUMMYFUNCTION("IF('(INGESTA)Datos_consumo_datadis'!A9946&lt;&gt;"""",SPLIT('(INGESTA)Datos_consumo_datadis'!A:A,"",""),"""")"),"ES0031408323131005HX0F")</f>
        <v>ES0031408323131005HX0F</v>
      </c>
      <c r="B9946" s="17">
        <f>IFERROR(__xludf.DUMMYFUNCTION("""COMPUTED_VALUE"""),45280.0)</f>
        <v>45280</v>
      </c>
      <c r="C9946" s="13">
        <f>IFERROR(__xludf.DUMMYFUNCTION("""COMPUTED_VALUE"""),0.375)</f>
        <v>0.375</v>
      </c>
      <c r="D9946" s="8">
        <f>IFERROR(__xludf.DUMMYFUNCTION("""COMPUTED_VALUE"""),0.06)</f>
        <v>0.06</v>
      </c>
      <c r="E9946" s="8" t="str">
        <f>IFERROR(__xludf.DUMMYFUNCTION("""COMPUTED_VALUE"""),"Real")</f>
        <v>Real</v>
      </c>
      <c r="G9946" s="8">
        <f t="shared" si="1"/>
        <v>12</v>
      </c>
      <c r="H9946" s="14">
        <f t="shared" si="2"/>
        <v>20</v>
      </c>
      <c r="I9946" s="15">
        <f t="shared" si="3"/>
        <v>9</v>
      </c>
    </row>
    <row r="9947">
      <c r="A9947" s="8" t="str">
        <f>IFERROR(__xludf.DUMMYFUNCTION("IF('(INGESTA)Datos_consumo_datadis'!A9947&lt;&gt;"""",SPLIT('(INGESTA)Datos_consumo_datadis'!A:A,"",""),"""")"),"ES0031408323131005HX0F")</f>
        <v>ES0031408323131005HX0F</v>
      </c>
      <c r="B9947" s="17">
        <f>IFERROR(__xludf.DUMMYFUNCTION("""COMPUTED_VALUE"""),45280.0)</f>
        <v>45280</v>
      </c>
      <c r="C9947" s="13">
        <f>IFERROR(__xludf.DUMMYFUNCTION("""COMPUTED_VALUE"""),0.4166666666666667)</f>
        <v>0.4166666667</v>
      </c>
      <c r="D9947" s="8">
        <f>IFERROR(__xludf.DUMMYFUNCTION("""COMPUTED_VALUE"""),0.812)</f>
        <v>0.812</v>
      </c>
      <c r="E9947" s="8" t="str">
        <f>IFERROR(__xludf.DUMMYFUNCTION("""COMPUTED_VALUE"""),"Real")</f>
        <v>Real</v>
      </c>
      <c r="G9947" s="8">
        <f t="shared" si="1"/>
        <v>12</v>
      </c>
      <c r="H9947" s="14">
        <f t="shared" si="2"/>
        <v>20</v>
      </c>
      <c r="I9947" s="15">
        <f t="shared" si="3"/>
        <v>10</v>
      </c>
    </row>
    <row r="9948">
      <c r="A9948" s="8" t="str">
        <f>IFERROR(__xludf.DUMMYFUNCTION("IF('(INGESTA)Datos_consumo_datadis'!A9948&lt;&gt;"""",SPLIT('(INGESTA)Datos_consumo_datadis'!A:A,"",""),"""")"),"ES0031408323131005HX0F")</f>
        <v>ES0031408323131005HX0F</v>
      </c>
      <c r="B9948" s="17">
        <f>IFERROR(__xludf.DUMMYFUNCTION("""COMPUTED_VALUE"""),45280.0)</f>
        <v>45280</v>
      </c>
      <c r="C9948" s="13">
        <f>IFERROR(__xludf.DUMMYFUNCTION("""COMPUTED_VALUE"""),0.4583333333333333)</f>
        <v>0.4583333333</v>
      </c>
      <c r="D9948" s="8">
        <f>IFERROR(__xludf.DUMMYFUNCTION("""COMPUTED_VALUE"""),0.362)</f>
        <v>0.362</v>
      </c>
      <c r="E9948" s="8" t="str">
        <f>IFERROR(__xludf.DUMMYFUNCTION("""COMPUTED_VALUE"""),"Real")</f>
        <v>Real</v>
      </c>
      <c r="G9948" s="8">
        <f t="shared" si="1"/>
        <v>12</v>
      </c>
      <c r="H9948" s="14">
        <f t="shared" si="2"/>
        <v>20</v>
      </c>
      <c r="I9948" s="15">
        <f t="shared" si="3"/>
        <v>11</v>
      </c>
    </row>
    <row r="9949">
      <c r="A9949" s="8" t="str">
        <f>IFERROR(__xludf.DUMMYFUNCTION("IF('(INGESTA)Datos_consumo_datadis'!A9949&lt;&gt;"""",SPLIT('(INGESTA)Datos_consumo_datadis'!A:A,"",""),"""")"),"ES0031408323131005HX0F")</f>
        <v>ES0031408323131005HX0F</v>
      </c>
      <c r="B9949" s="17">
        <f>IFERROR(__xludf.DUMMYFUNCTION("""COMPUTED_VALUE"""),45280.0)</f>
        <v>45280</v>
      </c>
      <c r="C9949" s="13">
        <f>IFERROR(__xludf.DUMMYFUNCTION("""COMPUTED_VALUE"""),0.5)</f>
        <v>0.5</v>
      </c>
      <c r="D9949" s="8">
        <f>IFERROR(__xludf.DUMMYFUNCTION("""COMPUTED_VALUE"""),0.088)</f>
        <v>0.088</v>
      </c>
      <c r="E9949" s="8" t="str">
        <f>IFERROR(__xludf.DUMMYFUNCTION("""COMPUTED_VALUE"""),"Real")</f>
        <v>Real</v>
      </c>
      <c r="G9949" s="8">
        <f t="shared" si="1"/>
        <v>12</v>
      </c>
      <c r="H9949" s="14">
        <f t="shared" si="2"/>
        <v>20</v>
      </c>
      <c r="I9949" s="15">
        <f t="shared" si="3"/>
        <v>12</v>
      </c>
    </row>
    <row r="9950">
      <c r="A9950" s="8" t="str">
        <f>IFERROR(__xludf.DUMMYFUNCTION("IF('(INGESTA)Datos_consumo_datadis'!A9950&lt;&gt;"""",SPLIT('(INGESTA)Datos_consumo_datadis'!A:A,"",""),"""")"),"ES0031408323131005HX0F")</f>
        <v>ES0031408323131005HX0F</v>
      </c>
      <c r="B9950" s="17">
        <f>IFERROR(__xludf.DUMMYFUNCTION("""COMPUTED_VALUE"""),45280.0)</f>
        <v>45280</v>
      </c>
      <c r="C9950" s="13">
        <f>IFERROR(__xludf.DUMMYFUNCTION("""COMPUTED_VALUE"""),0.5416666666666666)</f>
        <v>0.5416666667</v>
      </c>
      <c r="D9950" s="8">
        <f>IFERROR(__xludf.DUMMYFUNCTION("""COMPUTED_VALUE"""),0.046)</f>
        <v>0.046</v>
      </c>
      <c r="E9950" s="8" t="str">
        <f>IFERROR(__xludf.DUMMYFUNCTION("""COMPUTED_VALUE"""),"Real")</f>
        <v>Real</v>
      </c>
      <c r="G9950" s="8">
        <f t="shared" si="1"/>
        <v>12</v>
      </c>
      <c r="H9950" s="14">
        <f t="shared" si="2"/>
        <v>20</v>
      </c>
      <c r="I9950" s="15">
        <f t="shared" si="3"/>
        <v>13</v>
      </c>
    </row>
    <row r="9951">
      <c r="A9951" s="8" t="str">
        <f>IFERROR(__xludf.DUMMYFUNCTION("IF('(INGESTA)Datos_consumo_datadis'!A9951&lt;&gt;"""",SPLIT('(INGESTA)Datos_consumo_datadis'!A:A,"",""),"""")"),"ES0031408323131005HX0F")</f>
        <v>ES0031408323131005HX0F</v>
      </c>
      <c r="B9951" s="17">
        <f>IFERROR(__xludf.DUMMYFUNCTION("""COMPUTED_VALUE"""),45280.0)</f>
        <v>45280</v>
      </c>
      <c r="C9951" s="13">
        <f>IFERROR(__xludf.DUMMYFUNCTION("""COMPUTED_VALUE"""),0.5833333333333334)</f>
        <v>0.5833333333</v>
      </c>
      <c r="D9951" s="8">
        <f>IFERROR(__xludf.DUMMYFUNCTION("""COMPUTED_VALUE"""),0.094)</f>
        <v>0.094</v>
      </c>
      <c r="E9951" s="8" t="str">
        <f>IFERROR(__xludf.DUMMYFUNCTION("""COMPUTED_VALUE"""),"Real")</f>
        <v>Real</v>
      </c>
      <c r="G9951" s="8">
        <f t="shared" si="1"/>
        <v>12</v>
      </c>
      <c r="H9951" s="14">
        <f t="shared" si="2"/>
        <v>20</v>
      </c>
      <c r="I9951" s="15">
        <f t="shared" si="3"/>
        <v>14</v>
      </c>
    </row>
    <row r="9952">
      <c r="A9952" s="8" t="str">
        <f>IFERROR(__xludf.DUMMYFUNCTION("IF('(INGESTA)Datos_consumo_datadis'!A9952&lt;&gt;"""",SPLIT('(INGESTA)Datos_consumo_datadis'!A:A,"",""),"""")"),"ES0031408323131005HX0F")</f>
        <v>ES0031408323131005HX0F</v>
      </c>
      <c r="B9952" s="17">
        <f>IFERROR(__xludf.DUMMYFUNCTION("""COMPUTED_VALUE"""),45280.0)</f>
        <v>45280</v>
      </c>
      <c r="C9952" s="13">
        <f>IFERROR(__xludf.DUMMYFUNCTION("""COMPUTED_VALUE"""),0.625)</f>
        <v>0.625</v>
      </c>
      <c r="D9952" s="8">
        <f>IFERROR(__xludf.DUMMYFUNCTION("""COMPUTED_VALUE"""),0.021)</f>
        <v>0.021</v>
      </c>
      <c r="E9952" s="8" t="str">
        <f>IFERROR(__xludf.DUMMYFUNCTION("""COMPUTED_VALUE"""),"Real")</f>
        <v>Real</v>
      </c>
      <c r="G9952" s="8">
        <f t="shared" si="1"/>
        <v>12</v>
      </c>
      <c r="H9952" s="14">
        <f t="shared" si="2"/>
        <v>20</v>
      </c>
      <c r="I9952" s="15">
        <f t="shared" si="3"/>
        <v>15</v>
      </c>
    </row>
    <row r="9953">
      <c r="A9953" s="8" t="str">
        <f>IFERROR(__xludf.DUMMYFUNCTION("IF('(INGESTA)Datos_consumo_datadis'!A9953&lt;&gt;"""",SPLIT('(INGESTA)Datos_consumo_datadis'!A:A,"",""),"""")"),"ES0031408323131005HX0F")</f>
        <v>ES0031408323131005HX0F</v>
      </c>
      <c r="B9953" s="17">
        <f>IFERROR(__xludf.DUMMYFUNCTION("""COMPUTED_VALUE"""),45280.0)</f>
        <v>45280</v>
      </c>
      <c r="C9953" s="13">
        <f>IFERROR(__xludf.DUMMYFUNCTION("""COMPUTED_VALUE"""),0.6666666666666666)</f>
        <v>0.6666666667</v>
      </c>
      <c r="D9953" s="8">
        <f>IFERROR(__xludf.DUMMYFUNCTION("""COMPUTED_VALUE"""),0.33)</f>
        <v>0.33</v>
      </c>
      <c r="E9953" s="8" t="str">
        <f>IFERROR(__xludf.DUMMYFUNCTION("""COMPUTED_VALUE"""),"Real")</f>
        <v>Real</v>
      </c>
      <c r="G9953" s="8">
        <f t="shared" si="1"/>
        <v>12</v>
      </c>
      <c r="H9953" s="14">
        <f t="shared" si="2"/>
        <v>20</v>
      </c>
      <c r="I9953" s="15">
        <f t="shared" si="3"/>
        <v>16</v>
      </c>
    </row>
    <row r="9954">
      <c r="A9954" s="8" t="str">
        <f>IFERROR(__xludf.DUMMYFUNCTION("IF('(INGESTA)Datos_consumo_datadis'!A9954&lt;&gt;"""",SPLIT('(INGESTA)Datos_consumo_datadis'!A:A,"",""),"""")"),"ES0031408323131005HX0F")</f>
        <v>ES0031408323131005HX0F</v>
      </c>
      <c r="B9954" s="17">
        <f>IFERROR(__xludf.DUMMYFUNCTION("""COMPUTED_VALUE"""),45280.0)</f>
        <v>45280</v>
      </c>
      <c r="C9954" s="13">
        <f>IFERROR(__xludf.DUMMYFUNCTION("""COMPUTED_VALUE"""),0.7083333333333334)</f>
        <v>0.7083333333</v>
      </c>
      <c r="D9954" s="8">
        <f>IFERROR(__xludf.DUMMYFUNCTION("""COMPUTED_VALUE"""),0.068)</f>
        <v>0.068</v>
      </c>
      <c r="E9954" s="8" t="str">
        <f>IFERROR(__xludf.DUMMYFUNCTION("""COMPUTED_VALUE"""),"Real")</f>
        <v>Real</v>
      </c>
      <c r="G9954" s="8">
        <f t="shared" si="1"/>
        <v>12</v>
      </c>
      <c r="H9954" s="14">
        <f t="shared" si="2"/>
        <v>20</v>
      </c>
      <c r="I9954" s="15">
        <f t="shared" si="3"/>
        <v>17</v>
      </c>
    </row>
    <row r="9955">
      <c r="A9955" s="8" t="str">
        <f>IFERROR(__xludf.DUMMYFUNCTION("IF('(INGESTA)Datos_consumo_datadis'!A9955&lt;&gt;"""",SPLIT('(INGESTA)Datos_consumo_datadis'!A:A,"",""),"""")"),"ES0031408323131005HX0F")</f>
        <v>ES0031408323131005HX0F</v>
      </c>
      <c r="B9955" s="17">
        <f>IFERROR(__xludf.DUMMYFUNCTION("""COMPUTED_VALUE"""),45280.0)</f>
        <v>45280</v>
      </c>
      <c r="C9955" s="13">
        <f>IFERROR(__xludf.DUMMYFUNCTION("""COMPUTED_VALUE"""),0.75)</f>
        <v>0.75</v>
      </c>
      <c r="D9955" s="8">
        <f>IFERROR(__xludf.DUMMYFUNCTION("""COMPUTED_VALUE"""),0.091)</f>
        <v>0.091</v>
      </c>
      <c r="E9955" s="8" t="str">
        <f>IFERROR(__xludf.DUMMYFUNCTION("""COMPUTED_VALUE"""),"Real")</f>
        <v>Real</v>
      </c>
      <c r="G9955" s="8">
        <f t="shared" si="1"/>
        <v>12</v>
      </c>
      <c r="H9955" s="14">
        <f t="shared" si="2"/>
        <v>20</v>
      </c>
      <c r="I9955" s="15">
        <f t="shared" si="3"/>
        <v>18</v>
      </c>
    </row>
    <row r="9956">
      <c r="A9956" s="8" t="str">
        <f>IFERROR(__xludf.DUMMYFUNCTION("IF('(INGESTA)Datos_consumo_datadis'!A9956&lt;&gt;"""",SPLIT('(INGESTA)Datos_consumo_datadis'!A:A,"",""),"""")"),"ES0031408323131005HX0F")</f>
        <v>ES0031408323131005HX0F</v>
      </c>
      <c r="B9956" s="17">
        <f>IFERROR(__xludf.DUMMYFUNCTION("""COMPUTED_VALUE"""),45280.0)</f>
        <v>45280</v>
      </c>
      <c r="C9956" s="13">
        <f>IFERROR(__xludf.DUMMYFUNCTION("""COMPUTED_VALUE"""),0.7916666666666666)</f>
        <v>0.7916666667</v>
      </c>
      <c r="D9956" s="8">
        <f>IFERROR(__xludf.DUMMYFUNCTION("""COMPUTED_VALUE"""),0.034)</f>
        <v>0.034</v>
      </c>
      <c r="E9956" s="8" t="str">
        <f>IFERROR(__xludf.DUMMYFUNCTION("""COMPUTED_VALUE"""),"Real")</f>
        <v>Real</v>
      </c>
      <c r="G9956" s="8">
        <f t="shared" si="1"/>
        <v>12</v>
      </c>
      <c r="H9956" s="14">
        <f t="shared" si="2"/>
        <v>20</v>
      </c>
      <c r="I9956" s="15">
        <f t="shared" si="3"/>
        <v>19</v>
      </c>
    </row>
    <row r="9957">
      <c r="A9957" s="8" t="str">
        <f>IFERROR(__xludf.DUMMYFUNCTION("IF('(INGESTA)Datos_consumo_datadis'!A9957&lt;&gt;"""",SPLIT('(INGESTA)Datos_consumo_datadis'!A:A,"",""),"""")"),"ES0031408323131005HX0F")</f>
        <v>ES0031408323131005HX0F</v>
      </c>
      <c r="B9957" s="17">
        <f>IFERROR(__xludf.DUMMYFUNCTION("""COMPUTED_VALUE"""),45280.0)</f>
        <v>45280</v>
      </c>
      <c r="C9957" s="13">
        <f>IFERROR(__xludf.DUMMYFUNCTION("""COMPUTED_VALUE"""),0.8333333333333334)</f>
        <v>0.8333333333</v>
      </c>
      <c r="D9957" s="8">
        <f>IFERROR(__xludf.DUMMYFUNCTION("""COMPUTED_VALUE"""),0.026)</f>
        <v>0.026</v>
      </c>
      <c r="E9957" s="8" t="str">
        <f>IFERROR(__xludf.DUMMYFUNCTION("""COMPUTED_VALUE"""),"Real")</f>
        <v>Real</v>
      </c>
      <c r="G9957" s="8">
        <f t="shared" si="1"/>
        <v>12</v>
      </c>
      <c r="H9957" s="14">
        <f t="shared" si="2"/>
        <v>20</v>
      </c>
      <c r="I9957" s="15">
        <f t="shared" si="3"/>
        <v>20</v>
      </c>
    </row>
    <row r="9958">
      <c r="A9958" s="8" t="str">
        <f>IFERROR(__xludf.DUMMYFUNCTION("IF('(INGESTA)Datos_consumo_datadis'!A9958&lt;&gt;"""",SPLIT('(INGESTA)Datos_consumo_datadis'!A:A,"",""),"""")"),"ES0031408323131005HX0F")</f>
        <v>ES0031408323131005HX0F</v>
      </c>
      <c r="B9958" s="17">
        <f>IFERROR(__xludf.DUMMYFUNCTION("""COMPUTED_VALUE"""),45280.0)</f>
        <v>45280</v>
      </c>
      <c r="C9958" s="13">
        <f>IFERROR(__xludf.DUMMYFUNCTION("""COMPUTED_VALUE"""),0.875)</f>
        <v>0.875</v>
      </c>
      <c r="D9958" s="8">
        <f>IFERROR(__xludf.DUMMYFUNCTION("""COMPUTED_VALUE"""),0.327)</f>
        <v>0.327</v>
      </c>
      <c r="E9958" s="8" t="str">
        <f>IFERROR(__xludf.DUMMYFUNCTION("""COMPUTED_VALUE"""),"Real")</f>
        <v>Real</v>
      </c>
      <c r="G9958" s="8">
        <f t="shared" si="1"/>
        <v>12</v>
      </c>
      <c r="H9958" s="14">
        <f t="shared" si="2"/>
        <v>20</v>
      </c>
      <c r="I9958" s="15">
        <f t="shared" si="3"/>
        <v>21</v>
      </c>
    </row>
    <row r="9959">
      <c r="A9959" s="8" t="str">
        <f>IFERROR(__xludf.DUMMYFUNCTION("IF('(INGESTA)Datos_consumo_datadis'!A9959&lt;&gt;"""",SPLIT('(INGESTA)Datos_consumo_datadis'!A:A,"",""),"""")"),"ES0031408323131005HX0F")</f>
        <v>ES0031408323131005HX0F</v>
      </c>
      <c r="B9959" s="17">
        <f>IFERROR(__xludf.DUMMYFUNCTION("""COMPUTED_VALUE"""),45280.0)</f>
        <v>45280</v>
      </c>
      <c r="C9959" s="13">
        <f>IFERROR(__xludf.DUMMYFUNCTION("""COMPUTED_VALUE"""),0.9166666666666666)</f>
        <v>0.9166666667</v>
      </c>
      <c r="D9959" s="8">
        <f>IFERROR(__xludf.DUMMYFUNCTION("""COMPUTED_VALUE"""),0.403)</f>
        <v>0.403</v>
      </c>
      <c r="E9959" s="8" t="str">
        <f>IFERROR(__xludf.DUMMYFUNCTION("""COMPUTED_VALUE"""),"Real")</f>
        <v>Real</v>
      </c>
      <c r="G9959" s="8">
        <f t="shared" si="1"/>
        <v>12</v>
      </c>
      <c r="H9959" s="14">
        <f t="shared" si="2"/>
        <v>20</v>
      </c>
      <c r="I9959" s="15">
        <f t="shared" si="3"/>
        <v>22</v>
      </c>
    </row>
    <row r="9960">
      <c r="A9960" s="8" t="str">
        <f>IFERROR(__xludf.DUMMYFUNCTION("IF('(INGESTA)Datos_consumo_datadis'!A9960&lt;&gt;"""",SPLIT('(INGESTA)Datos_consumo_datadis'!A:A,"",""),"""")"),"ES0031408323131005HX0F")</f>
        <v>ES0031408323131005HX0F</v>
      </c>
      <c r="B9960" s="17">
        <f>IFERROR(__xludf.DUMMYFUNCTION("""COMPUTED_VALUE"""),45280.0)</f>
        <v>45280</v>
      </c>
      <c r="C9960" s="13">
        <f>IFERROR(__xludf.DUMMYFUNCTION("""COMPUTED_VALUE"""),0.9583333333333334)</f>
        <v>0.9583333333</v>
      </c>
      <c r="D9960" s="8">
        <f>IFERROR(__xludf.DUMMYFUNCTION("""COMPUTED_VALUE"""),0.117)</f>
        <v>0.117</v>
      </c>
      <c r="E9960" s="8" t="str">
        <f>IFERROR(__xludf.DUMMYFUNCTION("""COMPUTED_VALUE"""),"Real")</f>
        <v>Real</v>
      </c>
      <c r="G9960" s="8">
        <f t="shared" si="1"/>
        <v>12</v>
      </c>
      <c r="H9960" s="14">
        <f t="shared" si="2"/>
        <v>20</v>
      </c>
      <c r="I9960" s="15">
        <f t="shared" si="3"/>
        <v>23</v>
      </c>
    </row>
    <row r="9961">
      <c r="A9961" s="8" t="str">
        <f>IFERROR(__xludf.DUMMYFUNCTION("IF('(INGESTA)Datos_consumo_datadis'!A9961&lt;&gt;"""",SPLIT('(INGESTA)Datos_consumo_datadis'!A:A,"",""),"""")"),"ES0031408323131005HX0F")</f>
        <v>ES0031408323131005HX0F</v>
      </c>
      <c r="B9961" s="17">
        <f>IFERROR(__xludf.DUMMYFUNCTION("""COMPUTED_VALUE"""),45280.0)</f>
        <v>45280</v>
      </c>
      <c r="C9961" s="16">
        <f>IFERROR(__xludf.DUMMYFUNCTION("""COMPUTED_VALUE"""),1.0)</f>
        <v>1</v>
      </c>
      <c r="D9961" s="8">
        <f>IFERROR(__xludf.DUMMYFUNCTION("""COMPUTED_VALUE"""),0.083)</f>
        <v>0.083</v>
      </c>
      <c r="E9961" s="8" t="str">
        <f>IFERROR(__xludf.DUMMYFUNCTION("""COMPUTED_VALUE"""),"Real")</f>
        <v>Real</v>
      </c>
      <c r="G9961" s="8">
        <f t="shared" si="1"/>
        <v>12</v>
      </c>
      <c r="H9961" s="14">
        <f t="shared" si="2"/>
        <v>20</v>
      </c>
      <c r="I9961" s="15">
        <f t="shared" si="3"/>
        <v>0</v>
      </c>
    </row>
    <row r="9962">
      <c r="A9962" s="8" t="str">
        <f>IFERROR(__xludf.DUMMYFUNCTION("IF('(INGESTA)Datos_consumo_datadis'!A9962&lt;&gt;"""",SPLIT('(INGESTA)Datos_consumo_datadis'!A:A,"",""),"""")"),"ES0031408323131005HX0F")</f>
        <v>ES0031408323131005HX0F</v>
      </c>
      <c r="B9962" s="17">
        <f>IFERROR(__xludf.DUMMYFUNCTION("""COMPUTED_VALUE"""),45281.0)</f>
        <v>45281</v>
      </c>
      <c r="C9962" s="13">
        <f>IFERROR(__xludf.DUMMYFUNCTION("""COMPUTED_VALUE"""),0.041666666666666664)</f>
        <v>0.04166666667</v>
      </c>
      <c r="D9962" s="8">
        <f>IFERROR(__xludf.DUMMYFUNCTION("""COMPUTED_VALUE"""),0.135)</f>
        <v>0.135</v>
      </c>
      <c r="E9962" s="8" t="str">
        <f>IFERROR(__xludf.DUMMYFUNCTION("""COMPUTED_VALUE"""),"Real")</f>
        <v>Real</v>
      </c>
      <c r="G9962" s="8">
        <f t="shared" si="1"/>
        <v>12</v>
      </c>
      <c r="H9962" s="14">
        <f t="shared" si="2"/>
        <v>21</v>
      </c>
      <c r="I9962" s="15">
        <f t="shared" si="3"/>
        <v>1</v>
      </c>
    </row>
    <row r="9963">
      <c r="A9963" s="8" t="str">
        <f>IFERROR(__xludf.DUMMYFUNCTION("IF('(INGESTA)Datos_consumo_datadis'!A9963&lt;&gt;"""",SPLIT('(INGESTA)Datos_consumo_datadis'!A:A,"",""),"""")"),"ES0031408323131005HX0F")</f>
        <v>ES0031408323131005HX0F</v>
      </c>
      <c r="B9963" s="17">
        <f>IFERROR(__xludf.DUMMYFUNCTION("""COMPUTED_VALUE"""),45281.0)</f>
        <v>45281</v>
      </c>
      <c r="C9963" s="13">
        <f>IFERROR(__xludf.DUMMYFUNCTION("""COMPUTED_VALUE"""),0.08333333333333333)</f>
        <v>0.08333333333</v>
      </c>
      <c r="D9963" s="8">
        <f>IFERROR(__xludf.DUMMYFUNCTION("""COMPUTED_VALUE"""),0.18)</f>
        <v>0.18</v>
      </c>
      <c r="E9963" s="8" t="str">
        <f>IFERROR(__xludf.DUMMYFUNCTION("""COMPUTED_VALUE"""),"Real")</f>
        <v>Real</v>
      </c>
      <c r="G9963" s="8">
        <f t="shared" si="1"/>
        <v>12</v>
      </c>
      <c r="H9963" s="14">
        <f t="shared" si="2"/>
        <v>21</v>
      </c>
      <c r="I9963" s="15">
        <f t="shared" si="3"/>
        <v>2</v>
      </c>
    </row>
    <row r="9964">
      <c r="A9964" s="8" t="str">
        <f>IFERROR(__xludf.DUMMYFUNCTION("IF('(INGESTA)Datos_consumo_datadis'!A9964&lt;&gt;"""",SPLIT('(INGESTA)Datos_consumo_datadis'!A:A,"",""),"""")"),"ES0031408323131005HX0F")</f>
        <v>ES0031408323131005HX0F</v>
      </c>
      <c r="B9964" s="17">
        <f>IFERROR(__xludf.DUMMYFUNCTION("""COMPUTED_VALUE"""),45281.0)</f>
        <v>45281</v>
      </c>
      <c r="C9964" s="13">
        <f>IFERROR(__xludf.DUMMYFUNCTION("""COMPUTED_VALUE"""),0.125)</f>
        <v>0.125</v>
      </c>
      <c r="D9964" s="8">
        <f>IFERROR(__xludf.DUMMYFUNCTION("""COMPUTED_VALUE"""),0.39)</f>
        <v>0.39</v>
      </c>
      <c r="E9964" s="8" t="str">
        <f>IFERROR(__xludf.DUMMYFUNCTION("""COMPUTED_VALUE"""),"Real")</f>
        <v>Real</v>
      </c>
      <c r="G9964" s="8">
        <f t="shared" si="1"/>
        <v>12</v>
      </c>
      <c r="H9964" s="14">
        <f t="shared" si="2"/>
        <v>21</v>
      </c>
      <c r="I9964" s="15">
        <f t="shared" si="3"/>
        <v>3</v>
      </c>
    </row>
    <row r="9965">
      <c r="A9965" s="8" t="str">
        <f>IFERROR(__xludf.DUMMYFUNCTION("IF('(INGESTA)Datos_consumo_datadis'!A9965&lt;&gt;"""",SPLIT('(INGESTA)Datos_consumo_datadis'!A:A,"",""),"""")"),"ES0031408323131005HX0F")</f>
        <v>ES0031408323131005HX0F</v>
      </c>
      <c r="B9965" s="17">
        <f>IFERROR(__xludf.DUMMYFUNCTION("""COMPUTED_VALUE"""),45281.0)</f>
        <v>45281</v>
      </c>
      <c r="C9965" s="13">
        <f>IFERROR(__xludf.DUMMYFUNCTION("""COMPUTED_VALUE"""),0.16666666666666666)</f>
        <v>0.1666666667</v>
      </c>
      <c r="D9965" s="8">
        <f>IFERROR(__xludf.DUMMYFUNCTION("""COMPUTED_VALUE"""),0.071)</f>
        <v>0.071</v>
      </c>
      <c r="E9965" s="8" t="str">
        <f>IFERROR(__xludf.DUMMYFUNCTION("""COMPUTED_VALUE"""),"Real")</f>
        <v>Real</v>
      </c>
      <c r="G9965" s="8">
        <f t="shared" si="1"/>
        <v>12</v>
      </c>
      <c r="H9965" s="14">
        <f t="shared" si="2"/>
        <v>21</v>
      </c>
      <c r="I9965" s="15">
        <f t="shared" si="3"/>
        <v>4</v>
      </c>
    </row>
    <row r="9966">
      <c r="A9966" s="8" t="str">
        <f>IFERROR(__xludf.DUMMYFUNCTION("IF('(INGESTA)Datos_consumo_datadis'!A9966&lt;&gt;"""",SPLIT('(INGESTA)Datos_consumo_datadis'!A:A,"",""),"""")"),"ES0031408323131005HX0F")</f>
        <v>ES0031408323131005HX0F</v>
      </c>
      <c r="B9966" s="17">
        <f>IFERROR(__xludf.DUMMYFUNCTION("""COMPUTED_VALUE"""),45281.0)</f>
        <v>45281</v>
      </c>
      <c r="C9966" s="13">
        <f>IFERROR(__xludf.DUMMYFUNCTION("""COMPUTED_VALUE"""),0.20833333333333334)</f>
        <v>0.2083333333</v>
      </c>
      <c r="D9966" s="8">
        <f>IFERROR(__xludf.DUMMYFUNCTION("""COMPUTED_VALUE"""),0.03)</f>
        <v>0.03</v>
      </c>
      <c r="E9966" s="8" t="str">
        <f>IFERROR(__xludf.DUMMYFUNCTION("""COMPUTED_VALUE"""),"Real")</f>
        <v>Real</v>
      </c>
      <c r="G9966" s="8">
        <f t="shared" si="1"/>
        <v>12</v>
      </c>
      <c r="H9966" s="14">
        <f t="shared" si="2"/>
        <v>21</v>
      </c>
      <c r="I9966" s="15">
        <f t="shared" si="3"/>
        <v>5</v>
      </c>
    </row>
    <row r="9967">
      <c r="A9967" s="8" t="str">
        <f>IFERROR(__xludf.DUMMYFUNCTION("IF('(INGESTA)Datos_consumo_datadis'!A9967&lt;&gt;"""",SPLIT('(INGESTA)Datos_consumo_datadis'!A:A,"",""),"""")"),"ES0031408323131005HX0F")</f>
        <v>ES0031408323131005HX0F</v>
      </c>
      <c r="B9967" s="17">
        <f>IFERROR(__xludf.DUMMYFUNCTION("""COMPUTED_VALUE"""),45281.0)</f>
        <v>45281</v>
      </c>
      <c r="C9967" s="13">
        <f>IFERROR(__xludf.DUMMYFUNCTION("""COMPUTED_VALUE"""),0.25)</f>
        <v>0.25</v>
      </c>
      <c r="D9967" s="8">
        <f>IFERROR(__xludf.DUMMYFUNCTION("""COMPUTED_VALUE"""),0.054)</f>
        <v>0.054</v>
      </c>
      <c r="E9967" s="8" t="str">
        <f>IFERROR(__xludf.DUMMYFUNCTION("""COMPUTED_VALUE"""),"Real")</f>
        <v>Real</v>
      </c>
      <c r="G9967" s="8">
        <f t="shared" si="1"/>
        <v>12</v>
      </c>
      <c r="H9967" s="14">
        <f t="shared" si="2"/>
        <v>21</v>
      </c>
      <c r="I9967" s="15">
        <f t="shared" si="3"/>
        <v>6</v>
      </c>
    </row>
    <row r="9968">
      <c r="A9968" s="8" t="str">
        <f>IFERROR(__xludf.DUMMYFUNCTION("IF('(INGESTA)Datos_consumo_datadis'!A9968&lt;&gt;"""",SPLIT('(INGESTA)Datos_consumo_datadis'!A:A,"",""),"""")"),"ES0031408323131005HX0F")</f>
        <v>ES0031408323131005HX0F</v>
      </c>
      <c r="B9968" s="17">
        <f>IFERROR(__xludf.DUMMYFUNCTION("""COMPUTED_VALUE"""),45281.0)</f>
        <v>45281</v>
      </c>
      <c r="C9968" s="13">
        <f>IFERROR(__xludf.DUMMYFUNCTION("""COMPUTED_VALUE"""),0.2916666666666667)</f>
        <v>0.2916666667</v>
      </c>
      <c r="D9968" s="8">
        <f>IFERROR(__xludf.DUMMYFUNCTION("""COMPUTED_VALUE"""),0.087)</f>
        <v>0.087</v>
      </c>
      <c r="E9968" s="8" t="str">
        <f>IFERROR(__xludf.DUMMYFUNCTION("""COMPUTED_VALUE"""),"Real")</f>
        <v>Real</v>
      </c>
      <c r="G9968" s="8">
        <f t="shared" si="1"/>
        <v>12</v>
      </c>
      <c r="H9968" s="14">
        <f t="shared" si="2"/>
        <v>21</v>
      </c>
      <c r="I9968" s="15">
        <f t="shared" si="3"/>
        <v>7</v>
      </c>
    </row>
    <row r="9969">
      <c r="A9969" s="8" t="str">
        <f>IFERROR(__xludf.DUMMYFUNCTION("IF('(INGESTA)Datos_consumo_datadis'!A9969&lt;&gt;"""",SPLIT('(INGESTA)Datos_consumo_datadis'!A:A,"",""),"""")"),"ES0031408323131005HX0F")</f>
        <v>ES0031408323131005HX0F</v>
      </c>
      <c r="B9969" s="17">
        <f>IFERROR(__xludf.DUMMYFUNCTION("""COMPUTED_VALUE"""),45281.0)</f>
        <v>45281</v>
      </c>
      <c r="C9969" s="13">
        <f>IFERROR(__xludf.DUMMYFUNCTION("""COMPUTED_VALUE"""),0.3333333333333333)</f>
        <v>0.3333333333</v>
      </c>
      <c r="D9969" s="8">
        <f>IFERROR(__xludf.DUMMYFUNCTION("""COMPUTED_VALUE"""),0.08)</f>
        <v>0.08</v>
      </c>
      <c r="E9969" s="8" t="str">
        <f>IFERROR(__xludf.DUMMYFUNCTION("""COMPUTED_VALUE"""),"Real")</f>
        <v>Real</v>
      </c>
      <c r="G9969" s="8">
        <f t="shared" si="1"/>
        <v>12</v>
      </c>
      <c r="H9969" s="14">
        <f t="shared" si="2"/>
        <v>21</v>
      </c>
      <c r="I9969" s="15">
        <f t="shared" si="3"/>
        <v>8</v>
      </c>
    </row>
    <row r="9970">
      <c r="A9970" s="8" t="str">
        <f>IFERROR(__xludf.DUMMYFUNCTION("IF('(INGESTA)Datos_consumo_datadis'!A9970&lt;&gt;"""",SPLIT('(INGESTA)Datos_consumo_datadis'!A:A,"",""),"""")"),"ES0031408323131005HX0F")</f>
        <v>ES0031408323131005HX0F</v>
      </c>
      <c r="B9970" s="17">
        <f>IFERROR(__xludf.DUMMYFUNCTION("""COMPUTED_VALUE"""),45281.0)</f>
        <v>45281</v>
      </c>
      <c r="C9970" s="13">
        <f>IFERROR(__xludf.DUMMYFUNCTION("""COMPUTED_VALUE"""),0.375)</f>
        <v>0.375</v>
      </c>
      <c r="D9970" s="8">
        <f>IFERROR(__xludf.DUMMYFUNCTION("""COMPUTED_VALUE"""),0.414)</f>
        <v>0.414</v>
      </c>
      <c r="E9970" s="8" t="str">
        <f>IFERROR(__xludf.DUMMYFUNCTION("""COMPUTED_VALUE"""),"Real")</f>
        <v>Real</v>
      </c>
      <c r="G9970" s="8">
        <f t="shared" si="1"/>
        <v>12</v>
      </c>
      <c r="H9970" s="14">
        <f t="shared" si="2"/>
        <v>21</v>
      </c>
      <c r="I9970" s="15">
        <f t="shared" si="3"/>
        <v>9</v>
      </c>
    </row>
    <row r="9971">
      <c r="A9971" s="8" t="str">
        <f>IFERROR(__xludf.DUMMYFUNCTION("IF('(INGESTA)Datos_consumo_datadis'!A9971&lt;&gt;"""",SPLIT('(INGESTA)Datos_consumo_datadis'!A:A,"",""),"""")"),"ES0031408323131005HX0F")</f>
        <v>ES0031408323131005HX0F</v>
      </c>
      <c r="B9971" s="17">
        <f>IFERROR(__xludf.DUMMYFUNCTION("""COMPUTED_VALUE"""),45281.0)</f>
        <v>45281</v>
      </c>
      <c r="C9971" s="13">
        <f>IFERROR(__xludf.DUMMYFUNCTION("""COMPUTED_VALUE"""),0.4166666666666667)</f>
        <v>0.4166666667</v>
      </c>
      <c r="D9971" s="8">
        <f>IFERROR(__xludf.DUMMYFUNCTION("""COMPUTED_VALUE"""),0.02)</f>
        <v>0.02</v>
      </c>
      <c r="E9971" s="8" t="str">
        <f>IFERROR(__xludf.DUMMYFUNCTION("""COMPUTED_VALUE"""),"Real")</f>
        <v>Real</v>
      </c>
      <c r="G9971" s="8">
        <f t="shared" si="1"/>
        <v>12</v>
      </c>
      <c r="H9971" s="14">
        <f t="shared" si="2"/>
        <v>21</v>
      </c>
      <c r="I9971" s="15">
        <f t="shared" si="3"/>
        <v>10</v>
      </c>
    </row>
    <row r="9972">
      <c r="A9972" s="8" t="str">
        <f>IFERROR(__xludf.DUMMYFUNCTION("IF('(INGESTA)Datos_consumo_datadis'!A9972&lt;&gt;"""",SPLIT('(INGESTA)Datos_consumo_datadis'!A:A,"",""),"""")"),"ES0031408323131005HX0F")</f>
        <v>ES0031408323131005HX0F</v>
      </c>
      <c r="B9972" s="17">
        <f>IFERROR(__xludf.DUMMYFUNCTION("""COMPUTED_VALUE"""),45281.0)</f>
        <v>45281</v>
      </c>
      <c r="C9972" s="13">
        <f>IFERROR(__xludf.DUMMYFUNCTION("""COMPUTED_VALUE"""),0.4583333333333333)</f>
        <v>0.4583333333</v>
      </c>
      <c r="D9972" s="8">
        <f>IFERROR(__xludf.DUMMYFUNCTION("""COMPUTED_VALUE"""),0.106)</f>
        <v>0.106</v>
      </c>
      <c r="E9972" s="8" t="str">
        <f>IFERROR(__xludf.DUMMYFUNCTION("""COMPUTED_VALUE"""),"Real")</f>
        <v>Real</v>
      </c>
      <c r="G9972" s="8">
        <f t="shared" si="1"/>
        <v>12</v>
      </c>
      <c r="H9972" s="14">
        <f t="shared" si="2"/>
        <v>21</v>
      </c>
      <c r="I9972" s="15">
        <f t="shared" si="3"/>
        <v>11</v>
      </c>
    </row>
    <row r="9973">
      <c r="A9973" s="8" t="str">
        <f>IFERROR(__xludf.DUMMYFUNCTION("IF('(INGESTA)Datos_consumo_datadis'!A9973&lt;&gt;"""",SPLIT('(INGESTA)Datos_consumo_datadis'!A:A,"",""),"""")"),"ES0031408323131005HX0F")</f>
        <v>ES0031408323131005HX0F</v>
      </c>
      <c r="B9973" s="17">
        <f>IFERROR(__xludf.DUMMYFUNCTION("""COMPUTED_VALUE"""),45281.0)</f>
        <v>45281</v>
      </c>
      <c r="C9973" s="13">
        <f>IFERROR(__xludf.DUMMYFUNCTION("""COMPUTED_VALUE"""),0.5)</f>
        <v>0.5</v>
      </c>
      <c r="D9973" s="8">
        <f>IFERROR(__xludf.DUMMYFUNCTION("""COMPUTED_VALUE"""),0.046)</f>
        <v>0.046</v>
      </c>
      <c r="E9973" s="8" t="str">
        <f>IFERROR(__xludf.DUMMYFUNCTION("""COMPUTED_VALUE"""),"Real")</f>
        <v>Real</v>
      </c>
      <c r="G9973" s="8">
        <f t="shared" si="1"/>
        <v>12</v>
      </c>
      <c r="H9973" s="14">
        <f t="shared" si="2"/>
        <v>21</v>
      </c>
      <c r="I9973" s="15">
        <f t="shared" si="3"/>
        <v>12</v>
      </c>
    </row>
    <row r="9974">
      <c r="A9974" s="8" t="str">
        <f>IFERROR(__xludf.DUMMYFUNCTION("IF('(INGESTA)Datos_consumo_datadis'!A9974&lt;&gt;"""",SPLIT('(INGESTA)Datos_consumo_datadis'!A:A,"",""),"""")"),"ES0031408323131005HX0F")</f>
        <v>ES0031408323131005HX0F</v>
      </c>
      <c r="B9974" s="17">
        <f>IFERROR(__xludf.DUMMYFUNCTION("""COMPUTED_VALUE"""),45281.0)</f>
        <v>45281</v>
      </c>
      <c r="C9974" s="13">
        <f>IFERROR(__xludf.DUMMYFUNCTION("""COMPUTED_VALUE"""),0.5416666666666666)</f>
        <v>0.5416666667</v>
      </c>
      <c r="D9974" s="8">
        <f>IFERROR(__xludf.DUMMYFUNCTION("""COMPUTED_VALUE"""),0.097)</f>
        <v>0.097</v>
      </c>
      <c r="E9974" s="8" t="str">
        <f>IFERROR(__xludf.DUMMYFUNCTION("""COMPUTED_VALUE"""),"Real")</f>
        <v>Real</v>
      </c>
      <c r="G9974" s="8">
        <f t="shared" si="1"/>
        <v>12</v>
      </c>
      <c r="H9974" s="14">
        <f t="shared" si="2"/>
        <v>21</v>
      </c>
      <c r="I9974" s="15">
        <f t="shared" si="3"/>
        <v>13</v>
      </c>
    </row>
    <row r="9975">
      <c r="A9975" s="8" t="str">
        <f>IFERROR(__xludf.DUMMYFUNCTION("IF('(INGESTA)Datos_consumo_datadis'!A9975&lt;&gt;"""",SPLIT('(INGESTA)Datos_consumo_datadis'!A:A,"",""),"""")"),"ES0031408323131005HX0F")</f>
        <v>ES0031408323131005HX0F</v>
      </c>
      <c r="B9975" s="17">
        <f>IFERROR(__xludf.DUMMYFUNCTION("""COMPUTED_VALUE"""),45281.0)</f>
        <v>45281</v>
      </c>
      <c r="C9975" s="13">
        <f>IFERROR(__xludf.DUMMYFUNCTION("""COMPUTED_VALUE"""),0.5833333333333334)</f>
        <v>0.5833333333</v>
      </c>
      <c r="D9975" s="8">
        <f>IFERROR(__xludf.DUMMYFUNCTION("""COMPUTED_VALUE"""),0.322)</f>
        <v>0.322</v>
      </c>
      <c r="E9975" s="8" t="str">
        <f>IFERROR(__xludf.DUMMYFUNCTION("""COMPUTED_VALUE"""),"Real")</f>
        <v>Real</v>
      </c>
      <c r="G9975" s="8">
        <f t="shared" si="1"/>
        <v>12</v>
      </c>
      <c r="H9975" s="14">
        <f t="shared" si="2"/>
        <v>21</v>
      </c>
      <c r="I9975" s="15">
        <f t="shared" si="3"/>
        <v>14</v>
      </c>
    </row>
    <row r="9976">
      <c r="A9976" s="8" t="str">
        <f>IFERROR(__xludf.DUMMYFUNCTION("IF('(INGESTA)Datos_consumo_datadis'!A9976&lt;&gt;"""",SPLIT('(INGESTA)Datos_consumo_datadis'!A:A,"",""),"""")"),"ES0031408323131005HX0F")</f>
        <v>ES0031408323131005HX0F</v>
      </c>
      <c r="B9976" s="17">
        <f>IFERROR(__xludf.DUMMYFUNCTION("""COMPUTED_VALUE"""),45281.0)</f>
        <v>45281</v>
      </c>
      <c r="C9976" s="13">
        <f>IFERROR(__xludf.DUMMYFUNCTION("""COMPUTED_VALUE"""),0.625)</f>
        <v>0.625</v>
      </c>
      <c r="D9976" s="8">
        <f>IFERROR(__xludf.DUMMYFUNCTION("""COMPUTED_VALUE"""),0.074)</f>
        <v>0.074</v>
      </c>
      <c r="E9976" s="8" t="str">
        <f>IFERROR(__xludf.DUMMYFUNCTION("""COMPUTED_VALUE"""),"Real")</f>
        <v>Real</v>
      </c>
      <c r="G9976" s="8">
        <f t="shared" si="1"/>
        <v>12</v>
      </c>
      <c r="H9976" s="14">
        <f t="shared" si="2"/>
        <v>21</v>
      </c>
      <c r="I9976" s="15">
        <f t="shared" si="3"/>
        <v>15</v>
      </c>
    </row>
    <row r="9977">
      <c r="A9977" s="8" t="str">
        <f>IFERROR(__xludf.DUMMYFUNCTION("IF('(INGESTA)Datos_consumo_datadis'!A9977&lt;&gt;"""",SPLIT('(INGESTA)Datos_consumo_datadis'!A:A,"",""),"""")"),"ES0031408323131005HX0F")</f>
        <v>ES0031408323131005HX0F</v>
      </c>
      <c r="B9977" s="17">
        <f>IFERROR(__xludf.DUMMYFUNCTION("""COMPUTED_VALUE"""),45281.0)</f>
        <v>45281</v>
      </c>
      <c r="C9977" s="13">
        <f>IFERROR(__xludf.DUMMYFUNCTION("""COMPUTED_VALUE"""),0.6666666666666666)</f>
        <v>0.6666666667</v>
      </c>
      <c r="D9977" s="8">
        <f>IFERROR(__xludf.DUMMYFUNCTION("""COMPUTED_VALUE"""),0.066)</f>
        <v>0.066</v>
      </c>
      <c r="E9977" s="8" t="str">
        <f>IFERROR(__xludf.DUMMYFUNCTION("""COMPUTED_VALUE"""),"Real")</f>
        <v>Real</v>
      </c>
      <c r="G9977" s="8">
        <f t="shared" si="1"/>
        <v>12</v>
      </c>
      <c r="H9977" s="14">
        <f t="shared" si="2"/>
        <v>21</v>
      </c>
      <c r="I9977" s="15">
        <f t="shared" si="3"/>
        <v>16</v>
      </c>
    </row>
    <row r="9978">
      <c r="A9978" s="8" t="str">
        <f>IFERROR(__xludf.DUMMYFUNCTION("IF('(INGESTA)Datos_consumo_datadis'!A9978&lt;&gt;"""",SPLIT('(INGESTA)Datos_consumo_datadis'!A:A,"",""),"""")"),"ES0031408323131005HX0F")</f>
        <v>ES0031408323131005HX0F</v>
      </c>
      <c r="B9978" s="17">
        <f>IFERROR(__xludf.DUMMYFUNCTION("""COMPUTED_VALUE"""),45281.0)</f>
        <v>45281</v>
      </c>
      <c r="C9978" s="13">
        <f>IFERROR(__xludf.DUMMYFUNCTION("""COMPUTED_VALUE"""),0.7083333333333334)</f>
        <v>0.7083333333</v>
      </c>
      <c r="D9978" s="8">
        <f>IFERROR(__xludf.DUMMYFUNCTION("""COMPUTED_VALUE"""),0.091)</f>
        <v>0.091</v>
      </c>
      <c r="E9978" s="8" t="str">
        <f>IFERROR(__xludf.DUMMYFUNCTION("""COMPUTED_VALUE"""),"Real")</f>
        <v>Real</v>
      </c>
      <c r="G9978" s="8">
        <f t="shared" si="1"/>
        <v>12</v>
      </c>
      <c r="H9978" s="14">
        <f t="shared" si="2"/>
        <v>21</v>
      </c>
      <c r="I9978" s="15">
        <f t="shared" si="3"/>
        <v>17</v>
      </c>
    </row>
    <row r="9979">
      <c r="A9979" s="8" t="str">
        <f>IFERROR(__xludf.DUMMYFUNCTION("IF('(INGESTA)Datos_consumo_datadis'!A9979&lt;&gt;"""",SPLIT('(INGESTA)Datos_consumo_datadis'!A:A,"",""),"""")"),"ES0031408323131005HX0F")</f>
        <v>ES0031408323131005HX0F</v>
      </c>
      <c r="B9979" s="17">
        <f>IFERROR(__xludf.DUMMYFUNCTION("""COMPUTED_VALUE"""),45281.0)</f>
        <v>45281</v>
      </c>
      <c r="C9979" s="13">
        <f>IFERROR(__xludf.DUMMYFUNCTION("""COMPUTED_VALUE"""),0.75)</f>
        <v>0.75</v>
      </c>
      <c r="D9979" s="8">
        <f>IFERROR(__xludf.DUMMYFUNCTION("""COMPUTED_VALUE"""),0.046)</f>
        <v>0.046</v>
      </c>
      <c r="E9979" s="8" t="str">
        <f>IFERROR(__xludf.DUMMYFUNCTION("""COMPUTED_VALUE"""),"Real")</f>
        <v>Real</v>
      </c>
      <c r="G9979" s="8">
        <f t="shared" si="1"/>
        <v>12</v>
      </c>
      <c r="H9979" s="14">
        <f t="shared" si="2"/>
        <v>21</v>
      </c>
      <c r="I9979" s="15">
        <f t="shared" si="3"/>
        <v>18</v>
      </c>
    </row>
    <row r="9980">
      <c r="A9980" s="8" t="str">
        <f>IFERROR(__xludf.DUMMYFUNCTION("IF('(INGESTA)Datos_consumo_datadis'!A9980&lt;&gt;"""",SPLIT('(INGESTA)Datos_consumo_datadis'!A:A,"",""),"""")"),"ES0031408323131005HX0F")</f>
        <v>ES0031408323131005HX0F</v>
      </c>
      <c r="B9980" s="17">
        <f>IFERROR(__xludf.DUMMYFUNCTION("""COMPUTED_VALUE"""),45281.0)</f>
        <v>45281</v>
      </c>
      <c r="C9980" s="13">
        <f>IFERROR(__xludf.DUMMYFUNCTION("""COMPUTED_VALUE"""),0.7916666666666666)</f>
        <v>0.7916666667</v>
      </c>
      <c r="D9980" s="8">
        <f>IFERROR(__xludf.DUMMYFUNCTION("""COMPUTED_VALUE"""),0.019)</f>
        <v>0.019</v>
      </c>
      <c r="E9980" s="8" t="str">
        <f>IFERROR(__xludf.DUMMYFUNCTION("""COMPUTED_VALUE"""),"Real")</f>
        <v>Real</v>
      </c>
      <c r="G9980" s="8">
        <f t="shared" si="1"/>
        <v>12</v>
      </c>
      <c r="H9980" s="14">
        <f t="shared" si="2"/>
        <v>21</v>
      </c>
      <c r="I9980" s="15">
        <f t="shared" si="3"/>
        <v>19</v>
      </c>
    </row>
    <row r="9981">
      <c r="A9981" s="8" t="str">
        <f>IFERROR(__xludf.DUMMYFUNCTION("IF('(INGESTA)Datos_consumo_datadis'!A9981&lt;&gt;"""",SPLIT('(INGESTA)Datos_consumo_datadis'!A:A,"",""),"""")"),"ES0031408323131005HX0F")</f>
        <v>ES0031408323131005HX0F</v>
      </c>
      <c r="B9981" s="17">
        <f>IFERROR(__xludf.DUMMYFUNCTION("""COMPUTED_VALUE"""),45281.0)</f>
        <v>45281</v>
      </c>
      <c r="C9981" s="13">
        <f>IFERROR(__xludf.DUMMYFUNCTION("""COMPUTED_VALUE"""),0.8333333333333334)</f>
        <v>0.8333333333</v>
      </c>
      <c r="D9981" s="8">
        <f>IFERROR(__xludf.DUMMYFUNCTION("""COMPUTED_VALUE"""),0.394)</f>
        <v>0.394</v>
      </c>
      <c r="E9981" s="8" t="str">
        <f>IFERROR(__xludf.DUMMYFUNCTION("""COMPUTED_VALUE"""),"Real")</f>
        <v>Real</v>
      </c>
      <c r="G9981" s="8">
        <f t="shared" si="1"/>
        <v>12</v>
      </c>
      <c r="H9981" s="14">
        <f t="shared" si="2"/>
        <v>21</v>
      </c>
      <c r="I9981" s="15">
        <f t="shared" si="3"/>
        <v>20</v>
      </c>
    </row>
    <row r="9982">
      <c r="A9982" s="8" t="str">
        <f>IFERROR(__xludf.DUMMYFUNCTION("IF('(INGESTA)Datos_consumo_datadis'!A9982&lt;&gt;"""",SPLIT('(INGESTA)Datos_consumo_datadis'!A:A,"",""),"""")"),"ES0031408323131005HX0F")</f>
        <v>ES0031408323131005HX0F</v>
      </c>
      <c r="B9982" s="17">
        <f>IFERROR(__xludf.DUMMYFUNCTION("""COMPUTED_VALUE"""),45281.0)</f>
        <v>45281</v>
      </c>
      <c r="C9982" s="13">
        <f>IFERROR(__xludf.DUMMYFUNCTION("""COMPUTED_VALUE"""),0.875)</f>
        <v>0.875</v>
      </c>
      <c r="D9982" s="8">
        <f>IFERROR(__xludf.DUMMYFUNCTION("""COMPUTED_VALUE"""),0.044)</f>
        <v>0.044</v>
      </c>
      <c r="E9982" s="8" t="str">
        <f>IFERROR(__xludf.DUMMYFUNCTION("""COMPUTED_VALUE"""),"Real")</f>
        <v>Real</v>
      </c>
      <c r="G9982" s="8">
        <f t="shared" si="1"/>
        <v>12</v>
      </c>
      <c r="H9982" s="14">
        <f t="shared" si="2"/>
        <v>21</v>
      </c>
      <c r="I9982" s="15">
        <f t="shared" si="3"/>
        <v>21</v>
      </c>
    </row>
    <row r="9983">
      <c r="A9983" s="8" t="str">
        <f>IFERROR(__xludf.DUMMYFUNCTION("IF('(INGESTA)Datos_consumo_datadis'!A9983&lt;&gt;"""",SPLIT('(INGESTA)Datos_consumo_datadis'!A:A,"",""),"""")"),"ES0031408323131005HX0F")</f>
        <v>ES0031408323131005HX0F</v>
      </c>
      <c r="B9983" s="17">
        <f>IFERROR(__xludf.DUMMYFUNCTION("""COMPUTED_VALUE"""),45281.0)</f>
        <v>45281</v>
      </c>
      <c r="C9983" s="13">
        <f>IFERROR(__xludf.DUMMYFUNCTION("""COMPUTED_VALUE"""),0.9166666666666666)</f>
        <v>0.9166666667</v>
      </c>
      <c r="D9983" s="8">
        <f>IFERROR(__xludf.DUMMYFUNCTION("""COMPUTED_VALUE"""),0.566)</f>
        <v>0.566</v>
      </c>
      <c r="E9983" s="8" t="str">
        <f>IFERROR(__xludf.DUMMYFUNCTION("""COMPUTED_VALUE"""),"Real")</f>
        <v>Real</v>
      </c>
      <c r="G9983" s="8">
        <f t="shared" si="1"/>
        <v>12</v>
      </c>
      <c r="H9983" s="14">
        <f t="shared" si="2"/>
        <v>21</v>
      </c>
      <c r="I9983" s="15">
        <f t="shared" si="3"/>
        <v>22</v>
      </c>
    </row>
    <row r="9984">
      <c r="A9984" s="8" t="str">
        <f>IFERROR(__xludf.DUMMYFUNCTION("IF('(INGESTA)Datos_consumo_datadis'!A9984&lt;&gt;"""",SPLIT('(INGESTA)Datos_consumo_datadis'!A:A,"",""),"""")"),"ES0031408323131005HX0F")</f>
        <v>ES0031408323131005HX0F</v>
      </c>
      <c r="B9984" s="17">
        <f>IFERROR(__xludf.DUMMYFUNCTION("""COMPUTED_VALUE"""),45281.0)</f>
        <v>45281</v>
      </c>
      <c r="C9984" s="13">
        <f>IFERROR(__xludf.DUMMYFUNCTION("""COMPUTED_VALUE"""),0.9583333333333334)</f>
        <v>0.9583333333</v>
      </c>
      <c r="D9984" s="8">
        <f>IFERROR(__xludf.DUMMYFUNCTION("""COMPUTED_VALUE"""),0.565)</f>
        <v>0.565</v>
      </c>
      <c r="E9984" s="8" t="str">
        <f>IFERROR(__xludf.DUMMYFUNCTION("""COMPUTED_VALUE"""),"Real")</f>
        <v>Real</v>
      </c>
      <c r="G9984" s="8">
        <f t="shared" si="1"/>
        <v>12</v>
      </c>
      <c r="H9984" s="14">
        <f t="shared" si="2"/>
        <v>21</v>
      </c>
      <c r="I9984" s="15">
        <f t="shared" si="3"/>
        <v>23</v>
      </c>
    </row>
    <row r="9985">
      <c r="A9985" s="8" t="str">
        <f>IFERROR(__xludf.DUMMYFUNCTION("IF('(INGESTA)Datos_consumo_datadis'!A9985&lt;&gt;"""",SPLIT('(INGESTA)Datos_consumo_datadis'!A:A,"",""),"""")"),"ES0031408323131005HX0F")</f>
        <v>ES0031408323131005HX0F</v>
      </c>
      <c r="B9985" s="17">
        <f>IFERROR(__xludf.DUMMYFUNCTION("""COMPUTED_VALUE"""),45281.0)</f>
        <v>45281</v>
      </c>
      <c r="C9985" s="16">
        <f>IFERROR(__xludf.DUMMYFUNCTION("""COMPUTED_VALUE"""),1.0)</f>
        <v>1</v>
      </c>
      <c r="D9985" s="8">
        <f>IFERROR(__xludf.DUMMYFUNCTION("""COMPUTED_VALUE"""),0.031)</f>
        <v>0.031</v>
      </c>
      <c r="E9985" s="8" t="str">
        <f>IFERROR(__xludf.DUMMYFUNCTION("""COMPUTED_VALUE"""),"Real")</f>
        <v>Real</v>
      </c>
      <c r="G9985" s="8">
        <f t="shared" si="1"/>
        <v>12</v>
      </c>
      <c r="H9985" s="14">
        <f t="shared" si="2"/>
        <v>21</v>
      </c>
      <c r="I9985" s="15">
        <f t="shared" si="3"/>
        <v>0</v>
      </c>
    </row>
    <row r="9986">
      <c r="A9986" s="8" t="str">
        <f>IFERROR(__xludf.DUMMYFUNCTION("IF('(INGESTA)Datos_consumo_datadis'!A9986&lt;&gt;"""",SPLIT('(INGESTA)Datos_consumo_datadis'!A:A,"",""),"""")"),"ES0031408323131005HX0F")</f>
        <v>ES0031408323131005HX0F</v>
      </c>
      <c r="B9986" s="17">
        <f>IFERROR(__xludf.DUMMYFUNCTION("""COMPUTED_VALUE"""),45282.0)</f>
        <v>45282</v>
      </c>
      <c r="C9986" s="13">
        <f>IFERROR(__xludf.DUMMYFUNCTION("""COMPUTED_VALUE"""),0.041666666666666664)</f>
        <v>0.04166666667</v>
      </c>
      <c r="D9986" s="8">
        <f>IFERROR(__xludf.DUMMYFUNCTION("""COMPUTED_VALUE"""),0.117)</f>
        <v>0.117</v>
      </c>
      <c r="E9986" s="8" t="str">
        <f>IFERROR(__xludf.DUMMYFUNCTION("""COMPUTED_VALUE"""),"Real")</f>
        <v>Real</v>
      </c>
      <c r="G9986" s="8">
        <f t="shared" si="1"/>
        <v>12</v>
      </c>
      <c r="H9986" s="14">
        <f t="shared" si="2"/>
        <v>22</v>
      </c>
      <c r="I9986" s="15">
        <f t="shared" si="3"/>
        <v>1</v>
      </c>
    </row>
    <row r="9987">
      <c r="A9987" s="8" t="str">
        <f>IFERROR(__xludf.DUMMYFUNCTION("IF('(INGESTA)Datos_consumo_datadis'!A9987&lt;&gt;"""",SPLIT('(INGESTA)Datos_consumo_datadis'!A:A,"",""),"""")"),"ES0031408323131005HX0F")</f>
        <v>ES0031408323131005HX0F</v>
      </c>
      <c r="B9987" s="17">
        <f>IFERROR(__xludf.DUMMYFUNCTION("""COMPUTED_VALUE"""),45282.0)</f>
        <v>45282</v>
      </c>
      <c r="C9987" s="13">
        <f>IFERROR(__xludf.DUMMYFUNCTION("""COMPUTED_VALUE"""),0.08333333333333333)</f>
        <v>0.08333333333</v>
      </c>
      <c r="D9987" s="8">
        <f>IFERROR(__xludf.DUMMYFUNCTION("""COMPUTED_VALUE"""),0.134)</f>
        <v>0.134</v>
      </c>
      <c r="E9987" s="8" t="str">
        <f>IFERROR(__xludf.DUMMYFUNCTION("""COMPUTED_VALUE"""),"Real")</f>
        <v>Real</v>
      </c>
      <c r="G9987" s="8">
        <f t="shared" si="1"/>
        <v>12</v>
      </c>
      <c r="H9987" s="14">
        <f t="shared" si="2"/>
        <v>22</v>
      </c>
      <c r="I9987" s="15">
        <f t="shared" si="3"/>
        <v>2</v>
      </c>
    </row>
    <row r="9988">
      <c r="A9988" s="8" t="str">
        <f>IFERROR(__xludf.DUMMYFUNCTION("IF('(INGESTA)Datos_consumo_datadis'!A9988&lt;&gt;"""",SPLIT('(INGESTA)Datos_consumo_datadis'!A:A,"",""),"""")"),"ES0031408323131005HX0F")</f>
        <v>ES0031408323131005HX0F</v>
      </c>
      <c r="B9988" s="17">
        <f>IFERROR(__xludf.DUMMYFUNCTION("""COMPUTED_VALUE"""),45282.0)</f>
        <v>45282</v>
      </c>
      <c r="C9988" s="13">
        <f>IFERROR(__xludf.DUMMYFUNCTION("""COMPUTED_VALUE"""),0.125)</f>
        <v>0.125</v>
      </c>
      <c r="D9988" s="8">
        <f>IFERROR(__xludf.DUMMYFUNCTION("""COMPUTED_VALUE"""),0.094)</f>
        <v>0.094</v>
      </c>
      <c r="E9988" s="8" t="str">
        <f>IFERROR(__xludf.DUMMYFUNCTION("""COMPUTED_VALUE"""),"Real")</f>
        <v>Real</v>
      </c>
      <c r="G9988" s="8">
        <f t="shared" si="1"/>
        <v>12</v>
      </c>
      <c r="H9988" s="14">
        <f t="shared" si="2"/>
        <v>22</v>
      </c>
      <c r="I9988" s="15">
        <f t="shared" si="3"/>
        <v>3</v>
      </c>
    </row>
    <row r="9989">
      <c r="A9989" s="8" t="str">
        <f>IFERROR(__xludf.DUMMYFUNCTION("IF('(INGESTA)Datos_consumo_datadis'!A9989&lt;&gt;"""",SPLIT('(INGESTA)Datos_consumo_datadis'!A:A,"",""),"""")"),"ES0031408323131005HX0F")</f>
        <v>ES0031408323131005HX0F</v>
      </c>
      <c r="B9989" s="17">
        <f>IFERROR(__xludf.DUMMYFUNCTION("""COMPUTED_VALUE"""),45282.0)</f>
        <v>45282</v>
      </c>
      <c r="C9989" s="13">
        <f>IFERROR(__xludf.DUMMYFUNCTION("""COMPUTED_VALUE"""),0.16666666666666666)</f>
        <v>0.1666666667</v>
      </c>
      <c r="D9989" s="8">
        <f>IFERROR(__xludf.DUMMYFUNCTION("""COMPUTED_VALUE"""),0.355)</f>
        <v>0.355</v>
      </c>
      <c r="E9989" s="8" t="str">
        <f>IFERROR(__xludf.DUMMYFUNCTION("""COMPUTED_VALUE"""),"Real")</f>
        <v>Real</v>
      </c>
      <c r="G9989" s="8">
        <f t="shared" si="1"/>
        <v>12</v>
      </c>
      <c r="H9989" s="14">
        <f t="shared" si="2"/>
        <v>22</v>
      </c>
      <c r="I9989" s="15">
        <f t="shared" si="3"/>
        <v>4</v>
      </c>
    </row>
    <row r="9990">
      <c r="A9990" s="8" t="str">
        <f>IFERROR(__xludf.DUMMYFUNCTION("IF('(INGESTA)Datos_consumo_datadis'!A9990&lt;&gt;"""",SPLIT('(INGESTA)Datos_consumo_datadis'!A:A,"",""),"""")"),"ES0031408323131005HX0F")</f>
        <v>ES0031408323131005HX0F</v>
      </c>
      <c r="B9990" s="17">
        <f>IFERROR(__xludf.DUMMYFUNCTION("""COMPUTED_VALUE"""),45282.0)</f>
        <v>45282</v>
      </c>
      <c r="C9990" s="13">
        <f>IFERROR(__xludf.DUMMYFUNCTION("""COMPUTED_VALUE"""),0.20833333333333334)</f>
        <v>0.2083333333</v>
      </c>
      <c r="D9990" s="8">
        <f>IFERROR(__xludf.DUMMYFUNCTION("""COMPUTED_VALUE"""),0.026)</f>
        <v>0.026</v>
      </c>
      <c r="E9990" s="8" t="str">
        <f>IFERROR(__xludf.DUMMYFUNCTION("""COMPUTED_VALUE"""),"Real")</f>
        <v>Real</v>
      </c>
      <c r="G9990" s="8">
        <f t="shared" si="1"/>
        <v>12</v>
      </c>
      <c r="H9990" s="14">
        <f t="shared" si="2"/>
        <v>22</v>
      </c>
      <c r="I9990" s="15">
        <f t="shared" si="3"/>
        <v>5</v>
      </c>
    </row>
    <row r="9991">
      <c r="A9991" s="8" t="str">
        <f>IFERROR(__xludf.DUMMYFUNCTION("IF('(INGESTA)Datos_consumo_datadis'!A9991&lt;&gt;"""",SPLIT('(INGESTA)Datos_consumo_datadis'!A:A,"",""),"""")"),"ES0031408323131005HX0F")</f>
        <v>ES0031408323131005HX0F</v>
      </c>
      <c r="B9991" s="17">
        <f>IFERROR(__xludf.DUMMYFUNCTION("""COMPUTED_VALUE"""),45282.0)</f>
        <v>45282</v>
      </c>
      <c r="C9991" s="13">
        <f>IFERROR(__xludf.DUMMYFUNCTION("""COMPUTED_VALUE"""),0.25)</f>
        <v>0.25</v>
      </c>
      <c r="D9991" s="8">
        <f>IFERROR(__xludf.DUMMYFUNCTION("""COMPUTED_VALUE"""),0.101)</f>
        <v>0.101</v>
      </c>
      <c r="E9991" s="8" t="str">
        <f>IFERROR(__xludf.DUMMYFUNCTION("""COMPUTED_VALUE"""),"Real")</f>
        <v>Real</v>
      </c>
      <c r="G9991" s="8">
        <f t="shared" si="1"/>
        <v>12</v>
      </c>
      <c r="H9991" s="14">
        <f t="shared" si="2"/>
        <v>22</v>
      </c>
      <c r="I9991" s="15">
        <f t="shared" si="3"/>
        <v>6</v>
      </c>
    </row>
    <row r="9992">
      <c r="A9992" s="8" t="str">
        <f>IFERROR(__xludf.DUMMYFUNCTION("IF('(INGESTA)Datos_consumo_datadis'!A9992&lt;&gt;"""",SPLIT('(INGESTA)Datos_consumo_datadis'!A:A,"",""),"""")"),"ES0031408323131005HX0F")</f>
        <v>ES0031408323131005HX0F</v>
      </c>
      <c r="B9992" s="17">
        <f>IFERROR(__xludf.DUMMYFUNCTION("""COMPUTED_VALUE"""),45282.0)</f>
        <v>45282</v>
      </c>
      <c r="C9992" s="13">
        <f>IFERROR(__xludf.DUMMYFUNCTION("""COMPUTED_VALUE"""),0.2916666666666667)</f>
        <v>0.2916666667</v>
      </c>
      <c r="D9992" s="8">
        <f>IFERROR(__xludf.DUMMYFUNCTION("""COMPUTED_VALUE"""),0.059)</f>
        <v>0.059</v>
      </c>
      <c r="E9992" s="8" t="str">
        <f>IFERROR(__xludf.DUMMYFUNCTION("""COMPUTED_VALUE"""),"Real")</f>
        <v>Real</v>
      </c>
      <c r="G9992" s="8">
        <f t="shared" si="1"/>
        <v>12</v>
      </c>
      <c r="H9992" s="14">
        <f t="shared" si="2"/>
        <v>22</v>
      </c>
      <c r="I9992" s="15">
        <f t="shared" si="3"/>
        <v>7</v>
      </c>
    </row>
    <row r="9993">
      <c r="A9993" s="8" t="str">
        <f>IFERROR(__xludf.DUMMYFUNCTION("IF('(INGESTA)Datos_consumo_datadis'!A9993&lt;&gt;"""",SPLIT('(INGESTA)Datos_consumo_datadis'!A:A,"",""),"""")"),"ES0031408323131005HX0F")</f>
        <v>ES0031408323131005HX0F</v>
      </c>
      <c r="B9993" s="17">
        <f>IFERROR(__xludf.DUMMYFUNCTION("""COMPUTED_VALUE"""),45282.0)</f>
        <v>45282</v>
      </c>
      <c r="C9993" s="13">
        <f>IFERROR(__xludf.DUMMYFUNCTION("""COMPUTED_VALUE"""),0.3333333333333333)</f>
        <v>0.3333333333</v>
      </c>
      <c r="D9993" s="8">
        <f>IFERROR(__xludf.DUMMYFUNCTION("""COMPUTED_VALUE"""),0.078)</f>
        <v>0.078</v>
      </c>
      <c r="E9993" s="8" t="str">
        <f>IFERROR(__xludf.DUMMYFUNCTION("""COMPUTED_VALUE"""),"Real")</f>
        <v>Real</v>
      </c>
      <c r="G9993" s="8">
        <f t="shared" si="1"/>
        <v>12</v>
      </c>
      <c r="H9993" s="14">
        <f t="shared" si="2"/>
        <v>22</v>
      </c>
      <c r="I9993" s="15">
        <f t="shared" si="3"/>
        <v>8</v>
      </c>
    </row>
    <row r="9994">
      <c r="A9994" s="8" t="str">
        <f>IFERROR(__xludf.DUMMYFUNCTION("IF('(INGESTA)Datos_consumo_datadis'!A9994&lt;&gt;"""",SPLIT('(INGESTA)Datos_consumo_datadis'!A:A,"",""),"""")"),"ES0031408323131005HX0F")</f>
        <v>ES0031408323131005HX0F</v>
      </c>
      <c r="B9994" s="17">
        <f>IFERROR(__xludf.DUMMYFUNCTION("""COMPUTED_VALUE"""),45282.0)</f>
        <v>45282</v>
      </c>
      <c r="C9994" s="13">
        <f>IFERROR(__xludf.DUMMYFUNCTION("""COMPUTED_VALUE"""),0.375)</f>
        <v>0.375</v>
      </c>
      <c r="D9994" s="8">
        <f>IFERROR(__xludf.DUMMYFUNCTION("""COMPUTED_VALUE"""),0.317)</f>
        <v>0.317</v>
      </c>
      <c r="E9994" s="8" t="str">
        <f>IFERROR(__xludf.DUMMYFUNCTION("""COMPUTED_VALUE"""),"Real")</f>
        <v>Real</v>
      </c>
      <c r="G9994" s="8">
        <f t="shared" si="1"/>
        <v>12</v>
      </c>
      <c r="H9994" s="14">
        <f t="shared" si="2"/>
        <v>22</v>
      </c>
      <c r="I9994" s="15">
        <f t="shared" si="3"/>
        <v>9</v>
      </c>
    </row>
    <row r="9995">
      <c r="A9995" s="8" t="str">
        <f>IFERROR(__xludf.DUMMYFUNCTION("IF('(INGESTA)Datos_consumo_datadis'!A9995&lt;&gt;"""",SPLIT('(INGESTA)Datos_consumo_datadis'!A:A,"",""),"""")"),"ES0031408323131005HX0F")</f>
        <v>ES0031408323131005HX0F</v>
      </c>
      <c r="B9995" s="17">
        <f>IFERROR(__xludf.DUMMYFUNCTION("""COMPUTED_VALUE"""),45282.0)</f>
        <v>45282</v>
      </c>
      <c r="C9995" s="13">
        <f>IFERROR(__xludf.DUMMYFUNCTION("""COMPUTED_VALUE"""),0.4166666666666667)</f>
        <v>0.4166666667</v>
      </c>
      <c r="D9995" s="8">
        <f>IFERROR(__xludf.DUMMYFUNCTION("""COMPUTED_VALUE"""),0.137)</f>
        <v>0.137</v>
      </c>
      <c r="E9995" s="8" t="str">
        <f>IFERROR(__xludf.DUMMYFUNCTION("""COMPUTED_VALUE"""),"Real")</f>
        <v>Real</v>
      </c>
      <c r="G9995" s="8">
        <f t="shared" si="1"/>
        <v>12</v>
      </c>
      <c r="H9995" s="14">
        <f t="shared" si="2"/>
        <v>22</v>
      </c>
      <c r="I9995" s="15">
        <f t="shared" si="3"/>
        <v>10</v>
      </c>
    </row>
    <row r="9996">
      <c r="A9996" s="8" t="str">
        <f>IFERROR(__xludf.DUMMYFUNCTION("IF('(INGESTA)Datos_consumo_datadis'!A9996&lt;&gt;"""",SPLIT('(INGESTA)Datos_consumo_datadis'!A:A,"",""),"""")"),"ES0031408323131005HX0F")</f>
        <v>ES0031408323131005HX0F</v>
      </c>
      <c r="B9996" s="17">
        <f>IFERROR(__xludf.DUMMYFUNCTION("""COMPUTED_VALUE"""),45282.0)</f>
        <v>45282</v>
      </c>
      <c r="C9996" s="13">
        <f>IFERROR(__xludf.DUMMYFUNCTION("""COMPUTED_VALUE"""),0.4583333333333333)</f>
        <v>0.4583333333</v>
      </c>
      <c r="D9996" s="8">
        <f>IFERROR(__xludf.DUMMYFUNCTION("""COMPUTED_VALUE"""),0.11)</f>
        <v>0.11</v>
      </c>
      <c r="E9996" s="8" t="str">
        <f>IFERROR(__xludf.DUMMYFUNCTION("""COMPUTED_VALUE"""),"Real")</f>
        <v>Real</v>
      </c>
      <c r="G9996" s="8">
        <f t="shared" si="1"/>
        <v>12</v>
      </c>
      <c r="H9996" s="14">
        <f t="shared" si="2"/>
        <v>22</v>
      </c>
      <c r="I9996" s="15">
        <f t="shared" si="3"/>
        <v>11</v>
      </c>
    </row>
    <row r="9997">
      <c r="A9997" s="8" t="str">
        <f>IFERROR(__xludf.DUMMYFUNCTION("IF('(INGESTA)Datos_consumo_datadis'!A9997&lt;&gt;"""",SPLIT('(INGESTA)Datos_consumo_datadis'!A:A,"",""),"""")"),"ES0031408323131005HX0F")</f>
        <v>ES0031408323131005HX0F</v>
      </c>
      <c r="B9997" s="17">
        <f>IFERROR(__xludf.DUMMYFUNCTION("""COMPUTED_VALUE"""),45282.0)</f>
        <v>45282</v>
      </c>
      <c r="C9997" s="13">
        <f>IFERROR(__xludf.DUMMYFUNCTION("""COMPUTED_VALUE"""),0.5)</f>
        <v>0.5</v>
      </c>
      <c r="D9997" s="8">
        <f>IFERROR(__xludf.DUMMYFUNCTION("""COMPUTED_VALUE"""),0.157)</f>
        <v>0.157</v>
      </c>
      <c r="E9997" s="8" t="str">
        <f>IFERROR(__xludf.DUMMYFUNCTION("""COMPUTED_VALUE"""),"Real")</f>
        <v>Real</v>
      </c>
      <c r="G9997" s="8">
        <f t="shared" si="1"/>
        <v>12</v>
      </c>
      <c r="H9997" s="14">
        <f t="shared" si="2"/>
        <v>22</v>
      </c>
      <c r="I9997" s="15">
        <f t="shared" si="3"/>
        <v>12</v>
      </c>
    </row>
    <row r="9998">
      <c r="A9998" s="8" t="str">
        <f>IFERROR(__xludf.DUMMYFUNCTION("IF('(INGESTA)Datos_consumo_datadis'!A9998&lt;&gt;"""",SPLIT('(INGESTA)Datos_consumo_datadis'!A:A,"",""),"""")"),"ES0031408323131005HX0F")</f>
        <v>ES0031408323131005HX0F</v>
      </c>
      <c r="B9998" s="17">
        <f>IFERROR(__xludf.DUMMYFUNCTION("""COMPUTED_VALUE"""),45282.0)</f>
        <v>45282</v>
      </c>
      <c r="C9998" s="13">
        <f>IFERROR(__xludf.DUMMYFUNCTION("""COMPUTED_VALUE"""),0.5416666666666666)</f>
        <v>0.5416666667</v>
      </c>
      <c r="D9998" s="8">
        <f>IFERROR(__xludf.DUMMYFUNCTION("""COMPUTED_VALUE"""),0.385)</f>
        <v>0.385</v>
      </c>
      <c r="E9998" s="8" t="str">
        <f>IFERROR(__xludf.DUMMYFUNCTION("""COMPUTED_VALUE"""),"Real")</f>
        <v>Real</v>
      </c>
      <c r="G9998" s="8">
        <f t="shared" si="1"/>
        <v>12</v>
      </c>
      <c r="H9998" s="14">
        <f t="shared" si="2"/>
        <v>22</v>
      </c>
      <c r="I9998" s="15">
        <f t="shared" si="3"/>
        <v>13</v>
      </c>
    </row>
    <row r="9999">
      <c r="A9999" s="8" t="str">
        <f>IFERROR(__xludf.DUMMYFUNCTION("IF('(INGESTA)Datos_consumo_datadis'!A9999&lt;&gt;"""",SPLIT('(INGESTA)Datos_consumo_datadis'!A:A,"",""),"""")"),"ES0031408323131005HX0F")</f>
        <v>ES0031408323131005HX0F</v>
      </c>
      <c r="B9999" s="17">
        <f>IFERROR(__xludf.DUMMYFUNCTION("""COMPUTED_VALUE"""),45282.0)</f>
        <v>45282</v>
      </c>
      <c r="C9999" s="13">
        <f>IFERROR(__xludf.DUMMYFUNCTION("""COMPUTED_VALUE"""),0.5833333333333334)</f>
        <v>0.5833333333</v>
      </c>
      <c r="D9999" s="8">
        <f>IFERROR(__xludf.DUMMYFUNCTION("""COMPUTED_VALUE"""),0.098)</f>
        <v>0.098</v>
      </c>
      <c r="E9999" s="8" t="str">
        <f>IFERROR(__xludf.DUMMYFUNCTION("""COMPUTED_VALUE"""),"Real")</f>
        <v>Real</v>
      </c>
      <c r="G9999" s="8">
        <f t="shared" si="1"/>
        <v>12</v>
      </c>
      <c r="H9999" s="14">
        <f t="shared" si="2"/>
        <v>22</v>
      </c>
      <c r="I9999" s="15">
        <f t="shared" si="3"/>
        <v>14</v>
      </c>
    </row>
    <row r="10000">
      <c r="A10000" s="8" t="str">
        <f>IFERROR(__xludf.DUMMYFUNCTION("IF('(INGESTA)Datos_consumo_datadis'!A10000&lt;&gt;"""",SPLIT('(INGESTA)Datos_consumo_datadis'!A:A,"",""),"""")"),"ES0031408323131005HX0F")</f>
        <v>ES0031408323131005HX0F</v>
      </c>
      <c r="B10000" s="17">
        <f>IFERROR(__xludf.DUMMYFUNCTION("""COMPUTED_VALUE"""),45282.0)</f>
        <v>45282</v>
      </c>
      <c r="C10000" s="13">
        <f>IFERROR(__xludf.DUMMYFUNCTION("""COMPUTED_VALUE"""),0.625)</f>
        <v>0.625</v>
      </c>
      <c r="D10000" s="8">
        <f>IFERROR(__xludf.DUMMYFUNCTION("""COMPUTED_VALUE"""),0.118)</f>
        <v>0.118</v>
      </c>
      <c r="E10000" s="8" t="str">
        <f>IFERROR(__xludf.DUMMYFUNCTION("""COMPUTED_VALUE"""),"Real")</f>
        <v>Real</v>
      </c>
      <c r="G10000" s="8">
        <f t="shared" si="1"/>
        <v>12</v>
      </c>
      <c r="H10000" s="14">
        <f t="shared" si="2"/>
        <v>22</v>
      </c>
      <c r="I10000" s="15">
        <f t="shared" si="3"/>
        <v>15</v>
      </c>
    </row>
    <row r="10001">
      <c r="A10001" s="8" t="str">
        <f>IFERROR(__xludf.DUMMYFUNCTION("IF('(INGESTA)Datos_consumo_datadis'!A10001&lt;&gt;"""",SPLIT('(INGESTA)Datos_consumo_datadis'!A:A,"",""),"""")"),"ES0031408323131005HX0F")</f>
        <v>ES0031408323131005HX0F</v>
      </c>
      <c r="B10001" s="17">
        <f>IFERROR(__xludf.DUMMYFUNCTION("""COMPUTED_VALUE"""),45282.0)</f>
        <v>45282</v>
      </c>
      <c r="C10001" s="13">
        <f>IFERROR(__xludf.DUMMYFUNCTION("""COMPUTED_VALUE"""),0.6666666666666666)</f>
        <v>0.6666666667</v>
      </c>
      <c r="D10001" s="8">
        <f>IFERROR(__xludf.DUMMYFUNCTION("""COMPUTED_VALUE"""),0.121)</f>
        <v>0.121</v>
      </c>
      <c r="E10001" s="8" t="str">
        <f>IFERROR(__xludf.DUMMYFUNCTION("""COMPUTED_VALUE"""),"Real")</f>
        <v>Real</v>
      </c>
      <c r="G10001" s="8">
        <f t="shared" si="1"/>
        <v>12</v>
      </c>
      <c r="H10001" s="14">
        <f t="shared" si="2"/>
        <v>22</v>
      </c>
      <c r="I10001" s="15">
        <f t="shared" si="3"/>
        <v>16</v>
      </c>
    </row>
    <row r="10002">
      <c r="A10002" s="8" t="str">
        <f>IFERROR(__xludf.DUMMYFUNCTION("IF('(INGESTA)Datos_consumo_datadis'!A10002&lt;&gt;"""",SPLIT('(INGESTA)Datos_consumo_datadis'!A:A,"",""),"""")"),"ES0031408323131005HX0F")</f>
        <v>ES0031408323131005HX0F</v>
      </c>
      <c r="B10002" s="17">
        <f>IFERROR(__xludf.DUMMYFUNCTION("""COMPUTED_VALUE"""),45282.0)</f>
        <v>45282</v>
      </c>
      <c r="C10002" s="13">
        <f>IFERROR(__xludf.DUMMYFUNCTION("""COMPUTED_VALUE"""),0.7083333333333334)</f>
        <v>0.7083333333</v>
      </c>
      <c r="D10002" s="8">
        <f>IFERROR(__xludf.DUMMYFUNCTION("""COMPUTED_VALUE"""),0.091)</f>
        <v>0.091</v>
      </c>
      <c r="E10002" s="8" t="str">
        <f>IFERROR(__xludf.DUMMYFUNCTION("""COMPUTED_VALUE"""),"Real")</f>
        <v>Real</v>
      </c>
      <c r="G10002" s="8">
        <f t="shared" si="1"/>
        <v>12</v>
      </c>
      <c r="H10002" s="14">
        <f t="shared" si="2"/>
        <v>22</v>
      </c>
      <c r="I10002" s="15">
        <f t="shared" si="3"/>
        <v>17</v>
      </c>
    </row>
    <row r="10003">
      <c r="A10003" s="8" t="str">
        <f>IFERROR(__xludf.DUMMYFUNCTION("IF('(INGESTA)Datos_consumo_datadis'!A10003&lt;&gt;"""",SPLIT('(INGESTA)Datos_consumo_datadis'!A:A,"",""),"""")"),"ES0031408323131005HX0F")</f>
        <v>ES0031408323131005HX0F</v>
      </c>
      <c r="B10003" s="17">
        <f>IFERROR(__xludf.DUMMYFUNCTION("""COMPUTED_VALUE"""),45282.0)</f>
        <v>45282</v>
      </c>
      <c r="C10003" s="13">
        <f>IFERROR(__xludf.DUMMYFUNCTION("""COMPUTED_VALUE"""),0.75)</f>
        <v>0.75</v>
      </c>
      <c r="D10003" s="8">
        <f>IFERROR(__xludf.DUMMYFUNCTION("""COMPUTED_VALUE"""),0.058)</f>
        <v>0.058</v>
      </c>
      <c r="E10003" s="8" t="str">
        <f>IFERROR(__xludf.DUMMYFUNCTION("""COMPUTED_VALUE"""),"Real")</f>
        <v>Real</v>
      </c>
      <c r="G10003" s="8">
        <f t="shared" si="1"/>
        <v>12</v>
      </c>
      <c r="H10003" s="14">
        <f t="shared" si="2"/>
        <v>22</v>
      </c>
      <c r="I10003" s="15">
        <f t="shared" si="3"/>
        <v>18</v>
      </c>
    </row>
    <row r="10004">
      <c r="A10004" s="8" t="str">
        <f>IFERROR(__xludf.DUMMYFUNCTION("IF('(INGESTA)Datos_consumo_datadis'!A10004&lt;&gt;"""",SPLIT('(INGESTA)Datos_consumo_datadis'!A:A,"",""),"""")"),"ES0031408323131005HX0F")</f>
        <v>ES0031408323131005HX0F</v>
      </c>
      <c r="B10004" s="17">
        <f>IFERROR(__xludf.DUMMYFUNCTION("""COMPUTED_VALUE"""),45282.0)</f>
        <v>45282</v>
      </c>
      <c r="C10004" s="13">
        <f>IFERROR(__xludf.DUMMYFUNCTION("""COMPUTED_VALUE"""),0.7916666666666666)</f>
        <v>0.7916666667</v>
      </c>
      <c r="D10004" s="8">
        <f>IFERROR(__xludf.DUMMYFUNCTION("""COMPUTED_VALUE"""),0.408)</f>
        <v>0.408</v>
      </c>
      <c r="E10004" s="8" t="str">
        <f>IFERROR(__xludf.DUMMYFUNCTION("""COMPUTED_VALUE"""),"Real")</f>
        <v>Real</v>
      </c>
      <c r="G10004" s="8">
        <f t="shared" si="1"/>
        <v>12</v>
      </c>
      <c r="H10004" s="14">
        <f t="shared" si="2"/>
        <v>22</v>
      </c>
      <c r="I10004" s="15">
        <f t="shared" si="3"/>
        <v>19</v>
      </c>
    </row>
    <row r="10005">
      <c r="A10005" s="8" t="str">
        <f>IFERROR(__xludf.DUMMYFUNCTION("IF('(INGESTA)Datos_consumo_datadis'!A10005&lt;&gt;"""",SPLIT('(INGESTA)Datos_consumo_datadis'!A:A,"",""),"""")"),"ES0031408323131005HX0F")</f>
        <v>ES0031408323131005HX0F</v>
      </c>
      <c r="B10005" s="17">
        <f>IFERROR(__xludf.DUMMYFUNCTION("""COMPUTED_VALUE"""),45282.0)</f>
        <v>45282</v>
      </c>
      <c r="C10005" s="13">
        <f>IFERROR(__xludf.DUMMYFUNCTION("""COMPUTED_VALUE"""),0.8333333333333334)</f>
        <v>0.8333333333</v>
      </c>
      <c r="D10005" s="8">
        <f>IFERROR(__xludf.DUMMYFUNCTION("""COMPUTED_VALUE"""),0.086)</f>
        <v>0.086</v>
      </c>
      <c r="E10005" s="8" t="str">
        <f>IFERROR(__xludf.DUMMYFUNCTION("""COMPUTED_VALUE"""),"Real")</f>
        <v>Real</v>
      </c>
      <c r="G10005" s="8">
        <f t="shared" si="1"/>
        <v>12</v>
      </c>
      <c r="H10005" s="14">
        <f t="shared" si="2"/>
        <v>22</v>
      </c>
      <c r="I10005" s="15">
        <f t="shared" si="3"/>
        <v>20</v>
      </c>
    </row>
    <row r="10006">
      <c r="A10006" s="8" t="str">
        <f>IFERROR(__xludf.DUMMYFUNCTION("IF('(INGESTA)Datos_consumo_datadis'!A10006&lt;&gt;"""",SPLIT('(INGESTA)Datos_consumo_datadis'!A:A,"",""),"""")"),"ES0031408323131005HX0F")</f>
        <v>ES0031408323131005HX0F</v>
      </c>
      <c r="B10006" s="17">
        <f>IFERROR(__xludf.DUMMYFUNCTION("""COMPUTED_VALUE"""),45282.0)</f>
        <v>45282</v>
      </c>
      <c r="C10006" s="13">
        <f>IFERROR(__xludf.DUMMYFUNCTION("""COMPUTED_VALUE"""),0.875)</f>
        <v>0.875</v>
      </c>
      <c r="D10006" s="8">
        <f>IFERROR(__xludf.DUMMYFUNCTION("""COMPUTED_VALUE"""),1.266)</f>
        <v>1.266</v>
      </c>
      <c r="E10006" s="8" t="str">
        <f>IFERROR(__xludf.DUMMYFUNCTION("""COMPUTED_VALUE"""),"Real")</f>
        <v>Real</v>
      </c>
      <c r="G10006" s="8">
        <f t="shared" si="1"/>
        <v>12</v>
      </c>
      <c r="H10006" s="14">
        <f t="shared" si="2"/>
        <v>22</v>
      </c>
      <c r="I10006" s="15">
        <f t="shared" si="3"/>
        <v>21</v>
      </c>
    </row>
    <row r="10007">
      <c r="A10007" s="8" t="str">
        <f>IFERROR(__xludf.DUMMYFUNCTION("IF('(INGESTA)Datos_consumo_datadis'!A10007&lt;&gt;"""",SPLIT('(INGESTA)Datos_consumo_datadis'!A:A,"",""),"""")"),"ES0031408323131005HX0F")</f>
        <v>ES0031408323131005HX0F</v>
      </c>
      <c r="B10007" s="17">
        <f>IFERROR(__xludf.DUMMYFUNCTION("""COMPUTED_VALUE"""),45282.0)</f>
        <v>45282</v>
      </c>
      <c r="C10007" s="13">
        <f>IFERROR(__xludf.DUMMYFUNCTION("""COMPUTED_VALUE"""),0.9166666666666666)</f>
        <v>0.9166666667</v>
      </c>
      <c r="D10007" s="8">
        <f>IFERROR(__xludf.DUMMYFUNCTION("""COMPUTED_VALUE"""),1.442)</f>
        <v>1.442</v>
      </c>
      <c r="E10007" s="8" t="str">
        <f>IFERROR(__xludf.DUMMYFUNCTION("""COMPUTED_VALUE"""),"Real")</f>
        <v>Real</v>
      </c>
      <c r="G10007" s="8">
        <f t="shared" si="1"/>
        <v>12</v>
      </c>
      <c r="H10007" s="14">
        <f t="shared" si="2"/>
        <v>22</v>
      </c>
      <c r="I10007" s="15">
        <f t="shared" si="3"/>
        <v>22</v>
      </c>
    </row>
    <row r="10008">
      <c r="A10008" s="8" t="str">
        <f>IFERROR(__xludf.DUMMYFUNCTION("IF('(INGESTA)Datos_consumo_datadis'!A10008&lt;&gt;"""",SPLIT('(INGESTA)Datos_consumo_datadis'!A:A,"",""),"""")"),"ES0031408323131005HX0F")</f>
        <v>ES0031408323131005HX0F</v>
      </c>
      <c r="B10008" s="17">
        <f>IFERROR(__xludf.DUMMYFUNCTION("""COMPUTED_VALUE"""),45282.0)</f>
        <v>45282</v>
      </c>
      <c r="C10008" s="13">
        <f>IFERROR(__xludf.DUMMYFUNCTION("""COMPUTED_VALUE"""),0.9583333333333334)</f>
        <v>0.9583333333</v>
      </c>
      <c r="D10008" s="8">
        <f>IFERROR(__xludf.DUMMYFUNCTION("""COMPUTED_VALUE"""),0.104)</f>
        <v>0.104</v>
      </c>
      <c r="E10008" s="8" t="str">
        <f>IFERROR(__xludf.DUMMYFUNCTION("""COMPUTED_VALUE"""),"Real")</f>
        <v>Real</v>
      </c>
      <c r="G10008" s="8">
        <f t="shared" si="1"/>
        <v>12</v>
      </c>
      <c r="H10008" s="14">
        <f t="shared" si="2"/>
        <v>22</v>
      </c>
      <c r="I10008" s="15">
        <f t="shared" si="3"/>
        <v>23</v>
      </c>
    </row>
    <row r="10009">
      <c r="A10009" s="8" t="str">
        <f>IFERROR(__xludf.DUMMYFUNCTION("IF('(INGESTA)Datos_consumo_datadis'!A10009&lt;&gt;"""",SPLIT('(INGESTA)Datos_consumo_datadis'!A:A,"",""),"""")"),"ES0031408323131005HX0F")</f>
        <v>ES0031408323131005HX0F</v>
      </c>
      <c r="B10009" s="17">
        <f>IFERROR(__xludf.DUMMYFUNCTION("""COMPUTED_VALUE"""),45282.0)</f>
        <v>45282</v>
      </c>
      <c r="C10009" s="16">
        <f>IFERROR(__xludf.DUMMYFUNCTION("""COMPUTED_VALUE"""),1.0)</f>
        <v>1</v>
      </c>
      <c r="D10009" s="8">
        <f>IFERROR(__xludf.DUMMYFUNCTION("""COMPUTED_VALUE"""),0.075)</f>
        <v>0.075</v>
      </c>
      <c r="E10009" s="8" t="str">
        <f>IFERROR(__xludf.DUMMYFUNCTION("""COMPUTED_VALUE"""),"Real")</f>
        <v>Real</v>
      </c>
      <c r="G10009" s="8">
        <f t="shared" si="1"/>
        <v>12</v>
      </c>
      <c r="H10009" s="14">
        <f t="shared" si="2"/>
        <v>22</v>
      </c>
      <c r="I10009" s="15">
        <f t="shared" si="3"/>
        <v>0</v>
      </c>
    </row>
    <row r="10010">
      <c r="A10010" s="8" t="str">
        <f>IFERROR(__xludf.DUMMYFUNCTION("IF('(INGESTA)Datos_consumo_datadis'!A10010&lt;&gt;"""",SPLIT('(INGESTA)Datos_consumo_datadis'!A:A,"",""),"""")"),"ES0031408323131005HX0F")</f>
        <v>ES0031408323131005HX0F</v>
      </c>
      <c r="B10010" s="17">
        <f>IFERROR(__xludf.DUMMYFUNCTION("""COMPUTED_VALUE"""),45283.0)</f>
        <v>45283</v>
      </c>
      <c r="C10010" s="13">
        <f>IFERROR(__xludf.DUMMYFUNCTION("""COMPUTED_VALUE"""),0.041666666666666664)</f>
        <v>0.04166666667</v>
      </c>
      <c r="D10010" s="8">
        <f>IFERROR(__xludf.DUMMYFUNCTION("""COMPUTED_VALUE"""),0.063)</f>
        <v>0.063</v>
      </c>
      <c r="E10010" s="8" t="str">
        <f>IFERROR(__xludf.DUMMYFUNCTION("""COMPUTED_VALUE"""),"Real")</f>
        <v>Real</v>
      </c>
      <c r="G10010" s="8">
        <f t="shared" si="1"/>
        <v>12</v>
      </c>
      <c r="H10010" s="14">
        <f t="shared" si="2"/>
        <v>23</v>
      </c>
      <c r="I10010" s="15">
        <f t="shared" si="3"/>
        <v>1</v>
      </c>
    </row>
    <row r="10011">
      <c r="A10011" s="8" t="str">
        <f>IFERROR(__xludf.DUMMYFUNCTION("IF('(INGESTA)Datos_consumo_datadis'!A10011&lt;&gt;"""",SPLIT('(INGESTA)Datos_consumo_datadis'!A:A,"",""),"""")"),"ES0031408323131005HX0F")</f>
        <v>ES0031408323131005HX0F</v>
      </c>
      <c r="B10011" s="17">
        <f>IFERROR(__xludf.DUMMYFUNCTION("""COMPUTED_VALUE"""),45283.0)</f>
        <v>45283</v>
      </c>
      <c r="C10011" s="13">
        <f>IFERROR(__xludf.DUMMYFUNCTION("""COMPUTED_VALUE"""),0.08333333333333333)</f>
        <v>0.08333333333</v>
      </c>
      <c r="D10011" s="8">
        <f>IFERROR(__xludf.DUMMYFUNCTION("""COMPUTED_VALUE"""),0.071)</f>
        <v>0.071</v>
      </c>
      <c r="E10011" s="8" t="str">
        <f>IFERROR(__xludf.DUMMYFUNCTION("""COMPUTED_VALUE"""),"Real")</f>
        <v>Real</v>
      </c>
      <c r="G10011" s="8">
        <f t="shared" si="1"/>
        <v>12</v>
      </c>
      <c r="H10011" s="14">
        <f t="shared" si="2"/>
        <v>23</v>
      </c>
      <c r="I10011" s="15">
        <f t="shared" si="3"/>
        <v>2</v>
      </c>
    </row>
    <row r="10012">
      <c r="A10012" s="8" t="str">
        <f>IFERROR(__xludf.DUMMYFUNCTION("IF('(INGESTA)Datos_consumo_datadis'!A10012&lt;&gt;"""",SPLIT('(INGESTA)Datos_consumo_datadis'!A:A,"",""),"""")"),"ES0031408323131005HX0F")</f>
        <v>ES0031408323131005HX0F</v>
      </c>
      <c r="B10012" s="17">
        <f>IFERROR(__xludf.DUMMYFUNCTION("""COMPUTED_VALUE"""),45283.0)</f>
        <v>45283</v>
      </c>
      <c r="C10012" s="13">
        <f>IFERROR(__xludf.DUMMYFUNCTION("""COMPUTED_VALUE"""),0.125)</f>
        <v>0.125</v>
      </c>
      <c r="D10012" s="8">
        <f>IFERROR(__xludf.DUMMYFUNCTION("""COMPUTED_VALUE"""),0.368)</f>
        <v>0.368</v>
      </c>
      <c r="E10012" s="8" t="str">
        <f>IFERROR(__xludf.DUMMYFUNCTION("""COMPUTED_VALUE"""),"Real")</f>
        <v>Real</v>
      </c>
      <c r="G10012" s="8">
        <f t="shared" si="1"/>
        <v>12</v>
      </c>
      <c r="H10012" s="14">
        <f t="shared" si="2"/>
        <v>23</v>
      </c>
      <c r="I10012" s="15">
        <f t="shared" si="3"/>
        <v>3</v>
      </c>
    </row>
    <row r="10013">
      <c r="A10013" s="8" t="str">
        <f>IFERROR(__xludf.DUMMYFUNCTION("IF('(INGESTA)Datos_consumo_datadis'!A10013&lt;&gt;"""",SPLIT('(INGESTA)Datos_consumo_datadis'!A:A,"",""),"""")"),"ES0031408323131005HX0F")</f>
        <v>ES0031408323131005HX0F</v>
      </c>
      <c r="B10013" s="17">
        <f>IFERROR(__xludf.DUMMYFUNCTION("""COMPUTED_VALUE"""),45283.0)</f>
        <v>45283</v>
      </c>
      <c r="C10013" s="13">
        <f>IFERROR(__xludf.DUMMYFUNCTION("""COMPUTED_VALUE"""),0.16666666666666666)</f>
        <v>0.1666666667</v>
      </c>
      <c r="D10013" s="8">
        <f>IFERROR(__xludf.DUMMYFUNCTION("""COMPUTED_VALUE"""),0.136)</f>
        <v>0.136</v>
      </c>
      <c r="E10013" s="8" t="str">
        <f>IFERROR(__xludf.DUMMYFUNCTION("""COMPUTED_VALUE"""),"Real")</f>
        <v>Real</v>
      </c>
      <c r="G10013" s="8">
        <f t="shared" si="1"/>
        <v>12</v>
      </c>
      <c r="H10013" s="14">
        <f t="shared" si="2"/>
        <v>23</v>
      </c>
      <c r="I10013" s="15">
        <f t="shared" si="3"/>
        <v>4</v>
      </c>
    </row>
    <row r="10014">
      <c r="A10014" s="8" t="str">
        <f>IFERROR(__xludf.DUMMYFUNCTION("IF('(INGESTA)Datos_consumo_datadis'!A10014&lt;&gt;"""",SPLIT('(INGESTA)Datos_consumo_datadis'!A:A,"",""),"""")"),"ES0031408323131005HX0F")</f>
        <v>ES0031408323131005HX0F</v>
      </c>
      <c r="B10014" s="17">
        <f>IFERROR(__xludf.DUMMYFUNCTION("""COMPUTED_VALUE"""),45283.0)</f>
        <v>45283</v>
      </c>
      <c r="C10014" s="13">
        <f>IFERROR(__xludf.DUMMYFUNCTION("""COMPUTED_VALUE"""),0.20833333333333334)</f>
        <v>0.2083333333</v>
      </c>
      <c r="D10014" s="8">
        <f>IFERROR(__xludf.DUMMYFUNCTION("""COMPUTED_VALUE"""),0.088)</f>
        <v>0.088</v>
      </c>
      <c r="E10014" s="8" t="str">
        <f>IFERROR(__xludf.DUMMYFUNCTION("""COMPUTED_VALUE"""),"Real")</f>
        <v>Real</v>
      </c>
      <c r="G10014" s="8">
        <f t="shared" si="1"/>
        <v>12</v>
      </c>
      <c r="H10014" s="14">
        <f t="shared" si="2"/>
        <v>23</v>
      </c>
      <c r="I10014" s="15">
        <f t="shared" si="3"/>
        <v>5</v>
      </c>
    </row>
    <row r="10015">
      <c r="A10015" s="8" t="str">
        <f>IFERROR(__xludf.DUMMYFUNCTION("IF('(INGESTA)Datos_consumo_datadis'!A10015&lt;&gt;"""",SPLIT('(INGESTA)Datos_consumo_datadis'!A:A,"",""),"""")"),"ES0031408323131005HX0F")</f>
        <v>ES0031408323131005HX0F</v>
      </c>
      <c r="B10015" s="17">
        <f>IFERROR(__xludf.DUMMYFUNCTION("""COMPUTED_VALUE"""),45283.0)</f>
        <v>45283</v>
      </c>
      <c r="C10015" s="13">
        <f>IFERROR(__xludf.DUMMYFUNCTION("""COMPUTED_VALUE"""),0.25)</f>
        <v>0.25</v>
      </c>
      <c r="D10015" s="8">
        <f>IFERROR(__xludf.DUMMYFUNCTION("""COMPUTED_VALUE"""),0.093)</f>
        <v>0.093</v>
      </c>
      <c r="E10015" s="8" t="str">
        <f>IFERROR(__xludf.DUMMYFUNCTION("""COMPUTED_VALUE"""),"Real")</f>
        <v>Real</v>
      </c>
      <c r="G10015" s="8">
        <f t="shared" si="1"/>
        <v>12</v>
      </c>
      <c r="H10015" s="14">
        <f t="shared" si="2"/>
        <v>23</v>
      </c>
      <c r="I10015" s="15">
        <f t="shared" si="3"/>
        <v>6</v>
      </c>
    </row>
    <row r="10016">
      <c r="A10016" s="8" t="str">
        <f>IFERROR(__xludf.DUMMYFUNCTION("IF('(INGESTA)Datos_consumo_datadis'!A10016&lt;&gt;"""",SPLIT('(INGESTA)Datos_consumo_datadis'!A:A,"",""),"""")"),"ES0031408323131005HX0F")</f>
        <v>ES0031408323131005HX0F</v>
      </c>
      <c r="B10016" s="17">
        <f>IFERROR(__xludf.DUMMYFUNCTION("""COMPUTED_VALUE"""),45283.0)</f>
        <v>45283</v>
      </c>
      <c r="C10016" s="13">
        <f>IFERROR(__xludf.DUMMYFUNCTION("""COMPUTED_VALUE"""),0.2916666666666667)</f>
        <v>0.2916666667</v>
      </c>
      <c r="D10016" s="8">
        <f>IFERROR(__xludf.DUMMYFUNCTION("""COMPUTED_VALUE"""),0.033)</f>
        <v>0.033</v>
      </c>
      <c r="E10016" s="8" t="str">
        <f>IFERROR(__xludf.DUMMYFUNCTION("""COMPUTED_VALUE"""),"Real")</f>
        <v>Real</v>
      </c>
      <c r="G10016" s="8">
        <f t="shared" si="1"/>
        <v>12</v>
      </c>
      <c r="H10016" s="14">
        <f t="shared" si="2"/>
        <v>23</v>
      </c>
      <c r="I10016" s="15">
        <f t="shared" si="3"/>
        <v>7</v>
      </c>
    </row>
    <row r="10017">
      <c r="A10017" s="8" t="str">
        <f>IFERROR(__xludf.DUMMYFUNCTION("IF('(INGESTA)Datos_consumo_datadis'!A10017&lt;&gt;"""",SPLIT('(INGESTA)Datos_consumo_datadis'!A:A,"",""),"""")"),"ES0031408323131005HX0F")</f>
        <v>ES0031408323131005HX0F</v>
      </c>
      <c r="B10017" s="17">
        <f>IFERROR(__xludf.DUMMYFUNCTION("""COMPUTED_VALUE"""),45283.0)</f>
        <v>45283</v>
      </c>
      <c r="C10017" s="13">
        <f>IFERROR(__xludf.DUMMYFUNCTION("""COMPUTED_VALUE"""),0.3333333333333333)</f>
        <v>0.3333333333</v>
      </c>
      <c r="D10017" s="8">
        <f>IFERROR(__xludf.DUMMYFUNCTION("""COMPUTED_VALUE"""),0.845)</f>
        <v>0.845</v>
      </c>
      <c r="E10017" s="8" t="str">
        <f>IFERROR(__xludf.DUMMYFUNCTION("""COMPUTED_VALUE"""),"Real")</f>
        <v>Real</v>
      </c>
      <c r="G10017" s="8">
        <f t="shared" si="1"/>
        <v>12</v>
      </c>
      <c r="H10017" s="14">
        <f t="shared" si="2"/>
        <v>23</v>
      </c>
      <c r="I10017" s="15">
        <f t="shared" si="3"/>
        <v>8</v>
      </c>
    </row>
    <row r="10018">
      <c r="A10018" s="8" t="str">
        <f>IFERROR(__xludf.DUMMYFUNCTION("IF('(INGESTA)Datos_consumo_datadis'!A10018&lt;&gt;"""",SPLIT('(INGESTA)Datos_consumo_datadis'!A:A,"",""),"""")"),"ES0031408323131005HX0F")</f>
        <v>ES0031408323131005HX0F</v>
      </c>
      <c r="B10018" s="17">
        <f>IFERROR(__xludf.DUMMYFUNCTION("""COMPUTED_VALUE"""),45283.0)</f>
        <v>45283</v>
      </c>
      <c r="C10018" s="13">
        <f>IFERROR(__xludf.DUMMYFUNCTION("""COMPUTED_VALUE"""),0.375)</f>
        <v>0.375</v>
      </c>
      <c r="D10018" s="8">
        <f>IFERROR(__xludf.DUMMYFUNCTION("""COMPUTED_VALUE"""),0.53)</f>
        <v>0.53</v>
      </c>
      <c r="E10018" s="8" t="str">
        <f>IFERROR(__xludf.DUMMYFUNCTION("""COMPUTED_VALUE"""),"Real")</f>
        <v>Real</v>
      </c>
      <c r="G10018" s="8">
        <f t="shared" si="1"/>
        <v>12</v>
      </c>
      <c r="H10018" s="14">
        <f t="shared" si="2"/>
        <v>23</v>
      </c>
      <c r="I10018" s="15">
        <f t="shared" si="3"/>
        <v>9</v>
      </c>
    </row>
    <row r="10019">
      <c r="A10019" s="8" t="str">
        <f>IFERROR(__xludf.DUMMYFUNCTION("IF('(INGESTA)Datos_consumo_datadis'!A10019&lt;&gt;"""",SPLIT('(INGESTA)Datos_consumo_datadis'!A:A,"",""),"""")"),"ES0031408323131005HX0F")</f>
        <v>ES0031408323131005HX0F</v>
      </c>
      <c r="B10019" s="17">
        <f>IFERROR(__xludf.DUMMYFUNCTION("""COMPUTED_VALUE"""),45283.0)</f>
        <v>45283</v>
      </c>
      <c r="C10019" s="13">
        <f>IFERROR(__xludf.DUMMYFUNCTION("""COMPUTED_VALUE"""),0.4166666666666667)</f>
        <v>0.4166666667</v>
      </c>
      <c r="D10019" s="8">
        <f>IFERROR(__xludf.DUMMYFUNCTION("""COMPUTED_VALUE"""),0.27)</f>
        <v>0.27</v>
      </c>
      <c r="E10019" s="8" t="str">
        <f>IFERROR(__xludf.DUMMYFUNCTION("""COMPUTED_VALUE"""),"Real")</f>
        <v>Real</v>
      </c>
      <c r="G10019" s="8">
        <f t="shared" si="1"/>
        <v>12</v>
      </c>
      <c r="H10019" s="14">
        <f t="shared" si="2"/>
        <v>23</v>
      </c>
      <c r="I10019" s="15">
        <f t="shared" si="3"/>
        <v>10</v>
      </c>
    </row>
    <row r="10020">
      <c r="A10020" s="8" t="str">
        <f>IFERROR(__xludf.DUMMYFUNCTION("IF('(INGESTA)Datos_consumo_datadis'!A10020&lt;&gt;"""",SPLIT('(INGESTA)Datos_consumo_datadis'!A:A,"",""),"""")"),"ES0031408323131005HX0F")</f>
        <v>ES0031408323131005HX0F</v>
      </c>
      <c r="B10020" s="17">
        <f>IFERROR(__xludf.DUMMYFUNCTION("""COMPUTED_VALUE"""),45283.0)</f>
        <v>45283</v>
      </c>
      <c r="C10020" s="13">
        <f>IFERROR(__xludf.DUMMYFUNCTION("""COMPUTED_VALUE"""),0.4583333333333333)</f>
        <v>0.4583333333</v>
      </c>
      <c r="D10020" s="8">
        <f>IFERROR(__xludf.DUMMYFUNCTION("""COMPUTED_VALUE"""),0.137)</f>
        <v>0.137</v>
      </c>
      <c r="E10020" s="8" t="str">
        <f>IFERROR(__xludf.DUMMYFUNCTION("""COMPUTED_VALUE"""),"Real")</f>
        <v>Real</v>
      </c>
      <c r="G10020" s="8">
        <f t="shared" si="1"/>
        <v>12</v>
      </c>
      <c r="H10020" s="14">
        <f t="shared" si="2"/>
        <v>23</v>
      </c>
      <c r="I10020" s="15">
        <f t="shared" si="3"/>
        <v>11</v>
      </c>
    </row>
    <row r="10021">
      <c r="A10021" s="8" t="str">
        <f>IFERROR(__xludf.DUMMYFUNCTION("IF('(INGESTA)Datos_consumo_datadis'!A10021&lt;&gt;"""",SPLIT('(INGESTA)Datos_consumo_datadis'!A:A,"",""),"""")"),"ES0031408323131005HX0F")</f>
        <v>ES0031408323131005HX0F</v>
      </c>
      <c r="B10021" s="17">
        <f>IFERROR(__xludf.DUMMYFUNCTION("""COMPUTED_VALUE"""),45283.0)</f>
        <v>45283</v>
      </c>
      <c r="C10021" s="13">
        <f>IFERROR(__xludf.DUMMYFUNCTION("""COMPUTED_VALUE"""),0.5)</f>
        <v>0.5</v>
      </c>
      <c r="D10021" s="8">
        <f>IFERROR(__xludf.DUMMYFUNCTION("""COMPUTED_VALUE"""),0.133)</f>
        <v>0.133</v>
      </c>
      <c r="E10021" s="8" t="str">
        <f>IFERROR(__xludf.DUMMYFUNCTION("""COMPUTED_VALUE"""),"Real")</f>
        <v>Real</v>
      </c>
      <c r="G10021" s="8">
        <f t="shared" si="1"/>
        <v>12</v>
      </c>
      <c r="H10021" s="14">
        <f t="shared" si="2"/>
        <v>23</v>
      </c>
      <c r="I10021" s="15">
        <f t="shared" si="3"/>
        <v>12</v>
      </c>
    </row>
    <row r="10022">
      <c r="A10022" s="8" t="str">
        <f>IFERROR(__xludf.DUMMYFUNCTION("IF('(INGESTA)Datos_consumo_datadis'!A10022&lt;&gt;"""",SPLIT('(INGESTA)Datos_consumo_datadis'!A:A,"",""),"""")"),"ES0031408323131005HX0F")</f>
        <v>ES0031408323131005HX0F</v>
      </c>
      <c r="B10022" s="17">
        <f>IFERROR(__xludf.DUMMYFUNCTION("""COMPUTED_VALUE"""),45283.0)</f>
        <v>45283</v>
      </c>
      <c r="C10022" s="13">
        <f>IFERROR(__xludf.DUMMYFUNCTION("""COMPUTED_VALUE"""),0.5416666666666666)</f>
        <v>0.5416666667</v>
      </c>
      <c r="D10022" s="8">
        <f>IFERROR(__xludf.DUMMYFUNCTION("""COMPUTED_VALUE"""),0.359)</f>
        <v>0.359</v>
      </c>
      <c r="E10022" s="8" t="str">
        <f>IFERROR(__xludf.DUMMYFUNCTION("""COMPUTED_VALUE"""),"Real")</f>
        <v>Real</v>
      </c>
      <c r="G10022" s="8">
        <f t="shared" si="1"/>
        <v>12</v>
      </c>
      <c r="H10022" s="14">
        <f t="shared" si="2"/>
        <v>23</v>
      </c>
      <c r="I10022" s="15">
        <f t="shared" si="3"/>
        <v>13</v>
      </c>
    </row>
    <row r="10023">
      <c r="A10023" s="8" t="str">
        <f>IFERROR(__xludf.DUMMYFUNCTION("IF('(INGESTA)Datos_consumo_datadis'!A10023&lt;&gt;"""",SPLIT('(INGESTA)Datos_consumo_datadis'!A:A,"",""),"""")"),"ES0031408323131005HX0F")</f>
        <v>ES0031408323131005HX0F</v>
      </c>
      <c r="B10023" s="17">
        <f>IFERROR(__xludf.DUMMYFUNCTION("""COMPUTED_VALUE"""),45283.0)</f>
        <v>45283</v>
      </c>
      <c r="C10023" s="13">
        <f>IFERROR(__xludf.DUMMYFUNCTION("""COMPUTED_VALUE"""),0.5833333333333334)</f>
        <v>0.5833333333</v>
      </c>
      <c r="D10023" s="8">
        <f>IFERROR(__xludf.DUMMYFUNCTION("""COMPUTED_VALUE"""),0.056)</f>
        <v>0.056</v>
      </c>
      <c r="E10023" s="8" t="str">
        <f>IFERROR(__xludf.DUMMYFUNCTION("""COMPUTED_VALUE"""),"Real")</f>
        <v>Real</v>
      </c>
      <c r="G10023" s="8">
        <f t="shared" si="1"/>
        <v>12</v>
      </c>
      <c r="H10023" s="14">
        <f t="shared" si="2"/>
        <v>23</v>
      </c>
      <c r="I10023" s="15">
        <f t="shared" si="3"/>
        <v>14</v>
      </c>
    </row>
    <row r="10024">
      <c r="A10024" s="8" t="str">
        <f>IFERROR(__xludf.DUMMYFUNCTION("IF('(INGESTA)Datos_consumo_datadis'!A10024&lt;&gt;"""",SPLIT('(INGESTA)Datos_consumo_datadis'!A:A,"",""),"""")"),"ES0031408323131005HX0F")</f>
        <v>ES0031408323131005HX0F</v>
      </c>
      <c r="B10024" s="17">
        <f>IFERROR(__xludf.DUMMYFUNCTION("""COMPUTED_VALUE"""),45283.0)</f>
        <v>45283</v>
      </c>
      <c r="C10024" s="13">
        <f>IFERROR(__xludf.DUMMYFUNCTION("""COMPUTED_VALUE"""),0.625)</f>
        <v>0.625</v>
      </c>
      <c r="D10024" s="8">
        <f>IFERROR(__xludf.DUMMYFUNCTION("""COMPUTED_VALUE"""),0.04)</f>
        <v>0.04</v>
      </c>
      <c r="E10024" s="8" t="str">
        <f>IFERROR(__xludf.DUMMYFUNCTION("""COMPUTED_VALUE"""),"Real")</f>
        <v>Real</v>
      </c>
      <c r="G10024" s="8">
        <f t="shared" si="1"/>
        <v>12</v>
      </c>
      <c r="H10024" s="14">
        <f t="shared" si="2"/>
        <v>23</v>
      </c>
      <c r="I10024" s="15">
        <f t="shared" si="3"/>
        <v>15</v>
      </c>
    </row>
    <row r="10025">
      <c r="A10025" s="8" t="str">
        <f>IFERROR(__xludf.DUMMYFUNCTION("IF('(INGESTA)Datos_consumo_datadis'!A10025&lt;&gt;"""",SPLIT('(INGESTA)Datos_consumo_datadis'!A:A,"",""),"""")"),"ES0031408323131005HX0F")</f>
        <v>ES0031408323131005HX0F</v>
      </c>
      <c r="B10025" s="17">
        <f>IFERROR(__xludf.DUMMYFUNCTION("""COMPUTED_VALUE"""),45283.0)</f>
        <v>45283</v>
      </c>
      <c r="C10025" s="13">
        <f>IFERROR(__xludf.DUMMYFUNCTION("""COMPUTED_VALUE"""),0.6666666666666666)</f>
        <v>0.6666666667</v>
      </c>
      <c r="D10025" s="8">
        <f>IFERROR(__xludf.DUMMYFUNCTION("""COMPUTED_VALUE"""),0.168)</f>
        <v>0.168</v>
      </c>
      <c r="E10025" s="8" t="str">
        <f>IFERROR(__xludf.DUMMYFUNCTION("""COMPUTED_VALUE"""),"Real")</f>
        <v>Real</v>
      </c>
      <c r="G10025" s="8">
        <f t="shared" si="1"/>
        <v>12</v>
      </c>
      <c r="H10025" s="14">
        <f t="shared" si="2"/>
        <v>23</v>
      </c>
      <c r="I10025" s="15">
        <f t="shared" si="3"/>
        <v>16</v>
      </c>
    </row>
    <row r="10026">
      <c r="A10026" s="8" t="str">
        <f>IFERROR(__xludf.DUMMYFUNCTION("IF('(INGESTA)Datos_consumo_datadis'!A10026&lt;&gt;"""",SPLIT('(INGESTA)Datos_consumo_datadis'!A:A,"",""),"""")"),"ES0031408323131005HX0F")</f>
        <v>ES0031408323131005HX0F</v>
      </c>
      <c r="B10026" s="17">
        <f>IFERROR(__xludf.DUMMYFUNCTION("""COMPUTED_VALUE"""),45283.0)</f>
        <v>45283</v>
      </c>
      <c r="C10026" s="13">
        <f>IFERROR(__xludf.DUMMYFUNCTION("""COMPUTED_VALUE"""),0.7083333333333334)</f>
        <v>0.7083333333</v>
      </c>
      <c r="D10026" s="8">
        <f>IFERROR(__xludf.DUMMYFUNCTION("""COMPUTED_VALUE"""),0.117)</f>
        <v>0.117</v>
      </c>
      <c r="E10026" s="8" t="str">
        <f>IFERROR(__xludf.DUMMYFUNCTION("""COMPUTED_VALUE"""),"Real")</f>
        <v>Real</v>
      </c>
      <c r="G10026" s="8">
        <f t="shared" si="1"/>
        <v>12</v>
      </c>
      <c r="H10026" s="14">
        <f t="shared" si="2"/>
        <v>23</v>
      </c>
      <c r="I10026" s="15">
        <f t="shared" si="3"/>
        <v>17</v>
      </c>
    </row>
    <row r="10027">
      <c r="A10027" s="8" t="str">
        <f>IFERROR(__xludf.DUMMYFUNCTION("IF('(INGESTA)Datos_consumo_datadis'!A10027&lt;&gt;"""",SPLIT('(INGESTA)Datos_consumo_datadis'!A:A,"",""),"""")"),"ES0031408323131005HX0F")</f>
        <v>ES0031408323131005HX0F</v>
      </c>
      <c r="B10027" s="17">
        <f>IFERROR(__xludf.DUMMYFUNCTION("""COMPUTED_VALUE"""),45283.0)</f>
        <v>45283</v>
      </c>
      <c r="C10027" s="13">
        <f>IFERROR(__xludf.DUMMYFUNCTION("""COMPUTED_VALUE"""),0.75)</f>
        <v>0.75</v>
      </c>
      <c r="D10027" s="8">
        <f>IFERROR(__xludf.DUMMYFUNCTION("""COMPUTED_VALUE"""),0.052)</f>
        <v>0.052</v>
      </c>
      <c r="E10027" s="8" t="str">
        <f>IFERROR(__xludf.DUMMYFUNCTION("""COMPUTED_VALUE"""),"Real")</f>
        <v>Real</v>
      </c>
      <c r="G10027" s="8">
        <f t="shared" si="1"/>
        <v>12</v>
      </c>
      <c r="H10027" s="14">
        <f t="shared" si="2"/>
        <v>23</v>
      </c>
      <c r="I10027" s="15">
        <f t="shared" si="3"/>
        <v>18</v>
      </c>
    </row>
    <row r="10028">
      <c r="A10028" s="8" t="str">
        <f>IFERROR(__xludf.DUMMYFUNCTION("IF('(INGESTA)Datos_consumo_datadis'!A10028&lt;&gt;"""",SPLIT('(INGESTA)Datos_consumo_datadis'!A:A,"",""),"""")"),"ES0031408323131005HX0F")</f>
        <v>ES0031408323131005HX0F</v>
      </c>
      <c r="B10028" s="17">
        <f>IFERROR(__xludf.DUMMYFUNCTION("""COMPUTED_VALUE"""),45283.0)</f>
        <v>45283</v>
      </c>
      <c r="C10028" s="13">
        <f>IFERROR(__xludf.DUMMYFUNCTION("""COMPUTED_VALUE"""),0.7916666666666666)</f>
        <v>0.7916666667</v>
      </c>
      <c r="D10028" s="8">
        <f>IFERROR(__xludf.DUMMYFUNCTION("""COMPUTED_VALUE"""),0.395)</f>
        <v>0.395</v>
      </c>
      <c r="E10028" s="8" t="str">
        <f>IFERROR(__xludf.DUMMYFUNCTION("""COMPUTED_VALUE"""),"Real")</f>
        <v>Real</v>
      </c>
      <c r="G10028" s="8">
        <f t="shared" si="1"/>
        <v>12</v>
      </c>
      <c r="H10028" s="14">
        <f t="shared" si="2"/>
        <v>23</v>
      </c>
      <c r="I10028" s="15">
        <f t="shared" si="3"/>
        <v>19</v>
      </c>
    </row>
    <row r="10029">
      <c r="A10029" s="8" t="str">
        <f>IFERROR(__xludf.DUMMYFUNCTION("IF('(INGESTA)Datos_consumo_datadis'!A10029&lt;&gt;"""",SPLIT('(INGESTA)Datos_consumo_datadis'!A:A,"",""),"""")"),"ES0031408323131005HX0F")</f>
        <v>ES0031408323131005HX0F</v>
      </c>
      <c r="B10029" s="17">
        <f>IFERROR(__xludf.DUMMYFUNCTION("""COMPUTED_VALUE"""),45283.0)</f>
        <v>45283</v>
      </c>
      <c r="C10029" s="13">
        <f>IFERROR(__xludf.DUMMYFUNCTION("""COMPUTED_VALUE"""),0.8333333333333334)</f>
        <v>0.8333333333</v>
      </c>
      <c r="D10029" s="8">
        <f>IFERROR(__xludf.DUMMYFUNCTION("""COMPUTED_VALUE"""),0.666)</f>
        <v>0.666</v>
      </c>
      <c r="E10029" s="8" t="str">
        <f>IFERROR(__xludf.DUMMYFUNCTION("""COMPUTED_VALUE"""),"Real")</f>
        <v>Real</v>
      </c>
      <c r="G10029" s="8">
        <f t="shared" si="1"/>
        <v>12</v>
      </c>
      <c r="H10029" s="14">
        <f t="shared" si="2"/>
        <v>23</v>
      </c>
      <c r="I10029" s="15">
        <f t="shared" si="3"/>
        <v>20</v>
      </c>
    </row>
    <row r="10030">
      <c r="A10030" s="8" t="str">
        <f>IFERROR(__xludf.DUMMYFUNCTION("IF('(INGESTA)Datos_consumo_datadis'!A10030&lt;&gt;"""",SPLIT('(INGESTA)Datos_consumo_datadis'!A:A,"",""),"""")"),"ES0031408323131005HX0F")</f>
        <v>ES0031408323131005HX0F</v>
      </c>
      <c r="B10030" s="17">
        <f>IFERROR(__xludf.DUMMYFUNCTION("""COMPUTED_VALUE"""),45283.0)</f>
        <v>45283</v>
      </c>
      <c r="C10030" s="13">
        <f>IFERROR(__xludf.DUMMYFUNCTION("""COMPUTED_VALUE"""),0.875)</f>
        <v>0.875</v>
      </c>
      <c r="D10030" s="8">
        <f>IFERROR(__xludf.DUMMYFUNCTION("""COMPUTED_VALUE"""),1.539)</f>
        <v>1.539</v>
      </c>
      <c r="E10030" s="8" t="str">
        <f>IFERROR(__xludf.DUMMYFUNCTION("""COMPUTED_VALUE"""),"Real")</f>
        <v>Real</v>
      </c>
      <c r="G10030" s="8">
        <f t="shared" si="1"/>
        <v>12</v>
      </c>
      <c r="H10030" s="14">
        <f t="shared" si="2"/>
        <v>23</v>
      </c>
      <c r="I10030" s="15">
        <f t="shared" si="3"/>
        <v>21</v>
      </c>
    </row>
    <row r="10031">
      <c r="A10031" s="8" t="str">
        <f>IFERROR(__xludf.DUMMYFUNCTION("IF('(INGESTA)Datos_consumo_datadis'!A10031&lt;&gt;"""",SPLIT('(INGESTA)Datos_consumo_datadis'!A:A,"",""),"""")"),"ES0031408323131005HX0F")</f>
        <v>ES0031408323131005HX0F</v>
      </c>
      <c r="B10031" s="17">
        <f>IFERROR(__xludf.DUMMYFUNCTION("""COMPUTED_VALUE"""),45283.0)</f>
        <v>45283</v>
      </c>
      <c r="C10031" s="13">
        <f>IFERROR(__xludf.DUMMYFUNCTION("""COMPUTED_VALUE"""),0.9166666666666666)</f>
        <v>0.9166666667</v>
      </c>
      <c r="D10031" s="8">
        <f>IFERROR(__xludf.DUMMYFUNCTION("""COMPUTED_VALUE"""),0.055)</f>
        <v>0.055</v>
      </c>
      <c r="E10031" s="8" t="str">
        <f>IFERROR(__xludf.DUMMYFUNCTION("""COMPUTED_VALUE"""),"Real")</f>
        <v>Real</v>
      </c>
      <c r="G10031" s="8">
        <f t="shared" si="1"/>
        <v>12</v>
      </c>
      <c r="H10031" s="14">
        <f t="shared" si="2"/>
        <v>23</v>
      </c>
      <c r="I10031" s="15">
        <f t="shared" si="3"/>
        <v>22</v>
      </c>
    </row>
    <row r="10032">
      <c r="A10032" s="8" t="str">
        <f>IFERROR(__xludf.DUMMYFUNCTION("IF('(INGESTA)Datos_consumo_datadis'!A10032&lt;&gt;"""",SPLIT('(INGESTA)Datos_consumo_datadis'!A:A,"",""),"""")"),"ES0031408323131005HX0F")</f>
        <v>ES0031408323131005HX0F</v>
      </c>
      <c r="B10032" s="17">
        <f>IFERROR(__xludf.DUMMYFUNCTION("""COMPUTED_VALUE"""),45283.0)</f>
        <v>45283</v>
      </c>
      <c r="C10032" s="13">
        <f>IFERROR(__xludf.DUMMYFUNCTION("""COMPUTED_VALUE"""),0.9583333333333334)</f>
        <v>0.9583333333</v>
      </c>
      <c r="D10032" s="8">
        <f>IFERROR(__xludf.DUMMYFUNCTION("""COMPUTED_VALUE"""),0.107)</f>
        <v>0.107</v>
      </c>
      <c r="E10032" s="8" t="str">
        <f>IFERROR(__xludf.DUMMYFUNCTION("""COMPUTED_VALUE"""),"Real")</f>
        <v>Real</v>
      </c>
      <c r="G10032" s="8">
        <f t="shared" si="1"/>
        <v>12</v>
      </c>
      <c r="H10032" s="14">
        <f t="shared" si="2"/>
        <v>23</v>
      </c>
      <c r="I10032" s="15">
        <f t="shared" si="3"/>
        <v>23</v>
      </c>
    </row>
    <row r="10033">
      <c r="A10033" s="8" t="str">
        <f>IFERROR(__xludf.DUMMYFUNCTION("IF('(INGESTA)Datos_consumo_datadis'!A10033&lt;&gt;"""",SPLIT('(INGESTA)Datos_consumo_datadis'!A:A,"",""),"""")"),"ES0031408323131005HX0F")</f>
        <v>ES0031408323131005HX0F</v>
      </c>
      <c r="B10033" s="17">
        <f>IFERROR(__xludf.DUMMYFUNCTION("""COMPUTED_VALUE"""),45283.0)</f>
        <v>45283</v>
      </c>
      <c r="C10033" s="16">
        <f>IFERROR(__xludf.DUMMYFUNCTION("""COMPUTED_VALUE"""),1.0)</f>
        <v>1</v>
      </c>
      <c r="D10033" s="8">
        <f>IFERROR(__xludf.DUMMYFUNCTION("""COMPUTED_VALUE"""),0.03)</f>
        <v>0.03</v>
      </c>
      <c r="E10033" s="8" t="str">
        <f>IFERROR(__xludf.DUMMYFUNCTION("""COMPUTED_VALUE"""),"Real")</f>
        <v>Real</v>
      </c>
      <c r="G10033" s="8">
        <f t="shared" si="1"/>
        <v>12</v>
      </c>
      <c r="H10033" s="14">
        <f t="shared" si="2"/>
        <v>23</v>
      </c>
      <c r="I10033" s="15">
        <f t="shared" si="3"/>
        <v>0</v>
      </c>
    </row>
    <row r="10034">
      <c r="A10034" s="8" t="str">
        <f>IFERROR(__xludf.DUMMYFUNCTION("IF('(INGESTA)Datos_consumo_datadis'!A10034&lt;&gt;"""",SPLIT('(INGESTA)Datos_consumo_datadis'!A:A,"",""),"""")"),"ES0031408323131005HX0F")</f>
        <v>ES0031408323131005HX0F</v>
      </c>
      <c r="B10034" s="17">
        <f>IFERROR(__xludf.DUMMYFUNCTION("""COMPUTED_VALUE"""),45284.0)</f>
        <v>45284</v>
      </c>
      <c r="C10034" s="13">
        <f>IFERROR(__xludf.DUMMYFUNCTION("""COMPUTED_VALUE"""),0.041666666666666664)</f>
        <v>0.04166666667</v>
      </c>
      <c r="D10034" s="8">
        <f>IFERROR(__xludf.DUMMYFUNCTION("""COMPUTED_VALUE"""),0.084)</f>
        <v>0.084</v>
      </c>
      <c r="E10034" s="8" t="str">
        <f>IFERROR(__xludf.DUMMYFUNCTION("""COMPUTED_VALUE"""),"Real")</f>
        <v>Real</v>
      </c>
      <c r="G10034" s="8">
        <f t="shared" si="1"/>
        <v>12</v>
      </c>
      <c r="H10034" s="14">
        <f t="shared" si="2"/>
        <v>24</v>
      </c>
      <c r="I10034" s="15">
        <f t="shared" si="3"/>
        <v>1</v>
      </c>
    </row>
    <row r="10035">
      <c r="A10035" s="8" t="str">
        <f>IFERROR(__xludf.DUMMYFUNCTION("IF('(INGESTA)Datos_consumo_datadis'!A10035&lt;&gt;"""",SPLIT('(INGESTA)Datos_consumo_datadis'!A:A,"",""),"""")"),"ES0031408323131005HX0F")</f>
        <v>ES0031408323131005HX0F</v>
      </c>
      <c r="B10035" s="17">
        <f>IFERROR(__xludf.DUMMYFUNCTION("""COMPUTED_VALUE"""),45284.0)</f>
        <v>45284</v>
      </c>
      <c r="C10035" s="13">
        <f>IFERROR(__xludf.DUMMYFUNCTION("""COMPUTED_VALUE"""),0.08333333333333333)</f>
        <v>0.08333333333</v>
      </c>
      <c r="D10035" s="8">
        <f>IFERROR(__xludf.DUMMYFUNCTION("""COMPUTED_VALUE"""),0.379)</f>
        <v>0.379</v>
      </c>
      <c r="E10035" s="8" t="str">
        <f>IFERROR(__xludf.DUMMYFUNCTION("""COMPUTED_VALUE"""),"Real")</f>
        <v>Real</v>
      </c>
      <c r="G10035" s="8">
        <f t="shared" si="1"/>
        <v>12</v>
      </c>
      <c r="H10035" s="14">
        <f t="shared" si="2"/>
        <v>24</v>
      </c>
      <c r="I10035" s="15">
        <f t="shared" si="3"/>
        <v>2</v>
      </c>
    </row>
    <row r="10036">
      <c r="A10036" s="8" t="str">
        <f>IFERROR(__xludf.DUMMYFUNCTION("IF('(INGESTA)Datos_consumo_datadis'!A10036&lt;&gt;"""",SPLIT('(INGESTA)Datos_consumo_datadis'!A:A,"",""),"""")"),"ES0031408323131005HX0F")</f>
        <v>ES0031408323131005HX0F</v>
      </c>
      <c r="B10036" s="17">
        <f>IFERROR(__xludf.DUMMYFUNCTION("""COMPUTED_VALUE"""),45284.0)</f>
        <v>45284</v>
      </c>
      <c r="C10036" s="13">
        <f>IFERROR(__xludf.DUMMYFUNCTION("""COMPUTED_VALUE"""),0.125)</f>
        <v>0.125</v>
      </c>
      <c r="D10036" s="8">
        <f>IFERROR(__xludf.DUMMYFUNCTION("""COMPUTED_VALUE"""),0.105)</f>
        <v>0.105</v>
      </c>
      <c r="E10036" s="8" t="str">
        <f>IFERROR(__xludf.DUMMYFUNCTION("""COMPUTED_VALUE"""),"Real")</f>
        <v>Real</v>
      </c>
      <c r="G10036" s="8">
        <f t="shared" si="1"/>
        <v>12</v>
      </c>
      <c r="H10036" s="14">
        <f t="shared" si="2"/>
        <v>24</v>
      </c>
      <c r="I10036" s="15">
        <f t="shared" si="3"/>
        <v>3</v>
      </c>
    </row>
    <row r="10037">
      <c r="A10037" s="8" t="str">
        <f>IFERROR(__xludf.DUMMYFUNCTION("IF('(INGESTA)Datos_consumo_datadis'!A10037&lt;&gt;"""",SPLIT('(INGESTA)Datos_consumo_datadis'!A:A,"",""),"""")"),"ES0031408323131005HX0F")</f>
        <v>ES0031408323131005HX0F</v>
      </c>
      <c r="B10037" s="17">
        <f>IFERROR(__xludf.DUMMYFUNCTION("""COMPUTED_VALUE"""),45284.0)</f>
        <v>45284</v>
      </c>
      <c r="C10037" s="13">
        <f>IFERROR(__xludf.DUMMYFUNCTION("""COMPUTED_VALUE"""),0.16666666666666666)</f>
        <v>0.1666666667</v>
      </c>
      <c r="D10037" s="8">
        <f>IFERROR(__xludf.DUMMYFUNCTION("""COMPUTED_VALUE"""),0.071)</f>
        <v>0.071</v>
      </c>
      <c r="E10037" s="8" t="str">
        <f>IFERROR(__xludf.DUMMYFUNCTION("""COMPUTED_VALUE"""),"Real")</f>
        <v>Real</v>
      </c>
      <c r="G10037" s="8">
        <f t="shared" si="1"/>
        <v>12</v>
      </c>
      <c r="H10037" s="14">
        <f t="shared" si="2"/>
        <v>24</v>
      </c>
      <c r="I10037" s="15">
        <f t="shared" si="3"/>
        <v>4</v>
      </c>
    </row>
    <row r="10038">
      <c r="A10038" s="8" t="str">
        <f>IFERROR(__xludf.DUMMYFUNCTION("IF('(INGESTA)Datos_consumo_datadis'!A10038&lt;&gt;"""",SPLIT('(INGESTA)Datos_consumo_datadis'!A:A,"",""),"""")"),"ES0031408323131005HX0F")</f>
        <v>ES0031408323131005HX0F</v>
      </c>
      <c r="B10038" s="17">
        <f>IFERROR(__xludf.DUMMYFUNCTION("""COMPUTED_VALUE"""),45284.0)</f>
        <v>45284</v>
      </c>
      <c r="C10038" s="13">
        <f>IFERROR(__xludf.DUMMYFUNCTION("""COMPUTED_VALUE"""),0.20833333333333334)</f>
        <v>0.2083333333</v>
      </c>
      <c r="D10038" s="8">
        <f>IFERROR(__xludf.DUMMYFUNCTION("""COMPUTED_VALUE"""),0.074)</f>
        <v>0.074</v>
      </c>
      <c r="E10038" s="8" t="str">
        <f>IFERROR(__xludf.DUMMYFUNCTION("""COMPUTED_VALUE"""),"Real")</f>
        <v>Real</v>
      </c>
      <c r="G10038" s="8">
        <f t="shared" si="1"/>
        <v>12</v>
      </c>
      <c r="H10038" s="14">
        <f t="shared" si="2"/>
        <v>24</v>
      </c>
      <c r="I10038" s="15">
        <f t="shared" si="3"/>
        <v>5</v>
      </c>
    </row>
    <row r="10039">
      <c r="A10039" s="8" t="str">
        <f>IFERROR(__xludf.DUMMYFUNCTION("IF('(INGESTA)Datos_consumo_datadis'!A10039&lt;&gt;"""",SPLIT('(INGESTA)Datos_consumo_datadis'!A:A,"",""),"""")"),"ES0031408323131005HX0F")</f>
        <v>ES0031408323131005HX0F</v>
      </c>
      <c r="B10039" s="17">
        <f>IFERROR(__xludf.DUMMYFUNCTION("""COMPUTED_VALUE"""),45284.0)</f>
        <v>45284</v>
      </c>
      <c r="C10039" s="13">
        <f>IFERROR(__xludf.DUMMYFUNCTION("""COMPUTED_VALUE"""),0.25)</f>
        <v>0.25</v>
      </c>
      <c r="D10039" s="8">
        <f>IFERROR(__xludf.DUMMYFUNCTION("""COMPUTED_VALUE"""),0.117)</f>
        <v>0.117</v>
      </c>
      <c r="E10039" s="8" t="str">
        <f>IFERROR(__xludf.DUMMYFUNCTION("""COMPUTED_VALUE"""),"Real")</f>
        <v>Real</v>
      </c>
      <c r="G10039" s="8">
        <f t="shared" si="1"/>
        <v>12</v>
      </c>
      <c r="H10039" s="14">
        <f t="shared" si="2"/>
        <v>24</v>
      </c>
      <c r="I10039" s="15">
        <f t="shared" si="3"/>
        <v>6</v>
      </c>
    </row>
    <row r="10040">
      <c r="A10040" s="8" t="str">
        <f>IFERROR(__xludf.DUMMYFUNCTION("IF('(INGESTA)Datos_consumo_datadis'!A10040&lt;&gt;"""",SPLIT('(INGESTA)Datos_consumo_datadis'!A:A,"",""),"""")"),"ES0031408323131005HX0F")</f>
        <v>ES0031408323131005HX0F</v>
      </c>
      <c r="B10040" s="17">
        <f>IFERROR(__xludf.DUMMYFUNCTION("""COMPUTED_VALUE"""),45284.0)</f>
        <v>45284</v>
      </c>
      <c r="C10040" s="13">
        <f>IFERROR(__xludf.DUMMYFUNCTION("""COMPUTED_VALUE"""),0.2916666666666667)</f>
        <v>0.2916666667</v>
      </c>
      <c r="D10040" s="8">
        <f>IFERROR(__xludf.DUMMYFUNCTION("""COMPUTED_VALUE"""),0.078)</f>
        <v>0.078</v>
      </c>
      <c r="E10040" s="8" t="str">
        <f>IFERROR(__xludf.DUMMYFUNCTION("""COMPUTED_VALUE"""),"Real")</f>
        <v>Real</v>
      </c>
      <c r="G10040" s="8">
        <f t="shared" si="1"/>
        <v>12</v>
      </c>
      <c r="H10040" s="14">
        <f t="shared" si="2"/>
        <v>24</v>
      </c>
      <c r="I10040" s="15">
        <f t="shared" si="3"/>
        <v>7</v>
      </c>
    </row>
    <row r="10041">
      <c r="A10041" s="8" t="str">
        <f>IFERROR(__xludf.DUMMYFUNCTION("IF('(INGESTA)Datos_consumo_datadis'!A10041&lt;&gt;"""",SPLIT('(INGESTA)Datos_consumo_datadis'!A:A,"",""),"""")"),"ES0031408323131005HX0F")</f>
        <v>ES0031408323131005HX0F</v>
      </c>
      <c r="B10041" s="17">
        <f>IFERROR(__xludf.DUMMYFUNCTION("""COMPUTED_VALUE"""),45284.0)</f>
        <v>45284</v>
      </c>
      <c r="C10041" s="13">
        <f>IFERROR(__xludf.DUMMYFUNCTION("""COMPUTED_VALUE"""),0.3333333333333333)</f>
        <v>0.3333333333</v>
      </c>
      <c r="D10041" s="8">
        <f>IFERROR(__xludf.DUMMYFUNCTION("""COMPUTED_VALUE"""),0.322)</f>
        <v>0.322</v>
      </c>
      <c r="E10041" s="8" t="str">
        <f>IFERROR(__xludf.DUMMYFUNCTION("""COMPUTED_VALUE"""),"Real")</f>
        <v>Real</v>
      </c>
      <c r="G10041" s="8">
        <f t="shared" si="1"/>
        <v>12</v>
      </c>
      <c r="H10041" s="14">
        <f t="shared" si="2"/>
        <v>24</v>
      </c>
      <c r="I10041" s="15">
        <f t="shared" si="3"/>
        <v>8</v>
      </c>
    </row>
    <row r="10042">
      <c r="A10042" s="8" t="str">
        <f>IFERROR(__xludf.DUMMYFUNCTION("IF('(INGESTA)Datos_consumo_datadis'!A10042&lt;&gt;"""",SPLIT('(INGESTA)Datos_consumo_datadis'!A:A,"",""),"""")"),"ES0031408323131005HX0F")</f>
        <v>ES0031408323131005HX0F</v>
      </c>
      <c r="B10042" s="17">
        <f>IFERROR(__xludf.DUMMYFUNCTION("""COMPUTED_VALUE"""),45284.0)</f>
        <v>45284</v>
      </c>
      <c r="C10042" s="13">
        <f>IFERROR(__xludf.DUMMYFUNCTION("""COMPUTED_VALUE"""),0.375)</f>
        <v>0.375</v>
      </c>
      <c r="D10042" s="8">
        <f>IFERROR(__xludf.DUMMYFUNCTION("""COMPUTED_VALUE"""),0.067)</f>
        <v>0.067</v>
      </c>
      <c r="E10042" s="8" t="str">
        <f>IFERROR(__xludf.DUMMYFUNCTION("""COMPUTED_VALUE"""),"Real")</f>
        <v>Real</v>
      </c>
      <c r="G10042" s="8">
        <f t="shared" si="1"/>
        <v>12</v>
      </c>
      <c r="H10042" s="14">
        <f t="shared" si="2"/>
        <v>24</v>
      </c>
      <c r="I10042" s="15">
        <f t="shared" si="3"/>
        <v>9</v>
      </c>
    </row>
    <row r="10043">
      <c r="A10043" s="8" t="str">
        <f>IFERROR(__xludf.DUMMYFUNCTION("IF('(INGESTA)Datos_consumo_datadis'!A10043&lt;&gt;"""",SPLIT('(INGESTA)Datos_consumo_datadis'!A:A,"",""),"""")"),"ES0031408323131005HX0F")</f>
        <v>ES0031408323131005HX0F</v>
      </c>
      <c r="B10043" s="17">
        <f>IFERROR(__xludf.DUMMYFUNCTION("""COMPUTED_VALUE"""),45284.0)</f>
        <v>45284</v>
      </c>
      <c r="C10043" s="13">
        <f>IFERROR(__xludf.DUMMYFUNCTION("""COMPUTED_VALUE"""),0.4166666666666667)</f>
        <v>0.4166666667</v>
      </c>
      <c r="D10043" s="8">
        <f>IFERROR(__xludf.DUMMYFUNCTION("""COMPUTED_VALUE"""),0.098)</f>
        <v>0.098</v>
      </c>
      <c r="E10043" s="8" t="str">
        <f>IFERROR(__xludf.DUMMYFUNCTION("""COMPUTED_VALUE"""),"Real")</f>
        <v>Real</v>
      </c>
      <c r="G10043" s="8">
        <f t="shared" si="1"/>
        <v>12</v>
      </c>
      <c r="H10043" s="14">
        <f t="shared" si="2"/>
        <v>24</v>
      </c>
      <c r="I10043" s="15">
        <f t="shared" si="3"/>
        <v>10</v>
      </c>
    </row>
    <row r="10044">
      <c r="A10044" s="8" t="str">
        <f>IFERROR(__xludf.DUMMYFUNCTION("IF('(INGESTA)Datos_consumo_datadis'!A10044&lt;&gt;"""",SPLIT('(INGESTA)Datos_consumo_datadis'!A:A,"",""),"""")"),"ES0031408323131005HX0F")</f>
        <v>ES0031408323131005HX0F</v>
      </c>
      <c r="B10044" s="17">
        <f>IFERROR(__xludf.DUMMYFUNCTION("""COMPUTED_VALUE"""),45284.0)</f>
        <v>45284</v>
      </c>
      <c r="C10044" s="13">
        <f>IFERROR(__xludf.DUMMYFUNCTION("""COMPUTED_VALUE"""),0.4583333333333333)</f>
        <v>0.4583333333</v>
      </c>
      <c r="D10044" s="8">
        <f>IFERROR(__xludf.DUMMYFUNCTION("""COMPUTED_VALUE"""),0.082)</f>
        <v>0.082</v>
      </c>
      <c r="E10044" s="8" t="str">
        <f>IFERROR(__xludf.DUMMYFUNCTION("""COMPUTED_VALUE"""),"Real")</f>
        <v>Real</v>
      </c>
      <c r="G10044" s="8">
        <f t="shared" si="1"/>
        <v>12</v>
      </c>
      <c r="H10044" s="14">
        <f t="shared" si="2"/>
        <v>24</v>
      </c>
      <c r="I10044" s="15">
        <f t="shared" si="3"/>
        <v>11</v>
      </c>
    </row>
    <row r="10045">
      <c r="A10045" s="8" t="str">
        <f>IFERROR(__xludf.DUMMYFUNCTION("IF('(INGESTA)Datos_consumo_datadis'!A10045&lt;&gt;"""",SPLIT('(INGESTA)Datos_consumo_datadis'!A:A,"",""),"""")"),"ES0031408323131005HX0F")</f>
        <v>ES0031408323131005HX0F</v>
      </c>
      <c r="B10045" s="17">
        <f>IFERROR(__xludf.DUMMYFUNCTION("""COMPUTED_VALUE"""),45284.0)</f>
        <v>45284</v>
      </c>
      <c r="C10045" s="13">
        <f>IFERROR(__xludf.DUMMYFUNCTION("""COMPUTED_VALUE"""),0.5)</f>
        <v>0.5</v>
      </c>
      <c r="D10045" s="8">
        <f>IFERROR(__xludf.DUMMYFUNCTION("""COMPUTED_VALUE"""),0.053)</f>
        <v>0.053</v>
      </c>
      <c r="E10045" s="8" t="str">
        <f>IFERROR(__xludf.DUMMYFUNCTION("""COMPUTED_VALUE"""),"Real")</f>
        <v>Real</v>
      </c>
      <c r="G10045" s="8">
        <f t="shared" si="1"/>
        <v>12</v>
      </c>
      <c r="H10045" s="14">
        <f t="shared" si="2"/>
        <v>24</v>
      </c>
      <c r="I10045" s="15">
        <f t="shared" si="3"/>
        <v>12</v>
      </c>
    </row>
    <row r="10046">
      <c r="A10046" s="8" t="str">
        <f>IFERROR(__xludf.DUMMYFUNCTION("IF('(INGESTA)Datos_consumo_datadis'!A10046&lt;&gt;"""",SPLIT('(INGESTA)Datos_consumo_datadis'!A:A,"",""),"""")"),"ES0031408323131005HX0F")</f>
        <v>ES0031408323131005HX0F</v>
      </c>
      <c r="B10046" s="17">
        <f>IFERROR(__xludf.DUMMYFUNCTION("""COMPUTED_VALUE"""),45284.0)</f>
        <v>45284</v>
      </c>
      <c r="C10046" s="13">
        <f>IFERROR(__xludf.DUMMYFUNCTION("""COMPUTED_VALUE"""),0.5416666666666666)</f>
        <v>0.5416666667</v>
      </c>
      <c r="D10046" s="8">
        <f>IFERROR(__xludf.DUMMYFUNCTION("""COMPUTED_VALUE"""),0.034)</f>
        <v>0.034</v>
      </c>
      <c r="E10046" s="8" t="str">
        <f>IFERROR(__xludf.DUMMYFUNCTION("""COMPUTED_VALUE"""),"Real")</f>
        <v>Real</v>
      </c>
      <c r="G10046" s="8">
        <f t="shared" si="1"/>
        <v>12</v>
      </c>
      <c r="H10046" s="14">
        <f t="shared" si="2"/>
        <v>24</v>
      </c>
      <c r="I10046" s="15">
        <f t="shared" si="3"/>
        <v>13</v>
      </c>
    </row>
    <row r="10047">
      <c r="A10047" s="8" t="str">
        <f>IFERROR(__xludf.DUMMYFUNCTION("IF('(INGESTA)Datos_consumo_datadis'!A10047&lt;&gt;"""",SPLIT('(INGESTA)Datos_consumo_datadis'!A:A,"",""),"""")"),"ES0031408323131005HX0F")</f>
        <v>ES0031408323131005HX0F</v>
      </c>
      <c r="B10047" s="17">
        <f>IFERROR(__xludf.DUMMYFUNCTION("""COMPUTED_VALUE"""),45284.0)</f>
        <v>45284</v>
      </c>
      <c r="C10047" s="13">
        <f>IFERROR(__xludf.DUMMYFUNCTION("""COMPUTED_VALUE"""),0.5833333333333334)</f>
        <v>0.5833333333</v>
      </c>
      <c r="D10047" s="8">
        <f>IFERROR(__xludf.DUMMYFUNCTION("""COMPUTED_VALUE"""),0.391)</f>
        <v>0.391</v>
      </c>
      <c r="E10047" s="8" t="str">
        <f>IFERROR(__xludf.DUMMYFUNCTION("""COMPUTED_VALUE"""),"Real")</f>
        <v>Real</v>
      </c>
      <c r="G10047" s="8">
        <f t="shared" si="1"/>
        <v>12</v>
      </c>
      <c r="H10047" s="14">
        <f t="shared" si="2"/>
        <v>24</v>
      </c>
      <c r="I10047" s="15">
        <f t="shared" si="3"/>
        <v>14</v>
      </c>
    </row>
    <row r="10048">
      <c r="A10048" s="8" t="str">
        <f>IFERROR(__xludf.DUMMYFUNCTION("IF('(INGESTA)Datos_consumo_datadis'!A10048&lt;&gt;"""",SPLIT('(INGESTA)Datos_consumo_datadis'!A:A,"",""),"""")"),"ES0031408323131005HX0F")</f>
        <v>ES0031408323131005HX0F</v>
      </c>
      <c r="B10048" s="17">
        <f>IFERROR(__xludf.DUMMYFUNCTION("""COMPUTED_VALUE"""),45284.0)</f>
        <v>45284</v>
      </c>
      <c r="C10048" s="13">
        <f>IFERROR(__xludf.DUMMYFUNCTION("""COMPUTED_VALUE"""),0.625)</f>
        <v>0.625</v>
      </c>
      <c r="D10048" s="8">
        <f>IFERROR(__xludf.DUMMYFUNCTION("""COMPUTED_VALUE"""),0.059)</f>
        <v>0.059</v>
      </c>
      <c r="E10048" s="8" t="str">
        <f>IFERROR(__xludf.DUMMYFUNCTION("""COMPUTED_VALUE"""),"Real")</f>
        <v>Real</v>
      </c>
      <c r="G10048" s="8">
        <f t="shared" si="1"/>
        <v>12</v>
      </c>
      <c r="H10048" s="14">
        <f t="shared" si="2"/>
        <v>24</v>
      </c>
      <c r="I10048" s="15">
        <f t="shared" si="3"/>
        <v>15</v>
      </c>
    </row>
    <row r="10049">
      <c r="A10049" s="8" t="str">
        <f>IFERROR(__xludf.DUMMYFUNCTION("IF('(INGESTA)Datos_consumo_datadis'!A10049&lt;&gt;"""",SPLIT('(INGESTA)Datos_consumo_datadis'!A:A,"",""),"""")"),"ES0031408323131005HX0F")</f>
        <v>ES0031408323131005HX0F</v>
      </c>
      <c r="B10049" s="17">
        <f>IFERROR(__xludf.DUMMYFUNCTION("""COMPUTED_VALUE"""),45284.0)</f>
        <v>45284</v>
      </c>
      <c r="C10049" s="13">
        <f>IFERROR(__xludf.DUMMYFUNCTION("""COMPUTED_VALUE"""),0.6666666666666666)</f>
        <v>0.6666666667</v>
      </c>
      <c r="D10049" s="8">
        <f>IFERROR(__xludf.DUMMYFUNCTION("""COMPUTED_VALUE"""),0.082)</f>
        <v>0.082</v>
      </c>
      <c r="E10049" s="8" t="str">
        <f>IFERROR(__xludf.DUMMYFUNCTION("""COMPUTED_VALUE"""),"Real")</f>
        <v>Real</v>
      </c>
      <c r="G10049" s="8">
        <f t="shared" si="1"/>
        <v>12</v>
      </c>
      <c r="H10049" s="14">
        <f t="shared" si="2"/>
        <v>24</v>
      </c>
      <c r="I10049" s="15">
        <f t="shared" si="3"/>
        <v>16</v>
      </c>
    </row>
    <row r="10050">
      <c r="A10050" s="8" t="str">
        <f>IFERROR(__xludf.DUMMYFUNCTION("IF('(INGESTA)Datos_consumo_datadis'!A10050&lt;&gt;"""",SPLIT('(INGESTA)Datos_consumo_datadis'!A:A,"",""),"""")"),"ES0031408323131005HX0F")</f>
        <v>ES0031408323131005HX0F</v>
      </c>
      <c r="B10050" s="17">
        <f>IFERROR(__xludf.DUMMYFUNCTION("""COMPUTED_VALUE"""),45284.0)</f>
        <v>45284</v>
      </c>
      <c r="C10050" s="13">
        <f>IFERROR(__xludf.DUMMYFUNCTION("""COMPUTED_VALUE"""),0.7083333333333334)</f>
        <v>0.7083333333</v>
      </c>
      <c r="D10050" s="8">
        <f>IFERROR(__xludf.DUMMYFUNCTION("""COMPUTED_VALUE"""),0.027)</f>
        <v>0.027</v>
      </c>
      <c r="E10050" s="8" t="str">
        <f>IFERROR(__xludf.DUMMYFUNCTION("""COMPUTED_VALUE"""),"Real")</f>
        <v>Real</v>
      </c>
      <c r="G10050" s="8">
        <f t="shared" si="1"/>
        <v>12</v>
      </c>
      <c r="H10050" s="14">
        <f t="shared" si="2"/>
        <v>24</v>
      </c>
      <c r="I10050" s="15">
        <f t="shared" si="3"/>
        <v>17</v>
      </c>
    </row>
    <row r="10051">
      <c r="A10051" s="8" t="str">
        <f>IFERROR(__xludf.DUMMYFUNCTION("IF('(INGESTA)Datos_consumo_datadis'!A10051&lt;&gt;"""",SPLIT('(INGESTA)Datos_consumo_datadis'!A:A,"",""),"""")"),"ES0031408323131005HX0F")</f>
        <v>ES0031408323131005HX0F</v>
      </c>
      <c r="B10051" s="17">
        <f>IFERROR(__xludf.DUMMYFUNCTION("""COMPUTED_VALUE"""),45284.0)</f>
        <v>45284</v>
      </c>
      <c r="C10051" s="13">
        <f>IFERROR(__xludf.DUMMYFUNCTION("""COMPUTED_VALUE"""),0.75)</f>
        <v>0.75</v>
      </c>
      <c r="D10051" s="8">
        <f>IFERROR(__xludf.DUMMYFUNCTION("""COMPUTED_VALUE"""),0.093)</f>
        <v>0.093</v>
      </c>
      <c r="E10051" s="8" t="str">
        <f>IFERROR(__xludf.DUMMYFUNCTION("""COMPUTED_VALUE"""),"Real")</f>
        <v>Real</v>
      </c>
      <c r="G10051" s="8">
        <f t="shared" si="1"/>
        <v>12</v>
      </c>
      <c r="H10051" s="14">
        <f t="shared" si="2"/>
        <v>24</v>
      </c>
      <c r="I10051" s="15">
        <f t="shared" si="3"/>
        <v>18</v>
      </c>
    </row>
    <row r="10052">
      <c r="A10052" s="8" t="str">
        <f>IFERROR(__xludf.DUMMYFUNCTION("IF('(INGESTA)Datos_consumo_datadis'!A10052&lt;&gt;"""",SPLIT('(INGESTA)Datos_consumo_datadis'!A:A,"",""),"""")"),"ES0031408323131005HX0F")</f>
        <v>ES0031408323131005HX0F</v>
      </c>
      <c r="B10052" s="17">
        <f>IFERROR(__xludf.DUMMYFUNCTION("""COMPUTED_VALUE"""),45284.0)</f>
        <v>45284</v>
      </c>
      <c r="C10052" s="13">
        <f>IFERROR(__xludf.DUMMYFUNCTION("""COMPUTED_VALUE"""),0.7916666666666666)</f>
        <v>0.7916666667</v>
      </c>
      <c r="D10052" s="8">
        <f>IFERROR(__xludf.DUMMYFUNCTION("""COMPUTED_VALUE"""),0.729)</f>
        <v>0.729</v>
      </c>
      <c r="E10052" s="8" t="str">
        <f>IFERROR(__xludf.DUMMYFUNCTION("""COMPUTED_VALUE"""),"Real")</f>
        <v>Real</v>
      </c>
      <c r="G10052" s="8">
        <f t="shared" si="1"/>
        <v>12</v>
      </c>
      <c r="H10052" s="14">
        <f t="shared" si="2"/>
        <v>24</v>
      </c>
      <c r="I10052" s="15">
        <f t="shared" si="3"/>
        <v>19</v>
      </c>
    </row>
    <row r="10053">
      <c r="A10053" s="8" t="str">
        <f>IFERROR(__xludf.DUMMYFUNCTION("IF('(INGESTA)Datos_consumo_datadis'!A10053&lt;&gt;"""",SPLIT('(INGESTA)Datos_consumo_datadis'!A:A,"",""),"""")"),"ES0031408323131005HX0F")</f>
        <v>ES0031408323131005HX0F</v>
      </c>
      <c r="B10053" s="17">
        <f>IFERROR(__xludf.DUMMYFUNCTION("""COMPUTED_VALUE"""),45284.0)</f>
        <v>45284</v>
      </c>
      <c r="C10053" s="13">
        <f>IFERROR(__xludf.DUMMYFUNCTION("""COMPUTED_VALUE"""),0.8333333333333334)</f>
        <v>0.8333333333</v>
      </c>
      <c r="D10053" s="8">
        <f>IFERROR(__xludf.DUMMYFUNCTION("""COMPUTED_VALUE"""),0.219)</f>
        <v>0.219</v>
      </c>
      <c r="E10053" s="8" t="str">
        <f>IFERROR(__xludf.DUMMYFUNCTION("""COMPUTED_VALUE"""),"Real")</f>
        <v>Real</v>
      </c>
      <c r="G10053" s="8">
        <f t="shared" si="1"/>
        <v>12</v>
      </c>
      <c r="H10053" s="14">
        <f t="shared" si="2"/>
        <v>24</v>
      </c>
      <c r="I10053" s="15">
        <f t="shared" si="3"/>
        <v>20</v>
      </c>
    </row>
    <row r="10054">
      <c r="A10054" s="8" t="str">
        <f>IFERROR(__xludf.DUMMYFUNCTION("IF('(INGESTA)Datos_consumo_datadis'!A10054&lt;&gt;"""",SPLIT('(INGESTA)Datos_consumo_datadis'!A:A,"",""),"""")"),"ES0031408323131005HX0F")</f>
        <v>ES0031408323131005HX0F</v>
      </c>
      <c r="B10054" s="17">
        <f>IFERROR(__xludf.DUMMYFUNCTION("""COMPUTED_VALUE"""),45284.0)</f>
        <v>45284</v>
      </c>
      <c r="C10054" s="13">
        <f>IFERROR(__xludf.DUMMYFUNCTION("""COMPUTED_VALUE"""),0.875)</f>
        <v>0.875</v>
      </c>
      <c r="D10054" s="8">
        <f>IFERROR(__xludf.DUMMYFUNCTION("""COMPUTED_VALUE"""),0.432)</f>
        <v>0.432</v>
      </c>
      <c r="E10054" s="8" t="str">
        <f>IFERROR(__xludf.DUMMYFUNCTION("""COMPUTED_VALUE"""),"Real")</f>
        <v>Real</v>
      </c>
      <c r="G10054" s="8">
        <f t="shared" si="1"/>
        <v>12</v>
      </c>
      <c r="H10054" s="14">
        <f t="shared" si="2"/>
        <v>24</v>
      </c>
      <c r="I10054" s="15">
        <f t="shared" si="3"/>
        <v>21</v>
      </c>
    </row>
    <row r="10055">
      <c r="A10055" s="8" t="str">
        <f>IFERROR(__xludf.DUMMYFUNCTION("IF('(INGESTA)Datos_consumo_datadis'!A10055&lt;&gt;"""",SPLIT('(INGESTA)Datos_consumo_datadis'!A:A,"",""),"""")"),"ES0031408323131005HX0F")</f>
        <v>ES0031408323131005HX0F</v>
      </c>
      <c r="B10055" s="17">
        <f>IFERROR(__xludf.DUMMYFUNCTION("""COMPUTED_VALUE"""),45284.0)</f>
        <v>45284</v>
      </c>
      <c r="C10055" s="13">
        <f>IFERROR(__xludf.DUMMYFUNCTION("""COMPUTED_VALUE"""),0.9166666666666666)</f>
        <v>0.9166666667</v>
      </c>
      <c r="D10055" s="8">
        <f>IFERROR(__xludf.DUMMYFUNCTION("""COMPUTED_VALUE"""),0.096)</f>
        <v>0.096</v>
      </c>
      <c r="E10055" s="8" t="str">
        <f>IFERROR(__xludf.DUMMYFUNCTION("""COMPUTED_VALUE"""),"Real")</f>
        <v>Real</v>
      </c>
      <c r="G10055" s="8">
        <f t="shared" si="1"/>
        <v>12</v>
      </c>
      <c r="H10055" s="14">
        <f t="shared" si="2"/>
        <v>24</v>
      </c>
      <c r="I10055" s="15">
        <f t="shared" si="3"/>
        <v>22</v>
      </c>
    </row>
    <row r="10056">
      <c r="A10056" s="8" t="str">
        <f>IFERROR(__xludf.DUMMYFUNCTION("IF('(INGESTA)Datos_consumo_datadis'!A10056&lt;&gt;"""",SPLIT('(INGESTA)Datos_consumo_datadis'!A:A,"",""),"""")"),"ES0031408323131005HX0F")</f>
        <v>ES0031408323131005HX0F</v>
      </c>
      <c r="B10056" s="17">
        <f>IFERROR(__xludf.DUMMYFUNCTION("""COMPUTED_VALUE"""),45284.0)</f>
        <v>45284</v>
      </c>
      <c r="C10056" s="13">
        <f>IFERROR(__xludf.DUMMYFUNCTION("""COMPUTED_VALUE"""),0.9583333333333334)</f>
        <v>0.9583333333</v>
      </c>
      <c r="D10056" s="8">
        <f>IFERROR(__xludf.DUMMYFUNCTION("""COMPUTED_VALUE"""),0.066)</f>
        <v>0.066</v>
      </c>
      <c r="E10056" s="8" t="str">
        <f>IFERROR(__xludf.DUMMYFUNCTION("""COMPUTED_VALUE"""),"Real")</f>
        <v>Real</v>
      </c>
      <c r="G10056" s="8">
        <f t="shared" si="1"/>
        <v>12</v>
      </c>
      <c r="H10056" s="14">
        <f t="shared" si="2"/>
        <v>24</v>
      </c>
      <c r="I10056" s="15">
        <f t="shared" si="3"/>
        <v>23</v>
      </c>
    </row>
    <row r="10057">
      <c r="A10057" s="8" t="str">
        <f>IFERROR(__xludf.DUMMYFUNCTION("IF('(INGESTA)Datos_consumo_datadis'!A10057&lt;&gt;"""",SPLIT('(INGESTA)Datos_consumo_datadis'!A:A,"",""),"""")"),"ES0031408323131005HX0F")</f>
        <v>ES0031408323131005HX0F</v>
      </c>
      <c r="B10057" s="17">
        <f>IFERROR(__xludf.DUMMYFUNCTION("""COMPUTED_VALUE"""),45284.0)</f>
        <v>45284</v>
      </c>
      <c r="C10057" s="16">
        <f>IFERROR(__xludf.DUMMYFUNCTION("""COMPUTED_VALUE"""),1.0)</f>
        <v>1</v>
      </c>
      <c r="D10057" s="8">
        <f>IFERROR(__xludf.DUMMYFUNCTION("""COMPUTED_VALUE"""),0.111)</f>
        <v>0.111</v>
      </c>
      <c r="E10057" s="8" t="str">
        <f>IFERROR(__xludf.DUMMYFUNCTION("""COMPUTED_VALUE"""),"Real")</f>
        <v>Real</v>
      </c>
      <c r="G10057" s="8">
        <f t="shared" si="1"/>
        <v>12</v>
      </c>
      <c r="H10057" s="14">
        <f t="shared" si="2"/>
        <v>24</v>
      </c>
      <c r="I10057" s="15">
        <f t="shared" si="3"/>
        <v>0</v>
      </c>
    </row>
    <row r="10058">
      <c r="A10058" s="8" t="str">
        <f>IFERROR(__xludf.DUMMYFUNCTION("IF('(INGESTA)Datos_consumo_datadis'!A10058&lt;&gt;"""",SPLIT('(INGESTA)Datos_consumo_datadis'!A:A,"",""),"""")"),"ES0031408323131005HX0F")</f>
        <v>ES0031408323131005HX0F</v>
      </c>
      <c r="B10058" s="17">
        <f>IFERROR(__xludf.DUMMYFUNCTION("""COMPUTED_VALUE"""),45285.0)</f>
        <v>45285</v>
      </c>
      <c r="C10058" s="13">
        <f>IFERROR(__xludf.DUMMYFUNCTION("""COMPUTED_VALUE"""),0.041666666666666664)</f>
        <v>0.04166666667</v>
      </c>
      <c r="D10058" s="8">
        <f>IFERROR(__xludf.DUMMYFUNCTION("""COMPUTED_VALUE"""),0.311)</f>
        <v>0.311</v>
      </c>
      <c r="E10058" s="8" t="str">
        <f>IFERROR(__xludf.DUMMYFUNCTION("""COMPUTED_VALUE"""),"Real")</f>
        <v>Real</v>
      </c>
      <c r="G10058" s="8">
        <f t="shared" si="1"/>
        <v>12</v>
      </c>
      <c r="H10058" s="14">
        <f t="shared" si="2"/>
        <v>25</v>
      </c>
      <c r="I10058" s="15">
        <f t="shared" si="3"/>
        <v>1</v>
      </c>
    </row>
    <row r="10059">
      <c r="A10059" s="8" t="str">
        <f>IFERROR(__xludf.DUMMYFUNCTION("IF('(INGESTA)Datos_consumo_datadis'!A10059&lt;&gt;"""",SPLIT('(INGESTA)Datos_consumo_datadis'!A:A,"",""),"""")"),"ES0031408323131005HX0F")</f>
        <v>ES0031408323131005HX0F</v>
      </c>
      <c r="B10059" s="17">
        <f>IFERROR(__xludf.DUMMYFUNCTION("""COMPUTED_VALUE"""),45285.0)</f>
        <v>45285</v>
      </c>
      <c r="C10059" s="13">
        <f>IFERROR(__xludf.DUMMYFUNCTION("""COMPUTED_VALUE"""),0.08333333333333333)</f>
        <v>0.08333333333</v>
      </c>
      <c r="D10059" s="8">
        <f>IFERROR(__xludf.DUMMYFUNCTION("""COMPUTED_VALUE"""),0.043)</f>
        <v>0.043</v>
      </c>
      <c r="E10059" s="8" t="str">
        <f>IFERROR(__xludf.DUMMYFUNCTION("""COMPUTED_VALUE"""),"Real")</f>
        <v>Real</v>
      </c>
      <c r="G10059" s="8">
        <f t="shared" si="1"/>
        <v>12</v>
      </c>
      <c r="H10059" s="14">
        <f t="shared" si="2"/>
        <v>25</v>
      </c>
      <c r="I10059" s="15">
        <f t="shared" si="3"/>
        <v>2</v>
      </c>
    </row>
    <row r="10060">
      <c r="A10060" s="8" t="str">
        <f>IFERROR(__xludf.DUMMYFUNCTION("IF('(INGESTA)Datos_consumo_datadis'!A10060&lt;&gt;"""",SPLIT('(INGESTA)Datos_consumo_datadis'!A:A,"",""),"""")"),"ES0031408323131005HX0F")</f>
        <v>ES0031408323131005HX0F</v>
      </c>
      <c r="B10060" s="17">
        <f>IFERROR(__xludf.DUMMYFUNCTION("""COMPUTED_VALUE"""),45285.0)</f>
        <v>45285</v>
      </c>
      <c r="C10060" s="13">
        <f>IFERROR(__xludf.DUMMYFUNCTION("""COMPUTED_VALUE"""),0.125)</f>
        <v>0.125</v>
      </c>
      <c r="D10060" s="8">
        <f>IFERROR(__xludf.DUMMYFUNCTION("""COMPUTED_VALUE"""),0.129)</f>
        <v>0.129</v>
      </c>
      <c r="E10060" s="8" t="str">
        <f>IFERROR(__xludf.DUMMYFUNCTION("""COMPUTED_VALUE"""),"Real")</f>
        <v>Real</v>
      </c>
      <c r="G10060" s="8">
        <f t="shared" si="1"/>
        <v>12</v>
      </c>
      <c r="H10060" s="14">
        <f t="shared" si="2"/>
        <v>25</v>
      </c>
      <c r="I10060" s="15">
        <f t="shared" si="3"/>
        <v>3</v>
      </c>
    </row>
    <row r="10061">
      <c r="A10061" s="8" t="str">
        <f>IFERROR(__xludf.DUMMYFUNCTION("IF('(INGESTA)Datos_consumo_datadis'!A10061&lt;&gt;"""",SPLIT('(INGESTA)Datos_consumo_datadis'!A:A,"",""),"""")"),"ES0031408323131005HX0F")</f>
        <v>ES0031408323131005HX0F</v>
      </c>
      <c r="B10061" s="17">
        <f>IFERROR(__xludf.DUMMYFUNCTION("""COMPUTED_VALUE"""),45285.0)</f>
        <v>45285</v>
      </c>
      <c r="C10061" s="13">
        <f>IFERROR(__xludf.DUMMYFUNCTION("""COMPUTED_VALUE"""),0.16666666666666666)</f>
        <v>0.1666666667</v>
      </c>
      <c r="D10061" s="8">
        <f>IFERROR(__xludf.DUMMYFUNCTION("""COMPUTED_VALUE"""),0.071)</f>
        <v>0.071</v>
      </c>
      <c r="E10061" s="8" t="str">
        <f>IFERROR(__xludf.DUMMYFUNCTION("""COMPUTED_VALUE"""),"Real")</f>
        <v>Real</v>
      </c>
      <c r="G10061" s="8">
        <f t="shared" si="1"/>
        <v>12</v>
      </c>
      <c r="H10061" s="14">
        <f t="shared" si="2"/>
        <v>25</v>
      </c>
      <c r="I10061" s="15">
        <f t="shared" si="3"/>
        <v>4</v>
      </c>
    </row>
    <row r="10062">
      <c r="A10062" s="8" t="str">
        <f>IFERROR(__xludf.DUMMYFUNCTION("IF('(INGESTA)Datos_consumo_datadis'!A10062&lt;&gt;"""",SPLIT('(INGESTA)Datos_consumo_datadis'!A:A,"",""),"""")"),"ES0031408323131005HX0F")</f>
        <v>ES0031408323131005HX0F</v>
      </c>
      <c r="B10062" s="17">
        <f>IFERROR(__xludf.DUMMYFUNCTION("""COMPUTED_VALUE"""),45285.0)</f>
        <v>45285</v>
      </c>
      <c r="C10062" s="13">
        <f>IFERROR(__xludf.DUMMYFUNCTION("""COMPUTED_VALUE"""),0.20833333333333334)</f>
        <v>0.2083333333</v>
      </c>
      <c r="D10062" s="8">
        <f>IFERROR(__xludf.DUMMYFUNCTION("""COMPUTED_VALUE"""),0.086)</f>
        <v>0.086</v>
      </c>
      <c r="E10062" s="8" t="str">
        <f>IFERROR(__xludf.DUMMYFUNCTION("""COMPUTED_VALUE"""),"Real")</f>
        <v>Real</v>
      </c>
      <c r="G10062" s="8">
        <f t="shared" si="1"/>
        <v>12</v>
      </c>
      <c r="H10062" s="14">
        <f t="shared" si="2"/>
        <v>25</v>
      </c>
      <c r="I10062" s="15">
        <f t="shared" si="3"/>
        <v>5</v>
      </c>
    </row>
    <row r="10063">
      <c r="A10063" s="8" t="str">
        <f>IFERROR(__xludf.DUMMYFUNCTION("IF('(INGESTA)Datos_consumo_datadis'!A10063&lt;&gt;"""",SPLIT('(INGESTA)Datos_consumo_datadis'!A:A,"",""),"""")"),"ES0031408323131005HX0F")</f>
        <v>ES0031408323131005HX0F</v>
      </c>
      <c r="B10063" s="17">
        <f>IFERROR(__xludf.DUMMYFUNCTION("""COMPUTED_VALUE"""),45285.0)</f>
        <v>45285</v>
      </c>
      <c r="C10063" s="13">
        <f>IFERROR(__xludf.DUMMYFUNCTION("""COMPUTED_VALUE"""),0.25)</f>
        <v>0.25</v>
      </c>
      <c r="D10063" s="8">
        <f>IFERROR(__xludf.DUMMYFUNCTION("""COMPUTED_VALUE"""),0.318)</f>
        <v>0.318</v>
      </c>
      <c r="E10063" s="8" t="str">
        <f>IFERROR(__xludf.DUMMYFUNCTION("""COMPUTED_VALUE"""),"Real")</f>
        <v>Real</v>
      </c>
      <c r="G10063" s="8">
        <f t="shared" si="1"/>
        <v>12</v>
      </c>
      <c r="H10063" s="14">
        <f t="shared" si="2"/>
        <v>25</v>
      </c>
      <c r="I10063" s="15">
        <f t="shared" si="3"/>
        <v>6</v>
      </c>
    </row>
    <row r="10064">
      <c r="A10064" s="8" t="str">
        <f>IFERROR(__xludf.DUMMYFUNCTION("IF('(INGESTA)Datos_consumo_datadis'!A10064&lt;&gt;"""",SPLIT('(INGESTA)Datos_consumo_datadis'!A:A,"",""),"""")"),"ES0031408323131005HX0F")</f>
        <v>ES0031408323131005HX0F</v>
      </c>
      <c r="B10064" s="17">
        <f>IFERROR(__xludf.DUMMYFUNCTION("""COMPUTED_VALUE"""),45285.0)</f>
        <v>45285</v>
      </c>
      <c r="C10064" s="13">
        <f>IFERROR(__xludf.DUMMYFUNCTION("""COMPUTED_VALUE"""),0.2916666666666667)</f>
        <v>0.2916666667</v>
      </c>
      <c r="D10064" s="8">
        <f>IFERROR(__xludf.DUMMYFUNCTION("""COMPUTED_VALUE"""),0.098)</f>
        <v>0.098</v>
      </c>
      <c r="E10064" s="8" t="str">
        <f>IFERROR(__xludf.DUMMYFUNCTION("""COMPUTED_VALUE"""),"Real")</f>
        <v>Real</v>
      </c>
      <c r="G10064" s="8">
        <f t="shared" si="1"/>
        <v>12</v>
      </c>
      <c r="H10064" s="14">
        <f t="shared" si="2"/>
        <v>25</v>
      </c>
      <c r="I10064" s="15">
        <f t="shared" si="3"/>
        <v>7</v>
      </c>
    </row>
    <row r="10065">
      <c r="A10065" s="8" t="str">
        <f>IFERROR(__xludf.DUMMYFUNCTION("IF('(INGESTA)Datos_consumo_datadis'!A10065&lt;&gt;"""",SPLIT('(INGESTA)Datos_consumo_datadis'!A:A,"",""),"""")"),"ES0031408323131005HX0F")</f>
        <v>ES0031408323131005HX0F</v>
      </c>
      <c r="B10065" s="17">
        <f>IFERROR(__xludf.DUMMYFUNCTION("""COMPUTED_VALUE"""),45285.0)</f>
        <v>45285</v>
      </c>
      <c r="C10065" s="13">
        <f>IFERROR(__xludf.DUMMYFUNCTION("""COMPUTED_VALUE"""),0.3333333333333333)</f>
        <v>0.3333333333</v>
      </c>
      <c r="D10065" s="8">
        <f>IFERROR(__xludf.DUMMYFUNCTION("""COMPUTED_VALUE"""),0.119)</f>
        <v>0.119</v>
      </c>
      <c r="E10065" s="8" t="str">
        <f>IFERROR(__xludf.DUMMYFUNCTION("""COMPUTED_VALUE"""),"Real")</f>
        <v>Real</v>
      </c>
      <c r="G10065" s="8">
        <f t="shared" si="1"/>
        <v>12</v>
      </c>
      <c r="H10065" s="14">
        <f t="shared" si="2"/>
        <v>25</v>
      </c>
      <c r="I10065" s="15">
        <f t="shared" si="3"/>
        <v>8</v>
      </c>
    </row>
    <row r="10066">
      <c r="A10066" s="8" t="str">
        <f>IFERROR(__xludf.DUMMYFUNCTION("IF('(INGESTA)Datos_consumo_datadis'!A10066&lt;&gt;"""",SPLIT('(INGESTA)Datos_consumo_datadis'!A:A,"",""),"""")"),"ES0031408323131005HX0F")</f>
        <v>ES0031408323131005HX0F</v>
      </c>
      <c r="B10066" s="17">
        <f>IFERROR(__xludf.DUMMYFUNCTION("""COMPUTED_VALUE"""),45285.0)</f>
        <v>45285</v>
      </c>
      <c r="C10066" s="13">
        <f>IFERROR(__xludf.DUMMYFUNCTION("""COMPUTED_VALUE"""),0.375)</f>
        <v>0.375</v>
      </c>
      <c r="D10066" s="8">
        <f>IFERROR(__xludf.DUMMYFUNCTION("""COMPUTED_VALUE"""),0.067)</f>
        <v>0.067</v>
      </c>
      <c r="E10066" s="8" t="str">
        <f>IFERROR(__xludf.DUMMYFUNCTION("""COMPUTED_VALUE"""),"Real")</f>
        <v>Real</v>
      </c>
      <c r="G10066" s="8">
        <f t="shared" si="1"/>
        <v>12</v>
      </c>
      <c r="H10066" s="14">
        <f t="shared" si="2"/>
        <v>25</v>
      </c>
      <c r="I10066" s="15">
        <f t="shared" si="3"/>
        <v>9</v>
      </c>
    </row>
    <row r="10067">
      <c r="A10067" s="8" t="str">
        <f>IFERROR(__xludf.DUMMYFUNCTION("IF('(INGESTA)Datos_consumo_datadis'!A10067&lt;&gt;"""",SPLIT('(INGESTA)Datos_consumo_datadis'!A:A,"",""),"""")"),"ES0031408323131005HX0F")</f>
        <v>ES0031408323131005HX0F</v>
      </c>
      <c r="B10067" s="17">
        <f>IFERROR(__xludf.DUMMYFUNCTION("""COMPUTED_VALUE"""),45285.0)</f>
        <v>45285</v>
      </c>
      <c r="C10067" s="13">
        <f>IFERROR(__xludf.DUMMYFUNCTION("""COMPUTED_VALUE"""),0.4166666666666667)</f>
        <v>0.4166666667</v>
      </c>
      <c r="D10067" s="8">
        <f>IFERROR(__xludf.DUMMYFUNCTION("""COMPUTED_VALUE"""),0.08)</f>
        <v>0.08</v>
      </c>
      <c r="E10067" s="8" t="str">
        <f>IFERROR(__xludf.DUMMYFUNCTION("""COMPUTED_VALUE"""),"Real")</f>
        <v>Real</v>
      </c>
      <c r="G10067" s="8">
        <f t="shared" si="1"/>
        <v>12</v>
      </c>
      <c r="H10067" s="14">
        <f t="shared" si="2"/>
        <v>25</v>
      </c>
      <c r="I10067" s="15">
        <f t="shared" si="3"/>
        <v>10</v>
      </c>
    </row>
    <row r="10068">
      <c r="A10068" s="8" t="str">
        <f>IFERROR(__xludf.DUMMYFUNCTION("IF('(INGESTA)Datos_consumo_datadis'!A10068&lt;&gt;"""",SPLIT('(INGESTA)Datos_consumo_datadis'!A:A,"",""),"""")"),"ES0031408323131005HX0F")</f>
        <v>ES0031408323131005HX0F</v>
      </c>
      <c r="B10068" s="17">
        <f>IFERROR(__xludf.DUMMYFUNCTION("""COMPUTED_VALUE"""),45285.0)</f>
        <v>45285</v>
      </c>
      <c r="C10068" s="13">
        <f>IFERROR(__xludf.DUMMYFUNCTION("""COMPUTED_VALUE"""),0.4583333333333333)</f>
        <v>0.4583333333</v>
      </c>
      <c r="D10068" s="8">
        <f>IFERROR(__xludf.DUMMYFUNCTION("""COMPUTED_VALUE"""),0.028)</f>
        <v>0.028</v>
      </c>
      <c r="E10068" s="8" t="str">
        <f>IFERROR(__xludf.DUMMYFUNCTION("""COMPUTED_VALUE"""),"Real")</f>
        <v>Real</v>
      </c>
      <c r="G10068" s="8">
        <f t="shared" si="1"/>
        <v>12</v>
      </c>
      <c r="H10068" s="14">
        <f t="shared" si="2"/>
        <v>25</v>
      </c>
      <c r="I10068" s="15">
        <f t="shared" si="3"/>
        <v>11</v>
      </c>
    </row>
    <row r="10069">
      <c r="A10069" s="8" t="str">
        <f>IFERROR(__xludf.DUMMYFUNCTION("IF('(INGESTA)Datos_consumo_datadis'!A10069&lt;&gt;"""",SPLIT('(INGESTA)Datos_consumo_datadis'!A:A,"",""),"""")"),"ES0031408323131005HX0F")</f>
        <v>ES0031408323131005HX0F</v>
      </c>
      <c r="B10069" s="17">
        <f>IFERROR(__xludf.DUMMYFUNCTION("""COMPUTED_VALUE"""),45285.0)</f>
        <v>45285</v>
      </c>
      <c r="C10069" s="13">
        <f>IFERROR(__xludf.DUMMYFUNCTION("""COMPUTED_VALUE"""),0.5)</f>
        <v>0.5</v>
      </c>
      <c r="D10069" s="8">
        <f>IFERROR(__xludf.DUMMYFUNCTION("""COMPUTED_VALUE"""),0.371)</f>
        <v>0.371</v>
      </c>
      <c r="E10069" s="8" t="str">
        <f>IFERROR(__xludf.DUMMYFUNCTION("""COMPUTED_VALUE"""),"Real")</f>
        <v>Real</v>
      </c>
      <c r="G10069" s="8">
        <f t="shared" si="1"/>
        <v>12</v>
      </c>
      <c r="H10069" s="14">
        <f t="shared" si="2"/>
        <v>25</v>
      </c>
      <c r="I10069" s="15">
        <f t="shared" si="3"/>
        <v>12</v>
      </c>
    </row>
    <row r="10070">
      <c r="A10070" s="8" t="str">
        <f>IFERROR(__xludf.DUMMYFUNCTION("IF('(INGESTA)Datos_consumo_datadis'!A10070&lt;&gt;"""",SPLIT('(INGESTA)Datos_consumo_datadis'!A:A,"",""),"""")"),"ES0031408323131005HX0F")</f>
        <v>ES0031408323131005HX0F</v>
      </c>
      <c r="B10070" s="17">
        <f>IFERROR(__xludf.DUMMYFUNCTION("""COMPUTED_VALUE"""),45285.0)</f>
        <v>45285</v>
      </c>
      <c r="C10070" s="13">
        <f>IFERROR(__xludf.DUMMYFUNCTION("""COMPUTED_VALUE"""),0.5416666666666666)</f>
        <v>0.5416666667</v>
      </c>
      <c r="D10070" s="8">
        <f>IFERROR(__xludf.DUMMYFUNCTION("""COMPUTED_VALUE"""),0.065)</f>
        <v>0.065</v>
      </c>
      <c r="E10070" s="8" t="str">
        <f>IFERROR(__xludf.DUMMYFUNCTION("""COMPUTED_VALUE"""),"Real")</f>
        <v>Real</v>
      </c>
      <c r="G10070" s="8">
        <f t="shared" si="1"/>
        <v>12</v>
      </c>
      <c r="H10070" s="14">
        <f t="shared" si="2"/>
        <v>25</v>
      </c>
      <c r="I10070" s="15">
        <f t="shared" si="3"/>
        <v>13</v>
      </c>
    </row>
    <row r="10071">
      <c r="A10071" s="8" t="str">
        <f>IFERROR(__xludf.DUMMYFUNCTION("IF('(INGESTA)Datos_consumo_datadis'!A10071&lt;&gt;"""",SPLIT('(INGESTA)Datos_consumo_datadis'!A:A,"",""),"""")"),"ES0031408323131005HX0F")</f>
        <v>ES0031408323131005HX0F</v>
      </c>
      <c r="B10071" s="17">
        <f>IFERROR(__xludf.DUMMYFUNCTION("""COMPUTED_VALUE"""),45285.0)</f>
        <v>45285</v>
      </c>
      <c r="C10071" s="13">
        <f>IFERROR(__xludf.DUMMYFUNCTION("""COMPUTED_VALUE"""),0.5833333333333334)</f>
        <v>0.5833333333</v>
      </c>
      <c r="D10071" s="8">
        <f>IFERROR(__xludf.DUMMYFUNCTION("""COMPUTED_VALUE"""),0.105)</f>
        <v>0.105</v>
      </c>
      <c r="E10071" s="8" t="str">
        <f>IFERROR(__xludf.DUMMYFUNCTION("""COMPUTED_VALUE"""),"Real")</f>
        <v>Real</v>
      </c>
      <c r="G10071" s="8">
        <f t="shared" si="1"/>
        <v>12</v>
      </c>
      <c r="H10071" s="14">
        <f t="shared" si="2"/>
        <v>25</v>
      </c>
      <c r="I10071" s="15">
        <f t="shared" si="3"/>
        <v>14</v>
      </c>
    </row>
    <row r="10072">
      <c r="A10072" s="8" t="str">
        <f>IFERROR(__xludf.DUMMYFUNCTION("IF('(INGESTA)Datos_consumo_datadis'!A10072&lt;&gt;"""",SPLIT('(INGESTA)Datos_consumo_datadis'!A:A,"",""),"""")"),"ES0031408323131005HX0F")</f>
        <v>ES0031408323131005HX0F</v>
      </c>
      <c r="B10072" s="17">
        <f>IFERROR(__xludf.DUMMYFUNCTION("""COMPUTED_VALUE"""),45285.0)</f>
        <v>45285</v>
      </c>
      <c r="C10072" s="13">
        <f>IFERROR(__xludf.DUMMYFUNCTION("""COMPUTED_VALUE"""),0.625)</f>
        <v>0.625</v>
      </c>
      <c r="D10072" s="8">
        <f>IFERROR(__xludf.DUMMYFUNCTION("""COMPUTED_VALUE"""),0.033)</f>
        <v>0.033</v>
      </c>
      <c r="E10072" s="8" t="str">
        <f>IFERROR(__xludf.DUMMYFUNCTION("""COMPUTED_VALUE"""),"Real")</f>
        <v>Real</v>
      </c>
      <c r="G10072" s="8">
        <f t="shared" si="1"/>
        <v>12</v>
      </c>
      <c r="H10072" s="14">
        <f t="shared" si="2"/>
        <v>25</v>
      </c>
      <c r="I10072" s="15">
        <f t="shared" si="3"/>
        <v>15</v>
      </c>
    </row>
    <row r="10073">
      <c r="A10073" s="8" t="str">
        <f>IFERROR(__xludf.DUMMYFUNCTION("IF('(INGESTA)Datos_consumo_datadis'!A10073&lt;&gt;"""",SPLIT('(INGESTA)Datos_consumo_datadis'!A:A,"",""),"""")"),"ES0031408323131005HX0F")</f>
        <v>ES0031408323131005HX0F</v>
      </c>
      <c r="B10073" s="17">
        <f>IFERROR(__xludf.DUMMYFUNCTION("""COMPUTED_VALUE"""),45285.0)</f>
        <v>45285</v>
      </c>
      <c r="C10073" s="13">
        <f>IFERROR(__xludf.DUMMYFUNCTION("""COMPUTED_VALUE"""),0.6666666666666666)</f>
        <v>0.6666666667</v>
      </c>
      <c r="D10073" s="8">
        <f>IFERROR(__xludf.DUMMYFUNCTION("""COMPUTED_VALUE"""),0.055)</f>
        <v>0.055</v>
      </c>
      <c r="E10073" s="8" t="str">
        <f>IFERROR(__xludf.DUMMYFUNCTION("""COMPUTED_VALUE"""),"Real")</f>
        <v>Real</v>
      </c>
      <c r="G10073" s="8">
        <f t="shared" si="1"/>
        <v>12</v>
      </c>
      <c r="H10073" s="14">
        <f t="shared" si="2"/>
        <v>25</v>
      </c>
      <c r="I10073" s="15">
        <f t="shared" si="3"/>
        <v>16</v>
      </c>
    </row>
    <row r="10074">
      <c r="A10074" s="8" t="str">
        <f>IFERROR(__xludf.DUMMYFUNCTION("IF('(INGESTA)Datos_consumo_datadis'!A10074&lt;&gt;"""",SPLIT('(INGESTA)Datos_consumo_datadis'!A:A,"",""),"""")"),"ES0031408323131005HX0F")</f>
        <v>ES0031408323131005HX0F</v>
      </c>
      <c r="B10074" s="17">
        <f>IFERROR(__xludf.DUMMYFUNCTION("""COMPUTED_VALUE"""),45285.0)</f>
        <v>45285</v>
      </c>
      <c r="C10074" s="13">
        <f>IFERROR(__xludf.DUMMYFUNCTION("""COMPUTED_VALUE"""),0.7083333333333334)</f>
        <v>0.7083333333</v>
      </c>
      <c r="D10074" s="8">
        <f>IFERROR(__xludf.DUMMYFUNCTION("""COMPUTED_VALUE"""),0.127)</f>
        <v>0.127</v>
      </c>
      <c r="E10074" s="8" t="str">
        <f>IFERROR(__xludf.DUMMYFUNCTION("""COMPUTED_VALUE"""),"Real")</f>
        <v>Real</v>
      </c>
      <c r="G10074" s="8">
        <f t="shared" si="1"/>
        <v>12</v>
      </c>
      <c r="H10074" s="14">
        <f t="shared" si="2"/>
        <v>25</v>
      </c>
      <c r="I10074" s="15">
        <f t="shared" si="3"/>
        <v>17</v>
      </c>
    </row>
    <row r="10075">
      <c r="A10075" s="8" t="str">
        <f>IFERROR(__xludf.DUMMYFUNCTION("IF('(INGESTA)Datos_consumo_datadis'!A10075&lt;&gt;"""",SPLIT('(INGESTA)Datos_consumo_datadis'!A:A,"",""),"""")"),"ES0031408323131005HX0F")</f>
        <v>ES0031408323131005HX0F</v>
      </c>
      <c r="B10075" s="17">
        <f>IFERROR(__xludf.DUMMYFUNCTION("""COMPUTED_VALUE"""),45285.0)</f>
        <v>45285</v>
      </c>
      <c r="C10075" s="13">
        <f>IFERROR(__xludf.DUMMYFUNCTION("""COMPUTED_VALUE"""),0.75)</f>
        <v>0.75</v>
      </c>
      <c r="D10075" s="8">
        <f>IFERROR(__xludf.DUMMYFUNCTION("""COMPUTED_VALUE"""),0.339)</f>
        <v>0.339</v>
      </c>
      <c r="E10075" s="8" t="str">
        <f>IFERROR(__xludf.DUMMYFUNCTION("""COMPUTED_VALUE"""),"Real")</f>
        <v>Real</v>
      </c>
      <c r="G10075" s="8">
        <f t="shared" si="1"/>
        <v>12</v>
      </c>
      <c r="H10075" s="14">
        <f t="shared" si="2"/>
        <v>25</v>
      </c>
      <c r="I10075" s="15">
        <f t="shared" si="3"/>
        <v>18</v>
      </c>
    </row>
    <row r="10076">
      <c r="A10076" s="8" t="str">
        <f>IFERROR(__xludf.DUMMYFUNCTION("IF('(INGESTA)Datos_consumo_datadis'!A10076&lt;&gt;"""",SPLIT('(INGESTA)Datos_consumo_datadis'!A:A,"",""),"""")"),"ES0031408323131005HX0F")</f>
        <v>ES0031408323131005HX0F</v>
      </c>
      <c r="B10076" s="17">
        <f>IFERROR(__xludf.DUMMYFUNCTION("""COMPUTED_VALUE"""),45285.0)</f>
        <v>45285</v>
      </c>
      <c r="C10076" s="13">
        <f>IFERROR(__xludf.DUMMYFUNCTION("""COMPUTED_VALUE"""),0.7916666666666666)</f>
        <v>0.7916666667</v>
      </c>
      <c r="D10076" s="8">
        <f>IFERROR(__xludf.DUMMYFUNCTION("""COMPUTED_VALUE"""),0.066)</f>
        <v>0.066</v>
      </c>
      <c r="E10076" s="8" t="str">
        <f>IFERROR(__xludf.DUMMYFUNCTION("""COMPUTED_VALUE"""),"Real")</f>
        <v>Real</v>
      </c>
      <c r="G10076" s="8">
        <f t="shared" si="1"/>
        <v>12</v>
      </c>
      <c r="H10076" s="14">
        <f t="shared" si="2"/>
        <v>25</v>
      </c>
      <c r="I10076" s="15">
        <f t="shared" si="3"/>
        <v>19</v>
      </c>
    </row>
    <row r="10077">
      <c r="A10077" s="8" t="str">
        <f>IFERROR(__xludf.DUMMYFUNCTION("IF('(INGESTA)Datos_consumo_datadis'!A10077&lt;&gt;"""",SPLIT('(INGESTA)Datos_consumo_datadis'!A:A,"",""),"""")"),"ES0031408323131005HX0F")</f>
        <v>ES0031408323131005HX0F</v>
      </c>
      <c r="B10077" s="17">
        <f>IFERROR(__xludf.DUMMYFUNCTION("""COMPUTED_VALUE"""),45285.0)</f>
        <v>45285</v>
      </c>
      <c r="C10077" s="13">
        <f>IFERROR(__xludf.DUMMYFUNCTION("""COMPUTED_VALUE"""),0.8333333333333334)</f>
        <v>0.8333333333</v>
      </c>
      <c r="D10077" s="8">
        <f>IFERROR(__xludf.DUMMYFUNCTION("""COMPUTED_VALUE"""),0.027)</f>
        <v>0.027</v>
      </c>
      <c r="E10077" s="8" t="str">
        <f>IFERROR(__xludf.DUMMYFUNCTION("""COMPUTED_VALUE"""),"Real")</f>
        <v>Real</v>
      </c>
      <c r="G10077" s="8">
        <f t="shared" si="1"/>
        <v>12</v>
      </c>
      <c r="H10077" s="14">
        <f t="shared" si="2"/>
        <v>25</v>
      </c>
      <c r="I10077" s="15">
        <f t="shared" si="3"/>
        <v>20</v>
      </c>
    </row>
    <row r="10078">
      <c r="A10078" s="8" t="str">
        <f>IFERROR(__xludf.DUMMYFUNCTION("IF('(INGESTA)Datos_consumo_datadis'!A10078&lt;&gt;"""",SPLIT('(INGESTA)Datos_consumo_datadis'!A:A,"",""),"""")"),"ES0031408323131005HX0F")</f>
        <v>ES0031408323131005HX0F</v>
      </c>
      <c r="B10078" s="17">
        <f>IFERROR(__xludf.DUMMYFUNCTION("""COMPUTED_VALUE"""),45285.0)</f>
        <v>45285</v>
      </c>
      <c r="C10078" s="13">
        <f>IFERROR(__xludf.DUMMYFUNCTION("""COMPUTED_VALUE"""),0.875)</f>
        <v>0.875</v>
      </c>
      <c r="D10078" s="8">
        <f>IFERROR(__xludf.DUMMYFUNCTION("""COMPUTED_VALUE"""),0.099)</f>
        <v>0.099</v>
      </c>
      <c r="E10078" s="8" t="str">
        <f>IFERROR(__xludf.DUMMYFUNCTION("""COMPUTED_VALUE"""),"Real")</f>
        <v>Real</v>
      </c>
      <c r="G10078" s="8">
        <f t="shared" si="1"/>
        <v>12</v>
      </c>
      <c r="H10078" s="14">
        <f t="shared" si="2"/>
        <v>25</v>
      </c>
      <c r="I10078" s="15">
        <f t="shared" si="3"/>
        <v>21</v>
      </c>
    </row>
    <row r="10079">
      <c r="A10079" s="8" t="str">
        <f>IFERROR(__xludf.DUMMYFUNCTION("IF('(INGESTA)Datos_consumo_datadis'!A10079&lt;&gt;"""",SPLIT('(INGESTA)Datos_consumo_datadis'!A:A,"",""),"""")"),"ES0031408323131005HX0F")</f>
        <v>ES0031408323131005HX0F</v>
      </c>
      <c r="B10079" s="17">
        <f>IFERROR(__xludf.DUMMYFUNCTION("""COMPUTED_VALUE"""),45285.0)</f>
        <v>45285</v>
      </c>
      <c r="C10079" s="13">
        <f>IFERROR(__xludf.DUMMYFUNCTION("""COMPUTED_VALUE"""),0.9166666666666666)</f>
        <v>0.9166666667</v>
      </c>
      <c r="D10079" s="8">
        <f>IFERROR(__xludf.DUMMYFUNCTION("""COMPUTED_VALUE"""),0.053)</f>
        <v>0.053</v>
      </c>
      <c r="E10079" s="8" t="str">
        <f>IFERROR(__xludf.DUMMYFUNCTION("""COMPUTED_VALUE"""),"Real")</f>
        <v>Real</v>
      </c>
      <c r="G10079" s="8">
        <f t="shared" si="1"/>
        <v>12</v>
      </c>
      <c r="H10079" s="14">
        <f t="shared" si="2"/>
        <v>25</v>
      </c>
      <c r="I10079" s="15">
        <f t="shared" si="3"/>
        <v>22</v>
      </c>
    </row>
    <row r="10080">
      <c r="A10080" s="8" t="str">
        <f>IFERROR(__xludf.DUMMYFUNCTION("IF('(INGESTA)Datos_consumo_datadis'!A10080&lt;&gt;"""",SPLIT('(INGESTA)Datos_consumo_datadis'!A:A,"",""),"""")"),"ES0031408323131005HX0F")</f>
        <v>ES0031408323131005HX0F</v>
      </c>
      <c r="B10080" s="17">
        <f>IFERROR(__xludf.DUMMYFUNCTION("""COMPUTED_VALUE"""),45285.0)</f>
        <v>45285</v>
      </c>
      <c r="C10080" s="13">
        <f>IFERROR(__xludf.DUMMYFUNCTION("""COMPUTED_VALUE"""),0.9583333333333334)</f>
        <v>0.9583333333</v>
      </c>
      <c r="D10080" s="8">
        <f>IFERROR(__xludf.DUMMYFUNCTION("""COMPUTED_VALUE"""),0.403)</f>
        <v>0.403</v>
      </c>
      <c r="E10080" s="8" t="str">
        <f>IFERROR(__xludf.DUMMYFUNCTION("""COMPUTED_VALUE"""),"Real")</f>
        <v>Real</v>
      </c>
      <c r="G10080" s="8">
        <f t="shared" si="1"/>
        <v>12</v>
      </c>
      <c r="H10080" s="14">
        <f t="shared" si="2"/>
        <v>25</v>
      </c>
      <c r="I10080" s="15">
        <f t="shared" si="3"/>
        <v>23</v>
      </c>
    </row>
    <row r="10081">
      <c r="A10081" s="8" t="str">
        <f>IFERROR(__xludf.DUMMYFUNCTION("IF('(INGESTA)Datos_consumo_datadis'!A10081&lt;&gt;"""",SPLIT('(INGESTA)Datos_consumo_datadis'!A:A,"",""),"""")"),"ES0031408323131005HX0F")</f>
        <v>ES0031408323131005HX0F</v>
      </c>
      <c r="B10081" s="17">
        <f>IFERROR(__xludf.DUMMYFUNCTION("""COMPUTED_VALUE"""),45285.0)</f>
        <v>45285</v>
      </c>
      <c r="C10081" s="16">
        <f>IFERROR(__xludf.DUMMYFUNCTION("""COMPUTED_VALUE"""),1.0)</f>
        <v>1</v>
      </c>
      <c r="D10081" s="8">
        <f>IFERROR(__xludf.DUMMYFUNCTION("""COMPUTED_VALUE"""),0.042)</f>
        <v>0.042</v>
      </c>
      <c r="E10081" s="8" t="str">
        <f>IFERROR(__xludf.DUMMYFUNCTION("""COMPUTED_VALUE"""),"Real")</f>
        <v>Real</v>
      </c>
      <c r="G10081" s="8">
        <f t="shared" si="1"/>
        <v>12</v>
      </c>
      <c r="H10081" s="14">
        <f t="shared" si="2"/>
        <v>25</v>
      </c>
      <c r="I10081" s="15">
        <f t="shared" si="3"/>
        <v>0</v>
      </c>
    </row>
    <row r="10082">
      <c r="A10082" s="8" t="str">
        <f>IFERROR(__xludf.DUMMYFUNCTION("IF('(INGESTA)Datos_consumo_datadis'!A10082&lt;&gt;"""",SPLIT('(INGESTA)Datos_consumo_datadis'!A:A,"",""),"""")"),"ES0031408323131005HX0F")</f>
        <v>ES0031408323131005HX0F</v>
      </c>
      <c r="B10082" s="17">
        <f>IFERROR(__xludf.DUMMYFUNCTION("""COMPUTED_VALUE"""),45286.0)</f>
        <v>45286</v>
      </c>
      <c r="C10082" s="13">
        <f>IFERROR(__xludf.DUMMYFUNCTION("""COMPUTED_VALUE"""),0.041666666666666664)</f>
        <v>0.04166666667</v>
      </c>
      <c r="D10082" s="8">
        <f>IFERROR(__xludf.DUMMYFUNCTION("""COMPUTED_VALUE"""),0.018)</f>
        <v>0.018</v>
      </c>
      <c r="E10082" s="8" t="str">
        <f>IFERROR(__xludf.DUMMYFUNCTION("""COMPUTED_VALUE"""),"Real")</f>
        <v>Real</v>
      </c>
      <c r="G10082" s="8">
        <f t="shared" si="1"/>
        <v>12</v>
      </c>
      <c r="H10082" s="14">
        <f t="shared" si="2"/>
        <v>26</v>
      </c>
      <c r="I10082" s="15">
        <f t="shared" si="3"/>
        <v>1</v>
      </c>
    </row>
    <row r="10083">
      <c r="A10083" s="8" t="str">
        <f>IFERROR(__xludf.DUMMYFUNCTION("IF('(INGESTA)Datos_consumo_datadis'!A10083&lt;&gt;"""",SPLIT('(INGESTA)Datos_consumo_datadis'!A:A,"",""),"""")"),"ES0031408323131005HX0F")</f>
        <v>ES0031408323131005HX0F</v>
      </c>
      <c r="B10083" s="17">
        <f>IFERROR(__xludf.DUMMYFUNCTION("""COMPUTED_VALUE"""),45286.0)</f>
        <v>45286</v>
      </c>
      <c r="C10083" s="13">
        <f>IFERROR(__xludf.DUMMYFUNCTION("""COMPUTED_VALUE"""),0.08333333333333333)</f>
        <v>0.08333333333</v>
      </c>
      <c r="D10083" s="8">
        <f>IFERROR(__xludf.DUMMYFUNCTION("""COMPUTED_VALUE"""),0.018)</f>
        <v>0.018</v>
      </c>
      <c r="E10083" s="8" t="str">
        <f>IFERROR(__xludf.DUMMYFUNCTION("""COMPUTED_VALUE"""),"Real")</f>
        <v>Real</v>
      </c>
      <c r="G10083" s="8">
        <f t="shared" si="1"/>
        <v>12</v>
      </c>
      <c r="H10083" s="14">
        <f t="shared" si="2"/>
        <v>26</v>
      </c>
      <c r="I10083" s="15">
        <f t="shared" si="3"/>
        <v>2</v>
      </c>
    </row>
    <row r="10084">
      <c r="A10084" s="8" t="str">
        <f>IFERROR(__xludf.DUMMYFUNCTION("IF('(INGESTA)Datos_consumo_datadis'!A10084&lt;&gt;"""",SPLIT('(INGESTA)Datos_consumo_datadis'!A:A,"",""),"""")"),"ES0031408323131005HX0F")</f>
        <v>ES0031408323131005HX0F</v>
      </c>
      <c r="B10084" s="17">
        <f>IFERROR(__xludf.DUMMYFUNCTION("""COMPUTED_VALUE"""),45286.0)</f>
        <v>45286</v>
      </c>
      <c r="C10084" s="13">
        <f>IFERROR(__xludf.DUMMYFUNCTION("""COMPUTED_VALUE"""),0.125)</f>
        <v>0.125</v>
      </c>
      <c r="D10084" s="8">
        <f>IFERROR(__xludf.DUMMYFUNCTION("""COMPUTED_VALUE"""),0.114)</f>
        <v>0.114</v>
      </c>
      <c r="E10084" s="8" t="str">
        <f>IFERROR(__xludf.DUMMYFUNCTION("""COMPUTED_VALUE"""),"Real")</f>
        <v>Real</v>
      </c>
      <c r="G10084" s="8">
        <f t="shared" si="1"/>
        <v>12</v>
      </c>
      <c r="H10084" s="14">
        <f t="shared" si="2"/>
        <v>26</v>
      </c>
      <c r="I10084" s="15">
        <f t="shared" si="3"/>
        <v>3</v>
      </c>
    </row>
    <row r="10085">
      <c r="A10085" s="8" t="str">
        <f>IFERROR(__xludf.DUMMYFUNCTION("IF('(INGESTA)Datos_consumo_datadis'!A10085&lt;&gt;"""",SPLIT('(INGESTA)Datos_consumo_datadis'!A:A,"",""),"""")"),"ES0031408323131005HX0F")</f>
        <v>ES0031408323131005HX0F</v>
      </c>
      <c r="B10085" s="17">
        <f>IFERROR(__xludf.DUMMYFUNCTION("""COMPUTED_VALUE"""),45286.0)</f>
        <v>45286</v>
      </c>
      <c r="C10085" s="13">
        <f>IFERROR(__xludf.DUMMYFUNCTION("""COMPUTED_VALUE"""),0.16666666666666666)</f>
        <v>0.1666666667</v>
      </c>
      <c r="D10085" s="8">
        <f>IFERROR(__xludf.DUMMYFUNCTION("""COMPUTED_VALUE"""),0.051)</f>
        <v>0.051</v>
      </c>
      <c r="E10085" s="8" t="str">
        <f>IFERROR(__xludf.DUMMYFUNCTION("""COMPUTED_VALUE"""),"Real")</f>
        <v>Real</v>
      </c>
      <c r="G10085" s="8">
        <f t="shared" si="1"/>
        <v>12</v>
      </c>
      <c r="H10085" s="14">
        <f t="shared" si="2"/>
        <v>26</v>
      </c>
      <c r="I10085" s="15">
        <f t="shared" si="3"/>
        <v>4</v>
      </c>
    </row>
    <row r="10086">
      <c r="A10086" s="8" t="str">
        <f>IFERROR(__xludf.DUMMYFUNCTION("IF('(INGESTA)Datos_consumo_datadis'!A10086&lt;&gt;"""",SPLIT('(INGESTA)Datos_consumo_datadis'!A:A,"",""),"""")"),"ES0031408323131005HX0F")</f>
        <v>ES0031408323131005HX0F</v>
      </c>
      <c r="B10086" s="17">
        <f>IFERROR(__xludf.DUMMYFUNCTION("""COMPUTED_VALUE"""),45286.0)</f>
        <v>45286</v>
      </c>
      <c r="C10086" s="13">
        <f>IFERROR(__xludf.DUMMYFUNCTION("""COMPUTED_VALUE"""),0.20833333333333334)</f>
        <v>0.2083333333</v>
      </c>
      <c r="D10086" s="8">
        <f>IFERROR(__xludf.DUMMYFUNCTION("""COMPUTED_VALUE"""),0.363)</f>
        <v>0.363</v>
      </c>
      <c r="E10086" s="8" t="str">
        <f>IFERROR(__xludf.DUMMYFUNCTION("""COMPUTED_VALUE"""),"Real")</f>
        <v>Real</v>
      </c>
      <c r="G10086" s="8">
        <f t="shared" si="1"/>
        <v>12</v>
      </c>
      <c r="H10086" s="14">
        <f t="shared" si="2"/>
        <v>26</v>
      </c>
      <c r="I10086" s="15">
        <f t="shared" si="3"/>
        <v>5</v>
      </c>
    </row>
    <row r="10087">
      <c r="A10087" s="8" t="str">
        <f>IFERROR(__xludf.DUMMYFUNCTION("IF('(INGESTA)Datos_consumo_datadis'!A10087&lt;&gt;"""",SPLIT('(INGESTA)Datos_consumo_datadis'!A:A,"",""),"""")"),"ES0031408323131005HX0F")</f>
        <v>ES0031408323131005HX0F</v>
      </c>
      <c r="B10087" s="17">
        <f>IFERROR(__xludf.DUMMYFUNCTION("""COMPUTED_VALUE"""),45286.0)</f>
        <v>45286</v>
      </c>
      <c r="C10087" s="13">
        <f>IFERROR(__xludf.DUMMYFUNCTION("""COMPUTED_VALUE"""),0.25)</f>
        <v>0.25</v>
      </c>
      <c r="D10087" s="8">
        <f>IFERROR(__xludf.DUMMYFUNCTION("""COMPUTED_VALUE"""),0.018)</f>
        <v>0.018</v>
      </c>
      <c r="E10087" s="8" t="str">
        <f>IFERROR(__xludf.DUMMYFUNCTION("""COMPUTED_VALUE"""),"Real")</f>
        <v>Real</v>
      </c>
      <c r="G10087" s="8">
        <f t="shared" si="1"/>
        <v>12</v>
      </c>
      <c r="H10087" s="14">
        <f t="shared" si="2"/>
        <v>26</v>
      </c>
      <c r="I10087" s="15">
        <f t="shared" si="3"/>
        <v>6</v>
      </c>
    </row>
    <row r="10088">
      <c r="A10088" s="8" t="str">
        <f>IFERROR(__xludf.DUMMYFUNCTION("IF('(INGESTA)Datos_consumo_datadis'!A10088&lt;&gt;"""",SPLIT('(INGESTA)Datos_consumo_datadis'!A:A,"",""),"""")"),"ES0031408323131005HX0F")</f>
        <v>ES0031408323131005HX0F</v>
      </c>
      <c r="B10088" s="17">
        <f>IFERROR(__xludf.DUMMYFUNCTION("""COMPUTED_VALUE"""),45286.0)</f>
        <v>45286</v>
      </c>
      <c r="C10088" s="13">
        <f>IFERROR(__xludf.DUMMYFUNCTION("""COMPUTED_VALUE"""),0.2916666666666667)</f>
        <v>0.2916666667</v>
      </c>
      <c r="D10088" s="8">
        <f>IFERROR(__xludf.DUMMYFUNCTION("""COMPUTED_VALUE"""),0.042)</f>
        <v>0.042</v>
      </c>
      <c r="E10088" s="8" t="str">
        <f>IFERROR(__xludf.DUMMYFUNCTION("""COMPUTED_VALUE"""),"Real")</f>
        <v>Real</v>
      </c>
      <c r="G10088" s="8">
        <f t="shared" si="1"/>
        <v>12</v>
      </c>
      <c r="H10088" s="14">
        <f t="shared" si="2"/>
        <v>26</v>
      </c>
      <c r="I10088" s="15">
        <f t="shared" si="3"/>
        <v>7</v>
      </c>
    </row>
    <row r="10089">
      <c r="A10089" s="8" t="str">
        <f>IFERROR(__xludf.DUMMYFUNCTION("IF('(INGESTA)Datos_consumo_datadis'!A10089&lt;&gt;"""",SPLIT('(INGESTA)Datos_consumo_datadis'!A:A,"",""),"""")"),"ES0031408323131005HX0F")</f>
        <v>ES0031408323131005HX0F</v>
      </c>
      <c r="B10089" s="17">
        <f>IFERROR(__xludf.DUMMYFUNCTION("""COMPUTED_VALUE"""),45286.0)</f>
        <v>45286</v>
      </c>
      <c r="C10089" s="13">
        <f>IFERROR(__xludf.DUMMYFUNCTION("""COMPUTED_VALUE"""),0.3333333333333333)</f>
        <v>0.3333333333</v>
      </c>
      <c r="D10089" s="8">
        <f>IFERROR(__xludf.DUMMYFUNCTION("""COMPUTED_VALUE"""),0.077)</f>
        <v>0.077</v>
      </c>
      <c r="E10089" s="8" t="str">
        <f>IFERROR(__xludf.DUMMYFUNCTION("""COMPUTED_VALUE"""),"Real")</f>
        <v>Real</v>
      </c>
      <c r="G10089" s="8">
        <f t="shared" si="1"/>
        <v>12</v>
      </c>
      <c r="H10089" s="14">
        <f t="shared" si="2"/>
        <v>26</v>
      </c>
      <c r="I10089" s="15">
        <f t="shared" si="3"/>
        <v>8</v>
      </c>
    </row>
    <row r="10090">
      <c r="A10090" s="8" t="str">
        <f>IFERROR(__xludf.DUMMYFUNCTION("IF('(INGESTA)Datos_consumo_datadis'!A10090&lt;&gt;"""",SPLIT('(INGESTA)Datos_consumo_datadis'!A:A,"",""),"""")"),"ES0031408323131005HX0F")</f>
        <v>ES0031408323131005HX0F</v>
      </c>
      <c r="B10090" s="17">
        <f>IFERROR(__xludf.DUMMYFUNCTION("""COMPUTED_VALUE"""),45286.0)</f>
        <v>45286</v>
      </c>
      <c r="C10090" s="13">
        <f>IFERROR(__xludf.DUMMYFUNCTION("""COMPUTED_VALUE"""),0.375)</f>
        <v>0.375</v>
      </c>
      <c r="D10090" s="8">
        <f>IFERROR(__xludf.DUMMYFUNCTION("""COMPUTED_VALUE"""),0.052)</f>
        <v>0.052</v>
      </c>
      <c r="E10090" s="8" t="str">
        <f>IFERROR(__xludf.DUMMYFUNCTION("""COMPUTED_VALUE"""),"Real")</f>
        <v>Real</v>
      </c>
      <c r="G10090" s="8">
        <f t="shared" si="1"/>
        <v>12</v>
      </c>
      <c r="H10090" s="14">
        <f t="shared" si="2"/>
        <v>26</v>
      </c>
      <c r="I10090" s="15">
        <f t="shared" si="3"/>
        <v>9</v>
      </c>
    </row>
    <row r="10091">
      <c r="A10091" s="8" t="str">
        <f>IFERROR(__xludf.DUMMYFUNCTION("IF('(INGESTA)Datos_consumo_datadis'!A10091&lt;&gt;"""",SPLIT('(INGESTA)Datos_consumo_datadis'!A:A,"",""),"""")"),"ES0031408323131005HX0F")</f>
        <v>ES0031408323131005HX0F</v>
      </c>
      <c r="B10091" s="17">
        <f>IFERROR(__xludf.DUMMYFUNCTION("""COMPUTED_VALUE"""),45286.0)</f>
        <v>45286</v>
      </c>
      <c r="C10091" s="13">
        <f>IFERROR(__xludf.DUMMYFUNCTION("""COMPUTED_VALUE"""),0.4166666666666667)</f>
        <v>0.4166666667</v>
      </c>
      <c r="D10091" s="8">
        <f>IFERROR(__xludf.DUMMYFUNCTION("""COMPUTED_VALUE"""),0.018)</f>
        <v>0.018</v>
      </c>
      <c r="E10091" s="8" t="str">
        <f>IFERROR(__xludf.DUMMYFUNCTION("""COMPUTED_VALUE"""),"Real")</f>
        <v>Real</v>
      </c>
      <c r="G10091" s="8">
        <f t="shared" si="1"/>
        <v>12</v>
      </c>
      <c r="H10091" s="14">
        <f t="shared" si="2"/>
        <v>26</v>
      </c>
      <c r="I10091" s="15">
        <f t="shared" si="3"/>
        <v>10</v>
      </c>
    </row>
    <row r="10092">
      <c r="A10092" s="8" t="str">
        <f>IFERROR(__xludf.DUMMYFUNCTION("IF('(INGESTA)Datos_consumo_datadis'!A10092&lt;&gt;"""",SPLIT('(INGESTA)Datos_consumo_datadis'!A:A,"",""),"""")"),"ES0031408323131005HX0F")</f>
        <v>ES0031408323131005HX0F</v>
      </c>
      <c r="B10092" s="17">
        <f>IFERROR(__xludf.DUMMYFUNCTION("""COMPUTED_VALUE"""),45286.0)</f>
        <v>45286</v>
      </c>
      <c r="C10092" s="13">
        <f>IFERROR(__xludf.DUMMYFUNCTION("""COMPUTED_VALUE"""),0.4583333333333333)</f>
        <v>0.4583333333</v>
      </c>
      <c r="D10092" s="8">
        <f>IFERROR(__xludf.DUMMYFUNCTION("""COMPUTED_VALUE"""),0.175)</f>
        <v>0.175</v>
      </c>
      <c r="E10092" s="8" t="str">
        <f>IFERROR(__xludf.DUMMYFUNCTION("""COMPUTED_VALUE"""),"Real")</f>
        <v>Real</v>
      </c>
      <c r="G10092" s="8">
        <f t="shared" si="1"/>
        <v>12</v>
      </c>
      <c r="H10092" s="14">
        <f t="shared" si="2"/>
        <v>26</v>
      </c>
      <c r="I10092" s="15">
        <f t="shared" si="3"/>
        <v>11</v>
      </c>
    </row>
    <row r="10093">
      <c r="A10093" s="8" t="str">
        <f>IFERROR(__xludf.DUMMYFUNCTION("IF('(INGESTA)Datos_consumo_datadis'!A10093&lt;&gt;"""",SPLIT('(INGESTA)Datos_consumo_datadis'!A:A,"",""),"""")"),"ES0031408323131005HX0F")</f>
        <v>ES0031408323131005HX0F</v>
      </c>
      <c r="B10093" s="17">
        <f>IFERROR(__xludf.DUMMYFUNCTION("""COMPUTED_VALUE"""),45286.0)</f>
        <v>45286</v>
      </c>
      <c r="C10093" s="13">
        <f>IFERROR(__xludf.DUMMYFUNCTION("""COMPUTED_VALUE"""),0.5)</f>
        <v>0.5</v>
      </c>
      <c r="D10093" s="8">
        <f>IFERROR(__xludf.DUMMYFUNCTION("""COMPUTED_VALUE"""),0.237)</f>
        <v>0.237</v>
      </c>
      <c r="E10093" s="8" t="str">
        <f>IFERROR(__xludf.DUMMYFUNCTION("""COMPUTED_VALUE"""),"Real")</f>
        <v>Real</v>
      </c>
      <c r="G10093" s="8">
        <f t="shared" si="1"/>
        <v>12</v>
      </c>
      <c r="H10093" s="14">
        <f t="shared" si="2"/>
        <v>26</v>
      </c>
      <c r="I10093" s="15">
        <f t="shared" si="3"/>
        <v>12</v>
      </c>
    </row>
    <row r="10094">
      <c r="A10094" s="8" t="str">
        <f>IFERROR(__xludf.DUMMYFUNCTION("IF('(INGESTA)Datos_consumo_datadis'!A10094&lt;&gt;"""",SPLIT('(INGESTA)Datos_consumo_datadis'!A:A,"",""),"""")"),"ES0031408323131005HX0F")</f>
        <v>ES0031408323131005HX0F</v>
      </c>
      <c r="B10094" s="17">
        <f>IFERROR(__xludf.DUMMYFUNCTION("""COMPUTED_VALUE"""),45286.0)</f>
        <v>45286</v>
      </c>
      <c r="C10094" s="13">
        <f>IFERROR(__xludf.DUMMYFUNCTION("""COMPUTED_VALUE"""),0.5416666666666666)</f>
        <v>0.5416666667</v>
      </c>
      <c r="D10094" s="8">
        <f>IFERROR(__xludf.DUMMYFUNCTION("""COMPUTED_VALUE"""),0.049)</f>
        <v>0.049</v>
      </c>
      <c r="E10094" s="8" t="str">
        <f>IFERROR(__xludf.DUMMYFUNCTION("""COMPUTED_VALUE"""),"Real")</f>
        <v>Real</v>
      </c>
      <c r="G10094" s="8">
        <f t="shared" si="1"/>
        <v>12</v>
      </c>
      <c r="H10094" s="14">
        <f t="shared" si="2"/>
        <v>26</v>
      </c>
      <c r="I10094" s="15">
        <f t="shared" si="3"/>
        <v>13</v>
      </c>
    </row>
    <row r="10095">
      <c r="A10095" s="8" t="str">
        <f>IFERROR(__xludf.DUMMYFUNCTION("IF('(INGESTA)Datos_consumo_datadis'!A10095&lt;&gt;"""",SPLIT('(INGESTA)Datos_consumo_datadis'!A:A,"",""),"""")"),"ES0031408323131005HX0F")</f>
        <v>ES0031408323131005HX0F</v>
      </c>
      <c r="B10095" s="17">
        <f>IFERROR(__xludf.DUMMYFUNCTION("""COMPUTED_VALUE"""),45286.0)</f>
        <v>45286</v>
      </c>
      <c r="C10095" s="13">
        <f>IFERROR(__xludf.DUMMYFUNCTION("""COMPUTED_VALUE"""),0.5833333333333334)</f>
        <v>0.5833333333</v>
      </c>
      <c r="D10095" s="8">
        <f>IFERROR(__xludf.DUMMYFUNCTION("""COMPUTED_VALUE"""),0.034)</f>
        <v>0.034</v>
      </c>
      <c r="E10095" s="8" t="str">
        <f>IFERROR(__xludf.DUMMYFUNCTION("""COMPUTED_VALUE"""),"Real")</f>
        <v>Real</v>
      </c>
      <c r="G10095" s="8">
        <f t="shared" si="1"/>
        <v>12</v>
      </c>
      <c r="H10095" s="14">
        <f t="shared" si="2"/>
        <v>26</v>
      </c>
      <c r="I10095" s="15">
        <f t="shared" si="3"/>
        <v>14</v>
      </c>
    </row>
    <row r="10096">
      <c r="A10096" s="8" t="str">
        <f>IFERROR(__xludf.DUMMYFUNCTION("IF('(INGESTA)Datos_consumo_datadis'!A10096&lt;&gt;"""",SPLIT('(INGESTA)Datos_consumo_datadis'!A:A,"",""),"""")"),"ES0031408323131005HX0F")</f>
        <v>ES0031408323131005HX0F</v>
      </c>
      <c r="B10096" s="17">
        <f>IFERROR(__xludf.DUMMYFUNCTION("""COMPUTED_VALUE"""),45286.0)</f>
        <v>45286</v>
      </c>
      <c r="C10096" s="13">
        <f>IFERROR(__xludf.DUMMYFUNCTION("""COMPUTED_VALUE"""),0.625)</f>
        <v>0.625</v>
      </c>
      <c r="D10096" s="8">
        <f>IFERROR(__xludf.DUMMYFUNCTION("""COMPUTED_VALUE"""),0.017)</f>
        <v>0.017</v>
      </c>
      <c r="E10096" s="8" t="str">
        <f>IFERROR(__xludf.DUMMYFUNCTION("""COMPUTED_VALUE"""),"Real")</f>
        <v>Real</v>
      </c>
      <c r="G10096" s="8">
        <f t="shared" si="1"/>
        <v>12</v>
      </c>
      <c r="H10096" s="14">
        <f t="shared" si="2"/>
        <v>26</v>
      </c>
      <c r="I10096" s="15">
        <f t="shared" si="3"/>
        <v>15</v>
      </c>
    </row>
    <row r="10097">
      <c r="A10097" s="8" t="str">
        <f>IFERROR(__xludf.DUMMYFUNCTION("IF('(INGESTA)Datos_consumo_datadis'!A10097&lt;&gt;"""",SPLIT('(INGESTA)Datos_consumo_datadis'!A:A,"",""),"""")"),"ES0031408323131005HX0F")</f>
        <v>ES0031408323131005HX0F</v>
      </c>
      <c r="B10097" s="17">
        <f>IFERROR(__xludf.DUMMYFUNCTION("""COMPUTED_VALUE"""),45286.0)</f>
        <v>45286</v>
      </c>
      <c r="C10097" s="13">
        <f>IFERROR(__xludf.DUMMYFUNCTION("""COMPUTED_VALUE"""),0.6666666666666666)</f>
        <v>0.6666666667</v>
      </c>
      <c r="D10097" s="8">
        <f>IFERROR(__xludf.DUMMYFUNCTION("""COMPUTED_VALUE"""),0.068)</f>
        <v>0.068</v>
      </c>
      <c r="E10097" s="8" t="str">
        <f>IFERROR(__xludf.DUMMYFUNCTION("""COMPUTED_VALUE"""),"Real")</f>
        <v>Real</v>
      </c>
      <c r="G10097" s="8">
        <f t="shared" si="1"/>
        <v>12</v>
      </c>
      <c r="H10097" s="14">
        <f t="shared" si="2"/>
        <v>26</v>
      </c>
      <c r="I10097" s="15">
        <f t="shared" si="3"/>
        <v>16</v>
      </c>
    </row>
    <row r="10098">
      <c r="A10098" s="8" t="str">
        <f>IFERROR(__xludf.DUMMYFUNCTION("IF('(INGESTA)Datos_consumo_datadis'!A10098&lt;&gt;"""",SPLIT('(INGESTA)Datos_consumo_datadis'!A:A,"",""),"""")"),"ES0031408323131005HX0F")</f>
        <v>ES0031408323131005HX0F</v>
      </c>
      <c r="B10098" s="17">
        <f>IFERROR(__xludf.DUMMYFUNCTION("""COMPUTED_VALUE"""),45286.0)</f>
        <v>45286</v>
      </c>
      <c r="C10098" s="13">
        <f>IFERROR(__xludf.DUMMYFUNCTION("""COMPUTED_VALUE"""),0.7083333333333334)</f>
        <v>0.7083333333</v>
      </c>
      <c r="D10098" s="8">
        <f>IFERROR(__xludf.DUMMYFUNCTION("""COMPUTED_VALUE"""),0.254)</f>
        <v>0.254</v>
      </c>
      <c r="E10098" s="8" t="str">
        <f>IFERROR(__xludf.DUMMYFUNCTION("""COMPUTED_VALUE"""),"Real")</f>
        <v>Real</v>
      </c>
      <c r="G10098" s="8">
        <f t="shared" si="1"/>
        <v>12</v>
      </c>
      <c r="H10098" s="14">
        <f t="shared" si="2"/>
        <v>26</v>
      </c>
      <c r="I10098" s="15">
        <f t="shared" si="3"/>
        <v>17</v>
      </c>
    </row>
    <row r="10099">
      <c r="A10099" s="8" t="str">
        <f>IFERROR(__xludf.DUMMYFUNCTION("IF('(INGESTA)Datos_consumo_datadis'!A10099&lt;&gt;"""",SPLIT('(INGESTA)Datos_consumo_datadis'!A:A,"",""),"""")"),"ES0031408323131005HX0F")</f>
        <v>ES0031408323131005HX0F</v>
      </c>
      <c r="B10099" s="17">
        <f>IFERROR(__xludf.DUMMYFUNCTION("""COMPUTED_VALUE"""),45286.0)</f>
        <v>45286</v>
      </c>
      <c r="C10099" s="13">
        <f>IFERROR(__xludf.DUMMYFUNCTION("""COMPUTED_VALUE"""),0.75)</f>
        <v>0.75</v>
      </c>
      <c r="D10099" s="8">
        <f>IFERROR(__xludf.DUMMYFUNCTION("""COMPUTED_VALUE"""),0.176)</f>
        <v>0.176</v>
      </c>
      <c r="E10099" s="8" t="str">
        <f>IFERROR(__xludf.DUMMYFUNCTION("""COMPUTED_VALUE"""),"Real")</f>
        <v>Real</v>
      </c>
      <c r="G10099" s="8">
        <f t="shared" si="1"/>
        <v>12</v>
      </c>
      <c r="H10099" s="14">
        <f t="shared" si="2"/>
        <v>26</v>
      </c>
      <c r="I10099" s="15">
        <f t="shared" si="3"/>
        <v>18</v>
      </c>
    </row>
    <row r="10100">
      <c r="A10100" s="8" t="str">
        <f>IFERROR(__xludf.DUMMYFUNCTION("IF('(INGESTA)Datos_consumo_datadis'!A10100&lt;&gt;"""",SPLIT('(INGESTA)Datos_consumo_datadis'!A:A,"",""),"""")"),"ES0031408323131005HX0F")</f>
        <v>ES0031408323131005HX0F</v>
      </c>
      <c r="B10100" s="17">
        <f>IFERROR(__xludf.DUMMYFUNCTION("""COMPUTED_VALUE"""),45286.0)</f>
        <v>45286</v>
      </c>
      <c r="C10100" s="13">
        <f>IFERROR(__xludf.DUMMYFUNCTION("""COMPUTED_VALUE"""),0.7916666666666666)</f>
        <v>0.7916666667</v>
      </c>
      <c r="D10100" s="8">
        <f>IFERROR(__xludf.DUMMYFUNCTION("""COMPUTED_VALUE"""),0.059)</f>
        <v>0.059</v>
      </c>
      <c r="E10100" s="8" t="str">
        <f>IFERROR(__xludf.DUMMYFUNCTION("""COMPUTED_VALUE"""),"Real")</f>
        <v>Real</v>
      </c>
      <c r="G10100" s="8">
        <f t="shared" si="1"/>
        <v>12</v>
      </c>
      <c r="H10100" s="14">
        <f t="shared" si="2"/>
        <v>26</v>
      </c>
      <c r="I10100" s="15">
        <f t="shared" si="3"/>
        <v>19</v>
      </c>
    </row>
    <row r="10101">
      <c r="A10101" s="8" t="str">
        <f>IFERROR(__xludf.DUMMYFUNCTION("IF('(INGESTA)Datos_consumo_datadis'!A10101&lt;&gt;"""",SPLIT('(INGESTA)Datos_consumo_datadis'!A:A,"",""),"""")"),"ES0031408323131005HX0F")</f>
        <v>ES0031408323131005HX0F</v>
      </c>
      <c r="B10101" s="17">
        <f>IFERROR(__xludf.DUMMYFUNCTION("""COMPUTED_VALUE"""),45286.0)</f>
        <v>45286</v>
      </c>
      <c r="C10101" s="13">
        <f>IFERROR(__xludf.DUMMYFUNCTION("""COMPUTED_VALUE"""),0.8333333333333334)</f>
        <v>0.8333333333</v>
      </c>
      <c r="D10101" s="8">
        <f>IFERROR(__xludf.DUMMYFUNCTION("""COMPUTED_VALUE"""),0.103)</f>
        <v>0.103</v>
      </c>
      <c r="E10101" s="8" t="str">
        <f>IFERROR(__xludf.DUMMYFUNCTION("""COMPUTED_VALUE"""),"Real")</f>
        <v>Real</v>
      </c>
      <c r="G10101" s="8">
        <f t="shared" si="1"/>
        <v>12</v>
      </c>
      <c r="H10101" s="14">
        <f t="shared" si="2"/>
        <v>26</v>
      </c>
      <c r="I10101" s="15">
        <f t="shared" si="3"/>
        <v>20</v>
      </c>
    </row>
    <row r="10102">
      <c r="A10102" s="8" t="str">
        <f>IFERROR(__xludf.DUMMYFUNCTION("IF('(INGESTA)Datos_consumo_datadis'!A10102&lt;&gt;"""",SPLIT('(INGESTA)Datos_consumo_datadis'!A:A,"",""),"""")"),"ES0031408323131005HX0F")</f>
        <v>ES0031408323131005HX0F</v>
      </c>
      <c r="B10102" s="17">
        <f>IFERROR(__xludf.DUMMYFUNCTION("""COMPUTED_VALUE"""),45286.0)</f>
        <v>45286</v>
      </c>
      <c r="C10102" s="13">
        <f>IFERROR(__xludf.DUMMYFUNCTION("""COMPUTED_VALUE"""),0.875)</f>
        <v>0.875</v>
      </c>
      <c r="D10102" s="8">
        <f>IFERROR(__xludf.DUMMYFUNCTION("""COMPUTED_VALUE"""),0.075)</f>
        <v>0.075</v>
      </c>
      <c r="E10102" s="8" t="str">
        <f>IFERROR(__xludf.DUMMYFUNCTION("""COMPUTED_VALUE"""),"Real")</f>
        <v>Real</v>
      </c>
      <c r="G10102" s="8">
        <f t="shared" si="1"/>
        <v>12</v>
      </c>
      <c r="H10102" s="14">
        <f t="shared" si="2"/>
        <v>26</v>
      </c>
      <c r="I10102" s="15">
        <f t="shared" si="3"/>
        <v>21</v>
      </c>
    </row>
    <row r="10103">
      <c r="A10103" s="8" t="str">
        <f>IFERROR(__xludf.DUMMYFUNCTION("IF('(INGESTA)Datos_consumo_datadis'!A10103&lt;&gt;"""",SPLIT('(INGESTA)Datos_consumo_datadis'!A:A,"",""),"""")"),"ES0031408323131005HX0F")</f>
        <v>ES0031408323131005HX0F</v>
      </c>
      <c r="B10103" s="17">
        <f>IFERROR(__xludf.DUMMYFUNCTION("""COMPUTED_VALUE"""),45286.0)</f>
        <v>45286</v>
      </c>
      <c r="C10103" s="13">
        <f>IFERROR(__xludf.DUMMYFUNCTION("""COMPUTED_VALUE"""),0.9166666666666666)</f>
        <v>0.9166666667</v>
      </c>
      <c r="D10103" s="8">
        <f>IFERROR(__xludf.DUMMYFUNCTION("""COMPUTED_VALUE"""),0.023)</f>
        <v>0.023</v>
      </c>
      <c r="E10103" s="8" t="str">
        <f>IFERROR(__xludf.DUMMYFUNCTION("""COMPUTED_VALUE"""),"Real")</f>
        <v>Real</v>
      </c>
      <c r="G10103" s="8">
        <f t="shared" si="1"/>
        <v>12</v>
      </c>
      <c r="H10103" s="14">
        <f t="shared" si="2"/>
        <v>26</v>
      </c>
      <c r="I10103" s="15">
        <f t="shared" si="3"/>
        <v>22</v>
      </c>
    </row>
    <row r="10104">
      <c r="A10104" s="8" t="str">
        <f>IFERROR(__xludf.DUMMYFUNCTION("IF('(INGESTA)Datos_consumo_datadis'!A10104&lt;&gt;"""",SPLIT('(INGESTA)Datos_consumo_datadis'!A:A,"",""),"""")"),"ES0031408323131005HX0F")</f>
        <v>ES0031408323131005HX0F</v>
      </c>
      <c r="B10104" s="17">
        <f>IFERROR(__xludf.DUMMYFUNCTION("""COMPUTED_VALUE"""),45286.0)</f>
        <v>45286</v>
      </c>
      <c r="C10104" s="13">
        <f>IFERROR(__xludf.DUMMYFUNCTION("""COMPUTED_VALUE"""),0.9583333333333334)</f>
        <v>0.9583333333</v>
      </c>
      <c r="D10104" s="8">
        <f>IFERROR(__xludf.DUMMYFUNCTION("""COMPUTED_VALUE"""),0.372)</f>
        <v>0.372</v>
      </c>
      <c r="E10104" s="8" t="str">
        <f>IFERROR(__xludf.DUMMYFUNCTION("""COMPUTED_VALUE"""),"Real")</f>
        <v>Real</v>
      </c>
      <c r="G10104" s="8">
        <f t="shared" si="1"/>
        <v>12</v>
      </c>
      <c r="H10104" s="14">
        <f t="shared" si="2"/>
        <v>26</v>
      </c>
      <c r="I10104" s="15">
        <f t="shared" si="3"/>
        <v>23</v>
      </c>
    </row>
    <row r="10105">
      <c r="A10105" s="8" t="str">
        <f>IFERROR(__xludf.DUMMYFUNCTION("IF('(INGESTA)Datos_consumo_datadis'!A10105&lt;&gt;"""",SPLIT('(INGESTA)Datos_consumo_datadis'!A:A,"",""),"""")"),"ES0031408323131005HX0F")</f>
        <v>ES0031408323131005HX0F</v>
      </c>
      <c r="B10105" s="17">
        <f>IFERROR(__xludf.DUMMYFUNCTION("""COMPUTED_VALUE"""),45286.0)</f>
        <v>45286</v>
      </c>
      <c r="C10105" s="16">
        <f>IFERROR(__xludf.DUMMYFUNCTION("""COMPUTED_VALUE"""),1.0)</f>
        <v>1</v>
      </c>
      <c r="D10105" s="8">
        <f>IFERROR(__xludf.DUMMYFUNCTION("""COMPUTED_VALUE"""),0.073)</f>
        <v>0.073</v>
      </c>
      <c r="E10105" s="8" t="str">
        <f>IFERROR(__xludf.DUMMYFUNCTION("""COMPUTED_VALUE"""),"Real")</f>
        <v>Real</v>
      </c>
      <c r="G10105" s="8">
        <f t="shared" si="1"/>
        <v>12</v>
      </c>
      <c r="H10105" s="14">
        <f t="shared" si="2"/>
        <v>26</v>
      </c>
      <c r="I10105" s="15">
        <f t="shared" si="3"/>
        <v>0</v>
      </c>
    </row>
    <row r="10106">
      <c r="A10106" s="8" t="str">
        <f>IFERROR(__xludf.DUMMYFUNCTION("IF('(INGESTA)Datos_consumo_datadis'!A10106&lt;&gt;"""",SPLIT('(INGESTA)Datos_consumo_datadis'!A:A,"",""),"""")"),"ES0031408323131005HX0F")</f>
        <v>ES0031408323131005HX0F</v>
      </c>
      <c r="B10106" s="17">
        <f>IFERROR(__xludf.DUMMYFUNCTION("""COMPUTED_VALUE"""),45287.0)</f>
        <v>45287</v>
      </c>
      <c r="C10106" s="13">
        <f>IFERROR(__xludf.DUMMYFUNCTION("""COMPUTED_VALUE"""),0.041666666666666664)</f>
        <v>0.04166666667</v>
      </c>
      <c r="D10106" s="8">
        <f>IFERROR(__xludf.DUMMYFUNCTION("""COMPUTED_VALUE"""),0.026)</f>
        <v>0.026</v>
      </c>
      <c r="E10106" s="8" t="str">
        <f>IFERROR(__xludf.DUMMYFUNCTION("""COMPUTED_VALUE"""),"Real")</f>
        <v>Real</v>
      </c>
      <c r="G10106" s="8">
        <f t="shared" si="1"/>
        <v>12</v>
      </c>
      <c r="H10106" s="14">
        <f t="shared" si="2"/>
        <v>27</v>
      </c>
      <c r="I10106" s="15">
        <f t="shared" si="3"/>
        <v>1</v>
      </c>
    </row>
    <row r="10107">
      <c r="A10107" s="8" t="str">
        <f>IFERROR(__xludf.DUMMYFUNCTION("IF('(INGESTA)Datos_consumo_datadis'!A10107&lt;&gt;"""",SPLIT('(INGESTA)Datos_consumo_datadis'!A:A,"",""),"""")"),"ES0031408323131005HX0F")</f>
        <v>ES0031408323131005HX0F</v>
      </c>
      <c r="B10107" s="17">
        <f>IFERROR(__xludf.DUMMYFUNCTION("""COMPUTED_VALUE"""),45287.0)</f>
        <v>45287</v>
      </c>
      <c r="C10107" s="13">
        <f>IFERROR(__xludf.DUMMYFUNCTION("""COMPUTED_VALUE"""),0.08333333333333333)</f>
        <v>0.08333333333</v>
      </c>
      <c r="D10107" s="8">
        <f>IFERROR(__xludf.DUMMYFUNCTION("""COMPUTED_VALUE"""),0.075)</f>
        <v>0.075</v>
      </c>
      <c r="E10107" s="8" t="str">
        <f>IFERROR(__xludf.DUMMYFUNCTION("""COMPUTED_VALUE"""),"Real")</f>
        <v>Real</v>
      </c>
      <c r="G10107" s="8">
        <f t="shared" si="1"/>
        <v>12</v>
      </c>
      <c r="H10107" s="14">
        <f t="shared" si="2"/>
        <v>27</v>
      </c>
      <c r="I10107" s="15">
        <f t="shared" si="3"/>
        <v>2</v>
      </c>
    </row>
    <row r="10108">
      <c r="A10108" s="8" t="str">
        <f>IFERROR(__xludf.DUMMYFUNCTION("IF('(INGESTA)Datos_consumo_datadis'!A10108&lt;&gt;"""",SPLIT('(INGESTA)Datos_consumo_datadis'!A:A,"",""),"""")"),"ES0031408323131005HX0F")</f>
        <v>ES0031408323131005HX0F</v>
      </c>
      <c r="B10108" s="17">
        <f>IFERROR(__xludf.DUMMYFUNCTION("""COMPUTED_VALUE"""),45287.0)</f>
        <v>45287</v>
      </c>
      <c r="C10108" s="13">
        <f>IFERROR(__xludf.DUMMYFUNCTION("""COMPUTED_VALUE"""),0.125)</f>
        <v>0.125</v>
      </c>
      <c r="D10108" s="8">
        <f>IFERROR(__xludf.DUMMYFUNCTION("""COMPUTED_VALUE"""),0.091)</f>
        <v>0.091</v>
      </c>
      <c r="E10108" s="8" t="str">
        <f>IFERROR(__xludf.DUMMYFUNCTION("""COMPUTED_VALUE"""),"Real")</f>
        <v>Real</v>
      </c>
      <c r="G10108" s="8">
        <f t="shared" si="1"/>
        <v>12</v>
      </c>
      <c r="H10108" s="14">
        <f t="shared" si="2"/>
        <v>27</v>
      </c>
      <c r="I10108" s="15">
        <f t="shared" si="3"/>
        <v>3</v>
      </c>
    </row>
    <row r="10109">
      <c r="A10109" s="8" t="str">
        <f>IFERROR(__xludf.DUMMYFUNCTION("IF('(INGESTA)Datos_consumo_datadis'!A10109&lt;&gt;"""",SPLIT('(INGESTA)Datos_consumo_datadis'!A:A,"",""),"""")"),"ES0031408323131005HX0F")</f>
        <v>ES0031408323131005HX0F</v>
      </c>
      <c r="B10109" s="17">
        <f>IFERROR(__xludf.DUMMYFUNCTION("""COMPUTED_VALUE"""),45287.0)</f>
        <v>45287</v>
      </c>
      <c r="C10109" s="13">
        <f>IFERROR(__xludf.DUMMYFUNCTION("""COMPUTED_VALUE"""),0.16666666666666666)</f>
        <v>0.1666666667</v>
      </c>
      <c r="D10109" s="8">
        <f>IFERROR(__xludf.DUMMYFUNCTION("""COMPUTED_VALUE"""),0.066)</f>
        <v>0.066</v>
      </c>
      <c r="E10109" s="8" t="str">
        <f>IFERROR(__xludf.DUMMYFUNCTION("""COMPUTED_VALUE"""),"Real")</f>
        <v>Real</v>
      </c>
      <c r="G10109" s="8">
        <f t="shared" si="1"/>
        <v>12</v>
      </c>
      <c r="H10109" s="14">
        <f t="shared" si="2"/>
        <v>27</v>
      </c>
      <c r="I10109" s="15">
        <f t="shared" si="3"/>
        <v>4</v>
      </c>
    </row>
    <row r="10110">
      <c r="A10110" s="8" t="str">
        <f>IFERROR(__xludf.DUMMYFUNCTION("IF('(INGESTA)Datos_consumo_datadis'!A10110&lt;&gt;"""",SPLIT('(INGESTA)Datos_consumo_datadis'!A:A,"",""),"""")"),"ES0031408323131005HX0F")</f>
        <v>ES0031408323131005HX0F</v>
      </c>
      <c r="B10110" s="17">
        <f>IFERROR(__xludf.DUMMYFUNCTION("""COMPUTED_VALUE"""),45287.0)</f>
        <v>45287</v>
      </c>
      <c r="C10110" s="13">
        <f>IFERROR(__xludf.DUMMYFUNCTION("""COMPUTED_VALUE"""),0.20833333333333334)</f>
        <v>0.2083333333</v>
      </c>
      <c r="D10110" s="8">
        <f>IFERROR(__xludf.DUMMYFUNCTION("""COMPUTED_VALUE"""),0.345)</f>
        <v>0.345</v>
      </c>
      <c r="E10110" s="8" t="str">
        <f>IFERROR(__xludf.DUMMYFUNCTION("""COMPUTED_VALUE"""),"Real")</f>
        <v>Real</v>
      </c>
      <c r="G10110" s="8">
        <f t="shared" si="1"/>
        <v>12</v>
      </c>
      <c r="H10110" s="14">
        <f t="shared" si="2"/>
        <v>27</v>
      </c>
      <c r="I10110" s="15">
        <f t="shared" si="3"/>
        <v>5</v>
      </c>
    </row>
    <row r="10111">
      <c r="A10111" s="8" t="str">
        <f>IFERROR(__xludf.DUMMYFUNCTION("IF('(INGESTA)Datos_consumo_datadis'!A10111&lt;&gt;"""",SPLIT('(INGESTA)Datos_consumo_datadis'!A:A,"",""),"""")"),"ES0031408323131005HX0F")</f>
        <v>ES0031408323131005HX0F</v>
      </c>
      <c r="B10111" s="17">
        <f>IFERROR(__xludf.DUMMYFUNCTION("""COMPUTED_VALUE"""),45287.0)</f>
        <v>45287</v>
      </c>
      <c r="C10111" s="13">
        <f>IFERROR(__xludf.DUMMYFUNCTION("""COMPUTED_VALUE"""),0.25)</f>
        <v>0.25</v>
      </c>
      <c r="D10111" s="8">
        <f>IFERROR(__xludf.DUMMYFUNCTION("""COMPUTED_VALUE"""),0.081)</f>
        <v>0.081</v>
      </c>
      <c r="E10111" s="8" t="str">
        <f>IFERROR(__xludf.DUMMYFUNCTION("""COMPUTED_VALUE"""),"Real")</f>
        <v>Real</v>
      </c>
      <c r="G10111" s="8">
        <f t="shared" si="1"/>
        <v>12</v>
      </c>
      <c r="H10111" s="14">
        <f t="shared" si="2"/>
        <v>27</v>
      </c>
      <c r="I10111" s="15">
        <f t="shared" si="3"/>
        <v>6</v>
      </c>
    </row>
    <row r="10112">
      <c r="A10112" s="8" t="str">
        <f>IFERROR(__xludf.DUMMYFUNCTION("IF('(INGESTA)Datos_consumo_datadis'!A10112&lt;&gt;"""",SPLIT('(INGESTA)Datos_consumo_datadis'!A:A,"",""),"""")"),"ES0031408323131005HX0F")</f>
        <v>ES0031408323131005HX0F</v>
      </c>
      <c r="B10112" s="17">
        <f>IFERROR(__xludf.DUMMYFUNCTION("""COMPUTED_VALUE"""),45287.0)</f>
        <v>45287</v>
      </c>
      <c r="C10112" s="13">
        <f>IFERROR(__xludf.DUMMYFUNCTION("""COMPUTED_VALUE"""),0.2916666666666667)</f>
        <v>0.2916666667</v>
      </c>
      <c r="D10112" s="8">
        <f>IFERROR(__xludf.DUMMYFUNCTION("""COMPUTED_VALUE"""),0.083)</f>
        <v>0.083</v>
      </c>
      <c r="E10112" s="8" t="str">
        <f>IFERROR(__xludf.DUMMYFUNCTION("""COMPUTED_VALUE"""),"Real")</f>
        <v>Real</v>
      </c>
      <c r="G10112" s="8">
        <f t="shared" si="1"/>
        <v>12</v>
      </c>
      <c r="H10112" s="14">
        <f t="shared" si="2"/>
        <v>27</v>
      </c>
      <c r="I10112" s="15">
        <f t="shared" si="3"/>
        <v>7</v>
      </c>
    </row>
    <row r="10113">
      <c r="A10113" s="8" t="str">
        <f>IFERROR(__xludf.DUMMYFUNCTION("IF('(INGESTA)Datos_consumo_datadis'!A10113&lt;&gt;"""",SPLIT('(INGESTA)Datos_consumo_datadis'!A:A,"",""),"""")"),"ES0031408323131005HX0F")</f>
        <v>ES0031408323131005HX0F</v>
      </c>
      <c r="B10113" s="17">
        <f>IFERROR(__xludf.DUMMYFUNCTION("""COMPUTED_VALUE"""),45287.0)</f>
        <v>45287</v>
      </c>
      <c r="C10113" s="13">
        <f>IFERROR(__xludf.DUMMYFUNCTION("""COMPUTED_VALUE"""),0.3333333333333333)</f>
        <v>0.3333333333</v>
      </c>
      <c r="D10113" s="8">
        <f>IFERROR(__xludf.DUMMYFUNCTION("""COMPUTED_VALUE"""),0.025)</f>
        <v>0.025</v>
      </c>
      <c r="E10113" s="8" t="str">
        <f>IFERROR(__xludf.DUMMYFUNCTION("""COMPUTED_VALUE"""),"Real")</f>
        <v>Real</v>
      </c>
      <c r="G10113" s="8">
        <f t="shared" si="1"/>
        <v>12</v>
      </c>
      <c r="H10113" s="14">
        <f t="shared" si="2"/>
        <v>27</v>
      </c>
      <c r="I10113" s="15">
        <f t="shared" si="3"/>
        <v>8</v>
      </c>
    </row>
    <row r="10114">
      <c r="A10114" s="8" t="str">
        <f>IFERROR(__xludf.DUMMYFUNCTION("IF('(INGESTA)Datos_consumo_datadis'!A10114&lt;&gt;"""",SPLIT('(INGESTA)Datos_consumo_datadis'!A:A,"",""),"""")"),"ES0031408323131005HX0F")</f>
        <v>ES0031408323131005HX0F</v>
      </c>
      <c r="B10114" s="17">
        <f>IFERROR(__xludf.DUMMYFUNCTION("""COMPUTED_VALUE"""),45287.0)</f>
        <v>45287</v>
      </c>
      <c r="C10114" s="13">
        <f>IFERROR(__xludf.DUMMYFUNCTION("""COMPUTED_VALUE"""),0.375)</f>
        <v>0.375</v>
      </c>
      <c r="D10114" s="8">
        <f>IFERROR(__xludf.DUMMYFUNCTION("""COMPUTED_VALUE"""),0.089)</f>
        <v>0.089</v>
      </c>
      <c r="E10114" s="8" t="str">
        <f>IFERROR(__xludf.DUMMYFUNCTION("""COMPUTED_VALUE"""),"Real")</f>
        <v>Real</v>
      </c>
      <c r="G10114" s="8">
        <f t="shared" si="1"/>
        <v>12</v>
      </c>
      <c r="H10114" s="14">
        <f t="shared" si="2"/>
        <v>27</v>
      </c>
      <c r="I10114" s="15">
        <f t="shared" si="3"/>
        <v>9</v>
      </c>
    </row>
    <row r="10115">
      <c r="A10115" s="8" t="str">
        <f>IFERROR(__xludf.DUMMYFUNCTION("IF('(INGESTA)Datos_consumo_datadis'!A10115&lt;&gt;"""",SPLIT('(INGESTA)Datos_consumo_datadis'!A:A,"",""),"""")"),"ES0031408323131005HX0F")</f>
        <v>ES0031408323131005HX0F</v>
      </c>
      <c r="B10115" s="17">
        <f>IFERROR(__xludf.DUMMYFUNCTION("""COMPUTED_VALUE"""),45287.0)</f>
        <v>45287</v>
      </c>
      <c r="C10115" s="13">
        <f>IFERROR(__xludf.DUMMYFUNCTION("""COMPUTED_VALUE"""),0.4166666666666667)</f>
        <v>0.4166666667</v>
      </c>
      <c r="D10115" s="8">
        <f>IFERROR(__xludf.DUMMYFUNCTION("""COMPUTED_VALUE"""),0.063)</f>
        <v>0.063</v>
      </c>
      <c r="E10115" s="8" t="str">
        <f>IFERROR(__xludf.DUMMYFUNCTION("""COMPUTED_VALUE"""),"Real")</f>
        <v>Real</v>
      </c>
      <c r="G10115" s="8">
        <f t="shared" si="1"/>
        <v>12</v>
      </c>
      <c r="H10115" s="14">
        <f t="shared" si="2"/>
        <v>27</v>
      </c>
      <c r="I10115" s="15">
        <f t="shared" si="3"/>
        <v>10</v>
      </c>
    </row>
    <row r="10116">
      <c r="A10116" s="8" t="str">
        <f>IFERROR(__xludf.DUMMYFUNCTION("IF('(INGESTA)Datos_consumo_datadis'!A10116&lt;&gt;"""",SPLIT('(INGESTA)Datos_consumo_datadis'!A:A,"",""),"""")"),"ES0031408323131005HX0F")</f>
        <v>ES0031408323131005HX0F</v>
      </c>
      <c r="B10116" s="17">
        <f>IFERROR(__xludf.DUMMYFUNCTION("""COMPUTED_VALUE"""),45287.0)</f>
        <v>45287</v>
      </c>
      <c r="C10116" s="13">
        <f>IFERROR(__xludf.DUMMYFUNCTION("""COMPUTED_VALUE"""),0.4583333333333333)</f>
        <v>0.4583333333</v>
      </c>
      <c r="D10116" s="8">
        <f>IFERROR(__xludf.DUMMYFUNCTION("""COMPUTED_VALUE"""),0.335)</f>
        <v>0.335</v>
      </c>
      <c r="E10116" s="8" t="str">
        <f>IFERROR(__xludf.DUMMYFUNCTION("""COMPUTED_VALUE"""),"Real")</f>
        <v>Real</v>
      </c>
      <c r="G10116" s="8">
        <f t="shared" si="1"/>
        <v>12</v>
      </c>
      <c r="H10116" s="14">
        <f t="shared" si="2"/>
        <v>27</v>
      </c>
      <c r="I10116" s="15">
        <f t="shared" si="3"/>
        <v>11</v>
      </c>
    </row>
    <row r="10117">
      <c r="A10117" s="8" t="str">
        <f>IFERROR(__xludf.DUMMYFUNCTION("IF('(INGESTA)Datos_consumo_datadis'!A10117&lt;&gt;"""",SPLIT('(INGESTA)Datos_consumo_datadis'!A:A,"",""),"""")"),"ES0031408323131005HX0F")</f>
        <v>ES0031408323131005HX0F</v>
      </c>
      <c r="B10117" s="17">
        <f>IFERROR(__xludf.DUMMYFUNCTION("""COMPUTED_VALUE"""),45287.0)</f>
        <v>45287</v>
      </c>
      <c r="C10117" s="13">
        <f>IFERROR(__xludf.DUMMYFUNCTION("""COMPUTED_VALUE"""),0.5)</f>
        <v>0.5</v>
      </c>
      <c r="D10117" s="8">
        <f>IFERROR(__xludf.DUMMYFUNCTION("""COMPUTED_VALUE"""),0.028)</f>
        <v>0.028</v>
      </c>
      <c r="E10117" s="8" t="str">
        <f>IFERROR(__xludf.DUMMYFUNCTION("""COMPUTED_VALUE"""),"Real")</f>
        <v>Real</v>
      </c>
      <c r="G10117" s="8">
        <f t="shared" si="1"/>
        <v>12</v>
      </c>
      <c r="H10117" s="14">
        <f t="shared" si="2"/>
        <v>27</v>
      </c>
      <c r="I10117" s="15">
        <f t="shared" si="3"/>
        <v>12</v>
      </c>
    </row>
    <row r="10118">
      <c r="A10118" s="8" t="str">
        <f>IFERROR(__xludf.DUMMYFUNCTION("IF('(INGESTA)Datos_consumo_datadis'!A10118&lt;&gt;"""",SPLIT('(INGESTA)Datos_consumo_datadis'!A:A,"",""),"""")"),"ES0031408323131005HX0F")</f>
        <v>ES0031408323131005HX0F</v>
      </c>
      <c r="B10118" s="17">
        <f>IFERROR(__xludf.DUMMYFUNCTION("""COMPUTED_VALUE"""),45287.0)</f>
        <v>45287</v>
      </c>
      <c r="C10118" s="13">
        <f>IFERROR(__xludf.DUMMYFUNCTION("""COMPUTED_VALUE"""),0.5416666666666666)</f>
        <v>0.5416666667</v>
      </c>
      <c r="D10118" s="8">
        <f>IFERROR(__xludf.DUMMYFUNCTION("""COMPUTED_VALUE"""),0.085)</f>
        <v>0.085</v>
      </c>
      <c r="E10118" s="8" t="str">
        <f>IFERROR(__xludf.DUMMYFUNCTION("""COMPUTED_VALUE"""),"Real")</f>
        <v>Real</v>
      </c>
      <c r="G10118" s="8">
        <f t="shared" si="1"/>
        <v>12</v>
      </c>
      <c r="H10118" s="14">
        <f t="shared" si="2"/>
        <v>27</v>
      </c>
      <c r="I10118" s="15">
        <f t="shared" si="3"/>
        <v>13</v>
      </c>
    </row>
    <row r="10119">
      <c r="A10119" s="8" t="str">
        <f>IFERROR(__xludf.DUMMYFUNCTION("IF('(INGESTA)Datos_consumo_datadis'!A10119&lt;&gt;"""",SPLIT('(INGESTA)Datos_consumo_datadis'!A:A,"",""),"""")"),"ES0031408323131005HX0F")</f>
        <v>ES0031408323131005HX0F</v>
      </c>
      <c r="B10119" s="17">
        <f>IFERROR(__xludf.DUMMYFUNCTION("""COMPUTED_VALUE"""),45287.0)</f>
        <v>45287</v>
      </c>
      <c r="C10119" s="13">
        <f>IFERROR(__xludf.DUMMYFUNCTION("""COMPUTED_VALUE"""),0.5833333333333334)</f>
        <v>0.5833333333</v>
      </c>
      <c r="D10119" s="8">
        <f>IFERROR(__xludf.DUMMYFUNCTION("""COMPUTED_VALUE"""),0.087)</f>
        <v>0.087</v>
      </c>
      <c r="E10119" s="8" t="str">
        <f>IFERROR(__xludf.DUMMYFUNCTION("""COMPUTED_VALUE"""),"Real")</f>
        <v>Real</v>
      </c>
      <c r="G10119" s="8">
        <f t="shared" si="1"/>
        <v>12</v>
      </c>
      <c r="H10119" s="14">
        <f t="shared" si="2"/>
        <v>27</v>
      </c>
      <c r="I10119" s="15">
        <f t="shared" si="3"/>
        <v>14</v>
      </c>
    </row>
    <row r="10120">
      <c r="A10120" s="8" t="str">
        <f>IFERROR(__xludf.DUMMYFUNCTION("IF('(INGESTA)Datos_consumo_datadis'!A10120&lt;&gt;"""",SPLIT('(INGESTA)Datos_consumo_datadis'!A:A,"",""),"""")"),"ES0031408323131005HX0F")</f>
        <v>ES0031408323131005HX0F</v>
      </c>
      <c r="B10120" s="17">
        <f>IFERROR(__xludf.DUMMYFUNCTION("""COMPUTED_VALUE"""),45287.0)</f>
        <v>45287</v>
      </c>
      <c r="C10120" s="13">
        <f>IFERROR(__xludf.DUMMYFUNCTION("""COMPUTED_VALUE"""),0.625)</f>
        <v>0.625</v>
      </c>
      <c r="D10120" s="8">
        <f>IFERROR(__xludf.DUMMYFUNCTION("""COMPUTED_VALUE"""),0.027)</f>
        <v>0.027</v>
      </c>
      <c r="E10120" s="8" t="str">
        <f>IFERROR(__xludf.DUMMYFUNCTION("""COMPUTED_VALUE"""),"Real")</f>
        <v>Real</v>
      </c>
      <c r="G10120" s="8">
        <f t="shared" si="1"/>
        <v>12</v>
      </c>
      <c r="H10120" s="14">
        <f t="shared" si="2"/>
        <v>27</v>
      </c>
      <c r="I10120" s="15">
        <f t="shared" si="3"/>
        <v>15</v>
      </c>
    </row>
    <row r="10121">
      <c r="A10121" s="8" t="str">
        <f>IFERROR(__xludf.DUMMYFUNCTION("IF('(INGESTA)Datos_consumo_datadis'!A10121&lt;&gt;"""",SPLIT('(INGESTA)Datos_consumo_datadis'!A:A,"",""),"""")"),"ES0031408323131005HX0F")</f>
        <v>ES0031408323131005HX0F</v>
      </c>
      <c r="B10121" s="17">
        <f>IFERROR(__xludf.DUMMYFUNCTION("""COMPUTED_VALUE"""),45287.0)</f>
        <v>45287</v>
      </c>
      <c r="C10121" s="13">
        <f>IFERROR(__xludf.DUMMYFUNCTION("""COMPUTED_VALUE"""),0.6666666666666666)</f>
        <v>0.6666666667</v>
      </c>
      <c r="D10121" s="8">
        <f>IFERROR(__xludf.DUMMYFUNCTION("""COMPUTED_VALUE"""),0.353)</f>
        <v>0.353</v>
      </c>
      <c r="E10121" s="8" t="str">
        <f>IFERROR(__xludf.DUMMYFUNCTION("""COMPUTED_VALUE"""),"Real")</f>
        <v>Real</v>
      </c>
      <c r="G10121" s="8">
        <f t="shared" si="1"/>
        <v>12</v>
      </c>
      <c r="H10121" s="14">
        <f t="shared" si="2"/>
        <v>27</v>
      </c>
      <c r="I10121" s="15">
        <f t="shared" si="3"/>
        <v>16</v>
      </c>
    </row>
    <row r="10122">
      <c r="A10122" s="8" t="str">
        <f>IFERROR(__xludf.DUMMYFUNCTION("IF('(INGESTA)Datos_consumo_datadis'!A10122&lt;&gt;"""",SPLIT('(INGESTA)Datos_consumo_datadis'!A:A,"",""),"""")"),"ES0031408323131005HX0F")</f>
        <v>ES0031408323131005HX0F</v>
      </c>
      <c r="B10122" s="17">
        <f>IFERROR(__xludf.DUMMYFUNCTION("""COMPUTED_VALUE"""),45287.0)</f>
        <v>45287</v>
      </c>
      <c r="C10122" s="13">
        <f>IFERROR(__xludf.DUMMYFUNCTION("""COMPUTED_VALUE"""),0.7083333333333334)</f>
        <v>0.7083333333</v>
      </c>
      <c r="D10122" s="8">
        <f>IFERROR(__xludf.DUMMYFUNCTION("""COMPUTED_VALUE"""),0.06)</f>
        <v>0.06</v>
      </c>
      <c r="E10122" s="8" t="str">
        <f>IFERROR(__xludf.DUMMYFUNCTION("""COMPUTED_VALUE"""),"Real")</f>
        <v>Real</v>
      </c>
      <c r="G10122" s="8">
        <f t="shared" si="1"/>
        <v>12</v>
      </c>
      <c r="H10122" s="14">
        <f t="shared" si="2"/>
        <v>27</v>
      </c>
      <c r="I10122" s="15">
        <f t="shared" si="3"/>
        <v>17</v>
      </c>
    </row>
    <row r="10123">
      <c r="A10123" s="8" t="str">
        <f>IFERROR(__xludf.DUMMYFUNCTION("IF('(INGESTA)Datos_consumo_datadis'!A10123&lt;&gt;"""",SPLIT('(INGESTA)Datos_consumo_datadis'!A:A,"",""),"""")"),"ES0031408323131005HX0F")</f>
        <v>ES0031408323131005HX0F</v>
      </c>
      <c r="B10123" s="17">
        <f>IFERROR(__xludf.DUMMYFUNCTION("""COMPUTED_VALUE"""),45287.0)</f>
        <v>45287</v>
      </c>
      <c r="C10123" s="13">
        <f>IFERROR(__xludf.DUMMYFUNCTION("""COMPUTED_VALUE"""),0.75)</f>
        <v>0.75</v>
      </c>
      <c r="D10123" s="8">
        <f>IFERROR(__xludf.DUMMYFUNCTION("""COMPUTED_VALUE"""),0.083)</f>
        <v>0.083</v>
      </c>
      <c r="E10123" s="8" t="str">
        <f>IFERROR(__xludf.DUMMYFUNCTION("""COMPUTED_VALUE"""),"Real")</f>
        <v>Real</v>
      </c>
      <c r="G10123" s="8">
        <f t="shared" si="1"/>
        <v>12</v>
      </c>
      <c r="H10123" s="14">
        <f t="shared" si="2"/>
        <v>27</v>
      </c>
      <c r="I10123" s="15">
        <f t="shared" si="3"/>
        <v>18</v>
      </c>
    </row>
    <row r="10124">
      <c r="A10124" s="8" t="str">
        <f>IFERROR(__xludf.DUMMYFUNCTION("IF('(INGESTA)Datos_consumo_datadis'!A10124&lt;&gt;"""",SPLIT('(INGESTA)Datos_consumo_datadis'!A:A,"",""),"""")"),"ES0031408323131005HX0F")</f>
        <v>ES0031408323131005HX0F</v>
      </c>
      <c r="B10124" s="17">
        <f>IFERROR(__xludf.DUMMYFUNCTION("""COMPUTED_VALUE"""),45287.0)</f>
        <v>45287</v>
      </c>
      <c r="C10124" s="13">
        <f>IFERROR(__xludf.DUMMYFUNCTION("""COMPUTED_VALUE"""),0.7916666666666666)</f>
        <v>0.7916666667</v>
      </c>
      <c r="D10124" s="8">
        <f>IFERROR(__xludf.DUMMYFUNCTION("""COMPUTED_VALUE"""),0.023)</f>
        <v>0.023</v>
      </c>
      <c r="E10124" s="8" t="str">
        <f>IFERROR(__xludf.DUMMYFUNCTION("""COMPUTED_VALUE"""),"Real")</f>
        <v>Real</v>
      </c>
      <c r="G10124" s="8">
        <f t="shared" si="1"/>
        <v>12</v>
      </c>
      <c r="H10124" s="14">
        <f t="shared" si="2"/>
        <v>27</v>
      </c>
      <c r="I10124" s="15">
        <f t="shared" si="3"/>
        <v>19</v>
      </c>
    </row>
    <row r="10125">
      <c r="A10125" s="8" t="str">
        <f>IFERROR(__xludf.DUMMYFUNCTION("IF('(INGESTA)Datos_consumo_datadis'!A10125&lt;&gt;"""",SPLIT('(INGESTA)Datos_consumo_datadis'!A:A,"",""),"""")"),"ES0031408323131005HX0F")</f>
        <v>ES0031408323131005HX0F</v>
      </c>
      <c r="B10125" s="17">
        <f>IFERROR(__xludf.DUMMYFUNCTION("""COMPUTED_VALUE"""),45287.0)</f>
        <v>45287</v>
      </c>
      <c r="C10125" s="13">
        <f>IFERROR(__xludf.DUMMYFUNCTION("""COMPUTED_VALUE"""),0.8333333333333334)</f>
        <v>0.8333333333</v>
      </c>
      <c r="D10125" s="8">
        <f>IFERROR(__xludf.DUMMYFUNCTION("""COMPUTED_VALUE"""),0.091)</f>
        <v>0.091</v>
      </c>
      <c r="E10125" s="8" t="str">
        <f>IFERROR(__xludf.DUMMYFUNCTION("""COMPUTED_VALUE"""),"Real")</f>
        <v>Real</v>
      </c>
      <c r="G10125" s="8">
        <f t="shared" si="1"/>
        <v>12</v>
      </c>
      <c r="H10125" s="14">
        <f t="shared" si="2"/>
        <v>27</v>
      </c>
      <c r="I10125" s="15">
        <f t="shared" si="3"/>
        <v>20</v>
      </c>
    </row>
    <row r="10126">
      <c r="A10126" s="8" t="str">
        <f>IFERROR(__xludf.DUMMYFUNCTION("IF('(INGESTA)Datos_consumo_datadis'!A10126&lt;&gt;"""",SPLIT('(INGESTA)Datos_consumo_datadis'!A:A,"",""),"""")"),"ES0031408323131005HX0F")</f>
        <v>ES0031408323131005HX0F</v>
      </c>
      <c r="B10126" s="17">
        <f>IFERROR(__xludf.DUMMYFUNCTION("""COMPUTED_VALUE"""),45287.0)</f>
        <v>45287</v>
      </c>
      <c r="C10126" s="13">
        <f>IFERROR(__xludf.DUMMYFUNCTION("""COMPUTED_VALUE"""),0.875)</f>
        <v>0.875</v>
      </c>
      <c r="D10126" s="8">
        <f>IFERROR(__xludf.DUMMYFUNCTION("""COMPUTED_VALUE"""),0.073)</f>
        <v>0.073</v>
      </c>
      <c r="E10126" s="8" t="str">
        <f>IFERROR(__xludf.DUMMYFUNCTION("""COMPUTED_VALUE"""),"Real")</f>
        <v>Real</v>
      </c>
      <c r="G10126" s="8">
        <f t="shared" si="1"/>
        <v>12</v>
      </c>
      <c r="H10126" s="14">
        <f t="shared" si="2"/>
        <v>27</v>
      </c>
      <c r="I10126" s="15">
        <f t="shared" si="3"/>
        <v>21</v>
      </c>
    </row>
    <row r="10127">
      <c r="A10127" s="8" t="str">
        <f>IFERROR(__xludf.DUMMYFUNCTION("IF('(INGESTA)Datos_consumo_datadis'!A10127&lt;&gt;"""",SPLIT('(INGESTA)Datos_consumo_datadis'!A:A,"",""),"""")"),"ES0031408323131005HX0F")</f>
        <v>ES0031408323131005HX0F</v>
      </c>
      <c r="B10127" s="17">
        <f>IFERROR(__xludf.DUMMYFUNCTION("""COMPUTED_VALUE"""),45287.0)</f>
        <v>45287</v>
      </c>
      <c r="C10127" s="13">
        <f>IFERROR(__xludf.DUMMYFUNCTION("""COMPUTED_VALUE"""),0.9166666666666666)</f>
        <v>0.9166666667</v>
      </c>
      <c r="D10127" s="8">
        <f>IFERROR(__xludf.DUMMYFUNCTION("""COMPUTED_VALUE"""),0.34)</f>
        <v>0.34</v>
      </c>
      <c r="E10127" s="8" t="str">
        <f>IFERROR(__xludf.DUMMYFUNCTION("""COMPUTED_VALUE"""),"Real")</f>
        <v>Real</v>
      </c>
      <c r="G10127" s="8">
        <f t="shared" si="1"/>
        <v>12</v>
      </c>
      <c r="H10127" s="14">
        <f t="shared" si="2"/>
        <v>27</v>
      </c>
      <c r="I10127" s="15">
        <f t="shared" si="3"/>
        <v>22</v>
      </c>
    </row>
    <row r="10128">
      <c r="A10128" s="8" t="str">
        <f>IFERROR(__xludf.DUMMYFUNCTION("IF('(INGESTA)Datos_consumo_datadis'!A10128&lt;&gt;"""",SPLIT('(INGESTA)Datos_consumo_datadis'!A:A,"",""),"""")"),"ES0031408323131005HX0F")</f>
        <v>ES0031408323131005HX0F</v>
      </c>
      <c r="B10128" s="17">
        <f>IFERROR(__xludf.DUMMYFUNCTION("""COMPUTED_VALUE"""),45287.0)</f>
        <v>45287</v>
      </c>
      <c r="C10128" s="13">
        <f>IFERROR(__xludf.DUMMYFUNCTION("""COMPUTED_VALUE"""),0.9583333333333334)</f>
        <v>0.9583333333</v>
      </c>
      <c r="D10128" s="8">
        <f>IFERROR(__xludf.DUMMYFUNCTION("""COMPUTED_VALUE"""),0.084)</f>
        <v>0.084</v>
      </c>
      <c r="E10128" s="8" t="str">
        <f>IFERROR(__xludf.DUMMYFUNCTION("""COMPUTED_VALUE"""),"Real")</f>
        <v>Real</v>
      </c>
      <c r="G10128" s="8">
        <f t="shared" si="1"/>
        <v>12</v>
      </c>
      <c r="H10128" s="14">
        <f t="shared" si="2"/>
        <v>27</v>
      </c>
      <c r="I10128" s="15">
        <f t="shared" si="3"/>
        <v>23</v>
      </c>
    </row>
    <row r="10129">
      <c r="A10129" s="8" t="str">
        <f>IFERROR(__xludf.DUMMYFUNCTION("IF('(INGESTA)Datos_consumo_datadis'!A10129&lt;&gt;"""",SPLIT('(INGESTA)Datos_consumo_datadis'!A:A,"",""),"""")"),"ES0031408323131005HX0F")</f>
        <v>ES0031408323131005HX0F</v>
      </c>
      <c r="B10129" s="17">
        <f>IFERROR(__xludf.DUMMYFUNCTION("""COMPUTED_VALUE"""),45287.0)</f>
        <v>45287</v>
      </c>
      <c r="C10129" s="16">
        <f>IFERROR(__xludf.DUMMYFUNCTION("""COMPUTED_VALUE"""),1.0)</f>
        <v>1</v>
      </c>
      <c r="D10129" s="8">
        <f>IFERROR(__xludf.DUMMYFUNCTION("""COMPUTED_VALUE"""),0.085)</f>
        <v>0.085</v>
      </c>
      <c r="E10129" s="8" t="str">
        <f>IFERROR(__xludf.DUMMYFUNCTION("""COMPUTED_VALUE"""),"Real")</f>
        <v>Real</v>
      </c>
      <c r="G10129" s="8">
        <f t="shared" si="1"/>
        <v>12</v>
      </c>
      <c r="H10129" s="14">
        <f t="shared" si="2"/>
        <v>27</v>
      </c>
      <c r="I10129" s="15">
        <f t="shared" si="3"/>
        <v>0</v>
      </c>
    </row>
    <row r="10130">
      <c r="A10130" s="8" t="str">
        <f>IFERROR(__xludf.DUMMYFUNCTION("IF('(INGESTA)Datos_consumo_datadis'!A10130&lt;&gt;"""",SPLIT('(INGESTA)Datos_consumo_datadis'!A:A,"",""),"""")"),"ES0031408323131005HX0F")</f>
        <v>ES0031408323131005HX0F</v>
      </c>
      <c r="B10130" s="17">
        <f>IFERROR(__xludf.DUMMYFUNCTION("""COMPUTED_VALUE"""),45288.0)</f>
        <v>45288</v>
      </c>
      <c r="C10130" s="13">
        <f>IFERROR(__xludf.DUMMYFUNCTION("""COMPUTED_VALUE"""),0.041666666666666664)</f>
        <v>0.04166666667</v>
      </c>
      <c r="D10130" s="8">
        <f>IFERROR(__xludf.DUMMYFUNCTION("""COMPUTED_VALUE"""),0.055)</f>
        <v>0.055</v>
      </c>
      <c r="E10130" s="8" t="str">
        <f>IFERROR(__xludf.DUMMYFUNCTION("""COMPUTED_VALUE"""),"Real")</f>
        <v>Real</v>
      </c>
      <c r="G10130" s="8">
        <f t="shared" si="1"/>
        <v>12</v>
      </c>
      <c r="H10130" s="14">
        <f t="shared" si="2"/>
        <v>28</v>
      </c>
      <c r="I10130" s="15">
        <f t="shared" si="3"/>
        <v>1</v>
      </c>
    </row>
    <row r="10131">
      <c r="A10131" s="8" t="str">
        <f>IFERROR(__xludf.DUMMYFUNCTION("IF('(INGESTA)Datos_consumo_datadis'!A10131&lt;&gt;"""",SPLIT('(INGESTA)Datos_consumo_datadis'!A:A,"",""),"""")"),"ES0031408323131005HX0F")</f>
        <v>ES0031408323131005HX0F</v>
      </c>
      <c r="B10131" s="17">
        <f>IFERROR(__xludf.DUMMYFUNCTION("""COMPUTED_VALUE"""),45288.0)</f>
        <v>45288</v>
      </c>
      <c r="C10131" s="13">
        <f>IFERROR(__xludf.DUMMYFUNCTION("""COMPUTED_VALUE"""),0.08333333333333333)</f>
        <v>0.08333333333</v>
      </c>
      <c r="D10131" s="8">
        <f>IFERROR(__xludf.DUMMYFUNCTION("""COMPUTED_VALUE"""),0.042)</f>
        <v>0.042</v>
      </c>
      <c r="E10131" s="8" t="str">
        <f>IFERROR(__xludf.DUMMYFUNCTION("""COMPUTED_VALUE"""),"Real")</f>
        <v>Real</v>
      </c>
      <c r="G10131" s="8">
        <f t="shared" si="1"/>
        <v>12</v>
      </c>
      <c r="H10131" s="14">
        <f t="shared" si="2"/>
        <v>28</v>
      </c>
      <c r="I10131" s="15">
        <f t="shared" si="3"/>
        <v>2</v>
      </c>
    </row>
    <row r="10132">
      <c r="A10132" s="8" t="str">
        <f>IFERROR(__xludf.DUMMYFUNCTION("IF('(INGESTA)Datos_consumo_datadis'!A10132&lt;&gt;"""",SPLIT('(INGESTA)Datos_consumo_datadis'!A:A,"",""),"""")"),"ES0031408323131005HX0F")</f>
        <v>ES0031408323131005HX0F</v>
      </c>
      <c r="B10132" s="17">
        <f>IFERROR(__xludf.DUMMYFUNCTION("""COMPUTED_VALUE"""),45288.0)</f>
        <v>45288</v>
      </c>
      <c r="C10132" s="13">
        <f>IFERROR(__xludf.DUMMYFUNCTION("""COMPUTED_VALUE"""),0.125)</f>
        <v>0.125</v>
      </c>
      <c r="D10132" s="8">
        <f>IFERROR(__xludf.DUMMYFUNCTION("""COMPUTED_VALUE"""),0.382)</f>
        <v>0.382</v>
      </c>
      <c r="E10132" s="8" t="str">
        <f>IFERROR(__xludf.DUMMYFUNCTION("""COMPUTED_VALUE"""),"Real")</f>
        <v>Real</v>
      </c>
      <c r="G10132" s="8">
        <f t="shared" si="1"/>
        <v>12</v>
      </c>
      <c r="H10132" s="14">
        <f t="shared" si="2"/>
        <v>28</v>
      </c>
      <c r="I10132" s="15">
        <f t="shared" si="3"/>
        <v>3</v>
      </c>
    </row>
    <row r="10133">
      <c r="A10133" s="8" t="str">
        <f>IFERROR(__xludf.DUMMYFUNCTION("IF('(INGESTA)Datos_consumo_datadis'!A10133&lt;&gt;"""",SPLIT('(INGESTA)Datos_consumo_datadis'!A:A,"",""),"""")"),"ES0031408323131005HX0F")</f>
        <v>ES0031408323131005HX0F</v>
      </c>
      <c r="B10133" s="17">
        <f>IFERROR(__xludf.DUMMYFUNCTION("""COMPUTED_VALUE"""),45288.0)</f>
        <v>45288</v>
      </c>
      <c r="C10133" s="13">
        <f>IFERROR(__xludf.DUMMYFUNCTION("""COMPUTED_VALUE"""),0.16666666666666666)</f>
        <v>0.1666666667</v>
      </c>
      <c r="D10133" s="8">
        <f>IFERROR(__xludf.DUMMYFUNCTION("""COMPUTED_VALUE"""),0.084)</f>
        <v>0.084</v>
      </c>
      <c r="E10133" s="8" t="str">
        <f>IFERROR(__xludf.DUMMYFUNCTION("""COMPUTED_VALUE"""),"Real")</f>
        <v>Real</v>
      </c>
      <c r="G10133" s="8">
        <f t="shared" si="1"/>
        <v>12</v>
      </c>
      <c r="H10133" s="14">
        <f t="shared" si="2"/>
        <v>28</v>
      </c>
      <c r="I10133" s="15">
        <f t="shared" si="3"/>
        <v>4</v>
      </c>
    </row>
    <row r="10134">
      <c r="A10134" s="8" t="str">
        <f>IFERROR(__xludf.DUMMYFUNCTION("IF('(INGESTA)Datos_consumo_datadis'!A10134&lt;&gt;"""",SPLIT('(INGESTA)Datos_consumo_datadis'!A:A,"",""),"""")"),"ES0031408323131005HX0F")</f>
        <v>ES0031408323131005HX0F</v>
      </c>
      <c r="B10134" s="17">
        <f>IFERROR(__xludf.DUMMYFUNCTION("""COMPUTED_VALUE"""),45288.0)</f>
        <v>45288</v>
      </c>
      <c r="C10134" s="13">
        <f>IFERROR(__xludf.DUMMYFUNCTION("""COMPUTED_VALUE"""),0.20833333333333334)</f>
        <v>0.2083333333</v>
      </c>
      <c r="D10134" s="8">
        <f>IFERROR(__xludf.DUMMYFUNCTION("""COMPUTED_VALUE"""),0.022)</f>
        <v>0.022</v>
      </c>
      <c r="E10134" s="8" t="str">
        <f>IFERROR(__xludf.DUMMYFUNCTION("""COMPUTED_VALUE"""),"Real")</f>
        <v>Real</v>
      </c>
      <c r="G10134" s="8">
        <f t="shared" si="1"/>
        <v>12</v>
      </c>
      <c r="H10134" s="14">
        <f t="shared" si="2"/>
        <v>28</v>
      </c>
      <c r="I10134" s="15">
        <f t="shared" si="3"/>
        <v>5</v>
      </c>
    </row>
    <row r="10135">
      <c r="A10135" s="8" t="str">
        <f>IFERROR(__xludf.DUMMYFUNCTION("IF('(INGESTA)Datos_consumo_datadis'!A10135&lt;&gt;"""",SPLIT('(INGESTA)Datos_consumo_datadis'!A:A,"",""),"""")"),"ES0031408323131005HX0F")</f>
        <v>ES0031408323131005HX0F</v>
      </c>
      <c r="B10135" s="17">
        <f>IFERROR(__xludf.DUMMYFUNCTION("""COMPUTED_VALUE"""),45288.0)</f>
        <v>45288</v>
      </c>
      <c r="C10135" s="13">
        <f>IFERROR(__xludf.DUMMYFUNCTION("""COMPUTED_VALUE"""),0.25)</f>
        <v>0.25</v>
      </c>
      <c r="D10135" s="8">
        <f>IFERROR(__xludf.DUMMYFUNCTION("""COMPUTED_VALUE"""),0.093)</f>
        <v>0.093</v>
      </c>
      <c r="E10135" s="8" t="str">
        <f>IFERROR(__xludf.DUMMYFUNCTION("""COMPUTED_VALUE"""),"Real")</f>
        <v>Real</v>
      </c>
      <c r="G10135" s="8">
        <f t="shared" si="1"/>
        <v>12</v>
      </c>
      <c r="H10135" s="14">
        <f t="shared" si="2"/>
        <v>28</v>
      </c>
      <c r="I10135" s="15">
        <f t="shared" si="3"/>
        <v>6</v>
      </c>
    </row>
    <row r="10136">
      <c r="A10136" s="8" t="str">
        <f>IFERROR(__xludf.DUMMYFUNCTION("IF('(INGESTA)Datos_consumo_datadis'!A10136&lt;&gt;"""",SPLIT('(INGESTA)Datos_consumo_datadis'!A:A,"",""),"""")"),"ES0031408323131005HX0F")</f>
        <v>ES0031408323131005HX0F</v>
      </c>
      <c r="B10136" s="17">
        <f>IFERROR(__xludf.DUMMYFUNCTION("""COMPUTED_VALUE"""),45288.0)</f>
        <v>45288</v>
      </c>
      <c r="C10136" s="13">
        <f>IFERROR(__xludf.DUMMYFUNCTION("""COMPUTED_VALUE"""),0.2916666666666667)</f>
        <v>0.2916666667</v>
      </c>
      <c r="D10136" s="8">
        <f>IFERROR(__xludf.DUMMYFUNCTION("""COMPUTED_VALUE"""),0.081)</f>
        <v>0.081</v>
      </c>
      <c r="E10136" s="8" t="str">
        <f>IFERROR(__xludf.DUMMYFUNCTION("""COMPUTED_VALUE"""),"Real")</f>
        <v>Real</v>
      </c>
      <c r="G10136" s="8">
        <f t="shared" si="1"/>
        <v>12</v>
      </c>
      <c r="H10136" s="14">
        <f t="shared" si="2"/>
        <v>28</v>
      </c>
      <c r="I10136" s="15">
        <f t="shared" si="3"/>
        <v>7</v>
      </c>
    </row>
    <row r="10137">
      <c r="A10137" s="8" t="str">
        <f>IFERROR(__xludf.DUMMYFUNCTION("IF('(INGESTA)Datos_consumo_datadis'!A10137&lt;&gt;"""",SPLIT('(INGESTA)Datos_consumo_datadis'!A:A,"",""),"""")"),"ES0031408323131005HX0F")</f>
        <v>ES0031408323131005HX0F</v>
      </c>
      <c r="B10137" s="17">
        <f>IFERROR(__xludf.DUMMYFUNCTION("""COMPUTED_VALUE"""),45288.0)</f>
        <v>45288</v>
      </c>
      <c r="C10137" s="13">
        <f>IFERROR(__xludf.DUMMYFUNCTION("""COMPUTED_VALUE"""),0.3333333333333333)</f>
        <v>0.3333333333</v>
      </c>
      <c r="D10137" s="8">
        <f>IFERROR(__xludf.DUMMYFUNCTION("""COMPUTED_VALUE"""),0.17)</f>
        <v>0.17</v>
      </c>
      <c r="E10137" s="8" t="str">
        <f>IFERROR(__xludf.DUMMYFUNCTION("""COMPUTED_VALUE"""),"Real")</f>
        <v>Real</v>
      </c>
      <c r="G10137" s="8">
        <f t="shared" si="1"/>
        <v>12</v>
      </c>
      <c r="H10137" s="14">
        <f t="shared" si="2"/>
        <v>28</v>
      </c>
      <c r="I10137" s="15">
        <f t="shared" si="3"/>
        <v>8</v>
      </c>
    </row>
    <row r="10138">
      <c r="A10138" s="8" t="str">
        <f>IFERROR(__xludf.DUMMYFUNCTION("IF('(INGESTA)Datos_consumo_datadis'!A10138&lt;&gt;"""",SPLIT('(INGESTA)Datos_consumo_datadis'!A:A,"",""),"""")"),"ES0031408323131005HX0F")</f>
        <v>ES0031408323131005HX0F</v>
      </c>
      <c r="B10138" s="17">
        <f>IFERROR(__xludf.DUMMYFUNCTION("""COMPUTED_VALUE"""),45288.0)</f>
        <v>45288</v>
      </c>
      <c r="C10138" s="13">
        <f>IFERROR(__xludf.DUMMYFUNCTION("""COMPUTED_VALUE"""),0.375)</f>
        <v>0.375</v>
      </c>
      <c r="D10138" s="8">
        <f>IFERROR(__xludf.DUMMYFUNCTION("""COMPUTED_VALUE"""),0.193)</f>
        <v>0.193</v>
      </c>
      <c r="E10138" s="8" t="str">
        <f>IFERROR(__xludf.DUMMYFUNCTION("""COMPUTED_VALUE"""),"Real")</f>
        <v>Real</v>
      </c>
      <c r="G10138" s="8">
        <f t="shared" si="1"/>
        <v>12</v>
      </c>
      <c r="H10138" s="14">
        <f t="shared" si="2"/>
        <v>28</v>
      </c>
      <c r="I10138" s="15">
        <f t="shared" si="3"/>
        <v>9</v>
      </c>
    </row>
    <row r="10139">
      <c r="A10139" s="8" t="str">
        <f>IFERROR(__xludf.DUMMYFUNCTION("IF('(INGESTA)Datos_consumo_datadis'!A10139&lt;&gt;"""",SPLIT('(INGESTA)Datos_consumo_datadis'!A:A,"",""),"""")"),"ES0031408323131005HX0F")</f>
        <v>ES0031408323131005HX0F</v>
      </c>
      <c r="B10139" s="17">
        <f>IFERROR(__xludf.DUMMYFUNCTION("""COMPUTED_VALUE"""),45288.0)</f>
        <v>45288</v>
      </c>
      <c r="C10139" s="13">
        <f>IFERROR(__xludf.DUMMYFUNCTION("""COMPUTED_VALUE"""),0.4166666666666667)</f>
        <v>0.4166666667</v>
      </c>
      <c r="D10139" s="8">
        <f>IFERROR(__xludf.DUMMYFUNCTION("""COMPUTED_VALUE"""),0.062)</f>
        <v>0.062</v>
      </c>
      <c r="E10139" s="8" t="str">
        <f>IFERROR(__xludf.DUMMYFUNCTION("""COMPUTED_VALUE"""),"Real")</f>
        <v>Real</v>
      </c>
      <c r="G10139" s="8">
        <f t="shared" si="1"/>
        <v>12</v>
      </c>
      <c r="H10139" s="14">
        <f t="shared" si="2"/>
        <v>28</v>
      </c>
      <c r="I10139" s="15">
        <f t="shared" si="3"/>
        <v>10</v>
      </c>
    </row>
    <row r="10140">
      <c r="A10140" s="8" t="str">
        <f>IFERROR(__xludf.DUMMYFUNCTION("IF('(INGESTA)Datos_consumo_datadis'!A10140&lt;&gt;"""",SPLIT('(INGESTA)Datos_consumo_datadis'!A:A,"",""),"""")"),"ES0031408323131005HX0F")</f>
        <v>ES0031408323131005HX0F</v>
      </c>
      <c r="B10140" s="17">
        <f>IFERROR(__xludf.DUMMYFUNCTION("""COMPUTED_VALUE"""),45288.0)</f>
        <v>45288</v>
      </c>
      <c r="C10140" s="13">
        <f>IFERROR(__xludf.DUMMYFUNCTION("""COMPUTED_VALUE"""),0.4583333333333333)</f>
        <v>0.4583333333</v>
      </c>
      <c r="D10140" s="8">
        <f>IFERROR(__xludf.DUMMYFUNCTION("""COMPUTED_VALUE"""),0.082)</f>
        <v>0.082</v>
      </c>
      <c r="E10140" s="8" t="str">
        <f>IFERROR(__xludf.DUMMYFUNCTION("""COMPUTED_VALUE"""),"Real")</f>
        <v>Real</v>
      </c>
      <c r="G10140" s="8">
        <f t="shared" si="1"/>
        <v>12</v>
      </c>
      <c r="H10140" s="14">
        <f t="shared" si="2"/>
        <v>28</v>
      </c>
      <c r="I10140" s="15">
        <f t="shared" si="3"/>
        <v>11</v>
      </c>
    </row>
    <row r="10141">
      <c r="A10141" s="8" t="str">
        <f>IFERROR(__xludf.DUMMYFUNCTION("IF('(INGESTA)Datos_consumo_datadis'!A10141&lt;&gt;"""",SPLIT('(INGESTA)Datos_consumo_datadis'!A:A,"",""),"""")"),"ES0031408323131005HX0F")</f>
        <v>ES0031408323131005HX0F</v>
      </c>
      <c r="B10141" s="17">
        <f>IFERROR(__xludf.DUMMYFUNCTION("""COMPUTED_VALUE"""),45288.0)</f>
        <v>45288</v>
      </c>
      <c r="C10141" s="13">
        <f>IFERROR(__xludf.DUMMYFUNCTION("""COMPUTED_VALUE"""),0.5)</f>
        <v>0.5</v>
      </c>
      <c r="D10141" s="8">
        <f>IFERROR(__xludf.DUMMYFUNCTION("""COMPUTED_VALUE"""),0.023)</f>
        <v>0.023</v>
      </c>
      <c r="E10141" s="8" t="str">
        <f>IFERROR(__xludf.DUMMYFUNCTION("""COMPUTED_VALUE"""),"Real")</f>
        <v>Real</v>
      </c>
      <c r="G10141" s="8">
        <f t="shared" si="1"/>
        <v>12</v>
      </c>
      <c r="H10141" s="14">
        <f t="shared" si="2"/>
        <v>28</v>
      </c>
      <c r="I10141" s="15">
        <f t="shared" si="3"/>
        <v>12</v>
      </c>
    </row>
    <row r="10142">
      <c r="A10142" s="8" t="str">
        <f>IFERROR(__xludf.DUMMYFUNCTION("IF('(INGESTA)Datos_consumo_datadis'!A10142&lt;&gt;"""",SPLIT('(INGESTA)Datos_consumo_datadis'!A:A,"",""),"""")"),"ES0031408323131005HX0F")</f>
        <v>ES0031408323131005HX0F</v>
      </c>
      <c r="B10142" s="17">
        <f>IFERROR(__xludf.DUMMYFUNCTION("""COMPUTED_VALUE"""),45288.0)</f>
        <v>45288</v>
      </c>
      <c r="C10142" s="13">
        <f>IFERROR(__xludf.DUMMYFUNCTION("""COMPUTED_VALUE"""),0.5416666666666666)</f>
        <v>0.5416666667</v>
      </c>
      <c r="D10142" s="8">
        <f>IFERROR(__xludf.DUMMYFUNCTION("""COMPUTED_VALUE"""),0.089)</f>
        <v>0.089</v>
      </c>
      <c r="E10142" s="8" t="str">
        <f>IFERROR(__xludf.DUMMYFUNCTION("""COMPUTED_VALUE"""),"Real")</f>
        <v>Real</v>
      </c>
      <c r="G10142" s="8">
        <f t="shared" si="1"/>
        <v>12</v>
      </c>
      <c r="H10142" s="14">
        <f t="shared" si="2"/>
        <v>28</v>
      </c>
      <c r="I10142" s="15">
        <f t="shared" si="3"/>
        <v>13</v>
      </c>
    </row>
    <row r="10143">
      <c r="A10143" s="8" t="str">
        <f>IFERROR(__xludf.DUMMYFUNCTION("IF('(INGESTA)Datos_consumo_datadis'!A10143&lt;&gt;"""",SPLIT('(INGESTA)Datos_consumo_datadis'!A:A,"",""),"""")"),"ES0031408323131005HX0F")</f>
        <v>ES0031408323131005HX0F</v>
      </c>
      <c r="B10143" s="17">
        <f>IFERROR(__xludf.DUMMYFUNCTION("""COMPUTED_VALUE"""),45288.0)</f>
        <v>45288</v>
      </c>
      <c r="C10143" s="13">
        <f>IFERROR(__xludf.DUMMYFUNCTION("""COMPUTED_VALUE"""),0.5833333333333334)</f>
        <v>0.5833333333</v>
      </c>
      <c r="D10143" s="8">
        <f>IFERROR(__xludf.DUMMYFUNCTION("""COMPUTED_VALUE"""),0.313)</f>
        <v>0.313</v>
      </c>
      <c r="E10143" s="8" t="str">
        <f>IFERROR(__xludf.DUMMYFUNCTION("""COMPUTED_VALUE"""),"Real")</f>
        <v>Real</v>
      </c>
      <c r="G10143" s="8">
        <f t="shared" si="1"/>
        <v>12</v>
      </c>
      <c r="H10143" s="14">
        <f t="shared" si="2"/>
        <v>28</v>
      </c>
      <c r="I10143" s="15">
        <f t="shared" si="3"/>
        <v>14</v>
      </c>
    </row>
    <row r="10144">
      <c r="A10144" s="8" t="str">
        <f>IFERROR(__xludf.DUMMYFUNCTION("IF('(INGESTA)Datos_consumo_datadis'!A10144&lt;&gt;"""",SPLIT('(INGESTA)Datos_consumo_datadis'!A:A,"",""),"""")"),"ES0031408323131005HX0F")</f>
        <v>ES0031408323131005HX0F</v>
      </c>
      <c r="B10144" s="17">
        <f>IFERROR(__xludf.DUMMYFUNCTION("""COMPUTED_VALUE"""),45288.0)</f>
        <v>45288</v>
      </c>
      <c r="C10144" s="13">
        <f>IFERROR(__xludf.DUMMYFUNCTION("""COMPUTED_VALUE"""),0.625)</f>
        <v>0.625</v>
      </c>
      <c r="D10144" s="8">
        <f>IFERROR(__xludf.DUMMYFUNCTION("""COMPUTED_VALUE"""),0.039)</f>
        <v>0.039</v>
      </c>
      <c r="E10144" s="8" t="str">
        <f>IFERROR(__xludf.DUMMYFUNCTION("""COMPUTED_VALUE"""),"Real")</f>
        <v>Real</v>
      </c>
      <c r="G10144" s="8">
        <f t="shared" si="1"/>
        <v>12</v>
      </c>
      <c r="H10144" s="14">
        <f t="shared" si="2"/>
        <v>28</v>
      </c>
      <c r="I10144" s="15">
        <f t="shared" si="3"/>
        <v>15</v>
      </c>
    </row>
    <row r="10145">
      <c r="A10145" s="8" t="str">
        <f>IFERROR(__xludf.DUMMYFUNCTION("IF('(INGESTA)Datos_consumo_datadis'!A10145&lt;&gt;"""",SPLIT('(INGESTA)Datos_consumo_datadis'!A:A,"",""),"""")"),"ES0031408323131005HX0F")</f>
        <v>ES0031408323131005HX0F</v>
      </c>
      <c r="B10145" s="17">
        <f>IFERROR(__xludf.DUMMYFUNCTION("""COMPUTED_VALUE"""),45288.0)</f>
        <v>45288</v>
      </c>
      <c r="C10145" s="13">
        <f>IFERROR(__xludf.DUMMYFUNCTION("""COMPUTED_VALUE"""),0.6666666666666666)</f>
        <v>0.6666666667</v>
      </c>
      <c r="D10145" s="8">
        <f>IFERROR(__xludf.DUMMYFUNCTION("""COMPUTED_VALUE"""),0.015)</f>
        <v>0.015</v>
      </c>
      <c r="E10145" s="8" t="str">
        <f>IFERROR(__xludf.DUMMYFUNCTION("""COMPUTED_VALUE"""),"Real")</f>
        <v>Real</v>
      </c>
      <c r="G10145" s="8">
        <f t="shared" si="1"/>
        <v>12</v>
      </c>
      <c r="H10145" s="14">
        <f t="shared" si="2"/>
        <v>28</v>
      </c>
      <c r="I10145" s="15">
        <f t="shared" si="3"/>
        <v>16</v>
      </c>
    </row>
    <row r="10146">
      <c r="A10146" s="8" t="str">
        <f>IFERROR(__xludf.DUMMYFUNCTION("IF('(INGESTA)Datos_consumo_datadis'!A10146&lt;&gt;"""",SPLIT('(INGESTA)Datos_consumo_datadis'!A:A,"",""),"""")"),"ES0031408323131005HX0F")</f>
        <v>ES0031408323131005HX0F</v>
      </c>
      <c r="B10146" s="17">
        <f>IFERROR(__xludf.DUMMYFUNCTION("""COMPUTED_VALUE"""),45288.0)</f>
        <v>45288</v>
      </c>
      <c r="C10146" s="13">
        <f>IFERROR(__xludf.DUMMYFUNCTION("""COMPUTED_VALUE"""),0.7083333333333334)</f>
        <v>0.7083333333</v>
      </c>
      <c r="D10146" s="8">
        <f>IFERROR(__xludf.DUMMYFUNCTION("""COMPUTED_VALUE"""),0.033)</f>
        <v>0.033</v>
      </c>
      <c r="E10146" s="8" t="str">
        <f>IFERROR(__xludf.DUMMYFUNCTION("""COMPUTED_VALUE"""),"Real")</f>
        <v>Real</v>
      </c>
      <c r="G10146" s="8">
        <f t="shared" si="1"/>
        <v>12</v>
      </c>
      <c r="H10146" s="14">
        <f t="shared" si="2"/>
        <v>28</v>
      </c>
      <c r="I10146" s="15">
        <f t="shared" si="3"/>
        <v>17</v>
      </c>
    </row>
    <row r="10147">
      <c r="A10147" s="8" t="str">
        <f>IFERROR(__xludf.DUMMYFUNCTION("IF('(INGESTA)Datos_consumo_datadis'!A10147&lt;&gt;"""",SPLIT('(INGESTA)Datos_consumo_datadis'!A:A,"",""),"""")"),"ES0031408323131005HX0F")</f>
        <v>ES0031408323131005HX0F</v>
      </c>
      <c r="B10147" s="17">
        <f>IFERROR(__xludf.DUMMYFUNCTION("""COMPUTED_VALUE"""),45288.0)</f>
        <v>45288</v>
      </c>
      <c r="C10147" s="13">
        <f>IFERROR(__xludf.DUMMYFUNCTION("""COMPUTED_VALUE"""),0.75)</f>
        <v>0.75</v>
      </c>
      <c r="D10147" s="8">
        <f>IFERROR(__xludf.DUMMYFUNCTION("""COMPUTED_VALUE"""),0.075)</f>
        <v>0.075</v>
      </c>
      <c r="E10147" s="8" t="str">
        <f>IFERROR(__xludf.DUMMYFUNCTION("""COMPUTED_VALUE"""),"Real")</f>
        <v>Real</v>
      </c>
      <c r="G10147" s="8">
        <f t="shared" si="1"/>
        <v>12</v>
      </c>
      <c r="H10147" s="14">
        <f t="shared" si="2"/>
        <v>28</v>
      </c>
      <c r="I10147" s="15">
        <f t="shared" si="3"/>
        <v>18</v>
      </c>
    </row>
    <row r="10148">
      <c r="A10148" s="8" t="str">
        <f>IFERROR(__xludf.DUMMYFUNCTION("IF('(INGESTA)Datos_consumo_datadis'!A10148&lt;&gt;"""",SPLIT('(INGESTA)Datos_consumo_datadis'!A:A,"",""),"""")"),"ES0031408323131005HX0F")</f>
        <v>ES0031408323131005HX0F</v>
      </c>
      <c r="B10148" s="17">
        <f>IFERROR(__xludf.DUMMYFUNCTION("""COMPUTED_VALUE"""),45288.0)</f>
        <v>45288</v>
      </c>
      <c r="C10148" s="13">
        <f>IFERROR(__xludf.DUMMYFUNCTION("""COMPUTED_VALUE"""),0.7916666666666666)</f>
        <v>0.7916666667</v>
      </c>
      <c r="D10148" s="8">
        <f>IFERROR(__xludf.DUMMYFUNCTION("""COMPUTED_VALUE"""),0.329)</f>
        <v>0.329</v>
      </c>
      <c r="E10148" s="8" t="str">
        <f>IFERROR(__xludf.DUMMYFUNCTION("""COMPUTED_VALUE"""),"Real")</f>
        <v>Real</v>
      </c>
      <c r="G10148" s="8">
        <f t="shared" si="1"/>
        <v>12</v>
      </c>
      <c r="H10148" s="14">
        <f t="shared" si="2"/>
        <v>28</v>
      </c>
      <c r="I10148" s="15">
        <f t="shared" si="3"/>
        <v>19</v>
      </c>
    </row>
    <row r="10149">
      <c r="A10149" s="8" t="str">
        <f>IFERROR(__xludf.DUMMYFUNCTION("IF('(INGESTA)Datos_consumo_datadis'!A10149&lt;&gt;"""",SPLIT('(INGESTA)Datos_consumo_datadis'!A:A,"",""),"""")"),"ES0031408323131005HX0F")</f>
        <v>ES0031408323131005HX0F</v>
      </c>
      <c r="B10149" s="17">
        <f>IFERROR(__xludf.DUMMYFUNCTION("""COMPUTED_VALUE"""),45288.0)</f>
        <v>45288</v>
      </c>
      <c r="C10149" s="13">
        <f>IFERROR(__xludf.DUMMYFUNCTION("""COMPUTED_VALUE"""),0.8333333333333334)</f>
        <v>0.8333333333</v>
      </c>
      <c r="D10149" s="8">
        <f>IFERROR(__xludf.DUMMYFUNCTION("""COMPUTED_VALUE"""),0.062)</f>
        <v>0.062</v>
      </c>
      <c r="E10149" s="8" t="str">
        <f>IFERROR(__xludf.DUMMYFUNCTION("""COMPUTED_VALUE"""),"Real")</f>
        <v>Real</v>
      </c>
      <c r="G10149" s="8">
        <f t="shared" si="1"/>
        <v>12</v>
      </c>
      <c r="H10149" s="14">
        <f t="shared" si="2"/>
        <v>28</v>
      </c>
      <c r="I10149" s="15">
        <f t="shared" si="3"/>
        <v>20</v>
      </c>
    </row>
    <row r="10150">
      <c r="A10150" s="8" t="str">
        <f>IFERROR(__xludf.DUMMYFUNCTION("IF('(INGESTA)Datos_consumo_datadis'!A10150&lt;&gt;"""",SPLIT('(INGESTA)Datos_consumo_datadis'!A:A,"",""),"""")"),"ES0031408323131005HX0F")</f>
        <v>ES0031408323131005HX0F</v>
      </c>
      <c r="B10150" s="17">
        <f>IFERROR(__xludf.DUMMYFUNCTION("""COMPUTED_VALUE"""),45288.0)</f>
        <v>45288</v>
      </c>
      <c r="C10150" s="13">
        <f>IFERROR(__xludf.DUMMYFUNCTION("""COMPUTED_VALUE"""),0.875)</f>
        <v>0.875</v>
      </c>
      <c r="D10150" s="8">
        <f>IFERROR(__xludf.DUMMYFUNCTION("""COMPUTED_VALUE"""),0.015)</f>
        <v>0.015</v>
      </c>
      <c r="E10150" s="8" t="str">
        <f>IFERROR(__xludf.DUMMYFUNCTION("""COMPUTED_VALUE"""),"Real")</f>
        <v>Real</v>
      </c>
      <c r="G10150" s="8">
        <f t="shared" si="1"/>
        <v>12</v>
      </c>
      <c r="H10150" s="14">
        <f t="shared" si="2"/>
        <v>28</v>
      </c>
      <c r="I10150" s="15">
        <f t="shared" si="3"/>
        <v>21</v>
      </c>
    </row>
    <row r="10151">
      <c r="A10151" s="8" t="str">
        <f>IFERROR(__xludf.DUMMYFUNCTION("IF('(INGESTA)Datos_consumo_datadis'!A10151&lt;&gt;"""",SPLIT('(INGESTA)Datos_consumo_datadis'!A:A,"",""),"""")"),"ES0031408323131005HX0F")</f>
        <v>ES0031408323131005HX0F</v>
      </c>
      <c r="B10151" s="17">
        <f>IFERROR(__xludf.DUMMYFUNCTION("""COMPUTED_VALUE"""),45288.0)</f>
        <v>45288</v>
      </c>
      <c r="C10151" s="13">
        <f>IFERROR(__xludf.DUMMYFUNCTION("""COMPUTED_VALUE"""),0.9166666666666666)</f>
        <v>0.9166666667</v>
      </c>
      <c r="D10151" s="8">
        <f>IFERROR(__xludf.DUMMYFUNCTION("""COMPUTED_VALUE"""),0.083)</f>
        <v>0.083</v>
      </c>
      <c r="E10151" s="8" t="str">
        <f>IFERROR(__xludf.DUMMYFUNCTION("""COMPUTED_VALUE"""),"Real")</f>
        <v>Real</v>
      </c>
      <c r="G10151" s="8">
        <f t="shared" si="1"/>
        <v>12</v>
      </c>
      <c r="H10151" s="14">
        <f t="shared" si="2"/>
        <v>28</v>
      </c>
      <c r="I10151" s="15">
        <f t="shared" si="3"/>
        <v>22</v>
      </c>
    </row>
    <row r="10152">
      <c r="A10152" s="8" t="str">
        <f>IFERROR(__xludf.DUMMYFUNCTION("IF('(INGESTA)Datos_consumo_datadis'!A10152&lt;&gt;"""",SPLIT('(INGESTA)Datos_consumo_datadis'!A:A,"",""),"""")"),"ES0031408323131005HX0F")</f>
        <v>ES0031408323131005HX0F</v>
      </c>
      <c r="B10152" s="17">
        <f>IFERROR(__xludf.DUMMYFUNCTION("""COMPUTED_VALUE"""),45288.0)</f>
        <v>45288</v>
      </c>
      <c r="C10152" s="13">
        <f>IFERROR(__xludf.DUMMYFUNCTION("""COMPUTED_VALUE"""),0.9583333333333334)</f>
        <v>0.9583333333</v>
      </c>
      <c r="D10152" s="8">
        <f>IFERROR(__xludf.DUMMYFUNCTION("""COMPUTED_VALUE"""),0.043)</f>
        <v>0.043</v>
      </c>
      <c r="E10152" s="8" t="str">
        <f>IFERROR(__xludf.DUMMYFUNCTION("""COMPUTED_VALUE"""),"Real")</f>
        <v>Real</v>
      </c>
      <c r="G10152" s="8">
        <f t="shared" si="1"/>
        <v>12</v>
      </c>
      <c r="H10152" s="14">
        <f t="shared" si="2"/>
        <v>28</v>
      </c>
      <c r="I10152" s="15">
        <f t="shared" si="3"/>
        <v>23</v>
      </c>
    </row>
    <row r="10153">
      <c r="A10153" s="8" t="str">
        <f>IFERROR(__xludf.DUMMYFUNCTION("IF('(INGESTA)Datos_consumo_datadis'!A10153&lt;&gt;"""",SPLIT('(INGESTA)Datos_consumo_datadis'!A:A,"",""),"""")"),"ES0031408323131005HX0F")</f>
        <v>ES0031408323131005HX0F</v>
      </c>
      <c r="B10153" s="17">
        <f>IFERROR(__xludf.DUMMYFUNCTION("""COMPUTED_VALUE"""),45288.0)</f>
        <v>45288</v>
      </c>
      <c r="C10153" s="16">
        <f>IFERROR(__xludf.DUMMYFUNCTION("""COMPUTED_VALUE"""),1.0)</f>
        <v>1</v>
      </c>
      <c r="D10153" s="8">
        <f>IFERROR(__xludf.DUMMYFUNCTION("""COMPUTED_VALUE"""),0.308)</f>
        <v>0.308</v>
      </c>
      <c r="E10153" s="8" t="str">
        <f>IFERROR(__xludf.DUMMYFUNCTION("""COMPUTED_VALUE"""),"Real")</f>
        <v>Real</v>
      </c>
      <c r="G10153" s="8">
        <f t="shared" si="1"/>
        <v>12</v>
      </c>
      <c r="H10153" s="14">
        <f t="shared" si="2"/>
        <v>28</v>
      </c>
      <c r="I10153" s="15">
        <f t="shared" si="3"/>
        <v>0</v>
      </c>
    </row>
    <row r="10154">
      <c r="A10154" s="8" t="str">
        <f>IFERROR(__xludf.DUMMYFUNCTION("IF('(INGESTA)Datos_consumo_datadis'!A10154&lt;&gt;"""",SPLIT('(INGESTA)Datos_consumo_datadis'!A:A,"",""),"""")"),"ES0031408323131005HX0F")</f>
        <v>ES0031408323131005HX0F</v>
      </c>
      <c r="B10154" s="17">
        <f>IFERROR(__xludf.DUMMYFUNCTION("""COMPUTED_VALUE"""),45289.0)</f>
        <v>45289</v>
      </c>
      <c r="C10154" s="13">
        <f>IFERROR(__xludf.DUMMYFUNCTION("""COMPUTED_VALUE"""),0.041666666666666664)</f>
        <v>0.04166666667</v>
      </c>
      <c r="D10154" s="8">
        <f>IFERROR(__xludf.DUMMYFUNCTION("""COMPUTED_VALUE"""),0.014)</f>
        <v>0.014</v>
      </c>
      <c r="E10154" s="8" t="str">
        <f>IFERROR(__xludf.DUMMYFUNCTION("""COMPUTED_VALUE"""),"Real")</f>
        <v>Real</v>
      </c>
      <c r="G10154" s="8">
        <f t="shared" si="1"/>
        <v>12</v>
      </c>
      <c r="H10154" s="14">
        <f t="shared" si="2"/>
        <v>29</v>
      </c>
      <c r="I10154" s="15">
        <f t="shared" si="3"/>
        <v>1</v>
      </c>
    </row>
    <row r="10155">
      <c r="A10155" s="8" t="str">
        <f>IFERROR(__xludf.DUMMYFUNCTION("IF('(INGESTA)Datos_consumo_datadis'!A10155&lt;&gt;"""",SPLIT('(INGESTA)Datos_consumo_datadis'!A:A,"",""),"""")"),"ES0031408323131005HX0F")</f>
        <v>ES0031408323131005HX0F</v>
      </c>
      <c r="B10155" s="17">
        <f>IFERROR(__xludf.DUMMYFUNCTION("""COMPUTED_VALUE"""),45289.0)</f>
        <v>45289</v>
      </c>
      <c r="C10155" s="13">
        <f>IFERROR(__xludf.DUMMYFUNCTION("""COMPUTED_VALUE"""),0.08333333333333333)</f>
        <v>0.08333333333</v>
      </c>
      <c r="D10155" s="8">
        <f>IFERROR(__xludf.DUMMYFUNCTION("""COMPUTED_VALUE"""),0.063)</f>
        <v>0.063</v>
      </c>
      <c r="E10155" s="8" t="str">
        <f>IFERROR(__xludf.DUMMYFUNCTION("""COMPUTED_VALUE"""),"Real")</f>
        <v>Real</v>
      </c>
      <c r="G10155" s="8">
        <f t="shared" si="1"/>
        <v>12</v>
      </c>
      <c r="H10155" s="14">
        <f t="shared" si="2"/>
        <v>29</v>
      </c>
      <c r="I10155" s="15">
        <f t="shared" si="3"/>
        <v>2</v>
      </c>
    </row>
    <row r="10156">
      <c r="A10156" s="8" t="str">
        <f>IFERROR(__xludf.DUMMYFUNCTION("IF('(INGESTA)Datos_consumo_datadis'!A10156&lt;&gt;"""",SPLIT('(INGESTA)Datos_consumo_datadis'!A:A,"",""),"""")"),"ES0031408323131005HX0F")</f>
        <v>ES0031408323131005HX0F</v>
      </c>
      <c r="B10156" s="17">
        <f>IFERROR(__xludf.DUMMYFUNCTION("""COMPUTED_VALUE"""),45289.0)</f>
        <v>45289</v>
      </c>
      <c r="C10156" s="13">
        <f>IFERROR(__xludf.DUMMYFUNCTION("""COMPUTED_VALUE"""),0.125)</f>
        <v>0.125</v>
      </c>
      <c r="D10156" s="8">
        <f>IFERROR(__xludf.DUMMYFUNCTION("""COMPUTED_VALUE"""),0.08)</f>
        <v>0.08</v>
      </c>
      <c r="E10156" s="8" t="str">
        <f>IFERROR(__xludf.DUMMYFUNCTION("""COMPUTED_VALUE"""),"Real")</f>
        <v>Real</v>
      </c>
      <c r="G10156" s="8">
        <f t="shared" si="1"/>
        <v>12</v>
      </c>
      <c r="H10156" s="14">
        <f t="shared" si="2"/>
        <v>29</v>
      </c>
      <c r="I10156" s="15">
        <f t="shared" si="3"/>
        <v>3</v>
      </c>
    </row>
    <row r="10157">
      <c r="A10157" s="8" t="str">
        <f>IFERROR(__xludf.DUMMYFUNCTION("IF('(INGESTA)Datos_consumo_datadis'!A10157&lt;&gt;"""",SPLIT('(INGESTA)Datos_consumo_datadis'!A:A,"",""),"""")"),"ES0031408323131005HX0F")</f>
        <v>ES0031408323131005HX0F</v>
      </c>
      <c r="B10157" s="17">
        <f>IFERROR(__xludf.DUMMYFUNCTION("""COMPUTED_VALUE"""),45289.0)</f>
        <v>45289</v>
      </c>
      <c r="C10157" s="13">
        <f>IFERROR(__xludf.DUMMYFUNCTION("""COMPUTED_VALUE"""),0.16666666666666666)</f>
        <v>0.1666666667</v>
      </c>
      <c r="D10157" s="8">
        <f>IFERROR(__xludf.DUMMYFUNCTION("""COMPUTED_VALUE"""),0.049)</f>
        <v>0.049</v>
      </c>
      <c r="E10157" s="8" t="str">
        <f>IFERROR(__xludf.DUMMYFUNCTION("""COMPUTED_VALUE"""),"Real")</f>
        <v>Real</v>
      </c>
      <c r="G10157" s="8">
        <f t="shared" si="1"/>
        <v>12</v>
      </c>
      <c r="H10157" s="14">
        <f t="shared" si="2"/>
        <v>29</v>
      </c>
      <c r="I10157" s="15">
        <f t="shared" si="3"/>
        <v>4</v>
      </c>
    </row>
    <row r="10158">
      <c r="A10158" s="8" t="str">
        <f>IFERROR(__xludf.DUMMYFUNCTION("IF('(INGESTA)Datos_consumo_datadis'!A10158&lt;&gt;"""",SPLIT('(INGESTA)Datos_consumo_datadis'!A:A,"",""),"""")"),"ES0031408323131005HX0F")</f>
        <v>ES0031408323131005HX0F</v>
      </c>
      <c r="B10158" s="17">
        <f>IFERROR(__xludf.DUMMYFUNCTION("""COMPUTED_VALUE"""),45289.0)</f>
        <v>45289</v>
      </c>
      <c r="C10158" s="13">
        <f>IFERROR(__xludf.DUMMYFUNCTION("""COMPUTED_VALUE"""),0.20833333333333334)</f>
        <v>0.2083333333</v>
      </c>
      <c r="D10158" s="8">
        <f>IFERROR(__xludf.DUMMYFUNCTION("""COMPUTED_VALUE"""),0.015)</f>
        <v>0.015</v>
      </c>
      <c r="E10158" s="8" t="str">
        <f>IFERROR(__xludf.DUMMYFUNCTION("""COMPUTED_VALUE"""),"Real")</f>
        <v>Real</v>
      </c>
      <c r="G10158" s="8">
        <f t="shared" si="1"/>
        <v>12</v>
      </c>
      <c r="H10158" s="14">
        <f t="shared" si="2"/>
        <v>29</v>
      </c>
      <c r="I10158" s="15">
        <f t="shared" si="3"/>
        <v>5</v>
      </c>
    </row>
    <row r="10159">
      <c r="A10159" s="8" t="str">
        <f>IFERROR(__xludf.DUMMYFUNCTION("IF('(INGESTA)Datos_consumo_datadis'!A10159&lt;&gt;"""",SPLIT('(INGESTA)Datos_consumo_datadis'!A:A,"",""),"""")"),"ES0031408323131005HX0F")</f>
        <v>ES0031408323131005HX0F</v>
      </c>
      <c r="B10159" s="17">
        <f>IFERROR(__xludf.DUMMYFUNCTION("""COMPUTED_VALUE"""),45289.0)</f>
        <v>45289</v>
      </c>
      <c r="C10159" s="13">
        <f>IFERROR(__xludf.DUMMYFUNCTION("""COMPUTED_VALUE"""),0.25)</f>
        <v>0.25</v>
      </c>
      <c r="D10159" s="8">
        <f>IFERROR(__xludf.DUMMYFUNCTION("""COMPUTED_VALUE"""),0.298)</f>
        <v>0.298</v>
      </c>
      <c r="E10159" s="8" t="str">
        <f>IFERROR(__xludf.DUMMYFUNCTION("""COMPUTED_VALUE"""),"Real")</f>
        <v>Real</v>
      </c>
      <c r="G10159" s="8">
        <f t="shared" si="1"/>
        <v>12</v>
      </c>
      <c r="H10159" s="14">
        <f t="shared" si="2"/>
        <v>29</v>
      </c>
      <c r="I10159" s="15">
        <f t="shared" si="3"/>
        <v>6</v>
      </c>
    </row>
    <row r="10160">
      <c r="A10160" s="8" t="str">
        <f>IFERROR(__xludf.DUMMYFUNCTION("IF('(INGESTA)Datos_consumo_datadis'!A10160&lt;&gt;"""",SPLIT('(INGESTA)Datos_consumo_datadis'!A:A,"",""),"""")"),"ES0031408323131005HX0F")</f>
        <v>ES0031408323131005HX0F</v>
      </c>
      <c r="B10160" s="17">
        <f>IFERROR(__xludf.DUMMYFUNCTION("""COMPUTED_VALUE"""),45289.0)</f>
        <v>45289</v>
      </c>
      <c r="C10160" s="13">
        <f>IFERROR(__xludf.DUMMYFUNCTION("""COMPUTED_VALUE"""),0.2916666666666667)</f>
        <v>0.2916666667</v>
      </c>
      <c r="D10160" s="8">
        <f>IFERROR(__xludf.DUMMYFUNCTION("""COMPUTED_VALUE"""),0.075)</f>
        <v>0.075</v>
      </c>
      <c r="E10160" s="8" t="str">
        <f>IFERROR(__xludf.DUMMYFUNCTION("""COMPUTED_VALUE"""),"Real")</f>
        <v>Real</v>
      </c>
      <c r="G10160" s="8">
        <f t="shared" si="1"/>
        <v>12</v>
      </c>
      <c r="H10160" s="14">
        <f t="shared" si="2"/>
        <v>29</v>
      </c>
      <c r="I10160" s="15">
        <f t="shared" si="3"/>
        <v>7</v>
      </c>
    </row>
    <row r="10161">
      <c r="A10161" s="8" t="str">
        <f>IFERROR(__xludf.DUMMYFUNCTION("IF('(INGESTA)Datos_consumo_datadis'!A10161&lt;&gt;"""",SPLIT('(INGESTA)Datos_consumo_datadis'!A:A,"",""),"""")"),"ES0031408323131005HX0F")</f>
        <v>ES0031408323131005HX0F</v>
      </c>
      <c r="B10161" s="17">
        <f>IFERROR(__xludf.DUMMYFUNCTION("""COMPUTED_VALUE"""),45289.0)</f>
        <v>45289</v>
      </c>
      <c r="C10161" s="13">
        <f>IFERROR(__xludf.DUMMYFUNCTION("""COMPUTED_VALUE"""),0.3333333333333333)</f>
        <v>0.3333333333</v>
      </c>
      <c r="D10161" s="8">
        <f>IFERROR(__xludf.DUMMYFUNCTION("""COMPUTED_VALUE"""),0.057)</f>
        <v>0.057</v>
      </c>
      <c r="E10161" s="8" t="str">
        <f>IFERROR(__xludf.DUMMYFUNCTION("""COMPUTED_VALUE"""),"Real")</f>
        <v>Real</v>
      </c>
      <c r="G10161" s="8">
        <f t="shared" si="1"/>
        <v>12</v>
      </c>
      <c r="H10161" s="14">
        <f t="shared" si="2"/>
        <v>29</v>
      </c>
      <c r="I10161" s="15">
        <f t="shared" si="3"/>
        <v>8</v>
      </c>
    </row>
    <row r="10162">
      <c r="A10162" s="8" t="str">
        <f>IFERROR(__xludf.DUMMYFUNCTION("IF('(INGESTA)Datos_consumo_datadis'!A10162&lt;&gt;"""",SPLIT('(INGESTA)Datos_consumo_datadis'!A:A,"",""),"""")"),"ES0031408323131005HX0F")</f>
        <v>ES0031408323131005HX0F</v>
      </c>
      <c r="B10162" s="17">
        <f>IFERROR(__xludf.DUMMYFUNCTION("""COMPUTED_VALUE"""),45289.0)</f>
        <v>45289</v>
      </c>
      <c r="C10162" s="13">
        <f>IFERROR(__xludf.DUMMYFUNCTION("""COMPUTED_VALUE"""),0.375)</f>
        <v>0.375</v>
      </c>
      <c r="D10162" s="8">
        <f>IFERROR(__xludf.DUMMYFUNCTION("""COMPUTED_VALUE"""),0.015)</f>
        <v>0.015</v>
      </c>
      <c r="E10162" s="8" t="str">
        <f>IFERROR(__xludf.DUMMYFUNCTION("""COMPUTED_VALUE"""),"Real")</f>
        <v>Real</v>
      </c>
      <c r="G10162" s="8">
        <f t="shared" si="1"/>
        <v>12</v>
      </c>
      <c r="H10162" s="14">
        <f t="shared" si="2"/>
        <v>29</v>
      </c>
      <c r="I10162" s="15">
        <f t="shared" si="3"/>
        <v>9</v>
      </c>
    </row>
    <row r="10163">
      <c r="A10163" s="8" t="str">
        <f>IFERROR(__xludf.DUMMYFUNCTION("IF('(INGESTA)Datos_consumo_datadis'!A10163&lt;&gt;"""",SPLIT('(INGESTA)Datos_consumo_datadis'!A:A,"",""),"""")"),"ES0031408323131005HX0F")</f>
        <v>ES0031408323131005HX0F</v>
      </c>
      <c r="B10163" s="17">
        <f>IFERROR(__xludf.DUMMYFUNCTION("""COMPUTED_VALUE"""),45289.0)</f>
        <v>45289</v>
      </c>
      <c r="C10163" s="13">
        <f>IFERROR(__xludf.DUMMYFUNCTION("""COMPUTED_VALUE"""),0.4166666666666667)</f>
        <v>0.4166666667</v>
      </c>
      <c r="D10163" s="8">
        <f>IFERROR(__xludf.DUMMYFUNCTION("""COMPUTED_VALUE"""),0.015)</f>
        <v>0.015</v>
      </c>
      <c r="E10163" s="8" t="str">
        <f>IFERROR(__xludf.DUMMYFUNCTION("""COMPUTED_VALUE"""),"Real")</f>
        <v>Real</v>
      </c>
      <c r="G10163" s="8">
        <f t="shared" si="1"/>
        <v>12</v>
      </c>
      <c r="H10163" s="14">
        <f t="shared" si="2"/>
        <v>29</v>
      </c>
      <c r="I10163" s="15">
        <f t="shared" si="3"/>
        <v>10</v>
      </c>
    </row>
    <row r="10164">
      <c r="A10164" s="8" t="str">
        <f>IFERROR(__xludf.DUMMYFUNCTION("IF('(INGESTA)Datos_consumo_datadis'!A10164&lt;&gt;"""",SPLIT('(INGESTA)Datos_consumo_datadis'!A:A,"",""),"""")"),"ES0031408323131005HX0F")</f>
        <v>ES0031408323131005HX0F</v>
      </c>
      <c r="B10164" s="17">
        <f>IFERROR(__xludf.DUMMYFUNCTION("""COMPUTED_VALUE"""),45289.0)</f>
        <v>45289</v>
      </c>
      <c r="C10164" s="13">
        <f>IFERROR(__xludf.DUMMYFUNCTION("""COMPUTED_VALUE"""),0.4583333333333333)</f>
        <v>0.4583333333</v>
      </c>
      <c r="D10164" s="8">
        <f>IFERROR(__xludf.DUMMYFUNCTION("""COMPUTED_VALUE"""),0.358)</f>
        <v>0.358</v>
      </c>
      <c r="E10164" s="8" t="str">
        <f>IFERROR(__xludf.DUMMYFUNCTION("""COMPUTED_VALUE"""),"Real")</f>
        <v>Real</v>
      </c>
      <c r="G10164" s="8">
        <f t="shared" si="1"/>
        <v>12</v>
      </c>
      <c r="H10164" s="14">
        <f t="shared" si="2"/>
        <v>29</v>
      </c>
      <c r="I10164" s="15">
        <f t="shared" si="3"/>
        <v>11</v>
      </c>
    </row>
    <row r="10165">
      <c r="A10165" s="8" t="str">
        <f>IFERROR(__xludf.DUMMYFUNCTION("IF('(INGESTA)Datos_consumo_datadis'!A10165&lt;&gt;"""",SPLIT('(INGESTA)Datos_consumo_datadis'!A:A,"",""),"""")"),"ES0031408323131005HX0F")</f>
        <v>ES0031408323131005HX0F</v>
      </c>
      <c r="B10165" s="17">
        <f>IFERROR(__xludf.DUMMYFUNCTION("""COMPUTED_VALUE"""),45289.0)</f>
        <v>45289</v>
      </c>
      <c r="C10165" s="13">
        <f>IFERROR(__xludf.DUMMYFUNCTION("""COMPUTED_VALUE"""),0.5)</f>
        <v>0.5</v>
      </c>
      <c r="D10165" s="8">
        <f>IFERROR(__xludf.DUMMYFUNCTION("""COMPUTED_VALUE"""),0.038)</f>
        <v>0.038</v>
      </c>
      <c r="E10165" s="8" t="str">
        <f>IFERROR(__xludf.DUMMYFUNCTION("""COMPUTED_VALUE"""),"Real")</f>
        <v>Real</v>
      </c>
      <c r="G10165" s="8">
        <f t="shared" si="1"/>
        <v>12</v>
      </c>
      <c r="H10165" s="14">
        <f t="shared" si="2"/>
        <v>29</v>
      </c>
      <c r="I10165" s="15">
        <f t="shared" si="3"/>
        <v>12</v>
      </c>
    </row>
    <row r="10166">
      <c r="A10166" s="8" t="str">
        <f>IFERROR(__xludf.DUMMYFUNCTION("IF('(INGESTA)Datos_consumo_datadis'!A10166&lt;&gt;"""",SPLIT('(INGESTA)Datos_consumo_datadis'!A:A,"",""),"""")"),"ES0031408323131005HX0F")</f>
        <v>ES0031408323131005HX0F</v>
      </c>
      <c r="B10166" s="17">
        <f>IFERROR(__xludf.DUMMYFUNCTION("""COMPUTED_VALUE"""),45289.0)</f>
        <v>45289</v>
      </c>
      <c r="C10166" s="13">
        <f>IFERROR(__xludf.DUMMYFUNCTION("""COMPUTED_VALUE"""),0.5416666666666666)</f>
        <v>0.5416666667</v>
      </c>
      <c r="D10166" s="8">
        <f>IFERROR(__xludf.DUMMYFUNCTION("""COMPUTED_VALUE"""),0.038)</f>
        <v>0.038</v>
      </c>
      <c r="E10166" s="8" t="str">
        <f>IFERROR(__xludf.DUMMYFUNCTION("""COMPUTED_VALUE"""),"Real")</f>
        <v>Real</v>
      </c>
      <c r="G10166" s="8">
        <f t="shared" si="1"/>
        <v>12</v>
      </c>
      <c r="H10166" s="14">
        <f t="shared" si="2"/>
        <v>29</v>
      </c>
      <c r="I10166" s="15">
        <f t="shared" si="3"/>
        <v>13</v>
      </c>
    </row>
    <row r="10167">
      <c r="A10167" s="8" t="str">
        <f>IFERROR(__xludf.DUMMYFUNCTION("IF('(INGESTA)Datos_consumo_datadis'!A10167&lt;&gt;"""",SPLIT('(INGESTA)Datos_consumo_datadis'!A:A,"",""),"""")"),"ES0031408323131005HX0F")</f>
        <v>ES0031408323131005HX0F</v>
      </c>
      <c r="B10167" s="17">
        <f>IFERROR(__xludf.DUMMYFUNCTION("""COMPUTED_VALUE"""),45289.0)</f>
        <v>45289</v>
      </c>
      <c r="C10167" s="13">
        <f>IFERROR(__xludf.DUMMYFUNCTION("""COMPUTED_VALUE"""),0.5833333333333334)</f>
        <v>0.5833333333</v>
      </c>
      <c r="D10167" s="8">
        <f>IFERROR(__xludf.DUMMYFUNCTION("""COMPUTED_VALUE"""),0.014)</f>
        <v>0.014</v>
      </c>
      <c r="E10167" s="8" t="str">
        <f>IFERROR(__xludf.DUMMYFUNCTION("""COMPUTED_VALUE"""),"Real")</f>
        <v>Real</v>
      </c>
      <c r="G10167" s="8">
        <f t="shared" si="1"/>
        <v>12</v>
      </c>
      <c r="H10167" s="14">
        <f t="shared" si="2"/>
        <v>29</v>
      </c>
      <c r="I10167" s="15">
        <f t="shared" si="3"/>
        <v>14</v>
      </c>
    </row>
    <row r="10168">
      <c r="A10168" s="8" t="str">
        <f>IFERROR(__xludf.DUMMYFUNCTION("IF('(INGESTA)Datos_consumo_datadis'!A10168&lt;&gt;"""",SPLIT('(INGESTA)Datos_consumo_datadis'!A:A,"",""),"""")"),"ES0031408323131005HX0F")</f>
        <v>ES0031408323131005HX0F</v>
      </c>
      <c r="B10168" s="17">
        <f>IFERROR(__xludf.DUMMYFUNCTION("""COMPUTED_VALUE"""),45289.0)</f>
        <v>45289</v>
      </c>
      <c r="C10168" s="13">
        <f>IFERROR(__xludf.DUMMYFUNCTION("""COMPUTED_VALUE"""),0.625)</f>
        <v>0.625</v>
      </c>
      <c r="D10168" s="8">
        <f>IFERROR(__xludf.DUMMYFUNCTION("""COMPUTED_VALUE"""),0.053)</f>
        <v>0.053</v>
      </c>
      <c r="E10168" s="8" t="str">
        <f>IFERROR(__xludf.DUMMYFUNCTION("""COMPUTED_VALUE"""),"Real")</f>
        <v>Real</v>
      </c>
      <c r="G10168" s="8">
        <f t="shared" si="1"/>
        <v>12</v>
      </c>
      <c r="H10168" s="14">
        <f t="shared" si="2"/>
        <v>29</v>
      </c>
      <c r="I10168" s="15">
        <f t="shared" si="3"/>
        <v>15</v>
      </c>
    </row>
    <row r="10169">
      <c r="A10169" s="8" t="str">
        <f>IFERROR(__xludf.DUMMYFUNCTION("IF('(INGESTA)Datos_consumo_datadis'!A10169&lt;&gt;"""",SPLIT('(INGESTA)Datos_consumo_datadis'!A:A,"",""),"""")"),"ES0031408323131005HX0F")</f>
        <v>ES0031408323131005HX0F</v>
      </c>
      <c r="B10169" s="17">
        <f>IFERROR(__xludf.DUMMYFUNCTION("""COMPUTED_VALUE"""),45289.0)</f>
        <v>45289</v>
      </c>
      <c r="C10169" s="13">
        <f>IFERROR(__xludf.DUMMYFUNCTION("""COMPUTED_VALUE"""),0.6666666666666666)</f>
        <v>0.6666666667</v>
      </c>
      <c r="D10169" s="8">
        <f>IFERROR(__xludf.DUMMYFUNCTION("""COMPUTED_VALUE"""),0.339)</f>
        <v>0.339</v>
      </c>
      <c r="E10169" s="8" t="str">
        <f>IFERROR(__xludf.DUMMYFUNCTION("""COMPUTED_VALUE"""),"Real")</f>
        <v>Real</v>
      </c>
      <c r="G10169" s="8">
        <f t="shared" si="1"/>
        <v>12</v>
      </c>
      <c r="H10169" s="14">
        <f t="shared" si="2"/>
        <v>29</v>
      </c>
      <c r="I10169" s="15">
        <f t="shared" si="3"/>
        <v>16</v>
      </c>
    </row>
    <row r="10170">
      <c r="A10170" s="8" t="str">
        <f>IFERROR(__xludf.DUMMYFUNCTION("IF('(INGESTA)Datos_consumo_datadis'!A10170&lt;&gt;"""",SPLIT('(INGESTA)Datos_consumo_datadis'!A:A,"",""),"""")"),"ES0031408323131005HX0F")</f>
        <v>ES0031408323131005HX0F</v>
      </c>
      <c r="B10170" s="17">
        <f>IFERROR(__xludf.DUMMYFUNCTION("""COMPUTED_VALUE"""),45289.0)</f>
        <v>45289</v>
      </c>
      <c r="C10170" s="13">
        <f>IFERROR(__xludf.DUMMYFUNCTION("""COMPUTED_VALUE"""),0.7083333333333334)</f>
        <v>0.7083333333</v>
      </c>
      <c r="D10170" s="8">
        <f>IFERROR(__xludf.DUMMYFUNCTION("""COMPUTED_VALUE"""),0.038)</f>
        <v>0.038</v>
      </c>
      <c r="E10170" s="8" t="str">
        <f>IFERROR(__xludf.DUMMYFUNCTION("""COMPUTED_VALUE"""),"Real")</f>
        <v>Real</v>
      </c>
      <c r="G10170" s="8">
        <f t="shared" si="1"/>
        <v>12</v>
      </c>
      <c r="H10170" s="14">
        <f t="shared" si="2"/>
        <v>29</v>
      </c>
      <c r="I10170" s="15">
        <f t="shared" si="3"/>
        <v>17</v>
      </c>
    </row>
    <row r="10171">
      <c r="A10171" s="8" t="str">
        <f>IFERROR(__xludf.DUMMYFUNCTION("IF('(INGESTA)Datos_consumo_datadis'!A10171&lt;&gt;"""",SPLIT('(INGESTA)Datos_consumo_datadis'!A:A,"",""),"""")"),"ES0031408323131005HX0F")</f>
        <v>ES0031408323131005HX0F</v>
      </c>
      <c r="B10171" s="17">
        <f>IFERROR(__xludf.DUMMYFUNCTION("""COMPUTED_VALUE"""),45289.0)</f>
        <v>45289</v>
      </c>
      <c r="C10171" s="13">
        <f>IFERROR(__xludf.DUMMYFUNCTION("""COMPUTED_VALUE"""),0.75)</f>
        <v>0.75</v>
      </c>
      <c r="D10171" s="8">
        <f>IFERROR(__xludf.DUMMYFUNCTION("""COMPUTED_VALUE"""),0.014)</f>
        <v>0.014</v>
      </c>
      <c r="E10171" s="8" t="str">
        <f>IFERROR(__xludf.DUMMYFUNCTION("""COMPUTED_VALUE"""),"Real")</f>
        <v>Real</v>
      </c>
      <c r="G10171" s="8">
        <f t="shared" si="1"/>
        <v>12</v>
      </c>
      <c r="H10171" s="14">
        <f t="shared" si="2"/>
        <v>29</v>
      </c>
      <c r="I10171" s="15">
        <f t="shared" si="3"/>
        <v>18</v>
      </c>
    </row>
    <row r="10172">
      <c r="A10172" s="8" t="str">
        <f>IFERROR(__xludf.DUMMYFUNCTION("IF('(INGESTA)Datos_consumo_datadis'!A10172&lt;&gt;"""",SPLIT('(INGESTA)Datos_consumo_datadis'!A:A,"",""),"""")"),"ES0031408323131005HX0F")</f>
        <v>ES0031408323131005HX0F</v>
      </c>
      <c r="B10172" s="17">
        <f>IFERROR(__xludf.DUMMYFUNCTION("""COMPUTED_VALUE"""),45289.0)</f>
        <v>45289</v>
      </c>
      <c r="C10172" s="13">
        <f>IFERROR(__xludf.DUMMYFUNCTION("""COMPUTED_VALUE"""),0.7916666666666666)</f>
        <v>0.7916666667</v>
      </c>
      <c r="D10172" s="8">
        <f>IFERROR(__xludf.DUMMYFUNCTION("""COMPUTED_VALUE"""),0.019)</f>
        <v>0.019</v>
      </c>
      <c r="E10172" s="8" t="str">
        <f>IFERROR(__xludf.DUMMYFUNCTION("""COMPUTED_VALUE"""),"Real")</f>
        <v>Real</v>
      </c>
      <c r="G10172" s="8">
        <f t="shared" si="1"/>
        <v>12</v>
      </c>
      <c r="H10172" s="14">
        <f t="shared" si="2"/>
        <v>29</v>
      </c>
      <c r="I10172" s="15">
        <f t="shared" si="3"/>
        <v>19</v>
      </c>
    </row>
    <row r="10173">
      <c r="A10173" s="8" t="str">
        <f>IFERROR(__xludf.DUMMYFUNCTION("IF('(INGESTA)Datos_consumo_datadis'!A10173&lt;&gt;"""",SPLIT('(INGESTA)Datos_consumo_datadis'!A:A,"",""),"""")"),"ES0031408323131005HX0F")</f>
        <v>ES0031408323131005HX0F</v>
      </c>
      <c r="B10173" s="17">
        <f>IFERROR(__xludf.DUMMYFUNCTION("""COMPUTED_VALUE"""),45289.0)</f>
        <v>45289</v>
      </c>
      <c r="C10173" s="13">
        <f>IFERROR(__xludf.DUMMYFUNCTION("""COMPUTED_VALUE"""),0.8333333333333334)</f>
        <v>0.8333333333</v>
      </c>
      <c r="D10173" s="8">
        <f>IFERROR(__xludf.DUMMYFUNCTION("""COMPUTED_VALUE"""),0.079)</f>
        <v>0.079</v>
      </c>
      <c r="E10173" s="8" t="str">
        <f>IFERROR(__xludf.DUMMYFUNCTION("""COMPUTED_VALUE"""),"Real")</f>
        <v>Real</v>
      </c>
      <c r="G10173" s="8">
        <f t="shared" si="1"/>
        <v>12</v>
      </c>
      <c r="H10173" s="14">
        <f t="shared" si="2"/>
        <v>29</v>
      </c>
      <c r="I10173" s="15">
        <f t="shared" si="3"/>
        <v>20</v>
      </c>
    </row>
    <row r="10174">
      <c r="A10174" s="8" t="str">
        <f>IFERROR(__xludf.DUMMYFUNCTION("IF('(INGESTA)Datos_consumo_datadis'!A10174&lt;&gt;"""",SPLIT('(INGESTA)Datos_consumo_datadis'!A:A,"",""),"""")"),"ES0031408323131005HX0F")</f>
        <v>ES0031408323131005HX0F</v>
      </c>
      <c r="B10174" s="17">
        <f>IFERROR(__xludf.DUMMYFUNCTION("""COMPUTED_VALUE"""),45289.0)</f>
        <v>45289</v>
      </c>
      <c r="C10174" s="13">
        <f>IFERROR(__xludf.DUMMYFUNCTION("""COMPUTED_VALUE"""),0.875)</f>
        <v>0.875</v>
      </c>
      <c r="D10174" s="8">
        <f>IFERROR(__xludf.DUMMYFUNCTION("""COMPUTED_VALUE"""),0.329)</f>
        <v>0.329</v>
      </c>
      <c r="E10174" s="8" t="str">
        <f>IFERROR(__xludf.DUMMYFUNCTION("""COMPUTED_VALUE"""),"Real")</f>
        <v>Real</v>
      </c>
      <c r="G10174" s="8">
        <f t="shared" si="1"/>
        <v>12</v>
      </c>
      <c r="H10174" s="14">
        <f t="shared" si="2"/>
        <v>29</v>
      </c>
      <c r="I10174" s="15">
        <f t="shared" si="3"/>
        <v>21</v>
      </c>
    </row>
    <row r="10175">
      <c r="A10175" s="8" t="str">
        <f>IFERROR(__xludf.DUMMYFUNCTION("IF('(INGESTA)Datos_consumo_datadis'!A10175&lt;&gt;"""",SPLIT('(INGESTA)Datos_consumo_datadis'!A:A,"",""),"""")"),"ES0031408323131005HX0F")</f>
        <v>ES0031408323131005HX0F</v>
      </c>
      <c r="B10175" s="17">
        <f>IFERROR(__xludf.DUMMYFUNCTION("""COMPUTED_VALUE"""),45289.0)</f>
        <v>45289</v>
      </c>
      <c r="C10175" s="13">
        <f>IFERROR(__xludf.DUMMYFUNCTION("""COMPUTED_VALUE"""),0.9166666666666666)</f>
        <v>0.9166666667</v>
      </c>
      <c r="D10175" s="8">
        <f>IFERROR(__xludf.DUMMYFUNCTION("""COMPUTED_VALUE"""),0.015)</f>
        <v>0.015</v>
      </c>
      <c r="E10175" s="8" t="str">
        <f>IFERROR(__xludf.DUMMYFUNCTION("""COMPUTED_VALUE"""),"Real")</f>
        <v>Real</v>
      </c>
      <c r="G10175" s="8">
        <f t="shared" si="1"/>
        <v>12</v>
      </c>
      <c r="H10175" s="14">
        <f t="shared" si="2"/>
        <v>29</v>
      </c>
      <c r="I10175" s="15">
        <f t="shared" si="3"/>
        <v>22</v>
      </c>
    </row>
    <row r="10176">
      <c r="A10176" s="8" t="str">
        <f>IFERROR(__xludf.DUMMYFUNCTION("IF('(INGESTA)Datos_consumo_datadis'!A10176&lt;&gt;"""",SPLIT('(INGESTA)Datos_consumo_datadis'!A:A,"",""),"""")"),"ES0031408323131005HX0F")</f>
        <v>ES0031408323131005HX0F</v>
      </c>
      <c r="B10176" s="17">
        <f>IFERROR(__xludf.DUMMYFUNCTION("""COMPUTED_VALUE"""),45289.0)</f>
        <v>45289</v>
      </c>
      <c r="C10176" s="13">
        <f>IFERROR(__xludf.DUMMYFUNCTION("""COMPUTED_VALUE"""),0.9583333333333334)</f>
        <v>0.9583333333</v>
      </c>
      <c r="D10176" s="8">
        <f>IFERROR(__xludf.DUMMYFUNCTION("""COMPUTED_VALUE"""),0.015)</f>
        <v>0.015</v>
      </c>
      <c r="E10176" s="8" t="str">
        <f>IFERROR(__xludf.DUMMYFUNCTION("""COMPUTED_VALUE"""),"Real")</f>
        <v>Real</v>
      </c>
      <c r="G10176" s="8">
        <f t="shared" si="1"/>
        <v>12</v>
      </c>
      <c r="H10176" s="14">
        <f t="shared" si="2"/>
        <v>29</v>
      </c>
      <c r="I10176" s="15">
        <f t="shared" si="3"/>
        <v>23</v>
      </c>
    </row>
    <row r="10177">
      <c r="A10177" s="8" t="str">
        <f>IFERROR(__xludf.DUMMYFUNCTION("IF('(INGESTA)Datos_consumo_datadis'!A10177&lt;&gt;"""",SPLIT('(INGESTA)Datos_consumo_datadis'!A:A,"",""),"""")"),"ES0031408323131005HX0F")</f>
        <v>ES0031408323131005HX0F</v>
      </c>
      <c r="B10177" s="17">
        <f>IFERROR(__xludf.DUMMYFUNCTION("""COMPUTED_VALUE"""),45289.0)</f>
        <v>45289</v>
      </c>
      <c r="C10177" s="16">
        <f>IFERROR(__xludf.DUMMYFUNCTION("""COMPUTED_VALUE"""),1.0)</f>
        <v>1</v>
      </c>
      <c r="D10177" s="8">
        <f>IFERROR(__xludf.DUMMYFUNCTION("""COMPUTED_VALUE"""),0.083)</f>
        <v>0.083</v>
      </c>
      <c r="E10177" s="8" t="str">
        <f>IFERROR(__xludf.DUMMYFUNCTION("""COMPUTED_VALUE"""),"Real")</f>
        <v>Real</v>
      </c>
      <c r="G10177" s="8">
        <f t="shared" si="1"/>
        <v>12</v>
      </c>
      <c r="H10177" s="14">
        <f t="shared" si="2"/>
        <v>29</v>
      </c>
      <c r="I10177" s="15">
        <f t="shared" si="3"/>
        <v>0</v>
      </c>
    </row>
    <row r="10178">
      <c r="A10178" s="8" t="str">
        <f>IFERROR(__xludf.DUMMYFUNCTION("IF('(INGESTA)Datos_consumo_datadis'!A10178&lt;&gt;"""",SPLIT('(INGESTA)Datos_consumo_datadis'!A:A,"",""),"""")"),"ES0031408323131005HX0F")</f>
        <v>ES0031408323131005HX0F</v>
      </c>
      <c r="B10178" s="17">
        <f>IFERROR(__xludf.DUMMYFUNCTION("""COMPUTED_VALUE"""),45290.0)</f>
        <v>45290</v>
      </c>
      <c r="C10178" s="13">
        <f>IFERROR(__xludf.DUMMYFUNCTION("""COMPUTED_VALUE"""),0.041666666666666664)</f>
        <v>0.04166666667</v>
      </c>
      <c r="D10178" s="8">
        <f>IFERROR(__xludf.DUMMYFUNCTION("""COMPUTED_VALUE"""),0.039)</f>
        <v>0.039</v>
      </c>
      <c r="E10178" s="8" t="str">
        <f>IFERROR(__xludf.DUMMYFUNCTION("""COMPUTED_VALUE"""),"Real")</f>
        <v>Real</v>
      </c>
      <c r="G10178" s="8">
        <f t="shared" si="1"/>
        <v>12</v>
      </c>
      <c r="H10178" s="14">
        <f t="shared" si="2"/>
        <v>30</v>
      </c>
      <c r="I10178" s="15">
        <f t="shared" si="3"/>
        <v>1</v>
      </c>
    </row>
    <row r="10179">
      <c r="A10179" s="8" t="str">
        <f>IFERROR(__xludf.DUMMYFUNCTION("IF('(INGESTA)Datos_consumo_datadis'!A10179&lt;&gt;"""",SPLIT('(INGESTA)Datos_consumo_datadis'!A:A,"",""),"""")"),"ES0031408323131005HX0F")</f>
        <v>ES0031408323131005HX0F</v>
      </c>
      <c r="B10179" s="17">
        <f>IFERROR(__xludf.DUMMYFUNCTION("""COMPUTED_VALUE"""),45290.0)</f>
        <v>45290</v>
      </c>
      <c r="C10179" s="13">
        <f>IFERROR(__xludf.DUMMYFUNCTION("""COMPUTED_VALUE"""),0.08333333333333333)</f>
        <v>0.08333333333</v>
      </c>
      <c r="D10179" s="8">
        <f>IFERROR(__xludf.DUMMYFUNCTION("""COMPUTED_VALUE"""),0.298)</f>
        <v>0.298</v>
      </c>
      <c r="E10179" s="8" t="str">
        <f>IFERROR(__xludf.DUMMYFUNCTION("""COMPUTED_VALUE"""),"Real")</f>
        <v>Real</v>
      </c>
      <c r="G10179" s="8">
        <f t="shared" si="1"/>
        <v>12</v>
      </c>
      <c r="H10179" s="14">
        <f t="shared" si="2"/>
        <v>30</v>
      </c>
      <c r="I10179" s="15">
        <f t="shared" si="3"/>
        <v>2</v>
      </c>
    </row>
    <row r="10180">
      <c r="A10180" s="8" t="str">
        <f>IFERROR(__xludf.DUMMYFUNCTION("IF('(INGESTA)Datos_consumo_datadis'!A10180&lt;&gt;"""",SPLIT('(INGESTA)Datos_consumo_datadis'!A:A,"",""),"""")"),"ES0031408323131005HX0F")</f>
        <v>ES0031408323131005HX0F</v>
      </c>
      <c r="B10180" s="17">
        <f>IFERROR(__xludf.DUMMYFUNCTION("""COMPUTED_VALUE"""),45290.0)</f>
        <v>45290</v>
      </c>
      <c r="C10180" s="13">
        <f>IFERROR(__xludf.DUMMYFUNCTION("""COMPUTED_VALUE"""),0.125)</f>
        <v>0.125</v>
      </c>
      <c r="D10180" s="8">
        <f>IFERROR(__xludf.DUMMYFUNCTION("""COMPUTED_VALUE"""),0.036)</f>
        <v>0.036</v>
      </c>
      <c r="E10180" s="8" t="str">
        <f>IFERROR(__xludf.DUMMYFUNCTION("""COMPUTED_VALUE"""),"Real")</f>
        <v>Real</v>
      </c>
      <c r="G10180" s="8">
        <f t="shared" si="1"/>
        <v>12</v>
      </c>
      <c r="H10180" s="14">
        <f t="shared" si="2"/>
        <v>30</v>
      </c>
      <c r="I10180" s="15">
        <f t="shared" si="3"/>
        <v>3</v>
      </c>
    </row>
    <row r="10181">
      <c r="A10181" s="8" t="str">
        <f>IFERROR(__xludf.DUMMYFUNCTION("IF('(INGESTA)Datos_consumo_datadis'!A10181&lt;&gt;"""",SPLIT('(INGESTA)Datos_consumo_datadis'!A:A,"",""),"""")"),"ES0031408323131005HX0F")</f>
        <v>ES0031408323131005HX0F</v>
      </c>
      <c r="B10181" s="17">
        <f>IFERROR(__xludf.DUMMYFUNCTION("""COMPUTED_VALUE"""),45290.0)</f>
        <v>45290</v>
      </c>
      <c r="C10181" s="13">
        <f>IFERROR(__xludf.DUMMYFUNCTION("""COMPUTED_VALUE"""),0.16666666666666666)</f>
        <v>0.1666666667</v>
      </c>
      <c r="D10181" s="8">
        <f>IFERROR(__xludf.DUMMYFUNCTION("""COMPUTED_VALUE"""),0.072)</f>
        <v>0.072</v>
      </c>
      <c r="E10181" s="8" t="str">
        <f>IFERROR(__xludf.DUMMYFUNCTION("""COMPUTED_VALUE"""),"Real")</f>
        <v>Real</v>
      </c>
      <c r="G10181" s="8">
        <f t="shared" si="1"/>
        <v>12</v>
      </c>
      <c r="H10181" s="14">
        <f t="shared" si="2"/>
        <v>30</v>
      </c>
      <c r="I10181" s="15">
        <f t="shared" si="3"/>
        <v>4</v>
      </c>
    </row>
    <row r="10182">
      <c r="A10182" s="8" t="str">
        <f>IFERROR(__xludf.DUMMYFUNCTION("IF('(INGESTA)Datos_consumo_datadis'!A10182&lt;&gt;"""",SPLIT('(INGESTA)Datos_consumo_datadis'!A:A,"",""),"""")"),"ES0031408323131005HX0F")</f>
        <v>ES0031408323131005HX0F</v>
      </c>
      <c r="B10182" s="17">
        <f>IFERROR(__xludf.DUMMYFUNCTION("""COMPUTED_VALUE"""),45290.0)</f>
        <v>45290</v>
      </c>
      <c r="C10182" s="13">
        <f>IFERROR(__xludf.DUMMYFUNCTION("""COMPUTED_VALUE"""),0.20833333333333334)</f>
        <v>0.2083333333</v>
      </c>
      <c r="D10182" s="8">
        <f>IFERROR(__xludf.DUMMYFUNCTION("""COMPUTED_VALUE"""),0.075)</f>
        <v>0.075</v>
      </c>
      <c r="E10182" s="8" t="str">
        <f>IFERROR(__xludf.DUMMYFUNCTION("""COMPUTED_VALUE"""),"Real")</f>
        <v>Real</v>
      </c>
      <c r="G10182" s="8">
        <f t="shared" si="1"/>
        <v>12</v>
      </c>
      <c r="H10182" s="14">
        <f t="shared" si="2"/>
        <v>30</v>
      </c>
      <c r="I10182" s="15">
        <f t="shared" si="3"/>
        <v>5</v>
      </c>
    </row>
    <row r="10183">
      <c r="A10183" s="8" t="str">
        <f>IFERROR(__xludf.DUMMYFUNCTION("IF('(INGESTA)Datos_consumo_datadis'!A10183&lt;&gt;"""",SPLIT('(INGESTA)Datos_consumo_datadis'!A:A,"",""),"""")"),"ES0031408323131005HX0F")</f>
        <v>ES0031408323131005HX0F</v>
      </c>
      <c r="B10183" s="17">
        <f>IFERROR(__xludf.DUMMYFUNCTION("""COMPUTED_VALUE"""),45290.0)</f>
        <v>45290</v>
      </c>
      <c r="C10183" s="13">
        <f>IFERROR(__xludf.DUMMYFUNCTION("""COMPUTED_VALUE"""),0.25)</f>
        <v>0.25</v>
      </c>
      <c r="D10183" s="8">
        <f>IFERROR(__xludf.DUMMYFUNCTION("""COMPUTED_VALUE"""),0.048)</f>
        <v>0.048</v>
      </c>
      <c r="E10183" s="8" t="str">
        <f>IFERROR(__xludf.DUMMYFUNCTION("""COMPUTED_VALUE"""),"Real")</f>
        <v>Real</v>
      </c>
      <c r="G10183" s="8">
        <f t="shared" si="1"/>
        <v>12</v>
      </c>
      <c r="H10183" s="14">
        <f t="shared" si="2"/>
        <v>30</v>
      </c>
      <c r="I10183" s="15">
        <f t="shared" si="3"/>
        <v>6</v>
      </c>
    </row>
    <row r="10184">
      <c r="A10184" s="8" t="str">
        <f>IFERROR(__xludf.DUMMYFUNCTION("IF('(INGESTA)Datos_consumo_datadis'!A10184&lt;&gt;"""",SPLIT('(INGESTA)Datos_consumo_datadis'!A:A,"",""),"""")"),"ES0031408323131005HX0F")</f>
        <v>ES0031408323131005HX0F</v>
      </c>
      <c r="B10184" s="17">
        <f>IFERROR(__xludf.DUMMYFUNCTION("""COMPUTED_VALUE"""),45290.0)</f>
        <v>45290</v>
      </c>
      <c r="C10184" s="13">
        <f>IFERROR(__xludf.DUMMYFUNCTION("""COMPUTED_VALUE"""),0.2916666666666667)</f>
        <v>0.2916666667</v>
      </c>
      <c r="D10184" s="8">
        <f>IFERROR(__xludf.DUMMYFUNCTION("""COMPUTED_VALUE"""),0.196)</f>
        <v>0.196</v>
      </c>
      <c r="E10184" s="8" t="str">
        <f>IFERROR(__xludf.DUMMYFUNCTION("""COMPUTED_VALUE"""),"Real")</f>
        <v>Real</v>
      </c>
      <c r="G10184" s="8">
        <f t="shared" si="1"/>
        <v>12</v>
      </c>
      <c r="H10184" s="14">
        <f t="shared" si="2"/>
        <v>30</v>
      </c>
      <c r="I10184" s="15">
        <f t="shared" si="3"/>
        <v>7</v>
      </c>
    </row>
    <row r="10185">
      <c r="A10185" s="8" t="str">
        <f>IFERROR(__xludf.DUMMYFUNCTION("IF('(INGESTA)Datos_consumo_datadis'!A10185&lt;&gt;"""",SPLIT('(INGESTA)Datos_consumo_datadis'!A:A,"",""),"""")"),"ES0031408323131005HX0F")</f>
        <v>ES0031408323131005HX0F</v>
      </c>
      <c r="B10185" s="17">
        <f>IFERROR(__xludf.DUMMYFUNCTION("""COMPUTED_VALUE"""),45290.0)</f>
        <v>45290</v>
      </c>
      <c r="C10185" s="13">
        <f>IFERROR(__xludf.DUMMYFUNCTION("""COMPUTED_VALUE"""),0.3333333333333333)</f>
        <v>0.3333333333</v>
      </c>
      <c r="D10185" s="8">
        <f>IFERROR(__xludf.DUMMYFUNCTION("""COMPUTED_VALUE"""),0.12)</f>
        <v>0.12</v>
      </c>
      <c r="E10185" s="8" t="str">
        <f>IFERROR(__xludf.DUMMYFUNCTION("""COMPUTED_VALUE"""),"Real")</f>
        <v>Real</v>
      </c>
      <c r="G10185" s="8">
        <f t="shared" si="1"/>
        <v>12</v>
      </c>
      <c r="H10185" s="14">
        <f t="shared" si="2"/>
        <v>30</v>
      </c>
      <c r="I10185" s="15">
        <f t="shared" si="3"/>
        <v>8</v>
      </c>
    </row>
    <row r="10186">
      <c r="A10186" s="8" t="str">
        <f>IFERROR(__xludf.DUMMYFUNCTION("IF('(INGESTA)Datos_consumo_datadis'!A10186&lt;&gt;"""",SPLIT('(INGESTA)Datos_consumo_datadis'!A:A,"",""),"""")"),"ES0031408323131005HX0F")</f>
        <v>ES0031408323131005HX0F</v>
      </c>
      <c r="B10186" s="17">
        <f>IFERROR(__xludf.DUMMYFUNCTION("""COMPUTED_VALUE"""),45290.0)</f>
        <v>45290</v>
      </c>
      <c r="C10186" s="13">
        <f>IFERROR(__xludf.DUMMYFUNCTION("""COMPUTED_VALUE"""),0.375)</f>
        <v>0.375</v>
      </c>
      <c r="D10186" s="8">
        <f>IFERROR(__xludf.DUMMYFUNCTION("""COMPUTED_VALUE"""),0.083)</f>
        <v>0.083</v>
      </c>
      <c r="E10186" s="8" t="str">
        <f>IFERROR(__xludf.DUMMYFUNCTION("""COMPUTED_VALUE"""),"Real")</f>
        <v>Real</v>
      </c>
      <c r="G10186" s="8">
        <f t="shared" si="1"/>
        <v>12</v>
      </c>
      <c r="H10186" s="14">
        <f t="shared" si="2"/>
        <v>30</v>
      </c>
      <c r="I10186" s="15">
        <f t="shared" si="3"/>
        <v>9</v>
      </c>
    </row>
    <row r="10187">
      <c r="A10187" s="8" t="str">
        <f>IFERROR(__xludf.DUMMYFUNCTION("IF('(INGESTA)Datos_consumo_datadis'!A10187&lt;&gt;"""",SPLIT('(INGESTA)Datos_consumo_datadis'!A:A,"",""),"""")"),"ES0031408323131005HX0F")</f>
        <v>ES0031408323131005HX0F</v>
      </c>
      <c r="B10187" s="17">
        <f>IFERROR(__xludf.DUMMYFUNCTION("""COMPUTED_VALUE"""),45290.0)</f>
        <v>45290</v>
      </c>
      <c r="C10187" s="13">
        <f>IFERROR(__xludf.DUMMYFUNCTION("""COMPUTED_VALUE"""),0.4166666666666667)</f>
        <v>0.4166666667</v>
      </c>
      <c r="D10187" s="8">
        <f>IFERROR(__xludf.DUMMYFUNCTION("""COMPUTED_VALUE"""),0.047)</f>
        <v>0.047</v>
      </c>
      <c r="E10187" s="8" t="str">
        <f>IFERROR(__xludf.DUMMYFUNCTION("""COMPUTED_VALUE"""),"Real")</f>
        <v>Real</v>
      </c>
      <c r="G10187" s="8">
        <f t="shared" si="1"/>
        <v>12</v>
      </c>
      <c r="H10187" s="14">
        <f t="shared" si="2"/>
        <v>30</v>
      </c>
      <c r="I10187" s="15">
        <f t="shared" si="3"/>
        <v>10</v>
      </c>
    </row>
    <row r="10188">
      <c r="A10188" s="8" t="str">
        <f>IFERROR(__xludf.DUMMYFUNCTION("IF('(INGESTA)Datos_consumo_datadis'!A10188&lt;&gt;"""",SPLIT('(INGESTA)Datos_consumo_datadis'!A:A,"",""),"""")"),"ES0031408323131005HX0F")</f>
        <v>ES0031408323131005HX0F</v>
      </c>
      <c r="B10188" s="17">
        <f>IFERROR(__xludf.DUMMYFUNCTION("""COMPUTED_VALUE"""),45290.0)</f>
        <v>45290</v>
      </c>
      <c r="C10188" s="13">
        <f>IFERROR(__xludf.DUMMYFUNCTION("""COMPUTED_VALUE"""),0.4583333333333333)</f>
        <v>0.4583333333</v>
      </c>
      <c r="D10188" s="8">
        <f>IFERROR(__xludf.DUMMYFUNCTION("""COMPUTED_VALUE"""),0.028)</f>
        <v>0.028</v>
      </c>
      <c r="E10188" s="8" t="str">
        <f>IFERROR(__xludf.DUMMYFUNCTION("""COMPUTED_VALUE"""),"Real")</f>
        <v>Real</v>
      </c>
      <c r="G10188" s="8">
        <f t="shared" si="1"/>
        <v>12</v>
      </c>
      <c r="H10188" s="14">
        <f t="shared" si="2"/>
        <v>30</v>
      </c>
      <c r="I10188" s="15">
        <f t="shared" si="3"/>
        <v>11</v>
      </c>
    </row>
    <row r="10189">
      <c r="A10189" s="8" t="str">
        <f>IFERROR(__xludf.DUMMYFUNCTION("IF('(INGESTA)Datos_consumo_datadis'!A10189&lt;&gt;"""",SPLIT('(INGESTA)Datos_consumo_datadis'!A:A,"",""),"""")"),"ES0031408323131005HX0F")</f>
        <v>ES0031408323131005HX0F</v>
      </c>
      <c r="B10189" s="17">
        <f>IFERROR(__xludf.DUMMYFUNCTION("""COMPUTED_VALUE"""),45290.0)</f>
        <v>45290</v>
      </c>
      <c r="C10189" s="13">
        <f>IFERROR(__xludf.DUMMYFUNCTION("""COMPUTED_VALUE"""),0.5)</f>
        <v>0.5</v>
      </c>
      <c r="D10189" s="8">
        <f>IFERROR(__xludf.DUMMYFUNCTION("""COMPUTED_VALUE"""),0.015)</f>
        <v>0.015</v>
      </c>
      <c r="E10189" s="8" t="str">
        <f>IFERROR(__xludf.DUMMYFUNCTION("""COMPUTED_VALUE"""),"Real")</f>
        <v>Real</v>
      </c>
      <c r="G10189" s="8">
        <f t="shared" si="1"/>
        <v>12</v>
      </c>
      <c r="H10189" s="14">
        <f t="shared" si="2"/>
        <v>30</v>
      </c>
      <c r="I10189" s="15">
        <f t="shared" si="3"/>
        <v>12</v>
      </c>
    </row>
    <row r="10190">
      <c r="A10190" s="8" t="str">
        <f>IFERROR(__xludf.DUMMYFUNCTION("IF('(INGESTA)Datos_consumo_datadis'!A10190&lt;&gt;"""",SPLIT('(INGESTA)Datos_consumo_datadis'!A:A,"",""),"""")"),"ES0031408323131005HX0F")</f>
        <v>ES0031408323131005HX0F</v>
      </c>
      <c r="B10190" s="17">
        <f>IFERROR(__xludf.DUMMYFUNCTION("""COMPUTED_VALUE"""),45290.0)</f>
        <v>45290</v>
      </c>
      <c r="C10190" s="13">
        <f>IFERROR(__xludf.DUMMYFUNCTION("""COMPUTED_VALUE"""),0.5416666666666666)</f>
        <v>0.5416666667</v>
      </c>
      <c r="D10190" s="8">
        <f>IFERROR(__xludf.DUMMYFUNCTION("""COMPUTED_VALUE"""),0.35)</f>
        <v>0.35</v>
      </c>
      <c r="E10190" s="8" t="str">
        <f>IFERROR(__xludf.DUMMYFUNCTION("""COMPUTED_VALUE"""),"Real")</f>
        <v>Real</v>
      </c>
      <c r="G10190" s="8">
        <f t="shared" si="1"/>
        <v>12</v>
      </c>
      <c r="H10190" s="14">
        <f t="shared" si="2"/>
        <v>30</v>
      </c>
      <c r="I10190" s="15">
        <f t="shared" si="3"/>
        <v>13</v>
      </c>
    </row>
    <row r="10191">
      <c r="A10191" s="8" t="str">
        <f>IFERROR(__xludf.DUMMYFUNCTION("IF('(INGESTA)Datos_consumo_datadis'!A10191&lt;&gt;"""",SPLIT('(INGESTA)Datos_consumo_datadis'!A:A,"",""),"""")"),"ES0031408323131005HX0F")</f>
        <v>ES0031408323131005HX0F</v>
      </c>
      <c r="B10191" s="17">
        <f>IFERROR(__xludf.DUMMYFUNCTION("""COMPUTED_VALUE"""),45290.0)</f>
        <v>45290</v>
      </c>
      <c r="C10191" s="13">
        <f>IFERROR(__xludf.DUMMYFUNCTION("""COMPUTED_VALUE"""),0.5833333333333334)</f>
        <v>0.5833333333</v>
      </c>
      <c r="D10191" s="8">
        <f>IFERROR(__xludf.DUMMYFUNCTION("""COMPUTED_VALUE"""),0.053)</f>
        <v>0.053</v>
      </c>
      <c r="E10191" s="8" t="str">
        <f>IFERROR(__xludf.DUMMYFUNCTION("""COMPUTED_VALUE"""),"Real")</f>
        <v>Real</v>
      </c>
      <c r="G10191" s="8">
        <f t="shared" si="1"/>
        <v>12</v>
      </c>
      <c r="H10191" s="14">
        <f t="shared" si="2"/>
        <v>30</v>
      </c>
      <c r="I10191" s="15">
        <f t="shared" si="3"/>
        <v>14</v>
      </c>
    </row>
    <row r="10192">
      <c r="A10192" s="8" t="str">
        <f>IFERROR(__xludf.DUMMYFUNCTION("IF('(INGESTA)Datos_consumo_datadis'!A10192&lt;&gt;"""",SPLIT('(INGESTA)Datos_consumo_datadis'!A:A,"",""),"""")"),"ES0031408323131005HX0F")</f>
        <v>ES0031408323131005HX0F</v>
      </c>
      <c r="B10192" s="17">
        <f>IFERROR(__xludf.DUMMYFUNCTION("""COMPUTED_VALUE"""),45290.0)</f>
        <v>45290</v>
      </c>
      <c r="C10192" s="13">
        <f>IFERROR(__xludf.DUMMYFUNCTION("""COMPUTED_VALUE"""),0.625)</f>
        <v>0.625</v>
      </c>
      <c r="D10192" s="8">
        <f>IFERROR(__xludf.DUMMYFUNCTION("""COMPUTED_VALUE"""),0.038)</f>
        <v>0.038</v>
      </c>
      <c r="E10192" s="8" t="str">
        <f>IFERROR(__xludf.DUMMYFUNCTION("""COMPUTED_VALUE"""),"Real")</f>
        <v>Real</v>
      </c>
      <c r="G10192" s="8">
        <f t="shared" si="1"/>
        <v>12</v>
      </c>
      <c r="H10192" s="14">
        <f t="shared" si="2"/>
        <v>30</v>
      </c>
      <c r="I10192" s="15">
        <f t="shared" si="3"/>
        <v>15</v>
      </c>
    </row>
    <row r="10193">
      <c r="A10193" s="8" t="str">
        <f>IFERROR(__xludf.DUMMYFUNCTION("IF('(INGESTA)Datos_consumo_datadis'!A10193&lt;&gt;"""",SPLIT('(INGESTA)Datos_consumo_datadis'!A:A,"",""),"""")"),"ES0031408323131005HX0F")</f>
        <v>ES0031408323131005HX0F</v>
      </c>
      <c r="B10193" s="17">
        <f>IFERROR(__xludf.DUMMYFUNCTION("""COMPUTED_VALUE"""),45290.0)</f>
        <v>45290</v>
      </c>
      <c r="C10193" s="13">
        <f>IFERROR(__xludf.DUMMYFUNCTION("""COMPUTED_VALUE"""),0.6666666666666666)</f>
        <v>0.6666666667</v>
      </c>
      <c r="D10193" s="8">
        <f>IFERROR(__xludf.DUMMYFUNCTION("""COMPUTED_VALUE"""),0.015)</f>
        <v>0.015</v>
      </c>
      <c r="E10193" s="8" t="str">
        <f>IFERROR(__xludf.DUMMYFUNCTION("""COMPUTED_VALUE"""),"Real")</f>
        <v>Real</v>
      </c>
      <c r="G10193" s="8">
        <f t="shared" si="1"/>
        <v>12</v>
      </c>
      <c r="H10193" s="14">
        <f t="shared" si="2"/>
        <v>30</v>
      </c>
      <c r="I10193" s="15">
        <f t="shared" si="3"/>
        <v>16</v>
      </c>
    </row>
    <row r="10194">
      <c r="A10194" s="8" t="str">
        <f>IFERROR(__xludf.DUMMYFUNCTION("IF('(INGESTA)Datos_consumo_datadis'!A10194&lt;&gt;"""",SPLIT('(INGESTA)Datos_consumo_datadis'!A:A,"",""),"""")"),"ES0031408323131005HX0F")</f>
        <v>ES0031408323131005HX0F</v>
      </c>
      <c r="B10194" s="17">
        <f>IFERROR(__xludf.DUMMYFUNCTION("""COMPUTED_VALUE"""),45290.0)</f>
        <v>45290</v>
      </c>
      <c r="C10194" s="13">
        <f>IFERROR(__xludf.DUMMYFUNCTION("""COMPUTED_VALUE"""),0.7083333333333334)</f>
        <v>0.7083333333</v>
      </c>
      <c r="D10194" s="8">
        <f>IFERROR(__xludf.DUMMYFUNCTION("""COMPUTED_VALUE"""),0.034)</f>
        <v>0.034</v>
      </c>
      <c r="E10194" s="8" t="str">
        <f>IFERROR(__xludf.DUMMYFUNCTION("""COMPUTED_VALUE"""),"Real")</f>
        <v>Real</v>
      </c>
      <c r="G10194" s="8">
        <f t="shared" si="1"/>
        <v>12</v>
      </c>
      <c r="H10194" s="14">
        <f t="shared" si="2"/>
        <v>30</v>
      </c>
      <c r="I10194" s="15">
        <f t="shared" si="3"/>
        <v>17</v>
      </c>
    </row>
    <row r="10195">
      <c r="A10195" s="8" t="str">
        <f>IFERROR(__xludf.DUMMYFUNCTION("IF('(INGESTA)Datos_consumo_datadis'!A10195&lt;&gt;"""",SPLIT('(INGESTA)Datos_consumo_datadis'!A:A,"",""),"""")"),"ES0031408323131005HX0F")</f>
        <v>ES0031408323131005HX0F</v>
      </c>
      <c r="B10195" s="17">
        <f>IFERROR(__xludf.DUMMYFUNCTION("""COMPUTED_VALUE"""),45290.0)</f>
        <v>45290</v>
      </c>
      <c r="C10195" s="13">
        <f>IFERROR(__xludf.DUMMYFUNCTION("""COMPUTED_VALUE"""),0.75)</f>
        <v>0.75</v>
      </c>
      <c r="D10195" s="8">
        <f>IFERROR(__xludf.DUMMYFUNCTION("""COMPUTED_VALUE"""),0.347)</f>
        <v>0.347</v>
      </c>
      <c r="E10195" s="8" t="str">
        <f>IFERROR(__xludf.DUMMYFUNCTION("""COMPUTED_VALUE"""),"Real")</f>
        <v>Real</v>
      </c>
      <c r="G10195" s="8">
        <f t="shared" si="1"/>
        <v>12</v>
      </c>
      <c r="H10195" s="14">
        <f t="shared" si="2"/>
        <v>30</v>
      </c>
      <c r="I10195" s="15">
        <f t="shared" si="3"/>
        <v>18</v>
      </c>
    </row>
    <row r="10196">
      <c r="A10196" s="8" t="str">
        <f>IFERROR(__xludf.DUMMYFUNCTION("IF('(INGESTA)Datos_consumo_datadis'!A10196&lt;&gt;"""",SPLIT('(INGESTA)Datos_consumo_datadis'!A:A,"",""),"""")"),"ES0031408323131005HX0F")</f>
        <v>ES0031408323131005HX0F</v>
      </c>
      <c r="B10196" s="17">
        <f>IFERROR(__xludf.DUMMYFUNCTION("""COMPUTED_VALUE"""),45290.0)</f>
        <v>45290</v>
      </c>
      <c r="C10196" s="13">
        <f>IFERROR(__xludf.DUMMYFUNCTION("""COMPUTED_VALUE"""),0.7916666666666666)</f>
        <v>0.7916666667</v>
      </c>
      <c r="D10196" s="8">
        <f>IFERROR(__xludf.DUMMYFUNCTION("""COMPUTED_VALUE"""),0.05)</f>
        <v>0.05</v>
      </c>
      <c r="E10196" s="8" t="str">
        <f>IFERROR(__xludf.DUMMYFUNCTION("""COMPUTED_VALUE"""),"Real")</f>
        <v>Real</v>
      </c>
      <c r="G10196" s="8">
        <f t="shared" si="1"/>
        <v>12</v>
      </c>
      <c r="H10196" s="14">
        <f t="shared" si="2"/>
        <v>30</v>
      </c>
      <c r="I10196" s="15">
        <f t="shared" si="3"/>
        <v>19</v>
      </c>
    </row>
    <row r="10197">
      <c r="A10197" s="8" t="str">
        <f>IFERROR(__xludf.DUMMYFUNCTION("IF('(INGESTA)Datos_consumo_datadis'!A10197&lt;&gt;"""",SPLIT('(INGESTA)Datos_consumo_datadis'!A:A,"",""),"""")"),"ES0031408323131005HX0F")</f>
        <v>ES0031408323131005HX0F</v>
      </c>
      <c r="B10197" s="17">
        <f>IFERROR(__xludf.DUMMYFUNCTION("""COMPUTED_VALUE"""),45290.0)</f>
        <v>45290</v>
      </c>
      <c r="C10197" s="13">
        <f>IFERROR(__xludf.DUMMYFUNCTION("""COMPUTED_VALUE"""),0.8333333333333334)</f>
        <v>0.8333333333</v>
      </c>
      <c r="D10197" s="8">
        <f>IFERROR(__xludf.DUMMYFUNCTION("""COMPUTED_VALUE"""),0.015)</f>
        <v>0.015</v>
      </c>
      <c r="E10197" s="8" t="str">
        <f>IFERROR(__xludf.DUMMYFUNCTION("""COMPUTED_VALUE"""),"Real")</f>
        <v>Real</v>
      </c>
      <c r="G10197" s="8">
        <f t="shared" si="1"/>
        <v>12</v>
      </c>
      <c r="H10197" s="14">
        <f t="shared" si="2"/>
        <v>30</v>
      </c>
      <c r="I10197" s="15">
        <f t="shared" si="3"/>
        <v>20</v>
      </c>
    </row>
    <row r="10198">
      <c r="A10198" s="8" t="str">
        <f>IFERROR(__xludf.DUMMYFUNCTION("IF('(INGESTA)Datos_consumo_datadis'!A10198&lt;&gt;"""",SPLIT('(INGESTA)Datos_consumo_datadis'!A:A,"",""),"""")"),"ES0031408323131005HX0F")</f>
        <v>ES0031408323131005HX0F</v>
      </c>
      <c r="B10198" s="17">
        <f>IFERROR(__xludf.DUMMYFUNCTION("""COMPUTED_VALUE"""),45290.0)</f>
        <v>45290</v>
      </c>
      <c r="C10198" s="13">
        <f>IFERROR(__xludf.DUMMYFUNCTION("""COMPUTED_VALUE"""),0.875)</f>
        <v>0.875</v>
      </c>
      <c r="D10198" s="8">
        <f>IFERROR(__xludf.DUMMYFUNCTION("""COMPUTED_VALUE"""),0.015)</f>
        <v>0.015</v>
      </c>
      <c r="E10198" s="8" t="str">
        <f>IFERROR(__xludf.DUMMYFUNCTION("""COMPUTED_VALUE"""),"Real")</f>
        <v>Real</v>
      </c>
      <c r="G10198" s="8">
        <f t="shared" si="1"/>
        <v>12</v>
      </c>
      <c r="H10198" s="14">
        <f t="shared" si="2"/>
        <v>30</v>
      </c>
      <c r="I10198" s="15">
        <f t="shared" si="3"/>
        <v>21</v>
      </c>
    </row>
    <row r="10199">
      <c r="A10199" s="8" t="str">
        <f>IFERROR(__xludf.DUMMYFUNCTION("IF('(INGESTA)Datos_consumo_datadis'!A10199&lt;&gt;"""",SPLIT('(INGESTA)Datos_consumo_datadis'!A:A,"",""),"""")"),"ES0031408323131005HX0F")</f>
        <v>ES0031408323131005HX0F</v>
      </c>
      <c r="B10199" s="17">
        <f>IFERROR(__xludf.DUMMYFUNCTION("""COMPUTED_VALUE"""),45290.0)</f>
        <v>45290</v>
      </c>
      <c r="C10199" s="13">
        <f>IFERROR(__xludf.DUMMYFUNCTION("""COMPUTED_VALUE"""),0.9166666666666666)</f>
        <v>0.9166666667</v>
      </c>
      <c r="D10199" s="8">
        <f>IFERROR(__xludf.DUMMYFUNCTION("""COMPUTED_VALUE"""),0.083)</f>
        <v>0.083</v>
      </c>
      <c r="E10199" s="8" t="str">
        <f>IFERROR(__xludf.DUMMYFUNCTION("""COMPUTED_VALUE"""),"Real")</f>
        <v>Real</v>
      </c>
      <c r="G10199" s="8">
        <f t="shared" si="1"/>
        <v>12</v>
      </c>
      <c r="H10199" s="14">
        <f t="shared" si="2"/>
        <v>30</v>
      </c>
      <c r="I10199" s="15">
        <f t="shared" si="3"/>
        <v>22</v>
      </c>
    </row>
    <row r="10200">
      <c r="A10200" s="8" t="str">
        <f>IFERROR(__xludf.DUMMYFUNCTION("IF('(INGESTA)Datos_consumo_datadis'!A10200&lt;&gt;"""",SPLIT('(INGESTA)Datos_consumo_datadis'!A:A,"",""),"""")"),"ES0031408323131005HX0F")</f>
        <v>ES0031408323131005HX0F</v>
      </c>
      <c r="B10200" s="17">
        <f>IFERROR(__xludf.DUMMYFUNCTION("""COMPUTED_VALUE"""),45290.0)</f>
        <v>45290</v>
      </c>
      <c r="C10200" s="13">
        <f>IFERROR(__xludf.DUMMYFUNCTION("""COMPUTED_VALUE"""),0.9583333333333334)</f>
        <v>0.9583333333</v>
      </c>
      <c r="D10200" s="8">
        <f>IFERROR(__xludf.DUMMYFUNCTION("""COMPUTED_VALUE"""),0.154)</f>
        <v>0.154</v>
      </c>
      <c r="E10200" s="8" t="str">
        <f>IFERROR(__xludf.DUMMYFUNCTION("""COMPUTED_VALUE"""),"Real")</f>
        <v>Real</v>
      </c>
      <c r="G10200" s="8">
        <f t="shared" si="1"/>
        <v>12</v>
      </c>
      <c r="H10200" s="14">
        <f t="shared" si="2"/>
        <v>30</v>
      </c>
      <c r="I10200" s="15">
        <f t="shared" si="3"/>
        <v>23</v>
      </c>
    </row>
    <row r="10201">
      <c r="A10201" s="8" t="str">
        <f>IFERROR(__xludf.DUMMYFUNCTION("IF('(INGESTA)Datos_consumo_datadis'!A10201&lt;&gt;"""",SPLIT('(INGESTA)Datos_consumo_datadis'!A:A,"",""),"""")"),"ES0031408323131005HX0F")</f>
        <v>ES0031408323131005HX0F</v>
      </c>
      <c r="B10201" s="17">
        <f>IFERROR(__xludf.DUMMYFUNCTION("""COMPUTED_VALUE"""),45290.0)</f>
        <v>45290</v>
      </c>
      <c r="C10201" s="16">
        <f>IFERROR(__xludf.DUMMYFUNCTION("""COMPUTED_VALUE"""),1.0)</f>
        <v>1</v>
      </c>
      <c r="D10201" s="8">
        <f>IFERROR(__xludf.DUMMYFUNCTION("""COMPUTED_VALUE"""),0.174)</f>
        <v>0.174</v>
      </c>
      <c r="E10201" s="8" t="str">
        <f>IFERROR(__xludf.DUMMYFUNCTION("""COMPUTED_VALUE"""),"Real")</f>
        <v>Real</v>
      </c>
      <c r="G10201" s="8">
        <f t="shared" si="1"/>
        <v>12</v>
      </c>
      <c r="H10201" s="14">
        <f t="shared" si="2"/>
        <v>30</v>
      </c>
      <c r="I10201" s="15">
        <f t="shared" si="3"/>
        <v>0</v>
      </c>
    </row>
    <row r="10202">
      <c r="A10202" s="8" t="str">
        <f>IFERROR(__xludf.DUMMYFUNCTION("IF('(INGESTA)Datos_consumo_datadis'!A10202&lt;&gt;"""",SPLIT('(INGESTA)Datos_consumo_datadis'!A:A,"",""),"""")"),"ES0031408323131005HX0F")</f>
        <v>ES0031408323131005HX0F</v>
      </c>
      <c r="B10202" s="17">
        <f>IFERROR(__xludf.DUMMYFUNCTION("""COMPUTED_VALUE"""),45291.0)</f>
        <v>45291</v>
      </c>
      <c r="C10202" s="13">
        <f>IFERROR(__xludf.DUMMYFUNCTION("""COMPUTED_VALUE"""),0.041666666666666664)</f>
        <v>0.04166666667</v>
      </c>
      <c r="D10202" s="8">
        <f>IFERROR(__xludf.DUMMYFUNCTION("""COMPUTED_VALUE"""),0.014)</f>
        <v>0.014</v>
      </c>
      <c r="E10202" s="8" t="str">
        <f>IFERROR(__xludf.DUMMYFUNCTION("""COMPUTED_VALUE"""),"Real")</f>
        <v>Real</v>
      </c>
      <c r="G10202" s="8">
        <f t="shared" si="1"/>
        <v>12</v>
      </c>
      <c r="H10202" s="14">
        <f t="shared" si="2"/>
        <v>31</v>
      </c>
      <c r="I10202" s="15">
        <f t="shared" si="3"/>
        <v>1</v>
      </c>
    </row>
    <row r="10203">
      <c r="A10203" s="8" t="str">
        <f>IFERROR(__xludf.DUMMYFUNCTION("IF('(INGESTA)Datos_consumo_datadis'!A10203&lt;&gt;"""",SPLIT('(INGESTA)Datos_consumo_datadis'!A:A,"",""),"""")"),"ES0031408323131005HX0F")</f>
        <v>ES0031408323131005HX0F</v>
      </c>
      <c r="B10203" s="17">
        <f>IFERROR(__xludf.DUMMYFUNCTION("""COMPUTED_VALUE"""),45291.0)</f>
        <v>45291</v>
      </c>
      <c r="C10203" s="13">
        <f>IFERROR(__xludf.DUMMYFUNCTION("""COMPUTED_VALUE"""),0.08333333333333333)</f>
        <v>0.08333333333</v>
      </c>
      <c r="D10203" s="8">
        <f>IFERROR(__xludf.DUMMYFUNCTION("""COMPUTED_VALUE"""),0.064)</f>
        <v>0.064</v>
      </c>
      <c r="E10203" s="8" t="str">
        <f>IFERROR(__xludf.DUMMYFUNCTION("""COMPUTED_VALUE"""),"Real")</f>
        <v>Real</v>
      </c>
      <c r="G10203" s="8">
        <f t="shared" si="1"/>
        <v>12</v>
      </c>
      <c r="H10203" s="14">
        <f t="shared" si="2"/>
        <v>31</v>
      </c>
      <c r="I10203" s="15">
        <f t="shared" si="3"/>
        <v>2</v>
      </c>
    </row>
    <row r="10204">
      <c r="A10204" s="8" t="str">
        <f>IFERROR(__xludf.DUMMYFUNCTION("IF('(INGESTA)Datos_consumo_datadis'!A10204&lt;&gt;"""",SPLIT('(INGESTA)Datos_consumo_datadis'!A:A,"",""),"""")"),"ES0031408323131005HX0F")</f>
        <v>ES0031408323131005HX0F</v>
      </c>
      <c r="B10204" s="17">
        <f>IFERROR(__xludf.DUMMYFUNCTION("""COMPUTED_VALUE"""),45291.0)</f>
        <v>45291</v>
      </c>
      <c r="C10204" s="13">
        <f>IFERROR(__xludf.DUMMYFUNCTION("""COMPUTED_VALUE"""),0.125)</f>
        <v>0.125</v>
      </c>
      <c r="D10204" s="8">
        <f>IFERROR(__xludf.DUMMYFUNCTION("""COMPUTED_VALUE"""),0.079)</f>
        <v>0.079</v>
      </c>
      <c r="E10204" s="8" t="str">
        <f>IFERROR(__xludf.DUMMYFUNCTION("""COMPUTED_VALUE"""),"Real")</f>
        <v>Real</v>
      </c>
      <c r="G10204" s="8">
        <f t="shared" si="1"/>
        <v>12</v>
      </c>
      <c r="H10204" s="14">
        <f t="shared" si="2"/>
        <v>31</v>
      </c>
      <c r="I10204" s="15">
        <f t="shared" si="3"/>
        <v>3</v>
      </c>
    </row>
    <row r="10205">
      <c r="A10205" s="8" t="str">
        <f>IFERROR(__xludf.DUMMYFUNCTION("IF('(INGESTA)Datos_consumo_datadis'!A10205&lt;&gt;"""",SPLIT('(INGESTA)Datos_consumo_datadis'!A:A,"",""),"""")"),"ES0031408323131005HX0F")</f>
        <v>ES0031408323131005HX0F</v>
      </c>
      <c r="B10205" s="17">
        <f>IFERROR(__xludf.DUMMYFUNCTION("""COMPUTED_VALUE"""),45291.0)</f>
        <v>45291</v>
      </c>
      <c r="C10205" s="13">
        <f>IFERROR(__xludf.DUMMYFUNCTION("""COMPUTED_VALUE"""),0.16666666666666666)</f>
        <v>0.1666666667</v>
      </c>
      <c r="D10205" s="8">
        <f>IFERROR(__xludf.DUMMYFUNCTION("""COMPUTED_VALUE"""),0.252)</f>
        <v>0.252</v>
      </c>
      <c r="E10205" s="8" t="str">
        <f>IFERROR(__xludf.DUMMYFUNCTION("""COMPUTED_VALUE"""),"Real")</f>
        <v>Real</v>
      </c>
      <c r="G10205" s="8">
        <f t="shared" si="1"/>
        <v>12</v>
      </c>
      <c r="H10205" s="14">
        <f t="shared" si="2"/>
        <v>31</v>
      </c>
      <c r="I10205" s="15">
        <f t="shared" si="3"/>
        <v>4</v>
      </c>
    </row>
    <row r="10206">
      <c r="A10206" s="8" t="str">
        <f>IFERROR(__xludf.DUMMYFUNCTION("IF('(INGESTA)Datos_consumo_datadis'!A10206&lt;&gt;"""",SPLIT('(INGESTA)Datos_consumo_datadis'!A:A,"",""),"""")"),"ES0031408323131005HX0F")</f>
        <v>ES0031408323131005HX0F</v>
      </c>
      <c r="B10206" s="17">
        <f>IFERROR(__xludf.DUMMYFUNCTION("""COMPUTED_VALUE"""),45291.0)</f>
        <v>45291</v>
      </c>
      <c r="C10206" s="13">
        <f>IFERROR(__xludf.DUMMYFUNCTION("""COMPUTED_VALUE"""),0.20833333333333334)</f>
        <v>0.2083333333</v>
      </c>
      <c r="D10206" s="8">
        <f>IFERROR(__xludf.DUMMYFUNCTION("""COMPUTED_VALUE"""),0.085)</f>
        <v>0.085</v>
      </c>
      <c r="E10206" s="8" t="str">
        <f>IFERROR(__xludf.DUMMYFUNCTION("""COMPUTED_VALUE"""),"Real")</f>
        <v>Real</v>
      </c>
      <c r="G10206" s="8">
        <f t="shared" si="1"/>
        <v>12</v>
      </c>
      <c r="H10206" s="14">
        <f t="shared" si="2"/>
        <v>31</v>
      </c>
      <c r="I10206" s="15">
        <f t="shared" si="3"/>
        <v>5</v>
      </c>
    </row>
    <row r="10207">
      <c r="A10207" s="8" t="str">
        <f>IFERROR(__xludf.DUMMYFUNCTION("IF('(INGESTA)Datos_consumo_datadis'!A10207&lt;&gt;"""",SPLIT('(INGESTA)Datos_consumo_datadis'!A:A,"",""),"""")"),"ES0031408323131005HX0F")</f>
        <v>ES0031408323131005HX0F</v>
      </c>
      <c r="B10207" s="17">
        <f>IFERROR(__xludf.DUMMYFUNCTION("""COMPUTED_VALUE"""),45291.0)</f>
        <v>45291</v>
      </c>
      <c r="C10207" s="13">
        <f>IFERROR(__xludf.DUMMYFUNCTION("""COMPUTED_VALUE"""),0.25)</f>
        <v>0.25</v>
      </c>
      <c r="D10207" s="8">
        <f>IFERROR(__xludf.DUMMYFUNCTION("""COMPUTED_VALUE"""),0.027)</f>
        <v>0.027</v>
      </c>
      <c r="E10207" s="8" t="str">
        <f>IFERROR(__xludf.DUMMYFUNCTION("""COMPUTED_VALUE"""),"Real")</f>
        <v>Real</v>
      </c>
      <c r="G10207" s="8">
        <f t="shared" si="1"/>
        <v>12</v>
      </c>
      <c r="H10207" s="14">
        <f t="shared" si="2"/>
        <v>31</v>
      </c>
      <c r="I10207" s="15">
        <f t="shared" si="3"/>
        <v>6</v>
      </c>
    </row>
    <row r="10208">
      <c r="A10208" s="8" t="str">
        <f>IFERROR(__xludf.DUMMYFUNCTION("IF('(INGESTA)Datos_consumo_datadis'!A10208&lt;&gt;"""",SPLIT('(INGESTA)Datos_consumo_datadis'!A:A,"",""),"""")"),"ES0031408323131005HX0F")</f>
        <v>ES0031408323131005HX0F</v>
      </c>
      <c r="B10208" s="17">
        <f>IFERROR(__xludf.DUMMYFUNCTION("""COMPUTED_VALUE"""),45291.0)</f>
        <v>45291</v>
      </c>
      <c r="C10208" s="13">
        <f>IFERROR(__xludf.DUMMYFUNCTION("""COMPUTED_VALUE"""),0.2916666666666667)</f>
        <v>0.2916666667</v>
      </c>
      <c r="D10208" s="8">
        <f>IFERROR(__xludf.DUMMYFUNCTION("""COMPUTED_VALUE"""),0.074)</f>
        <v>0.074</v>
      </c>
      <c r="E10208" s="8" t="str">
        <f>IFERROR(__xludf.DUMMYFUNCTION("""COMPUTED_VALUE"""),"Real")</f>
        <v>Real</v>
      </c>
      <c r="G10208" s="8">
        <f t="shared" si="1"/>
        <v>12</v>
      </c>
      <c r="H10208" s="14">
        <f t="shared" si="2"/>
        <v>31</v>
      </c>
      <c r="I10208" s="15">
        <f t="shared" si="3"/>
        <v>7</v>
      </c>
    </row>
    <row r="10209">
      <c r="A10209" s="8" t="str">
        <f>IFERROR(__xludf.DUMMYFUNCTION("IF('(INGESTA)Datos_consumo_datadis'!A10209&lt;&gt;"""",SPLIT('(INGESTA)Datos_consumo_datadis'!A:A,"",""),"""")"),"ES0031408323131005HX0F")</f>
        <v>ES0031408323131005HX0F</v>
      </c>
      <c r="B10209" s="17">
        <f>IFERROR(__xludf.DUMMYFUNCTION("""COMPUTED_VALUE"""),45291.0)</f>
        <v>45291</v>
      </c>
      <c r="C10209" s="13">
        <f>IFERROR(__xludf.DUMMYFUNCTION("""COMPUTED_VALUE"""),0.3333333333333333)</f>
        <v>0.3333333333</v>
      </c>
      <c r="D10209" s="8">
        <f>IFERROR(__xludf.DUMMYFUNCTION("""COMPUTED_VALUE"""),0.058)</f>
        <v>0.058</v>
      </c>
      <c r="E10209" s="8" t="str">
        <f>IFERROR(__xludf.DUMMYFUNCTION("""COMPUTED_VALUE"""),"Real")</f>
        <v>Real</v>
      </c>
      <c r="G10209" s="8">
        <f t="shared" si="1"/>
        <v>12</v>
      </c>
      <c r="H10209" s="14">
        <f t="shared" si="2"/>
        <v>31</v>
      </c>
      <c r="I10209" s="15">
        <f t="shared" si="3"/>
        <v>8</v>
      </c>
    </row>
    <row r="10210">
      <c r="A10210" s="8" t="str">
        <f>IFERROR(__xludf.DUMMYFUNCTION("IF('(INGESTA)Datos_consumo_datadis'!A10210&lt;&gt;"""",SPLIT('(INGESTA)Datos_consumo_datadis'!A:A,"",""),"""")"),"ES0031408323131005HX0F")</f>
        <v>ES0031408323131005HX0F</v>
      </c>
      <c r="B10210" s="17">
        <f>IFERROR(__xludf.DUMMYFUNCTION("""COMPUTED_VALUE"""),45291.0)</f>
        <v>45291</v>
      </c>
      <c r="C10210" s="13">
        <f>IFERROR(__xludf.DUMMYFUNCTION("""COMPUTED_VALUE"""),0.375)</f>
        <v>0.375</v>
      </c>
      <c r="D10210" s="8">
        <f>IFERROR(__xludf.DUMMYFUNCTION("""COMPUTED_VALUE"""),0.015)</f>
        <v>0.015</v>
      </c>
      <c r="E10210" s="8" t="str">
        <f>IFERROR(__xludf.DUMMYFUNCTION("""COMPUTED_VALUE"""),"Real")</f>
        <v>Real</v>
      </c>
      <c r="G10210" s="8">
        <f t="shared" si="1"/>
        <v>12</v>
      </c>
      <c r="H10210" s="14">
        <f t="shared" si="2"/>
        <v>31</v>
      </c>
      <c r="I10210" s="15">
        <f t="shared" si="3"/>
        <v>9</v>
      </c>
    </row>
    <row r="10211">
      <c r="A10211" s="8" t="str">
        <f>IFERROR(__xludf.DUMMYFUNCTION("IF('(INGESTA)Datos_consumo_datadis'!A10211&lt;&gt;"""",SPLIT('(INGESTA)Datos_consumo_datadis'!A:A,"",""),"""")"),"ES0031408323131005HX0F")</f>
        <v>ES0031408323131005HX0F</v>
      </c>
      <c r="B10211" s="17">
        <f>IFERROR(__xludf.DUMMYFUNCTION("""COMPUTED_VALUE"""),45291.0)</f>
        <v>45291</v>
      </c>
      <c r="C10211" s="13">
        <f>IFERROR(__xludf.DUMMYFUNCTION("""COMPUTED_VALUE"""),0.4166666666666667)</f>
        <v>0.4166666667</v>
      </c>
      <c r="D10211" s="8">
        <f>IFERROR(__xludf.DUMMYFUNCTION("""COMPUTED_VALUE"""),0.317)</f>
        <v>0.317</v>
      </c>
      <c r="E10211" s="8" t="str">
        <f>IFERROR(__xludf.DUMMYFUNCTION("""COMPUTED_VALUE"""),"Real")</f>
        <v>Real</v>
      </c>
      <c r="G10211" s="8">
        <f t="shared" si="1"/>
        <v>12</v>
      </c>
      <c r="H10211" s="14">
        <f t="shared" si="2"/>
        <v>31</v>
      </c>
      <c r="I10211" s="15">
        <f t="shared" si="3"/>
        <v>10</v>
      </c>
    </row>
    <row r="10212">
      <c r="A10212" s="8" t="str">
        <f>IFERROR(__xludf.DUMMYFUNCTION("IF('(INGESTA)Datos_consumo_datadis'!A10212&lt;&gt;"""",SPLIT('(INGESTA)Datos_consumo_datadis'!A:A,"",""),"""")"),"ES0031408323131005HX0F")</f>
        <v>ES0031408323131005HX0F</v>
      </c>
      <c r="B10212" s="17">
        <f>IFERROR(__xludf.DUMMYFUNCTION("""COMPUTED_VALUE"""),45291.0)</f>
        <v>45291</v>
      </c>
      <c r="C10212" s="13">
        <f>IFERROR(__xludf.DUMMYFUNCTION("""COMPUTED_VALUE"""),0.4583333333333333)</f>
        <v>0.4583333333</v>
      </c>
      <c r="D10212" s="8">
        <f>IFERROR(__xludf.DUMMYFUNCTION("""COMPUTED_VALUE"""),0.081)</f>
        <v>0.081</v>
      </c>
      <c r="E10212" s="8" t="str">
        <f>IFERROR(__xludf.DUMMYFUNCTION("""COMPUTED_VALUE"""),"Real")</f>
        <v>Real</v>
      </c>
      <c r="G10212" s="8">
        <f t="shared" si="1"/>
        <v>12</v>
      </c>
      <c r="H10212" s="14">
        <f t="shared" si="2"/>
        <v>31</v>
      </c>
      <c r="I10212" s="15">
        <f t="shared" si="3"/>
        <v>11</v>
      </c>
    </row>
    <row r="10213">
      <c r="A10213" s="8" t="str">
        <f>IFERROR(__xludf.DUMMYFUNCTION("IF('(INGESTA)Datos_consumo_datadis'!A10213&lt;&gt;"""",SPLIT('(INGESTA)Datos_consumo_datadis'!A:A,"",""),"""")"),"ES0031408323131005HX0F")</f>
        <v>ES0031408323131005HX0F</v>
      </c>
      <c r="B10213" s="17">
        <f>IFERROR(__xludf.DUMMYFUNCTION("""COMPUTED_VALUE"""),45291.0)</f>
        <v>45291</v>
      </c>
      <c r="C10213" s="13">
        <f>IFERROR(__xludf.DUMMYFUNCTION("""COMPUTED_VALUE"""),0.5)</f>
        <v>0.5</v>
      </c>
      <c r="D10213" s="8">
        <f>IFERROR(__xludf.DUMMYFUNCTION("""COMPUTED_VALUE"""),0.038)</f>
        <v>0.038</v>
      </c>
      <c r="E10213" s="8" t="str">
        <f>IFERROR(__xludf.DUMMYFUNCTION("""COMPUTED_VALUE"""),"Real")</f>
        <v>Real</v>
      </c>
      <c r="G10213" s="8">
        <f t="shared" si="1"/>
        <v>12</v>
      </c>
      <c r="H10213" s="14">
        <f t="shared" si="2"/>
        <v>31</v>
      </c>
      <c r="I10213" s="15">
        <f t="shared" si="3"/>
        <v>12</v>
      </c>
    </row>
    <row r="10214">
      <c r="A10214" s="8" t="str">
        <f>IFERROR(__xludf.DUMMYFUNCTION("IF('(INGESTA)Datos_consumo_datadis'!A10214&lt;&gt;"""",SPLIT('(INGESTA)Datos_consumo_datadis'!A:A,"",""),"""")"),"ES0031408323131005HX0F")</f>
        <v>ES0031408323131005HX0F</v>
      </c>
      <c r="B10214" s="17">
        <f>IFERROR(__xludf.DUMMYFUNCTION("""COMPUTED_VALUE"""),45291.0)</f>
        <v>45291</v>
      </c>
      <c r="C10214" s="13">
        <f>IFERROR(__xludf.DUMMYFUNCTION("""COMPUTED_VALUE"""),0.5416666666666666)</f>
        <v>0.5416666667</v>
      </c>
      <c r="D10214" s="8">
        <f>IFERROR(__xludf.DUMMYFUNCTION("""COMPUTED_VALUE"""),0.038)</f>
        <v>0.038</v>
      </c>
      <c r="E10214" s="8" t="str">
        <f>IFERROR(__xludf.DUMMYFUNCTION("""COMPUTED_VALUE"""),"Real")</f>
        <v>Real</v>
      </c>
      <c r="G10214" s="8">
        <f t="shared" si="1"/>
        <v>12</v>
      </c>
      <c r="H10214" s="14">
        <f t="shared" si="2"/>
        <v>31</v>
      </c>
      <c r="I10214" s="15">
        <f t="shared" si="3"/>
        <v>13</v>
      </c>
    </row>
    <row r="10215">
      <c r="A10215" s="8" t="str">
        <f>IFERROR(__xludf.DUMMYFUNCTION("IF('(INGESTA)Datos_consumo_datadis'!A10215&lt;&gt;"""",SPLIT('(INGESTA)Datos_consumo_datadis'!A:A,"",""),"""")"),"ES0031408323131005HX0F")</f>
        <v>ES0031408323131005HX0F</v>
      </c>
      <c r="B10215" s="17">
        <f>IFERROR(__xludf.DUMMYFUNCTION("""COMPUTED_VALUE"""),45291.0)</f>
        <v>45291</v>
      </c>
      <c r="C10215" s="13">
        <f>IFERROR(__xludf.DUMMYFUNCTION("""COMPUTED_VALUE"""),0.5833333333333334)</f>
        <v>0.5833333333</v>
      </c>
      <c r="D10215" s="8">
        <f>IFERROR(__xludf.DUMMYFUNCTION("""COMPUTED_VALUE"""),0.015)</f>
        <v>0.015</v>
      </c>
      <c r="E10215" s="8" t="str">
        <f>IFERROR(__xludf.DUMMYFUNCTION("""COMPUTED_VALUE"""),"Real")</f>
        <v>Real</v>
      </c>
      <c r="G10215" s="8">
        <f t="shared" si="1"/>
        <v>12</v>
      </c>
      <c r="H10215" s="14">
        <f t="shared" si="2"/>
        <v>31</v>
      </c>
      <c r="I10215" s="15">
        <f t="shared" si="3"/>
        <v>14</v>
      </c>
    </row>
    <row r="10216">
      <c r="A10216" s="8" t="str">
        <f>IFERROR(__xludf.DUMMYFUNCTION("IF('(INGESTA)Datos_consumo_datadis'!A10216&lt;&gt;"""",SPLIT('(INGESTA)Datos_consumo_datadis'!A:A,"",""),"""")"),"ES0031408323131005HX0F")</f>
        <v>ES0031408323131005HX0F</v>
      </c>
      <c r="B10216" s="17">
        <f>IFERROR(__xludf.DUMMYFUNCTION("""COMPUTED_VALUE"""),45291.0)</f>
        <v>45291</v>
      </c>
      <c r="C10216" s="13">
        <f>IFERROR(__xludf.DUMMYFUNCTION("""COMPUTED_VALUE"""),0.625)</f>
        <v>0.625</v>
      </c>
      <c r="D10216" s="8">
        <f>IFERROR(__xludf.DUMMYFUNCTION("""COMPUTED_VALUE"""),0.317)</f>
        <v>0.317</v>
      </c>
      <c r="E10216" s="8" t="str">
        <f>IFERROR(__xludf.DUMMYFUNCTION("""COMPUTED_VALUE"""),"Real")</f>
        <v>Real</v>
      </c>
      <c r="G10216" s="8">
        <f t="shared" si="1"/>
        <v>12</v>
      </c>
      <c r="H10216" s="14">
        <f t="shared" si="2"/>
        <v>31</v>
      </c>
      <c r="I10216" s="15">
        <f t="shared" si="3"/>
        <v>15</v>
      </c>
    </row>
    <row r="10217">
      <c r="A10217" s="8" t="str">
        <f>IFERROR(__xludf.DUMMYFUNCTION("IF('(INGESTA)Datos_consumo_datadis'!A10217&lt;&gt;"""",SPLIT('(INGESTA)Datos_consumo_datadis'!A:A,"",""),"""")"),"ES0031408323131005HX0F")</f>
        <v>ES0031408323131005HX0F</v>
      </c>
      <c r="B10217" s="17">
        <f>IFERROR(__xludf.DUMMYFUNCTION("""COMPUTED_VALUE"""),45291.0)</f>
        <v>45291</v>
      </c>
      <c r="C10217" s="13">
        <f>IFERROR(__xludf.DUMMYFUNCTION("""COMPUTED_VALUE"""),0.6666666666666666)</f>
        <v>0.6666666667</v>
      </c>
      <c r="D10217" s="8">
        <f>IFERROR(__xludf.DUMMYFUNCTION("""COMPUTED_VALUE"""),0.071)</f>
        <v>0.071</v>
      </c>
      <c r="E10217" s="8" t="str">
        <f>IFERROR(__xludf.DUMMYFUNCTION("""COMPUTED_VALUE"""),"Real")</f>
        <v>Real</v>
      </c>
      <c r="G10217" s="8">
        <f t="shared" si="1"/>
        <v>12</v>
      </c>
      <c r="H10217" s="14">
        <f t="shared" si="2"/>
        <v>31</v>
      </c>
      <c r="I10217" s="15">
        <f t="shared" si="3"/>
        <v>16</v>
      </c>
    </row>
    <row r="10218">
      <c r="A10218" s="8" t="str">
        <f>IFERROR(__xludf.DUMMYFUNCTION("IF('(INGESTA)Datos_consumo_datadis'!A10218&lt;&gt;"""",SPLIT('(INGESTA)Datos_consumo_datadis'!A:A,"",""),"""")"),"ES0031408323131005HX0F")</f>
        <v>ES0031408323131005HX0F</v>
      </c>
      <c r="B10218" s="17">
        <f>IFERROR(__xludf.DUMMYFUNCTION("""COMPUTED_VALUE"""),45291.0)</f>
        <v>45291</v>
      </c>
      <c r="C10218" s="13">
        <f>IFERROR(__xludf.DUMMYFUNCTION("""COMPUTED_VALUE"""),0.7083333333333334)</f>
        <v>0.7083333333</v>
      </c>
      <c r="D10218" s="8">
        <f>IFERROR(__xludf.DUMMYFUNCTION("""COMPUTED_VALUE"""),0.039)</f>
        <v>0.039</v>
      </c>
      <c r="E10218" s="8" t="str">
        <f>IFERROR(__xludf.DUMMYFUNCTION("""COMPUTED_VALUE"""),"Real")</f>
        <v>Real</v>
      </c>
      <c r="G10218" s="8">
        <f t="shared" si="1"/>
        <v>12</v>
      </c>
      <c r="H10218" s="14">
        <f t="shared" si="2"/>
        <v>31</v>
      </c>
      <c r="I10218" s="15">
        <f t="shared" si="3"/>
        <v>17</v>
      </c>
    </row>
    <row r="10219">
      <c r="A10219" s="8" t="str">
        <f>IFERROR(__xludf.DUMMYFUNCTION("IF('(INGESTA)Datos_consumo_datadis'!A10219&lt;&gt;"""",SPLIT('(INGESTA)Datos_consumo_datadis'!A:A,"",""),"""")"),"ES0031408323131005HX0F")</f>
        <v>ES0031408323131005HX0F</v>
      </c>
      <c r="B10219" s="17">
        <f>IFERROR(__xludf.DUMMYFUNCTION("""COMPUTED_VALUE"""),45291.0)</f>
        <v>45291</v>
      </c>
      <c r="C10219" s="13">
        <f>IFERROR(__xludf.DUMMYFUNCTION("""COMPUTED_VALUE"""),0.75)</f>
        <v>0.75</v>
      </c>
      <c r="D10219" s="8">
        <f>IFERROR(__xludf.DUMMYFUNCTION("""COMPUTED_VALUE"""),0.015)</f>
        <v>0.015</v>
      </c>
      <c r="E10219" s="8" t="str">
        <f>IFERROR(__xludf.DUMMYFUNCTION("""COMPUTED_VALUE"""),"Real")</f>
        <v>Real</v>
      </c>
      <c r="G10219" s="8">
        <f t="shared" si="1"/>
        <v>12</v>
      </c>
      <c r="H10219" s="14">
        <f t="shared" si="2"/>
        <v>31</v>
      </c>
      <c r="I10219" s="15">
        <f t="shared" si="3"/>
        <v>18</v>
      </c>
    </row>
    <row r="10220">
      <c r="A10220" s="8" t="str">
        <f>IFERROR(__xludf.DUMMYFUNCTION("IF('(INGESTA)Datos_consumo_datadis'!A10220&lt;&gt;"""",SPLIT('(INGESTA)Datos_consumo_datadis'!A:A,"",""),"""")"),"ES0031408323131005HX0F")</f>
        <v>ES0031408323131005HX0F</v>
      </c>
      <c r="B10220" s="17">
        <f>IFERROR(__xludf.DUMMYFUNCTION("""COMPUTED_VALUE"""),45291.0)</f>
        <v>45291</v>
      </c>
      <c r="C10220" s="13">
        <f>IFERROR(__xludf.DUMMYFUNCTION("""COMPUTED_VALUE"""),0.7916666666666666)</f>
        <v>0.7916666667</v>
      </c>
      <c r="D10220" s="8">
        <f>IFERROR(__xludf.DUMMYFUNCTION("""COMPUTED_VALUE"""),0.095)</f>
        <v>0.095</v>
      </c>
      <c r="E10220" s="8" t="str">
        <f>IFERROR(__xludf.DUMMYFUNCTION("""COMPUTED_VALUE"""),"Real")</f>
        <v>Real</v>
      </c>
      <c r="G10220" s="8">
        <f t="shared" si="1"/>
        <v>12</v>
      </c>
      <c r="H10220" s="14">
        <f t="shared" si="2"/>
        <v>31</v>
      </c>
      <c r="I10220" s="15">
        <f t="shared" si="3"/>
        <v>19</v>
      </c>
    </row>
    <row r="10221">
      <c r="A10221" s="8" t="str">
        <f>IFERROR(__xludf.DUMMYFUNCTION("IF('(INGESTA)Datos_consumo_datadis'!A10221&lt;&gt;"""",SPLIT('(INGESTA)Datos_consumo_datadis'!A:A,"",""),"""")"),"ES0031408323131005HX0F")</f>
        <v>ES0031408323131005HX0F</v>
      </c>
      <c r="B10221" s="17">
        <f>IFERROR(__xludf.DUMMYFUNCTION("""COMPUTED_VALUE"""),45291.0)</f>
        <v>45291</v>
      </c>
      <c r="C10221" s="13">
        <f>IFERROR(__xludf.DUMMYFUNCTION("""COMPUTED_VALUE"""),0.8333333333333334)</f>
        <v>0.8333333333</v>
      </c>
      <c r="D10221" s="8">
        <f>IFERROR(__xludf.DUMMYFUNCTION("""COMPUTED_VALUE"""),0.266)</f>
        <v>0.266</v>
      </c>
      <c r="E10221" s="8" t="str">
        <f>IFERROR(__xludf.DUMMYFUNCTION("""COMPUTED_VALUE"""),"Real")</f>
        <v>Real</v>
      </c>
      <c r="G10221" s="8">
        <f t="shared" si="1"/>
        <v>12</v>
      </c>
      <c r="H10221" s="14">
        <f t="shared" si="2"/>
        <v>31</v>
      </c>
      <c r="I10221" s="15">
        <f t="shared" si="3"/>
        <v>20</v>
      </c>
    </row>
    <row r="10222">
      <c r="A10222" s="8" t="str">
        <f>IFERROR(__xludf.DUMMYFUNCTION("IF('(INGESTA)Datos_consumo_datadis'!A10222&lt;&gt;"""",SPLIT('(INGESTA)Datos_consumo_datadis'!A:A,"",""),"""")"),"ES0031408323131005HX0F")</f>
        <v>ES0031408323131005HX0F</v>
      </c>
      <c r="B10222" s="17">
        <f>IFERROR(__xludf.DUMMYFUNCTION("""COMPUTED_VALUE"""),45291.0)</f>
        <v>45291</v>
      </c>
      <c r="C10222" s="13">
        <f>IFERROR(__xludf.DUMMYFUNCTION("""COMPUTED_VALUE"""),0.875)</f>
        <v>0.875</v>
      </c>
      <c r="D10222" s="8">
        <f>IFERROR(__xludf.DUMMYFUNCTION("""COMPUTED_VALUE"""),0.193)</f>
        <v>0.193</v>
      </c>
      <c r="E10222" s="8" t="str">
        <f>IFERROR(__xludf.DUMMYFUNCTION("""COMPUTED_VALUE"""),"Real")</f>
        <v>Real</v>
      </c>
      <c r="G10222" s="8">
        <f t="shared" si="1"/>
        <v>12</v>
      </c>
      <c r="H10222" s="14">
        <f t="shared" si="2"/>
        <v>31</v>
      </c>
      <c r="I10222" s="15">
        <f t="shared" si="3"/>
        <v>21</v>
      </c>
    </row>
    <row r="10223">
      <c r="A10223" s="8" t="str">
        <f>IFERROR(__xludf.DUMMYFUNCTION("IF('(INGESTA)Datos_consumo_datadis'!A10223&lt;&gt;"""",SPLIT('(INGESTA)Datos_consumo_datadis'!A:A,"",""),"""")"),"ES0031408323131005HX0F")</f>
        <v>ES0031408323131005HX0F</v>
      </c>
      <c r="B10223" s="17">
        <f>IFERROR(__xludf.DUMMYFUNCTION("""COMPUTED_VALUE"""),45291.0)</f>
        <v>45291</v>
      </c>
      <c r="C10223" s="13">
        <f>IFERROR(__xludf.DUMMYFUNCTION("""COMPUTED_VALUE"""),0.9166666666666666)</f>
        <v>0.9166666667</v>
      </c>
      <c r="D10223" s="8">
        <f>IFERROR(__xludf.DUMMYFUNCTION("""COMPUTED_VALUE"""),0.026)</f>
        <v>0.026</v>
      </c>
      <c r="E10223" s="8" t="str">
        <f>IFERROR(__xludf.DUMMYFUNCTION("""COMPUTED_VALUE"""),"Real")</f>
        <v>Real</v>
      </c>
      <c r="G10223" s="8">
        <f t="shared" si="1"/>
        <v>12</v>
      </c>
      <c r="H10223" s="14">
        <f t="shared" si="2"/>
        <v>31</v>
      </c>
      <c r="I10223" s="15">
        <f t="shared" si="3"/>
        <v>22</v>
      </c>
    </row>
    <row r="10224">
      <c r="A10224" s="8" t="str">
        <f>IFERROR(__xludf.DUMMYFUNCTION("IF('(INGESTA)Datos_consumo_datadis'!A10224&lt;&gt;"""",SPLIT('(INGESTA)Datos_consumo_datadis'!A:A,"",""),"""")"),"ES0031408323131005HX0F")</f>
        <v>ES0031408323131005HX0F</v>
      </c>
      <c r="B10224" s="17">
        <f>IFERROR(__xludf.DUMMYFUNCTION("""COMPUTED_VALUE"""),45291.0)</f>
        <v>45291</v>
      </c>
      <c r="C10224" s="13">
        <f>IFERROR(__xludf.DUMMYFUNCTION("""COMPUTED_VALUE"""),0.9583333333333334)</f>
        <v>0.9583333333</v>
      </c>
      <c r="D10224" s="8">
        <f>IFERROR(__xludf.DUMMYFUNCTION("""COMPUTED_VALUE"""),0.073)</f>
        <v>0.073</v>
      </c>
      <c r="E10224" s="8" t="str">
        <f>IFERROR(__xludf.DUMMYFUNCTION("""COMPUTED_VALUE"""),"Real")</f>
        <v>Real</v>
      </c>
      <c r="G10224" s="8">
        <f t="shared" si="1"/>
        <v>12</v>
      </c>
      <c r="H10224" s="14">
        <f t="shared" si="2"/>
        <v>31</v>
      </c>
      <c r="I10224" s="15">
        <f t="shared" si="3"/>
        <v>23</v>
      </c>
    </row>
    <row r="10225">
      <c r="A10225" s="8" t="str">
        <f>IFERROR(__xludf.DUMMYFUNCTION("IF('(INGESTA)Datos_consumo_datadis'!A10225&lt;&gt;"""",SPLIT('(INGESTA)Datos_consumo_datadis'!A:A,"",""),"""")"),"ES0031408323131005HX0F")</f>
        <v>ES0031408323131005HX0F</v>
      </c>
      <c r="B10225" s="17">
        <f>IFERROR(__xludf.DUMMYFUNCTION("""COMPUTED_VALUE"""),45291.0)</f>
        <v>45291</v>
      </c>
      <c r="C10225" s="16">
        <f>IFERROR(__xludf.DUMMYFUNCTION("""COMPUTED_VALUE"""),1.0)</f>
        <v>1</v>
      </c>
      <c r="D10225" s="8">
        <f>IFERROR(__xludf.DUMMYFUNCTION("""COMPUTED_VALUE"""),0.073)</f>
        <v>0.073</v>
      </c>
      <c r="E10225" s="8" t="str">
        <f>IFERROR(__xludf.DUMMYFUNCTION("""COMPUTED_VALUE"""),"Real")</f>
        <v>Real</v>
      </c>
      <c r="G10225" s="8">
        <f t="shared" si="1"/>
        <v>12</v>
      </c>
      <c r="H10225" s="14">
        <f t="shared" si="2"/>
        <v>31</v>
      </c>
      <c r="I10225" s="15">
        <f t="shared" si="3"/>
        <v>0</v>
      </c>
    </row>
    <row r="10226">
      <c r="A10226" s="8" t="str">
        <f>IFERROR(__xludf.DUMMYFUNCTION("IF('(INGESTA)Datos_consumo_datadis'!A10226&lt;&gt;"""",SPLIT('(INGESTA)Datos_consumo_datadis'!A:A,"",""),"""")"),"ES0031408323131005HX0F")</f>
        <v>ES0031408323131005HX0F</v>
      </c>
      <c r="B10226" s="12">
        <f>IFERROR(__xludf.DUMMYFUNCTION("""COMPUTED_VALUE"""),45292.0)</f>
        <v>45292</v>
      </c>
      <c r="C10226" s="13">
        <f>IFERROR(__xludf.DUMMYFUNCTION("""COMPUTED_VALUE"""),0.041666666666666664)</f>
        <v>0.04166666667</v>
      </c>
      <c r="D10226" s="8">
        <f>IFERROR(__xludf.DUMMYFUNCTION("""COMPUTED_VALUE"""),0.046)</f>
        <v>0.046</v>
      </c>
      <c r="E10226" s="8" t="str">
        <f>IFERROR(__xludf.DUMMYFUNCTION("""COMPUTED_VALUE"""),"Real")</f>
        <v>Real</v>
      </c>
      <c r="G10226" s="8">
        <f t="shared" si="1"/>
        <v>1</v>
      </c>
      <c r="H10226" s="14">
        <f t="shared" si="2"/>
        <v>1</v>
      </c>
      <c r="I10226" s="15">
        <f t="shared" si="3"/>
        <v>1</v>
      </c>
    </row>
    <row r="10227">
      <c r="A10227" s="8" t="str">
        <f>IFERROR(__xludf.DUMMYFUNCTION("IF('(INGESTA)Datos_consumo_datadis'!A10227&lt;&gt;"""",SPLIT('(INGESTA)Datos_consumo_datadis'!A:A,"",""),"""")"),"ES0031408323131005HX0F")</f>
        <v>ES0031408323131005HX0F</v>
      </c>
      <c r="B10227" s="12">
        <f>IFERROR(__xludf.DUMMYFUNCTION("""COMPUTED_VALUE"""),45292.0)</f>
        <v>45292</v>
      </c>
      <c r="C10227" s="13">
        <f>IFERROR(__xludf.DUMMYFUNCTION("""COMPUTED_VALUE"""),0.08333333333333333)</f>
        <v>0.08333333333</v>
      </c>
      <c r="D10227" s="8">
        <f>IFERROR(__xludf.DUMMYFUNCTION("""COMPUTED_VALUE"""),0.324)</f>
        <v>0.324</v>
      </c>
      <c r="E10227" s="8" t="str">
        <f>IFERROR(__xludf.DUMMYFUNCTION("""COMPUTED_VALUE"""),"Real")</f>
        <v>Real</v>
      </c>
      <c r="G10227" s="8">
        <f t="shared" si="1"/>
        <v>1</v>
      </c>
      <c r="H10227" s="14">
        <f t="shared" si="2"/>
        <v>1</v>
      </c>
      <c r="I10227" s="15">
        <f t="shared" si="3"/>
        <v>2</v>
      </c>
    </row>
    <row r="10228">
      <c r="A10228" s="8" t="str">
        <f>IFERROR(__xludf.DUMMYFUNCTION("IF('(INGESTA)Datos_consumo_datadis'!A10228&lt;&gt;"""",SPLIT('(INGESTA)Datos_consumo_datadis'!A:A,"",""),"""")"),"ES0031408323131005HX0F")</f>
        <v>ES0031408323131005HX0F</v>
      </c>
      <c r="B10228" s="12">
        <f>IFERROR(__xludf.DUMMYFUNCTION("""COMPUTED_VALUE"""),45292.0)</f>
        <v>45292</v>
      </c>
      <c r="C10228" s="13">
        <f>IFERROR(__xludf.DUMMYFUNCTION("""COMPUTED_VALUE"""),0.125)</f>
        <v>0.125</v>
      </c>
      <c r="D10228" s="8">
        <f>IFERROR(__xludf.DUMMYFUNCTION("""COMPUTED_VALUE"""),0.094)</f>
        <v>0.094</v>
      </c>
      <c r="E10228" s="8" t="str">
        <f>IFERROR(__xludf.DUMMYFUNCTION("""COMPUTED_VALUE"""),"Real")</f>
        <v>Real</v>
      </c>
      <c r="G10228" s="8">
        <f t="shared" si="1"/>
        <v>1</v>
      </c>
      <c r="H10228" s="14">
        <f t="shared" si="2"/>
        <v>1</v>
      </c>
      <c r="I10228" s="15">
        <f t="shared" si="3"/>
        <v>3</v>
      </c>
    </row>
    <row r="10229">
      <c r="A10229" s="8" t="str">
        <f>IFERROR(__xludf.DUMMYFUNCTION("IF('(INGESTA)Datos_consumo_datadis'!A10229&lt;&gt;"""",SPLIT('(INGESTA)Datos_consumo_datadis'!A:A,"",""),"""")"),"ES0031408323131005HX0F")</f>
        <v>ES0031408323131005HX0F</v>
      </c>
      <c r="B10229" s="12">
        <f>IFERROR(__xludf.DUMMYFUNCTION("""COMPUTED_VALUE"""),45292.0)</f>
        <v>45292</v>
      </c>
      <c r="C10229" s="13">
        <f>IFERROR(__xludf.DUMMYFUNCTION("""COMPUTED_VALUE"""),0.16666666666666666)</f>
        <v>0.1666666667</v>
      </c>
      <c r="D10229" s="8">
        <f>IFERROR(__xludf.DUMMYFUNCTION("""COMPUTED_VALUE"""),0.092)</f>
        <v>0.092</v>
      </c>
      <c r="E10229" s="8" t="str">
        <f>IFERROR(__xludf.DUMMYFUNCTION("""COMPUTED_VALUE"""),"Real")</f>
        <v>Real</v>
      </c>
      <c r="G10229" s="8">
        <f t="shared" si="1"/>
        <v>1</v>
      </c>
      <c r="H10229" s="14">
        <f t="shared" si="2"/>
        <v>1</v>
      </c>
      <c r="I10229" s="15">
        <f t="shared" si="3"/>
        <v>4</v>
      </c>
    </row>
    <row r="10230">
      <c r="A10230" s="8" t="str">
        <f>IFERROR(__xludf.DUMMYFUNCTION("IF('(INGESTA)Datos_consumo_datadis'!A10230&lt;&gt;"""",SPLIT('(INGESTA)Datos_consumo_datadis'!A:A,"",""),"""")"),"ES0031408323131005HX0F")</f>
        <v>ES0031408323131005HX0F</v>
      </c>
      <c r="B10230" s="12">
        <f>IFERROR(__xludf.DUMMYFUNCTION("""COMPUTED_VALUE"""),45292.0)</f>
        <v>45292</v>
      </c>
      <c r="C10230" s="13">
        <f>IFERROR(__xludf.DUMMYFUNCTION("""COMPUTED_VALUE"""),0.20833333333333334)</f>
        <v>0.2083333333</v>
      </c>
      <c r="D10230" s="8">
        <f>IFERROR(__xludf.DUMMYFUNCTION("""COMPUTED_VALUE"""),0.024)</f>
        <v>0.024</v>
      </c>
      <c r="E10230" s="8" t="str">
        <f>IFERROR(__xludf.DUMMYFUNCTION("""COMPUTED_VALUE"""),"Real")</f>
        <v>Real</v>
      </c>
      <c r="G10230" s="8">
        <f t="shared" si="1"/>
        <v>1</v>
      </c>
      <c r="H10230" s="14">
        <f t="shared" si="2"/>
        <v>1</v>
      </c>
      <c r="I10230" s="15">
        <f t="shared" si="3"/>
        <v>5</v>
      </c>
    </row>
    <row r="10231">
      <c r="A10231" s="8" t="str">
        <f>IFERROR(__xludf.DUMMYFUNCTION("IF('(INGESTA)Datos_consumo_datadis'!A10231&lt;&gt;"""",SPLIT('(INGESTA)Datos_consumo_datadis'!A:A,"",""),"""")"),"ES0031408323131005HX0F")</f>
        <v>ES0031408323131005HX0F</v>
      </c>
      <c r="B10231" s="12">
        <f>IFERROR(__xludf.DUMMYFUNCTION("""COMPUTED_VALUE"""),45292.0)</f>
        <v>45292</v>
      </c>
      <c r="C10231" s="13">
        <f>IFERROR(__xludf.DUMMYFUNCTION("""COMPUTED_VALUE"""),0.25)</f>
        <v>0.25</v>
      </c>
      <c r="D10231" s="8">
        <f>IFERROR(__xludf.DUMMYFUNCTION("""COMPUTED_VALUE"""),0.084)</f>
        <v>0.084</v>
      </c>
      <c r="E10231" s="8" t="str">
        <f>IFERROR(__xludf.DUMMYFUNCTION("""COMPUTED_VALUE"""),"Real")</f>
        <v>Real</v>
      </c>
      <c r="G10231" s="8">
        <f t="shared" si="1"/>
        <v>1</v>
      </c>
      <c r="H10231" s="14">
        <f t="shared" si="2"/>
        <v>1</v>
      </c>
      <c r="I10231" s="15">
        <f t="shared" si="3"/>
        <v>6</v>
      </c>
    </row>
    <row r="10232">
      <c r="A10232" s="8" t="str">
        <f>IFERROR(__xludf.DUMMYFUNCTION("IF('(INGESTA)Datos_consumo_datadis'!A10232&lt;&gt;"""",SPLIT('(INGESTA)Datos_consumo_datadis'!A:A,"",""),"""")"),"ES0031408323131005HX0F")</f>
        <v>ES0031408323131005HX0F</v>
      </c>
      <c r="B10232" s="12">
        <f>IFERROR(__xludf.DUMMYFUNCTION("""COMPUTED_VALUE"""),45292.0)</f>
        <v>45292</v>
      </c>
      <c r="C10232" s="13">
        <f>IFERROR(__xludf.DUMMYFUNCTION("""COMPUTED_VALUE"""),0.2916666666666667)</f>
        <v>0.2916666667</v>
      </c>
      <c r="D10232" s="8">
        <f>IFERROR(__xludf.DUMMYFUNCTION("""COMPUTED_VALUE"""),0.337)</f>
        <v>0.337</v>
      </c>
      <c r="E10232" s="8" t="str">
        <f>IFERROR(__xludf.DUMMYFUNCTION("""COMPUTED_VALUE"""),"Real")</f>
        <v>Real</v>
      </c>
      <c r="G10232" s="8">
        <f t="shared" si="1"/>
        <v>1</v>
      </c>
      <c r="H10232" s="14">
        <f t="shared" si="2"/>
        <v>1</v>
      </c>
      <c r="I10232" s="15">
        <f t="shared" si="3"/>
        <v>7</v>
      </c>
    </row>
    <row r="10233">
      <c r="A10233" s="8" t="str">
        <f>IFERROR(__xludf.DUMMYFUNCTION("IF('(INGESTA)Datos_consumo_datadis'!A10233&lt;&gt;"""",SPLIT('(INGESTA)Datos_consumo_datadis'!A:A,"",""),"""")"),"ES0031408323131005HX0F")</f>
        <v>ES0031408323131005HX0F</v>
      </c>
      <c r="B10233" s="12">
        <f>IFERROR(__xludf.DUMMYFUNCTION("""COMPUTED_VALUE"""),45292.0)</f>
        <v>45292</v>
      </c>
      <c r="C10233" s="13">
        <f>IFERROR(__xludf.DUMMYFUNCTION("""COMPUTED_VALUE"""),0.3333333333333333)</f>
        <v>0.3333333333</v>
      </c>
      <c r="D10233" s="8">
        <f>IFERROR(__xludf.DUMMYFUNCTION("""COMPUTED_VALUE"""),0.057)</f>
        <v>0.057</v>
      </c>
      <c r="E10233" s="8" t="str">
        <f>IFERROR(__xludf.DUMMYFUNCTION("""COMPUTED_VALUE"""),"Real")</f>
        <v>Real</v>
      </c>
      <c r="G10233" s="8">
        <f t="shared" si="1"/>
        <v>1</v>
      </c>
      <c r="H10233" s="14">
        <f t="shared" si="2"/>
        <v>1</v>
      </c>
      <c r="I10233" s="15">
        <f t="shared" si="3"/>
        <v>8</v>
      </c>
    </row>
    <row r="10234">
      <c r="A10234" s="8" t="str">
        <f>IFERROR(__xludf.DUMMYFUNCTION("IF('(INGESTA)Datos_consumo_datadis'!A10234&lt;&gt;"""",SPLIT('(INGESTA)Datos_consumo_datadis'!A:A,"",""),"""")"),"ES0031408323131005HX0F")</f>
        <v>ES0031408323131005HX0F</v>
      </c>
      <c r="B10234" s="12">
        <f>IFERROR(__xludf.DUMMYFUNCTION("""COMPUTED_VALUE"""),45292.0)</f>
        <v>45292</v>
      </c>
      <c r="C10234" s="13">
        <f>IFERROR(__xludf.DUMMYFUNCTION("""COMPUTED_VALUE"""),0.375)</f>
        <v>0.375</v>
      </c>
      <c r="D10234" s="8">
        <f>IFERROR(__xludf.DUMMYFUNCTION("""COMPUTED_VALUE"""),0.03)</f>
        <v>0.03</v>
      </c>
      <c r="E10234" s="8" t="str">
        <f>IFERROR(__xludf.DUMMYFUNCTION("""COMPUTED_VALUE"""),"Real")</f>
        <v>Real</v>
      </c>
      <c r="G10234" s="8">
        <f t="shared" si="1"/>
        <v>1</v>
      </c>
      <c r="H10234" s="14">
        <f t="shared" si="2"/>
        <v>1</v>
      </c>
      <c r="I10234" s="15">
        <f t="shared" si="3"/>
        <v>9</v>
      </c>
    </row>
    <row r="10235">
      <c r="A10235" s="8" t="str">
        <f>IFERROR(__xludf.DUMMYFUNCTION("IF('(INGESTA)Datos_consumo_datadis'!A10235&lt;&gt;"""",SPLIT('(INGESTA)Datos_consumo_datadis'!A:A,"",""),"""")"),"ES0031408323131005HX0F")</f>
        <v>ES0031408323131005HX0F</v>
      </c>
      <c r="B10235" s="12">
        <f>IFERROR(__xludf.DUMMYFUNCTION("""COMPUTED_VALUE"""),45292.0)</f>
        <v>45292</v>
      </c>
      <c r="C10235" s="13">
        <f>IFERROR(__xludf.DUMMYFUNCTION("""COMPUTED_VALUE"""),0.4166666666666667)</f>
        <v>0.4166666667</v>
      </c>
      <c r="D10235" s="8">
        <f>IFERROR(__xludf.DUMMYFUNCTION("""COMPUTED_VALUE"""),0.082)</f>
        <v>0.082</v>
      </c>
      <c r="E10235" s="8" t="str">
        <f>IFERROR(__xludf.DUMMYFUNCTION("""COMPUTED_VALUE"""),"Real")</f>
        <v>Real</v>
      </c>
      <c r="G10235" s="8">
        <f t="shared" si="1"/>
        <v>1</v>
      </c>
      <c r="H10235" s="14">
        <f t="shared" si="2"/>
        <v>1</v>
      </c>
      <c r="I10235" s="15">
        <f t="shared" si="3"/>
        <v>10</v>
      </c>
    </row>
    <row r="10236">
      <c r="A10236" s="8" t="str">
        <f>IFERROR(__xludf.DUMMYFUNCTION("IF('(INGESTA)Datos_consumo_datadis'!A10236&lt;&gt;"""",SPLIT('(INGESTA)Datos_consumo_datadis'!A:A,"",""),"""")"),"ES0031408323131005HX0F")</f>
        <v>ES0031408323131005HX0F</v>
      </c>
      <c r="B10236" s="12">
        <f>IFERROR(__xludf.DUMMYFUNCTION("""COMPUTED_VALUE"""),45292.0)</f>
        <v>45292</v>
      </c>
      <c r="C10236" s="13">
        <f>IFERROR(__xludf.DUMMYFUNCTION("""COMPUTED_VALUE"""),0.4583333333333333)</f>
        <v>0.4583333333</v>
      </c>
      <c r="D10236" s="8">
        <f>IFERROR(__xludf.DUMMYFUNCTION("""COMPUTED_VALUE"""),0.087)</f>
        <v>0.087</v>
      </c>
      <c r="E10236" s="8" t="str">
        <f>IFERROR(__xludf.DUMMYFUNCTION("""COMPUTED_VALUE"""),"Real")</f>
        <v>Real</v>
      </c>
      <c r="G10236" s="8">
        <f t="shared" si="1"/>
        <v>1</v>
      </c>
      <c r="H10236" s="14">
        <f t="shared" si="2"/>
        <v>1</v>
      </c>
      <c r="I10236" s="15">
        <f t="shared" si="3"/>
        <v>11</v>
      </c>
    </row>
    <row r="10237">
      <c r="A10237" s="8" t="str">
        <f>IFERROR(__xludf.DUMMYFUNCTION("IF('(INGESTA)Datos_consumo_datadis'!A10237&lt;&gt;"""",SPLIT('(INGESTA)Datos_consumo_datadis'!A:A,"",""),"""")"),"ES0031408323131005HX0F")</f>
        <v>ES0031408323131005HX0F</v>
      </c>
      <c r="B10237" s="12">
        <f>IFERROR(__xludf.DUMMYFUNCTION("""COMPUTED_VALUE"""),45292.0)</f>
        <v>45292</v>
      </c>
      <c r="C10237" s="13">
        <f>IFERROR(__xludf.DUMMYFUNCTION("""COMPUTED_VALUE"""),0.5)</f>
        <v>0.5</v>
      </c>
      <c r="D10237" s="8">
        <f>IFERROR(__xludf.DUMMYFUNCTION("""COMPUTED_VALUE"""),0.293)</f>
        <v>0.293</v>
      </c>
      <c r="E10237" s="8" t="str">
        <f>IFERROR(__xludf.DUMMYFUNCTION("""COMPUTED_VALUE"""),"Real")</f>
        <v>Real</v>
      </c>
      <c r="G10237" s="8">
        <f t="shared" si="1"/>
        <v>1</v>
      </c>
      <c r="H10237" s="14">
        <f t="shared" si="2"/>
        <v>1</v>
      </c>
      <c r="I10237" s="15">
        <f t="shared" si="3"/>
        <v>12</v>
      </c>
    </row>
    <row r="10238">
      <c r="A10238" s="8" t="str">
        <f>IFERROR(__xludf.DUMMYFUNCTION("IF('(INGESTA)Datos_consumo_datadis'!A10238&lt;&gt;"""",SPLIT('(INGESTA)Datos_consumo_datadis'!A:A,"",""),"""")"),"ES0031408323131005HX0F")</f>
        <v>ES0031408323131005HX0F</v>
      </c>
      <c r="B10238" s="12">
        <f>IFERROR(__xludf.DUMMYFUNCTION("""COMPUTED_VALUE"""),45292.0)</f>
        <v>45292</v>
      </c>
      <c r="C10238" s="13">
        <f>IFERROR(__xludf.DUMMYFUNCTION("""COMPUTED_VALUE"""),0.5416666666666666)</f>
        <v>0.5416666667</v>
      </c>
      <c r="D10238" s="8">
        <f>IFERROR(__xludf.DUMMYFUNCTION("""COMPUTED_VALUE"""),0.069)</f>
        <v>0.069</v>
      </c>
      <c r="E10238" s="8" t="str">
        <f>IFERROR(__xludf.DUMMYFUNCTION("""COMPUTED_VALUE"""),"Real")</f>
        <v>Real</v>
      </c>
      <c r="G10238" s="8">
        <f t="shared" si="1"/>
        <v>1</v>
      </c>
      <c r="H10238" s="14">
        <f t="shared" si="2"/>
        <v>1</v>
      </c>
      <c r="I10238" s="15">
        <f t="shared" si="3"/>
        <v>13</v>
      </c>
    </row>
    <row r="10239">
      <c r="A10239" s="8" t="str">
        <f>IFERROR(__xludf.DUMMYFUNCTION("IF('(INGESTA)Datos_consumo_datadis'!A10239&lt;&gt;"""",SPLIT('(INGESTA)Datos_consumo_datadis'!A:A,"",""),"""")"),"ES0031408323131005HX0F")</f>
        <v>ES0031408323131005HX0F</v>
      </c>
      <c r="B10239" s="12">
        <f>IFERROR(__xludf.DUMMYFUNCTION("""COMPUTED_VALUE"""),45292.0)</f>
        <v>45292</v>
      </c>
      <c r="C10239" s="13">
        <f>IFERROR(__xludf.DUMMYFUNCTION("""COMPUTED_VALUE"""),0.5833333333333334)</f>
        <v>0.5833333333</v>
      </c>
      <c r="D10239" s="8">
        <f>IFERROR(__xludf.DUMMYFUNCTION("""COMPUTED_VALUE"""),0.06)</f>
        <v>0.06</v>
      </c>
      <c r="E10239" s="8" t="str">
        <f>IFERROR(__xludf.DUMMYFUNCTION("""COMPUTED_VALUE"""),"Real")</f>
        <v>Real</v>
      </c>
      <c r="G10239" s="8">
        <f t="shared" si="1"/>
        <v>1</v>
      </c>
      <c r="H10239" s="14">
        <f t="shared" si="2"/>
        <v>1</v>
      </c>
      <c r="I10239" s="15">
        <f t="shared" si="3"/>
        <v>14</v>
      </c>
    </row>
    <row r="10240">
      <c r="A10240" s="8" t="str">
        <f>IFERROR(__xludf.DUMMYFUNCTION("IF('(INGESTA)Datos_consumo_datadis'!A10240&lt;&gt;"""",SPLIT('(INGESTA)Datos_consumo_datadis'!A:A,"",""),"""")"),"ES0031408323131005HX0F")</f>
        <v>ES0031408323131005HX0F</v>
      </c>
      <c r="B10240" s="12">
        <f>IFERROR(__xludf.DUMMYFUNCTION("""COMPUTED_VALUE"""),45292.0)</f>
        <v>45292</v>
      </c>
      <c r="C10240" s="13">
        <f>IFERROR(__xludf.DUMMYFUNCTION("""COMPUTED_VALUE"""),0.625)</f>
        <v>0.625</v>
      </c>
      <c r="D10240" s="8">
        <f>IFERROR(__xludf.DUMMYFUNCTION("""COMPUTED_VALUE"""),0.076)</f>
        <v>0.076</v>
      </c>
      <c r="E10240" s="8" t="str">
        <f>IFERROR(__xludf.DUMMYFUNCTION("""COMPUTED_VALUE"""),"Real")</f>
        <v>Real</v>
      </c>
      <c r="G10240" s="8">
        <f t="shared" si="1"/>
        <v>1</v>
      </c>
      <c r="H10240" s="14">
        <f t="shared" si="2"/>
        <v>1</v>
      </c>
      <c r="I10240" s="15">
        <f t="shared" si="3"/>
        <v>15</v>
      </c>
    </row>
    <row r="10241">
      <c r="A10241" s="8" t="str">
        <f>IFERROR(__xludf.DUMMYFUNCTION("IF('(INGESTA)Datos_consumo_datadis'!A10241&lt;&gt;"""",SPLIT('(INGESTA)Datos_consumo_datadis'!A:A,"",""),"""")"),"ES0031408323131005HX0F")</f>
        <v>ES0031408323131005HX0F</v>
      </c>
      <c r="B10241" s="12">
        <f>IFERROR(__xludf.DUMMYFUNCTION("""COMPUTED_VALUE"""),45292.0)</f>
        <v>45292</v>
      </c>
      <c r="C10241" s="13">
        <f>IFERROR(__xludf.DUMMYFUNCTION("""COMPUTED_VALUE"""),0.6666666666666666)</f>
        <v>0.6666666667</v>
      </c>
      <c r="D10241" s="8">
        <f>IFERROR(__xludf.DUMMYFUNCTION("""COMPUTED_VALUE"""),0.022)</f>
        <v>0.022</v>
      </c>
      <c r="E10241" s="8" t="str">
        <f>IFERROR(__xludf.DUMMYFUNCTION("""COMPUTED_VALUE"""),"Real")</f>
        <v>Real</v>
      </c>
      <c r="G10241" s="8">
        <f t="shared" si="1"/>
        <v>1</v>
      </c>
      <c r="H10241" s="14">
        <f t="shared" si="2"/>
        <v>1</v>
      </c>
      <c r="I10241" s="15">
        <f t="shared" si="3"/>
        <v>16</v>
      </c>
    </row>
    <row r="10242">
      <c r="A10242" s="8" t="str">
        <f>IFERROR(__xludf.DUMMYFUNCTION("IF('(INGESTA)Datos_consumo_datadis'!A10242&lt;&gt;"""",SPLIT('(INGESTA)Datos_consumo_datadis'!A:A,"",""),"""")"),"ES0031408323131005HX0F")</f>
        <v>ES0031408323131005HX0F</v>
      </c>
      <c r="B10242" s="12">
        <f>IFERROR(__xludf.DUMMYFUNCTION("""COMPUTED_VALUE"""),45292.0)</f>
        <v>45292</v>
      </c>
      <c r="C10242" s="13">
        <f>IFERROR(__xludf.DUMMYFUNCTION("""COMPUTED_VALUE"""),0.7083333333333334)</f>
        <v>0.7083333333</v>
      </c>
      <c r="D10242" s="8">
        <f>IFERROR(__xludf.DUMMYFUNCTION("""COMPUTED_VALUE"""),0.37)</f>
        <v>0.37</v>
      </c>
      <c r="E10242" s="8" t="str">
        <f>IFERROR(__xludf.DUMMYFUNCTION("""COMPUTED_VALUE"""),"Real")</f>
        <v>Real</v>
      </c>
      <c r="G10242" s="8">
        <f t="shared" si="1"/>
        <v>1</v>
      </c>
      <c r="H10242" s="14">
        <f t="shared" si="2"/>
        <v>1</v>
      </c>
      <c r="I10242" s="15">
        <f t="shared" si="3"/>
        <v>17</v>
      </c>
    </row>
    <row r="10243">
      <c r="A10243" s="8" t="str">
        <f>IFERROR(__xludf.DUMMYFUNCTION("IF('(INGESTA)Datos_consumo_datadis'!A10243&lt;&gt;"""",SPLIT('(INGESTA)Datos_consumo_datadis'!A:A,"",""),"""")"),"ES0031408323131005HX0F")</f>
        <v>ES0031408323131005HX0F</v>
      </c>
      <c r="B10243" s="12">
        <f>IFERROR(__xludf.DUMMYFUNCTION("""COMPUTED_VALUE"""),45292.0)</f>
        <v>45292</v>
      </c>
      <c r="C10243" s="13">
        <f>IFERROR(__xludf.DUMMYFUNCTION("""COMPUTED_VALUE"""),0.75)</f>
        <v>0.75</v>
      </c>
      <c r="D10243" s="8">
        <f>IFERROR(__xludf.DUMMYFUNCTION("""COMPUTED_VALUE"""),0.077)</f>
        <v>0.077</v>
      </c>
      <c r="E10243" s="8" t="str">
        <f>IFERROR(__xludf.DUMMYFUNCTION("""COMPUTED_VALUE"""),"Real")</f>
        <v>Real</v>
      </c>
      <c r="G10243" s="8">
        <f t="shared" si="1"/>
        <v>1</v>
      </c>
      <c r="H10243" s="14">
        <f t="shared" si="2"/>
        <v>1</v>
      </c>
      <c r="I10243" s="15">
        <f t="shared" si="3"/>
        <v>18</v>
      </c>
    </row>
    <row r="10244">
      <c r="A10244" s="8" t="str">
        <f>IFERROR(__xludf.DUMMYFUNCTION("IF('(INGESTA)Datos_consumo_datadis'!A10244&lt;&gt;"""",SPLIT('(INGESTA)Datos_consumo_datadis'!A:A,"",""),"""")"),"ES0031408323131005HX0F")</f>
        <v>ES0031408323131005HX0F</v>
      </c>
      <c r="B10244" s="12">
        <f>IFERROR(__xludf.DUMMYFUNCTION("""COMPUTED_VALUE"""),45292.0)</f>
        <v>45292</v>
      </c>
      <c r="C10244" s="13">
        <f>IFERROR(__xludf.DUMMYFUNCTION("""COMPUTED_VALUE"""),0.7916666666666666)</f>
        <v>0.7916666667</v>
      </c>
      <c r="D10244" s="8">
        <f>IFERROR(__xludf.DUMMYFUNCTION("""COMPUTED_VALUE"""),0.04)</f>
        <v>0.04</v>
      </c>
      <c r="E10244" s="8" t="str">
        <f>IFERROR(__xludf.DUMMYFUNCTION("""COMPUTED_VALUE"""),"Real")</f>
        <v>Real</v>
      </c>
      <c r="G10244" s="8">
        <f t="shared" si="1"/>
        <v>1</v>
      </c>
      <c r="H10244" s="14">
        <f t="shared" si="2"/>
        <v>1</v>
      </c>
      <c r="I10244" s="15">
        <f t="shared" si="3"/>
        <v>19</v>
      </c>
    </row>
    <row r="10245">
      <c r="A10245" s="8" t="str">
        <f>IFERROR(__xludf.DUMMYFUNCTION("IF('(INGESTA)Datos_consumo_datadis'!A10245&lt;&gt;"""",SPLIT('(INGESTA)Datos_consumo_datadis'!A:A,"",""),"""")"),"ES0031408323131005HX0F")</f>
        <v>ES0031408323131005HX0F</v>
      </c>
      <c r="B10245" s="12">
        <f>IFERROR(__xludf.DUMMYFUNCTION("""COMPUTED_VALUE"""),45292.0)</f>
        <v>45292</v>
      </c>
      <c r="C10245" s="13">
        <f>IFERROR(__xludf.DUMMYFUNCTION("""COMPUTED_VALUE"""),0.8333333333333334)</f>
        <v>0.8333333333</v>
      </c>
      <c r="D10245" s="8">
        <f>IFERROR(__xludf.DUMMYFUNCTION("""COMPUTED_VALUE"""),0.047)</f>
        <v>0.047</v>
      </c>
      <c r="E10245" s="8" t="str">
        <f>IFERROR(__xludf.DUMMYFUNCTION("""COMPUTED_VALUE"""),"Real")</f>
        <v>Real</v>
      </c>
      <c r="G10245" s="8">
        <f t="shared" si="1"/>
        <v>1</v>
      </c>
      <c r="H10245" s="14">
        <f t="shared" si="2"/>
        <v>1</v>
      </c>
      <c r="I10245" s="15">
        <f t="shared" si="3"/>
        <v>20</v>
      </c>
    </row>
    <row r="10246">
      <c r="A10246" s="8" t="str">
        <f>IFERROR(__xludf.DUMMYFUNCTION("IF('(INGESTA)Datos_consumo_datadis'!A10246&lt;&gt;"""",SPLIT('(INGESTA)Datos_consumo_datadis'!A:A,"",""),"""")"),"ES0031408323131005HX0F")</f>
        <v>ES0031408323131005HX0F</v>
      </c>
      <c r="B10246" s="12">
        <f>IFERROR(__xludf.DUMMYFUNCTION("""COMPUTED_VALUE"""),45292.0)</f>
        <v>45292</v>
      </c>
      <c r="C10246" s="13">
        <f>IFERROR(__xludf.DUMMYFUNCTION("""COMPUTED_VALUE"""),0.875)</f>
        <v>0.875</v>
      </c>
      <c r="D10246" s="8">
        <f>IFERROR(__xludf.DUMMYFUNCTION("""COMPUTED_VALUE"""),0.067)</f>
        <v>0.067</v>
      </c>
      <c r="E10246" s="8" t="str">
        <f>IFERROR(__xludf.DUMMYFUNCTION("""COMPUTED_VALUE"""),"Real")</f>
        <v>Real</v>
      </c>
      <c r="G10246" s="8">
        <f t="shared" si="1"/>
        <v>1</v>
      </c>
      <c r="H10246" s="14">
        <f t="shared" si="2"/>
        <v>1</v>
      </c>
      <c r="I10246" s="15">
        <f t="shared" si="3"/>
        <v>21</v>
      </c>
    </row>
    <row r="10247">
      <c r="A10247" s="8" t="str">
        <f>IFERROR(__xludf.DUMMYFUNCTION("IF('(INGESTA)Datos_consumo_datadis'!A10247&lt;&gt;"""",SPLIT('(INGESTA)Datos_consumo_datadis'!A:A,"",""),"""")"),"ES0031408323131005HX0F")</f>
        <v>ES0031408323131005HX0F</v>
      </c>
      <c r="B10247" s="12">
        <f>IFERROR(__xludf.DUMMYFUNCTION("""COMPUTED_VALUE"""),45292.0)</f>
        <v>45292</v>
      </c>
      <c r="C10247" s="13">
        <f>IFERROR(__xludf.DUMMYFUNCTION("""COMPUTED_VALUE"""),0.9166666666666666)</f>
        <v>0.9166666667</v>
      </c>
      <c r="D10247" s="8">
        <f>IFERROR(__xludf.DUMMYFUNCTION("""COMPUTED_VALUE"""),0.291)</f>
        <v>0.291</v>
      </c>
      <c r="E10247" s="8" t="str">
        <f>IFERROR(__xludf.DUMMYFUNCTION("""COMPUTED_VALUE"""),"Real")</f>
        <v>Real</v>
      </c>
      <c r="G10247" s="8">
        <f t="shared" si="1"/>
        <v>1</v>
      </c>
      <c r="H10247" s="14">
        <f t="shared" si="2"/>
        <v>1</v>
      </c>
      <c r="I10247" s="15">
        <f t="shared" si="3"/>
        <v>22</v>
      </c>
    </row>
    <row r="10248">
      <c r="A10248" s="8" t="str">
        <f>IFERROR(__xludf.DUMMYFUNCTION("IF('(INGESTA)Datos_consumo_datadis'!A10248&lt;&gt;"""",SPLIT('(INGESTA)Datos_consumo_datadis'!A:A,"",""),"""")"),"ES0031408323131005HX0F")</f>
        <v>ES0031408323131005HX0F</v>
      </c>
      <c r="B10248" s="12">
        <f>IFERROR(__xludf.DUMMYFUNCTION("""COMPUTED_VALUE"""),45292.0)</f>
        <v>45292</v>
      </c>
      <c r="C10248" s="13">
        <f>IFERROR(__xludf.DUMMYFUNCTION("""COMPUTED_VALUE"""),0.9583333333333334)</f>
        <v>0.9583333333</v>
      </c>
      <c r="D10248" s="8">
        <f>IFERROR(__xludf.DUMMYFUNCTION("""COMPUTED_VALUE"""),0.076)</f>
        <v>0.076</v>
      </c>
      <c r="E10248" s="8" t="str">
        <f>IFERROR(__xludf.DUMMYFUNCTION("""COMPUTED_VALUE"""),"Real")</f>
        <v>Real</v>
      </c>
      <c r="G10248" s="8">
        <f t="shared" si="1"/>
        <v>1</v>
      </c>
      <c r="H10248" s="14">
        <f t="shared" si="2"/>
        <v>1</v>
      </c>
      <c r="I10248" s="15">
        <f t="shared" si="3"/>
        <v>23</v>
      </c>
    </row>
    <row r="10249">
      <c r="A10249" s="8" t="str">
        <f>IFERROR(__xludf.DUMMYFUNCTION("IF('(INGESTA)Datos_consumo_datadis'!A10249&lt;&gt;"""",SPLIT('(INGESTA)Datos_consumo_datadis'!A:A,"",""),"""")"),"ES0031408323131005HX0F")</f>
        <v>ES0031408323131005HX0F</v>
      </c>
      <c r="B10249" s="12">
        <f>IFERROR(__xludf.DUMMYFUNCTION("""COMPUTED_VALUE"""),45292.0)</f>
        <v>45292</v>
      </c>
      <c r="C10249" s="16">
        <f>IFERROR(__xludf.DUMMYFUNCTION("""COMPUTED_VALUE"""),1.0)</f>
        <v>1</v>
      </c>
      <c r="D10249" s="8">
        <f>IFERROR(__xludf.DUMMYFUNCTION("""COMPUTED_VALUE"""),0.015)</f>
        <v>0.015</v>
      </c>
      <c r="E10249" s="8" t="str">
        <f>IFERROR(__xludf.DUMMYFUNCTION("""COMPUTED_VALUE"""),"Real")</f>
        <v>Real</v>
      </c>
      <c r="G10249" s="8">
        <f t="shared" si="1"/>
        <v>1</v>
      </c>
      <c r="H10249" s="14">
        <f t="shared" si="2"/>
        <v>1</v>
      </c>
      <c r="I10249" s="15">
        <f t="shared" si="3"/>
        <v>0</v>
      </c>
    </row>
    <row r="10250">
      <c r="A10250" s="8" t="str">
        <f>IFERROR(__xludf.DUMMYFUNCTION("IF('(INGESTA)Datos_consumo_datadis'!A10250&lt;&gt;"""",SPLIT('(INGESTA)Datos_consumo_datadis'!A:A,"",""),"""")"),"ES0031408323131005HX0F")</f>
        <v>ES0031408323131005HX0F</v>
      </c>
      <c r="B10250" s="12">
        <f>IFERROR(__xludf.DUMMYFUNCTION("""COMPUTED_VALUE"""),45293.0)</f>
        <v>45293</v>
      </c>
      <c r="C10250" s="13">
        <f>IFERROR(__xludf.DUMMYFUNCTION("""COMPUTED_VALUE"""),0.041666666666666664)</f>
        <v>0.04166666667</v>
      </c>
      <c r="D10250" s="8">
        <f>IFERROR(__xludf.DUMMYFUNCTION("""COMPUTED_VALUE"""),0.089)</f>
        <v>0.089</v>
      </c>
      <c r="E10250" s="8" t="str">
        <f>IFERROR(__xludf.DUMMYFUNCTION("""COMPUTED_VALUE"""),"Real")</f>
        <v>Real</v>
      </c>
      <c r="G10250" s="8">
        <f t="shared" si="1"/>
        <v>1</v>
      </c>
      <c r="H10250" s="14">
        <f t="shared" si="2"/>
        <v>2</v>
      </c>
      <c r="I10250" s="15">
        <f t="shared" si="3"/>
        <v>1</v>
      </c>
    </row>
    <row r="10251">
      <c r="A10251" s="8" t="str">
        <f>IFERROR(__xludf.DUMMYFUNCTION("IF('(INGESTA)Datos_consumo_datadis'!A10251&lt;&gt;"""",SPLIT('(INGESTA)Datos_consumo_datadis'!A:A,"",""),"""")"),"ES0031408323131005HX0F")</f>
        <v>ES0031408323131005HX0F</v>
      </c>
      <c r="B10251" s="12">
        <f>IFERROR(__xludf.DUMMYFUNCTION("""COMPUTED_VALUE"""),45293.0)</f>
        <v>45293</v>
      </c>
      <c r="C10251" s="13">
        <f>IFERROR(__xludf.DUMMYFUNCTION("""COMPUTED_VALUE"""),0.08333333333333333)</f>
        <v>0.08333333333</v>
      </c>
      <c r="D10251" s="8">
        <f>IFERROR(__xludf.DUMMYFUNCTION("""COMPUTED_VALUE"""),0.044)</f>
        <v>0.044</v>
      </c>
      <c r="E10251" s="8" t="str">
        <f>IFERROR(__xludf.DUMMYFUNCTION("""COMPUTED_VALUE"""),"Real")</f>
        <v>Real</v>
      </c>
      <c r="G10251" s="8">
        <f t="shared" si="1"/>
        <v>1</v>
      </c>
      <c r="H10251" s="14">
        <f t="shared" si="2"/>
        <v>2</v>
      </c>
      <c r="I10251" s="15">
        <f t="shared" si="3"/>
        <v>2</v>
      </c>
    </row>
    <row r="10252">
      <c r="A10252" s="8" t="str">
        <f>IFERROR(__xludf.DUMMYFUNCTION("IF('(INGESTA)Datos_consumo_datadis'!A10252&lt;&gt;"""",SPLIT('(INGESTA)Datos_consumo_datadis'!A:A,"",""),"""")"),"ES0031408323131005HX0F")</f>
        <v>ES0031408323131005HX0F</v>
      </c>
      <c r="B10252" s="12">
        <f>IFERROR(__xludf.DUMMYFUNCTION("""COMPUTED_VALUE"""),45293.0)</f>
        <v>45293</v>
      </c>
      <c r="C10252" s="13">
        <f>IFERROR(__xludf.DUMMYFUNCTION("""COMPUTED_VALUE"""),0.125)</f>
        <v>0.125</v>
      </c>
      <c r="D10252" s="8">
        <f>IFERROR(__xludf.DUMMYFUNCTION("""COMPUTED_VALUE"""),0.326)</f>
        <v>0.326</v>
      </c>
      <c r="E10252" s="8" t="str">
        <f>IFERROR(__xludf.DUMMYFUNCTION("""COMPUTED_VALUE"""),"Real")</f>
        <v>Real</v>
      </c>
      <c r="G10252" s="8">
        <f t="shared" si="1"/>
        <v>1</v>
      </c>
      <c r="H10252" s="14">
        <f t="shared" si="2"/>
        <v>2</v>
      </c>
      <c r="I10252" s="15">
        <f t="shared" si="3"/>
        <v>3</v>
      </c>
    </row>
    <row r="10253">
      <c r="A10253" s="8" t="str">
        <f>IFERROR(__xludf.DUMMYFUNCTION("IF('(INGESTA)Datos_consumo_datadis'!A10253&lt;&gt;"""",SPLIT('(INGESTA)Datos_consumo_datadis'!A:A,"",""),"""")"),"ES0031408323131005HX0F")</f>
        <v>ES0031408323131005HX0F</v>
      </c>
      <c r="B10253" s="12">
        <f>IFERROR(__xludf.DUMMYFUNCTION("""COMPUTED_VALUE"""),45293.0)</f>
        <v>45293</v>
      </c>
      <c r="C10253" s="13">
        <f>IFERROR(__xludf.DUMMYFUNCTION("""COMPUTED_VALUE"""),0.16666666666666666)</f>
        <v>0.1666666667</v>
      </c>
      <c r="D10253" s="8">
        <f>IFERROR(__xludf.DUMMYFUNCTION("""COMPUTED_VALUE"""),0.028)</f>
        <v>0.028</v>
      </c>
      <c r="E10253" s="8" t="str">
        <f>IFERROR(__xludf.DUMMYFUNCTION("""COMPUTED_VALUE"""),"Real")</f>
        <v>Real</v>
      </c>
      <c r="G10253" s="8">
        <f t="shared" si="1"/>
        <v>1</v>
      </c>
      <c r="H10253" s="14">
        <f t="shared" si="2"/>
        <v>2</v>
      </c>
      <c r="I10253" s="15">
        <f t="shared" si="3"/>
        <v>4</v>
      </c>
    </row>
    <row r="10254">
      <c r="A10254" s="8" t="str">
        <f>IFERROR(__xludf.DUMMYFUNCTION("IF('(INGESTA)Datos_consumo_datadis'!A10254&lt;&gt;"""",SPLIT('(INGESTA)Datos_consumo_datadis'!A:A,"",""),"""")"),"ES0031408323131005HX0F")</f>
        <v>ES0031408323131005HX0F</v>
      </c>
      <c r="B10254" s="12">
        <f>IFERROR(__xludf.DUMMYFUNCTION("""COMPUTED_VALUE"""),45293.0)</f>
        <v>45293</v>
      </c>
      <c r="C10254" s="13">
        <f>IFERROR(__xludf.DUMMYFUNCTION("""COMPUTED_VALUE"""),0.20833333333333334)</f>
        <v>0.2083333333</v>
      </c>
      <c r="D10254" s="8">
        <f>IFERROR(__xludf.DUMMYFUNCTION("""COMPUTED_VALUE"""),0.054)</f>
        <v>0.054</v>
      </c>
      <c r="E10254" s="8" t="str">
        <f>IFERROR(__xludf.DUMMYFUNCTION("""COMPUTED_VALUE"""),"Real")</f>
        <v>Real</v>
      </c>
      <c r="G10254" s="8">
        <f t="shared" si="1"/>
        <v>1</v>
      </c>
      <c r="H10254" s="14">
        <f t="shared" si="2"/>
        <v>2</v>
      </c>
      <c r="I10254" s="15">
        <f t="shared" si="3"/>
        <v>5</v>
      </c>
    </row>
    <row r="10255">
      <c r="A10255" s="8" t="str">
        <f>IFERROR(__xludf.DUMMYFUNCTION("IF('(INGESTA)Datos_consumo_datadis'!A10255&lt;&gt;"""",SPLIT('(INGESTA)Datos_consumo_datadis'!A:A,"",""),"""")"),"ES0031408323131005HX0F")</f>
        <v>ES0031408323131005HX0F</v>
      </c>
      <c r="B10255" s="12">
        <f>IFERROR(__xludf.DUMMYFUNCTION("""COMPUTED_VALUE"""),45293.0)</f>
        <v>45293</v>
      </c>
      <c r="C10255" s="13">
        <f>IFERROR(__xludf.DUMMYFUNCTION("""COMPUTED_VALUE"""),0.25)</f>
        <v>0.25</v>
      </c>
      <c r="D10255" s="8">
        <f>IFERROR(__xludf.DUMMYFUNCTION("""COMPUTED_VALUE"""),0.064)</f>
        <v>0.064</v>
      </c>
      <c r="E10255" s="8" t="str">
        <f>IFERROR(__xludf.DUMMYFUNCTION("""COMPUTED_VALUE"""),"Real")</f>
        <v>Real</v>
      </c>
      <c r="G10255" s="8">
        <f t="shared" si="1"/>
        <v>1</v>
      </c>
      <c r="H10255" s="14">
        <f t="shared" si="2"/>
        <v>2</v>
      </c>
      <c r="I10255" s="15">
        <f t="shared" si="3"/>
        <v>6</v>
      </c>
    </row>
    <row r="10256">
      <c r="A10256" s="8" t="str">
        <f>IFERROR(__xludf.DUMMYFUNCTION("IF('(INGESTA)Datos_consumo_datadis'!A10256&lt;&gt;"""",SPLIT('(INGESTA)Datos_consumo_datadis'!A:A,"",""),"""")"),"ES0031408323131005HX0F")</f>
        <v>ES0031408323131005HX0F</v>
      </c>
      <c r="B10256" s="12">
        <f>IFERROR(__xludf.DUMMYFUNCTION("""COMPUTED_VALUE"""),45293.0)</f>
        <v>45293</v>
      </c>
      <c r="C10256" s="13">
        <f>IFERROR(__xludf.DUMMYFUNCTION("""COMPUTED_VALUE"""),0.2916666666666667)</f>
        <v>0.2916666667</v>
      </c>
      <c r="D10256" s="8">
        <f>IFERROR(__xludf.DUMMYFUNCTION("""COMPUTED_VALUE"""),0.038)</f>
        <v>0.038</v>
      </c>
      <c r="E10256" s="8" t="str">
        <f>IFERROR(__xludf.DUMMYFUNCTION("""COMPUTED_VALUE"""),"Real")</f>
        <v>Real</v>
      </c>
      <c r="G10256" s="8">
        <f t="shared" si="1"/>
        <v>1</v>
      </c>
      <c r="H10256" s="14">
        <f t="shared" si="2"/>
        <v>2</v>
      </c>
      <c r="I10256" s="15">
        <f t="shared" si="3"/>
        <v>7</v>
      </c>
    </row>
    <row r="10257">
      <c r="A10257" s="8" t="str">
        <f>IFERROR(__xludf.DUMMYFUNCTION("IF('(INGESTA)Datos_consumo_datadis'!A10257&lt;&gt;"""",SPLIT('(INGESTA)Datos_consumo_datadis'!A:A,"",""),"""")"),"ES0031408323131005HX0F")</f>
        <v>ES0031408323131005HX0F</v>
      </c>
      <c r="B10257" s="12">
        <f>IFERROR(__xludf.DUMMYFUNCTION("""COMPUTED_VALUE"""),45293.0)</f>
        <v>45293</v>
      </c>
      <c r="C10257" s="13">
        <f>IFERROR(__xludf.DUMMYFUNCTION("""COMPUTED_VALUE"""),0.3333333333333333)</f>
        <v>0.3333333333</v>
      </c>
      <c r="D10257" s="8">
        <f>IFERROR(__xludf.DUMMYFUNCTION("""COMPUTED_VALUE"""),0.176)</f>
        <v>0.176</v>
      </c>
      <c r="E10257" s="8" t="str">
        <f>IFERROR(__xludf.DUMMYFUNCTION("""COMPUTED_VALUE"""),"Real")</f>
        <v>Real</v>
      </c>
      <c r="G10257" s="8">
        <f t="shared" si="1"/>
        <v>1</v>
      </c>
      <c r="H10257" s="14">
        <f t="shared" si="2"/>
        <v>2</v>
      </c>
      <c r="I10257" s="15">
        <f t="shared" si="3"/>
        <v>8</v>
      </c>
    </row>
    <row r="10258">
      <c r="A10258" s="8" t="str">
        <f>IFERROR(__xludf.DUMMYFUNCTION("IF('(INGESTA)Datos_consumo_datadis'!A10258&lt;&gt;"""",SPLIT('(INGESTA)Datos_consumo_datadis'!A:A,"",""),"""")"),"ES0031408323131005HX0F")</f>
        <v>ES0031408323131005HX0F</v>
      </c>
      <c r="B10258" s="12">
        <f>IFERROR(__xludf.DUMMYFUNCTION("""COMPUTED_VALUE"""),45293.0)</f>
        <v>45293</v>
      </c>
      <c r="C10258" s="13">
        <f>IFERROR(__xludf.DUMMYFUNCTION("""COMPUTED_VALUE"""),0.375)</f>
        <v>0.375</v>
      </c>
      <c r="D10258" s="8">
        <f>IFERROR(__xludf.DUMMYFUNCTION("""COMPUTED_VALUE"""),0.117)</f>
        <v>0.117</v>
      </c>
      <c r="E10258" s="8" t="str">
        <f>IFERROR(__xludf.DUMMYFUNCTION("""COMPUTED_VALUE"""),"Real")</f>
        <v>Real</v>
      </c>
      <c r="G10258" s="8">
        <f t="shared" si="1"/>
        <v>1</v>
      </c>
      <c r="H10258" s="14">
        <f t="shared" si="2"/>
        <v>2</v>
      </c>
      <c r="I10258" s="15">
        <f t="shared" si="3"/>
        <v>9</v>
      </c>
    </row>
    <row r="10259">
      <c r="A10259" s="8" t="str">
        <f>IFERROR(__xludf.DUMMYFUNCTION("IF('(INGESTA)Datos_consumo_datadis'!A10259&lt;&gt;"""",SPLIT('(INGESTA)Datos_consumo_datadis'!A:A,"",""),"""")"),"ES0031408323131005HX0F")</f>
        <v>ES0031408323131005HX0F</v>
      </c>
      <c r="B10259" s="12">
        <f>IFERROR(__xludf.DUMMYFUNCTION("""COMPUTED_VALUE"""),45293.0)</f>
        <v>45293</v>
      </c>
      <c r="C10259" s="13">
        <f>IFERROR(__xludf.DUMMYFUNCTION("""COMPUTED_VALUE"""),0.4166666666666667)</f>
        <v>0.4166666667</v>
      </c>
      <c r="D10259" s="8">
        <f>IFERROR(__xludf.DUMMYFUNCTION("""COMPUTED_VALUE"""),0.075)</f>
        <v>0.075</v>
      </c>
      <c r="E10259" s="8" t="str">
        <f>IFERROR(__xludf.DUMMYFUNCTION("""COMPUTED_VALUE"""),"Real")</f>
        <v>Real</v>
      </c>
      <c r="G10259" s="8">
        <f t="shared" si="1"/>
        <v>1</v>
      </c>
      <c r="H10259" s="14">
        <f t="shared" si="2"/>
        <v>2</v>
      </c>
      <c r="I10259" s="15">
        <f t="shared" si="3"/>
        <v>10</v>
      </c>
    </row>
    <row r="10260">
      <c r="A10260" s="8" t="str">
        <f>IFERROR(__xludf.DUMMYFUNCTION("IF('(INGESTA)Datos_consumo_datadis'!A10260&lt;&gt;"""",SPLIT('(INGESTA)Datos_consumo_datadis'!A:A,"",""),"""")"),"ES0031408323131005HX0F")</f>
        <v>ES0031408323131005HX0F</v>
      </c>
      <c r="B10260" s="12">
        <f>IFERROR(__xludf.DUMMYFUNCTION("""COMPUTED_VALUE"""),45293.0)</f>
        <v>45293</v>
      </c>
      <c r="C10260" s="13">
        <f>IFERROR(__xludf.DUMMYFUNCTION("""COMPUTED_VALUE"""),0.4583333333333333)</f>
        <v>0.4583333333</v>
      </c>
      <c r="D10260" s="8">
        <f>IFERROR(__xludf.DUMMYFUNCTION("""COMPUTED_VALUE"""),0.059)</f>
        <v>0.059</v>
      </c>
      <c r="E10260" s="8" t="str">
        <f>IFERROR(__xludf.DUMMYFUNCTION("""COMPUTED_VALUE"""),"Real")</f>
        <v>Real</v>
      </c>
      <c r="G10260" s="8">
        <f t="shared" si="1"/>
        <v>1</v>
      </c>
      <c r="H10260" s="14">
        <f t="shared" si="2"/>
        <v>2</v>
      </c>
      <c r="I10260" s="15">
        <f t="shared" si="3"/>
        <v>11</v>
      </c>
    </row>
    <row r="10261">
      <c r="A10261" s="8" t="str">
        <f>IFERROR(__xludf.DUMMYFUNCTION("IF('(INGESTA)Datos_consumo_datadis'!A10261&lt;&gt;"""",SPLIT('(INGESTA)Datos_consumo_datadis'!A:A,"",""),"""")"),"ES0031408323131005HX0F")</f>
        <v>ES0031408323131005HX0F</v>
      </c>
      <c r="B10261" s="12">
        <f>IFERROR(__xludf.DUMMYFUNCTION("""COMPUTED_VALUE"""),45293.0)</f>
        <v>45293</v>
      </c>
      <c r="C10261" s="13">
        <f>IFERROR(__xludf.DUMMYFUNCTION("""COMPUTED_VALUE"""),0.5)</f>
        <v>0.5</v>
      </c>
      <c r="D10261" s="8">
        <f>IFERROR(__xludf.DUMMYFUNCTION("""COMPUTED_VALUE"""),0.018)</f>
        <v>0.018</v>
      </c>
      <c r="E10261" s="8" t="str">
        <f>IFERROR(__xludf.DUMMYFUNCTION("""COMPUTED_VALUE"""),"Real")</f>
        <v>Real</v>
      </c>
      <c r="G10261" s="8">
        <f t="shared" si="1"/>
        <v>1</v>
      </c>
      <c r="H10261" s="14">
        <f t="shared" si="2"/>
        <v>2</v>
      </c>
      <c r="I10261" s="15">
        <f t="shared" si="3"/>
        <v>12</v>
      </c>
    </row>
    <row r="10262">
      <c r="A10262" s="8" t="str">
        <f>IFERROR(__xludf.DUMMYFUNCTION("IF('(INGESTA)Datos_consumo_datadis'!A10262&lt;&gt;"""",SPLIT('(INGESTA)Datos_consumo_datadis'!A:A,"",""),"""")"),"ES0031408323131005HX0F")</f>
        <v>ES0031408323131005HX0F</v>
      </c>
      <c r="B10262" s="12">
        <f>IFERROR(__xludf.DUMMYFUNCTION("""COMPUTED_VALUE"""),45293.0)</f>
        <v>45293</v>
      </c>
      <c r="C10262" s="13">
        <f>IFERROR(__xludf.DUMMYFUNCTION("""COMPUTED_VALUE"""),0.5416666666666666)</f>
        <v>0.5416666667</v>
      </c>
      <c r="D10262" s="8">
        <f>IFERROR(__xludf.DUMMYFUNCTION("""COMPUTED_VALUE"""),0.271)</f>
        <v>0.271</v>
      </c>
      <c r="E10262" s="8" t="str">
        <f>IFERROR(__xludf.DUMMYFUNCTION("""COMPUTED_VALUE"""),"Real")</f>
        <v>Real</v>
      </c>
      <c r="G10262" s="8">
        <f t="shared" si="1"/>
        <v>1</v>
      </c>
      <c r="H10262" s="14">
        <f t="shared" si="2"/>
        <v>2</v>
      </c>
      <c r="I10262" s="15">
        <f t="shared" si="3"/>
        <v>13</v>
      </c>
    </row>
    <row r="10263">
      <c r="A10263" s="8" t="str">
        <f>IFERROR(__xludf.DUMMYFUNCTION("IF('(INGESTA)Datos_consumo_datadis'!A10263&lt;&gt;"""",SPLIT('(INGESTA)Datos_consumo_datadis'!A:A,"",""),"""")"),"ES0031408323131005HX0F")</f>
        <v>ES0031408323131005HX0F</v>
      </c>
      <c r="B10263" s="12">
        <f>IFERROR(__xludf.DUMMYFUNCTION("""COMPUTED_VALUE"""),45293.0)</f>
        <v>45293</v>
      </c>
      <c r="C10263" s="13">
        <f>IFERROR(__xludf.DUMMYFUNCTION("""COMPUTED_VALUE"""),0.5833333333333334)</f>
        <v>0.5833333333</v>
      </c>
      <c r="D10263" s="8">
        <f>IFERROR(__xludf.DUMMYFUNCTION("""COMPUTED_VALUE"""),0.078)</f>
        <v>0.078</v>
      </c>
      <c r="E10263" s="8" t="str">
        <f>IFERROR(__xludf.DUMMYFUNCTION("""COMPUTED_VALUE"""),"Real")</f>
        <v>Real</v>
      </c>
      <c r="G10263" s="8">
        <f t="shared" si="1"/>
        <v>1</v>
      </c>
      <c r="H10263" s="14">
        <f t="shared" si="2"/>
        <v>2</v>
      </c>
      <c r="I10263" s="15">
        <f t="shared" si="3"/>
        <v>14</v>
      </c>
    </row>
    <row r="10264">
      <c r="A10264" s="8" t="str">
        <f>IFERROR(__xludf.DUMMYFUNCTION("IF('(INGESTA)Datos_consumo_datadis'!A10264&lt;&gt;"""",SPLIT('(INGESTA)Datos_consumo_datadis'!A:A,"",""),"""")"),"ES0031408323131005HX0F")</f>
        <v>ES0031408323131005HX0F</v>
      </c>
      <c r="B10264" s="12">
        <f>IFERROR(__xludf.DUMMYFUNCTION("""COMPUTED_VALUE"""),45293.0)</f>
        <v>45293</v>
      </c>
      <c r="C10264" s="13">
        <f>IFERROR(__xludf.DUMMYFUNCTION("""COMPUTED_VALUE"""),0.625)</f>
        <v>0.625</v>
      </c>
      <c r="D10264" s="8">
        <f>IFERROR(__xludf.DUMMYFUNCTION("""COMPUTED_VALUE"""),0.038)</f>
        <v>0.038</v>
      </c>
      <c r="E10264" s="8" t="str">
        <f>IFERROR(__xludf.DUMMYFUNCTION("""COMPUTED_VALUE"""),"Real")</f>
        <v>Real</v>
      </c>
      <c r="G10264" s="8">
        <f t="shared" si="1"/>
        <v>1</v>
      </c>
      <c r="H10264" s="14">
        <f t="shared" si="2"/>
        <v>2</v>
      </c>
      <c r="I10264" s="15">
        <f t="shared" si="3"/>
        <v>15</v>
      </c>
    </row>
    <row r="10265">
      <c r="A10265" s="8" t="str">
        <f>IFERROR(__xludf.DUMMYFUNCTION("IF('(INGESTA)Datos_consumo_datadis'!A10265&lt;&gt;"""",SPLIT('(INGESTA)Datos_consumo_datadis'!A:A,"",""),"""")"),"ES0031408323131005HX0F")</f>
        <v>ES0031408323131005HX0F</v>
      </c>
      <c r="B10265" s="12">
        <f>IFERROR(__xludf.DUMMYFUNCTION("""COMPUTED_VALUE"""),45293.0)</f>
        <v>45293</v>
      </c>
      <c r="C10265" s="13">
        <f>IFERROR(__xludf.DUMMYFUNCTION("""COMPUTED_VALUE"""),0.6666666666666666)</f>
        <v>0.6666666667</v>
      </c>
      <c r="D10265" s="8">
        <f>IFERROR(__xludf.DUMMYFUNCTION("""COMPUTED_VALUE"""),0.038)</f>
        <v>0.038</v>
      </c>
      <c r="E10265" s="8" t="str">
        <f>IFERROR(__xludf.DUMMYFUNCTION("""COMPUTED_VALUE"""),"Real")</f>
        <v>Real</v>
      </c>
      <c r="G10265" s="8">
        <f t="shared" si="1"/>
        <v>1</v>
      </c>
      <c r="H10265" s="14">
        <f t="shared" si="2"/>
        <v>2</v>
      </c>
      <c r="I10265" s="15">
        <f t="shared" si="3"/>
        <v>16</v>
      </c>
    </row>
    <row r="10266">
      <c r="A10266" s="8" t="str">
        <f>IFERROR(__xludf.DUMMYFUNCTION("IF('(INGESTA)Datos_consumo_datadis'!A10266&lt;&gt;"""",SPLIT('(INGESTA)Datos_consumo_datadis'!A:A,"",""),"""")"),"ES0031408323131005HX0F")</f>
        <v>ES0031408323131005HX0F</v>
      </c>
      <c r="B10266" s="12">
        <f>IFERROR(__xludf.DUMMYFUNCTION("""COMPUTED_VALUE"""),45293.0)</f>
        <v>45293</v>
      </c>
      <c r="C10266" s="13">
        <f>IFERROR(__xludf.DUMMYFUNCTION("""COMPUTED_VALUE"""),0.7083333333333334)</f>
        <v>0.7083333333</v>
      </c>
      <c r="D10266" s="8">
        <f>IFERROR(__xludf.DUMMYFUNCTION("""COMPUTED_VALUE"""),0.014)</f>
        <v>0.014</v>
      </c>
      <c r="E10266" s="8" t="str">
        <f>IFERROR(__xludf.DUMMYFUNCTION("""COMPUTED_VALUE"""),"Real")</f>
        <v>Real</v>
      </c>
      <c r="G10266" s="8">
        <f t="shared" si="1"/>
        <v>1</v>
      </c>
      <c r="H10266" s="14">
        <f t="shared" si="2"/>
        <v>2</v>
      </c>
      <c r="I10266" s="15">
        <f t="shared" si="3"/>
        <v>17</v>
      </c>
    </row>
    <row r="10267">
      <c r="A10267" s="8" t="str">
        <f>IFERROR(__xludf.DUMMYFUNCTION("IF('(INGESTA)Datos_consumo_datadis'!A10267&lt;&gt;"""",SPLIT('(INGESTA)Datos_consumo_datadis'!A:A,"",""),"""")"),"ES0031408323131005HX0F")</f>
        <v>ES0031408323131005HX0F</v>
      </c>
      <c r="B10267" s="12">
        <f>IFERROR(__xludf.DUMMYFUNCTION("""COMPUTED_VALUE"""),45293.0)</f>
        <v>45293</v>
      </c>
      <c r="C10267" s="13">
        <f>IFERROR(__xludf.DUMMYFUNCTION("""COMPUTED_VALUE"""),0.75)</f>
        <v>0.75</v>
      </c>
      <c r="D10267" s="8">
        <f>IFERROR(__xludf.DUMMYFUNCTION("""COMPUTED_VALUE"""),0.319)</f>
        <v>0.319</v>
      </c>
      <c r="E10267" s="8" t="str">
        <f>IFERROR(__xludf.DUMMYFUNCTION("""COMPUTED_VALUE"""),"Real")</f>
        <v>Real</v>
      </c>
      <c r="G10267" s="8">
        <f t="shared" si="1"/>
        <v>1</v>
      </c>
      <c r="H10267" s="14">
        <f t="shared" si="2"/>
        <v>2</v>
      </c>
      <c r="I10267" s="15">
        <f t="shared" si="3"/>
        <v>18</v>
      </c>
    </row>
    <row r="10268">
      <c r="A10268" s="8" t="str">
        <f>IFERROR(__xludf.DUMMYFUNCTION("IF('(INGESTA)Datos_consumo_datadis'!A10268&lt;&gt;"""",SPLIT('(INGESTA)Datos_consumo_datadis'!A:A,"",""),"""")"),"ES0031408323131005HX0F")</f>
        <v>ES0031408323131005HX0F</v>
      </c>
      <c r="B10268" s="12">
        <f>IFERROR(__xludf.DUMMYFUNCTION("""COMPUTED_VALUE"""),45293.0)</f>
        <v>45293</v>
      </c>
      <c r="C10268" s="13">
        <f>IFERROR(__xludf.DUMMYFUNCTION("""COMPUTED_VALUE"""),0.7916666666666666)</f>
        <v>0.7916666667</v>
      </c>
      <c r="D10268" s="8">
        <f>IFERROR(__xludf.DUMMYFUNCTION("""COMPUTED_VALUE"""),0.071)</f>
        <v>0.071</v>
      </c>
      <c r="E10268" s="8" t="str">
        <f>IFERROR(__xludf.DUMMYFUNCTION("""COMPUTED_VALUE"""),"Real")</f>
        <v>Real</v>
      </c>
      <c r="G10268" s="8">
        <f t="shared" si="1"/>
        <v>1</v>
      </c>
      <c r="H10268" s="14">
        <f t="shared" si="2"/>
        <v>2</v>
      </c>
      <c r="I10268" s="15">
        <f t="shared" si="3"/>
        <v>19</v>
      </c>
    </row>
    <row r="10269">
      <c r="A10269" s="8" t="str">
        <f>IFERROR(__xludf.DUMMYFUNCTION("IF('(INGESTA)Datos_consumo_datadis'!A10269&lt;&gt;"""",SPLIT('(INGESTA)Datos_consumo_datadis'!A:A,"",""),"""")"),"ES0031408323131005HX0F")</f>
        <v>ES0031408323131005HX0F</v>
      </c>
      <c r="B10269" s="12">
        <f>IFERROR(__xludf.DUMMYFUNCTION("""COMPUTED_VALUE"""),45293.0)</f>
        <v>45293</v>
      </c>
      <c r="C10269" s="13">
        <f>IFERROR(__xludf.DUMMYFUNCTION("""COMPUTED_VALUE"""),0.8333333333333334)</f>
        <v>0.8333333333</v>
      </c>
      <c r="D10269" s="8">
        <f>IFERROR(__xludf.DUMMYFUNCTION("""COMPUTED_VALUE"""),0.039)</f>
        <v>0.039</v>
      </c>
      <c r="E10269" s="8" t="str">
        <f>IFERROR(__xludf.DUMMYFUNCTION("""COMPUTED_VALUE"""),"Real")</f>
        <v>Real</v>
      </c>
      <c r="G10269" s="8">
        <f t="shared" si="1"/>
        <v>1</v>
      </c>
      <c r="H10269" s="14">
        <f t="shared" si="2"/>
        <v>2</v>
      </c>
      <c r="I10269" s="15">
        <f t="shared" si="3"/>
        <v>20</v>
      </c>
    </row>
    <row r="10270">
      <c r="A10270" s="8" t="str">
        <f>IFERROR(__xludf.DUMMYFUNCTION("IF('(INGESTA)Datos_consumo_datadis'!A10270&lt;&gt;"""",SPLIT('(INGESTA)Datos_consumo_datadis'!A:A,"",""),"""")"),"ES0031408323131005HX0F")</f>
        <v>ES0031408323131005HX0F</v>
      </c>
      <c r="B10270" s="12">
        <f>IFERROR(__xludf.DUMMYFUNCTION("""COMPUTED_VALUE"""),45293.0)</f>
        <v>45293</v>
      </c>
      <c r="C10270" s="13">
        <f>IFERROR(__xludf.DUMMYFUNCTION("""COMPUTED_VALUE"""),0.875)</f>
        <v>0.875</v>
      </c>
      <c r="D10270" s="8">
        <f>IFERROR(__xludf.DUMMYFUNCTION("""COMPUTED_VALUE"""),0.014)</f>
        <v>0.014</v>
      </c>
      <c r="E10270" s="8" t="str">
        <f>IFERROR(__xludf.DUMMYFUNCTION("""COMPUTED_VALUE"""),"Real")</f>
        <v>Real</v>
      </c>
      <c r="G10270" s="8">
        <f t="shared" si="1"/>
        <v>1</v>
      </c>
      <c r="H10270" s="14">
        <f t="shared" si="2"/>
        <v>2</v>
      </c>
      <c r="I10270" s="15">
        <f t="shared" si="3"/>
        <v>21</v>
      </c>
    </row>
    <row r="10271">
      <c r="A10271" s="8" t="str">
        <f>IFERROR(__xludf.DUMMYFUNCTION("IF('(INGESTA)Datos_consumo_datadis'!A10271&lt;&gt;"""",SPLIT('(INGESTA)Datos_consumo_datadis'!A:A,"",""),"""")"),"ES0031408323131005HX0F")</f>
        <v>ES0031408323131005HX0F</v>
      </c>
      <c r="B10271" s="12">
        <f>IFERROR(__xludf.DUMMYFUNCTION("""COMPUTED_VALUE"""),45293.0)</f>
        <v>45293</v>
      </c>
      <c r="C10271" s="13">
        <f>IFERROR(__xludf.DUMMYFUNCTION("""COMPUTED_VALUE"""),0.9166666666666666)</f>
        <v>0.9166666667</v>
      </c>
      <c r="D10271" s="8">
        <f>IFERROR(__xludf.DUMMYFUNCTION("""COMPUTED_VALUE"""),0.015)</f>
        <v>0.015</v>
      </c>
      <c r="E10271" s="8" t="str">
        <f>IFERROR(__xludf.DUMMYFUNCTION("""COMPUTED_VALUE"""),"Real")</f>
        <v>Real</v>
      </c>
      <c r="G10271" s="8">
        <f t="shared" si="1"/>
        <v>1</v>
      </c>
      <c r="H10271" s="14">
        <f t="shared" si="2"/>
        <v>2</v>
      </c>
      <c r="I10271" s="15">
        <f t="shared" si="3"/>
        <v>22</v>
      </c>
    </row>
    <row r="10272">
      <c r="A10272" s="8" t="str">
        <f>IFERROR(__xludf.DUMMYFUNCTION("IF('(INGESTA)Datos_consumo_datadis'!A10272&lt;&gt;"""",SPLIT('(INGESTA)Datos_consumo_datadis'!A:A,"",""),"""")"),"ES0031408323131005HX0F")</f>
        <v>ES0031408323131005HX0F</v>
      </c>
      <c r="B10272" s="12">
        <f>IFERROR(__xludf.DUMMYFUNCTION("""COMPUTED_VALUE"""),45293.0)</f>
        <v>45293</v>
      </c>
      <c r="C10272" s="13">
        <f>IFERROR(__xludf.DUMMYFUNCTION("""COMPUTED_VALUE"""),0.9583333333333334)</f>
        <v>0.9583333333</v>
      </c>
      <c r="D10272" s="8">
        <f>IFERROR(__xludf.DUMMYFUNCTION("""COMPUTED_VALUE"""),0.358)</f>
        <v>0.358</v>
      </c>
      <c r="E10272" s="8" t="str">
        <f>IFERROR(__xludf.DUMMYFUNCTION("""COMPUTED_VALUE"""),"Real")</f>
        <v>Real</v>
      </c>
      <c r="G10272" s="8">
        <f t="shared" si="1"/>
        <v>1</v>
      </c>
      <c r="H10272" s="14">
        <f t="shared" si="2"/>
        <v>2</v>
      </c>
      <c r="I10272" s="15">
        <f t="shared" si="3"/>
        <v>23</v>
      </c>
    </row>
    <row r="10273">
      <c r="A10273" s="8" t="str">
        <f>IFERROR(__xludf.DUMMYFUNCTION("IF('(INGESTA)Datos_consumo_datadis'!A10273&lt;&gt;"""",SPLIT('(INGESTA)Datos_consumo_datadis'!A:A,"",""),"""")"),"ES0031408323131005HX0F")</f>
        <v>ES0031408323131005HX0F</v>
      </c>
      <c r="B10273" s="12">
        <f>IFERROR(__xludf.DUMMYFUNCTION("""COMPUTED_VALUE"""),45293.0)</f>
        <v>45293</v>
      </c>
      <c r="C10273" s="16">
        <f>IFERROR(__xludf.DUMMYFUNCTION("""COMPUTED_VALUE"""),1.0)</f>
        <v>1</v>
      </c>
      <c r="D10273" s="8">
        <f>IFERROR(__xludf.DUMMYFUNCTION("""COMPUTED_VALUE"""),0.053)</f>
        <v>0.053</v>
      </c>
      <c r="E10273" s="8" t="str">
        <f>IFERROR(__xludf.DUMMYFUNCTION("""COMPUTED_VALUE"""),"Real")</f>
        <v>Real</v>
      </c>
      <c r="G10273" s="8">
        <f t="shared" si="1"/>
        <v>1</v>
      </c>
      <c r="H10273" s="14">
        <f t="shared" si="2"/>
        <v>2</v>
      </c>
      <c r="I10273" s="15">
        <f t="shared" si="3"/>
        <v>0</v>
      </c>
    </row>
    <row r="10274">
      <c r="A10274" s="8" t="str">
        <f>IFERROR(__xludf.DUMMYFUNCTION("IF('(INGESTA)Datos_consumo_datadis'!A10274&lt;&gt;"""",SPLIT('(INGESTA)Datos_consumo_datadis'!A:A,"",""),"""")"),"ES0031408323131005HX0F")</f>
        <v>ES0031408323131005HX0F</v>
      </c>
      <c r="B10274" s="12">
        <f>IFERROR(__xludf.DUMMYFUNCTION("""COMPUTED_VALUE"""),45294.0)</f>
        <v>45294</v>
      </c>
      <c r="C10274" s="13">
        <f>IFERROR(__xludf.DUMMYFUNCTION("""COMPUTED_VALUE"""),0.041666666666666664)</f>
        <v>0.04166666667</v>
      </c>
      <c r="D10274" s="8">
        <f>IFERROR(__xludf.DUMMYFUNCTION("""COMPUTED_VALUE"""),0.063)</f>
        <v>0.063</v>
      </c>
      <c r="E10274" s="8" t="str">
        <f>IFERROR(__xludf.DUMMYFUNCTION("""COMPUTED_VALUE"""),"Real")</f>
        <v>Real</v>
      </c>
      <c r="G10274" s="8">
        <f t="shared" si="1"/>
        <v>1</v>
      </c>
      <c r="H10274" s="14">
        <f t="shared" si="2"/>
        <v>3</v>
      </c>
      <c r="I10274" s="15">
        <f t="shared" si="3"/>
        <v>1</v>
      </c>
    </row>
    <row r="10275">
      <c r="A10275" s="8" t="str">
        <f>IFERROR(__xludf.DUMMYFUNCTION("IF('(INGESTA)Datos_consumo_datadis'!A10275&lt;&gt;"""",SPLIT('(INGESTA)Datos_consumo_datadis'!A:A,"",""),"""")"),"ES0031408323131005HX0F")</f>
        <v>ES0031408323131005HX0F</v>
      </c>
      <c r="B10275" s="12">
        <f>IFERROR(__xludf.DUMMYFUNCTION("""COMPUTED_VALUE"""),45294.0)</f>
        <v>45294</v>
      </c>
      <c r="C10275" s="13">
        <f>IFERROR(__xludf.DUMMYFUNCTION("""COMPUTED_VALUE"""),0.08333333333333333)</f>
        <v>0.08333333333</v>
      </c>
      <c r="D10275" s="8">
        <f>IFERROR(__xludf.DUMMYFUNCTION("""COMPUTED_VALUE"""),0.05)</f>
        <v>0.05</v>
      </c>
      <c r="E10275" s="8" t="str">
        <f>IFERROR(__xludf.DUMMYFUNCTION("""COMPUTED_VALUE"""),"Real")</f>
        <v>Real</v>
      </c>
      <c r="G10275" s="8">
        <f t="shared" si="1"/>
        <v>1</v>
      </c>
      <c r="H10275" s="14">
        <f t="shared" si="2"/>
        <v>3</v>
      </c>
      <c r="I10275" s="15">
        <f t="shared" si="3"/>
        <v>2</v>
      </c>
    </row>
    <row r="10276">
      <c r="A10276" s="8" t="str">
        <f>IFERROR(__xludf.DUMMYFUNCTION("IF('(INGESTA)Datos_consumo_datadis'!A10276&lt;&gt;"""",SPLIT('(INGESTA)Datos_consumo_datadis'!A:A,"",""),"""")"),"ES0031408323131005HX0F")</f>
        <v>ES0031408323131005HX0F</v>
      </c>
      <c r="B10276" s="12">
        <f>IFERROR(__xludf.DUMMYFUNCTION("""COMPUTED_VALUE"""),45294.0)</f>
        <v>45294</v>
      </c>
      <c r="C10276" s="13">
        <f>IFERROR(__xludf.DUMMYFUNCTION("""COMPUTED_VALUE"""),0.125)</f>
        <v>0.125</v>
      </c>
      <c r="D10276" s="8">
        <f>IFERROR(__xludf.DUMMYFUNCTION("""COMPUTED_VALUE"""),0.036)</f>
        <v>0.036</v>
      </c>
      <c r="E10276" s="8" t="str">
        <f>IFERROR(__xludf.DUMMYFUNCTION("""COMPUTED_VALUE"""),"Real")</f>
        <v>Real</v>
      </c>
      <c r="G10276" s="8">
        <f t="shared" si="1"/>
        <v>1</v>
      </c>
      <c r="H10276" s="14">
        <f t="shared" si="2"/>
        <v>3</v>
      </c>
      <c r="I10276" s="15">
        <f t="shared" si="3"/>
        <v>3</v>
      </c>
    </row>
    <row r="10277">
      <c r="A10277" s="8" t="str">
        <f>IFERROR(__xludf.DUMMYFUNCTION("IF('(INGESTA)Datos_consumo_datadis'!A10277&lt;&gt;"""",SPLIT('(INGESTA)Datos_consumo_datadis'!A:A,"",""),"""")"),"ES0031408323131005HX0F")</f>
        <v>ES0031408323131005HX0F</v>
      </c>
      <c r="B10277" s="12">
        <f>IFERROR(__xludf.DUMMYFUNCTION("""COMPUTED_VALUE"""),45294.0)</f>
        <v>45294</v>
      </c>
      <c r="C10277" s="13">
        <f>IFERROR(__xludf.DUMMYFUNCTION("""COMPUTED_VALUE"""),0.16666666666666666)</f>
        <v>0.1666666667</v>
      </c>
      <c r="D10277" s="8">
        <f>IFERROR(__xludf.DUMMYFUNCTION("""COMPUTED_VALUE"""),0.254)</f>
        <v>0.254</v>
      </c>
      <c r="E10277" s="8" t="str">
        <f>IFERROR(__xludf.DUMMYFUNCTION("""COMPUTED_VALUE"""),"Real")</f>
        <v>Real</v>
      </c>
      <c r="G10277" s="8">
        <f t="shared" si="1"/>
        <v>1</v>
      </c>
      <c r="H10277" s="14">
        <f t="shared" si="2"/>
        <v>3</v>
      </c>
      <c r="I10277" s="15">
        <f t="shared" si="3"/>
        <v>4</v>
      </c>
    </row>
    <row r="10278">
      <c r="A10278" s="8" t="str">
        <f>IFERROR(__xludf.DUMMYFUNCTION("IF('(INGESTA)Datos_consumo_datadis'!A10278&lt;&gt;"""",SPLIT('(INGESTA)Datos_consumo_datadis'!A:A,"",""),"""")"),"ES0031408323131005HX0F")</f>
        <v>ES0031408323131005HX0F</v>
      </c>
      <c r="B10278" s="12">
        <f>IFERROR(__xludf.DUMMYFUNCTION("""COMPUTED_VALUE"""),45294.0)</f>
        <v>45294</v>
      </c>
      <c r="C10278" s="13">
        <f>IFERROR(__xludf.DUMMYFUNCTION("""COMPUTED_VALUE"""),0.20833333333333334)</f>
        <v>0.2083333333</v>
      </c>
      <c r="D10278" s="8">
        <f>IFERROR(__xludf.DUMMYFUNCTION("""COMPUTED_VALUE"""),0.137)</f>
        <v>0.137</v>
      </c>
      <c r="E10278" s="8" t="str">
        <f>IFERROR(__xludf.DUMMYFUNCTION("""COMPUTED_VALUE"""),"Real")</f>
        <v>Real</v>
      </c>
      <c r="G10278" s="8">
        <f t="shared" si="1"/>
        <v>1</v>
      </c>
      <c r="H10278" s="14">
        <f t="shared" si="2"/>
        <v>3</v>
      </c>
      <c r="I10278" s="15">
        <f t="shared" si="3"/>
        <v>5</v>
      </c>
    </row>
    <row r="10279">
      <c r="A10279" s="8" t="str">
        <f>IFERROR(__xludf.DUMMYFUNCTION("IF('(INGESTA)Datos_consumo_datadis'!A10279&lt;&gt;"""",SPLIT('(INGESTA)Datos_consumo_datadis'!A:A,"",""),"""")"),"ES0031408323131005HX0F")</f>
        <v>ES0031408323131005HX0F</v>
      </c>
      <c r="B10279" s="12">
        <f>IFERROR(__xludf.DUMMYFUNCTION("""COMPUTED_VALUE"""),45294.0)</f>
        <v>45294</v>
      </c>
      <c r="C10279" s="13">
        <f>IFERROR(__xludf.DUMMYFUNCTION("""COMPUTED_VALUE"""),0.25)</f>
        <v>0.25</v>
      </c>
      <c r="D10279" s="8">
        <f>IFERROR(__xludf.DUMMYFUNCTION("""COMPUTED_VALUE"""),0.038)</f>
        <v>0.038</v>
      </c>
      <c r="E10279" s="8" t="str">
        <f>IFERROR(__xludf.DUMMYFUNCTION("""COMPUTED_VALUE"""),"Real")</f>
        <v>Real</v>
      </c>
      <c r="G10279" s="8">
        <f t="shared" si="1"/>
        <v>1</v>
      </c>
      <c r="H10279" s="14">
        <f t="shared" si="2"/>
        <v>3</v>
      </c>
      <c r="I10279" s="15">
        <f t="shared" si="3"/>
        <v>6</v>
      </c>
    </row>
    <row r="10280">
      <c r="A10280" s="8" t="str">
        <f>IFERROR(__xludf.DUMMYFUNCTION("IF('(INGESTA)Datos_consumo_datadis'!A10280&lt;&gt;"""",SPLIT('(INGESTA)Datos_consumo_datadis'!A:A,"",""),"""")"),"ES0031408323131005HX0F")</f>
        <v>ES0031408323131005HX0F</v>
      </c>
      <c r="B10280" s="12">
        <f>IFERROR(__xludf.DUMMYFUNCTION("""COMPUTED_VALUE"""),45294.0)</f>
        <v>45294</v>
      </c>
      <c r="C10280" s="13">
        <f>IFERROR(__xludf.DUMMYFUNCTION("""COMPUTED_VALUE"""),0.2916666666666667)</f>
        <v>0.2916666667</v>
      </c>
      <c r="D10280" s="8">
        <f>IFERROR(__xludf.DUMMYFUNCTION("""COMPUTED_VALUE"""),0.038)</f>
        <v>0.038</v>
      </c>
      <c r="E10280" s="8" t="str">
        <f>IFERROR(__xludf.DUMMYFUNCTION("""COMPUTED_VALUE"""),"Real")</f>
        <v>Real</v>
      </c>
      <c r="G10280" s="8">
        <f t="shared" si="1"/>
        <v>1</v>
      </c>
      <c r="H10280" s="14">
        <f t="shared" si="2"/>
        <v>3</v>
      </c>
      <c r="I10280" s="15">
        <f t="shared" si="3"/>
        <v>7</v>
      </c>
    </row>
    <row r="10281">
      <c r="A10281" s="8" t="str">
        <f>IFERROR(__xludf.DUMMYFUNCTION("IF('(INGESTA)Datos_consumo_datadis'!A10281&lt;&gt;"""",SPLIT('(INGESTA)Datos_consumo_datadis'!A:A,"",""),"""")"),"ES0031408323131005HX0F")</f>
        <v>ES0031408323131005HX0F</v>
      </c>
      <c r="B10281" s="12">
        <f>IFERROR(__xludf.DUMMYFUNCTION("""COMPUTED_VALUE"""),45294.0)</f>
        <v>45294</v>
      </c>
      <c r="C10281" s="13">
        <f>IFERROR(__xludf.DUMMYFUNCTION("""COMPUTED_VALUE"""),0.3333333333333333)</f>
        <v>0.3333333333</v>
      </c>
      <c r="D10281" s="8">
        <f>IFERROR(__xludf.DUMMYFUNCTION("""COMPUTED_VALUE"""),0.015)</f>
        <v>0.015</v>
      </c>
      <c r="E10281" s="8" t="str">
        <f>IFERROR(__xludf.DUMMYFUNCTION("""COMPUTED_VALUE"""),"Real")</f>
        <v>Real</v>
      </c>
      <c r="G10281" s="8">
        <f t="shared" si="1"/>
        <v>1</v>
      </c>
      <c r="H10281" s="14">
        <f t="shared" si="2"/>
        <v>3</v>
      </c>
      <c r="I10281" s="15">
        <f t="shared" si="3"/>
        <v>8</v>
      </c>
    </row>
    <row r="10282">
      <c r="A10282" s="8" t="str">
        <f>IFERROR(__xludf.DUMMYFUNCTION("IF('(INGESTA)Datos_consumo_datadis'!A10282&lt;&gt;"""",SPLIT('(INGESTA)Datos_consumo_datadis'!A:A,"",""),"""")"),"ES0031408323131005HX0F")</f>
        <v>ES0031408323131005HX0F</v>
      </c>
      <c r="B10282" s="12">
        <f>IFERROR(__xludf.DUMMYFUNCTION("""COMPUTED_VALUE"""),45294.0)</f>
        <v>45294</v>
      </c>
      <c r="C10282" s="13">
        <f>IFERROR(__xludf.DUMMYFUNCTION("""COMPUTED_VALUE"""),0.375)</f>
        <v>0.375</v>
      </c>
      <c r="D10282" s="8">
        <f>IFERROR(__xludf.DUMMYFUNCTION("""COMPUTED_VALUE"""),0.056)</f>
        <v>0.056</v>
      </c>
      <c r="E10282" s="8" t="str">
        <f>IFERROR(__xludf.DUMMYFUNCTION("""COMPUTED_VALUE"""),"Real")</f>
        <v>Real</v>
      </c>
      <c r="G10282" s="8">
        <f t="shared" si="1"/>
        <v>1</v>
      </c>
      <c r="H10282" s="14">
        <f t="shared" si="2"/>
        <v>3</v>
      </c>
      <c r="I10282" s="15">
        <f t="shared" si="3"/>
        <v>9</v>
      </c>
    </row>
    <row r="10283">
      <c r="A10283" s="8" t="str">
        <f>IFERROR(__xludf.DUMMYFUNCTION("IF('(INGESTA)Datos_consumo_datadis'!A10283&lt;&gt;"""",SPLIT('(INGESTA)Datos_consumo_datadis'!A:A,"",""),"""")"),"ES0031408323131005HX0F")</f>
        <v>ES0031408323131005HX0F</v>
      </c>
      <c r="B10283" s="12">
        <f>IFERROR(__xludf.DUMMYFUNCTION("""COMPUTED_VALUE"""),45294.0)</f>
        <v>45294</v>
      </c>
      <c r="C10283" s="13">
        <f>IFERROR(__xludf.DUMMYFUNCTION("""COMPUTED_VALUE"""),0.4166666666666667)</f>
        <v>0.4166666667</v>
      </c>
      <c r="D10283" s="8">
        <f>IFERROR(__xludf.DUMMYFUNCTION("""COMPUTED_VALUE"""),0.34)</f>
        <v>0.34</v>
      </c>
      <c r="E10283" s="8" t="str">
        <f>IFERROR(__xludf.DUMMYFUNCTION("""COMPUTED_VALUE"""),"Real")</f>
        <v>Real</v>
      </c>
      <c r="G10283" s="8">
        <f t="shared" si="1"/>
        <v>1</v>
      </c>
      <c r="H10283" s="14">
        <f t="shared" si="2"/>
        <v>3</v>
      </c>
      <c r="I10283" s="15">
        <f t="shared" si="3"/>
        <v>10</v>
      </c>
    </row>
    <row r="10284">
      <c r="A10284" s="8" t="str">
        <f>IFERROR(__xludf.DUMMYFUNCTION("IF('(INGESTA)Datos_consumo_datadis'!A10284&lt;&gt;"""",SPLIT('(INGESTA)Datos_consumo_datadis'!A:A,"",""),"""")"),"ES0031408323131005HX0F")</f>
        <v>ES0031408323131005HX0F</v>
      </c>
      <c r="B10284" s="12">
        <f>IFERROR(__xludf.DUMMYFUNCTION("""COMPUTED_VALUE"""),45294.0)</f>
        <v>45294</v>
      </c>
      <c r="C10284" s="13">
        <f>IFERROR(__xludf.DUMMYFUNCTION("""COMPUTED_VALUE"""),0.4583333333333333)</f>
        <v>0.4583333333</v>
      </c>
      <c r="D10284" s="8">
        <f>IFERROR(__xludf.DUMMYFUNCTION("""COMPUTED_VALUE"""),0.038)</f>
        <v>0.038</v>
      </c>
      <c r="E10284" s="8" t="str">
        <f>IFERROR(__xludf.DUMMYFUNCTION("""COMPUTED_VALUE"""),"Real")</f>
        <v>Real</v>
      </c>
      <c r="G10284" s="8">
        <f t="shared" si="1"/>
        <v>1</v>
      </c>
      <c r="H10284" s="14">
        <f t="shared" si="2"/>
        <v>3</v>
      </c>
      <c r="I10284" s="15">
        <f t="shared" si="3"/>
        <v>11</v>
      </c>
    </row>
    <row r="10285">
      <c r="A10285" s="8" t="str">
        <f>IFERROR(__xludf.DUMMYFUNCTION("IF('(INGESTA)Datos_consumo_datadis'!A10285&lt;&gt;"""",SPLIT('(INGESTA)Datos_consumo_datadis'!A:A,"",""),"""")"),"ES0031408323131005HX0F")</f>
        <v>ES0031408323131005HX0F</v>
      </c>
      <c r="B10285" s="12">
        <f>IFERROR(__xludf.DUMMYFUNCTION("""COMPUTED_VALUE"""),45294.0)</f>
        <v>45294</v>
      </c>
      <c r="C10285" s="13">
        <f>IFERROR(__xludf.DUMMYFUNCTION("""COMPUTED_VALUE"""),0.5)</f>
        <v>0.5</v>
      </c>
      <c r="D10285" s="8">
        <f>IFERROR(__xludf.DUMMYFUNCTION("""COMPUTED_VALUE"""),0.014)</f>
        <v>0.014</v>
      </c>
      <c r="E10285" s="8" t="str">
        <f>IFERROR(__xludf.DUMMYFUNCTION("""COMPUTED_VALUE"""),"Real")</f>
        <v>Real</v>
      </c>
      <c r="G10285" s="8">
        <f t="shared" si="1"/>
        <v>1</v>
      </c>
      <c r="H10285" s="14">
        <f t="shared" si="2"/>
        <v>3</v>
      </c>
      <c r="I10285" s="15">
        <f t="shared" si="3"/>
        <v>12</v>
      </c>
    </row>
    <row r="10286">
      <c r="A10286" s="8" t="str">
        <f>IFERROR(__xludf.DUMMYFUNCTION("IF('(INGESTA)Datos_consumo_datadis'!A10286&lt;&gt;"""",SPLIT('(INGESTA)Datos_consumo_datadis'!A:A,"",""),"""")"),"ES0031408323131005HX0F")</f>
        <v>ES0031408323131005HX0F</v>
      </c>
      <c r="B10286" s="12">
        <f>IFERROR(__xludf.DUMMYFUNCTION("""COMPUTED_VALUE"""),45294.0)</f>
        <v>45294</v>
      </c>
      <c r="C10286" s="13">
        <f>IFERROR(__xludf.DUMMYFUNCTION("""COMPUTED_VALUE"""),0.5416666666666666)</f>
        <v>0.5416666667</v>
      </c>
      <c r="D10286" s="8">
        <f>IFERROR(__xludf.DUMMYFUNCTION("""COMPUTED_VALUE"""),0.024)</f>
        <v>0.024</v>
      </c>
      <c r="E10286" s="8" t="str">
        <f>IFERROR(__xludf.DUMMYFUNCTION("""COMPUTED_VALUE"""),"Real")</f>
        <v>Real</v>
      </c>
      <c r="G10286" s="8">
        <f t="shared" si="1"/>
        <v>1</v>
      </c>
      <c r="H10286" s="14">
        <f t="shared" si="2"/>
        <v>3</v>
      </c>
      <c r="I10286" s="15">
        <f t="shared" si="3"/>
        <v>13</v>
      </c>
    </row>
    <row r="10287">
      <c r="A10287" s="8" t="str">
        <f>IFERROR(__xludf.DUMMYFUNCTION("IF('(INGESTA)Datos_consumo_datadis'!A10287&lt;&gt;"""",SPLIT('(INGESTA)Datos_consumo_datadis'!A:A,"",""),"""")"),"ES0031408323131005HX0F")</f>
        <v>ES0031408323131005HX0F</v>
      </c>
      <c r="B10287" s="12">
        <f>IFERROR(__xludf.DUMMYFUNCTION("""COMPUTED_VALUE"""),45294.0)</f>
        <v>45294</v>
      </c>
      <c r="C10287" s="13">
        <f>IFERROR(__xludf.DUMMYFUNCTION("""COMPUTED_VALUE"""),0.5833333333333334)</f>
        <v>0.5833333333</v>
      </c>
      <c r="D10287" s="8">
        <f>IFERROR(__xludf.DUMMYFUNCTION("""COMPUTED_VALUE"""),0.077)</f>
        <v>0.077</v>
      </c>
      <c r="E10287" s="8" t="str">
        <f>IFERROR(__xludf.DUMMYFUNCTION("""COMPUTED_VALUE"""),"Real")</f>
        <v>Real</v>
      </c>
      <c r="G10287" s="8">
        <f t="shared" si="1"/>
        <v>1</v>
      </c>
      <c r="H10287" s="14">
        <f t="shared" si="2"/>
        <v>3</v>
      </c>
      <c r="I10287" s="15">
        <f t="shared" si="3"/>
        <v>14</v>
      </c>
    </row>
    <row r="10288">
      <c r="A10288" s="8" t="str">
        <f>IFERROR(__xludf.DUMMYFUNCTION("IF('(INGESTA)Datos_consumo_datadis'!A10288&lt;&gt;"""",SPLIT('(INGESTA)Datos_consumo_datadis'!A:A,"",""),"""")"),"ES0031408323131005HX0F")</f>
        <v>ES0031408323131005HX0F</v>
      </c>
      <c r="B10288" s="12">
        <f>IFERROR(__xludf.DUMMYFUNCTION("""COMPUTED_VALUE"""),45294.0)</f>
        <v>45294</v>
      </c>
      <c r="C10288" s="13">
        <f>IFERROR(__xludf.DUMMYFUNCTION("""COMPUTED_VALUE"""),0.625)</f>
        <v>0.625</v>
      </c>
      <c r="D10288" s="8">
        <f>IFERROR(__xludf.DUMMYFUNCTION("""COMPUTED_VALUE"""),0.32)</f>
        <v>0.32</v>
      </c>
      <c r="E10288" s="8" t="str">
        <f>IFERROR(__xludf.DUMMYFUNCTION("""COMPUTED_VALUE"""),"Real")</f>
        <v>Real</v>
      </c>
      <c r="G10288" s="8">
        <f t="shared" si="1"/>
        <v>1</v>
      </c>
      <c r="H10288" s="14">
        <f t="shared" si="2"/>
        <v>3</v>
      </c>
      <c r="I10288" s="15">
        <f t="shared" si="3"/>
        <v>15</v>
      </c>
    </row>
    <row r="10289">
      <c r="A10289" s="8" t="str">
        <f>IFERROR(__xludf.DUMMYFUNCTION("IF('(INGESTA)Datos_consumo_datadis'!A10289&lt;&gt;"""",SPLIT('(INGESTA)Datos_consumo_datadis'!A:A,"",""),"""")"),"ES0031408323131005HX0F")</f>
        <v>ES0031408323131005HX0F</v>
      </c>
      <c r="B10289" s="12">
        <f>IFERROR(__xludf.DUMMYFUNCTION("""COMPUTED_VALUE"""),45294.0)</f>
        <v>45294</v>
      </c>
      <c r="C10289" s="13">
        <f>IFERROR(__xludf.DUMMYFUNCTION("""COMPUTED_VALUE"""),0.6666666666666666)</f>
        <v>0.6666666667</v>
      </c>
      <c r="D10289" s="8">
        <f>IFERROR(__xludf.DUMMYFUNCTION("""COMPUTED_VALUE"""),0.015)</f>
        <v>0.015</v>
      </c>
      <c r="E10289" s="8" t="str">
        <f>IFERROR(__xludf.DUMMYFUNCTION("""COMPUTED_VALUE"""),"Real")</f>
        <v>Real</v>
      </c>
      <c r="G10289" s="8">
        <f t="shared" si="1"/>
        <v>1</v>
      </c>
      <c r="H10289" s="14">
        <f t="shared" si="2"/>
        <v>3</v>
      </c>
      <c r="I10289" s="15">
        <f t="shared" si="3"/>
        <v>16</v>
      </c>
    </row>
    <row r="10290">
      <c r="A10290" s="8" t="str">
        <f>IFERROR(__xludf.DUMMYFUNCTION("IF('(INGESTA)Datos_consumo_datadis'!A10290&lt;&gt;"""",SPLIT('(INGESTA)Datos_consumo_datadis'!A:A,"",""),"""")"),"ES0031408323131005HX0F")</f>
        <v>ES0031408323131005HX0F</v>
      </c>
      <c r="B10290" s="12">
        <f>IFERROR(__xludf.DUMMYFUNCTION("""COMPUTED_VALUE"""),45294.0)</f>
        <v>45294</v>
      </c>
      <c r="C10290" s="13">
        <f>IFERROR(__xludf.DUMMYFUNCTION("""COMPUTED_VALUE"""),0.7083333333333334)</f>
        <v>0.7083333333</v>
      </c>
      <c r="D10290" s="8">
        <f>IFERROR(__xludf.DUMMYFUNCTION("""COMPUTED_VALUE"""),0.015)</f>
        <v>0.015</v>
      </c>
      <c r="E10290" s="8" t="str">
        <f>IFERROR(__xludf.DUMMYFUNCTION("""COMPUTED_VALUE"""),"Real")</f>
        <v>Real</v>
      </c>
      <c r="G10290" s="8">
        <f t="shared" si="1"/>
        <v>1</v>
      </c>
      <c r="H10290" s="14">
        <f t="shared" si="2"/>
        <v>3</v>
      </c>
      <c r="I10290" s="15">
        <f t="shared" si="3"/>
        <v>17</v>
      </c>
    </row>
    <row r="10291">
      <c r="A10291" s="8" t="str">
        <f>IFERROR(__xludf.DUMMYFUNCTION("IF('(INGESTA)Datos_consumo_datadis'!A10291&lt;&gt;"""",SPLIT('(INGESTA)Datos_consumo_datadis'!A:A,"",""),"""")"),"ES0031408323131005HX0F")</f>
        <v>ES0031408323131005HX0F</v>
      </c>
      <c r="B10291" s="12">
        <f>IFERROR(__xludf.DUMMYFUNCTION("""COMPUTED_VALUE"""),45294.0)</f>
        <v>45294</v>
      </c>
      <c r="C10291" s="13">
        <f>IFERROR(__xludf.DUMMYFUNCTION("""COMPUTED_VALUE"""),0.75)</f>
        <v>0.75</v>
      </c>
      <c r="D10291" s="8">
        <f>IFERROR(__xludf.DUMMYFUNCTION("""COMPUTED_VALUE"""),0.083)</f>
        <v>0.083</v>
      </c>
      <c r="E10291" s="8" t="str">
        <f>IFERROR(__xludf.DUMMYFUNCTION("""COMPUTED_VALUE"""),"Real")</f>
        <v>Real</v>
      </c>
      <c r="G10291" s="8">
        <f t="shared" si="1"/>
        <v>1</v>
      </c>
      <c r="H10291" s="14">
        <f t="shared" si="2"/>
        <v>3</v>
      </c>
      <c r="I10291" s="15">
        <f t="shared" si="3"/>
        <v>18</v>
      </c>
    </row>
    <row r="10292">
      <c r="A10292" s="8" t="str">
        <f>IFERROR(__xludf.DUMMYFUNCTION("IF('(INGESTA)Datos_consumo_datadis'!A10292&lt;&gt;"""",SPLIT('(INGESTA)Datos_consumo_datadis'!A:A,"",""),"""")"),"ES0031408323131005HX0F")</f>
        <v>ES0031408323131005HX0F</v>
      </c>
      <c r="B10292" s="12">
        <f>IFERROR(__xludf.DUMMYFUNCTION("""COMPUTED_VALUE"""),45294.0)</f>
        <v>45294</v>
      </c>
      <c r="C10292" s="13">
        <f>IFERROR(__xludf.DUMMYFUNCTION("""COMPUTED_VALUE"""),0.7916666666666666)</f>
        <v>0.7916666667</v>
      </c>
      <c r="D10292" s="8">
        <f>IFERROR(__xludf.DUMMYFUNCTION("""COMPUTED_VALUE"""),0.039)</f>
        <v>0.039</v>
      </c>
      <c r="E10292" s="8" t="str">
        <f>IFERROR(__xludf.DUMMYFUNCTION("""COMPUTED_VALUE"""),"Real")</f>
        <v>Real</v>
      </c>
      <c r="G10292" s="8">
        <f t="shared" si="1"/>
        <v>1</v>
      </c>
      <c r="H10292" s="14">
        <f t="shared" si="2"/>
        <v>3</v>
      </c>
      <c r="I10292" s="15">
        <f t="shared" si="3"/>
        <v>19</v>
      </c>
    </row>
    <row r="10293">
      <c r="A10293" s="8" t="str">
        <f>IFERROR(__xludf.DUMMYFUNCTION("IF('(INGESTA)Datos_consumo_datadis'!A10293&lt;&gt;"""",SPLIT('(INGESTA)Datos_consumo_datadis'!A:A,"",""),"""")"),"ES0031408323131005HX0F")</f>
        <v>ES0031408323131005HX0F</v>
      </c>
      <c r="B10293" s="12">
        <f>IFERROR(__xludf.DUMMYFUNCTION("""COMPUTED_VALUE"""),45294.0)</f>
        <v>45294</v>
      </c>
      <c r="C10293" s="13">
        <f>IFERROR(__xludf.DUMMYFUNCTION("""COMPUTED_VALUE"""),0.8333333333333334)</f>
        <v>0.8333333333</v>
      </c>
      <c r="D10293" s="8">
        <f>IFERROR(__xludf.DUMMYFUNCTION("""COMPUTED_VALUE"""),0.306)</f>
        <v>0.306</v>
      </c>
      <c r="E10293" s="8" t="str">
        <f>IFERROR(__xludf.DUMMYFUNCTION("""COMPUTED_VALUE"""),"Real")</f>
        <v>Real</v>
      </c>
      <c r="G10293" s="8">
        <f t="shared" si="1"/>
        <v>1</v>
      </c>
      <c r="H10293" s="14">
        <f t="shared" si="2"/>
        <v>3</v>
      </c>
      <c r="I10293" s="15">
        <f t="shared" si="3"/>
        <v>20</v>
      </c>
    </row>
    <row r="10294">
      <c r="A10294" s="8" t="str">
        <f>IFERROR(__xludf.DUMMYFUNCTION("IF('(INGESTA)Datos_consumo_datadis'!A10294&lt;&gt;"""",SPLIT('(INGESTA)Datos_consumo_datadis'!A:A,"",""),"""")"),"ES0031408323131005HX0F")</f>
        <v>ES0031408323131005HX0F</v>
      </c>
      <c r="B10294" s="12">
        <f>IFERROR(__xludf.DUMMYFUNCTION("""COMPUTED_VALUE"""),45294.0)</f>
        <v>45294</v>
      </c>
      <c r="C10294" s="13">
        <f>IFERROR(__xludf.DUMMYFUNCTION("""COMPUTED_VALUE"""),0.875)</f>
        <v>0.875</v>
      </c>
      <c r="D10294" s="8">
        <f>IFERROR(__xludf.DUMMYFUNCTION("""COMPUTED_VALUE"""),0.015)</f>
        <v>0.015</v>
      </c>
      <c r="E10294" s="8" t="str">
        <f>IFERROR(__xludf.DUMMYFUNCTION("""COMPUTED_VALUE"""),"Real")</f>
        <v>Real</v>
      </c>
      <c r="G10294" s="8">
        <f t="shared" si="1"/>
        <v>1</v>
      </c>
      <c r="H10294" s="14">
        <f t="shared" si="2"/>
        <v>3</v>
      </c>
      <c r="I10294" s="15">
        <f t="shared" si="3"/>
        <v>21</v>
      </c>
    </row>
    <row r="10295">
      <c r="A10295" s="8" t="str">
        <f>IFERROR(__xludf.DUMMYFUNCTION("IF('(INGESTA)Datos_consumo_datadis'!A10295&lt;&gt;"""",SPLIT('(INGESTA)Datos_consumo_datadis'!A:A,"",""),"""")"),"ES0031408323131005HX0F")</f>
        <v>ES0031408323131005HX0F</v>
      </c>
      <c r="B10295" s="12">
        <f>IFERROR(__xludf.DUMMYFUNCTION("""COMPUTED_VALUE"""),45294.0)</f>
        <v>45294</v>
      </c>
      <c r="C10295" s="13">
        <f>IFERROR(__xludf.DUMMYFUNCTION("""COMPUTED_VALUE"""),0.9166666666666666)</f>
        <v>0.9166666667</v>
      </c>
      <c r="D10295" s="8">
        <f>IFERROR(__xludf.DUMMYFUNCTION("""COMPUTED_VALUE"""),0.054)</f>
        <v>0.054</v>
      </c>
      <c r="E10295" s="8" t="str">
        <f>IFERROR(__xludf.DUMMYFUNCTION("""COMPUTED_VALUE"""),"Real")</f>
        <v>Real</v>
      </c>
      <c r="G10295" s="8">
        <f t="shared" si="1"/>
        <v>1</v>
      </c>
      <c r="H10295" s="14">
        <f t="shared" si="2"/>
        <v>3</v>
      </c>
      <c r="I10295" s="15">
        <f t="shared" si="3"/>
        <v>22</v>
      </c>
    </row>
    <row r="10296">
      <c r="A10296" s="8" t="str">
        <f>IFERROR(__xludf.DUMMYFUNCTION("IF('(INGESTA)Datos_consumo_datadis'!A10296&lt;&gt;"""",SPLIT('(INGESTA)Datos_consumo_datadis'!A:A,"",""),"""")"),"ES0031408323131005HX0F")</f>
        <v>ES0031408323131005HX0F</v>
      </c>
      <c r="B10296" s="12">
        <f>IFERROR(__xludf.DUMMYFUNCTION("""COMPUTED_VALUE"""),45294.0)</f>
        <v>45294</v>
      </c>
      <c r="C10296" s="13">
        <f>IFERROR(__xludf.DUMMYFUNCTION("""COMPUTED_VALUE"""),0.9583333333333334)</f>
        <v>0.9583333333</v>
      </c>
      <c r="D10296" s="8">
        <f>IFERROR(__xludf.DUMMYFUNCTION("""COMPUTED_VALUE"""),0.07)</f>
        <v>0.07</v>
      </c>
      <c r="E10296" s="8" t="str">
        <f>IFERROR(__xludf.DUMMYFUNCTION("""COMPUTED_VALUE"""),"Real")</f>
        <v>Real</v>
      </c>
      <c r="G10296" s="8">
        <f t="shared" si="1"/>
        <v>1</v>
      </c>
      <c r="H10296" s="14">
        <f t="shared" si="2"/>
        <v>3</v>
      </c>
      <c r="I10296" s="15">
        <f t="shared" si="3"/>
        <v>23</v>
      </c>
    </row>
    <row r="10297">
      <c r="A10297" s="8" t="str">
        <f>IFERROR(__xludf.DUMMYFUNCTION("IF('(INGESTA)Datos_consumo_datadis'!A10297&lt;&gt;"""",SPLIT('(INGESTA)Datos_consumo_datadis'!A:A,"",""),"""")"),"ES0031408323131005HX0F")</f>
        <v>ES0031408323131005HX0F</v>
      </c>
      <c r="B10297" s="12">
        <f>IFERROR(__xludf.DUMMYFUNCTION("""COMPUTED_VALUE"""),45294.0)</f>
        <v>45294</v>
      </c>
      <c r="C10297" s="16">
        <f>IFERROR(__xludf.DUMMYFUNCTION("""COMPUTED_VALUE"""),1.0)</f>
        <v>1</v>
      </c>
      <c r="D10297" s="8">
        <f>IFERROR(__xludf.DUMMYFUNCTION("""COMPUTED_VALUE"""),0.038)</f>
        <v>0.038</v>
      </c>
      <c r="E10297" s="8" t="str">
        <f>IFERROR(__xludf.DUMMYFUNCTION("""COMPUTED_VALUE"""),"Real")</f>
        <v>Real</v>
      </c>
      <c r="G10297" s="8">
        <f t="shared" si="1"/>
        <v>1</v>
      </c>
      <c r="H10297" s="14">
        <f t="shared" si="2"/>
        <v>3</v>
      </c>
      <c r="I10297" s="15">
        <f t="shared" si="3"/>
        <v>0</v>
      </c>
    </row>
    <row r="10298">
      <c r="A10298" s="8" t="str">
        <f>IFERROR(__xludf.DUMMYFUNCTION("IF('(INGESTA)Datos_consumo_datadis'!A10298&lt;&gt;"""",SPLIT('(INGESTA)Datos_consumo_datadis'!A:A,"",""),"""")"),"ES0031408323131005HX0F")</f>
        <v>ES0031408323131005HX0F</v>
      </c>
      <c r="B10298" s="12">
        <f>IFERROR(__xludf.DUMMYFUNCTION("""COMPUTED_VALUE"""),45295.0)</f>
        <v>45295</v>
      </c>
      <c r="C10298" s="13">
        <f>IFERROR(__xludf.DUMMYFUNCTION("""COMPUTED_VALUE"""),0.041666666666666664)</f>
        <v>0.04166666667</v>
      </c>
      <c r="D10298" s="8">
        <f>IFERROR(__xludf.DUMMYFUNCTION("""COMPUTED_VALUE"""),0.282)</f>
        <v>0.282</v>
      </c>
      <c r="E10298" s="8" t="str">
        <f>IFERROR(__xludf.DUMMYFUNCTION("""COMPUTED_VALUE"""),"Real")</f>
        <v>Real</v>
      </c>
      <c r="G10298" s="8">
        <f t="shared" si="1"/>
        <v>1</v>
      </c>
      <c r="H10298" s="14">
        <f t="shared" si="2"/>
        <v>4</v>
      </c>
      <c r="I10298" s="15">
        <f t="shared" si="3"/>
        <v>1</v>
      </c>
    </row>
    <row r="10299">
      <c r="A10299" s="8" t="str">
        <f>IFERROR(__xludf.DUMMYFUNCTION("IF('(INGESTA)Datos_consumo_datadis'!A10299&lt;&gt;"""",SPLIT('(INGESTA)Datos_consumo_datadis'!A:A,"",""),"""")"),"ES0031408323131005HX0F")</f>
        <v>ES0031408323131005HX0F</v>
      </c>
      <c r="B10299" s="12">
        <f>IFERROR(__xludf.DUMMYFUNCTION("""COMPUTED_VALUE"""),45295.0)</f>
        <v>45295</v>
      </c>
      <c r="C10299" s="13">
        <f>IFERROR(__xludf.DUMMYFUNCTION("""COMPUTED_VALUE"""),0.08333333333333333)</f>
        <v>0.08333333333</v>
      </c>
      <c r="D10299" s="8">
        <f>IFERROR(__xludf.DUMMYFUNCTION("""COMPUTED_VALUE"""),0.02)</f>
        <v>0.02</v>
      </c>
      <c r="E10299" s="8" t="str">
        <f>IFERROR(__xludf.DUMMYFUNCTION("""COMPUTED_VALUE"""),"Real")</f>
        <v>Real</v>
      </c>
      <c r="G10299" s="8">
        <f t="shared" si="1"/>
        <v>1</v>
      </c>
      <c r="H10299" s="14">
        <f t="shared" si="2"/>
        <v>4</v>
      </c>
      <c r="I10299" s="15">
        <f t="shared" si="3"/>
        <v>2</v>
      </c>
    </row>
    <row r="10300">
      <c r="A10300" s="8" t="str">
        <f>IFERROR(__xludf.DUMMYFUNCTION("IF('(INGESTA)Datos_consumo_datadis'!A10300&lt;&gt;"""",SPLIT('(INGESTA)Datos_consumo_datadis'!A:A,"",""),"""")"),"ES0031408323131005HX0F")</f>
        <v>ES0031408323131005HX0F</v>
      </c>
      <c r="B10300" s="12">
        <f>IFERROR(__xludf.DUMMYFUNCTION("""COMPUTED_VALUE"""),45295.0)</f>
        <v>45295</v>
      </c>
      <c r="C10300" s="13">
        <f>IFERROR(__xludf.DUMMYFUNCTION("""COMPUTED_VALUE"""),0.125)</f>
        <v>0.125</v>
      </c>
      <c r="D10300" s="8">
        <f>IFERROR(__xludf.DUMMYFUNCTION("""COMPUTED_VALUE"""),0.103)</f>
        <v>0.103</v>
      </c>
      <c r="E10300" s="8" t="str">
        <f>IFERROR(__xludf.DUMMYFUNCTION("""COMPUTED_VALUE"""),"Real")</f>
        <v>Real</v>
      </c>
      <c r="G10300" s="8">
        <f t="shared" si="1"/>
        <v>1</v>
      </c>
      <c r="H10300" s="14">
        <f t="shared" si="2"/>
        <v>4</v>
      </c>
      <c r="I10300" s="15">
        <f t="shared" si="3"/>
        <v>3</v>
      </c>
    </row>
    <row r="10301">
      <c r="A10301" s="8" t="str">
        <f>IFERROR(__xludf.DUMMYFUNCTION("IF('(INGESTA)Datos_consumo_datadis'!A10301&lt;&gt;"""",SPLIT('(INGESTA)Datos_consumo_datadis'!A:A,"",""),"""")"),"ES0031408323131005HX0F")</f>
        <v>ES0031408323131005HX0F</v>
      </c>
      <c r="B10301" s="12">
        <f>IFERROR(__xludf.DUMMYFUNCTION("""COMPUTED_VALUE"""),45295.0)</f>
        <v>45295</v>
      </c>
      <c r="C10301" s="13">
        <f>IFERROR(__xludf.DUMMYFUNCTION("""COMPUTED_VALUE"""),0.16666666666666666)</f>
        <v>0.1666666667</v>
      </c>
      <c r="D10301" s="8">
        <f>IFERROR(__xludf.DUMMYFUNCTION("""COMPUTED_VALUE"""),0.07)</f>
        <v>0.07</v>
      </c>
      <c r="E10301" s="8" t="str">
        <f>IFERROR(__xludf.DUMMYFUNCTION("""COMPUTED_VALUE"""),"Real")</f>
        <v>Real</v>
      </c>
      <c r="G10301" s="8">
        <f t="shared" si="1"/>
        <v>1</v>
      </c>
      <c r="H10301" s="14">
        <f t="shared" si="2"/>
        <v>4</v>
      </c>
      <c r="I10301" s="15">
        <f t="shared" si="3"/>
        <v>4</v>
      </c>
    </row>
    <row r="10302">
      <c r="A10302" s="8" t="str">
        <f>IFERROR(__xludf.DUMMYFUNCTION("IF('(INGESTA)Datos_consumo_datadis'!A10302&lt;&gt;"""",SPLIT('(INGESTA)Datos_consumo_datadis'!A:A,"",""),"""")"),"ES0031408323131005HX0F")</f>
        <v>ES0031408323131005HX0F</v>
      </c>
      <c r="B10302" s="12">
        <f>IFERROR(__xludf.DUMMYFUNCTION("""COMPUTED_VALUE"""),45295.0)</f>
        <v>45295</v>
      </c>
      <c r="C10302" s="13">
        <f>IFERROR(__xludf.DUMMYFUNCTION("""COMPUTED_VALUE"""),0.20833333333333334)</f>
        <v>0.2083333333</v>
      </c>
      <c r="D10302" s="8">
        <f>IFERROR(__xludf.DUMMYFUNCTION("""COMPUTED_VALUE"""),0.014)</f>
        <v>0.014</v>
      </c>
      <c r="E10302" s="8" t="str">
        <f>IFERROR(__xludf.DUMMYFUNCTION("""COMPUTED_VALUE"""),"Real")</f>
        <v>Real</v>
      </c>
      <c r="G10302" s="8">
        <f t="shared" si="1"/>
        <v>1</v>
      </c>
      <c r="H10302" s="14">
        <f t="shared" si="2"/>
        <v>4</v>
      </c>
      <c r="I10302" s="15">
        <f t="shared" si="3"/>
        <v>5</v>
      </c>
    </row>
    <row r="10303">
      <c r="A10303" s="8" t="str">
        <f>IFERROR(__xludf.DUMMYFUNCTION("IF('(INGESTA)Datos_consumo_datadis'!A10303&lt;&gt;"""",SPLIT('(INGESTA)Datos_consumo_datadis'!A:A,"",""),"""")"),"ES0031408323131005HX0F")</f>
        <v>ES0031408323131005HX0F</v>
      </c>
      <c r="B10303" s="12">
        <f>IFERROR(__xludf.DUMMYFUNCTION("""COMPUTED_VALUE"""),45295.0)</f>
        <v>45295</v>
      </c>
      <c r="C10303" s="13">
        <f>IFERROR(__xludf.DUMMYFUNCTION("""COMPUTED_VALUE"""),0.25)</f>
        <v>0.25</v>
      </c>
      <c r="D10303" s="8">
        <f>IFERROR(__xludf.DUMMYFUNCTION("""COMPUTED_VALUE"""),0.24)</f>
        <v>0.24</v>
      </c>
      <c r="E10303" s="8" t="str">
        <f>IFERROR(__xludf.DUMMYFUNCTION("""COMPUTED_VALUE"""),"Real")</f>
        <v>Real</v>
      </c>
      <c r="G10303" s="8">
        <f t="shared" si="1"/>
        <v>1</v>
      </c>
      <c r="H10303" s="14">
        <f t="shared" si="2"/>
        <v>4</v>
      </c>
      <c r="I10303" s="15">
        <f t="shared" si="3"/>
        <v>6</v>
      </c>
    </row>
    <row r="10304">
      <c r="A10304" s="8" t="str">
        <f>IFERROR(__xludf.DUMMYFUNCTION("IF('(INGESTA)Datos_consumo_datadis'!A10304&lt;&gt;"""",SPLIT('(INGESTA)Datos_consumo_datadis'!A:A,"",""),"""")"),"ES0031408323131005HX0F")</f>
        <v>ES0031408323131005HX0F</v>
      </c>
      <c r="B10304" s="12">
        <f>IFERROR(__xludf.DUMMYFUNCTION("""COMPUTED_VALUE"""),45295.0)</f>
        <v>45295</v>
      </c>
      <c r="C10304" s="13">
        <f>IFERROR(__xludf.DUMMYFUNCTION("""COMPUTED_VALUE"""),0.2916666666666667)</f>
        <v>0.2916666667</v>
      </c>
      <c r="D10304" s="8">
        <f>IFERROR(__xludf.DUMMYFUNCTION("""COMPUTED_VALUE"""),0.124)</f>
        <v>0.124</v>
      </c>
      <c r="E10304" s="8" t="str">
        <f>IFERROR(__xludf.DUMMYFUNCTION("""COMPUTED_VALUE"""),"Real")</f>
        <v>Real</v>
      </c>
      <c r="G10304" s="8">
        <f t="shared" si="1"/>
        <v>1</v>
      </c>
      <c r="H10304" s="14">
        <f t="shared" si="2"/>
        <v>4</v>
      </c>
      <c r="I10304" s="15">
        <f t="shared" si="3"/>
        <v>7</v>
      </c>
    </row>
    <row r="10305">
      <c r="A10305" s="8" t="str">
        <f>IFERROR(__xludf.DUMMYFUNCTION("IF('(INGESTA)Datos_consumo_datadis'!A10305&lt;&gt;"""",SPLIT('(INGESTA)Datos_consumo_datadis'!A:A,"",""),"""")"),"ES0031408323131005HX0F")</f>
        <v>ES0031408323131005HX0F</v>
      </c>
      <c r="B10305" s="12">
        <f>IFERROR(__xludf.DUMMYFUNCTION("""COMPUTED_VALUE"""),45295.0)</f>
        <v>45295</v>
      </c>
      <c r="C10305" s="13">
        <f>IFERROR(__xludf.DUMMYFUNCTION("""COMPUTED_VALUE"""),0.3333333333333333)</f>
        <v>0.3333333333</v>
      </c>
      <c r="D10305" s="8">
        <f>IFERROR(__xludf.DUMMYFUNCTION("""COMPUTED_VALUE"""),0.039)</f>
        <v>0.039</v>
      </c>
      <c r="E10305" s="8" t="str">
        <f>IFERROR(__xludf.DUMMYFUNCTION("""COMPUTED_VALUE"""),"Real")</f>
        <v>Real</v>
      </c>
      <c r="G10305" s="8">
        <f t="shared" si="1"/>
        <v>1</v>
      </c>
      <c r="H10305" s="14">
        <f t="shared" si="2"/>
        <v>4</v>
      </c>
      <c r="I10305" s="15">
        <f t="shared" si="3"/>
        <v>8</v>
      </c>
    </row>
    <row r="10306">
      <c r="A10306" s="8" t="str">
        <f>IFERROR(__xludf.DUMMYFUNCTION("IF('(INGESTA)Datos_consumo_datadis'!A10306&lt;&gt;"""",SPLIT('(INGESTA)Datos_consumo_datadis'!A:A,"",""),"""")"),"ES0031408323131005HX0F")</f>
        <v>ES0031408323131005HX0F</v>
      </c>
      <c r="B10306" s="12">
        <f>IFERROR(__xludf.DUMMYFUNCTION("""COMPUTED_VALUE"""),45295.0)</f>
        <v>45295</v>
      </c>
      <c r="C10306" s="13">
        <f>IFERROR(__xludf.DUMMYFUNCTION("""COMPUTED_VALUE"""),0.375)</f>
        <v>0.375</v>
      </c>
      <c r="D10306" s="8">
        <f>IFERROR(__xludf.DUMMYFUNCTION("""COMPUTED_VALUE"""),0.037)</f>
        <v>0.037</v>
      </c>
      <c r="E10306" s="8" t="str">
        <f>IFERROR(__xludf.DUMMYFUNCTION("""COMPUTED_VALUE"""),"Real")</f>
        <v>Real</v>
      </c>
      <c r="G10306" s="8">
        <f t="shared" si="1"/>
        <v>1</v>
      </c>
      <c r="H10306" s="14">
        <f t="shared" si="2"/>
        <v>4</v>
      </c>
      <c r="I10306" s="15">
        <f t="shared" si="3"/>
        <v>9</v>
      </c>
    </row>
    <row r="10307">
      <c r="A10307" s="8" t="str">
        <f>IFERROR(__xludf.DUMMYFUNCTION("IF('(INGESTA)Datos_consumo_datadis'!A10307&lt;&gt;"""",SPLIT('(INGESTA)Datos_consumo_datadis'!A:A,"",""),"""")"),"ES0031408323131005HX0F")</f>
        <v>ES0031408323131005HX0F</v>
      </c>
      <c r="B10307" s="12">
        <f>IFERROR(__xludf.DUMMYFUNCTION("""COMPUTED_VALUE"""),45295.0)</f>
        <v>45295</v>
      </c>
      <c r="C10307" s="13">
        <f>IFERROR(__xludf.DUMMYFUNCTION("""COMPUTED_VALUE"""),0.4166666666666667)</f>
        <v>0.4166666667</v>
      </c>
      <c r="D10307" s="8">
        <f>IFERROR(__xludf.DUMMYFUNCTION("""COMPUTED_VALUE"""),0.015)</f>
        <v>0.015</v>
      </c>
      <c r="E10307" s="8" t="str">
        <f>IFERROR(__xludf.DUMMYFUNCTION("""COMPUTED_VALUE"""),"Real")</f>
        <v>Real</v>
      </c>
      <c r="G10307" s="8">
        <f t="shared" si="1"/>
        <v>1</v>
      </c>
      <c r="H10307" s="14">
        <f t="shared" si="2"/>
        <v>4</v>
      </c>
      <c r="I10307" s="15">
        <f t="shared" si="3"/>
        <v>10</v>
      </c>
    </row>
    <row r="10308">
      <c r="A10308" s="8" t="str">
        <f>IFERROR(__xludf.DUMMYFUNCTION("IF('(INGESTA)Datos_consumo_datadis'!A10308&lt;&gt;"""",SPLIT('(INGESTA)Datos_consumo_datadis'!A:A,"",""),"""")"),"ES0031408323131005HX0F")</f>
        <v>ES0031408323131005HX0F</v>
      </c>
      <c r="B10308" s="12">
        <f>IFERROR(__xludf.DUMMYFUNCTION("""COMPUTED_VALUE"""),45295.0)</f>
        <v>45295</v>
      </c>
      <c r="C10308" s="13">
        <f>IFERROR(__xludf.DUMMYFUNCTION("""COMPUTED_VALUE"""),0.4583333333333333)</f>
        <v>0.4583333333</v>
      </c>
      <c r="D10308" s="8">
        <f>IFERROR(__xludf.DUMMYFUNCTION("""COMPUTED_VALUE"""),0.12)</f>
        <v>0.12</v>
      </c>
      <c r="E10308" s="8" t="str">
        <f>IFERROR(__xludf.DUMMYFUNCTION("""COMPUTED_VALUE"""),"Real")</f>
        <v>Real</v>
      </c>
      <c r="G10308" s="8">
        <f t="shared" si="1"/>
        <v>1</v>
      </c>
      <c r="H10308" s="14">
        <f t="shared" si="2"/>
        <v>4</v>
      </c>
      <c r="I10308" s="15">
        <f t="shared" si="3"/>
        <v>11</v>
      </c>
    </row>
    <row r="10309">
      <c r="A10309" s="8" t="str">
        <f>IFERROR(__xludf.DUMMYFUNCTION("IF('(INGESTA)Datos_consumo_datadis'!A10309&lt;&gt;"""",SPLIT('(INGESTA)Datos_consumo_datadis'!A:A,"",""),"""")"),"ES0031408323131005HX0F")</f>
        <v>ES0031408323131005HX0F</v>
      </c>
      <c r="B10309" s="12">
        <f>IFERROR(__xludf.DUMMYFUNCTION("""COMPUTED_VALUE"""),45295.0)</f>
        <v>45295</v>
      </c>
      <c r="C10309" s="13">
        <f>IFERROR(__xludf.DUMMYFUNCTION("""COMPUTED_VALUE"""),0.5)</f>
        <v>0.5</v>
      </c>
      <c r="D10309" s="8">
        <f>IFERROR(__xludf.DUMMYFUNCTION("""COMPUTED_VALUE"""),0.269)</f>
        <v>0.269</v>
      </c>
      <c r="E10309" s="8" t="str">
        <f>IFERROR(__xludf.DUMMYFUNCTION("""COMPUTED_VALUE"""),"Real")</f>
        <v>Real</v>
      </c>
      <c r="G10309" s="8">
        <f t="shared" si="1"/>
        <v>1</v>
      </c>
      <c r="H10309" s="14">
        <f t="shared" si="2"/>
        <v>4</v>
      </c>
      <c r="I10309" s="15">
        <f t="shared" si="3"/>
        <v>12</v>
      </c>
    </row>
    <row r="10310">
      <c r="A10310" s="8" t="str">
        <f>IFERROR(__xludf.DUMMYFUNCTION("IF('(INGESTA)Datos_consumo_datadis'!A10310&lt;&gt;"""",SPLIT('(INGESTA)Datos_consumo_datadis'!A:A,"",""),"""")"),"ES0031408323131005HX0F")</f>
        <v>ES0031408323131005HX0F</v>
      </c>
      <c r="B10310" s="12">
        <f>IFERROR(__xludf.DUMMYFUNCTION("""COMPUTED_VALUE"""),45295.0)</f>
        <v>45295</v>
      </c>
      <c r="C10310" s="13">
        <f>IFERROR(__xludf.DUMMYFUNCTION("""COMPUTED_VALUE"""),0.5416666666666666)</f>
        <v>0.5416666667</v>
      </c>
      <c r="D10310" s="8">
        <f>IFERROR(__xludf.DUMMYFUNCTION("""COMPUTED_VALUE"""),0.038)</f>
        <v>0.038</v>
      </c>
      <c r="E10310" s="8" t="str">
        <f>IFERROR(__xludf.DUMMYFUNCTION("""COMPUTED_VALUE"""),"Real")</f>
        <v>Real</v>
      </c>
      <c r="G10310" s="8">
        <f t="shared" si="1"/>
        <v>1</v>
      </c>
      <c r="H10310" s="14">
        <f t="shared" si="2"/>
        <v>4</v>
      </c>
      <c r="I10310" s="15">
        <f t="shared" si="3"/>
        <v>13</v>
      </c>
    </row>
    <row r="10311">
      <c r="A10311" s="8" t="str">
        <f>IFERROR(__xludf.DUMMYFUNCTION("IF('(INGESTA)Datos_consumo_datadis'!A10311&lt;&gt;"""",SPLIT('(INGESTA)Datos_consumo_datadis'!A:A,"",""),"""")"),"ES0031408323131005HX0F")</f>
        <v>ES0031408323131005HX0F</v>
      </c>
      <c r="B10311" s="12">
        <f>IFERROR(__xludf.DUMMYFUNCTION("""COMPUTED_VALUE"""),45295.0)</f>
        <v>45295</v>
      </c>
      <c r="C10311" s="13">
        <f>IFERROR(__xludf.DUMMYFUNCTION("""COMPUTED_VALUE"""),0.5833333333333334)</f>
        <v>0.5833333333</v>
      </c>
      <c r="D10311" s="8">
        <f>IFERROR(__xludf.DUMMYFUNCTION("""COMPUTED_VALUE"""),0.015)</f>
        <v>0.015</v>
      </c>
      <c r="E10311" s="8" t="str">
        <f>IFERROR(__xludf.DUMMYFUNCTION("""COMPUTED_VALUE"""),"Real")</f>
        <v>Real</v>
      </c>
      <c r="G10311" s="8">
        <f t="shared" si="1"/>
        <v>1</v>
      </c>
      <c r="H10311" s="14">
        <f t="shared" si="2"/>
        <v>4</v>
      </c>
      <c r="I10311" s="15">
        <f t="shared" si="3"/>
        <v>14</v>
      </c>
    </row>
    <row r="10312">
      <c r="A10312" s="8" t="str">
        <f>IFERROR(__xludf.DUMMYFUNCTION("IF('(INGESTA)Datos_consumo_datadis'!A10312&lt;&gt;"""",SPLIT('(INGESTA)Datos_consumo_datadis'!A:A,"",""),"""")"),"ES0031408323131005HX0F")</f>
        <v>ES0031408323131005HX0F</v>
      </c>
      <c r="B10312" s="12">
        <f>IFERROR(__xludf.DUMMYFUNCTION("""COMPUTED_VALUE"""),45295.0)</f>
        <v>45295</v>
      </c>
      <c r="C10312" s="13">
        <f>IFERROR(__xludf.DUMMYFUNCTION("""COMPUTED_VALUE"""),0.625)</f>
        <v>0.625</v>
      </c>
      <c r="D10312" s="8">
        <f>IFERROR(__xludf.DUMMYFUNCTION("""COMPUTED_VALUE"""),0.03)</f>
        <v>0.03</v>
      </c>
      <c r="E10312" s="8" t="str">
        <f>IFERROR(__xludf.DUMMYFUNCTION("""COMPUTED_VALUE"""),"Real")</f>
        <v>Real</v>
      </c>
      <c r="G10312" s="8">
        <f t="shared" si="1"/>
        <v>1</v>
      </c>
      <c r="H10312" s="14">
        <f t="shared" si="2"/>
        <v>4</v>
      </c>
      <c r="I10312" s="15">
        <f t="shared" si="3"/>
        <v>15</v>
      </c>
    </row>
    <row r="10313">
      <c r="A10313" s="8" t="str">
        <f>IFERROR(__xludf.DUMMYFUNCTION("IF('(INGESTA)Datos_consumo_datadis'!A10313&lt;&gt;"""",SPLIT('(INGESTA)Datos_consumo_datadis'!A:A,"",""),"""")"),"ES0031408323131005HX0F")</f>
        <v>ES0031408323131005HX0F</v>
      </c>
      <c r="B10313" s="12">
        <f>IFERROR(__xludf.DUMMYFUNCTION("""COMPUTED_VALUE"""),45295.0)</f>
        <v>45295</v>
      </c>
      <c r="C10313" s="13">
        <f>IFERROR(__xludf.DUMMYFUNCTION("""COMPUTED_VALUE"""),0.6666666666666666)</f>
        <v>0.6666666667</v>
      </c>
      <c r="D10313" s="8">
        <f>IFERROR(__xludf.DUMMYFUNCTION("""COMPUTED_VALUE"""),0.08)</f>
        <v>0.08</v>
      </c>
      <c r="E10313" s="8" t="str">
        <f>IFERROR(__xludf.DUMMYFUNCTION("""COMPUTED_VALUE"""),"Real")</f>
        <v>Real</v>
      </c>
      <c r="G10313" s="8">
        <f t="shared" si="1"/>
        <v>1</v>
      </c>
      <c r="H10313" s="14">
        <f t="shared" si="2"/>
        <v>4</v>
      </c>
      <c r="I10313" s="15">
        <f t="shared" si="3"/>
        <v>16</v>
      </c>
    </row>
    <row r="10314">
      <c r="A10314" s="8" t="str">
        <f>IFERROR(__xludf.DUMMYFUNCTION("IF('(INGESTA)Datos_consumo_datadis'!A10314&lt;&gt;"""",SPLIT('(INGESTA)Datos_consumo_datadis'!A:A,"",""),"""")"),"ES0031408323131005HX0F")</f>
        <v>ES0031408323131005HX0F</v>
      </c>
      <c r="B10314" s="12">
        <f>IFERROR(__xludf.DUMMYFUNCTION("""COMPUTED_VALUE"""),45295.0)</f>
        <v>45295</v>
      </c>
      <c r="C10314" s="13">
        <f>IFERROR(__xludf.DUMMYFUNCTION("""COMPUTED_VALUE"""),0.7083333333333334)</f>
        <v>0.7083333333</v>
      </c>
      <c r="D10314" s="8">
        <f>IFERROR(__xludf.DUMMYFUNCTION("""COMPUTED_VALUE"""),0.361)</f>
        <v>0.361</v>
      </c>
      <c r="E10314" s="8" t="str">
        <f>IFERROR(__xludf.DUMMYFUNCTION("""COMPUTED_VALUE"""),"Real")</f>
        <v>Real</v>
      </c>
      <c r="G10314" s="8">
        <f t="shared" si="1"/>
        <v>1</v>
      </c>
      <c r="H10314" s="14">
        <f t="shared" si="2"/>
        <v>4</v>
      </c>
      <c r="I10314" s="15">
        <f t="shared" si="3"/>
        <v>17</v>
      </c>
    </row>
    <row r="10315">
      <c r="A10315" s="8" t="str">
        <f>IFERROR(__xludf.DUMMYFUNCTION("IF('(INGESTA)Datos_consumo_datadis'!A10315&lt;&gt;"""",SPLIT('(INGESTA)Datos_consumo_datadis'!A:A,"",""),"""")"),"ES0031408323131005HX0F")</f>
        <v>ES0031408323131005HX0F</v>
      </c>
      <c r="B10315" s="12">
        <f>IFERROR(__xludf.DUMMYFUNCTION("""COMPUTED_VALUE"""),45295.0)</f>
        <v>45295</v>
      </c>
      <c r="C10315" s="13">
        <f>IFERROR(__xludf.DUMMYFUNCTION("""COMPUTED_VALUE"""),0.75)</f>
        <v>0.75</v>
      </c>
      <c r="D10315" s="8">
        <f>IFERROR(__xludf.DUMMYFUNCTION("""COMPUTED_VALUE"""),0.015)</f>
        <v>0.015</v>
      </c>
      <c r="E10315" s="8" t="str">
        <f>IFERROR(__xludf.DUMMYFUNCTION("""COMPUTED_VALUE"""),"Real")</f>
        <v>Real</v>
      </c>
      <c r="G10315" s="8">
        <f t="shared" si="1"/>
        <v>1</v>
      </c>
      <c r="H10315" s="14">
        <f t="shared" si="2"/>
        <v>4</v>
      </c>
      <c r="I10315" s="15">
        <f t="shared" si="3"/>
        <v>18</v>
      </c>
    </row>
    <row r="10316">
      <c r="A10316" s="8" t="str">
        <f>IFERROR(__xludf.DUMMYFUNCTION("IF('(INGESTA)Datos_consumo_datadis'!A10316&lt;&gt;"""",SPLIT('(INGESTA)Datos_consumo_datadis'!A:A,"",""),"""")"),"ES0031408323131005HX0F")</f>
        <v>ES0031408323131005HX0F</v>
      </c>
      <c r="B10316" s="12">
        <f>IFERROR(__xludf.DUMMYFUNCTION("""COMPUTED_VALUE"""),45295.0)</f>
        <v>45295</v>
      </c>
      <c r="C10316" s="13">
        <f>IFERROR(__xludf.DUMMYFUNCTION("""COMPUTED_VALUE"""),0.7916666666666666)</f>
        <v>0.7916666667</v>
      </c>
      <c r="D10316" s="8">
        <f>IFERROR(__xludf.DUMMYFUNCTION("""COMPUTED_VALUE"""),0.015)</f>
        <v>0.015</v>
      </c>
      <c r="E10316" s="8" t="str">
        <f>IFERROR(__xludf.DUMMYFUNCTION("""COMPUTED_VALUE"""),"Real")</f>
        <v>Real</v>
      </c>
      <c r="G10316" s="8">
        <f t="shared" si="1"/>
        <v>1</v>
      </c>
      <c r="H10316" s="14">
        <f t="shared" si="2"/>
        <v>4</v>
      </c>
      <c r="I10316" s="15">
        <f t="shared" si="3"/>
        <v>19</v>
      </c>
    </row>
    <row r="10317">
      <c r="A10317" s="8" t="str">
        <f>IFERROR(__xludf.DUMMYFUNCTION("IF('(INGESTA)Datos_consumo_datadis'!A10317&lt;&gt;"""",SPLIT('(INGESTA)Datos_consumo_datadis'!A:A,"",""),"""")"),"ES0031408323131005HX0F")</f>
        <v>ES0031408323131005HX0F</v>
      </c>
      <c r="B10317" s="12">
        <f>IFERROR(__xludf.DUMMYFUNCTION("""COMPUTED_VALUE"""),45295.0)</f>
        <v>45295</v>
      </c>
      <c r="C10317" s="13">
        <f>IFERROR(__xludf.DUMMYFUNCTION("""COMPUTED_VALUE"""),0.8333333333333334)</f>
        <v>0.8333333333</v>
      </c>
      <c r="D10317" s="8">
        <f>IFERROR(__xludf.DUMMYFUNCTION("""COMPUTED_VALUE"""),0.088)</f>
        <v>0.088</v>
      </c>
      <c r="E10317" s="8" t="str">
        <f>IFERROR(__xludf.DUMMYFUNCTION("""COMPUTED_VALUE"""),"Real")</f>
        <v>Real</v>
      </c>
      <c r="G10317" s="8">
        <f t="shared" si="1"/>
        <v>1</v>
      </c>
      <c r="H10317" s="14">
        <f t="shared" si="2"/>
        <v>4</v>
      </c>
      <c r="I10317" s="15">
        <f t="shared" si="3"/>
        <v>20</v>
      </c>
    </row>
    <row r="10318">
      <c r="A10318" s="8" t="str">
        <f>IFERROR(__xludf.DUMMYFUNCTION("IF('(INGESTA)Datos_consumo_datadis'!A10318&lt;&gt;"""",SPLIT('(INGESTA)Datos_consumo_datadis'!A:A,"",""),"""")"),"ES0031408323131005HX0F")</f>
        <v>ES0031408323131005HX0F</v>
      </c>
      <c r="B10318" s="12">
        <f>IFERROR(__xludf.DUMMYFUNCTION("""COMPUTED_VALUE"""),45295.0)</f>
        <v>45295</v>
      </c>
      <c r="C10318" s="13">
        <f>IFERROR(__xludf.DUMMYFUNCTION("""COMPUTED_VALUE"""),0.875)</f>
        <v>0.875</v>
      </c>
      <c r="D10318" s="8">
        <f>IFERROR(__xludf.DUMMYFUNCTION("""COMPUTED_VALUE"""),0.044)</f>
        <v>0.044</v>
      </c>
      <c r="E10318" s="8" t="str">
        <f>IFERROR(__xludf.DUMMYFUNCTION("""COMPUTED_VALUE"""),"Real")</f>
        <v>Real</v>
      </c>
      <c r="G10318" s="8">
        <f t="shared" si="1"/>
        <v>1</v>
      </c>
      <c r="H10318" s="14">
        <f t="shared" si="2"/>
        <v>4</v>
      </c>
      <c r="I10318" s="15">
        <f t="shared" si="3"/>
        <v>21</v>
      </c>
    </row>
    <row r="10319">
      <c r="A10319" s="8" t="str">
        <f>IFERROR(__xludf.DUMMYFUNCTION("IF('(INGESTA)Datos_consumo_datadis'!A10319&lt;&gt;"""",SPLIT('(INGESTA)Datos_consumo_datadis'!A:A,"",""),"""")"),"ES0031408323131005HX0F")</f>
        <v>ES0031408323131005HX0F</v>
      </c>
      <c r="B10319" s="12">
        <f>IFERROR(__xludf.DUMMYFUNCTION("""COMPUTED_VALUE"""),45295.0)</f>
        <v>45295</v>
      </c>
      <c r="C10319" s="13">
        <f>IFERROR(__xludf.DUMMYFUNCTION("""COMPUTED_VALUE"""),0.9166666666666666)</f>
        <v>0.9166666667</v>
      </c>
      <c r="D10319" s="8">
        <f>IFERROR(__xludf.DUMMYFUNCTION("""COMPUTED_VALUE"""),0.264)</f>
        <v>0.264</v>
      </c>
      <c r="E10319" s="8" t="str">
        <f>IFERROR(__xludf.DUMMYFUNCTION("""COMPUTED_VALUE"""),"Real")</f>
        <v>Real</v>
      </c>
      <c r="G10319" s="8">
        <f t="shared" si="1"/>
        <v>1</v>
      </c>
      <c r="H10319" s="14">
        <f t="shared" si="2"/>
        <v>4</v>
      </c>
      <c r="I10319" s="15">
        <f t="shared" si="3"/>
        <v>22</v>
      </c>
    </row>
    <row r="10320">
      <c r="A10320" s="8" t="str">
        <f>IFERROR(__xludf.DUMMYFUNCTION("IF('(INGESTA)Datos_consumo_datadis'!A10320&lt;&gt;"""",SPLIT('(INGESTA)Datos_consumo_datadis'!A:A,"",""),"""")"),"ES0031408323131005HX0F")</f>
        <v>ES0031408323131005HX0F</v>
      </c>
      <c r="B10320" s="12">
        <f>IFERROR(__xludf.DUMMYFUNCTION("""COMPUTED_VALUE"""),45295.0)</f>
        <v>45295</v>
      </c>
      <c r="C10320" s="13">
        <f>IFERROR(__xludf.DUMMYFUNCTION("""COMPUTED_VALUE"""),0.9583333333333334)</f>
        <v>0.9583333333</v>
      </c>
      <c r="D10320" s="8">
        <f>IFERROR(__xludf.DUMMYFUNCTION("""COMPUTED_VALUE"""),0.073)</f>
        <v>0.073</v>
      </c>
      <c r="E10320" s="8" t="str">
        <f>IFERROR(__xludf.DUMMYFUNCTION("""COMPUTED_VALUE"""),"Real")</f>
        <v>Real</v>
      </c>
      <c r="G10320" s="8">
        <f t="shared" si="1"/>
        <v>1</v>
      </c>
      <c r="H10320" s="14">
        <f t="shared" si="2"/>
        <v>4</v>
      </c>
      <c r="I10320" s="15">
        <f t="shared" si="3"/>
        <v>23</v>
      </c>
    </row>
    <row r="10321">
      <c r="A10321" s="8" t="str">
        <f>IFERROR(__xludf.DUMMYFUNCTION("IF('(INGESTA)Datos_consumo_datadis'!A10321&lt;&gt;"""",SPLIT('(INGESTA)Datos_consumo_datadis'!A:A,"",""),"""")"),"ES0031408323131005HX0F")</f>
        <v>ES0031408323131005HX0F</v>
      </c>
      <c r="B10321" s="12">
        <f>IFERROR(__xludf.DUMMYFUNCTION("""COMPUTED_VALUE"""),45295.0)</f>
        <v>45295</v>
      </c>
      <c r="C10321" s="16">
        <f>IFERROR(__xludf.DUMMYFUNCTION("""COMPUTED_VALUE"""),1.0)</f>
        <v>1</v>
      </c>
      <c r="D10321" s="8">
        <f>IFERROR(__xludf.DUMMYFUNCTION("""COMPUTED_VALUE"""),0.064)</f>
        <v>0.064</v>
      </c>
      <c r="E10321" s="8" t="str">
        <f>IFERROR(__xludf.DUMMYFUNCTION("""COMPUTED_VALUE"""),"Real")</f>
        <v>Real</v>
      </c>
      <c r="G10321" s="8">
        <f t="shared" si="1"/>
        <v>1</v>
      </c>
      <c r="H10321" s="14">
        <f t="shared" si="2"/>
        <v>4</v>
      </c>
      <c r="I10321" s="15">
        <f t="shared" si="3"/>
        <v>0</v>
      </c>
    </row>
    <row r="10322">
      <c r="A10322" s="8" t="str">
        <f>IFERROR(__xludf.DUMMYFUNCTION("IF('(INGESTA)Datos_consumo_datadis'!A10322&lt;&gt;"""",SPLIT('(INGESTA)Datos_consumo_datadis'!A:A,"",""),"""")"),"ES0031408323131005HX0F")</f>
        <v>ES0031408323131005HX0F</v>
      </c>
      <c r="B10322" s="12">
        <f>IFERROR(__xludf.DUMMYFUNCTION("""COMPUTED_VALUE"""),45296.0)</f>
        <v>45296</v>
      </c>
      <c r="C10322" s="13">
        <f>IFERROR(__xludf.DUMMYFUNCTION("""COMPUTED_VALUE"""),0.041666666666666664)</f>
        <v>0.04166666667</v>
      </c>
      <c r="D10322" s="8">
        <f>IFERROR(__xludf.DUMMYFUNCTION("""COMPUTED_VALUE"""),0.062)</f>
        <v>0.062</v>
      </c>
      <c r="E10322" s="8" t="str">
        <f>IFERROR(__xludf.DUMMYFUNCTION("""COMPUTED_VALUE"""),"Real")</f>
        <v>Real</v>
      </c>
      <c r="G10322" s="8">
        <f t="shared" si="1"/>
        <v>1</v>
      </c>
      <c r="H10322" s="14">
        <f t="shared" si="2"/>
        <v>5</v>
      </c>
      <c r="I10322" s="15">
        <f t="shared" si="3"/>
        <v>1</v>
      </c>
    </row>
    <row r="10323">
      <c r="A10323" s="8" t="str">
        <f>IFERROR(__xludf.DUMMYFUNCTION("IF('(INGESTA)Datos_consumo_datadis'!A10323&lt;&gt;"""",SPLIT('(INGESTA)Datos_consumo_datadis'!A:A,"",""),"""")"),"ES0031408323131005HX0F")</f>
        <v>ES0031408323131005HX0F</v>
      </c>
      <c r="B10323" s="12">
        <f>IFERROR(__xludf.DUMMYFUNCTION("""COMPUTED_VALUE"""),45296.0)</f>
        <v>45296</v>
      </c>
      <c r="C10323" s="13">
        <f>IFERROR(__xludf.DUMMYFUNCTION("""COMPUTED_VALUE"""),0.08333333333333333)</f>
        <v>0.08333333333</v>
      </c>
      <c r="D10323" s="8">
        <f>IFERROR(__xludf.DUMMYFUNCTION("""COMPUTED_VALUE"""),0.04)</f>
        <v>0.04</v>
      </c>
      <c r="E10323" s="8" t="str">
        <f>IFERROR(__xludf.DUMMYFUNCTION("""COMPUTED_VALUE"""),"Real")</f>
        <v>Real</v>
      </c>
      <c r="G10323" s="8">
        <f t="shared" si="1"/>
        <v>1</v>
      </c>
      <c r="H10323" s="14">
        <f t="shared" si="2"/>
        <v>5</v>
      </c>
      <c r="I10323" s="15">
        <f t="shared" si="3"/>
        <v>2</v>
      </c>
    </row>
    <row r="10324">
      <c r="A10324" s="8" t="str">
        <f>IFERROR(__xludf.DUMMYFUNCTION("IF('(INGESTA)Datos_consumo_datadis'!A10324&lt;&gt;"""",SPLIT('(INGESTA)Datos_consumo_datadis'!A:A,"",""),"""")"),"ES0031408323131005HX0F")</f>
        <v>ES0031408323131005HX0F</v>
      </c>
      <c r="B10324" s="12">
        <f>IFERROR(__xludf.DUMMYFUNCTION("""COMPUTED_VALUE"""),45296.0)</f>
        <v>45296</v>
      </c>
      <c r="C10324" s="13">
        <f>IFERROR(__xludf.DUMMYFUNCTION("""COMPUTED_VALUE"""),0.125)</f>
        <v>0.125</v>
      </c>
      <c r="D10324" s="8">
        <f>IFERROR(__xludf.DUMMYFUNCTION("""COMPUTED_VALUE"""),0.036)</f>
        <v>0.036</v>
      </c>
      <c r="E10324" s="8" t="str">
        <f>IFERROR(__xludf.DUMMYFUNCTION("""COMPUTED_VALUE"""),"Real")</f>
        <v>Real</v>
      </c>
      <c r="G10324" s="8">
        <f t="shared" si="1"/>
        <v>1</v>
      </c>
      <c r="H10324" s="14">
        <f t="shared" si="2"/>
        <v>5</v>
      </c>
      <c r="I10324" s="15">
        <f t="shared" si="3"/>
        <v>3</v>
      </c>
    </row>
    <row r="10325">
      <c r="A10325" s="8" t="str">
        <f>IFERROR(__xludf.DUMMYFUNCTION("IF('(INGESTA)Datos_consumo_datadis'!A10325&lt;&gt;"""",SPLIT('(INGESTA)Datos_consumo_datadis'!A:A,"",""),"""")"),"ES0031408323131005HX0F")</f>
        <v>ES0031408323131005HX0F</v>
      </c>
      <c r="B10325" s="12">
        <f>IFERROR(__xludf.DUMMYFUNCTION("""COMPUTED_VALUE"""),45296.0)</f>
        <v>45296</v>
      </c>
      <c r="C10325" s="13">
        <f>IFERROR(__xludf.DUMMYFUNCTION("""COMPUTED_VALUE"""),0.16666666666666666)</f>
        <v>0.1666666667</v>
      </c>
      <c r="D10325" s="8">
        <f>IFERROR(__xludf.DUMMYFUNCTION("""COMPUTED_VALUE"""),0.32)</f>
        <v>0.32</v>
      </c>
      <c r="E10325" s="8" t="str">
        <f>IFERROR(__xludf.DUMMYFUNCTION("""COMPUTED_VALUE"""),"Real")</f>
        <v>Real</v>
      </c>
      <c r="G10325" s="8">
        <f t="shared" si="1"/>
        <v>1</v>
      </c>
      <c r="H10325" s="14">
        <f t="shared" si="2"/>
        <v>5</v>
      </c>
      <c r="I10325" s="15">
        <f t="shared" si="3"/>
        <v>4</v>
      </c>
    </row>
    <row r="10326">
      <c r="A10326" s="8" t="str">
        <f>IFERROR(__xludf.DUMMYFUNCTION("IF('(INGESTA)Datos_consumo_datadis'!A10326&lt;&gt;"""",SPLIT('(INGESTA)Datos_consumo_datadis'!A:A,"",""),"""")"),"ES0031408323131005HX0F")</f>
        <v>ES0031408323131005HX0F</v>
      </c>
      <c r="B10326" s="12">
        <f>IFERROR(__xludf.DUMMYFUNCTION("""COMPUTED_VALUE"""),45296.0)</f>
        <v>45296</v>
      </c>
      <c r="C10326" s="13">
        <f>IFERROR(__xludf.DUMMYFUNCTION("""COMPUTED_VALUE"""),0.20833333333333334)</f>
        <v>0.2083333333</v>
      </c>
      <c r="D10326" s="8">
        <f>IFERROR(__xludf.DUMMYFUNCTION("""COMPUTED_VALUE"""),0.08)</f>
        <v>0.08</v>
      </c>
      <c r="E10326" s="8" t="str">
        <f>IFERROR(__xludf.DUMMYFUNCTION("""COMPUTED_VALUE"""),"Real")</f>
        <v>Real</v>
      </c>
      <c r="G10326" s="8">
        <f t="shared" si="1"/>
        <v>1</v>
      </c>
      <c r="H10326" s="14">
        <f t="shared" si="2"/>
        <v>5</v>
      </c>
      <c r="I10326" s="15">
        <f t="shared" si="3"/>
        <v>5</v>
      </c>
    </row>
    <row r="10327">
      <c r="A10327" s="8" t="str">
        <f>IFERROR(__xludf.DUMMYFUNCTION("IF('(INGESTA)Datos_consumo_datadis'!A10327&lt;&gt;"""",SPLIT('(INGESTA)Datos_consumo_datadis'!A:A,"",""),"""")"),"ES0031408323131005HX0F")</f>
        <v>ES0031408323131005HX0F</v>
      </c>
      <c r="B10327" s="12">
        <f>IFERROR(__xludf.DUMMYFUNCTION("""COMPUTED_VALUE"""),45296.0)</f>
        <v>45296</v>
      </c>
      <c r="C10327" s="13">
        <f>IFERROR(__xludf.DUMMYFUNCTION("""COMPUTED_VALUE"""),0.25)</f>
        <v>0.25</v>
      </c>
      <c r="D10327" s="8">
        <f>IFERROR(__xludf.DUMMYFUNCTION("""COMPUTED_VALUE"""),0.074)</f>
        <v>0.074</v>
      </c>
      <c r="E10327" s="8" t="str">
        <f>IFERROR(__xludf.DUMMYFUNCTION("""COMPUTED_VALUE"""),"Real")</f>
        <v>Real</v>
      </c>
      <c r="G10327" s="8">
        <f t="shared" si="1"/>
        <v>1</v>
      </c>
      <c r="H10327" s="14">
        <f t="shared" si="2"/>
        <v>5</v>
      </c>
      <c r="I10327" s="15">
        <f t="shared" si="3"/>
        <v>6</v>
      </c>
    </row>
    <row r="10328">
      <c r="A10328" s="8" t="str">
        <f>IFERROR(__xludf.DUMMYFUNCTION("IF('(INGESTA)Datos_consumo_datadis'!A10328&lt;&gt;"""",SPLIT('(INGESTA)Datos_consumo_datadis'!A:A,"",""),"""")"),"ES0031408323131005HX0F")</f>
        <v>ES0031408323131005HX0F</v>
      </c>
      <c r="B10328" s="12">
        <f>IFERROR(__xludf.DUMMYFUNCTION("""COMPUTED_VALUE"""),45296.0)</f>
        <v>45296</v>
      </c>
      <c r="C10328" s="13">
        <f>IFERROR(__xludf.DUMMYFUNCTION("""COMPUTED_VALUE"""),0.2916666666666667)</f>
        <v>0.2916666667</v>
      </c>
      <c r="D10328" s="8">
        <f>IFERROR(__xludf.DUMMYFUNCTION("""COMPUTED_VALUE"""),0.042)</f>
        <v>0.042</v>
      </c>
      <c r="E10328" s="8" t="str">
        <f>IFERROR(__xludf.DUMMYFUNCTION("""COMPUTED_VALUE"""),"Real")</f>
        <v>Real</v>
      </c>
      <c r="G10328" s="8">
        <f t="shared" si="1"/>
        <v>1</v>
      </c>
      <c r="H10328" s="14">
        <f t="shared" si="2"/>
        <v>5</v>
      </c>
      <c r="I10328" s="15">
        <f t="shared" si="3"/>
        <v>7</v>
      </c>
    </row>
    <row r="10329">
      <c r="A10329" s="8" t="str">
        <f>IFERROR(__xludf.DUMMYFUNCTION("IF('(INGESTA)Datos_consumo_datadis'!A10329&lt;&gt;"""",SPLIT('(INGESTA)Datos_consumo_datadis'!A:A,"",""),"""")"),"ES0031408323131005HX0F")</f>
        <v>ES0031408323131005HX0F</v>
      </c>
      <c r="B10329" s="12">
        <f>IFERROR(__xludf.DUMMYFUNCTION("""COMPUTED_VALUE"""),45296.0)</f>
        <v>45296</v>
      </c>
      <c r="C10329" s="13">
        <f>IFERROR(__xludf.DUMMYFUNCTION("""COMPUTED_VALUE"""),0.3333333333333333)</f>
        <v>0.3333333333</v>
      </c>
      <c r="D10329" s="8">
        <f>IFERROR(__xludf.DUMMYFUNCTION("""COMPUTED_VALUE"""),0.035)</f>
        <v>0.035</v>
      </c>
      <c r="E10329" s="8" t="str">
        <f>IFERROR(__xludf.DUMMYFUNCTION("""COMPUTED_VALUE"""),"Real")</f>
        <v>Real</v>
      </c>
      <c r="G10329" s="8">
        <f t="shared" si="1"/>
        <v>1</v>
      </c>
      <c r="H10329" s="14">
        <f t="shared" si="2"/>
        <v>5</v>
      </c>
      <c r="I10329" s="15">
        <f t="shared" si="3"/>
        <v>8</v>
      </c>
    </row>
    <row r="10330">
      <c r="A10330" s="8" t="str">
        <f>IFERROR(__xludf.DUMMYFUNCTION("IF('(INGESTA)Datos_consumo_datadis'!A10330&lt;&gt;"""",SPLIT('(INGESTA)Datos_consumo_datadis'!A:A,"",""),"""")"),"ES0031408323131005HX0F")</f>
        <v>ES0031408323131005HX0F</v>
      </c>
      <c r="B10330" s="12">
        <f>IFERROR(__xludf.DUMMYFUNCTION("""COMPUTED_VALUE"""),45296.0)</f>
        <v>45296</v>
      </c>
      <c r="C10330" s="13">
        <f>IFERROR(__xludf.DUMMYFUNCTION("""COMPUTED_VALUE"""),0.375)</f>
        <v>0.375</v>
      </c>
      <c r="D10330" s="8">
        <f>IFERROR(__xludf.DUMMYFUNCTION("""COMPUTED_VALUE"""),0.018)</f>
        <v>0.018</v>
      </c>
      <c r="E10330" s="8" t="str">
        <f>IFERROR(__xludf.DUMMYFUNCTION("""COMPUTED_VALUE"""),"Real")</f>
        <v>Real</v>
      </c>
      <c r="G10330" s="8">
        <f t="shared" si="1"/>
        <v>1</v>
      </c>
      <c r="H10330" s="14">
        <f t="shared" si="2"/>
        <v>5</v>
      </c>
      <c r="I10330" s="15">
        <f t="shared" si="3"/>
        <v>9</v>
      </c>
    </row>
    <row r="10331">
      <c r="A10331" s="8" t="str">
        <f>IFERROR(__xludf.DUMMYFUNCTION("IF('(INGESTA)Datos_consumo_datadis'!A10331&lt;&gt;"""",SPLIT('(INGESTA)Datos_consumo_datadis'!A:A,"",""),"""")"),"ES0031408323131005HX0F")</f>
        <v>ES0031408323131005HX0F</v>
      </c>
      <c r="B10331" s="12">
        <f>IFERROR(__xludf.DUMMYFUNCTION("""COMPUTED_VALUE"""),45296.0)</f>
        <v>45296</v>
      </c>
      <c r="C10331" s="13">
        <f>IFERROR(__xludf.DUMMYFUNCTION("""COMPUTED_VALUE"""),0.4166666666666667)</f>
        <v>0.4166666667</v>
      </c>
      <c r="D10331" s="8">
        <f>IFERROR(__xludf.DUMMYFUNCTION("""COMPUTED_VALUE"""),0.31)</f>
        <v>0.31</v>
      </c>
      <c r="E10331" s="8" t="str">
        <f>IFERROR(__xludf.DUMMYFUNCTION("""COMPUTED_VALUE"""),"Real")</f>
        <v>Real</v>
      </c>
      <c r="G10331" s="8">
        <f t="shared" si="1"/>
        <v>1</v>
      </c>
      <c r="H10331" s="14">
        <f t="shared" si="2"/>
        <v>5</v>
      </c>
      <c r="I10331" s="15">
        <f t="shared" si="3"/>
        <v>10</v>
      </c>
    </row>
    <row r="10332">
      <c r="A10332" s="8" t="str">
        <f>IFERROR(__xludf.DUMMYFUNCTION("IF('(INGESTA)Datos_consumo_datadis'!A10332&lt;&gt;"""",SPLIT('(INGESTA)Datos_consumo_datadis'!A:A,"",""),"""")"),"ES0031408323131005HX0F")</f>
        <v>ES0031408323131005HX0F</v>
      </c>
      <c r="B10332" s="12">
        <f>IFERROR(__xludf.DUMMYFUNCTION("""COMPUTED_VALUE"""),45296.0)</f>
        <v>45296</v>
      </c>
      <c r="C10332" s="13">
        <f>IFERROR(__xludf.DUMMYFUNCTION("""COMPUTED_VALUE"""),0.4583333333333333)</f>
        <v>0.4583333333</v>
      </c>
      <c r="D10332" s="8">
        <f>IFERROR(__xludf.DUMMYFUNCTION("""COMPUTED_VALUE"""),0.064)</f>
        <v>0.064</v>
      </c>
      <c r="E10332" s="8" t="str">
        <f>IFERROR(__xludf.DUMMYFUNCTION("""COMPUTED_VALUE"""),"Real")</f>
        <v>Real</v>
      </c>
      <c r="G10332" s="8">
        <f t="shared" si="1"/>
        <v>1</v>
      </c>
      <c r="H10332" s="14">
        <f t="shared" si="2"/>
        <v>5</v>
      </c>
      <c r="I10332" s="15">
        <f t="shared" si="3"/>
        <v>11</v>
      </c>
    </row>
    <row r="10333">
      <c r="A10333" s="8" t="str">
        <f>IFERROR(__xludf.DUMMYFUNCTION("IF('(INGESTA)Datos_consumo_datadis'!A10333&lt;&gt;"""",SPLIT('(INGESTA)Datos_consumo_datadis'!A:A,"",""),"""")"),"ES0031408323131005HX0F")</f>
        <v>ES0031408323131005HX0F</v>
      </c>
      <c r="B10333" s="12">
        <f>IFERROR(__xludf.DUMMYFUNCTION("""COMPUTED_VALUE"""),45296.0)</f>
        <v>45296</v>
      </c>
      <c r="C10333" s="13">
        <f>IFERROR(__xludf.DUMMYFUNCTION("""COMPUTED_VALUE"""),0.5)</f>
        <v>0.5</v>
      </c>
      <c r="D10333" s="8">
        <f>IFERROR(__xludf.DUMMYFUNCTION("""COMPUTED_VALUE"""),0.039)</f>
        <v>0.039</v>
      </c>
      <c r="E10333" s="8" t="str">
        <f>IFERROR(__xludf.DUMMYFUNCTION("""COMPUTED_VALUE"""),"Real")</f>
        <v>Real</v>
      </c>
      <c r="G10333" s="8">
        <f t="shared" si="1"/>
        <v>1</v>
      </c>
      <c r="H10333" s="14">
        <f t="shared" si="2"/>
        <v>5</v>
      </c>
      <c r="I10333" s="15">
        <f t="shared" si="3"/>
        <v>12</v>
      </c>
    </row>
    <row r="10334">
      <c r="A10334" s="8" t="str">
        <f>IFERROR(__xludf.DUMMYFUNCTION("IF('(INGESTA)Datos_consumo_datadis'!A10334&lt;&gt;"""",SPLIT('(INGESTA)Datos_consumo_datadis'!A:A,"",""),"""")"),"ES0031408323131005HX0F")</f>
        <v>ES0031408323131005HX0F</v>
      </c>
      <c r="B10334" s="12">
        <f>IFERROR(__xludf.DUMMYFUNCTION("""COMPUTED_VALUE"""),45296.0)</f>
        <v>45296</v>
      </c>
      <c r="C10334" s="13">
        <f>IFERROR(__xludf.DUMMYFUNCTION("""COMPUTED_VALUE"""),0.5416666666666666)</f>
        <v>0.5416666667</v>
      </c>
      <c r="D10334" s="8">
        <f>IFERROR(__xludf.DUMMYFUNCTION("""COMPUTED_VALUE"""),0.015)</f>
        <v>0.015</v>
      </c>
      <c r="E10334" s="8" t="str">
        <f>IFERROR(__xludf.DUMMYFUNCTION("""COMPUTED_VALUE"""),"Real")</f>
        <v>Real</v>
      </c>
      <c r="G10334" s="8">
        <f t="shared" si="1"/>
        <v>1</v>
      </c>
      <c r="H10334" s="14">
        <f t="shared" si="2"/>
        <v>5</v>
      </c>
      <c r="I10334" s="15">
        <f t="shared" si="3"/>
        <v>13</v>
      </c>
    </row>
    <row r="10335">
      <c r="A10335" s="8" t="str">
        <f>IFERROR(__xludf.DUMMYFUNCTION("IF('(INGESTA)Datos_consumo_datadis'!A10335&lt;&gt;"""",SPLIT('(INGESTA)Datos_consumo_datadis'!A:A,"",""),"""")"),"ES0031408323131005HX0F")</f>
        <v>ES0031408323131005HX0F</v>
      </c>
      <c r="B10335" s="12">
        <f>IFERROR(__xludf.DUMMYFUNCTION("""COMPUTED_VALUE"""),45296.0)</f>
        <v>45296</v>
      </c>
      <c r="C10335" s="13">
        <f>IFERROR(__xludf.DUMMYFUNCTION("""COMPUTED_VALUE"""),0.5833333333333334)</f>
        <v>0.5833333333</v>
      </c>
      <c r="D10335" s="8">
        <f>IFERROR(__xludf.DUMMYFUNCTION("""COMPUTED_VALUE"""),0.028)</f>
        <v>0.028</v>
      </c>
      <c r="E10335" s="8" t="str">
        <f>IFERROR(__xludf.DUMMYFUNCTION("""COMPUTED_VALUE"""),"Real")</f>
        <v>Real</v>
      </c>
      <c r="G10335" s="8">
        <f t="shared" si="1"/>
        <v>1</v>
      </c>
      <c r="H10335" s="14">
        <f t="shared" si="2"/>
        <v>5</v>
      </c>
      <c r="I10335" s="15">
        <f t="shared" si="3"/>
        <v>14</v>
      </c>
    </row>
    <row r="10336">
      <c r="A10336" s="8" t="str">
        <f>IFERROR(__xludf.DUMMYFUNCTION("IF('(INGESTA)Datos_consumo_datadis'!A10336&lt;&gt;"""",SPLIT('(INGESTA)Datos_consumo_datadis'!A:A,"",""),"""")"),"ES0031408323131005HX0F")</f>
        <v>ES0031408323131005HX0F</v>
      </c>
      <c r="B10336" s="12">
        <f>IFERROR(__xludf.DUMMYFUNCTION("""COMPUTED_VALUE"""),45296.0)</f>
        <v>45296</v>
      </c>
      <c r="C10336" s="13">
        <f>IFERROR(__xludf.DUMMYFUNCTION("""COMPUTED_VALUE"""),0.625)</f>
        <v>0.625</v>
      </c>
      <c r="D10336" s="8">
        <f>IFERROR(__xludf.DUMMYFUNCTION("""COMPUTED_VALUE"""),0.345)</f>
        <v>0.345</v>
      </c>
      <c r="E10336" s="8" t="str">
        <f>IFERROR(__xludf.DUMMYFUNCTION("""COMPUTED_VALUE"""),"Real")</f>
        <v>Real</v>
      </c>
      <c r="G10336" s="8">
        <f t="shared" si="1"/>
        <v>1</v>
      </c>
      <c r="H10336" s="14">
        <f t="shared" si="2"/>
        <v>5</v>
      </c>
      <c r="I10336" s="15">
        <f t="shared" si="3"/>
        <v>15</v>
      </c>
    </row>
    <row r="10337">
      <c r="A10337" s="8" t="str">
        <f>IFERROR(__xludf.DUMMYFUNCTION("IF('(INGESTA)Datos_consumo_datadis'!A10337&lt;&gt;"""",SPLIT('(INGESTA)Datos_consumo_datadis'!A:A,"",""),"""")"),"ES0031408323131005HX0F")</f>
        <v>ES0031408323131005HX0F</v>
      </c>
      <c r="B10337" s="12">
        <f>IFERROR(__xludf.DUMMYFUNCTION("""COMPUTED_VALUE"""),45296.0)</f>
        <v>45296</v>
      </c>
      <c r="C10337" s="13">
        <f>IFERROR(__xludf.DUMMYFUNCTION("""COMPUTED_VALUE"""),0.6666666666666666)</f>
        <v>0.6666666667</v>
      </c>
      <c r="D10337" s="8">
        <f>IFERROR(__xludf.DUMMYFUNCTION("""COMPUTED_VALUE"""),0.057)</f>
        <v>0.057</v>
      </c>
      <c r="E10337" s="8" t="str">
        <f>IFERROR(__xludf.DUMMYFUNCTION("""COMPUTED_VALUE"""),"Real")</f>
        <v>Real</v>
      </c>
      <c r="G10337" s="8">
        <f t="shared" si="1"/>
        <v>1</v>
      </c>
      <c r="H10337" s="14">
        <f t="shared" si="2"/>
        <v>5</v>
      </c>
      <c r="I10337" s="15">
        <f t="shared" si="3"/>
        <v>16</v>
      </c>
    </row>
    <row r="10338">
      <c r="A10338" s="8" t="str">
        <f>IFERROR(__xludf.DUMMYFUNCTION("IF('(INGESTA)Datos_consumo_datadis'!A10338&lt;&gt;"""",SPLIT('(INGESTA)Datos_consumo_datadis'!A:A,"",""),"""")"),"ES0031408323131005HX0F")</f>
        <v>ES0031408323131005HX0F</v>
      </c>
      <c r="B10338" s="12">
        <f>IFERROR(__xludf.DUMMYFUNCTION("""COMPUTED_VALUE"""),45296.0)</f>
        <v>45296</v>
      </c>
      <c r="C10338" s="13">
        <f>IFERROR(__xludf.DUMMYFUNCTION("""COMPUTED_VALUE"""),0.7083333333333334)</f>
        <v>0.7083333333</v>
      </c>
      <c r="D10338" s="8">
        <f>IFERROR(__xludf.DUMMYFUNCTION("""COMPUTED_VALUE"""),0.014)</f>
        <v>0.014</v>
      </c>
      <c r="E10338" s="8" t="str">
        <f>IFERROR(__xludf.DUMMYFUNCTION("""COMPUTED_VALUE"""),"Real")</f>
        <v>Real</v>
      </c>
      <c r="G10338" s="8">
        <f t="shared" si="1"/>
        <v>1</v>
      </c>
      <c r="H10338" s="14">
        <f t="shared" si="2"/>
        <v>5</v>
      </c>
      <c r="I10338" s="15">
        <f t="shared" si="3"/>
        <v>17</v>
      </c>
    </row>
    <row r="10339">
      <c r="A10339" s="8" t="str">
        <f>IFERROR(__xludf.DUMMYFUNCTION("IF('(INGESTA)Datos_consumo_datadis'!A10339&lt;&gt;"""",SPLIT('(INGESTA)Datos_consumo_datadis'!A:A,"",""),"""")"),"ES0031408323131005HX0F")</f>
        <v>ES0031408323131005HX0F</v>
      </c>
      <c r="B10339" s="12">
        <f>IFERROR(__xludf.DUMMYFUNCTION("""COMPUTED_VALUE"""),45296.0)</f>
        <v>45296</v>
      </c>
      <c r="C10339" s="13">
        <f>IFERROR(__xludf.DUMMYFUNCTION("""COMPUTED_VALUE"""),0.75)</f>
        <v>0.75</v>
      </c>
      <c r="D10339" s="8">
        <f>IFERROR(__xludf.DUMMYFUNCTION("""COMPUTED_VALUE"""),0.015)</f>
        <v>0.015</v>
      </c>
      <c r="E10339" s="8" t="str">
        <f>IFERROR(__xludf.DUMMYFUNCTION("""COMPUTED_VALUE"""),"Real")</f>
        <v>Real</v>
      </c>
      <c r="G10339" s="8">
        <f t="shared" si="1"/>
        <v>1</v>
      </c>
      <c r="H10339" s="14">
        <f t="shared" si="2"/>
        <v>5</v>
      </c>
      <c r="I10339" s="15">
        <f t="shared" si="3"/>
        <v>18</v>
      </c>
    </row>
    <row r="10340">
      <c r="A10340" s="8" t="str">
        <f>IFERROR(__xludf.DUMMYFUNCTION("IF('(INGESTA)Datos_consumo_datadis'!A10340&lt;&gt;"""",SPLIT('(INGESTA)Datos_consumo_datadis'!A:A,"",""),"""")"),"ES0031408323131005HX0F")</f>
        <v>ES0031408323131005HX0F</v>
      </c>
      <c r="B10340" s="12">
        <f>IFERROR(__xludf.DUMMYFUNCTION("""COMPUTED_VALUE"""),45296.0)</f>
        <v>45296</v>
      </c>
      <c r="C10340" s="13">
        <f>IFERROR(__xludf.DUMMYFUNCTION("""COMPUTED_VALUE"""),0.7916666666666666)</f>
        <v>0.7916666667</v>
      </c>
      <c r="D10340" s="8">
        <f>IFERROR(__xludf.DUMMYFUNCTION("""COMPUTED_VALUE"""),0.089)</f>
        <v>0.089</v>
      </c>
      <c r="E10340" s="8" t="str">
        <f>IFERROR(__xludf.DUMMYFUNCTION("""COMPUTED_VALUE"""),"Real")</f>
        <v>Real</v>
      </c>
      <c r="G10340" s="8">
        <f t="shared" si="1"/>
        <v>1</v>
      </c>
      <c r="H10340" s="14">
        <f t="shared" si="2"/>
        <v>5</v>
      </c>
      <c r="I10340" s="15">
        <f t="shared" si="3"/>
        <v>19</v>
      </c>
    </row>
    <row r="10341">
      <c r="A10341" s="8" t="str">
        <f>IFERROR(__xludf.DUMMYFUNCTION("IF('(INGESTA)Datos_consumo_datadis'!A10341&lt;&gt;"""",SPLIT('(INGESTA)Datos_consumo_datadis'!A:A,"",""),"""")"),"ES0031408323131005HX0F")</f>
        <v>ES0031408323131005HX0F</v>
      </c>
      <c r="B10341" s="12">
        <f>IFERROR(__xludf.DUMMYFUNCTION("""COMPUTED_VALUE"""),45296.0)</f>
        <v>45296</v>
      </c>
      <c r="C10341" s="13">
        <f>IFERROR(__xludf.DUMMYFUNCTION("""COMPUTED_VALUE"""),0.8333333333333334)</f>
        <v>0.8333333333</v>
      </c>
      <c r="D10341" s="8">
        <f>IFERROR(__xludf.DUMMYFUNCTION("""COMPUTED_VALUE"""),0.32)</f>
        <v>0.32</v>
      </c>
      <c r="E10341" s="8" t="str">
        <f>IFERROR(__xludf.DUMMYFUNCTION("""COMPUTED_VALUE"""),"Real")</f>
        <v>Real</v>
      </c>
      <c r="G10341" s="8">
        <f t="shared" si="1"/>
        <v>1</v>
      </c>
      <c r="H10341" s="14">
        <f t="shared" si="2"/>
        <v>5</v>
      </c>
      <c r="I10341" s="15">
        <f t="shared" si="3"/>
        <v>20</v>
      </c>
    </row>
    <row r="10342">
      <c r="A10342" s="8" t="str">
        <f>IFERROR(__xludf.DUMMYFUNCTION("IF('(INGESTA)Datos_consumo_datadis'!A10342&lt;&gt;"""",SPLIT('(INGESTA)Datos_consumo_datadis'!A:A,"",""),"""")"),"ES0031408323131005HX0F")</f>
        <v>ES0031408323131005HX0F</v>
      </c>
      <c r="B10342" s="12">
        <f>IFERROR(__xludf.DUMMYFUNCTION("""COMPUTED_VALUE"""),45296.0)</f>
        <v>45296</v>
      </c>
      <c r="C10342" s="13">
        <f>IFERROR(__xludf.DUMMYFUNCTION("""COMPUTED_VALUE"""),0.875)</f>
        <v>0.875</v>
      </c>
      <c r="D10342" s="8">
        <f>IFERROR(__xludf.DUMMYFUNCTION("""COMPUTED_VALUE"""),0.032)</f>
        <v>0.032</v>
      </c>
      <c r="E10342" s="8" t="str">
        <f>IFERROR(__xludf.DUMMYFUNCTION("""COMPUTED_VALUE"""),"Real")</f>
        <v>Real</v>
      </c>
      <c r="G10342" s="8">
        <f t="shared" si="1"/>
        <v>1</v>
      </c>
      <c r="H10342" s="14">
        <f t="shared" si="2"/>
        <v>5</v>
      </c>
      <c r="I10342" s="15">
        <f t="shared" si="3"/>
        <v>21</v>
      </c>
    </row>
    <row r="10343">
      <c r="A10343" s="8" t="str">
        <f>IFERROR(__xludf.DUMMYFUNCTION("IF('(INGESTA)Datos_consumo_datadis'!A10343&lt;&gt;"""",SPLIT('(INGESTA)Datos_consumo_datadis'!A:A,"",""),"""")"),"ES0031408323131005HX0F")</f>
        <v>ES0031408323131005HX0F</v>
      </c>
      <c r="B10343" s="12">
        <f>IFERROR(__xludf.DUMMYFUNCTION("""COMPUTED_VALUE"""),45296.0)</f>
        <v>45296</v>
      </c>
      <c r="C10343" s="13">
        <f>IFERROR(__xludf.DUMMYFUNCTION("""COMPUTED_VALUE"""),0.9166666666666666)</f>
        <v>0.9166666667</v>
      </c>
      <c r="D10343" s="8">
        <f>IFERROR(__xludf.DUMMYFUNCTION("""COMPUTED_VALUE"""),0.015)</f>
        <v>0.015</v>
      </c>
      <c r="E10343" s="8" t="str">
        <f>IFERROR(__xludf.DUMMYFUNCTION("""COMPUTED_VALUE"""),"Real")</f>
        <v>Real</v>
      </c>
      <c r="G10343" s="8">
        <f t="shared" si="1"/>
        <v>1</v>
      </c>
      <c r="H10343" s="14">
        <f t="shared" si="2"/>
        <v>5</v>
      </c>
      <c r="I10343" s="15">
        <f t="shared" si="3"/>
        <v>22</v>
      </c>
    </row>
    <row r="10344">
      <c r="A10344" s="8" t="str">
        <f>IFERROR(__xludf.DUMMYFUNCTION("IF('(INGESTA)Datos_consumo_datadis'!A10344&lt;&gt;"""",SPLIT('(INGESTA)Datos_consumo_datadis'!A:A,"",""),"""")"),"ES0031408323131005HX0F")</f>
        <v>ES0031408323131005HX0F</v>
      </c>
      <c r="B10344" s="12">
        <f>IFERROR(__xludf.DUMMYFUNCTION("""COMPUTED_VALUE"""),45296.0)</f>
        <v>45296</v>
      </c>
      <c r="C10344" s="13">
        <f>IFERROR(__xludf.DUMMYFUNCTION("""COMPUTED_VALUE"""),0.9583333333333334)</f>
        <v>0.9583333333</v>
      </c>
      <c r="D10344" s="8">
        <f>IFERROR(__xludf.DUMMYFUNCTION("""COMPUTED_VALUE"""),0.064)</f>
        <v>0.064</v>
      </c>
      <c r="E10344" s="8" t="str">
        <f>IFERROR(__xludf.DUMMYFUNCTION("""COMPUTED_VALUE"""),"Real")</f>
        <v>Real</v>
      </c>
      <c r="G10344" s="8">
        <f t="shared" si="1"/>
        <v>1</v>
      </c>
      <c r="H10344" s="14">
        <f t="shared" si="2"/>
        <v>5</v>
      </c>
      <c r="I10344" s="15">
        <f t="shared" si="3"/>
        <v>23</v>
      </c>
    </row>
    <row r="10345">
      <c r="A10345" s="8" t="str">
        <f>IFERROR(__xludf.DUMMYFUNCTION("IF('(INGESTA)Datos_consumo_datadis'!A10345&lt;&gt;"""",SPLIT('(INGESTA)Datos_consumo_datadis'!A:A,"",""),"""")"),"ES0031408323131005HX0F")</f>
        <v>ES0031408323131005HX0F</v>
      </c>
      <c r="B10345" s="12">
        <f>IFERROR(__xludf.DUMMYFUNCTION("""COMPUTED_VALUE"""),45296.0)</f>
        <v>45296</v>
      </c>
      <c r="C10345" s="16">
        <f>IFERROR(__xludf.DUMMYFUNCTION("""COMPUTED_VALUE"""),1.0)</f>
        <v>1</v>
      </c>
      <c r="D10345" s="8">
        <f>IFERROR(__xludf.DUMMYFUNCTION("""COMPUTED_VALUE"""),0.062)</f>
        <v>0.062</v>
      </c>
      <c r="E10345" s="8" t="str">
        <f>IFERROR(__xludf.DUMMYFUNCTION("""COMPUTED_VALUE"""),"Real")</f>
        <v>Real</v>
      </c>
      <c r="G10345" s="8">
        <f t="shared" si="1"/>
        <v>1</v>
      </c>
      <c r="H10345" s="14">
        <f t="shared" si="2"/>
        <v>5</v>
      </c>
      <c r="I10345" s="15">
        <f t="shared" si="3"/>
        <v>0</v>
      </c>
    </row>
    <row r="10346">
      <c r="A10346" s="8" t="str">
        <f>IFERROR(__xludf.DUMMYFUNCTION("IF('(INGESTA)Datos_consumo_datadis'!A10346&lt;&gt;"""",SPLIT('(INGESTA)Datos_consumo_datadis'!A:A,"",""),"""")"),"ES0031408323131005HX0F")</f>
        <v>ES0031408323131005HX0F</v>
      </c>
      <c r="B10346" s="12">
        <f>IFERROR(__xludf.DUMMYFUNCTION("""COMPUTED_VALUE"""),45297.0)</f>
        <v>45297</v>
      </c>
      <c r="C10346" s="13">
        <f>IFERROR(__xludf.DUMMYFUNCTION("""COMPUTED_VALUE"""),0.041666666666666664)</f>
        <v>0.04166666667</v>
      </c>
      <c r="D10346" s="8">
        <f>IFERROR(__xludf.DUMMYFUNCTION("""COMPUTED_VALUE"""),0.311)</f>
        <v>0.311</v>
      </c>
      <c r="E10346" s="8" t="str">
        <f>IFERROR(__xludf.DUMMYFUNCTION("""COMPUTED_VALUE"""),"Real")</f>
        <v>Real</v>
      </c>
      <c r="G10346" s="8">
        <f t="shared" si="1"/>
        <v>1</v>
      </c>
      <c r="H10346" s="14">
        <f t="shared" si="2"/>
        <v>6</v>
      </c>
      <c r="I10346" s="15">
        <f t="shared" si="3"/>
        <v>1</v>
      </c>
    </row>
    <row r="10347">
      <c r="A10347" s="8" t="str">
        <f>IFERROR(__xludf.DUMMYFUNCTION("IF('(INGESTA)Datos_consumo_datadis'!A10347&lt;&gt;"""",SPLIT('(INGESTA)Datos_consumo_datadis'!A:A,"",""),"""")"),"ES0031408323131005HX0F")</f>
        <v>ES0031408323131005HX0F</v>
      </c>
      <c r="B10347" s="12">
        <f>IFERROR(__xludf.DUMMYFUNCTION("""COMPUTED_VALUE"""),45297.0)</f>
        <v>45297</v>
      </c>
      <c r="C10347" s="13">
        <f>IFERROR(__xludf.DUMMYFUNCTION("""COMPUTED_VALUE"""),0.08333333333333333)</f>
        <v>0.08333333333</v>
      </c>
      <c r="D10347" s="8">
        <f>IFERROR(__xludf.DUMMYFUNCTION("""COMPUTED_VALUE"""),0.016)</f>
        <v>0.016</v>
      </c>
      <c r="E10347" s="8" t="str">
        <f>IFERROR(__xludf.DUMMYFUNCTION("""COMPUTED_VALUE"""),"Real")</f>
        <v>Real</v>
      </c>
      <c r="G10347" s="8">
        <f t="shared" si="1"/>
        <v>1</v>
      </c>
      <c r="H10347" s="14">
        <f t="shared" si="2"/>
        <v>6</v>
      </c>
      <c r="I10347" s="15">
        <f t="shared" si="3"/>
        <v>2</v>
      </c>
    </row>
    <row r="10348">
      <c r="A10348" s="8" t="str">
        <f>IFERROR(__xludf.DUMMYFUNCTION("IF('(INGESTA)Datos_consumo_datadis'!A10348&lt;&gt;"""",SPLIT('(INGESTA)Datos_consumo_datadis'!A:A,"",""),"""")"),"ES0031408323131005HX0F")</f>
        <v>ES0031408323131005HX0F</v>
      </c>
      <c r="B10348" s="12">
        <f>IFERROR(__xludf.DUMMYFUNCTION("""COMPUTED_VALUE"""),45297.0)</f>
        <v>45297</v>
      </c>
      <c r="C10348" s="13">
        <f>IFERROR(__xludf.DUMMYFUNCTION("""COMPUTED_VALUE"""),0.125)</f>
        <v>0.125</v>
      </c>
      <c r="D10348" s="8">
        <f>IFERROR(__xludf.DUMMYFUNCTION("""COMPUTED_VALUE"""),0.054)</f>
        <v>0.054</v>
      </c>
      <c r="E10348" s="8" t="str">
        <f>IFERROR(__xludf.DUMMYFUNCTION("""COMPUTED_VALUE"""),"Real")</f>
        <v>Real</v>
      </c>
      <c r="G10348" s="8">
        <f t="shared" si="1"/>
        <v>1</v>
      </c>
      <c r="H10348" s="14">
        <f t="shared" si="2"/>
        <v>6</v>
      </c>
      <c r="I10348" s="15">
        <f t="shared" si="3"/>
        <v>3</v>
      </c>
    </row>
    <row r="10349">
      <c r="A10349" s="8" t="str">
        <f>IFERROR(__xludf.DUMMYFUNCTION("IF('(INGESTA)Datos_consumo_datadis'!A10349&lt;&gt;"""",SPLIT('(INGESTA)Datos_consumo_datadis'!A:A,"",""),"""")"),"ES0031408323131005HX0F")</f>
        <v>ES0031408323131005HX0F</v>
      </c>
      <c r="B10349" s="12">
        <f>IFERROR(__xludf.DUMMYFUNCTION("""COMPUTED_VALUE"""),45297.0)</f>
        <v>45297</v>
      </c>
      <c r="C10349" s="13">
        <f>IFERROR(__xludf.DUMMYFUNCTION("""COMPUTED_VALUE"""),0.16666666666666666)</f>
        <v>0.1666666667</v>
      </c>
      <c r="D10349" s="8">
        <f>IFERROR(__xludf.DUMMYFUNCTION("""COMPUTED_VALUE"""),0.089)</f>
        <v>0.089</v>
      </c>
      <c r="E10349" s="8" t="str">
        <f>IFERROR(__xludf.DUMMYFUNCTION("""COMPUTED_VALUE"""),"Real")</f>
        <v>Real</v>
      </c>
      <c r="G10349" s="8">
        <f t="shared" si="1"/>
        <v>1</v>
      </c>
      <c r="H10349" s="14">
        <f t="shared" si="2"/>
        <v>6</v>
      </c>
      <c r="I10349" s="15">
        <f t="shared" si="3"/>
        <v>4</v>
      </c>
    </row>
    <row r="10350">
      <c r="A10350" s="8" t="str">
        <f>IFERROR(__xludf.DUMMYFUNCTION("IF('(INGESTA)Datos_consumo_datadis'!A10350&lt;&gt;"""",SPLIT('(INGESTA)Datos_consumo_datadis'!A:A,"",""),"""")"),"ES0031408323131005HX0F")</f>
        <v>ES0031408323131005HX0F</v>
      </c>
      <c r="B10350" s="12">
        <f>IFERROR(__xludf.DUMMYFUNCTION("""COMPUTED_VALUE"""),45297.0)</f>
        <v>45297</v>
      </c>
      <c r="C10350" s="13">
        <f>IFERROR(__xludf.DUMMYFUNCTION("""COMPUTED_VALUE"""),0.20833333333333334)</f>
        <v>0.2083333333</v>
      </c>
      <c r="D10350" s="8">
        <f>IFERROR(__xludf.DUMMYFUNCTION("""COMPUTED_VALUE"""),0.05)</f>
        <v>0.05</v>
      </c>
      <c r="E10350" s="8" t="str">
        <f>IFERROR(__xludf.DUMMYFUNCTION("""COMPUTED_VALUE"""),"Real")</f>
        <v>Real</v>
      </c>
      <c r="G10350" s="8">
        <f t="shared" si="1"/>
        <v>1</v>
      </c>
      <c r="H10350" s="14">
        <f t="shared" si="2"/>
        <v>6</v>
      </c>
      <c r="I10350" s="15">
        <f t="shared" si="3"/>
        <v>5</v>
      </c>
    </row>
    <row r="10351">
      <c r="A10351" s="8" t="str">
        <f>IFERROR(__xludf.DUMMYFUNCTION("IF('(INGESTA)Datos_consumo_datadis'!A10351&lt;&gt;"""",SPLIT('(INGESTA)Datos_consumo_datadis'!A:A,"",""),"""")"),"ES0031408323131005HX0F")</f>
        <v>ES0031408323131005HX0F</v>
      </c>
      <c r="B10351" s="12">
        <f>IFERROR(__xludf.DUMMYFUNCTION("""COMPUTED_VALUE"""),45297.0)</f>
        <v>45297</v>
      </c>
      <c r="C10351" s="13">
        <f>IFERROR(__xludf.DUMMYFUNCTION("""COMPUTED_VALUE"""),0.25)</f>
        <v>0.25</v>
      </c>
      <c r="D10351" s="8">
        <f>IFERROR(__xludf.DUMMYFUNCTION("""COMPUTED_VALUE"""),0.282)</f>
        <v>0.282</v>
      </c>
      <c r="E10351" s="8" t="str">
        <f>IFERROR(__xludf.DUMMYFUNCTION("""COMPUTED_VALUE"""),"Real")</f>
        <v>Real</v>
      </c>
      <c r="G10351" s="8">
        <f t="shared" si="1"/>
        <v>1</v>
      </c>
      <c r="H10351" s="14">
        <f t="shared" si="2"/>
        <v>6</v>
      </c>
      <c r="I10351" s="15">
        <f t="shared" si="3"/>
        <v>6</v>
      </c>
    </row>
    <row r="10352">
      <c r="A10352" s="8" t="str">
        <f>IFERROR(__xludf.DUMMYFUNCTION("IF('(INGESTA)Datos_consumo_datadis'!A10352&lt;&gt;"""",SPLIT('(INGESTA)Datos_consumo_datadis'!A:A,"",""),"""")"),"ES0031408323131005HX0F")</f>
        <v>ES0031408323131005HX0F</v>
      </c>
      <c r="B10352" s="12">
        <f>IFERROR(__xludf.DUMMYFUNCTION("""COMPUTED_VALUE"""),45297.0)</f>
        <v>45297</v>
      </c>
      <c r="C10352" s="13">
        <f>IFERROR(__xludf.DUMMYFUNCTION("""COMPUTED_VALUE"""),0.2916666666666667)</f>
        <v>0.2916666667</v>
      </c>
      <c r="D10352" s="8">
        <f>IFERROR(__xludf.DUMMYFUNCTION("""COMPUTED_VALUE"""),0.015)</f>
        <v>0.015</v>
      </c>
      <c r="E10352" s="8" t="str">
        <f>IFERROR(__xludf.DUMMYFUNCTION("""COMPUTED_VALUE"""),"Real")</f>
        <v>Real</v>
      </c>
      <c r="G10352" s="8">
        <f t="shared" si="1"/>
        <v>1</v>
      </c>
      <c r="H10352" s="14">
        <f t="shared" si="2"/>
        <v>6</v>
      </c>
      <c r="I10352" s="15">
        <f t="shared" si="3"/>
        <v>7</v>
      </c>
    </row>
    <row r="10353">
      <c r="A10353" s="8" t="str">
        <f>IFERROR(__xludf.DUMMYFUNCTION("IF('(INGESTA)Datos_consumo_datadis'!A10353&lt;&gt;"""",SPLIT('(INGESTA)Datos_consumo_datadis'!A:A,"",""),"""")"),"ES0031408323131005HX0F")</f>
        <v>ES0031408323131005HX0F</v>
      </c>
      <c r="B10353" s="12">
        <f>IFERROR(__xludf.DUMMYFUNCTION("""COMPUTED_VALUE"""),45297.0)</f>
        <v>45297</v>
      </c>
      <c r="C10353" s="13">
        <f>IFERROR(__xludf.DUMMYFUNCTION("""COMPUTED_VALUE"""),0.3333333333333333)</f>
        <v>0.3333333333</v>
      </c>
      <c r="D10353" s="8">
        <f>IFERROR(__xludf.DUMMYFUNCTION("""COMPUTED_VALUE"""),0.086)</f>
        <v>0.086</v>
      </c>
      <c r="E10353" s="8" t="str">
        <f>IFERROR(__xludf.DUMMYFUNCTION("""COMPUTED_VALUE"""),"Real")</f>
        <v>Real</v>
      </c>
      <c r="G10353" s="8">
        <f t="shared" si="1"/>
        <v>1</v>
      </c>
      <c r="H10353" s="14">
        <f t="shared" si="2"/>
        <v>6</v>
      </c>
      <c r="I10353" s="15">
        <f t="shared" si="3"/>
        <v>8</v>
      </c>
    </row>
    <row r="10354">
      <c r="A10354" s="8" t="str">
        <f>IFERROR(__xludf.DUMMYFUNCTION("IF('(INGESTA)Datos_consumo_datadis'!A10354&lt;&gt;"""",SPLIT('(INGESTA)Datos_consumo_datadis'!A:A,"",""),"""")"),"ES0031408323131005HX0F")</f>
        <v>ES0031408323131005HX0F</v>
      </c>
      <c r="B10354" s="12">
        <f>IFERROR(__xludf.DUMMYFUNCTION("""COMPUTED_VALUE"""),45297.0)</f>
        <v>45297</v>
      </c>
      <c r="C10354" s="13">
        <f>IFERROR(__xludf.DUMMYFUNCTION("""COMPUTED_VALUE"""),0.375)</f>
        <v>0.375</v>
      </c>
      <c r="D10354" s="8">
        <f>IFERROR(__xludf.DUMMYFUNCTION("""COMPUTED_VALUE"""),0.05)</f>
        <v>0.05</v>
      </c>
      <c r="E10354" s="8" t="str">
        <f>IFERROR(__xludf.DUMMYFUNCTION("""COMPUTED_VALUE"""),"Real")</f>
        <v>Real</v>
      </c>
      <c r="G10354" s="8">
        <f t="shared" si="1"/>
        <v>1</v>
      </c>
      <c r="H10354" s="14">
        <f t="shared" si="2"/>
        <v>6</v>
      </c>
      <c r="I10354" s="15">
        <f t="shared" si="3"/>
        <v>9</v>
      </c>
    </row>
    <row r="10355">
      <c r="A10355" s="8" t="str">
        <f>IFERROR(__xludf.DUMMYFUNCTION("IF('(INGESTA)Datos_consumo_datadis'!A10355&lt;&gt;"""",SPLIT('(INGESTA)Datos_consumo_datadis'!A:A,"",""),"""")"),"ES0031408323131005HX0F")</f>
        <v>ES0031408323131005HX0F</v>
      </c>
      <c r="B10355" s="12">
        <f>IFERROR(__xludf.DUMMYFUNCTION("""COMPUTED_VALUE"""),45297.0)</f>
        <v>45297</v>
      </c>
      <c r="C10355" s="13">
        <f>IFERROR(__xludf.DUMMYFUNCTION("""COMPUTED_VALUE"""),0.4166666666666667)</f>
        <v>0.4166666667</v>
      </c>
      <c r="D10355" s="8">
        <f>IFERROR(__xludf.DUMMYFUNCTION("""COMPUTED_VALUE"""),0.026)</f>
        <v>0.026</v>
      </c>
      <c r="E10355" s="8" t="str">
        <f>IFERROR(__xludf.DUMMYFUNCTION("""COMPUTED_VALUE"""),"Real")</f>
        <v>Real</v>
      </c>
      <c r="G10355" s="8">
        <f t="shared" si="1"/>
        <v>1</v>
      </c>
      <c r="H10355" s="14">
        <f t="shared" si="2"/>
        <v>6</v>
      </c>
      <c r="I10355" s="15">
        <f t="shared" si="3"/>
        <v>10</v>
      </c>
    </row>
    <row r="10356">
      <c r="A10356" s="8" t="str">
        <f>IFERROR(__xludf.DUMMYFUNCTION("IF('(INGESTA)Datos_consumo_datadis'!A10356&lt;&gt;"""",SPLIT('(INGESTA)Datos_consumo_datadis'!A:A,"",""),"""")"),"ES0031408323131005HX0F")</f>
        <v>ES0031408323131005HX0F</v>
      </c>
      <c r="B10356" s="12">
        <f>IFERROR(__xludf.DUMMYFUNCTION("""COMPUTED_VALUE"""),45297.0)</f>
        <v>45297</v>
      </c>
      <c r="C10356" s="13">
        <f>IFERROR(__xludf.DUMMYFUNCTION("""COMPUTED_VALUE"""),0.4583333333333333)</f>
        <v>0.4583333333</v>
      </c>
      <c r="D10356" s="8">
        <f>IFERROR(__xludf.DUMMYFUNCTION("""COMPUTED_VALUE"""),0.074)</f>
        <v>0.074</v>
      </c>
      <c r="E10356" s="8" t="str">
        <f>IFERROR(__xludf.DUMMYFUNCTION("""COMPUTED_VALUE"""),"Real")</f>
        <v>Real</v>
      </c>
      <c r="G10356" s="8">
        <f t="shared" si="1"/>
        <v>1</v>
      </c>
      <c r="H10356" s="14">
        <f t="shared" si="2"/>
        <v>6</v>
      </c>
      <c r="I10356" s="15">
        <f t="shared" si="3"/>
        <v>11</v>
      </c>
    </row>
    <row r="10357">
      <c r="A10357" s="8" t="str">
        <f>IFERROR(__xludf.DUMMYFUNCTION("IF('(INGESTA)Datos_consumo_datadis'!A10357&lt;&gt;"""",SPLIT('(INGESTA)Datos_consumo_datadis'!A:A,"",""),"""")"),"ES0031408323131005HX0F")</f>
        <v>ES0031408323131005HX0F</v>
      </c>
      <c r="B10357" s="12">
        <f>IFERROR(__xludf.DUMMYFUNCTION("""COMPUTED_VALUE"""),45297.0)</f>
        <v>45297</v>
      </c>
      <c r="C10357" s="13">
        <f>IFERROR(__xludf.DUMMYFUNCTION("""COMPUTED_VALUE"""),0.5)</f>
        <v>0.5</v>
      </c>
      <c r="D10357" s="8">
        <f>IFERROR(__xludf.DUMMYFUNCTION("""COMPUTED_VALUE"""),0.275)</f>
        <v>0.275</v>
      </c>
      <c r="E10357" s="8" t="str">
        <f>IFERROR(__xludf.DUMMYFUNCTION("""COMPUTED_VALUE"""),"Real")</f>
        <v>Real</v>
      </c>
      <c r="G10357" s="8">
        <f t="shared" si="1"/>
        <v>1</v>
      </c>
      <c r="H10357" s="14">
        <f t="shared" si="2"/>
        <v>6</v>
      </c>
      <c r="I10357" s="15">
        <f t="shared" si="3"/>
        <v>12</v>
      </c>
    </row>
    <row r="10358">
      <c r="A10358" s="8" t="str">
        <f>IFERROR(__xludf.DUMMYFUNCTION("IF('(INGESTA)Datos_consumo_datadis'!A10358&lt;&gt;"""",SPLIT('(INGESTA)Datos_consumo_datadis'!A:A,"",""),"""")"),"ES0031408323131005HX0F")</f>
        <v>ES0031408323131005HX0F</v>
      </c>
      <c r="B10358" s="12">
        <f>IFERROR(__xludf.DUMMYFUNCTION("""COMPUTED_VALUE"""),45297.0)</f>
        <v>45297</v>
      </c>
      <c r="C10358" s="13">
        <f>IFERROR(__xludf.DUMMYFUNCTION("""COMPUTED_VALUE"""),0.5416666666666666)</f>
        <v>0.5416666667</v>
      </c>
      <c r="D10358" s="8">
        <f>IFERROR(__xludf.DUMMYFUNCTION("""COMPUTED_VALUE"""),0.065)</f>
        <v>0.065</v>
      </c>
      <c r="E10358" s="8" t="str">
        <f>IFERROR(__xludf.DUMMYFUNCTION("""COMPUTED_VALUE"""),"Real")</f>
        <v>Real</v>
      </c>
      <c r="G10358" s="8">
        <f t="shared" si="1"/>
        <v>1</v>
      </c>
      <c r="H10358" s="14">
        <f t="shared" si="2"/>
        <v>6</v>
      </c>
      <c r="I10358" s="15">
        <f t="shared" si="3"/>
        <v>13</v>
      </c>
    </row>
    <row r="10359">
      <c r="A10359" s="8" t="str">
        <f>IFERROR(__xludf.DUMMYFUNCTION("IF('(INGESTA)Datos_consumo_datadis'!A10359&lt;&gt;"""",SPLIT('(INGESTA)Datos_consumo_datadis'!A:A,"",""),"""")"),"ES0031408323131005HX0F")</f>
        <v>ES0031408323131005HX0F</v>
      </c>
      <c r="B10359" s="12">
        <f>IFERROR(__xludf.DUMMYFUNCTION("""COMPUTED_VALUE"""),45297.0)</f>
        <v>45297</v>
      </c>
      <c r="C10359" s="13">
        <f>IFERROR(__xludf.DUMMYFUNCTION("""COMPUTED_VALUE"""),0.5833333333333334)</f>
        <v>0.5833333333</v>
      </c>
      <c r="D10359" s="8">
        <f>IFERROR(__xludf.DUMMYFUNCTION("""COMPUTED_VALUE"""),0.407)</f>
        <v>0.407</v>
      </c>
      <c r="E10359" s="8" t="str">
        <f>IFERROR(__xludf.DUMMYFUNCTION("""COMPUTED_VALUE"""),"Real")</f>
        <v>Real</v>
      </c>
      <c r="G10359" s="8">
        <f t="shared" si="1"/>
        <v>1</v>
      </c>
      <c r="H10359" s="14">
        <f t="shared" si="2"/>
        <v>6</v>
      </c>
      <c r="I10359" s="15">
        <f t="shared" si="3"/>
        <v>14</v>
      </c>
    </row>
    <row r="10360">
      <c r="A10360" s="8" t="str">
        <f>IFERROR(__xludf.DUMMYFUNCTION("IF('(INGESTA)Datos_consumo_datadis'!A10360&lt;&gt;"""",SPLIT('(INGESTA)Datos_consumo_datadis'!A:A,"",""),"""")"),"ES0031408323131005HX0F")</f>
        <v>ES0031408323131005HX0F</v>
      </c>
      <c r="B10360" s="12">
        <f>IFERROR(__xludf.DUMMYFUNCTION("""COMPUTED_VALUE"""),45297.0)</f>
        <v>45297</v>
      </c>
      <c r="C10360" s="13">
        <f>IFERROR(__xludf.DUMMYFUNCTION("""COMPUTED_VALUE"""),0.625)</f>
        <v>0.625</v>
      </c>
      <c r="D10360" s="8">
        <f>IFERROR(__xludf.DUMMYFUNCTION("""COMPUTED_VALUE"""),0.02)</f>
        <v>0.02</v>
      </c>
      <c r="E10360" s="8" t="str">
        <f>IFERROR(__xludf.DUMMYFUNCTION("""COMPUTED_VALUE"""),"Real")</f>
        <v>Real</v>
      </c>
      <c r="G10360" s="8">
        <f t="shared" si="1"/>
        <v>1</v>
      </c>
      <c r="H10360" s="14">
        <f t="shared" si="2"/>
        <v>6</v>
      </c>
      <c r="I10360" s="15">
        <f t="shared" si="3"/>
        <v>15</v>
      </c>
    </row>
    <row r="10361">
      <c r="A10361" s="8" t="str">
        <f>IFERROR(__xludf.DUMMYFUNCTION("IF('(INGESTA)Datos_consumo_datadis'!A10361&lt;&gt;"""",SPLIT('(INGESTA)Datos_consumo_datadis'!A:A,"",""),"""")"),"ES0031408323131005HX0F")</f>
        <v>ES0031408323131005HX0F</v>
      </c>
      <c r="B10361" s="12">
        <f>IFERROR(__xludf.DUMMYFUNCTION("""COMPUTED_VALUE"""),45297.0)</f>
        <v>45297</v>
      </c>
      <c r="C10361" s="13">
        <f>IFERROR(__xludf.DUMMYFUNCTION("""COMPUTED_VALUE"""),0.6666666666666666)</f>
        <v>0.6666666667</v>
      </c>
      <c r="D10361" s="8">
        <f>IFERROR(__xludf.DUMMYFUNCTION("""COMPUTED_VALUE"""),0.107)</f>
        <v>0.107</v>
      </c>
      <c r="E10361" s="8" t="str">
        <f>IFERROR(__xludf.DUMMYFUNCTION("""COMPUTED_VALUE"""),"Real")</f>
        <v>Real</v>
      </c>
      <c r="G10361" s="8">
        <f t="shared" si="1"/>
        <v>1</v>
      </c>
      <c r="H10361" s="14">
        <f t="shared" si="2"/>
        <v>6</v>
      </c>
      <c r="I10361" s="15">
        <f t="shared" si="3"/>
        <v>16</v>
      </c>
    </row>
    <row r="10362">
      <c r="A10362" s="8" t="str">
        <f>IFERROR(__xludf.DUMMYFUNCTION("IF('(INGESTA)Datos_consumo_datadis'!A10362&lt;&gt;"""",SPLIT('(INGESTA)Datos_consumo_datadis'!A:A,"",""),"""")"),"ES0031408323131005HX0F")</f>
        <v>ES0031408323131005HX0F</v>
      </c>
      <c r="B10362" s="12">
        <f>IFERROR(__xludf.DUMMYFUNCTION("""COMPUTED_VALUE"""),45297.0)</f>
        <v>45297</v>
      </c>
      <c r="C10362" s="13">
        <f>IFERROR(__xludf.DUMMYFUNCTION("""COMPUTED_VALUE"""),0.7083333333333334)</f>
        <v>0.7083333333</v>
      </c>
      <c r="D10362" s="8">
        <f>IFERROR(__xludf.DUMMYFUNCTION("""COMPUTED_VALUE"""),0.076)</f>
        <v>0.076</v>
      </c>
      <c r="E10362" s="8" t="str">
        <f>IFERROR(__xludf.DUMMYFUNCTION("""COMPUTED_VALUE"""),"Real")</f>
        <v>Real</v>
      </c>
      <c r="G10362" s="8">
        <f t="shared" si="1"/>
        <v>1</v>
      </c>
      <c r="H10362" s="14">
        <f t="shared" si="2"/>
        <v>6</v>
      </c>
      <c r="I10362" s="15">
        <f t="shared" si="3"/>
        <v>17</v>
      </c>
    </row>
    <row r="10363">
      <c r="A10363" s="8" t="str">
        <f>IFERROR(__xludf.DUMMYFUNCTION("IF('(INGESTA)Datos_consumo_datadis'!A10363&lt;&gt;"""",SPLIT('(INGESTA)Datos_consumo_datadis'!A:A,"",""),"""")"),"ES0031408323131005HX0F")</f>
        <v>ES0031408323131005HX0F</v>
      </c>
      <c r="B10363" s="12">
        <f>IFERROR(__xludf.DUMMYFUNCTION("""COMPUTED_VALUE"""),45297.0)</f>
        <v>45297</v>
      </c>
      <c r="C10363" s="13">
        <f>IFERROR(__xludf.DUMMYFUNCTION("""COMPUTED_VALUE"""),0.75)</f>
        <v>0.75</v>
      </c>
      <c r="D10363" s="8">
        <f>IFERROR(__xludf.DUMMYFUNCTION("""COMPUTED_VALUE"""),0.024)</f>
        <v>0.024</v>
      </c>
      <c r="E10363" s="8" t="str">
        <f>IFERROR(__xludf.DUMMYFUNCTION("""COMPUTED_VALUE"""),"Real")</f>
        <v>Real</v>
      </c>
      <c r="G10363" s="8">
        <f t="shared" si="1"/>
        <v>1</v>
      </c>
      <c r="H10363" s="14">
        <f t="shared" si="2"/>
        <v>6</v>
      </c>
      <c r="I10363" s="15">
        <f t="shared" si="3"/>
        <v>18</v>
      </c>
    </row>
    <row r="10364">
      <c r="A10364" s="8" t="str">
        <f>IFERROR(__xludf.DUMMYFUNCTION("IF('(INGESTA)Datos_consumo_datadis'!A10364&lt;&gt;"""",SPLIT('(INGESTA)Datos_consumo_datadis'!A:A,"",""),"""")"),"ES0031408323131005HX0F")</f>
        <v>ES0031408323131005HX0F</v>
      </c>
      <c r="B10364" s="12">
        <f>IFERROR(__xludf.DUMMYFUNCTION("""COMPUTED_VALUE"""),45297.0)</f>
        <v>45297</v>
      </c>
      <c r="C10364" s="13">
        <f>IFERROR(__xludf.DUMMYFUNCTION("""COMPUTED_VALUE"""),0.7916666666666666)</f>
        <v>0.7916666667</v>
      </c>
      <c r="D10364" s="8">
        <f>IFERROR(__xludf.DUMMYFUNCTION("""COMPUTED_VALUE"""),0.09)</f>
        <v>0.09</v>
      </c>
      <c r="E10364" s="8" t="str">
        <f>IFERROR(__xludf.DUMMYFUNCTION("""COMPUTED_VALUE"""),"Real")</f>
        <v>Real</v>
      </c>
      <c r="G10364" s="8">
        <f t="shared" si="1"/>
        <v>1</v>
      </c>
      <c r="H10364" s="14">
        <f t="shared" si="2"/>
        <v>6</v>
      </c>
      <c r="I10364" s="15">
        <f t="shared" si="3"/>
        <v>19</v>
      </c>
    </row>
    <row r="10365">
      <c r="A10365" s="8" t="str">
        <f>IFERROR(__xludf.DUMMYFUNCTION("IF('(INGESTA)Datos_consumo_datadis'!A10365&lt;&gt;"""",SPLIT('(INGESTA)Datos_consumo_datadis'!A:A,"",""),"""")"),"ES0031408323131005HX0F")</f>
        <v>ES0031408323131005HX0F</v>
      </c>
      <c r="B10365" s="12">
        <f>IFERROR(__xludf.DUMMYFUNCTION("""COMPUTED_VALUE"""),45297.0)</f>
        <v>45297</v>
      </c>
      <c r="C10365" s="13">
        <f>IFERROR(__xludf.DUMMYFUNCTION("""COMPUTED_VALUE"""),0.8333333333333334)</f>
        <v>0.8333333333</v>
      </c>
      <c r="D10365" s="8">
        <f>IFERROR(__xludf.DUMMYFUNCTION("""COMPUTED_VALUE"""),0.372)</f>
        <v>0.372</v>
      </c>
      <c r="E10365" s="8" t="str">
        <f>IFERROR(__xludf.DUMMYFUNCTION("""COMPUTED_VALUE"""),"Real")</f>
        <v>Real</v>
      </c>
      <c r="G10365" s="8">
        <f t="shared" si="1"/>
        <v>1</v>
      </c>
      <c r="H10365" s="14">
        <f t="shared" si="2"/>
        <v>6</v>
      </c>
      <c r="I10365" s="15">
        <f t="shared" si="3"/>
        <v>20</v>
      </c>
    </row>
    <row r="10366">
      <c r="A10366" s="8" t="str">
        <f>IFERROR(__xludf.DUMMYFUNCTION("IF('(INGESTA)Datos_consumo_datadis'!A10366&lt;&gt;"""",SPLIT('(INGESTA)Datos_consumo_datadis'!A:A,"",""),"""")"),"ES0031408323131005HX0F")</f>
        <v>ES0031408323131005HX0F</v>
      </c>
      <c r="B10366" s="12">
        <f>IFERROR(__xludf.DUMMYFUNCTION("""COMPUTED_VALUE"""),45297.0)</f>
        <v>45297</v>
      </c>
      <c r="C10366" s="13">
        <f>IFERROR(__xludf.DUMMYFUNCTION("""COMPUTED_VALUE"""),0.875)</f>
        <v>0.875</v>
      </c>
      <c r="D10366" s="8">
        <f>IFERROR(__xludf.DUMMYFUNCTION("""COMPUTED_VALUE"""),0.026)</f>
        <v>0.026</v>
      </c>
      <c r="E10366" s="8" t="str">
        <f>IFERROR(__xludf.DUMMYFUNCTION("""COMPUTED_VALUE"""),"Real")</f>
        <v>Real</v>
      </c>
      <c r="G10366" s="8">
        <f t="shared" si="1"/>
        <v>1</v>
      </c>
      <c r="H10366" s="14">
        <f t="shared" si="2"/>
        <v>6</v>
      </c>
      <c r="I10366" s="15">
        <f t="shared" si="3"/>
        <v>21</v>
      </c>
    </row>
    <row r="10367">
      <c r="A10367" s="8" t="str">
        <f>IFERROR(__xludf.DUMMYFUNCTION("IF('(INGESTA)Datos_consumo_datadis'!A10367&lt;&gt;"""",SPLIT('(INGESTA)Datos_consumo_datadis'!A:A,"",""),"""")"),"ES0031408323131005HX0F")</f>
        <v>ES0031408323131005HX0F</v>
      </c>
      <c r="B10367" s="12">
        <f>IFERROR(__xludf.DUMMYFUNCTION("""COMPUTED_VALUE"""),45297.0)</f>
        <v>45297</v>
      </c>
      <c r="C10367" s="13">
        <f>IFERROR(__xludf.DUMMYFUNCTION("""COMPUTED_VALUE"""),0.9166666666666666)</f>
        <v>0.9166666667</v>
      </c>
      <c r="D10367" s="8">
        <f>IFERROR(__xludf.DUMMYFUNCTION("""COMPUTED_VALUE"""),0.066)</f>
        <v>0.066</v>
      </c>
      <c r="E10367" s="8" t="str">
        <f>IFERROR(__xludf.DUMMYFUNCTION("""COMPUTED_VALUE"""),"Real")</f>
        <v>Real</v>
      </c>
      <c r="G10367" s="8">
        <f t="shared" si="1"/>
        <v>1</v>
      </c>
      <c r="H10367" s="14">
        <f t="shared" si="2"/>
        <v>6</v>
      </c>
      <c r="I10367" s="15">
        <f t="shared" si="3"/>
        <v>22</v>
      </c>
    </row>
    <row r="10368">
      <c r="A10368" s="8" t="str">
        <f>IFERROR(__xludf.DUMMYFUNCTION("IF('(INGESTA)Datos_consumo_datadis'!A10368&lt;&gt;"""",SPLIT('(INGESTA)Datos_consumo_datadis'!A:A,"",""),"""")"),"ES0031408323131005HX0F")</f>
        <v>ES0031408323131005HX0F</v>
      </c>
      <c r="B10368" s="12">
        <f>IFERROR(__xludf.DUMMYFUNCTION("""COMPUTED_VALUE"""),45297.0)</f>
        <v>45297</v>
      </c>
      <c r="C10368" s="13">
        <f>IFERROR(__xludf.DUMMYFUNCTION("""COMPUTED_VALUE"""),0.9583333333333334)</f>
        <v>0.9583333333</v>
      </c>
      <c r="D10368" s="8">
        <f>IFERROR(__xludf.DUMMYFUNCTION("""COMPUTED_VALUE"""),0.064)</f>
        <v>0.064</v>
      </c>
      <c r="E10368" s="8" t="str">
        <f>IFERROR(__xludf.DUMMYFUNCTION("""COMPUTED_VALUE"""),"Real")</f>
        <v>Real</v>
      </c>
      <c r="G10368" s="8">
        <f t="shared" si="1"/>
        <v>1</v>
      </c>
      <c r="H10368" s="14">
        <f t="shared" si="2"/>
        <v>6</v>
      </c>
      <c r="I10368" s="15">
        <f t="shared" si="3"/>
        <v>23</v>
      </c>
    </row>
    <row r="10369">
      <c r="A10369" s="8" t="str">
        <f>IFERROR(__xludf.DUMMYFUNCTION("IF('(INGESTA)Datos_consumo_datadis'!A10369&lt;&gt;"""",SPLIT('(INGESTA)Datos_consumo_datadis'!A:A,"",""),"""")"),"ES0031408323131005HX0F")</f>
        <v>ES0031408323131005HX0F</v>
      </c>
      <c r="B10369" s="12">
        <f>IFERROR(__xludf.DUMMYFUNCTION("""COMPUTED_VALUE"""),45297.0)</f>
        <v>45297</v>
      </c>
      <c r="C10369" s="16">
        <f>IFERROR(__xludf.DUMMYFUNCTION("""COMPUTED_VALUE"""),1.0)</f>
        <v>1</v>
      </c>
      <c r="D10369" s="8">
        <f>IFERROR(__xludf.DUMMYFUNCTION("""COMPUTED_VALUE"""),0.071)</f>
        <v>0.071</v>
      </c>
      <c r="E10369" s="8" t="str">
        <f>IFERROR(__xludf.DUMMYFUNCTION("""COMPUTED_VALUE"""),"Real")</f>
        <v>Real</v>
      </c>
      <c r="G10369" s="8">
        <f t="shared" si="1"/>
        <v>1</v>
      </c>
      <c r="H10369" s="14">
        <f t="shared" si="2"/>
        <v>6</v>
      </c>
      <c r="I10369" s="15">
        <f t="shared" si="3"/>
        <v>0</v>
      </c>
    </row>
    <row r="10370">
      <c r="A10370" s="8" t="str">
        <f>IFERROR(__xludf.DUMMYFUNCTION("IF('(INGESTA)Datos_consumo_datadis'!A10370&lt;&gt;"""",SPLIT('(INGESTA)Datos_consumo_datadis'!A:A,"",""),"""")"),"ES0031408323131005HX0F")</f>
        <v>ES0031408323131005HX0F</v>
      </c>
      <c r="B10370" s="12">
        <f>IFERROR(__xludf.DUMMYFUNCTION("""COMPUTED_VALUE"""),45298.0)</f>
        <v>45298</v>
      </c>
      <c r="C10370" s="13">
        <f>IFERROR(__xludf.DUMMYFUNCTION("""COMPUTED_VALUE"""),0.041666666666666664)</f>
        <v>0.04166666667</v>
      </c>
      <c r="D10370" s="8">
        <f>IFERROR(__xludf.DUMMYFUNCTION("""COMPUTED_VALUE"""),0.021)</f>
        <v>0.021</v>
      </c>
      <c r="E10370" s="8" t="str">
        <f>IFERROR(__xludf.DUMMYFUNCTION("""COMPUTED_VALUE"""),"Real")</f>
        <v>Real</v>
      </c>
      <c r="G10370" s="8">
        <f t="shared" si="1"/>
        <v>1</v>
      </c>
      <c r="H10370" s="14">
        <f t="shared" si="2"/>
        <v>7</v>
      </c>
      <c r="I10370" s="15">
        <f t="shared" si="3"/>
        <v>1</v>
      </c>
    </row>
    <row r="10371">
      <c r="A10371" s="8" t="str">
        <f>IFERROR(__xludf.DUMMYFUNCTION("IF('(INGESTA)Datos_consumo_datadis'!A10371&lt;&gt;"""",SPLIT('(INGESTA)Datos_consumo_datadis'!A:A,"",""),"""")"),"ES0031408323131005HX0F")</f>
        <v>ES0031408323131005HX0F</v>
      </c>
      <c r="B10371" s="12">
        <f>IFERROR(__xludf.DUMMYFUNCTION("""COMPUTED_VALUE"""),45298.0)</f>
        <v>45298</v>
      </c>
      <c r="C10371" s="13">
        <f>IFERROR(__xludf.DUMMYFUNCTION("""COMPUTED_VALUE"""),0.08333333333333333)</f>
        <v>0.08333333333</v>
      </c>
      <c r="D10371" s="8">
        <f>IFERROR(__xludf.DUMMYFUNCTION("""COMPUTED_VALUE"""),0.395)</f>
        <v>0.395</v>
      </c>
      <c r="E10371" s="8" t="str">
        <f>IFERROR(__xludf.DUMMYFUNCTION("""COMPUTED_VALUE"""),"Real")</f>
        <v>Real</v>
      </c>
      <c r="G10371" s="8">
        <f t="shared" si="1"/>
        <v>1</v>
      </c>
      <c r="H10371" s="14">
        <f t="shared" si="2"/>
        <v>7</v>
      </c>
      <c r="I10371" s="15">
        <f t="shared" si="3"/>
        <v>2</v>
      </c>
    </row>
    <row r="10372">
      <c r="A10372" s="8" t="str">
        <f>IFERROR(__xludf.DUMMYFUNCTION("IF('(INGESTA)Datos_consumo_datadis'!A10372&lt;&gt;"""",SPLIT('(INGESTA)Datos_consumo_datadis'!A:A,"",""),"""")"),"ES0031408323131005HX0F")</f>
        <v>ES0031408323131005HX0F</v>
      </c>
      <c r="B10372" s="12">
        <f>IFERROR(__xludf.DUMMYFUNCTION("""COMPUTED_VALUE"""),45298.0)</f>
        <v>45298</v>
      </c>
      <c r="C10372" s="13">
        <f>IFERROR(__xludf.DUMMYFUNCTION("""COMPUTED_VALUE"""),0.125)</f>
        <v>0.125</v>
      </c>
      <c r="D10372" s="8">
        <f>IFERROR(__xludf.DUMMYFUNCTION("""COMPUTED_VALUE"""),0.103)</f>
        <v>0.103</v>
      </c>
      <c r="E10372" s="8" t="str">
        <f>IFERROR(__xludf.DUMMYFUNCTION("""COMPUTED_VALUE"""),"Real")</f>
        <v>Real</v>
      </c>
      <c r="G10372" s="8">
        <f t="shared" si="1"/>
        <v>1</v>
      </c>
      <c r="H10372" s="14">
        <f t="shared" si="2"/>
        <v>7</v>
      </c>
      <c r="I10372" s="15">
        <f t="shared" si="3"/>
        <v>3</v>
      </c>
    </row>
    <row r="10373">
      <c r="A10373" s="8" t="str">
        <f>IFERROR(__xludf.DUMMYFUNCTION("IF('(INGESTA)Datos_consumo_datadis'!A10373&lt;&gt;"""",SPLIT('(INGESTA)Datos_consumo_datadis'!A:A,"",""),"""")"),"ES0031408323131005HX0F")</f>
        <v>ES0031408323131005HX0F</v>
      </c>
      <c r="B10373" s="12">
        <f>IFERROR(__xludf.DUMMYFUNCTION("""COMPUTED_VALUE"""),45298.0)</f>
        <v>45298</v>
      </c>
      <c r="C10373" s="13">
        <f>IFERROR(__xludf.DUMMYFUNCTION("""COMPUTED_VALUE"""),0.16666666666666666)</f>
        <v>0.1666666667</v>
      </c>
      <c r="D10373" s="8">
        <f>IFERROR(__xludf.DUMMYFUNCTION("""COMPUTED_VALUE"""),0.042)</f>
        <v>0.042</v>
      </c>
      <c r="E10373" s="8" t="str">
        <f>IFERROR(__xludf.DUMMYFUNCTION("""COMPUTED_VALUE"""),"Real")</f>
        <v>Real</v>
      </c>
      <c r="G10373" s="8">
        <f t="shared" si="1"/>
        <v>1</v>
      </c>
      <c r="H10373" s="14">
        <f t="shared" si="2"/>
        <v>7</v>
      </c>
      <c r="I10373" s="15">
        <f t="shared" si="3"/>
        <v>4</v>
      </c>
    </row>
    <row r="10374">
      <c r="A10374" s="8" t="str">
        <f>IFERROR(__xludf.DUMMYFUNCTION("IF('(INGESTA)Datos_consumo_datadis'!A10374&lt;&gt;"""",SPLIT('(INGESTA)Datos_consumo_datadis'!A:A,"",""),"""")"),"ES0031408323131005HX0F")</f>
        <v>ES0031408323131005HX0F</v>
      </c>
      <c r="B10374" s="12">
        <f>IFERROR(__xludf.DUMMYFUNCTION("""COMPUTED_VALUE"""),45298.0)</f>
        <v>45298</v>
      </c>
      <c r="C10374" s="13">
        <f>IFERROR(__xludf.DUMMYFUNCTION("""COMPUTED_VALUE"""),0.20833333333333334)</f>
        <v>0.2083333333</v>
      </c>
      <c r="D10374" s="8">
        <f>IFERROR(__xludf.DUMMYFUNCTION("""COMPUTED_VALUE"""),0.054)</f>
        <v>0.054</v>
      </c>
      <c r="E10374" s="8" t="str">
        <f>IFERROR(__xludf.DUMMYFUNCTION("""COMPUTED_VALUE"""),"Real")</f>
        <v>Real</v>
      </c>
      <c r="G10374" s="8">
        <f t="shared" si="1"/>
        <v>1</v>
      </c>
      <c r="H10374" s="14">
        <f t="shared" si="2"/>
        <v>7</v>
      </c>
      <c r="I10374" s="15">
        <f t="shared" si="3"/>
        <v>5</v>
      </c>
    </row>
    <row r="10375">
      <c r="A10375" s="8" t="str">
        <f>IFERROR(__xludf.DUMMYFUNCTION("IF('(INGESTA)Datos_consumo_datadis'!A10375&lt;&gt;"""",SPLIT('(INGESTA)Datos_consumo_datadis'!A:A,"",""),"""")"),"ES0031408323131005HX0F")</f>
        <v>ES0031408323131005HX0F</v>
      </c>
      <c r="B10375" s="12">
        <f>IFERROR(__xludf.DUMMYFUNCTION("""COMPUTED_VALUE"""),45298.0)</f>
        <v>45298</v>
      </c>
      <c r="C10375" s="13">
        <f>IFERROR(__xludf.DUMMYFUNCTION("""COMPUTED_VALUE"""),0.25)</f>
        <v>0.25</v>
      </c>
      <c r="D10375" s="8">
        <f>IFERROR(__xludf.DUMMYFUNCTION("""COMPUTED_VALUE"""),0.061)</f>
        <v>0.061</v>
      </c>
      <c r="E10375" s="8" t="str">
        <f>IFERROR(__xludf.DUMMYFUNCTION("""COMPUTED_VALUE"""),"Real")</f>
        <v>Real</v>
      </c>
      <c r="G10375" s="8">
        <f t="shared" si="1"/>
        <v>1</v>
      </c>
      <c r="H10375" s="14">
        <f t="shared" si="2"/>
        <v>7</v>
      </c>
      <c r="I10375" s="15">
        <f t="shared" si="3"/>
        <v>6</v>
      </c>
    </row>
    <row r="10376">
      <c r="A10376" s="8" t="str">
        <f>IFERROR(__xludf.DUMMYFUNCTION("IF('(INGESTA)Datos_consumo_datadis'!A10376&lt;&gt;"""",SPLIT('(INGESTA)Datos_consumo_datadis'!A:A,"",""),"""")"),"ES0031408323131005HX0F")</f>
        <v>ES0031408323131005HX0F</v>
      </c>
      <c r="B10376" s="12">
        <f>IFERROR(__xludf.DUMMYFUNCTION("""COMPUTED_VALUE"""),45298.0)</f>
        <v>45298</v>
      </c>
      <c r="C10376" s="13">
        <f>IFERROR(__xludf.DUMMYFUNCTION("""COMPUTED_VALUE"""),0.2916666666666667)</f>
        <v>0.2916666667</v>
      </c>
      <c r="D10376" s="8">
        <f>IFERROR(__xludf.DUMMYFUNCTION("""COMPUTED_VALUE"""),0.375)</f>
        <v>0.375</v>
      </c>
      <c r="E10376" s="8" t="str">
        <f>IFERROR(__xludf.DUMMYFUNCTION("""COMPUTED_VALUE"""),"Real")</f>
        <v>Real</v>
      </c>
      <c r="G10376" s="8">
        <f t="shared" si="1"/>
        <v>1</v>
      </c>
      <c r="H10376" s="14">
        <f t="shared" si="2"/>
        <v>7</v>
      </c>
      <c r="I10376" s="15">
        <f t="shared" si="3"/>
        <v>7</v>
      </c>
    </row>
    <row r="10377">
      <c r="A10377" s="8" t="str">
        <f>IFERROR(__xludf.DUMMYFUNCTION("IF('(INGESTA)Datos_consumo_datadis'!A10377&lt;&gt;"""",SPLIT('(INGESTA)Datos_consumo_datadis'!A:A,"",""),"""")"),"ES0031408323131005HX0F")</f>
        <v>ES0031408323131005HX0F</v>
      </c>
      <c r="B10377" s="12">
        <f>IFERROR(__xludf.DUMMYFUNCTION("""COMPUTED_VALUE"""),45298.0)</f>
        <v>45298</v>
      </c>
      <c r="C10377" s="13">
        <f>IFERROR(__xludf.DUMMYFUNCTION("""COMPUTED_VALUE"""),0.3333333333333333)</f>
        <v>0.3333333333</v>
      </c>
      <c r="D10377" s="8">
        <f>IFERROR(__xludf.DUMMYFUNCTION("""COMPUTED_VALUE"""),0.023)</f>
        <v>0.023</v>
      </c>
      <c r="E10377" s="8" t="str">
        <f>IFERROR(__xludf.DUMMYFUNCTION("""COMPUTED_VALUE"""),"Real")</f>
        <v>Real</v>
      </c>
      <c r="G10377" s="8">
        <f t="shared" si="1"/>
        <v>1</v>
      </c>
      <c r="H10377" s="14">
        <f t="shared" si="2"/>
        <v>7</v>
      </c>
      <c r="I10377" s="15">
        <f t="shared" si="3"/>
        <v>8</v>
      </c>
    </row>
    <row r="10378">
      <c r="A10378" s="8" t="str">
        <f>IFERROR(__xludf.DUMMYFUNCTION("IF('(INGESTA)Datos_consumo_datadis'!A10378&lt;&gt;"""",SPLIT('(INGESTA)Datos_consumo_datadis'!A:A,"",""),"""")"),"ES0031408323131005HX0F")</f>
        <v>ES0031408323131005HX0F</v>
      </c>
      <c r="B10378" s="12">
        <f>IFERROR(__xludf.DUMMYFUNCTION("""COMPUTED_VALUE"""),45298.0)</f>
        <v>45298</v>
      </c>
      <c r="C10378" s="13">
        <f>IFERROR(__xludf.DUMMYFUNCTION("""COMPUTED_VALUE"""),0.375)</f>
        <v>0.375</v>
      </c>
      <c r="D10378" s="8">
        <f>IFERROR(__xludf.DUMMYFUNCTION("""COMPUTED_VALUE"""),0.087)</f>
        <v>0.087</v>
      </c>
      <c r="E10378" s="8" t="str">
        <f>IFERROR(__xludf.DUMMYFUNCTION("""COMPUTED_VALUE"""),"Real")</f>
        <v>Real</v>
      </c>
      <c r="G10378" s="8">
        <f t="shared" si="1"/>
        <v>1</v>
      </c>
      <c r="H10378" s="14">
        <f t="shared" si="2"/>
        <v>7</v>
      </c>
      <c r="I10378" s="15">
        <f t="shared" si="3"/>
        <v>9</v>
      </c>
    </row>
    <row r="10379">
      <c r="A10379" s="8" t="str">
        <f>IFERROR(__xludf.DUMMYFUNCTION("IF('(INGESTA)Datos_consumo_datadis'!A10379&lt;&gt;"""",SPLIT('(INGESTA)Datos_consumo_datadis'!A:A,"",""),"""")"),"ES0031408323131005HX0F")</f>
        <v>ES0031408323131005HX0F</v>
      </c>
      <c r="B10379" s="12">
        <f>IFERROR(__xludf.DUMMYFUNCTION("""COMPUTED_VALUE"""),45298.0)</f>
        <v>45298</v>
      </c>
      <c r="C10379" s="13">
        <f>IFERROR(__xludf.DUMMYFUNCTION("""COMPUTED_VALUE"""),0.4166666666666667)</f>
        <v>0.4166666667</v>
      </c>
      <c r="D10379" s="8">
        <f>IFERROR(__xludf.DUMMYFUNCTION("""COMPUTED_VALUE"""),0.06)</f>
        <v>0.06</v>
      </c>
      <c r="E10379" s="8" t="str">
        <f>IFERROR(__xludf.DUMMYFUNCTION("""COMPUTED_VALUE"""),"Real")</f>
        <v>Real</v>
      </c>
      <c r="G10379" s="8">
        <f t="shared" si="1"/>
        <v>1</v>
      </c>
      <c r="H10379" s="14">
        <f t="shared" si="2"/>
        <v>7</v>
      </c>
      <c r="I10379" s="15">
        <f t="shared" si="3"/>
        <v>10</v>
      </c>
    </row>
    <row r="10380">
      <c r="A10380" s="8" t="str">
        <f>IFERROR(__xludf.DUMMYFUNCTION("IF('(INGESTA)Datos_consumo_datadis'!A10380&lt;&gt;"""",SPLIT('(INGESTA)Datos_consumo_datadis'!A:A,"",""),"""")"),"ES0031408323131005HX0F")</f>
        <v>ES0031408323131005HX0F</v>
      </c>
      <c r="B10380" s="12">
        <f>IFERROR(__xludf.DUMMYFUNCTION("""COMPUTED_VALUE"""),45298.0)</f>
        <v>45298</v>
      </c>
      <c r="C10380" s="13">
        <f>IFERROR(__xludf.DUMMYFUNCTION("""COMPUTED_VALUE"""),0.4583333333333333)</f>
        <v>0.4583333333</v>
      </c>
      <c r="D10380" s="8">
        <f>IFERROR(__xludf.DUMMYFUNCTION("""COMPUTED_VALUE"""),0.06)</f>
        <v>0.06</v>
      </c>
      <c r="E10380" s="8" t="str">
        <f>IFERROR(__xludf.DUMMYFUNCTION("""COMPUTED_VALUE"""),"Real")</f>
        <v>Real</v>
      </c>
      <c r="G10380" s="8">
        <f t="shared" si="1"/>
        <v>1</v>
      </c>
      <c r="H10380" s="14">
        <f t="shared" si="2"/>
        <v>7</v>
      </c>
      <c r="I10380" s="15">
        <f t="shared" si="3"/>
        <v>11</v>
      </c>
    </row>
    <row r="10381">
      <c r="A10381" s="8" t="str">
        <f>IFERROR(__xludf.DUMMYFUNCTION("IF('(INGESTA)Datos_consumo_datadis'!A10381&lt;&gt;"""",SPLIT('(INGESTA)Datos_consumo_datadis'!A:A,"",""),"""")"),"ES0031408323131005HX0F")</f>
        <v>ES0031408323131005HX0F</v>
      </c>
      <c r="B10381" s="12">
        <f>IFERROR(__xludf.DUMMYFUNCTION("""COMPUTED_VALUE"""),45298.0)</f>
        <v>45298</v>
      </c>
      <c r="C10381" s="13">
        <f>IFERROR(__xludf.DUMMYFUNCTION("""COMPUTED_VALUE"""),0.5)</f>
        <v>0.5</v>
      </c>
      <c r="D10381" s="8">
        <f>IFERROR(__xludf.DUMMYFUNCTION("""COMPUTED_VALUE"""),0.026)</f>
        <v>0.026</v>
      </c>
      <c r="E10381" s="8" t="str">
        <f>IFERROR(__xludf.DUMMYFUNCTION("""COMPUTED_VALUE"""),"Real")</f>
        <v>Real</v>
      </c>
      <c r="G10381" s="8">
        <f t="shared" si="1"/>
        <v>1</v>
      </c>
      <c r="H10381" s="14">
        <f t="shared" si="2"/>
        <v>7</v>
      </c>
      <c r="I10381" s="15">
        <f t="shared" si="3"/>
        <v>12</v>
      </c>
    </row>
    <row r="10382">
      <c r="A10382" s="8" t="str">
        <f>IFERROR(__xludf.DUMMYFUNCTION("IF('(INGESTA)Datos_consumo_datadis'!A10382&lt;&gt;"""",SPLIT('(INGESTA)Datos_consumo_datadis'!A:A,"",""),"""")"),"ES0031408323131005HX0F")</f>
        <v>ES0031408323131005HX0F</v>
      </c>
      <c r="B10382" s="12">
        <f>IFERROR(__xludf.DUMMYFUNCTION("""COMPUTED_VALUE"""),45298.0)</f>
        <v>45298</v>
      </c>
      <c r="C10382" s="13">
        <f>IFERROR(__xludf.DUMMYFUNCTION("""COMPUTED_VALUE"""),0.5416666666666666)</f>
        <v>0.5416666667</v>
      </c>
      <c r="D10382" s="8">
        <f>IFERROR(__xludf.DUMMYFUNCTION("""COMPUTED_VALUE"""),0.39)</f>
        <v>0.39</v>
      </c>
      <c r="E10382" s="8" t="str">
        <f>IFERROR(__xludf.DUMMYFUNCTION("""COMPUTED_VALUE"""),"Real")</f>
        <v>Real</v>
      </c>
      <c r="G10382" s="8">
        <f t="shared" si="1"/>
        <v>1</v>
      </c>
      <c r="H10382" s="14">
        <f t="shared" si="2"/>
        <v>7</v>
      </c>
      <c r="I10382" s="15">
        <f t="shared" si="3"/>
        <v>13</v>
      </c>
    </row>
    <row r="10383">
      <c r="A10383" s="8" t="str">
        <f>IFERROR(__xludf.DUMMYFUNCTION("IF('(INGESTA)Datos_consumo_datadis'!A10383&lt;&gt;"""",SPLIT('(INGESTA)Datos_consumo_datadis'!A:A,"",""),"""")"),"ES0031408323131005HX0F")</f>
        <v>ES0031408323131005HX0F</v>
      </c>
      <c r="B10383" s="12">
        <f>IFERROR(__xludf.DUMMYFUNCTION("""COMPUTED_VALUE"""),45298.0)</f>
        <v>45298</v>
      </c>
      <c r="C10383" s="13">
        <f>IFERROR(__xludf.DUMMYFUNCTION("""COMPUTED_VALUE"""),0.5833333333333334)</f>
        <v>0.5833333333</v>
      </c>
      <c r="D10383" s="8">
        <f>IFERROR(__xludf.DUMMYFUNCTION("""COMPUTED_VALUE"""),0.087)</f>
        <v>0.087</v>
      </c>
      <c r="E10383" s="8" t="str">
        <f>IFERROR(__xludf.DUMMYFUNCTION("""COMPUTED_VALUE"""),"Real")</f>
        <v>Real</v>
      </c>
      <c r="G10383" s="8">
        <f t="shared" si="1"/>
        <v>1</v>
      </c>
      <c r="H10383" s="14">
        <f t="shared" si="2"/>
        <v>7</v>
      </c>
      <c r="I10383" s="15">
        <f t="shared" si="3"/>
        <v>14</v>
      </c>
    </row>
    <row r="10384">
      <c r="A10384" s="8" t="str">
        <f>IFERROR(__xludf.DUMMYFUNCTION("IF('(INGESTA)Datos_consumo_datadis'!A10384&lt;&gt;"""",SPLIT('(INGESTA)Datos_consumo_datadis'!A:A,"",""),"""")"),"ES0031408323131005HX0F")</f>
        <v>ES0031408323131005HX0F</v>
      </c>
      <c r="B10384" s="12">
        <f>IFERROR(__xludf.DUMMYFUNCTION("""COMPUTED_VALUE"""),45298.0)</f>
        <v>45298</v>
      </c>
      <c r="C10384" s="13">
        <f>IFERROR(__xludf.DUMMYFUNCTION("""COMPUTED_VALUE"""),0.625)</f>
        <v>0.625</v>
      </c>
      <c r="D10384" s="8">
        <f>IFERROR(__xludf.DUMMYFUNCTION("""COMPUTED_VALUE"""),0.028)</f>
        <v>0.028</v>
      </c>
      <c r="E10384" s="8" t="str">
        <f>IFERROR(__xludf.DUMMYFUNCTION("""COMPUTED_VALUE"""),"Real")</f>
        <v>Real</v>
      </c>
      <c r="G10384" s="8">
        <f t="shared" si="1"/>
        <v>1</v>
      </c>
      <c r="H10384" s="14">
        <f t="shared" si="2"/>
        <v>7</v>
      </c>
      <c r="I10384" s="15">
        <f t="shared" si="3"/>
        <v>15</v>
      </c>
    </row>
    <row r="10385">
      <c r="A10385" s="8" t="str">
        <f>IFERROR(__xludf.DUMMYFUNCTION("IF('(INGESTA)Datos_consumo_datadis'!A10385&lt;&gt;"""",SPLIT('(INGESTA)Datos_consumo_datadis'!A:A,"",""),"""")"),"ES0031408323131005HX0F")</f>
        <v>ES0031408323131005HX0F</v>
      </c>
      <c r="B10385" s="12">
        <f>IFERROR(__xludf.DUMMYFUNCTION("""COMPUTED_VALUE"""),45298.0)</f>
        <v>45298</v>
      </c>
      <c r="C10385" s="13">
        <f>IFERROR(__xludf.DUMMYFUNCTION("""COMPUTED_VALUE"""),0.6666666666666666)</f>
        <v>0.6666666667</v>
      </c>
      <c r="D10385" s="8">
        <f>IFERROR(__xludf.DUMMYFUNCTION("""COMPUTED_VALUE"""),0.055)</f>
        <v>0.055</v>
      </c>
      <c r="E10385" s="8" t="str">
        <f>IFERROR(__xludf.DUMMYFUNCTION("""COMPUTED_VALUE"""),"Real")</f>
        <v>Real</v>
      </c>
      <c r="G10385" s="8">
        <f t="shared" si="1"/>
        <v>1</v>
      </c>
      <c r="H10385" s="14">
        <f t="shared" si="2"/>
        <v>7</v>
      </c>
      <c r="I10385" s="15">
        <f t="shared" si="3"/>
        <v>16</v>
      </c>
    </row>
    <row r="10386">
      <c r="A10386" s="8" t="str">
        <f>IFERROR(__xludf.DUMMYFUNCTION("IF('(INGESTA)Datos_consumo_datadis'!A10386&lt;&gt;"""",SPLIT('(INGESTA)Datos_consumo_datadis'!A:A,"",""),"""")"),"ES0031408323131005HX0F")</f>
        <v>ES0031408323131005HX0F</v>
      </c>
      <c r="B10386" s="12">
        <f>IFERROR(__xludf.DUMMYFUNCTION("""COMPUTED_VALUE"""),45298.0)</f>
        <v>45298</v>
      </c>
      <c r="C10386" s="13">
        <f>IFERROR(__xludf.DUMMYFUNCTION("""COMPUTED_VALUE"""),0.7083333333333334)</f>
        <v>0.7083333333</v>
      </c>
      <c r="D10386" s="8">
        <f>IFERROR(__xludf.DUMMYFUNCTION("""COMPUTED_VALUE"""),0.06)</f>
        <v>0.06</v>
      </c>
      <c r="E10386" s="8" t="str">
        <f>IFERROR(__xludf.DUMMYFUNCTION("""COMPUTED_VALUE"""),"Real")</f>
        <v>Real</v>
      </c>
      <c r="G10386" s="8">
        <f t="shared" si="1"/>
        <v>1</v>
      </c>
      <c r="H10386" s="14">
        <f t="shared" si="2"/>
        <v>7</v>
      </c>
      <c r="I10386" s="15">
        <f t="shared" si="3"/>
        <v>17</v>
      </c>
    </row>
    <row r="10387">
      <c r="A10387" s="8" t="str">
        <f>IFERROR(__xludf.DUMMYFUNCTION("IF('(INGESTA)Datos_consumo_datadis'!A10387&lt;&gt;"""",SPLIT('(INGESTA)Datos_consumo_datadis'!A:A,"",""),"""")"),"ES0031408323131005HX0F")</f>
        <v>ES0031408323131005HX0F</v>
      </c>
      <c r="B10387" s="12">
        <f>IFERROR(__xludf.DUMMYFUNCTION("""COMPUTED_VALUE"""),45298.0)</f>
        <v>45298</v>
      </c>
      <c r="C10387" s="13">
        <f>IFERROR(__xludf.DUMMYFUNCTION("""COMPUTED_VALUE"""),0.75)</f>
        <v>0.75</v>
      </c>
      <c r="D10387" s="8">
        <f>IFERROR(__xludf.DUMMYFUNCTION("""COMPUTED_VALUE"""),0.084)</f>
        <v>0.084</v>
      </c>
      <c r="E10387" s="8" t="str">
        <f>IFERROR(__xludf.DUMMYFUNCTION("""COMPUTED_VALUE"""),"Real")</f>
        <v>Real</v>
      </c>
      <c r="G10387" s="8">
        <f t="shared" si="1"/>
        <v>1</v>
      </c>
      <c r="H10387" s="14">
        <f t="shared" si="2"/>
        <v>7</v>
      </c>
      <c r="I10387" s="15">
        <f t="shared" si="3"/>
        <v>18</v>
      </c>
    </row>
    <row r="10388">
      <c r="A10388" s="8" t="str">
        <f>IFERROR(__xludf.DUMMYFUNCTION("IF('(INGESTA)Datos_consumo_datadis'!A10388&lt;&gt;"""",SPLIT('(INGESTA)Datos_consumo_datadis'!A:A,"",""),"""")"),"ES0031408323131005HX0F")</f>
        <v>ES0031408323131005HX0F</v>
      </c>
      <c r="B10388" s="12">
        <f>IFERROR(__xludf.DUMMYFUNCTION("""COMPUTED_VALUE"""),45298.0)</f>
        <v>45298</v>
      </c>
      <c r="C10388" s="13">
        <f>IFERROR(__xludf.DUMMYFUNCTION("""COMPUTED_VALUE"""),0.7916666666666666)</f>
        <v>0.7916666667</v>
      </c>
      <c r="D10388" s="8">
        <f>IFERROR(__xludf.DUMMYFUNCTION("""COMPUTED_VALUE"""),0.311)</f>
        <v>0.311</v>
      </c>
      <c r="E10388" s="8" t="str">
        <f>IFERROR(__xludf.DUMMYFUNCTION("""COMPUTED_VALUE"""),"Real")</f>
        <v>Real</v>
      </c>
      <c r="G10388" s="8">
        <f t="shared" si="1"/>
        <v>1</v>
      </c>
      <c r="H10388" s="14">
        <f t="shared" si="2"/>
        <v>7</v>
      </c>
      <c r="I10388" s="15">
        <f t="shared" si="3"/>
        <v>19</v>
      </c>
    </row>
    <row r="10389">
      <c r="A10389" s="8" t="str">
        <f>IFERROR(__xludf.DUMMYFUNCTION("IF('(INGESTA)Datos_consumo_datadis'!A10389&lt;&gt;"""",SPLIT('(INGESTA)Datos_consumo_datadis'!A:A,"",""),"""")"),"ES0031408323131005HX0F")</f>
        <v>ES0031408323131005HX0F</v>
      </c>
      <c r="B10389" s="12">
        <f>IFERROR(__xludf.DUMMYFUNCTION("""COMPUTED_VALUE"""),45298.0)</f>
        <v>45298</v>
      </c>
      <c r="C10389" s="13">
        <f>IFERROR(__xludf.DUMMYFUNCTION("""COMPUTED_VALUE"""),0.8333333333333334)</f>
        <v>0.8333333333</v>
      </c>
      <c r="D10389" s="8">
        <f>IFERROR(__xludf.DUMMYFUNCTION("""COMPUTED_VALUE"""),0.014)</f>
        <v>0.014</v>
      </c>
      <c r="E10389" s="8" t="str">
        <f>IFERROR(__xludf.DUMMYFUNCTION("""COMPUTED_VALUE"""),"Real")</f>
        <v>Real</v>
      </c>
      <c r="G10389" s="8">
        <f t="shared" si="1"/>
        <v>1</v>
      </c>
      <c r="H10389" s="14">
        <f t="shared" si="2"/>
        <v>7</v>
      </c>
      <c r="I10389" s="15">
        <f t="shared" si="3"/>
        <v>20</v>
      </c>
    </row>
    <row r="10390">
      <c r="A10390" s="8" t="str">
        <f>IFERROR(__xludf.DUMMYFUNCTION("IF('(INGESTA)Datos_consumo_datadis'!A10390&lt;&gt;"""",SPLIT('(INGESTA)Datos_consumo_datadis'!A:A,"",""),"""")"),"ES0031408323131005HX0F")</f>
        <v>ES0031408323131005HX0F</v>
      </c>
      <c r="B10390" s="12">
        <f>IFERROR(__xludf.DUMMYFUNCTION("""COMPUTED_VALUE"""),45298.0)</f>
        <v>45298</v>
      </c>
      <c r="C10390" s="13">
        <f>IFERROR(__xludf.DUMMYFUNCTION("""COMPUTED_VALUE"""),0.875)</f>
        <v>0.875</v>
      </c>
      <c r="D10390" s="8">
        <f>IFERROR(__xludf.DUMMYFUNCTION("""COMPUTED_VALUE"""),0.026)</f>
        <v>0.026</v>
      </c>
      <c r="E10390" s="8" t="str">
        <f>IFERROR(__xludf.DUMMYFUNCTION("""COMPUTED_VALUE"""),"Real")</f>
        <v>Real</v>
      </c>
      <c r="G10390" s="8">
        <f t="shared" si="1"/>
        <v>1</v>
      </c>
      <c r="H10390" s="14">
        <f t="shared" si="2"/>
        <v>7</v>
      </c>
      <c r="I10390" s="15">
        <f t="shared" si="3"/>
        <v>21</v>
      </c>
    </row>
    <row r="10391">
      <c r="A10391" s="8" t="str">
        <f>IFERROR(__xludf.DUMMYFUNCTION("IF('(INGESTA)Datos_consumo_datadis'!A10391&lt;&gt;"""",SPLIT('(INGESTA)Datos_consumo_datadis'!A:A,"",""),"""")"),"ES0031408323131005HX0F")</f>
        <v>ES0031408323131005HX0F</v>
      </c>
      <c r="B10391" s="12">
        <f>IFERROR(__xludf.DUMMYFUNCTION("""COMPUTED_VALUE"""),45298.0)</f>
        <v>45298</v>
      </c>
      <c r="C10391" s="13">
        <f>IFERROR(__xludf.DUMMYFUNCTION("""COMPUTED_VALUE"""),0.9166666666666666)</f>
        <v>0.9166666667</v>
      </c>
      <c r="D10391" s="8">
        <f>IFERROR(__xludf.DUMMYFUNCTION("""COMPUTED_VALUE"""),0.073)</f>
        <v>0.073</v>
      </c>
      <c r="E10391" s="8" t="str">
        <f>IFERROR(__xludf.DUMMYFUNCTION("""COMPUTED_VALUE"""),"Real")</f>
        <v>Real</v>
      </c>
      <c r="G10391" s="8">
        <f t="shared" si="1"/>
        <v>1</v>
      </c>
      <c r="H10391" s="14">
        <f t="shared" si="2"/>
        <v>7</v>
      </c>
      <c r="I10391" s="15">
        <f t="shared" si="3"/>
        <v>22</v>
      </c>
    </row>
    <row r="10392">
      <c r="A10392" s="8" t="str">
        <f>IFERROR(__xludf.DUMMYFUNCTION("IF('(INGESTA)Datos_consumo_datadis'!A10392&lt;&gt;"""",SPLIT('(INGESTA)Datos_consumo_datadis'!A:A,"",""),"""")"),"ES0031408323131005HX0F")</f>
        <v>ES0031408323131005HX0F</v>
      </c>
      <c r="B10392" s="12">
        <f>IFERROR(__xludf.DUMMYFUNCTION("""COMPUTED_VALUE"""),45298.0)</f>
        <v>45298</v>
      </c>
      <c r="C10392" s="13">
        <f>IFERROR(__xludf.DUMMYFUNCTION("""COMPUTED_VALUE"""),0.9583333333333334)</f>
        <v>0.9583333333</v>
      </c>
      <c r="D10392" s="8">
        <f>IFERROR(__xludf.DUMMYFUNCTION("""COMPUTED_VALUE"""),0.052)</f>
        <v>0.052</v>
      </c>
      <c r="E10392" s="8" t="str">
        <f>IFERROR(__xludf.DUMMYFUNCTION("""COMPUTED_VALUE"""),"Real")</f>
        <v>Real</v>
      </c>
      <c r="G10392" s="8">
        <f t="shared" si="1"/>
        <v>1</v>
      </c>
      <c r="H10392" s="14">
        <f t="shared" si="2"/>
        <v>7</v>
      </c>
      <c r="I10392" s="15">
        <f t="shared" si="3"/>
        <v>23</v>
      </c>
    </row>
    <row r="10393">
      <c r="A10393" s="8" t="str">
        <f>IFERROR(__xludf.DUMMYFUNCTION("IF('(INGESTA)Datos_consumo_datadis'!A10393&lt;&gt;"""",SPLIT('(INGESTA)Datos_consumo_datadis'!A:A,"",""),"""")"),"ES0031408323131005HX0F")</f>
        <v>ES0031408323131005HX0F</v>
      </c>
      <c r="B10393" s="12">
        <f>IFERROR(__xludf.DUMMYFUNCTION("""COMPUTED_VALUE"""),45298.0)</f>
        <v>45298</v>
      </c>
      <c r="C10393" s="16">
        <f>IFERROR(__xludf.DUMMYFUNCTION("""COMPUTED_VALUE"""),1.0)</f>
        <v>1</v>
      </c>
      <c r="D10393" s="8">
        <f>IFERROR(__xludf.DUMMYFUNCTION("""COMPUTED_VALUE"""),0.303)</f>
        <v>0.303</v>
      </c>
      <c r="E10393" s="8" t="str">
        <f>IFERROR(__xludf.DUMMYFUNCTION("""COMPUTED_VALUE"""),"Real")</f>
        <v>Real</v>
      </c>
      <c r="G10393" s="8">
        <f t="shared" si="1"/>
        <v>1</v>
      </c>
      <c r="H10393" s="14">
        <f t="shared" si="2"/>
        <v>7</v>
      </c>
      <c r="I10393" s="15">
        <f t="shared" si="3"/>
        <v>0</v>
      </c>
    </row>
    <row r="10394">
      <c r="A10394" s="8" t="str">
        <f>IFERROR(__xludf.DUMMYFUNCTION("IF('(INGESTA)Datos_consumo_datadis'!A10394&lt;&gt;"""",SPLIT('(INGESTA)Datos_consumo_datadis'!A:A,"",""),"""")"),"ES0031408323131005HX0F")</f>
        <v>ES0031408323131005HX0F</v>
      </c>
      <c r="B10394" s="12">
        <f>IFERROR(__xludf.DUMMYFUNCTION("""COMPUTED_VALUE"""),45299.0)</f>
        <v>45299</v>
      </c>
      <c r="C10394" s="13">
        <f>IFERROR(__xludf.DUMMYFUNCTION("""COMPUTED_VALUE"""),0.041666666666666664)</f>
        <v>0.04166666667</v>
      </c>
      <c r="D10394" s="8">
        <f>IFERROR(__xludf.DUMMYFUNCTION("""COMPUTED_VALUE"""),0.015)</f>
        <v>0.015</v>
      </c>
      <c r="E10394" s="8" t="str">
        <f>IFERROR(__xludf.DUMMYFUNCTION("""COMPUTED_VALUE"""),"Real")</f>
        <v>Real</v>
      </c>
      <c r="G10394" s="8">
        <f t="shared" si="1"/>
        <v>1</v>
      </c>
      <c r="H10394" s="14">
        <f t="shared" si="2"/>
        <v>8</v>
      </c>
      <c r="I10394" s="15">
        <f t="shared" si="3"/>
        <v>1</v>
      </c>
    </row>
    <row r="10395">
      <c r="A10395" s="8" t="str">
        <f>IFERROR(__xludf.DUMMYFUNCTION("IF('(INGESTA)Datos_consumo_datadis'!A10395&lt;&gt;"""",SPLIT('(INGESTA)Datos_consumo_datadis'!A:A,"",""),"""")"),"ES0031408323131005HX0F")</f>
        <v>ES0031408323131005HX0F</v>
      </c>
      <c r="B10395" s="12">
        <f>IFERROR(__xludf.DUMMYFUNCTION("""COMPUTED_VALUE"""),45299.0)</f>
        <v>45299</v>
      </c>
      <c r="C10395" s="13">
        <f>IFERROR(__xludf.DUMMYFUNCTION("""COMPUTED_VALUE"""),0.08333333333333333)</f>
        <v>0.08333333333</v>
      </c>
      <c r="D10395" s="8">
        <f>IFERROR(__xludf.DUMMYFUNCTION("""COMPUTED_VALUE"""),0.073)</f>
        <v>0.073</v>
      </c>
      <c r="E10395" s="8" t="str">
        <f>IFERROR(__xludf.DUMMYFUNCTION("""COMPUTED_VALUE"""),"Real")</f>
        <v>Real</v>
      </c>
      <c r="G10395" s="8">
        <f t="shared" si="1"/>
        <v>1</v>
      </c>
      <c r="H10395" s="14">
        <f t="shared" si="2"/>
        <v>8</v>
      </c>
      <c r="I10395" s="15">
        <f t="shared" si="3"/>
        <v>2</v>
      </c>
    </row>
    <row r="10396">
      <c r="A10396" s="8" t="str">
        <f>IFERROR(__xludf.DUMMYFUNCTION("IF('(INGESTA)Datos_consumo_datadis'!A10396&lt;&gt;"""",SPLIT('(INGESTA)Datos_consumo_datadis'!A:A,"",""),"""")"),"ES0031408323131005HX0F")</f>
        <v>ES0031408323131005HX0F</v>
      </c>
      <c r="B10396" s="12">
        <f>IFERROR(__xludf.DUMMYFUNCTION("""COMPUTED_VALUE"""),45299.0)</f>
        <v>45299</v>
      </c>
      <c r="C10396" s="13">
        <f>IFERROR(__xludf.DUMMYFUNCTION("""COMPUTED_VALUE"""),0.125)</f>
        <v>0.125</v>
      </c>
      <c r="D10396" s="8">
        <f>IFERROR(__xludf.DUMMYFUNCTION("""COMPUTED_VALUE"""),0.068)</f>
        <v>0.068</v>
      </c>
      <c r="E10396" s="8" t="str">
        <f>IFERROR(__xludf.DUMMYFUNCTION("""COMPUTED_VALUE"""),"Real")</f>
        <v>Real</v>
      </c>
      <c r="G10396" s="8">
        <f t="shared" si="1"/>
        <v>1</v>
      </c>
      <c r="H10396" s="14">
        <f t="shared" si="2"/>
        <v>8</v>
      </c>
      <c r="I10396" s="15">
        <f t="shared" si="3"/>
        <v>3</v>
      </c>
    </row>
    <row r="10397">
      <c r="A10397" s="8" t="str">
        <f>IFERROR(__xludf.DUMMYFUNCTION("IF('(INGESTA)Datos_consumo_datadis'!A10397&lt;&gt;"""",SPLIT('(INGESTA)Datos_consumo_datadis'!A:A,"",""),"""")"),"ES0031408323131005HX0F")</f>
        <v>ES0031408323131005HX0F</v>
      </c>
      <c r="B10397" s="12">
        <f>IFERROR(__xludf.DUMMYFUNCTION("""COMPUTED_VALUE"""),45299.0)</f>
        <v>45299</v>
      </c>
      <c r="C10397" s="13">
        <f>IFERROR(__xludf.DUMMYFUNCTION("""COMPUTED_VALUE"""),0.16666666666666666)</f>
        <v>0.1666666667</v>
      </c>
      <c r="D10397" s="8">
        <f>IFERROR(__xludf.DUMMYFUNCTION("""COMPUTED_VALUE"""),0.048)</f>
        <v>0.048</v>
      </c>
      <c r="E10397" s="8" t="str">
        <f>IFERROR(__xludf.DUMMYFUNCTION("""COMPUTED_VALUE"""),"Real")</f>
        <v>Real</v>
      </c>
      <c r="G10397" s="8">
        <f t="shared" si="1"/>
        <v>1</v>
      </c>
      <c r="H10397" s="14">
        <f t="shared" si="2"/>
        <v>8</v>
      </c>
      <c r="I10397" s="15">
        <f t="shared" si="3"/>
        <v>4</v>
      </c>
    </row>
    <row r="10398">
      <c r="A10398" s="8" t="str">
        <f>IFERROR(__xludf.DUMMYFUNCTION("IF('(INGESTA)Datos_consumo_datadis'!A10398&lt;&gt;"""",SPLIT('(INGESTA)Datos_consumo_datadis'!A:A,"",""),"""")"),"ES0031408323131005HX0F")</f>
        <v>ES0031408323131005HX0F</v>
      </c>
      <c r="B10398" s="12">
        <f>IFERROR(__xludf.DUMMYFUNCTION("""COMPUTED_VALUE"""),45299.0)</f>
        <v>45299</v>
      </c>
      <c r="C10398" s="13">
        <f>IFERROR(__xludf.DUMMYFUNCTION("""COMPUTED_VALUE"""),0.20833333333333334)</f>
        <v>0.2083333333</v>
      </c>
      <c r="D10398" s="8">
        <f>IFERROR(__xludf.DUMMYFUNCTION("""COMPUTED_VALUE"""),0.327)</f>
        <v>0.327</v>
      </c>
      <c r="E10398" s="8" t="str">
        <f>IFERROR(__xludf.DUMMYFUNCTION("""COMPUTED_VALUE"""),"Real")</f>
        <v>Real</v>
      </c>
      <c r="G10398" s="8">
        <f t="shared" si="1"/>
        <v>1</v>
      </c>
      <c r="H10398" s="14">
        <f t="shared" si="2"/>
        <v>8</v>
      </c>
      <c r="I10398" s="15">
        <f t="shared" si="3"/>
        <v>5</v>
      </c>
    </row>
    <row r="10399">
      <c r="A10399" s="8" t="str">
        <f>IFERROR(__xludf.DUMMYFUNCTION("IF('(INGESTA)Datos_consumo_datadis'!A10399&lt;&gt;"""",SPLIT('(INGESTA)Datos_consumo_datadis'!A:A,"",""),"""")"),"ES0031408323131005HX0F")</f>
        <v>ES0031408323131005HX0F</v>
      </c>
      <c r="B10399" s="12">
        <f>IFERROR(__xludf.DUMMYFUNCTION("""COMPUTED_VALUE"""),45299.0)</f>
        <v>45299</v>
      </c>
      <c r="C10399" s="13">
        <f>IFERROR(__xludf.DUMMYFUNCTION("""COMPUTED_VALUE"""),0.25)</f>
        <v>0.25</v>
      </c>
      <c r="D10399" s="8">
        <f>IFERROR(__xludf.DUMMYFUNCTION("""COMPUTED_VALUE"""),0.023)</f>
        <v>0.023</v>
      </c>
      <c r="E10399" s="8" t="str">
        <f>IFERROR(__xludf.DUMMYFUNCTION("""COMPUTED_VALUE"""),"Real")</f>
        <v>Real</v>
      </c>
      <c r="G10399" s="8">
        <f t="shared" si="1"/>
        <v>1</v>
      </c>
      <c r="H10399" s="14">
        <f t="shared" si="2"/>
        <v>8</v>
      </c>
      <c r="I10399" s="15">
        <f t="shared" si="3"/>
        <v>6</v>
      </c>
    </row>
    <row r="10400">
      <c r="A10400" s="8" t="str">
        <f>IFERROR(__xludf.DUMMYFUNCTION("IF('(INGESTA)Datos_consumo_datadis'!A10400&lt;&gt;"""",SPLIT('(INGESTA)Datos_consumo_datadis'!A:A,"",""),"""")"),"ES0031408323131005HX0F")</f>
        <v>ES0031408323131005HX0F</v>
      </c>
      <c r="B10400" s="12">
        <f>IFERROR(__xludf.DUMMYFUNCTION("""COMPUTED_VALUE"""),45299.0)</f>
        <v>45299</v>
      </c>
      <c r="C10400" s="13">
        <f>IFERROR(__xludf.DUMMYFUNCTION("""COMPUTED_VALUE"""),0.2916666666666667)</f>
        <v>0.2916666667</v>
      </c>
      <c r="D10400" s="8">
        <f>IFERROR(__xludf.DUMMYFUNCTION("""COMPUTED_VALUE"""),0.073)</f>
        <v>0.073</v>
      </c>
      <c r="E10400" s="8" t="str">
        <f>IFERROR(__xludf.DUMMYFUNCTION("""COMPUTED_VALUE"""),"Real")</f>
        <v>Real</v>
      </c>
      <c r="G10400" s="8">
        <f t="shared" si="1"/>
        <v>1</v>
      </c>
      <c r="H10400" s="14">
        <f t="shared" si="2"/>
        <v>8</v>
      </c>
      <c r="I10400" s="15">
        <f t="shared" si="3"/>
        <v>7</v>
      </c>
    </row>
    <row r="10401">
      <c r="A10401" s="8" t="str">
        <f>IFERROR(__xludf.DUMMYFUNCTION("IF('(INGESTA)Datos_consumo_datadis'!A10401&lt;&gt;"""",SPLIT('(INGESTA)Datos_consumo_datadis'!A:A,"",""),"""")"),"ES0031408323131005HX0F")</f>
        <v>ES0031408323131005HX0F</v>
      </c>
      <c r="B10401" s="12">
        <f>IFERROR(__xludf.DUMMYFUNCTION("""COMPUTED_VALUE"""),45299.0)</f>
        <v>45299</v>
      </c>
      <c r="C10401" s="13">
        <f>IFERROR(__xludf.DUMMYFUNCTION("""COMPUTED_VALUE"""),0.3333333333333333)</f>
        <v>0.3333333333</v>
      </c>
      <c r="D10401" s="8">
        <f>IFERROR(__xludf.DUMMYFUNCTION("""COMPUTED_VALUE"""),0.051)</f>
        <v>0.051</v>
      </c>
      <c r="E10401" s="8" t="str">
        <f>IFERROR(__xludf.DUMMYFUNCTION("""COMPUTED_VALUE"""),"Real")</f>
        <v>Real</v>
      </c>
      <c r="G10401" s="8">
        <f t="shared" si="1"/>
        <v>1</v>
      </c>
      <c r="H10401" s="14">
        <f t="shared" si="2"/>
        <v>8</v>
      </c>
      <c r="I10401" s="15">
        <f t="shared" si="3"/>
        <v>8</v>
      </c>
    </row>
    <row r="10402">
      <c r="A10402" s="8" t="str">
        <f>IFERROR(__xludf.DUMMYFUNCTION("IF('(INGESTA)Datos_consumo_datadis'!A10402&lt;&gt;"""",SPLIT('(INGESTA)Datos_consumo_datadis'!A:A,"",""),"""")"),"ES0031408323131005HX0F")</f>
        <v>ES0031408323131005HX0F</v>
      </c>
      <c r="B10402" s="12">
        <f>IFERROR(__xludf.DUMMYFUNCTION("""COMPUTED_VALUE"""),45299.0)</f>
        <v>45299</v>
      </c>
      <c r="C10402" s="13">
        <f>IFERROR(__xludf.DUMMYFUNCTION("""COMPUTED_VALUE"""),0.375)</f>
        <v>0.375</v>
      </c>
      <c r="D10402" s="8">
        <f>IFERROR(__xludf.DUMMYFUNCTION("""COMPUTED_VALUE"""),0.024)</f>
        <v>0.024</v>
      </c>
      <c r="E10402" s="8" t="str">
        <f>IFERROR(__xludf.DUMMYFUNCTION("""COMPUTED_VALUE"""),"Real")</f>
        <v>Real</v>
      </c>
      <c r="G10402" s="8">
        <f t="shared" si="1"/>
        <v>1</v>
      </c>
      <c r="H10402" s="14">
        <f t="shared" si="2"/>
        <v>8</v>
      </c>
      <c r="I10402" s="15">
        <f t="shared" si="3"/>
        <v>9</v>
      </c>
    </row>
    <row r="10403">
      <c r="A10403" s="8" t="str">
        <f>IFERROR(__xludf.DUMMYFUNCTION("IF('(INGESTA)Datos_consumo_datadis'!A10403&lt;&gt;"""",SPLIT('(INGESTA)Datos_consumo_datadis'!A:A,"",""),"""")"),"ES0031408323131005HX0F")</f>
        <v>ES0031408323131005HX0F</v>
      </c>
      <c r="B10403" s="12">
        <f>IFERROR(__xludf.DUMMYFUNCTION("""COMPUTED_VALUE"""),45299.0)</f>
        <v>45299</v>
      </c>
      <c r="C10403" s="13">
        <f>IFERROR(__xludf.DUMMYFUNCTION("""COMPUTED_VALUE"""),0.4166666666666667)</f>
        <v>0.4166666667</v>
      </c>
      <c r="D10403" s="8">
        <f>IFERROR(__xludf.DUMMYFUNCTION("""COMPUTED_VALUE"""),0.014)</f>
        <v>0.014</v>
      </c>
      <c r="E10403" s="8" t="str">
        <f>IFERROR(__xludf.DUMMYFUNCTION("""COMPUTED_VALUE"""),"Real")</f>
        <v>Real</v>
      </c>
      <c r="G10403" s="8">
        <f t="shared" si="1"/>
        <v>1</v>
      </c>
      <c r="H10403" s="14">
        <f t="shared" si="2"/>
        <v>8</v>
      </c>
      <c r="I10403" s="15">
        <f t="shared" si="3"/>
        <v>10</v>
      </c>
    </row>
    <row r="10404">
      <c r="A10404" s="8" t="str">
        <f>IFERROR(__xludf.DUMMYFUNCTION("IF('(INGESTA)Datos_consumo_datadis'!A10404&lt;&gt;"""",SPLIT('(INGESTA)Datos_consumo_datadis'!A:A,"",""),"""")"),"ES0031408323131005HX0F")</f>
        <v>ES0031408323131005HX0F</v>
      </c>
      <c r="B10404" s="12">
        <f>IFERROR(__xludf.DUMMYFUNCTION("""COMPUTED_VALUE"""),45299.0)</f>
        <v>45299</v>
      </c>
      <c r="C10404" s="13">
        <f>IFERROR(__xludf.DUMMYFUNCTION("""COMPUTED_VALUE"""),0.4583333333333333)</f>
        <v>0.4583333333</v>
      </c>
      <c r="D10404" s="8">
        <f>IFERROR(__xludf.DUMMYFUNCTION("""COMPUTED_VALUE"""),0.345)</f>
        <v>0.345</v>
      </c>
      <c r="E10404" s="8" t="str">
        <f>IFERROR(__xludf.DUMMYFUNCTION("""COMPUTED_VALUE"""),"Real")</f>
        <v>Real</v>
      </c>
      <c r="G10404" s="8">
        <f t="shared" si="1"/>
        <v>1</v>
      </c>
      <c r="H10404" s="14">
        <f t="shared" si="2"/>
        <v>8</v>
      </c>
      <c r="I10404" s="15">
        <f t="shared" si="3"/>
        <v>11</v>
      </c>
    </row>
    <row r="10405">
      <c r="A10405" s="8" t="str">
        <f>IFERROR(__xludf.DUMMYFUNCTION("IF('(INGESTA)Datos_consumo_datadis'!A10405&lt;&gt;"""",SPLIT('(INGESTA)Datos_consumo_datadis'!A:A,"",""),"""")"),"ES0031408323131005HX0F")</f>
        <v>ES0031408323131005HX0F</v>
      </c>
      <c r="B10405" s="12">
        <f>IFERROR(__xludf.DUMMYFUNCTION("""COMPUTED_VALUE"""),45299.0)</f>
        <v>45299</v>
      </c>
      <c r="C10405" s="13">
        <f>IFERROR(__xludf.DUMMYFUNCTION("""COMPUTED_VALUE"""),0.5)</f>
        <v>0.5</v>
      </c>
      <c r="D10405" s="8">
        <f>IFERROR(__xludf.DUMMYFUNCTION("""COMPUTED_VALUE"""),0.045)</f>
        <v>0.045</v>
      </c>
      <c r="E10405" s="8" t="str">
        <f>IFERROR(__xludf.DUMMYFUNCTION("""COMPUTED_VALUE"""),"Real")</f>
        <v>Real</v>
      </c>
      <c r="G10405" s="8">
        <f t="shared" si="1"/>
        <v>1</v>
      </c>
      <c r="H10405" s="14">
        <f t="shared" si="2"/>
        <v>8</v>
      </c>
      <c r="I10405" s="15">
        <f t="shared" si="3"/>
        <v>12</v>
      </c>
    </row>
    <row r="10406">
      <c r="A10406" s="8" t="str">
        <f>IFERROR(__xludf.DUMMYFUNCTION("IF('(INGESTA)Datos_consumo_datadis'!A10406&lt;&gt;"""",SPLIT('(INGESTA)Datos_consumo_datadis'!A:A,"",""),"""")"),"ES0031408323131005HX0F")</f>
        <v>ES0031408323131005HX0F</v>
      </c>
      <c r="B10406" s="12">
        <f>IFERROR(__xludf.DUMMYFUNCTION("""COMPUTED_VALUE"""),45299.0)</f>
        <v>45299</v>
      </c>
      <c r="C10406" s="13">
        <f>IFERROR(__xludf.DUMMYFUNCTION("""COMPUTED_VALUE"""),0.5416666666666666)</f>
        <v>0.5416666667</v>
      </c>
      <c r="D10406" s="8">
        <f>IFERROR(__xludf.DUMMYFUNCTION("""COMPUTED_VALUE"""),0.037)</f>
        <v>0.037</v>
      </c>
      <c r="E10406" s="8" t="str">
        <f>IFERROR(__xludf.DUMMYFUNCTION("""COMPUTED_VALUE"""),"Real")</f>
        <v>Real</v>
      </c>
      <c r="G10406" s="8">
        <f t="shared" si="1"/>
        <v>1</v>
      </c>
      <c r="H10406" s="14">
        <f t="shared" si="2"/>
        <v>8</v>
      </c>
      <c r="I10406" s="15">
        <f t="shared" si="3"/>
        <v>13</v>
      </c>
    </row>
    <row r="10407">
      <c r="A10407" s="8" t="str">
        <f>IFERROR(__xludf.DUMMYFUNCTION("IF('(INGESTA)Datos_consumo_datadis'!A10407&lt;&gt;"""",SPLIT('(INGESTA)Datos_consumo_datadis'!A:A,"",""),"""")"),"ES0031408323131005HX0F")</f>
        <v>ES0031408323131005HX0F</v>
      </c>
      <c r="B10407" s="12">
        <f>IFERROR(__xludf.DUMMYFUNCTION("""COMPUTED_VALUE"""),45299.0)</f>
        <v>45299</v>
      </c>
      <c r="C10407" s="13">
        <f>IFERROR(__xludf.DUMMYFUNCTION("""COMPUTED_VALUE"""),0.5833333333333334)</f>
        <v>0.5833333333</v>
      </c>
      <c r="D10407" s="8">
        <f>IFERROR(__xludf.DUMMYFUNCTION("""COMPUTED_VALUE"""),0.015)</f>
        <v>0.015</v>
      </c>
      <c r="E10407" s="8" t="str">
        <f>IFERROR(__xludf.DUMMYFUNCTION("""COMPUTED_VALUE"""),"Real")</f>
        <v>Real</v>
      </c>
      <c r="G10407" s="8">
        <f t="shared" si="1"/>
        <v>1</v>
      </c>
      <c r="H10407" s="14">
        <f t="shared" si="2"/>
        <v>8</v>
      </c>
      <c r="I10407" s="15">
        <f t="shared" si="3"/>
        <v>14</v>
      </c>
    </row>
    <row r="10408">
      <c r="A10408" s="8" t="str">
        <f>IFERROR(__xludf.DUMMYFUNCTION("IF('(INGESTA)Datos_consumo_datadis'!A10408&lt;&gt;"""",SPLIT('(INGESTA)Datos_consumo_datadis'!A:A,"",""),"""")"),"ES0031408323131005HX0F")</f>
        <v>ES0031408323131005HX0F</v>
      </c>
      <c r="B10408" s="12">
        <f>IFERROR(__xludf.DUMMYFUNCTION("""COMPUTED_VALUE"""),45299.0)</f>
        <v>45299</v>
      </c>
      <c r="C10408" s="13">
        <f>IFERROR(__xludf.DUMMYFUNCTION("""COMPUTED_VALUE"""),0.625)</f>
        <v>0.625</v>
      </c>
      <c r="D10408" s="8">
        <f>IFERROR(__xludf.DUMMYFUNCTION("""COMPUTED_VALUE"""),0.021)</f>
        <v>0.021</v>
      </c>
      <c r="E10408" s="8" t="str">
        <f>IFERROR(__xludf.DUMMYFUNCTION("""COMPUTED_VALUE"""),"Real")</f>
        <v>Real</v>
      </c>
      <c r="G10408" s="8">
        <f t="shared" si="1"/>
        <v>1</v>
      </c>
      <c r="H10408" s="14">
        <f t="shared" si="2"/>
        <v>8</v>
      </c>
      <c r="I10408" s="15">
        <f t="shared" si="3"/>
        <v>15</v>
      </c>
    </row>
    <row r="10409">
      <c r="A10409" s="8" t="str">
        <f>IFERROR(__xludf.DUMMYFUNCTION("IF('(INGESTA)Datos_consumo_datadis'!A10409&lt;&gt;"""",SPLIT('(INGESTA)Datos_consumo_datadis'!A:A,"",""),"""")"),"ES0031408323131005HX0F")</f>
        <v>ES0031408323131005HX0F</v>
      </c>
      <c r="B10409" s="12">
        <f>IFERROR(__xludf.DUMMYFUNCTION("""COMPUTED_VALUE"""),45299.0)</f>
        <v>45299</v>
      </c>
      <c r="C10409" s="13">
        <f>IFERROR(__xludf.DUMMYFUNCTION("""COMPUTED_VALUE"""),0.6666666666666666)</f>
        <v>0.6666666667</v>
      </c>
      <c r="D10409" s="8">
        <f>IFERROR(__xludf.DUMMYFUNCTION("""COMPUTED_VALUE"""),0.351)</f>
        <v>0.351</v>
      </c>
      <c r="E10409" s="8" t="str">
        <f>IFERROR(__xludf.DUMMYFUNCTION("""COMPUTED_VALUE"""),"Real")</f>
        <v>Real</v>
      </c>
      <c r="G10409" s="8">
        <f t="shared" si="1"/>
        <v>1</v>
      </c>
      <c r="H10409" s="14">
        <f t="shared" si="2"/>
        <v>8</v>
      </c>
      <c r="I10409" s="15">
        <f t="shared" si="3"/>
        <v>16</v>
      </c>
    </row>
    <row r="10410">
      <c r="A10410" s="8" t="str">
        <f>IFERROR(__xludf.DUMMYFUNCTION("IF('(INGESTA)Datos_consumo_datadis'!A10410&lt;&gt;"""",SPLIT('(INGESTA)Datos_consumo_datadis'!A:A,"",""),"""")"),"ES0031408323131005HX0F")</f>
        <v>ES0031408323131005HX0F</v>
      </c>
      <c r="B10410" s="12">
        <f>IFERROR(__xludf.DUMMYFUNCTION("""COMPUTED_VALUE"""),45299.0)</f>
        <v>45299</v>
      </c>
      <c r="C10410" s="13">
        <f>IFERROR(__xludf.DUMMYFUNCTION("""COMPUTED_VALUE"""),0.7083333333333334)</f>
        <v>0.7083333333</v>
      </c>
      <c r="D10410" s="8">
        <f>IFERROR(__xludf.DUMMYFUNCTION("""COMPUTED_VALUE"""),0.048)</f>
        <v>0.048</v>
      </c>
      <c r="E10410" s="8" t="str">
        <f>IFERROR(__xludf.DUMMYFUNCTION("""COMPUTED_VALUE"""),"Real")</f>
        <v>Real</v>
      </c>
      <c r="G10410" s="8">
        <f t="shared" si="1"/>
        <v>1</v>
      </c>
      <c r="H10410" s="14">
        <f t="shared" si="2"/>
        <v>8</v>
      </c>
      <c r="I10410" s="15">
        <f t="shared" si="3"/>
        <v>17</v>
      </c>
    </row>
    <row r="10411">
      <c r="A10411" s="8" t="str">
        <f>IFERROR(__xludf.DUMMYFUNCTION("IF('(INGESTA)Datos_consumo_datadis'!A10411&lt;&gt;"""",SPLIT('(INGESTA)Datos_consumo_datadis'!A:A,"",""),"""")"),"ES0031408323131005HX0F")</f>
        <v>ES0031408323131005HX0F</v>
      </c>
      <c r="B10411" s="12">
        <f>IFERROR(__xludf.DUMMYFUNCTION("""COMPUTED_VALUE"""),45299.0)</f>
        <v>45299</v>
      </c>
      <c r="C10411" s="13">
        <f>IFERROR(__xludf.DUMMYFUNCTION("""COMPUTED_VALUE"""),0.75)</f>
        <v>0.75</v>
      </c>
      <c r="D10411" s="8">
        <f>IFERROR(__xludf.DUMMYFUNCTION("""COMPUTED_VALUE"""),0.027)</f>
        <v>0.027</v>
      </c>
      <c r="E10411" s="8" t="str">
        <f>IFERROR(__xludf.DUMMYFUNCTION("""COMPUTED_VALUE"""),"Real")</f>
        <v>Real</v>
      </c>
      <c r="G10411" s="8">
        <f t="shared" si="1"/>
        <v>1</v>
      </c>
      <c r="H10411" s="14">
        <f t="shared" si="2"/>
        <v>8</v>
      </c>
      <c r="I10411" s="15">
        <f t="shared" si="3"/>
        <v>18</v>
      </c>
    </row>
    <row r="10412">
      <c r="A10412" s="8" t="str">
        <f>IFERROR(__xludf.DUMMYFUNCTION("IF('(INGESTA)Datos_consumo_datadis'!A10412&lt;&gt;"""",SPLIT('(INGESTA)Datos_consumo_datadis'!A:A,"",""),"""")"),"ES0031408323131005HX0F")</f>
        <v>ES0031408323131005HX0F</v>
      </c>
      <c r="B10412" s="12">
        <f>IFERROR(__xludf.DUMMYFUNCTION("""COMPUTED_VALUE"""),45299.0)</f>
        <v>45299</v>
      </c>
      <c r="C10412" s="13">
        <f>IFERROR(__xludf.DUMMYFUNCTION("""COMPUTED_VALUE"""),0.7916666666666666)</f>
        <v>0.7916666667</v>
      </c>
      <c r="D10412" s="8">
        <f>IFERROR(__xludf.DUMMYFUNCTION("""COMPUTED_VALUE"""),0.027)</f>
        <v>0.027</v>
      </c>
      <c r="E10412" s="8" t="str">
        <f>IFERROR(__xludf.DUMMYFUNCTION("""COMPUTED_VALUE"""),"Real")</f>
        <v>Real</v>
      </c>
      <c r="G10412" s="8">
        <f t="shared" si="1"/>
        <v>1</v>
      </c>
      <c r="H10412" s="14">
        <f t="shared" si="2"/>
        <v>8</v>
      </c>
      <c r="I10412" s="15">
        <f t="shared" si="3"/>
        <v>19</v>
      </c>
    </row>
    <row r="10413">
      <c r="A10413" s="8" t="str">
        <f>IFERROR(__xludf.DUMMYFUNCTION("IF('(INGESTA)Datos_consumo_datadis'!A10413&lt;&gt;"""",SPLIT('(INGESTA)Datos_consumo_datadis'!A:A,"",""),"""")"),"ES0031408323131005HX0F")</f>
        <v>ES0031408323131005HX0F</v>
      </c>
      <c r="B10413" s="12">
        <f>IFERROR(__xludf.DUMMYFUNCTION("""COMPUTED_VALUE"""),45299.0)</f>
        <v>45299</v>
      </c>
      <c r="C10413" s="13">
        <f>IFERROR(__xludf.DUMMYFUNCTION("""COMPUTED_VALUE"""),0.8333333333333334)</f>
        <v>0.8333333333</v>
      </c>
      <c r="D10413" s="8">
        <f>IFERROR(__xludf.DUMMYFUNCTION("""COMPUTED_VALUE"""),0.069)</f>
        <v>0.069</v>
      </c>
      <c r="E10413" s="8" t="str">
        <f>IFERROR(__xludf.DUMMYFUNCTION("""COMPUTED_VALUE"""),"Real")</f>
        <v>Real</v>
      </c>
      <c r="G10413" s="8">
        <f t="shared" si="1"/>
        <v>1</v>
      </c>
      <c r="H10413" s="14">
        <f t="shared" si="2"/>
        <v>8</v>
      </c>
      <c r="I10413" s="15">
        <f t="shared" si="3"/>
        <v>20</v>
      </c>
    </row>
    <row r="10414">
      <c r="A10414" s="8" t="str">
        <f>IFERROR(__xludf.DUMMYFUNCTION("IF('(INGESTA)Datos_consumo_datadis'!A10414&lt;&gt;"""",SPLIT('(INGESTA)Datos_consumo_datadis'!A:A,"",""),"""")"),"ES0031408323131005HX0F")</f>
        <v>ES0031408323131005HX0F</v>
      </c>
      <c r="B10414" s="12">
        <f>IFERROR(__xludf.DUMMYFUNCTION("""COMPUTED_VALUE"""),45299.0)</f>
        <v>45299</v>
      </c>
      <c r="C10414" s="13">
        <f>IFERROR(__xludf.DUMMYFUNCTION("""COMPUTED_VALUE"""),0.875)</f>
        <v>0.875</v>
      </c>
      <c r="D10414" s="8">
        <f>IFERROR(__xludf.DUMMYFUNCTION("""COMPUTED_VALUE"""),0.341)</f>
        <v>0.341</v>
      </c>
      <c r="E10414" s="8" t="str">
        <f>IFERROR(__xludf.DUMMYFUNCTION("""COMPUTED_VALUE"""),"Real")</f>
        <v>Real</v>
      </c>
      <c r="G10414" s="8">
        <f t="shared" si="1"/>
        <v>1</v>
      </c>
      <c r="H10414" s="14">
        <f t="shared" si="2"/>
        <v>8</v>
      </c>
      <c r="I10414" s="15">
        <f t="shared" si="3"/>
        <v>21</v>
      </c>
    </row>
    <row r="10415">
      <c r="A10415" s="8" t="str">
        <f>IFERROR(__xludf.DUMMYFUNCTION("IF('(INGESTA)Datos_consumo_datadis'!A10415&lt;&gt;"""",SPLIT('(INGESTA)Datos_consumo_datadis'!A:A,"",""),"""")"),"ES0031408323131005HX0F")</f>
        <v>ES0031408323131005HX0F</v>
      </c>
      <c r="B10415" s="12">
        <f>IFERROR(__xludf.DUMMYFUNCTION("""COMPUTED_VALUE"""),45299.0)</f>
        <v>45299</v>
      </c>
      <c r="C10415" s="13">
        <f>IFERROR(__xludf.DUMMYFUNCTION("""COMPUTED_VALUE"""),0.9166666666666666)</f>
        <v>0.9166666667</v>
      </c>
      <c r="D10415" s="8">
        <f>IFERROR(__xludf.DUMMYFUNCTION("""COMPUTED_VALUE"""),0.038)</f>
        <v>0.038</v>
      </c>
      <c r="E10415" s="8" t="str">
        <f>IFERROR(__xludf.DUMMYFUNCTION("""COMPUTED_VALUE"""),"Real")</f>
        <v>Real</v>
      </c>
      <c r="G10415" s="8">
        <f t="shared" si="1"/>
        <v>1</v>
      </c>
      <c r="H10415" s="14">
        <f t="shared" si="2"/>
        <v>8</v>
      </c>
      <c r="I10415" s="15">
        <f t="shared" si="3"/>
        <v>22</v>
      </c>
    </row>
    <row r="10416">
      <c r="A10416" s="8" t="str">
        <f>IFERROR(__xludf.DUMMYFUNCTION("IF('(INGESTA)Datos_consumo_datadis'!A10416&lt;&gt;"""",SPLIT('(INGESTA)Datos_consumo_datadis'!A:A,"",""),"""")"),"ES0031408323131005HX0F")</f>
        <v>ES0031408323131005HX0F</v>
      </c>
      <c r="B10416" s="12">
        <f>IFERROR(__xludf.DUMMYFUNCTION("""COMPUTED_VALUE"""),45299.0)</f>
        <v>45299</v>
      </c>
      <c r="C10416" s="13">
        <f>IFERROR(__xludf.DUMMYFUNCTION("""COMPUTED_VALUE"""),0.9583333333333334)</f>
        <v>0.9583333333</v>
      </c>
      <c r="D10416" s="8">
        <f>IFERROR(__xludf.DUMMYFUNCTION("""COMPUTED_VALUE"""),0.014)</f>
        <v>0.014</v>
      </c>
      <c r="E10416" s="8" t="str">
        <f>IFERROR(__xludf.DUMMYFUNCTION("""COMPUTED_VALUE"""),"Real")</f>
        <v>Real</v>
      </c>
      <c r="G10416" s="8">
        <f t="shared" si="1"/>
        <v>1</v>
      </c>
      <c r="H10416" s="14">
        <f t="shared" si="2"/>
        <v>8</v>
      </c>
      <c r="I10416" s="15">
        <f t="shared" si="3"/>
        <v>23</v>
      </c>
    </row>
    <row r="10417">
      <c r="A10417" s="8" t="str">
        <f>IFERROR(__xludf.DUMMYFUNCTION("IF('(INGESTA)Datos_consumo_datadis'!A10417&lt;&gt;"""",SPLIT('(INGESTA)Datos_consumo_datadis'!A:A,"",""),"""")"),"ES0031408323131005HX0F")</f>
        <v>ES0031408323131005HX0F</v>
      </c>
      <c r="B10417" s="12">
        <f>IFERROR(__xludf.DUMMYFUNCTION("""COMPUTED_VALUE"""),45299.0)</f>
        <v>45299</v>
      </c>
      <c r="C10417" s="16">
        <f>IFERROR(__xludf.DUMMYFUNCTION("""COMPUTED_VALUE"""),1.0)</f>
        <v>1</v>
      </c>
      <c r="D10417" s="8">
        <f>IFERROR(__xludf.DUMMYFUNCTION("""COMPUTED_VALUE"""),0.015)</f>
        <v>0.015</v>
      </c>
      <c r="E10417" s="8" t="str">
        <f>IFERROR(__xludf.DUMMYFUNCTION("""COMPUTED_VALUE"""),"Real")</f>
        <v>Real</v>
      </c>
      <c r="G10417" s="8">
        <f t="shared" si="1"/>
        <v>1</v>
      </c>
      <c r="H10417" s="14">
        <f t="shared" si="2"/>
        <v>8</v>
      </c>
      <c r="I10417" s="15">
        <f t="shared" si="3"/>
        <v>0</v>
      </c>
    </row>
    <row r="10418">
      <c r="A10418" s="8" t="str">
        <f>IFERROR(__xludf.DUMMYFUNCTION("IF('(INGESTA)Datos_consumo_datadis'!A10418&lt;&gt;"""",SPLIT('(INGESTA)Datos_consumo_datadis'!A:A,"",""),"""")"),"ES0031408323131005HX0F")</f>
        <v>ES0031408323131005HX0F</v>
      </c>
      <c r="B10418" s="12">
        <f>IFERROR(__xludf.DUMMYFUNCTION("""COMPUTED_VALUE"""),45300.0)</f>
        <v>45300</v>
      </c>
      <c r="C10418" s="13">
        <f>IFERROR(__xludf.DUMMYFUNCTION("""COMPUTED_VALUE"""),0.041666666666666664)</f>
        <v>0.04166666667</v>
      </c>
      <c r="D10418" s="8">
        <f>IFERROR(__xludf.DUMMYFUNCTION("""COMPUTED_VALUE"""),0.079)</f>
        <v>0.079</v>
      </c>
      <c r="E10418" s="8" t="str">
        <f>IFERROR(__xludf.DUMMYFUNCTION("""COMPUTED_VALUE"""),"Real")</f>
        <v>Real</v>
      </c>
      <c r="G10418" s="8">
        <f t="shared" si="1"/>
        <v>1</v>
      </c>
      <c r="H10418" s="14">
        <f t="shared" si="2"/>
        <v>9</v>
      </c>
      <c r="I10418" s="15">
        <f t="shared" si="3"/>
        <v>1</v>
      </c>
    </row>
    <row r="10419">
      <c r="A10419" s="8" t="str">
        <f>IFERROR(__xludf.DUMMYFUNCTION("IF('(INGESTA)Datos_consumo_datadis'!A10419&lt;&gt;"""",SPLIT('(INGESTA)Datos_consumo_datadis'!A:A,"",""),"""")"),"ES0031408323131005HX0F")</f>
        <v>ES0031408323131005HX0F</v>
      </c>
      <c r="B10419" s="12">
        <f>IFERROR(__xludf.DUMMYFUNCTION("""COMPUTED_VALUE"""),45300.0)</f>
        <v>45300</v>
      </c>
      <c r="C10419" s="13">
        <f>IFERROR(__xludf.DUMMYFUNCTION("""COMPUTED_VALUE"""),0.08333333333333333)</f>
        <v>0.08333333333</v>
      </c>
      <c r="D10419" s="8">
        <f>IFERROR(__xludf.DUMMYFUNCTION("""COMPUTED_VALUE"""),0.174)</f>
        <v>0.174</v>
      </c>
      <c r="E10419" s="8" t="str">
        <f>IFERROR(__xludf.DUMMYFUNCTION("""COMPUTED_VALUE"""),"Real")</f>
        <v>Real</v>
      </c>
      <c r="G10419" s="8">
        <f t="shared" si="1"/>
        <v>1</v>
      </c>
      <c r="H10419" s="14">
        <f t="shared" si="2"/>
        <v>9</v>
      </c>
      <c r="I10419" s="15">
        <f t="shared" si="3"/>
        <v>2</v>
      </c>
    </row>
    <row r="10420">
      <c r="A10420" s="8" t="str">
        <f>IFERROR(__xludf.DUMMYFUNCTION("IF('(INGESTA)Datos_consumo_datadis'!A10420&lt;&gt;"""",SPLIT('(INGESTA)Datos_consumo_datadis'!A:A,"",""),"""")"),"ES0031408323131005HX0F")</f>
        <v>ES0031408323131005HX0F</v>
      </c>
      <c r="B10420" s="12">
        <f>IFERROR(__xludf.DUMMYFUNCTION("""COMPUTED_VALUE"""),45300.0)</f>
        <v>45300</v>
      </c>
      <c r="C10420" s="13">
        <f>IFERROR(__xludf.DUMMYFUNCTION("""COMPUTED_VALUE"""),0.125)</f>
        <v>0.125</v>
      </c>
      <c r="D10420" s="8">
        <f>IFERROR(__xludf.DUMMYFUNCTION("""COMPUTED_VALUE"""),0.212)</f>
        <v>0.212</v>
      </c>
      <c r="E10420" s="8" t="str">
        <f>IFERROR(__xludf.DUMMYFUNCTION("""COMPUTED_VALUE"""),"Real")</f>
        <v>Real</v>
      </c>
      <c r="G10420" s="8">
        <f t="shared" si="1"/>
        <v>1</v>
      </c>
      <c r="H10420" s="14">
        <f t="shared" si="2"/>
        <v>9</v>
      </c>
      <c r="I10420" s="15">
        <f t="shared" si="3"/>
        <v>3</v>
      </c>
    </row>
    <row r="10421">
      <c r="A10421" s="8" t="str">
        <f>IFERROR(__xludf.DUMMYFUNCTION("IF('(INGESTA)Datos_consumo_datadis'!A10421&lt;&gt;"""",SPLIT('(INGESTA)Datos_consumo_datadis'!A:A,"",""),"""")"),"ES0031408323131005HX0F")</f>
        <v>ES0031408323131005HX0F</v>
      </c>
      <c r="B10421" s="12">
        <f>IFERROR(__xludf.DUMMYFUNCTION("""COMPUTED_VALUE"""),45300.0)</f>
        <v>45300</v>
      </c>
      <c r="C10421" s="13">
        <f>IFERROR(__xludf.DUMMYFUNCTION("""COMPUTED_VALUE"""),0.16666666666666666)</f>
        <v>0.1666666667</v>
      </c>
      <c r="D10421" s="8">
        <f>IFERROR(__xludf.DUMMYFUNCTION("""COMPUTED_VALUE"""),0.025)</f>
        <v>0.025</v>
      </c>
      <c r="E10421" s="8" t="str">
        <f>IFERROR(__xludf.DUMMYFUNCTION("""COMPUTED_VALUE"""),"Real")</f>
        <v>Real</v>
      </c>
      <c r="G10421" s="8">
        <f t="shared" si="1"/>
        <v>1</v>
      </c>
      <c r="H10421" s="14">
        <f t="shared" si="2"/>
        <v>9</v>
      </c>
      <c r="I10421" s="15">
        <f t="shared" si="3"/>
        <v>4</v>
      </c>
    </row>
    <row r="10422">
      <c r="A10422" s="8" t="str">
        <f>IFERROR(__xludf.DUMMYFUNCTION("IF('(INGESTA)Datos_consumo_datadis'!A10422&lt;&gt;"""",SPLIT('(INGESTA)Datos_consumo_datadis'!A:A,"",""),"""")"),"ES0031408323131005HX0F")</f>
        <v>ES0031408323131005HX0F</v>
      </c>
      <c r="B10422" s="12">
        <f>IFERROR(__xludf.DUMMYFUNCTION("""COMPUTED_VALUE"""),45300.0)</f>
        <v>45300</v>
      </c>
      <c r="C10422" s="13">
        <f>IFERROR(__xludf.DUMMYFUNCTION("""COMPUTED_VALUE"""),0.20833333333333334)</f>
        <v>0.2083333333</v>
      </c>
      <c r="D10422" s="8">
        <f>IFERROR(__xludf.DUMMYFUNCTION("""COMPUTED_VALUE"""),0.056)</f>
        <v>0.056</v>
      </c>
      <c r="E10422" s="8" t="str">
        <f>IFERROR(__xludf.DUMMYFUNCTION("""COMPUTED_VALUE"""),"Real")</f>
        <v>Real</v>
      </c>
      <c r="G10422" s="8">
        <f t="shared" si="1"/>
        <v>1</v>
      </c>
      <c r="H10422" s="14">
        <f t="shared" si="2"/>
        <v>9</v>
      </c>
      <c r="I10422" s="15">
        <f t="shared" si="3"/>
        <v>5</v>
      </c>
    </row>
    <row r="10423">
      <c r="A10423" s="8" t="str">
        <f>IFERROR(__xludf.DUMMYFUNCTION("IF('(INGESTA)Datos_consumo_datadis'!A10423&lt;&gt;"""",SPLIT('(INGESTA)Datos_consumo_datadis'!A:A,"",""),"""")"),"ES0031408323131005HX0F")</f>
        <v>ES0031408323131005HX0F</v>
      </c>
      <c r="B10423" s="12">
        <f>IFERROR(__xludf.DUMMYFUNCTION("""COMPUTED_VALUE"""),45300.0)</f>
        <v>45300</v>
      </c>
      <c r="C10423" s="13">
        <f>IFERROR(__xludf.DUMMYFUNCTION("""COMPUTED_VALUE"""),0.25)</f>
        <v>0.25</v>
      </c>
      <c r="D10423" s="8">
        <f>IFERROR(__xludf.DUMMYFUNCTION("""COMPUTED_VALUE"""),0.059)</f>
        <v>0.059</v>
      </c>
      <c r="E10423" s="8" t="str">
        <f>IFERROR(__xludf.DUMMYFUNCTION("""COMPUTED_VALUE"""),"Real")</f>
        <v>Real</v>
      </c>
      <c r="G10423" s="8">
        <f t="shared" si="1"/>
        <v>1</v>
      </c>
      <c r="H10423" s="14">
        <f t="shared" si="2"/>
        <v>9</v>
      </c>
      <c r="I10423" s="15">
        <f t="shared" si="3"/>
        <v>6</v>
      </c>
    </row>
    <row r="10424">
      <c r="A10424" s="8" t="str">
        <f>IFERROR(__xludf.DUMMYFUNCTION("IF('(INGESTA)Datos_consumo_datadis'!A10424&lt;&gt;"""",SPLIT('(INGESTA)Datos_consumo_datadis'!A:A,"",""),"""")"),"ES0031408323131005HX0F")</f>
        <v>ES0031408323131005HX0F</v>
      </c>
      <c r="B10424" s="12">
        <f>IFERROR(__xludf.DUMMYFUNCTION("""COMPUTED_VALUE"""),45300.0)</f>
        <v>45300</v>
      </c>
      <c r="C10424" s="13">
        <f>IFERROR(__xludf.DUMMYFUNCTION("""COMPUTED_VALUE"""),0.2916666666666667)</f>
        <v>0.2916666667</v>
      </c>
      <c r="D10424" s="8">
        <f>IFERROR(__xludf.DUMMYFUNCTION("""COMPUTED_VALUE"""),0.039)</f>
        <v>0.039</v>
      </c>
      <c r="E10424" s="8" t="str">
        <f>IFERROR(__xludf.DUMMYFUNCTION("""COMPUTED_VALUE"""),"Real")</f>
        <v>Real</v>
      </c>
      <c r="G10424" s="8">
        <f t="shared" si="1"/>
        <v>1</v>
      </c>
      <c r="H10424" s="14">
        <f t="shared" si="2"/>
        <v>9</v>
      </c>
      <c r="I10424" s="15">
        <f t="shared" si="3"/>
        <v>7</v>
      </c>
    </row>
    <row r="10425">
      <c r="A10425" s="8" t="str">
        <f>IFERROR(__xludf.DUMMYFUNCTION("IF('(INGESTA)Datos_consumo_datadis'!A10425&lt;&gt;"""",SPLIT('(INGESTA)Datos_consumo_datadis'!A:A,"",""),"""")"),"ES0031408323131005HX0F")</f>
        <v>ES0031408323131005HX0F</v>
      </c>
      <c r="B10425" s="12">
        <f>IFERROR(__xludf.DUMMYFUNCTION("""COMPUTED_VALUE"""),45300.0)</f>
        <v>45300</v>
      </c>
      <c r="C10425" s="13">
        <f>IFERROR(__xludf.DUMMYFUNCTION("""COMPUTED_VALUE"""),0.3333333333333333)</f>
        <v>0.3333333333</v>
      </c>
      <c r="D10425" s="8">
        <f>IFERROR(__xludf.DUMMYFUNCTION("""COMPUTED_VALUE"""),0.288)</f>
        <v>0.288</v>
      </c>
      <c r="E10425" s="8" t="str">
        <f>IFERROR(__xludf.DUMMYFUNCTION("""COMPUTED_VALUE"""),"Real")</f>
        <v>Real</v>
      </c>
      <c r="G10425" s="8">
        <f t="shared" si="1"/>
        <v>1</v>
      </c>
      <c r="H10425" s="14">
        <f t="shared" si="2"/>
        <v>9</v>
      </c>
      <c r="I10425" s="15">
        <f t="shared" si="3"/>
        <v>8</v>
      </c>
    </row>
    <row r="10426">
      <c r="A10426" s="8" t="str">
        <f>IFERROR(__xludf.DUMMYFUNCTION("IF('(INGESTA)Datos_consumo_datadis'!A10426&lt;&gt;"""",SPLIT('(INGESTA)Datos_consumo_datadis'!A:A,"",""),"""")"),"ES0031408323131005HX0F")</f>
        <v>ES0031408323131005HX0F</v>
      </c>
      <c r="B10426" s="12">
        <f>IFERROR(__xludf.DUMMYFUNCTION("""COMPUTED_VALUE"""),45300.0)</f>
        <v>45300</v>
      </c>
      <c r="C10426" s="13">
        <f>IFERROR(__xludf.DUMMYFUNCTION("""COMPUTED_VALUE"""),0.375)</f>
        <v>0.375</v>
      </c>
      <c r="D10426" s="8">
        <f>IFERROR(__xludf.DUMMYFUNCTION("""COMPUTED_VALUE"""),0.015)</f>
        <v>0.015</v>
      </c>
      <c r="E10426" s="8" t="str">
        <f>IFERROR(__xludf.DUMMYFUNCTION("""COMPUTED_VALUE"""),"Real")</f>
        <v>Real</v>
      </c>
      <c r="G10426" s="8">
        <f t="shared" si="1"/>
        <v>1</v>
      </c>
      <c r="H10426" s="14">
        <f t="shared" si="2"/>
        <v>9</v>
      </c>
      <c r="I10426" s="15">
        <f t="shared" si="3"/>
        <v>9</v>
      </c>
    </row>
    <row r="10427">
      <c r="A10427" s="8" t="str">
        <f>IFERROR(__xludf.DUMMYFUNCTION("IF('(INGESTA)Datos_consumo_datadis'!A10427&lt;&gt;"""",SPLIT('(INGESTA)Datos_consumo_datadis'!A:A,"",""),"""")"),"ES0031408323131005HX0F")</f>
        <v>ES0031408323131005HX0F</v>
      </c>
      <c r="B10427" s="12">
        <f>IFERROR(__xludf.DUMMYFUNCTION("""COMPUTED_VALUE"""),45300.0)</f>
        <v>45300</v>
      </c>
      <c r="C10427" s="13">
        <f>IFERROR(__xludf.DUMMYFUNCTION("""COMPUTED_VALUE"""),0.4166666666666667)</f>
        <v>0.4166666667</v>
      </c>
      <c r="D10427" s="8">
        <f>IFERROR(__xludf.DUMMYFUNCTION("""COMPUTED_VALUE"""),0.077)</f>
        <v>0.077</v>
      </c>
      <c r="E10427" s="8" t="str">
        <f>IFERROR(__xludf.DUMMYFUNCTION("""COMPUTED_VALUE"""),"Real")</f>
        <v>Real</v>
      </c>
      <c r="G10427" s="8">
        <f t="shared" si="1"/>
        <v>1</v>
      </c>
      <c r="H10427" s="14">
        <f t="shared" si="2"/>
        <v>9</v>
      </c>
      <c r="I10427" s="15">
        <f t="shared" si="3"/>
        <v>10</v>
      </c>
    </row>
    <row r="10428">
      <c r="A10428" s="8" t="str">
        <f>IFERROR(__xludf.DUMMYFUNCTION("IF('(INGESTA)Datos_consumo_datadis'!A10428&lt;&gt;"""",SPLIT('(INGESTA)Datos_consumo_datadis'!A:A,"",""),"""")"),"ES0031408323131005HX0F")</f>
        <v>ES0031408323131005HX0F</v>
      </c>
      <c r="B10428" s="12">
        <f>IFERROR(__xludf.DUMMYFUNCTION("""COMPUTED_VALUE"""),45300.0)</f>
        <v>45300</v>
      </c>
      <c r="C10428" s="13">
        <f>IFERROR(__xludf.DUMMYFUNCTION("""COMPUTED_VALUE"""),0.4583333333333333)</f>
        <v>0.4583333333</v>
      </c>
      <c r="D10428" s="8">
        <f>IFERROR(__xludf.DUMMYFUNCTION("""COMPUTED_VALUE"""),0.037)</f>
        <v>0.037</v>
      </c>
      <c r="E10428" s="8" t="str">
        <f>IFERROR(__xludf.DUMMYFUNCTION("""COMPUTED_VALUE"""),"Real")</f>
        <v>Real</v>
      </c>
      <c r="G10428" s="8">
        <f t="shared" si="1"/>
        <v>1</v>
      </c>
      <c r="H10428" s="14">
        <f t="shared" si="2"/>
        <v>9</v>
      </c>
      <c r="I10428" s="15">
        <f t="shared" si="3"/>
        <v>11</v>
      </c>
    </row>
    <row r="10429">
      <c r="A10429" s="8" t="str">
        <f>IFERROR(__xludf.DUMMYFUNCTION("IF('(INGESTA)Datos_consumo_datadis'!A10429&lt;&gt;"""",SPLIT('(INGESTA)Datos_consumo_datadis'!A:A,"",""),"""")"),"ES0031408323131005HX0F")</f>
        <v>ES0031408323131005HX0F</v>
      </c>
      <c r="B10429" s="12">
        <f>IFERROR(__xludf.DUMMYFUNCTION("""COMPUTED_VALUE"""),45300.0)</f>
        <v>45300</v>
      </c>
      <c r="C10429" s="13">
        <f>IFERROR(__xludf.DUMMYFUNCTION("""COMPUTED_VALUE"""),0.5)</f>
        <v>0.5</v>
      </c>
      <c r="D10429" s="8">
        <f>IFERROR(__xludf.DUMMYFUNCTION("""COMPUTED_VALUE"""),0.038)</f>
        <v>0.038</v>
      </c>
      <c r="E10429" s="8" t="str">
        <f>IFERROR(__xludf.DUMMYFUNCTION("""COMPUTED_VALUE"""),"Real")</f>
        <v>Real</v>
      </c>
      <c r="G10429" s="8">
        <f t="shared" si="1"/>
        <v>1</v>
      </c>
      <c r="H10429" s="14">
        <f t="shared" si="2"/>
        <v>9</v>
      </c>
      <c r="I10429" s="15">
        <f t="shared" si="3"/>
        <v>12</v>
      </c>
    </row>
    <row r="10430">
      <c r="A10430" s="8" t="str">
        <f>IFERROR(__xludf.DUMMYFUNCTION("IF('(INGESTA)Datos_consumo_datadis'!A10430&lt;&gt;"""",SPLIT('(INGESTA)Datos_consumo_datadis'!A:A,"",""),"""")"),"ES0031408323131005HX0F")</f>
        <v>ES0031408323131005HX0F</v>
      </c>
      <c r="B10430" s="12">
        <f>IFERROR(__xludf.DUMMYFUNCTION("""COMPUTED_VALUE"""),45300.0)</f>
        <v>45300</v>
      </c>
      <c r="C10430" s="13">
        <f>IFERROR(__xludf.DUMMYFUNCTION("""COMPUTED_VALUE"""),0.5416666666666666)</f>
        <v>0.5416666667</v>
      </c>
      <c r="D10430" s="8">
        <f>IFERROR(__xludf.DUMMYFUNCTION("""COMPUTED_VALUE"""),0.309)</f>
        <v>0.309</v>
      </c>
      <c r="E10430" s="8" t="str">
        <f>IFERROR(__xludf.DUMMYFUNCTION("""COMPUTED_VALUE"""),"Real")</f>
        <v>Real</v>
      </c>
      <c r="G10430" s="8">
        <f t="shared" si="1"/>
        <v>1</v>
      </c>
      <c r="H10430" s="14">
        <f t="shared" si="2"/>
        <v>9</v>
      </c>
      <c r="I10430" s="15">
        <f t="shared" si="3"/>
        <v>13</v>
      </c>
    </row>
    <row r="10431">
      <c r="A10431" s="8" t="str">
        <f>IFERROR(__xludf.DUMMYFUNCTION("IF('(INGESTA)Datos_consumo_datadis'!A10431&lt;&gt;"""",SPLIT('(INGESTA)Datos_consumo_datadis'!A:A,"",""),"""")"),"ES0031408323131005HX0F")</f>
        <v>ES0031408323131005HX0F</v>
      </c>
      <c r="B10431" s="12">
        <f>IFERROR(__xludf.DUMMYFUNCTION("""COMPUTED_VALUE"""),45300.0)</f>
        <v>45300</v>
      </c>
      <c r="C10431" s="13">
        <f>IFERROR(__xludf.DUMMYFUNCTION("""COMPUTED_VALUE"""),0.5833333333333334)</f>
        <v>0.5833333333</v>
      </c>
      <c r="D10431" s="8">
        <f>IFERROR(__xludf.DUMMYFUNCTION("""COMPUTED_VALUE"""),0.044)</f>
        <v>0.044</v>
      </c>
      <c r="E10431" s="8" t="str">
        <f>IFERROR(__xludf.DUMMYFUNCTION("""COMPUTED_VALUE"""),"Real")</f>
        <v>Real</v>
      </c>
      <c r="G10431" s="8">
        <f t="shared" si="1"/>
        <v>1</v>
      </c>
      <c r="H10431" s="14">
        <f t="shared" si="2"/>
        <v>9</v>
      </c>
      <c r="I10431" s="15">
        <f t="shared" si="3"/>
        <v>14</v>
      </c>
    </row>
    <row r="10432">
      <c r="A10432" s="8" t="str">
        <f>IFERROR(__xludf.DUMMYFUNCTION("IF('(INGESTA)Datos_consumo_datadis'!A10432&lt;&gt;"""",SPLIT('(INGESTA)Datos_consumo_datadis'!A:A,"",""),"""")"),"ES0031408323131005HX0F")</f>
        <v>ES0031408323131005HX0F</v>
      </c>
      <c r="B10432" s="12">
        <f>IFERROR(__xludf.DUMMYFUNCTION("""COMPUTED_VALUE"""),45300.0)</f>
        <v>45300</v>
      </c>
      <c r="C10432" s="13">
        <f>IFERROR(__xludf.DUMMYFUNCTION("""COMPUTED_VALUE"""),0.625)</f>
        <v>0.625</v>
      </c>
      <c r="D10432" s="8">
        <f>IFERROR(__xludf.DUMMYFUNCTION("""COMPUTED_VALUE"""),0.06)</f>
        <v>0.06</v>
      </c>
      <c r="E10432" s="8" t="str">
        <f>IFERROR(__xludf.DUMMYFUNCTION("""COMPUTED_VALUE"""),"Real")</f>
        <v>Real</v>
      </c>
      <c r="G10432" s="8">
        <f t="shared" si="1"/>
        <v>1</v>
      </c>
      <c r="H10432" s="14">
        <f t="shared" si="2"/>
        <v>9</v>
      </c>
      <c r="I10432" s="15">
        <f t="shared" si="3"/>
        <v>15</v>
      </c>
    </row>
    <row r="10433">
      <c r="A10433" s="8" t="str">
        <f>IFERROR(__xludf.DUMMYFUNCTION("IF('(INGESTA)Datos_consumo_datadis'!A10433&lt;&gt;"""",SPLIT('(INGESTA)Datos_consumo_datadis'!A:A,"",""),"""")"),"ES0031408323131005HX0F")</f>
        <v>ES0031408323131005HX0F</v>
      </c>
      <c r="B10433" s="12">
        <f>IFERROR(__xludf.DUMMYFUNCTION("""COMPUTED_VALUE"""),45300.0)</f>
        <v>45300</v>
      </c>
      <c r="C10433" s="13">
        <f>IFERROR(__xludf.DUMMYFUNCTION("""COMPUTED_VALUE"""),0.6666666666666666)</f>
        <v>0.6666666667</v>
      </c>
      <c r="D10433" s="8">
        <f>IFERROR(__xludf.DUMMYFUNCTION("""COMPUTED_VALUE"""),0.049)</f>
        <v>0.049</v>
      </c>
      <c r="E10433" s="8" t="str">
        <f>IFERROR(__xludf.DUMMYFUNCTION("""COMPUTED_VALUE"""),"Real")</f>
        <v>Real</v>
      </c>
      <c r="G10433" s="8">
        <f t="shared" si="1"/>
        <v>1</v>
      </c>
      <c r="H10433" s="14">
        <f t="shared" si="2"/>
        <v>9</v>
      </c>
      <c r="I10433" s="15">
        <f t="shared" si="3"/>
        <v>16</v>
      </c>
    </row>
    <row r="10434">
      <c r="A10434" s="8" t="str">
        <f>IFERROR(__xludf.DUMMYFUNCTION("IF('(INGESTA)Datos_consumo_datadis'!A10434&lt;&gt;"""",SPLIT('(INGESTA)Datos_consumo_datadis'!A:A,"",""),"""")"),"ES0031408323131005HX0F")</f>
        <v>ES0031408323131005HX0F</v>
      </c>
      <c r="B10434" s="12">
        <f>IFERROR(__xludf.DUMMYFUNCTION("""COMPUTED_VALUE"""),45300.0)</f>
        <v>45300</v>
      </c>
      <c r="C10434" s="13">
        <f>IFERROR(__xludf.DUMMYFUNCTION("""COMPUTED_VALUE"""),0.7083333333333334)</f>
        <v>0.7083333333</v>
      </c>
      <c r="D10434" s="8">
        <f>IFERROR(__xludf.DUMMYFUNCTION("""COMPUTED_VALUE"""),0.014)</f>
        <v>0.014</v>
      </c>
      <c r="E10434" s="8" t="str">
        <f>IFERROR(__xludf.DUMMYFUNCTION("""COMPUTED_VALUE"""),"Real")</f>
        <v>Real</v>
      </c>
      <c r="G10434" s="8">
        <f t="shared" si="1"/>
        <v>1</v>
      </c>
      <c r="H10434" s="14">
        <f t="shared" si="2"/>
        <v>9</v>
      </c>
      <c r="I10434" s="15">
        <f t="shared" si="3"/>
        <v>17</v>
      </c>
    </row>
    <row r="10435">
      <c r="A10435" s="8" t="str">
        <f>IFERROR(__xludf.DUMMYFUNCTION("IF('(INGESTA)Datos_consumo_datadis'!A10435&lt;&gt;"""",SPLIT('(INGESTA)Datos_consumo_datadis'!A:A,"",""),"""")"),"ES0031408323131005HX0F")</f>
        <v>ES0031408323131005HX0F</v>
      </c>
      <c r="B10435" s="12">
        <f>IFERROR(__xludf.DUMMYFUNCTION("""COMPUTED_VALUE"""),45300.0)</f>
        <v>45300</v>
      </c>
      <c r="C10435" s="13">
        <f>IFERROR(__xludf.DUMMYFUNCTION("""COMPUTED_VALUE"""),0.75)</f>
        <v>0.75</v>
      </c>
      <c r="D10435" s="8">
        <f>IFERROR(__xludf.DUMMYFUNCTION("""COMPUTED_VALUE"""),0.284)</f>
        <v>0.284</v>
      </c>
      <c r="E10435" s="8" t="str">
        <f>IFERROR(__xludf.DUMMYFUNCTION("""COMPUTED_VALUE"""),"Real")</f>
        <v>Real</v>
      </c>
      <c r="G10435" s="8">
        <f t="shared" si="1"/>
        <v>1</v>
      </c>
      <c r="H10435" s="14">
        <f t="shared" si="2"/>
        <v>9</v>
      </c>
      <c r="I10435" s="15">
        <f t="shared" si="3"/>
        <v>18</v>
      </c>
    </row>
    <row r="10436">
      <c r="A10436" s="8" t="str">
        <f>IFERROR(__xludf.DUMMYFUNCTION("IF('(INGESTA)Datos_consumo_datadis'!A10436&lt;&gt;"""",SPLIT('(INGESTA)Datos_consumo_datadis'!A:A,"",""),"""")"),"ES0031408323131005HX0F")</f>
        <v>ES0031408323131005HX0F</v>
      </c>
      <c r="B10436" s="12">
        <f>IFERROR(__xludf.DUMMYFUNCTION("""COMPUTED_VALUE"""),45300.0)</f>
        <v>45300</v>
      </c>
      <c r="C10436" s="13">
        <f>IFERROR(__xludf.DUMMYFUNCTION("""COMPUTED_VALUE"""),0.7916666666666666)</f>
        <v>0.7916666667</v>
      </c>
      <c r="D10436" s="8">
        <f>IFERROR(__xludf.DUMMYFUNCTION("""COMPUTED_VALUE"""),0.077)</f>
        <v>0.077</v>
      </c>
      <c r="E10436" s="8" t="str">
        <f>IFERROR(__xludf.DUMMYFUNCTION("""COMPUTED_VALUE"""),"Real")</f>
        <v>Real</v>
      </c>
      <c r="G10436" s="8">
        <f t="shared" si="1"/>
        <v>1</v>
      </c>
      <c r="H10436" s="14">
        <f t="shared" si="2"/>
        <v>9</v>
      </c>
      <c r="I10436" s="15">
        <f t="shared" si="3"/>
        <v>19</v>
      </c>
    </row>
    <row r="10437">
      <c r="A10437" s="8" t="str">
        <f>IFERROR(__xludf.DUMMYFUNCTION("IF('(INGESTA)Datos_consumo_datadis'!A10437&lt;&gt;"""",SPLIT('(INGESTA)Datos_consumo_datadis'!A:A,"",""),"""")"),"ES0031408323131005HX0F")</f>
        <v>ES0031408323131005HX0F</v>
      </c>
      <c r="B10437" s="12">
        <f>IFERROR(__xludf.DUMMYFUNCTION("""COMPUTED_VALUE"""),45300.0)</f>
        <v>45300</v>
      </c>
      <c r="C10437" s="13">
        <f>IFERROR(__xludf.DUMMYFUNCTION("""COMPUTED_VALUE"""),0.8333333333333334)</f>
        <v>0.8333333333</v>
      </c>
      <c r="D10437" s="8">
        <f>IFERROR(__xludf.DUMMYFUNCTION("""COMPUTED_VALUE"""),0.037)</f>
        <v>0.037</v>
      </c>
      <c r="E10437" s="8" t="str">
        <f>IFERROR(__xludf.DUMMYFUNCTION("""COMPUTED_VALUE"""),"Real")</f>
        <v>Real</v>
      </c>
      <c r="G10437" s="8">
        <f t="shared" si="1"/>
        <v>1</v>
      </c>
      <c r="H10437" s="14">
        <f t="shared" si="2"/>
        <v>9</v>
      </c>
      <c r="I10437" s="15">
        <f t="shared" si="3"/>
        <v>20</v>
      </c>
    </row>
    <row r="10438">
      <c r="A10438" s="8" t="str">
        <f>IFERROR(__xludf.DUMMYFUNCTION("IF('(INGESTA)Datos_consumo_datadis'!A10438&lt;&gt;"""",SPLIT('(INGESTA)Datos_consumo_datadis'!A:A,"",""),"""")"),"ES0031408323131005HX0F")</f>
        <v>ES0031408323131005HX0F</v>
      </c>
      <c r="B10438" s="12">
        <f>IFERROR(__xludf.DUMMYFUNCTION("""COMPUTED_VALUE"""),45300.0)</f>
        <v>45300</v>
      </c>
      <c r="C10438" s="13">
        <f>IFERROR(__xludf.DUMMYFUNCTION("""COMPUTED_VALUE"""),0.875)</f>
        <v>0.875</v>
      </c>
      <c r="D10438" s="8">
        <f>IFERROR(__xludf.DUMMYFUNCTION("""COMPUTED_VALUE"""),0.038)</f>
        <v>0.038</v>
      </c>
      <c r="E10438" s="8" t="str">
        <f>IFERROR(__xludf.DUMMYFUNCTION("""COMPUTED_VALUE"""),"Real")</f>
        <v>Real</v>
      </c>
      <c r="G10438" s="8">
        <f t="shared" si="1"/>
        <v>1</v>
      </c>
      <c r="H10438" s="14">
        <f t="shared" si="2"/>
        <v>9</v>
      </c>
      <c r="I10438" s="15">
        <f t="shared" si="3"/>
        <v>21</v>
      </c>
    </row>
    <row r="10439">
      <c r="A10439" s="8" t="str">
        <f>IFERROR(__xludf.DUMMYFUNCTION("IF('(INGESTA)Datos_consumo_datadis'!A10439&lt;&gt;"""",SPLIT('(INGESTA)Datos_consumo_datadis'!A:A,"",""),"""")"),"ES0031408323131005HX0F")</f>
        <v>ES0031408323131005HX0F</v>
      </c>
      <c r="B10439" s="12">
        <f>IFERROR(__xludf.DUMMYFUNCTION("""COMPUTED_VALUE"""),45300.0)</f>
        <v>45300</v>
      </c>
      <c r="C10439" s="13">
        <f>IFERROR(__xludf.DUMMYFUNCTION("""COMPUTED_VALUE"""),0.9166666666666666)</f>
        <v>0.9166666667</v>
      </c>
      <c r="D10439" s="8">
        <f>IFERROR(__xludf.DUMMYFUNCTION("""COMPUTED_VALUE"""),0.014)</f>
        <v>0.014</v>
      </c>
      <c r="E10439" s="8" t="str">
        <f>IFERROR(__xludf.DUMMYFUNCTION("""COMPUTED_VALUE"""),"Real")</f>
        <v>Real</v>
      </c>
      <c r="G10439" s="8">
        <f t="shared" si="1"/>
        <v>1</v>
      </c>
      <c r="H10439" s="14">
        <f t="shared" si="2"/>
        <v>9</v>
      </c>
      <c r="I10439" s="15">
        <f t="shared" si="3"/>
        <v>22</v>
      </c>
    </row>
    <row r="10440">
      <c r="A10440" s="8" t="str">
        <f>IFERROR(__xludf.DUMMYFUNCTION("IF('(INGESTA)Datos_consumo_datadis'!A10440&lt;&gt;"""",SPLIT('(INGESTA)Datos_consumo_datadis'!A:A,"",""),"""")"),"ES0031408323131005HX0F")</f>
        <v>ES0031408323131005HX0F</v>
      </c>
      <c r="B10440" s="12">
        <f>IFERROR(__xludf.DUMMYFUNCTION("""COMPUTED_VALUE"""),45300.0)</f>
        <v>45300</v>
      </c>
      <c r="C10440" s="13">
        <f>IFERROR(__xludf.DUMMYFUNCTION("""COMPUTED_VALUE"""),0.9583333333333334)</f>
        <v>0.9583333333</v>
      </c>
      <c r="D10440" s="8">
        <f>IFERROR(__xludf.DUMMYFUNCTION("""COMPUTED_VALUE"""),0.333)</f>
        <v>0.333</v>
      </c>
      <c r="E10440" s="8" t="str">
        <f>IFERROR(__xludf.DUMMYFUNCTION("""COMPUTED_VALUE"""),"Real")</f>
        <v>Real</v>
      </c>
      <c r="G10440" s="8">
        <f t="shared" si="1"/>
        <v>1</v>
      </c>
      <c r="H10440" s="14">
        <f t="shared" si="2"/>
        <v>9</v>
      </c>
      <c r="I10440" s="15">
        <f t="shared" si="3"/>
        <v>23</v>
      </c>
    </row>
    <row r="10441">
      <c r="A10441" s="8" t="str">
        <f>IFERROR(__xludf.DUMMYFUNCTION("IF('(INGESTA)Datos_consumo_datadis'!A10441&lt;&gt;"""",SPLIT('(INGESTA)Datos_consumo_datadis'!A:A,"",""),"""")"),"ES0031408323131005HX0F")</f>
        <v>ES0031408323131005HX0F</v>
      </c>
      <c r="B10441" s="12">
        <f>IFERROR(__xludf.DUMMYFUNCTION("""COMPUTED_VALUE"""),45300.0)</f>
        <v>45300</v>
      </c>
      <c r="C10441" s="16">
        <f>IFERROR(__xludf.DUMMYFUNCTION("""COMPUTED_VALUE"""),1.0)</f>
        <v>1</v>
      </c>
      <c r="D10441" s="8">
        <f>IFERROR(__xludf.DUMMYFUNCTION("""COMPUTED_VALUE"""),0.061)</f>
        <v>0.061</v>
      </c>
      <c r="E10441" s="8" t="str">
        <f>IFERROR(__xludf.DUMMYFUNCTION("""COMPUTED_VALUE"""),"Real")</f>
        <v>Real</v>
      </c>
      <c r="G10441" s="8">
        <f t="shared" si="1"/>
        <v>1</v>
      </c>
      <c r="H10441" s="14">
        <f t="shared" si="2"/>
        <v>9</v>
      </c>
      <c r="I10441" s="15">
        <f t="shared" si="3"/>
        <v>0</v>
      </c>
    </row>
    <row r="10442">
      <c r="A10442" s="8" t="str">
        <f>IFERROR(__xludf.DUMMYFUNCTION("IF('(INGESTA)Datos_consumo_datadis'!A10442&lt;&gt;"""",SPLIT('(INGESTA)Datos_consumo_datadis'!A:A,"",""),"""")"),"ES0031408323131005HX0F")</f>
        <v>ES0031408323131005HX0F</v>
      </c>
      <c r="B10442" s="12">
        <f>IFERROR(__xludf.DUMMYFUNCTION("""COMPUTED_VALUE"""),45301.0)</f>
        <v>45301</v>
      </c>
      <c r="C10442" s="13">
        <f>IFERROR(__xludf.DUMMYFUNCTION("""COMPUTED_VALUE"""),0.041666666666666664)</f>
        <v>0.04166666667</v>
      </c>
      <c r="D10442" s="8">
        <f>IFERROR(__xludf.DUMMYFUNCTION("""COMPUTED_VALUE"""),0.055)</f>
        <v>0.055</v>
      </c>
      <c r="E10442" s="8" t="str">
        <f>IFERROR(__xludf.DUMMYFUNCTION("""COMPUTED_VALUE"""),"Real")</f>
        <v>Real</v>
      </c>
      <c r="G10442" s="8">
        <f t="shared" si="1"/>
        <v>1</v>
      </c>
      <c r="H10442" s="14">
        <f t="shared" si="2"/>
        <v>10</v>
      </c>
      <c r="I10442" s="15">
        <f t="shared" si="3"/>
        <v>1</v>
      </c>
    </row>
    <row r="10443">
      <c r="A10443" s="8" t="str">
        <f>IFERROR(__xludf.DUMMYFUNCTION("IF('(INGESTA)Datos_consumo_datadis'!A10443&lt;&gt;"""",SPLIT('(INGESTA)Datos_consumo_datadis'!A:A,"",""),"""")"),"ES0031408323131005HX0F")</f>
        <v>ES0031408323131005HX0F</v>
      </c>
      <c r="B10443" s="12">
        <f>IFERROR(__xludf.DUMMYFUNCTION("""COMPUTED_VALUE"""),45301.0)</f>
        <v>45301</v>
      </c>
      <c r="C10443" s="13">
        <f>IFERROR(__xludf.DUMMYFUNCTION("""COMPUTED_VALUE"""),0.08333333333333333)</f>
        <v>0.08333333333</v>
      </c>
      <c r="D10443" s="8">
        <f>IFERROR(__xludf.DUMMYFUNCTION("""COMPUTED_VALUE"""),0.018)</f>
        <v>0.018</v>
      </c>
      <c r="E10443" s="8" t="str">
        <f>IFERROR(__xludf.DUMMYFUNCTION("""COMPUTED_VALUE"""),"Real")</f>
        <v>Real</v>
      </c>
      <c r="G10443" s="8">
        <f t="shared" si="1"/>
        <v>1</v>
      </c>
      <c r="H10443" s="14">
        <f t="shared" si="2"/>
        <v>10</v>
      </c>
      <c r="I10443" s="15">
        <f t="shared" si="3"/>
        <v>2</v>
      </c>
    </row>
    <row r="10444">
      <c r="A10444" s="8" t="str">
        <f>IFERROR(__xludf.DUMMYFUNCTION("IF('(INGESTA)Datos_consumo_datadis'!A10444&lt;&gt;"""",SPLIT('(INGESTA)Datos_consumo_datadis'!A:A,"",""),"""")"),"ES0031408323131005HX0F")</f>
        <v>ES0031408323131005HX0F</v>
      </c>
      <c r="B10444" s="12">
        <f>IFERROR(__xludf.DUMMYFUNCTION("""COMPUTED_VALUE"""),45301.0)</f>
        <v>45301</v>
      </c>
      <c r="C10444" s="13">
        <f>IFERROR(__xludf.DUMMYFUNCTION("""COMPUTED_VALUE"""),0.125)</f>
        <v>0.125</v>
      </c>
      <c r="D10444" s="8">
        <f>IFERROR(__xludf.DUMMYFUNCTION("""COMPUTED_VALUE"""),0.035)</f>
        <v>0.035</v>
      </c>
      <c r="E10444" s="8" t="str">
        <f>IFERROR(__xludf.DUMMYFUNCTION("""COMPUTED_VALUE"""),"Real")</f>
        <v>Real</v>
      </c>
      <c r="G10444" s="8">
        <f t="shared" si="1"/>
        <v>1</v>
      </c>
      <c r="H10444" s="14">
        <f t="shared" si="2"/>
        <v>10</v>
      </c>
      <c r="I10444" s="15">
        <f t="shared" si="3"/>
        <v>3</v>
      </c>
    </row>
    <row r="10445">
      <c r="A10445" s="8" t="str">
        <f>IFERROR(__xludf.DUMMYFUNCTION("IF('(INGESTA)Datos_consumo_datadis'!A10445&lt;&gt;"""",SPLIT('(INGESTA)Datos_consumo_datadis'!A:A,"",""),"""")"),"ES0031408323131005HX0F")</f>
        <v>ES0031408323131005HX0F</v>
      </c>
      <c r="B10445" s="12">
        <f>IFERROR(__xludf.DUMMYFUNCTION("""COMPUTED_VALUE"""),45301.0)</f>
        <v>45301</v>
      </c>
      <c r="C10445" s="13">
        <f>IFERROR(__xludf.DUMMYFUNCTION("""COMPUTED_VALUE"""),0.16666666666666666)</f>
        <v>0.1666666667</v>
      </c>
      <c r="D10445" s="8">
        <f>IFERROR(__xludf.DUMMYFUNCTION("""COMPUTED_VALUE"""),0.087)</f>
        <v>0.087</v>
      </c>
      <c r="E10445" s="8" t="str">
        <f>IFERROR(__xludf.DUMMYFUNCTION("""COMPUTED_VALUE"""),"Real")</f>
        <v>Real</v>
      </c>
      <c r="G10445" s="8">
        <f t="shared" si="1"/>
        <v>1</v>
      </c>
      <c r="H10445" s="14">
        <f t="shared" si="2"/>
        <v>10</v>
      </c>
      <c r="I10445" s="15">
        <f t="shared" si="3"/>
        <v>4</v>
      </c>
    </row>
    <row r="10446">
      <c r="A10446" s="8" t="str">
        <f>IFERROR(__xludf.DUMMYFUNCTION("IF('(INGESTA)Datos_consumo_datadis'!A10446&lt;&gt;"""",SPLIT('(INGESTA)Datos_consumo_datadis'!A:A,"",""),"""")"),"ES0031408323131005HX0F")</f>
        <v>ES0031408323131005HX0F</v>
      </c>
      <c r="B10446" s="12">
        <f>IFERROR(__xludf.DUMMYFUNCTION("""COMPUTED_VALUE"""),45301.0)</f>
        <v>45301</v>
      </c>
      <c r="C10446" s="13">
        <f>IFERROR(__xludf.DUMMYFUNCTION("""COMPUTED_VALUE"""),0.20833333333333334)</f>
        <v>0.2083333333</v>
      </c>
      <c r="D10446" s="8">
        <f>IFERROR(__xludf.DUMMYFUNCTION("""COMPUTED_VALUE"""),0.319)</f>
        <v>0.319</v>
      </c>
      <c r="E10446" s="8" t="str">
        <f>IFERROR(__xludf.DUMMYFUNCTION("""COMPUTED_VALUE"""),"Real")</f>
        <v>Real</v>
      </c>
      <c r="G10446" s="8">
        <f t="shared" si="1"/>
        <v>1</v>
      </c>
      <c r="H10446" s="14">
        <f t="shared" si="2"/>
        <v>10</v>
      </c>
      <c r="I10446" s="15">
        <f t="shared" si="3"/>
        <v>5</v>
      </c>
    </row>
    <row r="10447">
      <c r="A10447" s="8" t="str">
        <f>IFERROR(__xludf.DUMMYFUNCTION("IF('(INGESTA)Datos_consumo_datadis'!A10447&lt;&gt;"""",SPLIT('(INGESTA)Datos_consumo_datadis'!A:A,"",""),"""")"),"ES0031408323131005HX0F")</f>
        <v>ES0031408323131005HX0F</v>
      </c>
      <c r="B10447" s="12">
        <f>IFERROR(__xludf.DUMMYFUNCTION("""COMPUTED_VALUE"""),45301.0)</f>
        <v>45301</v>
      </c>
      <c r="C10447" s="13">
        <f>IFERROR(__xludf.DUMMYFUNCTION("""COMPUTED_VALUE"""),0.25)</f>
        <v>0.25</v>
      </c>
      <c r="D10447" s="8">
        <f>IFERROR(__xludf.DUMMYFUNCTION("""COMPUTED_VALUE"""),0.037)</f>
        <v>0.037</v>
      </c>
      <c r="E10447" s="8" t="str">
        <f>IFERROR(__xludf.DUMMYFUNCTION("""COMPUTED_VALUE"""),"Real")</f>
        <v>Real</v>
      </c>
      <c r="G10447" s="8">
        <f t="shared" si="1"/>
        <v>1</v>
      </c>
      <c r="H10447" s="14">
        <f t="shared" si="2"/>
        <v>10</v>
      </c>
      <c r="I10447" s="15">
        <f t="shared" si="3"/>
        <v>6</v>
      </c>
    </row>
    <row r="10448">
      <c r="A10448" s="8" t="str">
        <f>IFERROR(__xludf.DUMMYFUNCTION("IF('(INGESTA)Datos_consumo_datadis'!A10448&lt;&gt;"""",SPLIT('(INGESTA)Datos_consumo_datadis'!A:A,"",""),"""")"),"ES0031408323131005HX0F")</f>
        <v>ES0031408323131005HX0F</v>
      </c>
      <c r="B10448" s="12">
        <f>IFERROR(__xludf.DUMMYFUNCTION("""COMPUTED_VALUE"""),45301.0)</f>
        <v>45301</v>
      </c>
      <c r="C10448" s="13">
        <f>IFERROR(__xludf.DUMMYFUNCTION("""COMPUTED_VALUE"""),0.2916666666666667)</f>
        <v>0.2916666667</v>
      </c>
      <c r="D10448" s="8">
        <f>IFERROR(__xludf.DUMMYFUNCTION("""COMPUTED_VALUE"""),0.014)</f>
        <v>0.014</v>
      </c>
      <c r="E10448" s="8" t="str">
        <f>IFERROR(__xludf.DUMMYFUNCTION("""COMPUTED_VALUE"""),"Real")</f>
        <v>Real</v>
      </c>
      <c r="G10448" s="8">
        <f t="shared" si="1"/>
        <v>1</v>
      </c>
      <c r="H10448" s="14">
        <f t="shared" si="2"/>
        <v>10</v>
      </c>
      <c r="I10448" s="15">
        <f t="shared" si="3"/>
        <v>7</v>
      </c>
    </row>
    <row r="10449">
      <c r="A10449" s="8" t="str">
        <f>IFERROR(__xludf.DUMMYFUNCTION("IF('(INGESTA)Datos_consumo_datadis'!A10449&lt;&gt;"""",SPLIT('(INGESTA)Datos_consumo_datadis'!A:A,"",""),"""")"),"ES0031408323131005HX0F")</f>
        <v>ES0031408323131005HX0F</v>
      </c>
      <c r="B10449" s="12">
        <f>IFERROR(__xludf.DUMMYFUNCTION("""COMPUTED_VALUE"""),45301.0)</f>
        <v>45301</v>
      </c>
      <c r="C10449" s="13">
        <f>IFERROR(__xludf.DUMMYFUNCTION("""COMPUTED_VALUE"""),0.3333333333333333)</f>
        <v>0.3333333333</v>
      </c>
      <c r="D10449" s="8">
        <f>IFERROR(__xludf.DUMMYFUNCTION("""COMPUTED_VALUE"""),0.028)</f>
        <v>0.028</v>
      </c>
      <c r="E10449" s="8" t="str">
        <f>IFERROR(__xludf.DUMMYFUNCTION("""COMPUTED_VALUE"""),"Real")</f>
        <v>Real</v>
      </c>
      <c r="G10449" s="8">
        <f t="shared" si="1"/>
        <v>1</v>
      </c>
      <c r="H10449" s="14">
        <f t="shared" si="2"/>
        <v>10</v>
      </c>
      <c r="I10449" s="15">
        <f t="shared" si="3"/>
        <v>8</v>
      </c>
    </row>
    <row r="10450">
      <c r="A10450" s="8" t="str">
        <f>IFERROR(__xludf.DUMMYFUNCTION("IF('(INGESTA)Datos_consumo_datadis'!A10450&lt;&gt;"""",SPLIT('(INGESTA)Datos_consumo_datadis'!A:A,"",""),"""")"),"ES0031408323131005HX0F")</f>
        <v>ES0031408323131005HX0F</v>
      </c>
      <c r="B10450" s="12">
        <f>IFERROR(__xludf.DUMMYFUNCTION("""COMPUTED_VALUE"""),45301.0)</f>
        <v>45301</v>
      </c>
      <c r="C10450" s="13">
        <f>IFERROR(__xludf.DUMMYFUNCTION("""COMPUTED_VALUE"""),0.375)</f>
        <v>0.375</v>
      </c>
      <c r="D10450" s="8">
        <f>IFERROR(__xludf.DUMMYFUNCTION("""COMPUTED_VALUE"""),0.065)</f>
        <v>0.065</v>
      </c>
      <c r="E10450" s="8" t="str">
        <f>IFERROR(__xludf.DUMMYFUNCTION("""COMPUTED_VALUE"""),"Real")</f>
        <v>Real</v>
      </c>
      <c r="G10450" s="8">
        <f t="shared" si="1"/>
        <v>1</v>
      </c>
      <c r="H10450" s="14">
        <f t="shared" si="2"/>
        <v>10</v>
      </c>
      <c r="I10450" s="15">
        <f t="shared" si="3"/>
        <v>9</v>
      </c>
    </row>
    <row r="10451">
      <c r="A10451" s="8" t="str">
        <f>IFERROR(__xludf.DUMMYFUNCTION("IF('(INGESTA)Datos_consumo_datadis'!A10451&lt;&gt;"""",SPLIT('(INGESTA)Datos_consumo_datadis'!A:A,"",""),"""")"),"ES0031408323131005HX0F")</f>
        <v>ES0031408323131005HX0F</v>
      </c>
      <c r="B10451" s="12">
        <f>IFERROR(__xludf.DUMMYFUNCTION("""COMPUTED_VALUE"""),45301.0)</f>
        <v>45301</v>
      </c>
      <c r="C10451" s="13">
        <f>IFERROR(__xludf.DUMMYFUNCTION("""COMPUTED_VALUE"""),0.4166666666666667)</f>
        <v>0.4166666667</v>
      </c>
      <c r="D10451" s="8">
        <f>IFERROR(__xludf.DUMMYFUNCTION("""COMPUTED_VALUE"""),0.349)</f>
        <v>0.349</v>
      </c>
      <c r="E10451" s="8" t="str">
        <f>IFERROR(__xludf.DUMMYFUNCTION("""COMPUTED_VALUE"""),"Real")</f>
        <v>Real</v>
      </c>
      <c r="G10451" s="8">
        <f t="shared" si="1"/>
        <v>1</v>
      </c>
      <c r="H10451" s="14">
        <f t="shared" si="2"/>
        <v>10</v>
      </c>
      <c r="I10451" s="15">
        <f t="shared" si="3"/>
        <v>10</v>
      </c>
    </row>
    <row r="10452">
      <c r="A10452" s="8" t="str">
        <f>IFERROR(__xludf.DUMMYFUNCTION("IF('(INGESTA)Datos_consumo_datadis'!A10452&lt;&gt;"""",SPLIT('(INGESTA)Datos_consumo_datadis'!A:A,"",""),"""")"),"ES0031408323131005HX0F")</f>
        <v>ES0031408323131005HX0F</v>
      </c>
      <c r="B10452" s="12">
        <f>IFERROR(__xludf.DUMMYFUNCTION("""COMPUTED_VALUE"""),45301.0)</f>
        <v>45301</v>
      </c>
      <c r="C10452" s="13">
        <f>IFERROR(__xludf.DUMMYFUNCTION("""COMPUTED_VALUE"""),0.4583333333333333)</f>
        <v>0.4583333333</v>
      </c>
      <c r="D10452" s="8">
        <f>IFERROR(__xludf.DUMMYFUNCTION("""COMPUTED_VALUE"""),0.021)</f>
        <v>0.021</v>
      </c>
      <c r="E10452" s="8" t="str">
        <f>IFERROR(__xludf.DUMMYFUNCTION("""COMPUTED_VALUE"""),"Real")</f>
        <v>Real</v>
      </c>
      <c r="G10452" s="8">
        <f t="shared" si="1"/>
        <v>1</v>
      </c>
      <c r="H10452" s="14">
        <f t="shared" si="2"/>
        <v>10</v>
      </c>
      <c r="I10452" s="15">
        <f t="shared" si="3"/>
        <v>11</v>
      </c>
    </row>
    <row r="10453">
      <c r="A10453" s="8" t="str">
        <f>IFERROR(__xludf.DUMMYFUNCTION("IF('(INGESTA)Datos_consumo_datadis'!A10453&lt;&gt;"""",SPLIT('(INGESTA)Datos_consumo_datadis'!A:A,"",""),"""")"),"ES0031408323131005HX0F")</f>
        <v>ES0031408323131005HX0F</v>
      </c>
      <c r="B10453" s="12">
        <f>IFERROR(__xludf.DUMMYFUNCTION("""COMPUTED_VALUE"""),45301.0)</f>
        <v>45301</v>
      </c>
      <c r="C10453" s="13">
        <f>IFERROR(__xludf.DUMMYFUNCTION("""COMPUTED_VALUE"""),0.5)</f>
        <v>0.5</v>
      </c>
      <c r="D10453" s="8">
        <f>IFERROR(__xludf.DUMMYFUNCTION("""COMPUTED_VALUE"""),0.015)</f>
        <v>0.015</v>
      </c>
      <c r="E10453" s="8" t="str">
        <f>IFERROR(__xludf.DUMMYFUNCTION("""COMPUTED_VALUE"""),"Real")</f>
        <v>Real</v>
      </c>
      <c r="G10453" s="8">
        <f t="shared" si="1"/>
        <v>1</v>
      </c>
      <c r="H10453" s="14">
        <f t="shared" si="2"/>
        <v>10</v>
      </c>
      <c r="I10453" s="15">
        <f t="shared" si="3"/>
        <v>12</v>
      </c>
    </row>
    <row r="10454">
      <c r="A10454" s="8" t="str">
        <f>IFERROR(__xludf.DUMMYFUNCTION("IF('(INGESTA)Datos_consumo_datadis'!A10454&lt;&gt;"""",SPLIT('(INGESTA)Datos_consumo_datadis'!A:A,"",""),"""")"),"ES0031408323131005HX0F")</f>
        <v>ES0031408323131005HX0F</v>
      </c>
      <c r="B10454" s="12">
        <f>IFERROR(__xludf.DUMMYFUNCTION("""COMPUTED_VALUE"""),45301.0)</f>
        <v>45301</v>
      </c>
      <c r="C10454" s="13">
        <f>IFERROR(__xludf.DUMMYFUNCTION("""COMPUTED_VALUE"""),0.5416666666666666)</f>
        <v>0.5416666667</v>
      </c>
      <c r="D10454" s="8">
        <f>IFERROR(__xludf.DUMMYFUNCTION("""COMPUTED_VALUE"""),0.073)</f>
        <v>0.073</v>
      </c>
      <c r="E10454" s="8" t="str">
        <f>IFERROR(__xludf.DUMMYFUNCTION("""COMPUTED_VALUE"""),"Real")</f>
        <v>Real</v>
      </c>
      <c r="G10454" s="8">
        <f t="shared" si="1"/>
        <v>1</v>
      </c>
      <c r="H10454" s="14">
        <f t="shared" si="2"/>
        <v>10</v>
      </c>
      <c r="I10454" s="15">
        <f t="shared" si="3"/>
        <v>13</v>
      </c>
    </row>
    <row r="10455">
      <c r="A10455" s="8" t="str">
        <f>IFERROR(__xludf.DUMMYFUNCTION("IF('(INGESTA)Datos_consumo_datadis'!A10455&lt;&gt;"""",SPLIT('(INGESTA)Datos_consumo_datadis'!A:A,"",""),"""")"),"ES0031408323131005HX0F")</f>
        <v>ES0031408323131005HX0F</v>
      </c>
      <c r="B10455" s="12">
        <f>IFERROR(__xludf.DUMMYFUNCTION("""COMPUTED_VALUE"""),45301.0)</f>
        <v>45301</v>
      </c>
      <c r="C10455" s="13">
        <f>IFERROR(__xludf.DUMMYFUNCTION("""COMPUTED_VALUE"""),0.5833333333333334)</f>
        <v>0.5833333333</v>
      </c>
      <c r="D10455" s="8">
        <f>IFERROR(__xludf.DUMMYFUNCTION("""COMPUTED_VALUE"""),0.042)</f>
        <v>0.042</v>
      </c>
      <c r="E10455" s="8" t="str">
        <f>IFERROR(__xludf.DUMMYFUNCTION("""COMPUTED_VALUE"""),"Real")</f>
        <v>Real</v>
      </c>
      <c r="G10455" s="8">
        <f t="shared" si="1"/>
        <v>1</v>
      </c>
      <c r="H10455" s="14">
        <f t="shared" si="2"/>
        <v>10</v>
      </c>
      <c r="I10455" s="15">
        <f t="shared" si="3"/>
        <v>14</v>
      </c>
    </row>
    <row r="10456">
      <c r="A10456" s="8" t="str">
        <f>IFERROR(__xludf.DUMMYFUNCTION("IF('(INGESTA)Datos_consumo_datadis'!A10456&lt;&gt;"""",SPLIT('(INGESTA)Datos_consumo_datadis'!A:A,"",""),"""")"),"ES0031408323131005HX0F")</f>
        <v>ES0031408323131005HX0F</v>
      </c>
      <c r="B10456" s="12">
        <f>IFERROR(__xludf.DUMMYFUNCTION("""COMPUTED_VALUE"""),45301.0)</f>
        <v>45301</v>
      </c>
      <c r="C10456" s="13">
        <f>IFERROR(__xludf.DUMMYFUNCTION("""COMPUTED_VALUE"""),0.625)</f>
        <v>0.625</v>
      </c>
      <c r="D10456" s="8">
        <f>IFERROR(__xludf.DUMMYFUNCTION("""COMPUTED_VALUE"""),0.328)</f>
        <v>0.328</v>
      </c>
      <c r="E10456" s="8" t="str">
        <f>IFERROR(__xludf.DUMMYFUNCTION("""COMPUTED_VALUE"""),"Real")</f>
        <v>Real</v>
      </c>
      <c r="G10456" s="8">
        <f t="shared" si="1"/>
        <v>1</v>
      </c>
      <c r="H10456" s="14">
        <f t="shared" si="2"/>
        <v>10</v>
      </c>
      <c r="I10456" s="15">
        <f t="shared" si="3"/>
        <v>15</v>
      </c>
    </row>
    <row r="10457">
      <c r="A10457" s="8" t="str">
        <f>IFERROR(__xludf.DUMMYFUNCTION("IF('(INGESTA)Datos_consumo_datadis'!A10457&lt;&gt;"""",SPLIT('(INGESTA)Datos_consumo_datadis'!A:A,"",""),"""")"),"ES0031408323131005HX0F")</f>
        <v>ES0031408323131005HX0F</v>
      </c>
      <c r="B10457" s="12">
        <f>IFERROR(__xludf.DUMMYFUNCTION("""COMPUTED_VALUE"""),45301.0)</f>
        <v>45301</v>
      </c>
      <c r="C10457" s="13">
        <f>IFERROR(__xludf.DUMMYFUNCTION("""COMPUTED_VALUE"""),0.6666666666666666)</f>
        <v>0.6666666667</v>
      </c>
      <c r="D10457" s="8">
        <f>IFERROR(__xludf.DUMMYFUNCTION("""COMPUTED_VALUE"""),0.014)</f>
        <v>0.014</v>
      </c>
      <c r="E10457" s="8" t="str">
        <f>IFERROR(__xludf.DUMMYFUNCTION("""COMPUTED_VALUE"""),"Real")</f>
        <v>Real</v>
      </c>
      <c r="G10457" s="8">
        <f t="shared" si="1"/>
        <v>1</v>
      </c>
      <c r="H10457" s="14">
        <f t="shared" si="2"/>
        <v>10</v>
      </c>
      <c r="I10457" s="15">
        <f t="shared" si="3"/>
        <v>16</v>
      </c>
    </row>
    <row r="10458">
      <c r="A10458" s="8" t="str">
        <f>IFERROR(__xludf.DUMMYFUNCTION("IF('(INGESTA)Datos_consumo_datadis'!A10458&lt;&gt;"""",SPLIT('(INGESTA)Datos_consumo_datadis'!A:A,"",""),"""")"),"ES0031408323131005HX0F")</f>
        <v>ES0031408323131005HX0F</v>
      </c>
      <c r="B10458" s="12">
        <f>IFERROR(__xludf.DUMMYFUNCTION("""COMPUTED_VALUE"""),45301.0)</f>
        <v>45301</v>
      </c>
      <c r="C10458" s="13">
        <f>IFERROR(__xludf.DUMMYFUNCTION("""COMPUTED_VALUE"""),0.7083333333333334)</f>
        <v>0.7083333333</v>
      </c>
      <c r="D10458" s="8">
        <f>IFERROR(__xludf.DUMMYFUNCTION("""COMPUTED_VALUE"""),0.023)</f>
        <v>0.023</v>
      </c>
      <c r="E10458" s="8" t="str">
        <f>IFERROR(__xludf.DUMMYFUNCTION("""COMPUTED_VALUE"""),"Real")</f>
        <v>Real</v>
      </c>
      <c r="G10458" s="8">
        <f t="shared" si="1"/>
        <v>1</v>
      </c>
      <c r="H10458" s="14">
        <f t="shared" si="2"/>
        <v>10</v>
      </c>
      <c r="I10458" s="15">
        <f t="shared" si="3"/>
        <v>17</v>
      </c>
    </row>
    <row r="10459">
      <c r="A10459" s="8" t="str">
        <f>IFERROR(__xludf.DUMMYFUNCTION("IF('(INGESTA)Datos_consumo_datadis'!A10459&lt;&gt;"""",SPLIT('(INGESTA)Datos_consumo_datadis'!A:A,"",""),"""")"),"ES0031408323131005HX0F")</f>
        <v>ES0031408323131005HX0F</v>
      </c>
      <c r="B10459" s="12">
        <f>IFERROR(__xludf.DUMMYFUNCTION("""COMPUTED_VALUE"""),45301.0)</f>
        <v>45301</v>
      </c>
      <c r="C10459" s="13">
        <f>IFERROR(__xludf.DUMMYFUNCTION("""COMPUTED_VALUE"""),0.75)</f>
        <v>0.75</v>
      </c>
      <c r="D10459" s="8">
        <f>IFERROR(__xludf.DUMMYFUNCTION("""COMPUTED_VALUE"""),0.07)</f>
        <v>0.07</v>
      </c>
      <c r="E10459" s="8" t="str">
        <f>IFERROR(__xludf.DUMMYFUNCTION("""COMPUTED_VALUE"""),"Real")</f>
        <v>Real</v>
      </c>
      <c r="G10459" s="8">
        <f t="shared" si="1"/>
        <v>1</v>
      </c>
      <c r="H10459" s="14">
        <f t="shared" si="2"/>
        <v>10</v>
      </c>
      <c r="I10459" s="15">
        <f t="shared" si="3"/>
        <v>18</v>
      </c>
    </row>
    <row r="10460">
      <c r="A10460" s="8" t="str">
        <f>IFERROR(__xludf.DUMMYFUNCTION("IF('(INGESTA)Datos_consumo_datadis'!A10460&lt;&gt;"""",SPLIT('(INGESTA)Datos_consumo_datadis'!A:A,"",""),"""")"),"ES0031408323131005HX0F")</f>
        <v>ES0031408323131005HX0F</v>
      </c>
      <c r="B10460" s="12">
        <f>IFERROR(__xludf.DUMMYFUNCTION("""COMPUTED_VALUE"""),45301.0)</f>
        <v>45301</v>
      </c>
      <c r="C10460" s="13">
        <f>IFERROR(__xludf.DUMMYFUNCTION("""COMPUTED_VALUE"""),0.7916666666666666)</f>
        <v>0.7916666667</v>
      </c>
      <c r="D10460" s="8">
        <f>IFERROR(__xludf.DUMMYFUNCTION("""COMPUTED_VALUE"""),0.049)</f>
        <v>0.049</v>
      </c>
      <c r="E10460" s="8" t="str">
        <f>IFERROR(__xludf.DUMMYFUNCTION("""COMPUTED_VALUE"""),"Real")</f>
        <v>Real</v>
      </c>
      <c r="G10460" s="8">
        <f t="shared" si="1"/>
        <v>1</v>
      </c>
      <c r="H10460" s="14">
        <f t="shared" si="2"/>
        <v>10</v>
      </c>
      <c r="I10460" s="15">
        <f t="shared" si="3"/>
        <v>19</v>
      </c>
    </row>
    <row r="10461">
      <c r="A10461" s="8" t="str">
        <f>IFERROR(__xludf.DUMMYFUNCTION("IF('(INGESTA)Datos_consumo_datadis'!A10461&lt;&gt;"""",SPLIT('(INGESTA)Datos_consumo_datadis'!A:A,"",""),"""")"),"ES0031408323131005HX0F")</f>
        <v>ES0031408323131005HX0F</v>
      </c>
      <c r="B10461" s="12">
        <f>IFERROR(__xludf.DUMMYFUNCTION("""COMPUTED_VALUE"""),45301.0)</f>
        <v>45301</v>
      </c>
      <c r="C10461" s="13">
        <f>IFERROR(__xludf.DUMMYFUNCTION("""COMPUTED_VALUE"""),0.8333333333333334)</f>
        <v>0.8333333333</v>
      </c>
      <c r="D10461" s="8">
        <f>IFERROR(__xludf.DUMMYFUNCTION("""COMPUTED_VALUE"""),0.029)</f>
        <v>0.029</v>
      </c>
      <c r="E10461" s="8" t="str">
        <f>IFERROR(__xludf.DUMMYFUNCTION("""COMPUTED_VALUE"""),"Real")</f>
        <v>Real</v>
      </c>
      <c r="G10461" s="8">
        <f t="shared" si="1"/>
        <v>1</v>
      </c>
      <c r="H10461" s="14">
        <f t="shared" si="2"/>
        <v>10</v>
      </c>
      <c r="I10461" s="15">
        <f t="shared" si="3"/>
        <v>20</v>
      </c>
    </row>
    <row r="10462">
      <c r="A10462" s="8" t="str">
        <f>IFERROR(__xludf.DUMMYFUNCTION("IF('(INGESTA)Datos_consumo_datadis'!A10462&lt;&gt;"""",SPLIT('(INGESTA)Datos_consumo_datadis'!A:A,"",""),"""")"),"ES0031408323131005HX0F")</f>
        <v>ES0031408323131005HX0F</v>
      </c>
      <c r="B10462" s="12">
        <f>IFERROR(__xludf.DUMMYFUNCTION("""COMPUTED_VALUE"""),45301.0)</f>
        <v>45301</v>
      </c>
      <c r="C10462" s="13">
        <f>IFERROR(__xludf.DUMMYFUNCTION("""COMPUTED_VALUE"""),0.875)</f>
        <v>0.875</v>
      </c>
      <c r="D10462" s="8">
        <f>IFERROR(__xludf.DUMMYFUNCTION("""COMPUTED_VALUE"""),0.284)</f>
        <v>0.284</v>
      </c>
      <c r="E10462" s="8" t="str">
        <f>IFERROR(__xludf.DUMMYFUNCTION("""COMPUTED_VALUE"""),"Real")</f>
        <v>Real</v>
      </c>
      <c r="G10462" s="8">
        <f t="shared" si="1"/>
        <v>1</v>
      </c>
      <c r="H10462" s="14">
        <f t="shared" si="2"/>
        <v>10</v>
      </c>
      <c r="I10462" s="15">
        <f t="shared" si="3"/>
        <v>21</v>
      </c>
    </row>
    <row r="10463">
      <c r="A10463" s="8" t="str">
        <f>IFERROR(__xludf.DUMMYFUNCTION("IF('(INGESTA)Datos_consumo_datadis'!A10463&lt;&gt;"""",SPLIT('(INGESTA)Datos_consumo_datadis'!A:A,"",""),"""")"),"ES0031408323131005HX0F")</f>
        <v>ES0031408323131005HX0F</v>
      </c>
      <c r="B10463" s="12">
        <f>IFERROR(__xludf.DUMMYFUNCTION("""COMPUTED_VALUE"""),45301.0)</f>
        <v>45301</v>
      </c>
      <c r="C10463" s="13">
        <f>IFERROR(__xludf.DUMMYFUNCTION("""COMPUTED_VALUE"""),0.9166666666666666)</f>
        <v>0.9166666667</v>
      </c>
      <c r="D10463" s="8">
        <f>IFERROR(__xludf.DUMMYFUNCTION("""COMPUTED_VALUE"""),0.068)</f>
        <v>0.068</v>
      </c>
      <c r="E10463" s="8" t="str">
        <f>IFERROR(__xludf.DUMMYFUNCTION("""COMPUTED_VALUE"""),"Real")</f>
        <v>Real</v>
      </c>
      <c r="G10463" s="8">
        <f t="shared" si="1"/>
        <v>1</v>
      </c>
      <c r="H10463" s="14">
        <f t="shared" si="2"/>
        <v>10</v>
      </c>
      <c r="I10463" s="15">
        <f t="shared" si="3"/>
        <v>22</v>
      </c>
    </row>
    <row r="10464">
      <c r="A10464" s="8" t="str">
        <f>IFERROR(__xludf.DUMMYFUNCTION("IF('(INGESTA)Datos_consumo_datadis'!A10464&lt;&gt;"""",SPLIT('(INGESTA)Datos_consumo_datadis'!A:A,"",""),"""")"),"ES0031408323131005HX0F")</f>
        <v>ES0031408323131005HX0F</v>
      </c>
      <c r="B10464" s="12">
        <f>IFERROR(__xludf.DUMMYFUNCTION("""COMPUTED_VALUE"""),45301.0)</f>
        <v>45301</v>
      </c>
      <c r="C10464" s="13">
        <f>IFERROR(__xludf.DUMMYFUNCTION("""COMPUTED_VALUE"""),0.9583333333333334)</f>
        <v>0.9583333333</v>
      </c>
      <c r="D10464" s="8">
        <f>IFERROR(__xludf.DUMMYFUNCTION("""COMPUTED_VALUE"""),0.049)</f>
        <v>0.049</v>
      </c>
      <c r="E10464" s="8" t="str">
        <f>IFERROR(__xludf.DUMMYFUNCTION("""COMPUTED_VALUE"""),"Real")</f>
        <v>Real</v>
      </c>
      <c r="G10464" s="8">
        <f t="shared" si="1"/>
        <v>1</v>
      </c>
      <c r="H10464" s="14">
        <f t="shared" si="2"/>
        <v>10</v>
      </c>
      <c r="I10464" s="15">
        <f t="shared" si="3"/>
        <v>23</v>
      </c>
    </row>
    <row r="10465">
      <c r="A10465" s="8" t="str">
        <f>IFERROR(__xludf.DUMMYFUNCTION("IF('(INGESTA)Datos_consumo_datadis'!A10465&lt;&gt;"""",SPLIT('(INGESTA)Datos_consumo_datadis'!A:A,"",""),"""")"),"ES0031408323131005HX0F")</f>
        <v>ES0031408323131005HX0F</v>
      </c>
      <c r="B10465" s="12">
        <f>IFERROR(__xludf.DUMMYFUNCTION("""COMPUTED_VALUE"""),45301.0)</f>
        <v>45301</v>
      </c>
      <c r="C10465" s="16">
        <f>IFERROR(__xludf.DUMMYFUNCTION("""COMPUTED_VALUE"""),1.0)</f>
        <v>1</v>
      </c>
      <c r="D10465" s="8">
        <f>IFERROR(__xludf.DUMMYFUNCTION("""COMPUTED_VALUE"""),0.038)</f>
        <v>0.038</v>
      </c>
      <c r="E10465" s="8" t="str">
        <f>IFERROR(__xludf.DUMMYFUNCTION("""COMPUTED_VALUE"""),"Real")</f>
        <v>Real</v>
      </c>
      <c r="G10465" s="8">
        <f t="shared" si="1"/>
        <v>1</v>
      </c>
      <c r="H10465" s="14">
        <f t="shared" si="2"/>
        <v>10</v>
      </c>
      <c r="I10465" s="15">
        <f t="shared" si="3"/>
        <v>0</v>
      </c>
    </row>
    <row r="10466">
      <c r="A10466" s="8" t="str">
        <f>IFERROR(__xludf.DUMMYFUNCTION("IF('(INGESTA)Datos_consumo_datadis'!A10466&lt;&gt;"""",SPLIT('(INGESTA)Datos_consumo_datadis'!A:A,"",""),"""")"),"ES0031408323131005HX0F")</f>
        <v>ES0031408323131005HX0F</v>
      </c>
      <c r="B10466" s="12">
        <f>IFERROR(__xludf.DUMMYFUNCTION("""COMPUTED_VALUE"""),45302.0)</f>
        <v>45302</v>
      </c>
      <c r="C10466" s="13">
        <f>IFERROR(__xludf.DUMMYFUNCTION("""COMPUTED_VALUE"""),0.041666666666666664)</f>
        <v>0.04166666667</v>
      </c>
      <c r="D10466" s="8">
        <f>IFERROR(__xludf.DUMMYFUNCTION("""COMPUTED_VALUE"""),0.028)</f>
        <v>0.028</v>
      </c>
      <c r="E10466" s="8" t="str">
        <f>IFERROR(__xludf.DUMMYFUNCTION("""COMPUTED_VALUE"""),"Real")</f>
        <v>Real</v>
      </c>
      <c r="G10466" s="8">
        <f t="shared" si="1"/>
        <v>1</v>
      </c>
      <c r="H10466" s="14">
        <f t="shared" si="2"/>
        <v>11</v>
      </c>
      <c r="I10466" s="15">
        <f t="shared" si="3"/>
        <v>1</v>
      </c>
    </row>
    <row r="10467">
      <c r="A10467" s="8" t="str">
        <f>IFERROR(__xludf.DUMMYFUNCTION("IF('(INGESTA)Datos_consumo_datadis'!A10467&lt;&gt;"""",SPLIT('(INGESTA)Datos_consumo_datadis'!A:A,"",""),"""")"),"ES0031408323131005HX0F")</f>
        <v>ES0031408323131005HX0F</v>
      </c>
      <c r="B10467" s="12">
        <f>IFERROR(__xludf.DUMMYFUNCTION("""COMPUTED_VALUE"""),45302.0)</f>
        <v>45302</v>
      </c>
      <c r="C10467" s="13">
        <f>IFERROR(__xludf.DUMMYFUNCTION("""COMPUTED_VALUE"""),0.08333333333333333)</f>
        <v>0.08333333333</v>
      </c>
      <c r="D10467" s="8">
        <f>IFERROR(__xludf.DUMMYFUNCTION("""COMPUTED_VALUE"""),0.306)</f>
        <v>0.306</v>
      </c>
      <c r="E10467" s="8" t="str">
        <f>IFERROR(__xludf.DUMMYFUNCTION("""COMPUTED_VALUE"""),"Real")</f>
        <v>Real</v>
      </c>
      <c r="G10467" s="8">
        <f t="shared" si="1"/>
        <v>1</v>
      </c>
      <c r="H10467" s="14">
        <f t="shared" si="2"/>
        <v>11</v>
      </c>
      <c r="I10467" s="15">
        <f t="shared" si="3"/>
        <v>2</v>
      </c>
    </row>
    <row r="10468">
      <c r="A10468" s="8" t="str">
        <f>IFERROR(__xludf.DUMMYFUNCTION("IF('(INGESTA)Datos_consumo_datadis'!A10468&lt;&gt;"""",SPLIT('(INGESTA)Datos_consumo_datadis'!A:A,"",""),"""")"),"ES0031408323131005HX0F")</f>
        <v>ES0031408323131005HX0F</v>
      </c>
      <c r="B10468" s="12">
        <f>IFERROR(__xludf.DUMMYFUNCTION("""COMPUTED_VALUE"""),45302.0)</f>
        <v>45302</v>
      </c>
      <c r="C10468" s="13">
        <f>IFERROR(__xludf.DUMMYFUNCTION("""COMPUTED_VALUE"""),0.125)</f>
        <v>0.125</v>
      </c>
      <c r="D10468" s="8">
        <f>IFERROR(__xludf.DUMMYFUNCTION("""COMPUTED_VALUE"""),0.109)</f>
        <v>0.109</v>
      </c>
      <c r="E10468" s="8" t="str">
        <f>IFERROR(__xludf.DUMMYFUNCTION("""COMPUTED_VALUE"""),"Real")</f>
        <v>Real</v>
      </c>
      <c r="G10468" s="8">
        <f t="shared" si="1"/>
        <v>1</v>
      </c>
      <c r="H10468" s="14">
        <f t="shared" si="2"/>
        <v>11</v>
      </c>
      <c r="I10468" s="15">
        <f t="shared" si="3"/>
        <v>3</v>
      </c>
    </row>
    <row r="10469">
      <c r="A10469" s="8" t="str">
        <f>IFERROR(__xludf.DUMMYFUNCTION("IF('(INGESTA)Datos_consumo_datadis'!A10469&lt;&gt;"""",SPLIT('(INGESTA)Datos_consumo_datadis'!A:A,"",""),"""")"),"ES0031408323131005HX0F")</f>
        <v>ES0031408323131005HX0F</v>
      </c>
      <c r="B10469" s="12">
        <f>IFERROR(__xludf.DUMMYFUNCTION("""COMPUTED_VALUE"""),45302.0)</f>
        <v>45302</v>
      </c>
      <c r="C10469" s="13">
        <f>IFERROR(__xludf.DUMMYFUNCTION("""COMPUTED_VALUE"""),0.16666666666666666)</f>
        <v>0.1666666667</v>
      </c>
      <c r="D10469" s="8">
        <f>IFERROR(__xludf.DUMMYFUNCTION("""COMPUTED_VALUE"""),0.048)</f>
        <v>0.048</v>
      </c>
      <c r="E10469" s="8" t="str">
        <f>IFERROR(__xludf.DUMMYFUNCTION("""COMPUTED_VALUE"""),"Real")</f>
        <v>Real</v>
      </c>
      <c r="G10469" s="8">
        <f t="shared" si="1"/>
        <v>1</v>
      </c>
      <c r="H10469" s="14">
        <f t="shared" si="2"/>
        <v>11</v>
      </c>
      <c r="I10469" s="15">
        <f t="shared" si="3"/>
        <v>4</v>
      </c>
    </row>
    <row r="10470">
      <c r="A10470" s="8" t="str">
        <f>IFERROR(__xludf.DUMMYFUNCTION("IF('(INGESTA)Datos_consumo_datadis'!A10470&lt;&gt;"""",SPLIT('(INGESTA)Datos_consumo_datadis'!A:A,"",""),"""")"),"ES0031408323131005HX0F")</f>
        <v>ES0031408323131005HX0F</v>
      </c>
      <c r="B10470" s="12">
        <f>IFERROR(__xludf.DUMMYFUNCTION("""COMPUTED_VALUE"""),45302.0)</f>
        <v>45302</v>
      </c>
      <c r="C10470" s="13">
        <f>IFERROR(__xludf.DUMMYFUNCTION("""COMPUTED_VALUE"""),0.20833333333333334)</f>
        <v>0.2083333333</v>
      </c>
      <c r="D10470" s="8">
        <f>IFERROR(__xludf.DUMMYFUNCTION("""COMPUTED_VALUE"""),0.038)</f>
        <v>0.038</v>
      </c>
      <c r="E10470" s="8" t="str">
        <f>IFERROR(__xludf.DUMMYFUNCTION("""COMPUTED_VALUE"""),"Real")</f>
        <v>Real</v>
      </c>
      <c r="G10470" s="8">
        <f t="shared" si="1"/>
        <v>1</v>
      </c>
      <c r="H10470" s="14">
        <f t="shared" si="2"/>
        <v>11</v>
      </c>
      <c r="I10470" s="15">
        <f t="shared" si="3"/>
        <v>5</v>
      </c>
    </row>
    <row r="10471">
      <c r="A10471" s="8" t="str">
        <f>IFERROR(__xludf.DUMMYFUNCTION("IF('(INGESTA)Datos_consumo_datadis'!A10471&lt;&gt;"""",SPLIT('(INGESTA)Datos_consumo_datadis'!A:A,"",""),"""")"),"ES0031408323131005HX0F")</f>
        <v>ES0031408323131005HX0F</v>
      </c>
      <c r="B10471" s="12">
        <f>IFERROR(__xludf.DUMMYFUNCTION("""COMPUTED_VALUE"""),45302.0)</f>
        <v>45302</v>
      </c>
      <c r="C10471" s="13">
        <f>IFERROR(__xludf.DUMMYFUNCTION("""COMPUTED_VALUE"""),0.25)</f>
        <v>0.25</v>
      </c>
      <c r="D10471" s="8">
        <f>IFERROR(__xludf.DUMMYFUNCTION("""COMPUTED_VALUE"""),0.014)</f>
        <v>0.014</v>
      </c>
      <c r="E10471" s="8" t="str">
        <f>IFERROR(__xludf.DUMMYFUNCTION("""COMPUTED_VALUE"""),"Real")</f>
        <v>Real</v>
      </c>
      <c r="G10471" s="8">
        <f t="shared" si="1"/>
        <v>1</v>
      </c>
      <c r="H10471" s="14">
        <f t="shared" si="2"/>
        <v>11</v>
      </c>
      <c r="I10471" s="15">
        <f t="shared" si="3"/>
        <v>6</v>
      </c>
    </row>
    <row r="10472">
      <c r="A10472" s="8" t="str">
        <f>IFERROR(__xludf.DUMMYFUNCTION("IF('(INGESTA)Datos_consumo_datadis'!A10472&lt;&gt;"""",SPLIT('(INGESTA)Datos_consumo_datadis'!A:A,"",""),"""")"),"ES0031408323131005HX0F")</f>
        <v>ES0031408323131005HX0F</v>
      </c>
      <c r="B10472" s="12">
        <f>IFERROR(__xludf.DUMMYFUNCTION("""COMPUTED_VALUE"""),45302.0)</f>
        <v>45302</v>
      </c>
      <c r="C10472" s="13">
        <f>IFERROR(__xludf.DUMMYFUNCTION("""COMPUTED_VALUE"""),0.2916666666666667)</f>
        <v>0.2916666667</v>
      </c>
      <c r="D10472" s="8">
        <f>IFERROR(__xludf.DUMMYFUNCTION("""COMPUTED_VALUE"""),0.332)</f>
        <v>0.332</v>
      </c>
      <c r="E10472" s="8" t="str">
        <f>IFERROR(__xludf.DUMMYFUNCTION("""COMPUTED_VALUE"""),"Real")</f>
        <v>Real</v>
      </c>
      <c r="G10472" s="8">
        <f t="shared" si="1"/>
        <v>1</v>
      </c>
      <c r="H10472" s="14">
        <f t="shared" si="2"/>
        <v>11</v>
      </c>
      <c r="I10472" s="15">
        <f t="shared" si="3"/>
        <v>7</v>
      </c>
    </row>
    <row r="10473">
      <c r="A10473" s="8" t="str">
        <f>IFERROR(__xludf.DUMMYFUNCTION("IF('(INGESTA)Datos_consumo_datadis'!A10473&lt;&gt;"""",SPLIT('(INGESTA)Datos_consumo_datadis'!A:A,"",""),"""")"),"ES0031408323131005HX0F")</f>
        <v>ES0031408323131005HX0F</v>
      </c>
      <c r="B10473" s="12">
        <f>IFERROR(__xludf.DUMMYFUNCTION("""COMPUTED_VALUE"""),45302.0)</f>
        <v>45302</v>
      </c>
      <c r="C10473" s="13">
        <f>IFERROR(__xludf.DUMMYFUNCTION("""COMPUTED_VALUE"""),0.3333333333333333)</f>
        <v>0.3333333333</v>
      </c>
      <c r="D10473" s="8">
        <f>IFERROR(__xludf.DUMMYFUNCTION("""COMPUTED_VALUE"""),0.06)</f>
        <v>0.06</v>
      </c>
      <c r="E10473" s="8" t="str">
        <f>IFERROR(__xludf.DUMMYFUNCTION("""COMPUTED_VALUE"""),"Real")</f>
        <v>Real</v>
      </c>
      <c r="G10473" s="8">
        <f t="shared" si="1"/>
        <v>1</v>
      </c>
      <c r="H10473" s="14">
        <f t="shared" si="2"/>
        <v>11</v>
      </c>
      <c r="I10473" s="15">
        <f t="shared" si="3"/>
        <v>8</v>
      </c>
    </row>
    <row r="10474">
      <c r="A10474" s="8" t="str">
        <f>IFERROR(__xludf.DUMMYFUNCTION("IF('(INGESTA)Datos_consumo_datadis'!A10474&lt;&gt;"""",SPLIT('(INGESTA)Datos_consumo_datadis'!A:A,"",""),"""")"),"ES0031408323131005HX0F")</f>
        <v>ES0031408323131005HX0F</v>
      </c>
      <c r="B10474" s="12">
        <f>IFERROR(__xludf.DUMMYFUNCTION("""COMPUTED_VALUE"""),45302.0)</f>
        <v>45302</v>
      </c>
      <c r="C10474" s="13">
        <f>IFERROR(__xludf.DUMMYFUNCTION("""COMPUTED_VALUE"""),0.375)</f>
        <v>0.375</v>
      </c>
      <c r="D10474" s="8">
        <f>IFERROR(__xludf.DUMMYFUNCTION("""COMPUTED_VALUE"""),0.039)</f>
        <v>0.039</v>
      </c>
      <c r="E10474" s="8" t="str">
        <f>IFERROR(__xludf.DUMMYFUNCTION("""COMPUTED_VALUE"""),"Real")</f>
        <v>Real</v>
      </c>
      <c r="G10474" s="8">
        <f t="shared" si="1"/>
        <v>1</v>
      </c>
      <c r="H10474" s="14">
        <f t="shared" si="2"/>
        <v>11</v>
      </c>
      <c r="I10474" s="15">
        <f t="shared" si="3"/>
        <v>9</v>
      </c>
    </row>
    <row r="10475">
      <c r="A10475" s="8" t="str">
        <f>IFERROR(__xludf.DUMMYFUNCTION("IF('(INGESTA)Datos_consumo_datadis'!A10475&lt;&gt;"""",SPLIT('(INGESTA)Datos_consumo_datadis'!A:A,"",""),"""")"),"ES0031408323131005HX0F")</f>
        <v>ES0031408323131005HX0F</v>
      </c>
      <c r="B10475" s="12">
        <f>IFERROR(__xludf.DUMMYFUNCTION("""COMPUTED_VALUE"""),45302.0)</f>
        <v>45302</v>
      </c>
      <c r="C10475" s="13">
        <f>IFERROR(__xludf.DUMMYFUNCTION("""COMPUTED_VALUE"""),0.4166666666666667)</f>
        <v>0.4166666667</v>
      </c>
      <c r="D10475" s="8">
        <f>IFERROR(__xludf.DUMMYFUNCTION("""COMPUTED_VALUE"""),0.014)</f>
        <v>0.014</v>
      </c>
      <c r="E10475" s="8" t="str">
        <f>IFERROR(__xludf.DUMMYFUNCTION("""COMPUTED_VALUE"""),"Real")</f>
        <v>Real</v>
      </c>
      <c r="G10475" s="8">
        <f t="shared" si="1"/>
        <v>1</v>
      </c>
      <c r="H10475" s="14">
        <f t="shared" si="2"/>
        <v>11</v>
      </c>
      <c r="I10475" s="15">
        <f t="shared" si="3"/>
        <v>10</v>
      </c>
    </row>
    <row r="10476">
      <c r="A10476" s="8" t="str">
        <f>IFERROR(__xludf.DUMMYFUNCTION("IF('(INGESTA)Datos_consumo_datadis'!A10476&lt;&gt;"""",SPLIT('(INGESTA)Datos_consumo_datadis'!A:A,"",""),"""")"),"ES0031408323131005HX0F")</f>
        <v>ES0031408323131005HX0F</v>
      </c>
      <c r="B10476" s="12">
        <f>IFERROR(__xludf.DUMMYFUNCTION("""COMPUTED_VALUE"""),45302.0)</f>
        <v>45302</v>
      </c>
      <c r="C10476" s="13">
        <f>IFERROR(__xludf.DUMMYFUNCTION("""COMPUTED_VALUE"""),0.4583333333333333)</f>
        <v>0.4583333333</v>
      </c>
      <c r="D10476" s="8">
        <f>IFERROR(__xludf.DUMMYFUNCTION("""COMPUTED_VALUE"""),0.015)</f>
        <v>0.015</v>
      </c>
      <c r="E10476" s="8" t="str">
        <f>IFERROR(__xludf.DUMMYFUNCTION("""COMPUTED_VALUE"""),"Real")</f>
        <v>Real</v>
      </c>
      <c r="G10476" s="8">
        <f t="shared" si="1"/>
        <v>1</v>
      </c>
      <c r="H10476" s="14">
        <f t="shared" si="2"/>
        <v>11</v>
      </c>
      <c r="I10476" s="15">
        <f t="shared" si="3"/>
        <v>11</v>
      </c>
    </row>
    <row r="10477">
      <c r="A10477" s="8" t="str">
        <f>IFERROR(__xludf.DUMMYFUNCTION("IF('(INGESTA)Datos_consumo_datadis'!A10477&lt;&gt;"""",SPLIT('(INGESTA)Datos_consumo_datadis'!A:A,"",""),"""")"),"ES0031408323131005HX0F")</f>
        <v>ES0031408323131005HX0F</v>
      </c>
      <c r="B10477" s="12">
        <f>IFERROR(__xludf.DUMMYFUNCTION("""COMPUTED_VALUE"""),45302.0)</f>
        <v>45302</v>
      </c>
      <c r="C10477" s="13">
        <f>IFERROR(__xludf.DUMMYFUNCTION("""COMPUTED_VALUE"""),0.5)</f>
        <v>0.5</v>
      </c>
      <c r="D10477" s="8">
        <f>IFERROR(__xludf.DUMMYFUNCTION("""COMPUTED_VALUE"""),0.365)</f>
        <v>0.365</v>
      </c>
      <c r="E10477" s="8" t="str">
        <f>IFERROR(__xludf.DUMMYFUNCTION("""COMPUTED_VALUE"""),"Real")</f>
        <v>Real</v>
      </c>
      <c r="G10477" s="8">
        <f t="shared" si="1"/>
        <v>1</v>
      </c>
      <c r="H10477" s="14">
        <f t="shared" si="2"/>
        <v>11</v>
      </c>
      <c r="I10477" s="15">
        <f t="shared" si="3"/>
        <v>12</v>
      </c>
    </row>
    <row r="10478">
      <c r="A10478" s="8" t="str">
        <f>IFERROR(__xludf.DUMMYFUNCTION("IF('(INGESTA)Datos_consumo_datadis'!A10478&lt;&gt;"""",SPLIT('(INGESTA)Datos_consumo_datadis'!A:A,"",""),"""")"),"ES0031408323131005HX0F")</f>
        <v>ES0031408323131005HX0F</v>
      </c>
      <c r="B10478" s="12">
        <f>IFERROR(__xludf.DUMMYFUNCTION("""COMPUTED_VALUE"""),45302.0)</f>
        <v>45302</v>
      </c>
      <c r="C10478" s="13">
        <f>IFERROR(__xludf.DUMMYFUNCTION("""COMPUTED_VALUE"""),0.5416666666666666)</f>
        <v>0.5416666667</v>
      </c>
      <c r="D10478" s="8">
        <f>IFERROR(__xludf.DUMMYFUNCTION("""COMPUTED_VALUE"""),0.036)</f>
        <v>0.036</v>
      </c>
      <c r="E10478" s="8" t="str">
        <f>IFERROR(__xludf.DUMMYFUNCTION("""COMPUTED_VALUE"""),"Real")</f>
        <v>Real</v>
      </c>
      <c r="G10478" s="8">
        <f t="shared" si="1"/>
        <v>1</v>
      </c>
      <c r="H10478" s="14">
        <f t="shared" si="2"/>
        <v>11</v>
      </c>
      <c r="I10478" s="15">
        <f t="shared" si="3"/>
        <v>13</v>
      </c>
    </row>
    <row r="10479">
      <c r="A10479" s="8" t="str">
        <f>IFERROR(__xludf.DUMMYFUNCTION("IF('(INGESTA)Datos_consumo_datadis'!A10479&lt;&gt;"""",SPLIT('(INGESTA)Datos_consumo_datadis'!A:A,"",""),"""")"),"ES0031408323131005HX0F")</f>
        <v>ES0031408323131005HX0F</v>
      </c>
      <c r="B10479" s="12">
        <f>IFERROR(__xludf.DUMMYFUNCTION("""COMPUTED_VALUE"""),45302.0)</f>
        <v>45302</v>
      </c>
      <c r="C10479" s="13">
        <f>IFERROR(__xludf.DUMMYFUNCTION("""COMPUTED_VALUE"""),0.5833333333333334)</f>
        <v>0.5833333333</v>
      </c>
      <c r="D10479" s="8">
        <f>IFERROR(__xludf.DUMMYFUNCTION("""COMPUTED_VALUE"""),0.038)</f>
        <v>0.038</v>
      </c>
      <c r="E10479" s="8" t="str">
        <f>IFERROR(__xludf.DUMMYFUNCTION("""COMPUTED_VALUE"""),"Real")</f>
        <v>Real</v>
      </c>
      <c r="G10479" s="8">
        <f t="shared" si="1"/>
        <v>1</v>
      </c>
      <c r="H10479" s="14">
        <f t="shared" si="2"/>
        <v>11</v>
      </c>
      <c r="I10479" s="15">
        <f t="shared" si="3"/>
        <v>14</v>
      </c>
    </row>
    <row r="10480">
      <c r="A10480" s="8" t="str">
        <f>IFERROR(__xludf.DUMMYFUNCTION("IF('(INGESTA)Datos_consumo_datadis'!A10480&lt;&gt;"""",SPLIT('(INGESTA)Datos_consumo_datadis'!A:A,"",""),"""")"),"ES0031408323131005HX0F")</f>
        <v>ES0031408323131005HX0F</v>
      </c>
      <c r="B10480" s="12">
        <f>IFERROR(__xludf.DUMMYFUNCTION("""COMPUTED_VALUE"""),45302.0)</f>
        <v>45302</v>
      </c>
      <c r="C10480" s="13">
        <f>IFERROR(__xludf.DUMMYFUNCTION("""COMPUTED_VALUE"""),0.625)</f>
        <v>0.625</v>
      </c>
      <c r="D10480" s="8">
        <f>IFERROR(__xludf.DUMMYFUNCTION("""COMPUTED_VALUE"""),0.014)</f>
        <v>0.014</v>
      </c>
      <c r="E10480" s="8" t="str">
        <f>IFERROR(__xludf.DUMMYFUNCTION("""COMPUTED_VALUE"""),"Real")</f>
        <v>Real</v>
      </c>
      <c r="G10480" s="8">
        <f t="shared" si="1"/>
        <v>1</v>
      </c>
      <c r="H10480" s="14">
        <f t="shared" si="2"/>
        <v>11</v>
      </c>
      <c r="I10480" s="15">
        <f t="shared" si="3"/>
        <v>15</v>
      </c>
    </row>
    <row r="10481">
      <c r="A10481" s="8" t="str">
        <f>IFERROR(__xludf.DUMMYFUNCTION("IF('(INGESTA)Datos_consumo_datadis'!A10481&lt;&gt;"""",SPLIT('(INGESTA)Datos_consumo_datadis'!A:A,"",""),"""")"),"ES0031408323131005HX0F")</f>
        <v>ES0031408323131005HX0F</v>
      </c>
      <c r="B10481" s="12">
        <f>IFERROR(__xludf.DUMMYFUNCTION("""COMPUTED_VALUE"""),45302.0)</f>
        <v>45302</v>
      </c>
      <c r="C10481" s="13">
        <f>IFERROR(__xludf.DUMMYFUNCTION("""COMPUTED_VALUE"""),0.6666666666666666)</f>
        <v>0.6666666667</v>
      </c>
      <c r="D10481" s="8">
        <f>IFERROR(__xludf.DUMMYFUNCTION("""COMPUTED_VALUE"""),0.052)</f>
        <v>0.052</v>
      </c>
      <c r="E10481" s="8" t="str">
        <f>IFERROR(__xludf.DUMMYFUNCTION("""COMPUTED_VALUE"""),"Real")</f>
        <v>Real</v>
      </c>
      <c r="G10481" s="8">
        <f t="shared" si="1"/>
        <v>1</v>
      </c>
      <c r="H10481" s="14">
        <f t="shared" si="2"/>
        <v>11</v>
      </c>
      <c r="I10481" s="15">
        <f t="shared" si="3"/>
        <v>16</v>
      </c>
    </row>
    <row r="10482">
      <c r="A10482" s="8" t="str">
        <f>IFERROR(__xludf.DUMMYFUNCTION("IF('(INGESTA)Datos_consumo_datadis'!A10482&lt;&gt;"""",SPLIT('(INGESTA)Datos_consumo_datadis'!A:A,"",""),"""")"),"ES0031408323131005HX0F")</f>
        <v>ES0031408323131005HX0F</v>
      </c>
      <c r="B10482" s="12">
        <f>IFERROR(__xludf.DUMMYFUNCTION("""COMPUTED_VALUE"""),45302.0)</f>
        <v>45302</v>
      </c>
      <c r="C10482" s="13">
        <f>IFERROR(__xludf.DUMMYFUNCTION("""COMPUTED_VALUE"""),0.7083333333333334)</f>
        <v>0.7083333333</v>
      </c>
      <c r="D10482" s="8">
        <f>IFERROR(__xludf.DUMMYFUNCTION("""COMPUTED_VALUE"""),0.322)</f>
        <v>0.322</v>
      </c>
      <c r="E10482" s="8" t="str">
        <f>IFERROR(__xludf.DUMMYFUNCTION("""COMPUTED_VALUE"""),"Real")</f>
        <v>Real</v>
      </c>
      <c r="G10482" s="8">
        <f t="shared" si="1"/>
        <v>1</v>
      </c>
      <c r="H10482" s="14">
        <f t="shared" si="2"/>
        <v>11</v>
      </c>
      <c r="I10482" s="15">
        <f t="shared" si="3"/>
        <v>17</v>
      </c>
    </row>
    <row r="10483">
      <c r="A10483" s="8" t="str">
        <f>IFERROR(__xludf.DUMMYFUNCTION("IF('(INGESTA)Datos_consumo_datadis'!A10483&lt;&gt;"""",SPLIT('(INGESTA)Datos_consumo_datadis'!A:A,"",""),"""")"),"ES0031408323131005HX0F")</f>
        <v>ES0031408323131005HX0F</v>
      </c>
      <c r="B10483" s="12">
        <f>IFERROR(__xludf.DUMMYFUNCTION("""COMPUTED_VALUE"""),45302.0)</f>
        <v>45302</v>
      </c>
      <c r="C10483" s="13">
        <f>IFERROR(__xludf.DUMMYFUNCTION("""COMPUTED_VALUE"""),0.75)</f>
        <v>0.75</v>
      </c>
      <c r="D10483" s="8">
        <f>IFERROR(__xludf.DUMMYFUNCTION("""COMPUTED_VALUE"""),0.04)</f>
        <v>0.04</v>
      </c>
      <c r="E10483" s="8" t="str">
        <f>IFERROR(__xludf.DUMMYFUNCTION("""COMPUTED_VALUE"""),"Real")</f>
        <v>Real</v>
      </c>
      <c r="G10483" s="8">
        <f t="shared" si="1"/>
        <v>1</v>
      </c>
      <c r="H10483" s="14">
        <f t="shared" si="2"/>
        <v>11</v>
      </c>
      <c r="I10483" s="15">
        <f t="shared" si="3"/>
        <v>18</v>
      </c>
    </row>
    <row r="10484">
      <c r="A10484" s="8" t="str">
        <f>IFERROR(__xludf.DUMMYFUNCTION("IF('(INGESTA)Datos_consumo_datadis'!A10484&lt;&gt;"""",SPLIT('(INGESTA)Datos_consumo_datadis'!A:A,"",""),"""")"),"ES0031408323131005HX0F")</f>
        <v>ES0031408323131005HX0F</v>
      </c>
      <c r="B10484" s="12">
        <f>IFERROR(__xludf.DUMMYFUNCTION("""COMPUTED_VALUE"""),45302.0)</f>
        <v>45302</v>
      </c>
      <c r="C10484" s="13">
        <f>IFERROR(__xludf.DUMMYFUNCTION("""COMPUTED_VALUE"""),0.7916666666666666)</f>
        <v>0.7916666667</v>
      </c>
      <c r="D10484" s="8">
        <f>IFERROR(__xludf.DUMMYFUNCTION("""COMPUTED_VALUE"""),0.015)</f>
        <v>0.015</v>
      </c>
      <c r="E10484" s="8" t="str">
        <f>IFERROR(__xludf.DUMMYFUNCTION("""COMPUTED_VALUE"""),"Real")</f>
        <v>Real</v>
      </c>
      <c r="G10484" s="8">
        <f t="shared" si="1"/>
        <v>1</v>
      </c>
      <c r="H10484" s="14">
        <f t="shared" si="2"/>
        <v>11</v>
      </c>
      <c r="I10484" s="15">
        <f t="shared" si="3"/>
        <v>19</v>
      </c>
    </row>
    <row r="10485">
      <c r="A10485" s="8" t="str">
        <f>IFERROR(__xludf.DUMMYFUNCTION("IF('(INGESTA)Datos_consumo_datadis'!A10485&lt;&gt;"""",SPLIT('(INGESTA)Datos_consumo_datadis'!A:A,"",""),"""")"),"ES0031408323131005HX0F")</f>
        <v>ES0031408323131005HX0F</v>
      </c>
      <c r="B10485" s="12">
        <f>IFERROR(__xludf.DUMMYFUNCTION("""COMPUTED_VALUE"""),45302.0)</f>
        <v>45302</v>
      </c>
      <c r="C10485" s="13">
        <f>IFERROR(__xludf.DUMMYFUNCTION("""COMPUTED_VALUE"""),0.8333333333333334)</f>
        <v>0.8333333333</v>
      </c>
      <c r="D10485" s="8">
        <f>IFERROR(__xludf.DUMMYFUNCTION("""COMPUTED_VALUE"""),0.014)</f>
        <v>0.014</v>
      </c>
      <c r="E10485" s="8" t="str">
        <f>IFERROR(__xludf.DUMMYFUNCTION("""COMPUTED_VALUE"""),"Real")</f>
        <v>Real</v>
      </c>
      <c r="G10485" s="8">
        <f t="shared" si="1"/>
        <v>1</v>
      </c>
      <c r="H10485" s="14">
        <f t="shared" si="2"/>
        <v>11</v>
      </c>
      <c r="I10485" s="15">
        <f t="shared" si="3"/>
        <v>20</v>
      </c>
    </row>
    <row r="10486">
      <c r="A10486" s="8" t="str">
        <f>IFERROR(__xludf.DUMMYFUNCTION("IF('(INGESTA)Datos_consumo_datadis'!A10486&lt;&gt;"""",SPLIT('(INGESTA)Datos_consumo_datadis'!A:A,"",""),"""")"),"ES0031408323131005HX0F")</f>
        <v>ES0031408323131005HX0F</v>
      </c>
      <c r="B10486" s="12">
        <f>IFERROR(__xludf.DUMMYFUNCTION("""COMPUTED_VALUE"""),45302.0)</f>
        <v>45302</v>
      </c>
      <c r="C10486" s="13">
        <f>IFERROR(__xludf.DUMMYFUNCTION("""COMPUTED_VALUE"""),0.875)</f>
        <v>0.875</v>
      </c>
      <c r="D10486" s="8">
        <f>IFERROR(__xludf.DUMMYFUNCTION("""COMPUTED_VALUE"""),0.077)</f>
        <v>0.077</v>
      </c>
      <c r="E10486" s="8" t="str">
        <f>IFERROR(__xludf.DUMMYFUNCTION("""COMPUTED_VALUE"""),"Real")</f>
        <v>Real</v>
      </c>
      <c r="G10486" s="8">
        <f t="shared" si="1"/>
        <v>1</v>
      </c>
      <c r="H10486" s="14">
        <f t="shared" si="2"/>
        <v>11</v>
      </c>
      <c r="I10486" s="15">
        <f t="shared" si="3"/>
        <v>21</v>
      </c>
    </row>
    <row r="10487">
      <c r="A10487" s="8" t="str">
        <f>IFERROR(__xludf.DUMMYFUNCTION("IF('(INGESTA)Datos_consumo_datadis'!A10487&lt;&gt;"""",SPLIT('(INGESTA)Datos_consumo_datadis'!A:A,"",""),"""")"),"ES0031408323131005HX0F")</f>
        <v>ES0031408323131005HX0F</v>
      </c>
      <c r="B10487" s="12">
        <f>IFERROR(__xludf.DUMMYFUNCTION("""COMPUTED_VALUE"""),45302.0)</f>
        <v>45302</v>
      </c>
      <c r="C10487" s="13">
        <f>IFERROR(__xludf.DUMMYFUNCTION("""COMPUTED_VALUE"""),0.9166666666666666)</f>
        <v>0.9166666667</v>
      </c>
      <c r="D10487" s="8">
        <f>IFERROR(__xludf.DUMMYFUNCTION("""COMPUTED_VALUE"""),0.331)</f>
        <v>0.331</v>
      </c>
      <c r="E10487" s="8" t="str">
        <f>IFERROR(__xludf.DUMMYFUNCTION("""COMPUTED_VALUE"""),"Real")</f>
        <v>Real</v>
      </c>
      <c r="G10487" s="8">
        <f t="shared" si="1"/>
        <v>1</v>
      </c>
      <c r="H10487" s="14">
        <f t="shared" si="2"/>
        <v>11</v>
      </c>
      <c r="I10487" s="15">
        <f t="shared" si="3"/>
        <v>22</v>
      </c>
    </row>
    <row r="10488">
      <c r="A10488" s="8" t="str">
        <f>IFERROR(__xludf.DUMMYFUNCTION("IF('(INGESTA)Datos_consumo_datadis'!A10488&lt;&gt;"""",SPLIT('(INGESTA)Datos_consumo_datadis'!A:A,"",""),"""")"),"ES0031408323131005HX0F")</f>
        <v>ES0031408323131005HX0F</v>
      </c>
      <c r="B10488" s="12">
        <f>IFERROR(__xludf.DUMMYFUNCTION("""COMPUTED_VALUE"""),45302.0)</f>
        <v>45302</v>
      </c>
      <c r="C10488" s="13">
        <f>IFERROR(__xludf.DUMMYFUNCTION("""COMPUTED_VALUE"""),0.9583333333333334)</f>
        <v>0.9583333333</v>
      </c>
      <c r="D10488" s="8">
        <f>IFERROR(__xludf.DUMMYFUNCTION("""COMPUTED_VALUE"""),0.038)</f>
        <v>0.038</v>
      </c>
      <c r="E10488" s="8" t="str">
        <f>IFERROR(__xludf.DUMMYFUNCTION("""COMPUTED_VALUE"""),"Real")</f>
        <v>Real</v>
      </c>
      <c r="G10488" s="8">
        <f t="shared" si="1"/>
        <v>1</v>
      </c>
      <c r="H10488" s="14">
        <f t="shared" si="2"/>
        <v>11</v>
      </c>
      <c r="I10488" s="15">
        <f t="shared" si="3"/>
        <v>23</v>
      </c>
    </row>
    <row r="10489">
      <c r="A10489" s="8" t="str">
        <f>IFERROR(__xludf.DUMMYFUNCTION("IF('(INGESTA)Datos_consumo_datadis'!A10489&lt;&gt;"""",SPLIT('(INGESTA)Datos_consumo_datadis'!A:A,"",""),"""")"),"ES0031408323131005HX0F")</f>
        <v>ES0031408323131005HX0F</v>
      </c>
      <c r="B10489" s="12">
        <f>IFERROR(__xludf.DUMMYFUNCTION("""COMPUTED_VALUE"""),45302.0)</f>
        <v>45302</v>
      </c>
      <c r="C10489" s="16">
        <f>IFERROR(__xludf.DUMMYFUNCTION("""COMPUTED_VALUE"""),1.0)</f>
        <v>1</v>
      </c>
      <c r="D10489" s="8">
        <f>IFERROR(__xludf.DUMMYFUNCTION("""COMPUTED_VALUE"""),0.014)</f>
        <v>0.014</v>
      </c>
      <c r="E10489" s="8" t="str">
        <f>IFERROR(__xludf.DUMMYFUNCTION("""COMPUTED_VALUE"""),"Real")</f>
        <v>Real</v>
      </c>
      <c r="G10489" s="8">
        <f t="shared" si="1"/>
        <v>1</v>
      </c>
      <c r="H10489" s="14">
        <f t="shared" si="2"/>
        <v>11</v>
      </c>
      <c r="I10489" s="15">
        <f t="shared" si="3"/>
        <v>0</v>
      </c>
    </row>
    <row r="10490">
      <c r="A10490" s="8" t="str">
        <f>IFERROR(__xludf.DUMMYFUNCTION("IF('(INGESTA)Datos_consumo_datadis'!A10490&lt;&gt;"""",SPLIT('(INGESTA)Datos_consumo_datadis'!A:A,"",""),"""")"),"ES0031408323131005HX0F")</f>
        <v>ES0031408323131005HX0F</v>
      </c>
      <c r="B10490" s="12">
        <f>IFERROR(__xludf.DUMMYFUNCTION("""COMPUTED_VALUE"""),45303.0)</f>
        <v>45303</v>
      </c>
      <c r="C10490" s="13">
        <f>IFERROR(__xludf.DUMMYFUNCTION("""COMPUTED_VALUE"""),0.041666666666666664)</f>
        <v>0.04166666667</v>
      </c>
      <c r="D10490" s="8">
        <f>IFERROR(__xludf.DUMMYFUNCTION("""COMPUTED_VALUE"""),0.044)</f>
        <v>0.044</v>
      </c>
      <c r="E10490" s="8" t="str">
        <f>IFERROR(__xludf.DUMMYFUNCTION("""COMPUTED_VALUE"""),"Real")</f>
        <v>Real</v>
      </c>
      <c r="G10490" s="8">
        <f t="shared" si="1"/>
        <v>1</v>
      </c>
      <c r="H10490" s="14">
        <f t="shared" si="2"/>
        <v>12</v>
      </c>
      <c r="I10490" s="15">
        <f t="shared" si="3"/>
        <v>1</v>
      </c>
    </row>
    <row r="10491">
      <c r="A10491" s="8" t="str">
        <f>IFERROR(__xludf.DUMMYFUNCTION("IF('(INGESTA)Datos_consumo_datadis'!A10491&lt;&gt;"""",SPLIT('(INGESTA)Datos_consumo_datadis'!A:A,"",""),"""")"),"ES0031408323131005HX0F")</f>
        <v>ES0031408323131005HX0F</v>
      </c>
      <c r="B10491" s="12">
        <f>IFERROR(__xludf.DUMMYFUNCTION("""COMPUTED_VALUE"""),45303.0)</f>
        <v>45303</v>
      </c>
      <c r="C10491" s="13">
        <f>IFERROR(__xludf.DUMMYFUNCTION("""COMPUTED_VALUE"""),0.08333333333333333)</f>
        <v>0.08333333333</v>
      </c>
      <c r="D10491" s="8">
        <f>IFERROR(__xludf.DUMMYFUNCTION("""COMPUTED_VALUE"""),0.061)</f>
        <v>0.061</v>
      </c>
      <c r="E10491" s="8" t="str">
        <f>IFERROR(__xludf.DUMMYFUNCTION("""COMPUTED_VALUE"""),"Real")</f>
        <v>Real</v>
      </c>
      <c r="G10491" s="8">
        <f t="shared" si="1"/>
        <v>1</v>
      </c>
      <c r="H10491" s="14">
        <f t="shared" si="2"/>
        <v>12</v>
      </c>
      <c r="I10491" s="15">
        <f t="shared" si="3"/>
        <v>2</v>
      </c>
    </row>
    <row r="10492">
      <c r="A10492" s="8" t="str">
        <f>IFERROR(__xludf.DUMMYFUNCTION("IF('(INGESTA)Datos_consumo_datadis'!A10492&lt;&gt;"""",SPLIT('(INGESTA)Datos_consumo_datadis'!A:A,"",""),"""")"),"ES0031408323131005HX0F")</f>
        <v>ES0031408323131005HX0F</v>
      </c>
      <c r="B10492" s="12">
        <f>IFERROR(__xludf.DUMMYFUNCTION("""COMPUTED_VALUE"""),45303.0)</f>
        <v>45303</v>
      </c>
      <c r="C10492" s="13">
        <f>IFERROR(__xludf.DUMMYFUNCTION("""COMPUTED_VALUE"""),0.125)</f>
        <v>0.125</v>
      </c>
      <c r="D10492" s="8">
        <f>IFERROR(__xludf.DUMMYFUNCTION("""COMPUTED_VALUE"""),0.135)</f>
        <v>0.135</v>
      </c>
      <c r="E10492" s="8" t="str">
        <f>IFERROR(__xludf.DUMMYFUNCTION("""COMPUTED_VALUE"""),"Real")</f>
        <v>Real</v>
      </c>
      <c r="G10492" s="8">
        <f t="shared" si="1"/>
        <v>1</v>
      </c>
      <c r="H10492" s="14">
        <f t="shared" si="2"/>
        <v>12</v>
      </c>
      <c r="I10492" s="15">
        <f t="shared" si="3"/>
        <v>3</v>
      </c>
    </row>
    <row r="10493">
      <c r="A10493" s="8" t="str">
        <f>IFERROR(__xludf.DUMMYFUNCTION("IF('(INGESTA)Datos_consumo_datadis'!A10493&lt;&gt;"""",SPLIT('(INGESTA)Datos_consumo_datadis'!A:A,"",""),"""")"),"ES0031408323131005HX0F")</f>
        <v>ES0031408323131005HX0F</v>
      </c>
      <c r="B10493" s="12">
        <f>IFERROR(__xludf.DUMMYFUNCTION("""COMPUTED_VALUE"""),45303.0)</f>
        <v>45303</v>
      </c>
      <c r="C10493" s="13">
        <f>IFERROR(__xludf.DUMMYFUNCTION("""COMPUTED_VALUE"""),0.16666666666666666)</f>
        <v>0.1666666667</v>
      </c>
      <c r="D10493" s="8">
        <f>IFERROR(__xludf.DUMMYFUNCTION("""COMPUTED_VALUE"""),0.245)</f>
        <v>0.245</v>
      </c>
      <c r="E10493" s="8" t="str">
        <f>IFERROR(__xludf.DUMMYFUNCTION("""COMPUTED_VALUE"""),"Real")</f>
        <v>Real</v>
      </c>
      <c r="G10493" s="8">
        <f t="shared" si="1"/>
        <v>1</v>
      </c>
      <c r="H10493" s="14">
        <f t="shared" si="2"/>
        <v>12</v>
      </c>
      <c r="I10493" s="15">
        <f t="shared" si="3"/>
        <v>4</v>
      </c>
    </row>
    <row r="10494">
      <c r="A10494" s="8" t="str">
        <f>IFERROR(__xludf.DUMMYFUNCTION("IF('(INGESTA)Datos_consumo_datadis'!A10494&lt;&gt;"""",SPLIT('(INGESTA)Datos_consumo_datadis'!A:A,"",""),"""")"),"ES0031408323131005HX0F")</f>
        <v>ES0031408323131005HX0F</v>
      </c>
      <c r="B10494" s="12">
        <f>IFERROR(__xludf.DUMMYFUNCTION("""COMPUTED_VALUE"""),45303.0)</f>
        <v>45303</v>
      </c>
      <c r="C10494" s="13">
        <f>IFERROR(__xludf.DUMMYFUNCTION("""COMPUTED_VALUE"""),0.20833333333333334)</f>
        <v>0.2083333333</v>
      </c>
      <c r="D10494" s="8">
        <f>IFERROR(__xludf.DUMMYFUNCTION("""COMPUTED_VALUE"""),0.015)</f>
        <v>0.015</v>
      </c>
      <c r="E10494" s="8" t="str">
        <f>IFERROR(__xludf.DUMMYFUNCTION("""COMPUTED_VALUE"""),"Real")</f>
        <v>Real</v>
      </c>
      <c r="G10494" s="8">
        <f t="shared" si="1"/>
        <v>1</v>
      </c>
      <c r="H10494" s="14">
        <f t="shared" si="2"/>
        <v>12</v>
      </c>
      <c r="I10494" s="15">
        <f t="shared" si="3"/>
        <v>5</v>
      </c>
    </row>
    <row r="10495">
      <c r="A10495" s="8" t="str">
        <f>IFERROR(__xludf.DUMMYFUNCTION("IF('(INGESTA)Datos_consumo_datadis'!A10495&lt;&gt;"""",SPLIT('(INGESTA)Datos_consumo_datadis'!A:A,"",""),"""")"),"ES0031408323131005HX0F")</f>
        <v>ES0031408323131005HX0F</v>
      </c>
      <c r="B10495" s="12">
        <f>IFERROR(__xludf.DUMMYFUNCTION("""COMPUTED_VALUE"""),45303.0)</f>
        <v>45303</v>
      </c>
      <c r="C10495" s="13">
        <f>IFERROR(__xludf.DUMMYFUNCTION("""COMPUTED_VALUE"""),0.25)</f>
        <v>0.25</v>
      </c>
      <c r="D10495" s="8">
        <f>IFERROR(__xludf.DUMMYFUNCTION("""COMPUTED_VALUE"""),0.076)</f>
        <v>0.076</v>
      </c>
      <c r="E10495" s="8" t="str">
        <f>IFERROR(__xludf.DUMMYFUNCTION("""COMPUTED_VALUE"""),"Real")</f>
        <v>Real</v>
      </c>
      <c r="G10495" s="8">
        <f t="shared" si="1"/>
        <v>1</v>
      </c>
      <c r="H10495" s="14">
        <f t="shared" si="2"/>
        <v>12</v>
      </c>
      <c r="I10495" s="15">
        <f t="shared" si="3"/>
        <v>6</v>
      </c>
    </row>
    <row r="10496">
      <c r="A10496" s="8" t="str">
        <f>IFERROR(__xludf.DUMMYFUNCTION("IF('(INGESTA)Datos_consumo_datadis'!A10496&lt;&gt;"""",SPLIT('(INGESTA)Datos_consumo_datadis'!A:A,"",""),"""")"),"ES0031408323131005HX0F")</f>
        <v>ES0031408323131005HX0F</v>
      </c>
      <c r="B10496" s="12">
        <f>IFERROR(__xludf.DUMMYFUNCTION("""COMPUTED_VALUE"""),45303.0)</f>
        <v>45303</v>
      </c>
      <c r="C10496" s="13">
        <f>IFERROR(__xludf.DUMMYFUNCTION("""COMPUTED_VALUE"""),0.2916666666666667)</f>
        <v>0.2916666667</v>
      </c>
      <c r="D10496" s="8">
        <f>IFERROR(__xludf.DUMMYFUNCTION("""COMPUTED_VALUE"""),0.038)</f>
        <v>0.038</v>
      </c>
      <c r="E10496" s="8" t="str">
        <f>IFERROR(__xludf.DUMMYFUNCTION("""COMPUTED_VALUE"""),"Real")</f>
        <v>Real</v>
      </c>
      <c r="G10496" s="8">
        <f t="shared" si="1"/>
        <v>1</v>
      </c>
      <c r="H10496" s="14">
        <f t="shared" si="2"/>
        <v>12</v>
      </c>
      <c r="I10496" s="15">
        <f t="shared" si="3"/>
        <v>7</v>
      </c>
    </row>
    <row r="10497">
      <c r="A10497" s="8" t="str">
        <f>IFERROR(__xludf.DUMMYFUNCTION("IF('(INGESTA)Datos_consumo_datadis'!A10497&lt;&gt;"""",SPLIT('(INGESTA)Datos_consumo_datadis'!A:A,"",""),"""")"),"ES0031408323131005HX0F")</f>
        <v>ES0031408323131005HX0F</v>
      </c>
      <c r="B10497" s="12">
        <f>IFERROR(__xludf.DUMMYFUNCTION("""COMPUTED_VALUE"""),45303.0)</f>
        <v>45303</v>
      </c>
      <c r="C10497" s="13">
        <f>IFERROR(__xludf.DUMMYFUNCTION("""COMPUTED_VALUE"""),0.3333333333333333)</f>
        <v>0.3333333333</v>
      </c>
      <c r="D10497" s="8">
        <f>IFERROR(__xludf.DUMMYFUNCTION("""COMPUTED_VALUE"""),0.037)</f>
        <v>0.037</v>
      </c>
      <c r="E10497" s="8" t="str">
        <f>IFERROR(__xludf.DUMMYFUNCTION("""COMPUTED_VALUE"""),"Real")</f>
        <v>Real</v>
      </c>
      <c r="G10497" s="8">
        <f t="shared" si="1"/>
        <v>1</v>
      </c>
      <c r="H10497" s="14">
        <f t="shared" si="2"/>
        <v>12</v>
      </c>
      <c r="I10497" s="15">
        <f t="shared" si="3"/>
        <v>8</v>
      </c>
    </row>
    <row r="10498">
      <c r="A10498" s="8" t="str">
        <f>IFERROR(__xludf.DUMMYFUNCTION("IF('(INGESTA)Datos_consumo_datadis'!A10498&lt;&gt;"""",SPLIT('(INGESTA)Datos_consumo_datadis'!A:A,"",""),"""")"),"ES0031408323131005HX0F")</f>
        <v>ES0031408323131005HX0F</v>
      </c>
      <c r="B10498" s="12">
        <f>IFERROR(__xludf.DUMMYFUNCTION("""COMPUTED_VALUE"""),45303.0)</f>
        <v>45303</v>
      </c>
      <c r="C10498" s="13">
        <f>IFERROR(__xludf.DUMMYFUNCTION("""COMPUTED_VALUE"""),0.375)</f>
        <v>0.375</v>
      </c>
      <c r="D10498" s="8">
        <f>IFERROR(__xludf.DUMMYFUNCTION("""COMPUTED_VALUE"""),0.297)</f>
        <v>0.297</v>
      </c>
      <c r="E10498" s="8" t="str">
        <f>IFERROR(__xludf.DUMMYFUNCTION("""COMPUTED_VALUE"""),"Real")</f>
        <v>Real</v>
      </c>
      <c r="G10498" s="8">
        <f t="shared" si="1"/>
        <v>1</v>
      </c>
      <c r="H10498" s="14">
        <f t="shared" si="2"/>
        <v>12</v>
      </c>
      <c r="I10498" s="15">
        <f t="shared" si="3"/>
        <v>9</v>
      </c>
    </row>
    <row r="10499">
      <c r="A10499" s="8" t="str">
        <f>IFERROR(__xludf.DUMMYFUNCTION("IF('(INGESTA)Datos_consumo_datadis'!A10499&lt;&gt;"""",SPLIT('(INGESTA)Datos_consumo_datadis'!A:A,"",""),"""")"),"ES0031408323131005HX0F")</f>
        <v>ES0031408323131005HX0F</v>
      </c>
      <c r="B10499" s="12">
        <f>IFERROR(__xludf.DUMMYFUNCTION("""COMPUTED_VALUE"""),45303.0)</f>
        <v>45303</v>
      </c>
      <c r="C10499" s="13">
        <f>IFERROR(__xludf.DUMMYFUNCTION("""COMPUTED_VALUE"""),0.4166666666666667)</f>
        <v>0.4166666667</v>
      </c>
      <c r="D10499" s="8">
        <f>IFERROR(__xludf.DUMMYFUNCTION("""COMPUTED_VALUE"""),0.031)</f>
        <v>0.031</v>
      </c>
      <c r="E10499" s="8" t="str">
        <f>IFERROR(__xludf.DUMMYFUNCTION("""COMPUTED_VALUE"""),"Real")</f>
        <v>Real</v>
      </c>
      <c r="G10499" s="8">
        <f t="shared" si="1"/>
        <v>1</v>
      </c>
      <c r="H10499" s="14">
        <f t="shared" si="2"/>
        <v>12</v>
      </c>
      <c r="I10499" s="15">
        <f t="shared" si="3"/>
        <v>10</v>
      </c>
    </row>
    <row r="10500">
      <c r="A10500" s="8" t="str">
        <f>IFERROR(__xludf.DUMMYFUNCTION("IF('(INGESTA)Datos_consumo_datadis'!A10500&lt;&gt;"""",SPLIT('(INGESTA)Datos_consumo_datadis'!A:A,"",""),"""")"),"ES0031408323131005HX0F")</f>
        <v>ES0031408323131005HX0F</v>
      </c>
      <c r="B10500" s="12">
        <f>IFERROR(__xludf.DUMMYFUNCTION("""COMPUTED_VALUE"""),45303.0)</f>
        <v>45303</v>
      </c>
      <c r="C10500" s="13">
        <f>IFERROR(__xludf.DUMMYFUNCTION("""COMPUTED_VALUE"""),0.4583333333333333)</f>
        <v>0.4583333333</v>
      </c>
      <c r="D10500" s="8">
        <f>IFERROR(__xludf.DUMMYFUNCTION("""COMPUTED_VALUE"""),0.058)</f>
        <v>0.058</v>
      </c>
      <c r="E10500" s="8" t="str">
        <f>IFERROR(__xludf.DUMMYFUNCTION("""COMPUTED_VALUE"""),"Real")</f>
        <v>Real</v>
      </c>
      <c r="G10500" s="8">
        <f t="shared" si="1"/>
        <v>1</v>
      </c>
      <c r="H10500" s="14">
        <f t="shared" si="2"/>
        <v>12</v>
      </c>
      <c r="I10500" s="15">
        <f t="shared" si="3"/>
        <v>11</v>
      </c>
    </row>
    <row r="10501">
      <c r="A10501" s="8" t="str">
        <f>IFERROR(__xludf.DUMMYFUNCTION("IF('(INGESTA)Datos_consumo_datadis'!A10501&lt;&gt;"""",SPLIT('(INGESTA)Datos_consumo_datadis'!A:A,"",""),"""")"),"ES0031408323131005HX0F")</f>
        <v>ES0031408323131005HX0F</v>
      </c>
      <c r="B10501" s="12">
        <f>IFERROR(__xludf.DUMMYFUNCTION("""COMPUTED_VALUE"""),45303.0)</f>
        <v>45303</v>
      </c>
      <c r="C10501" s="13">
        <f>IFERROR(__xludf.DUMMYFUNCTION("""COMPUTED_VALUE"""),0.5)</f>
        <v>0.5</v>
      </c>
      <c r="D10501" s="8">
        <f>IFERROR(__xludf.DUMMYFUNCTION("""COMPUTED_VALUE"""),0.05)</f>
        <v>0.05</v>
      </c>
      <c r="E10501" s="8" t="str">
        <f>IFERROR(__xludf.DUMMYFUNCTION("""COMPUTED_VALUE"""),"Real")</f>
        <v>Real</v>
      </c>
      <c r="G10501" s="8">
        <f t="shared" si="1"/>
        <v>1</v>
      </c>
      <c r="H10501" s="14">
        <f t="shared" si="2"/>
        <v>12</v>
      </c>
      <c r="I10501" s="15">
        <f t="shared" si="3"/>
        <v>12</v>
      </c>
    </row>
    <row r="10502">
      <c r="A10502" s="8" t="str">
        <f>IFERROR(__xludf.DUMMYFUNCTION("IF('(INGESTA)Datos_consumo_datadis'!A10502&lt;&gt;"""",SPLIT('(INGESTA)Datos_consumo_datadis'!A:A,"",""),"""")"),"ES0031408323131005HX0F")</f>
        <v>ES0031408323131005HX0F</v>
      </c>
      <c r="B10502" s="12">
        <f>IFERROR(__xludf.DUMMYFUNCTION("""COMPUTED_VALUE"""),45303.0)</f>
        <v>45303</v>
      </c>
      <c r="C10502" s="13">
        <f>IFERROR(__xludf.DUMMYFUNCTION("""COMPUTED_VALUE"""),0.5416666666666666)</f>
        <v>0.5416666667</v>
      </c>
      <c r="D10502" s="8">
        <f>IFERROR(__xludf.DUMMYFUNCTION("""COMPUTED_VALUE"""),0.026)</f>
        <v>0.026</v>
      </c>
      <c r="E10502" s="8" t="str">
        <f>IFERROR(__xludf.DUMMYFUNCTION("""COMPUTED_VALUE"""),"Real")</f>
        <v>Real</v>
      </c>
      <c r="G10502" s="8">
        <f t="shared" si="1"/>
        <v>1</v>
      </c>
      <c r="H10502" s="14">
        <f t="shared" si="2"/>
        <v>12</v>
      </c>
      <c r="I10502" s="15">
        <f t="shared" si="3"/>
        <v>13</v>
      </c>
    </row>
    <row r="10503">
      <c r="A10503" s="8" t="str">
        <f>IFERROR(__xludf.DUMMYFUNCTION("IF('(INGESTA)Datos_consumo_datadis'!A10503&lt;&gt;"""",SPLIT('(INGESTA)Datos_consumo_datadis'!A:A,"",""),"""")"),"ES0031408323131005HX0F")</f>
        <v>ES0031408323131005HX0F</v>
      </c>
      <c r="B10503" s="12">
        <f>IFERROR(__xludf.DUMMYFUNCTION("""COMPUTED_VALUE"""),45303.0)</f>
        <v>45303</v>
      </c>
      <c r="C10503" s="13">
        <f>IFERROR(__xludf.DUMMYFUNCTION("""COMPUTED_VALUE"""),0.5833333333333334)</f>
        <v>0.5833333333</v>
      </c>
      <c r="D10503" s="8">
        <f>IFERROR(__xludf.DUMMYFUNCTION("""COMPUTED_VALUE"""),0.321)</f>
        <v>0.321</v>
      </c>
      <c r="E10503" s="8" t="str">
        <f>IFERROR(__xludf.DUMMYFUNCTION("""COMPUTED_VALUE"""),"Real")</f>
        <v>Real</v>
      </c>
      <c r="G10503" s="8">
        <f t="shared" si="1"/>
        <v>1</v>
      </c>
      <c r="H10503" s="14">
        <f t="shared" si="2"/>
        <v>12</v>
      </c>
      <c r="I10503" s="15">
        <f t="shared" si="3"/>
        <v>14</v>
      </c>
    </row>
    <row r="10504">
      <c r="A10504" s="8" t="str">
        <f>IFERROR(__xludf.DUMMYFUNCTION("IF('(INGESTA)Datos_consumo_datadis'!A10504&lt;&gt;"""",SPLIT('(INGESTA)Datos_consumo_datadis'!A:A,"",""),"""")"),"ES0031408323131005HX0F")</f>
        <v>ES0031408323131005HX0F</v>
      </c>
      <c r="B10504" s="12">
        <f>IFERROR(__xludf.DUMMYFUNCTION("""COMPUTED_VALUE"""),45303.0)</f>
        <v>45303</v>
      </c>
      <c r="C10504" s="13">
        <f>IFERROR(__xludf.DUMMYFUNCTION("""COMPUTED_VALUE"""),0.625)</f>
        <v>0.625</v>
      </c>
      <c r="D10504" s="8">
        <f>IFERROR(__xludf.DUMMYFUNCTION("""COMPUTED_VALUE"""),0.069)</f>
        <v>0.069</v>
      </c>
      <c r="E10504" s="8" t="str">
        <f>IFERROR(__xludf.DUMMYFUNCTION("""COMPUTED_VALUE"""),"Real")</f>
        <v>Real</v>
      </c>
      <c r="G10504" s="8">
        <f t="shared" si="1"/>
        <v>1</v>
      </c>
      <c r="H10504" s="14">
        <f t="shared" si="2"/>
        <v>12</v>
      </c>
      <c r="I10504" s="15">
        <f t="shared" si="3"/>
        <v>15</v>
      </c>
    </row>
    <row r="10505">
      <c r="A10505" s="8" t="str">
        <f>IFERROR(__xludf.DUMMYFUNCTION("IF('(INGESTA)Datos_consumo_datadis'!A10505&lt;&gt;"""",SPLIT('(INGESTA)Datos_consumo_datadis'!A:A,"",""),"""")"),"ES0031408323131005HX0F")</f>
        <v>ES0031408323131005HX0F</v>
      </c>
      <c r="B10505" s="12">
        <f>IFERROR(__xludf.DUMMYFUNCTION("""COMPUTED_VALUE"""),45303.0)</f>
        <v>45303</v>
      </c>
      <c r="C10505" s="13">
        <f>IFERROR(__xludf.DUMMYFUNCTION("""COMPUTED_VALUE"""),0.6666666666666666)</f>
        <v>0.6666666667</v>
      </c>
      <c r="D10505" s="8">
        <f>IFERROR(__xludf.DUMMYFUNCTION("""COMPUTED_VALUE"""),0.042)</f>
        <v>0.042</v>
      </c>
      <c r="E10505" s="8" t="str">
        <f>IFERROR(__xludf.DUMMYFUNCTION("""COMPUTED_VALUE"""),"Real")</f>
        <v>Real</v>
      </c>
      <c r="G10505" s="8">
        <f t="shared" si="1"/>
        <v>1</v>
      </c>
      <c r="H10505" s="14">
        <f t="shared" si="2"/>
        <v>12</v>
      </c>
      <c r="I10505" s="15">
        <f t="shared" si="3"/>
        <v>16</v>
      </c>
    </row>
    <row r="10506">
      <c r="A10506" s="8" t="str">
        <f>IFERROR(__xludf.DUMMYFUNCTION("IF('(INGESTA)Datos_consumo_datadis'!A10506&lt;&gt;"""",SPLIT('(INGESTA)Datos_consumo_datadis'!A:A,"",""),"""")"),"ES0031408323131005HX0F")</f>
        <v>ES0031408323131005HX0F</v>
      </c>
      <c r="B10506" s="12">
        <f>IFERROR(__xludf.DUMMYFUNCTION("""COMPUTED_VALUE"""),45303.0)</f>
        <v>45303</v>
      </c>
      <c r="C10506" s="13">
        <f>IFERROR(__xludf.DUMMYFUNCTION("""COMPUTED_VALUE"""),0.7083333333333334)</f>
        <v>0.7083333333</v>
      </c>
      <c r="D10506" s="8">
        <f>IFERROR(__xludf.DUMMYFUNCTION("""COMPUTED_VALUE"""),0.037)</f>
        <v>0.037</v>
      </c>
      <c r="E10506" s="8" t="str">
        <f>IFERROR(__xludf.DUMMYFUNCTION("""COMPUTED_VALUE"""),"Real")</f>
        <v>Real</v>
      </c>
      <c r="G10506" s="8">
        <f t="shared" si="1"/>
        <v>1</v>
      </c>
      <c r="H10506" s="14">
        <f t="shared" si="2"/>
        <v>12</v>
      </c>
      <c r="I10506" s="15">
        <f t="shared" si="3"/>
        <v>17</v>
      </c>
    </row>
    <row r="10507">
      <c r="A10507" s="8" t="str">
        <f>IFERROR(__xludf.DUMMYFUNCTION("IF('(INGESTA)Datos_consumo_datadis'!A10507&lt;&gt;"""",SPLIT('(INGESTA)Datos_consumo_datadis'!A:A,"",""),"""")"),"ES0031408323131005HX0F")</f>
        <v>ES0031408323131005HX0F</v>
      </c>
      <c r="B10507" s="12">
        <f>IFERROR(__xludf.DUMMYFUNCTION("""COMPUTED_VALUE"""),45303.0)</f>
        <v>45303</v>
      </c>
      <c r="C10507" s="13">
        <f>IFERROR(__xludf.DUMMYFUNCTION("""COMPUTED_VALUE"""),0.75)</f>
        <v>0.75</v>
      </c>
      <c r="D10507" s="8">
        <f>IFERROR(__xludf.DUMMYFUNCTION("""COMPUTED_VALUE"""),0.015)</f>
        <v>0.015</v>
      </c>
      <c r="E10507" s="8" t="str">
        <f>IFERROR(__xludf.DUMMYFUNCTION("""COMPUTED_VALUE"""),"Real")</f>
        <v>Real</v>
      </c>
      <c r="G10507" s="8">
        <f t="shared" si="1"/>
        <v>1</v>
      </c>
      <c r="H10507" s="14">
        <f t="shared" si="2"/>
        <v>12</v>
      </c>
      <c r="I10507" s="15">
        <f t="shared" si="3"/>
        <v>18</v>
      </c>
    </row>
    <row r="10508">
      <c r="A10508" s="8" t="str">
        <f>IFERROR(__xludf.DUMMYFUNCTION("IF('(INGESTA)Datos_consumo_datadis'!A10508&lt;&gt;"""",SPLIT('(INGESTA)Datos_consumo_datadis'!A:A,"",""),"""")"),"ES0031408323131005HX0F")</f>
        <v>ES0031408323131005HX0F</v>
      </c>
      <c r="B10508" s="12">
        <f>IFERROR(__xludf.DUMMYFUNCTION("""COMPUTED_VALUE"""),45303.0)</f>
        <v>45303</v>
      </c>
      <c r="C10508" s="13">
        <f>IFERROR(__xludf.DUMMYFUNCTION("""COMPUTED_VALUE"""),0.7916666666666666)</f>
        <v>0.7916666667</v>
      </c>
      <c r="D10508" s="8">
        <f>IFERROR(__xludf.DUMMYFUNCTION("""COMPUTED_VALUE"""),0.326)</f>
        <v>0.326</v>
      </c>
      <c r="E10508" s="8" t="str">
        <f>IFERROR(__xludf.DUMMYFUNCTION("""COMPUTED_VALUE"""),"Real")</f>
        <v>Real</v>
      </c>
      <c r="G10508" s="8">
        <f t="shared" si="1"/>
        <v>1</v>
      </c>
      <c r="H10508" s="14">
        <f t="shared" si="2"/>
        <v>12</v>
      </c>
      <c r="I10508" s="15">
        <f t="shared" si="3"/>
        <v>19</v>
      </c>
    </row>
    <row r="10509">
      <c r="A10509" s="8" t="str">
        <f>IFERROR(__xludf.DUMMYFUNCTION("IF('(INGESTA)Datos_consumo_datadis'!A10509&lt;&gt;"""",SPLIT('(INGESTA)Datos_consumo_datadis'!A:A,"",""),"""")"),"ES0031408323131005HX0F")</f>
        <v>ES0031408323131005HX0F</v>
      </c>
      <c r="B10509" s="12">
        <f>IFERROR(__xludf.DUMMYFUNCTION("""COMPUTED_VALUE"""),45303.0)</f>
        <v>45303</v>
      </c>
      <c r="C10509" s="13">
        <f>IFERROR(__xludf.DUMMYFUNCTION("""COMPUTED_VALUE"""),0.8333333333333334)</f>
        <v>0.8333333333</v>
      </c>
      <c r="D10509" s="8">
        <f>IFERROR(__xludf.DUMMYFUNCTION("""COMPUTED_VALUE"""),0.072)</f>
        <v>0.072</v>
      </c>
      <c r="E10509" s="8" t="str">
        <f>IFERROR(__xludf.DUMMYFUNCTION("""COMPUTED_VALUE"""),"Real")</f>
        <v>Real</v>
      </c>
      <c r="G10509" s="8">
        <f t="shared" si="1"/>
        <v>1</v>
      </c>
      <c r="H10509" s="14">
        <f t="shared" si="2"/>
        <v>12</v>
      </c>
      <c r="I10509" s="15">
        <f t="shared" si="3"/>
        <v>20</v>
      </c>
    </row>
    <row r="10510">
      <c r="A10510" s="8" t="str">
        <f>IFERROR(__xludf.DUMMYFUNCTION("IF('(INGESTA)Datos_consumo_datadis'!A10510&lt;&gt;"""",SPLIT('(INGESTA)Datos_consumo_datadis'!A:A,"",""),"""")"),"ES0031408323131005HX0F")</f>
        <v>ES0031408323131005HX0F</v>
      </c>
      <c r="B10510" s="12">
        <f>IFERROR(__xludf.DUMMYFUNCTION("""COMPUTED_VALUE"""),45303.0)</f>
        <v>45303</v>
      </c>
      <c r="C10510" s="13">
        <f>IFERROR(__xludf.DUMMYFUNCTION("""COMPUTED_VALUE"""),0.875)</f>
        <v>0.875</v>
      </c>
      <c r="D10510" s="8">
        <f>IFERROR(__xludf.DUMMYFUNCTION("""COMPUTED_VALUE"""),0.04)</f>
        <v>0.04</v>
      </c>
      <c r="E10510" s="8" t="str">
        <f>IFERROR(__xludf.DUMMYFUNCTION("""COMPUTED_VALUE"""),"Real")</f>
        <v>Real</v>
      </c>
      <c r="G10510" s="8">
        <f t="shared" si="1"/>
        <v>1</v>
      </c>
      <c r="H10510" s="14">
        <f t="shared" si="2"/>
        <v>12</v>
      </c>
      <c r="I10510" s="15">
        <f t="shared" si="3"/>
        <v>21</v>
      </c>
    </row>
    <row r="10511">
      <c r="A10511" s="8" t="str">
        <f>IFERROR(__xludf.DUMMYFUNCTION("IF('(INGESTA)Datos_consumo_datadis'!A10511&lt;&gt;"""",SPLIT('(INGESTA)Datos_consumo_datadis'!A:A,"",""),"""")"),"ES0031408323131005HX0F")</f>
        <v>ES0031408323131005HX0F</v>
      </c>
      <c r="B10511" s="12">
        <f>IFERROR(__xludf.DUMMYFUNCTION("""COMPUTED_VALUE"""),45303.0)</f>
        <v>45303</v>
      </c>
      <c r="C10511" s="13">
        <f>IFERROR(__xludf.DUMMYFUNCTION("""COMPUTED_VALUE"""),0.9166666666666666)</f>
        <v>0.9166666667</v>
      </c>
      <c r="D10511" s="8">
        <f>IFERROR(__xludf.DUMMYFUNCTION("""COMPUTED_VALUE"""),0.034)</f>
        <v>0.034</v>
      </c>
      <c r="E10511" s="8" t="str">
        <f>IFERROR(__xludf.DUMMYFUNCTION("""COMPUTED_VALUE"""),"Real")</f>
        <v>Real</v>
      </c>
      <c r="G10511" s="8">
        <f t="shared" si="1"/>
        <v>1</v>
      </c>
      <c r="H10511" s="14">
        <f t="shared" si="2"/>
        <v>12</v>
      </c>
      <c r="I10511" s="15">
        <f t="shared" si="3"/>
        <v>22</v>
      </c>
    </row>
    <row r="10512">
      <c r="A10512" s="8" t="str">
        <f>IFERROR(__xludf.DUMMYFUNCTION("IF('(INGESTA)Datos_consumo_datadis'!A10512&lt;&gt;"""",SPLIT('(INGESTA)Datos_consumo_datadis'!A:A,"",""),"""")"),"ES0031408323131005HX0F")</f>
        <v>ES0031408323131005HX0F</v>
      </c>
      <c r="B10512" s="12">
        <f>IFERROR(__xludf.DUMMYFUNCTION("""COMPUTED_VALUE"""),45303.0)</f>
        <v>45303</v>
      </c>
      <c r="C10512" s="13">
        <f>IFERROR(__xludf.DUMMYFUNCTION("""COMPUTED_VALUE"""),0.9583333333333334)</f>
        <v>0.9583333333</v>
      </c>
      <c r="D10512" s="8">
        <f>IFERROR(__xludf.DUMMYFUNCTION("""COMPUTED_VALUE"""),0.014)</f>
        <v>0.014</v>
      </c>
      <c r="E10512" s="8" t="str">
        <f>IFERROR(__xludf.DUMMYFUNCTION("""COMPUTED_VALUE"""),"Real")</f>
        <v>Real</v>
      </c>
      <c r="G10512" s="8">
        <f t="shared" si="1"/>
        <v>1</v>
      </c>
      <c r="H10512" s="14">
        <f t="shared" si="2"/>
        <v>12</v>
      </c>
      <c r="I10512" s="15">
        <f t="shared" si="3"/>
        <v>23</v>
      </c>
    </row>
    <row r="10513">
      <c r="A10513" s="8" t="str">
        <f>IFERROR(__xludf.DUMMYFUNCTION("IF('(INGESTA)Datos_consumo_datadis'!A10513&lt;&gt;"""",SPLIT('(INGESTA)Datos_consumo_datadis'!A:A,"",""),"""")"),"ES0031408323131005HX0F")</f>
        <v>ES0031408323131005HX0F</v>
      </c>
      <c r="B10513" s="12">
        <f>IFERROR(__xludf.DUMMYFUNCTION("""COMPUTED_VALUE"""),45303.0)</f>
        <v>45303</v>
      </c>
      <c r="C10513" s="16">
        <f>IFERROR(__xludf.DUMMYFUNCTION("""COMPUTED_VALUE"""),1.0)</f>
        <v>1</v>
      </c>
      <c r="D10513" s="8">
        <f>IFERROR(__xludf.DUMMYFUNCTION("""COMPUTED_VALUE"""),0.061)</f>
        <v>0.061</v>
      </c>
      <c r="E10513" s="8" t="str">
        <f>IFERROR(__xludf.DUMMYFUNCTION("""COMPUTED_VALUE"""),"Real")</f>
        <v>Real</v>
      </c>
      <c r="G10513" s="8">
        <f t="shared" si="1"/>
        <v>1</v>
      </c>
      <c r="H10513" s="14">
        <f t="shared" si="2"/>
        <v>12</v>
      </c>
      <c r="I10513" s="15">
        <f t="shared" si="3"/>
        <v>0</v>
      </c>
    </row>
    <row r="10514">
      <c r="A10514" s="8" t="str">
        <f>IFERROR(__xludf.DUMMYFUNCTION("IF('(INGESTA)Datos_consumo_datadis'!A10514&lt;&gt;"""",SPLIT('(INGESTA)Datos_consumo_datadis'!A:A,"",""),"""")"),"ES0031408323131005HX0F")</f>
        <v>ES0031408323131005HX0F</v>
      </c>
      <c r="B10514" s="12">
        <f>IFERROR(__xludf.DUMMYFUNCTION("""COMPUTED_VALUE"""),45304.0)</f>
        <v>45304</v>
      </c>
      <c r="C10514" s="13">
        <f>IFERROR(__xludf.DUMMYFUNCTION("""COMPUTED_VALUE"""),0.041666666666666664)</f>
        <v>0.04166666667</v>
      </c>
      <c r="D10514" s="8">
        <f>IFERROR(__xludf.DUMMYFUNCTION("""COMPUTED_VALUE"""),0.349)</f>
        <v>0.349</v>
      </c>
      <c r="E10514" s="8" t="str">
        <f>IFERROR(__xludf.DUMMYFUNCTION("""COMPUTED_VALUE"""),"Real")</f>
        <v>Real</v>
      </c>
      <c r="G10514" s="8">
        <f t="shared" si="1"/>
        <v>1</v>
      </c>
      <c r="H10514" s="14">
        <f t="shared" si="2"/>
        <v>13</v>
      </c>
      <c r="I10514" s="15">
        <f t="shared" si="3"/>
        <v>1</v>
      </c>
    </row>
    <row r="10515">
      <c r="A10515" s="8" t="str">
        <f>IFERROR(__xludf.DUMMYFUNCTION("IF('(INGESTA)Datos_consumo_datadis'!A10515&lt;&gt;"""",SPLIT('(INGESTA)Datos_consumo_datadis'!A:A,"",""),"""")"),"ES0031408323131005HX0F")</f>
        <v>ES0031408323131005HX0F</v>
      </c>
      <c r="B10515" s="12">
        <f>IFERROR(__xludf.DUMMYFUNCTION("""COMPUTED_VALUE"""),45304.0)</f>
        <v>45304</v>
      </c>
      <c r="C10515" s="13">
        <f>IFERROR(__xludf.DUMMYFUNCTION("""COMPUTED_VALUE"""),0.08333333333333333)</f>
        <v>0.08333333333</v>
      </c>
      <c r="D10515" s="8">
        <f>IFERROR(__xludf.DUMMYFUNCTION("""COMPUTED_VALUE"""),0.038)</f>
        <v>0.038</v>
      </c>
      <c r="E10515" s="8" t="str">
        <f>IFERROR(__xludf.DUMMYFUNCTION("""COMPUTED_VALUE"""),"Real")</f>
        <v>Real</v>
      </c>
      <c r="G10515" s="8">
        <f t="shared" si="1"/>
        <v>1</v>
      </c>
      <c r="H10515" s="14">
        <f t="shared" si="2"/>
        <v>13</v>
      </c>
      <c r="I10515" s="15">
        <f t="shared" si="3"/>
        <v>2</v>
      </c>
    </row>
    <row r="10516">
      <c r="A10516" s="8" t="str">
        <f>IFERROR(__xludf.DUMMYFUNCTION("IF('(INGESTA)Datos_consumo_datadis'!A10516&lt;&gt;"""",SPLIT('(INGESTA)Datos_consumo_datadis'!A:A,"",""),"""")"),"ES0031408323131005HX0F")</f>
        <v>ES0031408323131005HX0F</v>
      </c>
      <c r="B10516" s="12">
        <f>IFERROR(__xludf.DUMMYFUNCTION("""COMPUTED_VALUE"""),45304.0)</f>
        <v>45304</v>
      </c>
      <c r="C10516" s="13">
        <f>IFERROR(__xludf.DUMMYFUNCTION("""COMPUTED_VALUE"""),0.125)</f>
        <v>0.125</v>
      </c>
      <c r="D10516" s="8">
        <f>IFERROR(__xludf.DUMMYFUNCTION("""COMPUTED_VALUE"""),0.036)</f>
        <v>0.036</v>
      </c>
      <c r="E10516" s="8" t="str">
        <f>IFERROR(__xludf.DUMMYFUNCTION("""COMPUTED_VALUE"""),"Real")</f>
        <v>Real</v>
      </c>
      <c r="G10516" s="8">
        <f t="shared" si="1"/>
        <v>1</v>
      </c>
      <c r="H10516" s="14">
        <f t="shared" si="2"/>
        <v>13</v>
      </c>
      <c r="I10516" s="15">
        <f t="shared" si="3"/>
        <v>3</v>
      </c>
    </row>
    <row r="10517">
      <c r="A10517" s="8" t="str">
        <f>IFERROR(__xludf.DUMMYFUNCTION("IF('(INGESTA)Datos_consumo_datadis'!A10517&lt;&gt;"""",SPLIT('(INGESTA)Datos_consumo_datadis'!A:A,"",""),"""")"),"ES0031408323131005HX0F")</f>
        <v>ES0031408323131005HX0F</v>
      </c>
      <c r="B10517" s="12">
        <f>IFERROR(__xludf.DUMMYFUNCTION("""COMPUTED_VALUE"""),45304.0)</f>
        <v>45304</v>
      </c>
      <c r="C10517" s="13">
        <f>IFERROR(__xludf.DUMMYFUNCTION("""COMPUTED_VALUE"""),0.16666666666666666)</f>
        <v>0.1666666667</v>
      </c>
      <c r="D10517" s="8">
        <f>IFERROR(__xludf.DUMMYFUNCTION("""COMPUTED_VALUE"""),0.024)</f>
        <v>0.024</v>
      </c>
      <c r="E10517" s="8" t="str">
        <f>IFERROR(__xludf.DUMMYFUNCTION("""COMPUTED_VALUE"""),"Real")</f>
        <v>Real</v>
      </c>
      <c r="G10517" s="8">
        <f t="shared" si="1"/>
        <v>1</v>
      </c>
      <c r="H10517" s="14">
        <f t="shared" si="2"/>
        <v>13</v>
      </c>
      <c r="I10517" s="15">
        <f t="shared" si="3"/>
        <v>4</v>
      </c>
    </row>
    <row r="10518">
      <c r="A10518" s="8" t="str">
        <f>IFERROR(__xludf.DUMMYFUNCTION("IF('(INGESTA)Datos_consumo_datadis'!A10518&lt;&gt;"""",SPLIT('(INGESTA)Datos_consumo_datadis'!A:A,"",""),"""")"),"ES0031408323131005HX0F")</f>
        <v>ES0031408323131005HX0F</v>
      </c>
      <c r="B10518" s="12">
        <f>IFERROR(__xludf.DUMMYFUNCTION("""COMPUTED_VALUE"""),45304.0)</f>
        <v>45304</v>
      </c>
      <c r="C10518" s="13">
        <f>IFERROR(__xludf.DUMMYFUNCTION("""COMPUTED_VALUE"""),0.20833333333333334)</f>
        <v>0.2083333333</v>
      </c>
      <c r="D10518" s="8">
        <f>IFERROR(__xludf.DUMMYFUNCTION("""COMPUTED_VALUE"""),0.074)</f>
        <v>0.074</v>
      </c>
      <c r="E10518" s="8" t="str">
        <f>IFERROR(__xludf.DUMMYFUNCTION("""COMPUTED_VALUE"""),"Real")</f>
        <v>Real</v>
      </c>
      <c r="G10518" s="8">
        <f t="shared" si="1"/>
        <v>1</v>
      </c>
      <c r="H10518" s="14">
        <f t="shared" si="2"/>
        <v>13</v>
      </c>
      <c r="I10518" s="15">
        <f t="shared" si="3"/>
        <v>5</v>
      </c>
    </row>
    <row r="10519">
      <c r="A10519" s="8" t="str">
        <f>IFERROR(__xludf.DUMMYFUNCTION("IF('(INGESTA)Datos_consumo_datadis'!A10519&lt;&gt;"""",SPLIT('(INGESTA)Datos_consumo_datadis'!A:A,"",""),"""")"),"ES0031408323131005HX0F")</f>
        <v>ES0031408323131005HX0F</v>
      </c>
      <c r="B10519" s="12">
        <f>IFERROR(__xludf.DUMMYFUNCTION("""COMPUTED_VALUE"""),45304.0)</f>
        <v>45304</v>
      </c>
      <c r="C10519" s="13">
        <f>IFERROR(__xludf.DUMMYFUNCTION("""COMPUTED_VALUE"""),0.25)</f>
        <v>0.25</v>
      </c>
      <c r="D10519" s="8">
        <f>IFERROR(__xludf.DUMMYFUNCTION("""COMPUTED_VALUE"""),0.341)</f>
        <v>0.341</v>
      </c>
      <c r="E10519" s="8" t="str">
        <f>IFERROR(__xludf.DUMMYFUNCTION("""COMPUTED_VALUE"""),"Real")</f>
        <v>Real</v>
      </c>
      <c r="G10519" s="8">
        <f t="shared" si="1"/>
        <v>1</v>
      </c>
      <c r="H10519" s="14">
        <f t="shared" si="2"/>
        <v>13</v>
      </c>
      <c r="I10519" s="15">
        <f t="shared" si="3"/>
        <v>6</v>
      </c>
    </row>
    <row r="10520">
      <c r="A10520" s="8" t="str">
        <f>IFERROR(__xludf.DUMMYFUNCTION("IF('(INGESTA)Datos_consumo_datadis'!A10520&lt;&gt;"""",SPLIT('(INGESTA)Datos_consumo_datadis'!A:A,"",""),"""")"),"ES0031408323131005HX0F")</f>
        <v>ES0031408323131005HX0F</v>
      </c>
      <c r="B10520" s="12">
        <f>IFERROR(__xludf.DUMMYFUNCTION("""COMPUTED_VALUE"""),45304.0)</f>
        <v>45304</v>
      </c>
      <c r="C10520" s="13">
        <f>IFERROR(__xludf.DUMMYFUNCTION("""COMPUTED_VALUE"""),0.2916666666666667)</f>
        <v>0.2916666667</v>
      </c>
      <c r="D10520" s="8">
        <f>IFERROR(__xludf.DUMMYFUNCTION("""COMPUTED_VALUE"""),0.037)</f>
        <v>0.037</v>
      </c>
      <c r="E10520" s="8" t="str">
        <f>IFERROR(__xludf.DUMMYFUNCTION("""COMPUTED_VALUE"""),"Real")</f>
        <v>Real</v>
      </c>
      <c r="G10520" s="8">
        <f t="shared" si="1"/>
        <v>1</v>
      </c>
      <c r="H10520" s="14">
        <f t="shared" si="2"/>
        <v>13</v>
      </c>
      <c r="I10520" s="15">
        <f t="shared" si="3"/>
        <v>7</v>
      </c>
    </row>
    <row r="10521">
      <c r="A10521" s="8" t="str">
        <f>IFERROR(__xludf.DUMMYFUNCTION("IF('(INGESTA)Datos_consumo_datadis'!A10521&lt;&gt;"""",SPLIT('(INGESTA)Datos_consumo_datadis'!A:A,"",""),"""")"),"ES0031408323131005HX0F")</f>
        <v>ES0031408323131005HX0F</v>
      </c>
      <c r="B10521" s="12">
        <f>IFERROR(__xludf.DUMMYFUNCTION("""COMPUTED_VALUE"""),45304.0)</f>
        <v>45304</v>
      </c>
      <c r="C10521" s="13">
        <f>IFERROR(__xludf.DUMMYFUNCTION("""COMPUTED_VALUE"""),0.3333333333333333)</f>
        <v>0.3333333333</v>
      </c>
      <c r="D10521" s="8">
        <f>IFERROR(__xludf.DUMMYFUNCTION("""COMPUTED_VALUE"""),0.038)</f>
        <v>0.038</v>
      </c>
      <c r="E10521" s="8" t="str">
        <f>IFERROR(__xludf.DUMMYFUNCTION("""COMPUTED_VALUE"""),"Real")</f>
        <v>Real</v>
      </c>
      <c r="G10521" s="8">
        <f t="shared" si="1"/>
        <v>1</v>
      </c>
      <c r="H10521" s="14">
        <f t="shared" si="2"/>
        <v>13</v>
      </c>
      <c r="I10521" s="15">
        <f t="shared" si="3"/>
        <v>8</v>
      </c>
    </row>
    <row r="10522">
      <c r="A10522" s="8" t="str">
        <f>IFERROR(__xludf.DUMMYFUNCTION("IF('(INGESTA)Datos_consumo_datadis'!A10522&lt;&gt;"""",SPLIT('(INGESTA)Datos_consumo_datadis'!A:A,"",""),"""")"),"ES0031408323131005HX0F")</f>
        <v>ES0031408323131005HX0F</v>
      </c>
      <c r="B10522" s="12">
        <f>IFERROR(__xludf.DUMMYFUNCTION("""COMPUTED_VALUE"""),45304.0)</f>
        <v>45304</v>
      </c>
      <c r="C10522" s="13">
        <f>IFERROR(__xludf.DUMMYFUNCTION("""COMPUTED_VALUE"""),0.375)</f>
        <v>0.375</v>
      </c>
      <c r="D10522" s="8">
        <f>IFERROR(__xludf.DUMMYFUNCTION("""COMPUTED_VALUE"""),0.015)</f>
        <v>0.015</v>
      </c>
      <c r="E10522" s="8" t="str">
        <f>IFERROR(__xludf.DUMMYFUNCTION("""COMPUTED_VALUE"""),"Real")</f>
        <v>Real</v>
      </c>
      <c r="G10522" s="8">
        <f t="shared" si="1"/>
        <v>1</v>
      </c>
      <c r="H10522" s="14">
        <f t="shared" si="2"/>
        <v>13</v>
      </c>
      <c r="I10522" s="15">
        <f t="shared" si="3"/>
        <v>9</v>
      </c>
    </row>
    <row r="10523">
      <c r="A10523" s="8" t="str">
        <f>IFERROR(__xludf.DUMMYFUNCTION("IF('(INGESTA)Datos_consumo_datadis'!A10523&lt;&gt;"""",SPLIT('(INGESTA)Datos_consumo_datadis'!A:A,"",""),"""")"),"ES0031408323131005HX0F")</f>
        <v>ES0031408323131005HX0F</v>
      </c>
      <c r="B10523" s="12">
        <f>IFERROR(__xludf.DUMMYFUNCTION("""COMPUTED_VALUE"""),45304.0)</f>
        <v>45304</v>
      </c>
      <c r="C10523" s="13">
        <f>IFERROR(__xludf.DUMMYFUNCTION("""COMPUTED_VALUE"""),0.4166666666666667)</f>
        <v>0.4166666667</v>
      </c>
      <c r="D10523" s="8">
        <f>IFERROR(__xludf.DUMMYFUNCTION("""COMPUTED_VALUE"""),0.051)</f>
        <v>0.051</v>
      </c>
      <c r="E10523" s="8" t="str">
        <f>IFERROR(__xludf.DUMMYFUNCTION("""COMPUTED_VALUE"""),"Real")</f>
        <v>Real</v>
      </c>
      <c r="G10523" s="8">
        <f t="shared" si="1"/>
        <v>1</v>
      </c>
      <c r="H10523" s="14">
        <f t="shared" si="2"/>
        <v>13</v>
      </c>
      <c r="I10523" s="15">
        <f t="shared" si="3"/>
        <v>10</v>
      </c>
    </row>
    <row r="10524">
      <c r="A10524" s="8" t="str">
        <f>IFERROR(__xludf.DUMMYFUNCTION("IF('(INGESTA)Datos_consumo_datadis'!A10524&lt;&gt;"""",SPLIT('(INGESTA)Datos_consumo_datadis'!A:A,"",""),"""")"),"ES0031408323131005HX0F")</f>
        <v>ES0031408323131005HX0F</v>
      </c>
      <c r="B10524" s="12">
        <f>IFERROR(__xludf.DUMMYFUNCTION("""COMPUTED_VALUE"""),45304.0)</f>
        <v>45304</v>
      </c>
      <c r="C10524" s="13">
        <f>IFERROR(__xludf.DUMMYFUNCTION("""COMPUTED_VALUE"""),0.4583333333333333)</f>
        <v>0.4583333333</v>
      </c>
      <c r="D10524" s="8">
        <f>IFERROR(__xludf.DUMMYFUNCTION("""COMPUTED_VALUE"""),0.352)</f>
        <v>0.352</v>
      </c>
      <c r="E10524" s="8" t="str">
        <f>IFERROR(__xludf.DUMMYFUNCTION("""COMPUTED_VALUE"""),"Real")</f>
        <v>Real</v>
      </c>
      <c r="G10524" s="8">
        <f t="shared" si="1"/>
        <v>1</v>
      </c>
      <c r="H10524" s="14">
        <f t="shared" si="2"/>
        <v>13</v>
      </c>
      <c r="I10524" s="15">
        <f t="shared" si="3"/>
        <v>11</v>
      </c>
    </row>
    <row r="10525">
      <c r="A10525" s="8" t="str">
        <f>IFERROR(__xludf.DUMMYFUNCTION("IF('(INGESTA)Datos_consumo_datadis'!A10525&lt;&gt;"""",SPLIT('(INGESTA)Datos_consumo_datadis'!A:A,"",""),"""")"),"ES0031408323131005HX0F")</f>
        <v>ES0031408323131005HX0F</v>
      </c>
      <c r="B10525" s="12">
        <f>IFERROR(__xludf.DUMMYFUNCTION("""COMPUTED_VALUE"""),45304.0)</f>
        <v>45304</v>
      </c>
      <c r="C10525" s="13">
        <f>IFERROR(__xludf.DUMMYFUNCTION("""COMPUTED_VALUE"""),0.5)</f>
        <v>0.5</v>
      </c>
      <c r="D10525" s="8">
        <f>IFERROR(__xludf.DUMMYFUNCTION("""COMPUTED_VALUE"""),0.041)</f>
        <v>0.041</v>
      </c>
      <c r="E10525" s="8" t="str">
        <f>IFERROR(__xludf.DUMMYFUNCTION("""COMPUTED_VALUE"""),"Real")</f>
        <v>Real</v>
      </c>
      <c r="G10525" s="8">
        <f t="shared" si="1"/>
        <v>1</v>
      </c>
      <c r="H10525" s="14">
        <f t="shared" si="2"/>
        <v>13</v>
      </c>
      <c r="I10525" s="15">
        <f t="shared" si="3"/>
        <v>12</v>
      </c>
    </row>
    <row r="10526">
      <c r="A10526" s="8" t="str">
        <f>IFERROR(__xludf.DUMMYFUNCTION("IF('(INGESTA)Datos_consumo_datadis'!A10526&lt;&gt;"""",SPLIT('(INGESTA)Datos_consumo_datadis'!A:A,"",""),"""")"),"ES0031408323131005HX0F")</f>
        <v>ES0031408323131005HX0F</v>
      </c>
      <c r="B10526" s="12">
        <f>IFERROR(__xludf.DUMMYFUNCTION("""COMPUTED_VALUE"""),45304.0)</f>
        <v>45304</v>
      </c>
      <c r="C10526" s="13">
        <f>IFERROR(__xludf.DUMMYFUNCTION("""COMPUTED_VALUE"""),0.5416666666666666)</f>
        <v>0.5416666667</v>
      </c>
      <c r="D10526" s="8">
        <f>IFERROR(__xludf.DUMMYFUNCTION("""COMPUTED_VALUE"""),0.015)</f>
        <v>0.015</v>
      </c>
      <c r="E10526" s="8" t="str">
        <f>IFERROR(__xludf.DUMMYFUNCTION("""COMPUTED_VALUE"""),"Real")</f>
        <v>Real</v>
      </c>
      <c r="G10526" s="8">
        <f t="shared" si="1"/>
        <v>1</v>
      </c>
      <c r="H10526" s="14">
        <f t="shared" si="2"/>
        <v>13</v>
      </c>
      <c r="I10526" s="15">
        <f t="shared" si="3"/>
        <v>13</v>
      </c>
    </row>
    <row r="10527">
      <c r="A10527" s="8" t="str">
        <f>IFERROR(__xludf.DUMMYFUNCTION("IF('(INGESTA)Datos_consumo_datadis'!A10527&lt;&gt;"""",SPLIT('(INGESTA)Datos_consumo_datadis'!A:A,"",""),"""")"),"ES0031408323131005HX0F")</f>
        <v>ES0031408323131005HX0F</v>
      </c>
      <c r="B10527" s="12">
        <f>IFERROR(__xludf.DUMMYFUNCTION("""COMPUTED_VALUE"""),45304.0)</f>
        <v>45304</v>
      </c>
      <c r="C10527" s="13">
        <f>IFERROR(__xludf.DUMMYFUNCTION("""COMPUTED_VALUE"""),0.5833333333333334)</f>
        <v>0.5833333333</v>
      </c>
      <c r="D10527" s="8">
        <f>IFERROR(__xludf.DUMMYFUNCTION("""COMPUTED_VALUE"""),0.015)</f>
        <v>0.015</v>
      </c>
      <c r="E10527" s="8" t="str">
        <f>IFERROR(__xludf.DUMMYFUNCTION("""COMPUTED_VALUE"""),"Real")</f>
        <v>Real</v>
      </c>
      <c r="G10527" s="8">
        <f t="shared" si="1"/>
        <v>1</v>
      </c>
      <c r="H10527" s="14">
        <f t="shared" si="2"/>
        <v>13</v>
      </c>
      <c r="I10527" s="15">
        <f t="shared" si="3"/>
        <v>14</v>
      </c>
    </row>
    <row r="10528">
      <c r="A10528" s="8" t="str">
        <f>IFERROR(__xludf.DUMMYFUNCTION("IF('(INGESTA)Datos_consumo_datadis'!A10528&lt;&gt;"""",SPLIT('(INGESTA)Datos_consumo_datadis'!A:A,"",""),"""")"),"ES0031408323131005HX0F")</f>
        <v>ES0031408323131005HX0F</v>
      </c>
      <c r="B10528" s="12">
        <f>IFERROR(__xludf.DUMMYFUNCTION("""COMPUTED_VALUE"""),45304.0)</f>
        <v>45304</v>
      </c>
      <c r="C10528" s="13">
        <f>IFERROR(__xludf.DUMMYFUNCTION("""COMPUTED_VALUE"""),0.625)</f>
        <v>0.625</v>
      </c>
      <c r="D10528" s="8">
        <f>IFERROR(__xludf.DUMMYFUNCTION("""COMPUTED_VALUE"""),0.072)</f>
        <v>0.072</v>
      </c>
      <c r="E10528" s="8" t="str">
        <f>IFERROR(__xludf.DUMMYFUNCTION("""COMPUTED_VALUE"""),"Real")</f>
        <v>Real</v>
      </c>
      <c r="G10528" s="8">
        <f t="shared" si="1"/>
        <v>1</v>
      </c>
      <c r="H10528" s="14">
        <f t="shared" si="2"/>
        <v>13</v>
      </c>
      <c r="I10528" s="15">
        <f t="shared" si="3"/>
        <v>15</v>
      </c>
    </row>
    <row r="10529">
      <c r="A10529" s="8" t="str">
        <f>IFERROR(__xludf.DUMMYFUNCTION("IF('(INGESTA)Datos_consumo_datadis'!A10529&lt;&gt;"""",SPLIT('(INGESTA)Datos_consumo_datadis'!A:A,"",""),"""")"),"ES0031408323131005HX0F")</f>
        <v>ES0031408323131005HX0F</v>
      </c>
      <c r="B10529" s="12">
        <f>IFERROR(__xludf.DUMMYFUNCTION("""COMPUTED_VALUE"""),45304.0)</f>
        <v>45304</v>
      </c>
      <c r="C10529" s="13">
        <f>IFERROR(__xludf.DUMMYFUNCTION("""COMPUTED_VALUE"""),0.6666666666666666)</f>
        <v>0.6666666667</v>
      </c>
      <c r="D10529" s="8">
        <f>IFERROR(__xludf.DUMMYFUNCTION("""COMPUTED_VALUE"""),0.226)</f>
        <v>0.226</v>
      </c>
      <c r="E10529" s="8" t="str">
        <f>IFERROR(__xludf.DUMMYFUNCTION("""COMPUTED_VALUE"""),"Real")</f>
        <v>Real</v>
      </c>
      <c r="G10529" s="8">
        <f t="shared" si="1"/>
        <v>1</v>
      </c>
      <c r="H10529" s="14">
        <f t="shared" si="2"/>
        <v>13</v>
      </c>
      <c r="I10529" s="15">
        <f t="shared" si="3"/>
        <v>16</v>
      </c>
    </row>
    <row r="10530">
      <c r="A10530" s="8" t="str">
        <f>IFERROR(__xludf.DUMMYFUNCTION("IF('(INGESTA)Datos_consumo_datadis'!A10530&lt;&gt;"""",SPLIT('(INGESTA)Datos_consumo_datadis'!A:A,"",""),"""")"),"ES0031408323131005HX0F")</f>
        <v>ES0031408323131005HX0F</v>
      </c>
      <c r="B10530" s="12">
        <f>IFERROR(__xludf.DUMMYFUNCTION("""COMPUTED_VALUE"""),45304.0)</f>
        <v>45304</v>
      </c>
      <c r="C10530" s="13">
        <f>IFERROR(__xludf.DUMMYFUNCTION("""COMPUTED_VALUE"""),0.7083333333333334)</f>
        <v>0.7083333333</v>
      </c>
      <c r="D10530" s="8">
        <f>IFERROR(__xludf.DUMMYFUNCTION("""COMPUTED_VALUE"""),0.151)</f>
        <v>0.151</v>
      </c>
      <c r="E10530" s="8" t="str">
        <f>IFERROR(__xludf.DUMMYFUNCTION("""COMPUTED_VALUE"""),"Real")</f>
        <v>Real</v>
      </c>
      <c r="G10530" s="8">
        <f t="shared" si="1"/>
        <v>1</v>
      </c>
      <c r="H10530" s="14">
        <f t="shared" si="2"/>
        <v>13</v>
      </c>
      <c r="I10530" s="15">
        <f t="shared" si="3"/>
        <v>17</v>
      </c>
    </row>
    <row r="10531">
      <c r="A10531" s="8" t="str">
        <f>IFERROR(__xludf.DUMMYFUNCTION("IF('(INGESTA)Datos_consumo_datadis'!A10531&lt;&gt;"""",SPLIT('(INGESTA)Datos_consumo_datadis'!A:A,"",""),"""")"),"ES0031408323131005HX0F")</f>
        <v>ES0031408323131005HX0F</v>
      </c>
      <c r="B10531" s="12">
        <f>IFERROR(__xludf.DUMMYFUNCTION("""COMPUTED_VALUE"""),45304.0)</f>
        <v>45304</v>
      </c>
      <c r="C10531" s="13">
        <f>IFERROR(__xludf.DUMMYFUNCTION("""COMPUTED_VALUE"""),0.75)</f>
        <v>0.75</v>
      </c>
      <c r="D10531" s="8">
        <f>IFERROR(__xludf.DUMMYFUNCTION("""COMPUTED_VALUE"""),0.015)</f>
        <v>0.015</v>
      </c>
      <c r="E10531" s="8" t="str">
        <f>IFERROR(__xludf.DUMMYFUNCTION("""COMPUTED_VALUE"""),"Real")</f>
        <v>Real</v>
      </c>
      <c r="G10531" s="8">
        <f t="shared" si="1"/>
        <v>1</v>
      </c>
      <c r="H10531" s="14">
        <f t="shared" si="2"/>
        <v>13</v>
      </c>
      <c r="I10531" s="15">
        <f t="shared" si="3"/>
        <v>18</v>
      </c>
    </row>
    <row r="10532">
      <c r="A10532" s="8" t="str">
        <f>IFERROR(__xludf.DUMMYFUNCTION("IF('(INGESTA)Datos_consumo_datadis'!A10532&lt;&gt;"""",SPLIT('(INGESTA)Datos_consumo_datadis'!A:A,"",""),"""")"),"ES0031408323131005HX0F")</f>
        <v>ES0031408323131005HX0F</v>
      </c>
      <c r="B10532" s="12">
        <f>IFERROR(__xludf.DUMMYFUNCTION("""COMPUTED_VALUE"""),45304.0)</f>
        <v>45304</v>
      </c>
      <c r="C10532" s="13">
        <f>IFERROR(__xludf.DUMMYFUNCTION("""COMPUTED_VALUE"""),0.7916666666666666)</f>
        <v>0.7916666667</v>
      </c>
      <c r="D10532" s="8">
        <f>IFERROR(__xludf.DUMMYFUNCTION("""COMPUTED_VALUE"""),0.035)</f>
        <v>0.035</v>
      </c>
      <c r="E10532" s="8" t="str">
        <f>IFERROR(__xludf.DUMMYFUNCTION("""COMPUTED_VALUE"""),"Real")</f>
        <v>Real</v>
      </c>
      <c r="G10532" s="8">
        <f t="shared" si="1"/>
        <v>1</v>
      </c>
      <c r="H10532" s="14">
        <f t="shared" si="2"/>
        <v>13</v>
      </c>
      <c r="I10532" s="15">
        <f t="shared" si="3"/>
        <v>19</v>
      </c>
    </row>
    <row r="10533">
      <c r="A10533" s="8" t="str">
        <f>IFERROR(__xludf.DUMMYFUNCTION("IF('(INGESTA)Datos_consumo_datadis'!A10533&lt;&gt;"""",SPLIT('(INGESTA)Datos_consumo_datadis'!A:A,"",""),"""")"),"ES0031408323131005HX0F")</f>
        <v>ES0031408323131005HX0F</v>
      </c>
      <c r="B10533" s="12">
        <f>IFERROR(__xludf.DUMMYFUNCTION("""COMPUTED_VALUE"""),45304.0)</f>
        <v>45304</v>
      </c>
      <c r="C10533" s="13">
        <f>IFERROR(__xludf.DUMMYFUNCTION("""COMPUTED_VALUE"""),0.8333333333333334)</f>
        <v>0.8333333333</v>
      </c>
      <c r="D10533" s="8">
        <f>IFERROR(__xludf.DUMMYFUNCTION("""COMPUTED_VALUE"""),0.057)</f>
        <v>0.057</v>
      </c>
      <c r="E10533" s="8" t="str">
        <f>IFERROR(__xludf.DUMMYFUNCTION("""COMPUTED_VALUE"""),"Real")</f>
        <v>Real</v>
      </c>
      <c r="G10533" s="8">
        <f t="shared" si="1"/>
        <v>1</v>
      </c>
      <c r="H10533" s="14">
        <f t="shared" si="2"/>
        <v>13</v>
      </c>
      <c r="I10533" s="15">
        <f t="shared" si="3"/>
        <v>20</v>
      </c>
    </row>
    <row r="10534">
      <c r="A10534" s="8" t="str">
        <f>IFERROR(__xludf.DUMMYFUNCTION("IF('(INGESTA)Datos_consumo_datadis'!A10534&lt;&gt;"""",SPLIT('(INGESTA)Datos_consumo_datadis'!A:A,"",""),"""")"),"ES0031408323131005HX0F")</f>
        <v>ES0031408323131005HX0F</v>
      </c>
      <c r="B10534" s="12">
        <f>IFERROR(__xludf.DUMMYFUNCTION("""COMPUTED_VALUE"""),45304.0)</f>
        <v>45304</v>
      </c>
      <c r="C10534" s="13">
        <f>IFERROR(__xludf.DUMMYFUNCTION("""COMPUTED_VALUE"""),0.875)</f>
        <v>0.875</v>
      </c>
      <c r="D10534" s="8">
        <f>IFERROR(__xludf.DUMMYFUNCTION("""COMPUTED_VALUE"""),0.053)</f>
        <v>0.053</v>
      </c>
      <c r="E10534" s="8" t="str">
        <f>IFERROR(__xludf.DUMMYFUNCTION("""COMPUTED_VALUE"""),"Real")</f>
        <v>Real</v>
      </c>
      <c r="G10534" s="8">
        <f t="shared" si="1"/>
        <v>1</v>
      </c>
      <c r="H10534" s="14">
        <f t="shared" si="2"/>
        <v>13</v>
      </c>
      <c r="I10534" s="15">
        <f t="shared" si="3"/>
        <v>21</v>
      </c>
    </row>
    <row r="10535">
      <c r="A10535" s="8" t="str">
        <f>IFERROR(__xludf.DUMMYFUNCTION("IF('(INGESTA)Datos_consumo_datadis'!A10535&lt;&gt;"""",SPLIT('(INGESTA)Datos_consumo_datadis'!A:A,"",""),"""")"),"ES0031408323131005HX0F")</f>
        <v>ES0031408323131005HX0F</v>
      </c>
      <c r="B10535" s="12">
        <f>IFERROR(__xludf.DUMMYFUNCTION("""COMPUTED_VALUE"""),45304.0)</f>
        <v>45304</v>
      </c>
      <c r="C10535" s="13">
        <f>IFERROR(__xludf.DUMMYFUNCTION("""COMPUTED_VALUE"""),0.9166666666666666)</f>
        <v>0.9166666667</v>
      </c>
      <c r="D10535" s="8">
        <f>IFERROR(__xludf.DUMMYFUNCTION("""COMPUTED_VALUE"""),0.318)</f>
        <v>0.318</v>
      </c>
      <c r="E10535" s="8" t="str">
        <f>IFERROR(__xludf.DUMMYFUNCTION("""COMPUTED_VALUE"""),"Real")</f>
        <v>Real</v>
      </c>
      <c r="G10535" s="8">
        <f t="shared" si="1"/>
        <v>1</v>
      </c>
      <c r="H10535" s="14">
        <f t="shared" si="2"/>
        <v>13</v>
      </c>
      <c r="I10535" s="15">
        <f t="shared" si="3"/>
        <v>22</v>
      </c>
    </row>
    <row r="10536">
      <c r="A10536" s="8" t="str">
        <f>IFERROR(__xludf.DUMMYFUNCTION("IF('(INGESTA)Datos_consumo_datadis'!A10536&lt;&gt;"""",SPLIT('(INGESTA)Datos_consumo_datadis'!A:A,"",""),"""")"),"ES0031408323131005HX0F")</f>
        <v>ES0031408323131005HX0F</v>
      </c>
      <c r="B10536" s="12">
        <f>IFERROR(__xludf.DUMMYFUNCTION("""COMPUTED_VALUE"""),45304.0)</f>
        <v>45304</v>
      </c>
      <c r="C10536" s="13">
        <f>IFERROR(__xludf.DUMMYFUNCTION("""COMPUTED_VALUE"""),0.9583333333333334)</f>
        <v>0.9583333333</v>
      </c>
      <c r="D10536" s="8">
        <f>IFERROR(__xludf.DUMMYFUNCTION("""COMPUTED_VALUE"""),0.014)</f>
        <v>0.014</v>
      </c>
      <c r="E10536" s="8" t="str">
        <f>IFERROR(__xludf.DUMMYFUNCTION("""COMPUTED_VALUE"""),"Real")</f>
        <v>Real</v>
      </c>
      <c r="G10536" s="8">
        <f t="shared" si="1"/>
        <v>1</v>
      </c>
      <c r="H10536" s="14">
        <f t="shared" si="2"/>
        <v>13</v>
      </c>
      <c r="I10536" s="15">
        <f t="shared" si="3"/>
        <v>23</v>
      </c>
    </row>
    <row r="10537">
      <c r="A10537" s="8" t="str">
        <f>IFERROR(__xludf.DUMMYFUNCTION("IF('(INGESTA)Datos_consumo_datadis'!A10537&lt;&gt;"""",SPLIT('(INGESTA)Datos_consumo_datadis'!A:A,"",""),"""")"),"ES0031408323131005HX0F")</f>
        <v>ES0031408323131005HX0F</v>
      </c>
      <c r="B10537" s="12">
        <f>IFERROR(__xludf.DUMMYFUNCTION("""COMPUTED_VALUE"""),45304.0)</f>
        <v>45304</v>
      </c>
      <c r="C10537" s="16">
        <f>IFERROR(__xludf.DUMMYFUNCTION("""COMPUTED_VALUE"""),1.0)</f>
        <v>1</v>
      </c>
      <c r="D10537" s="8">
        <f>IFERROR(__xludf.DUMMYFUNCTION("""COMPUTED_VALUE"""),0.074)</f>
        <v>0.074</v>
      </c>
      <c r="E10537" s="8" t="str">
        <f>IFERROR(__xludf.DUMMYFUNCTION("""COMPUTED_VALUE"""),"Real")</f>
        <v>Real</v>
      </c>
      <c r="G10537" s="8">
        <f t="shared" si="1"/>
        <v>1</v>
      </c>
      <c r="H10537" s="14">
        <f t="shared" si="2"/>
        <v>13</v>
      </c>
      <c r="I10537" s="15">
        <f t="shared" si="3"/>
        <v>0</v>
      </c>
    </row>
    <row r="10538">
      <c r="A10538" s="8" t="str">
        <f>IFERROR(__xludf.DUMMYFUNCTION("IF('(INGESTA)Datos_consumo_datadis'!A10538&lt;&gt;"""",SPLIT('(INGESTA)Datos_consumo_datadis'!A:A,"",""),"""")"),"ES0031408323131005HX0F")</f>
        <v>ES0031408323131005HX0F</v>
      </c>
      <c r="B10538" s="12">
        <f>IFERROR(__xludf.DUMMYFUNCTION("""COMPUTED_VALUE"""),45305.0)</f>
        <v>45305</v>
      </c>
      <c r="C10538" s="13">
        <f>IFERROR(__xludf.DUMMYFUNCTION("""COMPUTED_VALUE"""),0.041666666666666664)</f>
        <v>0.04166666667</v>
      </c>
      <c r="D10538" s="8">
        <f>IFERROR(__xludf.DUMMYFUNCTION("""COMPUTED_VALUE"""),0.037)</f>
        <v>0.037</v>
      </c>
      <c r="E10538" s="8" t="str">
        <f>IFERROR(__xludf.DUMMYFUNCTION("""COMPUTED_VALUE"""),"Real")</f>
        <v>Real</v>
      </c>
      <c r="G10538" s="8">
        <f t="shared" si="1"/>
        <v>1</v>
      </c>
      <c r="H10538" s="14">
        <f t="shared" si="2"/>
        <v>14</v>
      </c>
      <c r="I10538" s="15">
        <f t="shared" si="3"/>
        <v>1</v>
      </c>
    </row>
    <row r="10539">
      <c r="A10539" s="8" t="str">
        <f>IFERROR(__xludf.DUMMYFUNCTION("IF('(INGESTA)Datos_consumo_datadis'!A10539&lt;&gt;"""",SPLIT('(INGESTA)Datos_consumo_datadis'!A:A,"",""),"""")"),"ES0031408323131005HX0F")</f>
        <v>ES0031408323131005HX0F</v>
      </c>
      <c r="B10539" s="12">
        <f>IFERROR(__xludf.DUMMYFUNCTION("""COMPUTED_VALUE"""),45305.0)</f>
        <v>45305</v>
      </c>
      <c r="C10539" s="13">
        <f>IFERROR(__xludf.DUMMYFUNCTION("""COMPUTED_VALUE"""),0.08333333333333333)</f>
        <v>0.08333333333</v>
      </c>
      <c r="D10539" s="8">
        <f>IFERROR(__xludf.DUMMYFUNCTION("""COMPUTED_VALUE"""),0.039)</f>
        <v>0.039</v>
      </c>
      <c r="E10539" s="8" t="str">
        <f>IFERROR(__xludf.DUMMYFUNCTION("""COMPUTED_VALUE"""),"Real")</f>
        <v>Real</v>
      </c>
      <c r="G10539" s="8">
        <f t="shared" si="1"/>
        <v>1</v>
      </c>
      <c r="H10539" s="14">
        <f t="shared" si="2"/>
        <v>14</v>
      </c>
      <c r="I10539" s="15">
        <f t="shared" si="3"/>
        <v>2</v>
      </c>
    </row>
    <row r="10540">
      <c r="A10540" s="8" t="str">
        <f>IFERROR(__xludf.DUMMYFUNCTION("IF('(INGESTA)Datos_consumo_datadis'!A10540&lt;&gt;"""",SPLIT('(INGESTA)Datos_consumo_datadis'!A:A,"",""),"""")"),"ES0031408323131005HX0F")</f>
        <v>ES0031408323131005HX0F</v>
      </c>
      <c r="B10540" s="12">
        <f>IFERROR(__xludf.DUMMYFUNCTION("""COMPUTED_VALUE"""),45305.0)</f>
        <v>45305</v>
      </c>
      <c r="C10540" s="13">
        <f>IFERROR(__xludf.DUMMYFUNCTION("""COMPUTED_VALUE"""),0.125)</f>
        <v>0.125</v>
      </c>
      <c r="D10540" s="8">
        <f>IFERROR(__xludf.DUMMYFUNCTION("""COMPUTED_VALUE"""),0.323)</f>
        <v>0.323</v>
      </c>
      <c r="E10540" s="8" t="str">
        <f>IFERROR(__xludf.DUMMYFUNCTION("""COMPUTED_VALUE"""),"Real")</f>
        <v>Real</v>
      </c>
      <c r="G10540" s="8">
        <f t="shared" si="1"/>
        <v>1</v>
      </c>
      <c r="H10540" s="14">
        <f t="shared" si="2"/>
        <v>14</v>
      </c>
      <c r="I10540" s="15">
        <f t="shared" si="3"/>
        <v>3</v>
      </c>
    </row>
    <row r="10541">
      <c r="A10541" s="8" t="str">
        <f>IFERROR(__xludf.DUMMYFUNCTION("IF('(INGESTA)Datos_consumo_datadis'!A10541&lt;&gt;"""",SPLIT('(INGESTA)Datos_consumo_datadis'!A:A,"",""),"""")"),"ES0031408323131005HX0F")</f>
        <v>ES0031408323131005HX0F</v>
      </c>
      <c r="B10541" s="12">
        <f>IFERROR(__xludf.DUMMYFUNCTION("""COMPUTED_VALUE"""),45305.0)</f>
        <v>45305</v>
      </c>
      <c r="C10541" s="13">
        <f>IFERROR(__xludf.DUMMYFUNCTION("""COMPUTED_VALUE"""),0.16666666666666666)</f>
        <v>0.1666666667</v>
      </c>
      <c r="D10541" s="8">
        <f>IFERROR(__xludf.DUMMYFUNCTION("""COMPUTED_VALUE"""),0.032)</f>
        <v>0.032</v>
      </c>
      <c r="E10541" s="8" t="str">
        <f>IFERROR(__xludf.DUMMYFUNCTION("""COMPUTED_VALUE"""),"Real")</f>
        <v>Real</v>
      </c>
      <c r="G10541" s="8">
        <f t="shared" si="1"/>
        <v>1</v>
      </c>
      <c r="H10541" s="14">
        <f t="shared" si="2"/>
        <v>14</v>
      </c>
      <c r="I10541" s="15">
        <f t="shared" si="3"/>
        <v>4</v>
      </c>
    </row>
    <row r="10542">
      <c r="A10542" s="8" t="str">
        <f>IFERROR(__xludf.DUMMYFUNCTION("IF('(INGESTA)Datos_consumo_datadis'!A10542&lt;&gt;"""",SPLIT('(INGESTA)Datos_consumo_datadis'!A:A,"",""),"""")"),"ES0031408323131005HX0F")</f>
        <v>ES0031408323131005HX0F</v>
      </c>
      <c r="B10542" s="12">
        <f>IFERROR(__xludf.DUMMYFUNCTION("""COMPUTED_VALUE"""),45305.0)</f>
        <v>45305</v>
      </c>
      <c r="C10542" s="13">
        <f>IFERROR(__xludf.DUMMYFUNCTION("""COMPUTED_VALUE"""),0.20833333333333334)</f>
        <v>0.2083333333</v>
      </c>
      <c r="D10542" s="8">
        <f>IFERROR(__xludf.DUMMYFUNCTION("""COMPUTED_VALUE"""),0.066)</f>
        <v>0.066</v>
      </c>
      <c r="E10542" s="8" t="str">
        <f>IFERROR(__xludf.DUMMYFUNCTION("""COMPUTED_VALUE"""),"Real")</f>
        <v>Real</v>
      </c>
      <c r="G10542" s="8">
        <f t="shared" si="1"/>
        <v>1</v>
      </c>
      <c r="H10542" s="14">
        <f t="shared" si="2"/>
        <v>14</v>
      </c>
      <c r="I10542" s="15">
        <f t="shared" si="3"/>
        <v>5</v>
      </c>
    </row>
    <row r="10543">
      <c r="A10543" s="8" t="str">
        <f>IFERROR(__xludf.DUMMYFUNCTION("IF('(INGESTA)Datos_consumo_datadis'!A10543&lt;&gt;"""",SPLIT('(INGESTA)Datos_consumo_datadis'!A:A,"",""),"""")"),"ES0031408323131005HX0F")</f>
        <v>ES0031408323131005HX0F</v>
      </c>
      <c r="B10543" s="12">
        <f>IFERROR(__xludf.DUMMYFUNCTION("""COMPUTED_VALUE"""),45305.0)</f>
        <v>45305</v>
      </c>
      <c r="C10543" s="13">
        <f>IFERROR(__xludf.DUMMYFUNCTION("""COMPUTED_VALUE"""),0.25)</f>
        <v>0.25</v>
      </c>
      <c r="D10543" s="8">
        <f>IFERROR(__xludf.DUMMYFUNCTION("""COMPUTED_VALUE"""),0.044)</f>
        <v>0.044</v>
      </c>
      <c r="E10543" s="8" t="str">
        <f>IFERROR(__xludf.DUMMYFUNCTION("""COMPUTED_VALUE"""),"Real")</f>
        <v>Real</v>
      </c>
      <c r="G10543" s="8">
        <f t="shared" si="1"/>
        <v>1</v>
      </c>
      <c r="H10543" s="14">
        <f t="shared" si="2"/>
        <v>14</v>
      </c>
      <c r="I10543" s="15">
        <f t="shared" si="3"/>
        <v>6</v>
      </c>
    </row>
    <row r="10544">
      <c r="A10544" s="8" t="str">
        <f>IFERROR(__xludf.DUMMYFUNCTION("IF('(INGESTA)Datos_consumo_datadis'!A10544&lt;&gt;"""",SPLIT('(INGESTA)Datos_consumo_datadis'!A:A,"",""),"""")"),"ES0031408323131005HX0F")</f>
        <v>ES0031408323131005HX0F</v>
      </c>
      <c r="B10544" s="12">
        <f>IFERROR(__xludf.DUMMYFUNCTION("""COMPUTED_VALUE"""),45305.0)</f>
        <v>45305</v>
      </c>
      <c r="C10544" s="13">
        <f>IFERROR(__xludf.DUMMYFUNCTION("""COMPUTED_VALUE"""),0.2916666666666667)</f>
        <v>0.2916666667</v>
      </c>
      <c r="D10544" s="8">
        <f>IFERROR(__xludf.DUMMYFUNCTION("""COMPUTED_VALUE"""),0.031)</f>
        <v>0.031</v>
      </c>
      <c r="E10544" s="8" t="str">
        <f>IFERROR(__xludf.DUMMYFUNCTION("""COMPUTED_VALUE"""),"Real")</f>
        <v>Real</v>
      </c>
      <c r="G10544" s="8">
        <f t="shared" si="1"/>
        <v>1</v>
      </c>
      <c r="H10544" s="14">
        <f t="shared" si="2"/>
        <v>14</v>
      </c>
      <c r="I10544" s="15">
        <f t="shared" si="3"/>
        <v>7</v>
      </c>
    </row>
    <row r="10545">
      <c r="A10545" s="8" t="str">
        <f>IFERROR(__xludf.DUMMYFUNCTION("IF('(INGESTA)Datos_consumo_datadis'!A10545&lt;&gt;"""",SPLIT('(INGESTA)Datos_consumo_datadis'!A:A,"",""),"""")"),"ES0031408323131005HX0F")</f>
        <v>ES0031408323131005HX0F</v>
      </c>
      <c r="B10545" s="12">
        <f>IFERROR(__xludf.DUMMYFUNCTION("""COMPUTED_VALUE"""),45305.0)</f>
        <v>45305</v>
      </c>
      <c r="C10545" s="13">
        <f>IFERROR(__xludf.DUMMYFUNCTION("""COMPUTED_VALUE"""),0.3333333333333333)</f>
        <v>0.3333333333</v>
      </c>
      <c r="D10545" s="8">
        <f>IFERROR(__xludf.DUMMYFUNCTION("""COMPUTED_VALUE"""),0.297)</f>
        <v>0.297</v>
      </c>
      <c r="E10545" s="8" t="str">
        <f>IFERROR(__xludf.DUMMYFUNCTION("""COMPUTED_VALUE"""),"Real")</f>
        <v>Real</v>
      </c>
      <c r="G10545" s="8">
        <f t="shared" si="1"/>
        <v>1</v>
      </c>
      <c r="H10545" s="14">
        <f t="shared" si="2"/>
        <v>14</v>
      </c>
      <c r="I10545" s="15">
        <f t="shared" si="3"/>
        <v>8</v>
      </c>
    </row>
    <row r="10546">
      <c r="A10546" s="8" t="str">
        <f>IFERROR(__xludf.DUMMYFUNCTION("IF('(INGESTA)Datos_consumo_datadis'!A10546&lt;&gt;"""",SPLIT('(INGESTA)Datos_consumo_datadis'!A:A,"",""),"""")"),"ES0031408323131005HX0F")</f>
        <v>ES0031408323131005HX0F</v>
      </c>
      <c r="B10546" s="12">
        <f>IFERROR(__xludf.DUMMYFUNCTION("""COMPUTED_VALUE"""),45305.0)</f>
        <v>45305</v>
      </c>
      <c r="C10546" s="13">
        <f>IFERROR(__xludf.DUMMYFUNCTION("""COMPUTED_VALUE"""),0.375)</f>
        <v>0.375</v>
      </c>
      <c r="D10546" s="8">
        <f>IFERROR(__xludf.DUMMYFUNCTION("""COMPUTED_VALUE"""),0.105)</f>
        <v>0.105</v>
      </c>
      <c r="E10546" s="8" t="str">
        <f>IFERROR(__xludf.DUMMYFUNCTION("""COMPUTED_VALUE"""),"Real")</f>
        <v>Real</v>
      </c>
      <c r="G10546" s="8">
        <f t="shared" si="1"/>
        <v>1</v>
      </c>
      <c r="H10546" s="14">
        <f t="shared" si="2"/>
        <v>14</v>
      </c>
      <c r="I10546" s="15">
        <f t="shared" si="3"/>
        <v>9</v>
      </c>
    </row>
    <row r="10547">
      <c r="A10547" s="8" t="str">
        <f>IFERROR(__xludf.DUMMYFUNCTION("IF('(INGESTA)Datos_consumo_datadis'!A10547&lt;&gt;"""",SPLIT('(INGESTA)Datos_consumo_datadis'!A:A,"",""),"""")"),"ES0031408323131005HX0F")</f>
        <v>ES0031408323131005HX0F</v>
      </c>
      <c r="B10547" s="12">
        <f>IFERROR(__xludf.DUMMYFUNCTION("""COMPUTED_VALUE"""),45305.0)</f>
        <v>45305</v>
      </c>
      <c r="C10547" s="13">
        <f>IFERROR(__xludf.DUMMYFUNCTION("""COMPUTED_VALUE"""),0.4166666666666667)</f>
        <v>0.4166666667</v>
      </c>
      <c r="D10547" s="8">
        <f>IFERROR(__xludf.DUMMYFUNCTION("""COMPUTED_VALUE"""),0.047)</f>
        <v>0.047</v>
      </c>
      <c r="E10547" s="8" t="str">
        <f>IFERROR(__xludf.DUMMYFUNCTION("""COMPUTED_VALUE"""),"Real")</f>
        <v>Real</v>
      </c>
      <c r="G10547" s="8">
        <f t="shared" si="1"/>
        <v>1</v>
      </c>
      <c r="H10547" s="14">
        <f t="shared" si="2"/>
        <v>14</v>
      </c>
      <c r="I10547" s="15">
        <f t="shared" si="3"/>
        <v>10</v>
      </c>
    </row>
    <row r="10548">
      <c r="A10548" s="8" t="str">
        <f>IFERROR(__xludf.DUMMYFUNCTION("IF('(INGESTA)Datos_consumo_datadis'!A10548&lt;&gt;"""",SPLIT('(INGESTA)Datos_consumo_datadis'!A:A,"",""),"""")"),"ES0031408323131005HX0F")</f>
        <v>ES0031408323131005HX0F</v>
      </c>
      <c r="B10548" s="12">
        <f>IFERROR(__xludf.DUMMYFUNCTION("""COMPUTED_VALUE"""),45305.0)</f>
        <v>45305</v>
      </c>
      <c r="C10548" s="13">
        <f>IFERROR(__xludf.DUMMYFUNCTION("""COMPUTED_VALUE"""),0.4583333333333333)</f>
        <v>0.4583333333</v>
      </c>
      <c r="D10548" s="8">
        <f>IFERROR(__xludf.DUMMYFUNCTION("""COMPUTED_VALUE"""),0.038)</f>
        <v>0.038</v>
      </c>
      <c r="E10548" s="8" t="str">
        <f>IFERROR(__xludf.DUMMYFUNCTION("""COMPUTED_VALUE"""),"Real")</f>
        <v>Real</v>
      </c>
      <c r="G10548" s="8">
        <f t="shared" si="1"/>
        <v>1</v>
      </c>
      <c r="H10548" s="14">
        <f t="shared" si="2"/>
        <v>14</v>
      </c>
      <c r="I10548" s="15">
        <f t="shared" si="3"/>
        <v>11</v>
      </c>
    </row>
    <row r="10549">
      <c r="A10549" s="8" t="str">
        <f>IFERROR(__xludf.DUMMYFUNCTION("IF('(INGESTA)Datos_consumo_datadis'!A10549&lt;&gt;"""",SPLIT('(INGESTA)Datos_consumo_datadis'!A:A,"",""),"""")"),"ES0031408323131005HX0F")</f>
        <v>ES0031408323131005HX0F</v>
      </c>
      <c r="B10549" s="12">
        <f>IFERROR(__xludf.DUMMYFUNCTION("""COMPUTED_VALUE"""),45305.0)</f>
        <v>45305</v>
      </c>
      <c r="C10549" s="13">
        <f>IFERROR(__xludf.DUMMYFUNCTION("""COMPUTED_VALUE"""),0.5)</f>
        <v>0.5</v>
      </c>
      <c r="D10549" s="8">
        <f>IFERROR(__xludf.DUMMYFUNCTION("""COMPUTED_VALUE"""),0.015)</f>
        <v>0.015</v>
      </c>
      <c r="E10549" s="8" t="str">
        <f>IFERROR(__xludf.DUMMYFUNCTION("""COMPUTED_VALUE"""),"Real")</f>
        <v>Real</v>
      </c>
      <c r="G10549" s="8">
        <f t="shared" si="1"/>
        <v>1</v>
      </c>
      <c r="H10549" s="14">
        <f t="shared" si="2"/>
        <v>14</v>
      </c>
      <c r="I10549" s="15">
        <f t="shared" si="3"/>
        <v>12</v>
      </c>
    </row>
    <row r="10550">
      <c r="A10550" s="8" t="str">
        <f>IFERROR(__xludf.DUMMYFUNCTION("IF('(INGESTA)Datos_consumo_datadis'!A10550&lt;&gt;"""",SPLIT('(INGESTA)Datos_consumo_datadis'!A:A,"",""),"""")"),"ES0031408323131005HX0F")</f>
        <v>ES0031408323131005HX0F</v>
      </c>
      <c r="B10550" s="12">
        <f>IFERROR(__xludf.DUMMYFUNCTION("""COMPUTED_VALUE"""),45305.0)</f>
        <v>45305</v>
      </c>
      <c r="C10550" s="13">
        <f>IFERROR(__xludf.DUMMYFUNCTION("""COMPUTED_VALUE"""),0.5416666666666666)</f>
        <v>0.5416666667</v>
      </c>
      <c r="D10550" s="8">
        <f>IFERROR(__xludf.DUMMYFUNCTION("""COMPUTED_VALUE"""),0.014)</f>
        <v>0.014</v>
      </c>
      <c r="E10550" s="8" t="str">
        <f>IFERROR(__xludf.DUMMYFUNCTION("""COMPUTED_VALUE"""),"Real")</f>
        <v>Real</v>
      </c>
      <c r="G10550" s="8">
        <f t="shared" si="1"/>
        <v>1</v>
      </c>
      <c r="H10550" s="14">
        <f t="shared" si="2"/>
        <v>14</v>
      </c>
      <c r="I10550" s="15">
        <f t="shared" si="3"/>
        <v>13</v>
      </c>
    </row>
    <row r="10551">
      <c r="A10551" s="8" t="str">
        <f>IFERROR(__xludf.DUMMYFUNCTION("IF('(INGESTA)Datos_consumo_datadis'!A10551&lt;&gt;"""",SPLIT('(INGESTA)Datos_consumo_datadis'!A:A,"",""),"""")"),"ES0031408323131005HX0F")</f>
        <v>ES0031408323131005HX0F</v>
      </c>
      <c r="B10551" s="12">
        <f>IFERROR(__xludf.DUMMYFUNCTION("""COMPUTED_VALUE"""),45305.0)</f>
        <v>45305</v>
      </c>
      <c r="C10551" s="13">
        <f>IFERROR(__xludf.DUMMYFUNCTION("""COMPUTED_VALUE"""),0.5833333333333334)</f>
        <v>0.5833333333</v>
      </c>
      <c r="D10551" s="8">
        <f>IFERROR(__xludf.DUMMYFUNCTION("""COMPUTED_VALUE"""),0.371)</f>
        <v>0.371</v>
      </c>
      <c r="E10551" s="8" t="str">
        <f>IFERROR(__xludf.DUMMYFUNCTION("""COMPUTED_VALUE"""),"Real")</f>
        <v>Real</v>
      </c>
      <c r="G10551" s="8">
        <f t="shared" si="1"/>
        <v>1</v>
      </c>
      <c r="H10551" s="14">
        <f t="shared" si="2"/>
        <v>14</v>
      </c>
      <c r="I10551" s="15">
        <f t="shared" si="3"/>
        <v>14</v>
      </c>
    </row>
    <row r="10552">
      <c r="A10552" s="8" t="str">
        <f>IFERROR(__xludf.DUMMYFUNCTION("IF('(INGESTA)Datos_consumo_datadis'!A10552&lt;&gt;"""",SPLIT('(INGESTA)Datos_consumo_datadis'!A:A,"",""),"""")"),"ES0031408323131005HX0F")</f>
        <v>ES0031408323131005HX0F</v>
      </c>
      <c r="B10552" s="12">
        <f>IFERROR(__xludf.DUMMYFUNCTION("""COMPUTED_VALUE"""),45305.0)</f>
        <v>45305</v>
      </c>
      <c r="C10552" s="13">
        <f>IFERROR(__xludf.DUMMYFUNCTION("""COMPUTED_VALUE"""),0.625)</f>
        <v>0.625</v>
      </c>
      <c r="D10552" s="8">
        <f>IFERROR(__xludf.DUMMYFUNCTION("""COMPUTED_VALUE"""),0.037)</f>
        <v>0.037</v>
      </c>
      <c r="E10552" s="8" t="str">
        <f>IFERROR(__xludf.DUMMYFUNCTION("""COMPUTED_VALUE"""),"Real")</f>
        <v>Real</v>
      </c>
      <c r="G10552" s="8">
        <f t="shared" si="1"/>
        <v>1</v>
      </c>
      <c r="H10552" s="14">
        <f t="shared" si="2"/>
        <v>14</v>
      </c>
      <c r="I10552" s="15">
        <f t="shared" si="3"/>
        <v>15</v>
      </c>
    </row>
    <row r="10553">
      <c r="A10553" s="8" t="str">
        <f>IFERROR(__xludf.DUMMYFUNCTION("IF('(INGESTA)Datos_consumo_datadis'!A10553&lt;&gt;"""",SPLIT('(INGESTA)Datos_consumo_datadis'!A:A,"",""),"""")"),"ES0031408323131005HX0F")</f>
        <v>ES0031408323131005HX0F</v>
      </c>
      <c r="B10553" s="12">
        <f>IFERROR(__xludf.DUMMYFUNCTION("""COMPUTED_VALUE"""),45305.0)</f>
        <v>45305</v>
      </c>
      <c r="C10553" s="13">
        <f>IFERROR(__xludf.DUMMYFUNCTION("""COMPUTED_VALUE"""),0.6666666666666666)</f>
        <v>0.6666666667</v>
      </c>
      <c r="D10553" s="8">
        <f>IFERROR(__xludf.DUMMYFUNCTION("""COMPUTED_VALUE"""),0.038)</f>
        <v>0.038</v>
      </c>
      <c r="E10553" s="8" t="str">
        <f>IFERROR(__xludf.DUMMYFUNCTION("""COMPUTED_VALUE"""),"Real")</f>
        <v>Real</v>
      </c>
      <c r="G10553" s="8">
        <f t="shared" si="1"/>
        <v>1</v>
      </c>
      <c r="H10553" s="14">
        <f t="shared" si="2"/>
        <v>14</v>
      </c>
      <c r="I10553" s="15">
        <f t="shared" si="3"/>
        <v>16</v>
      </c>
    </row>
    <row r="10554">
      <c r="A10554" s="8" t="str">
        <f>IFERROR(__xludf.DUMMYFUNCTION("IF('(INGESTA)Datos_consumo_datadis'!A10554&lt;&gt;"""",SPLIT('(INGESTA)Datos_consumo_datadis'!A:A,"",""),"""")"),"ES0031408323131005HX0F")</f>
        <v>ES0031408323131005HX0F</v>
      </c>
      <c r="B10554" s="12">
        <f>IFERROR(__xludf.DUMMYFUNCTION("""COMPUTED_VALUE"""),45305.0)</f>
        <v>45305</v>
      </c>
      <c r="C10554" s="13">
        <f>IFERROR(__xludf.DUMMYFUNCTION("""COMPUTED_VALUE"""),0.7083333333333334)</f>
        <v>0.7083333333</v>
      </c>
      <c r="D10554" s="8">
        <f>IFERROR(__xludf.DUMMYFUNCTION("""COMPUTED_VALUE"""),0.015)</f>
        <v>0.015</v>
      </c>
      <c r="E10554" s="8" t="str">
        <f>IFERROR(__xludf.DUMMYFUNCTION("""COMPUTED_VALUE"""),"Real")</f>
        <v>Real</v>
      </c>
      <c r="G10554" s="8">
        <f t="shared" si="1"/>
        <v>1</v>
      </c>
      <c r="H10554" s="14">
        <f t="shared" si="2"/>
        <v>14</v>
      </c>
      <c r="I10554" s="15">
        <f t="shared" si="3"/>
        <v>17</v>
      </c>
    </row>
    <row r="10555">
      <c r="A10555" s="8" t="str">
        <f>IFERROR(__xludf.DUMMYFUNCTION("IF('(INGESTA)Datos_consumo_datadis'!A10555&lt;&gt;"""",SPLIT('(INGESTA)Datos_consumo_datadis'!A:A,"",""),"""")"),"ES0031408323131005HX0F")</f>
        <v>ES0031408323131005HX0F</v>
      </c>
      <c r="B10555" s="12">
        <f>IFERROR(__xludf.DUMMYFUNCTION("""COMPUTED_VALUE"""),45305.0)</f>
        <v>45305</v>
      </c>
      <c r="C10555" s="13">
        <f>IFERROR(__xludf.DUMMYFUNCTION("""COMPUTED_VALUE"""),0.75)</f>
        <v>0.75</v>
      </c>
      <c r="D10555" s="8">
        <f>IFERROR(__xludf.DUMMYFUNCTION("""COMPUTED_VALUE"""),0.05)</f>
        <v>0.05</v>
      </c>
      <c r="E10555" s="8" t="str">
        <f>IFERROR(__xludf.DUMMYFUNCTION("""COMPUTED_VALUE"""),"Real")</f>
        <v>Real</v>
      </c>
      <c r="G10555" s="8">
        <f t="shared" si="1"/>
        <v>1</v>
      </c>
      <c r="H10555" s="14">
        <f t="shared" si="2"/>
        <v>14</v>
      </c>
      <c r="I10555" s="15">
        <f t="shared" si="3"/>
        <v>18</v>
      </c>
    </row>
    <row r="10556">
      <c r="A10556" s="8" t="str">
        <f>IFERROR(__xludf.DUMMYFUNCTION("IF('(INGESTA)Datos_consumo_datadis'!A10556&lt;&gt;"""",SPLIT('(INGESTA)Datos_consumo_datadis'!A:A,"",""),"""")"),"ES0031408323131005HX0F")</f>
        <v>ES0031408323131005HX0F</v>
      </c>
      <c r="B10556" s="12">
        <f>IFERROR(__xludf.DUMMYFUNCTION("""COMPUTED_VALUE"""),45305.0)</f>
        <v>45305</v>
      </c>
      <c r="C10556" s="13">
        <f>IFERROR(__xludf.DUMMYFUNCTION("""COMPUTED_VALUE"""),0.7916666666666666)</f>
        <v>0.7916666667</v>
      </c>
      <c r="D10556" s="8">
        <f>IFERROR(__xludf.DUMMYFUNCTION("""COMPUTED_VALUE"""),0.229)</f>
        <v>0.229</v>
      </c>
      <c r="E10556" s="8" t="str">
        <f>IFERROR(__xludf.DUMMYFUNCTION("""COMPUTED_VALUE"""),"Real")</f>
        <v>Real</v>
      </c>
      <c r="G10556" s="8">
        <f t="shared" si="1"/>
        <v>1</v>
      </c>
      <c r="H10556" s="14">
        <f t="shared" si="2"/>
        <v>14</v>
      </c>
      <c r="I10556" s="15">
        <f t="shared" si="3"/>
        <v>19</v>
      </c>
    </row>
    <row r="10557">
      <c r="A10557" s="8" t="str">
        <f>IFERROR(__xludf.DUMMYFUNCTION("IF('(INGESTA)Datos_consumo_datadis'!A10557&lt;&gt;"""",SPLIT('(INGESTA)Datos_consumo_datadis'!A:A,"",""),"""")"),"ES0031408323131005HX0F")</f>
        <v>ES0031408323131005HX0F</v>
      </c>
      <c r="B10557" s="12">
        <f>IFERROR(__xludf.DUMMYFUNCTION("""COMPUTED_VALUE"""),45305.0)</f>
        <v>45305</v>
      </c>
      <c r="C10557" s="13">
        <f>IFERROR(__xludf.DUMMYFUNCTION("""COMPUTED_VALUE"""),0.8333333333333334)</f>
        <v>0.8333333333</v>
      </c>
      <c r="D10557" s="8">
        <f>IFERROR(__xludf.DUMMYFUNCTION("""COMPUTED_VALUE"""),0.152)</f>
        <v>0.152</v>
      </c>
      <c r="E10557" s="8" t="str">
        <f>IFERROR(__xludf.DUMMYFUNCTION("""COMPUTED_VALUE"""),"Real")</f>
        <v>Real</v>
      </c>
      <c r="G10557" s="8">
        <f t="shared" si="1"/>
        <v>1</v>
      </c>
      <c r="H10557" s="14">
        <f t="shared" si="2"/>
        <v>14</v>
      </c>
      <c r="I10557" s="15">
        <f t="shared" si="3"/>
        <v>20</v>
      </c>
    </row>
    <row r="10558">
      <c r="A10558" s="8" t="str">
        <f>IFERROR(__xludf.DUMMYFUNCTION("IF('(INGESTA)Datos_consumo_datadis'!A10558&lt;&gt;"""",SPLIT('(INGESTA)Datos_consumo_datadis'!A:A,"",""),"""")"),"ES0031408323131005HX0F")</f>
        <v>ES0031408323131005HX0F</v>
      </c>
      <c r="B10558" s="12">
        <f>IFERROR(__xludf.DUMMYFUNCTION("""COMPUTED_VALUE"""),45305.0)</f>
        <v>45305</v>
      </c>
      <c r="C10558" s="13">
        <f>IFERROR(__xludf.DUMMYFUNCTION("""COMPUTED_VALUE"""),0.875)</f>
        <v>0.875</v>
      </c>
      <c r="D10558" s="8">
        <f>IFERROR(__xludf.DUMMYFUNCTION("""COMPUTED_VALUE"""),0.014)</f>
        <v>0.014</v>
      </c>
      <c r="E10558" s="8" t="str">
        <f>IFERROR(__xludf.DUMMYFUNCTION("""COMPUTED_VALUE"""),"Real")</f>
        <v>Real</v>
      </c>
      <c r="G10558" s="8">
        <f t="shared" si="1"/>
        <v>1</v>
      </c>
      <c r="H10558" s="14">
        <f t="shared" si="2"/>
        <v>14</v>
      </c>
      <c r="I10558" s="15">
        <f t="shared" si="3"/>
        <v>21</v>
      </c>
    </row>
    <row r="10559">
      <c r="A10559" s="8" t="str">
        <f>IFERROR(__xludf.DUMMYFUNCTION("IF('(INGESTA)Datos_consumo_datadis'!A10559&lt;&gt;"""",SPLIT('(INGESTA)Datos_consumo_datadis'!A:A,"",""),"""")"),"ES0031408323131005HX0F")</f>
        <v>ES0031408323131005HX0F</v>
      </c>
      <c r="B10559" s="12">
        <f>IFERROR(__xludf.DUMMYFUNCTION("""COMPUTED_VALUE"""),45305.0)</f>
        <v>45305</v>
      </c>
      <c r="C10559" s="13">
        <f>IFERROR(__xludf.DUMMYFUNCTION("""COMPUTED_VALUE"""),0.9166666666666666)</f>
        <v>0.9166666667</v>
      </c>
      <c r="D10559" s="8">
        <f>IFERROR(__xludf.DUMMYFUNCTION("""COMPUTED_VALUE"""),0.015)</f>
        <v>0.015</v>
      </c>
      <c r="E10559" s="8" t="str">
        <f>IFERROR(__xludf.DUMMYFUNCTION("""COMPUTED_VALUE"""),"Real")</f>
        <v>Real</v>
      </c>
      <c r="G10559" s="8">
        <f t="shared" si="1"/>
        <v>1</v>
      </c>
      <c r="H10559" s="14">
        <f t="shared" si="2"/>
        <v>14</v>
      </c>
      <c r="I10559" s="15">
        <f t="shared" si="3"/>
        <v>22</v>
      </c>
    </row>
    <row r="10560">
      <c r="A10560" s="8" t="str">
        <f>IFERROR(__xludf.DUMMYFUNCTION("IF('(INGESTA)Datos_consumo_datadis'!A10560&lt;&gt;"""",SPLIT('(INGESTA)Datos_consumo_datadis'!A:A,"",""),"""")"),"ES0031408323131005HX0F")</f>
        <v>ES0031408323131005HX0F</v>
      </c>
      <c r="B10560" s="12">
        <f>IFERROR(__xludf.DUMMYFUNCTION("""COMPUTED_VALUE"""),45305.0)</f>
        <v>45305</v>
      </c>
      <c r="C10560" s="13">
        <f>IFERROR(__xludf.DUMMYFUNCTION("""COMPUTED_VALUE"""),0.9583333333333334)</f>
        <v>0.9583333333</v>
      </c>
      <c r="D10560" s="8">
        <f>IFERROR(__xludf.DUMMYFUNCTION("""COMPUTED_VALUE"""),0.078)</f>
        <v>0.078</v>
      </c>
      <c r="E10560" s="8" t="str">
        <f>IFERROR(__xludf.DUMMYFUNCTION("""COMPUTED_VALUE"""),"Real")</f>
        <v>Real</v>
      </c>
      <c r="G10560" s="8">
        <f t="shared" si="1"/>
        <v>1</v>
      </c>
      <c r="H10560" s="14">
        <f t="shared" si="2"/>
        <v>14</v>
      </c>
      <c r="I10560" s="15">
        <f t="shared" si="3"/>
        <v>23</v>
      </c>
    </row>
    <row r="10561">
      <c r="A10561" s="8" t="str">
        <f>IFERROR(__xludf.DUMMYFUNCTION("IF('(INGESTA)Datos_consumo_datadis'!A10561&lt;&gt;"""",SPLIT('(INGESTA)Datos_consumo_datadis'!A:A,"",""),"""")"),"ES0031408323131005HX0F")</f>
        <v>ES0031408323131005HX0F</v>
      </c>
      <c r="B10561" s="12">
        <f>IFERROR(__xludf.DUMMYFUNCTION("""COMPUTED_VALUE"""),45305.0)</f>
        <v>45305</v>
      </c>
      <c r="C10561" s="16">
        <f>IFERROR(__xludf.DUMMYFUNCTION("""COMPUTED_VALUE"""),1.0)</f>
        <v>1</v>
      </c>
      <c r="D10561" s="8">
        <f>IFERROR(__xludf.DUMMYFUNCTION("""COMPUTED_VALUE"""),0.037)</f>
        <v>0.037</v>
      </c>
      <c r="E10561" s="8" t="str">
        <f>IFERROR(__xludf.DUMMYFUNCTION("""COMPUTED_VALUE"""),"Real")</f>
        <v>Real</v>
      </c>
      <c r="G10561" s="8">
        <f t="shared" si="1"/>
        <v>1</v>
      </c>
      <c r="H10561" s="14">
        <f t="shared" si="2"/>
        <v>14</v>
      </c>
      <c r="I10561" s="15">
        <f t="shared" si="3"/>
        <v>0</v>
      </c>
    </row>
    <row r="10562">
      <c r="A10562" s="8" t="str">
        <f>IFERROR(__xludf.DUMMYFUNCTION("IF('(INGESTA)Datos_consumo_datadis'!A10562&lt;&gt;"""",SPLIT('(INGESTA)Datos_consumo_datadis'!A:A,"",""),"""")"),"ES0031408323131005HX0F")</f>
        <v>ES0031408323131005HX0F</v>
      </c>
      <c r="B10562" s="12">
        <f>IFERROR(__xludf.DUMMYFUNCTION("""COMPUTED_VALUE"""),45306.0)</f>
        <v>45306</v>
      </c>
      <c r="C10562" s="13">
        <f>IFERROR(__xludf.DUMMYFUNCTION("""COMPUTED_VALUE"""),0.041666666666666664)</f>
        <v>0.04166666667</v>
      </c>
      <c r="D10562" s="8">
        <f>IFERROR(__xludf.DUMMYFUNCTION("""COMPUTED_VALUE"""),0.334)</f>
        <v>0.334</v>
      </c>
      <c r="E10562" s="8" t="str">
        <f>IFERROR(__xludf.DUMMYFUNCTION("""COMPUTED_VALUE"""),"Real")</f>
        <v>Real</v>
      </c>
      <c r="G10562" s="8">
        <f t="shared" si="1"/>
        <v>1</v>
      </c>
      <c r="H10562" s="14">
        <f t="shared" si="2"/>
        <v>15</v>
      </c>
      <c r="I10562" s="15">
        <f t="shared" si="3"/>
        <v>1</v>
      </c>
    </row>
    <row r="10563">
      <c r="A10563" s="8" t="str">
        <f>IFERROR(__xludf.DUMMYFUNCTION("IF('(INGESTA)Datos_consumo_datadis'!A10563&lt;&gt;"""",SPLIT('(INGESTA)Datos_consumo_datadis'!A:A,"",""),"""")"),"ES0031408323131005HX0F")</f>
        <v>ES0031408323131005HX0F</v>
      </c>
      <c r="B10563" s="12">
        <f>IFERROR(__xludf.DUMMYFUNCTION("""COMPUTED_VALUE"""),45306.0)</f>
        <v>45306</v>
      </c>
      <c r="C10563" s="13">
        <f>IFERROR(__xludf.DUMMYFUNCTION("""COMPUTED_VALUE"""),0.08333333333333333)</f>
        <v>0.08333333333</v>
      </c>
      <c r="D10563" s="8">
        <f>IFERROR(__xludf.DUMMYFUNCTION("""COMPUTED_VALUE"""),0.016)</f>
        <v>0.016</v>
      </c>
      <c r="E10563" s="8" t="str">
        <f>IFERROR(__xludf.DUMMYFUNCTION("""COMPUTED_VALUE"""),"Real")</f>
        <v>Real</v>
      </c>
      <c r="G10563" s="8">
        <f t="shared" si="1"/>
        <v>1</v>
      </c>
      <c r="H10563" s="14">
        <f t="shared" si="2"/>
        <v>15</v>
      </c>
      <c r="I10563" s="15">
        <f t="shared" si="3"/>
        <v>2</v>
      </c>
    </row>
    <row r="10564">
      <c r="A10564" s="8" t="str">
        <f>IFERROR(__xludf.DUMMYFUNCTION("IF('(INGESTA)Datos_consumo_datadis'!A10564&lt;&gt;"""",SPLIT('(INGESTA)Datos_consumo_datadis'!A:A,"",""),"""")"),"ES0031408323131005HX0F")</f>
        <v>ES0031408323131005HX0F</v>
      </c>
      <c r="B10564" s="12">
        <f>IFERROR(__xludf.DUMMYFUNCTION("""COMPUTED_VALUE"""),45306.0)</f>
        <v>45306</v>
      </c>
      <c r="C10564" s="13">
        <f>IFERROR(__xludf.DUMMYFUNCTION("""COMPUTED_VALUE"""),0.125)</f>
        <v>0.125</v>
      </c>
      <c r="D10564" s="8">
        <f>IFERROR(__xludf.DUMMYFUNCTION("""COMPUTED_VALUE"""),0.066)</f>
        <v>0.066</v>
      </c>
      <c r="E10564" s="8" t="str">
        <f>IFERROR(__xludf.DUMMYFUNCTION("""COMPUTED_VALUE"""),"Real")</f>
        <v>Real</v>
      </c>
      <c r="G10564" s="8">
        <f t="shared" si="1"/>
        <v>1</v>
      </c>
      <c r="H10564" s="14">
        <f t="shared" si="2"/>
        <v>15</v>
      </c>
      <c r="I10564" s="15">
        <f t="shared" si="3"/>
        <v>3</v>
      </c>
    </row>
    <row r="10565">
      <c r="A10565" s="8" t="str">
        <f>IFERROR(__xludf.DUMMYFUNCTION("IF('(INGESTA)Datos_consumo_datadis'!A10565&lt;&gt;"""",SPLIT('(INGESTA)Datos_consumo_datadis'!A:A,"",""),"""")"),"ES0031408323131005HX0F")</f>
        <v>ES0031408323131005HX0F</v>
      </c>
      <c r="B10565" s="12">
        <f>IFERROR(__xludf.DUMMYFUNCTION("""COMPUTED_VALUE"""),45306.0)</f>
        <v>45306</v>
      </c>
      <c r="C10565" s="13">
        <f>IFERROR(__xludf.DUMMYFUNCTION("""COMPUTED_VALUE"""),0.16666666666666666)</f>
        <v>0.1666666667</v>
      </c>
      <c r="D10565" s="8">
        <f>IFERROR(__xludf.DUMMYFUNCTION("""COMPUTED_VALUE"""),0.072)</f>
        <v>0.072</v>
      </c>
      <c r="E10565" s="8" t="str">
        <f>IFERROR(__xludf.DUMMYFUNCTION("""COMPUTED_VALUE"""),"Real")</f>
        <v>Real</v>
      </c>
      <c r="G10565" s="8">
        <f t="shared" si="1"/>
        <v>1</v>
      </c>
      <c r="H10565" s="14">
        <f t="shared" si="2"/>
        <v>15</v>
      </c>
      <c r="I10565" s="15">
        <f t="shared" si="3"/>
        <v>4</v>
      </c>
    </row>
    <row r="10566">
      <c r="A10566" s="8" t="str">
        <f>IFERROR(__xludf.DUMMYFUNCTION("IF('(INGESTA)Datos_consumo_datadis'!A10566&lt;&gt;"""",SPLIT('(INGESTA)Datos_consumo_datadis'!A:A,"",""),"""")"),"ES0031408323131005HX0F")</f>
        <v>ES0031408323131005HX0F</v>
      </c>
      <c r="B10566" s="12">
        <f>IFERROR(__xludf.DUMMYFUNCTION("""COMPUTED_VALUE"""),45306.0)</f>
        <v>45306</v>
      </c>
      <c r="C10566" s="13">
        <f>IFERROR(__xludf.DUMMYFUNCTION("""COMPUTED_VALUE"""),0.20833333333333334)</f>
        <v>0.2083333333</v>
      </c>
      <c r="D10566" s="8">
        <f>IFERROR(__xludf.DUMMYFUNCTION("""COMPUTED_VALUE"""),0.048)</f>
        <v>0.048</v>
      </c>
      <c r="E10566" s="8" t="str">
        <f>IFERROR(__xludf.DUMMYFUNCTION("""COMPUTED_VALUE"""),"Real")</f>
        <v>Real</v>
      </c>
      <c r="G10566" s="8">
        <f t="shared" si="1"/>
        <v>1</v>
      </c>
      <c r="H10566" s="14">
        <f t="shared" si="2"/>
        <v>15</v>
      </c>
      <c r="I10566" s="15">
        <f t="shared" si="3"/>
        <v>5</v>
      </c>
    </row>
    <row r="10567">
      <c r="A10567" s="8" t="str">
        <f>IFERROR(__xludf.DUMMYFUNCTION("IF('(INGESTA)Datos_consumo_datadis'!A10567&lt;&gt;"""",SPLIT('(INGESTA)Datos_consumo_datadis'!A:A,"",""),"""")"),"ES0031408323131005HX0F")</f>
        <v>ES0031408323131005HX0F</v>
      </c>
      <c r="B10567" s="12">
        <f>IFERROR(__xludf.DUMMYFUNCTION("""COMPUTED_VALUE"""),45306.0)</f>
        <v>45306</v>
      </c>
      <c r="C10567" s="13">
        <f>IFERROR(__xludf.DUMMYFUNCTION("""COMPUTED_VALUE"""),0.25)</f>
        <v>0.25</v>
      </c>
      <c r="D10567" s="8">
        <f>IFERROR(__xludf.DUMMYFUNCTION("""COMPUTED_VALUE"""),0.294)</f>
        <v>0.294</v>
      </c>
      <c r="E10567" s="8" t="str">
        <f>IFERROR(__xludf.DUMMYFUNCTION("""COMPUTED_VALUE"""),"Real")</f>
        <v>Real</v>
      </c>
      <c r="G10567" s="8">
        <f t="shared" si="1"/>
        <v>1</v>
      </c>
      <c r="H10567" s="14">
        <f t="shared" si="2"/>
        <v>15</v>
      </c>
      <c r="I10567" s="15">
        <f t="shared" si="3"/>
        <v>6</v>
      </c>
    </row>
    <row r="10568">
      <c r="A10568" s="8" t="str">
        <f>IFERROR(__xludf.DUMMYFUNCTION("IF('(INGESTA)Datos_consumo_datadis'!A10568&lt;&gt;"""",SPLIT('(INGESTA)Datos_consumo_datadis'!A:A,"",""),"""")"),"ES0031408323131005HX0F")</f>
        <v>ES0031408323131005HX0F</v>
      </c>
      <c r="B10568" s="12">
        <f>IFERROR(__xludf.DUMMYFUNCTION("""COMPUTED_VALUE"""),45306.0)</f>
        <v>45306</v>
      </c>
      <c r="C10568" s="13">
        <f>IFERROR(__xludf.DUMMYFUNCTION("""COMPUTED_VALUE"""),0.2916666666666667)</f>
        <v>0.2916666667</v>
      </c>
      <c r="D10568" s="8">
        <f>IFERROR(__xludf.DUMMYFUNCTION("""COMPUTED_VALUE"""),0.015)</f>
        <v>0.015</v>
      </c>
      <c r="E10568" s="8" t="str">
        <f>IFERROR(__xludf.DUMMYFUNCTION("""COMPUTED_VALUE"""),"Real")</f>
        <v>Real</v>
      </c>
      <c r="G10568" s="8">
        <f t="shared" si="1"/>
        <v>1</v>
      </c>
      <c r="H10568" s="14">
        <f t="shared" si="2"/>
        <v>15</v>
      </c>
      <c r="I10568" s="15">
        <f t="shared" si="3"/>
        <v>7</v>
      </c>
    </row>
    <row r="10569">
      <c r="A10569" s="8" t="str">
        <f>IFERROR(__xludf.DUMMYFUNCTION("IF('(INGESTA)Datos_consumo_datadis'!A10569&lt;&gt;"""",SPLIT('(INGESTA)Datos_consumo_datadis'!A:A,"",""),"""")"),"ES0031408323131005HX0F")</f>
        <v>ES0031408323131005HX0F</v>
      </c>
      <c r="B10569" s="12">
        <f>IFERROR(__xludf.DUMMYFUNCTION("""COMPUTED_VALUE"""),45306.0)</f>
        <v>45306</v>
      </c>
      <c r="C10569" s="13">
        <f>IFERROR(__xludf.DUMMYFUNCTION("""COMPUTED_VALUE"""),0.3333333333333333)</f>
        <v>0.3333333333</v>
      </c>
      <c r="D10569" s="8">
        <f>IFERROR(__xludf.DUMMYFUNCTION("""COMPUTED_VALUE"""),0.08)</f>
        <v>0.08</v>
      </c>
      <c r="E10569" s="8" t="str">
        <f>IFERROR(__xludf.DUMMYFUNCTION("""COMPUTED_VALUE"""),"Real")</f>
        <v>Real</v>
      </c>
      <c r="G10569" s="8">
        <f t="shared" si="1"/>
        <v>1</v>
      </c>
      <c r="H10569" s="14">
        <f t="shared" si="2"/>
        <v>15</v>
      </c>
      <c r="I10569" s="15">
        <f t="shared" si="3"/>
        <v>8</v>
      </c>
    </row>
    <row r="10570">
      <c r="A10570" s="8" t="str">
        <f>IFERROR(__xludf.DUMMYFUNCTION("IF('(INGESTA)Datos_consumo_datadis'!A10570&lt;&gt;"""",SPLIT('(INGESTA)Datos_consumo_datadis'!A:A,"",""),"""")"),"ES0031408323131005HX0F")</f>
        <v>ES0031408323131005HX0F</v>
      </c>
      <c r="B10570" s="12">
        <f>IFERROR(__xludf.DUMMYFUNCTION("""COMPUTED_VALUE"""),45306.0)</f>
        <v>45306</v>
      </c>
      <c r="C10570" s="13">
        <f>IFERROR(__xludf.DUMMYFUNCTION("""COMPUTED_VALUE"""),0.375)</f>
        <v>0.375</v>
      </c>
      <c r="D10570" s="8">
        <f>IFERROR(__xludf.DUMMYFUNCTION("""COMPUTED_VALUE"""),0.088)</f>
        <v>0.088</v>
      </c>
      <c r="E10570" s="8" t="str">
        <f>IFERROR(__xludf.DUMMYFUNCTION("""COMPUTED_VALUE"""),"Real")</f>
        <v>Real</v>
      </c>
      <c r="G10570" s="8">
        <f t="shared" si="1"/>
        <v>1</v>
      </c>
      <c r="H10570" s="14">
        <f t="shared" si="2"/>
        <v>15</v>
      </c>
      <c r="I10570" s="15">
        <f t="shared" si="3"/>
        <v>9</v>
      </c>
    </row>
    <row r="10571">
      <c r="A10571" s="8" t="str">
        <f>IFERROR(__xludf.DUMMYFUNCTION("IF('(INGESTA)Datos_consumo_datadis'!A10571&lt;&gt;"""",SPLIT('(INGESTA)Datos_consumo_datadis'!A:A,"",""),"""")"),"ES0031408323131005HX0F")</f>
        <v>ES0031408323131005HX0F</v>
      </c>
      <c r="B10571" s="12">
        <f>IFERROR(__xludf.DUMMYFUNCTION("""COMPUTED_VALUE"""),45306.0)</f>
        <v>45306</v>
      </c>
      <c r="C10571" s="13">
        <f>IFERROR(__xludf.DUMMYFUNCTION("""COMPUTED_VALUE"""),0.4166666666666667)</f>
        <v>0.4166666667</v>
      </c>
      <c r="D10571" s="8">
        <f>IFERROR(__xludf.DUMMYFUNCTION("""COMPUTED_VALUE"""),1.705)</f>
        <v>1.705</v>
      </c>
      <c r="E10571" s="8" t="str">
        <f>IFERROR(__xludf.DUMMYFUNCTION("""COMPUTED_VALUE"""),"Real")</f>
        <v>Real</v>
      </c>
      <c r="G10571" s="8">
        <f t="shared" si="1"/>
        <v>1</v>
      </c>
      <c r="H10571" s="14">
        <f t="shared" si="2"/>
        <v>15</v>
      </c>
      <c r="I10571" s="15">
        <f t="shared" si="3"/>
        <v>10</v>
      </c>
    </row>
    <row r="10572">
      <c r="A10572" s="8" t="str">
        <f>IFERROR(__xludf.DUMMYFUNCTION("IF('(INGESTA)Datos_consumo_datadis'!A10572&lt;&gt;"""",SPLIT('(INGESTA)Datos_consumo_datadis'!A:A,"",""),"""")"),"ES0031408323131005HX0F")</f>
        <v>ES0031408323131005HX0F</v>
      </c>
      <c r="B10572" s="12">
        <f>IFERROR(__xludf.DUMMYFUNCTION("""COMPUTED_VALUE"""),45306.0)</f>
        <v>45306</v>
      </c>
      <c r="C10572" s="13">
        <f>IFERROR(__xludf.DUMMYFUNCTION("""COMPUTED_VALUE"""),0.4583333333333333)</f>
        <v>0.4583333333</v>
      </c>
      <c r="D10572" s="8">
        <f>IFERROR(__xludf.DUMMYFUNCTION("""COMPUTED_VALUE"""),1.953)</f>
        <v>1.953</v>
      </c>
      <c r="E10572" s="8" t="str">
        <f>IFERROR(__xludf.DUMMYFUNCTION("""COMPUTED_VALUE"""),"Real")</f>
        <v>Real</v>
      </c>
      <c r="G10572" s="8">
        <f t="shared" si="1"/>
        <v>1</v>
      </c>
      <c r="H10572" s="14">
        <f t="shared" si="2"/>
        <v>15</v>
      </c>
      <c r="I10572" s="15">
        <f t="shared" si="3"/>
        <v>11</v>
      </c>
    </row>
    <row r="10573">
      <c r="A10573" s="8" t="str">
        <f>IFERROR(__xludf.DUMMYFUNCTION("IF('(INGESTA)Datos_consumo_datadis'!A10573&lt;&gt;"""",SPLIT('(INGESTA)Datos_consumo_datadis'!A:A,"",""),"""")"),"ES0031408323131005HX0F")</f>
        <v>ES0031408323131005HX0F</v>
      </c>
      <c r="B10573" s="12">
        <f>IFERROR(__xludf.DUMMYFUNCTION("""COMPUTED_VALUE"""),45306.0)</f>
        <v>45306</v>
      </c>
      <c r="C10573" s="13">
        <f>IFERROR(__xludf.DUMMYFUNCTION("""COMPUTED_VALUE"""),0.5)</f>
        <v>0.5</v>
      </c>
      <c r="D10573" s="8">
        <f>IFERROR(__xludf.DUMMYFUNCTION("""COMPUTED_VALUE"""),1.624)</f>
        <v>1.624</v>
      </c>
      <c r="E10573" s="8" t="str">
        <f>IFERROR(__xludf.DUMMYFUNCTION("""COMPUTED_VALUE"""),"Real")</f>
        <v>Real</v>
      </c>
      <c r="G10573" s="8">
        <f t="shared" si="1"/>
        <v>1</v>
      </c>
      <c r="H10573" s="14">
        <f t="shared" si="2"/>
        <v>15</v>
      </c>
      <c r="I10573" s="15">
        <f t="shared" si="3"/>
        <v>12</v>
      </c>
    </row>
    <row r="10574">
      <c r="A10574" s="8" t="str">
        <f>IFERROR(__xludf.DUMMYFUNCTION("IF('(INGESTA)Datos_consumo_datadis'!A10574&lt;&gt;"""",SPLIT('(INGESTA)Datos_consumo_datadis'!A:A,"",""),"""")"),"ES0031408323131005HX0F")</f>
        <v>ES0031408323131005HX0F</v>
      </c>
      <c r="B10574" s="12">
        <f>IFERROR(__xludf.DUMMYFUNCTION("""COMPUTED_VALUE"""),45306.0)</f>
        <v>45306</v>
      </c>
      <c r="C10574" s="13">
        <f>IFERROR(__xludf.DUMMYFUNCTION("""COMPUTED_VALUE"""),0.5416666666666666)</f>
        <v>0.5416666667</v>
      </c>
      <c r="D10574" s="8">
        <f>IFERROR(__xludf.DUMMYFUNCTION("""COMPUTED_VALUE"""),0.045)</f>
        <v>0.045</v>
      </c>
      <c r="E10574" s="8" t="str">
        <f>IFERROR(__xludf.DUMMYFUNCTION("""COMPUTED_VALUE"""),"Real")</f>
        <v>Real</v>
      </c>
      <c r="G10574" s="8">
        <f t="shared" si="1"/>
        <v>1</v>
      </c>
      <c r="H10574" s="14">
        <f t="shared" si="2"/>
        <v>15</v>
      </c>
      <c r="I10574" s="15">
        <f t="shared" si="3"/>
        <v>13</v>
      </c>
    </row>
    <row r="10575">
      <c r="A10575" s="8" t="str">
        <f>IFERROR(__xludf.DUMMYFUNCTION("IF('(INGESTA)Datos_consumo_datadis'!A10575&lt;&gt;"""",SPLIT('(INGESTA)Datos_consumo_datadis'!A:A,"",""),"""")"),"ES0031408323131005HX0F")</f>
        <v>ES0031408323131005HX0F</v>
      </c>
      <c r="B10575" s="12">
        <f>IFERROR(__xludf.DUMMYFUNCTION("""COMPUTED_VALUE"""),45306.0)</f>
        <v>45306</v>
      </c>
      <c r="C10575" s="13">
        <f>IFERROR(__xludf.DUMMYFUNCTION("""COMPUTED_VALUE"""),0.5833333333333334)</f>
        <v>0.5833333333</v>
      </c>
      <c r="D10575" s="8">
        <f>IFERROR(__xludf.DUMMYFUNCTION("""COMPUTED_VALUE"""),0.138)</f>
        <v>0.138</v>
      </c>
      <c r="E10575" s="8" t="str">
        <f>IFERROR(__xludf.DUMMYFUNCTION("""COMPUTED_VALUE"""),"Real")</f>
        <v>Real</v>
      </c>
      <c r="G10575" s="8">
        <f t="shared" si="1"/>
        <v>1</v>
      </c>
      <c r="H10575" s="14">
        <f t="shared" si="2"/>
        <v>15</v>
      </c>
      <c r="I10575" s="15">
        <f t="shared" si="3"/>
        <v>14</v>
      </c>
    </row>
    <row r="10576">
      <c r="A10576" s="8" t="str">
        <f>IFERROR(__xludf.DUMMYFUNCTION("IF('(INGESTA)Datos_consumo_datadis'!A10576&lt;&gt;"""",SPLIT('(INGESTA)Datos_consumo_datadis'!A:A,"",""),"""")"),"ES0031408323131005HX0F")</f>
        <v>ES0031408323131005HX0F</v>
      </c>
      <c r="B10576" s="12">
        <f>IFERROR(__xludf.DUMMYFUNCTION("""COMPUTED_VALUE"""),45306.0)</f>
        <v>45306</v>
      </c>
      <c r="C10576" s="13">
        <f>IFERROR(__xludf.DUMMYFUNCTION("""COMPUTED_VALUE"""),0.625)</f>
        <v>0.625</v>
      </c>
      <c r="D10576" s="8">
        <f>IFERROR(__xludf.DUMMYFUNCTION("""COMPUTED_VALUE"""),0.243)</f>
        <v>0.243</v>
      </c>
      <c r="E10576" s="8" t="str">
        <f>IFERROR(__xludf.DUMMYFUNCTION("""COMPUTED_VALUE"""),"Real")</f>
        <v>Real</v>
      </c>
      <c r="G10576" s="8">
        <f t="shared" si="1"/>
        <v>1</v>
      </c>
      <c r="H10576" s="14">
        <f t="shared" si="2"/>
        <v>15</v>
      </c>
      <c r="I10576" s="15">
        <f t="shared" si="3"/>
        <v>15</v>
      </c>
    </row>
    <row r="10577">
      <c r="A10577" s="8" t="str">
        <f>IFERROR(__xludf.DUMMYFUNCTION("IF('(INGESTA)Datos_consumo_datadis'!A10577&lt;&gt;"""",SPLIT('(INGESTA)Datos_consumo_datadis'!A:A,"",""),"""")"),"ES0031408323131005HX0F")</f>
        <v>ES0031408323131005HX0F</v>
      </c>
      <c r="B10577" s="12">
        <f>IFERROR(__xludf.DUMMYFUNCTION("""COMPUTED_VALUE"""),45306.0)</f>
        <v>45306</v>
      </c>
      <c r="C10577" s="13">
        <f>IFERROR(__xludf.DUMMYFUNCTION("""COMPUTED_VALUE"""),0.6666666666666666)</f>
        <v>0.6666666667</v>
      </c>
      <c r="D10577" s="8">
        <f>IFERROR(__xludf.DUMMYFUNCTION("""COMPUTED_VALUE"""),0.05)</f>
        <v>0.05</v>
      </c>
      <c r="E10577" s="8" t="str">
        <f>IFERROR(__xludf.DUMMYFUNCTION("""COMPUTED_VALUE"""),"Real")</f>
        <v>Real</v>
      </c>
      <c r="G10577" s="8">
        <f t="shared" si="1"/>
        <v>1</v>
      </c>
      <c r="H10577" s="14">
        <f t="shared" si="2"/>
        <v>15</v>
      </c>
      <c r="I10577" s="15">
        <f t="shared" si="3"/>
        <v>16</v>
      </c>
    </row>
    <row r="10578">
      <c r="A10578" s="8" t="str">
        <f>IFERROR(__xludf.DUMMYFUNCTION("IF('(INGESTA)Datos_consumo_datadis'!A10578&lt;&gt;"""",SPLIT('(INGESTA)Datos_consumo_datadis'!A:A,"",""),"""")"),"ES0031408323131005HX0F")</f>
        <v>ES0031408323131005HX0F</v>
      </c>
      <c r="B10578" s="12">
        <f>IFERROR(__xludf.DUMMYFUNCTION("""COMPUTED_VALUE"""),45306.0)</f>
        <v>45306</v>
      </c>
      <c r="C10578" s="13">
        <f>IFERROR(__xludf.DUMMYFUNCTION("""COMPUTED_VALUE"""),0.7083333333333334)</f>
        <v>0.7083333333</v>
      </c>
      <c r="D10578" s="8">
        <f>IFERROR(__xludf.DUMMYFUNCTION("""COMPUTED_VALUE"""),0.081)</f>
        <v>0.081</v>
      </c>
      <c r="E10578" s="8" t="str">
        <f>IFERROR(__xludf.DUMMYFUNCTION("""COMPUTED_VALUE"""),"Real")</f>
        <v>Real</v>
      </c>
      <c r="G10578" s="8">
        <f t="shared" si="1"/>
        <v>1</v>
      </c>
      <c r="H10578" s="14">
        <f t="shared" si="2"/>
        <v>15</v>
      </c>
      <c r="I10578" s="15">
        <f t="shared" si="3"/>
        <v>17</v>
      </c>
    </row>
    <row r="10579">
      <c r="A10579" s="8" t="str">
        <f>IFERROR(__xludf.DUMMYFUNCTION("IF('(INGESTA)Datos_consumo_datadis'!A10579&lt;&gt;"""",SPLIT('(INGESTA)Datos_consumo_datadis'!A:A,"",""),"""")"),"ES0031408323131005HX0F")</f>
        <v>ES0031408323131005HX0F</v>
      </c>
      <c r="B10579" s="12">
        <f>IFERROR(__xludf.DUMMYFUNCTION("""COMPUTED_VALUE"""),45306.0)</f>
        <v>45306</v>
      </c>
      <c r="C10579" s="13">
        <f>IFERROR(__xludf.DUMMYFUNCTION("""COMPUTED_VALUE"""),0.75)</f>
        <v>0.75</v>
      </c>
      <c r="D10579" s="8">
        <f>IFERROR(__xludf.DUMMYFUNCTION("""COMPUTED_VALUE"""),0.03)</f>
        <v>0.03</v>
      </c>
      <c r="E10579" s="8" t="str">
        <f>IFERROR(__xludf.DUMMYFUNCTION("""COMPUTED_VALUE"""),"Real")</f>
        <v>Real</v>
      </c>
      <c r="G10579" s="8">
        <f t="shared" si="1"/>
        <v>1</v>
      </c>
      <c r="H10579" s="14">
        <f t="shared" si="2"/>
        <v>15</v>
      </c>
      <c r="I10579" s="15">
        <f t="shared" si="3"/>
        <v>18</v>
      </c>
    </row>
    <row r="10580">
      <c r="A10580" s="8" t="str">
        <f>IFERROR(__xludf.DUMMYFUNCTION("IF('(INGESTA)Datos_consumo_datadis'!A10580&lt;&gt;"""",SPLIT('(INGESTA)Datos_consumo_datadis'!A:A,"",""),"""")"),"ES0031408323131005HX0F")</f>
        <v>ES0031408323131005HX0F</v>
      </c>
      <c r="B10580" s="12">
        <f>IFERROR(__xludf.DUMMYFUNCTION("""COMPUTED_VALUE"""),45306.0)</f>
        <v>45306</v>
      </c>
      <c r="C10580" s="13">
        <f>IFERROR(__xludf.DUMMYFUNCTION("""COMPUTED_VALUE"""),0.7916666666666666)</f>
        <v>0.7916666667</v>
      </c>
      <c r="D10580" s="8">
        <f>IFERROR(__xludf.DUMMYFUNCTION("""COMPUTED_VALUE"""),0.082)</f>
        <v>0.082</v>
      </c>
      <c r="E10580" s="8" t="str">
        <f>IFERROR(__xludf.DUMMYFUNCTION("""COMPUTED_VALUE"""),"Real")</f>
        <v>Real</v>
      </c>
      <c r="G10580" s="8">
        <f t="shared" si="1"/>
        <v>1</v>
      </c>
      <c r="H10580" s="14">
        <f t="shared" si="2"/>
        <v>15</v>
      </c>
      <c r="I10580" s="15">
        <f t="shared" si="3"/>
        <v>19</v>
      </c>
    </row>
    <row r="10581">
      <c r="A10581" s="8" t="str">
        <f>IFERROR(__xludf.DUMMYFUNCTION("IF('(INGESTA)Datos_consumo_datadis'!A10581&lt;&gt;"""",SPLIT('(INGESTA)Datos_consumo_datadis'!A:A,"",""),"""")"),"ES0031408323131005HX0F")</f>
        <v>ES0031408323131005HX0F</v>
      </c>
      <c r="B10581" s="12">
        <f>IFERROR(__xludf.DUMMYFUNCTION("""COMPUTED_VALUE"""),45306.0)</f>
        <v>45306</v>
      </c>
      <c r="C10581" s="13">
        <f>IFERROR(__xludf.DUMMYFUNCTION("""COMPUTED_VALUE"""),0.8333333333333334)</f>
        <v>0.8333333333</v>
      </c>
      <c r="D10581" s="8">
        <f>IFERROR(__xludf.DUMMYFUNCTION("""COMPUTED_VALUE"""),0.332)</f>
        <v>0.332</v>
      </c>
      <c r="E10581" s="8" t="str">
        <f>IFERROR(__xludf.DUMMYFUNCTION("""COMPUTED_VALUE"""),"Real")</f>
        <v>Real</v>
      </c>
      <c r="G10581" s="8">
        <f t="shared" si="1"/>
        <v>1</v>
      </c>
      <c r="H10581" s="14">
        <f t="shared" si="2"/>
        <v>15</v>
      </c>
      <c r="I10581" s="15">
        <f t="shared" si="3"/>
        <v>20</v>
      </c>
    </row>
    <row r="10582">
      <c r="A10582" s="8" t="str">
        <f>IFERROR(__xludf.DUMMYFUNCTION("IF('(INGESTA)Datos_consumo_datadis'!A10582&lt;&gt;"""",SPLIT('(INGESTA)Datos_consumo_datadis'!A:A,"",""),"""")"),"ES0031408323131005HX0F")</f>
        <v>ES0031408323131005HX0F</v>
      </c>
      <c r="B10582" s="12">
        <f>IFERROR(__xludf.DUMMYFUNCTION("""COMPUTED_VALUE"""),45306.0)</f>
        <v>45306</v>
      </c>
      <c r="C10582" s="13">
        <f>IFERROR(__xludf.DUMMYFUNCTION("""COMPUTED_VALUE"""),0.875)</f>
        <v>0.875</v>
      </c>
      <c r="D10582" s="8">
        <f>IFERROR(__xludf.DUMMYFUNCTION("""COMPUTED_VALUE"""),0.045)</f>
        <v>0.045</v>
      </c>
      <c r="E10582" s="8" t="str">
        <f>IFERROR(__xludf.DUMMYFUNCTION("""COMPUTED_VALUE"""),"Real")</f>
        <v>Real</v>
      </c>
      <c r="G10582" s="8">
        <f t="shared" si="1"/>
        <v>1</v>
      </c>
      <c r="H10582" s="14">
        <f t="shared" si="2"/>
        <v>15</v>
      </c>
      <c r="I10582" s="15">
        <f t="shared" si="3"/>
        <v>21</v>
      </c>
    </row>
    <row r="10583">
      <c r="A10583" s="8" t="str">
        <f>IFERROR(__xludf.DUMMYFUNCTION("IF('(INGESTA)Datos_consumo_datadis'!A10583&lt;&gt;"""",SPLIT('(INGESTA)Datos_consumo_datadis'!A:A,"",""),"""")"),"ES0031408323131005HX0F")</f>
        <v>ES0031408323131005HX0F</v>
      </c>
      <c r="B10583" s="12">
        <f>IFERROR(__xludf.DUMMYFUNCTION("""COMPUTED_VALUE"""),45306.0)</f>
        <v>45306</v>
      </c>
      <c r="C10583" s="13">
        <f>IFERROR(__xludf.DUMMYFUNCTION("""COMPUTED_VALUE"""),0.9166666666666666)</f>
        <v>0.9166666667</v>
      </c>
      <c r="D10583" s="8">
        <f>IFERROR(__xludf.DUMMYFUNCTION("""COMPUTED_VALUE"""),0.068)</f>
        <v>0.068</v>
      </c>
      <c r="E10583" s="8" t="str">
        <f>IFERROR(__xludf.DUMMYFUNCTION("""COMPUTED_VALUE"""),"Real")</f>
        <v>Real</v>
      </c>
      <c r="G10583" s="8">
        <f t="shared" si="1"/>
        <v>1</v>
      </c>
      <c r="H10583" s="14">
        <f t="shared" si="2"/>
        <v>15</v>
      </c>
      <c r="I10583" s="15">
        <f t="shared" si="3"/>
        <v>22</v>
      </c>
    </row>
    <row r="10584">
      <c r="A10584" s="8" t="str">
        <f>IFERROR(__xludf.DUMMYFUNCTION("IF('(INGESTA)Datos_consumo_datadis'!A10584&lt;&gt;"""",SPLIT('(INGESTA)Datos_consumo_datadis'!A:A,"",""),"""")"),"ES0031408323131005HX0F")</f>
        <v>ES0031408323131005HX0F</v>
      </c>
      <c r="B10584" s="12">
        <f>IFERROR(__xludf.DUMMYFUNCTION("""COMPUTED_VALUE"""),45306.0)</f>
        <v>45306</v>
      </c>
      <c r="C10584" s="13">
        <f>IFERROR(__xludf.DUMMYFUNCTION("""COMPUTED_VALUE"""),0.9583333333333334)</f>
        <v>0.9583333333</v>
      </c>
      <c r="D10584" s="8">
        <f>IFERROR(__xludf.DUMMYFUNCTION("""COMPUTED_VALUE"""),0.044)</f>
        <v>0.044</v>
      </c>
      <c r="E10584" s="8" t="str">
        <f>IFERROR(__xludf.DUMMYFUNCTION("""COMPUTED_VALUE"""),"Real")</f>
        <v>Real</v>
      </c>
      <c r="G10584" s="8">
        <f t="shared" si="1"/>
        <v>1</v>
      </c>
      <c r="H10584" s="14">
        <f t="shared" si="2"/>
        <v>15</v>
      </c>
      <c r="I10584" s="15">
        <f t="shared" si="3"/>
        <v>23</v>
      </c>
    </row>
    <row r="10585">
      <c r="A10585" s="8" t="str">
        <f>IFERROR(__xludf.DUMMYFUNCTION("IF('(INGESTA)Datos_consumo_datadis'!A10585&lt;&gt;"""",SPLIT('(INGESTA)Datos_consumo_datadis'!A:A,"",""),"""")"),"ES0031408323131005HX0F")</f>
        <v>ES0031408323131005HX0F</v>
      </c>
      <c r="B10585" s="12">
        <f>IFERROR(__xludf.DUMMYFUNCTION("""COMPUTED_VALUE"""),45306.0)</f>
        <v>45306</v>
      </c>
      <c r="C10585" s="16">
        <f>IFERROR(__xludf.DUMMYFUNCTION("""COMPUTED_VALUE"""),1.0)</f>
        <v>1</v>
      </c>
      <c r="D10585" s="8">
        <f>IFERROR(__xludf.DUMMYFUNCTION("""COMPUTED_VALUE"""),0.08)</f>
        <v>0.08</v>
      </c>
      <c r="E10585" s="8" t="str">
        <f>IFERROR(__xludf.DUMMYFUNCTION("""COMPUTED_VALUE"""),"Real")</f>
        <v>Real</v>
      </c>
      <c r="G10585" s="8">
        <f t="shared" si="1"/>
        <v>1</v>
      </c>
      <c r="H10585" s="14">
        <f t="shared" si="2"/>
        <v>15</v>
      </c>
      <c r="I10585" s="15">
        <f t="shared" si="3"/>
        <v>0</v>
      </c>
    </row>
    <row r="10586">
      <c r="A10586" s="8" t="str">
        <f>IFERROR(__xludf.DUMMYFUNCTION("IF('(INGESTA)Datos_consumo_datadis'!A10586&lt;&gt;"""",SPLIT('(INGESTA)Datos_consumo_datadis'!A:A,"",""),"""")"),"ES0031408323131005HX0F")</f>
        <v>ES0031408323131005HX0F</v>
      </c>
      <c r="B10586" s="12">
        <f>IFERROR(__xludf.DUMMYFUNCTION("""COMPUTED_VALUE"""),45307.0)</f>
        <v>45307</v>
      </c>
      <c r="C10586" s="13">
        <f>IFERROR(__xludf.DUMMYFUNCTION("""COMPUTED_VALUE"""),0.041666666666666664)</f>
        <v>0.04166666667</v>
      </c>
      <c r="D10586" s="8">
        <f>IFERROR(__xludf.DUMMYFUNCTION("""COMPUTED_VALUE"""),0.3)</f>
        <v>0.3</v>
      </c>
      <c r="E10586" s="8" t="str">
        <f>IFERROR(__xludf.DUMMYFUNCTION("""COMPUTED_VALUE"""),"Real")</f>
        <v>Real</v>
      </c>
      <c r="G10586" s="8">
        <f t="shared" si="1"/>
        <v>1</v>
      </c>
      <c r="H10586" s="14">
        <f t="shared" si="2"/>
        <v>16</v>
      </c>
      <c r="I10586" s="15">
        <f t="shared" si="3"/>
        <v>1</v>
      </c>
    </row>
    <row r="10587">
      <c r="A10587" s="8" t="str">
        <f>IFERROR(__xludf.DUMMYFUNCTION("IF('(INGESTA)Datos_consumo_datadis'!A10587&lt;&gt;"""",SPLIT('(INGESTA)Datos_consumo_datadis'!A:A,"",""),"""")"),"ES0031408323131005HX0F")</f>
        <v>ES0031408323131005HX0F</v>
      </c>
      <c r="B10587" s="12">
        <f>IFERROR(__xludf.DUMMYFUNCTION("""COMPUTED_VALUE"""),45307.0)</f>
        <v>45307</v>
      </c>
      <c r="C10587" s="13">
        <f>IFERROR(__xludf.DUMMYFUNCTION("""COMPUTED_VALUE"""),0.08333333333333333)</f>
        <v>0.08333333333</v>
      </c>
      <c r="D10587" s="8">
        <f>IFERROR(__xludf.DUMMYFUNCTION("""COMPUTED_VALUE"""),0.091)</f>
        <v>0.091</v>
      </c>
      <c r="E10587" s="8" t="str">
        <f>IFERROR(__xludf.DUMMYFUNCTION("""COMPUTED_VALUE"""),"Real")</f>
        <v>Real</v>
      </c>
      <c r="G10587" s="8">
        <f t="shared" si="1"/>
        <v>1</v>
      </c>
      <c r="H10587" s="14">
        <f t="shared" si="2"/>
        <v>16</v>
      </c>
      <c r="I10587" s="15">
        <f t="shared" si="3"/>
        <v>2</v>
      </c>
    </row>
    <row r="10588">
      <c r="A10588" s="8" t="str">
        <f>IFERROR(__xludf.DUMMYFUNCTION("IF('(INGESTA)Datos_consumo_datadis'!A10588&lt;&gt;"""",SPLIT('(INGESTA)Datos_consumo_datadis'!A:A,"",""),"""")"),"ES0031408323131005HX0F")</f>
        <v>ES0031408323131005HX0F</v>
      </c>
      <c r="B10588" s="12">
        <f>IFERROR(__xludf.DUMMYFUNCTION("""COMPUTED_VALUE"""),45307.0)</f>
        <v>45307</v>
      </c>
      <c r="C10588" s="13">
        <f>IFERROR(__xludf.DUMMYFUNCTION("""COMPUTED_VALUE"""),0.125)</f>
        <v>0.125</v>
      </c>
      <c r="D10588" s="8">
        <f>IFERROR(__xludf.DUMMYFUNCTION("""COMPUTED_VALUE"""),0.077)</f>
        <v>0.077</v>
      </c>
      <c r="E10588" s="8" t="str">
        <f>IFERROR(__xludf.DUMMYFUNCTION("""COMPUTED_VALUE"""),"Real")</f>
        <v>Real</v>
      </c>
      <c r="G10588" s="8">
        <f t="shared" si="1"/>
        <v>1</v>
      </c>
      <c r="H10588" s="14">
        <f t="shared" si="2"/>
        <v>16</v>
      </c>
      <c r="I10588" s="15">
        <f t="shared" si="3"/>
        <v>3</v>
      </c>
    </row>
    <row r="10589">
      <c r="A10589" s="8" t="str">
        <f>IFERROR(__xludf.DUMMYFUNCTION("IF('(INGESTA)Datos_consumo_datadis'!A10589&lt;&gt;"""",SPLIT('(INGESTA)Datos_consumo_datadis'!A:A,"",""),"""")"),"ES0031408323131005HX0F")</f>
        <v>ES0031408323131005HX0F</v>
      </c>
      <c r="B10589" s="12">
        <f>IFERROR(__xludf.DUMMYFUNCTION("""COMPUTED_VALUE"""),45307.0)</f>
        <v>45307</v>
      </c>
      <c r="C10589" s="13">
        <f>IFERROR(__xludf.DUMMYFUNCTION("""COMPUTED_VALUE"""),0.16666666666666666)</f>
        <v>0.1666666667</v>
      </c>
      <c r="D10589" s="8">
        <f>IFERROR(__xludf.DUMMYFUNCTION("""COMPUTED_VALUE"""),0.069)</f>
        <v>0.069</v>
      </c>
      <c r="E10589" s="8" t="str">
        <f>IFERROR(__xludf.DUMMYFUNCTION("""COMPUTED_VALUE"""),"Real")</f>
        <v>Real</v>
      </c>
      <c r="G10589" s="8">
        <f t="shared" si="1"/>
        <v>1</v>
      </c>
      <c r="H10589" s="14">
        <f t="shared" si="2"/>
        <v>16</v>
      </c>
      <c r="I10589" s="15">
        <f t="shared" si="3"/>
        <v>4</v>
      </c>
    </row>
    <row r="10590">
      <c r="A10590" s="8" t="str">
        <f>IFERROR(__xludf.DUMMYFUNCTION("IF('(INGESTA)Datos_consumo_datadis'!A10590&lt;&gt;"""",SPLIT('(INGESTA)Datos_consumo_datadis'!A:A,"",""),"""")"),"ES0031408323131005HX0F")</f>
        <v>ES0031408323131005HX0F</v>
      </c>
      <c r="B10590" s="12">
        <f>IFERROR(__xludf.DUMMYFUNCTION("""COMPUTED_VALUE"""),45307.0)</f>
        <v>45307</v>
      </c>
      <c r="C10590" s="13">
        <f>IFERROR(__xludf.DUMMYFUNCTION("""COMPUTED_VALUE"""),0.20833333333333334)</f>
        <v>0.2083333333</v>
      </c>
      <c r="D10590" s="8">
        <f>IFERROR(__xludf.DUMMYFUNCTION("""COMPUTED_VALUE"""),0.056)</f>
        <v>0.056</v>
      </c>
      <c r="E10590" s="8" t="str">
        <f>IFERROR(__xludf.DUMMYFUNCTION("""COMPUTED_VALUE"""),"Real")</f>
        <v>Real</v>
      </c>
      <c r="G10590" s="8">
        <f t="shared" si="1"/>
        <v>1</v>
      </c>
      <c r="H10590" s="14">
        <f t="shared" si="2"/>
        <v>16</v>
      </c>
      <c r="I10590" s="15">
        <f t="shared" si="3"/>
        <v>5</v>
      </c>
    </row>
    <row r="10591">
      <c r="A10591" s="8" t="str">
        <f>IFERROR(__xludf.DUMMYFUNCTION("IF('(INGESTA)Datos_consumo_datadis'!A10591&lt;&gt;"""",SPLIT('(INGESTA)Datos_consumo_datadis'!A:A,"",""),"""")"),"ES0031408323131005HX0F")</f>
        <v>ES0031408323131005HX0F</v>
      </c>
      <c r="B10591" s="12">
        <f>IFERROR(__xludf.DUMMYFUNCTION("""COMPUTED_VALUE"""),45307.0)</f>
        <v>45307</v>
      </c>
      <c r="C10591" s="13">
        <f>IFERROR(__xludf.DUMMYFUNCTION("""COMPUTED_VALUE"""),0.25)</f>
        <v>0.25</v>
      </c>
      <c r="D10591" s="8">
        <f>IFERROR(__xludf.DUMMYFUNCTION("""COMPUTED_VALUE"""),0.057)</f>
        <v>0.057</v>
      </c>
      <c r="E10591" s="8" t="str">
        <f>IFERROR(__xludf.DUMMYFUNCTION("""COMPUTED_VALUE"""),"Real")</f>
        <v>Real</v>
      </c>
      <c r="G10591" s="8">
        <f t="shared" si="1"/>
        <v>1</v>
      </c>
      <c r="H10591" s="14">
        <f t="shared" si="2"/>
        <v>16</v>
      </c>
      <c r="I10591" s="15">
        <f t="shared" si="3"/>
        <v>6</v>
      </c>
    </row>
    <row r="10592">
      <c r="A10592" s="8" t="str">
        <f>IFERROR(__xludf.DUMMYFUNCTION("IF('(INGESTA)Datos_consumo_datadis'!A10592&lt;&gt;"""",SPLIT('(INGESTA)Datos_consumo_datadis'!A:A,"",""),"""")"),"ES0031408323131005HX0F")</f>
        <v>ES0031408323131005HX0F</v>
      </c>
      <c r="B10592" s="12">
        <f>IFERROR(__xludf.DUMMYFUNCTION("""COMPUTED_VALUE"""),45307.0)</f>
        <v>45307</v>
      </c>
      <c r="C10592" s="13">
        <f>IFERROR(__xludf.DUMMYFUNCTION("""COMPUTED_VALUE"""),0.2916666666666667)</f>
        <v>0.2916666667</v>
      </c>
      <c r="D10592" s="8">
        <f>IFERROR(__xludf.DUMMYFUNCTION("""COMPUTED_VALUE"""),0.365)</f>
        <v>0.365</v>
      </c>
      <c r="E10592" s="8" t="str">
        <f>IFERROR(__xludf.DUMMYFUNCTION("""COMPUTED_VALUE"""),"Real")</f>
        <v>Real</v>
      </c>
      <c r="G10592" s="8">
        <f t="shared" si="1"/>
        <v>1</v>
      </c>
      <c r="H10592" s="14">
        <f t="shared" si="2"/>
        <v>16</v>
      </c>
      <c r="I10592" s="15">
        <f t="shared" si="3"/>
        <v>7</v>
      </c>
    </row>
    <row r="10593">
      <c r="A10593" s="8" t="str">
        <f>IFERROR(__xludf.DUMMYFUNCTION("IF('(INGESTA)Datos_consumo_datadis'!A10593&lt;&gt;"""",SPLIT('(INGESTA)Datos_consumo_datadis'!A:A,"",""),"""")"),"ES0031408323131005HX0F")</f>
        <v>ES0031408323131005HX0F</v>
      </c>
      <c r="B10593" s="12">
        <f>IFERROR(__xludf.DUMMYFUNCTION("""COMPUTED_VALUE"""),45307.0)</f>
        <v>45307</v>
      </c>
      <c r="C10593" s="13">
        <f>IFERROR(__xludf.DUMMYFUNCTION("""COMPUTED_VALUE"""),0.3333333333333333)</f>
        <v>0.3333333333</v>
      </c>
      <c r="D10593" s="8">
        <f>IFERROR(__xludf.DUMMYFUNCTION("""COMPUTED_VALUE"""),0.025)</f>
        <v>0.025</v>
      </c>
      <c r="E10593" s="8" t="str">
        <f>IFERROR(__xludf.DUMMYFUNCTION("""COMPUTED_VALUE"""),"Real")</f>
        <v>Real</v>
      </c>
      <c r="G10593" s="8">
        <f t="shared" si="1"/>
        <v>1</v>
      </c>
      <c r="H10593" s="14">
        <f t="shared" si="2"/>
        <v>16</v>
      </c>
      <c r="I10593" s="15">
        <f t="shared" si="3"/>
        <v>8</v>
      </c>
    </row>
    <row r="10594">
      <c r="A10594" s="8" t="str">
        <f>IFERROR(__xludf.DUMMYFUNCTION("IF('(INGESTA)Datos_consumo_datadis'!A10594&lt;&gt;"""",SPLIT('(INGESTA)Datos_consumo_datadis'!A:A,"",""),"""")"),"ES0031408323131005HX0F")</f>
        <v>ES0031408323131005HX0F</v>
      </c>
      <c r="B10594" s="12">
        <f>IFERROR(__xludf.DUMMYFUNCTION("""COMPUTED_VALUE"""),45307.0)</f>
        <v>45307</v>
      </c>
      <c r="C10594" s="13">
        <f>IFERROR(__xludf.DUMMYFUNCTION("""COMPUTED_VALUE"""),0.375)</f>
        <v>0.375</v>
      </c>
      <c r="D10594" s="8">
        <f>IFERROR(__xludf.DUMMYFUNCTION("""COMPUTED_VALUE"""),0.089)</f>
        <v>0.089</v>
      </c>
      <c r="E10594" s="8" t="str">
        <f>IFERROR(__xludf.DUMMYFUNCTION("""COMPUTED_VALUE"""),"Real")</f>
        <v>Real</v>
      </c>
      <c r="G10594" s="8">
        <f t="shared" si="1"/>
        <v>1</v>
      </c>
      <c r="H10594" s="14">
        <f t="shared" si="2"/>
        <v>16</v>
      </c>
      <c r="I10594" s="15">
        <f t="shared" si="3"/>
        <v>9</v>
      </c>
    </row>
    <row r="10595">
      <c r="A10595" s="8" t="str">
        <f>IFERROR(__xludf.DUMMYFUNCTION("IF('(INGESTA)Datos_consumo_datadis'!A10595&lt;&gt;"""",SPLIT('(INGESTA)Datos_consumo_datadis'!A:A,"",""),"""")"),"ES0031408323131005HX0F")</f>
        <v>ES0031408323131005HX0F</v>
      </c>
      <c r="B10595" s="12">
        <f>IFERROR(__xludf.DUMMYFUNCTION("""COMPUTED_VALUE"""),45307.0)</f>
        <v>45307</v>
      </c>
      <c r="C10595" s="13">
        <f>IFERROR(__xludf.DUMMYFUNCTION("""COMPUTED_VALUE"""),0.4166666666666667)</f>
        <v>0.4166666667</v>
      </c>
      <c r="D10595" s="8">
        <f>IFERROR(__xludf.DUMMYFUNCTION("""COMPUTED_VALUE"""),0.041)</f>
        <v>0.041</v>
      </c>
      <c r="E10595" s="8" t="str">
        <f>IFERROR(__xludf.DUMMYFUNCTION("""COMPUTED_VALUE"""),"Real")</f>
        <v>Real</v>
      </c>
      <c r="G10595" s="8">
        <f t="shared" si="1"/>
        <v>1</v>
      </c>
      <c r="H10595" s="14">
        <f t="shared" si="2"/>
        <v>16</v>
      </c>
      <c r="I10595" s="15">
        <f t="shared" si="3"/>
        <v>10</v>
      </c>
    </row>
    <row r="10596">
      <c r="A10596" s="8" t="str">
        <f>IFERROR(__xludf.DUMMYFUNCTION("IF('(INGESTA)Datos_consumo_datadis'!A10596&lt;&gt;"""",SPLIT('(INGESTA)Datos_consumo_datadis'!A:A,"",""),"""")"),"ES0031408323131005HX0F")</f>
        <v>ES0031408323131005HX0F</v>
      </c>
      <c r="B10596" s="12">
        <f>IFERROR(__xludf.DUMMYFUNCTION("""COMPUTED_VALUE"""),45307.0)</f>
        <v>45307</v>
      </c>
      <c r="C10596" s="13">
        <f>IFERROR(__xludf.DUMMYFUNCTION("""COMPUTED_VALUE"""),0.4583333333333333)</f>
        <v>0.4583333333</v>
      </c>
      <c r="D10596" s="8">
        <f>IFERROR(__xludf.DUMMYFUNCTION("""COMPUTED_VALUE"""),0.073)</f>
        <v>0.073</v>
      </c>
      <c r="E10596" s="8" t="str">
        <f>IFERROR(__xludf.DUMMYFUNCTION("""COMPUTED_VALUE"""),"Real")</f>
        <v>Real</v>
      </c>
      <c r="G10596" s="8">
        <f t="shared" si="1"/>
        <v>1</v>
      </c>
      <c r="H10596" s="14">
        <f t="shared" si="2"/>
        <v>16</v>
      </c>
      <c r="I10596" s="15">
        <f t="shared" si="3"/>
        <v>11</v>
      </c>
    </row>
    <row r="10597">
      <c r="A10597" s="8" t="str">
        <f>IFERROR(__xludf.DUMMYFUNCTION("IF('(INGESTA)Datos_consumo_datadis'!A10597&lt;&gt;"""",SPLIT('(INGESTA)Datos_consumo_datadis'!A:A,"",""),"""")"),"ES0031408323131005HX0F")</f>
        <v>ES0031408323131005HX0F</v>
      </c>
      <c r="B10597" s="12">
        <f>IFERROR(__xludf.DUMMYFUNCTION("""COMPUTED_VALUE"""),45307.0)</f>
        <v>45307</v>
      </c>
      <c r="C10597" s="13">
        <f>IFERROR(__xludf.DUMMYFUNCTION("""COMPUTED_VALUE"""),0.5)</f>
        <v>0.5</v>
      </c>
      <c r="D10597" s="8">
        <f>IFERROR(__xludf.DUMMYFUNCTION("""COMPUTED_VALUE"""),0.316)</f>
        <v>0.316</v>
      </c>
      <c r="E10597" s="8" t="str">
        <f>IFERROR(__xludf.DUMMYFUNCTION("""COMPUTED_VALUE"""),"Real")</f>
        <v>Real</v>
      </c>
      <c r="G10597" s="8">
        <f t="shared" si="1"/>
        <v>1</v>
      </c>
      <c r="H10597" s="14">
        <f t="shared" si="2"/>
        <v>16</v>
      </c>
      <c r="I10597" s="15">
        <f t="shared" si="3"/>
        <v>12</v>
      </c>
    </row>
    <row r="10598">
      <c r="A10598" s="8" t="str">
        <f>IFERROR(__xludf.DUMMYFUNCTION("IF('(INGESTA)Datos_consumo_datadis'!A10598&lt;&gt;"""",SPLIT('(INGESTA)Datos_consumo_datadis'!A:A,"",""),"""")"),"ES0031408323131005HX0F")</f>
        <v>ES0031408323131005HX0F</v>
      </c>
      <c r="B10598" s="12">
        <f>IFERROR(__xludf.DUMMYFUNCTION("""COMPUTED_VALUE"""),45307.0)</f>
        <v>45307</v>
      </c>
      <c r="C10598" s="13">
        <f>IFERROR(__xludf.DUMMYFUNCTION("""COMPUTED_VALUE"""),0.5416666666666666)</f>
        <v>0.5416666667</v>
      </c>
      <c r="D10598" s="8">
        <f>IFERROR(__xludf.DUMMYFUNCTION("""COMPUTED_VALUE"""),0.12)</f>
        <v>0.12</v>
      </c>
      <c r="E10598" s="8" t="str">
        <f>IFERROR(__xludf.DUMMYFUNCTION("""COMPUTED_VALUE"""),"Real")</f>
        <v>Real</v>
      </c>
      <c r="G10598" s="8">
        <f t="shared" si="1"/>
        <v>1</v>
      </c>
      <c r="H10598" s="14">
        <f t="shared" si="2"/>
        <v>16</v>
      </c>
      <c r="I10598" s="15">
        <f t="shared" si="3"/>
        <v>13</v>
      </c>
    </row>
    <row r="10599">
      <c r="A10599" s="8" t="str">
        <f>IFERROR(__xludf.DUMMYFUNCTION("IF('(INGESTA)Datos_consumo_datadis'!A10599&lt;&gt;"""",SPLIT('(INGESTA)Datos_consumo_datadis'!A:A,"",""),"""")"),"ES0031408323131005HX0F")</f>
        <v>ES0031408323131005HX0F</v>
      </c>
      <c r="B10599" s="12">
        <f>IFERROR(__xludf.DUMMYFUNCTION("""COMPUTED_VALUE"""),45307.0)</f>
        <v>45307</v>
      </c>
      <c r="C10599" s="13">
        <f>IFERROR(__xludf.DUMMYFUNCTION("""COMPUTED_VALUE"""),0.5833333333333334)</f>
        <v>0.5833333333</v>
      </c>
      <c r="D10599" s="8">
        <f>IFERROR(__xludf.DUMMYFUNCTION("""COMPUTED_VALUE"""),0.066)</f>
        <v>0.066</v>
      </c>
      <c r="E10599" s="8" t="str">
        <f>IFERROR(__xludf.DUMMYFUNCTION("""COMPUTED_VALUE"""),"Real")</f>
        <v>Real</v>
      </c>
      <c r="G10599" s="8">
        <f t="shared" si="1"/>
        <v>1</v>
      </c>
      <c r="H10599" s="14">
        <f t="shared" si="2"/>
        <v>16</v>
      </c>
      <c r="I10599" s="15">
        <f t="shared" si="3"/>
        <v>14</v>
      </c>
    </row>
    <row r="10600">
      <c r="A10600" s="8" t="str">
        <f>IFERROR(__xludf.DUMMYFUNCTION("IF('(INGESTA)Datos_consumo_datadis'!A10600&lt;&gt;"""",SPLIT('(INGESTA)Datos_consumo_datadis'!A:A,"",""),"""")"),"ES0031408323131005HX0F")</f>
        <v>ES0031408323131005HX0F</v>
      </c>
      <c r="B10600" s="12">
        <f>IFERROR(__xludf.DUMMYFUNCTION("""COMPUTED_VALUE"""),45307.0)</f>
        <v>45307</v>
      </c>
      <c r="C10600" s="13">
        <f>IFERROR(__xludf.DUMMYFUNCTION("""COMPUTED_VALUE"""),0.625)</f>
        <v>0.625</v>
      </c>
      <c r="D10600" s="8">
        <f>IFERROR(__xludf.DUMMYFUNCTION("""COMPUTED_VALUE"""),0.059)</f>
        <v>0.059</v>
      </c>
      <c r="E10600" s="8" t="str">
        <f>IFERROR(__xludf.DUMMYFUNCTION("""COMPUTED_VALUE"""),"Real")</f>
        <v>Real</v>
      </c>
      <c r="G10600" s="8">
        <f t="shared" si="1"/>
        <v>1</v>
      </c>
      <c r="H10600" s="14">
        <f t="shared" si="2"/>
        <v>16</v>
      </c>
      <c r="I10600" s="15">
        <f t="shared" si="3"/>
        <v>15</v>
      </c>
    </row>
    <row r="10601">
      <c r="A10601" s="8" t="str">
        <f>IFERROR(__xludf.DUMMYFUNCTION("IF('(INGESTA)Datos_consumo_datadis'!A10601&lt;&gt;"""",SPLIT('(INGESTA)Datos_consumo_datadis'!A:A,"",""),"""")"),"ES0031408323131005HX0F")</f>
        <v>ES0031408323131005HX0F</v>
      </c>
      <c r="B10601" s="12">
        <f>IFERROR(__xludf.DUMMYFUNCTION("""COMPUTED_VALUE"""),45307.0)</f>
        <v>45307</v>
      </c>
      <c r="C10601" s="13">
        <f>IFERROR(__xludf.DUMMYFUNCTION("""COMPUTED_VALUE"""),0.6666666666666666)</f>
        <v>0.6666666667</v>
      </c>
      <c r="D10601" s="8">
        <f>IFERROR(__xludf.DUMMYFUNCTION("""COMPUTED_VALUE"""),0.01)</f>
        <v>0.01</v>
      </c>
      <c r="E10601" s="8" t="str">
        <f>IFERROR(__xludf.DUMMYFUNCTION("""COMPUTED_VALUE"""),"Real")</f>
        <v>Real</v>
      </c>
      <c r="G10601" s="8">
        <f t="shared" si="1"/>
        <v>1</v>
      </c>
      <c r="H10601" s="14">
        <f t="shared" si="2"/>
        <v>16</v>
      </c>
      <c r="I10601" s="15">
        <f t="shared" si="3"/>
        <v>16</v>
      </c>
    </row>
    <row r="10602">
      <c r="A10602" s="8" t="str">
        <f>IFERROR(__xludf.DUMMYFUNCTION("IF('(INGESTA)Datos_consumo_datadis'!A10602&lt;&gt;"""",SPLIT('(INGESTA)Datos_consumo_datadis'!A:A,"",""),"""")"),"ES0031408323131005HX0F")</f>
        <v>ES0031408323131005HX0F</v>
      </c>
      <c r="B10602" s="12">
        <f>IFERROR(__xludf.DUMMYFUNCTION("""COMPUTED_VALUE"""),45307.0)</f>
        <v>45307</v>
      </c>
      <c r="C10602" s="13">
        <f>IFERROR(__xludf.DUMMYFUNCTION("""COMPUTED_VALUE"""),0.7083333333333334)</f>
        <v>0.7083333333</v>
      </c>
      <c r="D10602" s="8">
        <f>IFERROR(__xludf.DUMMYFUNCTION("""COMPUTED_VALUE"""),0.01)</f>
        <v>0.01</v>
      </c>
      <c r="E10602" s="8" t="str">
        <f>IFERROR(__xludf.DUMMYFUNCTION("""COMPUTED_VALUE"""),"Real")</f>
        <v>Real</v>
      </c>
      <c r="G10602" s="8">
        <f t="shared" si="1"/>
        <v>1</v>
      </c>
      <c r="H10602" s="14">
        <f t="shared" si="2"/>
        <v>16</v>
      </c>
      <c r="I10602" s="15">
        <f t="shared" si="3"/>
        <v>17</v>
      </c>
    </row>
    <row r="10603">
      <c r="A10603" s="8" t="str">
        <f>IFERROR(__xludf.DUMMYFUNCTION("IF('(INGESTA)Datos_consumo_datadis'!A10603&lt;&gt;"""",SPLIT('(INGESTA)Datos_consumo_datadis'!A:A,"",""),"""")"),"ES0031408323131005HX0F")</f>
        <v>ES0031408323131005HX0F</v>
      </c>
      <c r="B10603" s="12">
        <f>IFERROR(__xludf.DUMMYFUNCTION("""COMPUTED_VALUE"""),45307.0)</f>
        <v>45307</v>
      </c>
      <c r="C10603" s="13">
        <f>IFERROR(__xludf.DUMMYFUNCTION("""COMPUTED_VALUE"""),0.75)</f>
        <v>0.75</v>
      </c>
      <c r="D10603" s="8">
        <f>IFERROR(__xludf.DUMMYFUNCTION("""COMPUTED_VALUE"""),0.361)</f>
        <v>0.361</v>
      </c>
      <c r="E10603" s="8" t="str">
        <f>IFERROR(__xludf.DUMMYFUNCTION("""COMPUTED_VALUE"""),"Real")</f>
        <v>Real</v>
      </c>
      <c r="G10603" s="8">
        <f t="shared" si="1"/>
        <v>1</v>
      </c>
      <c r="H10603" s="14">
        <f t="shared" si="2"/>
        <v>16</v>
      </c>
      <c r="I10603" s="15">
        <f t="shared" si="3"/>
        <v>18</v>
      </c>
    </row>
    <row r="10604">
      <c r="A10604" s="8" t="str">
        <f>IFERROR(__xludf.DUMMYFUNCTION("IF('(INGESTA)Datos_consumo_datadis'!A10604&lt;&gt;"""",SPLIT('(INGESTA)Datos_consumo_datadis'!A:A,"",""),"""")"),"ES0031408323131005HX0F")</f>
        <v>ES0031408323131005HX0F</v>
      </c>
      <c r="B10604" s="12">
        <f>IFERROR(__xludf.DUMMYFUNCTION("""COMPUTED_VALUE"""),45307.0)</f>
        <v>45307</v>
      </c>
      <c r="C10604" s="13">
        <f>IFERROR(__xludf.DUMMYFUNCTION("""COMPUTED_VALUE"""),0.7916666666666666)</f>
        <v>0.7916666667</v>
      </c>
      <c r="D10604" s="8">
        <f>IFERROR(__xludf.DUMMYFUNCTION("""COMPUTED_VALUE"""),0.039)</f>
        <v>0.039</v>
      </c>
      <c r="E10604" s="8" t="str">
        <f>IFERROR(__xludf.DUMMYFUNCTION("""COMPUTED_VALUE"""),"Real")</f>
        <v>Real</v>
      </c>
      <c r="G10604" s="8">
        <f t="shared" si="1"/>
        <v>1</v>
      </c>
      <c r="H10604" s="14">
        <f t="shared" si="2"/>
        <v>16</v>
      </c>
      <c r="I10604" s="15">
        <f t="shared" si="3"/>
        <v>19</v>
      </c>
    </row>
    <row r="10605">
      <c r="A10605" s="8" t="str">
        <f>IFERROR(__xludf.DUMMYFUNCTION("IF('(INGESTA)Datos_consumo_datadis'!A10605&lt;&gt;"""",SPLIT('(INGESTA)Datos_consumo_datadis'!A:A,"",""),"""")"),"ES0031408323131005HX0F")</f>
        <v>ES0031408323131005HX0F</v>
      </c>
      <c r="B10605" s="12">
        <f>IFERROR(__xludf.DUMMYFUNCTION("""COMPUTED_VALUE"""),45307.0)</f>
        <v>45307</v>
      </c>
      <c r="C10605" s="13">
        <f>IFERROR(__xludf.DUMMYFUNCTION("""COMPUTED_VALUE"""),0.8333333333333334)</f>
        <v>0.8333333333</v>
      </c>
      <c r="D10605" s="8">
        <f>IFERROR(__xludf.DUMMYFUNCTION("""COMPUTED_VALUE"""),0.034)</f>
        <v>0.034</v>
      </c>
      <c r="E10605" s="8" t="str">
        <f>IFERROR(__xludf.DUMMYFUNCTION("""COMPUTED_VALUE"""),"Real")</f>
        <v>Real</v>
      </c>
      <c r="G10605" s="8">
        <f t="shared" si="1"/>
        <v>1</v>
      </c>
      <c r="H10605" s="14">
        <f t="shared" si="2"/>
        <v>16</v>
      </c>
      <c r="I10605" s="15">
        <f t="shared" si="3"/>
        <v>20</v>
      </c>
    </row>
    <row r="10606">
      <c r="A10606" s="8" t="str">
        <f>IFERROR(__xludf.DUMMYFUNCTION("IF('(INGESTA)Datos_consumo_datadis'!A10606&lt;&gt;"""",SPLIT('(INGESTA)Datos_consumo_datadis'!A:A,"",""),"""")"),"ES0031408323131005HX0F")</f>
        <v>ES0031408323131005HX0F</v>
      </c>
      <c r="B10606" s="12">
        <f>IFERROR(__xludf.DUMMYFUNCTION("""COMPUTED_VALUE"""),45307.0)</f>
        <v>45307</v>
      </c>
      <c r="C10606" s="13">
        <f>IFERROR(__xludf.DUMMYFUNCTION("""COMPUTED_VALUE"""),0.875)</f>
        <v>0.875</v>
      </c>
      <c r="D10606" s="8">
        <f>IFERROR(__xludf.DUMMYFUNCTION("""COMPUTED_VALUE"""),0.009)</f>
        <v>0.009</v>
      </c>
      <c r="E10606" s="8" t="str">
        <f>IFERROR(__xludf.DUMMYFUNCTION("""COMPUTED_VALUE"""),"Real")</f>
        <v>Real</v>
      </c>
      <c r="G10606" s="8">
        <f t="shared" si="1"/>
        <v>1</v>
      </c>
      <c r="H10606" s="14">
        <f t="shared" si="2"/>
        <v>16</v>
      </c>
      <c r="I10606" s="15">
        <f t="shared" si="3"/>
        <v>21</v>
      </c>
    </row>
    <row r="10607">
      <c r="A10607" s="8" t="str">
        <f>IFERROR(__xludf.DUMMYFUNCTION("IF('(INGESTA)Datos_consumo_datadis'!A10607&lt;&gt;"""",SPLIT('(INGESTA)Datos_consumo_datadis'!A:A,"",""),"""")"),"ES0031408323131005HX0F")</f>
        <v>ES0031408323131005HX0F</v>
      </c>
      <c r="B10607" s="12">
        <f>IFERROR(__xludf.DUMMYFUNCTION("""COMPUTED_VALUE"""),45307.0)</f>
        <v>45307</v>
      </c>
      <c r="C10607" s="13">
        <f>IFERROR(__xludf.DUMMYFUNCTION("""COMPUTED_VALUE"""),0.9166666666666666)</f>
        <v>0.9166666667</v>
      </c>
      <c r="D10607" s="8">
        <f>IFERROR(__xludf.DUMMYFUNCTION("""COMPUTED_VALUE"""),0.027)</f>
        <v>0.027</v>
      </c>
      <c r="E10607" s="8" t="str">
        <f>IFERROR(__xludf.DUMMYFUNCTION("""COMPUTED_VALUE"""),"Real")</f>
        <v>Real</v>
      </c>
      <c r="G10607" s="8">
        <f t="shared" si="1"/>
        <v>1</v>
      </c>
      <c r="H10607" s="14">
        <f t="shared" si="2"/>
        <v>16</v>
      </c>
      <c r="I10607" s="15">
        <f t="shared" si="3"/>
        <v>22</v>
      </c>
    </row>
    <row r="10608">
      <c r="A10608" s="8" t="str">
        <f>IFERROR(__xludf.DUMMYFUNCTION("IF('(INGESTA)Datos_consumo_datadis'!A10608&lt;&gt;"""",SPLIT('(INGESTA)Datos_consumo_datadis'!A:A,"",""),"""")"),"ES0031408323131005HX0F")</f>
        <v>ES0031408323131005HX0F</v>
      </c>
      <c r="B10608" s="12">
        <f>IFERROR(__xludf.DUMMYFUNCTION("""COMPUTED_VALUE"""),45307.0)</f>
        <v>45307</v>
      </c>
      <c r="C10608" s="13">
        <f>IFERROR(__xludf.DUMMYFUNCTION("""COMPUTED_VALUE"""),0.9583333333333334)</f>
        <v>0.9583333333</v>
      </c>
      <c r="D10608" s="8">
        <f>IFERROR(__xludf.DUMMYFUNCTION("""COMPUTED_VALUE"""),0.346)</f>
        <v>0.346</v>
      </c>
      <c r="E10608" s="8" t="str">
        <f>IFERROR(__xludf.DUMMYFUNCTION("""COMPUTED_VALUE"""),"Real")</f>
        <v>Real</v>
      </c>
      <c r="G10608" s="8">
        <f t="shared" si="1"/>
        <v>1</v>
      </c>
      <c r="H10608" s="14">
        <f t="shared" si="2"/>
        <v>16</v>
      </c>
      <c r="I10608" s="15">
        <f t="shared" si="3"/>
        <v>23</v>
      </c>
    </row>
    <row r="10609">
      <c r="A10609" s="8" t="str">
        <f>IFERROR(__xludf.DUMMYFUNCTION("IF('(INGESTA)Datos_consumo_datadis'!A10609&lt;&gt;"""",SPLIT('(INGESTA)Datos_consumo_datadis'!A:A,"",""),"""")"),"ES0031408323131005HX0F")</f>
        <v>ES0031408323131005HX0F</v>
      </c>
      <c r="B10609" s="12">
        <f>IFERROR(__xludf.DUMMYFUNCTION("""COMPUTED_VALUE"""),45307.0)</f>
        <v>45307</v>
      </c>
      <c r="C10609" s="16">
        <f>IFERROR(__xludf.DUMMYFUNCTION("""COMPUTED_VALUE"""),1.0)</f>
        <v>1</v>
      </c>
      <c r="D10609" s="8">
        <f>IFERROR(__xludf.DUMMYFUNCTION("""COMPUTED_VALUE"""),0.047)</f>
        <v>0.047</v>
      </c>
      <c r="E10609" s="8" t="str">
        <f>IFERROR(__xludf.DUMMYFUNCTION("""COMPUTED_VALUE"""),"Real")</f>
        <v>Real</v>
      </c>
      <c r="G10609" s="8">
        <f t="shared" si="1"/>
        <v>1</v>
      </c>
      <c r="H10609" s="14">
        <f t="shared" si="2"/>
        <v>16</v>
      </c>
      <c r="I10609" s="15">
        <f t="shared" si="3"/>
        <v>0</v>
      </c>
    </row>
    <row r="10610">
      <c r="A10610" s="8" t="str">
        <f>IFERROR(__xludf.DUMMYFUNCTION("IF('(INGESTA)Datos_consumo_datadis'!A10610&lt;&gt;"""",SPLIT('(INGESTA)Datos_consumo_datadis'!A:A,"",""),"""")"),"ES0031408323131005HX0F")</f>
        <v>ES0031408323131005HX0F</v>
      </c>
      <c r="B10610" s="12">
        <f>IFERROR(__xludf.DUMMYFUNCTION("""COMPUTED_VALUE"""),45308.0)</f>
        <v>45308</v>
      </c>
      <c r="C10610" s="13">
        <f>IFERROR(__xludf.DUMMYFUNCTION("""COMPUTED_VALUE"""),0.041666666666666664)</f>
        <v>0.04166666667</v>
      </c>
      <c r="D10610" s="8">
        <f>IFERROR(__xludf.DUMMYFUNCTION("""COMPUTED_VALUE"""),0.02)</f>
        <v>0.02</v>
      </c>
      <c r="E10610" s="8" t="str">
        <f>IFERROR(__xludf.DUMMYFUNCTION("""COMPUTED_VALUE"""),"Real")</f>
        <v>Real</v>
      </c>
      <c r="G10610" s="8">
        <f t="shared" si="1"/>
        <v>1</v>
      </c>
      <c r="H10610" s="14">
        <f t="shared" si="2"/>
        <v>17</v>
      </c>
      <c r="I10610" s="15">
        <f t="shared" si="3"/>
        <v>1</v>
      </c>
    </row>
    <row r="10611">
      <c r="A10611" s="8" t="str">
        <f>IFERROR(__xludf.DUMMYFUNCTION("IF('(INGESTA)Datos_consumo_datadis'!A10611&lt;&gt;"""",SPLIT('(INGESTA)Datos_consumo_datadis'!A:A,"",""),"""")"),"ES0031408323131005HX0F")</f>
        <v>ES0031408323131005HX0F</v>
      </c>
      <c r="B10611" s="12">
        <f>IFERROR(__xludf.DUMMYFUNCTION("""COMPUTED_VALUE"""),45308.0)</f>
        <v>45308</v>
      </c>
      <c r="C10611" s="13">
        <f>IFERROR(__xludf.DUMMYFUNCTION("""COMPUTED_VALUE"""),0.08333333333333333)</f>
        <v>0.08333333333</v>
      </c>
      <c r="D10611" s="8">
        <f>IFERROR(__xludf.DUMMYFUNCTION("""COMPUTED_VALUE"""),0.011)</f>
        <v>0.011</v>
      </c>
      <c r="E10611" s="8" t="str">
        <f>IFERROR(__xludf.DUMMYFUNCTION("""COMPUTED_VALUE"""),"Real")</f>
        <v>Real</v>
      </c>
      <c r="G10611" s="8">
        <f t="shared" si="1"/>
        <v>1</v>
      </c>
      <c r="H10611" s="14">
        <f t="shared" si="2"/>
        <v>17</v>
      </c>
      <c r="I10611" s="15">
        <f t="shared" si="3"/>
        <v>2</v>
      </c>
    </row>
    <row r="10612">
      <c r="A10612" s="8" t="str">
        <f>IFERROR(__xludf.DUMMYFUNCTION("IF('(INGESTA)Datos_consumo_datadis'!A10612&lt;&gt;"""",SPLIT('(INGESTA)Datos_consumo_datadis'!A:A,"",""),"""")"),"ES0031408323131005HX0F")</f>
        <v>ES0031408323131005HX0F</v>
      </c>
      <c r="B10612" s="12">
        <f>IFERROR(__xludf.DUMMYFUNCTION("""COMPUTED_VALUE"""),45308.0)</f>
        <v>45308</v>
      </c>
      <c r="C10612" s="13">
        <f>IFERROR(__xludf.DUMMYFUNCTION("""COMPUTED_VALUE"""),0.125)</f>
        <v>0.125</v>
      </c>
      <c r="D10612" s="8">
        <f>IFERROR(__xludf.DUMMYFUNCTION("""COMPUTED_VALUE"""),0.089)</f>
        <v>0.089</v>
      </c>
      <c r="E10612" s="8" t="str">
        <f>IFERROR(__xludf.DUMMYFUNCTION("""COMPUTED_VALUE"""),"Real")</f>
        <v>Real</v>
      </c>
      <c r="G10612" s="8">
        <f t="shared" si="1"/>
        <v>1</v>
      </c>
      <c r="H10612" s="14">
        <f t="shared" si="2"/>
        <v>17</v>
      </c>
      <c r="I10612" s="15">
        <f t="shared" si="3"/>
        <v>3</v>
      </c>
    </row>
    <row r="10613">
      <c r="A10613" s="8" t="str">
        <f>IFERROR(__xludf.DUMMYFUNCTION("IF('(INGESTA)Datos_consumo_datadis'!A10613&lt;&gt;"""",SPLIT('(INGESTA)Datos_consumo_datadis'!A:A,"",""),"""")"),"ES0031408323131005HX0F")</f>
        <v>ES0031408323131005HX0F</v>
      </c>
      <c r="B10613" s="12">
        <f>IFERROR(__xludf.DUMMYFUNCTION("""COMPUTED_VALUE"""),45308.0)</f>
        <v>45308</v>
      </c>
      <c r="C10613" s="13">
        <f>IFERROR(__xludf.DUMMYFUNCTION("""COMPUTED_VALUE"""),0.16666666666666666)</f>
        <v>0.1666666667</v>
      </c>
      <c r="D10613" s="8">
        <f>IFERROR(__xludf.DUMMYFUNCTION("""COMPUTED_VALUE"""),0.343)</f>
        <v>0.343</v>
      </c>
      <c r="E10613" s="8" t="str">
        <f>IFERROR(__xludf.DUMMYFUNCTION("""COMPUTED_VALUE"""),"Real")</f>
        <v>Real</v>
      </c>
      <c r="G10613" s="8">
        <f t="shared" si="1"/>
        <v>1</v>
      </c>
      <c r="H10613" s="14">
        <f t="shared" si="2"/>
        <v>17</v>
      </c>
      <c r="I10613" s="15">
        <f t="shared" si="3"/>
        <v>4</v>
      </c>
    </row>
    <row r="10614">
      <c r="A10614" s="8" t="str">
        <f>IFERROR(__xludf.DUMMYFUNCTION("IF('(INGESTA)Datos_consumo_datadis'!A10614&lt;&gt;"""",SPLIT('(INGESTA)Datos_consumo_datadis'!A:A,"",""),"""")"),"ES0031408323131005HX0F")</f>
        <v>ES0031408323131005HX0F</v>
      </c>
      <c r="B10614" s="12">
        <f>IFERROR(__xludf.DUMMYFUNCTION("""COMPUTED_VALUE"""),45308.0)</f>
        <v>45308</v>
      </c>
      <c r="C10614" s="13">
        <f>IFERROR(__xludf.DUMMYFUNCTION("""COMPUTED_VALUE"""),0.20833333333333334)</f>
        <v>0.2083333333</v>
      </c>
      <c r="D10614" s="8">
        <f>IFERROR(__xludf.DUMMYFUNCTION("""COMPUTED_VALUE"""),0.033)</f>
        <v>0.033</v>
      </c>
      <c r="E10614" s="8" t="str">
        <f>IFERROR(__xludf.DUMMYFUNCTION("""COMPUTED_VALUE"""),"Real")</f>
        <v>Real</v>
      </c>
      <c r="G10614" s="8">
        <f t="shared" si="1"/>
        <v>1</v>
      </c>
      <c r="H10614" s="14">
        <f t="shared" si="2"/>
        <v>17</v>
      </c>
      <c r="I10614" s="15">
        <f t="shared" si="3"/>
        <v>5</v>
      </c>
    </row>
    <row r="10615">
      <c r="A10615" s="8" t="str">
        <f>IFERROR(__xludf.DUMMYFUNCTION("IF('(INGESTA)Datos_consumo_datadis'!A10615&lt;&gt;"""",SPLIT('(INGESTA)Datos_consumo_datadis'!A:A,"",""),"""")"),"ES0031408323131005HX0F")</f>
        <v>ES0031408323131005HX0F</v>
      </c>
      <c r="B10615" s="12">
        <f>IFERROR(__xludf.DUMMYFUNCTION("""COMPUTED_VALUE"""),45308.0)</f>
        <v>45308</v>
      </c>
      <c r="C10615" s="13">
        <f>IFERROR(__xludf.DUMMYFUNCTION("""COMPUTED_VALUE"""),0.25)</f>
        <v>0.25</v>
      </c>
      <c r="D10615" s="8">
        <f>IFERROR(__xludf.DUMMYFUNCTION("""COMPUTED_VALUE"""),0.01)</f>
        <v>0.01</v>
      </c>
      <c r="E10615" s="8" t="str">
        <f>IFERROR(__xludf.DUMMYFUNCTION("""COMPUTED_VALUE"""),"Real")</f>
        <v>Real</v>
      </c>
      <c r="G10615" s="8">
        <f t="shared" si="1"/>
        <v>1</v>
      </c>
      <c r="H10615" s="14">
        <f t="shared" si="2"/>
        <v>17</v>
      </c>
      <c r="I10615" s="15">
        <f t="shared" si="3"/>
        <v>6</v>
      </c>
    </row>
    <row r="10616">
      <c r="A10616" s="8" t="str">
        <f>IFERROR(__xludf.DUMMYFUNCTION("IF('(INGESTA)Datos_consumo_datadis'!A10616&lt;&gt;"""",SPLIT('(INGESTA)Datos_consumo_datadis'!A:A,"",""),"""")"),"ES0031408323131005HX0F")</f>
        <v>ES0031408323131005HX0F</v>
      </c>
      <c r="B10616" s="12">
        <f>IFERROR(__xludf.DUMMYFUNCTION("""COMPUTED_VALUE"""),45308.0)</f>
        <v>45308</v>
      </c>
      <c r="C10616" s="13">
        <f>IFERROR(__xludf.DUMMYFUNCTION("""COMPUTED_VALUE"""),0.2916666666666667)</f>
        <v>0.2916666667</v>
      </c>
      <c r="D10616" s="8">
        <f>IFERROR(__xludf.DUMMYFUNCTION("""COMPUTED_VALUE"""),0.01)</f>
        <v>0.01</v>
      </c>
      <c r="E10616" s="8" t="str">
        <f>IFERROR(__xludf.DUMMYFUNCTION("""COMPUTED_VALUE"""),"Real")</f>
        <v>Real</v>
      </c>
      <c r="G10616" s="8">
        <f t="shared" si="1"/>
        <v>1</v>
      </c>
      <c r="H10616" s="14">
        <f t="shared" si="2"/>
        <v>17</v>
      </c>
      <c r="I10616" s="15">
        <f t="shared" si="3"/>
        <v>7</v>
      </c>
    </row>
    <row r="10617">
      <c r="A10617" s="8" t="str">
        <f>IFERROR(__xludf.DUMMYFUNCTION("IF('(INGESTA)Datos_consumo_datadis'!A10617&lt;&gt;"""",SPLIT('(INGESTA)Datos_consumo_datadis'!A:A,"",""),"""")"),"ES0031408323131005HX0F")</f>
        <v>ES0031408323131005HX0F</v>
      </c>
      <c r="B10617" s="12">
        <f>IFERROR(__xludf.DUMMYFUNCTION("""COMPUTED_VALUE"""),45308.0)</f>
        <v>45308</v>
      </c>
      <c r="C10617" s="13">
        <f>IFERROR(__xludf.DUMMYFUNCTION("""COMPUTED_VALUE"""),0.3333333333333333)</f>
        <v>0.3333333333</v>
      </c>
      <c r="D10617" s="8">
        <f>IFERROR(__xludf.DUMMYFUNCTION("""COMPUTED_VALUE"""),0.091)</f>
        <v>0.091</v>
      </c>
      <c r="E10617" s="8" t="str">
        <f>IFERROR(__xludf.DUMMYFUNCTION("""COMPUTED_VALUE"""),"Real")</f>
        <v>Real</v>
      </c>
      <c r="G10617" s="8">
        <f t="shared" si="1"/>
        <v>1</v>
      </c>
      <c r="H10617" s="14">
        <f t="shared" si="2"/>
        <v>17</v>
      </c>
      <c r="I10617" s="15">
        <f t="shared" si="3"/>
        <v>8</v>
      </c>
    </row>
    <row r="10618">
      <c r="A10618" s="8" t="str">
        <f>IFERROR(__xludf.DUMMYFUNCTION("IF('(INGESTA)Datos_consumo_datadis'!A10618&lt;&gt;"""",SPLIT('(INGESTA)Datos_consumo_datadis'!A:A,"",""),"""")"),"ES0031408323131005HX0F")</f>
        <v>ES0031408323131005HX0F</v>
      </c>
      <c r="B10618" s="12">
        <f>IFERROR(__xludf.DUMMYFUNCTION("""COMPUTED_VALUE"""),45308.0)</f>
        <v>45308</v>
      </c>
      <c r="C10618" s="13">
        <f>IFERROR(__xludf.DUMMYFUNCTION("""COMPUTED_VALUE"""),0.375)</f>
        <v>0.375</v>
      </c>
      <c r="D10618" s="8">
        <f>IFERROR(__xludf.DUMMYFUNCTION("""COMPUTED_VALUE"""),0.035)</f>
        <v>0.035</v>
      </c>
      <c r="E10618" s="8" t="str">
        <f>IFERROR(__xludf.DUMMYFUNCTION("""COMPUTED_VALUE"""),"Real")</f>
        <v>Real</v>
      </c>
      <c r="G10618" s="8">
        <f t="shared" si="1"/>
        <v>1</v>
      </c>
      <c r="H10618" s="14">
        <f t="shared" si="2"/>
        <v>17</v>
      </c>
      <c r="I10618" s="15">
        <f t="shared" si="3"/>
        <v>9</v>
      </c>
    </row>
    <row r="10619">
      <c r="A10619" s="8" t="str">
        <f>IFERROR(__xludf.DUMMYFUNCTION("IF('(INGESTA)Datos_consumo_datadis'!A10619&lt;&gt;"""",SPLIT('(INGESTA)Datos_consumo_datadis'!A:A,"",""),"""")"),"ES0031408323131005HX0F")</f>
        <v>ES0031408323131005HX0F</v>
      </c>
      <c r="B10619" s="12">
        <f>IFERROR(__xludf.DUMMYFUNCTION("""COMPUTED_VALUE"""),45308.0)</f>
        <v>45308</v>
      </c>
      <c r="C10619" s="13">
        <f>IFERROR(__xludf.DUMMYFUNCTION("""COMPUTED_VALUE"""),0.4166666666666667)</f>
        <v>0.4166666667</v>
      </c>
      <c r="D10619" s="8">
        <f>IFERROR(__xludf.DUMMYFUNCTION("""COMPUTED_VALUE"""),0.299)</f>
        <v>0.299</v>
      </c>
      <c r="E10619" s="8" t="str">
        <f>IFERROR(__xludf.DUMMYFUNCTION("""COMPUTED_VALUE"""),"Real")</f>
        <v>Real</v>
      </c>
      <c r="G10619" s="8">
        <f t="shared" si="1"/>
        <v>1</v>
      </c>
      <c r="H10619" s="14">
        <f t="shared" si="2"/>
        <v>17</v>
      </c>
      <c r="I10619" s="15">
        <f t="shared" si="3"/>
        <v>10</v>
      </c>
    </row>
    <row r="10620">
      <c r="A10620" s="8" t="str">
        <f>IFERROR(__xludf.DUMMYFUNCTION("IF('(INGESTA)Datos_consumo_datadis'!A10620&lt;&gt;"""",SPLIT('(INGESTA)Datos_consumo_datadis'!A:A,"",""),"""")"),"ES0031408323131005HX0F")</f>
        <v>ES0031408323131005HX0F</v>
      </c>
      <c r="B10620" s="12">
        <f>IFERROR(__xludf.DUMMYFUNCTION("""COMPUTED_VALUE"""),45308.0)</f>
        <v>45308</v>
      </c>
      <c r="C10620" s="13">
        <f>IFERROR(__xludf.DUMMYFUNCTION("""COMPUTED_VALUE"""),0.4583333333333333)</f>
        <v>0.4583333333</v>
      </c>
      <c r="D10620" s="8">
        <f>IFERROR(__xludf.DUMMYFUNCTION("""COMPUTED_VALUE"""),0.009)</f>
        <v>0.009</v>
      </c>
      <c r="E10620" s="8" t="str">
        <f>IFERROR(__xludf.DUMMYFUNCTION("""COMPUTED_VALUE"""),"Real")</f>
        <v>Real</v>
      </c>
      <c r="G10620" s="8">
        <f t="shared" si="1"/>
        <v>1</v>
      </c>
      <c r="H10620" s="14">
        <f t="shared" si="2"/>
        <v>17</v>
      </c>
      <c r="I10620" s="15">
        <f t="shared" si="3"/>
        <v>11</v>
      </c>
    </row>
    <row r="10621">
      <c r="A10621" s="8" t="str">
        <f>IFERROR(__xludf.DUMMYFUNCTION("IF('(INGESTA)Datos_consumo_datadis'!A10621&lt;&gt;"""",SPLIT('(INGESTA)Datos_consumo_datadis'!A:A,"",""),"""")"),"ES0031408323131005HX0F")</f>
        <v>ES0031408323131005HX0F</v>
      </c>
      <c r="B10621" s="12">
        <f>IFERROR(__xludf.DUMMYFUNCTION("""COMPUTED_VALUE"""),45308.0)</f>
        <v>45308</v>
      </c>
      <c r="C10621" s="13">
        <f>IFERROR(__xludf.DUMMYFUNCTION("""COMPUTED_VALUE"""),0.5)</f>
        <v>0.5</v>
      </c>
      <c r="D10621" s="8">
        <f>IFERROR(__xludf.DUMMYFUNCTION("""COMPUTED_VALUE"""),0.054)</f>
        <v>0.054</v>
      </c>
      <c r="E10621" s="8" t="str">
        <f>IFERROR(__xludf.DUMMYFUNCTION("""COMPUTED_VALUE"""),"Real")</f>
        <v>Real</v>
      </c>
      <c r="G10621" s="8">
        <f t="shared" si="1"/>
        <v>1</v>
      </c>
      <c r="H10621" s="14">
        <f t="shared" si="2"/>
        <v>17</v>
      </c>
      <c r="I10621" s="15">
        <f t="shared" si="3"/>
        <v>12</v>
      </c>
    </row>
    <row r="10622">
      <c r="A10622" s="8" t="str">
        <f>IFERROR(__xludf.DUMMYFUNCTION("IF('(INGESTA)Datos_consumo_datadis'!A10622&lt;&gt;"""",SPLIT('(INGESTA)Datos_consumo_datadis'!A:A,"",""),"""")"),"ES0031408323131005HX0F")</f>
        <v>ES0031408323131005HX0F</v>
      </c>
      <c r="B10622" s="12">
        <f>IFERROR(__xludf.DUMMYFUNCTION("""COMPUTED_VALUE"""),45308.0)</f>
        <v>45308</v>
      </c>
      <c r="C10622" s="13">
        <f>IFERROR(__xludf.DUMMYFUNCTION("""COMPUTED_VALUE"""),0.5416666666666666)</f>
        <v>0.5416666667</v>
      </c>
      <c r="D10622" s="8">
        <f>IFERROR(__xludf.DUMMYFUNCTION("""COMPUTED_VALUE"""),0.061)</f>
        <v>0.061</v>
      </c>
      <c r="E10622" s="8" t="str">
        <f>IFERROR(__xludf.DUMMYFUNCTION("""COMPUTED_VALUE"""),"Real")</f>
        <v>Real</v>
      </c>
      <c r="G10622" s="8">
        <f t="shared" si="1"/>
        <v>1</v>
      </c>
      <c r="H10622" s="14">
        <f t="shared" si="2"/>
        <v>17</v>
      </c>
      <c r="I10622" s="15">
        <f t="shared" si="3"/>
        <v>13</v>
      </c>
    </row>
    <row r="10623">
      <c r="A10623" s="8" t="str">
        <f>IFERROR(__xludf.DUMMYFUNCTION("IF('(INGESTA)Datos_consumo_datadis'!A10623&lt;&gt;"""",SPLIT('(INGESTA)Datos_consumo_datadis'!A:A,"",""),"""")"),"ES0031408323131005HX0F")</f>
        <v>ES0031408323131005HX0F</v>
      </c>
      <c r="B10623" s="12">
        <f>IFERROR(__xludf.DUMMYFUNCTION("""COMPUTED_VALUE"""),45308.0)</f>
        <v>45308</v>
      </c>
      <c r="C10623" s="13">
        <f>IFERROR(__xludf.DUMMYFUNCTION("""COMPUTED_VALUE"""),0.5833333333333334)</f>
        <v>0.5833333333</v>
      </c>
      <c r="D10623" s="8">
        <f>IFERROR(__xludf.DUMMYFUNCTION("""COMPUTED_VALUE"""),0.043)</f>
        <v>0.043</v>
      </c>
      <c r="E10623" s="8" t="str">
        <f>IFERROR(__xludf.DUMMYFUNCTION("""COMPUTED_VALUE"""),"Real")</f>
        <v>Real</v>
      </c>
      <c r="G10623" s="8">
        <f t="shared" si="1"/>
        <v>1</v>
      </c>
      <c r="H10623" s="14">
        <f t="shared" si="2"/>
        <v>17</v>
      </c>
      <c r="I10623" s="15">
        <f t="shared" si="3"/>
        <v>14</v>
      </c>
    </row>
    <row r="10624">
      <c r="A10624" s="8" t="str">
        <f>IFERROR(__xludf.DUMMYFUNCTION("IF('(INGESTA)Datos_consumo_datadis'!A10624&lt;&gt;"""",SPLIT('(INGESTA)Datos_consumo_datadis'!A:A,"",""),"""")"),"ES0031408323131005HX0F")</f>
        <v>ES0031408323131005HX0F</v>
      </c>
      <c r="B10624" s="12">
        <f>IFERROR(__xludf.DUMMYFUNCTION("""COMPUTED_VALUE"""),45308.0)</f>
        <v>45308</v>
      </c>
      <c r="C10624" s="13">
        <f>IFERROR(__xludf.DUMMYFUNCTION("""COMPUTED_VALUE"""),0.625)</f>
        <v>0.625</v>
      </c>
      <c r="D10624" s="8">
        <f>IFERROR(__xludf.DUMMYFUNCTION("""COMPUTED_VALUE"""),0.272)</f>
        <v>0.272</v>
      </c>
      <c r="E10624" s="8" t="str">
        <f>IFERROR(__xludf.DUMMYFUNCTION("""COMPUTED_VALUE"""),"Real")</f>
        <v>Real</v>
      </c>
      <c r="G10624" s="8">
        <f t="shared" si="1"/>
        <v>1</v>
      </c>
      <c r="H10624" s="14">
        <f t="shared" si="2"/>
        <v>17</v>
      </c>
      <c r="I10624" s="15">
        <f t="shared" si="3"/>
        <v>15</v>
      </c>
    </row>
    <row r="10625">
      <c r="A10625" s="8" t="str">
        <f>IFERROR(__xludf.DUMMYFUNCTION("IF('(INGESTA)Datos_consumo_datadis'!A10625&lt;&gt;"""",SPLIT('(INGESTA)Datos_consumo_datadis'!A:A,"",""),"""")"),"ES0031408323131005HX0F")</f>
        <v>ES0031408323131005HX0F</v>
      </c>
      <c r="B10625" s="12">
        <f>IFERROR(__xludf.DUMMYFUNCTION("""COMPUTED_VALUE"""),45308.0)</f>
        <v>45308</v>
      </c>
      <c r="C10625" s="13">
        <f>IFERROR(__xludf.DUMMYFUNCTION("""COMPUTED_VALUE"""),0.6666666666666666)</f>
        <v>0.6666666667</v>
      </c>
      <c r="D10625" s="8">
        <f>IFERROR(__xludf.DUMMYFUNCTION("""COMPUTED_VALUE"""),0.01)</f>
        <v>0.01</v>
      </c>
      <c r="E10625" s="8" t="str">
        <f>IFERROR(__xludf.DUMMYFUNCTION("""COMPUTED_VALUE"""),"Real")</f>
        <v>Real</v>
      </c>
      <c r="G10625" s="8">
        <f t="shared" si="1"/>
        <v>1</v>
      </c>
      <c r="H10625" s="14">
        <f t="shared" si="2"/>
        <v>17</v>
      </c>
      <c r="I10625" s="15">
        <f t="shared" si="3"/>
        <v>16</v>
      </c>
    </row>
    <row r="10626">
      <c r="A10626" s="8" t="str">
        <f>IFERROR(__xludf.DUMMYFUNCTION("IF('(INGESTA)Datos_consumo_datadis'!A10626&lt;&gt;"""",SPLIT('(INGESTA)Datos_consumo_datadis'!A:A,"",""),"""")"),"ES0031408323131005HX0F")</f>
        <v>ES0031408323131005HX0F</v>
      </c>
      <c r="B10626" s="12">
        <f>IFERROR(__xludf.DUMMYFUNCTION("""COMPUTED_VALUE"""),45308.0)</f>
        <v>45308</v>
      </c>
      <c r="C10626" s="13">
        <f>IFERROR(__xludf.DUMMYFUNCTION("""COMPUTED_VALUE"""),0.7083333333333334)</f>
        <v>0.7083333333</v>
      </c>
      <c r="D10626" s="8">
        <f>IFERROR(__xludf.DUMMYFUNCTION("""COMPUTED_VALUE"""),0.092)</f>
        <v>0.092</v>
      </c>
      <c r="E10626" s="8" t="str">
        <f>IFERROR(__xludf.DUMMYFUNCTION("""COMPUTED_VALUE"""),"Real")</f>
        <v>Real</v>
      </c>
      <c r="G10626" s="8">
        <f t="shared" si="1"/>
        <v>1</v>
      </c>
      <c r="H10626" s="14">
        <f t="shared" si="2"/>
        <v>17</v>
      </c>
      <c r="I10626" s="15">
        <f t="shared" si="3"/>
        <v>17</v>
      </c>
    </row>
    <row r="10627">
      <c r="A10627" s="8" t="str">
        <f>IFERROR(__xludf.DUMMYFUNCTION("IF('(INGESTA)Datos_consumo_datadis'!A10627&lt;&gt;"""",SPLIT('(INGESTA)Datos_consumo_datadis'!A:A,"",""),"""")"),"ES0031408323131005HX0F")</f>
        <v>ES0031408323131005HX0F</v>
      </c>
      <c r="B10627" s="12">
        <f>IFERROR(__xludf.DUMMYFUNCTION("""COMPUTED_VALUE"""),45308.0)</f>
        <v>45308</v>
      </c>
      <c r="C10627" s="13">
        <f>IFERROR(__xludf.DUMMYFUNCTION("""COMPUTED_VALUE"""),0.75)</f>
        <v>0.75</v>
      </c>
      <c r="D10627" s="8">
        <f>IFERROR(__xludf.DUMMYFUNCTION("""COMPUTED_VALUE"""),0.033)</f>
        <v>0.033</v>
      </c>
      <c r="E10627" s="8" t="str">
        <f>IFERROR(__xludf.DUMMYFUNCTION("""COMPUTED_VALUE"""),"Real")</f>
        <v>Real</v>
      </c>
      <c r="G10627" s="8">
        <f t="shared" si="1"/>
        <v>1</v>
      </c>
      <c r="H10627" s="14">
        <f t="shared" si="2"/>
        <v>17</v>
      </c>
      <c r="I10627" s="15">
        <f t="shared" si="3"/>
        <v>18</v>
      </c>
    </row>
    <row r="10628">
      <c r="A10628" s="8" t="str">
        <f>IFERROR(__xludf.DUMMYFUNCTION("IF('(INGESTA)Datos_consumo_datadis'!A10628&lt;&gt;"""",SPLIT('(INGESTA)Datos_consumo_datadis'!A:A,"",""),"""")"),"ES0031408323131005HX0F")</f>
        <v>ES0031408323131005HX0F</v>
      </c>
      <c r="B10628" s="12">
        <f>IFERROR(__xludf.DUMMYFUNCTION("""COMPUTED_VALUE"""),45308.0)</f>
        <v>45308</v>
      </c>
      <c r="C10628" s="13">
        <f>IFERROR(__xludf.DUMMYFUNCTION("""COMPUTED_VALUE"""),0.7916666666666666)</f>
        <v>0.7916666667</v>
      </c>
      <c r="D10628" s="8">
        <f>IFERROR(__xludf.DUMMYFUNCTION("""COMPUTED_VALUE"""),0.034)</f>
        <v>0.034</v>
      </c>
      <c r="E10628" s="8" t="str">
        <f>IFERROR(__xludf.DUMMYFUNCTION("""COMPUTED_VALUE"""),"Real")</f>
        <v>Real</v>
      </c>
      <c r="G10628" s="8">
        <f t="shared" si="1"/>
        <v>1</v>
      </c>
      <c r="H10628" s="14">
        <f t="shared" si="2"/>
        <v>17</v>
      </c>
      <c r="I10628" s="15">
        <f t="shared" si="3"/>
        <v>19</v>
      </c>
    </row>
    <row r="10629">
      <c r="A10629" s="8" t="str">
        <f>IFERROR(__xludf.DUMMYFUNCTION("IF('(INGESTA)Datos_consumo_datadis'!A10629&lt;&gt;"""",SPLIT('(INGESTA)Datos_consumo_datadis'!A:A,"",""),"""")"),"ES0031408323131005HX0F")</f>
        <v>ES0031408323131005HX0F</v>
      </c>
      <c r="B10629" s="12">
        <f>IFERROR(__xludf.DUMMYFUNCTION("""COMPUTED_VALUE"""),45308.0)</f>
        <v>45308</v>
      </c>
      <c r="C10629" s="13">
        <f>IFERROR(__xludf.DUMMYFUNCTION("""COMPUTED_VALUE"""),0.8333333333333334)</f>
        <v>0.8333333333</v>
      </c>
      <c r="D10629" s="8">
        <f>IFERROR(__xludf.DUMMYFUNCTION("""COMPUTED_VALUE"""),0.295)</f>
        <v>0.295</v>
      </c>
      <c r="E10629" s="8" t="str">
        <f>IFERROR(__xludf.DUMMYFUNCTION("""COMPUTED_VALUE"""),"Real")</f>
        <v>Real</v>
      </c>
      <c r="G10629" s="8">
        <f t="shared" si="1"/>
        <v>1</v>
      </c>
      <c r="H10629" s="14">
        <f t="shared" si="2"/>
        <v>17</v>
      </c>
      <c r="I10629" s="15">
        <f t="shared" si="3"/>
        <v>20</v>
      </c>
    </row>
    <row r="10630">
      <c r="A10630" s="8" t="str">
        <f>IFERROR(__xludf.DUMMYFUNCTION("IF('(INGESTA)Datos_consumo_datadis'!A10630&lt;&gt;"""",SPLIT('(INGESTA)Datos_consumo_datadis'!A:A,"",""),"""")"),"ES0031408323131005HX0F")</f>
        <v>ES0031408323131005HX0F</v>
      </c>
      <c r="B10630" s="12">
        <f>IFERROR(__xludf.DUMMYFUNCTION("""COMPUTED_VALUE"""),45308.0)</f>
        <v>45308</v>
      </c>
      <c r="C10630" s="13">
        <f>IFERROR(__xludf.DUMMYFUNCTION("""COMPUTED_VALUE"""),0.875)</f>
        <v>0.875</v>
      </c>
      <c r="D10630" s="8">
        <f>IFERROR(__xludf.DUMMYFUNCTION("""COMPUTED_VALUE"""),0.041)</f>
        <v>0.041</v>
      </c>
      <c r="E10630" s="8" t="str">
        <f>IFERROR(__xludf.DUMMYFUNCTION("""COMPUTED_VALUE"""),"Real")</f>
        <v>Real</v>
      </c>
      <c r="G10630" s="8">
        <f t="shared" si="1"/>
        <v>1</v>
      </c>
      <c r="H10630" s="14">
        <f t="shared" si="2"/>
        <v>17</v>
      </c>
      <c r="I10630" s="15">
        <f t="shared" si="3"/>
        <v>21</v>
      </c>
    </row>
    <row r="10631">
      <c r="A10631" s="8" t="str">
        <f>IFERROR(__xludf.DUMMYFUNCTION("IF('(INGESTA)Datos_consumo_datadis'!A10631&lt;&gt;"""",SPLIT('(INGESTA)Datos_consumo_datadis'!A:A,"",""),"""")"),"ES0031408323131005HX0F")</f>
        <v>ES0031408323131005HX0F</v>
      </c>
      <c r="B10631" s="12">
        <f>IFERROR(__xludf.DUMMYFUNCTION("""COMPUTED_VALUE"""),45308.0)</f>
        <v>45308</v>
      </c>
      <c r="C10631" s="13">
        <f>IFERROR(__xludf.DUMMYFUNCTION("""COMPUTED_VALUE"""),0.9166666666666666)</f>
        <v>0.9166666667</v>
      </c>
      <c r="D10631" s="8">
        <f>IFERROR(__xludf.DUMMYFUNCTION("""COMPUTED_VALUE"""),0.071)</f>
        <v>0.071</v>
      </c>
      <c r="E10631" s="8" t="str">
        <f>IFERROR(__xludf.DUMMYFUNCTION("""COMPUTED_VALUE"""),"Real")</f>
        <v>Real</v>
      </c>
      <c r="G10631" s="8">
        <f t="shared" si="1"/>
        <v>1</v>
      </c>
      <c r="H10631" s="14">
        <f t="shared" si="2"/>
        <v>17</v>
      </c>
      <c r="I10631" s="15">
        <f t="shared" si="3"/>
        <v>22</v>
      </c>
    </row>
    <row r="10632">
      <c r="A10632" s="8" t="str">
        <f>IFERROR(__xludf.DUMMYFUNCTION("IF('(INGESTA)Datos_consumo_datadis'!A10632&lt;&gt;"""",SPLIT('(INGESTA)Datos_consumo_datadis'!A:A,"",""),"""")"),"ES0031408323131005HX0F")</f>
        <v>ES0031408323131005HX0F</v>
      </c>
      <c r="B10632" s="12">
        <f>IFERROR(__xludf.DUMMYFUNCTION("""COMPUTED_VALUE"""),45308.0)</f>
        <v>45308</v>
      </c>
      <c r="C10632" s="13">
        <f>IFERROR(__xludf.DUMMYFUNCTION("""COMPUTED_VALUE"""),0.9583333333333334)</f>
        <v>0.9583333333</v>
      </c>
      <c r="D10632" s="8">
        <f>IFERROR(__xludf.DUMMYFUNCTION("""COMPUTED_VALUE"""),0.046)</f>
        <v>0.046</v>
      </c>
      <c r="E10632" s="8" t="str">
        <f>IFERROR(__xludf.DUMMYFUNCTION("""COMPUTED_VALUE"""),"Real")</f>
        <v>Real</v>
      </c>
      <c r="G10632" s="8">
        <f t="shared" si="1"/>
        <v>1</v>
      </c>
      <c r="H10632" s="14">
        <f t="shared" si="2"/>
        <v>17</v>
      </c>
      <c r="I10632" s="15">
        <f t="shared" si="3"/>
        <v>23</v>
      </c>
    </row>
    <row r="10633">
      <c r="A10633" s="8" t="str">
        <f>IFERROR(__xludf.DUMMYFUNCTION("IF('(INGESTA)Datos_consumo_datadis'!A10633&lt;&gt;"""",SPLIT('(INGESTA)Datos_consumo_datadis'!A:A,"",""),"""")"),"ES0031408323131005HX0F")</f>
        <v>ES0031408323131005HX0F</v>
      </c>
      <c r="B10633" s="12">
        <f>IFERROR(__xludf.DUMMYFUNCTION("""COMPUTED_VALUE"""),45308.0)</f>
        <v>45308</v>
      </c>
      <c r="C10633" s="16">
        <f>IFERROR(__xludf.DUMMYFUNCTION("""COMPUTED_VALUE"""),1.0)</f>
        <v>1</v>
      </c>
      <c r="D10633" s="8">
        <f>IFERROR(__xludf.DUMMYFUNCTION("""COMPUTED_VALUE"""),0.023)</f>
        <v>0.023</v>
      </c>
      <c r="E10633" s="8" t="str">
        <f>IFERROR(__xludf.DUMMYFUNCTION("""COMPUTED_VALUE"""),"Real")</f>
        <v>Real</v>
      </c>
      <c r="G10633" s="8">
        <f t="shared" si="1"/>
        <v>1</v>
      </c>
      <c r="H10633" s="14">
        <f t="shared" si="2"/>
        <v>17</v>
      </c>
      <c r="I10633" s="15">
        <f t="shared" si="3"/>
        <v>0</v>
      </c>
    </row>
    <row r="10634">
      <c r="A10634" s="8" t="str">
        <f>IFERROR(__xludf.DUMMYFUNCTION("IF('(INGESTA)Datos_consumo_datadis'!A10634&lt;&gt;"""",SPLIT('(INGESTA)Datos_consumo_datadis'!A:A,"",""),"""")"),"ES0031408323131005HX0F")</f>
        <v>ES0031408323131005HX0F</v>
      </c>
      <c r="B10634" s="12">
        <f>IFERROR(__xludf.DUMMYFUNCTION("""COMPUTED_VALUE"""),45309.0)</f>
        <v>45309</v>
      </c>
      <c r="C10634" s="13">
        <f>IFERROR(__xludf.DUMMYFUNCTION("""COMPUTED_VALUE"""),0.041666666666666664)</f>
        <v>0.04166666667</v>
      </c>
      <c r="D10634" s="8">
        <f>IFERROR(__xludf.DUMMYFUNCTION("""COMPUTED_VALUE"""),0.261)</f>
        <v>0.261</v>
      </c>
      <c r="E10634" s="8" t="str">
        <f>IFERROR(__xludf.DUMMYFUNCTION("""COMPUTED_VALUE"""),"Real")</f>
        <v>Real</v>
      </c>
      <c r="G10634" s="8">
        <f t="shared" si="1"/>
        <v>1</v>
      </c>
      <c r="H10634" s="14">
        <f t="shared" si="2"/>
        <v>18</v>
      </c>
      <c r="I10634" s="15">
        <f t="shared" si="3"/>
        <v>1</v>
      </c>
    </row>
    <row r="10635">
      <c r="A10635" s="8" t="str">
        <f>IFERROR(__xludf.DUMMYFUNCTION("IF('(INGESTA)Datos_consumo_datadis'!A10635&lt;&gt;"""",SPLIT('(INGESTA)Datos_consumo_datadis'!A:A,"",""),"""")"),"ES0031408323131005HX0F")</f>
        <v>ES0031408323131005HX0F</v>
      </c>
      <c r="B10635" s="12">
        <f>IFERROR(__xludf.DUMMYFUNCTION("""COMPUTED_VALUE"""),45309.0)</f>
        <v>45309</v>
      </c>
      <c r="C10635" s="13">
        <f>IFERROR(__xludf.DUMMYFUNCTION("""COMPUTED_VALUE"""),0.08333333333333333)</f>
        <v>0.08333333333</v>
      </c>
      <c r="D10635" s="8">
        <f>IFERROR(__xludf.DUMMYFUNCTION("""COMPUTED_VALUE"""),0.067)</f>
        <v>0.067</v>
      </c>
      <c r="E10635" s="8" t="str">
        <f>IFERROR(__xludf.DUMMYFUNCTION("""COMPUTED_VALUE"""),"Real")</f>
        <v>Real</v>
      </c>
      <c r="G10635" s="8">
        <f t="shared" si="1"/>
        <v>1</v>
      </c>
      <c r="H10635" s="14">
        <f t="shared" si="2"/>
        <v>18</v>
      </c>
      <c r="I10635" s="15">
        <f t="shared" si="3"/>
        <v>2</v>
      </c>
    </row>
    <row r="10636">
      <c r="A10636" s="8" t="str">
        <f>IFERROR(__xludf.DUMMYFUNCTION("IF('(INGESTA)Datos_consumo_datadis'!A10636&lt;&gt;"""",SPLIT('(INGESTA)Datos_consumo_datadis'!A:A,"",""),"""")"),"ES0031408323131005HX0F")</f>
        <v>ES0031408323131005HX0F</v>
      </c>
      <c r="B10636" s="12">
        <f>IFERROR(__xludf.DUMMYFUNCTION("""COMPUTED_VALUE"""),45309.0)</f>
        <v>45309</v>
      </c>
      <c r="C10636" s="13">
        <f>IFERROR(__xludf.DUMMYFUNCTION("""COMPUTED_VALUE"""),0.125)</f>
        <v>0.125</v>
      </c>
      <c r="D10636" s="8">
        <f>IFERROR(__xludf.DUMMYFUNCTION("""COMPUTED_VALUE"""),0.079)</f>
        <v>0.079</v>
      </c>
      <c r="E10636" s="8" t="str">
        <f>IFERROR(__xludf.DUMMYFUNCTION("""COMPUTED_VALUE"""),"Real")</f>
        <v>Real</v>
      </c>
      <c r="G10636" s="8">
        <f t="shared" si="1"/>
        <v>1</v>
      </c>
      <c r="H10636" s="14">
        <f t="shared" si="2"/>
        <v>18</v>
      </c>
      <c r="I10636" s="15">
        <f t="shared" si="3"/>
        <v>3</v>
      </c>
    </row>
    <row r="10637">
      <c r="A10637" s="8" t="str">
        <f>IFERROR(__xludf.DUMMYFUNCTION("IF('(INGESTA)Datos_consumo_datadis'!A10637&lt;&gt;"""",SPLIT('(INGESTA)Datos_consumo_datadis'!A:A,"",""),"""")"),"ES0031408323131005HX0F")</f>
        <v>ES0031408323131005HX0F</v>
      </c>
      <c r="B10637" s="12">
        <f>IFERROR(__xludf.DUMMYFUNCTION("""COMPUTED_VALUE"""),45309.0)</f>
        <v>45309</v>
      </c>
      <c r="C10637" s="13">
        <f>IFERROR(__xludf.DUMMYFUNCTION("""COMPUTED_VALUE"""),0.16666666666666666)</f>
        <v>0.1666666667</v>
      </c>
      <c r="D10637" s="8">
        <f>IFERROR(__xludf.DUMMYFUNCTION("""COMPUTED_VALUE"""),0.048)</f>
        <v>0.048</v>
      </c>
      <c r="E10637" s="8" t="str">
        <f>IFERROR(__xludf.DUMMYFUNCTION("""COMPUTED_VALUE"""),"Real")</f>
        <v>Real</v>
      </c>
      <c r="G10637" s="8">
        <f t="shared" si="1"/>
        <v>1</v>
      </c>
      <c r="H10637" s="14">
        <f t="shared" si="2"/>
        <v>18</v>
      </c>
      <c r="I10637" s="15">
        <f t="shared" si="3"/>
        <v>4</v>
      </c>
    </row>
    <row r="10638">
      <c r="A10638" s="8" t="str">
        <f>IFERROR(__xludf.DUMMYFUNCTION("IF('(INGESTA)Datos_consumo_datadis'!A10638&lt;&gt;"""",SPLIT('(INGESTA)Datos_consumo_datadis'!A:A,"",""),"""")"),"ES0031408323131005HX0F")</f>
        <v>ES0031408323131005HX0F</v>
      </c>
      <c r="B10638" s="12">
        <f>IFERROR(__xludf.DUMMYFUNCTION("""COMPUTED_VALUE"""),45309.0)</f>
        <v>45309</v>
      </c>
      <c r="C10638" s="13">
        <f>IFERROR(__xludf.DUMMYFUNCTION("""COMPUTED_VALUE"""),0.20833333333333334)</f>
        <v>0.2083333333</v>
      </c>
      <c r="D10638" s="8">
        <f>IFERROR(__xludf.DUMMYFUNCTION("""COMPUTED_VALUE"""),0.009)</f>
        <v>0.009</v>
      </c>
      <c r="E10638" s="8" t="str">
        <f>IFERROR(__xludf.DUMMYFUNCTION("""COMPUTED_VALUE"""),"Real")</f>
        <v>Real</v>
      </c>
      <c r="G10638" s="8">
        <f t="shared" si="1"/>
        <v>1</v>
      </c>
      <c r="H10638" s="14">
        <f t="shared" si="2"/>
        <v>18</v>
      </c>
      <c r="I10638" s="15">
        <f t="shared" si="3"/>
        <v>5</v>
      </c>
    </row>
    <row r="10639">
      <c r="A10639" s="8" t="str">
        <f>IFERROR(__xludf.DUMMYFUNCTION("IF('(INGESTA)Datos_consumo_datadis'!A10639&lt;&gt;"""",SPLIT('(INGESTA)Datos_consumo_datadis'!A:A,"",""),"""")"),"ES0031408323131005HX0F")</f>
        <v>ES0031408323131005HX0F</v>
      </c>
      <c r="B10639" s="12">
        <f>IFERROR(__xludf.DUMMYFUNCTION("""COMPUTED_VALUE"""),45309.0)</f>
        <v>45309</v>
      </c>
      <c r="C10639" s="13">
        <f>IFERROR(__xludf.DUMMYFUNCTION("""COMPUTED_VALUE"""),0.25)</f>
        <v>0.25</v>
      </c>
      <c r="D10639" s="8">
        <f>IFERROR(__xludf.DUMMYFUNCTION("""COMPUTED_VALUE"""),0.289)</f>
        <v>0.289</v>
      </c>
      <c r="E10639" s="8" t="str">
        <f>IFERROR(__xludf.DUMMYFUNCTION("""COMPUTED_VALUE"""),"Real")</f>
        <v>Real</v>
      </c>
      <c r="G10639" s="8">
        <f t="shared" si="1"/>
        <v>1</v>
      </c>
      <c r="H10639" s="14">
        <f t="shared" si="2"/>
        <v>18</v>
      </c>
      <c r="I10639" s="15">
        <f t="shared" si="3"/>
        <v>6</v>
      </c>
    </row>
    <row r="10640">
      <c r="A10640" s="8" t="str">
        <f>IFERROR(__xludf.DUMMYFUNCTION("IF('(INGESTA)Datos_consumo_datadis'!A10640&lt;&gt;"""",SPLIT('(INGESTA)Datos_consumo_datadis'!A:A,"",""),"""")"),"ES0031408323131005HX0F")</f>
        <v>ES0031408323131005HX0F</v>
      </c>
      <c r="B10640" s="12">
        <f>IFERROR(__xludf.DUMMYFUNCTION("""COMPUTED_VALUE"""),45309.0)</f>
        <v>45309</v>
      </c>
      <c r="C10640" s="13">
        <f>IFERROR(__xludf.DUMMYFUNCTION("""COMPUTED_VALUE"""),0.2916666666666667)</f>
        <v>0.2916666667</v>
      </c>
      <c r="D10640" s="8">
        <f>IFERROR(__xludf.DUMMYFUNCTION("""COMPUTED_VALUE"""),0.094)</f>
        <v>0.094</v>
      </c>
      <c r="E10640" s="8" t="str">
        <f>IFERROR(__xludf.DUMMYFUNCTION("""COMPUTED_VALUE"""),"Real")</f>
        <v>Real</v>
      </c>
      <c r="G10640" s="8">
        <f t="shared" si="1"/>
        <v>1</v>
      </c>
      <c r="H10640" s="14">
        <f t="shared" si="2"/>
        <v>18</v>
      </c>
      <c r="I10640" s="15">
        <f t="shared" si="3"/>
        <v>7</v>
      </c>
    </row>
    <row r="10641">
      <c r="A10641" s="8" t="str">
        <f>IFERROR(__xludf.DUMMYFUNCTION("IF('(INGESTA)Datos_consumo_datadis'!A10641&lt;&gt;"""",SPLIT('(INGESTA)Datos_consumo_datadis'!A:A,"",""),"""")"),"ES0031408323131005HX0F")</f>
        <v>ES0031408323131005HX0F</v>
      </c>
      <c r="B10641" s="12">
        <f>IFERROR(__xludf.DUMMYFUNCTION("""COMPUTED_VALUE"""),45309.0)</f>
        <v>45309</v>
      </c>
      <c r="C10641" s="13">
        <f>IFERROR(__xludf.DUMMYFUNCTION("""COMPUTED_VALUE"""),0.3333333333333333)</f>
        <v>0.3333333333</v>
      </c>
      <c r="D10641" s="8">
        <f>IFERROR(__xludf.DUMMYFUNCTION("""COMPUTED_VALUE"""),0.04)</f>
        <v>0.04</v>
      </c>
      <c r="E10641" s="8" t="str">
        <f>IFERROR(__xludf.DUMMYFUNCTION("""COMPUTED_VALUE"""),"Real")</f>
        <v>Real</v>
      </c>
      <c r="G10641" s="8">
        <f t="shared" si="1"/>
        <v>1</v>
      </c>
      <c r="H10641" s="14">
        <f t="shared" si="2"/>
        <v>18</v>
      </c>
      <c r="I10641" s="15">
        <f t="shared" si="3"/>
        <v>8</v>
      </c>
    </row>
    <row r="10642">
      <c r="A10642" s="8" t="str">
        <f>IFERROR(__xludf.DUMMYFUNCTION("IF('(INGESTA)Datos_consumo_datadis'!A10642&lt;&gt;"""",SPLIT('(INGESTA)Datos_consumo_datadis'!A:A,"",""),"""")"),"ES0031408323131005HX0F")</f>
        <v>ES0031408323131005HX0F</v>
      </c>
      <c r="B10642" s="12">
        <f>IFERROR(__xludf.DUMMYFUNCTION("""COMPUTED_VALUE"""),45309.0)</f>
        <v>45309</v>
      </c>
      <c r="C10642" s="13">
        <f>IFERROR(__xludf.DUMMYFUNCTION("""COMPUTED_VALUE"""),0.375)</f>
        <v>0.375</v>
      </c>
      <c r="D10642" s="8">
        <f>IFERROR(__xludf.DUMMYFUNCTION("""COMPUTED_VALUE"""),0.033)</f>
        <v>0.033</v>
      </c>
      <c r="E10642" s="8" t="str">
        <f>IFERROR(__xludf.DUMMYFUNCTION("""COMPUTED_VALUE"""),"Real")</f>
        <v>Real</v>
      </c>
      <c r="G10642" s="8">
        <f t="shared" si="1"/>
        <v>1</v>
      </c>
      <c r="H10642" s="14">
        <f t="shared" si="2"/>
        <v>18</v>
      </c>
      <c r="I10642" s="15">
        <f t="shared" si="3"/>
        <v>9</v>
      </c>
    </row>
    <row r="10643">
      <c r="A10643" s="8" t="str">
        <f>IFERROR(__xludf.DUMMYFUNCTION("IF('(INGESTA)Datos_consumo_datadis'!A10643&lt;&gt;"""",SPLIT('(INGESTA)Datos_consumo_datadis'!A:A,"",""),"""")"),"ES0031408323131005HX0F")</f>
        <v>ES0031408323131005HX0F</v>
      </c>
      <c r="B10643" s="12">
        <f>IFERROR(__xludf.DUMMYFUNCTION("""COMPUTED_VALUE"""),45309.0)</f>
        <v>45309</v>
      </c>
      <c r="C10643" s="13">
        <f>IFERROR(__xludf.DUMMYFUNCTION("""COMPUTED_VALUE"""),0.4166666666666667)</f>
        <v>0.4166666667</v>
      </c>
      <c r="D10643" s="8">
        <f>IFERROR(__xludf.DUMMYFUNCTION("""COMPUTED_VALUE"""),0.01)</f>
        <v>0.01</v>
      </c>
      <c r="E10643" s="8" t="str">
        <f>IFERROR(__xludf.DUMMYFUNCTION("""COMPUTED_VALUE"""),"Real")</f>
        <v>Real</v>
      </c>
      <c r="G10643" s="8">
        <f t="shared" si="1"/>
        <v>1</v>
      </c>
      <c r="H10643" s="14">
        <f t="shared" si="2"/>
        <v>18</v>
      </c>
      <c r="I10643" s="15">
        <f t="shared" si="3"/>
        <v>10</v>
      </c>
    </row>
    <row r="10644">
      <c r="A10644" s="8" t="str">
        <f>IFERROR(__xludf.DUMMYFUNCTION("IF('(INGESTA)Datos_consumo_datadis'!A10644&lt;&gt;"""",SPLIT('(INGESTA)Datos_consumo_datadis'!A:A,"",""),"""")"),"ES0031408323131005HX0F")</f>
        <v>ES0031408323131005HX0F</v>
      </c>
      <c r="B10644" s="12">
        <f>IFERROR(__xludf.DUMMYFUNCTION("""COMPUTED_VALUE"""),45309.0)</f>
        <v>45309</v>
      </c>
      <c r="C10644" s="13">
        <f>IFERROR(__xludf.DUMMYFUNCTION("""COMPUTED_VALUE"""),0.4583333333333333)</f>
        <v>0.4583333333</v>
      </c>
      <c r="D10644" s="8">
        <f>IFERROR(__xludf.DUMMYFUNCTION("""COMPUTED_VALUE"""),0.022)</f>
        <v>0.022</v>
      </c>
      <c r="E10644" s="8" t="str">
        <f>IFERROR(__xludf.DUMMYFUNCTION("""COMPUTED_VALUE"""),"Real")</f>
        <v>Real</v>
      </c>
      <c r="G10644" s="8">
        <f t="shared" si="1"/>
        <v>1</v>
      </c>
      <c r="H10644" s="14">
        <f t="shared" si="2"/>
        <v>18</v>
      </c>
      <c r="I10644" s="15">
        <f t="shared" si="3"/>
        <v>11</v>
      </c>
    </row>
    <row r="10645">
      <c r="A10645" s="8" t="str">
        <f>IFERROR(__xludf.DUMMYFUNCTION("IF('(INGESTA)Datos_consumo_datadis'!A10645&lt;&gt;"""",SPLIT('(INGESTA)Datos_consumo_datadis'!A:A,"",""),"""")"),"ES0031408323131005HX0F")</f>
        <v>ES0031408323131005HX0F</v>
      </c>
      <c r="B10645" s="12">
        <f>IFERROR(__xludf.DUMMYFUNCTION("""COMPUTED_VALUE"""),45309.0)</f>
        <v>45309</v>
      </c>
      <c r="C10645" s="13">
        <f>IFERROR(__xludf.DUMMYFUNCTION("""COMPUTED_VALUE"""),0.5)</f>
        <v>0.5</v>
      </c>
      <c r="D10645" s="8">
        <f>IFERROR(__xludf.DUMMYFUNCTION("""COMPUTED_VALUE"""),0.367)</f>
        <v>0.367</v>
      </c>
      <c r="E10645" s="8" t="str">
        <f>IFERROR(__xludf.DUMMYFUNCTION("""COMPUTED_VALUE"""),"Real")</f>
        <v>Real</v>
      </c>
      <c r="G10645" s="8">
        <f t="shared" si="1"/>
        <v>1</v>
      </c>
      <c r="H10645" s="14">
        <f t="shared" si="2"/>
        <v>18</v>
      </c>
      <c r="I10645" s="15">
        <f t="shared" si="3"/>
        <v>12</v>
      </c>
    </row>
    <row r="10646">
      <c r="A10646" s="8" t="str">
        <f>IFERROR(__xludf.DUMMYFUNCTION("IF('(INGESTA)Datos_consumo_datadis'!A10646&lt;&gt;"""",SPLIT('(INGESTA)Datos_consumo_datadis'!A:A,"",""),"""")"),"ES0031408323131005HX0F")</f>
        <v>ES0031408323131005HX0F</v>
      </c>
      <c r="B10646" s="12">
        <f>IFERROR(__xludf.DUMMYFUNCTION("""COMPUTED_VALUE"""),45309.0)</f>
        <v>45309</v>
      </c>
      <c r="C10646" s="13">
        <f>IFERROR(__xludf.DUMMYFUNCTION("""COMPUTED_VALUE"""),0.5416666666666666)</f>
        <v>0.5416666667</v>
      </c>
      <c r="D10646" s="8">
        <f>IFERROR(__xludf.DUMMYFUNCTION("""COMPUTED_VALUE"""),0.035)</f>
        <v>0.035</v>
      </c>
      <c r="E10646" s="8" t="str">
        <f>IFERROR(__xludf.DUMMYFUNCTION("""COMPUTED_VALUE"""),"Real")</f>
        <v>Real</v>
      </c>
      <c r="G10646" s="8">
        <f t="shared" si="1"/>
        <v>1</v>
      </c>
      <c r="H10646" s="14">
        <f t="shared" si="2"/>
        <v>18</v>
      </c>
      <c r="I10646" s="15">
        <f t="shared" si="3"/>
        <v>13</v>
      </c>
    </row>
    <row r="10647">
      <c r="A10647" s="8" t="str">
        <f>IFERROR(__xludf.DUMMYFUNCTION("IF('(INGESTA)Datos_consumo_datadis'!A10647&lt;&gt;"""",SPLIT('(INGESTA)Datos_consumo_datadis'!A:A,"",""),"""")"),"ES0031408323131005HX0F")</f>
        <v>ES0031408323131005HX0F</v>
      </c>
      <c r="B10647" s="12">
        <f>IFERROR(__xludf.DUMMYFUNCTION("""COMPUTED_VALUE"""),45309.0)</f>
        <v>45309</v>
      </c>
      <c r="C10647" s="13">
        <f>IFERROR(__xludf.DUMMYFUNCTION("""COMPUTED_VALUE"""),0.5833333333333334)</f>
        <v>0.5833333333</v>
      </c>
      <c r="D10647" s="8">
        <f>IFERROR(__xludf.DUMMYFUNCTION("""COMPUTED_VALUE"""),0.034)</f>
        <v>0.034</v>
      </c>
      <c r="E10647" s="8" t="str">
        <f>IFERROR(__xludf.DUMMYFUNCTION("""COMPUTED_VALUE"""),"Real")</f>
        <v>Real</v>
      </c>
      <c r="G10647" s="8">
        <f t="shared" si="1"/>
        <v>1</v>
      </c>
      <c r="H10647" s="14">
        <f t="shared" si="2"/>
        <v>18</v>
      </c>
      <c r="I10647" s="15">
        <f t="shared" si="3"/>
        <v>14</v>
      </c>
    </row>
    <row r="10648">
      <c r="A10648" s="8" t="str">
        <f>IFERROR(__xludf.DUMMYFUNCTION("IF('(INGESTA)Datos_consumo_datadis'!A10648&lt;&gt;"""",SPLIT('(INGESTA)Datos_consumo_datadis'!A:A,"",""),"""")"),"ES0031408323131005HX0F")</f>
        <v>ES0031408323131005HX0F</v>
      </c>
      <c r="B10648" s="12">
        <f>IFERROR(__xludf.DUMMYFUNCTION("""COMPUTED_VALUE"""),45309.0)</f>
        <v>45309</v>
      </c>
      <c r="C10648" s="13">
        <f>IFERROR(__xludf.DUMMYFUNCTION("""COMPUTED_VALUE"""),0.625)</f>
        <v>0.625</v>
      </c>
      <c r="D10648" s="8">
        <f>IFERROR(__xludf.DUMMYFUNCTION("""COMPUTED_VALUE"""),0.01)</f>
        <v>0.01</v>
      </c>
      <c r="E10648" s="8" t="str">
        <f>IFERROR(__xludf.DUMMYFUNCTION("""COMPUTED_VALUE"""),"Real")</f>
        <v>Real</v>
      </c>
      <c r="G10648" s="8">
        <f t="shared" si="1"/>
        <v>1</v>
      </c>
      <c r="H10648" s="14">
        <f t="shared" si="2"/>
        <v>18</v>
      </c>
      <c r="I10648" s="15">
        <f t="shared" si="3"/>
        <v>15</v>
      </c>
    </row>
    <row r="10649">
      <c r="A10649" s="8" t="str">
        <f>IFERROR(__xludf.DUMMYFUNCTION("IF('(INGESTA)Datos_consumo_datadis'!A10649&lt;&gt;"""",SPLIT('(INGESTA)Datos_consumo_datadis'!A:A,"",""),"""")"),"ES0031408323131005HX0F")</f>
        <v>ES0031408323131005HX0F</v>
      </c>
      <c r="B10649" s="12">
        <f>IFERROR(__xludf.DUMMYFUNCTION("""COMPUTED_VALUE"""),45309.0)</f>
        <v>45309</v>
      </c>
      <c r="C10649" s="13">
        <f>IFERROR(__xludf.DUMMYFUNCTION("""COMPUTED_VALUE"""),0.6666666666666666)</f>
        <v>0.6666666667</v>
      </c>
      <c r="D10649" s="8">
        <f>IFERROR(__xludf.DUMMYFUNCTION("""COMPUTED_VALUE"""),0.049)</f>
        <v>0.049</v>
      </c>
      <c r="E10649" s="8" t="str">
        <f>IFERROR(__xludf.DUMMYFUNCTION("""COMPUTED_VALUE"""),"Real")</f>
        <v>Real</v>
      </c>
      <c r="G10649" s="8">
        <f t="shared" si="1"/>
        <v>1</v>
      </c>
      <c r="H10649" s="14">
        <f t="shared" si="2"/>
        <v>18</v>
      </c>
      <c r="I10649" s="15">
        <f t="shared" si="3"/>
        <v>16</v>
      </c>
    </row>
    <row r="10650">
      <c r="A10650" s="8" t="str">
        <f>IFERROR(__xludf.DUMMYFUNCTION("IF('(INGESTA)Datos_consumo_datadis'!A10650&lt;&gt;"""",SPLIT('(INGESTA)Datos_consumo_datadis'!A:A,"",""),"""")"),"ES0031408323131005HX0F")</f>
        <v>ES0031408323131005HX0F</v>
      </c>
      <c r="B10650" s="12">
        <f>IFERROR(__xludf.DUMMYFUNCTION("""COMPUTED_VALUE"""),45309.0)</f>
        <v>45309</v>
      </c>
      <c r="C10650" s="13">
        <f>IFERROR(__xludf.DUMMYFUNCTION("""COMPUTED_VALUE"""),0.7083333333333334)</f>
        <v>0.7083333333</v>
      </c>
      <c r="D10650" s="8">
        <f>IFERROR(__xludf.DUMMYFUNCTION("""COMPUTED_VALUE"""),0.328)</f>
        <v>0.328</v>
      </c>
      <c r="E10650" s="8" t="str">
        <f>IFERROR(__xludf.DUMMYFUNCTION("""COMPUTED_VALUE"""),"Real")</f>
        <v>Real</v>
      </c>
      <c r="G10650" s="8">
        <f t="shared" si="1"/>
        <v>1</v>
      </c>
      <c r="H10650" s="14">
        <f t="shared" si="2"/>
        <v>18</v>
      </c>
      <c r="I10650" s="15">
        <f t="shared" si="3"/>
        <v>17</v>
      </c>
    </row>
    <row r="10651">
      <c r="A10651" s="8" t="str">
        <f>IFERROR(__xludf.DUMMYFUNCTION("IF('(INGESTA)Datos_consumo_datadis'!A10651&lt;&gt;"""",SPLIT('(INGESTA)Datos_consumo_datadis'!A:A,"",""),"""")"),"ES0031408323131005HX0F")</f>
        <v>ES0031408323131005HX0F</v>
      </c>
      <c r="B10651" s="12">
        <f>IFERROR(__xludf.DUMMYFUNCTION("""COMPUTED_VALUE"""),45309.0)</f>
        <v>45309</v>
      </c>
      <c r="C10651" s="13">
        <f>IFERROR(__xludf.DUMMYFUNCTION("""COMPUTED_VALUE"""),0.75)</f>
        <v>0.75</v>
      </c>
      <c r="D10651" s="8">
        <f>IFERROR(__xludf.DUMMYFUNCTION("""COMPUTED_VALUE"""),0.079)</f>
        <v>0.079</v>
      </c>
      <c r="E10651" s="8" t="str">
        <f>IFERROR(__xludf.DUMMYFUNCTION("""COMPUTED_VALUE"""),"Real")</f>
        <v>Real</v>
      </c>
      <c r="G10651" s="8">
        <f t="shared" si="1"/>
        <v>1</v>
      </c>
      <c r="H10651" s="14">
        <f t="shared" si="2"/>
        <v>18</v>
      </c>
      <c r="I10651" s="15">
        <f t="shared" si="3"/>
        <v>18</v>
      </c>
    </row>
    <row r="10652">
      <c r="A10652" s="8" t="str">
        <f>IFERROR(__xludf.DUMMYFUNCTION("IF('(INGESTA)Datos_consumo_datadis'!A10652&lt;&gt;"""",SPLIT('(INGESTA)Datos_consumo_datadis'!A:A,"",""),"""")"),"ES0031408323131005HX0F")</f>
        <v>ES0031408323131005HX0F</v>
      </c>
      <c r="B10652" s="12">
        <f>IFERROR(__xludf.DUMMYFUNCTION("""COMPUTED_VALUE"""),45309.0)</f>
        <v>45309</v>
      </c>
      <c r="C10652" s="13">
        <f>IFERROR(__xludf.DUMMYFUNCTION("""COMPUTED_VALUE"""),0.7916666666666666)</f>
        <v>0.7916666667</v>
      </c>
      <c r="D10652" s="8">
        <f>IFERROR(__xludf.DUMMYFUNCTION("""COMPUTED_VALUE"""),0.039)</f>
        <v>0.039</v>
      </c>
      <c r="E10652" s="8" t="str">
        <f>IFERROR(__xludf.DUMMYFUNCTION("""COMPUTED_VALUE"""),"Real")</f>
        <v>Real</v>
      </c>
      <c r="G10652" s="8">
        <f t="shared" si="1"/>
        <v>1</v>
      </c>
      <c r="H10652" s="14">
        <f t="shared" si="2"/>
        <v>18</v>
      </c>
      <c r="I10652" s="15">
        <f t="shared" si="3"/>
        <v>19</v>
      </c>
    </row>
    <row r="10653">
      <c r="A10653" s="8" t="str">
        <f>IFERROR(__xludf.DUMMYFUNCTION("IF('(INGESTA)Datos_consumo_datadis'!A10653&lt;&gt;"""",SPLIT('(INGESTA)Datos_consumo_datadis'!A:A,"",""),"""")"),"ES0031408323131005HX0F")</f>
        <v>ES0031408323131005HX0F</v>
      </c>
      <c r="B10653" s="12">
        <f>IFERROR(__xludf.DUMMYFUNCTION("""COMPUTED_VALUE"""),45309.0)</f>
        <v>45309</v>
      </c>
      <c r="C10653" s="13">
        <f>IFERROR(__xludf.DUMMYFUNCTION("""COMPUTED_VALUE"""),0.8333333333333334)</f>
        <v>0.8333333333</v>
      </c>
      <c r="D10653" s="8">
        <f>IFERROR(__xludf.DUMMYFUNCTION("""COMPUTED_VALUE"""),0.056)</f>
        <v>0.056</v>
      </c>
      <c r="E10653" s="8" t="str">
        <f>IFERROR(__xludf.DUMMYFUNCTION("""COMPUTED_VALUE"""),"Real")</f>
        <v>Real</v>
      </c>
      <c r="G10653" s="8">
        <f t="shared" si="1"/>
        <v>1</v>
      </c>
      <c r="H10653" s="14">
        <f t="shared" si="2"/>
        <v>18</v>
      </c>
      <c r="I10653" s="15">
        <f t="shared" si="3"/>
        <v>20</v>
      </c>
    </row>
    <row r="10654">
      <c r="A10654" s="8" t="str">
        <f>IFERROR(__xludf.DUMMYFUNCTION("IF('(INGESTA)Datos_consumo_datadis'!A10654&lt;&gt;"""",SPLIT('(INGESTA)Datos_consumo_datadis'!A:A,"",""),"""")"),"ES0031408323131005HX0F")</f>
        <v>ES0031408323131005HX0F</v>
      </c>
      <c r="B10654" s="12">
        <f>IFERROR(__xludf.DUMMYFUNCTION("""COMPUTED_VALUE"""),45309.0)</f>
        <v>45309</v>
      </c>
      <c r="C10654" s="13">
        <f>IFERROR(__xludf.DUMMYFUNCTION("""COMPUTED_VALUE"""),0.875)</f>
        <v>0.875</v>
      </c>
      <c r="D10654" s="8">
        <f>IFERROR(__xludf.DUMMYFUNCTION("""COMPUTED_VALUE"""),0.034)</f>
        <v>0.034</v>
      </c>
      <c r="E10654" s="8" t="str">
        <f>IFERROR(__xludf.DUMMYFUNCTION("""COMPUTED_VALUE"""),"Real")</f>
        <v>Real</v>
      </c>
      <c r="G10654" s="8">
        <f t="shared" si="1"/>
        <v>1</v>
      </c>
      <c r="H10654" s="14">
        <f t="shared" si="2"/>
        <v>18</v>
      </c>
      <c r="I10654" s="15">
        <f t="shared" si="3"/>
        <v>21</v>
      </c>
    </row>
    <row r="10655">
      <c r="A10655" s="8" t="str">
        <f>IFERROR(__xludf.DUMMYFUNCTION("IF('(INGESTA)Datos_consumo_datadis'!A10655&lt;&gt;"""",SPLIT('(INGESTA)Datos_consumo_datadis'!A:A,"",""),"""")"),"ES0031408323131005HX0F")</f>
        <v>ES0031408323131005HX0F</v>
      </c>
      <c r="B10655" s="12">
        <f>IFERROR(__xludf.DUMMYFUNCTION("""COMPUTED_VALUE"""),45309.0)</f>
        <v>45309</v>
      </c>
      <c r="C10655" s="13">
        <f>IFERROR(__xludf.DUMMYFUNCTION("""COMPUTED_VALUE"""),0.9166666666666666)</f>
        <v>0.9166666667</v>
      </c>
      <c r="D10655" s="8">
        <f>IFERROR(__xludf.DUMMYFUNCTION("""COMPUTED_VALUE"""),0.073)</f>
        <v>0.073</v>
      </c>
      <c r="E10655" s="8" t="str">
        <f>IFERROR(__xludf.DUMMYFUNCTION("""COMPUTED_VALUE"""),"Real")</f>
        <v>Real</v>
      </c>
      <c r="G10655" s="8">
        <f t="shared" si="1"/>
        <v>1</v>
      </c>
      <c r="H10655" s="14">
        <f t="shared" si="2"/>
        <v>18</v>
      </c>
      <c r="I10655" s="15">
        <f t="shared" si="3"/>
        <v>22</v>
      </c>
    </row>
    <row r="10656">
      <c r="A10656" s="8" t="str">
        <f>IFERROR(__xludf.DUMMYFUNCTION("IF('(INGESTA)Datos_consumo_datadis'!A10656&lt;&gt;"""",SPLIT('(INGESTA)Datos_consumo_datadis'!A:A,"",""),"""")"),"ES0031408323131005HX0F")</f>
        <v>ES0031408323131005HX0F</v>
      </c>
      <c r="B10656" s="12">
        <f>IFERROR(__xludf.DUMMYFUNCTION("""COMPUTED_VALUE"""),45309.0)</f>
        <v>45309</v>
      </c>
      <c r="C10656" s="13">
        <f>IFERROR(__xludf.DUMMYFUNCTION("""COMPUTED_VALUE"""),0.9583333333333334)</f>
        <v>0.9583333333</v>
      </c>
      <c r="D10656" s="8">
        <f>IFERROR(__xludf.DUMMYFUNCTION("""COMPUTED_VALUE"""),0.351)</f>
        <v>0.351</v>
      </c>
      <c r="E10656" s="8" t="str">
        <f>IFERROR(__xludf.DUMMYFUNCTION("""COMPUTED_VALUE"""),"Real")</f>
        <v>Real</v>
      </c>
      <c r="G10656" s="8">
        <f t="shared" si="1"/>
        <v>1</v>
      </c>
      <c r="H10656" s="14">
        <f t="shared" si="2"/>
        <v>18</v>
      </c>
      <c r="I10656" s="15">
        <f t="shared" si="3"/>
        <v>23</v>
      </c>
    </row>
    <row r="10657">
      <c r="A10657" s="8" t="str">
        <f>IFERROR(__xludf.DUMMYFUNCTION("IF('(INGESTA)Datos_consumo_datadis'!A10657&lt;&gt;"""",SPLIT('(INGESTA)Datos_consumo_datadis'!A:A,"",""),"""")"),"ES0031408323131005HX0F")</f>
        <v>ES0031408323131005HX0F</v>
      </c>
      <c r="B10657" s="12">
        <f>IFERROR(__xludf.DUMMYFUNCTION("""COMPUTED_VALUE"""),45309.0)</f>
        <v>45309</v>
      </c>
      <c r="C10657" s="16">
        <f>IFERROR(__xludf.DUMMYFUNCTION("""COMPUTED_VALUE"""),1.0)</f>
        <v>1</v>
      </c>
      <c r="D10657" s="8">
        <f>IFERROR(__xludf.DUMMYFUNCTION("""COMPUTED_VALUE"""),0.032)</f>
        <v>0.032</v>
      </c>
      <c r="E10657" s="8" t="str">
        <f>IFERROR(__xludf.DUMMYFUNCTION("""COMPUTED_VALUE"""),"Real")</f>
        <v>Real</v>
      </c>
      <c r="G10657" s="8">
        <f t="shared" si="1"/>
        <v>1</v>
      </c>
      <c r="H10657" s="14">
        <f t="shared" si="2"/>
        <v>18</v>
      </c>
      <c r="I10657" s="15">
        <f t="shared" si="3"/>
        <v>0</v>
      </c>
    </row>
    <row r="10658">
      <c r="A10658" s="8" t="str">
        <f>IFERROR(__xludf.DUMMYFUNCTION("IF('(INGESTA)Datos_consumo_datadis'!A10658&lt;&gt;"""",SPLIT('(INGESTA)Datos_consumo_datadis'!A:A,"",""),"""")"),"ES0031408323131005HX0F")</f>
        <v>ES0031408323131005HX0F</v>
      </c>
      <c r="B10658" s="12">
        <f>IFERROR(__xludf.DUMMYFUNCTION("""COMPUTED_VALUE"""),45310.0)</f>
        <v>45310</v>
      </c>
      <c r="C10658" s="13">
        <f>IFERROR(__xludf.DUMMYFUNCTION("""COMPUTED_VALUE"""),0.041666666666666664)</f>
        <v>0.04166666667</v>
      </c>
      <c r="D10658" s="8">
        <f>IFERROR(__xludf.DUMMYFUNCTION("""COMPUTED_VALUE"""),0.084)</f>
        <v>0.084</v>
      </c>
      <c r="E10658" s="8" t="str">
        <f>IFERROR(__xludf.DUMMYFUNCTION("""COMPUTED_VALUE"""),"Real")</f>
        <v>Real</v>
      </c>
      <c r="G10658" s="8">
        <f t="shared" si="1"/>
        <v>1</v>
      </c>
      <c r="H10658" s="14">
        <f t="shared" si="2"/>
        <v>19</v>
      </c>
      <c r="I10658" s="15">
        <f t="shared" si="3"/>
        <v>1</v>
      </c>
    </row>
    <row r="10659">
      <c r="A10659" s="8" t="str">
        <f>IFERROR(__xludf.DUMMYFUNCTION("IF('(INGESTA)Datos_consumo_datadis'!A10659&lt;&gt;"""",SPLIT('(INGESTA)Datos_consumo_datadis'!A:A,"",""),"""")"),"ES0031408323131005HX0F")</f>
        <v>ES0031408323131005HX0F</v>
      </c>
      <c r="B10659" s="12">
        <f>IFERROR(__xludf.DUMMYFUNCTION("""COMPUTED_VALUE"""),45310.0)</f>
        <v>45310</v>
      </c>
      <c r="C10659" s="13">
        <f>IFERROR(__xludf.DUMMYFUNCTION("""COMPUTED_VALUE"""),0.08333333333333333)</f>
        <v>0.08333333333</v>
      </c>
      <c r="D10659" s="8">
        <f>IFERROR(__xludf.DUMMYFUNCTION("""COMPUTED_VALUE"""),0.077)</f>
        <v>0.077</v>
      </c>
      <c r="E10659" s="8" t="str">
        <f>IFERROR(__xludf.DUMMYFUNCTION("""COMPUTED_VALUE"""),"Real")</f>
        <v>Real</v>
      </c>
      <c r="G10659" s="8">
        <f t="shared" si="1"/>
        <v>1</v>
      </c>
      <c r="H10659" s="14">
        <f t="shared" si="2"/>
        <v>19</v>
      </c>
      <c r="I10659" s="15">
        <f t="shared" si="3"/>
        <v>2</v>
      </c>
    </row>
    <row r="10660">
      <c r="A10660" s="8" t="str">
        <f>IFERROR(__xludf.DUMMYFUNCTION("IF('(INGESTA)Datos_consumo_datadis'!A10660&lt;&gt;"""",SPLIT('(INGESTA)Datos_consumo_datadis'!A:A,"",""),"""")"),"ES0031408323131005HX0F")</f>
        <v>ES0031408323131005HX0F</v>
      </c>
      <c r="B10660" s="12">
        <f>IFERROR(__xludf.DUMMYFUNCTION("""COMPUTED_VALUE"""),45310.0)</f>
        <v>45310</v>
      </c>
      <c r="C10660" s="13">
        <f>IFERROR(__xludf.DUMMYFUNCTION("""COMPUTED_VALUE"""),0.125)</f>
        <v>0.125</v>
      </c>
      <c r="D10660" s="8">
        <f>IFERROR(__xludf.DUMMYFUNCTION("""COMPUTED_VALUE"""),0.056)</f>
        <v>0.056</v>
      </c>
      <c r="E10660" s="8" t="str">
        <f>IFERROR(__xludf.DUMMYFUNCTION("""COMPUTED_VALUE"""),"Real")</f>
        <v>Real</v>
      </c>
      <c r="G10660" s="8">
        <f t="shared" si="1"/>
        <v>1</v>
      </c>
      <c r="H10660" s="14">
        <f t="shared" si="2"/>
        <v>19</v>
      </c>
      <c r="I10660" s="15">
        <f t="shared" si="3"/>
        <v>3</v>
      </c>
    </row>
    <row r="10661">
      <c r="A10661" s="8" t="str">
        <f>IFERROR(__xludf.DUMMYFUNCTION("IF('(INGESTA)Datos_consumo_datadis'!A10661&lt;&gt;"""",SPLIT('(INGESTA)Datos_consumo_datadis'!A:A,"",""),"""")"),"ES0031408323131005HX0F")</f>
        <v>ES0031408323131005HX0F</v>
      </c>
      <c r="B10661" s="12">
        <f>IFERROR(__xludf.DUMMYFUNCTION("""COMPUTED_VALUE"""),45310.0)</f>
        <v>45310</v>
      </c>
      <c r="C10661" s="13">
        <f>IFERROR(__xludf.DUMMYFUNCTION("""COMPUTED_VALUE"""),0.16666666666666666)</f>
        <v>0.1666666667</v>
      </c>
      <c r="D10661" s="8">
        <f>IFERROR(__xludf.DUMMYFUNCTION("""COMPUTED_VALUE"""),0.375)</f>
        <v>0.375</v>
      </c>
      <c r="E10661" s="8" t="str">
        <f>IFERROR(__xludf.DUMMYFUNCTION("""COMPUTED_VALUE"""),"Real")</f>
        <v>Real</v>
      </c>
      <c r="G10661" s="8">
        <f t="shared" si="1"/>
        <v>1</v>
      </c>
      <c r="H10661" s="14">
        <f t="shared" si="2"/>
        <v>19</v>
      </c>
      <c r="I10661" s="15">
        <f t="shared" si="3"/>
        <v>4</v>
      </c>
    </row>
    <row r="10662">
      <c r="A10662" s="8" t="str">
        <f>IFERROR(__xludf.DUMMYFUNCTION("IF('(INGESTA)Datos_consumo_datadis'!A10662&lt;&gt;"""",SPLIT('(INGESTA)Datos_consumo_datadis'!A:A,"",""),"""")"),"ES0031408323131005HX0F")</f>
        <v>ES0031408323131005HX0F</v>
      </c>
      <c r="B10662" s="12">
        <f>IFERROR(__xludf.DUMMYFUNCTION("""COMPUTED_VALUE"""),45310.0)</f>
        <v>45310</v>
      </c>
      <c r="C10662" s="13">
        <f>IFERROR(__xludf.DUMMYFUNCTION("""COMPUTED_VALUE"""),0.20833333333333334)</f>
        <v>0.2083333333</v>
      </c>
      <c r="D10662" s="8">
        <f>IFERROR(__xludf.DUMMYFUNCTION("""COMPUTED_VALUE"""),0.048)</f>
        <v>0.048</v>
      </c>
      <c r="E10662" s="8" t="str">
        <f>IFERROR(__xludf.DUMMYFUNCTION("""COMPUTED_VALUE"""),"Real")</f>
        <v>Real</v>
      </c>
      <c r="G10662" s="8">
        <f t="shared" si="1"/>
        <v>1</v>
      </c>
      <c r="H10662" s="14">
        <f t="shared" si="2"/>
        <v>19</v>
      </c>
      <c r="I10662" s="15">
        <f t="shared" si="3"/>
        <v>5</v>
      </c>
    </row>
    <row r="10663">
      <c r="A10663" s="8" t="str">
        <f>IFERROR(__xludf.DUMMYFUNCTION("IF('(INGESTA)Datos_consumo_datadis'!A10663&lt;&gt;"""",SPLIT('(INGESTA)Datos_consumo_datadis'!A:A,"",""),"""")"),"ES0031408323131005HX0F")</f>
        <v>ES0031408323131005HX0F</v>
      </c>
      <c r="B10663" s="12">
        <f>IFERROR(__xludf.DUMMYFUNCTION("""COMPUTED_VALUE"""),45310.0)</f>
        <v>45310</v>
      </c>
      <c r="C10663" s="13">
        <f>IFERROR(__xludf.DUMMYFUNCTION("""COMPUTED_VALUE"""),0.25)</f>
        <v>0.25</v>
      </c>
      <c r="D10663" s="8">
        <f>IFERROR(__xludf.DUMMYFUNCTION("""COMPUTED_VALUE"""),0.075)</f>
        <v>0.075</v>
      </c>
      <c r="E10663" s="8" t="str">
        <f>IFERROR(__xludf.DUMMYFUNCTION("""COMPUTED_VALUE"""),"Real")</f>
        <v>Real</v>
      </c>
      <c r="G10663" s="8">
        <f t="shared" si="1"/>
        <v>1</v>
      </c>
      <c r="H10663" s="14">
        <f t="shared" si="2"/>
        <v>19</v>
      </c>
      <c r="I10663" s="15">
        <f t="shared" si="3"/>
        <v>6</v>
      </c>
    </row>
    <row r="10664">
      <c r="A10664" s="8" t="str">
        <f>IFERROR(__xludf.DUMMYFUNCTION("IF('(INGESTA)Datos_consumo_datadis'!A10664&lt;&gt;"""",SPLIT('(INGESTA)Datos_consumo_datadis'!A:A,"",""),"""")"),"ES0031408323131005HX0F")</f>
        <v>ES0031408323131005HX0F</v>
      </c>
      <c r="B10664" s="12">
        <f>IFERROR(__xludf.DUMMYFUNCTION("""COMPUTED_VALUE"""),45310.0)</f>
        <v>45310</v>
      </c>
      <c r="C10664" s="13">
        <f>IFERROR(__xludf.DUMMYFUNCTION("""COMPUTED_VALUE"""),0.2916666666666667)</f>
        <v>0.2916666667</v>
      </c>
      <c r="D10664" s="8">
        <f>IFERROR(__xludf.DUMMYFUNCTION("""COMPUTED_VALUE"""),0.049)</f>
        <v>0.049</v>
      </c>
      <c r="E10664" s="8" t="str">
        <f>IFERROR(__xludf.DUMMYFUNCTION("""COMPUTED_VALUE"""),"Real")</f>
        <v>Real</v>
      </c>
      <c r="G10664" s="8">
        <f t="shared" si="1"/>
        <v>1</v>
      </c>
      <c r="H10664" s="14">
        <f t="shared" si="2"/>
        <v>19</v>
      </c>
      <c r="I10664" s="15">
        <f t="shared" si="3"/>
        <v>7</v>
      </c>
    </row>
    <row r="10665">
      <c r="A10665" s="8" t="str">
        <f>IFERROR(__xludf.DUMMYFUNCTION("IF('(INGESTA)Datos_consumo_datadis'!A10665&lt;&gt;"""",SPLIT('(INGESTA)Datos_consumo_datadis'!A:A,"",""),"""")"),"ES0031408323131005HX0F")</f>
        <v>ES0031408323131005HX0F</v>
      </c>
      <c r="B10665" s="12">
        <f>IFERROR(__xludf.DUMMYFUNCTION("""COMPUTED_VALUE"""),45310.0)</f>
        <v>45310</v>
      </c>
      <c r="C10665" s="13">
        <f>IFERROR(__xludf.DUMMYFUNCTION("""COMPUTED_VALUE"""),0.3333333333333333)</f>
        <v>0.3333333333</v>
      </c>
      <c r="D10665" s="8">
        <f>IFERROR(__xludf.DUMMYFUNCTION("""COMPUTED_VALUE"""),0.067)</f>
        <v>0.067</v>
      </c>
      <c r="E10665" s="8" t="str">
        <f>IFERROR(__xludf.DUMMYFUNCTION("""COMPUTED_VALUE"""),"Real")</f>
        <v>Real</v>
      </c>
      <c r="G10665" s="8">
        <f t="shared" si="1"/>
        <v>1</v>
      </c>
      <c r="H10665" s="14">
        <f t="shared" si="2"/>
        <v>19</v>
      </c>
      <c r="I10665" s="15">
        <f t="shared" si="3"/>
        <v>8</v>
      </c>
    </row>
    <row r="10666">
      <c r="A10666" s="8" t="str">
        <f>IFERROR(__xludf.DUMMYFUNCTION("IF('(INGESTA)Datos_consumo_datadis'!A10666&lt;&gt;"""",SPLIT('(INGESTA)Datos_consumo_datadis'!A:A,"",""),"""")"),"ES0031408323131005HX0F")</f>
        <v>ES0031408323131005HX0F</v>
      </c>
      <c r="B10666" s="12">
        <f>IFERROR(__xludf.DUMMYFUNCTION("""COMPUTED_VALUE"""),45310.0)</f>
        <v>45310</v>
      </c>
      <c r="C10666" s="13">
        <f>IFERROR(__xludf.DUMMYFUNCTION("""COMPUTED_VALUE"""),0.375)</f>
        <v>0.375</v>
      </c>
      <c r="D10666" s="8">
        <f>IFERROR(__xludf.DUMMYFUNCTION("""COMPUTED_VALUE"""),0.09)</f>
        <v>0.09</v>
      </c>
      <c r="E10666" s="8" t="str">
        <f>IFERROR(__xludf.DUMMYFUNCTION("""COMPUTED_VALUE"""),"Real")</f>
        <v>Real</v>
      </c>
      <c r="G10666" s="8">
        <f t="shared" si="1"/>
        <v>1</v>
      </c>
      <c r="H10666" s="14">
        <f t="shared" si="2"/>
        <v>19</v>
      </c>
      <c r="I10666" s="15">
        <f t="shared" si="3"/>
        <v>9</v>
      </c>
    </row>
    <row r="10667">
      <c r="A10667" s="8" t="str">
        <f>IFERROR(__xludf.DUMMYFUNCTION("IF('(INGESTA)Datos_consumo_datadis'!A10667&lt;&gt;"""",SPLIT('(INGESTA)Datos_consumo_datadis'!A:A,"",""),"""")"),"ES0031408323131005HX0F")</f>
        <v>ES0031408323131005HX0F</v>
      </c>
      <c r="B10667" s="12">
        <f>IFERROR(__xludf.DUMMYFUNCTION("""COMPUTED_VALUE"""),45310.0)</f>
        <v>45310</v>
      </c>
      <c r="C10667" s="13">
        <f>IFERROR(__xludf.DUMMYFUNCTION("""COMPUTED_VALUE"""),0.4166666666666667)</f>
        <v>0.4166666667</v>
      </c>
      <c r="D10667" s="8">
        <f>IFERROR(__xludf.DUMMYFUNCTION("""COMPUTED_VALUE"""),0.329)</f>
        <v>0.329</v>
      </c>
      <c r="E10667" s="8" t="str">
        <f>IFERROR(__xludf.DUMMYFUNCTION("""COMPUTED_VALUE"""),"Real")</f>
        <v>Real</v>
      </c>
      <c r="G10667" s="8">
        <f t="shared" si="1"/>
        <v>1</v>
      </c>
      <c r="H10667" s="14">
        <f t="shared" si="2"/>
        <v>19</v>
      </c>
      <c r="I10667" s="15">
        <f t="shared" si="3"/>
        <v>10</v>
      </c>
    </row>
    <row r="10668">
      <c r="A10668" s="8" t="str">
        <f>IFERROR(__xludf.DUMMYFUNCTION("IF('(INGESTA)Datos_consumo_datadis'!A10668&lt;&gt;"""",SPLIT('(INGESTA)Datos_consumo_datadis'!A:A,"",""),"""")"),"ES0031408323131005HX0F")</f>
        <v>ES0031408323131005HX0F</v>
      </c>
      <c r="B10668" s="12">
        <f>IFERROR(__xludf.DUMMYFUNCTION("""COMPUTED_VALUE"""),45310.0)</f>
        <v>45310</v>
      </c>
      <c r="C10668" s="13">
        <f>IFERROR(__xludf.DUMMYFUNCTION("""COMPUTED_VALUE"""),0.4583333333333333)</f>
        <v>0.4583333333</v>
      </c>
      <c r="D10668" s="8">
        <f>IFERROR(__xludf.DUMMYFUNCTION("""COMPUTED_VALUE"""),0.092)</f>
        <v>0.092</v>
      </c>
      <c r="E10668" s="8" t="str">
        <f>IFERROR(__xludf.DUMMYFUNCTION("""COMPUTED_VALUE"""),"Real")</f>
        <v>Real</v>
      </c>
      <c r="G10668" s="8">
        <f t="shared" si="1"/>
        <v>1</v>
      </c>
      <c r="H10668" s="14">
        <f t="shared" si="2"/>
        <v>19</v>
      </c>
      <c r="I10668" s="15">
        <f t="shared" si="3"/>
        <v>11</v>
      </c>
    </row>
    <row r="10669">
      <c r="A10669" s="8" t="str">
        <f>IFERROR(__xludf.DUMMYFUNCTION("IF('(INGESTA)Datos_consumo_datadis'!A10669&lt;&gt;"""",SPLIT('(INGESTA)Datos_consumo_datadis'!A:A,"",""),"""")"),"ES0031408323131005HX0F")</f>
        <v>ES0031408323131005HX0F</v>
      </c>
      <c r="B10669" s="12">
        <f>IFERROR(__xludf.DUMMYFUNCTION("""COMPUTED_VALUE"""),45310.0)</f>
        <v>45310</v>
      </c>
      <c r="C10669" s="13">
        <f>IFERROR(__xludf.DUMMYFUNCTION("""COMPUTED_VALUE"""),0.5)</f>
        <v>0.5</v>
      </c>
      <c r="D10669" s="8">
        <f>IFERROR(__xludf.DUMMYFUNCTION("""COMPUTED_VALUE"""),0.051)</f>
        <v>0.051</v>
      </c>
      <c r="E10669" s="8" t="str">
        <f>IFERROR(__xludf.DUMMYFUNCTION("""COMPUTED_VALUE"""),"Real")</f>
        <v>Real</v>
      </c>
      <c r="G10669" s="8">
        <f t="shared" si="1"/>
        <v>1</v>
      </c>
      <c r="H10669" s="14">
        <f t="shared" si="2"/>
        <v>19</v>
      </c>
      <c r="I10669" s="15">
        <f t="shared" si="3"/>
        <v>12</v>
      </c>
    </row>
    <row r="10670">
      <c r="A10670" s="8" t="str">
        <f>IFERROR(__xludf.DUMMYFUNCTION("IF('(INGESTA)Datos_consumo_datadis'!A10670&lt;&gt;"""",SPLIT('(INGESTA)Datos_consumo_datadis'!A:A,"",""),"""")"),"ES0031408323131005HX0F")</f>
        <v>ES0031408323131005HX0F</v>
      </c>
      <c r="B10670" s="12">
        <f>IFERROR(__xludf.DUMMYFUNCTION("""COMPUTED_VALUE"""),45310.0)</f>
        <v>45310</v>
      </c>
      <c r="C10670" s="13">
        <f>IFERROR(__xludf.DUMMYFUNCTION("""COMPUTED_VALUE"""),0.5416666666666666)</f>
        <v>0.5416666667</v>
      </c>
      <c r="D10670" s="8">
        <f>IFERROR(__xludf.DUMMYFUNCTION("""COMPUTED_VALUE"""),0.066)</f>
        <v>0.066</v>
      </c>
      <c r="E10670" s="8" t="str">
        <f>IFERROR(__xludf.DUMMYFUNCTION("""COMPUTED_VALUE"""),"Real")</f>
        <v>Real</v>
      </c>
      <c r="G10670" s="8">
        <f t="shared" si="1"/>
        <v>1</v>
      </c>
      <c r="H10670" s="14">
        <f t="shared" si="2"/>
        <v>19</v>
      </c>
      <c r="I10670" s="15">
        <f t="shared" si="3"/>
        <v>13</v>
      </c>
    </row>
    <row r="10671">
      <c r="A10671" s="8" t="str">
        <f>IFERROR(__xludf.DUMMYFUNCTION("IF('(INGESTA)Datos_consumo_datadis'!A10671&lt;&gt;"""",SPLIT('(INGESTA)Datos_consumo_datadis'!A:A,"",""),"""")"),"ES0031408323131005HX0F")</f>
        <v>ES0031408323131005HX0F</v>
      </c>
      <c r="B10671" s="12">
        <f>IFERROR(__xludf.DUMMYFUNCTION("""COMPUTED_VALUE"""),45310.0)</f>
        <v>45310</v>
      </c>
      <c r="C10671" s="13">
        <f>IFERROR(__xludf.DUMMYFUNCTION("""COMPUTED_VALUE"""),0.5833333333333334)</f>
        <v>0.5833333333</v>
      </c>
      <c r="D10671" s="8">
        <f>IFERROR(__xludf.DUMMYFUNCTION("""COMPUTED_VALUE"""),0.079)</f>
        <v>0.079</v>
      </c>
      <c r="E10671" s="8" t="str">
        <f>IFERROR(__xludf.DUMMYFUNCTION("""COMPUTED_VALUE"""),"Real")</f>
        <v>Real</v>
      </c>
      <c r="G10671" s="8">
        <f t="shared" si="1"/>
        <v>1</v>
      </c>
      <c r="H10671" s="14">
        <f t="shared" si="2"/>
        <v>19</v>
      </c>
      <c r="I10671" s="15">
        <f t="shared" si="3"/>
        <v>14</v>
      </c>
    </row>
    <row r="10672">
      <c r="A10672" s="8" t="str">
        <f>IFERROR(__xludf.DUMMYFUNCTION("IF('(INGESTA)Datos_consumo_datadis'!A10672&lt;&gt;"""",SPLIT('(INGESTA)Datos_consumo_datadis'!A:A,"",""),"""")"),"ES0031408323131005HX0F")</f>
        <v>ES0031408323131005HX0F</v>
      </c>
      <c r="B10672" s="12">
        <f>IFERROR(__xludf.DUMMYFUNCTION("""COMPUTED_VALUE"""),45310.0)</f>
        <v>45310</v>
      </c>
      <c r="C10672" s="13">
        <f>IFERROR(__xludf.DUMMYFUNCTION("""COMPUTED_VALUE"""),0.625)</f>
        <v>0.625</v>
      </c>
      <c r="D10672" s="8">
        <f>IFERROR(__xludf.DUMMYFUNCTION("""COMPUTED_VALUE"""),0.33)</f>
        <v>0.33</v>
      </c>
      <c r="E10672" s="8" t="str">
        <f>IFERROR(__xludf.DUMMYFUNCTION("""COMPUTED_VALUE"""),"Real")</f>
        <v>Real</v>
      </c>
      <c r="G10672" s="8">
        <f t="shared" si="1"/>
        <v>1</v>
      </c>
      <c r="H10672" s="14">
        <f t="shared" si="2"/>
        <v>19</v>
      </c>
      <c r="I10672" s="15">
        <f t="shared" si="3"/>
        <v>15</v>
      </c>
    </row>
    <row r="10673">
      <c r="A10673" s="8" t="str">
        <f>IFERROR(__xludf.DUMMYFUNCTION("IF('(INGESTA)Datos_consumo_datadis'!A10673&lt;&gt;"""",SPLIT('(INGESTA)Datos_consumo_datadis'!A:A,"",""),"""")"),"ES0031408323131005HX0F")</f>
        <v>ES0031408323131005HX0F</v>
      </c>
      <c r="B10673" s="12">
        <f>IFERROR(__xludf.DUMMYFUNCTION("""COMPUTED_VALUE"""),45310.0)</f>
        <v>45310</v>
      </c>
      <c r="C10673" s="13">
        <f>IFERROR(__xludf.DUMMYFUNCTION("""COMPUTED_VALUE"""),0.6666666666666666)</f>
        <v>0.6666666667</v>
      </c>
      <c r="D10673" s="8">
        <f>IFERROR(__xludf.DUMMYFUNCTION("""COMPUTED_VALUE"""),0.091)</f>
        <v>0.091</v>
      </c>
      <c r="E10673" s="8" t="str">
        <f>IFERROR(__xludf.DUMMYFUNCTION("""COMPUTED_VALUE"""),"Real")</f>
        <v>Real</v>
      </c>
      <c r="G10673" s="8">
        <f t="shared" si="1"/>
        <v>1</v>
      </c>
      <c r="H10673" s="14">
        <f t="shared" si="2"/>
        <v>19</v>
      </c>
      <c r="I10673" s="15">
        <f t="shared" si="3"/>
        <v>16</v>
      </c>
    </row>
    <row r="10674">
      <c r="A10674" s="8" t="str">
        <f>IFERROR(__xludf.DUMMYFUNCTION("IF('(INGESTA)Datos_consumo_datadis'!A10674&lt;&gt;"""",SPLIT('(INGESTA)Datos_consumo_datadis'!A:A,"",""),"""")"),"ES0031408323131005HX0F")</f>
        <v>ES0031408323131005HX0F</v>
      </c>
      <c r="B10674" s="12">
        <f>IFERROR(__xludf.DUMMYFUNCTION("""COMPUTED_VALUE"""),45310.0)</f>
        <v>45310</v>
      </c>
      <c r="C10674" s="13">
        <f>IFERROR(__xludf.DUMMYFUNCTION("""COMPUTED_VALUE"""),0.7083333333333334)</f>
        <v>0.7083333333</v>
      </c>
      <c r="D10674" s="8">
        <f>IFERROR(__xludf.DUMMYFUNCTION("""COMPUTED_VALUE"""),0.022)</f>
        <v>0.022</v>
      </c>
      <c r="E10674" s="8" t="str">
        <f>IFERROR(__xludf.DUMMYFUNCTION("""COMPUTED_VALUE"""),"Real")</f>
        <v>Real</v>
      </c>
      <c r="G10674" s="8">
        <f t="shared" si="1"/>
        <v>1</v>
      </c>
      <c r="H10674" s="14">
        <f t="shared" si="2"/>
        <v>19</v>
      </c>
      <c r="I10674" s="15">
        <f t="shared" si="3"/>
        <v>17</v>
      </c>
    </row>
    <row r="10675">
      <c r="A10675" s="8" t="str">
        <f>IFERROR(__xludf.DUMMYFUNCTION("IF('(INGESTA)Datos_consumo_datadis'!A10675&lt;&gt;"""",SPLIT('(INGESTA)Datos_consumo_datadis'!A:A,"",""),"""")"),"ES0031408323131005HX0F")</f>
        <v>ES0031408323131005HX0F</v>
      </c>
      <c r="B10675" s="12">
        <f>IFERROR(__xludf.DUMMYFUNCTION("""COMPUTED_VALUE"""),45310.0)</f>
        <v>45310</v>
      </c>
      <c r="C10675" s="13">
        <f>IFERROR(__xludf.DUMMYFUNCTION("""COMPUTED_VALUE"""),0.75)</f>
        <v>0.75</v>
      </c>
      <c r="D10675" s="8">
        <f>IFERROR(__xludf.DUMMYFUNCTION("""COMPUTED_VALUE"""),0.092)</f>
        <v>0.092</v>
      </c>
      <c r="E10675" s="8" t="str">
        <f>IFERROR(__xludf.DUMMYFUNCTION("""COMPUTED_VALUE"""),"Real")</f>
        <v>Real</v>
      </c>
      <c r="G10675" s="8">
        <f t="shared" si="1"/>
        <v>1</v>
      </c>
      <c r="H10675" s="14">
        <f t="shared" si="2"/>
        <v>19</v>
      </c>
      <c r="I10675" s="15">
        <f t="shared" si="3"/>
        <v>18</v>
      </c>
    </row>
    <row r="10676">
      <c r="A10676" s="8" t="str">
        <f>IFERROR(__xludf.DUMMYFUNCTION("IF('(INGESTA)Datos_consumo_datadis'!A10676&lt;&gt;"""",SPLIT('(INGESTA)Datos_consumo_datadis'!A:A,"",""),"""")"),"ES0031408323131005HX0F")</f>
        <v>ES0031408323131005HX0F</v>
      </c>
      <c r="B10676" s="12">
        <f>IFERROR(__xludf.DUMMYFUNCTION("""COMPUTED_VALUE"""),45310.0)</f>
        <v>45310</v>
      </c>
      <c r="C10676" s="13">
        <f>IFERROR(__xludf.DUMMYFUNCTION("""COMPUTED_VALUE"""),0.7916666666666666)</f>
        <v>0.7916666667</v>
      </c>
      <c r="D10676" s="8">
        <f>IFERROR(__xludf.DUMMYFUNCTION("""COMPUTED_VALUE"""),0.058)</f>
        <v>0.058</v>
      </c>
      <c r="E10676" s="8" t="str">
        <f>IFERROR(__xludf.DUMMYFUNCTION("""COMPUTED_VALUE"""),"Real")</f>
        <v>Real</v>
      </c>
      <c r="G10676" s="8">
        <f t="shared" si="1"/>
        <v>1</v>
      </c>
      <c r="H10676" s="14">
        <f t="shared" si="2"/>
        <v>19</v>
      </c>
      <c r="I10676" s="15">
        <f t="shared" si="3"/>
        <v>19</v>
      </c>
    </row>
    <row r="10677">
      <c r="A10677" s="8" t="str">
        <f>IFERROR(__xludf.DUMMYFUNCTION("IF('(INGESTA)Datos_consumo_datadis'!A10677&lt;&gt;"""",SPLIT('(INGESTA)Datos_consumo_datadis'!A:A,"",""),"""")"),"ES0031408323131005HX0F")</f>
        <v>ES0031408323131005HX0F</v>
      </c>
      <c r="B10677" s="12">
        <f>IFERROR(__xludf.DUMMYFUNCTION("""COMPUTED_VALUE"""),45310.0)</f>
        <v>45310</v>
      </c>
      <c r="C10677" s="13">
        <f>IFERROR(__xludf.DUMMYFUNCTION("""COMPUTED_VALUE"""),0.8333333333333334)</f>
        <v>0.8333333333</v>
      </c>
      <c r="D10677" s="8">
        <f>IFERROR(__xludf.DUMMYFUNCTION("""COMPUTED_VALUE"""),0.057)</f>
        <v>0.057</v>
      </c>
      <c r="E10677" s="8" t="str">
        <f>IFERROR(__xludf.DUMMYFUNCTION("""COMPUTED_VALUE"""),"Real")</f>
        <v>Real</v>
      </c>
      <c r="G10677" s="8">
        <f t="shared" si="1"/>
        <v>1</v>
      </c>
      <c r="H10677" s="14">
        <f t="shared" si="2"/>
        <v>19</v>
      </c>
      <c r="I10677" s="15">
        <f t="shared" si="3"/>
        <v>20</v>
      </c>
    </row>
    <row r="10678">
      <c r="A10678" s="8" t="str">
        <f>IFERROR(__xludf.DUMMYFUNCTION("IF('(INGESTA)Datos_consumo_datadis'!A10678&lt;&gt;"""",SPLIT('(INGESTA)Datos_consumo_datadis'!A:A,"",""),"""")"),"ES0031408323131005HX0F")</f>
        <v>ES0031408323131005HX0F</v>
      </c>
      <c r="B10678" s="12">
        <f>IFERROR(__xludf.DUMMYFUNCTION("""COMPUTED_VALUE"""),45310.0)</f>
        <v>45310</v>
      </c>
      <c r="C10678" s="13">
        <f>IFERROR(__xludf.DUMMYFUNCTION("""COMPUTED_VALUE"""),0.875)</f>
        <v>0.875</v>
      </c>
      <c r="D10678" s="8">
        <f>IFERROR(__xludf.DUMMYFUNCTION("""COMPUTED_VALUE"""),0.375)</f>
        <v>0.375</v>
      </c>
      <c r="E10678" s="8" t="str">
        <f>IFERROR(__xludf.DUMMYFUNCTION("""COMPUTED_VALUE"""),"Real")</f>
        <v>Real</v>
      </c>
      <c r="G10678" s="8">
        <f t="shared" si="1"/>
        <v>1</v>
      </c>
      <c r="H10678" s="14">
        <f t="shared" si="2"/>
        <v>19</v>
      </c>
      <c r="I10678" s="15">
        <f t="shared" si="3"/>
        <v>21</v>
      </c>
    </row>
    <row r="10679">
      <c r="A10679" s="8" t="str">
        <f>IFERROR(__xludf.DUMMYFUNCTION("IF('(INGESTA)Datos_consumo_datadis'!A10679&lt;&gt;"""",SPLIT('(INGESTA)Datos_consumo_datadis'!A:A,"",""),"""")"),"ES0031408323131005HX0F")</f>
        <v>ES0031408323131005HX0F</v>
      </c>
      <c r="B10679" s="12">
        <f>IFERROR(__xludf.DUMMYFUNCTION("""COMPUTED_VALUE"""),45310.0)</f>
        <v>45310</v>
      </c>
      <c r="C10679" s="13">
        <f>IFERROR(__xludf.DUMMYFUNCTION("""COMPUTED_VALUE"""),0.9166666666666666)</f>
        <v>0.9166666667</v>
      </c>
      <c r="D10679" s="8">
        <f>IFERROR(__xludf.DUMMYFUNCTION("""COMPUTED_VALUE"""),0.108)</f>
        <v>0.108</v>
      </c>
      <c r="E10679" s="8" t="str">
        <f>IFERROR(__xludf.DUMMYFUNCTION("""COMPUTED_VALUE"""),"Real")</f>
        <v>Real</v>
      </c>
      <c r="G10679" s="8">
        <f t="shared" si="1"/>
        <v>1</v>
      </c>
      <c r="H10679" s="14">
        <f t="shared" si="2"/>
        <v>19</v>
      </c>
      <c r="I10679" s="15">
        <f t="shared" si="3"/>
        <v>22</v>
      </c>
    </row>
    <row r="10680">
      <c r="A10680" s="8" t="str">
        <f>IFERROR(__xludf.DUMMYFUNCTION("IF('(INGESTA)Datos_consumo_datadis'!A10680&lt;&gt;"""",SPLIT('(INGESTA)Datos_consumo_datadis'!A:A,"",""),"""")"),"ES0031408323131005HX0F")</f>
        <v>ES0031408323131005HX0F</v>
      </c>
      <c r="B10680" s="12">
        <f>IFERROR(__xludf.DUMMYFUNCTION("""COMPUTED_VALUE"""),45310.0)</f>
        <v>45310</v>
      </c>
      <c r="C10680" s="13">
        <f>IFERROR(__xludf.DUMMYFUNCTION("""COMPUTED_VALUE"""),0.9583333333333334)</f>
        <v>0.9583333333</v>
      </c>
      <c r="D10680" s="8">
        <f>IFERROR(__xludf.DUMMYFUNCTION("""COMPUTED_VALUE"""),0.061)</f>
        <v>0.061</v>
      </c>
      <c r="E10680" s="8" t="str">
        <f>IFERROR(__xludf.DUMMYFUNCTION("""COMPUTED_VALUE"""),"Real")</f>
        <v>Real</v>
      </c>
      <c r="G10680" s="8">
        <f t="shared" si="1"/>
        <v>1</v>
      </c>
      <c r="H10680" s="14">
        <f t="shared" si="2"/>
        <v>19</v>
      </c>
      <c r="I10680" s="15">
        <f t="shared" si="3"/>
        <v>23</v>
      </c>
    </row>
    <row r="10681">
      <c r="A10681" s="8" t="str">
        <f>IFERROR(__xludf.DUMMYFUNCTION("IF('(INGESTA)Datos_consumo_datadis'!A10681&lt;&gt;"""",SPLIT('(INGESTA)Datos_consumo_datadis'!A:A,"",""),"""")"),"ES0031408323131005HX0F")</f>
        <v>ES0031408323131005HX0F</v>
      </c>
      <c r="B10681" s="12">
        <f>IFERROR(__xludf.DUMMYFUNCTION("""COMPUTED_VALUE"""),45310.0)</f>
        <v>45310</v>
      </c>
      <c r="C10681" s="16">
        <f>IFERROR(__xludf.DUMMYFUNCTION("""COMPUTED_VALUE"""),1.0)</f>
        <v>1</v>
      </c>
      <c r="D10681" s="8">
        <f>IFERROR(__xludf.DUMMYFUNCTION("""COMPUTED_VALUE"""),0.029)</f>
        <v>0.029</v>
      </c>
      <c r="E10681" s="8" t="str">
        <f>IFERROR(__xludf.DUMMYFUNCTION("""COMPUTED_VALUE"""),"Real")</f>
        <v>Real</v>
      </c>
      <c r="G10681" s="8">
        <f t="shared" si="1"/>
        <v>1</v>
      </c>
      <c r="H10681" s="14">
        <f t="shared" si="2"/>
        <v>19</v>
      </c>
      <c r="I10681" s="15">
        <f t="shared" si="3"/>
        <v>0</v>
      </c>
    </row>
    <row r="10682">
      <c r="A10682" s="8" t="str">
        <f>IFERROR(__xludf.DUMMYFUNCTION("IF('(INGESTA)Datos_consumo_datadis'!A10682&lt;&gt;"""",SPLIT('(INGESTA)Datos_consumo_datadis'!A:A,"",""),"""")"),"ES0031408323131005HX0F")</f>
        <v>ES0031408323131005HX0F</v>
      </c>
      <c r="B10682" s="12">
        <f>IFERROR(__xludf.DUMMYFUNCTION("""COMPUTED_VALUE"""),45311.0)</f>
        <v>45311</v>
      </c>
      <c r="C10682" s="13">
        <f>IFERROR(__xludf.DUMMYFUNCTION("""COMPUTED_VALUE"""),0.041666666666666664)</f>
        <v>0.04166666667</v>
      </c>
      <c r="D10682" s="8">
        <f>IFERROR(__xludf.DUMMYFUNCTION("""COMPUTED_VALUE"""),0.086)</f>
        <v>0.086</v>
      </c>
      <c r="E10682" s="8" t="str">
        <f>IFERROR(__xludf.DUMMYFUNCTION("""COMPUTED_VALUE"""),"Real")</f>
        <v>Real</v>
      </c>
      <c r="G10682" s="8">
        <f t="shared" si="1"/>
        <v>1</v>
      </c>
      <c r="H10682" s="14">
        <f t="shared" si="2"/>
        <v>20</v>
      </c>
      <c r="I10682" s="15">
        <f t="shared" si="3"/>
        <v>1</v>
      </c>
    </row>
    <row r="10683">
      <c r="A10683" s="8" t="str">
        <f>IFERROR(__xludf.DUMMYFUNCTION("IF('(INGESTA)Datos_consumo_datadis'!A10683&lt;&gt;"""",SPLIT('(INGESTA)Datos_consumo_datadis'!A:A,"",""),"""")"),"ES0031408323131005HX0F")</f>
        <v>ES0031408323131005HX0F</v>
      </c>
      <c r="B10683" s="12">
        <f>IFERROR(__xludf.DUMMYFUNCTION("""COMPUTED_VALUE"""),45311.0)</f>
        <v>45311</v>
      </c>
      <c r="C10683" s="13">
        <f>IFERROR(__xludf.DUMMYFUNCTION("""COMPUTED_VALUE"""),0.08333333333333333)</f>
        <v>0.08333333333</v>
      </c>
      <c r="D10683" s="8">
        <f>IFERROR(__xludf.DUMMYFUNCTION("""COMPUTED_VALUE"""),0.343)</f>
        <v>0.343</v>
      </c>
      <c r="E10683" s="8" t="str">
        <f>IFERROR(__xludf.DUMMYFUNCTION("""COMPUTED_VALUE"""),"Real")</f>
        <v>Real</v>
      </c>
      <c r="G10683" s="8">
        <f t="shared" si="1"/>
        <v>1</v>
      </c>
      <c r="H10683" s="14">
        <f t="shared" si="2"/>
        <v>20</v>
      </c>
      <c r="I10683" s="15">
        <f t="shared" si="3"/>
        <v>2</v>
      </c>
    </row>
    <row r="10684">
      <c r="A10684" s="8" t="str">
        <f>IFERROR(__xludf.DUMMYFUNCTION("IF('(INGESTA)Datos_consumo_datadis'!A10684&lt;&gt;"""",SPLIT('(INGESTA)Datos_consumo_datadis'!A:A,"",""),"""")"),"ES0031408323131005HX0F")</f>
        <v>ES0031408323131005HX0F</v>
      </c>
      <c r="B10684" s="12">
        <f>IFERROR(__xludf.DUMMYFUNCTION("""COMPUTED_VALUE"""),45311.0)</f>
        <v>45311</v>
      </c>
      <c r="C10684" s="13">
        <f>IFERROR(__xludf.DUMMYFUNCTION("""COMPUTED_VALUE"""),0.125)</f>
        <v>0.125</v>
      </c>
      <c r="D10684" s="8">
        <f>IFERROR(__xludf.DUMMYFUNCTION("""COMPUTED_VALUE"""),0.078)</f>
        <v>0.078</v>
      </c>
      <c r="E10684" s="8" t="str">
        <f>IFERROR(__xludf.DUMMYFUNCTION("""COMPUTED_VALUE"""),"Real")</f>
        <v>Real</v>
      </c>
      <c r="G10684" s="8">
        <f t="shared" si="1"/>
        <v>1</v>
      </c>
      <c r="H10684" s="14">
        <f t="shared" si="2"/>
        <v>20</v>
      </c>
      <c r="I10684" s="15">
        <f t="shared" si="3"/>
        <v>3</v>
      </c>
    </row>
    <row r="10685">
      <c r="A10685" s="8" t="str">
        <f>IFERROR(__xludf.DUMMYFUNCTION("IF('(INGESTA)Datos_consumo_datadis'!A10685&lt;&gt;"""",SPLIT('(INGESTA)Datos_consumo_datadis'!A:A,"",""),"""")"),"ES0031408323131005HX0F")</f>
        <v>ES0031408323131005HX0F</v>
      </c>
      <c r="B10685" s="12">
        <f>IFERROR(__xludf.DUMMYFUNCTION("""COMPUTED_VALUE"""),45311.0)</f>
        <v>45311</v>
      </c>
      <c r="C10685" s="13">
        <f>IFERROR(__xludf.DUMMYFUNCTION("""COMPUTED_VALUE"""),0.16666666666666666)</f>
        <v>0.1666666667</v>
      </c>
      <c r="D10685" s="8">
        <f>IFERROR(__xludf.DUMMYFUNCTION("""COMPUTED_VALUE"""),0.091)</f>
        <v>0.091</v>
      </c>
      <c r="E10685" s="8" t="str">
        <f>IFERROR(__xludf.DUMMYFUNCTION("""COMPUTED_VALUE"""),"Real")</f>
        <v>Real</v>
      </c>
      <c r="G10685" s="8">
        <f t="shared" si="1"/>
        <v>1</v>
      </c>
      <c r="H10685" s="14">
        <f t="shared" si="2"/>
        <v>20</v>
      </c>
      <c r="I10685" s="15">
        <f t="shared" si="3"/>
        <v>4</v>
      </c>
    </row>
    <row r="10686">
      <c r="A10686" s="8" t="str">
        <f>IFERROR(__xludf.DUMMYFUNCTION("IF('(INGESTA)Datos_consumo_datadis'!A10686&lt;&gt;"""",SPLIT('(INGESTA)Datos_consumo_datadis'!A:A,"",""),"""")"),"ES0031408323131005HX0F")</f>
        <v>ES0031408323131005HX0F</v>
      </c>
      <c r="B10686" s="12">
        <f>IFERROR(__xludf.DUMMYFUNCTION("""COMPUTED_VALUE"""),45311.0)</f>
        <v>45311</v>
      </c>
      <c r="C10686" s="13">
        <f>IFERROR(__xludf.DUMMYFUNCTION("""COMPUTED_VALUE"""),0.20833333333333334)</f>
        <v>0.2083333333</v>
      </c>
      <c r="D10686" s="8">
        <f>IFERROR(__xludf.DUMMYFUNCTION("""COMPUTED_VALUE"""),0.044)</f>
        <v>0.044</v>
      </c>
      <c r="E10686" s="8" t="str">
        <f>IFERROR(__xludf.DUMMYFUNCTION("""COMPUTED_VALUE"""),"Real")</f>
        <v>Real</v>
      </c>
      <c r="G10686" s="8">
        <f t="shared" si="1"/>
        <v>1</v>
      </c>
      <c r="H10686" s="14">
        <f t="shared" si="2"/>
        <v>20</v>
      </c>
      <c r="I10686" s="15">
        <f t="shared" si="3"/>
        <v>5</v>
      </c>
    </row>
    <row r="10687">
      <c r="A10687" s="8" t="str">
        <f>IFERROR(__xludf.DUMMYFUNCTION("IF('(INGESTA)Datos_consumo_datadis'!A10687&lt;&gt;"""",SPLIT('(INGESTA)Datos_consumo_datadis'!A:A,"",""),"""")"),"ES0031408323131005HX0F")</f>
        <v>ES0031408323131005HX0F</v>
      </c>
      <c r="B10687" s="12">
        <f>IFERROR(__xludf.DUMMYFUNCTION("""COMPUTED_VALUE"""),45311.0)</f>
        <v>45311</v>
      </c>
      <c r="C10687" s="13">
        <f>IFERROR(__xludf.DUMMYFUNCTION("""COMPUTED_VALUE"""),0.25)</f>
        <v>0.25</v>
      </c>
      <c r="D10687" s="8">
        <f>IFERROR(__xludf.DUMMYFUNCTION("""COMPUTED_VALUE"""),0.076)</f>
        <v>0.076</v>
      </c>
      <c r="E10687" s="8" t="str">
        <f>IFERROR(__xludf.DUMMYFUNCTION("""COMPUTED_VALUE"""),"Real")</f>
        <v>Real</v>
      </c>
      <c r="G10687" s="8">
        <f t="shared" si="1"/>
        <v>1</v>
      </c>
      <c r="H10687" s="14">
        <f t="shared" si="2"/>
        <v>20</v>
      </c>
      <c r="I10687" s="15">
        <f t="shared" si="3"/>
        <v>6</v>
      </c>
    </row>
    <row r="10688">
      <c r="A10688" s="8" t="str">
        <f>IFERROR(__xludf.DUMMYFUNCTION("IF('(INGESTA)Datos_consumo_datadis'!A10688&lt;&gt;"""",SPLIT('(INGESTA)Datos_consumo_datadis'!A:A,"",""),"""")"),"ES0031408323131005HX0F")</f>
        <v>ES0031408323131005HX0F</v>
      </c>
      <c r="B10688" s="12">
        <f>IFERROR(__xludf.DUMMYFUNCTION("""COMPUTED_VALUE"""),45311.0)</f>
        <v>45311</v>
      </c>
      <c r="C10688" s="13">
        <f>IFERROR(__xludf.DUMMYFUNCTION("""COMPUTED_VALUE"""),0.2916666666666667)</f>
        <v>0.2916666667</v>
      </c>
      <c r="D10688" s="8">
        <f>IFERROR(__xludf.DUMMYFUNCTION("""COMPUTED_VALUE"""),0.046)</f>
        <v>0.046</v>
      </c>
      <c r="E10688" s="8" t="str">
        <f>IFERROR(__xludf.DUMMYFUNCTION("""COMPUTED_VALUE"""),"Real")</f>
        <v>Real</v>
      </c>
      <c r="G10688" s="8">
        <f t="shared" si="1"/>
        <v>1</v>
      </c>
      <c r="H10688" s="14">
        <f t="shared" si="2"/>
        <v>20</v>
      </c>
      <c r="I10688" s="15">
        <f t="shared" si="3"/>
        <v>7</v>
      </c>
    </row>
    <row r="10689">
      <c r="A10689" s="8" t="str">
        <f>IFERROR(__xludf.DUMMYFUNCTION("IF('(INGESTA)Datos_consumo_datadis'!A10689&lt;&gt;"""",SPLIT('(INGESTA)Datos_consumo_datadis'!A:A,"",""),"""")"),"ES0031408323131005HX0F")</f>
        <v>ES0031408323131005HX0F</v>
      </c>
      <c r="B10689" s="12">
        <f>IFERROR(__xludf.DUMMYFUNCTION("""COMPUTED_VALUE"""),45311.0)</f>
        <v>45311</v>
      </c>
      <c r="C10689" s="13">
        <f>IFERROR(__xludf.DUMMYFUNCTION("""COMPUTED_VALUE"""),0.3333333333333333)</f>
        <v>0.3333333333</v>
      </c>
      <c r="D10689" s="8">
        <f>IFERROR(__xludf.DUMMYFUNCTION("""COMPUTED_VALUE"""),0.345)</f>
        <v>0.345</v>
      </c>
      <c r="E10689" s="8" t="str">
        <f>IFERROR(__xludf.DUMMYFUNCTION("""COMPUTED_VALUE"""),"Real")</f>
        <v>Real</v>
      </c>
      <c r="G10689" s="8">
        <f t="shared" si="1"/>
        <v>1</v>
      </c>
      <c r="H10689" s="14">
        <f t="shared" si="2"/>
        <v>20</v>
      </c>
      <c r="I10689" s="15">
        <f t="shared" si="3"/>
        <v>8</v>
      </c>
    </row>
    <row r="10690">
      <c r="A10690" s="8" t="str">
        <f>IFERROR(__xludf.DUMMYFUNCTION("IF('(INGESTA)Datos_consumo_datadis'!A10690&lt;&gt;"""",SPLIT('(INGESTA)Datos_consumo_datadis'!A:A,"",""),"""")"),"ES0031408323131005HX0F")</f>
        <v>ES0031408323131005HX0F</v>
      </c>
      <c r="B10690" s="12">
        <f>IFERROR(__xludf.DUMMYFUNCTION("""COMPUTED_VALUE"""),45311.0)</f>
        <v>45311</v>
      </c>
      <c r="C10690" s="13">
        <f>IFERROR(__xludf.DUMMYFUNCTION("""COMPUTED_VALUE"""),0.375)</f>
        <v>0.375</v>
      </c>
      <c r="D10690" s="8">
        <f>IFERROR(__xludf.DUMMYFUNCTION("""COMPUTED_VALUE"""),0.085)</f>
        <v>0.085</v>
      </c>
      <c r="E10690" s="8" t="str">
        <f>IFERROR(__xludf.DUMMYFUNCTION("""COMPUTED_VALUE"""),"Real")</f>
        <v>Real</v>
      </c>
      <c r="G10690" s="8">
        <f t="shared" si="1"/>
        <v>1</v>
      </c>
      <c r="H10690" s="14">
        <f t="shared" si="2"/>
        <v>20</v>
      </c>
      <c r="I10690" s="15">
        <f t="shared" si="3"/>
        <v>9</v>
      </c>
    </row>
    <row r="10691">
      <c r="A10691" s="8" t="str">
        <f>IFERROR(__xludf.DUMMYFUNCTION("IF('(INGESTA)Datos_consumo_datadis'!A10691&lt;&gt;"""",SPLIT('(INGESTA)Datos_consumo_datadis'!A:A,"",""),"""")"),"ES0031408323131005HX0F")</f>
        <v>ES0031408323131005HX0F</v>
      </c>
      <c r="B10691" s="12">
        <f>IFERROR(__xludf.DUMMYFUNCTION("""COMPUTED_VALUE"""),45311.0)</f>
        <v>45311</v>
      </c>
      <c r="C10691" s="13">
        <f>IFERROR(__xludf.DUMMYFUNCTION("""COMPUTED_VALUE"""),0.4166666666666667)</f>
        <v>0.4166666667</v>
      </c>
      <c r="D10691" s="8">
        <f>IFERROR(__xludf.DUMMYFUNCTION("""COMPUTED_VALUE"""),0.028)</f>
        <v>0.028</v>
      </c>
      <c r="E10691" s="8" t="str">
        <f>IFERROR(__xludf.DUMMYFUNCTION("""COMPUTED_VALUE"""),"Real")</f>
        <v>Real</v>
      </c>
      <c r="G10691" s="8">
        <f t="shared" si="1"/>
        <v>1</v>
      </c>
      <c r="H10691" s="14">
        <f t="shared" si="2"/>
        <v>20</v>
      </c>
      <c r="I10691" s="15">
        <f t="shared" si="3"/>
        <v>10</v>
      </c>
    </row>
    <row r="10692">
      <c r="A10692" s="8" t="str">
        <f>IFERROR(__xludf.DUMMYFUNCTION("IF('(INGESTA)Datos_consumo_datadis'!A10692&lt;&gt;"""",SPLIT('(INGESTA)Datos_consumo_datadis'!A:A,"",""),"""")"),"ES0031408323131005HX0F")</f>
        <v>ES0031408323131005HX0F</v>
      </c>
      <c r="B10692" s="12">
        <f>IFERROR(__xludf.DUMMYFUNCTION("""COMPUTED_VALUE"""),45311.0)</f>
        <v>45311</v>
      </c>
      <c r="C10692" s="13">
        <f>IFERROR(__xludf.DUMMYFUNCTION("""COMPUTED_VALUE"""),0.4583333333333333)</f>
        <v>0.4583333333</v>
      </c>
      <c r="D10692" s="8">
        <f>IFERROR(__xludf.DUMMYFUNCTION("""COMPUTED_VALUE"""),0.086)</f>
        <v>0.086</v>
      </c>
      <c r="E10692" s="8" t="str">
        <f>IFERROR(__xludf.DUMMYFUNCTION("""COMPUTED_VALUE"""),"Real")</f>
        <v>Real</v>
      </c>
      <c r="G10692" s="8">
        <f t="shared" si="1"/>
        <v>1</v>
      </c>
      <c r="H10692" s="14">
        <f t="shared" si="2"/>
        <v>20</v>
      </c>
      <c r="I10692" s="15">
        <f t="shared" si="3"/>
        <v>11</v>
      </c>
    </row>
    <row r="10693">
      <c r="A10693" s="8" t="str">
        <f>IFERROR(__xludf.DUMMYFUNCTION("IF('(INGESTA)Datos_consumo_datadis'!A10693&lt;&gt;"""",SPLIT('(INGESTA)Datos_consumo_datadis'!A:A,"",""),"""")"),"ES0031408323131005HX0F")</f>
        <v>ES0031408323131005HX0F</v>
      </c>
      <c r="B10693" s="12">
        <f>IFERROR(__xludf.DUMMYFUNCTION("""COMPUTED_VALUE"""),45311.0)</f>
        <v>45311</v>
      </c>
      <c r="C10693" s="13">
        <f>IFERROR(__xludf.DUMMYFUNCTION("""COMPUTED_VALUE"""),0.5)</f>
        <v>0.5</v>
      </c>
      <c r="D10693" s="8">
        <f>IFERROR(__xludf.DUMMYFUNCTION("""COMPUTED_VALUE"""),0.088)</f>
        <v>0.088</v>
      </c>
      <c r="E10693" s="8" t="str">
        <f>IFERROR(__xludf.DUMMYFUNCTION("""COMPUTED_VALUE"""),"Real")</f>
        <v>Real</v>
      </c>
      <c r="G10693" s="8">
        <f t="shared" si="1"/>
        <v>1</v>
      </c>
      <c r="H10693" s="14">
        <f t="shared" si="2"/>
        <v>20</v>
      </c>
      <c r="I10693" s="15">
        <f t="shared" si="3"/>
        <v>12</v>
      </c>
    </row>
    <row r="10694">
      <c r="A10694" s="8" t="str">
        <f>IFERROR(__xludf.DUMMYFUNCTION("IF('(INGESTA)Datos_consumo_datadis'!A10694&lt;&gt;"""",SPLIT('(INGESTA)Datos_consumo_datadis'!A:A,"",""),"""")"),"ES0031408323131005HX0F")</f>
        <v>ES0031408323131005HX0F</v>
      </c>
      <c r="B10694" s="12">
        <f>IFERROR(__xludf.DUMMYFUNCTION("""COMPUTED_VALUE"""),45311.0)</f>
        <v>45311</v>
      </c>
      <c r="C10694" s="13">
        <f>IFERROR(__xludf.DUMMYFUNCTION("""COMPUTED_VALUE"""),0.5416666666666666)</f>
        <v>0.5416666667</v>
      </c>
      <c r="D10694" s="8">
        <f>IFERROR(__xludf.DUMMYFUNCTION("""COMPUTED_VALUE"""),0.532)</f>
        <v>0.532</v>
      </c>
      <c r="E10694" s="8" t="str">
        <f>IFERROR(__xludf.DUMMYFUNCTION("""COMPUTED_VALUE"""),"Real")</f>
        <v>Real</v>
      </c>
      <c r="G10694" s="8">
        <f t="shared" si="1"/>
        <v>1</v>
      </c>
      <c r="H10694" s="14">
        <f t="shared" si="2"/>
        <v>20</v>
      </c>
      <c r="I10694" s="15">
        <f t="shared" si="3"/>
        <v>13</v>
      </c>
    </row>
    <row r="10695">
      <c r="A10695" s="8" t="str">
        <f>IFERROR(__xludf.DUMMYFUNCTION("IF('(INGESTA)Datos_consumo_datadis'!A10695&lt;&gt;"""",SPLIT('(INGESTA)Datos_consumo_datadis'!A:A,"",""),"""")"),"ES0031408323131005HX0F")</f>
        <v>ES0031408323131005HX0F</v>
      </c>
      <c r="B10695" s="12">
        <f>IFERROR(__xludf.DUMMYFUNCTION("""COMPUTED_VALUE"""),45311.0)</f>
        <v>45311</v>
      </c>
      <c r="C10695" s="13">
        <f>IFERROR(__xludf.DUMMYFUNCTION("""COMPUTED_VALUE"""),0.5833333333333334)</f>
        <v>0.5833333333</v>
      </c>
      <c r="D10695" s="8">
        <f>IFERROR(__xludf.DUMMYFUNCTION("""COMPUTED_VALUE"""),0.091)</f>
        <v>0.091</v>
      </c>
      <c r="E10695" s="8" t="str">
        <f>IFERROR(__xludf.DUMMYFUNCTION("""COMPUTED_VALUE"""),"Real")</f>
        <v>Real</v>
      </c>
      <c r="G10695" s="8">
        <f t="shared" si="1"/>
        <v>1</v>
      </c>
      <c r="H10695" s="14">
        <f t="shared" si="2"/>
        <v>20</v>
      </c>
      <c r="I10695" s="15">
        <f t="shared" si="3"/>
        <v>14</v>
      </c>
    </row>
    <row r="10696">
      <c r="A10696" s="8" t="str">
        <f>IFERROR(__xludf.DUMMYFUNCTION("IF('(INGESTA)Datos_consumo_datadis'!A10696&lt;&gt;"""",SPLIT('(INGESTA)Datos_consumo_datadis'!A:A,"",""),"""")"),"ES0031408323131005HX0F")</f>
        <v>ES0031408323131005HX0F</v>
      </c>
      <c r="B10696" s="12">
        <f>IFERROR(__xludf.DUMMYFUNCTION("""COMPUTED_VALUE"""),45311.0)</f>
        <v>45311</v>
      </c>
      <c r="C10696" s="13">
        <f>IFERROR(__xludf.DUMMYFUNCTION("""COMPUTED_VALUE"""),0.625)</f>
        <v>0.625</v>
      </c>
      <c r="D10696" s="8">
        <f>IFERROR(__xludf.DUMMYFUNCTION("""COMPUTED_VALUE"""),0.114)</f>
        <v>0.114</v>
      </c>
      <c r="E10696" s="8" t="str">
        <f>IFERROR(__xludf.DUMMYFUNCTION("""COMPUTED_VALUE"""),"Real")</f>
        <v>Real</v>
      </c>
      <c r="G10696" s="8">
        <f t="shared" si="1"/>
        <v>1</v>
      </c>
      <c r="H10696" s="14">
        <f t="shared" si="2"/>
        <v>20</v>
      </c>
      <c r="I10696" s="15">
        <f t="shared" si="3"/>
        <v>15</v>
      </c>
    </row>
    <row r="10697">
      <c r="A10697" s="8" t="str">
        <f>IFERROR(__xludf.DUMMYFUNCTION("IF('(INGESTA)Datos_consumo_datadis'!A10697&lt;&gt;"""",SPLIT('(INGESTA)Datos_consumo_datadis'!A:A,"",""),"""")"),"ES0031408323131005HX0F")</f>
        <v>ES0031408323131005HX0F</v>
      </c>
      <c r="B10697" s="12">
        <f>IFERROR(__xludf.DUMMYFUNCTION("""COMPUTED_VALUE"""),45311.0)</f>
        <v>45311</v>
      </c>
      <c r="C10697" s="13">
        <f>IFERROR(__xludf.DUMMYFUNCTION("""COMPUTED_VALUE"""),0.6666666666666666)</f>
        <v>0.6666666667</v>
      </c>
      <c r="D10697" s="8">
        <f>IFERROR(__xludf.DUMMYFUNCTION("""COMPUTED_VALUE"""),0.133)</f>
        <v>0.133</v>
      </c>
      <c r="E10697" s="8" t="str">
        <f>IFERROR(__xludf.DUMMYFUNCTION("""COMPUTED_VALUE"""),"Real")</f>
        <v>Real</v>
      </c>
      <c r="G10697" s="8">
        <f t="shared" si="1"/>
        <v>1</v>
      </c>
      <c r="H10697" s="14">
        <f t="shared" si="2"/>
        <v>20</v>
      </c>
      <c r="I10697" s="15">
        <f t="shared" si="3"/>
        <v>16</v>
      </c>
    </row>
    <row r="10698">
      <c r="A10698" s="8" t="str">
        <f>IFERROR(__xludf.DUMMYFUNCTION("IF('(INGESTA)Datos_consumo_datadis'!A10698&lt;&gt;"""",SPLIT('(INGESTA)Datos_consumo_datadis'!A:A,"",""),"""")"),"ES0031408323131005HX0F")</f>
        <v>ES0031408323131005HX0F</v>
      </c>
      <c r="B10698" s="12">
        <f>IFERROR(__xludf.DUMMYFUNCTION("""COMPUTED_VALUE"""),45311.0)</f>
        <v>45311</v>
      </c>
      <c r="C10698" s="13">
        <f>IFERROR(__xludf.DUMMYFUNCTION("""COMPUTED_VALUE"""),0.7083333333333334)</f>
        <v>0.7083333333</v>
      </c>
      <c r="D10698" s="8">
        <f>IFERROR(__xludf.DUMMYFUNCTION("""COMPUTED_VALUE"""),0.026)</f>
        <v>0.026</v>
      </c>
      <c r="E10698" s="8" t="str">
        <f>IFERROR(__xludf.DUMMYFUNCTION("""COMPUTED_VALUE"""),"Real")</f>
        <v>Real</v>
      </c>
      <c r="G10698" s="8">
        <f t="shared" si="1"/>
        <v>1</v>
      </c>
      <c r="H10698" s="14">
        <f t="shared" si="2"/>
        <v>20</v>
      </c>
      <c r="I10698" s="15">
        <f t="shared" si="3"/>
        <v>17</v>
      </c>
    </row>
    <row r="10699">
      <c r="A10699" s="8" t="str">
        <f>IFERROR(__xludf.DUMMYFUNCTION("IF('(INGESTA)Datos_consumo_datadis'!A10699&lt;&gt;"""",SPLIT('(INGESTA)Datos_consumo_datadis'!A:A,"",""),"""")"),"ES0031408323131005HX0F")</f>
        <v>ES0031408323131005HX0F</v>
      </c>
      <c r="B10699" s="12">
        <f>IFERROR(__xludf.DUMMYFUNCTION("""COMPUTED_VALUE"""),45311.0)</f>
        <v>45311</v>
      </c>
      <c r="C10699" s="13">
        <f>IFERROR(__xludf.DUMMYFUNCTION("""COMPUTED_VALUE"""),0.75)</f>
        <v>0.75</v>
      </c>
      <c r="D10699" s="8">
        <f>IFERROR(__xludf.DUMMYFUNCTION("""COMPUTED_VALUE"""),0.085)</f>
        <v>0.085</v>
      </c>
      <c r="E10699" s="8" t="str">
        <f>IFERROR(__xludf.DUMMYFUNCTION("""COMPUTED_VALUE"""),"Real")</f>
        <v>Real</v>
      </c>
      <c r="G10699" s="8">
        <f t="shared" si="1"/>
        <v>1</v>
      </c>
      <c r="H10699" s="14">
        <f t="shared" si="2"/>
        <v>20</v>
      </c>
      <c r="I10699" s="15">
        <f t="shared" si="3"/>
        <v>18</v>
      </c>
    </row>
    <row r="10700">
      <c r="A10700" s="8" t="str">
        <f>IFERROR(__xludf.DUMMYFUNCTION("IF('(INGESTA)Datos_consumo_datadis'!A10700&lt;&gt;"""",SPLIT('(INGESTA)Datos_consumo_datadis'!A:A,"",""),"""")"),"ES0031408323131005HX0F")</f>
        <v>ES0031408323131005HX0F</v>
      </c>
      <c r="B10700" s="12">
        <f>IFERROR(__xludf.DUMMYFUNCTION("""COMPUTED_VALUE"""),45311.0)</f>
        <v>45311</v>
      </c>
      <c r="C10700" s="13">
        <f>IFERROR(__xludf.DUMMYFUNCTION("""COMPUTED_VALUE"""),0.7916666666666666)</f>
        <v>0.7916666667</v>
      </c>
      <c r="D10700" s="8">
        <f>IFERROR(__xludf.DUMMYFUNCTION("""COMPUTED_VALUE"""),0.307)</f>
        <v>0.307</v>
      </c>
      <c r="E10700" s="8" t="str">
        <f>IFERROR(__xludf.DUMMYFUNCTION("""COMPUTED_VALUE"""),"Real")</f>
        <v>Real</v>
      </c>
      <c r="G10700" s="8">
        <f t="shared" si="1"/>
        <v>1</v>
      </c>
      <c r="H10700" s="14">
        <f t="shared" si="2"/>
        <v>20</v>
      </c>
      <c r="I10700" s="15">
        <f t="shared" si="3"/>
        <v>19</v>
      </c>
    </row>
    <row r="10701">
      <c r="A10701" s="8" t="str">
        <f>IFERROR(__xludf.DUMMYFUNCTION("IF('(INGESTA)Datos_consumo_datadis'!A10701&lt;&gt;"""",SPLIT('(INGESTA)Datos_consumo_datadis'!A:A,"",""),"""")"),"ES0031408323131005HX0F")</f>
        <v>ES0031408323131005HX0F</v>
      </c>
      <c r="B10701" s="12">
        <f>IFERROR(__xludf.DUMMYFUNCTION("""COMPUTED_VALUE"""),45311.0)</f>
        <v>45311</v>
      </c>
      <c r="C10701" s="13">
        <f>IFERROR(__xludf.DUMMYFUNCTION("""COMPUTED_VALUE"""),0.8333333333333334)</f>
        <v>0.8333333333</v>
      </c>
      <c r="D10701" s="8">
        <f>IFERROR(__xludf.DUMMYFUNCTION("""COMPUTED_VALUE"""),0.408)</f>
        <v>0.408</v>
      </c>
      <c r="E10701" s="8" t="str">
        <f>IFERROR(__xludf.DUMMYFUNCTION("""COMPUTED_VALUE"""),"Real")</f>
        <v>Real</v>
      </c>
      <c r="G10701" s="8">
        <f t="shared" si="1"/>
        <v>1</v>
      </c>
      <c r="H10701" s="14">
        <f t="shared" si="2"/>
        <v>20</v>
      </c>
      <c r="I10701" s="15">
        <f t="shared" si="3"/>
        <v>20</v>
      </c>
    </row>
    <row r="10702">
      <c r="A10702" s="8" t="str">
        <f>IFERROR(__xludf.DUMMYFUNCTION("IF('(INGESTA)Datos_consumo_datadis'!A10702&lt;&gt;"""",SPLIT('(INGESTA)Datos_consumo_datadis'!A:A,"",""),"""")"),"ES0031408323131005HX0F")</f>
        <v>ES0031408323131005HX0F</v>
      </c>
      <c r="B10702" s="12">
        <f>IFERROR(__xludf.DUMMYFUNCTION("""COMPUTED_VALUE"""),45311.0)</f>
        <v>45311</v>
      </c>
      <c r="C10702" s="13">
        <f>IFERROR(__xludf.DUMMYFUNCTION("""COMPUTED_VALUE"""),0.875)</f>
        <v>0.875</v>
      </c>
      <c r="D10702" s="8">
        <f>IFERROR(__xludf.DUMMYFUNCTION("""COMPUTED_VALUE"""),1.642)</f>
        <v>1.642</v>
      </c>
      <c r="E10702" s="8" t="str">
        <f>IFERROR(__xludf.DUMMYFUNCTION("""COMPUTED_VALUE"""),"Real")</f>
        <v>Real</v>
      </c>
      <c r="G10702" s="8">
        <f t="shared" si="1"/>
        <v>1</v>
      </c>
      <c r="H10702" s="14">
        <f t="shared" si="2"/>
        <v>20</v>
      </c>
      <c r="I10702" s="15">
        <f t="shared" si="3"/>
        <v>21</v>
      </c>
    </row>
    <row r="10703">
      <c r="A10703" s="8" t="str">
        <f>IFERROR(__xludf.DUMMYFUNCTION("IF('(INGESTA)Datos_consumo_datadis'!A10703&lt;&gt;"""",SPLIT('(INGESTA)Datos_consumo_datadis'!A:A,"",""),"""")"),"ES0031408323131005HX0F")</f>
        <v>ES0031408323131005HX0F</v>
      </c>
      <c r="B10703" s="12">
        <f>IFERROR(__xludf.DUMMYFUNCTION("""COMPUTED_VALUE"""),45311.0)</f>
        <v>45311</v>
      </c>
      <c r="C10703" s="13">
        <f>IFERROR(__xludf.DUMMYFUNCTION("""COMPUTED_VALUE"""),0.9166666666666666)</f>
        <v>0.9166666667</v>
      </c>
      <c r="D10703" s="8">
        <f>IFERROR(__xludf.DUMMYFUNCTION("""COMPUTED_VALUE"""),3.597)</f>
        <v>3.597</v>
      </c>
      <c r="E10703" s="8" t="str">
        <f>IFERROR(__xludf.DUMMYFUNCTION("""COMPUTED_VALUE"""),"Real")</f>
        <v>Real</v>
      </c>
      <c r="G10703" s="8">
        <f t="shared" si="1"/>
        <v>1</v>
      </c>
      <c r="H10703" s="14">
        <f t="shared" si="2"/>
        <v>20</v>
      </c>
      <c r="I10703" s="15">
        <f t="shared" si="3"/>
        <v>22</v>
      </c>
    </row>
    <row r="10704">
      <c r="A10704" s="8" t="str">
        <f>IFERROR(__xludf.DUMMYFUNCTION("IF('(INGESTA)Datos_consumo_datadis'!A10704&lt;&gt;"""",SPLIT('(INGESTA)Datos_consumo_datadis'!A:A,"",""),"""")"),"ES0031408323131005HX0F")</f>
        <v>ES0031408323131005HX0F</v>
      </c>
      <c r="B10704" s="12">
        <f>IFERROR(__xludf.DUMMYFUNCTION("""COMPUTED_VALUE"""),45311.0)</f>
        <v>45311</v>
      </c>
      <c r="C10704" s="13">
        <f>IFERROR(__xludf.DUMMYFUNCTION("""COMPUTED_VALUE"""),0.9583333333333334)</f>
        <v>0.9583333333</v>
      </c>
      <c r="D10704" s="8">
        <f>IFERROR(__xludf.DUMMYFUNCTION("""COMPUTED_VALUE"""),3.514)</f>
        <v>3.514</v>
      </c>
      <c r="E10704" s="8" t="str">
        <f>IFERROR(__xludf.DUMMYFUNCTION("""COMPUTED_VALUE"""),"Real")</f>
        <v>Real</v>
      </c>
      <c r="G10704" s="8">
        <f t="shared" si="1"/>
        <v>1</v>
      </c>
      <c r="H10704" s="14">
        <f t="shared" si="2"/>
        <v>20</v>
      </c>
      <c r="I10704" s="15">
        <f t="shared" si="3"/>
        <v>23</v>
      </c>
    </row>
    <row r="10705">
      <c r="A10705" s="8" t="str">
        <f>IFERROR(__xludf.DUMMYFUNCTION("IF('(INGESTA)Datos_consumo_datadis'!A10705&lt;&gt;"""",SPLIT('(INGESTA)Datos_consumo_datadis'!A:A,"",""),"""")"),"ES0031408323131005HX0F")</f>
        <v>ES0031408323131005HX0F</v>
      </c>
      <c r="B10705" s="12">
        <f>IFERROR(__xludf.DUMMYFUNCTION("""COMPUTED_VALUE"""),45311.0)</f>
        <v>45311</v>
      </c>
      <c r="C10705" s="16">
        <f>IFERROR(__xludf.DUMMYFUNCTION("""COMPUTED_VALUE"""),1.0)</f>
        <v>1</v>
      </c>
      <c r="D10705" s="8">
        <f>IFERROR(__xludf.DUMMYFUNCTION("""COMPUTED_VALUE"""),2.95)</f>
        <v>2.95</v>
      </c>
      <c r="E10705" s="8" t="str">
        <f>IFERROR(__xludf.DUMMYFUNCTION("""COMPUTED_VALUE"""),"Real")</f>
        <v>Real</v>
      </c>
      <c r="G10705" s="8">
        <f t="shared" si="1"/>
        <v>1</v>
      </c>
      <c r="H10705" s="14">
        <f t="shared" si="2"/>
        <v>20</v>
      </c>
      <c r="I10705" s="15">
        <f t="shared" si="3"/>
        <v>0</v>
      </c>
    </row>
    <row r="10706">
      <c r="A10706" s="8" t="str">
        <f>IFERROR(__xludf.DUMMYFUNCTION("IF('(INGESTA)Datos_consumo_datadis'!A10706&lt;&gt;"""",SPLIT('(INGESTA)Datos_consumo_datadis'!A:A,"",""),"""")"),"ES0031408323131005HX0F")</f>
        <v>ES0031408323131005HX0F</v>
      </c>
      <c r="B10706" s="12">
        <f>IFERROR(__xludf.DUMMYFUNCTION("""COMPUTED_VALUE"""),45312.0)</f>
        <v>45312</v>
      </c>
      <c r="C10706" s="13">
        <f>IFERROR(__xludf.DUMMYFUNCTION("""COMPUTED_VALUE"""),0.041666666666666664)</f>
        <v>0.04166666667</v>
      </c>
      <c r="D10706" s="8">
        <f>IFERROR(__xludf.DUMMYFUNCTION("""COMPUTED_VALUE"""),0.89)</f>
        <v>0.89</v>
      </c>
      <c r="E10706" s="8" t="str">
        <f>IFERROR(__xludf.DUMMYFUNCTION("""COMPUTED_VALUE"""),"Real")</f>
        <v>Real</v>
      </c>
      <c r="G10706" s="8">
        <f t="shared" si="1"/>
        <v>1</v>
      </c>
      <c r="H10706" s="14">
        <f t="shared" si="2"/>
        <v>21</v>
      </c>
      <c r="I10706" s="15">
        <f t="shared" si="3"/>
        <v>1</v>
      </c>
    </row>
    <row r="10707">
      <c r="A10707" s="8" t="str">
        <f>IFERROR(__xludf.DUMMYFUNCTION("IF('(INGESTA)Datos_consumo_datadis'!A10707&lt;&gt;"""",SPLIT('(INGESTA)Datos_consumo_datadis'!A:A,"",""),"""")"),"ES0031408323131005HX0F")</f>
        <v>ES0031408323131005HX0F</v>
      </c>
      <c r="B10707" s="12">
        <f>IFERROR(__xludf.DUMMYFUNCTION("""COMPUTED_VALUE"""),45312.0)</f>
        <v>45312</v>
      </c>
      <c r="C10707" s="13">
        <f>IFERROR(__xludf.DUMMYFUNCTION("""COMPUTED_VALUE"""),0.08333333333333333)</f>
        <v>0.08333333333</v>
      </c>
      <c r="D10707" s="8">
        <f>IFERROR(__xludf.DUMMYFUNCTION("""COMPUTED_VALUE"""),0.063)</f>
        <v>0.063</v>
      </c>
      <c r="E10707" s="8" t="str">
        <f>IFERROR(__xludf.DUMMYFUNCTION("""COMPUTED_VALUE"""),"Real")</f>
        <v>Real</v>
      </c>
      <c r="G10707" s="8">
        <f t="shared" si="1"/>
        <v>1</v>
      </c>
      <c r="H10707" s="14">
        <f t="shared" si="2"/>
        <v>21</v>
      </c>
      <c r="I10707" s="15">
        <f t="shared" si="3"/>
        <v>2</v>
      </c>
    </row>
    <row r="10708">
      <c r="A10708" s="8" t="str">
        <f>IFERROR(__xludf.DUMMYFUNCTION("IF('(INGESTA)Datos_consumo_datadis'!A10708&lt;&gt;"""",SPLIT('(INGESTA)Datos_consumo_datadis'!A:A,"",""),"""")"),"ES0031408323131005HX0F")</f>
        <v>ES0031408323131005HX0F</v>
      </c>
      <c r="B10708" s="12">
        <f>IFERROR(__xludf.DUMMYFUNCTION("""COMPUTED_VALUE"""),45312.0)</f>
        <v>45312</v>
      </c>
      <c r="C10708" s="13">
        <f>IFERROR(__xludf.DUMMYFUNCTION("""COMPUTED_VALUE"""),0.125)</f>
        <v>0.125</v>
      </c>
      <c r="D10708" s="8">
        <f>IFERROR(__xludf.DUMMYFUNCTION("""COMPUTED_VALUE"""),0.307)</f>
        <v>0.307</v>
      </c>
      <c r="E10708" s="8" t="str">
        <f>IFERROR(__xludf.DUMMYFUNCTION("""COMPUTED_VALUE"""),"Real")</f>
        <v>Real</v>
      </c>
      <c r="G10708" s="8">
        <f t="shared" si="1"/>
        <v>1</v>
      </c>
      <c r="H10708" s="14">
        <f t="shared" si="2"/>
        <v>21</v>
      </c>
      <c r="I10708" s="15">
        <f t="shared" si="3"/>
        <v>3</v>
      </c>
    </row>
    <row r="10709">
      <c r="A10709" s="8" t="str">
        <f>IFERROR(__xludf.DUMMYFUNCTION("IF('(INGESTA)Datos_consumo_datadis'!A10709&lt;&gt;"""",SPLIT('(INGESTA)Datos_consumo_datadis'!A:A,"",""),"""")"),"ES0031408323131005HX0F")</f>
        <v>ES0031408323131005HX0F</v>
      </c>
      <c r="B10709" s="12">
        <f>IFERROR(__xludf.DUMMYFUNCTION("""COMPUTED_VALUE"""),45312.0)</f>
        <v>45312</v>
      </c>
      <c r="C10709" s="13">
        <f>IFERROR(__xludf.DUMMYFUNCTION("""COMPUTED_VALUE"""),0.16666666666666666)</f>
        <v>0.1666666667</v>
      </c>
      <c r="D10709" s="8">
        <f>IFERROR(__xludf.DUMMYFUNCTION("""COMPUTED_VALUE"""),0.019)</f>
        <v>0.019</v>
      </c>
      <c r="E10709" s="8" t="str">
        <f>IFERROR(__xludf.DUMMYFUNCTION("""COMPUTED_VALUE"""),"Real")</f>
        <v>Real</v>
      </c>
      <c r="G10709" s="8">
        <f t="shared" si="1"/>
        <v>1</v>
      </c>
      <c r="H10709" s="14">
        <f t="shared" si="2"/>
        <v>21</v>
      </c>
      <c r="I10709" s="15">
        <f t="shared" si="3"/>
        <v>4</v>
      </c>
    </row>
    <row r="10710">
      <c r="A10710" s="8" t="str">
        <f>IFERROR(__xludf.DUMMYFUNCTION("IF('(INGESTA)Datos_consumo_datadis'!A10710&lt;&gt;"""",SPLIT('(INGESTA)Datos_consumo_datadis'!A:A,"",""),"""")"),"ES0031408323131005HX0F")</f>
        <v>ES0031408323131005HX0F</v>
      </c>
      <c r="B10710" s="12">
        <f>IFERROR(__xludf.DUMMYFUNCTION("""COMPUTED_VALUE"""),45312.0)</f>
        <v>45312</v>
      </c>
      <c r="C10710" s="13">
        <f>IFERROR(__xludf.DUMMYFUNCTION("""COMPUTED_VALUE"""),0.20833333333333334)</f>
        <v>0.2083333333</v>
      </c>
      <c r="D10710" s="8">
        <f>IFERROR(__xludf.DUMMYFUNCTION("""COMPUTED_VALUE"""),0.096)</f>
        <v>0.096</v>
      </c>
      <c r="E10710" s="8" t="str">
        <f>IFERROR(__xludf.DUMMYFUNCTION("""COMPUTED_VALUE"""),"Real")</f>
        <v>Real</v>
      </c>
      <c r="G10710" s="8">
        <f t="shared" si="1"/>
        <v>1</v>
      </c>
      <c r="H10710" s="14">
        <f t="shared" si="2"/>
        <v>21</v>
      </c>
      <c r="I10710" s="15">
        <f t="shared" si="3"/>
        <v>5</v>
      </c>
    </row>
    <row r="10711">
      <c r="A10711" s="8" t="str">
        <f>IFERROR(__xludf.DUMMYFUNCTION("IF('(INGESTA)Datos_consumo_datadis'!A10711&lt;&gt;"""",SPLIT('(INGESTA)Datos_consumo_datadis'!A:A,"",""),"""")"),"ES0031408323131005HX0F")</f>
        <v>ES0031408323131005HX0F</v>
      </c>
      <c r="B10711" s="12">
        <f>IFERROR(__xludf.DUMMYFUNCTION("""COMPUTED_VALUE"""),45312.0)</f>
        <v>45312</v>
      </c>
      <c r="C10711" s="13">
        <f>IFERROR(__xludf.DUMMYFUNCTION("""COMPUTED_VALUE"""),0.25)</f>
        <v>0.25</v>
      </c>
      <c r="D10711" s="8">
        <f>IFERROR(__xludf.DUMMYFUNCTION("""COMPUTED_VALUE"""),0.06)</f>
        <v>0.06</v>
      </c>
      <c r="E10711" s="8" t="str">
        <f>IFERROR(__xludf.DUMMYFUNCTION("""COMPUTED_VALUE"""),"Real")</f>
        <v>Real</v>
      </c>
      <c r="G10711" s="8">
        <f t="shared" si="1"/>
        <v>1</v>
      </c>
      <c r="H10711" s="14">
        <f t="shared" si="2"/>
        <v>21</v>
      </c>
      <c r="I10711" s="15">
        <f t="shared" si="3"/>
        <v>6</v>
      </c>
    </row>
    <row r="10712">
      <c r="A10712" s="8" t="str">
        <f>IFERROR(__xludf.DUMMYFUNCTION("IF('(INGESTA)Datos_consumo_datadis'!A10712&lt;&gt;"""",SPLIT('(INGESTA)Datos_consumo_datadis'!A:A,"",""),"""")"),"ES0031408323131005HX0F")</f>
        <v>ES0031408323131005HX0F</v>
      </c>
      <c r="B10712" s="12">
        <f>IFERROR(__xludf.DUMMYFUNCTION("""COMPUTED_VALUE"""),45312.0)</f>
        <v>45312</v>
      </c>
      <c r="C10712" s="13">
        <f>IFERROR(__xludf.DUMMYFUNCTION("""COMPUTED_VALUE"""),0.2916666666666667)</f>
        <v>0.2916666667</v>
      </c>
      <c r="D10712" s="8">
        <f>IFERROR(__xludf.DUMMYFUNCTION("""COMPUTED_VALUE"""),0.047)</f>
        <v>0.047</v>
      </c>
      <c r="E10712" s="8" t="str">
        <f>IFERROR(__xludf.DUMMYFUNCTION("""COMPUTED_VALUE"""),"Real")</f>
        <v>Real</v>
      </c>
      <c r="G10712" s="8">
        <f t="shared" si="1"/>
        <v>1</v>
      </c>
      <c r="H10712" s="14">
        <f t="shared" si="2"/>
        <v>21</v>
      </c>
      <c r="I10712" s="15">
        <f t="shared" si="3"/>
        <v>7</v>
      </c>
    </row>
    <row r="10713">
      <c r="A10713" s="8" t="str">
        <f>IFERROR(__xludf.DUMMYFUNCTION("IF('(INGESTA)Datos_consumo_datadis'!A10713&lt;&gt;"""",SPLIT('(INGESTA)Datos_consumo_datadis'!A:A,"",""),"""")"),"ES0031408323131005HX0F")</f>
        <v>ES0031408323131005HX0F</v>
      </c>
      <c r="B10713" s="12">
        <f>IFERROR(__xludf.DUMMYFUNCTION("""COMPUTED_VALUE"""),45312.0)</f>
        <v>45312</v>
      </c>
      <c r="C10713" s="13">
        <f>IFERROR(__xludf.DUMMYFUNCTION("""COMPUTED_VALUE"""),0.3333333333333333)</f>
        <v>0.3333333333</v>
      </c>
      <c r="D10713" s="8">
        <f>IFERROR(__xludf.DUMMYFUNCTION("""COMPUTED_VALUE"""),0.03)</f>
        <v>0.03</v>
      </c>
      <c r="E10713" s="8" t="str">
        <f>IFERROR(__xludf.DUMMYFUNCTION("""COMPUTED_VALUE"""),"Real")</f>
        <v>Real</v>
      </c>
      <c r="G10713" s="8">
        <f t="shared" si="1"/>
        <v>1</v>
      </c>
      <c r="H10713" s="14">
        <f t="shared" si="2"/>
        <v>21</v>
      </c>
      <c r="I10713" s="15">
        <f t="shared" si="3"/>
        <v>8</v>
      </c>
    </row>
    <row r="10714">
      <c r="A10714" s="8" t="str">
        <f>IFERROR(__xludf.DUMMYFUNCTION("IF('(INGESTA)Datos_consumo_datadis'!A10714&lt;&gt;"""",SPLIT('(INGESTA)Datos_consumo_datadis'!A:A,"",""),"""")"),"ES0031408323131005HX0F")</f>
        <v>ES0031408323131005HX0F</v>
      </c>
      <c r="B10714" s="12">
        <f>IFERROR(__xludf.DUMMYFUNCTION("""COMPUTED_VALUE"""),45312.0)</f>
        <v>45312</v>
      </c>
      <c r="C10714" s="13">
        <f>IFERROR(__xludf.DUMMYFUNCTION("""COMPUTED_VALUE"""),0.375)</f>
        <v>0.375</v>
      </c>
      <c r="D10714" s="8">
        <f>IFERROR(__xludf.DUMMYFUNCTION("""COMPUTED_VALUE"""),0.338)</f>
        <v>0.338</v>
      </c>
      <c r="E10714" s="8" t="str">
        <f>IFERROR(__xludf.DUMMYFUNCTION("""COMPUTED_VALUE"""),"Real")</f>
        <v>Real</v>
      </c>
      <c r="G10714" s="8">
        <f t="shared" si="1"/>
        <v>1</v>
      </c>
      <c r="H10714" s="14">
        <f t="shared" si="2"/>
        <v>21</v>
      </c>
      <c r="I10714" s="15">
        <f t="shared" si="3"/>
        <v>9</v>
      </c>
    </row>
    <row r="10715">
      <c r="A10715" s="8" t="str">
        <f>IFERROR(__xludf.DUMMYFUNCTION("IF('(INGESTA)Datos_consumo_datadis'!A10715&lt;&gt;"""",SPLIT('(INGESTA)Datos_consumo_datadis'!A:A,"",""),"""")"),"ES0031408323131005HX0F")</f>
        <v>ES0031408323131005HX0F</v>
      </c>
      <c r="B10715" s="12">
        <f>IFERROR(__xludf.DUMMYFUNCTION("""COMPUTED_VALUE"""),45312.0)</f>
        <v>45312</v>
      </c>
      <c r="C10715" s="13">
        <f>IFERROR(__xludf.DUMMYFUNCTION("""COMPUTED_VALUE"""),0.4166666666666667)</f>
        <v>0.4166666667</v>
      </c>
      <c r="D10715" s="8">
        <f>IFERROR(__xludf.DUMMYFUNCTION("""COMPUTED_VALUE"""),0.163)</f>
        <v>0.163</v>
      </c>
      <c r="E10715" s="8" t="str">
        <f>IFERROR(__xludf.DUMMYFUNCTION("""COMPUTED_VALUE"""),"Real")</f>
        <v>Real</v>
      </c>
      <c r="G10715" s="8">
        <f t="shared" si="1"/>
        <v>1</v>
      </c>
      <c r="H10715" s="14">
        <f t="shared" si="2"/>
        <v>21</v>
      </c>
      <c r="I10715" s="15">
        <f t="shared" si="3"/>
        <v>10</v>
      </c>
    </row>
    <row r="10716">
      <c r="A10716" s="8" t="str">
        <f>IFERROR(__xludf.DUMMYFUNCTION("IF('(INGESTA)Datos_consumo_datadis'!A10716&lt;&gt;"""",SPLIT('(INGESTA)Datos_consumo_datadis'!A:A,"",""),"""")"),"ES0031408323131005HX0F")</f>
        <v>ES0031408323131005HX0F</v>
      </c>
      <c r="B10716" s="12">
        <f>IFERROR(__xludf.DUMMYFUNCTION("""COMPUTED_VALUE"""),45312.0)</f>
        <v>45312</v>
      </c>
      <c r="C10716" s="13">
        <f>IFERROR(__xludf.DUMMYFUNCTION("""COMPUTED_VALUE"""),0.4583333333333333)</f>
        <v>0.4583333333</v>
      </c>
      <c r="D10716" s="8">
        <f>IFERROR(__xludf.DUMMYFUNCTION("""COMPUTED_VALUE"""),0.441)</f>
        <v>0.441</v>
      </c>
      <c r="E10716" s="8" t="str">
        <f>IFERROR(__xludf.DUMMYFUNCTION("""COMPUTED_VALUE"""),"Real")</f>
        <v>Real</v>
      </c>
      <c r="G10716" s="8">
        <f t="shared" si="1"/>
        <v>1</v>
      </c>
      <c r="H10716" s="14">
        <f t="shared" si="2"/>
        <v>21</v>
      </c>
      <c r="I10716" s="15">
        <f t="shared" si="3"/>
        <v>11</v>
      </c>
    </row>
    <row r="10717">
      <c r="A10717" s="8" t="str">
        <f>IFERROR(__xludf.DUMMYFUNCTION("IF('(INGESTA)Datos_consumo_datadis'!A10717&lt;&gt;"""",SPLIT('(INGESTA)Datos_consumo_datadis'!A:A,"",""),"""")"),"ES0031408323131005HX0F")</f>
        <v>ES0031408323131005HX0F</v>
      </c>
      <c r="B10717" s="12">
        <f>IFERROR(__xludf.DUMMYFUNCTION("""COMPUTED_VALUE"""),45312.0)</f>
        <v>45312</v>
      </c>
      <c r="C10717" s="13">
        <f>IFERROR(__xludf.DUMMYFUNCTION("""COMPUTED_VALUE"""),0.5)</f>
        <v>0.5</v>
      </c>
      <c r="D10717" s="8">
        <f>IFERROR(__xludf.DUMMYFUNCTION("""COMPUTED_VALUE"""),0.528)</f>
        <v>0.528</v>
      </c>
      <c r="E10717" s="8" t="str">
        <f>IFERROR(__xludf.DUMMYFUNCTION("""COMPUTED_VALUE"""),"Real")</f>
        <v>Real</v>
      </c>
      <c r="G10717" s="8">
        <f t="shared" si="1"/>
        <v>1</v>
      </c>
      <c r="H10717" s="14">
        <f t="shared" si="2"/>
        <v>21</v>
      </c>
      <c r="I10717" s="15">
        <f t="shared" si="3"/>
        <v>12</v>
      </c>
    </row>
    <row r="10718">
      <c r="A10718" s="8" t="str">
        <f>IFERROR(__xludf.DUMMYFUNCTION("IF('(INGESTA)Datos_consumo_datadis'!A10718&lt;&gt;"""",SPLIT('(INGESTA)Datos_consumo_datadis'!A:A,"",""),"""")"),"ES0031408323131005HX0F")</f>
        <v>ES0031408323131005HX0F</v>
      </c>
      <c r="B10718" s="12">
        <f>IFERROR(__xludf.DUMMYFUNCTION("""COMPUTED_VALUE"""),45312.0)</f>
        <v>45312</v>
      </c>
      <c r="C10718" s="13">
        <f>IFERROR(__xludf.DUMMYFUNCTION("""COMPUTED_VALUE"""),0.5416666666666666)</f>
        <v>0.5416666667</v>
      </c>
      <c r="D10718" s="8">
        <f>IFERROR(__xludf.DUMMYFUNCTION("""COMPUTED_VALUE"""),0.064)</f>
        <v>0.064</v>
      </c>
      <c r="E10718" s="8" t="str">
        <f>IFERROR(__xludf.DUMMYFUNCTION("""COMPUTED_VALUE"""),"Real")</f>
        <v>Real</v>
      </c>
      <c r="G10718" s="8">
        <f t="shared" si="1"/>
        <v>1</v>
      </c>
      <c r="H10718" s="14">
        <f t="shared" si="2"/>
        <v>21</v>
      </c>
      <c r="I10718" s="15">
        <f t="shared" si="3"/>
        <v>13</v>
      </c>
    </row>
    <row r="10719">
      <c r="A10719" s="8" t="str">
        <f>IFERROR(__xludf.DUMMYFUNCTION("IF('(INGESTA)Datos_consumo_datadis'!A10719&lt;&gt;"""",SPLIT('(INGESTA)Datos_consumo_datadis'!A:A,"",""),"""")"),"ES0031408323131005HX0F")</f>
        <v>ES0031408323131005HX0F</v>
      </c>
      <c r="B10719" s="12">
        <f>IFERROR(__xludf.DUMMYFUNCTION("""COMPUTED_VALUE"""),45312.0)</f>
        <v>45312</v>
      </c>
      <c r="C10719" s="13">
        <f>IFERROR(__xludf.DUMMYFUNCTION("""COMPUTED_VALUE"""),0.5833333333333334)</f>
        <v>0.5833333333</v>
      </c>
      <c r="D10719" s="8">
        <f>IFERROR(__xludf.DUMMYFUNCTION("""COMPUTED_VALUE"""),0.076)</f>
        <v>0.076</v>
      </c>
      <c r="E10719" s="8" t="str">
        <f>IFERROR(__xludf.DUMMYFUNCTION("""COMPUTED_VALUE"""),"Real")</f>
        <v>Real</v>
      </c>
      <c r="G10719" s="8">
        <f t="shared" si="1"/>
        <v>1</v>
      </c>
      <c r="H10719" s="14">
        <f t="shared" si="2"/>
        <v>21</v>
      </c>
      <c r="I10719" s="15">
        <f t="shared" si="3"/>
        <v>14</v>
      </c>
    </row>
    <row r="10720">
      <c r="A10720" s="8" t="str">
        <f>IFERROR(__xludf.DUMMYFUNCTION("IF('(INGESTA)Datos_consumo_datadis'!A10720&lt;&gt;"""",SPLIT('(INGESTA)Datos_consumo_datadis'!A:A,"",""),"""")"),"ES0031408323131005HX0F")</f>
        <v>ES0031408323131005HX0F</v>
      </c>
      <c r="B10720" s="12">
        <f>IFERROR(__xludf.DUMMYFUNCTION("""COMPUTED_VALUE"""),45312.0)</f>
        <v>45312</v>
      </c>
      <c r="C10720" s="13">
        <f>IFERROR(__xludf.DUMMYFUNCTION("""COMPUTED_VALUE"""),0.625)</f>
        <v>0.625</v>
      </c>
      <c r="D10720" s="8">
        <f>IFERROR(__xludf.DUMMYFUNCTION("""COMPUTED_VALUE"""),0.023)</f>
        <v>0.023</v>
      </c>
      <c r="E10720" s="8" t="str">
        <f>IFERROR(__xludf.DUMMYFUNCTION("""COMPUTED_VALUE"""),"Real")</f>
        <v>Real</v>
      </c>
      <c r="G10720" s="8">
        <f t="shared" si="1"/>
        <v>1</v>
      </c>
      <c r="H10720" s="14">
        <f t="shared" si="2"/>
        <v>21</v>
      </c>
      <c r="I10720" s="15">
        <f t="shared" si="3"/>
        <v>15</v>
      </c>
    </row>
    <row r="10721">
      <c r="A10721" s="8" t="str">
        <f>IFERROR(__xludf.DUMMYFUNCTION("IF('(INGESTA)Datos_consumo_datadis'!A10721&lt;&gt;"""",SPLIT('(INGESTA)Datos_consumo_datadis'!A:A,"",""),"""")"),"ES0031408323131005HX0F")</f>
        <v>ES0031408323131005HX0F</v>
      </c>
      <c r="B10721" s="12">
        <f>IFERROR(__xludf.DUMMYFUNCTION("""COMPUTED_VALUE"""),45312.0)</f>
        <v>45312</v>
      </c>
      <c r="C10721" s="13">
        <f>IFERROR(__xludf.DUMMYFUNCTION("""COMPUTED_VALUE"""),0.6666666666666666)</f>
        <v>0.6666666667</v>
      </c>
      <c r="D10721" s="8">
        <f>IFERROR(__xludf.DUMMYFUNCTION("""COMPUTED_VALUE"""),0.324)</f>
        <v>0.324</v>
      </c>
      <c r="E10721" s="8" t="str">
        <f>IFERROR(__xludf.DUMMYFUNCTION("""COMPUTED_VALUE"""),"Real")</f>
        <v>Real</v>
      </c>
      <c r="G10721" s="8">
        <f t="shared" si="1"/>
        <v>1</v>
      </c>
      <c r="H10721" s="14">
        <f t="shared" si="2"/>
        <v>21</v>
      </c>
      <c r="I10721" s="15">
        <f t="shared" si="3"/>
        <v>16</v>
      </c>
    </row>
    <row r="10722">
      <c r="A10722" s="8" t="str">
        <f>IFERROR(__xludf.DUMMYFUNCTION("IF('(INGESTA)Datos_consumo_datadis'!A10722&lt;&gt;"""",SPLIT('(INGESTA)Datos_consumo_datadis'!A:A,"",""),"""")"),"ES0031408323131005HX0F")</f>
        <v>ES0031408323131005HX0F</v>
      </c>
      <c r="B10722" s="12">
        <f>IFERROR(__xludf.DUMMYFUNCTION("""COMPUTED_VALUE"""),45312.0)</f>
        <v>45312</v>
      </c>
      <c r="C10722" s="13">
        <f>IFERROR(__xludf.DUMMYFUNCTION("""COMPUTED_VALUE"""),0.7083333333333334)</f>
        <v>0.7083333333</v>
      </c>
      <c r="D10722" s="8">
        <f>IFERROR(__xludf.DUMMYFUNCTION("""COMPUTED_VALUE"""),0.055)</f>
        <v>0.055</v>
      </c>
      <c r="E10722" s="8" t="str">
        <f>IFERROR(__xludf.DUMMYFUNCTION("""COMPUTED_VALUE"""),"Real")</f>
        <v>Real</v>
      </c>
      <c r="G10722" s="8">
        <f t="shared" si="1"/>
        <v>1</v>
      </c>
      <c r="H10722" s="14">
        <f t="shared" si="2"/>
        <v>21</v>
      </c>
      <c r="I10722" s="15">
        <f t="shared" si="3"/>
        <v>17</v>
      </c>
    </row>
    <row r="10723">
      <c r="A10723" s="8" t="str">
        <f>IFERROR(__xludf.DUMMYFUNCTION("IF('(INGESTA)Datos_consumo_datadis'!A10723&lt;&gt;"""",SPLIT('(INGESTA)Datos_consumo_datadis'!A:A,"",""),"""")"),"ES0031408323131005HX0F")</f>
        <v>ES0031408323131005HX0F</v>
      </c>
      <c r="B10723" s="12">
        <f>IFERROR(__xludf.DUMMYFUNCTION("""COMPUTED_VALUE"""),45312.0)</f>
        <v>45312</v>
      </c>
      <c r="C10723" s="13">
        <f>IFERROR(__xludf.DUMMYFUNCTION("""COMPUTED_VALUE"""),0.75)</f>
        <v>0.75</v>
      </c>
      <c r="D10723" s="8">
        <f>IFERROR(__xludf.DUMMYFUNCTION("""COMPUTED_VALUE"""),0.122)</f>
        <v>0.122</v>
      </c>
      <c r="E10723" s="8" t="str">
        <f>IFERROR(__xludf.DUMMYFUNCTION("""COMPUTED_VALUE"""),"Real")</f>
        <v>Real</v>
      </c>
      <c r="G10723" s="8">
        <f t="shared" si="1"/>
        <v>1</v>
      </c>
      <c r="H10723" s="14">
        <f t="shared" si="2"/>
        <v>21</v>
      </c>
      <c r="I10723" s="15">
        <f t="shared" si="3"/>
        <v>18</v>
      </c>
    </row>
    <row r="10724">
      <c r="A10724" s="8" t="str">
        <f>IFERROR(__xludf.DUMMYFUNCTION("IF('(INGESTA)Datos_consumo_datadis'!A10724&lt;&gt;"""",SPLIT('(INGESTA)Datos_consumo_datadis'!A:A,"",""),"""")"),"ES0031408323131005HX0F")</f>
        <v>ES0031408323131005HX0F</v>
      </c>
      <c r="B10724" s="12">
        <f>IFERROR(__xludf.DUMMYFUNCTION("""COMPUTED_VALUE"""),45312.0)</f>
        <v>45312</v>
      </c>
      <c r="C10724" s="13">
        <f>IFERROR(__xludf.DUMMYFUNCTION("""COMPUTED_VALUE"""),0.7916666666666666)</f>
        <v>0.7916666667</v>
      </c>
      <c r="D10724" s="8">
        <f>IFERROR(__xludf.DUMMYFUNCTION("""COMPUTED_VALUE"""),0.021)</f>
        <v>0.021</v>
      </c>
      <c r="E10724" s="8" t="str">
        <f>IFERROR(__xludf.DUMMYFUNCTION("""COMPUTED_VALUE"""),"Real")</f>
        <v>Real</v>
      </c>
      <c r="G10724" s="8">
        <f t="shared" si="1"/>
        <v>1</v>
      </c>
      <c r="H10724" s="14">
        <f t="shared" si="2"/>
        <v>21</v>
      </c>
      <c r="I10724" s="15">
        <f t="shared" si="3"/>
        <v>19</v>
      </c>
    </row>
    <row r="10725">
      <c r="A10725" s="8" t="str">
        <f>IFERROR(__xludf.DUMMYFUNCTION("IF('(INGESTA)Datos_consumo_datadis'!A10725&lt;&gt;"""",SPLIT('(INGESTA)Datos_consumo_datadis'!A:A,"",""),"""")"),"ES0031408323131005HX0F")</f>
        <v>ES0031408323131005HX0F</v>
      </c>
      <c r="B10725" s="12">
        <f>IFERROR(__xludf.DUMMYFUNCTION("""COMPUTED_VALUE"""),45312.0)</f>
        <v>45312</v>
      </c>
      <c r="C10725" s="13">
        <f>IFERROR(__xludf.DUMMYFUNCTION("""COMPUTED_VALUE"""),0.8333333333333334)</f>
        <v>0.8333333333</v>
      </c>
      <c r="D10725" s="8">
        <f>IFERROR(__xludf.DUMMYFUNCTION("""COMPUTED_VALUE"""),0.948)</f>
        <v>0.948</v>
      </c>
      <c r="E10725" s="8" t="str">
        <f>IFERROR(__xludf.DUMMYFUNCTION("""COMPUTED_VALUE"""),"Real")</f>
        <v>Real</v>
      </c>
      <c r="G10725" s="8">
        <f t="shared" si="1"/>
        <v>1</v>
      </c>
      <c r="H10725" s="14">
        <f t="shared" si="2"/>
        <v>21</v>
      </c>
      <c r="I10725" s="15">
        <f t="shared" si="3"/>
        <v>20</v>
      </c>
    </row>
    <row r="10726">
      <c r="A10726" s="8" t="str">
        <f>IFERROR(__xludf.DUMMYFUNCTION("IF('(INGESTA)Datos_consumo_datadis'!A10726&lt;&gt;"""",SPLIT('(INGESTA)Datos_consumo_datadis'!A:A,"",""),"""")"),"ES0031408323131005HX0F")</f>
        <v>ES0031408323131005HX0F</v>
      </c>
      <c r="B10726" s="12">
        <f>IFERROR(__xludf.DUMMYFUNCTION("""COMPUTED_VALUE"""),45312.0)</f>
        <v>45312</v>
      </c>
      <c r="C10726" s="13">
        <f>IFERROR(__xludf.DUMMYFUNCTION("""COMPUTED_VALUE"""),0.875)</f>
        <v>0.875</v>
      </c>
      <c r="D10726" s="8">
        <f>IFERROR(__xludf.DUMMYFUNCTION("""COMPUTED_VALUE"""),5.473)</f>
        <v>5.473</v>
      </c>
      <c r="E10726" s="8" t="str">
        <f>IFERROR(__xludf.DUMMYFUNCTION("""COMPUTED_VALUE"""),"Real")</f>
        <v>Real</v>
      </c>
      <c r="G10726" s="8">
        <f t="shared" si="1"/>
        <v>1</v>
      </c>
      <c r="H10726" s="14">
        <f t="shared" si="2"/>
        <v>21</v>
      </c>
      <c r="I10726" s="15">
        <f t="shared" si="3"/>
        <v>21</v>
      </c>
    </row>
    <row r="10727">
      <c r="A10727" s="8" t="str">
        <f>IFERROR(__xludf.DUMMYFUNCTION("IF('(INGESTA)Datos_consumo_datadis'!A10727&lt;&gt;"""",SPLIT('(INGESTA)Datos_consumo_datadis'!A:A,"",""),"""")"),"ES0031408323131005HX0F")</f>
        <v>ES0031408323131005HX0F</v>
      </c>
      <c r="B10727" s="12">
        <f>IFERROR(__xludf.DUMMYFUNCTION("""COMPUTED_VALUE"""),45312.0)</f>
        <v>45312</v>
      </c>
      <c r="C10727" s="13">
        <f>IFERROR(__xludf.DUMMYFUNCTION("""COMPUTED_VALUE"""),0.9166666666666666)</f>
        <v>0.9166666667</v>
      </c>
      <c r="D10727" s="8">
        <f>IFERROR(__xludf.DUMMYFUNCTION("""COMPUTED_VALUE"""),3.052)</f>
        <v>3.052</v>
      </c>
      <c r="E10727" s="8" t="str">
        <f>IFERROR(__xludf.DUMMYFUNCTION("""COMPUTED_VALUE"""),"Real")</f>
        <v>Real</v>
      </c>
      <c r="G10727" s="8">
        <f t="shared" si="1"/>
        <v>1</v>
      </c>
      <c r="H10727" s="14">
        <f t="shared" si="2"/>
        <v>21</v>
      </c>
      <c r="I10727" s="15">
        <f t="shared" si="3"/>
        <v>22</v>
      </c>
    </row>
    <row r="10728">
      <c r="A10728" s="8" t="str">
        <f>IFERROR(__xludf.DUMMYFUNCTION("IF('(INGESTA)Datos_consumo_datadis'!A10728&lt;&gt;"""",SPLIT('(INGESTA)Datos_consumo_datadis'!A:A,"",""),"""")"),"ES0031408323131005HX0F")</f>
        <v>ES0031408323131005HX0F</v>
      </c>
      <c r="B10728" s="12">
        <f>IFERROR(__xludf.DUMMYFUNCTION("""COMPUTED_VALUE"""),45312.0)</f>
        <v>45312</v>
      </c>
      <c r="C10728" s="13">
        <f>IFERROR(__xludf.DUMMYFUNCTION("""COMPUTED_VALUE"""),0.9583333333333334)</f>
        <v>0.9583333333</v>
      </c>
      <c r="D10728" s="8">
        <f>IFERROR(__xludf.DUMMYFUNCTION("""COMPUTED_VALUE"""),1.975)</f>
        <v>1.975</v>
      </c>
      <c r="E10728" s="8" t="str">
        <f>IFERROR(__xludf.DUMMYFUNCTION("""COMPUTED_VALUE"""),"Real")</f>
        <v>Real</v>
      </c>
      <c r="G10728" s="8">
        <f t="shared" si="1"/>
        <v>1</v>
      </c>
      <c r="H10728" s="14">
        <f t="shared" si="2"/>
        <v>21</v>
      </c>
      <c r="I10728" s="15">
        <f t="shared" si="3"/>
        <v>23</v>
      </c>
    </row>
    <row r="10729">
      <c r="A10729" s="8" t="str">
        <f>IFERROR(__xludf.DUMMYFUNCTION("IF('(INGESTA)Datos_consumo_datadis'!A10729&lt;&gt;"""",SPLIT('(INGESTA)Datos_consumo_datadis'!A:A,"",""),"""")"),"ES0031408323131005HX0F")</f>
        <v>ES0031408323131005HX0F</v>
      </c>
      <c r="B10729" s="12">
        <f>IFERROR(__xludf.DUMMYFUNCTION("""COMPUTED_VALUE"""),45312.0)</f>
        <v>45312</v>
      </c>
      <c r="C10729" s="16">
        <f>IFERROR(__xludf.DUMMYFUNCTION("""COMPUTED_VALUE"""),1.0)</f>
        <v>1</v>
      </c>
      <c r="D10729" s="8">
        <f>IFERROR(__xludf.DUMMYFUNCTION("""COMPUTED_VALUE"""),1.523)</f>
        <v>1.523</v>
      </c>
      <c r="E10729" s="8" t="str">
        <f>IFERROR(__xludf.DUMMYFUNCTION("""COMPUTED_VALUE"""),"Real")</f>
        <v>Real</v>
      </c>
      <c r="G10729" s="8">
        <f t="shared" si="1"/>
        <v>1</v>
      </c>
      <c r="H10729" s="14">
        <f t="shared" si="2"/>
        <v>21</v>
      </c>
      <c r="I10729" s="15">
        <f t="shared" si="3"/>
        <v>0</v>
      </c>
    </row>
    <row r="10730">
      <c r="A10730" s="8" t="str">
        <f>IFERROR(__xludf.DUMMYFUNCTION("IF('(INGESTA)Datos_consumo_datadis'!A10730&lt;&gt;"""",SPLIT('(INGESTA)Datos_consumo_datadis'!A:A,"",""),"""")"),"ES0031408323131005HX0F")</f>
        <v>ES0031408323131005HX0F</v>
      </c>
      <c r="B10730" s="12">
        <f>IFERROR(__xludf.DUMMYFUNCTION("""COMPUTED_VALUE"""),45313.0)</f>
        <v>45313</v>
      </c>
      <c r="C10730" s="13">
        <f>IFERROR(__xludf.DUMMYFUNCTION("""COMPUTED_VALUE"""),0.041666666666666664)</f>
        <v>0.04166666667</v>
      </c>
      <c r="D10730" s="8">
        <f>IFERROR(__xludf.DUMMYFUNCTION("""COMPUTED_VALUE"""),0.315)</f>
        <v>0.315</v>
      </c>
      <c r="E10730" s="8" t="str">
        <f>IFERROR(__xludf.DUMMYFUNCTION("""COMPUTED_VALUE"""),"Real")</f>
        <v>Real</v>
      </c>
      <c r="G10730" s="8">
        <f t="shared" si="1"/>
        <v>1</v>
      </c>
      <c r="H10730" s="14">
        <f t="shared" si="2"/>
        <v>22</v>
      </c>
      <c r="I10730" s="15">
        <f t="shared" si="3"/>
        <v>1</v>
      </c>
    </row>
    <row r="10731">
      <c r="A10731" s="8" t="str">
        <f>IFERROR(__xludf.DUMMYFUNCTION("IF('(INGESTA)Datos_consumo_datadis'!A10731&lt;&gt;"""",SPLIT('(INGESTA)Datos_consumo_datadis'!A:A,"",""),"""")"),"ES0031408323131005HX0F")</f>
        <v>ES0031408323131005HX0F</v>
      </c>
      <c r="B10731" s="12">
        <f>IFERROR(__xludf.DUMMYFUNCTION("""COMPUTED_VALUE"""),45313.0)</f>
        <v>45313</v>
      </c>
      <c r="C10731" s="13">
        <f>IFERROR(__xludf.DUMMYFUNCTION("""COMPUTED_VALUE"""),0.08333333333333333)</f>
        <v>0.08333333333</v>
      </c>
      <c r="D10731" s="8">
        <f>IFERROR(__xludf.DUMMYFUNCTION("""COMPUTED_VALUE"""),0.019)</f>
        <v>0.019</v>
      </c>
      <c r="E10731" s="8" t="str">
        <f>IFERROR(__xludf.DUMMYFUNCTION("""COMPUTED_VALUE"""),"Real")</f>
        <v>Real</v>
      </c>
      <c r="G10731" s="8">
        <f t="shared" si="1"/>
        <v>1</v>
      </c>
      <c r="H10731" s="14">
        <f t="shared" si="2"/>
        <v>22</v>
      </c>
      <c r="I10731" s="15">
        <f t="shared" si="3"/>
        <v>2</v>
      </c>
    </row>
    <row r="10732">
      <c r="A10732" s="8" t="str">
        <f>IFERROR(__xludf.DUMMYFUNCTION("IF('(INGESTA)Datos_consumo_datadis'!A10732&lt;&gt;"""",SPLIT('(INGESTA)Datos_consumo_datadis'!A:A,"",""),"""")"),"ES0031408323131005HX0F")</f>
        <v>ES0031408323131005HX0F</v>
      </c>
      <c r="B10732" s="12">
        <f>IFERROR(__xludf.DUMMYFUNCTION("""COMPUTED_VALUE"""),45313.0)</f>
        <v>45313</v>
      </c>
      <c r="C10732" s="13">
        <f>IFERROR(__xludf.DUMMYFUNCTION("""COMPUTED_VALUE"""),0.125)</f>
        <v>0.125</v>
      </c>
      <c r="D10732" s="8">
        <f>IFERROR(__xludf.DUMMYFUNCTION("""COMPUTED_VALUE"""),0.072)</f>
        <v>0.072</v>
      </c>
      <c r="E10732" s="8" t="str">
        <f>IFERROR(__xludf.DUMMYFUNCTION("""COMPUTED_VALUE"""),"Real")</f>
        <v>Real</v>
      </c>
      <c r="G10732" s="8">
        <f t="shared" si="1"/>
        <v>1</v>
      </c>
      <c r="H10732" s="14">
        <f t="shared" si="2"/>
        <v>22</v>
      </c>
      <c r="I10732" s="15">
        <f t="shared" si="3"/>
        <v>3</v>
      </c>
    </row>
    <row r="10733">
      <c r="A10733" s="8" t="str">
        <f>IFERROR(__xludf.DUMMYFUNCTION("IF('(INGESTA)Datos_consumo_datadis'!A10733&lt;&gt;"""",SPLIT('(INGESTA)Datos_consumo_datadis'!A:A,"",""),"""")"),"ES0031408323131005HX0F")</f>
        <v>ES0031408323131005HX0F</v>
      </c>
      <c r="B10733" s="12">
        <f>IFERROR(__xludf.DUMMYFUNCTION("""COMPUTED_VALUE"""),45313.0)</f>
        <v>45313</v>
      </c>
      <c r="C10733" s="13">
        <f>IFERROR(__xludf.DUMMYFUNCTION("""COMPUTED_VALUE"""),0.16666666666666666)</f>
        <v>0.1666666667</v>
      </c>
      <c r="D10733" s="8">
        <f>IFERROR(__xludf.DUMMYFUNCTION("""COMPUTED_VALUE"""),0.083)</f>
        <v>0.083</v>
      </c>
      <c r="E10733" s="8" t="str">
        <f>IFERROR(__xludf.DUMMYFUNCTION("""COMPUTED_VALUE"""),"Real")</f>
        <v>Real</v>
      </c>
      <c r="G10733" s="8">
        <f t="shared" si="1"/>
        <v>1</v>
      </c>
      <c r="H10733" s="14">
        <f t="shared" si="2"/>
        <v>22</v>
      </c>
      <c r="I10733" s="15">
        <f t="shared" si="3"/>
        <v>4</v>
      </c>
    </row>
    <row r="10734">
      <c r="A10734" s="8" t="str">
        <f>IFERROR(__xludf.DUMMYFUNCTION("IF('(INGESTA)Datos_consumo_datadis'!A10734&lt;&gt;"""",SPLIT('(INGESTA)Datos_consumo_datadis'!A:A,"",""),"""")"),"ES0031408323131005HX0F")</f>
        <v>ES0031408323131005HX0F</v>
      </c>
      <c r="B10734" s="12">
        <f>IFERROR(__xludf.DUMMYFUNCTION("""COMPUTED_VALUE"""),45313.0)</f>
        <v>45313</v>
      </c>
      <c r="C10734" s="13">
        <f>IFERROR(__xludf.DUMMYFUNCTION("""COMPUTED_VALUE"""),0.20833333333333334)</f>
        <v>0.2083333333</v>
      </c>
      <c r="D10734" s="8">
        <f>IFERROR(__xludf.DUMMYFUNCTION("""COMPUTED_VALUE"""),0.057)</f>
        <v>0.057</v>
      </c>
      <c r="E10734" s="8" t="str">
        <f>IFERROR(__xludf.DUMMYFUNCTION("""COMPUTED_VALUE"""),"Real")</f>
        <v>Real</v>
      </c>
      <c r="G10734" s="8">
        <f t="shared" si="1"/>
        <v>1</v>
      </c>
      <c r="H10734" s="14">
        <f t="shared" si="2"/>
        <v>22</v>
      </c>
      <c r="I10734" s="15">
        <f t="shared" si="3"/>
        <v>5</v>
      </c>
    </row>
    <row r="10735">
      <c r="A10735" s="8" t="str">
        <f>IFERROR(__xludf.DUMMYFUNCTION("IF('(INGESTA)Datos_consumo_datadis'!A10735&lt;&gt;"""",SPLIT('(INGESTA)Datos_consumo_datadis'!A:A,"",""),"""")"),"ES0031408323131005HX0F")</f>
        <v>ES0031408323131005HX0F</v>
      </c>
      <c r="B10735" s="12">
        <f>IFERROR(__xludf.DUMMYFUNCTION("""COMPUTED_VALUE"""),45313.0)</f>
        <v>45313</v>
      </c>
      <c r="C10735" s="13">
        <f>IFERROR(__xludf.DUMMYFUNCTION("""COMPUTED_VALUE"""),0.25)</f>
        <v>0.25</v>
      </c>
      <c r="D10735" s="8">
        <f>IFERROR(__xludf.DUMMYFUNCTION("""COMPUTED_VALUE"""),0.407)</f>
        <v>0.407</v>
      </c>
      <c r="E10735" s="8" t="str">
        <f>IFERROR(__xludf.DUMMYFUNCTION("""COMPUTED_VALUE"""),"Real")</f>
        <v>Real</v>
      </c>
      <c r="G10735" s="8">
        <f t="shared" si="1"/>
        <v>1</v>
      </c>
      <c r="H10735" s="14">
        <f t="shared" si="2"/>
        <v>22</v>
      </c>
      <c r="I10735" s="15">
        <f t="shared" si="3"/>
        <v>6</v>
      </c>
    </row>
    <row r="10736">
      <c r="A10736" s="8" t="str">
        <f>IFERROR(__xludf.DUMMYFUNCTION("IF('(INGESTA)Datos_consumo_datadis'!A10736&lt;&gt;"""",SPLIT('(INGESTA)Datos_consumo_datadis'!A:A,"",""),"""")"),"ES0031408323131005HX0F")</f>
        <v>ES0031408323131005HX0F</v>
      </c>
      <c r="B10736" s="12">
        <f>IFERROR(__xludf.DUMMYFUNCTION("""COMPUTED_VALUE"""),45313.0)</f>
        <v>45313</v>
      </c>
      <c r="C10736" s="13">
        <f>IFERROR(__xludf.DUMMYFUNCTION("""COMPUTED_VALUE"""),0.2916666666666667)</f>
        <v>0.2916666667</v>
      </c>
      <c r="D10736" s="8">
        <f>IFERROR(__xludf.DUMMYFUNCTION("""COMPUTED_VALUE"""),0.106)</f>
        <v>0.106</v>
      </c>
      <c r="E10736" s="8" t="str">
        <f>IFERROR(__xludf.DUMMYFUNCTION("""COMPUTED_VALUE"""),"Real")</f>
        <v>Real</v>
      </c>
      <c r="G10736" s="8">
        <f t="shared" si="1"/>
        <v>1</v>
      </c>
      <c r="H10736" s="14">
        <f t="shared" si="2"/>
        <v>22</v>
      </c>
      <c r="I10736" s="15">
        <f t="shared" si="3"/>
        <v>7</v>
      </c>
    </row>
    <row r="10737">
      <c r="A10737" s="8" t="str">
        <f>IFERROR(__xludf.DUMMYFUNCTION("IF('(INGESTA)Datos_consumo_datadis'!A10737&lt;&gt;"""",SPLIT('(INGESTA)Datos_consumo_datadis'!A:A,"",""),"""")"),"ES0031408323131005HX0F")</f>
        <v>ES0031408323131005HX0F</v>
      </c>
      <c r="B10737" s="12">
        <f>IFERROR(__xludf.DUMMYFUNCTION("""COMPUTED_VALUE"""),45313.0)</f>
        <v>45313</v>
      </c>
      <c r="C10737" s="13">
        <f>IFERROR(__xludf.DUMMYFUNCTION("""COMPUTED_VALUE"""),0.3333333333333333)</f>
        <v>0.3333333333</v>
      </c>
      <c r="D10737" s="8">
        <f>IFERROR(__xludf.DUMMYFUNCTION("""COMPUTED_VALUE"""),0.085)</f>
        <v>0.085</v>
      </c>
      <c r="E10737" s="8" t="str">
        <f>IFERROR(__xludf.DUMMYFUNCTION("""COMPUTED_VALUE"""),"Real")</f>
        <v>Real</v>
      </c>
      <c r="G10737" s="8">
        <f t="shared" si="1"/>
        <v>1</v>
      </c>
      <c r="H10737" s="14">
        <f t="shared" si="2"/>
        <v>22</v>
      </c>
      <c r="I10737" s="15">
        <f t="shared" si="3"/>
        <v>8</v>
      </c>
    </row>
    <row r="10738">
      <c r="A10738" s="8" t="str">
        <f>IFERROR(__xludf.DUMMYFUNCTION("IF('(INGESTA)Datos_consumo_datadis'!A10738&lt;&gt;"""",SPLIT('(INGESTA)Datos_consumo_datadis'!A:A,"",""),"""")"),"ES0031408323131005HX0F")</f>
        <v>ES0031408323131005HX0F</v>
      </c>
      <c r="B10738" s="12">
        <f>IFERROR(__xludf.DUMMYFUNCTION("""COMPUTED_VALUE"""),45313.0)</f>
        <v>45313</v>
      </c>
      <c r="C10738" s="13">
        <f>IFERROR(__xludf.DUMMYFUNCTION("""COMPUTED_VALUE"""),0.375)</f>
        <v>0.375</v>
      </c>
      <c r="D10738" s="8">
        <f>IFERROR(__xludf.DUMMYFUNCTION("""COMPUTED_VALUE"""),0.05)</f>
        <v>0.05</v>
      </c>
      <c r="E10738" s="8" t="str">
        <f>IFERROR(__xludf.DUMMYFUNCTION("""COMPUTED_VALUE"""),"Real")</f>
        <v>Real</v>
      </c>
      <c r="G10738" s="8">
        <f t="shared" si="1"/>
        <v>1</v>
      </c>
      <c r="H10738" s="14">
        <f t="shared" si="2"/>
        <v>22</v>
      </c>
      <c r="I10738" s="15">
        <f t="shared" si="3"/>
        <v>9</v>
      </c>
    </row>
    <row r="10739">
      <c r="A10739" s="8" t="str">
        <f>IFERROR(__xludf.DUMMYFUNCTION("IF('(INGESTA)Datos_consumo_datadis'!A10739&lt;&gt;"""",SPLIT('(INGESTA)Datos_consumo_datadis'!A:A,"",""),"""")"),"ES0031408323131005HX0F")</f>
        <v>ES0031408323131005HX0F</v>
      </c>
      <c r="B10739" s="12">
        <f>IFERROR(__xludf.DUMMYFUNCTION("""COMPUTED_VALUE"""),45313.0)</f>
        <v>45313</v>
      </c>
      <c r="C10739" s="13">
        <f>IFERROR(__xludf.DUMMYFUNCTION("""COMPUTED_VALUE"""),0.4166666666666667)</f>
        <v>0.4166666667</v>
      </c>
      <c r="D10739" s="8">
        <f>IFERROR(__xludf.DUMMYFUNCTION("""COMPUTED_VALUE"""),0.552)</f>
        <v>0.552</v>
      </c>
      <c r="E10739" s="8" t="str">
        <f>IFERROR(__xludf.DUMMYFUNCTION("""COMPUTED_VALUE"""),"Real")</f>
        <v>Real</v>
      </c>
      <c r="G10739" s="8">
        <f t="shared" si="1"/>
        <v>1</v>
      </c>
      <c r="H10739" s="14">
        <f t="shared" si="2"/>
        <v>22</v>
      </c>
      <c r="I10739" s="15">
        <f t="shared" si="3"/>
        <v>10</v>
      </c>
    </row>
    <row r="10740">
      <c r="A10740" s="8" t="str">
        <f>IFERROR(__xludf.DUMMYFUNCTION("IF('(INGESTA)Datos_consumo_datadis'!A10740&lt;&gt;"""",SPLIT('(INGESTA)Datos_consumo_datadis'!A:A,"",""),"""")"),"ES0031408323131005HX0F")</f>
        <v>ES0031408323131005HX0F</v>
      </c>
      <c r="B10740" s="12">
        <f>IFERROR(__xludf.DUMMYFUNCTION("""COMPUTED_VALUE"""),45313.0)</f>
        <v>45313</v>
      </c>
      <c r="C10740" s="13">
        <f>IFERROR(__xludf.DUMMYFUNCTION("""COMPUTED_VALUE"""),0.4583333333333333)</f>
        <v>0.4583333333</v>
      </c>
      <c r="D10740" s="8">
        <f>IFERROR(__xludf.DUMMYFUNCTION("""COMPUTED_VALUE"""),0.387)</f>
        <v>0.387</v>
      </c>
      <c r="E10740" s="8" t="str">
        <f>IFERROR(__xludf.DUMMYFUNCTION("""COMPUTED_VALUE"""),"Real")</f>
        <v>Real</v>
      </c>
      <c r="G10740" s="8">
        <f t="shared" si="1"/>
        <v>1</v>
      </c>
      <c r="H10740" s="14">
        <f t="shared" si="2"/>
        <v>22</v>
      </c>
      <c r="I10740" s="15">
        <f t="shared" si="3"/>
        <v>11</v>
      </c>
    </row>
    <row r="10741">
      <c r="A10741" s="8" t="str">
        <f>IFERROR(__xludf.DUMMYFUNCTION("IF('(INGESTA)Datos_consumo_datadis'!A10741&lt;&gt;"""",SPLIT('(INGESTA)Datos_consumo_datadis'!A:A,"",""),"""")"),"ES0031408323131005HX0F")</f>
        <v>ES0031408323131005HX0F</v>
      </c>
      <c r="B10741" s="12">
        <f>IFERROR(__xludf.DUMMYFUNCTION("""COMPUTED_VALUE"""),45313.0)</f>
        <v>45313</v>
      </c>
      <c r="C10741" s="13">
        <f>IFERROR(__xludf.DUMMYFUNCTION("""COMPUTED_VALUE"""),0.5)</f>
        <v>0.5</v>
      </c>
      <c r="D10741" s="8">
        <f>IFERROR(__xludf.DUMMYFUNCTION("""COMPUTED_VALUE"""),0.076)</f>
        <v>0.076</v>
      </c>
      <c r="E10741" s="8" t="str">
        <f>IFERROR(__xludf.DUMMYFUNCTION("""COMPUTED_VALUE"""),"Real")</f>
        <v>Real</v>
      </c>
      <c r="G10741" s="8">
        <f t="shared" si="1"/>
        <v>1</v>
      </c>
      <c r="H10741" s="14">
        <f t="shared" si="2"/>
        <v>22</v>
      </c>
      <c r="I10741" s="15">
        <f t="shared" si="3"/>
        <v>12</v>
      </c>
    </row>
    <row r="10742">
      <c r="A10742" s="8" t="str">
        <f>IFERROR(__xludf.DUMMYFUNCTION("IF('(INGESTA)Datos_consumo_datadis'!A10742&lt;&gt;"""",SPLIT('(INGESTA)Datos_consumo_datadis'!A:A,"",""),"""")"),"ES0031408323131005HX0F")</f>
        <v>ES0031408323131005HX0F</v>
      </c>
      <c r="B10742" s="12">
        <f>IFERROR(__xludf.DUMMYFUNCTION("""COMPUTED_VALUE"""),45313.0)</f>
        <v>45313</v>
      </c>
      <c r="C10742" s="13">
        <f>IFERROR(__xludf.DUMMYFUNCTION("""COMPUTED_VALUE"""),0.5416666666666666)</f>
        <v>0.5416666667</v>
      </c>
      <c r="D10742" s="8">
        <f>IFERROR(__xludf.DUMMYFUNCTION("""COMPUTED_VALUE"""),0.289)</f>
        <v>0.289</v>
      </c>
      <c r="E10742" s="8" t="str">
        <f>IFERROR(__xludf.DUMMYFUNCTION("""COMPUTED_VALUE"""),"Real")</f>
        <v>Real</v>
      </c>
      <c r="G10742" s="8">
        <f t="shared" si="1"/>
        <v>1</v>
      </c>
      <c r="H10742" s="14">
        <f t="shared" si="2"/>
        <v>22</v>
      </c>
      <c r="I10742" s="15">
        <f t="shared" si="3"/>
        <v>13</v>
      </c>
    </row>
    <row r="10743">
      <c r="A10743" s="8" t="str">
        <f>IFERROR(__xludf.DUMMYFUNCTION("IF('(INGESTA)Datos_consumo_datadis'!A10743&lt;&gt;"""",SPLIT('(INGESTA)Datos_consumo_datadis'!A:A,"",""),"""")"),"ES0031408323131005HX0F")</f>
        <v>ES0031408323131005HX0F</v>
      </c>
      <c r="B10743" s="12">
        <f>IFERROR(__xludf.DUMMYFUNCTION("""COMPUTED_VALUE"""),45313.0)</f>
        <v>45313</v>
      </c>
      <c r="C10743" s="13">
        <f>IFERROR(__xludf.DUMMYFUNCTION("""COMPUTED_VALUE"""),0.5833333333333334)</f>
        <v>0.5833333333</v>
      </c>
      <c r="D10743" s="8">
        <f>IFERROR(__xludf.DUMMYFUNCTION("""COMPUTED_VALUE"""),0.052)</f>
        <v>0.052</v>
      </c>
      <c r="E10743" s="8" t="str">
        <f>IFERROR(__xludf.DUMMYFUNCTION("""COMPUTED_VALUE"""),"Real")</f>
        <v>Real</v>
      </c>
      <c r="G10743" s="8">
        <f t="shared" si="1"/>
        <v>1</v>
      </c>
      <c r="H10743" s="14">
        <f t="shared" si="2"/>
        <v>22</v>
      </c>
      <c r="I10743" s="15">
        <f t="shared" si="3"/>
        <v>14</v>
      </c>
    </row>
    <row r="10744">
      <c r="A10744" s="8" t="str">
        <f>IFERROR(__xludf.DUMMYFUNCTION("IF('(INGESTA)Datos_consumo_datadis'!A10744&lt;&gt;"""",SPLIT('(INGESTA)Datos_consumo_datadis'!A:A,"",""),"""")"),"ES0031408323131005HX0F")</f>
        <v>ES0031408323131005HX0F</v>
      </c>
      <c r="B10744" s="12">
        <f>IFERROR(__xludf.DUMMYFUNCTION("""COMPUTED_VALUE"""),45313.0)</f>
        <v>45313</v>
      </c>
      <c r="C10744" s="13">
        <f>IFERROR(__xludf.DUMMYFUNCTION("""COMPUTED_VALUE"""),0.625)</f>
        <v>0.625</v>
      </c>
      <c r="D10744" s="8">
        <f>IFERROR(__xludf.DUMMYFUNCTION("""COMPUTED_VALUE"""),0.066)</f>
        <v>0.066</v>
      </c>
      <c r="E10744" s="8" t="str">
        <f>IFERROR(__xludf.DUMMYFUNCTION("""COMPUTED_VALUE"""),"Real")</f>
        <v>Real</v>
      </c>
      <c r="G10744" s="8">
        <f t="shared" si="1"/>
        <v>1</v>
      </c>
      <c r="H10744" s="14">
        <f t="shared" si="2"/>
        <v>22</v>
      </c>
      <c r="I10744" s="15">
        <f t="shared" si="3"/>
        <v>15</v>
      </c>
    </row>
    <row r="10745">
      <c r="A10745" s="8" t="str">
        <f>IFERROR(__xludf.DUMMYFUNCTION("IF('(INGESTA)Datos_consumo_datadis'!A10745&lt;&gt;"""",SPLIT('(INGESTA)Datos_consumo_datadis'!A:A,"",""),"""")"),"ES0031408323131005HX0F")</f>
        <v>ES0031408323131005HX0F</v>
      </c>
      <c r="B10745" s="12">
        <f>IFERROR(__xludf.DUMMYFUNCTION("""COMPUTED_VALUE"""),45313.0)</f>
        <v>45313</v>
      </c>
      <c r="C10745" s="13">
        <f>IFERROR(__xludf.DUMMYFUNCTION("""COMPUTED_VALUE"""),0.6666666666666666)</f>
        <v>0.6666666667</v>
      </c>
      <c r="D10745" s="8">
        <f>IFERROR(__xludf.DUMMYFUNCTION("""COMPUTED_VALUE"""),0.098)</f>
        <v>0.098</v>
      </c>
      <c r="E10745" s="8" t="str">
        <f>IFERROR(__xludf.DUMMYFUNCTION("""COMPUTED_VALUE"""),"Real")</f>
        <v>Real</v>
      </c>
      <c r="G10745" s="8">
        <f t="shared" si="1"/>
        <v>1</v>
      </c>
      <c r="H10745" s="14">
        <f t="shared" si="2"/>
        <v>22</v>
      </c>
      <c r="I10745" s="15">
        <f t="shared" si="3"/>
        <v>16</v>
      </c>
    </row>
    <row r="10746">
      <c r="A10746" s="8" t="str">
        <f>IFERROR(__xludf.DUMMYFUNCTION("IF('(INGESTA)Datos_consumo_datadis'!A10746&lt;&gt;"""",SPLIT('(INGESTA)Datos_consumo_datadis'!A:A,"",""),"""")"),"ES0031408323131005HX0F")</f>
        <v>ES0031408323131005HX0F</v>
      </c>
      <c r="B10746" s="12">
        <f>IFERROR(__xludf.DUMMYFUNCTION("""COMPUTED_VALUE"""),45313.0)</f>
        <v>45313</v>
      </c>
      <c r="C10746" s="13">
        <f>IFERROR(__xludf.DUMMYFUNCTION("""COMPUTED_VALUE"""),0.7083333333333334)</f>
        <v>0.7083333333</v>
      </c>
      <c r="D10746" s="8">
        <f>IFERROR(__xludf.DUMMYFUNCTION("""COMPUTED_VALUE"""),0.084)</f>
        <v>0.084</v>
      </c>
      <c r="E10746" s="8" t="str">
        <f>IFERROR(__xludf.DUMMYFUNCTION("""COMPUTED_VALUE"""),"Real")</f>
        <v>Real</v>
      </c>
      <c r="G10746" s="8">
        <f t="shared" si="1"/>
        <v>1</v>
      </c>
      <c r="H10746" s="14">
        <f t="shared" si="2"/>
        <v>22</v>
      </c>
      <c r="I10746" s="15">
        <f t="shared" si="3"/>
        <v>17</v>
      </c>
    </row>
    <row r="10747">
      <c r="A10747" s="8" t="str">
        <f>IFERROR(__xludf.DUMMYFUNCTION("IF('(INGESTA)Datos_consumo_datadis'!A10747&lt;&gt;"""",SPLIT('(INGESTA)Datos_consumo_datadis'!A:A,"",""),"""")"),"ES0031408323131005HX0F")</f>
        <v>ES0031408323131005HX0F</v>
      </c>
      <c r="B10747" s="12">
        <f>IFERROR(__xludf.DUMMYFUNCTION("""COMPUTED_VALUE"""),45313.0)</f>
        <v>45313</v>
      </c>
      <c r="C10747" s="13">
        <f>IFERROR(__xludf.DUMMYFUNCTION("""COMPUTED_VALUE"""),0.75)</f>
        <v>0.75</v>
      </c>
      <c r="D10747" s="8">
        <f>IFERROR(__xludf.DUMMYFUNCTION("""COMPUTED_VALUE"""),0.339)</f>
        <v>0.339</v>
      </c>
      <c r="E10747" s="8" t="str">
        <f>IFERROR(__xludf.DUMMYFUNCTION("""COMPUTED_VALUE"""),"Real")</f>
        <v>Real</v>
      </c>
      <c r="G10747" s="8">
        <f t="shared" si="1"/>
        <v>1</v>
      </c>
      <c r="H10747" s="14">
        <f t="shared" si="2"/>
        <v>22</v>
      </c>
      <c r="I10747" s="15">
        <f t="shared" si="3"/>
        <v>18</v>
      </c>
    </row>
    <row r="10748">
      <c r="A10748" s="8" t="str">
        <f>IFERROR(__xludf.DUMMYFUNCTION("IF('(INGESTA)Datos_consumo_datadis'!A10748&lt;&gt;"""",SPLIT('(INGESTA)Datos_consumo_datadis'!A:A,"",""),"""")"),"ES0031408323131005HX0F")</f>
        <v>ES0031408323131005HX0F</v>
      </c>
      <c r="B10748" s="12">
        <f>IFERROR(__xludf.DUMMYFUNCTION("""COMPUTED_VALUE"""),45313.0)</f>
        <v>45313</v>
      </c>
      <c r="C10748" s="13">
        <f>IFERROR(__xludf.DUMMYFUNCTION("""COMPUTED_VALUE"""),0.7916666666666666)</f>
        <v>0.7916666667</v>
      </c>
      <c r="D10748" s="8">
        <f>IFERROR(__xludf.DUMMYFUNCTION("""COMPUTED_VALUE"""),0.039)</f>
        <v>0.039</v>
      </c>
      <c r="E10748" s="8" t="str">
        <f>IFERROR(__xludf.DUMMYFUNCTION("""COMPUTED_VALUE"""),"Real")</f>
        <v>Real</v>
      </c>
      <c r="G10748" s="8">
        <f t="shared" si="1"/>
        <v>1</v>
      </c>
      <c r="H10748" s="14">
        <f t="shared" si="2"/>
        <v>22</v>
      </c>
      <c r="I10748" s="15">
        <f t="shared" si="3"/>
        <v>19</v>
      </c>
    </row>
    <row r="10749">
      <c r="A10749" s="8" t="str">
        <f>IFERROR(__xludf.DUMMYFUNCTION("IF('(INGESTA)Datos_consumo_datadis'!A10749&lt;&gt;"""",SPLIT('(INGESTA)Datos_consumo_datadis'!A:A,"",""),"""")"),"ES0031408323131005HX0F")</f>
        <v>ES0031408323131005HX0F</v>
      </c>
      <c r="B10749" s="12">
        <f>IFERROR(__xludf.DUMMYFUNCTION("""COMPUTED_VALUE"""),45313.0)</f>
        <v>45313</v>
      </c>
      <c r="C10749" s="13">
        <f>IFERROR(__xludf.DUMMYFUNCTION("""COMPUTED_VALUE"""),0.8333333333333334)</f>
        <v>0.8333333333</v>
      </c>
      <c r="D10749" s="8">
        <f>IFERROR(__xludf.DUMMYFUNCTION("""COMPUTED_VALUE"""),1.56)</f>
        <v>1.56</v>
      </c>
      <c r="E10749" s="8" t="str">
        <f>IFERROR(__xludf.DUMMYFUNCTION("""COMPUTED_VALUE"""),"Real")</f>
        <v>Real</v>
      </c>
      <c r="G10749" s="8">
        <f t="shared" si="1"/>
        <v>1</v>
      </c>
      <c r="H10749" s="14">
        <f t="shared" si="2"/>
        <v>22</v>
      </c>
      <c r="I10749" s="15">
        <f t="shared" si="3"/>
        <v>20</v>
      </c>
    </row>
    <row r="10750">
      <c r="A10750" s="8" t="str">
        <f>IFERROR(__xludf.DUMMYFUNCTION("IF('(INGESTA)Datos_consumo_datadis'!A10750&lt;&gt;"""",SPLIT('(INGESTA)Datos_consumo_datadis'!A:A,"",""),"""")"),"ES0031408323131005HX0F")</f>
        <v>ES0031408323131005HX0F</v>
      </c>
      <c r="B10750" s="12">
        <f>IFERROR(__xludf.DUMMYFUNCTION("""COMPUTED_VALUE"""),45313.0)</f>
        <v>45313</v>
      </c>
      <c r="C10750" s="13">
        <f>IFERROR(__xludf.DUMMYFUNCTION("""COMPUTED_VALUE"""),0.875)</f>
        <v>0.875</v>
      </c>
      <c r="D10750" s="8">
        <f>IFERROR(__xludf.DUMMYFUNCTION("""COMPUTED_VALUE"""),3.81)</f>
        <v>3.81</v>
      </c>
      <c r="E10750" s="8" t="str">
        <f>IFERROR(__xludf.DUMMYFUNCTION("""COMPUTED_VALUE"""),"Real")</f>
        <v>Real</v>
      </c>
      <c r="G10750" s="8">
        <f t="shared" si="1"/>
        <v>1</v>
      </c>
      <c r="H10750" s="14">
        <f t="shared" si="2"/>
        <v>22</v>
      </c>
      <c r="I10750" s="15">
        <f t="shared" si="3"/>
        <v>21</v>
      </c>
    </row>
    <row r="10751">
      <c r="A10751" s="8" t="str">
        <f>IFERROR(__xludf.DUMMYFUNCTION("IF('(INGESTA)Datos_consumo_datadis'!A10751&lt;&gt;"""",SPLIT('(INGESTA)Datos_consumo_datadis'!A:A,"",""),"""")"),"ES0031408323131005HX0F")</f>
        <v>ES0031408323131005HX0F</v>
      </c>
      <c r="B10751" s="12">
        <f>IFERROR(__xludf.DUMMYFUNCTION("""COMPUTED_VALUE"""),45313.0)</f>
        <v>45313</v>
      </c>
      <c r="C10751" s="13">
        <f>IFERROR(__xludf.DUMMYFUNCTION("""COMPUTED_VALUE"""),0.9166666666666666)</f>
        <v>0.9166666667</v>
      </c>
      <c r="D10751" s="8">
        <f>IFERROR(__xludf.DUMMYFUNCTION("""COMPUTED_VALUE"""),2.887)</f>
        <v>2.887</v>
      </c>
      <c r="E10751" s="8" t="str">
        <f>IFERROR(__xludf.DUMMYFUNCTION("""COMPUTED_VALUE"""),"Real")</f>
        <v>Real</v>
      </c>
      <c r="G10751" s="8">
        <f t="shared" si="1"/>
        <v>1</v>
      </c>
      <c r="H10751" s="14">
        <f t="shared" si="2"/>
        <v>22</v>
      </c>
      <c r="I10751" s="15">
        <f t="shared" si="3"/>
        <v>22</v>
      </c>
    </row>
    <row r="10752">
      <c r="A10752" s="8" t="str">
        <f>IFERROR(__xludf.DUMMYFUNCTION("IF('(INGESTA)Datos_consumo_datadis'!A10752&lt;&gt;"""",SPLIT('(INGESTA)Datos_consumo_datadis'!A:A,"",""),"""")"),"ES0031408323131005HX0F")</f>
        <v>ES0031408323131005HX0F</v>
      </c>
      <c r="B10752" s="12">
        <f>IFERROR(__xludf.DUMMYFUNCTION("""COMPUTED_VALUE"""),45313.0)</f>
        <v>45313</v>
      </c>
      <c r="C10752" s="13">
        <f>IFERROR(__xludf.DUMMYFUNCTION("""COMPUTED_VALUE"""),0.9583333333333334)</f>
        <v>0.9583333333</v>
      </c>
      <c r="D10752" s="8">
        <f>IFERROR(__xludf.DUMMYFUNCTION("""COMPUTED_VALUE"""),1.561)</f>
        <v>1.561</v>
      </c>
      <c r="E10752" s="8" t="str">
        <f>IFERROR(__xludf.DUMMYFUNCTION("""COMPUTED_VALUE"""),"Real")</f>
        <v>Real</v>
      </c>
      <c r="G10752" s="8">
        <f t="shared" si="1"/>
        <v>1</v>
      </c>
      <c r="H10752" s="14">
        <f t="shared" si="2"/>
        <v>22</v>
      </c>
      <c r="I10752" s="15">
        <f t="shared" si="3"/>
        <v>23</v>
      </c>
    </row>
    <row r="10753">
      <c r="A10753" s="8" t="str">
        <f>IFERROR(__xludf.DUMMYFUNCTION("IF('(INGESTA)Datos_consumo_datadis'!A10753&lt;&gt;"""",SPLIT('(INGESTA)Datos_consumo_datadis'!A:A,"",""),"""")"),"ES0031408323131005HX0F")</f>
        <v>ES0031408323131005HX0F</v>
      </c>
      <c r="B10753" s="12">
        <f>IFERROR(__xludf.DUMMYFUNCTION("""COMPUTED_VALUE"""),45313.0)</f>
        <v>45313</v>
      </c>
      <c r="C10753" s="16">
        <f>IFERROR(__xludf.DUMMYFUNCTION("""COMPUTED_VALUE"""),1.0)</f>
        <v>1</v>
      </c>
      <c r="D10753" s="8">
        <f>IFERROR(__xludf.DUMMYFUNCTION("""COMPUTED_VALUE"""),0.883)</f>
        <v>0.883</v>
      </c>
      <c r="E10753" s="8" t="str">
        <f>IFERROR(__xludf.DUMMYFUNCTION("""COMPUTED_VALUE"""),"Real")</f>
        <v>Real</v>
      </c>
      <c r="G10753" s="8">
        <f t="shared" si="1"/>
        <v>1</v>
      </c>
      <c r="H10753" s="14">
        <f t="shared" si="2"/>
        <v>22</v>
      </c>
      <c r="I10753" s="15">
        <f t="shared" si="3"/>
        <v>0</v>
      </c>
    </row>
    <row r="10754">
      <c r="A10754" s="8" t="str">
        <f>IFERROR(__xludf.DUMMYFUNCTION("IF('(INGESTA)Datos_consumo_datadis'!A10754&lt;&gt;"""",SPLIT('(INGESTA)Datos_consumo_datadis'!A:A,"",""),"""")"),"ES0031408323131005HX0F")</f>
        <v>ES0031408323131005HX0F</v>
      </c>
      <c r="B10754" s="12">
        <f>IFERROR(__xludf.DUMMYFUNCTION("""COMPUTED_VALUE"""),45314.0)</f>
        <v>45314</v>
      </c>
      <c r="C10754" s="13">
        <f>IFERROR(__xludf.DUMMYFUNCTION("""COMPUTED_VALUE"""),0.041666666666666664)</f>
        <v>0.04166666667</v>
      </c>
      <c r="D10754" s="8">
        <f>IFERROR(__xludf.DUMMYFUNCTION("""COMPUTED_VALUE"""),0.098)</f>
        <v>0.098</v>
      </c>
      <c r="E10754" s="8" t="str">
        <f>IFERROR(__xludf.DUMMYFUNCTION("""COMPUTED_VALUE"""),"Real")</f>
        <v>Real</v>
      </c>
      <c r="G10754" s="8">
        <f t="shared" si="1"/>
        <v>1</v>
      </c>
      <c r="H10754" s="14">
        <f t="shared" si="2"/>
        <v>23</v>
      </c>
      <c r="I10754" s="15">
        <f t="shared" si="3"/>
        <v>1</v>
      </c>
    </row>
    <row r="10755">
      <c r="A10755" s="8" t="str">
        <f>IFERROR(__xludf.DUMMYFUNCTION("IF('(INGESTA)Datos_consumo_datadis'!A10755&lt;&gt;"""",SPLIT('(INGESTA)Datos_consumo_datadis'!A:A,"",""),"""")"),"ES0031408323131005HX0F")</f>
        <v>ES0031408323131005HX0F</v>
      </c>
      <c r="B10755" s="12">
        <f>IFERROR(__xludf.DUMMYFUNCTION("""COMPUTED_VALUE"""),45314.0)</f>
        <v>45314</v>
      </c>
      <c r="C10755" s="13">
        <f>IFERROR(__xludf.DUMMYFUNCTION("""COMPUTED_VALUE"""),0.08333333333333333)</f>
        <v>0.08333333333</v>
      </c>
      <c r="D10755" s="8">
        <f>IFERROR(__xludf.DUMMYFUNCTION("""COMPUTED_VALUE"""),0.075)</f>
        <v>0.075</v>
      </c>
      <c r="E10755" s="8" t="str">
        <f>IFERROR(__xludf.DUMMYFUNCTION("""COMPUTED_VALUE"""),"Real")</f>
        <v>Real</v>
      </c>
      <c r="G10755" s="8">
        <f t="shared" si="1"/>
        <v>1</v>
      </c>
      <c r="H10755" s="14">
        <f t="shared" si="2"/>
        <v>23</v>
      </c>
      <c r="I10755" s="15">
        <f t="shared" si="3"/>
        <v>2</v>
      </c>
    </row>
    <row r="10756">
      <c r="A10756" s="8" t="str">
        <f>IFERROR(__xludf.DUMMYFUNCTION("IF('(INGESTA)Datos_consumo_datadis'!A10756&lt;&gt;"""",SPLIT('(INGESTA)Datos_consumo_datadis'!A:A,"",""),"""")"),"ES0031408323131005HX0F")</f>
        <v>ES0031408323131005HX0F</v>
      </c>
      <c r="B10756" s="12">
        <f>IFERROR(__xludf.DUMMYFUNCTION("""COMPUTED_VALUE"""),45314.0)</f>
        <v>45314</v>
      </c>
      <c r="C10756" s="13">
        <f>IFERROR(__xludf.DUMMYFUNCTION("""COMPUTED_VALUE"""),0.125)</f>
        <v>0.125</v>
      </c>
      <c r="D10756" s="8">
        <f>IFERROR(__xludf.DUMMYFUNCTION("""COMPUTED_VALUE"""),0.1)</f>
        <v>0.1</v>
      </c>
      <c r="E10756" s="8" t="str">
        <f>IFERROR(__xludf.DUMMYFUNCTION("""COMPUTED_VALUE"""),"Real")</f>
        <v>Real</v>
      </c>
      <c r="G10756" s="8">
        <f t="shared" si="1"/>
        <v>1</v>
      </c>
      <c r="H10756" s="14">
        <f t="shared" si="2"/>
        <v>23</v>
      </c>
      <c r="I10756" s="15">
        <f t="shared" si="3"/>
        <v>3</v>
      </c>
    </row>
    <row r="10757">
      <c r="A10757" s="8" t="str">
        <f>IFERROR(__xludf.DUMMYFUNCTION("IF('(INGESTA)Datos_consumo_datadis'!A10757&lt;&gt;"""",SPLIT('(INGESTA)Datos_consumo_datadis'!A:A,"",""),"""")"),"ES0031408323131005HX0F")</f>
        <v>ES0031408323131005HX0F</v>
      </c>
      <c r="B10757" s="12">
        <f>IFERROR(__xludf.DUMMYFUNCTION("""COMPUTED_VALUE"""),45314.0)</f>
        <v>45314</v>
      </c>
      <c r="C10757" s="13">
        <f>IFERROR(__xludf.DUMMYFUNCTION("""COMPUTED_VALUE"""),0.16666666666666666)</f>
        <v>0.1666666667</v>
      </c>
      <c r="D10757" s="8">
        <f>IFERROR(__xludf.DUMMYFUNCTION("""COMPUTED_VALUE"""),0.067)</f>
        <v>0.067</v>
      </c>
      <c r="E10757" s="8" t="str">
        <f>IFERROR(__xludf.DUMMYFUNCTION("""COMPUTED_VALUE"""),"Real")</f>
        <v>Real</v>
      </c>
      <c r="G10757" s="8">
        <f t="shared" si="1"/>
        <v>1</v>
      </c>
      <c r="H10757" s="14">
        <f t="shared" si="2"/>
        <v>23</v>
      </c>
      <c r="I10757" s="15">
        <f t="shared" si="3"/>
        <v>4</v>
      </c>
    </row>
    <row r="10758">
      <c r="A10758" s="8" t="str">
        <f>IFERROR(__xludf.DUMMYFUNCTION("IF('(INGESTA)Datos_consumo_datadis'!A10758&lt;&gt;"""",SPLIT('(INGESTA)Datos_consumo_datadis'!A:A,"",""),"""")"),"ES0031408323131005HX0F")</f>
        <v>ES0031408323131005HX0F</v>
      </c>
      <c r="B10758" s="12">
        <f>IFERROR(__xludf.DUMMYFUNCTION("""COMPUTED_VALUE"""),45314.0)</f>
        <v>45314</v>
      </c>
      <c r="C10758" s="13">
        <f>IFERROR(__xludf.DUMMYFUNCTION("""COMPUTED_VALUE"""),0.20833333333333334)</f>
        <v>0.2083333333</v>
      </c>
      <c r="D10758" s="8">
        <f>IFERROR(__xludf.DUMMYFUNCTION("""COMPUTED_VALUE"""),0.259)</f>
        <v>0.259</v>
      </c>
      <c r="E10758" s="8" t="str">
        <f>IFERROR(__xludf.DUMMYFUNCTION("""COMPUTED_VALUE"""),"Real")</f>
        <v>Real</v>
      </c>
      <c r="G10758" s="8">
        <f t="shared" si="1"/>
        <v>1</v>
      </c>
      <c r="H10758" s="14">
        <f t="shared" si="2"/>
        <v>23</v>
      </c>
      <c r="I10758" s="15">
        <f t="shared" si="3"/>
        <v>5</v>
      </c>
    </row>
    <row r="10759">
      <c r="A10759" s="8" t="str">
        <f>IFERROR(__xludf.DUMMYFUNCTION("IF('(INGESTA)Datos_consumo_datadis'!A10759&lt;&gt;"""",SPLIT('(INGESTA)Datos_consumo_datadis'!A:A,"",""),"""")"),"ES0031408323131005HX0F")</f>
        <v>ES0031408323131005HX0F</v>
      </c>
      <c r="B10759" s="12">
        <f>IFERROR(__xludf.DUMMYFUNCTION("""COMPUTED_VALUE"""),45314.0)</f>
        <v>45314</v>
      </c>
      <c r="C10759" s="13">
        <f>IFERROR(__xludf.DUMMYFUNCTION("""COMPUTED_VALUE"""),0.25)</f>
        <v>0.25</v>
      </c>
      <c r="D10759" s="8">
        <f>IFERROR(__xludf.DUMMYFUNCTION("""COMPUTED_VALUE"""),0.128)</f>
        <v>0.128</v>
      </c>
      <c r="E10759" s="8" t="str">
        <f>IFERROR(__xludf.DUMMYFUNCTION("""COMPUTED_VALUE"""),"Real")</f>
        <v>Real</v>
      </c>
      <c r="G10759" s="8">
        <f t="shared" si="1"/>
        <v>1</v>
      </c>
      <c r="H10759" s="14">
        <f t="shared" si="2"/>
        <v>23</v>
      </c>
      <c r="I10759" s="15">
        <f t="shared" si="3"/>
        <v>6</v>
      </c>
    </row>
    <row r="10760">
      <c r="A10760" s="8" t="str">
        <f>IFERROR(__xludf.DUMMYFUNCTION("IF('(INGESTA)Datos_consumo_datadis'!A10760&lt;&gt;"""",SPLIT('(INGESTA)Datos_consumo_datadis'!A:A,"",""),"""")"),"ES0031408323131005HX0F")</f>
        <v>ES0031408323131005HX0F</v>
      </c>
      <c r="B10760" s="12">
        <f>IFERROR(__xludf.DUMMYFUNCTION("""COMPUTED_VALUE"""),45314.0)</f>
        <v>45314</v>
      </c>
      <c r="C10760" s="13">
        <f>IFERROR(__xludf.DUMMYFUNCTION("""COMPUTED_VALUE"""),0.2916666666666667)</f>
        <v>0.2916666667</v>
      </c>
      <c r="D10760" s="8">
        <f>IFERROR(__xludf.DUMMYFUNCTION("""COMPUTED_VALUE"""),0.359)</f>
        <v>0.359</v>
      </c>
      <c r="E10760" s="8" t="str">
        <f>IFERROR(__xludf.DUMMYFUNCTION("""COMPUTED_VALUE"""),"Real")</f>
        <v>Real</v>
      </c>
      <c r="G10760" s="8">
        <f t="shared" si="1"/>
        <v>1</v>
      </c>
      <c r="H10760" s="14">
        <f t="shared" si="2"/>
        <v>23</v>
      </c>
      <c r="I10760" s="15">
        <f t="shared" si="3"/>
        <v>7</v>
      </c>
    </row>
    <row r="10761">
      <c r="A10761" s="8" t="str">
        <f>IFERROR(__xludf.DUMMYFUNCTION("IF('(INGESTA)Datos_consumo_datadis'!A10761&lt;&gt;"""",SPLIT('(INGESTA)Datos_consumo_datadis'!A:A,"",""),"""")"),"ES0031408323131005HX0F")</f>
        <v>ES0031408323131005HX0F</v>
      </c>
      <c r="B10761" s="12">
        <f>IFERROR(__xludf.DUMMYFUNCTION("""COMPUTED_VALUE"""),45314.0)</f>
        <v>45314</v>
      </c>
      <c r="C10761" s="13">
        <f>IFERROR(__xludf.DUMMYFUNCTION("""COMPUTED_VALUE"""),0.3333333333333333)</f>
        <v>0.3333333333</v>
      </c>
      <c r="D10761" s="8">
        <f>IFERROR(__xludf.DUMMYFUNCTION("""COMPUTED_VALUE"""),0.563)</f>
        <v>0.563</v>
      </c>
      <c r="E10761" s="8" t="str">
        <f>IFERROR(__xludf.DUMMYFUNCTION("""COMPUTED_VALUE"""),"Real")</f>
        <v>Real</v>
      </c>
      <c r="G10761" s="8">
        <f t="shared" si="1"/>
        <v>1</v>
      </c>
      <c r="H10761" s="14">
        <f t="shared" si="2"/>
        <v>23</v>
      </c>
      <c r="I10761" s="15">
        <f t="shared" si="3"/>
        <v>8</v>
      </c>
    </row>
    <row r="10762">
      <c r="A10762" s="8" t="str">
        <f>IFERROR(__xludf.DUMMYFUNCTION("IF('(INGESTA)Datos_consumo_datadis'!A10762&lt;&gt;"""",SPLIT('(INGESTA)Datos_consumo_datadis'!A:A,"",""),"""")"),"ES0031408323131005HX0F")</f>
        <v>ES0031408323131005HX0F</v>
      </c>
      <c r="B10762" s="12">
        <f>IFERROR(__xludf.DUMMYFUNCTION("""COMPUTED_VALUE"""),45314.0)</f>
        <v>45314</v>
      </c>
      <c r="C10762" s="13">
        <f>IFERROR(__xludf.DUMMYFUNCTION("""COMPUTED_VALUE"""),0.375)</f>
        <v>0.375</v>
      </c>
      <c r="D10762" s="8">
        <f>IFERROR(__xludf.DUMMYFUNCTION("""COMPUTED_VALUE"""),0.047)</f>
        <v>0.047</v>
      </c>
      <c r="E10762" s="8" t="str">
        <f>IFERROR(__xludf.DUMMYFUNCTION("""COMPUTED_VALUE"""),"Real")</f>
        <v>Real</v>
      </c>
      <c r="G10762" s="8">
        <f t="shared" si="1"/>
        <v>1</v>
      </c>
      <c r="H10762" s="14">
        <f t="shared" si="2"/>
        <v>23</v>
      </c>
      <c r="I10762" s="15">
        <f t="shared" si="3"/>
        <v>9</v>
      </c>
    </row>
    <row r="10763">
      <c r="A10763" s="8" t="str">
        <f>IFERROR(__xludf.DUMMYFUNCTION("IF('(INGESTA)Datos_consumo_datadis'!A10763&lt;&gt;"""",SPLIT('(INGESTA)Datos_consumo_datadis'!A:A,"",""),"""")"),"ES0031408323131005HX0F")</f>
        <v>ES0031408323131005HX0F</v>
      </c>
      <c r="B10763" s="12">
        <f>IFERROR(__xludf.DUMMYFUNCTION("""COMPUTED_VALUE"""),45314.0)</f>
        <v>45314</v>
      </c>
      <c r="C10763" s="13">
        <f>IFERROR(__xludf.DUMMYFUNCTION("""COMPUTED_VALUE"""),0.4166666666666667)</f>
        <v>0.4166666667</v>
      </c>
      <c r="D10763" s="8">
        <f>IFERROR(__xludf.DUMMYFUNCTION("""COMPUTED_VALUE"""),0.062)</f>
        <v>0.062</v>
      </c>
      <c r="E10763" s="8" t="str">
        <f>IFERROR(__xludf.DUMMYFUNCTION("""COMPUTED_VALUE"""),"Real")</f>
        <v>Real</v>
      </c>
      <c r="G10763" s="8">
        <f t="shared" si="1"/>
        <v>1</v>
      </c>
      <c r="H10763" s="14">
        <f t="shared" si="2"/>
        <v>23</v>
      </c>
      <c r="I10763" s="15">
        <f t="shared" si="3"/>
        <v>10</v>
      </c>
    </row>
    <row r="10764">
      <c r="A10764" s="8" t="str">
        <f>IFERROR(__xludf.DUMMYFUNCTION("IF('(INGESTA)Datos_consumo_datadis'!A10764&lt;&gt;"""",SPLIT('(INGESTA)Datos_consumo_datadis'!A:A,"",""),"""")"),"ES0031408323131005HX0F")</f>
        <v>ES0031408323131005HX0F</v>
      </c>
      <c r="B10764" s="12">
        <f>IFERROR(__xludf.DUMMYFUNCTION("""COMPUTED_VALUE"""),45314.0)</f>
        <v>45314</v>
      </c>
      <c r="C10764" s="13">
        <f>IFERROR(__xludf.DUMMYFUNCTION("""COMPUTED_VALUE"""),0.4583333333333333)</f>
        <v>0.4583333333</v>
      </c>
      <c r="D10764" s="8">
        <f>IFERROR(__xludf.DUMMYFUNCTION("""COMPUTED_VALUE"""),0.043)</f>
        <v>0.043</v>
      </c>
      <c r="E10764" s="8" t="str">
        <f>IFERROR(__xludf.DUMMYFUNCTION("""COMPUTED_VALUE"""),"Real")</f>
        <v>Real</v>
      </c>
      <c r="G10764" s="8">
        <f t="shared" si="1"/>
        <v>1</v>
      </c>
      <c r="H10764" s="14">
        <f t="shared" si="2"/>
        <v>23</v>
      </c>
      <c r="I10764" s="15">
        <f t="shared" si="3"/>
        <v>11</v>
      </c>
    </row>
    <row r="10765">
      <c r="A10765" s="8" t="str">
        <f>IFERROR(__xludf.DUMMYFUNCTION("IF('(INGESTA)Datos_consumo_datadis'!A10765&lt;&gt;"""",SPLIT('(INGESTA)Datos_consumo_datadis'!A:A,"",""),"""")"),"ES0031408323131005HX0F")</f>
        <v>ES0031408323131005HX0F</v>
      </c>
      <c r="B10765" s="12">
        <f>IFERROR(__xludf.DUMMYFUNCTION("""COMPUTED_VALUE"""),45314.0)</f>
        <v>45314</v>
      </c>
      <c r="C10765" s="13">
        <f>IFERROR(__xludf.DUMMYFUNCTION("""COMPUTED_VALUE"""),0.5)</f>
        <v>0.5</v>
      </c>
      <c r="D10765" s="8">
        <f>IFERROR(__xludf.DUMMYFUNCTION("""COMPUTED_VALUE"""),0.033)</f>
        <v>0.033</v>
      </c>
      <c r="E10765" s="8" t="str">
        <f>IFERROR(__xludf.DUMMYFUNCTION("""COMPUTED_VALUE"""),"Real")</f>
        <v>Real</v>
      </c>
      <c r="G10765" s="8">
        <f t="shared" si="1"/>
        <v>1</v>
      </c>
      <c r="H10765" s="14">
        <f t="shared" si="2"/>
        <v>23</v>
      </c>
      <c r="I10765" s="15">
        <f t="shared" si="3"/>
        <v>12</v>
      </c>
    </row>
    <row r="10766">
      <c r="A10766" s="8" t="str">
        <f>IFERROR(__xludf.DUMMYFUNCTION("IF('(INGESTA)Datos_consumo_datadis'!A10766&lt;&gt;"""",SPLIT('(INGESTA)Datos_consumo_datadis'!A:A,"",""),"""")"),"ES0031408323131005HX0F")</f>
        <v>ES0031408323131005HX0F</v>
      </c>
      <c r="B10766" s="12">
        <f>IFERROR(__xludf.DUMMYFUNCTION("""COMPUTED_VALUE"""),45314.0)</f>
        <v>45314</v>
      </c>
      <c r="C10766" s="13">
        <f>IFERROR(__xludf.DUMMYFUNCTION("""COMPUTED_VALUE"""),0.5416666666666666)</f>
        <v>0.5416666667</v>
      </c>
      <c r="D10766" s="8">
        <f>IFERROR(__xludf.DUMMYFUNCTION("""COMPUTED_VALUE"""),0.316)</f>
        <v>0.316</v>
      </c>
      <c r="E10766" s="8" t="str">
        <f>IFERROR(__xludf.DUMMYFUNCTION("""COMPUTED_VALUE"""),"Real")</f>
        <v>Real</v>
      </c>
      <c r="G10766" s="8">
        <f t="shared" si="1"/>
        <v>1</v>
      </c>
      <c r="H10766" s="14">
        <f t="shared" si="2"/>
        <v>23</v>
      </c>
      <c r="I10766" s="15">
        <f t="shared" si="3"/>
        <v>13</v>
      </c>
    </row>
    <row r="10767">
      <c r="A10767" s="8" t="str">
        <f>IFERROR(__xludf.DUMMYFUNCTION("IF('(INGESTA)Datos_consumo_datadis'!A10767&lt;&gt;"""",SPLIT('(INGESTA)Datos_consumo_datadis'!A:A,"",""),"""")"),"ES0031408323131005HX0F")</f>
        <v>ES0031408323131005HX0F</v>
      </c>
      <c r="B10767" s="12">
        <f>IFERROR(__xludf.DUMMYFUNCTION("""COMPUTED_VALUE"""),45314.0)</f>
        <v>45314</v>
      </c>
      <c r="C10767" s="13">
        <f>IFERROR(__xludf.DUMMYFUNCTION("""COMPUTED_VALUE"""),0.5833333333333334)</f>
        <v>0.5833333333</v>
      </c>
      <c r="D10767" s="8">
        <f>IFERROR(__xludf.DUMMYFUNCTION("""COMPUTED_VALUE"""),0.073)</f>
        <v>0.073</v>
      </c>
      <c r="E10767" s="8" t="str">
        <f>IFERROR(__xludf.DUMMYFUNCTION("""COMPUTED_VALUE"""),"Real")</f>
        <v>Real</v>
      </c>
      <c r="G10767" s="8">
        <f t="shared" si="1"/>
        <v>1</v>
      </c>
      <c r="H10767" s="14">
        <f t="shared" si="2"/>
        <v>23</v>
      </c>
      <c r="I10767" s="15">
        <f t="shared" si="3"/>
        <v>14</v>
      </c>
    </row>
    <row r="10768">
      <c r="A10768" s="8" t="str">
        <f>IFERROR(__xludf.DUMMYFUNCTION("IF('(INGESTA)Datos_consumo_datadis'!A10768&lt;&gt;"""",SPLIT('(INGESTA)Datos_consumo_datadis'!A:A,"",""),"""")"),"ES0031408323131005HX0F")</f>
        <v>ES0031408323131005HX0F</v>
      </c>
      <c r="B10768" s="12">
        <f>IFERROR(__xludf.DUMMYFUNCTION("""COMPUTED_VALUE"""),45314.0)</f>
        <v>45314</v>
      </c>
      <c r="C10768" s="13">
        <f>IFERROR(__xludf.DUMMYFUNCTION("""COMPUTED_VALUE"""),0.625)</f>
        <v>0.625</v>
      </c>
      <c r="D10768" s="8">
        <f>IFERROR(__xludf.DUMMYFUNCTION("""COMPUTED_VALUE"""),0.013)</f>
        <v>0.013</v>
      </c>
      <c r="E10768" s="8" t="str">
        <f>IFERROR(__xludf.DUMMYFUNCTION("""COMPUTED_VALUE"""),"Real")</f>
        <v>Real</v>
      </c>
      <c r="G10768" s="8">
        <f t="shared" si="1"/>
        <v>1</v>
      </c>
      <c r="H10768" s="14">
        <f t="shared" si="2"/>
        <v>23</v>
      </c>
      <c r="I10768" s="15">
        <f t="shared" si="3"/>
        <v>15</v>
      </c>
    </row>
    <row r="10769">
      <c r="A10769" s="8" t="str">
        <f>IFERROR(__xludf.DUMMYFUNCTION("IF('(INGESTA)Datos_consumo_datadis'!A10769&lt;&gt;"""",SPLIT('(INGESTA)Datos_consumo_datadis'!A:A,"",""),"""")"),"ES0031408323131005HX0F")</f>
        <v>ES0031408323131005HX0F</v>
      </c>
      <c r="B10769" s="12">
        <f>IFERROR(__xludf.DUMMYFUNCTION("""COMPUTED_VALUE"""),45314.0)</f>
        <v>45314</v>
      </c>
      <c r="C10769" s="13">
        <f>IFERROR(__xludf.DUMMYFUNCTION("""COMPUTED_VALUE"""),0.6666666666666666)</f>
        <v>0.6666666667</v>
      </c>
      <c r="D10769" s="8">
        <f>IFERROR(__xludf.DUMMYFUNCTION("""COMPUTED_VALUE"""),0.078)</f>
        <v>0.078</v>
      </c>
      <c r="E10769" s="8" t="str">
        <f>IFERROR(__xludf.DUMMYFUNCTION("""COMPUTED_VALUE"""),"Real")</f>
        <v>Real</v>
      </c>
      <c r="G10769" s="8">
        <f t="shared" si="1"/>
        <v>1</v>
      </c>
      <c r="H10769" s="14">
        <f t="shared" si="2"/>
        <v>23</v>
      </c>
      <c r="I10769" s="15">
        <f t="shared" si="3"/>
        <v>16</v>
      </c>
    </row>
    <row r="10770">
      <c r="A10770" s="8" t="str">
        <f>IFERROR(__xludf.DUMMYFUNCTION("IF('(INGESTA)Datos_consumo_datadis'!A10770&lt;&gt;"""",SPLIT('(INGESTA)Datos_consumo_datadis'!A:A,"",""),"""")"),"ES0031408323131005HX0F")</f>
        <v>ES0031408323131005HX0F</v>
      </c>
      <c r="B10770" s="12">
        <f>IFERROR(__xludf.DUMMYFUNCTION("""COMPUTED_VALUE"""),45314.0)</f>
        <v>45314</v>
      </c>
      <c r="C10770" s="13">
        <f>IFERROR(__xludf.DUMMYFUNCTION("""COMPUTED_VALUE"""),0.7083333333333334)</f>
        <v>0.7083333333</v>
      </c>
      <c r="D10770" s="8">
        <f>IFERROR(__xludf.DUMMYFUNCTION("""COMPUTED_VALUE"""),0.078)</f>
        <v>0.078</v>
      </c>
      <c r="E10770" s="8" t="str">
        <f>IFERROR(__xludf.DUMMYFUNCTION("""COMPUTED_VALUE"""),"Real")</f>
        <v>Real</v>
      </c>
      <c r="G10770" s="8">
        <f t="shared" si="1"/>
        <v>1</v>
      </c>
      <c r="H10770" s="14">
        <f t="shared" si="2"/>
        <v>23</v>
      </c>
      <c r="I10770" s="15">
        <f t="shared" si="3"/>
        <v>17</v>
      </c>
    </row>
    <row r="10771">
      <c r="A10771" s="8" t="str">
        <f>IFERROR(__xludf.DUMMYFUNCTION("IF('(INGESTA)Datos_consumo_datadis'!A10771&lt;&gt;"""",SPLIT('(INGESTA)Datos_consumo_datadis'!A:A,"",""),"""")"),"ES0031408323131005HX0F")</f>
        <v>ES0031408323131005HX0F</v>
      </c>
      <c r="B10771" s="12">
        <f>IFERROR(__xludf.DUMMYFUNCTION("""COMPUTED_VALUE"""),45314.0)</f>
        <v>45314</v>
      </c>
      <c r="C10771" s="13">
        <f>IFERROR(__xludf.DUMMYFUNCTION("""COMPUTED_VALUE"""),0.75)</f>
        <v>0.75</v>
      </c>
      <c r="D10771" s="8">
        <f>IFERROR(__xludf.DUMMYFUNCTION("""COMPUTED_VALUE"""),0.027)</f>
        <v>0.027</v>
      </c>
      <c r="E10771" s="8" t="str">
        <f>IFERROR(__xludf.DUMMYFUNCTION("""COMPUTED_VALUE"""),"Real")</f>
        <v>Real</v>
      </c>
      <c r="G10771" s="8">
        <f t="shared" si="1"/>
        <v>1</v>
      </c>
      <c r="H10771" s="14">
        <f t="shared" si="2"/>
        <v>23</v>
      </c>
      <c r="I10771" s="15">
        <f t="shared" si="3"/>
        <v>18</v>
      </c>
    </row>
    <row r="10772">
      <c r="A10772" s="8" t="str">
        <f>IFERROR(__xludf.DUMMYFUNCTION("IF('(INGESTA)Datos_consumo_datadis'!A10772&lt;&gt;"""",SPLIT('(INGESTA)Datos_consumo_datadis'!A:A,"",""),"""")"),"ES0031408323131005HX0F")</f>
        <v>ES0031408323131005HX0F</v>
      </c>
      <c r="B10772" s="12">
        <f>IFERROR(__xludf.DUMMYFUNCTION("""COMPUTED_VALUE"""),45314.0)</f>
        <v>45314</v>
      </c>
      <c r="C10772" s="13">
        <f>IFERROR(__xludf.DUMMYFUNCTION("""COMPUTED_VALUE"""),0.7916666666666666)</f>
        <v>0.7916666667</v>
      </c>
      <c r="D10772" s="8">
        <f>IFERROR(__xludf.DUMMYFUNCTION("""COMPUTED_VALUE"""),0.776)</f>
        <v>0.776</v>
      </c>
      <c r="E10772" s="8" t="str">
        <f>IFERROR(__xludf.DUMMYFUNCTION("""COMPUTED_VALUE"""),"Real")</f>
        <v>Real</v>
      </c>
      <c r="G10772" s="8">
        <f t="shared" si="1"/>
        <v>1</v>
      </c>
      <c r="H10772" s="14">
        <f t="shared" si="2"/>
        <v>23</v>
      </c>
      <c r="I10772" s="15">
        <f t="shared" si="3"/>
        <v>19</v>
      </c>
    </row>
    <row r="10773">
      <c r="A10773" s="8" t="str">
        <f>IFERROR(__xludf.DUMMYFUNCTION("IF('(INGESTA)Datos_consumo_datadis'!A10773&lt;&gt;"""",SPLIT('(INGESTA)Datos_consumo_datadis'!A:A,"",""),"""")"),"ES0031408323131005HX0F")</f>
        <v>ES0031408323131005HX0F</v>
      </c>
      <c r="B10773" s="12">
        <f>IFERROR(__xludf.DUMMYFUNCTION("""COMPUTED_VALUE"""),45314.0)</f>
        <v>45314</v>
      </c>
      <c r="C10773" s="13">
        <f>IFERROR(__xludf.DUMMYFUNCTION("""COMPUTED_VALUE"""),0.8333333333333334)</f>
        <v>0.8333333333</v>
      </c>
      <c r="D10773" s="8">
        <f>IFERROR(__xludf.DUMMYFUNCTION("""COMPUTED_VALUE"""),0.998)</f>
        <v>0.998</v>
      </c>
      <c r="E10773" s="8" t="str">
        <f>IFERROR(__xludf.DUMMYFUNCTION("""COMPUTED_VALUE"""),"Real")</f>
        <v>Real</v>
      </c>
      <c r="G10773" s="8">
        <f t="shared" si="1"/>
        <v>1</v>
      </c>
      <c r="H10773" s="14">
        <f t="shared" si="2"/>
        <v>23</v>
      </c>
      <c r="I10773" s="15">
        <f t="shared" si="3"/>
        <v>20</v>
      </c>
    </row>
    <row r="10774">
      <c r="A10774" s="8" t="str">
        <f>IFERROR(__xludf.DUMMYFUNCTION("IF('(INGESTA)Datos_consumo_datadis'!A10774&lt;&gt;"""",SPLIT('(INGESTA)Datos_consumo_datadis'!A:A,"",""),"""")"),"ES0031408323131005HX0F")</f>
        <v>ES0031408323131005HX0F</v>
      </c>
      <c r="B10774" s="12">
        <f>IFERROR(__xludf.DUMMYFUNCTION("""COMPUTED_VALUE"""),45314.0)</f>
        <v>45314</v>
      </c>
      <c r="C10774" s="13">
        <f>IFERROR(__xludf.DUMMYFUNCTION("""COMPUTED_VALUE"""),0.875)</f>
        <v>0.875</v>
      </c>
      <c r="D10774" s="8">
        <f>IFERROR(__xludf.DUMMYFUNCTION("""COMPUTED_VALUE"""),1.855)</f>
        <v>1.855</v>
      </c>
      <c r="E10774" s="8" t="str">
        <f>IFERROR(__xludf.DUMMYFUNCTION("""COMPUTED_VALUE"""),"Real")</f>
        <v>Real</v>
      </c>
      <c r="G10774" s="8">
        <f t="shared" si="1"/>
        <v>1</v>
      </c>
      <c r="H10774" s="14">
        <f t="shared" si="2"/>
        <v>23</v>
      </c>
      <c r="I10774" s="15">
        <f t="shared" si="3"/>
        <v>21</v>
      </c>
    </row>
    <row r="10775">
      <c r="A10775" s="8" t="str">
        <f>IFERROR(__xludf.DUMMYFUNCTION("IF('(INGESTA)Datos_consumo_datadis'!A10775&lt;&gt;"""",SPLIT('(INGESTA)Datos_consumo_datadis'!A:A,"",""),"""")"),"ES0031408323131005HX0F")</f>
        <v>ES0031408323131005HX0F</v>
      </c>
      <c r="B10775" s="12">
        <f>IFERROR(__xludf.DUMMYFUNCTION("""COMPUTED_VALUE"""),45314.0)</f>
        <v>45314</v>
      </c>
      <c r="C10775" s="13">
        <f>IFERROR(__xludf.DUMMYFUNCTION("""COMPUTED_VALUE"""),0.9166666666666666)</f>
        <v>0.9166666667</v>
      </c>
      <c r="D10775" s="8">
        <f>IFERROR(__xludf.DUMMYFUNCTION("""COMPUTED_VALUE"""),3.411)</f>
        <v>3.411</v>
      </c>
      <c r="E10775" s="8" t="str">
        <f>IFERROR(__xludf.DUMMYFUNCTION("""COMPUTED_VALUE"""),"Real")</f>
        <v>Real</v>
      </c>
      <c r="G10775" s="8">
        <f t="shared" si="1"/>
        <v>1</v>
      </c>
      <c r="H10775" s="14">
        <f t="shared" si="2"/>
        <v>23</v>
      </c>
      <c r="I10775" s="15">
        <f t="shared" si="3"/>
        <v>22</v>
      </c>
    </row>
    <row r="10776">
      <c r="A10776" s="8" t="str">
        <f>IFERROR(__xludf.DUMMYFUNCTION("IF('(INGESTA)Datos_consumo_datadis'!A10776&lt;&gt;"""",SPLIT('(INGESTA)Datos_consumo_datadis'!A:A,"",""),"""")"),"ES0031408323131005HX0F")</f>
        <v>ES0031408323131005HX0F</v>
      </c>
      <c r="B10776" s="12">
        <f>IFERROR(__xludf.DUMMYFUNCTION("""COMPUTED_VALUE"""),45314.0)</f>
        <v>45314</v>
      </c>
      <c r="C10776" s="13">
        <f>IFERROR(__xludf.DUMMYFUNCTION("""COMPUTED_VALUE"""),0.9583333333333334)</f>
        <v>0.9583333333</v>
      </c>
      <c r="D10776" s="8">
        <f>IFERROR(__xludf.DUMMYFUNCTION("""COMPUTED_VALUE"""),2.678)</f>
        <v>2.678</v>
      </c>
      <c r="E10776" s="8" t="str">
        <f>IFERROR(__xludf.DUMMYFUNCTION("""COMPUTED_VALUE"""),"Real")</f>
        <v>Real</v>
      </c>
      <c r="G10776" s="8">
        <f t="shared" si="1"/>
        <v>1</v>
      </c>
      <c r="H10776" s="14">
        <f t="shared" si="2"/>
        <v>23</v>
      </c>
      <c r="I10776" s="15">
        <f t="shared" si="3"/>
        <v>23</v>
      </c>
    </row>
    <row r="10777">
      <c r="A10777" s="8" t="str">
        <f>IFERROR(__xludf.DUMMYFUNCTION("IF('(INGESTA)Datos_consumo_datadis'!A10777&lt;&gt;"""",SPLIT('(INGESTA)Datos_consumo_datadis'!A:A,"",""),"""")"),"ES0031408323131005HX0F")</f>
        <v>ES0031408323131005HX0F</v>
      </c>
      <c r="B10777" s="12">
        <f>IFERROR(__xludf.DUMMYFUNCTION("""COMPUTED_VALUE"""),45314.0)</f>
        <v>45314</v>
      </c>
      <c r="C10777" s="16">
        <f>IFERROR(__xludf.DUMMYFUNCTION("""COMPUTED_VALUE"""),1.0)</f>
        <v>1</v>
      </c>
      <c r="D10777" s="8">
        <f>IFERROR(__xludf.DUMMYFUNCTION("""COMPUTED_VALUE"""),0.451)</f>
        <v>0.451</v>
      </c>
      <c r="E10777" s="8" t="str">
        <f>IFERROR(__xludf.DUMMYFUNCTION("""COMPUTED_VALUE"""),"Real")</f>
        <v>Real</v>
      </c>
      <c r="G10777" s="8">
        <f t="shared" si="1"/>
        <v>1</v>
      </c>
      <c r="H10777" s="14">
        <f t="shared" si="2"/>
        <v>23</v>
      </c>
      <c r="I10777" s="15">
        <f t="shared" si="3"/>
        <v>0</v>
      </c>
    </row>
    <row r="10778">
      <c r="A10778" s="8" t="str">
        <f>IFERROR(__xludf.DUMMYFUNCTION("IF('(INGESTA)Datos_consumo_datadis'!A10778&lt;&gt;"""",SPLIT('(INGESTA)Datos_consumo_datadis'!A:A,"",""),"""")"),"ES0031408323131005HX0F")</f>
        <v>ES0031408323131005HX0F</v>
      </c>
      <c r="B10778" s="12">
        <f>IFERROR(__xludf.DUMMYFUNCTION("""COMPUTED_VALUE"""),45315.0)</f>
        <v>45315</v>
      </c>
      <c r="C10778" s="13">
        <f>IFERROR(__xludf.DUMMYFUNCTION("""COMPUTED_VALUE"""),0.041666666666666664)</f>
        <v>0.04166666667</v>
      </c>
      <c r="D10778" s="8">
        <f>IFERROR(__xludf.DUMMYFUNCTION("""COMPUTED_VALUE"""),0.091)</f>
        <v>0.091</v>
      </c>
      <c r="E10778" s="8" t="str">
        <f>IFERROR(__xludf.DUMMYFUNCTION("""COMPUTED_VALUE"""),"Real")</f>
        <v>Real</v>
      </c>
      <c r="G10778" s="8">
        <f t="shared" si="1"/>
        <v>1</v>
      </c>
      <c r="H10778" s="14">
        <f t="shared" si="2"/>
        <v>24</v>
      </c>
      <c r="I10778" s="15">
        <f t="shared" si="3"/>
        <v>1</v>
      </c>
    </row>
    <row r="10779">
      <c r="A10779" s="8" t="str">
        <f>IFERROR(__xludf.DUMMYFUNCTION("IF('(INGESTA)Datos_consumo_datadis'!A10779&lt;&gt;"""",SPLIT('(INGESTA)Datos_consumo_datadis'!A:A,"",""),"""")"),"ES0031408323131005HX0F")</f>
        <v>ES0031408323131005HX0F</v>
      </c>
      <c r="B10779" s="12">
        <f>IFERROR(__xludf.DUMMYFUNCTION("""COMPUTED_VALUE"""),45315.0)</f>
        <v>45315</v>
      </c>
      <c r="C10779" s="13">
        <f>IFERROR(__xludf.DUMMYFUNCTION("""COMPUTED_VALUE"""),0.08333333333333333)</f>
        <v>0.08333333333</v>
      </c>
      <c r="D10779" s="8">
        <f>IFERROR(__xludf.DUMMYFUNCTION("""COMPUTED_VALUE"""),0.04)</f>
        <v>0.04</v>
      </c>
      <c r="E10779" s="8" t="str">
        <f>IFERROR(__xludf.DUMMYFUNCTION("""COMPUTED_VALUE"""),"Real")</f>
        <v>Real</v>
      </c>
      <c r="G10779" s="8">
        <f t="shared" si="1"/>
        <v>1</v>
      </c>
      <c r="H10779" s="14">
        <f t="shared" si="2"/>
        <v>24</v>
      </c>
      <c r="I10779" s="15">
        <f t="shared" si="3"/>
        <v>2</v>
      </c>
    </row>
    <row r="10780">
      <c r="A10780" s="8" t="str">
        <f>IFERROR(__xludf.DUMMYFUNCTION("IF('(INGESTA)Datos_consumo_datadis'!A10780&lt;&gt;"""",SPLIT('(INGESTA)Datos_consumo_datadis'!A:A,"",""),"""")"),"ES0031408323131005HX0F")</f>
        <v>ES0031408323131005HX0F</v>
      </c>
      <c r="B10780" s="12">
        <f>IFERROR(__xludf.DUMMYFUNCTION("""COMPUTED_VALUE"""),45315.0)</f>
        <v>45315</v>
      </c>
      <c r="C10780" s="13">
        <f>IFERROR(__xludf.DUMMYFUNCTION("""COMPUTED_VALUE"""),0.125)</f>
        <v>0.125</v>
      </c>
      <c r="D10780" s="8">
        <f>IFERROR(__xludf.DUMMYFUNCTION("""COMPUTED_VALUE"""),0.108)</f>
        <v>0.108</v>
      </c>
      <c r="E10780" s="8" t="str">
        <f>IFERROR(__xludf.DUMMYFUNCTION("""COMPUTED_VALUE"""),"Real")</f>
        <v>Real</v>
      </c>
      <c r="G10780" s="8">
        <f t="shared" si="1"/>
        <v>1</v>
      </c>
      <c r="H10780" s="14">
        <f t="shared" si="2"/>
        <v>24</v>
      </c>
      <c r="I10780" s="15">
        <f t="shared" si="3"/>
        <v>3</v>
      </c>
    </row>
    <row r="10781">
      <c r="A10781" s="8" t="str">
        <f>IFERROR(__xludf.DUMMYFUNCTION("IF('(INGESTA)Datos_consumo_datadis'!A10781&lt;&gt;"""",SPLIT('(INGESTA)Datos_consumo_datadis'!A:A,"",""),"""")"),"ES0031408323131005HX0F")</f>
        <v>ES0031408323131005HX0F</v>
      </c>
      <c r="B10781" s="12">
        <f>IFERROR(__xludf.DUMMYFUNCTION("""COMPUTED_VALUE"""),45315.0)</f>
        <v>45315</v>
      </c>
      <c r="C10781" s="13">
        <f>IFERROR(__xludf.DUMMYFUNCTION("""COMPUTED_VALUE"""),0.16666666666666666)</f>
        <v>0.1666666667</v>
      </c>
      <c r="D10781" s="8">
        <f>IFERROR(__xludf.DUMMYFUNCTION("""COMPUTED_VALUE"""),0.322)</f>
        <v>0.322</v>
      </c>
      <c r="E10781" s="8" t="str">
        <f>IFERROR(__xludf.DUMMYFUNCTION("""COMPUTED_VALUE"""),"Real")</f>
        <v>Real</v>
      </c>
      <c r="G10781" s="8">
        <f t="shared" si="1"/>
        <v>1</v>
      </c>
      <c r="H10781" s="14">
        <f t="shared" si="2"/>
        <v>24</v>
      </c>
      <c r="I10781" s="15">
        <f t="shared" si="3"/>
        <v>4</v>
      </c>
    </row>
    <row r="10782">
      <c r="A10782" s="8" t="str">
        <f>IFERROR(__xludf.DUMMYFUNCTION("IF('(INGESTA)Datos_consumo_datadis'!A10782&lt;&gt;"""",SPLIT('(INGESTA)Datos_consumo_datadis'!A:A,"",""),"""")"),"ES0031408323131005HX0F")</f>
        <v>ES0031408323131005HX0F</v>
      </c>
      <c r="B10782" s="12">
        <f>IFERROR(__xludf.DUMMYFUNCTION("""COMPUTED_VALUE"""),45315.0)</f>
        <v>45315</v>
      </c>
      <c r="C10782" s="13">
        <f>IFERROR(__xludf.DUMMYFUNCTION("""COMPUTED_VALUE"""),0.20833333333333334)</f>
        <v>0.2083333333</v>
      </c>
      <c r="D10782" s="8">
        <f>IFERROR(__xludf.DUMMYFUNCTION("""COMPUTED_VALUE"""),0.013)</f>
        <v>0.013</v>
      </c>
      <c r="E10782" s="8" t="str">
        <f>IFERROR(__xludf.DUMMYFUNCTION("""COMPUTED_VALUE"""),"Real")</f>
        <v>Real</v>
      </c>
      <c r="G10782" s="8">
        <f t="shared" si="1"/>
        <v>1</v>
      </c>
      <c r="H10782" s="14">
        <f t="shared" si="2"/>
        <v>24</v>
      </c>
      <c r="I10782" s="15">
        <f t="shared" si="3"/>
        <v>5</v>
      </c>
    </row>
    <row r="10783">
      <c r="A10783" s="8" t="str">
        <f>IFERROR(__xludf.DUMMYFUNCTION("IF('(INGESTA)Datos_consumo_datadis'!A10783&lt;&gt;"""",SPLIT('(INGESTA)Datos_consumo_datadis'!A:A,"",""),"""")"),"ES0031408323131005HX0F")</f>
        <v>ES0031408323131005HX0F</v>
      </c>
      <c r="B10783" s="12">
        <f>IFERROR(__xludf.DUMMYFUNCTION("""COMPUTED_VALUE"""),45315.0)</f>
        <v>45315</v>
      </c>
      <c r="C10783" s="13">
        <f>IFERROR(__xludf.DUMMYFUNCTION("""COMPUTED_VALUE"""),0.25)</f>
        <v>0.25</v>
      </c>
      <c r="D10783" s="8">
        <f>IFERROR(__xludf.DUMMYFUNCTION("""COMPUTED_VALUE"""),0.118)</f>
        <v>0.118</v>
      </c>
      <c r="E10783" s="8" t="str">
        <f>IFERROR(__xludf.DUMMYFUNCTION("""COMPUTED_VALUE"""),"Real")</f>
        <v>Real</v>
      </c>
      <c r="G10783" s="8">
        <f t="shared" si="1"/>
        <v>1</v>
      </c>
      <c r="H10783" s="14">
        <f t="shared" si="2"/>
        <v>24</v>
      </c>
      <c r="I10783" s="15">
        <f t="shared" si="3"/>
        <v>6</v>
      </c>
    </row>
    <row r="10784">
      <c r="A10784" s="8" t="str">
        <f>IFERROR(__xludf.DUMMYFUNCTION("IF('(INGESTA)Datos_consumo_datadis'!A10784&lt;&gt;"""",SPLIT('(INGESTA)Datos_consumo_datadis'!A:A,"",""),"""")"),"ES0031408323131005HX0F")</f>
        <v>ES0031408323131005HX0F</v>
      </c>
      <c r="B10784" s="12">
        <f>IFERROR(__xludf.DUMMYFUNCTION("""COMPUTED_VALUE"""),45315.0)</f>
        <v>45315</v>
      </c>
      <c r="C10784" s="13">
        <f>IFERROR(__xludf.DUMMYFUNCTION("""COMPUTED_VALUE"""),0.2916666666666667)</f>
        <v>0.2916666667</v>
      </c>
      <c r="D10784" s="8">
        <f>IFERROR(__xludf.DUMMYFUNCTION("""COMPUTED_VALUE"""),0.404)</f>
        <v>0.404</v>
      </c>
      <c r="E10784" s="8" t="str">
        <f>IFERROR(__xludf.DUMMYFUNCTION("""COMPUTED_VALUE"""),"Real")</f>
        <v>Real</v>
      </c>
      <c r="G10784" s="8">
        <f t="shared" si="1"/>
        <v>1</v>
      </c>
      <c r="H10784" s="14">
        <f t="shared" si="2"/>
        <v>24</v>
      </c>
      <c r="I10784" s="15">
        <f t="shared" si="3"/>
        <v>7</v>
      </c>
    </row>
    <row r="10785">
      <c r="A10785" s="8" t="str">
        <f>IFERROR(__xludf.DUMMYFUNCTION("IF('(INGESTA)Datos_consumo_datadis'!A10785&lt;&gt;"""",SPLIT('(INGESTA)Datos_consumo_datadis'!A:A,"",""),"""")"),"ES0031408323131005HX0F")</f>
        <v>ES0031408323131005HX0F</v>
      </c>
      <c r="B10785" s="12">
        <f>IFERROR(__xludf.DUMMYFUNCTION("""COMPUTED_VALUE"""),45315.0)</f>
        <v>45315</v>
      </c>
      <c r="C10785" s="13">
        <f>IFERROR(__xludf.DUMMYFUNCTION("""COMPUTED_VALUE"""),0.3333333333333333)</f>
        <v>0.3333333333</v>
      </c>
      <c r="D10785" s="8">
        <f>IFERROR(__xludf.DUMMYFUNCTION("""COMPUTED_VALUE"""),0.411)</f>
        <v>0.411</v>
      </c>
      <c r="E10785" s="8" t="str">
        <f>IFERROR(__xludf.DUMMYFUNCTION("""COMPUTED_VALUE"""),"Real")</f>
        <v>Real</v>
      </c>
      <c r="G10785" s="8">
        <f t="shared" si="1"/>
        <v>1</v>
      </c>
      <c r="H10785" s="14">
        <f t="shared" si="2"/>
        <v>24</v>
      </c>
      <c r="I10785" s="15">
        <f t="shared" si="3"/>
        <v>8</v>
      </c>
    </row>
    <row r="10786">
      <c r="A10786" s="8" t="str">
        <f>IFERROR(__xludf.DUMMYFUNCTION("IF('(INGESTA)Datos_consumo_datadis'!A10786&lt;&gt;"""",SPLIT('(INGESTA)Datos_consumo_datadis'!A:A,"",""),"""")"),"ES0031408323131005HX0F")</f>
        <v>ES0031408323131005HX0F</v>
      </c>
      <c r="B10786" s="12">
        <f>IFERROR(__xludf.DUMMYFUNCTION("""COMPUTED_VALUE"""),45315.0)</f>
        <v>45315</v>
      </c>
      <c r="C10786" s="13">
        <f>IFERROR(__xludf.DUMMYFUNCTION("""COMPUTED_VALUE"""),0.375)</f>
        <v>0.375</v>
      </c>
      <c r="D10786" s="8">
        <f>IFERROR(__xludf.DUMMYFUNCTION("""COMPUTED_VALUE"""),0.024)</f>
        <v>0.024</v>
      </c>
      <c r="E10786" s="8" t="str">
        <f>IFERROR(__xludf.DUMMYFUNCTION("""COMPUTED_VALUE"""),"Real")</f>
        <v>Real</v>
      </c>
      <c r="G10786" s="8">
        <f t="shared" si="1"/>
        <v>1</v>
      </c>
      <c r="H10786" s="14">
        <f t="shared" si="2"/>
        <v>24</v>
      </c>
      <c r="I10786" s="15">
        <f t="shared" si="3"/>
        <v>9</v>
      </c>
    </row>
    <row r="10787">
      <c r="A10787" s="8" t="str">
        <f>IFERROR(__xludf.DUMMYFUNCTION("IF('(INGESTA)Datos_consumo_datadis'!A10787&lt;&gt;"""",SPLIT('(INGESTA)Datos_consumo_datadis'!A:A,"",""),"""")"),"ES0031408323131005HX0F")</f>
        <v>ES0031408323131005HX0F</v>
      </c>
      <c r="B10787" s="12">
        <f>IFERROR(__xludf.DUMMYFUNCTION("""COMPUTED_VALUE"""),45315.0)</f>
        <v>45315</v>
      </c>
      <c r="C10787" s="13">
        <f>IFERROR(__xludf.DUMMYFUNCTION("""COMPUTED_VALUE"""),0.4166666666666667)</f>
        <v>0.4166666667</v>
      </c>
      <c r="D10787" s="8">
        <f>IFERROR(__xludf.DUMMYFUNCTION("""COMPUTED_VALUE"""),0.084)</f>
        <v>0.084</v>
      </c>
      <c r="E10787" s="8" t="str">
        <f>IFERROR(__xludf.DUMMYFUNCTION("""COMPUTED_VALUE"""),"Real")</f>
        <v>Real</v>
      </c>
      <c r="G10787" s="8">
        <f t="shared" si="1"/>
        <v>1</v>
      </c>
      <c r="H10787" s="14">
        <f t="shared" si="2"/>
        <v>24</v>
      </c>
      <c r="I10787" s="15">
        <f t="shared" si="3"/>
        <v>10</v>
      </c>
    </row>
    <row r="10788">
      <c r="A10788" s="8" t="str">
        <f>IFERROR(__xludf.DUMMYFUNCTION("IF('(INGESTA)Datos_consumo_datadis'!A10788&lt;&gt;"""",SPLIT('(INGESTA)Datos_consumo_datadis'!A:A,"",""),"""")"),"ES0031408323131005HX0F")</f>
        <v>ES0031408323131005HX0F</v>
      </c>
      <c r="B10788" s="12">
        <f>IFERROR(__xludf.DUMMYFUNCTION("""COMPUTED_VALUE"""),45315.0)</f>
        <v>45315</v>
      </c>
      <c r="C10788" s="13">
        <f>IFERROR(__xludf.DUMMYFUNCTION("""COMPUTED_VALUE"""),0.4583333333333333)</f>
        <v>0.4583333333</v>
      </c>
      <c r="D10788" s="8">
        <f>IFERROR(__xludf.DUMMYFUNCTION("""COMPUTED_VALUE"""),0.105)</f>
        <v>0.105</v>
      </c>
      <c r="E10788" s="8" t="str">
        <f>IFERROR(__xludf.DUMMYFUNCTION("""COMPUTED_VALUE"""),"Real")</f>
        <v>Real</v>
      </c>
      <c r="G10788" s="8">
        <f t="shared" si="1"/>
        <v>1</v>
      </c>
      <c r="H10788" s="14">
        <f t="shared" si="2"/>
        <v>24</v>
      </c>
      <c r="I10788" s="15">
        <f t="shared" si="3"/>
        <v>11</v>
      </c>
    </row>
    <row r="10789">
      <c r="A10789" s="8" t="str">
        <f>IFERROR(__xludf.DUMMYFUNCTION("IF('(INGESTA)Datos_consumo_datadis'!A10789&lt;&gt;"""",SPLIT('(INGESTA)Datos_consumo_datadis'!A:A,"",""),"""")"),"ES0031408323131005HX0F")</f>
        <v>ES0031408323131005HX0F</v>
      </c>
      <c r="B10789" s="12">
        <f>IFERROR(__xludf.DUMMYFUNCTION("""COMPUTED_VALUE"""),45315.0)</f>
        <v>45315</v>
      </c>
      <c r="C10789" s="13">
        <f>IFERROR(__xludf.DUMMYFUNCTION("""COMPUTED_VALUE"""),0.5)</f>
        <v>0.5</v>
      </c>
      <c r="D10789" s="8">
        <f>IFERROR(__xludf.DUMMYFUNCTION("""COMPUTED_VALUE"""),0.535)</f>
        <v>0.535</v>
      </c>
      <c r="E10789" s="8" t="str">
        <f>IFERROR(__xludf.DUMMYFUNCTION("""COMPUTED_VALUE"""),"Real")</f>
        <v>Real</v>
      </c>
      <c r="G10789" s="8">
        <f t="shared" si="1"/>
        <v>1</v>
      </c>
      <c r="H10789" s="14">
        <f t="shared" si="2"/>
        <v>24</v>
      </c>
      <c r="I10789" s="15">
        <f t="shared" si="3"/>
        <v>12</v>
      </c>
    </row>
    <row r="10790">
      <c r="A10790" s="8" t="str">
        <f>IFERROR(__xludf.DUMMYFUNCTION("IF('(INGESTA)Datos_consumo_datadis'!A10790&lt;&gt;"""",SPLIT('(INGESTA)Datos_consumo_datadis'!A:A,"",""),"""")"),"ES0031408323131005HX0F")</f>
        <v>ES0031408323131005HX0F</v>
      </c>
      <c r="B10790" s="12">
        <f>IFERROR(__xludf.DUMMYFUNCTION("""COMPUTED_VALUE"""),45315.0)</f>
        <v>45315</v>
      </c>
      <c r="C10790" s="13">
        <f>IFERROR(__xludf.DUMMYFUNCTION("""COMPUTED_VALUE"""),0.5416666666666666)</f>
        <v>0.5416666667</v>
      </c>
      <c r="D10790" s="8">
        <f>IFERROR(__xludf.DUMMYFUNCTION("""COMPUTED_VALUE"""),0.858)</f>
        <v>0.858</v>
      </c>
      <c r="E10790" s="8" t="str">
        <f>IFERROR(__xludf.DUMMYFUNCTION("""COMPUTED_VALUE"""),"Real")</f>
        <v>Real</v>
      </c>
      <c r="G10790" s="8">
        <f t="shared" si="1"/>
        <v>1</v>
      </c>
      <c r="H10790" s="14">
        <f t="shared" si="2"/>
        <v>24</v>
      </c>
      <c r="I10790" s="15">
        <f t="shared" si="3"/>
        <v>13</v>
      </c>
    </row>
    <row r="10791">
      <c r="A10791" s="8" t="str">
        <f>IFERROR(__xludf.DUMMYFUNCTION("IF('(INGESTA)Datos_consumo_datadis'!A10791&lt;&gt;"""",SPLIT('(INGESTA)Datos_consumo_datadis'!A:A,"",""),"""")"),"ES0031408323131005HX0F")</f>
        <v>ES0031408323131005HX0F</v>
      </c>
      <c r="B10791" s="12">
        <f>IFERROR(__xludf.DUMMYFUNCTION("""COMPUTED_VALUE"""),45315.0)</f>
        <v>45315</v>
      </c>
      <c r="C10791" s="13">
        <f>IFERROR(__xludf.DUMMYFUNCTION("""COMPUTED_VALUE"""),0.5833333333333334)</f>
        <v>0.5833333333</v>
      </c>
      <c r="D10791" s="8">
        <f>IFERROR(__xludf.DUMMYFUNCTION("""COMPUTED_VALUE"""),0.502)</f>
        <v>0.502</v>
      </c>
      <c r="E10791" s="8" t="str">
        <f>IFERROR(__xludf.DUMMYFUNCTION("""COMPUTED_VALUE"""),"Real")</f>
        <v>Real</v>
      </c>
      <c r="G10791" s="8">
        <f t="shared" si="1"/>
        <v>1</v>
      </c>
      <c r="H10791" s="14">
        <f t="shared" si="2"/>
        <v>24</v>
      </c>
      <c r="I10791" s="15">
        <f t="shared" si="3"/>
        <v>14</v>
      </c>
    </row>
    <row r="10792">
      <c r="A10792" s="8" t="str">
        <f>IFERROR(__xludf.DUMMYFUNCTION("IF('(INGESTA)Datos_consumo_datadis'!A10792&lt;&gt;"""",SPLIT('(INGESTA)Datos_consumo_datadis'!A:A,"",""),"""")"),"ES0031408323131005HX0F")</f>
        <v>ES0031408323131005HX0F</v>
      </c>
      <c r="B10792" s="12">
        <f>IFERROR(__xludf.DUMMYFUNCTION("""COMPUTED_VALUE"""),45315.0)</f>
        <v>45315</v>
      </c>
      <c r="C10792" s="13">
        <f>IFERROR(__xludf.DUMMYFUNCTION("""COMPUTED_VALUE"""),0.625)</f>
        <v>0.625</v>
      </c>
      <c r="D10792" s="8">
        <f>IFERROR(__xludf.DUMMYFUNCTION("""COMPUTED_VALUE"""),0.613)</f>
        <v>0.613</v>
      </c>
      <c r="E10792" s="8" t="str">
        <f>IFERROR(__xludf.DUMMYFUNCTION("""COMPUTED_VALUE"""),"Real")</f>
        <v>Real</v>
      </c>
      <c r="G10792" s="8">
        <f t="shared" si="1"/>
        <v>1</v>
      </c>
      <c r="H10792" s="14">
        <f t="shared" si="2"/>
        <v>24</v>
      </c>
      <c r="I10792" s="15">
        <f t="shared" si="3"/>
        <v>15</v>
      </c>
    </row>
    <row r="10793">
      <c r="A10793" s="8" t="str">
        <f>IFERROR(__xludf.DUMMYFUNCTION("IF('(INGESTA)Datos_consumo_datadis'!A10793&lt;&gt;"""",SPLIT('(INGESTA)Datos_consumo_datadis'!A:A,"",""),"""")"),"ES0031408323131005HX0F")</f>
        <v>ES0031408323131005HX0F</v>
      </c>
      <c r="B10793" s="12">
        <f>IFERROR(__xludf.DUMMYFUNCTION("""COMPUTED_VALUE"""),45315.0)</f>
        <v>45315</v>
      </c>
      <c r="C10793" s="13">
        <f>IFERROR(__xludf.DUMMYFUNCTION("""COMPUTED_VALUE"""),0.6666666666666666)</f>
        <v>0.6666666667</v>
      </c>
      <c r="D10793" s="8">
        <f>IFERROR(__xludf.DUMMYFUNCTION("""COMPUTED_VALUE"""),0.692)</f>
        <v>0.692</v>
      </c>
      <c r="E10793" s="8" t="str">
        <f>IFERROR(__xludf.DUMMYFUNCTION("""COMPUTED_VALUE"""),"Real")</f>
        <v>Real</v>
      </c>
      <c r="G10793" s="8">
        <f t="shared" si="1"/>
        <v>1</v>
      </c>
      <c r="H10793" s="14">
        <f t="shared" si="2"/>
        <v>24</v>
      </c>
      <c r="I10793" s="15">
        <f t="shared" si="3"/>
        <v>16</v>
      </c>
    </row>
    <row r="10794">
      <c r="A10794" s="8" t="str">
        <f>IFERROR(__xludf.DUMMYFUNCTION("IF('(INGESTA)Datos_consumo_datadis'!A10794&lt;&gt;"""",SPLIT('(INGESTA)Datos_consumo_datadis'!A:A,"",""),"""")"),"ES0031408323131005HX0F")</f>
        <v>ES0031408323131005HX0F</v>
      </c>
      <c r="B10794" s="12">
        <f>IFERROR(__xludf.DUMMYFUNCTION("""COMPUTED_VALUE"""),45315.0)</f>
        <v>45315</v>
      </c>
      <c r="C10794" s="13">
        <f>IFERROR(__xludf.DUMMYFUNCTION("""COMPUTED_VALUE"""),0.7083333333333334)</f>
        <v>0.7083333333</v>
      </c>
      <c r="D10794" s="8">
        <f>IFERROR(__xludf.DUMMYFUNCTION("""COMPUTED_VALUE"""),0.086)</f>
        <v>0.086</v>
      </c>
      <c r="E10794" s="8" t="str">
        <f>IFERROR(__xludf.DUMMYFUNCTION("""COMPUTED_VALUE"""),"Real")</f>
        <v>Real</v>
      </c>
      <c r="G10794" s="8">
        <f t="shared" si="1"/>
        <v>1</v>
      </c>
      <c r="H10794" s="14">
        <f t="shared" si="2"/>
        <v>24</v>
      </c>
      <c r="I10794" s="15">
        <f t="shared" si="3"/>
        <v>17</v>
      </c>
    </row>
    <row r="10795">
      <c r="A10795" s="8" t="str">
        <f>IFERROR(__xludf.DUMMYFUNCTION("IF('(INGESTA)Datos_consumo_datadis'!A10795&lt;&gt;"""",SPLIT('(INGESTA)Datos_consumo_datadis'!A:A,"",""),"""")"),"ES0031408323131005HX0F")</f>
        <v>ES0031408323131005HX0F</v>
      </c>
      <c r="B10795" s="12">
        <f>IFERROR(__xludf.DUMMYFUNCTION("""COMPUTED_VALUE"""),45315.0)</f>
        <v>45315</v>
      </c>
      <c r="C10795" s="13">
        <f>IFERROR(__xludf.DUMMYFUNCTION("""COMPUTED_VALUE"""),0.75)</f>
        <v>0.75</v>
      </c>
      <c r="D10795" s="8">
        <f>IFERROR(__xludf.DUMMYFUNCTION("""COMPUTED_VALUE"""),0.068)</f>
        <v>0.068</v>
      </c>
      <c r="E10795" s="8" t="str">
        <f>IFERROR(__xludf.DUMMYFUNCTION("""COMPUTED_VALUE"""),"Real")</f>
        <v>Real</v>
      </c>
      <c r="G10795" s="8">
        <f t="shared" si="1"/>
        <v>1</v>
      </c>
      <c r="H10795" s="14">
        <f t="shared" si="2"/>
        <v>24</v>
      </c>
      <c r="I10795" s="15">
        <f t="shared" si="3"/>
        <v>18</v>
      </c>
    </row>
    <row r="10796">
      <c r="A10796" s="8" t="str">
        <f>IFERROR(__xludf.DUMMYFUNCTION("IF('(INGESTA)Datos_consumo_datadis'!A10796&lt;&gt;"""",SPLIT('(INGESTA)Datos_consumo_datadis'!A:A,"",""),"""")"),"ES0031408323131005HX0F")</f>
        <v>ES0031408323131005HX0F</v>
      </c>
      <c r="B10796" s="12">
        <f>IFERROR(__xludf.DUMMYFUNCTION("""COMPUTED_VALUE"""),45315.0)</f>
        <v>45315</v>
      </c>
      <c r="C10796" s="13">
        <f>IFERROR(__xludf.DUMMYFUNCTION("""COMPUTED_VALUE"""),0.7916666666666666)</f>
        <v>0.7916666667</v>
      </c>
      <c r="D10796" s="8">
        <f>IFERROR(__xludf.DUMMYFUNCTION("""COMPUTED_VALUE"""),0.295)</f>
        <v>0.295</v>
      </c>
      <c r="E10796" s="8" t="str">
        <f>IFERROR(__xludf.DUMMYFUNCTION("""COMPUTED_VALUE"""),"Real")</f>
        <v>Real</v>
      </c>
      <c r="G10796" s="8">
        <f t="shared" si="1"/>
        <v>1</v>
      </c>
      <c r="H10796" s="14">
        <f t="shared" si="2"/>
        <v>24</v>
      </c>
      <c r="I10796" s="15">
        <f t="shared" si="3"/>
        <v>19</v>
      </c>
    </row>
    <row r="10797">
      <c r="A10797" s="8" t="str">
        <f>IFERROR(__xludf.DUMMYFUNCTION("IF('(INGESTA)Datos_consumo_datadis'!A10797&lt;&gt;"""",SPLIT('(INGESTA)Datos_consumo_datadis'!A:A,"",""),"""")"),"ES0031408323131005HX0F")</f>
        <v>ES0031408323131005HX0F</v>
      </c>
      <c r="B10797" s="12">
        <f>IFERROR(__xludf.DUMMYFUNCTION("""COMPUTED_VALUE"""),45315.0)</f>
        <v>45315</v>
      </c>
      <c r="C10797" s="13">
        <f>IFERROR(__xludf.DUMMYFUNCTION("""COMPUTED_VALUE"""),0.8333333333333334)</f>
        <v>0.8333333333</v>
      </c>
      <c r="D10797" s="8">
        <f>IFERROR(__xludf.DUMMYFUNCTION("""COMPUTED_VALUE"""),1.272)</f>
        <v>1.272</v>
      </c>
      <c r="E10797" s="8" t="str">
        <f>IFERROR(__xludf.DUMMYFUNCTION("""COMPUTED_VALUE"""),"Real")</f>
        <v>Real</v>
      </c>
      <c r="G10797" s="8">
        <f t="shared" si="1"/>
        <v>1</v>
      </c>
      <c r="H10797" s="14">
        <f t="shared" si="2"/>
        <v>24</v>
      </c>
      <c r="I10797" s="15">
        <f t="shared" si="3"/>
        <v>20</v>
      </c>
    </row>
    <row r="10798">
      <c r="A10798" s="8" t="str">
        <f>IFERROR(__xludf.DUMMYFUNCTION("IF('(INGESTA)Datos_consumo_datadis'!A10798&lt;&gt;"""",SPLIT('(INGESTA)Datos_consumo_datadis'!A:A,"",""),"""")"),"ES0031408323131005HX0F")</f>
        <v>ES0031408323131005HX0F</v>
      </c>
      <c r="B10798" s="12">
        <f>IFERROR(__xludf.DUMMYFUNCTION("""COMPUTED_VALUE"""),45315.0)</f>
        <v>45315</v>
      </c>
      <c r="C10798" s="13">
        <f>IFERROR(__xludf.DUMMYFUNCTION("""COMPUTED_VALUE"""),0.875)</f>
        <v>0.875</v>
      </c>
      <c r="D10798" s="8">
        <f>IFERROR(__xludf.DUMMYFUNCTION("""COMPUTED_VALUE"""),1.987)</f>
        <v>1.987</v>
      </c>
      <c r="E10798" s="8" t="str">
        <f>IFERROR(__xludf.DUMMYFUNCTION("""COMPUTED_VALUE"""),"Real")</f>
        <v>Real</v>
      </c>
      <c r="G10798" s="8">
        <f t="shared" si="1"/>
        <v>1</v>
      </c>
      <c r="H10798" s="14">
        <f t="shared" si="2"/>
        <v>24</v>
      </c>
      <c r="I10798" s="15">
        <f t="shared" si="3"/>
        <v>21</v>
      </c>
    </row>
    <row r="10799">
      <c r="A10799" s="8" t="str">
        <f>IFERROR(__xludf.DUMMYFUNCTION("IF('(INGESTA)Datos_consumo_datadis'!A10799&lt;&gt;"""",SPLIT('(INGESTA)Datos_consumo_datadis'!A:A,"",""),"""")"),"ES0031408323131005HX0F")</f>
        <v>ES0031408323131005HX0F</v>
      </c>
      <c r="B10799" s="12">
        <f>IFERROR(__xludf.DUMMYFUNCTION("""COMPUTED_VALUE"""),45315.0)</f>
        <v>45315</v>
      </c>
      <c r="C10799" s="13">
        <f>IFERROR(__xludf.DUMMYFUNCTION("""COMPUTED_VALUE"""),0.9166666666666666)</f>
        <v>0.9166666667</v>
      </c>
      <c r="D10799" s="8">
        <f>IFERROR(__xludf.DUMMYFUNCTION("""COMPUTED_VALUE"""),2.324)</f>
        <v>2.324</v>
      </c>
      <c r="E10799" s="8" t="str">
        <f>IFERROR(__xludf.DUMMYFUNCTION("""COMPUTED_VALUE"""),"Real")</f>
        <v>Real</v>
      </c>
      <c r="G10799" s="8">
        <f t="shared" si="1"/>
        <v>1</v>
      </c>
      <c r="H10799" s="14">
        <f t="shared" si="2"/>
        <v>24</v>
      </c>
      <c r="I10799" s="15">
        <f t="shared" si="3"/>
        <v>22</v>
      </c>
    </row>
    <row r="10800">
      <c r="A10800" s="8" t="str">
        <f>IFERROR(__xludf.DUMMYFUNCTION("IF('(INGESTA)Datos_consumo_datadis'!A10800&lt;&gt;"""",SPLIT('(INGESTA)Datos_consumo_datadis'!A:A,"",""),"""")"),"ES0031408323131005HX0F")</f>
        <v>ES0031408323131005HX0F</v>
      </c>
      <c r="B10800" s="12">
        <f>IFERROR(__xludf.DUMMYFUNCTION("""COMPUTED_VALUE"""),45315.0)</f>
        <v>45315</v>
      </c>
      <c r="C10800" s="13">
        <f>IFERROR(__xludf.DUMMYFUNCTION("""COMPUTED_VALUE"""),0.9583333333333334)</f>
        <v>0.9583333333</v>
      </c>
      <c r="D10800" s="8">
        <f>IFERROR(__xludf.DUMMYFUNCTION("""COMPUTED_VALUE"""),2.395)</f>
        <v>2.395</v>
      </c>
      <c r="E10800" s="8" t="str">
        <f>IFERROR(__xludf.DUMMYFUNCTION("""COMPUTED_VALUE"""),"Real")</f>
        <v>Real</v>
      </c>
      <c r="G10800" s="8">
        <f t="shared" si="1"/>
        <v>1</v>
      </c>
      <c r="H10800" s="14">
        <f t="shared" si="2"/>
        <v>24</v>
      </c>
      <c r="I10800" s="15">
        <f t="shared" si="3"/>
        <v>23</v>
      </c>
    </row>
    <row r="10801">
      <c r="A10801" s="8" t="str">
        <f>IFERROR(__xludf.DUMMYFUNCTION("IF('(INGESTA)Datos_consumo_datadis'!A10801&lt;&gt;"""",SPLIT('(INGESTA)Datos_consumo_datadis'!A:A,"",""),"""")"),"ES0031408323131005HX0F")</f>
        <v>ES0031408323131005HX0F</v>
      </c>
      <c r="B10801" s="12">
        <f>IFERROR(__xludf.DUMMYFUNCTION("""COMPUTED_VALUE"""),45315.0)</f>
        <v>45315</v>
      </c>
      <c r="C10801" s="16">
        <f>IFERROR(__xludf.DUMMYFUNCTION("""COMPUTED_VALUE"""),1.0)</f>
        <v>1</v>
      </c>
      <c r="D10801" s="8">
        <f>IFERROR(__xludf.DUMMYFUNCTION("""COMPUTED_VALUE"""),0.067)</f>
        <v>0.067</v>
      </c>
      <c r="E10801" s="8" t="str">
        <f>IFERROR(__xludf.DUMMYFUNCTION("""COMPUTED_VALUE"""),"Real")</f>
        <v>Real</v>
      </c>
      <c r="G10801" s="8">
        <f t="shared" si="1"/>
        <v>1</v>
      </c>
      <c r="H10801" s="14">
        <f t="shared" si="2"/>
        <v>24</v>
      </c>
      <c r="I10801" s="15">
        <f t="shared" si="3"/>
        <v>0</v>
      </c>
    </row>
    <row r="10802">
      <c r="A10802" s="8" t="str">
        <f>IFERROR(__xludf.DUMMYFUNCTION("IF('(INGESTA)Datos_consumo_datadis'!A10802&lt;&gt;"""",SPLIT('(INGESTA)Datos_consumo_datadis'!A:A,"",""),"""")"),"ES0031408323131005HX0F")</f>
        <v>ES0031408323131005HX0F</v>
      </c>
      <c r="B10802" s="12">
        <f>IFERROR(__xludf.DUMMYFUNCTION("""COMPUTED_VALUE"""),45316.0)</f>
        <v>45316</v>
      </c>
      <c r="C10802" s="13">
        <f>IFERROR(__xludf.DUMMYFUNCTION("""COMPUTED_VALUE"""),0.041666666666666664)</f>
        <v>0.04166666667</v>
      </c>
      <c r="D10802" s="8">
        <f>IFERROR(__xludf.DUMMYFUNCTION("""COMPUTED_VALUE"""),0.06)</f>
        <v>0.06</v>
      </c>
      <c r="E10802" s="8" t="str">
        <f>IFERROR(__xludf.DUMMYFUNCTION("""COMPUTED_VALUE"""),"Real")</f>
        <v>Real</v>
      </c>
      <c r="G10802" s="8">
        <f t="shared" si="1"/>
        <v>1</v>
      </c>
      <c r="H10802" s="14">
        <f t="shared" si="2"/>
        <v>25</v>
      </c>
      <c r="I10802" s="15">
        <f t="shared" si="3"/>
        <v>1</v>
      </c>
    </row>
    <row r="10803">
      <c r="A10803" s="8" t="str">
        <f>IFERROR(__xludf.DUMMYFUNCTION("IF('(INGESTA)Datos_consumo_datadis'!A10803&lt;&gt;"""",SPLIT('(INGESTA)Datos_consumo_datadis'!A:A,"",""),"""")"),"ES0031408323131005HX0F")</f>
        <v>ES0031408323131005HX0F</v>
      </c>
      <c r="B10803" s="12">
        <f>IFERROR(__xludf.DUMMYFUNCTION("""COMPUTED_VALUE"""),45316.0)</f>
        <v>45316</v>
      </c>
      <c r="C10803" s="13">
        <f>IFERROR(__xludf.DUMMYFUNCTION("""COMPUTED_VALUE"""),0.08333333333333333)</f>
        <v>0.08333333333</v>
      </c>
      <c r="D10803" s="8">
        <f>IFERROR(__xludf.DUMMYFUNCTION("""COMPUTED_VALUE"""),0.063)</f>
        <v>0.063</v>
      </c>
      <c r="E10803" s="8" t="str">
        <f>IFERROR(__xludf.DUMMYFUNCTION("""COMPUTED_VALUE"""),"Real")</f>
        <v>Real</v>
      </c>
      <c r="G10803" s="8">
        <f t="shared" si="1"/>
        <v>1</v>
      </c>
      <c r="H10803" s="14">
        <f t="shared" si="2"/>
        <v>25</v>
      </c>
      <c r="I10803" s="15">
        <f t="shared" si="3"/>
        <v>2</v>
      </c>
    </row>
    <row r="10804">
      <c r="A10804" s="8" t="str">
        <f>IFERROR(__xludf.DUMMYFUNCTION("IF('(INGESTA)Datos_consumo_datadis'!A10804&lt;&gt;"""",SPLIT('(INGESTA)Datos_consumo_datadis'!A:A,"",""),"""")"),"ES0031408323131005HX0F")</f>
        <v>ES0031408323131005HX0F</v>
      </c>
      <c r="B10804" s="12">
        <f>IFERROR(__xludf.DUMMYFUNCTION("""COMPUTED_VALUE"""),45316.0)</f>
        <v>45316</v>
      </c>
      <c r="C10804" s="13">
        <f>IFERROR(__xludf.DUMMYFUNCTION("""COMPUTED_VALUE"""),0.125)</f>
        <v>0.125</v>
      </c>
      <c r="D10804" s="8">
        <f>IFERROR(__xludf.DUMMYFUNCTION("""COMPUTED_VALUE"""),0.016)</f>
        <v>0.016</v>
      </c>
      <c r="E10804" s="8" t="str">
        <f>IFERROR(__xludf.DUMMYFUNCTION("""COMPUTED_VALUE"""),"Real")</f>
        <v>Real</v>
      </c>
      <c r="G10804" s="8">
        <f t="shared" si="1"/>
        <v>1</v>
      </c>
      <c r="H10804" s="14">
        <f t="shared" si="2"/>
        <v>25</v>
      </c>
      <c r="I10804" s="15">
        <f t="shared" si="3"/>
        <v>3</v>
      </c>
    </row>
    <row r="10805">
      <c r="A10805" s="8" t="str">
        <f>IFERROR(__xludf.DUMMYFUNCTION("IF('(INGESTA)Datos_consumo_datadis'!A10805&lt;&gt;"""",SPLIT('(INGESTA)Datos_consumo_datadis'!A:A,"",""),"""")"),"ES0031408323131005HX0F")</f>
        <v>ES0031408323131005HX0F</v>
      </c>
      <c r="B10805" s="12">
        <f>IFERROR(__xludf.DUMMYFUNCTION("""COMPUTED_VALUE"""),45316.0)</f>
        <v>45316</v>
      </c>
      <c r="C10805" s="13">
        <f>IFERROR(__xludf.DUMMYFUNCTION("""COMPUTED_VALUE"""),0.16666666666666666)</f>
        <v>0.1666666667</v>
      </c>
      <c r="D10805" s="8">
        <f>IFERROR(__xludf.DUMMYFUNCTION("""COMPUTED_VALUE"""),0.087)</f>
        <v>0.087</v>
      </c>
      <c r="E10805" s="8" t="str">
        <f>IFERROR(__xludf.DUMMYFUNCTION("""COMPUTED_VALUE"""),"Real")</f>
        <v>Real</v>
      </c>
      <c r="G10805" s="8">
        <f t="shared" si="1"/>
        <v>1</v>
      </c>
      <c r="H10805" s="14">
        <f t="shared" si="2"/>
        <v>25</v>
      </c>
      <c r="I10805" s="15">
        <f t="shared" si="3"/>
        <v>4</v>
      </c>
    </row>
    <row r="10806">
      <c r="A10806" s="8" t="str">
        <f>IFERROR(__xludf.DUMMYFUNCTION("IF('(INGESTA)Datos_consumo_datadis'!A10806&lt;&gt;"""",SPLIT('(INGESTA)Datos_consumo_datadis'!A:A,"",""),"""")"),"ES0031408323131005HX0F")</f>
        <v>ES0031408323131005HX0F</v>
      </c>
      <c r="B10806" s="12">
        <f>IFERROR(__xludf.DUMMYFUNCTION("""COMPUTED_VALUE"""),45316.0)</f>
        <v>45316</v>
      </c>
      <c r="C10806" s="13">
        <f>IFERROR(__xludf.DUMMYFUNCTION("""COMPUTED_VALUE"""),0.20833333333333334)</f>
        <v>0.2083333333</v>
      </c>
      <c r="D10806" s="8">
        <f>IFERROR(__xludf.DUMMYFUNCTION("""COMPUTED_VALUE"""),0.374)</f>
        <v>0.374</v>
      </c>
      <c r="E10806" s="8" t="str">
        <f>IFERROR(__xludf.DUMMYFUNCTION("""COMPUTED_VALUE"""),"Real")</f>
        <v>Real</v>
      </c>
      <c r="G10806" s="8">
        <f t="shared" si="1"/>
        <v>1</v>
      </c>
      <c r="H10806" s="14">
        <f t="shared" si="2"/>
        <v>25</v>
      </c>
      <c r="I10806" s="15">
        <f t="shared" si="3"/>
        <v>5</v>
      </c>
    </row>
    <row r="10807">
      <c r="A10807" s="8" t="str">
        <f>IFERROR(__xludf.DUMMYFUNCTION("IF('(INGESTA)Datos_consumo_datadis'!A10807&lt;&gt;"""",SPLIT('(INGESTA)Datos_consumo_datadis'!A:A,"",""),"""")"),"ES0031408323131005HX0F")</f>
        <v>ES0031408323131005HX0F</v>
      </c>
      <c r="B10807" s="12">
        <f>IFERROR(__xludf.DUMMYFUNCTION("""COMPUTED_VALUE"""),45316.0)</f>
        <v>45316</v>
      </c>
      <c r="C10807" s="13">
        <f>IFERROR(__xludf.DUMMYFUNCTION("""COMPUTED_VALUE"""),0.25)</f>
        <v>0.25</v>
      </c>
      <c r="D10807" s="8">
        <f>IFERROR(__xludf.DUMMYFUNCTION("""COMPUTED_VALUE"""),0.142)</f>
        <v>0.142</v>
      </c>
      <c r="E10807" s="8" t="str">
        <f>IFERROR(__xludf.DUMMYFUNCTION("""COMPUTED_VALUE"""),"Real")</f>
        <v>Real</v>
      </c>
      <c r="G10807" s="8">
        <f t="shared" si="1"/>
        <v>1</v>
      </c>
      <c r="H10807" s="14">
        <f t="shared" si="2"/>
        <v>25</v>
      </c>
      <c r="I10807" s="15">
        <f t="shared" si="3"/>
        <v>6</v>
      </c>
    </row>
    <row r="10808">
      <c r="A10808" s="8" t="str">
        <f>IFERROR(__xludf.DUMMYFUNCTION("IF('(INGESTA)Datos_consumo_datadis'!A10808&lt;&gt;"""",SPLIT('(INGESTA)Datos_consumo_datadis'!A:A,"",""),"""")"),"ES0031408323131005HX0F")</f>
        <v>ES0031408323131005HX0F</v>
      </c>
      <c r="B10808" s="12">
        <f>IFERROR(__xludf.DUMMYFUNCTION("""COMPUTED_VALUE"""),45316.0)</f>
        <v>45316</v>
      </c>
      <c r="C10808" s="13">
        <f>IFERROR(__xludf.DUMMYFUNCTION("""COMPUTED_VALUE"""),0.2916666666666667)</f>
        <v>0.2916666667</v>
      </c>
      <c r="D10808" s="8">
        <f>IFERROR(__xludf.DUMMYFUNCTION("""COMPUTED_VALUE"""),0.11)</f>
        <v>0.11</v>
      </c>
      <c r="E10808" s="8" t="str">
        <f>IFERROR(__xludf.DUMMYFUNCTION("""COMPUTED_VALUE"""),"Real")</f>
        <v>Real</v>
      </c>
      <c r="G10808" s="8">
        <f t="shared" si="1"/>
        <v>1</v>
      </c>
      <c r="H10808" s="14">
        <f t="shared" si="2"/>
        <v>25</v>
      </c>
      <c r="I10808" s="15">
        <f t="shared" si="3"/>
        <v>7</v>
      </c>
    </row>
    <row r="10809">
      <c r="A10809" s="8" t="str">
        <f>IFERROR(__xludf.DUMMYFUNCTION("IF('(INGESTA)Datos_consumo_datadis'!A10809&lt;&gt;"""",SPLIT('(INGESTA)Datos_consumo_datadis'!A:A,"",""),"""")"),"ES0031408323131005HX0F")</f>
        <v>ES0031408323131005HX0F</v>
      </c>
      <c r="B10809" s="12">
        <f>IFERROR(__xludf.DUMMYFUNCTION("""COMPUTED_VALUE"""),45316.0)</f>
        <v>45316</v>
      </c>
      <c r="C10809" s="13">
        <f>IFERROR(__xludf.DUMMYFUNCTION("""COMPUTED_VALUE"""),0.3333333333333333)</f>
        <v>0.3333333333</v>
      </c>
      <c r="D10809" s="8">
        <f>IFERROR(__xludf.DUMMYFUNCTION("""COMPUTED_VALUE"""),0.393)</f>
        <v>0.393</v>
      </c>
      <c r="E10809" s="8" t="str">
        <f>IFERROR(__xludf.DUMMYFUNCTION("""COMPUTED_VALUE"""),"Real")</f>
        <v>Real</v>
      </c>
      <c r="G10809" s="8">
        <f t="shared" si="1"/>
        <v>1</v>
      </c>
      <c r="H10809" s="14">
        <f t="shared" si="2"/>
        <v>25</v>
      </c>
      <c r="I10809" s="15">
        <f t="shared" si="3"/>
        <v>8</v>
      </c>
    </row>
    <row r="10810">
      <c r="A10810" s="8" t="str">
        <f>IFERROR(__xludf.DUMMYFUNCTION("IF('(INGESTA)Datos_consumo_datadis'!A10810&lt;&gt;"""",SPLIT('(INGESTA)Datos_consumo_datadis'!A:A,"",""),"""")"),"ES0031408323131005HX0F")</f>
        <v>ES0031408323131005HX0F</v>
      </c>
      <c r="B10810" s="12">
        <f>IFERROR(__xludf.DUMMYFUNCTION("""COMPUTED_VALUE"""),45316.0)</f>
        <v>45316</v>
      </c>
      <c r="C10810" s="13">
        <f>IFERROR(__xludf.DUMMYFUNCTION("""COMPUTED_VALUE"""),0.375)</f>
        <v>0.375</v>
      </c>
      <c r="D10810" s="8">
        <f>IFERROR(__xludf.DUMMYFUNCTION("""COMPUTED_VALUE"""),0.064)</f>
        <v>0.064</v>
      </c>
      <c r="E10810" s="8" t="str">
        <f>IFERROR(__xludf.DUMMYFUNCTION("""COMPUTED_VALUE"""),"Real")</f>
        <v>Real</v>
      </c>
      <c r="G10810" s="8">
        <f t="shared" si="1"/>
        <v>1</v>
      </c>
      <c r="H10810" s="14">
        <f t="shared" si="2"/>
        <v>25</v>
      </c>
      <c r="I10810" s="15">
        <f t="shared" si="3"/>
        <v>9</v>
      </c>
    </row>
    <row r="10811">
      <c r="A10811" s="8" t="str">
        <f>IFERROR(__xludf.DUMMYFUNCTION("IF('(INGESTA)Datos_consumo_datadis'!A10811&lt;&gt;"""",SPLIT('(INGESTA)Datos_consumo_datadis'!A:A,"",""),"""")"),"ES0031408323131005HX0F")</f>
        <v>ES0031408323131005HX0F</v>
      </c>
      <c r="B10811" s="12">
        <f>IFERROR(__xludf.DUMMYFUNCTION("""COMPUTED_VALUE"""),45316.0)</f>
        <v>45316</v>
      </c>
      <c r="C10811" s="13">
        <f>IFERROR(__xludf.DUMMYFUNCTION("""COMPUTED_VALUE"""),0.4166666666666667)</f>
        <v>0.4166666667</v>
      </c>
      <c r="D10811" s="8">
        <f>IFERROR(__xludf.DUMMYFUNCTION("""COMPUTED_VALUE"""),0.074)</f>
        <v>0.074</v>
      </c>
      <c r="E10811" s="8" t="str">
        <f>IFERROR(__xludf.DUMMYFUNCTION("""COMPUTED_VALUE"""),"Real")</f>
        <v>Real</v>
      </c>
      <c r="G10811" s="8">
        <f t="shared" si="1"/>
        <v>1</v>
      </c>
      <c r="H10811" s="14">
        <f t="shared" si="2"/>
        <v>25</v>
      </c>
      <c r="I10811" s="15">
        <f t="shared" si="3"/>
        <v>10</v>
      </c>
    </row>
    <row r="10812">
      <c r="A10812" s="8" t="str">
        <f>IFERROR(__xludf.DUMMYFUNCTION("IF('(INGESTA)Datos_consumo_datadis'!A10812&lt;&gt;"""",SPLIT('(INGESTA)Datos_consumo_datadis'!A:A,"",""),"""")"),"ES0031408323131005HX0F")</f>
        <v>ES0031408323131005HX0F</v>
      </c>
      <c r="B10812" s="12">
        <f>IFERROR(__xludf.DUMMYFUNCTION("""COMPUTED_VALUE"""),45316.0)</f>
        <v>45316</v>
      </c>
      <c r="C10812" s="13">
        <f>IFERROR(__xludf.DUMMYFUNCTION("""COMPUTED_VALUE"""),0.4583333333333333)</f>
        <v>0.4583333333</v>
      </c>
      <c r="D10812" s="8">
        <f>IFERROR(__xludf.DUMMYFUNCTION("""COMPUTED_VALUE"""),0.013)</f>
        <v>0.013</v>
      </c>
      <c r="E10812" s="8" t="str">
        <f>IFERROR(__xludf.DUMMYFUNCTION("""COMPUTED_VALUE"""),"Real")</f>
        <v>Real</v>
      </c>
      <c r="G10812" s="8">
        <f t="shared" si="1"/>
        <v>1</v>
      </c>
      <c r="H10812" s="14">
        <f t="shared" si="2"/>
        <v>25</v>
      </c>
      <c r="I10812" s="15">
        <f t="shared" si="3"/>
        <v>11</v>
      </c>
    </row>
    <row r="10813">
      <c r="A10813" s="8" t="str">
        <f>IFERROR(__xludf.DUMMYFUNCTION("IF('(INGESTA)Datos_consumo_datadis'!A10813&lt;&gt;"""",SPLIT('(INGESTA)Datos_consumo_datadis'!A:A,"",""),"""")"),"ES0031408323131005HX0F")</f>
        <v>ES0031408323131005HX0F</v>
      </c>
      <c r="B10813" s="12">
        <f>IFERROR(__xludf.DUMMYFUNCTION("""COMPUTED_VALUE"""),45316.0)</f>
        <v>45316</v>
      </c>
      <c r="C10813" s="13">
        <f>IFERROR(__xludf.DUMMYFUNCTION("""COMPUTED_VALUE"""),0.5)</f>
        <v>0.5</v>
      </c>
      <c r="D10813" s="8">
        <f>IFERROR(__xludf.DUMMYFUNCTION("""COMPUTED_VALUE"""),0.089)</f>
        <v>0.089</v>
      </c>
      <c r="E10813" s="8" t="str">
        <f>IFERROR(__xludf.DUMMYFUNCTION("""COMPUTED_VALUE"""),"Real")</f>
        <v>Real</v>
      </c>
      <c r="G10813" s="8">
        <f t="shared" si="1"/>
        <v>1</v>
      </c>
      <c r="H10813" s="14">
        <f t="shared" si="2"/>
        <v>25</v>
      </c>
      <c r="I10813" s="15">
        <f t="shared" si="3"/>
        <v>12</v>
      </c>
    </row>
    <row r="10814">
      <c r="A10814" s="8" t="str">
        <f>IFERROR(__xludf.DUMMYFUNCTION("IF('(INGESTA)Datos_consumo_datadis'!A10814&lt;&gt;"""",SPLIT('(INGESTA)Datos_consumo_datadis'!A:A,"",""),"""")"),"ES0031408323131005HX0F")</f>
        <v>ES0031408323131005HX0F</v>
      </c>
      <c r="B10814" s="12">
        <f>IFERROR(__xludf.DUMMYFUNCTION("""COMPUTED_VALUE"""),45316.0)</f>
        <v>45316</v>
      </c>
      <c r="C10814" s="13">
        <f>IFERROR(__xludf.DUMMYFUNCTION("""COMPUTED_VALUE"""),0.5416666666666666)</f>
        <v>0.5416666667</v>
      </c>
      <c r="D10814" s="8">
        <f>IFERROR(__xludf.DUMMYFUNCTION("""COMPUTED_VALUE"""),0.058)</f>
        <v>0.058</v>
      </c>
      <c r="E10814" s="8" t="str">
        <f>IFERROR(__xludf.DUMMYFUNCTION("""COMPUTED_VALUE"""),"Real")</f>
        <v>Real</v>
      </c>
      <c r="G10814" s="8">
        <f t="shared" si="1"/>
        <v>1</v>
      </c>
      <c r="H10814" s="14">
        <f t="shared" si="2"/>
        <v>25</v>
      </c>
      <c r="I10814" s="15">
        <f t="shared" si="3"/>
        <v>13</v>
      </c>
    </row>
    <row r="10815">
      <c r="A10815" s="8" t="str">
        <f>IFERROR(__xludf.DUMMYFUNCTION("IF('(INGESTA)Datos_consumo_datadis'!A10815&lt;&gt;"""",SPLIT('(INGESTA)Datos_consumo_datadis'!A:A,"",""),"""")"),"ES0031408323131005HX0F")</f>
        <v>ES0031408323131005HX0F</v>
      </c>
      <c r="B10815" s="12">
        <f>IFERROR(__xludf.DUMMYFUNCTION("""COMPUTED_VALUE"""),45316.0)</f>
        <v>45316</v>
      </c>
      <c r="C10815" s="13">
        <f>IFERROR(__xludf.DUMMYFUNCTION("""COMPUTED_VALUE"""),0.5833333333333334)</f>
        <v>0.5833333333</v>
      </c>
      <c r="D10815" s="8">
        <f>IFERROR(__xludf.DUMMYFUNCTION("""COMPUTED_VALUE"""),0.298)</f>
        <v>0.298</v>
      </c>
      <c r="E10815" s="8" t="str">
        <f>IFERROR(__xludf.DUMMYFUNCTION("""COMPUTED_VALUE"""),"Real")</f>
        <v>Real</v>
      </c>
      <c r="G10815" s="8">
        <f t="shared" si="1"/>
        <v>1</v>
      </c>
      <c r="H10815" s="14">
        <f t="shared" si="2"/>
        <v>25</v>
      </c>
      <c r="I10815" s="15">
        <f t="shared" si="3"/>
        <v>14</v>
      </c>
    </row>
    <row r="10816">
      <c r="A10816" s="8" t="str">
        <f>IFERROR(__xludf.DUMMYFUNCTION("IF('(INGESTA)Datos_consumo_datadis'!A10816&lt;&gt;"""",SPLIT('(INGESTA)Datos_consumo_datadis'!A:A,"",""),"""")"),"ES0031408323131005HX0F")</f>
        <v>ES0031408323131005HX0F</v>
      </c>
      <c r="B10816" s="12">
        <f>IFERROR(__xludf.DUMMYFUNCTION("""COMPUTED_VALUE"""),45316.0)</f>
        <v>45316</v>
      </c>
      <c r="C10816" s="13">
        <f>IFERROR(__xludf.DUMMYFUNCTION("""COMPUTED_VALUE"""),0.625)</f>
        <v>0.625</v>
      </c>
      <c r="D10816" s="8">
        <f>IFERROR(__xludf.DUMMYFUNCTION("""COMPUTED_VALUE"""),0.023)</f>
        <v>0.023</v>
      </c>
      <c r="E10816" s="8" t="str">
        <f>IFERROR(__xludf.DUMMYFUNCTION("""COMPUTED_VALUE"""),"Real")</f>
        <v>Real</v>
      </c>
      <c r="G10816" s="8">
        <f t="shared" si="1"/>
        <v>1</v>
      </c>
      <c r="H10816" s="14">
        <f t="shared" si="2"/>
        <v>25</v>
      </c>
      <c r="I10816" s="15">
        <f t="shared" si="3"/>
        <v>15</v>
      </c>
    </row>
    <row r="10817">
      <c r="A10817" s="8" t="str">
        <f>IFERROR(__xludf.DUMMYFUNCTION("IF('(INGESTA)Datos_consumo_datadis'!A10817&lt;&gt;"""",SPLIT('(INGESTA)Datos_consumo_datadis'!A:A,"",""),"""")"),"ES0031408323131005HX0F")</f>
        <v>ES0031408323131005HX0F</v>
      </c>
      <c r="B10817" s="12">
        <f>IFERROR(__xludf.DUMMYFUNCTION("""COMPUTED_VALUE"""),45316.0)</f>
        <v>45316</v>
      </c>
      <c r="C10817" s="13">
        <f>IFERROR(__xludf.DUMMYFUNCTION("""COMPUTED_VALUE"""),0.6666666666666666)</f>
        <v>0.6666666667</v>
      </c>
      <c r="D10817" s="8">
        <f>IFERROR(__xludf.DUMMYFUNCTION("""COMPUTED_VALUE"""),0.083)</f>
        <v>0.083</v>
      </c>
      <c r="E10817" s="8" t="str">
        <f>IFERROR(__xludf.DUMMYFUNCTION("""COMPUTED_VALUE"""),"Real")</f>
        <v>Real</v>
      </c>
      <c r="G10817" s="8">
        <f t="shared" si="1"/>
        <v>1</v>
      </c>
      <c r="H10817" s="14">
        <f t="shared" si="2"/>
        <v>25</v>
      </c>
      <c r="I10817" s="15">
        <f t="shared" si="3"/>
        <v>16</v>
      </c>
    </row>
    <row r="10818">
      <c r="A10818" s="8" t="str">
        <f>IFERROR(__xludf.DUMMYFUNCTION("IF('(INGESTA)Datos_consumo_datadis'!A10818&lt;&gt;"""",SPLIT('(INGESTA)Datos_consumo_datadis'!A:A,"",""),"""")"),"ES0031408323131005HX0F")</f>
        <v>ES0031408323131005HX0F</v>
      </c>
      <c r="B10818" s="12">
        <f>IFERROR(__xludf.DUMMYFUNCTION("""COMPUTED_VALUE"""),45316.0)</f>
        <v>45316</v>
      </c>
      <c r="C10818" s="13">
        <f>IFERROR(__xludf.DUMMYFUNCTION("""COMPUTED_VALUE"""),0.7083333333333334)</f>
        <v>0.7083333333</v>
      </c>
      <c r="D10818" s="8">
        <f>IFERROR(__xludf.DUMMYFUNCTION("""COMPUTED_VALUE"""),0.073)</f>
        <v>0.073</v>
      </c>
      <c r="E10818" s="8" t="str">
        <f>IFERROR(__xludf.DUMMYFUNCTION("""COMPUTED_VALUE"""),"Real")</f>
        <v>Real</v>
      </c>
      <c r="G10818" s="8">
        <f t="shared" si="1"/>
        <v>1</v>
      </c>
      <c r="H10818" s="14">
        <f t="shared" si="2"/>
        <v>25</v>
      </c>
      <c r="I10818" s="15">
        <f t="shared" si="3"/>
        <v>17</v>
      </c>
    </row>
    <row r="10819">
      <c r="A10819" s="8" t="str">
        <f>IFERROR(__xludf.DUMMYFUNCTION("IF('(INGESTA)Datos_consumo_datadis'!A10819&lt;&gt;"""",SPLIT('(INGESTA)Datos_consumo_datadis'!A:A,"",""),"""")"),"ES0031408323131005HX0F")</f>
        <v>ES0031408323131005HX0F</v>
      </c>
      <c r="B10819" s="12">
        <f>IFERROR(__xludf.DUMMYFUNCTION("""COMPUTED_VALUE"""),45316.0)</f>
        <v>45316</v>
      </c>
      <c r="C10819" s="13">
        <f>IFERROR(__xludf.DUMMYFUNCTION("""COMPUTED_VALUE"""),0.75)</f>
        <v>0.75</v>
      </c>
      <c r="D10819" s="8">
        <f>IFERROR(__xludf.DUMMYFUNCTION("""COMPUTED_VALUE"""),0.019)</f>
        <v>0.019</v>
      </c>
      <c r="E10819" s="8" t="str">
        <f>IFERROR(__xludf.DUMMYFUNCTION("""COMPUTED_VALUE"""),"Real")</f>
        <v>Real</v>
      </c>
      <c r="G10819" s="8">
        <f t="shared" si="1"/>
        <v>1</v>
      </c>
      <c r="H10819" s="14">
        <f t="shared" si="2"/>
        <v>25</v>
      </c>
      <c r="I10819" s="15">
        <f t="shared" si="3"/>
        <v>18</v>
      </c>
    </row>
    <row r="10820">
      <c r="A10820" s="8" t="str">
        <f>IFERROR(__xludf.DUMMYFUNCTION("IF('(INGESTA)Datos_consumo_datadis'!A10820&lt;&gt;"""",SPLIT('(INGESTA)Datos_consumo_datadis'!A:A,"",""),"""")"),"ES0031408323131005HX0F")</f>
        <v>ES0031408323131005HX0F</v>
      </c>
      <c r="B10820" s="12">
        <f>IFERROR(__xludf.DUMMYFUNCTION("""COMPUTED_VALUE"""),45316.0)</f>
        <v>45316</v>
      </c>
      <c r="C10820" s="13">
        <f>IFERROR(__xludf.DUMMYFUNCTION("""COMPUTED_VALUE"""),0.7916666666666666)</f>
        <v>0.7916666667</v>
      </c>
      <c r="D10820" s="8">
        <f>IFERROR(__xludf.DUMMYFUNCTION("""COMPUTED_VALUE"""),0.05)</f>
        <v>0.05</v>
      </c>
      <c r="E10820" s="8" t="str">
        <f>IFERROR(__xludf.DUMMYFUNCTION("""COMPUTED_VALUE"""),"Real")</f>
        <v>Real</v>
      </c>
      <c r="G10820" s="8">
        <f t="shared" si="1"/>
        <v>1</v>
      </c>
      <c r="H10820" s="14">
        <f t="shared" si="2"/>
        <v>25</v>
      </c>
      <c r="I10820" s="15">
        <f t="shared" si="3"/>
        <v>19</v>
      </c>
    </row>
    <row r="10821">
      <c r="A10821" s="8" t="str">
        <f>IFERROR(__xludf.DUMMYFUNCTION("IF('(INGESTA)Datos_consumo_datadis'!A10821&lt;&gt;"""",SPLIT('(INGESTA)Datos_consumo_datadis'!A:A,"",""),"""")"),"ES0031408323131005HX0F")</f>
        <v>ES0031408323131005HX0F</v>
      </c>
      <c r="B10821" s="12">
        <f>IFERROR(__xludf.DUMMYFUNCTION("""COMPUTED_VALUE"""),45316.0)</f>
        <v>45316</v>
      </c>
      <c r="C10821" s="13">
        <f>IFERROR(__xludf.DUMMYFUNCTION("""COMPUTED_VALUE"""),0.8333333333333334)</f>
        <v>0.8333333333</v>
      </c>
      <c r="D10821" s="8">
        <f>IFERROR(__xludf.DUMMYFUNCTION("""COMPUTED_VALUE"""),0.963)</f>
        <v>0.963</v>
      </c>
      <c r="E10821" s="8" t="str">
        <f>IFERROR(__xludf.DUMMYFUNCTION("""COMPUTED_VALUE"""),"Real")</f>
        <v>Real</v>
      </c>
      <c r="G10821" s="8">
        <f t="shared" si="1"/>
        <v>1</v>
      </c>
      <c r="H10821" s="14">
        <f t="shared" si="2"/>
        <v>25</v>
      </c>
      <c r="I10821" s="15">
        <f t="shared" si="3"/>
        <v>20</v>
      </c>
    </row>
    <row r="10822">
      <c r="A10822" s="8" t="str">
        <f>IFERROR(__xludf.DUMMYFUNCTION("IF('(INGESTA)Datos_consumo_datadis'!A10822&lt;&gt;"""",SPLIT('(INGESTA)Datos_consumo_datadis'!A:A,"",""),"""")"),"ES0031408323131005HX0F")</f>
        <v>ES0031408323131005HX0F</v>
      </c>
      <c r="B10822" s="12">
        <f>IFERROR(__xludf.DUMMYFUNCTION("""COMPUTED_VALUE"""),45316.0)</f>
        <v>45316</v>
      </c>
      <c r="C10822" s="13">
        <f>IFERROR(__xludf.DUMMYFUNCTION("""COMPUTED_VALUE"""),0.875)</f>
        <v>0.875</v>
      </c>
      <c r="D10822" s="8">
        <f>IFERROR(__xludf.DUMMYFUNCTION("""COMPUTED_VALUE"""),1.336)</f>
        <v>1.336</v>
      </c>
      <c r="E10822" s="8" t="str">
        <f>IFERROR(__xludf.DUMMYFUNCTION("""COMPUTED_VALUE"""),"Real")</f>
        <v>Real</v>
      </c>
      <c r="G10822" s="8">
        <f t="shared" si="1"/>
        <v>1</v>
      </c>
      <c r="H10822" s="14">
        <f t="shared" si="2"/>
        <v>25</v>
      </c>
      <c r="I10822" s="15">
        <f t="shared" si="3"/>
        <v>21</v>
      </c>
    </row>
    <row r="10823">
      <c r="A10823" s="8" t="str">
        <f>IFERROR(__xludf.DUMMYFUNCTION("IF('(INGESTA)Datos_consumo_datadis'!A10823&lt;&gt;"""",SPLIT('(INGESTA)Datos_consumo_datadis'!A:A,"",""),"""")"),"ES0031408323131005HX0F")</f>
        <v>ES0031408323131005HX0F</v>
      </c>
      <c r="B10823" s="12">
        <f>IFERROR(__xludf.DUMMYFUNCTION("""COMPUTED_VALUE"""),45316.0)</f>
        <v>45316</v>
      </c>
      <c r="C10823" s="13">
        <f>IFERROR(__xludf.DUMMYFUNCTION("""COMPUTED_VALUE"""),0.9166666666666666)</f>
        <v>0.9166666667</v>
      </c>
      <c r="D10823" s="8">
        <f>IFERROR(__xludf.DUMMYFUNCTION("""COMPUTED_VALUE"""),1.593)</f>
        <v>1.593</v>
      </c>
      <c r="E10823" s="8" t="str">
        <f>IFERROR(__xludf.DUMMYFUNCTION("""COMPUTED_VALUE"""),"Real")</f>
        <v>Real</v>
      </c>
      <c r="G10823" s="8">
        <f t="shared" si="1"/>
        <v>1</v>
      </c>
      <c r="H10823" s="14">
        <f t="shared" si="2"/>
        <v>25</v>
      </c>
      <c r="I10823" s="15">
        <f t="shared" si="3"/>
        <v>22</v>
      </c>
    </row>
    <row r="10824">
      <c r="A10824" s="8" t="str">
        <f>IFERROR(__xludf.DUMMYFUNCTION("IF('(INGESTA)Datos_consumo_datadis'!A10824&lt;&gt;"""",SPLIT('(INGESTA)Datos_consumo_datadis'!A:A,"",""),"""")"),"ES0031408323131005HX0F")</f>
        <v>ES0031408323131005HX0F</v>
      </c>
      <c r="B10824" s="12">
        <f>IFERROR(__xludf.DUMMYFUNCTION("""COMPUTED_VALUE"""),45316.0)</f>
        <v>45316</v>
      </c>
      <c r="C10824" s="13">
        <f>IFERROR(__xludf.DUMMYFUNCTION("""COMPUTED_VALUE"""),0.9583333333333334)</f>
        <v>0.9583333333</v>
      </c>
      <c r="D10824" s="8">
        <f>IFERROR(__xludf.DUMMYFUNCTION("""COMPUTED_VALUE"""),0.693)</f>
        <v>0.693</v>
      </c>
      <c r="E10824" s="8" t="str">
        <f>IFERROR(__xludf.DUMMYFUNCTION("""COMPUTED_VALUE"""),"Real")</f>
        <v>Real</v>
      </c>
      <c r="G10824" s="8">
        <f t="shared" si="1"/>
        <v>1</v>
      </c>
      <c r="H10824" s="14">
        <f t="shared" si="2"/>
        <v>25</v>
      </c>
      <c r="I10824" s="15">
        <f t="shared" si="3"/>
        <v>23</v>
      </c>
    </row>
    <row r="10825">
      <c r="A10825" s="8" t="str">
        <f>IFERROR(__xludf.DUMMYFUNCTION("IF('(INGESTA)Datos_consumo_datadis'!A10825&lt;&gt;"""",SPLIT('(INGESTA)Datos_consumo_datadis'!A:A,"",""),"""")"),"ES0031408323131005HX0F")</f>
        <v>ES0031408323131005HX0F</v>
      </c>
      <c r="B10825" s="12">
        <f>IFERROR(__xludf.DUMMYFUNCTION("""COMPUTED_VALUE"""),45316.0)</f>
        <v>45316</v>
      </c>
      <c r="C10825" s="16">
        <f>IFERROR(__xludf.DUMMYFUNCTION("""COMPUTED_VALUE"""),1.0)</f>
        <v>1</v>
      </c>
      <c r="D10825" s="8">
        <f>IFERROR(__xludf.DUMMYFUNCTION("""COMPUTED_VALUE"""),0.139)</f>
        <v>0.139</v>
      </c>
      <c r="E10825" s="8" t="str">
        <f>IFERROR(__xludf.DUMMYFUNCTION("""COMPUTED_VALUE"""),"Real")</f>
        <v>Real</v>
      </c>
      <c r="G10825" s="8">
        <f t="shared" si="1"/>
        <v>1</v>
      </c>
      <c r="H10825" s="14">
        <f t="shared" si="2"/>
        <v>25</v>
      </c>
      <c r="I10825" s="15">
        <f t="shared" si="3"/>
        <v>0</v>
      </c>
    </row>
    <row r="10826">
      <c r="A10826" s="8" t="str">
        <f>IFERROR(__xludf.DUMMYFUNCTION("IF('(INGESTA)Datos_consumo_datadis'!A10826&lt;&gt;"""",SPLIT('(INGESTA)Datos_consumo_datadis'!A:A,"",""),"""")"),"ES0031408323131005HX0F")</f>
        <v>ES0031408323131005HX0F</v>
      </c>
      <c r="B10826" s="12">
        <f>IFERROR(__xludf.DUMMYFUNCTION("""COMPUTED_VALUE"""),45317.0)</f>
        <v>45317</v>
      </c>
      <c r="C10826" s="13">
        <f>IFERROR(__xludf.DUMMYFUNCTION("""COMPUTED_VALUE"""),0.041666666666666664)</f>
        <v>0.04166666667</v>
      </c>
      <c r="D10826" s="8">
        <f>IFERROR(__xludf.DUMMYFUNCTION("""COMPUTED_VALUE"""),0.105)</f>
        <v>0.105</v>
      </c>
      <c r="E10826" s="8" t="str">
        <f>IFERROR(__xludf.DUMMYFUNCTION("""COMPUTED_VALUE"""),"Real")</f>
        <v>Real</v>
      </c>
      <c r="G10826" s="8">
        <f t="shared" si="1"/>
        <v>1</v>
      </c>
      <c r="H10826" s="14">
        <f t="shared" si="2"/>
        <v>26</v>
      </c>
      <c r="I10826" s="15">
        <f t="shared" si="3"/>
        <v>1</v>
      </c>
    </row>
    <row r="10827">
      <c r="A10827" s="8" t="str">
        <f>IFERROR(__xludf.DUMMYFUNCTION("IF('(INGESTA)Datos_consumo_datadis'!A10827&lt;&gt;"""",SPLIT('(INGESTA)Datos_consumo_datadis'!A:A,"",""),"""")"),"ES0031408323131005HX0F")</f>
        <v>ES0031408323131005HX0F</v>
      </c>
      <c r="B10827" s="12">
        <f>IFERROR(__xludf.DUMMYFUNCTION("""COMPUTED_VALUE"""),45317.0)</f>
        <v>45317</v>
      </c>
      <c r="C10827" s="13">
        <f>IFERROR(__xludf.DUMMYFUNCTION("""COMPUTED_VALUE"""),0.08333333333333333)</f>
        <v>0.08333333333</v>
      </c>
      <c r="D10827" s="8">
        <f>IFERROR(__xludf.DUMMYFUNCTION("""COMPUTED_VALUE"""),0.101)</f>
        <v>0.101</v>
      </c>
      <c r="E10827" s="8" t="str">
        <f>IFERROR(__xludf.DUMMYFUNCTION("""COMPUTED_VALUE"""),"Real")</f>
        <v>Real</v>
      </c>
      <c r="G10827" s="8">
        <f t="shared" si="1"/>
        <v>1</v>
      </c>
      <c r="H10827" s="14">
        <f t="shared" si="2"/>
        <v>26</v>
      </c>
      <c r="I10827" s="15">
        <f t="shared" si="3"/>
        <v>2</v>
      </c>
    </row>
    <row r="10828">
      <c r="A10828" s="8" t="str">
        <f>IFERROR(__xludf.DUMMYFUNCTION("IF('(INGESTA)Datos_consumo_datadis'!A10828&lt;&gt;"""",SPLIT('(INGESTA)Datos_consumo_datadis'!A:A,"",""),"""")"),"ES0031408323131005HX0F")</f>
        <v>ES0031408323131005HX0F</v>
      </c>
      <c r="B10828" s="12">
        <f>IFERROR(__xludf.DUMMYFUNCTION("""COMPUTED_VALUE"""),45317.0)</f>
        <v>45317</v>
      </c>
      <c r="C10828" s="13">
        <f>IFERROR(__xludf.DUMMYFUNCTION("""COMPUTED_VALUE"""),0.125)</f>
        <v>0.125</v>
      </c>
      <c r="D10828" s="8">
        <f>IFERROR(__xludf.DUMMYFUNCTION("""COMPUTED_VALUE"""),0.292)</f>
        <v>0.292</v>
      </c>
      <c r="E10828" s="8" t="str">
        <f>IFERROR(__xludf.DUMMYFUNCTION("""COMPUTED_VALUE"""),"Real")</f>
        <v>Real</v>
      </c>
      <c r="G10828" s="8">
        <f t="shared" si="1"/>
        <v>1</v>
      </c>
      <c r="H10828" s="14">
        <f t="shared" si="2"/>
        <v>26</v>
      </c>
      <c r="I10828" s="15">
        <f t="shared" si="3"/>
        <v>3</v>
      </c>
    </row>
    <row r="10829">
      <c r="A10829" s="8" t="str">
        <f>IFERROR(__xludf.DUMMYFUNCTION("IF('(INGESTA)Datos_consumo_datadis'!A10829&lt;&gt;"""",SPLIT('(INGESTA)Datos_consumo_datadis'!A:A,"",""),"""")"),"ES0031408323131005HX0F")</f>
        <v>ES0031408323131005HX0F</v>
      </c>
      <c r="B10829" s="12">
        <f>IFERROR(__xludf.DUMMYFUNCTION("""COMPUTED_VALUE"""),45317.0)</f>
        <v>45317</v>
      </c>
      <c r="C10829" s="13">
        <f>IFERROR(__xludf.DUMMYFUNCTION("""COMPUTED_VALUE"""),0.16666666666666666)</f>
        <v>0.1666666667</v>
      </c>
      <c r="D10829" s="8">
        <f>IFERROR(__xludf.DUMMYFUNCTION("""COMPUTED_VALUE"""),0.091)</f>
        <v>0.091</v>
      </c>
      <c r="E10829" s="8" t="str">
        <f>IFERROR(__xludf.DUMMYFUNCTION("""COMPUTED_VALUE"""),"Real")</f>
        <v>Real</v>
      </c>
      <c r="G10829" s="8">
        <f t="shared" si="1"/>
        <v>1</v>
      </c>
      <c r="H10829" s="14">
        <f t="shared" si="2"/>
        <v>26</v>
      </c>
      <c r="I10829" s="15">
        <f t="shared" si="3"/>
        <v>4</v>
      </c>
    </row>
    <row r="10830">
      <c r="A10830" s="8" t="str">
        <f>IFERROR(__xludf.DUMMYFUNCTION("IF('(INGESTA)Datos_consumo_datadis'!A10830&lt;&gt;"""",SPLIT('(INGESTA)Datos_consumo_datadis'!A:A,"",""),"""")"),"ES0031408323131005HX0F")</f>
        <v>ES0031408323131005HX0F</v>
      </c>
      <c r="B10830" s="12">
        <f>IFERROR(__xludf.DUMMYFUNCTION("""COMPUTED_VALUE"""),45317.0)</f>
        <v>45317</v>
      </c>
      <c r="C10830" s="13">
        <f>IFERROR(__xludf.DUMMYFUNCTION("""COMPUTED_VALUE"""),0.20833333333333334)</f>
        <v>0.2083333333</v>
      </c>
      <c r="D10830" s="8">
        <f>IFERROR(__xludf.DUMMYFUNCTION("""COMPUTED_VALUE"""),0.093)</f>
        <v>0.093</v>
      </c>
      <c r="E10830" s="8" t="str">
        <f>IFERROR(__xludf.DUMMYFUNCTION("""COMPUTED_VALUE"""),"Real")</f>
        <v>Real</v>
      </c>
      <c r="G10830" s="8">
        <f t="shared" si="1"/>
        <v>1</v>
      </c>
      <c r="H10830" s="14">
        <f t="shared" si="2"/>
        <v>26</v>
      </c>
      <c r="I10830" s="15">
        <f t="shared" si="3"/>
        <v>5</v>
      </c>
    </row>
    <row r="10831">
      <c r="A10831" s="8" t="str">
        <f>IFERROR(__xludf.DUMMYFUNCTION("IF('(INGESTA)Datos_consumo_datadis'!A10831&lt;&gt;"""",SPLIT('(INGESTA)Datos_consumo_datadis'!A:A,"",""),"""")"),"ES0031408323131005HX0F")</f>
        <v>ES0031408323131005HX0F</v>
      </c>
      <c r="B10831" s="12">
        <f>IFERROR(__xludf.DUMMYFUNCTION("""COMPUTED_VALUE"""),45317.0)</f>
        <v>45317</v>
      </c>
      <c r="C10831" s="13">
        <f>IFERROR(__xludf.DUMMYFUNCTION("""COMPUTED_VALUE"""),0.25)</f>
        <v>0.25</v>
      </c>
      <c r="D10831" s="8">
        <f>IFERROR(__xludf.DUMMYFUNCTION("""COMPUTED_VALUE"""),0.094)</f>
        <v>0.094</v>
      </c>
      <c r="E10831" s="8" t="str">
        <f>IFERROR(__xludf.DUMMYFUNCTION("""COMPUTED_VALUE"""),"Real")</f>
        <v>Real</v>
      </c>
      <c r="G10831" s="8">
        <f t="shared" si="1"/>
        <v>1</v>
      </c>
      <c r="H10831" s="14">
        <f t="shared" si="2"/>
        <v>26</v>
      </c>
      <c r="I10831" s="15">
        <f t="shared" si="3"/>
        <v>6</v>
      </c>
    </row>
    <row r="10832">
      <c r="A10832" s="8" t="str">
        <f>IFERROR(__xludf.DUMMYFUNCTION("IF('(INGESTA)Datos_consumo_datadis'!A10832&lt;&gt;"""",SPLIT('(INGESTA)Datos_consumo_datadis'!A:A,"",""),"""")"),"ES0031408323131005HX0F")</f>
        <v>ES0031408323131005HX0F</v>
      </c>
      <c r="B10832" s="12">
        <f>IFERROR(__xludf.DUMMYFUNCTION("""COMPUTED_VALUE"""),45317.0)</f>
        <v>45317</v>
      </c>
      <c r="C10832" s="13">
        <f>IFERROR(__xludf.DUMMYFUNCTION("""COMPUTED_VALUE"""),0.2916666666666667)</f>
        <v>0.2916666667</v>
      </c>
      <c r="D10832" s="8">
        <f>IFERROR(__xludf.DUMMYFUNCTION("""COMPUTED_VALUE"""),0.404)</f>
        <v>0.404</v>
      </c>
      <c r="E10832" s="8" t="str">
        <f>IFERROR(__xludf.DUMMYFUNCTION("""COMPUTED_VALUE"""),"Real")</f>
        <v>Real</v>
      </c>
      <c r="G10832" s="8">
        <f t="shared" si="1"/>
        <v>1</v>
      </c>
      <c r="H10832" s="14">
        <f t="shared" si="2"/>
        <v>26</v>
      </c>
      <c r="I10832" s="15">
        <f t="shared" si="3"/>
        <v>7</v>
      </c>
    </row>
    <row r="10833">
      <c r="A10833" s="8" t="str">
        <f>IFERROR(__xludf.DUMMYFUNCTION("IF('(INGESTA)Datos_consumo_datadis'!A10833&lt;&gt;"""",SPLIT('(INGESTA)Datos_consumo_datadis'!A:A,"",""),"""")"),"ES0031408323131005HX0F")</f>
        <v>ES0031408323131005HX0F</v>
      </c>
      <c r="B10833" s="12">
        <f>IFERROR(__xludf.DUMMYFUNCTION("""COMPUTED_VALUE"""),45317.0)</f>
        <v>45317</v>
      </c>
      <c r="C10833" s="13">
        <f>IFERROR(__xludf.DUMMYFUNCTION("""COMPUTED_VALUE"""),0.3333333333333333)</f>
        <v>0.3333333333</v>
      </c>
      <c r="D10833" s="8">
        <f>IFERROR(__xludf.DUMMYFUNCTION("""COMPUTED_VALUE"""),0.476)</f>
        <v>0.476</v>
      </c>
      <c r="E10833" s="8" t="str">
        <f>IFERROR(__xludf.DUMMYFUNCTION("""COMPUTED_VALUE"""),"Real")</f>
        <v>Real</v>
      </c>
      <c r="G10833" s="8">
        <f t="shared" si="1"/>
        <v>1</v>
      </c>
      <c r="H10833" s="14">
        <f t="shared" si="2"/>
        <v>26</v>
      </c>
      <c r="I10833" s="15">
        <f t="shared" si="3"/>
        <v>8</v>
      </c>
    </row>
    <row r="10834">
      <c r="A10834" s="8" t="str">
        <f>IFERROR(__xludf.DUMMYFUNCTION("IF('(INGESTA)Datos_consumo_datadis'!A10834&lt;&gt;"""",SPLIT('(INGESTA)Datos_consumo_datadis'!A:A,"",""),"""")"),"ES0031408323131005HX0F")</f>
        <v>ES0031408323131005HX0F</v>
      </c>
      <c r="B10834" s="12">
        <f>IFERROR(__xludf.DUMMYFUNCTION("""COMPUTED_VALUE"""),45317.0)</f>
        <v>45317</v>
      </c>
      <c r="C10834" s="13">
        <f>IFERROR(__xludf.DUMMYFUNCTION("""COMPUTED_VALUE"""),0.375)</f>
        <v>0.375</v>
      </c>
      <c r="D10834" s="8">
        <f>IFERROR(__xludf.DUMMYFUNCTION("""COMPUTED_VALUE"""),0.054)</f>
        <v>0.054</v>
      </c>
      <c r="E10834" s="8" t="str">
        <f>IFERROR(__xludf.DUMMYFUNCTION("""COMPUTED_VALUE"""),"Real")</f>
        <v>Real</v>
      </c>
      <c r="G10834" s="8">
        <f t="shared" si="1"/>
        <v>1</v>
      </c>
      <c r="H10834" s="14">
        <f t="shared" si="2"/>
        <v>26</v>
      </c>
      <c r="I10834" s="15">
        <f t="shared" si="3"/>
        <v>9</v>
      </c>
    </row>
    <row r="10835">
      <c r="A10835" s="8" t="str">
        <f>IFERROR(__xludf.DUMMYFUNCTION("IF('(INGESTA)Datos_consumo_datadis'!A10835&lt;&gt;"""",SPLIT('(INGESTA)Datos_consumo_datadis'!A:A,"",""),"""")"),"ES0031408323131005HX0F")</f>
        <v>ES0031408323131005HX0F</v>
      </c>
      <c r="B10835" s="12">
        <f>IFERROR(__xludf.DUMMYFUNCTION("""COMPUTED_VALUE"""),45317.0)</f>
        <v>45317</v>
      </c>
      <c r="C10835" s="13">
        <f>IFERROR(__xludf.DUMMYFUNCTION("""COMPUTED_VALUE"""),0.4166666666666667)</f>
        <v>0.4166666667</v>
      </c>
      <c r="D10835" s="8">
        <f>IFERROR(__xludf.DUMMYFUNCTION("""COMPUTED_VALUE"""),0.014)</f>
        <v>0.014</v>
      </c>
      <c r="E10835" s="8" t="str">
        <f>IFERROR(__xludf.DUMMYFUNCTION("""COMPUTED_VALUE"""),"Real")</f>
        <v>Real</v>
      </c>
      <c r="G10835" s="8">
        <f t="shared" si="1"/>
        <v>1</v>
      </c>
      <c r="H10835" s="14">
        <f t="shared" si="2"/>
        <v>26</v>
      </c>
      <c r="I10835" s="15">
        <f t="shared" si="3"/>
        <v>10</v>
      </c>
    </row>
    <row r="10836">
      <c r="A10836" s="8" t="str">
        <f>IFERROR(__xludf.DUMMYFUNCTION("IF('(INGESTA)Datos_consumo_datadis'!A10836&lt;&gt;"""",SPLIT('(INGESTA)Datos_consumo_datadis'!A:A,"",""),"""")"),"ES0031408323131005HX0F")</f>
        <v>ES0031408323131005HX0F</v>
      </c>
      <c r="B10836" s="12">
        <f>IFERROR(__xludf.DUMMYFUNCTION("""COMPUTED_VALUE"""),45317.0)</f>
        <v>45317</v>
      </c>
      <c r="C10836" s="13">
        <f>IFERROR(__xludf.DUMMYFUNCTION("""COMPUTED_VALUE"""),0.4583333333333333)</f>
        <v>0.4583333333</v>
      </c>
      <c r="D10836" s="8">
        <f>IFERROR(__xludf.DUMMYFUNCTION("""COMPUTED_VALUE"""),0.103)</f>
        <v>0.103</v>
      </c>
      <c r="E10836" s="8" t="str">
        <f>IFERROR(__xludf.DUMMYFUNCTION("""COMPUTED_VALUE"""),"Real")</f>
        <v>Real</v>
      </c>
      <c r="G10836" s="8">
        <f t="shared" si="1"/>
        <v>1</v>
      </c>
      <c r="H10836" s="14">
        <f t="shared" si="2"/>
        <v>26</v>
      </c>
      <c r="I10836" s="15">
        <f t="shared" si="3"/>
        <v>11</v>
      </c>
    </row>
    <row r="10837">
      <c r="A10837" s="8" t="str">
        <f>IFERROR(__xludf.DUMMYFUNCTION("IF('(INGESTA)Datos_consumo_datadis'!A10837&lt;&gt;"""",SPLIT('(INGESTA)Datos_consumo_datadis'!A:A,"",""),"""")"),"ES0031408323131005HX0F")</f>
        <v>ES0031408323131005HX0F</v>
      </c>
      <c r="B10837" s="12">
        <f>IFERROR(__xludf.DUMMYFUNCTION("""COMPUTED_VALUE"""),45317.0)</f>
        <v>45317</v>
      </c>
      <c r="C10837" s="13">
        <f>IFERROR(__xludf.DUMMYFUNCTION("""COMPUTED_VALUE"""),0.5)</f>
        <v>0.5</v>
      </c>
      <c r="D10837" s="8">
        <f>IFERROR(__xludf.DUMMYFUNCTION("""COMPUTED_VALUE"""),0.064)</f>
        <v>0.064</v>
      </c>
      <c r="E10837" s="8" t="str">
        <f>IFERROR(__xludf.DUMMYFUNCTION("""COMPUTED_VALUE"""),"Real")</f>
        <v>Real</v>
      </c>
      <c r="G10837" s="8">
        <f t="shared" si="1"/>
        <v>1</v>
      </c>
      <c r="H10837" s="14">
        <f t="shared" si="2"/>
        <v>26</v>
      </c>
      <c r="I10837" s="15">
        <f t="shared" si="3"/>
        <v>12</v>
      </c>
    </row>
    <row r="10838">
      <c r="A10838" s="8" t="str">
        <f>IFERROR(__xludf.DUMMYFUNCTION("IF('(INGESTA)Datos_consumo_datadis'!A10838&lt;&gt;"""",SPLIT('(INGESTA)Datos_consumo_datadis'!A:A,"",""),"""")"),"ES0031408323131005HX0F")</f>
        <v>ES0031408323131005HX0F</v>
      </c>
      <c r="B10838" s="12">
        <f>IFERROR(__xludf.DUMMYFUNCTION("""COMPUTED_VALUE"""),45317.0)</f>
        <v>45317</v>
      </c>
      <c r="C10838" s="13">
        <f>IFERROR(__xludf.DUMMYFUNCTION("""COMPUTED_VALUE"""),0.5416666666666666)</f>
        <v>0.5416666667</v>
      </c>
      <c r="D10838" s="8">
        <f>IFERROR(__xludf.DUMMYFUNCTION("""COMPUTED_VALUE"""),0.045)</f>
        <v>0.045</v>
      </c>
      <c r="E10838" s="8" t="str">
        <f>IFERROR(__xludf.DUMMYFUNCTION("""COMPUTED_VALUE"""),"Real")</f>
        <v>Real</v>
      </c>
      <c r="G10838" s="8">
        <f t="shared" si="1"/>
        <v>1</v>
      </c>
      <c r="H10838" s="14">
        <f t="shared" si="2"/>
        <v>26</v>
      </c>
      <c r="I10838" s="15">
        <f t="shared" si="3"/>
        <v>13</v>
      </c>
    </row>
    <row r="10839">
      <c r="A10839" s="8" t="str">
        <f>IFERROR(__xludf.DUMMYFUNCTION("IF('(INGESTA)Datos_consumo_datadis'!A10839&lt;&gt;"""",SPLIT('(INGESTA)Datos_consumo_datadis'!A:A,"",""),"""")"),"ES0031408323131005HX0F")</f>
        <v>ES0031408323131005HX0F</v>
      </c>
      <c r="B10839" s="12">
        <f>IFERROR(__xludf.DUMMYFUNCTION("""COMPUTED_VALUE"""),45317.0)</f>
        <v>45317</v>
      </c>
      <c r="C10839" s="13">
        <f>IFERROR(__xludf.DUMMYFUNCTION("""COMPUTED_VALUE"""),0.5833333333333334)</f>
        <v>0.5833333333</v>
      </c>
      <c r="D10839" s="8">
        <f>IFERROR(__xludf.DUMMYFUNCTION("""COMPUTED_VALUE"""),0.288)</f>
        <v>0.288</v>
      </c>
      <c r="E10839" s="8" t="str">
        <f>IFERROR(__xludf.DUMMYFUNCTION("""COMPUTED_VALUE"""),"Real")</f>
        <v>Real</v>
      </c>
      <c r="G10839" s="8">
        <f t="shared" si="1"/>
        <v>1</v>
      </c>
      <c r="H10839" s="14">
        <f t="shared" si="2"/>
        <v>26</v>
      </c>
      <c r="I10839" s="15">
        <f t="shared" si="3"/>
        <v>14</v>
      </c>
    </row>
    <row r="10840">
      <c r="A10840" s="8" t="str">
        <f>IFERROR(__xludf.DUMMYFUNCTION("IF('(INGESTA)Datos_consumo_datadis'!A10840&lt;&gt;"""",SPLIT('(INGESTA)Datos_consumo_datadis'!A:A,"",""),"""")"),"ES0031408323131005HX0F")</f>
        <v>ES0031408323131005HX0F</v>
      </c>
      <c r="B10840" s="12">
        <f>IFERROR(__xludf.DUMMYFUNCTION("""COMPUTED_VALUE"""),45317.0)</f>
        <v>45317</v>
      </c>
      <c r="C10840" s="13">
        <f>IFERROR(__xludf.DUMMYFUNCTION("""COMPUTED_VALUE"""),0.625)</f>
        <v>0.625</v>
      </c>
      <c r="D10840" s="8">
        <f>IFERROR(__xludf.DUMMYFUNCTION("""COMPUTED_VALUE"""),0.291)</f>
        <v>0.291</v>
      </c>
      <c r="E10840" s="8" t="str">
        <f>IFERROR(__xludf.DUMMYFUNCTION("""COMPUTED_VALUE"""),"Real")</f>
        <v>Real</v>
      </c>
      <c r="G10840" s="8">
        <f t="shared" si="1"/>
        <v>1</v>
      </c>
      <c r="H10840" s="14">
        <f t="shared" si="2"/>
        <v>26</v>
      </c>
      <c r="I10840" s="15">
        <f t="shared" si="3"/>
        <v>15</v>
      </c>
    </row>
    <row r="10841">
      <c r="A10841" s="8" t="str">
        <f>IFERROR(__xludf.DUMMYFUNCTION("IF('(INGESTA)Datos_consumo_datadis'!A10841&lt;&gt;"""",SPLIT('(INGESTA)Datos_consumo_datadis'!A:A,"",""),"""")"),"ES0031408323131005HX0F")</f>
        <v>ES0031408323131005HX0F</v>
      </c>
      <c r="B10841" s="12">
        <f>IFERROR(__xludf.DUMMYFUNCTION("""COMPUTED_VALUE"""),45317.0)</f>
        <v>45317</v>
      </c>
      <c r="C10841" s="13">
        <f>IFERROR(__xludf.DUMMYFUNCTION("""COMPUTED_VALUE"""),0.6666666666666666)</f>
        <v>0.6666666667</v>
      </c>
      <c r="D10841" s="8">
        <f>IFERROR(__xludf.DUMMYFUNCTION("""COMPUTED_VALUE"""),1.51)</f>
        <v>1.51</v>
      </c>
      <c r="E10841" s="8" t="str">
        <f>IFERROR(__xludf.DUMMYFUNCTION("""COMPUTED_VALUE"""),"Real")</f>
        <v>Real</v>
      </c>
      <c r="G10841" s="8">
        <f t="shared" si="1"/>
        <v>1</v>
      </c>
      <c r="H10841" s="14">
        <f t="shared" si="2"/>
        <v>26</v>
      </c>
      <c r="I10841" s="15">
        <f t="shared" si="3"/>
        <v>16</v>
      </c>
    </row>
    <row r="10842">
      <c r="A10842" s="8" t="str">
        <f>IFERROR(__xludf.DUMMYFUNCTION("IF('(INGESTA)Datos_consumo_datadis'!A10842&lt;&gt;"""",SPLIT('(INGESTA)Datos_consumo_datadis'!A:A,"",""),"""")"),"ES0031408323131005HX0F")</f>
        <v>ES0031408323131005HX0F</v>
      </c>
      <c r="B10842" s="12">
        <f>IFERROR(__xludf.DUMMYFUNCTION("""COMPUTED_VALUE"""),45317.0)</f>
        <v>45317</v>
      </c>
      <c r="C10842" s="13">
        <f>IFERROR(__xludf.DUMMYFUNCTION("""COMPUTED_VALUE"""),0.7083333333333334)</f>
        <v>0.7083333333</v>
      </c>
      <c r="D10842" s="8">
        <f>IFERROR(__xludf.DUMMYFUNCTION("""COMPUTED_VALUE"""),0.032)</f>
        <v>0.032</v>
      </c>
      <c r="E10842" s="8" t="str">
        <f>IFERROR(__xludf.DUMMYFUNCTION("""COMPUTED_VALUE"""),"Real")</f>
        <v>Real</v>
      </c>
      <c r="G10842" s="8">
        <f t="shared" si="1"/>
        <v>1</v>
      </c>
      <c r="H10842" s="14">
        <f t="shared" si="2"/>
        <v>26</v>
      </c>
      <c r="I10842" s="15">
        <f t="shared" si="3"/>
        <v>17</v>
      </c>
    </row>
    <row r="10843">
      <c r="A10843" s="8" t="str">
        <f>IFERROR(__xludf.DUMMYFUNCTION("IF('(INGESTA)Datos_consumo_datadis'!A10843&lt;&gt;"""",SPLIT('(INGESTA)Datos_consumo_datadis'!A:A,"",""),"""")"),"ES0031408323131005HX0F")</f>
        <v>ES0031408323131005HX0F</v>
      </c>
      <c r="B10843" s="12">
        <f>IFERROR(__xludf.DUMMYFUNCTION("""COMPUTED_VALUE"""),45317.0)</f>
        <v>45317</v>
      </c>
      <c r="C10843" s="13">
        <f>IFERROR(__xludf.DUMMYFUNCTION("""COMPUTED_VALUE"""),0.75)</f>
        <v>0.75</v>
      </c>
      <c r="D10843" s="8">
        <f>IFERROR(__xludf.DUMMYFUNCTION("""COMPUTED_VALUE"""),0.019)</f>
        <v>0.019</v>
      </c>
      <c r="E10843" s="8" t="str">
        <f>IFERROR(__xludf.DUMMYFUNCTION("""COMPUTED_VALUE"""),"Real")</f>
        <v>Real</v>
      </c>
      <c r="G10843" s="8">
        <f t="shared" si="1"/>
        <v>1</v>
      </c>
      <c r="H10843" s="14">
        <f t="shared" si="2"/>
        <v>26</v>
      </c>
      <c r="I10843" s="15">
        <f t="shared" si="3"/>
        <v>18</v>
      </c>
    </row>
    <row r="10844">
      <c r="A10844" s="8" t="str">
        <f>IFERROR(__xludf.DUMMYFUNCTION("IF('(INGESTA)Datos_consumo_datadis'!A10844&lt;&gt;"""",SPLIT('(INGESTA)Datos_consumo_datadis'!A:A,"",""),"""")"),"ES0031408323131005HX0F")</f>
        <v>ES0031408323131005HX0F</v>
      </c>
      <c r="B10844" s="12">
        <f>IFERROR(__xludf.DUMMYFUNCTION("""COMPUTED_VALUE"""),45317.0)</f>
        <v>45317</v>
      </c>
      <c r="C10844" s="13">
        <f>IFERROR(__xludf.DUMMYFUNCTION("""COMPUTED_VALUE"""),0.7916666666666666)</f>
        <v>0.7916666667</v>
      </c>
      <c r="D10844" s="8">
        <f>IFERROR(__xludf.DUMMYFUNCTION("""COMPUTED_VALUE"""),0.493)</f>
        <v>0.493</v>
      </c>
      <c r="E10844" s="8" t="str">
        <f>IFERROR(__xludf.DUMMYFUNCTION("""COMPUTED_VALUE"""),"Real")</f>
        <v>Real</v>
      </c>
      <c r="G10844" s="8">
        <f t="shared" si="1"/>
        <v>1</v>
      </c>
      <c r="H10844" s="14">
        <f t="shared" si="2"/>
        <v>26</v>
      </c>
      <c r="I10844" s="15">
        <f t="shared" si="3"/>
        <v>19</v>
      </c>
    </row>
    <row r="10845">
      <c r="A10845" s="8" t="str">
        <f>IFERROR(__xludf.DUMMYFUNCTION("IF('(INGESTA)Datos_consumo_datadis'!A10845&lt;&gt;"""",SPLIT('(INGESTA)Datos_consumo_datadis'!A:A,"",""),"""")"),"ES0031408323131005HX0F")</f>
        <v>ES0031408323131005HX0F</v>
      </c>
      <c r="B10845" s="12">
        <f>IFERROR(__xludf.DUMMYFUNCTION("""COMPUTED_VALUE"""),45317.0)</f>
        <v>45317</v>
      </c>
      <c r="C10845" s="13">
        <f>IFERROR(__xludf.DUMMYFUNCTION("""COMPUTED_VALUE"""),0.8333333333333334)</f>
        <v>0.8333333333</v>
      </c>
      <c r="D10845" s="8">
        <f>IFERROR(__xludf.DUMMYFUNCTION("""COMPUTED_VALUE"""),0.878)</f>
        <v>0.878</v>
      </c>
      <c r="E10845" s="8" t="str">
        <f>IFERROR(__xludf.DUMMYFUNCTION("""COMPUTED_VALUE"""),"Real")</f>
        <v>Real</v>
      </c>
      <c r="G10845" s="8">
        <f t="shared" si="1"/>
        <v>1</v>
      </c>
      <c r="H10845" s="14">
        <f t="shared" si="2"/>
        <v>26</v>
      </c>
      <c r="I10845" s="15">
        <f t="shared" si="3"/>
        <v>20</v>
      </c>
    </row>
    <row r="10846">
      <c r="A10846" s="8" t="str">
        <f>IFERROR(__xludf.DUMMYFUNCTION("IF('(INGESTA)Datos_consumo_datadis'!A10846&lt;&gt;"""",SPLIT('(INGESTA)Datos_consumo_datadis'!A:A,"",""),"""")"),"ES0031408323131005HX0F")</f>
        <v>ES0031408323131005HX0F</v>
      </c>
      <c r="B10846" s="12">
        <f>IFERROR(__xludf.DUMMYFUNCTION("""COMPUTED_VALUE"""),45317.0)</f>
        <v>45317</v>
      </c>
      <c r="C10846" s="13">
        <f>IFERROR(__xludf.DUMMYFUNCTION("""COMPUTED_VALUE"""),0.875)</f>
        <v>0.875</v>
      </c>
      <c r="D10846" s="8">
        <f>IFERROR(__xludf.DUMMYFUNCTION("""COMPUTED_VALUE"""),0.117)</f>
        <v>0.117</v>
      </c>
      <c r="E10846" s="8" t="str">
        <f>IFERROR(__xludf.DUMMYFUNCTION("""COMPUTED_VALUE"""),"Real")</f>
        <v>Real</v>
      </c>
      <c r="G10846" s="8">
        <f t="shared" si="1"/>
        <v>1</v>
      </c>
      <c r="H10846" s="14">
        <f t="shared" si="2"/>
        <v>26</v>
      </c>
      <c r="I10846" s="15">
        <f t="shared" si="3"/>
        <v>21</v>
      </c>
    </row>
    <row r="10847">
      <c r="A10847" s="8" t="str">
        <f>IFERROR(__xludf.DUMMYFUNCTION("IF('(INGESTA)Datos_consumo_datadis'!A10847&lt;&gt;"""",SPLIT('(INGESTA)Datos_consumo_datadis'!A:A,"",""),"""")"),"ES0031408323131005HX0F")</f>
        <v>ES0031408323131005HX0F</v>
      </c>
      <c r="B10847" s="12">
        <f>IFERROR(__xludf.DUMMYFUNCTION("""COMPUTED_VALUE"""),45317.0)</f>
        <v>45317</v>
      </c>
      <c r="C10847" s="13">
        <f>IFERROR(__xludf.DUMMYFUNCTION("""COMPUTED_VALUE"""),0.9166666666666666)</f>
        <v>0.9166666667</v>
      </c>
      <c r="D10847" s="8">
        <f>IFERROR(__xludf.DUMMYFUNCTION("""COMPUTED_VALUE"""),2.138)</f>
        <v>2.138</v>
      </c>
      <c r="E10847" s="8" t="str">
        <f>IFERROR(__xludf.DUMMYFUNCTION("""COMPUTED_VALUE"""),"Real")</f>
        <v>Real</v>
      </c>
      <c r="G10847" s="8">
        <f t="shared" si="1"/>
        <v>1</v>
      </c>
      <c r="H10847" s="14">
        <f t="shared" si="2"/>
        <v>26</v>
      </c>
      <c r="I10847" s="15">
        <f t="shared" si="3"/>
        <v>22</v>
      </c>
    </row>
    <row r="10848">
      <c r="A10848" s="8" t="str">
        <f>IFERROR(__xludf.DUMMYFUNCTION("IF('(INGESTA)Datos_consumo_datadis'!A10848&lt;&gt;"""",SPLIT('(INGESTA)Datos_consumo_datadis'!A:A,"",""),"""")"),"ES0031408323131005HX0F")</f>
        <v>ES0031408323131005HX0F</v>
      </c>
      <c r="B10848" s="12">
        <f>IFERROR(__xludf.DUMMYFUNCTION("""COMPUTED_VALUE"""),45317.0)</f>
        <v>45317</v>
      </c>
      <c r="C10848" s="13">
        <f>IFERROR(__xludf.DUMMYFUNCTION("""COMPUTED_VALUE"""),0.9583333333333334)</f>
        <v>0.9583333333</v>
      </c>
      <c r="D10848" s="8">
        <f>IFERROR(__xludf.DUMMYFUNCTION("""COMPUTED_VALUE"""),0.086)</f>
        <v>0.086</v>
      </c>
      <c r="E10848" s="8" t="str">
        <f>IFERROR(__xludf.DUMMYFUNCTION("""COMPUTED_VALUE"""),"Real")</f>
        <v>Real</v>
      </c>
      <c r="G10848" s="8">
        <f t="shared" si="1"/>
        <v>1</v>
      </c>
      <c r="H10848" s="14">
        <f t="shared" si="2"/>
        <v>26</v>
      </c>
      <c r="I10848" s="15">
        <f t="shared" si="3"/>
        <v>23</v>
      </c>
    </row>
    <row r="10849">
      <c r="A10849" s="8" t="str">
        <f>IFERROR(__xludf.DUMMYFUNCTION("IF('(INGESTA)Datos_consumo_datadis'!A10849&lt;&gt;"""",SPLIT('(INGESTA)Datos_consumo_datadis'!A:A,"",""),"""")"),"ES0031408323131005HX0F")</f>
        <v>ES0031408323131005HX0F</v>
      </c>
      <c r="B10849" s="12">
        <f>IFERROR(__xludf.DUMMYFUNCTION("""COMPUTED_VALUE"""),45317.0)</f>
        <v>45317</v>
      </c>
      <c r="C10849" s="16">
        <f>IFERROR(__xludf.DUMMYFUNCTION("""COMPUTED_VALUE"""),1.0)</f>
        <v>1</v>
      </c>
      <c r="D10849" s="8">
        <f>IFERROR(__xludf.DUMMYFUNCTION("""COMPUTED_VALUE"""),0.059)</f>
        <v>0.059</v>
      </c>
      <c r="E10849" s="8" t="str">
        <f>IFERROR(__xludf.DUMMYFUNCTION("""COMPUTED_VALUE"""),"Real")</f>
        <v>Real</v>
      </c>
      <c r="G10849" s="8">
        <f t="shared" si="1"/>
        <v>1</v>
      </c>
      <c r="H10849" s="14">
        <f t="shared" si="2"/>
        <v>26</v>
      </c>
      <c r="I10849" s="15">
        <f t="shared" si="3"/>
        <v>0</v>
      </c>
    </row>
    <row r="10850">
      <c r="A10850" s="8" t="str">
        <f>IFERROR(__xludf.DUMMYFUNCTION("IF('(INGESTA)Datos_consumo_datadis'!A10850&lt;&gt;"""",SPLIT('(INGESTA)Datos_consumo_datadis'!A:A,"",""),"""")"),"ES0031408323131005HX0F")</f>
        <v>ES0031408323131005HX0F</v>
      </c>
      <c r="B10850" s="12">
        <f>IFERROR(__xludf.DUMMYFUNCTION("""COMPUTED_VALUE"""),45318.0)</f>
        <v>45318</v>
      </c>
      <c r="C10850" s="13">
        <f>IFERROR(__xludf.DUMMYFUNCTION("""COMPUTED_VALUE"""),0.041666666666666664)</f>
        <v>0.04166666667</v>
      </c>
      <c r="D10850" s="8">
        <f>IFERROR(__xludf.DUMMYFUNCTION("""COMPUTED_VALUE"""),0.013)</f>
        <v>0.013</v>
      </c>
      <c r="E10850" s="8" t="str">
        <f>IFERROR(__xludf.DUMMYFUNCTION("""COMPUTED_VALUE"""),"Real")</f>
        <v>Real</v>
      </c>
      <c r="G10850" s="8">
        <f t="shared" si="1"/>
        <v>1</v>
      </c>
      <c r="H10850" s="14">
        <f t="shared" si="2"/>
        <v>27</v>
      </c>
      <c r="I10850" s="15">
        <f t="shared" si="3"/>
        <v>1</v>
      </c>
    </row>
    <row r="10851">
      <c r="A10851" s="8" t="str">
        <f>IFERROR(__xludf.DUMMYFUNCTION("IF('(INGESTA)Datos_consumo_datadis'!A10851&lt;&gt;"""",SPLIT('(INGESTA)Datos_consumo_datadis'!A:A,"",""),"""")"),"ES0031408323131005HX0F")</f>
        <v>ES0031408323131005HX0F</v>
      </c>
      <c r="B10851" s="12">
        <f>IFERROR(__xludf.DUMMYFUNCTION("""COMPUTED_VALUE"""),45318.0)</f>
        <v>45318</v>
      </c>
      <c r="C10851" s="13">
        <f>IFERROR(__xludf.DUMMYFUNCTION("""COMPUTED_VALUE"""),0.08333333333333333)</f>
        <v>0.08333333333</v>
      </c>
      <c r="D10851" s="8">
        <f>IFERROR(__xludf.DUMMYFUNCTION("""COMPUTED_VALUE"""),0.067)</f>
        <v>0.067</v>
      </c>
      <c r="E10851" s="8" t="str">
        <f>IFERROR(__xludf.DUMMYFUNCTION("""COMPUTED_VALUE"""),"Real")</f>
        <v>Real</v>
      </c>
      <c r="G10851" s="8">
        <f t="shared" si="1"/>
        <v>1</v>
      </c>
      <c r="H10851" s="14">
        <f t="shared" si="2"/>
        <v>27</v>
      </c>
      <c r="I10851" s="15">
        <f t="shared" si="3"/>
        <v>2</v>
      </c>
    </row>
    <row r="10852">
      <c r="A10852" s="8" t="str">
        <f>IFERROR(__xludf.DUMMYFUNCTION("IF('(INGESTA)Datos_consumo_datadis'!A10852&lt;&gt;"""",SPLIT('(INGESTA)Datos_consumo_datadis'!A:A,"",""),"""")"),"ES0031408323131005HX0F")</f>
        <v>ES0031408323131005HX0F</v>
      </c>
      <c r="B10852" s="12">
        <f>IFERROR(__xludf.DUMMYFUNCTION("""COMPUTED_VALUE"""),45318.0)</f>
        <v>45318</v>
      </c>
      <c r="C10852" s="13">
        <f>IFERROR(__xludf.DUMMYFUNCTION("""COMPUTED_VALUE"""),0.125)</f>
        <v>0.125</v>
      </c>
      <c r="D10852" s="8">
        <f>IFERROR(__xludf.DUMMYFUNCTION("""COMPUTED_VALUE"""),0.054)</f>
        <v>0.054</v>
      </c>
      <c r="E10852" s="8" t="str">
        <f>IFERROR(__xludf.DUMMYFUNCTION("""COMPUTED_VALUE"""),"Real")</f>
        <v>Real</v>
      </c>
      <c r="G10852" s="8">
        <f t="shared" si="1"/>
        <v>1</v>
      </c>
      <c r="H10852" s="14">
        <f t="shared" si="2"/>
        <v>27</v>
      </c>
      <c r="I10852" s="15">
        <f t="shared" si="3"/>
        <v>3</v>
      </c>
    </row>
    <row r="10853">
      <c r="A10853" s="8" t="str">
        <f>IFERROR(__xludf.DUMMYFUNCTION("IF('(INGESTA)Datos_consumo_datadis'!A10853&lt;&gt;"""",SPLIT('(INGESTA)Datos_consumo_datadis'!A:A,"",""),"""")"),"ES0031408323131005HX0F")</f>
        <v>ES0031408323131005HX0F</v>
      </c>
      <c r="B10853" s="12">
        <f>IFERROR(__xludf.DUMMYFUNCTION("""COMPUTED_VALUE"""),45318.0)</f>
        <v>45318</v>
      </c>
      <c r="C10853" s="13">
        <f>IFERROR(__xludf.DUMMYFUNCTION("""COMPUTED_VALUE"""),0.16666666666666666)</f>
        <v>0.1666666667</v>
      </c>
      <c r="D10853" s="8">
        <f>IFERROR(__xludf.DUMMYFUNCTION("""COMPUTED_VALUE"""),0.043)</f>
        <v>0.043</v>
      </c>
      <c r="E10853" s="8" t="str">
        <f>IFERROR(__xludf.DUMMYFUNCTION("""COMPUTED_VALUE"""),"Real")</f>
        <v>Real</v>
      </c>
      <c r="G10853" s="8">
        <f t="shared" si="1"/>
        <v>1</v>
      </c>
      <c r="H10853" s="14">
        <f t="shared" si="2"/>
        <v>27</v>
      </c>
      <c r="I10853" s="15">
        <f t="shared" si="3"/>
        <v>4</v>
      </c>
    </row>
    <row r="10854">
      <c r="A10854" s="8" t="str">
        <f>IFERROR(__xludf.DUMMYFUNCTION("IF('(INGESTA)Datos_consumo_datadis'!A10854&lt;&gt;"""",SPLIT('(INGESTA)Datos_consumo_datadis'!A:A,"",""),"""")"),"ES0031408323131005HX0F")</f>
        <v>ES0031408323131005HX0F</v>
      </c>
      <c r="B10854" s="12">
        <f>IFERROR(__xludf.DUMMYFUNCTION("""COMPUTED_VALUE"""),45318.0)</f>
        <v>45318</v>
      </c>
      <c r="C10854" s="13">
        <f>IFERROR(__xludf.DUMMYFUNCTION("""COMPUTED_VALUE"""),0.20833333333333334)</f>
        <v>0.2083333333</v>
      </c>
      <c r="D10854" s="8">
        <f>IFERROR(__xludf.DUMMYFUNCTION("""COMPUTED_VALUE"""),0.294)</f>
        <v>0.294</v>
      </c>
      <c r="E10854" s="8" t="str">
        <f>IFERROR(__xludf.DUMMYFUNCTION("""COMPUTED_VALUE"""),"Real")</f>
        <v>Real</v>
      </c>
      <c r="G10854" s="8">
        <f t="shared" si="1"/>
        <v>1</v>
      </c>
      <c r="H10854" s="14">
        <f t="shared" si="2"/>
        <v>27</v>
      </c>
      <c r="I10854" s="15">
        <f t="shared" si="3"/>
        <v>5</v>
      </c>
    </row>
    <row r="10855">
      <c r="A10855" s="8" t="str">
        <f>IFERROR(__xludf.DUMMYFUNCTION("IF('(INGESTA)Datos_consumo_datadis'!A10855&lt;&gt;"""",SPLIT('(INGESTA)Datos_consumo_datadis'!A:A,"",""),"""")"),"ES0031408323131005HX0F")</f>
        <v>ES0031408323131005HX0F</v>
      </c>
      <c r="B10855" s="12">
        <f>IFERROR(__xludf.DUMMYFUNCTION("""COMPUTED_VALUE"""),45318.0)</f>
        <v>45318</v>
      </c>
      <c r="C10855" s="13">
        <f>IFERROR(__xludf.DUMMYFUNCTION("""COMPUTED_VALUE"""),0.25)</f>
        <v>0.25</v>
      </c>
      <c r="D10855" s="8">
        <f>IFERROR(__xludf.DUMMYFUNCTION("""COMPUTED_VALUE"""),0.088)</f>
        <v>0.088</v>
      </c>
      <c r="E10855" s="8" t="str">
        <f>IFERROR(__xludf.DUMMYFUNCTION("""COMPUTED_VALUE"""),"Real")</f>
        <v>Real</v>
      </c>
      <c r="G10855" s="8">
        <f t="shared" si="1"/>
        <v>1</v>
      </c>
      <c r="H10855" s="14">
        <f t="shared" si="2"/>
        <v>27</v>
      </c>
      <c r="I10855" s="15">
        <f t="shared" si="3"/>
        <v>6</v>
      </c>
    </row>
    <row r="10856">
      <c r="A10856" s="8" t="str">
        <f>IFERROR(__xludf.DUMMYFUNCTION("IF('(INGESTA)Datos_consumo_datadis'!A10856&lt;&gt;"""",SPLIT('(INGESTA)Datos_consumo_datadis'!A:A,"",""),"""")"),"ES0031408323131005HX0F")</f>
        <v>ES0031408323131005HX0F</v>
      </c>
      <c r="B10856" s="12">
        <f>IFERROR(__xludf.DUMMYFUNCTION("""COMPUTED_VALUE"""),45318.0)</f>
        <v>45318</v>
      </c>
      <c r="C10856" s="13">
        <f>IFERROR(__xludf.DUMMYFUNCTION("""COMPUTED_VALUE"""),0.2916666666666667)</f>
        <v>0.2916666667</v>
      </c>
      <c r="D10856" s="8">
        <f>IFERROR(__xludf.DUMMYFUNCTION("""COMPUTED_VALUE"""),0.449)</f>
        <v>0.449</v>
      </c>
      <c r="E10856" s="8" t="str">
        <f>IFERROR(__xludf.DUMMYFUNCTION("""COMPUTED_VALUE"""),"Real")</f>
        <v>Real</v>
      </c>
      <c r="G10856" s="8">
        <f t="shared" si="1"/>
        <v>1</v>
      </c>
      <c r="H10856" s="14">
        <f t="shared" si="2"/>
        <v>27</v>
      </c>
      <c r="I10856" s="15">
        <f t="shared" si="3"/>
        <v>7</v>
      </c>
    </row>
    <row r="10857">
      <c r="A10857" s="8" t="str">
        <f>IFERROR(__xludf.DUMMYFUNCTION("IF('(INGESTA)Datos_consumo_datadis'!A10857&lt;&gt;"""",SPLIT('(INGESTA)Datos_consumo_datadis'!A:A,"",""),"""")"),"ES0031408323131005HX0F")</f>
        <v>ES0031408323131005HX0F</v>
      </c>
      <c r="B10857" s="12">
        <f>IFERROR(__xludf.DUMMYFUNCTION("""COMPUTED_VALUE"""),45318.0)</f>
        <v>45318</v>
      </c>
      <c r="C10857" s="13">
        <f>IFERROR(__xludf.DUMMYFUNCTION("""COMPUTED_VALUE"""),0.3333333333333333)</f>
        <v>0.3333333333</v>
      </c>
      <c r="D10857" s="8">
        <f>IFERROR(__xludf.DUMMYFUNCTION("""COMPUTED_VALUE"""),2.192)</f>
        <v>2.192</v>
      </c>
      <c r="E10857" s="8" t="str">
        <f>IFERROR(__xludf.DUMMYFUNCTION("""COMPUTED_VALUE"""),"Real")</f>
        <v>Real</v>
      </c>
      <c r="G10857" s="8">
        <f t="shared" si="1"/>
        <v>1</v>
      </c>
      <c r="H10857" s="14">
        <f t="shared" si="2"/>
        <v>27</v>
      </c>
      <c r="I10857" s="15">
        <f t="shared" si="3"/>
        <v>8</v>
      </c>
    </row>
    <row r="10858">
      <c r="A10858" s="8" t="str">
        <f>IFERROR(__xludf.DUMMYFUNCTION("IF('(INGESTA)Datos_consumo_datadis'!A10858&lt;&gt;"""",SPLIT('(INGESTA)Datos_consumo_datadis'!A:A,"",""),"""")"),"ES0031408323131005HX0F")</f>
        <v>ES0031408323131005HX0F</v>
      </c>
      <c r="B10858" s="12">
        <f>IFERROR(__xludf.DUMMYFUNCTION("""COMPUTED_VALUE"""),45318.0)</f>
        <v>45318</v>
      </c>
      <c r="C10858" s="13">
        <f>IFERROR(__xludf.DUMMYFUNCTION("""COMPUTED_VALUE"""),0.375)</f>
        <v>0.375</v>
      </c>
      <c r="D10858" s="8">
        <f>IFERROR(__xludf.DUMMYFUNCTION("""COMPUTED_VALUE"""),1.933)</f>
        <v>1.933</v>
      </c>
      <c r="E10858" s="8" t="str">
        <f>IFERROR(__xludf.DUMMYFUNCTION("""COMPUTED_VALUE"""),"Real")</f>
        <v>Real</v>
      </c>
      <c r="G10858" s="8">
        <f t="shared" si="1"/>
        <v>1</v>
      </c>
      <c r="H10858" s="14">
        <f t="shared" si="2"/>
        <v>27</v>
      </c>
      <c r="I10858" s="15">
        <f t="shared" si="3"/>
        <v>9</v>
      </c>
    </row>
    <row r="10859">
      <c r="A10859" s="8" t="str">
        <f>IFERROR(__xludf.DUMMYFUNCTION("IF('(INGESTA)Datos_consumo_datadis'!A10859&lt;&gt;"""",SPLIT('(INGESTA)Datos_consumo_datadis'!A:A,"",""),"""")"),"ES0031408323131005HX0F")</f>
        <v>ES0031408323131005HX0F</v>
      </c>
      <c r="B10859" s="12">
        <f>IFERROR(__xludf.DUMMYFUNCTION("""COMPUTED_VALUE"""),45318.0)</f>
        <v>45318</v>
      </c>
      <c r="C10859" s="13">
        <f>IFERROR(__xludf.DUMMYFUNCTION("""COMPUTED_VALUE"""),0.4166666666666667)</f>
        <v>0.4166666667</v>
      </c>
      <c r="D10859" s="8">
        <f>IFERROR(__xludf.DUMMYFUNCTION("""COMPUTED_VALUE"""),1.616)</f>
        <v>1.616</v>
      </c>
      <c r="E10859" s="8" t="str">
        <f>IFERROR(__xludf.DUMMYFUNCTION("""COMPUTED_VALUE"""),"Real")</f>
        <v>Real</v>
      </c>
      <c r="G10859" s="8">
        <f t="shared" si="1"/>
        <v>1</v>
      </c>
      <c r="H10859" s="14">
        <f t="shared" si="2"/>
        <v>27</v>
      </c>
      <c r="I10859" s="15">
        <f t="shared" si="3"/>
        <v>10</v>
      </c>
    </row>
    <row r="10860">
      <c r="A10860" s="8" t="str">
        <f>IFERROR(__xludf.DUMMYFUNCTION("IF('(INGESTA)Datos_consumo_datadis'!A10860&lt;&gt;"""",SPLIT('(INGESTA)Datos_consumo_datadis'!A:A,"",""),"""")"),"ES0031408323131005HX0F")</f>
        <v>ES0031408323131005HX0F</v>
      </c>
      <c r="B10860" s="12">
        <f>IFERROR(__xludf.DUMMYFUNCTION("""COMPUTED_VALUE"""),45318.0)</f>
        <v>45318</v>
      </c>
      <c r="C10860" s="13">
        <f>IFERROR(__xludf.DUMMYFUNCTION("""COMPUTED_VALUE"""),0.4583333333333333)</f>
        <v>0.4583333333</v>
      </c>
      <c r="D10860" s="8">
        <f>IFERROR(__xludf.DUMMYFUNCTION("""COMPUTED_VALUE"""),0.759)</f>
        <v>0.759</v>
      </c>
      <c r="E10860" s="8" t="str">
        <f>IFERROR(__xludf.DUMMYFUNCTION("""COMPUTED_VALUE"""),"Real")</f>
        <v>Real</v>
      </c>
      <c r="G10860" s="8">
        <f t="shared" si="1"/>
        <v>1</v>
      </c>
      <c r="H10860" s="14">
        <f t="shared" si="2"/>
        <v>27</v>
      </c>
      <c r="I10860" s="15">
        <f t="shared" si="3"/>
        <v>11</v>
      </c>
    </row>
    <row r="10861">
      <c r="A10861" s="8" t="str">
        <f>IFERROR(__xludf.DUMMYFUNCTION("IF('(INGESTA)Datos_consumo_datadis'!A10861&lt;&gt;"""",SPLIT('(INGESTA)Datos_consumo_datadis'!A:A,"",""),"""")"),"ES0031408323131005HX0F")</f>
        <v>ES0031408323131005HX0F</v>
      </c>
      <c r="B10861" s="12">
        <f>IFERROR(__xludf.DUMMYFUNCTION("""COMPUTED_VALUE"""),45318.0)</f>
        <v>45318</v>
      </c>
      <c r="C10861" s="13">
        <f>IFERROR(__xludf.DUMMYFUNCTION("""COMPUTED_VALUE"""),0.5)</f>
        <v>0.5</v>
      </c>
      <c r="D10861" s="8">
        <f>IFERROR(__xludf.DUMMYFUNCTION("""COMPUTED_VALUE"""),0.61)</f>
        <v>0.61</v>
      </c>
      <c r="E10861" s="8" t="str">
        <f>IFERROR(__xludf.DUMMYFUNCTION("""COMPUTED_VALUE"""),"Real")</f>
        <v>Real</v>
      </c>
      <c r="G10861" s="8">
        <f t="shared" si="1"/>
        <v>1</v>
      </c>
      <c r="H10861" s="14">
        <f t="shared" si="2"/>
        <v>27</v>
      </c>
      <c r="I10861" s="15">
        <f t="shared" si="3"/>
        <v>12</v>
      </c>
    </row>
    <row r="10862">
      <c r="A10862" s="8" t="str">
        <f>IFERROR(__xludf.DUMMYFUNCTION("IF('(INGESTA)Datos_consumo_datadis'!A10862&lt;&gt;"""",SPLIT('(INGESTA)Datos_consumo_datadis'!A:A,"",""),"""")"),"ES0031408323131005HX0F")</f>
        <v>ES0031408323131005HX0F</v>
      </c>
      <c r="B10862" s="12">
        <f>IFERROR(__xludf.DUMMYFUNCTION("""COMPUTED_VALUE"""),45318.0)</f>
        <v>45318</v>
      </c>
      <c r="C10862" s="13">
        <f>IFERROR(__xludf.DUMMYFUNCTION("""COMPUTED_VALUE"""),0.5416666666666666)</f>
        <v>0.5416666667</v>
      </c>
      <c r="D10862" s="8">
        <f>IFERROR(__xludf.DUMMYFUNCTION("""COMPUTED_VALUE"""),0.013)</f>
        <v>0.013</v>
      </c>
      <c r="E10862" s="8" t="str">
        <f>IFERROR(__xludf.DUMMYFUNCTION("""COMPUTED_VALUE"""),"Real")</f>
        <v>Real</v>
      </c>
      <c r="G10862" s="8">
        <f t="shared" si="1"/>
        <v>1</v>
      </c>
      <c r="H10862" s="14">
        <f t="shared" si="2"/>
        <v>27</v>
      </c>
      <c r="I10862" s="15">
        <f t="shared" si="3"/>
        <v>13</v>
      </c>
    </row>
    <row r="10863">
      <c r="A10863" s="8" t="str">
        <f>IFERROR(__xludf.DUMMYFUNCTION("IF('(INGESTA)Datos_consumo_datadis'!A10863&lt;&gt;"""",SPLIT('(INGESTA)Datos_consumo_datadis'!A:A,"",""),"""")"),"ES0031408323131005HX0F")</f>
        <v>ES0031408323131005HX0F</v>
      </c>
      <c r="B10863" s="12">
        <f>IFERROR(__xludf.DUMMYFUNCTION("""COMPUTED_VALUE"""),45318.0)</f>
        <v>45318</v>
      </c>
      <c r="C10863" s="13">
        <f>IFERROR(__xludf.DUMMYFUNCTION("""COMPUTED_VALUE"""),0.5833333333333334)</f>
        <v>0.5833333333</v>
      </c>
      <c r="D10863" s="8">
        <f>IFERROR(__xludf.DUMMYFUNCTION("""COMPUTED_VALUE"""),0.597)</f>
        <v>0.597</v>
      </c>
      <c r="E10863" s="8" t="str">
        <f>IFERROR(__xludf.DUMMYFUNCTION("""COMPUTED_VALUE"""),"Real")</f>
        <v>Real</v>
      </c>
      <c r="G10863" s="8">
        <f t="shared" si="1"/>
        <v>1</v>
      </c>
      <c r="H10863" s="14">
        <f t="shared" si="2"/>
        <v>27</v>
      </c>
      <c r="I10863" s="15">
        <f t="shared" si="3"/>
        <v>14</v>
      </c>
    </row>
    <row r="10864">
      <c r="A10864" s="8" t="str">
        <f>IFERROR(__xludf.DUMMYFUNCTION("IF('(INGESTA)Datos_consumo_datadis'!A10864&lt;&gt;"""",SPLIT('(INGESTA)Datos_consumo_datadis'!A:A,"",""),"""")"),"ES0031408323131005HX0F")</f>
        <v>ES0031408323131005HX0F</v>
      </c>
      <c r="B10864" s="12">
        <f>IFERROR(__xludf.DUMMYFUNCTION("""COMPUTED_VALUE"""),45318.0)</f>
        <v>45318</v>
      </c>
      <c r="C10864" s="13">
        <f>IFERROR(__xludf.DUMMYFUNCTION("""COMPUTED_VALUE"""),0.625)</f>
        <v>0.625</v>
      </c>
      <c r="D10864" s="8">
        <f>IFERROR(__xludf.DUMMYFUNCTION("""COMPUTED_VALUE"""),0.193)</f>
        <v>0.193</v>
      </c>
      <c r="E10864" s="8" t="str">
        <f>IFERROR(__xludf.DUMMYFUNCTION("""COMPUTED_VALUE"""),"Real")</f>
        <v>Real</v>
      </c>
      <c r="G10864" s="8">
        <f t="shared" si="1"/>
        <v>1</v>
      </c>
      <c r="H10864" s="14">
        <f t="shared" si="2"/>
        <v>27</v>
      </c>
      <c r="I10864" s="15">
        <f t="shared" si="3"/>
        <v>15</v>
      </c>
    </row>
    <row r="10865">
      <c r="A10865" s="8" t="str">
        <f>IFERROR(__xludf.DUMMYFUNCTION("IF('(INGESTA)Datos_consumo_datadis'!A10865&lt;&gt;"""",SPLIT('(INGESTA)Datos_consumo_datadis'!A:A,"",""),"""")"),"ES0031408323131005HX0F")</f>
        <v>ES0031408323131005HX0F</v>
      </c>
      <c r="B10865" s="12">
        <f>IFERROR(__xludf.DUMMYFUNCTION("""COMPUTED_VALUE"""),45318.0)</f>
        <v>45318</v>
      </c>
      <c r="C10865" s="13">
        <f>IFERROR(__xludf.DUMMYFUNCTION("""COMPUTED_VALUE"""),0.6666666666666666)</f>
        <v>0.6666666667</v>
      </c>
      <c r="D10865" s="8">
        <f>IFERROR(__xludf.DUMMYFUNCTION("""COMPUTED_VALUE"""),0.281)</f>
        <v>0.281</v>
      </c>
      <c r="E10865" s="8" t="str">
        <f>IFERROR(__xludf.DUMMYFUNCTION("""COMPUTED_VALUE"""),"Real")</f>
        <v>Real</v>
      </c>
      <c r="G10865" s="8">
        <f t="shared" si="1"/>
        <v>1</v>
      </c>
      <c r="H10865" s="14">
        <f t="shared" si="2"/>
        <v>27</v>
      </c>
      <c r="I10865" s="15">
        <f t="shared" si="3"/>
        <v>16</v>
      </c>
    </row>
    <row r="10866">
      <c r="A10866" s="8" t="str">
        <f>IFERROR(__xludf.DUMMYFUNCTION("IF('(INGESTA)Datos_consumo_datadis'!A10866&lt;&gt;"""",SPLIT('(INGESTA)Datos_consumo_datadis'!A:A,"",""),"""")"),"ES0031408323131005HX0F")</f>
        <v>ES0031408323131005HX0F</v>
      </c>
      <c r="B10866" s="12">
        <f>IFERROR(__xludf.DUMMYFUNCTION("""COMPUTED_VALUE"""),45318.0)</f>
        <v>45318</v>
      </c>
      <c r="C10866" s="13">
        <f>IFERROR(__xludf.DUMMYFUNCTION("""COMPUTED_VALUE"""),0.7083333333333334)</f>
        <v>0.7083333333</v>
      </c>
      <c r="D10866" s="8">
        <f>IFERROR(__xludf.DUMMYFUNCTION("""COMPUTED_VALUE"""),0.847)</f>
        <v>0.847</v>
      </c>
      <c r="E10866" s="8" t="str">
        <f>IFERROR(__xludf.DUMMYFUNCTION("""COMPUTED_VALUE"""),"Real")</f>
        <v>Real</v>
      </c>
      <c r="G10866" s="8">
        <f t="shared" si="1"/>
        <v>1</v>
      </c>
      <c r="H10866" s="14">
        <f t="shared" si="2"/>
        <v>27</v>
      </c>
      <c r="I10866" s="15">
        <f t="shared" si="3"/>
        <v>17</v>
      </c>
    </row>
    <row r="10867">
      <c r="A10867" s="8" t="str">
        <f>IFERROR(__xludf.DUMMYFUNCTION("IF('(INGESTA)Datos_consumo_datadis'!A10867&lt;&gt;"""",SPLIT('(INGESTA)Datos_consumo_datadis'!A:A,"",""),"""")"),"ES0031408323131005HX0F")</f>
        <v>ES0031408323131005HX0F</v>
      </c>
      <c r="B10867" s="12">
        <f>IFERROR(__xludf.DUMMYFUNCTION("""COMPUTED_VALUE"""),45318.0)</f>
        <v>45318</v>
      </c>
      <c r="C10867" s="13">
        <f>IFERROR(__xludf.DUMMYFUNCTION("""COMPUTED_VALUE"""),0.75)</f>
        <v>0.75</v>
      </c>
      <c r="D10867" s="8">
        <f>IFERROR(__xludf.DUMMYFUNCTION("""COMPUTED_VALUE"""),1.324)</f>
        <v>1.324</v>
      </c>
      <c r="E10867" s="8" t="str">
        <f>IFERROR(__xludf.DUMMYFUNCTION("""COMPUTED_VALUE"""),"Real")</f>
        <v>Real</v>
      </c>
      <c r="G10867" s="8">
        <f t="shared" si="1"/>
        <v>1</v>
      </c>
      <c r="H10867" s="14">
        <f t="shared" si="2"/>
        <v>27</v>
      </c>
      <c r="I10867" s="15">
        <f t="shared" si="3"/>
        <v>18</v>
      </c>
    </row>
    <row r="10868">
      <c r="A10868" s="8" t="str">
        <f>IFERROR(__xludf.DUMMYFUNCTION("IF('(INGESTA)Datos_consumo_datadis'!A10868&lt;&gt;"""",SPLIT('(INGESTA)Datos_consumo_datadis'!A:A,"",""),"""")"),"ES0031408323131005HX0F")</f>
        <v>ES0031408323131005HX0F</v>
      </c>
      <c r="B10868" s="12">
        <f>IFERROR(__xludf.DUMMYFUNCTION("""COMPUTED_VALUE"""),45318.0)</f>
        <v>45318</v>
      </c>
      <c r="C10868" s="13">
        <f>IFERROR(__xludf.DUMMYFUNCTION("""COMPUTED_VALUE"""),0.7916666666666666)</f>
        <v>0.7916666667</v>
      </c>
      <c r="D10868" s="8">
        <f>IFERROR(__xludf.DUMMYFUNCTION("""COMPUTED_VALUE"""),0.499)</f>
        <v>0.499</v>
      </c>
      <c r="E10868" s="8" t="str">
        <f>IFERROR(__xludf.DUMMYFUNCTION("""COMPUTED_VALUE"""),"Real")</f>
        <v>Real</v>
      </c>
      <c r="G10868" s="8">
        <f t="shared" si="1"/>
        <v>1</v>
      </c>
      <c r="H10868" s="14">
        <f t="shared" si="2"/>
        <v>27</v>
      </c>
      <c r="I10868" s="15">
        <f t="shared" si="3"/>
        <v>19</v>
      </c>
    </row>
    <row r="10869">
      <c r="A10869" s="8" t="str">
        <f>IFERROR(__xludf.DUMMYFUNCTION("IF('(INGESTA)Datos_consumo_datadis'!A10869&lt;&gt;"""",SPLIT('(INGESTA)Datos_consumo_datadis'!A:A,"",""),"""")"),"ES0031408323131005HX0F")</f>
        <v>ES0031408323131005HX0F</v>
      </c>
      <c r="B10869" s="12">
        <f>IFERROR(__xludf.DUMMYFUNCTION("""COMPUTED_VALUE"""),45318.0)</f>
        <v>45318</v>
      </c>
      <c r="C10869" s="13">
        <f>IFERROR(__xludf.DUMMYFUNCTION("""COMPUTED_VALUE"""),0.8333333333333334)</f>
        <v>0.8333333333</v>
      </c>
      <c r="D10869" s="8">
        <f>IFERROR(__xludf.DUMMYFUNCTION("""COMPUTED_VALUE"""),0.244)</f>
        <v>0.244</v>
      </c>
      <c r="E10869" s="8" t="str">
        <f>IFERROR(__xludf.DUMMYFUNCTION("""COMPUTED_VALUE"""),"Real")</f>
        <v>Real</v>
      </c>
      <c r="G10869" s="8">
        <f t="shared" si="1"/>
        <v>1</v>
      </c>
      <c r="H10869" s="14">
        <f t="shared" si="2"/>
        <v>27</v>
      </c>
      <c r="I10869" s="15">
        <f t="shared" si="3"/>
        <v>20</v>
      </c>
    </row>
    <row r="10870">
      <c r="A10870" s="8" t="str">
        <f>IFERROR(__xludf.DUMMYFUNCTION("IF('(INGESTA)Datos_consumo_datadis'!A10870&lt;&gt;"""",SPLIT('(INGESTA)Datos_consumo_datadis'!A:A,"",""),"""")"),"ES0031408323131005HX0F")</f>
        <v>ES0031408323131005HX0F</v>
      </c>
      <c r="B10870" s="12">
        <f>IFERROR(__xludf.DUMMYFUNCTION("""COMPUTED_VALUE"""),45318.0)</f>
        <v>45318</v>
      </c>
      <c r="C10870" s="13">
        <f>IFERROR(__xludf.DUMMYFUNCTION("""COMPUTED_VALUE"""),0.875)</f>
        <v>0.875</v>
      </c>
      <c r="D10870" s="8">
        <f>IFERROR(__xludf.DUMMYFUNCTION("""COMPUTED_VALUE"""),1.579)</f>
        <v>1.579</v>
      </c>
      <c r="E10870" s="8" t="str">
        <f>IFERROR(__xludf.DUMMYFUNCTION("""COMPUTED_VALUE"""),"Real")</f>
        <v>Real</v>
      </c>
      <c r="G10870" s="8">
        <f t="shared" si="1"/>
        <v>1</v>
      </c>
      <c r="H10870" s="14">
        <f t="shared" si="2"/>
        <v>27</v>
      </c>
      <c r="I10870" s="15">
        <f t="shared" si="3"/>
        <v>21</v>
      </c>
    </row>
    <row r="10871">
      <c r="A10871" s="8" t="str">
        <f>IFERROR(__xludf.DUMMYFUNCTION("IF('(INGESTA)Datos_consumo_datadis'!A10871&lt;&gt;"""",SPLIT('(INGESTA)Datos_consumo_datadis'!A:A,"",""),"""")"),"ES0031408323131005HX0F")</f>
        <v>ES0031408323131005HX0F</v>
      </c>
      <c r="B10871" s="12">
        <f>IFERROR(__xludf.DUMMYFUNCTION("""COMPUTED_VALUE"""),45318.0)</f>
        <v>45318</v>
      </c>
      <c r="C10871" s="13">
        <f>IFERROR(__xludf.DUMMYFUNCTION("""COMPUTED_VALUE"""),0.9166666666666666)</f>
        <v>0.9166666667</v>
      </c>
      <c r="D10871" s="8">
        <f>IFERROR(__xludf.DUMMYFUNCTION("""COMPUTED_VALUE"""),0.548)</f>
        <v>0.548</v>
      </c>
      <c r="E10871" s="8" t="str">
        <f>IFERROR(__xludf.DUMMYFUNCTION("""COMPUTED_VALUE"""),"Real")</f>
        <v>Real</v>
      </c>
      <c r="G10871" s="8">
        <f t="shared" si="1"/>
        <v>1</v>
      </c>
      <c r="H10871" s="14">
        <f t="shared" si="2"/>
        <v>27</v>
      </c>
      <c r="I10871" s="15">
        <f t="shared" si="3"/>
        <v>22</v>
      </c>
    </row>
    <row r="10872">
      <c r="A10872" s="8" t="str">
        <f>IFERROR(__xludf.DUMMYFUNCTION("IF('(INGESTA)Datos_consumo_datadis'!A10872&lt;&gt;"""",SPLIT('(INGESTA)Datos_consumo_datadis'!A:A,"",""),"""")"),"ES0031408323131005HX0F")</f>
        <v>ES0031408323131005HX0F</v>
      </c>
      <c r="B10872" s="12">
        <f>IFERROR(__xludf.DUMMYFUNCTION("""COMPUTED_VALUE"""),45318.0)</f>
        <v>45318</v>
      </c>
      <c r="C10872" s="13">
        <f>IFERROR(__xludf.DUMMYFUNCTION("""COMPUTED_VALUE"""),0.9583333333333334)</f>
        <v>0.9583333333</v>
      </c>
      <c r="D10872" s="8">
        <f>IFERROR(__xludf.DUMMYFUNCTION("""COMPUTED_VALUE"""),0.117)</f>
        <v>0.117</v>
      </c>
      <c r="E10872" s="8" t="str">
        <f>IFERROR(__xludf.DUMMYFUNCTION("""COMPUTED_VALUE"""),"Real")</f>
        <v>Real</v>
      </c>
      <c r="G10872" s="8">
        <f t="shared" si="1"/>
        <v>1</v>
      </c>
      <c r="H10872" s="14">
        <f t="shared" si="2"/>
        <v>27</v>
      </c>
      <c r="I10872" s="15">
        <f t="shared" si="3"/>
        <v>23</v>
      </c>
    </row>
    <row r="10873">
      <c r="A10873" s="8" t="str">
        <f>IFERROR(__xludf.DUMMYFUNCTION("IF('(INGESTA)Datos_consumo_datadis'!A10873&lt;&gt;"""",SPLIT('(INGESTA)Datos_consumo_datadis'!A:A,"",""),"""")"),"ES0031408323131005HX0F")</f>
        <v>ES0031408323131005HX0F</v>
      </c>
      <c r="B10873" s="12">
        <f>IFERROR(__xludf.DUMMYFUNCTION("""COMPUTED_VALUE"""),45318.0)</f>
        <v>45318</v>
      </c>
      <c r="C10873" s="16">
        <f>IFERROR(__xludf.DUMMYFUNCTION("""COMPUTED_VALUE"""),1.0)</f>
        <v>1</v>
      </c>
      <c r="D10873" s="8">
        <f>IFERROR(__xludf.DUMMYFUNCTION("""COMPUTED_VALUE"""),0.016)</f>
        <v>0.016</v>
      </c>
      <c r="E10873" s="8" t="str">
        <f>IFERROR(__xludf.DUMMYFUNCTION("""COMPUTED_VALUE"""),"Real")</f>
        <v>Real</v>
      </c>
      <c r="G10873" s="8">
        <f t="shared" si="1"/>
        <v>1</v>
      </c>
      <c r="H10873" s="14">
        <f t="shared" si="2"/>
        <v>27</v>
      </c>
      <c r="I10873" s="15">
        <f t="shared" si="3"/>
        <v>0</v>
      </c>
    </row>
    <row r="10874">
      <c r="A10874" s="8" t="str">
        <f>IFERROR(__xludf.DUMMYFUNCTION("IF('(INGESTA)Datos_consumo_datadis'!A10874&lt;&gt;"""",SPLIT('(INGESTA)Datos_consumo_datadis'!A:A,"",""),"""")"),"ES0031408323131005HX0F")</f>
        <v>ES0031408323131005HX0F</v>
      </c>
      <c r="B10874" s="12">
        <f>IFERROR(__xludf.DUMMYFUNCTION("""COMPUTED_VALUE"""),45319.0)</f>
        <v>45319</v>
      </c>
      <c r="C10874" s="13">
        <f>IFERROR(__xludf.DUMMYFUNCTION("""COMPUTED_VALUE"""),0.041666666666666664)</f>
        <v>0.04166666667</v>
      </c>
      <c r="D10874" s="8">
        <f>IFERROR(__xludf.DUMMYFUNCTION("""COMPUTED_VALUE"""),0.16)</f>
        <v>0.16</v>
      </c>
      <c r="E10874" s="8" t="str">
        <f>IFERROR(__xludf.DUMMYFUNCTION("""COMPUTED_VALUE"""),"Real")</f>
        <v>Real</v>
      </c>
      <c r="G10874" s="8">
        <f t="shared" si="1"/>
        <v>1</v>
      </c>
      <c r="H10874" s="14">
        <f t="shared" si="2"/>
        <v>28</v>
      </c>
      <c r="I10874" s="15">
        <f t="shared" si="3"/>
        <v>1</v>
      </c>
    </row>
    <row r="10875">
      <c r="A10875" s="8" t="str">
        <f>IFERROR(__xludf.DUMMYFUNCTION("IF('(INGESTA)Datos_consumo_datadis'!A10875&lt;&gt;"""",SPLIT('(INGESTA)Datos_consumo_datadis'!A:A,"",""),"""")"),"ES0031408323131005HX0F")</f>
        <v>ES0031408323131005HX0F</v>
      </c>
      <c r="B10875" s="12">
        <f>IFERROR(__xludf.DUMMYFUNCTION("""COMPUTED_VALUE"""),45319.0)</f>
        <v>45319</v>
      </c>
      <c r="C10875" s="13">
        <f>IFERROR(__xludf.DUMMYFUNCTION("""COMPUTED_VALUE"""),0.08333333333333333)</f>
        <v>0.08333333333</v>
      </c>
      <c r="D10875" s="8">
        <f>IFERROR(__xludf.DUMMYFUNCTION("""COMPUTED_VALUE"""),0.36)</f>
        <v>0.36</v>
      </c>
      <c r="E10875" s="8" t="str">
        <f>IFERROR(__xludf.DUMMYFUNCTION("""COMPUTED_VALUE"""),"Real")</f>
        <v>Real</v>
      </c>
      <c r="G10875" s="8">
        <f t="shared" si="1"/>
        <v>1</v>
      </c>
      <c r="H10875" s="14">
        <f t="shared" si="2"/>
        <v>28</v>
      </c>
      <c r="I10875" s="15">
        <f t="shared" si="3"/>
        <v>2</v>
      </c>
    </row>
    <row r="10876">
      <c r="A10876" s="8" t="str">
        <f>IFERROR(__xludf.DUMMYFUNCTION("IF('(INGESTA)Datos_consumo_datadis'!A10876&lt;&gt;"""",SPLIT('(INGESTA)Datos_consumo_datadis'!A:A,"",""),"""")"),"ES0031408323131005HX0F")</f>
        <v>ES0031408323131005HX0F</v>
      </c>
      <c r="B10876" s="12">
        <f>IFERROR(__xludf.DUMMYFUNCTION("""COMPUTED_VALUE"""),45319.0)</f>
        <v>45319</v>
      </c>
      <c r="C10876" s="13">
        <f>IFERROR(__xludf.DUMMYFUNCTION("""COMPUTED_VALUE"""),0.125)</f>
        <v>0.125</v>
      </c>
      <c r="D10876" s="8">
        <f>IFERROR(__xludf.DUMMYFUNCTION("""COMPUTED_VALUE"""),0.037)</f>
        <v>0.037</v>
      </c>
      <c r="E10876" s="8" t="str">
        <f>IFERROR(__xludf.DUMMYFUNCTION("""COMPUTED_VALUE"""),"Real")</f>
        <v>Real</v>
      </c>
      <c r="G10876" s="8">
        <f t="shared" si="1"/>
        <v>1</v>
      </c>
      <c r="H10876" s="14">
        <f t="shared" si="2"/>
        <v>28</v>
      </c>
      <c r="I10876" s="15">
        <f t="shared" si="3"/>
        <v>3</v>
      </c>
    </row>
    <row r="10877">
      <c r="A10877" s="8" t="str">
        <f>IFERROR(__xludf.DUMMYFUNCTION("IF('(INGESTA)Datos_consumo_datadis'!A10877&lt;&gt;"""",SPLIT('(INGESTA)Datos_consumo_datadis'!A:A,"",""),"""")"),"ES0031408323131005HX0F")</f>
        <v>ES0031408323131005HX0F</v>
      </c>
      <c r="B10877" s="12">
        <f>IFERROR(__xludf.DUMMYFUNCTION("""COMPUTED_VALUE"""),45319.0)</f>
        <v>45319</v>
      </c>
      <c r="C10877" s="13">
        <f>IFERROR(__xludf.DUMMYFUNCTION("""COMPUTED_VALUE"""),0.16666666666666666)</f>
        <v>0.1666666667</v>
      </c>
      <c r="D10877" s="8">
        <f>IFERROR(__xludf.DUMMYFUNCTION("""COMPUTED_VALUE"""),0.065)</f>
        <v>0.065</v>
      </c>
      <c r="E10877" s="8" t="str">
        <f>IFERROR(__xludf.DUMMYFUNCTION("""COMPUTED_VALUE"""),"Real")</f>
        <v>Real</v>
      </c>
      <c r="G10877" s="8">
        <f t="shared" si="1"/>
        <v>1</v>
      </c>
      <c r="H10877" s="14">
        <f t="shared" si="2"/>
        <v>28</v>
      </c>
      <c r="I10877" s="15">
        <f t="shared" si="3"/>
        <v>4</v>
      </c>
    </row>
    <row r="10878">
      <c r="A10878" s="8" t="str">
        <f>IFERROR(__xludf.DUMMYFUNCTION("IF('(INGESTA)Datos_consumo_datadis'!A10878&lt;&gt;"""",SPLIT('(INGESTA)Datos_consumo_datadis'!A:A,"",""),"""")"),"ES0031408323131005HX0F")</f>
        <v>ES0031408323131005HX0F</v>
      </c>
      <c r="B10878" s="12">
        <f>IFERROR(__xludf.DUMMYFUNCTION("""COMPUTED_VALUE"""),45319.0)</f>
        <v>45319</v>
      </c>
      <c r="C10878" s="13">
        <f>IFERROR(__xludf.DUMMYFUNCTION("""COMPUTED_VALUE"""),0.20833333333333334)</f>
        <v>0.2083333333</v>
      </c>
      <c r="D10878" s="8">
        <f>IFERROR(__xludf.DUMMYFUNCTION("""COMPUTED_VALUE"""),0.061)</f>
        <v>0.061</v>
      </c>
      <c r="E10878" s="8" t="str">
        <f>IFERROR(__xludf.DUMMYFUNCTION("""COMPUTED_VALUE"""),"Real")</f>
        <v>Real</v>
      </c>
      <c r="G10878" s="8">
        <f t="shared" si="1"/>
        <v>1</v>
      </c>
      <c r="H10878" s="14">
        <f t="shared" si="2"/>
        <v>28</v>
      </c>
      <c r="I10878" s="15">
        <f t="shared" si="3"/>
        <v>5</v>
      </c>
    </row>
    <row r="10879">
      <c r="A10879" s="8" t="str">
        <f>IFERROR(__xludf.DUMMYFUNCTION("IF('(INGESTA)Datos_consumo_datadis'!A10879&lt;&gt;"""",SPLIT('(INGESTA)Datos_consumo_datadis'!A:A,"",""),"""")"),"ES0031408323131005HX0F")</f>
        <v>ES0031408323131005HX0F</v>
      </c>
      <c r="B10879" s="12">
        <f>IFERROR(__xludf.DUMMYFUNCTION("""COMPUTED_VALUE"""),45319.0)</f>
        <v>45319</v>
      </c>
      <c r="C10879" s="13">
        <f>IFERROR(__xludf.DUMMYFUNCTION("""COMPUTED_VALUE"""),0.25)</f>
        <v>0.25</v>
      </c>
      <c r="D10879" s="8">
        <f>IFERROR(__xludf.DUMMYFUNCTION("""COMPUTED_VALUE"""),0.075)</f>
        <v>0.075</v>
      </c>
      <c r="E10879" s="8" t="str">
        <f>IFERROR(__xludf.DUMMYFUNCTION("""COMPUTED_VALUE"""),"Real")</f>
        <v>Real</v>
      </c>
      <c r="G10879" s="8">
        <f t="shared" si="1"/>
        <v>1</v>
      </c>
      <c r="H10879" s="14">
        <f t="shared" si="2"/>
        <v>28</v>
      </c>
      <c r="I10879" s="15">
        <f t="shared" si="3"/>
        <v>6</v>
      </c>
    </row>
    <row r="10880">
      <c r="A10880" s="8" t="str">
        <f>IFERROR(__xludf.DUMMYFUNCTION("IF('(INGESTA)Datos_consumo_datadis'!A10880&lt;&gt;"""",SPLIT('(INGESTA)Datos_consumo_datadis'!A:A,"",""),"""")"),"ES0031408323131005HX0F")</f>
        <v>ES0031408323131005HX0F</v>
      </c>
      <c r="B10880" s="12">
        <f>IFERROR(__xludf.DUMMYFUNCTION("""COMPUTED_VALUE"""),45319.0)</f>
        <v>45319</v>
      </c>
      <c r="C10880" s="13">
        <f>IFERROR(__xludf.DUMMYFUNCTION("""COMPUTED_VALUE"""),0.2916666666666667)</f>
        <v>0.2916666667</v>
      </c>
      <c r="D10880" s="8">
        <f>IFERROR(__xludf.DUMMYFUNCTION("""COMPUTED_VALUE"""),0.016)</f>
        <v>0.016</v>
      </c>
      <c r="E10880" s="8" t="str">
        <f>IFERROR(__xludf.DUMMYFUNCTION("""COMPUTED_VALUE"""),"Real")</f>
        <v>Real</v>
      </c>
      <c r="G10880" s="8">
        <f t="shared" si="1"/>
        <v>1</v>
      </c>
      <c r="H10880" s="14">
        <f t="shared" si="2"/>
        <v>28</v>
      </c>
      <c r="I10880" s="15">
        <f t="shared" si="3"/>
        <v>7</v>
      </c>
    </row>
    <row r="10881">
      <c r="A10881" s="8" t="str">
        <f>IFERROR(__xludf.DUMMYFUNCTION("IF('(INGESTA)Datos_consumo_datadis'!A10881&lt;&gt;"""",SPLIT('(INGESTA)Datos_consumo_datadis'!A:A,"",""),"""")"),"ES0031408323131005HX0F")</f>
        <v>ES0031408323131005HX0F</v>
      </c>
      <c r="B10881" s="12">
        <f>IFERROR(__xludf.DUMMYFUNCTION("""COMPUTED_VALUE"""),45319.0)</f>
        <v>45319</v>
      </c>
      <c r="C10881" s="13">
        <f>IFERROR(__xludf.DUMMYFUNCTION("""COMPUTED_VALUE"""),0.3333333333333333)</f>
        <v>0.3333333333</v>
      </c>
      <c r="D10881" s="8">
        <f>IFERROR(__xludf.DUMMYFUNCTION("""COMPUTED_VALUE"""),0.362)</f>
        <v>0.362</v>
      </c>
      <c r="E10881" s="8" t="str">
        <f>IFERROR(__xludf.DUMMYFUNCTION("""COMPUTED_VALUE"""),"Real")</f>
        <v>Real</v>
      </c>
      <c r="G10881" s="8">
        <f t="shared" si="1"/>
        <v>1</v>
      </c>
      <c r="H10881" s="14">
        <f t="shared" si="2"/>
        <v>28</v>
      </c>
      <c r="I10881" s="15">
        <f t="shared" si="3"/>
        <v>8</v>
      </c>
    </row>
    <row r="10882">
      <c r="A10882" s="8" t="str">
        <f>IFERROR(__xludf.DUMMYFUNCTION("IF('(INGESTA)Datos_consumo_datadis'!A10882&lt;&gt;"""",SPLIT('(INGESTA)Datos_consumo_datadis'!A:A,"",""),"""")"),"ES0031408323131005HX0F")</f>
        <v>ES0031408323131005HX0F</v>
      </c>
      <c r="B10882" s="12">
        <f>IFERROR(__xludf.DUMMYFUNCTION("""COMPUTED_VALUE"""),45319.0)</f>
        <v>45319</v>
      </c>
      <c r="C10882" s="13">
        <f>IFERROR(__xludf.DUMMYFUNCTION("""COMPUTED_VALUE"""),0.375)</f>
        <v>0.375</v>
      </c>
      <c r="D10882" s="8">
        <f>IFERROR(__xludf.DUMMYFUNCTION("""COMPUTED_VALUE"""),0.058)</f>
        <v>0.058</v>
      </c>
      <c r="E10882" s="8" t="str">
        <f>IFERROR(__xludf.DUMMYFUNCTION("""COMPUTED_VALUE"""),"Real")</f>
        <v>Real</v>
      </c>
      <c r="G10882" s="8">
        <f t="shared" si="1"/>
        <v>1</v>
      </c>
      <c r="H10882" s="14">
        <f t="shared" si="2"/>
        <v>28</v>
      </c>
      <c r="I10882" s="15">
        <f t="shared" si="3"/>
        <v>9</v>
      </c>
    </row>
    <row r="10883">
      <c r="A10883" s="8" t="str">
        <f>IFERROR(__xludf.DUMMYFUNCTION("IF('(INGESTA)Datos_consumo_datadis'!A10883&lt;&gt;"""",SPLIT('(INGESTA)Datos_consumo_datadis'!A:A,"",""),"""")"),"ES0031408323131005HX0F")</f>
        <v>ES0031408323131005HX0F</v>
      </c>
      <c r="B10883" s="12">
        <f>IFERROR(__xludf.DUMMYFUNCTION("""COMPUTED_VALUE"""),45319.0)</f>
        <v>45319</v>
      </c>
      <c r="C10883" s="13">
        <f>IFERROR(__xludf.DUMMYFUNCTION("""COMPUTED_VALUE"""),0.4166666666666667)</f>
        <v>0.4166666667</v>
      </c>
      <c r="D10883" s="8">
        <f>IFERROR(__xludf.DUMMYFUNCTION("""COMPUTED_VALUE"""),0.383)</f>
        <v>0.383</v>
      </c>
      <c r="E10883" s="8" t="str">
        <f>IFERROR(__xludf.DUMMYFUNCTION("""COMPUTED_VALUE"""),"Real")</f>
        <v>Real</v>
      </c>
      <c r="G10883" s="8">
        <f t="shared" si="1"/>
        <v>1</v>
      </c>
      <c r="H10883" s="14">
        <f t="shared" si="2"/>
        <v>28</v>
      </c>
      <c r="I10883" s="15">
        <f t="shared" si="3"/>
        <v>10</v>
      </c>
    </row>
    <row r="10884">
      <c r="A10884" s="8" t="str">
        <f>IFERROR(__xludf.DUMMYFUNCTION("IF('(INGESTA)Datos_consumo_datadis'!A10884&lt;&gt;"""",SPLIT('(INGESTA)Datos_consumo_datadis'!A:A,"",""),"""")"),"ES0031408323131005HX0F")</f>
        <v>ES0031408323131005HX0F</v>
      </c>
      <c r="B10884" s="12">
        <f>IFERROR(__xludf.DUMMYFUNCTION("""COMPUTED_VALUE"""),45319.0)</f>
        <v>45319</v>
      </c>
      <c r="C10884" s="13">
        <f>IFERROR(__xludf.DUMMYFUNCTION("""COMPUTED_VALUE"""),0.4583333333333333)</f>
        <v>0.4583333333</v>
      </c>
      <c r="D10884" s="8">
        <f>IFERROR(__xludf.DUMMYFUNCTION("""COMPUTED_VALUE"""),0.348)</f>
        <v>0.348</v>
      </c>
      <c r="E10884" s="8" t="str">
        <f>IFERROR(__xludf.DUMMYFUNCTION("""COMPUTED_VALUE"""),"Real")</f>
        <v>Real</v>
      </c>
      <c r="G10884" s="8">
        <f t="shared" si="1"/>
        <v>1</v>
      </c>
      <c r="H10884" s="14">
        <f t="shared" si="2"/>
        <v>28</v>
      </c>
      <c r="I10884" s="15">
        <f t="shared" si="3"/>
        <v>11</v>
      </c>
    </row>
    <row r="10885">
      <c r="A10885" s="8" t="str">
        <f>IFERROR(__xludf.DUMMYFUNCTION("IF('(INGESTA)Datos_consumo_datadis'!A10885&lt;&gt;"""",SPLIT('(INGESTA)Datos_consumo_datadis'!A:A,"",""),"""")"),"ES0031408323131005HX0F")</f>
        <v>ES0031408323131005HX0F</v>
      </c>
      <c r="B10885" s="12">
        <f>IFERROR(__xludf.DUMMYFUNCTION("""COMPUTED_VALUE"""),45319.0)</f>
        <v>45319</v>
      </c>
      <c r="C10885" s="13">
        <f>IFERROR(__xludf.DUMMYFUNCTION("""COMPUTED_VALUE"""),0.5)</f>
        <v>0.5</v>
      </c>
      <c r="D10885" s="8">
        <f>IFERROR(__xludf.DUMMYFUNCTION("""COMPUTED_VALUE"""),0.109)</f>
        <v>0.109</v>
      </c>
      <c r="E10885" s="8" t="str">
        <f>IFERROR(__xludf.DUMMYFUNCTION("""COMPUTED_VALUE"""),"Real")</f>
        <v>Real</v>
      </c>
      <c r="G10885" s="8">
        <f t="shared" si="1"/>
        <v>1</v>
      </c>
      <c r="H10885" s="14">
        <f t="shared" si="2"/>
        <v>28</v>
      </c>
      <c r="I10885" s="15">
        <f t="shared" si="3"/>
        <v>12</v>
      </c>
    </row>
    <row r="10886">
      <c r="A10886" s="8" t="str">
        <f>IFERROR(__xludf.DUMMYFUNCTION("IF('(INGESTA)Datos_consumo_datadis'!A10886&lt;&gt;"""",SPLIT('(INGESTA)Datos_consumo_datadis'!A:A,"",""),"""")"),"ES0031408323131005HX0F")</f>
        <v>ES0031408323131005HX0F</v>
      </c>
      <c r="B10886" s="12">
        <f>IFERROR(__xludf.DUMMYFUNCTION("""COMPUTED_VALUE"""),45319.0)</f>
        <v>45319</v>
      </c>
      <c r="C10886" s="13">
        <f>IFERROR(__xludf.DUMMYFUNCTION("""COMPUTED_VALUE"""),0.5416666666666666)</f>
        <v>0.5416666667</v>
      </c>
      <c r="D10886" s="8">
        <f>IFERROR(__xludf.DUMMYFUNCTION("""COMPUTED_VALUE"""),0.396)</f>
        <v>0.396</v>
      </c>
      <c r="E10886" s="8" t="str">
        <f>IFERROR(__xludf.DUMMYFUNCTION("""COMPUTED_VALUE"""),"Real")</f>
        <v>Real</v>
      </c>
      <c r="G10886" s="8">
        <f t="shared" si="1"/>
        <v>1</v>
      </c>
      <c r="H10886" s="14">
        <f t="shared" si="2"/>
        <v>28</v>
      </c>
      <c r="I10886" s="15">
        <f t="shared" si="3"/>
        <v>13</v>
      </c>
    </row>
    <row r="10887">
      <c r="A10887" s="8" t="str">
        <f>IFERROR(__xludf.DUMMYFUNCTION("IF('(INGESTA)Datos_consumo_datadis'!A10887&lt;&gt;"""",SPLIT('(INGESTA)Datos_consumo_datadis'!A:A,"",""),"""")"),"ES0031408323131005HX0F")</f>
        <v>ES0031408323131005HX0F</v>
      </c>
      <c r="B10887" s="12">
        <f>IFERROR(__xludf.DUMMYFUNCTION("""COMPUTED_VALUE"""),45319.0)</f>
        <v>45319</v>
      </c>
      <c r="C10887" s="13">
        <f>IFERROR(__xludf.DUMMYFUNCTION("""COMPUTED_VALUE"""),0.5833333333333334)</f>
        <v>0.5833333333</v>
      </c>
      <c r="D10887" s="8">
        <f>IFERROR(__xludf.DUMMYFUNCTION("""COMPUTED_VALUE"""),0.05)</f>
        <v>0.05</v>
      </c>
      <c r="E10887" s="8" t="str">
        <f>IFERROR(__xludf.DUMMYFUNCTION("""COMPUTED_VALUE"""),"Real")</f>
        <v>Real</v>
      </c>
      <c r="G10887" s="8">
        <f t="shared" si="1"/>
        <v>1</v>
      </c>
      <c r="H10887" s="14">
        <f t="shared" si="2"/>
        <v>28</v>
      </c>
      <c r="I10887" s="15">
        <f t="shared" si="3"/>
        <v>14</v>
      </c>
    </row>
    <row r="10888">
      <c r="A10888" s="8" t="str">
        <f>IFERROR(__xludf.DUMMYFUNCTION("IF('(INGESTA)Datos_consumo_datadis'!A10888&lt;&gt;"""",SPLIT('(INGESTA)Datos_consumo_datadis'!A:A,"",""),"""")"),"ES0031408323131005HX0F")</f>
        <v>ES0031408323131005HX0F</v>
      </c>
      <c r="B10888" s="12">
        <f>IFERROR(__xludf.DUMMYFUNCTION("""COMPUTED_VALUE"""),45319.0)</f>
        <v>45319</v>
      </c>
      <c r="C10888" s="13">
        <f>IFERROR(__xludf.DUMMYFUNCTION("""COMPUTED_VALUE"""),0.625)</f>
        <v>0.625</v>
      </c>
      <c r="D10888" s="8">
        <f>IFERROR(__xludf.DUMMYFUNCTION("""COMPUTED_VALUE"""),0.037)</f>
        <v>0.037</v>
      </c>
      <c r="E10888" s="8" t="str">
        <f>IFERROR(__xludf.DUMMYFUNCTION("""COMPUTED_VALUE"""),"Real")</f>
        <v>Real</v>
      </c>
      <c r="G10888" s="8">
        <f t="shared" si="1"/>
        <v>1</v>
      </c>
      <c r="H10888" s="14">
        <f t="shared" si="2"/>
        <v>28</v>
      </c>
      <c r="I10888" s="15">
        <f t="shared" si="3"/>
        <v>15</v>
      </c>
    </row>
    <row r="10889">
      <c r="A10889" s="8" t="str">
        <f>IFERROR(__xludf.DUMMYFUNCTION("IF('(INGESTA)Datos_consumo_datadis'!A10889&lt;&gt;"""",SPLIT('(INGESTA)Datos_consumo_datadis'!A:A,"",""),"""")"),"ES0031408323131005HX0F")</f>
        <v>ES0031408323131005HX0F</v>
      </c>
      <c r="B10889" s="12">
        <f>IFERROR(__xludf.DUMMYFUNCTION("""COMPUTED_VALUE"""),45319.0)</f>
        <v>45319</v>
      </c>
      <c r="C10889" s="13">
        <f>IFERROR(__xludf.DUMMYFUNCTION("""COMPUTED_VALUE"""),0.6666666666666666)</f>
        <v>0.6666666667</v>
      </c>
      <c r="D10889" s="8">
        <f>IFERROR(__xludf.DUMMYFUNCTION("""COMPUTED_VALUE"""),0.072)</f>
        <v>0.072</v>
      </c>
      <c r="E10889" s="8" t="str">
        <f>IFERROR(__xludf.DUMMYFUNCTION("""COMPUTED_VALUE"""),"Real")</f>
        <v>Real</v>
      </c>
      <c r="G10889" s="8">
        <f t="shared" si="1"/>
        <v>1</v>
      </c>
      <c r="H10889" s="14">
        <f t="shared" si="2"/>
        <v>28</v>
      </c>
      <c r="I10889" s="15">
        <f t="shared" si="3"/>
        <v>16</v>
      </c>
    </row>
    <row r="10890">
      <c r="A10890" s="8" t="str">
        <f>IFERROR(__xludf.DUMMYFUNCTION("IF('(INGESTA)Datos_consumo_datadis'!A10890&lt;&gt;"""",SPLIT('(INGESTA)Datos_consumo_datadis'!A:A,"",""),"""")"),"ES0031408323131005HX0F")</f>
        <v>ES0031408323131005HX0F</v>
      </c>
      <c r="B10890" s="12">
        <f>IFERROR(__xludf.DUMMYFUNCTION("""COMPUTED_VALUE"""),45319.0)</f>
        <v>45319</v>
      </c>
      <c r="C10890" s="13">
        <f>IFERROR(__xludf.DUMMYFUNCTION("""COMPUTED_VALUE"""),0.7083333333333334)</f>
        <v>0.7083333333</v>
      </c>
      <c r="D10890" s="8">
        <f>IFERROR(__xludf.DUMMYFUNCTION("""COMPUTED_VALUE"""),0.338)</f>
        <v>0.338</v>
      </c>
      <c r="E10890" s="8" t="str">
        <f>IFERROR(__xludf.DUMMYFUNCTION("""COMPUTED_VALUE"""),"Real")</f>
        <v>Real</v>
      </c>
      <c r="G10890" s="8">
        <f t="shared" si="1"/>
        <v>1</v>
      </c>
      <c r="H10890" s="14">
        <f t="shared" si="2"/>
        <v>28</v>
      </c>
      <c r="I10890" s="15">
        <f t="shared" si="3"/>
        <v>17</v>
      </c>
    </row>
    <row r="10891">
      <c r="A10891" s="8" t="str">
        <f>IFERROR(__xludf.DUMMYFUNCTION("IF('(INGESTA)Datos_consumo_datadis'!A10891&lt;&gt;"""",SPLIT('(INGESTA)Datos_consumo_datadis'!A:A,"",""),"""")"),"ES0031408323131005HX0F")</f>
        <v>ES0031408323131005HX0F</v>
      </c>
      <c r="B10891" s="12">
        <f>IFERROR(__xludf.DUMMYFUNCTION("""COMPUTED_VALUE"""),45319.0)</f>
        <v>45319</v>
      </c>
      <c r="C10891" s="13">
        <f>IFERROR(__xludf.DUMMYFUNCTION("""COMPUTED_VALUE"""),0.75)</f>
        <v>0.75</v>
      </c>
      <c r="D10891" s="8">
        <f>IFERROR(__xludf.DUMMYFUNCTION("""COMPUTED_VALUE"""),0.018)</f>
        <v>0.018</v>
      </c>
      <c r="E10891" s="8" t="str">
        <f>IFERROR(__xludf.DUMMYFUNCTION("""COMPUTED_VALUE"""),"Real")</f>
        <v>Real</v>
      </c>
      <c r="G10891" s="8">
        <f t="shared" si="1"/>
        <v>1</v>
      </c>
      <c r="H10891" s="14">
        <f t="shared" si="2"/>
        <v>28</v>
      </c>
      <c r="I10891" s="15">
        <f t="shared" si="3"/>
        <v>18</v>
      </c>
    </row>
    <row r="10892">
      <c r="A10892" s="8" t="str">
        <f>IFERROR(__xludf.DUMMYFUNCTION("IF('(INGESTA)Datos_consumo_datadis'!A10892&lt;&gt;"""",SPLIT('(INGESTA)Datos_consumo_datadis'!A:A,"",""),"""")"),"ES0031408323131005HX0F")</f>
        <v>ES0031408323131005HX0F</v>
      </c>
      <c r="B10892" s="12">
        <f>IFERROR(__xludf.DUMMYFUNCTION("""COMPUTED_VALUE"""),45319.0)</f>
        <v>45319</v>
      </c>
      <c r="C10892" s="13">
        <f>IFERROR(__xludf.DUMMYFUNCTION("""COMPUTED_VALUE"""),0.7916666666666666)</f>
        <v>0.7916666667</v>
      </c>
      <c r="D10892" s="8">
        <f>IFERROR(__xludf.DUMMYFUNCTION("""COMPUTED_VALUE"""),0.073)</f>
        <v>0.073</v>
      </c>
      <c r="E10892" s="8" t="str">
        <f>IFERROR(__xludf.DUMMYFUNCTION("""COMPUTED_VALUE"""),"Real")</f>
        <v>Real</v>
      </c>
      <c r="G10892" s="8">
        <f t="shared" si="1"/>
        <v>1</v>
      </c>
      <c r="H10892" s="14">
        <f t="shared" si="2"/>
        <v>28</v>
      </c>
      <c r="I10892" s="15">
        <f t="shared" si="3"/>
        <v>19</v>
      </c>
    </row>
    <row r="10893">
      <c r="A10893" s="8" t="str">
        <f>IFERROR(__xludf.DUMMYFUNCTION("IF('(INGESTA)Datos_consumo_datadis'!A10893&lt;&gt;"""",SPLIT('(INGESTA)Datos_consumo_datadis'!A:A,"",""),"""")"),"ES0031408323131005HX0F")</f>
        <v>ES0031408323131005HX0F</v>
      </c>
      <c r="B10893" s="12">
        <f>IFERROR(__xludf.DUMMYFUNCTION("""COMPUTED_VALUE"""),45319.0)</f>
        <v>45319</v>
      </c>
      <c r="C10893" s="13">
        <f>IFERROR(__xludf.DUMMYFUNCTION("""COMPUTED_VALUE"""),0.8333333333333334)</f>
        <v>0.8333333333</v>
      </c>
      <c r="D10893" s="8">
        <f>IFERROR(__xludf.DUMMYFUNCTION("""COMPUTED_VALUE"""),1.692)</f>
        <v>1.692</v>
      </c>
      <c r="E10893" s="8" t="str">
        <f>IFERROR(__xludf.DUMMYFUNCTION("""COMPUTED_VALUE"""),"Real")</f>
        <v>Real</v>
      </c>
      <c r="G10893" s="8">
        <f t="shared" si="1"/>
        <v>1</v>
      </c>
      <c r="H10893" s="14">
        <f t="shared" si="2"/>
        <v>28</v>
      </c>
      <c r="I10893" s="15">
        <f t="shared" si="3"/>
        <v>20</v>
      </c>
    </row>
    <row r="10894">
      <c r="A10894" s="8" t="str">
        <f>IFERROR(__xludf.DUMMYFUNCTION("IF('(INGESTA)Datos_consumo_datadis'!A10894&lt;&gt;"""",SPLIT('(INGESTA)Datos_consumo_datadis'!A:A,"",""),"""")"),"ES0031408323131005HX0F")</f>
        <v>ES0031408323131005HX0F</v>
      </c>
      <c r="B10894" s="12">
        <f>IFERROR(__xludf.DUMMYFUNCTION("""COMPUTED_VALUE"""),45319.0)</f>
        <v>45319</v>
      </c>
      <c r="C10894" s="13">
        <f>IFERROR(__xludf.DUMMYFUNCTION("""COMPUTED_VALUE"""),0.875)</f>
        <v>0.875</v>
      </c>
      <c r="D10894" s="8">
        <f>IFERROR(__xludf.DUMMYFUNCTION("""COMPUTED_VALUE"""),4.426)</f>
        <v>4.426</v>
      </c>
      <c r="E10894" s="8" t="str">
        <f>IFERROR(__xludf.DUMMYFUNCTION("""COMPUTED_VALUE"""),"Real")</f>
        <v>Real</v>
      </c>
      <c r="G10894" s="8">
        <f t="shared" si="1"/>
        <v>1</v>
      </c>
      <c r="H10894" s="14">
        <f t="shared" si="2"/>
        <v>28</v>
      </c>
      <c r="I10894" s="15">
        <f t="shared" si="3"/>
        <v>21</v>
      </c>
    </row>
    <row r="10895">
      <c r="A10895" s="8" t="str">
        <f>IFERROR(__xludf.DUMMYFUNCTION("IF('(INGESTA)Datos_consumo_datadis'!A10895&lt;&gt;"""",SPLIT('(INGESTA)Datos_consumo_datadis'!A:A,"",""),"""")"),"ES0031408323131005HX0F")</f>
        <v>ES0031408323131005HX0F</v>
      </c>
      <c r="B10895" s="12">
        <f>IFERROR(__xludf.DUMMYFUNCTION("""COMPUTED_VALUE"""),45319.0)</f>
        <v>45319</v>
      </c>
      <c r="C10895" s="13">
        <f>IFERROR(__xludf.DUMMYFUNCTION("""COMPUTED_VALUE"""),0.9166666666666666)</f>
        <v>0.9166666667</v>
      </c>
      <c r="D10895" s="8">
        <f>IFERROR(__xludf.DUMMYFUNCTION("""COMPUTED_VALUE"""),0.877)</f>
        <v>0.877</v>
      </c>
      <c r="E10895" s="8" t="str">
        <f>IFERROR(__xludf.DUMMYFUNCTION("""COMPUTED_VALUE"""),"Real")</f>
        <v>Real</v>
      </c>
      <c r="G10895" s="8">
        <f t="shared" si="1"/>
        <v>1</v>
      </c>
      <c r="H10895" s="14">
        <f t="shared" si="2"/>
        <v>28</v>
      </c>
      <c r="I10895" s="15">
        <f t="shared" si="3"/>
        <v>22</v>
      </c>
    </row>
    <row r="10896">
      <c r="A10896" s="8" t="str">
        <f>IFERROR(__xludf.DUMMYFUNCTION("IF('(INGESTA)Datos_consumo_datadis'!A10896&lt;&gt;"""",SPLIT('(INGESTA)Datos_consumo_datadis'!A:A,"",""),"""")"),"ES0031408323131005HX0F")</f>
        <v>ES0031408323131005HX0F</v>
      </c>
      <c r="B10896" s="12">
        <f>IFERROR(__xludf.DUMMYFUNCTION("""COMPUTED_VALUE"""),45319.0)</f>
        <v>45319</v>
      </c>
      <c r="C10896" s="13">
        <f>IFERROR(__xludf.DUMMYFUNCTION("""COMPUTED_VALUE"""),0.9583333333333334)</f>
        <v>0.9583333333</v>
      </c>
      <c r="D10896" s="8">
        <f>IFERROR(__xludf.DUMMYFUNCTION("""COMPUTED_VALUE"""),0.09)</f>
        <v>0.09</v>
      </c>
      <c r="E10896" s="8" t="str">
        <f>IFERROR(__xludf.DUMMYFUNCTION("""COMPUTED_VALUE"""),"Real")</f>
        <v>Real</v>
      </c>
      <c r="G10896" s="8">
        <f t="shared" si="1"/>
        <v>1</v>
      </c>
      <c r="H10896" s="14">
        <f t="shared" si="2"/>
        <v>28</v>
      </c>
      <c r="I10896" s="15">
        <f t="shared" si="3"/>
        <v>23</v>
      </c>
    </row>
    <row r="10897">
      <c r="A10897" s="8" t="str">
        <f>IFERROR(__xludf.DUMMYFUNCTION("IF('(INGESTA)Datos_consumo_datadis'!A10897&lt;&gt;"""",SPLIT('(INGESTA)Datos_consumo_datadis'!A:A,"",""),"""")"),"ES0031408323131005HX0F")</f>
        <v>ES0031408323131005HX0F</v>
      </c>
      <c r="B10897" s="12">
        <f>IFERROR(__xludf.DUMMYFUNCTION("""COMPUTED_VALUE"""),45319.0)</f>
        <v>45319</v>
      </c>
      <c r="C10897" s="16">
        <f>IFERROR(__xludf.DUMMYFUNCTION("""COMPUTED_VALUE"""),1.0)</f>
        <v>1</v>
      </c>
      <c r="D10897" s="8">
        <f>IFERROR(__xludf.DUMMYFUNCTION("""COMPUTED_VALUE"""),0.365)</f>
        <v>0.365</v>
      </c>
      <c r="E10897" s="8" t="str">
        <f>IFERROR(__xludf.DUMMYFUNCTION("""COMPUTED_VALUE"""),"Real")</f>
        <v>Real</v>
      </c>
      <c r="G10897" s="8">
        <f t="shared" si="1"/>
        <v>1</v>
      </c>
      <c r="H10897" s="14">
        <f t="shared" si="2"/>
        <v>28</v>
      </c>
      <c r="I10897" s="15">
        <f t="shared" si="3"/>
        <v>0</v>
      </c>
    </row>
    <row r="10898">
      <c r="A10898" s="8" t="str">
        <f>IFERROR(__xludf.DUMMYFUNCTION("IF('(INGESTA)Datos_consumo_datadis'!A10898&lt;&gt;"""",SPLIT('(INGESTA)Datos_consumo_datadis'!A:A,"",""),"""")"),"ES0031408323131005HX0F")</f>
        <v>ES0031408323131005HX0F</v>
      </c>
      <c r="B10898" s="12">
        <f>IFERROR(__xludf.DUMMYFUNCTION("""COMPUTED_VALUE"""),45320.0)</f>
        <v>45320</v>
      </c>
      <c r="C10898" s="13">
        <f>IFERROR(__xludf.DUMMYFUNCTION("""COMPUTED_VALUE"""),0.041666666666666664)</f>
        <v>0.04166666667</v>
      </c>
      <c r="D10898" s="8">
        <f>IFERROR(__xludf.DUMMYFUNCTION("""COMPUTED_VALUE"""),0.032)</f>
        <v>0.032</v>
      </c>
      <c r="E10898" s="8" t="str">
        <f>IFERROR(__xludf.DUMMYFUNCTION("""COMPUTED_VALUE"""),"Real")</f>
        <v>Real</v>
      </c>
      <c r="G10898" s="8">
        <f t="shared" si="1"/>
        <v>1</v>
      </c>
      <c r="H10898" s="14">
        <f t="shared" si="2"/>
        <v>29</v>
      </c>
      <c r="I10898" s="15">
        <f t="shared" si="3"/>
        <v>1</v>
      </c>
    </row>
    <row r="10899">
      <c r="A10899" s="8" t="str">
        <f>IFERROR(__xludf.DUMMYFUNCTION("IF('(INGESTA)Datos_consumo_datadis'!A10899&lt;&gt;"""",SPLIT('(INGESTA)Datos_consumo_datadis'!A:A,"",""),"""")"),"ES0031408323131005HX0F")</f>
        <v>ES0031408323131005HX0F</v>
      </c>
      <c r="B10899" s="12">
        <f>IFERROR(__xludf.DUMMYFUNCTION("""COMPUTED_VALUE"""),45320.0)</f>
        <v>45320</v>
      </c>
      <c r="C10899" s="13">
        <f>IFERROR(__xludf.DUMMYFUNCTION("""COMPUTED_VALUE"""),0.08333333333333333)</f>
        <v>0.08333333333</v>
      </c>
      <c r="D10899" s="8">
        <f>IFERROR(__xludf.DUMMYFUNCTION("""COMPUTED_VALUE"""),0.091)</f>
        <v>0.091</v>
      </c>
      <c r="E10899" s="8" t="str">
        <f>IFERROR(__xludf.DUMMYFUNCTION("""COMPUTED_VALUE"""),"Real")</f>
        <v>Real</v>
      </c>
      <c r="G10899" s="8">
        <f t="shared" si="1"/>
        <v>1</v>
      </c>
      <c r="H10899" s="14">
        <f t="shared" si="2"/>
        <v>29</v>
      </c>
      <c r="I10899" s="15">
        <f t="shared" si="3"/>
        <v>2</v>
      </c>
    </row>
    <row r="10900">
      <c r="A10900" s="8" t="str">
        <f>IFERROR(__xludf.DUMMYFUNCTION("IF('(INGESTA)Datos_consumo_datadis'!A10900&lt;&gt;"""",SPLIT('(INGESTA)Datos_consumo_datadis'!A:A,"",""),"""")"),"ES0031408323131005HX0F")</f>
        <v>ES0031408323131005HX0F</v>
      </c>
      <c r="B10900" s="12">
        <f>IFERROR(__xludf.DUMMYFUNCTION("""COMPUTED_VALUE"""),45320.0)</f>
        <v>45320</v>
      </c>
      <c r="C10900" s="13">
        <f>IFERROR(__xludf.DUMMYFUNCTION("""COMPUTED_VALUE"""),0.125)</f>
        <v>0.125</v>
      </c>
      <c r="D10900" s="8">
        <f>IFERROR(__xludf.DUMMYFUNCTION("""COMPUTED_VALUE"""),0.071)</f>
        <v>0.071</v>
      </c>
      <c r="E10900" s="8" t="str">
        <f>IFERROR(__xludf.DUMMYFUNCTION("""COMPUTED_VALUE"""),"Real")</f>
        <v>Real</v>
      </c>
      <c r="G10900" s="8">
        <f t="shared" si="1"/>
        <v>1</v>
      </c>
      <c r="H10900" s="14">
        <f t="shared" si="2"/>
        <v>29</v>
      </c>
      <c r="I10900" s="15">
        <f t="shared" si="3"/>
        <v>3</v>
      </c>
    </row>
    <row r="10901">
      <c r="A10901" s="8" t="str">
        <f>IFERROR(__xludf.DUMMYFUNCTION("IF('(INGESTA)Datos_consumo_datadis'!A10901&lt;&gt;"""",SPLIT('(INGESTA)Datos_consumo_datadis'!A:A,"",""),"""")"),"ES0031408323131005HX0F")</f>
        <v>ES0031408323131005HX0F</v>
      </c>
      <c r="B10901" s="12">
        <f>IFERROR(__xludf.DUMMYFUNCTION("""COMPUTED_VALUE"""),45320.0)</f>
        <v>45320</v>
      </c>
      <c r="C10901" s="13">
        <f>IFERROR(__xludf.DUMMYFUNCTION("""COMPUTED_VALUE"""),0.16666666666666666)</f>
        <v>0.1666666667</v>
      </c>
      <c r="D10901" s="8">
        <f>IFERROR(__xludf.DUMMYFUNCTION("""COMPUTED_VALUE"""),0.078)</f>
        <v>0.078</v>
      </c>
      <c r="E10901" s="8" t="str">
        <f>IFERROR(__xludf.DUMMYFUNCTION("""COMPUTED_VALUE"""),"Real")</f>
        <v>Real</v>
      </c>
      <c r="G10901" s="8">
        <f t="shared" si="1"/>
        <v>1</v>
      </c>
      <c r="H10901" s="14">
        <f t="shared" si="2"/>
        <v>29</v>
      </c>
      <c r="I10901" s="15">
        <f t="shared" si="3"/>
        <v>4</v>
      </c>
    </row>
    <row r="10902">
      <c r="A10902" s="8" t="str">
        <f>IFERROR(__xludf.DUMMYFUNCTION("IF('(INGESTA)Datos_consumo_datadis'!A10902&lt;&gt;"""",SPLIT('(INGESTA)Datos_consumo_datadis'!A:A,"",""),"""")"),"ES0031408323131005HX0F")</f>
        <v>ES0031408323131005HX0F</v>
      </c>
      <c r="B10902" s="12">
        <f>IFERROR(__xludf.DUMMYFUNCTION("""COMPUTED_VALUE"""),45320.0)</f>
        <v>45320</v>
      </c>
      <c r="C10902" s="13">
        <f>IFERROR(__xludf.DUMMYFUNCTION("""COMPUTED_VALUE"""),0.20833333333333334)</f>
        <v>0.2083333333</v>
      </c>
      <c r="D10902" s="8">
        <f>IFERROR(__xludf.DUMMYFUNCTION("""COMPUTED_VALUE"""),0.023)</f>
        <v>0.023</v>
      </c>
      <c r="E10902" s="8" t="str">
        <f>IFERROR(__xludf.DUMMYFUNCTION("""COMPUTED_VALUE"""),"Real")</f>
        <v>Real</v>
      </c>
      <c r="G10902" s="8">
        <f t="shared" si="1"/>
        <v>1</v>
      </c>
      <c r="H10902" s="14">
        <f t="shared" si="2"/>
        <v>29</v>
      </c>
      <c r="I10902" s="15">
        <f t="shared" si="3"/>
        <v>5</v>
      </c>
    </row>
    <row r="10903">
      <c r="A10903" s="8" t="str">
        <f>IFERROR(__xludf.DUMMYFUNCTION("IF('(INGESTA)Datos_consumo_datadis'!A10903&lt;&gt;"""",SPLIT('(INGESTA)Datos_consumo_datadis'!A:A,"",""),"""")"),"ES0031408323131005HX0F")</f>
        <v>ES0031408323131005HX0F</v>
      </c>
      <c r="B10903" s="12">
        <f>IFERROR(__xludf.DUMMYFUNCTION("""COMPUTED_VALUE"""),45320.0)</f>
        <v>45320</v>
      </c>
      <c r="C10903" s="13">
        <f>IFERROR(__xludf.DUMMYFUNCTION("""COMPUTED_VALUE"""),0.25)</f>
        <v>0.25</v>
      </c>
      <c r="D10903" s="8">
        <f>IFERROR(__xludf.DUMMYFUNCTION("""COMPUTED_VALUE"""),0.35)</f>
        <v>0.35</v>
      </c>
      <c r="E10903" s="8" t="str">
        <f>IFERROR(__xludf.DUMMYFUNCTION("""COMPUTED_VALUE"""),"Real")</f>
        <v>Real</v>
      </c>
      <c r="G10903" s="8">
        <f t="shared" si="1"/>
        <v>1</v>
      </c>
      <c r="H10903" s="14">
        <f t="shared" si="2"/>
        <v>29</v>
      </c>
      <c r="I10903" s="15">
        <f t="shared" si="3"/>
        <v>6</v>
      </c>
    </row>
    <row r="10904">
      <c r="A10904" s="8" t="str">
        <f>IFERROR(__xludf.DUMMYFUNCTION("IF('(INGESTA)Datos_consumo_datadis'!A10904&lt;&gt;"""",SPLIT('(INGESTA)Datos_consumo_datadis'!A:A,"",""),"""")"),"ES0031408323131005HX0F")</f>
        <v>ES0031408323131005HX0F</v>
      </c>
      <c r="B10904" s="12">
        <f>IFERROR(__xludf.DUMMYFUNCTION("""COMPUTED_VALUE"""),45320.0)</f>
        <v>45320</v>
      </c>
      <c r="C10904" s="13">
        <f>IFERROR(__xludf.DUMMYFUNCTION("""COMPUTED_VALUE"""),0.2916666666666667)</f>
        <v>0.2916666667</v>
      </c>
      <c r="D10904" s="8">
        <f>IFERROR(__xludf.DUMMYFUNCTION("""COMPUTED_VALUE"""),0.071)</f>
        <v>0.071</v>
      </c>
      <c r="E10904" s="8" t="str">
        <f>IFERROR(__xludf.DUMMYFUNCTION("""COMPUTED_VALUE"""),"Real")</f>
        <v>Real</v>
      </c>
      <c r="G10904" s="8">
        <f t="shared" si="1"/>
        <v>1</v>
      </c>
      <c r="H10904" s="14">
        <f t="shared" si="2"/>
        <v>29</v>
      </c>
      <c r="I10904" s="15">
        <f t="shared" si="3"/>
        <v>7</v>
      </c>
    </row>
    <row r="10905">
      <c r="A10905" s="8" t="str">
        <f>IFERROR(__xludf.DUMMYFUNCTION("IF('(INGESTA)Datos_consumo_datadis'!A10905&lt;&gt;"""",SPLIT('(INGESTA)Datos_consumo_datadis'!A:A,"",""),"""")"),"ES0031408323131005HX0F")</f>
        <v>ES0031408323131005HX0F</v>
      </c>
      <c r="B10905" s="12">
        <f>IFERROR(__xludf.DUMMYFUNCTION("""COMPUTED_VALUE"""),45320.0)</f>
        <v>45320</v>
      </c>
      <c r="C10905" s="13">
        <f>IFERROR(__xludf.DUMMYFUNCTION("""COMPUTED_VALUE"""),0.3333333333333333)</f>
        <v>0.3333333333</v>
      </c>
      <c r="D10905" s="8">
        <f>IFERROR(__xludf.DUMMYFUNCTION("""COMPUTED_VALUE"""),0.12)</f>
        <v>0.12</v>
      </c>
      <c r="E10905" s="8" t="str">
        <f>IFERROR(__xludf.DUMMYFUNCTION("""COMPUTED_VALUE"""),"Real")</f>
        <v>Real</v>
      </c>
      <c r="G10905" s="8">
        <f t="shared" si="1"/>
        <v>1</v>
      </c>
      <c r="H10905" s="14">
        <f t="shared" si="2"/>
        <v>29</v>
      </c>
      <c r="I10905" s="15">
        <f t="shared" si="3"/>
        <v>8</v>
      </c>
    </row>
    <row r="10906">
      <c r="A10906" s="8" t="str">
        <f>IFERROR(__xludf.DUMMYFUNCTION("IF('(INGESTA)Datos_consumo_datadis'!A10906&lt;&gt;"""",SPLIT('(INGESTA)Datos_consumo_datadis'!A:A,"",""),"""")"),"ES0031408323131005HX0F")</f>
        <v>ES0031408323131005HX0F</v>
      </c>
      <c r="B10906" s="12">
        <f>IFERROR(__xludf.DUMMYFUNCTION("""COMPUTED_VALUE"""),45320.0)</f>
        <v>45320</v>
      </c>
      <c r="C10906" s="13">
        <f>IFERROR(__xludf.DUMMYFUNCTION("""COMPUTED_VALUE"""),0.375)</f>
        <v>0.375</v>
      </c>
      <c r="D10906" s="8">
        <f>IFERROR(__xludf.DUMMYFUNCTION("""COMPUTED_VALUE"""),0.534)</f>
        <v>0.534</v>
      </c>
      <c r="E10906" s="8" t="str">
        <f>IFERROR(__xludf.DUMMYFUNCTION("""COMPUTED_VALUE"""),"Real")</f>
        <v>Real</v>
      </c>
      <c r="G10906" s="8">
        <f t="shared" si="1"/>
        <v>1</v>
      </c>
      <c r="H10906" s="14">
        <f t="shared" si="2"/>
        <v>29</v>
      </c>
      <c r="I10906" s="15">
        <f t="shared" si="3"/>
        <v>9</v>
      </c>
    </row>
    <row r="10907">
      <c r="A10907" s="8" t="str">
        <f>IFERROR(__xludf.DUMMYFUNCTION("IF('(INGESTA)Datos_consumo_datadis'!A10907&lt;&gt;"""",SPLIT('(INGESTA)Datos_consumo_datadis'!A:A,"",""),"""")"),"ES0031408323131005HX0F")</f>
        <v>ES0031408323131005HX0F</v>
      </c>
      <c r="B10907" s="12">
        <f>IFERROR(__xludf.DUMMYFUNCTION("""COMPUTED_VALUE"""),45320.0)</f>
        <v>45320</v>
      </c>
      <c r="C10907" s="13">
        <f>IFERROR(__xludf.DUMMYFUNCTION("""COMPUTED_VALUE"""),0.4166666666666667)</f>
        <v>0.4166666667</v>
      </c>
      <c r="D10907" s="8">
        <f>IFERROR(__xludf.DUMMYFUNCTION("""COMPUTED_VALUE"""),0.057)</f>
        <v>0.057</v>
      </c>
      <c r="E10907" s="8" t="str">
        <f>IFERROR(__xludf.DUMMYFUNCTION("""COMPUTED_VALUE"""),"Real")</f>
        <v>Real</v>
      </c>
      <c r="G10907" s="8">
        <f t="shared" si="1"/>
        <v>1</v>
      </c>
      <c r="H10907" s="14">
        <f t="shared" si="2"/>
        <v>29</v>
      </c>
      <c r="I10907" s="15">
        <f t="shared" si="3"/>
        <v>10</v>
      </c>
    </row>
    <row r="10908">
      <c r="A10908" s="8" t="str">
        <f>IFERROR(__xludf.DUMMYFUNCTION("IF('(INGESTA)Datos_consumo_datadis'!A10908&lt;&gt;"""",SPLIT('(INGESTA)Datos_consumo_datadis'!A:A,"",""),"""")"),"ES0031408323131005HX0F")</f>
        <v>ES0031408323131005HX0F</v>
      </c>
      <c r="B10908" s="12">
        <f>IFERROR(__xludf.DUMMYFUNCTION("""COMPUTED_VALUE"""),45320.0)</f>
        <v>45320</v>
      </c>
      <c r="C10908" s="13">
        <f>IFERROR(__xludf.DUMMYFUNCTION("""COMPUTED_VALUE"""),0.4583333333333333)</f>
        <v>0.4583333333</v>
      </c>
      <c r="D10908" s="8">
        <f>IFERROR(__xludf.DUMMYFUNCTION("""COMPUTED_VALUE"""),0.033)</f>
        <v>0.033</v>
      </c>
      <c r="E10908" s="8" t="str">
        <f>IFERROR(__xludf.DUMMYFUNCTION("""COMPUTED_VALUE"""),"Real")</f>
        <v>Real</v>
      </c>
      <c r="G10908" s="8">
        <f t="shared" si="1"/>
        <v>1</v>
      </c>
      <c r="H10908" s="14">
        <f t="shared" si="2"/>
        <v>29</v>
      </c>
      <c r="I10908" s="15">
        <f t="shared" si="3"/>
        <v>11</v>
      </c>
    </row>
    <row r="10909">
      <c r="A10909" s="8" t="str">
        <f>IFERROR(__xludf.DUMMYFUNCTION("IF('(INGESTA)Datos_consumo_datadis'!A10909&lt;&gt;"""",SPLIT('(INGESTA)Datos_consumo_datadis'!A:A,"",""),"""")"),"ES0031408323131005HX0F")</f>
        <v>ES0031408323131005HX0F</v>
      </c>
      <c r="B10909" s="12">
        <f>IFERROR(__xludf.DUMMYFUNCTION("""COMPUTED_VALUE"""),45320.0)</f>
        <v>45320</v>
      </c>
      <c r="C10909" s="13">
        <f>IFERROR(__xludf.DUMMYFUNCTION("""COMPUTED_VALUE"""),0.5)</f>
        <v>0.5</v>
      </c>
      <c r="D10909" s="8">
        <f>IFERROR(__xludf.DUMMYFUNCTION("""COMPUTED_VALUE"""),0.044)</f>
        <v>0.044</v>
      </c>
      <c r="E10909" s="8" t="str">
        <f>IFERROR(__xludf.DUMMYFUNCTION("""COMPUTED_VALUE"""),"Real")</f>
        <v>Real</v>
      </c>
      <c r="G10909" s="8">
        <f t="shared" si="1"/>
        <v>1</v>
      </c>
      <c r="H10909" s="14">
        <f t="shared" si="2"/>
        <v>29</v>
      </c>
      <c r="I10909" s="15">
        <f t="shared" si="3"/>
        <v>12</v>
      </c>
    </row>
    <row r="10910">
      <c r="A10910" s="8" t="str">
        <f>IFERROR(__xludf.DUMMYFUNCTION("IF('(INGESTA)Datos_consumo_datadis'!A10910&lt;&gt;"""",SPLIT('(INGESTA)Datos_consumo_datadis'!A:A,"",""),"""")"),"ES0031408323131005HX0F")</f>
        <v>ES0031408323131005HX0F</v>
      </c>
      <c r="B10910" s="12">
        <f>IFERROR(__xludf.DUMMYFUNCTION("""COMPUTED_VALUE"""),45320.0)</f>
        <v>45320</v>
      </c>
      <c r="C10910" s="13">
        <f>IFERROR(__xludf.DUMMYFUNCTION("""COMPUTED_VALUE"""),0.5416666666666666)</f>
        <v>0.5416666667</v>
      </c>
      <c r="D10910" s="8">
        <f>IFERROR(__xludf.DUMMYFUNCTION("""COMPUTED_VALUE"""),0.711)</f>
        <v>0.711</v>
      </c>
      <c r="E10910" s="8" t="str">
        <f>IFERROR(__xludf.DUMMYFUNCTION("""COMPUTED_VALUE"""),"Real")</f>
        <v>Real</v>
      </c>
      <c r="G10910" s="8">
        <f t="shared" si="1"/>
        <v>1</v>
      </c>
      <c r="H10910" s="14">
        <f t="shared" si="2"/>
        <v>29</v>
      </c>
      <c r="I10910" s="15">
        <f t="shared" si="3"/>
        <v>13</v>
      </c>
    </row>
    <row r="10911">
      <c r="A10911" s="8" t="str">
        <f>IFERROR(__xludf.DUMMYFUNCTION("IF('(INGESTA)Datos_consumo_datadis'!A10911&lt;&gt;"""",SPLIT('(INGESTA)Datos_consumo_datadis'!A:A,"",""),"""")"),"ES0031408323131005HX0F")</f>
        <v>ES0031408323131005HX0F</v>
      </c>
      <c r="B10911" s="12">
        <f>IFERROR(__xludf.DUMMYFUNCTION("""COMPUTED_VALUE"""),45320.0)</f>
        <v>45320</v>
      </c>
      <c r="C10911" s="13">
        <f>IFERROR(__xludf.DUMMYFUNCTION("""COMPUTED_VALUE"""),0.5833333333333334)</f>
        <v>0.5833333333</v>
      </c>
      <c r="D10911" s="8">
        <f>IFERROR(__xludf.DUMMYFUNCTION("""COMPUTED_VALUE"""),0.925)</f>
        <v>0.925</v>
      </c>
      <c r="E10911" s="8" t="str">
        <f>IFERROR(__xludf.DUMMYFUNCTION("""COMPUTED_VALUE"""),"Real")</f>
        <v>Real</v>
      </c>
      <c r="G10911" s="8">
        <f t="shared" si="1"/>
        <v>1</v>
      </c>
      <c r="H10911" s="14">
        <f t="shared" si="2"/>
        <v>29</v>
      </c>
      <c r="I10911" s="15">
        <f t="shared" si="3"/>
        <v>14</v>
      </c>
    </row>
    <row r="10912">
      <c r="A10912" s="8" t="str">
        <f>IFERROR(__xludf.DUMMYFUNCTION("IF('(INGESTA)Datos_consumo_datadis'!A10912&lt;&gt;"""",SPLIT('(INGESTA)Datos_consumo_datadis'!A:A,"",""),"""")"),"ES0031408323131005HX0F")</f>
        <v>ES0031408323131005HX0F</v>
      </c>
      <c r="B10912" s="12">
        <f>IFERROR(__xludf.DUMMYFUNCTION("""COMPUTED_VALUE"""),45320.0)</f>
        <v>45320</v>
      </c>
      <c r="C10912" s="13">
        <f>IFERROR(__xludf.DUMMYFUNCTION("""COMPUTED_VALUE"""),0.625)</f>
        <v>0.625</v>
      </c>
      <c r="D10912" s="8">
        <f>IFERROR(__xludf.DUMMYFUNCTION("""COMPUTED_VALUE"""),0.965)</f>
        <v>0.965</v>
      </c>
      <c r="E10912" s="8" t="str">
        <f>IFERROR(__xludf.DUMMYFUNCTION("""COMPUTED_VALUE"""),"Real")</f>
        <v>Real</v>
      </c>
      <c r="G10912" s="8">
        <f t="shared" si="1"/>
        <v>1</v>
      </c>
      <c r="H10912" s="14">
        <f t="shared" si="2"/>
        <v>29</v>
      </c>
      <c r="I10912" s="15">
        <f t="shared" si="3"/>
        <v>15</v>
      </c>
    </row>
    <row r="10913">
      <c r="A10913" s="8" t="str">
        <f>IFERROR(__xludf.DUMMYFUNCTION("IF('(INGESTA)Datos_consumo_datadis'!A10913&lt;&gt;"""",SPLIT('(INGESTA)Datos_consumo_datadis'!A:A,"",""),"""")"),"ES0031408323131005HX0F")</f>
        <v>ES0031408323131005HX0F</v>
      </c>
      <c r="B10913" s="12">
        <f>IFERROR(__xludf.DUMMYFUNCTION("""COMPUTED_VALUE"""),45320.0)</f>
        <v>45320</v>
      </c>
      <c r="C10913" s="13">
        <f>IFERROR(__xludf.DUMMYFUNCTION("""COMPUTED_VALUE"""),0.6666666666666666)</f>
        <v>0.6666666667</v>
      </c>
      <c r="D10913" s="8">
        <f>IFERROR(__xludf.DUMMYFUNCTION("""COMPUTED_VALUE"""),0.606)</f>
        <v>0.606</v>
      </c>
      <c r="E10913" s="8" t="str">
        <f>IFERROR(__xludf.DUMMYFUNCTION("""COMPUTED_VALUE"""),"Real")</f>
        <v>Real</v>
      </c>
      <c r="G10913" s="8">
        <f t="shared" si="1"/>
        <v>1</v>
      </c>
      <c r="H10913" s="14">
        <f t="shared" si="2"/>
        <v>29</v>
      </c>
      <c r="I10913" s="15">
        <f t="shared" si="3"/>
        <v>16</v>
      </c>
    </row>
    <row r="10914">
      <c r="A10914" s="8" t="str">
        <f>IFERROR(__xludf.DUMMYFUNCTION("IF('(INGESTA)Datos_consumo_datadis'!A10914&lt;&gt;"""",SPLIT('(INGESTA)Datos_consumo_datadis'!A:A,"",""),"""")"),"ES0031408323131005HX0F")</f>
        <v>ES0031408323131005HX0F</v>
      </c>
      <c r="B10914" s="12">
        <f>IFERROR(__xludf.DUMMYFUNCTION("""COMPUTED_VALUE"""),45320.0)</f>
        <v>45320</v>
      </c>
      <c r="C10914" s="13">
        <f>IFERROR(__xludf.DUMMYFUNCTION("""COMPUTED_VALUE"""),0.7083333333333334)</f>
        <v>0.7083333333</v>
      </c>
      <c r="D10914" s="8">
        <f>IFERROR(__xludf.DUMMYFUNCTION("""COMPUTED_VALUE"""),0.147)</f>
        <v>0.147</v>
      </c>
      <c r="E10914" s="8" t="str">
        <f>IFERROR(__xludf.DUMMYFUNCTION("""COMPUTED_VALUE"""),"Real")</f>
        <v>Real</v>
      </c>
      <c r="G10914" s="8">
        <f t="shared" si="1"/>
        <v>1</v>
      </c>
      <c r="H10914" s="14">
        <f t="shared" si="2"/>
        <v>29</v>
      </c>
      <c r="I10914" s="15">
        <f t="shared" si="3"/>
        <v>17</v>
      </c>
    </row>
    <row r="10915">
      <c r="A10915" s="8" t="str">
        <f>IFERROR(__xludf.DUMMYFUNCTION("IF('(INGESTA)Datos_consumo_datadis'!A10915&lt;&gt;"""",SPLIT('(INGESTA)Datos_consumo_datadis'!A:A,"",""),"""")"),"ES0031408323131005HX0F")</f>
        <v>ES0031408323131005HX0F</v>
      </c>
      <c r="B10915" s="12">
        <f>IFERROR(__xludf.DUMMYFUNCTION("""COMPUTED_VALUE"""),45320.0)</f>
        <v>45320</v>
      </c>
      <c r="C10915" s="13">
        <f>IFERROR(__xludf.DUMMYFUNCTION("""COMPUTED_VALUE"""),0.75)</f>
        <v>0.75</v>
      </c>
      <c r="D10915" s="8">
        <f>IFERROR(__xludf.DUMMYFUNCTION("""COMPUTED_VALUE"""),0.108)</f>
        <v>0.108</v>
      </c>
      <c r="E10915" s="8" t="str">
        <f>IFERROR(__xludf.DUMMYFUNCTION("""COMPUTED_VALUE"""),"Real")</f>
        <v>Real</v>
      </c>
      <c r="G10915" s="8">
        <f t="shared" si="1"/>
        <v>1</v>
      </c>
      <c r="H10915" s="14">
        <f t="shared" si="2"/>
        <v>29</v>
      </c>
      <c r="I10915" s="15">
        <f t="shared" si="3"/>
        <v>18</v>
      </c>
    </row>
    <row r="10916">
      <c r="A10916" s="8" t="str">
        <f>IFERROR(__xludf.DUMMYFUNCTION("IF('(INGESTA)Datos_consumo_datadis'!A10916&lt;&gt;"""",SPLIT('(INGESTA)Datos_consumo_datadis'!A:A,"",""),"""")"),"ES0031408323131005HX0F")</f>
        <v>ES0031408323131005HX0F</v>
      </c>
      <c r="B10916" s="12">
        <f>IFERROR(__xludf.DUMMYFUNCTION("""COMPUTED_VALUE"""),45320.0)</f>
        <v>45320</v>
      </c>
      <c r="C10916" s="13">
        <f>IFERROR(__xludf.DUMMYFUNCTION("""COMPUTED_VALUE"""),0.7916666666666666)</f>
        <v>0.7916666667</v>
      </c>
      <c r="D10916" s="8">
        <f>IFERROR(__xludf.DUMMYFUNCTION("""COMPUTED_VALUE"""),0.041)</f>
        <v>0.041</v>
      </c>
      <c r="E10916" s="8" t="str">
        <f>IFERROR(__xludf.DUMMYFUNCTION("""COMPUTED_VALUE"""),"Real")</f>
        <v>Real</v>
      </c>
      <c r="G10916" s="8">
        <f t="shared" si="1"/>
        <v>1</v>
      </c>
      <c r="H10916" s="14">
        <f t="shared" si="2"/>
        <v>29</v>
      </c>
      <c r="I10916" s="15">
        <f t="shared" si="3"/>
        <v>19</v>
      </c>
    </row>
    <row r="10917">
      <c r="A10917" s="8" t="str">
        <f>IFERROR(__xludf.DUMMYFUNCTION("IF('(INGESTA)Datos_consumo_datadis'!A10917&lt;&gt;"""",SPLIT('(INGESTA)Datos_consumo_datadis'!A:A,"",""),"""")"),"ES0031408323131005HX0F")</f>
        <v>ES0031408323131005HX0F</v>
      </c>
      <c r="B10917" s="12">
        <f>IFERROR(__xludf.DUMMYFUNCTION("""COMPUTED_VALUE"""),45320.0)</f>
        <v>45320</v>
      </c>
      <c r="C10917" s="13">
        <f>IFERROR(__xludf.DUMMYFUNCTION("""COMPUTED_VALUE"""),0.8333333333333334)</f>
        <v>0.8333333333</v>
      </c>
      <c r="D10917" s="8">
        <f>IFERROR(__xludf.DUMMYFUNCTION("""COMPUTED_VALUE"""),0.786)</f>
        <v>0.786</v>
      </c>
      <c r="E10917" s="8" t="str">
        <f>IFERROR(__xludf.DUMMYFUNCTION("""COMPUTED_VALUE"""),"Real")</f>
        <v>Real</v>
      </c>
      <c r="G10917" s="8">
        <f t="shared" si="1"/>
        <v>1</v>
      </c>
      <c r="H10917" s="14">
        <f t="shared" si="2"/>
        <v>29</v>
      </c>
      <c r="I10917" s="15">
        <f t="shared" si="3"/>
        <v>20</v>
      </c>
    </row>
    <row r="10918">
      <c r="A10918" s="8" t="str">
        <f>IFERROR(__xludf.DUMMYFUNCTION("IF('(INGESTA)Datos_consumo_datadis'!A10918&lt;&gt;"""",SPLIT('(INGESTA)Datos_consumo_datadis'!A:A,"",""),"""")"),"ES0031408323131005HX0F")</f>
        <v>ES0031408323131005HX0F</v>
      </c>
      <c r="B10918" s="12">
        <f>IFERROR(__xludf.DUMMYFUNCTION("""COMPUTED_VALUE"""),45320.0)</f>
        <v>45320</v>
      </c>
      <c r="C10918" s="13">
        <f>IFERROR(__xludf.DUMMYFUNCTION("""COMPUTED_VALUE"""),0.875)</f>
        <v>0.875</v>
      </c>
      <c r="D10918" s="8">
        <f>IFERROR(__xludf.DUMMYFUNCTION("""COMPUTED_VALUE"""),0.193)</f>
        <v>0.193</v>
      </c>
      <c r="E10918" s="8" t="str">
        <f>IFERROR(__xludf.DUMMYFUNCTION("""COMPUTED_VALUE"""),"Real")</f>
        <v>Real</v>
      </c>
      <c r="G10918" s="8">
        <f t="shared" si="1"/>
        <v>1</v>
      </c>
      <c r="H10918" s="14">
        <f t="shared" si="2"/>
        <v>29</v>
      </c>
      <c r="I10918" s="15">
        <f t="shared" si="3"/>
        <v>21</v>
      </c>
    </row>
    <row r="10919">
      <c r="A10919" s="8" t="str">
        <f>IFERROR(__xludf.DUMMYFUNCTION("IF('(INGESTA)Datos_consumo_datadis'!A10919&lt;&gt;"""",SPLIT('(INGESTA)Datos_consumo_datadis'!A:A,"",""),"""")"),"ES0031408323131005HX0F")</f>
        <v>ES0031408323131005HX0F</v>
      </c>
      <c r="B10919" s="12">
        <f>IFERROR(__xludf.DUMMYFUNCTION("""COMPUTED_VALUE"""),45320.0)</f>
        <v>45320</v>
      </c>
      <c r="C10919" s="13">
        <f>IFERROR(__xludf.DUMMYFUNCTION("""COMPUTED_VALUE"""),0.9166666666666666)</f>
        <v>0.9166666667</v>
      </c>
      <c r="D10919" s="8">
        <f>IFERROR(__xludf.DUMMYFUNCTION("""COMPUTED_VALUE"""),0.177)</f>
        <v>0.177</v>
      </c>
      <c r="E10919" s="8" t="str">
        <f>IFERROR(__xludf.DUMMYFUNCTION("""COMPUTED_VALUE"""),"Real")</f>
        <v>Real</v>
      </c>
      <c r="G10919" s="8">
        <f t="shared" si="1"/>
        <v>1</v>
      </c>
      <c r="H10919" s="14">
        <f t="shared" si="2"/>
        <v>29</v>
      </c>
      <c r="I10919" s="15">
        <f t="shared" si="3"/>
        <v>22</v>
      </c>
    </row>
    <row r="10920">
      <c r="A10920" s="8" t="str">
        <f>IFERROR(__xludf.DUMMYFUNCTION("IF('(INGESTA)Datos_consumo_datadis'!A10920&lt;&gt;"""",SPLIT('(INGESTA)Datos_consumo_datadis'!A:A,"",""),"""")"),"ES0031408323131005HX0F")</f>
        <v>ES0031408323131005HX0F</v>
      </c>
      <c r="B10920" s="12">
        <f>IFERROR(__xludf.DUMMYFUNCTION("""COMPUTED_VALUE"""),45320.0)</f>
        <v>45320</v>
      </c>
      <c r="C10920" s="13">
        <f>IFERROR(__xludf.DUMMYFUNCTION("""COMPUTED_VALUE"""),0.9583333333333334)</f>
        <v>0.9583333333</v>
      </c>
      <c r="D10920" s="8">
        <f>IFERROR(__xludf.DUMMYFUNCTION("""COMPUTED_VALUE"""),0.414)</f>
        <v>0.414</v>
      </c>
      <c r="E10920" s="8" t="str">
        <f>IFERROR(__xludf.DUMMYFUNCTION("""COMPUTED_VALUE"""),"Real")</f>
        <v>Real</v>
      </c>
      <c r="G10920" s="8">
        <f t="shared" si="1"/>
        <v>1</v>
      </c>
      <c r="H10920" s="14">
        <f t="shared" si="2"/>
        <v>29</v>
      </c>
      <c r="I10920" s="15">
        <f t="shared" si="3"/>
        <v>23</v>
      </c>
    </row>
    <row r="10921">
      <c r="A10921" s="8" t="str">
        <f>IFERROR(__xludf.DUMMYFUNCTION("IF('(INGESTA)Datos_consumo_datadis'!A10921&lt;&gt;"""",SPLIT('(INGESTA)Datos_consumo_datadis'!A:A,"",""),"""")"),"ES0031408323131005HX0F")</f>
        <v>ES0031408323131005HX0F</v>
      </c>
      <c r="B10921" s="12">
        <f>IFERROR(__xludf.DUMMYFUNCTION("""COMPUTED_VALUE"""),45320.0)</f>
        <v>45320</v>
      </c>
      <c r="C10921" s="16">
        <f>IFERROR(__xludf.DUMMYFUNCTION("""COMPUTED_VALUE"""),1.0)</f>
        <v>1</v>
      </c>
      <c r="D10921" s="8">
        <f>IFERROR(__xludf.DUMMYFUNCTION("""COMPUTED_VALUE"""),1.326)</f>
        <v>1.326</v>
      </c>
      <c r="E10921" s="8" t="str">
        <f>IFERROR(__xludf.DUMMYFUNCTION("""COMPUTED_VALUE"""),"Real")</f>
        <v>Real</v>
      </c>
      <c r="G10921" s="8">
        <f t="shared" si="1"/>
        <v>1</v>
      </c>
      <c r="H10921" s="14">
        <f t="shared" si="2"/>
        <v>29</v>
      </c>
      <c r="I10921" s="15">
        <f t="shared" si="3"/>
        <v>0</v>
      </c>
    </row>
    <row r="10922">
      <c r="A10922" s="8" t="str">
        <f>IFERROR(__xludf.DUMMYFUNCTION("IF('(INGESTA)Datos_consumo_datadis'!A10922&lt;&gt;"""",SPLIT('(INGESTA)Datos_consumo_datadis'!A:A,"",""),"""")"),"ES0031408323131005HX0F")</f>
        <v>ES0031408323131005HX0F</v>
      </c>
      <c r="B10922" s="12">
        <f>IFERROR(__xludf.DUMMYFUNCTION("""COMPUTED_VALUE"""),45321.0)</f>
        <v>45321</v>
      </c>
      <c r="C10922" s="13">
        <f>IFERROR(__xludf.DUMMYFUNCTION("""COMPUTED_VALUE"""),0.041666666666666664)</f>
        <v>0.04166666667</v>
      </c>
      <c r="D10922" s="8">
        <f>IFERROR(__xludf.DUMMYFUNCTION("""COMPUTED_VALUE"""),0.062)</f>
        <v>0.062</v>
      </c>
      <c r="E10922" s="8" t="str">
        <f>IFERROR(__xludf.DUMMYFUNCTION("""COMPUTED_VALUE"""),"Real")</f>
        <v>Real</v>
      </c>
      <c r="G10922" s="8">
        <f t="shared" si="1"/>
        <v>1</v>
      </c>
      <c r="H10922" s="14">
        <f t="shared" si="2"/>
        <v>30</v>
      </c>
      <c r="I10922" s="15">
        <f t="shared" si="3"/>
        <v>1</v>
      </c>
    </row>
    <row r="10923">
      <c r="A10923" s="8" t="str">
        <f>IFERROR(__xludf.DUMMYFUNCTION("IF('(INGESTA)Datos_consumo_datadis'!A10923&lt;&gt;"""",SPLIT('(INGESTA)Datos_consumo_datadis'!A:A,"",""),"""")"),"ES0031408323131005HX0F")</f>
        <v>ES0031408323131005HX0F</v>
      </c>
      <c r="B10923" s="12">
        <f>IFERROR(__xludf.DUMMYFUNCTION("""COMPUTED_VALUE"""),45321.0)</f>
        <v>45321</v>
      </c>
      <c r="C10923" s="13">
        <f>IFERROR(__xludf.DUMMYFUNCTION("""COMPUTED_VALUE"""),0.08333333333333333)</f>
        <v>0.08333333333</v>
      </c>
      <c r="D10923" s="8">
        <f>IFERROR(__xludf.DUMMYFUNCTION("""COMPUTED_VALUE"""),0.088)</f>
        <v>0.088</v>
      </c>
      <c r="E10923" s="8" t="str">
        <f>IFERROR(__xludf.DUMMYFUNCTION("""COMPUTED_VALUE"""),"Real")</f>
        <v>Real</v>
      </c>
      <c r="G10923" s="8">
        <f t="shared" si="1"/>
        <v>1</v>
      </c>
      <c r="H10923" s="14">
        <f t="shared" si="2"/>
        <v>30</v>
      </c>
      <c r="I10923" s="15">
        <f t="shared" si="3"/>
        <v>2</v>
      </c>
    </row>
    <row r="10924">
      <c r="A10924" s="8" t="str">
        <f>IFERROR(__xludf.DUMMYFUNCTION("IF('(INGESTA)Datos_consumo_datadis'!A10924&lt;&gt;"""",SPLIT('(INGESTA)Datos_consumo_datadis'!A:A,"",""),"""")"),"ES0031408323131005HX0F")</f>
        <v>ES0031408323131005HX0F</v>
      </c>
      <c r="B10924" s="12">
        <f>IFERROR(__xludf.DUMMYFUNCTION("""COMPUTED_VALUE"""),45321.0)</f>
        <v>45321</v>
      </c>
      <c r="C10924" s="13">
        <f>IFERROR(__xludf.DUMMYFUNCTION("""COMPUTED_VALUE"""),0.125)</f>
        <v>0.125</v>
      </c>
      <c r="D10924" s="8">
        <f>IFERROR(__xludf.DUMMYFUNCTION("""COMPUTED_VALUE"""),0.053)</f>
        <v>0.053</v>
      </c>
      <c r="E10924" s="8" t="str">
        <f>IFERROR(__xludf.DUMMYFUNCTION("""COMPUTED_VALUE"""),"Real")</f>
        <v>Real</v>
      </c>
      <c r="G10924" s="8">
        <f t="shared" si="1"/>
        <v>1</v>
      </c>
      <c r="H10924" s="14">
        <f t="shared" si="2"/>
        <v>30</v>
      </c>
      <c r="I10924" s="15">
        <f t="shared" si="3"/>
        <v>3</v>
      </c>
    </row>
    <row r="10925">
      <c r="A10925" s="8" t="str">
        <f>IFERROR(__xludf.DUMMYFUNCTION("IF('(INGESTA)Datos_consumo_datadis'!A10925&lt;&gt;"""",SPLIT('(INGESTA)Datos_consumo_datadis'!A:A,"",""),"""")"),"ES0031408323131005HX0F")</f>
        <v>ES0031408323131005HX0F</v>
      </c>
      <c r="B10925" s="12">
        <f>IFERROR(__xludf.DUMMYFUNCTION("""COMPUTED_VALUE"""),45321.0)</f>
        <v>45321</v>
      </c>
      <c r="C10925" s="13">
        <f>IFERROR(__xludf.DUMMYFUNCTION("""COMPUTED_VALUE"""),0.16666666666666666)</f>
        <v>0.1666666667</v>
      </c>
      <c r="D10925" s="8">
        <f>IFERROR(__xludf.DUMMYFUNCTION("""COMPUTED_VALUE"""),0.016)</f>
        <v>0.016</v>
      </c>
      <c r="E10925" s="8" t="str">
        <f>IFERROR(__xludf.DUMMYFUNCTION("""COMPUTED_VALUE"""),"Real")</f>
        <v>Real</v>
      </c>
      <c r="G10925" s="8">
        <f t="shared" si="1"/>
        <v>1</v>
      </c>
      <c r="H10925" s="14">
        <f t="shared" si="2"/>
        <v>30</v>
      </c>
      <c r="I10925" s="15">
        <f t="shared" si="3"/>
        <v>4</v>
      </c>
    </row>
    <row r="10926">
      <c r="A10926" s="8" t="str">
        <f>IFERROR(__xludf.DUMMYFUNCTION("IF('(INGESTA)Datos_consumo_datadis'!A10926&lt;&gt;"""",SPLIT('(INGESTA)Datos_consumo_datadis'!A:A,"",""),"""")"),"ES0031408323131005HX0F")</f>
        <v>ES0031408323131005HX0F</v>
      </c>
      <c r="B10926" s="12">
        <f>IFERROR(__xludf.DUMMYFUNCTION("""COMPUTED_VALUE"""),45321.0)</f>
        <v>45321</v>
      </c>
      <c r="C10926" s="13">
        <f>IFERROR(__xludf.DUMMYFUNCTION("""COMPUTED_VALUE"""),0.20833333333333334)</f>
        <v>0.2083333333</v>
      </c>
      <c r="D10926" s="8">
        <f>IFERROR(__xludf.DUMMYFUNCTION("""COMPUTED_VALUE"""),0.347)</f>
        <v>0.347</v>
      </c>
      <c r="E10926" s="8" t="str">
        <f>IFERROR(__xludf.DUMMYFUNCTION("""COMPUTED_VALUE"""),"Real")</f>
        <v>Real</v>
      </c>
      <c r="G10926" s="8">
        <f t="shared" si="1"/>
        <v>1</v>
      </c>
      <c r="H10926" s="14">
        <f t="shared" si="2"/>
        <v>30</v>
      </c>
      <c r="I10926" s="15">
        <f t="shared" si="3"/>
        <v>5</v>
      </c>
    </row>
    <row r="10927">
      <c r="A10927" s="8" t="str">
        <f>IFERROR(__xludf.DUMMYFUNCTION("IF('(INGESTA)Datos_consumo_datadis'!A10927&lt;&gt;"""",SPLIT('(INGESTA)Datos_consumo_datadis'!A:A,"",""),"""")"),"ES0031408323131005HX0F")</f>
        <v>ES0031408323131005HX0F</v>
      </c>
      <c r="B10927" s="12">
        <f>IFERROR(__xludf.DUMMYFUNCTION("""COMPUTED_VALUE"""),45321.0)</f>
        <v>45321</v>
      </c>
      <c r="C10927" s="13">
        <f>IFERROR(__xludf.DUMMYFUNCTION("""COMPUTED_VALUE"""),0.25)</f>
        <v>0.25</v>
      </c>
      <c r="D10927" s="8">
        <f>IFERROR(__xludf.DUMMYFUNCTION("""COMPUTED_VALUE"""),0.058)</f>
        <v>0.058</v>
      </c>
      <c r="E10927" s="8" t="str">
        <f>IFERROR(__xludf.DUMMYFUNCTION("""COMPUTED_VALUE"""),"Real")</f>
        <v>Real</v>
      </c>
      <c r="G10927" s="8">
        <f t="shared" si="1"/>
        <v>1</v>
      </c>
      <c r="H10927" s="14">
        <f t="shared" si="2"/>
        <v>30</v>
      </c>
      <c r="I10927" s="15">
        <f t="shared" si="3"/>
        <v>6</v>
      </c>
    </row>
    <row r="10928">
      <c r="A10928" s="8" t="str">
        <f>IFERROR(__xludf.DUMMYFUNCTION("IF('(INGESTA)Datos_consumo_datadis'!A10928&lt;&gt;"""",SPLIT('(INGESTA)Datos_consumo_datadis'!A:A,"",""),"""")"),"ES0031408323131005HX0F")</f>
        <v>ES0031408323131005HX0F</v>
      </c>
      <c r="B10928" s="12">
        <f>IFERROR(__xludf.DUMMYFUNCTION("""COMPUTED_VALUE"""),45321.0)</f>
        <v>45321</v>
      </c>
      <c r="C10928" s="13">
        <f>IFERROR(__xludf.DUMMYFUNCTION("""COMPUTED_VALUE"""),0.2916666666666667)</f>
        <v>0.2916666667</v>
      </c>
      <c r="D10928" s="8">
        <f>IFERROR(__xludf.DUMMYFUNCTION("""COMPUTED_VALUE"""),0.034)</f>
        <v>0.034</v>
      </c>
      <c r="E10928" s="8" t="str">
        <f>IFERROR(__xludf.DUMMYFUNCTION("""COMPUTED_VALUE"""),"Real")</f>
        <v>Real</v>
      </c>
      <c r="G10928" s="8">
        <f t="shared" si="1"/>
        <v>1</v>
      </c>
      <c r="H10928" s="14">
        <f t="shared" si="2"/>
        <v>30</v>
      </c>
      <c r="I10928" s="15">
        <f t="shared" si="3"/>
        <v>7</v>
      </c>
    </row>
    <row r="10929">
      <c r="A10929" s="8" t="str">
        <f>IFERROR(__xludf.DUMMYFUNCTION("IF('(INGESTA)Datos_consumo_datadis'!A10929&lt;&gt;"""",SPLIT('(INGESTA)Datos_consumo_datadis'!A:A,"",""),"""")"),"ES0031408323131005HX0F")</f>
        <v>ES0031408323131005HX0F</v>
      </c>
      <c r="B10929" s="12">
        <f>IFERROR(__xludf.DUMMYFUNCTION("""COMPUTED_VALUE"""),45321.0)</f>
        <v>45321</v>
      </c>
      <c r="C10929" s="13">
        <f>IFERROR(__xludf.DUMMYFUNCTION("""COMPUTED_VALUE"""),0.3333333333333333)</f>
        <v>0.3333333333</v>
      </c>
      <c r="D10929" s="8">
        <f>IFERROR(__xludf.DUMMYFUNCTION("""COMPUTED_VALUE"""),0.033)</f>
        <v>0.033</v>
      </c>
      <c r="E10929" s="8" t="str">
        <f>IFERROR(__xludf.DUMMYFUNCTION("""COMPUTED_VALUE"""),"Real")</f>
        <v>Real</v>
      </c>
      <c r="G10929" s="8">
        <f t="shared" si="1"/>
        <v>1</v>
      </c>
      <c r="H10929" s="14">
        <f t="shared" si="2"/>
        <v>30</v>
      </c>
      <c r="I10929" s="15">
        <f t="shared" si="3"/>
        <v>8</v>
      </c>
    </row>
    <row r="10930">
      <c r="A10930" s="8" t="str">
        <f>IFERROR(__xludf.DUMMYFUNCTION("IF('(INGESTA)Datos_consumo_datadis'!A10930&lt;&gt;"""",SPLIT('(INGESTA)Datos_consumo_datadis'!A:A,"",""),"""")"),"ES0031408323131005HX0F")</f>
        <v>ES0031408323131005HX0F</v>
      </c>
      <c r="B10930" s="12">
        <f>IFERROR(__xludf.DUMMYFUNCTION("""COMPUTED_VALUE"""),45321.0)</f>
        <v>45321</v>
      </c>
      <c r="C10930" s="13">
        <f>IFERROR(__xludf.DUMMYFUNCTION("""COMPUTED_VALUE"""),0.375)</f>
        <v>0.375</v>
      </c>
      <c r="D10930" s="8">
        <f>IFERROR(__xludf.DUMMYFUNCTION("""COMPUTED_VALUE"""),0.1)</f>
        <v>0.1</v>
      </c>
      <c r="E10930" s="8" t="str">
        <f>IFERROR(__xludf.DUMMYFUNCTION("""COMPUTED_VALUE"""),"Real")</f>
        <v>Real</v>
      </c>
      <c r="G10930" s="8">
        <f t="shared" si="1"/>
        <v>1</v>
      </c>
      <c r="H10930" s="14">
        <f t="shared" si="2"/>
        <v>30</v>
      </c>
      <c r="I10930" s="15">
        <f t="shared" si="3"/>
        <v>9</v>
      </c>
    </row>
    <row r="10931">
      <c r="A10931" s="8" t="str">
        <f>IFERROR(__xludf.DUMMYFUNCTION("IF('(INGESTA)Datos_consumo_datadis'!A10931&lt;&gt;"""",SPLIT('(INGESTA)Datos_consumo_datadis'!A:A,"",""),"""")"),"ES0031408323131005HX0F")</f>
        <v>ES0031408323131005HX0F</v>
      </c>
      <c r="B10931" s="12">
        <f>IFERROR(__xludf.DUMMYFUNCTION("""COMPUTED_VALUE"""),45321.0)</f>
        <v>45321</v>
      </c>
      <c r="C10931" s="13">
        <f>IFERROR(__xludf.DUMMYFUNCTION("""COMPUTED_VALUE"""),0.4166666666666667)</f>
        <v>0.4166666667</v>
      </c>
      <c r="D10931" s="8">
        <f>IFERROR(__xludf.DUMMYFUNCTION("""COMPUTED_VALUE"""),0.329)</f>
        <v>0.329</v>
      </c>
      <c r="E10931" s="8" t="str">
        <f>IFERROR(__xludf.DUMMYFUNCTION("""COMPUTED_VALUE"""),"Real")</f>
        <v>Real</v>
      </c>
      <c r="G10931" s="8">
        <f t="shared" si="1"/>
        <v>1</v>
      </c>
      <c r="H10931" s="14">
        <f t="shared" si="2"/>
        <v>30</v>
      </c>
      <c r="I10931" s="15">
        <f t="shared" si="3"/>
        <v>10</v>
      </c>
    </row>
    <row r="10932">
      <c r="A10932" s="8" t="str">
        <f>IFERROR(__xludf.DUMMYFUNCTION("IF('(INGESTA)Datos_consumo_datadis'!A10932&lt;&gt;"""",SPLIT('(INGESTA)Datos_consumo_datadis'!A:A,"",""),"""")"),"ES0031408323131005HX0F")</f>
        <v>ES0031408323131005HX0F</v>
      </c>
      <c r="B10932" s="12">
        <f>IFERROR(__xludf.DUMMYFUNCTION("""COMPUTED_VALUE"""),45321.0)</f>
        <v>45321</v>
      </c>
      <c r="C10932" s="13">
        <f>IFERROR(__xludf.DUMMYFUNCTION("""COMPUTED_VALUE"""),0.4583333333333333)</f>
        <v>0.4583333333</v>
      </c>
      <c r="D10932" s="8">
        <f>IFERROR(__xludf.DUMMYFUNCTION("""COMPUTED_VALUE"""),0.036)</f>
        <v>0.036</v>
      </c>
      <c r="E10932" s="8" t="str">
        <f>IFERROR(__xludf.DUMMYFUNCTION("""COMPUTED_VALUE"""),"Real")</f>
        <v>Real</v>
      </c>
      <c r="G10932" s="8">
        <f t="shared" si="1"/>
        <v>1</v>
      </c>
      <c r="H10932" s="14">
        <f t="shared" si="2"/>
        <v>30</v>
      </c>
      <c r="I10932" s="15">
        <f t="shared" si="3"/>
        <v>11</v>
      </c>
    </row>
    <row r="10933">
      <c r="A10933" s="8" t="str">
        <f>IFERROR(__xludf.DUMMYFUNCTION("IF('(INGESTA)Datos_consumo_datadis'!A10933&lt;&gt;"""",SPLIT('(INGESTA)Datos_consumo_datadis'!A:A,"",""),"""")"),"ES0031408323131005HX0F")</f>
        <v>ES0031408323131005HX0F</v>
      </c>
      <c r="B10933" s="12">
        <f>IFERROR(__xludf.DUMMYFUNCTION("""COMPUTED_VALUE"""),45321.0)</f>
        <v>45321</v>
      </c>
      <c r="C10933" s="13">
        <f>IFERROR(__xludf.DUMMYFUNCTION("""COMPUTED_VALUE"""),0.5)</f>
        <v>0.5</v>
      </c>
      <c r="D10933" s="8">
        <f>IFERROR(__xludf.DUMMYFUNCTION("""COMPUTED_VALUE"""),1.42)</f>
        <v>1.42</v>
      </c>
      <c r="E10933" s="8" t="str">
        <f>IFERROR(__xludf.DUMMYFUNCTION("""COMPUTED_VALUE"""),"Real")</f>
        <v>Real</v>
      </c>
      <c r="G10933" s="8">
        <f t="shared" si="1"/>
        <v>1</v>
      </c>
      <c r="H10933" s="14">
        <f t="shared" si="2"/>
        <v>30</v>
      </c>
      <c r="I10933" s="15">
        <f t="shared" si="3"/>
        <v>12</v>
      </c>
    </row>
    <row r="10934">
      <c r="A10934" s="8" t="str">
        <f>IFERROR(__xludf.DUMMYFUNCTION("IF('(INGESTA)Datos_consumo_datadis'!A10934&lt;&gt;"""",SPLIT('(INGESTA)Datos_consumo_datadis'!A:A,"",""),"""")"),"ES0031408323131005HX0F")</f>
        <v>ES0031408323131005HX0F</v>
      </c>
      <c r="B10934" s="12">
        <f>IFERROR(__xludf.DUMMYFUNCTION("""COMPUTED_VALUE"""),45321.0)</f>
        <v>45321</v>
      </c>
      <c r="C10934" s="13">
        <f>IFERROR(__xludf.DUMMYFUNCTION("""COMPUTED_VALUE"""),0.5416666666666666)</f>
        <v>0.5416666667</v>
      </c>
      <c r="D10934" s="8">
        <f>IFERROR(__xludf.DUMMYFUNCTION("""COMPUTED_VALUE"""),0.472)</f>
        <v>0.472</v>
      </c>
      <c r="E10934" s="8" t="str">
        <f>IFERROR(__xludf.DUMMYFUNCTION("""COMPUTED_VALUE"""),"Real")</f>
        <v>Real</v>
      </c>
      <c r="G10934" s="8">
        <f t="shared" si="1"/>
        <v>1</v>
      </c>
      <c r="H10934" s="14">
        <f t="shared" si="2"/>
        <v>30</v>
      </c>
      <c r="I10934" s="15">
        <f t="shared" si="3"/>
        <v>13</v>
      </c>
    </row>
    <row r="10935">
      <c r="A10935" s="8" t="str">
        <f>IFERROR(__xludf.DUMMYFUNCTION("IF('(INGESTA)Datos_consumo_datadis'!A10935&lt;&gt;"""",SPLIT('(INGESTA)Datos_consumo_datadis'!A:A,"",""),"""")"),"ES0031408323131005HX0F")</f>
        <v>ES0031408323131005HX0F</v>
      </c>
      <c r="B10935" s="12">
        <f>IFERROR(__xludf.DUMMYFUNCTION("""COMPUTED_VALUE"""),45321.0)</f>
        <v>45321</v>
      </c>
      <c r="C10935" s="13">
        <f>IFERROR(__xludf.DUMMYFUNCTION("""COMPUTED_VALUE"""),0.5833333333333334)</f>
        <v>0.5833333333</v>
      </c>
      <c r="D10935" s="8">
        <f>IFERROR(__xludf.DUMMYFUNCTION("""COMPUTED_VALUE"""),0.37)</f>
        <v>0.37</v>
      </c>
      <c r="E10935" s="8" t="str">
        <f>IFERROR(__xludf.DUMMYFUNCTION("""COMPUTED_VALUE"""),"Real")</f>
        <v>Real</v>
      </c>
      <c r="G10935" s="8">
        <f t="shared" si="1"/>
        <v>1</v>
      </c>
      <c r="H10935" s="14">
        <f t="shared" si="2"/>
        <v>30</v>
      </c>
      <c r="I10935" s="15">
        <f t="shared" si="3"/>
        <v>14</v>
      </c>
    </row>
    <row r="10936">
      <c r="A10936" s="8" t="str">
        <f>IFERROR(__xludf.DUMMYFUNCTION("IF('(INGESTA)Datos_consumo_datadis'!A10936&lt;&gt;"""",SPLIT('(INGESTA)Datos_consumo_datadis'!A:A,"",""),"""")"),"ES0031408323131005HX0F")</f>
        <v>ES0031408323131005HX0F</v>
      </c>
      <c r="B10936" s="12">
        <f>IFERROR(__xludf.DUMMYFUNCTION("""COMPUTED_VALUE"""),45321.0)</f>
        <v>45321</v>
      </c>
      <c r="C10936" s="13">
        <f>IFERROR(__xludf.DUMMYFUNCTION("""COMPUTED_VALUE"""),0.625)</f>
        <v>0.625</v>
      </c>
      <c r="D10936" s="8">
        <f>IFERROR(__xludf.DUMMYFUNCTION("""COMPUTED_VALUE"""),0.404)</f>
        <v>0.404</v>
      </c>
      <c r="E10936" s="8" t="str">
        <f>IFERROR(__xludf.DUMMYFUNCTION("""COMPUTED_VALUE"""),"Real")</f>
        <v>Real</v>
      </c>
      <c r="G10936" s="8">
        <f t="shared" si="1"/>
        <v>1</v>
      </c>
      <c r="H10936" s="14">
        <f t="shared" si="2"/>
        <v>30</v>
      </c>
      <c r="I10936" s="15">
        <f t="shared" si="3"/>
        <v>15</v>
      </c>
    </row>
    <row r="10937">
      <c r="A10937" s="8" t="str">
        <f>IFERROR(__xludf.DUMMYFUNCTION("IF('(INGESTA)Datos_consumo_datadis'!A10937&lt;&gt;"""",SPLIT('(INGESTA)Datos_consumo_datadis'!A:A,"",""),"""")"),"ES0031408323131005HX0F")</f>
        <v>ES0031408323131005HX0F</v>
      </c>
      <c r="B10937" s="12">
        <f>IFERROR(__xludf.DUMMYFUNCTION("""COMPUTED_VALUE"""),45321.0)</f>
        <v>45321</v>
      </c>
      <c r="C10937" s="13">
        <f>IFERROR(__xludf.DUMMYFUNCTION("""COMPUTED_VALUE"""),0.6666666666666666)</f>
        <v>0.6666666667</v>
      </c>
      <c r="D10937" s="8">
        <f>IFERROR(__xludf.DUMMYFUNCTION("""COMPUTED_VALUE"""),0.133)</f>
        <v>0.133</v>
      </c>
      <c r="E10937" s="8" t="str">
        <f>IFERROR(__xludf.DUMMYFUNCTION("""COMPUTED_VALUE"""),"Real")</f>
        <v>Real</v>
      </c>
      <c r="G10937" s="8">
        <f t="shared" si="1"/>
        <v>1</v>
      </c>
      <c r="H10937" s="14">
        <f t="shared" si="2"/>
        <v>30</v>
      </c>
      <c r="I10937" s="15">
        <f t="shared" si="3"/>
        <v>16</v>
      </c>
    </row>
    <row r="10938">
      <c r="A10938" s="8" t="str">
        <f>IFERROR(__xludf.DUMMYFUNCTION("IF('(INGESTA)Datos_consumo_datadis'!A10938&lt;&gt;"""",SPLIT('(INGESTA)Datos_consumo_datadis'!A:A,"",""),"""")"),"ES0031408323131005HX0F")</f>
        <v>ES0031408323131005HX0F</v>
      </c>
      <c r="B10938" s="12">
        <f>IFERROR(__xludf.DUMMYFUNCTION("""COMPUTED_VALUE"""),45321.0)</f>
        <v>45321</v>
      </c>
      <c r="C10938" s="13">
        <f>IFERROR(__xludf.DUMMYFUNCTION("""COMPUTED_VALUE"""),0.7083333333333334)</f>
        <v>0.7083333333</v>
      </c>
      <c r="D10938" s="8">
        <f>IFERROR(__xludf.DUMMYFUNCTION("""COMPUTED_VALUE"""),0.186)</f>
        <v>0.186</v>
      </c>
      <c r="E10938" s="8" t="str">
        <f>IFERROR(__xludf.DUMMYFUNCTION("""COMPUTED_VALUE"""),"Real")</f>
        <v>Real</v>
      </c>
      <c r="G10938" s="8">
        <f t="shared" si="1"/>
        <v>1</v>
      </c>
      <c r="H10938" s="14">
        <f t="shared" si="2"/>
        <v>30</v>
      </c>
      <c r="I10938" s="15">
        <f t="shared" si="3"/>
        <v>17</v>
      </c>
    </row>
    <row r="10939">
      <c r="A10939" s="8" t="str">
        <f>IFERROR(__xludf.DUMMYFUNCTION("IF('(INGESTA)Datos_consumo_datadis'!A10939&lt;&gt;"""",SPLIT('(INGESTA)Datos_consumo_datadis'!A:A,"",""),"""")"),"ES0031408323131005HX0F")</f>
        <v>ES0031408323131005HX0F</v>
      </c>
      <c r="B10939" s="12">
        <f>IFERROR(__xludf.DUMMYFUNCTION("""COMPUTED_VALUE"""),45321.0)</f>
        <v>45321</v>
      </c>
      <c r="C10939" s="13">
        <f>IFERROR(__xludf.DUMMYFUNCTION("""COMPUTED_VALUE"""),0.75)</f>
        <v>0.75</v>
      </c>
      <c r="D10939" s="8">
        <f>IFERROR(__xludf.DUMMYFUNCTION("""COMPUTED_VALUE"""),0.184)</f>
        <v>0.184</v>
      </c>
      <c r="E10939" s="8" t="str">
        <f>IFERROR(__xludf.DUMMYFUNCTION("""COMPUTED_VALUE"""),"Real")</f>
        <v>Real</v>
      </c>
      <c r="G10939" s="8">
        <f t="shared" si="1"/>
        <v>1</v>
      </c>
      <c r="H10939" s="14">
        <f t="shared" si="2"/>
        <v>30</v>
      </c>
      <c r="I10939" s="15">
        <f t="shared" si="3"/>
        <v>18</v>
      </c>
    </row>
    <row r="10940">
      <c r="A10940" s="8" t="str">
        <f>IFERROR(__xludf.DUMMYFUNCTION("IF('(INGESTA)Datos_consumo_datadis'!A10940&lt;&gt;"""",SPLIT('(INGESTA)Datos_consumo_datadis'!A:A,"",""),"""")"),"ES0031408323131005HX0F")</f>
        <v>ES0031408323131005HX0F</v>
      </c>
      <c r="B10940" s="12">
        <f>IFERROR(__xludf.DUMMYFUNCTION("""COMPUTED_VALUE"""),45321.0)</f>
        <v>45321</v>
      </c>
      <c r="C10940" s="13">
        <f>IFERROR(__xludf.DUMMYFUNCTION("""COMPUTED_VALUE"""),0.7916666666666666)</f>
        <v>0.7916666667</v>
      </c>
      <c r="D10940" s="8">
        <f>IFERROR(__xludf.DUMMYFUNCTION("""COMPUTED_VALUE"""),0.069)</f>
        <v>0.069</v>
      </c>
      <c r="E10940" s="8" t="str">
        <f>IFERROR(__xludf.DUMMYFUNCTION("""COMPUTED_VALUE"""),"Real")</f>
        <v>Real</v>
      </c>
      <c r="G10940" s="8">
        <f t="shared" si="1"/>
        <v>1</v>
      </c>
      <c r="H10940" s="14">
        <f t="shared" si="2"/>
        <v>30</v>
      </c>
      <c r="I10940" s="15">
        <f t="shared" si="3"/>
        <v>19</v>
      </c>
    </row>
    <row r="10941">
      <c r="A10941" s="8" t="str">
        <f>IFERROR(__xludf.DUMMYFUNCTION("IF('(INGESTA)Datos_consumo_datadis'!A10941&lt;&gt;"""",SPLIT('(INGESTA)Datos_consumo_datadis'!A:A,"",""),"""")"),"ES0031408323131005HX0F")</f>
        <v>ES0031408323131005HX0F</v>
      </c>
      <c r="B10941" s="12">
        <f>IFERROR(__xludf.DUMMYFUNCTION("""COMPUTED_VALUE"""),45321.0)</f>
        <v>45321</v>
      </c>
      <c r="C10941" s="13">
        <f>IFERROR(__xludf.DUMMYFUNCTION("""COMPUTED_VALUE"""),0.8333333333333334)</f>
        <v>0.8333333333</v>
      </c>
      <c r="D10941" s="8">
        <f>IFERROR(__xludf.DUMMYFUNCTION("""COMPUTED_VALUE"""),0.325)</f>
        <v>0.325</v>
      </c>
      <c r="E10941" s="8" t="str">
        <f>IFERROR(__xludf.DUMMYFUNCTION("""COMPUTED_VALUE"""),"Real")</f>
        <v>Real</v>
      </c>
      <c r="G10941" s="8">
        <f t="shared" si="1"/>
        <v>1</v>
      </c>
      <c r="H10941" s="14">
        <f t="shared" si="2"/>
        <v>30</v>
      </c>
      <c r="I10941" s="15">
        <f t="shared" si="3"/>
        <v>20</v>
      </c>
    </row>
    <row r="10942">
      <c r="A10942" s="8" t="str">
        <f>IFERROR(__xludf.DUMMYFUNCTION("IF('(INGESTA)Datos_consumo_datadis'!A10942&lt;&gt;"""",SPLIT('(INGESTA)Datos_consumo_datadis'!A:A,"",""),"""")"),"ES0031408323131005HX0F")</f>
        <v>ES0031408323131005HX0F</v>
      </c>
      <c r="B10942" s="12">
        <f>IFERROR(__xludf.DUMMYFUNCTION("""COMPUTED_VALUE"""),45321.0)</f>
        <v>45321</v>
      </c>
      <c r="C10942" s="13">
        <f>IFERROR(__xludf.DUMMYFUNCTION("""COMPUTED_VALUE"""),0.875)</f>
        <v>0.875</v>
      </c>
      <c r="D10942" s="8">
        <f>IFERROR(__xludf.DUMMYFUNCTION("""COMPUTED_VALUE"""),1.129)</f>
        <v>1.129</v>
      </c>
      <c r="E10942" s="8" t="str">
        <f>IFERROR(__xludf.DUMMYFUNCTION("""COMPUTED_VALUE"""),"Real")</f>
        <v>Real</v>
      </c>
      <c r="G10942" s="8">
        <f t="shared" si="1"/>
        <v>1</v>
      </c>
      <c r="H10942" s="14">
        <f t="shared" si="2"/>
        <v>30</v>
      </c>
      <c r="I10942" s="15">
        <f t="shared" si="3"/>
        <v>21</v>
      </c>
    </row>
    <row r="10943">
      <c r="A10943" s="8" t="str">
        <f>IFERROR(__xludf.DUMMYFUNCTION("IF('(INGESTA)Datos_consumo_datadis'!A10943&lt;&gt;"""",SPLIT('(INGESTA)Datos_consumo_datadis'!A:A,"",""),"""")"),"ES0031408323131005HX0F")</f>
        <v>ES0031408323131005HX0F</v>
      </c>
      <c r="B10943" s="12">
        <f>IFERROR(__xludf.DUMMYFUNCTION("""COMPUTED_VALUE"""),45321.0)</f>
        <v>45321</v>
      </c>
      <c r="C10943" s="13">
        <f>IFERROR(__xludf.DUMMYFUNCTION("""COMPUTED_VALUE"""),0.9166666666666666)</f>
        <v>0.9166666667</v>
      </c>
      <c r="D10943" s="8">
        <f>IFERROR(__xludf.DUMMYFUNCTION("""COMPUTED_VALUE"""),0.185)</f>
        <v>0.185</v>
      </c>
      <c r="E10943" s="8" t="str">
        <f>IFERROR(__xludf.DUMMYFUNCTION("""COMPUTED_VALUE"""),"Real")</f>
        <v>Real</v>
      </c>
      <c r="G10943" s="8">
        <f t="shared" si="1"/>
        <v>1</v>
      </c>
      <c r="H10943" s="14">
        <f t="shared" si="2"/>
        <v>30</v>
      </c>
      <c r="I10943" s="15">
        <f t="shared" si="3"/>
        <v>22</v>
      </c>
    </row>
    <row r="10944">
      <c r="A10944" s="8" t="str">
        <f>IFERROR(__xludf.DUMMYFUNCTION("IF('(INGESTA)Datos_consumo_datadis'!A10944&lt;&gt;"""",SPLIT('(INGESTA)Datos_consumo_datadis'!A:A,"",""),"""")"),"ES0031408323131005HX0F")</f>
        <v>ES0031408323131005HX0F</v>
      </c>
      <c r="B10944" s="12">
        <f>IFERROR(__xludf.DUMMYFUNCTION("""COMPUTED_VALUE"""),45321.0)</f>
        <v>45321</v>
      </c>
      <c r="C10944" s="13">
        <f>IFERROR(__xludf.DUMMYFUNCTION("""COMPUTED_VALUE"""),0.9583333333333334)</f>
        <v>0.9583333333</v>
      </c>
      <c r="D10944" s="8">
        <f>IFERROR(__xludf.DUMMYFUNCTION("""COMPUTED_VALUE"""),0.578)</f>
        <v>0.578</v>
      </c>
      <c r="E10944" s="8" t="str">
        <f>IFERROR(__xludf.DUMMYFUNCTION("""COMPUTED_VALUE"""),"Real")</f>
        <v>Real</v>
      </c>
      <c r="G10944" s="8">
        <f t="shared" si="1"/>
        <v>1</v>
      </c>
      <c r="H10944" s="14">
        <f t="shared" si="2"/>
        <v>30</v>
      </c>
      <c r="I10944" s="15">
        <f t="shared" si="3"/>
        <v>23</v>
      </c>
    </row>
    <row r="10945">
      <c r="A10945" s="8" t="str">
        <f>IFERROR(__xludf.DUMMYFUNCTION("IF('(INGESTA)Datos_consumo_datadis'!A10945&lt;&gt;"""",SPLIT('(INGESTA)Datos_consumo_datadis'!A:A,"",""),"""")"),"ES0031408323131005HX0F")</f>
        <v>ES0031408323131005HX0F</v>
      </c>
      <c r="B10945" s="12">
        <f>IFERROR(__xludf.DUMMYFUNCTION("""COMPUTED_VALUE"""),45321.0)</f>
        <v>45321</v>
      </c>
      <c r="C10945" s="16">
        <f>IFERROR(__xludf.DUMMYFUNCTION("""COMPUTED_VALUE"""),1.0)</f>
        <v>1</v>
      </c>
      <c r="D10945" s="8">
        <f>IFERROR(__xludf.DUMMYFUNCTION("""COMPUTED_VALUE"""),0.664)</f>
        <v>0.664</v>
      </c>
      <c r="E10945" s="8" t="str">
        <f>IFERROR(__xludf.DUMMYFUNCTION("""COMPUTED_VALUE"""),"Real")</f>
        <v>Real</v>
      </c>
      <c r="G10945" s="8">
        <f t="shared" si="1"/>
        <v>1</v>
      </c>
      <c r="H10945" s="14">
        <f t="shared" si="2"/>
        <v>30</v>
      </c>
      <c r="I10945" s="15">
        <f t="shared" si="3"/>
        <v>0</v>
      </c>
    </row>
    <row r="10946">
      <c r="A10946" s="8" t="str">
        <f>IFERROR(__xludf.DUMMYFUNCTION("IF('(INGESTA)Datos_consumo_datadis'!A10946&lt;&gt;"""",SPLIT('(INGESTA)Datos_consumo_datadis'!A:A,"",""),"""")"),"ES0031408323131005HX0F")</f>
        <v>ES0031408323131005HX0F</v>
      </c>
      <c r="B10946" s="12">
        <f>IFERROR(__xludf.DUMMYFUNCTION("""COMPUTED_VALUE"""),45322.0)</f>
        <v>45322</v>
      </c>
      <c r="C10946" s="13">
        <f>IFERROR(__xludf.DUMMYFUNCTION("""COMPUTED_VALUE"""),0.041666666666666664)</f>
        <v>0.04166666667</v>
      </c>
      <c r="D10946" s="8">
        <f>IFERROR(__xludf.DUMMYFUNCTION("""COMPUTED_VALUE"""),0.11)</f>
        <v>0.11</v>
      </c>
      <c r="E10946" s="8" t="str">
        <f>IFERROR(__xludf.DUMMYFUNCTION("""COMPUTED_VALUE"""),"Real")</f>
        <v>Real</v>
      </c>
      <c r="G10946" s="8">
        <f t="shared" si="1"/>
        <v>1</v>
      </c>
      <c r="H10946" s="14">
        <f t="shared" si="2"/>
        <v>31</v>
      </c>
      <c r="I10946" s="15">
        <f t="shared" si="3"/>
        <v>1</v>
      </c>
    </row>
    <row r="10947">
      <c r="A10947" s="8" t="str">
        <f>IFERROR(__xludf.DUMMYFUNCTION("IF('(INGESTA)Datos_consumo_datadis'!A10947&lt;&gt;"""",SPLIT('(INGESTA)Datos_consumo_datadis'!A:A,"",""),"""")"),"ES0031408323131005HX0F")</f>
        <v>ES0031408323131005HX0F</v>
      </c>
      <c r="B10947" s="12">
        <f>IFERROR(__xludf.DUMMYFUNCTION("""COMPUTED_VALUE"""),45322.0)</f>
        <v>45322</v>
      </c>
      <c r="C10947" s="13">
        <f>IFERROR(__xludf.DUMMYFUNCTION("""COMPUTED_VALUE"""),0.08333333333333333)</f>
        <v>0.08333333333</v>
      </c>
      <c r="D10947" s="8">
        <f>IFERROR(__xludf.DUMMYFUNCTION("""COMPUTED_VALUE"""),0.041)</f>
        <v>0.041</v>
      </c>
      <c r="E10947" s="8" t="str">
        <f>IFERROR(__xludf.DUMMYFUNCTION("""COMPUTED_VALUE"""),"Real")</f>
        <v>Real</v>
      </c>
      <c r="G10947" s="8">
        <f t="shared" si="1"/>
        <v>1</v>
      </c>
      <c r="H10947" s="14">
        <f t="shared" si="2"/>
        <v>31</v>
      </c>
      <c r="I10947" s="15">
        <f t="shared" si="3"/>
        <v>2</v>
      </c>
    </row>
    <row r="10948">
      <c r="A10948" s="8" t="str">
        <f>IFERROR(__xludf.DUMMYFUNCTION("IF('(INGESTA)Datos_consumo_datadis'!A10948&lt;&gt;"""",SPLIT('(INGESTA)Datos_consumo_datadis'!A:A,"",""),"""")"),"ES0031408323131005HX0F")</f>
        <v>ES0031408323131005HX0F</v>
      </c>
      <c r="B10948" s="12">
        <f>IFERROR(__xludf.DUMMYFUNCTION("""COMPUTED_VALUE"""),45322.0)</f>
        <v>45322</v>
      </c>
      <c r="C10948" s="13">
        <f>IFERROR(__xludf.DUMMYFUNCTION("""COMPUTED_VALUE"""),0.125)</f>
        <v>0.125</v>
      </c>
      <c r="D10948" s="8">
        <f>IFERROR(__xludf.DUMMYFUNCTION("""COMPUTED_VALUE"""),0.076)</f>
        <v>0.076</v>
      </c>
      <c r="E10948" s="8" t="str">
        <f>IFERROR(__xludf.DUMMYFUNCTION("""COMPUTED_VALUE"""),"Real")</f>
        <v>Real</v>
      </c>
      <c r="G10948" s="8">
        <f t="shared" si="1"/>
        <v>1</v>
      </c>
      <c r="H10948" s="14">
        <f t="shared" si="2"/>
        <v>31</v>
      </c>
      <c r="I10948" s="15">
        <f t="shared" si="3"/>
        <v>3</v>
      </c>
    </row>
    <row r="10949">
      <c r="A10949" s="8" t="str">
        <f>IFERROR(__xludf.DUMMYFUNCTION("IF('(INGESTA)Datos_consumo_datadis'!A10949&lt;&gt;"""",SPLIT('(INGESTA)Datos_consumo_datadis'!A:A,"",""),"""")"),"ES0031408323131005HX0F")</f>
        <v>ES0031408323131005HX0F</v>
      </c>
      <c r="B10949" s="12">
        <f>IFERROR(__xludf.DUMMYFUNCTION("""COMPUTED_VALUE"""),45322.0)</f>
        <v>45322</v>
      </c>
      <c r="C10949" s="13">
        <f>IFERROR(__xludf.DUMMYFUNCTION("""COMPUTED_VALUE"""),0.16666666666666666)</f>
        <v>0.1666666667</v>
      </c>
      <c r="D10949" s="8">
        <f>IFERROR(__xludf.DUMMYFUNCTION("""COMPUTED_VALUE"""),0.339)</f>
        <v>0.339</v>
      </c>
      <c r="E10949" s="8" t="str">
        <f>IFERROR(__xludf.DUMMYFUNCTION("""COMPUTED_VALUE"""),"Real")</f>
        <v>Real</v>
      </c>
      <c r="G10949" s="8">
        <f t="shared" si="1"/>
        <v>1</v>
      </c>
      <c r="H10949" s="14">
        <f t="shared" si="2"/>
        <v>31</v>
      </c>
      <c r="I10949" s="15">
        <f t="shared" si="3"/>
        <v>4</v>
      </c>
    </row>
    <row r="10950">
      <c r="A10950" s="8" t="str">
        <f>IFERROR(__xludf.DUMMYFUNCTION("IF('(INGESTA)Datos_consumo_datadis'!A10950&lt;&gt;"""",SPLIT('(INGESTA)Datos_consumo_datadis'!A:A,"",""),"""")"),"ES0031408323131005HX0F")</f>
        <v>ES0031408323131005HX0F</v>
      </c>
      <c r="B10950" s="12">
        <f>IFERROR(__xludf.DUMMYFUNCTION("""COMPUTED_VALUE"""),45322.0)</f>
        <v>45322</v>
      </c>
      <c r="C10950" s="13">
        <f>IFERROR(__xludf.DUMMYFUNCTION("""COMPUTED_VALUE"""),0.20833333333333334)</f>
        <v>0.2083333333</v>
      </c>
      <c r="D10950" s="8">
        <f>IFERROR(__xludf.DUMMYFUNCTION("""COMPUTED_VALUE"""),0.051)</f>
        <v>0.051</v>
      </c>
      <c r="E10950" s="8" t="str">
        <f>IFERROR(__xludf.DUMMYFUNCTION("""COMPUTED_VALUE"""),"Real")</f>
        <v>Real</v>
      </c>
      <c r="G10950" s="8">
        <f t="shared" si="1"/>
        <v>1</v>
      </c>
      <c r="H10950" s="14">
        <f t="shared" si="2"/>
        <v>31</v>
      </c>
      <c r="I10950" s="15">
        <f t="shared" si="3"/>
        <v>5</v>
      </c>
    </row>
    <row r="10951">
      <c r="A10951" s="8" t="str">
        <f>IFERROR(__xludf.DUMMYFUNCTION("IF('(INGESTA)Datos_consumo_datadis'!A10951&lt;&gt;"""",SPLIT('(INGESTA)Datos_consumo_datadis'!A:A,"",""),"""")"),"ES0031408323131005HX0F")</f>
        <v>ES0031408323131005HX0F</v>
      </c>
      <c r="B10951" s="12">
        <f>IFERROR(__xludf.DUMMYFUNCTION("""COMPUTED_VALUE"""),45322.0)</f>
        <v>45322</v>
      </c>
      <c r="C10951" s="13">
        <f>IFERROR(__xludf.DUMMYFUNCTION("""COMPUTED_VALUE"""),0.25)</f>
        <v>0.25</v>
      </c>
      <c r="D10951" s="8">
        <f>IFERROR(__xludf.DUMMYFUNCTION("""COMPUTED_VALUE"""),0.046)</f>
        <v>0.046</v>
      </c>
      <c r="E10951" s="8" t="str">
        <f>IFERROR(__xludf.DUMMYFUNCTION("""COMPUTED_VALUE"""),"Real")</f>
        <v>Real</v>
      </c>
      <c r="G10951" s="8">
        <f t="shared" si="1"/>
        <v>1</v>
      </c>
      <c r="H10951" s="14">
        <f t="shared" si="2"/>
        <v>31</v>
      </c>
      <c r="I10951" s="15">
        <f t="shared" si="3"/>
        <v>6</v>
      </c>
    </row>
    <row r="10952">
      <c r="A10952" s="8" t="str">
        <f>IFERROR(__xludf.DUMMYFUNCTION("IF('(INGESTA)Datos_consumo_datadis'!A10952&lt;&gt;"""",SPLIT('(INGESTA)Datos_consumo_datadis'!A:A,"",""),"""")"),"ES0031408323131005HX0F")</f>
        <v>ES0031408323131005HX0F</v>
      </c>
      <c r="B10952" s="12">
        <f>IFERROR(__xludf.DUMMYFUNCTION("""COMPUTED_VALUE"""),45322.0)</f>
        <v>45322</v>
      </c>
      <c r="C10952" s="13">
        <f>IFERROR(__xludf.DUMMYFUNCTION("""COMPUTED_VALUE"""),0.2916666666666667)</f>
        <v>0.2916666667</v>
      </c>
      <c r="D10952" s="8">
        <f>IFERROR(__xludf.DUMMYFUNCTION("""COMPUTED_VALUE"""),0.079)</f>
        <v>0.079</v>
      </c>
      <c r="E10952" s="8" t="str">
        <f>IFERROR(__xludf.DUMMYFUNCTION("""COMPUTED_VALUE"""),"Real")</f>
        <v>Real</v>
      </c>
      <c r="G10952" s="8">
        <f t="shared" si="1"/>
        <v>1</v>
      </c>
      <c r="H10952" s="14">
        <f t="shared" si="2"/>
        <v>31</v>
      </c>
      <c r="I10952" s="15">
        <f t="shared" si="3"/>
        <v>7</v>
      </c>
    </row>
    <row r="10953">
      <c r="A10953" s="8" t="str">
        <f>IFERROR(__xludf.DUMMYFUNCTION("IF('(INGESTA)Datos_consumo_datadis'!A10953&lt;&gt;"""",SPLIT('(INGESTA)Datos_consumo_datadis'!A:A,"",""),"""")"),"ES0031408323131005HX0F")</f>
        <v>ES0031408323131005HX0F</v>
      </c>
      <c r="B10953" s="12">
        <f>IFERROR(__xludf.DUMMYFUNCTION("""COMPUTED_VALUE"""),45322.0)</f>
        <v>45322</v>
      </c>
      <c r="C10953" s="13">
        <f>IFERROR(__xludf.DUMMYFUNCTION("""COMPUTED_VALUE"""),0.3333333333333333)</f>
        <v>0.3333333333</v>
      </c>
      <c r="D10953" s="8">
        <f>IFERROR(__xludf.DUMMYFUNCTION("""COMPUTED_VALUE"""),0.095)</f>
        <v>0.095</v>
      </c>
      <c r="E10953" s="8" t="str">
        <f>IFERROR(__xludf.DUMMYFUNCTION("""COMPUTED_VALUE"""),"Real")</f>
        <v>Real</v>
      </c>
      <c r="G10953" s="8">
        <f t="shared" si="1"/>
        <v>1</v>
      </c>
      <c r="H10953" s="14">
        <f t="shared" si="2"/>
        <v>31</v>
      </c>
      <c r="I10953" s="15">
        <f t="shared" si="3"/>
        <v>8</v>
      </c>
    </row>
    <row r="10954">
      <c r="A10954" s="8" t="str">
        <f>IFERROR(__xludf.DUMMYFUNCTION("IF('(INGESTA)Datos_consumo_datadis'!A10954&lt;&gt;"""",SPLIT('(INGESTA)Datos_consumo_datadis'!A:A,"",""),"""")"),"ES0031408323131005HX0F")</f>
        <v>ES0031408323131005HX0F</v>
      </c>
      <c r="B10954" s="12">
        <f>IFERROR(__xludf.DUMMYFUNCTION("""COMPUTED_VALUE"""),45322.0)</f>
        <v>45322</v>
      </c>
      <c r="C10954" s="13">
        <f>IFERROR(__xludf.DUMMYFUNCTION("""COMPUTED_VALUE"""),0.375)</f>
        <v>0.375</v>
      </c>
      <c r="D10954" s="8">
        <f>IFERROR(__xludf.DUMMYFUNCTION("""COMPUTED_VALUE"""),0.209)</f>
        <v>0.209</v>
      </c>
      <c r="E10954" s="8" t="str">
        <f>IFERROR(__xludf.DUMMYFUNCTION("""COMPUTED_VALUE"""),"Real")</f>
        <v>Real</v>
      </c>
      <c r="G10954" s="8">
        <f t="shared" si="1"/>
        <v>1</v>
      </c>
      <c r="H10954" s="14">
        <f t="shared" si="2"/>
        <v>31</v>
      </c>
      <c r="I10954" s="15">
        <f t="shared" si="3"/>
        <v>9</v>
      </c>
    </row>
    <row r="10955">
      <c r="A10955" s="8" t="str">
        <f>IFERROR(__xludf.DUMMYFUNCTION("IF('(INGESTA)Datos_consumo_datadis'!A10955&lt;&gt;"""",SPLIT('(INGESTA)Datos_consumo_datadis'!A:A,"",""),"""")"),"ES0031408323131005HX0F")</f>
        <v>ES0031408323131005HX0F</v>
      </c>
      <c r="B10955" s="12">
        <f>IFERROR(__xludf.DUMMYFUNCTION("""COMPUTED_VALUE"""),45322.0)</f>
        <v>45322</v>
      </c>
      <c r="C10955" s="13">
        <f>IFERROR(__xludf.DUMMYFUNCTION("""COMPUTED_VALUE"""),0.4166666666666667)</f>
        <v>0.4166666667</v>
      </c>
      <c r="D10955" s="8">
        <f>IFERROR(__xludf.DUMMYFUNCTION("""COMPUTED_VALUE"""),1.157)</f>
        <v>1.157</v>
      </c>
      <c r="E10955" s="8" t="str">
        <f>IFERROR(__xludf.DUMMYFUNCTION("""COMPUTED_VALUE"""),"Real")</f>
        <v>Real</v>
      </c>
      <c r="G10955" s="8">
        <f t="shared" si="1"/>
        <v>1</v>
      </c>
      <c r="H10955" s="14">
        <f t="shared" si="2"/>
        <v>31</v>
      </c>
      <c r="I10955" s="15">
        <f t="shared" si="3"/>
        <v>10</v>
      </c>
    </row>
    <row r="10956">
      <c r="A10956" s="8" t="str">
        <f>IFERROR(__xludf.DUMMYFUNCTION("IF('(INGESTA)Datos_consumo_datadis'!A10956&lt;&gt;"""",SPLIT('(INGESTA)Datos_consumo_datadis'!A:A,"",""),"""")"),"ES0031408323131005HX0F")</f>
        <v>ES0031408323131005HX0F</v>
      </c>
      <c r="B10956" s="12">
        <f>IFERROR(__xludf.DUMMYFUNCTION("""COMPUTED_VALUE"""),45322.0)</f>
        <v>45322</v>
      </c>
      <c r="C10956" s="13">
        <f>IFERROR(__xludf.DUMMYFUNCTION("""COMPUTED_VALUE"""),0.4583333333333333)</f>
        <v>0.4583333333</v>
      </c>
      <c r="D10956" s="8">
        <f>IFERROR(__xludf.DUMMYFUNCTION("""COMPUTED_VALUE"""),0.385)</f>
        <v>0.385</v>
      </c>
      <c r="E10956" s="8" t="str">
        <f>IFERROR(__xludf.DUMMYFUNCTION("""COMPUTED_VALUE"""),"Real")</f>
        <v>Real</v>
      </c>
      <c r="G10956" s="8">
        <f t="shared" si="1"/>
        <v>1</v>
      </c>
      <c r="H10956" s="14">
        <f t="shared" si="2"/>
        <v>31</v>
      </c>
      <c r="I10956" s="15">
        <f t="shared" si="3"/>
        <v>11</v>
      </c>
    </row>
    <row r="10957">
      <c r="A10957" s="8" t="str">
        <f>IFERROR(__xludf.DUMMYFUNCTION("IF('(INGESTA)Datos_consumo_datadis'!A10957&lt;&gt;"""",SPLIT('(INGESTA)Datos_consumo_datadis'!A:A,"",""),"""")"),"ES0031408323131005HX0F")</f>
        <v>ES0031408323131005HX0F</v>
      </c>
      <c r="B10957" s="12">
        <f>IFERROR(__xludf.DUMMYFUNCTION("""COMPUTED_VALUE"""),45322.0)</f>
        <v>45322</v>
      </c>
      <c r="C10957" s="13">
        <f>IFERROR(__xludf.DUMMYFUNCTION("""COMPUTED_VALUE"""),0.5)</f>
        <v>0.5</v>
      </c>
      <c r="D10957" s="8">
        <f>IFERROR(__xludf.DUMMYFUNCTION("""COMPUTED_VALUE"""),0.219)</f>
        <v>0.219</v>
      </c>
      <c r="E10957" s="8" t="str">
        <f>IFERROR(__xludf.DUMMYFUNCTION("""COMPUTED_VALUE"""),"Real")</f>
        <v>Real</v>
      </c>
      <c r="G10957" s="8">
        <f t="shared" si="1"/>
        <v>1</v>
      </c>
      <c r="H10957" s="14">
        <f t="shared" si="2"/>
        <v>31</v>
      </c>
      <c r="I10957" s="15">
        <f t="shared" si="3"/>
        <v>12</v>
      </c>
    </row>
    <row r="10958">
      <c r="A10958" s="8" t="str">
        <f>IFERROR(__xludf.DUMMYFUNCTION("IF('(INGESTA)Datos_consumo_datadis'!A10958&lt;&gt;"""",SPLIT('(INGESTA)Datos_consumo_datadis'!A:A,"",""),"""")"),"ES0031408323131005HX0F")</f>
        <v>ES0031408323131005HX0F</v>
      </c>
      <c r="B10958" s="12">
        <f>IFERROR(__xludf.DUMMYFUNCTION("""COMPUTED_VALUE"""),45322.0)</f>
        <v>45322</v>
      </c>
      <c r="C10958" s="13">
        <f>IFERROR(__xludf.DUMMYFUNCTION("""COMPUTED_VALUE"""),0.5416666666666666)</f>
        <v>0.5416666667</v>
      </c>
      <c r="D10958" s="8">
        <f>IFERROR(__xludf.DUMMYFUNCTION("""COMPUTED_VALUE"""),0.653)</f>
        <v>0.653</v>
      </c>
      <c r="E10958" s="8" t="str">
        <f>IFERROR(__xludf.DUMMYFUNCTION("""COMPUTED_VALUE"""),"Real")</f>
        <v>Real</v>
      </c>
      <c r="G10958" s="8">
        <f t="shared" si="1"/>
        <v>1</v>
      </c>
      <c r="H10958" s="14">
        <f t="shared" si="2"/>
        <v>31</v>
      </c>
      <c r="I10958" s="15">
        <f t="shared" si="3"/>
        <v>13</v>
      </c>
    </row>
    <row r="10959">
      <c r="A10959" s="8" t="str">
        <f>IFERROR(__xludf.DUMMYFUNCTION("IF('(INGESTA)Datos_consumo_datadis'!A10959&lt;&gt;"""",SPLIT('(INGESTA)Datos_consumo_datadis'!A:A,"",""),"""")"),"ES0031408323131005HX0F")</f>
        <v>ES0031408323131005HX0F</v>
      </c>
      <c r="B10959" s="12">
        <f>IFERROR(__xludf.DUMMYFUNCTION("""COMPUTED_VALUE"""),45322.0)</f>
        <v>45322</v>
      </c>
      <c r="C10959" s="13">
        <f>IFERROR(__xludf.DUMMYFUNCTION("""COMPUTED_VALUE"""),0.5833333333333334)</f>
        <v>0.5833333333</v>
      </c>
      <c r="D10959" s="8">
        <f>IFERROR(__xludf.DUMMYFUNCTION("""COMPUTED_VALUE"""),0.926)</f>
        <v>0.926</v>
      </c>
      <c r="E10959" s="8" t="str">
        <f>IFERROR(__xludf.DUMMYFUNCTION("""COMPUTED_VALUE"""),"Real")</f>
        <v>Real</v>
      </c>
      <c r="G10959" s="8">
        <f t="shared" si="1"/>
        <v>1</v>
      </c>
      <c r="H10959" s="14">
        <f t="shared" si="2"/>
        <v>31</v>
      </c>
      <c r="I10959" s="15">
        <f t="shared" si="3"/>
        <v>14</v>
      </c>
    </row>
    <row r="10960">
      <c r="A10960" s="8" t="str">
        <f>IFERROR(__xludf.DUMMYFUNCTION("IF('(INGESTA)Datos_consumo_datadis'!A10960&lt;&gt;"""",SPLIT('(INGESTA)Datos_consumo_datadis'!A:A,"",""),"""")"),"ES0031408323131005HX0F")</f>
        <v>ES0031408323131005HX0F</v>
      </c>
      <c r="B10960" s="12">
        <f>IFERROR(__xludf.DUMMYFUNCTION("""COMPUTED_VALUE"""),45322.0)</f>
        <v>45322</v>
      </c>
      <c r="C10960" s="13">
        <f>IFERROR(__xludf.DUMMYFUNCTION("""COMPUTED_VALUE"""),0.625)</f>
        <v>0.625</v>
      </c>
      <c r="D10960" s="8">
        <f>IFERROR(__xludf.DUMMYFUNCTION("""COMPUTED_VALUE"""),0.038)</f>
        <v>0.038</v>
      </c>
      <c r="E10960" s="8" t="str">
        <f>IFERROR(__xludf.DUMMYFUNCTION("""COMPUTED_VALUE"""),"Real")</f>
        <v>Real</v>
      </c>
      <c r="G10960" s="8">
        <f t="shared" si="1"/>
        <v>1</v>
      </c>
      <c r="H10960" s="14">
        <f t="shared" si="2"/>
        <v>31</v>
      </c>
      <c r="I10960" s="15">
        <f t="shared" si="3"/>
        <v>15</v>
      </c>
    </row>
    <row r="10961">
      <c r="A10961" s="8" t="str">
        <f>IFERROR(__xludf.DUMMYFUNCTION("IF('(INGESTA)Datos_consumo_datadis'!A10961&lt;&gt;"""",SPLIT('(INGESTA)Datos_consumo_datadis'!A:A,"",""),"""")"),"ES0031408323131005HX0F")</f>
        <v>ES0031408323131005HX0F</v>
      </c>
      <c r="B10961" s="12">
        <f>IFERROR(__xludf.DUMMYFUNCTION("""COMPUTED_VALUE"""),45322.0)</f>
        <v>45322</v>
      </c>
      <c r="C10961" s="13">
        <f>IFERROR(__xludf.DUMMYFUNCTION("""COMPUTED_VALUE"""),0.6666666666666666)</f>
        <v>0.6666666667</v>
      </c>
      <c r="D10961" s="8">
        <f>IFERROR(__xludf.DUMMYFUNCTION("""COMPUTED_VALUE"""),0.082)</f>
        <v>0.082</v>
      </c>
      <c r="E10961" s="8" t="str">
        <f>IFERROR(__xludf.DUMMYFUNCTION("""COMPUTED_VALUE"""),"Real")</f>
        <v>Real</v>
      </c>
      <c r="G10961" s="8">
        <f t="shared" si="1"/>
        <v>1</v>
      </c>
      <c r="H10961" s="14">
        <f t="shared" si="2"/>
        <v>31</v>
      </c>
      <c r="I10961" s="15">
        <f t="shared" si="3"/>
        <v>16</v>
      </c>
    </row>
    <row r="10962">
      <c r="A10962" s="8" t="str">
        <f>IFERROR(__xludf.DUMMYFUNCTION("IF('(INGESTA)Datos_consumo_datadis'!A10962&lt;&gt;"""",SPLIT('(INGESTA)Datos_consumo_datadis'!A:A,"",""),"""")"),"ES0031408323131005HX0F")</f>
        <v>ES0031408323131005HX0F</v>
      </c>
      <c r="B10962" s="12">
        <f>IFERROR(__xludf.DUMMYFUNCTION("""COMPUTED_VALUE"""),45322.0)</f>
        <v>45322</v>
      </c>
      <c r="C10962" s="13">
        <f>IFERROR(__xludf.DUMMYFUNCTION("""COMPUTED_VALUE"""),0.7083333333333334)</f>
        <v>0.7083333333</v>
      </c>
      <c r="D10962" s="8">
        <f>IFERROR(__xludf.DUMMYFUNCTION("""COMPUTED_VALUE"""),0.072)</f>
        <v>0.072</v>
      </c>
      <c r="E10962" s="8" t="str">
        <f>IFERROR(__xludf.DUMMYFUNCTION("""COMPUTED_VALUE"""),"Real")</f>
        <v>Real</v>
      </c>
      <c r="G10962" s="8">
        <f t="shared" si="1"/>
        <v>1</v>
      </c>
      <c r="H10962" s="14">
        <f t="shared" si="2"/>
        <v>31</v>
      </c>
      <c r="I10962" s="15">
        <f t="shared" si="3"/>
        <v>17</v>
      </c>
    </row>
    <row r="10963">
      <c r="A10963" s="8" t="str">
        <f>IFERROR(__xludf.DUMMYFUNCTION("IF('(INGESTA)Datos_consumo_datadis'!A10963&lt;&gt;"""",SPLIT('(INGESTA)Datos_consumo_datadis'!A:A,"",""),"""")"),"ES0031408323131005HX0F")</f>
        <v>ES0031408323131005HX0F</v>
      </c>
      <c r="B10963" s="12">
        <f>IFERROR(__xludf.DUMMYFUNCTION("""COMPUTED_VALUE"""),45322.0)</f>
        <v>45322</v>
      </c>
      <c r="C10963" s="13">
        <f>IFERROR(__xludf.DUMMYFUNCTION("""COMPUTED_VALUE"""),0.75)</f>
        <v>0.75</v>
      </c>
      <c r="D10963" s="8">
        <f>IFERROR(__xludf.DUMMYFUNCTION("""COMPUTED_VALUE"""),0.387)</f>
        <v>0.387</v>
      </c>
      <c r="E10963" s="8" t="str">
        <f>IFERROR(__xludf.DUMMYFUNCTION("""COMPUTED_VALUE"""),"Real")</f>
        <v>Real</v>
      </c>
      <c r="G10963" s="8">
        <f t="shared" si="1"/>
        <v>1</v>
      </c>
      <c r="H10963" s="14">
        <f t="shared" si="2"/>
        <v>31</v>
      </c>
      <c r="I10963" s="15">
        <f t="shared" si="3"/>
        <v>18</v>
      </c>
    </row>
    <row r="10964">
      <c r="A10964" s="8" t="str">
        <f>IFERROR(__xludf.DUMMYFUNCTION("IF('(INGESTA)Datos_consumo_datadis'!A10964&lt;&gt;"""",SPLIT('(INGESTA)Datos_consumo_datadis'!A:A,"",""),"""")"),"ES0031408323131005HX0F")</f>
        <v>ES0031408323131005HX0F</v>
      </c>
      <c r="B10964" s="12">
        <f>IFERROR(__xludf.DUMMYFUNCTION("""COMPUTED_VALUE"""),45322.0)</f>
        <v>45322</v>
      </c>
      <c r="C10964" s="13">
        <f>IFERROR(__xludf.DUMMYFUNCTION("""COMPUTED_VALUE"""),0.7916666666666666)</f>
        <v>0.7916666667</v>
      </c>
      <c r="D10964" s="8">
        <f>IFERROR(__xludf.DUMMYFUNCTION("""COMPUTED_VALUE"""),0.115)</f>
        <v>0.115</v>
      </c>
      <c r="E10964" s="8" t="str">
        <f>IFERROR(__xludf.DUMMYFUNCTION("""COMPUTED_VALUE"""),"Real")</f>
        <v>Real</v>
      </c>
      <c r="G10964" s="8">
        <f t="shared" si="1"/>
        <v>1</v>
      </c>
      <c r="H10964" s="14">
        <f t="shared" si="2"/>
        <v>31</v>
      </c>
      <c r="I10964" s="15">
        <f t="shared" si="3"/>
        <v>19</v>
      </c>
    </row>
    <row r="10965">
      <c r="A10965" s="8" t="str">
        <f>IFERROR(__xludf.DUMMYFUNCTION("IF('(INGESTA)Datos_consumo_datadis'!A10965&lt;&gt;"""",SPLIT('(INGESTA)Datos_consumo_datadis'!A:A,"",""),"""")"),"ES0031408323131005HX0F")</f>
        <v>ES0031408323131005HX0F</v>
      </c>
      <c r="B10965" s="12">
        <f>IFERROR(__xludf.DUMMYFUNCTION("""COMPUTED_VALUE"""),45322.0)</f>
        <v>45322</v>
      </c>
      <c r="C10965" s="13">
        <f>IFERROR(__xludf.DUMMYFUNCTION("""COMPUTED_VALUE"""),0.8333333333333334)</f>
        <v>0.8333333333</v>
      </c>
      <c r="D10965" s="8">
        <f>IFERROR(__xludf.DUMMYFUNCTION("""COMPUTED_VALUE"""),0.975)</f>
        <v>0.975</v>
      </c>
      <c r="E10965" s="8" t="str">
        <f>IFERROR(__xludf.DUMMYFUNCTION("""COMPUTED_VALUE"""),"Real")</f>
        <v>Real</v>
      </c>
      <c r="G10965" s="8">
        <f t="shared" si="1"/>
        <v>1</v>
      </c>
      <c r="H10965" s="14">
        <f t="shared" si="2"/>
        <v>31</v>
      </c>
      <c r="I10965" s="15">
        <f t="shared" si="3"/>
        <v>20</v>
      </c>
    </row>
    <row r="10966">
      <c r="A10966" s="8" t="str">
        <f>IFERROR(__xludf.DUMMYFUNCTION("IF('(INGESTA)Datos_consumo_datadis'!A10966&lt;&gt;"""",SPLIT('(INGESTA)Datos_consumo_datadis'!A:A,"",""),"""")"),"ES0031408323131005HX0F")</f>
        <v>ES0031408323131005HX0F</v>
      </c>
      <c r="B10966" s="12">
        <f>IFERROR(__xludf.DUMMYFUNCTION("""COMPUTED_VALUE"""),45322.0)</f>
        <v>45322</v>
      </c>
      <c r="C10966" s="13">
        <f>IFERROR(__xludf.DUMMYFUNCTION("""COMPUTED_VALUE"""),0.875)</f>
        <v>0.875</v>
      </c>
      <c r="D10966" s="8">
        <f>IFERROR(__xludf.DUMMYFUNCTION("""COMPUTED_VALUE"""),1.93)</f>
        <v>1.93</v>
      </c>
      <c r="E10966" s="8" t="str">
        <f>IFERROR(__xludf.DUMMYFUNCTION("""COMPUTED_VALUE"""),"Real")</f>
        <v>Real</v>
      </c>
      <c r="G10966" s="8">
        <f t="shared" si="1"/>
        <v>1</v>
      </c>
      <c r="H10966" s="14">
        <f t="shared" si="2"/>
        <v>31</v>
      </c>
      <c r="I10966" s="15">
        <f t="shared" si="3"/>
        <v>21</v>
      </c>
    </row>
    <row r="10967">
      <c r="A10967" s="8" t="str">
        <f>IFERROR(__xludf.DUMMYFUNCTION("IF('(INGESTA)Datos_consumo_datadis'!A10967&lt;&gt;"""",SPLIT('(INGESTA)Datos_consumo_datadis'!A:A,"",""),"""")"),"ES0031408323131005HX0F")</f>
        <v>ES0031408323131005HX0F</v>
      </c>
      <c r="B10967" s="12">
        <f>IFERROR(__xludf.DUMMYFUNCTION("""COMPUTED_VALUE"""),45322.0)</f>
        <v>45322</v>
      </c>
      <c r="C10967" s="13">
        <f>IFERROR(__xludf.DUMMYFUNCTION("""COMPUTED_VALUE"""),0.9166666666666666)</f>
        <v>0.9166666667</v>
      </c>
      <c r="D10967" s="8">
        <f>IFERROR(__xludf.DUMMYFUNCTION("""COMPUTED_VALUE"""),1.674)</f>
        <v>1.674</v>
      </c>
      <c r="E10967" s="8" t="str">
        <f>IFERROR(__xludf.DUMMYFUNCTION("""COMPUTED_VALUE"""),"Real")</f>
        <v>Real</v>
      </c>
      <c r="G10967" s="8">
        <f t="shared" si="1"/>
        <v>1</v>
      </c>
      <c r="H10967" s="14">
        <f t="shared" si="2"/>
        <v>31</v>
      </c>
      <c r="I10967" s="15">
        <f t="shared" si="3"/>
        <v>22</v>
      </c>
    </row>
    <row r="10968">
      <c r="A10968" s="8" t="str">
        <f>IFERROR(__xludf.DUMMYFUNCTION("IF('(INGESTA)Datos_consumo_datadis'!A10968&lt;&gt;"""",SPLIT('(INGESTA)Datos_consumo_datadis'!A:A,"",""),"""")"),"ES0031408323131005HX0F")</f>
        <v>ES0031408323131005HX0F</v>
      </c>
      <c r="B10968" s="12">
        <f>IFERROR(__xludf.DUMMYFUNCTION("""COMPUTED_VALUE"""),45322.0)</f>
        <v>45322</v>
      </c>
      <c r="C10968" s="13">
        <f>IFERROR(__xludf.DUMMYFUNCTION("""COMPUTED_VALUE"""),0.9583333333333334)</f>
        <v>0.9583333333</v>
      </c>
      <c r="D10968" s="8">
        <f>IFERROR(__xludf.DUMMYFUNCTION("""COMPUTED_VALUE"""),0.285)</f>
        <v>0.285</v>
      </c>
      <c r="E10968" s="8" t="str">
        <f>IFERROR(__xludf.DUMMYFUNCTION("""COMPUTED_VALUE"""),"Real")</f>
        <v>Real</v>
      </c>
      <c r="G10968" s="8">
        <f t="shared" si="1"/>
        <v>1</v>
      </c>
      <c r="H10968" s="14">
        <f t="shared" si="2"/>
        <v>31</v>
      </c>
      <c r="I10968" s="15">
        <f t="shared" si="3"/>
        <v>23</v>
      </c>
    </row>
    <row r="10969">
      <c r="A10969" s="8" t="str">
        <f>IFERROR(__xludf.DUMMYFUNCTION("IF('(INGESTA)Datos_consumo_datadis'!A10969&lt;&gt;"""",SPLIT('(INGESTA)Datos_consumo_datadis'!A:A,"",""),"""")"),"ES0031408323131005HX0F")</f>
        <v>ES0031408323131005HX0F</v>
      </c>
      <c r="B10969" s="12">
        <f>IFERROR(__xludf.DUMMYFUNCTION("""COMPUTED_VALUE"""),45322.0)</f>
        <v>45322</v>
      </c>
      <c r="C10969" s="16">
        <f>IFERROR(__xludf.DUMMYFUNCTION("""COMPUTED_VALUE"""),1.0)</f>
        <v>1</v>
      </c>
      <c r="D10969" s="8">
        <f>IFERROR(__xludf.DUMMYFUNCTION("""COMPUTED_VALUE"""),1.142)</f>
        <v>1.142</v>
      </c>
      <c r="E10969" s="8" t="str">
        <f>IFERROR(__xludf.DUMMYFUNCTION("""COMPUTED_VALUE"""),"Real")</f>
        <v>Real</v>
      </c>
      <c r="G10969" s="8">
        <f t="shared" si="1"/>
        <v>1</v>
      </c>
      <c r="H10969" s="14">
        <f t="shared" si="2"/>
        <v>31</v>
      </c>
      <c r="I10969" s="15">
        <f t="shared" si="3"/>
        <v>0</v>
      </c>
    </row>
    <row r="10970">
      <c r="A10970" s="8" t="str">
        <f>IFERROR(__xludf.DUMMYFUNCTION("IF('(INGESTA)Datos_consumo_datadis'!A10970&lt;&gt;"""",SPLIT('(INGESTA)Datos_consumo_datadis'!A:A,"",""),"""")"),"ES0031408323131005HX0F")</f>
        <v>ES0031408323131005HX0F</v>
      </c>
      <c r="B10970" s="12">
        <f>IFERROR(__xludf.DUMMYFUNCTION("""COMPUTED_VALUE"""),45323.0)</f>
        <v>45323</v>
      </c>
      <c r="C10970" s="13">
        <f>IFERROR(__xludf.DUMMYFUNCTION("""COMPUTED_VALUE"""),0.041666666666666664)</f>
        <v>0.04166666667</v>
      </c>
      <c r="D10970" s="8">
        <f>IFERROR(__xludf.DUMMYFUNCTION("""COMPUTED_VALUE"""),0.122)</f>
        <v>0.122</v>
      </c>
      <c r="E10970" s="8" t="str">
        <f>IFERROR(__xludf.DUMMYFUNCTION("""COMPUTED_VALUE"""),"Real")</f>
        <v>Real</v>
      </c>
      <c r="G10970" s="8">
        <f t="shared" si="1"/>
        <v>2</v>
      </c>
      <c r="H10970" s="14">
        <f t="shared" si="2"/>
        <v>1</v>
      </c>
      <c r="I10970" s="15">
        <f t="shared" si="3"/>
        <v>1</v>
      </c>
    </row>
    <row r="10971">
      <c r="A10971" s="8" t="str">
        <f>IFERROR(__xludf.DUMMYFUNCTION("IF('(INGESTA)Datos_consumo_datadis'!A10971&lt;&gt;"""",SPLIT('(INGESTA)Datos_consumo_datadis'!A:A,"",""),"""")"),"ES0031408323131005HX0F")</f>
        <v>ES0031408323131005HX0F</v>
      </c>
      <c r="B10971" s="12">
        <f>IFERROR(__xludf.DUMMYFUNCTION("""COMPUTED_VALUE"""),45323.0)</f>
        <v>45323</v>
      </c>
      <c r="C10971" s="13">
        <f>IFERROR(__xludf.DUMMYFUNCTION("""COMPUTED_VALUE"""),0.08333333333333333)</f>
        <v>0.08333333333</v>
      </c>
      <c r="D10971" s="8">
        <f>IFERROR(__xludf.DUMMYFUNCTION("""COMPUTED_VALUE"""),0.092)</f>
        <v>0.092</v>
      </c>
      <c r="E10971" s="8" t="str">
        <f>IFERROR(__xludf.DUMMYFUNCTION("""COMPUTED_VALUE"""),"Real")</f>
        <v>Real</v>
      </c>
      <c r="G10971" s="8">
        <f t="shared" si="1"/>
        <v>2</v>
      </c>
      <c r="H10971" s="14">
        <f t="shared" si="2"/>
        <v>1</v>
      </c>
      <c r="I10971" s="15">
        <f t="shared" si="3"/>
        <v>2</v>
      </c>
    </row>
    <row r="10972">
      <c r="A10972" s="8" t="str">
        <f>IFERROR(__xludf.DUMMYFUNCTION("IF('(INGESTA)Datos_consumo_datadis'!A10972&lt;&gt;"""",SPLIT('(INGESTA)Datos_consumo_datadis'!A:A,"",""),"""")"),"ES0031408323131005HX0F")</f>
        <v>ES0031408323131005HX0F</v>
      </c>
      <c r="B10972" s="12">
        <f>IFERROR(__xludf.DUMMYFUNCTION("""COMPUTED_VALUE"""),45323.0)</f>
        <v>45323</v>
      </c>
      <c r="C10972" s="13">
        <f>IFERROR(__xludf.DUMMYFUNCTION("""COMPUTED_VALUE"""),0.125)</f>
        <v>0.125</v>
      </c>
      <c r="D10972" s="8">
        <f>IFERROR(__xludf.DUMMYFUNCTION("""COMPUTED_VALUE"""),0.032)</f>
        <v>0.032</v>
      </c>
      <c r="E10972" s="8" t="str">
        <f>IFERROR(__xludf.DUMMYFUNCTION("""COMPUTED_VALUE"""),"Real")</f>
        <v>Real</v>
      </c>
      <c r="G10972" s="8">
        <f t="shared" si="1"/>
        <v>2</v>
      </c>
      <c r="H10972" s="14">
        <f t="shared" si="2"/>
        <v>1</v>
      </c>
      <c r="I10972" s="15">
        <f t="shared" si="3"/>
        <v>3</v>
      </c>
    </row>
    <row r="10973">
      <c r="A10973" s="8" t="str">
        <f>IFERROR(__xludf.DUMMYFUNCTION("IF('(INGESTA)Datos_consumo_datadis'!A10973&lt;&gt;"""",SPLIT('(INGESTA)Datos_consumo_datadis'!A:A,"",""),"""")"),"ES0031408323131005HX0F")</f>
        <v>ES0031408323131005HX0F</v>
      </c>
      <c r="B10973" s="12">
        <f>IFERROR(__xludf.DUMMYFUNCTION("""COMPUTED_VALUE"""),45323.0)</f>
        <v>45323</v>
      </c>
      <c r="C10973" s="13">
        <f>IFERROR(__xludf.DUMMYFUNCTION("""COMPUTED_VALUE"""),0.16666666666666666)</f>
        <v>0.1666666667</v>
      </c>
      <c r="D10973" s="8">
        <f>IFERROR(__xludf.DUMMYFUNCTION("""COMPUTED_VALUE"""),0.065)</f>
        <v>0.065</v>
      </c>
      <c r="E10973" s="8" t="str">
        <f>IFERROR(__xludf.DUMMYFUNCTION("""COMPUTED_VALUE"""),"Real")</f>
        <v>Real</v>
      </c>
      <c r="G10973" s="8">
        <f t="shared" si="1"/>
        <v>2</v>
      </c>
      <c r="H10973" s="14">
        <f t="shared" si="2"/>
        <v>1</v>
      </c>
      <c r="I10973" s="15">
        <f t="shared" si="3"/>
        <v>4</v>
      </c>
    </row>
    <row r="10974">
      <c r="A10974" s="8" t="str">
        <f>IFERROR(__xludf.DUMMYFUNCTION("IF('(INGESTA)Datos_consumo_datadis'!A10974&lt;&gt;"""",SPLIT('(INGESTA)Datos_consumo_datadis'!A:A,"",""),"""")"),"ES0031408323131005HX0F")</f>
        <v>ES0031408323131005HX0F</v>
      </c>
      <c r="B10974" s="12">
        <f>IFERROR(__xludf.DUMMYFUNCTION("""COMPUTED_VALUE"""),45323.0)</f>
        <v>45323</v>
      </c>
      <c r="C10974" s="13">
        <f>IFERROR(__xludf.DUMMYFUNCTION("""COMPUTED_VALUE"""),0.20833333333333334)</f>
        <v>0.2083333333</v>
      </c>
      <c r="D10974" s="8">
        <f>IFERROR(__xludf.DUMMYFUNCTION("""COMPUTED_VALUE"""),0.359)</f>
        <v>0.359</v>
      </c>
      <c r="E10974" s="8" t="str">
        <f>IFERROR(__xludf.DUMMYFUNCTION("""COMPUTED_VALUE"""),"Real")</f>
        <v>Real</v>
      </c>
      <c r="G10974" s="8">
        <f t="shared" si="1"/>
        <v>2</v>
      </c>
      <c r="H10974" s="14">
        <f t="shared" si="2"/>
        <v>1</v>
      </c>
      <c r="I10974" s="15">
        <f t="shared" si="3"/>
        <v>5</v>
      </c>
    </row>
    <row r="10975">
      <c r="A10975" s="8" t="str">
        <f>IFERROR(__xludf.DUMMYFUNCTION("IF('(INGESTA)Datos_consumo_datadis'!A10975&lt;&gt;"""",SPLIT('(INGESTA)Datos_consumo_datadis'!A:A,"",""),"""")"),"ES0031408323131005HX0F")</f>
        <v>ES0031408323131005HX0F</v>
      </c>
      <c r="B10975" s="12">
        <f>IFERROR(__xludf.DUMMYFUNCTION("""COMPUTED_VALUE"""),45323.0)</f>
        <v>45323</v>
      </c>
      <c r="C10975" s="13">
        <f>IFERROR(__xludf.DUMMYFUNCTION("""COMPUTED_VALUE"""),0.25)</f>
        <v>0.25</v>
      </c>
      <c r="D10975" s="8">
        <f>IFERROR(__xludf.DUMMYFUNCTION("""COMPUTED_VALUE"""),0.092)</f>
        <v>0.092</v>
      </c>
      <c r="E10975" s="8" t="str">
        <f>IFERROR(__xludf.DUMMYFUNCTION("""COMPUTED_VALUE"""),"Real")</f>
        <v>Real</v>
      </c>
      <c r="G10975" s="8">
        <f t="shared" si="1"/>
        <v>2</v>
      </c>
      <c r="H10975" s="14">
        <f t="shared" si="2"/>
        <v>1</v>
      </c>
      <c r="I10975" s="15">
        <f t="shared" si="3"/>
        <v>6</v>
      </c>
    </row>
    <row r="10976">
      <c r="A10976" s="8" t="str">
        <f>IFERROR(__xludf.DUMMYFUNCTION("IF('(INGESTA)Datos_consumo_datadis'!A10976&lt;&gt;"""",SPLIT('(INGESTA)Datos_consumo_datadis'!A:A,"",""),"""")"),"ES0031408323131005HX0F")</f>
        <v>ES0031408323131005HX0F</v>
      </c>
      <c r="B10976" s="12">
        <f>IFERROR(__xludf.DUMMYFUNCTION("""COMPUTED_VALUE"""),45323.0)</f>
        <v>45323</v>
      </c>
      <c r="C10976" s="13">
        <f>IFERROR(__xludf.DUMMYFUNCTION("""COMPUTED_VALUE"""),0.2916666666666667)</f>
        <v>0.2916666667</v>
      </c>
      <c r="D10976" s="8">
        <f>IFERROR(__xludf.DUMMYFUNCTION("""COMPUTED_VALUE"""),0.029)</f>
        <v>0.029</v>
      </c>
      <c r="E10976" s="8" t="str">
        <f>IFERROR(__xludf.DUMMYFUNCTION("""COMPUTED_VALUE"""),"Real")</f>
        <v>Real</v>
      </c>
      <c r="G10976" s="8">
        <f t="shared" si="1"/>
        <v>2</v>
      </c>
      <c r="H10976" s="14">
        <f t="shared" si="2"/>
        <v>1</v>
      </c>
      <c r="I10976" s="15">
        <f t="shared" si="3"/>
        <v>7</v>
      </c>
    </row>
    <row r="10977">
      <c r="A10977" s="8" t="str">
        <f>IFERROR(__xludf.DUMMYFUNCTION("IF('(INGESTA)Datos_consumo_datadis'!A10977&lt;&gt;"""",SPLIT('(INGESTA)Datos_consumo_datadis'!A:A,"",""),"""")"),"ES0031408323131005HX0F")</f>
        <v>ES0031408323131005HX0F</v>
      </c>
      <c r="B10977" s="12">
        <f>IFERROR(__xludf.DUMMYFUNCTION("""COMPUTED_VALUE"""),45323.0)</f>
        <v>45323</v>
      </c>
      <c r="C10977" s="13">
        <f>IFERROR(__xludf.DUMMYFUNCTION("""COMPUTED_VALUE"""),0.3333333333333333)</f>
        <v>0.3333333333</v>
      </c>
      <c r="D10977" s="8">
        <f>IFERROR(__xludf.DUMMYFUNCTION("""COMPUTED_VALUE"""),0.092)</f>
        <v>0.092</v>
      </c>
      <c r="E10977" s="8" t="str">
        <f>IFERROR(__xludf.DUMMYFUNCTION("""COMPUTED_VALUE"""),"Real")</f>
        <v>Real</v>
      </c>
      <c r="G10977" s="8">
        <f t="shared" si="1"/>
        <v>2</v>
      </c>
      <c r="H10977" s="14">
        <f t="shared" si="2"/>
        <v>1</v>
      </c>
      <c r="I10977" s="15">
        <f t="shared" si="3"/>
        <v>8</v>
      </c>
    </row>
    <row r="10978">
      <c r="A10978" s="8" t="str">
        <f>IFERROR(__xludf.DUMMYFUNCTION("IF('(INGESTA)Datos_consumo_datadis'!A10978&lt;&gt;"""",SPLIT('(INGESTA)Datos_consumo_datadis'!A:A,"",""),"""")"),"ES0031408323131005HX0F")</f>
        <v>ES0031408323131005HX0F</v>
      </c>
      <c r="B10978" s="12">
        <f>IFERROR(__xludf.DUMMYFUNCTION("""COMPUTED_VALUE"""),45323.0)</f>
        <v>45323</v>
      </c>
      <c r="C10978" s="13">
        <f>IFERROR(__xludf.DUMMYFUNCTION("""COMPUTED_VALUE"""),0.375)</f>
        <v>0.375</v>
      </c>
      <c r="D10978" s="8">
        <f>IFERROR(__xludf.DUMMYFUNCTION("""COMPUTED_VALUE"""),0.072)</f>
        <v>0.072</v>
      </c>
      <c r="E10978" s="8" t="str">
        <f>IFERROR(__xludf.DUMMYFUNCTION("""COMPUTED_VALUE"""),"Real")</f>
        <v>Real</v>
      </c>
      <c r="G10978" s="8">
        <f t="shared" si="1"/>
        <v>2</v>
      </c>
      <c r="H10978" s="14">
        <f t="shared" si="2"/>
        <v>1</v>
      </c>
      <c r="I10978" s="15">
        <f t="shared" si="3"/>
        <v>9</v>
      </c>
    </row>
    <row r="10979">
      <c r="A10979" s="8" t="str">
        <f>IFERROR(__xludf.DUMMYFUNCTION("IF('(INGESTA)Datos_consumo_datadis'!A10979&lt;&gt;"""",SPLIT('(INGESTA)Datos_consumo_datadis'!A:A,"",""),"""")"),"ES0031408323131005HX0F")</f>
        <v>ES0031408323131005HX0F</v>
      </c>
      <c r="B10979" s="12">
        <f>IFERROR(__xludf.DUMMYFUNCTION("""COMPUTED_VALUE"""),45323.0)</f>
        <v>45323</v>
      </c>
      <c r="C10979" s="13">
        <f>IFERROR(__xludf.DUMMYFUNCTION("""COMPUTED_VALUE"""),0.4166666666666667)</f>
        <v>0.4166666667</v>
      </c>
      <c r="D10979" s="8">
        <f>IFERROR(__xludf.DUMMYFUNCTION("""COMPUTED_VALUE"""),0.698)</f>
        <v>0.698</v>
      </c>
      <c r="E10979" s="8" t="str">
        <f>IFERROR(__xludf.DUMMYFUNCTION("""COMPUTED_VALUE"""),"Real")</f>
        <v>Real</v>
      </c>
      <c r="G10979" s="8">
        <f t="shared" si="1"/>
        <v>2</v>
      </c>
      <c r="H10979" s="14">
        <f t="shared" si="2"/>
        <v>1</v>
      </c>
      <c r="I10979" s="15">
        <f t="shared" si="3"/>
        <v>10</v>
      </c>
    </row>
    <row r="10980">
      <c r="A10980" s="8" t="str">
        <f>IFERROR(__xludf.DUMMYFUNCTION("IF('(INGESTA)Datos_consumo_datadis'!A10980&lt;&gt;"""",SPLIT('(INGESTA)Datos_consumo_datadis'!A:A,"",""),"""")"),"ES0031408323131005HX0F")</f>
        <v>ES0031408323131005HX0F</v>
      </c>
      <c r="B10980" s="12">
        <f>IFERROR(__xludf.DUMMYFUNCTION("""COMPUTED_VALUE"""),45323.0)</f>
        <v>45323</v>
      </c>
      <c r="C10980" s="13">
        <f>IFERROR(__xludf.DUMMYFUNCTION("""COMPUTED_VALUE"""),0.4583333333333333)</f>
        <v>0.4583333333</v>
      </c>
      <c r="D10980" s="8">
        <f>IFERROR(__xludf.DUMMYFUNCTION("""COMPUTED_VALUE"""),0.587)</f>
        <v>0.587</v>
      </c>
      <c r="E10980" s="8" t="str">
        <f>IFERROR(__xludf.DUMMYFUNCTION("""COMPUTED_VALUE"""),"Real")</f>
        <v>Real</v>
      </c>
      <c r="G10980" s="8">
        <f t="shared" si="1"/>
        <v>2</v>
      </c>
      <c r="H10980" s="14">
        <f t="shared" si="2"/>
        <v>1</v>
      </c>
      <c r="I10980" s="15">
        <f t="shared" si="3"/>
        <v>11</v>
      </c>
    </row>
    <row r="10981">
      <c r="A10981" s="8" t="str">
        <f>IFERROR(__xludf.DUMMYFUNCTION("IF('(INGESTA)Datos_consumo_datadis'!A10981&lt;&gt;"""",SPLIT('(INGESTA)Datos_consumo_datadis'!A:A,"",""),"""")"),"ES0031408323131005HX0F")</f>
        <v>ES0031408323131005HX0F</v>
      </c>
      <c r="B10981" s="12">
        <f>IFERROR(__xludf.DUMMYFUNCTION("""COMPUTED_VALUE"""),45323.0)</f>
        <v>45323</v>
      </c>
      <c r="C10981" s="13">
        <f>IFERROR(__xludf.DUMMYFUNCTION("""COMPUTED_VALUE"""),0.5)</f>
        <v>0.5</v>
      </c>
      <c r="D10981" s="8">
        <f>IFERROR(__xludf.DUMMYFUNCTION("""COMPUTED_VALUE"""),0.393)</f>
        <v>0.393</v>
      </c>
      <c r="E10981" s="8" t="str">
        <f>IFERROR(__xludf.DUMMYFUNCTION("""COMPUTED_VALUE"""),"Real")</f>
        <v>Real</v>
      </c>
      <c r="G10981" s="8">
        <f t="shared" si="1"/>
        <v>2</v>
      </c>
      <c r="H10981" s="14">
        <f t="shared" si="2"/>
        <v>1</v>
      </c>
      <c r="I10981" s="15">
        <f t="shared" si="3"/>
        <v>12</v>
      </c>
    </row>
    <row r="10982">
      <c r="A10982" s="8" t="str">
        <f>IFERROR(__xludf.DUMMYFUNCTION("IF('(INGESTA)Datos_consumo_datadis'!A10982&lt;&gt;"""",SPLIT('(INGESTA)Datos_consumo_datadis'!A:A,"",""),"""")"),"ES0031408323131005HX0F")</f>
        <v>ES0031408323131005HX0F</v>
      </c>
      <c r="B10982" s="12">
        <f>IFERROR(__xludf.DUMMYFUNCTION("""COMPUTED_VALUE"""),45323.0)</f>
        <v>45323</v>
      </c>
      <c r="C10982" s="13">
        <f>IFERROR(__xludf.DUMMYFUNCTION("""COMPUTED_VALUE"""),0.5416666666666666)</f>
        <v>0.5416666667</v>
      </c>
      <c r="D10982" s="8">
        <f>IFERROR(__xludf.DUMMYFUNCTION("""COMPUTED_VALUE"""),1.004)</f>
        <v>1.004</v>
      </c>
      <c r="E10982" s="8" t="str">
        <f>IFERROR(__xludf.DUMMYFUNCTION("""COMPUTED_VALUE"""),"Real")</f>
        <v>Real</v>
      </c>
      <c r="G10982" s="8">
        <f t="shared" si="1"/>
        <v>2</v>
      </c>
      <c r="H10982" s="14">
        <f t="shared" si="2"/>
        <v>1</v>
      </c>
      <c r="I10982" s="15">
        <f t="shared" si="3"/>
        <v>13</v>
      </c>
    </row>
    <row r="10983">
      <c r="A10983" s="8" t="str">
        <f>IFERROR(__xludf.DUMMYFUNCTION("IF('(INGESTA)Datos_consumo_datadis'!A10983&lt;&gt;"""",SPLIT('(INGESTA)Datos_consumo_datadis'!A:A,"",""),"""")"),"ES0031408323131005HX0F")</f>
        <v>ES0031408323131005HX0F</v>
      </c>
      <c r="B10983" s="12">
        <f>IFERROR(__xludf.DUMMYFUNCTION("""COMPUTED_VALUE"""),45323.0)</f>
        <v>45323</v>
      </c>
      <c r="C10983" s="13">
        <f>IFERROR(__xludf.DUMMYFUNCTION("""COMPUTED_VALUE"""),0.5833333333333334)</f>
        <v>0.5833333333</v>
      </c>
      <c r="D10983" s="8">
        <f>IFERROR(__xludf.DUMMYFUNCTION("""COMPUTED_VALUE"""),0.563)</f>
        <v>0.563</v>
      </c>
      <c r="E10983" s="8" t="str">
        <f>IFERROR(__xludf.DUMMYFUNCTION("""COMPUTED_VALUE"""),"Real")</f>
        <v>Real</v>
      </c>
      <c r="G10983" s="8">
        <f t="shared" si="1"/>
        <v>2</v>
      </c>
      <c r="H10983" s="14">
        <f t="shared" si="2"/>
        <v>1</v>
      </c>
      <c r="I10983" s="15">
        <f t="shared" si="3"/>
        <v>14</v>
      </c>
    </row>
    <row r="10984">
      <c r="A10984" s="8" t="str">
        <f>IFERROR(__xludf.DUMMYFUNCTION("IF('(INGESTA)Datos_consumo_datadis'!A10984&lt;&gt;"""",SPLIT('(INGESTA)Datos_consumo_datadis'!A:A,"",""),"""")"),"ES0031408323131005HX0F")</f>
        <v>ES0031408323131005HX0F</v>
      </c>
      <c r="B10984" s="12">
        <f>IFERROR(__xludf.DUMMYFUNCTION("""COMPUTED_VALUE"""),45323.0)</f>
        <v>45323</v>
      </c>
      <c r="C10984" s="13">
        <f>IFERROR(__xludf.DUMMYFUNCTION("""COMPUTED_VALUE"""),0.625)</f>
        <v>0.625</v>
      </c>
      <c r="D10984" s="8">
        <f>IFERROR(__xludf.DUMMYFUNCTION("""COMPUTED_VALUE"""),0.163)</f>
        <v>0.163</v>
      </c>
      <c r="E10984" s="8" t="str">
        <f>IFERROR(__xludf.DUMMYFUNCTION("""COMPUTED_VALUE"""),"Real")</f>
        <v>Real</v>
      </c>
      <c r="G10984" s="8">
        <f t="shared" si="1"/>
        <v>2</v>
      </c>
      <c r="H10984" s="14">
        <f t="shared" si="2"/>
        <v>1</v>
      </c>
      <c r="I10984" s="15">
        <f t="shared" si="3"/>
        <v>15</v>
      </c>
    </row>
    <row r="10985">
      <c r="A10985" s="8" t="str">
        <f>IFERROR(__xludf.DUMMYFUNCTION("IF('(INGESTA)Datos_consumo_datadis'!A10985&lt;&gt;"""",SPLIT('(INGESTA)Datos_consumo_datadis'!A:A,"",""),"""")"),"ES0031408323131005HX0F")</f>
        <v>ES0031408323131005HX0F</v>
      </c>
      <c r="B10985" s="12">
        <f>IFERROR(__xludf.DUMMYFUNCTION("""COMPUTED_VALUE"""),45323.0)</f>
        <v>45323</v>
      </c>
      <c r="C10985" s="13">
        <f>IFERROR(__xludf.DUMMYFUNCTION("""COMPUTED_VALUE"""),0.6666666666666666)</f>
        <v>0.6666666667</v>
      </c>
      <c r="D10985" s="8">
        <f>IFERROR(__xludf.DUMMYFUNCTION("""COMPUTED_VALUE"""),0.11)</f>
        <v>0.11</v>
      </c>
      <c r="E10985" s="8" t="str">
        <f>IFERROR(__xludf.DUMMYFUNCTION("""COMPUTED_VALUE"""),"Real")</f>
        <v>Real</v>
      </c>
      <c r="G10985" s="8">
        <f t="shared" si="1"/>
        <v>2</v>
      </c>
      <c r="H10985" s="14">
        <f t="shared" si="2"/>
        <v>1</v>
      </c>
      <c r="I10985" s="15">
        <f t="shared" si="3"/>
        <v>16</v>
      </c>
    </row>
    <row r="10986">
      <c r="A10986" s="8" t="str">
        <f>IFERROR(__xludf.DUMMYFUNCTION("IF('(INGESTA)Datos_consumo_datadis'!A10986&lt;&gt;"""",SPLIT('(INGESTA)Datos_consumo_datadis'!A:A,"",""),"""")"),"ES0031408323131005HX0F")</f>
        <v>ES0031408323131005HX0F</v>
      </c>
      <c r="B10986" s="12">
        <f>IFERROR(__xludf.DUMMYFUNCTION("""COMPUTED_VALUE"""),45323.0)</f>
        <v>45323</v>
      </c>
      <c r="C10986" s="13">
        <f>IFERROR(__xludf.DUMMYFUNCTION("""COMPUTED_VALUE"""),0.7083333333333334)</f>
        <v>0.7083333333</v>
      </c>
      <c r="D10986" s="8">
        <f>IFERROR(__xludf.DUMMYFUNCTION("""COMPUTED_VALUE"""),1.742)</f>
        <v>1.742</v>
      </c>
      <c r="E10986" s="8" t="str">
        <f>IFERROR(__xludf.DUMMYFUNCTION("""COMPUTED_VALUE"""),"Real")</f>
        <v>Real</v>
      </c>
      <c r="G10986" s="8">
        <f t="shared" si="1"/>
        <v>2</v>
      </c>
      <c r="H10986" s="14">
        <f t="shared" si="2"/>
        <v>1</v>
      </c>
      <c r="I10986" s="15">
        <f t="shared" si="3"/>
        <v>17</v>
      </c>
    </row>
    <row r="10987">
      <c r="A10987" s="8" t="str">
        <f>IFERROR(__xludf.DUMMYFUNCTION("IF('(INGESTA)Datos_consumo_datadis'!A10987&lt;&gt;"""",SPLIT('(INGESTA)Datos_consumo_datadis'!A:A,"",""),"""")"),"ES0031408323131005HX0F")</f>
        <v>ES0031408323131005HX0F</v>
      </c>
      <c r="B10987" s="12">
        <f>IFERROR(__xludf.DUMMYFUNCTION("""COMPUTED_VALUE"""),45323.0)</f>
        <v>45323</v>
      </c>
      <c r="C10987" s="13">
        <f>IFERROR(__xludf.DUMMYFUNCTION("""COMPUTED_VALUE"""),0.75)</f>
        <v>0.75</v>
      </c>
      <c r="D10987" s="8">
        <f>IFERROR(__xludf.DUMMYFUNCTION("""COMPUTED_VALUE"""),2.249)</f>
        <v>2.249</v>
      </c>
      <c r="E10987" s="8" t="str">
        <f>IFERROR(__xludf.DUMMYFUNCTION("""COMPUTED_VALUE"""),"Real")</f>
        <v>Real</v>
      </c>
      <c r="G10987" s="8">
        <f t="shared" si="1"/>
        <v>2</v>
      </c>
      <c r="H10987" s="14">
        <f t="shared" si="2"/>
        <v>1</v>
      </c>
      <c r="I10987" s="15">
        <f t="shared" si="3"/>
        <v>18</v>
      </c>
    </row>
    <row r="10988">
      <c r="A10988" s="8" t="str">
        <f>IFERROR(__xludf.DUMMYFUNCTION("IF('(INGESTA)Datos_consumo_datadis'!A10988&lt;&gt;"""",SPLIT('(INGESTA)Datos_consumo_datadis'!A:A,"",""),"""")"),"ES0031408323131005HX0F")</f>
        <v>ES0031408323131005HX0F</v>
      </c>
      <c r="B10988" s="12">
        <f>IFERROR(__xludf.DUMMYFUNCTION("""COMPUTED_VALUE"""),45323.0)</f>
        <v>45323</v>
      </c>
      <c r="C10988" s="13">
        <f>IFERROR(__xludf.DUMMYFUNCTION("""COMPUTED_VALUE"""),0.7916666666666666)</f>
        <v>0.7916666667</v>
      </c>
      <c r="D10988" s="8">
        <f>IFERROR(__xludf.DUMMYFUNCTION("""COMPUTED_VALUE"""),0.476)</f>
        <v>0.476</v>
      </c>
      <c r="E10988" s="8" t="str">
        <f>IFERROR(__xludf.DUMMYFUNCTION("""COMPUTED_VALUE"""),"Real")</f>
        <v>Real</v>
      </c>
      <c r="G10988" s="8">
        <f t="shared" si="1"/>
        <v>2</v>
      </c>
      <c r="H10988" s="14">
        <f t="shared" si="2"/>
        <v>1</v>
      </c>
      <c r="I10988" s="15">
        <f t="shared" si="3"/>
        <v>19</v>
      </c>
    </row>
    <row r="10989">
      <c r="A10989" s="8" t="str">
        <f>IFERROR(__xludf.DUMMYFUNCTION("IF('(INGESTA)Datos_consumo_datadis'!A10989&lt;&gt;"""",SPLIT('(INGESTA)Datos_consumo_datadis'!A:A,"",""),"""")"),"ES0031408323131005HX0F")</f>
        <v>ES0031408323131005HX0F</v>
      </c>
      <c r="B10989" s="12">
        <f>IFERROR(__xludf.DUMMYFUNCTION("""COMPUTED_VALUE"""),45323.0)</f>
        <v>45323</v>
      </c>
      <c r="C10989" s="13">
        <f>IFERROR(__xludf.DUMMYFUNCTION("""COMPUTED_VALUE"""),0.8333333333333334)</f>
        <v>0.8333333333</v>
      </c>
      <c r="D10989" s="8">
        <f>IFERROR(__xludf.DUMMYFUNCTION("""COMPUTED_VALUE"""),0.683)</f>
        <v>0.683</v>
      </c>
      <c r="E10989" s="8" t="str">
        <f>IFERROR(__xludf.DUMMYFUNCTION("""COMPUTED_VALUE"""),"Real")</f>
        <v>Real</v>
      </c>
      <c r="G10989" s="8">
        <f t="shared" si="1"/>
        <v>2</v>
      </c>
      <c r="H10989" s="14">
        <f t="shared" si="2"/>
        <v>1</v>
      </c>
      <c r="I10989" s="15">
        <f t="shared" si="3"/>
        <v>20</v>
      </c>
    </row>
    <row r="10990">
      <c r="A10990" s="8" t="str">
        <f>IFERROR(__xludf.DUMMYFUNCTION("IF('(INGESTA)Datos_consumo_datadis'!A10990&lt;&gt;"""",SPLIT('(INGESTA)Datos_consumo_datadis'!A:A,"",""),"""")"),"ES0031408323131005HX0F")</f>
        <v>ES0031408323131005HX0F</v>
      </c>
      <c r="B10990" s="12">
        <f>IFERROR(__xludf.DUMMYFUNCTION("""COMPUTED_VALUE"""),45323.0)</f>
        <v>45323</v>
      </c>
      <c r="C10990" s="13">
        <f>IFERROR(__xludf.DUMMYFUNCTION("""COMPUTED_VALUE"""),0.875)</f>
        <v>0.875</v>
      </c>
      <c r="D10990" s="8">
        <f>IFERROR(__xludf.DUMMYFUNCTION("""COMPUTED_VALUE"""),0.688)</f>
        <v>0.688</v>
      </c>
      <c r="E10990" s="8" t="str">
        <f>IFERROR(__xludf.DUMMYFUNCTION("""COMPUTED_VALUE"""),"Real")</f>
        <v>Real</v>
      </c>
      <c r="G10990" s="8">
        <f t="shared" si="1"/>
        <v>2</v>
      </c>
      <c r="H10990" s="14">
        <f t="shared" si="2"/>
        <v>1</v>
      </c>
      <c r="I10990" s="15">
        <f t="shared" si="3"/>
        <v>21</v>
      </c>
    </row>
    <row r="10991">
      <c r="A10991" s="8" t="str">
        <f>IFERROR(__xludf.DUMMYFUNCTION("IF('(INGESTA)Datos_consumo_datadis'!A10991&lt;&gt;"""",SPLIT('(INGESTA)Datos_consumo_datadis'!A:A,"",""),"""")"),"ES0031408323131005HX0F")</f>
        <v>ES0031408323131005HX0F</v>
      </c>
      <c r="B10991" s="12">
        <f>IFERROR(__xludf.DUMMYFUNCTION("""COMPUTED_VALUE"""),45323.0)</f>
        <v>45323</v>
      </c>
      <c r="C10991" s="13">
        <f>IFERROR(__xludf.DUMMYFUNCTION("""COMPUTED_VALUE"""),0.9166666666666666)</f>
        <v>0.9166666667</v>
      </c>
      <c r="D10991" s="8">
        <f>IFERROR(__xludf.DUMMYFUNCTION("""COMPUTED_VALUE"""),1.424)</f>
        <v>1.424</v>
      </c>
      <c r="E10991" s="8" t="str">
        <f>IFERROR(__xludf.DUMMYFUNCTION("""COMPUTED_VALUE"""),"Real")</f>
        <v>Real</v>
      </c>
      <c r="G10991" s="8">
        <f t="shared" si="1"/>
        <v>2</v>
      </c>
      <c r="H10991" s="14">
        <f t="shared" si="2"/>
        <v>1</v>
      </c>
      <c r="I10991" s="15">
        <f t="shared" si="3"/>
        <v>22</v>
      </c>
    </row>
    <row r="10992">
      <c r="A10992" s="8" t="str">
        <f>IFERROR(__xludf.DUMMYFUNCTION("IF('(INGESTA)Datos_consumo_datadis'!A10992&lt;&gt;"""",SPLIT('(INGESTA)Datos_consumo_datadis'!A:A,"",""),"""")"),"ES0031408323131005HX0F")</f>
        <v>ES0031408323131005HX0F</v>
      </c>
      <c r="B10992" s="12">
        <f>IFERROR(__xludf.DUMMYFUNCTION("""COMPUTED_VALUE"""),45323.0)</f>
        <v>45323</v>
      </c>
      <c r="C10992" s="13">
        <f>IFERROR(__xludf.DUMMYFUNCTION("""COMPUTED_VALUE"""),0.9583333333333334)</f>
        <v>0.9583333333</v>
      </c>
      <c r="D10992" s="8">
        <f>IFERROR(__xludf.DUMMYFUNCTION("""COMPUTED_VALUE"""),0.289)</f>
        <v>0.289</v>
      </c>
      <c r="E10992" s="8" t="str">
        <f>IFERROR(__xludf.DUMMYFUNCTION("""COMPUTED_VALUE"""),"Real")</f>
        <v>Real</v>
      </c>
      <c r="G10992" s="8">
        <f t="shared" si="1"/>
        <v>2</v>
      </c>
      <c r="H10992" s="14">
        <f t="shared" si="2"/>
        <v>1</v>
      </c>
      <c r="I10992" s="15">
        <f t="shared" si="3"/>
        <v>23</v>
      </c>
    </row>
    <row r="10993">
      <c r="A10993" s="8" t="str">
        <f>IFERROR(__xludf.DUMMYFUNCTION("IF('(INGESTA)Datos_consumo_datadis'!A10993&lt;&gt;"""",SPLIT('(INGESTA)Datos_consumo_datadis'!A:A,"",""),"""")"),"ES0031408323131005HX0F")</f>
        <v>ES0031408323131005HX0F</v>
      </c>
      <c r="B10993" s="12">
        <f>IFERROR(__xludf.DUMMYFUNCTION("""COMPUTED_VALUE"""),45323.0)</f>
        <v>45323</v>
      </c>
      <c r="C10993" s="16">
        <f>IFERROR(__xludf.DUMMYFUNCTION("""COMPUTED_VALUE"""),1.0)</f>
        <v>1</v>
      </c>
      <c r="D10993" s="8">
        <f>IFERROR(__xludf.DUMMYFUNCTION("""COMPUTED_VALUE"""),1.362)</f>
        <v>1.362</v>
      </c>
      <c r="E10993" s="8" t="str">
        <f>IFERROR(__xludf.DUMMYFUNCTION("""COMPUTED_VALUE"""),"Real")</f>
        <v>Real</v>
      </c>
      <c r="G10993" s="8">
        <f t="shared" si="1"/>
        <v>2</v>
      </c>
      <c r="H10993" s="14">
        <f t="shared" si="2"/>
        <v>1</v>
      </c>
      <c r="I10993" s="15">
        <f t="shared" si="3"/>
        <v>0</v>
      </c>
    </row>
    <row r="10994">
      <c r="A10994" s="8" t="str">
        <f>IFERROR(__xludf.DUMMYFUNCTION("IF('(INGESTA)Datos_consumo_datadis'!A10994&lt;&gt;"""",SPLIT('(INGESTA)Datos_consumo_datadis'!A:A,"",""),"""")"),"ES0031408323131005HX0F")</f>
        <v>ES0031408323131005HX0F</v>
      </c>
      <c r="B10994" s="12">
        <f>IFERROR(__xludf.DUMMYFUNCTION("""COMPUTED_VALUE"""),45324.0)</f>
        <v>45324</v>
      </c>
      <c r="C10994" s="13">
        <f>IFERROR(__xludf.DUMMYFUNCTION("""COMPUTED_VALUE"""),0.041666666666666664)</f>
        <v>0.04166666667</v>
      </c>
      <c r="D10994" s="8">
        <f>IFERROR(__xludf.DUMMYFUNCTION("""COMPUTED_VALUE"""),0.23)</f>
        <v>0.23</v>
      </c>
      <c r="E10994" s="8" t="str">
        <f>IFERROR(__xludf.DUMMYFUNCTION("""COMPUTED_VALUE"""),"Real")</f>
        <v>Real</v>
      </c>
      <c r="G10994" s="8">
        <f t="shared" si="1"/>
        <v>2</v>
      </c>
      <c r="H10994" s="14">
        <f t="shared" si="2"/>
        <v>2</v>
      </c>
      <c r="I10994" s="15">
        <f t="shared" si="3"/>
        <v>1</v>
      </c>
    </row>
    <row r="10995">
      <c r="A10995" s="8" t="str">
        <f>IFERROR(__xludf.DUMMYFUNCTION("IF('(INGESTA)Datos_consumo_datadis'!A10995&lt;&gt;"""",SPLIT('(INGESTA)Datos_consumo_datadis'!A:A,"",""),"""")"),"ES0031408323131005HX0F")</f>
        <v>ES0031408323131005HX0F</v>
      </c>
      <c r="B10995" s="12">
        <f>IFERROR(__xludf.DUMMYFUNCTION("""COMPUTED_VALUE"""),45324.0)</f>
        <v>45324</v>
      </c>
      <c r="C10995" s="13">
        <f>IFERROR(__xludf.DUMMYFUNCTION("""COMPUTED_VALUE"""),0.08333333333333333)</f>
        <v>0.08333333333</v>
      </c>
      <c r="D10995" s="8">
        <f>IFERROR(__xludf.DUMMYFUNCTION("""COMPUTED_VALUE"""),0.044)</f>
        <v>0.044</v>
      </c>
      <c r="E10995" s="8" t="str">
        <f>IFERROR(__xludf.DUMMYFUNCTION("""COMPUTED_VALUE"""),"Real")</f>
        <v>Real</v>
      </c>
      <c r="G10995" s="8">
        <f t="shared" si="1"/>
        <v>2</v>
      </c>
      <c r="H10995" s="14">
        <f t="shared" si="2"/>
        <v>2</v>
      </c>
      <c r="I10995" s="15">
        <f t="shared" si="3"/>
        <v>2</v>
      </c>
    </row>
    <row r="10996">
      <c r="A10996" s="8" t="str">
        <f>IFERROR(__xludf.DUMMYFUNCTION("IF('(INGESTA)Datos_consumo_datadis'!A10996&lt;&gt;"""",SPLIT('(INGESTA)Datos_consumo_datadis'!A:A,"",""),"""")"),"ES0031408323131005HX0F")</f>
        <v>ES0031408323131005HX0F</v>
      </c>
      <c r="B10996" s="12">
        <f>IFERROR(__xludf.DUMMYFUNCTION("""COMPUTED_VALUE"""),45324.0)</f>
        <v>45324</v>
      </c>
      <c r="C10996" s="13">
        <f>IFERROR(__xludf.DUMMYFUNCTION("""COMPUTED_VALUE"""),0.125)</f>
        <v>0.125</v>
      </c>
      <c r="D10996" s="8">
        <f>IFERROR(__xludf.DUMMYFUNCTION("""COMPUTED_VALUE"""),0.07)</f>
        <v>0.07</v>
      </c>
      <c r="E10996" s="8" t="str">
        <f>IFERROR(__xludf.DUMMYFUNCTION("""COMPUTED_VALUE"""),"Real")</f>
        <v>Real</v>
      </c>
      <c r="G10996" s="8">
        <f t="shared" si="1"/>
        <v>2</v>
      </c>
      <c r="H10996" s="14">
        <f t="shared" si="2"/>
        <v>2</v>
      </c>
      <c r="I10996" s="15">
        <f t="shared" si="3"/>
        <v>3</v>
      </c>
    </row>
    <row r="10997">
      <c r="A10997" s="8" t="str">
        <f>IFERROR(__xludf.DUMMYFUNCTION("IF('(INGESTA)Datos_consumo_datadis'!A10997&lt;&gt;"""",SPLIT('(INGESTA)Datos_consumo_datadis'!A:A,"",""),"""")"),"ES0031408323131005HX0F")</f>
        <v>ES0031408323131005HX0F</v>
      </c>
      <c r="B10997" s="12">
        <f>IFERROR(__xludf.DUMMYFUNCTION("""COMPUTED_VALUE"""),45324.0)</f>
        <v>45324</v>
      </c>
      <c r="C10997" s="13">
        <f>IFERROR(__xludf.DUMMYFUNCTION("""COMPUTED_VALUE"""),0.16666666666666666)</f>
        <v>0.1666666667</v>
      </c>
      <c r="D10997" s="8">
        <f>IFERROR(__xludf.DUMMYFUNCTION("""COMPUTED_VALUE"""),0.082)</f>
        <v>0.082</v>
      </c>
      <c r="E10997" s="8" t="str">
        <f>IFERROR(__xludf.DUMMYFUNCTION("""COMPUTED_VALUE"""),"Real")</f>
        <v>Real</v>
      </c>
      <c r="G10997" s="8">
        <f t="shared" si="1"/>
        <v>2</v>
      </c>
      <c r="H10997" s="14">
        <f t="shared" si="2"/>
        <v>2</v>
      </c>
      <c r="I10997" s="15">
        <f t="shared" si="3"/>
        <v>4</v>
      </c>
    </row>
    <row r="10998">
      <c r="A10998" s="8" t="str">
        <f>IFERROR(__xludf.DUMMYFUNCTION("IF('(INGESTA)Datos_consumo_datadis'!A10998&lt;&gt;"""",SPLIT('(INGESTA)Datos_consumo_datadis'!A:A,"",""),"""")"),"ES0031408323131005HX0F")</f>
        <v>ES0031408323131005HX0F</v>
      </c>
      <c r="B10998" s="12">
        <f>IFERROR(__xludf.DUMMYFUNCTION("""COMPUTED_VALUE"""),45324.0)</f>
        <v>45324</v>
      </c>
      <c r="C10998" s="13">
        <f>IFERROR(__xludf.DUMMYFUNCTION("""COMPUTED_VALUE"""),0.20833333333333334)</f>
        <v>0.2083333333</v>
      </c>
      <c r="D10998" s="8">
        <f>IFERROR(__xludf.DUMMYFUNCTION("""COMPUTED_VALUE"""),0.337)</f>
        <v>0.337</v>
      </c>
      <c r="E10998" s="8" t="str">
        <f>IFERROR(__xludf.DUMMYFUNCTION("""COMPUTED_VALUE"""),"Real")</f>
        <v>Real</v>
      </c>
      <c r="G10998" s="8">
        <f t="shared" si="1"/>
        <v>2</v>
      </c>
      <c r="H10998" s="14">
        <f t="shared" si="2"/>
        <v>2</v>
      </c>
      <c r="I10998" s="15">
        <f t="shared" si="3"/>
        <v>5</v>
      </c>
    </row>
    <row r="10999">
      <c r="A10999" s="8" t="str">
        <f>IFERROR(__xludf.DUMMYFUNCTION("IF('(INGESTA)Datos_consumo_datadis'!A10999&lt;&gt;"""",SPLIT('(INGESTA)Datos_consumo_datadis'!A:A,"",""),"""")"),"ES0031408323131005HX0F")</f>
        <v>ES0031408323131005HX0F</v>
      </c>
      <c r="B10999" s="12">
        <f>IFERROR(__xludf.DUMMYFUNCTION("""COMPUTED_VALUE"""),45324.0)</f>
        <v>45324</v>
      </c>
      <c r="C10999" s="13">
        <f>IFERROR(__xludf.DUMMYFUNCTION("""COMPUTED_VALUE"""),0.25)</f>
        <v>0.25</v>
      </c>
      <c r="D10999" s="8">
        <f>IFERROR(__xludf.DUMMYFUNCTION("""COMPUTED_VALUE"""),0.067)</f>
        <v>0.067</v>
      </c>
      <c r="E10999" s="8" t="str">
        <f>IFERROR(__xludf.DUMMYFUNCTION("""COMPUTED_VALUE"""),"Real")</f>
        <v>Real</v>
      </c>
      <c r="G10999" s="8">
        <f t="shared" si="1"/>
        <v>2</v>
      </c>
      <c r="H10999" s="14">
        <f t="shared" si="2"/>
        <v>2</v>
      </c>
      <c r="I10999" s="15">
        <f t="shared" si="3"/>
        <v>6</v>
      </c>
    </row>
    <row r="11000">
      <c r="A11000" s="8" t="str">
        <f>IFERROR(__xludf.DUMMYFUNCTION("IF('(INGESTA)Datos_consumo_datadis'!A11000&lt;&gt;"""",SPLIT('(INGESTA)Datos_consumo_datadis'!A:A,"",""),"""")"),"ES0031408323131005HX0F")</f>
        <v>ES0031408323131005HX0F</v>
      </c>
      <c r="B11000" s="12">
        <f>IFERROR(__xludf.DUMMYFUNCTION("""COMPUTED_VALUE"""),45324.0)</f>
        <v>45324</v>
      </c>
      <c r="C11000" s="13">
        <f>IFERROR(__xludf.DUMMYFUNCTION("""COMPUTED_VALUE"""),0.2916666666666667)</f>
        <v>0.2916666667</v>
      </c>
      <c r="D11000" s="8">
        <f>IFERROR(__xludf.DUMMYFUNCTION("""COMPUTED_VALUE"""),0.085)</f>
        <v>0.085</v>
      </c>
      <c r="E11000" s="8" t="str">
        <f>IFERROR(__xludf.DUMMYFUNCTION("""COMPUTED_VALUE"""),"Real")</f>
        <v>Real</v>
      </c>
      <c r="G11000" s="8">
        <f t="shared" si="1"/>
        <v>2</v>
      </c>
      <c r="H11000" s="14">
        <f t="shared" si="2"/>
        <v>2</v>
      </c>
      <c r="I11000" s="15">
        <f t="shared" si="3"/>
        <v>7</v>
      </c>
    </row>
    <row r="11001">
      <c r="A11001" s="8" t="str">
        <f>IFERROR(__xludf.DUMMYFUNCTION("IF('(INGESTA)Datos_consumo_datadis'!A11001&lt;&gt;"""",SPLIT('(INGESTA)Datos_consumo_datadis'!A:A,"",""),"""")"),"ES0031408323131005HX0F")</f>
        <v>ES0031408323131005HX0F</v>
      </c>
      <c r="B11001" s="12">
        <f>IFERROR(__xludf.DUMMYFUNCTION("""COMPUTED_VALUE"""),45324.0)</f>
        <v>45324</v>
      </c>
      <c r="C11001" s="13">
        <f>IFERROR(__xludf.DUMMYFUNCTION("""COMPUTED_VALUE"""),0.3333333333333333)</f>
        <v>0.3333333333</v>
      </c>
      <c r="D11001" s="8">
        <f>IFERROR(__xludf.DUMMYFUNCTION("""COMPUTED_VALUE"""),0.039)</f>
        <v>0.039</v>
      </c>
      <c r="E11001" s="8" t="str">
        <f>IFERROR(__xludf.DUMMYFUNCTION("""COMPUTED_VALUE"""),"Real")</f>
        <v>Real</v>
      </c>
      <c r="G11001" s="8">
        <f t="shared" si="1"/>
        <v>2</v>
      </c>
      <c r="H11001" s="14">
        <f t="shared" si="2"/>
        <v>2</v>
      </c>
      <c r="I11001" s="15">
        <f t="shared" si="3"/>
        <v>8</v>
      </c>
    </row>
    <row r="11002">
      <c r="A11002" s="8" t="str">
        <f>IFERROR(__xludf.DUMMYFUNCTION("IF('(INGESTA)Datos_consumo_datadis'!A11002&lt;&gt;"""",SPLIT('(INGESTA)Datos_consumo_datadis'!A:A,"",""),"""")"),"ES0031408323131005HX0F")</f>
        <v>ES0031408323131005HX0F</v>
      </c>
      <c r="B11002" s="12">
        <f>IFERROR(__xludf.DUMMYFUNCTION("""COMPUTED_VALUE"""),45324.0)</f>
        <v>45324</v>
      </c>
      <c r="C11002" s="13">
        <f>IFERROR(__xludf.DUMMYFUNCTION("""COMPUTED_VALUE"""),0.375)</f>
        <v>0.375</v>
      </c>
      <c r="D11002" s="8">
        <f>IFERROR(__xludf.DUMMYFUNCTION("""COMPUTED_VALUE"""),0.063)</f>
        <v>0.063</v>
      </c>
      <c r="E11002" s="8" t="str">
        <f>IFERROR(__xludf.DUMMYFUNCTION("""COMPUTED_VALUE"""),"Real")</f>
        <v>Real</v>
      </c>
      <c r="G11002" s="8">
        <f t="shared" si="1"/>
        <v>2</v>
      </c>
      <c r="H11002" s="14">
        <f t="shared" si="2"/>
        <v>2</v>
      </c>
      <c r="I11002" s="15">
        <f t="shared" si="3"/>
        <v>9</v>
      </c>
    </row>
    <row r="11003">
      <c r="A11003" s="8" t="str">
        <f>IFERROR(__xludf.DUMMYFUNCTION("IF('(INGESTA)Datos_consumo_datadis'!A11003&lt;&gt;"""",SPLIT('(INGESTA)Datos_consumo_datadis'!A:A,"",""),"""")"),"ES0031408323131005HX0F")</f>
        <v>ES0031408323131005HX0F</v>
      </c>
      <c r="B11003" s="12">
        <f>IFERROR(__xludf.DUMMYFUNCTION("""COMPUTED_VALUE"""),45324.0)</f>
        <v>45324</v>
      </c>
      <c r="C11003" s="13">
        <f>IFERROR(__xludf.DUMMYFUNCTION("""COMPUTED_VALUE"""),0.4166666666666667)</f>
        <v>0.4166666667</v>
      </c>
      <c r="D11003" s="8">
        <f>IFERROR(__xludf.DUMMYFUNCTION("""COMPUTED_VALUE"""),0.68)</f>
        <v>0.68</v>
      </c>
      <c r="E11003" s="8" t="str">
        <f>IFERROR(__xludf.DUMMYFUNCTION("""COMPUTED_VALUE"""),"Real")</f>
        <v>Real</v>
      </c>
      <c r="G11003" s="8">
        <f t="shared" si="1"/>
        <v>2</v>
      </c>
      <c r="H11003" s="14">
        <f t="shared" si="2"/>
        <v>2</v>
      </c>
      <c r="I11003" s="15">
        <f t="shared" si="3"/>
        <v>10</v>
      </c>
    </row>
    <row r="11004">
      <c r="A11004" s="8" t="str">
        <f>IFERROR(__xludf.DUMMYFUNCTION("IF('(INGESTA)Datos_consumo_datadis'!A11004&lt;&gt;"""",SPLIT('(INGESTA)Datos_consumo_datadis'!A:A,"",""),"""")"),"ES0031408323131005HX0F")</f>
        <v>ES0031408323131005HX0F</v>
      </c>
      <c r="B11004" s="12">
        <f>IFERROR(__xludf.DUMMYFUNCTION("""COMPUTED_VALUE"""),45324.0)</f>
        <v>45324</v>
      </c>
      <c r="C11004" s="13">
        <f>IFERROR(__xludf.DUMMYFUNCTION("""COMPUTED_VALUE"""),0.4583333333333333)</f>
        <v>0.4583333333</v>
      </c>
      <c r="D11004" s="8">
        <f>IFERROR(__xludf.DUMMYFUNCTION("""COMPUTED_VALUE"""),0.696)</f>
        <v>0.696</v>
      </c>
      <c r="E11004" s="8" t="str">
        <f>IFERROR(__xludf.DUMMYFUNCTION("""COMPUTED_VALUE"""),"Real")</f>
        <v>Real</v>
      </c>
      <c r="G11004" s="8">
        <f t="shared" si="1"/>
        <v>2</v>
      </c>
      <c r="H11004" s="14">
        <f t="shared" si="2"/>
        <v>2</v>
      </c>
      <c r="I11004" s="15">
        <f t="shared" si="3"/>
        <v>11</v>
      </c>
    </row>
    <row r="11005">
      <c r="A11005" s="8" t="str">
        <f>IFERROR(__xludf.DUMMYFUNCTION("IF('(INGESTA)Datos_consumo_datadis'!A11005&lt;&gt;"""",SPLIT('(INGESTA)Datos_consumo_datadis'!A:A,"",""),"""")"),"ES0031408323131005HX0F")</f>
        <v>ES0031408323131005HX0F</v>
      </c>
      <c r="B11005" s="12">
        <f>IFERROR(__xludf.DUMMYFUNCTION("""COMPUTED_VALUE"""),45324.0)</f>
        <v>45324</v>
      </c>
      <c r="C11005" s="13">
        <f>IFERROR(__xludf.DUMMYFUNCTION("""COMPUTED_VALUE"""),0.5)</f>
        <v>0.5</v>
      </c>
      <c r="D11005" s="8">
        <f>IFERROR(__xludf.DUMMYFUNCTION("""COMPUTED_VALUE"""),0.036)</f>
        <v>0.036</v>
      </c>
      <c r="E11005" s="8" t="str">
        <f>IFERROR(__xludf.DUMMYFUNCTION("""COMPUTED_VALUE"""),"Real")</f>
        <v>Real</v>
      </c>
      <c r="G11005" s="8">
        <f t="shared" si="1"/>
        <v>2</v>
      </c>
      <c r="H11005" s="14">
        <f t="shared" si="2"/>
        <v>2</v>
      </c>
      <c r="I11005" s="15">
        <f t="shared" si="3"/>
        <v>12</v>
      </c>
    </row>
    <row r="11006">
      <c r="A11006" s="8" t="str">
        <f>IFERROR(__xludf.DUMMYFUNCTION("IF('(INGESTA)Datos_consumo_datadis'!A11006&lt;&gt;"""",SPLIT('(INGESTA)Datos_consumo_datadis'!A:A,"",""),"""")"),"ES0031408323131005HX0F")</f>
        <v>ES0031408323131005HX0F</v>
      </c>
      <c r="B11006" s="12">
        <f>IFERROR(__xludf.DUMMYFUNCTION("""COMPUTED_VALUE"""),45324.0)</f>
        <v>45324</v>
      </c>
      <c r="C11006" s="13">
        <f>IFERROR(__xludf.DUMMYFUNCTION("""COMPUTED_VALUE"""),0.5416666666666666)</f>
        <v>0.5416666667</v>
      </c>
      <c r="D11006" s="8">
        <f>IFERROR(__xludf.DUMMYFUNCTION("""COMPUTED_VALUE"""),0.352)</f>
        <v>0.352</v>
      </c>
      <c r="E11006" s="8" t="str">
        <f>IFERROR(__xludf.DUMMYFUNCTION("""COMPUTED_VALUE"""),"Real")</f>
        <v>Real</v>
      </c>
      <c r="G11006" s="8">
        <f t="shared" si="1"/>
        <v>2</v>
      </c>
      <c r="H11006" s="14">
        <f t="shared" si="2"/>
        <v>2</v>
      </c>
      <c r="I11006" s="15">
        <f t="shared" si="3"/>
        <v>13</v>
      </c>
    </row>
    <row r="11007">
      <c r="A11007" s="8" t="str">
        <f>IFERROR(__xludf.DUMMYFUNCTION("IF('(INGESTA)Datos_consumo_datadis'!A11007&lt;&gt;"""",SPLIT('(INGESTA)Datos_consumo_datadis'!A:A,"",""),"""")"),"ES0031408323131005HX0F")</f>
        <v>ES0031408323131005HX0F</v>
      </c>
      <c r="B11007" s="12">
        <f>IFERROR(__xludf.DUMMYFUNCTION("""COMPUTED_VALUE"""),45324.0)</f>
        <v>45324</v>
      </c>
      <c r="C11007" s="13">
        <f>IFERROR(__xludf.DUMMYFUNCTION("""COMPUTED_VALUE"""),0.5833333333333334)</f>
        <v>0.5833333333</v>
      </c>
      <c r="D11007" s="8">
        <f>IFERROR(__xludf.DUMMYFUNCTION("""COMPUTED_VALUE"""),0.065)</f>
        <v>0.065</v>
      </c>
      <c r="E11007" s="8" t="str">
        <f>IFERROR(__xludf.DUMMYFUNCTION("""COMPUTED_VALUE"""),"Real")</f>
        <v>Real</v>
      </c>
      <c r="G11007" s="8">
        <f t="shared" si="1"/>
        <v>2</v>
      </c>
      <c r="H11007" s="14">
        <f t="shared" si="2"/>
        <v>2</v>
      </c>
      <c r="I11007" s="15">
        <f t="shared" si="3"/>
        <v>14</v>
      </c>
    </row>
    <row r="11008">
      <c r="A11008" s="8" t="str">
        <f>IFERROR(__xludf.DUMMYFUNCTION("IF('(INGESTA)Datos_consumo_datadis'!A11008&lt;&gt;"""",SPLIT('(INGESTA)Datos_consumo_datadis'!A:A,"",""),"""")"),"ES0031408323131005HX0F")</f>
        <v>ES0031408323131005HX0F</v>
      </c>
      <c r="B11008" s="12">
        <f>IFERROR(__xludf.DUMMYFUNCTION("""COMPUTED_VALUE"""),45324.0)</f>
        <v>45324</v>
      </c>
      <c r="C11008" s="13">
        <f>IFERROR(__xludf.DUMMYFUNCTION("""COMPUTED_VALUE"""),0.625)</f>
        <v>0.625</v>
      </c>
      <c r="D11008" s="8">
        <f>IFERROR(__xludf.DUMMYFUNCTION("""COMPUTED_VALUE"""),0.782)</f>
        <v>0.782</v>
      </c>
      <c r="E11008" s="8" t="str">
        <f>IFERROR(__xludf.DUMMYFUNCTION("""COMPUTED_VALUE"""),"Real")</f>
        <v>Real</v>
      </c>
      <c r="G11008" s="8">
        <f t="shared" si="1"/>
        <v>2</v>
      </c>
      <c r="H11008" s="14">
        <f t="shared" si="2"/>
        <v>2</v>
      </c>
      <c r="I11008" s="15">
        <f t="shared" si="3"/>
        <v>15</v>
      </c>
    </row>
    <row r="11009">
      <c r="A11009" s="8" t="str">
        <f>IFERROR(__xludf.DUMMYFUNCTION("IF('(INGESTA)Datos_consumo_datadis'!A11009&lt;&gt;"""",SPLIT('(INGESTA)Datos_consumo_datadis'!A:A,"",""),"""")"),"ES0031408323131005HX0F")</f>
        <v>ES0031408323131005HX0F</v>
      </c>
      <c r="B11009" s="12">
        <f>IFERROR(__xludf.DUMMYFUNCTION("""COMPUTED_VALUE"""),45324.0)</f>
        <v>45324</v>
      </c>
      <c r="C11009" s="13">
        <f>IFERROR(__xludf.DUMMYFUNCTION("""COMPUTED_VALUE"""),0.6666666666666666)</f>
        <v>0.6666666667</v>
      </c>
      <c r="D11009" s="8">
        <f>IFERROR(__xludf.DUMMYFUNCTION("""COMPUTED_VALUE"""),0.843)</f>
        <v>0.843</v>
      </c>
      <c r="E11009" s="8" t="str">
        <f>IFERROR(__xludf.DUMMYFUNCTION("""COMPUTED_VALUE"""),"Real")</f>
        <v>Real</v>
      </c>
      <c r="G11009" s="8">
        <f t="shared" si="1"/>
        <v>2</v>
      </c>
      <c r="H11009" s="14">
        <f t="shared" si="2"/>
        <v>2</v>
      </c>
      <c r="I11009" s="15">
        <f t="shared" si="3"/>
        <v>16</v>
      </c>
    </row>
    <row r="11010">
      <c r="A11010" s="8" t="str">
        <f>IFERROR(__xludf.DUMMYFUNCTION("IF('(INGESTA)Datos_consumo_datadis'!A11010&lt;&gt;"""",SPLIT('(INGESTA)Datos_consumo_datadis'!A:A,"",""),"""")"),"ES0031408323131005HX0F")</f>
        <v>ES0031408323131005HX0F</v>
      </c>
      <c r="B11010" s="12">
        <f>IFERROR(__xludf.DUMMYFUNCTION("""COMPUTED_VALUE"""),45324.0)</f>
        <v>45324</v>
      </c>
      <c r="C11010" s="13">
        <f>IFERROR(__xludf.DUMMYFUNCTION("""COMPUTED_VALUE"""),0.7083333333333334)</f>
        <v>0.7083333333</v>
      </c>
      <c r="D11010" s="8">
        <f>IFERROR(__xludf.DUMMYFUNCTION("""COMPUTED_VALUE"""),0.491)</f>
        <v>0.491</v>
      </c>
      <c r="E11010" s="8" t="str">
        <f>IFERROR(__xludf.DUMMYFUNCTION("""COMPUTED_VALUE"""),"Real")</f>
        <v>Real</v>
      </c>
      <c r="G11010" s="8">
        <f t="shared" si="1"/>
        <v>2</v>
      </c>
      <c r="H11010" s="14">
        <f t="shared" si="2"/>
        <v>2</v>
      </c>
      <c r="I11010" s="15">
        <f t="shared" si="3"/>
        <v>17</v>
      </c>
    </row>
    <row r="11011">
      <c r="A11011" s="8" t="str">
        <f>IFERROR(__xludf.DUMMYFUNCTION("IF('(INGESTA)Datos_consumo_datadis'!A11011&lt;&gt;"""",SPLIT('(INGESTA)Datos_consumo_datadis'!A:A,"",""),"""")"),"ES0031408323131005HX0F")</f>
        <v>ES0031408323131005HX0F</v>
      </c>
      <c r="B11011" s="12">
        <f>IFERROR(__xludf.DUMMYFUNCTION("""COMPUTED_VALUE"""),45324.0)</f>
        <v>45324</v>
      </c>
      <c r="C11011" s="13">
        <f>IFERROR(__xludf.DUMMYFUNCTION("""COMPUTED_VALUE"""),0.75)</f>
        <v>0.75</v>
      </c>
      <c r="D11011" s="8">
        <f>IFERROR(__xludf.DUMMYFUNCTION("""COMPUTED_VALUE"""),0.242)</f>
        <v>0.242</v>
      </c>
      <c r="E11011" s="8" t="str">
        <f>IFERROR(__xludf.DUMMYFUNCTION("""COMPUTED_VALUE"""),"Real")</f>
        <v>Real</v>
      </c>
      <c r="G11011" s="8">
        <f t="shared" si="1"/>
        <v>2</v>
      </c>
      <c r="H11011" s="14">
        <f t="shared" si="2"/>
        <v>2</v>
      </c>
      <c r="I11011" s="15">
        <f t="shared" si="3"/>
        <v>18</v>
      </c>
    </row>
    <row r="11012">
      <c r="A11012" s="8" t="str">
        <f>IFERROR(__xludf.DUMMYFUNCTION("IF('(INGESTA)Datos_consumo_datadis'!A11012&lt;&gt;"""",SPLIT('(INGESTA)Datos_consumo_datadis'!A:A,"",""),"""")"),"ES0031408323131005HX0F")</f>
        <v>ES0031408323131005HX0F</v>
      </c>
      <c r="B11012" s="12">
        <f>IFERROR(__xludf.DUMMYFUNCTION("""COMPUTED_VALUE"""),45324.0)</f>
        <v>45324</v>
      </c>
      <c r="C11012" s="13">
        <f>IFERROR(__xludf.DUMMYFUNCTION("""COMPUTED_VALUE"""),0.7916666666666666)</f>
        <v>0.7916666667</v>
      </c>
      <c r="D11012" s="8">
        <f>IFERROR(__xludf.DUMMYFUNCTION("""COMPUTED_VALUE"""),0.3)</f>
        <v>0.3</v>
      </c>
      <c r="E11012" s="8" t="str">
        <f>IFERROR(__xludf.DUMMYFUNCTION("""COMPUTED_VALUE"""),"Real")</f>
        <v>Real</v>
      </c>
      <c r="G11012" s="8">
        <f t="shared" si="1"/>
        <v>2</v>
      </c>
      <c r="H11012" s="14">
        <f t="shared" si="2"/>
        <v>2</v>
      </c>
      <c r="I11012" s="15">
        <f t="shared" si="3"/>
        <v>19</v>
      </c>
    </row>
    <row r="11013">
      <c r="A11013" s="8" t="str">
        <f>IFERROR(__xludf.DUMMYFUNCTION("IF('(INGESTA)Datos_consumo_datadis'!A11013&lt;&gt;"""",SPLIT('(INGESTA)Datos_consumo_datadis'!A:A,"",""),"""")"),"ES0031408323131005HX0F")</f>
        <v>ES0031408323131005HX0F</v>
      </c>
      <c r="B11013" s="12">
        <f>IFERROR(__xludf.DUMMYFUNCTION("""COMPUTED_VALUE"""),45324.0)</f>
        <v>45324</v>
      </c>
      <c r="C11013" s="13">
        <f>IFERROR(__xludf.DUMMYFUNCTION("""COMPUTED_VALUE"""),0.8333333333333334)</f>
        <v>0.8333333333</v>
      </c>
      <c r="D11013" s="8">
        <f>IFERROR(__xludf.DUMMYFUNCTION("""COMPUTED_VALUE"""),1.325)</f>
        <v>1.325</v>
      </c>
      <c r="E11013" s="8" t="str">
        <f>IFERROR(__xludf.DUMMYFUNCTION("""COMPUTED_VALUE"""),"Real")</f>
        <v>Real</v>
      </c>
      <c r="G11013" s="8">
        <f t="shared" si="1"/>
        <v>2</v>
      </c>
      <c r="H11013" s="14">
        <f t="shared" si="2"/>
        <v>2</v>
      </c>
      <c r="I11013" s="15">
        <f t="shared" si="3"/>
        <v>20</v>
      </c>
    </row>
    <row r="11014">
      <c r="A11014" s="8" t="str">
        <f>IFERROR(__xludf.DUMMYFUNCTION("IF('(INGESTA)Datos_consumo_datadis'!A11014&lt;&gt;"""",SPLIT('(INGESTA)Datos_consumo_datadis'!A:A,"",""),"""")"),"ES0031408323131005HX0F")</f>
        <v>ES0031408323131005HX0F</v>
      </c>
      <c r="B11014" s="12">
        <f>IFERROR(__xludf.DUMMYFUNCTION("""COMPUTED_VALUE"""),45324.0)</f>
        <v>45324</v>
      </c>
      <c r="C11014" s="13">
        <f>IFERROR(__xludf.DUMMYFUNCTION("""COMPUTED_VALUE"""),0.875)</f>
        <v>0.875</v>
      </c>
      <c r="D11014" s="8">
        <f>IFERROR(__xludf.DUMMYFUNCTION("""COMPUTED_VALUE"""),0.537)</f>
        <v>0.537</v>
      </c>
      <c r="E11014" s="8" t="str">
        <f>IFERROR(__xludf.DUMMYFUNCTION("""COMPUTED_VALUE"""),"Real")</f>
        <v>Real</v>
      </c>
      <c r="G11014" s="8">
        <f t="shared" si="1"/>
        <v>2</v>
      </c>
      <c r="H11014" s="14">
        <f t="shared" si="2"/>
        <v>2</v>
      </c>
      <c r="I11014" s="15">
        <f t="shared" si="3"/>
        <v>21</v>
      </c>
    </row>
    <row r="11015">
      <c r="A11015" s="8" t="str">
        <f>IFERROR(__xludf.DUMMYFUNCTION("IF('(INGESTA)Datos_consumo_datadis'!A11015&lt;&gt;"""",SPLIT('(INGESTA)Datos_consumo_datadis'!A:A,"",""),"""")"),"ES0031408323131005HX0F")</f>
        <v>ES0031408323131005HX0F</v>
      </c>
      <c r="B11015" s="12">
        <f>IFERROR(__xludf.DUMMYFUNCTION("""COMPUTED_VALUE"""),45324.0)</f>
        <v>45324</v>
      </c>
      <c r="C11015" s="13">
        <f>IFERROR(__xludf.DUMMYFUNCTION("""COMPUTED_VALUE"""),0.9166666666666666)</f>
        <v>0.9166666667</v>
      </c>
      <c r="D11015" s="8">
        <f>IFERROR(__xludf.DUMMYFUNCTION("""COMPUTED_VALUE"""),0.117)</f>
        <v>0.117</v>
      </c>
      <c r="E11015" s="8" t="str">
        <f>IFERROR(__xludf.DUMMYFUNCTION("""COMPUTED_VALUE"""),"Real")</f>
        <v>Real</v>
      </c>
      <c r="G11015" s="8">
        <f t="shared" si="1"/>
        <v>2</v>
      </c>
      <c r="H11015" s="14">
        <f t="shared" si="2"/>
        <v>2</v>
      </c>
      <c r="I11015" s="15">
        <f t="shared" si="3"/>
        <v>22</v>
      </c>
    </row>
    <row r="11016">
      <c r="A11016" s="8" t="str">
        <f>IFERROR(__xludf.DUMMYFUNCTION("IF('(INGESTA)Datos_consumo_datadis'!A11016&lt;&gt;"""",SPLIT('(INGESTA)Datos_consumo_datadis'!A:A,"",""),"""")"),"ES0031408323131005HX0F")</f>
        <v>ES0031408323131005HX0F</v>
      </c>
      <c r="B11016" s="12">
        <f>IFERROR(__xludf.DUMMYFUNCTION("""COMPUTED_VALUE"""),45324.0)</f>
        <v>45324</v>
      </c>
      <c r="C11016" s="13">
        <f>IFERROR(__xludf.DUMMYFUNCTION("""COMPUTED_VALUE"""),0.9583333333333334)</f>
        <v>0.9583333333</v>
      </c>
      <c r="D11016" s="8">
        <f>IFERROR(__xludf.DUMMYFUNCTION("""COMPUTED_VALUE"""),0.062)</f>
        <v>0.062</v>
      </c>
      <c r="E11016" s="8" t="str">
        <f>IFERROR(__xludf.DUMMYFUNCTION("""COMPUTED_VALUE"""),"Real")</f>
        <v>Real</v>
      </c>
      <c r="G11016" s="8">
        <f t="shared" si="1"/>
        <v>2</v>
      </c>
      <c r="H11016" s="14">
        <f t="shared" si="2"/>
        <v>2</v>
      </c>
      <c r="I11016" s="15">
        <f t="shared" si="3"/>
        <v>23</v>
      </c>
    </row>
    <row r="11017">
      <c r="A11017" s="8" t="str">
        <f>IFERROR(__xludf.DUMMYFUNCTION("IF('(INGESTA)Datos_consumo_datadis'!A11017&lt;&gt;"""",SPLIT('(INGESTA)Datos_consumo_datadis'!A:A,"",""),"""")"),"ES0031408323131005HX0F")</f>
        <v>ES0031408323131005HX0F</v>
      </c>
      <c r="B11017" s="12">
        <f>IFERROR(__xludf.DUMMYFUNCTION("""COMPUTED_VALUE"""),45324.0)</f>
        <v>45324</v>
      </c>
      <c r="C11017" s="16">
        <f>IFERROR(__xludf.DUMMYFUNCTION("""COMPUTED_VALUE"""),1.0)</f>
        <v>1</v>
      </c>
      <c r="D11017" s="8">
        <f>IFERROR(__xludf.DUMMYFUNCTION("""COMPUTED_VALUE"""),0.326)</f>
        <v>0.326</v>
      </c>
      <c r="E11017" s="8" t="str">
        <f>IFERROR(__xludf.DUMMYFUNCTION("""COMPUTED_VALUE"""),"Real")</f>
        <v>Real</v>
      </c>
      <c r="G11017" s="8">
        <f t="shared" si="1"/>
        <v>2</v>
      </c>
      <c r="H11017" s="14">
        <f t="shared" si="2"/>
        <v>2</v>
      </c>
      <c r="I11017" s="15">
        <f t="shared" si="3"/>
        <v>0</v>
      </c>
    </row>
    <row r="11018">
      <c r="A11018" s="8" t="str">
        <f>IFERROR(__xludf.DUMMYFUNCTION("IF('(INGESTA)Datos_consumo_datadis'!A11018&lt;&gt;"""",SPLIT('(INGESTA)Datos_consumo_datadis'!A:A,"",""),"""")"),"ES0031408323131005HX0F")</f>
        <v>ES0031408323131005HX0F</v>
      </c>
      <c r="B11018" s="12">
        <f>IFERROR(__xludf.DUMMYFUNCTION("""COMPUTED_VALUE"""),45325.0)</f>
        <v>45325</v>
      </c>
      <c r="C11018" s="13">
        <f>IFERROR(__xludf.DUMMYFUNCTION("""COMPUTED_VALUE"""),0.041666666666666664)</f>
        <v>0.04166666667</v>
      </c>
      <c r="D11018" s="8">
        <f>IFERROR(__xludf.DUMMYFUNCTION("""COMPUTED_VALUE"""),0.383)</f>
        <v>0.383</v>
      </c>
      <c r="E11018" s="8" t="str">
        <f>IFERROR(__xludf.DUMMYFUNCTION("""COMPUTED_VALUE"""),"Real")</f>
        <v>Real</v>
      </c>
      <c r="G11018" s="8">
        <f t="shared" si="1"/>
        <v>2</v>
      </c>
      <c r="H11018" s="14">
        <f t="shared" si="2"/>
        <v>3</v>
      </c>
      <c r="I11018" s="15">
        <f t="shared" si="3"/>
        <v>1</v>
      </c>
    </row>
    <row r="11019">
      <c r="A11019" s="8" t="str">
        <f>IFERROR(__xludf.DUMMYFUNCTION("IF('(INGESTA)Datos_consumo_datadis'!A11019&lt;&gt;"""",SPLIT('(INGESTA)Datos_consumo_datadis'!A:A,"",""),"""")"),"ES0031408323131005HX0F")</f>
        <v>ES0031408323131005HX0F</v>
      </c>
      <c r="B11019" s="12">
        <f>IFERROR(__xludf.DUMMYFUNCTION("""COMPUTED_VALUE"""),45325.0)</f>
        <v>45325</v>
      </c>
      <c r="C11019" s="13">
        <f>IFERROR(__xludf.DUMMYFUNCTION("""COMPUTED_VALUE"""),0.08333333333333333)</f>
        <v>0.08333333333</v>
      </c>
      <c r="D11019" s="8">
        <f>IFERROR(__xludf.DUMMYFUNCTION("""COMPUTED_VALUE"""),0.064)</f>
        <v>0.064</v>
      </c>
      <c r="E11019" s="8" t="str">
        <f>IFERROR(__xludf.DUMMYFUNCTION("""COMPUTED_VALUE"""),"Real")</f>
        <v>Real</v>
      </c>
      <c r="G11019" s="8">
        <f t="shared" si="1"/>
        <v>2</v>
      </c>
      <c r="H11019" s="14">
        <f t="shared" si="2"/>
        <v>3</v>
      </c>
      <c r="I11019" s="15">
        <f t="shared" si="3"/>
        <v>2</v>
      </c>
    </row>
    <row r="11020">
      <c r="A11020" s="8" t="str">
        <f>IFERROR(__xludf.DUMMYFUNCTION("IF('(INGESTA)Datos_consumo_datadis'!A11020&lt;&gt;"""",SPLIT('(INGESTA)Datos_consumo_datadis'!A:A,"",""),"""")"),"ES0031408323131005HX0F")</f>
        <v>ES0031408323131005HX0F</v>
      </c>
      <c r="B11020" s="12">
        <f>IFERROR(__xludf.DUMMYFUNCTION("""COMPUTED_VALUE"""),45325.0)</f>
        <v>45325</v>
      </c>
      <c r="C11020" s="13">
        <f>IFERROR(__xludf.DUMMYFUNCTION("""COMPUTED_VALUE"""),0.125)</f>
        <v>0.125</v>
      </c>
      <c r="D11020" s="8">
        <f>IFERROR(__xludf.DUMMYFUNCTION("""COMPUTED_VALUE"""),0.052)</f>
        <v>0.052</v>
      </c>
      <c r="E11020" s="8" t="str">
        <f>IFERROR(__xludf.DUMMYFUNCTION("""COMPUTED_VALUE"""),"Real")</f>
        <v>Real</v>
      </c>
      <c r="G11020" s="8">
        <f t="shared" si="1"/>
        <v>2</v>
      </c>
      <c r="H11020" s="14">
        <f t="shared" si="2"/>
        <v>3</v>
      </c>
      <c r="I11020" s="15">
        <f t="shared" si="3"/>
        <v>3</v>
      </c>
    </row>
    <row r="11021">
      <c r="A11021" s="8" t="str">
        <f>IFERROR(__xludf.DUMMYFUNCTION("IF('(INGESTA)Datos_consumo_datadis'!A11021&lt;&gt;"""",SPLIT('(INGESTA)Datos_consumo_datadis'!A:A,"",""),"""")"),"ES0031408323131005HX0F")</f>
        <v>ES0031408323131005HX0F</v>
      </c>
      <c r="B11021" s="12">
        <f>IFERROR(__xludf.DUMMYFUNCTION("""COMPUTED_VALUE"""),45325.0)</f>
        <v>45325</v>
      </c>
      <c r="C11021" s="13">
        <f>IFERROR(__xludf.DUMMYFUNCTION("""COMPUTED_VALUE"""),0.16666666666666666)</f>
        <v>0.1666666667</v>
      </c>
      <c r="D11021" s="8">
        <f>IFERROR(__xludf.DUMMYFUNCTION("""COMPUTED_VALUE"""),0.085)</f>
        <v>0.085</v>
      </c>
      <c r="E11021" s="8" t="str">
        <f>IFERROR(__xludf.DUMMYFUNCTION("""COMPUTED_VALUE"""),"Real")</f>
        <v>Real</v>
      </c>
      <c r="G11021" s="8">
        <f t="shared" si="1"/>
        <v>2</v>
      </c>
      <c r="H11021" s="14">
        <f t="shared" si="2"/>
        <v>3</v>
      </c>
      <c r="I11021" s="15">
        <f t="shared" si="3"/>
        <v>4</v>
      </c>
    </row>
    <row r="11022">
      <c r="A11022" s="8" t="str">
        <f>IFERROR(__xludf.DUMMYFUNCTION("IF('(INGESTA)Datos_consumo_datadis'!A11022&lt;&gt;"""",SPLIT('(INGESTA)Datos_consumo_datadis'!A:A,"",""),"""")"),"ES0031408323131005HX0F")</f>
        <v>ES0031408323131005HX0F</v>
      </c>
      <c r="B11022" s="12">
        <f>IFERROR(__xludf.DUMMYFUNCTION("""COMPUTED_VALUE"""),45325.0)</f>
        <v>45325</v>
      </c>
      <c r="C11022" s="13">
        <f>IFERROR(__xludf.DUMMYFUNCTION("""COMPUTED_VALUE"""),0.20833333333333334)</f>
        <v>0.2083333333</v>
      </c>
      <c r="D11022" s="8">
        <f>IFERROR(__xludf.DUMMYFUNCTION("""COMPUTED_VALUE"""),0.302)</f>
        <v>0.302</v>
      </c>
      <c r="E11022" s="8" t="str">
        <f>IFERROR(__xludf.DUMMYFUNCTION("""COMPUTED_VALUE"""),"Real")</f>
        <v>Real</v>
      </c>
      <c r="G11022" s="8">
        <f t="shared" si="1"/>
        <v>2</v>
      </c>
      <c r="H11022" s="14">
        <f t="shared" si="2"/>
        <v>3</v>
      </c>
      <c r="I11022" s="15">
        <f t="shared" si="3"/>
        <v>5</v>
      </c>
    </row>
    <row r="11023">
      <c r="A11023" s="8" t="str">
        <f>IFERROR(__xludf.DUMMYFUNCTION("IF('(INGESTA)Datos_consumo_datadis'!A11023&lt;&gt;"""",SPLIT('(INGESTA)Datos_consumo_datadis'!A:A,"",""),"""")"),"ES0031408323131005HX0F")</f>
        <v>ES0031408323131005HX0F</v>
      </c>
      <c r="B11023" s="12">
        <f>IFERROR(__xludf.DUMMYFUNCTION("""COMPUTED_VALUE"""),45325.0)</f>
        <v>45325</v>
      </c>
      <c r="C11023" s="13">
        <f>IFERROR(__xludf.DUMMYFUNCTION("""COMPUTED_VALUE"""),0.25)</f>
        <v>0.25</v>
      </c>
      <c r="D11023" s="8">
        <f>IFERROR(__xludf.DUMMYFUNCTION("""COMPUTED_VALUE"""),0.074)</f>
        <v>0.074</v>
      </c>
      <c r="E11023" s="8" t="str">
        <f>IFERROR(__xludf.DUMMYFUNCTION("""COMPUTED_VALUE"""),"Real")</f>
        <v>Real</v>
      </c>
      <c r="G11023" s="8">
        <f t="shared" si="1"/>
        <v>2</v>
      </c>
      <c r="H11023" s="14">
        <f t="shared" si="2"/>
        <v>3</v>
      </c>
      <c r="I11023" s="15">
        <f t="shared" si="3"/>
        <v>6</v>
      </c>
    </row>
    <row r="11024">
      <c r="A11024" s="8" t="str">
        <f>IFERROR(__xludf.DUMMYFUNCTION("IF('(INGESTA)Datos_consumo_datadis'!A11024&lt;&gt;"""",SPLIT('(INGESTA)Datos_consumo_datadis'!A:A,"",""),"""")"),"ES0031408323131005HX0F")</f>
        <v>ES0031408323131005HX0F</v>
      </c>
      <c r="B11024" s="12">
        <f>IFERROR(__xludf.DUMMYFUNCTION("""COMPUTED_VALUE"""),45325.0)</f>
        <v>45325</v>
      </c>
      <c r="C11024" s="13">
        <f>IFERROR(__xludf.DUMMYFUNCTION("""COMPUTED_VALUE"""),0.2916666666666667)</f>
        <v>0.2916666667</v>
      </c>
      <c r="D11024" s="8">
        <f>IFERROR(__xludf.DUMMYFUNCTION("""COMPUTED_VALUE"""),0.066)</f>
        <v>0.066</v>
      </c>
      <c r="E11024" s="8" t="str">
        <f>IFERROR(__xludf.DUMMYFUNCTION("""COMPUTED_VALUE"""),"Real")</f>
        <v>Real</v>
      </c>
      <c r="G11024" s="8">
        <f t="shared" si="1"/>
        <v>2</v>
      </c>
      <c r="H11024" s="14">
        <f t="shared" si="2"/>
        <v>3</v>
      </c>
      <c r="I11024" s="15">
        <f t="shared" si="3"/>
        <v>7</v>
      </c>
    </row>
    <row r="11025">
      <c r="A11025" s="8" t="str">
        <f>IFERROR(__xludf.DUMMYFUNCTION("IF('(INGESTA)Datos_consumo_datadis'!A11025&lt;&gt;"""",SPLIT('(INGESTA)Datos_consumo_datadis'!A:A,"",""),"""")"),"ES0031408323131005HX0F")</f>
        <v>ES0031408323131005HX0F</v>
      </c>
      <c r="B11025" s="12">
        <f>IFERROR(__xludf.DUMMYFUNCTION("""COMPUTED_VALUE"""),45325.0)</f>
        <v>45325</v>
      </c>
      <c r="C11025" s="13">
        <f>IFERROR(__xludf.DUMMYFUNCTION("""COMPUTED_VALUE"""),0.3333333333333333)</f>
        <v>0.3333333333</v>
      </c>
      <c r="D11025" s="8">
        <f>IFERROR(__xludf.DUMMYFUNCTION("""COMPUTED_VALUE"""),0.026)</f>
        <v>0.026</v>
      </c>
      <c r="E11025" s="8" t="str">
        <f>IFERROR(__xludf.DUMMYFUNCTION("""COMPUTED_VALUE"""),"Real")</f>
        <v>Real</v>
      </c>
      <c r="G11025" s="8">
        <f t="shared" si="1"/>
        <v>2</v>
      </c>
      <c r="H11025" s="14">
        <f t="shared" si="2"/>
        <v>3</v>
      </c>
      <c r="I11025" s="15">
        <f t="shared" si="3"/>
        <v>8</v>
      </c>
    </row>
    <row r="11026">
      <c r="A11026" s="8" t="str">
        <f>IFERROR(__xludf.DUMMYFUNCTION("IF('(INGESTA)Datos_consumo_datadis'!A11026&lt;&gt;"""",SPLIT('(INGESTA)Datos_consumo_datadis'!A:A,"",""),"""")"),"ES0031408323131005HX0F")</f>
        <v>ES0031408323131005HX0F</v>
      </c>
      <c r="B11026" s="12">
        <f>IFERROR(__xludf.DUMMYFUNCTION("""COMPUTED_VALUE"""),45325.0)</f>
        <v>45325</v>
      </c>
      <c r="C11026" s="13">
        <f>IFERROR(__xludf.DUMMYFUNCTION("""COMPUTED_VALUE"""),0.375)</f>
        <v>0.375</v>
      </c>
      <c r="D11026" s="8">
        <f>IFERROR(__xludf.DUMMYFUNCTION("""COMPUTED_VALUE"""),0.437)</f>
        <v>0.437</v>
      </c>
      <c r="E11026" s="8" t="str">
        <f>IFERROR(__xludf.DUMMYFUNCTION("""COMPUTED_VALUE"""),"Real")</f>
        <v>Real</v>
      </c>
      <c r="G11026" s="8">
        <f t="shared" si="1"/>
        <v>2</v>
      </c>
      <c r="H11026" s="14">
        <f t="shared" si="2"/>
        <v>3</v>
      </c>
      <c r="I11026" s="15">
        <f t="shared" si="3"/>
        <v>9</v>
      </c>
    </row>
    <row r="11027">
      <c r="A11027" s="8" t="str">
        <f>IFERROR(__xludf.DUMMYFUNCTION("IF('(INGESTA)Datos_consumo_datadis'!A11027&lt;&gt;"""",SPLIT('(INGESTA)Datos_consumo_datadis'!A:A,"",""),"""")"),"ES0031408323131005HX0F")</f>
        <v>ES0031408323131005HX0F</v>
      </c>
      <c r="B11027" s="12">
        <f>IFERROR(__xludf.DUMMYFUNCTION("""COMPUTED_VALUE"""),45325.0)</f>
        <v>45325</v>
      </c>
      <c r="C11027" s="13">
        <f>IFERROR(__xludf.DUMMYFUNCTION("""COMPUTED_VALUE"""),0.4166666666666667)</f>
        <v>0.4166666667</v>
      </c>
      <c r="D11027" s="8">
        <f>IFERROR(__xludf.DUMMYFUNCTION("""COMPUTED_VALUE"""),0.231)</f>
        <v>0.231</v>
      </c>
      <c r="E11027" s="8" t="str">
        <f>IFERROR(__xludf.DUMMYFUNCTION("""COMPUTED_VALUE"""),"Real")</f>
        <v>Real</v>
      </c>
      <c r="G11027" s="8">
        <f t="shared" si="1"/>
        <v>2</v>
      </c>
      <c r="H11027" s="14">
        <f t="shared" si="2"/>
        <v>3</v>
      </c>
      <c r="I11027" s="15">
        <f t="shared" si="3"/>
        <v>10</v>
      </c>
    </row>
    <row r="11028">
      <c r="A11028" s="8" t="str">
        <f>IFERROR(__xludf.DUMMYFUNCTION("IF('(INGESTA)Datos_consumo_datadis'!A11028&lt;&gt;"""",SPLIT('(INGESTA)Datos_consumo_datadis'!A:A,"",""),"""")"),"ES0031408323131005HX0F")</f>
        <v>ES0031408323131005HX0F</v>
      </c>
      <c r="B11028" s="12">
        <f>IFERROR(__xludf.DUMMYFUNCTION("""COMPUTED_VALUE"""),45325.0)</f>
        <v>45325</v>
      </c>
      <c r="C11028" s="13">
        <f>IFERROR(__xludf.DUMMYFUNCTION("""COMPUTED_VALUE"""),0.4583333333333333)</f>
        <v>0.4583333333</v>
      </c>
      <c r="D11028" s="8">
        <f>IFERROR(__xludf.DUMMYFUNCTION("""COMPUTED_VALUE"""),0.319)</f>
        <v>0.319</v>
      </c>
      <c r="E11028" s="8" t="str">
        <f>IFERROR(__xludf.DUMMYFUNCTION("""COMPUTED_VALUE"""),"Real")</f>
        <v>Real</v>
      </c>
      <c r="G11028" s="8">
        <f t="shared" si="1"/>
        <v>2</v>
      </c>
      <c r="H11028" s="14">
        <f t="shared" si="2"/>
        <v>3</v>
      </c>
      <c r="I11028" s="15">
        <f t="shared" si="3"/>
        <v>11</v>
      </c>
    </row>
    <row r="11029">
      <c r="A11029" s="8" t="str">
        <f>IFERROR(__xludf.DUMMYFUNCTION("IF('(INGESTA)Datos_consumo_datadis'!A11029&lt;&gt;"""",SPLIT('(INGESTA)Datos_consumo_datadis'!A:A,"",""),"""")"),"ES0031408323131005HX0F")</f>
        <v>ES0031408323131005HX0F</v>
      </c>
      <c r="B11029" s="12">
        <f>IFERROR(__xludf.DUMMYFUNCTION("""COMPUTED_VALUE"""),45325.0)</f>
        <v>45325</v>
      </c>
      <c r="C11029" s="13">
        <f>IFERROR(__xludf.DUMMYFUNCTION("""COMPUTED_VALUE"""),0.5)</f>
        <v>0.5</v>
      </c>
      <c r="D11029" s="8">
        <f>IFERROR(__xludf.DUMMYFUNCTION("""COMPUTED_VALUE"""),0.072)</f>
        <v>0.072</v>
      </c>
      <c r="E11029" s="8" t="str">
        <f>IFERROR(__xludf.DUMMYFUNCTION("""COMPUTED_VALUE"""),"Real")</f>
        <v>Real</v>
      </c>
      <c r="G11029" s="8">
        <f t="shared" si="1"/>
        <v>2</v>
      </c>
      <c r="H11029" s="14">
        <f t="shared" si="2"/>
        <v>3</v>
      </c>
      <c r="I11029" s="15">
        <f t="shared" si="3"/>
        <v>12</v>
      </c>
    </row>
    <row r="11030">
      <c r="A11030" s="8" t="str">
        <f>IFERROR(__xludf.DUMMYFUNCTION("IF('(INGESTA)Datos_consumo_datadis'!A11030&lt;&gt;"""",SPLIT('(INGESTA)Datos_consumo_datadis'!A:A,"",""),"""")"),"ES0031408323131005HX0F")</f>
        <v>ES0031408323131005HX0F</v>
      </c>
      <c r="B11030" s="12">
        <f>IFERROR(__xludf.DUMMYFUNCTION("""COMPUTED_VALUE"""),45325.0)</f>
        <v>45325</v>
      </c>
      <c r="C11030" s="13">
        <f>IFERROR(__xludf.DUMMYFUNCTION("""COMPUTED_VALUE"""),0.5416666666666666)</f>
        <v>0.5416666667</v>
      </c>
      <c r="D11030" s="8">
        <f>IFERROR(__xludf.DUMMYFUNCTION("""COMPUTED_VALUE"""),0.026)</f>
        <v>0.026</v>
      </c>
      <c r="E11030" s="8" t="str">
        <f>IFERROR(__xludf.DUMMYFUNCTION("""COMPUTED_VALUE"""),"Real")</f>
        <v>Real</v>
      </c>
      <c r="G11030" s="8">
        <f t="shared" si="1"/>
        <v>2</v>
      </c>
      <c r="H11030" s="14">
        <f t="shared" si="2"/>
        <v>3</v>
      </c>
      <c r="I11030" s="15">
        <f t="shared" si="3"/>
        <v>13</v>
      </c>
    </row>
    <row r="11031">
      <c r="A11031" s="8" t="str">
        <f>IFERROR(__xludf.DUMMYFUNCTION("IF('(INGESTA)Datos_consumo_datadis'!A11031&lt;&gt;"""",SPLIT('(INGESTA)Datos_consumo_datadis'!A:A,"",""),"""")"),"ES0031408323131005HX0F")</f>
        <v>ES0031408323131005HX0F</v>
      </c>
      <c r="B11031" s="12">
        <f>IFERROR(__xludf.DUMMYFUNCTION("""COMPUTED_VALUE"""),45325.0)</f>
        <v>45325</v>
      </c>
      <c r="C11031" s="13">
        <f>IFERROR(__xludf.DUMMYFUNCTION("""COMPUTED_VALUE"""),0.5833333333333334)</f>
        <v>0.5833333333</v>
      </c>
      <c r="D11031" s="8">
        <f>IFERROR(__xludf.DUMMYFUNCTION("""COMPUTED_VALUE"""),0.074)</f>
        <v>0.074</v>
      </c>
      <c r="E11031" s="8" t="str">
        <f>IFERROR(__xludf.DUMMYFUNCTION("""COMPUTED_VALUE"""),"Real")</f>
        <v>Real</v>
      </c>
      <c r="G11031" s="8">
        <f t="shared" si="1"/>
        <v>2</v>
      </c>
      <c r="H11031" s="14">
        <f t="shared" si="2"/>
        <v>3</v>
      </c>
      <c r="I11031" s="15">
        <f t="shared" si="3"/>
        <v>14</v>
      </c>
    </row>
    <row r="11032">
      <c r="A11032" s="8" t="str">
        <f>IFERROR(__xludf.DUMMYFUNCTION("IF('(INGESTA)Datos_consumo_datadis'!A11032&lt;&gt;"""",SPLIT('(INGESTA)Datos_consumo_datadis'!A:A,"",""),"""")"),"ES0031408323131005HX0F")</f>
        <v>ES0031408323131005HX0F</v>
      </c>
      <c r="B11032" s="12">
        <f>IFERROR(__xludf.DUMMYFUNCTION("""COMPUTED_VALUE"""),45325.0)</f>
        <v>45325</v>
      </c>
      <c r="C11032" s="13">
        <f>IFERROR(__xludf.DUMMYFUNCTION("""COMPUTED_VALUE"""),0.625)</f>
        <v>0.625</v>
      </c>
      <c r="D11032" s="8">
        <f>IFERROR(__xludf.DUMMYFUNCTION("""COMPUTED_VALUE"""),0.049)</f>
        <v>0.049</v>
      </c>
      <c r="E11032" s="8" t="str">
        <f>IFERROR(__xludf.DUMMYFUNCTION("""COMPUTED_VALUE"""),"Real")</f>
        <v>Real</v>
      </c>
      <c r="G11032" s="8">
        <f t="shared" si="1"/>
        <v>2</v>
      </c>
      <c r="H11032" s="14">
        <f t="shared" si="2"/>
        <v>3</v>
      </c>
      <c r="I11032" s="15">
        <f t="shared" si="3"/>
        <v>15</v>
      </c>
    </row>
    <row r="11033">
      <c r="A11033" s="8" t="str">
        <f>IFERROR(__xludf.DUMMYFUNCTION("IF('(INGESTA)Datos_consumo_datadis'!A11033&lt;&gt;"""",SPLIT('(INGESTA)Datos_consumo_datadis'!A:A,"",""),"""")"),"ES0031408323131005HX0F")</f>
        <v>ES0031408323131005HX0F</v>
      </c>
      <c r="B11033" s="12">
        <f>IFERROR(__xludf.DUMMYFUNCTION("""COMPUTED_VALUE"""),45325.0)</f>
        <v>45325</v>
      </c>
      <c r="C11033" s="13">
        <f>IFERROR(__xludf.DUMMYFUNCTION("""COMPUTED_VALUE"""),0.6666666666666666)</f>
        <v>0.6666666667</v>
      </c>
      <c r="D11033" s="8">
        <f>IFERROR(__xludf.DUMMYFUNCTION("""COMPUTED_VALUE"""),1.423)</f>
        <v>1.423</v>
      </c>
      <c r="E11033" s="8" t="str">
        <f>IFERROR(__xludf.DUMMYFUNCTION("""COMPUTED_VALUE"""),"Real")</f>
        <v>Real</v>
      </c>
      <c r="G11033" s="8">
        <f t="shared" si="1"/>
        <v>2</v>
      </c>
      <c r="H11033" s="14">
        <f t="shared" si="2"/>
        <v>3</v>
      </c>
      <c r="I11033" s="15">
        <f t="shared" si="3"/>
        <v>16</v>
      </c>
    </row>
    <row r="11034">
      <c r="A11034" s="8" t="str">
        <f>IFERROR(__xludf.DUMMYFUNCTION("IF('(INGESTA)Datos_consumo_datadis'!A11034&lt;&gt;"""",SPLIT('(INGESTA)Datos_consumo_datadis'!A:A,"",""),"""")"),"ES0031408323131005HX0F")</f>
        <v>ES0031408323131005HX0F</v>
      </c>
      <c r="B11034" s="12">
        <f>IFERROR(__xludf.DUMMYFUNCTION("""COMPUTED_VALUE"""),45325.0)</f>
        <v>45325</v>
      </c>
      <c r="C11034" s="13">
        <f>IFERROR(__xludf.DUMMYFUNCTION("""COMPUTED_VALUE"""),0.7083333333333334)</f>
        <v>0.7083333333</v>
      </c>
      <c r="D11034" s="8">
        <f>IFERROR(__xludf.DUMMYFUNCTION("""COMPUTED_VALUE"""),0.491)</f>
        <v>0.491</v>
      </c>
      <c r="E11034" s="8" t="str">
        <f>IFERROR(__xludf.DUMMYFUNCTION("""COMPUTED_VALUE"""),"Real")</f>
        <v>Real</v>
      </c>
      <c r="G11034" s="8">
        <f t="shared" si="1"/>
        <v>2</v>
      </c>
      <c r="H11034" s="14">
        <f t="shared" si="2"/>
        <v>3</v>
      </c>
      <c r="I11034" s="15">
        <f t="shared" si="3"/>
        <v>17</v>
      </c>
    </row>
    <row r="11035">
      <c r="A11035" s="8" t="str">
        <f>IFERROR(__xludf.DUMMYFUNCTION("IF('(INGESTA)Datos_consumo_datadis'!A11035&lt;&gt;"""",SPLIT('(INGESTA)Datos_consumo_datadis'!A:A,"",""),"""")"),"ES0031408323131005HX0F")</f>
        <v>ES0031408323131005HX0F</v>
      </c>
      <c r="B11035" s="12">
        <f>IFERROR(__xludf.DUMMYFUNCTION("""COMPUTED_VALUE"""),45325.0)</f>
        <v>45325</v>
      </c>
      <c r="C11035" s="13">
        <f>IFERROR(__xludf.DUMMYFUNCTION("""COMPUTED_VALUE"""),0.75)</f>
        <v>0.75</v>
      </c>
      <c r="D11035" s="8">
        <f>IFERROR(__xludf.DUMMYFUNCTION("""COMPUTED_VALUE"""),0.05)</f>
        <v>0.05</v>
      </c>
      <c r="E11035" s="8" t="str">
        <f>IFERROR(__xludf.DUMMYFUNCTION("""COMPUTED_VALUE"""),"Real")</f>
        <v>Real</v>
      </c>
      <c r="G11035" s="8">
        <f t="shared" si="1"/>
        <v>2</v>
      </c>
      <c r="H11035" s="14">
        <f t="shared" si="2"/>
        <v>3</v>
      </c>
      <c r="I11035" s="15">
        <f t="shared" si="3"/>
        <v>18</v>
      </c>
    </row>
    <row r="11036">
      <c r="A11036" s="8" t="str">
        <f>IFERROR(__xludf.DUMMYFUNCTION("IF('(INGESTA)Datos_consumo_datadis'!A11036&lt;&gt;"""",SPLIT('(INGESTA)Datos_consumo_datadis'!A:A,"",""),"""")"),"ES0031408323131005HX0F")</f>
        <v>ES0031408323131005HX0F</v>
      </c>
      <c r="B11036" s="12">
        <f>IFERROR(__xludf.DUMMYFUNCTION("""COMPUTED_VALUE"""),45325.0)</f>
        <v>45325</v>
      </c>
      <c r="C11036" s="13">
        <f>IFERROR(__xludf.DUMMYFUNCTION("""COMPUTED_VALUE"""),0.7916666666666666)</f>
        <v>0.7916666667</v>
      </c>
      <c r="D11036" s="8">
        <f>IFERROR(__xludf.DUMMYFUNCTION("""COMPUTED_VALUE"""),0.198)</f>
        <v>0.198</v>
      </c>
      <c r="E11036" s="8" t="str">
        <f>IFERROR(__xludf.DUMMYFUNCTION("""COMPUTED_VALUE"""),"Real")</f>
        <v>Real</v>
      </c>
      <c r="G11036" s="8">
        <f t="shared" si="1"/>
        <v>2</v>
      </c>
      <c r="H11036" s="14">
        <f t="shared" si="2"/>
        <v>3</v>
      </c>
      <c r="I11036" s="15">
        <f t="shared" si="3"/>
        <v>19</v>
      </c>
    </row>
    <row r="11037">
      <c r="A11037" s="8" t="str">
        <f>IFERROR(__xludf.DUMMYFUNCTION("IF('(INGESTA)Datos_consumo_datadis'!A11037&lt;&gt;"""",SPLIT('(INGESTA)Datos_consumo_datadis'!A:A,"",""),"""")"),"ES0031408323131005HX0F")</f>
        <v>ES0031408323131005HX0F</v>
      </c>
      <c r="B11037" s="12">
        <f>IFERROR(__xludf.DUMMYFUNCTION("""COMPUTED_VALUE"""),45325.0)</f>
        <v>45325</v>
      </c>
      <c r="C11037" s="13">
        <f>IFERROR(__xludf.DUMMYFUNCTION("""COMPUTED_VALUE"""),0.8333333333333334)</f>
        <v>0.8333333333</v>
      </c>
      <c r="D11037" s="8">
        <f>IFERROR(__xludf.DUMMYFUNCTION("""COMPUTED_VALUE"""),1.344)</f>
        <v>1.344</v>
      </c>
      <c r="E11037" s="8" t="str">
        <f>IFERROR(__xludf.DUMMYFUNCTION("""COMPUTED_VALUE"""),"Real")</f>
        <v>Real</v>
      </c>
      <c r="G11037" s="8">
        <f t="shared" si="1"/>
        <v>2</v>
      </c>
      <c r="H11037" s="14">
        <f t="shared" si="2"/>
        <v>3</v>
      </c>
      <c r="I11037" s="15">
        <f t="shared" si="3"/>
        <v>20</v>
      </c>
    </row>
    <row r="11038">
      <c r="A11038" s="8" t="str">
        <f>IFERROR(__xludf.DUMMYFUNCTION("IF('(INGESTA)Datos_consumo_datadis'!A11038&lt;&gt;"""",SPLIT('(INGESTA)Datos_consumo_datadis'!A:A,"",""),"""")"),"ES0031408323131005HX0F")</f>
        <v>ES0031408323131005HX0F</v>
      </c>
      <c r="B11038" s="12">
        <f>IFERROR(__xludf.DUMMYFUNCTION("""COMPUTED_VALUE"""),45325.0)</f>
        <v>45325</v>
      </c>
      <c r="C11038" s="13">
        <f>IFERROR(__xludf.DUMMYFUNCTION("""COMPUTED_VALUE"""),0.875)</f>
        <v>0.875</v>
      </c>
      <c r="D11038" s="8">
        <f>IFERROR(__xludf.DUMMYFUNCTION("""COMPUTED_VALUE"""),1.504)</f>
        <v>1.504</v>
      </c>
      <c r="E11038" s="8" t="str">
        <f>IFERROR(__xludf.DUMMYFUNCTION("""COMPUTED_VALUE"""),"Real")</f>
        <v>Real</v>
      </c>
      <c r="G11038" s="8">
        <f t="shared" si="1"/>
        <v>2</v>
      </c>
      <c r="H11038" s="14">
        <f t="shared" si="2"/>
        <v>3</v>
      </c>
      <c r="I11038" s="15">
        <f t="shared" si="3"/>
        <v>21</v>
      </c>
    </row>
    <row r="11039">
      <c r="A11039" s="8" t="str">
        <f>IFERROR(__xludf.DUMMYFUNCTION("IF('(INGESTA)Datos_consumo_datadis'!A11039&lt;&gt;"""",SPLIT('(INGESTA)Datos_consumo_datadis'!A:A,"",""),"""")"),"ES0031408323131005HX0F")</f>
        <v>ES0031408323131005HX0F</v>
      </c>
      <c r="B11039" s="12">
        <f>IFERROR(__xludf.DUMMYFUNCTION("""COMPUTED_VALUE"""),45325.0)</f>
        <v>45325</v>
      </c>
      <c r="C11039" s="13">
        <f>IFERROR(__xludf.DUMMYFUNCTION("""COMPUTED_VALUE"""),0.9166666666666666)</f>
        <v>0.9166666667</v>
      </c>
      <c r="D11039" s="8">
        <f>IFERROR(__xludf.DUMMYFUNCTION("""COMPUTED_VALUE"""),0.534)</f>
        <v>0.534</v>
      </c>
      <c r="E11039" s="8" t="str">
        <f>IFERROR(__xludf.DUMMYFUNCTION("""COMPUTED_VALUE"""),"Real")</f>
        <v>Real</v>
      </c>
      <c r="G11039" s="8">
        <f t="shared" si="1"/>
        <v>2</v>
      </c>
      <c r="H11039" s="14">
        <f t="shared" si="2"/>
        <v>3</v>
      </c>
      <c r="I11039" s="15">
        <f t="shared" si="3"/>
        <v>22</v>
      </c>
    </row>
    <row r="11040">
      <c r="A11040" s="8" t="str">
        <f>IFERROR(__xludf.DUMMYFUNCTION("IF('(INGESTA)Datos_consumo_datadis'!A11040&lt;&gt;"""",SPLIT('(INGESTA)Datos_consumo_datadis'!A:A,"",""),"""")"),"ES0031408323131005HX0F")</f>
        <v>ES0031408323131005HX0F</v>
      </c>
      <c r="B11040" s="12">
        <f>IFERROR(__xludf.DUMMYFUNCTION("""COMPUTED_VALUE"""),45325.0)</f>
        <v>45325</v>
      </c>
      <c r="C11040" s="13">
        <f>IFERROR(__xludf.DUMMYFUNCTION("""COMPUTED_VALUE"""),0.9583333333333334)</f>
        <v>0.9583333333</v>
      </c>
      <c r="D11040" s="8">
        <f>IFERROR(__xludf.DUMMYFUNCTION("""COMPUTED_VALUE"""),0.058)</f>
        <v>0.058</v>
      </c>
      <c r="E11040" s="8" t="str">
        <f>IFERROR(__xludf.DUMMYFUNCTION("""COMPUTED_VALUE"""),"Real")</f>
        <v>Real</v>
      </c>
      <c r="G11040" s="8">
        <f t="shared" si="1"/>
        <v>2</v>
      </c>
      <c r="H11040" s="14">
        <f t="shared" si="2"/>
        <v>3</v>
      </c>
      <c r="I11040" s="15">
        <f t="shared" si="3"/>
        <v>23</v>
      </c>
    </row>
    <row r="11041">
      <c r="A11041" s="8" t="str">
        <f>IFERROR(__xludf.DUMMYFUNCTION("IF('(INGESTA)Datos_consumo_datadis'!A11041&lt;&gt;"""",SPLIT('(INGESTA)Datos_consumo_datadis'!A:A,"",""),"""")"),"ES0031408323131005HX0F")</f>
        <v>ES0031408323131005HX0F</v>
      </c>
      <c r="B11041" s="12">
        <f>IFERROR(__xludf.DUMMYFUNCTION("""COMPUTED_VALUE"""),45325.0)</f>
        <v>45325</v>
      </c>
      <c r="C11041" s="16">
        <f>IFERROR(__xludf.DUMMYFUNCTION("""COMPUTED_VALUE"""),1.0)</f>
        <v>1</v>
      </c>
      <c r="D11041" s="8">
        <f>IFERROR(__xludf.DUMMYFUNCTION("""COMPUTED_VALUE"""),0.067)</f>
        <v>0.067</v>
      </c>
      <c r="E11041" s="8" t="str">
        <f>IFERROR(__xludf.DUMMYFUNCTION("""COMPUTED_VALUE"""),"Real")</f>
        <v>Real</v>
      </c>
      <c r="G11041" s="8">
        <f t="shared" si="1"/>
        <v>2</v>
      </c>
      <c r="H11041" s="14">
        <f t="shared" si="2"/>
        <v>3</v>
      </c>
      <c r="I11041" s="15">
        <f t="shared" si="3"/>
        <v>0</v>
      </c>
    </row>
    <row r="11042">
      <c r="A11042" s="8" t="str">
        <f>IFERROR(__xludf.DUMMYFUNCTION("IF('(INGESTA)Datos_consumo_datadis'!A11042&lt;&gt;"""",SPLIT('(INGESTA)Datos_consumo_datadis'!A:A,"",""),"""")"),"ES0031408323131005HX0F")</f>
        <v>ES0031408323131005HX0F</v>
      </c>
      <c r="B11042" s="12">
        <f>IFERROR(__xludf.DUMMYFUNCTION("""COMPUTED_VALUE"""),45326.0)</f>
        <v>45326</v>
      </c>
      <c r="C11042" s="13">
        <f>IFERROR(__xludf.DUMMYFUNCTION("""COMPUTED_VALUE"""),0.041666666666666664)</f>
        <v>0.04166666667</v>
      </c>
      <c r="D11042" s="8">
        <f>IFERROR(__xludf.DUMMYFUNCTION("""COMPUTED_VALUE"""),0.509)</f>
        <v>0.509</v>
      </c>
      <c r="E11042" s="8" t="str">
        <f>IFERROR(__xludf.DUMMYFUNCTION("""COMPUTED_VALUE"""),"Real")</f>
        <v>Real</v>
      </c>
      <c r="G11042" s="8">
        <f t="shared" si="1"/>
        <v>2</v>
      </c>
      <c r="H11042" s="14">
        <f t="shared" si="2"/>
        <v>4</v>
      </c>
      <c r="I11042" s="15">
        <f t="shared" si="3"/>
        <v>1</v>
      </c>
    </row>
    <row r="11043">
      <c r="A11043" s="8" t="str">
        <f>IFERROR(__xludf.DUMMYFUNCTION("IF('(INGESTA)Datos_consumo_datadis'!A11043&lt;&gt;"""",SPLIT('(INGESTA)Datos_consumo_datadis'!A:A,"",""),"""")"),"ES0031408323131005HX0F")</f>
        <v>ES0031408323131005HX0F</v>
      </c>
      <c r="B11043" s="12">
        <f>IFERROR(__xludf.DUMMYFUNCTION("""COMPUTED_VALUE"""),45326.0)</f>
        <v>45326</v>
      </c>
      <c r="C11043" s="13">
        <f>IFERROR(__xludf.DUMMYFUNCTION("""COMPUTED_VALUE"""),0.08333333333333333)</f>
        <v>0.08333333333</v>
      </c>
      <c r="D11043" s="8">
        <f>IFERROR(__xludf.DUMMYFUNCTION("""COMPUTED_VALUE"""),0.167)</f>
        <v>0.167</v>
      </c>
      <c r="E11043" s="8" t="str">
        <f>IFERROR(__xludf.DUMMYFUNCTION("""COMPUTED_VALUE"""),"Real")</f>
        <v>Real</v>
      </c>
      <c r="G11043" s="8">
        <f t="shared" si="1"/>
        <v>2</v>
      </c>
      <c r="H11043" s="14">
        <f t="shared" si="2"/>
        <v>4</v>
      </c>
      <c r="I11043" s="15">
        <f t="shared" si="3"/>
        <v>2</v>
      </c>
    </row>
    <row r="11044">
      <c r="A11044" s="8" t="str">
        <f>IFERROR(__xludf.DUMMYFUNCTION("IF('(INGESTA)Datos_consumo_datadis'!A11044&lt;&gt;"""",SPLIT('(INGESTA)Datos_consumo_datadis'!A:A,"",""),"""")"),"ES0031408323131005HX0F")</f>
        <v>ES0031408323131005HX0F</v>
      </c>
      <c r="B11044" s="12">
        <f>IFERROR(__xludf.DUMMYFUNCTION("""COMPUTED_VALUE"""),45326.0)</f>
        <v>45326</v>
      </c>
      <c r="C11044" s="13">
        <f>IFERROR(__xludf.DUMMYFUNCTION("""COMPUTED_VALUE"""),0.125)</f>
        <v>0.125</v>
      </c>
      <c r="D11044" s="8">
        <f>IFERROR(__xludf.DUMMYFUNCTION("""COMPUTED_VALUE"""),0.32)</f>
        <v>0.32</v>
      </c>
      <c r="E11044" s="8" t="str">
        <f>IFERROR(__xludf.DUMMYFUNCTION("""COMPUTED_VALUE"""),"Real")</f>
        <v>Real</v>
      </c>
      <c r="G11044" s="8">
        <f t="shared" si="1"/>
        <v>2</v>
      </c>
      <c r="H11044" s="14">
        <f t="shared" si="2"/>
        <v>4</v>
      </c>
      <c r="I11044" s="15">
        <f t="shared" si="3"/>
        <v>3</v>
      </c>
    </row>
    <row r="11045">
      <c r="A11045" s="8" t="str">
        <f>IFERROR(__xludf.DUMMYFUNCTION("IF('(INGESTA)Datos_consumo_datadis'!A11045&lt;&gt;"""",SPLIT('(INGESTA)Datos_consumo_datadis'!A:A,"",""),"""")"),"ES0031408323131005HX0F")</f>
        <v>ES0031408323131005HX0F</v>
      </c>
      <c r="B11045" s="12">
        <f>IFERROR(__xludf.DUMMYFUNCTION("""COMPUTED_VALUE"""),45326.0)</f>
        <v>45326</v>
      </c>
      <c r="C11045" s="13">
        <f>IFERROR(__xludf.DUMMYFUNCTION("""COMPUTED_VALUE"""),0.16666666666666666)</f>
        <v>0.1666666667</v>
      </c>
      <c r="D11045" s="8">
        <f>IFERROR(__xludf.DUMMYFUNCTION("""COMPUTED_VALUE"""),0.071)</f>
        <v>0.071</v>
      </c>
      <c r="E11045" s="8" t="str">
        <f>IFERROR(__xludf.DUMMYFUNCTION("""COMPUTED_VALUE"""),"Real")</f>
        <v>Real</v>
      </c>
      <c r="G11045" s="8">
        <f t="shared" si="1"/>
        <v>2</v>
      </c>
      <c r="H11045" s="14">
        <f t="shared" si="2"/>
        <v>4</v>
      </c>
      <c r="I11045" s="15">
        <f t="shared" si="3"/>
        <v>4</v>
      </c>
    </row>
    <row r="11046">
      <c r="A11046" s="8" t="str">
        <f>IFERROR(__xludf.DUMMYFUNCTION("IF('(INGESTA)Datos_consumo_datadis'!A11046&lt;&gt;"""",SPLIT('(INGESTA)Datos_consumo_datadis'!A:A,"",""),"""")"),"ES0031408323131005HX0F")</f>
        <v>ES0031408323131005HX0F</v>
      </c>
      <c r="B11046" s="12">
        <f>IFERROR(__xludf.DUMMYFUNCTION("""COMPUTED_VALUE"""),45326.0)</f>
        <v>45326</v>
      </c>
      <c r="C11046" s="13">
        <f>IFERROR(__xludf.DUMMYFUNCTION("""COMPUTED_VALUE"""),0.20833333333333334)</f>
        <v>0.2083333333</v>
      </c>
      <c r="D11046" s="8">
        <f>IFERROR(__xludf.DUMMYFUNCTION("""COMPUTED_VALUE"""),0.055)</f>
        <v>0.055</v>
      </c>
      <c r="E11046" s="8" t="str">
        <f>IFERROR(__xludf.DUMMYFUNCTION("""COMPUTED_VALUE"""),"Real")</f>
        <v>Real</v>
      </c>
      <c r="G11046" s="8">
        <f t="shared" si="1"/>
        <v>2</v>
      </c>
      <c r="H11046" s="14">
        <f t="shared" si="2"/>
        <v>4</v>
      </c>
      <c r="I11046" s="15">
        <f t="shared" si="3"/>
        <v>5</v>
      </c>
    </row>
    <row r="11047">
      <c r="A11047" s="8" t="str">
        <f>IFERROR(__xludf.DUMMYFUNCTION("IF('(INGESTA)Datos_consumo_datadis'!A11047&lt;&gt;"""",SPLIT('(INGESTA)Datos_consumo_datadis'!A:A,"",""),"""")"),"ES0031408323131005HX0F")</f>
        <v>ES0031408323131005HX0F</v>
      </c>
      <c r="B11047" s="12">
        <f>IFERROR(__xludf.DUMMYFUNCTION("""COMPUTED_VALUE"""),45326.0)</f>
        <v>45326</v>
      </c>
      <c r="C11047" s="13">
        <f>IFERROR(__xludf.DUMMYFUNCTION("""COMPUTED_VALUE"""),0.25)</f>
        <v>0.25</v>
      </c>
      <c r="D11047" s="8">
        <f>IFERROR(__xludf.DUMMYFUNCTION("""COMPUTED_VALUE"""),0.035)</f>
        <v>0.035</v>
      </c>
      <c r="E11047" s="8" t="str">
        <f>IFERROR(__xludf.DUMMYFUNCTION("""COMPUTED_VALUE"""),"Real")</f>
        <v>Real</v>
      </c>
      <c r="G11047" s="8">
        <f t="shared" si="1"/>
        <v>2</v>
      </c>
      <c r="H11047" s="14">
        <f t="shared" si="2"/>
        <v>4</v>
      </c>
      <c r="I11047" s="15">
        <f t="shared" si="3"/>
        <v>6</v>
      </c>
    </row>
    <row r="11048">
      <c r="A11048" s="8" t="str">
        <f>IFERROR(__xludf.DUMMYFUNCTION("IF('(INGESTA)Datos_consumo_datadis'!A11048&lt;&gt;"""",SPLIT('(INGESTA)Datos_consumo_datadis'!A:A,"",""),"""")"),"ES0031408323131005HX0F")</f>
        <v>ES0031408323131005HX0F</v>
      </c>
      <c r="B11048" s="12">
        <f>IFERROR(__xludf.DUMMYFUNCTION("""COMPUTED_VALUE"""),45326.0)</f>
        <v>45326</v>
      </c>
      <c r="C11048" s="13">
        <f>IFERROR(__xludf.DUMMYFUNCTION("""COMPUTED_VALUE"""),0.2916666666666667)</f>
        <v>0.2916666667</v>
      </c>
      <c r="D11048" s="8">
        <f>IFERROR(__xludf.DUMMYFUNCTION("""COMPUTED_VALUE"""),0.079)</f>
        <v>0.079</v>
      </c>
      <c r="E11048" s="8" t="str">
        <f>IFERROR(__xludf.DUMMYFUNCTION("""COMPUTED_VALUE"""),"Real")</f>
        <v>Real</v>
      </c>
      <c r="G11048" s="8">
        <f t="shared" si="1"/>
        <v>2</v>
      </c>
      <c r="H11048" s="14">
        <f t="shared" si="2"/>
        <v>4</v>
      </c>
      <c r="I11048" s="15">
        <f t="shared" si="3"/>
        <v>7</v>
      </c>
    </row>
    <row r="11049">
      <c r="A11049" s="8" t="str">
        <f>IFERROR(__xludf.DUMMYFUNCTION("IF('(INGESTA)Datos_consumo_datadis'!A11049&lt;&gt;"""",SPLIT('(INGESTA)Datos_consumo_datadis'!A:A,"",""),"""")"),"ES0031408323131005HX0F")</f>
        <v>ES0031408323131005HX0F</v>
      </c>
      <c r="B11049" s="12">
        <f>IFERROR(__xludf.DUMMYFUNCTION("""COMPUTED_VALUE"""),45326.0)</f>
        <v>45326</v>
      </c>
      <c r="C11049" s="13">
        <f>IFERROR(__xludf.DUMMYFUNCTION("""COMPUTED_VALUE"""),0.3333333333333333)</f>
        <v>0.3333333333</v>
      </c>
      <c r="D11049" s="8">
        <f>IFERROR(__xludf.DUMMYFUNCTION("""COMPUTED_VALUE"""),0.035)</f>
        <v>0.035</v>
      </c>
      <c r="E11049" s="8" t="str">
        <f>IFERROR(__xludf.DUMMYFUNCTION("""COMPUTED_VALUE"""),"Real")</f>
        <v>Real</v>
      </c>
      <c r="G11049" s="8">
        <f t="shared" si="1"/>
        <v>2</v>
      </c>
      <c r="H11049" s="14">
        <f t="shared" si="2"/>
        <v>4</v>
      </c>
      <c r="I11049" s="15">
        <f t="shared" si="3"/>
        <v>8</v>
      </c>
    </row>
    <row r="11050">
      <c r="A11050" s="8" t="str">
        <f>IFERROR(__xludf.DUMMYFUNCTION("IF('(INGESTA)Datos_consumo_datadis'!A11050&lt;&gt;"""",SPLIT('(INGESTA)Datos_consumo_datadis'!A:A,"",""),"""")"),"ES0031408323131005HX0F")</f>
        <v>ES0031408323131005HX0F</v>
      </c>
      <c r="B11050" s="12">
        <f>IFERROR(__xludf.DUMMYFUNCTION("""COMPUTED_VALUE"""),45326.0)</f>
        <v>45326</v>
      </c>
      <c r="C11050" s="13">
        <f>IFERROR(__xludf.DUMMYFUNCTION("""COMPUTED_VALUE"""),0.375)</f>
        <v>0.375</v>
      </c>
      <c r="D11050" s="8">
        <f>IFERROR(__xludf.DUMMYFUNCTION("""COMPUTED_VALUE"""),0.333)</f>
        <v>0.333</v>
      </c>
      <c r="E11050" s="8" t="str">
        <f>IFERROR(__xludf.DUMMYFUNCTION("""COMPUTED_VALUE"""),"Real")</f>
        <v>Real</v>
      </c>
      <c r="G11050" s="8">
        <f t="shared" si="1"/>
        <v>2</v>
      </c>
      <c r="H11050" s="14">
        <f t="shared" si="2"/>
        <v>4</v>
      </c>
      <c r="I11050" s="15">
        <f t="shared" si="3"/>
        <v>9</v>
      </c>
    </row>
    <row r="11051">
      <c r="A11051" s="8" t="str">
        <f>IFERROR(__xludf.DUMMYFUNCTION("IF('(INGESTA)Datos_consumo_datadis'!A11051&lt;&gt;"""",SPLIT('(INGESTA)Datos_consumo_datadis'!A:A,"",""),"""")"),"ES0031408323131005HX0F")</f>
        <v>ES0031408323131005HX0F</v>
      </c>
      <c r="B11051" s="12">
        <f>IFERROR(__xludf.DUMMYFUNCTION("""COMPUTED_VALUE"""),45326.0)</f>
        <v>45326</v>
      </c>
      <c r="C11051" s="13">
        <f>IFERROR(__xludf.DUMMYFUNCTION("""COMPUTED_VALUE"""),0.4166666666666667)</f>
        <v>0.4166666667</v>
      </c>
      <c r="D11051" s="8">
        <f>IFERROR(__xludf.DUMMYFUNCTION("""COMPUTED_VALUE"""),0.715)</f>
        <v>0.715</v>
      </c>
      <c r="E11051" s="8" t="str">
        <f>IFERROR(__xludf.DUMMYFUNCTION("""COMPUTED_VALUE"""),"Real")</f>
        <v>Real</v>
      </c>
      <c r="G11051" s="8">
        <f t="shared" si="1"/>
        <v>2</v>
      </c>
      <c r="H11051" s="14">
        <f t="shared" si="2"/>
        <v>4</v>
      </c>
      <c r="I11051" s="15">
        <f t="shared" si="3"/>
        <v>10</v>
      </c>
    </row>
    <row r="11052">
      <c r="A11052" s="8" t="str">
        <f>IFERROR(__xludf.DUMMYFUNCTION("IF('(INGESTA)Datos_consumo_datadis'!A11052&lt;&gt;"""",SPLIT('(INGESTA)Datos_consumo_datadis'!A:A,"",""),"""")"),"ES0031408323131005HX0F")</f>
        <v>ES0031408323131005HX0F</v>
      </c>
      <c r="B11052" s="12">
        <f>IFERROR(__xludf.DUMMYFUNCTION("""COMPUTED_VALUE"""),45326.0)</f>
        <v>45326</v>
      </c>
      <c r="C11052" s="13">
        <f>IFERROR(__xludf.DUMMYFUNCTION("""COMPUTED_VALUE"""),0.4583333333333333)</f>
        <v>0.4583333333</v>
      </c>
      <c r="D11052" s="8">
        <f>IFERROR(__xludf.DUMMYFUNCTION("""COMPUTED_VALUE"""),2.498)</f>
        <v>2.498</v>
      </c>
      <c r="E11052" s="8" t="str">
        <f>IFERROR(__xludf.DUMMYFUNCTION("""COMPUTED_VALUE"""),"Real")</f>
        <v>Real</v>
      </c>
      <c r="G11052" s="8">
        <f t="shared" si="1"/>
        <v>2</v>
      </c>
      <c r="H11052" s="14">
        <f t="shared" si="2"/>
        <v>4</v>
      </c>
      <c r="I11052" s="15">
        <f t="shared" si="3"/>
        <v>11</v>
      </c>
    </row>
    <row r="11053">
      <c r="A11053" s="8" t="str">
        <f>IFERROR(__xludf.DUMMYFUNCTION("IF('(INGESTA)Datos_consumo_datadis'!A11053&lt;&gt;"""",SPLIT('(INGESTA)Datos_consumo_datadis'!A:A,"",""),"""")"),"ES0031408323131005HX0F")</f>
        <v>ES0031408323131005HX0F</v>
      </c>
      <c r="B11053" s="12">
        <f>IFERROR(__xludf.DUMMYFUNCTION("""COMPUTED_VALUE"""),45326.0)</f>
        <v>45326</v>
      </c>
      <c r="C11053" s="13">
        <f>IFERROR(__xludf.DUMMYFUNCTION("""COMPUTED_VALUE"""),0.5)</f>
        <v>0.5</v>
      </c>
      <c r="D11053" s="8">
        <f>IFERROR(__xludf.DUMMYFUNCTION("""COMPUTED_VALUE"""),0.526)</f>
        <v>0.526</v>
      </c>
      <c r="E11053" s="8" t="str">
        <f>IFERROR(__xludf.DUMMYFUNCTION("""COMPUTED_VALUE"""),"Real")</f>
        <v>Real</v>
      </c>
      <c r="G11053" s="8">
        <f t="shared" si="1"/>
        <v>2</v>
      </c>
      <c r="H11053" s="14">
        <f t="shared" si="2"/>
        <v>4</v>
      </c>
      <c r="I11053" s="15">
        <f t="shared" si="3"/>
        <v>12</v>
      </c>
    </row>
    <row r="11054">
      <c r="A11054" s="8" t="str">
        <f>IFERROR(__xludf.DUMMYFUNCTION("IF('(INGESTA)Datos_consumo_datadis'!A11054&lt;&gt;"""",SPLIT('(INGESTA)Datos_consumo_datadis'!A:A,"",""),"""")"),"ES0031408323131005HX0F")</f>
        <v>ES0031408323131005HX0F</v>
      </c>
      <c r="B11054" s="12">
        <f>IFERROR(__xludf.DUMMYFUNCTION("""COMPUTED_VALUE"""),45326.0)</f>
        <v>45326</v>
      </c>
      <c r="C11054" s="13">
        <f>IFERROR(__xludf.DUMMYFUNCTION("""COMPUTED_VALUE"""),0.5416666666666666)</f>
        <v>0.5416666667</v>
      </c>
      <c r="D11054" s="8">
        <f>IFERROR(__xludf.DUMMYFUNCTION("""COMPUTED_VALUE"""),0.164)</f>
        <v>0.164</v>
      </c>
      <c r="E11054" s="8" t="str">
        <f>IFERROR(__xludf.DUMMYFUNCTION("""COMPUTED_VALUE"""),"Real")</f>
        <v>Real</v>
      </c>
      <c r="G11054" s="8">
        <f t="shared" si="1"/>
        <v>2</v>
      </c>
      <c r="H11054" s="14">
        <f t="shared" si="2"/>
        <v>4</v>
      </c>
      <c r="I11054" s="15">
        <f t="shared" si="3"/>
        <v>13</v>
      </c>
    </row>
    <row r="11055">
      <c r="A11055" s="8" t="str">
        <f>IFERROR(__xludf.DUMMYFUNCTION("IF('(INGESTA)Datos_consumo_datadis'!A11055&lt;&gt;"""",SPLIT('(INGESTA)Datos_consumo_datadis'!A:A,"",""),"""")"),"ES0031408323131005HX0F")</f>
        <v>ES0031408323131005HX0F</v>
      </c>
      <c r="B11055" s="12">
        <f>IFERROR(__xludf.DUMMYFUNCTION("""COMPUTED_VALUE"""),45326.0)</f>
        <v>45326</v>
      </c>
      <c r="C11055" s="13">
        <f>IFERROR(__xludf.DUMMYFUNCTION("""COMPUTED_VALUE"""),0.5833333333333334)</f>
        <v>0.5833333333</v>
      </c>
      <c r="D11055" s="8">
        <f>IFERROR(__xludf.DUMMYFUNCTION("""COMPUTED_VALUE"""),0.856)</f>
        <v>0.856</v>
      </c>
      <c r="E11055" s="8" t="str">
        <f>IFERROR(__xludf.DUMMYFUNCTION("""COMPUTED_VALUE"""),"Real")</f>
        <v>Real</v>
      </c>
      <c r="G11055" s="8">
        <f t="shared" si="1"/>
        <v>2</v>
      </c>
      <c r="H11055" s="14">
        <f t="shared" si="2"/>
        <v>4</v>
      </c>
      <c r="I11055" s="15">
        <f t="shared" si="3"/>
        <v>14</v>
      </c>
    </row>
    <row r="11056">
      <c r="A11056" s="8" t="str">
        <f>IFERROR(__xludf.DUMMYFUNCTION("IF('(INGESTA)Datos_consumo_datadis'!A11056&lt;&gt;"""",SPLIT('(INGESTA)Datos_consumo_datadis'!A:A,"",""),"""")"),"ES0031408323131005HX0F")</f>
        <v>ES0031408323131005HX0F</v>
      </c>
      <c r="B11056" s="12">
        <f>IFERROR(__xludf.DUMMYFUNCTION("""COMPUTED_VALUE"""),45326.0)</f>
        <v>45326</v>
      </c>
      <c r="C11056" s="13">
        <f>IFERROR(__xludf.DUMMYFUNCTION("""COMPUTED_VALUE"""),0.625)</f>
        <v>0.625</v>
      </c>
      <c r="D11056" s="8">
        <f>IFERROR(__xludf.DUMMYFUNCTION("""COMPUTED_VALUE"""),0.348)</f>
        <v>0.348</v>
      </c>
      <c r="E11056" s="8" t="str">
        <f>IFERROR(__xludf.DUMMYFUNCTION("""COMPUTED_VALUE"""),"Real")</f>
        <v>Real</v>
      </c>
      <c r="G11056" s="8">
        <f t="shared" si="1"/>
        <v>2</v>
      </c>
      <c r="H11056" s="14">
        <f t="shared" si="2"/>
        <v>4</v>
      </c>
      <c r="I11056" s="15">
        <f t="shared" si="3"/>
        <v>15</v>
      </c>
    </row>
    <row r="11057">
      <c r="A11057" s="8" t="str">
        <f>IFERROR(__xludf.DUMMYFUNCTION("IF('(INGESTA)Datos_consumo_datadis'!A11057&lt;&gt;"""",SPLIT('(INGESTA)Datos_consumo_datadis'!A:A,"",""),"""")"),"ES0031408323131005HX0F")</f>
        <v>ES0031408323131005HX0F</v>
      </c>
      <c r="B11057" s="12">
        <f>IFERROR(__xludf.DUMMYFUNCTION("""COMPUTED_VALUE"""),45326.0)</f>
        <v>45326</v>
      </c>
      <c r="C11057" s="13">
        <f>IFERROR(__xludf.DUMMYFUNCTION("""COMPUTED_VALUE"""),0.6666666666666666)</f>
        <v>0.6666666667</v>
      </c>
      <c r="D11057" s="8">
        <f>IFERROR(__xludf.DUMMYFUNCTION("""COMPUTED_VALUE"""),0.189)</f>
        <v>0.189</v>
      </c>
      <c r="E11057" s="8" t="str">
        <f>IFERROR(__xludf.DUMMYFUNCTION("""COMPUTED_VALUE"""),"Real")</f>
        <v>Real</v>
      </c>
      <c r="G11057" s="8">
        <f t="shared" si="1"/>
        <v>2</v>
      </c>
      <c r="H11057" s="14">
        <f t="shared" si="2"/>
        <v>4</v>
      </c>
      <c r="I11057" s="15">
        <f t="shared" si="3"/>
        <v>16</v>
      </c>
    </row>
    <row r="11058">
      <c r="A11058" s="8" t="str">
        <f>IFERROR(__xludf.DUMMYFUNCTION("IF('(INGESTA)Datos_consumo_datadis'!A11058&lt;&gt;"""",SPLIT('(INGESTA)Datos_consumo_datadis'!A:A,"",""),"""")"),"ES0031408323131005HX0F")</f>
        <v>ES0031408323131005HX0F</v>
      </c>
      <c r="B11058" s="12">
        <f>IFERROR(__xludf.DUMMYFUNCTION("""COMPUTED_VALUE"""),45326.0)</f>
        <v>45326</v>
      </c>
      <c r="C11058" s="13">
        <f>IFERROR(__xludf.DUMMYFUNCTION("""COMPUTED_VALUE"""),0.7083333333333334)</f>
        <v>0.7083333333</v>
      </c>
      <c r="D11058" s="8">
        <f>IFERROR(__xludf.DUMMYFUNCTION("""COMPUTED_VALUE"""),0.163)</f>
        <v>0.163</v>
      </c>
      <c r="E11058" s="8" t="str">
        <f>IFERROR(__xludf.DUMMYFUNCTION("""COMPUTED_VALUE"""),"Real")</f>
        <v>Real</v>
      </c>
      <c r="G11058" s="8">
        <f t="shared" si="1"/>
        <v>2</v>
      </c>
      <c r="H11058" s="14">
        <f t="shared" si="2"/>
        <v>4</v>
      </c>
      <c r="I11058" s="15">
        <f t="shared" si="3"/>
        <v>17</v>
      </c>
    </row>
    <row r="11059">
      <c r="A11059" s="8" t="str">
        <f>IFERROR(__xludf.DUMMYFUNCTION("IF('(INGESTA)Datos_consumo_datadis'!A11059&lt;&gt;"""",SPLIT('(INGESTA)Datos_consumo_datadis'!A:A,"",""),"""")"),"ES0031408323131005HX0F")</f>
        <v>ES0031408323131005HX0F</v>
      </c>
      <c r="B11059" s="12">
        <f>IFERROR(__xludf.DUMMYFUNCTION("""COMPUTED_VALUE"""),45326.0)</f>
        <v>45326</v>
      </c>
      <c r="C11059" s="13">
        <f>IFERROR(__xludf.DUMMYFUNCTION("""COMPUTED_VALUE"""),0.75)</f>
        <v>0.75</v>
      </c>
      <c r="D11059" s="8">
        <f>IFERROR(__xludf.DUMMYFUNCTION("""COMPUTED_VALUE"""),0.174)</f>
        <v>0.174</v>
      </c>
      <c r="E11059" s="8" t="str">
        <f>IFERROR(__xludf.DUMMYFUNCTION("""COMPUTED_VALUE"""),"Real")</f>
        <v>Real</v>
      </c>
      <c r="G11059" s="8">
        <f t="shared" si="1"/>
        <v>2</v>
      </c>
      <c r="H11059" s="14">
        <f t="shared" si="2"/>
        <v>4</v>
      </c>
      <c r="I11059" s="15">
        <f t="shared" si="3"/>
        <v>18</v>
      </c>
    </row>
    <row r="11060">
      <c r="A11060" s="8" t="str">
        <f>IFERROR(__xludf.DUMMYFUNCTION("IF('(INGESTA)Datos_consumo_datadis'!A11060&lt;&gt;"""",SPLIT('(INGESTA)Datos_consumo_datadis'!A:A,"",""),"""")"),"ES0031408323131005HX0F")</f>
        <v>ES0031408323131005HX0F</v>
      </c>
      <c r="B11060" s="12">
        <f>IFERROR(__xludf.DUMMYFUNCTION("""COMPUTED_VALUE"""),45326.0)</f>
        <v>45326</v>
      </c>
      <c r="C11060" s="13">
        <f>IFERROR(__xludf.DUMMYFUNCTION("""COMPUTED_VALUE"""),0.7916666666666666)</f>
        <v>0.7916666667</v>
      </c>
      <c r="D11060" s="8">
        <f>IFERROR(__xludf.DUMMYFUNCTION("""COMPUTED_VALUE"""),0.405)</f>
        <v>0.405</v>
      </c>
      <c r="E11060" s="8" t="str">
        <f>IFERROR(__xludf.DUMMYFUNCTION("""COMPUTED_VALUE"""),"Real")</f>
        <v>Real</v>
      </c>
      <c r="G11060" s="8">
        <f t="shared" si="1"/>
        <v>2</v>
      </c>
      <c r="H11060" s="14">
        <f t="shared" si="2"/>
        <v>4</v>
      </c>
      <c r="I11060" s="15">
        <f t="shared" si="3"/>
        <v>19</v>
      </c>
    </row>
    <row r="11061">
      <c r="A11061" s="8" t="str">
        <f>IFERROR(__xludf.DUMMYFUNCTION("IF('(INGESTA)Datos_consumo_datadis'!A11061&lt;&gt;"""",SPLIT('(INGESTA)Datos_consumo_datadis'!A:A,"",""),"""")"),"ES0031408323131005HX0F")</f>
        <v>ES0031408323131005HX0F</v>
      </c>
      <c r="B11061" s="12">
        <f>IFERROR(__xludf.DUMMYFUNCTION("""COMPUTED_VALUE"""),45326.0)</f>
        <v>45326</v>
      </c>
      <c r="C11061" s="13">
        <f>IFERROR(__xludf.DUMMYFUNCTION("""COMPUTED_VALUE"""),0.8333333333333334)</f>
        <v>0.8333333333</v>
      </c>
      <c r="D11061" s="8">
        <f>IFERROR(__xludf.DUMMYFUNCTION("""COMPUTED_VALUE"""),0.326)</f>
        <v>0.326</v>
      </c>
      <c r="E11061" s="8" t="str">
        <f>IFERROR(__xludf.DUMMYFUNCTION("""COMPUTED_VALUE"""),"Real")</f>
        <v>Real</v>
      </c>
      <c r="G11061" s="8">
        <f t="shared" si="1"/>
        <v>2</v>
      </c>
      <c r="H11061" s="14">
        <f t="shared" si="2"/>
        <v>4</v>
      </c>
      <c r="I11061" s="15">
        <f t="shared" si="3"/>
        <v>20</v>
      </c>
    </row>
    <row r="11062">
      <c r="A11062" s="8" t="str">
        <f>IFERROR(__xludf.DUMMYFUNCTION("IF('(INGESTA)Datos_consumo_datadis'!A11062&lt;&gt;"""",SPLIT('(INGESTA)Datos_consumo_datadis'!A:A,"",""),"""")"),"ES0031408323131005HX0F")</f>
        <v>ES0031408323131005HX0F</v>
      </c>
      <c r="B11062" s="12">
        <f>IFERROR(__xludf.DUMMYFUNCTION("""COMPUTED_VALUE"""),45326.0)</f>
        <v>45326</v>
      </c>
      <c r="C11062" s="13">
        <f>IFERROR(__xludf.DUMMYFUNCTION("""COMPUTED_VALUE"""),0.875)</f>
        <v>0.875</v>
      </c>
      <c r="D11062" s="8">
        <f>IFERROR(__xludf.DUMMYFUNCTION("""COMPUTED_VALUE"""),1.548)</f>
        <v>1.548</v>
      </c>
      <c r="E11062" s="8" t="str">
        <f>IFERROR(__xludf.DUMMYFUNCTION("""COMPUTED_VALUE"""),"Real")</f>
        <v>Real</v>
      </c>
      <c r="G11062" s="8">
        <f t="shared" si="1"/>
        <v>2</v>
      </c>
      <c r="H11062" s="14">
        <f t="shared" si="2"/>
        <v>4</v>
      </c>
      <c r="I11062" s="15">
        <f t="shared" si="3"/>
        <v>21</v>
      </c>
    </row>
    <row r="11063">
      <c r="A11063" s="8" t="str">
        <f>IFERROR(__xludf.DUMMYFUNCTION("IF('(INGESTA)Datos_consumo_datadis'!A11063&lt;&gt;"""",SPLIT('(INGESTA)Datos_consumo_datadis'!A:A,"",""),"""")"),"ES0031408323131005HX0F")</f>
        <v>ES0031408323131005HX0F</v>
      </c>
      <c r="B11063" s="12">
        <f>IFERROR(__xludf.DUMMYFUNCTION("""COMPUTED_VALUE"""),45326.0)</f>
        <v>45326</v>
      </c>
      <c r="C11063" s="13">
        <f>IFERROR(__xludf.DUMMYFUNCTION("""COMPUTED_VALUE"""),0.9166666666666666)</f>
        <v>0.9166666667</v>
      </c>
      <c r="D11063" s="8">
        <f>IFERROR(__xludf.DUMMYFUNCTION("""COMPUTED_VALUE"""),0.204)</f>
        <v>0.204</v>
      </c>
      <c r="E11063" s="8" t="str">
        <f>IFERROR(__xludf.DUMMYFUNCTION("""COMPUTED_VALUE"""),"Real")</f>
        <v>Real</v>
      </c>
      <c r="G11063" s="8">
        <f t="shared" si="1"/>
        <v>2</v>
      </c>
      <c r="H11063" s="14">
        <f t="shared" si="2"/>
        <v>4</v>
      </c>
      <c r="I11063" s="15">
        <f t="shared" si="3"/>
        <v>22</v>
      </c>
    </row>
    <row r="11064">
      <c r="A11064" s="8" t="str">
        <f>IFERROR(__xludf.DUMMYFUNCTION("IF('(INGESTA)Datos_consumo_datadis'!A11064&lt;&gt;"""",SPLIT('(INGESTA)Datos_consumo_datadis'!A:A,"",""),"""")"),"ES0031408323131005HX0F")</f>
        <v>ES0031408323131005HX0F</v>
      </c>
      <c r="B11064" s="12">
        <f>IFERROR(__xludf.DUMMYFUNCTION("""COMPUTED_VALUE"""),45326.0)</f>
        <v>45326</v>
      </c>
      <c r="C11064" s="13">
        <f>IFERROR(__xludf.DUMMYFUNCTION("""COMPUTED_VALUE"""),0.9583333333333334)</f>
        <v>0.9583333333</v>
      </c>
      <c r="D11064" s="8">
        <f>IFERROR(__xludf.DUMMYFUNCTION("""COMPUTED_VALUE"""),0.093)</f>
        <v>0.093</v>
      </c>
      <c r="E11064" s="8" t="str">
        <f>IFERROR(__xludf.DUMMYFUNCTION("""COMPUTED_VALUE"""),"Real")</f>
        <v>Real</v>
      </c>
      <c r="G11064" s="8">
        <f t="shared" si="1"/>
        <v>2</v>
      </c>
      <c r="H11064" s="14">
        <f t="shared" si="2"/>
        <v>4</v>
      </c>
      <c r="I11064" s="15">
        <f t="shared" si="3"/>
        <v>23</v>
      </c>
    </row>
    <row r="11065">
      <c r="A11065" s="8" t="str">
        <f>IFERROR(__xludf.DUMMYFUNCTION("IF('(INGESTA)Datos_consumo_datadis'!A11065&lt;&gt;"""",SPLIT('(INGESTA)Datos_consumo_datadis'!A:A,"",""),"""")"),"ES0031408323131005HX0F")</f>
        <v>ES0031408323131005HX0F</v>
      </c>
      <c r="B11065" s="12">
        <f>IFERROR(__xludf.DUMMYFUNCTION("""COMPUTED_VALUE"""),45326.0)</f>
        <v>45326</v>
      </c>
      <c r="C11065" s="16">
        <f>IFERROR(__xludf.DUMMYFUNCTION("""COMPUTED_VALUE"""),1.0)</f>
        <v>1</v>
      </c>
      <c r="D11065" s="8">
        <f>IFERROR(__xludf.DUMMYFUNCTION("""COMPUTED_VALUE"""),0.223)</f>
        <v>0.223</v>
      </c>
      <c r="E11065" s="8" t="str">
        <f>IFERROR(__xludf.DUMMYFUNCTION("""COMPUTED_VALUE"""),"Real")</f>
        <v>Real</v>
      </c>
      <c r="G11065" s="8">
        <f t="shared" si="1"/>
        <v>2</v>
      </c>
      <c r="H11065" s="14">
        <f t="shared" si="2"/>
        <v>4</v>
      </c>
      <c r="I11065" s="15">
        <f t="shared" si="3"/>
        <v>0</v>
      </c>
    </row>
    <row r="11066">
      <c r="A11066" s="8" t="str">
        <f>IFERROR(__xludf.DUMMYFUNCTION("IF('(INGESTA)Datos_consumo_datadis'!A11066&lt;&gt;"""",SPLIT('(INGESTA)Datos_consumo_datadis'!A:A,"",""),"""")"),"ES0031408323131005HX0F")</f>
        <v>ES0031408323131005HX0F</v>
      </c>
      <c r="B11066" s="12">
        <f>IFERROR(__xludf.DUMMYFUNCTION("""COMPUTED_VALUE"""),45327.0)</f>
        <v>45327</v>
      </c>
      <c r="C11066" s="13">
        <f>IFERROR(__xludf.DUMMYFUNCTION("""COMPUTED_VALUE"""),0.041666666666666664)</f>
        <v>0.04166666667</v>
      </c>
      <c r="D11066" s="8">
        <f>IFERROR(__xludf.DUMMYFUNCTION("""COMPUTED_VALUE"""),0.172)</f>
        <v>0.172</v>
      </c>
      <c r="E11066" s="8" t="str">
        <f>IFERROR(__xludf.DUMMYFUNCTION("""COMPUTED_VALUE"""),"Real")</f>
        <v>Real</v>
      </c>
      <c r="G11066" s="8">
        <f t="shared" si="1"/>
        <v>2</v>
      </c>
      <c r="H11066" s="14">
        <f t="shared" si="2"/>
        <v>5</v>
      </c>
      <c r="I11066" s="15">
        <f t="shared" si="3"/>
        <v>1</v>
      </c>
    </row>
    <row r="11067">
      <c r="A11067" s="8" t="str">
        <f>IFERROR(__xludf.DUMMYFUNCTION("IF('(INGESTA)Datos_consumo_datadis'!A11067&lt;&gt;"""",SPLIT('(INGESTA)Datos_consumo_datadis'!A:A,"",""),"""")"),"ES0031408323131005HX0F")</f>
        <v>ES0031408323131005HX0F</v>
      </c>
      <c r="B11067" s="12">
        <f>IFERROR(__xludf.DUMMYFUNCTION("""COMPUTED_VALUE"""),45327.0)</f>
        <v>45327</v>
      </c>
      <c r="C11067" s="13">
        <f>IFERROR(__xludf.DUMMYFUNCTION("""COMPUTED_VALUE"""),0.08333333333333333)</f>
        <v>0.08333333333</v>
      </c>
      <c r="D11067" s="8">
        <f>IFERROR(__xludf.DUMMYFUNCTION("""COMPUTED_VALUE"""),0.093)</f>
        <v>0.093</v>
      </c>
      <c r="E11067" s="8" t="str">
        <f>IFERROR(__xludf.DUMMYFUNCTION("""COMPUTED_VALUE"""),"Real")</f>
        <v>Real</v>
      </c>
      <c r="G11067" s="8">
        <f t="shared" si="1"/>
        <v>2</v>
      </c>
      <c r="H11067" s="14">
        <f t="shared" si="2"/>
        <v>5</v>
      </c>
      <c r="I11067" s="15">
        <f t="shared" si="3"/>
        <v>2</v>
      </c>
    </row>
    <row r="11068">
      <c r="A11068" s="8" t="str">
        <f>IFERROR(__xludf.DUMMYFUNCTION("IF('(INGESTA)Datos_consumo_datadis'!A11068&lt;&gt;"""",SPLIT('(INGESTA)Datos_consumo_datadis'!A:A,"",""),"""")"),"ES0031408323131005HX0F")</f>
        <v>ES0031408323131005HX0F</v>
      </c>
      <c r="B11068" s="12">
        <f>IFERROR(__xludf.DUMMYFUNCTION("""COMPUTED_VALUE"""),45327.0)</f>
        <v>45327</v>
      </c>
      <c r="C11068" s="13">
        <f>IFERROR(__xludf.DUMMYFUNCTION("""COMPUTED_VALUE"""),0.125)</f>
        <v>0.125</v>
      </c>
      <c r="D11068" s="8">
        <f>IFERROR(__xludf.DUMMYFUNCTION("""COMPUTED_VALUE"""),0.053)</f>
        <v>0.053</v>
      </c>
      <c r="E11068" s="8" t="str">
        <f>IFERROR(__xludf.DUMMYFUNCTION("""COMPUTED_VALUE"""),"Real")</f>
        <v>Real</v>
      </c>
      <c r="G11068" s="8">
        <f t="shared" si="1"/>
        <v>2</v>
      </c>
      <c r="H11068" s="14">
        <f t="shared" si="2"/>
        <v>5</v>
      </c>
      <c r="I11068" s="15">
        <f t="shared" si="3"/>
        <v>3</v>
      </c>
    </row>
    <row r="11069">
      <c r="A11069" s="8" t="str">
        <f>IFERROR(__xludf.DUMMYFUNCTION("IF('(INGESTA)Datos_consumo_datadis'!A11069&lt;&gt;"""",SPLIT('(INGESTA)Datos_consumo_datadis'!A:A,"",""),"""")"),"ES0031408323131005HX0F")</f>
        <v>ES0031408323131005HX0F</v>
      </c>
      <c r="B11069" s="12">
        <f>IFERROR(__xludf.DUMMYFUNCTION("""COMPUTED_VALUE"""),45327.0)</f>
        <v>45327</v>
      </c>
      <c r="C11069" s="13">
        <f>IFERROR(__xludf.DUMMYFUNCTION("""COMPUTED_VALUE"""),0.16666666666666666)</f>
        <v>0.1666666667</v>
      </c>
      <c r="D11069" s="8">
        <f>IFERROR(__xludf.DUMMYFUNCTION("""COMPUTED_VALUE"""),0.032)</f>
        <v>0.032</v>
      </c>
      <c r="E11069" s="8" t="str">
        <f>IFERROR(__xludf.DUMMYFUNCTION("""COMPUTED_VALUE"""),"Real")</f>
        <v>Real</v>
      </c>
      <c r="G11069" s="8">
        <f t="shared" si="1"/>
        <v>2</v>
      </c>
      <c r="H11069" s="14">
        <f t="shared" si="2"/>
        <v>5</v>
      </c>
      <c r="I11069" s="15">
        <f t="shared" si="3"/>
        <v>4</v>
      </c>
    </row>
    <row r="11070">
      <c r="A11070" s="8" t="str">
        <f>IFERROR(__xludf.DUMMYFUNCTION("IF('(INGESTA)Datos_consumo_datadis'!A11070&lt;&gt;"""",SPLIT('(INGESTA)Datos_consumo_datadis'!A:A,"",""),"""")"),"ES0031408323131005HX0F")</f>
        <v>ES0031408323131005HX0F</v>
      </c>
      <c r="B11070" s="12">
        <f>IFERROR(__xludf.DUMMYFUNCTION("""COMPUTED_VALUE"""),45327.0)</f>
        <v>45327</v>
      </c>
      <c r="C11070" s="13">
        <f>IFERROR(__xludf.DUMMYFUNCTION("""COMPUTED_VALUE"""),0.20833333333333334)</f>
        <v>0.2083333333</v>
      </c>
      <c r="D11070" s="8">
        <f>IFERROR(__xludf.DUMMYFUNCTION("""COMPUTED_VALUE"""),0.13)</f>
        <v>0.13</v>
      </c>
      <c r="E11070" s="8" t="str">
        <f>IFERROR(__xludf.DUMMYFUNCTION("""COMPUTED_VALUE"""),"Real")</f>
        <v>Real</v>
      </c>
      <c r="G11070" s="8">
        <f t="shared" si="1"/>
        <v>2</v>
      </c>
      <c r="H11070" s="14">
        <f t="shared" si="2"/>
        <v>5</v>
      </c>
      <c r="I11070" s="15">
        <f t="shared" si="3"/>
        <v>5</v>
      </c>
    </row>
    <row r="11071">
      <c r="A11071" s="8" t="str">
        <f>IFERROR(__xludf.DUMMYFUNCTION("IF('(INGESTA)Datos_consumo_datadis'!A11071&lt;&gt;"""",SPLIT('(INGESTA)Datos_consumo_datadis'!A:A,"",""),"""")"),"ES0031408323131005HX0F")</f>
        <v>ES0031408323131005HX0F</v>
      </c>
      <c r="B11071" s="12">
        <f>IFERROR(__xludf.DUMMYFUNCTION("""COMPUTED_VALUE"""),45327.0)</f>
        <v>45327</v>
      </c>
      <c r="C11071" s="13">
        <f>IFERROR(__xludf.DUMMYFUNCTION("""COMPUTED_VALUE"""),0.25)</f>
        <v>0.25</v>
      </c>
      <c r="D11071" s="8">
        <f>IFERROR(__xludf.DUMMYFUNCTION("""COMPUTED_VALUE"""),0.462)</f>
        <v>0.462</v>
      </c>
      <c r="E11071" s="8" t="str">
        <f>IFERROR(__xludf.DUMMYFUNCTION("""COMPUTED_VALUE"""),"Real")</f>
        <v>Real</v>
      </c>
      <c r="G11071" s="8">
        <f t="shared" si="1"/>
        <v>2</v>
      </c>
      <c r="H11071" s="14">
        <f t="shared" si="2"/>
        <v>5</v>
      </c>
      <c r="I11071" s="15">
        <f t="shared" si="3"/>
        <v>6</v>
      </c>
    </row>
    <row r="11072">
      <c r="A11072" s="8" t="str">
        <f>IFERROR(__xludf.DUMMYFUNCTION("IF('(INGESTA)Datos_consumo_datadis'!A11072&lt;&gt;"""",SPLIT('(INGESTA)Datos_consumo_datadis'!A:A,"",""),"""")"),"ES0031408323131005HX0F")</f>
        <v>ES0031408323131005HX0F</v>
      </c>
      <c r="B11072" s="12">
        <f>IFERROR(__xludf.DUMMYFUNCTION("""COMPUTED_VALUE"""),45327.0)</f>
        <v>45327</v>
      </c>
      <c r="C11072" s="13">
        <f>IFERROR(__xludf.DUMMYFUNCTION("""COMPUTED_VALUE"""),0.2916666666666667)</f>
        <v>0.2916666667</v>
      </c>
      <c r="D11072" s="8">
        <f>IFERROR(__xludf.DUMMYFUNCTION("""COMPUTED_VALUE"""),0.07)</f>
        <v>0.07</v>
      </c>
      <c r="E11072" s="8" t="str">
        <f>IFERROR(__xludf.DUMMYFUNCTION("""COMPUTED_VALUE"""),"Real")</f>
        <v>Real</v>
      </c>
      <c r="G11072" s="8">
        <f t="shared" si="1"/>
        <v>2</v>
      </c>
      <c r="H11072" s="14">
        <f t="shared" si="2"/>
        <v>5</v>
      </c>
      <c r="I11072" s="15">
        <f t="shared" si="3"/>
        <v>7</v>
      </c>
    </row>
    <row r="11073">
      <c r="A11073" s="8" t="str">
        <f>IFERROR(__xludf.DUMMYFUNCTION("IF('(INGESTA)Datos_consumo_datadis'!A11073&lt;&gt;"""",SPLIT('(INGESTA)Datos_consumo_datadis'!A:A,"",""),"""")"),"ES0031408323131005HX0F")</f>
        <v>ES0031408323131005HX0F</v>
      </c>
      <c r="B11073" s="12">
        <f>IFERROR(__xludf.DUMMYFUNCTION("""COMPUTED_VALUE"""),45327.0)</f>
        <v>45327</v>
      </c>
      <c r="C11073" s="13">
        <f>IFERROR(__xludf.DUMMYFUNCTION("""COMPUTED_VALUE"""),0.3333333333333333)</f>
        <v>0.3333333333</v>
      </c>
      <c r="D11073" s="8">
        <f>IFERROR(__xludf.DUMMYFUNCTION("""COMPUTED_VALUE"""),0.046)</f>
        <v>0.046</v>
      </c>
      <c r="E11073" s="8" t="str">
        <f>IFERROR(__xludf.DUMMYFUNCTION("""COMPUTED_VALUE"""),"Real")</f>
        <v>Real</v>
      </c>
      <c r="G11073" s="8">
        <f t="shared" si="1"/>
        <v>2</v>
      </c>
      <c r="H11073" s="14">
        <f t="shared" si="2"/>
        <v>5</v>
      </c>
      <c r="I11073" s="15">
        <f t="shared" si="3"/>
        <v>8</v>
      </c>
    </row>
    <row r="11074">
      <c r="A11074" s="8" t="str">
        <f>IFERROR(__xludf.DUMMYFUNCTION("IF('(INGESTA)Datos_consumo_datadis'!A11074&lt;&gt;"""",SPLIT('(INGESTA)Datos_consumo_datadis'!A:A,"",""),"""")"),"ES0031408323131005HX0F")</f>
        <v>ES0031408323131005HX0F</v>
      </c>
      <c r="B11074" s="12">
        <f>IFERROR(__xludf.DUMMYFUNCTION("""COMPUTED_VALUE"""),45327.0)</f>
        <v>45327</v>
      </c>
      <c r="C11074" s="13">
        <f>IFERROR(__xludf.DUMMYFUNCTION("""COMPUTED_VALUE"""),0.375)</f>
        <v>0.375</v>
      </c>
      <c r="D11074" s="8">
        <f>IFERROR(__xludf.DUMMYFUNCTION("""COMPUTED_VALUE"""),0.087)</f>
        <v>0.087</v>
      </c>
      <c r="E11074" s="8" t="str">
        <f>IFERROR(__xludf.DUMMYFUNCTION("""COMPUTED_VALUE"""),"Real")</f>
        <v>Real</v>
      </c>
      <c r="G11074" s="8">
        <f t="shared" si="1"/>
        <v>2</v>
      </c>
      <c r="H11074" s="14">
        <f t="shared" si="2"/>
        <v>5</v>
      </c>
      <c r="I11074" s="15">
        <f t="shared" si="3"/>
        <v>9</v>
      </c>
    </row>
    <row r="11075">
      <c r="A11075" s="8" t="str">
        <f>IFERROR(__xludf.DUMMYFUNCTION("IF('(INGESTA)Datos_consumo_datadis'!A11075&lt;&gt;"""",SPLIT('(INGESTA)Datos_consumo_datadis'!A:A,"",""),"""")"),"ES0031408323131005HX0F")</f>
        <v>ES0031408323131005HX0F</v>
      </c>
      <c r="B11075" s="12">
        <f>IFERROR(__xludf.DUMMYFUNCTION("""COMPUTED_VALUE"""),45327.0)</f>
        <v>45327</v>
      </c>
      <c r="C11075" s="13">
        <f>IFERROR(__xludf.DUMMYFUNCTION("""COMPUTED_VALUE"""),0.4166666666666667)</f>
        <v>0.4166666667</v>
      </c>
      <c r="D11075" s="8">
        <f>IFERROR(__xludf.DUMMYFUNCTION("""COMPUTED_VALUE"""),0.733)</f>
        <v>0.733</v>
      </c>
      <c r="E11075" s="8" t="str">
        <f>IFERROR(__xludf.DUMMYFUNCTION("""COMPUTED_VALUE"""),"Real")</f>
        <v>Real</v>
      </c>
      <c r="G11075" s="8">
        <f t="shared" si="1"/>
        <v>2</v>
      </c>
      <c r="H11075" s="14">
        <f t="shared" si="2"/>
        <v>5</v>
      </c>
      <c r="I11075" s="15">
        <f t="shared" si="3"/>
        <v>10</v>
      </c>
    </row>
    <row r="11076">
      <c r="A11076" s="8" t="str">
        <f>IFERROR(__xludf.DUMMYFUNCTION("IF('(INGESTA)Datos_consumo_datadis'!A11076&lt;&gt;"""",SPLIT('(INGESTA)Datos_consumo_datadis'!A:A,"",""),"""")"),"ES0031408323131005HX0F")</f>
        <v>ES0031408323131005HX0F</v>
      </c>
      <c r="B11076" s="12">
        <f>IFERROR(__xludf.DUMMYFUNCTION("""COMPUTED_VALUE"""),45327.0)</f>
        <v>45327</v>
      </c>
      <c r="C11076" s="13">
        <f>IFERROR(__xludf.DUMMYFUNCTION("""COMPUTED_VALUE"""),0.4583333333333333)</f>
        <v>0.4583333333</v>
      </c>
      <c r="D11076" s="8">
        <f>IFERROR(__xludf.DUMMYFUNCTION("""COMPUTED_VALUE"""),0.726)</f>
        <v>0.726</v>
      </c>
      <c r="E11076" s="8" t="str">
        <f>IFERROR(__xludf.DUMMYFUNCTION("""COMPUTED_VALUE"""),"Real")</f>
        <v>Real</v>
      </c>
      <c r="G11076" s="8">
        <f t="shared" si="1"/>
        <v>2</v>
      </c>
      <c r="H11076" s="14">
        <f t="shared" si="2"/>
        <v>5</v>
      </c>
      <c r="I11076" s="15">
        <f t="shared" si="3"/>
        <v>11</v>
      </c>
    </row>
    <row r="11077">
      <c r="A11077" s="8" t="str">
        <f>IFERROR(__xludf.DUMMYFUNCTION("IF('(INGESTA)Datos_consumo_datadis'!A11077&lt;&gt;"""",SPLIT('(INGESTA)Datos_consumo_datadis'!A:A,"",""),"""")"),"ES0031408323131005HX0F")</f>
        <v>ES0031408323131005HX0F</v>
      </c>
      <c r="B11077" s="12">
        <f>IFERROR(__xludf.DUMMYFUNCTION("""COMPUTED_VALUE"""),45327.0)</f>
        <v>45327</v>
      </c>
      <c r="C11077" s="13">
        <f>IFERROR(__xludf.DUMMYFUNCTION("""COMPUTED_VALUE"""),0.5)</f>
        <v>0.5</v>
      </c>
      <c r="D11077" s="8">
        <f>IFERROR(__xludf.DUMMYFUNCTION("""COMPUTED_VALUE"""),1.332)</f>
        <v>1.332</v>
      </c>
      <c r="E11077" s="8" t="str">
        <f>IFERROR(__xludf.DUMMYFUNCTION("""COMPUTED_VALUE"""),"Real")</f>
        <v>Real</v>
      </c>
      <c r="G11077" s="8">
        <f t="shared" si="1"/>
        <v>2</v>
      </c>
      <c r="H11077" s="14">
        <f t="shared" si="2"/>
        <v>5</v>
      </c>
      <c r="I11077" s="15">
        <f t="shared" si="3"/>
        <v>12</v>
      </c>
    </row>
    <row r="11078">
      <c r="A11078" s="8" t="str">
        <f>IFERROR(__xludf.DUMMYFUNCTION("IF('(INGESTA)Datos_consumo_datadis'!A11078&lt;&gt;"""",SPLIT('(INGESTA)Datos_consumo_datadis'!A:A,"",""),"""")"),"ES0031408323131005HX0F")</f>
        <v>ES0031408323131005HX0F</v>
      </c>
      <c r="B11078" s="12">
        <f>IFERROR(__xludf.DUMMYFUNCTION("""COMPUTED_VALUE"""),45327.0)</f>
        <v>45327</v>
      </c>
      <c r="C11078" s="13">
        <f>IFERROR(__xludf.DUMMYFUNCTION("""COMPUTED_VALUE"""),0.5416666666666666)</f>
        <v>0.5416666667</v>
      </c>
      <c r="D11078" s="8">
        <f>IFERROR(__xludf.DUMMYFUNCTION("""COMPUTED_VALUE"""),0.256)</f>
        <v>0.256</v>
      </c>
      <c r="E11078" s="8" t="str">
        <f>IFERROR(__xludf.DUMMYFUNCTION("""COMPUTED_VALUE"""),"Real")</f>
        <v>Real</v>
      </c>
      <c r="G11078" s="8">
        <f t="shared" si="1"/>
        <v>2</v>
      </c>
      <c r="H11078" s="14">
        <f t="shared" si="2"/>
        <v>5</v>
      </c>
      <c r="I11078" s="15">
        <f t="shared" si="3"/>
        <v>13</v>
      </c>
    </row>
    <row r="11079">
      <c r="A11079" s="8" t="str">
        <f>IFERROR(__xludf.DUMMYFUNCTION("IF('(INGESTA)Datos_consumo_datadis'!A11079&lt;&gt;"""",SPLIT('(INGESTA)Datos_consumo_datadis'!A:A,"",""),"""")"),"ES0031408323131005HX0F")</f>
        <v>ES0031408323131005HX0F</v>
      </c>
      <c r="B11079" s="12">
        <f>IFERROR(__xludf.DUMMYFUNCTION("""COMPUTED_VALUE"""),45327.0)</f>
        <v>45327</v>
      </c>
      <c r="C11079" s="13">
        <f>IFERROR(__xludf.DUMMYFUNCTION("""COMPUTED_VALUE"""),0.5833333333333334)</f>
        <v>0.5833333333</v>
      </c>
      <c r="D11079" s="8">
        <f>IFERROR(__xludf.DUMMYFUNCTION("""COMPUTED_VALUE"""),0.438)</f>
        <v>0.438</v>
      </c>
      <c r="E11079" s="8" t="str">
        <f>IFERROR(__xludf.DUMMYFUNCTION("""COMPUTED_VALUE"""),"Real")</f>
        <v>Real</v>
      </c>
      <c r="G11079" s="8">
        <f t="shared" si="1"/>
        <v>2</v>
      </c>
      <c r="H11079" s="14">
        <f t="shared" si="2"/>
        <v>5</v>
      </c>
      <c r="I11079" s="15">
        <f t="shared" si="3"/>
        <v>14</v>
      </c>
    </row>
    <row r="11080">
      <c r="A11080" s="8" t="str">
        <f>IFERROR(__xludf.DUMMYFUNCTION("IF('(INGESTA)Datos_consumo_datadis'!A11080&lt;&gt;"""",SPLIT('(INGESTA)Datos_consumo_datadis'!A:A,"",""),"""")"),"ES0031408323131005HX0F")</f>
        <v>ES0031408323131005HX0F</v>
      </c>
      <c r="B11080" s="12">
        <f>IFERROR(__xludf.DUMMYFUNCTION("""COMPUTED_VALUE"""),45327.0)</f>
        <v>45327</v>
      </c>
      <c r="C11080" s="13">
        <f>IFERROR(__xludf.DUMMYFUNCTION("""COMPUTED_VALUE"""),0.625)</f>
        <v>0.625</v>
      </c>
      <c r="D11080" s="8">
        <f>IFERROR(__xludf.DUMMYFUNCTION("""COMPUTED_VALUE"""),0.315)</f>
        <v>0.315</v>
      </c>
      <c r="E11080" s="8" t="str">
        <f>IFERROR(__xludf.DUMMYFUNCTION("""COMPUTED_VALUE"""),"Real")</f>
        <v>Real</v>
      </c>
      <c r="G11080" s="8">
        <f t="shared" si="1"/>
        <v>2</v>
      </c>
      <c r="H11080" s="14">
        <f t="shared" si="2"/>
        <v>5</v>
      </c>
      <c r="I11080" s="15">
        <f t="shared" si="3"/>
        <v>15</v>
      </c>
    </row>
    <row r="11081">
      <c r="A11081" s="8" t="str">
        <f>IFERROR(__xludf.DUMMYFUNCTION("IF('(INGESTA)Datos_consumo_datadis'!A11081&lt;&gt;"""",SPLIT('(INGESTA)Datos_consumo_datadis'!A:A,"",""),"""")"),"ES0031408323131005HX0F")</f>
        <v>ES0031408323131005HX0F</v>
      </c>
      <c r="B11081" s="12">
        <f>IFERROR(__xludf.DUMMYFUNCTION("""COMPUTED_VALUE"""),45327.0)</f>
        <v>45327</v>
      </c>
      <c r="C11081" s="13">
        <f>IFERROR(__xludf.DUMMYFUNCTION("""COMPUTED_VALUE"""),0.6666666666666666)</f>
        <v>0.6666666667</v>
      </c>
      <c r="D11081" s="8">
        <f>IFERROR(__xludf.DUMMYFUNCTION("""COMPUTED_VALUE"""),1.318)</f>
        <v>1.318</v>
      </c>
      <c r="E11081" s="8" t="str">
        <f>IFERROR(__xludf.DUMMYFUNCTION("""COMPUTED_VALUE"""),"Real")</f>
        <v>Real</v>
      </c>
      <c r="G11081" s="8">
        <f t="shared" si="1"/>
        <v>2</v>
      </c>
      <c r="H11081" s="14">
        <f t="shared" si="2"/>
        <v>5</v>
      </c>
      <c r="I11081" s="15">
        <f t="shared" si="3"/>
        <v>16</v>
      </c>
    </row>
    <row r="11082">
      <c r="A11082" s="8" t="str">
        <f>IFERROR(__xludf.DUMMYFUNCTION("IF('(INGESTA)Datos_consumo_datadis'!A11082&lt;&gt;"""",SPLIT('(INGESTA)Datos_consumo_datadis'!A:A,"",""),"""")"),"ES0031408323131005HX0F")</f>
        <v>ES0031408323131005HX0F</v>
      </c>
      <c r="B11082" s="12">
        <f>IFERROR(__xludf.DUMMYFUNCTION("""COMPUTED_VALUE"""),45327.0)</f>
        <v>45327</v>
      </c>
      <c r="C11082" s="13">
        <f>IFERROR(__xludf.DUMMYFUNCTION("""COMPUTED_VALUE"""),0.7083333333333334)</f>
        <v>0.7083333333</v>
      </c>
      <c r="D11082" s="8">
        <f>IFERROR(__xludf.DUMMYFUNCTION("""COMPUTED_VALUE"""),0.062)</f>
        <v>0.062</v>
      </c>
      <c r="E11082" s="8" t="str">
        <f>IFERROR(__xludf.DUMMYFUNCTION("""COMPUTED_VALUE"""),"Real")</f>
        <v>Real</v>
      </c>
      <c r="G11082" s="8">
        <f t="shared" si="1"/>
        <v>2</v>
      </c>
      <c r="H11082" s="14">
        <f t="shared" si="2"/>
        <v>5</v>
      </c>
      <c r="I11082" s="15">
        <f t="shared" si="3"/>
        <v>17</v>
      </c>
    </row>
    <row r="11083">
      <c r="A11083" s="8" t="str">
        <f>IFERROR(__xludf.DUMMYFUNCTION("IF('(INGESTA)Datos_consumo_datadis'!A11083&lt;&gt;"""",SPLIT('(INGESTA)Datos_consumo_datadis'!A:A,"",""),"""")"),"ES0031408323131005HX0F")</f>
        <v>ES0031408323131005HX0F</v>
      </c>
      <c r="B11083" s="12">
        <f>IFERROR(__xludf.DUMMYFUNCTION("""COMPUTED_VALUE"""),45327.0)</f>
        <v>45327</v>
      </c>
      <c r="C11083" s="13">
        <f>IFERROR(__xludf.DUMMYFUNCTION("""COMPUTED_VALUE"""),0.75)</f>
        <v>0.75</v>
      </c>
      <c r="D11083" s="8">
        <f>IFERROR(__xludf.DUMMYFUNCTION("""COMPUTED_VALUE"""),0.026)</f>
        <v>0.026</v>
      </c>
      <c r="E11083" s="8" t="str">
        <f>IFERROR(__xludf.DUMMYFUNCTION("""COMPUTED_VALUE"""),"Real")</f>
        <v>Real</v>
      </c>
      <c r="G11083" s="8">
        <f t="shared" si="1"/>
        <v>2</v>
      </c>
      <c r="H11083" s="14">
        <f t="shared" si="2"/>
        <v>5</v>
      </c>
      <c r="I11083" s="15">
        <f t="shared" si="3"/>
        <v>18</v>
      </c>
    </row>
    <row r="11084">
      <c r="A11084" s="8" t="str">
        <f>IFERROR(__xludf.DUMMYFUNCTION("IF('(INGESTA)Datos_consumo_datadis'!A11084&lt;&gt;"""",SPLIT('(INGESTA)Datos_consumo_datadis'!A:A,"",""),"""")"),"ES0031408323131005HX0F")</f>
        <v>ES0031408323131005HX0F</v>
      </c>
      <c r="B11084" s="12">
        <f>IFERROR(__xludf.DUMMYFUNCTION("""COMPUTED_VALUE"""),45327.0)</f>
        <v>45327</v>
      </c>
      <c r="C11084" s="13">
        <f>IFERROR(__xludf.DUMMYFUNCTION("""COMPUTED_VALUE"""),0.7916666666666666)</f>
        <v>0.7916666667</v>
      </c>
      <c r="D11084" s="8">
        <f>IFERROR(__xludf.DUMMYFUNCTION("""COMPUTED_VALUE"""),0.093)</f>
        <v>0.093</v>
      </c>
      <c r="E11084" s="8" t="str">
        <f>IFERROR(__xludf.DUMMYFUNCTION("""COMPUTED_VALUE"""),"Real")</f>
        <v>Real</v>
      </c>
      <c r="G11084" s="8">
        <f t="shared" si="1"/>
        <v>2</v>
      </c>
      <c r="H11084" s="14">
        <f t="shared" si="2"/>
        <v>5</v>
      </c>
      <c r="I11084" s="15">
        <f t="shared" si="3"/>
        <v>19</v>
      </c>
    </row>
    <row r="11085">
      <c r="A11085" s="8" t="str">
        <f>IFERROR(__xludf.DUMMYFUNCTION("IF('(INGESTA)Datos_consumo_datadis'!A11085&lt;&gt;"""",SPLIT('(INGESTA)Datos_consumo_datadis'!A:A,"",""),"""")"),"ES0031408323131005HX0F")</f>
        <v>ES0031408323131005HX0F</v>
      </c>
      <c r="B11085" s="12">
        <f>IFERROR(__xludf.DUMMYFUNCTION("""COMPUTED_VALUE"""),45327.0)</f>
        <v>45327</v>
      </c>
      <c r="C11085" s="13">
        <f>IFERROR(__xludf.DUMMYFUNCTION("""COMPUTED_VALUE"""),0.8333333333333334)</f>
        <v>0.8333333333</v>
      </c>
      <c r="D11085" s="8">
        <f>IFERROR(__xludf.DUMMYFUNCTION("""COMPUTED_VALUE"""),0.385)</f>
        <v>0.385</v>
      </c>
      <c r="E11085" s="8" t="str">
        <f>IFERROR(__xludf.DUMMYFUNCTION("""COMPUTED_VALUE"""),"Real")</f>
        <v>Real</v>
      </c>
      <c r="G11085" s="8">
        <f t="shared" si="1"/>
        <v>2</v>
      </c>
      <c r="H11085" s="14">
        <f t="shared" si="2"/>
        <v>5</v>
      </c>
      <c r="I11085" s="15">
        <f t="shared" si="3"/>
        <v>20</v>
      </c>
    </row>
    <row r="11086">
      <c r="A11086" s="8" t="str">
        <f>IFERROR(__xludf.DUMMYFUNCTION("IF('(INGESTA)Datos_consumo_datadis'!A11086&lt;&gt;"""",SPLIT('(INGESTA)Datos_consumo_datadis'!A:A,"",""),"""")"),"ES0031408323131005HX0F")</f>
        <v>ES0031408323131005HX0F</v>
      </c>
      <c r="B11086" s="12">
        <f>IFERROR(__xludf.DUMMYFUNCTION("""COMPUTED_VALUE"""),45327.0)</f>
        <v>45327</v>
      </c>
      <c r="C11086" s="13">
        <f>IFERROR(__xludf.DUMMYFUNCTION("""COMPUTED_VALUE"""),0.875)</f>
        <v>0.875</v>
      </c>
      <c r="D11086" s="8">
        <f>IFERROR(__xludf.DUMMYFUNCTION("""COMPUTED_VALUE"""),0.79)</f>
        <v>0.79</v>
      </c>
      <c r="E11086" s="8" t="str">
        <f>IFERROR(__xludf.DUMMYFUNCTION("""COMPUTED_VALUE"""),"Real")</f>
        <v>Real</v>
      </c>
      <c r="G11086" s="8">
        <f t="shared" si="1"/>
        <v>2</v>
      </c>
      <c r="H11086" s="14">
        <f t="shared" si="2"/>
        <v>5</v>
      </c>
      <c r="I11086" s="15">
        <f t="shared" si="3"/>
        <v>21</v>
      </c>
    </row>
    <row r="11087">
      <c r="A11087" s="8" t="str">
        <f>IFERROR(__xludf.DUMMYFUNCTION("IF('(INGESTA)Datos_consumo_datadis'!A11087&lt;&gt;"""",SPLIT('(INGESTA)Datos_consumo_datadis'!A:A,"",""),"""")"),"ES0031408323131005HX0F")</f>
        <v>ES0031408323131005HX0F</v>
      </c>
      <c r="B11087" s="12">
        <f>IFERROR(__xludf.DUMMYFUNCTION("""COMPUTED_VALUE"""),45327.0)</f>
        <v>45327</v>
      </c>
      <c r="C11087" s="13">
        <f>IFERROR(__xludf.DUMMYFUNCTION("""COMPUTED_VALUE"""),0.9166666666666666)</f>
        <v>0.9166666667</v>
      </c>
      <c r="D11087" s="8">
        <f>IFERROR(__xludf.DUMMYFUNCTION("""COMPUTED_VALUE"""),0.672)</f>
        <v>0.672</v>
      </c>
      <c r="E11087" s="8" t="str">
        <f>IFERROR(__xludf.DUMMYFUNCTION("""COMPUTED_VALUE"""),"Real")</f>
        <v>Real</v>
      </c>
      <c r="G11087" s="8">
        <f t="shared" si="1"/>
        <v>2</v>
      </c>
      <c r="H11087" s="14">
        <f t="shared" si="2"/>
        <v>5</v>
      </c>
      <c r="I11087" s="15">
        <f t="shared" si="3"/>
        <v>22</v>
      </c>
    </row>
    <row r="11088">
      <c r="A11088" s="8" t="str">
        <f>IFERROR(__xludf.DUMMYFUNCTION("IF('(INGESTA)Datos_consumo_datadis'!A11088&lt;&gt;"""",SPLIT('(INGESTA)Datos_consumo_datadis'!A:A,"",""),"""")"),"ES0031408323131005HX0F")</f>
        <v>ES0031408323131005HX0F</v>
      </c>
      <c r="B11088" s="12">
        <f>IFERROR(__xludf.DUMMYFUNCTION("""COMPUTED_VALUE"""),45327.0)</f>
        <v>45327</v>
      </c>
      <c r="C11088" s="13">
        <f>IFERROR(__xludf.DUMMYFUNCTION("""COMPUTED_VALUE"""),0.9583333333333334)</f>
        <v>0.9583333333</v>
      </c>
      <c r="D11088" s="8">
        <f>IFERROR(__xludf.DUMMYFUNCTION("""COMPUTED_VALUE"""),0.492)</f>
        <v>0.492</v>
      </c>
      <c r="E11088" s="8" t="str">
        <f>IFERROR(__xludf.DUMMYFUNCTION("""COMPUTED_VALUE"""),"Real")</f>
        <v>Real</v>
      </c>
      <c r="G11088" s="8">
        <f t="shared" si="1"/>
        <v>2</v>
      </c>
      <c r="H11088" s="14">
        <f t="shared" si="2"/>
        <v>5</v>
      </c>
      <c r="I11088" s="15">
        <f t="shared" si="3"/>
        <v>23</v>
      </c>
    </row>
    <row r="11089">
      <c r="A11089" s="8" t="str">
        <f>IFERROR(__xludf.DUMMYFUNCTION("IF('(INGESTA)Datos_consumo_datadis'!A11089&lt;&gt;"""",SPLIT('(INGESTA)Datos_consumo_datadis'!A:A,"",""),"""")"),"ES0031408323131005HX0F")</f>
        <v>ES0031408323131005HX0F</v>
      </c>
      <c r="B11089" s="12">
        <f>IFERROR(__xludf.DUMMYFUNCTION("""COMPUTED_VALUE"""),45327.0)</f>
        <v>45327</v>
      </c>
      <c r="C11089" s="16">
        <f>IFERROR(__xludf.DUMMYFUNCTION("""COMPUTED_VALUE"""),1.0)</f>
        <v>1</v>
      </c>
      <c r="D11089" s="8">
        <f>IFERROR(__xludf.DUMMYFUNCTION("""COMPUTED_VALUE"""),0.521)</f>
        <v>0.521</v>
      </c>
      <c r="E11089" s="8" t="str">
        <f>IFERROR(__xludf.DUMMYFUNCTION("""COMPUTED_VALUE"""),"Real")</f>
        <v>Real</v>
      </c>
      <c r="G11089" s="8">
        <f t="shared" si="1"/>
        <v>2</v>
      </c>
      <c r="H11089" s="14">
        <f t="shared" si="2"/>
        <v>5</v>
      </c>
      <c r="I11089" s="15">
        <f t="shared" si="3"/>
        <v>0</v>
      </c>
    </row>
    <row r="11090">
      <c r="A11090" s="8" t="str">
        <f>IFERROR(__xludf.DUMMYFUNCTION("IF('(INGESTA)Datos_consumo_datadis'!A11090&lt;&gt;"""",SPLIT('(INGESTA)Datos_consumo_datadis'!A:A,"",""),"""")"),"ES0031408323131005HX0F")</f>
        <v>ES0031408323131005HX0F</v>
      </c>
      <c r="B11090" s="12">
        <f>IFERROR(__xludf.DUMMYFUNCTION("""COMPUTED_VALUE"""),45328.0)</f>
        <v>45328</v>
      </c>
      <c r="C11090" s="13">
        <f>IFERROR(__xludf.DUMMYFUNCTION("""COMPUTED_VALUE"""),0.041666666666666664)</f>
        <v>0.04166666667</v>
      </c>
      <c r="D11090" s="8">
        <f>IFERROR(__xludf.DUMMYFUNCTION("""COMPUTED_VALUE"""),0.356)</f>
        <v>0.356</v>
      </c>
      <c r="E11090" s="8" t="str">
        <f>IFERROR(__xludf.DUMMYFUNCTION("""COMPUTED_VALUE"""),"Real")</f>
        <v>Real</v>
      </c>
      <c r="G11090" s="8">
        <f t="shared" si="1"/>
        <v>2</v>
      </c>
      <c r="H11090" s="14">
        <f t="shared" si="2"/>
        <v>6</v>
      </c>
      <c r="I11090" s="15">
        <f t="shared" si="3"/>
        <v>1</v>
      </c>
    </row>
    <row r="11091">
      <c r="A11091" s="8" t="str">
        <f>IFERROR(__xludf.DUMMYFUNCTION("IF('(INGESTA)Datos_consumo_datadis'!A11091&lt;&gt;"""",SPLIT('(INGESTA)Datos_consumo_datadis'!A:A,"",""),"""")"),"ES0031408323131005HX0F")</f>
        <v>ES0031408323131005HX0F</v>
      </c>
      <c r="B11091" s="12">
        <f>IFERROR(__xludf.DUMMYFUNCTION("""COMPUTED_VALUE"""),45328.0)</f>
        <v>45328</v>
      </c>
      <c r="C11091" s="13">
        <f>IFERROR(__xludf.DUMMYFUNCTION("""COMPUTED_VALUE"""),0.08333333333333333)</f>
        <v>0.08333333333</v>
      </c>
      <c r="D11091" s="8">
        <f>IFERROR(__xludf.DUMMYFUNCTION("""COMPUTED_VALUE"""),0.041)</f>
        <v>0.041</v>
      </c>
      <c r="E11091" s="8" t="str">
        <f>IFERROR(__xludf.DUMMYFUNCTION("""COMPUTED_VALUE"""),"Real")</f>
        <v>Real</v>
      </c>
      <c r="G11091" s="8">
        <f t="shared" si="1"/>
        <v>2</v>
      </c>
      <c r="H11091" s="14">
        <f t="shared" si="2"/>
        <v>6</v>
      </c>
      <c r="I11091" s="15">
        <f t="shared" si="3"/>
        <v>2</v>
      </c>
    </row>
    <row r="11092">
      <c r="A11092" s="8" t="str">
        <f>IFERROR(__xludf.DUMMYFUNCTION("IF('(INGESTA)Datos_consumo_datadis'!A11092&lt;&gt;"""",SPLIT('(INGESTA)Datos_consumo_datadis'!A:A,"",""),"""")"),"ES0031408323131005HX0F")</f>
        <v>ES0031408323131005HX0F</v>
      </c>
      <c r="B11092" s="12">
        <f>IFERROR(__xludf.DUMMYFUNCTION("""COMPUTED_VALUE"""),45328.0)</f>
        <v>45328</v>
      </c>
      <c r="C11092" s="13">
        <f>IFERROR(__xludf.DUMMYFUNCTION("""COMPUTED_VALUE"""),0.125)</f>
        <v>0.125</v>
      </c>
      <c r="D11092" s="8">
        <f>IFERROR(__xludf.DUMMYFUNCTION("""COMPUTED_VALUE"""),0.08)</f>
        <v>0.08</v>
      </c>
      <c r="E11092" s="8" t="str">
        <f>IFERROR(__xludf.DUMMYFUNCTION("""COMPUTED_VALUE"""),"Real")</f>
        <v>Real</v>
      </c>
      <c r="G11092" s="8">
        <f t="shared" si="1"/>
        <v>2</v>
      </c>
      <c r="H11092" s="14">
        <f t="shared" si="2"/>
        <v>6</v>
      </c>
      <c r="I11092" s="15">
        <f t="shared" si="3"/>
        <v>3</v>
      </c>
    </row>
    <row r="11093">
      <c r="A11093" s="8" t="str">
        <f>IFERROR(__xludf.DUMMYFUNCTION("IF('(INGESTA)Datos_consumo_datadis'!A11093&lt;&gt;"""",SPLIT('(INGESTA)Datos_consumo_datadis'!A:A,"",""),"""")"),"ES0031408323131005HX0F")</f>
        <v>ES0031408323131005HX0F</v>
      </c>
      <c r="B11093" s="12">
        <f>IFERROR(__xludf.DUMMYFUNCTION("""COMPUTED_VALUE"""),45328.0)</f>
        <v>45328</v>
      </c>
      <c r="C11093" s="13">
        <f>IFERROR(__xludf.DUMMYFUNCTION("""COMPUTED_VALUE"""),0.16666666666666666)</f>
        <v>0.1666666667</v>
      </c>
      <c r="D11093" s="8">
        <f>IFERROR(__xludf.DUMMYFUNCTION("""COMPUTED_VALUE"""),0.063)</f>
        <v>0.063</v>
      </c>
      <c r="E11093" s="8" t="str">
        <f>IFERROR(__xludf.DUMMYFUNCTION("""COMPUTED_VALUE"""),"Real")</f>
        <v>Real</v>
      </c>
      <c r="G11093" s="8">
        <f t="shared" si="1"/>
        <v>2</v>
      </c>
      <c r="H11093" s="14">
        <f t="shared" si="2"/>
        <v>6</v>
      </c>
      <c r="I11093" s="15">
        <f t="shared" si="3"/>
        <v>4</v>
      </c>
    </row>
    <row r="11094">
      <c r="A11094" s="8" t="str">
        <f>IFERROR(__xludf.DUMMYFUNCTION("IF('(INGESTA)Datos_consumo_datadis'!A11094&lt;&gt;"""",SPLIT('(INGESTA)Datos_consumo_datadis'!A:A,"",""),"""")"),"ES0031408323131005HX0F")</f>
        <v>ES0031408323131005HX0F</v>
      </c>
      <c r="B11094" s="12">
        <f>IFERROR(__xludf.DUMMYFUNCTION("""COMPUTED_VALUE"""),45328.0)</f>
        <v>45328</v>
      </c>
      <c r="C11094" s="13">
        <f>IFERROR(__xludf.DUMMYFUNCTION("""COMPUTED_VALUE"""),0.20833333333333334)</f>
        <v>0.2083333333</v>
      </c>
      <c r="D11094" s="8">
        <f>IFERROR(__xludf.DUMMYFUNCTION("""COMPUTED_VALUE"""),0.077)</f>
        <v>0.077</v>
      </c>
      <c r="E11094" s="8" t="str">
        <f>IFERROR(__xludf.DUMMYFUNCTION("""COMPUTED_VALUE"""),"Real")</f>
        <v>Real</v>
      </c>
      <c r="G11094" s="8">
        <f t="shared" si="1"/>
        <v>2</v>
      </c>
      <c r="H11094" s="14">
        <f t="shared" si="2"/>
        <v>6</v>
      </c>
      <c r="I11094" s="15">
        <f t="shared" si="3"/>
        <v>5</v>
      </c>
    </row>
    <row r="11095">
      <c r="A11095" s="8" t="str">
        <f>IFERROR(__xludf.DUMMYFUNCTION("IF('(INGESTA)Datos_consumo_datadis'!A11095&lt;&gt;"""",SPLIT('(INGESTA)Datos_consumo_datadis'!A:A,"",""),"""")"),"ES0031408323131005HX0F")</f>
        <v>ES0031408323131005HX0F</v>
      </c>
      <c r="B11095" s="12">
        <f>IFERROR(__xludf.DUMMYFUNCTION("""COMPUTED_VALUE"""),45328.0)</f>
        <v>45328</v>
      </c>
      <c r="C11095" s="13">
        <f>IFERROR(__xludf.DUMMYFUNCTION("""COMPUTED_VALUE"""),0.25)</f>
        <v>0.25</v>
      </c>
      <c r="D11095" s="8">
        <f>IFERROR(__xludf.DUMMYFUNCTION("""COMPUTED_VALUE"""),0.354)</f>
        <v>0.354</v>
      </c>
      <c r="E11095" s="8" t="str">
        <f>IFERROR(__xludf.DUMMYFUNCTION("""COMPUTED_VALUE"""),"Real")</f>
        <v>Real</v>
      </c>
      <c r="G11095" s="8">
        <f t="shared" si="1"/>
        <v>2</v>
      </c>
      <c r="H11095" s="14">
        <f t="shared" si="2"/>
        <v>6</v>
      </c>
      <c r="I11095" s="15">
        <f t="shared" si="3"/>
        <v>6</v>
      </c>
    </row>
    <row r="11096">
      <c r="A11096" s="8" t="str">
        <f>IFERROR(__xludf.DUMMYFUNCTION("IF('(INGESTA)Datos_consumo_datadis'!A11096&lt;&gt;"""",SPLIT('(INGESTA)Datos_consumo_datadis'!A:A,"",""),"""")"),"ES0031408323131005HX0F")</f>
        <v>ES0031408323131005HX0F</v>
      </c>
      <c r="B11096" s="12">
        <f>IFERROR(__xludf.DUMMYFUNCTION("""COMPUTED_VALUE"""),45328.0)</f>
        <v>45328</v>
      </c>
      <c r="C11096" s="13">
        <f>IFERROR(__xludf.DUMMYFUNCTION("""COMPUTED_VALUE"""),0.2916666666666667)</f>
        <v>0.2916666667</v>
      </c>
      <c r="D11096" s="8">
        <f>IFERROR(__xludf.DUMMYFUNCTION("""COMPUTED_VALUE"""),0.137)</f>
        <v>0.137</v>
      </c>
      <c r="E11096" s="8" t="str">
        <f>IFERROR(__xludf.DUMMYFUNCTION("""COMPUTED_VALUE"""),"Real")</f>
        <v>Real</v>
      </c>
      <c r="G11096" s="8">
        <f t="shared" si="1"/>
        <v>2</v>
      </c>
      <c r="H11096" s="14">
        <f t="shared" si="2"/>
        <v>6</v>
      </c>
      <c r="I11096" s="15">
        <f t="shared" si="3"/>
        <v>7</v>
      </c>
    </row>
    <row r="11097">
      <c r="A11097" s="8" t="str">
        <f>IFERROR(__xludf.DUMMYFUNCTION("IF('(INGESTA)Datos_consumo_datadis'!A11097&lt;&gt;"""",SPLIT('(INGESTA)Datos_consumo_datadis'!A:A,"",""),"""")"),"ES0031408323131005HX0F")</f>
        <v>ES0031408323131005HX0F</v>
      </c>
      <c r="B11097" s="12">
        <f>IFERROR(__xludf.DUMMYFUNCTION("""COMPUTED_VALUE"""),45328.0)</f>
        <v>45328</v>
      </c>
      <c r="C11097" s="13">
        <f>IFERROR(__xludf.DUMMYFUNCTION("""COMPUTED_VALUE"""),0.3333333333333333)</f>
        <v>0.3333333333</v>
      </c>
      <c r="D11097" s="8">
        <f>IFERROR(__xludf.DUMMYFUNCTION("""COMPUTED_VALUE"""),0.108)</f>
        <v>0.108</v>
      </c>
      <c r="E11097" s="8" t="str">
        <f>IFERROR(__xludf.DUMMYFUNCTION("""COMPUTED_VALUE"""),"Real")</f>
        <v>Real</v>
      </c>
      <c r="G11097" s="8">
        <f t="shared" si="1"/>
        <v>2</v>
      </c>
      <c r="H11097" s="14">
        <f t="shared" si="2"/>
        <v>6</v>
      </c>
      <c r="I11097" s="15">
        <f t="shared" si="3"/>
        <v>8</v>
      </c>
    </row>
    <row r="11098">
      <c r="A11098" s="8" t="str">
        <f>IFERROR(__xludf.DUMMYFUNCTION("IF('(INGESTA)Datos_consumo_datadis'!A11098&lt;&gt;"""",SPLIT('(INGESTA)Datos_consumo_datadis'!A:A,"",""),"""")"),"ES0031408323131005HX0F")</f>
        <v>ES0031408323131005HX0F</v>
      </c>
      <c r="B11098" s="12">
        <f>IFERROR(__xludf.DUMMYFUNCTION("""COMPUTED_VALUE"""),45328.0)</f>
        <v>45328</v>
      </c>
      <c r="C11098" s="13">
        <f>IFERROR(__xludf.DUMMYFUNCTION("""COMPUTED_VALUE"""),0.375)</f>
        <v>0.375</v>
      </c>
      <c r="D11098" s="8">
        <f>IFERROR(__xludf.DUMMYFUNCTION("""COMPUTED_VALUE"""),0.133)</f>
        <v>0.133</v>
      </c>
      <c r="E11098" s="8" t="str">
        <f>IFERROR(__xludf.DUMMYFUNCTION("""COMPUTED_VALUE"""),"Real")</f>
        <v>Real</v>
      </c>
      <c r="G11098" s="8">
        <f t="shared" si="1"/>
        <v>2</v>
      </c>
      <c r="H11098" s="14">
        <f t="shared" si="2"/>
        <v>6</v>
      </c>
      <c r="I11098" s="15">
        <f t="shared" si="3"/>
        <v>9</v>
      </c>
    </row>
    <row r="11099">
      <c r="A11099" s="8" t="str">
        <f>IFERROR(__xludf.DUMMYFUNCTION("IF('(INGESTA)Datos_consumo_datadis'!A11099&lt;&gt;"""",SPLIT('(INGESTA)Datos_consumo_datadis'!A:A,"",""),"""")"),"ES0031408323131005HX0F")</f>
        <v>ES0031408323131005HX0F</v>
      </c>
      <c r="B11099" s="12">
        <f>IFERROR(__xludf.DUMMYFUNCTION("""COMPUTED_VALUE"""),45328.0)</f>
        <v>45328</v>
      </c>
      <c r="C11099" s="13">
        <f>IFERROR(__xludf.DUMMYFUNCTION("""COMPUTED_VALUE"""),0.4166666666666667)</f>
        <v>0.4166666667</v>
      </c>
      <c r="D11099" s="8">
        <f>IFERROR(__xludf.DUMMYFUNCTION("""COMPUTED_VALUE"""),0.341)</f>
        <v>0.341</v>
      </c>
      <c r="E11099" s="8" t="str">
        <f>IFERROR(__xludf.DUMMYFUNCTION("""COMPUTED_VALUE"""),"Real")</f>
        <v>Real</v>
      </c>
      <c r="G11099" s="8">
        <f t="shared" si="1"/>
        <v>2</v>
      </c>
      <c r="H11099" s="14">
        <f t="shared" si="2"/>
        <v>6</v>
      </c>
      <c r="I11099" s="15">
        <f t="shared" si="3"/>
        <v>10</v>
      </c>
    </row>
    <row r="11100">
      <c r="A11100" s="8" t="str">
        <f>IFERROR(__xludf.DUMMYFUNCTION("IF('(INGESTA)Datos_consumo_datadis'!A11100&lt;&gt;"""",SPLIT('(INGESTA)Datos_consumo_datadis'!A:A,"",""),"""")"),"ES0031408323131005HX0F")</f>
        <v>ES0031408323131005HX0F</v>
      </c>
      <c r="B11100" s="12">
        <f>IFERROR(__xludf.DUMMYFUNCTION("""COMPUTED_VALUE"""),45328.0)</f>
        <v>45328</v>
      </c>
      <c r="C11100" s="13">
        <f>IFERROR(__xludf.DUMMYFUNCTION("""COMPUTED_VALUE"""),0.4583333333333333)</f>
        <v>0.4583333333</v>
      </c>
      <c r="D11100" s="8">
        <f>IFERROR(__xludf.DUMMYFUNCTION("""COMPUTED_VALUE"""),0.426)</f>
        <v>0.426</v>
      </c>
      <c r="E11100" s="8" t="str">
        <f>IFERROR(__xludf.DUMMYFUNCTION("""COMPUTED_VALUE"""),"Real")</f>
        <v>Real</v>
      </c>
      <c r="G11100" s="8">
        <f t="shared" si="1"/>
        <v>2</v>
      </c>
      <c r="H11100" s="14">
        <f t="shared" si="2"/>
        <v>6</v>
      </c>
      <c r="I11100" s="15">
        <f t="shared" si="3"/>
        <v>11</v>
      </c>
    </row>
    <row r="11101">
      <c r="A11101" s="8" t="str">
        <f>IFERROR(__xludf.DUMMYFUNCTION("IF('(INGESTA)Datos_consumo_datadis'!A11101&lt;&gt;"""",SPLIT('(INGESTA)Datos_consumo_datadis'!A:A,"",""),"""")"),"ES0031408323131005HX0F")</f>
        <v>ES0031408323131005HX0F</v>
      </c>
      <c r="B11101" s="12">
        <f>IFERROR(__xludf.DUMMYFUNCTION("""COMPUTED_VALUE"""),45328.0)</f>
        <v>45328</v>
      </c>
      <c r="C11101" s="13">
        <f>IFERROR(__xludf.DUMMYFUNCTION("""COMPUTED_VALUE"""),0.5)</f>
        <v>0.5</v>
      </c>
      <c r="D11101" s="8">
        <f>IFERROR(__xludf.DUMMYFUNCTION("""COMPUTED_VALUE"""),1.67)</f>
        <v>1.67</v>
      </c>
      <c r="E11101" s="8" t="str">
        <f>IFERROR(__xludf.DUMMYFUNCTION("""COMPUTED_VALUE"""),"Real")</f>
        <v>Real</v>
      </c>
      <c r="G11101" s="8">
        <f t="shared" si="1"/>
        <v>2</v>
      </c>
      <c r="H11101" s="14">
        <f t="shared" si="2"/>
        <v>6</v>
      </c>
      <c r="I11101" s="15">
        <f t="shared" si="3"/>
        <v>12</v>
      </c>
    </row>
    <row r="11102">
      <c r="A11102" s="8" t="str">
        <f>IFERROR(__xludf.DUMMYFUNCTION("IF('(INGESTA)Datos_consumo_datadis'!A11102&lt;&gt;"""",SPLIT('(INGESTA)Datos_consumo_datadis'!A:A,"",""),"""")"),"ES0031408323131005HX0F")</f>
        <v>ES0031408323131005HX0F</v>
      </c>
      <c r="B11102" s="12">
        <f>IFERROR(__xludf.DUMMYFUNCTION("""COMPUTED_VALUE"""),45328.0)</f>
        <v>45328</v>
      </c>
      <c r="C11102" s="13">
        <f>IFERROR(__xludf.DUMMYFUNCTION("""COMPUTED_VALUE"""),0.5416666666666666)</f>
        <v>0.5416666667</v>
      </c>
      <c r="D11102" s="8">
        <f>IFERROR(__xludf.DUMMYFUNCTION("""COMPUTED_VALUE"""),0.133)</f>
        <v>0.133</v>
      </c>
      <c r="E11102" s="8" t="str">
        <f>IFERROR(__xludf.DUMMYFUNCTION("""COMPUTED_VALUE"""),"Real")</f>
        <v>Real</v>
      </c>
      <c r="G11102" s="8">
        <f t="shared" si="1"/>
        <v>2</v>
      </c>
      <c r="H11102" s="14">
        <f t="shared" si="2"/>
        <v>6</v>
      </c>
      <c r="I11102" s="15">
        <f t="shared" si="3"/>
        <v>13</v>
      </c>
    </row>
    <row r="11103">
      <c r="A11103" s="8" t="str">
        <f>IFERROR(__xludf.DUMMYFUNCTION("IF('(INGESTA)Datos_consumo_datadis'!A11103&lt;&gt;"""",SPLIT('(INGESTA)Datos_consumo_datadis'!A:A,"",""),"""")"),"ES0031408323131005HX0F")</f>
        <v>ES0031408323131005HX0F</v>
      </c>
      <c r="B11103" s="12">
        <f>IFERROR(__xludf.DUMMYFUNCTION("""COMPUTED_VALUE"""),45328.0)</f>
        <v>45328</v>
      </c>
      <c r="C11103" s="13">
        <f>IFERROR(__xludf.DUMMYFUNCTION("""COMPUTED_VALUE"""),0.5833333333333334)</f>
        <v>0.5833333333</v>
      </c>
      <c r="D11103" s="8">
        <f>IFERROR(__xludf.DUMMYFUNCTION("""COMPUTED_VALUE"""),0.064)</f>
        <v>0.064</v>
      </c>
      <c r="E11103" s="8" t="str">
        <f>IFERROR(__xludf.DUMMYFUNCTION("""COMPUTED_VALUE"""),"Real")</f>
        <v>Real</v>
      </c>
      <c r="G11103" s="8">
        <f t="shared" si="1"/>
        <v>2</v>
      </c>
      <c r="H11103" s="14">
        <f t="shared" si="2"/>
        <v>6</v>
      </c>
      <c r="I11103" s="15">
        <f t="shared" si="3"/>
        <v>14</v>
      </c>
    </row>
    <row r="11104">
      <c r="A11104" s="8" t="str">
        <f>IFERROR(__xludf.DUMMYFUNCTION("IF('(INGESTA)Datos_consumo_datadis'!A11104&lt;&gt;"""",SPLIT('(INGESTA)Datos_consumo_datadis'!A:A,"",""),"""")"),"ES0031408323131005HX0F")</f>
        <v>ES0031408323131005HX0F</v>
      </c>
      <c r="B11104" s="12">
        <f>IFERROR(__xludf.DUMMYFUNCTION("""COMPUTED_VALUE"""),45328.0)</f>
        <v>45328</v>
      </c>
      <c r="C11104" s="13">
        <f>IFERROR(__xludf.DUMMYFUNCTION("""COMPUTED_VALUE"""),0.625)</f>
        <v>0.625</v>
      </c>
      <c r="D11104" s="8">
        <f>IFERROR(__xludf.DUMMYFUNCTION("""COMPUTED_VALUE"""),0.404)</f>
        <v>0.404</v>
      </c>
      <c r="E11104" s="8" t="str">
        <f>IFERROR(__xludf.DUMMYFUNCTION("""COMPUTED_VALUE"""),"Real")</f>
        <v>Real</v>
      </c>
      <c r="G11104" s="8">
        <f t="shared" si="1"/>
        <v>2</v>
      </c>
      <c r="H11104" s="14">
        <f t="shared" si="2"/>
        <v>6</v>
      </c>
      <c r="I11104" s="15">
        <f t="shared" si="3"/>
        <v>15</v>
      </c>
    </row>
    <row r="11105">
      <c r="A11105" s="8" t="str">
        <f>IFERROR(__xludf.DUMMYFUNCTION("IF('(INGESTA)Datos_consumo_datadis'!A11105&lt;&gt;"""",SPLIT('(INGESTA)Datos_consumo_datadis'!A:A,"",""),"""")"),"ES0031408323131005HX0F")</f>
        <v>ES0031408323131005HX0F</v>
      </c>
      <c r="B11105" s="12">
        <f>IFERROR(__xludf.DUMMYFUNCTION("""COMPUTED_VALUE"""),45328.0)</f>
        <v>45328</v>
      </c>
      <c r="C11105" s="13">
        <f>IFERROR(__xludf.DUMMYFUNCTION("""COMPUTED_VALUE"""),0.6666666666666666)</f>
        <v>0.6666666667</v>
      </c>
      <c r="D11105" s="8">
        <f>IFERROR(__xludf.DUMMYFUNCTION("""COMPUTED_VALUE"""),0.056)</f>
        <v>0.056</v>
      </c>
      <c r="E11105" s="8" t="str">
        <f>IFERROR(__xludf.DUMMYFUNCTION("""COMPUTED_VALUE"""),"Real")</f>
        <v>Real</v>
      </c>
      <c r="G11105" s="8">
        <f t="shared" si="1"/>
        <v>2</v>
      </c>
      <c r="H11105" s="14">
        <f t="shared" si="2"/>
        <v>6</v>
      </c>
      <c r="I11105" s="15">
        <f t="shared" si="3"/>
        <v>16</v>
      </c>
    </row>
    <row r="11106">
      <c r="A11106" s="8" t="str">
        <f>IFERROR(__xludf.DUMMYFUNCTION("IF('(INGESTA)Datos_consumo_datadis'!A11106&lt;&gt;"""",SPLIT('(INGESTA)Datos_consumo_datadis'!A:A,"",""),"""")"),"ES0031408323131005HX0F")</f>
        <v>ES0031408323131005HX0F</v>
      </c>
      <c r="B11106" s="12">
        <f>IFERROR(__xludf.DUMMYFUNCTION("""COMPUTED_VALUE"""),45328.0)</f>
        <v>45328</v>
      </c>
      <c r="C11106" s="13">
        <f>IFERROR(__xludf.DUMMYFUNCTION("""COMPUTED_VALUE"""),0.7083333333333334)</f>
        <v>0.7083333333</v>
      </c>
      <c r="D11106" s="8">
        <f>IFERROR(__xludf.DUMMYFUNCTION("""COMPUTED_VALUE"""),0.026)</f>
        <v>0.026</v>
      </c>
      <c r="E11106" s="8" t="str">
        <f>IFERROR(__xludf.DUMMYFUNCTION("""COMPUTED_VALUE"""),"Real")</f>
        <v>Real</v>
      </c>
      <c r="G11106" s="8">
        <f t="shared" si="1"/>
        <v>2</v>
      </c>
      <c r="H11106" s="14">
        <f t="shared" si="2"/>
        <v>6</v>
      </c>
      <c r="I11106" s="15">
        <f t="shared" si="3"/>
        <v>17</v>
      </c>
    </row>
    <row r="11107">
      <c r="A11107" s="8" t="str">
        <f>IFERROR(__xludf.DUMMYFUNCTION("IF('(INGESTA)Datos_consumo_datadis'!A11107&lt;&gt;"""",SPLIT('(INGESTA)Datos_consumo_datadis'!A:A,"",""),"""")"),"ES0031408323131005HX0F")</f>
        <v>ES0031408323131005HX0F</v>
      </c>
      <c r="B11107" s="12">
        <f>IFERROR(__xludf.DUMMYFUNCTION("""COMPUTED_VALUE"""),45328.0)</f>
        <v>45328</v>
      </c>
      <c r="C11107" s="13">
        <f>IFERROR(__xludf.DUMMYFUNCTION("""COMPUTED_VALUE"""),0.75)</f>
        <v>0.75</v>
      </c>
      <c r="D11107" s="8">
        <f>IFERROR(__xludf.DUMMYFUNCTION("""COMPUTED_VALUE"""),0.083)</f>
        <v>0.083</v>
      </c>
      <c r="E11107" s="8" t="str">
        <f>IFERROR(__xludf.DUMMYFUNCTION("""COMPUTED_VALUE"""),"Real")</f>
        <v>Real</v>
      </c>
      <c r="G11107" s="8">
        <f t="shared" si="1"/>
        <v>2</v>
      </c>
      <c r="H11107" s="14">
        <f t="shared" si="2"/>
        <v>6</v>
      </c>
      <c r="I11107" s="15">
        <f t="shared" si="3"/>
        <v>18</v>
      </c>
    </row>
    <row r="11108">
      <c r="A11108" s="8" t="str">
        <f>IFERROR(__xludf.DUMMYFUNCTION("IF('(INGESTA)Datos_consumo_datadis'!A11108&lt;&gt;"""",SPLIT('(INGESTA)Datos_consumo_datadis'!A:A,"",""),"""")"),"ES0031408323131005HX0F")</f>
        <v>ES0031408323131005HX0F</v>
      </c>
      <c r="B11108" s="12">
        <f>IFERROR(__xludf.DUMMYFUNCTION("""COMPUTED_VALUE"""),45328.0)</f>
        <v>45328</v>
      </c>
      <c r="C11108" s="13">
        <f>IFERROR(__xludf.DUMMYFUNCTION("""COMPUTED_VALUE"""),0.7916666666666666)</f>
        <v>0.7916666667</v>
      </c>
      <c r="D11108" s="8">
        <f>IFERROR(__xludf.DUMMYFUNCTION("""COMPUTED_VALUE"""),0.232)</f>
        <v>0.232</v>
      </c>
      <c r="E11108" s="8" t="str">
        <f>IFERROR(__xludf.DUMMYFUNCTION("""COMPUTED_VALUE"""),"Real")</f>
        <v>Real</v>
      </c>
      <c r="G11108" s="8">
        <f t="shared" si="1"/>
        <v>2</v>
      </c>
      <c r="H11108" s="14">
        <f t="shared" si="2"/>
        <v>6</v>
      </c>
      <c r="I11108" s="15">
        <f t="shared" si="3"/>
        <v>19</v>
      </c>
    </row>
    <row r="11109">
      <c r="A11109" s="8" t="str">
        <f>IFERROR(__xludf.DUMMYFUNCTION("IF('(INGESTA)Datos_consumo_datadis'!A11109&lt;&gt;"""",SPLIT('(INGESTA)Datos_consumo_datadis'!A:A,"",""),"""")"),"ES0031408323131005HX0F")</f>
        <v>ES0031408323131005HX0F</v>
      </c>
      <c r="B11109" s="12">
        <f>IFERROR(__xludf.DUMMYFUNCTION("""COMPUTED_VALUE"""),45328.0)</f>
        <v>45328</v>
      </c>
      <c r="C11109" s="13">
        <f>IFERROR(__xludf.DUMMYFUNCTION("""COMPUTED_VALUE"""),0.8333333333333334)</f>
        <v>0.8333333333</v>
      </c>
      <c r="D11109" s="8">
        <f>IFERROR(__xludf.DUMMYFUNCTION("""COMPUTED_VALUE"""),3.031)</f>
        <v>3.031</v>
      </c>
      <c r="E11109" s="8" t="str">
        <f>IFERROR(__xludf.DUMMYFUNCTION("""COMPUTED_VALUE"""),"Real")</f>
        <v>Real</v>
      </c>
      <c r="G11109" s="8">
        <f t="shared" si="1"/>
        <v>2</v>
      </c>
      <c r="H11109" s="14">
        <f t="shared" si="2"/>
        <v>6</v>
      </c>
      <c r="I11109" s="15">
        <f t="shared" si="3"/>
        <v>20</v>
      </c>
    </row>
    <row r="11110">
      <c r="A11110" s="8" t="str">
        <f>IFERROR(__xludf.DUMMYFUNCTION("IF('(INGESTA)Datos_consumo_datadis'!A11110&lt;&gt;"""",SPLIT('(INGESTA)Datos_consumo_datadis'!A:A,"",""),"""")"),"ES0031408323131005HX0F")</f>
        <v>ES0031408323131005HX0F</v>
      </c>
      <c r="B11110" s="12">
        <f>IFERROR(__xludf.DUMMYFUNCTION("""COMPUTED_VALUE"""),45328.0)</f>
        <v>45328</v>
      </c>
      <c r="C11110" s="13">
        <f>IFERROR(__xludf.DUMMYFUNCTION("""COMPUTED_VALUE"""),0.875)</f>
        <v>0.875</v>
      </c>
      <c r="D11110" s="8">
        <f>IFERROR(__xludf.DUMMYFUNCTION("""COMPUTED_VALUE"""),1.54)</f>
        <v>1.54</v>
      </c>
      <c r="E11110" s="8" t="str">
        <f>IFERROR(__xludf.DUMMYFUNCTION("""COMPUTED_VALUE"""),"Real")</f>
        <v>Real</v>
      </c>
      <c r="G11110" s="8">
        <f t="shared" si="1"/>
        <v>2</v>
      </c>
      <c r="H11110" s="14">
        <f t="shared" si="2"/>
        <v>6</v>
      </c>
      <c r="I11110" s="15">
        <f t="shared" si="3"/>
        <v>21</v>
      </c>
    </row>
    <row r="11111">
      <c r="A11111" s="8" t="str">
        <f>IFERROR(__xludf.DUMMYFUNCTION("IF('(INGESTA)Datos_consumo_datadis'!A11111&lt;&gt;"""",SPLIT('(INGESTA)Datos_consumo_datadis'!A:A,"",""),"""")"),"ES0031408323131005HX0F")</f>
        <v>ES0031408323131005HX0F</v>
      </c>
      <c r="B11111" s="12">
        <f>IFERROR(__xludf.DUMMYFUNCTION("""COMPUTED_VALUE"""),45328.0)</f>
        <v>45328</v>
      </c>
      <c r="C11111" s="13">
        <f>IFERROR(__xludf.DUMMYFUNCTION("""COMPUTED_VALUE"""),0.9166666666666666)</f>
        <v>0.9166666667</v>
      </c>
      <c r="D11111" s="8">
        <f>IFERROR(__xludf.DUMMYFUNCTION("""COMPUTED_VALUE"""),1.365)</f>
        <v>1.365</v>
      </c>
      <c r="E11111" s="8" t="str">
        <f>IFERROR(__xludf.DUMMYFUNCTION("""COMPUTED_VALUE"""),"Real")</f>
        <v>Real</v>
      </c>
      <c r="G11111" s="8">
        <f t="shared" si="1"/>
        <v>2</v>
      </c>
      <c r="H11111" s="14">
        <f t="shared" si="2"/>
        <v>6</v>
      </c>
      <c r="I11111" s="15">
        <f t="shared" si="3"/>
        <v>22</v>
      </c>
    </row>
    <row r="11112">
      <c r="A11112" s="8" t="str">
        <f>IFERROR(__xludf.DUMMYFUNCTION("IF('(INGESTA)Datos_consumo_datadis'!A11112&lt;&gt;"""",SPLIT('(INGESTA)Datos_consumo_datadis'!A:A,"",""),"""")"),"ES0031408323131005HX0F")</f>
        <v>ES0031408323131005HX0F</v>
      </c>
      <c r="B11112" s="12">
        <f>IFERROR(__xludf.DUMMYFUNCTION("""COMPUTED_VALUE"""),45328.0)</f>
        <v>45328</v>
      </c>
      <c r="C11112" s="13">
        <f>IFERROR(__xludf.DUMMYFUNCTION("""COMPUTED_VALUE"""),0.9583333333333334)</f>
        <v>0.9583333333</v>
      </c>
      <c r="D11112" s="8">
        <f>IFERROR(__xludf.DUMMYFUNCTION("""COMPUTED_VALUE"""),1.083)</f>
        <v>1.083</v>
      </c>
      <c r="E11112" s="8" t="str">
        <f>IFERROR(__xludf.DUMMYFUNCTION("""COMPUTED_VALUE"""),"Real")</f>
        <v>Real</v>
      </c>
      <c r="G11112" s="8">
        <f t="shared" si="1"/>
        <v>2</v>
      </c>
      <c r="H11112" s="14">
        <f t="shared" si="2"/>
        <v>6</v>
      </c>
      <c r="I11112" s="15">
        <f t="shared" si="3"/>
        <v>23</v>
      </c>
    </row>
    <row r="11113">
      <c r="A11113" s="8" t="str">
        <f>IFERROR(__xludf.DUMMYFUNCTION("IF('(INGESTA)Datos_consumo_datadis'!A11113&lt;&gt;"""",SPLIT('(INGESTA)Datos_consumo_datadis'!A:A,"",""),"""")"),"ES0031408323131005HX0F")</f>
        <v>ES0031408323131005HX0F</v>
      </c>
      <c r="B11113" s="12">
        <f>IFERROR(__xludf.DUMMYFUNCTION("""COMPUTED_VALUE"""),45328.0)</f>
        <v>45328</v>
      </c>
      <c r="C11113" s="16">
        <f>IFERROR(__xludf.DUMMYFUNCTION("""COMPUTED_VALUE"""),1.0)</f>
        <v>1</v>
      </c>
      <c r="D11113" s="8">
        <f>IFERROR(__xludf.DUMMYFUNCTION("""COMPUTED_VALUE"""),0.081)</f>
        <v>0.081</v>
      </c>
      <c r="E11113" s="8" t="str">
        <f>IFERROR(__xludf.DUMMYFUNCTION("""COMPUTED_VALUE"""),"Real")</f>
        <v>Real</v>
      </c>
      <c r="G11113" s="8">
        <f t="shared" si="1"/>
        <v>2</v>
      </c>
      <c r="H11113" s="14">
        <f t="shared" si="2"/>
        <v>6</v>
      </c>
      <c r="I11113" s="15">
        <f t="shared" si="3"/>
        <v>0</v>
      </c>
    </row>
    <row r="11114">
      <c r="A11114" s="8" t="str">
        <f>IFERROR(__xludf.DUMMYFUNCTION("IF('(INGESTA)Datos_consumo_datadis'!A11114&lt;&gt;"""",SPLIT('(INGESTA)Datos_consumo_datadis'!A:A,"",""),"""")"),"ES0031408323131005HX0F")</f>
        <v>ES0031408323131005HX0F</v>
      </c>
      <c r="B11114" s="12">
        <f>IFERROR(__xludf.DUMMYFUNCTION("""COMPUTED_VALUE"""),45329.0)</f>
        <v>45329</v>
      </c>
      <c r="C11114" s="13">
        <f>IFERROR(__xludf.DUMMYFUNCTION("""COMPUTED_VALUE"""),0.041666666666666664)</f>
        <v>0.04166666667</v>
      </c>
      <c r="D11114" s="8">
        <f>IFERROR(__xludf.DUMMYFUNCTION("""COMPUTED_VALUE"""),0.027)</f>
        <v>0.027</v>
      </c>
      <c r="E11114" s="8" t="str">
        <f>IFERROR(__xludf.DUMMYFUNCTION("""COMPUTED_VALUE"""),"Real")</f>
        <v>Real</v>
      </c>
      <c r="G11114" s="8">
        <f t="shared" si="1"/>
        <v>2</v>
      </c>
      <c r="H11114" s="14">
        <f t="shared" si="2"/>
        <v>7</v>
      </c>
      <c r="I11114" s="15">
        <f t="shared" si="3"/>
        <v>1</v>
      </c>
    </row>
    <row r="11115">
      <c r="A11115" s="8" t="str">
        <f>IFERROR(__xludf.DUMMYFUNCTION("IF('(INGESTA)Datos_consumo_datadis'!A11115&lt;&gt;"""",SPLIT('(INGESTA)Datos_consumo_datadis'!A:A,"",""),"""")"),"ES0031408323131005HX0F")</f>
        <v>ES0031408323131005HX0F</v>
      </c>
      <c r="B11115" s="12">
        <f>IFERROR(__xludf.DUMMYFUNCTION("""COMPUTED_VALUE"""),45329.0)</f>
        <v>45329</v>
      </c>
      <c r="C11115" s="13">
        <f>IFERROR(__xludf.DUMMYFUNCTION("""COMPUTED_VALUE"""),0.08333333333333333)</f>
        <v>0.08333333333</v>
      </c>
      <c r="D11115" s="8">
        <f>IFERROR(__xludf.DUMMYFUNCTION("""COMPUTED_VALUE"""),0.09)</f>
        <v>0.09</v>
      </c>
      <c r="E11115" s="8" t="str">
        <f>IFERROR(__xludf.DUMMYFUNCTION("""COMPUTED_VALUE"""),"Real")</f>
        <v>Real</v>
      </c>
      <c r="G11115" s="8">
        <f t="shared" si="1"/>
        <v>2</v>
      </c>
      <c r="H11115" s="14">
        <f t="shared" si="2"/>
        <v>7</v>
      </c>
      <c r="I11115" s="15">
        <f t="shared" si="3"/>
        <v>2</v>
      </c>
    </row>
    <row r="11116">
      <c r="A11116" s="8" t="str">
        <f>IFERROR(__xludf.DUMMYFUNCTION("IF('(INGESTA)Datos_consumo_datadis'!A11116&lt;&gt;"""",SPLIT('(INGESTA)Datos_consumo_datadis'!A:A,"",""),"""")"),"ES0031408323131005HX0F")</f>
        <v>ES0031408323131005HX0F</v>
      </c>
      <c r="B11116" s="12">
        <f>IFERROR(__xludf.DUMMYFUNCTION("""COMPUTED_VALUE"""),45329.0)</f>
        <v>45329</v>
      </c>
      <c r="C11116" s="13">
        <f>IFERROR(__xludf.DUMMYFUNCTION("""COMPUTED_VALUE"""),0.125)</f>
        <v>0.125</v>
      </c>
      <c r="D11116" s="8">
        <f>IFERROR(__xludf.DUMMYFUNCTION("""COMPUTED_VALUE"""),0.332)</f>
        <v>0.332</v>
      </c>
      <c r="E11116" s="8" t="str">
        <f>IFERROR(__xludf.DUMMYFUNCTION("""COMPUTED_VALUE"""),"Real")</f>
        <v>Real</v>
      </c>
      <c r="G11116" s="8">
        <f t="shared" si="1"/>
        <v>2</v>
      </c>
      <c r="H11116" s="14">
        <f t="shared" si="2"/>
        <v>7</v>
      </c>
      <c r="I11116" s="15">
        <f t="shared" si="3"/>
        <v>3</v>
      </c>
    </row>
    <row r="11117">
      <c r="A11117" s="8" t="str">
        <f>IFERROR(__xludf.DUMMYFUNCTION("IF('(INGESTA)Datos_consumo_datadis'!A11117&lt;&gt;"""",SPLIT('(INGESTA)Datos_consumo_datadis'!A:A,"",""),"""")"),"ES0031408323131005HX0F")</f>
        <v>ES0031408323131005HX0F</v>
      </c>
      <c r="B11117" s="12">
        <f>IFERROR(__xludf.DUMMYFUNCTION("""COMPUTED_VALUE"""),45329.0)</f>
        <v>45329</v>
      </c>
      <c r="C11117" s="13">
        <f>IFERROR(__xludf.DUMMYFUNCTION("""COMPUTED_VALUE"""),0.16666666666666666)</f>
        <v>0.1666666667</v>
      </c>
      <c r="D11117" s="8">
        <f>IFERROR(__xludf.DUMMYFUNCTION("""COMPUTED_VALUE"""),0.038)</f>
        <v>0.038</v>
      </c>
      <c r="E11117" s="8" t="str">
        <f>IFERROR(__xludf.DUMMYFUNCTION("""COMPUTED_VALUE"""),"Real")</f>
        <v>Real</v>
      </c>
      <c r="G11117" s="8">
        <f t="shared" si="1"/>
        <v>2</v>
      </c>
      <c r="H11117" s="14">
        <f t="shared" si="2"/>
        <v>7</v>
      </c>
      <c r="I11117" s="15">
        <f t="shared" si="3"/>
        <v>4</v>
      </c>
    </row>
    <row r="11118">
      <c r="A11118" s="8" t="str">
        <f>IFERROR(__xludf.DUMMYFUNCTION("IF('(INGESTA)Datos_consumo_datadis'!A11118&lt;&gt;"""",SPLIT('(INGESTA)Datos_consumo_datadis'!A:A,"",""),"""")"),"ES0031408323131005HX0F")</f>
        <v>ES0031408323131005HX0F</v>
      </c>
      <c r="B11118" s="12">
        <f>IFERROR(__xludf.DUMMYFUNCTION("""COMPUTED_VALUE"""),45329.0)</f>
        <v>45329</v>
      </c>
      <c r="C11118" s="13">
        <f>IFERROR(__xludf.DUMMYFUNCTION("""COMPUTED_VALUE"""),0.20833333333333334)</f>
        <v>0.2083333333</v>
      </c>
      <c r="D11118" s="8">
        <f>IFERROR(__xludf.DUMMYFUNCTION("""COMPUTED_VALUE"""),0.075)</f>
        <v>0.075</v>
      </c>
      <c r="E11118" s="8" t="str">
        <f>IFERROR(__xludf.DUMMYFUNCTION("""COMPUTED_VALUE"""),"Real")</f>
        <v>Real</v>
      </c>
      <c r="G11118" s="8">
        <f t="shared" si="1"/>
        <v>2</v>
      </c>
      <c r="H11118" s="14">
        <f t="shared" si="2"/>
        <v>7</v>
      </c>
      <c r="I11118" s="15">
        <f t="shared" si="3"/>
        <v>5</v>
      </c>
    </row>
    <row r="11119">
      <c r="A11119" s="8" t="str">
        <f>IFERROR(__xludf.DUMMYFUNCTION("IF('(INGESTA)Datos_consumo_datadis'!A11119&lt;&gt;"""",SPLIT('(INGESTA)Datos_consumo_datadis'!A:A,"",""),"""")"),"ES0031408323131005HX0F")</f>
        <v>ES0031408323131005HX0F</v>
      </c>
      <c r="B11119" s="12">
        <f>IFERROR(__xludf.DUMMYFUNCTION("""COMPUTED_VALUE"""),45329.0)</f>
        <v>45329</v>
      </c>
      <c r="C11119" s="13">
        <f>IFERROR(__xludf.DUMMYFUNCTION("""COMPUTED_VALUE"""),0.25)</f>
        <v>0.25</v>
      </c>
      <c r="D11119" s="8">
        <f>IFERROR(__xludf.DUMMYFUNCTION("""COMPUTED_VALUE"""),0.139)</f>
        <v>0.139</v>
      </c>
      <c r="E11119" s="8" t="str">
        <f>IFERROR(__xludf.DUMMYFUNCTION("""COMPUTED_VALUE"""),"Real")</f>
        <v>Real</v>
      </c>
      <c r="G11119" s="8">
        <f t="shared" si="1"/>
        <v>2</v>
      </c>
      <c r="H11119" s="14">
        <f t="shared" si="2"/>
        <v>7</v>
      </c>
      <c r="I11119" s="15">
        <f t="shared" si="3"/>
        <v>6</v>
      </c>
    </row>
    <row r="11120">
      <c r="A11120" s="8" t="str">
        <f>IFERROR(__xludf.DUMMYFUNCTION("IF('(INGESTA)Datos_consumo_datadis'!A11120&lt;&gt;"""",SPLIT('(INGESTA)Datos_consumo_datadis'!A:A,"",""),"""")"),"ES0031408323131005HX0F")</f>
        <v>ES0031408323131005HX0F</v>
      </c>
      <c r="B11120" s="12">
        <f>IFERROR(__xludf.DUMMYFUNCTION("""COMPUTED_VALUE"""),45329.0)</f>
        <v>45329</v>
      </c>
      <c r="C11120" s="13">
        <f>IFERROR(__xludf.DUMMYFUNCTION("""COMPUTED_VALUE"""),0.2916666666666667)</f>
        <v>0.2916666667</v>
      </c>
      <c r="D11120" s="8">
        <f>IFERROR(__xludf.DUMMYFUNCTION("""COMPUTED_VALUE"""),0.416)</f>
        <v>0.416</v>
      </c>
      <c r="E11120" s="8" t="str">
        <f>IFERROR(__xludf.DUMMYFUNCTION("""COMPUTED_VALUE"""),"Real")</f>
        <v>Real</v>
      </c>
      <c r="G11120" s="8">
        <f t="shared" si="1"/>
        <v>2</v>
      </c>
      <c r="H11120" s="14">
        <f t="shared" si="2"/>
        <v>7</v>
      </c>
      <c r="I11120" s="15">
        <f t="shared" si="3"/>
        <v>7</v>
      </c>
    </row>
    <row r="11121">
      <c r="A11121" s="8" t="str">
        <f>IFERROR(__xludf.DUMMYFUNCTION("IF('(INGESTA)Datos_consumo_datadis'!A11121&lt;&gt;"""",SPLIT('(INGESTA)Datos_consumo_datadis'!A:A,"",""),"""")"),"ES0031408323131005HX0F")</f>
        <v>ES0031408323131005HX0F</v>
      </c>
      <c r="B11121" s="12">
        <f>IFERROR(__xludf.DUMMYFUNCTION("""COMPUTED_VALUE"""),45329.0)</f>
        <v>45329</v>
      </c>
      <c r="C11121" s="13">
        <f>IFERROR(__xludf.DUMMYFUNCTION("""COMPUTED_VALUE"""),0.3333333333333333)</f>
        <v>0.3333333333</v>
      </c>
      <c r="D11121" s="8">
        <f>IFERROR(__xludf.DUMMYFUNCTION("""COMPUTED_VALUE"""),0.168)</f>
        <v>0.168</v>
      </c>
      <c r="E11121" s="8" t="str">
        <f>IFERROR(__xludf.DUMMYFUNCTION("""COMPUTED_VALUE"""),"Real")</f>
        <v>Real</v>
      </c>
      <c r="G11121" s="8">
        <f t="shared" si="1"/>
        <v>2</v>
      </c>
      <c r="H11121" s="14">
        <f t="shared" si="2"/>
        <v>7</v>
      </c>
      <c r="I11121" s="15">
        <f t="shared" si="3"/>
        <v>8</v>
      </c>
    </row>
    <row r="11122">
      <c r="A11122" s="8" t="str">
        <f>IFERROR(__xludf.DUMMYFUNCTION("IF('(INGESTA)Datos_consumo_datadis'!A11122&lt;&gt;"""",SPLIT('(INGESTA)Datos_consumo_datadis'!A:A,"",""),"""")"),"ES0031408323131005HX0F")</f>
        <v>ES0031408323131005HX0F</v>
      </c>
      <c r="B11122" s="12">
        <f>IFERROR(__xludf.DUMMYFUNCTION("""COMPUTED_VALUE"""),45329.0)</f>
        <v>45329</v>
      </c>
      <c r="C11122" s="13">
        <f>IFERROR(__xludf.DUMMYFUNCTION("""COMPUTED_VALUE"""),0.375)</f>
        <v>0.375</v>
      </c>
      <c r="D11122" s="8">
        <f>IFERROR(__xludf.DUMMYFUNCTION("""COMPUTED_VALUE"""),0.042)</f>
        <v>0.042</v>
      </c>
      <c r="E11122" s="8" t="str">
        <f>IFERROR(__xludf.DUMMYFUNCTION("""COMPUTED_VALUE"""),"Real")</f>
        <v>Real</v>
      </c>
      <c r="G11122" s="8">
        <f t="shared" si="1"/>
        <v>2</v>
      </c>
      <c r="H11122" s="14">
        <f t="shared" si="2"/>
        <v>7</v>
      </c>
      <c r="I11122" s="15">
        <f t="shared" si="3"/>
        <v>9</v>
      </c>
    </row>
    <row r="11123">
      <c r="A11123" s="8" t="str">
        <f>IFERROR(__xludf.DUMMYFUNCTION("IF('(INGESTA)Datos_consumo_datadis'!A11123&lt;&gt;"""",SPLIT('(INGESTA)Datos_consumo_datadis'!A:A,"",""),"""")"),"ES0031408323131005HX0F")</f>
        <v>ES0031408323131005HX0F</v>
      </c>
      <c r="B11123" s="12">
        <f>IFERROR(__xludf.DUMMYFUNCTION("""COMPUTED_VALUE"""),45329.0)</f>
        <v>45329</v>
      </c>
      <c r="C11123" s="13">
        <f>IFERROR(__xludf.DUMMYFUNCTION("""COMPUTED_VALUE"""),0.4166666666666667)</f>
        <v>0.4166666667</v>
      </c>
      <c r="D11123" s="8">
        <f>IFERROR(__xludf.DUMMYFUNCTION("""COMPUTED_VALUE"""),0.333)</f>
        <v>0.333</v>
      </c>
      <c r="E11123" s="8" t="str">
        <f>IFERROR(__xludf.DUMMYFUNCTION("""COMPUTED_VALUE"""),"Real")</f>
        <v>Real</v>
      </c>
      <c r="G11123" s="8">
        <f t="shared" si="1"/>
        <v>2</v>
      </c>
      <c r="H11123" s="14">
        <f t="shared" si="2"/>
        <v>7</v>
      </c>
      <c r="I11123" s="15">
        <f t="shared" si="3"/>
        <v>10</v>
      </c>
    </row>
    <row r="11124">
      <c r="A11124" s="8" t="str">
        <f>IFERROR(__xludf.DUMMYFUNCTION("IF('(INGESTA)Datos_consumo_datadis'!A11124&lt;&gt;"""",SPLIT('(INGESTA)Datos_consumo_datadis'!A:A,"",""),"""")"),"ES0031408323131005HX0F")</f>
        <v>ES0031408323131005HX0F</v>
      </c>
      <c r="B11124" s="12">
        <f>IFERROR(__xludf.DUMMYFUNCTION("""COMPUTED_VALUE"""),45329.0)</f>
        <v>45329</v>
      </c>
      <c r="C11124" s="13">
        <f>IFERROR(__xludf.DUMMYFUNCTION("""COMPUTED_VALUE"""),0.4583333333333333)</f>
        <v>0.4583333333</v>
      </c>
      <c r="D11124" s="8">
        <f>IFERROR(__xludf.DUMMYFUNCTION("""COMPUTED_VALUE"""),0.048)</f>
        <v>0.048</v>
      </c>
      <c r="E11124" s="8" t="str">
        <f>IFERROR(__xludf.DUMMYFUNCTION("""COMPUTED_VALUE"""),"Real")</f>
        <v>Real</v>
      </c>
      <c r="G11124" s="8">
        <f t="shared" si="1"/>
        <v>2</v>
      </c>
      <c r="H11124" s="14">
        <f t="shared" si="2"/>
        <v>7</v>
      </c>
      <c r="I11124" s="15">
        <f t="shared" si="3"/>
        <v>11</v>
      </c>
    </row>
    <row r="11125">
      <c r="A11125" s="8" t="str">
        <f>IFERROR(__xludf.DUMMYFUNCTION("IF('(INGESTA)Datos_consumo_datadis'!A11125&lt;&gt;"""",SPLIT('(INGESTA)Datos_consumo_datadis'!A:A,"",""),"""")"),"ES0031408323131005HX0F")</f>
        <v>ES0031408323131005HX0F</v>
      </c>
      <c r="B11125" s="12">
        <f>IFERROR(__xludf.DUMMYFUNCTION("""COMPUTED_VALUE"""),45329.0)</f>
        <v>45329</v>
      </c>
      <c r="C11125" s="13">
        <f>IFERROR(__xludf.DUMMYFUNCTION("""COMPUTED_VALUE"""),0.5)</f>
        <v>0.5</v>
      </c>
      <c r="D11125" s="8">
        <f>IFERROR(__xludf.DUMMYFUNCTION("""COMPUTED_VALUE"""),0.074)</f>
        <v>0.074</v>
      </c>
      <c r="E11125" s="8" t="str">
        <f>IFERROR(__xludf.DUMMYFUNCTION("""COMPUTED_VALUE"""),"Real")</f>
        <v>Real</v>
      </c>
      <c r="G11125" s="8">
        <f t="shared" si="1"/>
        <v>2</v>
      </c>
      <c r="H11125" s="14">
        <f t="shared" si="2"/>
        <v>7</v>
      </c>
      <c r="I11125" s="15">
        <f t="shared" si="3"/>
        <v>12</v>
      </c>
    </row>
    <row r="11126">
      <c r="A11126" s="8" t="str">
        <f>IFERROR(__xludf.DUMMYFUNCTION("IF('(INGESTA)Datos_consumo_datadis'!A11126&lt;&gt;"""",SPLIT('(INGESTA)Datos_consumo_datadis'!A:A,"",""),"""")"),"ES0031408323131005HX0F")</f>
        <v>ES0031408323131005HX0F</v>
      </c>
      <c r="B11126" s="12">
        <f>IFERROR(__xludf.DUMMYFUNCTION("""COMPUTED_VALUE"""),45329.0)</f>
        <v>45329</v>
      </c>
      <c r="C11126" s="13">
        <f>IFERROR(__xludf.DUMMYFUNCTION("""COMPUTED_VALUE"""),0.5416666666666666)</f>
        <v>0.5416666667</v>
      </c>
      <c r="D11126" s="8">
        <f>IFERROR(__xludf.DUMMYFUNCTION("""COMPUTED_VALUE"""),0.128)</f>
        <v>0.128</v>
      </c>
      <c r="E11126" s="8" t="str">
        <f>IFERROR(__xludf.DUMMYFUNCTION("""COMPUTED_VALUE"""),"Real")</f>
        <v>Real</v>
      </c>
      <c r="G11126" s="8">
        <f t="shared" si="1"/>
        <v>2</v>
      </c>
      <c r="H11126" s="14">
        <f t="shared" si="2"/>
        <v>7</v>
      </c>
      <c r="I11126" s="15">
        <f t="shared" si="3"/>
        <v>13</v>
      </c>
    </row>
    <row r="11127">
      <c r="A11127" s="8" t="str">
        <f>IFERROR(__xludf.DUMMYFUNCTION("IF('(INGESTA)Datos_consumo_datadis'!A11127&lt;&gt;"""",SPLIT('(INGESTA)Datos_consumo_datadis'!A:A,"",""),"""")"),"ES0031408323131005HX0F")</f>
        <v>ES0031408323131005HX0F</v>
      </c>
      <c r="B11127" s="12">
        <f>IFERROR(__xludf.DUMMYFUNCTION("""COMPUTED_VALUE"""),45329.0)</f>
        <v>45329</v>
      </c>
      <c r="C11127" s="13">
        <f>IFERROR(__xludf.DUMMYFUNCTION("""COMPUTED_VALUE"""),0.5833333333333334)</f>
        <v>0.5833333333</v>
      </c>
      <c r="D11127" s="8">
        <f>IFERROR(__xludf.DUMMYFUNCTION("""COMPUTED_VALUE"""),0.073)</f>
        <v>0.073</v>
      </c>
      <c r="E11127" s="8" t="str">
        <f>IFERROR(__xludf.DUMMYFUNCTION("""COMPUTED_VALUE"""),"Real")</f>
        <v>Real</v>
      </c>
      <c r="G11127" s="8">
        <f t="shared" si="1"/>
        <v>2</v>
      </c>
      <c r="H11127" s="14">
        <f t="shared" si="2"/>
        <v>7</v>
      </c>
      <c r="I11127" s="15">
        <f t="shared" si="3"/>
        <v>14</v>
      </c>
    </row>
    <row r="11128">
      <c r="A11128" s="8" t="str">
        <f>IFERROR(__xludf.DUMMYFUNCTION("IF('(INGESTA)Datos_consumo_datadis'!A11128&lt;&gt;"""",SPLIT('(INGESTA)Datos_consumo_datadis'!A:A,"",""),"""")"),"ES0031408323131005HX0F")</f>
        <v>ES0031408323131005HX0F</v>
      </c>
      <c r="B11128" s="12">
        <f>IFERROR(__xludf.DUMMYFUNCTION("""COMPUTED_VALUE"""),45329.0)</f>
        <v>45329</v>
      </c>
      <c r="C11128" s="13">
        <f>IFERROR(__xludf.DUMMYFUNCTION("""COMPUTED_VALUE"""),0.625)</f>
        <v>0.625</v>
      </c>
      <c r="D11128" s="8">
        <f>IFERROR(__xludf.DUMMYFUNCTION("""COMPUTED_VALUE"""),0.037)</f>
        <v>0.037</v>
      </c>
      <c r="E11128" s="8" t="str">
        <f>IFERROR(__xludf.DUMMYFUNCTION("""COMPUTED_VALUE"""),"Real")</f>
        <v>Real</v>
      </c>
      <c r="G11128" s="8">
        <f t="shared" si="1"/>
        <v>2</v>
      </c>
      <c r="H11128" s="14">
        <f t="shared" si="2"/>
        <v>7</v>
      </c>
      <c r="I11128" s="15">
        <f t="shared" si="3"/>
        <v>15</v>
      </c>
    </row>
    <row r="11129">
      <c r="A11129" s="8" t="str">
        <f>IFERROR(__xludf.DUMMYFUNCTION("IF('(INGESTA)Datos_consumo_datadis'!A11129&lt;&gt;"""",SPLIT('(INGESTA)Datos_consumo_datadis'!A:A,"",""),"""")"),"ES0031408323131005HX0F")</f>
        <v>ES0031408323131005HX0F</v>
      </c>
      <c r="B11129" s="12">
        <f>IFERROR(__xludf.DUMMYFUNCTION("""COMPUTED_VALUE"""),45329.0)</f>
        <v>45329</v>
      </c>
      <c r="C11129" s="13">
        <f>IFERROR(__xludf.DUMMYFUNCTION("""COMPUTED_VALUE"""),0.6666666666666666)</f>
        <v>0.6666666667</v>
      </c>
      <c r="D11129" s="8">
        <f>IFERROR(__xludf.DUMMYFUNCTION("""COMPUTED_VALUE"""),0.147)</f>
        <v>0.147</v>
      </c>
      <c r="E11129" s="8" t="str">
        <f>IFERROR(__xludf.DUMMYFUNCTION("""COMPUTED_VALUE"""),"Real")</f>
        <v>Real</v>
      </c>
      <c r="G11129" s="8">
        <f t="shared" si="1"/>
        <v>2</v>
      </c>
      <c r="H11129" s="14">
        <f t="shared" si="2"/>
        <v>7</v>
      </c>
      <c r="I11129" s="15">
        <f t="shared" si="3"/>
        <v>16</v>
      </c>
    </row>
    <row r="11130">
      <c r="A11130" s="8" t="str">
        <f>IFERROR(__xludf.DUMMYFUNCTION("IF('(INGESTA)Datos_consumo_datadis'!A11130&lt;&gt;"""",SPLIT('(INGESTA)Datos_consumo_datadis'!A:A,"",""),"""")"),"ES0031408323131005HX0F")</f>
        <v>ES0031408323131005HX0F</v>
      </c>
      <c r="B11130" s="12">
        <f>IFERROR(__xludf.DUMMYFUNCTION("""COMPUTED_VALUE"""),45329.0)</f>
        <v>45329</v>
      </c>
      <c r="C11130" s="13">
        <f>IFERROR(__xludf.DUMMYFUNCTION("""COMPUTED_VALUE"""),0.7083333333333334)</f>
        <v>0.7083333333</v>
      </c>
      <c r="D11130" s="8">
        <f>IFERROR(__xludf.DUMMYFUNCTION("""COMPUTED_VALUE"""),0.285)</f>
        <v>0.285</v>
      </c>
      <c r="E11130" s="8" t="str">
        <f>IFERROR(__xludf.DUMMYFUNCTION("""COMPUTED_VALUE"""),"Real")</f>
        <v>Real</v>
      </c>
      <c r="G11130" s="8">
        <f t="shared" si="1"/>
        <v>2</v>
      </c>
      <c r="H11130" s="14">
        <f t="shared" si="2"/>
        <v>7</v>
      </c>
      <c r="I11130" s="15">
        <f t="shared" si="3"/>
        <v>17</v>
      </c>
    </row>
    <row r="11131">
      <c r="A11131" s="8" t="str">
        <f>IFERROR(__xludf.DUMMYFUNCTION("IF('(INGESTA)Datos_consumo_datadis'!A11131&lt;&gt;"""",SPLIT('(INGESTA)Datos_consumo_datadis'!A:A,"",""),"""")"),"ES0031408323131005HX0F")</f>
        <v>ES0031408323131005HX0F</v>
      </c>
      <c r="B11131" s="12">
        <f>IFERROR(__xludf.DUMMYFUNCTION("""COMPUTED_VALUE"""),45329.0)</f>
        <v>45329</v>
      </c>
      <c r="C11131" s="13">
        <f>IFERROR(__xludf.DUMMYFUNCTION("""COMPUTED_VALUE"""),0.75)</f>
        <v>0.75</v>
      </c>
      <c r="D11131" s="8">
        <f>IFERROR(__xludf.DUMMYFUNCTION("""COMPUTED_VALUE"""),0.148)</f>
        <v>0.148</v>
      </c>
      <c r="E11131" s="8" t="str">
        <f>IFERROR(__xludf.DUMMYFUNCTION("""COMPUTED_VALUE"""),"Real")</f>
        <v>Real</v>
      </c>
      <c r="G11131" s="8">
        <f t="shared" si="1"/>
        <v>2</v>
      </c>
      <c r="H11131" s="14">
        <f t="shared" si="2"/>
        <v>7</v>
      </c>
      <c r="I11131" s="15">
        <f t="shared" si="3"/>
        <v>18</v>
      </c>
    </row>
    <row r="11132">
      <c r="A11132" s="8" t="str">
        <f>IFERROR(__xludf.DUMMYFUNCTION("IF('(INGESTA)Datos_consumo_datadis'!A11132&lt;&gt;"""",SPLIT('(INGESTA)Datos_consumo_datadis'!A:A,"",""),"""")"),"ES0031408323131005HX0F")</f>
        <v>ES0031408323131005HX0F</v>
      </c>
      <c r="B11132" s="12">
        <f>IFERROR(__xludf.DUMMYFUNCTION("""COMPUTED_VALUE"""),45329.0)</f>
        <v>45329</v>
      </c>
      <c r="C11132" s="13">
        <f>IFERROR(__xludf.DUMMYFUNCTION("""COMPUTED_VALUE"""),0.7916666666666666)</f>
        <v>0.7916666667</v>
      </c>
      <c r="D11132" s="8">
        <f>IFERROR(__xludf.DUMMYFUNCTION("""COMPUTED_VALUE"""),0.11)</f>
        <v>0.11</v>
      </c>
      <c r="E11132" s="8" t="str">
        <f>IFERROR(__xludf.DUMMYFUNCTION("""COMPUTED_VALUE"""),"Real")</f>
        <v>Real</v>
      </c>
      <c r="G11132" s="8">
        <f t="shared" si="1"/>
        <v>2</v>
      </c>
      <c r="H11132" s="14">
        <f t="shared" si="2"/>
        <v>7</v>
      </c>
      <c r="I11132" s="15">
        <f t="shared" si="3"/>
        <v>19</v>
      </c>
    </row>
    <row r="11133">
      <c r="A11133" s="8" t="str">
        <f>IFERROR(__xludf.DUMMYFUNCTION("IF('(INGESTA)Datos_consumo_datadis'!A11133&lt;&gt;"""",SPLIT('(INGESTA)Datos_consumo_datadis'!A:A,"",""),"""")"),"ES0031408323131005HX0F")</f>
        <v>ES0031408323131005HX0F</v>
      </c>
      <c r="B11133" s="12">
        <f>IFERROR(__xludf.DUMMYFUNCTION("""COMPUTED_VALUE"""),45329.0)</f>
        <v>45329</v>
      </c>
      <c r="C11133" s="13">
        <f>IFERROR(__xludf.DUMMYFUNCTION("""COMPUTED_VALUE"""),0.8333333333333334)</f>
        <v>0.8333333333</v>
      </c>
      <c r="D11133" s="8">
        <f>IFERROR(__xludf.DUMMYFUNCTION("""COMPUTED_VALUE"""),0.594)</f>
        <v>0.594</v>
      </c>
      <c r="E11133" s="8" t="str">
        <f>IFERROR(__xludf.DUMMYFUNCTION("""COMPUTED_VALUE"""),"Real")</f>
        <v>Real</v>
      </c>
      <c r="G11133" s="8">
        <f t="shared" si="1"/>
        <v>2</v>
      </c>
      <c r="H11133" s="14">
        <f t="shared" si="2"/>
        <v>7</v>
      </c>
      <c r="I11133" s="15">
        <f t="shared" si="3"/>
        <v>20</v>
      </c>
    </row>
    <row r="11134">
      <c r="A11134" s="8" t="str">
        <f>IFERROR(__xludf.DUMMYFUNCTION("IF('(INGESTA)Datos_consumo_datadis'!A11134&lt;&gt;"""",SPLIT('(INGESTA)Datos_consumo_datadis'!A:A,"",""),"""")"),"ES0031408323131005HX0F")</f>
        <v>ES0031408323131005HX0F</v>
      </c>
      <c r="B11134" s="12">
        <f>IFERROR(__xludf.DUMMYFUNCTION("""COMPUTED_VALUE"""),45329.0)</f>
        <v>45329</v>
      </c>
      <c r="C11134" s="13">
        <f>IFERROR(__xludf.DUMMYFUNCTION("""COMPUTED_VALUE"""),0.875)</f>
        <v>0.875</v>
      </c>
      <c r="D11134" s="8">
        <f>IFERROR(__xludf.DUMMYFUNCTION("""COMPUTED_VALUE"""),1.14)</f>
        <v>1.14</v>
      </c>
      <c r="E11134" s="8" t="str">
        <f>IFERROR(__xludf.DUMMYFUNCTION("""COMPUTED_VALUE"""),"Real")</f>
        <v>Real</v>
      </c>
      <c r="G11134" s="8">
        <f t="shared" si="1"/>
        <v>2</v>
      </c>
      <c r="H11134" s="14">
        <f t="shared" si="2"/>
        <v>7</v>
      </c>
      <c r="I11134" s="15">
        <f t="shared" si="3"/>
        <v>21</v>
      </c>
    </row>
    <row r="11135">
      <c r="A11135" s="8" t="str">
        <f>IFERROR(__xludf.DUMMYFUNCTION("IF('(INGESTA)Datos_consumo_datadis'!A11135&lt;&gt;"""",SPLIT('(INGESTA)Datos_consumo_datadis'!A:A,"",""),"""")"),"ES0031408323131005HX0F")</f>
        <v>ES0031408323131005HX0F</v>
      </c>
      <c r="B11135" s="12">
        <f>IFERROR(__xludf.DUMMYFUNCTION("""COMPUTED_VALUE"""),45329.0)</f>
        <v>45329</v>
      </c>
      <c r="C11135" s="13">
        <f>IFERROR(__xludf.DUMMYFUNCTION("""COMPUTED_VALUE"""),0.9166666666666666)</f>
        <v>0.9166666667</v>
      </c>
      <c r="D11135" s="8">
        <f>IFERROR(__xludf.DUMMYFUNCTION("""COMPUTED_VALUE"""),0.824)</f>
        <v>0.824</v>
      </c>
      <c r="E11135" s="8" t="str">
        <f>IFERROR(__xludf.DUMMYFUNCTION("""COMPUTED_VALUE"""),"Real")</f>
        <v>Real</v>
      </c>
      <c r="G11135" s="8">
        <f t="shared" si="1"/>
        <v>2</v>
      </c>
      <c r="H11135" s="14">
        <f t="shared" si="2"/>
        <v>7</v>
      </c>
      <c r="I11135" s="15">
        <f t="shared" si="3"/>
        <v>22</v>
      </c>
    </row>
    <row r="11136">
      <c r="A11136" s="8" t="str">
        <f>IFERROR(__xludf.DUMMYFUNCTION("IF('(INGESTA)Datos_consumo_datadis'!A11136&lt;&gt;"""",SPLIT('(INGESTA)Datos_consumo_datadis'!A:A,"",""),"""")"),"ES0031408323131005HX0F")</f>
        <v>ES0031408323131005HX0F</v>
      </c>
      <c r="B11136" s="12">
        <f>IFERROR(__xludf.DUMMYFUNCTION("""COMPUTED_VALUE"""),45329.0)</f>
        <v>45329</v>
      </c>
      <c r="C11136" s="13">
        <f>IFERROR(__xludf.DUMMYFUNCTION("""COMPUTED_VALUE"""),0.9583333333333334)</f>
        <v>0.9583333333</v>
      </c>
      <c r="D11136" s="8">
        <f>IFERROR(__xludf.DUMMYFUNCTION("""COMPUTED_VALUE"""),1.064)</f>
        <v>1.064</v>
      </c>
      <c r="E11136" s="8" t="str">
        <f>IFERROR(__xludf.DUMMYFUNCTION("""COMPUTED_VALUE"""),"Real")</f>
        <v>Real</v>
      </c>
      <c r="G11136" s="8">
        <f t="shared" si="1"/>
        <v>2</v>
      </c>
      <c r="H11136" s="14">
        <f t="shared" si="2"/>
        <v>7</v>
      </c>
      <c r="I11136" s="15">
        <f t="shared" si="3"/>
        <v>23</v>
      </c>
    </row>
    <row r="11137">
      <c r="A11137" s="8" t="str">
        <f>IFERROR(__xludf.DUMMYFUNCTION("IF('(INGESTA)Datos_consumo_datadis'!A11137&lt;&gt;"""",SPLIT('(INGESTA)Datos_consumo_datadis'!A:A,"",""),"""")"),"ES0031408323131005HX0F")</f>
        <v>ES0031408323131005HX0F</v>
      </c>
      <c r="B11137" s="12">
        <f>IFERROR(__xludf.DUMMYFUNCTION("""COMPUTED_VALUE"""),45329.0)</f>
        <v>45329</v>
      </c>
      <c r="C11137" s="16">
        <f>IFERROR(__xludf.DUMMYFUNCTION("""COMPUTED_VALUE"""),1.0)</f>
        <v>1</v>
      </c>
      <c r="D11137" s="8">
        <f>IFERROR(__xludf.DUMMYFUNCTION("""COMPUTED_VALUE"""),0.097)</f>
        <v>0.097</v>
      </c>
      <c r="E11137" s="8" t="str">
        <f>IFERROR(__xludf.DUMMYFUNCTION("""COMPUTED_VALUE"""),"Real")</f>
        <v>Real</v>
      </c>
      <c r="G11137" s="8">
        <f t="shared" si="1"/>
        <v>2</v>
      </c>
      <c r="H11137" s="14">
        <f t="shared" si="2"/>
        <v>7</v>
      </c>
      <c r="I11137" s="15">
        <f t="shared" si="3"/>
        <v>0</v>
      </c>
    </row>
    <row r="11138">
      <c r="A11138" s="8" t="str">
        <f>IFERROR(__xludf.DUMMYFUNCTION("IF('(INGESTA)Datos_consumo_datadis'!A11138&lt;&gt;"""",SPLIT('(INGESTA)Datos_consumo_datadis'!A:A,"",""),"""")"),"ES0031408323131005HX0F")</f>
        <v>ES0031408323131005HX0F</v>
      </c>
      <c r="B11138" s="12">
        <f>IFERROR(__xludf.DUMMYFUNCTION("""COMPUTED_VALUE"""),45330.0)</f>
        <v>45330</v>
      </c>
      <c r="C11138" s="13">
        <f>IFERROR(__xludf.DUMMYFUNCTION("""COMPUTED_VALUE"""),0.041666666666666664)</f>
        <v>0.04166666667</v>
      </c>
      <c r="D11138" s="8">
        <f>IFERROR(__xludf.DUMMYFUNCTION("""COMPUTED_VALUE"""),0.096)</f>
        <v>0.096</v>
      </c>
      <c r="E11138" s="8" t="str">
        <f>IFERROR(__xludf.DUMMYFUNCTION("""COMPUTED_VALUE"""),"Real")</f>
        <v>Real</v>
      </c>
      <c r="G11138" s="8">
        <f t="shared" si="1"/>
        <v>2</v>
      </c>
      <c r="H11138" s="14">
        <f t="shared" si="2"/>
        <v>8</v>
      </c>
      <c r="I11138" s="15">
        <f t="shared" si="3"/>
        <v>1</v>
      </c>
    </row>
    <row r="11139">
      <c r="A11139" s="8" t="str">
        <f>IFERROR(__xludf.DUMMYFUNCTION("IF('(INGESTA)Datos_consumo_datadis'!A11139&lt;&gt;"""",SPLIT('(INGESTA)Datos_consumo_datadis'!A:A,"",""),"""")"),"ES0031408323131005HX0F")</f>
        <v>ES0031408323131005HX0F</v>
      </c>
      <c r="B11139" s="12">
        <f>IFERROR(__xludf.DUMMYFUNCTION("""COMPUTED_VALUE"""),45330.0)</f>
        <v>45330</v>
      </c>
      <c r="C11139" s="13">
        <f>IFERROR(__xludf.DUMMYFUNCTION("""COMPUTED_VALUE"""),0.08333333333333333)</f>
        <v>0.08333333333</v>
      </c>
      <c r="D11139" s="8">
        <f>IFERROR(__xludf.DUMMYFUNCTION("""COMPUTED_VALUE"""),0.06)</f>
        <v>0.06</v>
      </c>
      <c r="E11139" s="8" t="str">
        <f>IFERROR(__xludf.DUMMYFUNCTION("""COMPUTED_VALUE"""),"Real")</f>
        <v>Real</v>
      </c>
      <c r="G11139" s="8">
        <f t="shared" si="1"/>
        <v>2</v>
      </c>
      <c r="H11139" s="14">
        <f t="shared" si="2"/>
        <v>8</v>
      </c>
      <c r="I11139" s="15">
        <f t="shared" si="3"/>
        <v>2</v>
      </c>
    </row>
    <row r="11140">
      <c r="A11140" s="8" t="str">
        <f>IFERROR(__xludf.DUMMYFUNCTION("IF('(INGESTA)Datos_consumo_datadis'!A11140&lt;&gt;"""",SPLIT('(INGESTA)Datos_consumo_datadis'!A:A,"",""),"""")"),"ES0031408323131005HX0F")</f>
        <v>ES0031408323131005HX0F</v>
      </c>
      <c r="B11140" s="12">
        <f>IFERROR(__xludf.DUMMYFUNCTION("""COMPUTED_VALUE"""),45330.0)</f>
        <v>45330</v>
      </c>
      <c r="C11140" s="13">
        <f>IFERROR(__xludf.DUMMYFUNCTION("""COMPUTED_VALUE"""),0.125)</f>
        <v>0.125</v>
      </c>
      <c r="D11140" s="8">
        <f>IFERROR(__xludf.DUMMYFUNCTION("""COMPUTED_VALUE"""),0.069)</f>
        <v>0.069</v>
      </c>
      <c r="E11140" s="8" t="str">
        <f>IFERROR(__xludf.DUMMYFUNCTION("""COMPUTED_VALUE"""),"Real")</f>
        <v>Real</v>
      </c>
      <c r="G11140" s="8">
        <f t="shared" si="1"/>
        <v>2</v>
      </c>
      <c r="H11140" s="14">
        <f t="shared" si="2"/>
        <v>8</v>
      </c>
      <c r="I11140" s="15">
        <f t="shared" si="3"/>
        <v>3</v>
      </c>
    </row>
    <row r="11141">
      <c r="A11141" s="8" t="str">
        <f>IFERROR(__xludf.DUMMYFUNCTION("IF('(INGESTA)Datos_consumo_datadis'!A11141&lt;&gt;"""",SPLIT('(INGESTA)Datos_consumo_datadis'!A:A,"",""),"""")"),"ES0031408323131005HX0F")</f>
        <v>ES0031408323131005HX0F</v>
      </c>
      <c r="B11141" s="12">
        <f>IFERROR(__xludf.DUMMYFUNCTION("""COMPUTED_VALUE"""),45330.0)</f>
        <v>45330</v>
      </c>
      <c r="C11141" s="13">
        <f>IFERROR(__xludf.DUMMYFUNCTION("""COMPUTED_VALUE"""),0.16666666666666666)</f>
        <v>0.1666666667</v>
      </c>
      <c r="D11141" s="8">
        <f>IFERROR(__xludf.DUMMYFUNCTION("""COMPUTED_VALUE"""),0.351)</f>
        <v>0.351</v>
      </c>
      <c r="E11141" s="8" t="str">
        <f>IFERROR(__xludf.DUMMYFUNCTION("""COMPUTED_VALUE"""),"Real")</f>
        <v>Real</v>
      </c>
      <c r="G11141" s="8">
        <f t="shared" si="1"/>
        <v>2</v>
      </c>
      <c r="H11141" s="14">
        <f t="shared" si="2"/>
        <v>8</v>
      </c>
      <c r="I11141" s="15">
        <f t="shared" si="3"/>
        <v>4</v>
      </c>
    </row>
    <row r="11142">
      <c r="A11142" s="8" t="str">
        <f>IFERROR(__xludf.DUMMYFUNCTION("IF('(INGESTA)Datos_consumo_datadis'!A11142&lt;&gt;"""",SPLIT('(INGESTA)Datos_consumo_datadis'!A:A,"",""),"""")"),"ES0031408323131005HX0F")</f>
        <v>ES0031408323131005HX0F</v>
      </c>
      <c r="B11142" s="12">
        <f>IFERROR(__xludf.DUMMYFUNCTION("""COMPUTED_VALUE"""),45330.0)</f>
        <v>45330</v>
      </c>
      <c r="C11142" s="13">
        <f>IFERROR(__xludf.DUMMYFUNCTION("""COMPUTED_VALUE"""),0.20833333333333334)</f>
        <v>0.2083333333</v>
      </c>
      <c r="D11142" s="8">
        <f>IFERROR(__xludf.DUMMYFUNCTION("""COMPUTED_VALUE"""),0.077)</f>
        <v>0.077</v>
      </c>
      <c r="E11142" s="8" t="str">
        <f>IFERROR(__xludf.DUMMYFUNCTION("""COMPUTED_VALUE"""),"Real")</f>
        <v>Real</v>
      </c>
      <c r="G11142" s="8">
        <f t="shared" si="1"/>
        <v>2</v>
      </c>
      <c r="H11142" s="14">
        <f t="shared" si="2"/>
        <v>8</v>
      </c>
      <c r="I11142" s="15">
        <f t="shared" si="3"/>
        <v>5</v>
      </c>
    </row>
    <row r="11143">
      <c r="A11143" s="8" t="str">
        <f>IFERROR(__xludf.DUMMYFUNCTION("IF('(INGESTA)Datos_consumo_datadis'!A11143&lt;&gt;"""",SPLIT('(INGESTA)Datos_consumo_datadis'!A:A,"",""),"""")"),"ES0031408323131005HX0F")</f>
        <v>ES0031408323131005HX0F</v>
      </c>
      <c r="B11143" s="12">
        <f>IFERROR(__xludf.DUMMYFUNCTION("""COMPUTED_VALUE"""),45330.0)</f>
        <v>45330</v>
      </c>
      <c r="C11143" s="13">
        <f>IFERROR(__xludf.DUMMYFUNCTION("""COMPUTED_VALUE"""),0.25)</f>
        <v>0.25</v>
      </c>
      <c r="D11143" s="8">
        <f>IFERROR(__xludf.DUMMYFUNCTION("""COMPUTED_VALUE"""),0.108)</f>
        <v>0.108</v>
      </c>
      <c r="E11143" s="8" t="str">
        <f>IFERROR(__xludf.DUMMYFUNCTION("""COMPUTED_VALUE"""),"Real")</f>
        <v>Real</v>
      </c>
      <c r="G11143" s="8">
        <f t="shared" si="1"/>
        <v>2</v>
      </c>
      <c r="H11143" s="14">
        <f t="shared" si="2"/>
        <v>8</v>
      </c>
      <c r="I11143" s="15">
        <f t="shared" si="3"/>
        <v>6</v>
      </c>
    </row>
    <row r="11144">
      <c r="A11144" s="8" t="str">
        <f>IFERROR(__xludf.DUMMYFUNCTION("IF('(INGESTA)Datos_consumo_datadis'!A11144&lt;&gt;"""",SPLIT('(INGESTA)Datos_consumo_datadis'!A:A,"",""),"""")"),"ES0031408323131005HX0F")</f>
        <v>ES0031408323131005HX0F</v>
      </c>
      <c r="B11144" s="12">
        <f>IFERROR(__xludf.DUMMYFUNCTION("""COMPUTED_VALUE"""),45330.0)</f>
        <v>45330</v>
      </c>
      <c r="C11144" s="13">
        <f>IFERROR(__xludf.DUMMYFUNCTION("""COMPUTED_VALUE"""),0.2916666666666667)</f>
        <v>0.2916666667</v>
      </c>
      <c r="D11144" s="8">
        <f>IFERROR(__xludf.DUMMYFUNCTION("""COMPUTED_VALUE"""),0.442)</f>
        <v>0.442</v>
      </c>
      <c r="E11144" s="8" t="str">
        <f>IFERROR(__xludf.DUMMYFUNCTION("""COMPUTED_VALUE"""),"Real")</f>
        <v>Real</v>
      </c>
      <c r="G11144" s="8">
        <f t="shared" si="1"/>
        <v>2</v>
      </c>
      <c r="H11144" s="14">
        <f t="shared" si="2"/>
        <v>8</v>
      </c>
      <c r="I11144" s="15">
        <f t="shared" si="3"/>
        <v>7</v>
      </c>
    </row>
    <row r="11145">
      <c r="A11145" s="8" t="str">
        <f>IFERROR(__xludf.DUMMYFUNCTION("IF('(INGESTA)Datos_consumo_datadis'!A11145&lt;&gt;"""",SPLIT('(INGESTA)Datos_consumo_datadis'!A:A,"",""),"""")"),"ES0031408323131005HX0F")</f>
        <v>ES0031408323131005HX0F</v>
      </c>
      <c r="B11145" s="12">
        <f>IFERROR(__xludf.DUMMYFUNCTION("""COMPUTED_VALUE"""),45330.0)</f>
        <v>45330</v>
      </c>
      <c r="C11145" s="13">
        <f>IFERROR(__xludf.DUMMYFUNCTION("""COMPUTED_VALUE"""),0.3333333333333333)</f>
        <v>0.3333333333</v>
      </c>
      <c r="D11145" s="8">
        <f>IFERROR(__xludf.DUMMYFUNCTION("""COMPUTED_VALUE"""),1.596)</f>
        <v>1.596</v>
      </c>
      <c r="E11145" s="8" t="str">
        <f>IFERROR(__xludf.DUMMYFUNCTION("""COMPUTED_VALUE"""),"Real")</f>
        <v>Real</v>
      </c>
      <c r="G11145" s="8">
        <f t="shared" si="1"/>
        <v>2</v>
      </c>
      <c r="H11145" s="14">
        <f t="shared" si="2"/>
        <v>8</v>
      </c>
      <c r="I11145" s="15">
        <f t="shared" si="3"/>
        <v>8</v>
      </c>
    </row>
    <row r="11146">
      <c r="A11146" s="8" t="str">
        <f>IFERROR(__xludf.DUMMYFUNCTION("IF('(INGESTA)Datos_consumo_datadis'!A11146&lt;&gt;"""",SPLIT('(INGESTA)Datos_consumo_datadis'!A:A,"",""),"""")"),"ES0031408323131005HX0F")</f>
        <v>ES0031408323131005HX0F</v>
      </c>
      <c r="B11146" s="12">
        <f>IFERROR(__xludf.DUMMYFUNCTION("""COMPUTED_VALUE"""),45330.0)</f>
        <v>45330</v>
      </c>
      <c r="C11146" s="13">
        <f>IFERROR(__xludf.DUMMYFUNCTION("""COMPUTED_VALUE"""),0.375)</f>
        <v>0.375</v>
      </c>
      <c r="D11146" s="8">
        <f>IFERROR(__xludf.DUMMYFUNCTION("""COMPUTED_VALUE"""),0.219)</f>
        <v>0.219</v>
      </c>
      <c r="E11146" s="8" t="str">
        <f>IFERROR(__xludf.DUMMYFUNCTION("""COMPUTED_VALUE"""),"Real")</f>
        <v>Real</v>
      </c>
      <c r="G11146" s="8">
        <f t="shared" si="1"/>
        <v>2</v>
      </c>
      <c r="H11146" s="14">
        <f t="shared" si="2"/>
        <v>8</v>
      </c>
      <c r="I11146" s="15">
        <f t="shared" si="3"/>
        <v>9</v>
      </c>
    </row>
    <row r="11147">
      <c r="A11147" s="8" t="str">
        <f>IFERROR(__xludf.DUMMYFUNCTION("IF('(INGESTA)Datos_consumo_datadis'!A11147&lt;&gt;"""",SPLIT('(INGESTA)Datos_consumo_datadis'!A:A,"",""),"""")"),"ES0031408323131005HX0F")</f>
        <v>ES0031408323131005HX0F</v>
      </c>
      <c r="B11147" s="12">
        <f>IFERROR(__xludf.DUMMYFUNCTION("""COMPUTED_VALUE"""),45330.0)</f>
        <v>45330</v>
      </c>
      <c r="C11147" s="13">
        <f>IFERROR(__xludf.DUMMYFUNCTION("""COMPUTED_VALUE"""),0.4166666666666667)</f>
        <v>0.4166666667</v>
      </c>
      <c r="D11147" s="8">
        <f>IFERROR(__xludf.DUMMYFUNCTION("""COMPUTED_VALUE"""),0.512)</f>
        <v>0.512</v>
      </c>
      <c r="E11147" s="8" t="str">
        <f>IFERROR(__xludf.DUMMYFUNCTION("""COMPUTED_VALUE"""),"Real")</f>
        <v>Real</v>
      </c>
      <c r="G11147" s="8">
        <f t="shared" si="1"/>
        <v>2</v>
      </c>
      <c r="H11147" s="14">
        <f t="shared" si="2"/>
        <v>8</v>
      </c>
      <c r="I11147" s="15">
        <f t="shared" si="3"/>
        <v>10</v>
      </c>
    </row>
    <row r="11148">
      <c r="A11148" s="8" t="str">
        <f>IFERROR(__xludf.DUMMYFUNCTION("IF('(INGESTA)Datos_consumo_datadis'!A11148&lt;&gt;"""",SPLIT('(INGESTA)Datos_consumo_datadis'!A:A,"",""),"""")"),"ES0031408323131005HX0F")</f>
        <v>ES0031408323131005HX0F</v>
      </c>
      <c r="B11148" s="12">
        <f>IFERROR(__xludf.DUMMYFUNCTION("""COMPUTED_VALUE"""),45330.0)</f>
        <v>45330</v>
      </c>
      <c r="C11148" s="13">
        <f>IFERROR(__xludf.DUMMYFUNCTION("""COMPUTED_VALUE"""),0.4583333333333333)</f>
        <v>0.4583333333</v>
      </c>
      <c r="D11148" s="8">
        <f>IFERROR(__xludf.DUMMYFUNCTION("""COMPUTED_VALUE"""),0.555)</f>
        <v>0.555</v>
      </c>
      <c r="E11148" s="8" t="str">
        <f>IFERROR(__xludf.DUMMYFUNCTION("""COMPUTED_VALUE"""),"Real")</f>
        <v>Real</v>
      </c>
      <c r="G11148" s="8">
        <f t="shared" si="1"/>
        <v>2</v>
      </c>
      <c r="H11148" s="14">
        <f t="shared" si="2"/>
        <v>8</v>
      </c>
      <c r="I11148" s="15">
        <f t="shared" si="3"/>
        <v>11</v>
      </c>
    </row>
    <row r="11149">
      <c r="A11149" s="8" t="str">
        <f>IFERROR(__xludf.DUMMYFUNCTION("IF('(INGESTA)Datos_consumo_datadis'!A11149&lt;&gt;"""",SPLIT('(INGESTA)Datos_consumo_datadis'!A:A,"",""),"""")"),"ES0031408323131005HX0F")</f>
        <v>ES0031408323131005HX0F</v>
      </c>
      <c r="B11149" s="12">
        <f>IFERROR(__xludf.DUMMYFUNCTION("""COMPUTED_VALUE"""),45330.0)</f>
        <v>45330</v>
      </c>
      <c r="C11149" s="13">
        <f>IFERROR(__xludf.DUMMYFUNCTION("""COMPUTED_VALUE"""),0.5)</f>
        <v>0.5</v>
      </c>
      <c r="D11149" s="8">
        <f>IFERROR(__xludf.DUMMYFUNCTION("""COMPUTED_VALUE"""),1.761)</f>
        <v>1.761</v>
      </c>
      <c r="E11149" s="8" t="str">
        <f>IFERROR(__xludf.DUMMYFUNCTION("""COMPUTED_VALUE"""),"Real")</f>
        <v>Real</v>
      </c>
      <c r="G11149" s="8">
        <f t="shared" si="1"/>
        <v>2</v>
      </c>
      <c r="H11149" s="14">
        <f t="shared" si="2"/>
        <v>8</v>
      </c>
      <c r="I11149" s="15">
        <f t="shared" si="3"/>
        <v>12</v>
      </c>
    </row>
    <row r="11150">
      <c r="A11150" s="8" t="str">
        <f>IFERROR(__xludf.DUMMYFUNCTION("IF('(INGESTA)Datos_consumo_datadis'!A11150&lt;&gt;"""",SPLIT('(INGESTA)Datos_consumo_datadis'!A:A,"",""),"""")"),"ES0031408323131005HX0F")</f>
        <v>ES0031408323131005HX0F</v>
      </c>
      <c r="B11150" s="12">
        <f>IFERROR(__xludf.DUMMYFUNCTION("""COMPUTED_VALUE"""),45330.0)</f>
        <v>45330</v>
      </c>
      <c r="C11150" s="13">
        <f>IFERROR(__xludf.DUMMYFUNCTION("""COMPUTED_VALUE"""),0.5416666666666666)</f>
        <v>0.5416666667</v>
      </c>
      <c r="D11150" s="8">
        <f>IFERROR(__xludf.DUMMYFUNCTION("""COMPUTED_VALUE"""),0.103)</f>
        <v>0.103</v>
      </c>
      <c r="E11150" s="8" t="str">
        <f>IFERROR(__xludf.DUMMYFUNCTION("""COMPUTED_VALUE"""),"Real")</f>
        <v>Real</v>
      </c>
      <c r="G11150" s="8">
        <f t="shared" si="1"/>
        <v>2</v>
      </c>
      <c r="H11150" s="14">
        <f t="shared" si="2"/>
        <v>8</v>
      </c>
      <c r="I11150" s="15">
        <f t="shared" si="3"/>
        <v>13</v>
      </c>
    </row>
    <row r="11151">
      <c r="A11151" s="8" t="str">
        <f>IFERROR(__xludf.DUMMYFUNCTION("IF('(INGESTA)Datos_consumo_datadis'!A11151&lt;&gt;"""",SPLIT('(INGESTA)Datos_consumo_datadis'!A:A,"",""),"""")"),"ES0031408323131005HX0F")</f>
        <v>ES0031408323131005HX0F</v>
      </c>
      <c r="B11151" s="12">
        <f>IFERROR(__xludf.DUMMYFUNCTION("""COMPUTED_VALUE"""),45330.0)</f>
        <v>45330</v>
      </c>
      <c r="C11151" s="13">
        <f>IFERROR(__xludf.DUMMYFUNCTION("""COMPUTED_VALUE"""),0.5833333333333334)</f>
        <v>0.5833333333</v>
      </c>
      <c r="D11151" s="8">
        <f>IFERROR(__xludf.DUMMYFUNCTION("""COMPUTED_VALUE"""),0.962)</f>
        <v>0.962</v>
      </c>
      <c r="E11151" s="8" t="str">
        <f>IFERROR(__xludf.DUMMYFUNCTION("""COMPUTED_VALUE"""),"Real")</f>
        <v>Real</v>
      </c>
      <c r="G11151" s="8">
        <f t="shared" si="1"/>
        <v>2</v>
      </c>
      <c r="H11151" s="14">
        <f t="shared" si="2"/>
        <v>8</v>
      </c>
      <c r="I11151" s="15">
        <f t="shared" si="3"/>
        <v>14</v>
      </c>
    </row>
    <row r="11152">
      <c r="A11152" s="8" t="str">
        <f>IFERROR(__xludf.DUMMYFUNCTION("IF('(INGESTA)Datos_consumo_datadis'!A11152&lt;&gt;"""",SPLIT('(INGESTA)Datos_consumo_datadis'!A:A,"",""),"""")"),"ES0031408323131005HX0F")</f>
        <v>ES0031408323131005HX0F</v>
      </c>
      <c r="B11152" s="12">
        <f>IFERROR(__xludf.DUMMYFUNCTION("""COMPUTED_VALUE"""),45330.0)</f>
        <v>45330</v>
      </c>
      <c r="C11152" s="13">
        <f>IFERROR(__xludf.DUMMYFUNCTION("""COMPUTED_VALUE"""),0.625)</f>
        <v>0.625</v>
      </c>
      <c r="D11152" s="8">
        <f>IFERROR(__xludf.DUMMYFUNCTION("""COMPUTED_VALUE"""),0.984)</f>
        <v>0.984</v>
      </c>
      <c r="E11152" s="8" t="str">
        <f>IFERROR(__xludf.DUMMYFUNCTION("""COMPUTED_VALUE"""),"Real")</f>
        <v>Real</v>
      </c>
      <c r="G11152" s="8">
        <f t="shared" si="1"/>
        <v>2</v>
      </c>
      <c r="H11152" s="14">
        <f t="shared" si="2"/>
        <v>8</v>
      </c>
      <c r="I11152" s="15">
        <f t="shared" si="3"/>
        <v>15</v>
      </c>
    </row>
    <row r="11153">
      <c r="A11153" s="8" t="str">
        <f>IFERROR(__xludf.DUMMYFUNCTION("IF('(INGESTA)Datos_consumo_datadis'!A11153&lt;&gt;"""",SPLIT('(INGESTA)Datos_consumo_datadis'!A:A,"",""),"""")"),"ES0031408323131005HX0F")</f>
        <v>ES0031408323131005HX0F</v>
      </c>
      <c r="B11153" s="12">
        <f>IFERROR(__xludf.DUMMYFUNCTION("""COMPUTED_VALUE"""),45330.0)</f>
        <v>45330</v>
      </c>
      <c r="C11153" s="13">
        <f>IFERROR(__xludf.DUMMYFUNCTION("""COMPUTED_VALUE"""),0.6666666666666666)</f>
        <v>0.6666666667</v>
      </c>
      <c r="D11153" s="8">
        <f>IFERROR(__xludf.DUMMYFUNCTION("""COMPUTED_VALUE"""),0.474)</f>
        <v>0.474</v>
      </c>
      <c r="E11153" s="8" t="str">
        <f>IFERROR(__xludf.DUMMYFUNCTION("""COMPUTED_VALUE"""),"Real")</f>
        <v>Real</v>
      </c>
      <c r="G11153" s="8">
        <f t="shared" si="1"/>
        <v>2</v>
      </c>
      <c r="H11153" s="14">
        <f t="shared" si="2"/>
        <v>8</v>
      </c>
      <c r="I11153" s="15">
        <f t="shared" si="3"/>
        <v>16</v>
      </c>
    </row>
    <row r="11154">
      <c r="A11154" s="8" t="str">
        <f>IFERROR(__xludf.DUMMYFUNCTION("IF('(INGESTA)Datos_consumo_datadis'!A11154&lt;&gt;"""",SPLIT('(INGESTA)Datos_consumo_datadis'!A:A,"",""),"""")"),"ES0031408323131005HX0F")</f>
        <v>ES0031408323131005HX0F</v>
      </c>
      <c r="B11154" s="12">
        <f>IFERROR(__xludf.DUMMYFUNCTION("""COMPUTED_VALUE"""),45330.0)</f>
        <v>45330</v>
      </c>
      <c r="C11154" s="13">
        <f>IFERROR(__xludf.DUMMYFUNCTION("""COMPUTED_VALUE"""),0.7083333333333334)</f>
        <v>0.7083333333</v>
      </c>
      <c r="D11154" s="8">
        <f>IFERROR(__xludf.DUMMYFUNCTION("""COMPUTED_VALUE"""),0.424)</f>
        <v>0.424</v>
      </c>
      <c r="E11154" s="8" t="str">
        <f>IFERROR(__xludf.DUMMYFUNCTION("""COMPUTED_VALUE"""),"Real")</f>
        <v>Real</v>
      </c>
      <c r="G11154" s="8">
        <f t="shared" si="1"/>
        <v>2</v>
      </c>
      <c r="H11154" s="14">
        <f t="shared" si="2"/>
        <v>8</v>
      </c>
      <c r="I11154" s="15">
        <f t="shared" si="3"/>
        <v>17</v>
      </c>
    </row>
    <row r="11155">
      <c r="A11155" s="8" t="str">
        <f>IFERROR(__xludf.DUMMYFUNCTION("IF('(INGESTA)Datos_consumo_datadis'!A11155&lt;&gt;"""",SPLIT('(INGESTA)Datos_consumo_datadis'!A:A,"",""),"""")"),"ES0031408323131005HX0F")</f>
        <v>ES0031408323131005HX0F</v>
      </c>
      <c r="B11155" s="12">
        <f>IFERROR(__xludf.DUMMYFUNCTION("""COMPUTED_VALUE"""),45330.0)</f>
        <v>45330</v>
      </c>
      <c r="C11155" s="13">
        <f>IFERROR(__xludf.DUMMYFUNCTION("""COMPUTED_VALUE"""),0.75)</f>
        <v>0.75</v>
      </c>
      <c r="D11155" s="8">
        <f>IFERROR(__xludf.DUMMYFUNCTION("""COMPUTED_VALUE"""),0.497)</f>
        <v>0.497</v>
      </c>
      <c r="E11155" s="8" t="str">
        <f>IFERROR(__xludf.DUMMYFUNCTION("""COMPUTED_VALUE"""),"Real")</f>
        <v>Real</v>
      </c>
      <c r="G11155" s="8">
        <f t="shared" si="1"/>
        <v>2</v>
      </c>
      <c r="H11155" s="14">
        <f t="shared" si="2"/>
        <v>8</v>
      </c>
      <c r="I11155" s="15">
        <f t="shared" si="3"/>
        <v>18</v>
      </c>
    </row>
    <row r="11156">
      <c r="A11156" s="8" t="str">
        <f>IFERROR(__xludf.DUMMYFUNCTION("IF('(INGESTA)Datos_consumo_datadis'!A11156&lt;&gt;"""",SPLIT('(INGESTA)Datos_consumo_datadis'!A:A,"",""),"""")"),"ES0031408323131005HX0F")</f>
        <v>ES0031408323131005HX0F</v>
      </c>
      <c r="B11156" s="12">
        <f>IFERROR(__xludf.DUMMYFUNCTION("""COMPUTED_VALUE"""),45330.0)</f>
        <v>45330</v>
      </c>
      <c r="C11156" s="13">
        <f>IFERROR(__xludf.DUMMYFUNCTION("""COMPUTED_VALUE"""),0.7916666666666666)</f>
        <v>0.7916666667</v>
      </c>
      <c r="D11156" s="8">
        <f>IFERROR(__xludf.DUMMYFUNCTION("""COMPUTED_VALUE"""),0.302)</f>
        <v>0.302</v>
      </c>
      <c r="E11156" s="8" t="str">
        <f>IFERROR(__xludf.DUMMYFUNCTION("""COMPUTED_VALUE"""),"Real")</f>
        <v>Real</v>
      </c>
      <c r="G11156" s="8">
        <f t="shared" si="1"/>
        <v>2</v>
      </c>
      <c r="H11156" s="14">
        <f t="shared" si="2"/>
        <v>8</v>
      </c>
      <c r="I11156" s="15">
        <f t="shared" si="3"/>
        <v>19</v>
      </c>
    </row>
    <row r="11157">
      <c r="A11157" s="8" t="str">
        <f>IFERROR(__xludf.DUMMYFUNCTION("IF('(INGESTA)Datos_consumo_datadis'!A11157&lt;&gt;"""",SPLIT('(INGESTA)Datos_consumo_datadis'!A:A,"",""),"""")"),"ES0031408323131005HX0F")</f>
        <v>ES0031408323131005HX0F</v>
      </c>
      <c r="B11157" s="12">
        <f>IFERROR(__xludf.DUMMYFUNCTION("""COMPUTED_VALUE"""),45330.0)</f>
        <v>45330</v>
      </c>
      <c r="C11157" s="13">
        <f>IFERROR(__xludf.DUMMYFUNCTION("""COMPUTED_VALUE"""),0.8333333333333334)</f>
        <v>0.8333333333</v>
      </c>
      <c r="D11157" s="8">
        <f>IFERROR(__xludf.DUMMYFUNCTION("""COMPUTED_VALUE"""),1.04)</f>
        <v>1.04</v>
      </c>
      <c r="E11157" s="8" t="str">
        <f>IFERROR(__xludf.DUMMYFUNCTION("""COMPUTED_VALUE"""),"Real")</f>
        <v>Real</v>
      </c>
      <c r="G11157" s="8">
        <f t="shared" si="1"/>
        <v>2</v>
      </c>
      <c r="H11157" s="14">
        <f t="shared" si="2"/>
        <v>8</v>
      </c>
      <c r="I11157" s="15">
        <f t="shared" si="3"/>
        <v>20</v>
      </c>
    </row>
    <row r="11158">
      <c r="A11158" s="8" t="str">
        <f>IFERROR(__xludf.DUMMYFUNCTION("IF('(INGESTA)Datos_consumo_datadis'!A11158&lt;&gt;"""",SPLIT('(INGESTA)Datos_consumo_datadis'!A:A,"",""),"""")"),"ES0031408323131005HX0F")</f>
        <v>ES0031408323131005HX0F</v>
      </c>
      <c r="B11158" s="12">
        <f>IFERROR(__xludf.DUMMYFUNCTION("""COMPUTED_VALUE"""),45330.0)</f>
        <v>45330</v>
      </c>
      <c r="C11158" s="13">
        <f>IFERROR(__xludf.DUMMYFUNCTION("""COMPUTED_VALUE"""),0.875)</f>
        <v>0.875</v>
      </c>
      <c r="D11158" s="8">
        <f>IFERROR(__xludf.DUMMYFUNCTION("""COMPUTED_VALUE"""),0.354)</f>
        <v>0.354</v>
      </c>
      <c r="E11158" s="8" t="str">
        <f>IFERROR(__xludf.DUMMYFUNCTION("""COMPUTED_VALUE"""),"Real")</f>
        <v>Real</v>
      </c>
      <c r="G11158" s="8">
        <f t="shared" si="1"/>
        <v>2</v>
      </c>
      <c r="H11158" s="14">
        <f t="shared" si="2"/>
        <v>8</v>
      </c>
      <c r="I11158" s="15">
        <f t="shared" si="3"/>
        <v>21</v>
      </c>
    </row>
    <row r="11159">
      <c r="A11159" s="8" t="str">
        <f>IFERROR(__xludf.DUMMYFUNCTION("IF('(INGESTA)Datos_consumo_datadis'!A11159&lt;&gt;"""",SPLIT('(INGESTA)Datos_consumo_datadis'!A:A,"",""),"""")"),"ES0031408323131005HX0F")</f>
        <v>ES0031408323131005HX0F</v>
      </c>
      <c r="B11159" s="12">
        <f>IFERROR(__xludf.DUMMYFUNCTION("""COMPUTED_VALUE"""),45330.0)</f>
        <v>45330</v>
      </c>
      <c r="C11159" s="13">
        <f>IFERROR(__xludf.DUMMYFUNCTION("""COMPUTED_VALUE"""),0.9166666666666666)</f>
        <v>0.9166666667</v>
      </c>
      <c r="D11159" s="8">
        <f>IFERROR(__xludf.DUMMYFUNCTION("""COMPUTED_VALUE"""),0.901)</f>
        <v>0.901</v>
      </c>
      <c r="E11159" s="8" t="str">
        <f>IFERROR(__xludf.DUMMYFUNCTION("""COMPUTED_VALUE"""),"Real")</f>
        <v>Real</v>
      </c>
      <c r="G11159" s="8">
        <f t="shared" si="1"/>
        <v>2</v>
      </c>
      <c r="H11159" s="14">
        <f t="shared" si="2"/>
        <v>8</v>
      </c>
      <c r="I11159" s="15">
        <f t="shared" si="3"/>
        <v>22</v>
      </c>
    </row>
    <row r="11160">
      <c r="A11160" s="8" t="str">
        <f>IFERROR(__xludf.DUMMYFUNCTION("IF('(INGESTA)Datos_consumo_datadis'!A11160&lt;&gt;"""",SPLIT('(INGESTA)Datos_consumo_datadis'!A:A,"",""),"""")"),"ES0031408323131005HX0F")</f>
        <v>ES0031408323131005HX0F</v>
      </c>
      <c r="B11160" s="12">
        <f>IFERROR(__xludf.DUMMYFUNCTION("""COMPUTED_VALUE"""),45330.0)</f>
        <v>45330</v>
      </c>
      <c r="C11160" s="13">
        <f>IFERROR(__xludf.DUMMYFUNCTION("""COMPUTED_VALUE"""),0.9583333333333334)</f>
        <v>0.9583333333</v>
      </c>
      <c r="D11160" s="8">
        <f>IFERROR(__xludf.DUMMYFUNCTION("""COMPUTED_VALUE"""),0.555)</f>
        <v>0.555</v>
      </c>
      <c r="E11160" s="8" t="str">
        <f>IFERROR(__xludf.DUMMYFUNCTION("""COMPUTED_VALUE"""),"Real")</f>
        <v>Real</v>
      </c>
      <c r="G11160" s="8">
        <f t="shared" si="1"/>
        <v>2</v>
      </c>
      <c r="H11160" s="14">
        <f t="shared" si="2"/>
        <v>8</v>
      </c>
      <c r="I11160" s="15">
        <f t="shared" si="3"/>
        <v>23</v>
      </c>
    </row>
    <row r="11161">
      <c r="A11161" s="8" t="str">
        <f>IFERROR(__xludf.DUMMYFUNCTION("IF('(INGESTA)Datos_consumo_datadis'!A11161&lt;&gt;"""",SPLIT('(INGESTA)Datos_consumo_datadis'!A:A,"",""),"""")"),"ES0031408323131005HX0F")</f>
        <v>ES0031408323131005HX0F</v>
      </c>
      <c r="B11161" s="12">
        <f>IFERROR(__xludf.DUMMYFUNCTION("""COMPUTED_VALUE"""),45330.0)</f>
        <v>45330</v>
      </c>
      <c r="C11161" s="16">
        <f>IFERROR(__xludf.DUMMYFUNCTION("""COMPUTED_VALUE"""),1.0)</f>
        <v>1</v>
      </c>
      <c r="D11161" s="8">
        <f>IFERROR(__xludf.DUMMYFUNCTION("""COMPUTED_VALUE"""),0.058)</f>
        <v>0.058</v>
      </c>
      <c r="E11161" s="8" t="str">
        <f>IFERROR(__xludf.DUMMYFUNCTION("""COMPUTED_VALUE"""),"Real")</f>
        <v>Real</v>
      </c>
      <c r="G11161" s="8">
        <f t="shared" si="1"/>
        <v>2</v>
      </c>
      <c r="H11161" s="14">
        <f t="shared" si="2"/>
        <v>8</v>
      </c>
      <c r="I11161" s="15">
        <f t="shared" si="3"/>
        <v>0</v>
      </c>
    </row>
    <row r="11162">
      <c r="A11162" s="8" t="str">
        <f>IFERROR(__xludf.DUMMYFUNCTION("IF('(INGESTA)Datos_consumo_datadis'!A11162&lt;&gt;"""",SPLIT('(INGESTA)Datos_consumo_datadis'!A:A,"",""),"""")"),"ES0031408323131005HX0F")</f>
        <v>ES0031408323131005HX0F</v>
      </c>
      <c r="B11162" s="12">
        <f>IFERROR(__xludf.DUMMYFUNCTION("""COMPUTED_VALUE"""),45331.0)</f>
        <v>45331</v>
      </c>
      <c r="C11162" s="13">
        <f>IFERROR(__xludf.DUMMYFUNCTION("""COMPUTED_VALUE"""),0.041666666666666664)</f>
        <v>0.04166666667</v>
      </c>
      <c r="D11162" s="8">
        <f>IFERROR(__xludf.DUMMYFUNCTION("""COMPUTED_VALUE"""),0.099)</f>
        <v>0.099</v>
      </c>
      <c r="E11162" s="8" t="str">
        <f>IFERROR(__xludf.DUMMYFUNCTION("""COMPUTED_VALUE"""),"Real")</f>
        <v>Real</v>
      </c>
      <c r="G11162" s="8">
        <f t="shared" si="1"/>
        <v>2</v>
      </c>
      <c r="H11162" s="14">
        <f t="shared" si="2"/>
        <v>9</v>
      </c>
      <c r="I11162" s="15">
        <f t="shared" si="3"/>
        <v>1</v>
      </c>
    </row>
    <row r="11163">
      <c r="A11163" s="8" t="str">
        <f>IFERROR(__xludf.DUMMYFUNCTION("IF('(INGESTA)Datos_consumo_datadis'!A11163&lt;&gt;"""",SPLIT('(INGESTA)Datos_consumo_datadis'!A:A,"",""),"""")"),"ES0031408323131005HX0F")</f>
        <v>ES0031408323131005HX0F</v>
      </c>
      <c r="B11163" s="12">
        <f>IFERROR(__xludf.DUMMYFUNCTION("""COMPUTED_VALUE"""),45331.0)</f>
        <v>45331</v>
      </c>
      <c r="C11163" s="13">
        <f>IFERROR(__xludf.DUMMYFUNCTION("""COMPUTED_VALUE"""),0.08333333333333333)</f>
        <v>0.08333333333</v>
      </c>
      <c r="D11163" s="8">
        <f>IFERROR(__xludf.DUMMYFUNCTION("""COMPUTED_VALUE"""),0.052)</f>
        <v>0.052</v>
      </c>
      <c r="E11163" s="8" t="str">
        <f>IFERROR(__xludf.DUMMYFUNCTION("""COMPUTED_VALUE"""),"Real")</f>
        <v>Real</v>
      </c>
      <c r="G11163" s="8">
        <f t="shared" si="1"/>
        <v>2</v>
      </c>
      <c r="H11163" s="14">
        <f t="shared" si="2"/>
        <v>9</v>
      </c>
      <c r="I11163" s="15">
        <f t="shared" si="3"/>
        <v>2</v>
      </c>
    </row>
    <row r="11164">
      <c r="A11164" s="8" t="str">
        <f>IFERROR(__xludf.DUMMYFUNCTION("IF('(INGESTA)Datos_consumo_datadis'!A11164&lt;&gt;"""",SPLIT('(INGESTA)Datos_consumo_datadis'!A:A,"",""),"""")"),"ES0031408323131005HX0F")</f>
        <v>ES0031408323131005HX0F</v>
      </c>
      <c r="B11164" s="12">
        <f>IFERROR(__xludf.DUMMYFUNCTION("""COMPUTED_VALUE"""),45331.0)</f>
        <v>45331</v>
      </c>
      <c r="C11164" s="13">
        <f>IFERROR(__xludf.DUMMYFUNCTION("""COMPUTED_VALUE"""),0.125)</f>
        <v>0.125</v>
      </c>
      <c r="D11164" s="8">
        <f>IFERROR(__xludf.DUMMYFUNCTION("""COMPUTED_VALUE"""),0.086)</f>
        <v>0.086</v>
      </c>
      <c r="E11164" s="8" t="str">
        <f>IFERROR(__xludf.DUMMYFUNCTION("""COMPUTED_VALUE"""),"Real")</f>
        <v>Real</v>
      </c>
      <c r="G11164" s="8">
        <f t="shared" si="1"/>
        <v>2</v>
      </c>
      <c r="H11164" s="14">
        <f t="shared" si="2"/>
        <v>9</v>
      </c>
      <c r="I11164" s="15">
        <f t="shared" si="3"/>
        <v>3</v>
      </c>
    </row>
    <row r="11165">
      <c r="A11165" s="8" t="str">
        <f>IFERROR(__xludf.DUMMYFUNCTION("IF('(INGESTA)Datos_consumo_datadis'!A11165&lt;&gt;"""",SPLIT('(INGESTA)Datos_consumo_datadis'!A:A,"",""),"""")"),"ES0031408323131005HX0F")</f>
        <v>ES0031408323131005HX0F</v>
      </c>
      <c r="B11165" s="12">
        <f>IFERROR(__xludf.DUMMYFUNCTION("""COMPUTED_VALUE"""),45331.0)</f>
        <v>45331</v>
      </c>
      <c r="C11165" s="13">
        <f>IFERROR(__xludf.DUMMYFUNCTION("""COMPUTED_VALUE"""),0.16666666666666666)</f>
        <v>0.1666666667</v>
      </c>
      <c r="D11165" s="8">
        <f>IFERROR(__xludf.DUMMYFUNCTION("""COMPUTED_VALUE"""),0.302)</f>
        <v>0.302</v>
      </c>
      <c r="E11165" s="8" t="str">
        <f>IFERROR(__xludf.DUMMYFUNCTION("""COMPUTED_VALUE"""),"Real")</f>
        <v>Real</v>
      </c>
      <c r="G11165" s="8">
        <f t="shared" si="1"/>
        <v>2</v>
      </c>
      <c r="H11165" s="14">
        <f t="shared" si="2"/>
        <v>9</v>
      </c>
      <c r="I11165" s="15">
        <f t="shared" si="3"/>
        <v>4</v>
      </c>
    </row>
    <row r="11166">
      <c r="A11166" s="8" t="str">
        <f>IFERROR(__xludf.DUMMYFUNCTION("IF('(INGESTA)Datos_consumo_datadis'!A11166&lt;&gt;"""",SPLIT('(INGESTA)Datos_consumo_datadis'!A:A,"",""),"""")"),"ES0031408323131005HX0F")</f>
        <v>ES0031408323131005HX0F</v>
      </c>
      <c r="B11166" s="12">
        <f>IFERROR(__xludf.DUMMYFUNCTION("""COMPUTED_VALUE"""),45331.0)</f>
        <v>45331</v>
      </c>
      <c r="C11166" s="13">
        <f>IFERROR(__xludf.DUMMYFUNCTION("""COMPUTED_VALUE"""),0.20833333333333334)</f>
        <v>0.2083333333</v>
      </c>
      <c r="D11166" s="8">
        <f>IFERROR(__xludf.DUMMYFUNCTION("""COMPUTED_VALUE"""),0.055)</f>
        <v>0.055</v>
      </c>
      <c r="E11166" s="8" t="str">
        <f>IFERROR(__xludf.DUMMYFUNCTION("""COMPUTED_VALUE"""),"Real")</f>
        <v>Real</v>
      </c>
      <c r="G11166" s="8">
        <f t="shared" si="1"/>
        <v>2</v>
      </c>
      <c r="H11166" s="14">
        <f t="shared" si="2"/>
        <v>9</v>
      </c>
      <c r="I11166" s="15">
        <f t="shared" si="3"/>
        <v>5</v>
      </c>
    </row>
    <row r="11167">
      <c r="A11167" s="8" t="str">
        <f>IFERROR(__xludf.DUMMYFUNCTION("IF('(INGESTA)Datos_consumo_datadis'!A11167&lt;&gt;"""",SPLIT('(INGESTA)Datos_consumo_datadis'!A:A,"",""),"""")"),"ES0031408323131005HX0F")</f>
        <v>ES0031408323131005HX0F</v>
      </c>
      <c r="B11167" s="12">
        <f>IFERROR(__xludf.DUMMYFUNCTION("""COMPUTED_VALUE"""),45331.0)</f>
        <v>45331</v>
      </c>
      <c r="C11167" s="13">
        <f>IFERROR(__xludf.DUMMYFUNCTION("""COMPUTED_VALUE"""),0.25)</f>
        <v>0.25</v>
      </c>
      <c r="D11167" s="8">
        <f>IFERROR(__xludf.DUMMYFUNCTION("""COMPUTED_VALUE"""),0.077)</f>
        <v>0.077</v>
      </c>
      <c r="E11167" s="8" t="str">
        <f>IFERROR(__xludf.DUMMYFUNCTION("""COMPUTED_VALUE"""),"Real")</f>
        <v>Real</v>
      </c>
      <c r="G11167" s="8">
        <f t="shared" si="1"/>
        <v>2</v>
      </c>
      <c r="H11167" s="14">
        <f t="shared" si="2"/>
        <v>9</v>
      </c>
      <c r="I11167" s="15">
        <f t="shared" si="3"/>
        <v>6</v>
      </c>
    </row>
    <row r="11168">
      <c r="A11168" s="8" t="str">
        <f>IFERROR(__xludf.DUMMYFUNCTION("IF('(INGESTA)Datos_consumo_datadis'!A11168&lt;&gt;"""",SPLIT('(INGESTA)Datos_consumo_datadis'!A:A,"",""),"""")"),"ES0031408323131005HX0F")</f>
        <v>ES0031408323131005HX0F</v>
      </c>
      <c r="B11168" s="12">
        <f>IFERROR(__xludf.DUMMYFUNCTION("""COMPUTED_VALUE"""),45331.0)</f>
        <v>45331</v>
      </c>
      <c r="C11168" s="13">
        <f>IFERROR(__xludf.DUMMYFUNCTION("""COMPUTED_VALUE"""),0.2916666666666667)</f>
        <v>0.2916666667</v>
      </c>
      <c r="D11168" s="8">
        <f>IFERROR(__xludf.DUMMYFUNCTION("""COMPUTED_VALUE"""),0.034)</f>
        <v>0.034</v>
      </c>
      <c r="E11168" s="8" t="str">
        <f>IFERROR(__xludf.DUMMYFUNCTION("""COMPUTED_VALUE"""),"Real")</f>
        <v>Real</v>
      </c>
      <c r="G11168" s="8">
        <f t="shared" si="1"/>
        <v>2</v>
      </c>
      <c r="H11168" s="14">
        <f t="shared" si="2"/>
        <v>9</v>
      </c>
      <c r="I11168" s="15">
        <f t="shared" si="3"/>
        <v>7</v>
      </c>
    </row>
    <row r="11169">
      <c r="A11169" s="8" t="str">
        <f>IFERROR(__xludf.DUMMYFUNCTION("IF('(INGESTA)Datos_consumo_datadis'!A11169&lt;&gt;"""",SPLIT('(INGESTA)Datos_consumo_datadis'!A:A,"",""),"""")"),"ES0031408323131005HX0F")</f>
        <v>ES0031408323131005HX0F</v>
      </c>
      <c r="B11169" s="12">
        <f>IFERROR(__xludf.DUMMYFUNCTION("""COMPUTED_VALUE"""),45331.0)</f>
        <v>45331</v>
      </c>
      <c r="C11169" s="13">
        <f>IFERROR(__xludf.DUMMYFUNCTION("""COMPUTED_VALUE"""),0.3333333333333333)</f>
        <v>0.3333333333</v>
      </c>
      <c r="D11169" s="8">
        <f>IFERROR(__xludf.DUMMYFUNCTION("""COMPUTED_VALUE"""),0.191)</f>
        <v>0.191</v>
      </c>
      <c r="E11169" s="8" t="str">
        <f>IFERROR(__xludf.DUMMYFUNCTION("""COMPUTED_VALUE"""),"Real")</f>
        <v>Real</v>
      </c>
      <c r="G11169" s="8">
        <f t="shared" si="1"/>
        <v>2</v>
      </c>
      <c r="H11169" s="14">
        <f t="shared" si="2"/>
        <v>9</v>
      </c>
      <c r="I11169" s="15">
        <f t="shared" si="3"/>
        <v>8</v>
      </c>
    </row>
    <row r="11170">
      <c r="A11170" s="8" t="str">
        <f>IFERROR(__xludf.DUMMYFUNCTION("IF('(INGESTA)Datos_consumo_datadis'!A11170&lt;&gt;"""",SPLIT('(INGESTA)Datos_consumo_datadis'!A:A,"",""),"""")"),"ES0031408323131005HX0F")</f>
        <v>ES0031408323131005HX0F</v>
      </c>
      <c r="B11170" s="12">
        <f>IFERROR(__xludf.DUMMYFUNCTION("""COMPUTED_VALUE"""),45331.0)</f>
        <v>45331</v>
      </c>
      <c r="C11170" s="13">
        <f>IFERROR(__xludf.DUMMYFUNCTION("""COMPUTED_VALUE"""),0.375)</f>
        <v>0.375</v>
      </c>
      <c r="D11170" s="8">
        <f>IFERROR(__xludf.DUMMYFUNCTION("""COMPUTED_VALUE"""),0.699)</f>
        <v>0.699</v>
      </c>
      <c r="E11170" s="8" t="str">
        <f>IFERROR(__xludf.DUMMYFUNCTION("""COMPUTED_VALUE"""),"Real")</f>
        <v>Real</v>
      </c>
      <c r="G11170" s="8">
        <f t="shared" si="1"/>
        <v>2</v>
      </c>
      <c r="H11170" s="14">
        <f t="shared" si="2"/>
        <v>9</v>
      </c>
      <c r="I11170" s="15">
        <f t="shared" si="3"/>
        <v>9</v>
      </c>
    </row>
    <row r="11171">
      <c r="A11171" s="8" t="str">
        <f>IFERROR(__xludf.DUMMYFUNCTION("IF('(INGESTA)Datos_consumo_datadis'!A11171&lt;&gt;"""",SPLIT('(INGESTA)Datos_consumo_datadis'!A:A,"",""),"""")"),"ES0031408323131005HX0F")</f>
        <v>ES0031408323131005HX0F</v>
      </c>
      <c r="B11171" s="12">
        <f>IFERROR(__xludf.DUMMYFUNCTION("""COMPUTED_VALUE"""),45331.0)</f>
        <v>45331</v>
      </c>
      <c r="C11171" s="13">
        <f>IFERROR(__xludf.DUMMYFUNCTION("""COMPUTED_VALUE"""),0.4166666666666667)</f>
        <v>0.4166666667</v>
      </c>
      <c r="D11171" s="8">
        <f>IFERROR(__xludf.DUMMYFUNCTION("""COMPUTED_VALUE"""),0.158)</f>
        <v>0.158</v>
      </c>
      <c r="E11171" s="8" t="str">
        <f>IFERROR(__xludf.DUMMYFUNCTION("""COMPUTED_VALUE"""),"Real")</f>
        <v>Real</v>
      </c>
      <c r="G11171" s="8">
        <f t="shared" si="1"/>
        <v>2</v>
      </c>
      <c r="H11171" s="14">
        <f t="shared" si="2"/>
        <v>9</v>
      </c>
      <c r="I11171" s="15">
        <f t="shared" si="3"/>
        <v>10</v>
      </c>
    </row>
    <row r="11172">
      <c r="A11172" s="8" t="str">
        <f>IFERROR(__xludf.DUMMYFUNCTION("IF('(INGESTA)Datos_consumo_datadis'!A11172&lt;&gt;"""",SPLIT('(INGESTA)Datos_consumo_datadis'!A:A,"",""),"""")"),"ES0031408323131005HX0F")</f>
        <v>ES0031408323131005HX0F</v>
      </c>
      <c r="B11172" s="12">
        <f>IFERROR(__xludf.DUMMYFUNCTION("""COMPUTED_VALUE"""),45331.0)</f>
        <v>45331</v>
      </c>
      <c r="C11172" s="13">
        <f>IFERROR(__xludf.DUMMYFUNCTION("""COMPUTED_VALUE"""),0.4583333333333333)</f>
        <v>0.4583333333</v>
      </c>
      <c r="D11172" s="8">
        <f>IFERROR(__xludf.DUMMYFUNCTION("""COMPUTED_VALUE"""),1.187)</f>
        <v>1.187</v>
      </c>
      <c r="E11172" s="8" t="str">
        <f>IFERROR(__xludf.DUMMYFUNCTION("""COMPUTED_VALUE"""),"Real")</f>
        <v>Real</v>
      </c>
      <c r="G11172" s="8">
        <f t="shared" si="1"/>
        <v>2</v>
      </c>
      <c r="H11172" s="14">
        <f t="shared" si="2"/>
        <v>9</v>
      </c>
      <c r="I11172" s="15">
        <f t="shared" si="3"/>
        <v>11</v>
      </c>
    </row>
    <row r="11173">
      <c r="A11173" s="8" t="str">
        <f>IFERROR(__xludf.DUMMYFUNCTION("IF('(INGESTA)Datos_consumo_datadis'!A11173&lt;&gt;"""",SPLIT('(INGESTA)Datos_consumo_datadis'!A:A,"",""),"""")"),"ES0031408323131005HX0F")</f>
        <v>ES0031408323131005HX0F</v>
      </c>
      <c r="B11173" s="12">
        <f>IFERROR(__xludf.DUMMYFUNCTION("""COMPUTED_VALUE"""),45331.0)</f>
        <v>45331</v>
      </c>
      <c r="C11173" s="13">
        <f>IFERROR(__xludf.DUMMYFUNCTION("""COMPUTED_VALUE"""),0.5)</f>
        <v>0.5</v>
      </c>
      <c r="D11173" s="8">
        <f>IFERROR(__xludf.DUMMYFUNCTION("""COMPUTED_VALUE"""),0.845)</f>
        <v>0.845</v>
      </c>
      <c r="E11173" s="8" t="str">
        <f>IFERROR(__xludf.DUMMYFUNCTION("""COMPUTED_VALUE"""),"Real")</f>
        <v>Real</v>
      </c>
      <c r="G11173" s="8">
        <f t="shared" si="1"/>
        <v>2</v>
      </c>
      <c r="H11173" s="14">
        <f t="shared" si="2"/>
        <v>9</v>
      </c>
      <c r="I11173" s="15">
        <f t="shared" si="3"/>
        <v>12</v>
      </c>
    </row>
    <row r="11174">
      <c r="A11174" s="8" t="str">
        <f>IFERROR(__xludf.DUMMYFUNCTION("IF('(INGESTA)Datos_consumo_datadis'!A11174&lt;&gt;"""",SPLIT('(INGESTA)Datos_consumo_datadis'!A:A,"",""),"""")"),"ES0031408323131005HX0F")</f>
        <v>ES0031408323131005HX0F</v>
      </c>
      <c r="B11174" s="12">
        <f>IFERROR(__xludf.DUMMYFUNCTION("""COMPUTED_VALUE"""),45331.0)</f>
        <v>45331</v>
      </c>
      <c r="C11174" s="13">
        <f>IFERROR(__xludf.DUMMYFUNCTION("""COMPUTED_VALUE"""),0.5416666666666666)</f>
        <v>0.5416666667</v>
      </c>
      <c r="D11174" s="8">
        <f>IFERROR(__xludf.DUMMYFUNCTION("""COMPUTED_VALUE"""),0.076)</f>
        <v>0.076</v>
      </c>
      <c r="E11174" s="8" t="str">
        <f>IFERROR(__xludf.DUMMYFUNCTION("""COMPUTED_VALUE"""),"Real")</f>
        <v>Real</v>
      </c>
      <c r="G11174" s="8">
        <f t="shared" si="1"/>
        <v>2</v>
      </c>
      <c r="H11174" s="14">
        <f t="shared" si="2"/>
        <v>9</v>
      </c>
      <c r="I11174" s="15">
        <f t="shared" si="3"/>
        <v>13</v>
      </c>
    </row>
    <row r="11175">
      <c r="A11175" s="8" t="str">
        <f>IFERROR(__xludf.DUMMYFUNCTION("IF('(INGESTA)Datos_consumo_datadis'!A11175&lt;&gt;"""",SPLIT('(INGESTA)Datos_consumo_datadis'!A:A,"",""),"""")"),"ES0031408323131005HX0F")</f>
        <v>ES0031408323131005HX0F</v>
      </c>
      <c r="B11175" s="12">
        <f>IFERROR(__xludf.DUMMYFUNCTION("""COMPUTED_VALUE"""),45331.0)</f>
        <v>45331</v>
      </c>
      <c r="C11175" s="13">
        <f>IFERROR(__xludf.DUMMYFUNCTION("""COMPUTED_VALUE"""),0.5833333333333334)</f>
        <v>0.5833333333</v>
      </c>
      <c r="D11175" s="8">
        <f>IFERROR(__xludf.DUMMYFUNCTION("""COMPUTED_VALUE"""),0.056)</f>
        <v>0.056</v>
      </c>
      <c r="E11175" s="8" t="str">
        <f>IFERROR(__xludf.DUMMYFUNCTION("""COMPUTED_VALUE"""),"Real")</f>
        <v>Real</v>
      </c>
      <c r="G11175" s="8">
        <f t="shared" si="1"/>
        <v>2</v>
      </c>
      <c r="H11175" s="14">
        <f t="shared" si="2"/>
        <v>9</v>
      </c>
      <c r="I11175" s="15">
        <f t="shared" si="3"/>
        <v>14</v>
      </c>
    </row>
    <row r="11176">
      <c r="A11176" s="8" t="str">
        <f>IFERROR(__xludf.DUMMYFUNCTION("IF('(INGESTA)Datos_consumo_datadis'!A11176&lt;&gt;"""",SPLIT('(INGESTA)Datos_consumo_datadis'!A:A,"",""),"""")"),"ES0031408323131005HX0F")</f>
        <v>ES0031408323131005HX0F</v>
      </c>
      <c r="B11176" s="12">
        <f>IFERROR(__xludf.DUMMYFUNCTION("""COMPUTED_VALUE"""),45331.0)</f>
        <v>45331</v>
      </c>
      <c r="C11176" s="13">
        <f>IFERROR(__xludf.DUMMYFUNCTION("""COMPUTED_VALUE"""),0.625)</f>
        <v>0.625</v>
      </c>
      <c r="D11176" s="8">
        <f>IFERROR(__xludf.DUMMYFUNCTION("""COMPUTED_VALUE"""),0.256)</f>
        <v>0.256</v>
      </c>
      <c r="E11176" s="8" t="str">
        <f>IFERROR(__xludf.DUMMYFUNCTION("""COMPUTED_VALUE"""),"Real")</f>
        <v>Real</v>
      </c>
      <c r="G11176" s="8">
        <f t="shared" si="1"/>
        <v>2</v>
      </c>
      <c r="H11176" s="14">
        <f t="shared" si="2"/>
        <v>9</v>
      </c>
      <c r="I11176" s="15">
        <f t="shared" si="3"/>
        <v>15</v>
      </c>
    </row>
    <row r="11177">
      <c r="A11177" s="8" t="str">
        <f>IFERROR(__xludf.DUMMYFUNCTION("IF('(INGESTA)Datos_consumo_datadis'!A11177&lt;&gt;"""",SPLIT('(INGESTA)Datos_consumo_datadis'!A:A,"",""),"""")"),"ES0031408323131005HX0F")</f>
        <v>ES0031408323131005HX0F</v>
      </c>
      <c r="B11177" s="12">
        <f>IFERROR(__xludf.DUMMYFUNCTION("""COMPUTED_VALUE"""),45331.0)</f>
        <v>45331</v>
      </c>
      <c r="C11177" s="13">
        <f>IFERROR(__xludf.DUMMYFUNCTION("""COMPUTED_VALUE"""),0.6666666666666666)</f>
        <v>0.6666666667</v>
      </c>
      <c r="D11177" s="8">
        <f>IFERROR(__xludf.DUMMYFUNCTION("""COMPUTED_VALUE"""),0.392)</f>
        <v>0.392</v>
      </c>
      <c r="E11177" s="8" t="str">
        <f>IFERROR(__xludf.DUMMYFUNCTION("""COMPUTED_VALUE"""),"Real")</f>
        <v>Real</v>
      </c>
      <c r="G11177" s="8">
        <f t="shared" si="1"/>
        <v>2</v>
      </c>
      <c r="H11177" s="14">
        <f t="shared" si="2"/>
        <v>9</v>
      </c>
      <c r="I11177" s="15">
        <f t="shared" si="3"/>
        <v>16</v>
      </c>
    </row>
    <row r="11178">
      <c r="A11178" s="8" t="str">
        <f>IFERROR(__xludf.DUMMYFUNCTION("IF('(INGESTA)Datos_consumo_datadis'!A11178&lt;&gt;"""",SPLIT('(INGESTA)Datos_consumo_datadis'!A:A,"",""),"""")"),"ES0031408323131005HX0F")</f>
        <v>ES0031408323131005HX0F</v>
      </c>
      <c r="B11178" s="12">
        <f>IFERROR(__xludf.DUMMYFUNCTION("""COMPUTED_VALUE"""),45331.0)</f>
        <v>45331</v>
      </c>
      <c r="C11178" s="13">
        <f>IFERROR(__xludf.DUMMYFUNCTION("""COMPUTED_VALUE"""),0.7083333333333334)</f>
        <v>0.7083333333</v>
      </c>
      <c r="D11178" s="8">
        <f>IFERROR(__xludf.DUMMYFUNCTION("""COMPUTED_VALUE"""),0.158)</f>
        <v>0.158</v>
      </c>
      <c r="E11178" s="8" t="str">
        <f>IFERROR(__xludf.DUMMYFUNCTION("""COMPUTED_VALUE"""),"Real")</f>
        <v>Real</v>
      </c>
      <c r="G11178" s="8">
        <f t="shared" si="1"/>
        <v>2</v>
      </c>
      <c r="H11178" s="14">
        <f t="shared" si="2"/>
        <v>9</v>
      </c>
      <c r="I11178" s="15">
        <f t="shared" si="3"/>
        <v>17</v>
      </c>
    </row>
    <row r="11179">
      <c r="A11179" s="8" t="str">
        <f>IFERROR(__xludf.DUMMYFUNCTION("IF('(INGESTA)Datos_consumo_datadis'!A11179&lt;&gt;"""",SPLIT('(INGESTA)Datos_consumo_datadis'!A:A,"",""),"""")"),"ES0031408323131005HX0F")</f>
        <v>ES0031408323131005HX0F</v>
      </c>
      <c r="B11179" s="12">
        <f>IFERROR(__xludf.DUMMYFUNCTION("""COMPUTED_VALUE"""),45331.0)</f>
        <v>45331</v>
      </c>
      <c r="C11179" s="13">
        <f>IFERROR(__xludf.DUMMYFUNCTION("""COMPUTED_VALUE"""),0.75)</f>
        <v>0.75</v>
      </c>
      <c r="D11179" s="8">
        <f>IFERROR(__xludf.DUMMYFUNCTION("""COMPUTED_VALUE"""),0.195)</f>
        <v>0.195</v>
      </c>
      <c r="E11179" s="8" t="str">
        <f>IFERROR(__xludf.DUMMYFUNCTION("""COMPUTED_VALUE"""),"Real")</f>
        <v>Real</v>
      </c>
      <c r="G11179" s="8">
        <f t="shared" si="1"/>
        <v>2</v>
      </c>
      <c r="H11179" s="14">
        <f t="shared" si="2"/>
        <v>9</v>
      </c>
      <c r="I11179" s="15">
        <f t="shared" si="3"/>
        <v>18</v>
      </c>
    </row>
    <row r="11180">
      <c r="A11180" s="8" t="str">
        <f>IFERROR(__xludf.DUMMYFUNCTION("IF('(INGESTA)Datos_consumo_datadis'!A11180&lt;&gt;"""",SPLIT('(INGESTA)Datos_consumo_datadis'!A:A,"",""),"""")"),"ES0031408323131005HX0F")</f>
        <v>ES0031408323131005HX0F</v>
      </c>
      <c r="B11180" s="12">
        <f>IFERROR(__xludf.DUMMYFUNCTION("""COMPUTED_VALUE"""),45331.0)</f>
        <v>45331</v>
      </c>
      <c r="C11180" s="13">
        <f>IFERROR(__xludf.DUMMYFUNCTION("""COMPUTED_VALUE"""),0.7916666666666666)</f>
        <v>0.7916666667</v>
      </c>
      <c r="D11180" s="8">
        <f>IFERROR(__xludf.DUMMYFUNCTION("""COMPUTED_VALUE"""),0.493)</f>
        <v>0.493</v>
      </c>
      <c r="E11180" s="8" t="str">
        <f>IFERROR(__xludf.DUMMYFUNCTION("""COMPUTED_VALUE"""),"Real")</f>
        <v>Real</v>
      </c>
      <c r="G11180" s="8">
        <f t="shared" si="1"/>
        <v>2</v>
      </c>
      <c r="H11180" s="14">
        <f t="shared" si="2"/>
        <v>9</v>
      </c>
      <c r="I11180" s="15">
        <f t="shared" si="3"/>
        <v>19</v>
      </c>
    </row>
    <row r="11181">
      <c r="A11181" s="8" t="str">
        <f>IFERROR(__xludf.DUMMYFUNCTION("IF('(INGESTA)Datos_consumo_datadis'!A11181&lt;&gt;"""",SPLIT('(INGESTA)Datos_consumo_datadis'!A:A,"",""),"""")"),"ES0031408323131005HX0F")</f>
        <v>ES0031408323131005HX0F</v>
      </c>
      <c r="B11181" s="12">
        <f>IFERROR(__xludf.DUMMYFUNCTION("""COMPUTED_VALUE"""),45331.0)</f>
        <v>45331</v>
      </c>
      <c r="C11181" s="13">
        <f>IFERROR(__xludf.DUMMYFUNCTION("""COMPUTED_VALUE"""),0.8333333333333334)</f>
        <v>0.8333333333</v>
      </c>
      <c r="D11181" s="8">
        <f>IFERROR(__xludf.DUMMYFUNCTION("""COMPUTED_VALUE"""),0.792)</f>
        <v>0.792</v>
      </c>
      <c r="E11181" s="8" t="str">
        <f>IFERROR(__xludf.DUMMYFUNCTION("""COMPUTED_VALUE"""),"Real")</f>
        <v>Real</v>
      </c>
      <c r="G11181" s="8">
        <f t="shared" si="1"/>
        <v>2</v>
      </c>
      <c r="H11181" s="14">
        <f t="shared" si="2"/>
        <v>9</v>
      </c>
      <c r="I11181" s="15">
        <f t="shared" si="3"/>
        <v>20</v>
      </c>
    </row>
    <row r="11182">
      <c r="A11182" s="8" t="str">
        <f>IFERROR(__xludf.DUMMYFUNCTION("IF('(INGESTA)Datos_consumo_datadis'!A11182&lt;&gt;"""",SPLIT('(INGESTA)Datos_consumo_datadis'!A:A,"",""),"""")"),"ES0031408323131005HX0F")</f>
        <v>ES0031408323131005HX0F</v>
      </c>
      <c r="B11182" s="12">
        <f>IFERROR(__xludf.DUMMYFUNCTION("""COMPUTED_VALUE"""),45331.0)</f>
        <v>45331</v>
      </c>
      <c r="C11182" s="13">
        <f>IFERROR(__xludf.DUMMYFUNCTION("""COMPUTED_VALUE"""),0.875)</f>
        <v>0.875</v>
      </c>
      <c r="D11182" s="8">
        <f>IFERROR(__xludf.DUMMYFUNCTION("""COMPUTED_VALUE"""),0.897)</f>
        <v>0.897</v>
      </c>
      <c r="E11182" s="8" t="str">
        <f>IFERROR(__xludf.DUMMYFUNCTION("""COMPUTED_VALUE"""),"Real")</f>
        <v>Real</v>
      </c>
      <c r="G11182" s="8">
        <f t="shared" si="1"/>
        <v>2</v>
      </c>
      <c r="H11182" s="14">
        <f t="shared" si="2"/>
        <v>9</v>
      </c>
      <c r="I11182" s="15">
        <f t="shared" si="3"/>
        <v>21</v>
      </c>
    </row>
    <row r="11183">
      <c r="A11183" s="8" t="str">
        <f>IFERROR(__xludf.DUMMYFUNCTION("IF('(INGESTA)Datos_consumo_datadis'!A11183&lt;&gt;"""",SPLIT('(INGESTA)Datos_consumo_datadis'!A:A,"",""),"""")"),"ES0031408323131005HX0F")</f>
        <v>ES0031408323131005HX0F</v>
      </c>
      <c r="B11183" s="12">
        <f>IFERROR(__xludf.DUMMYFUNCTION("""COMPUTED_VALUE"""),45331.0)</f>
        <v>45331</v>
      </c>
      <c r="C11183" s="13">
        <f>IFERROR(__xludf.DUMMYFUNCTION("""COMPUTED_VALUE"""),0.9166666666666666)</f>
        <v>0.9166666667</v>
      </c>
      <c r="D11183" s="8">
        <f>IFERROR(__xludf.DUMMYFUNCTION("""COMPUTED_VALUE"""),0.694)</f>
        <v>0.694</v>
      </c>
      <c r="E11183" s="8" t="str">
        <f>IFERROR(__xludf.DUMMYFUNCTION("""COMPUTED_VALUE"""),"Real")</f>
        <v>Real</v>
      </c>
      <c r="G11183" s="8">
        <f t="shared" si="1"/>
        <v>2</v>
      </c>
      <c r="H11183" s="14">
        <f t="shared" si="2"/>
        <v>9</v>
      </c>
      <c r="I11183" s="15">
        <f t="shared" si="3"/>
        <v>22</v>
      </c>
    </row>
    <row r="11184">
      <c r="A11184" s="8" t="str">
        <f>IFERROR(__xludf.DUMMYFUNCTION("IF('(INGESTA)Datos_consumo_datadis'!A11184&lt;&gt;"""",SPLIT('(INGESTA)Datos_consumo_datadis'!A:A,"",""),"""")"),"ES0031408323131005HX0F")</f>
        <v>ES0031408323131005HX0F</v>
      </c>
      <c r="B11184" s="12">
        <f>IFERROR(__xludf.DUMMYFUNCTION("""COMPUTED_VALUE"""),45331.0)</f>
        <v>45331</v>
      </c>
      <c r="C11184" s="13">
        <f>IFERROR(__xludf.DUMMYFUNCTION("""COMPUTED_VALUE"""),0.9583333333333334)</f>
        <v>0.9583333333</v>
      </c>
      <c r="D11184" s="8">
        <f>IFERROR(__xludf.DUMMYFUNCTION("""COMPUTED_VALUE"""),0.956)</f>
        <v>0.956</v>
      </c>
      <c r="E11184" s="8" t="str">
        <f>IFERROR(__xludf.DUMMYFUNCTION("""COMPUTED_VALUE"""),"Real")</f>
        <v>Real</v>
      </c>
      <c r="G11184" s="8">
        <f t="shared" si="1"/>
        <v>2</v>
      </c>
      <c r="H11184" s="14">
        <f t="shared" si="2"/>
        <v>9</v>
      </c>
      <c r="I11184" s="15">
        <f t="shared" si="3"/>
        <v>23</v>
      </c>
    </row>
    <row r="11185">
      <c r="A11185" s="8" t="str">
        <f>IFERROR(__xludf.DUMMYFUNCTION("IF('(INGESTA)Datos_consumo_datadis'!A11185&lt;&gt;"""",SPLIT('(INGESTA)Datos_consumo_datadis'!A:A,"",""),"""")"),"ES0031408323131005HX0F")</f>
        <v>ES0031408323131005HX0F</v>
      </c>
      <c r="B11185" s="12">
        <f>IFERROR(__xludf.DUMMYFUNCTION("""COMPUTED_VALUE"""),45331.0)</f>
        <v>45331</v>
      </c>
      <c r="C11185" s="16">
        <f>IFERROR(__xludf.DUMMYFUNCTION("""COMPUTED_VALUE"""),1.0)</f>
        <v>1</v>
      </c>
      <c r="D11185" s="8">
        <f>IFERROR(__xludf.DUMMYFUNCTION("""COMPUTED_VALUE"""),0.086)</f>
        <v>0.086</v>
      </c>
      <c r="E11185" s="8" t="str">
        <f>IFERROR(__xludf.DUMMYFUNCTION("""COMPUTED_VALUE"""),"Real")</f>
        <v>Real</v>
      </c>
      <c r="G11185" s="8">
        <f t="shared" si="1"/>
        <v>2</v>
      </c>
      <c r="H11185" s="14">
        <f t="shared" si="2"/>
        <v>9</v>
      </c>
      <c r="I11185" s="15">
        <f t="shared" si="3"/>
        <v>0</v>
      </c>
    </row>
    <row r="11186">
      <c r="A11186" s="8" t="str">
        <f>IFERROR(__xludf.DUMMYFUNCTION("IF('(INGESTA)Datos_consumo_datadis'!A11186&lt;&gt;"""",SPLIT('(INGESTA)Datos_consumo_datadis'!A:A,"",""),"""")"),"ES0031408323131005HX0F")</f>
        <v>ES0031408323131005HX0F</v>
      </c>
      <c r="B11186" s="12">
        <f>IFERROR(__xludf.DUMMYFUNCTION("""COMPUTED_VALUE"""),45332.0)</f>
        <v>45332</v>
      </c>
      <c r="C11186" s="13">
        <f>IFERROR(__xludf.DUMMYFUNCTION("""COMPUTED_VALUE"""),0.041666666666666664)</f>
        <v>0.04166666667</v>
      </c>
      <c r="D11186" s="8">
        <f>IFERROR(__xludf.DUMMYFUNCTION("""COMPUTED_VALUE"""),0.052)</f>
        <v>0.052</v>
      </c>
      <c r="E11186" s="8" t="str">
        <f>IFERROR(__xludf.DUMMYFUNCTION("""COMPUTED_VALUE"""),"Real")</f>
        <v>Real</v>
      </c>
      <c r="G11186" s="8">
        <f t="shared" si="1"/>
        <v>2</v>
      </c>
      <c r="H11186" s="14">
        <f t="shared" si="2"/>
        <v>10</v>
      </c>
      <c r="I11186" s="15">
        <f t="shared" si="3"/>
        <v>1</v>
      </c>
    </row>
    <row r="11187">
      <c r="A11187" s="8" t="str">
        <f>IFERROR(__xludf.DUMMYFUNCTION("IF('(INGESTA)Datos_consumo_datadis'!A11187&lt;&gt;"""",SPLIT('(INGESTA)Datos_consumo_datadis'!A:A,"",""),"""")"),"ES0031408323131005HX0F")</f>
        <v>ES0031408323131005HX0F</v>
      </c>
      <c r="B11187" s="12">
        <f>IFERROR(__xludf.DUMMYFUNCTION("""COMPUTED_VALUE"""),45332.0)</f>
        <v>45332</v>
      </c>
      <c r="C11187" s="13">
        <f>IFERROR(__xludf.DUMMYFUNCTION("""COMPUTED_VALUE"""),0.08333333333333333)</f>
        <v>0.08333333333</v>
      </c>
      <c r="D11187" s="8">
        <f>IFERROR(__xludf.DUMMYFUNCTION("""COMPUTED_VALUE"""),0.082)</f>
        <v>0.082</v>
      </c>
      <c r="E11187" s="8" t="str">
        <f>IFERROR(__xludf.DUMMYFUNCTION("""COMPUTED_VALUE"""),"Real")</f>
        <v>Real</v>
      </c>
      <c r="G11187" s="8">
        <f t="shared" si="1"/>
        <v>2</v>
      </c>
      <c r="H11187" s="14">
        <f t="shared" si="2"/>
        <v>10</v>
      </c>
      <c r="I11187" s="15">
        <f t="shared" si="3"/>
        <v>2</v>
      </c>
    </row>
    <row r="11188">
      <c r="A11188" s="8" t="str">
        <f>IFERROR(__xludf.DUMMYFUNCTION("IF('(INGESTA)Datos_consumo_datadis'!A11188&lt;&gt;"""",SPLIT('(INGESTA)Datos_consumo_datadis'!A:A,"",""),"""")"),"ES0031408323131005HX0F")</f>
        <v>ES0031408323131005HX0F</v>
      </c>
      <c r="B11188" s="12">
        <f>IFERROR(__xludf.DUMMYFUNCTION("""COMPUTED_VALUE"""),45332.0)</f>
        <v>45332</v>
      </c>
      <c r="C11188" s="13">
        <f>IFERROR(__xludf.DUMMYFUNCTION("""COMPUTED_VALUE"""),0.125)</f>
        <v>0.125</v>
      </c>
      <c r="D11188" s="8">
        <f>IFERROR(__xludf.DUMMYFUNCTION("""COMPUTED_VALUE"""),0.028)</f>
        <v>0.028</v>
      </c>
      <c r="E11188" s="8" t="str">
        <f>IFERROR(__xludf.DUMMYFUNCTION("""COMPUTED_VALUE"""),"Real")</f>
        <v>Real</v>
      </c>
      <c r="G11188" s="8">
        <f t="shared" si="1"/>
        <v>2</v>
      </c>
      <c r="H11188" s="14">
        <f t="shared" si="2"/>
        <v>10</v>
      </c>
      <c r="I11188" s="15">
        <f t="shared" si="3"/>
        <v>3</v>
      </c>
    </row>
    <row r="11189">
      <c r="A11189" s="8" t="str">
        <f>IFERROR(__xludf.DUMMYFUNCTION("IF('(INGESTA)Datos_consumo_datadis'!A11189&lt;&gt;"""",SPLIT('(INGESTA)Datos_consumo_datadis'!A:A,"",""),"""")"),"ES0031408323131005HX0F")</f>
        <v>ES0031408323131005HX0F</v>
      </c>
      <c r="B11189" s="12">
        <f>IFERROR(__xludf.DUMMYFUNCTION("""COMPUTED_VALUE"""),45332.0)</f>
        <v>45332</v>
      </c>
      <c r="C11189" s="13">
        <f>IFERROR(__xludf.DUMMYFUNCTION("""COMPUTED_VALUE"""),0.16666666666666666)</f>
        <v>0.1666666667</v>
      </c>
      <c r="D11189" s="8">
        <f>IFERROR(__xludf.DUMMYFUNCTION("""COMPUTED_VALUE"""),0.086)</f>
        <v>0.086</v>
      </c>
      <c r="E11189" s="8" t="str">
        <f>IFERROR(__xludf.DUMMYFUNCTION("""COMPUTED_VALUE"""),"Real")</f>
        <v>Real</v>
      </c>
      <c r="G11189" s="8">
        <f t="shared" si="1"/>
        <v>2</v>
      </c>
      <c r="H11189" s="14">
        <f t="shared" si="2"/>
        <v>10</v>
      </c>
      <c r="I11189" s="15">
        <f t="shared" si="3"/>
        <v>4</v>
      </c>
    </row>
    <row r="11190">
      <c r="A11190" s="8" t="str">
        <f>IFERROR(__xludf.DUMMYFUNCTION("IF('(INGESTA)Datos_consumo_datadis'!A11190&lt;&gt;"""",SPLIT('(INGESTA)Datos_consumo_datadis'!A:A,"",""),"""")"),"ES0031408323131005HX0F")</f>
        <v>ES0031408323131005HX0F</v>
      </c>
      <c r="B11190" s="12">
        <f>IFERROR(__xludf.DUMMYFUNCTION("""COMPUTED_VALUE"""),45332.0)</f>
        <v>45332</v>
      </c>
      <c r="C11190" s="13">
        <f>IFERROR(__xludf.DUMMYFUNCTION("""COMPUTED_VALUE"""),0.20833333333333334)</f>
        <v>0.2083333333</v>
      </c>
      <c r="D11190" s="8">
        <f>IFERROR(__xludf.DUMMYFUNCTION("""COMPUTED_VALUE"""),0.309)</f>
        <v>0.309</v>
      </c>
      <c r="E11190" s="8" t="str">
        <f>IFERROR(__xludf.DUMMYFUNCTION("""COMPUTED_VALUE"""),"Real")</f>
        <v>Real</v>
      </c>
      <c r="G11190" s="8">
        <f t="shared" si="1"/>
        <v>2</v>
      </c>
      <c r="H11190" s="14">
        <f t="shared" si="2"/>
        <v>10</v>
      </c>
      <c r="I11190" s="15">
        <f t="shared" si="3"/>
        <v>5</v>
      </c>
    </row>
    <row r="11191">
      <c r="A11191" s="8" t="str">
        <f>IFERROR(__xludf.DUMMYFUNCTION("IF('(INGESTA)Datos_consumo_datadis'!A11191&lt;&gt;"""",SPLIT('(INGESTA)Datos_consumo_datadis'!A:A,"",""),"""")"),"ES0031408323131005HX0F")</f>
        <v>ES0031408323131005HX0F</v>
      </c>
      <c r="B11191" s="12">
        <f>IFERROR(__xludf.DUMMYFUNCTION("""COMPUTED_VALUE"""),45332.0)</f>
        <v>45332</v>
      </c>
      <c r="C11191" s="13">
        <f>IFERROR(__xludf.DUMMYFUNCTION("""COMPUTED_VALUE"""),0.25)</f>
        <v>0.25</v>
      </c>
      <c r="D11191" s="8">
        <f>IFERROR(__xludf.DUMMYFUNCTION("""COMPUTED_VALUE"""),0.045)</f>
        <v>0.045</v>
      </c>
      <c r="E11191" s="8" t="str">
        <f>IFERROR(__xludf.DUMMYFUNCTION("""COMPUTED_VALUE"""),"Real")</f>
        <v>Real</v>
      </c>
      <c r="G11191" s="8">
        <f t="shared" si="1"/>
        <v>2</v>
      </c>
      <c r="H11191" s="14">
        <f t="shared" si="2"/>
        <v>10</v>
      </c>
      <c r="I11191" s="15">
        <f t="shared" si="3"/>
        <v>6</v>
      </c>
    </row>
    <row r="11192">
      <c r="A11192" s="8" t="str">
        <f>IFERROR(__xludf.DUMMYFUNCTION("IF('(INGESTA)Datos_consumo_datadis'!A11192&lt;&gt;"""",SPLIT('(INGESTA)Datos_consumo_datadis'!A:A,"",""),"""")"),"ES0031408323131005HX0F")</f>
        <v>ES0031408323131005HX0F</v>
      </c>
      <c r="B11192" s="12">
        <f>IFERROR(__xludf.DUMMYFUNCTION("""COMPUTED_VALUE"""),45332.0)</f>
        <v>45332</v>
      </c>
      <c r="C11192" s="13">
        <f>IFERROR(__xludf.DUMMYFUNCTION("""COMPUTED_VALUE"""),0.2916666666666667)</f>
        <v>0.2916666667</v>
      </c>
      <c r="D11192" s="8">
        <f>IFERROR(__xludf.DUMMYFUNCTION("""COMPUTED_VALUE"""),0.079)</f>
        <v>0.079</v>
      </c>
      <c r="E11192" s="8" t="str">
        <f>IFERROR(__xludf.DUMMYFUNCTION("""COMPUTED_VALUE"""),"Real")</f>
        <v>Real</v>
      </c>
      <c r="G11192" s="8">
        <f t="shared" si="1"/>
        <v>2</v>
      </c>
      <c r="H11192" s="14">
        <f t="shared" si="2"/>
        <v>10</v>
      </c>
      <c r="I11192" s="15">
        <f t="shared" si="3"/>
        <v>7</v>
      </c>
    </row>
    <row r="11193">
      <c r="A11193" s="8" t="str">
        <f>IFERROR(__xludf.DUMMYFUNCTION("IF('(INGESTA)Datos_consumo_datadis'!A11193&lt;&gt;"""",SPLIT('(INGESTA)Datos_consumo_datadis'!A:A,"",""),"""")"),"ES0031408323131005HX0F")</f>
        <v>ES0031408323131005HX0F</v>
      </c>
      <c r="B11193" s="12">
        <f>IFERROR(__xludf.DUMMYFUNCTION("""COMPUTED_VALUE"""),45332.0)</f>
        <v>45332</v>
      </c>
      <c r="C11193" s="13">
        <f>IFERROR(__xludf.DUMMYFUNCTION("""COMPUTED_VALUE"""),0.3333333333333333)</f>
        <v>0.3333333333</v>
      </c>
      <c r="D11193" s="8">
        <f>IFERROR(__xludf.DUMMYFUNCTION("""COMPUTED_VALUE"""),0.034)</f>
        <v>0.034</v>
      </c>
      <c r="E11193" s="8" t="str">
        <f>IFERROR(__xludf.DUMMYFUNCTION("""COMPUTED_VALUE"""),"Real")</f>
        <v>Real</v>
      </c>
      <c r="G11193" s="8">
        <f t="shared" si="1"/>
        <v>2</v>
      </c>
      <c r="H11193" s="14">
        <f t="shared" si="2"/>
        <v>10</v>
      </c>
      <c r="I11193" s="15">
        <f t="shared" si="3"/>
        <v>8</v>
      </c>
    </row>
    <row r="11194">
      <c r="A11194" s="8" t="str">
        <f>IFERROR(__xludf.DUMMYFUNCTION("IF('(INGESTA)Datos_consumo_datadis'!A11194&lt;&gt;"""",SPLIT('(INGESTA)Datos_consumo_datadis'!A:A,"",""),"""")"),"ES0031408323131005HX0F")</f>
        <v>ES0031408323131005HX0F</v>
      </c>
      <c r="B11194" s="12">
        <f>IFERROR(__xludf.DUMMYFUNCTION("""COMPUTED_VALUE"""),45332.0)</f>
        <v>45332</v>
      </c>
      <c r="C11194" s="13">
        <f>IFERROR(__xludf.DUMMYFUNCTION("""COMPUTED_VALUE"""),0.375)</f>
        <v>0.375</v>
      </c>
      <c r="D11194" s="8">
        <f>IFERROR(__xludf.DUMMYFUNCTION("""COMPUTED_VALUE"""),1.232)</f>
        <v>1.232</v>
      </c>
      <c r="E11194" s="8" t="str">
        <f>IFERROR(__xludf.DUMMYFUNCTION("""COMPUTED_VALUE"""),"Real")</f>
        <v>Real</v>
      </c>
      <c r="G11194" s="8">
        <f t="shared" si="1"/>
        <v>2</v>
      </c>
      <c r="H11194" s="14">
        <f t="shared" si="2"/>
        <v>10</v>
      </c>
      <c r="I11194" s="15">
        <f t="shared" si="3"/>
        <v>9</v>
      </c>
    </row>
    <row r="11195">
      <c r="A11195" s="8" t="str">
        <f>IFERROR(__xludf.DUMMYFUNCTION("IF('(INGESTA)Datos_consumo_datadis'!A11195&lt;&gt;"""",SPLIT('(INGESTA)Datos_consumo_datadis'!A:A,"",""),"""")"),"ES0031408323131005HX0F")</f>
        <v>ES0031408323131005HX0F</v>
      </c>
      <c r="B11195" s="12">
        <f>IFERROR(__xludf.DUMMYFUNCTION("""COMPUTED_VALUE"""),45332.0)</f>
        <v>45332</v>
      </c>
      <c r="C11195" s="13">
        <f>IFERROR(__xludf.DUMMYFUNCTION("""COMPUTED_VALUE"""),0.4166666666666667)</f>
        <v>0.4166666667</v>
      </c>
      <c r="D11195" s="8">
        <f>IFERROR(__xludf.DUMMYFUNCTION("""COMPUTED_VALUE"""),0.439)</f>
        <v>0.439</v>
      </c>
      <c r="E11195" s="8" t="str">
        <f>IFERROR(__xludf.DUMMYFUNCTION("""COMPUTED_VALUE"""),"Real")</f>
        <v>Real</v>
      </c>
      <c r="G11195" s="8">
        <f t="shared" si="1"/>
        <v>2</v>
      </c>
      <c r="H11195" s="14">
        <f t="shared" si="2"/>
        <v>10</v>
      </c>
      <c r="I11195" s="15">
        <f t="shared" si="3"/>
        <v>10</v>
      </c>
    </row>
    <row r="11196">
      <c r="A11196" s="8" t="str">
        <f>IFERROR(__xludf.DUMMYFUNCTION("IF('(INGESTA)Datos_consumo_datadis'!A11196&lt;&gt;"""",SPLIT('(INGESTA)Datos_consumo_datadis'!A:A,"",""),"""")"),"ES0031408323131005HX0F")</f>
        <v>ES0031408323131005HX0F</v>
      </c>
      <c r="B11196" s="12">
        <f>IFERROR(__xludf.DUMMYFUNCTION("""COMPUTED_VALUE"""),45332.0)</f>
        <v>45332</v>
      </c>
      <c r="C11196" s="13">
        <f>IFERROR(__xludf.DUMMYFUNCTION("""COMPUTED_VALUE"""),0.4583333333333333)</f>
        <v>0.4583333333</v>
      </c>
      <c r="D11196" s="8">
        <f>IFERROR(__xludf.DUMMYFUNCTION("""COMPUTED_VALUE"""),0.595)</f>
        <v>0.595</v>
      </c>
      <c r="E11196" s="8" t="str">
        <f>IFERROR(__xludf.DUMMYFUNCTION("""COMPUTED_VALUE"""),"Real")</f>
        <v>Real</v>
      </c>
      <c r="G11196" s="8">
        <f t="shared" si="1"/>
        <v>2</v>
      </c>
      <c r="H11196" s="14">
        <f t="shared" si="2"/>
        <v>10</v>
      </c>
      <c r="I11196" s="15">
        <f t="shared" si="3"/>
        <v>11</v>
      </c>
    </row>
    <row r="11197">
      <c r="A11197" s="8" t="str">
        <f>IFERROR(__xludf.DUMMYFUNCTION("IF('(INGESTA)Datos_consumo_datadis'!A11197&lt;&gt;"""",SPLIT('(INGESTA)Datos_consumo_datadis'!A:A,"",""),"""")"),"ES0031408323131005HX0F")</f>
        <v>ES0031408323131005HX0F</v>
      </c>
      <c r="B11197" s="12">
        <f>IFERROR(__xludf.DUMMYFUNCTION("""COMPUTED_VALUE"""),45332.0)</f>
        <v>45332</v>
      </c>
      <c r="C11197" s="13">
        <f>IFERROR(__xludf.DUMMYFUNCTION("""COMPUTED_VALUE"""),0.5)</f>
        <v>0.5</v>
      </c>
      <c r="D11197" s="8">
        <f>IFERROR(__xludf.DUMMYFUNCTION("""COMPUTED_VALUE"""),0.255)</f>
        <v>0.255</v>
      </c>
      <c r="E11197" s="8" t="str">
        <f>IFERROR(__xludf.DUMMYFUNCTION("""COMPUTED_VALUE"""),"Real")</f>
        <v>Real</v>
      </c>
      <c r="G11197" s="8">
        <f t="shared" si="1"/>
        <v>2</v>
      </c>
      <c r="H11197" s="14">
        <f t="shared" si="2"/>
        <v>10</v>
      </c>
      <c r="I11197" s="15">
        <f t="shared" si="3"/>
        <v>12</v>
      </c>
    </row>
    <row r="11198">
      <c r="A11198" s="8" t="str">
        <f>IFERROR(__xludf.DUMMYFUNCTION("IF('(INGESTA)Datos_consumo_datadis'!A11198&lt;&gt;"""",SPLIT('(INGESTA)Datos_consumo_datadis'!A:A,"",""),"""")"),"ES0031408323131005HX0F")</f>
        <v>ES0031408323131005HX0F</v>
      </c>
      <c r="B11198" s="12">
        <f>IFERROR(__xludf.DUMMYFUNCTION("""COMPUTED_VALUE"""),45332.0)</f>
        <v>45332</v>
      </c>
      <c r="C11198" s="13">
        <f>IFERROR(__xludf.DUMMYFUNCTION("""COMPUTED_VALUE"""),0.5416666666666666)</f>
        <v>0.5416666667</v>
      </c>
      <c r="D11198" s="8">
        <f>IFERROR(__xludf.DUMMYFUNCTION("""COMPUTED_VALUE"""),0.442)</f>
        <v>0.442</v>
      </c>
      <c r="E11198" s="8" t="str">
        <f>IFERROR(__xludf.DUMMYFUNCTION("""COMPUTED_VALUE"""),"Real")</f>
        <v>Real</v>
      </c>
      <c r="G11198" s="8">
        <f t="shared" si="1"/>
        <v>2</v>
      </c>
      <c r="H11198" s="14">
        <f t="shared" si="2"/>
        <v>10</v>
      </c>
      <c r="I11198" s="15">
        <f t="shared" si="3"/>
        <v>13</v>
      </c>
    </row>
    <row r="11199">
      <c r="A11199" s="8" t="str">
        <f>IFERROR(__xludf.DUMMYFUNCTION("IF('(INGESTA)Datos_consumo_datadis'!A11199&lt;&gt;"""",SPLIT('(INGESTA)Datos_consumo_datadis'!A:A,"",""),"""")"),"ES0031408323131005HX0F")</f>
        <v>ES0031408323131005HX0F</v>
      </c>
      <c r="B11199" s="12">
        <f>IFERROR(__xludf.DUMMYFUNCTION("""COMPUTED_VALUE"""),45332.0)</f>
        <v>45332</v>
      </c>
      <c r="C11199" s="13">
        <f>IFERROR(__xludf.DUMMYFUNCTION("""COMPUTED_VALUE"""),0.5833333333333334)</f>
        <v>0.5833333333</v>
      </c>
      <c r="D11199" s="8">
        <f>IFERROR(__xludf.DUMMYFUNCTION("""COMPUTED_VALUE"""),0.653)</f>
        <v>0.653</v>
      </c>
      <c r="E11199" s="8" t="str">
        <f>IFERROR(__xludf.DUMMYFUNCTION("""COMPUTED_VALUE"""),"Real")</f>
        <v>Real</v>
      </c>
      <c r="G11199" s="8">
        <f t="shared" si="1"/>
        <v>2</v>
      </c>
      <c r="H11199" s="14">
        <f t="shared" si="2"/>
        <v>10</v>
      </c>
      <c r="I11199" s="15">
        <f t="shared" si="3"/>
        <v>14</v>
      </c>
    </row>
    <row r="11200">
      <c r="A11200" s="8" t="str">
        <f>IFERROR(__xludf.DUMMYFUNCTION("IF('(INGESTA)Datos_consumo_datadis'!A11200&lt;&gt;"""",SPLIT('(INGESTA)Datos_consumo_datadis'!A:A,"",""),"""")"),"ES0031408323131005HX0F")</f>
        <v>ES0031408323131005HX0F</v>
      </c>
      <c r="B11200" s="12">
        <f>IFERROR(__xludf.DUMMYFUNCTION("""COMPUTED_VALUE"""),45332.0)</f>
        <v>45332</v>
      </c>
      <c r="C11200" s="13">
        <f>IFERROR(__xludf.DUMMYFUNCTION("""COMPUTED_VALUE"""),0.625)</f>
        <v>0.625</v>
      </c>
      <c r="D11200" s="8">
        <f>IFERROR(__xludf.DUMMYFUNCTION("""COMPUTED_VALUE"""),0.159)</f>
        <v>0.159</v>
      </c>
      <c r="E11200" s="8" t="str">
        <f>IFERROR(__xludf.DUMMYFUNCTION("""COMPUTED_VALUE"""),"Real")</f>
        <v>Real</v>
      </c>
      <c r="G11200" s="8">
        <f t="shared" si="1"/>
        <v>2</v>
      </c>
      <c r="H11200" s="14">
        <f t="shared" si="2"/>
        <v>10</v>
      </c>
      <c r="I11200" s="15">
        <f t="shared" si="3"/>
        <v>15</v>
      </c>
    </row>
    <row r="11201">
      <c r="A11201" s="8" t="str">
        <f>IFERROR(__xludf.DUMMYFUNCTION("IF('(INGESTA)Datos_consumo_datadis'!A11201&lt;&gt;"""",SPLIT('(INGESTA)Datos_consumo_datadis'!A:A,"",""),"""")"),"ES0031408323131005HX0F")</f>
        <v>ES0031408323131005HX0F</v>
      </c>
      <c r="B11201" s="12">
        <f>IFERROR(__xludf.DUMMYFUNCTION("""COMPUTED_VALUE"""),45332.0)</f>
        <v>45332</v>
      </c>
      <c r="C11201" s="13">
        <f>IFERROR(__xludf.DUMMYFUNCTION("""COMPUTED_VALUE"""),0.6666666666666666)</f>
        <v>0.6666666667</v>
      </c>
      <c r="D11201" s="8">
        <f>IFERROR(__xludf.DUMMYFUNCTION("""COMPUTED_VALUE"""),0.189)</f>
        <v>0.189</v>
      </c>
      <c r="E11201" s="8" t="str">
        <f>IFERROR(__xludf.DUMMYFUNCTION("""COMPUTED_VALUE"""),"Real")</f>
        <v>Real</v>
      </c>
      <c r="G11201" s="8">
        <f t="shared" si="1"/>
        <v>2</v>
      </c>
      <c r="H11201" s="14">
        <f t="shared" si="2"/>
        <v>10</v>
      </c>
      <c r="I11201" s="15">
        <f t="shared" si="3"/>
        <v>16</v>
      </c>
    </row>
    <row r="11202">
      <c r="A11202" s="8" t="str">
        <f>IFERROR(__xludf.DUMMYFUNCTION("IF('(INGESTA)Datos_consumo_datadis'!A11202&lt;&gt;"""",SPLIT('(INGESTA)Datos_consumo_datadis'!A:A,"",""),"""")"),"ES0031408323131005HX0F")</f>
        <v>ES0031408323131005HX0F</v>
      </c>
      <c r="B11202" s="12">
        <f>IFERROR(__xludf.DUMMYFUNCTION("""COMPUTED_VALUE"""),45332.0)</f>
        <v>45332</v>
      </c>
      <c r="C11202" s="13">
        <f>IFERROR(__xludf.DUMMYFUNCTION("""COMPUTED_VALUE"""),0.7083333333333334)</f>
        <v>0.7083333333</v>
      </c>
      <c r="D11202" s="8">
        <f>IFERROR(__xludf.DUMMYFUNCTION("""COMPUTED_VALUE"""),0.454)</f>
        <v>0.454</v>
      </c>
      <c r="E11202" s="8" t="str">
        <f>IFERROR(__xludf.DUMMYFUNCTION("""COMPUTED_VALUE"""),"Real")</f>
        <v>Real</v>
      </c>
      <c r="G11202" s="8">
        <f t="shared" si="1"/>
        <v>2</v>
      </c>
      <c r="H11202" s="14">
        <f t="shared" si="2"/>
        <v>10</v>
      </c>
      <c r="I11202" s="15">
        <f t="shared" si="3"/>
        <v>17</v>
      </c>
    </row>
    <row r="11203">
      <c r="A11203" s="8" t="str">
        <f>IFERROR(__xludf.DUMMYFUNCTION("IF('(INGESTA)Datos_consumo_datadis'!A11203&lt;&gt;"""",SPLIT('(INGESTA)Datos_consumo_datadis'!A:A,"",""),"""")"),"ES0031408323131005HX0F")</f>
        <v>ES0031408323131005HX0F</v>
      </c>
      <c r="B11203" s="12">
        <f>IFERROR(__xludf.DUMMYFUNCTION("""COMPUTED_VALUE"""),45332.0)</f>
        <v>45332</v>
      </c>
      <c r="C11203" s="13">
        <f>IFERROR(__xludf.DUMMYFUNCTION("""COMPUTED_VALUE"""),0.75)</f>
        <v>0.75</v>
      </c>
      <c r="D11203" s="8">
        <f>IFERROR(__xludf.DUMMYFUNCTION("""COMPUTED_VALUE"""),0.489)</f>
        <v>0.489</v>
      </c>
      <c r="E11203" s="8" t="str">
        <f>IFERROR(__xludf.DUMMYFUNCTION("""COMPUTED_VALUE"""),"Real")</f>
        <v>Real</v>
      </c>
      <c r="G11203" s="8">
        <f t="shared" si="1"/>
        <v>2</v>
      </c>
      <c r="H11203" s="14">
        <f t="shared" si="2"/>
        <v>10</v>
      </c>
      <c r="I11203" s="15">
        <f t="shared" si="3"/>
        <v>18</v>
      </c>
    </row>
    <row r="11204">
      <c r="A11204" s="8" t="str">
        <f>IFERROR(__xludf.DUMMYFUNCTION("IF('(INGESTA)Datos_consumo_datadis'!A11204&lt;&gt;"""",SPLIT('(INGESTA)Datos_consumo_datadis'!A:A,"",""),"""")"),"ES0031408323131005HX0F")</f>
        <v>ES0031408323131005HX0F</v>
      </c>
      <c r="B11204" s="12">
        <f>IFERROR(__xludf.DUMMYFUNCTION("""COMPUTED_VALUE"""),45332.0)</f>
        <v>45332</v>
      </c>
      <c r="C11204" s="13">
        <f>IFERROR(__xludf.DUMMYFUNCTION("""COMPUTED_VALUE"""),0.7916666666666666)</f>
        <v>0.7916666667</v>
      </c>
      <c r="D11204" s="8">
        <f>IFERROR(__xludf.DUMMYFUNCTION("""COMPUTED_VALUE"""),0.034)</f>
        <v>0.034</v>
      </c>
      <c r="E11204" s="8" t="str">
        <f>IFERROR(__xludf.DUMMYFUNCTION("""COMPUTED_VALUE"""),"Real")</f>
        <v>Real</v>
      </c>
      <c r="G11204" s="8">
        <f t="shared" si="1"/>
        <v>2</v>
      </c>
      <c r="H11204" s="14">
        <f t="shared" si="2"/>
        <v>10</v>
      </c>
      <c r="I11204" s="15">
        <f t="shared" si="3"/>
        <v>19</v>
      </c>
    </row>
    <row r="11205">
      <c r="A11205" s="8" t="str">
        <f>IFERROR(__xludf.DUMMYFUNCTION("IF('(INGESTA)Datos_consumo_datadis'!A11205&lt;&gt;"""",SPLIT('(INGESTA)Datos_consumo_datadis'!A:A,"",""),"""")"),"ES0031408323131005HX0F")</f>
        <v>ES0031408323131005HX0F</v>
      </c>
      <c r="B11205" s="12">
        <f>IFERROR(__xludf.DUMMYFUNCTION("""COMPUTED_VALUE"""),45332.0)</f>
        <v>45332</v>
      </c>
      <c r="C11205" s="13">
        <f>IFERROR(__xludf.DUMMYFUNCTION("""COMPUTED_VALUE"""),0.8333333333333334)</f>
        <v>0.8333333333</v>
      </c>
      <c r="D11205" s="8">
        <f>IFERROR(__xludf.DUMMYFUNCTION("""COMPUTED_VALUE"""),0.662)</f>
        <v>0.662</v>
      </c>
      <c r="E11205" s="8" t="str">
        <f>IFERROR(__xludf.DUMMYFUNCTION("""COMPUTED_VALUE"""),"Real")</f>
        <v>Real</v>
      </c>
      <c r="G11205" s="8">
        <f t="shared" si="1"/>
        <v>2</v>
      </c>
      <c r="H11205" s="14">
        <f t="shared" si="2"/>
        <v>10</v>
      </c>
      <c r="I11205" s="15">
        <f t="shared" si="3"/>
        <v>20</v>
      </c>
    </row>
    <row r="11206">
      <c r="A11206" s="8" t="str">
        <f>IFERROR(__xludf.DUMMYFUNCTION("IF('(INGESTA)Datos_consumo_datadis'!A11206&lt;&gt;"""",SPLIT('(INGESTA)Datos_consumo_datadis'!A:A,"",""),"""")"),"ES0031408323131005HX0F")</f>
        <v>ES0031408323131005HX0F</v>
      </c>
      <c r="B11206" s="12">
        <f>IFERROR(__xludf.DUMMYFUNCTION("""COMPUTED_VALUE"""),45332.0)</f>
        <v>45332</v>
      </c>
      <c r="C11206" s="13">
        <f>IFERROR(__xludf.DUMMYFUNCTION("""COMPUTED_VALUE"""),0.875)</f>
        <v>0.875</v>
      </c>
      <c r="D11206" s="8">
        <f>IFERROR(__xludf.DUMMYFUNCTION("""COMPUTED_VALUE"""),1.918)</f>
        <v>1.918</v>
      </c>
      <c r="E11206" s="8" t="str">
        <f>IFERROR(__xludf.DUMMYFUNCTION("""COMPUTED_VALUE"""),"Real")</f>
        <v>Real</v>
      </c>
      <c r="G11206" s="8">
        <f t="shared" si="1"/>
        <v>2</v>
      </c>
      <c r="H11206" s="14">
        <f t="shared" si="2"/>
        <v>10</v>
      </c>
      <c r="I11206" s="15">
        <f t="shared" si="3"/>
        <v>21</v>
      </c>
    </row>
    <row r="11207">
      <c r="A11207" s="8" t="str">
        <f>IFERROR(__xludf.DUMMYFUNCTION("IF('(INGESTA)Datos_consumo_datadis'!A11207&lt;&gt;"""",SPLIT('(INGESTA)Datos_consumo_datadis'!A:A,"",""),"""")"),"ES0031408323131005HX0F")</f>
        <v>ES0031408323131005HX0F</v>
      </c>
      <c r="B11207" s="12">
        <f>IFERROR(__xludf.DUMMYFUNCTION("""COMPUTED_VALUE"""),45332.0)</f>
        <v>45332</v>
      </c>
      <c r="C11207" s="13">
        <f>IFERROR(__xludf.DUMMYFUNCTION("""COMPUTED_VALUE"""),0.9166666666666666)</f>
        <v>0.9166666667</v>
      </c>
      <c r="D11207" s="8">
        <f>IFERROR(__xludf.DUMMYFUNCTION("""COMPUTED_VALUE"""),1.416)</f>
        <v>1.416</v>
      </c>
      <c r="E11207" s="8" t="str">
        <f>IFERROR(__xludf.DUMMYFUNCTION("""COMPUTED_VALUE"""),"Real")</f>
        <v>Real</v>
      </c>
      <c r="G11207" s="8">
        <f t="shared" si="1"/>
        <v>2</v>
      </c>
      <c r="H11207" s="14">
        <f t="shared" si="2"/>
        <v>10</v>
      </c>
      <c r="I11207" s="15">
        <f t="shared" si="3"/>
        <v>22</v>
      </c>
    </row>
    <row r="11208">
      <c r="A11208" s="8" t="str">
        <f>IFERROR(__xludf.DUMMYFUNCTION("IF('(INGESTA)Datos_consumo_datadis'!A11208&lt;&gt;"""",SPLIT('(INGESTA)Datos_consumo_datadis'!A:A,"",""),"""")"),"ES0031408323131005HX0F")</f>
        <v>ES0031408323131005HX0F</v>
      </c>
      <c r="B11208" s="12">
        <f>IFERROR(__xludf.DUMMYFUNCTION("""COMPUTED_VALUE"""),45332.0)</f>
        <v>45332</v>
      </c>
      <c r="C11208" s="13">
        <f>IFERROR(__xludf.DUMMYFUNCTION("""COMPUTED_VALUE"""),0.9583333333333334)</f>
        <v>0.9583333333</v>
      </c>
      <c r="D11208" s="8">
        <f>IFERROR(__xludf.DUMMYFUNCTION("""COMPUTED_VALUE"""),0.868)</f>
        <v>0.868</v>
      </c>
      <c r="E11208" s="8" t="str">
        <f>IFERROR(__xludf.DUMMYFUNCTION("""COMPUTED_VALUE"""),"Real")</f>
        <v>Real</v>
      </c>
      <c r="G11208" s="8">
        <f t="shared" si="1"/>
        <v>2</v>
      </c>
      <c r="H11208" s="14">
        <f t="shared" si="2"/>
        <v>10</v>
      </c>
      <c r="I11208" s="15">
        <f t="shared" si="3"/>
        <v>23</v>
      </c>
    </row>
    <row r="11209">
      <c r="A11209" s="8" t="str">
        <f>IFERROR(__xludf.DUMMYFUNCTION("IF('(INGESTA)Datos_consumo_datadis'!A11209&lt;&gt;"""",SPLIT('(INGESTA)Datos_consumo_datadis'!A:A,"",""),"""")"),"ES0031408323131005HX0F")</f>
        <v>ES0031408323131005HX0F</v>
      </c>
      <c r="B11209" s="12">
        <f>IFERROR(__xludf.DUMMYFUNCTION("""COMPUTED_VALUE"""),45332.0)</f>
        <v>45332</v>
      </c>
      <c r="C11209" s="16">
        <f>IFERROR(__xludf.DUMMYFUNCTION("""COMPUTED_VALUE"""),1.0)</f>
        <v>1</v>
      </c>
      <c r="D11209" s="8">
        <f>IFERROR(__xludf.DUMMYFUNCTION("""COMPUTED_VALUE"""),0.083)</f>
        <v>0.083</v>
      </c>
      <c r="E11209" s="8" t="str">
        <f>IFERROR(__xludf.DUMMYFUNCTION("""COMPUTED_VALUE"""),"Real")</f>
        <v>Real</v>
      </c>
      <c r="G11209" s="8">
        <f t="shared" si="1"/>
        <v>2</v>
      </c>
      <c r="H11209" s="14">
        <f t="shared" si="2"/>
        <v>10</v>
      </c>
      <c r="I11209" s="15">
        <f t="shared" si="3"/>
        <v>0</v>
      </c>
    </row>
    <row r="11210">
      <c r="A11210" s="8" t="str">
        <f>IFERROR(__xludf.DUMMYFUNCTION("IF('(INGESTA)Datos_consumo_datadis'!A11210&lt;&gt;"""",SPLIT('(INGESTA)Datos_consumo_datadis'!A:A,"",""),"""")"),"ES0031408323131005HX0F")</f>
        <v>ES0031408323131005HX0F</v>
      </c>
      <c r="B11210" s="12">
        <f>IFERROR(__xludf.DUMMYFUNCTION("""COMPUTED_VALUE"""),45333.0)</f>
        <v>45333</v>
      </c>
      <c r="C11210" s="13">
        <f>IFERROR(__xludf.DUMMYFUNCTION("""COMPUTED_VALUE"""),0.041666666666666664)</f>
        <v>0.04166666667</v>
      </c>
      <c r="D11210" s="8">
        <f>IFERROR(__xludf.DUMMYFUNCTION("""COMPUTED_VALUE"""),0.128)</f>
        <v>0.128</v>
      </c>
      <c r="E11210" s="8" t="str">
        <f>IFERROR(__xludf.DUMMYFUNCTION("""COMPUTED_VALUE"""),"Real")</f>
        <v>Real</v>
      </c>
      <c r="G11210" s="8">
        <f t="shared" si="1"/>
        <v>2</v>
      </c>
      <c r="H11210" s="14">
        <f t="shared" si="2"/>
        <v>11</v>
      </c>
      <c r="I11210" s="15">
        <f t="shared" si="3"/>
        <v>1</v>
      </c>
    </row>
    <row r="11211">
      <c r="A11211" s="8" t="str">
        <f>IFERROR(__xludf.DUMMYFUNCTION("IF('(INGESTA)Datos_consumo_datadis'!A11211&lt;&gt;"""",SPLIT('(INGESTA)Datos_consumo_datadis'!A:A,"",""),"""")"),"ES0031408323131005HX0F")</f>
        <v>ES0031408323131005HX0F</v>
      </c>
      <c r="B11211" s="12">
        <f>IFERROR(__xludf.DUMMYFUNCTION("""COMPUTED_VALUE"""),45333.0)</f>
        <v>45333</v>
      </c>
      <c r="C11211" s="13">
        <f>IFERROR(__xludf.DUMMYFUNCTION("""COMPUTED_VALUE"""),0.08333333333333333)</f>
        <v>0.08333333333</v>
      </c>
      <c r="D11211" s="8">
        <f>IFERROR(__xludf.DUMMYFUNCTION("""COMPUTED_VALUE"""),0.035)</f>
        <v>0.035</v>
      </c>
      <c r="E11211" s="8" t="str">
        <f>IFERROR(__xludf.DUMMYFUNCTION("""COMPUTED_VALUE"""),"Real")</f>
        <v>Real</v>
      </c>
      <c r="G11211" s="8">
        <f t="shared" si="1"/>
        <v>2</v>
      </c>
      <c r="H11211" s="14">
        <f t="shared" si="2"/>
        <v>11</v>
      </c>
      <c r="I11211" s="15">
        <f t="shared" si="3"/>
        <v>2</v>
      </c>
    </row>
    <row r="11212">
      <c r="A11212" s="8" t="str">
        <f>IFERROR(__xludf.DUMMYFUNCTION("IF('(INGESTA)Datos_consumo_datadis'!A11212&lt;&gt;"""",SPLIT('(INGESTA)Datos_consumo_datadis'!A:A,"",""),"""")"),"ES0031408323131005HX0F")</f>
        <v>ES0031408323131005HX0F</v>
      </c>
      <c r="B11212" s="12">
        <f>IFERROR(__xludf.DUMMYFUNCTION("""COMPUTED_VALUE"""),45333.0)</f>
        <v>45333</v>
      </c>
      <c r="C11212" s="13">
        <f>IFERROR(__xludf.DUMMYFUNCTION("""COMPUTED_VALUE"""),0.125)</f>
        <v>0.125</v>
      </c>
      <c r="D11212" s="8">
        <f>IFERROR(__xludf.DUMMYFUNCTION("""COMPUTED_VALUE"""),0.299)</f>
        <v>0.299</v>
      </c>
      <c r="E11212" s="8" t="str">
        <f>IFERROR(__xludf.DUMMYFUNCTION("""COMPUTED_VALUE"""),"Real")</f>
        <v>Real</v>
      </c>
      <c r="G11212" s="8">
        <f t="shared" si="1"/>
        <v>2</v>
      </c>
      <c r="H11212" s="14">
        <f t="shared" si="2"/>
        <v>11</v>
      </c>
      <c r="I11212" s="15">
        <f t="shared" si="3"/>
        <v>3</v>
      </c>
    </row>
    <row r="11213">
      <c r="A11213" s="8" t="str">
        <f>IFERROR(__xludf.DUMMYFUNCTION("IF('(INGESTA)Datos_consumo_datadis'!A11213&lt;&gt;"""",SPLIT('(INGESTA)Datos_consumo_datadis'!A:A,"",""),"""")"),"ES0031408323131005HX0F")</f>
        <v>ES0031408323131005HX0F</v>
      </c>
      <c r="B11213" s="12">
        <f>IFERROR(__xludf.DUMMYFUNCTION("""COMPUTED_VALUE"""),45333.0)</f>
        <v>45333</v>
      </c>
      <c r="C11213" s="13">
        <f>IFERROR(__xludf.DUMMYFUNCTION("""COMPUTED_VALUE"""),0.16666666666666666)</f>
        <v>0.1666666667</v>
      </c>
      <c r="D11213" s="8">
        <f>IFERROR(__xludf.DUMMYFUNCTION("""COMPUTED_VALUE"""),0.11)</f>
        <v>0.11</v>
      </c>
      <c r="E11213" s="8" t="str">
        <f>IFERROR(__xludf.DUMMYFUNCTION("""COMPUTED_VALUE"""),"Real")</f>
        <v>Real</v>
      </c>
      <c r="G11213" s="8">
        <f t="shared" si="1"/>
        <v>2</v>
      </c>
      <c r="H11213" s="14">
        <f t="shared" si="2"/>
        <v>11</v>
      </c>
      <c r="I11213" s="15">
        <f t="shared" si="3"/>
        <v>4</v>
      </c>
    </row>
    <row r="11214">
      <c r="A11214" s="8" t="str">
        <f>IFERROR(__xludf.DUMMYFUNCTION("IF('(INGESTA)Datos_consumo_datadis'!A11214&lt;&gt;"""",SPLIT('(INGESTA)Datos_consumo_datadis'!A:A,"",""),"""")"),"ES0031408323131005HX0F")</f>
        <v>ES0031408323131005HX0F</v>
      </c>
      <c r="B11214" s="12">
        <f>IFERROR(__xludf.DUMMYFUNCTION("""COMPUTED_VALUE"""),45333.0)</f>
        <v>45333</v>
      </c>
      <c r="C11214" s="13">
        <f>IFERROR(__xludf.DUMMYFUNCTION("""COMPUTED_VALUE"""),0.20833333333333334)</f>
        <v>0.2083333333</v>
      </c>
      <c r="D11214" s="8">
        <f>IFERROR(__xludf.DUMMYFUNCTION("""COMPUTED_VALUE"""),0.066)</f>
        <v>0.066</v>
      </c>
      <c r="E11214" s="8" t="str">
        <f>IFERROR(__xludf.DUMMYFUNCTION("""COMPUTED_VALUE"""),"Real")</f>
        <v>Real</v>
      </c>
      <c r="G11214" s="8">
        <f t="shared" si="1"/>
        <v>2</v>
      </c>
      <c r="H11214" s="14">
        <f t="shared" si="2"/>
        <v>11</v>
      </c>
      <c r="I11214" s="15">
        <f t="shared" si="3"/>
        <v>5</v>
      </c>
    </row>
    <row r="11215">
      <c r="A11215" s="8" t="str">
        <f>IFERROR(__xludf.DUMMYFUNCTION("IF('(INGESTA)Datos_consumo_datadis'!A11215&lt;&gt;"""",SPLIT('(INGESTA)Datos_consumo_datadis'!A:A,"",""),"""")"),"ES0031408323131005HX0F")</f>
        <v>ES0031408323131005HX0F</v>
      </c>
      <c r="B11215" s="12">
        <f>IFERROR(__xludf.DUMMYFUNCTION("""COMPUTED_VALUE"""),45333.0)</f>
        <v>45333</v>
      </c>
      <c r="C11215" s="13">
        <f>IFERROR(__xludf.DUMMYFUNCTION("""COMPUTED_VALUE"""),0.25)</f>
        <v>0.25</v>
      </c>
      <c r="D11215" s="8">
        <f>IFERROR(__xludf.DUMMYFUNCTION("""COMPUTED_VALUE"""),0.052)</f>
        <v>0.052</v>
      </c>
      <c r="E11215" s="8" t="str">
        <f>IFERROR(__xludf.DUMMYFUNCTION("""COMPUTED_VALUE"""),"Real")</f>
        <v>Real</v>
      </c>
      <c r="G11215" s="8">
        <f t="shared" si="1"/>
        <v>2</v>
      </c>
      <c r="H11215" s="14">
        <f t="shared" si="2"/>
        <v>11</v>
      </c>
      <c r="I11215" s="15">
        <f t="shared" si="3"/>
        <v>6</v>
      </c>
    </row>
    <row r="11216">
      <c r="A11216" s="8" t="str">
        <f>IFERROR(__xludf.DUMMYFUNCTION("IF('(INGESTA)Datos_consumo_datadis'!A11216&lt;&gt;"""",SPLIT('(INGESTA)Datos_consumo_datadis'!A:A,"",""),"""")"),"ES0031408323131005HX0F")</f>
        <v>ES0031408323131005HX0F</v>
      </c>
      <c r="B11216" s="12">
        <f>IFERROR(__xludf.DUMMYFUNCTION("""COMPUTED_VALUE"""),45333.0)</f>
        <v>45333</v>
      </c>
      <c r="C11216" s="13">
        <f>IFERROR(__xludf.DUMMYFUNCTION("""COMPUTED_VALUE"""),0.2916666666666667)</f>
        <v>0.2916666667</v>
      </c>
      <c r="D11216" s="8">
        <f>IFERROR(__xludf.DUMMYFUNCTION("""COMPUTED_VALUE"""),0.031)</f>
        <v>0.031</v>
      </c>
      <c r="E11216" s="8" t="str">
        <f>IFERROR(__xludf.DUMMYFUNCTION("""COMPUTED_VALUE"""),"Real")</f>
        <v>Real</v>
      </c>
      <c r="G11216" s="8">
        <f t="shared" si="1"/>
        <v>2</v>
      </c>
      <c r="H11216" s="14">
        <f t="shared" si="2"/>
        <v>11</v>
      </c>
      <c r="I11216" s="15">
        <f t="shared" si="3"/>
        <v>7</v>
      </c>
    </row>
    <row r="11217">
      <c r="A11217" s="8" t="str">
        <f>IFERROR(__xludf.DUMMYFUNCTION("IF('(INGESTA)Datos_consumo_datadis'!A11217&lt;&gt;"""",SPLIT('(INGESTA)Datos_consumo_datadis'!A:A,"",""),"""")"),"ES0031408323131005HX0F")</f>
        <v>ES0031408323131005HX0F</v>
      </c>
      <c r="B11217" s="12">
        <f>IFERROR(__xludf.DUMMYFUNCTION("""COMPUTED_VALUE"""),45333.0)</f>
        <v>45333</v>
      </c>
      <c r="C11217" s="13">
        <f>IFERROR(__xludf.DUMMYFUNCTION("""COMPUTED_VALUE"""),0.3333333333333333)</f>
        <v>0.3333333333</v>
      </c>
      <c r="D11217" s="8">
        <f>IFERROR(__xludf.DUMMYFUNCTION("""COMPUTED_VALUE"""),0.088)</f>
        <v>0.088</v>
      </c>
      <c r="E11217" s="8" t="str">
        <f>IFERROR(__xludf.DUMMYFUNCTION("""COMPUTED_VALUE"""),"Real")</f>
        <v>Real</v>
      </c>
      <c r="G11217" s="8">
        <f t="shared" si="1"/>
        <v>2</v>
      </c>
      <c r="H11217" s="14">
        <f t="shared" si="2"/>
        <v>11</v>
      </c>
      <c r="I11217" s="15">
        <f t="shared" si="3"/>
        <v>8</v>
      </c>
    </row>
    <row r="11218">
      <c r="A11218" s="8" t="str">
        <f>IFERROR(__xludf.DUMMYFUNCTION("IF('(INGESTA)Datos_consumo_datadis'!A11218&lt;&gt;"""",SPLIT('(INGESTA)Datos_consumo_datadis'!A:A,"",""),"""")"),"ES0031408323131005HX0F")</f>
        <v>ES0031408323131005HX0F</v>
      </c>
      <c r="B11218" s="12">
        <f>IFERROR(__xludf.DUMMYFUNCTION("""COMPUTED_VALUE"""),45333.0)</f>
        <v>45333</v>
      </c>
      <c r="C11218" s="13">
        <f>IFERROR(__xludf.DUMMYFUNCTION("""COMPUTED_VALUE"""),0.375)</f>
        <v>0.375</v>
      </c>
      <c r="D11218" s="8">
        <f>IFERROR(__xludf.DUMMYFUNCTION("""COMPUTED_VALUE"""),0.317)</f>
        <v>0.317</v>
      </c>
      <c r="E11218" s="8" t="str">
        <f>IFERROR(__xludf.DUMMYFUNCTION("""COMPUTED_VALUE"""),"Real")</f>
        <v>Real</v>
      </c>
      <c r="G11218" s="8">
        <f t="shared" si="1"/>
        <v>2</v>
      </c>
      <c r="H11218" s="14">
        <f t="shared" si="2"/>
        <v>11</v>
      </c>
      <c r="I11218" s="15">
        <f t="shared" si="3"/>
        <v>9</v>
      </c>
    </row>
    <row r="11219">
      <c r="A11219" s="8" t="str">
        <f>IFERROR(__xludf.DUMMYFUNCTION("IF('(INGESTA)Datos_consumo_datadis'!A11219&lt;&gt;"""",SPLIT('(INGESTA)Datos_consumo_datadis'!A:A,"",""),"""")"),"ES0031408323131005HX0F")</f>
        <v>ES0031408323131005HX0F</v>
      </c>
      <c r="B11219" s="12">
        <f>IFERROR(__xludf.DUMMYFUNCTION("""COMPUTED_VALUE"""),45333.0)</f>
        <v>45333</v>
      </c>
      <c r="C11219" s="13">
        <f>IFERROR(__xludf.DUMMYFUNCTION("""COMPUTED_VALUE"""),0.4166666666666667)</f>
        <v>0.4166666667</v>
      </c>
      <c r="D11219" s="8">
        <f>IFERROR(__xludf.DUMMYFUNCTION("""COMPUTED_VALUE"""),0.365)</f>
        <v>0.365</v>
      </c>
      <c r="E11219" s="8" t="str">
        <f>IFERROR(__xludf.DUMMYFUNCTION("""COMPUTED_VALUE"""),"Real")</f>
        <v>Real</v>
      </c>
      <c r="G11219" s="8">
        <f t="shared" si="1"/>
        <v>2</v>
      </c>
      <c r="H11219" s="14">
        <f t="shared" si="2"/>
        <v>11</v>
      </c>
      <c r="I11219" s="15">
        <f t="shared" si="3"/>
        <v>10</v>
      </c>
    </row>
    <row r="11220">
      <c r="A11220" s="8" t="str">
        <f>IFERROR(__xludf.DUMMYFUNCTION("IF('(INGESTA)Datos_consumo_datadis'!A11220&lt;&gt;"""",SPLIT('(INGESTA)Datos_consumo_datadis'!A:A,"",""),"""")"),"ES0031408323131005HX0F")</f>
        <v>ES0031408323131005HX0F</v>
      </c>
      <c r="B11220" s="12">
        <f>IFERROR(__xludf.DUMMYFUNCTION("""COMPUTED_VALUE"""),45333.0)</f>
        <v>45333</v>
      </c>
      <c r="C11220" s="13">
        <f>IFERROR(__xludf.DUMMYFUNCTION("""COMPUTED_VALUE"""),0.4583333333333333)</f>
        <v>0.4583333333</v>
      </c>
      <c r="D11220" s="8">
        <f>IFERROR(__xludf.DUMMYFUNCTION("""COMPUTED_VALUE"""),1.231)</f>
        <v>1.231</v>
      </c>
      <c r="E11220" s="8" t="str">
        <f>IFERROR(__xludf.DUMMYFUNCTION("""COMPUTED_VALUE"""),"Real")</f>
        <v>Real</v>
      </c>
      <c r="G11220" s="8">
        <f t="shared" si="1"/>
        <v>2</v>
      </c>
      <c r="H11220" s="14">
        <f t="shared" si="2"/>
        <v>11</v>
      </c>
      <c r="I11220" s="15">
        <f t="shared" si="3"/>
        <v>11</v>
      </c>
    </row>
    <row r="11221">
      <c r="A11221" s="8" t="str">
        <f>IFERROR(__xludf.DUMMYFUNCTION("IF('(INGESTA)Datos_consumo_datadis'!A11221&lt;&gt;"""",SPLIT('(INGESTA)Datos_consumo_datadis'!A:A,"",""),"""")"),"ES0031408323131005HX0F")</f>
        <v>ES0031408323131005HX0F</v>
      </c>
      <c r="B11221" s="12">
        <f>IFERROR(__xludf.DUMMYFUNCTION("""COMPUTED_VALUE"""),45333.0)</f>
        <v>45333</v>
      </c>
      <c r="C11221" s="13">
        <f>IFERROR(__xludf.DUMMYFUNCTION("""COMPUTED_VALUE"""),0.5)</f>
        <v>0.5</v>
      </c>
      <c r="D11221" s="8">
        <f>IFERROR(__xludf.DUMMYFUNCTION("""COMPUTED_VALUE"""),0.474)</f>
        <v>0.474</v>
      </c>
      <c r="E11221" s="8" t="str">
        <f>IFERROR(__xludf.DUMMYFUNCTION("""COMPUTED_VALUE"""),"Real")</f>
        <v>Real</v>
      </c>
      <c r="G11221" s="8">
        <f t="shared" si="1"/>
        <v>2</v>
      </c>
      <c r="H11221" s="14">
        <f t="shared" si="2"/>
        <v>11</v>
      </c>
      <c r="I11221" s="15">
        <f t="shared" si="3"/>
        <v>12</v>
      </c>
    </row>
    <row r="11222">
      <c r="A11222" s="8" t="str">
        <f>IFERROR(__xludf.DUMMYFUNCTION("IF('(INGESTA)Datos_consumo_datadis'!A11222&lt;&gt;"""",SPLIT('(INGESTA)Datos_consumo_datadis'!A:A,"",""),"""")"),"ES0031408323131005HX0F")</f>
        <v>ES0031408323131005HX0F</v>
      </c>
      <c r="B11222" s="12">
        <f>IFERROR(__xludf.DUMMYFUNCTION("""COMPUTED_VALUE"""),45333.0)</f>
        <v>45333</v>
      </c>
      <c r="C11222" s="13">
        <f>IFERROR(__xludf.DUMMYFUNCTION("""COMPUTED_VALUE"""),0.5416666666666666)</f>
        <v>0.5416666667</v>
      </c>
      <c r="D11222" s="8">
        <f>IFERROR(__xludf.DUMMYFUNCTION("""COMPUTED_VALUE"""),0.713)</f>
        <v>0.713</v>
      </c>
      <c r="E11222" s="8" t="str">
        <f>IFERROR(__xludf.DUMMYFUNCTION("""COMPUTED_VALUE"""),"Real")</f>
        <v>Real</v>
      </c>
      <c r="G11222" s="8">
        <f t="shared" si="1"/>
        <v>2</v>
      </c>
      <c r="H11222" s="14">
        <f t="shared" si="2"/>
        <v>11</v>
      </c>
      <c r="I11222" s="15">
        <f t="shared" si="3"/>
        <v>13</v>
      </c>
    </row>
    <row r="11223">
      <c r="A11223" s="8" t="str">
        <f>IFERROR(__xludf.DUMMYFUNCTION("IF('(INGESTA)Datos_consumo_datadis'!A11223&lt;&gt;"""",SPLIT('(INGESTA)Datos_consumo_datadis'!A:A,"",""),"""")"),"ES0031408323131005HX0F")</f>
        <v>ES0031408323131005HX0F</v>
      </c>
      <c r="B11223" s="12">
        <f>IFERROR(__xludf.DUMMYFUNCTION("""COMPUTED_VALUE"""),45333.0)</f>
        <v>45333</v>
      </c>
      <c r="C11223" s="13">
        <f>IFERROR(__xludf.DUMMYFUNCTION("""COMPUTED_VALUE"""),0.5833333333333334)</f>
        <v>0.5833333333</v>
      </c>
      <c r="D11223" s="8">
        <f>IFERROR(__xludf.DUMMYFUNCTION("""COMPUTED_VALUE"""),0.281)</f>
        <v>0.281</v>
      </c>
      <c r="E11223" s="8" t="str">
        <f>IFERROR(__xludf.DUMMYFUNCTION("""COMPUTED_VALUE"""),"Real")</f>
        <v>Real</v>
      </c>
      <c r="G11223" s="8">
        <f t="shared" si="1"/>
        <v>2</v>
      </c>
      <c r="H11223" s="14">
        <f t="shared" si="2"/>
        <v>11</v>
      </c>
      <c r="I11223" s="15">
        <f t="shared" si="3"/>
        <v>14</v>
      </c>
    </row>
    <row r="11224">
      <c r="A11224" s="8" t="str">
        <f>IFERROR(__xludf.DUMMYFUNCTION("IF('(INGESTA)Datos_consumo_datadis'!A11224&lt;&gt;"""",SPLIT('(INGESTA)Datos_consumo_datadis'!A:A,"",""),"""")"),"ES0031408323131005HX0F")</f>
        <v>ES0031408323131005HX0F</v>
      </c>
      <c r="B11224" s="12">
        <f>IFERROR(__xludf.DUMMYFUNCTION("""COMPUTED_VALUE"""),45333.0)</f>
        <v>45333</v>
      </c>
      <c r="C11224" s="13">
        <f>IFERROR(__xludf.DUMMYFUNCTION("""COMPUTED_VALUE"""),0.625)</f>
        <v>0.625</v>
      </c>
      <c r="D11224" s="8">
        <f>IFERROR(__xludf.DUMMYFUNCTION("""COMPUTED_VALUE"""),1.136)</f>
        <v>1.136</v>
      </c>
      <c r="E11224" s="8" t="str">
        <f>IFERROR(__xludf.DUMMYFUNCTION("""COMPUTED_VALUE"""),"Real")</f>
        <v>Real</v>
      </c>
      <c r="G11224" s="8">
        <f t="shared" si="1"/>
        <v>2</v>
      </c>
      <c r="H11224" s="14">
        <f t="shared" si="2"/>
        <v>11</v>
      </c>
      <c r="I11224" s="15">
        <f t="shared" si="3"/>
        <v>15</v>
      </c>
    </row>
    <row r="11225">
      <c r="A11225" s="8" t="str">
        <f>IFERROR(__xludf.DUMMYFUNCTION("IF('(INGESTA)Datos_consumo_datadis'!A11225&lt;&gt;"""",SPLIT('(INGESTA)Datos_consumo_datadis'!A:A,"",""),"""")"),"ES0031408323131005HX0F")</f>
        <v>ES0031408323131005HX0F</v>
      </c>
      <c r="B11225" s="12">
        <f>IFERROR(__xludf.DUMMYFUNCTION("""COMPUTED_VALUE"""),45333.0)</f>
        <v>45333</v>
      </c>
      <c r="C11225" s="13">
        <f>IFERROR(__xludf.DUMMYFUNCTION("""COMPUTED_VALUE"""),0.6666666666666666)</f>
        <v>0.6666666667</v>
      </c>
      <c r="D11225" s="8">
        <f>IFERROR(__xludf.DUMMYFUNCTION("""COMPUTED_VALUE"""),0.192)</f>
        <v>0.192</v>
      </c>
      <c r="E11225" s="8" t="str">
        <f>IFERROR(__xludf.DUMMYFUNCTION("""COMPUTED_VALUE"""),"Real")</f>
        <v>Real</v>
      </c>
      <c r="G11225" s="8">
        <f t="shared" si="1"/>
        <v>2</v>
      </c>
      <c r="H11225" s="14">
        <f t="shared" si="2"/>
        <v>11</v>
      </c>
      <c r="I11225" s="15">
        <f t="shared" si="3"/>
        <v>16</v>
      </c>
    </row>
    <row r="11226">
      <c r="A11226" s="8" t="str">
        <f>IFERROR(__xludf.DUMMYFUNCTION("IF('(INGESTA)Datos_consumo_datadis'!A11226&lt;&gt;"""",SPLIT('(INGESTA)Datos_consumo_datadis'!A:A,"",""),"""")"),"ES0031408323131005HX0F")</f>
        <v>ES0031408323131005HX0F</v>
      </c>
      <c r="B11226" s="12">
        <f>IFERROR(__xludf.DUMMYFUNCTION("""COMPUTED_VALUE"""),45333.0)</f>
        <v>45333</v>
      </c>
      <c r="C11226" s="13">
        <f>IFERROR(__xludf.DUMMYFUNCTION("""COMPUTED_VALUE"""),0.7083333333333334)</f>
        <v>0.7083333333</v>
      </c>
      <c r="D11226" s="8">
        <f>IFERROR(__xludf.DUMMYFUNCTION("""COMPUTED_VALUE"""),0.695)</f>
        <v>0.695</v>
      </c>
      <c r="E11226" s="8" t="str">
        <f>IFERROR(__xludf.DUMMYFUNCTION("""COMPUTED_VALUE"""),"Real")</f>
        <v>Real</v>
      </c>
      <c r="G11226" s="8">
        <f t="shared" si="1"/>
        <v>2</v>
      </c>
      <c r="H11226" s="14">
        <f t="shared" si="2"/>
        <v>11</v>
      </c>
      <c r="I11226" s="15">
        <f t="shared" si="3"/>
        <v>17</v>
      </c>
    </row>
    <row r="11227">
      <c r="A11227" s="8" t="str">
        <f>IFERROR(__xludf.DUMMYFUNCTION("IF('(INGESTA)Datos_consumo_datadis'!A11227&lt;&gt;"""",SPLIT('(INGESTA)Datos_consumo_datadis'!A:A,"",""),"""")"),"ES0031408323131005HX0F")</f>
        <v>ES0031408323131005HX0F</v>
      </c>
      <c r="B11227" s="12">
        <f>IFERROR(__xludf.DUMMYFUNCTION("""COMPUTED_VALUE"""),45333.0)</f>
        <v>45333</v>
      </c>
      <c r="C11227" s="13">
        <f>IFERROR(__xludf.DUMMYFUNCTION("""COMPUTED_VALUE"""),0.75)</f>
        <v>0.75</v>
      </c>
      <c r="D11227" s="8">
        <f>IFERROR(__xludf.DUMMYFUNCTION("""COMPUTED_VALUE"""),0.117)</f>
        <v>0.117</v>
      </c>
      <c r="E11227" s="8" t="str">
        <f>IFERROR(__xludf.DUMMYFUNCTION("""COMPUTED_VALUE"""),"Real")</f>
        <v>Real</v>
      </c>
      <c r="G11227" s="8">
        <f t="shared" si="1"/>
        <v>2</v>
      </c>
      <c r="H11227" s="14">
        <f t="shared" si="2"/>
        <v>11</v>
      </c>
      <c r="I11227" s="15">
        <f t="shared" si="3"/>
        <v>18</v>
      </c>
    </row>
    <row r="11228">
      <c r="A11228" s="8" t="str">
        <f>IFERROR(__xludf.DUMMYFUNCTION("IF('(INGESTA)Datos_consumo_datadis'!A11228&lt;&gt;"""",SPLIT('(INGESTA)Datos_consumo_datadis'!A:A,"",""),"""")"),"ES0031408323131005HX0F")</f>
        <v>ES0031408323131005HX0F</v>
      </c>
      <c r="B11228" s="12">
        <f>IFERROR(__xludf.DUMMYFUNCTION("""COMPUTED_VALUE"""),45333.0)</f>
        <v>45333</v>
      </c>
      <c r="C11228" s="13">
        <f>IFERROR(__xludf.DUMMYFUNCTION("""COMPUTED_VALUE"""),0.7916666666666666)</f>
        <v>0.7916666667</v>
      </c>
      <c r="D11228" s="8">
        <f>IFERROR(__xludf.DUMMYFUNCTION("""COMPUTED_VALUE"""),0.121)</f>
        <v>0.121</v>
      </c>
      <c r="E11228" s="8" t="str">
        <f>IFERROR(__xludf.DUMMYFUNCTION("""COMPUTED_VALUE"""),"Real")</f>
        <v>Real</v>
      </c>
      <c r="G11228" s="8">
        <f t="shared" si="1"/>
        <v>2</v>
      </c>
      <c r="H11228" s="14">
        <f t="shared" si="2"/>
        <v>11</v>
      </c>
      <c r="I11228" s="15">
        <f t="shared" si="3"/>
        <v>19</v>
      </c>
    </row>
    <row r="11229">
      <c r="A11229" s="8" t="str">
        <f>IFERROR(__xludf.DUMMYFUNCTION("IF('(INGESTA)Datos_consumo_datadis'!A11229&lt;&gt;"""",SPLIT('(INGESTA)Datos_consumo_datadis'!A:A,"",""),"""")"),"ES0031408323131005HX0F")</f>
        <v>ES0031408323131005HX0F</v>
      </c>
      <c r="B11229" s="12">
        <f>IFERROR(__xludf.DUMMYFUNCTION("""COMPUTED_VALUE"""),45333.0)</f>
        <v>45333</v>
      </c>
      <c r="C11229" s="13">
        <f>IFERROR(__xludf.DUMMYFUNCTION("""COMPUTED_VALUE"""),0.8333333333333334)</f>
        <v>0.8333333333</v>
      </c>
      <c r="D11229" s="8">
        <f>IFERROR(__xludf.DUMMYFUNCTION("""COMPUTED_VALUE"""),0.65)</f>
        <v>0.65</v>
      </c>
      <c r="E11229" s="8" t="str">
        <f>IFERROR(__xludf.DUMMYFUNCTION("""COMPUTED_VALUE"""),"Real")</f>
        <v>Real</v>
      </c>
      <c r="G11229" s="8">
        <f t="shared" si="1"/>
        <v>2</v>
      </c>
      <c r="H11229" s="14">
        <f t="shared" si="2"/>
        <v>11</v>
      </c>
      <c r="I11229" s="15">
        <f t="shared" si="3"/>
        <v>20</v>
      </c>
    </row>
    <row r="11230">
      <c r="A11230" s="8" t="str">
        <f>IFERROR(__xludf.DUMMYFUNCTION("IF('(INGESTA)Datos_consumo_datadis'!A11230&lt;&gt;"""",SPLIT('(INGESTA)Datos_consumo_datadis'!A:A,"",""),"""")"),"ES0031408323131005HX0F")</f>
        <v>ES0031408323131005HX0F</v>
      </c>
      <c r="B11230" s="12">
        <f>IFERROR(__xludf.DUMMYFUNCTION("""COMPUTED_VALUE"""),45333.0)</f>
        <v>45333</v>
      </c>
      <c r="C11230" s="13">
        <f>IFERROR(__xludf.DUMMYFUNCTION("""COMPUTED_VALUE"""),0.875)</f>
        <v>0.875</v>
      </c>
      <c r="D11230" s="8">
        <f>IFERROR(__xludf.DUMMYFUNCTION("""COMPUTED_VALUE"""),2.65)</f>
        <v>2.65</v>
      </c>
      <c r="E11230" s="8" t="str">
        <f>IFERROR(__xludf.DUMMYFUNCTION("""COMPUTED_VALUE"""),"Real")</f>
        <v>Real</v>
      </c>
      <c r="G11230" s="8">
        <f t="shared" si="1"/>
        <v>2</v>
      </c>
      <c r="H11230" s="14">
        <f t="shared" si="2"/>
        <v>11</v>
      </c>
      <c r="I11230" s="15">
        <f t="shared" si="3"/>
        <v>21</v>
      </c>
    </row>
    <row r="11231">
      <c r="A11231" s="8" t="str">
        <f>IFERROR(__xludf.DUMMYFUNCTION("IF('(INGESTA)Datos_consumo_datadis'!A11231&lt;&gt;"""",SPLIT('(INGESTA)Datos_consumo_datadis'!A:A,"",""),"""")"),"ES0031408323131005HX0F")</f>
        <v>ES0031408323131005HX0F</v>
      </c>
      <c r="B11231" s="12">
        <f>IFERROR(__xludf.DUMMYFUNCTION("""COMPUTED_VALUE"""),45333.0)</f>
        <v>45333</v>
      </c>
      <c r="C11231" s="13">
        <f>IFERROR(__xludf.DUMMYFUNCTION("""COMPUTED_VALUE"""),0.9166666666666666)</f>
        <v>0.9166666667</v>
      </c>
      <c r="D11231" s="8">
        <f>IFERROR(__xludf.DUMMYFUNCTION("""COMPUTED_VALUE"""),1.595)</f>
        <v>1.595</v>
      </c>
      <c r="E11231" s="8" t="str">
        <f>IFERROR(__xludf.DUMMYFUNCTION("""COMPUTED_VALUE"""),"Real")</f>
        <v>Real</v>
      </c>
      <c r="G11231" s="8">
        <f t="shared" si="1"/>
        <v>2</v>
      </c>
      <c r="H11231" s="14">
        <f t="shared" si="2"/>
        <v>11</v>
      </c>
      <c r="I11231" s="15">
        <f t="shared" si="3"/>
        <v>22</v>
      </c>
    </row>
    <row r="11232">
      <c r="A11232" s="8" t="str">
        <f>IFERROR(__xludf.DUMMYFUNCTION("IF('(INGESTA)Datos_consumo_datadis'!A11232&lt;&gt;"""",SPLIT('(INGESTA)Datos_consumo_datadis'!A:A,"",""),"""")"),"ES0031408323131005HX0F")</f>
        <v>ES0031408323131005HX0F</v>
      </c>
      <c r="B11232" s="12">
        <f>IFERROR(__xludf.DUMMYFUNCTION("""COMPUTED_VALUE"""),45333.0)</f>
        <v>45333</v>
      </c>
      <c r="C11232" s="13">
        <f>IFERROR(__xludf.DUMMYFUNCTION("""COMPUTED_VALUE"""),0.9583333333333334)</f>
        <v>0.9583333333</v>
      </c>
      <c r="D11232" s="8">
        <f>IFERROR(__xludf.DUMMYFUNCTION("""COMPUTED_VALUE"""),1.493)</f>
        <v>1.493</v>
      </c>
      <c r="E11232" s="8" t="str">
        <f>IFERROR(__xludf.DUMMYFUNCTION("""COMPUTED_VALUE"""),"Real")</f>
        <v>Real</v>
      </c>
      <c r="G11232" s="8">
        <f t="shared" si="1"/>
        <v>2</v>
      </c>
      <c r="H11232" s="14">
        <f t="shared" si="2"/>
        <v>11</v>
      </c>
      <c r="I11232" s="15">
        <f t="shared" si="3"/>
        <v>23</v>
      </c>
    </row>
    <row r="11233">
      <c r="A11233" s="8" t="str">
        <f>IFERROR(__xludf.DUMMYFUNCTION("IF('(INGESTA)Datos_consumo_datadis'!A11233&lt;&gt;"""",SPLIT('(INGESTA)Datos_consumo_datadis'!A:A,"",""),"""")"),"ES0031408323131005HX0F")</f>
        <v>ES0031408323131005HX0F</v>
      </c>
      <c r="B11233" s="12">
        <f>IFERROR(__xludf.DUMMYFUNCTION("""COMPUTED_VALUE"""),45333.0)</f>
        <v>45333</v>
      </c>
      <c r="C11233" s="16">
        <f>IFERROR(__xludf.DUMMYFUNCTION("""COMPUTED_VALUE"""),1.0)</f>
        <v>1</v>
      </c>
      <c r="D11233" s="8">
        <f>IFERROR(__xludf.DUMMYFUNCTION("""COMPUTED_VALUE"""),0.09)</f>
        <v>0.09</v>
      </c>
      <c r="E11233" s="8" t="str">
        <f>IFERROR(__xludf.DUMMYFUNCTION("""COMPUTED_VALUE"""),"Real")</f>
        <v>Real</v>
      </c>
      <c r="G11233" s="8">
        <f t="shared" si="1"/>
        <v>2</v>
      </c>
      <c r="H11233" s="14">
        <f t="shared" si="2"/>
        <v>11</v>
      </c>
      <c r="I11233" s="15">
        <f t="shared" si="3"/>
        <v>0</v>
      </c>
    </row>
    <row r="11234">
      <c r="A11234" s="8" t="str">
        <f>IFERROR(__xludf.DUMMYFUNCTION("IF('(INGESTA)Datos_consumo_datadis'!A11234&lt;&gt;"""",SPLIT('(INGESTA)Datos_consumo_datadis'!A:A,"",""),"""")"),"ES0031408323131005HX0F")</f>
        <v>ES0031408323131005HX0F</v>
      </c>
      <c r="B11234" s="12">
        <f>IFERROR(__xludf.DUMMYFUNCTION("""COMPUTED_VALUE"""),45334.0)</f>
        <v>45334</v>
      </c>
      <c r="C11234" s="13">
        <f>IFERROR(__xludf.DUMMYFUNCTION("""COMPUTED_VALUE"""),0.041666666666666664)</f>
        <v>0.04166666667</v>
      </c>
      <c r="D11234" s="8">
        <f>IFERROR(__xludf.DUMMYFUNCTION("""COMPUTED_VALUE"""),0.071)</f>
        <v>0.071</v>
      </c>
      <c r="E11234" s="8" t="str">
        <f>IFERROR(__xludf.DUMMYFUNCTION("""COMPUTED_VALUE"""),"Real")</f>
        <v>Real</v>
      </c>
      <c r="G11234" s="8">
        <f t="shared" si="1"/>
        <v>2</v>
      </c>
      <c r="H11234" s="14">
        <f t="shared" si="2"/>
        <v>12</v>
      </c>
      <c r="I11234" s="15">
        <f t="shared" si="3"/>
        <v>1</v>
      </c>
    </row>
    <row r="11235">
      <c r="A11235" s="8" t="str">
        <f>IFERROR(__xludf.DUMMYFUNCTION("IF('(INGESTA)Datos_consumo_datadis'!A11235&lt;&gt;"""",SPLIT('(INGESTA)Datos_consumo_datadis'!A:A,"",""),"""")"),"ES0031408323131005HX0F")</f>
        <v>ES0031408323131005HX0F</v>
      </c>
      <c r="B11235" s="12">
        <f>IFERROR(__xludf.DUMMYFUNCTION("""COMPUTED_VALUE"""),45334.0)</f>
        <v>45334</v>
      </c>
      <c r="C11235" s="13">
        <f>IFERROR(__xludf.DUMMYFUNCTION("""COMPUTED_VALUE"""),0.08333333333333333)</f>
        <v>0.08333333333</v>
      </c>
      <c r="D11235" s="8">
        <f>IFERROR(__xludf.DUMMYFUNCTION("""COMPUTED_VALUE"""),0.119)</f>
        <v>0.119</v>
      </c>
      <c r="E11235" s="8" t="str">
        <f>IFERROR(__xludf.DUMMYFUNCTION("""COMPUTED_VALUE"""),"Real")</f>
        <v>Real</v>
      </c>
      <c r="G11235" s="8">
        <f t="shared" si="1"/>
        <v>2</v>
      </c>
      <c r="H11235" s="14">
        <f t="shared" si="2"/>
        <v>12</v>
      </c>
      <c r="I11235" s="15">
        <f t="shared" si="3"/>
        <v>2</v>
      </c>
    </row>
    <row r="11236">
      <c r="A11236" s="8" t="str">
        <f>IFERROR(__xludf.DUMMYFUNCTION("IF('(INGESTA)Datos_consumo_datadis'!A11236&lt;&gt;"""",SPLIT('(INGESTA)Datos_consumo_datadis'!A:A,"",""),"""")"),"ES0031408323131005HX0F")</f>
        <v>ES0031408323131005HX0F</v>
      </c>
      <c r="B11236" s="12">
        <f>IFERROR(__xludf.DUMMYFUNCTION("""COMPUTED_VALUE"""),45334.0)</f>
        <v>45334</v>
      </c>
      <c r="C11236" s="13">
        <f>IFERROR(__xludf.DUMMYFUNCTION("""COMPUTED_VALUE"""),0.125)</f>
        <v>0.125</v>
      </c>
      <c r="D11236" s="8">
        <f>IFERROR(__xludf.DUMMYFUNCTION("""COMPUTED_VALUE"""),0.055)</f>
        <v>0.055</v>
      </c>
      <c r="E11236" s="8" t="str">
        <f>IFERROR(__xludf.DUMMYFUNCTION("""COMPUTED_VALUE"""),"Real")</f>
        <v>Real</v>
      </c>
      <c r="G11236" s="8">
        <f t="shared" si="1"/>
        <v>2</v>
      </c>
      <c r="H11236" s="14">
        <f t="shared" si="2"/>
        <v>12</v>
      </c>
      <c r="I11236" s="15">
        <f t="shared" si="3"/>
        <v>3</v>
      </c>
    </row>
    <row r="11237">
      <c r="A11237" s="8" t="str">
        <f>IFERROR(__xludf.DUMMYFUNCTION("IF('(INGESTA)Datos_consumo_datadis'!A11237&lt;&gt;"""",SPLIT('(INGESTA)Datos_consumo_datadis'!A:A,"",""),"""")"),"ES0031408323131005HX0F")</f>
        <v>ES0031408323131005HX0F</v>
      </c>
      <c r="B11237" s="12">
        <f>IFERROR(__xludf.DUMMYFUNCTION("""COMPUTED_VALUE"""),45334.0)</f>
        <v>45334</v>
      </c>
      <c r="C11237" s="13">
        <f>IFERROR(__xludf.DUMMYFUNCTION("""COMPUTED_VALUE"""),0.16666666666666666)</f>
        <v>0.1666666667</v>
      </c>
      <c r="D11237" s="8">
        <f>IFERROR(__xludf.DUMMYFUNCTION("""COMPUTED_VALUE"""),0.31)</f>
        <v>0.31</v>
      </c>
      <c r="E11237" s="8" t="str">
        <f>IFERROR(__xludf.DUMMYFUNCTION("""COMPUTED_VALUE"""),"Real")</f>
        <v>Real</v>
      </c>
      <c r="G11237" s="8">
        <f t="shared" si="1"/>
        <v>2</v>
      </c>
      <c r="H11237" s="14">
        <f t="shared" si="2"/>
        <v>12</v>
      </c>
      <c r="I11237" s="15">
        <f t="shared" si="3"/>
        <v>4</v>
      </c>
    </row>
    <row r="11238">
      <c r="A11238" s="8" t="str">
        <f>IFERROR(__xludf.DUMMYFUNCTION("IF('(INGESTA)Datos_consumo_datadis'!A11238&lt;&gt;"""",SPLIT('(INGESTA)Datos_consumo_datadis'!A:A,"",""),"""")"),"ES0031408323131005HX0F")</f>
        <v>ES0031408323131005HX0F</v>
      </c>
      <c r="B11238" s="12">
        <f>IFERROR(__xludf.DUMMYFUNCTION("""COMPUTED_VALUE"""),45334.0)</f>
        <v>45334</v>
      </c>
      <c r="C11238" s="13">
        <f>IFERROR(__xludf.DUMMYFUNCTION("""COMPUTED_VALUE"""),0.20833333333333334)</f>
        <v>0.2083333333</v>
      </c>
      <c r="D11238" s="8">
        <f>IFERROR(__xludf.DUMMYFUNCTION("""COMPUTED_VALUE"""),0.087)</f>
        <v>0.087</v>
      </c>
      <c r="E11238" s="8" t="str">
        <f>IFERROR(__xludf.DUMMYFUNCTION("""COMPUTED_VALUE"""),"Real")</f>
        <v>Real</v>
      </c>
      <c r="G11238" s="8">
        <f t="shared" si="1"/>
        <v>2</v>
      </c>
      <c r="H11238" s="14">
        <f t="shared" si="2"/>
        <v>12</v>
      </c>
      <c r="I11238" s="15">
        <f t="shared" si="3"/>
        <v>5</v>
      </c>
    </row>
    <row r="11239">
      <c r="A11239" s="8" t="str">
        <f>IFERROR(__xludf.DUMMYFUNCTION("IF('(INGESTA)Datos_consumo_datadis'!A11239&lt;&gt;"""",SPLIT('(INGESTA)Datos_consumo_datadis'!A:A,"",""),"""")"),"ES0031408323131005HX0F")</f>
        <v>ES0031408323131005HX0F</v>
      </c>
      <c r="B11239" s="12">
        <f>IFERROR(__xludf.DUMMYFUNCTION("""COMPUTED_VALUE"""),45334.0)</f>
        <v>45334</v>
      </c>
      <c r="C11239" s="13">
        <f>IFERROR(__xludf.DUMMYFUNCTION("""COMPUTED_VALUE"""),0.25)</f>
        <v>0.25</v>
      </c>
      <c r="D11239" s="8">
        <f>IFERROR(__xludf.DUMMYFUNCTION("""COMPUTED_VALUE"""),0.05)</f>
        <v>0.05</v>
      </c>
      <c r="E11239" s="8" t="str">
        <f>IFERROR(__xludf.DUMMYFUNCTION("""COMPUTED_VALUE"""),"Real")</f>
        <v>Real</v>
      </c>
      <c r="G11239" s="8">
        <f t="shared" si="1"/>
        <v>2</v>
      </c>
      <c r="H11239" s="14">
        <f t="shared" si="2"/>
        <v>12</v>
      </c>
      <c r="I11239" s="15">
        <f t="shared" si="3"/>
        <v>6</v>
      </c>
    </row>
    <row r="11240">
      <c r="A11240" s="8" t="str">
        <f>IFERROR(__xludf.DUMMYFUNCTION("IF('(INGESTA)Datos_consumo_datadis'!A11240&lt;&gt;"""",SPLIT('(INGESTA)Datos_consumo_datadis'!A:A,"",""),"""")"),"ES0031408323131005HX0F")</f>
        <v>ES0031408323131005HX0F</v>
      </c>
      <c r="B11240" s="12">
        <f>IFERROR(__xludf.DUMMYFUNCTION("""COMPUTED_VALUE"""),45334.0)</f>
        <v>45334</v>
      </c>
      <c r="C11240" s="13">
        <f>IFERROR(__xludf.DUMMYFUNCTION("""COMPUTED_VALUE"""),0.2916666666666667)</f>
        <v>0.2916666667</v>
      </c>
      <c r="D11240" s="8">
        <f>IFERROR(__xludf.DUMMYFUNCTION("""COMPUTED_VALUE"""),0.028)</f>
        <v>0.028</v>
      </c>
      <c r="E11240" s="8" t="str">
        <f>IFERROR(__xludf.DUMMYFUNCTION("""COMPUTED_VALUE"""),"Real")</f>
        <v>Real</v>
      </c>
      <c r="G11240" s="8">
        <f t="shared" si="1"/>
        <v>2</v>
      </c>
      <c r="H11240" s="14">
        <f t="shared" si="2"/>
        <v>12</v>
      </c>
      <c r="I11240" s="15">
        <f t="shared" si="3"/>
        <v>7</v>
      </c>
    </row>
    <row r="11241">
      <c r="A11241" s="8" t="str">
        <f>IFERROR(__xludf.DUMMYFUNCTION("IF('(INGESTA)Datos_consumo_datadis'!A11241&lt;&gt;"""",SPLIT('(INGESTA)Datos_consumo_datadis'!A:A,"",""),"""")"),"ES0031408323131005HX0F")</f>
        <v>ES0031408323131005HX0F</v>
      </c>
      <c r="B11241" s="12">
        <f>IFERROR(__xludf.DUMMYFUNCTION("""COMPUTED_VALUE"""),45334.0)</f>
        <v>45334</v>
      </c>
      <c r="C11241" s="13">
        <f>IFERROR(__xludf.DUMMYFUNCTION("""COMPUTED_VALUE"""),0.3333333333333333)</f>
        <v>0.3333333333</v>
      </c>
      <c r="D11241" s="8">
        <f>IFERROR(__xludf.DUMMYFUNCTION("""COMPUTED_VALUE"""),0.08)</f>
        <v>0.08</v>
      </c>
      <c r="E11241" s="8" t="str">
        <f>IFERROR(__xludf.DUMMYFUNCTION("""COMPUTED_VALUE"""),"Real")</f>
        <v>Real</v>
      </c>
      <c r="G11241" s="8">
        <f t="shared" si="1"/>
        <v>2</v>
      </c>
      <c r="H11241" s="14">
        <f t="shared" si="2"/>
        <v>12</v>
      </c>
      <c r="I11241" s="15">
        <f t="shared" si="3"/>
        <v>8</v>
      </c>
    </row>
    <row r="11242">
      <c r="A11242" s="8" t="str">
        <f>IFERROR(__xludf.DUMMYFUNCTION("IF('(INGESTA)Datos_consumo_datadis'!A11242&lt;&gt;"""",SPLIT('(INGESTA)Datos_consumo_datadis'!A:A,"",""),"""")"),"ES0031408323131005HX0F")</f>
        <v>ES0031408323131005HX0F</v>
      </c>
      <c r="B11242" s="12">
        <f>IFERROR(__xludf.DUMMYFUNCTION("""COMPUTED_VALUE"""),45334.0)</f>
        <v>45334</v>
      </c>
      <c r="C11242" s="13">
        <f>IFERROR(__xludf.DUMMYFUNCTION("""COMPUTED_VALUE"""),0.375)</f>
        <v>0.375</v>
      </c>
      <c r="D11242" s="8">
        <f>IFERROR(__xludf.DUMMYFUNCTION("""COMPUTED_VALUE"""),0.125)</f>
        <v>0.125</v>
      </c>
      <c r="E11242" s="8" t="str">
        <f>IFERROR(__xludf.DUMMYFUNCTION("""COMPUTED_VALUE"""),"Real")</f>
        <v>Real</v>
      </c>
      <c r="G11242" s="8">
        <f t="shared" si="1"/>
        <v>2</v>
      </c>
      <c r="H11242" s="14">
        <f t="shared" si="2"/>
        <v>12</v>
      </c>
      <c r="I11242" s="15">
        <f t="shared" si="3"/>
        <v>9</v>
      </c>
    </row>
    <row r="11243">
      <c r="A11243" s="8" t="str">
        <f>IFERROR(__xludf.DUMMYFUNCTION("IF('(INGESTA)Datos_consumo_datadis'!A11243&lt;&gt;"""",SPLIT('(INGESTA)Datos_consumo_datadis'!A:A,"",""),"""")"),"ES0031408323131005HX0F")</f>
        <v>ES0031408323131005HX0F</v>
      </c>
      <c r="B11243" s="12">
        <f>IFERROR(__xludf.DUMMYFUNCTION("""COMPUTED_VALUE"""),45334.0)</f>
        <v>45334</v>
      </c>
      <c r="C11243" s="13">
        <f>IFERROR(__xludf.DUMMYFUNCTION("""COMPUTED_VALUE"""),0.4166666666666667)</f>
        <v>0.4166666667</v>
      </c>
      <c r="D11243" s="8">
        <f>IFERROR(__xludf.DUMMYFUNCTION("""COMPUTED_VALUE"""),1.377)</f>
        <v>1.377</v>
      </c>
      <c r="E11243" s="8" t="str">
        <f>IFERROR(__xludf.DUMMYFUNCTION("""COMPUTED_VALUE"""),"Real")</f>
        <v>Real</v>
      </c>
      <c r="G11243" s="8">
        <f t="shared" si="1"/>
        <v>2</v>
      </c>
      <c r="H11243" s="14">
        <f t="shared" si="2"/>
        <v>12</v>
      </c>
      <c r="I11243" s="15">
        <f t="shared" si="3"/>
        <v>10</v>
      </c>
    </row>
    <row r="11244">
      <c r="A11244" s="8" t="str">
        <f>IFERROR(__xludf.DUMMYFUNCTION("IF('(INGESTA)Datos_consumo_datadis'!A11244&lt;&gt;"""",SPLIT('(INGESTA)Datos_consumo_datadis'!A:A,"",""),"""")"),"ES0031408323131005HX0F")</f>
        <v>ES0031408323131005HX0F</v>
      </c>
      <c r="B11244" s="12">
        <f>IFERROR(__xludf.DUMMYFUNCTION("""COMPUTED_VALUE"""),45334.0)</f>
        <v>45334</v>
      </c>
      <c r="C11244" s="13">
        <f>IFERROR(__xludf.DUMMYFUNCTION("""COMPUTED_VALUE"""),0.4583333333333333)</f>
        <v>0.4583333333</v>
      </c>
      <c r="D11244" s="8">
        <f>IFERROR(__xludf.DUMMYFUNCTION("""COMPUTED_VALUE"""),0.534)</f>
        <v>0.534</v>
      </c>
      <c r="E11244" s="8" t="str">
        <f>IFERROR(__xludf.DUMMYFUNCTION("""COMPUTED_VALUE"""),"Real")</f>
        <v>Real</v>
      </c>
      <c r="G11244" s="8">
        <f t="shared" si="1"/>
        <v>2</v>
      </c>
      <c r="H11244" s="14">
        <f t="shared" si="2"/>
        <v>12</v>
      </c>
      <c r="I11244" s="15">
        <f t="shared" si="3"/>
        <v>11</v>
      </c>
    </row>
    <row r="11245">
      <c r="A11245" s="8" t="str">
        <f>IFERROR(__xludf.DUMMYFUNCTION("IF('(INGESTA)Datos_consumo_datadis'!A11245&lt;&gt;"""",SPLIT('(INGESTA)Datos_consumo_datadis'!A:A,"",""),"""")"),"ES0031408323131005HX0F")</f>
        <v>ES0031408323131005HX0F</v>
      </c>
      <c r="B11245" s="12">
        <f>IFERROR(__xludf.DUMMYFUNCTION("""COMPUTED_VALUE"""),45334.0)</f>
        <v>45334</v>
      </c>
      <c r="C11245" s="13">
        <f>IFERROR(__xludf.DUMMYFUNCTION("""COMPUTED_VALUE"""),0.5)</f>
        <v>0.5</v>
      </c>
      <c r="D11245" s="8">
        <f>IFERROR(__xludf.DUMMYFUNCTION("""COMPUTED_VALUE"""),0.787)</f>
        <v>0.787</v>
      </c>
      <c r="E11245" s="8" t="str">
        <f>IFERROR(__xludf.DUMMYFUNCTION("""COMPUTED_VALUE"""),"Real")</f>
        <v>Real</v>
      </c>
      <c r="G11245" s="8">
        <f t="shared" si="1"/>
        <v>2</v>
      </c>
      <c r="H11245" s="14">
        <f t="shared" si="2"/>
        <v>12</v>
      </c>
      <c r="I11245" s="15">
        <f t="shared" si="3"/>
        <v>12</v>
      </c>
    </row>
    <row r="11246">
      <c r="A11246" s="8" t="str">
        <f>IFERROR(__xludf.DUMMYFUNCTION("IF('(INGESTA)Datos_consumo_datadis'!A11246&lt;&gt;"""",SPLIT('(INGESTA)Datos_consumo_datadis'!A:A,"",""),"""")"),"ES0031408323131005HX0F")</f>
        <v>ES0031408323131005HX0F</v>
      </c>
      <c r="B11246" s="12">
        <f>IFERROR(__xludf.DUMMYFUNCTION("""COMPUTED_VALUE"""),45334.0)</f>
        <v>45334</v>
      </c>
      <c r="C11246" s="13">
        <f>IFERROR(__xludf.DUMMYFUNCTION("""COMPUTED_VALUE"""),0.5416666666666666)</f>
        <v>0.5416666667</v>
      </c>
      <c r="D11246" s="8">
        <f>IFERROR(__xludf.DUMMYFUNCTION("""COMPUTED_VALUE"""),0.437)</f>
        <v>0.437</v>
      </c>
      <c r="E11246" s="8" t="str">
        <f>IFERROR(__xludf.DUMMYFUNCTION("""COMPUTED_VALUE"""),"Real")</f>
        <v>Real</v>
      </c>
      <c r="G11246" s="8">
        <f t="shared" si="1"/>
        <v>2</v>
      </c>
      <c r="H11246" s="14">
        <f t="shared" si="2"/>
        <v>12</v>
      </c>
      <c r="I11246" s="15">
        <f t="shared" si="3"/>
        <v>13</v>
      </c>
    </row>
    <row r="11247">
      <c r="A11247" s="8" t="str">
        <f>IFERROR(__xludf.DUMMYFUNCTION("IF('(INGESTA)Datos_consumo_datadis'!A11247&lt;&gt;"""",SPLIT('(INGESTA)Datos_consumo_datadis'!A:A,"",""),"""")"),"ES0031408323131005HX0F")</f>
        <v>ES0031408323131005HX0F</v>
      </c>
      <c r="B11247" s="12">
        <f>IFERROR(__xludf.DUMMYFUNCTION("""COMPUTED_VALUE"""),45334.0)</f>
        <v>45334</v>
      </c>
      <c r="C11247" s="13">
        <f>IFERROR(__xludf.DUMMYFUNCTION("""COMPUTED_VALUE"""),0.5833333333333334)</f>
        <v>0.5833333333</v>
      </c>
      <c r="D11247" s="8">
        <f>IFERROR(__xludf.DUMMYFUNCTION("""COMPUTED_VALUE"""),0.063)</f>
        <v>0.063</v>
      </c>
      <c r="E11247" s="8" t="str">
        <f>IFERROR(__xludf.DUMMYFUNCTION("""COMPUTED_VALUE"""),"Real")</f>
        <v>Real</v>
      </c>
      <c r="G11247" s="8">
        <f t="shared" si="1"/>
        <v>2</v>
      </c>
      <c r="H11247" s="14">
        <f t="shared" si="2"/>
        <v>12</v>
      </c>
      <c r="I11247" s="15">
        <f t="shared" si="3"/>
        <v>14</v>
      </c>
    </row>
    <row r="11248">
      <c r="A11248" s="8" t="str">
        <f>IFERROR(__xludf.DUMMYFUNCTION("IF('(INGESTA)Datos_consumo_datadis'!A11248&lt;&gt;"""",SPLIT('(INGESTA)Datos_consumo_datadis'!A:A,"",""),"""")"),"ES0031408323131005HX0F")</f>
        <v>ES0031408323131005HX0F</v>
      </c>
      <c r="B11248" s="12">
        <f>IFERROR(__xludf.DUMMYFUNCTION("""COMPUTED_VALUE"""),45334.0)</f>
        <v>45334</v>
      </c>
      <c r="C11248" s="13">
        <f>IFERROR(__xludf.DUMMYFUNCTION("""COMPUTED_VALUE"""),0.625)</f>
        <v>0.625</v>
      </c>
      <c r="D11248" s="8">
        <f>IFERROR(__xludf.DUMMYFUNCTION("""COMPUTED_VALUE"""),0.03)</f>
        <v>0.03</v>
      </c>
      <c r="E11248" s="8" t="str">
        <f>IFERROR(__xludf.DUMMYFUNCTION("""COMPUTED_VALUE"""),"Real")</f>
        <v>Real</v>
      </c>
      <c r="G11248" s="8">
        <f t="shared" si="1"/>
        <v>2</v>
      </c>
      <c r="H11248" s="14">
        <f t="shared" si="2"/>
        <v>12</v>
      </c>
      <c r="I11248" s="15">
        <f t="shared" si="3"/>
        <v>15</v>
      </c>
    </row>
    <row r="11249">
      <c r="A11249" s="8" t="str">
        <f>IFERROR(__xludf.DUMMYFUNCTION("IF('(INGESTA)Datos_consumo_datadis'!A11249&lt;&gt;"""",SPLIT('(INGESTA)Datos_consumo_datadis'!A:A,"",""),"""")"),"ES0031408323131005HX0F")</f>
        <v>ES0031408323131005HX0F</v>
      </c>
      <c r="B11249" s="12">
        <f>IFERROR(__xludf.DUMMYFUNCTION("""COMPUTED_VALUE"""),45334.0)</f>
        <v>45334</v>
      </c>
      <c r="C11249" s="13">
        <f>IFERROR(__xludf.DUMMYFUNCTION("""COMPUTED_VALUE"""),0.6666666666666666)</f>
        <v>0.6666666667</v>
      </c>
      <c r="D11249" s="8">
        <f>IFERROR(__xludf.DUMMYFUNCTION("""COMPUTED_VALUE"""),0.085)</f>
        <v>0.085</v>
      </c>
      <c r="E11249" s="8" t="str">
        <f>IFERROR(__xludf.DUMMYFUNCTION("""COMPUTED_VALUE"""),"Real")</f>
        <v>Real</v>
      </c>
      <c r="G11249" s="8">
        <f t="shared" si="1"/>
        <v>2</v>
      </c>
      <c r="H11249" s="14">
        <f t="shared" si="2"/>
        <v>12</v>
      </c>
      <c r="I11249" s="15">
        <f t="shared" si="3"/>
        <v>16</v>
      </c>
    </row>
    <row r="11250">
      <c r="A11250" s="8" t="str">
        <f>IFERROR(__xludf.DUMMYFUNCTION("IF('(INGESTA)Datos_consumo_datadis'!A11250&lt;&gt;"""",SPLIT('(INGESTA)Datos_consumo_datadis'!A:A,"",""),"""")"),"ES0031408323131005HX0F")</f>
        <v>ES0031408323131005HX0F</v>
      </c>
      <c r="B11250" s="12">
        <f>IFERROR(__xludf.DUMMYFUNCTION("""COMPUTED_VALUE"""),45334.0)</f>
        <v>45334</v>
      </c>
      <c r="C11250" s="13">
        <f>IFERROR(__xludf.DUMMYFUNCTION("""COMPUTED_VALUE"""),0.7083333333333334)</f>
        <v>0.7083333333</v>
      </c>
      <c r="D11250" s="8">
        <f>IFERROR(__xludf.DUMMYFUNCTION("""COMPUTED_VALUE"""),0.054)</f>
        <v>0.054</v>
      </c>
      <c r="E11250" s="8" t="str">
        <f>IFERROR(__xludf.DUMMYFUNCTION("""COMPUTED_VALUE"""),"Real")</f>
        <v>Real</v>
      </c>
      <c r="G11250" s="8">
        <f t="shared" si="1"/>
        <v>2</v>
      </c>
      <c r="H11250" s="14">
        <f t="shared" si="2"/>
        <v>12</v>
      </c>
      <c r="I11250" s="15">
        <f t="shared" si="3"/>
        <v>17</v>
      </c>
    </row>
    <row r="11251">
      <c r="A11251" s="8" t="str">
        <f>IFERROR(__xludf.DUMMYFUNCTION("IF('(INGESTA)Datos_consumo_datadis'!A11251&lt;&gt;"""",SPLIT('(INGESTA)Datos_consumo_datadis'!A:A,"",""),"""")"),"ES0031408323131005HX0F")</f>
        <v>ES0031408323131005HX0F</v>
      </c>
      <c r="B11251" s="12">
        <f>IFERROR(__xludf.DUMMYFUNCTION("""COMPUTED_VALUE"""),45334.0)</f>
        <v>45334</v>
      </c>
      <c r="C11251" s="13">
        <f>IFERROR(__xludf.DUMMYFUNCTION("""COMPUTED_VALUE"""),0.75)</f>
        <v>0.75</v>
      </c>
      <c r="D11251" s="8">
        <f>IFERROR(__xludf.DUMMYFUNCTION("""COMPUTED_VALUE"""),0.055)</f>
        <v>0.055</v>
      </c>
      <c r="E11251" s="8" t="str">
        <f>IFERROR(__xludf.DUMMYFUNCTION("""COMPUTED_VALUE"""),"Real")</f>
        <v>Real</v>
      </c>
      <c r="G11251" s="8">
        <f t="shared" si="1"/>
        <v>2</v>
      </c>
      <c r="H11251" s="14">
        <f t="shared" si="2"/>
        <v>12</v>
      </c>
      <c r="I11251" s="15">
        <f t="shared" si="3"/>
        <v>18</v>
      </c>
    </row>
    <row r="11252">
      <c r="A11252" s="8" t="str">
        <f>IFERROR(__xludf.DUMMYFUNCTION("IF('(INGESTA)Datos_consumo_datadis'!A11252&lt;&gt;"""",SPLIT('(INGESTA)Datos_consumo_datadis'!A:A,"",""),"""")"),"ES0031408323131005HX0F")</f>
        <v>ES0031408323131005HX0F</v>
      </c>
      <c r="B11252" s="12">
        <f>IFERROR(__xludf.DUMMYFUNCTION("""COMPUTED_VALUE"""),45334.0)</f>
        <v>45334</v>
      </c>
      <c r="C11252" s="13">
        <f>IFERROR(__xludf.DUMMYFUNCTION("""COMPUTED_VALUE"""),0.7916666666666666)</f>
        <v>0.7916666667</v>
      </c>
      <c r="D11252" s="8">
        <f>IFERROR(__xludf.DUMMYFUNCTION("""COMPUTED_VALUE"""),0.359)</f>
        <v>0.359</v>
      </c>
      <c r="E11252" s="8" t="str">
        <f>IFERROR(__xludf.DUMMYFUNCTION("""COMPUTED_VALUE"""),"Real")</f>
        <v>Real</v>
      </c>
      <c r="G11252" s="8">
        <f t="shared" si="1"/>
        <v>2</v>
      </c>
      <c r="H11252" s="14">
        <f t="shared" si="2"/>
        <v>12</v>
      </c>
      <c r="I11252" s="15">
        <f t="shared" si="3"/>
        <v>19</v>
      </c>
    </row>
    <row r="11253">
      <c r="A11253" s="8" t="str">
        <f>IFERROR(__xludf.DUMMYFUNCTION("IF('(INGESTA)Datos_consumo_datadis'!A11253&lt;&gt;"""",SPLIT('(INGESTA)Datos_consumo_datadis'!A:A,"",""),"""")"),"ES0031408323131005HX0F")</f>
        <v>ES0031408323131005HX0F</v>
      </c>
      <c r="B11253" s="12">
        <f>IFERROR(__xludf.DUMMYFUNCTION("""COMPUTED_VALUE"""),45334.0)</f>
        <v>45334</v>
      </c>
      <c r="C11253" s="13">
        <f>IFERROR(__xludf.DUMMYFUNCTION("""COMPUTED_VALUE"""),0.8333333333333334)</f>
        <v>0.8333333333</v>
      </c>
      <c r="D11253" s="8">
        <f>IFERROR(__xludf.DUMMYFUNCTION("""COMPUTED_VALUE"""),0.039)</f>
        <v>0.039</v>
      </c>
      <c r="E11253" s="8" t="str">
        <f>IFERROR(__xludf.DUMMYFUNCTION("""COMPUTED_VALUE"""),"Real")</f>
        <v>Real</v>
      </c>
      <c r="G11253" s="8">
        <f t="shared" si="1"/>
        <v>2</v>
      </c>
      <c r="H11253" s="14">
        <f t="shared" si="2"/>
        <v>12</v>
      </c>
      <c r="I11253" s="15">
        <f t="shared" si="3"/>
        <v>20</v>
      </c>
    </row>
    <row r="11254">
      <c r="A11254" s="8" t="str">
        <f>IFERROR(__xludf.DUMMYFUNCTION("IF('(INGESTA)Datos_consumo_datadis'!A11254&lt;&gt;"""",SPLIT('(INGESTA)Datos_consumo_datadis'!A:A,"",""),"""")"),"ES0031408323131005HX0F")</f>
        <v>ES0031408323131005HX0F</v>
      </c>
      <c r="B11254" s="12">
        <f>IFERROR(__xludf.DUMMYFUNCTION("""COMPUTED_VALUE"""),45334.0)</f>
        <v>45334</v>
      </c>
      <c r="C11254" s="13">
        <f>IFERROR(__xludf.DUMMYFUNCTION("""COMPUTED_VALUE"""),0.875)</f>
        <v>0.875</v>
      </c>
      <c r="D11254" s="8">
        <f>IFERROR(__xludf.DUMMYFUNCTION("""COMPUTED_VALUE"""),0.077)</f>
        <v>0.077</v>
      </c>
      <c r="E11254" s="8" t="str">
        <f>IFERROR(__xludf.DUMMYFUNCTION("""COMPUTED_VALUE"""),"Real")</f>
        <v>Real</v>
      </c>
      <c r="G11254" s="8">
        <f t="shared" si="1"/>
        <v>2</v>
      </c>
      <c r="H11254" s="14">
        <f t="shared" si="2"/>
        <v>12</v>
      </c>
      <c r="I11254" s="15">
        <f t="shared" si="3"/>
        <v>21</v>
      </c>
    </row>
    <row r="11255">
      <c r="A11255" s="8" t="str">
        <f>IFERROR(__xludf.DUMMYFUNCTION("IF('(INGESTA)Datos_consumo_datadis'!A11255&lt;&gt;"""",SPLIT('(INGESTA)Datos_consumo_datadis'!A:A,"",""),"""")"),"ES0031408323131005HX0F")</f>
        <v>ES0031408323131005HX0F</v>
      </c>
      <c r="B11255" s="12">
        <f>IFERROR(__xludf.DUMMYFUNCTION("""COMPUTED_VALUE"""),45334.0)</f>
        <v>45334</v>
      </c>
      <c r="C11255" s="13">
        <f>IFERROR(__xludf.DUMMYFUNCTION("""COMPUTED_VALUE"""),0.9166666666666666)</f>
        <v>0.9166666667</v>
      </c>
      <c r="D11255" s="8">
        <f>IFERROR(__xludf.DUMMYFUNCTION("""COMPUTED_VALUE"""),0.067)</f>
        <v>0.067</v>
      </c>
      <c r="E11255" s="8" t="str">
        <f>IFERROR(__xludf.DUMMYFUNCTION("""COMPUTED_VALUE"""),"Real")</f>
        <v>Real</v>
      </c>
      <c r="G11255" s="8">
        <f t="shared" si="1"/>
        <v>2</v>
      </c>
      <c r="H11255" s="14">
        <f t="shared" si="2"/>
        <v>12</v>
      </c>
      <c r="I11255" s="15">
        <f t="shared" si="3"/>
        <v>22</v>
      </c>
    </row>
    <row r="11256">
      <c r="A11256" s="8" t="str">
        <f>IFERROR(__xludf.DUMMYFUNCTION("IF('(INGESTA)Datos_consumo_datadis'!A11256&lt;&gt;"""",SPLIT('(INGESTA)Datos_consumo_datadis'!A:A,"",""),"""")"),"ES0031408323131005HX0F")</f>
        <v>ES0031408323131005HX0F</v>
      </c>
      <c r="B11256" s="12">
        <f>IFERROR(__xludf.DUMMYFUNCTION("""COMPUTED_VALUE"""),45334.0)</f>
        <v>45334</v>
      </c>
      <c r="C11256" s="13">
        <f>IFERROR(__xludf.DUMMYFUNCTION("""COMPUTED_VALUE"""),0.9583333333333334)</f>
        <v>0.9583333333</v>
      </c>
      <c r="D11256" s="8">
        <f>IFERROR(__xludf.DUMMYFUNCTION("""COMPUTED_VALUE"""),0.236)</f>
        <v>0.236</v>
      </c>
      <c r="E11256" s="8" t="str">
        <f>IFERROR(__xludf.DUMMYFUNCTION("""COMPUTED_VALUE"""),"Real")</f>
        <v>Real</v>
      </c>
      <c r="G11256" s="8">
        <f t="shared" si="1"/>
        <v>2</v>
      </c>
      <c r="H11256" s="14">
        <f t="shared" si="2"/>
        <v>12</v>
      </c>
      <c r="I11256" s="15">
        <f t="shared" si="3"/>
        <v>23</v>
      </c>
    </row>
    <row r="11257">
      <c r="A11257" s="8" t="str">
        <f>IFERROR(__xludf.DUMMYFUNCTION("IF('(INGESTA)Datos_consumo_datadis'!A11257&lt;&gt;"""",SPLIT('(INGESTA)Datos_consumo_datadis'!A:A,"",""),"""")"),"ES0031408323131005HX0F")</f>
        <v>ES0031408323131005HX0F</v>
      </c>
      <c r="B11257" s="12">
        <f>IFERROR(__xludf.DUMMYFUNCTION("""COMPUTED_VALUE"""),45334.0)</f>
        <v>45334</v>
      </c>
      <c r="C11257" s="16">
        <f>IFERROR(__xludf.DUMMYFUNCTION("""COMPUTED_VALUE"""),1.0)</f>
        <v>1</v>
      </c>
      <c r="D11257" s="8">
        <f>IFERROR(__xludf.DUMMYFUNCTION("""COMPUTED_VALUE"""),1.468)</f>
        <v>1.468</v>
      </c>
      <c r="E11257" s="8" t="str">
        <f>IFERROR(__xludf.DUMMYFUNCTION("""COMPUTED_VALUE"""),"Real")</f>
        <v>Real</v>
      </c>
      <c r="G11257" s="8">
        <f t="shared" si="1"/>
        <v>2</v>
      </c>
      <c r="H11257" s="14">
        <f t="shared" si="2"/>
        <v>12</v>
      </c>
      <c r="I11257" s="15">
        <f t="shared" si="3"/>
        <v>0</v>
      </c>
    </row>
    <row r="11258">
      <c r="A11258" s="8" t="str">
        <f>IFERROR(__xludf.DUMMYFUNCTION("IF('(INGESTA)Datos_consumo_datadis'!A11258&lt;&gt;"""",SPLIT('(INGESTA)Datos_consumo_datadis'!A:A,"",""),"""")"),"ES0031408323131005HX0F")</f>
        <v>ES0031408323131005HX0F</v>
      </c>
      <c r="B11258" s="12">
        <f>IFERROR(__xludf.DUMMYFUNCTION("""COMPUTED_VALUE"""),45335.0)</f>
        <v>45335</v>
      </c>
      <c r="C11258" s="13">
        <f>IFERROR(__xludf.DUMMYFUNCTION("""COMPUTED_VALUE"""),0.041666666666666664)</f>
        <v>0.04166666667</v>
      </c>
      <c r="D11258" s="8">
        <f>IFERROR(__xludf.DUMMYFUNCTION("""COMPUTED_VALUE"""),1.563)</f>
        <v>1.563</v>
      </c>
      <c r="E11258" s="8" t="str">
        <f>IFERROR(__xludf.DUMMYFUNCTION("""COMPUTED_VALUE"""),"Real")</f>
        <v>Real</v>
      </c>
      <c r="G11258" s="8">
        <f t="shared" si="1"/>
        <v>2</v>
      </c>
      <c r="H11258" s="14">
        <f t="shared" si="2"/>
        <v>13</v>
      </c>
      <c r="I11258" s="15">
        <f t="shared" si="3"/>
        <v>1</v>
      </c>
    </row>
    <row r="11259">
      <c r="A11259" s="8" t="str">
        <f>IFERROR(__xludf.DUMMYFUNCTION("IF('(INGESTA)Datos_consumo_datadis'!A11259&lt;&gt;"""",SPLIT('(INGESTA)Datos_consumo_datadis'!A:A,"",""),"""")"),"ES0031408323131005HX0F")</f>
        <v>ES0031408323131005HX0F</v>
      </c>
      <c r="B11259" s="12">
        <f>IFERROR(__xludf.DUMMYFUNCTION("""COMPUTED_VALUE"""),45335.0)</f>
        <v>45335</v>
      </c>
      <c r="C11259" s="13">
        <f>IFERROR(__xludf.DUMMYFUNCTION("""COMPUTED_VALUE"""),0.08333333333333333)</f>
        <v>0.08333333333</v>
      </c>
      <c r="D11259" s="8">
        <f>IFERROR(__xludf.DUMMYFUNCTION("""COMPUTED_VALUE"""),0.061)</f>
        <v>0.061</v>
      </c>
      <c r="E11259" s="8" t="str">
        <f>IFERROR(__xludf.DUMMYFUNCTION("""COMPUTED_VALUE"""),"Real")</f>
        <v>Real</v>
      </c>
      <c r="G11259" s="8">
        <f t="shared" si="1"/>
        <v>2</v>
      </c>
      <c r="H11259" s="14">
        <f t="shared" si="2"/>
        <v>13</v>
      </c>
      <c r="I11259" s="15">
        <f t="shared" si="3"/>
        <v>2</v>
      </c>
    </row>
    <row r="11260">
      <c r="A11260" s="8" t="str">
        <f>IFERROR(__xludf.DUMMYFUNCTION("IF('(INGESTA)Datos_consumo_datadis'!A11260&lt;&gt;"""",SPLIT('(INGESTA)Datos_consumo_datadis'!A:A,"",""),"""")"),"ES0031408323131005HX0F")</f>
        <v>ES0031408323131005HX0F</v>
      </c>
      <c r="B11260" s="12">
        <f>IFERROR(__xludf.DUMMYFUNCTION("""COMPUTED_VALUE"""),45335.0)</f>
        <v>45335</v>
      </c>
      <c r="C11260" s="13">
        <f>IFERROR(__xludf.DUMMYFUNCTION("""COMPUTED_VALUE"""),0.125)</f>
        <v>0.125</v>
      </c>
      <c r="D11260" s="8">
        <f>IFERROR(__xludf.DUMMYFUNCTION("""COMPUTED_VALUE"""),0.075)</f>
        <v>0.075</v>
      </c>
      <c r="E11260" s="8" t="str">
        <f>IFERROR(__xludf.DUMMYFUNCTION("""COMPUTED_VALUE"""),"Real")</f>
        <v>Real</v>
      </c>
      <c r="G11260" s="8">
        <f t="shared" si="1"/>
        <v>2</v>
      </c>
      <c r="H11260" s="14">
        <f t="shared" si="2"/>
        <v>13</v>
      </c>
      <c r="I11260" s="15">
        <f t="shared" si="3"/>
        <v>3</v>
      </c>
    </row>
    <row r="11261">
      <c r="A11261" s="8" t="str">
        <f>IFERROR(__xludf.DUMMYFUNCTION("IF('(INGESTA)Datos_consumo_datadis'!A11261&lt;&gt;"""",SPLIT('(INGESTA)Datos_consumo_datadis'!A:A,"",""),"""")"),"ES0031408323131005HX0F")</f>
        <v>ES0031408323131005HX0F</v>
      </c>
      <c r="B11261" s="12">
        <f>IFERROR(__xludf.DUMMYFUNCTION("""COMPUTED_VALUE"""),45335.0)</f>
        <v>45335</v>
      </c>
      <c r="C11261" s="13">
        <f>IFERROR(__xludf.DUMMYFUNCTION("""COMPUTED_VALUE"""),0.16666666666666666)</f>
        <v>0.1666666667</v>
      </c>
      <c r="D11261" s="8">
        <f>IFERROR(__xludf.DUMMYFUNCTION("""COMPUTED_VALUE"""),0.042)</f>
        <v>0.042</v>
      </c>
      <c r="E11261" s="8" t="str">
        <f>IFERROR(__xludf.DUMMYFUNCTION("""COMPUTED_VALUE"""),"Real")</f>
        <v>Real</v>
      </c>
      <c r="G11261" s="8">
        <f t="shared" si="1"/>
        <v>2</v>
      </c>
      <c r="H11261" s="14">
        <f t="shared" si="2"/>
        <v>13</v>
      </c>
      <c r="I11261" s="15">
        <f t="shared" si="3"/>
        <v>4</v>
      </c>
    </row>
    <row r="11262">
      <c r="A11262" s="8" t="str">
        <f>IFERROR(__xludf.DUMMYFUNCTION("IF('(INGESTA)Datos_consumo_datadis'!A11262&lt;&gt;"""",SPLIT('(INGESTA)Datos_consumo_datadis'!A:A,"",""),"""")"),"ES0031408323131005HX0F")</f>
        <v>ES0031408323131005HX0F</v>
      </c>
      <c r="B11262" s="12">
        <f>IFERROR(__xludf.DUMMYFUNCTION("""COMPUTED_VALUE"""),45335.0)</f>
        <v>45335</v>
      </c>
      <c r="C11262" s="13">
        <f>IFERROR(__xludf.DUMMYFUNCTION("""COMPUTED_VALUE"""),0.20833333333333334)</f>
        <v>0.2083333333</v>
      </c>
      <c r="D11262" s="8">
        <f>IFERROR(__xludf.DUMMYFUNCTION("""COMPUTED_VALUE"""),0.088)</f>
        <v>0.088</v>
      </c>
      <c r="E11262" s="8" t="str">
        <f>IFERROR(__xludf.DUMMYFUNCTION("""COMPUTED_VALUE"""),"Real")</f>
        <v>Real</v>
      </c>
      <c r="G11262" s="8">
        <f t="shared" si="1"/>
        <v>2</v>
      </c>
      <c r="H11262" s="14">
        <f t="shared" si="2"/>
        <v>13</v>
      </c>
      <c r="I11262" s="15">
        <f t="shared" si="3"/>
        <v>5</v>
      </c>
    </row>
    <row r="11263">
      <c r="A11263" s="8" t="str">
        <f>IFERROR(__xludf.DUMMYFUNCTION("IF('(INGESTA)Datos_consumo_datadis'!A11263&lt;&gt;"""",SPLIT('(INGESTA)Datos_consumo_datadis'!A:A,"",""),"""")"),"ES0031408323131005HX0F")</f>
        <v>ES0031408323131005HX0F</v>
      </c>
      <c r="B11263" s="12">
        <f>IFERROR(__xludf.DUMMYFUNCTION("""COMPUTED_VALUE"""),45335.0)</f>
        <v>45335</v>
      </c>
      <c r="C11263" s="13">
        <f>IFERROR(__xludf.DUMMYFUNCTION("""COMPUTED_VALUE"""),0.25)</f>
        <v>0.25</v>
      </c>
      <c r="D11263" s="8">
        <f>IFERROR(__xludf.DUMMYFUNCTION("""COMPUTED_VALUE"""),0.62)</f>
        <v>0.62</v>
      </c>
      <c r="E11263" s="8" t="str">
        <f>IFERROR(__xludf.DUMMYFUNCTION("""COMPUTED_VALUE"""),"Real")</f>
        <v>Real</v>
      </c>
      <c r="G11263" s="8">
        <f t="shared" si="1"/>
        <v>2</v>
      </c>
      <c r="H11263" s="14">
        <f t="shared" si="2"/>
        <v>13</v>
      </c>
      <c r="I11263" s="15">
        <f t="shared" si="3"/>
        <v>6</v>
      </c>
    </row>
    <row r="11264">
      <c r="A11264" s="8" t="str">
        <f>IFERROR(__xludf.DUMMYFUNCTION("IF('(INGESTA)Datos_consumo_datadis'!A11264&lt;&gt;"""",SPLIT('(INGESTA)Datos_consumo_datadis'!A:A,"",""),"""")"),"ES0031408323131005HX0F")</f>
        <v>ES0031408323131005HX0F</v>
      </c>
      <c r="B11264" s="12">
        <f>IFERROR(__xludf.DUMMYFUNCTION("""COMPUTED_VALUE"""),45335.0)</f>
        <v>45335</v>
      </c>
      <c r="C11264" s="13">
        <f>IFERROR(__xludf.DUMMYFUNCTION("""COMPUTED_VALUE"""),0.2916666666666667)</f>
        <v>0.2916666667</v>
      </c>
      <c r="D11264" s="8">
        <f>IFERROR(__xludf.DUMMYFUNCTION("""COMPUTED_VALUE"""),0.051)</f>
        <v>0.051</v>
      </c>
      <c r="E11264" s="8" t="str">
        <f>IFERROR(__xludf.DUMMYFUNCTION("""COMPUTED_VALUE"""),"Real")</f>
        <v>Real</v>
      </c>
      <c r="G11264" s="8">
        <f t="shared" si="1"/>
        <v>2</v>
      </c>
      <c r="H11264" s="14">
        <f t="shared" si="2"/>
        <v>13</v>
      </c>
      <c r="I11264" s="15">
        <f t="shared" si="3"/>
        <v>7</v>
      </c>
    </row>
    <row r="11265">
      <c r="A11265" s="8" t="str">
        <f>IFERROR(__xludf.DUMMYFUNCTION("IF('(INGESTA)Datos_consumo_datadis'!A11265&lt;&gt;"""",SPLIT('(INGESTA)Datos_consumo_datadis'!A:A,"",""),"""")"),"ES0031408323131005HX0F")</f>
        <v>ES0031408323131005HX0F</v>
      </c>
      <c r="B11265" s="12">
        <f>IFERROR(__xludf.DUMMYFUNCTION("""COMPUTED_VALUE"""),45335.0)</f>
        <v>45335</v>
      </c>
      <c r="C11265" s="13">
        <f>IFERROR(__xludf.DUMMYFUNCTION("""COMPUTED_VALUE"""),0.3333333333333333)</f>
        <v>0.3333333333</v>
      </c>
      <c r="D11265" s="8">
        <f>IFERROR(__xludf.DUMMYFUNCTION("""COMPUTED_VALUE"""),0.023)</f>
        <v>0.023</v>
      </c>
      <c r="E11265" s="8" t="str">
        <f>IFERROR(__xludf.DUMMYFUNCTION("""COMPUTED_VALUE"""),"Real")</f>
        <v>Real</v>
      </c>
      <c r="G11265" s="8">
        <f t="shared" si="1"/>
        <v>2</v>
      </c>
      <c r="H11265" s="14">
        <f t="shared" si="2"/>
        <v>13</v>
      </c>
      <c r="I11265" s="15">
        <f t="shared" si="3"/>
        <v>8</v>
      </c>
    </row>
    <row r="11266">
      <c r="A11266" s="8" t="str">
        <f>IFERROR(__xludf.DUMMYFUNCTION("IF('(INGESTA)Datos_consumo_datadis'!A11266&lt;&gt;"""",SPLIT('(INGESTA)Datos_consumo_datadis'!A:A,"",""),"""")"),"ES0031408323131005HX0F")</f>
        <v>ES0031408323131005HX0F</v>
      </c>
      <c r="B11266" s="12">
        <f>IFERROR(__xludf.DUMMYFUNCTION("""COMPUTED_VALUE"""),45335.0)</f>
        <v>45335</v>
      </c>
      <c r="C11266" s="13">
        <f>IFERROR(__xludf.DUMMYFUNCTION("""COMPUTED_VALUE"""),0.375)</f>
        <v>0.375</v>
      </c>
      <c r="D11266" s="8">
        <f>IFERROR(__xludf.DUMMYFUNCTION("""COMPUTED_VALUE"""),0.085)</f>
        <v>0.085</v>
      </c>
      <c r="E11266" s="8" t="str">
        <f>IFERROR(__xludf.DUMMYFUNCTION("""COMPUTED_VALUE"""),"Real")</f>
        <v>Real</v>
      </c>
      <c r="G11266" s="8">
        <f t="shared" si="1"/>
        <v>2</v>
      </c>
      <c r="H11266" s="14">
        <f t="shared" si="2"/>
        <v>13</v>
      </c>
      <c r="I11266" s="15">
        <f t="shared" si="3"/>
        <v>9</v>
      </c>
    </row>
    <row r="11267">
      <c r="A11267" s="8" t="str">
        <f>IFERROR(__xludf.DUMMYFUNCTION("IF('(INGESTA)Datos_consumo_datadis'!A11267&lt;&gt;"""",SPLIT('(INGESTA)Datos_consumo_datadis'!A:A,"",""),"""")"),"ES0031408323131005HX0F")</f>
        <v>ES0031408323131005HX0F</v>
      </c>
      <c r="B11267" s="12">
        <f>IFERROR(__xludf.DUMMYFUNCTION("""COMPUTED_VALUE"""),45335.0)</f>
        <v>45335</v>
      </c>
      <c r="C11267" s="13">
        <f>IFERROR(__xludf.DUMMYFUNCTION("""COMPUTED_VALUE"""),0.4166666666666667)</f>
        <v>0.4166666667</v>
      </c>
      <c r="D11267" s="8">
        <f>IFERROR(__xludf.DUMMYFUNCTION("""COMPUTED_VALUE"""),0.049)</f>
        <v>0.049</v>
      </c>
      <c r="E11267" s="8" t="str">
        <f>IFERROR(__xludf.DUMMYFUNCTION("""COMPUTED_VALUE"""),"Real")</f>
        <v>Real</v>
      </c>
      <c r="G11267" s="8">
        <f t="shared" si="1"/>
        <v>2</v>
      </c>
      <c r="H11267" s="14">
        <f t="shared" si="2"/>
        <v>13</v>
      </c>
      <c r="I11267" s="15">
        <f t="shared" si="3"/>
        <v>10</v>
      </c>
    </row>
    <row r="11268">
      <c r="A11268" s="8" t="str">
        <f>IFERROR(__xludf.DUMMYFUNCTION("IF('(INGESTA)Datos_consumo_datadis'!A11268&lt;&gt;"""",SPLIT('(INGESTA)Datos_consumo_datadis'!A:A,"",""),"""")"),"ES0031408323131005HX0F")</f>
        <v>ES0031408323131005HX0F</v>
      </c>
      <c r="B11268" s="12">
        <f>IFERROR(__xludf.DUMMYFUNCTION("""COMPUTED_VALUE"""),45335.0)</f>
        <v>45335</v>
      </c>
      <c r="C11268" s="13">
        <f>IFERROR(__xludf.DUMMYFUNCTION("""COMPUTED_VALUE"""),0.4583333333333333)</f>
        <v>0.4583333333</v>
      </c>
      <c r="D11268" s="8">
        <f>IFERROR(__xludf.DUMMYFUNCTION("""COMPUTED_VALUE"""),0.32)</f>
        <v>0.32</v>
      </c>
      <c r="E11268" s="8" t="str">
        <f>IFERROR(__xludf.DUMMYFUNCTION("""COMPUTED_VALUE"""),"Real")</f>
        <v>Real</v>
      </c>
      <c r="G11268" s="8">
        <f t="shared" si="1"/>
        <v>2</v>
      </c>
      <c r="H11268" s="14">
        <f t="shared" si="2"/>
        <v>13</v>
      </c>
      <c r="I11268" s="15">
        <f t="shared" si="3"/>
        <v>11</v>
      </c>
    </row>
    <row r="11269">
      <c r="A11269" s="8" t="str">
        <f>IFERROR(__xludf.DUMMYFUNCTION("IF('(INGESTA)Datos_consumo_datadis'!A11269&lt;&gt;"""",SPLIT('(INGESTA)Datos_consumo_datadis'!A:A,"",""),"""")"),"ES0031408323131005HX0F")</f>
        <v>ES0031408323131005HX0F</v>
      </c>
      <c r="B11269" s="12">
        <f>IFERROR(__xludf.DUMMYFUNCTION("""COMPUTED_VALUE"""),45335.0)</f>
        <v>45335</v>
      </c>
      <c r="C11269" s="13">
        <f>IFERROR(__xludf.DUMMYFUNCTION("""COMPUTED_VALUE"""),0.5)</f>
        <v>0.5</v>
      </c>
      <c r="D11269" s="8">
        <f>IFERROR(__xludf.DUMMYFUNCTION("""COMPUTED_VALUE"""),0.071)</f>
        <v>0.071</v>
      </c>
      <c r="E11269" s="8" t="str">
        <f>IFERROR(__xludf.DUMMYFUNCTION("""COMPUTED_VALUE"""),"Real")</f>
        <v>Real</v>
      </c>
      <c r="G11269" s="8">
        <f t="shared" si="1"/>
        <v>2</v>
      </c>
      <c r="H11269" s="14">
        <f t="shared" si="2"/>
        <v>13</v>
      </c>
      <c r="I11269" s="15">
        <f t="shared" si="3"/>
        <v>12</v>
      </c>
    </row>
    <row r="11270">
      <c r="A11270" s="8" t="str">
        <f>IFERROR(__xludf.DUMMYFUNCTION("IF('(INGESTA)Datos_consumo_datadis'!A11270&lt;&gt;"""",SPLIT('(INGESTA)Datos_consumo_datadis'!A:A,"",""),"""")"),"ES0031408323131005HX0F")</f>
        <v>ES0031408323131005HX0F</v>
      </c>
      <c r="B11270" s="12">
        <f>IFERROR(__xludf.DUMMYFUNCTION("""COMPUTED_VALUE"""),45335.0)</f>
        <v>45335</v>
      </c>
      <c r="C11270" s="13">
        <f>IFERROR(__xludf.DUMMYFUNCTION("""COMPUTED_VALUE"""),0.5416666666666666)</f>
        <v>0.5416666667</v>
      </c>
      <c r="D11270" s="8">
        <f>IFERROR(__xludf.DUMMYFUNCTION("""COMPUTED_VALUE"""),0.046)</f>
        <v>0.046</v>
      </c>
      <c r="E11270" s="8" t="str">
        <f>IFERROR(__xludf.DUMMYFUNCTION("""COMPUTED_VALUE"""),"Real")</f>
        <v>Real</v>
      </c>
      <c r="G11270" s="8">
        <f t="shared" si="1"/>
        <v>2</v>
      </c>
      <c r="H11270" s="14">
        <f t="shared" si="2"/>
        <v>13</v>
      </c>
      <c r="I11270" s="15">
        <f t="shared" si="3"/>
        <v>13</v>
      </c>
    </row>
    <row r="11271">
      <c r="A11271" s="8" t="str">
        <f>IFERROR(__xludf.DUMMYFUNCTION("IF('(INGESTA)Datos_consumo_datadis'!A11271&lt;&gt;"""",SPLIT('(INGESTA)Datos_consumo_datadis'!A:A,"",""),"""")"),"ES0031408323131005HX0F")</f>
        <v>ES0031408323131005HX0F</v>
      </c>
      <c r="B11271" s="12">
        <f>IFERROR(__xludf.DUMMYFUNCTION("""COMPUTED_VALUE"""),45335.0)</f>
        <v>45335</v>
      </c>
      <c r="C11271" s="13">
        <f>IFERROR(__xludf.DUMMYFUNCTION("""COMPUTED_VALUE"""),0.5833333333333334)</f>
        <v>0.5833333333</v>
      </c>
      <c r="D11271" s="8">
        <f>IFERROR(__xludf.DUMMYFUNCTION("""COMPUTED_VALUE"""),0.054)</f>
        <v>0.054</v>
      </c>
      <c r="E11271" s="8" t="str">
        <f>IFERROR(__xludf.DUMMYFUNCTION("""COMPUTED_VALUE"""),"Real")</f>
        <v>Real</v>
      </c>
      <c r="G11271" s="8">
        <f t="shared" si="1"/>
        <v>2</v>
      </c>
      <c r="H11271" s="14">
        <f t="shared" si="2"/>
        <v>13</v>
      </c>
      <c r="I11271" s="15">
        <f t="shared" si="3"/>
        <v>14</v>
      </c>
    </row>
    <row r="11272">
      <c r="A11272" s="8" t="str">
        <f>IFERROR(__xludf.DUMMYFUNCTION("IF('(INGESTA)Datos_consumo_datadis'!A11272&lt;&gt;"""",SPLIT('(INGESTA)Datos_consumo_datadis'!A:A,"",""),"""")"),"ES0031408323131005HX0F")</f>
        <v>ES0031408323131005HX0F</v>
      </c>
      <c r="B11272" s="12">
        <f>IFERROR(__xludf.DUMMYFUNCTION("""COMPUTED_VALUE"""),45335.0)</f>
        <v>45335</v>
      </c>
      <c r="C11272" s="13">
        <f>IFERROR(__xludf.DUMMYFUNCTION("""COMPUTED_VALUE"""),0.625)</f>
        <v>0.625</v>
      </c>
      <c r="D11272" s="8">
        <f>IFERROR(__xludf.DUMMYFUNCTION("""COMPUTED_VALUE"""),0.505)</f>
        <v>0.505</v>
      </c>
      <c r="E11272" s="8" t="str">
        <f>IFERROR(__xludf.DUMMYFUNCTION("""COMPUTED_VALUE"""),"Real")</f>
        <v>Real</v>
      </c>
      <c r="G11272" s="8">
        <f t="shared" si="1"/>
        <v>2</v>
      </c>
      <c r="H11272" s="14">
        <f t="shared" si="2"/>
        <v>13</v>
      </c>
      <c r="I11272" s="15">
        <f t="shared" si="3"/>
        <v>15</v>
      </c>
    </row>
    <row r="11273">
      <c r="A11273" s="8" t="str">
        <f>IFERROR(__xludf.DUMMYFUNCTION("IF('(INGESTA)Datos_consumo_datadis'!A11273&lt;&gt;"""",SPLIT('(INGESTA)Datos_consumo_datadis'!A:A,"",""),"""")"),"ES0031408323131005HX0F")</f>
        <v>ES0031408323131005HX0F</v>
      </c>
      <c r="B11273" s="12">
        <f>IFERROR(__xludf.DUMMYFUNCTION("""COMPUTED_VALUE"""),45335.0)</f>
        <v>45335</v>
      </c>
      <c r="C11273" s="13">
        <f>IFERROR(__xludf.DUMMYFUNCTION("""COMPUTED_VALUE"""),0.6666666666666666)</f>
        <v>0.6666666667</v>
      </c>
      <c r="D11273" s="8">
        <f>IFERROR(__xludf.DUMMYFUNCTION("""COMPUTED_VALUE"""),0.592)</f>
        <v>0.592</v>
      </c>
      <c r="E11273" s="8" t="str">
        <f>IFERROR(__xludf.DUMMYFUNCTION("""COMPUTED_VALUE"""),"Real")</f>
        <v>Real</v>
      </c>
      <c r="G11273" s="8">
        <f t="shared" si="1"/>
        <v>2</v>
      </c>
      <c r="H11273" s="14">
        <f t="shared" si="2"/>
        <v>13</v>
      </c>
      <c r="I11273" s="15">
        <f t="shared" si="3"/>
        <v>16</v>
      </c>
    </row>
    <row r="11274">
      <c r="A11274" s="8" t="str">
        <f>IFERROR(__xludf.DUMMYFUNCTION("IF('(INGESTA)Datos_consumo_datadis'!A11274&lt;&gt;"""",SPLIT('(INGESTA)Datos_consumo_datadis'!A:A,"",""),"""")"),"ES0031408323131005HX0F")</f>
        <v>ES0031408323131005HX0F</v>
      </c>
      <c r="B11274" s="12">
        <f>IFERROR(__xludf.DUMMYFUNCTION("""COMPUTED_VALUE"""),45335.0)</f>
        <v>45335</v>
      </c>
      <c r="C11274" s="13">
        <f>IFERROR(__xludf.DUMMYFUNCTION("""COMPUTED_VALUE"""),0.7083333333333334)</f>
        <v>0.7083333333</v>
      </c>
      <c r="D11274" s="8">
        <f>IFERROR(__xludf.DUMMYFUNCTION("""COMPUTED_VALUE"""),1.84)</f>
        <v>1.84</v>
      </c>
      <c r="E11274" s="8" t="str">
        <f>IFERROR(__xludf.DUMMYFUNCTION("""COMPUTED_VALUE"""),"Real")</f>
        <v>Real</v>
      </c>
      <c r="G11274" s="8">
        <f t="shared" si="1"/>
        <v>2</v>
      </c>
      <c r="H11274" s="14">
        <f t="shared" si="2"/>
        <v>13</v>
      </c>
      <c r="I11274" s="15">
        <f t="shared" si="3"/>
        <v>17</v>
      </c>
    </row>
    <row r="11275">
      <c r="A11275" s="8" t="str">
        <f>IFERROR(__xludf.DUMMYFUNCTION("IF('(INGESTA)Datos_consumo_datadis'!A11275&lt;&gt;"""",SPLIT('(INGESTA)Datos_consumo_datadis'!A:A,"",""),"""")"),"ES0031408323131005HX0F")</f>
        <v>ES0031408323131005HX0F</v>
      </c>
      <c r="B11275" s="12">
        <f>IFERROR(__xludf.DUMMYFUNCTION("""COMPUTED_VALUE"""),45335.0)</f>
        <v>45335</v>
      </c>
      <c r="C11275" s="13">
        <f>IFERROR(__xludf.DUMMYFUNCTION("""COMPUTED_VALUE"""),0.75)</f>
        <v>0.75</v>
      </c>
      <c r="D11275" s="8">
        <f>IFERROR(__xludf.DUMMYFUNCTION("""COMPUTED_VALUE"""),0.186)</f>
        <v>0.186</v>
      </c>
      <c r="E11275" s="8" t="str">
        <f>IFERROR(__xludf.DUMMYFUNCTION("""COMPUTED_VALUE"""),"Real")</f>
        <v>Real</v>
      </c>
      <c r="G11275" s="8">
        <f t="shared" si="1"/>
        <v>2</v>
      </c>
      <c r="H11275" s="14">
        <f t="shared" si="2"/>
        <v>13</v>
      </c>
      <c r="I11275" s="15">
        <f t="shared" si="3"/>
        <v>18</v>
      </c>
    </row>
    <row r="11276">
      <c r="A11276" s="8" t="str">
        <f>IFERROR(__xludf.DUMMYFUNCTION("IF('(INGESTA)Datos_consumo_datadis'!A11276&lt;&gt;"""",SPLIT('(INGESTA)Datos_consumo_datadis'!A:A,"",""),"""")"),"ES0031408323131005HX0F")</f>
        <v>ES0031408323131005HX0F</v>
      </c>
      <c r="B11276" s="12">
        <f>IFERROR(__xludf.DUMMYFUNCTION("""COMPUTED_VALUE"""),45335.0)</f>
        <v>45335</v>
      </c>
      <c r="C11276" s="13">
        <f>IFERROR(__xludf.DUMMYFUNCTION("""COMPUTED_VALUE"""),0.7916666666666666)</f>
        <v>0.7916666667</v>
      </c>
      <c r="D11276" s="8">
        <f>IFERROR(__xludf.DUMMYFUNCTION("""COMPUTED_VALUE"""),0.025)</f>
        <v>0.025</v>
      </c>
      <c r="E11276" s="8" t="str">
        <f>IFERROR(__xludf.DUMMYFUNCTION("""COMPUTED_VALUE"""),"Real")</f>
        <v>Real</v>
      </c>
      <c r="G11276" s="8">
        <f t="shared" si="1"/>
        <v>2</v>
      </c>
      <c r="H11276" s="14">
        <f t="shared" si="2"/>
        <v>13</v>
      </c>
      <c r="I11276" s="15">
        <f t="shared" si="3"/>
        <v>19</v>
      </c>
    </row>
    <row r="11277">
      <c r="A11277" s="8" t="str">
        <f>IFERROR(__xludf.DUMMYFUNCTION("IF('(INGESTA)Datos_consumo_datadis'!A11277&lt;&gt;"""",SPLIT('(INGESTA)Datos_consumo_datadis'!A:A,"",""),"""")"),"ES0031408323131005HX0F")</f>
        <v>ES0031408323131005HX0F</v>
      </c>
      <c r="B11277" s="12">
        <f>IFERROR(__xludf.DUMMYFUNCTION("""COMPUTED_VALUE"""),45335.0)</f>
        <v>45335</v>
      </c>
      <c r="C11277" s="13">
        <f>IFERROR(__xludf.DUMMYFUNCTION("""COMPUTED_VALUE"""),0.8333333333333334)</f>
        <v>0.8333333333</v>
      </c>
      <c r="D11277" s="8">
        <f>IFERROR(__xludf.DUMMYFUNCTION("""COMPUTED_VALUE"""),0.084)</f>
        <v>0.084</v>
      </c>
      <c r="E11277" s="8" t="str">
        <f>IFERROR(__xludf.DUMMYFUNCTION("""COMPUTED_VALUE"""),"Real")</f>
        <v>Real</v>
      </c>
      <c r="G11277" s="8">
        <f t="shared" si="1"/>
        <v>2</v>
      </c>
      <c r="H11277" s="14">
        <f t="shared" si="2"/>
        <v>13</v>
      </c>
      <c r="I11277" s="15">
        <f t="shared" si="3"/>
        <v>20</v>
      </c>
    </row>
    <row r="11278">
      <c r="A11278" s="8" t="str">
        <f>IFERROR(__xludf.DUMMYFUNCTION("IF('(INGESTA)Datos_consumo_datadis'!A11278&lt;&gt;"""",SPLIT('(INGESTA)Datos_consumo_datadis'!A:A,"",""),"""")"),"ES0031408323131005HX0F")</f>
        <v>ES0031408323131005HX0F</v>
      </c>
      <c r="B11278" s="12">
        <f>IFERROR(__xludf.DUMMYFUNCTION("""COMPUTED_VALUE"""),45335.0)</f>
        <v>45335</v>
      </c>
      <c r="C11278" s="13">
        <f>IFERROR(__xludf.DUMMYFUNCTION("""COMPUTED_VALUE"""),0.875)</f>
        <v>0.875</v>
      </c>
      <c r="D11278" s="8">
        <f>IFERROR(__xludf.DUMMYFUNCTION("""COMPUTED_VALUE"""),0.495)</f>
        <v>0.495</v>
      </c>
      <c r="E11278" s="8" t="str">
        <f>IFERROR(__xludf.DUMMYFUNCTION("""COMPUTED_VALUE"""),"Real")</f>
        <v>Real</v>
      </c>
      <c r="G11278" s="8">
        <f t="shared" si="1"/>
        <v>2</v>
      </c>
      <c r="H11278" s="14">
        <f t="shared" si="2"/>
        <v>13</v>
      </c>
      <c r="I11278" s="15">
        <f t="shared" si="3"/>
        <v>21</v>
      </c>
    </row>
    <row r="11279">
      <c r="A11279" s="8" t="str">
        <f>IFERROR(__xludf.DUMMYFUNCTION("IF('(INGESTA)Datos_consumo_datadis'!A11279&lt;&gt;"""",SPLIT('(INGESTA)Datos_consumo_datadis'!A:A,"",""),"""")"),"ES0031408323131005HX0F")</f>
        <v>ES0031408323131005HX0F</v>
      </c>
      <c r="B11279" s="12">
        <f>IFERROR(__xludf.DUMMYFUNCTION("""COMPUTED_VALUE"""),45335.0)</f>
        <v>45335</v>
      </c>
      <c r="C11279" s="13">
        <f>IFERROR(__xludf.DUMMYFUNCTION("""COMPUTED_VALUE"""),0.9166666666666666)</f>
        <v>0.9166666667</v>
      </c>
      <c r="D11279" s="8">
        <f>IFERROR(__xludf.DUMMYFUNCTION("""COMPUTED_VALUE"""),0.857)</f>
        <v>0.857</v>
      </c>
      <c r="E11279" s="8" t="str">
        <f>IFERROR(__xludf.DUMMYFUNCTION("""COMPUTED_VALUE"""),"Real")</f>
        <v>Real</v>
      </c>
      <c r="G11279" s="8">
        <f t="shared" si="1"/>
        <v>2</v>
      </c>
      <c r="H11279" s="14">
        <f t="shared" si="2"/>
        <v>13</v>
      </c>
      <c r="I11279" s="15">
        <f t="shared" si="3"/>
        <v>22</v>
      </c>
    </row>
    <row r="11280">
      <c r="A11280" s="8" t="str">
        <f>IFERROR(__xludf.DUMMYFUNCTION("IF('(INGESTA)Datos_consumo_datadis'!A11280&lt;&gt;"""",SPLIT('(INGESTA)Datos_consumo_datadis'!A:A,"",""),"""")"),"ES0031408323131005HX0F")</f>
        <v>ES0031408323131005HX0F</v>
      </c>
      <c r="B11280" s="12">
        <f>IFERROR(__xludf.DUMMYFUNCTION("""COMPUTED_VALUE"""),45335.0)</f>
        <v>45335</v>
      </c>
      <c r="C11280" s="13">
        <f>IFERROR(__xludf.DUMMYFUNCTION("""COMPUTED_VALUE"""),0.9583333333333334)</f>
        <v>0.9583333333</v>
      </c>
      <c r="D11280" s="8">
        <f>IFERROR(__xludf.DUMMYFUNCTION("""COMPUTED_VALUE"""),0.12)</f>
        <v>0.12</v>
      </c>
      <c r="E11280" s="8" t="str">
        <f>IFERROR(__xludf.DUMMYFUNCTION("""COMPUTED_VALUE"""),"Real")</f>
        <v>Real</v>
      </c>
      <c r="G11280" s="8">
        <f t="shared" si="1"/>
        <v>2</v>
      </c>
      <c r="H11280" s="14">
        <f t="shared" si="2"/>
        <v>13</v>
      </c>
      <c r="I11280" s="15">
        <f t="shared" si="3"/>
        <v>23</v>
      </c>
    </row>
    <row r="11281">
      <c r="A11281" s="8" t="str">
        <f>IFERROR(__xludf.DUMMYFUNCTION("IF('(INGESTA)Datos_consumo_datadis'!A11281&lt;&gt;"""",SPLIT('(INGESTA)Datos_consumo_datadis'!A:A,"",""),"""")"),"ES0031408323131005HX0F")</f>
        <v>ES0031408323131005HX0F</v>
      </c>
      <c r="B11281" s="12">
        <f>IFERROR(__xludf.DUMMYFUNCTION("""COMPUTED_VALUE"""),45335.0)</f>
        <v>45335</v>
      </c>
      <c r="C11281" s="16">
        <f>IFERROR(__xludf.DUMMYFUNCTION("""COMPUTED_VALUE"""),1.0)</f>
        <v>1</v>
      </c>
      <c r="D11281" s="8">
        <f>IFERROR(__xludf.DUMMYFUNCTION("""COMPUTED_VALUE"""),0.494)</f>
        <v>0.494</v>
      </c>
      <c r="E11281" s="8" t="str">
        <f>IFERROR(__xludf.DUMMYFUNCTION("""COMPUTED_VALUE"""),"Real")</f>
        <v>Real</v>
      </c>
      <c r="G11281" s="8">
        <f t="shared" si="1"/>
        <v>2</v>
      </c>
      <c r="H11281" s="14">
        <f t="shared" si="2"/>
        <v>13</v>
      </c>
      <c r="I11281" s="15">
        <f t="shared" si="3"/>
        <v>0</v>
      </c>
    </row>
    <row r="11282">
      <c r="A11282" s="8" t="str">
        <f>IFERROR(__xludf.DUMMYFUNCTION("IF('(INGESTA)Datos_consumo_datadis'!A11282&lt;&gt;"""",SPLIT('(INGESTA)Datos_consumo_datadis'!A:A,"",""),"""")"),"ES0031408323131005HX0F")</f>
        <v>ES0031408323131005HX0F</v>
      </c>
      <c r="B11282" s="12">
        <f>IFERROR(__xludf.DUMMYFUNCTION("""COMPUTED_VALUE"""),45336.0)</f>
        <v>45336</v>
      </c>
      <c r="C11282" s="13">
        <f>IFERROR(__xludf.DUMMYFUNCTION("""COMPUTED_VALUE"""),0.041666666666666664)</f>
        <v>0.04166666667</v>
      </c>
      <c r="D11282" s="8">
        <f>IFERROR(__xludf.DUMMYFUNCTION("""COMPUTED_VALUE"""),0.136)</f>
        <v>0.136</v>
      </c>
      <c r="E11282" s="8" t="str">
        <f>IFERROR(__xludf.DUMMYFUNCTION("""COMPUTED_VALUE"""),"Real")</f>
        <v>Real</v>
      </c>
      <c r="G11282" s="8">
        <f t="shared" si="1"/>
        <v>2</v>
      </c>
      <c r="H11282" s="14">
        <f t="shared" si="2"/>
        <v>14</v>
      </c>
      <c r="I11282" s="15">
        <f t="shared" si="3"/>
        <v>1</v>
      </c>
    </row>
    <row r="11283">
      <c r="A11283" s="8" t="str">
        <f>IFERROR(__xludf.DUMMYFUNCTION("IF('(INGESTA)Datos_consumo_datadis'!A11283&lt;&gt;"""",SPLIT('(INGESTA)Datos_consumo_datadis'!A:A,"",""),"""")"),"ES0031408323131005HX0F")</f>
        <v>ES0031408323131005HX0F</v>
      </c>
      <c r="B11283" s="12">
        <f>IFERROR(__xludf.DUMMYFUNCTION("""COMPUTED_VALUE"""),45336.0)</f>
        <v>45336</v>
      </c>
      <c r="C11283" s="13">
        <f>IFERROR(__xludf.DUMMYFUNCTION("""COMPUTED_VALUE"""),0.08333333333333333)</f>
        <v>0.08333333333</v>
      </c>
      <c r="D11283" s="8">
        <f>IFERROR(__xludf.DUMMYFUNCTION("""COMPUTED_VALUE"""),0.2)</f>
        <v>0.2</v>
      </c>
      <c r="E11283" s="8" t="str">
        <f>IFERROR(__xludf.DUMMYFUNCTION("""COMPUTED_VALUE"""),"Real")</f>
        <v>Real</v>
      </c>
      <c r="G11283" s="8">
        <f t="shared" si="1"/>
        <v>2</v>
      </c>
      <c r="H11283" s="14">
        <f t="shared" si="2"/>
        <v>14</v>
      </c>
      <c r="I11283" s="15">
        <f t="shared" si="3"/>
        <v>2</v>
      </c>
    </row>
    <row r="11284">
      <c r="A11284" s="8" t="str">
        <f>IFERROR(__xludf.DUMMYFUNCTION("IF('(INGESTA)Datos_consumo_datadis'!A11284&lt;&gt;"""",SPLIT('(INGESTA)Datos_consumo_datadis'!A:A,"",""),"""")"),"ES0031408323131005HX0F")</f>
        <v>ES0031408323131005HX0F</v>
      </c>
      <c r="B11284" s="12">
        <f>IFERROR(__xludf.DUMMYFUNCTION("""COMPUTED_VALUE"""),45336.0)</f>
        <v>45336</v>
      </c>
      <c r="C11284" s="13">
        <f>IFERROR(__xludf.DUMMYFUNCTION("""COMPUTED_VALUE"""),0.125)</f>
        <v>0.125</v>
      </c>
      <c r="D11284" s="8">
        <f>IFERROR(__xludf.DUMMYFUNCTION("""COMPUTED_VALUE"""),0.066)</f>
        <v>0.066</v>
      </c>
      <c r="E11284" s="8" t="str">
        <f>IFERROR(__xludf.DUMMYFUNCTION("""COMPUTED_VALUE"""),"Real")</f>
        <v>Real</v>
      </c>
      <c r="G11284" s="8">
        <f t="shared" si="1"/>
        <v>2</v>
      </c>
      <c r="H11284" s="14">
        <f t="shared" si="2"/>
        <v>14</v>
      </c>
      <c r="I11284" s="15">
        <f t="shared" si="3"/>
        <v>3</v>
      </c>
    </row>
    <row r="11285">
      <c r="A11285" s="8" t="str">
        <f>IFERROR(__xludf.DUMMYFUNCTION("IF('(INGESTA)Datos_consumo_datadis'!A11285&lt;&gt;"""",SPLIT('(INGESTA)Datos_consumo_datadis'!A:A,"",""),"""")"),"ES0031408323131005HX0F")</f>
        <v>ES0031408323131005HX0F</v>
      </c>
      <c r="B11285" s="12">
        <f>IFERROR(__xludf.DUMMYFUNCTION("""COMPUTED_VALUE"""),45336.0)</f>
        <v>45336</v>
      </c>
      <c r="C11285" s="13">
        <f>IFERROR(__xludf.DUMMYFUNCTION("""COMPUTED_VALUE"""),0.16666666666666666)</f>
        <v>0.1666666667</v>
      </c>
      <c r="D11285" s="8">
        <f>IFERROR(__xludf.DUMMYFUNCTION("""COMPUTED_VALUE"""),0.089)</f>
        <v>0.089</v>
      </c>
      <c r="E11285" s="8" t="str">
        <f>IFERROR(__xludf.DUMMYFUNCTION("""COMPUTED_VALUE"""),"Real")</f>
        <v>Real</v>
      </c>
      <c r="G11285" s="8">
        <f t="shared" si="1"/>
        <v>2</v>
      </c>
      <c r="H11285" s="14">
        <f t="shared" si="2"/>
        <v>14</v>
      </c>
      <c r="I11285" s="15">
        <f t="shared" si="3"/>
        <v>4</v>
      </c>
    </row>
    <row r="11286">
      <c r="A11286" s="8" t="str">
        <f>IFERROR(__xludf.DUMMYFUNCTION("IF('(INGESTA)Datos_consumo_datadis'!A11286&lt;&gt;"""",SPLIT('(INGESTA)Datos_consumo_datadis'!A:A,"",""),"""")"),"ES0031408323131005HX0F")</f>
        <v>ES0031408323131005HX0F</v>
      </c>
      <c r="B11286" s="12">
        <f>IFERROR(__xludf.DUMMYFUNCTION("""COMPUTED_VALUE"""),45336.0)</f>
        <v>45336</v>
      </c>
      <c r="C11286" s="13">
        <f>IFERROR(__xludf.DUMMYFUNCTION("""COMPUTED_VALUE"""),0.20833333333333334)</f>
        <v>0.2083333333</v>
      </c>
      <c r="D11286" s="8">
        <f>IFERROR(__xludf.DUMMYFUNCTION("""COMPUTED_VALUE"""),0.322)</f>
        <v>0.322</v>
      </c>
      <c r="E11286" s="8" t="str">
        <f>IFERROR(__xludf.DUMMYFUNCTION("""COMPUTED_VALUE"""),"Real")</f>
        <v>Real</v>
      </c>
      <c r="G11286" s="8">
        <f t="shared" si="1"/>
        <v>2</v>
      </c>
      <c r="H11286" s="14">
        <f t="shared" si="2"/>
        <v>14</v>
      </c>
      <c r="I11286" s="15">
        <f t="shared" si="3"/>
        <v>5</v>
      </c>
    </row>
    <row r="11287">
      <c r="A11287" s="8" t="str">
        <f>IFERROR(__xludf.DUMMYFUNCTION("IF('(INGESTA)Datos_consumo_datadis'!A11287&lt;&gt;"""",SPLIT('(INGESTA)Datos_consumo_datadis'!A:A,"",""),"""")"),"ES0031408323131005HX0F")</f>
        <v>ES0031408323131005HX0F</v>
      </c>
      <c r="B11287" s="12">
        <f>IFERROR(__xludf.DUMMYFUNCTION("""COMPUTED_VALUE"""),45336.0)</f>
        <v>45336</v>
      </c>
      <c r="C11287" s="13">
        <f>IFERROR(__xludf.DUMMYFUNCTION("""COMPUTED_VALUE"""),0.25)</f>
        <v>0.25</v>
      </c>
      <c r="D11287" s="8">
        <f>IFERROR(__xludf.DUMMYFUNCTION("""COMPUTED_VALUE"""),0.148)</f>
        <v>0.148</v>
      </c>
      <c r="E11287" s="8" t="str">
        <f>IFERROR(__xludf.DUMMYFUNCTION("""COMPUTED_VALUE"""),"Real")</f>
        <v>Real</v>
      </c>
      <c r="G11287" s="8">
        <f t="shared" si="1"/>
        <v>2</v>
      </c>
      <c r="H11287" s="14">
        <f t="shared" si="2"/>
        <v>14</v>
      </c>
      <c r="I11287" s="15">
        <f t="shared" si="3"/>
        <v>6</v>
      </c>
    </row>
    <row r="11288">
      <c r="A11288" s="8" t="str">
        <f>IFERROR(__xludf.DUMMYFUNCTION("IF('(INGESTA)Datos_consumo_datadis'!A11288&lt;&gt;"""",SPLIT('(INGESTA)Datos_consumo_datadis'!A:A,"",""),"""")"),"ES0031408323131005HX0F")</f>
        <v>ES0031408323131005HX0F</v>
      </c>
      <c r="B11288" s="12">
        <f>IFERROR(__xludf.DUMMYFUNCTION("""COMPUTED_VALUE"""),45336.0)</f>
        <v>45336</v>
      </c>
      <c r="C11288" s="13">
        <f>IFERROR(__xludf.DUMMYFUNCTION("""COMPUTED_VALUE"""),0.2916666666666667)</f>
        <v>0.2916666667</v>
      </c>
      <c r="D11288" s="8">
        <f>IFERROR(__xludf.DUMMYFUNCTION("""COMPUTED_VALUE"""),0.053)</f>
        <v>0.053</v>
      </c>
      <c r="E11288" s="8" t="str">
        <f>IFERROR(__xludf.DUMMYFUNCTION("""COMPUTED_VALUE"""),"Real")</f>
        <v>Real</v>
      </c>
      <c r="G11288" s="8">
        <f t="shared" si="1"/>
        <v>2</v>
      </c>
      <c r="H11288" s="14">
        <f t="shared" si="2"/>
        <v>14</v>
      </c>
      <c r="I11288" s="15">
        <f t="shared" si="3"/>
        <v>7</v>
      </c>
    </row>
    <row r="11289">
      <c r="A11289" s="8" t="str">
        <f>IFERROR(__xludf.DUMMYFUNCTION("IF('(INGESTA)Datos_consumo_datadis'!A11289&lt;&gt;"""",SPLIT('(INGESTA)Datos_consumo_datadis'!A:A,"",""),"""")"),"ES0031408323131005HX0F")</f>
        <v>ES0031408323131005HX0F</v>
      </c>
      <c r="B11289" s="12">
        <f>IFERROR(__xludf.DUMMYFUNCTION("""COMPUTED_VALUE"""),45336.0)</f>
        <v>45336</v>
      </c>
      <c r="C11289" s="13">
        <f>IFERROR(__xludf.DUMMYFUNCTION("""COMPUTED_VALUE"""),0.3333333333333333)</f>
        <v>0.3333333333</v>
      </c>
      <c r="D11289" s="8">
        <f>IFERROR(__xludf.DUMMYFUNCTION("""COMPUTED_VALUE"""),0.028)</f>
        <v>0.028</v>
      </c>
      <c r="E11289" s="8" t="str">
        <f>IFERROR(__xludf.DUMMYFUNCTION("""COMPUTED_VALUE"""),"Real")</f>
        <v>Real</v>
      </c>
      <c r="G11289" s="8">
        <f t="shared" si="1"/>
        <v>2</v>
      </c>
      <c r="H11289" s="14">
        <f t="shared" si="2"/>
        <v>14</v>
      </c>
      <c r="I11289" s="15">
        <f t="shared" si="3"/>
        <v>8</v>
      </c>
    </row>
    <row r="11290">
      <c r="A11290" s="8" t="str">
        <f>IFERROR(__xludf.DUMMYFUNCTION("IF('(INGESTA)Datos_consumo_datadis'!A11290&lt;&gt;"""",SPLIT('(INGESTA)Datos_consumo_datadis'!A:A,"",""),"""")"),"ES0031408323131005HX0F")</f>
        <v>ES0031408323131005HX0F</v>
      </c>
      <c r="B11290" s="12">
        <f>IFERROR(__xludf.DUMMYFUNCTION("""COMPUTED_VALUE"""),45336.0)</f>
        <v>45336</v>
      </c>
      <c r="C11290" s="13">
        <f>IFERROR(__xludf.DUMMYFUNCTION("""COMPUTED_VALUE"""),0.375)</f>
        <v>0.375</v>
      </c>
      <c r="D11290" s="8">
        <f>IFERROR(__xludf.DUMMYFUNCTION("""COMPUTED_VALUE"""),0.194)</f>
        <v>0.194</v>
      </c>
      <c r="E11290" s="8" t="str">
        <f>IFERROR(__xludf.DUMMYFUNCTION("""COMPUTED_VALUE"""),"Real")</f>
        <v>Real</v>
      </c>
      <c r="G11290" s="8">
        <f t="shared" si="1"/>
        <v>2</v>
      </c>
      <c r="H11290" s="14">
        <f t="shared" si="2"/>
        <v>14</v>
      </c>
      <c r="I11290" s="15">
        <f t="shared" si="3"/>
        <v>9</v>
      </c>
    </row>
    <row r="11291">
      <c r="A11291" s="8" t="str">
        <f>IFERROR(__xludf.DUMMYFUNCTION("IF('(INGESTA)Datos_consumo_datadis'!A11291&lt;&gt;"""",SPLIT('(INGESTA)Datos_consumo_datadis'!A:A,"",""),"""")"),"ES0031408323131005HX0F")</f>
        <v>ES0031408323131005HX0F</v>
      </c>
      <c r="B11291" s="12">
        <f>IFERROR(__xludf.DUMMYFUNCTION("""COMPUTED_VALUE"""),45336.0)</f>
        <v>45336</v>
      </c>
      <c r="C11291" s="13">
        <f>IFERROR(__xludf.DUMMYFUNCTION("""COMPUTED_VALUE"""),0.4166666666666667)</f>
        <v>0.4166666667</v>
      </c>
      <c r="D11291" s="8">
        <f>IFERROR(__xludf.DUMMYFUNCTION("""COMPUTED_VALUE"""),0.738)</f>
        <v>0.738</v>
      </c>
      <c r="E11291" s="8" t="str">
        <f>IFERROR(__xludf.DUMMYFUNCTION("""COMPUTED_VALUE"""),"Real")</f>
        <v>Real</v>
      </c>
      <c r="G11291" s="8">
        <f t="shared" si="1"/>
        <v>2</v>
      </c>
      <c r="H11291" s="14">
        <f t="shared" si="2"/>
        <v>14</v>
      </c>
      <c r="I11291" s="15">
        <f t="shared" si="3"/>
        <v>10</v>
      </c>
    </row>
    <row r="11292">
      <c r="A11292" s="8" t="str">
        <f>IFERROR(__xludf.DUMMYFUNCTION("IF('(INGESTA)Datos_consumo_datadis'!A11292&lt;&gt;"""",SPLIT('(INGESTA)Datos_consumo_datadis'!A:A,"",""),"""")"),"ES0031408323131005HX0F")</f>
        <v>ES0031408323131005HX0F</v>
      </c>
      <c r="B11292" s="12">
        <f>IFERROR(__xludf.DUMMYFUNCTION("""COMPUTED_VALUE"""),45336.0)</f>
        <v>45336</v>
      </c>
      <c r="C11292" s="13">
        <f>IFERROR(__xludf.DUMMYFUNCTION("""COMPUTED_VALUE"""),0.4583333333333333)</f>
        <v>0.4583333333</v>
      </c>
      <c r="D11292" s="8">
        <f>IFERROR(__xludf.DUMMYFUNCTION("""COMPUTED_VALUE"""),0.381)</f>
        <v>0.381</v>
      </c>
      <c r="E11292" s="8" t="str">
        <f>IFERROR(__xludf.DUMMYFUNCTION("""COMPUTED_VALUE"""),"Real")</f>
        <v>Real</v>
      </c>
      <c r="G11292" s="8">
        <f t="shared" si="1"/>
        <v>2</v>
      </c>
      <c r="H11292" s="14">
        <f t="shared" si="2"/>
        <v>14</v>
      </c>
      <c r="I11292" s="15">
        <f t="shared" si="3"/>
        <v>11</v>
      </c>
    </row>
    <row r="11293">
      <c r="A11293" s="8" t="str">
        <f>IFERROR(__xludf.DUMMYFUNCTION("IF('(INGESTA)Datos_consumo_datadis'!A11293&lt;&gt;"""",SPLIT('(INGESTA)Datos_consumo_datadis'!A:A,"",""),"""")"),"ES0031408323131005HX0F")</f>
        <v>ES0031408323131005HX0F</v>
      </c>
      <c r="B11293" s="12">
        <f>IFERROR(__xludf.DUMMYFUNCTION("""COMPUTED_VALUE"""),45336.0)</f>
        <v>45336</v>
      </c>
      <c r="C11293" s="13">
        <f>IFERROR(__xludf.DUMMYFUNCTION("""COMPUTED_VALUE"""),0.5)</f>
        <v>0.5</v>
      </c>
      <c r="D11293" s="8">
        <f>IFERROR(__xludf.DUMMYFUNCTION("""COMPUTED_VALUE"""),0.52)</f>
        <v>0.52</v>
      </c>
      <c r="E11293" s="8" t="str">
        <f>IFERROR(__xludf.DUMMYFUNCTION("""COMPUTED_VALUE"""),"Real")</f>
        <v>Real</v>
      </c>
      <c r="G11293" s="8">
        <f t="shared" si="1"/>
        <v>2</v>
      </c>
      <c r="H11293" s="14">
        <f t="shared" si="2"/>
        <v>14</v>
      </c>
      <c r="I11293" s="15">
        <f t="shared" si="3"/>
        <v>12</v>
      </c>
    </row>
    <row r="11294">
      <c r="A11294" s="8" t="str">
        <f>IFERROR(__xludf.DUMMYFUNCTION("IF('(INGESTA)Datos_consumo_datadis'!A11294&lt;&gt;"""",SPLIT('(INGESTA)Datos_consumo_datadis'!A:A,"",""),"""")"),"ES0031408323131005HX0F")</f>
        <v>ES0031408323131005HX0F</v>
      </c>
      <c r="B11294" s="12">
        <f>IFERROR(__xludf.DUMMYFUNCTION("""COMPUTED_VALUE"""),45336.0)</f>
        <v>45336</v>
      </c>
      <c r="C11294" s="13">
        <f>IFERROR(__xludf.DUMMYFUNCTION("""COMPUTED_VALUE"""),0.5416666666666666)</f>
        <v>0.5416666667</v>
      </c>
      <c r="D11294" s="8">
        <f>IFERROR(__xludf.DUMMYFUNCTION("""COMPUTED_VALUE"""),0.078)</f>
        <v>0.078</v>
      </c>
      <c r="E11294" s="8" t="str">
        <f>IFERROR(__xludf.DUMMYFUNCTION("""COMPUTED_VALUE"""),"Real")</f>
        <v>Real</v>
      </c>
      <c r="G11294" s="8">
        <f t="shared" si="1"/>
        <v>2</v>
      </c>
      <c r="H11294" s="14">
        <f t="shared" si="2"/>
        <v>14</v>
      </c>
      <c r="I11294" s="15">
        <f t="shared" si="3"/>
        <v>13</v>
      </c>
    </row>
    <row r="11295">
      <c r="A11295" s="8" t="str">
        <f>IFERROR(__xludf.DUMMYFUNCTION("IF('(INGESTA)Datos_consumo_datadis'!A11295&lt;&gt;"""",SPLIT('(INGESTA)Datos_consumo_datadis'!A:A,"",""),"""")"),"ES0031408323131005HX0F")</f>
        <v>ES0031408323131005HX0F</v>
      </c>
      <c r="B11295" s="12">
        <f>IFERROR(__xludf.DUMMYFUNCTION("""COMPUTED_VALUE"""),45336.0)</f>
        <v>45336</v>
      </c>
      <c r="C11295" s="13">
        <f>IFERROR(__xludf.DUMMYFUNCTION("""COMPUTED_VALUE"""),0.5833333333333334)</f>
        <v>0.5833333333</v>
      </c>
      <c r="D11295" s="8">
        <f>IFERROR(__xludf.DUMMYFUNCTION("""COMPUTED_VALUE"""),0.392)</f>
        <v>0.392</v>
      </c>
      <c r="E11295" s="8" t="str">
        <f>IFERROR(__xludf.DUMMYFUNCTION("""COMPUTED_VALUE"""),"Real")</f>
        <v>Real</v>
      </c>
      <c r="G11295" s="8">
        <f t="shared" si="1"/>
        <v>2</v>
      </c>
      <c r="H11295" s="14">
        <f t="shared" si="2"/>
        <v>14</v>
      </c>
      <c r="I11295" s="15">
        <f t="shared" si="3"/>
        <v>14</v>
      </c>
    </row>
    <row r="11296">
      <c r="A11296" s="8" t="str">
        <f>IFERROR(__xludf.DUMMYFUNCTION("IF('(INGESTA)Datos_consumo_datadis'!A11296&lt;&gt;"""",SPLIT('(INGESTA)Datos_consumo_datadis'!A:A,"",""),"""")"),"ES0031408323131005HX0F")</f>
        <v>ES0031408323131005HX0F</v>
      </c>
      <c r="B11296" s="12">
        <f>IFERROR(__xludf.DUMMYFUNCTION("""COMPUTED_VALUE"""),45336.0)</f>
        <v>45336</v>
      </c>
      <c r="C11296" s="13">
        <f>IFERROR(__xludf.DUMMYFUNCTION("""COMPUTED_VALUE"""),0.625)</f>
        <v>0.625</v>
      </c>
      <c r="D11296" s="8">
        <f>IFERROR(__xludf.DUMMYFUNCTION("""COMPUTED_VALUE"""),0.889)</f>
        <v>0.889</v>
      </c>
      <c r="E11296" s="8" t="str">
        <f>IFERROR(__xludf.DUMMYFUNCTION("""COMPUTED_VALUE"""),"Real")</f>
        <v>Real</v>
      </c>
      <c r="G11296" s="8">
        <f t="shared" si="1"/>
        <v>2</v>
      </c>
      <c r="H11296" s="14">
        <f t="shared" si="2"/>
        <v>14</v>
      </c>
      <c r="I11296" s="15">
        <f t="shared" si="3"/>
        <v>15</v>
      </c>
    </row>
    <row r="11297">
      <c r="A11297" s="8" t="str">
        <f>IFERROR(__xludf.DUMMYFUNCTION("IF('(INGESTA)Datos_consumo_datadis'!A11297&lt;&gt;"""",SPLIT('(INGESTA)Datos_consumo_datadis'!A:A,"",""),"""")"),"ES0031408323131005HX0F")</f>
        <v>ES0031408323131005HX0F</v>
      </c>
      <c r="B11297" s="12">
        <f>IFERROR(__xludf.DUMMYFUNCTION("""COMPUTED_VALUE"""),45336.0)</f>
        <v>45336</v>
      </c>
      <c r="C11297" s="13">
        <f>IFERROR(__xludf.DUMMYFUNCTION("""COMPUTED_VALUE"""),0.6666666666666666)</f>
        <v>0.6666666667</v>
      </c>
      <c r="D11297" s="8">
        <f>IFERROR(__xludf.DUMMYFUNCTION("""COMPUTED_VALUE"""),1.808)</f>
        <v>1.808</v>
      </c>
      <c r="E11297" s="8" t="str">
        <f>IFERROR(__xludf.DUMMYFUNCTION("""COMPUTED_VALUE"""),"Real")</f>
        <v>Real</v>
      </c>
      <c r="G11297" s="8">
        <f t="shared" si="1"/>
        <v>2</v>
      </c>
      <c r="H11297" s="14">
        <f t="shared" si="2"/>
        <v>14</v>
      </c>
      <c r="I11297" s="15">
        <f t="shared" si="3"/>
        <v>16</v>
      </c>
    </row>
    <row r="11298">
      <c r="A11298" s="8" t="str">
        <f>IFERROR(__xludf.DUMMYFUNCTION("IF('(INGESTA)Datos_consumo_datadis'!A11298&lt;&gt;"""",SPLIT('(INGESTA)Datos_consumo_datadis'!A:A,"",""),"""")"),"ES0031408323131005HX0F")</f>
        <v>ES0031408323131005HX0F</v>
      </c>
      <c r="B11298" s="12">
        <f>IFERROR(__xludf.DUMMYFUNCTION("""COMPUTED_VALUE"""),45336.0)</f>
        <v>45336</v>
      </c>
      <c r="C11298" s="13">
        <f>IFERROR(__xludf.DUMMYFUNCTION("""COMPUTED_VALUE"""),0.7083333333333334)</f>
        <v>0.7083333333</v>
      </c>
      <c r="D11298" s="8">
        <f>IFERROR(__xludf.DUMMYFUNCTION("""COMPUTED_VALUE"""),0.063)</f>
        <v>0.063</v>
      </c>
      <c r="E11298" s="8" t="str">
        <f>IFERROR(__xludf.DUMMYFUNCTION("""COMPUTED_VALUE"""),"Real")</f>
        <v>Real</v>
      </c>
      <c r="G11298" s="8">
        <f t="shared" si="1"/>
        <v>2</v>
      </c>
      <c r="H11298" s="14">
        <f t="shared" si="2"/>
        <v>14</v>
      </c>
      <c r="I11298" s="15">
        <f t="shared" si="3"/>
        <v>17</v>
      </c>
    </row>
    <row r="11299">
      <c r="A11299" s="8" t="str">
        <f>IFERROR(__xludf.DUMMYFUNCTION("IF('(INGESTA)Datos_consumo_datadis'!A11299&lt;&gt;"""",SPLIT('(INGESTA)Datos_consumo_datadis'!A:A,"",""),"""")"),"ES0031408323131005HX0F")</f>
        <v>ES0031408323131005HX0F</v>
      </c>
      <c r="B11299" s="12">
        <f>IFERROR(__xludf.DUMMYFUNCTION("""COMPUTED_VALUE"""),45336.0)</f>
        <v>45336</v>
      </c>
      <c r="C11299" s="13">
        <f>IFERROR(__xludf.DUMMYFUNCTION("""COMPUTED_VALUE"""),0.75)</f>
        <v>0.75</v>
      </c>
      <c r="D11299" s="8">
        <f>IFERROR(__xludf.DUMMYFUNCTION("""COMPUTED_VALUE"""),0.753)</f>
        <v>0.753</v>
      </c>
      <c r="E11299" s="8" t="str">
        <f>IFERROR(__xludf.DUMMYFUNCTION("""COMPUTED_VALUE"""),"Real")</f>
        <v>Real</v>
      </c>
      <c r="G11299" s="8">
        <f t="shared" si="1"/>
        <v>2</v>
      </c>
      <c r="H11299" s="14">
        <f t="shared" si="2"/>
        <v>14</v>
      </c>
      <c r="I11299" s="15">
        <f t="shared" si="3"/>
        <v>18</v>
      </c>
    </row>
    <row r="11300">
      <c r="A11300" s="8" t="str">
        <f>IFERROR(__xludf.DUMMYFUNCTION("IF('(INGESTA)Datos_consumo_datadis'!A11300&lt;&gt;"""",SPLIT('(INGESTA)Datos_consumo_datadis'!A:A,"",""),"""")"),"ES0031408323131005HX0F")</f>
        <v>ES0031408323131005HX0F</v>
      </c>
      <c r="B11300" s="12">
        <f>IFERROR(__xludf.DUMMYFUNCTION("""COMPUTED_VALUE"""),45336.0)</f>
        <v>45336</v>
      </c>
      <c r="C11300" s="13">
        <f>IFERROR(__xludf.DUMMYFUNCTION("""COMPUTED_VALUE"""),0.7916666666666666)</f>
        <v>0.7916666667</v>
      </c>
      <c r="D11300" s="8">
        <f>IFERROR(__xludf.DUMMYFUNCTION("""COMPUTED_VALUE"""),0.082)</f>
        <v>0.082</v>
      </c>
      <c r="E11300" s="8" t="str">
        <f>IFERROR(__xludf.DUMMYFUNCTION("""COMPUTED_VALUE"""),"Real")</f>
        <v>Real</v>
      </c>
      <c r="G11300" s="8">
        <f t="shared" si="1"/>
        <v>2</v>
      </c>
      <c r="H11300" s="14">
        <f t="shared" si="2"/>
        <v>14</v>
      </c>
      <c r="I11300" s="15">
        <f t="shared" si="3"/>
        <v>19</v>
      </c>
    </row>
    <row r="11301">
      <c r="A11301" s="8" t="str">
        <f>IFERROR(__xludf.DUMMYFUNCTION("IF('(INGESTA)Datos_consumo_datadis'!A11301&lt;&gt;"""",SPLIT('(INGESTA)Datos_consumo_datadis'!A:A,"",""),"""")"),"ES0031408323131005HX0F")</f>
        <v>ES0031408323131005HX0F</v>
      </c>
      <c r="B11301" s="12">
        <f>IFERROR(__xludf.DUMMYFUNCTION("""COMPUTED_VALUE"""),45336.0)</f>
        <v>45336</v>
      </c>
      <c r="C11301" s="13">
        <f>IFERROR(__xludf.DUMMYFUNCTION("""COMPUTED_VALUE"""),0.8333333333333334)</f>
        <v>0.8333333333</v>
      </c>
      <c r="D11301" s="8">
        <f>IFERROR(__xludf.DUMMYFUNCTION("""COMPUTED_VALUE"""),1.276)</f>
        <v>1.276</v>
      </c>
      <c r="E11301" s="8" t="str">
        <f>IFERROR(__xludf.DUMMYFUNCTION("""COMPUTED_VALUE"""),"Real")</f>
        <v>Real</v>
      </c>
      <c r="G11301" s="8">
        <f t="shared" si="1"/>
        <v>2</v>
      </c>
      <c r="H11301" s="14">
        <f t="shared" si="2"/>
        <v>14</v>
      </c>
      <c r="I11301" s="15">
        <f t="shared" si="3"/>
        <v>20</v>
      </c>
    </row>
    <row r="11302">
      <c r="A11302" s="8" t="str">
        <f>IFERROR(__xludf.DUMMYFUNCTION("IF('(INGESTA)Datos_consumo_datadis'!A11302&lt;&gt;"""",SPLIT('(INGESTA)Datos_consumo_datadis'!A:A,"",""),"""")"),"ES0031408323131005HX0F")</f>
        <v>ES0031408323131005HX0F</v>
      </c>
      <c r="B11302" s="12">
        <f>IFERROR(__xludf.DUMMYFUNCTION("""COMPUTED_VALUE"""),45336.0)</f>
        <v>45336</v>
      </c>
      <c r="C11302" s="13">
        <f>IFERROR(__xludf.DUMMYFUNCTION("""COMPUTED_VALUE"""),0.875)</f>
        <v>0.875</v>
      </c>
      <c r="D11302" s="8">
        <f>IFERROR(__xludf.DUMMYFUNCTION("""COMPUTED_VALUE"""),1.238)</f>
        <v>1.238</v>
      </c>
      <c r="E11302" s="8" t="str">
        <f>IFERROR(__xludf.DUMMYFUNCTION("""COMPUTED_VALUE"""),"Real")</f>
        <v>Real</v>
      </c>
      <c r="G11302" s="8">
        <f t="shared" si="1"/>
        <v>2</v>
      </c>
      <c r="H11302" s="14">
        <f t="shared" si="2"/>
        <v>14</v>
      </c>
      <c r="I11302" s="15">
        <f t="shared" si="3"/>
        <v>21</v>
      </c>
    </row>
    <row r="11303">
      <c r="A11303" s="8" t="str">
        <f>IFERROR(__xludf.DUMMYFUNCTION("IF('(INGESTA)Datos_consumo_datadis'!A11303&lt;&gt;"""",SPLIT('(INGESTA)Datos_consumo_datadis'!A:A,"",""),"""")"),"ES0031408323131005HX0F")</f>
        <v>ES0031408323131005HX0F</v>
      </c>
      <c r="B11303" s="12">
        <f>IFERROR(__xludf.DUMMYFUNCTION("""COMPUTED_VALUE"""),45336.0)</f>
        <v>45336</v>
      </c>
      <c r="C11303" s="13">
        <f>IFERROR(__xludf.DUMMYFUNCTION("""COMPUTED_VALUE"""),0.9166666666666666)</f>
        <v>0.9166666667</v>
      </c>
      <c r="D11303" s="8">
        <f>IFERROR(__xludf.DUMMYFUNCTION("""COMPUTED_VALUE"""),0.873)</f>
        <v>0.873</v>
      </c>
      <c r="E11303" s="8" t="str">
        <f>IFERROR(__xludf.DUMMYFUNCTION("""COMPUTED_VALUE"""),"Real")</f>
        <v>Real</v>
      </c>
      <c r="G11303" s="8">
        <f t="shared" si="1"/>
        <v>2</v>
      </c>
      <c r="H11303" s="14">
        <f t="shared" si="2"/>
        <v>14</v>
      </c>
      <c r="I11303" s="15">
        <f t="shared" si="3"/>
        <v>22</v>
      </c>
    </row>
    <row r="11304">
      <c r="A11304" s="8" t="str">
        <f>IFERROR(__xludf.DUMMYFUNCTION("IF('(INGESTA)Datos_consumo_datadis'!A11304&lt;&gt;"""",SPLIT('(INGESTA)Datos_consumo_datadis'!A:A,"",""),"""")"),"ES0031408323131005HX0F")</f>
        <v>ES0031408323131005HX0F</v>
      </c>
      <c r="B11304" s="12">
        <f>IFERROR(__xludf.DUMMYFUNCTION("""COMPUTED_VALUE"""),45336.0)</f>
        <v>45336</v>
      </c>
      <c r="C11304" s="13">
        <f>IFERROR(__xludf.DUMMYFUNCTION("""COMPUTED_VALUE"""),0.9583333333333334)</f>
        <v>0.9583333333</v>
      </c>
      <c r="D11304" s="8">
        <f>IFERROR(__xludf.DUMMYFUNCTION("""COMPUTED_VALUE"""),0.579)</f>
        <v>0.579</v>
      </c>
      <c r="E11304" s="8" t="str">
        <f>IFERROR(__xludf.DUMMYFUNCTION("""COMPUTED_VALUE"""),"Real")</f>
        <v>Real</v>
      </c>
      <c r="G11304" s="8">
        <f t="shared" si="1"/>
        <v>2</v>
      </c>
      <c r="H11304" s="14">
        <f t="shared" si="2"/>
        <v>14</v>
      </c>
      <c r="I11304" s="15">
        <f t="shared" si="3"/>
        <v>23</v>
      </c>
    </row>
    <row r="11305">
      <c r="A11305" s="8" t="str">
        <f>IFERROR(__xludf.DUMMYFUNCTION("IF('(INGESTA)Datos_consumo_datadis'!A11305&lt;&gt;"""",SPLIT('(INGESTA)Datos_consumo_datadis'!A:A,"",""),"""")"),"ES0031408323131005HX0F")</f>
        <v>ES0031408323131005HX0F</v>
      </c>
      <c r="B11305" s="12">
        <f>IFERROR(__xludf.DUMMYFUNCTION("""COMPUTED_VALUE"""),45336.0)</f>
        <v>45336</v>
      </c>
      <c r="C11305" s="16">
        <f>IFERROR(__xludf.DUMMYFUNCTION("""COMPUTED_VALUE"""),1.0)</f>
        <v>1</v>
      </c>
      <c r="D11305" s="8">
        <f>IFERROR(__xludf.DUMMYFUNCTION("""COMPUTED_VALUE"""),0.321)</f>
        <v>0.321</v>
      </c>
      <c r="E11305" s="8" t="str">
        <f>IFERROR(__xludf.DUMMYFUNCTION("""COMPUTED_VALUE"""),"Real")</f>
        <v>Real</v>
      </c>
      <c r="G11305" s="8">
        <f t="shared" si="1"/>
        <v>2</v>
      </c>
      <c r="H11305" s="14">
        <f t="shared" si="2"/>
        <v>14</v>
      </c>
      <c r="I11305" s="15">
        <f t="shared" si="3"/>
        <v>0</v>
      </c>
    </row>
    <row r="11306">
      <c r="A11306" s="8" t="str">
        <f>IFERROR(__xludf.DUMMYFUNCTION("IF('(INGESTA)Datos_consumo_datadis'!A11306&lt;&gt;"""",SPLIT('(INGESTA)Datos_consumo_datadis'!A:A,"",""),"""")"),"ES0031408323131005HX0F")</f>
        <v>ES0031408323131005HX0F</v>
      </c>
      <c r="B11306" s="12">
        <f>IFERROR(__xludf.DUMMYFUNCTION("""COMPUTED_VALUE"""),45337.0)</f>
        <v>45337</v>
      </c>
      <c r="C11306" s="13">
        <f>IFERROR(__xludf.DUMMYFUNCTION("""COMPUTED_VALUE"""),0.041666666666666664)</f>
        <v>0.04166666667</v>
      </c>
      <c r="D11306" s="8">
        <f>IFERROR(__xludf.DUMMYFUNCTION("""COMPUTED_VALUE"""),0.106)</f>
        <v>0.106</v>
      </c>
      <c r="E11306" s="8" t="str">
        <f>IFERROR(__xludf.DUMMYFUNCTION("""COMPUTED_VALUE"""),"Real")</f>
        <v>Real</v>
      </c>
      <c r="G11306" s="8">
        <f t="shared" si="1"/>
        <v>2</v>
      </c>
      <c r="H11306" s="14">
        <f t="shared" si="2"/>
        <v>15</v>
      </c>
      <c r="I11306" s="15">
        <f t="shared" si="3"/>
        <v>1</v>
      </c>
    </row>
    <row r="11307">
      <c r="A11307" s="8" t="str">
        <f>IFERROR(__xludf.DUMMYFUNCTION("IF('(INGESTA)Datos_consumo_datadis'!A11307&lt;&gt;"""",SPLIT('(INGESTA)Datos_consumo_datadis'!A:A,"",""),"""")"),"ES0031408323131005HX0F")</f>
        <v>ES0031408323131005HX0F</v>
      </c>
      <c r="B11307" s="12">
        <f>IFERROR(__xludf.DUMMYFUNCTION("""COMPUTED_VALUE"""),45337.0)</f>
        <v>45337</v>
      </c>
      <c r="C11307" s="13">
        <f>IFERROR(__xludf.DUMMYFUNCTION("""COMPUTED_VALUE"""),0.08333333333333333)</f>
        <v>0.08333333333</v>
      </c>
      <c r="D11307" s="8">
        <f>IFERROR(__xludf.DUMMYFUNCTION("""COMPUTED_VALUE"""),0.07)</f>
        <v>0.07</v>
      </c>
      <c r="E11307" s="8" t="str">
        <f>IFERROR(__xludf.DUMMYFUNCTION("""COMPUTED_VALUE"""),"Real")</f>
        <v>Real</v>
      </c>
      <c r="G11307" s="8">
        <f t="shared" si="1"/>
        <v>2</v>
      </c>
      <c r="H11307" s="14">
        <f t="shared" si="2"/>
        <v>15</v>
      </c>
      <c r="I11307" s="15">
        <f t="shared" si="3"/>
        <v>2</v>
      </c>
    </row>
    <row r="11308">
      <c r="A11308" s="8" t="str">
        <f>IFERROR(__xludf.DUMMYFUNCTION("IF('(INGESTA)Datos_consumo_datadis'!A11308&lt;&gt;"""",SPLIT('(INGESTA)Datos_consumo_datadis'!A:A,"",""),"""")"),"ES0031408323131005HX0F")</f>
        <v>ES0031408323131005HX0F</v>
      </c>
      <c r="B11308" s="12">
        <f>IFERROR(__xludf.DUMMYFUNCTION("""COMPUTED_VALUE"""),45337.0)</f>
        <v>45337</v>
      </c>
      <c r="C11308" s="13">
        <f>IFERROR(__xludf.DUMMYFUNCTION("""COMPUTED_VALUE"""),0.125)</f>
        <v>0.125</v>
      </c>
      <c r="D11308" s="8">
        <f>IFERROR(__xludf.DUMMYFUNCTION("""COMPUTED_VALUE"""),0.04)</f>
        <v>0.04</v>
      </c>
      <c r="E11308" s="8" t="str">
        <f>IFERROR(__xludf.DUMMYFUNCTION("""COMPUTED_VALUE"""),"Real")</f>
        <v>Real</v>
      </c>
      <c r="G11308" s="8">
        <f t="shared" si="1"/>
        <v>2</v>
      </c>
      <c r="H11308" s="14">
        <f t="shared" si="2"/>
        <v>15</v>
      </c>
      <c r="I11308" s="15">
        <f t="shared" si="3"/>
        <v>3</v>
      </c>
    </row>
    <row r="11309">
      <c r="A11309" s="8" t="str">
        <f>IFERROR(__xludf.DUMMYFUNCTION("IF('(INGESTA)Datos_consumo_datadis'!A11309&lt;&gt;"""",SPLIT('(INGESTA)Datos_consumo_datadis'!A:A,"",""),"""")"),"ES0031408323131005HX0F")</f>
        <v>ES0031408323131005HX0F</v>
      </c>
      <c r="B11309" s="12">
        <f>IFERROR(__xludf.DUMMYFUNCTION("""COMPUTED_VALUE"""),45337.0)</f>
        <v>45337</v>
      </c>
      <c r="C11309" s="13">
        <f>IFERROR(__xludf.DUMMYFUNCTION("""COMPUTED_VALUE"""),0.16666666666666666)</f>
        <v>0.1666666667</v>
      </c>
      <c r="D11309" s="8">
        <f>IFERROR(__xludf.DUMMYFUNCTION("""COMPUTED_VALUE"""),0.357)</f>
        <v>0.357</v>
      </c>
      <c r="E11309" s="8" t="str">
        <f>IFERROR(__xludf.DUMMYFUNCTION("""COMPUTED_VALUE"""),"Real")</f>
        <v>Real</v>
      </c>
      <c r="G11309" s="8">
        <f t="shared" si="1"/>
        <v>2</v>
      </c>
      <c r="H11309" s="14">
        <f t="shared" si="2"/>
        <v>15</v>
      </c>
      <c r="I11309" s="15">
        <f t="shared" si="3"/>
        <v>4</v>
      </c>
    </row>
    <row r="11310">
      <c r="A11310" s="8" t="str">
        <f>IFERROR(__xludf.DUMMYFUNCTION("IF('(INGESTA)Datos_consumo_datadis'!A11310&lt;&gt;"""",SPLIT('(INGESTA)Datos_consumo_datadis'!A:A,"",""),"""")"),"ES0031408323131005HX0F")</f>
        <v>ES0031408323131005HX0F</v>
      </c>
      <c r="B11310" s="12">
        <f>IFERROR(__xludf.DUMMYFUNCTION("""COMPUTED_VALUE"""),45337.0)</f>
        <v>45337</v>
      </c>
      <c r="C11310" s="13">
        <f>IFERROR(__xludf.DUMMYFUNCTION("""COMPUTED_VALUE"""),0.20833333333333334)</f>
        <v>0.2083333333</v>
      </c>
      <c r="D11310" s="8">
        <f>IFERROR(__xludf.DUMMYFUNCTION("""COMPUTED_VALUE"""),0.049)</f>
        <v>0.049</v>
      </c>
      <c r="E11310" s="8" t="str">
        <f>IFERROR(__xludf.DUMMYFUNCTION("""COMPUTED_VALUE"""),"Real")</f>
        <v>Real</v>
      </c>
      <c r="G11310" s="8">
        <f t="shared" si="1"/>
        <v>2</v>
      </c>
      <c r="H11310" s="14">
        <f t="shared" si="2"/>
        <v>15</v>
      </c>
      <c r="I11310" s="15">
        <f t="shared" si="3"/>
        <v>5</v>
      </c>
    </row>
    <row r="11311">
      <c r="A11311" s="8" t="str">
        <f>IFERROR(__xludf.DUMMYFUNCTION("IF('(INGESTA)Datos_consumo_datadis'!A11311&lt;&gt;"""",SPLIT('(INGESTA)Datos_consumo_datadis'!A:A,"",""),"""")"),"ES0031408323131005HX0F")</f>
        <v>ES0031408323131005HX0F</v>
      </c>
      <c r="B11311" s="12">
        <f>IFERROR(__xludf.DUMMYFUNCTION("""COMPUTED_VALUE"""),45337.0)</f>
        <v>45337</v>
      </c>
      <c r="C11311" s="13">
        <f>IFERROR(__xludf.DUMMYFUNCTION("""COMPUTED_VALUE"""),0.25)</f>
        <v>0.25</v>
      </c>
      <c r="D11311" s="8">
        <f>IFERROR(__xludf.DUMMYFUNCTION("""COMPUTED_VALUE"""),0.051)</f>
        <v>0.051</v>
      </c>
      <c r="E11311" s="8" t="str">
        <f>IFERROR(__xludf.DUMMYFUNCTION("""COMPUTED_VALUE"""),"Real")</f>
        <v>Real</v>
      </c>
      <c r="G11311" s="8">
        <f t="shared" si="1"/>
        <v>2</v>
      </c>
      <c r="H11311" s="14">
        <f t="shared" si="2"/>
        <v>15</v>
      </c>
      <c r="I11311" s="15">
        <f t="shared" si="3"/>
        <v>6</v>
      </c>
    </row>
    <row r="11312">
      <c r="A11312" s="8" t="str">
        <f>IFERROR(__xludf.DUMMYFUNCTION("IF('(INGESTA)Datos_consumo_datadis'!A11312&lt;&gt;"""",SPLIT('(INGESTA)Datos_consumo_datadis'!A:A,"",""),"""")"),"ES0031408323131005HX0F")</f>
        <v>ES0031408323131005HX0F</v>
      </c>
      <c r="B11312" s="12">
        <f>IFERROR(__xludf.DUMMYFUNCTION("""COMPUTED_VALUE"""),45337.0)</f>
        <v>45337</v>
      </c>
      <c r="C11312" s="13">
        <f>IFERROR(__xludf.DUMMYFUNCTION("""COMPUTED_VALUE"""),0.2916666666666667)</f>
        <v>0.2916666667</v>
      </c>
      <c r="D11312" s="8">
        <f>IFERROR(__xludf.DUMMYFUNCTION("""COMPUTED_VALUE"""),0.076)</f>
        <v>0.076</v>
      </c>
      <c r="E11312" s="8" t="str">
        <f>IFERROR(__xludf.DUMMYFUNCTION("""COMPUTED_VALUE"""),"Real")</f>
        <v>Real</v>
      </c>
      <c r="G11312" s="8">
        <f t="shared" si="1"/>
        <v>2</v>
      </c>
      <c r="H11312" s="14">
        <f t="shared" si="2"/>
        <v>15</v>
      </c>
      <c r="I11312" s="15">
        <f t="shared" si="3"/>
        <v>7</v>
      </c>
    </row>
    <row r="11313">
      <c r="A11313" s="8" t="str">
        <f>IFERROR(__xludf.DUMMYFUNCTION("IF('(INGESTA)Datos_consumo_datadis'!A11313&lt;&gt;"""",SPLIT('(INGESTA)Datos_consumo_datadis'!A:A,"",""),"""")"),"ES0031408323131005HX0F")</f>
        <v>ES0031408323131005HX0F</v>
      </c>
      <c r="B11313" s="12">
        <f>IFERROR(__xludf.DUMMYFUNCTION("""COMPUTED_VALUE"""),45337.0)</f>
        <v>45337</v>
      </c>
      <c r="C11313" s="13">
        <f>IFERROR(__xludf.DUMMYFUNCTION("""COMPUTED_VALUE"""),0.3333333333333333)</f>
        <v>0.3333333333</v>
      </c>
      <c r="D11313" s="8">
        <f>IFERROR(__xludf.DUMMYFUNCTION("""COMPUTED_VALUE"""),0.077)</f>
        <v>0.077</v>
      </c>
      <c r="E11313" s="8" t="str">
        <f>IFERROR(__xludf.DUMMYFUNCTION("""COMPUTED_VALUE"""),"Real")</f>
        <v>Real</v>
      </c>
      <c r="G11313" s="8">
        <f t="shared" si="1"/>
        <v>2</v>
      </c>
      <c r="H11313" s="14">
        <f t="shared" si="2"/>
        <v>15</v>
      </c>
      <c r="I11313" s="15">
        <f t="shared" si="3"/>
        <v>8</v>
      </c>
    </row>
    <row r="11314">
      <c r="A11314" s="8" t="str">
        <f>IFERROR(__xludf.DUMMYFUNCTION("IF('(INGESTA)Datos_consumo_datadis'!A11314&lt;&gt;"""",SPLIT('(INGESTA)Datos_consumo_datadis'!A:A,"",""),"""")"),"ES0031408323131005HX0F")</f>
        <v>ES0031408323131005HX0F</v>
      </c>
      <c r="B11314" s="12">
        <f>IFERROR(__xludf.DUMMYFUNCTION("""COMPUTED_VALUE"""),45337.0)</f>
        <v>45337</v>
      </c>
      <c r="C11314" s="13">
        <f>IFERROR(__xludf.DUMMYFUNCTION("""COMPUTED_VALUE"""),0.375)</f>
        <v>0.375</v>
      </c>
      <c r="D11314" s="8">
        <f>IFERROR(__xludf.DUMMYFUNCTION("""COMPUTED_VALUE"""),0.353)</f>
        <v>0.353</v>
      </c>
      <c r="E11314" s="8" t="str">
        <f>IFERROR(__xludf.DUMMYFUNCTION("""COMPUTED_VALUE"""),"Real")</f>
        <v>Real</v>
      </c>
      <c r="G11314" s="8">
        <f t="shared" si="1"/>
        <v>2</v>
      </c>
      <c r="H11314" s="14">
        <f t="shared" si="2"/>
        <v>15</v>
      </c>
      <c r="I11314" s="15">
        <f t="shared" si="3"/>
        <v>9</v>
      </c>
    </row>
    <row r="11315">
      <c r="A11315" s="8" t="str">
        <f>IFERROR(__xludf.DUMMYFUNCTION("IF('(INGESTA)Datos_consumo_datadis'!A11315&lt;&gt;"""",SPLIT('(INGESTA)Datos_consumo_datadis'!A:A,"",""),"""")"),"ES0031408323131005HX0F")</f>
        <v>ES0031408323131005HX0F</v>
      </c>
      <c r="B11315" s="12">
        <f>IFERROR(__xludf.DUMMYFUNCTION("""COMPUTED_VALUE"""),45337.0)</f>
        <v>45337</v>
      </c>
      <c r="C11315" s="13">
        <f>IFERROR(__xludf.DUMMYFUNCTION("""COMPUTED_VALUE"""),0.4166666666666667)</f>
        <v>0.4166666667</v>
      </c>
      <c r="D11315" s="8">
        <f>IFERROR(__xludf.DUMMYFUNCTION("""COMPUTED_VALUE"""),0.083)</f>
        <v>0.083</v>
      </c>
      <c r="E11315" s="8" t="str">
        <f>IFERROR(__xludf.DUMMYFUNCTION("""COMPUTED_VALUE"""),"Real")</f>
        <v>Real</v>
      </c>
      <c r="G11315" s="8">
        <f t="shared" si="1"/>
        <v>2</v>
      </c>
      <c r="H11315" s="14">
        <f t="shared" si="2"/>
        <v>15</v>
      </c>
      <c r="I11315" s="15">
        <f t="shared" si="3"/>
        <v>10</v>
      </c>
    </row>
    <row r="11316">
      <c r="A11316" s="8" t="str">
        <f>IFERROR(__xludf.DUMMYFUNCTION("IF('(INGESTA)Datos_consumo_datadis'!A11316&lt;&gt;"""",SPLIT('(INGESTA)Datos_consumo_datadis'!A:A,"",""),"""")"),"ES0031408323131005HX0F")</f>
        <v>ES0031408323131005HX0F</v>
      </c>
      <c r="B11316" s="12">
        <f>IFERROR(__xludf.DUMMYFUNCTION("""COMPUTED_VALUE"""),45337.0)</f>
        <v>45337</v>
      </c>
      <c r="C11316" s="13">
        <f>IFERROR(__xludf.DUMMYFUNCTION("""COMPUTED_VALUE"""),0.4583333333333333)</f>
        <v>0.4583333333</v>
      </c>
      <c r="D11316" s="8">
        <f>IFERROR(__xludf.DUMMYFUNCTION("""COMPUTED_VALUE"""),0.353)</f>
        <v>0.353</v>
      </c>
      <c r="E11316" s="8" t="str">
        <f>IFERROR(__xludf.DUMMYFUNCTION("""COMPUTED_VALUE"""),"Real")</f>
        <v>Real</v>
      </c>
      <c r="G11316" s="8">
        <f t="shared" si="1"/>
        <v>2</v>
      </c>
      <c r="H11316" s="14">
        <f t="shared" si="2"/>
        <v>15</v>
      </c>
      <c r="I11316" s="15">
        <f t="shared" si="3"/>
        <v>11</v>
      </c>
    </row>
    <row r="11317">
      <c r="A11317" s="8" t="str">
        <f>IFERROR(__xludf.DUMMYFUNCTION("IF('(INGESTA)Datos_consumo_datadis'!A11317&lt;&gt;"""",SPLIT('(INGESTA)Datos_consumo_datadis'!A:A,"",""),"""")"),"ES0031408323131005HX0F")</f>
        <v>ES0031408323131005HX0F</v>
      </c>
      <c r="B11317" s="12">
        <f>IFERROR(__xludf.DUMMYFUNCTION("""COMPUTED_VALUE"""),45337.0)</f>
        <v>45337</v>
      </c>
      <c r="C11317" s="13">
        <f>IFERROR(__xludf.DUMMYFUNCTION("""COMPUTED_VALUE"""),0.5)</f>
        <v>0.5</v>
      </c>
      <c r="D11317" s="8">
        <f>IFERROR(__xludf.DUMMYFUNCTION("""COMPUTED_VALUE"""),1.364)</f>
        <v>1.364</v>
      </c>
      <c r="E11317" s="8" t="str">
        <f>IFERROR(__xludf.DUMMYFUNCTION("""COMPUTED_VALUE"""),"Real")</f>
        <v>Real</v>
      </c>
      <c r="G11317" s="8">
        <f t="shared" si="1"/>
        <v>2</v>
      </c>
      <c r="H11317" s="14">
        <f t="shared" si="2"/>
        <v>15</v>
      </c>
      <c r="I11317" s="15">
        <f t="shared" si="3"/>
        <v>12</v>
      </c>
    </row>
    <row r="11318">
      <c r="A11318" s="8" t="str">
        <f>IFERROR(__xludf.DUMMYFUNCTION("IF('(INGESTA)Datos_consumo_datadis'!A11318&lt;&gt;"""",SPLIT('(INGESTA)Datos_consumo_datadis'!A:A,"",""),"""")"),"ES0031408323131005HX0F")</f>
        <v>ES0031408323131005HX0F</v>
      </c>
      <c r="B11318" s="12">
        <f>IFERROR(__xludf.DUMMYFUNCTION("""COMPUTED_VALUE"""),45337.0)</f>
        <v>45337</v>
      </c>
      <c r="C11318" s="13">
        <f>IFERROR(__xludf.DUMMYFUNCTION("""COMPUTED_VALUE"""),0.5416666666666666)</f>
        <v>0.5416666667</v>
      </c>
      <c r="D11318" s="8">
        <f>IFERROR(__xludf.DUMMYFUNCTION("""COMPUTED_VALUE"""),1.116)</f>
        <v>1.116</v>
      </c>
      <c r="E11318" s="8" t="str">
        <f>IFERROR(__xludf.DUMMYFUNCTION("""COMPUTED_VALUE"""),"Real")</f>
        <v>Real</v>
      </c>
      <c r="G11318" s="8">
        <f t="shared" si="1"/>
        <v>2</v>
      </c>
      <c r="H11318" s="14">
        <f t="shared" si="2"/>
        <v>15</v>
      </c>
      <c r="I11318" s="15">
        <f t="shared" si="3"/>
        <v>13</v>
      </c>
    </row>
    <row r="11319">
      <c r="A11319" s="8" t="str">
        <f>IFERROR(__xludf.DUMMYFUNCTION("IF('(INGESTA)Datos_consumo_datadis'!A11319&lt;&gt;"""",SPLIT('(INGESTA)Datos_consumo_datadis'!A:A,"",""),"""")"),"ES0031408323131005HX0F")</f>
        <v>ES0031408323131005HX0F</v>
      </c>
      <c r="B11319" s="12">
        <f>IFERROR(__xludf.DUMMYFUNCTION("""COMPUTED_VALUE"""),45337.0)</f>
        <v>45337</v>
      </c>
      <c r="C11319" s="13">
        <f>IFERROR(__xludf.DUMMYFUNCTION("""COMPUTED_VALUE"""),0.5833333333333334)</f>
        <v>0.5833333333</v>
      </c>
      <c r="D11319" s="8">
        <f>IFERROR(__xludf.DUMMYFUNCTION("""COMPUTED_VALUE"""),0.412)</f>
        <v>0.412</v>
      </c>
      <c r="E11319" s="8" t="str">
        <f>IFERROR(__xludf.DUMMYFUNCTION("""COMPUTED_VALUE"""),"Real")</f>
        <v>Real</v>
      </c>
      <c r="G11319" s="8">
        <f t="shared" si="1"/>
        <v>2</v>
      </c>
      <c r="H11319" s="14">
        <f t="shared" si="2"/>
        <v>15</v>
      </c>
      <c r="I11319" s="15">
        <f t="shared" si="3"/>
        <v>14</v>
      </c>
    </row>
    <row r="11320">
      <c r="A11320" s="8" t="str">
        <f>IFERROR(__xludf.DUMMYFUNCTION("IF('(INGESTA)Datos_consumo_datadis'!A11320&lt;&gt;"""",SPLIT('(INGESTA)Datos_consumo_datadis'!A:A,"",""),"""")"),"ES0031408323131005HX0F")</f>
        <v>ES0031408323131005HX0F</v>
      </c>
      <c r="B11320" s="12">
        <f>IFERROR(__xludf.DUMMYFUNCTION("""COMPUTED_VALUE"""),45337.0)</f>
        <v>45337</v>
      </c>
      <c r="C11320" s="13">
        <f>IFERROR(__xludf.DUMMYFUNCTION("""COMPUTED_VALUE"""),0.625)</f>
        <v>0.625</v>
      </c>
      <c r="D11320" s="8">
        <f>IFERROR(__xludf.DUMMYFUNCTION("""COMPUTED_VALUE"""),3.351)</f>
        <v>3.351</v>
      </c>
      <c r="E11320" s="8" t="str">
        <f>IFERROR(__xludf.DUMMYFUNCTION("""COMPUTED_VALUE"""),"Real")</f>
        <v>Real</v>
      </c>
      <c r="G11320" s="8">
        <f t="shared" si="1"/>
        <v>2</v>
      </c>
      <c r="H11320" s="14">
        <f t="shared" si="2"/>
        <v>15</v>
      </c>
      <c r="I11320" s="15">
        <f t="shared" si="3"/>
        <v>15</v>
      </c>
    </row>
    <row r="11321">
      <c r="A11321" s="8" t="str">
        <f>IFERROR(__xludf.DUMMYFUNCTION("IF('(INGESTA)Datos_consumo_datadis'!A11321&lt;&gt;"""",SPLIT('(INGESTA)Datos_consumo_datadis'!A:A,"",""),"""")"),"ES0031408323131005HX0F")</f>
        <v>ES0031408323131005HX0F</v>
      </c>
      <c r="B11321" s="12">
        <f>IFERROR(__xludf.DUMMYFUNCTION("""COMPUTED_VALUE"""),45337.0)</f>
        <v>45337</v>
      </c>
      <c r="C11321" s="13">
        <f>IFERROR(__xludf.DUMMYFUNCTION("""COMPUTED_VALUE"""),0.6666666666666666)</f>
        <v>0.6666666667</v>
      </c>
      <c r="D11321" s="8">
        <f>IFERROR(__xludf.DUMMYFUNCTION("""COMPUTED_VALUE"""),0.67)</f>
        <v>0.67</v>
      </c>
      <c r="E11321" s="8" t="str">
        <f>IFERROR(__xludf.DUMMYFUNCTION("""COMPUTED_VALUE"""),"Real")</f>
        <v>Real</v>
      </c>
      <c r="G11321" s="8">
        <f t="shared" si="1"/>
        <v>2</v>
      </c>
      <c r="H11321" s="14">
        <f t="shared" si="2"/>
        <v>15</v>
      </c>
      <c r="I11321" s="15">
        <f t="shared" si="3"/>
        <v>16</v>
      </c>
    </row>
    <row r="11322">
      <c r="A11322" s="8" t="str">
        <f>IFERROR(__xludf.DUMMYFUNCTION("IF('(INGESTA)Datos_consumo_datadis'!A11322&lt;&gt;"""",SPLIT('(INGESTA)Datos_consumo_datadis'!A:A,"",""),"""")"),"ES0031408323131005HX0F")</f>
        <v>ES0031408323131005HX0F</v>
      </c>
      <c r="B11322" s="12">
        <f>IFERROR(__xludf.DUMMYFUNCTION("""COMPUTED_VALUE"""),45337.0)</f>
        <v>45337</v>
      </c>
      <c r="C11322" s="13">
        <f>IFERROR(__xludf.DUMMYFUNCTION("""COMPUTED_VALUE"""),0.7083333333333334)</f>
        <v>0.7083333333</v>
      </c>
      <c r="D11322" s="8">
        <f>IFERROR(__xludf.DUMMYFUNCTION("""COMPUTED_VALUE"""),0.483)</f>
        <v>0.483</v>
      </c>
      <c r="E11322" s="8" t="str">
        <f>IFERROR(__xludf.DUMMYFUNCTION("""COMPUTED_VALUE"""),"Real")</f>
        <v>Real</v>
      </c>
      <c r="G11322" s="8">
        <f t="shared" si="1"/>
        <v>2</v>
      </c>
      <c r="H11322" s="14">
        <f t="shared" si="2"/>
        <v>15</v>
      </c>
      <c r="I11322" s="15">
        <f t="shared" si="3"/>
        <v>17</v>
      </c>
    </row>
    <row r="11323">
      <c r="A11323" s="8" t="str">
        <f>IFERROR(__xludf.DUMMYFUNCTION("IF('(INGESTA)Datos_consumo_datadis'!A11323&lt;&gt;"""",SPLIT('(INGESTA)Datos_consumo_datadis'!A:A,"",""),"""")"),"ES0031408323131005HX0F")</f>
        <v>ES0031408323131005HX0F</v>
      </c>
      <c r="B11323" s="12">
        <f>IFERROR(__xludf.DUMMYFUNCTION("""COMPUTED_VALUE"""),45337.0)</f>
        <v>45337</v>
      </c>
      <c r="C11323" s="13">
        <f>IFERROR(__xludf.DUMMYFUNCTION("""COMPUTED_VALUE"""),0.75)</f>
        <v>0.75</v>
      </c>
      <c r="D11323" s="8">
        <f>IFERROR(__xludf.DUMMYFUNCTION("""COMPUTED_VALUE"""),0.097)</f>
        <v>0.097</v>
      </c>
      <c r="E11323" s="8" t="str">
        <f>IFERROR(__xludf.DUMMYFUNCTION("""COMPUTED_VALUE"""),"Real")</f>
        <v>Real</v>
      </c>
      <c r="G11323" s="8">
        <f t="shared" si="1"/>
        <v>2</v>
      </c>
      <c r="H11323" s="14">
        <f t="shared" si="2"/>
        <v>15</v>
      </c>
      <c r="I11323" s="15">
        <f t="shared" si="3"/>
        <v>18</v>
      </c>
    </row>
    <row r="11324">
      <c r="A11324" s="8" t="str">
        <f>IFERROR(__xludf.DUMMYFUNCTION("IF('(INGESTA)Datos_consumo_datadis'!A11324&lt;&gt;"""",SPLIT('(INGESTA)Datos_consumo_datadis'!A:A,"",""),"""")"),"ES0031408323131005HX0F")</f>
        <v>ES0031408323131005HX0F</v>
      </c>
      <c r="B11324" s="12">
        <f>IFERROR(__xludf.DUMMYFUNCTION("""COMPUTED_VALUE"""),45337.0)</f>
        <v>45337</v>
      </c>
      <c r="C11324" s="13">
        <f>IFERROR(__xludf.DUMMYFUNCTION("""COMPUTED_VALUE"""),0.7916666666666666)</f>
        <v>0.7916666667</v>
      </c>
      <c r="D11324" s="8">
        <f>IFERROR(__xludf.DUMMYFUNCTION("""COMPUTED_VALUE"""),0.027)</f>
        <v>0.027</v>
      </c>
      <c r="E11324" s="8" t="str">
        <f>IFERROR(__xludf.DUMMYFUNCTION("""COMPUTED_VALUE"""),"Real")</f>
        <v>Real</v>
      </c>
      <c r="G11324" s="8">
        <f t="shared" si="1"/>
        <v>2</v>
      </c>
      <c r="H11324" s="14">
        <f t="shared" si="2"/>
        <v>15</v>
      </c>
      <c r="I11324" s="15">
        <f t="shared" si="3"/>
        <v>19</v>
      </c>
    </row>
    <row r="11325">
      <c r="A11325" s="8" t="str">
        <f>IFERROR(__xludf.DUMMYFUNCTION("IF('(INGESTA)Datos_consumo_datadis'!A11325&lt;&gt;"""",SPLIT('(INGESTA)Datos_consumo_datadis'!A:A,"",""),"""")"),"ES0031408323131005HX0F")</f>
        <v>ES0031408323131005HX0F</v>
      </c>
      <c r="B11325" s="12">
        <f>IFERROR(__xludf.DUMMYFUNCTION("""COMPUTED_VALUE"""),45337.0)</f>
        <v>45337</v>
      </c>
      <c r="C11325" s="13">
        <f>IFERROR(__xludf.DUMMYFUNCTION("""COMPUTED_VALUE"""),0.8333333333333334)</f>
        <v>0.8333333333</v>
      </c>
      <c r="D11325" s="8">
        <f>IFERROR(__xludf.DUMMYFUNCTION("""COMPUTED_VALUE"""),0.365)</f>
        <v>0.365</v>
      </c>
      <c r="E11325" s="8" t="str">
        <f>IFERROR(__xludf.DUMMYFUNCTION("""COMPUTED_VALUE"""),"Real")</f>
        <v>Real</v>
      </c>
      <c r="G11325" s="8">
        <f t="shared" si="1"/>
        <v>2</v>
      </c>
      <c r="H11325" s="14">
        <f t="shared" si="2"/>
        <v>15</v>
      </c>
      <c r="I11325" s="15">
        <f t="shared" si="3"/>
        <v>20</v>
      </c>
    </row>
    <row r="11326">
      <c r="A11326" s="8" t="str">
        <f>IFERROR(__xludf.DUMMYFUNCTION("IF('(INGESTA)Datos_consumo_datadis'!A11326&lt;&gt;"""",SPLIT('(INGESTA)Datos_consumo_datadis'!A:A,"",""),"""")"),"ES0031408323131005HX0F")</f>
        <v>ES0031408323131005HX0F</v>
      </c>
      <c r="B11326" s="12">
        <f>IFERROR(__xludf.DUMMYFUNCTION("""COMPUTED_VALUE"""),45337.0)</f>
        <v>45337</v>
      </c>
      <c r="C11326" s="13">
        <f>IFERROR(__xludf.DUMMYFUNCTION("""COMPUTED_VALUE"""),0.875)</f>
        <v>0.875</v>
      </c>
      <c r="D11326" s="8">
        <f>IFERROR(__xludf.DUMMYFUNCTION("""COMPUTED_VALUE"""),0.113)</f>
        <v>0.113</v>
      </c>
      <c r="E11326" s="8" t="str">
        <f>IFERROR(__xludf.DUMMYFUNCTION("""COMPUTED_VALUE"""),"Real")</f>
        <v>Real</v>
      </c>
      <c r="G11326" s="8">
        <f t="shared" si="1"/>
        <v>2</v>
      </c>
      <c r="H11326" s="14">
        <f t="shared" si="2"/>
        <v>15</v>
      </c>
      <c r="I11326" s="15">
        <f t="shared" si="3"/>
        <v>21</v>
      </c>
    </row>
    <row r="11327">
      <c r="A11327" s="8" t="str">
        <f>IFERROR(__xludf.DUMMYFUNCTION("IF('(INGESTA)Datos_consumo_datadis'!A11327&lt;&gt;"""",SPLIT('(INGESTA)Datos_consumo_datadis'!A:A,"",""),"""")"),"ES0031408323131005HX0F")</f>
        <v>ES0031408323131005HX0F</v>
      </c>
      <c r="B11327" s="12">
        <f>IFERROR(__xludf.DUMMYFUNCTION("""COMPUTED_VALUE"""),45337.0)</f>
        <v>45337</v>
      </c>
      <c r="C11327" s="13">
        <f>IFERROR(__xludf.DUMMYFUNCTION("""COMPUTED_VALUE"""),0.9166666666666666)</f>
        <v>0.9166666667</v>
      </c>
      <c r="D11327" s="8">
        <f>IFERROR(__xludf.DUMMYFUNCTION("""COMPUTED_VALUE"""),0.453)</f>
        <v>0.453</v>
      </c>
      <c r="E11327" s="8" t="str">
        <f>IFERROR(__xludf.DUMMYFUNCTION("""COMPUTED_VALUE"""),"Real")</f>
        <v>Real</v>
      </c>
      <c r="G11327" s="8">
        <f t="shared" si="1"/>
        <v>2</v>
      </c>
      <c r="H11327" s="14">
        <f t="shared" si="2"/>
        <v>15</v>
      </c>
      <c r="I11327" s="15">
        <f t="shared" si="3"/>
        <v>22</v>
      </c>
    </row>
    <row r="11328">
      <c r="A11328" s="8" t="str">
        <f>IFERROR(__xludf.DUMMYFUNCTION("IF('(INGESTA)Datos_consumo_datadis'!A11328&lt;&gt;"""",SPLIT('(INGESTA)Datos_consumo_datadis'!A:A,"",""),"""")"),"ES0031408323131005HX0F")</f>
        <v>ES0031408323131005HX0F</v>
      </c>
      <c r="B11328" s="12">
        <f>IFERROR(__xludf.DUMMYFUNCTION("""COMPUTED_VALUE"""),45337.0)</f>
        <v>45337</v>
      </c>
      <c r="C11328" s="13">
        <f>IFERROR(__xludf.DUMMYFUNCTION("""COMPUTED_VALUE"""),0.9583333333333334)</f>
        <v>0.9583333333</v>
      </c>
      <c r="D11328" s="8">
        <f>IFERROR(__xludf.DUMMYFUNCTION("""COMPUTED_VALUE"""),0.491)</f>
        <v>0.491</v>
      </c>
      <c r="E11328" s="8" t="str">
        <f>IFERROR(__xludf.DUMMYFUNCTION("""COMPUTED_VALUE"""),"Real")</f>
        <v>Real</v>
      </c>
      <c r="G11328" s="8">
        <f t="shared" si="1"/>
        <v>2</v>
      </c>
      <c r="H11328" s="14">
        <f t="shared" si="2"/>
        <v>15</v>
      </c>
      <c r="I11328" s="15">
        <f t="shared" si="3"/>
        <v>23</v>
      </c>
    </row>
    <row r="11329">
      <c r="A11329" s="8" t="str">
        <f>IFERROR(__xludf.DUMMYFUNCTION("IF('(INGESTA)Datos_consumo_datadis'!A11329&lt;&gt;"""",SPLIT('(INGESTA)Datos_consumo_datadis'!A:A,"",""),"""")"),"ES0031408323131005HX0F")</f>
        <v>ES0031408323131005HX0F</v>
      </c>
      <c r="B11329" s="12">
        <f>IFERROR(__xludf.DUMMYFUNCTION("""COMPUTED_VALUE"""),45337.0)</f>
        <v>45337</v>
      </c>
      <c r="C11329" s="16">
        <f>IFERROR(__xludf.DUMMYFUNCTION("""COMPUTED_VALUE"""),1.0)</f>
        <v>1</v>
      </c>
      <c r="D11329" s="8">
        <f>IFERROR(__xludf.DUMMYFUNCTION("""COMPUTED_VALUE"""),0.128)</f>
        <v>0.128</v>
      </c>
      <c r="E11329" s="8" t="str">
        <f>IFERROR(__xludf.DUMMYFUNCTION("""COMPUTED_VALUE"""),"Real")</f>
        <v>Real</v>
      </c>
      <c r="G11329" s="8">
        <f t="shared" si="1"/>
        <v>2</v>
      </c>
      <c r="H11329" s="14">
        <f t="shared" si="2"/>
        <v>15</v>
      </c>
      <c r="I11329" s="15">
        <f t="shared" si="3"/>
        <v>0</v>
      </c>
    </row>
    <row r="11330">
      <c r="A11330" s="8" t="str">
        <f>IFERROR(__xludf.DUMMYFUNCTION("IF('(INGESTA)Datos_consumo_datadis'!A11330&lt;&gt;"""",SPLIT('(INGESTA)Datos_consumo_datadis'!A:A,"",""),"""")"),"ES0031408323131005HX0F")</f>
        <v>ES0031408323131005HX0F</v>
      </c>
      <c r="B11330" s="12">
        <f>IFERROR(__xludf.DUMMYFUNCTION("""COMPUTED_VALUE"""),45338.0)</f>
        <v>45338</v>
      </c>
      <c r="C11330" s="13">
        <f>IFERROR(__xludf.DUMMYFUNCTION("""COMPUTED_VALUE"""),0.041666666666666664)</f>
        <v>0.04166666667</v>
      </c>
      <c r="D11330" s="8">
        <f>IFERROR(__xludf.DUMMYFUNCTION("""COMPUTED_VALUE"""),0.104)</f>
        <v>0.104</v>
      </c>
      <c r="E11330" s="8" t="str">
        <f>IFERROR(__xludf.DUMMYFUNCTION("""COMPUTED_VALUE"""),"Real")</f>
        <v>Real</v>
      </c>
      <c r="G11330" s="8">
        <f t="shared" si="1"/>
        <v>2</v>
      </c>
      <c r="H11330" s="14">
        <f t="shared" si="2"/>
        <v>16</v>
      </c>
      <c r="I11330" s="15">
        <f t="shared" si="3"/>
        <v>1</v>
      </c>
    </row>
    <row r="11331">
      <c r="A11331" s="8" t="str">
        <f>IFERROR(__xludf.DUMMYFUNCTION("IF('(INGESTA)Datos_consumo_datadis'!A11331&lt;&gt;"""",SPLIT('(INGESTA)Datos_consumo_datadis'!A:A,"",""),"""")"),"ES0031408323131005HX0F")</f>
        <v>ES0031408323131005HX0F</v>
      </c>
      <c r="B11331" s="12">
        <f>IFERROR(__xludf.DUMMYFUNCTION("""COMPUTED_VALUE"""),45338.0)</f>
        <v>45338</v>
      </c>
      <c r="C11331" s="13">
        <f>IFERROR(__xludf.DUMMYFUNCTION("""COMPUTED_VALUE"""),0.08333333333333333)</f>
        <v>0.08333333333</v>
      </c>
      <c r="D11331" s="8">
        <f>IFERROR(__xludf.DUMMYFUNCTION("""COMPUTED_VALUE"""),0.062)</f>
        <v>0.062</v>
      </c>
      <c r="E11331" s="8" t="str">
        <f>IFERROR(__xludf.DUMMYFUNCTION("""COMPUTED_VALUE"""),"Real")</f>
        <v>Real</v>
      </c>
      <c r="G11331" s="8">
        <f t="shared" si="1"/>
        <v>2</v>
      </c>
      <c r="H11331" s="14">
        <f t="shared" si="2"/>
        <v>16</v>
      </c>
      <c r="I11331" s="15">
        <f t="shared" si="3"/>
        <v>2</v>
      </c>
    </row>
    <row r="11332">
      <c r="A11332" s="8" t="str">
        <f>IFERROR(__xludf.DUMMYFUNCTION("IF('(INGESTA)Datos_consumo_datadis'!A11332&lt;&gt;"""",SPLIT('(INGESTA)Datos_consumo_datadis'!A:A,"",""),"""")"),"ES0031408323131005HX0F")</f>
        <v>ES0031408323131005HX0F</v>
      </c>
      <c r="B11332" s="12">
        <f>IFERROR(__xludf.DUMMYFUNCTION("""COMPUTED_VALUE"""),45338.0)</f>
        <v>45338</v>
      </c>
      <c r="C11332" s="13">
        <f>IFERROR(__xludf.DUMMYFUNCTION("""COMPUTED_VALUE"""),0.125)</f>
        <v>0.125</v>
      </c>
      <c r="D11332" s="8">
        <f>IFERROR(__xludf.DUMMYFUNCTION("""COMPUTED_VALUE"""),0.064)</f>
        <v>0.064</v>
      </c>
      <c r="E11332" s="8" t="str">
        <f>IFERROR(__xludf.DUMMYFUNCTION("""COMPUTED_VALUE"""),"Real")</f>
        <v>Real</v>
      </c>
      <c r="G11332" s="8">
        <f t="shared" si="1"/>
        <v>2</v>
      </c>
      <c r="H11332" s="14">
        <f t="shared" si="2"/>
        <v>16</v>
      </c>
      <c r="I11332" s="15">
        <f t="shared" si="3"/>
        <v>3</v>
      </c>
    </row>
    <row r="11333">
      <c r="A11333" s="8" t="str">
        <f>IFERROR(__xludf.DUMMYFUNCTION("IF('(INGESTA)Datos_consumo_datadis'!A11333&lt;&gt;"""",SPLIT('(INGESTA)Datos_consumo_datadis'!A:A,"",""),"""")"),"ES0031408323131005HX0F")</f>
        <v>ES0031408323131005HX0F</v>
      </c>
      <c r="B11333" s="12">
        <f>IFERROR(__xludf.DUMMYFUNCTION("""COMPUTED_VALUE"""),45338.0)</f>
        <v>45338</v>
      </c>
      <c r="C11333" s="13">
        <f>IFERROR(__xludf.DUMMYFUNCTION("""COMPUTED_VALUE"""),0.16666666666666666)</f>
        <v>0.1666666667</v>
      </c>
      <c r="D11333" s="8">
        <f>IFERROR(__xludf.DUMMYFUNCTION("""COMPUTED_VALUE"""),0.362)</f>
        <v>0.362</v>
      </c>
      <c r="E11333" s="8" t="str">
        <f>IFERROR(__xludf.DUMMYFUNCTION("""COMPUTED_VALUE"""),"Real")</f>
        <v>Real</v>
      </c>
      <c r="G11333" s="8">
        <f t="shared" si="1"/>
        <v>2</v>
      </c>
      <c r="H11333" s="14">
        <f t="shared" si="2"/>
        <v>16</v>
      </c>
      <c r="I11333" s="15">
        <f t="shared" si="3"/>
        <v>4</v>
      </c>
    </row>
    <row r="11334">
      <c r="A11334" s="8" t="str">
        <f>IFERROR(__xludf.DUMMYFUNCTION("IF('(INGESTA)Datos_consumo_datadis'!A11334&lt;&gt;"""",SPLIT('(INGESTA)Datos_consumo_datadis'!A:A,"",""),"""")"),"ES0031408323131005HX0F")</f>
        <v>ES0031408323131005HX0F</v>
      </c>
      <c r="B11334" s="12">
        <f>IFERROR(__xludf.DUMMYFUNCTION("""COMPUTED_VALUE"""),45338.0)</f>
        <v>45338</v>
      </c>
      <c r="C11334" s="13">
        <f>IFERROR(__xludf.DUMMYFUNCTION("""COMPUTED_VALUE"""),0.20833333333333334)</f>
        <v>0.2083333333</v>
      </c>
      <c r="D11334" s="8">
        <f>IFERROR(__xludf.DUMMYFUNCTION("""COMPUTED_VALUE"""),0.022)</f>
        <v>0.022</v>
      </c>
      <c r="E11334" s="8" t="str">
        <f>IFERROR(__xludf.DUMMYFUNCTION("""COMPUTED_VALUE"""),"Real")</f>
        <v>Real</v>
      </c>
      <c r="G11334" s="8">
        <f t="shared" si="1"/>
        <v>2</v>
      </c>
      <c r="H11334" s="14">
        <f t="shared" si="2"/>
        <v>16</v>
      </c>
      <c r="I11334" s="15">
        <f t="shared" si="3"/>
        <v>5</v>
      </c>
    </row>
    <row r="11335">
      <c r="A11335" s="8" t="str">
        <f>IFERROR(__xludf.DUMMYFUNCTION("IF('(INGESTA)Datos_consumo_datadis'!A11335&lt;&gt;"""",SPLIT('(INGESTA)Datos_consumo_datadis'!A:A,"",""),"""")"),"ES0031408323131005HX0F")</f>
        <v>ES0031408323131005HX0F</v>
      </c>
      <c r="B11335" s="12">
        <f>IFERROR(__xludf.DUMMYFUNCTION("""COMPUTED_VALUE"""),45338.0)</f>
        <v>45338</v>
      </c>
      <c r="C11335" s="13">
        <f>IFERROR(__xludf.DUMMYFUNCTION("""COMPUTED_VALUE"""),0.25)</f>
        <v>0.25</v>
      </c>
      <c r="D11335" s="8">
        <f>IFERROR(__xludf.DUMMYFUNCTION("""COMPUTED_VALUE"""),0.084)</f>
        <v>0.084</v>
      </c>
      <c r="E11335" s="8" t="str">
        <f>IFERROR(__xludf.DUMMYFUNCTION("""COMPUTED_VALUE"""),"Real")</f>
        <v>Real</v>
      </c>
      <c r="G11335" s="8">
        <f t="shared" si="1"/>
        <v>2</v>
      </c>
      <c r="H11335" s="14">
        <f t="shared" si="2"/>
        <v>16</v>
      </c>
      <c r="I11335" s="15">
        <f t="shared" si="3"/>
        <v>6</v>
      </c>
    </row>
    <row r="11336">
      <c r="A11336" s="8" t="str">
        <f>IFERROR(__xludf.DUMMYFUNCTION("IF('(INGESTA)Datos_consumo_datadis'!A11336&lt;&gt;"""",SPLIT('(INGESTA)Datos_consumo_datadis'!A:A,"",""),"""")"),"ES0031408323131005HX0F")</f>
        <v>ES0031408323131005HX0F</v>
      </c>
      <c r="B11336" s="12">
        <f>IFERROR(__xludf.DUMMYFUNCTION("""COMPUTED_VALUE"""),45338.0)</f>
        <v>45338</v>
      </c>
      <c r="C11336" s="13">
        <f>IFERROR(__xludf.DUMMYFUNCTION("""COMPUTED_VALUE"""),0.2916666666666667)</f>
        <v>0.2916666667</v>
      </c>
      <c r="D11336" s="8">
        <f>IFERROR(__xludf.DUMMYFUNCTION("""COMPUTED_VALUE"""),0.047)</f>
        <v>0.047</v>
      </c>
      <c r="E11336" s="8" t="str">
        <f>IFERROR(__xludf.DUMMYFUNCTION("""COMPUTED_VALUE"""),"Real")</f>
        <v>Real</v>
      </c>
      <c r="G11336" s="8">
        <f t="shared" si="1"/>
        <v>2</v>
      </c>
      <c r="H11336" s="14">
        <f t="shared" si="2"/>
        <v>16</v>
      </c>
      <c r="I11336" s="15">
        <f t="shared" si="3"/>
        <v>7</v>
      </c>
    </row>
    <row r="11337">
      <c r="A11337" s="8" t="str">
        <f>IFERROR(__xludf.DUMMYFUNCTION("IF('(INGESTA)Datos_consumo_datadis'!A11337&lt;&gt;"""",SPLIT('(INGESTA)Datos_consumo_datadis'!A:A,"",""),"""")"),"ES0031408323131005HX0F")</f>
        <v>ES0031408323131005HX0F</v>
      </c>
      <c r="B11337" s="12">
        <f>IFERROR(__xludf.DUMMYFUNCTION("""COMPUTED_VALUE"""),45338.0)</f>
        <v>45338</v>
      </c>
      <c r="C11337" s="13">
        <f>IFERROR(__xludf.DUMMYFUNCTION("""COMPUTED_VALUE"""),0.3333333333333333)</f>
        <v>0.3333333333</v>
      </c>
      <c r="D11337" s="8">
        <f>IFERROR(__xludf.DUMMYFUNCTION("""COMPUTED_VALUE"""),0.049)</f>
        <v>0.049</v>
      </c>
      <c r="E11337" s="8" t="str">
        <f>IFERROR(__xludf.DUMMYFUNCTION("""COMPUTED_VALUE"""),"Real")</f>
        <v>Real</v>
      </c>
      <c r="G11337" s="8">
        <f t="shared" si="1"/>
        <v>2</v>
      </c>
      <c r="H11337" s="14">
        <f t="shared" si="2"/>
        <v>16</v>
      </c>
      <c r="I11337" s="15">
        <f t="shared" si="3"/>
        <v>8</v>
      </c>
    </row>
    <row r="11338">
      <c r="A11338" s="8" t="str">
        <f>IFERROR(__xludf.DUMMYFUNCTION("IF('(INGESTA)Datos_consumo_datadis'!A11338&lt;&gt;"""",SPLIT('(INGESTA)Datos_consumo_datadis'!A:A,"",""),"""")"),"ES0031408323131005HX0F")</f>
        <v>ES0031408323131005HX0F</v>
      </c>
      <c r="B11338" s="12">
        <f>IFERROR(__xludf.DUMMYFUNCTION("""COMPUTED_VALUE"""),45338.0)</f>
        <v>45338</v>
      </c>
      <c r="C11338" s="13">
        <f>IFERROR(__xludf.DUMMYFUNCTION("""COMPUTED_VALUE"""),0.375)</f>
        <v>0.375</v>
      </c>
      <c r="D11338" s="8">
        <f>IFERROR(__xludf.DUMMYFUNCTION("""COMPUTED_VALUE"""),0.956)</f>
        <v>0.956</v>
      </c>
      <c r="E11338" s="8" t="str">
        <f>IFERROR(__xludf.DUMMYFUNCTION("""COMPUTED_VALUE"""),"Real")</f>
        <v>Real</v>
      </c>
      <c r="G11338" s="8">
        <f t="shared" si="1"/>
        <v>2</v>
      </c>
      <c r="H11338" s="14">
        <f t="shared" si="2"/>
        <v>16</v>
      </c>
      <c r="I11338" s="15">
        <f t="shared" si="3"/>
        <v>9</v>
      </c>
    </row>
    <row r="11339">
      <c r="A11339" s="8" t="str">
        <f>IFERROR(__xludf.DUMMYFUNCTION("IF('(INGESTA)Datos_consumo_datadis'!A11339&lt;&gt;"""",SPLIT('(INGESTA)Datos_consumo_datadis'!A:A,"",""),"""")"),"ES0031408323131005HX0F")</f>
        <v>ES0031408323131005HX0F</v>
      </c>
      <c r="B11339" s="12">
        <f>IFERROR(__xludf.DUMMYFUNCTION("""COMPUTED_VALUE"""),45338.0)</f>
        <v>45338</v>
      </c>
      <c r="C11339" s="13">
        <f>IFERROR(__xludf.DUMMYFUNCTION("""COMPUTED_VALUE"""),0.4166666666666667)</f>
        <v>0.4166666667</v>
      </c>
      <c r="D11339" s="8">
        <f>IFERROR(__xludf.DUMMYFUNCTION("""COMPUTED_VALUE"""),1.673)</f>
        <v>1.673</v>
      </c>
      <c r="E11339" s="8" t="str">
        <f>IFERROR(__xludf.DUMMYFUNCTION("""COMPUTED_VALUE"""),"Real")</f>
        <v>Real</v>
      </c>
      <c r="G11339" s="8">
        <f t="shared" si="1"/>
        <v>2</v>
      </c>
      <c r="H11339" s="14">
        <f t="shared" si="2"/>
        <v>16</v>
      </c>
      <c r="I11339" s="15">
        <f t="shared" si="3"/>
        <v>10</v>
      </c>
    </row>
    <row r="11340">
      <c r="A11340" s="8" t="str">
        <f>IFERROR(__xludf.DUMMYFUNCTION("IF('(INGESTA)Datos_consumo_datadis'!A11340&lt;&gt;"""",SPLIT('(INGESTA)Datos_consumo_datadis'!A:A,"",""),"""")"),"ES0031408323131005HX0F")</f>
        <v>ES0031408323131005HX0F</v>
      </c>
      <c r="B11340" s="12">
        <f>IFERROR(__xludf.DUMMYFUNCTION("""COMPUTED_VALUE"""),45338.0)</f>
        <v>45338</v>
      </c>
      <c r="C11340" s="13">
        <f>IFERROR(__xludf.DUMMYFUNCTION("""COMPUTED_VALUE"""),0.4583333333333333)</f>
        <v>0.4583333333</v>
      </c>
      <c r="D11340" s="8">
        <f>IFERROR(__xludf.DUMMYFUNCTION("""COMPUTED_VALUE"""),0.527)</f>
        <v>0.527</v>
      </c>
      <c r="E11340" s="8" t="str">
        <f>IFERROR(__xludf.DUMMYFUNCTION("""COMPUTED_VALUE"""),"Real")</f>
        <v>Real</v>
      </c>
      <c r="G11340" s="8">
        <f t="shared" si="1"/>
        <v>2</v>
      </c>
      <c r="H11340" s="14">
        <f t="shared" si="2"/>
        <v>16</v>
      </c>
      <c r="I11340" s="15">
        <f t="shared" si="3"/>
        <v>11</v>
      </c>
    </row>
    <row r="11341">
      <c r="A11341" s="8" t="str">
        <f>IFERROR(__xludf.DUMMYFUNCTION("IF('(INGESTA)Datos_consumo_datadis'!A11341&lt;&gt;"""",SPLIT('(INGESTA)Datos_consumo_datadis'!A:A,"",""),"""")"),"ES0031408323131005HX0F")</f>
        <v>ES0031408323131005HX0F</v>
      </c>
      <c r="B11341" s="12">
        <f>IFERROR(__xludf.DUMMYFUNCTION("""COMPUTED_VALUE"""),45338.0)</f>
        <v>45338</v>
      </c>
      <c r="C11341" s="13">
        <f>IFERROR(__xludf.DUMMYFUNCTION("""COMPUTED_VALUE"""),0.5)</f>
        <v>0.5</v>
      </c>
      <c r="D11341" s="8">
        <f>IFERROR(__xludf.DUMMYFUNCTION("""COMPUTED_VALUE"""),0.048)</f>
        <v>0.048</v>
      </c>
      <c r="E11341" s="8" t="str">
        <f>IFERROR(__xludf.DUMMYFUNCTION("""COMPUTED_VALUE"""),"Real")</f>
        <v>Real</v>
      </c>
      <c r="G11341" s="8">
        <f t="shared" si="1"/>
        <v>2</v>
      </c>
      <c r="H11341" s="14">
        <f t="shared" si="2"/>
        <v>16</v>
      </c>
      <c r="I11341" s="15">
        <f t="shared" si="3"/>
        <v>12</v>
      </c>
    </row>
    <row r="11342">
      <c r="A11342" s="8" t="str">
        <f>IFERROR(__xludf.DUMMYFUNCTION("IF('(INGESTA)Datos_consumo_datadis'!A11342&lt;&gt;"""",SPLIT('(INGESTA)Datos_consumo_datadis'!A:A,"",""),"""")"),"ES0031408323131005HX0F")</f>
        <v>ES0031408323131005HX0F</v>
      </c>
      <c r="B11342" s="12">
        <f>IFERROR(__xludf.DUMMYFUNCTION("""COMPUTED_VALUE"""),45338.0)</f>
        <v>45338</v>
      </c>
      <c r="C11342" s="13">
        <f>IFERROR(__xludf.DUMMYFUNCTION("""COMPUTED_VALUE"""),0.5416666666666666)</f>
        <v>0.5416666667</v>
      </c>
      <c r="D11342" s="8">
        <f>IFERROR(__xludf.DUMMYFUNCTION("""COMPUTED_VALUE"""),0.06)</f>
        <v>0.06</v>
      </c>
      <c r="E11342" s="8" t="str">
        <f>IFERROR(__xludf.DUMMYFUNCTION("""COMPUTED_VALUE"""),"Real")</f>
        <v>Real</v>
      </c>
      <c r="G11342" s="8">
        <f t="shared" si="1"/>
        <v>2</v>
      </c>
      <c r="H11342" s="14">
        <f t="shared" si="2"/>
        <v>16</v>
      </c>
      <c r="I11342" s="15">
        <f t="shared" si="3"/>
        <v>13</v>
      </c>
    </row>
    <row r="11343">
      <c r="A11343" s="8" t="str">
        <f>IFERROR(__xludf.DUMMYFUNCTION("IF('(INGESTA)Datos_consumo_datadis'!A11343&lt;&gt;"""",SPLIT('(INGESTA)Datos_consumo_datadis'!A:A,"",""),"""")"),"ES0031408323131005HX0F")</f>
        <v>ES0031408323131005HX0F</v>
      </c>
      <c r="B11343" s="12">
        <f>IFERROR(__xludf.DUMMYFUNCTION("""COMPUTED_VALUE"""),45338.0)</f>
        <v>45338</v>
      </c>
      <c r="C11343" s="13">
        <f>IFERROR(__xludf.DUMMYFUNCTION("""COMPUTED_VALUE"""),0.5833333333333334)</f>
        <v>0.5833333333</v>
      </c>
      <c r="D11343" s="8">
        <f>IFERROR(__xludf.DUMMYFUNCTION("""COMPUTED_VALUE"""),0.073)</f>
        <v>0.073</v>
      </c>
      <c r="E11343" s="8" t="str">
        <f>IFERROR(__xludf.DUMMYFUNCTION("""COMPUTED_VALUE"""),"Real")</f>
        <v>Real</v>
      </c>
      <c r="G11343" s="8">
        <f t="shared" si="1"/>
        <v>2</v>
      </c>
      <c r="H11343" s="14">
        <f t="shared" si="2"/>
        <v>16</v>
      </c>
      <c r="I11343" s="15">
        <f t="shared" si="3"/>
        <v>14</v>
      </c>
    </row>
    <row r="11344">
      <c r="A11344" s="8" t="str">
        <f>IFERROR(__xludf.DUMMYFUNCTION("IF('(INGESTA)Datos_consumo_datadis'!A11344&lt;&gt;"""",SPLIT('(INGESTA)Datos_consumo_datadis'!A:A,"",""),"""")"),"ES0031408323131005HX0F")</f>
        <v>ES0031408323131005HX0F</v>
      </c>
      <c r="B11344" s="12">
        <f>IFERROR(__xludf.DUMMYFUNCTION("""COMPUTED_VALUE"""),45338.0)</f>
        <v>45338</v>
      </c>
      <c r="C11344" s="13">
        <f>IFERROR(__xludf.DUMMYFUNCTION("""COMPUTED_VALUE"""),0.625)</f>
        <v>0.625</v>
      </c>
      <c r="D11344" s="8">
        <f>IFERROR(__xludf.DUMMYFUNCTION("""COMPUTED_VALUE"""),0.318)</f>
        <v>0.318</v>
      </c>
      <c r="E11344" s="8" t="str">
        <f>IFERROR(__xludf.DUMMYFUNCTION("""COMPUTED_VALUE"""),"Real")</f>
        <v>Real</v>
      </c>
      <c r="G11344" s="8">
        <f t="shared" si="1"/>
        <v>2</v>
      </c>
      <c r="H11344" s="14">
        <f t="shared" si="2"/>
        <v>16</v>
      </c>
      <c r="I11344" s="15">
        <f t="shared" si="3"/>
        <v>15</v>
      </c>
    </row>
    <row r="11345">
      <c r="A11345" s="8" t="str">
        <f>IFERROR(__xludf.DUMMYFUNCTION("IF('(INGESTA)Datos_consumo_datadis'!A11345&lt;&gt;"""",SPLIT('(INGESTA)Datos_consumo_datadis'!A:A,"",""),"""")"),"ES0031408323131005HX0F")</f>
        <v>ES0031408323131005HX0F</v>
      </c>
      <c r="B11345" s="12">
        <f>IFERROR(__xludf.DUMMYFUNCTION("""COMPUTED_VALUE"""),45338.0)</f>
        <v>45338</v>
      </c>
      <c r="C11345" s="13">
        <f>IFERROR(__xludf.DUMMYFUNCTION("""COMPUTED_VALUE"""),0.6666666666666666)</f>
        <v>0.6666666667</v>
      </c>
      <c r="D11345" s="8">
        <f>IFERROR(__xludf.DUMMYFUNCTION("""COMPUTED_VALUE"""),0.934)</f>
        <v>0.934</v>
      </c>
      <c r="E11345" s="8" t="str">
        <f>IFERROR(__xludf.DUMMYFUNCTION("""COMPUTED_VALUE"""),"Real")</f>
        <v>Real</v>
      </c>
      <c r="G11345" s="8">
        <f t="shared" si="1"/>
        <v>2</v>
      </c>
      <c r="H11345" s="14">
        <f t="shared" si="2"/>
        <v>16</v>
      </c>
      <c r="I11345" s="15">
        <f t="shared" si="3"/>
        <v>16</v>
      </c>
    </row>
    <row r="11346">
      <c r="A11346" s="8" t="str">
        <f>IFERROR(__xludf.DUMMYFUNCTION("IF('(INGESTA)Datos_consumo_datadis'!A11346&lt;&gt;"""",SPLIT('(INGESTA)Datos_consumo_datadis'!A:A,"",""),"""")"),"ES0031408323131005HX0F")</f>
        <v>ES0031408323131005HX0F</v>
      </c>
      <c r="B11346" s="12">
        <f>IFERROR(__xludf.DUMMYFUNCTION("""COMPUTED_VALUE"""),45338.0)</f>
        <v>45338</v>
      </c>
      <c r="C11346" s="13">
        <f>IFERROR(__xludf.DUMMYFUNCTION("""COMPUTED_VALUE"""),0.7083333333333334)</f>
        <v>0.7083333333</v>
      </c>
      <c r="D11346" s="8">
        <f>IFERROR(__xludf.DUMMYFUNCTION("""COMPUTED_VALUE"""),1.178)</f>
        <v>1.178</v>
      </c>
      <c r="E11346" s="8" t="str">
        <f>IFERROR(__xludf.DUMMYFUNCTION("""COMPUTED_VALUE"""),"Real")</f>
        <v>Real</v>
      </c>
      <c r="G11346" s="8">
        <f t="shared" si="1"/>
        <v>2</v>
      </c>
      <c r="H11346" s="14">
        <f t="shared" si="2"/>
        <v>16</v>
      </c>
      <c r="I11346" s="15">
        <f t="shared" si="3"/>
        <v>17</v>
      </c>
    </row>
    <row r="11347">
      <c r="A11347" s="8" t="str">
        <f>IFERROR(__xludf.DUMMYFUNCTION("IF('(INGESTA)Datos_consumo_datadis'!A11347&lt;&gt;"""",SPLIT('(INGESTA)Datos_consumo_datadis'!A:A,"",""),"""")"),"ES0031408323131005HX0F")</f>
        <v>ES0031408323131005HX0F</v>
      </c>
      <c r="B11347" s="12">
        <f>IFERROR(__xludf.DUMMYFUNCTION("""COMPUTED_VALUE"""),45338.0)</f>
        <v>45338</v>
      </c>
      <c r="C11347" s="13">
        <f>IFERROR(__xludf.DUMMYFUNCTION("""COMPUTED_VALUE"""),0.75)</f>
        <v>0.75</v>
      </c>
      <c r="D11347" s="8">
        <f>IFERROR(__xludf.DUMMYFUNCTION("""COMPUTED_VALUE"""),0.588)</f>
        <v>0.588</v>
      </c>
      <c r="E11347" s="8" t="str">
        <f>IFERROR(__xludf.DUMMYFUNCTION("""COMPUTED_VALUE"""),"Real")</f>
        <v>Real</v>
      </c>
      <c r="G11347" s="8">
        <f t="shared" si="1"/>
        <v>2</v>
      </c>
      <c r="H11347" s="14">
        <f t="shared" si="2"/>
        <v>16</v>
      </c>
      <c r="I11347" s="15">
        <f t="shared" si="3"/>
        <v>18</v>
      </c>
    </row>
    <row r="11348">
      <c r="A11348" s="8" t="str">
        <f>IFERROR(__xludf.DUMMYFUNCTION("IF('(INGESTA)Datos_consumo_datadis'!A11348&lt;&gt;"""",SPLIT('(INGESTA)Datos_consumo_datadis'!A:A,"",""),"""")"),"ES0031408323131005HX0F")</f>
        <v>ES0031408323131005HX0F</v>
      </c>
      <c r="B11348" s="12">
        <f>IFERROR(__xludf.DUMMYFUNCTION("""COMPUTED_VALUE"""),45338.0)</f>
        <v>45338</v>
      </c>
      <c r="C11348" s="13">
        <f>IFERROR(__xludf.DUMMYFUNCTION("""COMPUTED_VALUE"""),0.7916666666666666)</f>
        <v>0.7916666667</v>
      </c>
      <c r="D11348" s="8">
        <f>IFERROR(__xludf.DUMMYFUNCTION("""COMPUTED_VALUE"""),0.136)</f>
        <v>0.136</v>
      </c>
      <c r="E11348" s="8" t="str">
        <f>IFERROR(__xludf.DUMMYFUNCTION("""COMPUTED_VALUE"""),"Real")</f>
        <v>Real</v>
      </c>
      <c r="G11348" s="8">
        <f t="shared" si="1"/>
        <v>2</v>
      </c>
      <c r="H11348" s="14">
        <f t="shared" si="2"/>
        <v>16</v>
      </c>
      <c r="I11348" s="15">
        <f t="shared" si="3"/>
        <v>19</v>
      </c>
    </row>
    <row r="11349">
      <c r="A11349" s="8" t="str">
        <f>IFERROR(__xludf.DUMMYFUNCTION("IF('(INGESTA)Datos_consumo_datadis'!A11349&lt;&gt;"""",SPLIT('(INGESTA)Datos_consumo_datadis'!A:A,"",""),"""")"),"ES0031408323131005HX0F")</f>
        <v>ES0031408323131005HX0F</v>
      </c>
      <c r="B11349" s="12">
        <f>IFERROR(__xludf.DUMMYFUNCTION("""COMPUTED_VALUE"""),45338.0)</f>
        <v>45338</v>
      </c>
      <c r="C11349" s="13">
        <f>IFERROR(__xludf.DUMMYFUNCTION("""COMPUTED_VALUE"""),0.8333333333333334)</f>
        <v>0.8333333333</v>
      </c>
      <c r="D11349" s="8">
        <f>IFERROR(__xludf.DUMMYFUNCTION("""COMPUTED_VALUE"""),0.461)</f>
        <v>0.461</v>
      </c>
      <c r="E11349" s="8" t="str">
        <f>IFERROR(__xludf.DUMMYFUNCTION("""COMPUTED_VALUE"""),"Real")</f>
        <v>Real</v>
      </c>
      <c r="G11349" s="8">
        <f t="shared" si="1"/>
        <v>2</v>
      </c>
      <c r="H11349" s="14">
        <f t="shared" si="2"/>
        <v>16</v>
      </c>
      <c r="I11349" s="15">
        <f t="shared" si="3"/>
        <v>20</v>
      </c>
    </row>
    <row r="11350">
      <c r="A11350" s="8" t="str">
        <f>IFERROR(__xludf.DUMMYFUNCTION("IF('(INGESTA)Datos_consumo_datadis'!A11350&lt;&gt;"""",SPLIT('(INGESTA)Datos_consumo_datadis'!A:A,"",""),"""")"),"ES0031408323131005HX0F")</f>
        <v>ES0031408323131005HX0F</v>
      </c>
      <c r="B11350" s="12">
        <f>IFERROR(__xludf.DUMMYFUNCTION("""COMPUTED_VALUE"""),45338.0)</f>
        <v>45338</v>
      </c>
      <c r="C11350" s="13">
        <f>IFERROR(__xludf.DUMMYFUNCTION("""COMPUTED_VALUE"""),0.875)</f>
        <v>0.875</v>
      </c>
      <c r="D11350" s="8">
        <f>IFERROR(__xludf.DUMMYFUNCTION("""COMPUTED_VALUE"""),0.152)</f>
        <v>0.152</v>
      </c>
      <c r="E11350" s="8" t="str">
        <f>IFERROR(__xludf.DUMMYFUNCTION("""COMPUTED_VALUE"""),"Real")</f>
        <v>Real</v>
      </c>
      <c r="G11350" s="8">
        <f t="shared" si="1"/>
        <v>2</v>
      </c>
      <c r="H11350" s="14">
        <f t="shared" si="2"/>
        <v>16</v>
      </c>
      <c r="I11350" s="15">
        <f t="shared" si="3"/>
        <v>21</v>
      </c>
    </row>
    <row r="11351">
      <c r="A11351" s="8" t="str">
        <f>IFERROR(__xludf.DUMMYFUNCTION("IF('(INGESTA)Datos_consumo_datadis'!A11351&lt;&gt;"""",SPLIT('(INGESTA)Datos_consumo_datadis'!A:A,"",""),"""")"),"ES0031408323131005HX0F")</f>
        <v>ES0031408323131005HX0F</v>
      </c>
      <c r="B11351" s="12">
        <f>IFERROR(__xludf.DUMMYFUNCTION("""COMPUTED_VALUE"""),45338.0)</f>
        <v>45338</v>
      </c>
      <c r="C11351" s="13">
        <f>IFERROR(__xludf.DUMMYFUNCTION("""COMPUTED_VALUE"""),0.9166666666666666)</f>
        <v>0.9166666667</v>
      </c>
      <c r="D11351" s="8">
        <f>IFERROR(__xludf.DUMMYFUNCTION("""COMPUTED_VALUE"""),1.129)</f>
        <v>1.129</v>
      </c>
      <c r="E11351" s="8" t="str">
        <f>IFERROR(__xludf.DUMMYFUNCTION("""COMPUTED_VALUE"""),"Real")</f>
        <v>Real</v>
      </c>
      <c r="G11351" s="8">
        <f t="shared" si="1"/>
        <v>2</v>
      </c>
      <c r="H11351" s="14">
        <f t="shared" si="2"/>
        <v>16</v>
      </c>
      <c r="I11351" s="15">
        <f t="shared" si="3"/>
        <v>22</v>
      </c>
    </row>
    <row r="11352">
      <c r="A11352" s="8" t="str">
        <f>IFERROR(__xludf.DUMMYFUNCTION("IF('(INGESTA)Datos_consumo_datadis'!A11352&lt;&gt;"""",SPLIT('(INGESTA)Datos_consumo_datadis'!A:A,"",""),"""")"),"ES0031408323131005HX0F")</f>
        <v>ES0031408323131005HX0F</v>
      </c>
      <c r="B11352" s="12">
        <f>IFERROR(__xludf.DUMMYFUNCTION("""COMPUTED_VALUE"""),45338.0)</f>
        <v>45338</v>
      </c>
      <c r="C11352" s="13">
        <f>IFERROR(__xludf.DUMMYFUNCTION("""COMPUTED_VALUE"""),0.9583333333333334)</f>
        <v>0.9583333333</v>
      </c>
      <c r="D11352" s="8">
        <f>IFERROR(__xludf.DUMMYFUNCTION("""COMPUTED_VALUE"""),0.99)</f>
        <v>0.99</v>
      </c>
      <c r="E11352" s="8" t="str">
        <f>IFERROR(__xludf.DUMMYFUNCTION("""COMPUTED_VALUE"""),"Real")</f>
        <v>Real</v>
      </c>
      <c r="G11352" s="8">
        <f t="shared" si="1"/>
        <v>2</v>
      </c>
      <c r="H11352" s="14">
        <f t="shared" si="2"/>
        <v>16</v>
      </c>
      <c r="I11352" s="15">
        <f t="shared" si="3"/>
        <v>23</v>
      </c>
    </row>
    <row r="11353">
      <c r="A11353" s="8" t="str">
        <f>IFERROR(__xludf.DUMMYFUNCTION("IF('(INGESTA)Datos_consumo_datadis'!A11353&lt;&gt;"""",SPLIT('(INGESTA)Datos_consumo_datadis'!A:A,"",""),"""")"),"ES0031408323131005HX0F")</f>
        <v>ES0031408323131005HX0F</v>
      </c>
      <c r="B11353" s="12">
        <f>IFERROR(__xludf.DUMMYFUNCTION("""COMPUTED_VALUE"""),45338.0)</f>
        <v>45338</v>
      </c>
      <c r="C11353" s="16">
        <f>IFERROR(__xludf.DUMMYFUNCTION("""COMPUTED_VALUE"""),1.0)</f>
        <v>1</v>
      </c>
      <c r="D11353" s="8">
        <f>IFERROR(__xludf.DUMMYFUNCTION("""COMPUTED_VALUE"""),0.068)</f>
        <v>0.068</v>
      </c>
      <c r="E11353" s="8" t="str">
        <f>IFERROR(__xludf.DUMMYFUNCTION("""COMPUTED_VALUE"""),"Real")</f>
        <v>Real</v>
      </c>
      <c r="G11353" s="8">
        <f t="shared" si="1"/>
        <v>2</v>
      </c>
      <c r="H11353" s="14">
        <f t="shared" si="2"/>
        <v>16</v>
      </c>
      <c r="I11353" s="15">
        <f t="shared" si="3"/>
        <v>0</v>
      </c>
    </row>
    <row r="11354">
      <c r="A11354" s="8" t="str">
        <f>IFERROR(__xludf.DUMMYFUNCTION("IF('(INGESTA)Datos_consumo_datadis'!A11354&lt;&gt;"""",SPLIT('(INGESTA)Datos_consumo_datadis'!A:A,"",""),"""")"),"ES0031408323131005HX0F")</f>
        <v>ES0031408323131005HX0F</v>
      </c>
      <c r="B11354" s="12">
        <f>IFERROR(__xludf.DUMMYFUNCTION("""COMPUTED_VALUE"""),45339.0)</f>
        <v>45339</v>
      </c>
      <c r="C11354" s="13">
        <f>IFERROR(__xludf.DUMMYFUNCTION("""COMPUTED_VALUE"""),0.041666666666666664)</f>
        <v>0.04166666667</v>
      </c>
      <c r="D11354" s="8">
        <f>IFERROR(__xludf.DUMMYFUNCTION("""COMPUTED_VALUE"""),0.093)</f>
        <v>0.093</v>
      </c>
      <c r="E11354" s="8" t="str">
        <f>IFERROR(__xludf.DUMMYFUNCTION("""COMPUTED_VALUE"""),"Real")</f>
        <v>Real</v>
      </c>
      <c r="G11354" s="8">
        <f t="shared" si="1"/>
        <v>2</v>
      </c>
      <c r="H11354" s="14">
        <f t="shared" si="2"/>
        <v>17</v>
      </c>
      <c r="I11354" s="15">
        <f t="shared" si="3"/>
        <v>1</v>
      </c>
    </row>
    <row r="11355">
      <c r="A11355" s="8" t="str">
        <f>IFERROR(__xludf.DUMMYFUNCTION("IF('(INGESTA)Datos_consumo_datadis'!A11355&lt;&gt;"""",SPLIT('(INGESTA)Datos_consumo_datadis'!A:A,"",""),"""")"),"ES0031408323131005HX0F")</f>
        <v>ES0031408323131005HX0F</v>
      </c>
      <c r="B11355" s="12">
        <f>IFERROR(__xludf.DUMMYFUNCTION("""COMPUTED_VALUE"""),45339.0)</f>
        <v>45339</v>
      </c>
      <c r="C11355" s="13">
        <f>IFERROR(__xludf.DUMMYFUNCTION("""COMPUTED_VALUE"""),0.08333333333333333)</f>
        <v>0.08333333333</v>
      </c>
      <c r="D11355" s="8">
        <f>IFERROR(__xludf.DUMMYFUNCTION("""COMPUTED_VALUE"""),0.039)</f>
        <v>0.039</v>
      </c>
      <c r="E11355" s="8" t="str">
        <f>IFERROR(__xludf.DUMMYFUNCTION("""COMPUTED_VALUE"""),"Real")</f>
        <v>Real</v>
      </c>
      <c r="G11355" s="8">
        <f t="shared" si="1"/>
        <v>2</v>
      </c>
      <c r="H11355" s="14">
        <f t="shared" si="2"/>
        <v>17</v>
      </c>
      <c r="I11355" s="15">
        <f t="shared" si="3"/>
        <v>2</v>
      </c>
    </row>
    <row r="11356">
      <c r="A11356" s="8" t="str">
        <f>IFERROR(__xludf.DUMMYFUNCTION("IF('(INGESTA)Datos_consumo_datadis'!A11356&lt;&gt;"""",SPLIT('(INGESTA)Datos_consumo_datadis'!A:A,"",""),"""")"),"ES0031408323131005HX0F")</f>
        <v>ES0031408323131005HX0F</v>
      </c>
      <c r="B11356" s="12">
        <f>IFERROR(__xludf.DUMMYFUNCTION("""COMPUTED_VALUE"""),45339.0)</f>
        <v>45339</v>
      </c>
      <c r="C11356" s="13">
        <f>IFERROR(__xludf.DUMMYFUNCTION("""COMPUTED_VALUE"""),0.125)</f>
        <v>0.125</v>
      </c>
      <c r="D11356" s="8">
        <f>IFERROR(__xludf.DUMMYFUNCTION("""COMPUTED_VALUE"""),0.377)</f>
        <v>0.377</v>
      </c>
      <c r="E11356" s="8" t="str">
        <f>IFERROR(__xludf.DUMMYFUNCTION("""COMPUTED_VALUE"""),"Real")</f>
        <v>Real</v>
      </c>
      <c r="G11356" s="8">
        <f t="shared" si="1"/>
        <v>2</v>
      </c>
      <c r="H11356" s="14">
        <f t="shared" si="2"/>
        <v>17</v>
      </c>
      <c r="I11356" s="15">
        <f t="shared" si="3"/>
        <v>3</v>
      </c>
    </row>
    <row r="11357">
      <c r="A11357" s="8" t="str">
        <f>IFERROR(__xludf.DUMMYFUNCTION("IF('(INGESTA)Datos_consumo_datadis'!A11357&lt;&gt;"""",SPLIT('(INGESTA)Datos_consumo_datadis'!A:A,"",""),"""")"),"ES0031408323131005HX0F")</f>
        <v>ES0031408323131005HX0F</v>
      </c>
      <c r="B11357" s="12">
        <f>IFERROR(__xludf.DUMMYFUNCTION("""COMPUTED_VALUE"""),45339.0)</f>
        <v>45339</v>
      </c>
      <c r="C11357" s="13">
        <f>IFERROR(__xludf.DUMMYFUNCTION("""COMPUTED_VALUE"""),0.16666666666666666)</f>
        <v>0.1666666667</v>
      </c>
      <c r="D11357" s="8">
        <f>IFERROR(__xludf.DUMMYFUNCTION("""COMPUTED_VALUE"""),0.047)</f>
        <v>0.047</v>
      </c>
      <c r="E11357" s="8" t="str">
        <f>IFERROR(__xludf.DUMMYFUNCTION("""COMPUTED_VALUE"""),"Real")</f>
        <v>Real</v>
      </c>
      <c r="G11357" s="8">
        <f t="shared" si="1"/>
        <v>2</v>
      </c>
      <c r="H11357" s="14">
        <f t="shared" si="2"/>
        <v>17</v>
      </c>
      <c r="I11357" s="15">
        <f t="shared" si="3"/>
        <v>4</v>
      </c>
    </row>
    <row r="11358">
      <c r="A11358" s="8" t="str">
        <f>IFERROR(__xludf.DUMMYFUNCTION("IF('(INGESTA)Datos_consumo_datadis'!A11358&lt;&gt;"""",SPLIT('(INGESTA)Datos_consumo_datadis'!A:A,"",""),"""")"),"ES0031408323131005HX0F")</f>
        <v>ES0031408323131005HX0F</v>
      </c>
      <c r="B11358" s="12">
        <f>IFERROR(__xludf.DUMMYFUNCTION("""COMPUTED_VALUE"""),45339.0)</f>
        <v>45339</v>
      </c>
      <c r="C11358" s="13">
        <f>IFERROR(__xludf.DUMMYFUNCTION("""COMPUTED_VALUE"""),0.20833333333333334)</f>
        <v>0.2083333333</v>
      </c>
      <c r="D11358" s="8">
        <f>IFERROR(__xludf.DUMMYFUNCTION("""COMPUTED_VALUE"""),0.058)</f>
        <v>0.058</v>
      </c>
      <c r="E11358" s="8" t="str">
        <f>IFERROR(__xludf.DUMMYFUNCTION("""COMPUTED_VALUE"""),"Real")</f>
        <v>Real</v>
      </c>
      <c r="G11358" s="8">
        <f t="shared" si="1"/>
        <v>2</v>
      </c>
      <c r="H11358" s="14">
        <f t="shared" si="2"/>
        <v>17</v>
      </c>
      <c r="I11358" s="15">
        <f t="shared" si="3"/>
        <v>5</v>
      </c>
    </row>
    <row r="11359">
      <c r="A11359" s="8" t="str">
        <f>IFERROR(__xludf.DUMMYFUNCTION("IF('(INGESTA)Datos_consumo_datadis'!A11359&lt;&gt;"""",SPLIT('(INGESTA)Datos_consumo_datadis'!A:A,"",""),"""")"),"ES0031408323131005HX0F")</f>
        <v>ES0031408323131005HX0F</v>
      </c>
      <c r="B11359" s="12">
        <f>IFERROR(__xludf.DUMMYFUNCTION("""COMPUTED_VALUE"""),45339.0)</f>
        <v>45339</v>
      </c>
      <c r="C11359" s="13">
        <f>IFERROR(__xludf.DUMMYFUNCTION("""COMPUTED_VALUE"""),0.25)</f>
        <v>0.25</v>
      </c>
      <c r="D11359" s="8">
        <f>IFERROR(__xludf.DUMMYFUNCTION("""COMPUTED_VALUE"""),0.066)</f>
        <v>0.066</v>
      </c>
      <c r="E11359" s="8" t="str">
        <f>IFERROR(__xludf.DUMMYFUNCTION("""COMPUTED_VALUE"""),"Real")</f>
        <v>Real</v>
      </c>
      <c r="G11359" s="8">
        <f t="shared" si="1"/>
        <v>2</v>
      </c>
      <c r="H11359" s="14">
        <f t="shared" si="2"/>
        <v>17</v>
      </c>
      <c r="I11359" s="15">
        <f t="shared" si="3"/>
        <v>6</v>
      </c>
    </row>
    <row r="11360">
      <c r="A11360" s="8" t="str">
        <f>IFERROR(__xludf.DUMMYFUNCTION("IF('(INGESTA)Datos_consumo_datadis'!A11360&lt;&gt;"""",SPLIT('(INGESTA)Datos_consumo_datadis'!A:A,"",""),"""")"),"ES0031408323131005HX0F")</f>
        <v>ES0031408323131005HX0F</v>
      </c>
      <c r="B11360" s="12">
        <f>IFERROR(__xludf.DUMMYFUNCTION("""COMPUTED_VALUE"""),45339.0)</f>
        <v>45339</v>
      </c>
      <c r="C11360" s="13">
        <f>IFERROR(__xludf.DUMMYFUNCTION("""COMPUTED_VALUE"""),0.2916666666666667)</f>
        <v>0.2916666667</v>
      </c>
      <c r="D11360" s="8">
        <f>IFERROR(__xludf.DUMMYFUNCTION("""COMPUTED_VALUE"""),0.022)</f>
        <v>0.022</v>
      </c>
      <c r="E11360" s="8" t="str">
        <f>IFERROR(__xludf.DUMMYFUNCTION("""COMPUTED_VALUE"""),"Real")</f>
        <v>Real</v>
      </c>
      <c r="G11360" s="8">
        <f t="shared" si="1"/>
        <v>2</v>
      </c>
      <c r="H11360" s="14">
        <f t="shared" si="2"/>
        <v>17</v>
      </c>
      <c r="I11360" s="15">
        <f t="shared" si="3"/>
        <v>7</v>
      </c>
    </row>
    <row r="11361">
      <c r="A11361" s="8" t="str">
        <f>IFERROR(__xludf.DUMMYFUNCTION("IF('(INGESTA)Datos_consumo_datadis'!A11361&lt;&gt;"""",SPLIT('(INGESTA)Datos_consumo_datadis'!A:A,"",""),"""")"),"ES0031408323131005HX0F")</f>
        <v>ES0031408323131005HX0F</v>
      </c>
      <c r="B11361" s="12">
        <f>IFERROR(__xludf.DUMMYFUNCTION("""COMPUTED_VALUE"""),45339.0)</f>
        <v>45339</v>
      </c>
      <c r="C11361" s="13">
        <f>IFERROR(__xludf.DUMMYFUNCTION("""COMPUTED_VALUE"""),0.3333333333333333)</f>
        <v>0.3333333333</v>
      </c>
      <c r="D11361" s="8">
        <f>IFERROR(__xludf.DUMMYFUNCTION("""COMPUTED_VALUE"""),0.078)</f>
        <v>0.078</v>
      </c>
      <c r="E11361" s="8" t="str">
        <f>IFERROR(__xludf.DUMMYFUNCTION("""COMPUTED_VALUE"""),"Real")</f>
        <v>Real</v>
      </c>
      <c r="G11361" s="8">
        <f t="shared" si="1"/>
        <v>2</v>
      </c>
      <c r="H11361" s="14">
        <f t="shared" si="2"/>
        <v>17</v>
      </c>
      <c r="I11361" s="15">
        <f t="shared" si="3"/>
        <v>8</v>
      </c>
    </row>
    <row r="11362">
      <c r="A11362" s="8" t="str">
        <f>IFERROR(__xludf.DUMMYFUNCTION("IF('(INGESTA)Datos_consumo_datadis'!A11362&lt;&gt;"""",SPLIT('(INGESTA)Datos_consumo_datadis'!A:A,"",""),"""")"),"ES0031408323131005HX0F")</f>
        <v>ES0031408323131005HX0F</v>
      </c>
      <c r="B11362" s="12">
        <f>IFERROR(__xludf.DUMMYFUNCTION("""COMPUTED_VALUE"""),45339.0)</f>
        <v>45339</v>
      </c>
      <c r="C11362" s="13">
        <f>IFERROR(__xludf.DUMMYFUNCTION("""COMPUTED_VALUE"""),0.375)</f>
        <v>0.375</v>
      </c>
      <c r="D11362" s="8">
        <f>IFERROR(__xludf.DUMMYFUNCTION("""COMPUTED_VALUE"""),0.748)</f>
        <v>0.748</v>
      </c>
      <c r="E11362" s="8" t="str">
        <f>IFERROR(__xludf.DUMMYFUNCTION("""COMPUTED_VALUE"""),"Real")</f>
        <v>Real</v>
      </c>
      <c r="G11362" s="8">
        <f t="shared" si="1"/>
        <v>2</v>
      </c>
      <c r="H11362" s="14">
        <f t="shared" si="2"/>
        <v>17</v>
      </c>
      <c r="I11362" s="15">
        <f t="shared" si="3"/>
        <v>9</v>
      </c>
    </row>
    <row r="11363">
      <c r="A11363" s="8" t="str">
        <f>IFERROR(__xludf.DUMMYFUNCTION("IF('(INGESTA)Datos_consumo_datadis'!A11363&lt;&gt;"""",SPLIT('(INGESTA)Datos_consumo_datadis'!A:A,"",""),"""")"),"ES0031408323131005HX0F")</f>
        <v>ES0031408323131005HX0F</v>
      </c>
      <c r="B11363" s="12">
        <f>IFERROR(__xludf.DUMMYFUNCTION("""COMPUTED_VALUE"""),45339.0)</f>
        <v>45339</v>
      </c>
      <c r="C11363" s="13">
        <f>IFERROR(__xludf.DUMMYFUNCTION("""COMPUTED_VALUE"""),0.4166666666666667)</f>
        <v>0.4166666667</v>
      </c>
      <c r="D11363" s="8">
        <f>IFERROR(__xludf.DUMMYFUNCTION("""COMPUTED_VALUE"""),0.664)</f>
        <v>0.664</v>
      </c>
      <c r="E11363" s="8" t="str">
        <f>IFERROR(__xludf.DUMMYFUNCTION("""COMPUTED_VALUE"""),"Real")</f>
        <v>Real</v>
      </c>
      <c r="G11363" s="8">
        <f t="shared" si="1"/>
        <v>2</v>
      </c>
      <c r="H11363" s="14">
        <f t="shared" si="2"/>
        <v>17</v>
      </c>
      <c r="I11363" s="15">
        <f t="shared" si="3"/>
        <v>10</v>
      </c>
    </row>
    <row r="11364">
      <c r="A11364" s="8" t="str">
        <f>IFERROR(__xludf.DUMMYFUNCTION("IF('(INGESTA)Datos_consumo_datadis'!A11364&lt;&gt;"""",SPLIT('(INGESTA)Datos_consumo_datadis'!A:A,"",""),"""")"),"ES0031408323131005HX0F")</f>
        <v>ES0031408323131005HX0F</v>
      </c>
      <c r="B11364" s="12">
        <f>IFERROR(__xludf.DUMMYFUNCTION("""COMPUTED_VALUE"""),45339.0)</f>
        <v>45339</v>
      </c>
      <c r="C11364" s="13">
        <f>IFERROR(__xludf.DUMMYFUNCTION("""COMPUTED_VALUE"""),0.4583333333333333)</f>
        <v>0.4583333333</v>
      </c>
      <c r="D11364" s="8">
        <f>IFERROR(__xludf.DUMMYFUNCTION("""COMPUTED_VALUE"""),0.817)</f>
        <v>0.817</v>
      </c>
      <c r="E11364" s="8" t="str">
        <f>IFERROR(__xludf.DUMMYFUNCTION("""COMPUTED_VALUE"""),"Real")</f>
        <v>Real</v>
      </c>
      <c r="G11364" s="8">
        <f t="shared" si="1"/>
        <v>2</v>
      </c>
      <c r="H11364" s="14">
        <f t="shared" si="2"/>
        <v>17</v>
      </c>
      <c r="I11364" s="15">
        <f t="shared" si="3"/>
        <v>11</v>
      </c>
    </row>
    <row r="11365">
      <c r="A11365" s="8" t="str">
        <f>IFERROR(__xludf.DUMMYFUNCTION("IF('(INGESTA)Datos_consumo_datadis'!A11365&lt;&gt;"""",SPLIT('(INGESTA)Datos_consumo_datadis'!A:A,"",""),"""")"),"ES0031408323131005HX0F")</f>
        <v>ES0031408323131005HX0F</v>
      </c>
      <c r="B11365" s="12">
        <f>IFERROR(__xludf.DUMMYFUNCTION("""COMPUTED_VALUE"""),45339.0)</f>
        <v>45339</v>
      </c>
      <c r="C11365" s="13">
        <f>IFERROR(__xludf.DUMMYFUNCTION("""COMPUTED_VALUE"""),0.5)</f>
        <v>0.5</v>
      </c>
      <c r="D11365" s="8">
        <f>IFERROR(__xludf.DUMMYFUNCTION("""COMPUTED_VALUE"""),0.154)</f>
        <v>0.154</v>
      </c>
      <c r="E11365" s="8" t="str">
        <f>IFERROR(__xludf.DUMMYFUNCTION("""COMPUTED_VALUE"""),"Real")</f>
        <v>Real</v>
      </c>
      <c r="G11365" s="8">
        <f t="shared" si="1"/>
        <v>2</v>
      </c>
      <c r="H11365" s="14">
        <f t="shared" si="2"/>
        <v>17</v>
      </c>
      <c r="I11365" s="15">
        <f t="shared" si="3"/>
        <v>12</v>
      </c>
    </row>
    <row r="11366">
      <c r="A11366" s="8" t="str">
        <f>IFERROR(__xludf.DUMMYFUNCTION("IF('(INGESTA)Datos_consumo_datadis'!A11366&lt;&gt;"""",SPLIT('(INGESTA)Datos_consumo_datadis'!A:A,"",""),"""")"),"ES0031408323131005HX0F")</f>
        <v>ES0031408323131005HX0F</v>
      </c>
      <c r="B11366" s="12">
        <f>IFERROR(__xludf.DUMMYFUNCTION("""COMPUTED_VALUE"""),45339.0)</f>
        <v>45339</v>
      </c>
      <c r="C11366" s="13">
        <f>IFERROR(__xludf.DUMMYFUNCTION("""COMPUTED_VALUE"""),0.5416666666666666)</f>
        <v>0.5416666667</v>
      </c>
      <c r="D11366" s="8">
        <f>IFERROR(__xludf.DUMMYFUNCTION("""COMPUTED_VALUE"""),0.257)</f>
        <v>0.257</v>
      </c>
      <c r="E11366" s="8" t="str">
        <f>IFERROR(__xludf.DUMMYFUNCTION("""COMPUTED_VALUE"""),"Real")</f>
        <v>Real</v>
      </c>
      <c r="G11366" s="8">
        <f t="shared" si="1"/>
        <v>2</v>
      </c>
      <c r="H11366" s="14">
        <f t="shared" si="2"/>
        <v>17</v>
      </c>
      <c r="I11366" s="15">
        <f t="shared" si="3"/>
        <v>13</v>
      </c>
    </row>
    <row r="11367">
      <c r="A11367" s="8" t="str">
        <f>IFERROR(__xludf.DUMMYFUNCTION("IF('(INGESTA)Datos_consumo_datadis'!A11367&lt;&gt;"""",SPLIT('(INGESTA)Datos_consumo_datadis'!A:A,"",""),"""")"),"ES0031408323131005HX0F")</f>
        <v>ES0031408323131005HX0F</v>
      </c>
      <c r="B11367" s="12">
        <f>IFERROR(__xludf.DUMMYFUNCTION("""COMPUTED_VALUE"""),45339.0)</f>
        <v>45339</v>
      </c>
      <c r="C11367" s="13">
        <f>IFERROR(__xludf.DUMMYFUNCTION("""COMPUTED_VALUE"""),0.5833333333333334)</f>
        <v>0.5833333333</v>
      </c>
      <c r="D11367" s="8">
        <f>IFERROR(__xludf.DUMMYFUNCTION("""COMPUTED_VALUE"""),1.215)</f>
        <v>1.215</v>
      </c>
      <c r="E11367" s="8" t="str">
        <f>IFERROR(__xludf.DUMMYFUNCTION("""COMPUTED_VALUE"""),"Real")</f>
        <v>Real</v>
      </c>
      <c r="G11367" s="8">
        <f t="shared" si="1"/>
        <v>2</v>
      </c>
      <c r="H11367" s="14">
        <f t="shared" si="2"/>
        <v>17</v>
      </c>
      <c r="I11367" s="15">
        <f t="shared" si="3"/>
        <v>14</v>
      </c>
    </row>
    <row r="11368">
      <c r="A11368" s="8" t="str">
        <f>IFERROR(__xludf.DUMMYFUNCTION("IF('(INGESTA)Datos_consumo_datadis'!A11368&lt;&gt;"""",SPLIT('(INGESTA)Datos_consumo_datadis'!A:A,"",""),"""")"),"ES0031408323131005HX0F")</f>
        <v>ES0031408323131005HX0F</v>
      </c>
      <c r="B11368" s="12">
        <f>IFERROR(__xludf.DUMMYFUNCTION("""COMPUTED_VALUE"""),45339.0)</f>
        <v>45339</v>
      </c>
      <c r="C11368" s="13">
        <f>IFERROR(__xludf.DUMMYFUNCTION("""COMPUTED_VALUE"""),0.625)</f>
        <v>0.625</v>
      </c>
      <c r="D11368" s="8">
        <f>IFERROR(__xludf.DUMMYFUNCTION("""COMPUTED_VALUE"""),0.86)</f>
        <v>0.86</v>
      </c>
      <c r="E11368" s="8" t="str">
        <f>IFERROR(__xludf.DUMMYFUNCTION("""COMPUTED_VALUE"""),"Real")</f>
        <v>Real</v>
      </c>
      <c r="G11368" s="8">
        <f t="shared" si="1"/>
        <v>2</v>
      </c>
      <c r="H11368" s="14">
        <f t="shared" si="2"/>
        <v>17</v>
      </c>
      <c r="I11368" s="15">
        <f t="shared" si="3"/>
        <v>15</v>
      </c>
    </row>
    <row r="11369">
      <c r="A11369" s="8" t="str">
        <f>IFERROR(__xludf.DUMMYFUNCTION("IF('(INGESTA)Datos_consumo_datadis'!A11369&lt;&gt;"""",SPLIT('(INGESTA)Datos_consumo_datadis'!A:A,"",""),"""")"),"ES0031408323131005HX0F")</f>
        <v>ES0031408323131005HX0F</v>
      </c>
      <c r="B11369" s="12">
        <f>IFERROR(__xludf.DUMMYFUNCTION("""COMPUTED_VALUE"""),45339.0)</f>
        <v>45339</v>
      </c>
      <c r="C11369" s="13">
        <f>IFERROR(__xludf.DUMMYFUNCTION("""COMPUTED_VALUE"""),0.6666666666666666)</f>
        <v>0.6666666667</v>
      </c>
      <c r="D11369" s="8">
        <f>IFERROR(__xludf.DUMMYFUNCTION("""COMPUTED_VALUE"""),0.423)</f>
        <v>0.423</v>
      </c>
      <c r="E11369" s="8" t="str">
        <f>IFERROR(__xludf.DUMMYFUNCTION("""COMPUTED_VALUE"""),"Real")</f>
        <v>Real</v>
      </c>
      <c r="G11369" s="8">
        <f t="shared" si="1"/>
        <v>2</v>
      </c>
      <c r="H11369" s="14">
        <f t="shared" si="2"/>
        <v>17</v>
      </c>
      <c r="I11369" s="15">
        <f t="shared" si="3"/>
        <v>16</v>
      </c>
    </row>
    <row r="11370">
      <c r="A11370" s="8" t="str">
        <f>IFERROR(__xludf.DUMMYFUNCTION("IF('(INGESTA)Datos_consumo_datadis'!A11370&lt;&gt;"""",SPLIT('(INGESTA)Datos_consumo_datadis'!A:A,"",""),"""")"),"ES0031408323131005HX0F")</f>
        <v>ES0031408323131005HX0F</v>
      </c>
      <c r="B11370" s="12">
        <f>IFERROR(__xludf.DUMMYFUNCTION("""COMPUTED_VALUE"""),45339.0)</f>
        <v>45339</v>
      </c>
      <c r="C11370" s="13">
        <f>IFERROR(__xludf.DUMMYFUNCTION("""COMPUTED_VALUE"""),0.7083333333333334)</f>
        <v>0.7083333333</v>
      </c>
      <c r="D11370" s="8">
        <f>IFERROR(__xludf.DUMMYFUNCTION("""COMPUTED_VALUE"""),0.061)</f>
        <v>0.061</v>
      </c>
      <c r="E11370" s="8" t="str">
        <f>IFERROR(__xludf.DUMMYFUNCTION("""COMPUTED_VALUE"""),"Real")</f>
        <v>Real</v>
      </c>
      <c r="G11370" s="8">
        <f t="shared" si="1"/>
        <v>2</v>
      </c>
      <c r="H11370" s="14">
        <f t="shared" si="2"/>
        <v>17</v>
      </c>
      <c r="I11370" s="15">
        <f t="shared" si="3"/>
        <v>17</v>
      </c>
    </row>
    <row r="11371">
      <c r="A11371" s="8" t="str">
        <f>IFERROR(__xludf.DUMMYFUNCTION("IF('(INGESTA)Datos_consumo_datadis'!A11371&lt;&gt;"""",SPLIT('(INGESTA)Datos_consumo_datadis'!A:A,"",""),"""")"),"ES0031408323131005HX0F")</f>
        <v>ES0031408323131005HX0F</v>
      </c>
      <c r="B11371" s="12">
        <f>IFERROR(__xludf.DUMMYFUNCTION("""COMPUTED_VALUE"""),45339.0)</f>
        <v>45339</v>
      </c>
      <c r="C11371" s="13">
        <f>IFERROR(__xludf.DUMMYFUNCTION("""COMPUTED_VALUE"""),0.75)</f>
        <v>0.75</v>
      </c>
      <c r="D11371" s="8">
        <f>IFERROR(__xludf.DUMMYFUNCTION("""COMPUTED_VALUE"""),0.144)</f>
        <v>0.144</v>
      </c>
      <c r="E11371" s="8" t="str">
        <f>IFERROR(__xludf.DUMMYFUNCTION("""COMPUTED_VALUE"""),"Real")</f>
        <v>Real</v>
      </c>
      <c r="G11371" s="8">
        <f t="shared" si="1"/>
        <v>2</v>
      </c>
      <c r="H11371" s="14">
        <f t="shared" si="2"/>
        <v>17</v>
      </c>
      <c r="I11371" s="15">
        <f t="shared" si="3"/>
        <v>18</v>
      </c>
    </row>
    <row r="11372">
      <c r="A11372" s="8" t="str">
        <f>IFERROR(__xludf.DUMMYFUNCTION("IF('(INGESTA)Datos_consumo_datadis'!A11372&lt;&gt;"""",SPLIT('(INGESTA)Datos_consumo_datadis'!A:A,"",""),"""")"),"ES0031408323131005HX0F")</f>
        <v>ES0031408323131005HX0F</v>
      </c>
      <c r="B11372" s="12">
        <f>IFERROR(__xludf.DUMMYFUNCTION("""COMPUTED_VALUE"""),45339.0)</f>
        <v>45339</v>
      </c>
      <c r="C11372" s="13">
        <f>IFERROR(__xludf.DUMMYFUNCTION("""COMPUTED_VALUE"""),0.7916666666666666)</f>
        <v>0.7916666667</v>
      </c>
      <c r="D11372" s="8">
        <f>IFERROR(__xludf.DUMMYFUNCTION("""COMPUTED_VALUE"""),0.203)</f>
        <v>0.203</v>
      </c>
      <c r="E11372" s="8" t="str">
        <f>IFERROR(__xludf.DUMMYFUNCTION("""COMPUTED_VALUE"""),"Real")</f>
        <v>Real</v>
      </c>
      <c r="G11372" s="8">
        <f t="shared" si="1"/>
        <v>2</v>
      </c>
      <c r="H11372" s="14">
        <f t="shared" si="2"/>
        <v>17</v>
      </c>
      <c r="I11372" s="15">
        <f t="shared" si="3"/>
        <v>19</v>
      </c>
    </row>
    <row r="11373">
      <c r="A11373" s="8" t="str">
        <f>IFERROR(__xludf.DUMMYFUNCTION("IF('(INGESTA)Datos_consumo_datadis'!A11373&lt;&gt;"""",SPLIT('(INGESTA)Datos_consumo_datadis'!A:A,"",""),"""")"),"ES0031408323131005HX0F")</f>
        <v>ES0031408323131005HX0F</v>
      </c>
      <c r="B11373" s="12">
        <f>IFERROR(__xludf.DUMMYFUNCTION("""COMPUTED_VALUE"""),45339.0)</f>
        <v>45339</v>
      </c>
      <c r="C11373" s="13">
        <f>IFERROR(__xludf.DUMMYFUNCTION("""COMPUTED_VALUE"""),0.8333333333333334)</f>
        <v>0.8333333333</v>
      </c>
      <c r="D11373" s="8">
        <f>IFERROR(__xludf.DUMMYFUNCTION("""COMPUTED_VALUE"""),0.763)</f>
        <v>0.763</v>
      </c>
      <c r="E11373" s="8" t="str">
        <f>IFERROR(__xludf.DUMMYFUNCTION("""COMPUTED_VALUE"""),"Real")</f>
        <v>Real</v>
      </c>
      <c r="G11373" s="8">
        <f t="shared" si="1"/>
        <v>2</v>
      </c>
      <c r="H11373" s="14">
        <f t="shared" si="2"/>
        <v>17</v>
      </c>
      <c r="I11373" s="15">
        <f t="shared" si="3"/>
        <v>20</v>
      </c>
    </row>
    <row r="11374">
      <c r="A11374" s="8" t="str">
        <f>IFERROR(__xludf.DUMMYFUNCTION("IF('(INGESTA)Datos_consumo_datadis'!A11374&lt;&gt;"""",SPLIT('(INGESTA)Datos_consumo_datadis'!A:A,"",""),"""")"),"ES0031408323131005HX0F")</f>
        <v>ES0031408323131005HX0F</v>
      </c>
      <c r="B11374" s="12">
        <f>IFERROR(__xludf.DUMMYFUNCTION("""COMPUTED_VALUE"""),45339.0)</f>
        <v>45339</v>
      </c>
      <c r="C11374" s="13">
        <f>IFERROR(__xludf.DUMMYFUNCTION("""COMPUTED_VALUE"""),0.875)</f>
        <v>0.875</v>
      </c>
      <c r="D11374" s="8">
        <f>IFERROR(__xludf.DUMMYFUNCTION("""COMPUTED_VALUE"""),0.185)</f>
        <v>0.185</v>
      </c>
      <c r="E11374" s="8" t="str">
        <f>IFERROR(__xludf.DUMMYFUNCTION("""COMPUTED_VALUE"""),"Real")</f>
        <v>Real</v>
      </c>
      <c r="G11374" s="8">
        <f t="shared" si="1"/>
        <v>2</v>
      </c>
      <c r="H11374" s="14">
        <f t="shared" si="2"/>
        <v>17</v>
      </c>
      <c r="I11374" s="15">
        <f t="shared" si="3"/>
        <v>21</v>
      </c>
    </row>
    <row r="11375">
      <c r="A11375" s="8" t="str">
        <f>IFERROR(__xludf.DUMMYFUNCTION("IF('(INGESTA)Datos_consumo_datadis'!A11375&lt;&gt;"""",SPLIT('(INGESTA)Datos_consumo_datadis'!A:A,"",""),"""")"),"ES0031408323131005HX0F")</f>
        <v>ES0031408323131005HX0F</v>
      </c>
      <c r="B11375" s="12">
        <f>IFERROR(__xludf.DUMMYFUNCTION("""COMPUTED_VALUE"""),45339.0)</f>
        <v>45339</v>
      </c>
      <c r="C11375" s="13">
        <f>IFERROR(__xludf.DUMMYFUNCTION("""COMPUTED_VALUE"""),0.9166666666666666)</f>
        <v>0.9166666667</v>
      </c>
      <c r="D11375" s="8">
        <f>IFERROR(__xludf.DUMMYFUNCTION("""COMPUTED_VALUE"""),0.361)</f>
        <v>0.361</v>
      </c>
      <c r="E11375" s="8" t="str">
        <f>IFERROR(__xludf.DUMMYFUNCTION("""COMPUTED_VALUE"""),"Real")</f>
        <v>Real</v>
      </c>
      <c r="G11375" s="8">
        <f t="shared" si="1"/>
        <v>2</v>
      </c>
      <c r="H11375" s="14">
        <f t="shared" si="2"/>
        <v>17</v>
      </c>
      <c r="I11375" s="15">
        <f t="shared" si="3"/>
        <v>22</v>
      </c>
    </row>
    <row r="11376">
      <c r="A11376" s="8" t="str">
        <f>IFERROR(__xludf.DUMMYFUNCTION("IF('(INGESTA)Datos_consumo_datadis'!A11376&lt;&gt;"""",SPLIT('(INGESTA)Datos_consumo_datadis'!A:A,"",""),"""")"),"ES0031408323131005HX0F")</f>
        <v>ES0031408323131005HX0F</v>
      </c>
      <c r="B11376" s="12">
        <f>IFERROR(__xludf.DUMMYFUNCTION("""COMPUTED_VALUE"""),45339.0)</f>
        <v>45339</v>
      </c>
      <c r="C11376" s="13">
        <f>IFERROR(__xludf.DUMMYFUNCTION("""COMPUTED_VALUE"""),0.9583333333333334)</f>
        <v>0.9583333333</v>
      </c>
      <c r="D11376" s="8">
        <f>IFERROR(__xludf.DUMMYFUNCTION("""COMPUTED_VALUE"""),0.443)</f>
        <v>0.443</v>
      </c>
      <c r="E11376" s="8" t="str">
        <f>IFERROR(__xludf.DUMMYFUNCTION("""COMPUTED_VALUE"""),"Real")</f>
        <v>Real</v>
      </c>
      <c r="G11376" s="8">
        <f t="shared" si="1"/>
        <v>2</v>
      </c>
      <c r="H11376" s="14">
        <f t="shared" si="2"/>
        <v>17</v>
      </c>
      <c r="I11376" s="15">
        <f t="shared" si="3"/>
        <v>23</v>
      </c>
    </row>
    <row r="11377">
      <c r="A11377" s="8" t="str">
        <f>IFERROR(__xludf.DUMMYFUNCTION("IF('(INGESTA)Datos_consumo_datadis'!A11377&lt;&gt;"""",SPLIT('(INGESTA)Datos_consumo_datadis'!A:A,"",""),"""")"),"ES0031408323131005HX0F")</f>
        <v>ES0031408323131005HX0F</v>
      </c>
      <c r="B11377" s="12">
        <f>IFERROR(__xludf.DUMMYFUNCTION("""COMPUTED_VALUE"""),45339.0)</f>
        <v>45339</v>
      </c>
      <c r="C11377" s="16">
        <f>IFERROR(__xludf.DUMMYFUNCTION("""COMPUTED_VALUE"""),1.0)</f>
        <v>1</v>
      </c>
      <c r="D11377" s="8">
        <f>IFERROR(__xludf.DUMMYFUNCTION("""COMPUTED_VALUE"""),0.113)</f>
        <v>0.113</v>
      </c>
      <c r="E11377" s="8" t="str">
        <f>IFERROR(__xludf.DUMMYFUNCTION("""COMPUTED_VALUE"""),"Real")</f>
        <v>Real</v>
      </c>
      <c r="G11377" s="8">
        <f t="shared" si="1"/>
        <v>2</v>
      </c>
      <c r="H11377" s="14">
        <f t="shared" si="2"/>
        <v>17</v>
      </c>
      <c r="I11377" s="15">
        <f t="shared" si="3"/>
        <v>0</v>
      </c>
    </row>
    <row r="11378">
      <c r="A11378" s="8" t="str">
        <f>IFERROR(__xludf.DUMMYFUNCTION("IF('(INGESTA)Datos_consumo_datadis'!A11378&lt;&gt;"""",SPLIT('(INGESTA)Datos_consumo_datadis'!A:A,"",""),"""")"),"ES0031408323131005HX0F")</f>
        <v>ES0031408323131005HX0F</v>
      </c>
      <c r="B11378" s="12">
        <f>IFERROR(__xludf.DUMMYFUNCTION("""COMPUTED_VALUE"""),45340.0)</f>
        <v>45340</v>
      </c>
      <c r="C11378" s="13">
        <f>IFERROR(__xludf.DUMMYFUNCTION("""COMPUTED_VALUE"""),0.041666666666666664)</f>
        <v>0.04166666667</v>
      </c>
      <c r="D11378" s="8">
        <f>IFERROR(__xludf.DUMMYFUNCTION("""COMPUTED_VALUE"""),0.363)</f>
        <v>0.363</v>
      </c>
      <c r="E11378" s="8" t="str">
        <f>IFERROR(__xludf.DUMMYFUNCTION("""COMPUTED_VALUE"""),"Real")</f>
        <v>Real</v>
      </c>
      <c r="G11378" s="8">
        <f t="shared" si="1"/>
        <v>2</v>
      </c>
      <c r="H11378" s="14">
        <f t="shared" si="2"/>
        <v>18</v>
      </c>
      <c r="I11378" s="15">
        <f t="shared" si="3"/>
        <v>1</v>
      </c>
    </row>
    <row r="11379">
      <c r="A11379" s="8" t="str">
        <f>IFERROR(__xludf.DUMMYFUNCTION("IF('(INGESTA)Datos_consumo_datadis'!A11379&lt;&gt;"""",SPLIT('(INGESTA)Datos_consumo_datadis'!A:A,"",""),"""")"),"ES0031408323131005HX0F")</f>
        <v>ES0031408323131005HX0F</v>
      </c>
      <c r="B11379" s="12">
        <f>IFERROR(__xludf.DUMMYFUNCTION("""COMPUTED_VALUE"""),45340.0)</f>
        <v>45340</v>
      </c>
      <c r="C11379" s="13">
        <f>IFERROR(__xludf.DUMMYFUNCTION("""COMPUTED_VALUE"""),0.08333333333333333)</f>
        <v>0.08333333333</v>
      </c>
      <c r="D11379" s="8">
        <f>IFERROR(__xludf.DUMMYFUNCTION("""COMPUTED_VALUE"""),0.045)</f>
        <v>0.045</v>
      </c>
      <c r="E11379" s="8" t="str">
        <f>IFERROR(__xludf.DUMMYFUNCTION("""COMPUTED_VALUE"""),"Real")</f>
        <v>Real</v>
      </c>
      <c r="G11379" s="8">
        <f t="shared" si="1"/>
        <v>2</v>
      </c>
      <c r="H11379" s="14">
        <f t="shared" si="2"/>
        <v>18</v>
      </c>
      <c r="I11379" s="15">
        <f t="shared" si="3"/>
        <v>2</v>
      </c>
    </row>
    <row r="11380">
      <c r="A11380" s="8" t="str">
        <f>IFERROR(__xludf.DUMMYFUNCTION("IF('(INGESTA)Datos_consumo_datadis'!A11380&lt;&gt;"""",SPLIT('(INGESTA)Datos_consumo_datadis'!A:A,"",""),"""")"),"ES0031408323131005HX0F")</f>
        <v>ES0031408323131005HX0F</v>
      </c>
      <c r="B11380" s="12">
        <f>IFERROR(__xludf.DUMMYFUNCTION("""COMPUTED_VALUE"""),45340.0)</f>
        <v>45340</v>
      </c>
      <c r="C11380" s="13">
        <f>IFERROR(__xludf.DUMMYFUNCTION("""COMPUTED_VALUE"""),0.125)</f>
        <v>0.125</v>
      </c>
      <c r="D11380" s="8">
        <f>IFERROR(__xludf.DUMMYFUNCTION("""COMPUTED_VALUE"""),0.098)</f>
        <v>0.098</v>
      </c>
      <c r="E11380" s="8" t="str">
        <f>IFERROR(__xludf.DUMMYFUNCTION("""COMPUTED_VALUE"""),"Real")</f>
        <v>Real</v>
      </c>
      <c r="G11380" s="8">
        <f t="shared" si="1"/>
        <v>2</v>
      </c>
      <c r="H11380" s="14">
        <f t="shared" si="2"/>
        <v>18</v>
      </c>
      <c r="I11380" s="15">
        <f t="shared" si="3"/>
        <v>3</v>
      </c>
    </row>
    <row r="11381">
      <c r="A11381" s="8" t="str">
        <f>IFERROR(__xludf.DUMMYFUNCTION("IF('(INGESTA)Datos_consumo_datadis'!A11381&lt;&gt;"""",SPLIT('(INGESTA)Datos_consumo_datadis'!A:A,"",""),"""")"),"ES0031408323131005HX0F")</f>
        <v>ES0031408323131005HX0F</v>
      </c>
      <c r="B11381" s="12">
        <f>IFERROR(__xludf.DUMMYFUNCTION("""COMPUTED_VALUE"""),45340.0)</f>
        <v>45340</v>
      </c>
      <c r="C11381" s="13">
        <f>IFERROR(__xludf.DUMMYFUNCTION("""COMPUTED_VALUE"""),0.16666666666666666)</f>
        <v>0.1666666667</v>
      </c>
      <c r="D11381" s="8">
        <f>IFERROR(__xludf.DUMMYFUNCTION("""COMPUTED_VALUE"""),0.05)</f>
        <v>0.05</v>
      </c>
      <c r="E11381" s="8" t="str">
        <f>IFERROR(__xludf.DUMMYFUNCTION("""COMPUTED_VALUE"""),"Real")</f>
        <v>Real</v>
      </c>
      <c r="G11381" s="8">
        <f t="shared" si="1"/>
        <v>2</v>
      </c>
      <c r="H11381" s="14">
        <f t="shared" si="2"/>
        <v>18</v>
      </c>
      <c r="I11381" s="15">
        <f t="shared" si="3"/>
        <v>4</v>
      </c>
    </row>
    <row r="11382">
      <c r="A11382" s="8" t="str">
        <f>IFERROR(__xludf.DUMMYFUNCTION("IF('(INGESTA)Datos_consumo_datadis'!A11382&lt;&gt;"""",SPLIT('(INGESTA)Datos_consumo_datadis'!A:A,"",""),"""")"),"ES0031408323131005HX0F")</f>
        <v>ES0031408323131005HX0F</v>
      </c>
      <c r="B11382" s="12">
        <f>IFERROR(__xludf.DUMMYFUNCTION("""COMPUTED_VALUE"""),45340.0)</f>
        <v>45340</v>
      </c>
      <c r="C11382" s="13">
        <f>IFERROR(__xludf.DUMMYFUNCTION("""COMPUTED_VALUE"""),0.20833333333333334)</f>
        <v>0.2083333333</v>
      </c>
      <c r="D11382" s="8">
        <f>IFERROR(__xludf.DUMMYFUNCTION("""COMPUTED_VALUE"""),0.022)</f>
        <v>0.022</v>
      </c>
      <c r="E11382" s="8" t="str">
        <f>IFERROR(__xludf.DUMMYFUNCTION("""COMPUTED_VALUE"""),"Real")</f>
        <v>Real</v>
      </c>
      <c r="G11382" s="8">
        <f t="shared" si="1"/>
        <v>2</v>
      </c>
      <c r="H11382" s="14">
        <f t="shared" si="2"/>
        <v>18</v>
      </c>
      <c r="I11382" s="15">
        <f t="shared" si="3"/>
        <v>5</v>
      </c>
    </row>
    <row r="11383">
      <c r="A11383" s="8" t="str">
        <f>IFERROR(__xludf.DUMMYFUNCTION("IF('(INGESTA)Datos_consumo_datadis'!A11383&lt;&gt;"""",SPLIT('(INGESTA)Datos_consumo_datadis'!A:A,"",""),"""")"),"ES0031408323131005HX0F")</f>
        <v>ES0031408323131005HX0F</v>
      </c>
      <c r="B11383" s="12">
        <f>IFERROR(__xludf.DUMMYFUNCTION("""COMPUTED_VALUE"""),45340.0)</f>
        <v>45340</v>
      </c>
      <c r="C11383" s="13">
        <f>IFERROR(__xludf.DUMMYFUNCTION("""COMPUTED_VALUE"""),0.25)</f>
        <v>0.25</v>
      </c>
      <c r="D11383" s="8">
        <f>IFERROR(__xludf.DUMMYFUNCTION("""COMPUTED_VALUE"""),0.083)</f>
        <v>0.083</v>
      </c>
      <c r="E11383" s="8" t="str">
        <f>IFERROR(__xludf.DUMMYFUNCTION("""COMPUTED_VALUE"""),"Real")</f>
        <v>Real</v>
      </c>
      <c r="G11383" s="8">
        <f t="shared" si="1"/>
        <v>2</v>
      </c>
      <c r="H11383" s="14">
        <f t="shared" si="2"/>
        <v>18</v>
      </c>
      <c r="I11383" s="15">
        <f t="shared" si="3"/>
        <v>6</v>
      </c>
    </row>
    <row r="11384">
      <c r="A11384" s="8" t="str">
        <f>IFERROR(__xludf.DUMMYFUNCTION("IF('(INGESTA)Datos_consumo_datadis'!A11384&lt;&gt;"""",SPLIT('(INGESTA)Datos_consumo_datadis'!A:A,"",""),"""")"),"ES0031408323131005HX0F")</f>
        <v>ES0031408323131005HX0F</v>
      </c>
      <c r="B11384" s="12">
        <f>IFERROR(__xludf.DUMMYFUNCTION("""COMPUTED_VALUE"""),45340.0)</f>
        <v>45340</v>
      </c>
      <c r="C11384" s="13">
        <f>IFERROR(__xludf.DUMMYFUNCTION("""COMPUTED_VALUE"""),0.2916666666666667)</f>
        <v>0.2916666667</v>
      </c>
      <c r="D11384" s="8">
        <f>IFERROR(__xludf.DUMMYFUNCTION("""COMPUTED_VALUE"""),0.341)</f>
        <v>0.341</v>
      </c>
      <c r="E11384" s="8" t="str">
        <f>IFERROR(__xludf.DUMMYFUNCTION("""COMPUTED_VALUE"""),"Real")</f>
        <v>Real</v>
      </c>
      <c r="G11384" s="8">
        <f t="shared" si="1"/>
        <v>2</v>
      </c>
      <c r="H11384" s="14">
        <f t="shared" si="2"/>
        <v>18</v>
      </c>
      <c r="I11384" s="15">
        <f t="shared" si="3"/>
        <v>7</v>
      </c>
    </row>
    <row r="11385">
      <c r="A11385" s="8" t="str">
        <f>IFERROR(__xludf.DUMMYFUNCTION("IF('(INGESTA)Datos_consumo_datadis'!A11385&lt;&gt;"""",SPLIT('(INGESTA)Datos_consumo_datadis'!A:A,"",""),"""")"),"ES0031408323131005HX0F")</f>
        <v>ES0031408323131005HX0F</v>
      </c>
      <c r="B11385" s="12">
        <f>IFERROR(__xludf.DUMMYFUNCTION("""COMPUTED_VALUE"""),45340.0)</f>
        <v>45340</v>
      </c>
      <c r="C11385" s="13">
        <f>IFERROR(__xludf.DUMMYFUNCTION("""COMPUTED_VALUE"""),0.3333333333333333)</f>
        <v>0.3333333333</v>
      </c>
      <c r="D11385" s="8">
        <f>IFERROR(__xludf.DUMMYFUNCTION("""COMPUTED_VALUE"""),0.048)</f>
        <v>0.048</v>
      </c>
      <c r="E11385" s="8" t="str">
        <f>IFERROR(__xludf.DUMMYFUNCTION("""COMPUTED_VALUE"""),"Real")</f>
        <v>Real</v>
      </c>
      <c r="G11385" s="8">
        <f t="shared" si="1"/>
        <v>2</v>
      </c>
      <c r="H11385" s="14">
        <f t="shared" si="2"/>
        <v>18</v>
      </c>
      <c r="I11385" s="15">
        <f t="shared" si="3"/>
        <v>8</v>
      </c>
    </row>
    <row r="11386">
      <c r="A11386" s="8" t="str">
        <f>IFERROR(__xludf.DUMMYFUNCTION("IF('(INGESTA)Datos_consumo_datadis'!A11386&lt;&gt;"""",SPLIT('(INGESTA)Datos_consumo_datadis'!A:A,"",""),"""")"),"ES0031408323131005HX0F")</f>
        <v>ES0031408323131005HX0F</v>
      </c>
      <c r="B11386" s="12">
        <f>IFERROR(__xludf.DUMMYFUNCTION("""COMPUTED_VALUE"""),45340.0)</f>
        <v>45340</v>
      </c>
      <c r="C11386" s="13">
        <f>IFERROR(__xludf.DUMMYFUNCTION("""COMPUTED_VALUE"""),0.375)</f>
        <v>0.375</v>
      </c>
      <c r="D11386" s="8">
        <f>IFERROR(__xludf.DUMMYFUNCTION("""COMPUTED_VALUE"""),0.418)</f>
        <v>0.418</v>
      </c>
      <c r="E11386" s="8" t="str">
        <f>IFERROR(__xludf.DUMMYFUNCTION("""COMPUTED_VALUE"""),"Real")</f>
        <v>Real</v>
      </c>
      <c r="G11386" s="8">
        <f t="shared" si="1"/>
        <v>2</v>
      </c>
      <c r="H11386" s="14">
        <f t="shared" si="2"/>
        <v>18</v>
      </c>
      <c r="I11386" s="15">
        <f t="shared" si="3"/>
        <v>9</v>
      </c>
    </row>
    <row r="11387">
      <c r="A11387" s="8" t="str">
        <f>IFERROR(__xludf.DUMMYFUNCTION("IF('(INGESTA)Datos_consumo_datadis'!A11387&lt;&gt;"""",SPLIT('(INGESTA)Datos_consumo_datadis'!A:A,"",""),"""")"),"ES0031408323131005HX0F")</f>
        <v>ES0031408323131005HX0F</v>
      </c>
      <c r="B11387" s="12">
        <f>IFERROR(__xludf.DUMMYFUNCTION("""COMPUTED_VALUE"""),45340.0)</f>
        <v>45340</v>
      </c>
      <c r="C11387" s="13">
        <f>IFERROR(__xludf.DUMMYFUNCTION("""COMPUTED_VALUE"""),0.4166666666666667)</f>
        <v>0.4166666667</v>
      </c>
      <c r="D11387" s="8">
        <f>IFERROR(__xludf.DUMMYFUNCTION("""COMPUTED_VALUE"""),1.056)</f>
        <v>1.056</v>
      </c>
      <c r="E11387" s="8" t="str">
        <f>IFERROR(__xludf.DUMMYFUNCTION("""COMPUTED_VALUE"""),"Real")</f>
        <v>Real</v>
      </c>
      <c r="G11387" s="8">
        <f t="shared" si="1"/>
        <v>2</v>
      </c>
      <c r="H11387" s="14">
        <f t="shared" si="2"/>
        <v>18</v>
      </c>
      <c r="I11387" s="15">
        <f t="shared" si="3"/>
        <v>10</v>
      </c>
    </row>
    <row r="11388">
      <c r="A11388" s="8" t="str">
        <f>IFERROR(__xludf.DUMMYFUNCTION("IF('(INGESTA)Datos_consumo_datadis'!A11388&lt;&gt;"""",SPLIT('(INGESTA)Datos_consumo_datadis'!A:A,"",""),"""")"),"ES0031408323131005HX0F")</f>
        <v>ES0031408323131005HX0F</v>
      </c>
      <c r="B11388" s="12">
        <f>IFERROR(__xludf.DUMMYFUNCTION("""COMPUTED_VALUE"""),45340.0)</f>
        <v>45340</v>
      </c>
      <c r="C11388" s="13">
        <f>IFERROR(__xludf.DUMMYFUNCTION("""COMPUTED_VALUE"""),0.4583333333333333)</f>
        <v>0.4583333333</v>
      </c>
      <c r="D11388" s="8">
        <f>IFERROR(__xludf.DUMMYFUNCTION("""COMPUTED_VALUE"""),1.799)</f>
        <v>1.799</v>
      </c>
      <c r="E11388" s="8" t="str">
        <f>IFERROR(__xludf.DUMMYFUNCTION("""COMPUTED_VALUE"""),"Real")</f>
        <v>Real</v>
      </c>
      <c r="G11388" s="8">
        <f t="shared" si="1"/>
        <v>2</v>
      </c>
      <c r="H11388" s="14">
        <f t="shared" si="2"/>
        <v>18</v>
      </c>
      <c r="I11388" s="15">
        <f t="shared" si="3"/>
        <v>11</v>
      </c>
    </row>
    <row r="11389">
      <c r="A11389" s="8" t="str">
        <f>IFERROR(__xludf.DUMMYFUNCTION("IF('(INGESTA)Datos_consumo_datadis'!A11389&lt;&gt;"""",SPLIT('(INGESTA)Datos_consumo_datadis'!A:A,"",""),"""")"),"ES0031408323131005HX0F")</f>
        <v>ES0031408323131005HX0F</v>
      </c>
      <c r="B11389" s="12">
        <f>IFERROR(__xludf.DUMMYFUNCTION("""COMPUTED_VALUE"""),45340.0)</f>
        <v>45340</v>
      </c>
      <c r="C11389" s="13">
        <f>IFERROR(__xludf.DUMMYFUNCTION("""COMPUTED_VALUE"""),0.5)</f>
        <v>0.5</v>
      </c>
      <c r="D11389" s="8">
        <f>IFERROR(__xludf.DUMMYFUNCTION("""COMPUTED_VALUE"""),0.888)</f>
        <v>0.888</v>
      </c>
      <c r="E11389" s="8" t="str">
        <f>IFERROR(__xludf.DUMMYFUNCTION("""COMPUTED_VALUE"""),"Real")</f>
        <v>Real</v>
      </c>
      <c r="G11389" s="8">
        <f t="shared" si="1"/>
        <v>2</v>
      </c>
      <c r="H11389" s="14">
        <f t="shared" si="2"/>
        <v>18</v>
      </c>
      <c r="I11389" s="15">
        <f t="shared" si="3"/>
        <v>12</v>
      </c>
    </row>
    <row r="11390">
      <c r="A11390" s="8" t="str">
        <f>IFERROR(__xludf.DUMMYFUNCTION("IF('(INGESTA)Datos_consumo_datadis'!A11390&lt;&gt;"""",SPLIT('(INGESTA)Datos_consumo_datadis'!A:A,"",""),"""")"),"ES0031408323131005HX0F")</f>
        <v>ES0031408323131005HX0F</v>
      </c>
      <c r="B11390" s="12">
        <f>IFERROR(__xludf.DUMMYFUNCTION("""COMPUTED_VALUE"""),45340.0)</f>
        <v>45340</v>
      </c>
      <c r="C11390" s="13">
        <f>IFERROR(__xludf.DUMMYFUNCTION("""COMPUTED_VALUE"""),0.5416666666666666)</f>
        <v>0.5416666667</v>
      </c>
      <c r="D11390" s="8">
        <f>IFERROR(__xludf.DUMMYFUNCTION("""COMPUTED_VALUE"""),0.024)</f>
        <v>0.024</v>
      </c>
      <c r="E11390" s="8" t="str">
        <f>IFERROR(__xludf.DUMMYFUNCTION("""COMPUTED_VALUE"""),"Real")</f>
        <v>Real</v>
      </c>
      <c r="G11390" s="8">
        <f t="shared" si="1"/>
        <v>2</v>
      </c>
      <c r="H11390" s="14">
        <f t="shared" si="2"/>
        <v>18</v>
      </c>
      <c r="I11390" s="15">
        <f t="shared" si="3"/>
        <v>13</v>
      </c>
    </row>
    <row r="11391">
      <c r="A11391" s="8" t="str">
        <f>IFERROR(__xludf.DUMMYFUNCTION("IF('(INGESTA)Datos_consumo_datadis'!A11391&lt;&gt;"""",SPLIT('(INGESTA)Datos_consumo_datadis'!A:A,"",""),"""")"),"ES0031408323131005HX0F")</f>
        <v>ES0031408323131005HX0F</v>
      </c>
      <c r="B11391" s="12">
        <f>IFERROR(__xludf.DUMMYFUNCTION("""COMPUTED_VALUE"""),45340.0)</f>
        <v>45340</v>
      </c>
      <c r="C11391" s="13">
        <f>IFERROR(__xludf.DUMMYFUNCTION("""COMPUTED_VALUE"""),0.5833333333333334)</f>
        <v>0.5833333333</v>
      </c>
      <c r="D11391" s="8">
        <f>IFERROR(__xludf.DUMMYFUNCTION("""COMPUTED_VALUE"""),0.083)</f>
        <v>0.083</v>
      </c>
      <c r="E11391" s="8" t="str">
        <f>IFERROR(__xludf.DUMMYFUNCTION("""COMPUTED_VALUE"""),"Real")</f>
        <v>Real</v>
      </c>
      <c r="G11391" s="8">
        <f t="shared" si="1"/>
        <v>2</v>
      </c>
      <c r="H11391" s="14">
        <f t="shared" si="2"/>
        <v>18</v>
      </c>
      <c r="I11391" s="15">
        <f t="shared" si="3"/>
        <v>14</v>
      </c>
    </row>
    <row r="11392">
      <c r="A11392" s="8" t="str">
        <f>IFERROR(__xludf.DUMMYFUNCTION("IF('(INGESTA)Datos_consumo_datadis'!A11392&lt;&gt;"""",SPLIT('(INGESTA)Datos_consumo_datadis'!A:A,"",""),"""")"),"ES0031408323131005HX0F")</f>
        <v>ES0031408323131005HX0F</v>
      </c>
      <c r="B11392" s="12">
        <f>IFERROR(__xludf.DUMMYFUNCTION("""COMPUTED_VALUE"""),45340.0)</f>
        <v>45340</v>
      </c>
      <c r="C11392" s="13">
        <f>IFERROR(__xludf.DUMMYFUNCTION("""COMPUTED_VALUE"""),0.625)</f>
        <v>0.625</v>
      </c>
      <c r="D11392" s="8">
        <f>IFERROR(__xludf.DUMMYFUNCTION("""COMPUTED_VALUE"""),0.347)</f>
        <v>0.347</v>
      </c>
      <c r="E11392" s="8" t="str">
        <f>IFERROR(__xludf.DUMMYFUNCTION("""COMPUTED_VALUE"""),"Real")</f>
        <v>Real</v>
      </c>
      <c r="G11392" s="8">
        <f t="shared" si="1"/>
        <v>2</v>
      </c>
      <c r="H11392" s="14">
        <f t="shared" si="2"/>
        <v>18</v>
      </c>
      <c r="I11392" s="15">
        <f t="shared" si="3"/>
        <v>15</v>
      </c>
    </row>
    <row r="11393">
      <c r="A11393" s="8" t="str">
        <f>IFERROR(__xludf.DUMMYFUNCTION("IF('(INGESTA)Datos_consumo_datadis'!A11393&lt;&gt;"""",SPLIT('(INGESTA)Datos_consumo_datadis'!A:A,"",""),"""")"),"ES0031408323131005HX0F")</f>
        <v>ES0031408323131005HX0F</v>
      </c>
      <c r="B11393" s="12">
        <f>IFERROR(__xludf.DUMMYFUNCTION("""COMPUTED_VALUE"""),45340.0)</f>
        <v>45340</v>
      </c>
      <c r="C11393" s="13">
        <f>IFERROR(__xludf.DUMMYFUNCTION("""COMPUTED_VALUE"""),0.6666666666666666)</f>
        <v>0.6666666667</v>
      </c>
      <c r="D11393" s="8">
        <f>IFERROR(__xludf.DUMMYFUNCTION("""COMPUTED_VALUE"""),0.187)</f>
        <v>0.187</v>
      </c>
      <c r="E11393" s="8" t="str">
        <f>IFERROR(__xludf.DUMMYFUNCTION("""COMPUTED_VALUE"""),"Real")</f>
        <v>Real</v>
      </c>
      <c r="G11393" s="8">
        <f t="shared" si="1"/>
        <v>2</v>
      </c>
      <c r="H11393" s="14">
        <f t="shared" si="2"/>
        <v>18</v>
      </c>
      <c r="I11393" s="15">
        <f t="shared" si="3"/>
        <v>16</v>
      </c>
    </row>
    <row r="11394">
      <c r="A11394" s="8" t="str">
        <f>IFERROR(__xludf.DUMMYFUNCTION("IF('(INGESTA)Datos_consumo_datadis'!A11394&lt;&gt;"""",SPLIT('(INGESTA)Datos_consumo_datadis'!A:A,"",""),"""")"),"ES0031408323131005HX0F")</f>
        <v>ES0031408323131005HX0F</v>
      </c>
      <c r="B11394" s="12">
        <f>IFERROR(__xludf.DUMMYFUNCTION("""COMPUTED_VALUE"""),45340.0)</f>
        <v>45340</v>
      </c>
      <c r="C11394" s="13">
        <f>IFERROR(__xludf.DUMMYFUNCTION("""COMPUTED_VALUE"""),0.7083333333333334)</f>
        <v>0.7083333333</v>
      </c>
      <c r="D11394" s="8">
        <f>IFERROR(__xludf.DUMMYFUNCTION("""COMPUTED_VALUE"""),0.164)</f>
        <v>0.164</v>
      </c>
      <c r="E11394" s="8" t="str">
        <f>IFERROR(__xludf.DUMMYFUNCTION("""COMPUTED_VALUE"""),"Real")</f>
        <v>Real</v>
      </c>
      <c r="G11394" s="8">
        <f t="shared" si="1"/>
        <v>2</v>
      </c>
      <c r="H11394" s="14">
        <f t="shared" si="2"/>
        <v>18</v>
      </c>
      <c r="I11394" s="15">
        <f t="shared" si="3"/>
        <v>17</v>
      </c>
    </row>
    <row r="11395">
      <c r="A11395" s="8" t="str">
        <f>IFERROR(__xludf.DUMMYFUNCTION("IF('(INGESTA)Datos_consumo_datadis'!A11395&lt;&gt;"""",SPLIT('(INGESTA)Datos_consumo_datadis'!A:A,"",""),"""")"),"ES0031408323131005HX0F")</f>
        <v>ES0031408323131005HX0F</v>
      </c>
      <c r="B11395" s="12">
        <f>IFERROR(__xludf.DUMMYFUNCTION("""COMPUTED_VALUE"""),45340.0)</f>
        <v>45340</v>
      </c>
      <c r="C11395" s="13">
        <f>IFERROR(__xludf.DUMMYFUNCTION("""COMPUTED_VALUE"""),0.75)</f>
        <v>0.75</v>
      </c>
      <c r="D11395" s="8">
        <f>IFERROR(__xludf.DUMMYFUNCTION("""COMPUTED_VALUE"""),0.16)</f>
        <v>0.16</v>
      </c>
      <c r="E11395" s="8" t="str">
        <f>IFERROR(__xludf.DUMMYFUNCTION("""COMPUTED_VALUE"""),"Real")</f>
        <v>Real</v>
      </c>
      <c r="G11395" s="8">
        <f t="shared" si="1"/>
        <v>2</v>
      </c>
      <c r="H11395" s="14">
        <f t="shared" si="2"/>
        <v>18</v>
      </c>
      <c r="I11395" s="15">
        <f t="shared" si="3"/>
        <v>18</v>
      </c>
    </row>
    <row r="11396">
      <c r="A11396" s="8" t="str">
        <f>IFERROR(__xludf.DUMMYFUNCTION("IF('(INGESTA)Datos_consumo_datadis'!A11396&lt;&gt;"""",SPLIT('(INGESTA)Datos_consumo_datadis'!A:A,"",""),"""")"),"ES0031408323131005HX0F")</f>
        <v>ES0031408323131005HX0F</v>
      </c>
      <c r="B11396" s="12">
        <f>IFERROR(__xludf.DUMMYFUNCTION("""COMPUTED_VALUE"""),45340.0)</f>
        <v>45340</v>
      </c>
      <c r="C11396" s="13">
        <f>IFERROR(__xludf.DUMMYFUNCTION("""COMPUTED_VALUE"""),0.7916666666666666)</f>
        <v>0.7916666667</v>
      </c>
      <c r="D11396" s="8">
        <f>IFERROR(__xludf.DUMMYFUNCTION("""COMPUTED_VALUE"""),0.455)</f>
        <v>0.455</v>
      </c>
      <c r="E11396" s="8" t="str">
        <f>IFERROR(__xludf.DUMMYFUNCTION("""COMPUTED_VALUE"""),"Real")</f>
        <v>Real</v>
      </c>
      <c r="G11396" s="8">
        <f t="shared" si="1"/>
        <v>2</v>
      </c>
      <c r="H11396" s="14">
        <f t="shared" si="2"/>
        <v>18</v>
      </c>
      <c r="I11396" s="15">
        <f t="shared" si="3"/>
        <v>19</v>
      </c>
    </row>
    <row r="11397">
      <c r="A11397" s="8" t="str">
        <f>IFERROR(__xludf.DUMMYFUNCTION("IF('(INGESTA)Datos_consumo_datadis'!A11397&lt;&gt;"""",SPLIT('(INGESTA)Datos_consumo_datadis'!A:A,"",""),"""")"),"ES0031408323131005HX0F")</f>
        <v>ES0031408323131005HX0F</v>
      </c>
      <c r="B11397" s="12">
        <f>IFERROR(__xludf.DUMMYFUNCTION("""COMPUTED_VALUE"""),45340.0)</f>
        <v>45340</v>
      </c>
      <c r="C11397" s="13">
        <f>IFERROR(__xludf.DUMMYFUNCTION("""COMPUTED_VALUE"""),0.8333333333333334)</f>
        <v>0.8333333333</v>
      </c>
      <c r="D11397" s="8">
        <f>IFERROR(__xludf.DUMMYFUNCTION("""COMPUTED_VALUE"""),0.267)</f>
        <v>0.267</v>
      </c>
      <c r="E11397" s="8" t="str">
        <f>IFERROR(__xludf.DUMMYFUNCTION("""COMPUTED_VALUE"""),"Real")</f>
        <v>Real</v>
      </c>
      <c r="G11397" s="8">
        <f t="shared" si="1"/>
        <v>2</v>
      </c>
      <c r="H11397" s="14">
        <f t="shared" si="2"/>
        <v>18</v>
      </c>
      <c r="I11397" s="15">
        <f t="shared" si="3"/>
        <v>20</v>
      </c>
    </row>
    <row r="11398">
      <c r="A11398" s="8" t="str">
        <f>IFERROR(__xludf.DUMMYFUNCTION("IF('(INGESTA)Datos_consumo_datadis'!A11398&lt;&gt;"""",SPLIT('(INGESTA)Datos_consumo_datadis'!A:A,"",""),"""")"),"ES0031408323131005HX0F")</f>
        <v>ES0031408323131005HX0F</v>
      </c>
      <c r="B11398" s="12">
        <f>IFERROR(__xludf.DUMMYFUNCTION("""COMPUTED_VALUE"""),45340.0)</f>
        <v>45340</v>
      </c>
      <c r="C11398" s="13">
        <f>IFERROR(__xludf.DUMMYFUNCTION("""COMPUTED_VALUE"""),0.875)</f>
        <v>0.875</v>
      </c>
      <c r="D11398" s="8">
        <f>IFERROR(__xludf.DUMMYFUNCTION("""COMPUTED_VALUE"""),0.177)</f>
        <v>0.177</v>
      </c>
      <c r="E11398" s="8" t="str">
        <f>IFERROR(__xludf.DUMMYFUNCTION("""COMPUTED_VALUE"""),"Real")</f>
        <v>Real</v>
      </c>
      <c r="G11398" s="8">
        <f t="shared" si="1"/>
        <v>2</v>
      </c>
      <c r="H11398" s="14">
        <f t="shared" si="2"/>
        <v>18</v>
      </c>
      <c r="I11398" s="15">
        <f t="shared" si="3"/>
        <v>21</v>
      </c>
    </row>
    <row r="11399">
      <c r="A11399" s="8" t="str">
        <f>IFERROR(__xludf.DUMMYFUNCTION("IF('(INGESTA)Datos_consumo_datadis'!A11399&lt;&gt;"""",SPLIT('(INGESTA)Datos_consumo_datadis'!A:A,"",""),"""")"),"ES0031408323131005HX0F")</f>
        <v>ES0031408323131005HX0F</v>
      </c>
      <c r="B11399" s="12">
        <f>IFERROR(__xludf.DUMMYFUNCTION("""COMPUTED_VALUE"""),45340.0)</f>
        <v>45340</v>
      </c>
      <c r="C11399" s="13">
        <f>IFERROR(__xludf.DUMMYFUNCTION("""COMPUTED_VALUE"""),0.9166666666666666)</f>
        <v>0.9166666667</v>
      </c>
      <c r="D11399" s="8">
        <f>IFERROR(__xludf.DUMMYFUNCTION("""COMPUTED_VALUE"""),0.209)</f>
        <v>0.209</v>
      </c>
      <c r="E11399" s="8" t="str">
        <f>IFERROR(__xludf.DUMMYFUNCTION("""COMPUTED_VALUE"""),"Real")</f>
        <v>Real</v>
      </c>
      <c r="G11399" s="8">
        <f t="shared" si="1"/>
        <v>2</v>
      </c>
      <c r="H11399" s="14">
        <f t="shared" si="2"/>
        <v>18</v>
      </c>
      <c r="I11399" s="15">
        <f t="shared" si="3"/>
        <v>22</v>
      </c>
    </row>
    <row r="11400">
      <c r="A11400" s="8" t="str">
        <f>IFERROR(__xludf.DUMMYFUNCTION("IF('(INGESTA)Datos_consumo_datadis'!A11400&lt;&gt;"""",SPLIT('(INGESTA)Datos_consumo_datadis'!A:A,"",""),"""")"),"ES0031408323131005HX0F")</f>
        <v>ES0031408323131005HX0F</v>
      </c>
      <c r="B11400" s="12">
        <f>IFERROR(__xludf.DUMMYFUNCTION("""COMPUTED_VALUE"""),45340.0)</f>
        <v>45340</v>
      </c>
      <c r="C11400" s="13">
        <f>IFERROR(__xludf.DUMMYFUNCTION("""COMPUTED_VALUE"""),0.9583333333333334)</f>
        <v>0.9583333333</v>
      </c>
      <c r="D11400" s="8">
        <f>IFERROR(__xludf.DUMMYFUNCTION("""COMPUTED_VALUE"""),1.201)</f>
        <v>1.201</v>
      </c>
      <c r="E11400" s="8" t="str">
        <f>IFERROR(__xludf.DUMMYFUNCTION("""COMPUTED_VALUE"""),"Real")</f>
        <v>Real</v>
      </c>
      <c r="G11400" s="8">
        <f t="shared" si="1"/>
        <v>2</v>
      </c>
      <c r="H11400" s="14">
        <f t="shared" si="2"/>
        <v>18</v>
      </c>
      <c r="I11400" s="15">
        <f t="shared" si="3"/>
        <v>23</v>
      </c>
    </row>
    <row r="11401">
      <c r="A11401" s="8" t="str">
        <f>IFERROR(__xludf.DUMMYFUNCTION("IF('(INGESTA)Datos_consumo_datadis'!A11401&lt;&gt;"""",SPLIT('(INGESTA)Datos_consumo_datadis'!A:A,"",""),"""")"),"ES0031408323131005HX0F")</f>
        <v>ES0031408323131005HX0F</v>
      </c>
      <c r="B11401" s="12">
        <f>IFERROR(__xludf.DUMMYFUNCTION("""COMPUTED_VALUE"""),45340.0)</f>
        <v>45340</v>
      </c>
      <c r="C11401" s="16">
        <f>IFERROR(__xludf.DUMMYFUNCTION("""COMPUTED_VALUE"""),1.0)</f>
        <v>1</v>
      </c>
      <c r="D11401" s="8">
        <f>IFERROR(__xludf.DUMMYFUNCTION("""COMPUTED_VALUE"""),2.508)</f>
        <v>2.508</v>
      </c>
      <c r="E11401" s="8" t="str">
        <f>IFERROR(__xludf.DUMMYFUNCTION("""COMPUTED_VALUE"""),"Real")</f>
        <v>Real</v>
      </c>
      <c r="G11401" s="8">
        <f t="shared" si="1"/>
        <v>2</v>
      </c>
      <c r="H11401" s="14">
        <f t="shared" si="2"/>
        <v>18</v>
      </c>
      <c r="I11401" s="15">
        <f t="shared" si="3"/>
        <v>0</v>
      </c>
    </row>
    <row r="11402">
      <c r="A11402" s="8" t="str">
        <f>IFERROR(__xludf.DUMMYFUNCTION("IF('(INGESTA)Datos_consumo_datadis'!A11402&lt;&gt;"""",SPLIT('(INGESTA)Datos_consumo_datadis'!A:A,"",""),"""")"),"ES0031408323131005HX0F")</f>
        <v>ES0031408323131005HX0F</v>
      </c>
      <c r="B11402" s="12">
        <f>IFERROR(__xludf.DUMMYFUNCTION("""COMPUTED_VALUE"""),45341.0)</f>
        <v>45341</v>
      </c>
      <c r="C11402" s="13">
        <f>IFERROR(__xludf.DUMMYFUNCTION("""COMPUTED_VALUE"""),0.041666666666666664)</f>
        <v>0.04166666667</v>
      </c>
      <c r="D11402" s="8">
        <f>IFERROR(__xludf.DUMMYFUNCTION("""COMPUTED_VALUE"""),4.267)</f>
        <v>4.267</v>
      </c>
      <c r="E11402" s="8" t="str">
        <f>IFERROR(__xludf.DUMMYFUNCTION("""COMPUTED_VALUE"""),"Real")</f>
        <v>Real</v>
      </c>
      <c r="G11402" s="8">
        <f t="shared" si="1"/>
        <v>2</v>
      </c>
      <c r="H11402" s="14">
        <f t="shared" si="2"/>
        <v>19</v>
      </c>
      <c r="I11402" s="15">
        <f t="shared" si="3"/>
        <v>1</v>
      </c>
    </row>
    <row r="11403">
      <c r="A11403" s="8" t="str">
        <f>IFERROR(__xludf.DUMMYFUNCTION("IF('(INGESTA)Datos_consumo_datadis'!A11403&lt;&gt;"""",SPLIT('(INGESTA)Datos_consumo_datadis'!A:A,"",""),"""")"),"ES0031408323131005HX0F")</f>
        <v>ES0031408323131005HX0F</v>
      </c>
      <c r="B11403" s="12">
        <f>IFERROR(__xludf.DUMMYFUNCTION("""COMPUTED_VALUE"""),45341.0)</f>
        <v>45341</v>
      </c>
      <c r="C11403" s="13">
        <f>IFERROR(__xludf.DUMMYFUNCTION("""COMPUTED_VALUE"""),0.08333333333333333)</f>
        <v>0.08333333333</v>
      </c>
      <c r="D11403" s="8">
        <f>IFERROR(__xludf.DUMMYFUNCTION("""COMPUTED_VALUE"""),2.734)</f>
        <v>2.734</v>
      </c>
      <c r="E11403" s="8" t="str">
        <f>IFERROR(__xludf.DUMMYFUNCTION("""COMPUTED_VALUE"""),"Real")</f>
        <v>Real</v>
      </c>
      <c r="G11403" s="8">
        <f t="shared" si="1"/>
        <v>2</v>
      </c>
      <c r="H11403" s="14">
        <f t="shared" si="2"/>
        <v>19</v>
      </c>
      <c r="I11403" s="15">
        <f t="shared" si="3"/>
        <v>2</v>
      </c>
    </row>
    <row r="11404">
      <c r="A11404" s="8" t="str">
        <f>IFERROR(__xludf.DUMMYFUNCTION("IF('(INGESTA)Datos_consumo_datadis'!A11404&lt;&gt;"""",SPLIT('(INGESTA)Datos_consumo_datadis'!A:A,"",""),"""")"),"ES0031408323131005HX0F")</f>
        <v>ES0031408323131005HX0F</v>
      </c>
      <c r="B11404" s="12">
        <f>IFERROR(__xludf.DUMMYFUNCTION("""COMPUTED_VALUE"""),45341.0)</f>
        <v>45341</v>
      </c>
      <c r="C11404" s="13">
        <f>IFERROR(__xludf.DUMMYFUNCTION("""COMPUTED_VALUE"""),0.125)</f>
        <v>0.125</v>
      </c>
      <c r="D11404" s="8">
        <f>IFERROR(__xludf.DUMMYFUNCTION("""COMPUTED_VALUE"""),1.845)</f>
        <v>1.845</v>
      </c>
      <c r="E11404" s="8" t="str">
        <f>IFERROR(__xludf.DUMMYFUNCTION("""COMPUTED_VALUE"""),"Real")</f>
        <v>Real</v>
      </c>
      <c r="G11404" s="8">
        <f t="shared" si="1"/>
        <v>2</v>
      </c>
      <c r="H11404" s="14">
        <f t="shared" si="2"/>
        <v>19</v>
      </c>
      <c r="I11404" s="15">
        <f t="shared" si="3"/>
        <v>3</v>
      </c>
    </row>
    <row r="11405">
      <c r="A11405" s="8" t="str">
        <f>IFERROR(__xludf.DUMMYFUNCTION("IF('(INGESTA)Datos_consumo_datadis'!A11405&lt;&gt;"""",SPLIT('(INGESTA)Datos_consumo_datadis'!A:A,"",""),"""")"),"ES0031408323131005HX0F")</f>
        <v>ES0031408323131005HX0F</v>
      </c>
      <c r="B11405" s="12">
        <f>IFERROR(__xludf.DUMMYFUNCTION("""COMPUTED_VALUE"""),45341.0)</f>
        <v>45341</v>
      </c>
      <c r="C11405" s="13">
        <f>IFERROR(__xludf.DUMMYFUNCTION("""COMPUTED_VALUE"""),0.16666666666666666)</f>
        <v>0.1666666667</v>
      </c>
      <c r="D11405" s="8">
        <f>IFERROR(__xludf.DUMMYFUNCTION("""COMPUTED_VALUE"""),1.745)</f>
        <v>1.745</v>
      </c>
      <c r="E11405" s="8" t="str">
        <f>IFERROR(__xludf.DUMMYFUNCTION("""COMPUTED_VALUE"""),"Real")</f>
        <v>Real</v>
      </c>
      <c r="G11405" s="8">
        <f t="shared" si="1"/>
        <v>2</v>
      </c>
      <c r="H11405" s="14">
        <f t="shared" si="2"/>
        <v>19</v>
      </c>
      <c r="I11405" s="15">
        <f t="shared" si="3"/>
        <v>4</v>
      </c>
    </row>
    <row r="11406">
      <c r="A11406" s="8" t="str">
        <f>IFERROR(__xludf.DUMMYFUNCTION("IF('(INGESTA)Datos_consumo_datadis'!A11406&lt;&gt;"""",SPLIT('(INGESTA)Datos_consumo_datadis'!A:A,"",""),"""")"),"ES0031408323131005HX0F")</f>
        <v>ES0031408323131005HX0F</v>
      </c>
      <c r="B11406" s="12">
        <f>IFERROR(__xludf.DUMMYFUNCTION("""COMPUTED_VALUE"""),45341.0)</f>
        <v>45341</v>
      </c>
      <c r="C11406" s="13">
        <f>IFERROR(__xludf.DUMMYFUNCTION("""COMPUTED_VALUE"""),0.20833333333333334)</f>
        <v>0.2083333333</v>
      </c>
      <c r="D11406" s="8">
        <f>IFERROR(__xludf.DUMMYFUNCTION("""COMPUTED_VALUE"""),1.404)</f>
        <v>1.404</v>
      </c>
      <c r="E11406" s="8" t="str">
        <f>IFERROR(__xludf.DUMMYFUNCTION("""COMPUTED_VALUE"""),"Real")</f>
        <v>Real</v>
      </c>
      <c r="G11406" s="8">
        <f t="shared" si="1"/>
        <v>2</v>
      </c>
      <c r="H11406" s="14">
        <f t="shared" si="2"/>
        <v>19</v>
      </c>
      <c r="I11406" s="15">
        <f t="shared" si="3"/>
        <v>5</v>
      </c>
    </row>
    <row r="11407">
      <c r="A11407" s="8" t="str">
        <f>IFERROR(__xludf.DUMMYFUNCTION("IF('(INGESTA)Datos_consumo_datadis'!A11407&lt;&gt;"""",SPLIT('(INGESTA)Datos_consumo_datadis'!A:A,"",""),"""")"),"ES0031408323131005HX0F")</f>
        <v>ES0031408323131005HX0F</v>
      </c>
      <c r="B11407" s="12">
        <f>IFERROR(__xludf.DUMMYFUNCTION("""COMPUTED_VALUE"""),45341.0)</f>
        <v>45341</v>
      </c>
      <c r="C11407" s="13">
        <f>IFERROR(__xludf.DUMMYFUNCTION("""COMPUTED_VALUE"""),0.25)</f>
        <v>0.25</v>
      </c>
      <c r="D11407" s="8">
        <f>IFERROR(__xludf.DUMMYFUNCTION("""COMPUTED_VALUE"""),1.643)</f>
        <v>1.643</v>
      </c>
      <c r="E11407" s="8" t="str">
        <f>IFERROR(__xludf.DUMMYFUNCTION("""COMPUTED_VALUE"""),"Real")</f>
        <v>Real</v>
      </c>
      <c r="G11407" s="8">
        <f t="shared" si="1"/>
        <v>2</v>
      </c>
      <c r="H11407" s="14">
        <f t="shared" si="2"/>
        <v>19</v>
      </c>
      <c r="I11407" s="15">
        <f t="shared" si="3"/>
        <v>6</v>
      </c>
    </row>
    <row r="11408">
      <c r="A11408" s="8" t="str">
        <f>IFERROR(__xludf.DUMMYFUNCTION("IF('(INGESTA)Datos_consumo_datadis'!A11408&lt;&gt;"""",SPLIT('(INGESTA)Datos_consumo_datadis'!A:A,"",""),"""")"),"ES0031408323131005HX0F")</f>
        <v>ES0031408323131005HX0F</v>
      </c>
      <c r="B11408" s="12">
        <f>IFERROR(__xludf.DUMMYFUNCTION("""COMPUTED_VALUE"""),45341.0)</f>
        <v>45341</v>
      </c>
      <c r="C11408" s="13">
        <f>IFERROR(__xludf.DUMMYFUNCTION("""COMPUTED_VALUE"""),0.2916666666666667)</f>
        <v>0.2916666667</v>
      </c>
      <c r="D11408" s="8">
        <f>IFERROR(__xludf.DUMMYFUNCTION("""COMPUTED_VALUE"""),1.387)</f>
        <v>1.387</v>
      </c>
      <c r="E11408" s="8" t="str">
        <f>IFERROR(__xludf.DUMMYFUNCTION("""COMPUTED_VALUE"""),"Real")</f>
        <v>Real</v>
      </c>
      <c r="G11408" s="8">
        <f t="shared" si="1"/>
        <v>2</v>
      </c>
      <c r="H11408" s="14">
        <f t="shared" si="2"/>
        <v>19</v>
      </c>
      <c r="I11408" s="15">
        <f t="shared" si="3"/>
        <v>7</v>
      </c>
    </row>
    <row r="11409">
      <c r="A11409" s="8" t="str">
        <f>IFERROR(__xludf.DUMMYFUNCTION("IF('(INGESTA)Datos_consumo_datadis'!A11409&lt;&gt;"""",SPLIT('(INGESTA)Datos_consumo_datadis'!A:A,"",""),"""")"),"ES0031408323131005HX0F")</f>
        <v>ES0031408323131005HX0F</v>
      </c>
      <c r="B11409" s="12">
        <f>IFERROR(__xludf.DUMMYFUNCTION("""COMPUTED_VALUE"""),45341.0)</f>
        <v>45341</v>
      </c>
      <c r="C11409" s="13">
        <f>IFERROR(__xludf.DUMMYFUNCTION("""COMPUTED_VALUE"""),0.3333333333333333)</f>
        <v>0.3333333333</v>
      </c>
      <c r="D11409" s="8">
        <f>IFERROR(__xludf.DUMMYFUNCTION("""COMPUTED_VALUE"""),1.758)</f>
        <v>1.758</v>
      </c>
      <c r="E11409" s="8" t="str">
        <f>IFERROR(__xludf.DUMMYFUNCTION("""COMPUTED_VALUE"""),"Real")</f>
        <v>Real</v>
      </c>
      <c r="G11409" s="8">
        <f t="shared" si="1"/>
        <v>2</v>
      </c>
      <c r="H11409" s="14">
        <f t="shared" si="2"/>
        <v>19</v>
      </c>
      <c r="I11409" s="15">
        <f t="shared" si="3"/>
        <v>8</v>
      </c>
    </row>
    <row r="11410">
      <c r="A11410" s="8" t="str">
        <f>IFERROR(__xludf.DUMMYFUNCTION("IF('(INGESTA)Datos_consumo_datadis'!A11410&lt;&gt;"""",SPLIT('(INGESTA)Datos_consumo_datadis'!A:A,"",""),"""")"),"ES0031408323131005HX0F")</f>
        <v>ES0031408323131005HX0F</v>
      </c>
      <c r="B11410" s="12">
        <f>IFERROR(__xludf.DUMMYFUNCTION("""COMPUTED_VALUE"""),45341.0)</f>
        <v>45341</v>
      </c>
      <c r="C11410" s="13">
        <f>IFERROR(__xludf.DUMMYFUNCTION("""COMPUTED_VALUE"""),0.375)</f>
        <v>0.375</v>
      </c>
      <c r="D11410" s="8">
        <f>IFERROR(__xludf.DUMMYFUNCTION("""COMPUTED_VALUE"""),0.881)</f>
        <v>0.881</v>
      </c>
      <c r="E11410" s="8" t="str">
        <f>IFERROR(__xludf.DUMMYFUNCTION("""COMPUTED_VALUE"""),"Real")</f>
        <v>Real</v>
      </c>
      <c r="G11410" s="8">
        <f t="shared" si="1"/>
        <v>2</v>
      </c>
      <c r="H11410" s="14">
        <f t="shared" si="2"/>
        <v>19</v>
      </c>
      <c r="I11410" s="15">
        <f t="shared" si="3"/>
        <v>9</v>
      </c>
    </row>
    <row r="11411">
      <c r="A11411" s="8" t="str">
        <f>IFERROR(__xludf.DUMMYFUNCTION("IF('(INGESTA)Datos_consumo_datadis'!A11411&lt;&gt;"""",SPLIT('(INGESTA)Datos_consumo_datadis'!A:A,"",""),"""")"),"ES0031408323131005HX0F")</f>
        <v>ES0031408323131005HX0F</v>
      </c>
      <c r="B11411" s="12">
        <f>IFERROR(__xludf.DUMMYFUNCTION("""COMPUTED_VALUE"""),45341.0)</f>
        <v>45341</v>
      </c>
      <c r="C11411" s="13">
        <f>IFERROR(__xludf.DUMMYFUNCTION("""COMPUTED_VALUE"""),0.4166666666666667)</f>
        <v>0.4166666667</v>
      </c>
      <c r="D11411" s="8">
        <f>IFERROR(__xludf.DUMMYFUNCTION("""COMPUTED_VALUE"""),1.077)</f>
        <v>1.077</v>
      </c>
      <c r="E11411" s="8" t="str">
        <f>IFERROR(__xludf.DUMMYFUNCTION("""COMPUTED_VALUE"""),"Real")</f>
        <v>Real</v>
      </c>
      <c r="G11411" s="8">
        <f t="shared" si="1"/>
        <v>2</v>
      </c>
      <c r="H11411" s="14">
        <f t="shared" si="2"/>
        <v>19</v>
      </c>
      <c r="I11411" s="15">
        <f t="shared" si="3"/>
        <v>10</v>
      </c>
    </row>
    <row r="11412">
      <c r="A11412" s="8" t="str">
        <f>IFERROR(__xludf.DUMMYFUNCTION("IF('(INGESTA)Datos_consumo_datadis'!A11412&lt;&gt;"""",SPLIT('(INGESTA)Datos_consumo_datadis'!A:A,"",""),"""")"),"ES0031408323131005HX0F")</f>
        <v>ES0031408323131005HX0F</v>
      </c>
      <c r="B11412" s="12">
        <f>IFERROR(__xludf.DUMMYFUNCTION("""COMPUTED_VALUE"""),45341.0)</f>
        <v>45341</v>
      </c>
      <c r="C11412" s="13">
        <f>IFERROR(__xludf.DUMMYFUNCTION("""COMPUTED_VALUE"""),0.4583333333333333)</f>
        <v>0.4583333333</v>
      </c>
      <c r="D11412" s="8">
        <f>IFERROR(__xludf.DUMMYFUNCTION("""COMPUTED_VALUE"""),0.654)</f>
        <v>0.654</v>
      </c>
      <c r="E11412" s="8" t="str">
        <f>IFERROR(__xludf.DUMMYFUNCTION("""COMPUTED_VALUE"""),"Real")</f>
        <v>Real</v>
      </c>
      <c r="G11412" s="8">
        <f t="shared" si="1"/>
        <v>2</v>
      </c>
      <c r="H11412" s="14">
        <f t="shared" si="2"/>
        <v>19</v>
      </c>
      <c r="I11412" s="15">
        <f t="shared" si="3"/>
        <v>11</v>
      </c>
    </row>
    <row r="11413">
      <c r="A11413" s="8" t="str">
        <f>IFERROR(__xludf.DUMMYFUNCTION("IF('(INGESTA)Datos_consumo_datadis'!A11413&lt;&gt;"""",SPLIT('(INGESTA)Datos_consumo_datadis'!A:A,"",""),"""")"),"ES0031408323131005HX0F")</f>
        <v>ES0031408323131005HX0F</v>
      </c>
      <c r="B11413" s="12">
        <f>IFERROR(__xludf.DUMMYFUNCTION("""COMPUTED_VALUE"""),45341.0)</f>
        <v>45341</v>
      </c>
      <c r="C11413" s="13">
        <f>IFERROR(__xludf.DUMMYFUNCTION("""COMPUTED_VALUE"""),0.5)</f>
        <v>0.5</v>
      </c>
      <c r="D11413" s="8">
        <f>IFERROR(__xludf.DUMMYFUNCTION("""COMPUTED_VALUE"""),0.593)</f>
        <v>0.593</v>
      </c>
      <c r="E11413" s="8" t="str">
        <f>IFERROR(__xludf.DUMMYFUNCTION("""COMPUTED_VALUE"""),"Real")</f>
        <v>Real</v>
      </c>
      <c r="G11413" s="8">
        <f t="shared" si="1"/>
        <v>2</v>
      </c>
      <c r="H11413" s="14">
        <f t="shared" si="2"/>
        <v>19</v>
      </c>
      <c r="I11413" s="15">
        <f t="shared" si="3"/>
        <v>12</v>
      </c>
    </row>
    <row r="11414">
      <c r="A11414" s="8" t="str">
        <f>IFERROR(__xludf.DUMMYFUNCTION("IF('(INGESTA)Datos_consumo_datadis'!A11414&lt;&gt;"""",SPLIT('(INGESTA)Datos_consumo_datadis'!A:A,"",""),"""")"),"ES0031408323131005HX0F")</f>
        <v>ES0031408323131005HX0F</v>
      </c>
      <c r="B11414" s="12">
        <f>IFERROR(__xludf.DUMMYFUNCTION("""COMPUTED_VALUE"""),45341.0)</f>
        <v>45341</v>
      </c>
      <c r="C11414" s="13">
        <f>IFERROR(__xludf.DUMMYFUNCTION("""COMPUTED_VALUE"""),0.5416666666666666)</f>
        <v>0.5416666667</v>
      </c>
      <c r="D11414" s="8">
        <f>IFERROR(__xludf.DUMMYFUNCTION("""COMPUTED_VALUE"""),0.041)</f>
        <v>0.041</v>
      </c>
      <c r="E11414" s="8" t="str">
        <f>IFERROR(__xludf.DUMMYFUNCTION("""COMPUTED_VALUE"""),"Real")</f>
        <v>Real</v>
      </c>
      <c r="G11414" s="8">
        <f t="shared" si="1"/>
        <v>2</v>
      </c>
      <c r="H11414" s="14">
        <f t="shared" si="2"/>
        <v>19</v>
      </c>
      <c r="I11414" s="15">
        <f t="shared" si="3"/>
        <v>13</v>
      </c>
    </row>
    <row r="11415">
      <c r="A11415" s="8" t="str">
        <f>IFERROR(__xludf.DUMMYFUNCTION("IF('(INGESTA)Datos_consumo_datadis'!A11415&lt;&gt;"""",SPLIT('(INGESTA)Datos_consumo_datadis'!A:A,"",""),"""")"),"ES0031408323131005HX0F")</f>
        <v>ES0031408323131005HX0F</v>
      </c>
      <c r="B11415" s="12">
        <f>IFERROR(__xludf.DUMMYFUNCTION("""COMPUTED_VALUE"""),45341.0)</f>
        <v>45341</v>
      </c>
      <c r="C11415" s="13">
        <f>IFERROR(__xludf.DUMMYFUNCTION("""COMPUTED_VALUE"""),0.5833333333333334)</f>
        <v>0.5833333333</v>
      </c>
      <c r="D11415" s="8">
        <f>IFERROR(__xludf.DUMMYFUNCTION("""COMPUTED_VALUE"""),0.342)</f>
        <v>0.342</v>
      </c>
      <c r="E11415" s="8" t="str">
        <f>IFERROR(__xludf.DUMMYFUNCTION("""COMPUTED_VALUE"""),"Real")</f>
        <v>Real</v>
      </c>
      <c r="G11415" s="8">
        <f t="shared" si="1"/>
        <v>2</v>
      </c>
      <c r="H11415" s="14">
        <f t="shared" si="2"/>
        <v>19</v>
      </c>
      <c r="I11415" s="15">
        <f t="shared" si="3"/>
        <v>14</v>
      </c>
    </row>
    <row r="11416">
      <c r="A11416" s="8" t="str">
        <f>IFERROR(__xludf.DUMMYFUNCTION("IF('(INGESTA)Datos_consumo_datadis'!A11416&lt;&gt;"""",SPLIT('(INGESTA)Datos_consumo_datadis'!A:A,"",""),"""")"),"ES0031408323131005HX0F")</f>
        <v>ES0031408323131005HX0F</v>
      </c>
      <c r="B11416" s="12">
        <f>IFERROR(__xludf.DUMMYFUNCTION("""COMPUTED_VALUE"""),45341.0)</f>
        <v>45341</v>
      </c>
      <c r="C11416" s="13">
        <f>IFERROR(__xludf.DUMMYFUNCTION("""COMPUTED_VALUE"""),0.625)</f>
        <v>0.625</v>
      </c>
      <c r="D11416" s="8">
        <f>IFERROR(__xludf.DUMMYFUNCTION("""COMPUTED_VALUE"""),0.162)</f>
        <v>0.162</v>
      </c>
      <c r="E11416" s="8" t="str">
        <f>IFERROR(__xludf.DUMMYFUNCTION("""COMPUTED_VALUE"""),"Real")</f>
        <v>Real</v>
      </c>
      <c r="G11416" s="8">
        <f t="shared" si="1"/>
        <v>2</v>
      </c>
      <c r="H11416" s="14">
        <f t="shared" si="2"/>
        <v>19</v>
      </c>
      <c r="I11416" s="15">
        <f t="shared" si="3"/>
        <v>15</v>
      </c>
    </row>
    <row r="11417">
      <c r="A11417" s="8" t="str">
        <f>IFERROR(__xludf.DUMMYFUNCTION("IF('(INGESTA)Datos_consumo_datadis'!A11417&lt;&gt;"""",SPLIT('(INGESTA)Datos_consumo_datadis'!A:A,"",""),"""")"),"ES0031408323131005HX0F")</f>
        <v>ES0031408323131005HX0F</v>
      </c>
      <c r="B11417" s="12">
        <f>IFERROR(__xludf.DUMMYFUNCTION("""COMPUTED_VALUE"""),45341.0)</f>
        <v>45341</v>
      </c>
      <c r="C11417" s="13">
        <f>IFERROR(__xludf.DUMMYFUNCTION("""COMPUTED_VALUE"""),0.6666666666666666)</f>
        <v>0.6666666667</v>
      </c>
      <c r="D11417" s="8">
        <f>IFERROR(__xludf.DUMMYFUNCTION("""COMPUTED_VALUE"""),0.305)</f>
        <v>0.305</v>
      </c>
      <c r="E11417" s="8" t="str">
        <f>IFERROR(__xludf.DUMMYFUNCTION("""COMPUTED_VALUE"""),"Real")</f>
        <v>Real</v>
      </c>
      <c r="G11417" s="8">
        <f t="shared" si="1"/>
        <v>2</v>
      </c>
      <c r="H11417" s="14">
        <f t="shared" si="2"/>
        <v>19</v>
      </c>
      <c r="I11417" s="15">
        <f t="shared" si="3"/>
        <v>16</v>
      </c>
    </row>
    <row r="11418">
      <c r="A11418" s="8" t="str">
        <f>IFERROR(__xludf.DUMMYFUNCTION("IF('(INGESTA)Datos_consumo_datadis'!A11418&lt;&gt;"""",SPLIT('(INGESTA)Datos_consumo_datadis'!A:A,"",""),"""")"),"ES0031408323131005HX0F")</f>
        <v>ES0031408323131005HX0F</v>
      </c>
      <c r="B11418" s="12">
        <f>IFERROR(__xludf.DUMMYFUNCTION("""COMPUTED_VALUE"""),45341.0)</f>
        <v>45341</v>
      </c>
      <c r="C11418" s="13">
        <f>IFERROR(__xludf.DUMMYFUNCTION("""COMPUTED_VALUE"""),0.7083333333333334)</f>
        <v>0.7083333333</v>
      </c>
      <c r="D11418" s="8">
        <f>IFERROR(__xludf.DUMMYFUNCTION("""COMPUTED_VALUE"""),0.083)</f>
        <v>0.083</v>
      </c>
      <c r="E11418" s="8" t="str">
        <f>IFERROR(__xludf.DUMMYFUNCTION("""COMPUTED_VALUE"""),"Real")</f>
        <v>Real</v>
      </c>
      <c r="G11418" s="8">
        <f t="shared" si="1"/>
        <v>2</v>
      </c>
      <c r="H11418" s="14">
        <f t="shared" si="2"/>
        <v>19</v>
      </c>
      <c r="I11418" s="15">
        <f t="shared" si="3"/>
        <v>17</v>
      </c>
    </row>
    <row r="11419">
      <c r="A11419" s="8" t="str">
        <f>IFERROR(__xludf.DUMMYFUNCTION("IF('(INGESTA)Datos_consumo_datadis'!A11419&lt;&gt;"""",SPLIT('(INGESTA)Datos_consumo_datadis'!A:A,"",""),"""")"),"ES0031408323131005HX0F")</f>
        <v>ES0031408323131005HX0F</v>
      </c>
      <c r="B11419" s="12">
        <f>IFERROR(__xludf.DUMMYFUNCTION("""COMPUTED_VALUE"""),45341.0)</f>
        <v>45341</v>
      </c>
      <c r="C11419" s="13">
        <f>IFERROR(__xludf.DUMMYFUNCTION("""COMPUTED_VALUE"""),0.75)</f>
        <v>0.75</v>
      </c>
      <c r="D11419" s="8">
        <f>IFERROR(__xludf.DUMMYFUNCTION("""COMPUTED_VALUE"""),0.048)</f>
        <v>0.048</v>
      </c>
      <c r="E11419" s="8" t="str">
        <f>IFERROR(__xludf.DUMMYFUNCTION("""COMPUTED_VALUE"""),"Real")</f>
        <v>Real</v>
      </c>
      <c r="G11419" s="8">
        <f t="shared" si="1"/>
        <v>2</v>
      </c>
      <c r="H11419" s="14">
        <f t="shared" si="2"/>
        <v>19</v>
      </c>
      <c r="I11419" s="15">
        <f t="shared" si="3"/>
        <v>18</v>
      </c>
    </row>
    <row r="11420">
      <c r="A11420" s="8" t="str">
        <f>IFERROR(__xludf.DUMMYFUNCTION("IF('(INGESTA)Datos_consumo_datadis'!A11420&lt;&gt;"""",SPLIT('(INGESTA)Datos_consumo_datadis'!A:A,"",""),"""")"),"ES0031408323131005HX0F")</f>
        <v>ES0031408323131005HX0F</v>
      </c>
      <c r="B11420" s="12">
        <f>IFERROR(__xludf.DUMMYFUNCTION("""COMPUTED_VALUE"""),45341.0)</f>
        <v>45341</v>
      </c>
      <c r="C11420" s="13">
        <f>IFERROR(__xludf.DUMMYFUNCTION("""COMPUTED_VALUE"""),0.7916666666666666)</f>
        <v>0.7916666667</v>
      </c>
      <c r="D11420" s="8">
        <f>IFERROR(__xludf.DUMMYFUNCTION("""COMPUTED_VALUE"""),0.11)</f>
        <v>0.11</v>
      </c>
      <c r="E11420" s="8" t="str">
        <f>IFERROR(__xludf.DUMMYFUNCTION("""COMPUTED_VALUE"""),"Real")</f>
        <v>Real</v>
      </c>
      <c r="G11420" s="8">
        <f t="shared" si="1"/>
        <v>2</v>
      </c>
      <c r="H11420" s="14">
        <f t="shared" si="2"/>
        <v>19</v>
      </c>
      <c r="I11420" s="15">
        <f t="shared" si="3"/>
        <v>19</v>
      </c>
    </row>
    <row r="11421">
      <c r="A11421" s="8" t="str">
        <f>IFERROR(__xludf.DUMMYFUNCTION("IF('(INGESTA)Datos_consumo_datadis'!A11421&lt;&gt;"""",SPLIT('(INGESTA)Datos_consumo_datadis'!A:A,"",""),"""")"),"ES0031408323131005HX0F")</f>
        <v>ES0031408323131005HX0F</v>
      </c>
      <c r="B11421" s="12">
        <f>IFERROR(__xludf.DUMMYFUNCTION("""COMPUTED_VALUE"""),45341.0)</f>
        <v>45341</v>
      </c>
      <c r="C11421" s="13">
        <f>IFERROR(__xludf.DUMMYFUNCTION("""COMPUTED_VALUE"""),0.8333333333333334)</f>
        <v>0.8333333333</v>
      </c>
      <c r="D11421" s="8">
        <f>IFERROR(__xludf.DUMMYFUNCTION("""COMPUTED_VALUE"""),0.838)</f>
        <v>0.838</v>
      </c>
      <c r="E11421" s="8" t="str">
        <f>IFERROR(__xludf.DUMMYFUNCTION("""COMPUTED_VALUE"""),"Real")</f>
        <v>Real</v>
      </c>
      <c r="G11421" s="8">
        <f t="shared" si="1"/>
        <v>2</v>
      </c>
      <c r="H11421" s="14">
        <f t="shared" si="2"/>
        <v>19</v>
      </c>
      <c r="I11421" s="15">
        <f t="shared" si="3"/>
        <v>20</v>
      </c>
    </row>
    <row r="11422">
      <c r="A11422" s="8" t="str">
        <f>IFERROR(__xludf.DUMMYFUNCTION("IF('(INGESTA)Datos_consumo_datadis'!A11422&lt;&gt;"""",SPLIT('(INGESTA)Datos_consumo_datadis'!A:A,"",""),"""")"),"ES0031408323131005HX0F")</f>
        <v>ES0031408323131005HX0F</v>
      </c>
      <c r="B11422" s="12">
        <f>IFERROR(__xludf.DUMMYFUNCTION("""COMPUTED_VALUE"""),45341.0)</f>
        <v>45341</v>
      </c>
      <c r="C11422" s="13">
        <f>IFERROR(__xludf.DUMMYFUNCTION("""COMPUTED_VALUE"""),0.875)</f>
        <v>0.875</v>
      </c>
      <c r="D11422" s="8">
        <f>IFERROR(__xludf.DUMMYFUNCTION("""COMPUTED_VALUE"""),0.552)</f>
        <v>0.552</v>
      </c>
      <c r="E11422" s="8" t="str">
        <f>IFERROR(__xludf.DUMMYFUNCTION("""COMPUTED_VALUE"""),"Real")</f>
        <v>Real</v>
      </c>
      <c r="G11422" s="8">
        <f t="shared" si="1"/>
        <v>2</v>
      </c>
      <c r="H11422" s="14">
        <f t="shared" si="2"/>
        <v>19</v>
      </c>
      <c r="I11422" s="15">
        <f t="shared" si="3"/>
        <v>21</v>
      </c>
    </row>
    <row r="11423">
      <c r="A11423" s="8" t="str">
        <f>IFERROR(__xludf.DUMMYFUNCTION("IF('(INGESTA)Datos_consumo_datadis'!A11423&lt;&gt;"""",SPLIT('(INGESTA)Datos_consumo_datadis'!A:A,"",""),"""")"),"ES0031408323131005HX0F")</f>
        <v>ES0031408323131005HX0F</v>
      </c>
      <c r="B11423" s="12">
        <f>IFERROR(__xludf.DUMMYFUNCTION("""COMPUTED_VALUE"""),45341.0)</f>
        <v>45341</v>
      </c>
      <c r="C11423" s="13">
        <f>IFERROR(__xludf.DUMMYFUNCTION("""COMPUTED_VALUE"""),0.9166666666666666)</f>
        <v>0.9166666667</v>
      </c>
      <c r="D11423" s="8">
        <f>IFERROR(__xludf.DUMMYFUNCTION("""COMPUTED_VALUE"""),0.813)</f>
        <v>0.813</v>
      </c>
      <c r="E11423" s="8" t="str">
        <f>IFERROR(__xludf.DUMMYFUNCTION("""COMPUTED_VALUE"""),"Real")</f>
        <v>Real</v>
      </c>
      <c r="G11423" s="8">
        <f t="shared" si="1"/>
        <v>2</v>
      </c>
      <c r="H11423" s="14">
        <f t="shared" si="2"/>
        <v>19</v>
      </c>
      <c r="I11423" s="15">
        <f t="shared" si="3"/>
        <v>22</v>
      </c>
    </row>
    <row r="11424">
      <c r="A11424" s="8" t="str">
        <f>IFERROR(__xludf.DUMMYFUNCTION("IF('(INGESTA)Datos_consumo_datadis'!A11424&lt;&gt;"""",SPLIT('(INGESTA)Datos_consumo_datadis'!A:A,"",""),"""")"),"ES0031408323131005HX0F")</f>
        <v>ES0031408323131005HX0F</v>
      </c>
      <c r="B11424" s="12">
        <f>IFERROR(__xludf.DUMMYFUNCTION("""COMPUTED_VALUE"""),45341.0)</f>
        <v>45341</v>
      </c>
      <c r="C11424" s="13">
        <f>IFERROR(__xludf.DUMMYFUNCTION("""COMPUTED_VALUE"""),0.9583333333333334)</f>
        <v>0.9583333333</v>
      </c>
      <c r="D11424" s="8">
        <f>IFERROR(__xludf.DUMMYFUNCTION("""COMPUTED_VALUE"""),0.165)</f>
        <v>0.165</v>
      </c>
      <c r="E11424" s="8" t="str">
        <f>IFERROR(__xludf.DUMMYFUNCTION("""COMPUTED_VALUE"""),"Real")</f>
        <v>Real</v>
      </c>
      <c r="G11424" s="8">
        <f t="shared" si="1"/>
        <v>2</v>
      </c>
      <c r="H11424" s="14">
        <f t="shared" si="2"/>
        <v>19</v>
      </c>
      <c r="I11424" s="15">
        <f t="shared" si="3"/>
        <v>23</v>
      </c>
    </row>
    <row r="11425">
      <c r="A11425" s="8" t="str">
        <f>IFERROR(__xludf.DUMMYFUNCTION("IF('(INGESTA)Datos_consumo_datadis'!A11425&lt;&gt;"""",SPLIT('(INGESTA)Datos_consumo_datadis'!A:A,"",""),"""")"),"ES0031408323131005HX0F")</f>
        <v>ES0031408323131005HX0F</v>
      </c>
      <c r="B11425" s="12">
        <f>IFERROR(__xludf.DUMMYFUNCTION("""COMPUTED_VALUE"""),45341.0)</f>
        <v>45341</v>
      </c>
      <c r="C11425" s="16">
        <f>IFERROR(__xludf.DUMMYFUNCTION("""COMPUTED_VALUE"""),1.0)</f>
        <v>1</v>
      </c>
      <c r="D11425" s="8">
        <f>IFERROR(__xludf.DUMMYFUNCTION("""COMPUTED_VALUE"""),0.116)</f>
        <v>0.116</v>
      </c>
      <c r="E11425" s="8" t="str">
        <f>IFERROR(__xludf.DUMMYFUNCTION("""COMPUTED_VALUE"""),"Real")</f>
        <v>Real</v>
      </c>
      <c r="G11425" s="8">
        <f t="shared" si="1"/>
        <v>2</v>
      </c>
      <c r="H11425" s="14">
        <f t="shared" si="2"/>
        <v>19</v>
      </c>
      <c r="I11425" s="15">
        <f t="shared" si="3"/>
        <v>0</v>
      </c>
    </row>
    <row r="11426">
      <c r="A11426" s="8" t="str">
        <f>IFERROR(__xludf.DUMMYFUNCTION("IF('(INGESTA)Datos_consumo_datadis'!A11426&lt;&gt;"""",SPLIT('(INGESTA)Datos_consumo_datadis'!A:A,"",""),"""")"),"ES0031408323131005HX0F")</f>
        <v>ES0031408323131005HX0F</v>
      </c>
      <c r="B11426" s="12">
        <f>IFERROR(__xludf.DUMMYFUNCTION("""COMPUTED_VALUE"""),45342.0)</f>
        <v>45342</v>
      </c>
      <c r="C11426" s="13">
        <f>IFERROR(__xludf.DUMMYFUNCTION("""COMPUTED_VALUE"""),0.041666666666666664)</f>
        <v>0.04166666667</v>
      </c>
      <c r="D11426" s="8">
        <f>IFERROR(__xludf.DUMMYFUNCTION("""COMPUTED_VALUE"""),0.416)</f>
        <v>0.416</v>
      </c>
      <c r="E11426" s="8" t="str">
        <f>IFERROR(__xludf.DUMMYFUNCTION("""COMPUTED_VALUE"""),"Real")</f>
        <v>Real</v>
      </c>
      <c r="G11426" s="8">
        <f t="shared" si="1"/>
        <v>2</v>
      </c>
      <c r="H11426" s="14">
        <f t="shared" si="2"/>
        <v>20</v>
      </c>
      <c r="I11426" s="15">
        <f t="shared" si="3"/>
        <v>1</v>
      </c>
    </row>
    <row r="11427">
      <c r="A11427" s="8" t="str">
        <f>IFERROR(__xludf.DUMMYFUNCTION("IF('(INGESTA)Datos_consumo_datadis'!A11427&lt;&gt;"""",SPLIT('(INGESTA)Datos_consumo_datadis'!A:A,"",""),"""")"),"ES0031408323131005HX0F")</f>
        <v>ES0031408323131005HX0F</v>
      </c>
      <c r="B11427" s="12">
        <f>IFERROR(__xludf.DUMMYFUNCTION("""COMPUTED_VALUE"""),45342.0)</f>
        <v>45342</v>
      </c>
      <c r="C11427" s="13">
        <f>IFERROR(__xludf.DUMMYFUNCTION("""COMPUTED_VALUE"""),0.08333333333333333)</f>
        <v>0.08333333333</v>
      </c>
      <c r="D11427" s="8">
        <f>IFERROR(__xludf.DUMMYFUNCTION("""COMPUTED_VALUE"""),0.084)</f>
        <v>0.084</v>
      </c>
      <c r="E11427" s="8" t="str">
        <f>IFERROR(__xludf.DUMMYFUNCTION("""COMPUTED_VALUE"""),"Real")</f>
        <v>Real</v>
      </c>
      <c r="G11427" s="8">
        <f t="shared" si="1"/>
        <v>2</v>
      </c>
      <c r="H11427" s="14">
        <f t="shared" si="2"/>
        <v>20</v>
      </c>
      <c r="I11427" s="15">
        <f t="shared" si="3"/>
        <v>2</v>
      </c>
    </row>
    <row r="11428">
      <c r="A11428" s="8" t="str">
        <f>IFERROR(__xludf.DUMMYFUNCTION("IF('(INGESTA)Datos_consumo_datadis'!A11428&lt;&gt;"""",SPLIT('(INGESTA)Datos_consumo_datadis'!A:A,"",""),"""")"),"ES0031408323131005HX0F")</f>
        <v>ES0031408323131005HX0F</v>
      </c>
      <c r="B11428" s="12">
        <f>IFERROR(__xludf.DUMMYFUNCTION("""COMPUTED_VALUE"""),45342.0)</f>
        <v>45342</v>
      </c>
      <c r="C11428" s="13">
        <f>IFERROR(__xludf.DUMMYFUNCTION("""COMPUTED_VALUE"""),0.125)</f>
        <v>0.125</v>
      </c>
      <c r="D11428" s="8">
        <f>IFERROR(__xludf.DUMMYFUNCTION("""COMPUTED_VALUE"""),0.024)</f>
        <v>0.024</v>
      </c>
      <c r="E11428" s="8" t="str">
        <f>IFERROR(__xludf.DUMMYFUNCTION("""COMPUTED_VALUE"""),"Real")</f>
        <v>Real</v>
      </c>
      <c r="G11428" s="8">
        <f t="shared" si="1"/>
        <v>2</v>
      </c>
      <c r="H11428" s="14">
        <f t="shared" si="2"/>
        <v>20</v>
      </c>
      <c r="I11428" s="15">
        <f t="shared" si="3"/>
        <v>3</v>
      </c>
    </row>
    <row r="11429">
      <c r="A11429" s="8" t="str">
        <f>IFERROR(__xludf.DUMMYFUNCTION("IF('(INGESTA)Datos_consumo_datadis'!A11429&lt;&gt;"""",SPLIT('(INGESTA)Datos_consumo_datadis'!A:A,"",""),"""")"),"ES0031408323131005HX0F")</f>
        <v>ES0031408323131005HX0F</v>
      </c>
      <c r="B11429" s="12">
        <f>IFERROR(__xludf.DUMMYFUNCTION("""COMPUTED_VALUE"""),45342.0)</f>
        <v>45342</v>
      </c>
      <c r="C11429" s="13">
        <f>IFERROR(__xludf.DUMMYFUNCTION("""COMPUTED_VALUE"""),0.16666666666666666)</f>
        <v>0.1666666667</v>
      </c>
      <c r="D11429" s="8">
        <f>IFERROR(__xludf.DUMMYFUNCTION("""COMPUTED_VALUE"""),0.089)</f>
        <v>0.089</v>
      </c>
      <c r="E11429" s="8" t="str">
        <f>IFERROR(__xludf.DUMMYFUNCTION("""COMPUTED_VALUE"""),"Real")</f>
        <v>Real</v>
      </c>
      <c r="G11429" s="8">
        <f t="shared" si="1"/>
        <v>2</v>
      </c>
      <c r="H11429" s="14">
        <f t="shared" si="2"/>
        <v>20</v>
      </c>
      <c r="I11429" s="15">
        <f t="shared" si="3"/>
        <v>4</v>
      </c>
    </row>
    <row r="11430">
      <c r="A11430" s="8" t="str">
        <f>IFERROR(__xludf.DUMMYFUNCTION("IF('(INGESTA)Datos_consumo_datadis'!A11430&lt;&gt;"""",SPLIT('(INGESTA)Datos_consumo_datadis'!A:A,"",""),"""")"),"ES0031408323131005HX0F")</f>
        <v>ES0031408323131005HX0F</v>
      </c>
      <c r="B11430" s="12">
        <f>IFERROR(__xludf.DUMMYFUNCTION("""COMPUTED_VALUE"""),45342.0)</f>
        <v>45342</v>
      </c>
      <c r="C11430" s="13">
        <f>IFERROR(__xludf.DUMMYFUNCTION("""COMPUTED_VALUE"""),0.20833333333333334)</f>
        <v>0.2083333333</v>
      </c>
      <c r="D11430" s="8">
        <f>IFERROR(__xludf.DUMMYFUNCTION("""COMPUTED_VALUE"""),0.056)</f>
        <v>0.056</v>
      </c>
      <c r="E11430" s="8" t="str">
        <f>IFERROR(__xludf.DUMMYFUNCTION("""COMPUTED_VALUE"""),"Real")</f>
        <v>Real</v>
      </c>
      <c r="G11430" s="8">
        <f t="shared" si="1"/>
        <v>2</v>
      </c>
      <c r="H11430" s="14">
        <f t="shared" si="2"/>
        <v>20</v>
      </c>
      <c r="I11430" s="15">
        <f t="shared" si="3"/>
        <v>5</v>
      </c>
    </row>
    <row r="11431">
      <c r="A11431" s="8" t="str">
        <f>IFERROR(__xludf.DUMMYFUNCTION("IF('(INGESTA)Datos_consumo_datadis'!A11431&lt;&gt;"""",SPLIT('(INGESTA)Datos_consumo_datadis'!A:A,"",""),"""")"),"ES0031408323131005HX0F")</f>
        <v>ES0031408323131005HX0F</v>
      </c>
      <c r="B11431" s="12">
        <f>IFERROR(__xludf.DUMMYFUNCTION("""COMPUTED_VALUE"""),45342.0)</f>
        <v>45342</v>
      </c>
      <c r="C11431" s="13">
        <f>IFERROR(__xludf.DUMMYFUNCTION("""COMPUTED_VALUE"""),0.25)</f>
        <v>0.25</v>
      </c>
      <c r="D11431" s="8">
        <f>IFERROR(__xludf.DUMMYFUNCTION("""COMPUTED_VALUE"""),0.022)</f>
        <v>0.022</v>
      </c>
      <c r="E11431" s="8" t="str">
        <f>IFERROR(__xludf.DUMMYFUNCTION("""COMPUTED_VALUE"""),"Real")</f>
        <v>Real</v>
      </c>
      <c r="G11431" s="8">
        <f t="shared" si="1"/>
        <v>2</v>
      </c>
      <c r="H11431" s="14">
        <f t="shared" si="2"/>
        <v>20</v>
      </c>
      <c r="I11431" s="15">
        <f t="shared" si="3"/>
        <v>6</v>
      </c>
    </row>
    <row r="11432">
      <c r="A11432" s="8" t="str">
        <f>IFERROR(__xludf.DUMMYFUNCTION("IF('(INGESTA)Datos_consumo_datadis'!A11432&lt;&gt;"""",SPLIT('(INGESTA)Datos_consumo_datadis'!A:A,"",""),"""")"),"ES0031408323131005HX0F")</f>
        <v>ES0031408323131005HX0F</v>
      </c>
      <c r="B11432" s="12">
        <f>IFERROR(__xludf.DUMMYFUNCTION("""COMPUTED_VALUE"""),45342.0)</f>
        <v>45342</v>
      </c>
      <c r="C11432" s="13">
        <f>IFERROR(__xludf.DUMMYFUNCTION("""COMPUTED_VALUE"""),0.2916666666666667)</f>
        <v>0.2916666667</v>
      </c>
      <c r="D11432" s="8">
        <f>IFERROR(__xludf.DUMMYFUNCTION("""COMPUTED_VALUE"""),0.721)</f>
        <v>0.721</v>
      </c>
      <c r="E11432" s="8" t="str">
        <f>IFERROR(__xludf.DUMMYFUNCTION("""COMPUTED_VALUE"""),"Real")</f>
        <v>Real</v>
      </c>
      <c r="G11432" s="8">
        <f t="shared" si="1"/>
        <v>2</v>
      </c>
      <c r="H11432" s="14">
        <f t="shared" si="2"/>
        <v>20</v>
      </c>
      <c r="I11432" s="15">
        <f t="shared" si="3"/>
        <v>7</v>
      </c>
    </row>
    <row r="11433">
      <c r="A11433" s="8" t="str">
        <f>IFERROR(__xludf.DUMMYFUNCTION("IF('(INGESTA)Datos_consumo_datadis'!A11433&lt;&gt;"""",SPLIT('(INGESTA)Datos_consumo_datadis'!A:A,"",""),"""")"),"ES0031408323131005HX0F")</f>
        <v>ES0031408323131005HX0F</v>
      </c>
      <c r="B11433" s="12">
        <f>IFERROR(__xludf.DUMMYFUNCTION("""COMPUTED_VALUE"""),45342.0)</f>
        <v>45342</v>
      </c>
      <c r="C11433" s="13">
        <f>IFERROR(__xludf.DUMMYFUNCTION("""COMPUTED_VALUE"""),0.3333333333333333)</f>
        <v>0.3333333333</v>
      </c>
      <c r="D11433" s="8">
        <f>IFERROR(__xludf.DUMMYFUNCTION("""COMPUTED_VALUE"""),1.476)</f>
        <v>1.476</v>
      </c>
      <c r="E11433" s="8" t="str">
        <f>IFERROR(__xludf.DUMMYFUNCTION("""COMPUTED_VALUE"""),"Real")</f>
        <v>Real</v>
      </c>
      <c r="G11433" s="8">
        <f t="shared" si="1"/>
        <v>2</v>
      </c>
      <c r="H11433" s="14">
        <f t="shared" si="2"/>
        <v>20</v>
      </c>
      <c r="I11433" s="15">
        <f t="shared" si="3"/>
        <v>8</v>
      </c>
    </row>
    <row r="11434">
      <c r="A11434" s="8" t="str">
        <f>IFERROR(__xludf.DUMMYFUNCTION("IF('(INGESTA)Datos_consumo_datadis'!A11434&lt;&gt;"""",SPLIT('(INGESTA)Datos_consumo_datadis'!A:A,"",""),"""")"),"ES0031408323131005HX0F")</f>
        <v>ES0031408323131005HX0F</v>
      </c>
      <c r="B11434" s="12">
        <f>IFERROR(__xludf.DUMMYFUNCTION("""COMPUTED_VALUE"""),45342.0)</f>
        <v>45342</v>
      </c>
      <c r="C11434" s="13">
        <f>IFERROR(__xludf.DUMMYFUNCTION("""COMPUTED_VALUE"""),0.375)</f>
        <v>0.375</v>
      </c>
      <c r="D11434" s="8">
        <f>IFERROR(__xludf.DUMMYFUNCTION("""COMPUTED_VALUE"""),0.434)</f>
        <v>0.434</v>
      </c>
      <c r="E11434" s="8" t="str">
        <f>IFERROR(__xludf.DUMMYFUNCTION("""COMPUTED_VALUE"""),"Real")</f>
        <v>Real</v>
      </c>
      <c r="G11434" s="8">
        <f t="shared" si="1"/>
        <v>2</v>
      </c>
      <c r="H11434" s="14">
        <f t="shared" si="2"/>
        <v>20</v>
      </c>
      <c r="I11434" s="15">
        <f t="shared" si="3"/>
        <v>9</v>
      </c>
    </row>
    <row r="11435">
      <c r="A11435" s="8" t="str">
        <f>IFERROR(__xludf.DUMMYFUNCTION("IF('(INGESTA)Datos_consumo_datadis'!A11435&lt;&gt;"""",SPLIT('(INGESTA)Datos_consumo_datadis'!A:A,"",""),"""")"),"ES0031408323131005HX0F")</f>
        <v>ES0031408323131005HX0F</v>
      </c>
      <c r="B11435" s="12">
        <f>IFERROR(__xludf.DUMMYFUNCTION("""COMPUTED_VALUE"""),45342.0)</f>
        <v>45342</v>
      </c>
      <c r="C11435" s="13">
        <f>IFERROR(__xludf.DUMMYFUNCTION("""COMPUTED_VALUE"""),0.4166666666666667)</f>
        <v>0.4166666667</v>
      </c>
      <c r="D11435" s="8">
        <f>IFERROR(__xludf.DUMMYFUNCTION("""COMPUTED_VALUE"""),0.076)</f>
        <v>0.076</v>
      </c>
      <c r="E11435" s="8" t="str">
        <f>IFERROR(__xludf.DUMMYFUNCTION("""COMPUTED_VALUE"""),"Real")</f>
        <v>Real</v>
      </c>
      <c r="G11435" s="8">
        <f t="shared" si="1"/>
        <v>2</v>
      </c>
      <c r="H11435" s="14">
        <f t="shared" si="2"/>
        <v>20</v>
      </c>
      <c r="I11435" s="15">
        <f t="shared" si="3"/>
        <v>10</v>
      </c>
    </row>
    <row r="11436">
      <c r="A11436" s="8" t="str">
        <f>IFERROR(__xludf.DUMMYFUNCTION("IF('(INGESTA)Datos_consumo_datadis'!A11436&lt;&gt;"""",SPLIT('(INGESTA)Datos_consumo_datadis'!A:A,"",""),"""")"),"ES0031408323131005HX0F")</f>
        <v>ES0031408323131005HX0F</v>
      </c>
      <c r="B11436" s="12">
        <f>IFERROR(__xludf.DUMMYFUNCTION("""COMPUTED_VALUE"""),45342.0)</f>
        <v>45342</v>
      </c>
      <c r="C11436" s="13">
        <f>IFERROR(__xludf.DUMMYFUNCTION("""COMPUTED_VALUE"""),0.4583333333333333)</f>
        <v>0.4583333333</v>
      </c>
      <c r="D11436" s="8">
        <f>IFERROR(__xludf.DUMMYFUNCTION("""COMPUTED_VALUE"""),0.024)</f>
        <v>0.024</v>
      </c>
      <c r="E11436" s="8" t="str">
        <f>IFERROR(__xludf.DUMMYFUNCTION("""COMPUTED_VALUE"""),"Real")</f>
        <v>Real</v>
      </c>
      <c r="G11436" s="8">
        <f t="shared" si="1"/>
        <v>2</v>
      </c>
      <c r="H11436" s="14">
        <f t="shared" si="2"/>
        <v>20</v>
      </c>
      <c r="I11436" s="15">
        <f t="shared" si="3"/>
        <v>11</v>
      </c>
    </row>
    <row r="11437">
      <c r="A11437" s="8" t="str">
        <f>IFERROR(__xludf.DUMMYFUNCTION("IF('(INGESTA)Datos_consumo_datadis'!A11437&lt;&gt;"""",SPLIT('(INGESTA)Datos_consumo_datadis'!A:A,"",""),"""")"),"ES0031408323131005HX0F")</f>
        <v>ES0031408323131005HX0F</v>
      </c>
      <c r="B11437" s="12">
        <f>IFERROR(__xludf.DUMMYFUNCTION("""COMPUTED_VALUE"""),45342.0)</f>
        <v>45342</v>
      </c>
      <c r="C11437" s="13">
        <f>IFERROR(__xludf.DUMMYFUNCTION("""COMPUTED_VALUE"""),0.5)</f>
        <v>0.5</v>
      </c>
      <c r="D11437" s="8">
        <f>IFERROR(__xludf.DUMMYFUNCTION("""COMPUTED_VALUE"""),1.326)</f>
        <v>1.326</v>
      </c>
      <c r="E11437" s="8" t="str">
        <f>IFERROR(__xludf.DUMMYFUNCTION("""COMPUTED_VALUE"""),"Real")</f>
        <v>Real</v>
      </c>
      <c r="G11437" s="8">
        <f t="shared" si="1"/>
        <v>2</v>
      </c>
      <c r="H11437" s="14">
        <f t="shared" si="2"/>
        <v>20</v>
      </c>
      <c r="I11437" s="15">
        <f t="shared" si="3"/>
        <v>12</v>
      </c>
    </row>
    <row r="11438">
      <c r="A11438" s="8" t="str">
        <f>IFERROR(__xludf.DUMMYFUNCTION("IF('(INGESTA)Datos_consumo_datadis'!A11438&lt;&gt;"""",SPLIT('(INGESTA)Datos_consumo_datadis'!A:A,"",""),"""")"),"ES0031408323131005HX0F")</f>
        <v>ES0031408323131005HX0F</v>
      </c>
      <c r="B11438" s="12">
        <f>IFERROR(__xludf.DUMMYFUNCTION("""COMPUTED_VALUE"""),45342.0)</f>
        <v>45342</v>
      </c>
      <c r="C11438" s="13">
        <f>IFERROR(__xludf.DUMMYFUNCTION("""COMPUTED_VALUE"""),0.5416666666666666)</f>
        <v>0.5416666667</v>
      </c>
      <c r="D11438" s="8">
        <f>IFERROR(__xludf.DUMMYFUNCTION("""COMPUTED_VALUE"""),0.188)</f>
        <v>0.188</v>
      </c>
      <c r="E11438" s="8" t="str">
        <f>IFERROR(__xludf.DUMMYFUNCTION("""COMPUTED_VALUE"""),"Real")</f>
        <v>Real</v>
      </c>
      <c r="G11438" s="8">
        <f t="shared" si="1"/>
        <v>2</v>
      </c>
      <c r="H11438" s="14">
        <f t="shared" si="2"/>
        <v>20</v>
      </c>
      <c r="I11438" s="15">
        <f t="shared" si="3"/>
        <v>13</v>
      </c>
    </row>
    <row r="11439">
      <c r="A11439" s="8" t="str">
        <f>IFERROR(__xludf.DUMMYFUNCTION("IF('(INGESTA)Datos_consumo_datadis'!A11439&lt;&gt;"""",SPLIT('(INGESTA)Datos_consumo_datadis'!A:A,"",""),"""")"),"ES0031408323131005HX0F")</f>
        <v>ES0031408323131005HX0F</v>
      </c>
      <c r="B11439" s="12">
        <f>IFERROR(__xludf.DUMMYFUNCTION("""COMPUTED_VALUE"""),45342.0)</f>
        <v>45342</v>
      </c>
      <c r="C11439" s="13">
        <f>IFERROR(__xludf.DUMMYFUNCTION("""COMPUTED_VALUE"""),0.5833333333333334)</f>
        <v>0.5833333333</v>
      </c>
      <c r="D11439" s="8">
        <f>IFERROR(__xludf.DUMMYFUNCTION("""COMPUTED_VALUE"""),0.519)</f>
        <v>0.519</v>
      </c>
      <c r="E11439" s="8" t="str">
        <f>IFERROR(__xludf.DUMMYFUNCTION("""COMPUTED_VALUE"""),"Real")</f>
        <v>Real</v>
      </c>
      <c r="G11439" s="8">
        <f t="shared" si="1"/>
        <v>2</v>
      </c>
      <c r="H11439" s="14">
        <f t="shared" si="2"/>
        <v>20</v>
      </c>
      <c r="I11439" s="15">
        <f t="shared" si="3"/>
        <v>14</v>
      </c>
    </row>
    <row r="11440">
      <c r="A11440" s="8" t="str">
        <f>IFERROR(__xludf.DUMMYFUNCTION("IF('(INGESTA)Datos_consumo_datadis'!A11440&lt;&gt;"""",SPLIT('(INGESTA)Datos_consumo_datadis'!A:A,"",""),"""")"),"ES0031408323131005HX0F")</f>
        <v>ES0031408323131005HX0F</v>
      </c>
      <c r="B11440" s="12">
        <f>IFERROR(__xludf.DUMMYFUNCTION("""COMPUTED_VALUE"""),45342.0)</f>
        <v>45342</v>
      </c>
      <c r="C11440" s="13">
        <f>IFERROR(__xludf.DUMMYFUNCTION("""COMPUTED_VALUE"""),0.625)</f>
        <v>0.625</v>
      </c>
      <c r="D11440" s="8">
        <f>IFERROR(__xludf.DUMMYFUNCTION("""COMPUTED_VALUE"""),0.579)</f>
        <v>0.579</v>
      </c>
      <c r="E11440" s="8" t="str">
        <f>IFERROR(__xludf.DUMMYFUNCTION("""COMPUTED_VALUE"""),"Real")</f>
        <v>Real</v>
      </c>
      <c r="G11440" s="8">
        <f t="shared" si="1"/>
        <v>2</v>
      </c>
      <c r="H11440" s="14">
        <f t="shared" si="2"/>
        <v>20</v>
      </c>
      <c r="I11440" s="15">
        <f t="shared" si="3"/>
        <v>15</v>
      </c>
    </row>
    <row r="11441">
      <c r="A11441" s="8" t="str">
        <f>IFERROR(__xludf.DUMMYFUNCTION("IF('(INGESTA)Datos_consumo_datadis'!A11441&lt;&gt;"""",SPLIT('(INGESTA)Datos_consumo_datadis'!A:A,"",""),"""")"),"ES0031408323131005HX0F")</f>
        <v>ES0031408323131005HX0F</v>
      </c>
      <c r="B11441" s="12">
        <f>IFERROR(__xludf.DUMMYFUNCTION("""COMPUTED_VALUE"""),45342.0)</f>
        <v>45342</v>
      </c>
      <c r="C11441" s="13">
        <f>IFERROR(__xludf.DUMMYFUNCTION("""COMPUTED_VALUE"""),0.6666666666666666)</f>
        <v>0.6666666667</v>
      </c>
      <c r="D11441" s="8">
        <f>IFERROR(__xludf.DUMMYFUNCTION("""COMPUTED_VALUE"""),0.488)</f>
        <v>0.488</v>
      </c>
      <c r="E11441" s="8" t="str">
        <f>IFERROR(__xludf.DUMMYFUNCTION("""COMPUTED_VALUE"""),"Real")</f>
        <v>Real</v>
      </c>
      <c r="G11441" s="8">
        <f t="shared" si="1"/>
        <v>2</v>
      </c>
      <c r="H11441" s="14">
        <f t="shared" si="2"/>
        <v>20</v>
      </c>
      <c r="I11441" s="15">
        <f t="shared" si="3"/>
        <v>16</v>
      </c>
    </row>
    <row r="11442">
      <c r="A11442" s="8" t="str">
        <f>IFERROR(__xludf.DUMMYFUNCTION("IF('(INGESTA)Datos_consumo_datadis'!A11442&lt;&gt;"""",SPLIT('(INGESTA)Datos_consumo_datadis'!A:A,"",""),"""")"),"ES0031408323131005HX0F")</f>
        <v>ES0031408323131005HX0F</v>
      </c>
      <c r="B11442" s="12">
        <f>IFERROR(__xludf.DUMMYFUNCTION("""COMPUTED_VALUE"""),45342.0)</f>
        <v>45342</v>
      </c>
      <c r="C11442" s="13">
        <f>IFERROR(__xludf.DUMMYFUNCTION("""COMPUTED_VALUE"""),0.7083333333333334)</f>
        <v>0.7083333333</v>
      </c>
      <c r="D11442" s="8">
        <f>IFERROR(__xludf.DUMMYFUNCTION("""COMPUTED_VALUE"""),0.073)</f>
        <v>0.073</v>
      </c>
      <c r="E11442" s="8" t="str">
        <f>IFERROR(__xludf.DUMMYFUNCTION("""COMPUTED_VALUE"""),"Real")</f>
        <v>Real</v>
      </c>
      <c r="G11442" s="8">
        <f t="shared" si="1"/>
        <v>2</v>
      </c>
      <c r="H11442" s="14">
        <f t="shared" si="2"/>
        <v>20</v>
      </c>
      <c r="I11442" s="15">
        <f t="shared" si="3"/>
        <v>17</v>
      </c>
    </row>
    <row r="11443">
      <c r="A11443" s="8" t="str">
        <f>IFERROR(__xludf.DUMMYFUNCTION("IF('(INGESTA)Datos_consumo_datadis'!A11443&lt;&gt;"""",SPLIT('(INGESTA)Datos_consumo_datadis'!A:A,"",""),"""")"),"ES0031408323131005HX0F")</f>
        <v>ES0031408323131005HX0F</v>
      </c>
      <c r="B11443" s="12">
        <f>IFERROR(__xludf.DUMMYFUNCTION("""COMPUTED_VALUE"""),45342.0)</f>
        <v>45342</v>
      </c>
      <c r="C11443" s="13">
        <f>IFERROR(__xludf.DUMMYFUNCTION("""COMPUTED_VALUE"""),0.75)</f>
        <v>0.75</v>
      </c>
      <c r="D11443" s="8">
        <f>IFERROR(__xludf.DUMMYFUNCTION("""COMPUTED_VALUE"""),0.151)</f>
        <v>0.151</v>
      </c>
      <c r="E11443" s="8" t="str">
        <f>IFERROR(__xludf.DUMMYFUNCTION("""COMPUTED_VALUE"""),"Real")</f>
        <v>Real</v>
      </c>
      <c r="G11443" s="8">
        <f t="shared" si="1"/>
        <v>2</v>
      </c>
      <c r="H11443" s="14">
        <f t="shared" si="2"/>
        <v>20</v>
      </c>
      <c r="I11443" s="15">
        <f t="shared" si="3"/>
        <v>18</v>
      </c>
    </row>
    <row r="11444">
      <c r="A11444" s="8" t="str">
        <f>IFERROR(__xludf.DUMMYFUNCTION("IF('(INGESTA)Datos_consumo_datadis'!A11444&lt;&gt;"""",SPLIT('(INGESTA)Datos_consumo_datadis'!A:A,"",""),"""")"),"ES0031408323131005HX0F")</f>
        <v>ES0031408323131005HX0F</v>
      </c>
      <c r="B11444" s="12">
        <f>IFERROR(__xludf.DUMMYFUNCTION("""COMPUTED_VALUE"""),45342.0)</f>
        <v>45342</v>
      </c>
      <c r="C11444" s="13">
        <f>IFERROR(__xludf.DUMMYFUNCTION("""COMPUTED_VALUE"""),0.7916666666666666)</f>
        <v>0.7916666667</v>
      </c>
      <c r="D11444" s="8">
        <f>IFERROR(__xludf.DUMMYFUNCTION("""COMPUTED_VALUE"""),0.297)</f>
        <v>0.297</v>
      </c>
      <c r="E11444" s="8" t="str">
        <f>IFERROR(__xludf.DUMMYFUNCTION("""COMPUTED_VALUE"""),"Real")</f>
        <v>Real</v>
      </c>
      <c r="G11444" s="8">
        <f t="shared" si="1"/>
        <v>2</v>
      </c>
      <c r="H11444" s="14">
        <f t="shared" si="2"/>
        <v>20</v>
      </c>
      <c r="I11444" s="15">
        <f t="shared" si="3"/>
        <v>19</v>
      </c>
    </row>
    <row r="11445">
      <c r="A11445" s="8" t="str">
        <f>IFERROR(__xludf.DUMMYFUNCTION("IF('(INGESTA)Datos_consumo_datadis'!A11445&lt;&gt;"""",SPLIT('(INGESTA)Datos_consumo_datadis'!A:A,"",""),"""")"),"ES0031408323131005HX0F")</f>
        <v>ES0031408323131005HX0F</v>
      </c>
      <c r="B11445" s="12">
        <f>IFERROR(__xludf.DUMMYFUNCTION("""COMPUTED_VALUE"""),45342.0)</f>
        <v>45342</v>
      </c>
      <c r="C11445" s="13">
        <f>IFERROR(__xludf.DUMMYFUNCTION("""COMPUTED_VALUE"""),0.8333333333333334)</f>
        <v>0.8333333333</v>
      </c>
      <c r="D11445" s="8">
        <f>IFERROR(__xludf.DUMMYFUNCTION("""COMPUTED_VALUE"""),2.949)</f>
        <v>2.949</v>
      </c>
      <c r="E11445" s="8" t="str">
        <f>IFERROR(__xludf.DUMMYFUNCTION("""COMPUTED_VALUE"""),"Real")</f>
        <v>Real</v>
      </c>
      <c r="G11445" s="8">
        <f t="shared" si="1"/>
        <v>2</v>
      </c>
      <c r="H11445" s="14">
        <f t="shared" si="2"/>
        <v>20</v>
      </c>
      <c r="I11445" s="15">
        <f t="shared" si="3"/>
        <v>20</v>
      </c>
    </row>
    <row r="11446">
      <c r="A11446" s="8" t="str">
        <f>IFERROR(__xludf.DUMMYFUNCTION("IF('(INGESTA)Datos_consumo_datadis'!A11446&lt;&gt;"""",SPLIT('(INGESTA)Datos_consumo_datadis'!A:A,"",""),"""")"),"ES0031408323131005HX0F")</f>
        <v>ES0031408323131005HX0F</v>
      </c>
      <c r="B11446" s="12">
        <f>IFERROR(__xludf.DUMMYFUNCTION("""COMPUTED_VALUE"""),45342.0)</f>
        <v>45342</v>
      </c>
      <c r="C11446" s="13">
        <f>IFERROR(__xludf.DUMMYFUNCTION("""COMPUTED_VALUE"""),0.875)</f>
        <v>0.875</v>
      </c>
      <c r="D11446" s="8">
        <f>IFERROR(__xludf.DUMMYFUNCTION("""COMPUTED_VALUE"""),3.334)</f>
        <v>3.334</v>
      </c>
      <c r="E11446" s="8" t="str">
        <f>IFERROR(__xludf.DUMMYFUNCTION("""COMPUTED_VALUE"""),"Real")</f>
        <v>Real</v>
      </c>
      <c r="G11446" s="8">
        <f t="shared" si="1"/>
        <v>2</v>
      </c>
      <c r="H11446" s="14">
        <f t="shared" si="2"/>
        <v>20</v>
      </c>
      <c r="I11446" s="15">
        <f t="shared" si="3"/>
        <v>21</v>
      </c>
    </row>
    <row r="11447">
      <c r="A11447" s="8" t="str">
        <f>IFERROR(__xludf.DUMMYFUNCTION("IF('(INGESTA)Datos_consumo_datadis'!A11447&lt;&gt;"""",SPLIT('(INGESTA)Datos_consumo_datadis'!A:A,"",""),"""")"),"ES0031408323131005HX0F")</f>
        <v>ES0031408323131005HX0F</v>
      </c>
      <c r="B11447" s="12">
        <f>IFERROR(__xludf.DUMMYFUNCTION("""COMPUTED_VALUE"""),45342.0)</f>
        <v>45342</v>
      </c>
      <c r="C11447" s="13">
        <f>IFERROR(__xludf.DUMMYFUNCTION("""COMPUTED_VALUE"""),0.9166666666666666)</f>
        <v>0.9166666667</v>
      </c>
      <c r="D11447" s="8">
        <f>IFERROR(__xludf.DUMMYFUNCTION("""COMPUTED_VALUE"""),1.058)</f>
        <v>1.058</v>
      </c>
      <c r="E11447" s="8" t="str">
        <f>IFERROR(__xludf.DUMMYFUNCTION("""COMPUTED_VALUE"""),"Real")</f>
        <v>Real</v>
      </c>
      <c r="G11447" s="8">
        <f t="shared" si="1"/>
        <v>2</v>
      </c>
      <c r="H11447" s="14">
        <f t="shared" si="2"/>
        <v>20</v>
      </c>
      <c r="I11447" s="15">
        <f t="shared" si="3"/>
        <v>22</v>
      </c>
    </row>
    <row r="11448">
      <c r="A11448" s="8" t="str">
        <f>IFERROR(__xludf.DUMMYFUNCTION("IF('(INGESTA)Datos_consumo_datadis'!A11448&lt;&gt;"""",SPLIT('(INGESTA)Datos_consumo_datadis'!A:A,"",""),"""")"),"ES0031408323131005HX0F")</f>
        <v>ES0031408323131005HX0F</v>
      </c>
      <c r="B11448" s="12">
        <f>IFERROR(__xludf.DUMMYFUNCTION("""COMPUTED_VALUE"""),45342.0)</f>
        <v>45342</v>
      </c>
      <c r="C11448" s="13">
        <f>IFERROR(__xludf.DUMMYFUNCTION("""COMPUTED_VALUE"""),0.9583333333333334)</f>
        <v>0.9583333333</v>
      </c>
      <c r="D11448" s="8">
        <f>IFERROR(__xludf.DUMMYFUNCTION("""COMPUTED_VALUE"""),1.277)</f>
        <v>1.277</v>
      </c>
      <c r="E11448" s="8" t="str">
        <f>IFERROR(__xludf.DUMMYFUNCTION("""COMPUTED_VALUE"""),"Real")</f>
        <v>Real</v>
      </c>
      <c r="G11448" s="8">
        <f t="shared" si="1"/>
        <v>2</v>
      </c>
      <c r="H11448" s="14">
        <f t="shared" si="2"/>
        <v>20</v>
      </c>
      <c r="I11448" s="15">
        <f t="shared" si="3"/>
        <v>23</v>
      </c>
    </row>
    <row r="11449">
      <c r="A11449" s="8" t="str">
        <f>IFERROR(__xludf.DUMMYFUNCTION("IF('(INGESTA)Datos_consumo_datadis'!A11449&lt;&gt;"""",SPLIT('(INGESTA)Datos_consumo_datadis'!A:A,"",""),"""")"),"ES0031408323131005HX0F")</f>
        <v>ES0031408323131005HX0F</v>
      </c>
      <c r="B11449" s="12">
        <f>IFERROR(__xludf.DUMMYFUNCTION("""COMPUTED_VALUE"""),45342.0)</f>
        <v>45342</v>
      </c>
      <c r="C11449" s="16">
        <f>IFERROR(__xludf.DUMMYFUNCTION("""COMPUTED_VALUE"""),1.0)</f>
        <v>1</v>
      </c>
      <c r="D11449" s="8">
        <f>IFERROR(__xludf.DUMMYFUNCTION("""COMPUTED_VALUE"""),0.066)</f>
        <v>0.066</v>
      </c>
      <c r="E11449" s="8" t="str">
        <f>IFERROR(__xludf.DUMMYFUNCTION("""COMPUTED_VALUE"""),"Real")</f>
        <v>Real</v>
      </c>
      <c r="G11449" s="8">
        <f t="shared" si="1"/>
        <v>2</v>
      </c>
      <c r="H11449" s="14">
        <f t="shared" si="2"/>
        <v>20</v>
      </c>
      <c r="I11449" s="15">
        <f t="shared" si="3"/>
        <v>0</v>
      </c>
    </row>
    <row r="11450">
      <c r="A11450" s="8" t="str">
        <f>IFERROR(__xludf.DUMMYFUNCTION("IF('(INGESTA)Datos_consumo_datadis'!A11450&lt;&gt;"""",SPLIT('(INGESTA)Datos_consumo_datadis'!A:A,"",""),"""")"),"ES0031408323131005HX0F")</f>
        <v>ES0031408323131005HX0F</v>
      </c>
      <c r="B11450" s="12">
        <f>IFERROR(__xludf.DUMMYFUNCTION("""COMPUTED_VALUE"""),45343.0)</f>
        <v>45343</v>
      </c>
      <c r="C11450" s="13">
        <f>IFERROR(__xludf.DUMMYFUNCTION("""COMPUTED_VALUE"""),0.041666666666666664)</f>
        <v>0.04166666667</v>
      </c>
      <c r="D11450" s="8">
        <f>IFERROR(__xludf.DUMMYFUNCTION("""COMPUTED_VALUE"""),0.083)</f>
        <v>0.083</v>
      </c>
      <c r="E11450" s="8" t="str">
        <f>IFERROR(__xludf.DUMMYFUNCTION("""COMPUTED_VALUE"""),"Real")</f>
        <v>Real</v>
      </c>
      <c r="G11450" s="8">
        <f t="shared" si="1"/>
        <v>2</v>
      </c>
      <c r="H11450" s="14">
        <f t="shared" si="2"/>
        <v>21</v>
      </c>
      <c r="I11450" s="15">
        <f t="shared" si="3"/>
        <v>1</v>
      </c>
    </row>
    <row r="11451">
      <c r="A11451" s="8" t="str">
        <f>IFERROR(__xludf.DUMMYFUNCTION("IF('(INGESTA)Datos_consumo_datadis'!A11451&lt;&gt;"""",SPLIT('(INGESTA)Datos_consumo_datadis'!A:A,"",""),"""")"),"ES0031408323131005HX0F")</f>
        <v>ES0031408323131005HX0F</v>
      </c>
      <c r="B11451" s="12">
        <f>IFERROR(__xludf.DUMMYFUNCTION("""COMPUTED_VALUE"""),45343.0)</f>
        <v>45343</v>
      </c>
      <c r="C11451" s="13">
        <f>IFERROR(__xludf.DUMMYFUNCTION("""COMPUTED_VALUE"""),0.08333333333333333)</f>
        <v>0.08333333333</v>
      </c>
      <c r="D11451" s="8">
        <f>IFERROR(__xludf.DUMMYFUNCTION("""COMPUTED_VALUE"""),0.068)</f>
        <v>0.068</v>
      </c>
      <c r="E11451" s="8" t="str">
        <f>IFERROR(__xludf.DUMMYFUNCTION("""COMPUTED_VALUE"""),"Real")</f>
        <v>Real</v>
      </c>
      <c r="G11451" s="8">
        <f t="shared" si="1"/>
        <v>2</v>
      </c>
      <c r="H11451" s="14">
        <f t="shared" si="2"/>
        <v>21</v>
      </c>
      <c r="I11451" s="15">
        <f t="shared" si="3"/>
        <v>2</v>
      </c>
    </row>
    <row r="11452">
      <c r="A11452" s="8" t="str">
        <f>IFERROR(__xludf.DUMMYFUNCTION("IF('(INGESTA)Datos_consumo_datadis'!A11452&lt;&gt;"""",SPLIT('(INGESTA)Datos_consumo_datadis'!A:A,"",""),"""")"),"ES0031408323131005HX0F")</f>
        <v>ES0031408323131005HX0F</v>
      </c>
      <c r="B11452" s="12">
        <f>IFERROR(__xludf.DUMMYFUNCTION("""COMPUTED_VALUE"""),45343.0)</f>
        <v>45343</v>
      </c>
      <c r="C11452" s="13">
        <f>IFERROR(__xludf.DUMMYFUNCTION("""COMPUTED_VALUE"""),0.125)</f>
        <v>0.125</v>
      </c>
      <c r="D11452" s="8">
        <f>IFERROR(__xludf.DUMMYFUNCTION("""COMPUTED_VALUE"""),0.077)</f>
        <v>0.077</v>
      </c>
      <c r="E11452" s="8" t="str">
        <f>IFERROR(__xludf.DUMMYFUNCTION("""COMPUTED_VALUE"""),"Real")</f>
        <v>Real</v>
      </c>
      <c r="G11452" s="8">
        <f t="shared" si="1"/>
        <v>2</v>
      </c>
      <c r="H11452" s="14">
        <f t="shared" si="2"/>
        <v>21</v>
      </c>
      <c r="I11452" s="15">
        <f t="shared" si="3"/>
        <v>3</v>
      </c>
    </row>
    <row r="11453">
      <c r="A11453" s="8" t="str">
        <f>IFERROR(__xludf.DUMMYFUNCTION("IF('(INGESTA)Datos_consumo_datadis'!A11453&lt;&gt;"""",SPLIT('(INGESTA)Datos_consumo_datadis'!A:A,"",""),"""")"),"ES0031408323131005HX0F")</f>
        <v>ES0031408323131005HX0F</v>
      </c>
      <c r="B11453" s="12">
        <f>IFERROR(__xludf.DUMMYFUNCTION("""COMPUTED_VALUE"""),45343.0)</f>
        <v>45343</v>
      </c>
      <c r="C11453" s="13">
        <f>IFERROR(__xludf.DUMMYFUNCTION("""COMPUTED_VALUE"""),0.16666666666666666)</f>
        <v>0.1666666667</v>
      </c>
      <c r="D11453" s="8">
        <f>IFERROR(__xludf.DUMMYFUNCTION("""COMPUTED_VALUE"""),0.347)</f>
        <v>0.347</v>
      </c>
      <c r="E11453" s="8" t="str">
        <f>IFERROR(__xludf.DUMMYFUNCTION("""COMPUTED_VALUE"""),"Real")</f>
        <v>Real</v>
      </c>
      <c r="G11453" s="8">
        <f t="shared" si="1"/>
        <v>2</v>
      </c>
      <c r="H11453" s="14">
        <f t="shared" si="2"/>
        <v>21</v>
      </c>
      <c r="I11453" s="15">
        <f t="shared" si="3"/>
        <v>4</v>
      </c>
    </row>
    <row r="11454">
      <c r="A11454" s="8" t="str">
        <f>IFERROR(__xludf.DUMMYFUNCTION("IF('(INGESTA)Datos_consumo_datadis'!A11454&lt;&gt;"""",SPLIT('(INGESTA)Datos_consumo_datadis'!A:A,"",""),"""")"),"ES0031408323131005HX0F")</f>
        <v>ES0031408323131005HX0F</v>
      </c>
      <c r="B11454" s="12">
        <f>IFERROR(__xludf.DUMMYFUNCTION("""COMPUTED_VALUE"""),45343.0)</f>
        <v>45343</v>
      </c>
      <c r="C11454" s="13">
        <f>IFERROR(__xludf.DUMMYFUNCTION("""COMPUTED_VALUE"""),0.20833333333333334)</f>
        <v>0.2083333333</v>
      </c>
      <c r="D11454" s="8">
        <f>IFERROR(__xludf.DUMMYFUNCTION("""COMPUTED_VALUE"""),0.114)</f>
        <v>0.114</v>
      </c>
      <c r="E11454" s="8" t="str">
        <f>IFERROR(__xludf.DUMMYFUNCTION("""COMPUTED_VALUE"""),"Real")</f>
        <v>Real</v>
      </c>
      <c r="G11454" s="8">
        <f t="shared" si="1"/>
        <v>2</v>
      </c>
      <c r="H11454" s="14">
        <f t="shared" si="2"/>
        <v>21</v>
      </c>
      <c r="I11454" s="15">
        <f t="shared" si="3"/>
        <v>5</v>
      </c>
    </row>
    <row r="11455">
      <c r="A11455" s="8" t="str">
        <f>IFERROR(__xludf.DUMMYFUNCTION("IF('(INGESTA)Datos_consumo_datadis'!A11455&lt;&gt;"""",SPLIT('(INGESTA)Datos_consumo_datadis'!A:A,"",""),"""")"),"ES0031408323131005HX0F")</f>
        <v>ES0031408323131005HX0F</v>
      </c>
      <c r="B11455" s="12">
        <f>IFERROR(__xludf.DUMMYFUNCTION("""COMPUTED_VALUE"""),45343.0)</f>
        <v>45343</v>
      </c>
      <c r="C11455" s="13">
        <f>IFERROR(__xludf.DUMMYFUNCTION("""COMPUTED_VALUE"""),0.25)</f>
        <v>0.25</v>
      </c>
      <c r="D11455" s="8">
        <f>IFERROR(__xludf.DUMMYFUNCTION("""COMPUTED_VALUE"""),0.056)</f>
        <v>0.056</v>
      </c>
      <c r="E11455" s="8" t="str">
        <f>IFERROR(__xludf.DUMMYFUNCTION("""COMPUTED_VALUE"""),"Real")</f>
        <v>Real</v>
      </c>
      <c r="G11455" s="8">
        <f t="shared" si="1"/>
        <v>2</v>
      </c>
      <c r="H11455" s="14">
        <f t="shared" si="2"/>
        <v>21</v>
      </c>
      <c r="I11455" s="15">
        <f t="shared" si="3"/>
        <v>6</v>
      </c>
    </row>
    <row r="11456">
      <c r="A11456" s="8" t="str">
        <f>IFERROR(__xludf.DUMMYFUNCTION("IF('(INGESTA)Datos_consumo_datadis'!A11456&lt;&gt;"""",SPLIT('(INGESTA)Datos_consumo_datadis'!A:A,"",""),"""")"),"ES0031408323131005HX0F")</f>
        <v>ES0031408323131005HX0F</v>
      </c>
      <c r="B11456" s="12">
        <f>IFERROR(__xludf.DUMMYFUNCTION("""COMPUTED_VALUE"""),45343.0)</f>
        <v>45343</v>
      </c>
      <c r="C11456" s="13">
        <f>IFERROR(__xludf.DUMMYFUNCTION("""COMPUTED_VALUE"""),0.2916666666666667)</f>
        <v>0.2916666667</v>
      </c>
      <c r="D11456" s="8">
        <f>IFERROR(__xludf.DUMMYFUNCTION("""COMPUTED_VALUE"""),0.022)</f>
        <v>0.022</v>
      </c>
      <c r="E11456" s="8" t="str">
        <f>IFERROR(__xludf.DUMMYFUNCTION("""COMPUTED_VALUE"""),"Real")</f>
        <v>Real</v>
      </c>
      <c r="G11456" s="8">
        <f t="shared" si="1"/>
        <v>2</v>
      </c>
      <c r="H11456" s="14">
        <f t="shared" si="2"/>
        <v>21</v>
      </c>
      <c r="I11456" s="15">
        <f t="shared" si="3"/>
        <v>7</v>
      </c>
    </row>
    <row r="11457">
      <c r="A11457" s="8" t="str">
        <f>IFERROR(__xludf.DUMMYFUNCTION("IF('(INGESTA)Datos_consumo_datadis'!A11457&lt;&gt;"""",SPLIT('(INGESTA)Datos_consumo_datadis'!A:A,"",""),"""")"),"ES0031408323131005HX0F")</f>
        <v>ES0031408323131005HX0F</v>
      </c>
      <c r="B11457" s="12">
        <f>IFERROR(__xludf.DUMMYFUNCTION("""COMPUTED_VALUE"""),45343.0)</f>
        <v>45343</v>
      </c>
      <c r="C11457" s="13">
        <f>IFERROR(__xludf.DUMMYFUNCTION("""COMPUTED_VALUE"""),0.3333333333333333)</f>
        <v>0.3333333333</v>
      </c>
      <c r="D11457" s="8">
        <f>IFERROR(__xludf.DUMMYFUNCTION("""COMPUTED_VALUE"""),0.418)</f>
        <v>0.418</v>
      </c>
      <c r="E11457" s="8" t="str">
        <f>IFERROR(__xludf.DUMMYFUNCTION("""COMPUTED_VALUE"""),"Real")</f>
        <v>Real</v>
      </c>
      <c r="G11457" s="8">
        <f t="shared" si="1"/>
        <v>2</v>
      </c>
      <c r="H11457" s="14">
        <f t="shared" si="2"/>
        <v>21</v>
      </c>
      <c r="I11457" s="15">
        <f t="shared" si="3"/>
        <v>8</v>
      </c>
    </row>
    <row r="11458">
      <c r="A11458" s="8" t="str">
        <f>IFERROR(__xludf.DUMMYFUNCTION("IF('(INGESTA)Datos_consumo_datadis'!A11458&lt;&gt;"""",SPLIT('(INGESTA)Datos_consumo_datadis'!A:A,"",""),"""")"),"ES0031408323131005HX0F")</f>
        <v>ES0031408323131005HX0F</v>
      </c>
      <c r="B11458" s="12">
        <f>IFERROR(__xludf.DUMMYFUNCTION("""COMPUTED_VALUE"""),45343.0)</f>
        <v>45343</v>
      </c>
      <c r="C11458" s="13">
        <f>IFERROR(__xludf.DUMMYFUNCTION("""COMPUTED_VALUE"""),0.375)</f>
        <v>0.375</v>
      </c>
      <c r="D11458" s="8">
        <f>IFERROR(__xludf.DUMMYFUNCTION("""COMPUTED_VALUE"""),0.816)</f>
        <v>0.816</v>
      </c>
      <c r="E11458" s="8" t="str">
        <f>IFERROR(__xludf.DUMMYFUNCTION("""COMPUTED_VALUE"""),"Real")</f>
        <v>Real</v>
      </c>
      <c r="G11458" s="8">
        <f t="shared" si="1"/>
        <v>2</v>
      </c>
      <c r="H11458" s="14">
        <f t="shared" si="2"/>
        <v>21</v>
      </c>
      <c r="I11458" s="15">
        <f t="shared" si="3"/>
        <v>9</v>
      </c>
    </row>
    <row r="11459">
      <c r="A11459" s="8" t="str">
        <f>IFERROR(__xludf.DUMMYFUNCTION("IF('(INGESTA)Datos_consumo_datadis'!A11459&lt;&gt;"""",SPLIT('(INGESTA)Datos_consumo_datadis'!A:A,"",""),"""")"),"ES0031408323131005HX0F")</f>
        <v>ES0031408323131005HX0F</v>
      </c>
      <c r="B11459" s="12">
        <f>IFERROR(__xludf.DUMMYFUNCTION("""COMPUTED_VALUE"""),45343.0)</f>
        <v>45343</v>
      </c>
      <c r="C11459" s="13">
        <f>IFERROR(__xludf.DUMMYFUNCTION("""COMPUTED_VALUE"""),0.4166666666666667)</f>
        <v>0.4166666667</v>
      </c>
      <c r="D11459" s="8">
        <f>IFERROR(__xludf.DUMMYFUNCTION("""COMPUTED_VALUE"""),0.349)</f>
        <v>0.349</v>
      </c>
      <c r="E11459" s="8" t="str">
        <f>IFERROR(__xludf.DUMMYFUNCTION("""COMPUTED_VALUE"""),"Real")</f>
        <v>Real</v>
      </c>
      <c r="G11459" s="8">
        <f t="shared" si="1"/>
        <v>2</v>
      </c>
      <c r="H11459" s="14">
        <f t="shared" si="2"/>
        <v>21</v>
      </c>
      <c r="I11459" s="15">
        <f t="shared" si="3"/>
        <v>10</v>
      </c>
    </row>
    <row r="11460">
      <c r="A11460" s="8" t="str">
        <f>IFERROR(__xludf.DUMMYFUNCTION("IF('(INGESTA)Datos_consumo_datadis'!A11460&lt;&gt;"""",SPLIT('(INGESTA)Datos_consumo_datadis'!A:A,"",""),"""")"),"ES0031408323131005HX0F")</f>
        <v>ES0031408323131005HX0F</v>
      </c>
      <c r="B11460" s="12">
        <f>IFERROR(__xludf.DUMMYFUNCTION("""COMPUTED_VALUE"""),45343.0)</f>
        <v>45343</v>
      </c>
      <c r="C11460" s="13">
        <f>IFERROR(__xludf.DUMMYFUNCTION("""COMPUTED_VALUE"""),0.4583333333333333)</f>
        <v>0.4583333333</v>
      </c>
      <c r="D11460" s="8">
        <f>IFERROR(__xludf.DUMMYFUNCTION("""COMPUTED_VALUE"""),0.093)</f>
        <v>0.093</v>
      </c>
      <c r="E11460" s="8" t="str">
        <f>IFERROR(__xludf.DUMMYFUNCTION("""COMPUTED_VALUE"""),"Real")</f>
        <v>Real</v>
      </c>
      <c r="G11460" s="8">
        <f t="shared" si="1"/>
        <v>2</v>
      </c>
      <c r="H11460" s="14">
        <f t="shared" si="2"/>
        <v>21</v>
      </c>
      <c r="I11460" s="15">
        <f t="shared" si="3"/>
        <v>11</v>
      </c>
    </row>
    <row r="11461">
      <c r="A11461" s="8" t="str">
        <f>IFERROR(__xludf.DUMMYFUNCTION("IF('(INGESTA)Datos_consumo_datadis'!A11461&lt;&gt;"""",SPLIT('(INGESTA)Datos_consumo_datadis'!A:A,"",""),"""")"),"ES0031408323131005HX0F")</f>
        <v>ES0031408323131005HX0F</v>
      </c>
      <c r="B11461" s="12">
        <f>IFERROR(__xludf.DUMMYFUNCTION("""COMPUTED_VALUE"""),45343.0)</f>
        <v>45343</v>
      </c>
      <c r="C11461" s="13">
        <f>IFERROR(__xludf.DUMMYFUNCTION("""COMPUTED_VALUE"""),0.5)</f>
        <v>0.5</v>
      </c>
      <c r="D11461" s="8">
        <f>IFERROR(__xludf.DUMMYFUNCTION("""COMPUTED_VALUE"""),0.862)</f>
        <v>0.862</v>
      </c>
      <c r="E11461" s="8" t="str">
        <f>IFERROR(__xludf.DUMMYFUNCTION("""COMPUTED_VALUE"""),"Real")</f>
        <v>Real</v>
      </c>
      <c r="G11461" s="8">
        <f t="shared" si="1"/>
        <v>2</v>
      </c>
      <c r="H11461" s="14">
        <f t="shared" si="2"/>
        <v>21</v>
      </c>
      <c r="I11461" s="15">
        <f t="shared" si="3"/>
        <v>12</v>
      </c>
    </row>
    <row r="11462">
      <c r="A11462" s="8" t="str">
        <f>IFERROR(__xludf.DUMMYFUNCTION("IF('(INGESTA)Datos_consumo_datadis'!A11462&lt;&gt;"""",SPLIT('(INGESTA)Datos_consumo_datadis'!A:A,"",""),"""")"),"ES0031408323131005HX0F")</f>
        <v>ES0031408323131005HX0F</v>
      </c>
      <c r="B11462" s="12">
        <f>IFERROR(__xludf.DUMMYFUNCTION("""COMPUTED_VALUE"""),45343.0)</f>
        <v>45343</v>
      </c>
      <c r="C11462" s="13">
        <f>IFERROR(__xludf.DUMMYFUNCTION("""COMPUTED_VALUE"""),0.5416666666666666)</f>
        <v>0.5416666667</v>
      </c>
      <c r="D11462" s="8">
        <f>IFERROR(__xludf.DUMMYFUNCTION("""COMPUTED_VALUE"""),0.088)</f>
        <v>0.088</v>
      </c>
      <c r="E11462" s="8" t="str">
        <f>IFERROR(__xludf.DUMMYFUNCTION("""COMPUTED_VALUE"""),"Real")</f>
        <v>Real</v>
      </c>
      <c r="G11462" s="8">
        <f t="shared" si="1"/>
        <v>2</v>
      </c>
      <c r="H11462" s="14">
        <f t="shared" si="2"/>
        <v>21</v>
      </c>
      <c r="I11462" s="15">
        <f t="shared" si="3"/>
        <v>13</v>
      </c>
    </row>
    <row r="11463">
      <c r="A11463" s="8" t="str">
        <f>IFERROR(__xludf.DUMMYFUNCTION("IF('(INGESTA)Datos_consumo_datadis'!A11463&lt;&gt;"""",SPLIT('(INGESTA)Datos_consumo_datadis'!A:A,"",""),"""")"),"ES0031408323131005HX0F")</f>
        <v>ES0031408323131005HX0F</v>
      </c>
      <c r="B11463" s="12">
        <f>IFERROR(__xludf.DUMMYFUNCTION("""COMPUTED_VALUE"""),45343.0)</f>
        <v>45343</v>
      </c>
      <c r="C11463" s="13">
        <f>IFERROR(__xludf.DUMMYFUNCTION("""COMPUTED_VALUE"""),0.5833333333333334)</f>
        <v>0.5833333333</v>
      </c>
      <c r="D11463" s="8">
        <f>IFERROR(__xludf.DUMMYFUNCTION("""COMPUTED_VALUE"""),0.047)</f>
        <v>0.047</v>
      </c>
      <c r="E11463" s="8" t="str">
        <f>IFERROR(__xludf.DUMMYFUNCTION("""COMPUTED_VALUE"""),"Real")</f>
        <v>Real</v>
      </c>
      <c r="G11463" s="8">
        <f t="shared" si="1"/>
        <v>2</v>
      </c>
      <c r="H11463" s="14">
        <f t="shared" si="2"/>
        <v>21</v>
      </c>
      <c r="I11463" s="15">
        <f t="shared" si="3"/>
        <v>14</v>
      </c>
    </row>
    <row r="11464">
      <c r="A11464" s="8" t="str">
        <f>IFERROR(__xludf.DUMMYFUNCTION("IF('(INGESTA)Datos_consumo_datadis'!A11464&lt;&gt;"""",SPLIT('(INGESTA)Datos_consumo_datadis'!A:A,"",""),"""")"),"ES0031408323131005HX0F")</f>
        <v>ES0031408323131005HX0F</v>
      </c>
      <c r="B11464" s="12">
        <f>IFERROR(__xludf.DUMMYFUNCTION("""COMPUTED_VALUE"""),45343.0)</f>
        <v>45343</v>
      </c>
      <c r="C11464" s="13">
        <f>IFERROR(__xludf.DUMMYFUNCTION("""COMPUTED_VALUE"""),0.625)</f>
        <v>0.625</v>
      </c>
      <c r="D11464" s="8">
        <f>IFERROR(__xludf.DUMMYFUNCTION("""COMPUTED_VALUE"""),0.037)</f>
        <v>0.037</v>
      </c>
      <c r="E11464" s="8" t="str">
        <f>IFERROR(__xludf.DUMMYFUNCTION("""COMPUTED_VALUE"""),"Real")</f>
        <v>Real</v>
      </c>
      <c r="G11464" s="8">
        <f t="shared" si="1"/>
        <v>2</v>
      </c>
      <c r="H11464" s="14">
        <f t="shared" si="2"/>
        <v>21</v>
      </c>
      <c r="I11464" s="15">
        <f t="shared" si="3"/>
        <v>15</v>
      </c>
    </row>
    <row r="11465">
      <c r="A11465" s="8" t="str">
        <f>IFERROR(__xludf.DUMMYFUNCTION("IF('(INGESTA)Datos_consumo_datadis'!A11465&lt;&gt;"""",SPLIT('(INGESTA)Datos_consumo_datadis'!A:A,"",""),"""")"),"ES0031408323131005HX0F")</f>
        <v>ES0031408323131005HX0F</v>
      </c>
      <c r="B11465" s="12">
        <f>IFERROR(__xludf.DUMMYFUNCTION("""COMPUTED_VALUE"""),45343.0)</f>
        <v>45343</v>
      </c>
      <c r="C11465" s="13">
        <f>IFERROR(__xludf.DUMMYFUNCTION("""COMPUTED_VALUE"""),0.6666666666666666)</f>
        <v>0.6666666667</v>
      </c>
      <c r="D11465" s="8">
        <f>IFERROR(__xludf.DUMMYFUNCTION("""COMPUTED_VALUE"""),0.085)</f>
        <v>0.085</v>
      </c>
      <c r="E11465" s="8" t="str">
        <f>IFERROR(__xludf.DUMMYFUNCTION("""COMPUTED_VALUE"""),"Real")</f>
        <v>Real</v>
      </c>
      <c r="G11465" s="8">
        <f t="shared" si="1"/>
        <v>2</v>
      </c>
      <c r="H11465" s="14">
        <f t="shared" si="2"/>
        <v>21</v>
      </c>
      <c r="I11465" s="15">
        <f t="shared" si="3"/>
        <v>16</v>
      </c>
    </row>
    <row r="11466">
      <c r="A11466" s="8" t="str">
        <f>IFERROR(__xludf.DUMMYFUNCTION("IF('(INGESTA)Datos_consumo_datadis'!A11466&lt;&gt;"""",SPLIT('(INGESTA)Datos_consumo_datadis'!A:A,"",""),"""")"),"ES0031408323131005HX0F")</f>
        <v>ES0031408323131005HX0F</v>
      </c>
      <c r="B11466" s="12">
        <f>IFERROR(__xludf.DUMMYFUNCTION("""COMPUTED_VALUE"""),45343.0)</f>
        <v>45343</v>
      </c>
      <c r="C11466" s="13">
        <f>IFERROR(__xludf.DUMMYFUNCTION("""COMPUTED_VALUE"""),0.7083333333333334)</f>
        <v>0.7083333333</v>
      </c>
      <c r="D11466" s="8">
        <f>IFERROR(__xludf.DUMMYFUNCTION("""COMPUTED_VALUE"""),0.303)</f>
        <v>0.303</v>
      </c>
      <c r="E11466" s="8" t="str">
        <f>IFERROR(__xludf.DUMMYFUNCTION("""COMPUTED_VALUE"""),"Real")</f>
        <v>Real</v>
      </c>
      <c r="G11466" s="8">
        <f t="shared" si="1"/>
        <v>2</v>
      </c>
      <c r="H11466" s="14">
        <f t="shared" si="2"/>
        <v>21</v>
      </c>
      <c r="I11466" s="15">
        <f t="shared" si="3"/>
        <v>17</v>
      </c>
    </row>
    <row r="11467">
      <c r="A11467" s="8" t="str">
        <f>IFERROR(__xludf.DUMMYFUNCTION("IF('(INGESTA)Datos_consumo_datadis'!A11467&lt;&gt;"""",SPLIT('(INGESTA)Datos_consumo_datadis'!A:A,"",""),"""")"),"ES0031408323131005HX0F")</f>
        <v>ES0031408323131005HX0F</v>
      </c>
      <c r="B11467" s="12">
        <f>IFERROR(__xludf.DUMMYFUNCTION("""COMPUTED_VALUE"""),45343.0)</f>
        <v>45343</v>
      </c>
      <c r="C11467" s="13">
        <f>IFERROR(__xludf.DUMMYFUNCTION("""COMPUTED_VALUE"""),0.75)</f>
        <v>0.75</v>
      </c>
      <c r="D11467" s="8">
        <f>IFERROR(__xludf.DUMMYFUNCTION("""COMPUTED_VALUE"""),0.068)</f>
        <v>0.068</v>
      </c>
      <c r="E11467" s="8" t="str">
        <f>IFERROR(__xludf.DUMMYFUNCTION("""COMPUTED_VALUE"""),"Real")</f>
        <v>Real</v>
      </c>
      <c r="G11467" s="8">
        <f t="shared" si="1"/>
        <v>2</v>
      </c>
      <c r="H11467" s="14">
        <f t="shared" si="2"/>
        <v>21</v>
      </c>
      <c r="I11467" s="15">
        <f t="shared" si="3"/>
        <v>18</v>
      </c>
    </row>
    <row r="11468">
      <c r="A11468" s="8" t="str">
        <f>IFERROR(__xludf.DUMMYFUNCTION("IF('(INGESTA)Datos_consumo_datadis'!A11468&lt;&gt;"""",SPLIT('(INGESTA)Datos_consumo_datadis'!A:A,"",""),"""")"),"ES0031408323131005HX0F")</f>
        <v>ES0031408323131005HX0F</v>
      </c>
      <c r="B11468" s="12">
        <f>IFERROR(__xludf.DUMMYFUNCTION("""COMPUTED_VALUE"""),45343.0)</f>
        <v>45343</v>
      </c>
      <c r="C11468" s="13">
        <f>IFERROR(__xludf.DUMMYFUNCTION("""COMPUTED_VALUE"""),0.7916666666666666)</f>
        <v>0.7916666667</v>
      </c>
      <c r="D11468" s="8">
        <f>IFERROR(__xludf.DUMMYFUNCTION("""COMPUTED_VALUE"""),0.067)</f>
        <v>0.067</v>
      </c>
      <c r="E11468" s="8" t="str">
        <f>IFERROR(__xludf.DUMMYFUNCTION("""COMPUTED_VALUE"""),"Real")</f>
        <v>Real</v>
      </c>
      <c r="G11468" s="8">
        <f t="shared" si="1"/>
        <v>2</v>
      </c>
      <c r="H11468" s="14">
        <f t="shared" si="2"/>
        <v>21</v>
      </c>
      <c r="I11468" s="15">
        <f t="shared" si="3"/>
        <v>19</v>
      </c>
    </row>
    <row r="11469">
      <c r="A11469" s="8" t="str">
        <f>IFERROR(__xludf.DUMMYFUNCTION("IF('(INGESTA)Datos_consumo_datadis'!A11469&lt;&gt;"""",SPLIT('(INGESTA)Datos_consumo_datadis'!A:A,"",""),"""")"),"ES0031408323131005HX0F")</f>
        <v>ES0031408323131005HX0F</v>
      </c>
      <c r="B11469" s="12">
        <f>IFERROR(__xludf.DUMMYFUNCTION("""COMPUTED_VALUE"""),45343.0)</f>
        <v>45343</v>
      </c>
      <c r="C11469" s="13">
        <f>IFERROR(__xludf.DUMMYFUNCTION("""COMPUTED_VALUE"""),0.8333333333333334)</f>
        <v>0.8333333333</v>
      </c>
      <c r="D11469" s="8">
        <f>IFERROR(__xludf.DUMMYFUNCTION("""COMPUTED_VALUE"""),0.553)</f>
        <v>0.553</v>
      </c>
      <c r="E11469" s="8" t="str">
        <f>IFERROR(__xludf.DUMMYFUNCTION("""COMPUTED_VALUE"""),"Real")</f>
        <v>Real</v>
      </c>
      <c r="G11469" s="8">
        <f t="shared" si="1"/>
        <v>2</v>
      </c>
      <c r="H11469" s="14">
        <f t="shared" si="2"/>
        <v>21</v>
      </c>
      <c r="I11469" s="15">
        <f t="shared" si="3"/>
        <v>20</v>
      </c>
    </row>
    <row r="11470">
      <c r="A11470" s="8" t="str">
        <f>IFERROR(__xludf.DUMMYFUNCTION("IF('(INGESTA)Datos_consumo_datadis'!A11470&lt;&gt;"""",SPLIT('(INGESTA)Datos_consumo_datadis'!A:A,"",""),"""")"),"ES0031408323131005HX0F")</f>
        <v>ES0031408323131005HX0F</v>
      </c>
      <c r="B11470" s="12">
        <f>IFERROR(__xludf.DUMMYFUNCTION("""COMPUTED_VALUE"""),45343.0)</f>
        <v>45343</v>
      </c>
      <c r="C11470" s="13">
        <f>IFERROR(__xludf.DUMMYFUNCTION("""COMPUTED_VALUE"""),0.875)</f>
        <v>0.875</v>
      </c>
      <c r="D11470" s="8">
        <f>IFERROR(__xludf.DUMMYFUNCTION("""COMPUTED_VALUE"""),2.902)</f>
        <v>2.902</v>
      </c>
      <c r="E11470" s="8" t="str">
        <f>IFERROR(__xludf.DUMMYFUNCTION("""COMPUTED_VALUE"""),"Real")</f>
        <v>Real</v>
      </c>
      <c r="G11470" s="8">
        <f t="shared" si="1"/>
        <v>2</v>
      </c>
      <c r="H11470" s="14">
        <f t="shared" si="2"/>
        <v>21</v>
      </c>
      <c r="I11470" s="15">
        <f t="shared" si="3"/>
        <v>21</v>
      </c>
    </row>
    <row r="11471">
      <c r="A11471" s="8" t="str">
        <f>IFERROR(__xludf.DUMMYFUNCTION("IF('(INGESTA)Datos_consumo_datadis'!A11471&lt;&gt;"""",SPLIT('(INGESTA)Datos_consumo_datadis'!A:A,"",""),"""")"),"ES0031408323131005HX0F")</f>
        <v>ES0031408323131005HX0F</v>
      </c>
      <c r="B11471" s="12">
        <f>IFERROR(__xludf.DUMMYFUNCTION("""COMPUTED_VALUE"""),45343.0)</f>
        <v>45343</v>
      </c>
      <c r="C11471" s="13">
        <f>IFERROR(__xludf.DUMMYFUNCTION("""COMPUTED_VALUE"""),0.9166666666666666)</f>
        <v>0.9166666667</v>
      </c>
      <c r="D11471" s="8">
        <f>IFERROR(__xludf.DUMMYFUNCTION("""COMPUTED_VALUE"""),2.202)</f>
        <v>2.202</v>
      </c>
      <c r="E11471" s="8" t="str">
        <f>IFERROR(__xludf.DUMMYFUNCTION("""COMPUTED_VALUE"""),"Real")</f>
        <v>Real</v>
      </c>
      <c r="G11471" s="8">
        <f t="shared" si="1"/>
        <v>2</v>
      </c>
      <c r="H11471" s="14">
        <f t="shared" si="2"/>
        <v>21</v>
      </c>
      <c r="I11471" s="15">
        <f t="shared" si="3"/>
        <v>22</v>
      </c>
    </row>
    <row r="11472">
      <c r="A11472" s="8" t="str">
        <f>IFERROR(__xludf.DUMMYFUNCTION("IF('(INGESTA)Datos_consumo_datadis'!A11472&lt;&gt;"""",SPLIT('(INGESTA)Datos_consumo_datadis'!A:A,"",""),"""")"),"ES0031408323131005HX0F")</f>
        <v>ES0031408323131005HX0F</v>
      </c>
      <c r="B11472" s="12">
        <f>IFERROR(__xludf.DUMMYFUNCTION("""COMPUTED_VALUE"""),45343.0)</f>
        <v>45343</v>
      </c>
      <c r="C11472" s="13">
        <f>IFERROR(__xludf.DUMMYFUNCTION("""COMPUTED_VALUE"""),0.9583333333333334)</f>
        <v>0.9583333333</v>
      </c>
      <c r="D11472" s="8">
        <f>IFERROR(__xludf.DUMMYFUNCTION("""COMPUTED_VALUE"""),0.533)</f>
        <v>0.533</v>
      </c>
      <c r="E11472" s="8" t="str">
        <f>IFERROR(__xludf.DUMMYFUNCTION("""COMPUTED_VALUE"""),"Real")</f>
        <v>Real</v>
      </c>
      <c r="G11472" s="8">
        <f t="shared" si="1"/>
        <v>2</v>
      </c>
      <c r="H11472" s="14">
        <f t="shared" si="2"/>
        <v>21</v>
      </c>
      <c r="I11472" s="15">
        <f t="shared" si="3"/>
        <v>23</v>
      </c>
    </row>
    <row r="11473">
      <c r="A11473" s="8" t="str">
        <f>IFERROR(__xludf.DUMMYFUNCTION("IF('(INGESTA)Datos_consumo_datadis'!A11473&lt;&gt;"""",SPLIT('(INGESTA)Datos_consumo_datadis'!A:A,"",""),"""")"),"ES0031408323131005HX0F")</f>
        <v>ES0031408323131005HX0F</v>
      </c>
      <c r="B11473" s="12">
        <f>IFERROR(__xludf.DUMMYFUNCTION("""COMPUTED_VALUE"""),45343.0)</f>
        <v>45343</v>
      </c>
      <c r="C11473" s="16">
        <f>IFERROR(__xludf.DUMMYFUNCTION("""COMPUTED_VALUE"""),1.0)</f>
        <v>1</v>
      </c>
      <c r="D11473" s="8">
        <f>IFERROR(__xludf.DUMMYFUNCTION("""COMPUTED_VALUE"""),0.885)</f>
        <v>0.885</v>
      </c>
      <c r="E11473" s="8" t="str">
        <f>IFERROR(__xludf.DUMMYFUNCTION("""COMPUTED_VALUE"""),"Real")</f>
        <v>Real</v>
      </c>
      <c r="G11473" s="8">
        <f t="shared" si="1"/>
        <v>2</v>
      </c>
      <c r="H11473" s="14">
        <f t="shared" si="2"/>
        <v>21</v>
      </c>
      <c r="I11473" s="15">
        <f t="shared" si="3"/>
        <v>0</v>
      </c>
    </row>
    <row r="11474">
      <c r="A11474" s="8" t="str">
        <f>IFERROR(__xludf.DUMMYFUNCTION("IF('(INGESTA)Datos_consumo_datadis'!A11474&lt;&gt;"""",SPLIT('(INGESTA)Datos_consumo_datadis'!A:A,"",""),"""")"),"ES0031408323131005HX0F")</f>
        <v>ES0031408323131005HX0F</v>
      </c>
      <c r="B11474" s="12">
        <f>IFERROR(__xludf.DUMMYFUNCTION("""COMPUTED_VALUE"""),45344.0)</f>
        <v>45344</v>
      </c>
      <c r="C11474" s="13">
        <f>IFERROR(__xludf.DUMMYFUNCTION("""COMPUTED_VALUE"""),0.041666666666666664)</f>
        <v>0.04166666667</v>
      </c>
      <c r="D11474" s="8">
        <f>IFERROR(__xludf.DUMMYFUNCTION("""COMPUTED_VALUE"""),0.065)</f>
        <v>0.065</v>
      </c>
      <c r="E11474" s="8" t="str">
        <f>IFERROR(__xludf.DUMMYFUNCTION("""COMPUTED_VALUE"""),"Real")</f>
        <v>Real</v>
      </c>
      <c r="G11474" s="8">
        <f t="shared" si="1"/>
        <v>2</v>
      </c>
      <c r="H11474" s="14">
        <f t="shared" si="2"/>
        <v>22</v>
      </c>
      <c r="I11474" s="15">
        <f t="shared" si="3"/>
        <v>1</v>
      </c>
    </row>
    <row r="11475">
      <c r="A11475" s="8" t="str">
        <f>IFERROR(__xludf.DUMMYFUNCTION("IF('(INGESTA)Datos_consumo_datadis'!A11475&lt;&gt;"""",SPLIT('(INGESTA)Datos_consumo_datadis'!A:A,"",""),"""")"),"ES0031408323131005HX0F")</f>
        <v>ES0031408323131005HX0F</v>
      </c>
      <c r="B11475" s="12">
        <f>IFERROR(__xludf.DUMMYFUNCTION("""COMPUTED_VALUE"""),45344.0)</f>
        <v>45344</v>
      </c>
      <c r="C11475" s="13">
        <f>IFERROR(__xludf.DUMMYFUNCTION("""COMPUTED_VALUE"""),0.08333333333333333)</f>
        <v>0.08333333333</v>
      </c>
      <c r="D11475" s="8">
        <f>IFERROR(__xludf.DUMMYFUNCTION("""COMPUTED_VALUE"""),0.025)</f>
        <v>0.025</v>
      </c>
      <c r="E11475" s="8" t="str">
        <f>IFERROR(__xludf.DUMMYFUNCTION("""COMPUTED_VALUE"""),"Real")</f>
        <v>Real</v>
      </c>
      <c r="G11475" s="8">
        <f t="shared" si="1"/>
        <v>2</v>
      </c>
      <c r="H11475" s="14">
        <f t="shared" si="2"/>
        <v>22</v>
      </c>
      <c r="I11475" s="15">
        <f t="shared" si="3"/>
        <v>2</v>
      </c>
    </row>
    <row r="11476">
      <c r="A11476" s="8" t="str">
        <f>IFERROR(__xludf.DUMMYFUNCTION("IF('(INGESTA)Datos_consumo_datadis'!A11476&lt;&gt;"""",SPLIT('(INGESTA)Datos_consumo_datadis'!A:A,"",""),"""")"),"ES0031408323131005HX0F")</f>
        <v>ES0031408323131005HX0F</v>
      </c>
      <c r="B11476" s="12">
        <f>IFERROR(__xludf.DUMMYFUNCTION("""COMPUTED_VALUE"""),45344.0)</f>
        <v>45344</v>
      </c>
      <c r="C11476" s="13">
        <f>IFERROR(__xludf.DUMMYFUNCTION("""COMPUTED_VALUE"""),0.125)</f>
        <v>0.125</v>
      </c>
      <c r="D11476" s="8">
        <f>IFERROR(__xludf.DUMMYFUNCTION("""COMPUTED_VALUE"""),0.091)</f>
        <v>0.091</v>
      </c>
      <c r="E11476" s="8" t="str">
        <f>IFERROR(__xludf.DUMMYFUNCTION("""COMPUTED_VALUE"""),"Real")</f>
        <v>Real</v>
      </c>
      <c r="G11476" s="8">
        <f t="shared" si="1"/>
        <v>2</v>
      </c>
      <c r="H11476" s="14">
        <f t="shared" si="2"/>
        <v>22</v>
      </c>
      <c r="I11476" s="15">
        <f t="shared" si="3"/>
        <v>3</v>
      </c>
    </row>
    <row r="11477">
      <c r="A11477" s="8" t="str">
        <f>IFERROR(__xludf.DUMMYFUNCTION("IF('(INGESTA)Datos_consumo_datadis'!A11477&lt;&gt;"""",SPLIT('(INGESTA)Datos_consumo_datadis'!A:A,"",""),"""")"),"ES0031408323131005HX0F")</f>
        <v>ES0031408323131005HX0F</v>
      </c>
      <c r="B11477" s="12">
        <f>IFERROR(__xludf.DUMMYFUNCTION("""COMPUTED_VALUE"""),45344.0)</f>
        <v>45344</v>
      </c>
      <c r="C11477" s="13">
        <f>IFERROR(__xludf.DUMMYFUNCTION("""COMPUTED_VALUE"""),0.16666666666666666)</f>
        <v>0.1666666667</v>
      </c>
      <c r="D11477" s="8">
        <f>IFERROR(__xludf.DUMMYFUNCTION("""COMPUTED_VALUE"""),0.311)</f>
        <v>0.311</v>
      </c>
      <c r="E11477" s="8" t="str">
        <f>IFERROR(__xludf.DUMMYFUNCTION("""COMPUTED_VALUE"""),"Real")</f>
        <v>Real</v>
      </c>
      <c r="G11477" s="8">
        <f t="shared" si="1"/>
        <v>2</v>
      </c>
      <c r="H11477" s="14">
        <f t="shared" si="2"/>
        <v>22</v>
      </c>
      <c r="I11477" s="15">
        <f t="shared" si="3"/>
        <v>4</v>
      </c>
    </row>
    <row r="11478">
      <c r="A11478" s="8" t="str">
        <f>IFERROR(__xludf.DUMMYFUNCTION("IF('(INGESTA)Datos_consumo_datadis'!A11478&lt;&gt;"""",SPLIT('(INGESTA)Datos_consumo_datadis'!A:A,"",""),"""")"),"ES0031408323131005HX0F")</f>
        <v>ES0031408323131005HX0F</v>
      </c>
      <c r="B11478" s="12">
        <f>IFERROR(__xludf.DUMMYFUNCTION("""COMPUTED_VALUE"""),45344.0)</f>
        <v>45344</v>
      </c>
      <c r="C11478" s="13">
        <f>IFERROR(__xludf.DUMMYFUNCTION("""COMPUTED_VALUE"""),0.20833333333333334)</f>
        <v>0.2083333333</v>
      </c>
      <c r="D11478" s="8">
        <f>IFERROR(__xludf.DUMMYFUNCTION("""COMPUTED_VALUE"""),0.054)</f>
        <v>0.054</v>
      </c>
      <c r="E11478" s="8" t="str">
        <f>IFERROR(__xludf.DUMMYFUNCTION("""COMPUTED_VALUE"""),"Real")</f>
        <v>Real</v>
      </c>
      <c r="G11478" s="8">
        <f t="shared" si="1"/>
        <v>2</v>
      </c>
      <c r="H11478" s="14">
        <f t="shared" si="2"/>
        <v>22</v>
      </c>
      <c r="I11478" s="15">
        <f t="shared" si="3"/>
        <v>5</v>
      </c>
    </row>
    <row r="11479">
      <c r="A11479" s="8" t="str">
        <f>IFERROR(__xludf.DUMMYFUNCTION("IF('(INGESTA)Datos_consumo_datadis'!A11479&lt;&gt;"""",SPLIT('(INGESTA)Datos_consumo_datadis'!A:A,"",""),"""")"),"ES0031408323131005HX0F")</f>
        <v>ES0031408323131005HX0F</v>
      </c>
      <c r="B11479" s="12">
        <f>IFERROR(__xludf.DUMMYFUNCTION("""COMPUTED_VALUE"""),45344.0)</f>
        <v>45344</v>
      </c>
      <c r="C11479" s="13">
        <f>IFERROR(__xludf.DUMMYFUNCTION("""COMPUTED_VALUE"""),0.25)</f>
        <v>0.25</v>
      </c>
      <c r="D11479" s="8">
        <f>IFERROR(__xludf.DUMMYFUNCTION("""COMPUTED_VALUE"""),0.08)</f>
        <v>0.08</v>
      </c>
      <c r="E11479" s="8" t="str">
        <f>IFERROR(__xludf.DUMMYFUNCTION("""COMPUTED_VALUE"""),"Real")</f>
        <v>Real</v>
      </c>
      <c r="G11479" s="8">
        <f t="shared" si="1"/>
        <v>2</v>
      </c>
      <c r="H11479" s="14">
        <f t="shared" si="2"/>
        <v>22</v>
      </c>
      <c r="I11479" s="15">
        <f t="shared" si="3"/>
        <v>6</v>
      </c>
    </row>
    <row r="11480">
      <c r="A11480" s="8" t="str">
        <f>IFERROR(__xludf.DUMMYFUNCTION("IF('(INGESTA)Datos_consumo_datadis'!A11480&lt;&gt;"""",SPLIT('(INGESTA)Datos_consumo_datadis'!A:A,"",""),"""")"),"ES0031408323131005HX0F")</f>
        <v>ES0031408323131005HX0F</v>
      </c>
      <c r="B11480" s="12">
        <f>IFERROR(__xludf.DUMMYFUNCTION("""COMPUTED_VALUE"""),45344.0)</f>
        <v>45344</v>
      </c>
      <c r="C11480" s="13">
        <f>IFERROR(__xludf.DUMMYFUNCTION("""COMPUTED_VALUE"""),0.2916666666666667)</f>
        <v>0.2916666667</v>
      </c>
      <c r="D11480" s="8">
        <f>IFERROR(__xludf.DUMMYFUNCTION("""COMPUTED_VALUE"""),0.544)</f>
        <v>0.544</v>
      </c>
      <c r="E11480" s="8" t="str">
        <f>IFERROR(__xludf.DUMMYFUNCTION("""COMPUTED_VALUE"""),"Real")</f>
        <v>Real</v>
      </c>
      <c r="G11480" s="8">
        <f t="shared" si="1"/>
        <v>2</v>
      </c>
      <c r="H11480" s="14">
        <f t="shared" si="2"/>
        <v>22</v>
      </c>
      <c r="I11480" s="15">
        <f t="shared" si="3"/>
        <v>7</v>
      </c>
    </row>
    <row r="11481">
      <c r="A11481" s="8" t="str">
        <f>IFERROR(__xludf.DUMMYFUNCTION("IF('(INGESTA)Datos_consumo_datadis'!A11481&lt;&gt;"""",SPLIT('(INGESTA)Datos_consumo_datadis'!A:A,"",""),"""")"),"ES0031408323131005HX0F")</f>
        <v>ES0031408323131005HX0F</v>
      </c>
      <c r="B11481" s="12">
        <f>IFERROR(__xludf.DUMMYFUNCTION("""COMPUTED_VALUE"""),45344.0)</f>
        <v>45344</v>
      </c>
      <c r="C11481" s="13">
        <f>IFERROR(__xludf.DUMMYFUNCTION("""COMPUTED_VALUE"""),0.3333333333333333)</f>
        <v>0.3333333333</v>
      </c>
      <c r="D11481" s="8">
        <f>IFERROR(__xludf.DUMMYFUNCTION("""COMPUTED_VALUE"""),0.984)</f>
        <v>0.984</v>
      </c>
      <c r="E11481" s="8" t="str">
        <f>IFERROR(__xludf.DUMMYFUNCTION("""COMPUTED_VALUE"""),"Real")</f>
        <v>Real</v>
      </c>
      <c r="G11481" s="8">
        <f t="shared" si="1"/>
        <v>2</v>
      </c>
      <c r="H11481" s="14">
        <f t="shared" si="2"/>
        <v>22</v>
      </c>
      <c r="I11481" s="15">
        <f t="shared" si="3"/>
        <v>8</v>
      </c>
    </row>
    <row r="11482">
      <c r="A11482" s="8" t="str">
        <f>IFERROR(__xludf.DUMMYFUNCTION("IF('(INGESTA)Datos_consumo_datadis'!A11482&lt;&gt;"""",SPLIT('(INGESTA)Datos_consumo_datadis'!A:A,"",""),"""")"),"ES0031408323131005HX0F")</f>
        <v>ES0031408323131005HX0F</v>
      </c>
      <c r="B11482" s="12">
        <f>IFERROR(__xludf.DUMMYFUNCTION("""COMPUTED_VALUE"""),45344.0)</f>
        <v>45344</v>
      </c>
      <c r="C11482" s="13">
        <f>IFERROR(__xludf.DUMMYFUNCTION("""COMPUTED_VALUE"""),0.375)</f>
        <v>0.375</v>
      </c>
      <c r="D11482" s="8">
        <f>IFERROR(__xludf.DUMMYFUNCTION("""COMPUTED_VALUE"""),1.112)</f>
        <v>1.112</v>
      </c>
      <c r="E11482" s="8" t="str">
        <f>IFERROR(__xludf.DUMMYFUNCTION("""COMPUTED_VALUE"""),"Real")</f>
        <v>Real</v>
      </c>
      <c r="G11482" s="8">
        <f t="shared" si="1"/>
        <v>2</v>
      </c>
      <c r="H11482" s="14">
        <f t="shared" si="2"/>
        <v>22</v>
      </c>
      <c r="I11482" s="15">
        <f t="shared" si="3"/>
        <v>9</v>
      </c>
    </row>
    <row r="11483">
      <c r="A11483" s="8" t="str">
        <f>IFERROR(__xludf.DUMMYFUNCTION("IF('(INGESTA)Datos_consumo_datadis'!A11483&lt;&gt;"""",SPLIT('(INGESTA)Datos_consumo_datadis'!A:A,"",""),"""")"),"ES0031408323131005HX0F")</f>
        <v>ES0031408323131005HX0F</v>
      </c>
      <c r="B11483" s="12">
        <f>IFERROR(__xludf.DUMMYFUNCTION("""COMPUTED_VALUE"""),45344.0)</f>
        <v>45344</v>
      </c>
      <c r="C11483" s="13">
        <f>IFERROR(__xludf.DUMMYFUNCTION("""COMPUTED_VALUE"""),0.4166666666666667)</f>
        <v>0.4166666667</v>
      </c>
      <c r="D11483" s="8">
        <f>IFERROR(__xludf.DUMMYFUNCTION("""COMPUTED_VALUE"""),0.175)</f>
        <v>0.175</v>
      </c>
      <c r="E11483" s="8" t="str">
        <f>IFERROR(__xludf.DUMMYFUNCTION("""COMPUTED_VALUE"""),"Real")</f>
        <v>Real</v>
      </c>
      <c r="G11483" s="8">
        <f t="shared" si="1"/>
        <v>2</v>
      </c>
      <c r="H11483" s="14">
        <f t="shared" si="2"/>
        <v>22</v>
      </c>
      <c r="I11483" s="15">
        <f t="shared" si="3"/>
        <v>10</v>
      </c>
    </row>
    <row r="11484">
      <c r="A11484" s="8" t="str">
        <f>IFERROR(__xludf.DUMMYFUNCTION("IF('(INGESTA)Datos_consumo_datadis'!A11484&lt;&gt;"""",SPLIT('(INGESTA)Datos_consumo_datadis'!A:A,"",""),"""")"),"ES0031408323131005HX0F")</f>
        <v>ES0031408323131005HX0F</v>
      </c>
      <c r="B11484" s="12">
        <f>IFERROR(__xludf.DUMMYFUNCTION("""COMPUTED_VALUE"""),45344.0)</f>
        <v>45344</v>
      </c>
      <c r="C11484" s="13">
        <f>IFERROR(__xludf.DUMMYFUNCTION("""COMPUTED_VALUE"""),0.4583333333333333)</f>
        <v>0.4583333333</v>
      </c>
      <c r="D11484" s="8">
        <f>IFERROR(__xludf.DUMMYFUNCTION("""COMPUTED_VALUE"""),0.383)</f>
        <v>0.383</v>
      </c>
      <c r="E11484" s="8" t="str">
        <f>IFERROR(__xludf.DUMMYFUNCTION("""COMPUTED_VALUE"""),"Real")</f>
        <v>Real</v>
      </c>
      <c r="G11484" s="8">
        <f t="shared" si="1"/>
        <v>2</v>
      </c>
      <c r="H11484" s="14">
        <f t="shared" si="2"/>
        <v>22</v>
      </c>
      <c r="I11484" s="15">
        <f t="shared" si="3"/>
        <v>11</v>
      </c>
    </row>
    <row r="11485">
      <c r="A11485" s="8" t="str">
        <f>IFERROR(__xludf.DUMMYFUNCTION("IF('(INGESTA)Datos_consumo_datadis'!A11485&lt;&gt;"""",SPLIT('(INGESTA)Datos_consumo_datadis'!A:A,"",""),"""")"),"ES0031408323131005HX0F")</f>
        <v>ES0031408323131005HX0F</v>
      </c>
      <c r="B11485" s="12">
        <f>IFERROR(__xludf.DUMMYFUNCTION("""COMPUTED_VALUE"""),45344.0)</f>
        <v>45344</v>
      </c>
      <c r="C11485" s="13">
        <f>IFERROR(__xludf.DUMMYFUNCTION("""COMPUTED_VALUE"""),0.5)</f>
        <v>0.5</v>
      </c>
      <c r="D11485" s="8">
        <f>IFERROR(__xludf.DUMMYFUNCTION("""COMPUTED_VALUE"""),0.082)</f>
        <v>0.082</v>
      </c>
      <c r="E11485" s="8" t="str">
        <f>IFERROR(__xludf.DUMMYFUNCTION("""COMPUTED_VALUE"""),"Real")</f>
        <v>Real</v>
      </c>
      <c r="G11485" s="8">
        <f t="shared" si="1"/>
        <v>2</v>
      </c>
      <c r="H11485" s="14">
        <f t="shared" si="2"/>
        <v>22</v>
      </c>
      <c r="I11485" s="15">
        <f t="shared" si="3"/>
        <v>12</v>
      </c>
    </row>
    <row r="11486">
      <c r="A11486" s="8" t="str">
        <f>IFERROR(__xludf.DUMMYFUNCTION("IF('(INGESTA)Datos_consumo_datadis'!A11486&lt;&gt;"""",SPLIT('(INGESTA)Datos_consumo_datadis'!A:A,"",""),"""")"),"ES0031408323131005HX0F")</f>
        <v>ES0031408323131005HX0F</v>
      </c>
      <c r="B11486" s="12">
        <f>IFERROR(__xludf.DUMMYFUNCTION("""COMPUTED_VALUE"""),45344.0)</f>
        <v>45344</v>
      </c>
      <c r="C11486" s="13">
        <f>IFERROR(__xludf.DUMMYFUNCTION("""COMPUTED_VALUE"""),0.5416666666666666)</f>
        <v>0.5416666667</v>
      </c>
      <c r="D11486" s="8">
        <f>IFERROR(__xludf.DUMMYFUNCTION("""COMPUTED_VALUE"""),0.046)</f>
        <v>0.046</v>
      </c>
      <c r="E11486" s="8" t="str">
        <f>IFERROR(__xludf.DUMMYFUNCTION("""COMPUTED_VALUE"""),"Real")</f>
        <v>Real</v>
      </c>
      <c r="G11486" s="8">
        <f t="shared" si="1"/>
        <v>2</v>
      </c>
      <c r="H11486" s="14">
        <f t="shared" si="2"/>
        <v>22</v>
      </c>
      <c r="I11486" s="15">
        <f t="shared" si="3"/>
        <v>13</v>
      </c>
    </row>
    <row r="11487">
      <c r="A11487" s="8" t="str">
        <f>IFERROR(__xludf.DUMMYFUNCTION("IF('(INGESTA)Datos_consumo_datadis'!A11487&lt;&gt;"""",SPLIT('(INGESTA)Datos_consumo_datadis'!A:A,"",""),"""")"),"ES0031408323131005HX0F")</f>
        <v>ES0031408323131005HX0F</v>
      </c>
      <c r="B11487" s="12">
        <f>IFERROR(__xludf.DUMMYFUNCTION("""COMPUTED_VALUE"""),45344.0)</f>
        <v>45344</v>
      </c>
      <c r="C11487" s="13">
        <f>IFERROR(__xludf.DUMMYFUNCTION("""COMPUTED_VALUE"""),0.5833333333333334)</f>
        <v>0.5833333333</v>
      </c>
      <c r="D11487" s="8">
        <f>IFERROR(__xludf.DUMMYFUNCTION("""COMPUTED_VALUE"""),1.022)</f>
        <v>1.022</v>
      </c>
      <c r="E11487" s="8" t="str">
        <f>IFERROR(__xludf.DUMMYFUNCTION("""COMPUTED_VALUE"""),"Real")</f>
        <v>Real</v>
      </c>
      <c r="G11487" s="8">
        <f t="shared" si="1"/>
        <v>2</v>
      </c>
      <c r="H11487" s="14">
        <f t="shared" si="2"/>
        <v>22</v>
      </c>
      <c r="I11487" s="15">
        <f t="shared" si="3"/>
        <v>14</v>
      </c>
    </row>
    <row r="11488">
      <c r="A11488" s="8" t="str">
        <f>IFERROR(__xludf.DUMMYFUNCTION("IF('(INGESTA)Datos_consumo_datadis'!A11488&lt;&gt;"""",SPLIT('(INGESTA)Datos_consumo_datadis'!A:A,"",""),"""")"),"ES0031408323131005HX0F")</f>
        <v>ES0031408323131005HX0F</v>
      </c>
      <c r="B11488" s="12">
        <f>IFERROR(__xludf.DUMMYFUNCTION("""COMPUTED_VALUE"""),45344.0)</f>
        <v>45344</v>
      </c>
      <c r="C11488" s="13">
        <f>IFERROR(__xludf.DUMMYFUNCTION("""COMPUTED_VALUE"""),0.625)</f>
        <v>0.625</v>
      </c>
      <c r="D11488" s="8">
        <f>IFERROR(__xludf.DUMMYFUNCTION("""COMPUTED_VALUE"""),0.277)</f>
        <v>0.277</v>
      </c>
      <c r="E11488" s="8" t="str">
        <f>IFERROR(__xludf.DUMMYFUNCTION("""COMPUTED_VALUE"""),"Real")</f>
        <v>Real</v>
      </c>
      <c r="G11488" s="8">
        <f t="shared" si="1"/>
        <v>2</v>
      </c>
      <c r="H11488" s="14">
        <f t="shared" si="2"/>
        <v>22</v>
      </c>
      <c r="I11488" s="15">
        <f t="shared" si="3"/>
        <v>15</v>
      </c>
    </row>
    <row r="11489">
      <c r="A11489" s="8" t="str">
        <f>IFERROR(__xludf.DUMMYFUNCTION("IF('(INGESTA)Datos_consumo_datadis'!A11489&lt;&gt;"""",SPLIT('(INGESTA)Datos_consumo_datadis'!A:A,"",""),"""")"),"ES0031408323131005HX0F")</f>
        <v>ES0031408323131005HX0F</v>
      </c>
      <c r="B11489" s="12">
        <f>IFERROR(__xludf.DUMMYFUNCTION("""COMPUTED_VALUE"""),45344.0)</f>
        <v>45344</v>
      </c>
      <c r="C11489" s="13">
        <f>IFERROR(__xludf.DUMMYFUNCTION("""COMPUTED_VALUE"""),0.6666666666666666)</f>
        <v>0.6666666667</v>
      </c>
      <c r="D11489" s="8">
        <f>IFERROR(__xludf.DUMMYFUNCTION("""COMPUTED_VALUE"""),0.023)</f>
        <v>0.023</v>
      </c>
      <c r="E11489" s="8" t="str">
        <f>IFERROR(__xludf.DUMMYFUNCTION("""COMPUTED_VALUE"""),"Real")</f>
        <v>Real</v>
      </c>
      <c r="G11489" s="8">
        <f t="shared" si="1"/>
        <v>2</v>
      </c>
      <c r="H11489" s="14">
        <f t="shared" si="2"/>
        <v>22</v>
      </c>
      <c r="I11489" s="15">
        <f t="shared" si="3"/>
        <v>16</v>
      </c>
    </row>
    <row r="11490">
      <c r="A11490" s="8" t="str">
        <f>IFERROR(__xludf.DUMMYFUNCTION("IF('(INGESTA)Datos_consumo_datadis'!A11490&lt;&gt;"""",SPLIT('(INGESTA)Datos_consumo_datadis'!A:A,"",""),"""")"),"ES0031408323131005HX0F")</f>
        <v>ES0031408323131005HX0F</v>
      </c>
      <c r="B11490" s="12">
        <f>IFERROR(__xludf.DUMMYFUNCTION("""COMPUTED_VALUE"""),45344.0)</f>
        <v>45344</v>
      </c>
      <c r="C11490" s="13">
        <f>IFERROR(__xludf.DUMMYFUNCTION("""COMPUTED_VALUE"""),0.7083333333333334)</f>
        <v>0.7083333333</v>
      </c>
      <c r="D11490" s="8">
        <f>IFERROR(__xludf.DUMMYFUNCTION("""COMPUTED_VALUE"""),0.098)</f>
        <v>0.098</v>
      </c>
      <c r="E11490" s="8" t="str">
        <f>IFERROR(__xludf.DUMMYFUNCTION("""COMPUTED_VALUE"""),"Real")</f>
        <v>Real</v>
      </c>
      <c r="G11490" s="8">
        <f t="shared" si="1"/>
        <v>2</v>
      </c>
      <c r="H11490" s="14">
        <f t="shared" si="2"/>
        <v>22</v>
      </c>
      <c r="I11490" s="15">
        <f t="shared" si="3"/>
        <v>17</v>
      </c>
    </row>
    <row r="11491">
      <c r="A11491" s="8" t="str">
        <f>IFERROR(__xludf.DUMMYFUNCTION("IF('(INGESTA)Datos_consumo_datadis'!A11491&lt;&gt;"""",SPLIT('(INGESTA)Datos_consumo_datadis'!A:A,"",""),"""")"),"ES0031408323131005HX0F")</f>
        <v>ES0031408323131005HX0F</v>
      </c>
      <c r="B11491" s="12">
        <f>IFERROR(__xludf.DUMMYFUNCTION("""COMPUTED_VALUE"""),45344.0)</f>
        <v>45344</v>
      </c>
      <c r="C11491" s="13">
        <f>IFERROR(__xludf.DUMMYFUNCTION("""COMPUTED_VALUE"""),0.75)</f>
        <v>0.75</v>
      </c>
      <c r="D11491" s="8">
        <f>IFERROR(__xludf.DUMMYFUNCTION("""COMPUTED_VALUE"""),0.057)</f>
        <v>0.057</v>
      </c>
      <c r="E11491" s="8" t="str">
        <f>IFERROR(__xludf.DUMMYFUNCTION("""COMPUTED_VALUE"""),"Real")</f>
        <v>Real</v>
      </c>
      <c r="G11491" s="8">
        <f t="shared" si="1"/>
        <v>2</v>
      </c>
      <c r="H11491" s="14">
        <f t="shared" si="2"/>
        <v>22</v>
      </c>
      <c r="I11491" s="15">
        <f t="shared" si="3"/>
        <v>18</v>
      </c>
    </row>
    <row r="11492">
      <c r="A11492" s="8" t="str">
        <f>IFERROR(__xludf.DUMMYFUNCTION("IF('(INGESTA)Datos_consumo_datadis'!A11492&lt;&gt;"""",SPLIT('(INGESTA)Datos_consumo_datadis'!A:A,"",""),"""")"),"ES0031408323131005HX0F")</f>
        <v>ES0031408323131005HX0F</v>
      </c>
      <c r="B11492" s="12">
        <f>IFERROR(__xludf.DUMMYFUNCTION("""COMPUTED_VALUE"""),45344.0)</f>
        <v>45344</v>
      </c>
      <c r="C11492" s="13">
        <f>IFERROR(__xludf.DUMMYFUNCTION("""COMPUTED_VALUE"""),0.7916666666666666)</f>
        <v>0.7916666667</v>
      </c>
      <c r="D11492" s="8">
        <f>IFERROR(__xludf.DUMMYFUNCTION("""COMPUTED_VALUE"""),0.025)</f>
        <v>0.025</v>
      </c>
      <c r="E11492" s="8" t="str">
        <f>IFERROR(__xludf.DUMMYFUNCTION("""COMPUTED_VALUE"""),"Real")</f>
        <v>Real</v>
      </c>
      <c r="G11492" s="8">
        <f t="shared" si="1"/>
        <v>2</v>
      </c>
      <c r="H11492" s="14">
        <f t="shared" si="2"/>
        <v>22</v>
      </c>
      <c r="I11492" s="15">
        <f t="shared" si="3"/>
        <v>19</v>
      </c>
    </row>
    <row r="11493">
      <c r="A11493" s="8" t="str">
        <f>IFERROR(__xludf.DUMMYFUNCTION("IF('(INGESTA)Datos_consumo_datadis'!A11493&lt;&gt;"""",SPLIT('(INGESTA)Datos_consumo_datadis'!A:A,"",""),"""")"),"ES0031408323131005HX0F")</f>
        <v>ES0031408323131005HX0F</v>
      </c>
      <c r="B11493" s="12">
        <f>IFERROR(__xludf.DUMMYFUNCTION("""COMPUTED_VALUE"""),45344.0)</f>
        <v>45344</v>
      </c>
      <c r="C11493" s="13">
        <f>IFERROR(__xludf.DUMMYFUNCTION("""COMPUTED_VALUE"""),0.8333333333333334)</f>
        <v>0.8333333333</v>
      </c>
      <c r="D11493" s="8">
        <f>IFERROR(__xludf.DUMMYFUNCTION("""COMPUTED_VALUE"""),0.525)</f>
        <v>0.525</v>
      </c>
      <c r="E11493" s="8" t="str">
        <f>IFERROR(__xludf.DUMMYFUNCTION("""COMPUTED_VALUE"""),"Real")</f>
        <v>Real</v>
      </c>
      <c r="G11493" s="8">
        <f t="shared" si="1"/>
        <v>2</v>
      </c>
      <c r="H11493" s="14">
        <f t="shared" si="2"/>
        <v>22</v>
      </c>
      <c r="I11493" s="15">
        <f t="shared" si="3"/>
        <v>20</v>
      </c>
    </row>
    <row r="11494">
      <c r="A11494" s="8" t="str">
        <f>IFERROR(__xludf.DUMMYFUNCTION("IF('(INGESTA)Datos_consumo_datadis'!A11494&lt;&gt;"""",SPLIT('(INGESTA)Datos_consumo_datadis'!A:A,"",""),"""")"),"ES0031408323131005HX0F")</f>
        <v>ES0031408323131005HX0F</v>
      </c>
      <c r="B11494" s="12">
        <f>IFERROR(__xludf.DUMMYFUNCTION("""COMPUTED_VALUE"""),45344.0)</f>
        <v>45344</v>
      </c>
      <c r="C11494" s="13">
        <f>IFERROR(__xludf.DUMMYFUNCTION("""COMPUTED_VALUE"""),0.875)</f>
        <v>0.875</v>
      </c>
      <c r="D11494" s="8">
        <f>IFERROR(__xludf.DUMMYFUNCTION("""COMPUTED_VALUE"""),0.866)</f>
        <v>0.866</v>
      </c>
      <c r="E11494" s="8" t="str">
        <f>IFERROR(__xludf.DUMMYFUNCTION("""COMPUTED_VALUE"""),"Real")</f>
        <v>Real</v>
      </c>
      <c r="G11494" s="8">
        <f t="shared" si="1"/>
        <v>2</v>
      </c>
      <c r="H11494" s="14">
        <f t="shared" si="2"/>
        <v>22</v>
      </c>
      <c r="I11494" s="15">
        <f t="shared" si="3"/>
        <v>21</v>
      </c>
    </row>
    <row r="11495">
      <c r="A11495" s="8" t="str">
        <f>IFERROR(__xludf.DUMMYFUNCTION("IF('(INGESTA)Datos_consumo_datadis'!A11495&lt;&gt;"""",SPLIT('(INGESTA)Datos_consumo_datadis'!A:A,"",""),"""")"),"ES0031408323131005HX0F")</f>
        <v>ES0031408323131005HX0F</v>
      </c>
      <c r="B11495" s="12">
        <f>IFERROR(__xludf.DUMMYFUNCTION("""COMPUTED_VALUE"""),45344.0)</f>
        <v>45344</v>
      </c>
      <c r="C11495" s="13">
        <f>IFERROR(__xludf.DUMMYFUNCTION("""COMPUTED_VALUE"""),0.9166666666666666)</f>
        <v>0.9166666667</v>
      </c>
      <c r="D11495" s="8">
        <f>IFERROR(__xludf.DUMMYFUNCTION("""COMPUTED_VALUE"""),2.947)</f>
        <v>2.947</v>
      </c>
      <c r="E11495" s="8" t="str">
        <f>IFERROR(__xludf.DUMMYFUNCTION("""COMPUTED_VALUE"""),"Real")</f>
        <v>Real</v>
      </c>
      <c r="G11495" s="8">
        <f t="shared" si="1"/>
        <v>2</v>
      </c>
      <c r="H11495" s="14">
        <f t="shared" si="2"/>
        <v>22</v>
      </c>
      <c r="I11495" s="15">
        <f t="shared" si="3"/>
        <v>22</v>
      </c>
    </row>
    <row r="11496">
      <c r="A11496" s="8" t="str">
        <f>IFERROR(__xludf.DUMMYFUNCTION("IF('(INGESTA)Datos_consumo_datadis'!A11496&lt;&gt;"""",SPLIT('(INGESTA)Datos_consumo_datadis'!A:A,"",""),"""")"),"ES0031408323131005HX0F")</f>
        <v>ES0031408323131005HX0F</v>
      </c>
      <c r="B11496" s="12">
        <f>IFERROR(__xludf.DUMMYFUNCTION("""COMPUTED_VALUE"""),45344.0)</f>
        <v>45344</v>
      </c>
      <c r="C11496" s="13">
        <f>IFERROR(__xludf.DUMMYFUNCTION("""COMPUTED_VALUE"""),0.9583333333333334)</f>
        <v>0.9583333333</v>
      </c>
      <c r="D11496" s="8">
        <f>IFERROR(__xludf.DUMMYFUNCTION("""COMPUTED_VALUE"""),2.533)</f>
        <v>2.533</v>
      </c>
      <c r="E11496" s="8" t="str">
        <f>IFERROR(__xludf.DUMMYFUNCTION("""COMPUTED_VALUE"""),"Real")</f>
        <v>Real</v>
      </c>
      <c r="G11496" s="8">
        <f t="shared" si="1"/>
        <v>2</v>
      </c>
      <c r="H11496" s="14">
        <f t="shared" si="2"/>
        <v>22</v>
      </c>
      <c r="I11496" s="15">
        <f t="shared" si="3"/>
        <v>23</v>
      </c>
    </row>
    <row r="11497">
      <c r="A11497" s="8" t="str">
        <f>IFERROR(__xludf.DUMMYFUNCTION("IF('(INGESTA)Datos_consumo_datadis'!A11497&lt;&gt;"""",SPLIT('(INGESTA)Datos_consumo_datadis'!A:A,"",""),"""")"),"ES0031408323131005HX0F")</f>
        <v>ES0031408323131005HX0F</v>
      </c>
      <c r="B11497" s="12">
        <f>IFERROR(__xludf.DUMMYFUNCTION("""COMPUTED_VALUE"""),45344.0)</f>
        <v>45344</v>
      </c>
      <c r="C11497" s="16">
        <f>IFERROR(__xludf.DUMMYFUNCTION("""COMPUTED_VALUE"""),1.0)</f>
        <v>1</v>
      </c>
      <c r="D11497" s="8">
        <f>IFERROR(__xludf.DUMMYFUNCTION("""COMPUTED_VALUE"""),0.321)</f>
        <v>0.321</v>
      </c>
      <c r="E11497" s="8" t="str">
        <f>IFERROR(__xludf.DUMMYFUNCTION("""COMPUTED_VALUE"""),"Real")</f>
        <v>Real</v>
      </c>
      <c r="G11497" s="8">
        <f t="shared" si="1"/>
        <v>2</v>
      </c>
      <c r="H11497" s="14">
        <f t="shared" si="2"/>
        <v>22</v>
      </c>
      <c r="I11497" s="15">
        <f t="shared" si="3"/>
        <v>0</v>
      </c>
    </row>
    <row r="11498">
      <c r="A11498" s="8" t="str">
        <f>IFERROR(__xludf.DUMMYFUNCTION("IF('(INGESTA)Datos_consumo_datadis'!A11498&lt;&gt;"""",SPLIT('(INGESTA)Datos_consumo_datadis'!A:A,"",""),"""")"),"ES0031408323131005HX0F")</f>
        <v>ES0031408323131005HX0F</v>
      </c>
      <c r="B11498" s="12">
        <f>IFERROR(__xludf.DUMMYFUNCTION("""COMPUTED_VALUE"""),45345.0)</f>
        <v>45345</v>
      </c>
      <c r="C11498" s="13">
        <f>IFERROR(__xludf.DUMMYFUNCTION("""COMPUTED_VALUE"""),0.041666666666666664)</f>
        <v>0.04166666667</v>
      </c>
      <c r="D11498" s="8">
        <f>IFERROR(__xludf.DUMMYFUNCTION("""COMPUTED_VALUE"""),0.106)</f>
        <v>0.106</v>
      </c>
      <c r="E11498" s="8" t="str">
        <f>IFERROR(__xludf.DUMMYFUNCTION("""COMPUTED_VALUE"""),"Real")</f>
        <v>Real</v>
      </c>
      <c r="G11498" s="8">
        <f t="shared" si="1"/>
        <v>2</v>
      </c>
      <c r="H11498" s="14">
        <f t="shared" si="2"/>
        <v>23</v>
      </c>
      <c r="I11498" s="15">
        <f t="shared" si="3"/>
        <v>1</v>
      </c>
    </row>
    <row r="11499">
      <c r="A11499" s="8" t="str">
        <f>IFERROR(__xludf.DUMMYFUNCTION("IF('(INGESTA)Datos_consumo_datadis'!A11499&lt;&gt;"""",SPLIT('(INGESTA)Datos_consumo_datadis'!A:A,"",""),"""")"),"ES0031408323131005HX0F")</f>
        <v>ES0031408323131005HX0F</v>
      </c>
      <c r="B11499" s="12">
        <f>IFERROR(__xludf.DUMMYFUNCTION("""COMPUTED_VALUE"""),45345.0)</f>
        <v>45345</v>
      </c>
      <c r="C11499" s="13">
        <f>IFERROR(__xludf.DUMMYFUNCTION("""COMPUTED_VALUE"""),0.08333333333333333)</f>
        <v>0.08333333333</v>
      </c>
      <c r="D11499" s="8">
        <f>IFERROR(__xludf.DUMMYFUNCTION("""COMPUTED_VALUE"""),0.303)</f>
        <v>0.303</v>
      </c>
      <c r="E11499" s="8" t="str">
        <f>IFERROR(__xludf.DUMMYFUNCTION("""COMPUTED_VALUE"""),"Real")</f>
        <v>Real</v>
      </c>
      <c r="G11499" s="8">
        <f t="shared" si="1"/>
        <v>2</v>
      </c>
      <c r="H11499" s="14">
        <f t="shared" si="2"/>
        <v>23</v>
      </c>
      <c r="I11499" s="15">
        <f t="shared" si="3"/>
        <v>2</v>
      </c>
    </row>
    <row r="11500">
      <c r="A11500" s="8" t="str">
        <f>IFERROR(__xludf.DUMMYFUNCTION("IF('(INGESTA)Datos_consumo_datadis'!A11500&lt;&gt;"""",SPLIT('(INGESTA)Datos_consumo_datadis'!A:A,"",""),"""")"),"ES0031408323131005HX0F")</f>
        <v>ES0031408323131005HX0F</v>
      </c>
      <c r="B11500" s="12">
        <f>IFERROR(__xludf.DUMMYFUNCTION("""COMPUTED_VALUE"""),45345.0)</f>
        <v>45345</v>
      </c>
      <c r="C11500" s="13">
        <f>IFERROR(__xludf.DUMMYFUNCTION("""COMPUTED_VALUE"""),0.125)</f>
        <v>0.125</v>
      </c>
      <c r="D11500" s="8">
        <f>IFERROR(__xludf.DUMMYFUNCTION("""COMPUTED_VALUE"""),0.057)</f>
        <v>0.057</v>
      </c>
      <c r="E11500" s="8" t="str">
        <f>IFERROR(__xludf.DUMMYFUNCTION("""COMPUTED_VALUE"""),"Real")</f>
        <v>Real</v>
      </c>
      <c r="G11500" s="8">
        <f t="shared" si="1"/>
        <v>2</v>
      </c>
      <c r="H11500" s="14">
        <f t="shared" si="2"/>
        <v>23</v>
      </c>
      <c r="I11500" s="15">
        <f t="shared" si="3"/>
        <v>3</v>
      </c>
    </row>
    <row r="11501">
      <c r="A11501" s="8" t="str">
        <f>IFERROR(__xludf.DUMMYFUNCTION("IF('(INGESTA)Datos_consumo_datadis'!A11501&lt;&gt;"""",SPLIT('(INGESTA)Datos_consumo_datadis'!A:A,"",""),"""")"),"ES0031408323131005HX0F")</f>
        <v>ES0031408323131005HX0F</v>
      </c>
      <c r="B11501" s="12">
        <f>IFERROR(__xludf.DUMMYFUNCTION("""COMPUTED_VALUE"""),45345.0)</f>
        <v>45345</v>
      </c>
      <c r="C11501" s="13">
        <f>IFERROR(__xludf.DUMMYFUNCTION("""COMPUTED_VALUE"""),0.16666666666666666)</f>
        <v>0.1666666667</v>
      </c>
      <c r="D11501" s="8">
        <f>IFERROR(__xludf.DUMMYFUNCTION("""COMPUTED_VALUE"""),0.082)</f>
        <v>0.082</v>
      </c>
      <c r="E11501" s="8" t="str">
        <f>IFERROR(__xludf.DUMMYFUNCTION("""COMPUTED_VALUE"""),"Real")</f>
        <v>Real</v>
      </c>
      <c r="G11501" s="8">
        <f t="shared" si="1"/>
        <v>2</v>
      </c>
      <c r="H11501" s="14">
        <f t="shared" si="2"/>
        <v>23</v>
      </c>
      <c r="I11501" s="15">
        <f t="shared" si="3"/>
        <v>4</v>
      </c>
    </row>
    <row r="11502">
      <c r="A11502" s="8" t="str">
        <f>IFERROR(__xludf.DUMMYFUNCTION("IF('(INGESTA)Datos_consumo_datadis'!A11502&lt;&gt;"""",SPLIT('(INGESTA)Datos_consumo_datadis'!A:A,"",""),"""")"),"ES0031408323131005HX0F")</f>
        <v>ES0031408323131005HX0F</v>
      </c>
      <c r="B11502" s="12">
        <f>IFERROR(__xludf.DUMMYFUNCTION("""COMPUTED_VALUE"""),45345.0)</f>
        <v>45345</v>
      </c>
      <c r="C11502" s="13">
        <f>IFERROR(__xludf.DUMMYFUNCTION("""COMPUTED_VALUE"""),0.20833333333333334)</f>
        <v>0.2083333333</v>
      </c>
      <c r="D11502" s="8">
        <f>IFERROR(__xludf.DUMMYFUNCTION("""COMPUTED_VALUE"""),0.022)</f>
        <v>0.022</v>
      </c>
      <c r="E11502" s="8" t="str">
        <f>IFERROR(__xludf.DUMMYFUNCTION("""COMPUTED_VALUE"""),"Real")</f>
        <v>Real</v>
      </c>
      <c r="G11502" s="8">
        <f t="shared" si="1"/>
        <v>2</v>
      </c>
      <c r="H11502" s="14">
        <f t="shared" si="2"/>
        <v>23</v>
      </c>
      <c r="I11502" s="15">
        <f t="shared" si="3"/>
        <v>5</v>
      </c>
    </row>
    <row r="11503">
      <c r="A11503" s="8" t="str">
        <f>IFERROR(__xludf.DUMMYFUNCTION("IF('(INGESTA)Datos_consumo_datadis'!A11503&lt;&gt;"""",SPLIT('(INGESTA)Datos_consumo_datadis'!A:A,"",""),"""")"),"ES0031408323131005HX0F")</f>
        <v>ES0031408323131005HX0F</v>
      </c>
      <c r="B11503" s="12">
        <f>IFERROR(__xludf.DUMMYFUNCTION("""COMPUTED_VALUE"""),45345.0)</f>
        <v>45345</v>
      </c>
      <c r="C11503" s="13">
        <f>IFERROR(__xludf.DUMMYFUNCTION("""COMPUTED_VALUE"""),0.25)</f>
        <v>0.25</v>
      </c>
      <c r="D11503" s="8">
        <f>IFERROR(__xludf.DUMMYFUNCTION("""COMPUTED_VALUE"""),0.089)</f>
        <v>0.089</v>
      </c>
      <c r="E11503" s="8" t="str">
        <f>IFERROR(__xludf.DUMMYFUNCTION("""COMPUTED_VALUE"""),"Real")</f>
        <v>Real</v>
      </c>
      <c r="G11503" s="8">
        <f t="shared" si="1"/>
        <v>2</v>
      </c>
      <c r="H11503" s="14">
        <f t="shared" si="2"/>
        <v>23</v>
      </c>
      <c r="I11503" s="15">
        <f t="shared" si="3"/>
        <v>6</v>
      </c>
    </row>
    <row r="11504">
      <c r="A11504" s="8" t="str">
        <f>IFERROR(__xludf.DUMMYFUNCTION("IF('(INGESTA)Datos_consumo_datadis'!A11504&lt;&gt;"""",SPLIT('(INGESTA)Datos_consumo_datadis'!A:A,"",""),"""")"),"ES0031408323131005HX0F")</f>
        <v>ES0031408323131005HX0F</v>
      </c>
      <c r="B11504" s="12">
        <f>IFERROR(__xludf.DUMMYFUNCTION("""COMPUTED_VALUE"""),45345.0)</f>
        <v>45345</v>
      </c>
      <c r="C11504" s="13">
        <f>IFERROR(__xludf.DUMMYFUNCTION("""COMPUTED_VALUE"""),0.2916666666666667)</f>
        <v>0.2916666667</v>
      </c>
      <c r="D11504" s="8">
        <f>IFERROR(__xludf.DUMMYFUNCTION("""COMPUTED_VALUE"""),0.051)</f>
        <v>0.051</v>
      </c>
      <c r="E11504" s="8" t="str">
        <f>IFERROR(__xludf.DUMMYFUNCTION("""COMPUTED_VALUE"""),"Real")</f>
        <v>Real</v>
      </c>
      <c r="G11504" s="8">
        <f t="shared" si="1"/>
        <v>2</v>
      </c>
      <c r="H11504" s="14">
        <f t="shared" si="2"/>
        <v>23</v>
      </c>
      <c r="I11504" s="15">
        <f t="shared" si="3"/>
        <v>7</v>
      </c>
    </row>
    <row r="11505">
      <c r="A11505" s="8" t="str">
        <f>IFERROR(__xludf.DUMMYFUNCTION("IF('(INGESTA)Datos_consumo_datadis'!A11505&lt;&gt;"""",SPLIT('(INGESTA)Datos_consumo_datadis'!A:A,"",""),"""")"),"ES0031408323131005HX0F")</f>
        <v>ES0031408323131005HX0F</v>
      </c>
      <c r="B11505" s="12">
        <f>IFERROR(__xludf.DUMMYFUNCTION("""COMPUTED_VALUE"""),45345.0)</f>
        <v>45345</v>
      </c>
      <c r="C11505" s="13">
        <f>IFERROR(__xludf.DUMMYFUNCTION("""COMPUTED_VALUE"""),0.3333333333333333)</f>
        <v>0.3333333333</v>
      </c>
      <c r="D11505" s="8">
        <f>IFERROR(__xludf.DUMMYFUNCTION("""COMPUTED_VALUE"""),0.578)</f>
        <v>0.578</v>
      </c>
      <c r="E11505" s="8" t="str">
        <f>IFERROR(__xludf.DUMMYFUNCTION("""COMPUTED_VALUE"""),"Real")</f>
        <v>Real</v>
      </c>
      <c r="G11505" s="8">
        <f t="shared" si="1"/>
        <v>2</v>
      </c>
      <c r="H11505" s="14">
        <f t="shared" si="2"/>
        <v>23</v>
      </c>
      <c r="I11505" s="15">
        <f t="shared" si="3"/>
        <v>8</v>
      </c>
    </row>
    <row r="11506">
      <c r="A11506" s="8" t="str">
        <f>IFERROR(__xludf.DUMMYFUNCTION("IF('(INGESTA)Datos_consumo_datadis'!A11506&lt;&gt;"""",SPLIT('(INGESTA)Datos_consumo_datadis'!A:A,"",""),"""")"),"ES0031408323131005HX0F")</f>
        <v>ES0031408323131005HX0F</v>
      </c>
      <c r="B11506" s="12">
        <f>IFERROR(__xludf.DUMMYFUNCTION("""COMPUTED_VALUE"""),45345.0)</f>
        <v>45345</v>
      </c>
      <c r="C11506" s="13">
        <f>IFERROR(__xludf.DUMMYFUNCTION("""COMPUTED_VALUE"""),0.375)</f>
        <v>0.375</v>
      </c>
      <c r="D11506" s="8">
        <f>IFERROR(__xludf.DUMMYFUNCTION("""COMPUTED_VALUE"""),0.446)</f>
        <v>0.446</v>
      </c>
      <c r="E11506" s="8" t="str">
        <f>IFERROR(__xludf.DUMMYFUNCTION("""COMPUTED_VALUE"""),"Real")</f>
        <v>Real</v>
      </c>
      <c r="G11506" s="8">
        <f t="shared" si="1"/>
        <v>2</v>
      </c>
      <c r="H11506" s="14">
        <f t="shared" si="2"/>
        <v>23</v>
      </c>
      <c r="I11506" s="15">
        <f t="shared" si="3"/>
        <v>9</v>
      </c>
    </row>
    <row r="11507">
      <c r="A11507" s="8" t="str">
        <f>IFERROR(__xludf.DUMMYFUNCTION("IF('(INGESTA)Datos_consumo_datadis'!A11507&lt;&gt;"""",SPLIT('(INGESTA)Datos_consumo_datadis'!A:A,"",""),"""")"),"ES0031408323131005HX0F")</f>
        <v>ES0031408323131005HX0F</v>
      </c>
      <c r="B11507" s="12">
        <f>IFERROR(__xludf.DUMMYFUNCTION("""COMPUTED_VALUE"""),45345.0)</f>
        <v>45345</v>
      </c>
      <c r="C11507" s="13">
        <f>IFERROR(__xludf.DUMMYFUNCTION("""COMPUTED_VALUE"""),0.4166666666666667)</f>
        <v>0.4166666667</v>
      </c>
      <c r="D11507" s="8">
        <f>IFERROR(__xludf.DUMMYFUNCTION("""COMPUTED_VALUE"""),0.154)</f>
        <v>0.154</v>
      </c>
      <c r="E11507" s="8" t="str">
        <f>IFERROR(__xludf.DUMMYFUNCTION("""COMPUTED_VALUE"""),"Real")</f>
        <v>Real</v>
      </c>
      <c r="G11507" s="8">
        <f t="shared" si="1"/>
        <v>2</v>
      </c>
      <c r="H11507" s="14">
        <f t="shared" si="2"/>
        <v>23</v>
      </c>
      <c r="I11507" s="15">
        <f t="shared" si="3"/>
        <v>10</v>
      </c>
    </row>
    <row r="11508">
      <c r="A11508" s="8" t="str">
        <f>IFERROR(__xludf.DUMMYFUNCTION("IF('(INGESTA)Datos_consumo_datadis'!A11508&lt;&gt;"""",SPLIT('(INGESTA)Datos_consumo_datadis'!A:A,"",""),"""")"),"ES0031408323131005HX0F")</f>
        <v>ES0031408323131005HX0F</v>
      </c>
      <c r="B11508" s="12">
        <f>IFERROR(__xludf.DUMMYFUNCTION("""COMPUTED_VALUE"""),45345.0)</f>
        <v>45345</v>
      </c>
      <c r="C11508" s="13">
        <f>IFERROR(__xludf.DUMMYFUNCTION("""COMPUTED_VALUE"""),0.4583333333333333)</f>
        <v>0.4583333333</v>
      </c>
      <c r="D11508" s="8">
        <f>IFERROR(__xludf.DUMMYFUNCTION("""COMPUTED_VALUE"""),0.751)</f>
        <v>0.751</v>
      </c>
      <c r="E11508" s="8" t="str">
        <f>IFERROR(__xludf.DUMMYFUNCTION("""COMPUTED_VALUE"""),"Real")</f>
        <v>Real</v>
      </c>
      <c r="G11508" s="8">
        <f t="shared" si="1"/>
        <v>2</v>
      </c>
      <c r="H11508" s="14">
        <f t="shared" si="2"/>
        <v>23</v>
      </c>
      <c r="I11508" s="15">
        <f t="shared" si="3"/>
        <v>11</v>
      </c>
    </row>
    <row r="11509">
      <c r="A11509" s="8" t="str">
        <f>IFERROR(__xludf.DUMMYFUNCTION("IF('(INGESTA)Datos_consumo_datadis'!A11509&lt;&gt;"""",SPLIT('(INGESTA)Datos_consumo_datadis'!A:A,"",""),"""")"),"ES0031408323131005HX0F")</f>
        <v>ES0031408323131005HX0F</v>
      </c>
      <c r="B11509" s="12">
        <f>IFERROR(__xludf.DUMMYFUNCTION("""COMPUTED_VALUE"""),45345.0)</f>
        <v>45345</v>
      </c>
      <c r="C11509" s="13">
        <f>IFERROR(__xludf.DUMMYFUNCTION("""COMPUTED_VALUE"""),0.5)</f>
        <v>0.5</v>
      </c>
      <c r="D11509" s="8">
        <f>IFERROR(__xludf.DUMMYFUNCTION("""COMPUTED_VALUE"""),1.155)</f>
        <v>1.155</v>
      </c>
      <c r="E11509" s="8" t="str">
        <f>IFERROR(__xludf.DUMMYFUNCTION("""COMPUTED_VALUE"""),"Real")</f>
        <v>Real</v>
      </c>
      <c r="G11509" s="8">
        <f t="shared" si="1"/>
        <v>2</v>
      </c>
      <c r="H11509" s="14">
        <f t="shared" si="2"/>
        <v>23</v>
      </c>
      <c r="I11509" s="15">
        <f t="shared" si="3"/>
        <v>12</v>
      </c>
    </row>
    <row r="11510">
      <c r="A11510" s="8" t="str">
        <f>IFERROR(__xludf.DUMMYFUNCTION("IF('(INGESTA)Datos_consumo_datadis'!A11510&lt;&gt;"""",SPLIT('(INGESTA)Datos_consumo_datadis'!A:A,"",""),"""")"),"ES0031408323131005HX0F")</f>
        <v>ES0031408323131005HX0F</v>
      </c>
      <c r="B11510" s="12">
        <f>IFERROR(__xludf.DUMMYFUNCTION("""COMPUTED_VALUE"""),45345.0)</f>
        <v>45345</v>
      </c>
      <c r="C11510" s="13">
        <f>IFERROR(__xludf.DUMMYFUNCTION("""COMPUTED_VALUE"""),0.5416666666666666)</f>
        <v>0.5416666667</v>
      </c>
      <c r="D11510" s="8">
        <f>IFERROR(__xludf.DUMMYFUNCTION("""COMPUTED_VALUE"""),0.052)</f>
        <v>0.052</v>
      </c>
      <c r="E11510" s="8" t="str">
        <f>IFERROR(__xludf.DUMMYFUNCTION("""COMPUTED_VALUE"""),"Real")</f>
        <v>Real</v>
      </c>
      <c r="G11510" s="8">
        <f t="shared" si="1"/>
        <v>2</v>
      </c>
      <c r="H11510" s="14">
        <f t="shared" si="2"/>
        <v>23</v>
      </c>
      <c r="I11510" s="15">
        <f t="shared" si="3"/>
        <v>13</v>
      </c>
    </row>
    <row r="11511">
      <c r="A11511" s="8" t="str">
        <f>IFERROR(__xludf.DUMMYFUNCTION("IF('(INGESTA)Datos_consumo_datadis'!A11511&lt;&gt;"""",SPLIT('(INGESTA)Datos_consumo_datadis'!A:A,"",""),"""")"),"ES0031408323131005HX0F")</f>
        <v>ES0031408323131005HX0F</v>
      </c>
      <c r="B11511" s="12">
        <f>IFERROR(__xludf.DUMMYFUNCTION("""COMPUTED_VALUE"""),45345.0)</f>
        <v>45345</v>
      </c>
      <c r="C11511" s="13">
        <f>IFERROR(__xludf.DUMMYFUNCTION("""COMPUTED_VALUE"""),0.5833333333333334)</f>
        <v>0.5833333333</v>
      </c>
      <c r="D11511" s="8">
        <f>IFERROR(__xludf.DUMMYFUNCTION("""COMPUTED_VALUE"""),0.044)</f>
        <v>0.044</v>
      </c>
      <c r="E11511" s="8" t="str">
        <f>IFERROR(__xludf.DUMMYFUNCTION("""COMPUTED_VALUE"""),"Real")</f>
        <v>Real</v>
      </c>
      <c r="G11511" s="8">
        <f t="shared" si="1"/>
        <v>2</v>
      </c>
      <c r="H11511" s="14">
        <f t="shared" si="2"/>
        <v>23</v>
      </c>
      <c r="I11511" s="15">
        <f t="shared" si="3"/>
        <v>14</v>
      </c>
    </row>
    <row r="11512">
      <c r="A11512" s="8" t="str">
        <f>IFERROR(__xludf.DUMMYFUNCTION("IF('(INGESTA)Datos_consumo_datadis'!A11512&lt;&gt;"""",SPLIT('(INGESTA)Datos_consumo_datadis'!A:A,"",""),"""")"),"ES0031408323131005HX0F")</f>
        <v>ES0031408323131005HX0F</v>
      </c>
      <c r="B11512" s="12">
        <f>IFERROR(__xludf.DUMMYFUNCTION("""COMPUTED_VALUE"""),45345.0)</f>
        <v>45345</v>
      </c>
      <c r="C11512" s="13">
        <f>IFERROR(__xludf.DUMMYFUNCTION("""COMPUTED_VALUE"""),0.625)</f>
        <v>0.625</v>
      </c>
      <c r="D11512" s="8">
        <f>IFERROR(__xludf.DUMMYFUNCTION("""COMPUTED_VALUE"""),0.671)</f>
        <v>0.671</v>
      </c>
      <c r="E11512" s="8" t="str">
        <f>IFERROR(__xludf.DUMMYFUNCTION("""COMPUTED_VALUE"""),"Real")</f>
        <v>Real</v>
      </c>
      <c r="G11512" s="8">
        <f t="shared" si="1"/>
        <v>2</v>
      </c>
      <c r="H11512" s="14">
        <f t="shared" si="2"/>
        <v>23</v>
      </c>
      <c r="I11512" s="15">
        <f t="shared" si="3"/>
        <v>15</v>
      </c>
    </row>
    <row r="11513">
      <c r="A11513" s="8" t="str">
        <f>IFERROR(__xludf.DUMMYFUNCTION("IF('(INGESTA)Datos_consumo_datadis'!A11513&lt;&gt;"""",SPLIT('(INGESTA)Datos_consumo_datadis'!A:A,"",""),"""")"),"ES0031408323131005HX0F")</f>
        <v>ES0031408323131005HX0F</v>
      </c>
      <c r="B11513" s="12">
        <f>IFERROR(__xludf.DUMMYFUNCTION("""COMPUTED_VALUE"""),45345.0)</f>
        <v>45345</v>
      </c>
      <c r="C11513" s="13">
        <f>IFERROR(__xludf.DUMMYFUNCTION("""COMPUTED_VALUE"""),0.6666666666666666)</f>
        <v>0.6666666667</v>
      </c>
      <c r="D11513" s="8">
        <f>IFERROR(__xludf.DUMMYFUNCTION("""COMPUTED_VALUE"""),0.746)</f>
        <v>0.746</v>
      </c>
      <c r="E11513" s="8" t="str">
        <f>IFERROR(__xludf.DUMMYFUNCTION("""COMPUTED_VALUE"""),"Real")</f>
        <v>Real</v>
      </c>
      <c r="G11513" s="8">
        <f t="shared" si="1"/>
        <v>2</v>
      </c>
      <c r="H11513" s="14">
        <f t="shared" si="2"/>
        <v>23</v>
      </c>
      <c r="I11513" s="15">
        <f t="shared" si="3"/>
        <v>16</v>
      </c>
    </row>
    <row r="11514">
      <c r="A11514" s="8" t="str">
        <f>IFERROR(__xludf.DUMMYFUNCTION("IF('(INGESTA)Datos_consumo_datadis'!A11514&lt;&gt;"""",SPLIT('(INGESTA)Datos_consumo_datadis'!A:A,"",""),"""")"),"ES0031408323131005HX0F")</f>
        <v>ES0031408323131005HX0F</v>
      </c>
      <c r="B11514" s="12">
        <f>IFERROR(__xludf.DUMMYFUNCTION("""COMPUTED_VALUE"""),45345.0)</f>
        <v>45345</v>
      </c>
      <c r="C11514" s="13">
        <f>IFERROR(__xludf.DUMMYFUNCTION("""COMPUTED_VALUE"""),0.7083333333333334)</f>
        <v>0.7083333333</v>
      </c>
      <c r="D11514" s="8">
        <f>IFERROR(__xludf.DUMMYFUNCTION("""COMPUTED_VALUE"""),0.834)</f>
        <v>0.834</v>
      </c>
      <c r="E11514" s="8" t="str">
        <f>IFERROR(__xludf.DUMMYFUNCTION("""COMPUTED_VALUE"""),"Real")</f>
        <v>Real</v>
      </c>
      <c r="G11514" s="8">
        <f t="shared" si="1"/>
        <v>2</v>
      </c>
      <c r="H11514" s="14">
        <f t="shared" si="2"/>
        <v>23</v>
      </c>
      <c r="I11514" s="15">
        <f t="shared" si="3"/>
        <v>17</v>
      </c>
    </row>
    <row r="11515">
      <c r="A11515" s="8" t="str">
        <f>IFERROR(__xludf.DUMMYFUNCTION("IF('(INGESTA)Datos_consumo_datadis'!A11515&lt;&gt;"""",SPLIT('(INGESTA)Datos_consumo_datadis'!A:A,"",""),"""")"),"ES0031408323131005HX0F")</f>
        <v>ES0031408323131005HX0F</v>
      </c>
      <c r="B11515" s="12">
        <f>IFERROR(__xludf.DUMMYFUNCTION("""COMPUTED_VALUE"""),45345.0)</f>
        <v>45345</v>
      </c>
      <c r="C11515" s="13">
        <f>IFERROR(__xludf.DUMMYFUNCTION("""COMPUTED_VALUE"""),0.75)</f>
        <v>0.75</v>
      </c>
      <c r="D11515" s="8">
        <f>IFERROR(__xludf.DUMMYFUNCTION("""COMPUTED_VALUE"""),0.071)</f>
        <v>0.071</v>
      </c>
      <c r="E11515" s="8" t="str">
        <f>IFERROR(__xludf.DUMMYFUNCTION("""COMPUTED_VALUE"""),"Real")</f>
        <v>Real</v>
      </c>
      <c r="G11515" s="8">
        <f t="shared" si="1"/>
        <v>2</v>
      </c>
      <c r="H11515" s="14">
        <f t="shared" si="2"/>
        <v>23</v>
      </c>
      <c r="I11515" s="15">
        <f t="shared" si="3"/>
        <v>18</v>
      </c>
    </row>
    <row r="11516">
      <c r="A11516" s="8" t="str">
        <f>IFERROR(__xludf.DUMMYFUNCTION("IF('(INGESTA)Datos_consumo_datadis'!A11516&lt;&gt;"""",SPLIT('(INGESTA)Datos_consumo_datadis'!A:A,"",""),"""")"),"ES0031408323131005HX0F")</f>
        <v>ES0031408323131005HX0F</v>
      </c>
      <c r="B11516" s="12">
        <f>IFERROR(__xludf.DUMMYFUNCTION("""COMPUTED_VALUE"""),45345.0)</f>
        <v>45345</v>
      </c>
      <c r="C11516" s="13">
        <f>IFERROR(__xludf.DUMMYFUNCTION("""COMPUTED_VALUE"""),0.7916666666666666)</f>
        <v>0.7916666667</v>
      </c>
      <c r="D11516" s="8">
        <f>IFERROR(__xludf.DUMMYFUNCTION("""COMPUTED_VALUE"""),0.099)</f>
        <v>0.099</v>
      </c>
      <c r="E11516" s="8" t="str">
        <f>IFERROR(__xludf.DUMMYFUNCTION("""COMPUTED_VALUE"""),"Real")</f>
        <v>Real</v>
      </c>
      <c r="G11516" s="8">
        <f t="shared" si="1"/>
        <v>2</v>
      </c>
      <c r="H11516" s="14">
        <f t="shared" si="2"/>
        <v>23</v>
      </c>
      <c r="I11516" s="15">
        <f t="shared" si="3"/>
        <v>19</v>
      </c>
    </row>
    <row r="11517">
      <c r="A11517" s="8" t="str">
        <f>IFERROR(__xludf.DUMMYFUNCTION("IF('(INGESTA)Datos_consumo_datadis'!A11517&lt;&gt;"""",SPLIT('(INGESTA)Datos_consumo_datadis'!A:A,"",""),"""")"),"ES0031408323131005HX0F")</f>
        <v>ES0031408323131005HX0F</v>
      </c>
      <c r="B11517" s="12">
        <f>IFERROR(__xludf.DUMMYFUNCTION("""COMPUTED_VALUE"""),45345.0)</f>
        <v>45345</v>
      </c>
      <c r="C11517" s="13">
        <f>IFERROR(__xludf.DUMMYFUNCTION("""COMPUTED_VALUE"""),0.8333333333333334)</f>
        <v>0.8333333333</v>
      </c>
      <c r="D11517" s="8">
        <f>IFERROR(__xludf.DUMMYFUNCTION("""COMPUTED_VALUE"""),3.077)</f>
        <v>3.077</v>
      </c>
      <c r="E11517" s="8" t="str">
        <f>IFERROR(__xludf.DUMMYFUNCTION("""COMPUTED_VALUE"""),"Real")</f>
        <v>Real</v>
      </c>
      <c r="G11517" s="8">
        <f t="shared" si="1"/>
        <v>2</v>
      </c>
      <c r="H11517" s="14">
        <f t="shared" si="2"/>
        <v>23</v>
      </c>
      <c r="I11517" s="15">
        <f t="shared" si="3"/>
        <v>20</v>
      </c>
    </row>
    <row r="11518">
      <c r="A11518" s="8" t="str">
        <f>IFERROR(__xludf.DUMMYFUNCTION("IF('(INGESTA)Datos_consumo_datadis'!A11518&lt;&gt;"""",SPLIT('(INGESTA)Datos_consumo_datadis'!A:A,"",""),"""")"),"ES0031408323131005HX0F")</f>
        <v>ES0031408323131005HX0F</v>
      </c>
      <c r="B11518" s="12">
        <f>IFERROR(__xludf.DUMMYFUNCTION("""COMPUTED_VALUE"""),45345.0)</f>
        <v>45345</v>
      </c>
      <c r="C11518" s="13">
        <f>IFERROR(__xludf.DUMMYFUNCTION("""COMPUTED_VALUE"""),0.875)</f>
        <v>0.875</v>
      </c>
      <c r="D11518" s="8">
        <f>IFERROR(__xludf.DUMMYFUNCTION("""COMPUTED_VALUE"""),3.531)</f>
        <v>3.531</v>
      </c>
      <c r="E11518" s="8" t="str">
        <f>IFERROR(__xludf.DUMMYFUNCTION("""COMPUTED_VALUE"""),"Real")</f>
        <v>Real</v>
      </c>
      <c r="G11518" s="8">
        <f t="shared" si="1"/>
        <v>2</v>
      </c>
      <c r="H11518" s="14">
        <f t="shared" si="2"/>
        <v>23</v>
      </c>
      <c r="I11518" s="15">
        <f t="shared" si="3"/>
        <v>21</v>
      </c>
    </row>
    <row r="11519">
      <c r="A11519" s="8" t="str">
        <f>IFERROR(__xludf.DUMMYFUNCTION("IF('(INGESTA)Datos_consumo_datadis'!A11519&lt;&gt;"""",SPLIT('(INGESTA)Datos_consumo_datadis'!A:A,"",""),"""")"),"ES0031408323131005HX0F")</f>
        <v>ES0031408323131005HX0F</v>
      </c>
      <c r="B11519" s="12">
        <f>IFERROR(__xludf.DUMMYFUNCTION("""COMPUTED_VALUE"""),45345.0)</f>
        <v>45345</v>
      </c>
      <c r="C11519" s="13">
        <f>IFERROR(__xludf.DUMMYFUNCTION("""COMPUTED_VALUE"""),0.9166666666666666)</f>
        <v>0.9166666667</v>
      </c>
      <c r="D11519" s="8">
        <f>IFERROR(__xludf.DUMMYFUNCTION("""COMPUTED_VALUE"""),2.075)</f>
        <v>2.075</v>
      </c>
      <c r="E11519" s="8" t="str">
        <f>IFERROR(__xludf.DUMMYFUNCTION("""COMPUTED_VALUE"""),"Real")</f>
        <v>Real</v>
      </c>
      <c r="G11519" s="8">
        <f t="shared" si="1"/>
        <v>2</v>
      </c>
      <c r="H11519" s="14">
        <f t="shared" si="2"/>
        <v>23</v>
      </c>
      <c r="I11519" s="15">
        <f t="shared" si="3"/>
        <v>22</v>
      </c>
    </row>
    <row r="11520">
      <c r="A11520" s="8" t="str">
        <f>IFERROR(__xludf.DUMMYFUNCTION("IF('(INGESTA)Datos_consumo_datadis'!A11520&lt;&gt;"""",SPLIT('(INGESTA)Datos_consumo_datadis'!A:A,"",""),"""")"),"ES0031408323131005HX0F")</f>
        <v>ES0031408323131005HX0F</v>
      </c>
      <c r="B11520" s="12">
        <f>IFERROR(__xludf.DUMMYFUNCTION("""COMPUTED_VALUE"""),45345.0)</f>
        <v>45345</v>
      </c>
      <c r="C11520" s="13">
        <f>IFERROR(__xludf.DUMMYFUNCTION("""COMPUTED_VALUE"""),0.9583333333333334)</f>
        <v>0.9583333333</v>
      </c>
      <c r="D11520" s="8">
        <f>IFERROR(__xludf.DUMMYFUNCTION("""COMPUTED_VALUE"""),1.517)</f>
        <v>1.517</v>
      </c>
      <c r="E11520" s="8" t="str">
        <f>IFERROR(__xludf.DUMMYFUNCTION("""COMPUTED_VALUE"""),"Real")</f>
        <v>Real</v>
      </c>
      <c r="G11520" s="8">
        <f t="shared" si="1"/>
        <v>2</v>
      </c>
      <c r="H11520" s="14">
        <f t="shared" si="2"/>
        <v>23</v>
      </c>
      <c r="I11520" s="15">
        <f t="shared" si="3"/>
        <v>23</v>
      </c>
    </row>
    <row r="11521">
      <c r="A11521" s="8" t="str">
        <f>IFERROR(__xludf.DUMMYFUNCTION("IF('(INGESTA)Datos_consumo_datadis'!A11521&lt;&gt;"""",SPLIT('(INGESTA)Datos_consumo_datadis'!A:A,"",""),"""")"),"ES0031408323131005HX0F")</f>
        <v>ES0031408323131005HX0F</v>
      </c>
      <c r="B11521" s="12">
        <f>IFERROR(__xludf.DUMMYFUNCTION("""COMPUTED_VALUE"""),45345.0)</f>
        <v>45345</v>
      </c>
      <c r="C11521" s="16">
        <f>IFERROR(__xludf.DUMMYFUNCTION("""COMPUTED_VALUE"""),1.0)</f>
        <v>1</v>
      </c>
      <c r="D11521" s="8">
        <f>IFERROR(__xludf.DUMMYFUNCTION("""COMPUTED_VALUE"""),0.124)</f>
        <v>0.124</v>
      </c>
      <c r="E11521" s="8" t="str">
        <f>IFERROR(__xludf.DUMMYFUNCTION("""COMPUTED_VALUE"""),"Real")</f>
        <v>Real</v>
      </c>
      <c r="G11521" s="8">
        <f t="shared" si="1"/>
        <v>2</v>
      </c>
      <c r="H11521" s="14">
        <f t="shared" si="2"/>
        <v>23</v>
      </c>
      <c r="I11521" s="15">
        <f t="shared" si="3"/>
        <v>0</v>
      </c>
    </row>
    <row r="11522">
      <c r="A11522" s="8" t="str">
        <f>IFERROR(__xludf.DUMMYFUNCTION("IF('(INGESTA)Datos_consumo_datadis'!A11522&lt;&gt;"""",SPLIT('(INGESTA)Datos_consumo_datadis'!A:A,"",""),"""")"),"ES0031408323131005HX0F")</f>
        <v>ES0031408323131005HX0F</v>
      </c>
      <c r="B11522" s="12">
        <f>IFERROR(__xludf.DUMMYFUNCTION("""COMPUTED_VALUE"""),45346.0)</f>
        <v>45346</v>
      </c>
      <c r="C11522" s="13">
        <f>IFERROR(__xludf.DUMMYFUNCTION("""COMPUTED_VALUE"""),0.041666666666666664)</f>
        <v>0.04166666667</v>
      </c>
      <c r="D11522" s="8">
        <f>IFERROR(__xludf.DUMMYFUNCTION("""COMPUTED_VALUE"""),0.107)</f>
        <v>0.107</v>
      </c>
      <c r="E11522" s="8" t="str">
        <f>IFERROR(__xludf.DUMMYFUNCTION("""COMPUTED_VALUE"""),"Real")</f>
        <v>Real</v>
      </c>
      <c r="G11522" s="8">
        <f t="shared" si="1"/>
        <v>2</v>
      </c>
      <c r="H11522" s="14">
        <f t="shared" si="2"/>
        <v>24</v>
      </c>
      <c r="I11522" s="15">
        <f t="shared" si="3"/>
        <v>1</v>
      </c>
    </row>
    <row r="11523">
      <c r="A11523" s="8" t="str">
        <f>IFERROR(__xludf.DUMMYFUNCTION("IF('(INGESTA)Datos_consumo_datadis'!A11523&lt;&gt;"""",SPLIT('(INGESTA)Datos_consumo_datadis'!A:A,"",""),"""")"),"ES0031408323131005HX0F")</f>
        <v>ES0031408323131005HX0F</v>
      </c>
      <c r="B11523" s="12">
        <f>IFERROR(__xludf.DUMMYFUNCTION("""COMPUTED_VALUE"""),45346.0)</f>
        <v>45346</v>
      </c>
      <c r="C11523" s="13">
        <f>IFERROR(__xludf.DUMMYFUNCTION("""COMPUTED_VALUE"""),0.08333333333333333)</f>
        <v>0.08333333333</v>
      </c>
      <c r="D11523" s="8">
        <f>IFERROR(__xludf.DUMMYFUNCTION("""COMPUTED_VALUE"""),0.342)</f>
        <v>0.342</v>
      </c>
      <c r="E11523" s="8" t="str">
        <f>IFERROR(__xludf.DUMMYFUNCTION("""COMPUTED_VALUE"""),"Real")</f>
        <v>Real</v>
      </c>
      <c r="G11523" s="8">
        <f t="shared" si="1"/>
        <v>2</v>
      </c>
      <c r="H11523" s="14">
        <f t="shared" si="2"/>
        <v>24</v>
      </c>
      <c r="I11523" s="15">
        <f t="shared" si="3"/>
        <v>2</v>
      </c>
    </row>
    <row r="11524">
      <c r="A11524" s="8" t="str">
        <f>IFERROR(__xludf.DUMMYFUNCTION("IF('(INGESTA)Datos_consumo_datadis'!A11524&lt;&gt;"""",SPLIT('(INGESTA)Datos_consumo_datadis'!A:A,"",""),"""")"),"ES0031408323131005HX0F")</f>
        <v>ES0031408323131005HX0F</v>
      </c>
      <c r="B11524" s="12">
        <f>IFERROR(__xludf.DUMMYFUNCTION("""COMPUTED_VALUE"""),45346.0)</f>
        <v>45346</v>
      </c>
      <c r="C11524" s="13">
        <f>IFERROR(__xludf.DUMMYFUNCTION("""COMPUTED_VALUE"""),0.125)</f>
        <v>0.125</v>
      </c>
      <c r="D11524" s="8">
        <f>IFERROR(__xludf.DUMMYFUNCTION("""COMPUTED_VALUE"""),0.045)</f>
        <v>0.045</v>
      </c>
      <c r="E11524" s="8" t="str">
        <f>IFERROR(__xludf.DUMMYFUNCTION("""COMPUTED_VALUE"""),"Real")</f>
        <v>Real</v>
      </c>
      <c r="G11524" s="8">
        <f t="shared" si="1"/>
        <v>2</v>
      </c>
      <c r="H11524" s="14">
        <f t="shared" si="2"/>
        <v>24</v>
      </c>
      <c r="I11524" s="15">
        <f t="shared" si="3"/>
        <v>3</v>
      </c>
    </row>
    <row r="11525">
      <c r="A11525" s="8" t="str">
        <f>IFERROR(__xludf.DUMMYFUNCTION("IF('(INGESTA)Datos_consumo_datadis'!A11525&lt;&gt;"""",SPLIT('(INGESTA)Datos_consumo_datadis'!A:A,"",""),"""")"),"ES0031408323131005HX0F")</f>
        <v>ES0031408323131005HX0F</v>
      </c>
      <c r="B11525" s="12">
        <f>IFERROR(__xludf.DUMMYFUNCTION("""COMPUTED_VALUE"""),45346.0)</f>
        <v>45346</v>
      </c>
      <c r="C11525" s="13">
        <f>IFERROR(__xludf.DUMMYFUNCTION("""COMPUTED_VALUE"""),0.16666666666666666)</f>
        <v>0.1666666667</v>
      </c>
      <c r="D11525" s="8">
        <f>IFERROR(__xludf.DUMMYFUNCTION("""COMPUTED_VALUE"""),0.108)</f>
        <v>0.108</v>
      </c>
      <c r="E11525" s="8" t="str">
        <f>IFERROR(__xludf.DUMMYFUNCTION("""COMPUTED_VALUE"""),"Real")</f>
        <v>Real</v>
      </c>
      <c r="G11525" s="8">
        <f t="shared" si="1"/>
        <v>2</v>
      </c>
      <c r="H11525" s="14">
        <f t="shared" si="2"/>
        <v>24</v>
      </c>
      <c r="I11525" s="15">
        <f t="shared" si="3"/>
        <v>4</v>
      </c>
    </row>
    <row r="11526">
      <c r="A11526" s="8" t="str">
        <f>IFERROR(__xludf.DUMMYFUNCTION("IF('(INGESTA)Datos_consumo_datadis'!A11526&lt;&gt;"""",SPLIT('(INGESTA)Datos_consumo_datadis'!A:A,"",""),"""")"),"ES0031408323131005HX0F")</f>
        <v>ES0031408323131005HX0F</v>
      </c>
      <c r="B11526" s="12">
        <f>IFERROR(__xludf.DUMMYFUNCTION("""COMPUTED_VALUE"""),45346.0)</f>
        <v>45346</v>
      </c>
      <c r="C11526" s="13">
        <f>IFERROR(__xludf.DUMMYFUNCTION("""COMPUTED_VALUE"""),0.20833333333333334)</f>
        <v>0.2083333333</v>
      </c>
      <c r="D11526" s="8">
        <f>IFERROR(__xludf.DUMMYFUNCTION("""COMPUTED_VALUE"""),0.069)</f>
        <v>0.069</v>
      </c>
      <c r="E11526" s="8" t="str">
        <f>IFERROR(__xludf.DUMMYFUNCTION("""COMPUTED_VALUE"""),"Real")</f>
        <v>Real</v>
      </c>
      <c r="G11526" s="8">
        <f t="shared" si="1"/>
        <v>2</v>
      </c>
      <c r="H11526" s="14">
        <f t="shared" si="2"/>
        <v>24</v>
      </c>
      <c r="I11526" s="15">
        <f t="shared" si="3"/>
        <v>5</v>
      </c>
    </row>
    <row r="11527">
      <c r="A11527" s="8" t="str">
        <f>IFERROR(__xludf.DUMMYFUNCTION("IF('(INGESTA)Datos_consumo_datadis'!A11527&lt;&gt;"""",SPLIT('(INGESTA)Datos_consumo_datadis'!A:A,"",""),"""")"),"ES0031408323131005HX0F")</f>
        <v>ES0031408323131005HX0F</v>
      </c>
      <c r="B11527" s="12">
        <f>IFERROR(__xludf.DUMMYFUNCTION("""COMPUTED_VALUE"""),45346.0)</f>
        <v>45346</v>
      </c>
      <c r="C11527" s="13">
        <f>IFERROR(__xludf.DUMMYFUNCTION("""COMPUTED_VALUE"""),0.25)</f>
        <v>0.25</v>
      </c>
      <c r="D11527" s="8">
        <f>IFERROR(__xludf.DUMMYFUNCTION("""COMPUTED_VALUE"""),0.069)</f>
        <v>0.069</v>
      </c>
      <c r="E11527" s="8" t="str">
        <f>IFERROR(__xludf.DUMMYFUNCTION("""COMPUTED_VALUE"""),"Real")</f>
        <v>Real</v>
      </c>
      <c r="G11527" s="8">
        <f t="shared" si="1"/>
        <v>2</v>
      </c>
      <c r="H11527" s="14">
        <f t="shared" si="2"/>
        <v>24</v>
      </c>
      <c r="I11527" s="15">
        <f t="shared" si="3"/>
        <v>6</v>
      </c>
    </row>
    <row r="11528">
      <c r="A11528" s="8" t="str">
        <f>IFERROR(__xludf.DUMMYFUNCTION("IF('(INGESTA)Datos_consumo_datadis'!A11528&lt;&gt;"""",SPLIT('(INGESTA)Datos_consumo_datadis'!A:A,"",""),"""")"),"ES0031408323131005HX0F")</f>
        <v>ES0031408323131005HX0F</v>
      </c>
      <c r="B11528" s="12">
        <f>IFERROR(__xludf.DUMMYFUNCTION("""COMPUTED_VALUE"""),45346.0)</f>
        <v>45346</v>
      </c>
      <c r="C11528" s="13">
        <f>IFERROR(__xludf.DUMMYFUNCTION("""COMPUTED_VALUE"""),0.2916666666666667)</f>
        <v>0.2916666667</v>
      </c>
      <c r="D11528" s="8">
        <f>IFERROR(__xludf.DUMMYFUNCTION("""COMPUTED_VALUE"""),0.082)</f>
        <v>0.082</v>
      </c>
      <c r="E11528" s="8" t="str">
        <f>IFERROR(__xludf.DUMMYFUNCTION("""COMPUTED_VALUE"""),"Real")</f>
        <v>Real</v>
      </c>
      <c r="G11528" s="8">
        <f t="shared" si="1"/>
        <v>2</v>
      </c>
      <c r="H11528" s="14">
        <f t="shared" si="2"/>
        <v>24</v>
      </c>
      <c r="I11528" s="15">
        <f t="shared" si="3"/>
        <v>7</v>
      </c>
    </row>
    <row r="11529">
      <c r="A11529" s="8" t="str">
        <f>IFERROR(__xludf.DUMMYFUNCTION("IF('(INGESTA)Datos_consumo_datadis'!A11529&lt;&gt;"""",SPLIT('(INGESTA)Datos_consumo_datadis'!A:A,"",""),"""")"),"ES0031408323131005HX0F")</f>
        <v>ES0031408323131005HX0F</v>
      </c>
      <c r="B11529" s="12">
        <f>IFERROR(__xludf.DUMMYFUNCTION("""COMPUTED_VALUE"""),45346.0)</f>
        <v>45346</v>
      </c>
      <c r="C11529" s="13">
        <f>IFERROR(__xludf.DUMMYFUNCTION("""COMPUTED_VALUE"""),0.3333333333333333)</f>
        <v>0.3333333333</v>
      </c>
      <c r="D11529" s="8">
        <f>IFERROR(__xludf.DUMMYFUNCTION("""COMPUTED_VALUE"""),0.315)</f>
        <v>0.315</v>
      </c>
      <c r="E11529" s="8" t="str">
        <f>IFERROR(__xludf.DUMMYFUNCTION("""COMPUTED_VALUE"""),"Real")</f>
        <v>Real</v>
      </c>
      <c r="G11529" s="8">
        <f t="shared" si="1"/>
        <v>2</v>
      </c>
      <c r="H11529" s="14">
        <f t="shared" si="2"/>
        <v>24</v>
      </c>
      <c r="I11529" s="15">
        <f t="shared" si="3"/>
        <v>8</v>
      </c>
    </row>
    <row r="11530">
      <c r="A11530" s="8" t="str">
        <f>IFERROR(__xludf.DUMMYFUNCTION("IF('(INGESTA)Datos_consumo_datadis'!A11530&lt;&gt;"""",SPLIT('(INGESTA)Datos_consumo_datadis'!A:A,"",""),"""")"),"ES0031408323131005HX0F")</f>
        <v>ES0031408323131005HX0F</v>
      </c>
      <c r="B11530" s="12">
        <f>IFERROR(__xludf.DUMMYFUNCTION("""COMPUTED_VALUE"""),45346.0)</f>
        <v>45346</v>
      </c>
      <c r="C11530" s="13">
        <f>IFERROR(__xludf.DUMMYFUNCTION("""COMPUTED_VALUE"""),0.375)</f>
        <v>0.375</v>
      </c>
      <c r="D11530" s="8">
        <f>IFERROR(__xludf.DUMMYFUNCTION("""COMPUTED_VALUE"""),0.094)</f>
        <v>0.094</v>
      </c>
      <c r="E11530" s="8" t="str">
        <f>IFERROR(__xludf.DUMMYFUNCTION("""COMPUTED_VALUE"""),"Real")</f>
        <v>Real</v>
      </c>
      <c r="G11530" s="8">
        <f t="shared" si="1"/>
        <v>2</v>
      </c>
      <c r="H11530" s="14">
        <f t="shared" si="2"/>
        <v>24</v>
      </c>
      <c r="I11530" s="15">
        <f t="shared" si="3"/>
        <v>9</v>
      </c>
    </row>
    <row r="11531">
      <c r="A11531" s="8" t="str">
        <f>IFERROR(__xludf.DUMMYFUNCTION("IF('(INGESTA)Datos_consumo_datadis'!A11531&lt;&gt;"""",SPLIT('(INGESTA)Datos_consumo_datadis'!A:A,"",""),"""")"),"ES0031408323131005HX0F")</f>
        <v>ES0031408323131005HX0F</v>
      </c>
      <c r="B11531" s="12">
        <f>IFERROR(__xludf.DUMMYFUNCTION("""COMPUTED_VALUE"""),45346.0)</f>
        <v>45346</v>
      </c>
      <c r="C11531" s="13">
        <f>IFERROR(__xludf.DUMMYFUNCTION("""COMPUTED_VALUE"""),0.4166666666666667)</f>
        <v>0.4166666667</v>
      </c>
      <c r="D11531" s="8">
        <f>IFERROR(__xludf.DUMMYFUNCTION("""COMPUTED_VALUE"""),0.158)</f>
        <v>0.158</v>
      </c>
      <c r="E11531" s="8" t="str">
        <f>IFERROR(__xludf.DUMMYFUNCTION("""COMPUTED_VALUE"""),"Real")</f>
        <v>Real</v>
      </c>
      <c r="G11531" s="8">
        <f t="shared" si="1"/>
        <v>2</v>
      </c>
      <c r="H11531" s="14">
        <f t="shared" si="2"/>
        <v>24</v>
      </c>
      <c r="I11531" s="15">
        <f t="shared" si="3"/>
        <v>10</v>
      </c>
    </row>
    <row r="11532">
      <c r="A11532" s="8" t="str">
        <f>IFERROR(__xludf.DUMMYFUNCTION("IF('(INGESTA)Datos_consumo_datadis'!A11532&lt;&gt;"""",SPLIT('(INGESTA)Datos_consumo_datadis'!A:A,"",""),"""")"),"ES0031408323131005HX0F")</f>
        <v>ES0031408323131005HX0F</v>
      </c>
      <c r="B11532" s="12">
        <f>IFERROR(__xludf.DUMMYFUNCTION("""COMPUTED_VALUE"""),45346.0)</f>
        <v>45346</v>
      </c>
      <c r="C11532" s="13">
        <f>IFERROR(__xludf.DUMMYFUNCTION("""COMPUTED_VALUE"""),0.4583333333333333)</f>
        <v>0.4583333333</v>
      </c>
      <c r="D11532" s="8">
        <f>IFERROR(__xludf.DUMMYFUNCTION("""COMPUTED_VALUE"""),1.056)</f>
        <v>1.056</v>
      </c>
      <c r="E11532" s="8" t="str">
        <f>IFERROR(__xludf.DUMMYFUNCTION("""COMPUTED_VALUE"""),"Real")</f>
        <v>Real</v>
      </c>
      <c r="G11532" s="8">
        <f t="shared" si="1"/>
        <v>2</v>
      </c>
      <c r="H11532" s="14">
        <f t="shared" si="2"/>
        <v>24</v>
      </c>
      <c r="I11532" s="15">
        <f t="shared" si="3"/>
        <v>11</v>
      </c>
    </row>
    <row r="11533">
      <c r="A11533" s="8" t="str">
        <f>IFERROR(__xludf.DUMMYFUNCTION("IF('(INGESTA)Datos_consumo_datadis'!A11533&lt;&gt;"""",SPLIT('(INGESTA)Datos_consumo_datadis'!A:A,"",""),"""")"),"ES0031408323131005HX0F")</f>
        <v>ES0031408323131005HX0F</v>
      </c>
      <c r="B11533" s="12">
        <f>IFERROR(__xludf.DUMMYFUNCTION("""COMPUTED_VALUE"""),45346.0)</f>
        <v>45346</v>
      </c>
      <c r="C11533" s="13">
        <f>IFERROR(__xludf.DUMMYFUNCTION("""COMPUTED_VALUE"""),0.5)</f>
        <v>0.5</v>
      </c>
      <c r="D11533" s="8">
        <f>IFERROR(__xludf.DUMMYFUNCTION("""COMPUTED_VALUE"""),1.356)</f>
        <v>1.356</v>
      </c>
      <c r="E11533" s="8" t="str">
        <f>IFERROR(__xludf.DUMMYFUNCTION("""COMPUTED_VALUE"""),"Real")</f>
        <v>Real</v>
      </c>
      <c r="G11533" s="8">
        <f t="shared" si="1"/>
        <v>2</v>
      </c>
      <c r="H11533" s="14">
        <f t="shared" si="2"/>
        <v>24</v>
      </c>
      <c r="I11533" s="15">
        <f t="shared" si="3"/>
        <v>12</v>
      </c>
    </row>
    <row r="11534">
      <c r="A11534" s="8" t="str">
        <f>IFERROR(__xludf.DUMMYFUNCTION("IF('(INGESTA)Datos_consumo_datadis'!A11534&lt;&gt;"""",SPLIT('(INGESTA)Datos_consumo_datadis'!A:A,"",""),"""")"),"ES0031408323131005HX0F")</f>
        <v>ES0031408323131005HX0F</v>
      </c>
      <c r="B11534" s="12">
        <f>IFERROR(__xludf.DUMMYFUNCTION("""COMPUTED_VALUE"""),45346.0)</f>
        <v>45346</v>
      </c>
      <c r="C11534" s="13">
        <f>IFERROR(__xludf.DUMMYFUNCTION("""COMPUTED_VALUE"""),0.5416666666666666)</f>
        <v>0.5416666667</v>
      </c>
      <c r="D11534" s="8">
        <f>IFERROR(__xludf.DUMMYFUNCTION("""COMPUTED_VALUE"""),0.124)</f>
        <v>0.124</v>
      </c>
      <c r="E11534" s="8" t="str">
        <f>IFERROR(__xludf.DUMMYFUNCTION("""COMPUTED_VALUE"""),"Real")</f>
        <v>Real</v>
      </c>
      <c r="G11534" s="8">
        <f t="shared" si="1"/>
        <v>2</v>
      </c>
      <c r="H11534" s="14">
        <f t="shared" si="2"/>
        <v>24</v>
      </c>
      <c r="I11534" s="15">
        <f t="shared" si="3"/>
        <v>13</v>
      </c>
    </row>
    <row r="11535">
      <c r="A11535" s="8" t="str">
        <f>IFERROR(__xludf.DUMMYFUNCTION("IF('(INGESTA)Datos_consumo_datadis'!A11535&lt;&gt;"""",SPLIT('(INGESTA)Datos_consumo_datadis'!A:A,"",""),"""")"),"ES0031408323131005HX0F")</f>
        <v>ES0031408323131005HX0F</v>
      </c>
      <c r="B11535" s="12">
        <f>IFERROR(__xludf.DUMMYFUNCTION("""COMPUTED_VALUE"""),45346.0)</f>
        <v>45346</v>
      </c>
      <c r="C11535" s="13">
        <f>IFERROR(__xludf.DUMMYFUNCTION("""COMPUTED_VALUE"""),0.5833333333333334)</f>
        <v>0.5833333333</v>
      </c>
      <c r="D11535" s="8">
        <f>IFERROR(__xludf.DUMMYFUNCTION("""COMPUTED_VALUE"""),1.15)</f>
        <v>1.15</v>
      </c>
      <c r="E11535" s="8" t="str">
        <f>IFERROR(__xludf.DUMMYFUNCTION("""COMPUTED_VALUE"""),"Real")</f>
        <v>Real</v>
      </c>
      <c r="G11535" s="8">
        <f t="shared" si="1"/>
        <v>2</v>
      </c>
      <c r="H11535" s="14">
        <f t="shared" si="2"/>
        <v>24</v>
      </c>
      <c r="I11535" s="15">
        <f t="shared" si="3"/>
        <v>14</v>
      </c>
    </row>
    <row r="11536">
      <c r="A11536" s="8" t="str">
        <f>IFERROR(__xludf.DUMMYFUNCTION("IF('(INGESTA)Datos_consumo_datadis'!A11536&lt;&gt;"""",SPLIT('(INGESTA)Datos_consumo_datadis'!A:A,"",""),"""")"),"ES0031408323131005HX0F")</f>
        <v>ES0031408323131005HX0F</v>
      </c>
      <c r="B11536" s="12">
        <f>IFERROR(__xludf.DUMMYFUNCTION("""COMPUTED_VALUE"""),45346.0)</f>
        <v>45346</v>
      </c>
      <c r="C11536" s="13">
        <f>IFERROR(__xludf.DUMMYFUNCTION("""COMPUTED_VALUE"""),0.625)</f>
        <v>0.625</v>
      </c>
      <c r="D11536" s="8">
        <f>IFERROR(__xludf.DUMMYFUNCTION("""COMPUTED_VALUE"""),1.533)</f>
        <v>1.533</v>
      </c>
      <c r="E11536" s="8" t="str">
        <f>IFERROR(__xludf.DUMMYFUNCTION("""COMPUTED_VALUE"""),"Real")</f>
        <v>Real</v>
      </c>
      <c r="G11536" s="8">
        <f t="shared" si="1"/>
        <v>2</v>
      </c>
      <c r="H11536" s="14">
        <f t="shared" si="2"/>
        <v>24</v>
      </c>
      <c r="I11536" s="15">
        <f t="shared" si="3"/>
        <v>15</v>
      </c>
    </row>
    <row r="11537">
      <c r="A11537" s="8" t="str">
        <f>IFERROR(__xludf.DUMMYFUNCTION("IF('(INGESTA)Datos_consumo_datadis'!A11537&lt;&gt;"""",SPLIT('(INGESTA)Datos_consumo_datadis'!A:A,"",""),"""")"),"ES0031408323131005HX0F")</f>
        <v>ES0031408323131005HX0F</v>
      </c>
      <c r="B11537" s="12">
        <f>IFERROR(__xludf.DUMMYFUNCTION("""COMPUTED_VALUE"""),45346.0)</f>
        <v>45346</v>
      </c>
      <c r="C11537" s="13">
        <f>IFERROR(__xludf.DUMMYFUNCTION("""COMPUTED_VALUE"""),0.6666666666666666)</f>
        <v>0.6666666667</v>
      </c>
      <c r="D11537" s="8">
        <f>IFERROR(__xludf.DUMMYFUNCTION("""COMPUTED_VALUE"""),0.247)</f>
        <v>0.247</v>
      </c>
      <c r="E11537" s="8" t="str">
        <f>IFERROR(__xludf.DUMMYFUNCTION("""COMPUTED_VALUE"""),"Real")</f>
        <v>Real</v>
      </c>
      <c r="G11537" s="8">
        <f t="shared" si="1"/>
        <v>2</v>
      </c>
      <c r="H11537" s="14">
        <f t="shared" si="2"/>
        <v>24</v>
      </c>
      <c r="I11537" s="15">
        <f t="shared" si="3"/>
        <v>16</v>
      </c>
    </row>
    <row r="11538">
      <c r="A11538" s="8" t="str">
        <f>IFERROR(__xludf.DUMMYFUNCTION("IF('(INGESTA)Datos_consumo_datadis'!A11538&lt;&gt;"""",SPLIT('(INGESTA)Datos_consumo_datadis'!A:A,"",""),"""")"),"ES0031408323131005HX0F")</f>
        <v>ES0031408323131005HX0F</v>
      </c>
      <c r="B11538" s="12">
        <f>IFERROR(__xludf.DUMMYFUNCTION("""COMPUTED_VALUE"""),45346.0)</f>
        <v>45346</v>
      </c>
      <c r="C11538" s="13">
        <f>IFERROR(__xludf.DUMMYFUNCTION("""COMPUTED_VALUE"""),0.7083333333333334)</f>
        <v>0.7083333333</v>
      </c>
      <c r="D11538" s="8">
        <f>IFERROR(__xludf.DUMMYFUNCTION("""COMPUTED_VALUE"""),1.568)</f>
        <v>1.568</v>
      </c>
      <c r="E11538" s="8" t="str">
        <f>IFERROR(__xludf.DUMMYFUNCTION("""COMPUTED_VALUE"""),"Real")</f>
        <v>Real</v>
      </c>
      <c r="G11538" s="8">
        <f t="shared" si="1"/>
        <v>2</v>
      </c>
      <c r="H11538" s="14">
        <f t="shared" si="2"/>
        <v>24</v>
      </c>
      <c r="I11538" s="15">
        <f t="shared" si="3"/>
        <v>17</v>
      </c>
    </row>
    <row r="11539">
      <c r="A11539" s="8" t="str">
        <f>IFERROR(__xludf.DUMMYFUNCTION("IF('(INGESTA)Datos_consumo_datadis'!A11539&lt;&gt;"""",SPLIT('(INGESTA)Datos_consumo_datadis'!A:A,"",""),"""")"),"ES0031408323131005HX0F")</f>
        <v>ES0031408323131005HX0F</v>
      </c>
      <c r="B11539" s="12">
        <f>IFERROR(__xludf.DUMMYFUNCTION("""COMPUTED_VALUE"""),45346.0)</f>
        <v>45346</v>
      </c>
      <c r="C11539" s="13">
        <f>IFERROR(__xludf.DUMMYFUNCTION("""COMPUTED_VALUE"""),0.75)</f>
        <v>0.75</v>
      </c>
      <c r="D11539" s="8">
        <f>IFERROR(__xludf.DUMMYFUNCTION("""COMPUTED_VALUE"""),1.459)</f>
        <v>1.459</v>
      </c>
      <c r="E11539" s="8" t="str">
        <f>IFERROR(__xludf.DUMMYFUNCTION("""COMPUTED_VALUE"""),"Real")</f>
        <v>Real</v>
      </c>
      <c r="G11539" s="8">
        <f t="shared" si="1"/>
        <v>2</v>
      </c>
      <c r="H11539" s="14">
        <f t="shared" si="2"/>
        <v>24</v>
      </c>
      <c r="I11539" s="15">
        <f t="shared" si="3"/>
        <v>18</v>
      </c>
    </row>
    <row r="11540">
      <c r="A11540" s="8" t="str">
        <f>IFERROR(__xludf.DUMMYFUNCTION("IF('(INGESTA)Datos_consumo_datadis'!A11540&lt;&gt;"""",SPLIT('(INGESTA)Datos_consumo_datadis'!A:A,"",""),"""")"),"ES0031408323131005HX0F")</f>
        <v>ES0031408323131005HX0F</v>
      </c>
      <c r="B11540" s="12">
        <f>IFERROR(__xludf.DUMMYFUNCTION("""COMPUTED_VALUE"""),45346.0)</f>
        <v>45346</v>
      </c>
      <c r="C11540" s="13">
        <f>IFERROR(__xludf.DUMMYFUNCTION("""COMPUTED_VALUE"""),0.7916666666666666)</f>
        <v>0.7916666667</v>
      </c>
      <c r="D11540" s="8">
        <f>IFERROR(__xludf.DUMMYFUNCTION("""COMPUTED_VALUE"""),0.065)</f>
        <v>0.065</v>
      </c>
      <c r="E11540" s="8" t="str">
        <f>IFERROR(__xludf.DUMMYFUNCTION("""COMPUTED_VALUE"""),"Real")</f>
        <v>Real</v>
      </c>
      <c r="G11540" s="8">
        <f t="shared" si="1"/>
        <v>2</v>
      </c>
      <c r="H11540" s="14">
        <f t="shared" si="2"/>
        <v>24</v>
      </c>
      <c r="I11540" s="15">
        <f t="shared" si="3"/>
        <v>19</v>
      </c>
    </row>
    <row r="11541">
      <c r="A11541" s="8" t="str">
        <f>IFERROR(__xludf.DUMMYFUNCTION("IF('(INGESTA)Datos_consumo_datadis'!A11541&lt;&gt;"""",SPLIT('(INGESTA)Datos_consumo_datadis'!A:A,"",""),"""")"),"ES0031408323131005HX0F")</f>
        <v>ES0031408323131005HX0F</v>
      </c>
      <c r="B11541" s="12">
        <f>IFERROR(__xludf.DUMMYFUNCTION("""COMPUTED_VALUE"""),45346.0)</f>
        <v>45346</v>
      </c>
      <c r="C11541" s="13">
        <f>IFERROR(__xludf.DUMMYFUNCTION("""COMPUTED_VALUE"""),0.8333333333333334)</f>
        <v>0.8333333333</v>
      </c>
      <c r="D11541" s="8">
        <f>IFERROR(__xludf.DUMMYFUNCTION("""COMPUTED_VALUE"""),0.031)</f>
        <v>0.031</v>
      </c>
      <c r="E11541" s="8" t="str">
        <f>IFERROR(__xludf.DUMMYFUNCTION("""COMPUTED_VALUE"""),"Real")</f>
        <v>Real</v>
      </c>
      <c r="G11541" s="8">
        <f t="shared" si="1"/>
        <v>2</v>
      </c>
      <c r="H11541" s="14">
        <f t="shared" si="2"/>
        <v>24</v>
      </c>
      <c r="I11541" s="15">
        <f t="shared" si="3"/>
        <v>20</v>
      </c>
    </row>
    <row r="11542">
      <c r="A11542" s="8" t="str">
        <f>IFERROR(__xludf.DUMMYFUNCTION("IF('(INGESTA)Datos_consumo_datadis'!A11542&lt;&gt;"""",SPLIT('(INGESTA)Datos_consumo_datadis'!A:A,"",""),"""")"),"ES0031408323131005HX0F")</f>
        <v>ES0031408323131005HX0F</v>
      </c>
      <c r="B11542" s="12">
        <f>IFERROR(__xludf.DUMMYFUNCTION("""COMPUTED_VALUE"""),45346.0)</f>
        <v>45346</v>
      </c>
      <c r="C11542" s="13">
        <f>IFERROR(__xludf.DUMMYFUNCTION("""COMPUTED_VALUE"""),0.875)</f>
        <v>0.875</v>
      </c>
      <c r="D11542" s="8">
        <f>IFERROR(__xludf.DUMMYFUNCTION("""COMPUTED_VALUE"""),0.086)</f>
        <v>0.086</v>
      </c>
      <c r="E11542" s="8" t="str">
        <f>IFERROR(__xludf.DUMMYFUNCTION("""COMPUTED_VALUE"""),"Real")</f>
        <v>Real</v>
      </c>
      <c r="G11542" s="8">
        <f t="shared" si="1"/>
        <v>2</v>
      </c>
      <c r="H11542" s="14">
        <f t="shared" si="2"/>
        <v>24</v>
      </c>
      <c r="I11542" s="15">
        <f t="shared" si="3"/>
        <v>21</v>
      </c>
    </row>
    <row r="11543">
      <c r="A11543" s="8" t="str">
        <f>IFERROR(__xludf.DUMMYFUNCTION("IF('(INGESTA)Datos_consumo_datadis'!A11543&lt;&gt;"""",SPLIT('(INGESTA)Datos_consumo_datadis'!A:A,"",""),"""")"),"ES0031408323131005HX0F")</f>
        <v>ES0031408323131005HX0F</v>
      </c>
      <c r="B11543" s="12">
        <f>IFERROR(__xludf.DUMMYFUNCTION("""COMPUTED_VALUE"""),45346.0)</f>
        <v>45346</v>
      </c>
      <c r="C11543" s="13">
        <f>IFERROR(__xludf.DUMMYFUNCTION("""COMPUTED_VALUE"""),0.9166666666666666)</f>
        <v>0.9166666667</v>
      </c>
      <c r="D11543" s="8">
        <f>IFERROR(__xludf.DUMMYFUNCTION("""COMPUTED_VALUE"""),2.659)</f>
        <v>2.659</v>
      </c>
      <c r="E11543" s="8" t="str">
        <f>IFERROR(__xludf.DUMMYFUNCTION("""COMPUTED_VALUE"""),"Real")</f>
        <v>Real</v>
      </c>
      <c r="G11543" s="8">
        <f t="shared" si="1"/>
        <v>2</v>
      </c>
      <c r="H11543" s="14">
        <f t="shared" si="2"/>
        <v>24</v>
      </c>
      <c r="I11543" s="15">
        <f t="shared" si="3"/>
        <v>22</v>
      </c>
    </row>
    <row r="11544">
      <c r="A11544" s="8" t="str">
        <f>IFERROR(__xludf.DUMMYFUNCTION("IF('(INGESTA)Datos_consumo_datadis'!A11544&lt;&gt;"""",SPLIT('(INGESTA)Datos_consumo_datadis'!A:A,"",""),"""")"),"ES0031408323131005HX0F")</f>
        <v>ES0031408323131005HX0F</v>
      </c>
      <c r="B11544" s="12">
        <f>IFERROR(__xludf.DUMMYFUNCTION("""COMPUTED_VALUE"""),45346.0)</f>
        <v>45346</v>
      </c>
      <c r="C11544" s="13">
        <f>IFERROR(__xludf.DUMMYFUNCTION("""COMPUTED_VALUE"""),0.9583333333333334)</f>
        <v>0.9583333333</v>
      </c>
      <c r="D11544" s="8">
        <f>IFERROR(__xludf.DUMMYFUNCTION("""COMPUTED_VALUE"""),1.328)</f>
        <v>1.328</v>
      </c>
      <c r="E11544" s="8" t="str">
        <f>IFERROR(__xludf.DUMMYFUNCTION("""COMPUTED_VALUE"""),"Real")</f>
        <v>Real</v>
      </c>
      <c r="G11544" s="8">
        <f t="shared" si="1"/>
        <v>2</v>
      </c>
      <c r="H11544" s="14">
        <f t="shared" si="2"/>
        <v>24</v>
      </c>
      <c r="I11544" s="15">
        <f t="shared" si="3"/>
        <v>23</v>
      </c>
    </row>
    <row r="11545">
      <c r="A11545" s="8" t="str">
        <f>IFERROR(__xludf.DUMMYFUNCTION("IF('(INGESTA)Datos_consumo_datadis'!A11545&lt;&gt;"""",SPLIT('(INGESTA)Datos_consumo_datadis'!A:A,"",""),"""")"),"ES0031408323131005HX0F")</f>
        <v>ES0031408323131005HX0F</v>
      </c>
      <c r="B11545" s="12">
        <f>IFERROR(__xludf.DUMMYFUNCTION("""COMPUTED_VALUE"""),45346.0)</f>
        <v>45346</v>
      </c>
      <c r="C11545" s="16">
        <f>IFERROR(__xludf.DUMMYFUNCTION("""COMPUTED_VALUE"""),1.0)</f>
        <v>1</v>
      </c>
      <c r="D11545" s="8">
        <f>IFERROR(__xludf.DUMMYFUNCTION("""COMPUTED_VALUE"""),1.276)</f>
        <v>1.276</v>
      </c>
      <c r="E11545" s="8" t="str">
        <f>IFERROR(__xludf.DUMMYFUNCTION("""COMPUTED_VALUE"""),"Real")</f>
        <v>Real</v>
      </c>
      <c r="G11545" s="8">
        <f t="shared" si="1"/>
        <v>2</v>
      </c>
      <c r="H11545" s="14">
        <f t="shared" si="2"/>
        <v>24</v>
      </c>
      <c r="I11545" s="15">
        <f t="shared" si="3"/>
        <v>0</v>
      </c>
    </row>
    <row r="11546">
      <c r="A11546" s="8" t="str">
        <f>IFERROR(__xludf.DUMMYFUNCTION("IF('(INGESTA)Datos_consumo_datadis'!A11546&lt;&gt;"""",SPLIT('(INGESTA)Datos_consumo_datadis'!A:A,"",""),"""")"),"ES0031408323131005HX0F")</f>
        <v>ES0031408323131005HX0F</v>
      </c>
      <c r="B11546" s="12">
        <f>IFERROR(__xludf.DUMMYFUNCTION("""COMPUTED_VALUE"""),45347.0)</f>
        <v>45347</v>
      </c>
      <c r="C11546" s="13">
        <f>IFERROR(__xludf.DUMMYFUNCTION("""COMPUTED_VALUE"""),0.041666666666666664)</f>
        <v>0.04166666667</v>
      </c>
      <c r="D11546" s="8">
        <f>IFERROR(__xludf.DUMMYFUNCTION("""COMPUTED_VALUE"""),0.094)</f>
        <v>0.094</v>
      </c>
      <c r="E11546" s="8" t="str">
        <f>IFERROR(__xludf.DUMMYFUNCTION("""COMPUTED_VALUE"""),"Real")</f>
        <v>Real</v>
      </c>
      <c r="G11546" s="8">
        <f t="shared" si="1"/>
        <v>2</v>
      </c>
      <c r="H11546" s="14">
        <f t="shared" si="2"/>
        <v>25</v>
      </c>
      <c r="I11546" s="15">
        <f t="shared" si="3"/>
        <v>1</v>
      </c>
    </row>
    <row r="11547">
      <c r="A11547" s="8" t="str">
        <f>IFERROR(__xludf.DUMMYFUNCTION("IF('(INGESTA)Datos_consumo_datadis'!A11547&lt;&gt;"""",SPLIT('(INGESTA)Datos_consumo_datadis'!A:A,"",""),"""")"),"ES0031408323131005HX0F")</f>
        <v>ES0031408323131005HX0F</v>
      </c>
      <c r="B11547" s="12">
        <f>IFERROR(__xludf.DUMMYFUNCTION("""COMPUTED_VALUE"""),45347.0)</f>
        <v>45347</v>
      </c>
      <c r="C11547" s="13">
        <f>IFERROR(__xludf.DUMMYFUNCTION("""COMPUTED_VALUE"""),0.08333333333333333)</f>
        <v>0.08333333333</v>
      </c>
      <c r="D11547" s="8">
        <f>IFERROR(__xludf.DUMMYFUNCTION("""COMPUTED_VALUE"""),0.079)</f>
        <v>0.079</v>
      </c>
      <c r="E11547" s="8" t="str">
        <f>IFERROR(__xludf.DUMMYFUNCTION("""COMPUTED_VALUE"""),"Real")</f>
        <v>Real</v>
      </c>
      <c r="G11547" s="8">
        <f t="shared" si="1"/>
        <v>2</v>
      </c>
      <c r="H11547" s="14">
        <f t="shared" si="2"/>
        <v>25</v>
      </c>
      <c r="I11547" s="15">
        <f t="shared" si="3"/>
        <v>2</v>
      </c>
    </row>
    <row r="11548">
      <c r="A11548" s="8" t="str">
        <f>IFERROR(__xludf.DUMMYFUNCTION("IF('(INGESTA)Datos_consumo_datadis'!A11548&lt;&gt;"""",SPLIT('(INGESTA)Datos_consumo_datadis'!A:A,"",""),"""")"),"ES0031408323131005HX0F")</f>
        <v>ES0031408323131005HX0F</v>
      </c>
      <c r="B11548" s="12">
        <f>IFERROR(__xludf.DUMMYFUNCTION("""COMPUTED_VALUE"""),45347.0)</f>
        <v>45347</v>
      </c>
      <c r="C11548" s="13">
        <f>IFERROR(__xludf.DUMMYFUNCTION("""COMPUTED_VALUE"""),0.125)</f>
        <v>0.125</v>
      </c>
      <c r="D11548" s="8">
        <f>IFERROR(__xludf.DUMMYFUNCTION("""COMPUTED_VALUE"""),0.035)</f>
        <v>0.035</v>
      </c>
      <c r="E11548" s="8" t="str">
        <f>IFERROR(__xludf.DUMMYFUNCTION("""COMPUTED_VALUE"""),"Real")</f>
        <v>Real</v>
      </c>
      <c r="G11548" s="8">
        <f t="shared" si="1"/>
        <v>2</v>
      </c>
      <c r="H11548" s="14">
        <f t="shared" si="2"/>
        <v>25</v>
      </c>
      <c r="I11548" s="15">
        <f t="shared" si="3"/>
        <v>3</v>
      </c>
    </row>
    <row r="11549">
      <c r="A11549" s="8" t="str">
        <f>IFERROR(__xludf.DUMMYFUNCTION("IF('(INGESTA)Datos_consumo_datadis'!A11549&lt;&gt;"""",SPLIT('(INGESTA)Datos_consumo_datadis'!A:A,"",""),"""")"),"ES0031408323131005HX0F")</f>
        <v>ES0031408323131005HX0F</v>
      </c>
      <c r="B11549" s="12">
        <f>IFERROR(__xludf.DUMMYFUNCTION("""COMPUTED_VALUE"""),45347.0)</f>
        <v>45347</v>
      </c>
      <c r="C11549" s="13">
        <f>IFERROR(__xludf.DUMMYFUNCTION("""COMPUTED_VALUE"""),0.16666666666666666)</f>
        <v>0.1666666667</v>
      </c>
      <c r="D11549" s="8">
        <f>IFERROR(__xludf.DUMMYFUNCTION("""COMPUTED_VALUE"""),0.349)</f>
        <v>0.349</v>
      </c>
      <c r="E11549" s="8" t="str">
        <f>IFERROR(__xludf.DUMMYFUNCTION("""COMPUTED_VALUE"""),"Real")</f>
        <v>Real</v>
      </c>
      <c r="G11549" s="8">
        <f t="shared" si="1"/>
        <v>2</v>
      </c>
      <c r="H11549" s="14">
        <f t="shared" si="2"/>
        <v>25</v>
      </c>
      <c r="I11549" s="15">
        <f t="shared" si="3"/>
        <v>4</v>
      </c>
    </row>
    <row r="11550">
      <c r="A11550" s="8" t="str">
        <f>IFERROR(__xludf.DUMMYFUNCTION("IF('(INGESTA)Datos_consumo_datadis'!A11550&lt;&gt;"""",SPLIT('(INGESTA)Datos_consumo_datadis'!A:A,"",""),"""")"),"ES0031408323131005HX0F")</f>
        <v>ES0031408323131005HX0F</v>
      </c>
      <c r="B11550" s="12">
        <f>IFERROR(__xludf.DUMMYFUNCTION("""COMPUTED_VALUE"""),45347.0)</f>
        <v>45347</v>
      </c>
      <c r="C11550" s="13">
        <f>IFERROR(__xludf.DUMMYFUNCTION("""COMPUTED_VALUE"""),0.20833333333333334)</f>
        <v>0.2083333333</v>
      </c>
      <c r="D11550" s="8">
        <f>IFERROR(__xludf.DUMMYFUNCTION("""COMPUTED_VALUE"""),0.047)</f>
        <v>0.047</v>
      </c>
      <c r="E11550" s="8" t="str">
        <f>IFERROR(__xludf.DUMMYFUNCTION("""COMPUTED_VALUE"""),"Real")</f>
        <v>Real</v>
      </c>
      <c r="G11550" s="8">
        <f t="shared" si="1"/>
        <v>2</v>
      </c>
      <c r="H11550" s="14">
        <f t="shared" si="2"/>
        <v>25</v>
      </c>
      <c r="I11550" s="15">
        <f t="shared" si="3"/>
        <v>5</v>
      </c>
    </row>
    <row r="11551">
      <c r="A11551" s="8" t="str">
        <f>IFERROR(__xludf.DUMMYFUNCTION("IF('(INGESTA)Datos_consumo_datadis'!A11551&lt;&gt;"""",SPLIT('(INGESTA)Datos_consumo_datadis'!A:A,"",""),"""")"),"ES0031408323131005HX0F")</f>
        <v>ES0031408323131005HX0F</v>
      </c>
      <c r="B11551" s="12">
        <f>IFERROR(__xludf.DUMMYFUNCTION("""COMPUTED_VALUE"""),45347.0)</f>
        <v>45347</v>
      </c>
      <c r="C11551" s="13">
        <f>IFERROR(__xludf.DUMMYFUNCTION("""COMPUTED_VALUE"""),0.25)</f>
        <v>0.25</v>
      </c>
      <c r="D11551" s="8">
        <f>IFERROR(__xludf.DUMMYFUNCTION("""COMPUTED_VALUE"""),0.075)</f>
        <v>0.075</v>
      </c>
      <c r="E11551" s="8" t="str">
        <f>IFERROR(__xludf.DUMMYFUNCTION("""COMPUTED_VALUE"""),"Real")</f>
        <v>Real</v>
      </c>
      <c r="G11551" s="8">
        <f t="shared" si="1"/>
        <v>2</v>
      </c>
      <c r="H11551" s="14">
        <f t="shared" si="2"/>
        <v>25</v>
      </c>
      <c r="I11551" s="15">
        <f t="shared" si="3"/>
        <v>6</v>
      </c>
    </row>
    <row r="11552">
      <c r="A11552" s="8" t="str">
        <f>IFERROR(__xludf.DUMMYFUNCTION("IF('(INGESTA)Datos_consumo_datadis'!A11552&lt;&gt;"""",SPLIT('(INGESTA)Datos_consumo_datadis'!A:A,"",""),"""")"),"ES0031408323131005HX0F")</f>
        <v>ES0031408323131005HX0F</v>
      </c>
      <c r="B11552" s="12">
        <f>IFERROR(__xludf.DUMMYFUNCTION("""COMPUTED_VALUE"""),45347.0)</f>
        <v>45347</v>
      </c>
      <c r="C11552" s="13">
        <f>IFERROR(__xludf.DUMMYFUNCTION("""COMPUTED_VALUE"""),0.2916666666666667)</f>
        <v>0.2916666667</v>
      </c>
      <c r="D11552" s="8">
        <f>IFERROR(__xludf.DUMMYFUNCTION("""COMPUTED_VALUE"""),0.053)</f>
        <v>0.053</v>
      </c>
      <c r="E11552" s="8" t="str">
        <f>IFERROR(__xludf.DUMMYFUNCTION("""COMPUTED_VALUE"""),"Real")</f>
        <v>Real</v>
      </c>
      <c r="G11552" s="8">
        <f t="shared" si="1"/>
        <v>2</v>
      </c>
      <c r="H11552" s="14">
        <f t="shared" si="2"/>
        <v>25</v>
      </c>
      <c r="I11552" s="15">
        <f t="shared" si="3"/>
        <v>7</v>
      </c>
    </row>
    <row r="11553">
      <c r="A11553" s="8" t="str">
        <f>IFERROR(__xludf.DUMMYFUNCTION("IF('(INGESTA)Datos_consumo_datadis'!A11553&lt;&gt;"""",SPLIT('(INGESTA)Datos_consumo_datadis'!A:A,"",""),"""")"),"ES0031408323131005HX0F")</f>
        <v>ES0031408323131005HX0F</v>
      </c>
      <c r="B11553" s="12">
        <f>IFERROR(__xludf.DUMMYFUNCTION("""COMPUTED_VALUE"""),45347.0)</f>
        <v>45347</v>
      </c>
      <c r="C11553" s="13">
        <f>IFERROR(__xludf.DUMMYFUNCTION("""COMPUTED_VALUE"""),0.3333333333333333)</f>
        <v>0.3333333333</v>
      </c>
      <c r="D11553" s="8">
        <f>IFERROR(__xludf.DUMMYFUNCTION("""COMPUTED_VALUE"""),0.031)</f>
        <v>0.031</v>
      </c>
      <c r="E11553" s="8" t="str">
        <f>IFERROR(__xludf.DUMMYFUNCTION("""COMPUTED_VALUE"""),"Real")</f>
        <v>Real</v>
      </c>
      <c r="G11553" s="8">
        <f t="shared" si="1"/>
        <v>2</v>
      </c>
      <c r="H11553" s="14">
        <f t="shared" si="2"/>
        <v>25</v>
      </c>
      <c r="I11553" s="15">
        <f t="shared" si="3"/>
        <v>8</v>
      </c>
    </row>
    <row r="11554">
      <c r="A11554" s="8" t="str">
        <f>IFERROR(__xludf.DUMMYFUNCTION("IF('(INGESTA)Datos_consumo_datadis'!A11554&lt;&gt;"""",SPLIT('(INGESTA)Datos_consumo_datadis'!A:A,"",""),"""")"),"ES0031408323131005HX0F")</f>
        <v>ES0031408323131005HX0F</v>
      </c>
      <c r="B11554" s="12">
        <f>IFERROR(__xludf.DUMMYFUNCTION("""COMPUTED_VALUE"""),45347.0)</f>
        <v>45347</v>
      </c>
      <c r="C11554" s="13">
        <f>IFERROR(__xludf.DUMMYFUNCTION("""COMPUTED_VALUE"""),0.375)</f>
        <v>0.375</v>
      </c>
      <c r="D11554" s="8">
        <f>IFERROR(__xludf.DUMMYFUNCTION("""COMPUTED_VALUE"""),0.355)</f>
        <v>0.355</v>
      </c>
      <c r="E11554" s="8" t="str">
        <f>IFERROR(__xludf.DUMMYFUNCTION("""COMPUTED_VALUE"""),"Real")</f>
        <v>Real</v>
      </c>
      <c r="G11554" s="8">
        <f t="shared" si="1"/>
        <v>2</v>
      </c>
      <c r="H11554" s="14">
        <f t="shared" si="2"/>
        <v>25</v>
      </c>
      <c r="I11554" s="15">
        <f t="shared" si="3"/>
        <v>9</v>
      </c>
    </row>
    <row r="11555">
      <c r="A11555" s="8" t="str">
        <f>IFERROR(__xludf.DUMMYFUNCTION("IF('(INGESTA)Datos_consumo_datadis'!A11555&lt;&gt;"""",SPLIT('(INGESTA)Datos_consumo_datadis'!A:A,"",""),"""")"),"ES0031408323131005HX0F")</f>
        <v>ES0031408323131005HX0F</v>
      </c>
      <c r="B11555" s="12">
        <f>IFERROR(__xludf.DUMMYFUNCTION("""COMPUTED_VALUE"""),45347.0)</f>
        <v>45347</v>
      </c>
      <c r="C11555" s="13">
        <f>IFERROR(__xludf.DUMMYFUNCTION("""COMPUTED_VALUE"""),0.4166666666666667)</f>
        <v>0.4166666667</v>
      </c>
      <c r="D11555" s="8">
        <f>IFERROR(__xludf.DUMMYFUNCTION("""COMPUTED_VALUE"""),0.628)</f>
        <v>0.628</v>
      </c>
      <c r="E11555" s="8" t="str">
        <f>IFERROR(__xludf.DUMMYFUNCTION("""COMPUTED_VALUE"""),"Real")</f>
        <v>Real</v>
      </c>
      <c r="G11555" s="8">
        <f t="shared" si="1"/>
        <v>2</v>
      </c>
      <c r="H11555" s="14">
        <f t="shared" si="2"/>
        <v>25</v>
      </c>
      <c r="I11555" s="15">
        <f t="shared" si="3"/>
        <v>10</v>
      </c>
    </row>
    <row r="11556">
      <c r="A11556" s="8" t="str">
        <f>IFERROR(__xludf.DUMMYFUNCTION("IF('(INGESTA)Datos_consumo_datadis'!A11556&lt;&gt;"""",SPLIT('(INGESTA)Datos_consumo_datadis'!A:A,"",""),"""")"),"ES0031408323131005HX0F")</f>
        <v>ES0031408323131005HX0F</v>
      </c>
      <c r="B11556" s="12">
        <f>IFERROR(__xludf.DUMMYFUNCTION("""COMPUTED_VALUE"""),45347.0)</f>
        <v>45347</v>
      </c>
      <c r="C11556" s="13">
        <f>IFERROR(__xludf.DUMMYFUNCTION("""COMPUTED_VALUE"""),0.4583333333333333)</f>
        <v>0.4583333333</v>
      </c>
      <c r="D11556" s="8">
        <f>IFERROR(__xludf.DUMMYFUNCTION("""COMPUTED_VALUE"""),1.632)</f>
        <v>1.632</v>
      </c>
      <c r="E11556" s="8" t="str">
        <f>IFERROR(__xludf.DUMMYFUNCTION("""COMPUTED_VALUE"""),"Real")</f>
        <v>Real</v>
      </c>
      <c r="G11556" s="8">
        <f t="shared" si="1"/>
        <v>2</v>
      </c>
      <c r="H11556" s="14">
        <f t="shared" si="2"/>
        <v>25</v>
      </c>
      <c r="I11556" s="15">
        <f t="shared" si="3"/>
        <v>11</v>
      </c>
    </row>
    <row r="11557">
      <c r="A11557" s="8" t="str">
        <f>IFERROR(__xludf.DUMMYFUNCTION("IF('(INGESTA)Datos_consumo_datadis'!A11557&lt;&gt;"""",SPLIT('(INGESTA)Datos_consumo_datadis'!A:A,"",""),"""")"),"ES0031408323131005HX0F")</f>
        <v>ES0031408323131005HX0F</v>
      </c>
      <c r="B11557" s="12">
        <f>IFERROR(__xludf.DUMMYFUNCTION("""COMPUTED_VALUE"""),45347.0)</f>
        <v>45347</v>
      </c>
      <c r="C11557" s="13">
        <f>IFERROR(__xludf.DUMMYFUNCTION("""COMPUTED_VALUE"""),0.5)</f>
        <v>0.5</v>
      </c>
      <c r="D11557" s="8">
        <f>IFERROR(__xludf.DUMMYFUNCTION("""COMPUTED_VALUE"""),0.352)</f>
        <v>0.352</v>
      </c>
      <c r="E11557" s="8" t="str">
        <f>IFERROR(__xludf.DUMMYFUNCTION("""COMPUTED_VALUE"""),"Real")</f>
        <v>Real</v>
      </c>
      <c r="G11557" s="8">
        <f t="shared" si="1"/>
        <v>2</v>
      </c>
      <c r="H11557" s="14">
        <f t="shared" si="2"/>
        <v>25</v>
      </c>
      <c r="I11557" s="15">
        <f t="shared" si="3"/>
        <v>12</v>
      </c>
    </row>
    <row r="11558">
      <c r="A11558" s="8" t="str">
        <f>IFERROR(__xludf.DUMMYFUNCTION("IF('(INGESTA)Datos_consumo_datadis'!A11558&lt;&gt;"""",SPLIT('(INGESTA)Datos_consumo_datadis'!A:A,"",""),"""")"),"ES0031408323131005HX0F")</f>
        <v>ES0031408323131005HX0F</v>
      </c>
      <c r="B11558" s="12">
        <f>IFERROR(__xludf.DUMMYFUNCTION("""COMPUTED_VALUE"""),45347.0)</f>
        <v>45347</v>
      </c>
      <c r="C11558" s="13">
        <f>IFERROR(__xludf.DUMMYFUNCTION("""COMPUTED_VALUE"""),0.5416666666666666)</f>
        <v>0.5416666667</v>
      </c>
      <c r="D11558" s="8">
        <f>IFERROR(__xludf.DUMMYFUNCTION("""COMPUTED_VALUE"""),0.061)</f>
        <v>0.061</v>
      </c>
      <c r="E11558" s="8" t="str">
        <f>IFERROR(__xludf.DUMMYFUNCTION("""COMPUTED_VALUE"""),"Real")</f>
        <v>Real</v>
      </c>
      <c r="G11558" s="8">
        <f t="shared" si="1"/>
        <v>2</v>
      </c>
      <c r="H11558" s="14">
        <f t="shared" si="2"/>
        <v>25</v>
      </c>
      <c r="I11558" s="15">
        <f t="shared" si="3"/>
        <v>13</v>
      </c>
    </row>
    <row r="11559">
      <c r="A11559" s="8" t="str">
        <f>IFERROR(__xludf.DUMMYFUNCTION("IF('(INGESTA)Datos_consumo_datadis'!A11559&lt;&gt;"""",SPLIT('(INGESTA)Datos_consumo_datadis'!A:A,"",""),"""")"),"ES0031408323131005HX0F")</f>
        <v>ES0031408323131005HX0F</v>
      </c>
      <c r="B11559" s="12">
        <f>IFERROR(__xludf.DUMMYFUNCTION("""COMPUTED_VALUE"""),45347.0)</f>
        <v>45347</v>
      </c>
      <c r="C11559" s="13">
        <f>IFERROR(__xludf.DUMMYFUNCTION("""COMPUTED_VALUE"""),0.5833333333333334)</f>
        <v>0.5833333333</v>
      </c>
      <c r="D11559" s="8">
        <f>IFERROR(__xludf.DUMMYFUNCTION("""COMPUTED_VALUE"""),0.271)</f>
        <v>0.271</v>
      </c>
      <c r="E11559" s="8" t="str">
        <f>IFERROR(__xludf.DUMMYFUNCTION("""COMPUTED_VALUE"""),"Real")</f>
        <v>Real</v>
      </c>
      <c r="G11559" s="8">
        <f t="shared" si="1"/>
        <v>2</v>
      </c>
      <c r="H11559" s="14">
        <f t="shared" si="2"/>
        <v>25</v>
      </c>
      <c r="I11559" s="15">
        <f t="shared" si="3"/>
        <v>14</v>
      </c>
    </row>
    <row r="11560">
      <c r="A11560" s="8" t="str">
        <f>IFERROR(__xludf.DUMMYFUNCTION("IF('(INGESTA)Datos_consumo_datadis'!A11560&lt;&gt;"""",SPLIT('(INGESTA)Datos_consumo_datadis'!A:A,"",""),"""")"),"ES0031408323131005HX0F")</f>
        <v>ES0031408323131005HX0F</v>
      </c>
      <c r="B11560" s="12">
        <f>IFERROR(__xludf.DUMMYFUNCTION("""COMPUTED_VALUE"""),45347.0)</f>
        <v>45347</v>
      </c>
      <c r="C11560" s="13">
        <f>IFERROR(__xludf.DUMMYFUNCTION("""COMPUTED_VALUE"""),0.625)</f>
        <v>0.625</v>
      </c>
      <c r="D11560" s="8">
        <f>IFERROR(__xludf.DUMMYFUNCTION("""COMPUTED_VALUE"""),1.731)</f>
        <v>1.731</v>
      </c>
      <c r="E11560" s="8" t="str">
        <f>IFERROR(__xludf.DUMMYFUNCTION("""COMPUTED_VALUE"""),"Real")</f>
        <v>Real</v>
      </c>
      <c r="G11560" s="8">
        <f t="shared" si="1"/>
        <v>2</v>
      </c>
      <c r="H11560" s="14">
        <f t="shared" si="2"/>
        <v>25</v>
      </c>
      <c r="I11560" s="15">
        <f t="shared" si="3"/>
        <v>15</v>
      </c>
    </row>
    <row r="11561">
      <c r="A11561" s="8" t="str">
        <f>IFERROR(__xludf.DUMMYFUNCTION("IF('(INGESTA)Datos_consumo_datadis'!A11561&lt;&gt;"""",SPLIT('(INGESTA)Datos_consumo_datadis'!A:A,"",""),"""")"),"ES0031408323131005HX0F")</f>
        <v>ES0031408323131005HX0F</v>
      </c>
      <c r="B11561" s="12">
        <f>IFERROR(__xludf.DUMMYFUNCTION("""COMPUTED_VALUE"""),45347.0)</f>
        <v>45347</v>
      </c>
      <c r="C11561" s="13">
        <f>IFERROR(__xludf.DUMMYFUNCTION("""COMPUTED_VALUE"""),0.6666666666666666)</f>
        <v>0.6666666667</v>
      </c>
      <c r="D11561" s="8">
        <f>IFERROR(__xludf.DUMMYFUNCTION("""COMPUTED_VALUE"""),3.183)</f>
        <v>3.183</v>
      </c>
      <c r="E11561" s="8" t="str">
        <f>IFERROR(__xludf.DUMMYFUNCTION("""COMPUTED_VALUE"""),"Real")</f>
        <v>Real</v>
      </c>
      <c r="G11561" s="8">
        <f t="shared" si="1"/>
        <v>2</v>
      </c>
      <c r="H11561" s="14">
        <f t="shared" si="2"/>
        <v>25</v>
      </c>
      <c r="I11561" s="15">
        <f t="shared" si="3"/>
        <v>16</v>
      </c>
    </row>
    <row r="11562">
      <c r="A11562" s="8" t="str">
        <f>IFERROR(__xludf.DUMMYFUNCTION("IF('(INGESTA)Datos_consumo_datadis'!A11562&lt;&gt;"""",SPLIT('(INGESTA)Datos_consumo_datadis'!A:A,"",""),"""")"),"ES0031408323131005HX0F")</f>
        <v>ES0031408323131005HX0F</v>
      </c>
      <c r="B11562" s="12">
        <f>IFERROR(__xludf.DUMMYFUNCTION("""COMPUTED_VALUE"""),45347.0)</f>
        <v>45347</v>
      </c>
      <c r="C11562" s="13">
        <f>IFERROR(__xludf.DUMMYFUNCTION("""COMPUTED_VALUE"""),0.7083333333333334)</f>
        <v>0.7083333333</v>
      </c>
      <c r="D11562" s="8">
        <f>IFERROR(__xludf.DUMMYFUNCTION("""COMPUTED_VALUE"""),4.385)</f>
        <v>4.385</v>
      </c>
      <c r="E11562" s="8" t="str">
        <f>IFERROR(__xludf.DUMMYFUNCTION("""COMPUTED_VALUE"""),"Real")</f>
        <v>Real</v>
      </c>
      <c r="G11562" s="8">
        <f t="shared" si="1"/>
        <v>2</v>
      </c>
      <c r="H11562" s="14">
        <f t="shared" si="2"/>
        <v>25</v>
      </c>
      <c r="I11562" s="15">
        <f t="shared" si="3"/>
        <v>17</v>
      </c>
    </row>
    <row r="11563">
      <c r="A11563" s="8" t="str">
        <f>IFERROR(__xludf.DUMMYFUNCTION("IF('(INGESTA)Datos_consumo_datadis'!A11563&lt;&gt;"""",SPLIT('(INGESTA)Datos_consumo_datadis'!A:A,"",""),"""")"),"ES0031408323131005HX0F")</f>
        <v>ES0031408323131005HX0F</v>
      </c>
      <c r="B11563" s="12">
        <f>IFERROR(__xludf.DUMMYFUNCTION("""COMPUTED_VALUE"""),45347.0)</f>
        <v>45347</v>
      </c>
      <c r="C11563" s="13">
        <f>IFERROR(__xludf.DUMMYFUNCTION("""COMPUTED_VALUE"""),0.75)</f>
        <v>0.75</v>
      </c>
      <c r="D11563" s="8">
        <f>IFERROR(__xludf.DUMMYFUNCTION("""COMPUTED_VALUE"""),0.77)</f>
        <v>0.77</v>
      </c>
      <c r="E11563" s="8" t="str">
        <f>IFERROR(__xludf.DUMMYFUNCTION("""COMPUTED_VALUE"""),"Real")</f>
        <v>Real</v>
      </c>
      <c r="G11563" s="8">
        <f t="shared" si="1"/>
        <v>2</v>
      </c>
      <c r="H11563" s="14">
        <f t="shared" si="2"/>
        <v>25</v>
      </c>
      <c r="I11563" s="15">
        <f t="shared" si="3"/>
        <v>18</v>
      </c>
    </row>
    <row r="11564">
      <c r="A11564" s="8" t="str">
        <f>IFERROR(__xludf.DUMMYFUNCTION("IF('(INGESTA)Datos_consumo_datadis'!A11564&lt;&gt;"""",SPLIT('(INGESTA)Datos_consumo_datadis'!A:A,"",""),"""")"),"ES0031408323131005HX0F")</f>
        <v>ES0031408323131005HX0F</v>
      </c>
      <c r="B11564" s="12">
        <f>IFERROR(__xludf.DUMMYFUNCTION("""COMPUTED_VALUE"""),45347.0)</f>
        <v>45347</v>
      </c>
      <c r="C11564" s="13">
        <f>IFERROR(__xludf.DUMMYFUNCTION("""COMPUTED_VALUE"""),0.7916666666666666)</f>
        <v>0.7916666667</v>
      </c>
      <c r="D11564" s="8">
        <f>IFERROR(__xludf.DUMMYFUNCTION("""COMPUTED_VALUE"""),0.038)</f>
        <v>0.038</v>
      </c>
      <c r="E11564" s="8" t="str">
        <f>IFERROR(__xludf.DUMMYFUNCTION("""COMPUTED_VALUE"""),"Real")</f>
        <v>Real</v>
      </c>
      <c r="G11564" s="8">
        <f t="shared" si="1"/>
        <v>2</v>
      </c>
      <c r="H11564" s="14">
        <f t="shared" si="2"/>
        <v>25</v>
      </c>
      <c r="I11564" s="15">
        <f t="shared" si="3"/>
        <v>19</v>
      </c>
    </row>
    <row r="11565">
      <c r="A11565" s="8" t="str">
        <f>IFERROR(__xludf.DUMMYFUNCTION("IF('(INGESTA)Datos_consumo_datadis'!A11565&lt;&gt;"""",SPLIT('(INGESTA)Datos_consumo_datadis'!A:A,"",""),"""")"),"ES0031408323131005HX0F")</f>
        <v>ES0031408323131005HX0F</v>
      </c>
      <c r="B11565" s="12">
        <f>IFERROR(__xludf.DUMMYFUNCTION("""COMPUTED_VALUE"""),45347.0)</f>
        <v>45347</v>
      </c>
      <c r="C11565" s="13">
        <f>IFERROR(__xludf.DUMMYFUNCTION("""COMPUTED_VALUE"""),0.8333333333333334)</f>
        <v>0.8333333333</v>
      </c>
      <c r="D11565" s="8">
        <f>IFERROR(__xludf.DUMMYFUNCTION("""COMPUTED_VALUE"""),0.486)</f>
        <v>0.486</v>
      </c>
      <c r="E11565" s="8" t="str">
        <f>IFERROR(__xludf.DUMMYFUNCTION("""COMPUTED_VALUE"""),"Real")</f>
        <v>Real</v>
      </c>
      <c r="G11565" s="8">
        <f t="shared" si="1"/>
        <v>2</v>
      </c>
      <c r="H11565" s="14">
        <f t="shared" si="2"/>
        <v>25</v>
      </c>
      <c r="I11565" s="15">
        <f t="shared" si="3"/>
        <v>20</v>
      </c>
    </row>
    <row r="11566">
      <c r="A11566" s="8" t="str">
        <f>IFERROR(__xludf.DUMMYFUNCTION("IF('(INGESTA)Datos_consumo_datadis'!A11566&lt;&gt;"""",SPLIT('(INGESTA)Datos_consumo_datadis'!A:A,"",""),"""")"),"ES0031408323131005HX0F")</f>
        <v>ES0031408323131005HX0F</v>
      </c>
      <c r="B11566" s="12">
        <f>IFERROR(__xludf.DUMMYFUNCTION("""COMPUTED_VALUE"""),45347.0)</f>
        <v>45347</v>
      </c>
      <c r="C11566" s="13">
        <f>IFERROR(__xludf.DUMMYFUNCTION("""COMPUTED_VALUE"""),0.875)</f>
        <v>0.875</v>
      </c>
      <c r="D11566" s="8">
        <f>IFERROR(__xludf.DUMMYFUNCTION("""COMPUTED_VALUE"""),1.236)</f>
        <v>1.236</v>
      </c>
      <c r="E11566" s="8" t="str">
        <f>IFERROR(__xludf.DUMMYFUNCTION("""COMPUTED_VALUE"""),"Real")</f>
        <v>Real</v>
      </c>
      <c r="G11566" s="8">
        <f t="shared" si="1"/>
        <v>2</v>
      </c>
      <c r="H11566" s="14">
        <f t="shared" si="2"/>
        <v>25</v>
      </c>
      <c r="I11566" s="15">
        <f t="shared" si="3"/>
        <v>21</v>
      </c>
    </row>
    <row r="11567">
      <c r="A11567" s="8" t="str">
        <f>IFERROR(__xludf.DUMMYFUNCTION("IF('(INGESTA)Datos_consumo_datadis'!A11567&lt;&gt;"""",SPLIT('(INGESTA)Datos_consumo_datadis'!A:A,"",""),"""")"),"ES0031408323131005HX0F")</f>
        <v>ES0031408323131005HX0F</v>
      </c>
      <c r="B11567" s="12">
        <f>IFERROR(__xludf.DUMMYFUNCTION("""COMPUTED_VALUE"""),45347.0)</f>
        <v>45347</v>
      </c>
      <c r="C11567" s="13">
        <f>IFERROR(__xludf.DUMMYFUNCTION("""COMPUTED_VALUE"""),0.9166666666666666)</f>
        <v>0.9166666667</v>
      </c>
      <c r="D11567" s="8">
        <f>IFERROR(__xludf.DUMMYFUNCTION("""COMPUTED_VALUE"""),1.131)</f>
        <v>1.131</v>
      </c>
      <c r="E11567" s="8" t="str">
        <f>IFERROR(__xludf.DUMMYFUNCTION("""COMPUTED_VALUE"""),"Real")</f>
        <v>Real</v>
      </c>
      <c r="G11567" s="8">
        <f t="shared" si="1"/>
        <v>2</v>
      </c>
      <c r="H11567" s="14">
        <f t="shared" si="2"/>
        <v>25</v>
      </c>
      <c r="I11567" s="15">
        <f t="shared" si="3"/>
        <v>22</v>
      </c>
    </row>
    <row r="11568">
      <c r="A11568" s="8" t="str">
        <f>IFERROR(__xludf.DUMMYFUNCTION("IF('(INGESTA)Datos_consumo_datadis'!A11568&lt;&gt;"""",SPLIT('(INGESTA)Datos_consumo_datadis'!A:A,"",""),"""")"),"ES0031408323131005HX0F")</f>
        <v>ES0031408323131005HX0F</v>
      </c>
      <c r="B11568" s="12">
        <f>IFERROR(__xludf.DUMMYFUNCTION("""COMPUTED_VALUE"""),45347.0)</f>
        <v>45347</v>
      </c>
      <c r="C11568" s="13">
        <f>IFERROR(__xludf.DUMMYFUNCTION("""COMPUTED_VALUE"""),0.9583333333333334)</f>
        <v>0.9583333333</v>
      </c>
      <c r="D11568" s="8">
        <f>IFERROR(__xludf.DUMMYFUNCTION("""COMPUTED_VALUE"""),0.579)</f>
        <v>0.579</v>
      </c>
      <c r="E11568" s="8" t="str">
        <f>IFERROR(__xludf.DUMMYFUNCTION("""COMPUTED_VALUE"""),"Real")</f>
        <v>Real</v>
      </c>
      <c r="G11568" s="8">
        <f t="shared" si="1"/>
        <v>2</v>
      </c>
      <c r="H11568" s="14">
        <f t="shared" si="2"/>
        <v>25</v>
      </c>
      <c r="I11568" s="15">
        <f t="shared" si="3"/>
        <v>23</v>
      </c>
    </row>
    <row r="11569">
      <c r="A11569" s="8" t="str">
        <f>IFERROR(__xludf.DUMMYFUNCTION("IF('(INGESTA)Datos_consumo_datadis'!A11569&lt;&gt;"""",SPLIT('(INGESTA)Datos_consumo_datadis'!A:A,"",""),"""")"),"ES0031408323131005HX0F")</f>
        <v>ES0031408323131005HX0F</v>
      </c>
      <c r="B11569" s="12">
        <f>IFERROR(__xludf.DUMMYFUNCTION("""COMPUTED_VALUE"""),45347.0)</f>
        <v>45347</v>
      </c>
      <c r="C11569" s="16">
        <f>IFERROR(__xludf.DUMMYFUNCTION("""COMPUTED_VALUE"""),1.0)</f>
        <v>1</v>
      </c>
      <c r="D11569" s="8">
        <f>IFERROR(__xludf.DUMMYFUNCTION("""COMPUTED_VALUE"""),0.361)</f>
        <v>0.361</v>
      </c>
      <c r="E11569" s="8" t="str">
        <f>IFERROR(__xludf.DUMMYFUNCTION("""COMPUTED_VALUE"""),"Real")</f>
        <v>Real</v>
      </c>
      <c r="G11569" s="8">
        <f t="shared" si="1"/>
        <v>2</v>
      </c>
      <c r="H11569" s="14">
        <f t="shared" si="2"/>
        <v>25</v>
      </c>
      <c r="I11569" s="15">
        <f t="shared" si="3"/>
        <v>0</v>
      </c>
    </row>
    <row r="11570">
      <c r="A11570" s="8" t="str">
        <f>IFERROR(__xludf.DUMMYFUNCTION("IF('(INGESTA)Datos_consumo_datadis'!A11570&lt;&gt;"""",SPLIT('(INGESTA)Datos_consumo_datadis'!A:A,"",""),"""")"),"ES0031408323131005HX0F")</f>
        <v>ES0031408323131005HX0F</v>
      </c>
      <c r="B11570" s="12">
        <f>IFERROR(__xludf.DUMMYFUNCTION("""COMPUTED_VALUE"""),45348.0)</f>
        <v>45348</v>
      </c>
      <c r="C11570" s="13">
        <f>IFERROR(__xludf.DUMMYFUNCTION("""COMPUTED_VALUE"""),0.041666666666666664)</f>
        <v>0.04166666667</v>
      </c>
      <c r="D11570" s="8">
        <f>IFERROR(__xludf.DUMMYFUNCTION("""COMPUTED_VALUE"""),0.082)</f>
        <v>0.082</v>
      </c>
      <c r="E11570" s="8" t="str">
        <f>IFERROR(__xludf.DUMMYFUNCTION("""COMPUTED_VALUE"""),"Real")</f>
        <v>Real</v>
      </c>
      <c r="G11570" s="8">
        <f t="shared" si="1"/>
        <v>2</v>
      </c>
      <c r="H11570" s="14">
        <f t="shared" si="2"/>
        <v>26</v>
      </c>
      <c r="I11570" s="15">
        <f t="shared" si="3"/>
        <v>1</v>
      </c>
    </row>
    <row r="11571">
      <c r="A11571" s="8" t="str">
        <f>IFERROR(__xludf.DUMMYFUNCTION("IF('(INGESTA)Datos_consumo_datadis'!A11571&lt;&gt;"""",SPLIT('(INGESTA)Datos_consumo_datadis'!A:A,"",""),"""")"),"ES0031408323131005HX0F")</f>
        <v>ES0031408323131005HX0F</v>
      </c>
      <c r="B11571" s="12">
        <f>IFERROR(__xludf.DUMMYFUNCTION("""COMPUTED_VALUE"""),45348.0)</f>
        <v>45348</v>
      </c>
      <c r="C11571" s="13">
        <f>IFERROR(__xludf.DUMMYFUNCTION("""COMPUTED_VALUE"""),0.08333333333333333)</f>
        <v>0.08333333333</v>
      </c>
      <c r="D11571" s="8">
        <f>IFERROR(__xludf.DUMMYFUNCTION("""COMPUTED_VALUE"""),0.096)</f>
        <v>0.096</v>
      </c>
      <c r="E11571" s="8" t="str">
        <f>IFERROR(__xludf.DUMMYFUNCTION("""COMPUTED_VALUE"""),"Real")</f>
        <v>Real</v>
      </c>
      <c r="G11571" s="8">
        <f t="shared" si="1"/>
        <v>2</v>
      </c>
      <c r="H11571" s="14">
        <f t="shared" si="2"/>
        <v>26</v>
      </c>
      <c r="I11571" s="15">
        <f t="shared" si="3"/>
        <v>2</v>
      </c>
    </row>
    <row r="11572">
      <c r="A11572" s="8" t="str">
        <f>IFERROR(__xludf.DUMMYFUNCTION("IF('(INGESTA)Datos_consumo_datadis'!A11572&lt;&gt;"""",SPLIT('(INGESTA)Datos_consumo_datadis'!A:A,"",""),"""")"),"ES0031408323131005HX0F")</f>
        <v>ES0031408323131005HX0F</v>
      </c>
      <c r="B11572" s="12">
        <f>IFERROR(__xludf.DUMMYFUNCTION("""COMPUTED_VALUE"""),45348.0)</f>
        <v>45348</v>
      </c>
      <c r="C11572" s="13">
        <f>IFERROR(__xludf.DUMMYFUNCTION("""COMPUTED_VALUE"""),0.125)</f>
        <v>0.125</v>
      </c>
      <c r="D11572" s="8">
        <f>IFERROR(__xludf.DUMMYFUNCTION("""COMPUTED_VALUE"""),0.038)</f>
        <v>0.038</v>
      </c>
      <c r="E11572" s="8" t="str">
        <f>IFERROR(__xludf.DUMMYFUNCTION("""COMPUTED_VALUE"""),"Real")</f>
        <v>Real</v>
      </c>
      <c r="G11572" s="8">
        <f t="shared" si="1"/>
        <v>2</v>
      </c>
      <c r="H11572" s="14">
        <f t="shared" si="2"/>
        <v>26</v>
      </c>
      <c r="I11572" s="15">
        <f t="shared" si="3"/>
        <v>3</v>
      </c>
    </row>
    <row r="11573">
      <c r="A11573" s="8" t="str">
        <f>IFERROR(__xludf.DUMMYFUNCTION("IF('(INGESTA)Datos_consumo_datadis'!A11573&lt;&gt;"""",SPLIT('(INGESTA)Datos_consumo_datadis'!A:A,"",""),"""")"),"ES0031408323131005HX0F")</f>
        <v>ES0031408323131005HX0F</v>
      </c>
      <c r="B11573" s="12">
        <f>IFERROR(__xludf.DUMMYFUNCTION("""COMPUTED_VALUE"""),45348.0)</f>
        <v>45348</v>
      </c>
      <c r="C11573" s="13">
        <f>IFERROR(__xludf.DUMMYFUNCTION("""COMPUTED_VALUE"""),0.16666666666666666)</f>
        <v>0.1666666667</v>
      </c>
      <c r="D11573" s="8">
        <f>IFERROR(__xludf.DUMMYFUNCTION("""COMPUTED_VALUE"""),0.355)</f>
        <v>0.355</v>
      </c>
      <c r="E11573" s="8" t="str">
        <f>IFERROR(__xludf.DUMMYFUNCTION("""COMPUTED_VALUE"""),"Real")</f>
        <v>Real</v>
      </c>
      <c r="G11573" s="8">
        <f t="shared" si="1"/>
        <v>2</v>
      </c>
      <c r="H11573" s="14">
        <f t="shared" si="2"/>
        <v>26</v>
      </c>
      <c r="I11573" s="15">
        <f t="shared" si="3"/>
        <v>4</v>
      </c>
    </row>
    <row r="11574">
      <c r="A11574" s="8" t="str">
        <f>IFERROR(__xludf.DUMMYFUNCTION("IF('(INGESTA)Datos_consumo_datadis'!A11574&lt;&gt;"""",SPLIT('(INGESTA)Datos_consumo_datadis'!A:A,"",""),"""")"),"ES0031408323131005HX0F")</f>
        <v>ES0031408323131005HX0F</v>
      </c>
      <c r="B11574" s="12">
        <f>IFERROR(__xludf.DUMMYFUNCTION("""COMPUTED_VALUE"""),45348.0)</f>
        <v>45348</v>
      </c>
      <c r="C11574" s="13">
        <f>IFERROR(__xludf.DUMMYFUNCTION("""COMPUTED_VALUE"""),0.20833333333333334)</f>
        <v>0.2083333333</v>
      </c>
      <c r="D11574" s="8">
        <f>IFERROR(__xludf.DUMMYFUNCTION("""COMPUTED_VALUE"""),0.052)</f>
        <v>0.052</v>
      </c>
      <c r="E11574" s="8" t="str">
        <f>IFERROR(__xludf.DUMMYFUNCTION("""COMPUTED_VALUE"""),"Real")</f>
        <v>Real</v>
      </c>
      <c r="G11574" s="8">
        <f t="shared" si="1"/>
        <v>2</v>
      </c>
      <c r="H11574" s="14">
        <f t="shared" si="2"/>
        <v>26</v>
      </c>
      <c r="I11574" s="15">
        <f t="shared" si="3"/>
        <v>5</v>
      </c>
    </row>
    <row r="11575">
      <c r="A11575" s="8" t="str">
        <f>IFERROR(__xludf.DUMMYFUNCTION("IF('(INGESTA)Datos_consumo_datadis'!A11575&lt;&gt;"""",SPLIT('(INGESTA)Datos_consumo_datadis'!A:A,"",""),"""")"),"ES0031408323131005HX0F")</f>
        <v>ES0031408323131005HX0F</v>
      </c>
      <c r="B11575" s="12">
        <f>IFERROR(__xludf.DUMMYFUNCTION("""COMPUTED_VALUE"""),45348.0)</f>
        <v>45348</v>
      </c>
      <c r="C11575" s="13">
        <f>IFERROR(__xludf.DUMMYFUNCTION("""COMPUTED_VALUE"""),0.25)</f>
        <v>0.25</v>
      </c>
      <c r="D11575" s="8">
        <f>IFERROR(__xludf.DUMMYFUNCTION("""COMPUTED_VALUE"""),0.051)</f>
        <v>0.051</v>
      </c>
      <c r="E11575" s="8" t="str">
        <f>IFERROR(__xludf.DUMMYFUNCTION("""COMPUTED_VALUE"""),"Real")</f>
        <v>Real</v>
      </c>
      <c r="G11575" s="8">
        <f t="shared" si="1"/>
        <v>2</v>
      </c>
      <c r="H11575" s="14">
        <f t="shared" si="2"/>
        <v>26</v>
      </c>
      <c r="I11575" s="15">
        <f t="shared" si="3"/>
        <v>6</v>
      </c>
    </row>
    <row r="11576">
      <c r="A11576" s="8" t="str">
        <f>IFERROR(__xludf.DUMMYFUNCTION("IF('(INGESTA)Datos_consumo_datadis'!A11576&lt;&gt;"""",SPLIT('(INGESTA)Datos_consumo_datadis'!A:A,"",""),"""")"),"ES0031408323131005HX0F")</f>
        <v>ES0031408323131005HX0F</v>
      </c>
      <c r="B11576" s="12">
        <f>IFERROR(__xludf.DUMMYFUNCTION("""COMPUTED_VALUE"""),45348.0)</f>
        <v>45348</v>
      </c>
      <c r="C11576" s="13">
        <f>IFERROR(__xludf.DUMMYFUNCTION("""COMPUTED_VALUE"""),0.2916666666666667)</f>
        <v>0.2916666667</v>
      </c>
      <c r="D11576" s="8">
        <f>IFERROR(__xludf.DUMMYFUNCTION("""COMPUTED_VALUE"""),0.078)</f>
        <v>0.078</v>
      </c>
      <c r="E11576" s="8" t="str">
        <f>IFERROR(__xludf.DUMMYFUNCTION("""COMPUTED_VALUE"""),"Real")</f>
        <v>Real</v>
      </c>
      <c r="G11576" s="8">
        <f t="shared" si="1"/>
        <v>2</v>
      </c>
      <c r="H11576" s="14">
        <f t="shared" si="2"/>
        <v>26</v>
      </c>
      <c r="I11576" s="15">
        <f t="shared" si="3"/>
        <v>7</v>
      </c>
    </row>
    <row r="11577">
      <c r="A11577" s="8" t="str">
        <f>IFERROR(__xludf.DUMMYFUNCTION("IF('(INGESTA)Datos_consumo_datadis'!A11577&lt;&gt;"""",SPLIT('(INGESTA)Datos_consumo_datadis'!A:A,"",""),"""")"),"ES0031408323131005HX0F")</f>
        <v>ES0031408323131005HX0F</v>
      </c>
      <c r="B11577" s="12">
        <f>IFERROR(__xludf.DUMMYFUNCTION("""COMPUTED_VALUE"""),45348.0)</f>
        <v>45348</v>
      </c>
      <c r="C11577" s="13">
        <f>IFERROR(__xludf.DUMMYFUNCTION("""COMPUTED_VALUE"""),0.3333333333333333)</f>
        <v>0.3333333333</v>
      </c>
      <c r="D11577" s="8">
        <f>IFERROR(__xludf.DUMMYFUNCTION("""COMPUTED_VALUE"""),2.395)</f>
        <v>2.395</v>
      </c>
      <c r="E11577" s="8" t="str">
        <f>IFERROR(__xludf.DUMMYFUNCTION("""COMPUTED_VALUE"""),"Real")</f>
        <v>Real</v>
      </c>
      <c r="G11577" s="8">
        <f t="shared" si="1"/>
        <v>2</v>
      </c>
      <c r="H11577" s="14">
        <f t="shared" si="2"/>
        <v>26</v>
      </c>
      <c r="I11577" s="15">
        <f t="shared" si="3"/>
        <v>8</v>
      </c>
    </row>
    <row r="11578">
      <c r="A11578" s="8" t="str">
        <f>IFERROR(__xludf.DUMMYFUNCTION("IF('(INGESTA)Datos_consumo_datadis'!A11578&lt;&gt;"""",SPLIT('(INGESTA)Datos_consumo_datadis'!A:A,"",""),"""")"),"ES0031408323131005HX0F")</f>
        <v>ES0031408323131005HX0F</v>
      </c>
      <c r="B11578" s="12">
        <f>IFERROR(__xludf.DUMMYFUNCTION("""COMPUTED_VALUE"""),45348.0)</f>
        <v>45348</v>
      </c>
      <c r="C11578" s="13">
        <f>IFERROR(__xludf.DUMMYFUNCTION("""COMPUTED_VALUE"""),0.375)</f>
        <v>0.375</v>
      </c>
      <c r="D11578" s="8">
        <f>IFERROR(__xludf.DUMMYFUNCTION("""COMPUTED_VALUE"""),0.894)</f>
        <v>0.894</v>
      </c>
      <c r="E11578" s="8" t="str">
        <f>IFERROR(__xludf.DUMMYFUNCTION("""COMPUTED_VALUE"""),"Real")</f>
        <v>Real</v>
      </c>
      <c r="G11578" s="8">
        <f t="shared" si="1"/>
        <v>2</v>
      </c>
      <c r="H11578" s="14">
        <f t="shared" si="2"/>
        <v>26</v>
      </c>
      <c r="I11578" s="15">
        <f t="shared" si="3"/>
        <v>9</v>
      </c>
    </row>
    <row r="11579">
      <c r="A11579" s="8" t="str">
        <f>IFERROR(__xludf.DUMMYFUNCTION("IF('(INGESTA)Datos_consumo_datadis'!A11579&lt;&gt;"""",SPLIT('(INGESTA)Datos_consumo_datadis'!A:A,"",""),"""")"),"ES0031408323131005HX0F")</f>
        <v>ES0031408323131005HX0F</v>
      </c>
      <c r="B11579" s="12">
        <f>IFERROR(__xludf.DUMMYFUNCTION("""COMPUTED_VALUE"""),45348.0)</f>
        <v>45348</v>
      </c>
      <c r="C11579" s="13">
        <f>IFERROR(__xludf.DUMMYFUNCTION("""COMPUTED_VALUE"""),0.4166666666666667)</f>
        <v>0.4166666667</v>
      </c>
      <c r="D11579" s="8">
        <f>IFERROR(__xludf.DUMMYFUNCTION("""COMPUTED_VALUE"""),0.05)</f>
        <v>0.05</v>
      </c>
      <c r="E11579" s="8" t="str">
        <f>IFERROR(__xludf.DUMMYFUNCTION("""COMPUTED_VALUE"""),"Real")</f>
        <v>Real</v>
      </c>
      <c r="G11579" s="8">
        <f t="shared" si="1"/>
        <v>2</v>
      </c>
      <c r="H11579" s="14">
        <f t="shared" si="2"/>
        <v>26</v>
      </c>
      <c r="I11579" s="15">
        <f t="shared" si="3"/>
        <v>10</v>
      </c>
    </row>
    <row r="11580">
      <c r="A11580" s="8" t="str">
        <f>IFERROR(__xludf.DUMMYFUNCTION("IF('(INGESTA)Datos_consumo_datadis'!A11580&lt;&gt;"""",SPLIT('(INGESTA)Datos_consumo_datadis'!A:A,"",""),"""")"),"ES0031408323131005HX0F")</f>
        <v>ES0031408323131005HX0F</v>
      </c>
      <c r="B11580" s="12">
        <f>IFERROR(__xludf.DUMMYFUNCTION("""COMPUTED_VALUE"""),45348.0)</f>
        <v>45348</v>
      </c>
      <c r="C11580" s="13">
        <f>IFERROR(__xludf.DUMMYFUNCTION("""COMPUTED_VALUE"""),0.4583333333333333)</f>
        <v>0.4583333333</v>
      </c>
      <c r="D11580" s="8">
        <f>IFERROR(__xludf.DUMMYFUNCTION("""COMPUTED_VALUE"""),0.043)</f>
        <v>0.043</v>
      </c>
      <c r="E11580" s="8" t="str">
        <f>IFERROR(__xludf.DUMMYFUNCTION("""COMPUTED_VALUE"""),"Real")</f>
        <v>Real</v>
      </c>
      <c r="G11580" s="8">
        <f t="shared" si="1"/>
        <v>2</v>
      </c>
      <c r="H11580" s="14">
        <f t="shared" si="2"/>
        <v>26</v>
      </c>
      <c r="I11580" s="15">
        <f t="shared" si="3"/>
        <v>11</v>
      </c>
    </row>
    <row r="11581">
      <c r="A11581" s="8" t="str">
        <f>IFERROR(__xludf.DUMMYFUNCTION("IF('(INGESTA)Datos_consumo_datadis'!A11581&lt;&gt;"""",SPLIT('(INGESTA)Datos_consumo_datadis'!A:A,"",""),"""")"),"ES0031408323131005HX0F")</f>
        <v>ES0031408323131005HX0F</v>
      </c>
      <c r="B11581" s="12">
        <f>IFERROR(__xludf.DUMMYFUNCTION("""COMPUTED_VALUE"""),45348.0)</f>
        <v>45348</v>
      </c>
      <c r="C11581" s="13">
        <f>IFERROR(__xludf.DUMMYFUNCTION("""COMPUTED_VALUE"""),0.5)</f>
        <v>0.5</v>
      </c>
      <c r="D11581" s="8">
        <f>IFERROR(__xludf.DUMMYFUNCTION("""COMPUTED_VALUE"""),0.077)</f>
        <v>0.077</v>
      </c>
      <c r="E11581" s="8" t="str">
        <f>IFERROR(__xludf.DUMMYFUNCTION("""COMPUTED_VALUE"""),"Real")</f>
        <v>Real</v>
      </c>
      <c r="G11581" s="8">
        <f t="shared" si="1"/>
        <v>2</v>
      </c>
      <c r="H11581" s="14">
        <f t="shared" si="2"/>
        <v>26</v>
      </c>
      <c r="I11581" s="15">
        <f t="shared" si="3"/>
        <v>12</v>
      </c>
    </row>
    <row r="11582">
      <c r="A11582" s="8" t="str">
        <f>IFERROR(__xludf.DUMMYFUNCTION("IF('(INGESTA)Datos_consumo_datadis'!A11582&lt;&gt;"""",SPLIT('(INGESTA)Datos_consumo_datadis'!A:A,"",""),"""")"),"ES0031408323131005HX0F")</f>
        <v>ES0031408323131005HX0F</v>
      </c>
      <c r="B11582" s="12">
        <f>IFERROR(__xludf.DUMMYFUNCTION("""COMPUTED_VALUE"""),45348.0)</f>
        <v>45348</v>
      </c>
      <c r="C11582" s="13">
        <f>IFERROR(__xludf.DUMMYFUNCTION("""COMPUTED_VALUE"""),0.5416666666666666)</f>
        <v>0.5416666667</v>
      </c>
      <c r="D11582" s="8">
        <f>IFERROR(__xludf.DUMMYFUNCTION("""COMPUTED_VALUE"""),0.579)</f>
        <v>0.579</v>
      </c>
      <c r="E11582" s="8" t="str">
        <f>IFERROR(__xludf.DUMMYFUNCTION("""COMPUTED_VALUE"""),"Real")</f>
        <v>Real</v>
      </c>
      <c r="G11582" s="8">
        <f t="shared" si="1"/>
        <v>2</v>
      </c>
      <c r="H11582" s="14">
        <f t="shared" si="2"/>
        <v>26</v>
      </c>
      <c r="I11582" s="15">
        <f t="shared" si="3"/>
        <v>13</v>
      </c>
    </row>
    <row r="11583">
      <c r="A11583" s="8" t="str">
        <f>IFERROR(__xludf.DUMMYFUNCTION("IF('(INGESTA)Datos_consumo_datadis'!A11583&lt;&gt;"""",SPLIT('(INGESTA)Datos_consumo_datadis'!A:A,"",""),"""")"),"ES0031408323131005HX0F")</f>
        <v>ES0031408323131005HX0F</v>
      </c>
      <c r="B11583" s="12">
        <f>IFERROR(__xludf.DUMMYFUNCTION("""COMPUTED_VALUE"""),45348.0)</f>
        <v>45348</v>
      </c>
      <c r="C11583" s="13">
        <f>IFERROR(__xludf.DUMMYFUNCTION("""COMPUTED_VALUE"""),0.5833333333333334)</f>
        <v>0.5833333333</v>
      </c>
      <c r="D11583" s="8">
        <f>IFERROR(__xludf.DUMMYFUNCTION("""COMPUTED_VALUE"""),0.597)</f>
        <v>0.597</v>
      </c>
      <c r="E11583" s="8" t="str">
        <f>IFERROR(__xludf.DUMMYFUNCTION("""COMPUTED_VALUE"""),"Real")</f>
        <v>Real</v>
      </c>
      <c r="G11583" s="8">
        <f t="shared" si="1"/>
        <v>2</v>
      </c>
      <c r="H11583" s="14">
        <f t="shared" si="2"/>
        <v>26</v>
      </c>
      <c r="I11583" s="15">
        <f t="shared" si="3"/>
        <v>14</v>
      </c>
    </row>
    <row r="11584">
      <c r="A11584" s="8" t="str">
        <f>IFERROR(__xludf.DUMMYFUNCTION("IF('(INGESTA)Datos_consumo_datadis'!A11584&lt;&gt;"""",SPLIT('(INGESTA)Datos_consumo_datadis'!A:A,"",""),"""")"),"ES0031408323131005HX0F")</f>
        <v>ES0031408323131005HX0F</v>
      </c>
      <c r="B11584" s="12">
        <f>IFERROR(__xludf.DUMMYFUNCTION("""COMPUTED_VALUE"""),45348.0)</f>
        <v>45348</v>
      </c>
      <c r="C11584" s="13">
        <f>IFERROR(__xludf.DUMMYFUNCTION("""COMPUTED_VALUE"""),0.625)</f>
        <v>0.625</v>
      </c>
      <c r="D11584" s="8">
        <f>IFERROR(__xludf.DUMMYFUNCTION("""COMPUTED_VALUE"""),0.062)</f>
        <v>0.062</v>
      </c>
      <c r="E11584" s="8" t="str">
        <f>IFERROR(__xludf.DUMMYFUNCTION("""COMPUTED_VALUE"""),"Real")</f>
        <v>Real</v>
      </c>
      <c r="G11584" s="8">
        <f t="shared" si="1"/>
        <v>2</v>
      </c>
      <c r="H11584" s="14">
        <f t="shared" si="2"/>
        <v>26</v>
      </c>
      <c r="I11584" s="15">
        <f t="shared" si="3"/>
        <v>15</v>
      </c>
    </row>
    <row r="11585">
      <c r="A11585" s="8" t="str">
        <f>IFERROR(__xludf.DUMMYFUNCTION("IF('(INGESTA)Datos_consumo_datadis'!A11585&lt;&gt;"""",SPLIT('(INGESTA)Datos_consumo_datadis'!A:A,"",""),"""")"),"ES0031408323131005HX0F")</f>
        <v>ES0031408323131005HX0F</v>
      </c>
      <c r="B11585" s="12">
        <f>IFERROR(__xludf.DUMMYFUNCTION("""COMPUTED_VALUE"""),45348.0)</f>
        <v>45348</v>
      </c>
      <c r="C11585" s="13">
        <f>IFERROR(__xludf.DUMMYFUNCTION("""COMPUTED_VALUE"""),0.6666666666666666)</f>
        <v>0.6666666667</v>
      </c>
      <c r="D11585" s="8">
        <f>IFERROR(__xludf.DUMMYFUNCTION("""COMPUTED_VALUE"""),0.022)</f>
        <v>0.022</v>
      </c>
      <c r="E11585" s="8" t="str">
        <f>IFERROR(__xludf.DUMMYFUNCTION("""COMPUTED_VALUE"""),"Real")</f>
        <v>Real</v>
      </c>
      <c r="G11585" s="8">
        <f t="shared" si="1"/>
        <v>2</v>
      </c>
      <c r="H11585" s="14">
        <f t="shared" si="2"/>
        <v>26</v>
      </c>
      <c r="I11585" s="15">
        <f t="shared" si="3"/>
        <v>16</v>
      </c>
    </row>
    <row r="11586">
      <c r="A11586" s="8" t="str">
        <f>IFERROR(__xludf.DUMMYFUNCTION("IF('(INGESTA)Datos_consumo_datadis'!A11586&lt;&gt;"""",SPLIT('(INGESTA)Datos_consumo_datadis'!A:A,"",""),"""")"),"ES0031408323131005HX0F")</f>
        <v>ES0031408323131005HX0F</v>
      </c>
      <c r="B11586" s="12">
        <f>IFERROR(__xludf.DUMMYFUNCTION("""COMPUTED_VALUE"""),45348.0)</f>
        <v>45348</v>
      </c>
      <c r="C11586" s="13">
        <f>IFERROR(__xludf.DUMMYFUNCTION("""COMPUTED_VALUE"""),0.7083333333333334)</f>
        <v>0.7083333333</v>
      </c>
      <c r="D11586" s="8">
        <f>IFERROR(__xludf.DUMMYFUNCTION("""COMPUTED_VALUE"""),0.088)</f>
        <v>0.088</v>
      </c>
      <c r="E11586" s="8" t="str">
        <f>IFERROR(__xludf.DUMMYFUNCTION("""COMPUTED_VALUE"""),"Real")</f>
        <v>Real</v>
      </c>
      <c r="G11586" s="8">
        <f t="shared" si="1"/>
        <v>2</v>
      </c>
      <c r="H11586" s="14">
        <f t="shared" si="2"/>
        <v>26</v>
      </c>
      <c r="I11586" s="15">
        <f t="shared" si="3"/>
        <v>17</v>
      </c>
    </row>
    <row r="11587">
      <c r="A11587" s="8" t="str">
        <f>IFERROR(__xludf.DUMMYFUNCTION("IF('(INGESTA)Datos_consumo_datadis'!A11587&lt;&gt;"""",SPLIT('(INGESTA)Datos_consumo_datadis'!A:A,"",""),"""")"),"ES0031408323131005HX0F")</f>
        <v>ES0031408323131005HX0F</v>
      </c>
      <c r="B11587" s="12">
        <f>IFERROR(__xludf.DUMMYFUNCTION("""COMPUTED_VALUE"""),45348.0)</f>
        <v>45348</v>
      </c>
      <c r="C11587" s="13">
        <f>IFERROR(__xludf.DUMMYFUNCTION("""COMPUTED_VALUE"""),0.75)</f>
        <v>0.75</v>
      </c>
      <c r="D11587" s="8">
        <f>IFERROR(__xludf.DUMMYFUNCTION("""COMPUTED_VALUE"""),0.081)</f>
        <v>0.081</v>
      </c>
      <c r="E11587" s="8" t="str">
        <f>IFERROR(__xludf.DUMMYFUNCTION("""COMPUTED_VALUE"""),"Real")</f>
        <v>Real</v>
      </c>
      <c r="G11587" s="8">
        <f t="shared" si="1"/>
        <v>2</v>
      </c>
      <c r="H11587" s="14">
        <f t="shared" si="2"/>
        <v>26</v>
      </c>
      <c r="I11587" s="15">
        <f t="shared" si="3"/>
        <v>18</v>
      </c>
    </row>
    <row r="11588">
      <c r="A11588" s="8" t="str">
        <f>IFERROR(__xludf.DUMMYFUNCTION("IF('(INGESTA)Datos_consumo_datadis'!A11588&lt;&gt;"""",SPLIT('(INGESTA)Datos_consumo_datadis'!A:A,"",""),"""")"),"ES0031408323131005HX0F")</f>
        <v>ES0031408323131005HX0F</v>
      </c>
      <c r="B11588" s="12">
        <f>IFERROR(__xludf.DUMMYFUNCTION("""COMPUTED_VALUE"""),45348.0)</f>
        <v>45348</v>
      </c>
      <c r="C11588" s="13">
        <f>IFERROR(__xludf.DUMMYFUNCTION("""COMPUTED_VALUE"""),0.7916666666666666)</f>
        <v>0.7916666667</v>
      </c>
      <c r="D11588" s="8">
        <f>IFERROR(__xludf.DUMMYFUNCTION("""COMPUTED_VALUE"""),0.294)</f>
        <v>0.294</v>
      </c>
      <c r="E11588" s="8" t="str">
        <f>IFERROR(__xludf.DUMMYFUNCTION("""COMPUTED_VALUE"""),"Real")</f>
        <v>Real</v>
      </c>
      <c r="G11588" s="8">
        <f t="shared" si="1"/>
        <v>2</v>
      </c>
      <c r="H11588" s="14">
        <f t="shared" si="2"/>
        <v>26</v>
      </c>
      <c r="I11588" s="15">
        <f t="shared" si="3"/>
        <v>19</v>
      </c>
    </row>
    <row r="11589">
      <c r="A11589" s="8" t="str">
        <f>IFERROR(__xludf.DUMMYFUNCTION("IF('(INGESTA)Datos_consumo_datadis'!A11589&lt;&gt;"""",SPLIT('(INGESTA)Datos_consumo_datadis'!A:A,"",""),"""")"),"ES0031408323131005HX0F")</f>
        <v>ES0031408323131005HX0F</v>
      </c>
      <c r="B11589" s="12">
        <f>IFERROR(__xludf.DUMMYFUNCTION("""COMPUTED_VALUE"""),45348.0)</f>
        <v>45348</v>
      </c>
      <c r="C11589" s="13">
        <f>IFERROR(__xludf.DUMMYFUNCTION("""COMPUTED_VALUE"""),0.8333333333333334)</f>
        <v>0.8333333333</v>
      </c>
      <c r="D11589" s="8">
        <f>IFERROR(__xludf.DUMMYFUNCTION("""COMPUTED_VALUE"""),0.117)</f>
        <v>0.117</v>
      </c>
      <c r="E11589" s="8" t="str">
        <f>IFERROR(__xludf.DUMMYFUNCTION("""COMPUTED_VALUE"""),"Real")</f>
        <v>Real</v>
      </c>
      <c r="G11589" s="8">
        <f t="shared" si="1"/>
        <v>2</v>
      </c>
      <c r="H11589" s="14">
        <f t="shared" si="2"/>
        <v>26</v>
      </c>
      <c r="I11589" s="15">
        <f t="shared" si="3"/>
        <v>20</v>
      </c>
    </row>
    <row r="11590">
      <c r="A11590" s="8" t="str">
        <f>IFERROR(__xludf.DUMMYFUNCTION("IF('(INGESTA)Datos_consumo_datadis'!A11590&lt;&gt;"""",SPLIT('(INGESTA)Datos_consumo_datadis'!A:A,"",""),"""")"),"ES0031408323131005HX0F")</f>
        <v>ES0031408323131005HX0F</v>
      </c>
      <c r="B11590" s="12">
        <f>IFERROR(__xludf.DUMMYFUNCTION("""COMPUTED_VALUE"""),45348.0)</f>
        <v>45348</v>
      </c>
      <c r="C11590" s="13">
        <f>IFERROR(__xludf.DUMMYFUNCTION("""COMPUTED_VALUE"""),0.875)</f>
        <v>0.875</v>
      </c>
      <c r="D11590" s="8">
        <f>IFERROR(__xludf.DUMMYFUNCTION("""COMPUTED_VALUE"""),0.608)</f>
        <v>0.608</v>
      </c>
      <c r="E11590" s="8" t="str">
        <f>IFERROR(__xludf.DUMMYFUNCTION("""COMPUTED_VALUE"""),"Real")</f>
        <v>Real</v>
      </c>
      <c r="G11590" s="8">
        <f t="shared" si="1"/>
        <v>2</v>
      </c>
      <c r="H11590" s="14">
        <f t="shared" si="2"/>
        <v>26</v>
      </c>
      <c r="I11590" s="15">
        <f t="shared" si="3"/>
        <v>21</v>
      </c>
    </row>
    <row r="11591">
      <c r="A11591" s="8" t="str">
        <f>IFERROR(__xludf.DUMMYFUNCTION("IF('(INGESTA)Datos_consumo_datadis'!A11591&lt;&gt;"""",SPLIT('(INGESTA)Datos_consumo_datadis'!A:A,"",""),"""")"),"ES0031408323131005HX0F")</f>
        <v>ES0031408323131005HX0F</v>
      </c>
      <c r="B11591" s="12">
        <f>IFERROR(__xludf.DUMMYFUNCTION("""COMPUTED_VALUE"""),45348.0)</f>
        <v>45348</v>
      </c>
      <c r="C11591" s="13">
        <f>IFERROR(__xludf.DUMMYFUNCTION("""COMPUTED_VALUE"""),0.9166666666666666)</f>
        <v>0.9166666667</v>
      </c>
      <c r="D11591" s="8">
        <f>IFERROR(__xludf.DUMMYFUNCTION("""COMPUTED_VALUE"""),3.118)</f>
        <v>3.118</v>
      </c>
      <c r="E11591" s="8" t="str">
        <f>IFERROR(__xludf.DUMMYFUNCTION("""COMPUTED_VALUE"""),"Real")</f>
        <v>Real</v>
      </c>
      <c r="G11591" s="8">
        <f t="shared" si="1"/>
        <v>2</v>
      </c>
      <c r="H11591" s="14">
        <f t="shared" si="2"/>
        <v>26</v>
      </c>
      <c r="I11591" s="15">
        <f t="shared" si="3"/>
        <v>22</v>
      </c>
    </row>
    <row r="11592">
      <c r="A11592" s="8" t="str">
        <f>IFERROR(__xludf.DUMMYFUNCTION("IF('(INGESTA)Datos_consumo_datadis'!A11592&lt;&gt;"""",SPLIT('(INGESTA)Datos_consumo_datadis'!A:A,"",""),"""")"),"ES0031408323131005HX0F")</f>
        <v>ES0031408323131005HX0F</v>
      </c>
      <c r="B11592" s="12">
        <f>IFERROR(__xludf.DUMMYFUNCTION("""COMPUTED_VALUE"""),45348.0)</f>
        <v>45348</v>
      </c>
      <c r="C11592" s="13">
        <f>IFERROR(__xludf.DUMMYFUNCTION("""COMPUTED_VALUE"""),0.9583333333333334)</f>
        <v>0.9583333333</v>
      </c>
      <c r="D11592" s="8">
        <f>IFERROR(__xludf.DUMMYFUNCTION("""COMPUTED_VALUE"""),3.3)</f>
        <v>3.3</v>
      </c>
      <c r="E11592" s="8" t="str">
        <f>IFERROR(__xludf.DUMMYFUNCTION("""COMPUTED_VALUE"""),"Real")</f>
        <v>Real</v>
      </c>
      <c r="G11592" s="8">
        <f t="shared" si="1"/>
        <v>2</v>
      </c>
      <c r="H11592" s="14">
        <f t="shared" si="2"/>
        <v>26</v>
      </c>
      <c r="I11592" s="15">
        <f t="shared" si="3"/>
        <v>23</v>
      </c>
    </row>
    <row r="11593">
      <c r="A11593" s="8" t="str">
        <f>IFERROR(__xludf.DUMMYFUNCTION("IF('(INGESTA)Datos_consumo_datadis'!A11593&lt;&gt;"""",SPLIT('(INGESTA)Datos_consumo_datadis'!A:A,"",""),"""")"),"ES0031408323131005HX0F")</f>
        <v>ES0031408323131005HX0F</v>
      </c>
      <c r="B11593" s="12">
        <f>IFERROR(__xludf.DUMMYFUNCTION("""COMPUTED_VALUE"""),45348.0)</f>
        <v>45348</v>
      </c>
      <c r="C11593" s="16">
        <f>IFERROR(__xludf.DUMMYFUNCTION("""COMPUTED_VALUE"""),1.0)</f>
        <v>1</v>
      </c>
      <c r="D11593" s="8">
        <f>IFERROR(__xludf.DUMMYFUNCTION("""COMPUTED_VALUE"""),2.914)</f>
        <v>2.914</v>
      </c>
      <c r="E11593" s="8" t="str">
        <f>IFERROR(__xludf.DUMMYFUNCTION("""COMPUTED_VALUE"""),"Real")</f>
        <v>Real</v>
      </c>
      <c r="G11593" s="8">
        <f t="shared" si="1"/>
        <v>2</v>
      </c>
      <c r="H11593" s="14">
        <f t="shared" si="2"/>
        <v>26</v>
      </c>
      <c r="I11593" s="15">
        <f t="shared" si="3"/>
        <v>0</v>
      </c>
    </row>
    <row r="11594">
      <c r="A11594" s="8" t="str">
        <f>IFERROR(__xludf.DUMMYFUNCTION("IF('(INGESTA)Datos_consumo_datadis'!A11594&lt;&gt;"""",SPLIT('(INGESTA)Datos_consumo_datadis'!A:A,"",""),"""")"),"ES0031408323131005HX0F")</f>
        <v>ES0031408323131005HX0F</v>
      </c>
      <c r="B11594" s="12">
        <f>IFERROR(__xludf.DUMMYFUNCTION("""COMPUTED_VALUE"""),45349.0)</f>
        <v>45349</v>
      </c>
      <c r="C11594" s="13">
        <f>IFERROR(__xludf.DUMMYFUNCTION("""COMPUTED_VALUE"""),0.041666666666666664)</f>
        <v>0.04166666667</v>
      </c>
      <c r="D11594" s="8">
        <f>IFERROR(__xludf.DUMMYFUNCTION("""COMPUTED_VALUE"""),1.862)</f>
        <v>1.862</v>
      </c>
      <c r="E11594" s="8" t="str">
        <f>IFERROR(__xludf.DUMMYFUNCTION("""COMPUTED_VALUE"""),"Real")</f>
        <v>Real</v>
      </c>
      <c r="G11594" s="8">
        <f t="shared" si="1"/>
        <v>2</v>
      </c>
      <c r="H11594" s="14">
        <f t="shared" si="2"/>
        <v>27</v>
      </c>
      <c r="I11594" s="15">
        <f t="shared" si="3"/>
        <v>1</v>
      </c>
    </row>
    <row r="11595">
      <c r="A11595" s="8" t="str">
        <f>IFERROR(__xludf.DUMMYFUNCTION("IF('(INGESTA)Datos_consumo_datadis'!A11595&lt;&gt;"""",SPLIT('(INGESTA)Datos_consumo_datadis'!A:A,"",""),"""")"),"ES0031408323131005HX0F")</f>
        <v>ES0031408323131005HX0F</v>
      </c>
      <c r="B11595" s="12">
        <f>IFERROR(__xludf.DUMMYFUNCTION("""COMPUTED_VALUE"""),45349.0)</f>
        <v>45349</v>
      </c>
      <c r="C11595" s="13">
        <f>IFERROR(__xludf.DUMMYFUNCTION("""COMPUTED_VALUE"""),0.08333333333333333)</f>
        <v>0.08333333333</v>
      </c>
      <c r="D11595" s="8">
        <f>IFERROR(__xludf.DUMMYFUNCTION("""COMPUTED_VALUE"""),0.15)</f>
        <v>0.15</v>
      </c>
      <c r="E11595" s="8" t="str">
        <f>IFERROR(__xludf.DUMMYFUNCTION("""COMPUTED_VALUE"""),"Real")</f>
        <v>Real</v>
      </c>
      <c r="G11595" s="8">
        <f t="shared" si="1"/>
        <v>2</v>
      </c>
      <c r="H11595" s="14">
        <f t="shared" si="2"/>
        <v>27</v>
      </c>
      <c r="I11595" s="15">
        <f t="shared" si="3"/>
        <v>2</v>
      </c>
    </row>
    <row r="11596">
      <c r="A11596" s="8" t="str">
        <f>IFERROR(__xludf.DUMMYFUNCTION("IF('(INGESTA)Datos_consumo_datadis'!A11596&lt;&gt;"""",SPLIT('(INGESTA)Datos_consumo_datadis'!A:A,"",""),"""")"),"ES0031408323131005HX0F")</f>
        <v>ES0031408323131005HX0F</v>
      </c>
      <c r="B11596" s="12">
        <f>IFERROR(__xludf.DUMMYFUNCTION("""COMPUTED_VALUE"""),45349.0)</f>
        <v>45349</v>
      </c>
      <c r="C11596" s="13">
        <f>IFERROR(__xludf.DUMMYFUNCTION("""COMPUTED_VALUE"""),0.125)</f>
        <v>0.125</v>
      </c>
      <c r="D11596" s="8">
        <f>IFERROR(__xludf.DUMMYFUNCTION("""COMPUTED_VALUE"""),0.121)</f>
        <v>0.121</v>
      </c>
      <c r="E11596" s="8" t="str">
        <f>IFERROR(__xludf.DUMMYFUNCTION("""COMPUTED_VALUE"""),"Real")</f>
        <v>Real</v>
      </c>
      <c r="G11596" s="8">
        <f t="shared" si="1"/>
        <v>2</v>
      </c>
      <c r="H11596" s="14">
        <f t="shared" si="2"/>
        <v>27</v>
      </c>
      <c r="I11596" s="15">
        <f t="shared" si="3"/>
        <v>3</v>
      </c>
    </row>
    <row r="11597">
      <c r="A11597" s="8" t="str">
        <f>IFERROR(__xludf.DUMMYFUNCTION("IF('(INGESTA)Datos_consumo_datadis'!A11597&lt;&gt;"""",SPLIT('(INGESTA)Datos_consumo_datadis'!A:A,"",""),"""")"),"ES0031408323131005HX0F")</f>
        <v>ES0031408323131005HX0F</v>
      </c>
      <c r="B11597" s="12">
        <f>IFERROR(__xludf.DUMMYFUNCTION("""COMPUTED_VALUE"""),45349.0)</f>
        <v>45349</v>
      </c>
      <c r="C11597" s="13">
        <f>IFERROR(__xludf.DUMMYFUNCTION("""COMPUTED_VALUE"""),0.16666666666666666)</f>
        <v>0.1666666667</v>
      </c>
      <c r="D11597" s="8">
        <f>IFERROR(__xludf.DUMMYFUNCTION("""COMPUTED_VALUE"""),0.14)</f>
        <v>0.14</v>
      </c>
      <c r="E11597" s="8" t="str">
        <f>IFERROR(__xludf.DUMMYFUNCTION("""COMPUTED_VALUE"""),"Real")</f>
        <v>Real</v>
      </c>
      <c r="G11597" s="8">
        <f t="shared" si="1"/>
        <v>2</v>
      </c>
      <c r="H11597" s="14">
        <f t="shared" si="2"/>
        <v>27</v>
      </c>
      <c r="I11597" s="15">
        <f t="shared" si="3"/>
        <v>4</v>
      </c>
    </row>
    <row r="11598">
      <c r="A11598" s="8" t="str">
        <f>IFERROR(__xludf.DUMMYFUNCTION("IF('(INGESTA)Datos_consumo_datadis'!A11598&lt;&gt;"""",SPLIT('(INGESTA)Datos_consumo_datadis'!A:A,"",""),"""")"),"ES0031408323131005HX0F")</f>
        <v>ES0031408323131005HX0F</v>
      </c>
      <c r="B11598" s="12">
        <f>IFERROR(__xludf.DUMMYFUNCTION("""COMPUTED_VALUE"""),45349.0)</f>
        <v>45349</v>
      </c>
      <c r="C11598" s="13">
        <f>IFERROR(__xludf.DUMMYFUNCTION("""COMPUTED_VALUE"""),0.20833333333333334)</f>
        <v>0.2083333333</v>
      </c>
      <c r="D11598" s="8">
        <f>IFERROR(__xludf.DUMMYFUNCTION("""COMPUTED_VALUE"""),0.135)</f>
        <v>0.135</v>
      </c>
      <c r="E11598" s="8" t="str">
        <f>IFERROR(__xludf.DUMMYFUNCTION("""COMPUTED_VALUE"""),"Real")</f>
        <v>Real</v>
      </c>
      <c r="G11598" s="8">
        <f t="shared" si="1"/>
        <v>2</v>
      </c>
      <c r="H11598" s="14">
        <f t="shared" si="2"/>
        <v>27</v>
      </c>
      <c r="I11598" s="15">
        <f t="shared" si="3"/>
        <v>5</v>
      </c>
    </row>
    <row r="11599">
      <c r="A11599" s="8" t="str">
        <f>IFERROR(__xludf.DUMMYFUNCTION("IF('(INGESTA)Datos_consumo_datadis'!A11599&lt;&gt;"""",SPLIT('(INGESTA)Datos_consumo_datadis'!A:A,"",""),"""")"),"ES0031408323131005HX0F")</f>
        <v>ES0031408323131005HX0F</v>
      </c>
      <c r="B11599" s="12">
        <f>IFERROR(__xludf.DUMMYFUNCTION("""COMPUTED_VALUE"""),45349.0)</f>
        <v>45349</v>
      </c>
      <c r="C11599" s="13">
        <f>IFERROR(__xludf.DUMMYFUNCTION("""COMPUTED_VALUE"""),0.25)</f>
        <v>0.25</v>
      </c>
      <c r="D11599" s="8">
        <f>IFERROR(__xludf.DUMMYFUNCTION("""COMPUTED_VALUE"""),0.361)</f>
        <v>0.361</v>
      </c>
      <c r="E11599" s="8" t="str">
        <f>IFERROR(__xludf.DUMMYFUNCTION("""COMPUTED_VALUE"""),"Real")</f>
        <v>Real</v>
      </c>
      <c r="G11599" s="8">
        <f t="shared" si="1"/>
        <v>2</v>
      </c>
      <c r="H11599" s="14">
        <f t="shared" si="2"/>
        <v>27</v>
      </c>
      <c r="I11599" s="15">
        <f t="shared" si="3"/>
        <v>6</v>
      </c>
    </row>
    <row r="11600">
      <c r="A11600" s="8" t="str">
        <f>IFERROR(__xludf.DUMMYFUNCTION("IF('(INGESTA)Datos_consumo_datadis'!A11600&lt;&gt;"""",SPLIT('(INGESTA)Datos_consumo_datadis'!A:A,"",""),"""")"),"ES0031408323131005HX0F")</f>
        <v>ES0031408323131005HX0F</v>
      </c>
      <c r="B11600" s="12">
        <f>IFERROR(__xludf.DUMMYFUNCTION("""COMPUTED_VALUE"""),45349.0)</f>
        <v>45349</v>
      </c>
      <c r="C11600" s="13">
        <f>IFERROR(__xludf.DUMMYFUNCTION("""COMPUTED_VALUE"""),0.2916666666666667)</f>
        <v>0.2916666667</v>
      </c>
      <c r="D11600" s="8">
        <f>IFERROR(__xludf.DUMMYFUNCTION("""COMPUTED_VALUE"""),0.157)</f>
        <v>0.157</v>
      </c>
      <c r="E11600" s="8" t="str">
        <f>IFERROR(__xludf.DUMMYFUNCTION("""COMPUTED_VALUE"""),"Real")</f>
        <v>Real</v>
      </c>
      <c r="G11600" s="8">
        <f t="shared" si="1"/>
        <v>2</v>
      </c>
      <c r="H11600" s="14">
        <f t="shared" si="2"/>
        <v>27</v>
      </c>
      <c r="I11600" s="15">
        <f t="shared" si="3"/>
        <v>7</v>
      </c>
    </row>
    <row r="11601">
      <c r="A11601" s="8" t="str">
        <f>IFERROR(__xludf.DUMMYFUNCTION("IF('(INGESTA)Datos_consumo_datadis'!A11601&lt;&gt;"""",SPLIT('(INGESTA)Datos_consumo_datadis'!A:A,"",""),"""")"),"ES0031408323131005HX0F")</f>
        <v>ES0031408323131005HX0F</v>
      </c>
      <c r="B11601" s="12">
        <f>IFERROR(__xludf.DUMMYFUNCTION("""COMPUTED_VALUE"""),45349.0)</f>
        <v>45349</v>
      </c>
      <c r="C11601" s="13">
        <f>IFERROR(__xludf.DUMMYFUNCTION("""COMPUTED_VALUE"""),0.3333333333333333)</f>
        <v>0.3333333333</v>
      </c>
      <c r="D11601" s="8">
        <f>IFERROR(__xludf.DUMMYFUNCTION("""COMPUTED_VALUE"""),0.236)</f>
        <v>0.236</v>
      </c>
      <c r="E11601" s="8" t="str">
        <f>IFERROR(__xludf.DUMMYFUNCTION("""COMPUTED_VALUE"""),"Real")</f>
        <v>Real</v>
      </c>
      <c r="G11601" s="8">
        <f t="shared" si="1"/>
        <v>2</v>
      </c>
      <c r="H11601" s="14">
        <f t="shared" si="2"/>
        <v>27</v>
      </c>
      <c r="I11601" s="15">
        <f t="shared" si="3"/>
        <v>8</v>
      </c>
    </row>
    <row r="11602">
      <c r="A11602" s="8" t="str">
        <f>IFERROR(__xludf.DUMMYFUNCTION("IF('(INGESTA)Datos_consumo_datadis'!A11602&lt;&gt;"""",SPLIT('(INGESTA)Datos_consumo_datadis'!A:A,"",""),"""")"),"ES0031408323131005HX0F")</f>
        <v>ES0031408323131005HX0F</v>
      </c>
      <c r="B11602" s="12">
        <f>IFERROR(__xludf.DUMMYFUNCTION("""COMPUTED_VALUE"""),45349.0)</f>
        <v>45349</v>
      </c>
      <c r="C11602" s="13">
        <f>IFERROR(__xludf.DUMMYFUNCTION("""COMPUTED_VALUE"""),0.375)</f>
        <v>0.375</v>
      </c>
      <c r="D11602" s="8">
        <f>IFERROR(__xludf.DUMMYFUNCTION("""COMPUTED_VALUE"""),0.596)</f>
        <v>0.596</v>
      </c>
      <c r="E11602" s="8" t="str">
        <f>IFERROR(__xludf.DUMMYFUNCTION("""COMPUTED_VALUE"""),"Real")</f>
        <v>Real</v>
      </c>
      <c r="G11602" s="8">
        <f t="shared" si="1"/>
        <v>2</v>
      </c>
      <c r="H11602" s="14">
        <f t="shared" si="2"/>
        <v>27</v>
      </c>
      <c r="I11602" s="15">
        <f t="shared" si="3"/>
        <v>9</v>
      </c>
    </row>
    <row r="11603">
      <c r="A11603" s="8" t="str">
        <f>IFERROR(__xludf.DUMMYFUNCTION("IF('(INGESTA)Datos_consumo_datadis'!A11603&lt;&gt;"""",SPLIT('(INGESTA)Datos_consumo_datadis'!A:A,"",""),"""")"),"ES0031408323131005HX0F")</f>
        <v>ES0031408323131005HX0F</v>
      </c>
      <c r="B11603" s="12">
        <f>IFERROR(__xludf.DUMMYFUNCTION("""COMPUTED_VALUE"""),45349.0)</f>
        <v>45349</v>
      </c>
      <c r="C11603" s="13">
        <f>IFERROR(__xludf.DUMMYFUNCTION("""COMPUTED_VALUE"""),0.4166666666666667)</f>
        <v>0.4166666667</v>
      </c>
      <c r="D11603" s="8">
        <f>IFERROR(__xludf.DUMMYFUNCTION("""COMPUTED_VALUE"""),0.14)</f>
        <v>0.14</v>
      </c>
      <c r="E11603" s="8" t="str">
        <f>IFERROR(__xludf.DUMMYFUNCTION("""COMPUTED_VALUE"""),"Real")</f>
        <v>Real</v>
      </c>
      <c r="G11603" s="8">
        <f t="shared" si="1"/>
        <v>2</v>
      </c>
      <c r="H11603" s="14">
        <f t="shared" si="2"/>
        <v>27</v>
      </c>
      <c r="I11603" s="15">
        <f t="shared" si="3"/>
        <v>10</v>
      </c>
    </row>
    <row r="11604">
      <c r="A11604" s="8" t="str">
        <f>IFERROR(__xludf.DUMMYFUNCTION("IF('(INGESTA)Datos_consumo_datadis'!A11604&lt;&gt;"""",SPLIT('(INGESTA)Datos_consumo_datadis'!A:A,"",""),"""")"),"ES0031408323131005HX0F")</f>
        <v>ES0031408323131005HX0F</v>
      </c>
      <c r="B11604" s="12">
        <f>IFERROR(__xludf.DUMMYFUNCTION("""COMPUTED_VALUE"""),45349.0)</f>
        <v>45349</v>
      </c>
      <c r="C11604" s="13">
        <f>IFERROR(__xludf.DUMMYFUNCTION("""COMPUTED_VALUE"""),0.4583333333333333)</f>
        <v>0.4583333333</v>
      </c>
      <c r="D11604" s="8">
        <f>IFERROR(__xludf.DUMMYFUNCTION("""COMPUTED_VALUE"""),0.1)</f>
        <v>0.1</v>
      </c>
      <c r="E11604" s="8" t="str">
        <f>IFERROR(__xludf.DUMMYFUNCTION("""COMPUTED_VALUE"""),"Real")</f>
        <v>Real</v>
      </c>
      <c r="G11604" s="8">
        <f t="shared" si="1"/>
        <v>2</v>
      </c>
      <c r="H11604" s="14">
        <f t="shared" si="2"/>
        <v>27</v>
      </c>
      <c r="I11604" s="15">
        <f t="shared" si="3"/>
        <v>11</v>
      </c>
    </row>
    <row r="11605">
      <c r="A11605" s="8" t="str">
        <f>IFERROR(__xludf.DUMMYFUNCTION("IF('(INGESTA)Datos_consumo_datadis'!A11605&lt;&gt;"""",SPLIT('(INGESTA)Datos_consumo_datadis'!A:A,"",""),"""")"),"ES0031408323131005HX0F")</f>
        <v>ES0031408323131005HX0F</v>
      </c>
      <c r="B11605" s="12">
        <f>IFERROR(__xludf.DUMMYFUNCTION("""COMPUTED_VALUE"""),45349.0)</f>
        <v>45349</v>
      </c>
      <c r="C11605" s="13">
        <f>IFERROR(__xludf.DUMMYFUNCTION("""COMPUTED_VALUE"""),0.5)</f>
        <v>0.5</v>
      </c>
      <c r="D11605" s="8">
        <f>IFERROR(__xludf.DUMMYFUNCTION("""COMPUTED_VALUE"""),0.145)</f>
        <v>0.145</v>
      </c>
      <c r="E11605" s="8" t="str">
        <f>IFERROR(__xludf.DUMMYFUNCTION("""COMPUTED_VALUE"""),"Real")</f>
        <v>Real</v>
      </c>
      <c r="G11605" s="8">
        <f t="shared" si="1"/>
        <v>2</v>
      </c>
      <c r="H11605" s="14">
        <f t="shared" si="2"/>
        <v>27</v>
      </c>
      <c r="I11605" s="15">
        <f t="shared" si="3"/>
        <v>12</v>
      </c>
    </row>
    <row r="11606">
      <c r="A11606" s="8" t="str">
        <f>IFERROR(__xludf.DUMMYFUNCTION("IF('(INGESTA)Datos_consumo_datadis'!A11606&lt;&gt;"""",SPLIT('(INGESTA)Datos_consumo_datadis'!A:A,"",""),"""")"),"ES0031408323131005HX0F")</f>
        <v>ES0031408323131005HX0F</v>
      </c>
      <c r="B11606" s="12">
        <f>IFERROR(__xludf.DUMMYFUNCTION("""COMPUTED_VALUE"""),45349.0)</f>
        <v>45349</v>
      </c>
      <c r="C11606" s="13">
        <f>IFERROR(__xludf.DUMMYFUNCTION("""COMPUTED_VALUE"""),0.5416666666666666)</f>
        <v>0.5416666667</v>
      </c>
      <c r="D11606" s="8">
        <f>IFERROR(__xludf.DUMMYFUNCTION("""COMPUTED_VALUE"""),1.137)</f>
        <v>1.137</v>
      </c>
      <c r="E11606" s="8" t="str">
        <f>IFERROR(__xludf.DUMMYFUNCTION("""COMPUTED_VALUE"""),"Real")</f>
        <v>Real</v>
      </c>
      <c r="G11606" s="8">
        <f t="shared" si="1"/>
        <v>2</v>
      </c>
      <c r="H11606" s="14">
        <f t="shared" si="2"/>
        <v>27</v>
      </c>
      <c r="I11606" s="15">
        <f t="shared" si="3"/>
        <v>13</v>
      </c>
    </row>
    <row r="11607">
      <c r="A11607" s="8" t="str">
        <f>IFERROR(__xludf.DUMMYFUNCTION("IF('(INGESTA)Datos_consumo_datadis'!A11607&lt;&gt;"""",SPLIT('(INGESTA)Datos_consumo_datadis'!A:A,"",""),"""")"),"ES0031408323131005HX0F")</f>
        <v>ES0031408323131005HX0F</v>
      </c>
      <c r="B11607" s="12">
        <f>IFERROR(__xludf.DUMMYFUNCTION("""COMPUTED_VALUE"""),45349.0)</f>
        <v>45349</v>
      </c>
      <c r="C11607" s="13">
        <f>IFERROR(__xludf.DUMMYFUNCTION("""COMPUTED_VALUE"""),0.5833333333333334)</f>
        <v>0.5833333333</v>
      </c>
      <c r="D11607" s="8">
        <f>IFERROR(__xludf.DUMMYFUNCTION("""COMPUTED_VALUE"""),0.914)</f>
        <v>0.914</v>
      </c>
      <c r="E11607" s="8" t="str">
        <f>IFERROR(__xludf.DUMMYFUNCTION("""COMPUTED_VALUE"""),"Real")</f>
        <v>Real</v>
      </c>
      <c r="G11607" s="8">
        <f t="shared" si="1"/>
        <v>2</v>
      </c>
      <c r="H11607" s="14">
        <f t="shared" si="2"/>
        <v>27</v>
      </c>
      <c r="I11607" s="15">
        <f t="shared" si="3"/>
        <v>14</v>
      </c>
    </row>
    <row r="11608">
      <c r="A11608" s="8" t="str">
        <f>IFERROR(__xludf.DUMMYFUNCTION("IF('(INGESTA)Datos_consumo_datadis'!A11608&lt;&gt;"""",SPLIT('(INGESTA)Datos_consumo_datadis'!A:A,"",""),"""")"),"ES0031408323131005HX0F")</f>
        <v>ES0031408323131005HX0F</v>
      </c>
      <c r="B11608" s="12">
        <f>IFERROR(__xludf.DUMMYFUNCTION("""COMPUTED_VALUE"""),45349.0)</f>
        <v>45349</v>
      </c>
      <c r="C11608" s="13">
        <f>IFERROR(__xludf.DUMMYFUNCTION("""COMPUTED_VALUE"""),0.625)</f>
        <v>0.625</v>
      </c>
      <c r="D11608" s="8">
        <f>IFERROR(__xludf.DUMMYFUNCTION("""COMPUTED_VALUE"""),0.608)</f>
        <v>0.608</v>
      </c>
      <c r="E11608" s="8" t="str">
        <f>IFERROR(__xludf.DUMMYFUNCTION("""COMPUTED_VALUE"""),"Real")</f>
        <v>Real</v>
      </c>
      <c r="G11608" s="8">
        <f t="shared" si="1"/>
        <v>2</v>
      </c>
      <c r="H11608" s="14">
        <f t="shared" si="2"/>
        <v>27</v>
      </c>
      <c r="I11608" s="15">
        <f t="shared" si="3"/>
        <v>15</v>
      </c>
    </row>
    <row r="11609">
      <c r="A11609" s="8" t="str">
        <f>IFERROR(__xludf.DUMMYFUNCTION("IF('(INGESTA)Datos_consumo_datadis'!A11609&lt;&gt;"""",SPLIT('(INGESTA)Datos_consumo_datadis'!A:A,"",""),"""")"),"ES0031408323131005HX0F")</f>
        <v>ES0031408323131005HX0F</v>
      </c>
      <c r="B11609" s="12">
        <f>IFERROR(__xludf.DUMMYFUNCTION("""COMPUTED_VALUE"""),45349.0)</f>
        <v>45349</v>
      </c>
      <c r="C11609" s="13">
        <f>IFERROR(__xludf.DUMMYFUNCTION("""COMPUTED_VALUE"""),0.6666666666666666)</f>
        <v>0.6666666667</v>
      </c>
      <c r="D11609" s="8">
        <f>IFERROR(__xludf.DUMMYFUNCTION("""COMPUTED_VALUE"""),0.119)</f>
        <v>0.119</v>
      </c>
      <c r="E11609" s="8" t="str">
        <f>IFERROR(__xludf.DUMMYFUNCTION("""COMPUTED_VALUE"""),"Real")</f>
        <v>Real</v>
      </c>
      <c r="G11609" s="8">
        <f t="shared" si="1"/>
        <v>2</v>
      </c>
      <c r="H11609" s="14">
        <f t="shared" si="2"/>
        <v>27</v>
      </c>
      <c r="I11609" s="15">
        <f t="shared" si="3"/>
        <v>16</v>
      </c>
    </row>
    <row r="11610">
      <c r="A11610" s="8" t="str">
        <f>IFERROR(__xludf.DUMMYFUNCTION("IF('(INGESTA)Datos_consumo_datadis'!A11610&lt;&gt;"""",SPLIT('(INGESTA)Datos_consumo_datadis'!A:A,"",""),"""")"),"ES0031408323131005HX0F")</f>
        <v>ES0031408323131005HX0F</v>
      </c>
      <c r="B11610" s="12">
        <f>IFERROR(__xludf.DUMMYFUNCTION("""COMPUTED_VALUE"""),45349.0)</f>
        <v>45349</v>
      </c>
      <c r="C11610" s="13">
        <f>IFERROR(__xludf.DUMMYFUNCTION("""COMPUTED_VALUE"""),0.7083333333333334)</f>
        <v>0.7083333333</v>
      </c>
      <c r="D11610" s="8">
        <f>IFERROR(__xludf.DUMMYFUNCTION("""COMPUTED_VALUE"""),0.088)</f>
        <v>0.088</v>
      </c>
      <c r="E11610" s="8" t="str">
        <f>IFERROR(__xludf.DUMMYFUNCTION("""COMPUTED_VALUE"""),"Real")</f>
        <v>Real</v>
      </c>
      <c r="G11610" s="8">
        <f t="shared" si="1"/>
        <v>2</v>
      </c>
      <c r="H11610" s="14">
        <f t="shared" si="2"/>
        <v>27</v>
      </c>
      <c r="I11610" s="15">
        <f t="shared" si="3"/>
        <v>17</v>
      </c>
    </row>
    <row r="11611">
      <c r="A11611" s="8" t="str">
        <f>IFERROR(__xludf.DUMMYFUNCTION("IF('(INGESTA)Datos_consumo_datadis'!A11611&lt;&gt;"""",SPLIT('(INGESTA)Datos_consumo_datadis'!A:A,"",""),"""")"),"ES0031408323131005HX0F")</f>
        <v>ES0031408323131005HX0F</v>
      </c>
      <c r="B11611" s="12">
        <f>IFERROR(__xludf.DUMMYFUNCTION("""COMPUTED_VALUE"""),45349.0)</f>
        <v>45349</v>
      </c>
      <c r="C11611" s="13">
        <f>IFERROR(__xludf.DUMMYFUNCTION("""COMPUTED_VALUE"""),0.75)</f>
        <v>0.75</v>
      </c>
      <c r="D11611" s="8">
        <f>IFERROR(__xludf.DUMMYFUNCTION("""COMPUTED_VALUE"""),0.163)</f>
        <v>0.163</v>
      </c>
      <c r="E11611" s="8" t="str">
        <f>IFERROR(__xludf.DUMMYFUNCTION("""COMPUTED_VALUE"""),"Real")</f>
        <v>Real</v>
      </c>
      <c r="G11611" s="8">
        <f t="shared" si="1"/>
        <v>2</v>
      </c>
      <c r="H11611" s="14">
        <f t="shared" si="2"/>
        <v>27</v>
      </c>
      <c r="I11611" s="15">
        <f t="shared" si="3"/>
        <v>18</v>
      </c>
    </row>
    <row r="11612">
      <c r="A11612" s="8" t="str">
        <f>IFERROR(__xludf.DUMMYFUNCTION("IF('(INGESTA)Datos_consumo_datadis'!A11612&lt;&gt;"""",SPLIT('(INGESTA)Datos_consumo_datadis'!A:A,"",""),"""")"),"ES0031408323131005HX0F")</f>
        <v>ES0031408323131005HX0F</v>
      </c>
      <c r="B11612" s="12">
        <f>IFERROR(__xludf.DUMMYFUNCTION("""COMPUTED_VALUE"""),45349.0)</f>
        <v>45349</v>
      </c>
      <c r="C11612" s="13">
        <f>IFERROR(__xludf.DUMMYFUNCTION("""COMPUTED_VALUE"""),0.7916666666666666)</f>
        <v>0.7916666667</v>
      </c>
      <c r="D11612" s="8">
        <f>IFERROR(__xludf.DUMMYFUNCTION("""COMPUTED_VALUE"""),0.358)</f>
        <v>0.358</v>
      </c>
      <c r="E11612" s="8" t="str">
        <f>IFERROR(__xludf.DUMMYFUNCTION("""COMPUTED_VALUE"""),"Real")</f>
        <v>Real</v>
      </c>
      <c r="G11612" s="8">
        <f t="shared" si="1"/>
        <v>2</v>
      </c>
      <c r="H11612" s="14">
        <f t="shared" si="2"/>
        <v>27</v>
      </c>
      <c r="I11612" s="15">
        <f t="shared" si="3"/>
        <v>19</v>
      </c>
    </row>
    <row r="11613">
      <c r="A11613" s="8" t="str">
        <f>IFERROR(__xludf.DUMMYFUNCTION("IF('(INGESTA)Datos_consumo_datadis'!A11613&lt;&gt;"""",SPLIT('(INGESTA)Datos_consumo_datadis'!A:A,"",""),"""")"),"ES0031408323131005HX0F")</f>
        <v>ES0031408323131005HX0F</v>
      </c>
      <c r="B11613" s="12">
        <f>IFERROR(__xludf.DUMMYFUNCTION("""COMPUTED_VALUE"""),45349.0)</f>
        <v>45349</v>
      </c>
      <c r="C11613" s="13">
        <f>IFERROR(__xludf.DUMMYFUNCTION("""COMPUTED_VALUE"""),0.8333333333333334)</f>
        <v>0.8333333333</v>
      </c>
      <c r="D11613" s="8">
        <f>IFERROR(__xludf.DUMMYFUNCTION("""COMPUTED_VALUE"""),0.089)</f>
        <v>0.089</v>
      </c>
      <c r="E11613" s="8" t="str">
        <f>IFERROR(__xludf.DUMMYFUNCTION("""COMPUTED_VALUE"""),"Real")</f>
        <v>Real</v>
      </c>
      <c r="G11613" s="8">
        <f t="shared" si="1"/>
        <v>2</v>
      </c>
      <c r="H11613" s="14">
        <f t="shared" si="2"/>
        <v>27</v>
      </c>
      <c r="I11613" s="15">
        <f t="shared" si="3"/>
        <v>20</v>
      </c>
    </row>
    <row r="11614">
      <c r="A11614" s="8" t="str">
        <f>IFERROR(__xludf.DUMMYFUNCTION("IF('(INGESTA)Datos_consumo_datadis'!A11614&lt;&gt;"""",SPLIT('(INGESTA)Datos_consumo_datadis'!A:A,"",""),"""")"),"ES0031408323131005HX0F")</f>
        <v>ES0031408323131005HX0F</v>
      </c>
      <c r="B11614" s="12">
        <f>IFERROR(__xludf.DUMMYFUNCTION("""COMPUTED_VALUE"""),45349.0)</f>
        <v>45349</v>
      </c>
      <c r="C11614" s="13">
        <f>IFERROR(__xludf.DUMMYFUNCTION("""COMPUTED_VALUE"""),0.875)</f>
        <v>0.875</v>
      </c>
      <c r="D11614" s="8">
        <f>IFERROR(__xludf.DUMMYFUNCTION("""COMPUTED_VALUE"""),0.246)</f>
        <v>0.246</v>
      </c>
      <c r="E11614" s="8" t="str">
        <f>IFERROR(__xludf.DUMMYFUNCTION("""COMPUTED_VALUE"""),"Real")</f>
        <v>Real</v>
      </c>
      <c r="G11614" s="8">
        <f t="shared" si="1"/>
        <v>2</v>
      </c>
      <c r="H11614" s="14">
        <f t="shared" si="2"/>
        <v>27</v>
      </c>
      <c r="I11614" s="15">
        <f t="shared" si="3"/>
        <v>21</v>
      </c>
    </row>
    <row r="11615">
      <c r="A11615" s="8" t="str">
        <f>IFERROR(__xludf.DUMMYFUNCTION("IF('(INGESTA)Datos_consumo_datadis'!A11615&lt;&gt;"""",SPLIT('(INGESTA)Datos_consumo_datadis'!A:A,"",""),"""")"),"ES0031408323131005HX0F")</f>
        <v>ES0031408323131005HX0F</v>
      </c>
      <c r="B11615" s="12">
        <f>IFERROR(__xludf.DUMMYFUNCTION("""COMPUTED_VALUE"""),45349.0)</f>
        <v>45349</v>
      </c>
      <c r="C11615" s="13">
        <f>IFERROR(__xludf.DUMMYFUNCTION("""COMPUTED_VALUE"""),0.9166666666666666)</f>
        <v>0.9166666667</v>
      </c>
      <c r="D11615" s="8">
        <f>IFERROR(__xludf.DUMMYFUNCTION("""COMPUTED_VALUE"""),1.146)</f>
        <v>1.146</v>
      </c>
      <c r="E11615" s="8" t="str">
        <f>IFERROR(__xludf.DUMMYFUNCTION("""COMPUTED_VALUE"""),"Real")</f>
        <v>Real</v>
      </c>
      <c r="G11615" s="8">
        <f t="shared" si="1"/>
        <v>2</v>
      </c>
      <c r="H11615" s="14">
        <f t="shared" si="2"/>
        <v>27</v>
      </c>
      <c r="I11615" s="15">
        <f t="shared" si="3"/>
        <v>22</v>
      </c>
    </row>
    <row r="11616">
      <c r="A11616" s="8" t="str">
        <f>IFERROR(__xludf.DUMMYFUNCTION("IF('(INGESTA)Datos_consumo_datadis'!A11616&lt;&gt;"""",SPLIT('(INGESTA)Datos_consumo_datadis'!A:A,"",""),"""")"),"ES0031408323131005HX0F")</f>
        <v>ES0031408323131005HX0F</v>
      </c>
      <c r="B11616" s="12">
        <f>IFERROR(__xludf.DUMMYFUNCTION("""COMPUTED_VALUE"""),45349.0)</f>
        <v>45349</v>
      </c>
      <c r="C11616" s="13">
        <f>IFERROR(__xludf.DUMMYFUNCTION("""COMPUTED_VALUE"""),0.9583333333333334)</f>
        <v>0.9583333333</v>
      </c>
      <c r="D11616" s="8">
        <f>IFERROR(__xludf.DUMMYFUNCTION("""COMPUTED_VALUE"""),3.776)</f>
        <v>3.776</v>
      </c>
      <c r="E11616" s="8" t="str">
        <f>IFERROR(__xludf.DUMMYFUNCTION("""COMPUTED_VALUE"""),"Real")</f>
        <v>Real</v>
      </c>
      <c r="G11616" s="8">
        <f t="shared" si="1"/>
        <v>2</v>
      </c>
      <c r="H11616" s="14">
        <f t="shared" si="2"/>
        <v>27</v>
      </c>
      <c r="I11616" s="15">
        <f t="shared" si="3"/>
        <v>23</v>
      </c>
    </row>
    <row r="11617">
      <c r="A11617" s="8" t="str">
        <f>IFERROR(__xludf.DUMMYFUNCTION("IF('(INGESTA)Datos_consumo_datadis'!A11617&lt;&gt;"""",SPLIT('(INGESTA)Datos_consumo_datadis'!A:A,"",""),"""")"),"ES0031408323131005HX0F")</f>
        <v>ES0031408323131005HX0F</v>
      </c>
      <c r="B11617" s="12">
        <f>IFERROR(__xludf.DUMMYFUNCTION("""COMPUTED_VALUE"""),45349.0)</f>
        <v>45349</v>
      </c>
      <c r="C11617" s="16">
        <f>IFERROR(__xludf.DUMMYFUNCTION("""COMPUTED_VALUE"""),1.0)</f>
        <v>1</v>
      </c>
      <c r="D11617" s="8">
        <f>IFERROR(__xludf.DUMMYFUNCTION("""COMPUTED_VALUE"""),2.145)</f>
        <v>2.145</v>
      </c>
      <c r="E11617" s="8" t="str">
        <f>IFERROR(__xludf.DUMMYFUNCTION("""COMPUTED_VALUE"""),"Real")</f>
        <v>Real</v>
      </c>
      <c r="G11617" s="8">
        <f t="shared" si="1"/>
        <v>2</v>
      </c>
      <c r="H11617" s="14">
        <f t="shared" si="2"/>
        <v>27</v>
      </c>
      <c r="I11617" s="15">
        <f t="shared" si="3"/>
        <v>0</v>
      </c>
    </row>
    <row r="11618">
      <c r="A11618" s="8" t="str">
        <f>IFERROR(__xludf.DUMMYFUNCTION("IF('(INGESTA)Datos_consumo_datadis'!A11618&lt;&gt;"""",SPLIT('(INGESTA)Datos_consumo_datadis'!A:A,"",""),"""")"),"ES0031408323131005HX0F")</f>
        <v>ES0031408323131005HX0F</v>
      </c>
      <c r="B11618" s="12">
        <f>IFERROR(__xludf.DUMMYFUNCTION("""COMPUTED_VALUE"""),45350.0)</f>
        <v>45350</v>
      </c>
      <c r="C11618" s="13">
        <f>IFERROR(__xludf.DUMMYFUNCTION("""COMPUTED_VALUE"""),0.041666666666666664)</f>
        <v>0.04166666667</v>
      </c>
      <c r="D11618" s="8">
        <f>IFERROR(__xludf.DUMMYFUNCTION("""COMPUTED_VALUE"""),0.885)</f>
        <v>0.885</v>
      </c>
      <c r="E11618" s="8" t="str">
        <f>IFERROR(__xludf.DUMMYFUNCTION("""COMPUTED_VALUE"""),"Real")</f>
        <v>Real</v>
      </c>
      <c r="G11618" s="8">
        <f t="shared" si="1"/>
        <v>2</v>
      </c>
      <c r="H11618" s="14">
        <f t="shared" si="2"/>
        <v>28</v>
      </c>
      <c r="I11618" s="15">
        <f t="shared" si="3"/>
        <v>1</v>
      </c>
    </row>
    <row r="11619">
      <c r="A11619" s="8" t="str">
        <f>IFERROR(__xludf.DUMMYFUNCTION("IF('(INGESTA)Datos_consumo_datadis'!A11619&lt;&gt;"""",SPLIT('(INGESTA)Datos_consumo_datadis'!A:A,"",""),"""")"),"ES0031408323131005HX0F")</f>
        <v>ES0031408323131005HX0F</v>
      </c>
      <c r="B11619" s="12">
        <f>IFERROR(__xludf.DUMMYFUNCTION("""COMPUTED_VALUE"""),45350.0)</f>
        <v>45350</v>
      </c>
      <c r="C11619" s="13">
        <f>IFERROR(__xludf.DUMMYFUNCTION("""COMPUTED_VALUE"""),0.08333333333333333)</f>
        <v>0.08333333333</v>
      </c>
      <c r="D11619" s="8">
        <f>IFERROR(__xludf.DUMMYFUNCTION("""COMPUTED_VALUE"""),0.05)</f>
        <v>0.05</v>
      </c>
      <c r="E11619" s="8" t="str">
        <f>IFERROR(__xludf.DUMMYFUNCTION("""COMPUTED_VALUE"""),"Real")</f>
        <v>Real</v>
      </c>
      <c r="G11619" s="8">
        <f t="shared" si="1"/>
        <v>2</v>
      </c>
      <c r="H11619" s="14">
        <f t="shared" si="2"/>
        <v>28</v>
      </c>
      <c r="I11619" s="15">
        <f t="shared" si="3"/>
        <v>2</v>
      </c>
    </row>
    <row r="11620">
      <c r="A11620" s="8" t="str">
        <f>IFERROR(__xludf.DUMMYFUNCTION("IF('(INGESTA)Datos_consumo_datadis'!A11620&lt;&gt;"""",SPLIT('(INGESTA)Datos_consumo_datadis'!A:A,"",""),"""")"),"ES0031408323131005HX0F")</f>
        <v>ES0031408323131005HX0F</v>
      </c>
      <c r="B11620" s="12">
        <f>IFERROR(__xludf.DUMMYFUNCTION("""COMPUTED_VALUE"""),45350.0)</f>
        <v>45350</v>
      </c>
      <c r="C11620" s="13">
        <f>IFERROR(__xludf.DUMMYFUNCTION("""COMPUTED_VALUE"""),0.125)</f>
        <v>0.125</v>
      </c>
      <c r="D11620" s="8">
        <f>IFERROR(__xludf.DUMMYFUNCTION("""COMPUTED_VALUE"""),0.074)</f>
        <v>0.074</v>
      </c>
      <c r="E11620" s="8" t="str">
        <f>IFERROR(__xludf.DUMMYFUNCTION("""COMPUTED_VALUE"""),"Real")</f>
        <v>Real</v>
      </c>
      <c r="G11620" s="8">
        <f t="shared" si="1"/>
        <v>2</v>
      </c>
      <c r="H11620" s="14">
        <f t="shared" si="2"/>
        <v>28</v>
      </c>
      <c r="I11620" s="15">
        <f t="shared" si="3"/>
        <v>3</v>
      </c>
    </row>
    <row r="11621">
      <c r="A11621" s="8" t="str">
        <f>IFERROR(__xludf.DUMMYFUNCTION("IF('(INGESTA)Datos_consumo_datadis'!A11621&lt;&gt;"""",SPLIT('(INGESTA)Datos_consumo_datadis'!A:A,"",""),"""")"),"ES0031408323131005HX0F")</f>
        <v>ES0031408323131005HX0F</v>
      </c>
      <c r="B11621" s="12">
        <f>IFERROR(__xludf.DUMMYFUNCTION("""COMPUTED_VALUE"""),45350.0)</f>
        <v>45350</v>
      </c>
      <c r="C11621" s="13">
        <f>IFERROR(__xludf.DUMMYFUNCTION("""COMPUTED_VALUE"""),0.16666666666666666)</f>
        <v>0.1666666667</v>
      </c>
      <c r="D11621" s="8">
        <f>IFERROR(__xludf.DUMMYFUNCTION("""COMPUTED_VALUE"""),0.053)</f>
        <v>0.053</v>
      </c>
      <c r="E11621" s="8" t="str">
        <f>IFERROR(__xludf.DUMMYFUNCTION("""COMPUTED_VALUE"""),"Real")</f>
        <v>Real</v>
      </c>
      <c r="G11621" s="8">
        <f t="shared" si="1"/>
        <v>2</v>
      </c>
      <c r="H11621" s="14">
        <f t="shared" si="2"/>
        <v>28</v>
      </c>
      <c r="I11621" s="15">
        <f t="shared" si="3"/>
        <v>4</v>
      </c>
    </row>
    <row r="11622">
      <c r="A11622" s="8" t="str">
        <f>IFERROR(__xludf.DUMMYFUNCTION("IF('(INGESTA)Datos_consumo_datadis'!A11622&lt;&gt;"""",SPLIT('(INGESTA)Datos_consumo_datadis'!A:A,"",""),"""")"),"ES0031408323131005HX0F")</f>
        <v>ES0031408323131005HX0F</v>
      </c>
      <c r="B11622" s="12">
        <f>IFERROR(__xludf.DUMMYFUNCTION("""COMPUTED_VALUE"""),45350.0)</f>
        <v>45350</v>
      </c>
      <c r="C11622" s="13">
        <f>IFERROR(__xludf.DUMMYFUNCTION("""COMPUTED_VALUE"""),0.20833333333333334)</f>
        <v>0.2083333333</v>
      </c>
      <c r="D11622" s="8">
        <f>IFERROR(__xludf.DUMMYFUNCTION("""COMPUTED_VALUE"""),0.059)</f>
        <v>0.059</v>
      </c>
      <c r="E11622" s="8" t="str">
        <f>IFERROR(__xludf.DUMMYFUNCTION("""COMPUTED_VALUE"""),"Real")</f>
        <v>Real</v>
      </c>
      <c r="G11622" s="8">
        <f t="shared" si="1"/>
        <v>2</v>
      </c>
      <c r="H11622" s="14">
        <f t="shared" si="2"/>
        <v>28</v>
      </c>
      <c r="I11622" s="15">
        <f t="shared" si="3"/>
        <v>5</v>
      </c>
    </row>
    <row r="11623">
      <c r="A11623" s="8" t="str">
        <f>IFERROR(__xludf.DUMMYFUNCTION("IF('(INGESTA)Datos_consumo_datadis'!A11623&lt;&gt;"""",SPLIT('(INGESTA)Datos_consumo_datadis'!A:A,"",""),"""")"),"ES0031408323131005HX0F")</f>
        <v>ES0031408323131005HX0F</v>
      </c>
      <c r="B11623" s="12">
        <f>IFERROR(__xludf.DUMMYFUNCTION("""COMPUTED_VALUE"""),45350.0)</f>
        <v>45350</v>
      </c>
      <c r="C11623" s="13">
        <f>IFERROR(__xludf.DUMMYFUNCTION("""COMPUTED_VALUE"""),0.25)</f>
        <v>0.25</v>
      </c>
      <c r="D11623" s="8">
        <f>IFERROR(__xludf.DUMMYFUNCTION("""COMPUTED_VALUE"""),0.332)</f>
        <v>0.332</v>
      </c>
      <c r="E11623" s="8" t="str">
        <f>IFERROR(__xludf.DUMMYFUNCTION("""COMPUTED_VALUE"""),"Real")</f>
        <v>Real</v>
      </c>
      <c r="G11623" s="8">
        <f t="shared" si="1"/>
        <v>2</v>
      </c>
      <c r="H11623" s="14">
        <f t="shared" si="2"/>
        <v>28</v>
      </c>
      <c r="I11623" s="15">
        <f t="shared" si="3"/>
        <v>6</v>
      </c>
    </row>
    <row r="11624">
      <c r="A11624" s="8" t="str">
        <f>IFERROR(__xludf.DUMMYFUNCTION("IF('(INGESTA)Datos_consumo_datadis'!A11624&lt;&gt;"""",SPLIT('(INGESTA)Datos_consumo_datadis'!A:A,"",""),"""")"),"ES0031408323131005HX0F")</f>
        <v>ES0031408323131005HX0F</v>
      </c>
      <c r="B11624" s="12">
        <f>IFERROR(__xludf.DUMMYFUNCTION("""COMPUTED_VALUE"""),45350.0)</f>
        <v>45350</v>
      </c>
      <c r="C11624" s="13">
        <f>IFERROR(__xludf.DUMMYFUNCTION("""COMPUTED_VALUE"""),0.2916666666666667)</f>
        <v>0.2916666667</v>
      </c>
      <c r="D11624" s="8">
        <f>IFERROR(__xludf.DUMMYFUNCTION("""COMPUTED_VALUE"""),0.04)</f>
        <v>0.04</v>
      </c>
      <c r="E11624" s="8" t="str">
        <f>IFERROR(__xludf.DUMMYFUNCTION("""COMPUTED_VALUE"""),"Real")</f>
        <v>Real</v>
      </c>
      <c r="G11624" s="8">
        <f t="shared" si="1"/>
        <v>2</v>
      </c>
      <c r="H11624" s="14">
        <f t="shared" si="2"/>
        <v>28</v>
      </c>
      <c r="I11624" s="15">
        <f t="shared" si="3"/>
        <v>7</v>
      </c>
    </row>
    <row r="11625">
      <c r="A11625" s="8" t="str">
        <f>IFERROR(__xludf.DUMMYFUNCTION("IF('(INGESTA)Datos_consumo_datadis'!A11625&lt;&gt;"""",SPLIT('(INGESTA)Datos_consumo_datadis'!A:A,"",""),"""")"),"ES0031408323131005HX0F")</f>
        <v>ES0031408323131005HX0F</v>
      </c>
      <c r="B11625" s="12">
        <f>IFERROR(__xludf.DUMMYFUNCTION("""COMPUTED_VALUE"""),45350.0)</f>
        <v>45350</v>
      </c>
      <c r="C11625" s="13">
        <f>IFERROR(__xludf.DUMMYFUNCTION("""COMPUTED_VALUE"""),0.3333333333333333)</f>
        <v>0.3333333333</v>
      </c>
      <c r="D11625" s="8">
        <f>IFERROR(__xludf.DUMMYFUNCTION("""COMPUTED_VALUE"""),0.068)</f>
        <v>0.068</v>
      </c>
      <c r="E11625" s="8" t="str">
        <f>IFERROR(__xludf.DUMMYFUNCTION("""COMPUTED_VALUE"""),"Real")</f>
        <v>Real</v>
      </c>
      <c r="G11625" s="8">
        <f t="shared" si="1"/>
        <v>2</v>
      </c>
      <c r="H11625" s="14">
        <f t="shared" si="2"/>
        <v>28</v>
      </c>
      <c r="I11625" s="15">
        <f t="shared" si="3"/>
        <v>8</v>
      </c>
    </row>
    <row r="11626">
      <c r="A11626" s="8" t="str">
        <f>IFERROR(__xludf.DUMMYFUNCTION("IF('(INGESTA)Datos_consumo_datadis'!A11626&lt;&gt;"""",SPLIT('(INGESTA)Datos_consumo_datadis'!A:A,"",""),"""")"),"ES0031408323131005HX0F")</f>
        <v>ES0031408323131005HX0F</v>
      </c>
      <c r="B11626" s="12">
        <f>IFERROR(__xludf.DUMMYFUNCTION("""COMPUTED_VALUE"""),45350.0)</f>
        <v>45350</v>
      </c>
      <c r="C11626" s="13">
        <f>IFERROR(__xludf.DUMMYFUNCTION("""COMPUTED_VALUE"""),0.375)</f>
        <v>0.375</v>
      </c>
      <c r="D11626" s="8">
        <f>IFERROR(__xludf.DUMMYFUNCTION("""COMPUTED_VALUE"""),0.068)</f>
        <v>0.068</v>
      </c>
      <c r="E11626" s="8" t="str">
        <f>IFERROR(__xludf.DUMMYFUNCTION("""COMPUTED_VALUE"""),"Real")</f>
        <v>Real</v>
      </c>
      <c r="G11626" s="8">
        <f t="shared" si="1"/>
        <v>2</v>
      </c>
      <c r="H11626" s="14">
        <f t="shared" si="2"/>
        <v>28</v>
      </c>
      <c r="I11626" s="15">
        <f t="shared" si="3"/>
        <v>9</v>
      </c>
    </row>
    <row r="11627">
      <c r="A11627" s="8" t="str">
        <f>IFERROR(__xludf.DUMMYFUNCTION("IF('(INGESTA)Datos_consumo_datadis'!A11627&lt;&gt;"""",SPLIT('(INGESTA)Datos_consumo_datadis'!A:A,"",""),"""")"),"ES0031408323131005HX0F")</f>
        <v>ES0031408323131005HX0F</v>
      </c>
      <c r="B11627" s="12">
        <f>IFERROR(__xludf.DUMMYFUNCTION("""COMPUTED_VALUE"""),45350.0)</f>
        <v>45350</v>
      </c>
      <c r="C11627" s="13">
        <f>IFERROR(__xludf.DUMMYFUNCTION("""COMPUTED_VALUE"""),0.4166666666666667)</f>
        <v>0.4166666667</v>
      </c>
      <c r="D11627" s="8">
        <f>IFERROR(__xludf.DUMMYFUNCTION("""COMPUTED_VALUE"""),0.53)</f>
        <v>0.53</v>
      </c>
      <c r="E11627" s="8" t="str">
        <f>IFERROR(__xludf.DUMMYFUNCTION("""COMPUTED_VALUE"""),"Real")</f>
        <v>Real</v>
      </c>
      <c r="G11627" s="8">
        <f t="shared" si="1"/>
        <v>2</v>
      </c>
      <c r="H11627" s="14">
        <f t="shared" si="2"/>
        <v>28</v>
      </c>
      <c r="I11627" s="15">
        <f t="shared" si="3"/>
        <v>10</v>
      </c>
    </row>
    <row r="11628">
      <c r="A11628" s="8" t="str">
        <f>IFERROR(__xludf.DUMMYFUNCTION("IF('(INGESTA)Datos_consumo_datadis'!A11628&lt;&gt;"""",SPLIT('(INGESTA)Datos_consumo_datadis'!A:A,"",""),"""")"),"ES0031408323131005HX0F")</f>
        <v>ES0031408323131005HX0F</v>
      </c>
      <c r="B11628" s="12">
        <f>IFERROR(__xludf.DUMMYFUNCTION("""COMPUTED_VALUE"""),45350.0)</f>
        <v>45350</v>
      </c>
      <c r="C11628" s="13">
        <f>IFERROR(__xludf.DUMMYFUNCTION("""COMPUTED_VALUE"""),0.4583333333333333)</f>
        <v>0.4583333333</v>
      </c>
      <c r="D11628" s="8">
        <f>IFERROR(__xludf.DUMMYFUNCTION("""COMPUTED_VALUE"""),0.682)</f>
        <v>0.682</v>
      </c>
      <c r="E11628" s="8" t="str">
        <f>IFERROR(__xludf.DUMMYFUNCTION("""COMPUTED_VALUE"""),"Real")</f>
        <v>Real</v>
      </c>
      <c r="G11628" s="8">
        <f t="shared" si="1"/>
        <v>2</v>
      </c>
      <c r="H11628" s="14">
        <f t="shared" si="2"/>
        <v>28</v>
      </c>
      <c r="I11628" s="15">
        <f t="shared" si="3"/>
        <v>11</v>
      </c>
    </row>
    <row r="11629">
      <c r="A11629" s="8" t="str">
        <f>IFERROR(__xludf.DUMMYFUNCTION("IF('(INGESTA)Datos_consumo_datadis'!A11629&lt;&gt;"""",SPLIT('(INGESTA)Datos_consumo_datadis'!A:A,"",""),"""")"),"ES0031408323131005HX0F")</f>
        <v>ES0031408323131005HX0F</v>
      </c>
      <c r="B11629" s="12">
        <f>IFERROR(__xludf.DUMMYFUNCTION("""COMPUTED_VALUE"""),45350.0)</f>
        <v>45350</v>
      </c>
      <c r="C11629" s="13">
        <f>IFERROR(__xludf.DUMMYFUNCTION("""COMPUTED_VALUE"""),0.5)</f>
        <v>0.5</v>
      </c>
      <c r="D11629" s="8">
        <f>IFERROR(__xludf.DUMMYFUNCTION("""COMPUTED_VALUE"""),0.055)</f>
        <v>0.055</v>
      </c>
      <c r="E11629" s="8" t="str">
        <f>IFERROR(__xludf.DUMMYFUNCTION("""COMPUTED_VALUE"""),"Real")</f>
        <v>Real</v>
      </c>
      <c r="G11629" s="8">
        <f t="shared" si="1"/>
        <v>2</v>
      </c>
      <c r="H11629" s="14">
        <f t="shared" si="2"/>
        <v>28</v>
      </c>
      <c r="I11629" s="15">
        <f t="shared" si="3"/>
        <v>12</v>
      </c>
    </row>
    <row r="11630">
      <c r="A11630" s="8" t="str">
        <f>IFERROR(__xludf.DUMMYFUNCTION("IF('(INGESTA)Datos_consumo_datadis'!A11630&lt;&gt;"""",SPLIT('(INGESTA)Datos_consumo_datadis'!A:A,"",""),"""")"),"ES0031408323131005HX0F")</f>
        <v>ES0031408323131005HX0F</v>
      </c>
      <c r="B11630" s="12">
        <f>IFERROR(__xludf.DUMMYFUNCTION("""COMPUTED_VALUE"""),45350.0)</f>
        <v>45350</v>
      </c>
      <c r="C11630" s="13">
        <f>IFERROR(__xludf.DUMMYFUNCTION("""COMPUTED_VALUE"""),0.5416666666666666)</f>
        <v>0.5416666667</v>
      </c>
      <c r="D11630" s="8">
        <f>IFERROR(__xludf.DUMMYFUNCTION("""COMPUTED_VALUE"""),1.082)</f>
        <v>1.082</v>
      </c>
      <c r="E11630" s="8" t="str">
        <f>IFERROR(__xludf.DUMMYFUNCTION("""COMPUTED_VALUE"""),"Real")</f>
        <v>Real</v>
      </c>
      <c r="G11630" s="8">
        <f t="shared" si="1"/>
        <v>2</v>
      </c>
      <c r="H11630" s="14">
        <f t="shared" si="2"/>
        <v>28</v>
      </c>
      <c r="I11630" s="15">
        <f t="shared" si="3"/>
        <v>13</v>
      </c>
    </row>
    <row r="11631">
      <c r="A11631" s="8" t="str">
        <f>IFERROR(__xludf.DUMMYFUNCTION("IF('(INGESTA)Datos_consumo_datadis'!A11631&lt;&gt;"""",SPLIT('(INGESTA)Datos_consumo_datadis'!A:A,"",""),"""")"),"ES0031408323131005HX0F")</f>
        <v>ES0031408323131005HX0F</v>
      </c>
      <c r="B11631" s="12">
        <f>IFERROR(__xludf.DUMMYFUNCTION("""COMPUTED_VALUE"""),45350.0)</f>
        <v>45350</v>
      </c>
      <c r="C11631" s="13">
        <f>IFERROR(__xludf.DUMMYFUNCTION("""COMPUTED_VALUE"""),0.5833333333333334)</f>
        <v>0.5833333333</v>
      </c>
      <c r="D11631" s="8">
        <f>IFERROR(__xludf.DUMMYFUNCTION("""COMPUTED_VALUE"""),0.846)</f>
        <v>0.846</v>
      </c>
      <c r="E11631" s="8" t="str">
        <f>IFERROR(__xludf.DUMMYFUNCTION("""COMPUTED_VALUE"""),"Real")</f>
        <v>Real</v>
      </c>
      <c r="G11631" s="8">
        <f t="shared" si="1"/>
        <v>2</v>
      </c>
      <c r="H11631" s="14">
        <f t="shared" si="2"/>
        <v>28</v>
      </c>
      <c r="I11631" s="15">
        <f t="shared" si="3"/>
        <v>14</v>
      </c>
    </row>
    <row r="11632">
      <c r="A11632" s="8" t="str">
        <f>IFERROR(__xludf.DUMMYFUNCTION("IF('(INGESTA)Datos_consumo_datadis'!A11632&lt;&gt;"""",SPLIT('(INGESTA)Datos_consumo_datadis'!A:A,"",""),"""")"),"ES0031408323131005HX0F")</f>
        <v>ES0031408323131005HX0F</v>
      </c>
      <c r="B11632" s="12">
        <f>IFERROR(__xludf.DUMMYFUNCTION("""COMPUTED_VALUE"""),45350.0)</f>
        <v>45350</v>
      </c>
      <c r="C11632" s="13">
        <f>IFERROR(__xludf.DUMMYFUNCTION("""COMPUTED_VALUE"""),0.625)</f>
        <v>0.625</v>
      </c>
      <c r="D11632" s="8">
        <f>IFERROR(__xludf.DUMMYFUNCTION("""COMPUTED_VALUE"""),0.428)</f>
        <v>0.428</v>
      </c>
      <c r="E11632" s="8" t="str">
        <f>IFERROR(__xludf.DUMMYFUNCTION("""COMPUTED_VALUE"""),"Real")</f>
        <v>Real</v>
      </c>
      <c r="G11632" s="8">
        <f t="shared" si="1"/>
        <v>2</v>
      </c>
      <c r="H11632" s="14">
        <f t="shared" si="2"/>
        <v>28</v>
      </c>
      <c r="I11632" s="15">
        <f t="shared" si="3"/>
        <v>15</v>
      </c>
    </row>
    <row r="11633">
      <c r="A11633" s="8" t="str">
        <f>IFERROR(__xludf.DUMMYFUNCTION("IF('(INGESTA)Datos_consumo_datadis'!A11633&lt;&gt;"""",SPLIT('(INGESTA)Datos_consumo_datadis'!A:A,"",""),"""")"),"ES0031408323131005HX0F")</f>
        <v>ES0031408323131005HX0F</v>
      </c>
      <c r="B11633" s="12">
        <f>IFERROR(__xludf.DUMMYFUNCTION("""COMPUTED_VALUE"""),45350.0)</f>
        <v>45350</v>
      </c>
      <c r="C11633" s="13">
        <f>IFERROR(__xludf.DUMMYFUNCTION("""COMPUTED_VALUE"""),0.6666666666666666)</f>
        <v>0.6666666667</v>
      </c>
      <c r="D11633" s="8">
        <f>IFERROR(__xludf.DUMMYFUNCTION("""COMPUTED_VALUE"""),0.06)</f>
        <v>0.06</v>
      </c>
      <c r="E11633" s="8" t="str">
        <f>IFERROR(__xludf.DUMMYFUNCTION("""COMPUTED_VALUE"""),"Real")</f>
        <v>Real</v>
      </c>
      <c r="G11633" s="8">
        <f t="shared" si="1"/>
        <v>2</v>
      </c>
      <c r="H11633" s="14">
        <f t="shared" si="2"/>
        <v>28</v>
      </c>
      <c r="I11633" s="15">
        <f t="shared" si="3"/>
        <v>16</v>
      </c>
    </row>
    <row r="11634">
      <c r="A11634" s="8" t="str">
        <f>IFERROR(__xludf.DUMMYFUNCTION("IF('(INGESTA)Datos_consumo_datadis'!A11634&lt;&gt;"""",SPLIT('(INGESTA)Datos_consumo_datadis'!A:A,"",""),"""")"),"ES0031408323131005HX0F")</f>
        <v>ES0031408323131005HX0F</v>
      </c>
      <c r="B11634" s="12">
        <f>IFERROR(__xludf.DUMMYFUNCTION("""COMPUTED_VALUE"""),45350.0)</f>
        <v>45350</v>
      </c>
      <c r="C11634" s="13">
        <f>IFERROR(__xludf.DUMMYFUNCTION("""COMPUTED_VALUE"""),0.7083333333333334)</f>
        <v>0.7083333333</v>
      </c>
      <c r="D11634" s="8">
        <f>IFERROR(__xludf.DUMMYFUNCTION("""COMPUTED_VALUE"""),0.066)</f>
        <v>0.066</v>
      </c>
      <c r="E11634" s="8" t="str">
        <f>IFERROR(__xludf.DUMMYFUNCTION("""COMPUTED_VALUE"""),"Real")</f>
        <v>Real</v>
      </c>
      <c r="G11634" s="8">
        <f t="shared" si="1"/>
        <v>2</v>
      </c>
      <c r="H11634" s="14">
        <f t="shared" si="2"/>
        <v>28</v>
      </c>
      <c r="I11634" s="15">
        <f t="shared" si="3"/>
        <v>17</v>
      </c>
    </row>
    <row r="11635">
      <c r="A11635" s="8" t="str">
        <f>IFERROR(__xludf.DUMMYFUNCTION("IF('(INGESTA)Datos_consumo_datadis'!A11635&lt;&gt;"""",SPLIT('(INGESTA)Datos_consumo_datadis'!A:A,"",""),"""")"),"ES0031408323131005HX0F")</f>
        <v>ES0031408323131005HX0F</v>
      </c>
      <c r="B11635" s="12">
        <f>IFERROR(__xludf.DUMMYFUNCTION("""COMPUTED_VALUE"""),45350.0)</f>
        <v>45350</v>
      </c>
      <c r="C11635" s="13">
        <f>IFERROR(__xludf.DUMMYFUNCTION("""COMPUTED_VALUE"""),0.75)</f>
        <v>0.75</v>
      </c>
      <c r="D11635" s="8">
        <f>IFERROR(__xludf.DUMMYFUNCTION("""COMPUTED_VALUE"""),0.039)</f>
        <v>0.039</v>
      </c>
      <c r="E11635" s="8" t="str">
        <f>IFERROR(__xludf.DUMMYFUNCTION("""COMPUTED_VALUE"""),"Real")</f>
        <v>Real</v>
      </c>
      <c r="G11635" s="8">
        <f t="shared" si="1"/>
        <v>2</v>
      </c>
      <c r="H11635" s="14">
        <f t="shared" si="2"/>
        <v>28</v>
      </c>
      <c r="I11635" s="15">
        <f t="shared" si="3"/>
        <v>18</v>
      </c>
    </row>
    <row r="11636">
      <c r="A11636" s="8" t="str">
        <f>IFERROR(__xludf.DUMMYFUNCTION("IF('(INGESTA)Datos_consumo_datadis'!A11636&lt;&gt;"""",SPLIT('(INGESTA)Datos_consumo_datadis'!A:A,"",""),"""")"),"ES0031408323131005HX0F")</f>
        <v>ES0031408323131005HX0F</v>
      </c>
      <c r="B11636" s="12">
        <f>IFERROR(__xludf.DUMMYFUNCTION("""COMPUTED_VALUE"""),45350.0)</f>
        <v>45350</v>
      </c>
      <c r="C11636" s="13">
        <f>IFERROR(__xludf.DUMMYFUNCTION("""COMPUTED_VALUE"""),0.7916666666666666)</f>
        <v>0.7916666667</v>
      </c>
      <c r="D11636" s="8">
        <f>IFERROR(__xludf.DUMMYFUNCTION("""COMPUTED_VALUE"""),0.068)</f>
        <v>0.068</v>
      </c>
      <c r="E11636" s="8" t="str">
        <f>IFERROR(__xludf.DUMMYFUNCTION("""COMPUTED_VALUE"""),"Real")</f>
        <v>Real</v>
      </c>
      <c r="G11636" s="8">
        <f t="shared" si="1"/>
        <v>2</v>
      </c>
      <c r="H11636" s="14">
        <f t="shared" si="2"/>
        <v>28</v>
      </c>
      <c r="I11636" s="15">
        <f t="shared" si="3"/>
        <v>19</v>
      </c>
    </row>
    <row r="11637">
      <c r="A11637" s="8" t="str">
        <f>IFERROR(__xludf.DUMMYFUNCTION("IF('(INGESTA)Datos_consumo_datadis'!A11637&lt;&gt;"""",SPLIT('(INGESTA)Datos_consumo_datadis'!A:A,"",""),"""")"),"ES0031408323131005HX0F")</f>
        <v>ES0031408323131005HX0F</v>
      </c>
      <c r="B11637" s="12">
        <f>IFERROR(__xludf.DUMMYFUNCTION("""COMPUTED_VALUE"""),45350.0)</f>
        <v>45350</v>
      </c>
      <c r="C11637" s="13">
        <f>IFERROR(__xludf.DUMMYFUNCTION("""COMPUTED_VALUE"""),0.8333333333333334)</f>
        <v>0.8333333333</v>
      </c>
      <c r="D11637" s="8">
        <f>IFERROR(__xludf.DUMMYFUNCTION("""COMPUTED_VALUE"""),0.065)</f>
        <v>0.065</v>
      </c>
      <c r="E11637" s="8" t="str">
        <f>IFERROR(__xludf.DUMMYFUNCTION("""COMPUTED_VALUE"""),"Real")</f>
        <v>Real</v>
      </c>
      <c r="G11637" s="8">
        <f t="shared" si="1"/>
        <v>2</v>
      </c>
      <c r="H11637" s="14">
        <f t="shared" si="2"/>
        <v>28</v>
      </c>
      <c r="I11637" s="15">
        <f t="shared" si="3"/>
        <v>20</v>
      </c>
    </row>
    <row r="11638">
      <c r="A11638" s="8" t="str">
        <f>IFERROR(__xludf.DUMMYFUNCTION("IF('(INGESTA)Datos_consumo_datadis'!A11638&lt;&gt;"""",SPLIT('(INGESTA)Datos_consumo_datadis'!A:A,"",""),"""")"),"ES0031408323131005HX0F")</f>
        <v>ES0031408323131005HX0F</v>
      </c>
      <c r="B11638" s="12">
        <f>IFERROR(__xludf.DUMMYFUNCTION("""COMPUTED_VALUE"""),45350.0)</f>
        <v>45350</v>
      </c>
      <c r="C11638" s="13">
        <f>IFERROR(__xludf.DUMMYFUNCTION("""COMPUTED_VALUE"""),0.875)</f>
        <v>0.875</v>
      </c>
      <c r="D11638" s="8">
        <f>IFERROR(__xludf.DUMMYFUNCTION("""COMPUTED_VALUE"""),0.909)</f>
        <v>0.909</v>
      </c>
      <c r="E11638" s="8" t="str">
        <f>IFERROR(__xludf.DUMMYFUNCTION("""COMPUTED_VALUE"""),"Real")</f>
        <v>Real</v>
      </c>
      <c r="G11638" s="8">
        <f t="shared" si="1"/>
        <v>2</v>
      </c>
      <c r="H11638" s="14">
        <f t="shared" si="2"/>
        <v>28</v>
      </c>
      <c r="I11638" s="15">
        <f t="shared" si="3"/>
        <v>21</v>
      </c>
    </row>
    <row r="11639">
      <c r="A11639" s="8" t="str">
        <f>IFERROR(__xludf.DUMMYFUNCTION("IF('(INGESTA)Datos_consumo_datadis'!A11639&lt;&gt;"""",SPLIT('(INGESTA)Datos_consumo_datadis'!A:A,"",""),"""")"),"ES0031408323131005HX0F")</f>
        <v>ES0031408323131005HX0F</v>
      </c>
      <c r="B11639" s="12">
        <f>IFERROR(__xludf.DUMMYFUNCTION("""COMPUTED_VALUE"""),45350.0)</f>
        <v>45350</v>
      </c>
      <c r="C11639" s="13">
        <f>IFERROR(__xludf.DUMMYFUNCTION("""COMPUTED_VALUE"""),0.9166666666666666)</f>
        <v>0.9166666667</v>
      </c>
      <c r="D11639" s="8">
        <f>IFERROR(__xludf.DUMMYFUNCTION("""COMPUTED_VALUE"""),3.103)</f>
        <v>3.103</v>
      </c>
      <c r="E11639" s="8" t="str">
        <f>IFERROR(__xludf.DUMMYFUNCTION("""COMPUTED_VALUE"""),"Real")</f>
        <v>Real</v>
      </c>
      <c r="G11639" s="8">
        <f t="shared" si="1"/>
        <v>2</v>
      </c>
      <c r="H11639" s="14">
        <f t="shared" si="2"/>
        <v>28</v>
      </c>
      <c r="I11639" s="15">
        <f t="shared" si="3"/>
        <v>22</v>
      </c>
    </row>
    <row r="11640">
      <c r="A11640" s="8" t="str">
        <f>IFERROR(__xludf.DUMMYFUNCTION("IF('(INGESTA)Datos_consumo_datadis'!A11640&lt;&gt;"""",SPLIT('(INGESTA)Datos_consumo_datadis'!A:A,"",""),"""")"),"ES0031408323131005HX0F")</f>
        <v>ES0031408323131005HX0F</v>
      </c>
      <c r="B11640" s="12">
        <f>IFERROR(__xludf.DUMMYFUNCTION("""COMPUTED_VALUE"""),45350.0)</f>
        <v>45350</v>
      </c>
      <c r="C11640" s="13">
        <f>IFERROR(__xludf.DUMMYFUNCTION("""COMPUTED_VALUE"""),0.9583333333333334)</f>
        <v>0.9583333333</v>
      </c>
      <c r="D11640" s="8">
        <f>IFERROR(__xludf.DUMMYFUNCTION("""COMPUTED_VALUE"""),2.634)</f>
        <v>2.634</v>
      </c>
      <c r="E11640" s="8" t="str">
        <f>IFERROR(__xludf.DUMMYFUNCTION("""COMPUTED_VALUE"""),"Real")</f>
        <v>Real</v>
      </c>
      <c r="G11640" s="8">
        <f t="shared" si="1"/>
        <v>2</v>
      </c>
      <c r="H11640" s="14">
        <f t="shared" si="2"/>
        <v>28</v>
      </c>
      <c r="I11640" s="15">
        <f t="shared" si="3"/>
        <v>23</v>
      </c>
    </row>
    <row r="11641">
      <c r="A11641" s="8" t="str">
        <f>IFERROR(__xludf.DUMMYFUNCTION("IF('(INGESTA)Datos_consumo_datadis'!A11641&lt;&gt;"""",SPLIT('(INGESTA)Datos_consumo_datadis'!A:A,"",""),"""")"),"ES0031408323131005HX0F")</f>
        <v>ES0031408323131005HX0F</v>
      </c>
      <c r="B11641" s="12">
        <f>IFERROR(__xludf.DUMMYFUNCTION("""COMPUTED_VALUE"""),45350.0)</f>
        <v>45350</v>
      </c>
      <c r="C11641" s="16">
        <f>IFERROR(__xludf.DUMMYFUNCTION("""COMPUTED_VALUE"""),1.0)</f>
        <v>1</v>
      </c>
      <c r="D11641" s="8">
        <f>IFERROR(__xludf.DUMMYFUNCTION("""COMPUTED_VALUE"""),1.273)</f>
        <v>1.273</v>
      </c>
      <c r="E11641" s="8" t="str">
        <f>IFERROR(__xludf.DUMMYFUNCTION("""COMPUTED_VALUE"""),"Real")</f>
        <v>Real</v>
      </c>
      <c r="G11641" s="8">
        <f t="shared" si="1"/>
        <v>2</v>
      </c>
      <c r="H11641" s="14">
        <f t="shared" si="2"/>
        <v>28</v>
      </c>
      <c r="I11641" s="15">
        <f t="shared" si="3"/>
        <v>0</v>
      </c>
    </row>
    <row r="11642">
      <c r="A11642" s="8" t="str">
        <f>IFERROR(__xludf.DUMMYFUNCTION("IF('(INGESTA)Datos_consumo_datadis'!A11642&lt;&gt;"""",SPLIT('(INGESTA)Datos_consumo_datadis'!A:A,"",""),"""")"),"ES0031408323131005HX0F")</f>
        <v>ES0031408323131005HX0F</v>
      </c>
      <c r="B11642" s="12">
        <f>IFERROR(__xludf.DUMMYFUNCTION("""COMPUTED_VALUE"""),45351.0)</f>
        <v>45351</v>
      </c>
      <c r="C11642" s="13">
        <f>IFERROR(__xludf.DUMMYFUNCTION("""COMPUTED_VALUE"""),0.041666666666666664)</f>
        <v>0.04166666667</v>
      </c>
      <c r="D11642" s="8">
        <f>IFERROR(__xludf.DUMMYFUNCTION("""COMPUTED_VALUE"""),0.489)</f>
        <v>0.489</v>
      </c>
      <c r="E11642" s="8" t="str">
        <f>IFERROR(__xludf.DUMMYFUNCTION("""COMPUTED_VALUE"""),"Real")</f>
        <v>Real</v>
      </c>
      <c r="G11642" s="8">
        <f t="shared" si="1"/>
        <v>2</v>
      </c>
      <c r="H11642" s="14">
        <f t="shared" si="2"/>
        <v>29</v>
      </c>
      <c r="I11642" s="15">
        <f t="shared" si="3"/>
        <v>1</v>
      </c>
    </row>
    <row r="11643">
      <c r="A11643" s="8" t="str">
        <f>IFERROR(__xludf.DUMMYFUNCTION("IF('(INGESTA)Datos_consumo_datadis'!A11643&lt;&gt;"""",SPLIT('(INGESTA)Datos_consumo_datadis'!A:A,"",""),"""")"),"ES0031408323131005HX0F")</f>
        <v>ES0031408323131005HX0F</v>
      </c>
      <c r="B11643" s="12">
        <f>IFERROR(__xludf.DUMMYFUNCTION("""COMPUTED_VALUE"""),45351.0)</f>
        <v>45351</v>
      </c>
      <c r="C11643" s="13">
        <f>IFERROR(__xludf.DUMMYFUNCTION("""COMPUTED_VALUE"""),0.08333333333333333)</f>
        <v>0.08333333333</v>
      </c>
      <c r="D11643" s="8">
        <f>IFERROR(__xludf.DUMMYFUNCTION("""COMPUTED_VALUE"""),0.096)</f>
        <v>0.096</v>
      </c>
      <c r="E11643" s="8" t="str">
        <f>IFERROR(__xludf.DUMMYFUNCTION("""COMPUTED_VALUE"""),"Real")</f>
        <v>Real</v>
      </c>
      <c r="G11643" s="8">
        <f t="shared" si="1"/>
        <v>2</v>
      </c>
      <c r="H11643" s="14">
        <f t="shared" si="2"/>
        <v>29</v>
      </c>
      <c r="I11643" s="15">
        <f t="shared" si="3"/>
        <v>2</v>
      </c>
    </row>
    <row r="11644">
      <c r="A11644" s="8" t="str">
        <f>IFERROR(__xludf.DUMMYFUNCTION("IF('(INGESTA)Datos_consumo_datadis'!A11644&lt;&gt;"""",SPLIT('(INGESTA)Datos_consumo_datadis'!A:A,"",""),"""")"),"ES0031408323131005HX0F")</f>
        <v>ES0031408323131005HX0F</v>
      </c>
      <c r="B11644" s="12">
        <f>IFERROR(__xludf.DUMMYFUNCTION("""COMPUTED_VALUE"""),45351.0)</f>
        <v>45351</v>
      </c>
      <c r="C11644" s="13">
        <f>IFERROR(__xludf.DUMMYFUNCTION("""COMPUTED_VALUE"""),0.125)</f>
        <v>0.125</v>
      </c>
      <c r="D11644" s="8">
        <f>IFERROR(__xludf.DUMMYFUNCTION("""COMPUTED_VALUE"""),0.106)</f>
        <v>0.106</v>
      </c>
      <c r="E11644" s="8" t="str">
        <f>IFERROR(__xludf.DUMMYFUNCTION("""COMPUTED_VALUE"""),"Real")</f>
        <v>Real</v>
      </c>
      <c r="G11644" s="8">
        <f t="shared" si="1"/>
        <v>2</v>
      </c>
      <c r="H11644" s="14">
        <f t="shared" si="2"/>
        <v>29</v>
      </c>
      <c r="I11644" s="15">
        <f t="shared" si="3"/>
        <v>3</v>
      </c>
    </row>
    <row r="11645">
      <c r="A11645" s="8" t="str">
        <f>IFERROR(__xludf.DUMMYFUNCTION("IF('(INGESTA)Datos_consumo_datadis'!A11645&lt;&gt;"""",SPLIT('(INGESTA)Datos_consumo_datadis'!A:A,"",""),"""")"),"ES0031408323131005HX0F")</f>
        <v>ES0031408323131005HX0F</v>
      </c>
      <c r="B11645" s="12">
        <f>IFERROR(__xludf.DUMMYFUNCTION("""COMPUTED_VALUE"""),45351.0)</f>
        <v>45351</v>
      </c>
      <c r="C11645" s="13">
        <f>IFERROR(__xludf.DUMMYFUNCTION("""COMPUTED_VALUE"""),0.16666666666666666)</f>
        <v>0.1666666667</v>
      </c>
      <c r="D11645" s="8">
        <f>IFERROR(__xludf.DUMMYFUNCTION("""COMPUTED_VALUE"""),0.336)</f>
        <v>0.336</v>
      </c>
      <c r="E11645" s="8" t="str">
        <f>IFERROR(__xludf.DUMMYFUNCTION("""COMPUTED_VALUE"""),"Real")</f>
        <v>Real</v>
      </c>
      <c r="G11645" s="8">
        <f t="shared" si="1"/>
        <v>2</v>
      </c>
      <c r="H11645" s="14">
        <f t="shared" si="2"/>
        <v>29</v>
      </c>
      <c r="I11645" s="15">
        <f t="shared" si="3"/>
        <v>4</v>
      </c>
    </row>
    <row r="11646">
      <c r="A11646" s="8" t="str">
        <f>IFERROR(__xludf.DUMMYFUNCTION("IF('(INGESTA)Datos_consumo_datadis'!A11646&lt;&gt;"""",SPLIT('(INGESTA)Datos_consumo_datadis'!A:A,"",""),"""")"),"ES0031408323131005HX0F")</f>
        <v>ES0031408323131005HX0F</v>
      </c>
      <c r="B11646" s="12">
        <f>IFERROR(__xludf.DUMMYFUNCTION("""COMPUTED_VALUE"""),45351.0)</f>
        <v>45351</v>
      </c>
      <c r="C11646" s="13">
        <f>IFERROR(__xludf.DUMMYFUNCTION("""COMPUTED_VALUE"""),0.20833333333333334)</f>
        <v>0.2083333333</v>
      </c>
      <c r="D11646" s="8">
        <f>IFERROR(__xludf.DUMMYFUNCTION("""COMPUTED_VALUE"""),0.04)</f>
        <v>0.04</v>
      </c>
      <c r="E11646" s="8" t="str">
        <f>IFERROR(__xludf.DUMMYFUNCTION("""COMPUTED_VALUE"""),"Real")</f>
        <v>Real</v>
      </c>
      <c r="G11646" s="8">
        <f t="shared" si="1"/>
        <v>2</v>
      </c>
      <c r="H11646" s="14">
        <f t="shared" si="2"/>
        <v>29</v>
      </c>
      <c r="I11646" s="15">
        <f t="shared" si="3"/>
        <v>5</v>
      </c>
    </row>
    <row r="11647">
      <c r="A11647" s="8" t="str">
        <f>IFERROR(__xludf.DUMMYFUNCTION("IF('(INGESTA)Datos_consumo_datadis'!A11647&lt;&gt;"""",SPLIT('(INGESTA)Datos_consumo_datadis'!A:A,"",""),"""")"),"ES0031408323131005HX0F")</f>
        <v>ES0031408323131005HX0F</v>
      </c>
      <c r="B11647" s="12">
        <f>IFERROR(__xludf.DUMMYFUNCTION("""COMPUTED_VALUE"""),45351.0)</f>
        <v>45351</v>
      </c>
      <c r="C11647" s="13">
        <f>IFERROR(__xludf.DUMMYFUNCTION("""COMPUTED_VALUE"""),0.25)</f>
        <v>0.25</v>
      </c>
      <c r="D11647" s="8">
        <f>IFERROR(__xludf.DUMMYFUNCTION("""COMPUTED_VALUE"""),0.09)</f>
        <v>0.09</v>
      </c>
      <c r="E11647" s="8" t="str">
        <f>IFERROR(__xludf.DUMMYFUNCTION("""COMPUTED_VALUE"""),"Real")</f>
        <v>Real</v>
      </c>
      <c r="G11647" s="8">
        <f t="shared" si="1"/>
        <v>2</v>
      </c>
      <c r="H11647" s="14">
        <f t="shared" si="2"/>
        <v>29</v>
      </c>
      <c r="I11647" s="15">
        <f t="shared" si="3"/>
        <v>6</v>
      </c>
    </row>
    <row r="11648">
      <c r="A11648" s="8" t="str">
        <f>IFERROR(__xludf.DUMMYFUNCTION("IF('(INGESTA)Datos_consumo_datadis'!A11648&lt;&gt;"""",SPLIT('(INGESTA)Datos_consumo_datadis'!A:A,"",""),"""")"),"ES0031408323131005HX0F")</f>
        <v>ES0031408323131005HX0F</v>
      </c>
      <c r="B11648" s="12">
        <f>IFERROR(__xludf.DUMMYFUNCTION("""COMPUTED_VALUE"""),45351.0)</f>
        <v>45351</v>
      </c>
      <c r="C11648" s="13">
        <f>IFERROR(__xludf.DUMMYFUNCTION("""COMPUTED_VALUE"""),0.2916666666666667)</f>
        <v>0.2916666667</v>
      </c>
      <c r="D11648" s="8">
        <f>IFERROR(__xludf.DUMMYFUNCTION("""COMPUTED_VALUE"""),0.054)</f>
        <v>0.054</v>
      </c>
      <c r="E11648" s="8" t="str">
        <f>IFERROR(__xludf.DUMMYFUNCTION("""COMPUTED_VALUE"""),"Real")</f>
        <v>Real</v>
      </c>
      <c r="G11648" s="8">
        <f t="shared" si="1"/>
        <v>2</v>
      </c>
      <c r="H11648" s="14">
        <f t="shared" si="2"/>
        <v>29</v>
      </c>
      <c r="I11648" s="15">
        <f t="shared" si="3"/>
        <v>7</v>
      </c>
    </row>
    <row r="11649">
      <c r="A11649" s="8" t="str">
        <f>IFERROR(__xludf.DUMMYFUNCTION("IF('(INGESTA)Datos_consumo_datadis'!A11649&lt;&gt;"""",SPLIT('(INGESTA)Datos_consumo_datadis'!A:A,"",""),"""")"),"ES0031408323131005HX0F")</f>
        <v>ES0031408323131005HX0F</v>
      </c>
      <c r="B11649" s="12">
        <f>IFERROR(__xludf.DUMMYFUNCTION("""COMPUTED_VALUE"""),45351.0)</f>
        <v>45351</v>
      </c>
      <c r="C11649" s="13">
        <f>IFERROR(__xludf.DUMMYFUNCTION("""COMPUTED_VALUE"""),0.3333333333333333)</f>
        <v>0.3333333333</v>
      </c>
      <c r="D11649" s="8">
        <f>IFERROR(__xludf.DUMMYFUNCTION("""COMPUTED_VALUE"""),0.025)</f>
        <v>0.025</v>
      </c>
      <c r="E11649" s="8" t="str">
        <f>IFERROR(__xludf.DUMMYFUNCTION("""COMPUTED_VALUE"""),"Real")</f>
        <v>Real</v>
      </c>
      <c r="G11649" s="8">
        <f t="shared" si="1"/>
        <v>2</v>
      </c>
      <c r="H11649" s="14">
        <f t="shared" si="2"/>
        <v>29</v>
      </c>
      <c r="I11649" s="15">
        <f t="shared" si="3"/>
        <v>8</v>
      </c>
    </row>
    <row r="11650">
      <c r="A11650" s="8" t="str">
        <f>IFERROR(__xludf.DUMMYFUNCTION("IF('(INGESTA)Datos_consumo_datadis'!A11650&lt;&gt;"""",SPLIT('(INGESTA)Datos_consumo_datadis'!A:A,"",""),"""")"),"ES0031408323131005HX0F")</f>
        <v>ES0031408323131005HX0F</v>
      </c>
      <c r="B11650" s="12">
        <f>IFERROR(__xludf.DUMMYFUNCTION("""COMPUTED_VALUE"""),45351.0)</f>
        <v>45351</v>
      </c>
      <c r="C11650" s="13">
        <f>IFERROR(__xludf.DUMMYFUNCTION("""COMPUTED_VALUE"""),0.375)</f>
        <v>0.375</v>
      </c>
      <c r="D11650" s="8">
        <f>IFERROR(__xludf.DUMMYFUNCTION("""COMPUTED_VALUE"""),0.489)</f>
        <v>0.489</v>
      </c>
      <c r="E11650" s="8" t="str">
        <f>IFERROR(__xludf.DUMMYFUNCTION("""COMPUTED_VALUE"""),"Real")</f>
        <v>Real</v>
      </c>
      <c r="G11650" s="8">
        <f t="shared" si="1"/>
        <v>2</v>
      </c>
      <c r="H11650" s="14">
        <f t="shared" si="2"/>
        <v>29</v>
      </c>
      <c r="I11650" s="15">
        <f t="shared" si="3"/>
        <v>9</v>
      </c>
    </row>
    <row r="11651">
      <c r="A11651" s="8" t="str">
        <f>IFERROR(__xludf.DUMMYFUNCTION("IF('(INGESTA)Datos_consumo_datadis'!A11651&lt;&gt;"""",SPLIT('(INGESTA)Datos_consumo_datadis'!A:A,"",""),"""")"),"ES0031408323131005HX0F")</f>
        <v>ES0031408323131005HX0F</v>
      </c>
      <c r="B11651" s="12">
        <f>IFERROR(__xludf.DUMMYFUNCTION("""COMPUTED_VALUE"""),45351.0)</f>
        <v>45351</v>
      </c>
      <c r="C11651" s="13">
        <f>IFERROR(__xludf.DUMMYFUNCTION("""COMPUTED_VALUE"""),0.4166666666666667)</f>
        <v>0.4166666667</v>
      </c>
      <c r="D11651" s="8">
        <f>IFERROR(__xludf.DUMMYFUNCTION("""COMPUTED_VALUE"""),0.397)</f>
        <v>0.397</v>
      </c>
      <c r="E11651" s="8" t="str">
        <f>IFERROR(__xludf.DUMMYFUNCTION("""COMPUTED_VALUE"""),"Real")</f>
        <v>Real</v>
      </c>
      <c r="G11651" s="8">
        <f t="shared" si="1"/>
        <v>2</v>
      </c>
      <c r="H11651" s="14">
        <f t="shared" si="2"/>
        <v>29</v>
      </c>
      <c r="I11651" s="15">
        <f t="shared" si="3"/>
        <v>10</v>
      </c>
    </row>
    <row r="11652">
      <c r="A11652" s="8" t="str">
        <f>IFERROR(__xludf.DUMMYFUNCTION("IF('(INGESTA)Datos_consumo_datadis'!A11652&lt;&gt;"""",SPLIT('(INGESTA)Datos_consumo_datadis'!A:A,"",""),"""")"),"ES0031408323131005HX0F")</f>
        <v>ES0031408323131005HX0F</v>
      </c>
      <c r="B11652" s="12">
        <f>IFERROR(__xludf.DUMMYFUNCTION("""COMPUTED_VALUE"""),45351.0)</f>
        <v>45351</v>
      </c>
      <c r="C11652" s="13">
        <f>IFERROR(__xludf.DUMMYFUNCTION("""COMPUTED_VALUE"""),0.4583333333333333)</f>
        <v>0.4583333333</v>
      </c>
      <c r="D11652" s="8">
        <f>IFERROR(__xludf.DUMMYFUNCTION("""COMPUTED_VALUE"""),0.044)</f>
        <v>0.044</v>
      </c>
      <c r="E11652" s="8" t="str">
        <f>IFERROR(__xludf.DUMMYFUNCTION("""COMPUTED_VALUE"""),"Real")</f>
        <v>Real</v>
      </c>
      <c r="G11652" s="8">
        <f t="shared" si="1"/>
        <v>2</v>
      </c>
      <c r="H11652" s="14">
        <f t="shared" si="2"/>
        <v>29</v>
      </c>
      <c r="I11652" s="15">
        <f t="shared" si="3"/>
        <v>11</v>
      </c>
    </row>
    <row r="11653">
      <c r="A11653" s="8" t="str">
        <f>IFERROR(__xludf.DUMMYFUNCTION("IF('(INGESTA)Datos_consumo_datadis'!A11653&lt;&gt;"""",SPLIT('(INGESTA)Datos_consumo_datadis'!A:A,"",""),"""")"),"ES0031408323131005HX0F")</f>
        <v>ES0031408323131005HX0F</v>
      </c>
      <c r="B11653" s="12">
        <f>IFERROR(__xludf.DUMMYFUNCTION("""COMPUTED_VALUE"""),45351.0)</f>
        <v>45351</v>
      </c>
      <c r="C11653" s="13">
        <f>IFERROR(__xludf.DUMMYFUNCTION("""COMPUTED_VALUE"""),0.5)</f>
        <v>0.5</v>
      </c>
      <c r="D11653" s="8">
        <f>IFERROR(__xludf.DUMMYFUNCTION("""COMPUTED_VALUE"""),0.067)</f>
        <v>0.067</v>
      </c>
      <c r="E11653" s="8" t="str">
        <f>IFERROR(__xludf.DUMMYFUNCTION("""COMPUTED_VALUE"""),"Real")</f>
        <v>Real</v>
      </c>
      <c r="G11653" s="8">
        <f t="shared" si="1"/>
        <v>2</v>
      </c>
      <c r="H11653" s="14">
        <f t="shared" si="2"/>
        <v>29</v>
      </c>
      <c r="I11653" s="15">
        <f t="shared" si="3"/>
        <v>12</v>
      </c>
    </row>
    <row r="11654">
      <c r="A11654" s="8" t="str">
        <f>IFERROR(__xludf.DUMMYFUNCTION("IF('(INGESTA)Datos_consumo_datadis'!A11654&lt;&gt;"""",SPLIT('(INGESTA)Datos_consumo_datadis'!A:A,"",""),"""")"),"ES0031408323131005HX0F")</f>
        <v>ES0031408323131005HX0F</v>
      </c>
      <c r="B11654" s="12">
        <f>IFERROR(__xludf.DUMMYFUNCTION("""COMPUTED_VALUE"""),45351.0)</f>
        <v>45351</v>
      </c>
      <c r="C11654" s="13">
        <f>IFERROR(__xludf.DUMMYFUNCTION("""COMPUTED_VALUE"""),0.5416666666666666)</f>
        <v>0.5416666667</v>
      </c>
      <c r="D11654" s="8">
        <f>IFERROR(__xludf.DUMMYFUNCTION("""COMPUTED_VALUE"""),0.049)</f>
        <v>0.049</v>
      </c>
      <c r="E11654" s="8" t="str">
        <f>IFERROR(__xludf.DUMMYFUNCTION("""COMPUTED_VALUE"""),"Real")</f>
        <v>Real</v>
      </c>
      <c r="G11654" s="8">
        <f t="shared" si="1"/>
        <v>2</v>
      </c>
      <c r="H11654" s="14">
        <f t="shared" si="2"/>
        <v>29</v>
      </c>
      <c r="I11654" s="15">
        <f t="shared" si="3"/>
        <v>13</v>
      </c>
    </row>
    <row r="11655">
      <c r="A11655" s="8" t="str">
        <f>IFERROR(__xludf.DUMMYFUNCTION("IF('(INGESTA)Datos_consumo_datadis'!A11655&lt;&gt;"""",SPLIT('(INGESTA)Datos_consumo_datadis'!A:A,"",""),"""")"),"ES0031408323131005HX0F")</f>
        <v>ES0031408323131005HX0F</v>
      </c>
      <c r="B11655" s="12">
        <f>IFERROR(__xludf.DUMMYFUNCTION("""COMPUTED_VALUE"""),45351.0)</f>
        <v>45351</v>
      </c>
      <c r="C11655" s="13">
        <f>IFERROR(__xludf.DUMMYFUNCTION("""COMPUTED_VALUE"""),0.5833333333333334)</f>
        <v>0.5833333333</v>
      </c>
      <c r="D11655" s="8">
        <f>IFERROR(__xludf.DUMMYFUNCTION("""COMPUTED_VALUE"""),0.453)</f>
        <v>0.453</v>
      </c>
      <c r="E11655" s="8" t="str">
        <f>IFERROR(__xludf.DUMMYFUNCTION("""COMPUTED_VALUE"""),"Real")</f>
        <v>Real</v>
      </c>
      <c r="G11655" s="8">
        <f t="shared" si="1"/>
        <v>2</v>
      </c>
      <c r="H11655" s="14">
        <f t="shared" si="2"/>
        <v>29</v>
      </c>
      <c r="I11655" s="15">
        <f t="shared" si="3"/>
        <v>14</v>
      </c>
    </row>
    <row r="11656">
      <c r="A11656" s="8" t="str">
        <f>IFERROR(__xludf.DUMMYFUNCTION("IF('(INGESTA)Datos_consumo_datadis'!A11656&lt;&gt;"""",SPLIT('(INGESTA)Datos_consumo_datadis'!A:A,"",""),"""")"),"ES0031408323131005HX0F")</f>
        <v>ES0031408323131005HX0F</v>
      </c>
      <c r="B11656" s="12">
        <f>IFERROR(__xludf.DUMMYFUNCTION("""COMPUTED_VALUE"""),45351.0)</f>
        <v>45351</v>
      </c>
      <c r="C11656" s="13">
        <f>IFERROR(__xludf.DUMMYFUNCTION("""COMPUTED_VALUE"""),0.625)</f>
        <v>0.625</v>
      </c>
      <c r="D11656" s="8">
        <f>IFERROR(__xludf.DUMMYFUNCTION("""COMPUTED_VALUE"""),0.068)</f>
        <v>0.068</v>
      </c>
      <c r="E11656" s="8" t="str">
        <f>IFERROR(__xludf.DUMMYFUNCTION("""COMPUTED_VALUE"""),"Real")</f>
        <v>Real</v>
      </c>
      <c r="G11656" s="8">
        <f t="shared" si="1"/>
        <v>2</v>
      </c>
      <c r="H11656" s="14">
        <f t="shared" si="2"/>
        <v>29</v>
      </c>
      <c r="I11656" s="15">
        <f t="shared" si="3"/>
        <v>15</v>
      </c>
    </row>
    <row r="11657">
      <c r="A11657" s="8" t="str">
        <f>IFERROR(__xludf.DUMMYFUNCTION("IF('(INGESTA)Datos_consumo_datadis'!A11657&lt;&gt;"""",SPLIT('(INGESTA)Datos_consumo_datadis'!A:A,"",""),"""")"),"ES0031408323131005HX0F")</f>
        <v>ES0031408323131005HX0F</v>
      </c>
      <c r="B11657" s="12">
        <f>IFERROR(__xludf.DUMMYFUNCTION("""COMPUTED_VALUE"""),45351.0)</f>
        <v>45351</v>
      </c>
      <c r="C11657" s="13">
        <f>IFERROR(__xludf.DUMMYFUNCTION("""COMPUTED_VALUE"""),0.6666666666666666)</f>
        <v>0.6666666667</v>
      </c>
      <c r="D11657" s="8">
        <f>IFERROR(__xludf.DUMMYFUNCTION("""COMPUTED_VALUE"""),0.163)</f>
        <v>0.163</v>
      </c>
      <c r="E11657" s="8" t="str">
        <f>IFERROR(__xludf.DUMMYFUNCTION("""COMPUTED_VALUE"""),"Real")</f>
        <v>Real</v>
      </c>
      <c r="G11657" s="8">
        <f t="shared" si="1"/>
        <v>2</v>
      </c>
      <c r="H11657" s="14">
        <f t="shared" si="2"/>
        <v>29</v>
      </c>
      <c r="I11657" s="15">
        <f t="shared" si="3"/>
        <v>16</v>
      </c>
    </row>
    <row r="11658">
      <c r="A11658" s="8" t="str">
        <f>IFERROR(__xludf.DUMMYFUNCTION("IF('(INGESTA)Datos_consumo_datadis'!A11658&lt;&gt;"""",SPLIT('(INGESTA)Datos_consumo_datadis'!A:A,"",""),"""")"),"ES0031408323131005HX0F")</f>
        <v>ES0031408323131005HX0F</v>
      </c>
      <c r="B11658" s="12">
        <f>IFERROR(__xludf.DUMMYFUNCTION("""COMPUTED_VALUE"""),45351.0)</f>
        <v>45351</v>
      </c>
      <c r="C11658" s="13">
        <f>IFERROR(__xludf.DUMMYFUNCTION("""COMPUTED_VALUE"""),0.7083333333333334)</f>
        <v>0.7083333333</v>
      </c>
      <c r="D11658" s="8">
        <f>IFERROR(__xludf.DUMMYFUNCTION("""COMPUTED_VALUE"""),0.247)</f>
        <v>0.247</v>
      </c>
      <c r="E11658" s="8" t="str">
        <f>IFERROR(__xludf.DUMMYFUNCTION("""COMPUTED_VALUE"""),"Real")</f>
        <v>Real</v>
      </c>
      <c r="G11658" s="8">
        <f t="shared" si="1"/>
        <v>2</v>
      </c>
      <c r="H11658" s="14">
        <f t="shared" si="2"/>
        <v>29</v>
      </c>
      <c r="I11658" s="15">
        <f t="shared" si="3"/>
        <v>17</v>
      </c>
    </row>
    <row r="11659">
      <c r="A11659" s="8" t="str">
        <f>IFERROR(__xludf.DUMMYFUNCTION("IF('(INGESTA)Datos_consumo_datadis'!A11659&lt;&gt;"""",SPLIT('(INGESTA)Datos_consumo_datadis'!A:A,"",""),"""")"),"ES0031408323131005HX0F")</f>
        <v>ES0031408323131005HX0F</v>
      </c>
      <c r="B11659" s="12">
        <f>IFERROR(__xludf.DUMMYFUNCTION("""COMPUTED_VALUE"""),45351.0)</f>
        <v>45351</v>
      </c>
      <c r="C11659" s="13">
        <f>IFERROR(__xludf.DUMMYFUNCTION("""COMPUTED_VALUE"""),0.75)</f>
        <v>0.75</v>
      </c>
      <c r="D11659" s="8">
        <f>IFERROR(__xludf.DUMMYFUNCTION("""COMPUTED_VALUE"""),1.69)</f>
        <v>1.69</v>
      </c>
      <c r="E11659" s="8" t="str">
        <f>IFERROR(__xludf.DUMMYFUNCTION("""COMPUTED_VALUE"""),"Real")</f>
        <v>Real</v>
      </c>
      <c r="G11659" s="8">
        <f t="shared" si="1"/>
        <v>2</v>
      </c>
      <c r="H11659" s="14">
        <f t="shared" si="2"/>
        <v>29</v>
      </c>
      <c r="I11659" s="15">
        <f t="shared" si="3"/>
        <v>18</v>
      </c>
    </row>
    <row r="11660">
      <c r="A11660" s="8" t="str">
        <f>IFERROR(__xludf.DUMMYFUNCTION("IF('(INGESTA)Datos_consumo_datadis'!A11660&lt;&gt;"""",SPLIT('(INGESTA)Datos_consumo_datadis'!A:A,"",""),"""")"),"ES0031408323131005HX0F")</f>
        <v>ES0031408323131005HX0F</v>
      </c>
      <c r="B11660" s="12">
        <f>IFERROR(__xludf.DUMMYFUNCTION("""COMPUTED_VALUE"""),45351.0)</f>
        <v>45351</v>
      </c>
      <c r="C11660" s="13">
        <f>IFERROR(__xludf.DUMMYFUNCTION("""COMPUTED_VALUE"""),0.7916666666666666)</f>
        <v>0.7916666667</v>
      </c>
      <c r="D11660" s="8">
        <f>IFERROR(__xludf.DUMMYFUNCTION("""COMPUTED_VALUE"""),1.092)</f>
        <v>1.092</v>
      </c>
      <c r="E11660" s="8" t="str">
        <f>IFERROR(__xludf.DUMMYFUNCTION("""COMPUTED_VALUE"""),"Real")</f>
        <v>Real</v>
      </c>
      <c r="G11660" s="8">
        <f t="shared" si="1"/>
        <v>2</v>
      </c>
      <c r="H11660" s="14">
        <f t="shared" si="2"/>
        <v>29</v>
      </c>
      <c r="I11660" s="15">
        <f t="shared" si="3"/>
        <v>19</v>
      </c>
    </row>
    <row r="11661">
      <c r="A11661" s="8" t="str">
        <f>IFERROR(__xludf.DUMMYFUNCTION("IF('(INGESTA)Datos_consumo_datadis'!A11661&lt;&gt;"""",SPLIT('(INGESTA)Datos_consumo_datadis'!A:A,"",""),"""")"),"ES0031408323131005HX0F")</f>
        <v>ES0031408323131005HX0F</v>
      </c>
      <c r="B11661" s="12">
        <f>IFERROR(__xludf.DUMMYFUNCTION("""COMPUTED_VALUE"""),45351.0)</f>
        <v>45351</v>
      </c>
      <c r="C11661" s="13">
        <f>IFERROR(__xludf.DUMMYFUNCTION("""COMPUTED_VALUE"""),0.8333333333333334)</f>
        <v>0.8333333333</v>
      </c>
      <c r="D11661" s="8">
        <f>IFERROR(__xludf.DUMMYFUNCTION("""COMPUTED_VALUE"""),1.242)</f>
        <v>1.242</v>
      </c>
      <c r="E11661" s="8" t="str">
        <f>IFERROR(__xludf.DUMMYFUNCTION("""COMPUTED_VALUE"""),"Real")</f>
        <v>Real</v>
      </c>
      <c r="G11661" s="8">
        <f t="shared" si="1"/>
        <v>2</v>
      </c>
      <c r="H11661" s="14">
        <f t="shared" si="2"/>
        <v>29</v>
      </c>
      <c r="I11661" s="15">
        <f t="shared" si="3"/>
        <v>20</v>
      </c>
    </row>
    <row r="11662">
      <c r="A11662" s="8" t="str">
        <f>IFERROR(__xludf.DUMMYFUNCTION("IF('(INGESTA)Datos_consumo_datadis'!A11662&lt;&gt;"""",SPLIT('(INGESTA)Datos_consumo_datadis'!A:A,"",""),"""")"),"ES0031408323131005HX0F")</f>
        <v>ES0031408323131005HX0F</v>
      </c>
      <c r="B11662" s="12">
        <f>IFERROR(__xludf.DUMMYFUNCTION("""COMPUTED_VALUE"""),45351.0)</f>
        <v>45351</v>
      </c>
      <c r="C11662" s="13">
        <f>IFERROR(__xludf.DUMMYFUNCTION("""COMPUTED_VALUE"""),0.875)</f>
        <v>0.875</v>
      </c>
      <c r="D11662" s="8">
        <f>IFERROR(__xludf.DUMMYFUNCTION("""COMPUTED_VALUE"""),2.366)</f>
        <v>2.366</v>
      </c>
      <c r="E11662" s="8" t="str">
        <f>IFERROR(__xludf.DUMMYFUNCTION("""COMPUTED_VALUE"""),"Real")</f>
        <v>Real</v>
      </c>
      <c r="G11662" s="8">
        <f t="shared" si="1"/>
        <v>2</v>
      </c>
      <c r="H11662" s="14">
        <f t="shared" si="2"/>
        <v>29</v>
      </c>
      <c r="I11662" s="15">
        <f t="shared" si="3"/>
        <v>21</v>
      </c>
    </row>
    <row r="11663">
      <c r="A11663" s="8" t="str">
        <f>IFERROR(__xludf.DUMMYFUNCTION("IF('(INGESTA)Datos_consumo_datadis'!A11663&lt;&gt;"""",SPLIT('(INGESTA)Datos_consumo_datadis'!A:A,"",""),"""")"),"ES0031408323131005HX0F")</f>
        <v>ES0031408323131005HX0F</v>
      </c>
      <c r="B11663" s="12">
        <f>IFERROR(__xludf.DUMMYFUNCTION("""COMPUTED_VALUE"""),45351.0)</f>
        <v>45351</v>
      </c>
      <c r="C11663" s="13">
        <f>IFERROR(__xludf.DUMMYFUNCTION("""COMPUTED_VALUE"""),0.9166666666666666)</f>
        <v>0.9166666667</v>
      </c>
      <c r="D11663" s="8">
        <f>IFERROR(__xludf.DUMMYFUNCTION("""COMPUTED_VALUE"""),2.233)</f>
        <v>2.233</v>
      </c>
      <c r="E11663" s="8" t="str">
        <f>IFERROR(__xludf.DUMMYFUNCTION("""COMPUTED_VALUE"""),"Real")</f>
        <v>Real</v>
      </c>
      <c r="G11663" s="8">
        <f t="shared" si="1"/>
        <v>2</v>
      </c>
      <c r="H11663" s="14">
        <f t="shared" si="2"/>
        <v>29</v>
      </c>
      <c r="I11663" s="15">
        <f t="shared" si="3"/>
        <v>22</v>
      </c>
    </row>
    <row r="11664">
      <c r="A11664" s="8" t="str">
        <f>IFERROR(__xludf.DUMMYFUNCTION("IF('(INGESTA)Datos_consumo_datadis'!A11664&lt;&gt;"""",SPLIT('(INGESTA)Datos_consumo_datadis'!A:A,"",""),"""")"),"ES0031408323131005HX0F")</f>
        <v>ES0031408323131005HX0F</v>
      </c>
      <c r="B11664" s="12">
        <f>IFERROR(__xludf.DUMMYFUNCTION("""COMPUTED_VALUE"""),45351.0)</f>
        <v>45351</v>
      </c>
      <c r="C11664" s="13">
        <f>IFERROR(__xludf.DUMMYFUNCTION("""COMPUTED_VALUE"""),0.9583333333333334)</f>
        <v>0.9583333333</v>
      </c>
      <c r="D11664" s="8">
        <f>IFERROR(__xludf.DUMMYFUNCTION("""COMPUTED_VALUE"""),2.4)</f>
        <v>2.4</v>
      </c>
      <c r="E11664" s="8" t="str">
        <f>IFERROR(__xludf.DUMMYFUNCTION("""COMPUTED_VALUE"""),"Real")</f>
        <v>Real</v>
      </c>
      <c r="G11664" s="8">
        <f t="shared" si="1"/>
        <v>2</v>
      </c>
      <c r="H11664" s="14">
        <f t="shared" si="2"/>
        <v>29</v>
      </c>
      <c r="I11664" s="15">
        <f t="shared" si="3"/>
        <v>23</v>
      </c>
    </row>
    <row r="11665">
      <c r="A11665" s="8" t="str">
        <f>IFERROR(__xludf.DUMMYFUNCTION("IF('(INGESTA)Datos_consumo_datadis'!A11665&lt;&gt;"""",SPLIT('(INGESTA)Datos_consumo_datadis'!A:A,"",""),"""")"),"ES0031408323131005HX0F")</f>
        <v>ES0031408323131005HX0F</v>
      </c>
      <c r="B11665" s="12">
        <f>IFERROR(__xludf.DUMMYFUNCTION("""COMPUTED_VALUE"""),45351.0)</f>
        <v>45351</v>
      </c>
      <c r="C11665" s="16">
        <f>IFERROR(__xludf.DUMMYFUNCTION("""COMPUTED_VALUE"""),1.0)</f>
        <v>1</v>
      </c>
      <c r="D11665" s="8">
        <f>IFERROR(__xludf.DUMMYFUNCTION("""COMPUTED_VALUE"""),0.808)</f>
        <v>0.808</v>
      </c>
      <c r="E11665" s="8" t="str">
        <f>IFERROR(__xludf.DUMMYFUNCTION("""COMPUTED_VALUE"""),"Real")</f>
        <v>Real</v>
      </c>
      <c r="G11665" s="8">
        <f t="shared" si="1"/>
        <v>2</v>
      </c>
      <c r="H11665" s="14">
        <f t="shared" si="2"/>
        <v>29</v>
      </c>
      <c r="I11665" s="15">
        <f t="shared" si="3"/>
        <v>0</v>
      </c>
    </row>
    <row r="11666">
      <c r="A11666" s="8" t="str">
        <f>IFERROR(__xludf.DUMMYFUNCTION("IF('(INGESTA)Datos_consumo_datadis'!A11666&lt;&gt;"""",SPLIT('(INGESTA)Datos_consumo_datadis'!A:A,"",""),"""")"),"ES0031408323131005HX0F")</f>
        <v>ES0031408323131005HX0F</v>
      </c>
      <c r="B11666" s="12">
        <f>IFERROR(__xludf.DUMMYFUNCTION("""COMPUTED_VALUE"""),45352.0)</f>
        <v>45352</v>
      </c>
      <c r="C11666" s="13">
        <f>IFERROR(__xludf.DUMMYFUNCTION("""COMPUTED_VALUE"""),0.041666666666666664)</f>
        <v>0.04166666667</v>
      </c>
      <c r="D11666" s="8">
        <f>IFERROR(__xludf.DUMMYFUNCTION("""COMPUTED_VALUE"""),0.177)</f>
        <v>0.177</v>
      </c>
      <c r="E11666" s="8" t="str">
        <f>IFERROR(__xludf.DUMMYFUNCTION("""COMPUTED_VALUE"""),"Real")</f>
        <v>Real</v>
      </c>
      <c r="G11666" s="8">
        <f t="shared" si="1"/>
        <v>3</v>
      </c>
      <c r="H11666" s="14">
        <f t="shared" si="2"/>
        <v>1</v>
      </c>
      <c r="I11666" s="15">
        <f t="shared" si="3"/>
        <v>1</v>
      </c>
    </row>
    <row r="11667">
      <c r="A11667" s="8" t="str">
        <f>IFERROR(__xludf.DUMMYFUNCTION("IF('(INGESTA)Datos_consumo_datadis'!A11667&lt;&gt;"""",SPLIT('(INGESTA)Datos_consumo_datadis'!A:A,"",""),"""")"),"ES0031408323131005HX0F")</f>
        <v>ES0031408323131005HX0F</v>
      </c>
      <c r="B11667" s="12">
        <f>IFERROR(__xludf.DUMMYFUNCTION("""COMPUTED_VALUE"""),45352.0)</f>
        <v>45352</v>
      </c>
      <c r="C11667" s="13">
        <f>IFERROR(__xludf.DUMMYFUNCTION("""COMPUTED_VALUE"""),0.08333333333333333)</f>
        <v>0.08333333333</v>
      </c>
      <c r="D11667" s="8">
        <f>IFERROR(__xludf.DUMMYFUNCTION("""COMPUTED_VALUE"""),1.137)</f>
        <v>1.137</v>
      </c>
      <c r="E11667" s="8" t="str">
        <f>IFERROR(__xludf.DUMMYFUNCTION("""COMPUTED_VALUE"""),"Real")</f>
        <v>Real</v>
      </c>
      <c r="G11667" s="8">
        <f t="shared" si="1"/>
        <v>3</v>
      </c>
      <c r="H11667" s="14">
        <f t="shared" si="2"/>
        <v>1</v>
      </c>
      <c r="I11667" s="15">
        <f t="shared" si="3"/>
        <v>2</v>
      </c>
    </row>
    <row r="11668">
      <c r="A11668" s="8" t="str">
        <f>IFERROR(__xludf.DUMMYFUNCTION("IF('(INGESTA)Datos_consumo_datadis'!A11668&lt;&gt;"""",SPLIT('(INGESTA)Datos_consumo_datadis'!A:A,"",""),"""")"),"ES0031408323131005HX0F")</f>
        <v>ES0031408323131005HX0F</v>
      </c>
      <c r="B11668" s="12">
        <f>IFERROR(__xludf.DUMMYFUNCTION("""COMPUTED_VALUE"""),45352.0)</f>
        <v>45352</v>
      </c>
      <c r="C11668" s="13">
        <f>IFERROR(__xludf.DUMMYFUNCTION("""COMPUTED_VALUE"""),0.125)</f>
        <v>0.125</v>
      </c>
      <c r="D11668" s="8">
        <f>IFERROR(__xludf.DUMMYFUNCTION("""COMPUTED_VALUE"""),1.327)</f>
        <v>1.327</v>
      </c>
      <c r="E11668" s="8" t="str">
        <f>IFERROR(__xludf.DUMMYFUNCTION("""COMPUTED_VALUE"""),"Real")</f>
        <v>Real</v>
      </c>
      <c r="G11668" s="8">
        <f t="shared" si="1"/>
        <v>3</v>
      </c>
      <c r="H11668" s="14">
        <f t="shared" si="2"/>
        <v>1</v>
      </c>
      <c r="I11668" s="15">
        <f t="shared" si="3"/>
        <v>3</v>
      </c>
    </row>
    <row r="11669">
      <c r="A11669" s="8" t="str">
        <f>IFERROR(__xludf.DUMMYFUNCTION("IF('(INGESTA)Datos_consumo_datadis'!A11669&lt;&gt;"""",SPLIT('(INGESTA)Datos_consumo_datadis'!A:A,"",""),"""")"),"ES0031408323131005HX0F")</f>
        <v>ES0031408323131005HX0F</v>
      </c>
      <c r="B11669" s="12">
        <f>IFERROR(__xludf.DUMMYFUNCTION("""COMPUTED_VALUE"""),45352.0)</f>
        <v>45352</v>
      </c>
      <c r="C11669" s="13">
        <f>IFERROR(__xludf.DUMMYFUNCTION("""COMPUTED_VALUE"""),0.16666666666666666)</f>
        <v>0.1666666667</v>
      </c>
      <c r="D11669" s="8">
        <f>IFERROR(__xludf.DUMMYFUNCTION("""COMPUTED_VALUE"""),1.37)</f>
        <v>1.37</v>
      </c>
      <c r="E11669" s="8" t="str">
        <f>IFERROR(__xludf.DUMMYFUNCTION("""COMPUTED_VALUE"""),"Real")</f>
        <v>Real</v>
      </c>
      <c r="G11669" s="8">
        <f t="shared" si="1"/>
        <v>3</v>
      </c>
      <c r="H11669" s="14">
        <f t="shared" si="2"/>
        <v>1</v>
      </c>
      <c r="I11669" s="15">
        <f t="shared" si="3"/>
        <v>4</v>
      </c>
    </row>
    <row r="11670">
      <c r="A11670" s="8" t="str">
        <f>IFERROR(__xludf.DUMMYFUNCTION("IF('(INGESTA)Datos_consumo_datadis'!A11670&lt;&gt;"""",SPLIT('(INGESTA)Datos_consumo_datadis'!A:A,"",""),"""")"),"ES0031408323131005HX0F")</f>
        <v>ES0031408323131005HX0F</v>
      </c>
      <c r="B11670" s="12">
        <f>IFERROR(__xludf.DUMMYFUNCTION("""COMPUTED_VALUE"""),45352.0)</f>
        <v>45352</v>
      </c>
      <c r="C11670" s="13">
        <f>IFERROR(__xludf.DUMMYFUNCTION("""COMPUTED_VALUE"""),0.20833333333333334)</f>
        <v>0.2083333333</v>
      </c>
      <c r="D11670" s="8">
        <f>IFERROR(__xludf.DUMMYFUNCTION("""COMPUTED_VALUE"""),1.214)</f>
        <v>1.214</v>
      </c>
      <c r="E11670" s="8" t="str">
        <f>IFERROR(__xludf.DUMMYFUNCTION("""COMPUTED_VALUE"""),"Real")</f>
        <v>Real</v>
      </c>
      <c r="G11670" s="8">
        <f t="shared" si="1"/>
        <v>3</v>
      </c>
      <c r="H11670" s="14">
        <f t="shared" si="2"/>
        <v>1</v>
      </c>
      <c r="I11670" s="15">
        <f t="shared" si="3"/>
        <v>5</v>
      </c>
    </row>
    <row r="11671">
      <c r="A11671" s="8" t="str">
        <f>IFERROR(__xludf.DUMMYFUNCTION("IF('(INGESTA)Datos_consumo_datadis'!A11671&lt;&gt;"""",SPLIT('(INGESTA)Datos_consumo_datadis'!A:A,"",""),"""")"),"ES0031408323131005HX0F")</f>
        <v>ES0031408323131005HX0F</v>
      </c>
      <c r="B11671" s="12">
        <f>IFERROR(__xludf.DUMMYFUNCTION("""COMPUTED_VALUE"""),45352.0)</f>
        <v>45352</v>
      </c>
      <c r="C11671" s="13">
        <f>IFERROR(__xludf.DUMMYFUNCTION("""COMPUTED_VALUE"""),0.25)</f>
        <v>0.25</v>
      </c>
      <c r="D11671" s="8">
        <f>IFERROR(__xludf.DUMMYFUNCTION("""COMPUTED_VALUE"""),1.033)</f>
        <v>1.033</v>
      </c>
      <c r="E11671" s="8" t="str">
        <f>IFERROR(__xludf.DUMMYFUNCTION("""COMPUTED_VALUE"""),"Real")</f>
        <v>Real</v>
      </c>
      <c r="G11671" s="8">
        <f t="shared" si="1"/>
        <v>3</v>
      </c>
      <c r="H11671" s="14">
        <f t="shared" si="2"/>
        <v>1</v>
      </c>
      <c r="I11671" s="15">
        <f t="shared" si="3"/>
        <v>6</v>
      </c>
    </row>
    <row r="11672">
      <c r="A11672" s="8" t="str">
        <f>IFERROR(__xludf.DUMMYFUNCTION("IF('(INGESTA)Datos_consumo_datadis'!A11672&lt;&gt;"""",SPLIT('(INGESTA)Datos_consumo_datadis'!A:A,"",""),"""")"),"ES0031408323131005HX0F")</f>
        <v>ES0031408323131005HX0F</v>
      </c>
      <c r="B11672" s="12">
        <f>IFERROR(__xludf.DUMMYFUNCTION("""COMPUTED_VALUE"""),45352.0)</f>
        <v>45352</v>
      </c>
      <c r="C11672" s="13">
        <f>IFERROR(__xludf.DUMMYFUNCTION("""COMPUTED_VALUE"""),0.2916666666666667)</f>
        <v>0.2916666667</v>
      </c>
      <c r="D11672" s="8">
        <f>IFERROR(__xludf.DUMMYFUNCTION("""COMPUTED_VALUE"""),0.978)</f>
        <v>0.978</v>
      </c>
      <c r="E11672" s="8" t="str">
        <f>IFERROR(__xludf.DUMMYFUNCTION("""COMPUTED_VALUE"""),"Real")</f>
        <v>Real</v>
      </c>
      <c r="G11672" s="8">
        <f t="shared" si="1"/>
        <v>3</v>
      </c>
      <c r="H11672" s="14">
        <f t="shared" si="2"/>
        <v>1</v>
      </c>
      <c r="I11672" s="15">
        <f t="shared" si="3"/>
        <v>7</v>
      </c>
    </row>
    <row r="11673">
      <c r="A11673" s="8" t="str">
        <f>IFERROR(__xludf.DUMMYFUNCTION("IF('(INGESTA)Datos_consumo_datadis'!A11673&lt;&gt;"""",SPLIT('(INGESTA)Datos_consumo_datadis'!A:A,"",""),"""")"),"ES0031408323131005HX0F")</f>
        <v>ES0031408323131005HX0F</v>
      </c>
      <c r="B11673" s="12">
        <f>IFERROR(__xludf.DUMMYFUNCTION("""COMPUTED_VALUE"""),45352.0)</f>
        <v>45352</v>
      </c>
      <c r="C11673" s="13">
        <f>IFERROR(__xludf.DUMMYFUNCTION("""COMPUTED_VALUE"""),0.3333333333333333)</f>
        <v>0.3333333333</v>
      </c>
      <c r="D11673" s="8">
        <f>IFERROR(__xludf.DUMMYFUNCTION("""COMPUTED_VALUE"""),1.02)</f>
        <v>1.02</v>
      </c>
      <c r="E11673" s="8" t="str">
        <f>IFERROR(__xludf.DUMMYFUNCTION("""COMPUTED_VALUE"""),"Real")</f>
        <v>Real</v>
      </c>
      <c r="G11673" s="8">
        <f t="shared" si="1"/>
        <v>3</v>
      </c>
      <c r="H11673" s="14">
        <f t="shared" si="2"/>
        <v>1</v>
      </c>
      <c r="I11673" s="15">
        <f t="shared" si="3"/>
        <v>8</v>
      </c>
    </row>
    <row r="11674">
      <c r="A11674" s="8" t="str">
        <f>IFERROR(__xludf.DUMMYFUNCTION("IF('(INGESTA)Datos_consumo_datadis'!A11674&lt;&gt;"""",SPLIT('(INGESTA)Datos_consumo_datadis'!A:A,"",""),"""")"),"ES0031408323131005HX0F")</f>
        <v>ES0031408323131005HX0F</v>
      </c>
      <c r="B11674" s="12">
        <f>IFERROR(__xludf.DUMMYFUNCTION("""COMPUTED_VALUE"""),45352.0)</f>
        <v>45352</v>
      </c>
      <c r="C11674" s="13">
        <f>IFERROR(__xludf.DUMMYFUNCTION("""COMPUTED_VALUE"""),0.375)</f>
        <v>0.375</v>
      </c>
      <c r="D11674" s="8">
        <f>IFERROR(__xludf.DUMMYFUNCTION("""COMPUTED_VALUE"""),1.082)</f>
        <v>1.082</v>
      </c>
      <c r="E11674" s="8" t="str">
        <f>IFERROR(__xludf.DUMMYFUNCTION("""COMPUTED_VALUE"""),"Real")</f>
        <v>Real</v>
      </c>
      <c r="G11674" s="8">
        <f t="shared" si="1"/>
        <v>3</v>
      </c>
      <c r="H11674" s="14">
        <f t="shared" si="2"/>
        <v>1</v>
      </c>
      <c r="I11674" s="15">
        <f t="shared" si="3"/>
        <v>9</v>
      </c>
    </row>
    <row r="11675">
      <c r="A11675" s="8" t="str">
        <f>IFERROR(__xludf.DUMMYFUNCTION("IF('(INGESTA)Datos_consumo_datadis'!A11675&lt;&gt;"""",SPLIT('(INGESTA)Datos_consumo_datadis'!A:A,"",""),"""")"),"ES0031408323131005HX0F")</f>
        <v>ES0031408323131005HX0F</v>
      </c>
      <c r="B11675" s="12">
        <f>IFERROR(__xludf.DUMMYFUNCTION("""COMPUTED_VALUE"""),45352.0)</f>
        <v>45352</v>
      </c>
      <c r="C11675" s="13">
        <f>IFERROR(__xludf.DUMMYFUNCTION("""COMPUTED_VALUE"""),0.4166666666666667)</f>
        <v>0.4166666667</v>
      </c>
      <c r="D11675" s="8">
        <f>IFERROR(__xludf.DUMMYFUNCTION("""COMPUTED_VALUE"""),0.977)</f>
        <v>0.977</v>
      </c>
      <c r="E11675" s="8" t="str">
        <f>IFERROR(__xludf.DUMMYFUNCTION("""COMPUTED_VALUE"""),"Real")</f>
        <v>Real</v>
      </c>
      <c r="G11675" s="8">
        <f t="shared" si="1"/>
        <v>3</v>
      </c>
      <c r="H11675" s="14">
        <f t="shared" si="2"/>
        <v>1</v>
      </c>
      <c r="I11675" s="15">
        <f t="shared" si="3"/>
        <v>10</v>
      </c>
    </row>
    <row r="11676">
      <c r="A11676" s="8" t="str">
        <f>IFERROR(__xludf.DUMMYFUNCTION("IF('(INGESTA)Datos_consumo_datadis'!A11676&lt;&gt;"""",SPLIT('(INGESTA)Datos_consumo_datadis'!A:A,"",""),"""")"),"ES0031408323131005HX0F")</f>
        <v>ES0031408323131005HX0F</v>
      </c>
      <c r="B11676" s="12">
        <f>IFERROR(__xludf.DUMMYFUNCTION("""COMPUTED_VALUE"""),45352.0)</f>
        <v>45352</v>
      </c>
      <c r="C11676" s="13">
        <f>IFERROR(__xludf.DUMMYFUNCTION("""COMPUTED_VALUE"""),0.4583333333333333)</f>
        <v>0.4583333333</v>
      </c>
      <c r="D11676" s="8">
        <f>IFERROR(__xludf.DUMMYFUNCTION("""COMPUTED_VALUE"""),0.694)</f>
        <v>0.694</v>
      </c>
      <c r="E11676" s="8" t="str">
        <f>IFERROR(__xludf.DUMMYFUNCTION("""COMPUTED_VALUE"""),"Real")</f>
        <v>Real</v>
      </c>
      <c r="G11676" s="8">
        <f t="shared" si="1"/>
        <v>3</v>
      </c>
      <c r="H11676" s="14">
        <f t="shared" si="2"/>
        <v>1</v>
      </c>
      <c r="I11676" s="15">
        <f t="shared" si="3"/>
        <v>11</v>
      </c>
    </row>
    <row r="11677">
      <c r="A11677" s="8" t="str">
        <f>IFERROR(__xludf.DUMMYFUNCTION("IF('(INGESTA)Datos_consumo_datadis'!A11677&lt;&gt;"""",SPLIT('(INGESTA)Datos_consumo_datadis'!A:A,"",""),"""")"),"ES0031408323131005HX0F")</f>
        <v>ES0031408323131005HX0F</v>
      </c>
      <c r="B11677" s="12">
        <f>IFERROR(__xludf.DUMMYFUNCTION("""COMPUTED_VALUE"""),45352.0)</f>
        <v>45352</v>
      </c>
      <c r="C11677" s="13">
        <f>IFERROR(__xludf.DUMMYFUNCTION("""COMPUTED_VALUE"""),0.5)</f>
        <v>0.5</v>
      </c>
      <c r="D11677" s="8">
        <f>IFERROR(__xludf.DUMMYFUNCTION("""COMPUTED_VALUE"""),0.069)</f>
        <v>0.069</v>
      </c>
      <c r="E11677" s="8" t="str">
        <f>IFERROR(__xludf.DUMMYFUNCTION("""COMPUTED_VALUE"""),"Real")</f>
        <v>Real</v>
      </c>
      <c r="G11677" s="8">
        <f t="shared" si="1"/>
        <v>3</v>
      </c>
      <c r="H11677" s="14">
        <f t="shared" si="2"/>
        <v>1</v>
      </c>
      <c r="I11677" s="15">
        <f t="shared" si="3"/>
        <v>12</v>
      </c>
    </row>
    <row r="11678">
      <c r="A11678" s="8" t="str">
        <f>IFERROR(__xludf.DUMMYFUNCTION("IF('(INGESTA)Datos_consumo_datadis'!A11678&lt;&gt;"""",SPLIT('(INGESTA)Datos_consumo_datadis'!A:A,"",""),"""")"),"ES0031408323131005HX0F")</f>
        <v>ES0031408323131005HX0F</v>
      </c>
      <c r="B11678" s="12">
        <f>IFERROR(__xludf.DUMMYFUNCTION("""COMPUTED_VALUE"""),45352.0)</f>
        <v>45352</v>
      </c>
      <c r="C11678" s="13">
        <f>IFERROR(__xludf.DUMMYFUNCTION("""COMPUTED_VALUE"""),0.5416666666666666)</f>
        <v>0.5416666667</v>
      </c>
      <c r="D11678" s="8">
        <f>IFERROR(__xludf.DUMMYFUNCTION("""COMPUTED_VALUE"""),0.804)</f>
        <v>0.804</v>
      </c>
      <c r="E11678" s="8" t="str">
        <f>IFERROR(__xludf.DUMMYFUNCTION("""COMPUTED_VALUE"""),"Real")</f>
        <v>Real</v>
      </c>
      <c r="G11678" s="8">
        <f t="shared" si="1"/>
        <v>3</v>
      </c>
      <c r="H11678" s="14">
        <f t="shared" si="2"/>
        <v>1</v>
      </c>
      <c r="I11678" s="15">
        <f t="shared" si="3"/>
        <v>13</v>
      </c>
    </row>
    <row r="11679">
      <c r="A11679" s="8" t="str">
        <f>IFERROR(__xludf.DUMMYFUNCTION("IF('(INGESTA)Datos_consumo_datadis'!A11679&lt;&gt;"""",SPLIT('(INGESTA)Datos_consumo_datadis'!A:A,"",""),"""")"),"ES0031408323131005HX0F")</f>
        <v>ES0031408323131005HX0F</v>
      </c>
      <c r="B11679" s="12">
        <f>IFERROR(__xludf.DUMMYFUNCTION("""COMPUTED_VALUE"""),45352.0)</f>
        <v>45352</v>
      </c>
      <c r="C11679" s="13">
        <f>IFERROR(__xludf.DUMMYFUNCTION("""COMPUTED_VALUE"""),0.5833333333333334)</f>
        <v>0.5833333333</v>
      </c>
      <c r="D11679" s="8">
        <f>IFERROR(__xludf.DUMMYFUNCTION("""COMPUTED_VALUE"""),0.04)</f>
        <v>0.04</v>
      </c>
      <c r="E11679" s="8" t="str">
        <f>IFERROR(__xludf.DUMMYFUNCTION("""COMPUTED_VALUE"""),"Real")</f>
        <v>Real</v>
      </c>
      <c r="G11679" s="8">
        <f t="shared" si="1"/>
        <v>3</v>
      </c>
      <c r="H11679" s="14">
        <f t="shared" si="2"/>
        <v>1</v>
      </c>
      <c r="I11679" s="15">
        <f t="shared" si="3"/>
        <v>14</v>
      </c>
    </row>
    <row r="11680">
      <c r="A11680" s="8" t="str">
        <f>IFERROR(__xludf.DUMMYFUNCTION("IF('(INGESTA)Datos_consumo_datadis'!A11680&lt;&gt;"""",SPLIT('(INGESTA)Datos_consumo_datadis'!A:A,"",""),"""")"),"ES0031408323131005HX0F")</f>
        <v>ES0031408323131005HX0F</v>
      </c>
      <c r="B11680" s="12">
        <f>IFERROR(__xludf.DUMMYFUNCTION("""COMPUTED_VALUE"""),45352.0)</f>
        <v>45352</v>
      </c>
      <c r="C11680" s="13">
        <f>IFERROR(__xludf.DUMMYFUNCTION("""COMPUTED_VALUE"""),0.625)</f>
        <v>0.625</v>
      </c>
      <c r="D11680" s="8">
        <f>IFERROR(__xludf.DUMMYFUNCTION("""COMPUTED_VALUE"""),0.079)</f>
        <v>0.079</v>
      </c>
      <c r="E11680" s="8" t="str">
        <f>IFERROR(__xludf.DUMMYFUNCTION("""COMPUTED_VALUE"""),"Real")</f>
        <v>Real</v>
      </c>
      <c r="G11680" s="8">
        <f t="shared" si="1"/>
        <v>3</v>
      </c>
      <c r="H11680" s="14">
        <f t="shared" si="2"/>
        <v>1</v>
      </c>
      <c r="I11680" s="15">
        <f t="shared" si="3"/>
        <v>15</v>
      </c>
    </row>
    <row r="11681">
      <c r="A11681" s="8" t="str">
        <f>IFERROR(__xludf.DUMMYFUNCTION("IF('(INGESTA)Datos_consumo_datadis'!A11681&lt;&gt;"""",SPLIT('(INGESTA)Datos_consumo_datadis'!A:A,"",""),"""")"),"ES0031408323131005HX0F")</f>
        <v>ES0031408323131005HX0F</v>
      </c>
      <c r="B11681" s="12">
        <f>IFERROR(__xludf.DUMMYFUNCTION("""COMPUTED_VALUE"""),45352.0)</f>
        <v>45352</v>
      </c>
      <c r="C11681" s="13">
        <f>IFERROR(__xludf.DUMMYFUNCTION("""COMPUTED_VALUE"""),0.6666666666666666)</f>
        <v>0.6666666667</v>
      </c>
      <c r="D11681" s="8">
        <f>IFERROR(__xludf.DUMMYFUNCTION("""COMPUTED_VALUE"""),0.065)</f>
        <v>0.065</v>
      </c>
      <c r="E11681" s="8" t="str">
        <f>IFERROR(__xludf.DUMMYFUNCTION("""COMPUTED_VALUE"""),"Real")</f>
        <v>Real</v>
      </c>
      <c r="G11681" s="8">
        <f t="shared" si="1"/>
        <v>3</v>
      </c>
      <c r="H11681" s="14">
        <f t="shared" si="2"/>
        <v>1</v>
      </c>
      <c r="I11681" s="15">
        <f t="shared" si="3"/>
        <v>16</v>
      </c>
    </row>
    <row r="11682">
      <c r="A11682" s="8" t="str">
        <f>IFERROR(__xludf.DUMMYFUNCTION("IF('(INGESTA)Datos_consumo_datadis'!A11682&lt;&gt;"""",SPLIT('(INGESTA)Datos_consumo_datadis'!A:A,"",""),"""")"),"ES0031408323131005HX0F")</f>
        <v>ES0031408323131005HX0F</v>
      </c>
      <c r="B11682" s="12">
        <f>IFERROR(__xludf.DUMMYFUNCTION("""COMPUTED_VALUE"""),45352.0)</f>
        <v>45352</v>
      </c>
      <c r="C11682" s="13">
        <f>IFERROR(__xludf.DUMMYFUNCTION("""COMPUTED_VALUE"""),0.7083333333333334)</f>
        <v>0.7083333333</v>
      </c>
      <c r="D11682" s="8">
        <f>IFERROR(__xludf.DUMMYFUNCTION("""COMPUTED_VALUE"""),0.027)</f>
        <v>0.027</v>
      </c>
      <c r="E11682" s="8" t="str">
        <f>IFERROR(__xludf.DUMMYFUNCTION("""COMPUTED_VALUE"""),"Real")</f>
        <v>Real</v>
      </c>
      <c r="G11682" s="8">
        <f t="shared" si="1"/>
        <v>3</v>
      </c>
      <c r="H11682" s="14">
        <f t="shared" si="2"/>
        <v>1</v>
      </c>
      <c r="I11682" s="15">
        <f t="shared" si="3"/>
        <v>17</v>
      </c>
    </row>
    <row r="11683">
      <c r="A11683" s="8" t="str">
        <f>IFERROR(__xludf.DUMMYFUNCTION("IF('(INGESTA)Datos_consumo_datadis'!A11683&lt;&gt;"""",SPLIT('(INGESTA)Datos_consumo_datadis'!A:A,"",""),"""")"),"ES0031408323131005HX0F")</f>
        <v>ES0031408323131005HX0F</v>
      </c>
      <c r="B11683" s="12">
        <f>IFERROR(__xludf.DUMMYFUNCTION("""COMPUTED_VALUE"""),45352.0)</f>
        <v>45352</v>
      </c>
      <c r="C11683" s="13">
        <f>IFERROR(__xludf.DUMMYFUNCTION("""COMPUTED_VALUE"""),0.75)</f>
        <v>0.75</v>
      </c>
      <c r="D11683" s="8">
        <f>IFERROR(__xludf.DUMMYFUNCTION("""COMPUTED_VALUE"""),0.345)</f>
        <v>0.345</v>
      </c>
      <c r="E11683" s="8" t="str">
        <f>IFERROR(__xludf.DUMMYFUNCTION("""COMPUTED_VALUE"""),"Real")</f>
        <v>Real</v>
      </c>
      <c r="G11683" s="8">
        <f t="shared" si="1"/>
        <v>3</v>
      </c>
      <c r="H11683" s="14">
        <f t="shared" si="2"/>
        <v>1</v>
      </c>
      <c r="I11683" s="15">
        <f t="shared" si="3"/>
        <v>18</v>
      </c>
    </row>
    <row r="11684">
      <c r="A11684" s="8" t="str">
        <f>IFERROR(__xludf.DUMMYFUNCTION("IF('(INGESTA)Datos_consumo_datadis'!A11684&lt;&gt;"""",SPLIT('(INGESTA)Datos_consumo_datadis'!A:A,"",""),"""")"),"ES0031408323131005HX0F")</f>
        <v>ES0031408323131005HX0F</v>
      </c>
      <c r="B11684" s="12">
        <f>IFERROR(__xludf.DUMMYFUNCTION("""COMPUTED_VALUE"""),45352.0)</f>
        <v>45352</v>
      </c>
      <c r="C11684" s="13">
        <f>IFERROR(__xludf.DUMMYFUNCTION("""COMPUTED_VALUE"""),0.7916666666666666)</f>
        <v>0.7916666667</v>
      </c>
      <c r="D11684" s="8">
        <f>IFERROR(__xludf.DUMMYFUNCTION("""COMPUTED_VALUE"""),0.055)</f>
        <v>0.055</v>
      </c>
      <c r="E11684" s="8" t="str">
        <f>IFERROR(__xludf.DUMMYFUNCTION("""COMPUTED_VALUE"""),"Real")</f>
        <v>Real</v>
      </c>
      <c r="G11684" s="8">
        <f t="shared" si="1"/>
        <v>3</v>
      </c>
      <c r="H11684" s="14">
        <f t="shared" si="2"/>
        <v>1</v>
      </c>
      <c r="I11684" s="15">
        <f t="shared" si="3"/>
        <v>19</v>
      </c>
    </row>
    <row r="11685">
      <c r="A11685" s="8" t="str">
        <f>IFERROR(__xludf.DUMMYFUNCTION("IF('(INGESTA)Datos_consumo_datadis'!A11685&lt;&gt;"""",SPLIT('(INGESTA)Datos_consumo_datadis'!A:A,"",""),"""")"),"ES0031408323131005HX0F")</f>
        <v>ES0031408323131005HX0F</v>
      </c>
      <c r="B11685" s="12">
        <f>IFERROR(__xludf.DUMMYFUNCTION("""COMPUTED_VALUE"""),45352.0)</f>
        <v>45352</v>
      </c>
      <c r="C11685" s="13">
        <f>IFERROR(__xludf.DUMMYFUNCTION("""COMPUTED_VALUE"""),0.8333333333333334)</f>
        <v>0.8333333333</v>
      </c>
      <c r="D11685" s="8">
        <f>IFERROR(__xludf.DUMMYFUNCTION("""COMPUTED_VALUE"""),0.437)</f>
        <v>0.437</v>
      </c>
      <c r="E11685" s="8" t="str">
        <f>IFERROR(__xludf.DUMMYFUNCTION("""COMPUTED_VALUE"""),"Real")</f>
        <v>Real</v>
      </c>
      <c r="G11685" s="8">
        <f t="shared" si="1"/>
        <v>3</v>
      </c>
      <c r="H11685" s="14">
        <f t="shared" si="2"/>
        <v>1</v>
      </c>
      <c r="I11685" s="15">
        <f t="shared" si="3"/>
        <v>20</v>
      </c>
    </row>
    <row r="11686">
      <c r="A11686" s="8" t="str">
        <f>IFERROR(__xludf.DUMMYFUNCTION("IF('(INGESTA)Datos_consumo_datadis'!A11686&lt;&gt;"""",SPLIT('(INGESTA)Datos_consumo_datadis'!A:A,"",""),"""")"),"ES0031408323131005HX0F")</f>
        <v>ES0031408323131005HX0F</v>
      </c>
      <c r="B11686" s="12">
        <f>IFERROR(__xludf.DUMMYFUNCTION("""COMPUTED_VALUE"""),45352.0)</f>
        <v>45352</v>
      </c>
      <c r="C11686" s="13">
        <f>IFERROR(__xludf.DUMMYFUNCTION("""COMPUTED_VALUE"""),0.875)</f>
        <v>0.875</v>
      </c>
      <c r="D11686" s="8">
        <f>IFERROR(__xludf.DUMMYFUNCTION("""COMPUTED_VALUE"""),2.066)</f>
        <v>2.066</v>
      </c>
      <c r="E11686" s="8" t="str">
        <f>IFERROR(__xludf.DUMMYFUNCTION("""COMPUTED_VALUE"""),"Real")</f>
        <v>Real</v>
      </c>
      <c r="G11686" s="8">
        <f t="shared" si="1"/>
        <v>3</v>
      </c>
      <c r="H11686" s="14">
        <f t="shared" si="2"/>
        <v>1</v>
      </c>
      <c r="I11686" s="15">
        <f t="shared" si="3"/>
        <v>21</v>
      </c>
    </row>
    <row r="11687">
      <c r="A11687" s="8" t="str">
        <f>IFERROR(__xludf.DUMMYFUNCTION("IF('(INGESTA)Datos_consumo_datadis'!A11687&lt;&gt;"""",SPLIT('(INGESTA)Datos_consumo_datadis'!A:A,"",""),"""")"),"ES0031408323131005HX0F")</f>
        <v>ES0031408323131005HX0F</v>
      </c>
      <c r="B11687" s="12">
        <f>IFERROR(__xludf.DUMMYFUNCTION("""COMPUTED_VALUE"""),45352.0)</f>
        <v>45352</v>
      </c>
      <c r="C11687" s="13">
        <f>IFERROR(__xludf.DUMMYFUNCTION("""COMPUTED_VALUE"""),0.9166666666666666)</f>
        <v>0.9166666667</v>
      </c>
      <c r="D11687" s="8">
        <f>IFERROR(__xludf.DUMMYFUNCTION("""COMPUTED_VALUE"""),1.294)</f>
        <v>1.294</v>
      </c>
      <c r="E11687" s="8" t="str">
        <f>IFERROR(__xludf.DUMMYFUNCTION("""COMPUTED_VALUE"""),"Real")</f>
        <v>Real</v>
      </c>
      <c r="G11687" s="8">
        <f t="shared" si="1"/>
        <v>3</v>
      </c>
      <c r="H11687" s="14">
        <f t="shared" si="2"/>
        <v>1</v>
      </c>
      <c r="I11687" s="15">
        <f t="shared" si="3"/>
        <v>22</v>
      </c>
    </row>
    <row r="11688">
      <c r="A11688" s="8" t="str">
        <f>IFERROR(__xludf.DUMMYFUNCTION("IF('(INGESTA)Datos_consumo_datadis'!A11688&lt;&gt;"""",SPLIT('(INGESTA)Datos_consumo_datadis'!A:A,"",""),"""")"),"ES0031408323131005HX0F")</f>
        <v>ES0031408323131005HX0F</v>
      </c>
      <c r="B11688" s="12">
        <f>IFERROR(__xludf.DUMMYFUNCTION("""COMPUTED_VALUE"""),45352.0)</f>
        <v>45352</v>
      </c>
      <c r="C11688" s="13">
        <f>IFERROR(__xludf.DUMMYFUNCTION("""COMPUTED_VALUE"""),0.9583333333333334)</f>
        <v>0.9583333333</v>
      </c>
      <c r="D11688" s="8">
        <f>IFERROR(__xludf.DUMMYFUNCTION("""COMPUTED_VALUE"""),3.672)</f>
        <v>3.672</v>
      </c>
      <c r="E11688" s="8" t="str">
        <f>IFERROR(__xludf.DUMMYFUNCTION("""COMPUTED_VALUE"""),"Real")</f>
        <v>Real</v>
      </c>
      <c r="G11688" s="8">
        <f t="shared" si="1"/>
        <v>3</v>
      </c>
      <c r="H11688" s="14">
        <f t="shared" si="2"/>
        <v>1</v>
      </c>
      <c r="I11688" s="15">
        <f t="shared" si="3"/>
        <v>23</v>
      </c>
    </row>
    <row r="11689">
      <c r="A11689" s="8" t="str">
        <f>IFERROR(__xludf.DUMMYFUNCTION("IF('(INGESTA)Datos_consumo_datadis'!A11689&lt;&gt;"""",SPLIT('(INGESTA)Datos_consumo_datadis'!A:A,"",""),"""")"),"ES0031408323131005HX0F")</f>
        <v>ES0031408323131005HX0F</v>
      </c>
      <c r="B11689" s="12">
        <f>IFERROR(__xludf.DUMMYFUNCTION("""COMPUTED_VALUE"""),45352.0)</f>
        <v>45352</v>
      </c>
      <c r="C11689" s="16">
        <f>IFERROR(__xludf.DUMMYFUNCTION("""COMPUTED_VALUE"""),1.0)</f>
        <v>1</v>
      </c>
      <c r="D11689" s="8">
        <f>IFERROR(__xludf.DUMMYFUNCTION("""COMPUTED_VALUE"""),2.121)</f>
        <v>2.121</v>
      </c>
      <c r="E11689" s="8" t="str">
        <f>IFERROR(__xludf.DUMMYFUNCTION("""COMPUTED_VALUE"""),"Real")</f>
        <v>Real</v>
      </c>
      <c r="G11689" s="8">
        <f t="shared" si="1"/>
        <v>3</v>
      </c>
      <c r="H11689" s="14">
        <f t="shared" si="2"/>
        <v>1</v>
      </c>
      <c r="I11689" s="15">
        <f t="shared" si="3"/>
        <v>0</v>
      </c>
    </row>
    <row r="11690">
      <c r="A11690" s="8" t="str">
        <f>IFERROR(__xludf.DUMMYFUNCTION("IF('(INGESTA)Datos_consumo_datadis'!A11690&lt;&gt;"""",SPLIT('(INGESTA)Datos_consumo_datadis'!A:A,"",""),"""")"),"ES0031408323131005HX0F")</f>
        <v>ES0031408323131005HX0F</v>
      </c>
      <c r="B11690" s="12">
        <f>IFERROR(__xludf.DUMMYFUNCTION("""COMPUTED_VALUE"""),45353.0)</f>
        <v>45353</v>
      </c>
      <c r="C11690" s="13">
        <f>IFERROR(__xludf.DUMMYFUNCTION("""COMPUTED_VALUE"""),0.041666666666666664)</f>
        <v>0.04166666667</v>
      </c>
      <c r="D11690" s="8">
        <f>IFERROR(__xludf.DUMMYFUNCTION("""COMPUTED_VALUE"""),1.836)</f>
        <v>1.836</v>
      </c>
      <c r="E11690" s="8" t="str">
        <f>IFERROR(__xludf.DUMMYFUNCTION("""COMPUTED_VALUE"""),"Real")</f>
        <v>Real</v>
      </c>
      <c r="G11690" s="8">
        <f t="shared" si="1"/>
        <v>3</v>
      </c>
      <c r="H11690" s="14">
        <f t="shared" si="2"/>
        <v>2</v>
      </c>
      <c r="I11690" s="15">
        <f t="shared" si="3"/>
        <v>1</v>
      </c>
    </row>
    <row r="11691">
      <c r="A11691" s="8" t="str">
        <f>IFERROR(__xludf.DUMMYFUNCTION("IF('(INGESTA)Datos_consumo_datadis'!A11691&lt;&gt;"""",SPLIT('(INGESTA)Datos_consumo_datadis'!A:A,"",""),"""")"),"ES0031408323131005HX0F")</f>
        <v>ES0031408323131005HX0F</v>
      </c>
      <c r="B11691" s="12">
        <f>IFERROR(__xludf.DUMMYFUNCTION("""COMPUTED_VALUE"""),45353.0)</f>
        <v>45353</v>
      </c>
      <c r="C11691" s="13">
        <f>IFERROR(__xludf.DUMMYFUNCTION("""COMPUTED_VALUE"""),0.08333333333333333)</f>
        <v>0.08333333333</v>
      </c>
      <c r="D11691" s="8">
        <f>IFERROR(__xludf.DUMMYFUNCTION("""COMPUTED_VALUE"""),0.784)</f>
        <v>0.784</v>
      </c>
      <c r="E11691" s="8" t="str">
        <f>IFERROR(__xludf.DUMMYFUNCTION("""COMPUTED_VALUE"""),"Real")</f>
        <v>Real</v>
      </c>
      <c r="G11691" s="8">
        <f t="shared" si="1"/>
        <v>3</v>
      </c>
      <c r="H11691" s="14">
        <f t="shared" si="2"/>
        <v>2</v>
      </c>
      <c r="I11691" s="15">
        <f t="shared" si="3"/>
        <v>2</v>
      </c>
    </row>
    <row r="11692">
      <c r="A11692" s="8" t="str">
        <f>IFERROR(__xludf.DUMMYFUNCTION("IF('(INGESTA)Datos_consumo_datadis'!A11692&lt;&gt;"""",SPLIT('(INGESTA)Datos_consumo_datadis'!A:A,"",""),"""")"),"ES0031408323131005HX0F")</f>
        <v>ES0031408323131005HX0F</v>
      </c>
      <c r="B11692" s="12">
        <f>IFERROR(__xludf.DUMMYFUNCTION("""COMPUTED_VALUE"""),45353.0)</f>
        <v>45353</v>
      </c>
      <c r="C11692" s="13">
        <f>IFERROR(__xludf.DUMMYFUNCTION("""COMPUTED_VALUE"""),0.125)</f>
        <v>0.125</v>
      </c>
      <c r="D11692" s="8">
        <f>IFERROR(__xludf.DUMMYFUNCTION("""COMPUTED_VALUE"""),0.528)</f>
        <v>0.528</v>
      </c>
      <c r="E11692" s="8" t="str">
        <f>IFERROR(__xludf.DUMMYFUNCTION("""COMPUTED_VALUE"""),"Real")</f>
        <v>Real</v>
      </c>
      <c r="G11692" s="8">
        <f t="shared" si="1"/>
        <v>3</v>
      </c>
      <c r="H11692" s="14">
        <f t="shared" si="2"/>
        <v>2</v>
      </c>
      <c r="I11692" s="15">
        <f t="shared" si="3"/>
        <v>3</v>
      </c>
    </row>
    <row r="11693">
      <c r="A11693" s="8" t="str">
        <f>IFERROR(__xludf.DUMMYFUNCTION("IF('(INGESTA)Datos_consumo_datadis'!A11693&lt;&gt;"""",SPLIT('(INGESTA)Datos_consumo_datadis'!A:A,"",""),"""")"),"ES0031408323131005HX0F")</f>
        <v>ES0031408323131005HX0F</v>
      </c>
      <c r="B11693" s="12">
        <f>IFERROR(__xludf.DUMMYFUNCTION("""COMPUTED_VALUE"""),45353.0)</f>
        <v>45353</v>
      </c>
      <c r="C11693" s="13">
        <f>IFERROR(__xludf.DUMMYFUNCTION("""COMPUTED_VALUE"""),0.16666666666666666)</f>
        <v>0.1666666667</v>
      </c>
      <c r="D11693" s="8">
        <f>IFERROR(__xludf.DUMMYFUNCTION("""COMPUTED_VALUE"""),0.213)</f>
        <v>0.213</v>
      </c>
      <c r="E11693" s="8" t="str">
        <f>IFERROR(__xludf.DUMMYFUNCTION("""COMPUTED_VALUE"""),"Real")</f>
        <v>Real</v>
      </c>
      <c r="G11693" s="8">
        <f t="shared" si="1"/>
        <v>3</v>
      </c>
      <c r="H11693" s="14">
        <f t="shared" si="2"/>
        <v>2</v>
      </c>
      <c r="I11693" s="15">
        <f t="shared" si="3"/>
        <v>4</v>
      </c>
    </row>
    <row r="11694">
      <c r="A11694" s="8" t="str">
        <f>IFERROR(__xludf.DUMMYFUNCTION("IF('(INGESTA)Datos_consumo_datadis'!A11694&lt;&gt;"""",SPLIT('(INGESTA)Datos_consumo_datadis'!A:A,"",""),"""")"),"ES0031408323131005HX0F")</f>
        <v>ES0031408323131005HX0F</v>
      </c>
      <c r="B11694" s="12">
        <f>IFERROR(__xludf.DUMMYFUNCTION("""COMPUTED_VALUE"""),45353.0)</f>
        <v>45353</v>
      </c>
      <c r="C11694" s="13">
        <f>IFERROR(__xludf.DUMMYFUNCTION("""COMPUTED_VALUE"""),0.20833333333333334)</f>
        <v>0.2083333333</v>
      </c>
      <c r="D11694" s="8">
        <f>IFERROR(__xludf.DUMMYFUNCTION("""COMPUTED_VALUE"""),0.367)</f>
        <v>0.367</v>
      </c>
      <c r="E11694" s="8" t="str">
        <f>IFERROR(__xludf.DUMMYFUNCTION("""COMPUTED_VALUE"""),"Real")</f>
        <v>Real</v>
      </c>
      <c r="G11694" s="8">
        <f t="shared" si="1"/>
        <v>3</v>
      </c>
      <c r="H11694" s="14">
        <f t="shared" si="2"/>
        <v>2</v>
      </c>
      <c r="I11694" s="15">
        <f t="shared" si="3"/>
        <v>5</v>
      </c>
    </row>
    <row r="11695">
      <c r="A11695" s="8" t="str">
        <f>IFERROR(__xludf.DUMMYFUNCTION("IF('(INGESTA)Datos_consumo_datadis'!A11695&lt;&gt;"""",SPLIT('(INGESTA)Datos_consumo_datadis'!A:A,"",""),"""")"),"ES0031408323131005HX0F")</f>
        <v>ES0031408323131005HX0F</v>
      </c>
      <c r="B11695" s="12">
        <f>IFERROR(__xludf.DUMMYFUNCTION("""COMPUTED_VALUE"""),45353.0)</f>
        <v>45353</v>
      </c>
      <c r="C11695" s="13">
        <f>IFERROR(__xludf.DUMMYFUNCTION("""COMPUTED_VALUE"""),0.25)</f>
        <v>0.25</v>
      </c>
      <c r="D11695" s="8">
        <f>IFERROR(__xludf.DUMMYFUNCTION("""COMPUTED_VALUE"""),0.056)</f>
        <v>0.056</v>
      </c>
      <c r="E11695" s="8" t="str">
        <f>IFERROR(__xludf.DUMMYFUNCTION("""COMPUTED_VALUE"""),"Real")</f>
        <v>Real</v>
      </c>
      <c r="G11695" s="8">
        <f t="shared" si="1"/>
        <v>3</v>
      </c>
      <c r="H11695" s="14">
        <f t="shared" si="2"/>
        <v>2</v>
      </c>
      <c r="I11695" s="15">
        <f t="shared" si="3"/>
        <v>6</v>
      </c>
    </row>
    <row r="11696">
      <c r="A11696" s="8" t="str">
        <f>IFERROR(__xludf.DUMMYFUNCTION("IF('(INGESTA)Datos_consumo_datadis'!A11696&lt;&gt;"""",SPLIT('(INGESTA)Datos_consumo_datadis'!A:A,"",""),"""")"),"ES0031408323131005HX0F")</f>
        <v>ES0031408323131005HX0F</v>
      </c>
      <c r="B11696" s="12">
        <f>IFERROR(__xludf.DUMMYFUNCTION("""COMPUTED_VALUE"""),45353.0)</f>
        <v>45353</v>
      </c>
      <c r="C11696" s="13">
        <f>IFERROR(__xludf.DUMMYFUNCTION("""COMPUTED_VALUE"""),0.2916666666666667)</f>
        <v>0.2916666667</v>
      </c>
      <c r="D11696" s="8">
        <f>IFERROR(__xludf.DUMMYFUNCTION("""COMPUTED_VALUE"""),0.033)</f>
        <v>0.033</v>
      </c>
      <c r="E11696" s="8" t="str">
        <f>IFERROR(__xludf.DUMMYFUNCTION("""COMPUTED_VALUE"""),"Real")</f>
        <v>Real</v>
      </c>
      <c r="G11696" s="8">
        <f t="shared" si="1"/>
        <v>3</v>
      </c>
      <c r="H11696" s="14">
        <f t="shared" si="2"/>
        <v>2</v>
      </c>
      <c r="I11696" s="15">
        <f t="shared" si="3"/>
        <v>7</v>
      </c>
    </row>
    <row r="11697">
      <c r="A11697" s="8" t="str">
        <f>IFERROR(__xludf.DUMMYFUNCTION("IF('(INGESTA)Datos_consumo_datadis'!A11697&lt;&gt;"""",SPLIT('(INGESTA)Datos_consumo_datadis'!A:A,"",""),"""")"),"ES0031408323131005HX0F")</f>
        <v>ES0031408323131005HX0F</v>
      </c>
      <c r="B11697" s="12">
        <f>IFERROR(__xludf.DUMMYFUNCTION("""COMPUTED_VALUE"""),45353.0)</f>
        <v>45353</v>
      </c>
      <c r="C11697" s="13">
        <f>IFERROR(__xludf.DUMMYFUNCTION("""COMPUTED_VALUE"""),0.3333333333333333)</f>
        <v>0.3333333333</v>
      </c>
      <c r="D11697" s="8">
        <f>IFERROR(__xludf.DUMMYFUNCTION("""COMPUTED_VALUE"""),0.129)</f>
        <v>0.129</v>
      </c>
      <c r="E11697" s="8" t="str">
        <f>IFERROR(__xludf.DUMMYFUNCTION("""COMPUTED_VALUE"""),"Real")</f>
        <v>Real</v>
      </c>
      <c r="G11697" s="8">
        <f t="shared" si="1"/>
        <v>3</v>
      </c>
      <c r="H11697" s="14">
        <f t="shared" si="2"/>
        <v>2</v>
      </c>
      <c r="I11697" s="15">
        <f t="shared" si="3"/>
        <v>8</v>
      </c>
    </row>
    <row r="11698">
      <c r="A11698" s="8" t="str">
        <f>IFERROR(__xludf.DUMMYFUNCTION("IF('(INGESTA)Datos_consumo_datadis'!A11698&lt;&gt;"""",SPLIT('(INGESTA)Datos_consumo_datadis'!A:A,"",""),"""")"),"ES0031408323131005HX0F")</f>
        <v>ES0031408323131005HX0F</v>
      </c>
      <c r="B11698" s="12">
        <f>IFERROR(__xludf.DUMMYFUNCTION("""COMPUTED_VALUE"""),45353.0)</f>
        <v>45353</v>
      </c>
      <c r="C11698" s="13">
        <f>IFERROR(__xludf.DUMMYFUNCTION("""COMPUTED_VALUE"""),0.375)</f>
        <v>0.375</v>
      </c>
      <c r="D11698" s="8">
        <f>IFERROR(__xludf.DUMMYFUNCTION("""COMPUTED_VALUE"""),0.515)</f>
        <v>0.515</v>
      </c>
      <c r="E11698" s="8" t="str">
        <f>IFERROR(__xludf.DUMMYFUNCTION("""COMPUTED_VALUE"""),"Real")</f>
        <v>Real</v>
      </c>
      <c r="G11698" s="8">
        <f t="shared" si="1"/>
        <v>3</v>
      </c>
      <c r="H11698" s="14">
        <f t="shared" si="2"/>
        <v>2</v>
      </c>
      <c r="I11698" s="15">
        <f t="shared" si="3"/>
        <v>9</v>
      </c>
    </row>
    <row r="11699">
      <c r="A11699" s="8" t="str">
        <f>IFERROR(__xludf.DUMMYFUNCTION("IF('(INGESTA)Datos_consumo_datadis'!A11699&lt;&gt;"""",SPLIT('(INGESTA)Datos_consumo_datadis'!A:A,"",""),"""")"),"ES0031408323131005HX0F")</f>
        <v>ES0031408323131005HX0F</v>
      </c>
      <c r="B11699" s="12">
        <f>IFERROR(__xludf.DUMMYFUNCTION("""COMPUTED_VALUE"""),45353.0)</f>
        <v>45353</v>
      </c>
      <c r="C11699" s="13">
        <f>IFERROR(__xludf.DUMMYFUNCTION("""COMPUTED_VALUE"""),0.4166666666666667)</f>
        <v>0.4166666667</v>
      </c>
      <c r="D11699" s="8">
        <f>IFERROR(__xludf.DUMMYFUNCTION("""COMPUTED_VALUE"""),0.934)</f>
        <v>0.934</v>
      </c>
      <c r="E11699" s="8" t="str">
        <f>IFERROR(__xludf.DUMMYFUNCTION("""COMPUTED_VALUE"""),"Real")</f>
        <v>Real</v>
      </c>
      <c r="G11699" s="8">
        <f t="shared" si="1"/>
        <v>3</v>
      </c>
      <c r="H11699" s="14">
        <f t="shared" si="2"/>
        <v>2</v>
      </c>
      <c r="I11699" s="15">
        <f t="shared" si="3"/>
        <v>10</v>
      </c>
    </row>
    <row r="11700">
      <c r="A11700" s="8" t="str">
        <f>IFERROR(__xludf.DUMMYFUNCTION("IF('(INGESTA)Datos_consumo_datadis'!A11700&lt;&gt;"""",SPLIT('(INGESTA)Datos_consumo_datadis'!A:A,"",""),"""")"),"ES0031408323131005HX0F")</f>
        <v>ES0031408323131005HX0F</v>
      </c>
      <c r="B11700" s="12">
        <f>IFERROR(__xludf.DUMMYFUNCTION("""COMPUTED_VALUE"""),45353.0)</f>
        <v>45353</v>
      </c>
      <c r="C11700" s="13">
        <f>IFERROR(__xludf.DUMMYFUNCTION("""COMPUTED_VALUE"""),0.4583333333333333)</f>
        <v>0.4583333333</v>
      </c>
      <c r="D11700" s="8">
        <f>IFERROR(__xludf.DUMMYFUNCTION("""COMPUTED_VALUE"""),0.137)</f>
        <v>0.137</v>
      </c>
      <c r="E11700" s="8" t="str">
        <f>IFERROR(__xludf.DUMMYFUNCTION("""COMPUTED_VALUE"""),"Real")</f>
        <v>Real</v>
      </c>
      <c r="G11700" s="8">
        <f t="shared" si="1"/>
        <v>3</v>
      </c>
      <c r="H11700" s="14">
        <f t="shared" si="2"/>
        <v>2</v>
      </c>
      <c r="I11700" s="15">
        <f t="shared" si="3"/>
        <v>11</v>
      </c>
    </row>
    <row r="11701">
      <c r="A11701" s="8" t="str">
        <f>IFERROR(__xludf.DUMMYFUNCTION("IF('(INGESTA)Datos_consumo_datadis'!A11701&lt;&gt;"""",SPLIT('(INGESTA)Datos_consumo_datadis'!A:A,"",""),"""")"),"ES0031408323131005HX0F")</f>
        <v>ES0031408323131005HX0F</v>
      </c>
      <c r="B11701" s="12">
        <f>IFERROR(__xludf.DUMMYFUNCTION("""COMPUTED_VALUE"""),45353.0)</f>
        <v>45353</v>
      </c>
      <c r="C11701" s="13">
        <f>IFERROR(__xludf.DUMMYFUNCTION("""COMPUTED_VALUE"""),0.5)</f>
        <v>0.5</v>
      </c>
      <c r="D11701" s="8">
        <f>IFERROR(__xludf.DUMMYFUNCTION("""COMPUTED_VALUE"""),0.474)</f>
        <v>0.474</v>
      </c>
      <c r="E11701" s="8" t="str">
        <f>IFERROR(__xludf.DUMMYFUNCTION("""COMPUTED_VALUE"""),"Real")</f>
        <v>Real</v>
      </c>
      <c r="G11701" s="8">
        <f t="shared" si="1"/>
        <v>3</v>
      </c>
      <c r="H11701" s="14">
        <f t="shared" si="2"/>
        <v>2</v>
      </c>
      <c r="I11701" s="15">
        <f t="shared" si="3"/>
        <v>12</v>
      </c>
    </row>
    <row r="11702">
      <c r="A11702" s="8" t="str">
        <f>IFERROR(__xludf.DUMMYFUNCTION("IF('(INGESTA)Datos_consumo_datadis'!A11702&lt;&gt;"""",SPLIT('(INGESTA)Datos_consumo_datadis'!A:A,"",""),"""")"),"ES0031408323131005HX0F")</f>
        <v>ES0031408323131005HX0F</v>
      </c>
      <c r="B11702" s="12">
        <f>IFERROR(__xludf.DUMMYFUNCTION("""COMPUTED_VALUE"""),45353.0)</f>
        <v>45353</v>
      </c>
      <c r="C11702" s="13">
        <f>IFERROR(__xludf.DUMMYFUNCTION("""COMPUTED_VALUE"""),0.5416666666666666)</f>
        <v>0.5416666667</v>
      </c>
      <c r="D11702" s="8">
        <f>IFERROR(__xludf.DUMMYFUNCTION("""COMPUTED_VALUE"""),0.063)</f>
        <v>0.063</v>
      </c>
      <c r="E11702" s="8" t="str">
        <f>IFERROR(__xludf.DUMMYFUNCTION("""COMPUTED_VALUE"""),"Real")</f>
        <v>Real</v>
      </c>
      <c r="G11702" s="8">
        <f t="shared" si="1"/>
        <v>3</v>
      </c>
      <c r="H11702" s="14">
        <f t="shared" si="2"/>
        <v>2</v>
      </c>
      <c r="I11702" s="15">
        <f t="shared" si="3"/>
        <v>13</v>
      </c>
    </row>
    <row r="11703">
      <c r="A11703" s="8" t="str">
        <f>IFERROR(__xludf.DUMMYFUNCTION("IF('(INGESTA)Datos_consumo_datadis'!A11703&lt;&gt;"""",SPLIT('(INGESTA)Datos_consumo_datadis'!A:A,"",""),"""")"),"ES0031408323131005HX0F")</f>
        <v>ES0031408323131005HX0F</v>
      </c>
      <c r="B11703" s="12">
        <f>IFERROR(__xludf.DUMMYFUNCTION("""COMPUTED_VALUE"""),45353.0)</f>
        <v>45353</v>
      </c>
      <c r="C11703" s="13">
        <f>IFERROR(__xludf.DUMMYFUNCTION("""COMPUTED_VALUE"""),0.5833333333333334)</f>
        <v>0.5833333333</v>
      </c>
      <c r="D11703" s="8">
        <f>IFERROR(__xludf.DUMMYFUNCTION("""COMPUTED_VALUE"""),0.326)</f>
        <v>0.326</v>
      </c>
      <c r="E11703" s="8" t="str">
        <f>IFERROR(__xludf.DUMMYFUNCTION("""COMPUTED_VALUE"""),"Real")</f>
        <v>Real</v>
      </c>
      <c r="G11703" s="8">
        <f t="shared" si="1"/>
        <v>3</v>
      </c>
      <c r="H11703" s="14">
        <f t="shared" si="2"/>
        <v>2</v>
      </c>
      <c r="I11703" s="15">
        <f t="shared" si="3"/>
        <v>14</v>
      </c>
    </row>
    <row r="11704">
      <c r="A11704" s="8" t="str">
        <f>IFERROR(__xludf.DUMMYFUNCTION("IF('(INGESTA)Datos_consumo_datadis'!A11704&lt;&gt;"""",SPLIT('(INGESTA)Datos_consumo_datadis'!A:A,"",""),"""")"),"ES0031408323131005HX0F")</f>
        <v>ES0031408323131005HX0F</v>
      </c>
      <c r="B11704" s="12">
        <f>IFERROR(__xludf.DUMMYFUNCTION("""COMPUTED_VALUE"""),45353.0)</f>
        <v>45353</v>
      </c>
      <c r="C11704" s="13">
        <f>IFERROR(__xludf.DUMMYFUNCTION("""COMPUTED_VALUE"""),0.625)</f>
        <v>0.625</v>
      </c>
      <c r="D11704" s="8">
        <f>IFERROR(__xludf.DUMMYFUNCTION("""COMPUTED_VALUE"""),2.479)</f>
        <v>2.479</v>
      </c>
      <c r="E11704" s="8" t="str">
        <f>IFERROR(__xludf.DUMMYFUNCTION("""COMPUTED_VALUE"""),"Real")</f>
        <v>Real</v>
      </c>
      <c r="G11704" s="8">
        <f t="shared" si="1"/>
        <v>3</v>
      </c>
      <c r="H11704" s="14">
        <f t="shared" si="2"/>
        <v>2</v>
      </c>
      <c r="I11704" s="15">
        <f t="shared" si="3"/>
        <v>15</v>
      </c>
    </row>
    <row r="11705">
      <c r="A11705" s="8" t="str">
        <f>IFERROR(__xludf.DUMMYFUNCTION("IF('(INGESTA)Datos_consumo_datadis'!A11705&lt;&gt;"""",SPLIT('(INGESTA)Datos_consumo_datadis'!A:A,"",""),"""")"),"ES0031408323131005HX0F")</f>
        <v>ES0031408323131005HX0F</v>
      </c>
      <c r="B11705" s="12">
        <f>IFERROR(__xludf.DUMMYFUNCTION("""COMPUTED_VALUE"""),45353.0)</f>
        <v>45353</v>
      </c>
      <c r="C11705" s="13">
        <f>IFERROR(__xludf.DUMMYFUNCTION("""COMPUTED_VALUE"""),0.6666666666666666)</f>
        <v>0.6666666667</v>
      </c>
      <c r="D11705" s="8">
        <f>IFERROR(__xludf.DUMMYFUNCTION("""COMPUTED_VALUE"""),3.195)</f>
        <v>3.195</v>
      </c>
      <c r="E11705" s="8" t="str">
        <f>IFERROR(__xludf.DUMMYFUNCTION("""COMPUTED_VALUE"""),"Real")</f>
        <v>Real</v>
      </c>
      <c r="G11705" s="8">
        <f t="shared" si="1"/>
        <v>3</v>
      </c>
      <c r="H11705" s="14">
        <f t="shared" si="2"/>
        <v>2</v>
      </c>
      <c r="I11705" s="15">
        <f t="shared" si="3"/>
        <v>16</v>
      </c>
    </row>
    <row r="11706">
      <c r="A11706" s="8" t="str">
        <f>IFERROR(__xludf.DUMMYFUNCTION("IF('(INGESTA)Datos_consumo_datadis'!A11706&lt;&gt;"""",SPLIT('(INGESTA)Datos_consumo_datadis'!A:A,"",""),"""")"),"ES0031408323131005HX0F")</f>
        <v>ES0031408323131005HX0F</v>
      </c>
      <c r="B11706" s="12">
        <f>IFERROR(__xludf.DUMMYFUNCTION("""COMPUTED_VALUE"""),45353.0)</f>
        <v>45353</v>
      </c>
      <c r="C11706" s="13">
        <f>IFERROR(__xludf.DUMMYFUNCTION("""COMPUTED_VALUE"""),0.7083333333333334)</f>
        <v>0.7083333333</v>
      </c>
      <c r="D11706" s="8">
        <f>IFERROR(__xludf.DUMMYFUNCTION("""COMPUTED_VALUE"""),1.066)</f>
        <v>1.066</v>
      </c>
      <c r="E11706" s="8" t="str">
        <f>IFERROR(__xludf.DUMMYFUNCTION("""COMPUTED_VALUE"""),"Real")</f>
        <v>Real</v>
      </c>
      <c r="G11706" s="8">
        <f t="shared" si="1"/>
        <v>3</v>
      </c>
      <c r="H11706" s="14">
        <f t="shared" si="2"/>
        <v>2</v>
      </c>
      <c r="I11706" s="15">
        <f t="shared" si="3"/>
        <v>17</v>
      </c>
    </row>
    <row r="11707">
      <c r="A11707" s="8" t="str">
        <f>IFERROR(__xludf.DUMMYFUNCTION("IF('(INGESTA)Datos_consumo_datadis'!A11707&lt;&gt;"""",SPLIT('(INGESTA)Datos_consumo_datadis'!A:A,"",""),"""")"),"ES0031408323131005HX0F")</f>
        <v>ES0031408323131005HX0F</v>
      </c>
      <c r="B11707" s="12">
        <f>IFERROR(__xludf.DUMMYFUNCTION("""COMPUTED_VALUE"""),45353.0)</f>
        <v>45353</v>
      </c>
      <c r="C11707" s="13">
        <f>IFERROR(__xludf.DUMMYFUNCTION("""COMPUTED_VALUE"""),0.75)</f>
        <v>0.75</v>
      </c>
      <c r="D11707" s="8">
        <f>IFERROR(__xludf.DUMMYFUNCTION("""COMPUTED_VALUE"""),1.309)</f>
        <v>1.309</v>
      </c>
      <c r="E11707" s="8" t="str">
        <f>IFERROR(__xludf.DUMMYFUNCTION("""COMPUTED_VALUE"""),"Real")</f>
        <v>Real</v>
      </c>
      <c r="G11707" s="8">
        <f t="shared" si="1"/>
        <v>3</v>
      </c>
      <c r="H11707" s="14">
        <f t="shared" si="2"/>
        <v>2</v>
      </c>
      <c r="I11707" s="15">
        <f t="shared" si="3"/>
        <v>18</v>
      </c>
    </row>
    <row r="11708">
      <c r="A11708" s="8" t="str">
        <f>IFERROR(__xludf.DUMMYFUNCTION("IF('(INGESTA)Datos_consumo_datadis'!A11708&lt;&gt;"""",SPLIT('(INGESTA)Datos_consumo_datadis'!A:A,"",""),"""")"),"ES0031408323131005HX0F")</f>
        <v>ES0031408323131005HX0F</v>
      </c>
      <c r="B11708" s="12">
        <f>IFERROR(__xludf.DUMMYFUNCTION("""COMPUTED_VALUE"""),45353.0)</f>
        <v>45353</v>
      </c>
      <c r="C11708" s="13">
        <f>IFERROR(__xludf.DUMMYFUNCTION("""COMPUTED_VALUE"""),0.7916666666666666)</f>
        <v>0.7916666667</v>
      </c>
      <c r="D11708" s="8">
        <f>IFERROR(__xludf.DUMMYFUNCTION("""COMPUTED_VALUE"""),0.971)</f>
        <v>0.971</v>
      </c>
      <c r="E11708" s="8" t="str">
        <f>IFERROR(__xludf.DUMMYFUNCTION("""COMPUTED_VALUE"""),"Real")</f>
        <v>Real</v>
      </c>
      <c r="G11708" s="8">
        <f t="shared" si="1"/>
        <v>3</v>
      </c>
      <c r="H11708" s="14">
        <f t="shared" si="2"/>
        <v>2</v>
      </c>
      <c r="I11708" s="15">
        <f t="shared" si="3"/>
        <v>19</v>
      </c>
    </row>
    <row r="11709">
      <c r="A11709" s="8" t="str">
        <f>IFERROR(__xludf.DUMMYFUNCTION("IF('(INGESTA)Datos_consumo_datadis'!A11709&lt;&gt;"""",SPLIT('(INGESTA)Datos_consumo_datadis'!A:A,"",""),"""")"),"ES0031408323131005HX0F")</f>
        <v>ES0031408323131005HX0F</v>
      </c>
      <c r="B11709" s="12">
        <f>IFERROR(__xludf.DUMMYFUNCTION("""COMPUTED_VALUE"""),45353.0)</f>
        <v>45353</v>
      </c>
      <c r="C11709" s="13">
        <f>IFERROR(__xludf.DUMMYFUNCTION("""COMPUTED_VALUE"""),0.8333333333333334)</f>
        <v>0.8333333333</v>
      </c>
      <c r="D11709" s="8">
        <f>IFERROR(__xludf.DUMMYFUNCTION("""COMPUTED_VALUE"""),0.502)</f>
        <v>0.502</v>
      </c>
      <c r="E11709" s="8" t="str">
        <f>IFERROR(__xludf.DUMMYFUNCTION("""COMPUTED_VALUE"""),"Real")</f>
        <v>Real</v>
      </c>
      <c r="G11709" s="8">
        <f t="shared" si="1"/>
        <v>3</v>
      </c>
      <c r="H11709" s="14">
        <f t="shared" si="2"/>
        <v>2</v>
      </c>
      <c r="I11709" s="15">
        <f t="shared" si="3"/>
        <v>20</v>
      </c>
    </row>
    <row r="11710">
      <c r="A11710" s="8" t="str">
        <f>IFERROR(__xludf.DUMMYFUNCTION("IF('(INGESTA)Datos_consumo_datadis'!A11710&lt;&gt;"""",SPLIT('(INGESTA)Datos_consumo_datadis'!A:A,"",""),"""")"),"ES0031408323131005HX0F")</f>
        <v>ES0031408323131005HX0F</v>
      </c>
      <c r="B11710" s="12">
        <f>IFERROR(__xludf.DUMMYFUNCTION("""COMPUTED_VALUE"""),45353.0)</f>
        <v>45353</v>
      </c>
      <c r="C11710" s="13">
        <f>IFERROR(__xludf.DUMMYFUNCTION("""COMPUTED_VALUE"""),0.875)</f>
        <v>0.875</v>
      </c>
      <c r="D11710" s="8">
        <f>IFERROR(__xludf.DUMMYFUNCTION("""COMPUTED_VALUE"""),1.131)</f>
        <v>1.131</v>
      </c>
      <c r="E11710" s="8" t="str">
        <f>IFERROR(__xludf.DUMMYFUNCTION("""COMPUTED_VALUE"""),"Real")</f>
        <v>Real</v>
      </c>
      <c r="G11710" s="8">
        <f t="shared" si="1"/>
        <v>3</v>
      </c>
      <c r="H11710" s="14">
        <f t="shared" si="2"/>
        <v>2</v>
      </c>
      <c r="I11710" s="15">
        <f t="shared" si="3"/>
        <v>21</v>
      </c>
    </row>
    <row r="11711">
      <c r="A11711" s="8" t="str">
        <f>IFERROR(__xludf.DUMMYFUNCTION("IF('(INGESTA)Datos_consumo_datadis'!A11711&lt;&gt;"""",SPLIT('(INGESTA)Datos_consumo_datadis'!A:A,"",""),"""")"),"ES0031408323131005HX0F")</f>
        <v>ES0031408323131005HX0F</v>
      </c>
      <c r="B11711" s="12">
        <f>IFERROR(__xludf.DUMMYFUNCTION("""COMPUTED_VALUE"""),45353.0)</f>
        <v>45353</v>
      </c>
      <c r="C11711" s="13">
        <f>IFERROR(__xludf.DUMMYFUNCTION("""COMPUTED_VALUE"""),0.9166666666666666)</f>
        <v>0.9166666667</v>
      </c>
      <c r="D11711" s="8">
        <f>IFERROR(__xludf.DUMMYFUNCTION("""COMPUTED_VALUE"""),0.071)</f>
        <v>0.071</v>
      </c>
      <c r="E11711" s="8" t="str">
        <f>IFERROR(__xludf.DUMMYFUNCTION("""COMPUTED_VALUE"""),"Real")</f>
        <v>Real</v>
      </c>
      <c r="G11711" s="8">
        <f t="shared" si="1"/>
        <v>3</v>
      </c>
      <c r="H11711" s="14">
        <f t="shared" si="2"/>
        <v>2</v>
      </c>
      <c r="I11711" s="15">
        <f t="shared" si="3"/>
        <v>22</v>
      </c>
    </row>
    <row r="11712">
      <c r="A11712" s="8" t="str">
        <f>IFERROR(__xludf.DUMMYFUNCTION("IF('(INGESTA)Datos_consumo_datadis'!A11712&lt;&gt;"""",SPLIT('(INGESTA)Datos_consumo_datadis'!A:A,"",""),"""")"),"ES0031408323131005HX0F")</f>
        <v>ES0031408323131005HX0F</v>
      </c>
      <c r="B11712" s="12">
        <f>IFERROR(__xludf.DUMMYFUNCTION("""COMPUTED_VALUE"""),45353.0)</f>
        <v>45353</v>
      </c>
      <c r="C11712" s="13">
        <f>IFERROR(__xludf.DUMMYFUNCTION("""COMPUTED_VALUE"""),0.9583333333333334)</f>
        <v>0.9583333333</v>
      </c>
      <c r="D11712" s="8">
        <f>IFERROR(__xludf.DUMMYFUNCTION("""COMPUTED_VALUE"""),1.27)</f>
        <v>1.27</v>
      </c>
      <c r="E11712" s="8" t="str">
        <f>IFERROR(__xludf.DUMMYFUNCTION("""COMPUTED_VALUE"""),"Real")</f>
        <v>Real</v>
      </c>
      <c r="G11712" s="8">
        <f t="shared" si="1"/>
        <v>3</v>
      </c>
      <c r="H11712" s="14">
        <f t="shared" si="2"/>
        <v>2</v>
      </c>
      <c r="I11712" s="15">
        <f t="shared" si="3"/>
        <v>23</v>
      </c>
    </row>
    <row r="11713">
      <c r="A11713" s="8" t="str">
        <f>IFERROR(__xludf.DUMMYFUNCTION("IF('(INGESTA)Datos_consumo_datadis'!A11713&lt;&gt;"""",SPLIT('(INGESTA)Datos_consumo_datadis'!A:A,"",""),"""")"),"ES0031408323131005HX0F")</f>
        <v>ES0031408323131005HX0F</v>
      </c>
      <c r="B11713" s="12">
        <f>IFERROR(__xludf.DUMMYFUNCTION("""COMPUTED_VALUE"""),45353.0)</f>
        <v>45353</v>
      </c>
      <c r="C11713" s="16">
        <f>IFERROR(__xludf.DUMMYFUNCTION("""COMPUTED_VALUE"""),1.0)</f>
        <v>1</v>
      </c>
      <c r="D11713" s="8">
        <f>IFERROR(__xludf.DUMMYFUNCTION("""COMPUTED_VALUE"""),1.648)</f>
        <v>1.648</v>
      </c>
      <c r="E11713" s="8" t="str">
        <f>IFERROR(__xludf.DUMMYFUNCTION("""COMPUTED_VALUE"""),"Real")</f>
        <v>Real</v>
      </c>
      <c r="G11713" s="8">
        <f t="shared" si="1"/>
        <v>3</v>
      </c>
      <c r="H11713" s="14">
        <f t="shared" si="2"/>
        <v>2</v>
      </c>
      <c r="I11713" s="15">
        <f t="shared" si="3"/>
        <v>0</v>
      </c>
    </row>
    <row r="11714">
      <c r="A11714" s="8" t="str">
        <f>IFERROR(__xludf.DUMMYFUNCTION("IF('(INGESTA)Datos_consumo_datadis'!A11714&lt;&gt;"""",SPLIT('(INGESTA)Datos_consumo_datadis'!A:A,"",""),"""")"),"ES0031408323131005HX0F")</f>
        <v>ES0031408323131005HX0F</v>
      </c>
      <c r="B11714" s="12">
        <f>IFERROR(__xludf.DUMMYFUNCTION("""COMPUTED_VALUE"""),45354.0)</f>
        <v>45354</v>
      </c>
      <c r="C11714" s="13">
        <f>IFERROR(__xludf.DUMMYFUNCTION("""COMPUTED_VALUE"""),0.041666666666666664)</f>
        <v>0.04166666667</v>
      </c>
      <c r="D11714" s="8">
        <f>IFERROR(__xludf.DUMMYFUNCTION("""COMPUTED_VALUE"""),0.425)</f>
        <v>0.425</v>
      </c>
      <c r="E11714" s="8" t="str">
        <f>IFERROR(__xludf.DUMMYFUNCTION("""COMPUTED_VALUE"""),"Real")</f>
        <v>Real</v>
      </c>
      <c r="G11714" s="8">
        <f t="shared" si="1"/>
        <v>3</v>
      </c>
      <c r="H11714" s="14">
        <f t="shared" si="2"/>
        <v>3</v>
      </c>
      <c r="I11714" s="15">
        <f t="shared" si="3"/>
        <v>1</v>
      </c>
    </row>
    <row r="11715">
      <c r="A11715" s="8" t="str">
        <f>IFERROR(__xludf.DUMMYFUNCTION("IF('(INGESTA)Datos_consumo_datadis'!A11715&lt;&gt;"""",SPLIT('(INGESTA)Datos_consumo_datadis'!A:A,"",""),"""")"),"ES0031408323131005HX0F")</f>
        <v>ES0031408323131005HX0F</v>
      </c>
      <c r="B11715" s="12">
        <f>IFERROR(__xludf.DUMMYFUNCTION("""COMPUTED_VALUE"""),45354.0)</f>
        <v>45354</v>
      </c>
      <c r="C11715" s="13">
        <f>IFERROR(__xludf.DUMMYFUNCTION("""COMPUTED_VALUE"""),0.08333333333333333)</f>
        <v>0.08333333333</v>
      </c>
      <c r="D11715" s="8">
        <f>IFERROR(__xludf.DUMMYFUNCTION("""COMPUTED_VALUE"""),0.059)</f>
        <v>0.059</v>
      </c>
      <c r="E11715" s="8" t="str">
        <f>IFERROR(__xludf.DUMMYFUNCTION("""COMPUTED_VALUE"""),"Real")</f>
        <v>Real</v>
      </c>
      <c r="G11715" s="8">
        <f t="shared" si="1"/>
        <v>3</v>
      </c>
      <c r="H11715" s="14">
        <f t="shared" si="2"/>
        <v>3</v>
      </c>
      <c r="I11715" s="15">
        <f t="shared" si="3"/>
        <v>2</v>
      </c>
    </row>
    <row r="11716">
      <c r="A11716" s="8" t="str">
        <f>IFERROR(__xludf.DUMMYFUNCTION("IF('(INGESTA)Datos_consumo_datadis'!A11716&lt;&gt;"""",SPLIT('(INGESTA)Datos_consumo_datadis'!A:A,"",""),"""")"),"ES0031408323131005HX0F")</f>
        <v>ES0031408323131005HX0F</v>
      </c>
      <c r="B11716" s="12">
        <f>IFERROR(__xludf.DUMMYFUNCTION("""COMPUTED_VALUE"""),45354.0)</f>
        <v>45354</v>
      </c>
      <c r="C11716" s="13">
        <f>IFERROR(__xludf.DUMMYFUNCTION("""COMPUTED_VALUE"""),0.125)</f>
        <v>0.125</v>
      </c>
      <c r="D11716" s="8">
        <f>IFERROR(__xludf.DUMMYFUNCTION("""COMPUTED_VALUE"""),0.031)</f>
        <v>0.031</v>
      </c>
      <c r="E11716" s="8" t="str">
        <f>IFERROR(__xludf.DUMMYFUNCTION("""COMPUTED_VALUE"""),"Real")</f>
        <v>Real</v>
      </c>
      <c r="G11716" s="8">
        <f t="shared" si="1"/>
        <v>3</v>
      </c>
      <c r="H11716" s="14">
        <f t="shared" si="2"/>
        <v>3</v>
      </c>
      <c r="I11716" s="15">
        <f t="shared" si="3"/>
        <v>3</v>
      </c>
    </row>
    <row r="11717">
      <c r="A11717" s="8" t="str">
        <f>IFERROR(__xludf.DUMMYFUNCTION("IF('(INGESTA)Datos_consumo_datadis'!A11717&lt;&gt;"""",SPLIT('(INGESTA)Datos_consumo_datadis'!A:A,"",""),"""")"),"ES0031408323131005HX0F")</f>
        <v>ES0031408323131005HX0F</v>
      </c>
      <c r="B11717" s="12">
        <f>IFERROR(__xludf.DUMMYFUNCTION("""COMPUTED_VALUE"""),45354.0)</f>
        <v>45354</v>
      </c>
      <c r="C11717" s="13">
        <f>IFERROR(__xludf.DUMMYFUNCTION("""COMPUTED_VALUE"""),0.16666666666666666)</f>
        <v>0.1666666667</v>
      </c>
      <c r="D11717" s="8">
        <f>IFERROR(__xludf.DUMMYFUNCTION("""COMPUTED_VALUE"""),0.095)</f>
        <v>0.095</v>
      </c>
      <c r="E11717" s="8" t="str">
        <f>IFERROR(__xludf.DUMMYFUNCTION("""COMPUTED_VALUE"""),"Real")</f>
        <v>Real</v>
      </c>
      <c r="G11717" s="8">
        <f t="shared" si="1"/>
        <v>3</v>
      </c>
      <c r="H11717" s="14">
        <f t="shared" si="2"/>
        <v>3</v>
      </c>
      <c r="I11717" s="15">
        <f t="shared" si="3"/>
        <v>4</v>
      </c>
    </row>
    <row r="11718">
      <c r="A11718" s="8" t="str">
        <f>IFERROR(__xludf.DUMMYFUNCTION("IF('(INGESTA)Datos_consumo_datadis'!A11718&lt;&gt;"""",SPLIT('(INGESTA)Datos_consumo_datadis'!A:A,"",""),"""")"),"ES0031408323131005HX0F")</f>
        <v>ES0031408323131005HX0F</v>
      </c>
      <c r="B11718" s="12">
        <f>IFERROR(__xludf.DUMMYFUNCTION("""COMPUTED_VALUE"""),45354.0)</f>
        <v>45354</v>
      </c>
      <c r="C11718" s="13">
        <f>IFERROR(__xludf.DUMMYFUNCTION("""COMPUTED_VALUE"""),0.20833333333333334)</f>
        <v>0.2083333333</v>
      </c>
      <c r="D11718" s="8">
        <f>IFERROR(__xludf.DUMMYFUNCTION("""COMPUTED_VALUE"""),0.315)</f>
        <v>0.315</v>
      </c>
      <c r="E11718" s="8" t="str">
        <f>IFERROR(__xludf.DUMMYFUNCTION("""COMPUTED_VALUE"""),"Real")</f>
        <v>Real</v>
      </c>
      <c r="G11718" s="8">
        <f t="shared" si="1"/>
        <v>3</v>
      </c>
      <c r="H11718" s="14">
        <f t="shared" si="2"/>
        <v>3</v>
      </c>
      <c r="I11718" s="15">
        <f t="shared" si="3"/>
        <v>5</v>
      </c>
    </row>
    <row r="11719">
      <c r="A11719" s="8" t="str">
        <f>IFERROR(__xludf.DUMMYFUNCTION("IF('(INGESTA)Datos_consumo_datadis'!A11719&lt;&gt;"""",SPLIT('(INGESTA)Datos_consumo_datadis'!A:A,"",""),"""")"),"ES0031408323131005HX0F")</f>
        <v>ES0031408323131005HX0F</v>
      </c>
      <c r="B11719" s="12">
        <f>IFERROR(__xludf.DUMMYFUNCTION("""COMPUTED_VALUE"""),45354.0)</f>
        <v>45354</v>
      </c>
      <c r="C11719" s="13">
        <f>IFERROR(__xludf.DUMMYFUNCTION("""COMPUTED_VALUE"""),0.25)</f>
        <v>0.25</v>
      </c>
      <c r="D11719" s="8">
        <f>IFERROR(__xludf.DUMMYFUNCTION("""COMPUTED_VALUE"""),0.05)</f>
        <v>0.05</v>
      </c>
      <c r="E11719" s="8" t="str">
        <f>IFERROR(__xludf.DUMMYFUNCTION("""COMPUTED_VALUE"""),"Real")</f>
        <v>Real</v>
      </c>
      <c r="G11719" s="8">
        <f t="shared" si="1"/>
        <v>3</v>
      </c>
      <c r="H11719" s="14">
        <f t="shared" si="2"/>
        <v>3</v>
      </c>
      <c r="I11719" s="15">
        <f t="shared" si="3"/>
        <v>6</v>
      </c>
    </row>
    <row r="11720">
      <c r="A11720" s="8" t="str">
        <f>IFERROR(__xludf.DUMMYFUNCTION("IF('(INGESTA)Datos_consumo_datadis'!A11720&lt;&gt;"""",SPLIT('(INGESTA)Datos_consumo_datadis'!A:A,"",""),"""")"),"ES0031408323131005HX0F")</f>
        <v>ES0031408323131005HX0F</v>
      </c>
      <c r="B11720" s="12">
        <f>IFERROR(__xludf.DUMMYFUNCTION("""COMPUTED_VALUE"""),45354.0)</f>
        <v>45354</v>
      </c>
      <c r="C11720" s="13">
        <f>IFERROR(__xludf.DUMMYFUNCTION("""COMPUTED_VALUE"""),0.2916666666666667)</f>
        <v>0.2916666667</v>
      </c>
      <c r="D11720" s="8">
        <f>IFERROR(__xludf.DUMMYFUNCTION("""COMPUTED_VALUE"""),1.132)</f>
        <v>1.132</v>
      </c>
      <c r="E11720" s="8" t="str">
        <f>IFERROR(__xludf.DUMMYFUNCTION("""COMPUTED_VALUE"""),"Real")</f>
        <v>Real</v>
      </c>
      <c r="G11720" s="8">
        <f t="shared" si="1"/>
        <v>3</v>
      </c>
      <c r="H11720" s="14">
        <f t="shared" si="2"/>
        <v>3</v>
      </c>
      <c r="I11720" s="15">
        <f t="shared" si="3"/>
        <v>7</v>
      </c>
    </row>
    <row r="11721">
      <c r="A11721" s="8" t="str">
        <f>IFERROR(__xludf.DUMMYFUNCTION("IF('(INGESTA)Datos_consumo_datadis'!A11721&lt;&gt;"""",SPLIT('(INGESTA)Datos_consumo_datadis'!A:A,"",""),"""")"),"ES0031408323131005HX0F")</f>
        <v>ES0031408323131005HX0F</v>
      </c>
      <c r="B11721" s="12">
        <f>IFERROR(__xludf.DUMMYFUNCTION("""COMPUTED_VALUE"""),45354.0)</f>
        <v>45354</v>
      </c>
      <c r="C11721" s="13">
        <f>IFERROR(__xludf.DUMMYFUNCTION("""COMPUTED_VALUE"""),0.3333333333333333)</f>
        <v>0.3333333333</v>
      </c>
      <c r="D11721" s="8">
        <f>IFERROR(__xludf.DUMMYFUNCTION("""COMPUTED_VALUE"""),1.738)</f>
        <v>1.738</v>
      </c>
      <c r="E11721" s="8" t="str">
        <f>IFERROR(__xludf.DUMMYFUNCTION("""COMPUTED_VALUE"""),"Real")</f>
        <v>Real</v>
      </c>
      <c r="G11721" s="8">
        <f t="shared" si="1"/>
        <v>3</v>
      </c>
      <c r="H11721" s="14">
        <f t="shared" si="2"/>
        <v>3</v>
      </c>
      <c r="I11721" s="15">
        <f t="shared" si="3"/>
        <v>8</v>
      </c>
    </row>
    <row r="11722">
      <c r="A11722" s="8" t="str">
        <f>IFERROR(__xludf.DUMMYFUNCTION("IF('(INGESTA)Datos_consumo_datadis'!A11722&lt;&gt;"""",SPLIT('(INGESTA)Datos_consumo_datadis'!A:A,"",""),"""")"),"ES0031408323131005HX0F")</f>
        <v>ES0031408323131005HX0F</v>
      </c>
      <c r="B11722" s="12">
        <f>IFERROR(__xludf.DUMMYFUNCTION("""COMPUTED_VALUE"""),45354.0)</f>
        <v>45354</v>
      </c>
      <c r="C11722" s="13">
        <f>IFERROR(__xludf.DUMMYFUNCTION("""COMPUTED_VALUE"""),0.375)</f>
        <v>0.375</v>
      </c>
      <c r="D11722" s="8">
        <f>IFERROR(__xludf.DUMMYFUNCTION("""COMPUTED_VALUE"""),1.241)</f>
        <v>1.241</v>
      </c>
      <c r="E11722" s="8" t="str">
        <f>IFERROR(__xludf.DUMMYFUNCTION("""COMPUTED_VALUE"""),"Real")</f>
        <v>Real</v>
      </c>
      <c r="G11722" s="8">
        <f t="shared" si="1"/>
        <v>3</v>
      </c>
      <c r="H11722" s="14">
        <f t="shared" si="2"/>
        <v>3</v>
      </c>
      <c r="I11722" s="15">
        <f t="shared" si="3"/>
        <v>9</v>
      </c>
    </row>
    <row r="11723">
      <c r="A11723" s="8" t="str">
        <f>IFERROR(__xludf.DUMMYFUNCTION("IF('(INGESTA)Datos_consumo_datadis'!A11723&lt;&gt;"""",SPLIT('(INGESTA)Datos_consumo_datadis'!A:A,"",""),"""")"),"ES0031408323131005HX0F")</f>
        <v>ES0031408323131005HX0F</v>
      </c>
      <c r="B11723" s="12">
        <f>IFERROR(__xludf.DUMMYFUNCTION("""COMPUTED_VALUE"""),45354.0)</f>
        <v>45354</v>
      </c>
      <c r="C11723" s="13">
        <f>IFERROR(__xludf.DUMMYFUNCTION("""COMPUTED_VALUE"""),0.4166666666666667)</f>
        <v>0.4166666667</v>
      </c>
      <c r="D11723" s="8">
        <f>IFERROR(__xludf.DUMMYFUNCTION("""COMPUTED_VALUE"""),1.416)</f>
        <v>1.416</v>
      </c>
      <c r="E11723" s="8" t="str">
        <f>IFERROR(__xludf.DUMMYFUNCTION("""COMPUTED_VALUE"""),"Real")</f>
        <v>Real</v>
      </c>
      <c r="G11723" s="8">
        <f t="shared" si="1"/>
        <v>3</v>
      </c>
      <c r="H11723" s="14">
        <f t="shared" si="2"/>
        <v>3</v>
      </c>
      <c r="I11723" s="15">
        <f t="shared" si="3"/>
        <v>10</v>
      </c>
    </row>
    <row r="11724">
      <c r="A11724" s="8" t="str">
        <f>IFERROR(__xludf.DUMMYFUNCTION("IF('(INGESTA)Datos_consumo_datadis'!A11724&lt;&gt;"""",SPLIT('(INGESTA)Datos_consumo_datadis'!A:A,"",""),"""")"),"ES0031408323131005HX0F")</f>
        <v>ES0031408323131005HX0F</v>
      </c>
      <c r="B11724" s="12">
        <f>IFERROR(__xludf.DUMMYFUNCTION("""COMPUTED_VALUE"""),45354.0)</f>
        <v>45354</v>
      </c>
      <c r="C11724" s="13">
        <f>IFERROR(__xludf.DUMMYFUNCTION("""COMPUTED_VALUE"""),0.4583333333333333)</f>
        <v>0.4583333333</v>
      </c>
      <c r="D11724" s="8">
        <f>IFERROR(__xludf.DUMMYFUNCTION("""COMPUTED_VALUE"""),0.512)</f>
        <v>0.512</v>
      </c>
      <c r="E11724" s="8" t="str">
        <f>IFERROR(__xludf.DUMMYFUNCTION("""COMPUTED_VALUE"""),"Real")</f>
        <v>Real</v>
      </c>
      <c r="G11724" s="8">
        <f t="shared" si="1"/>
        <v>3</v>
      </c>
      <c r="H11724" s="14">
        <f t="shared" si="2"/>
        <v>3</v>
      </c>
      <c r="I11724" s="15">
        <f t="shared" si="3"/>
        <v>11</v>
      </c>
    </row>
    <row r="11725">
      <c r="A11725" s="8" t="str">
        <f>IFERROR(__xludf.DUMMYFUNCTION("IF('(INGESTA)Datos_consumo_datadis'!A11725&lt;&gt;"""",SPLIT('(INGESTA)Datos_consumo_datadis'!A:A,"",""),"""")"),"ES0031408323131005HX0F")</f>
        <v>ES0031408323131005HX0F</v>
      </c>
      <c r="B11725" s="12">
        <f>IFERROR(__xludf.DUMMYFUNCTION("""COMPUTED_VALUE"""),45354.0)</f>
        <v>45354</v>
      </c>
      <c r="C11725" s="13">
        <f>IFERROR(__xludf.DUMMYFUNCTION("""COMPUTED_VALUE"""),0.5)</f>
        <v>0.5</v>
      </c>
      <c r="D11725" s="8">
        <f>IFERROR(__xludf.DUMMYFUNCTION("""COMPUTED_VALUE"""),0.567)</f>
        <v>0.567</v>
      </c>
      <c r="E11725" s="8" t="str">
        <f>IFERROR(__xludf.DUMMYFUNCTION("""COMPUTED_VALUE"""),"Real")</f>
        <v>Real</v>
      </c>
      <c r="G11725" s="8">
        <f t="shared" si="1"/>
        <v>3</v>
      </c>
      <c r="H11725" s="14">
        <f t="shared" si="2"/>
        <v>3</v>
      </c>
      <c r="I11725" s="15">
        <f t="shared" si="3"/>
        <v>12</v>
      </c>
    </row>
    <row r="11726">
      <c r="A11726" s="8" t="str">
        <f>IFERROR(__xludf.DUMMYFUNCTION("IF('(INGESTA)Datos_consumo_datadis'!A11726&lt;&gt;"""",SPLIT('(INGESTA)Datos_consumo_datadis'!A:A,"",""),"""")"),"ES0031408323131005HX0F")</f>
        <v>ES0031408323131005HX0F</v>
      </c>
      <c r="B11726" s="12">
        <f>IFERROR(__xludf.DUMMYFUNCTION("""COMPUTED_VALUE"""),45354.0)</f>
        <v>45354</v>
      </c>
      <c r="C11726" s="13">
        <f>IFERROR(__xludf.DUMMYFUNCTION("""COMPUTED_VALUE"""),0.5416666666666666)</f>
        <v>0.5416666667</v>
      </c>
      <c r="D11726" s="8">
        <f>IFERROR(__xludf.DUMMYFUNCTION("""COMPUTED_VALUE"""),0.131)</f>
        <v>0.131</v>
      </c>
      <c r="E11726" s="8" t="str">
        <f>IFERROR(__xludf.DUMMYFUNCTION("""COMPUTED_VALUE"""),"Real")</f>
        <v>Real</v>
      </c>
      <c r="G11726" s="8">
        <f t="shared" si="1"/>
        <v>3</v>
      </c>
      <c r="H11726" s="14">
        <f t="shared" si="2"/>
        <v>3</v>
      </c>
      <c r="I11726" s="15">
        <f t="shared" si="3"/>
        <v>13</v>
      </c>
    </row>
    <row r="11727">
      <c r="A11727" s="8" t="str">
        <f>IFERROR(__xludf.DUMMYFUNCTION("IF('(INGESTA)Datos_consumo_datadis'!A11727&lt;&gt;"""",SPLIT('(INGESTA)Datos_consumo_datadis'!A:A,"",""),"""")"),"ES0031408323131005HX0F")</f>
        <v>ES0031408323131005HX0F</v>
      </c>
      <c r="B11727" s="12">
        <f>IFERROR(__xludf.DUMMYFUNCTION("""COMPUTED_VALUE"""),45354.0)</f>
        <v>45354</v>
      </c>
      <c r="C11727" s="13">
        <f>IFERROR(__xludf.DUMMYFUNCTION("""COMPUTED_VALUE"""),0.5833333333333334)</f>
        <v>0.5833333333</v>
      </c>
      <c r="D11727" s="8">
        <f>IFERROR(__xludf.DUMMYFUNCTION("""COMPUTED_VALUE"""),0.477)</f>
        <v>0.477</v>
      </c>
      <c r="E11727" s="8" t="str">
        <f>IFERROR(__xludf.DUMMYFUNCTION("""COMPUTED_VALUE"""),"Real")</f>
        <v>Real</v>
      </c>
      <c r="G11727" s="8">
        <f t="shared" si="1"/>
        <v>3</v>
      </c>
      <c r="H11727" s="14">
        <f t="shared" si="2"/>
        <v>3</v>
      </c>
      <c r="I11727" s="15">
        <f t="shared" si="3"/>
        <v>14</v>
      </c>
    </row>
    <row r="11728">
      <c r="A11728" s="8" t="str">
        <f>IFERROR(__xludf.DUMMYFUNCTION("IF('(INGESTA)Datos_consumo_datadis'!A11728&lt;&gt;"""",SPLIT('(INGESTA)Datos_consumo_datadis'!A:A,"",""),"""")"),"ES0031408323131005HX0F")</f>
        <v>ES0031408323131005HX0F</v>
      </c>
      <c r="B11728" s="12">
        <f>IFERROR(__xludf.DUMMYFUNCTION("""COMPUTED_VALUE"""),45354.0)</f>
        <v>45354</v>
      </c>
      <c r="C11728" s="13">
        <f>IFERROR(__xludf.DUMMYFUNCTION("""COMPUTED_VALUE"""),0.625)</f>
        <v>0.625</v>
      </c>
      <c r="D11728" s="8">
        <f>IFERROR(__xludf.DUMMYFUNCTION("""COMPUTED_VALUE"""),1.651)</f>
        <v>1.651</v>
      </c>
      <c r="E11728" s="8" t="str">
        <f>IFERROR(__xludf.DUMMYFUNCTION("""COMPUTED_VALUE"""),"Real")</f>
        <v>Real</v>
      </c>
      <c r="G11728" s="8">
        <f t="shared" si="1"/>
        <v>3</v>
      </c>
      <c r="H11728" s="14">
        <f t="shared" si="2"/>
        <v>3</v>
      </c>
      <c r="I11728" s="15">
        <f t="shared" si="3"/>
        <v>15</v>
      </c>
    </row>
    <row r="11729">
      <c r="A11729" s="8" t="str">
        <f>IFERROR(__xludf.DUMMYFUNCTION("IF('(INGESTA)Datos_consumo_datadis'!A11729&lt;&gt;"""",SPLIT('(INGESTA)Datos_consumo_datadis'!A:A,"",""),"""")"),"ES0031408323131005HX0F")</f>
        <v>ES0031408323131005HX0F</v>
      </c>
      <c r="B11729" s="12">
        <f>IFERROR(__xludf.DUMMYFUNCTION("""COMPUTED_VALUE"""),45354.0)</f>
        <v>45354</v>
      </c>
      <c r="C11729" s="13">
        <f>IFERROR(__xludf.DUMMYFUNCTION("""COMPUTED_VALUE"""),0.6666666666666666)</f>
        <v>0.6666666667</v>
      </c>
      <c r="D11729" s="8">
        <f>IFERROR(__xludf.DUMMYFUNCTION("""COMPUTED_VALUE"""),2.649)</f>
        <v>2.649</v>
      </c>
      <c r="E11729" s="8" t="str">
        <f>IFERROR(__xludf.DUMMYFUNCTION("""COMPUTED_VALUE"""),"Real")</f>
        <v>Real</v>
      </c>
      <c r="G11729" s="8">
        <f t="shared" si="1"/>
        <v>3</v>
      </c>
      <c r="H11729" s="14">
        <f t="shared" si="2"/>
        <v>3</v>
      </c>
      <c r="I11729" s="15">
        <f t="shared" si="3"/>
        <v>16</v>
      </c>
    </row>
    <row r="11730">
      <c r="A11730" s="8" t="str">
        <f>IFERROR(__xludf.DUMMYFUNCTION("IF('(INGESTA)Datos_consumo_datadis'!A11730&lt;&gt;"""",SPLIT('(INGESTA)Datos_consumo_datadis'!A:A,"",""),"""")"),"ES0031408323131005HX0F")</f>
        <v>ES0031408323131005HX0F</v>
      </c>
      <c r="B11730" s="12">
        <f>IFERROR(__xludf.DUMMYFUNCTION("""COMPUTED_VALUE"""),45354.0)</f>
        <v>45354</v>
      </c>
      <c r="C11730" s="13">
        <f>IFERROR(__xludf.DUMMYFUNCTION("""COMPUTED_VALUE"""),0.7083333333333334)</f>
        <v>0.7083333333</v>
      </c>
      <c r="D11730" s="8">
        <f>IFERROR(__xludf.DUMMYFUNCTION("""COMPUTED_VALUE"""),2.053)</f>
        <v>2.053</v>
      </c>
      <c r="E11730" s="8" t="str">
        <f>IFERROR(__xludf.DUMMYFUNCTION("""COMPUTED_VALUE"""),"Real")</f>
        <v>Real</v>
      </c>
      <c r="G11730" s="8">
        <f t="shared" si="1"/>
        <v>3</v>
      </c>
      <c r="H11730" s="14">
        <f t="shared" si="2"/>
        <v>3</v>
      </c>
      <c r="I11730" s="15">
        <f t="shared" si="3"/>
        <v>17</v>
      </c>
    </row>
    <row r="11731">
      <c r="A11731" s="8" t="str">
        <f>IFERROR(__xludf.DUMMYFUNCTION("IF('(INGESTA)Datos_consumo_datadis'!A11731&lt;&gt;"""",SPLIT('(INGESTA)Datos_consumo_datadis'!A:A,"",""),"""")"),"ES0031408323131005HX0F")</f>
        <v>ES0031408323131005HX0F</v>
      </c>
      <c r="B11731" s="12">
        <f>IFERROR(__xludf.DUMMYFUNCTION("""COMPUTED_VALUE"""),45354.0)</f>
        <v>45354</v>
      </c>
      <c r="C11731" s="13">
        <f>IFERROR(__xludf.DUMMYFUNCTION("""COMPUTED_VALUE"""),0.75)</f>
        <v>0.75</v>
      </c>
      <c r="D11731" s="8">
        <f>IFERROR(__xludf.DUMMYFUNCTION("""COMPUTED_VALUE"""),0.988)</f>
        <v>0.988</v>
      </c>
      <c r="E11731" s="8" t="str">
        <f>IFERROR(__xludf.DUMMYFUNCTION("""COMPUTED_VALUE"""),"Real")</f>
        <v>Real</v>
      </c>
      <c r="G11731" s="8">
        <f t="shared" si="1"/>
        <v>3</v>
      </c>
      <c r="H11731" s="14">
        <f t="shared" si="2"/>
        <v>3</v>
      </c>
      <c r="I11731" s="15">
        <f t="shared" si="3"/>
        <v>18</v>
      </c>
    </row>
    <row r="11732">
      <c r="A11732" s="8" t="str">
        <f>IFERROR(__xludf.DUMMYFUNCTION("IF('(INGESTA)Datos_consumo_datadis'!A11732&lt;&gt;"""",SPLIT('(INGESTA)Datos_consumo_datadis'!A:A,"",""),"""")"),"ES0031408323131005HX0F")</f>
        <v>ES0031408323131005HX0F</v>
      </c>
      <c r="B11732" s="12">
        <f>IFERROR(__xludf.DUMMYFUNCTION("""COMPUTED_VALUE"""),45354.0)</f>
        <v>45354</v>
      </c>
      <c r="C11732" s="13">
        <f>IFERROR(__xludf.DUMMYFUNCTION("""COMPUTED_VALUE"""),0.7916666666666666)</f>
        <v>0.7916666667</v>
      </c>
      <c r="D11732" s="8">
        <f>IFERROR(__xludf.DUMMYFUNCTION("""COMPUTED_VALUE"""),0.561)</f>
        <v>0.561</v>
      </c>
      <c r="E11732" s="8" t="str">
        <f>IFERROR(__xludf.DUMMYFUNCTION("""COMPUTED_VALUE"""),"Real")</f>
        <v>Real</v>
      </c>
      <c r="G11732" s="8">
        <f t="shared" si="1"/>
        <v>3</v>
      </c>
      <c r="H11732" s="14">
        <f t="shared" si="2"/>
        <v>3</v>
      </c>
      <c r="I11732" s="15">
        <f t="shared" si="3"/>
        <v>19</v>
      </c>
    </row>
    <row r="11733">
      <c r="A11733" s="8" t="str">
        <f>IFERROR(__xludf.DUMMYFUNCTION("IF('(INGESTA)Datos_consumo_datadis'!A11733&lt;&gt;"""",SPLIT('(INGESTA)Datos_consumo_datadis'!A:A,"",""),"""")"),"ES0031408323131005HX0F")</f>
        <v>ES0031408323131005HX0F</v>
      </c>
      <c r="B11733" s="12">
        <f>IFERROR(__xludf.DUMMYFUNCTION("""COMPUTED_VALUE"""),45354.0)</f>
        <v>45354</v>
      </c>
      <c r="C11733" s="13">
        <f>IFERROR(__xludf.DUMMYFUNCTION("""COMPUTED_VALUE"""),0.8333333333333334)</f>
        <v>0.8333333333</v>
      </c>
      <c r="D11733" s="8">
        <f>IFERROR(__xludf.DUMMYFUNCTION("""COMPUTED_VALUE"""),0.808)</f>
        <v>0.808</v>
      </c>
      <c r="E11733" s="8" t="str">
        <f>IFERROR(__xludf.DUMMYFUNCTION("""COMPUTED_VALUE"""),"Real")</f>
        <v>Real</v>
      </c>
      <c r="G11733" s="8">
        <f t="shared" si="1"/>
        <v>3</v>
      </c>
      <c r="H11733" s="14">
        <f t="shared" si="2"/>
        <v>3</v>
      </c>
      <c r="I11733" s="15">
        <f t="shared" si="3"/>
        <v>20</v>
      </c>
    </row>
    <row r="11734">
      <c r="A11734" s="8" t="str">
        <f>IFERROR(__xludf.DUMMYFUNCTION("IF('(INGESTA)Datos_consumo_datadis'!A11734&lt;&gt;"""",SPLIT('(INGESTA)Datos_consumo_datadis'!A:A,"",""),"""")"),"ES0031408323131005HX0F")</f>
        <v>ES0031408323131005HX0F</v>
      </c>
      <c r="B11734" s="12">
        <f>IFERROR(__xludf.DUMMYFUNCTION("""COMPUTED_VALUE"""),45354.0)</f>
        <v>45354</v>
      </c>
      <c r="C11734" s="13">
        <f>IFERROR(__xludf.DUMMYFUNCTION("""COMPUTED_VALUE"""),0.875)</f>
        <v>0.875</v>
      </c>
      <c r="D11734" s="8">
        <f>IFERROR(__xludf.DUMMYFUNCTION("""COMPUTED_VALUE"""),0.459)</f>
        <v>0.459</v>
      </c>
      <c r="E11734" s="8" t="str">
        <f>IFERROR(__xludf.DUMMYFUNCTION("""COMPUTED_VALUE"""),"Real")</f>
        <v>Real</v>
      </c>
      <c r="G11734" s="8">
        <f t="shared" si="1"/>
        <v>3</v>
      </c>
      <c r="H11734" s="14">
        <f t="shared" si="2"/>
        <v>3</v>
      </c>
      <c r="I11734" s="15">
        <f t="shared" si="3"/>
        <v>21</v>
      </c>
    </row>
    <row r="11735">
      <c r="A11735" s="8" t="str">
        <f>IFERROR(__xludf.DUMMYFUNCTION("IF('(INGESTA)Datos_consumo_datadis'!A11735&lt;&gt;"""",SPLIT('(INGESTA)Datos_consumo_datadis'!A:A,"",""),"""")"),"ES0031408323131005HX0F")</f>
        <v>ES0031408323131005HX0F</v>
      </c>
      <c r="B11735" s="12">
        <f>IFERROR(__xludf.DUMMYFUNCTION("""COMPUTED_VALUE"""),45354.0)</f>
        <v>45354</v>
      </c>
      <c r="C11735" s="13">
        <f>IFERROR(__xludf.DUMMYFUNCTION("""COMPUTED_VALUE"""),0.9166666666666666)</f>
        <v>0.9166666667</v>
      </c>
      <c r="D11735" s="8">
        <f>IFERROR(__xludf.DUMMYFUNCTION("""COMPUTED_VALUE"""),1.554)</f>
        <v>1.554</v>
      </c>
      <c r="E11735" s="8" t="str">
        <f>IFERROR(__xludf.DUMMYFUNCTION("""COMPUTED_VALUE"""),"Real")</f>
        <v>Real</v>
      </c>
      <c r="G11735" s="8">
        <f t="shared" si="1"/>
        <v>3</v>
      </c>
      <c r="H11735" s="14">
        <f t="shared" si="2"/>
        <v>3</v>
      </c>
      <c r="I11735" s="15">
        <f t="shared" si="3"/>
        <v>22</v>
      </c>
    </row>
    <row r="11736">
      <c r="A11736" s="8" t="str">
        <f>IFERROR(__xludf.DUMMYFUNCTION("IF('(INGESTA)Datos_consumo_datadis'!A11736&lt;&gt;"""",SPLIT('(INGESTA)Datos_consumo_datadis'!A:A,"",""),"""")"),"ES0031408323131005HX0F")</f>
        <v>ES0031408323131005HX0F</v>
      </c>
      <c r="B11736" s="12">
        <f>IFERROR(__xludf.DUMMYFUNCTION("""COMPUTED_VALUE"""),45354.0)</f>
        <v>45354</v>
      </c>
      <c r="C11736" s="13">
        <f>IFERROR(__xludf.DUMMYFUNCTION("""COMPUTED_VALUE"""),0.9583333333333334)</f>
        <v>0.9583333333</v>
      </c>
      <c r="D11736" s="8">
        <f>IFERROR(__xludf.DUMMYFUNCTION("""COMPUTED_VALUE"""),0.594)</f>
        <v>0.594</v>
      </c>
      <c r="E11736" s="8" t="str">
        <f>IFERROR(__xludf.DUMMYFUNCTION("""COMPUTED_VALUE"""),"Real")</f>
        <v>Real</v>
      </c>
      <c r="G11736" s="8">
        <f t="shared" si="1"/>
        <v>3</v>
      </c>
      <c r="H11736" s="14">
        <f t="shared" si="2"/>
        <v>3</v>
      </c>
      <c r="I11736" s="15">
        <f t="shared" si="3"/>
        <v>23</v>
      </c>
    </row>
    <row r="11737">
      <c r="A11737" s="8" t="str">
        <f>IFERROR(__xludf.DUMMYFUNCTION("IF('(INGESTA)Datos_consumo_datadis'!A11737&lt;&gt;"""",SPLIT('(INGESTA)Datos_consumo_datadis'!A:A,"",""),"""")"),"ES0031408323131005HX0F")</f>
        <v>ES0031408323131005HX0F</v>
      </c>
      <c r="B11737" s="12">
        <f>IFERROR(__xludf.DUMMYFUNCTION("""COMPUTED_VALUE"""),45354.0)</f>
        <v>45354</v>
      </c>
      <c r="C11737" s="16">
        <f>IFERROR(__xludf.DUMMYFUNCTION("""COMPUTED_VALUE"""),1.0)</f>
        <v>1</v>
      </c>
      <c r="D11737" s="8">
        <f>IFERROR(__xludf.DUMMYFUNCTION("""COMPUTED_VALUE"""),0.561)</f>
        <v>0.561</v>
      </c>
      <c r="E11737" s="8" t="str">
        <f>IFERROR(__xludf.DUMMYFUNCTION("""COMPUTED_VALUE"""),"Real")</f>
        <v>Real</v>
      </c>
      <c r="G11737" s="8">
        <f t="shared" si="1"/>
        <v>3</v>
      </c>
      <c r="H11737" s="14">
        <f t="shared" si="2"/>
        <v>3</v>
      </c>
      <c r="I11737" s="15">
        <f t="shared" si="3"/>
        <v>0</v>
      </c>
    </row>
    <row r="11738">
      <c r="A11738" s="8" t="str">
        <f>IFERROR(__xludf.DUMMYFUNCTION("IF('(INGESTA)Datos_consumo_datadis'!A11738&lt;&gt;"""",SPLIT('(INGESTA)Datos_consumo_datadis'!A:A,"",""),"""")"),"ES0031408323131005HX0F")</f>
        <v>ES0031408323131005HX0F</v>
      </c>
      <c r="B11738" s="12">
        <f>IFERROR(__xludf.DUMMYFUNCTION("""COMPUTED_VALUE"""),45355.0)</f>
        <v>45355</v>
      </c>
      <c r="C11738" s="13">
        <f>IFERROR(__xludf.DUMMYFUNCTION("""COMPUTED_VALUE"""),0.041666666666666664)</f>
        <v>0.04166666667</v>
      </c>
      <c r="D11738" s="8">
        <f>IFERROR(__xludf.DUMMYFUNCTION("""COMPUTED_VALUE"""),0.51)</f>
        <v>0.51</v>
      </c>
      <c r="E11738" s="8" t="str">
        <f>IFERROR(__xludf.DUMMYFUNCTION("""COMPUTED_VALUE"""),"Real")</f>
        <v>Real</v>
      </c>
      <c r="G11738" s="8">
        <f t="shared" si="1"/>
        <v>3</v>
      </c>
      <c r="H11738" s="14">
        <f t="shared" si="2"/>
        <v>4</v>
      </c>
      <c r="I11738" s="15">
        <f t="shared" si="3"/>
        <v>1</v>
      </c>
    </row>
    <row r="11739">
      <c r="A11739" s="8" t="str">
        <f>IFERROR(__xludf.DUMMYFUNCTION("IF('(INGESTA)Datos_consumo_datadis'!A11739&lt;&gt;"""",SPLIT('(INGESTA)Datos_consumo_datadis'!A:A,"",""),"""")"),"ES0031408323131005HX0F")</f>
        <v>ES0031408323131005HX0F</v>
      </c>
      <c r="B11739" s="12">
        <f>IFERROR(__xludf.DUMMYFUNCTION("""COMPUTED_VALUE"""),45355.0)</f>
        <v>45355</v>
      </c>
      <c r="C11739" s="13">
        <f>IFERROR(__xludf.DUMMYFUNCTION("""COMPUTED_VALUE"""),0.08333333333333333)</f>
        <v>0.08333333333</v>
      </c>
      <c r="D11739" s="8">
        <f>IFERROR(__xludf.DUMMYFUNCTION("""COMPUTED_VALUE"""),0.07)</f>
        <v>0.07</v>
      </c>
      <c r="E11739" s="8" t="str">
        <f>IFERROR(__xludf.DUMMYFUNCTION("""COMPUTED_VALUE"""),"Real")</f>
        <v>Real</v>
      </c>
      <c r="G11739" s="8">
        <f t="shared" si="1"/>
        <v>3</v>
      </c>
      <c r="H11739" s="14">
        <f t="shared" si="2"/>
        <v>4</v>
      </c>
      <c r="I11739" s="15">
        <f t="shared" si="3"/>
        <v>2</v>
      </c>
    </row>
    <row r="11740">
      <c r="A11740" s="8" t="str">
        <f>IFERROR(__xludf.DUMMYFUNCTION("IF('(INGESTA)Datos_consumo_datadis'!A11740&lt;&gt;"""",SPLIT('(INGESTA)Datos_consumo_datadis'!A:A,"",""),"""")"),"ES0031408323131005HX0F")</f>
        <v>ES0031408323131005HX0F</v>
      </c>
      <c r="B11740" s="12">
        <f>IFERROR(__xludf.DUMMYFUNCTION("""COMPUTED_VALUE"""),45355.0)</f>
        <v>45355</v>
      </c>
      <c r="C11740" s="13">
        <f>IFERROR(__xludf.DUMMYFUNCTION("""COMPUTED_VALUE"""),0.125)</f>
        <v>0.125</v>
      </c>
      <c r="D11740" s="8">
        <f>IFERROR(__xludf.DUMMYFUNCTION("""COMPUTED_VALUE"""),0.022)</f>
        <v>0.022</v>
      </c>
      <c r="E11740" s="8" t="str">
        <f>IFERROR(__xludf.DUMMYFUNCTION("""COMPUTED_VALUE"""),"Real")</f>
        <v>Real</v>
      </c>
      <c r="G11740" s="8">
        <f t="shared" si="1"/>
        <v>3</v>
      </c>
      <c r="H11740" s="14">
        <f t="shared" si="2"/>
        <v>4</v>
      </c>
      <c r="I11740" s="15">
        <f t="shared" si="3"/>
        <v>3</v>
      </c>
    </row>
    <row r="11741">
      <c r="A11741" s="8" t="str">
        <f>IFERROR(__xludf.DUMMYFUNCTION("IF('(INGESTA)Datos_consumo_datadis'!A11741&lt;&gt;"""",SPLIT('(INGESTA)Datos_consumo_datadis'!A:A,"",""),"""")"),"ES0031408323131005HX0F")</f>
        <v>ES0031408323131005HX0F</v>
      </c>
      <c r="B11741" s="12">
        <f>IFERROR(__xludf.DUMMYFUNCTION("""COMPUTED_VALUE"""),45355.0)</f>
        <v>45355</v>
      </c>
      <c r="C11741" s="13">
        <f>IFERROR(__xludf.DUMMYFUNCTION("""COMPUTED_VALUE"""),0.16666666666666666)</f>
        <v>0.1666666667</v>
      </c>
      <c r="D11741" s="8">
        <f>IFERROR(__xludf.DUMMYFUNCTION("""COMPUTED_VALUE"""),0.095)</f>
        <v>0.095</v>
      </c>
      <c r="E11741" s="8" t="str">
        <f>IFERROR(__xludf.DUMMYFUNCTION("""COMPUTED_VALUE"""),"Real")</f>
        <v>Real</v>
      </c>
      <c r="G11741" s="8">
        <f t="shared" si="1"/>
        <v>3</v>
      </c>
      <c r="H11741" s="14">
        <f t="shared" si="2"/>
        <v>4</v>
      </c>
      <c r="I11741" s="15">
        <f t="shared" si="3"/>
        <v>4</v>
      </c>
    </row>
    <row r="11742">
      <c r="A11742" s="8" t="str">
        <f>IFERROR(__xludf.DUMMYFUNCTION("IF('(INGESTA)Datos_consumo_datadis'!A11742&lt;&gt;"""",SPLIT('(INGESTA)Datos_consumo_datadis'!A:A,"",""),"""")"),"ES0031408323131005HX0F")</f>
        <v>ES0031408323131005HX0F</v>
      </c>
      <c r="B11742" s="12">
        <f>IFERROR(__xludf.DUMMYFUNCTION("""COMPUTED_VALUE"""),45355.0)</f>
        <v>45355</v>
      </c>
      <c r="C11742" s="13">
        <f>IFERROR(__xludf.DUMMYFUNCTION("""COMPUTED_VALUE"""),0.20833333333333334)</f>
        <v>0.2083333333</v>
      </c>
      <c r="D11742" s="8">
        <f>IFERROR(__xludf.DUMMYFUNCTION("""COMPUTED_VALUE"""),0.128)</f>
        <v>0.128</v>
      </c>
      <c r="E11742" s="8" t="str">
        <f>IFERROR(__xludf.DUMMYFUNCTION("""COMPUTED_VALUE"""),"Real")</f>
        <v>Real</v>
      </c>
      <c r="G11742" s="8">
        <f t="shared" si="1"/>
        <v>3</v>
      </c>
      <c r="H11742" s="14">
        <f t="shared" si="2"/>
        <v>4</v>
      </c>
      <c r="I11742" s="15">
        <f t="shared" si="3"/>
        <v>5</v>
      </c>
    </row>
    <row r="11743">
      <c r="A11743" s="8" t="str">
        <f>IFERROR(__xludf.DUMMYFUNCTION("IF('(INGESTA)Datos_consumo_datadis'!A11743&lt;&gt;"""",SPLIT('(INGESTA)Datos_consumo_datadis'!A:A,"",""),"""")"),"ES0031408323131005HX0F")</f>
        <v>ES0031408323131005HX0F</v>
      </c>
      <c r="B11743" s="12">
        <f>IFERROR(__xludf.DUMMYFUNCTION("""COMPUTED_VALUE"""),45355.0)</f>
        <v>45355</v>
      </c>
      <c r="C11743" s="13">
        <f>IFERROR(__xludf.DUMMYFUNCTION("""COMPUTED_VALUE"""),0.25)</f>
        <v>0.25</v>
      </c>
      <c r="D11743" s="8">
        <f>IFERROR(__xludf.DUMMYFUNCTION("""COMPUTED_VALUE"""),0.385)</f>
        <v>0.385</v>
      </c>
      <c r="E11743" s="8" t="str">
        <f>IFERROR(__xludf.DUMMYFUNCTION("""COMPUTED_VALUE"""),"Real")</f>
        <v>Real</v>
      </c>
      <c r="G11743" s="8">
        <f t="shared" si="1"/>
        <v>3</v>
      </c>
      <c r="H11743" s="14">
        <f t="shared" si="2"/>
        <v>4</v>
      </c>
      <c r="I11743" s="15">
        <f t="shared" si="3"/>
        <v>6</v>
      </c>
    </row>
    <row r="11744">
      <c r="A11744" s="8" t="str">
        <f>IFERROR(__xludf.DUMMYFUNCTION("IF('(INGESTA)Datos_consumo_datadis'!A11744&lt;&gt;"""",SPLIT('(INGESTA)Datos_consumo_datadis'!A:A,"",""),"""")"),"ES0031408323131005HX0F")</f>
        <v>ES0031408323131005HX0F</v>
      </c>
      <c r="B11744" s="12">
        <f>IFERROR(__xludf.DUMMYFUNCTION("""COMPUTED_VALUE"""),45355.0)</f>
        <v>45355</v>
      </c>
      <c r="C11744" s="13">
        <f>IFERROR(__xludf.DUMMYFUNCTION("""COMPUTED_VALUE"""),0.2916666666666667)</f>
        <v>0.2916666667</v>
      </c>
      <c r="D11744" s="8">
        <f>IFERROR(__xludf.DUMMYFUNCTION("""COMPUTED_VALUE"""),0.086)</f>
        <v>0.086</v>
      </c>
      <c r="E11744" s="8" t="str">
        <f>IFERROR(__xludf.DUMMYFUNCTION("""COMPUTED_VALUE"""),"Real")</f>
        <v>Real</v>
      </c>
      <c r="G11744" s="8">
        <f t="shared" si="1"/>
        <v>3</v>
      </c>
      <c r="H11744" s="14">
        <f t="shared" si="2"/>
        <v>4</v>
      </c>
      <c r="I11744" s="15">
        <f t="shared" si="3"/>
        <v>7</v>
      </c>
    </row>
    <row r="11745">
      <c r="A11745" s="8" t="str">
        <f>IFERROR(__xludf.DUMMYFUNCTION("IF('(INGESTA)Datos_consumo_datadis'!A11745&lt;&gt;"""",SPLIT('(INGESTA)Datos_consumo_datadis'!A:A,"",""),"""")"),"ES0031408323131005HX0F")</f>
        <v>ES0031408323131005HX0F</v>
      </c>
      <c r="B11745" s="12">
        <f>IFERROR(__xludf.DUMMYFUNCTION("""COMPUTED_VALUE"""),45355.0)</f>
        <v>45355</v>
      </c>
      <c r="C11745" s="13">
        <f>IFERROR(__xludf.DUMMYFUNCTION("""COMPUTED_VALUE"""),0.3333333333333333)</f>
        <v>0.3333333333</v>
      </c>
      <c r="D11745" s="8">
        <f>IFERROR(__xludf.DUMMYFUNCTION("""COMPUTED_VALUE"""),0.333)</f>
        <v>0.333</v>
      </c>
      <c r="E11745" s="8" t="str">
        <f>IFERROR(__xludf.DUMMYFUNCTION("""COMPUTED_VALUE"""),"Real")</f>
        <v>Real</v>
      </c>
      <c r="G11745" s="8">
        <f t="shared" si="1"/>
        <v>3</v>
      </c>
      <c r="H11745" s="14">
        <f t="shared" si="2"/>
        <v>4</v>
      </c>
      <c r="I11745" s="15">
        <f t="shared" si="3"/>
        <v>8</v>
      </c>
    </row>
    <row r="11746">
      <c r="A11746" s="8" t="str">
        <f>IFERROR(__xludf.DUMMYFUNCTION("IF('(INGESTA)Datos_consumo_datadis'!A11746&lt;&gt;"""",SPLIT('(INGESTA)Datos_consumo_datadis'!A:A,"",""),"""")"),"ES0031408323131005HX0F")</f>
        <v>ES0031408323131005HX0F</v>
      </c>
      <c r="B11746" s="12">
        <f>IFERROR(__xludf.DUMMYFUNCTION("""COMPUTED_VALUE"""),45355.0)</f>
        <v>45355</v>
      </c>
      <c r="C11746" s="13">
        <f>IFERROR(__xludf.DUMMYFUNCTION("""COMPUTED_VALUE"""),0.375)</f>
        <v>0.375</v>
      </c>
      <c r="D11746" s="8">
        <f>IFERROR(__xludf.DUMMYFUNCTION("""COMPUTED_VALUE"""),0.184)</f>
        <v>0.184</v>
      </c>
      <c r="E11746" s="8" t="str">
        <f>IFERROR(__xludf.DUMMYFUNCTION("""COMPUTED_VALUE"""),"Real")</f>
        <v>Real</v>
      </c>
      <c r="G11746" s="8">
        <f t="shared" si="1"/>
        <v>3</v>
      </c>
      <c r="H11746" s="14">
        <f t="shared" si="2"/>
        <v>4</v>
      </c>
      <c r="I11746" s="15">
        <f t="shared" si="3"/>
        <v>9</v>
      </c>
    </row>
    <row r="11747">
      <c r="A11747" s="8" t="str">
        <f>IFERROR(__xludf.DUMMYFUNCTION("IF('(INGESTA)Datos_consumo_datadis'!A11747&lt;&gt;"""",SPLIT('(INGESTA)Datos_consumo_datadis'!A:A,"",""),"""")"),"ES0031408323131005HX0F")</f>
        <v>ES0031408323131005HX0F</v>
      </c>
      <c r="B11747" s="12">
        <f>IFERROR(__xludf.DUMMYFUNCTION("""COMPUTED_VALUE"""),45355.0)</f>
        <v>45355</v>
      </c>
      <c r="C11747" s="13">
        <f>IFERROR(__xludf.DUMMYFUNCTION("""COMPUTED_VALUE"""),0.4166666666666667)</f>
        <v>0.4166666667</v>
      </c>
      <c r="D11747" s="8">
        <f>IFERROR(__xludf.DUMMYFUNCTION("""COMPUTED_VALUE"""),0.399)</f>
        <v>0.399</v>
      </c>
      <c r="E11747" s="8" t="str">
        <f>IFERROR(__xludf.DUMMYFUNCTION("""COMPUTED_VALUE"""),"Real")</f>
        <v>Real</v>
      </c>
      <c r="G11747" s="8">
        <f t="shared" si="1"/>
        <v>3</v>
      </c>
      <c r="H11747" s="14">
        <f t="shared" si="2"/>
        <v>4</v>
      </c>
      <c r="I11747" s="15">
        <f t="shared" si="3"/>
        <v>10</v>
      </c>
    </row>
    <row r="11748">
      <c r="A11748" s="8" t="str">
        <f>IFERROR(__xludf.DUMMYFUNCTION("IF('(INGESTA)Datos_consumo_datadis'!A11748&lt;&gt;"""",SPLIT('(INGESTA)Datos_consumo_datadis'!A:A,"",""),"""")"),"ES0031408323131005HX0F")</f>
        <v>ES0031408323131005HX0F</v>
      </c>
      <c r="B11748" s="12">
        <f>IFERROR(__xludf.DUMMYFUNCTION("""COMPUTED_VALUE"""),45355.0)</f>
        <v>45355</v>
      </c>
      <c r="C11748" s="13">
        <f>IFERROR(__xludf.DUMMYFUNCTION("""COMPUTED_VALUE"""),0.4583333333333333)</f>
        <v>0.4583333333</v>
      </c>
      <c r="D11748" s="8">
        <f>IFERROR(__xludf.DUMMYFUNCTION("""COMPUTED_VALUE"""),0.098)</f>
        <v>0.098</v>
      </c>
      <c r="E11748" s="8" t="str">
        <f>IFERROR(__xludf.DUMMYFUNCTION("""COMPUTED_VALUE"""),"Real")</f>
        <v>Real</v>
      </c>
      <c r="G11748" s="8">
        <f t="shared" si="1"/>
        <v>3</v>
      </c>
      <c r="H11748" s="14">
        <f t="shared" si="2"/>
        <v>4</v>
      </c>
      <c r="I11748" s="15">
        <f t="shared" si="3"/>
        <v>11</v>
      </c>
    </row>
    <row r="11749">
      <c r="A11749" s="8" t="str">
        <f>IFERROR(__xludf.DUMMYFUNCTION("IF('(INGESTA)Datos_consumo_datadis'!A11749&lt;&gt;"""",SPLIT('(INGESTA)Datos_consumo_datadis'!A:A,"",""),"""")"),"ES0031408323131005HX0F")</f>
        <v>ES0031408323131005HX0F</v>
      </c>
      <c r="B11749" s="12">
        <f>IFERROR(__xludf.DUMMYFUNCTION("""COMPUTED_VALUE"""),45355.0)</f>
        <v>45355</v>
      </c>
      <c r="C11749" s="13">
        <f>IFERROR(__xludf.DUMMYFUNCTION("""COMPUTED_VALUE"""),0.5)</f>
        <v>0.5</v>
      </c>
      <c r="D11749" s="8">
        <f>IFERROR(__xludf.DUMMYFUNCTION("""COMPUTED_VALUE"""),0.076)</f>
        <v>0.076</v>
      </c>
      <c r="E11749" s="8" t="str">
        <f>IFERROR(__xludf.DUMMYFUNCTION("""COMPUTED_VALUE"""),"Real")</f>
        <v>Real</v>
      </c>
      <c r="G11749" s="8">
        <f t="shared" si="1"/>
        <v>3</v>
      </c>
      <c r="H11749" s="14">
        <f t="shared" si="2"/>
        <v>4</v>
      </c>
      <c r="I11749" s="15">
        <f t="shared" si="3"/>
        <v>12</v>
      </c>
    </row>
    <row r="11750">
      <c r="A11750" s="8" t="str">
        <f>IFERROR(__xludf.DUMMYFUNCTION("IF('(INGESTA)Datos_consumo_datadis'!A11750&lt;&gt;"""",SPLIT('(INGESTA)Datos_consumo_datadis'!A:A,"",""),"""")"),"ES0031408323131005HX0F")</f>
        <v>ES0031408323131005HX0F</v>
      </c>
      <c r="B11750" s="12">
        <f>IFERROR(__xludf.DUMMYFUNCTION("""COMPUTED_VALUE"""),45355.0)</f>
        <v>45355</v>
      </c>
      <c r="C11750" s="13">
        <f>IFERROR(__xludf.DUMMYFUNCTION("""COMPUTED_VALUE"""),0.5416666666666666)</f>
        <v>0.5416666667</v>
      </c>
      <c r="D11750" s="8">
        <f>IFERROR(__xludf.DUMMYFUNCTION("""COMPUTED_VALUE"""),0.057)</f>
        <v>0.057</v>
      </c>
      <c r="E11750" s="8" t="str">
        <f>IFERROR(__xludf.DUMMYFUNCTION("""COMPUTED_VALUE"""),"Real")</f>
        <v>Real</v>
      </c>
      <c r="G11750" s="8">
        <f t="shared" si="1"/>
        <v>3</v>
      </c>
      <c r="H11750" s="14">
        <f t="shared" si="2"/>
        <v>4</v>
      </c>
      <c r="I11750" s="15">
        <f t="shared" si="3"/>
        <v>13</v>
      </c>
    </row>
    <row r="11751">
      <c r="A11751" s="8" t="str">
        <f>IFERROR(__xludf.DUMMYFUNCTION("IF('(INGESTA)Datos_consumo_datadis'!A11751&lt;&gt;"""",SPLIT('(INGESTA)Datos_consumo_datadis'!A:A,"",""),"""")"),"ES0031408323131005HX0F")</f>
        <v>ES0031408323131005HX0F</v>
      </c>
      <c r="B11751" s="12">
        <f>IFERROR(__xludf.DUMMYFUNCTION("""COMPUTED_VALUE"""),45355.0)</f>
        <v>45355</v>
      </c>
      <c r="C11751" s="13">
        <f>IFERROR(__xludf.DUMMYFUNCTION("""COMPUTED_VALUE"""),0.5833333333333334)</f>
        <v>0.5833333333</v>
      </c>
      <c r="D11751" s="8">
        <f>IFERROR(__xludf.DUMMYFUNCTION("""COMPUTED_VALUE"""),0.096)</f>
        <v>0.096</v>
      </c>
      <c r="E11751" s="8" t="str">
        <f>IFERROR(__xludf.DUMMYFUNCTION("""COMPUTED_VALUE"""),"Real")</f>
        <v>Real</v>
      </c>
      <c r="G11751" s="8">
        <f t="shared" si="1"/>
        <v>3</v>
      </c>
      <c r="H11751" s="14">
        <f t="shared" si="2"/>
        <v>4</v>
      </c>
      <c r="I11751" s="15">
        <f t="shared" si="3"/>
        <v>14</v>
      </c>
    </row>
    <row r="11752">
      <c r="A11752" s="8" t="str">
        <f>IFERROR(__xludf.DUMMYFUNCTION("IF('(INGESTA)Datos_consumo_datadis'!A11752&lt;&gt;"""",SPLIT('(INGESTA)Datos_consumo_datadis'!A:A,"",""),"""")"),"ES0031408323131005HX0F")</f>
        <v>ES0031408323131005HX0F</v>
      </c>
      <c r="B11752" s="12">
        <f>IFERROR(__xludf.DUMMYFUNCTION("""COMPUTED_VALUE"""),45355.0)</f>
        <v>45355</v>
      </c>
      <c r="C11752" s="13">
        <f>IFERROR(__xludf.DUMMYFUNCTION("""COMPUTED_VALUE"""),0.625)</f>
        <v>0.625</v>
      </c>
      <c r="D11752" s="8">
        <f>IFERROR(__xludf.DUMMYFUNCTION("""COMPUTED_VALUE"""),0.074)</f>
        <v>0.074</v>
      </c>
      <c r="E11752" s="8" t="str">
        <f>IFERROR(__xludf.DUMMYFUNCTION("""COMPUTED_VALUE"""),"Real")</f>
        <v>Real</v>
      </c>
      <c r="G11752" s="8">
        <f t="shared" si="1"/>
        <v>3</v>
      </c>
      <c r="H11752" s="14">
        <f t="shared" si="2"/>
        <v>4</v>
      </c>
      <c r="I11752" s="15">
        <f t="shared" si="3"/>
        <v>15</v>
      </c>
    </row>
    <row r="11753">
      <c r="A11753" s="8" t="str">
        <f>IFERROR(__xludf.DUMMYFUNCTION("IF('(INGESTA)Datos_consumo_datadis'!A11753&lt;&gt;"""",SPLIT('(INGESTA)Datos_consumo_datadis'!A:A,"",""),"""")"),"ES0031408323131005HX0F")</f>
        <v>ES0031408323131005HX0F</v>
      </c>
      <c r="B11753" s="12">
        <f>IFERROR(__xludf.DUMMYFUNCTION("""COMPUTED_VALUE"""),45355.0)</f>
        <v>45355</v>
      </c>
      <c r="C11753" s="13">
        <f>IFERROR(__xludf.DUMMYFUNCTION("""COMPUTED_VALUE"""),0.6666666666666666)</f>
        <v>0.6666666667</v>
      </c>
      <c r="D11753" s="8">
        <f>IFERROR(__xludf.DUMMYFUNCTION("""COMPUTED_VALUE"""),0.273)</f>
        <v>0.273</v>
      </c>
      <c r="E11753" s="8" t="str">
        <f>IFERROR(__xludf.DUMMYFUNCTION("""COMPUTED_VALUE"""),"Real")</f>
        <v>Real</v>
      </c>
      <c r="G11753" s="8">
        <f t="shared" si="1"/>
        <v>3</v>
      </c>
      <c r="H11753" s="14">
        <f t="shared" si="2"/>
        <v>4</v>
      </c>
      <c r="I11753" s="15">
        <f t="shared" si="3"/>
        <v>16</v>
      </c>
    </row>
    <row r="11754">
      <c r="A11754" s="8" t="str">
        <f>IFERROR(__xludf.DUMMYFUNCTION("IF('(INGESTA)Datos_consumo_datadis'!A11754&lt;&gt;"""",SPLIT('(INGESTA)Datos_consumo_datadis'!A:A,"",""),"""")"),"ES0031408323131005HX0F")</f>
        <v>ES0031408323131005HX0F</v>
      </c>
      <c r="B11754" s="12">
        <f>IFERROR(__xludf.DUMMYFUNCTION("""COMPUTED_VALUE"""),45355.0)</f>
        <v>45355</v>
      </c>
      <c r="C11754" s="13">
        <f>IFERROR(__xludf.DUMMYFUNCTION("""COMPUTED_VALUE"""),0.7083333333333334)</f>
        <v>0.7083333333</v>
      </c>
      <c r="D11754" s="8">
        <f>IFERROR(__xludf.DUMMYFUNCTION("""COMPUTED_VALUE"""),0.132)</f>
        <v>0.132</v>
      </c>
      <c r="E11754" s="8" t="str">
        <f>IFERROR(__xludf.DUMMYFUNCTION("""COMPUTED_VALUE"""),"Real")</f>
        <v>Real</v>
      </c>
      <c r="G11754" s="8">
        <f t="shared" si="1"/>
        <v>3</v>
      </c>
      <c r="H11754" s="14">
        <f t="shared" si="2"/>
        <v>4</v>
      </c>
      <c r="I11754" s="15">
        <f t="shared" si="3"/>
        <v>17</v>
      </c>
    </row>
    <row r="11755">
      <c r="A11755" s="8" t="str">
        <f>IFERROR(__xludf.DUMMYFUNCTION("IF('(INGESTA)Datos_consumo_datadis'!A11755&lt;&gt;"""",SPLIT('(INGESTA)Datos_consumo_datadis'!A:A,"",""),"""")"),"ES0031408323131005HX0F")</f>
        <v>ES0031408323131005HX0F</v>
      </c>
      <c r="B11755" s="12">
        <f>IFERROR(__xludf.DUMMYFUNCTION("""COMPUTED_VALUE"""),45355.0)</f>
        <v>45355</v>
      </c>
      <c r="C11755" s="13">
        <f>IFERROR(__xludf.DUMMYFUNCTION("""COMPUTED_VALUE"""),0.75)</f>
        <v>0.75</v>
      </c>
      <c r="D11755" s="8">
        <f>IFERROR(__xludf.DUMMYFUNCTION("""COMPUTED_VALUE"""),0.074)</f>
        <v>0.074</v>
      </c>
      <c r="E11755" s="8" t="str">
        <f>IFERROR(__xludf.DUMMYFUNCTION("""COMPUTED_VALUE"""),"Real")</f>
        <v>Real</v>
      </c>
      <c r="G11755" s="8">
        <f t="shared" si="1"/>
        <v>3</v>
      </c>
      <c r="H11755" s="14">
        <f t="shared" si="2"/>
        <v>4</v>
      </c>
      <c r="I11755" s="15">
        <f t="shared" si="3"/>
        <v>18</v>
      </c>
    </row>
    <row r="11756">
      <c r="A11756" s="8" t="str">
        <f>IFERROR(__xludf.DUMMYFUNCTION("IF('(INGESTA)Datos_consumo_datadis'!A11756&lt;&gt;"""",SPLIT('(INGESTA)Datos_consumo_datadis'!A:A,"",""),"""")"),"ES0031408323131005HX0F")</f>
        <v>ES0031408323131005HX0F</v>
      </c>
      <c r="B11756" s="12">
        <f>IFERROR(__xludf.DUMMYFUNCTION("""COMPUTED_VALUE"""),45355.0)</f>
        <v>45355</v>
      </c>
      <c r="C11756" s="13">
        <f>IFERROR(__xludf.DUMMYFUNCTION("""COMPUTED_VALUE"""),0.7916666666666666)</f>
        <v>0.7916666667</v>
      </c>
      <c r="D11756" s="8">
        <f>IFERROR(__xludf.DUMMYFUNCTION("""COMPUTED_VALUE"""),0.067)</f>
        <v>0.067</v>
      </c>
      <c r="E11756" s="8" t="str">
        <f>IFERROR(__xludf.DUMMYFUNCTION("""COMPUTED_VALUE"""),"Real")</f>
        <v>Real</v>
      </c>
      <c r="G11756" s="8">
        <f t="shared" si="1"/>
        <v>3</v>
      </c>
      <c r="H11756" s="14">
        <f t="shared" si="2"/>
        <v>4</v>
      </c>
      <c r="I11756" s="15">
        <f t="shared" si="3"/>
        <v>19</v>
      </c>
    </row>
    <row r="11757">
      <c r="A11757" s="8" t="str">
        <f>IFERROR(__xludf.DUMMYFUNCTION("IF('(INGESTA)Datos_consumo_datadis'!A11757&lt;&gt;"""",SPLIT('(INGESTA)Datos_consumo_datadis'!A:A,"",""),"""")"),"ES0031408323131005HX0F")</f>
        <v>ES0031408323131005HX0F</v>
      </c>
      <c r="B11757" s="12">
        <f>IFERROR(__xludf.DUMMYFUNCTION("""COMPUTED_VALUE"""),45355.0)</f>
        <v>45355</v>
      </c>
      <c r="C11757" s="13">
        <f>IFERROR(__xludf.DUMMYFUNCTION("""COMPUTED_VALUE"""),0.8333333333333334)</f>
        <v>0.8333333333</v>
      </c>
      <c r="D11757" s="8">
        <f>IFERROR(__xludf.DUMMYFUNCTION("""COMPUTED_VALUE"""),0.335)</f>
        <v>0.335</v>
      </c>
      <c r="E11757" s="8" t="str">
        <f>IFERROR(__xludf.DUMMYFUNCTION("""COMPUTED_VALUE"""),"Real")</f>
        <v>Real</v>
      </c>
      <c r="G11757" s="8">
        <f t="shared" si="1"/>
        <v>3</v>
      </c>
      <c r="H11757" s="14">
        <f t="shared" si="2"/>
        <v>4</v>
      </c>
      <c r="I11757" s="15">
        <f t="shared" si="3"/>
        <v>20</v>
      </c>
    </row>
    <row r="11758">
      <c r="A11758" s="8" t="str">
        <f>IFERROR(__xludf.DUMMYFUNCTION("IF('(INGESTA)Datos_consumo_datadis'!A11758&lt;&gt;"""",SPLIT('(INGESTA)Datos_consumo_datadis'!A:A,"",""),"""")"),"ES0031408323131005HX0F")</f>
        <v>ES0031408323131005HX0F</v>
      </c>
      <c r="B11758" s="12">
        <f>IFERROR(__xludf.DUMMYFUNCTION("""COMPUTED_VALUE"""),45355.0)</f>
        <v>45355</v>
      </c>
      <c r="C11758" s="13">
        <f>IFERROR(__xludf.DUMMYFUNCTION("""COMPUTED_VALUE"""),0.875)</f>
        <v>0.875</v>
      </c>
      <c r="D11758" s="8">
        <f>IFERROR(__xludf.DUMMYFUNCTION("""COMPUTED_VALUE"""),0.989)</f>
        <v>0.989</v>
      </c>
      <c r="E11758" s="8" t="str">
        <f>IFERROR(__xludf.DUMMYFUNCTION("""COMPUTED_VALUE"""),"Real")</f>
        <v>Real</v>
      </c>
      <c r="G11758" s="8">
        <f t="shared" si="1"/>
        <v>3</v>
      </c>
      <c r="H11758" s="14">
        <f t="shared" si="2"/>
        <v>4</v>
      </c>
      <c r="I11758" s="15">
        <f t="shared" si="3"/>
        <v>21</v>
      </c>
    </row>
    <row r="11759">
      <c r="A11759" s="8" t="str">
        <f>IFERROR(__xludf.DUMMYFUNCTION("IF('(INGESTA)Datos_consumo_datadis'!A11759&lt;&gt;"""",SPLIT('(INGESTA)Datos_consumo_datadis'!A:A,"",""),"""")"),"ES0031408323131005HX0F")</f>
        <v>ES0031408323131005HX0F</v>
      </c>
      <c r="B11759" s="12">
        <f>IFERROR(__xludf.DUMMYFUNCTION("""COMPUTED_VALUE"""),45355.0)</f>
        <v>45355</v>
      </c>
      <c r="C11759" s="13">
        <f>IFERROR(__xludf.DUMMYFUNCTION("""COMPUTED_VALUE"""),0.9166666666666666)</f>
        <v>0.9166666667</v>
      </c>
      <c r="D11759" s="8">
        <f>IFERROR(__xludf.DUMMYFUNCTION("""COMPUTED_VALUE"""),2.297)</f>
        <v>2.297</v>
      </c>
      <c r="E11759" s="8" t="str">
        <f>IFERROR(__xludf.DUMMYFUNCTION("""COMPUTED_VALUE"""),"Real")</f>
        <v>Real</v>
      </c>
      <c r="G11759" s="8">
        <f t="shared" si="1"/>
        <v>3</v>
      </c>
      <c r="H11759" s="14">
        <f t="shared" si="2"/>
        <v>4</v>
      </c>
      <c r="I11759" s="15">
        <f t="shared" si="3"/>
        <v>22</v>
      </c>
    </row>
    <row r="11760">
      <c r="A11760" s="8" t="str">
        <f>IFERROR(__xludf.DUMMYFUNCTION("IF('(INGESTA)Datos_consumo_datadis'!A11760&lt;&gt;"""",SPLIT('(INGESTA)Datos_consumo_datadis'!A:A,"",""),"""")"),"ES0031408323131005HX0F")</f>
        <v>ES0031408323131005HX0F</v>
      </c>
      <c r="B11760" s="12">
        <f>IFERROR(__xludf.DUMMYFUNCTION("""COMPUTED_VALUE"""),45355.0)</f>
        <v>45355</v>
      </c>
      <c r="C11760" s="13">
        <f>IFERROR(__xludf.DUMMYFUNCTION("""COMPUTED_VALUE"""),0.9583333333333334)</f>
        <v>0.9583333333</v>
      </c>
      <c r="D11760" s="8">
        <f>IFERROR(__xludf.DUMMYFUNCTION("""COMPUTED_VALUE"""),2.965)</f>
        <v>2.965</v>
      </c>
      <c r="E11760" s="8" t="str">
        <f>IFERROR(__xludf.DUMMYFUNCTION("""COMPUTED_VALUE"""),"Real")</f>
        <v>Real</v>
      </c>
      <c r="G11760" s="8">
        <f t="shared" si="1"/>
        <v>3</v>
      </c>
      <c r="H11760" s="14">
        <f t="shared" si="2"/>
        <v>4</v>
      </c>
      <c r="I11760" s="15">
        <f t="shared" si="3"/>
        <v>23</v>
      </c>
    </row>
    <row r="11761">
      <c r="A11761" s="8" t="str">
        <f>IFERROR(__xludf.DUMMYFUNCTION("IF('(INGESTA)Datos_consumo_datadis'!A11761&lt;&gt;"""",SPLIT('(INGESTA)Datos_consumo_datadis'!A:A,"",""),"""")"),"ES0031408323131005HX0F")</f>
        <v>ES0031408323131005HX0F</v>
      </c>
      <c r="B11761" s="12">
        <f>IFERROR(__xludf.DUMMYFUNCTION("""COMPUTED_VALUE"""),45355.0)</f>
        <v>45355</v>
      </c>
      <c r="C11761" s="16">
        <f>IFERROR(__xludf.DUMMYFUNCTION("""COMPUTED_VALUE"""),1.0)</f>
        <v>1</v>
      </c>
      <c r="D11761" s="8">
        <f>IFERROR(__xludf.DUMMYFUNCTION("""COMPUTED_VALUE"""),0.057)</f>
        <v>0.057</v>
      </c>
      <c r="E11761" s="8" t="str">
        <f>IFERROR(__xludf.DUMMYFUNCTION("""COMPUTED_VALUE"""),"Real")</f>
        <v>Real</v>
      </c>
      <c r="G11761" s="8">
        <f t="shared" si="1"/>
        <v>3</v>
      </c>
      <c r="H11761" s="14">
        <f t="shared" si="2"/>
        <v>4</v>
      </c>
      <c r="I11761" s="15">
        <f t="shared" si="3"/>
        <v>0</v>
      </c>
    </row>
    <row r="11762">
      <c r="A11762" s="8" t="str">
        <f>IFERROR(__xludf.DUMMYFUNCTION("IF('(INGESTA)Datos_consumo_datadis'!A11762&lt;&gt;"""",SPLIT('(INGESTA)Datos_consumo_datadis'!A:A,"",""),"""")"),"ES0031408323131005HX0F")</f>
        <v>ES0031408323131005HX0F</v>
      </c>
      <c r="B11762" s="12">
        <f>IFERROR(__xludf.DUMMYFUNCTION("""COMPUTED_VALUE"""),45356.0)</f>
        <v>45356</v>
      </c>
      <c r="C11762" s="13">
        <f>IFERROR(__xludf.DUMMYFUNCTION("""COMPUTED_VALUE"""),0.041666666666666664)</f>
        <v>0.04166666667</v>
      </c>
      <c r="D11762" s="8">
        <f>IFERROR(__xludf.DUMMYFUNCTION("""COMPUTED_VALUE"""),0.083)</f>
        <v>0.083</v>
      </c>
      <c r="E11762" s="8" t="str">
        <f>IFERROR(__xludf.DUMMYFUNCTION("""COMPUTED_VALUE"""),"Real")</f>
        <v>Real</v>
      </c>
      <c r="G11762" s="8">
        <f t="shared" si="1"/>
        <v>3</v>
      </c>
      <c r="H11762" s="14">
        <f t="shared" si="2"/>
        <v>5</v>
      </c>
      <c r="I11762" s="15">
        <f t="shared" si="3"/>
        <v>1</v>
      </c>
    </row>
    <row r="11763">
      <c r="A11763" s="8" t="str">
        <f>IFERROR(__xludf.DUMMYFUNCTION("IF('(INGESTA)Datos_consumo_datadis'!A11763&lt;&gt;"""",SPLIT('(INGESTA)Datos_consumo_datadis'!A:A,"",""),"""")"),"ES0031408323131005HX0F")</f>
        <v>ES0031408323131005HX0F</v>
      </c>
      <c r="B11763" s="12">
        <f>IFERROR(__xludf.DUMMYFUNCTION("""COMPUTED_VALUE"""),45356.0)</f>
        <v>45356</v>
      </c>
      <c r="C11763" s="13">
        <f>IFERROR(__xludf.DUMMYFUNCTION("""COMPUTED_VALUE"""),0.08333333333333333)</f>
        <v>0.08333333333</v>
      </c>
      <c r="D11763" s="8">
        <f>IFERROR(__xludf.DUMMYFUNCTION("""COMPUTED_VALUE"""),0.07)</f>
        <v>0.07</v>
      </c>
      <c r="E11763" s="8" t="str">
        <f>IFERROR(__xludf.DUMMYFUNCTION("""COMPUTED_VALUE"""),"Real")</f>
        <v>Real</v>
      </c>
      <c r="G11763" s="8">
        <f t="shared" si="1"/>
        <v>3</v>
      </c>
      <c r="H11763" s="14">
        <f t="shared" si="2"/>
        <v>5</v>
      </c>
      <c r="I11763" s="15">
        <f t="shared" si="3"/>
        <v>2</v>
      </c>
    </row>
    <row r="11764">
      <c r="A11764" s="8" t="str">
        <f>IFERROR(__xludf.DUMMYFUNCTION("IF('(INGESTA)Datos_consumo_datadis'!A11764&lt;&gt;"""",SPLIT('(INGESTA)Datos_consumo_datadis'!A:A,"",""),"""")"),"ES0031408323131005HX0F")</f>
        <v>ES0031408323131005HX0F</v>
      </c>
      <c r="B11764" s="12">
        <f>IFERROR(__xludf.DUMMYFUNCTION("""COMPUTED_VALUE"""),45356.0)</f>
        <v>45356</v>
      </c>
      <c r="C11764" s="13">
        <f>IFERROR(__xludf.DUMMYFUNCTION("""COMPUTED_VALUE"""),0.125)</f>
        <v>0.125</v>
      </c>
      <c r="D11764" s="8">
        <f>IFERROR(__xludf.DUMMYFUNCTION("""COMPUTED_VALUE"""),0.028)</f>
        <v>0.028</v>
      </c>
      <c r="E11764" s="8" t="str">
        <f>IFERROR(__xludf.DUMMYFUNCTION("""COMPUTED_VALUE"""),"Real")</f>
        <v>Real</v>
      </c>
      <c r="G11764" s="8">
        <f t="shared" si="1"/>
        <v>3</v>
      </c>
      <c r="H11764" s="14">
        <f t="shared" si="2"/>
        <v>5</v>
      </c>
      <c r="I11764" s="15">
        <f t="shared" si="3"/>
        <v>3</v>
      </c>
    </row>
    <row r="11765">
      <c r="A11765" s="8" t="str">
        <f>IFERROR(__xludf.DUMMYFUNCTION("IF('(INGESTA)Datos_consumo_datadis'!A11765&lt;&gt;"""",SPLIT('(INGESTA)Datos_consumo_datadis'!A:A,"",""),"""")"),"ES0031408323131005HX0F")</f>
        <v>ES0031408323131005HX0F</v>
      </c>
      <c r="B11765" s="12">
        <f>IFERROR(__xludf.DUMMYFUNCTION("""COMPUTED_VALUE"""),45356.0)</f>
        <v>45356</v>
      </c>
      <c r="C11765" s="13">
        <f>IFERROR(__xludf.DUMMYFUNCTION("""COMPUTED_VALUE"""),0.16666666666666666)</f>
        <v>0.1666666667</v>
      </c>
      <c r="D11765" s="8">
        <f>IFERROR(__xludf.DUMMYFUNCTION("""COMPUTED_VALUE"""),0.341)</f>
        <v>0.341</v>
      </c>
      <c r="E11765" s="8" t="str">
        <f>IFERROR(__xludf.DUMMYFUNCTION("""COMPUTED_VALUE"""),"Real")</f>
        <v>Real</v>
      </c>
      <c r="G11765" s="8">
        <f t="shared" si="1"/>
        <v>3</v>
      </c>
      <c r="H11765" s="14">
        <f t="shared" si="2"/>
        <v>5</v>
      </c>
      <c r="I11765" s="15">
        <f t="shared" si="3"/>
        <v>4</v>
      </c>
    </row>
    <row r="11766">
      <c r="A11766" s="8" t="str">
        <f>IFERROR(__xludf.DUMMYFUNCTION("IF('(INGESTA)Datos_consumo_datadis'!A11766&lt;&gt;"""",SPLIT('(INGESTA)Datos_consumo_datadis'!A:A,"",""),"""")"),"ES0031408323131005HX0F")</f>
        <v>ES0031408323131005HX0F</v>
      </c>
      <c r="B11766" s="12">
        <f>IFERROR(__xludf.DUMMYFUNCTION("""COMPUTED_VALUE"""),45356.0)</f>
        <v>45356</v>
      </c>
      <c r="C11766" s="13">
        <f>IFERROR(__xludf.DUMMYFUNCTION("""COMPUTED_VALUE"""),0.20833333333333334)</f>
        <v>0.2083333333</v>
      </c>
      <c r="D11766" s="8">
        <f>IFERROR(__xludf.DUMMYFUNCTION("""COMPUTED_VALUE"""),0.057)</f>
        <v>0.057</v>
      </c>
      <c r="E11766" s="8" t="str">
        <f>IFERROR(__xludf.DUMMYFUNCTION("""COMPUTED_VALUE"""),"Real")</f>
        <v>Real</v>
      </c>
      <c r="G11766" s="8">
        <f t="shared" si="1"/>
        <v>3</v>
      </c>
      <c r="H11766" s="14">
        <f t="shared" si="2"/>
        <v>5</v>
      </c>
      <c r="I11766" s="15">
        <f t="shared" si="3"/>
        <v>5</v>
      </c>
    </row>
    <row r="11767">
      <c r="A11767" s="8" t="str">
        <f>IFERROR(__xludf.DUMMYFUNCTION("IF('(INGESTA)Datos_consumo_datadis'!A11767&lt;&gt;"""",SPLIT('(INGESTA)Datos_consumo_datadis'!A:A,"",""),"""")"),"ES0031408323131005HX0F")</f>
        <v>ES0031408323131005HX0F</v>
      </c>
      <c r="B11767" s="12">
        <f>IFERROR(__xludf.DUMMYFUNCTION("""COMPUTED_VALUE"""),45356.0)</f>
        <v>45356</v>
      </c>
      <c r="C11767" s="13">
        <f>IFERROR(__xludf.DUMMYFUNCTION("""COMPUTED_VALUE"""),0.25)</f>
        <v>0.25</v>
      </c>
      <c r="D11767" s="8">
        <f>IFERROR(__xludf.DUMMYFUNCTION("""COMPUTED_VALUE"""),2.186)</f>
        <v>2.186</v>
      </c>
      <c r="E11767" s="8" t="str">
        <f>IFERROR(__xludf.DUMMYFUNCTION("""COMPUTED_VALUE"""),"Real")</f>
        <v>Real</v>
      </c>
      <c r="G11767" s="8">
        <f t="shared" si="1"/>
        <v>3</v>
      </c>
      <c r="H11767" s="14">
        <f t="shared" si="2"/>
        <v>5</v>
      </c>
      <c r="I11767" s="15">
        <f t="shared" si="3"/>
        <v>6</v>
      </c>
    </row>
    <row r="11768">
      <c r="A11768" s="8" t="str">
        <f>IFERROR(__xludf.DUMMYFUNCTION("IF('(INGESTA)Datos_consumo_datadis'!A11768&lt;&gt;"""",SPLIT('(INGESTA)Datos_consumo_datadis'!A:A,"",""),"""")"),"ES0031408323131005HX0F")</f>
        <v>ES0031408323131005HX0F</v>
      </c>
      <c r="B11768" s="12">
        <f>IFERROR(__xludf.DUMMYFUNCTION("""COMPUTED_VALUE"""),45356.0)</f>
        <v>45356</v>
      </c>
      <c r="C11768" s="13">
        <f>IFERROR(__xludf.DUMMYFUNCTION("""COMPUTED_VALUE"""),0.2916666666666667)</f>
        <v>0.2916666667</v>
      </c>
      <c r="D11768" s="8">
        <f>IFERROR(__xludf.DUMMYFUNCTION("""COMPUTED_VALUE"""),1.491)</f>
        <v>1.491</v>
      </c>
      <c r="E11768" s="8" t="str">
        <f>IFERROR(__xludf.DUMMYFUNCTION("""COMPUTED_VALUE"""),"Real")</f>
        <v>Real</v>
      </c>
      <c r="G11768" s="8">
        <f t="shared" si="1"/>
        <v>3</v>
      </c>
      <c r="H11768" s="14">
        <f t="shared" si="2"/>
        <v>5</v>
      </c>
      <c r="I11768" s="15">
        <f t="shared" si="3"/>
        <v>7</v>
      </c>
    </row>
    <row r="11769">
      <c r="A11769" s="8" t="str">
        <f>IFERROR(__xludf.DUMMYFUNCTION("IF('(INGESTA)Datos_consumo_datadis'!A11769&lt;&gt;"""",SPLIT('(INGESTA)Datos_consumo_datadis'!A:A,"",""),"""")"),"ES0031408323131005HX0F")</f>
        <v>ES0031408323131005HX0F</v>
      </c>
      <c r="B11769" s="12">
        <f>IFERROR(__xludf.DUMMYFUNCTION("""COMPUTED_VALUE"""),45356.0)</f>
        <v>45356</v>
      </c>
      <c r="C11769" s="13">
        <f>IFERROR(__xludf.DUMMYFUNCTION("""COMPUTED_VALUE"""),0.3333333333333333)</f>
        <v>0.3333333333</v>
      </c>
      <c r="D11769" s="8">
        <f>IFERROR(__xludf.DUMMYFUNCTION("""COMPUTED_VALUE"""),0.112)</f>
        <v>0.112</v>
      </c>
      <c r="E11769" s="8" t="str">
        <f>IFERROR(__xludf.DUMMYFUNCTION("""COMPUTED_VALUE"""),"Real")</f>
        <v>Real</v>
      </c>
      <c r="G11769" s="8">
        <f t="shared" si="1"/>
        <v>3</v>
      </c>
      <c r="H11769" s="14">
        <f t="shared" si="2"/>
        <v>5</v>
      </c>
      <c r="I11769" s="15">
        <f t="shared" si="3"/>
        <v>8</v>
      </c>
    </row>
    <row r="11770">
      <c r="A11770" s="8" t="str">
        <f>IFERROR(__xludf.DUMMYFUNCTION("IF('(INGESTA)Datos_consumo_datadis'!A11770&lt;&gt;"""",SPLIT('(INGESTA)Datos_consumo_datadis'!A:A,"",""),"""")"),"ES0031408323131005HX0F")</f>
        <v>ES0031408323131005HX0F</v>
      </c>
      <c r="B11770" s="12">
        <f>IFERROR(__xludf.DUMMYFUNCTION("""COMPUTED_VALUE"""),45356.0)</f>
        <v>45356</v>
      </c>
      <c r="C11770" s="13">
        <f>IFERROR(__xludf.DUMMYFUNCTION("""COMPUTED_VALUE"""),0.375)</f>
        <v>0.375</v>
      </c>
      <c r="D11770" s="8">
        <f>IFERROR(__xludf.DUMMYFUNCTION("""COMPUTED_VALUE"""),0.035)</f>
        <v>0.035</v>
      </c>
      <c r="E11770" s="8" t="str">
        <f>IFERROR(__xludf.DUMMYFUNCTION("""COMPUTED_VALUE"""),"Real")</f>
        <v>Real</v>
      </c>
      <c r="G11770" s="8">
        <f t="shared" si="1"/>
        <v>3</v>
      </c>
      <c r="H11770" s="14">
        <f t="shared" si="2"/>
        <v>5</v>
      </c>
      <c r="I11770" s="15">
        <f t="shared" si="3"/>
        <v>9</v>
      </c>
    </row>
    <row r="11771">
      <c r="A11771" s="8" t="str">
        <f>IFERROR(__xludf.DUMMYFUNCTION("IF('(INGESTA)Datos_consumo_datadis'!A11771&lt;&gt;"""",SPLIT('(INGESTA)Datos_consumo_datadis'!A:A,"",""),"""")"),"ES0031408323131005HX0F")</f>
        <v>ES0031408323131005HX0F</v>
      </c>
      <c r="B11771" s="12">
        <f>IFERROR(__xludf.DUMMYFUNCTION("""COMPUTED_VALUE"""),45356.0)</f>
        <v>45356</v>
      </c>
      <c r="C11771" s="13">
        <f>IFERROR(__xludf.DUMMYFUNCTION("""COMPUTED_VALUE"""),0.4166666666666667)</f>
        <v>0.4166666667</v>
      </c>
      <c r="D11771" s="8">
        <f>IFERROR(__xludf.DUMMYFUNCTION("""COMPUTED_VALUE"""),0.328)</f>
        <v>0.328</v>
      </c>
      <c r="E11771" s="8" t="str">
        <f>IFERROR(__xludf.DUMMYFUNCTION("""COMPUTED_VALUE"""),"Real")</f>
        <v>Real</v>
      </c>
      <c r="G11771" s="8">
        <f t="shared" si="1"/>
        <v>3</v>
      </c>
      <c r="H11771" s="14">
        <f t="shared" si="2"/>
        <v>5</v>
      </c>
      <c r="I11771" s="15">
        <f t="shared" si="3"/>
        <v>10</v>
      </c>
    </row>
    <row r="11772">
      <c r="A11772" s="8" t="str">
        <f>IFERROR(__xludf.DUMMYFUNCTION("IF('(INGESTA)Datos_consumo_datadis'!A11772&lt;&gt;"""",SPLIT('(INGESTA)Datos_consumo_datadis'!A:A,"",""),"""")"),"ES0031408323131005HX0F")</f>
        <v>ES0031408323131005HX0F</v>
      </c>
      <c r="B11772" s="12">
        <f>IFERROR(__xludf.DUMMYFUNCTION("""COMPUTED_VALUE"""),45356.0)</f>
        <v>45356</v>
      </c>
      <c r="C11772" s="13">
        <f>IFERROR(__xludf.DUMMYFUNCTION("""COMPUTED_VALUE"""),0.4583333333333333)</f>
        <v>0.4583333333</v>
      </c>
      <c r="D11772" s="8">
        <f>IFERROR(__xludf.DUMMYFUNCTION("""COMPUTED_VALUE"""),0.05)</f>
        <v>0.05</v>
      </c>
      <c r="E11772" s="8" t="str">
        <f>IFERROR(__xludf.DUMMYFUNCTION("""COMPUTED_VALUE"""),"Real")</f>
        <v>Real</v>
      </c>
      <c r="G11772" s="8">
        <f t="shared" si="1"/>
        <v>3</v>
      </c>
      <c r="H11772" s="14">
        <f t="shared" si="2"/>
        <v>5</v>
      </c>
      <c r="I11772" s="15">
        <f t="shared" si="3"/>
        <v>11</v>
      </c>
    </row>
    <row r="11773">
      <c r="A11773" s="8" t="str">
        <f>IFERROR(__xludf.DUMMYFUNCTION("IF('(INGESTA)Datos_consumo_datadis'!A11773&lt;&gt;"""",SPLIT('(INGESTA)Datos_consumo_datadis'!A:A,"",""),"""")"),"ES0031408323131005HX0F")</f>
        <v>ES0031408323131005HX0F</v>
      </c>
      <c r="B11773" s="12">
        <f>IFERROR(__xludf.DUMMYFUNCTION("""COMPUTED_VALUE"""),45356.0)</f>
        <v>45356</v>
      </c>
      <c r="C11773" s="13">
        <f>IFERROR(__xludf.DUMMYFUNCTION("""COMPUTED_VALUE"""),0.5)</f>
        <v>0.5</v>
      </c>
      <c r="D11773" s="8">
        <f>IFERROR(__xludf.DUMMYFUNCTION("""COMPUTED_VALUE"""),0.043)</f>
        <v>0.043</v>
      </c>
      <c r="E11773" s="8" t="str">
        <f>IFERROR(__xludf.DUMMYFUNCTION("""COMPUTED_VALUE"""),"Real")</f>
        <v>Real</v>
      </c>
      <c r="G11773" s="8">
        <f t="shared" si="1"/>
        <v>3</v>
      </c>
      <c r="H11773" s="14">
        <f t="shared" si="2"/>
        <v>5</v>
      </c>
      <c r="I11773" s="15">
        <f t="shared" si="3"/>
        <v>12</v>
      </c>
    </row>
    <row r="11774">
      <c r="A11774" s="8" t="str">
        <f>IFERROR(__xludf.DUMMYFUNCTION("IF('(INGESTA)Datos_consumo_datadis'!A11774&lt;&gt;"""",SPLIT('(INGESTA)Datos_consumo_datadis'!A:A,"",""),"""")"),"ES0031408323131005HX0F")</f>
        <v>ES0031408323131005HX0F</v>
      </c>
      <c r="B11774" s="12">
        <f>IFERROR(__xludf.DUMMYFUNCTION("""COMPUTED_VALUE"""),45356.0)</f>
        <v>45356</v>
      </c>
      <c r="C11774" s="13">
        <f>IFERROR(__xludf.DUMMYFUNCTION("""COMPUTED_VALUE"""),0.5416666666666666)</f>
        <v>0.5416666667</v>
      </c>
      <c r="D11774" s="8">
        <f>IFERROR(__xludf.DUMMYFUNCTION("""COMPUTED_VALUE"""),0.851)</f>
        <v>0.851</v>
      </c>
      <c r="E11774" s="8" t="str">
        <f>IFERROR(__xludf.DUMMYFUNCTION("""COMPUTED_VALUE"""),"Real")</f>
        <v>Real</v>
      </c>
      <c r="G11774" s="8">
        <f t="shared" si="1"/>
        <v>3</v>
      </c>
      <c r="H11774" s="14">
        <f t="shared" si="2"/>
        <v>5</v>
      </c>
      <c r="I11774" s="15">
        <f t="shared" si="3"/>
        <v>13</v>
      </c>
    </row>
    <row r="11775">
      <c r="A11775" s="8" t="str">
        <f>IFERROR(__xludf.DUMMYFUNCTION("IF('(INGESTA)Datos_consumo_datadis'!A11775&lt;&gt;"""",SPLIT('(INGESTA)Datos_consumo_datadis'!A:A,"",""),"""")"),"ES0031408323131005HX0F")</f>
        <v>ES0031408323131005HX0F</v>
      </c>
      <c r="B11775" s="12">
        <f>IFERROR(__xludf.DUMMYFUNCTION("""COMPUTED_VALUE"""),45356.0)</f>
        <v>45356</v>
      </c>
      <c r="C11775" s="13">
        <f>IFERROR(__xludf.DUMMYFUNCTION("""COMPUTED_VALUE"""),0.5833333333333334)</f>
        <v>0.5833333333</v>
      </c>
      <c r="D11775" s="8">
        <f>IFERROR(__xludf.DUMMYFUNCTION("""COMPUTED_VALUE"""),1.431)</f>
        <v>1.431</v>
      </c>
      <c r="E11775" s="8" t="str">
        <f>IFERROR(__xludf.DUMMYFUNCTION("""COMPUTED_VALUE"""),"Real")</f>
        <v>Real</v>
      </c>
      <c r="G11775" s="8">
        <f t="shared" si="1"/>
        <v>3</v>
      </c>
      <c r="H11775" s="14">
        <f t="shared" si="2"/>
        <v>5</v>
      </c>
      <c r="I11775" s="15">
        <f t="shared" si="3"/>
        <v>14</v>
      </c>
    </row>
    <row r="11776">
      <c r="A11776" s="8" t="str">
        <f>IFERROR(__xludf.DUMMYFUNCTION("IF('(INGESTA)Datos_consumo_datadis'!A11776&lt;&gt;"""",SPLIT('(INGESTA)Datos_consumo_datadis'!A:A,"",""),"""")"),"ES0031408323131005HX0F")</f>
        <v>ES0031408323131005HX0F</v>
      </c>
      <c r="B11776" s="12">
        <f>IFERROR(__xludf.DUMMYFUNCTION("""COMPUTED_VALUE"""),45356.0)</f>
        <v>45356</v>
      </c>
      <c r="C11776" s="13">
        <f>IFERROR(__xludf.DUMMYFUNCTION("""COMPUTED_VALUE"""),0.625)</f>
        <v>0.625</v>
      </c>
      <c r="D11776" s="8">
        <f>IFERROR(__xludf.DUMMYFUNCTION("""COMPUTED_VALUE"""),0.792)</f>
        <v>0.792</v>
      </c>
      <c r="E11776" s="8" t="str">
        <f>IFERROR(__xludf.DUMMYFUNCTION("""COMPUTED_VALUE"""),"Real")</f>
        <v>Real</v>
      </c>
      <c r="G11776" s="8">
        <f t="shared" si="1"/>
        <v>3</v>
      </c>
      <c r="H11776" s="14">
        <f t="shared" si="2"/>
        <v>5</v>
      </c>
      <c r="I11776" s="15">
        <f t="shared" si="3"/>
        <v>15</v>
      </c>
    </row>
    <row r="11777">
      <c r="A11777" s="8" t="str">
        <f>IFERROR(__xludf.DUMMYFUNCTION("IF('(INGESTA)Datos_consumo_datadis'!A11777&lt;&gt;"""",SPLIT('(INGESTA)Datos_consumo_datadis'!A:A,"",""),"""")"),"ES0031408323131005HX0F")</f>
        <v>ES0031408323131005HX0F</v>
      </c>
      <c r="B11777" s="12">
        <f>IFERROR(__xludf.DUMMYFUNCTION("""COMPUTED_VALUE"""),45356.0)</f>
        <v>45356</v>
      </c>
      <c r="C11777" s="13">
        <f>IFERROR(__xludf.DUMMYFUNCTION("""COMPUTED_VALUE"""),0.6666666666666666)</f>
        <v>0.6666666667</v>
      </c>
      <c r="D11777" s="8">
        <f>IFERROR(__xludf.DUMMYFUNCTION("""COMPUTED_VALUE"""),1.551)</f>
        <v>1.551</v>
      </c>
      <c r="E11777" s="8" t="str">
        <f>IFERROR(__xludf.DUMMYFUNCTION("""COMPUTED_VALUE"""),"Real")</f>
        <v>Real</v>
      </c>
      <c r="G11777" s="8">
        <f t="shared" si="1"/>
        <v>3</v>
      </c>
      <c r="H11777" s="14">
        <f t="shared" si="2"/>
        <v>5</v>
      </c>
      <c r="I11777" s="15">
        <f t="shared" si="3"/>
        <v>16</v>
      </c>
    </row>
    <row r="11778">
      <c r="A11778" s="8" t="str">
        <f>IFERROR(__xludf.DUMMYFUNCTION("IF('(INGESTA)Datos_consumo_datadis'!A11778&lt;&gt;"""",SPLIT('(INGESTA)Datos_consumo_datadis'!A:A,"",""),"""")"),"ES0031408323131005HX0F")</f>
        <v>ES0031408323131005HX0F</v>
      </c>
      <c r="B11778" s="12">
        <f>IFERROR(__xludf.DUMMYFUNCTION("""COMPUTED_VALUE"""),45356.0)</f>
        <v>45356</v>
      </c>
      <c r="C11778" s="13">
        <f>IFERROR(__xludf.DUMMYFUNCTION("""COMPUTED_VALUE"""),0.7083333333333334)</f>
        <v>0.7083333333</v>
      </c>
      <c r="D11778" s="8">
        <f>IFERROR(__xludf.DUMMYFUNCTION("""COMPUTED_VALUE"""),0.863)</f>
        <v>0.863</v>
      </c>
      <c r="E11778" s="8" t="str">
        <f>IFERROR(__xludf.DUMMYFUNCTION("""COMPUTED_VALUE"""),"Real")</f>
        <v>Real</v>
      </c>
      <c r="G11778" s="8">
        <f t="shared" si="1"/>
        <v>3</v>
      </c>
      <c r="H11778" s="14">
        <f t="shared" si="2"/>
        <v>5</v>
      </c>
      <c r="I11778" s="15">
        <f t="shared" si="3"/>
        <v>17</v>
      </c>
    </row>
    <row r="11779">
      <c r="A11779" s="8" t="str">
        <f>IFERROR(__xludf.DUMMYFUNCTION("IF('(INGESTA)Datos_consumo_datadis'!A11779&lt;&gt;"""",SPLIT('(INGESTA)Datos_consumo_datadis'!A:A,"",""),"""")"),"ES0031408323131005HX0F")</f>
        <v>ES0031408323131005HX0F</v>
      </c>
      <c r="B11779" s="12">
        <f>IFERROR(__xludf.DUMMYFUNCTION("""COMPUTED_VALUE"""),45356.0)</f>
        <v>45356</v>
      </c>
      <c r="C11779" s="13">
        <f>IFERROR(__xludf.DUMMYFUNCTION("""COMPUTED_VALUE"""),0.75)</f>
        <v>0.75</v>
      </c>
      <c r="D11779" s="8">
        <f>IFERROR(__xludf.DUMMYFUNCTION("""COMPUTED_VALUE"""),0.046)</f>
        <v>0.046</v>
      </c>
      <c r="E11779" s="8" t="str">
        <f>IFERROR(__xludf.DUMMYFUNCTION("""COMPUTED_VALUE"""),"Real")</f>
        <v>Real</v>
      </c>
      <c r="G11779" s="8">
        <f t="shared" si="1"/>
        <v>3</v>
      </c>
      <c r="H11779" s="14">
        <f t="shared" si="2"/>
        <v>5</v>
      </c>
      <c r="I11779" s="15">
        <f t="shared" si="3"/>
        <v>18</v>
      </c>
    </row>
    <row r="11780">
      <c r="A11780" s="8" t="str">
        <f>IFERROR(__xludf.DUMMYFUNCTION("IF('(INGESTA)Datos_consumo_datadis'!A11780&lt;&gt;"""",SPLIT('(INGESTA)Datos_consumo_datadis'!A:A,"",""),"""")"),"ES0031408323131005HX0F")</f>
        <v>ES0031408323131005HX0F</v>
      </c>
      <c r="B11780" s="12">
        <f>IFERROR(__xludf.DUMMYFUNCTION("""COMPUTED_VALUE"""),45356.0)</f>
        <v>45356</v>
      </c>
      <c r="C11780" s="13">
        <f>IFERROR(__xludf.DUMMYFUNCTION("""COMPUTED_VALUE"""),0.7916666666666666)</f>
        <v>0.7916666667</v>
      </c>
      <c r="D11780" s="8">
        <f>IFERROR(__xludf.DUMMYFUNCTION("""COMPUTED_VALUE"""),0.075)</f>
        <v>0.075</v>
      </c>
      <c r="E11780" s="8" t="str">
        <f>IFERROR(__xludf.DUMMYFUNCTION("""COMPUTED_VALUE"""),"Real")</f>
        <v>Real</v>
      </c>
      <c r="G11780" s="8">
        <f t="shared" si="1"/>
        <v>3</v>
      </c>
      <c r="H11780" s="14">
        <f t="shared" si="2"/>
        <v>5</v>
      </c>
      <c r="I11780" s="15">
        <f t="shared" si="3"/>
        <v>19</v>
      </c>
    </row>
    <row r="11781">
      <c r="A11781" s="8" t="str">
        <f>IFERROR(__xludf.DUMMYFUNCTION("IF('(INGESTA)Datos_consumo_datadis'!A11781&lt;&gt;"""",SPLIT('(INGESTA)Datos_consumo_datadis'!A:A,"",""),"""")"),"ES0031408323131005HX0F")</f>
        <v>ES0031408323131005HX0F</v>
      </c>
      <c r="B11781" s="12">
        <f>IFERROR(__xludf.DUMMYFUNCTION("""COMPUTED_VALUE"""),45356.0)</f>
        <v>45356</v>
      </c>
      <c r="C11781" s="13">
        <f>IFERROR(__xludf.DUMMYFUNCTION("""COMPUTED_VALUE"""),0.8333333333333334)</f>
        <v>0.8333333333</v>
      </c>
      <c r="D11781" s="8">
        <f>IFERROR(__xludf.DUMMYFUNCTION("""COMPUTED_VALUE"""),0.76)</f>
        <v>0.76</v>
      </c>
      <c r="E11781" s="8" t="str">
        <f>IFERROR(__xludf.DUMMYFUNCTION("""COMPUTED_VALUE"""),"Real")</f>
        <v>Real</v>
      </c>
      <c r="G11781" s="8">
        <f t="shared" si="1"/>
        <v>3</v>
      </c>
      <c r="H11781" s="14">
        <f t="shared" si="2"/>
        <v>5</v>
      </c>
      <c r="I11781" s="15">
        <f t="shared" si="3"/>
        <v>20</v>
      </c>
    </row>
    <row r="11782">
      <c r="A11782" s="8" t="str">
        <f>IFERROR(__xludf.DUMMYFUNCTION("IF('(INGESTA)Datos_consumo_datadis'!A11782&lt;&gt;"""",SPLIT('(INGESTA)Datos_consumo_datadis'!A:A,"",""),"""")"),"ES0031408323131005HX0F")</f>
        <v>ES0031408323131005HX0F</v>
      </c>
      <c r="B11782" s="12">
        <f>IFERROR(__xludf.DUMMYFUNCTION("""COMPUTED_VALUE"""),45356.0)</f>
        <v>45356</v>
      </c>
      <c r="C11782" s="13">
        <f>IFERROR(__xludf.DUMMYFUNCTION("""COMPUTED_VALUE"""),0.875)</f>
        <v>0.875</v>
      </c>
      <c r="D11782" s="8">
        <f>IFERROR(__xludf.DUMMYFUNCTION("""COMPUTED_VALUE"""),1.406)</f>
        <v>1.406</v>
      </c>
      <c r="E11782" s="8" t="str">
        <f>IFERROR(__xludf.DUMMYFUNCTION("""COMPUTED_VALUE"""),"Real")</f>
        <v>Real</v>
      </c>
      <c r="G11782" s="8">
        <f t="shared" si="1"/>
        <v>3</v>
      </c>
      <c r="H11782" s="14">
        <f t="shared" si="2"/>
        <v>5</v>
      </c>
      <c r="I11782" s="15">
        <f t="shared" si="3"/>
        <v>21</v>
      </c>
    </row>
    <row r="11783">
      <c r="A11783" s="8" t="str">
        <f>IFERROR(__xludf.DUMMYFUNCTION("IF('(INGESTA)Datos_consumo_datadis'!A11783&lt;&gt;"""",SPLIT('(INGESTA)Datos_consumo_datadis'!A:A,"",""),"""")"),"ES0031408323131005HX0F")</f>
        <v>ES0031408323131005HX0F</v>
      </c>
      <c r="B11783" s="12">
        <f>IFERROR(__xludf.DUMMYFUNCTION("""COMPUTED_VALUE"""),45356.0)</f>
        <v>45356</v>
      </c>
      <c r="C11783" s="13">
        <f>IFERROR(__xludf.DUMMYFUNCTION("""COMPUTED_VALUE"""),0.9166666666666666)</f>
        <v>0.9166666667</v>
      </c>
      <c r="D11783" s="8">
        <f>IFERROR(__xludf.DUMMYFUNCTION("""COMPUTED_VALUE"""),2.754)</f>
        <v>2.754</v>
      </c>
      <c r="E11783" s="8" t="str">
        <f>IFERROR(__xludf.DUMMYFUNCTION("""COMPUTED_VALUE"""),"Real")</f>
        <v>Real</v>
      </c>
      <c r="G11783" s="8">
        <f t="shared" si="1"/>
        <v>3</v>
      </c>
      <c r="H11783" s="14">
        <f t="shared" si="2"/>
        <v>5</v>
      </c>
      <c r="I11783" s="15">
        <f t="shared" si="3"/>
        <v>22</v>
      </c>
    </row>
    <row r="11784">
      <c r="A11784" s="8" t="str">
        <f>IFERROR(__xludf.DUMMYFUNCTION("IF('(INGESTA)Datos_consumo_datadis'!A11784&lt;&gt;"""",SPLIT('(INGESTA)Datos_consumo_datadis'!A:A,"",""),"""")"),"ES0031408323131005HX0F")</f>
        <v>ES0031408323131005HX0F</v>
      </c>
      <c r="B11784" s="12">
        <f>IFERROR(__xludf.DUMMYFUNCTION("""COMPUTED_VALUE"""),45356.0)</f>
        <v>45356</v>
      </c>
      <c r="C11784" s="13">
        <f>IFERROR(__xludf.DUMMYFUNCTION("""COMPUTED_VALUE"""),0.9583333333333334)</f>
        <v>0.9583333333</v>
      </c>
      <c r="D11784" s="8">
        <f>IFERROR(__xludf.DUMMYFUNCTION("""COMPUTED_VALUE"""),1.885)</f>
        <v>1.885</v>
      </c>
      <c r="E11784" s="8" t="str">
        <f>IFERROR(__xludf.DUMMYFUNCTION("""COMPUTED_VALUE"""),"Real")</f>
        <v>Real</v>
      </c>
      <c r="G11784" s="8">
        <f t="shared" si="1"/>
        <v>3</v>
      </c>
      <c r="H11784" s="14">
        <f t="shared" si="2"/>
        <v>5</v>
      </c>
      <c r="I11784" s="15">
        <f t="shared" si="3"/>
        <v>23</v>
      </c>
    </row>
    <row r="11785">
      <c r="A11785" s="8" t="str">
        <f>IFERROR(__xludf.DUMMYFUNCTION("IF('(INGESTA)Datos_consumo_datadis'!A11785&lt;&gt;"""",SPLIT('(INGESTA)Datos_consumo_datadis'!A:A,"",""),"""")"),"ES0031408323131005HX0F")</f>
        <v>ES0031408323131005HX0F</v>
      </c>
      <c r="B11785" s="12">
        <f>IFERROR(__xludf.DUMMYFUNCTION("""COMPUTED_VALUE"""),45356.0)</f>
        <v>45356</v>
      </c>
      <c r="C11785" s="16">
        <f>IFERROR(__xludf.DUMMYFUNCTION("""COMPUTED_VALUE"""),1.0)</f>
        <v>1</v>
      </c>
      <c r="D11785" s="8">
        <f>IFERROR(__xludf.DUMMYFUNCTION("""COMPUTED_VALUE"""),0.516)</f>
        <v>0.516</v>
      </c>
      <c r="E11785" s="8" t="str">
        <f>IFERROR(__xludf.DUMMYFUNCTION("""COMPUTED_VALUE"""),"Real")</f>
        <v>Real</v>
      </c>
      <c r="G11785" s="8">
        <f t="shared" si="1"/>
        <v>3</v>
      </c>
      <c r="H11785" s="14">
        <f t="shared" si="2"/>
        <v>5</v>
      </c>
      <c r="I11785" s="15">
        <f t="shared" si="3"/>
        <v>0</v>
      </c>
    </row>
    <row r="11786">
      <c r="A11786" s="8" t="str">
        <f>IFERROR(__xludf.DUMMYFUNCTION("IF('(INGESTA)Datos_consumo_datadis'!A11786&lt;&gt;"""",SPLIT('(INGESTA)Datos_consumo_datadis'!A:A,"",""),"""")"),"ES0031408323131005HX0F")</f>
        <v>ES0031408323131005HX0F</v>
      </c>
      <c r="B11786" s="12">
        <f>IFERROR(__xludf.DUMMYFUNCTION("""COMPUTED_VALUE"""),45357.0)</f>
        <v>45357</v>
      </c>
      <c r="C11786" s="13">
        <f>IFERROR(__xludf.DUMMYFUNCTION("""COMPUTED_VALUE"""),0.041666666666666664)</f>
        <v>0.04166666667</v>
      </c>
      <c r="D11786" s="8">
        <f>IFERROR(__xludf.DUMMYFUNCTION("""COMPUTED_VALUE"""),0.051)</f>
        <v>0.051</v>
      </c>
      <c r="E11786" s="8" t="str">
        <f>IFERROR(__xludf.DUMMYFUNCTION("""COMPUTED_VALUE"""),"Real")</f>
        <v>Real</v>
      </c>
      <c r="G11786" s="8">
        <f t="shared" si="1"/>
        <v>3</v>
      </c>
      <c r="H11786" s="14">
        <f t="shared" si="2"/>
        <v>6</v>
      </c>
      <c r="I11786" s="15">
        <f t="shared" si="3"/>
        <v>1</v>
      </c>
    </row>
    <row r="11787">
      <c r="A11787" s="8" t="str">
        <f>IFERROR(__xludf.DUMMYFUNCTION("IF('(INGESTA)Datos_consumo_datadis'!A11787&lt;&gt;"""",SPLIT('(INGESTA)Datos_consumo_datadis'!A:A,"",""),"""")"),"ES0031408323131005HX0F")</f>
        <v>ES0031408323131005HX0F</v>
      </c>
      <c r="B11787" s="12">
        <f>IFERROR(__xludf.DUMMYFUNCTION("""COMPUTED_VALUE"""),45357.0)</f>
        <v>45357</v>
      </c>
      <c r="C11787" s="13">
        <f>IFERROR(__xludf.DUMMYFUNCTION("""COMPUTED_VALUE"""),0.08333333333333333)</f>
        <v>0.08333333333</v>
      </c>
      <c r="D11787" s="8">
        <f>IFERROR(__xludf.DUMMYFUNCTION("""COMPUTED_VALUE"""),0.081)</f>
        <v>0.081</v>
      </c>
      <c r="E11787" s="8" t="str">
        <f>IFERROR(__xludf.DUMMYFUNCTION("""COMPUTED_VALUE"""),"Real")</f>
        <v>Real</v>
      </c>
      <c r="G11787" s="8">
        <f t="shared" si="1"/>
        <v>3</v>
      </c>
      <c r="H11787" s="14">
        <f t="shared" si="2"/>
        <v>6</v>
      </c>
      <c r="I11787" s="15">
        <f t="shared" si="3"/>
        <v>2</v>
      </c>
    </row>
    <row r="11788">
      <c r="A11788" s="8" t="str">
        <f>IFERROR(__xludf.DUMMYFUNCTION("IF('(INGESTA)Datos_consumo_datadis'!A11788&lt;&gt;"""",SPLIT('(INGESTA)Datos_consumo_datadis'!A:A,"",""),"""")"),"ES0031408323131005HX0F")</f>
        <v>ES0031408323131005HX0F</v>
      </c>
      <c r="B11788" s="12">
        <f>IFERROR(__xludf.DUMMYFUNCTION("""COMPUTED_VALUE"""),45357.0)</f>
        <v>45357</v>
      </c>
      <c r="C11788" s="13">
        <f>IFERROR(__xludf.DUMMYFUNCTION("""COMPUTED_VALUE"""),0.125)</f>
        <v>0.125</v>
      </c>
      <c r="D11788" s="8">
        <f>IFERROR(__xludf.DUMMYFUNCTION("""COMPUTED_VALUE"""),0.052)</f>
        <v>0.052</v>
      </c>
      <c r="E11788" s="8" t="str">
        <f>IFERROR(__xludf.DUMMYFUNCTION("""COMPUTED_VALUE"""),"Real")</f>
        <v>Real</v>
      </c>
      <c r="G11788" s="8">
        <f t="shared" si="1"/>
        <v>3</v>
      </c>
      <c r="H11788" s="14">
        <f t="shared" si="2"/>
        <v>6</v>
      </c>
      <c r="I11788" s="15">
        <f t="shared" si="3"/>
        <v>3</v>
      </c>
    </row>
    <row r="11789">
      <c r="A11789" s="8" t="str">
        <f>IFERROR(__xludf.DUMMYFUNCTION("IF('(INGESTA)Datos_consumo_datadis'!A11789&lt;&gt;"""",SPLIT('(INGESTA)Datos_consumo_datadis'!A:A,"",""),"""")"),"ES0031408323131005HX0F")</f>
        <v>ES0031408323131005HX0F</v>
      </c>
      <c r="B11789" s="12">
        <f>IFERROR(__xludf.DUMMYFUNCTION("""COMPUTED_VALUE"""),45357.0)</f>
        <v>45357</v>
      </c>
      <c r="C11789" s="13">
        <f>IFERROR(__xludf.DUMMYFUNCTION("""COMPUTED_VALUE"""),0.16666666666666666)</f>
        <v>0.1666666667</v>
      </c>
      <c r="D11789" s="8">
        <f>IFERROR(__xludf.DUMMYFUNCTION("""COMPUTED_VALUE"""),0.049)</f>
        <v>0.049</v>
      </c>
      <c r="E11789" s="8" t="str">
        <f>IFERROR(__xludf.DUMMYFUNCTION("""COMPUTED_VALUE"""),"Real")</f>
        <v>Real</v>
      </c>
      <c r="G11789" s="8">
        <f t="shared" si="1"/>
        <v>3</v>
      </c>
      <c r="H11789" s="14">
        <f t="shared" si="2"/>
        <v>6</v>
      </c>
      <c r="I11789" s="15">
        <f t="shared" si="3"/>
        <v>4</v>
      </c>
    </row>
    <row r="11790">
      <c r="A11790" s="8" t="str">
        <f>IFERROR(__xludf.DUMMYFUNCTION("IF('(INGESTA)Datos_consumo_datadis'!A11790&lt;&gt;"""",SPLIT('(INGESTA)Datos_consumo_datadis'!A:A,"",""),"""")"),"ES0031408323131005HX0F")</f>
        <v>ES0031408323131005HX0F</v>
      </c>
      <c r="B11790" s="12">
        <f>IFERROR(__xludf.DUMMYFUNCTION("""COMPUTED_VALUE"""),45357.0)</f>
        <v>45357</v>
      </c>
      <c r="C11790" s="13">
        <f>IFERROR(__xludf.DUMMYFUNCTION("""COMPUTED_VALUE"""),0.20833333333333334)</f>
        <v>0.2083333333</v>
      </c>
      <c r="D11790" s="8">
        <f>IFERROR(__xludf.DUMMYFUNCTION("""COMPUTED_VALUE"""),0.336)</f>
        <v>0.336</v>
      </c>
      <c r="E11790" s="8" t="str">
        <f>IFERROR(__xludf.DUMMYFUNCTION("""COMPUTED_VALUE"""),"Real")</f>
        <v>Real</v>
      </c>
      <c r="G11790" s="8">
        <f t="shared" si="1"/>
        <v>3</v>
      </c>
      <c r="H11790" s="14">
        <f t="shared" si="2"/>
        <v>6</v>
      </c>
      <c r="I11790" s="15">
        <f t="shared" si="3"/>
        <v>5</v>
      </c>
    </row>
    <row r="11791">
      <c r="A11791" s="8" t="str">
        <f>IFERROR(__xludf.DUMMYFUNCTION("IF('(INGESTA)Datos_consumo_datadis'!A11791&lt;&gt;"""",SPLIT('(INGESTA)Datos_consumo_datadis'!A:A,"",""),"""")"),"ES0031408323131005HX0F")</f>
        <v>ES0031408323131005HX0F</v>
      </c>
      <c r="B11791" s="12">
        <f>IFERROR(__xludf.DUMMYFUNCTION("""COMPUTED_VALUE"""),45357.0)</f>
        <v>45357</v>
      </c>
      <c r="C11791" s="13">
        <f>IFERROR(__xludf.DUMMYFUNCTION("""COMPUTED_VALUE"""),0.25)</f>
        <v>0.25</v>
      </c>
      <c r="D11791" s="8">
        <f>IFERROR(__xludf.DUMMYFUNCTION("""COMPUTED_VALUE"""),0.247)</f>
        <v>0.247</v>
      </c>
      <c r="E11791" s="8" t="str">
        <f>IFERROR(__xludf.DUMMYFUNCTION("""COMPUTED_VALUE"""),"Real")</f>
        <v>Real</v>
      </c>
      <c r="G11791" s="8">
        <f t="shared" si="1"/>
        <v>3</v>
      </c>
      <c r="H11791" s="14">
        <f t="shared" si="2"/>
        <v>6</v>
      </c>
      <c r="I11791" s="15">
        <f t="shared" si="3"/>
        <v>6</v>
      </c>
    </row>
    <row r="11792">
      <c r="A11792" s="8" t="str">
        <f>IFERROR(__xludf.DUMMYFUNCTION("IF('(INGESTA)Datos_consumo_datadis'!A11792&lt;&gt;"""",SPLIT('(INGESTA)Datos_consumo_datadis'!A:A,"",""),"""")"),"ES0031408323131005HX0F")</f>
        <v>ES0031408323131005HX0F</v>
      </c>
      <c r="B11792" s="12">
        <f>IFERROR(__xludf.DUMMYFUNCTION("""COMPUTED_VALUE"""),45357.0)</f>
        <v>45357</v>
      </c>
      <c r="C11792" s="13">
        <f>IFERROR(__xludf.DUMMYFUNCTION("""COMPUTED_VALUE"""),0.2916666666666667)</f>
        <v>0.2916666667</v>
      </c>
      <c r="D11792" s="8">
        <f>IFERROR(__xludf.DUMMYFUNCTION("""COMPUTED_VALUE"""),0.296)</f>
        <v>0.296</v>
      </c>
      <c r="E11792" s="8" t="str">
        <f>IFERROR(__xludf.DUMMYFUNCTION("""COMPUTED_VALUE"""),"Real")</f>
        <v>Real</v>
      </c>
      <c r="G11792" s="8">
        <f t="shared" si="1"/>
        <v>3</v>
      </c>
      <c r="H11792" s="14">
        <f t="shared" si="2"/>
        <v>6</v>
      </c>
      <c r="I11792" s="15">
        <f t="shared" si="3"/>
        <v>7</v>
      </c>
    </row>
    <row r="11793">
      <c r="A11793" s="8" t="str">
        <f>IFERROR(__xludf.DUMMYFUNCTION("IF('(INGESTA)Datos_consumo_datadis'!A11793&lt;&gt;"""",SPLIT('(INGESTA)Datos_consumo_datadis'!A:A,"",""),"""")"),"ES0031408323131005HX0F")</f>
        <v>ES0031408323131005HX0F</v>
      </c>
      <c r="B11793" s="12">
        <f>IFERROR(__xludf.DUMMYFUNCTION("""COMPUTED_VALUE"""),45357.0)</f>
        <v>45357</v>
      </c>
      <c r="C11793" s="13">
        <f>IFERROR(__xludf.DUMMYFUNCTION("""COMPUTED_VALUE"""),0.3333333333333333)</f>
        <v>0.3333333333</v>
      </c>
      <c r="D11793" s="8">
        <f>IFERROR(__xludf.DUMMYFUNCTION("""COMPUTED_VALUE"""),0.137)</f>
        <v>0.137</v>
      </c>
      <c r="E11793" s="8" t="str">
        <f>IFERROR(__xludf.DUMMYFUNCTION("""COMPUTED_VALUE"""),"Real")</f>
        <v>Real</v>
      </c>
      <c r="G11793" s="8">
        <f t="shared" si="1"/>
        <v>3</v>
      </c>
      <c r="H11793" s="14">
        <f t="shared" si="2"/>
        <v>6</v>
      </c>
      <c r="I11793" s="15">
        <f t="shared" si="3"/>
        <v>8</v>
      </c>
    </row>
    <row r="11794">
      <c r="A11794" s="8" t="str">
        <f>IFERROR(__xludf.DUMMYFUNCTION("IF('(INGESTA)Datos_consumo_datadis'!A11794&lt;&gt;"""",SPLIT('(INGESTA)Datos_consumo_datadis'!A:A,"",""),"""")"),"ES0031408323131005HX0F")</f>
        <v>ES0031408323131005HX0F</v>
      </c>
      <c r="B11794" s="12">
        <f>IFERROR(__xludf.DUMMYFUNCTION("""COMPUTED_VALUE"""),45357.0)</f>
        <v>45357</v>
      </c>
      <c r="C11794" s="13">
        <f>IFERROR(__xludf.DUMMYFUNCTION("""COMPUTED_VALUE"""),0.375)</f>
        <v>0.375</v>
      </c>
      <c r="D11794" s="8">
        <f>IFERROR(__xludf.DUMMYFUNCTION("""COMPUTED_VALUE"""),0.045)</f>
        <v>0.045</v>
      </c>
      <c r="E11794" s="8" t="str">
        <f>IFERROR(__xludf.DUMMYFUNCTION("""COMPUTED_VALUE"""),"Real")</f>
        <v>Real</v>
      </c>
      <c r="G11794" s="8">
        <f t="shared" si="1"/>
        <v>3</v>
      </c>
      <c r="H11794" s="14">
        <f t="shared" si="2"/>
        <v>6</v>
      </c>
      <c r="I11794" s="15">
        <f t="shared" si="3"/>
        <v>9</v>
      </c>
    </row>
    <row r="11795">
      <c r="A11795" s="8" t="str">
        <f>IFERROR(__xludf.DUMMYFUNCTION("IF('(INGESTA)Datos_consumo_datadis'!A11795&lt;&gt;"""",SPLIT('(INGESTA)Datos_consumo_datadis'!A:A,"",""),"""")"),"ES0031408323131005HX0F")</f>
        <v>ES0031408323131005HX0F</v>
      </c>
      <c r="B11795" s="12">
        <f>IFERROR(__xludf.DUMMYFUNCTION("""COMPUTED_VALUE"""),45357.0)</f>
        <v>45357</v>
      </c>
      <c r="C11795" s="13">
        <f>IFERROR(__xludf.DUMMYFUNCTION("""COMPUTED_VALUE"""),0.4166666666666667)</f>
        <v>0.4166666667</v>
      </c>
      <c r="D11795" s="8">
        <f>IFERROR(__xludf.DUMMYFUNCTION("""COMPUTED_VALUE"""),0.318)</f>
        <v>0.318</v>
      </c>
      <c r="E11795" s="8" t="str">
        <f>IFERROR(__xludf.DUMMYFUNCTION("""COMPUTED_VALUE"""),"Real")</f>
        <v>Real</v>
      </c>
      <c r="G11795" s="8">
        <f t="shared" si="1"/>
        <v>3</v>
      </c>
      <c r="H11795" s="14">
        <f t="shared" si="2"/>
        <v>6</v>
      </c>
      <c r="I11795" s="15">
        <f t="shared" si="3"/>
        <v>10</v>
      </c>
    </row>
    <row r="11796">
      <c r="A11796" s="8" t="str">
        <f>IFERROR(__xludf.DUMMYFUNCTION("IF('(INGESTA)Datos_consumo_datadis'!A11796&lt;&gt;"""",SPLIT('(INGESTA)Datos_consumo_datadis'!A:A,"",""),"""")"),"ES0031408323131005HX0F")</f>
        <v>ES0031408323131005HX0F</v>
      </c>
      <c r="B11796" s="12">
        <f>IFERROR(__xludf.DUMMYFUNCTION("""COMPUTED_VALUE"""),45357.0)</f>
        <v>45357</v>
      </c>
      <c r="C11796" s="13">
        <f>IFERROR(__xludf.DUMMYFUNCTION("""COMPUTED_VALUE"""),0.4583333333333333)</f>
        <v>0.4583333333</v>
      </c>
      <c r="D11796" s="8">
        <f>IFERROR(__xludf.DUMMYFUNCTION("""COMPUTED_VALUE"""),0.074)</f>
        <v>0.074</v>
      </c>
      <c r="E11796" s="8" t="str">
        <f>IFERROR(__xludf.DUMMYFUNCTION("""COMPUTED_VALUE"""),"Real")</f>
        <v>Real</v>
      </c>
      <c r="G11796" s="8">
        <f t="shared" si="1"/>
        <v>3</v>
      </c>
      <c r="H11796" s="14">
        <f t="shared" si="2"/>
        <v>6</v>
      </c>
      <c r="I11796" s="15">
        <f t="shared" si="3"/>
        <v>11</v>
      </c>
    </row>
    <row r="11797">
      <c r="A11797" s="8" t="str">
        <f>IFERROR(__xludf.DUMMYFUNCTION("IF('(INGESTA)Datos_consumo_datadis'!A11797&lt;&gt;"""",SPLIT('(INGESTA)Datos_consumo_datadis'!A:A,"",""),"""")"),"ES0031408323131005HX0F")</f>
        <v>ES0031408323131005HX0F</v>
      </c>
      <c r="B11797" s="12">
        <f>IFERROR(__xludf.DUMMYFUNCTION("""COMPUTED_VALUE"""),45357.0)</f>
        <v>45357</v>
      </c>
      <c r="C11797" s="13">
        <f>IFERROR(__xludf.DUMMYFUNCTION("""COMPUTED_VALUE"""),0.5)</f>
        <v>0.5</v>
      </c>
      <c r="D11797" s="8">
        <f>IFERROR(__xludf.DUMMYFUNCTION("""COMPUTED_VALUE"""),0.027)</f>
        <v>0.027</v>
      </c>
      <c r="E11797" s="8" t="str">
        <f>IFERROR(__xludf.DUMMYFUNCTION("""COMPUTED_VALUE"""),"Real")</f>
        <v>Real</v>
      </c>
      <c r="G11797" s="8">
        <f t="shared" si="1"/>
        <v>3</v>
      </c>
      <c r="H11797" s="14">
        <f t="shared" si="2"/>
        <v>6</v>
      </c>
      <c r="I11797" s="15">
        <f t="shared" si="3"/>
        <v>12</v>
      </c>
    </row>
    <row r="11798">
      <c r="A11798" s="8" t="str">
        <f>IFERROR(__xludf.DUMMYFUNCTION("IF('(INGESTA)Datos_consumo_datadis'!A11798&lt;&gt;"""",SPLIT('(INGESTA)Datos_consumo_datadis'!A:A,"",""),"""")"),"ES0031408323131005HX0F")</f>
        <v>ES0031408323131005HX0F</v>
      </c>
      <c r="B11798" s="12">
        <f>IFERROR(__xludf.DUMMYFUNCTION("""COMPUTED_VALUE"""),45357.0)</f>
        <v>45357</v>
      </c>
      <c r="C11798" s="13">
        <f>IFERROR(__xludf.DUMMYFUNCTION("""COMPUTED_VALUE"""),0.5416666666666666)</f>
        <v>0.5416666667</v>
      </c>
      <c r="D11798" s="8">
        <f>IFERROR(__xludf.DUMMYFUNCTION("""COMPUTED_VALUE"""),0.073)</f>
        <v>0.073</v>
      </c>
      <c r="E11798" s="8" t="str">
        <f>IFERROR(__xludf.DUMMYFUNCTION("""COMPUTED_VALUE"""),"Real")</f>
        <v>Real</v>
      </c>
      <c r="G11798" s="8">
        <f t="shared" si="1"/>
        <v>3</v>
      </c>
      <c r="H11798" s="14">
        <f t="shared" si="2"/>
        <v>6</v>
      </c>
      <c r="I11798" s="15">
        <f t="shared" si="3"/>
        <v>13</v>
      </c>
    </row>
    <row r="11799">
      <c r="A11799" s="8" t="str">
        <f>IFERROR(__xludf.DUMMYFUNCTION("IF('(INGESTA)Datos_consumo_datadis'!A11799&lt;&gt;"""",SPLIT('(INGESTA)Datos_consumo_datadis'!A:A,"",""),"""")"),"ES0031408323131005HX0F")</f>
        <v>ES0031408323131005HX0F</v>
      </c>
      <c r="B11799" s="12">
        <f>IFERROR(__xludf.DUMMYFUNCTION("""COMPUTED_VALUE"""),45357.0)</f>
        <v>45357</v>
      </c>
      <c r="C11799" s="13">
        <f>IFERROR(__xludf.DUMMYFUNCTION("""COMPUTED_VALUE"""),0.5833333333333334)</f>
        <v>0.5833333333</v>
      </c>
      <c r="D11799" s="8">
        <f>IFERROR(__xludf.DUMMYFUNCTION("""COMPUTED_VALUE"""),0.07)</f>
        <v>0.07</v>
      </c>
      <c r="E11799" s="8" t="str">
        <f>IFERROR(__xludf.DUMMYFUNCTION("""COMPUTED_VALUE"""),"Real")</f>
        <v>Real</v>
      </c>
      <c r="G11799" s="8">
        <f t="shared" si="1"/>
        <v>3</v>
      </c>
      <c r="H11799" s="14">
        <f t="shared" si="2"/>
        <v>6</v>
      </c>
      <c r="I11799" s="15">
        <f t="shared" si="3"/>
        <v>14</v>
      </c>
    </row>
    <row r="11800">
      <c r="A11800" s="8" t="str">
        <f>IFERROR(__xludf.DUMMYFUNCTION("IF('(INGESTA)Datos_consumo_datadis'!A11800&lt;&gt;"""",SPLIT('(INGESTA)Datos_consumo_datadis'!A:A,"",""),"""")"),"ES0031408323131005HX0F")</f>
        <v>ES0031408323131005HX0F</v>
      </c>
      <c r="B11800" s="12">
        <f>IFERROR(__xludf.DUMMYFUNCTION("""COMPUTED_VALUE"""),45357.0)</f>
        <v>45357</v>
      </c>
      <c r="C11800" s="13">
        <f>IFERROR(__xludf.DUMMYFUNCTION("""COMPUTED_VALUE"""),0.625)</f>
        <v>0.625</v>
      </c>
      <c r="D11800" s="8">
        <f>IFERROR(__xludf.DUMMYFUNCTION("""COMPUTED_VALUE"""),0.358)</f>
        <v>0.358</v>
      </c>
      <c r="E11800" s="8" t="str">
        <f>IFERROR(__xludf.DUMMYFUNCTION("""COMPUTED_VALUE"""),"Real")</f>
        <v>Real</v>
      </c>
      <c r="G11800" s="8">
        <f t="shared" si="1"/>
        <v>3</v>
      </c>
      <c r="H11800" s="14">
        <f t="shared" si="2"/>
        <v>6</v>
      </c>
      <c r="I11800" s="15">
        <f t="shared" si="3"/>
        <v>15</v>
      </c>
    </row>
    <row r="11801">
      <c r="A11801" s="8" t="str">
        <f>IFERROR(__xludf.DUMMYFUNCTION("IF('(INGESTA)Datos_consumo_datadis'!A11801&lt;&gt;"""",SPLIT('(INGESTA)Datos_consumo_datadis'!A:A,"",""),"""")"),"ES0031408323131005HX0F")</f>
        <v>ES0031408323131005HX0F</v>
      </c>
      <c r="B11801" s="12">
        <f>IFERROR(__xludf.DUMMYFUNCTION("""COMPUTED_VALUE"""),45357.0)</f>
        <v>45357</v>
      </c>
      <c r="C11801" s="13">
        <f>IFERROR(__xludf.DUMMYFUNCTION("""COMPUTED_VALUE"""),0.6666666666666666)</f>
        <v>0.6666666667</v>
      </c>
      <c r="D11801" s="8">
        <f>IFERROR(__xludf.DUMMYFUNCTION("""COMPUTED_VALUE"""),0.086)</f>
        <v>0.086</v>
      </c>
      <c r="E11801" s="8" t="str">
        <f>IFERROR(__xludf.DUMMYFUNCTION("""COMPUTED_VALUE"""),"Real")</f>
        <v>Real</v>
      </c>
      <c r="G11801" s="8">
        <f t="shared" si="1"/>
        <v>3</v>
      </c>
      <c r="H11801" s="14">
        <f t="shared" si="2"/>
        <v>6</v>
      </c>
      <c r="I11801" s="15">
        <f t="shared" si="3"/>
        <v>16</v>
      </c>
    </row>
    <row r="11802">
      <c r="A11802" s="8" t="str">
        <f>IFERROR(__xludf.DUMMYFUNCTION("IF('(INGESTA)Datos_consumo_datadis'!A11802&lt;&gt;"""",SPLIT('(INGESTA)Datos_consumo_datadis'!A:A,"",""),"""")"),"ES0031408323131005HX0F")</f>
        <v>ES0031408323131005HX0F</v>
      </c>
      <c r="B11802" s="12">
        <f>IFERROR(__xludf.DUMMYFUNCTION("""COMPUTED_VALUE"""),45357.0)</f>
        <v>45357</v>
      </c>
      <c r="C11802" s="13">
        <f>IFERROR(__xludf.DUMMYFUNCTION("""COMPUTED_VALUE"""),0.7083333333333334)</f>
        <v>0.7083333333</v>
      </c>
      <c r="D11802" s="8">
        <f>IFERROR(__xludf.DUMMYFUNCTION("""COMPUTED_VALUE"""),0.421)</f>
        <v>0.421</v>
      </c>
      <c r="E11802" s="8" t="str">
        <f>IFERROR(__xludf.DUMMYFUNCTION("""COMPUTED_VALUE"""),"Real")</f>
        <v>Real</v>
      </c>
      <c r="G11802" s="8">
        <f t="shared" si="1"/>
        <v>3</v>
      </c>
      <c r="H11802" s="14">
        <f t="shared" si="2"/>
        <v>6</v>
      </c>
      <c r="I11802" s="15">
        <f t="shared" si="3"/>
        <v>17</v>
      </c>
    </row>
    <row r="11803">
      <c r="A11803" s="8" t="str">
        <f>IFERROR(__xludf.DUMMYFUNCTION("IF('(INGESTA)Datos_consumo_datadis'!A11803&lt;&gt;"""",SPLIT('(INGESTA)Datos_consumo_datadis'!A:A,"",""),"""")"),"ES0031408323131005HX0F")</f>
        <v>ES0031408323131005HX0F</v>
      </c>
      <c r="B11803" s="12">
        <f>IFERROR(__xludf.DUMMYFUNCTION("""COMPUTED_VALUE"""),45357.0)</f>
        <v>45357</v>
      </c>
      <c r="C11803" s="13">
        <f>IFERROR(__xludf.DUMMYFUNCTION("""COMPUTED_VALUE"""),0.75)</f>
        <v>0.75</v>
      </c>
      <c r="D11803" s="8">
        <f>IFERROR(__xludf.DUMMYFUNCTION("""COMPUTED_VALUE"""),0.051)</f>
        <v>0.051</v>
      </c>
      <c r="E11803" s="8" t="str">
        <f>IFERROR(__xludf.DUMMYFUNCTION("""COMPUTED_VALUE"""),"Real")</f>
        <v>Real</v>
      </c>
      <c r="G11803" s="8">
        <f t="shared" si="1"/>
        <v>3</v>
      </c>
      <c r="H11803" s="14">
        <f t="shared" si="2"/>
        <v>6</v>
      </c>
      <c r="I11803" s="15">
        <f t="shared" si="3"/>
        <v>18</v>
      </c>
    </row>
    <row r="11804">
      <c r="A11804" s="8" t="str">
        <f>IFERROR(__xludf.DUMMYFUNCTION("IF('(INGESTA)Datos_consumo_datadis'!A11804&lt;&gt;"""",SPLIT('(INGESTA)Datos_consumo_datadis'!A:A,"",""),"""")"),"ES0031408323131005HX0F")</f>
        <v>ES0031408323131005HX0F</v>
      </c>
      <c r="B11804" s="12">
        <f>IFERROR(__xludf.DUMMYFUNCTION("""COMPUTED_VALUE"""),45357.0)</f>
        <v>45357</v>
      </c>
      <c r="C11804" s="13">
        <f>IFERROR(__xludf.DUMMYFUNCTION("""COMPUTED_VALUE"""),0.7916666666666666)</f>
        <v>0.7916666667</v>
      </c>
      <c r="D11804" s="8">
        <f>IFERROR(__xludf.DUMMYFUNCTION("""COMPUTED_VALUE"""),0.114)</f>
        <v>0.114</v>
      </c>
      <c r="E11804" s="8" t="str">
        <f>IFERROR(__xludf.DUMMYFUNCTION("""COMPUTED_VALUE"""),"Real")</f>
        <v>Real</v>
      </c>
      <c r="G11804" s="8">
        <f t="shared" si="1"/>
        <v>3</v>
      </c>
      <c r="H11804" s="14">
        <f t="shared" si="2"/>
        <v>6</v>
      </c>
      <c r="I11804" s="15">
        <f t="shared" si="3"/>
        <v>19</v>
      </c>
    </row>
    <row r="11805">
      <c r="A11805" s="8" t="str">
        <f>IFERROR(__xludf.DUMMYFUNCTION("IF('(INGESTA)Datos_consumo_datadis'!A11805&lt;&gt;"""",SPLIT('(INGESTA)Datos_consumo_datadis'!A:A,"",""),"""")"),"ES0031408323131005HX0F")</f>
        <v>ES0031408323131005HX0F</v>
      </c>
      <c r="B11805" s="12">
        <f>IFERROR(__xludf.DUMMYFUNCTION("""COMPUTED_VALUE"""),45357.0)</f>
        <v>45357</v>
      </c>
      <c r="C11805" s="13">
        <f>IFERROR(__xludf.DUMMYFUNCTION("""COMPUTED_VALUE"""),0.8333333333333334)</f>
        <v>0.8333333333</v>
      </c>
      <c r="D11805" s="8">
        <f>IFERROR(__xludf.DUMMYFUNCTION("""COMPUTED_VALUE"""),0.267)</f>
        <v>0.267</v>
      </c>
      <c r="E11805" s="8" t="str">
        <f>IFERROR(__xludf.DUMMYFUNCTION("""COMPUTED_VALUE"""),"Real")</f>
        <v>Real</v>
      </c>
      <c r="G11805" s="8">
        <f t="shared" si="1"/>
        <v>3</v>
      </c>
      <c r="H11805" s="14">
        <f t="shared" si="2"/>
        <v>6</v>
      </c>
      <c r="I11805" s="15">
        <f t="shared" si="3"/>
        <v>20</v>
      </c>
    </row>
    <row r="11806">
      <c r="A11806" s="8" t="str">
        <f>IFERROR(__xludf.DUMMYFUNCTION("IF('(INGESTA)Datos_consumo_datadis'!A11806&lt;&gt;"""",SPLIT('(INGESTA)Datos_consumo_datadis'!A:A,"",""),"""")"),"ES0031408323131005HX0F")</f>
        <v>ES0031408323131005HX0F</v>
      </c>
      <c r="B11806" s="12">
        <f>IFERROR(__xludf.DUMMYFUNCTION("""COMPUTED_VALUE"""),45357.0)</f>
        <v>45357</v>
      </c>
      <c r="C11806" s="13">
        <f>IFERROR(__xludf.DUMMYFUNCTION("""COMPUTED_VALUE"""),0.875)</f>
        <v>0.875</v>
      </c>
      <c r="D11806" s="8">
        <f>IFERROR(__xludf.DUMMYFUNCTION("""COMPUTED_VALUE"""),2.771)</f>
        <v>2.771</v>
      </c>
      <c r="E11806" s="8" t="str">
        <f>IFERROR(__xludf.DUMMYFUNCTION("""COMPUTED_VALUE"""),"Real")</f>
        <v>Real</v>
      </c>
      <c r="G11806" s="8">
        <f t="shared" si="1"/>
        <v>3</v>
      </c>
      <c r="H11806" s="14">
        <f t="shared" si="2"/>
        <v>6</v>
      </c>
      <c r="I11806" s="15">
        <f t="shared" si="3"/>
        <v>21</v>
      </c>
    </row>
    <row r="11807">
      <c r="A11807" s="8" t="str">
        <f>IFERROR(__xludf.DUMMYFUNCTION("IF('(INGESTA)Datos_consumo_datadis'!A11807&lt;&gt;"""",SPLIT('(INGESTA)Datos_consumo_datadis'!A:A,"",""),"""")"),"ES0031408323131005HX0F")</f>
        <v>ES0031408323131005HX0F</v>
      </c>
      <c r="B11807" s="12">
        <f>IFERROR(__xludf.DUMMYFUNCTION("""COMPUTED_VALUE"""),45357.0)</f>
        <v>45357</v>
      </c>
      <c r="C11807" s="13">
        <f>IFERROR(__xludf.DUMMYFUNCTION("""COMPUTED_VALUE"""),0.9166666666666666)</f>
        <v>0.9166666667</v>
      </c>
      <c r="D11807" s="8">
        <f>IFERROR(__xludf.DUMMYFUNCTION("""COMPUTED_VALUE"""),0.642)</f>
        <v>0.642</v>
      </c>
      <c r="E11807" s="8" t="str">
        <f>IFERROR(__xludf.DUMMYFUNCTION("""COMPUTED_VALUE"""),"Real")</f>
        <v>Real</v>
      </c>
      <c r="G11807" s="8">
        <f t="shared" si="1"/>
        <v>3</v>
      </c>
      <c r="H11807" s="14">
        <f t="shared" si="2"/>
        <v>6</v>
      </c>
      <c r="I11807" s="15">
        <f t="shared" si="3"/>
        <v>22</v>
      </c>
    </row>
    <row r="11808">
      <c r="A11808" s="8" t="str">
        <f>IFERROR(__xludf.DUMMYFUNCTION("IF('(INGESTA)Datos_consumo_datadis'!A11808&lt;&gt;"""",SPLIT('(INGESTA)Datos_consumo_datadis'!A:A,"",""),"""")"),"ES0031408323131005HX0F")</f>
        <v>ES0031408323131005HX0F</v>
      </c>
      <c r="B11808" s="12">
        <f>IFERROR(__xludf.DUMMYFUNCTION("""COMPUTED_VALUE"""),45357.0)</f>
        <v>45357</v>
      </c>
      <c r="C11808" s="13">
        <f>IFERROR(__xludf.DUMMYFUNCTION("""COMPUTED_VALUE"""),0.9583333333333334)</f>
        <v>0.9583333333</v>
      </c>
      <c r="D11808" s="8">
        <f>IFERROR(__xludf.DUMMYFUNCTION("""COMPUTED_VALUE"""),1.926)</f>
        <v>1.926</v>
      </c>
      <c r="E11808" s="8" t="str">
        <f>IFERROR(__xludf.DUMMYFUNCTION("""COMPUTED_VALUE"""),"Real")</f>
        <v>Real</v>
      </c>
      <c r="G11808" s="8">
        <f t="shared" si="1"/>
        <v>3</v>
      </c>
      <c r="H11808" s="14">
        <f t="shared" si="2"/>
        <v>6</v>
      </c>
      <c r="I11808" s="15">
        <f t="shared" si="3"/>
        <v>23</v>
      </c>
    </row>
    <row r="11809">
      <c r="A11809" s="8" t="str">
        <f>IFERROR(__xludf.DUMMYFUNCTION("IF('(INGESTA)Datos_consumo_datadis'!A11809&lt;&gt;"""",SPLIT('(INGESTA)Datos_consumo_datadis'!A:A,"",""),"""")"),"ES0031408323131005HX0F")</f>
        <v>ES0031408323131005HX0F</v>
      </c>
      <c r="B11809" s="12">
        <f>IFERROR(__xludf.DUMMYFUNCTION("""COMPUTED_VALUE"""),45357.0)</f>
        <v>45357</v>
      </c>
      <c r="C11809" s="16">
        <f>IFERROR(__xludf.DUMMYFUNCTION("""COMPUTED_VALUE"""),1.0)</f>
        <v>1</v>
      </c>
      <c r="D11809" s="8">
        <f>IFERROR(__xludf.DUMMYFUNCTION("""COMPUTED_VALUE"""),2.555)</f>
        <v>2.555</v>
      </c>
      <c r="E11809" s="8" t="str">
        <f>IFERROR(__xludf.DUMMYFUNCTION("""COMPUTED_VALUE"""),"Real")</f>
        <v>Real</v>
      </c>
      <c r="G11809" s="8">
        <f t="shared" si="1"/>
        <v>3</v>
      </c>
      <c r="H11809" s="14">
        <f t="shared" si="2"/>
        <v>6</v>
      </c>
      <c r="I11809" s="15">
        <f t="shared" si="3"/>
        <v>0</v>
      </c>
    </row>
    <row r="11810">
      <c r="A11810" s="8" t="str">
        <f>IFERROR(__xludf.DUMMYFUNCTION("IF('(INGESTA)Datos_consumo_datadis'!A11810&lt;&gt;"""",SPLIT('(INGESTA)Datos_consumo_datadis'!A:A,"",""),"""")"),"ES0031408323131005HX0F")</f>
        <v>ES0031408323131005HX0F</v>
      </c>
      <c r="B11810" s="12">
        <f>IFERROR(__xludf.DUMMYFUNCTION("""COMPUTED_VALUE"""),45358.0)</f>
        <v>45358</v>
      </c>
      <c r="C11810" s="13">
        <f>IFERROR(__xludf.DUMMYFUNCTION("""COMPUTED_VALUE"""),0.041666666666666664)</f>
        <v>0.04166666667</v>
      </c>
      <c r="D11810" s="8">
        <f>IFERROR(__xludf.DUMMYFUNCTION("""COMPUTED_VALUE"""),0.191)</f>
        <v>0.191</v>
      </c>
      <c r="E11810" s="8" t="str">
        <f>IFERROR(__xludf.DUMMYFUNCTION("""COMPUTED_VALUE"""),"Real")</f>
        <v>Real</v>
      </c>
      <c r="G11810" s="8">
        <f t="shared" si="1"/>
        <v>3</v>
      </c>
      <c r="H11810" s="14">
        <f t="shared" si="2"/>
        <v>7</v>
      </c>
      <c r="I11810" s="15">
        <f t="shared" si="3"/>
        <v>1</v>
      </c>
    </row>
    <row r="11811">
      <c r="A11811" s="8" t="str">
        <f>IFERROR(__xludf.DUMMYFUNCTION("IF('(INGESTA)Datos_consumo_datadis'!A11811&lt;&gt;"""",SPLIT('(INGESTA)Datos_consumo_datadis'!A:A,"",""),"""")"),"ES0031408323131005HX0F")</f>
        <v>ES0031408323131005HX0F</v>
      </c>
      <c r="B11811" s="12">
        <f>IFERROR(__xludf.DUMMYFUNCTION("""COMPUTED_VALUE"""),45358.0)</f>
        <v>45358</v>
      </c>
      <c r="C11811" s="13">
        <f>IFERROR(__xludf.DUMMYFUNCTION("""COMPUTED_VALUE"""),0.08333333333333333)</f>
        <v>0.08333333333</v>
      </c>
      <c r="D11811" s="8">
        <f>IFERROR(__xludf.DUMMYFUNCTION("""COMPUTED_VALUE"""),0.062)</f>
        <v>0.062</v>
      </c>
      <c r="E11811" s="8" t="str">
        <f>IFERROR(__xludf.DUMMYFUNCTION("""COMPUTED_VALUE"""),"Real")</f>
        <v>Real</v>
      </c>
      <c r="G11811" s="8">
        <f t="shared" si="1"/>
        <v>3</v>
      </c>
      <c r="H11811" s="14">
        <f t="shared" si="2"/>
        <v>7</v>
      </c>
      <c r="I11811" s="15">
        <f t="shared" si="3"/>
        <v>2</v>
      </c>
    </row>
    <row r="11812">
      <c r="A11812" s="8" t="str">
        <f>IFERROR(__xludf.DUMMYFUNCTION("IF('(INGESTA)Datos_consumo_datadis'!A11812&lt;&gt;"""",SPLIT('(INGESTA)Datos_consumo_datadis'!A:A,"",""),"""")"),"ES0031408323131005HX0F")</f>
        <v>ES0031408323131005HX0F</v>
      </c>
      <c r="B11812" s="12">
        <f>IFERROR(__xludf.DUMMYFUNCTION("""COMPUTED_VALUE"""),45358.0)</f>
        <v>45358</v>
      </c>
      <c r="C11812" s="13">
        <f>IFERROR(__xludf.DUMMYFUNCTION("""COMPUTED_VALUE"""),0.125)</f>
        <v>0.125</v>
      </c>
      <c r="D11812" s="8">
        <f>IFERROR(__xludf.DUMMYFUNCTION("""COMPUTED_VALUE"""),0.117)</f>
        <v>0.117</v>
      </c>
      <c r="E11812" s="8" t="str">
        <f>IFERROR(__xludf.DUMMYFUNCTION("""COMPUTED_VALUE"""),"Real")</f>
        <v>Real</v>
      </c>
      <c r="G11812" s="8">
        <f t="shared" si="1"/>
        <v>3</v>
      </c>
      <c r="H11812" s="14">
        <f t="shared" si="2"/>
        <v>7</v>
      </c>
      <c r="I11812" s="15">
        <f t="shared" si="3"/>
        <v>3</v>
      </c>
    </row>
    <row r="11813">
      <c r="A11813" s="8" t="str">
        <f>IFERROR(__xludf.DUMMYFUNCTION("IF('(INGESTA)Datos_consumo_datadis'!A11813&lt;&gt;"""",SPLIT('(INGESTA)Datos_consumo_datadis'!A:A,"",""),"""")"),"ES0031408323131005HX0F")</f>
        <v>ES0031408323131005HX0F</v>
      </c>
      <c r="B11813" s="12">
        <f>IFERROR(__xludf.DUMMYFUNCTION("""COMPUTED_VALUE"""),45358.0)</f>
        <v>45358</v>
      </c>
      <c r="C11813" s="13">
        <f>IFERROR(__xludf.DUMMYFUNCTION("""COMPUTED_VALUE"""),0.16666666666666666)</f>
        <v>0.1666666667</v>
      </c>
      <c r="D11813" s="8">
        <f>IFERROR(__xludf.DUMMYFUNCTION("""COMPUTED_VALUE"""),0.071)</f>
        <v>0.071</v>
      </c>
      <c r="E11813" s="8" t="str">
        <f>IFERROR(__xludf.DUMMYFUNCTION("""COMPUTED_VALUE"""),"Real")</f>
        <v>Real</v>
      </c>
      <c r="G11813" s="8">
        <f t="shared" si="1"/>
        <v>3</v>
      </c>
      <c r="H11813" s="14">
        <f t="shared" si="2"/>
        <v>7</v>
      </c>
      <c r="I11813" s="15">
        <f t="shared" si="3"/>
        <v>4</v>
      </c>
    </row>
    <row r="11814">
      <c r="A11814" s="8" t="str">
        <f>IFERROR(__xludf.DUMMYFUNCTION("IF('(INGESTA)Datos_consumo_datadis'!A11814&lt;&gt;"""",SPLIT('(INGESTA)Datos_consumo_datadis'!A:A,"",""),"""")"),"ES0031408323131005HX0F")</f>
        <v>ES0031408323131005HX0F</v>
      </c>
      <c r="B11814" s="12">
        <f>IFERROR(__xludf.DUMMYFUNCTION("""COMPUTED_VALUE"""),45358.0)</f>
        <v>45358</v>
      </c>
      <c r="C11814" s="13">
        <f>IFERROR(__xludf.DUMMYFUNCTION("""COMPUTED_VALUE"""),0.20833333333333334)</f>
        <v>0.2083333333</v>
      </c>
      <c r="D11814" s="8">
        <f>IFERROR(__xludf.DUMMYFUNCTION("""COMPUTED_VALUE"""),0.303)</f>
        <v>0.303</v>
      </c>
      <c r="E11814" s="8" t="str">
        <f>IFERROR(__xludf.DUMMYFUNCTION("""COMPUTED_VALUE"""),"Real")</f>
        <v>Real</v>
      </c>
      <c r="G11814" s="8">
        <f t="shared" si="1"/>
        <v>3</v>
      </c>
      <c r="H11814" s="14">
        <f t="shared" si="2"/>
        <v>7</v>
      </c>
      <c r="I11814" s="15">
        <f t="shared" si="3"/>
        <v>5</v>
      </c>
    </row>
    <row r="11815">
      <c r="A11815" s="8" t="str">
        <f>IFERROR(__xludf.DUMMYFUNCTION("IF('(INGESTA)Datos_consumo_datadis'!A11815&lt;&gt;"""",SPLIT('(INGESTA)Datos_consumo_datadis'!A:A,"",""),"""")"),"ES0031408323131005HX0F")</f>
        <v>ES0031408323131005HX0F</v>
      </c>
      <c r="B11815" s="12">
        <f>IFERROR(__xludf.DUMMYFUNCTION("""COMPUTED_VALUE"""),45358.0)</f>
        <v>45358</v>
      </c>
      <c r="C11815" s="13">
        <f>IFERROR(__xludf.DUMMYFUNCTION("""COMPUTED_VALUE"""),0.25)</f>
        <v>0.25</v>
      </c>
      <c r="D11815" s="8">
        <f>IFERROR(__xludf.DUMMYFUNCTION("""COMPUTED_VALUE"""),0.163)</f>
        <v>0.163</v>
      </c>
      <c r="E11815" s="8" t="str">
        <f>IFERROR(__xludf.DUMMYFUNCTION("""COMPUTED_VALUE"""),"Real")</f>
        <v>Real</v>
      </c>
      <c r="G11815" s="8">
        <f t="shared" si="1"/>
        <v>3</v>
      </c>
      <c r="H11815" s="14">
        <f t="shared" si="2"/>
        <v>7</v>
      </c>
      <c r="I11815" s="15">
        <f t="shared" si="3"/>
        <v>6</v>
      </c>
    </row>
    <row r="11816">
      <c r="A11816" s="8" t="str">
        <f>IFERROR(__xludf.DUMMYFUNCTION("IF('(INGESTA)Datos_consumo_datadis'!A11816&lt;&gt;"""",SPLIT('(INGESTA)Datos_consumo_datadis'!A:A,"",""),"""")"),"ES0031408323131005HX0F")</f>
        <v>ES0031408323131005HX0F</v>
      </c>
      <c r="B11816" s="12">
        <f>IFERROR(__xludf.DUMMYFUNCTION("""COMPUTED_VALUE"""),45358.0)</f>
        <v>45358</v>
      </c>
      <c r="C11816" s="13">
        <f>IFERROR(__xludf.DUMMYFUNCTION("""COMPUTED_VALUE"""),0.2916666666666667)</f>
        <v>0.2916666667</v>
      </c>
      <c r="D11816" s="8">
        <f>IFERROR(__xludf.DUMMYFUNCTION("""COMPUTED_VALUE"""),0.417)</f>
        <v>0.417</v>
      </c>
      <c r="E11816" s="8" t="str">
        <f>IFERROR(__xludf.DUMMYFUNCTION("""COMPUTED_VALUE"""),"Real")</f>
        <v>Real</v>
      </c>
      <c r="G11816" s="8">
        <f t="shared" si="1"/>
        <v>3</v>
      </c>
      <c r="H11816" s="14">
        <f t="shared" si="2"/>
        <v>7</v>
      </c>
      <c r="I11816" s="15">
        <f t="shared" si="3"/>
        <v>7</v>
      </c>
    </row>
    <row r="11817">
      <c r="A11817" s="8" t="str">
        <f>IFERROR(__xludf.DUMMYFUNCTION("IF('(INGESTA)Datos_consumo_datadis'!A11817&lt;&gt;"""",SPLIT('(INGESTA)Datos_consumo_datadis'!A:A,"",""),"""")"),"ES0031408323131005HX0F")</f>
        <v>ES0031408323131005HX0F</v>
      </c>
      <c r="B11817" s="12">
        <f>IFERROR(__xludf.DUMMYFUNCTION("""COMPUTED_VALUE"""),45358.0)</f>
        <v>45358</v>
      </c>
      <c r="C11817" s="13">
        <f>IFERROR(__xludf.DUMMYFUNCTION("""COMPUTED_VALUE"""),0.3333333333333333)</f>
        <v>0.3333333333</v>
      </c>
      <c r="D11817" s="8">
        <f>IFERROR(__xludf.DUMMYFUNCTION("""COMPUTED_VALUE"""),0.08)</f>
        <v>0.08</v>
      </c>
      <c r="E11817" s="8" t="str">
        <f>IFERROR(__xludf.DUMMYFUNCTION("""COMPUTED_VALUE"""),"Real")</f>
        <v>Real</v>
      </c>
      <c r="G11817" s="8">
        <f t="shared" si="1"/>
        <v>3</v>
      </c>
      <c r="H11817" s="14">
        <f t="shared" si="2"/>
        <v>7</v>
      </c>
      <c r="I11817" s="15">
        <f t="shared" si="3"/>
        <v>8</v>
      </c>
    </row>
    <row r="11818">
      <c r="A11818" s="8" t="str">
        <f>IFERROR(__xludf.DUMMYFUNCTION("IF('(INGESTA)Datos_consumo_datadis'!A11818&lt;&gt;"""",SPLIT('(INGESTA)Datos_consumo_datadis'!A:A,"",""),"""")"),"ES0031408323131005HX0F")</f>
        <v>ES0031408323131005HX0F</v>
      </c>
      <c r="B11818" s="12">
        <f>IFERROR(__xludf.DUMMYFUNCTION("""COMPUTED_VALUE"""),45358.0)</f>
        <v>45358</v>
      </c>
      <c r="C11818" s="13">
        <f>IFERROR(__xludf.DUMMYFUNCTION("""COMPUTED_VALUE"""),0.375)</f>
        <v>0.375</v>
      </c>
      <c r="D11818" s="8">
        <f>IFERROR(__xludf.DUMMYFUNCTION("""COMPUTED_VALUE"""),0.095)</f>
        <v>0.095</v>
      </c>
      <c r="E11818" s="8" t="str">
        <f>IFERROR(__xludf.DUMMYFUNCTION("""COMPUTED_VALUE"""),"Real")</f>
        <v>Real</v>
      </c>
      <c r="G11818" s="8">
        <f t="shared" si="1"/>
        <v>3</v>
      </c>
      <c r="H11818" s="14">
        <f t="shared" si="2"/>
        <v>7</v>
      </c>
      <c r="I11818" s="15">
        <f t="shared" si="3"/>
        <v>9</v>
      </c>
    </row>
    <row r="11819">
      <c r="A11819" s="8" t="str">
        <f>IFERROR(__xludf.DUMMYFUNCTION("IF('(INGESTA)Datos_consumo_datadis'!A11819&lt;&gt;"""",SPLIT('(INGESTA)Datos_consumo_datadis'!A:A,"",""),"""")"),"ES0031408323131005HX0F")</f>
        <v>ES0031408323131005HX0F</v>
      </c>
      <c r="B11819" s="12">
        <f>IFERROR(__xludf.DUMMYFUNCTION("""COMPUTED_VALUE"""),45358.0)</f>
        <v>45358</v>
      </c>
      <c r="C11819" s="13">
        <f>IFERROR(__xludf.DUMMYFUNCTION("""COMPUTED_VALUE"""),0.4166666666666667)</f>
        <v>0.4166666667</v>
      </c>
      <c r="D11819" s="8">
        <f>IFERROR(__xludf.DUMMYFUNCTION("""COMPUTED_VALUE"""),0.055)</f>
        <v>0.055</v>
      </c>
      <c r="E11819" s="8" t="str">
        <f>IFERROR(__xludf.DUMMYFUNCTION("""COMPUTED_VALUE"""),"Real")</f>
        <v>Real</v>
      </c>
      <c r="G11819" s="8">
        <f t="shared" si="1"/>
        <v>3</v>
      </c>
      <c r="H11819" s="14">
        <f t="shared" si="2"/>
        <v>7</v>
      </c>
      <c r="I11819" s="15">
        <f t="shared" si="3"/>
        <v>10</v>
      </c>
    </row>
    <row r="11820">
      <c r="A11820" s="8" t="str">
        <f>IFERROR(__xludf.DUMMYFUNCTION("IF('(INGESTA)Datos_consumo_datadis'!A11820&lt;&gt;"""",SPLIT('(INGESTA)Datos_consumo_datadis'!A:A,"",""),"""")"),"ES0031408323131005HX0F")</f>
        <v>ES0031408323131005HX0F</v>
      </c>
      <c r="B11820" s="12">
        <f>IFERROR(__xludf.DUMMYFUNCTION("""COMPUTED_VALUE"""),45358.0)</f>
        <v>45358</v>
      </c>
      <c r="C11820" s="13">
        <f>IFERROR(__xludf.DUMMYFUNCTION("""COMPUTED_VALUE"""),0.4583333333333333)</f>
        <v>0.4583333333</v>
      </c>
      <c r="D11820" s="8">
        <f>IFERROR(__xludf.DUMMYFUNCTION("""COMPUTED_VALUE"""),0.149)</f>
        <v>0.149</v>
      </c>
      <c r="E11820" s="8" t="str">
        <f>IFERROR(__xludf.DUMMYFUNCTION("""COMPUTED_VALUE"""),"Real")</f>
        <v>Real</v>
      </c>
      <c r="G11820" s="8">
        <f t="shared" si="1"/>
        <v>3</v>
      </c>
      <c r="H11820" s="14">
        <f t="shared" si="2"/>
        <v>7</v>
      </c>
      <c r="I11820" s="15">
        <f t="shared" si="3"/>
        <v>11</v>
      </c>
    </row>
    <row r="11821">
      <c r="A11821" s="8" t="str">
        <f>IFERROR(__xludf.DUMMYFUNCTION("IF('(INGESTA)Datos_consumo_datadis'!A11821&lt;&gt;"""",SPLIT('(INGESTA)Datos_consumo_datadis'!A:A,"",""),"""")"),"ES0031408323131005HX0F")</f>
        <v>ES0031408323131005HX0F</v>
      </c>
      <c r="B11821" s="12">
        <f>IFERROR(__xludf.DUMMYFUNCTION("""COMPUTED_VALUE"""),45358.0)</f>
        <v>45358</v>
      </c>
      <c r="C11821" s="13">
        <f>IFERROR(__xludf.DUMMYFUNCTION("""COMPUTED_VALUE"""),0.5)</f>
        <v>0.5</v>
      </c>
      <c r="D11821" s="8">
        <f>IFERROR(__xludf.DUMMYFUNCTION("""COMPUTED_VALUE"""),0.226)</f>
        <v>0.226</v>
      </c>
      <c r="E11821" s="8" t="str">
        <f>IFERROR(__xludf.DUMMYFUNCTION("""COMPUTED_VALUE"""),"Real")</f>
        <v>Real</v>
      </c>
      <c r="G11821" s="8">
        <f t="shared" si="1"/>
        <v>3</v>
      </c>
      <c r="H11821" s="14">
        <f t="shared" si="2"/>
        <v>7</v>
      </c>
      <c r="I11821" s="15">
        <f t="shared" si="3"/>
        <v>12</v>
      </c>
    </row>
    <row r="11822">
      <c r="A11822" s="8" t="str">
        <f>IFERROR(__xludf.DUMMYFUNCTION("IF('(INGESTA)Datos_consumo_datadis'!A11822&lt;&gt;"""",SPLIT('(INGESTA)Datos_consumo_datadis'!A:A,"",""),"""")"),"ES0031408323131005HX0F")</f>
        <v>ES0031408323131005HX0F</v>
      </c>
      <c r="B11822" s="12">
        <f>IFERROR(__xludf.DUMMYFUNCTION("""COMPUTED_VALUE"""),45358.0)</f>
        <v>45358</v>
      </c>
      <c r="C11822" s="13">
        <f>IFERROR(__xludf.DUMMYFUNCTION("""COMPUTED_VALUE"""),0.5416666666666666)</f>
        <v>0.5416666667</v>
      </c>
      <c r="D11822" s="8">
        <f>IFERROR(__xludf.DUMMYFUNCTION("""COMPUTED_VALUE"""),0.055)</f>
        <v>0.055</v>
      </c>
      <c r="E11822" s="8" t="str">
        <f>IFERROR(__xludf.DUMMYFUNCTION("""COMPUTED_VALUE"""),"Real")</f>
        <v>Real</v>
      </c>
      <c r="G11822" s="8">
        <f t="shared" si="1"/>
        <v>3</v>
      </c>
      <c r="H11822" s="14">
        <f t="shared" si="2"/>
        <v>7</v>
      </c>
      <c r="I11822" s="15">
        <f t="shared" si="3"/>
        <v>13</v>
      </c>
    </row>
    <row r="11823">
      <c r="A11823" s="8" t="str">
        <f>IFERROR(__xludf.DUMMYFUNCTION("IF('(INGESTA)Datos_consumo_datadis'!A11823&lt;&gt;"""",SPLIT('(INGESTA)Datos_consumo_datadis'!A:A,"",""),"""")"),"ES0031408323131005HX0F")</f>
        <v>ES0031408323131005HX0F</v>
      </c>
      <c r="B11823" s="12">
        <f>IFERROR(__xludf.DUMMYFUNCTION("""COMPUTED_VALUE"""),45358.0)</f>
        <v>45358</v>
      </c>
      <c r="C11823" s="13">
        <f>IFERROR(__xludf.DUMMYFUNCTION("""COMPUTED_VALUE"""),0.5833333333333334)</f>
        <v>0.5833333333</v>
      </c>
      <c r="D11823" s="8">
        <f>IFERROR(__xludf.DUMMYFUNCTION("""COMPUTED_VALUE"""),0.022)</f>
        <v>0.022</v>
      </c>
      <c r="E11823" s="8" t="str">
        <f>IFERROR(__xludf.DUMMYFUNCTION("""COMPUTED_VALUE"""),"Real")</f>
        <v>Real</v>
      </c>
      <c r="G11823" s="8">
        <f t="shared" si="1"/>
        <v>3</v>
      </c>
      <c r="H11823" s="14">
        <f t="shared" si="2"/>
        <v>7</v>
      </c>
      <c r="I11823" s="15">
        <f t="shared" si="3"/>
        <v>14</v>
      </c>
    </row>
    <row r="11824">
      <c r="A11824" s="8" t="str">
        <f>IFERROR(__xludf.DUMMYFUNCTION("IF('(INGESTA)Datos_consumo_datadis'!A11824&lt;&gt;"""",SPLIT('(INGESTA)Datos_consumo_datadis'!A:A,"",""),"""")"),"ES0031408323131005HX0F")</f>
        <v>ES0031408323131005HX0F</v>
      </c>
      <c r="B11824" s="12">
        <f>IFERROR(__xludf.DUMMYFUNCTION("""COMPUTED_VALUE"""),45358.0)</f>
        <v>45358</v>
      </c>
      <c r="C11824" s="13">
        <f>IFERROR(__xludf.DUMMYFUNCTION("""COMPUTED_VALUE"""),0.625)</f>
        <v>0.625</v>
      </c>
      <c r="D11824" s="8">
        <f>IFERROR(__xludf.DUMMYFUNCTION("""COMPUTED_VALUE"""),0.416)</f>
        <v>0.416</v>
      </c>
      <c r="E11824" s="8" t="str">
        <f>IFERROR(__xludf.DUMMYFUNCTION("""COMPUTED_VALUE"""),"Real")</f>
        <v>Real</v>
      </c>
      <c r="G11824" s="8">
        <f t="shared" si="1"/>
        <v>3</v>
      </c>
      <c r="H11824" s="14">
        <f t="shared" si="2"/>
        <v>7</v>
      </c>
      <c r="I11824" s="15">
        <f t="shared" si="3"/>
        <v>15</v>
      </c>
    </row>
    <row r="11825">
      <c r="A11825" s="8" t="str">
        <f>IFERROR(__xludf.DUMMYFUNCTION("IF('(INGESTA)Datos_consumo_datadis'!A11825&lt;&gt;"""",SPLIT('(INGESTA)Datos_consumo_datadis'!A:A,"",""),"""")"),"ES0031408323131005HX0F")</f>
        <v>ES0031408323131005HX0F</v>
      </c>
      <c r="B11825" s="12">
        <f>IFERROR(__xludf.DUMMYFUNCTION("""COMPUTED_VALUE"""),45358.0)</f>
        <v>45358</v>
      </c>
      <c r="C11825" s="13">
        <f>IFERROR(__xludf.DUMMYFUNCTION("""COMPUTED_VALUE"""),0.6666666666666666)</f>
        <v>0.6666666667</v>
      </c>
      <c r="D11825" s="8">
        <f>IFERROR(__xludf.DUMMYFUNCTION("""COMPUTED_VALUE"""),0.059)</f>
        <v>0.059</v>
      </c>
      <c r="E11825" s="8" t="str">
        <f>IFERROR(__xludf.DUMMYFUNCTION("""COMPUTED_VALUE"""),"Real")</f>
        <v>Real</v>
      </c>
      <c r="G11825" s="8">
        <f t="shared" si="1"/>
        <v>3</v>
      </c>
      <c r="H11825" s="14">
        <f t="shared" si="2"/>
        <v>7</v>
      </c>
      <c r="I11825" s="15">
        <f t="shared" si="3"/>
        <v>16</v>
      </c>
    </row>
    <row r="11826">
      <c r="A11826" s="8" t="str">
        <f>IFERROR(__xludf.DUMMYFUNCTION("IF('(INGESTA)Datos_consumo_datadis'!A11826&lt;&gt;"""",SPLIT('(INGESTA)Datos_consumo_datadis'!A:A,"",""),"""")"),"ES0031408323131005HX0F")</f>
        <v>ES0031408323131005HX0F</v>
      </c>
      <c r="B11826" s="12">
        <f>IFERROR(__xludf.DUMMYFUNCTION("""COMPUTED_VALUE"""),45358.0)</f>
        <v>45358</v>
      </c>
      <c r="C11826" s="13">
        <f>IFERROR(__xludf.DUMMYFUNCTION("""COMPUTED_VALUE"""),0.7083333333333334)</f>
        <v>0.7083333333</v>
      </c>
      <c r="D11826" s="8">
        <f>IFERROR(__xludf.DUMMYFUNCTION("""COMPUTED_VALUE"""),0.022)</f>
        <v>0.022</v>
      </c>
      <c r="E11826" s="8" t="str">
        <f>IFERROR(__xludf.DUMMYFUNCTION("""COMPUTED_VALUE"""),"Real")</f>
        <v>Real</v>
      </c>
      <c r="G11826" s="8">
        <f t="shared" si="1"/>
        <v>3</v>
      </c>
      <c r="H11826" s="14">
        <f t="shared" si="2"/>
        <v>7</v>
      </c>
      <c r="I11826" s="15">
        <f t="shared" si="3"/>
        <v>17</v>
      </c>
    </row>
    <row r="11827">
      <c r="A11827" s="8" t="str">
        <f>IFERROR(__xludf.DUMMYFUNCTION("IF('(INGESTA)Datos_consumo_datadis'!A11827&lt;&gt;"""",SPLIT('(INGESTA)Datos_consumo_datadis'!A:A,"",""),"""")"),"ES0031408323131005HX0F")</f>
        <v>ES0031408323131005HX0F</v>
      </c>
      <c r="B11827" s="12">
        <f>IFERROR(__xludf.DUMMYFUNCTION("""COMPUTED_VALUE"""),45358.0)</f>
        <v>45358</v>
      </c>
      <c r="C11827" s="13">
        <f>IFERROR(__xludf.DUMMYFUNCTION("""COMPUTED_VALUE"""),0.75)</f>
        <v>0.75</v>
      </c>
      <c r="D11827" s="8">
        <f>IFERROR(__xludf.DUMMYFUNCTION("""COMPUTED_VALUE"""),0.113)</f>
        <v>0.113</v>
      </c>
      <c r="E11827" s="8" t="str">
        <f>IFERROR(__xludf.DUMMYFUNCTION("""COMPUTED_VALUE"""),"Real")</f>
        <v>Real</v>
      </c>
      <c r="G11827" s="8">
        <f t="shared" si="1"/>
        <v>3</v>
      </c>
      <c r="H11827" s="14">
        <f t="shared" si="2"/>
        <v>7</v>
      </c>
      <c r="I11827" s="15">
        <f t="shared" si="3"/>
        <v>18</v>
      </c>
    </row>
    <row r="11828">
      <c r="A11828" s="8" t="str">
        <f>IFERROR(__xludf.DUMMYFUNCTION("IF('(INGESTA)Datos_consumo_datadis'!A11828&lt;&gt;"""",SPLIT('(INGESTA)Datos_consumo_datadis'!A:A,"",""),"""")"),"ES0031408323131005HX0F")</f>
        <v>ES0031408323131005HX0F</v>
      </c>
      <c r="B11828" s="12">
        <f>IFERROR(__xludf.DUMMYFUNCTION("""COMPUTED_VALUE"""),45358.0)</f>
        <v>45358</v>
      </c>
      <c r="C11828" s="13">
        <f>IFERROR(__xludf.DUMMYFUNCTION("""COMPUTED_VALUE"""),0.7916666666666666)</f>
        <v>0.7916666667</v>
      </c>
      <c r="D11828" s="8">
        <f>IFERROR(__xludf.DUMMYFUNCTION("""COMPUTED_VALUE"""),0.383)</f>
        <v>0.383</v>
      </c>
      <c r="E11828" s="8" t="str">
        <f>IFERROR(__xludf.DUMMYFUNCTION("""COMPUTED_VALUE"""),"Real")</f>
        <v>Real</v>
      </c>
      <c r="G11828" s="8">
        <f t="shared" si="1"/>
        <v>3</v>
      </c>
      <c r="H11828" s="14">
        <f t="shared" si="2"/>
        <v>7</v>
      </c>
      <c r="I11828" s="15">
        <f t="shared" si="3"/>
        <v>19</v>
      </c>
    </row>
    <row r="11829">
      <c r="A11829" s="8" t="str">
        <f>IFERROR(__xludf.DUMMYFUNCTION("IF('(INGESTA)Datos_consumo_datadis'!A11829&lt;&gt;"""",SPLIT('(INGESTA)Datos_consumo_datadis'!A:A,"",""),"""")"),"ES0031408323131005HX0F")</f>
        <v>ES0031408323131005HX0F</v>
      </c>
      <c r="B11829" s="12">
        <f>IFERROR(__xludf.DUMMYFUNCTION("""COMPUTED_VALUE"""),45358.0)</f>
        <v>45358</v>
      </c>
      <c r="C11829" s="13">
        <f>IFERROR(__xludf.DUMMYFUNCTION("""COMPUTED_VALUE"""),0.8333333333333334)</f>
        <v>0.8333333333</v>
      </c>
      <c r="D11829" s="8">
        <f>IFERROR(__xludf.DUMMYFUNCTION("""COMPUTED_VALUE"""),0.709)</f>
        <v>0.709</v>
      </c>
      <c r="E11829" s="8" t="str">
        <f>IFERROR(__xludf.DUMMYFUNCTION("""COMPUTED_VALUE"""),"Real")</f>
        <v>Real</v>
      </c>
      <c r="G11829" s="8">
        <f t="shared" si="1"/>
        <v>3</v>
      </c>
      <c r="H11829" s="14">
        <f t="shared" si="2"/>
        <v>7</v>
      </c>
      <c r="I11829" s="15">
        <f t="shared" si="3"/>
        <v>20</v>
      </c>
    </row>
    <row r="11830">
      <c r="A11830" s="8" t="str">
        <f>IFERROR(__xludf.DUMMYFUNCTION("IF('(INGESTA)Datos_consumo_datadis'!A11830&lt;&gt;"""",SPLIT('(INGESTA)Datos_consumo_datadis'!A:A,"",""),"""")"),"ES0031408323131005HX0F")</f>
        <v>ES0031408323131005HX0F</v>
      </c>
      <c r="B11830" s="12">
        <f>IFERROR(__xludf.DUMMYFUNCTION("""COMPUTED_VALUE"""),45358.0)</f>
        <v>45358</v>
      </c>
      <c r="C11830" s="13">
        <f>IFERROR(__xludf.DUMMYFUNCTION("""COMPUTED_VALUE"""),0.875)</f>
        <v>0.875</v>
      </c>
      <c r="D11830" s="8">
        <f>IFERROR(__xludf.DUMMYFUNCTION("""COMPUTED_VALUE"""),2.106)</f>
        <v>2.106</v>
      </c>
      <c r="E11830" s="8" t="str">
        <f>IFERROR(__xludf.DUMMYFUNCTION("""COMPUTED_VALUE"""),"Real")</f>
        <v>Real</v>
      </c>
      <c r="G11830" s="8">
        <f t="shared" si="1"/>
        <v>3</v>
      </c>
      <c r="H11830" s="14">
        <f t="shared" si="2"/>
        <v>7</v>
      </c>
      <c r="I11830" s="15">
        <f t="shared" si="3"/>
        <v>21</v>
      </c>
    </row>
    <row r="11831">
      <c r="A11831" s="8" t="str">
        <f>IFERROR(__xludf.DUMMYFUNCTION("IF('(INGESTA)Datos_consumo_datadis'!A11831&lt;&gt;"""",SPLIT('(INGESTA)Datos_consumo_datadis'!A:A,"",""),"""")"),"ES0031408323131005HX0F")</f>
        <v>ES0031408323131005HX0F</v>
      </c>
      <c r="B11831" s="12">
        <f>IFERROR(__xludf.DUMMYFUNCTION("""COMPUTED_VALUE"""),45358.0)</f>
        <v>45358</v>
      </c>
      <c r="C11831" s="13">
        <f>IFERROR(__xludf.DUMMYFUNCTION("""COMPUTED_VALUE"""),0.9166666666666666)</f>
        <v>0.9166666667</v>
      </c>
      <c r="D11831" s="8">
        <f>IFERROR(__xludf.DUMMYFUNCTION("""COMPUTED_VALUE"""),3.83)</f>
        <v>3.83</v>
      </c>
      <c r="E11831" s="8" t="str">
        <f>IFERROR(__xludf.DUMMYFUNCTION("""COMPUTED_VALUE"""),"Real")</f>
        <v>Real</v>
      </c>
      <c r="G11831" s="8">
        <f t="shared" si="1"/>
        <v>3</v>
      </c>
      <c r="H11831" s="14">
        <f t="shared" si="2"/>
        <v>7</v>
      </c>
      <c r="I11831" s="15">
        <f t="shared" si="3"/>
        <v>22</v>
      </c>
    </row>
    <row r="11832">
      <c r="A11832" s="8" t="str">
        <f>IFERROR(__xludf.DUMMYFUNCTION("IF('(INGESTA)Datos_consumo_datadis'!A11832&lt;&gt;"""",SPLIT('(INGESTA)Datos_consumo_datadis'!A:A,"",""),"""")"),"ES0031408323131005HX0F")</f>
        <v>ES0031408323131005HX0F</v>
      </c>
      <c r="B11832" s="12">
        <f>IFERROR(__xludf.DUMMYFUNCTION("""COMPUTED_VALUE"""),45358.0)</f>
        <v>45358</v>
      </c>
      <c r="C11832" s="13">
        <f>IFERROR(__xludf.DUMMYFUNCTION("""COMPUTED_VALUE"""),0.9583333333333334)</f>
        <v>0.9583333333</v>
      </c>
      <c r="D11832" s="8">
        <f>IFERROR(__xludf.DUMMYFUNCTION("""COMPUTED_VALUE"""),1.857)</f>
        <v>1.857</v>
      </c>
      <c r="E11832" s="8" t="str">
        <f>IFERROR(__xludf.DUMMYFUNCTION("""COMPUTED_VALUE"""),"Real")</f>
        <v>Real</v>
      </c>
      <c r="G11832" s="8">
        <f t="shared" si="1"/>
        <v>3</v>
      </c>
      <c r="H11832" s="14">
        <f t="shared" si="2"/>
        <v>7</v>
      </c>
      <c r="I11832" s="15">
        <f t="shared" si="3"/>
        <v>23</v>
      </c>
    </row>
    <row r="11833">
      <c r="A11833" s="8" t="str">
        <f>IFERROR(__xludf.DUMMYFUNCTION("IF('(INGESTA)Datos_consumo_datadis'!A11833&lt;&gt;"""",SPLIT('(INGESTA)Datos_consumo_datadis'!A:A,"",""),"""")"),"ES0031408323131005HX0F")</f>
        <v>ES0031408323131005HX0F</v>
      </c>
      <c r="B11833" s="12">
        <f>IFERROR(__xludf.DUMMYFUNCTION("""COMPUTED_VALUE"""),45358.0)</f>
        <v>45358</v>
      </c>
      <c r="C11833" s="16">
        <f>IFERROR(__xludf.DUMMYFUNCTION("""COMPUTED_VALUE"""),1.0)</f>
        <v>1</v>
      </c>
      <c r="D11833" s="8">
        <f>IFERROR(__xludf.DUMMYFUNCTION("""COMPUTED_VALUE"""),1.335)</f>
        <v>1.335</v>
      </c>
      <c r="E11833" s="8" t="str">
        <f>IFERROR(__xludf.DUMMYFUNCTION("""COMPUTED_VALUE"""),"Real")</f>
        <v>Real</v>
      </c>
      <c r="G11833" s="8">
        <f t="shared" si="1"/>
        <v>3</v>
      </c>
      <c r="H11833" s="14">
        <f t="shared" si="2"/>
        <v>7</v>
      </c>
      <c r="I11833" s="15">
        <f t="shared" si="3"/>
        <v>0</v>
      </c>
    </row>
    <row r="11834">
      <c r="A11834" s="8" t="str">
        <f>IFERROR(__xludf.DUMMYFUNCTION("IF('(INGESTA)Datos_consumo_datadis'!A11834&lt;&gt;"""",SPLIT('(INGESTA)Datos_consumo_datadis'!A:A,"",""),"""")"),"ES0031408323131005HX0F")</f>
        <v>ES0031408323131005HX0F</v>
      </c>
      <c r="B11834" s="12">
        <f>IFERROR(__xludf.DUMMYFUNCTION("""COMPUTED_VALUE"""),45359.0)</f>
        <v>45359</v>
      </c>
      <c r="C11834" s="13">
        <f>IFERROR(__xludf.DUMMYFUNCTION("""COMPUTED_VALUE"""),0.041666666666666664)</f>
        <v>0.04166666667</v>
      </c>
      <c r="D11834" s="8">
        <f>IFERROR(__xludf.DUMMYFUNCTION("""COMPUTED_VALUE"""),1.234)</f>
        <v>1.234</v>
      </c>
      <c r="E11834" s="8" t="str">
        <f>IFERROR(__xludf.DUMMYFUNCTION("""COMPUTED_VALUE"""),"Real")</f>
        <v>Real</v>
      </c>
      <c r="G11834" s="8">
        <f t="shared" si="1"/>
        <v>3</v>
      </c>
      <c r="H11834" s="14">
        <f t="shared" si="2"/>
        <v>8</v>
      </c>
      <c r="I11834" s="15">
        <f t="shared" si="3"/>
        <v>1</v>
      </c>
    </row>
    <row r="11835">
      <c r="A11835" s="8" t="str">
        <f>IFERROR(__xludf.DUMMYFUNCTION("IF('(INGESTA)Datos_consumo_datadis'!A11835&lt;&gt;"""",SPLIT('(INGESTA)Datos_consumo_datadis'!A:A,"",""),"""")"),"ES0031408323131005HX0F")</f>
        <v>ES0031408323131005HX0F</v>
      </c>
      <c r="B11835" s="12">
        <f>IFERROR(__xludf.DUMMYFUNCTION("""COMPUTED_VALUE"""),45359.0)</f>
        <v>45359</v>
      </c>
      <c r="C11835" s="13">
        <f>IFERROR(__xludf.DUMMYFUNCTION("""COMPUTED_VALUE"""),0.08333333333333333)</f>
        <v>0.08333333333</v>
      </c>
      <c r="D11835" s="8">
        <f>IFERROR(__xludf.DUMMYFUNCTION("""COMPUTED_VALUE"""),1.189)</f>
        <v>1.189</v>
      </c>
      <c r="E11835" s="8" t="str">
        <f>IFERROR(__xludf.DUMMYFUNCTION("""COMPUTED_VALUE"""),"Real")</f>
        <v>Real</v>
      </c>
      <c r="G11835" s="8">
        <f t="shared" si="1"/>
        <v>3</v>
      </c>
      <c r="H11835" s="14">
        <f t="shared" si="2"/>
        <v>8</v>
      </c>
      <c r="I11835" s="15">
        <f t="shared" si="3"/>
        <v>2</v>
      </c>
    </row>
    <row r="11836">
      <c r="A11836" s="8" t="str">
        <f>IFERROR(__xludf.DUMMYFUNCTION("IF('(INGESTA)Datos_consumo_datadis'!A11836&lt;&gt;"""",SPLIT('(INGESTA)Datos_consumo_datadis'!A:A,"",""),"""")"),"ES0031408323131005HX0F")</f>
        <v>ES0031408323131005HX0F</v>
      </c>
      <c r="B11836" s="12">
        <f>IFERROR(__xludf.DUMMYFUNCTION("""COMPUTED_VALUE"""),45359.0)</f>
        <v>45359</v>
      </c>
      <c r="C11836" s="13">
        <f>IFERROR(__xludf.DUMMYFUNCTION("""COMPUTED_VALUE"""),0.125)</f>
        <v>0.125</v>
      </c>
      <c r="D11836" s="8">
        <f>IFERROR(__xludf.DUMMYFUNCTION("""COMPUTED_VALUE"""),1.205)</f>
        <v>1.205</v>
      </c>
      <c r="E11836" s="8" t="str">
        <f>IFERROR(__xludf.DUMMYFUNCTION("""COMPUTED_VALUE"""),"Real")</f>
        <v>Real</v>
      </c>
      <c r="G11836" s="8">
        <f t="shared" si="1"/>
        <v>3</v>
      </c>
      <c r="H11836" s="14">
        <f t="shared" si="2"/>
        <v>8</v>
      </c>
      <c r="I11836" s="15">
        <f t="shared" si="3"/>
        <v>3</v>
      </c>
    </row>
    <row r="11837">
      <c r="A11837" s="8" t="str">
        <f>IFERROR(__xludf.DUMMYFUNCTION("IF('(INGESTA)Datos_consumo_datadis'!A11837&lt;&gt;"""",SPLIT('(INGESTA)Datos_consumo_datadis'!A:A,"",""),"""")"),"ES0031408323131005HX0F")</f>
        <v>ES0031408323131005HX0F</v>
      </c>
      <c r="B11837" s="12">
        <f>IFERROR(__xludf.DUMMYFUNCTION("""COMPUTED_VALUE"""),45359.0)</f>
        <v>45359</v>
      </c>
      <c r="C11837" s="13">
        <f>IFERROR(__xludf.DUMMYFUNCTION("""COMPUTED_VALUE"""),0.16666666666666666)</f>
        <v>0.1666666667</v>
      </c>
      <c r="D11837" s="8">
        <f>IFERROR(__xludf.DUMMYFUNCTION("""COMPUTED_VALUE"""),1.088)</f>
        <v>1.088</v>
      </c>
      <c r="E11837" s="8" t="str">
        <f>IFERROR(__xludf.DUMMYFUNCTION("""COMPUTED_VALUE"""),"Real")</f>
        <v>Real</v>
      </c>
      <c r="G11837" s="8">
        <f t="shared" si="1"/>
        <v>3</v>
      </c>
      <c r="H11837" s="14">
        <f t="shared" si="2"/>
        <v>8</v>
      </c>
      <c r="I11837" s="15">
        <f t="shared" si="3"/>
        <v>4</v>
      </c>
    </row>
    <row r="11838">
      <c r="A11838" s="8" t="str">
        <f>IFERROR(__xludf.DUMMYFUNCTION("IF('(INGESTA)Datos_consumo_datadis'!A11838&lt;&gt;"""",SPLIT('(INGESTA)Datos_consumo_datadis'!A:A,"",""),"""")"),"ES0031408323131005HX0F")</f>
        <v>ES0031408323131005HX0F</v>
      </c>
      <c r="B11838" s="12">
        <f>IFERROR(__xludf.DUMMYFUNCTION("""COMPUTED_VALUE"""),45359.0)</f>
        <v>45359</v>
      </c>
      <c r="C11838" s="13">
        <f>IFERROR(__xludf.DUMMYFUNCTION("""COMPUTED_VALUE"""),0.20833333333333334)</f>
        <v>0.2083333333</v>
      </c>
      <c r="D11838" s="8">
        <f>IFERROR(__xludf.DUMMYFUNCTION("""COMPUTED_VALUE"""),0.828)</f>
        <v>0.828</v>
      </c>
      <c r="E11838" s="8" t="str">
        <f>IFERROR(__xludf.DUMMYFUNCTION("""COMPUTED_VALUE"""),"Real")</f>
        <v>Real</v>
      </c>
      <c r="G11838" s="8">
        <f t="shared" si="1"/>
        <v>3</v>
      </c>
      <c r="H11838" s="14">
        <f t="shared" si="2"/>
        <v>8</v>
      </c>
      <c r="I11838" s="15">
        <f t="shared" si="3"/>
        <v>5</v>
      </c>
    </row>
    <row r="11839">
      <c r="A11839" s="8" t="str">
        <f>IFERROR(__xludf.DUMMYFUNCTION("IF('(INGESTA)Datos_consumo_datadis'!A11839&lt;&gt;"""",SPLIT('(INGESTA)Datos_consumo_datadis'!A:A,"",""),"""")"),"ES0031408323131005HX0F")</f>
        <v>ES0031408323131005HX0F</v>
      </c>
      <c r="B11839" s="12">
        <f>IFERROR(__xludf.DUMMYFUNCTION("""COMPUTED_VALUE"""),45359.0)</f>
        <v>45359</v>
      </c>
      <c r="C11839" s="13">
        <f>IFERROR(__xludf.DUMMYFUNCTION("""COMPUTED_VALUE"""),0.25)</f>
        <v>0.25</v>
      </c>
      <c r="D11839" s="8">
        <f>IFERROR(__xludf.DUMMYFUNCTION("""COMPUTED_VALUE"""),1.352)</f>
        <v>1.352</v>
      </c>
      <c r="E11839" s="8" t="str">
        <f>IFERROR(__xludf.DUMMYFUNCTION("""COMPUTED_VALUE"""),"Real")</f>
        <v>Real</v>
      </c>
      <c r="G11839" s="8">
        <f t="shared" si="1"/>
        <v>3</v>
      </c>
      <c r="H11839" s="14">
        <f t="shared" si="2"/>
        <v>8</v>
      </c>
      <c r="I11839" s="15">
        <f t="shared" si="3"/>
        <v>6</v>
      </c>
    </row>
    <row r="11840">
      <c r="A11840" s="8" t="str">
        <f>IFERROR(__xludf.DUMMYFUNCTION("IF('(INGESTA)Datos_consumo_datadis'!A11840&lt;&gt;"""",SPLIT('(INGESTA)Datos_consumo_datadis'!A:A,"",""),"""")"),"ES0031408323131005HX0F")</f>
        <v>ES0031408323131005HX0F</v>
      </c>
      <c r="B11840" s="12">
        <f>IFERROR(__xludf.DUMMYFUNCTION("""COMPUTED_VALUE"""),45359.0)</f>
        <v>45359</v>
      </c>
      <c r="C11840" s="13">
        <f>IFERROR(__xludf.DUMMYFUNCTION("""COMPUTED_VALUE"""),0.2916666666666667)</f>
        <v>0.2916666667</v>
      </c>
      <c r="D11840" s="8">
        <f>IFERROR(__xludf.DUMMYFUNCTION("""COMPUTED_VALUE"""),0.951)</f>
        <v>0.951</v>
      </c>
      <c r="E11840" s="8" t="str">
        <f>IFERROR(__xludf.DUMMYFUNCTION("""COMPUTED_VALUE"""),"Real")</f>
        <v>Real</v>
      </c>
      <c r="G11840" s="8">
        <f t="shared" si="1"/>
        <v>3</v>
      </c>
      <c r="H11840" s="14">
        <f t="shared" si="2"/>
        <v>8</v>
      </c>
      <c r="I11840" s="15">
        <f t="shared" si="3"/>
        <v>7</v>
      </c>
    </row>
    <row r="11841">
      <c r="A11841" s="8" t="str">
        <f>IFERROR(__xludf.DUMMYFUNCTION("IF('(INGESTA)Datos_consumo_datadis'!A11841&lt;&gt;"""",SPLIT('(INGESTA)Datos_consumo_datadis'!A:A,"",""),"""")"),"ES0031408323131005HX0F")</f>
        <v>ES0031408323131005HX0F</v>
      </c>
      <c r="B11841" s="12">
        <f>IFERROR(__xludf.DUMMYFUNCTION("""COMPUTED_VALUE"""),45359.0)</f>
        <v>45359</v>
      </c>
      <c r="C11841" s="13">
        <f>IFERROR(__xludf.DUMMYFUNCTION("""COMPUTED_VALUE"""),0.3333333333333333)</f>
        <v>0.3333333333</v>
      </c>
      <c r="D11841" s="8">
        <f>IFERROR(__xludf.DUMMYFUNCTION("""COMPUTED_VALUE"""),0.382)</f>
        <v>0.382</v>
      </c>
      <c r="E11841" s="8" t="str">
        <f>IFERROR(__xludf.DUMMYFUNCTION("""COMPUTED_VALUE"""),"Real")</f>
        <v>Real</v>
      </c>
      <c r="G11841" s="8">
        <f t="shared" si="1"/>
        <v>3</v>
      </c>
      <c r="H11841" s="14">
        <f t="shared" si="2"/>
        <v>8</v>
      </c>
      <c r="I11841" s="15">
        <f t="shared" si="3"/>
        <v>8</v>
      </c>
    </row>
    <row r="11842">
      <c r="A11842" s="8" t="str">
        <f>IFERROR(__xludf.DUMMYFUNCTION("IF('(INGESTA)Datos_consumo_datadis'!A11842&lt;&gt;"""",SPLIT('(INGESTA)Datos_consumo_datadis'!A:A,"",""),"""")"),"ES0031408323131005HX0F")</f>
        <v>ES0031408323131005HX0F</v>
      </c>
      <c r="B11842" s="12">
        <f>IFERROR(__xludf.DUMMYFUNCTION("""COMPUTED_VALUE"""),45359.0)</f>
        <v>45359</v>
      </c>
      <c r="C11842" s="13">
        <f>IFERROR(__xludf.DUMMYFUNCTION("""COMPUTED_VALUE"""),0.375)</f>
        <v>0.375</v>
      </c>
      <c r="D11842" s="8">
        <f>IFERROR(__xludf.DUMMYFUNCTION("""COMPUTED_VALUE"""),0.1)</f>
        <v>0.1</v>
      </c>
      <c r="E11842" s="8" t="str">
        <f>IFERROR(__xludf.DUMMYFUNCTION("""COMPUTED_VALUE"""),"Real")</f>
        <v>Real</v>
      </c>
      <c r="G11842" s="8">
        <f t="shared" si="1"/>
        <v>3</v>
      </c>
      <c r="H11842" s="14">
        <f t="shared" si="2"/>
        <v>8</v>
      </c>
      <c r="I11842" s="15">
        <f t="shared" si="3"/>
        <v>9</v>
      </c>
    </row>
    <row r="11843">
      <c r="A11843" s="8" t="str">
        <f>IFERROR(__xludf.DUMMYFUNCTION("IF('(INGESTA)Datos_consumo_datadis'!A11843&lt;&gt;"""",SPLIT('(INGESTA)Datos_consumo_datadis'!A:A,"",""),"""")"),"ES0031408323131005HX0F")</f>
        <v>ES0031408323131005HX0F</v>
      </c>
      <c r="B11843" s="12">
        <f>IFERROR(__xludf.DUMMYFUNCTION("""COMPUTED_VALUE"""),45359.0)</f>
        <v>45359</v>
      </c>
      <c r="C11843" s="13">
        <f>IFERROR(__xludf.DUMMYFUNCTION("""COMPUTED_VALUE"""),0.4166666666666667)</f>
        <v>0.4166666667</v>
      </c>
      <c r="D11843" s="8">
        <f>IFERROR(__xludf.DUMMYFUNCTION("""COMPUTED_VALUE"""),0.057)</f>
        <v>0.057</v>
      </c>
      <c r="E11843" s="8" t="str">
        <f>IFERROR(__xludf.DUMMYFUNCTION("""COMPUTED_VALUE"""),"Real")</f>
        <v>Real</v>
      </c>
      <c r="G11843" s="8">
        <f t="shared" si="1"/>
        <v>3</v>
      </c>
      <c r="H11843" s="14">
        <f t="shared" si="2"/>
        <v>8</v>
      </c>
      <c r="I11843" s="15">
        <f t="shared" si="3"/>
        <v>10</v>
      </c>
    </row>
    <row r="11844">
      <c r="A11844" s="8" t="str">
        <f>IFERROR(__xludf.DUMMYFUNCTION("IF('(INGESTA)Datos_consumo_datadis'!A11844&lt;&gt;"""",SPLIT('(INGESTA)Datos_consumo_datadis'!A:A,"",""),"""")"),"ES0031408323131005HX0F")</f>
        <v>ES0031408323131005HX0F</v>
      </c>
      <c r="B11844" s="12">
        <f>IFERROR(__xludf.DUMMYFUNCTION("""COMPUTED_VALUE"""),45359.0)</f>
        <v>45359</v>
      </c>
      <c r="C11844" s="13">
        <f>IFERROR(__xludf.DUMMYFUNCTION("""COMPUTED_VALUE"""),0.4583333333333333)</f>
        <v>0.4583333333</v>
      </c>
      <c r="D11844" s="8">
        <f>IFERROR(__xludf.DUMMYFUNCTION("""COMPUTED_VALUE"""),0.025)</f>
        <v>0.025</v>
      </c>
      <c r="E11844" s="8" t="str">
        <f>IFERROR(__xludf.DUMMYFUNCTION("""COMPUTED_VALUE"""),"Real")</f>
        <v>Real</v>
      </c>
      <c r="G11844" s="8">
        <f t="shared" si="1"/>
        <v>3</v>
      </c>
      <c r="H11844" s="14">
        <f t="shared" si="2"/>
        <v>8</v>
      </c>
      <c r="I11844" s="15">
        <f t="shared" si="3"/>
        <v>11</v>
      </c>
    </row>
    <row r="11845">
      <c r="A11845" s="8" t="str">
        <f>IFERROR(__xludf.DUMMYFUNCTION("IF('(INGESTA)Datos_consumo_datadis'!A11845&lt;&gt;"""",SPLIT('(INGESTA)Datos_consumo_datadis'!A:A,"",""),"""")"),"ES0031408323131005HX0F")</f>
        <v>ES0031408323131005HX0F</v>
      </c>
      <c r="B11845" s="12">
        <f>IFERROR(__xludf.DUMMYFUNCTION("""COMPUTED_VALUE"""),45359.0)</f>
        <v>45359</v>
      </c>
      <c r="C11845" s="13">
        <f>IFERROR(__xludf.DUMMYFUNCTION("""COMPUTED_VALUE"""),0.5)</f>
        <v>0.5</v>
      </c>
      <c r="D11845" s="8">
        <f>IFERROR(__xludf.DUMMYFUNCTION("""COMPUTED_VALUE"""),0.093)</f>
        <v>0.093</v>
      </c>
      <c r="E11845" s="8" t="str">
        <f>IFERROR(__xludf.DUMMYFUNCTION("""COMPUTED_VALUE"""),"Real")</f>
        <v>Real</v>
      </c>
      <c r="G11845" s="8">
        <f t="shared" si="1"/>
        <v>3</v>
      </c>
      <c r="H11845" s="14">
        <f t="shared" si="2"/>
        <v>8</v>
      </c>
      <c r="I11845" s="15">
        <f t="shared" si="3"/>
        <v>12</v>
      </c>
    </row>
    <row r="11846">
      <c r="A11846" s="8" t="str">
        <f>IFERROR(__xludf.DUMMYFUNCTION("IF('(INGESTA)Datos_consumo_datadis'!A11846&lt;&gt;"""",SPLIT('(INGESTA)Datos_consumo_datadis'!A:A,"",""),"""")"),"ES0031408323131005HX0F")</f>
        <v>ES0031408323131005HX0F</v>
      </c>
      <c r="B11846" s="12">
        <f>IFERROR(__xludf.DUMMYFUNCTION("""COMPUTED_VALUE"""),45359.0)</f>
        <v>45359</v>
      </c>
      <c r="C11846" s="13">
        <f>IFERROR(__xludf.DUMMYFUNCTION("""COMPUTED_VALUE"""),0.5416666666666666)</f>
        <v>0.5416666667</v>
      </c>
      <c r="D11846" s="8">
        <f>IFERROR(__xludf.DUMMYFUNCTION("""COMPUTED_VALUE"""),0.055)</f>
        <v>0.055</v>
      </c>
      <c r="E11846" s="8" t="str">
        <f>IFERROR(__xludf.DUMMYFUNCTION("""COMPUTED_VALUE"""),"Real")</f>
        <v>Real</v>
      </c>
      <c r="G11846" s="8">
        <f t="shared" si="1"/>
        <v>3</v>
      </c>
      <c r="H11846" s="14">
        <f t="shared" si="2"/>
        <v>8</v>
      </c>
      <c r="I11846" s="15">
        <f t="shared" si="3"/>
        <v>13</v>
      </c>
    </row>
    <row r="11847">
      <c r="A11847" s="8" t="str">
        <f>IFERROR(__xludf.DUMMYFUNCTION("IF('(INGESTA)Datos_consumo_datadis'!A11847&lt;&gt;"""",SPLIT('(INGESTA)Datos_consumo_datadis'!A:A,"",""),"""")"),"ES0031408323131005HX0F")</f>
        <v>ES0031408323131005HX0F</v>
      </c>
      <c r="B11847" s="12">
        <f>IFERROR(__xludf.DUMMYFUNCTION("""COMPUTED_VALUE"""),45359.0)</f>
        <v>45359</v>
      </c>
      <c r="C11847" s="13">
        <f>IFERROR(__xludf.DUMMYFUNCTION("""COMPUTED_VALUE"""),0.5833333333333334)</f>
        <v>0.5833333333</v>
      </c>
      <c r="D11847" s="8">
        <f>IFERROR(__xludf.DUMMYFUNCTION("""COMPUTED_VALUE"""),0.311)</f>
        <v>0.311</v>
      </c>
      <c r="E11847" s="8" t="str">
        <f>IFERROR(__xludf.DUMMYFUNCTION("""COMPUTED_VALUE"""),"Real")</f>
        <v>Real</v>
      </c>
      <c r="G11847" s="8">
        <f t="shared" si="1"/>
        <v>3</v>
      </c>
      <c r="H11847" s="14">
        <f t="shared" si="2"/>
        <v>8</v>
      </c>
      <c r="I11847" s="15">
        <f t="shared" si="3"/>
        <v>14</v>
      </c>
    </row>
    <row r="11848">
      <c r="A11848" s="8" t="str">
        <f>IFERROR(__xludf.DUMMYFUNCTION("IF('(INGESTA)Datos_consumo_datadis'!A11848&lt;&gt;"""",SPLIT('(INGESTA)Datos_consumo_datadis'!A:A,"",""),"""")"),"ES0031408323131005HX0F")</f>
        <v>ES0031408323131005HX0F</v>
      </c>
      <c r="B11848" s="12">
        <f>IFERROR(__xludf.DUMMYFUNCTION("""COMPUTED_VALUE"""),45359.0)</f>
        <v>45359</v>
      </c>
      <c r="C11848" s="13">
        <f>IFERROR(__xludf.DUMMYFUNCTION("""COMPUTED_VALUE"""),0.625)</f>
        <v>0.625</v>
      </c>
      <c r="D11848" s="8">
        <f>IFERROR(__xludf.DUMMYFUNCTION("""COMPUTED_VALUE"""),0.463)</f>
        <v>0.463</v>
      </c>
      <c r="E11848" s="8" t="str">
        <f>IFERROR(__xludf.DUMMYFUNCTION("""COMPUTED_VALUE"""),"Real")</f>
        <v>Real</v>
      </c>
      <c r="G11848" s="8">
        <f t="shared" si="1"/>
        <v>3</v>
      </c>
      <c r="H11848" s="14">
        <f t="shared" si="2"/>
        <v>8</v>
      </c>
      <c r="I11848" s="15">
        <f t="shared" si="3"/>
        <v>15</v>
      </c>
    </row>
    <row r="11849">
      <c r="A11849" s="8" t="str">
        <f>IFERROR(__xludf.DUMMYFUNCTION("IF('(INGESTA)Datos_consumo_datadis'!A11849&lt;&gt;"""",SPLIT('(INGESTA)Datos_consumo_datadis'!A:A,"",""),"""")"),"ES0031408323131005HX0F")</f>
        <v>ES0031408323131005HX0F</v>
      </c>
      <c r="B11849" s="12">
        <f>IFERROR(__xludf.DUMMYFUNCTION("""COMPUTED_VALUE"""),45359.0)</f>
        <v>45359</v>
      </c>
      <c r="C11849" s="13">
        <f>IFERROR(__xludf.DUMMYFUNCTION("""COMPUTED_VALUE"""),0.6666666666666666)</f>
        <v>0.6666666667</v>
      </c>
      <c r="D11849" s="8">
        <f>IFERROR(__xludf.DUMMYFUNCTION("""COMPUTED_VALUE"""),1.037)</f>
        <v>1.037</v>
      </c>
      <c r="E11849" s="8" t="str">
        <f>IFERROR(__xludf.DUMMYFUNCTION("""COMPUTED_VALUE"""),"Real")</f>
        <v>Real</v>
      </c>
      <c r="G11849" s="8">
        <f t="shared" si="1"/>
        <v>3</v>
      </c>
      <c r="H11849" s="14">
        <f t="shared" si="2"/>
        <v>8</v>
      </c>
      <c r="I11849" s="15">
        <f t="shared" si="3"/>
        <v>16</v>
      </c>
    </row>
    <row r="11850">
      <c r="A11850" s="8" t="str">
        <f>IFERROR(__xludf.DUMMYFUNCTION("IF('(INGESTA)Datos_consumo_datadis'!A11850&lt;&gt;"""",SPLIT('(INGESTA)Datos_consumo_datadis'!A:A,"",""),"""")"),"ES0031408323131005HX0F")</f>
        <v>ES0031408323131005HX0F</v>
      </c>
      <c r="B11850" s="12">
        <f>IFERROR(__xludf.DUMMYFUNCTION("""COMPUTED_VALUE"""),45359.0)</f>
        <v>45359</v>
      </c>
      <c r="C11850" s="13">
        <f>IFERROR(__xludf.DUMMYFUNCTION("""COMPUTED_VALUE"""),0.7083333333333334)</f>
        <v>0.7083333333</v>
      </c>
      <c r="D11850" s="8">
        <f>IFERROR(__xludf.DUMMYFUNCTION("""COMPUTED_VALUE"""),0.037)</f>
        <v>0.037</v>
      </c>
      <c r="E11850" s="8" t="str">
        <f>IFERROR(__xludf.DUMMYFUNCTION("""COMPUTED_VALUE"""),"Real")</f>
        <v>Real</v>
      </c>
      <c r="G11850" s="8">
        <f t="shared" si="1"/>
        <v>3</v>
      </c>
      <c r="H11850" s="14">
        <f t="shared" si="2"/>
        <v>8</v>
      </c>
      <c r="I11850" s="15">
        <f t="shared" si="3"/>
        <v>17</v>
      </c>
    </row>
    <row r="11851">
      <c r="A11851" s="8" t="str">
        <f>IFERROR(__xludf.DUMMYFUNCTION("IF('(INGESTA)Datos_consumo_datadis'!A11851&lt;&gt;"""",SPLIT('(INGESTA)Datos_consumo_datadis'!A:A,"",""),"""")"),"ES0031408323131005HX0F")</f>
        <v>ES0031408323131005HX0F</v>
      </c>
      <c r="B11851" s="12">
        <f>IFERROR(__xludf.DUMMYFUNCTION("""COMPUTED_VALUE"""),45359.0)</f>
        <v>45359</v>
      </c>
      <c r="C11851" s="13">
        <f>IFERROR(__xludf.DUMMYFUNCTION("""COMPUTED_VALUE"""),0.75)</f>
        <v>0.75</v>
      </c>
      <c r="D11851" s="8">
        <f>IFERROR(__xludf.DUMMYFUNCTION("""COMPUTED_VALUE"""),0.079)</f>
        <v>0.079</v>
      </c>
      <c r="E11851" s="8" t="str">
        <f>IFERROR(__xludf.DUMMYFUNCTION("""COMPUTED_VALUE"""),"Real")</f>
        <v>Real</v>
      </c>
      <c r="G11851" s="8">
        <f t="shared" si="1"/>
        <v>3</v>
      </c>
      <c r="H11851" s="14">
        <f t="shared" si="2"/>
        <v>8</v>
      </c>
      <c r="I11851" s="15">
        <f t="shared" si="3"/>
        <v>18</v>
      </c>
    </row>
    <row r="11852">
      <c r="A11852" s="8" t="str">
        <f>IFERROR(__xludf.DUMMYFUNCTION("IF('(INGESTA)Datos_consumo_datadis'!A11852&lt;&gt;"""",SPLIT('(INGESTA)Datos_consumo_datadis'!A:A,"",""),"""")"),"ES0031408323131005HX0F")</f>
        <v>ES0031408323131005HX0F</v>
      </c>
      <c r="B11852" s="12">
        <f>IFERROR(__xludf.DUMMYFUNCTION("""COMPUTED_VALUE"""),45359.0)</f>
        <v>45359</v>
      </c>
      <c r="C11852" s="13">
        <f>IFERROR(__xludf.DUMMYFUNCTION("""COMPUTED_VALUE"""),0.7916666666666666)</f>
        <v>0.7916666667</v>
      </c>
      <c r="D11852" s="8">
        <f>IFERROR(__xludf.DUMMYFUNCTION("""COMPUTED_VALUE"""),0.058)</f>
        <v>0.058</v>
      </c>
      <c r="E11852" s="8" t="str">
        <f>IFERROR(__xludf.DUMMYFUNCTION("""COMPUTED_VALUE"""),"Real")</f>
        <v>Real</v>
      </c>
      <c r="G11852" s="8">
        <f t="shared" si="1"/>
        <v>3</v>
      </c>
      <c r="H11852" s="14">
        <f t="shared" si="2"/>
        <v>8</v>
      </c>
      <c r="I11852" s="15">
        <f t="shared" si="3"/>
        <v>19</v>
      </c>
    </row>
    <row r="11853">
      <c r="A11853" s="8" t="str">
        <f>IFERROR(__xludf.DUMMYFUNCTION("IF('(INGESTA)Datos_consumo_datadis'!A11853&lt;&gt;"""",SPLIT('(INGESTA)Datos_consumo_datadis'!A:A,"",""),"""")"),"ES0031408323131005HX0F")</f>
        <v>ES0031408323131005HX0F</v>
      </c>
      <c r="B11853" s="12">
        <f>IFERROR(__xludf.DUMMYFUNCTION("""COMPUTED_VALUE"""),45359.0)</f>
        <v>45359</v>
      </c>
      <c r="C11853" s="13">
        <f>IFERROR(__xludf.DUMMYFUNCTION("""COMPUTED_VALUE"""),0.8333333333333334)</f>
        <v>0.8333333333</v>
      </c>
      <c r="D11853" s="8">
        <f>IFERROR(__xludf.DUMMYFUNCTION("""COMPUTED_VALUE"""),0.613)</f>
        <v>0.613</v>
      </c>
      <c r="E11853" s="8" t="str">
        <f>IFERROR(__xludf.DUMMYFUNCTION("""COMPUTED_VALUE"""),"Real")</f>
        <v>Real</v>
      </c>
      <c r="G11853" s="8">
        <f t="shared" si="1"/>
        <v>3</v>
      </c>
      <c r="H11853" s="14">
        <f t="shared" si="2"/>
        <v>8</v>
      </c>
      <c r="I11853" s="15">
        <f t="shared" si="3"/>
        <v>20</v>
      </c>
    </row>
    <row r="11854">
      <c r="A11854" s="8" t="str">
        <f>IFERROR(__xludf.DUMMYFUNCTION("IF('(INGESTA)Datos_consumo_datadis'!A11854&lt;&gt;"""",SPLIT('(INGESTA)Datos_consumo_datadis'!A:A,"",""),"""")"),"ES0031408323131005HX0F")</f>
        <v>ES0031408323131005HX0F</v>
      </c>
      <c r="B11854" s="12">
        <f>IFERROR(__xludf.DUMMYFUNCTION("""COMPUTED_VALUE"""),45359.0)</f>
        <v>45359</v>
      </c>
      <c r="C11854" s="13">
        <f>IFERROR(__xludf.DUMMYFUNCTION("""COMPUTED_VALUE"""),0.875)</f>
        <v>0.875</v>
      </c>
      <c r="D11854" s="8">
        <f>IFERROR(__xludf.DUMMYFUNCTION("""COMPUTED_VALUE"""),0.498)</f>
        <v>0.498</v>
      </c>
      <c r="E11854" s="8" t="str">
        <f>IFERROR(__xludf.DUMMYFUNCTION("""COMPUTED_VALUE"""),"Real")</f>
        <v>Real</v>
      </c>
      <c r="G11854" s="8">
        <f t="shared" si="1"/>
        <v>3</v>
      </c>
      <c r="H11854" s="14">
        <f t="shared" si="2"/>
        <v>8</v>
      </c>
      <c r="I11854" s="15">
        <f t="shared" si="3"/>
        <v>21</v>
      </c>
    </row>
    <row r="11855">
      <c r="A11855" s="8" t="str">
        <f>IFERROR(__xludf.DUMMYFUNCTION("IF('(INGESTA)Datos_consumo_datadis'!A11855&lt;&gt;"""",SPLIT('(INGESTA)Datos_consumo_datadis'!A:A,"",""),"""")"),"ES0031408323131005HX0F")</f>
        <v>ES0031408323131005HX0F</v>
      </c>
      <c r="B11855" s="12">
        <f>IFERROR(__xludf.DUMMYFUNCTION("""COMPUTED_VALUE"""),45359.0)</f>
        <v>45359</v>
      </c>
      <c r="C11855" s="13">
        <f>IFERROR(__xludf.DUMMYFUNCTION("""COMPUTED_VALUE"""),0.9166666666666666)</f>
        <v>0.9166666667</v>
      </c>
      <c r="D11855" s="8">
        <f>IFERROR(__xludf.DUMMYFUNCTION("""COMPUTED_VALUE"""),0.524)</f>
        <v>0.524</v>
      </c>
      <c r="E11855" s="8" t="str">
        <f>IFERROR(__xludf.DUMMYFUNCTION("""COMPUTED_VALUE"""),"Real")</f>
        <v>Real</v>
      </c>
      <c r="G11855" s="8">
        <f t="shared" si="1"/>
        <v>3</v>
      </c>
      <c r="H11855" s="14">
        <f t="shared" si="2"/>
        <v>8</v>
      </c>
      <c r="I11855" s="15">
        <f t="shared" si="3"/>
        <v>22</v>
      </c>
    </row>
    <row r="11856">
      <c r="A11856" s="8" t="str">
        <f>IFERROR(__xludf.DUMMYFUNCTION("IF('(INGESTA)Datos_consumo_datadis'!A11856&lt;&gt;"""",SPLIT('(INGESTA)Datos_consumo_datadis'!A:A,"",""),"""")"),"ES0031408323131005HX0F")</f>
        <v>ES0031408323131005HX0F</v>
      </c>
      <c r="B11856" s="12">
        <f>IFERROR(__xludf.DUMMYFUNCTION("""COMPUTED_VALUE"""),45359.0)</f>
        <v>45359</v>
      </c>
      <c r="C11856" s="13">
        <f>IFERROR(__xludf.DUMMYFUNCTION("""COMPUTED_VALUE"""),0.9583333333333334)</f>
        <v>0.9583333333</v>
      </c>
      <c r="D11856" s="8">
        <f>IFERROR(__xludf.DUMMYFUNCTION("""COMPUTED_VALUE"""),0.184)</f>
        <v>0.184</v>
      </c>
      <c r="E11856" s="8" t="str">
        <f>IFERROR(__xludf.DUMMYFUNCTION("""COMPUTED_VALUE"""),"Real")</f>
        <v>Real</v>
      </c>
      <c r="G11856" s="8">
        <f t="shared" si="1"/>
        <v>3</v>
      </c>
      <c r="H11856" s="14">
        <f t="shared" si="2"/>
        <v>8</v>
      </c>
      <c r="I11856" s="15">
        <f t="shared" si="3"/>
        <v>23</v>
      </c>
    </row>
    <row r="11857">
      <c r="A11857" s="8" t="str">
        <f>IFERROR(__xludf.DUMMYFUNCTION("IF('(INGESTA)Datos_consumo_datadis'!A11857&lt;&gt;"""",SPLIT('(INGESTA)Datos_consumo_datadis'!A:A,"",""),"""")"),"ES0031408323131005HX0F")</f>
        <v>ES0031408323131005HX0F</v>
      </c>
      <c r="B11857" s="12">
        <f>IFERROR(__xludf.DUMMYFUNCTION("""COMPUTED_VALUE"""),45359.0)</f>
        <v>45359</v>
      </c>
      <c r="C11857" s="16">
        <f>IFERROR(__xludf.DUMMYFUNCTION("""COMPUTED_VALUE"""),1.0)</f>
        <v>1</v>
      </c>
      <c r="D11857" s="8">
        <f>IFERROR(__xludf.DUMMYFUNCTION("""COMPUTED_VALUE"""),0.517)</f>
        <v>0.517</v>
      </c>
      <c r="E11857" s="8" t="str">
        <f>IFERROR(__xludf.DUMMYFUNCTION("""COMPUTED_VALUE"""),"Real")</f>
        <v>Real</v>
      </c>
      <c r="G11857" s="8">
        <f t="shared" si="1"/>
        <v>3</v>
      </c>
      <c r="H11857" s="14">
        <f t="shared" si="2"/>
        <v>8</v>
      </c>
      <c r="I11857" s="15">
        <f t="shared" si="3"/>
        <v>0</v>
      </c>
    </row>
    <row r="11858">
      <c r="A11858" s="8" t="str">
        <f>IFERROR(__xludf.DUMMYFUNCTION("IF('(INGESTA)Datos_consumo_datadis'!A11858&lt;&gt;"""",SPLIT('(INGESTA)Datos_consumo_datadis'!A:A,"",""),"""")"),"ES0031408323131005HX0F")</f>
        <v>ES0031408323131005HX0F</v>
      </c>
      <c r="B11858" s="12">
        <f>IFERROR(__xludf.DUMMYFUNCTION("""COMPUTED_VALUE"""),45360.0)</f>
        <v>45360</v>
      </c>
      <c r="C11858" s="13">
        <f>IFERROR(__xludf.DUMMYFUNCTION("""COMPUTED_VALUE"""),0.041666666666666664)</f>
        <v>0.04166666667</v>
      </c>
      <c r="D11858" s="8">
        <f>IFERROR(__xludf.DUMMYFUNCTION("""COMPUTED_VALUE"""),0.104)</f>
        <v>0.104</v>
      </c>
      <c r="E11858" s="8" t="str">
        <f>IFERROR(__xludf.DUMMYFUNCTION("""COMPUTED_VALUE"""),"Real")</f>
        <v>Real</v>
      </c>
      <c r="G11858" s="8">
        <f t="shared" si="1"/>
        <v>3</v>
      </c>
      <c r="H11858" s="14">
        <f t="shared" si="2"/>
        <v>9</v>
      </c>
      <c r="I11858" s="15">
        <f t="shared" si="3"/>
        <v>1</v>
      </c>
    </row>
    <row r="11859">
      <c r="A11859" s="8" t="str">
        <f>IFERROR(__xludf.DUMMYFUNCTION("IF('(INGESTA)Datos_consumo_datadis'!A11859&lt;&gt;"""",SPLIT('(INGESTA)Datos_consumo_datadis'!A:A,"",""),"""")"),"ES0031408323131005HX0F")</f>
        <v>ES0031408323131005HX0F</v>
      </c>
      <c r="B11859" s="12">
        <f>IFERROR(__xludf.DUMMYFUNCTION("""COMPUTED_VALUE"""),45360.0)</f>
        <v>45360</v>
      </c>
      <c r="C11859" s="13">
        <f>IFERROR(__xludf.DUMMYFUNCTION("""COMPUTED_VALUE"""),0.08333333333333333)</f>
        <v>0.08333333333</v>
      </c>
      <c r="D11859" s="8">
        <f>IFERROR(__xludf.DUMMYFUNCTION("""COMPUTED_VALUE"""),0.068)</f>
        <v>0.068</v>
      </c>
      <c r="E11859" s="8" t="str">
        <f>IFERROR(__xludf.DUMMYFUNCTION("""COMPUTED_VALUE"""),"Real")</f>
        <v>Real</v>
      </c>
      <c r="G11859" s="8">
        <f t="shared" si="1"/>
        <v>3</v>
      </c>
      <c r="H11859" s="14">
        <f t="shared" si="2"/>
        <v>9</v>
      </c>
      <c r="I11859" s="15">
        <f t="shared" si="3"/>
        <v>2</v>
      </c>
    </row>
    <row r="11860">
      <c r="A11860" s="8" t="str">
        <f>IFERROR(__xludf.DUMMYFUNCTION("IF('(INGESTA)Datos_consumo_datadis'!A11860&lt;&gt;"""",SPLIT('(INGESTA)Datos_consumo_datadis'!A:A,"",""),"""")"),"ES0031408323131005HX0F")</f>
        <v>ES0031408323131005HX0F</v>
      </c>
      <c r="B11860" s="12">
        <f>IFERROR(__xludf.DUMMYFUNCTION("""COMPUTED_VALUE"""),45360.0)</f>
        <v>45360</v>
      </c>
      <c r="C11860" s="13">
        <f>IFERROR(__xludf.DUMMYFUNCTION("""COMPUTED_VALUE"""),0.125)</f>
        <v>0.125</v>
      </c>
      <c r="D11860" s="8">
        <f>IFERROR(__xludf.DUMMYFUNCTION("""COMPUTED_VALUE"""),0.027)</f>
        <v>0.027</v>
      </c>
      <c r="E11860" s="8" t="str">
        <f>IFERROR(__xludf.DUMMYFUNCTION("""COMPUTED_VALUE"""),"Real")</f>
        <v>Real</v>
      </c>
      <c r="G11860" s="8">
        <f t="shared" si="1"/>
        <v>3</v>
      </c>
      <c r="H11860" s="14">
        <f t="shared" si="2"/>
        <v>9</v>
      </c>
      <c r="I11860" s="15">
        <f t="shared" si="3"/>
        <v>3</v>
      </c>
    </row>
    <row r="11861">
      <c r="A11861" s="8" t="str">
        <f>IFERROR(__xludf.DUMMYFUNCTION("IF('(INGESTA)Datos_consumo_datadis'!A11861&lt;&gt;"""",SPLIT('(INGESTA)Datos_consumo_datadis'!A:A,"",""),"""")"),"ES0031408323131005HX0F")</f>
        <v>ES0031408323131005HX0F</v>
      </c>
      <c r="B11861" s="12">
        <f>IFERROR(__xludf.DUMMYFUNCTION("""COMPUTED_VALUE"""),45360.0)</f>
        <v>45360</v>
      </c>
      <c r="C11861" s="13">
        <f>IFERROR(__xludf.DUMMYFUNCTION("""COMPUTED_VALUE"""),0.16666666666666666)</f>
        <v>0.1666666667</v>
      </c>
      <c r="D11861" s="8">
        <f>IFERROR(__xludf.DUMMYFUNCTION("""COMPUTED_VALUE"""),0.075)</f>
        <v>0.075</v>
      </c>
      <c r="E11861" s="8" t="str">
        <f>IFERROR(__xludf.DUMMYFUNCTION("""COMPUTED_VALUE"""),"Real")</f>
        <v>Real</v>
      </c>
      <c r="G11861" s="8">
        <f t="shared" si="1"/>
        <v>3</v>
      </c>
      <c r="H11861" s="14">
        <f t="shared" si="2"/>
        <v>9</v>
      </c>
      <c r="I11861" s="15">
        <f t="shared" si="3"/>
        <v>4</v>
      </c>
    </row>
    <row r="11862">
      <c r="A11862" s="8" t="str">
        <f>IFERROR(__xludf.DUMMYFUNCTION("IF('(INGESTA)Datos_consumo_datadis'!A11862&lt;&gt;"""",SPLIT('(INGESTA)Datos_consumo_datadis'!A:A,"",""),"""")"),"ES0031408323131005HX0F")</f>
        <v>ES0031408323131005HX0F</v>
      </c>
      <c r="B11862" s="12">
        <f>IFERROR(__xludf.DUMMYFUNCTION("""COMPUTED_VALUE"""),45360.0)</f>
        <v>45360</v>
      </c>
      <c r="C11862" s="13">
        <f>IFERROR(__xludf.DUMMYFUNCTION("""COMPUTED_VALUE"""),0.20833333333333334)</f>
        <v>0.2083333333</v>
      </c>
      <c r="D11862" s="8">
        <f>IFERROR(__xludf.DUMMYFUNCTION("""COMPUTED_VALUE"""),0.311)</f>
        <v>0.311</v>
      </c>
      <c r="E11862" s="8" t="str">
        <f>IFERROR(__xludf.DUMMYFUNCTION("""COMPUTED_VALUE"""),"Real")</f>
        <v>Real</v>
      </c>
      <c r="G11862" s="8">
        <f t="shared" si="1"/>
        <v>3</v>
      </c>
      <c r="H11862" s="14">
        <f t="shared" si="2"/>
        <v>9</v>
      </c>
      <c r="I11862" s="15">
        <f t="shared" si="3"/>
        <v>5</v>
      </c>
    </row>
    <row r="11863">
      <c r="A11863" s="8" t="str">
        <f>IFERROR(__xludf.DUMMYFUNCTION("IF('(INGESTA)Datos_consumo_datadis'!A11863&lt;&gt;"""",SPLIT('(INGESTA)Datos_consumo_datadis'!A:A,"",""),"""")"),"ES0031408323131005HX0F")</f>
        <v>ES0031408323131005HX0F</v>
      </c>
      <c r="B11863" s="12">
        <f>IFERROR(__xludf.DUMMYFUNCTION("""COMPUTED_VALUE"""),45360.0)</f>
        <v>45360</v>
      </c>
      <c r="C11863" s="13">
        <f>IFERROR(__xludf.DUMMYFUNCTION("""COMPUTED_VALUE"""),0.25)</f>
        <v>0.25</v>
      </c>
      <c r="D11863" s="8">
        <f>IFERROR(__xludf.DUMMYFUNCTION("""COMPUTED_VALUE"""),0.037)</f>
        <v>0.037</v>
      </c>
      <c r="E11863" s="8" t="str">
        <f>IFERROR(__xludf.DUMMYFUNCTION("""COMPUTED_VALUE"""),"Real")</f>
        <v>Real</v>
      </c>
      <c r="G11863" s="8">
        <f t="shared" si="1"/>
        <v>3</v>
      </c>
      <c r="H11863" s="14">
        <f t="shared" si="2"/>
        <v>9</v>
      </c>
      <c r="I11863" s="15">
        <f t="shared" si="3"/>
        <v>6</v>
      </c>
    </row>
    <row r="11864">
      <c r="A11864" s="8" t="str">
        <f>IFERROR(__xludf.DUMMYFUNCTION("IF('(INGESTA)Datos_consumo_datadis'!A11864&lt;&gt;"""",SPLIT('(INGESTA)Datos_consumo_datadis'!A:A,"",""),"""")"),"ES0031408323131005HX0F")</f>
        <v>ES0031408323131005HX0F</v>
      </c>
      <c r="B11864" s="12">
        <f>IFERROR(__xludf.DUMMYFUNCTION("""COMPUTED_VALUE"""),45360.0)</f>
        <v>45360</v>
      </c>
      <c r="C11864" s="13">
        <f>IFERROR(__xludf.DUMMYFUNCTION("""COMPUTED_VALUE"""),0.2916666666666667)</f>
        <v>0.2916666667</v>
      </c>
      <c r="D11864" s="8">
        <f>IFERROR(__xludf.DUMMYFUNCTION("""COMPUTED_VALUE"""),0.062)</f>
        <v>0.062</v>
      </c>
      <c r="E11864" s="8" t="str">
        <f>IFERROR(__xludf.DUMMYFUNCTION("""COMPUTED_VALUE"""),"Real")</f>
        <v>Real</v>
      </c>
      <c r="G11864" s="8">
        <f t="shared" si="1"/>
        <v>3</v>
      </c>
      <c r="H11864" s="14">
        <f t="shared" si="2"/>
        <v>9</v>
      </c>
      <c r="I11864" s="15">
        <f t="shared" si="3"/>
        <v>7</v>
      </c>
    </row>
    <row r="11865">
      <c r="A11865" s="8" t="str">
        <f>IFERROR(__xludf.DUMMYFUNCTION("IF('(INGESTA)Datos_consumo_datadis'!A11865&lt;&gt;"""",SPLIT('(INGESTA)Datos_consumo_datadis'!A:A,"",""),"""")"),"ES0031408323131005HX0F")</f>
        <v>ES0031408323131005HX0F</v>
      </c>
      <c r="B11865" s="12">
        <f>IFERROR(__xludf.DUMMYFUNCTION("""COMPUTED_VALUE"""),45360.0)</f>
        <v>45360</v>
      </c>
      <c r="C11865" s="13">
        <f>IFERROR(__xludf.DUMMYFUNCTION("""COMPUTED_VALUE"""),0.3333333333333333)</f>
        <v>0.3333333333</v>
      </c>
      <c r="D11865" s="8">
        <f>IFERROR(__xludf.DUMMYFUNCTION("""COMPUTED_VALUE"""),0.066)</f>
        <v>0.066</v>
      </c>
      <c r="E11865" s="8" t="str">
        <f>IFERROR(__xludf.DUMMYFUNCTION("""COMPUTED_VALUE"""),"Real")</f>
        <v>Real</v>
      </c>
      <c r="G11865" s="8">
        <f t="shared" si="1"/>
        <v>3</v>
      </c>
      <c r="H11865" s="14">
        <f t="shared" si="2"/>
        <v>9</v>
      </c>
      <c r="I11865" s="15">
        <f t="shared" si="3"/>
        <v>8</v>
      </c>
    </row>
    <row r="11866">
      <c r="A11866" s="8" t="str">
        <f>IFERROR(__xludf.DUMMYFUNCTION("IF('(INGESTA)Datos_consumo_datadis'!A11866&lt;&gt;"""",SPLIT('(INGESTA)Datos_consumo_datadis'!A:A,"",""),"""")"),"ES0031408323131005HX0F")</f>
        <v>ES0031408323131005HX0F</v>
      </c>
      <c r="B11866" s="12">
        <f>IFERROR(__xludf.DUMMYFUNCTION("""COMPUTED_VALUE"""),45360.0)</f>
        <v>45360</v>
      </c>
      <c r="C11866" s="13">
        <f>IFERROR(__xludf.DUMMYFUNCTION("""COMPUTED_VALUE"""),0.375)</f>
        <v>0.375</v>
      </c>
      <c r="D11866" s="8">
        <f>IFERROR(__xludf.DUMMYFUNCTION("""COMPUTED_VALUE"""),0.126)</f>
        <v>0.126</v>
      </c>
      <c r="E11866" s="8" t="str">
        <f>IFERROR(__xludf.DUMMYFUNCTION("""COMPUTED_VALUE"""),"Real")</f>
        <v>Real</v>
      </c>
      <c r="G11866" s="8">
        <f t="shared" si="1"/>
        <v>3</v>
      </c>
      <c r="H11866" s="14">
        <f t="shared" si="2"/>
        <v>9</v>
      </c>
      <c r="I11866" s="15">
        <f t="shared" si="3"/>
        <v>9</v>
      </c>
    </row>
    <row r="11867">
      <c r="A11867" s="8" t="str">
        <f>IFERROR(__xludf.DUMMYFUNCTION("IF('(INGESTA)Datos_consumo_datadis'!A11867&lt;&gt;"""",SPLIT('(INGESTA)Datos_consumo_datadis'!A:A,"",""),"""")"),"ES0031408323131005HX0F")</f>
        <v>ES0031408323131005HX0F</v>
      </c>
      <c r="B11867" s="12">
        <f>IFERROR(__xludf.DUMMYFUNCTION("""COMPUTED_VALUE"""),45360.0)</f>
        <v>45360</v>
      </c>
      <c r="C11867" s="13">
        <f>IFERROR(__xludf.DUMMYFUNCTION("""COMPUTED_VALUE"""),0.4166666666666667)</f>
        <v>0.4166666667</v>
      </c>
      <c r="D11867" s="8">
        <f>IFERROR(__xludf.DUMMYFUNCTION("""COMPUTED_VALUE"""),1.698)</f>
        <v>1.698</v>
      </c>
      <c r="E11867" s="8" t="str">
        <f>IFERROR(__xludf.DUMMYFUNCTION("""COMPUTED_VALUE"""),"Real")</f>
        <v>Real</v>
      </c>
      <c r="G11867" s="8">
        <f t="shared" si="1"/>
        <v>3</v>
      </c>
      <c r="H11867" s="14">
        <f t="shared" si="2"/>
        <v>9</v>
      </c>
      <c r="I11867" s="15">
        <f t="shared" si="3"/>
        <v>10</v>
      </c>
    </row>
    <row r="11868">
      <c r="A11868" s="8" t="str">
        <f>IFERROR(__xludf.DUMMYFUNCTION("IF('(INGESTA)Datos_consumo_datadis'!A11868&lt;&gt;"""",SPLIT('(INGESTA)Datos_consumo_datadis'!A:A,"",""),"""")"),"ES0031408323131005HX0F")</f>
        <v>ES0031408323131005HX0F</v>
      </c>
      <c r="B11868" s="12">
        <f>IFERROR(__xludf.DUMMYFUNCTION("""COMPUTED_VALUE"""),45360.0)</f>
        <v>45360</v>
      </c>
      <c r="C11868" s="13">
        <f>IFERROR(__xludf.DUMMYFUNCTION("""COMPUTED_VALUE"""),0.4583333333333333)</f>
        <v>0.4583333333</v>
      </c>
      <c r="D11868" s="8">
        <f>IFERROR(__xludf.DUMMYFUNCTION("""COMPUTED_VALUE"""),1.577)</f>
        <v>1.577</v>
      </c>
      <c r="E11868" s="8" t="str">
        <f>IFERROR(__xludf.DUMMYFUNCTION("""COMPUTED_VALUE"""),"Real")</f>
        <v>Real</v>
      </c>
      <c r="G11868" s="8">
        <f t="shared" si="1"/>
        <v>3</v>
      </c>
      <c r="H11868" s="14">
        <f t="shared" si="2"/>
        <v>9</v>
      </c>
      <c r="I11868" s="15">
        <f t="shared" si="3"/>
        <v>11</v>
      </c>
    </row>
    <row r="11869">
      <c r="A11869" s="8" t="str">
        <f>IFERROR(__xludf.DUMMYFUNCTION("IF('(INGESTA)Datos_consumo_datadis'!A11869&lt;&gt;"""",SPLIT('(INGESTA)Datos_consumo_datadis'!A:A,"",""),"""")"),"ES0031408323131005HX0F")</f>
        <v>ES0031408323131005HX0F</v>
      </c>
      <c r="B11869" s="12">
        <f>IFERROR(__xludf.DUMMYFUNCTION("""COMPUTED_VALUE"""),45360.0)</f>
        <v>45360</v>
      </c>
      <c r="C11869" s="13">
        <f>IFERROR(__xludf.DUMMYFUNCTION("""COMPUTED_VALUE"""),0.5)</f>
        <v>0.5</v>
      </c>
      <c r="D11869" s="8">
        <f>IFERROR(__xludf.DUMMYFUNCTION("""COMPUTED_VALUE"""),0.419)</f>
        <v>0.419</v>
      </c>
      <c r="E11869" s="8" t="str">
        <f>IFERROR(__xludf.DUMMYFUNCTION("""COMPUTED_VALUE"""),"Real")</f>
        <v>Real</v>
      </c>
      <c r="G11869" s="8">
        <f t="shared" si="1"/>
        <v>3</v>
      </c>
      <c r="H11869" s="14">
        <f t="shared" si="2"/>
        <v>9</v>
      </c>
      <c r="I11869" s="15">
        <f t="shared" si="3"/>
        <v>12</v>
      </c>
    </row>
    <row r="11870">
      <c r="A11870" s="8" t="str">
        <f>IFERROR(__xludf.DUMMYFUNCTION("IF('(INGESTA)Datos_consumo_datadis'!A11870&lt;&gt;"""",SPLIT('(INGESTA)Datos_consumo_datadis'!A:A,"",""),"""")"),"ES0031408323131005HX0F")</f>
        <v>ES0031408323131005HX0F</v>
      </c>
      <c r="B11870" s="12">
        <f>IFERROR(__xludf.DUMMYFUNCTION("""COMPUTED_VALUE"""),45360.0)</f>
        <v>45360</v>
      </c>
      <c r="C11870" s="13">
        <f>IFERROR(__xludf.DUMMYFUNCTION("""COMPUTED_VALUE"""),0.5416666666666666)</f>
        <v>0.5416666667</v>
      </c>
      <c r="D11870" s="8">
        <f>IFERROR(__xludf.DUMMYFUNCTION("""COMPUTED_VALUE"""),0.057)</f>
        <v>0.057</v>
      </c>
      <c r="E11870" s="8" t="str">
        <f>IFERROR(__xludf.DUMMYFUNCTION("""COMPUTED_VALUE"""),"Real")</f>
        <v>Real</v>
      </c>
      <c r="G11870" s="8">
        <f t="shared" si="1"/>
        <v>3</v>
      </c>
      <c r="H11870" s="14">
        <f t="shared" si="2"/>
        <v>9</v>
      </c>
      <c r="I11870" s="15">
        <f t="shared" si="3"/>
        <v>13</v>
      </c>
    </row>
    <row r="11871">
      <c r="A11871" s="8" t="str">
        <f>IFERROR(__xludf.DUMMYFUNCTION("IF('(INGESTA)Datos_consumo_datadis'!A11871&lt;&gt;"""",SPLIT('(INGESTA)Datos_consumo_datadis'!A:A,"",""),"""")"),"ES0031408323131005HX0F")</f>
        <v>ES0031408323131005HX0F</v>
      </c>
      <c r="B11871" s="12">
        <f>IFERROR(__xludf.DUMMYFUNCTION("""COMPUTED_VALUE"""),45360.0)</f>
        <v>45360</v>
      </c>
      <c r="C11871" s="13">
        <f>IFERROR(__xludf.DUMMYFUNCTION("""COMPUTED_VALUE"""),0.5833333333333334)</f>
        <v>0.5833333333</v>
      </c>
      <c r="D11871" s="8">
        <f>IFERROR(__xludf.DUMMYFUNCTION("""COMPUTED_VALUE"""),0.069)</f>
        <v>0.069</v>
      </c>
      <c r="E11871" s="8" t="str">
        <f>IFERROR(__xludf.DUMMYFUNCTION("""COMPUTED_VALUE"""),"Real")</f>
        <v>Real</v>
      </c>
      <c r="G11871" s="8">
        <f t="shared" si="1"/>
        <v>3</v>
      </c>
      <c r="H11871" s="14">
        <f t="shared" si="2"/>
        <v>9</v>
      </c>
      <c r="I11871" s="15">
        <f t="shared" si="3"/>
        <v>14</v>
      </c>
    </row>
    <row r="11872">
      <c r="A11872" s="8" t="str">
        <f>IFERROR(__xludf.DUMMYFUNCTION("IF('(INGESTA)Datos_consumo_datadis'!A11872&lt;&gt;"""",SPLIT('(INGESTA)Datos_consumo_datadis'!A:A,"",""),"""")"),"ES0031408323131005HX0F")</f>
        <v>ES0031408323131005HX0F</v>
      </c>
      <c r="B11872" s="12">
        <f>IFERROR(__xludf.DUMMYFUNCTION("""COMPUTED_VALUE"""),45360.0)</f>
        <v>45360</v>
      </c>
      <c r="C11872" s="13">
        <f>IFERROR(__xludf.DUMMYFUNCTION("""COMPUTED_VALUE"""),0.625)</f>
        <v>0.625</v>
      </c>
      <c r="D11872" s="8">
        <f>IFERROR(__xludf.DUMMYFUNCTION("""COMPUTED_VALUE"""),0.053)</f>
        <v>0.053</v>
      </c>
      <c r="E11872" s="8" t="str">
        <f>IFERROR(__xludf.DUMMYFUNCTION("""COMPUTED_VALUE"""),"Real")</f>
        <v>Real</v>
      </c>
      <c r="G11872" s="8">
        <f t="shared" si="1"/>
        <v>3</v>
      </c>
      <c r="H11872" s="14">
        <f t="shared" si="2"/>
        <v>9</v>
      </c>
      <c r="I11872" s="15">
        <f t="shared" si="3"/>
        <v>15</v>
      </c>
    </row>
    <row r="11873">
      <c r="A11873" s="8" t="str">
        <f>IFERROR(__xludf.DUMMYFUNCTION("IF('(INGESTA)Datos_consumo_datadis'!A11873&lt;&gt;"""",SPLIT('(INGESTA)Datos_consumo_datadis'!A:A,"",""),"""")"),"ES0031408323131005HX0F")</f>
        <v>ES0031408323131005HX0F</v>
      </c>
      <c r="B11873" s="12">
        <f>IFERROR(__xludf.DUMMYFUNCTION("""COMPUTED_VALUE"""),45360.0)</f>
        <v>45360</v>
      </c>
      <c r="C11873" s="13">
        <f>IFERROR(__xludf.DUMMYFUNCTION("""COMPUTED_VALUE"""),0.6666666666666666)</f>
        <v>0.6666666667</v>
      </c>
      <c r="D11873" s="8">
        <f>IFERROR(__xludf.DUMMYFUNCTION("""COMPUTED_VALUE"""),0.528)</f>
        <v>0.528</v>
      </c>
      <c r="E11873" s="8" t="str">
        <f>IFERROR(__xludf.DUMMYFUNCTION("""COMPUTED_VALUE"""),"Real")</f>
        <v>Real</v>
      </c>
      <c r="G11873" s="8">
        <f t="shared" si="1"/>
        <v>3</v>
      </c>
      <c r="H11873" s="14">
        <f t="shared" si="2"/>
        <v>9</v>
      </c>
      <c r="I11873" s="15">
        <f t="shared" si="3"/>
        <v>16</v>
      </c>
    </row>
    <row r="11874">
      <c r="A11874" s="8" t="str">
        <f>IFERROR(__xludf.DUMMYFUNCTION("IF('(INGESTA)Datos_consumo_datadis'!A11874&lt;&gt;"""",SPLIT('(INGESTA)Datos_consumo_datadis'!A:A,"",""),"""")"),"ES0031408323131005HX0F")</f>
        <v>ES0031408323131005HX0F</v>
      </c>
      <c r="B11874" s="12">
        <f>IFERROR(__xludf.DUMMYFUNCTION("""COMPUTED_VALUE"""),45360.0)</f>
        <v>45360</v>
      </c>
      <c r="C11874" s="13">
        <f>IFERROR(__xludf.DUMMYFUNCTION("""COMPUTED_VALUE"""),0.7083333333333334)</f>
        <v>0.7083333333</v>
      </c>
      <c r="D11874" s="8">
        <f>IFERROR(__xludf.DUMMYFUNCTION("""COMPUTED_VALUE"""),2.161)</f>
        <v>2.161</v>
      </c>
      <c r="E11874" s="8" t="str">
        <f>IFERROR(__xludf.DUMMYFUNCTION("""COMPUTED_VALUE"""),"Real")</f>
        <v>Real</v>
      </c>
      <c r="G11874" s="8">
        <f t="shared" si="1"/>
        <v>3</v>
      </c>
      <c r="H11874" s="14">
        <f t="shared" si="2"/>
        <v>9</v>
      </c>
      <c r="I11874" s="15">
        <f t="shared" si="3"/>
        <v>17</v>
      </c>
    </row>
    <row r="11875">
      <c r="A11875" s="8" t="str">
        <f>IFERROR(__xludf.DUMMYFUNCTION("IF('(INGESTA)Datos_consumo_datadis'!A11875&lt;&gt;"""",SPLIT('(INGESTA)Datos_consumo_datadis'!A:A,"",""),"""")"),"ES0031408323131005HX0F")</f>
        <v>ES0031408323131005HX0F</v>
      </c>
      <c r="B11875" s="12">
        <f>IFERROR(__xludf.DUMMYFUNCTION("""COMPUTED_VALUE"""),45360.0)</f>
        <v>45360</v>
      </c>
      <c r="C11875" s="13">
        <f>IFERROR(__xludf.DUMMYFUNCTION("""COMPUTED_VALUE"""),0.75)</f>
        <v>0.75</v>
      </c>
      <c r="D11875" s="8">
        <f>IFERROR(__xludf.DUMMYFUNCTION("""COMPUTED_VALUE"""),1.915)</f>
        <v>1.915</v>
      </c>
      <c r="E11875" s="8" t="str">
        <f>IFERROR(__xludf.DUMMYFUNCTION("""COMPUTED_VALUE"""),"Real")</f>
        <v>Real</v>
      </c>
      <c r="G11875" s="8">
        <f t="shared" si="1"/>
        <v>3</v>
      </c>
      <c r="H11875" s="14">
        <f t="shared" si="2"/>
        <v>9</v>
      </c>
      <c r="I11875" s="15">
        <f t="shared" si="3"/>
        <v>18</v>
      </c>
    </row>
    <row r="11876">
      <c r="A11876" s="8" t="str">
        <f>IFERROR(__xludf.DUMMYFUNCTION("IF('(INGESTA)Datos_consumo_datadis'!A11876&lt;&gt;"""",SPLIT('(INGESTA)Datos_consumo_datadis'!A:A,"",""),"""")"),"ES0031408323131005HX0F")</f>
        <v>ES0031408323131005HX0F</v>
      </c>
      <c r="B11876" s="12">
        <f>IFERROR(__xludf.DUMMYFUNCTION("""COMPUTED_VALUE"""),45360.0)</f>
        <v>45360</v>
      </c>
      <c r="C11876" s="13">
        <f>IFERROR(__xludf.DUMMYFUNCTION("""COMPUTED_VALUE"""),0.7916666666666666)</f>
        <v>0.7916666667</v>
      </c>
      <c r="D11876" s="8">
        <f>IFERROR(__xludf.DUMMYFUNCTION("""COMPUTED_VALUE"""),1.13)</f>
        <v>1.13</v>
      </c>
      <c r="E11876" s="8" t="str">
        <f>IFERROR(__xludf.DUMMYFUNCTION("""COMPUTED_VALUE"""),"Real")</f>
        <v>Real</v>
      </c>
      <c r="G11876" s="8">
        <f t="shared" si="1"/>
        <v>3</v>
      </c>
      <c r="H11876" s="14">
        <f t="shared" si="2"/>
        <v>9</v>
      </c>
      <c r="I11876" s="15">
        <f t="shared" si="3"/>
        <v>19</v>
      </c>
    </row>
    <row r="11877">
      <c r="A11877" s="8" t="str">
        <f>IFERROR(__xludf.DUMMYFUNCTION("IF('(INGESTA)Datos_consumo_datadis'!A11877&lt;&gt;"""",SPLIT('(INGESTA)Datos_consumo_datadis'!A:A,"",""),"""")"),"ES0031408323131005HX0F")</f>
        <v>ES0031408323131005HX0F</v>
      </c>
      <c r="B11877" s="12">
        <f>IFERROR(__xludf.DUMMYFUNCTION("""COMPUTED_VALUE"""),45360.0)</f>
        <v>45360</v>
      </c>
      <c r="C11877" s="13">
        <f>IFERROR(__xludf.DUMMYFUNCTION("""COMPUTED_VALUE"""),0.8333333333333334)</f>
        <v>0.8333333333</v>
      </c>
      <c r="D11877" s="8">
        <f>IFERROR(__xludf.DUMMYFUNCTION("""COMPUTED_VALUE"""),1.259)</f>
        <v>1.259</v>
      </c>
      <c r="E11877" s="8" t="str">
        <f>IFERROR(__xludf.DUMMYFUNCTION("""COMPUTED_VALUE"""),"Real")</f>
        <v>Real</v>
      </c>
      <c r="G11877" s="8">
        <f t="shared" si="1"/>
        <v>3</v>
      </c>
      <c r="H11877" s="14">
        <f t="shared" si="2"/>
        <v>9</v>
      </c>
      <c r="I11877" s="15">
        <f t="shared" si="3"/>
        <v>20</v>
      </c>
    </row>
    <row r="11878">
      <c r="A11878" s="8" t="str">
        <f>IFERROR(__xludf.DUMMYFUNCTION("IF('(INGESTA)Datos_consumo_datadis'!A11878&lt;&gt;"""",SPLIT('(INGESTA)Datos_consumo_datadis'!A:A,"",""),"""")"),"ES0031408323131005HX0F")</f>
        <v>ES0031408323131005HX0F</v>
      </c>
      <c r="B11878" s="12">
        <f>IFERROR(__xludf.DUMMYFUNCTION("""COMPUTED_VALUE"""),45360.0)</f>
        <v>45360</v>
      </c>
      <c r="C11878" s="13">
        <f>IFERROR(__xludf.DUMMYFUNCTION("""COMPUTED_VALUE"""),0.875)</f>
        <v>0.875</v>
      </c>
      <c r="D11878" s="8">
        <f>IFERROR(__xludf.DUMMYFUNCTION("""COMPUTED_VALUE"""),1.685)</f>
        <v>1.685</v>
      </c>
      <c r="E11878" s="8" t="str">
        <f>IFERROR(__xludf.DUMMYFUNCTION("""COMPUTED_VALUE"""),"Real")</f>
        <v>Real</v>
      </c>
      <c r="G11878" s="8">
        <f t="shared" si="1"/>
        <v>3</v>
      </c>
      <c r="H11878" s="14">
        <f t="shared" si="2"/>
        <v>9</v>
      </c>
      <c r="I11878" s="15">
        <f t="shared" si="3"/>
        <v>21</v>
      </c>
    </row>
    <row r="11879">
      <c r="A11879" s="8" t="str">
        <f>IFERROR(__xludf.DUMMYFUNCTION("IF('(INGESTA)Datos_consumo_datadis'!A11879&lt;&gt;"""",SPLIT('(INGESTA)Datos_consumo_datadis'!A:A,"",""),"""")"),"ES0031408323131005HX0F")</f>
        <v>ES0031408323131005HX0F</v>
      </c>
      <c r="B11879" s="12">
        <f>IFERROR(__xludf.DUMMYFUNCTION("""COMPUTED_VALUE"""),45360.0)</f>
        <v>45360</v>
      </c>
      <c r="C11879" s="13">
        <f>IFERROR(__xludf.DUMMYFUNCTION("""COMPUTED_VALUE"""),0.9166666666666666)</f>
        <v>0.9166666667</v>
      </c>
      <c r="D11879" s="8">
        <f>IFERROR(__xludf.DUMMYFUNCTION("""COMPUTED_VALUE"""),0.992)</f>
        <v>0.992</v>
      </c>
      <c r="E11879" s="8" t="str">
        <f>IFERROR(__xludf.DUMMYFUNCTION("""COMPUTED_VALUE"""),"Real")</f>
        <v>Real</v>
      </c>
      <c r="G11879" s="8">
        <f t="shared" si="1"/>
        <v>3</v>
      </c>
      <c r="H11879" s="14">
        <f t="shared" si="2"/>
        <v>9</v>
      </c>
      <c r="I11879" s="15">
        <f t="shared" si="3"/>
        <v>22</v>
      </c>
    </row>
    <row r="11880">
      <c r="A11880" s="8" t="str">
        <f>IFERROR(__xludf.DUMMYFUNCTION("IF('(INGESTA)Datos_consumo_datadis'!A11880&lt;&gt;"""",SPLIT('(INGESTA)Datos_consumo_datadis'!A:A,"",""),"""")"),"ES0031408323131005HX0F")</f>
        <v>ES0031408323131005HX0F</v>
      </c>
      <c r="B11880" s="12">
        <f>IFERROR(__xludf.DUMMYFUNCTION("""COMPUTED_VALUE"""),45360.0)</f>
        <v>45360</v>
      </c>
      <c r="C11880" s="13">
        <f>IFERROR(__xludf.DUMMYFUNCTION("""COMPUTED_VALUE"""),0.9583333333333334)</f>
        <v>0.9583333333</v>
      </c>
      <c r="D11880" s="8">
        <f>IFERROR(__xludf.DUMMYFUNCTION("""COMPUTED_VALUE"""),1.807)</f>
        <v>1.807</v>
      </c>
      <c r="E11880" s="8" t="str">
        <f>IFERROR(__xludf.DUMMYFUNCTION("""COMPUTED_VALUE"""),"Real")</f>
        <v>Real</v>
      </c>
      <c r="G11880" s="8">
        <f t="shared" si="1"/>
        <v>3</v>
      </c>
      <c r="H11880" s="14">
        <f t="shared" si="2"/>
        <v>9</v>
      </c>
      <c r="I11880" s="15">
        <f t="shared" si="3"/>
        <v>23</v>
      </c>
    </row>
    <row r="11881">
      <c r="A11881" s="8" t="str">
        <f>IFERROR(__xludf.DUMMYFUNCTION("IF('(INGESTA)Datos_consumo_datadis'!A11881&lt;&gt;"""",SPLIT('(INGESTA)Datos_consumo_datadis'!A:A,"",""),"""")"),"ES0031408323131005HX0F")</f>
        <v>ES0031408323131005HX0F</v>
      </c>
      <c r="B11881" s="12">
        <f>IFERROR(__xludf.DUMMYFUNCTION("""COMPUTED_VALUE"""),45360.0)</f>
        <v>45360</v>
      </c>
      <c r="C11881" s="16">
        <f>IFERROR(__xludf.DUMMYFUNCTION("""COMPUTED_VALUE"""),1.0)</f>
        <v>1</v>
      </c>
      <c r="D11881" s="8">
        <f>IFERROR(__xludf.DUMMYFUNCTION("""COMPUTED_VALUE"""),3.146)</f>
        <v>3.146</v>
      </c>
      <c r="E11881" s="8" t="str">
        <f>IFERROR(__xludf.DUMMYFUNCTION("""COMPUTED_VALUE"""),"Real")</f>
        <v>Real</v>
      </c>
      <c r="G11881" s="8">
        <f t="shared" si="1"/>
        <v>3</v>
      </c>
      <c r="H11881" s="14">
        <f t="shared" si="2"/>
        <v>9</v>
      </c>
      <c r="I11881" s="15">
        <f t="shared" si="3"/>
        <v>0</v>
      </c>
    </row>
    <row r="11882">
      <c r="A11882" s="8" t="str">
        <f>IFERROR(__xludf.DUMMYFUNCTION("IF('(INGESTA)Datos_consumo_datadis'!A11882&lt;&gt;"""",SPLIT('(INGESTA)Datos_consumo_datadis'!A:A,"",""),"""")"),"ES0031408323131005HX0F")</f>
        <v>ES0031408323131005HX0F</v>
      </c>
      <c r="B11882" s="12">
        <f>IFERROR(__xludf.DUMMYFUNCTION("""COMPUTED_VALUE"""),45361.0)</f>
        <v>45361</v>
      </c>
      <c r="C11882" s="13">
        <f>IFERROR(__xludf.DUMMYFUNCTION("""COMPUTED_VALUE"""),0.041666666666666664)</f>
        <v>0.04166666667</v>
      </c>
      <c r="D11882" s="8">
        <f>IFERROR(__xludf.DUMMYFUNCTION("""COMPUTED_VALUE"""),1.017)</f>
        <v>1.017</v>
      </c>
      <c r="E11882" s="8" t="str">
        <f>IFERROR(__xludf.DUMMYFUNCTION("""COMPUTED_VALUE"""),"Real")</f>
        <v>Real</v>
      </c>
      <c r="G11882" s="8">
        <f t="shared" si="1"/>
        <v>3</v>
      </c>
      <c r="H11882" s="14">
        <f t="shared" si="2"/>
        <v>10</v>
      </c>
      <c r="I11882" s="15">
        <f t="shared" si="3"/>
        <v>1</v>
      </c>
    </row>
    <row r="11883">
      <c r="A11883" s="8" t="str">
        <f>IFERROR(__xludf.DUMMYFUNCTION("IF('(INGESTA)Datos_consumo_datadis'!A11883&lt;&gt;"""",SPLIT('(INGESTA)Datos_consumo_datadis'!A:A,"",""),"""")"),"ES0031408323131005HX0F")</f>
        <v>ES0031408323131005HX0F</v>
      </c>
      <c r="B11883" s="12">
        <f>IFERROR(__xludf.DUMMYFUNCTION("""COMPUTED_VALUE"""),45361.0)</f>
        <v>45361</v>
      </c>
      <c r="C11883" s="13">
        <f>IFERROR(__xludf.DUMMYFUNCTION("""COMPUTED_VALUE"""),0.08333333333333333)</f>
        <v>0.08333333333</v>
      </c>
      <c r="D11883" s="8">
        <f>IFERROR(__xludf.DUMMYFUNCTION("""COMPUTED_VALUE"""),0.033)</f>
        <v>0.033</v>
      </c>
      <c r="E11883" s="8" t="str">
        <f>IFERROR(__xludf.DUMMYFUNCTION("""COMPUTED_VALUE"""),"Real")</f>
        <v>Real</v>
      </c>
      <c r="G11883" s="8">
        <f t="shared" si="1"/>
        <v>3</v>
      </c>
      <c r="H11883" s="14">
        <f t="shared" si="2"/>
        <v>10</v>
      </c>
      <c r="I11883" s="15">
        <f t="shared" si="3"/>
        <v>2</v>
      </c>
    </row>
    <row r="11884">
      <c r="A11884" s="8" t="str">
        <f>IFERROR(__xludf.DUMMYFUNCTION("IF('(INGESTA)Datos_consumo_datadis'!A11884&lt;&gt;"""",SPLIT('(INGESTA)Datos_consumo_datadis'!A:A,"",""),"""")"),"ES0031408323131005HX0F")</f>
        <v>ES0031408323131005HX0F</v>
      </c>
      <c r="B11884" s="12">
        <f>IFERROR(__xludf.DUMMYFUNCTION("""COMPUTED_VALUE"""),45361.0)</f>
        <v>45361</v>
      </c>
      <c r="C11884" s="13">
        <f>IFERROR(__xludf.DUMMYFUNCTION("""COMPUTED_VALUE"""),0.125)</f>
        <v>0.125</v>
      </c>
      <c r="D11884" s="8">
        <f>IFERROR(__xludf.DUMMYFUNCTION("""COMPUTED_VALUE"""),0.106)</f>
        <v>0.106</v>
      </c>
      <c r="E11884" s="8" t="str">
        <f>IFERROR(__xludf.DUMMYFUNCTION("""COMPUTED_VALUE"""),"Real")</f>
        <v>Real</v>
      </c>
      <c r="G11884" s="8">
        <f t="shared" si="1"/>
        <v>3</v>
      </c>
      <c r="H11884" s="14">
        <f t="shared" si="2"/>
        <v>10</v>
      </c>
      <c r="I11884" s="15">
        <f t="shared" si="3"/>
        <v>3</v>
      </c>
    </row>
    <row r="11885">
      <c r="A11885" s="8" t="str">
        <f>IFERROR(__xludf.DUMMYFUNCTION("IF('(INGESTA)Datos_consumo_datadis'!A11885&lt;&gt;"""",SPLIT('(INGESTA)Datos_consumo_datadis'!A:A,"",""),"""")"),"ES0031408323131005HX0F")</f>
        <v>ES0031408323131005HX0F</v>
      </c>
      <c r="B11885" s="12">
        <f>IFERROR(__xludf.DUMMYFUNCTION("""COMPUTED_VALUE"""),45361.0)</f>
        <v>45361</v>
      </c>
      <c r="C11885" s="13">
        <f>IFERROR(__xludf.DUMMYFUNCTION("""COMPUTED_VALUE"""),0.16666666666666666)</f>
        <v>0.1666666667</v>
      </c>
      <c r="D11885" s="8">
        <f>IFERROR(__xludf.DUMMYFUNCTION("""COMPUTED_VALUE"""),0.058)</f>
        <v>0.058</v>
      </c>
      <c r="E11885" s="8" t="str">
        <f>IFERROR(__xludf.DUMMYFUNCTION("""COMPUTED_VALUE"""),"Real")</f>
        <v>Real</v>
      </c>
      <c r="G11885" s="8">
        <f t="shared" si="1"/>
        <v>3</v>
      </c>
      <c r="H11885" s="14">
        <f t="shared" si="2"/>
        <v>10</v>
      </c>
      <c r="I11885" s="15">
        <f t="shared" si="3"/>
        <v>4</v>
      </c>
    </row>
    <row r="11886">
      <c r="A11886" s="8" t="str">
        <f>IFERROR(__xludf.DUMMYFUNCTION("IF('(INGESTA)Datos_consumo_datadis'!A11886&lt;&gt;"""",SPLIT('(INGESTA)Datos_consumo_datadis'!A:A,"",""),"""")"),"ES0031408323131005HX0F")</f>
        <v>ES0031408323131005HX0F</v>
      </c>
      <c r="B11886" s="12">
        <f>IFERROR(__xludf.DUMMYFUNCTION("""COMPUTED_VALUE"""),45361.0)</f>
        <v>45361</v>
      </c>
      <c r="C11886" s="13">
        <f>IFERROR(__xludf.DUMMYFUNCTION("""COMPUTED_VALUE"""),0.20833333333333334)</f>
        <v>0.2083333333</v>
      </c>
      <c r="D11886" s="8">
        <f>IFERROR(__xludf.DUMMYFUNCTION("""COMPUTED_VALUE"""),0.287)</f>
        <v>0.287</v>
      </c>
      <c r="E11886" s="8" t="str">
        <f>IFERROR(__xludf.DUMMYFUNCTION("""COMPUTED_VALUE"""),"Real")</f>
        <v>Real</v>
      </c>
      <c r="G11886" s="8">
        <f t="shared" si="1"/>
        <v>3</v>
      </c>
      <c r="H11886" s="14">
        <f t="shared" si="2"/>
        <v>10</v>
      </c>
      <c r="I11886" s="15">
        <f t="shared" si="3"/>
        <v>5</v>
      </c>
    </row>
    <row r="11887">
      <c r="A11887" s="8" t="str">
        <f>IFERROR(__xludf.DUMMYFUNCTION("IF('(INGESTA)Datos_consumo_datadis'!A11887&lt;&gt;"""",SPLIT('(INGESTA)Datos_consumo_datadis'!A:A,"",""),"""")"),"ES0031408323131005HX0F")</f>
        <v>ES0031408323131005HX0F</v>
      </c>
      <c r="B11887" s="12">
        <f>IFERROR(__xludf.DUMMYFUNCTION("""COMPUTED_VALUE"""),45361.0)</f>
        <v>45361</v>
      </c>
      <c r="C11887" s="13">
        <f>IFERROR(__xludf.DUMMYFUNCTION("""COMPUTED_VALUE"""),0.25)</f>
        <v>0.25</v>
      </c>
      <c r="D11887" s="8">
        <f>IFERROR(__xludf.DUMMYFUNCTION("""COMPUTED_VALUE"""),0.104)</f>
        <v>0.104</v>
      </c>
      <c r="E11887" s="8" t="str">
        <f>IFERROR(__xludf.DUMMYFUNCTION("""COMPUTED_VALUE"""),"Real")</f>
        <v>Real</v>
      </c>
      <c r="G11887" s="8">
        <f t="shared" si="1"/>
        <v>3</v>
      </c>
      <c r="H11887" s="14">
        <f t="shared" si="2"/>
        <v>10</v>
      </c>
      <c r="I11887" s="15">
        <f t="shared" si="3"/>
        <v>6</v>
      </c>
    </row>
    <row r="11888">
      <c r="A11888" s="8" t="str">
        <f>IFERROR(__xludf.DUMMYFUNCTION("IF('(INGESTA)Datos_consumo_datadis'!A11888&lt;&gt;"""",SPLIT('(INGESTA)Datos_consumo_datadis'!A:A,"",""),"""")"),"ES0031408323131005HX0F")</f>
        <v>ES0031408323131005HX0F</v>
      </c>
      <c r="B11888" s="12">
        <f>IFERROR(__xludf.DUMMYFUNCTION("""COMPUTED_VALUE"""),45361.0)</f>
        <v>45361</v>
      </c>
      <c r="C11888" s="13">
        <f>IFERROR(__xludf.DUMMYFUNCTION("""COMPUTED_VALUE"""),0.2916666666666667)</f>
        <v>0.2916666667</v>
      </c>
      <c r="D11888" s="8">
        <f>IFERROR(__xludf.DUMMYFUNCTION("""COMPUTED_VALUE"""),0.057)</f>
        <v>0.057</v>
      </c>
      <c r="E11888" s="8" t="str">
        <f>IFERROR(__xludf.DUMMYFUNCTION("""COMPUTED_VALUE"""),"Real")</f>
        <v>Real</v>
      </c>
      <c r="G11888" s="8">
        <f t="shared" si="1"/>
        <v>3</v>
      </c>
      <c r="H11888" s="14">
        <f t="shared" si="2"/>
        <v>10</v>
      </c>
      <c r="I11888" s="15">
        <f t="shared" si="3"/>
        <v>7</v>
      </c>
    </row>
    <row r="11889">
      <c r="A11889" s="8" t="str">
        <f>IFERROR(__xludf.DUMMYFUNCTION("IF('(INGESTA)Datos_consumo_datadis'!A11889&lt;&gt;"""",SPLIT('(INGESTA)Datos_consumo_datadis'!A:A,"",""),"""")"),"ES0031408323131005HX0F")</f>
        <v>ES0031408323131005HX0F</v>
      </c>
      <c r="B11889" s="12">
        <f>IFERROR(__xludf.DUMMYFUNCTION("""COMPUTED_VALUE"""),45361.0)</f>
        <v>45361</v>
      </c>
      <c r="C11889" s="13">
        <f>IFERROR(__xludf.DUMMYFUNCTION("""COMPUTED_VALUE"""),0.3333333333333333)</f>
        <v>0.3333333333</v>
      </c>
      <c r="D11889" s="8">
        <f>IFERROR(__xludf.DUMMYFUNCTION("""COMPUTED_VALUE"""),0.022)</f>
        <v>0.022</v>
      </c>
      <c r="E11889" s="8" t="str">
        <f>IFERROR(__xludf.DUMMYFUNCTION("""COMPUTED_VALUE"""),"Real")</f>
        <v>Real</v>
      </c>
      <c r="G11889" s="8">
        <f t="shared" si="1"/>
        <v>3</v>
      </c>
      <c r="H11889" s="14">
        <f t="shared" si="2"/>
        <v>10</v>
      </c>
      <c r="I11889" s="15">
        <f t="shared" si="3"/>
        <v>8</v>
      </c>
    </row>
    <row r="11890">
      <c r="A11890" s="8" t="str">
        <f>IFERROR(__xludf.DUMMYFUNCTION("IF('(INGESTA)Datos_consumo_datadis'!A11890&lt;&gt;"""",SPLIT('(INGESTA)Datos_consumo_datadis'!A:A,"",""),"""")"),"ES0031408323131005HX0F")</f>
        <v>ES0031408323131005HX0F</v>
      </c>
      <c r="B11890" s="12">
        <f>IFERROR(__xludf.DUMMYFUNCTION("""COMPUTED_VALUE"""),45361.0)</f>
        <v>45361</v>
      </c>
      <c r="C11890" s="13">
        <f>IFERROR(__xludf.DUMMYFUNCTION("""COMPUTED_VALUE"""),0.375)</f>
        <v>0.375</v>
      </c>
      <c r="D11890" s="8">
        <f>IFERROR(__xludf.DUMMYFUNCTION("""COMPUTED_VALUE"""),0.089)</f>
        <v>0.089</v>
      </c>
      <c r="E11890" s="8" t="str">
        <f>IFERROR(__xludf.DUMMYFUNCTION("""COMPUTED_VALUE"""),"Real")</f>
        <v>Real</v>
      </c>
      <c r="G11890" s="8">
        <f t="shared" si="1"/>
        <v>3</v>
      </c>
      <c r="H11890" s="14">
        <f t="shared" si="2"/>
        <v>10</v>
      </c>
      <c r="I11890" s="15">
        <f t="shared" si="3"/>
        <v>9</v>
      </c>
    </row>
    <row r="11891">
      <c r="A11891" s="8" t="str">
        <f>IFERROR(__xludf.DUMMYFUNCTION("IF('(INGESTA)Datos_consumo_datadis'!A11891&lt;&gt;"""",SPLIT('(INGESTA)Datos_consumo_datadis'!A:A,"",""),"""")"),"ES0031408323131005HX0F")</f>
        <v>ES0031408323131005HX0F</v>
      </c>
      <c r="B11891" s="12">
        <f>IFERROR(__xludf.DUMMYFUNCTION("""COMPUTED_VALUE"""),45361.0)</f>
        <v>45361</v>
      </c>
      <c r="C11891" s="13">
        <f>IFERROR(__xludf.DUMMYFUNCTION("""COMPUTED_VALUE"""),0.4166666666666667)</f>
        <v>0.4166666667</v>
      </c>
      <c r="D11891" s="8">
        <f>IFERROR(__xludf.DUMMYFUNCTION("""COMPUTED_VALUE"""),0.708)</f>
        <v>0.708</v>
      </c>
      <c r="E11891" s="8" t="str">
        <f>IFERROR(__xludf.DUMMYFUNCTION("""COMPUTED_VALUE"""),"Real")</f>
        <v>Real</v>
      </c>
      <c r="G11891" s="8">
        <f t="shared" si="1"/>
        <v>3</v>
      </c>
      <c r="H11891" s="14">
        <f t="shared" si="2"/>
        <v>10</v>
      </c>
      <c r="I11891" s="15">
        <f t="shared" si="3"/>
        <v>10</v>
      </c>
    </row>
    <row r="11892">
      <c r="A11892" s="8" t="str">
        <f>IFERROR(__xludf.DUMMYFUNCTION("IF('(INGESTA)Datos_consumo_datadis'!A11892&lt;&gt;"""",SPLIT('(INGESTA)Datos_consumo_datadis'!A:A,"",""),"""")"),"ES0031408323131005HX0F")</f>
        <v>ES0031408323131005HX0F</v>
      </c>
      <c r="B11892" s="12">
        <f>IFERROR(__xludf.DUMMYFUNCTION("""COMPUTED_VALUE"""),45361.0)</f>
        <v>45361</v>
      </c>
      <c r="C11892" s="13">
        <f>IFERROR(__xludf.DUMMYFUNCTION("""COMPUTED_VALUE"""),0.4583333333333333)</f>
        <v>0.4583333333</v>
      </c>
      <c r="D11892" s="8">
        <f>IFERROR(__xludf.DUMMYFUNCTION("""COMPUTED_VALUE"""),1.678)</f>
        <v>1.678</v>
      </c>
      <c r="E11892" s="8" t="str">
        <f>IFERROR(__xludf.DUMMYFUNCTION("""COMPUTED_VALUE"""),"Real")</f>
        <v>Real</v>
      </c>
      <c r="G11892" s="8">
        <f t="shared" si="1"/>
        <v>3</v>
      </c>
      <c r="H11892" s="14">
        <f t="shared" si="2"/>
        <v>10</v>
      </c>
      <c r="I11892" s="15">
        <f t="shared" si="3"/>
        <v>11</v>
      </c>
    </row>
    <row r="11893">
      <c r="A11893" s="8" t="str">
        <f>IFERROR(__xludf.DUMMYFUNCTION("IF('(INGESTA)Datos_consumo_datadis'!A11893&lt;&gt;"""",SPLIT('(INGESTA)Datos_consumo_datadis'!A:A,"",""),"""")"),"ES0031408323131005HX0F")</f>
        <v>ES0031408323131005HX0F</v>
      </c>
      <c r="B11893" s="12">
        <f>IFERROR(__xludf.DUMMYFUNCTION("""COMPUTED_VALUE"""),45361.0)</f>
        <v>45361</v>
      </c>
      <c r="C11893" s="13">
        <f>IFERROR(__xludf.DUMMYFUNCTION("""COMPUTED_VALUE"""),0.5)</f>
        <v>0.5</v>
      </c>
      <c r="D11893" s="8">
        <f>IFERROR(__xludf.DUMMYFUNCTION("""COMPUTED_VALUE"""),1.367)</f>
        <v>1.367</v>
      </c>
      <c r="E11893" s="8" t="str">
        <f>IFERROR(__xludf.DUMMYFUNCTION("""COMPUTED_VALUE"""),"Real")</f>
        <v>Real</v>
      </c>
      <c r="G11893" s="8">
        <f t="shared" si="1"/>
        <v>3</v>
      </c>
      <c r="H11893" s="14">
        <f t="shared" si="2"/>
        <v>10</v>
      </c>
      <c r="I11893" s="15">
        <f t="shared" si="3"/>
        <v>12</v>
      </c>
    </row>
    <row r="11894">
      <c r="A11894" s="8" t="str">
        <f>IFERROR(__xludf.DUMMYFUNCTION("IF('(INGESTA)Datos_consumo_datadis'!A11894&lt;&gt;"""",SPLIT('(INGESTA)Datos_consumo_datadis'!A:A,"",""),"""")"),"ES0031408323131005HX0F")</f>
        <v>ES0031408323131005HX0F</v>
      </c>
      <c r="B11894" s="12">
        <f>IFERROR(__xludf.DUMMYFUNCTION("""COMPUTED_VALUE"""),45361.0)</f>
        <v>45361</v>
      </c>
      <c r="C11894" s="13">
        <f>IFERROR(__xludf.DUMMYFUNCTION("""COMPUTED_VALUE"""),0.5416666666666666)</f>
        <v>0.5416666667</v>
      </c>
      <c r="D11894" s="8">
        <f>IFERROR(__xludf.DUMMYFUNCTION("""COMPUTED_VALUE"""),0.31)</f>
        <v>0.31</v>
      </c>
      <c r="E11894" s="8" t="str">
        <f>IFERROR(__xludf.DUMMYFUNCTION("""COMPUTED_VALUE"""),"Real")</f>
        <v>Real</v>
      </c>
      <c r="G11894" s="8">
        <f t="shared" si="1"/>
        <v>3</v>
      </c>
      <c r="H11894" s="14">
        <f t="shared" si="2"/>
        <v>10</v>
      </c>
      <c r="I11894" s="15">
        <f t="shared" si="3"/>
        <v>13</v>
      </c>
    </row>
    <row r="11895">
      <c r="A11895" s="8" t="str">
        <f>IFERROR(__xludf.DUMMYFUNCTION("IF('(INGESTA)Datos_consumo_datadis'!A11895&lt;&gt;"""",SPLIT('(INGESTA)Datos_consumo_datadis'!A:A,"",""),"""")"),"ES0031408323131005HX0F")</f>
        <v>ES0031408323131005HX0F</v>
      </c>
      <c r="B11895" s="12">
        <f>IFERROR(__xludf.DUMMYFUNCTION("""COMPUTED_VALUE"""),45361.0)</f>
        <v>45361</v>
      </c>
      <c r="C11895" s="13">
        <f>IFERROR(__xludf.DUMMYFUNCTION("""COMPUTED_VALUE"""),0.5833333333333334)</f>
        <v>0.5833333333</v>
      </c>
      <c r="D11895" s="8">
        <f>IFERROR(__xludf.DUMMYFUNCTION("""COMPUTED_VALUE"""),0.603)</f>
        <v>0.603</v>
      </c>
      <c r="E11895" s="8" t="str">
        <f>IFERROR(__xludf.DUMMYFUNCTION("""COMPUTED_VALUE"""),"Real")</f>
        <v>Real</v>
      </c>
      <c r="G11895" s="8">
        <f t="shared" si="1"/>
        <v>3</v>
      </c>
      <c r="H11895" s="14">
        <f t="shared" si="2"/>
        <v>10</v>
      </c>
      <c r="I11895" s="15">
        <f t="shared" si="3"/>
        <v>14</v>
      </c>
    </row>
    <row r="11896">
      <c r="A11896" s="8" t="str">
        <f>IFERROR(__xludf.DUMMYFUNCTION("IF('(INGESTA)Datos_consumo_datadis'!A11896&lt;&gt;"""",SPLIT('(INGESTA)Datos_consumo_datadis'!A:A,"",""),"""")"),"ES0031408323131005HX0F")</f>
        <v>ES0031408323131005HX0F</v>
      </c>
      <c r="B11896" s="12">
        <f>IFERROR(__xludf.DUMMYFUNCTION("""COMPUTED_VALUE"""),45361.0)</f>
        <v>45361</v>
      </c>
      <c r="C11896" s="13">
        <f>IFERROR(__xludf.DUMMYFUNCTION("""COMPUTED_VALUE"""),0.625)</f>
        <v>0.625</v>
      </c>
      <c r="D11896" s="8">
        <f>IFERROR(__xludf.DUMMYFUNCTION("""COMPUTED_VALUE"""),1.084)</f>
        <v>1.084</v>
      </c>
      <c r="E11896" s="8" t="str">
        <f>IFERROR(__xludf.DUMMYFUNCTION("""COMPUTED_VALUE"""),"Real")</f>
        <v>Real</v>
      </c>
      <c r="G11896" s="8">
        <f t="shared" si="1"/>
        <v>3</v>
      </c>
      <c r="H11896" s="14">
        <f t="shared" si="2"/>
        <v>10</v>
      </c>
      <c r="I11896" s="15">
        <f t="shared" si="3"/>
        <v>15</v>
      </c>
    </row>
    <row r="11897">
      <c r="A11897" s="8" t="str">
        <f>IFERROR(__xludf.DUMMYFUNCTION("IF('(INGESTA)Datos_consumo_datadis'!A11897&lt;&gt;"""",SPLIT('(INGESTA)Datos_consumo_datadis'!A:A,"",""),"""")"),"ES0031408323131005HX0F")</f>
        <v>ES0031408323131005HX0F</v>
      </c>
      <c r="B11897" s="12">
        <f>IFERROR(__xludf.DUMMYFUNCTION("""COMPUTED_VALUE"""),45361.0)</f>
        <v>45361</v>
      </c>
      <c r="C11897" s="13">
        <f>IFERROR(__xludf.DUMMYFUNCTION("""COMPUTED_VALUE"""),0.6666666666666666)</f>
        <v>0.6666666667</v>
      </c>
      <c r="D11897" s="8">
        <f>IFERROR(__xludf.DUMMYFUNCTION("""COMPUTED_VALUE"""),0.819)</f>
        <v>0.819</v>
      </c>
      <c r="E11897" s="8" t="str">
        <f>IFERROR(__xludf.DUMMYFUNCTION("""COMPUTED_VALUE"""),"Real")</f>
        <v>Real</v>
      </c>
      <c r="G11897" s="8">
        <f t="shared" si="1"/>
        <v>3</v>
      </c>
      <c r="H11897" s="14">
        <f t="shared" si="2"/>
        <v>10</v>
      </c>
      <c r="I11897" s="15">
        <f t="shared" si="3"/>
        <v>16</v>
      </c>
    </row>
    <row r="11898">
      <c r="A11898" s="8" t="str">
        <f>IFERROR(__xludf.DUMMYFUNCTION("IF('(INGESTA)Datos_consumo_datadis'!A11898&lt;&gt;"""",SPLIT('(INGESTA)Datos_consumo_datadis'!A:A,"",""),"""")"),"ES0031408323131005HX0F")</f>
        <v>ES0031408323131005HX0F</v>
      </c>
      <c r="B11898" s="12">
        <f>IFERROR(__xludf.DUMMYFUNCTION("""COMPUTED_VALUE"""),45361.0)</f>
        <v>45361</v>
      </c>
      <c r="C11898" s="13">
        <f>IFERROR(__xludf.DUMMYFUNCTION("""COMPUTED_VALUE"""),0.7083333333333334)</f>
        <v>0.7083333333</v>
      </c>
      <c r="D11898" s="8">
        <f>IFERROR(__xludf.DUMMYFUNCTION("""COMPUTED_VALUE"""),0.662)</f>
        <v>0.662</v>
      </c>
      <c r="E11898" s="8" t="str">
        <f>IFERROR(__xludf.DUMMYFUNCTION("""COMPUTED_VALUE"""),"Real")</f>
        <v>Real</v>
      </c>
      <c r="G11898" s="8">
        <f t="shared" si="1"/>
        <v>3</v>
      </c>
      <c r="H11898" s="14">
        <f t="shared" si="2"/>
        <v>10</v>
      </c>
      <c r="I11898" s="15">
        <f t="shared" si="3"/>
        <v>17</v>
      </c>
    </row>
    <row r="11899">
      <c r="A11899" s="8" t="str">
        <f>IFERROR(__xludf.DUMMYFUNCTION("IF('(INGESTA)Datos_consumo_datadis'!A11899&lt;&gt;"""",SPLIT('(INGESTA)Datos_consumo_datadis'!A:A,"",""),"""")"),"ES0031408323131005HX0F")</f>
        <v>ES0031408323131005HX0F</v>
      </c>
      <c r="B11899" s="12">
        <f>IFERROR(__xludf.DUMMYFUNCTION("""COMPUTED_VALUE"""),45361.0)</f>
        <v>45361</v>
      </c>
      <c r="C11899" s="13">
        <f>IFERROR(__xludf.DUMMYFUNCTION("""COMPUTED_VALUE"""),0.75)</f>
        <v>0.75</v>
      </c>
      <c r="D11899" s="8">
        <f>IFERROR(__xludf.DUMMYFUNCTION("""COMPUTED_VALUE"""),0.859)</f>
        <v>0.859</v>
      </c>
      <c r="E11899" s="8" t="str">
        <f>IFERROR(__xludf.DUMMYFUNCTION("""COMPUTED_VALUE"""),"Real")</f>
        <v>Real</v>
      </c>
      <c r="G11899" s="8">
        <f t="shared" si="1"/>
        <v>3</v>
      </c>
      <c r="H11899" s="14">
        <f t="shared" si="2"/>
        <v>10</v>
      </c>
      <c r="I11899" s="15">
        <f t="shared" si="3"/>
        <v>18</v>
      </c>
    </row>
    <row r="11900">
      <c r="A11900" s="8" t="str">
        <f>IFERROR(__xludf.DUMMYFUNCTION("IF('(INGESTA)Datos_consumo_datadis'!A11900&lt;&gt;"""",SPLIT('(INGESTA)Datos_consumo_datadis'!A:A,"",""),"""")"),"ES0031408323131005HX0F")</f>
        <v>ES0031408323131005HX0F</v>
      </c>
      <c r="B11900" s="12">
        <f>IFERROR(__xludf.DUMMYFUNCTION("""COMPUTED_VALUE"""),45361.0)</f>
        <v>45361</v>
      </c>
      <c r="C11900" s="13">
        <f>IFERROR(__xludf.DUMMYFUNCTION("""COMPUTED_VALUE"""),0.7916666666666666)</f>
        <v>0.7916666667</v>
      </c>
      <c r="D11900" s="8">
        <f>IFERROR(__xludf.DUMMYFUNCTION("""COMPUTED_VALUE"""),0.197)</f>
        <v>0.197</v>
      </c>
      <c r="E11900" s="8" t="str">
        <f>IFERROR(__xludf.DUMMYFUNCTION("""COMPUTED_VALUE"""),"Real")</f>
        <v>Real</v>
      </c>
      <c r="G11900" s="8">
        <f t="shared" si="1"/>
        <v>3</v>
      </c>
      <c r="H11900" s="14">
        <f t="shared" si="2"/>
        <v>10</v>
      </c>
      <c r="I11900" s="15">
        <f t="shared" si="3"/>
        <v>19</v>
      </c>
    </row>
    <row r="11901">
      <c r="A11901" s="8" t="str">
        <f>IFERROR(__xludf.DUMMYFUNCTION("IF('(INGESTA)Datos_consumo_datadis'!A11901&lt;&gt;"""",SPLIT('(INGESTA)Datos_consumo_datadis'!A:A,"",""),"""")"),"ES0031408323131005HX0F")</f>
        <v>ES0031408323131005HX0F</v>
      </c>
      <c r="B11901" s="12">
        <f>IFERROR(__xludf.DUMMYFUNCTION("""COMPUTED_VALUE"""),45361.0)</f>
        <v>45361</v>
      </c>
      <c r="C11901" s="13">
        <f>IFERROR(__xludf.DUMMYFUNCTION("""COMPUTED_VALUE"""),0.8333333333333334)</f>
        <v>0.8333333333</v>
      </c>
      <c r="D11901" s="8">
        <f>IFERROR(__xludf.DUMMYFUNCTION("""COMPUTED_VALUE"""),0.804)</f>
        <v>0.804</v>
      </c>
      <c r="E11901" s="8" t="str">
        <f>IFERROR(__xludf.DUMMYFUNCTION("""COMPUTED_VALUE"""),"Real")</f>
        <v>Real</v>
      </c>
      <c r="G11901" s="8">
        <f t="shared" si="1"/>
        <v>3</v>
      </c>
      <c r="H11901" s="14">
        <f t="shared" si="2"/>
        <v>10</v>
      </c>
      <c r="I11901" s="15">
        <f t="shared" si="3"/>
        <v>20</v>
      </c>
    </row>
    <row r="11902">
      <c r="A11902" s="8" t="str">
        <f>IFERROR(__xludf.DUMMYFUNCTION("IF('(INGESTA)Datos_consumo_datadis'!A11902&lt;&gt;"""",SPLIT('(INGESTA)Datos_consumo_datadis'!A:A,"",""),"""")"),"ES0031408323131005HX0F")</f>
        <v>ES0031408323131005HX0F</v>
      </c>
      <c r="B11902" s="12">
        <f>IFERROR(__xludf.DUMMYFUNCTION("""COMPUTED_VALUE"""),45361.0)</f>
        <v>45361</v>
      </c>
      <c r="C11902" s="13">
        <f>IFERROR(__xludf.DUMMYFUNCTION("""COMPUTED_VALUE"""),0.875)</f>
        <v>0.875</v>
      </c>
      <c r="D11902" s="8">
        <f>IFERROR(__xludf.DUMMYFUNCTION("""COMPUTED_VALUE"""),2.664)</f>
        <v>2.664</v>
      </c>
      <c r="E11902" s="8" t="str">
        <f>IFERROR(__xludf.DUMMYFUNCTION("""COMPUTED_VALUE"""),"Real")</f>
        <v>Real</v>
      </c>
      <c r="G11902" s="8">
        <f t="shared" si="1"/>
        <v>3</v>
      </c>
      <c r="H11902" s="14">
        <f t="shared" si="2"/>
        <v>10</v>
      </c>
      <c r="I11902" s="15">
        <f t="shared" si="3"/>
        <v>21</v>
      </c>
    </row>
    <row r="11903">
      <c r="A11903" s="8" t="str">
        <f>IFERROR(__xludf.DUMMYFUNCTION("IF('(INGESTA)Datos_consumo_datadis'!A11903&lt;&gt;"""",SPLIT('(INGESTA)Datos_consumo_datadis'!A:A,"",""),"""")"),"ES0031408323131005HX0F")</f>
        <v>ES0031408323131005HX0F</v>
      </c>
      <c r="B11903" s="12">
        <f>IFERROR(__xludf.DUMMYFUNCTION("""COMPUTED_VALUE"""),45361.0)</f>
        <v>45361</v>
      </c>
      <c r="C11903" s="13">
        <f>IFERROR(__xludf.DUMMYFUNCTION("""COMPUTED_VALUE"""),0.9166666666666666)</f>
        <v>0.9166666667</v>
      </c>
      <c r="D11903" s="8">
        <f>IFERROR(__xludf.DUMMYFUNCTION("""COMPUTED_VALUE"""),1.794)</f>
        <v>1.794</v>
      </c>
      <c r="E11903" s="8" t="str">
        <f>IFERROR(__xludf.DUMMYFUNCTION("""COMPUTED_VALUE"""),"Real")</f>
        <v>Real</v>
      </c>
      <c r="G11903" s="8">
        <f t="shared" si="1"/>
        <v>3</v>
      </c>
      <c r="H11903" s="14">
        <f t="shared" si="2"/>
        <v>10</v>
      </c>
      <c r="I11903" s="15">
        <f t="shared" si="3"/>
        <v>22</v>
      </c>
    </row>
    <row r="11904">
      <c r="A11904" s="8" t="str">
        <f>IFERROR(__xludf.DUMMYFUNCTION("IF('(INGESTA)Datos_consumo_datadis'!A11904&lt;&gt;"""",SPLIT('(INGESTA)Datos_consumo_datadis'!A:A,"",""),"""")"),"ES0031408323131005HX0F")</f>
        <v>ES0031408323131005HX0F</v>
      </c>
      <c r="B11904" s="12">
        <f>IFERROR(__xludf.DUMMYFUNCTION("""COMPUTED_VALUE"""),45361.0)</f>
        <v>45361</v>
      </c>
      <c r="C11904" s="13">
        <f>IFERROR(__xludf.DUMMYFUNCTION("""COMPUTED_VALUE"""),0.9583333333333334)</f>
        <v>0.9583333333</v>
      </c>
      <c r="D11904" s="8">
        <f>IFERROR(__xludf.DUMMYFUNCTION("""COMPUTED_VALUE"""),1.138)</f>
        <v>1.138</v>
      </c>
      <c r="E11904" s="8" t="str">
        <f>IFERROR(__xludf.DUMMYFUNCTION("""COMPUTED_VALUE"""),"Real")</f>
        <v>Real</v>
      </c>
      <c r="G11904" s="8">
        <f t="shared" si="1"/>
        <v>3</v>
      </c>
      <c r="H11904" s="14">
        <f t="shared" si="2"/>
        <v>10</v>
      </c>
      <c r="I11904" s="15">
        <f t="shared" si="3"/>
        <v>23</v>
      </c>
    </row>
    <row r="11905">
      <c r="A11905" s="8" t="str">
        <f>IFERROR(__xludf.DUMMYFUNCTION("IF('(INGESTA)Datos_consumo_datadis'!A11905&lt;&gt;"""",SPLIT('(INGESTA)Datos_consumo_datadis'!A:A,"",""),"""")"),"ES0031408323131005HX0F")</f>
        <v>ES0031408323131005HX0F</v>
      </c>
      <c r="B11905" s="12">
        <f>IFERROR(__xludf.DUMMYFUNCTION("""COMPUTED_VALUE"""),45361.0)</f>
        <v>45361</v>
      </c>
      <c r="C11905" s="16">
        <f>IFERROR(__xludf.DUMMYFUNCTION("""COMPUTED_VALUE"""),1.0)</f>
        <v>1</v>
      </c>
      <c r="D11905" s="8">
        <f>IFERROR(__xludf.DUMMYFUNCTION("""COMPUTED_VALUE"""),1.3)</f>
        <v>1.3</v>
      </c>
      <c r="E11905" s="8" t="str">
        <f>IFERROR(__xludf.DUMMYFUNCTION("""COMPUTED_VALUE"""),"Real")</f>
        <v>Real</v>
      </c>
      <c r="G11905" s="8">
        <f t="shared" si="1"/>
        <v>3</v>
      </c>
      <c r="H11905" s="14">
        <f t="shared" si="2"/>
        <v>10</v>
      </c>
      <c r="I11905" s="15">
        <f t="shared" si="3"/>
        <v>0</v>
      </c>
    </row>
    <row r="11906">
      <c r="A11906" s="8" t="str">
        <f>IFERROR(__xludf.DUMMYFUNCTION("IF('(INGESTA)Datos_consumo_datadis'!A11906&lt;&gt;"""",SPLIT('(INGESTA)Datos_consumo_datadis'!A:A,"",""),"""")"),"ES0031408323131005HX0F")</f>
        <v>ES0031408323131005HX0F</v>
      </c>
      <c r="B11906" s="12">
        <f>IFERROR(__xludf.DUMMYFUNCTION("""COMPUTED_VALUE"""),45362.0)</f>
        <v>45362</v>
      </c>
      <c r="C11906" s="13">
        <f>IFERROR(__xludf.DUMMYFUNCTION("""COMPUTED_VALUE"""),0.041666666666666664)</f>
        <v>0.04166666667</v>
      </c>
      <c r="D11906" s="8">
        <f>IFERROR(__xludf.DUMMYFUNCTION("""COMPUTED_VALUE"""),1.044)</f>
        <v>1.044</v>
      </c>
      <c r="E11906" s="8" t="str">
        <f>IFERROR(__xludf.DUMMYFUNCTION("""COMPUTED_VALUE"""),"Real")</f>
        <v>Real</v>
      </c>
      <c r="G11906" s="8">
        <f t="shared" si="1"/>
        <v>3</v>
      </c>
      <c r="H11906" s="14">
        <f t="shared" si="2"/>
        <v>11</v>
      </c>
      <c r="I11906" s="15">
        <f t="shared" si="3"/>
        <v>1</v>
      </c>
    </row>
    <row r="11907">
      <c r="A11907" s="8" t="str">
        <f>IFERROR(__xludf.DUMMYFUNCTION("IF('(INGESTA)Datos_consumo_datadis'!A11907&lt;&gt;"""",SPLIT('(INGESTA)Datos_consumo_datadis'!A:A,"",""),"""")"),"ES0031408323131005HX0F")</f>
        <v>ES0031408323131005HX0F</v>
      </c>
      <c r="B11907" s="12">
        <f>IFERROR(__xludf.DUMMYFUNCTION("""COMPUTED_VALUE"""),45362.0)</f>
        <v>45362</v>
      </c>
      <c r="C11907" s="13">
        <f>IFERROR(__xludf.DUMMYFUNCTION("""COMPUTED_VALUE"""),0.08333333333333333)</f>
        <v>0.08333333333</v>
      </c>
      <c r="D11907" s="8">
        <f>IFERROR(__xludf.DUMMYFUNCTION("""COMPUTED_VALUE"""),0.91)</f>
        <v>0.91</v>
      </c>
      <c r="E11907" s="8" t="str">
        <f>IFERROR(__xludf.DUMMYFUNCTION("""COMPUTED_VALUE"""),"Real")</f>
        <v>Real</v>
      </c>
      <c r="G11907" s="8">
        <f t="shared" si="1"/>
        <v>3</v>
      </c>
      <c r="H11907" s="14">
        <f t="shared" si="2"/>
        <v>11</v>
      </c>
      <c r="I11907" s="15">
        <f t="shared" si="3"/>
        <v>2</v>
      </c>
    </row>
    <row r="11908">
      <c r="A11908" s="8" t="str">
        <f>IFERROR(__xludf.DUMMYFUNCTION("IF('(INGESTA)Datos_consumo_datadis'!A11908&lt;&gt;"""",SPLIT('(INGESTA)Datos_consumo_datadis'!A:A,"",""),"""")"),"ES0031408323131005HX0F")</f>
        <v>ES0031408323131005HX0F</v>
      </c>
      <c r="B11908" s="12">
        <f>IFERROR(__xludf.DUMMYFUNCTION("""COMPUTED_VALUE"""),45362.0)</f>
        <v>45362</v>
      </c>
      <c r="C11908" s="13">
        <f>IFERROR(__xludf.DUMMYFUNCTION("""COMPUTED_VALUE"""),0.125)</f>
        <v>0.125</v>
      </c>
      <c r="D11908" s="8">
        <f>IFERROR(__xludf.DUMMYFUNCTION("""COMPUTED_VALUE"""),0.916)</f>
        <v>0.916</v>
      </c>
      <c r="E11908" s="8" t="str">
        <f>IFERROR(__xludf.DUMMYFUNCTION("""COMPUTED_VALUE"""),"Real")</f>
        <v>Real</v>
      </c>
      <c r="G11908" s="8">
        <f t="shared" si="1"/>
        <v>3</v>
      </c>
      <c r="H11908" s="14">
        <f t="shared" si="2"/>
        <v>11</v>
      </c>
      <c r="I11908" s="15">
        <f t="shared" si="3"/>
        <v>3</v>
      </c>
    </row>
    <row r="11909">
      <c r="A11909" s="8" t="str">
        <f>IFERROR(__xludf.DUMMYFUNCTION("IF('(INGESTA)Datos_consumo_datadis'!A11909&lt;&gt;"""",SPLIT('(INGESTA)Datos_consumo_datadis'!A:A,"",""),"""")"),"ES0031408323131005HX0F")</f>
        <v>ES0031408323131005HX0F</v>
      </c>
      <c r="B11909" s="12">
        <f>IFERROR(__xludf.DUMMYFUNCTION("""COMPUTED_VALUE"""),45362.0)</f>
        <v>45362</v>
      </c>
      <c r="C11909" s="13">
        <f>IFERROR(__xludf.DUMMYFUNCTION("""COMPUTED_VALUE"""),0.16666666666666666)</f>
        <v>0.1666666667</v>
      </c>
      <c r="D11909" s="8">
        <f>IFERROR(__xludf.DUMMYFUNCTION("""COMPUTED_VALUE"""),1.012)</f>
        <v>1.012</v>
      </c>
      <c r="E11909" s="8" t="str">
        <f>IFERROR(__xludf.DUMMYFUNCTION("""COMPUTED_VALUE"""),"Real")</f>
        <v>Real</v>
      </c>
      <c r="G11909" s="8">
        <f t="shared" si="1"/>
        <v>3</v>
      </c>
      <c r="H11909" s="14">
        <f t="shared" si="2"/>
        <v>11</v>
      </c>
      <c r="I11909" s="15">
        <f t="shared" si="3"/>
        <v>4</v>
      </c>
    </row>
    <row r="11910">
      <c r="A11910" s="8" t="str">
        <f>IFERROR(__xludf.DUMMYFUNCTION("IF('(INGESTA)Datos_consumo_datadis'!A11910&lt;&gt;"""",SPLIT('(INGESTA)Datos_consumo_datadis'!A:A,"",""),"""")"),"ES0031408323131005HX0F")</f>
        <v>ES0031408323131005HX0F</v>
      </c>
      <c r="B11910" s="12">
        <f>IFERROR(__xludf.DUMMYFUNCTION("""COMPUTED_VALUE"""),45362.0)</f>
        <v>45362</v>
      </c>
      <c r="C11910" s="13">
        <f>IFERROR(__xludf.DUMMYFUNCTION("""COMPUTED_VALUE"""),0.20833333333333334)</f>
        <v>0.2083333333</v>
      </c>
      <c r="D11910" s="8">
        <f>IFERROR(__xludf.DUMMYFUNCTION("""COMPUTED_VALUE"""),0.84)</f>
        <v>0.84</v>
      </c>
      <c r="E11910" s="8" t="str">
        <f>IFERROR(__xludf.DUMMYFUNCTION("""COMPUTED_VALUE"""),"Real")</f>
        <v>Real</v>
      </c>
      <c r="G11910" s="8">
        <f t="shared" si="1"/>
        <v>3</v>
      </c>
      <c r="H11910" s="14">
        <f t="shared" si="2"/>
        <v>11</v>
      </c>
      <c r="I11910" s="15">
        <f t="shared" si="3"/>
        <v>5</v>
      </c>
    </row>
    <row r="11911">
      <c r="A11911" s="8" t="str">
        <f>IFERROR(__xludf.DUMMYFUNCTION("IF('(INGESTA)Datos_consumo_datadis'!A11911&lt;&gt;"""",SPLIT('(INGESTA)Datos_consumo_datadis'!A:A,"",""),"""")"),"ES0031408323131005HX0F")</f>
        <v>ES0031408323131005HX0F</v>
      </c>
      <c r="B11911" s="12">
        <f>IFERROR(__xludf.DUMMYFUNCTION("""COMPUTED_VALUE"""),45362.0)</f>
        <v>45362</v>
      </c>
      <c r="C11911" s="13">
        <f>IFERROR(__xludf.DUMMYFUNCTION("""COMPUTED_VALUE"""),0.25)</f>
        <v>0.25</v>
      </c>
      <c r="D11911" s="8">
        <f>IFERROR(__xludf.DUMMYFUNCTION("""COMPUTED_VALUE"""),0.936)</f>
        <v>0.936</v>
      </c>
      <c r="E11911" s="8" t="str">
        <f>IFERROR(__xludf.DUMMYFUNCTION("""COMPUTED_VALUE"""),"Real")</f>
        <v>Real</v>
      </c>
      <c r="G11911" s="8">
        <f t="shared" si="1"/>
        <v>3</v>
      </c>
      <c r="H11911" s="14">
        <f t="shared" si="2"/>
        <v>11</v>
      </c>
      <c r="I11911" s="15">
        <f t="shared" si="3"/>
        <v>6</v>
      </c>
    </row>
    <row r="11912">
      <c r="A11912" s="8" t="str">
        <f>IFERROR(__xludf.DUMMYFUNCTION("IF('(INGESTA)Datos_consumo_datadis'!A11912&lt;&gt;"""",SPLIT('(INGESTA)Datos_consumo_datadis'!A:A,"",""),"""")"),"ES0031408323131005HX0F")</f>
        <v>ES0031408323131005HX0F</v>
      </c>
      <c r="B11912" s="12">
        <f>IFERROR(__xludf.DUMMYFUNCTION("""COMPUTED_VALUE"""),45362.0)</f>
        <v>45362</v>
      </c>
      <c r="C11912" s="13">
        <f>IFERROR(__xludf.DUMMYFUNCTION("""COMPUTED_VALUE"""),0.2916666666666667)</f>
        <v>0.2916666667</v>
      </c>
      <c r="D11912" s="8">
        <f>IFERROR(__xludf.DUMMYFUNCTION("""COMPUTED_VALUE"""),1.036)</f>
        <v>1.036</v>
      </c>
      <c r="E11912" s="8" t="str">
        <f>IFERROR(__xludf.DUMMYFUNCTION("""COMPUTED_VALUE"""),"Real")</f>
        <v>Real</v>
      </c>
      <c r="G11912" s="8">
        <f t="shared" si="1"/>
        <v>3</v>
      </c>
      <c r="H11912" s="14">
        <f t="shared" si="2"/>
        <v>11</v>
      </c>
      <c r="I11912" s="15">
        <f t="shared" si="3"/>
        <v>7</v>
      </c>
    </row>
    <row r="11913">
      <c r="A11913" s="8" t="str">
        <f>IFERROR(__xludf.DUMMYFUNCTION("IF('(INGESTA)Datos_consumo_datadis'!A11913&lt;&gt;"""",SPLIT('(INGESTA)Datos_consumo_datadis'!A:A,"",""),"""")"),"ES0031408323131005HX0F")</f>
        <v>ES0031408323131005HX0F</v>
      </c>
      <c r="B11913" s="12">
        <f>IFERROR(__xludf.DUMMYFUNCTION("""COMPUTED_VALUE"""),45362.0)</f>
        <v>45362</v>
      </c>
      <c r="C11913" s="13">
        <f>IFERROR(__xludf.DUMMYFUNCTION("""COMPUTED_VALUE"""),0.3333333333333333)</f>
        <v>0.3333333333</v>
      </c>
      <c r="D11913" s="8">
        <f>IFERROR(__xludf.DUMMYFUNCTION("""COMPUTED_VALUE"""),1.216)</f>
        <v>1.216</v>
      </c>
      <c r="E11913" s="8" t="str">
        <f>IFERROR(__xludf.DUMMYFUNCTION("""COMPUTED_VALUE"""),"Real")</f>
        <v>Real</v>
      </c>
      <c r="G11913" s="8">
        <f t="shared" si="1"/>
        <v>3</v>
      </c>
      <c r="H11913" s="14">
        <f t="shared" si="2"/>
        <v>11</v>
      </c>
      <c r="I11913" s="15">
        <f t="shared" si="3"/>
        <v>8</v>
      </c>
    </row>
    <row r="11914">
      <c r="A11914" s="8" t="str">
        <f>IFERROR(__xludf.DUMMYFUNCTION("IF('(INGESTA)Datos_consumo_datadis'!A11914&lt;&gt;"""",SPLIT('(INGESTA)Datos_consumo_datadis'!A:A,"",""),"""")"),"ES0031408323131005HX0F")</f>
        <v>ES0031408323131005HX0F</v>
      </c>
      <c r="B11914" s="12">
        <f>IFERROR(__xludf.DUMMYFUNCTION("""COMPUTED_VALUE"""),45362.0)</f>
        <v>45362</v>
      </c>
      <c r="C11914" s="13">
        <f>IFERROR(__xludf.DUMMYFUNCTION("""COMPUTED_VALUE"""),0.375)</f>
        <v>0.375</v>
      </c>
      <c r="D11914" s="8">
        <f>IFERROR(__xludf.DUMMYFUNCTION("""COMPUTED_VALUE"""),0.666)</f>
        <v>0.666</v>
      </c>
      <c r="E11914" s="8" t="str">
        <f>IFERROR(__xludf.DUMMYFUNCTION("""COMPUTED_VALUE"""),"Real")</f>
        <v>Real</v>
      </c>
      <c r="G11914" s="8">
        <f t="shared" si="1"/>
        <v>3</v>
      </c>
      <c r="H11914" s="14">
        <f t="shared" si="2"/>
        <v>11</v>
      </c>
      <c r="I11914" s="15">
        <f t="shared" si="3"/>
        <v>9</v>
      </c>
    </row>
    <row r="11915">
      <c r="A11915" s="8" t="str">
        <f>IFERROR(__xludf.DUMMYFUNCTION("IF('(INGESTA)Datos_consumo_datadis'!A11915&lt;&gt;"""",SPLIT('(INGESTA)Datos_consumo_datadis'!A:A,"",""),"""")"),"ES0031408323131005HX0F")</f>
        <v>ES0031408323131005HX0F</v>
      </c>
      <c r="B11915" s="12">
        <f>IFERROR(__xludf.DUMMYFUNCTION("""COMPUTED_VALUE"""),45362.0)</f>
        <v>45362</v>
      </c>
      <c r="C11915" s="13">
        <f>IFERROR(__xludf.DUMMYFUNCTION("""COMPUTED_VALUE"""),0.4166666666666667)</f>
        <v>0.4166666667</v>
      </c>
      <c r="D11915" s="8">
        <f>IFERROR(__xludf.DUMMYFUNCTION("""COMPUTED_VALUE"""),0.183)</f>
        <v>0.183</v>
      </c>
      <c r="E11915" s="8" t="str">
        <f>IFERROR(__xludf.DUMMYFUNCTION("""COMPUTED_VALUE"""),"Real")</f>
        <v>Real</v>
      </c>
      <c r="G11915" s="8">
        <f t="shared" si="1"/>
        <v>3</v>
      </c>
      <c r="H11915" s="14">
        <f t="shared" si="2"/>
        <v>11</v>
      </c>
      <c r="I11915" s="15">
        <f t="shared" si="3"/>
        <v>10</v>
      </c>
    </row>
    <row r="11916">
      <c r="A11916" s="8" t="str">
        <f>IFERROR(__xludf.DUMMYFUNCTION("IF('(INGESTA)Datos_consumo_datadis'!A11916&lt;&gt;"""",SPLIT('(INGESTA)Datos_consumo_datadis'!A:A,"",""),"""")"),"ES0031408323131005HX0F")</f>
        <v>ES0031408323131005HX0F</v>
      </c>
      <c r="B11916" s="12">
        <f>IFERROR(__xludf.DUMMYFUNCTION("""COMPUTED_VALUE"""),45362.0)</f>
        <v>45362</v>
      </c>
      <c r="C11916" s="13">
        <f>IFERROR(__xludf.DUMMYFUNCTION("""COMPUTED_VALUE"""),0.4583333333333333)</f>
        <v>0.4583333333</v>
      </c>
      <c r="D11916" s="8">
        <f>IFERROR(__xludf.DUMMYFUNCTION("""COMPUTED_VALUE"""),2.675)</f>
        <v>2.675</v>
      </c>
      <c r="E11916" s="8" t="str">
        <f>IFERROR(__xludf.DUMMYFUNCTION("""COMPUTED_VALUE"""),"Real")</f>
        <v>Real</v>
      </c>
      <c r="G11916" s="8">
        <f t="shared" si="1"/>
        <v>3</v>
      </c>
      <c r="H11916" s="14">
        <f t="shared" si="2"/>
        <v>11</v>
      </c>
      <c r="I11916" s="15">
        <f t="shared" si="3"/>
        <v>11</v>
      </c>
    </row>
    <row r="11917">
      <c r="A11917" s="8" t="str">
        <f>IFERROR(__xludf.DUMMYFUNCTION("IF('(INGESTA)Datos_consumo_datadis'!A11917&lt;&gt;"""",SPLIT('(INGESTA)Datos_consumo_datadis'!A:A,"",""),"""")"),"ES0031408323131005HX0F")</f>
        <v>ES0031408323131005HX0F</v>
      </c>
      <c r="B11917" s="12">
        <f>IFERROR(__xludf.DUMMYFUNCTION("""COMPUTED_VALUE"""),45362.0)</f>
        <v>45362</v>
      </c>
      <c r="C11917" s="13">
        <f>IFERROR(__xludf.DUMMYFUNCTION("""COMPUTED_VALUE"""),0.5)</f>
        <v>0.5</v>
      </c>
      <c r="D11917" s="8">
        <f>IFERROR(__xludf.DUMMYFUNCTION("""COMPUTED_VALUE"""),1.191)</f>
        <v>1.191</v>
      </c>
      <c r="E11917" s="8" t="str">
        <f>IFERROR(__xludf.DUMMYFUNCTION("""COMPUTED_VALUE"""),"Real")</f>
        <v>Real</v>
      </c>
      <c r="G11917" s="8">
        <f t="shared" si="1"/>
        <v>3</v>
      </c>
      <c r="H11917" s="14">
        <f t="shared" si="2"/>
        <v>11</v>
      </c>
      <c r="I11917" s="15">
        <f t="shared" si="3"/>
        <v>12</v>
      </c>
    </row>
    <row r="11918">
      <c r="A11918" s="8" t="str">
        <f>IFERROR(__xludf.DUMMYFUNCTION("IF('(INGESTA)Datos_consumo_datadis'!A11918&lt;&gt;"""",SPLIT('(INGESTA)Datos_consumo_datadis'!A:A,"",""),"""")"),"ES0031408323131005HX0F")</f>
        <v>ES0031408323131005HX0F</v>
      </c>
      <c r="B11918" s="12">
        <f>IFERROR(__xludf.DUMMYFUNCTION("""COMPUTED_VALUE"""),45362.0)</f>
        <v>45362</v>
      </c>
      <c r="C11918" s="13">
        <f>IFERROR(__xludf.DUMMYFUNCTION("""COMPUTED_VALUE"""),0.5416666666666666)</f>
        <v>0.5416666667</v>
      </c>
      <c r="D11918" s="8">
        <f>IFERROR(__xludf.DUMMYFUNCTION("""COMPUTED_VALUE"""),0.991)</f>
        <v>0.991</v>
      </c>
      <c r="E11918" s="8" t="str">
        <f>IFERROR(__xludf.DUMMYFUNCTION("""COMPUTED_VALUE"""),"Real")</f>
        <v>Real</v>
      </c>
      <c r="G11918" s="8">
        <f t="shared" si="1"/>
        <v>3</v>
      </c>
      <c r="H11918" s="14">
        <f t="shared" si="2"/>
        <v>11</v>
      </c>
      <c r="I11918" s="15">
        <f t="shared" si="3"/>
        <v>13</v>
      </c>
    </row>
    <row r="11919">
      <c r="A11919" s="8" t="str">
        <f>IFERROR(__xludf.DUMMYFUNCTION("IF('(INGESTA)Datos_consumo_datadis'!A11919&lt;&gt;"""",SPLIT('(INGESTA)Datos_consumo_datadis'!A:A,"",""),"""")"),"ES0031408323131005HX0F")</f>
        <v>ES0031408323131005HX0F</v>
      </c>
      <c r="B11919" s="12">
        <f>IFERROR(__xludf.DUMMYFUNCTION("""COMPUTED_VALUE"""),45362.0)</f>
        <v>45362</v>
      </c>
      <c r="C11919" s="13">
        <f>IFERROR(__xludf.DUMMYFUNCTION("""COMPUTED_VALUE"""),0.5833333333333334)</f>
        <v>0.5833333333</v>
      </c>
      <c r="D11919" s="8">
        <f>IFERROR(__xludf.DUMMYFUNCTION("""COMPUTED_VALUE"""),0.763)</f>
        <v>0.763</v>
      </c>
      <c r="E11919" s="8" t="str">
        <f>IFERROR(__xludf.DUMMYFUNCTION("""COMPUTED_VALUE"""),"Real")</f>
        <v>Real</v>
      </c>
      <c r="G11919" s="8">
        <f t="shared" si="1"/>
        <v>3</v>
      </c>
      <c r="H11919" s="14">
        <f t="shared" si="2"/>
        <v>11</v>
      </c>
      <c r="I11919" s="15">
        <f t="shared" si="3"/>
        <v>14</v>
      </c>
    </row>
    <row r="11920">
      <c r="A11920" s="8" t="str">
        <f>IFERROR(__xludf.DUMMYFUNCTION("IF('(INGESTA)Datos_consumo_datadis'!A11920&lt;&gt;"""",SPLIT('(INGESTA)Datos_consumo_datadis'!A:A,"",""),"""")"),"ES0031408323131005HX0F")</f>
        <v>ES0031408323131005HX0F</v>
      </c>
      <c r="B11920" s="12">
        <f>IFERROR(__xludf.DUMMYFUNCTION("""COMPUTED_VALUE"""),45362.0)</f>
        <v>45362</v>
      </c>
      <c r="C11920" s="13">
        <f>IFERROR(__xludf.DUMMYFUNCTION("""COMPUTED_VALUE"""),0.625)</f>
        <v>0.625</v>
      </c>
      <c r="D11920" s="8">
        <f>IFERROR(__xludf.DUMMYFUNCTION("""COMPUTED_VALUE"""),0.477)</f>
        <v>0.477</v>
      </c>
      <c r="E11920" s="8" t="str">
        <f>IFERROR(__xludf.DUMMYFUNCTION("""COMPUTED_VALUE"""),"Real")</f>
        <v>Real</v>
      </c>
      <c r="G11920" s="8">
        <f t="shared" si="1"/>
        <v>3</v>
      </c>
      <c r="H11920" s="14">
        <f t="shared" si="2"/>
        <v>11</v>
      </c>
      <c r="I11920" s="15">
        <f t="shared" si="3"/>
        <v>15</v>
      </c>
    </row>
    <row r="11921">
      <c r="A11921" s="8" t="str">
        <f>IFERROR(__xludf.DUMMYFUNCTION("IF('(INGESTA)Datos_consumo_datadis'!A11921&lt;&gt;"""",SPLIT('(INGESTA)Datos_consumo_datadis'!A:A,"",""),"""")"),"ES0031408323131005HX0F")</f>
        <v>ES0031408323131005HX0F</v>
      </c>
      <c r="B11921" s="12">
        <f>IFERROR(__xludf.DUMMYFUNCTION("""COMPUTED_VALUE"""),45362.0)</f>
        <v>45362</v>
      </c>
      <c r="C11921" s="13">
        <f>IFERROR(__xludf.DUMMYFUNCTION("""COMPUTED_VALUE"""),0.6666666666666666)</f>
        <v>0.6666666667</v>
      </c>
      <c r="D11921" s="8">
        <f>IFERROR(__xludf.DUMMYFUNCTION("""COMPUTED_VALUE"""),0.061)</f>
        <v>0.061</v>
      </c>
      <c r="E11921" s="8" t="str">
        <f>IFERROR(__xludf.DUMMYFUNCTION("""COMPUTED_VALUE"""),"Real")</f>
        <v>Real</v>
      </c>
      <c r="G11921" s="8">
        <f t="shared" si="1"/>
        <v>3</v>
      </c>
      <c r="H11921" s="14">
        <f t="shared" si="2"/>
        <v>11</v>
      </c>
      <c r="I11921" s="15">
        <f t="shared" si="3"/>
        <v>16</v>
      </c>
    </row>
    <row r="11922">
      <c r="A11922" s="8" t="str">
        <f>IFERROR(__xludf.DUMMYFUNCTION("IF('(INGESTA)Datos_consumo_datadis'!A11922&lt;&gt;"""",SPLIT('(INGESTA)Datos_consumo_datadis'!A:A,"",""),"""")"),"ES0031408323131005HX0F")</f>
        <v>ES0031408323131005HX0F</v>
      </c>
      <c r="B11922" s="12">
        <f>IFERROR(__xludf.DUMMYFUNCTION("""COMPUTED_VALUE"""),45362.0)</f>
        <v>45362</v>
      </c>
      <c r="C11922" s="13">
        <f>IFERROR(__xludf.DUMMYFUNCTION("""COMPUTED_VALUE"""),0.7083333333333334)</f>
        <v>0.7083333333</v>
      </c>
      <c r="D11922" s="8">
        <f>IFERROR(__xludf.DUMMYFUNCTION("""COMPUTED_VALUE"""),0.023)</f>
        <v>0.023</v>
      </c>
      <c r="E11922" s="8" t="str">
        <f>IFERROR(__xludf.DUMMYFUNCTION("""COMPUTED_VALUE"""),"Real")</f>
        <v>Real</v>
      </c>
      <c r="G11922" s="8">
        <f t="shared" si="1"/>
        <v>3</v>
      </c>
      <c r="H11922" s="14">
        <f t="shared" si="2"/>
        <v>11</v>
      </c>
      <c r="I11922" s="15">
        <f t="shared" si="3"/>
        <v>17</v>
      </c>
    </row>
    <row r="11923">
      <c r="A11923" s="8" t="str">
        <f>IFERROR(__xludf.DUMMYFUNCTION("IF('(INGESTA)Datos_consumo_datadis'!A11923&lt;&gt;"""",SPLIT('(INGESTA)Datos_consumo_datadis'!A:A,"",""),"""")"),"ES0031408323131005HX0F")</f>
        <v>ES0031408323131005HX0F</v>
      </c>
      <c r="B11923" s="12">
        <f>IFERROR(__xludf.DUMMYFUNCTION("""COMPUTED_VALUE"""),45362.0)</f>
        <v>45362</v>
      </c>
      <c r="C11923" s="13">
        <f>IFERROR(__xludf.DUMMYFUNCTION("""COMPUTED_VALUE"""),0.75)</f>
        <v>0.75</v>
      </c>
      <c r="D11923" s="8">
        <f>IFERROR(__xludf.DUMMYFUNCTION("""COMPUTED_VALUE"""),0.694)</f>
        <v>0.694</v>
      </c>
      <c r="E11923" s="8" t="str">
        <f>IFERROR(__xludf.DUMMYFUNCTION("""COMPUTED_VALUE"""),"Real")</f>
        <v>Real</v>
      </c>
      <c r="G11923" s="8">
        <f t="shared" si="1"/>
        <v>3</v>
      </c>
      <c r="H11923" s="14">
        <f t="shared" si="2"/>
        <v>11</v>
      </c>
      <c r="I11923" s="15">
        <f t="shared" si="3"/>
        <v>18</v>
      </c>
    </row>
    <row r="11924">
      <c r="A11924" s="8" t="str">
        <f>IFERROR(__xludf.DUMMYFUNCTION("IF('(INGESTA)Datos_consumo_datadis'!A11924&lt;&gt;"""",SPLIT('(INGESTA)Datos_consumo_datadis'!A:A,"",""),"""")"),"ES0031408323131005HX0F")</f>
        <v>ES0031408323131005HX0F</v>
      </c>
      <c r="B11924" s="12">
        <f>IFERROR(__xludf.DUMMYFUNCTION("""COMPUTED_VALUE"""),45362.0)</f>
        <v>45362</v>
      </c>
      <c r="C11924" s="13">
        <f>IFERROR(__xludf.DUMMYFUNCTION("""COMPUTED_VALUE"""),0.7916666666666666)</f>
        <v>0.7916666667</v>
      </c>
      <c r="D11924" s="8">
        <f>IFERROR(__xludf.DUMMYFUNCTION("""COMPUTED_VALUE"""),2.711)</f>
        <v>2.711</v>
      </c>
      <c r="E11924" s="8" t="str">
        <f>IFERROR(__xludf.DUMMYFUNCTION("""COMPUTED_VALUE"""),"Real")</f>
        <v>Real</v>
      </c>
      <c r="G11924" s="8">
        <f t="shared" si="1"/>
        <v>3</v>
      </c>
      <c r="H11924" s="14">
        <f t="shared" si="2"/>
        <v>11</v>
      </c>
      <c r="I11924" s="15">
        <f t="shared" si="3"/>
        <v>19</v>
      </c>
    </row>
    <row r="11925">
      <c r="A11925" s="8" t="str">
        <f>IFERROR(__xludf.DUMMYFUNCTION("IF('(INGESTA)Datos_consumo_datadis'!A11925&lt;&gt;"""",SPLIT('(INGESTA)Datos_consumo_datadis'!A:A,"",""),"""")"),"ES0031408323131005HX0F")</f>
        <v>ES0031408323131005HX0F</v>
      </c>
      <c r="B11925" s="12">
        <f>IFERROR(__xludf.DUMMYFUNCTION("""COMPUTED_VALUE"""),45362.0)</f>
        <v>45362</v>
      </c>
      <c r="C11925" s="13">
        <f>IFERROR(__xludf.DUMMYFUNCTION("""COMPUTED_VALUE"""),0.8333333333333334)</f>
        <v>0.8333333333</v>
      </c>
      <c r="D11925" s="8">
        <f>IFERROR(__xludf.DUMMYFUNCTION("""COMPUTED_VALUE"""),0.113)</f>
        <v>0.113</v>
      </c>
      <c r="E11925" s="8" t="str">
        <f>IFERROR(__xludf.DUMMYFUNCTION("""COMPUTED_VALUE"""),"Real")</f>
        <v>Real</v>
      </c>
      <c r="G11925" s="8">
        <f t="shared" si="1"/>
        <v>3</v>
      </c>
      <c r="H11925" s="14">
        <f t="shared" si="2"/>
        <v>11</v>
      </c>
      <c r="I11925" s="15">
        <f t="shared" si="3"/>
        <v>20</v>
      </c>
    </row>
    <row r="11926">
      <c r="A11926" s="8" t="str">
        <f>IFERROR(__xludf.DUMMYFUNCTION("IF('(INGESTA)Datos_consumo_datadis'!A11926&lt;&gt;"""",SPLIT('(INGESTA)Datos_consumo_datadis'!A:A,"",""),"""")"),"ES0031408323131005HX0F")</f>
        <v>ES0031408323131005HX0F</v>
      </c>
      <c r="B11926" s="12">
        <f>IFERROR(__xludf.DUMMYFUNCTION("""COMPUTED_VALUE"""),45362.0)</f>
        <v>45362</v>
      </c>
      <c r="C11926" s="13">
        <f>IFERROR(__xludf.DUMMYFUNCTION("""COMPUTED_VALUE"""),0.875)</f>
        <v>0.875</v>
      </c>
      <c r="D11926" s="8">
        <f>IFERROR(__xludf.DUMMYFUNCTION("""COMPUTED_VALUE"""),0.778)</f>
        <v>0.778</v>
      </c>
      <c r="E11926" s="8" t="str">
        <f>IFERROR(__xludf.DUMMYFUNCTION("""COMPUTED_VALUE"""),"Real")</f>
        <v>Real</v>
      </c>
      <c r="G11926" s="8">
        <f t="shared" si="1"/>
        <v>3</v>
      </c>
      <c r="H11926" s="14">
        <f t="shared" si="2"/>
        <v>11</v>
      </c>
      <c r="I11926" s="15">
        <f t="shared" si="3"/>
        <v>21</v>
      </c>
    </row>
    <row r="11927">
      <c r="A11927" s="8" t="str">
        <f>IFERROR(__xludf.DUMMYFUNCTION("IF('(INGESTA)Datos_consumo_datadis'!A11927&lt;&gt;"""",SPLIT('(INGESTA)Datos_consumo_datadis'!A:A,"",""),"""")"),"ES0031408323131005HX0F")</f>
        <v>ES0031408323131005HX0F</v>
      </c>
      <c r="B11927" s="12">
        <f>IFERROR(__xludf.DUMMYFUNCTION("""COMPUTED_VALUE"""),45362.0)</f>
        <v>45362</v>
      </c>
      <c r="C11927" s="13">
        <f>IFERROR(__xludf.DUMMYFUNCTION("""COMPUTED_VALUE"""),0.9166666666666666)</f>
        <v>0.9166666667</v>
      </c>
      <c r="D11927" s="8">
        <f>IFERROR(__xludf.DUMMYFUNCTION("""COMPUTED_VALUE"""),0.762)</f>
        <v>0.762</v>
      </c>
      <c r="E11927" s="8" t="str">
        <f>IFERROR(__xludf.DUMMYFUNCTION("""COMPUTED_VALUE"""),"Real")</f>
        <v>Real</v>
      </c>
      <c r="G11927" s="8">
        <f t="shared" si="1"/>
        <v>3</v>
      </c>
      <c r="H11927" s="14">
        <f t="shared" si="2"/>
        <v>11</v>
      </c>
      <c r="I11927" s="15">
        <f t="shared" si="3"/>
        <v>22</v>
      </c>
    </row>
    <row r="11928">
      <c r="A11928" s="8" t="str">
        <f>IFERROR(__xludf.DUMMYFUNCTION("IF('(INGESTA)Datos_consumo_datadis'!A11928&lt;&gt;"""",SPLIT('(INGESTA)Datos_consumo_datadis'!A:A,"",""),"""")"),"ES0031408323131005HX0F")</f>
        <v>ES0031408323131005HX0F</v>
      </c>
      <c r="B11928" s="12">
        <f>IFERROR(__xludf.DUMMYFUNCTION("""COMPUTED_VALUE"""),45362.0)</f>
        <v>45362</v>
      </c>
      <c r="C11928" s="13">
        <f>IFERROR(__xludf.DUMMYFUNCTION("""COMPUTED_VALUE"""),0.9583333333333334)</f>
        <v>0.9583333333</v>
      </c>
      <c r="D11928" s="8">
        <f>IFERROR(__xludf.DUMMYFUNCTION("""COMPUTED_VALUE"""),0.175)</f>
        <v>0.175</v>
      </c>
      <c r="E11928" s="8" t="str">
        <f>IFERROR(__xludf.DUMMYFUNCTION("""COMPUTED_VALUE"""),"Real")</f>
        <v>Real</v>
      </c>
      <c r="G11928" s="8">
        <f t="shared" si="1"/>
        <v>3</v>
      </c>
      <c r="H11928" s="14">
        <f t="shared" si="2"/>
        <v>11</v>
      </c>
      <c r="I11928" s="15">
        <f t="shared" si="3"/>
        <v>23</v>
      </c>
    </row>
    <row r="11929">
      <c r="A11929" s="8" t="str">
        <f>IFERROR(__xludf.DUMMYFUNCTION("IF('(INGESTA)Datos_consumo_datadis'!A11929&lt;&gt;"""",SPLIT('(INGESTA)Datos_consumo_datadis'!A:A,"",""),"""")"),"ES0031408323131005HX0F")</f>
        <v>ES0031408323131005HX0F</v>
      </c>
      <c r="B11929" s="12">
        <f>IFERROR(__xludf.DUMMYFUNCTION("""COMPUTED_VALUE"""),45362.0)</f>
        <v>45362</v>
      </c>
      <c r="C11929" s="16">
        <f>IFERROR(__xludf.DUMMYFUNCTION("""COMPUTED_VALUE"""),1.0)</f>
        <v>1</v>
      </c>
      <c r="D11929" s="8">
        <f>IFERROR(__xludf.DUMMYFUNCTION("""COMPUTED_VALUE"""),1.331)</f>
        <v>1.331</v>
      </c>
      <c r="E11929" s="8" t="str">
        <f>IFERROR(__xludf.DUMMYFUNCTION("""COMPUTED_VALUE"""),"Real")</f>
        <v>Real</v>
      </c>
      <c r="G11929" s="8">
        <f t="shared" si="1"/>
        <v>3</v>
      </c>
      <c r="H11929" s="14">
        <f t="shared" si="2"/>
        <v>11</v>
      </c>
      <c r="I11929" s="15">
        <f t="shared" si="3"/>
        <v>0</v>
      </c>
    </row>
    <row r="11930">
      <c r="A11930" s="8" t="str">
        <f>IFERROR(__xludf.DUMMYFUNCTION("IF('(INGESTA)Datos_consumo_datadis'!A11930&lt;&gt;"""",SPLIT('(INGESTA)Datos_consumo_datadis'!A:A,"",""),"""")"),"ES0031408323131005HX0F")</f>
        <v>ES0031408323131005HX0F</v>
      </c>
      <c r="B11930" s="12">
        <f>IFERROR(__xludf.DUMMYFUNCTION("""COMPUTED_VALUE"""),45363.0)</f>
        <v>45363</v>
      </c>
      <c r="C11930" s="13">
        <f>IFERROR(__xludf.DUMMYFUNCTION("""COMPUTED_VALUE"""),0.041666666666666664)</f>
        <v>0.04166666667</v>
      </c>
      <c r="D11930" s="8">
        <f>IFERROR(__xludf.DUMMYFUNCTION("""COMPUTED_VALUE"""),1.531)</f>
        <v>1.531</v>
      </c>
      <c r="E11930" s="8" t="str">
        <f>IFERROR(__xludf.DUMMYFUNCTION("""COMPUTED_VALUE"""),"Real")</f>
        <v>Real</v>
      </c>
      <c r="G11930" s="8">
        <f t="shared" si="1"/>
        <v>3</v>
      </c>
      <c r="H11930" s="14">
        <f t="shared" si="2"/>
        <v>12</v>
      </c>
      <c r="I11930" s="15">
        <f t="shared" si="3"/>
        <v>1</v>
      </c>
    </row>
    <row r="11931">
      <c r="A11931" s="8" t="str">
        <f>IFERROR(__xludf.DUMMYFUNCTION("IF('(INGESTA)Datos_consumo_datadis'!A11931&lt;&gt;"""",SPLIT('(INGESTA)Datos_consumo_datadis'!A:A,"",""),"""")"),"ES0031408323131005HX0F")</f>
        <v>ES0031408323131005HX0F</v>
      </c>
      <c r="B11931" s="12">
        <f>IFERROR(__xludf.DUMMYFUNCTION("""COMPUTED_VALUE"""),45363.0)</f>
        <v>45363</v>
      </c>
      <c r="C11931" s="13">
        <f>IFERROR(__xludf.DUMMYFUNCTION("""COMPUTED_VALUE"""),0.08333333333333333)</f>
        <v>0.08333333333</v>
      </c>
      <c r="D11931" s="8">
        <f>IFERROR(__xludf.DUMMYFUNCTION("""COMPUTED_VALUE"""),0.984)</f>
        <v>0.984</v>
      </c>
      <c r="E11931" s="8" t="str">
        <f>IFERROR(__xludf.DUMMYFUNCTION("""COMPUTED_VALUE"""),"Real")</f>
        <v>Real</v>
      </c>
      <c r="G11931" s="8">
        <f t="shared" si="1"/>
        <v>3</v>
      </c>
      <c r="H11931" s="14">
        <f t="shared" si="2"/>
        <v>12</v>
      </c>
      <c r="I11931" s="15">
        <f t="shared" si="3"/>
        <v>2</v>
      </c>
    </row>
    <row r="11932">
      <c r="A11932" s="8" t="str">
        <f>IFERROR(__xludf.DUMMYFUNCTION("IF('(INGESTA)Datos_consumo_datadis'!A11932&lt;&gt;"""",SPLIT('(INGESTA)Datos_consumo_datadis'!A:A,"",""),"""")"),"ES0031408323131005HX0F")</f>
        <v>ES0031408323131005HX0F</v>
      </c>
      <c r="B11932" s="12">
        <f>IFERROR(__xludf.DUMMYFUNCTION("""COMPUTED_VALUE"""),45363.0)</f>
        <v>45363</v>
      </c>
      <c r="C11932" s="13">
        <f>IFERROR(__xludf.DUMMYFUNCTION("""COMPUTED_VALUE"""),0.125)</f>
        <v>0.125</v>
      </c>
      <c r="D11932" s="8">
        <f>IFERROR(__xludf.DUMMYFUNCTION("""COMPUTED_VALUE"""),1.211)</f>
        <v>1.211</v>
      </c>
      <c r="E11932" s="8" t="str">
        <f>IFERROR(__xludf.DUMMYFUNCTION("""COMPUTED_VALUE"""),"Real")</f>
        <v>Real</v>
      </c>
      <c r="G11932" s="8">
        <f t="shared" si="1"/>
        <v>3</v>
      </c>
      <c r="H11932" s="14">
        <f t="shared" si="2"/>
        <v>12</v>
      </c>
      <c r="I11932" s="15">
        <f t="shared" si="3"/>
        <v>3</v>
      </c>
    </row>
    <row r="11933">
      <c r="A11933" s="8" t="str">
        <f>IFERROR(__xludf.DUMMYFUNCTION("IF('(INGESTA)Datos_consumo_datadis'!A11933&lt;&gt;"""",SPLIT('(INGESTA)Datos_consumo_datadis'!A:A,"",""),"""")"),"ES0031408323131005HX0F")</f>
        <v>ES0031408323131005HX0F</v>
      </c>
      <c r="B11933" s="12">
        <f>IFERROR(__xludf.DUMMYFUNCTION("""COMPUTED_VALUE"""),45363.0)</f>
        <v>45363</v>
      </c>
      <c r="C11933" s="13">
        <f>IFERROR(__xludf.DUMMYFUNCTION("""COMPUTED_VALUE"""),0.16666666666666666)</f>
        <v>0.1666666667</v>
      </c>
      <c r="D11933" s="8">
        <f>IFERROR(__xludf.DUMMYFUNCTION("""COMPUTED_VALUE"""),0.874)</f>
        <v>0.874</v>
      </c>
      <c r="E11933" s="8" t="str">
        <f>IFERROR(__xludf.DUMMYFUNCTION("""COMPUTED_VALUE"""),"Real")</f>
        <v>Real</v>
      </c>
      <c r="G11933" s="8">
        <f t="shared" si="1"/>
        <v>3</v>
      </c>
      <c r="H11933" s="14">
        <f t="shared" si="2"/>
        <v>12</v>
      </c>
      <c r="I11933" s="15">
        <f t="shared" si="3"/>
        <v>4</v>
      </c>
    </row>
    <row r="11934">
      <c r="A11934" s="8" t="str">
        <f>IFERROR(__xludf.DUMMYFUNCTION("IF('(INGESTA)Datos_consumo_datadis'!A11934&lt;&gt;"""",SPLIT('(INGESTA)Datos_consumo_datadis'!A:A,"",""),"""")"),"ES0031408323131005HX0F")</f>
        <v>ES0031408323131005HX0F</v>
      </c>
      <c r="B11934" s="12">
        <f>IFERROR(__xludf.DUMMYFUNCTION("""COMPUTED_VALUE"""),45363.0)</f>
        <v>45363</v>
      </c>
      <c r="C11934" s="13">
        <f>IFERROR(__xludf.DUMMYFUNCTION("""COMPUTED_VALUE"""),0.20833333333333334)</f>
        <v>0.2083333333</v>
      </c>
      <c r="D11934" s="8">
        <f>IFERROR(__xludf.DUMMYFUNCTION("""COMPUTED_VALUE"""),0.933)</f>
        <v>0.933</v>
      </c>
      <c r="E11934" s="8" t="str">
        <f>IFERROR(__xludf.DUMMYFUNCTION("""COMPUTED_VALUE"""),"Real")</f>
        <v>Real</v>
      </c>
      <c r="G11934" s="8">
        <f t="shared" si="1"/>
        <v>3</v>
      </c>
      <c r="H11934" s="14">
        <f t="shared" si="2"/>
        <v>12</v>
      </c>
      <c r="I11934" s="15">
        <f t="shared" si="3"/>
        <v>5</v>
      </c>
    </row>
    <row r="11935">
      <c r="A11935" s="8" t="str">
        <f>IFERROR(__xludf.DUMMYFUNCTION("IF('(INGESTA)Datos_consumo_datadis'!A11935&lt;&gt;"""",SPLIT('(INGESTA)Datos_consumo_datadis'!A:A,"",""),"""")"),"ES0031408323131005HX0F")</f>
        <v>ES0031408323131005HX0F</v>
      </c>
      <c r="B11935" s="12">
        <f>IFERROR(__xludf.DUMMYFUNCTION("""COMPUTED_VALUE"""),45363.0)</f>
        <v>45363</v>
      </c>
      <c r="C11935" s="13">
        <f>IFERROR(__xludf.DUMMYFUNCTION("""COMPUTED_VALUE"""),0.25)</f>
        <v>0.25</v>
      </c>
      <c r="D11935" s="8">
        <f>IFERROR(__xludf.DUMMYFUNCTION("""COMPUTED_VALUE"""),1.146)</f>
        <v>1.146</v>
      </c>
      <c r="E11935" s="8" t="str">
        <f>IFERROR(__xludf.DUMMYFUNCTION("""COMPUTED_VALUE"""),"Real")</f>
        <v>Real</v>
      </c>
      <c r="G11935" s="8">
        <f t="shared" si="1"/>
        <v>3</v>
      </c>
      <c r="H11935" s="14">
        <f t="shared" si="2"/>
        <v>12</v>
      </c>
      <c r="I11935" s="15">
        <f t="shared" si="3"/>
        <v>6</v>
      </c>
    </row>
    <row r="11936">
      <c r="A11936" s="8" t="str">
        <f>IFERROR(__xludf.DUMMYFUNCTION("IF('(INGESTA)Datos_consumo_datadis'!A11936&lt;&gt;"""",SPLIT('(INGESTA)Datos_consumo_datadis'!A:A,"",""),"""")"),"ES0031408323131005HX0F")</f>
        <v>ES0031408323131005HX0F</v>
      </c>
      <c r="B11936" s="12">
        <f>IFERROR(__xludf.DUMMYFUNCTION("""COMPUTED_VALUE"""),45363.0)</f>
        <v>45363</v>
      </c>
      <c r="C11936" s="13">
        <f>IFERROR(__xludf.DUMMYFUNCTION("""COMPUTED_VALUE"""),0.2916666666666667)</f>
        <v>0.2916666667</v>
      </c>
      <c r="D11936" s="8">
        <f>IFERROR(__xludf.DUMMYFUNCTION("""COMPUTED_VALUE"""),1.572)</f>
        <v>1.572</v>
      </c>
      <c r="E11936" s="8" t="str">
        <f>IFERROR(__xludf.DUMMYFUNCTION("""COMPUTED_VALUE"""),"Real")</f>
        <v>Real</v>
      </c>
      <c r="G11936" s="8">
        <f t="shared" si="1"/>
        <v>3</v>
      </c>
      <c r="H11936" s="14">
        <f t="shared" si="2"/>
        <v>12</v>
      </c>
      <c r="I11936" s="15">
        <f t="shared" si="3"/>
        <v>7</v>
      </c>
    </row>
    <row r="11937">
      <c r="A11937" s="8" t="str">
        <f>IFERROR(__xludf.DUMMYFUNCTION("IF('(INGESTA)Datos_consumo_datadis'!A11937&lt;&gt;"""",SPLIT('(INGESTA)Datos_consumo_datadis'!A:A,"",""),"""")"),"ES0031408323131005HX0F")</f>
        <v>ES0031408323131005HX0F</v>
      </c>
      <c r="B11937" s="12">
        <f>IFERROR(__xludf.DUMMYFUNCTION("""COMPUTED_VALUE"""),45363.0)</f>
        <v>45363</v>
      </c>
      <c r="C11937" s="13">
        <f>IFERROR(__xludf.DUMMYFUNCTION("""COMPUTED_VALUE"""),0.3333333333333333)</f>
        <v>0.3333333333</v>
      </c>
      <c r="D11937" s="8">
        <f>IFERROR(__xludf.DUMMYFUNCTION("""COMPUTED_VALUE"""),0.89)</f>
        <v>0.89</v>
      </c>
      <c r="E11937" s="8" t="str">
        <f>IFERROR(__xludf.DUMMYFUNCTION("""COMPUTED_VALUE"""),"Real")</f>
        <v>Real</v>
      </c>
      <c r="G11937" s="8">
        <f t="shared" si="1"/>
        <v>3</v>
      </c>
      <c r="H11937" s="14">
        <f t="shared" si="2"/>
        <v>12</v>
      </c>
      <c r="I11937" s="15">
        <f t="shared" si="3"/>
        <v>8</v>
      </c>
    </row>
    <row r="11938">
      <c r="A11938" s="8" t="str">
        <f>IFERROR(__xludf.DUMMYFUNCTION("IF('(INGESTA)Datos_consumo_datadis'!A11938&lt;&gt;"""",SPLIT('(INGESTA)Datos_consumo_datadis'!A:A,"",""),"""")"),"ES0031408323131005HX0F")</f>
        <v>ES0031408323131005HX0F</v>
      </c>
      <c r="B11938" s="12">
        <f>IFERROR(__xludf.DUMMYFUNCTION("""COMPUTED_VALUE"""),45363.0)</f>
        <v>45363</v>
      </c>
      <c r="C11938" s="13">
        <f>IFERROR(__xludf.DUMMYFUNCTION("""COMPUTED_VALUE"""),0.375)</f>
        <v>0.375</v>
      </c>
      <c r="D11938" s="8">
        <f>IFERROR(__xludf.DUMMYFUNCTION("""COMPUTED_VALUE"""),0.902)</f>
        <v>0.902</v>
      </c>
      <c r="E11938" s="8" t="str">
        <f>IFERROR(__xludf.DUMMYFUNCTION("""COMPUTED_VALUE"""),"Real")</f>
        <v>Real</v>
      </c>
      <c r="G11938" s="8">
        <f t="shared" si="1"/>
        <v>3</v>
      </c>
      <c r="H11938" s="14">
        <f t="shared" si="2"/>
        <v>12</v>
      </c>
      <c r="I11938" s="15">
        <f t="shared" si="3"/>
        <v>9</v>
      </c>
    </row>
    <row r="11939">
      <c r="A11939" s="8" t="str">
        <f>IFERROR(__xludf.DUMMYFUNCTION("IF('(INGESTA)Datos_consumo_datadis'!A11939&lt;&gt;"""",SPLIT('(INGESTA)Datos_consumo_datadis'!A:A,"",""),"""")"),"ES0031408323131005HX0F")</f>
        <v>ES0031408323131005HX0F</v>
      </c>
      <c r="B11939" s="12">
        <f>IFERROR(__xludf.DUMMYFUNCTION("""COMPUTED_VALUE"""),45363.0)</f>
        <v>45363</v>
      </c>
      <c r="C11939" s="13">
        <f>IFERROR(__xludf.DUMMYFUNCTION("""COMPUTED_VALUE"""),0.4166666666666667)</f>
        <v>0.4166666667</v>
      </c>
      <c r="D11939" s="8">
        <f>IFERROR(__xludf.DUMMYFUNCTION("""COMPUTED_VALUE"""),0.746)</f>
        <v>0.746</v>
      </c>
      <c r="E11939" s="8" t="str">
        <f>IFERROR(__xludf.DUMMYFUNCTION("""COMPUTED_VALUE"""),"Real")</f>
        <v>Real</v>
      </c>
      <c r="G11939" s="8">
        <f t="shared" si="1"/>
        <v>3</v>
      </c>
      <c r="H11939" s="14">
        <f t="shared" si="2"/>
        <v>12</v>
      </c>
      <c r="I11939" s="15">
        <f t="shared" si="3"/>
        <v>10</v>
      </c>
    </row>
    <row r="11940">
      <c r="A11940" s="8" t="str">
        <f>IFERROR(__xludf.DUMMYFUNCTION("IF('(INGESTA)Datos_consumo_datadis'!A11940&lt;&gt;"""",SPLIT('(INGESTA)Datos_consumo_datadis'!A:A,"",""),"""")"),"ES0031408323131005HX0F")</f>
        <v>ES0031408323131005HX0F</v>
      </c>
      <c r="B11940" s="12">
        <f>IFERROR(__xludf.DUMMYFUNCTION("""COMPUTED_VALUE"""),45363.0)</f>
        <v>45363</v>
      </c>
      <c r="C11940" s="13">
        <f>IFERROR(__xludf.DUMMYFUNCTION("""COMPUTED_VALUE"""),0.4583333333333333)</f>
        <v>0.4583333333</v>
      </c>
      <c r="D11940" s="8">
        <f>IFERROR(__xludf.DUMMYFUNCTION("""COMPUTED_VALUE"""),0.758)</f>
        <v>0.758</v>
      </c>
      <c r="E11940" s="8" t="str">
        <f>IFERROR(__xludf.DUMMYFUNCTION("""COMPUTED_VALUE"""),"Real")</f>
        <v>Real</v>
      </c>
      <c r="G11940" s="8">
        <f t="shared" si="1"/>
        <v>3</v>
      </c>
      <c r="H11940" s="14">
        <f t="shared" si="2"/>
        <v>12</v>
      </c>
      <c r="I11940" s="15">
        <f t="shared" si="3"/>
        <v>11</v>
      </c>
    </row>
    <row r="11941">
      <c r="A11941" s="8" t="str">
        <f>IFERROR(__xludf.DUMMYFUNCTION("IF('(INGESTA)Datos_consumo_datadis'!A11941&lt;&gt;"""",SPLIT('(INGESTA)Datos_consumo_datadis'!A:A,"",""),"""")"),"ES0031408323131005HX0F")</f>
        <v>ES0031408323131005HX0F</v>
      </c>
      <c r="B11941" s="12">
        <f>IFERROR(__xludf.DUMMYFUNCTION("""COMPUTED_VALUE"""),45363.0)</f>
        <v>45363</v>
      </c>
      <c r="C11941" s="13">
        <f>IFERROR(__xludf.DUMMYFUNCTION("""COMPUTED_VALUE"""),0.5)</f>
        <v>0.5</v>
      </c>
      <c r="D11941" s="8">
        <f>IFERROR(__xludf.DUMMYFUNCTION("""COMPUTED_VALUE"""),1.024)</f>
        <v>1.024</v>
      </c>
      <c r="E11941" s="8" t="str">
        <f>IFERROR(__xludf.DUMMYFUNCTION("""COMPUTED_VALUE"""),"Real")</f>
        <v>Real</v>
      </c>
      <c r="G11941" s="8">
        <f t="shared" si="1"/>
        <v>3</v>
      </c>
      <c r="H11941" s="14">
        <f t="shared" si="2"/>
        <v>12</v>
      </c>
      <c r="I11941" s="15">
        <f t="shared" si="3"/>
        <v>12</v>
      </c>
    </row>
    <row r="11942">
      <c r="A11942" s="8" t="str">
        <f>IFERROR(__xludf.DUMMYFUNCTION("IF('(INGESTA)Datos_consumo_datadis'!A11942&lt;&gt;"""",SPLIT('(INGESTA)Datos_consumo_datadis'!A:A,"",""),"""")"),"ES0031408323131005HX0F")</f>
        <v>ES0031408323131005HX0F</v>
      </c>
      <c r="B11942" s="12">
        <f>IFERROR(__xludf.DUMMYFUNCTION("""COMPUTED_VALUE"""),45363.0)</f>
        <v>45363</v>
      </c>
      <c r="C11942" s="13">
        <f>IFERROR(__xludf.DUMMYFUNCTION("""COMPUTED_VALUE"""),0.5416666666666666)</f>
        <v>0.5416666667</v>
      </c>
      <c r="D11942" s="8">
        <f>IFERROR(__xludf.DUMMYFUNCTION("""COMPUTED_VALUE"""),1.987)</f>
        <v>1.987</v>
      </c>
      <c r="E11942" s="8" t="str">
        <f>IFERROR(__xludf.DUMMYFUNCTION("""COMPUTED_VALUE"""),"Real")</f>
        <v>Real</v>
      </c>
      <c r="G11942" s="8">
        <f t="shared" si="1"/>
        <v>3</v>
      </c>
      <c r="H11942" s="14">
        <f t="shared" si="2"/>
        <v>12</v>
      </c>
      <c r="I11942" s="15">
        <f t="shared" si="3"/>
        <v>13</v>
      </c>
    </row>
    <row r="11943">
      <c r="A11943" s="8" t="str">
        <f>IFERROR(__xludf.DUMMYFUNCTION("IF('(INGESTA)Datos_consumo_datadis'!A11943&lt;&gt;"""",SPLIT('(INGESTA)Datos_consumo_datadis'!A:A,"",""),"""")"),"ES0031408323131005HX0F")</f>
        <v>ES0031408323131005HX0F</v>
      </c>
      <c r="B11943" s="12">
        <f>IFERROR(__xludf.DUMMYFUNCTION("""COMPUTED_VALUE"""),45363.0)</f>
        <v>45363</v>
      </c>
      <c r="C11943" s="13">
        <f>IFERROR(__xludf.DUMMYFUNCTION("""COMPUTED_VALUE"""),0.5833333333333334)</f>
        <v>0.5833333333</v>
      </c>
      <c r="D11943" s="8">
        <f>IFERROR(__xludf.DUMMYFUNCTION("""COMPUTED_VALUE"""),0.24)</f>
        <v>0.24</v>
      </c>
      <c r="E11943" s="8" t="str">
        <f>IFERROR(__xludf.DUMMYFUNCTION("""COMPUTED_VALUE"""),"Real")</f>
        <v>Real</v>
      </c>
      <c r="G11943" s="8">
        <f t="shared" si="1"/>
        <v>3</v>
      </c>
      <c r="H11943" s="14">
        <f t="shared" si="2"/>
        <v>12</v>
      </c>
      <c r="I11943" s="15">
        <f t="shared" si="3"/>
        <v>14</v>
      </c>
    </row>
    <row r="11944">
      <c r="A11944" s="8" t="str">
        <f>IFERROR(__xludf.DUMMYFUNCTION("IF('(INGESTA)Datos_consumo_datadis'!A11944&lt;&gt;"""",SPLIT('(INGESTA)Datos_consumo_datadis'!A:A,"",""),"""")"),"ES0031408323131005HX0F")</f>
        <v>ES0031408323131005HX0F</v>
      </c>
      <c r="B11944" s="12">
        <f>IFERROR(__xludf.DUMMYFUNCTION("""COMPUTED_VALUE"""),45363.0)</f>
        <v>45363</v>
      </c>
      <c r="C11944" s="13">
        <f>IFERROR(__xludf.DUMMYFUNCTION("""COMPUTED_VALUE"""),0.625)</f>
        <v>0.625</v>
      </c>
      <c r="D11944" s="8">
        <f>IFERROR(__xludf.DUMMYFUNCTION("""COMPUTED_VALUE"""),0.168)</f>
        <v>0.168</v>
      </c>
      <c r="E11944" s="8" t="str">
        <f>IFERROR(__xludf.DUMMYFUNCTION("""COMPUTED_VALUE"""),"Real")</f>
        <v>Real</v>
      </c>
      <c r="G11944" s="8">
        <f t="shared" si="1"/>
        <v>3</v>
      </c>
      <c r="H11944" s="14">
        <f t="shared" si="2"/>
        <v>12</v>
      </c>
      <c r="I11944" s="15">
        <f t="shared" si="3"/>
        <v>15</v>
      </c>
    </row>
    <row r="11945">
      <c r="A11945" s="8" t="str">
        <f>IFERROR(__xludf.DUMMYFUNCTION("IF('(INGESTA)Datos_consumo_datadis'!A11945&lt;&gt;"""",SPLIT('(INGESTA)Datos_consumo_datadis'!A:A,"",""),"""")"),"ES0031408323131005HX0F")</f>
        <v>ES0031408323131005HX0F</v>
      </c>
      <c r="B11945" s="12">
        <f>IFERROR(__xludf.DUMMYFUNCTION("""COMPUTED_VALUE"""),45363.0)</f>
        <v>45363</v>
      </c>
      <c r="C11945" s="13">
        <f>IFERROR(__xludf.DUMMYFUNCTION("""COMPUTED_VALUE"""),0.6666666666666666)</f>
        <v>0.6666666667</v>
      </c>
      <c r="D11945" s="8">
        <f>IFERROR(__xludf.DUMMYFUNCTION("""COMPUTED_VALUE"""),0.863)</f>
        <v>0.863</v>
      </c>
      <c r="E11945" s="8" t="str">
        <f>IFERROR(__xludf.DUMMYFUNCTION("""COMPUTED_VALUE"""),"Real")</f>
        <v>Real</v>
      </c>
      <c r="G11945" s="8">
        <f t="shared" si="1"/>
        <v>3</v>
      </c>
      <c r="H11945" s="14">
        <f t="shared" si="2"/>
        <v>12</v>
      </c>
      <c r="I11945" s="15">
        <f t="shared" si="3"/>
        <v>16</v>
      </c>
    </row>
    <row r="11946">
      <c r="A11946" s="8" t="str">
        <f>IFERROR(__xludf.DUMMYFUNCTION("IF('(INGESTA)Datos_consumo_datadis'!A11946&lt;&gt;"""",SPLIT('(INGESTA)Datos_consumo_datadis'!A:A,"",""),"""")"),"ES0031408323131005HX0F")</f>
        <v>ES0031408323131005HX0F</v>
      </c>
      <c r="B11946" s="12">
        <f>IFERROR(__xludf.DUMMYFUNCTION("""COMPUTED_VALUE"""),45363.0)</f>
        <v>45363</v>
      </c>
      <c r="C11946" s="13">
        <f>IFERROR(__xludf.DUMMYFUNCTION("""COMPUTED_VALUE"""),0.7083333333333334)</f>
        <v>0.7083333333</v>
      </c>
      <c r="D11946" s="8">
        <f>IFERROR(__xludf.DUMMYFUNCTION("""COMPUTED_VALUE"""),0.436)</f>
        <v>0.436</v>
      </c>
      <c r="E11946" s="8" t="str">
        <f>IFERROR(__xludf.DUMMYFUNCTION("""COMPUTED_VALUE"""),"Real")</f>
        <v>Real</v>
      </c>
      <c r="G11946" s="8">
        <f t="shared" si="1"/>
        <v>3</v>
      </c>
      <c r="H11946" s="14">
        <f t="shared" si="2"/>
        <v>12</v>
      </c>
      <c r="I11946" s="15">
        <f t="shared" si="3"/>
        <v>17</v>
      </c>
    </row>
    <row r="11947">
      <c r="A11947" s="8" t="str">
        <f>IFERROR(__xludf.DUMMYFUNCTION("IF('(INGESTA)Datos_consumo_datadis'!A11947&lt;&gt;"""",SPLIT('(INGESTA)Datos_consumo_datadis'!A:A,"",""),"""")"),"ES0031408323131005HX0F")</f>
        <v>ES0031408323131005HX0F</v>
      </c>
      <c r="B11947" s="12">
        <f>IFERROR(__xludf.DUMMYFUNCTION("""COMPUTED_VALUE"""),45363.0)</f>
        <v>45363</v>
      </c>
      <c r="C11947" s="13">
        <f>IFERROR(__xludf.DUMMYFUNCTION("""COMPUTED_VALUE"""),0.75)</f>
        <v>0.75</v>
      </c>
      <c r="D11947" s="8">
        <f>IFERROR(__xludf.DUMMYFUNCTION("""COMPUTED_VALUE"""),0.467)</f>
        <v>0.467</v>
      </c>
      <c r="E11947" s="8" t="str">
        <f>IFERROR(__xludf.DUMMYFUNCTION("""COMPUTED_VALUE"""),"Real")</f>
        <v>Real</v>
      </c>
      <c r="G11947" s="8">
        <f t="shared" si="1"/>
        <v>3</v>
      </c>
      <c r="H11947" s="14">
        <f t="shared" si="2"/>
        <v>12</v>
      </c>
      <c r="I11947" s="15">
        <f t="shared" si="3"/>
        <v>18</v>
      </c>
    </row>
    <row r="11948">
      <c r="A11948" s="8" t="str">
        <f>IFERROR(__xludf.DUMMYFUNCTION("IF('(INGESTA)Datos_consumo_datadis'!A11948&lt;&gt;"""",SPLIT('(INGESTA)Datos_consumo_datadis'!A:A,"",""),"""")"),"ES0031408323131005HX0F")</f>
        <v>ES0031408323131005HX0F</v>
      </c>
      <c r="B11948" s="12">
        <f>IFERROR(__xludf.DUMMYFUNCTION("""COMPUTED_VALUE"""),45363.0)</f>
        <v>45363</v>
      </c>
      <c r="C11948" s="13">
        <f>IFERROR(__xludf.DUMMYFUNCTION("""COMPUTED_VALUE"""),0.7916666666666666)</f>
        <v>0.7916666667</v>
      </c>
      <c r="D11948" s="8">
        <f>IFERROR(__xludf.DUMMYFUNCTION("""COMPUTED_VALUE"""),0.091)</f>
        <v>0.091</v>
      </c>
      <c r="E11948" s="8" t="str">
        <f>IFERROR(__xludf.DUMMYFUNCTION("""COMPUTED_VALUE"""),"Real")</f>
        <v>Real</v>
      </c>
      <c r="G11948" s="8">
        <f t="shared" si="1"/>
        <v>3</v>
      </c>
      <c r="H11948" s="14">
        <f t="shared" si="2"/>
        <v>12</v>
      </c>
      <c r="I11948" s="15">
        <f t="shared" si="3"/>
        <v>19</v>
      </c>
    </row>
    <row r="11949">
      <c r="A11949" s="8" t="str">
        <f>IFERROR(__xludf.DUMMYFUNCTION("IF('(INGESTA)Datos_consumo_datadis'!A11949&lt;&gt;"""",SPLIT('(INGESTA)Datos_consumo_datadis'!A:A,"",""),"""")"),"ES0031408323131005HX0F")</f>
        <v>ES0031408323131005HX0F</v>
      </c>
      <c r="B11949" s="12">
        <f>IFERROR(__xludf.DUMMYFUNCTION("""COMPUTED_VALUE"""),45363.0)</f>
        <v>45363</v>
      </c>
      <c r="C11949" s="13">
        <f>IFERROR(__xludf.DUMMYFUNCTION("""COMPUTED_VALUE"""),0.8333333333333334)</f>
        <v>0.8333333333</v>
      </c>
      <c r="D11949" s="8">
        <f>IFERROR(__xludf.DUMMYFUNCTION("""COMPUTED_VALUE"""),0.377)</f>
        <v>0.377</v>
      </c>
      <c r="E11949" s="8" t="str">
        <f>IFERROR(__xludf.DUMMYFUNCTION("""COMPUTED_VALUE"""),"Real")</f>
        <v>Real</v>
      </c>
      <c r="G11949" s="8">
        <f t="shared" si="1"/>
        <v>3</v>
      </c>
      <c r="H11949" s="14">
        <f t="shared" si="2"/>
        <v>12</v>
      </c>
      <c r="I11949" s="15">
        <f t="shared" si="3"/>
        <v>20</v>
      </c>
    </row>
    <row r="11950">
      <c r="A11950" s="8" t="str">
        <f>IFERROR(__xludf.DUMMYFUNCTION("IF('(INGESTA)Datos_consumo_datadis'!A11950&lt;&gt;"""",SPLIT('(INGESTA)Datos_consumo_datadis'!A:A,"",""),"""")"),"ES0031408323131005HX0F")</f>
        <v>ES0031408323131005HX0F</v>
      </c>
      <c r="B11950" s="12">
        <f>IFERROR(__xludf.DUMMYFUNCTION("""COMPUTED_VALUE"""),45363.0)</f>
        <v>45363</v>
      </c>
      <c r="C11950" s="13">
        <f>IFERROR(__xludf.DUMMYFUNCTION("""COMPUTED_VALUE"""),0.875)</f>
        <v>0.875</v>
      </c>
      <c r="D11950" s="8">
        <f>IFERROR(__xludf.DUMMYFUNCTION("""COMPUTED_VALUE"""),0.467)</f>
        <v>0.467</v>
      </c>
      <c r="E11950" s="8" t="str">
        <f>IFERROR(__xludf.DUMMYFUNCTION("""COMPUTED_VALUE"""),"Real")</f>
        <v>Real</v>
      </c>
      <c r="G11950" s="8">
        <f t="shared" si="1"/>
        <v>3</v>
      </c>
      <c r="H11950" s="14">
        <f t="shared" si="2"/>
        <v>12</v>
      </c>
      <c r="I11950" s="15">
        <f t="shared" si="3"/>
        <v>21</v>
      </c>
    </row>
    <row r="11951">
      <c r="A11951" s="8" t="str">
        <f>IFERROR(__xludf.DUMMYFUNCTION("IF('(INGESTA)Datos_consumo_datadis'!A11951&lt;&gt;"""",SPLIT('(INGESTA)Datos_consumo_datadis'!A:A,"",""),"""")"),"ES0031408323131005HX0F")</f>
        <v>ES0031408323131005HX0F</v>
      </c>
      <c r="B11951" s="12">
        <f>IFERROR(__xludf.DUMMYFUNCTION("""COMPUTED_VALUE"""),45363.0)</f>
        <v>45363</v>
      </c>
      <c r="C11951" s="13">
        <f>IFERROR(__xludf.DUMMYFUNCTION("""COMPUTED_VALUE"""),0.9166666666666666)</f>
        <v>0.9166666667</v>
      </c>
      <c r="D11951" s="8">
        <f>IFERROR(__xludf.DUMMYFUNCTION("""COMPUTED_VALUE"""),2.207)</f>
        <v>2.207</v>
      </c>
      <c r="E11951" s="8" t="str">
        <f>IFERROR(__xludf.DUMMYFUNCTION("""COMPUTED_VALUE"""),"Real")</f>
        <v>Real</v>
      </c>
      <c r="G11951" s="8">
        <f t="shared" si="1"/>
        <v>3</v>
      </c>
      <c r="H11951" s="14">
        <f t="shared" si="2"/>
        <v>12</v>
      </c>
      <c r="I11951" s="15">
        <f t="shared" si="3"/>
        <v>22</v>
      </c>
    </row>
    <row r="11952">
      <c r="A11952" s="8" t="str">
        <f>IFERROR(__xludf.DUMMYFUNCTION("IF('(INGESTA)Datos_consumo_datadis'!A11952&lt;&gt;"""",SPLIT('(INGESTA)Datos_consumo_datadis'!A:A,"",""),"""")"),"ES0031408323131005HX0F")</f>
        <v>ES0031408323131005HX0F</v>
      </c>
      <c r="B11952" s="12">
        <f>IFERROR(__xludf.DUMMYFUNCTION("""COMPUTED_VALUE"""),45363.0)</f>
        <v>45363</v>
      </c>
      <c r="C11952" s="13">
        <f>IFERROR(__xludf.DUMMYFUNCTION("""COMPUTED_VALUE"""),0.9583333333333334)</f>
        <v>0.9583333333</v>
      </c>
      <c r="D11952" s="8">
        <f>IFERROR(__xludf.DUMMYFUNCTION("""COMPUTED_VALUE"""),1.801)</f>
        <v>1.801</v>
      </c>
      <c r="E11952" s="8" t="str">
        <f>IFERROR(__xludf.DUMMYFUNCTION("""COMPUTED_VALUE"""),"Real")</f>
        <v>Real</v>
      </c>
      <c r="G11952" s="8">
        <f t="shared" si="1"/>
        <v>3</v>
      </c>
      <c r="H11952" s="14">
        <f t="shared" si="2"/>
        <v>12</v>
      </c>
      <c r="I11952" s="15">
        <f t="shared" si="3"/>
        <v>23</v>
      </c>
    </row>
    <row r="11953">
      <c r="A11953" s="8" t="str">
        <f>IFERROR(__xludf.DUMMYFUNCTION("IF('(INGESTA)Datos_consumo_datadis'!A11953&lt;&gt;"""",SPLIT('(INGESTA)Datos_consumo_datadis'!A:A,"",""),"""")"),"ES0031408323131005HX0F")</f>
        <v>ES0031408323131005HX0F</v>
      </c>
      <c r="B11953" s="12">
        <f>IFERROR(__xludf.DUMMYFUNCTION("""COMPUTED_VALUE"""),45363.0)</f>
        <v>45363</v>
      </c>
      <c r="C11953" s="16">
        <f>IFERROR(__xludf.DUMMYFUNCTION("""COMPUTED_VALUE"""),1.0)</f>
        <v>1</v>
      </c>
      <c r="D11953" s="8">
        <f>IFERROR(__xludf.DUMMYFUNCTION("""COMPUTED_VALUE"""),1.258)</f>
        <v>1.258</v>
      </c>
      <c r="E11953" s="8" t="str">
        <f>IFERROR(__xludf.DUMMYFUNCTION("""COMPUTED_VALUE"""),"Real")</f>
        <v>Real</v>
      </c>
      <c r="G11953" s="8">
        <f t="shared" si="1"/>
        <v>3</v>
      </c>
      <c r="H11953" s="14">
        <f t="shared" si="2"/>
        <v>12</v>
      </c>
      <c r="I11953" s="15">
        <f t="shared" si="3"/>
        <v>0</v>
      </c>
    </row>
    <row r="11954">
      <c r="A11954" s="8" t="str">
        <f>IFERROR(__xludf.DUMMYFUNCTION("IF('(INGESTA)Datos_consumo_datadis'!A11954&lt;&gt;"""",SPLIT('(INGESTA)Datos_consumo_datadis'!A:A,"",""),"""")"),"ES0031408323131005HX0F")</f>
        <v>ES0031408323131005HX0F</v>
      </c>
      <c r="B11954" s="12">
        <f>IFERROR(__xludf.DUMMYFUNCTION("""COMPUTED_VALUE"""),45364.0)</f>
        <v>45364</v>
      </c>
      <c r="C11954" s="13">
        <f>IFERROR(__xludf.DUMMYFUNCTION("""COMPUTED_VALUE"""),0.041666666666666664)</f>
        <v>0.04166666667</v>
      </c>
      <c r="D11954" s="8">
        <f>IFERROR(__xludf.DUMMYFUNCTION("""COMPUTED_VALUE"""),1.382)</f>
        <v>1.382</v>
      </c>
      <c r="E11954" s="8" t="str">
        <f>IFERROR(__xludf.DUMMYFUNCTION("""COMPUTED_VALUE"""),"Real")</f>
        <v>Real</v>
      </c>
      <c r="G11954" s="8">
        <f t="shared" si="1"/>
        <v>3</v>
      </c>
      <c r="H11954" s="14">
        <f t="shared" si="2"/>
        <v>13</v>
      </c>
      <c r="I11954" s="15">
        <f t="shared" si="3"/>
        <v>1</v>
      </c>
    </row>
    <row r="11955">
      <c r="A11955" s="8" t="str">
        <f>IFERROR(__xludf.DUMMYFUNCTION("IF('(INGESTA)Datos_consumo_datadis'!A11955&lt;&gt;"""",SPLIT('(INGESTA)Datos_consumo_datadis'!A:A,"",""),"""")"),"ES0031408323131005HX0F")</f>
        <v>ES0031408323131005HX0F</v>
      </c>
      <c r="B11955" s="12">
        <f>IFERROR(__xludf.DUMMYFUNCTION("""COMPUTED_VALUE"""),45364.0)</f>
        <v>45364</v>
      </c>
      <c r="C11955" s="13">
        <f>IFERROR(__xludf.DUMMYFUNCTION("""COMPUTED_VALUE"""),0.08333333333333333)</f>
        <v>0.08333333333</v>
      </c>
      <c r="D11955" s="8">
        <f>IFERROR(__xludf.DUMMYFUNCTION("""COMPUTED_VALUE"""),0.924)</f>
        <v>0.924</v>
      </c>
      <c r="E11955" s="8" t="str">
        <f>IFERROR(__xludf.DUMMYFUNCTION("""COMPUTED_VALUE"""),"Real")</f>
        <v>Real</v>
      </c>
      <c r="G11955" s="8">
        <f t="shared" si="1"/>
        <v>3</v>
      </c>
      <c r="H11955" s="14">
        <f t="shared" si="2"/>
        <v>13</v>
      </c>
      <c r="I11955" s="15">
        <f t="shared" si="3"/>
        <v>2</v>
      </c>
    </row>
    <row r="11956">
      <c r="A11956" s="8" t="str">
        <f>IFERROR(__xludf.DUMMYFUNCTION("IF('(INGESTA)Datos_consumo_datadis'!A11956&lt;&gt;"""",SPLIT('(INGESTA)Datos_consumo_datadis'!A:A,"",""),"""")"),"ES0031408323131005HX0F")</f>
        <v>ES0031408323131005HX0F</v>
      </c>
      <c r="B11956" s="12">
        <f>IFERROR(__xludf.DUMMYFUNCTION("""COMPUTED_VALUE"""),45364.0)</f>
        <v>45364</v>
      </c>
      <c r="C11956" s="13">
        <f>IFERROR(__xludf.DUMMYFUNCTION("""COMPUTED_VALUE"""),0.125)</f>
        <v>0.125</v>
      </c>
      <c r="D11956" s="8">
        <f>IFERROR(__xludf.DUMMYFUNCTION("""COMPUTED_VALUE"""),0.242)</f>
        <v>0.242</v>
      </c>
      <c r="E11956" s="8" t="str">
        <f>IFERROR(__xludf.DUMMYFUNCTION("""COMPUTED_VALUE"""),"Real")</f>
        <v>Real</v>
      </c>
      <c r="G11956" s="8">
        <f t="shared" si="1"/>
        <v>3</v>
      </c>
      <c r="H11956" s="14">
        <f t="shared" si="2"/>
        <v>13</v>
      </c>
      <c r="I11956" s="15">
        <f t="shared" si="3"/>
        <v>3</v>
      </c>
    </row>
    <row r="11957">
      <c r="A11957" s="8" t="str">
        <f>IFERROR(__xludf.DUMMYFUNCTION("IF('(INGESTA)Datos_consumo_datadis'!A11957&lt;&gt;"""",SPLIT('(INGESTA)Datos_consumo_datadis'!A:A,"",""),"""")"),"ES0031408323131005HX0F")</f>
        <v>ES0031408323131005HX0F</v>
      </c>
      <c r="B11957" s="12">
        <f>IFERROR(__xludf.DUMMYFUNCTION("""COMPUTED_VALUE"""),45364.0)</f>
        <v>45364</v>
      </c>
      <c r="C11957" s="13">
        <f>IFERROR(__xludf.DUMMYFUNCTION("""COMPUTED_VALUE"""),0.16666666666666666)</f>
        <v>0.1666666667</v>
      </c>
      <c r="D11957" s="8">
        <f>IFERROR(__xludf.DUMMYFUNCTION("""COMPUTED_VALUE"""),0.067)</f>
        <v>0.067</v>
      </c>
      <c r="E11957" s="8" t="str">
        <f>IFERROR(__xludf.DUMMYFUNCTION("""COMPUTED_VALUE"""),"Real")</f>
        <v>Real</v>
      </c>
      <c r="G11957" s="8">
        <f t="shared" si="1"/>
        <v>3</v>
      </c>
      <c r="H11957" s="14">
        <f t="shared" si="2"/>
        <v>13</v>
      </c>
      <c r="I11957" s="15">
        <f t="shared" si="3"/>
        <v>4</v>
      </c>
    </row>
    <row r="11958">
      <c r="A11958" s="8" t="str">
        <f>IFERROR(__xludf.DUMMYFUNCTION("IF('(INGESTA)Datos_consumo_datadis'!A11958&lt;&gt;"""",SPLIT('(INGESTA)Datos_consumo_datadis'!A:A,"",""),"""")"),"ES0031408323131005HX0F")</f>
        <v>ES0031408323131005HX0F</v>
      </c>
      <c r="B11958" s="12">
        <f>IFERROR(__xludf.DUMMYFUNCTION("""COMPUTED_VALUE"""),45364.0)</f>
        <v>45364</v>
      </c>
      <c r="C11958" s="13">
        <f>IFERROR(__xludf.DUMMYFUNCTION("""COMPUTED_VALUE"""),0.20833333333333334)</f>
        <v>0.2083333333</v>
      </c>
      <c r="D11958" s="8">
        <f>IFERROR(__xludf.DUMMYFUNCTION("""COMPUTED_VALUE"""),0.334)</f>
        <v>0.334</v>
      </c>
      <c r="E11958" s="8" t="str">
        <f>IFERROR(__xludf.DUMMYFUNCTION("""COMPUTED_VALUE"""),"Real")</f>
        <v>Real</v>
      </c>
      <c r="G11958" s="8">
        <f t="shared" si="1"/>
        <v>3</v>
      </c>
      <c r="H11958" s="14">
        <f t="shared" si="2"/>
        <v>13</v>
      </c>
      <c r="I11958" s="15">
        <f t="shared" si="3"/>
        <v>5</v>
      </c>
    </row>
    <row r="11959">
      <c r="A11959" s="8" t="str">
        <f>IFERROR(__xludf.DUMMYFUNCTION("IF('(INGESTA)Datos_consumo_datadis'!A11959&lt;&gt;"""",SPLIT('(INGESTA)Datos_consumo_datadis'!A:A,"",""),"""")"),"ES0031408323131005HX0F")</f>
        <v>ES0031408323131005HX0F</v>
      </c>
      <c r="B11959" s="12">
        <f>IFERROR(__xludf.DUMMYFUNCTION("""COMPUTED_VALUE"""),45364.0)</f>
        <v>45364</v>
      </c>
      <c r="C11959" s="13">
        <f>IFERROR(__xludf.DUMMYFUNCTION("""COMPUTED_VALUE"""),0.25)</f>
        <v>0.25</v>
      </c>
      <c r="D11959" s="8">
        <f>IFERROR(__xludf.DUMMYFUNCTION("""COMPUTED_VALUE"""),0.053)</f>
        <v>0.053</v>
      </c>
      <c r="E11959" s="8" t="str">
        <f>IFERROR(__xludf.DUMMYFUNCTION("""COMPUTED_VALUE"""),"Real")</f>
        <v>Real</v>
      </c>
      <c r="G11959" s="8">
        <f t="shared" si="1"/>
        <v>3</v>
      </c>
      <c r="H11959" s="14">
        <f t="shared" si="2"/>
        <v>13</v>
      </c>
      <c r="I11959" s="15">
        <f t="shared" si="3"/>
        <v>6</v>
      </c>
    </row>
    <row r="11960">
      <c r="A11960" s="8" t="str">
        <f>IFERROR(__xludf.DUMMYFUNCTION("IF('(INGESTA)Datos_consumo_datadis'!A11960&lt;&gt;"""",SPLIT('(INGESTA)Datos_consumo_datadis'!A:A,"",""),"""")"),"ES0031408323131005HX0F")</f>
        <v>ES0031408323131005HX0F</v>
      </c>
      <c r="B11960" s="12">
        <f>IFERROR(__xludf.DUMMYFUNCTION("""COMPUTED_VALUE"""),45364.0)</f>
        <v>45364</v>
      </c>
      <c r="C11960" s="13">
        <f>IFERROR(__xludf.DUMMYFUNCTION("""COMPUTED_VALUE"""),0.2916666666666667)</f>
        <v>0.2916666667</v>
      </c>
      <c r="D11960" s="8">
        <f>IFERROR(__xludf.DUMMYFUNCTION("""COMPUTED_VALUE"""),1.223)</f>
        <v>1.223</v>
      </c>
      <c r="E11960" s="8" t="str">
        <f>IFERROR(__xludf.DUMMYFUNCTION("""COMPUTED_VALUE"""),"Real")</f>
        <v>Real</v>
      </c>
      <c r="G11960" s="8">
        <f t="shared" si="1"/>
        <v>3</v>
      </c>
      <c r="H11960" s="14">
        <f t="shared" si="2"/>
        <v>13</v>
      </c>
      <c r="I11960" s="15">
        <f t="shared" si="3"/>
        <v>7</v>
      </c>
    </row>
    <row r="11961">
      <c r="A11961" s="8" t="str">
        <f>IFERROR(__xludf.DUMMYFUNCTION("IF('(INGESTA)Datos_consumo_datadis'!A11961&lt;&gt;"""",SPLIT('(INGESTA)Datos_consumo_datadis'!A:A,"",""),"""")"),"ES0031408323131005HX0F")</f>
        <v>ES0031408323131005HX0F</v>
      </c>
      <c r="B11961" s="12">
        <f>IFERROR(__xludf.DUMMYFUNCTION("""COMPUTED_VALUE"""),45364.0)</f>
        <v>45364</v>
      </c>
      <c r="C11961" s="13">
        <f>IFERROR(__xludf.DUMMYFUNCTION("""COMPUTED_VALUE"""),0.3333333333333333)</f>
        <v>0.3333333333</v>
      </c>
      <c r="D11961" s="8">
        <f>IFERROR(__xludf.DUMMYFUNCTION("""COMPUTED_VALUE"""),0.703)</f>
        <v>0.703</v>
      </c>
      <c r="E11961" s="8" t="str">
        <f>IFERROR(__xludf.DUMMYFUNCTION("""COMPUTED_VALUE"""),"Real")</f>
        <v>Real</v>
      </c>
      <c r="G11961" s="8">
        <f t="shared" si="1"/>
        <v>3</v>
      </c>
      <c r="H11961" s="14">
        <f t="shared" si="2"/>
        <v>13</v>
      </c>
      <c r="I11961" s="15">
        <f t="shared" si="3"/>
        <v>8</v>
      </c>
    </row>
    <row r="11962">
      <c r="A11962" s="8" t="str">
        <f>IFERROR(__xludf.DUMMYFUNCTION("IF('(INGESTA)Datos_consumo_datadis'!A11962&lt;&gt;"""",SPLIT('(INGESTA)Datos_consumo_datadis'!A:A,"",""),"""")"),"ES0031408323131005HX0F")</f>
        <v>ES0031408323131005HX0F</v>
      </c>
      <c r="B11962" s="12">
        <f>IFERROR(__xludf.DUMMYFUNCTION("""COMPUTED_VALUE"""),45364.0)</f>
        <v>45364</v>
      </c>
      <c r="C11962" s="13">
        <f>IFERROR(__xludf.DUMMYFUNCTION("""COMPUTED_VALUE"""),0.375)</f>
        <v>0.375</v>
      </c>
      <c r="D11962" s="8">
        <f>IFERROR(__xludf.DUMMYFUNCTION("""COMPUTED_VALUE"""),0.028)</f>
        <v>0.028</v>
      </c>
      <c r="E11962" s="8" t="str">
        <f>IFERROR(__xludf.DUMMYFUNCTION("""COMPUTED_VALUE"""),"Real")</f>
        <v>Real</v>
      </c>
      <c r="G11962" s="8">
        <f t="shared" si="1"/>
        <v>3</v>
      </c>
      <c r="H11962" s="14">
        <f t="shared" si="2"/>
        <v>13</v>
      </c>
      <c r="I11962" s="15">
        <f t="shared" si="3"/>
        <v>9</v>
      </c>
    </row>
    <row r="11963">
      <c r="A11963" s="8" t="str">
        <f>IFERROR(__xludf.DUMMYFUNCTION("IF('(INGESTA)Datos_consumo_datadis'!A11963&lt;&gt;"""",SPLIT('(INGESTA)Datos_consumo_datadis'!A:A,"",""),"""")"),"ES0031408323131005HX0F")</f>
        <v>ES0031408323131005HX0F</v>
      </c>
      <c r="B11963" s="12">
        <f>IFERROR(__xludf.DUMMYFUNCTION("""COMPUTED_VALUE"""),45364.0)</f>
        <v>45364</v>
      </c>
      <c r="C11963" s="13">
        <f>IFERROR(__xludf.DUMMYFUNCTION("""COMPUTED_VALUE"""),0.4166666666666667)</f>
        <v>0.4166666667</v>
      </c>
      <c r="D11963" s="8">
        <f>IFERROR(__xludf.DUMMYFUNCTION("""COMPUTED_VALUE"""),0.097)</f>
        <v>0.097</v>
      </c>
      <c r="E11963" s="8" t="str">
        <f>IFERROR(__xludf.DUMMYFUNCTION("""COMPUTED_VALUE"""),"Real")</f>
        <v>Real</v>
      </c>
      <c r="G11963" s="8">
        <f t="shared" si="1"/>
        <v>3</v>
      </c>
      <c r="H11963" s="14">
        <f t="shared" si="2"/>
        <v>13</v>
      </c>
      <c r="I11963" s="15">
        <f t="shared" si="3"/>
        <v>10</v>
      </c>
    </row>
    <row r="11964">
      <c r="A11964" s="8" t="str">
        <f>IFERROR(__xludf.DUMMYFUNCTION("IF('(INGESTA)Datos_consumo_datadis'!A11964&lt;&gt;"""",SPLIT('(INGESTA)Datos_consumo_datadis'!A:A,"",""),"""")"),"ES0031408323131005HX0F")</f>
        <v>ES0031408323131005HX0F</v>
      </c>
      <c r="B11964" s="12">
        <f>IFERROR(__xludf.DUMMYFUNCTION("""COMPUTED_VALUE"""),45364.0)</f>
        <v>45364</v>
      </c>
      <c r="C11964" s="13">
        <f>IFERROR(__xludf.DUMMYFUNCTION("""COMPUTED_VALUE"""),0.4583333333333333)</f>
        <v>0.4583333333</v>
      </c>
      <c r="D11964" s="8">
        <f>IFERROR(__xludf.DUMMYFUNCTION("""COMPUTED_VALUE"""),0.319)</f>
        <v>0.319</v>
      </c>
      <c r="E11964" s="8" t="str">
        <f>IFERROR(__xludf.DUMMYFUNCTION("""COMPUTED_VALUE"""),"Real")</f>
        <v>Real</v>
      </c>
      <c r="G11964" s="8">
        <f t="shared" si="1"/>
        <v>3</v>
      </c>
      <c r="H11964" s="14">
        <f t="shared" si="2"/>
        <v>13</v>
      </c>
      <c r="I11964" s="15">
        <f t="shared" si="3"/>
        <v>11</v>
      </c>
    </row>
    <row r="11965">
      <c r="A11965" s="8" t="str">
        <f>IFERROR(__xludf.DUMMYFUNCTION("IF('(INGESTA)Datos_consumo_datadis'!A11965&lt;&gt;"""",SPLIT('(INGESTA)Datos_consumo_datadis'!A:A,"",""),"""")"),"ES0031408323131005HX0F")</f>
        <v>ES0031408323131005HX0F</v>
      </c>
      <c r="B11965" s="12">
        <f>IFERROR(__xludf.DUMMYFUNCTION("""COMPUTED_VALUE"""),45364.0)</f>
        <v>45364</v>
      </c>
      <c r="C11965" s="13">
        <f>IFERROR(__xludf.DUMMYFUNCTION("""COMPUTED_VALUE"""),0.5)</f>
        <v>0.5</v>
      </c>
      <c r="D11965" s="8">
        <f>IFERROR(__xludf.DUMMYFUNCTION("""COMPUTED_VALUE"""),0.72)</f>
        <v>0.72</v>
      </c>
      <c r="E11965" s="8" t="str">
        <f>IFERROR(__xludf.DUMMYFUNCTION("""COMPUTED_VALUE"""),"Real")</f>
        <v>Real</v>
      </c>
      <c r="G11965" s="8">
        <f t="shared" si="1"/>
        <v>3</v>
      </c>
      <c r="H11965" s="14">
        <f t="shared" si="2"/>
        <v>13</v>
      </c>
      <c r="I11965" s="15">
        <f t="shared" si="3"/>
        <v>12</v>
      </c>
    </row>
    <row r="11966">
      <c r="A11966" s="8" t="str">
        <f>IFERROR(__xludf.DUMMYFUNCTION("IF('(INGESTA)Datos_consumo_datadis'!A11966&lt;&gt;"""",SPLIT('(INGESTA)Datos_consumo_datadis'!A:A,"",""),"""")"),"ES0031408323131005HX0F")</f>
        <v>ES0031408323131005HX0F</v>
      </c>
      <c r="B11966" s="12">
        <f>IFERROR(__xludf.DUMMYFUNCTION("""COMPUTED_VALUE"""),45364.0)</f>
        <v>45364</v>
      </c>
      <c r="C11966" s="13">
        <f>IFERROR(__xludf.DUMMYFUNCTION("""COMPUTED_VALUE"""),0.5416666666666666)</f>
        <v>0.5416666667</v>
      </c>
      <c r="D11966" s="8">
        <f>IFERROR(__xludf.DUMMYFUNCTION("""COMPUTED_VALUE"""),0.958)</f>
        <v>0.958</v>
      </c>
      <c r="E11966" s="8" t="str">
        <f>IFERROR(__xludf.DUMMYFUNCTION("""COMPUTED_VALUE"""),"Real")</f>
        <v>Real</v>
      </c>
      <c r="G11966" s="8">
        <f t="shared" si="1"/>
        <v>3</v>
      </c>
      <c r="H11966" s="14">
        <f t="shared" si="2"/>
        <v>13</v>
      </c>
      <c r="I11966" s="15">
        <f t="shared" si="3"/>
        <v>13</v>
      </c>
    </row>
    <row r="11967">
      <c r="A11967" s="8" t="str">
        <f>IFERROR(__xludf.DUMMYFUNCTION("IF('(INGESTA)Datos_consumo_datadis'!A11967&lt;&gt;"""",SPLIT('(INGESTA)Datos_consumo_datadis'!A:A,"",""),"""")"),"ES0031408323131005HX0F")</f>
        <v>ES0031408323131005HX0F</v>
      </c>
      <c r="B11967" s="12">
        <f>IFERROR(__xludf.DUMMYFUNCTION("""COMPUTED_VALUE"""),45364.0)</f>
        <v>45364</v>
      </c>
      <c r="C11967" s="13">
        <f>IFERROR(__xludf.DUMMYFUNCTION("""COMPUTED_VALUE"""),0.5833333333333334)</f>
        <v>0.5833333333</v>
      </c>
      <c r="D11967" s="8">
        <f>IFERROR(__xludf.DUMMYFUNCTION("""COMPUTED_VALUE"""),0.123)</f>
        <v>0.123</v>
      </c>
      <c r="E11967" s="8" t="str">
        <f>IFERROR(__xludf.DUMMYFUNCTION("""COMPUTED_VALUE"""),"Real")</f>
        <v>Real</v>
      </c>
      <c r="G11967" s="8">
        <f t="shared" si="1"/>
        <v>3</v>
      </c>
      <c r="H11967" s="14">
        <f t="shared" si="2"/>
        <v>13</v>
      </c>
      <c r="I11967" s="15">
        <f t="shared" si="3"/>
        <v>14</v>
      </c>
    </row>
    <row r="11968">
      <c r="A11968" s="8" t="str">
        <f>IFERROR(__xludf.DUMMYFUNCTION("IF('(INGESTA)Datos_consumo_datadis'!A11968&lt;&gt;"""",SPLIT('(INGESTA)Datos_consumo_datadis'!A:A,"",""),"""")"),"ES0031408323131005HX0F")</f>
        <v>ES0031408323131005HX0F</v>
      </c>
      <c r="B11968" s="12">
        <f>IFERROR(__xludf.DUMMYFUNCTION("""COMPUTED_VALUE"""),45364.0)</f>
        <v>45364</v>
      </c>
      <c r="C11968" s="13">
        <f>IFERROR(__xludf.DUMMYFUNCTION("""COMPUTED_VALUE"""),0.625)</f>
        <v>0.625</v>
      </c>
      <c r="D11968" s="8">
        <f>IFERROR(__xludf.DUMMYFUNCTION("""COMPUTED_VALUE"""),0.914)</f>
        <v>0.914</v>
      </c>
      <c r="E11968" s="8" t="str">
        <f>IFERROR(__xludf.DUMMYFUNCTION("""COMPUTED_VALUE"""),"Real")</f>
        <v>Real</v>
      </c>
      <c r="G11968" s="8">
        <f t="shared" si="1"/>
        <v>3</v>
      </c>
      <c r="H11968" s="14">
        <f t="shared" si="2"/>
        <v>13</v>
      </c>
      <c r="I11968" s="15">
        <f t="shared" si="3"/>
        <v>15</v>
      </c>
    </row>
    <row r="11969">
      <c r="A11969" s="8" t="str">
        <f>IFERROR(__xludf.DUMMYFUNCTION("IF('(INGESTA)Datos_consumo_datadis'!A11969&lt;&gt;"""",SPLIT('(INGESTA)Datos_consumo_datadis'!A:A,"",""),"""")"),"ES0031408323131005HX0F")</f>
        <v>ES0031408323131005HX0F</v>
      </c>
      <c r="B11969" s="12">
        <f>IFERROR(__xludf.DUMMYFUNCTION("""COMPUTED_VALUE"""),45364.0)</f>
        <v>45364</v>
      </c>
      <c r="C11969" s="13">
        <f>IFERROR(__xludf.DUMMYFUNCTION("""COMPUTED_VALUE"""),0.6666666666666666)</f>
        <v>0.6666666667</v>
      </c>
      <c r="D11969" s="8">
        <f>IFERROR(__xludf.DUMMYFUNCTION("""COMPUTED_VALUE"""),0.094)</f>
        <v>0.094</v>
      </c>
      <c r="E11969" s="8" t="str">
        <f>IFERROR(__xludf.DUMMYFUNCTION("""COMPUTED_VALUE"""),"Real")</f>
        <v>Real</v>
      </c>
      <c r="G11969" s="8">
        <f t="shared" si="1"/>
        <v>3</v>
      </c>
      <c r="H11969" s="14">
        <f t="shared" si="2"/>
        <v>13</v>
      </c>
      <c r="I11969" s="15">
        <f t="shared" si="3"/>
        <v>16</v>
      </c>
    </row>
    <row r="11970">
      <c r="A11970" s="8" t="str">
        <f>IFERROR(__xludf.DUMMYFUNCTION("IF('(INGESTA)Datos_consumo_datadis'!A11970&lt;&gt;"""",SPLIT('(INGESTA)Datos_consumo_datadis'!A:A,"",""),"""")"),"ES0031408323131005HX0F")</f>
        <v>ES0031408323131005HX0F</v>
      </c>
      <c r="B11970" s="12">
        <f>IFERROR(__xludf.DUMMYFUNCTION("""COMPUTED_VALUE"""),45364.0)</f>
        <v>45364</v>
      </c>
      <c r="C11970" s="13">
        <f>IFERROR(__xludf.DUMMYFUNCTION("""COMPUTED_VALUE"""),0.7083333333333334)</f>
        <v>0.7083333333</v>
      </c>
      <c r="D11970" s="8">
        <f>IFERROR(__xludf.DUMMYFUNCTION("""COMPUTED_VALUE"""),0.038)</f>
        <v>0.038</v>
      </c>
      <c r="E11970" s="8" t="str">
        <f>IFERROR(__xludf.DUMMYFUNCTION("""COMPUTED_VALUE"""),"Real")</f>
        <v>Real</v>
      </c>
      <c r="G11970" s="8">
        <f t="shared" si="1"/>
        <v>3</v>
      </c>
      <c r="H11970" s="14">
        <f t="shared" si="2"/>
        <v>13</v>
      </c>
      <c r="I11970" s="15">
        <f t="shared" si="3"/>
        <v>17</v>
      </c>
    </row>
    <row r="11971">
      <c r="A11971" s="8" t="str">
        <f>IFERROR(__xludf.DUMMYFUNCTION("IF('(INGESTA)Datos_consumo_datadis'!A11971&lt;&gt;"""",SPLIT('(INGESTA)Datos_consumo_datadis'!A:A,"",""),"""")"),"ES0031408323131005HX0F")</f>
        <v>ES0031408323131005HX0F</v>
      </c>
      <c r="B11971" s="12">
        <f>IFERROR(__xludf.DUMMYFUNCTION("""COMPUTED_VALUE"""),45364.0)</f>
        <v>45364</v>
      </c>
      <c r="C11971" s="13">
        <f>IFERROR(__xludf.DUMMYFUNCTION("""COMPUTED_VALUE"""),0.75)</f>
        <v>0.75</v>
      </c>
      <c r="D11971" s="8">
        <f>IFERROR(__xludf.DUMMYFUNCTION("""COMPUTED_VALUE"""),0.11)</f>
        <v>0.11</v>
      </c>
      <c r="E11971" s="8" t="str">
        <f>IFERROR(__xludf.DUMMYFUNCTION("""COMPUTED_VALUE"""),"Real")</f>
        <v>Real</v>
      </c>
      <c r="G11971" s="8">
        <f t="shared" si="1"/>
        <v>3</v>
      </c>
      <c r="H11971" s="14">
        <f t="shared" si="2"/>
        <v>13</v>
      </c>
      <c r="I11971" s="15">
        <f t="shared" si="3"/>
        <v>18</v>
      </c>
    </row>
    <row r="11972">
      <c r="A11972" s="8" t="str">
        <f>IFERROR(__xludf.DUMMYFUNCTION("IF('(INGESTA)Datos_consumo_datadis'!A11972&lt;&gt;"""",SPLIT('(INGESTA)Datos_consumo_datadis'!A:A,"",""),"""")"),"ES0031408323131005HX0F")</f>
        <v>ES0031408323131005HX0F</v>
      </c>
      <c r="B11972" s="12">
        <f>IFERROR(__xludf.DUMMYFUNCTION("""COMPUTED_VALUE"""),45364.0)</f>
        <v>45364</v>
      </c>
      <c r="C11972" s="13">
        <f>IFERROR(__xludf.DUMMYFUNCTION("""COMPUTED_VALUE"""),0.7916666666666666)</f>
        <v>0.7916666667</v>
      </c>
      <c r="D11972" s="8">
        <f>IFERROR(__xludf.DUMMYFUNCTION("""COMPUTED_VALUE"""),0.321)</f>
        <v>0.321</v>
      </c>
      <c r="E11972" s="8" t="str">
        <f>IFERROR(__xludf.DUMMYFUNCTION("""COMPUTED_VALUE"""),"Real")</f>
        <v>Real</v>
      </c>
      <c r="G11972" s="8">
        <f t="shared" si="1"/>
        <v>3</v>
      </c>
      <c r="H11972" s="14">
        <f t="shared" si="2"/>
        <v>13</v>
      </c>
      <c r="I11972" s="15">
        <f t="shared" si="3"/>
        <v>19</v>
      </c>
    </row>
    <row r="11973">
      <c r="A11973" s="8" t="str">
        <f>IFERROR(__xludf.DUMMYFUNCTION("IF('(INGESTA)Datos_consumo_datadis'!A11973&lt;&gt;"""",SPLIT('(INGESTA)Datos_consumo_datadis'!A:A,"",""),"""")"),"ES0031408323131005HX0F")</f>
        <v>ES0031408323131005HX0F</v>
      </c>
      <c r="B11973" s="12">
        <f>IFERROR(__xludf.DUMMYFUNCTION("""COMPUTED_VALUE"""),45364.0)</f>
        <v>45364</v>
      </c>
      <c r="C11973" s="13">
        <f>IFERROR(__xludf.DUMMYFUNCTION("""COMPUTED_VALUE"""),0.8333333333333334)</f>
        <v>0.8333333333</v>
      </c>
      <c r="D11973" s="8">
        <f>IFERROR(__xludf.DUMMYFUNCTION("""COMPUTED_VALUE"""),0.604)</f>
        <v>0.604</v>
      </c>
      <c r="E11973" s="8" t="str">
        <f>IFERROR(__xludf.DUMMYFUNCTION("""COMPUTED_VALUE"""),"Real")</f>
        <v>Real</v>
      </c>
      <c r="G11973" s="8">
        <f t="shared" si="1"/>
        <v>3</v>
      </c>
      <c r="H11973" s="14">
        <f t="shared" si="2"/>
        <v>13</v>
      </c>
      <c r="I11973" s="15">
        <f t="shared" si="3"/>
        <v>20</v>
      </c>
    </row>
    <row r="11974">
      <c r="A11974" s="8" t="str">
        <f>IFERROR(__xludf.DUMMYFUNCTION("IF('(INGESTA)Datos_consumo_datadis'!A11974&lt;&gt;"""",SPLIT('(INGESTA)Datos_consumo_datadis'!A:A,"",""),"""")"),"ES0031408323131005HX0F")</f>
        <v>ES0031408323131005HX0F</v>
      </c>
      <c r="B11974" s="12">
        <f>IFERROR(__xludf.DUMMYFUNCTION("""COMPUTED_VALUE"""),45364.0)</f>
        <v>45364</v>
      </c>
      <c r="C11974" s="13">
        <f>IFERROR(__xludf.DUMMYFUNCTION("""COMPUTED_VALUE"""),0.875)</f>
        <v>0.875</v>
      </c>
      <c r="D11974" s="8">
        <f>IFERROR(__xludf.DUMMYFUNCTION("""COMPUTED_VALUE"""),1.903)</f>
        <v>1.903</v>
      </c>
      <c r="E11974" s="8" t="str">
        <f>IFERROR(__xludf.DUMMYFUNCTION("""COMPUTED_VALUE"""),"Real")</f>
        <v>Real</v>
      </c>
      <c r="G11974" s="8">
        <f t="shared" si="1"/>
        <v>3</v>
      </c>
      <c r="H11974" s="14">
        <f t="shared" si="2"/>
        <v>13</v>
      </c>
      <c r="I11974" s="15">
        <f t="shared" si="3"/>
        <v>21</v>
      </c>
    </row>
    <row r="11975">
      <c r="A11975" s="8" t="str">
        <f>IFERROR(__xludf.DUMMYFUNCTION("IF('(INGESTA)Datos_consumo_datadis'!A11975&lt;&gt;"""",SPLIT('(INGESTA)Datos_consumo_datadis'!A:A,"",""),"""")"),"ES0031408323131005HX0F")</f>
        <v>ES0031408323131005HX0F</v>
      </c>
      <c r="B11975" s="12">
        <f>IFERROR(__xludf.DUMMYFUNCTION("""COMPUTED_VALUE"""),45364.0)</f>
        <v>45364</v>
      </c>
      <c r="C11975" s="13">
        <f>IFERROR(__xludf.DUMMYFUNCTION("""COMPUTED_VALUE"""),0.9166666666666666)</f>
        <v>0.9166666667</v>
      </c>
      <c r="D11975" s="8">
        <f>IFERROR(__xludf.DUMMYFUNCTION("""COMPUTED_VALUE"""),1.696)</f>
        <v>1.696</v>
      </c>
      <c r="E11975" s="8" t="str">
        <f>IFERROR(__xludf.DUMMYFUNCTION("""COMPUTED_VALUE"""),"Real")</f>
        <v>Real</v>
      </c>
      <c r="G11975" s="8">
        <f t="shared" si="1"/>
        <v>3</v>
      </c>
      <c r="H11975" s="14">
        <f t="shared" si="2"/>
        <v>13</v>
      </c>
      <c r="I11975" s="15">
        <f t="shared" si="3"/>
        <v>22</v>
      </c>
    </row>
    <row r="11976">
      <c r="A11976" s="8" t="str">
        <f>IFERROR(__xludf.DUMMYFUNCTION("IF('(INGESTA)Datos_consumo_datadis'!A11976&lt;&gt;"""",SPLIT('(INGESTA)Datos_consumo_datadis'!A:A,"",""),"""")"),"ES0031408323131005HX0F")</f>
        <v>ES0031408323131005HX0F</v>
      </c>
      <c r="B11976" s="12">
        <f>IFERROR(__xludf.DUMMYFUNCTION("""COMPUTED_VALUE"""),45364.0)</f>
        <v>45364</v>
      </c>
      <c r="C11976" s="13">
        <f>IFERROR(__xludf.DUMMYFUNCTION("""COMPUTED_VALUE"""),0.9583333333333334)</f>
        <v>0.9583333333</v>
      </c>
      <c r="D11976" s="8">
        <f>IFERROR(__xludf.DUMMYFUNCTION("""COMPUTED_VALUE"""),1.563)</f>
        <v>1.563</v>
      </c>
      <c r="E11976" s="8" t="str">
        <f>IFERROR(__xludf.DUMMYFUNCTION("""COMPUTED_VALUE"""),"Real")</f>
        <v>Real</v>
      </c>
      <c r="G11976" s="8">
        <f t="shared" si="1"/>
        <v>3</v>
      </c>
      <c r="H11976" s="14">
        <f t="shared" si="2"/>
        <v>13</v>
      </c>
      <c r="I11976" s="15">
        <f t="shared" si="3"/>
        <v>23</v>
      </c>
    </row>
    <row r="11977">
      <c r="A11977" s="8" t="str">
        <f>IFERROR(__xludf.DUMMYFUNCTION("IF('(INGESTA)Datos_consumo_datadis'!A11977&lt;&gt;"""",SPLIT('(INGESTA)Datos_consumo_datadis'!A:A,"",""),"""")"),"ES0031408323131005HX0F")</f>
        <v>ES0031408323131005HX0F</v>
      </c>
      <c r="B11977" s="12">
        <f>IFERROR(__xludf.DUMMYFUNCTION("""COMPUTED_VALUE"""),45364.0)</f>
        <v>45364</v>
      </c>
      <c r="C11977" s="16">
        <f>IFERROR(__xludf.DUMMYFUNCTION("""COMPUTED_VALUE"""),1.0)</f>
        <v>1</v>
      </c>
      <c r="D11977" s="8">
        <f>IFERROR(__xludf.DUMMYFUNCTION("""COMPUTED_VALUE"""),1.343)</f>
        <v>1.343</v>
      </c>
      <c r="E11977" s="8" t="str">
        <f>IFERROR(__xludf.DUMMYFUNCTION("""COMPUTED_VALUE"""),"Real")</f>
        <v>Real</v>
      </c>
      <c r="G11977" s="8">
        <f t="shared" si="1"/>
        <v>3</v>
      </c>
      <c r="H11977" s="14">
        <f t="shared" si="2"/>
        <v>13</v>
      </c>
      <c r="I11977" s="15">
        <f t="shared" si="3"/>
        <v>0</v>
      </c>
    </row>
    <row r="11978">
      <c r="A11978" s="8" t="str">
        <f>IFERROR(__xludf.DUMMYFUNCTION("IF('(INGESTA)Datos_consumo_datadis'!A11978&lt;&gt;"""",SPLIT('(INGESTA)Datos_consumo_datadis'!A:A,"",""),"""")"),"ES0031408323131005HX0F")</f>
        <v>ES0031408323131005HX0F</v>
      </c>
      <c r="B11978" s="12">
        <f>IFERROR(__xludf.DUMMYFUNCTION("""COMPUTED_VALUE"""),45365.0)</f>
        <v>45365</v>
      </c>
      <c r="C11978" s="13">
        <f>IFERROR(__xludf.DUMMYFUNCTION("""COMPUTED_VALUE"""),0.041666666666666664)</f>
        <v>0.04166666667</v>
      </c>
      <c r="D11978" s="8">
        <f>IFERROR(__xludf.DUMMYFUNCTION("""COMPUTED_VALUE"""),0.951)</f>
        <v>0.951</v>
      </c>
      <c r="E11978" s="8" t="str">
        <f>IFERROR(__xludf.DUMMYFUNCTION("""COMPUTED_VALUE"""),"Real")</f>
        <v>Real</v>
      </c>
      <c r="G11978" s="8">
        <f t="shared" si="1"/>
        <v>3</v>
      </c>
      <c r="H11978" s="14">
        <f t="shared" si="2"/>
        <v>14</v>
      </c>
      <c r="I11978" s="15">
        <f t="shared" si="3"/>
        <v>1</v>
      </c>
    </row>
    <row r="11979">
      <c r="A11979" s="8" t="str">
        <f>IFERROR(__xludf.DUMMYFUNCTION("IF('(INGESTA)Datos_consumo_datadis'!A11979&lt;&gt;"""",SPLIT('(INGESTA)Datos_consumo_datadis'!A:A,"",""),"""")"),"ES0031408323131005HX0F")</f>
        <v>ES0031408323131005HX0F</v>
      </c>
      <c r="B11979" s="12">
        <f>IFERROR(__xludf.DUMMYFUNCTION("""COMPUTED_VALUE"""),45365.0)</f>
        <v>45365</v>
      </c>
      <c r="C11979" s="13">
        <f>IFERROR(__xludf.DUMMYFUNCTION("""COMPUTED_VALUE"""),0.08333333333333333)</f>
        <v>0.08333333333</v>
      </c>
      <c r="D11979" s="8">
        <f>IFERROR(__xludf.DUMMYFUNCTION("""COMPUTED_VALUE"""),1.156)</f>
        <v>1.156</v>
      </c>
      <c r="E11979" s="8" t="str">
        <f>IFERROR(__xludf.DUMMYFUNCTION("""COMPUTED_VALUE"""),"Real")</f>
        <v>Real</v>
      </c>
      <c r="G11979" s="8">
        <f t="shared" si="1"/>
        <v>3</v>
      </c>
      <c r="H11979" s="14">
        <f t="shared" si="2"/>
        <v>14</v>
      </c>
      <c r="I11979" s="15">
        <f t="shared" si="3"/>
        <v>2</v>
      </c>
    </row>
    <row r="11980">
      <c r="A11980" s="8" t="str">
        <f>IFERROR(__xludf.DUMMYFUNCTION("IF('(INGESTA)Datos_consumo_datadis'!A11980&lt;&gt;"""",SPLIT('(INGESTA)Datos_consumo_datadis'!A:A,"",""),"""")"),"ES0031408323131005HX0F")</f>
        <v>ES0031408323131005HX0F</v>
      </c>
      <c r="B11980" s="12">
        <f>IFERROR(__xludf.DUMMYFUNCTION("""COMPUTED_VALUE"""),45365.0)</f>
        <v>45365</v>
      </c>
      <c r="C11980" s="13">
        <f>IFERROR(__xludf.DUMMYFUNCTION("""COMPUTED_VALUE"""),0.125)</f>
        <v>0.125</v>
      </c>
      <c r="D11980" s="8">
        <f>IFERROR(__xludf.DUMMYFUNCTION("""COMPUTED_VALUE"""),0.858)</f>
        <v>0.858</v>
      </c>
      <c r="E11980" s="8" t="str">
        <f>IFERROR(__xludf.DUMMYFUNCTION("""COMPUTED_VALUE"""),"Real")</f>
        <v>Real</v>
      </c>
      <c r="G11980" s="8">
        <f t="shared" si="1"/>
        <v>3</v>
      </c>
      <c r="H11980" s="14">
        <f t="shared" si="2"/>
        <v>14</v>
      </c>
      <c r="I11980" s="15">
        <f t="shared" si="3"/>
        <v>3</v>
      </c>
    </row>
    <row r="11981">
      <c r="A11981" s="8" t="str">
        <f>IFERROR(__xludf.DUMMYFUNCTION("IF('(INGESTA)Datos_consumo_datadis'!A11981&lt;&gt;"""",SPLIT('(INGESTA)Datos_consumo_datadis'!A:A,"",""),"""")"),"ES0031408323131005HX0F")</f>
        <v>ES0031408323131005HX0F</v>
      </c>
      <c r="B11981" s="12">
        <f>IFERROR(__xludf.DUMMYFUNCTION("""COMPUTED_VALUE"""),45365.0)</f>
        <v>45365</v>
      </c>
      <c r="C11981" s="13">
        <f>IFERROR(__xludf.DUMMYFUNCTION("""COMPUTED_VALUE"""),0.16666666666666666)</f>
        <v>0.1666666667</v>
      </c>
      <c r="D11981" s="8">
        <f>IFERROR(__xludf.DUMMYFUNCTION("""COMPUTED_VALUE"""),0.826)</f>
        <v>0.826</v>
      </c>
      <c r="E11981" s="8" t="str">
        <f>IFERROR(__xludf.DUMMYFUNCTION("""COMPUTED_VALUE"""),"Real")</f>
        <v>Real</v>
      </c>
      <c r="G11981" s="8">
        <f t="shared" si="1"/>
        <v>3</v>
      </c>
      <c r="H11981" s="14">
        <f t="shared" si="2"/>
        <v>14</v>
      </c>
      <c r="I11981" s="15">
        <f t="shared" si="3"/>
        <v>4</v>
      </c>
    </row>
    <row r="11982">
      <c r="A11982" s="8" t="str">
        <f>IFERROR(__xludf.DUMMYFUNCTION("IF('(INGESTA)Datos_consumo_datadis'!A11982&lt;&gt;"""",SPLIT('(INGESTA)Datos_consumo_datadis'!A:A,"",""),"""")"),"ES0031408323131005HX0F")</f>
        <v>ES0031408323131005HX0F</v>
      </c>
      <c r="B11982" s="12">
        <f>IFERROR(__xludf.DUMMYFUNCTION("""COMPUTED_VALUE"""),45365.0)</f>
        <v>45365</v>
      </c>
      <c r="C11982" s="13">
        <f>IFERROR(__xludf.DUMMYFUNCTION("""COMPUTED_VALUE"""),0.20833333333333334)</f>
        <v>0.2083333333</v>
      </c>
      <c r="D11982" s="8">
        <f>IFERROR(__xludf.DUMMYFUNCTION("""COMPUTED_VALUE"""),0.926)</f>
        <v>0.926</v>
      </c>
      <c r="E11982" s="8" t="str">
        <f>IFERROR(__xludf.DUMMYFUNCTION("""COMPUTED_VALUE"""),"Real")</f>
        <v>Real</v>
      </c>
      <c r="G11982" s="8">
        <f t="shared" si="1"/>
        <v>3</v>
      </c>
      <c r="H11982" s="14">
        <f t="shared" si="2"/>
        <v>14</v>
      </c>
      <c r="I11982" s="15">
        <f t="shared" si="3"/>
        <v>5</v>
      </c>
    </row>
    <row r="11983">
      <c r="A11983" s="8" t="str">
        <f>IFERROR(__xludf.DUMMYFUNCTION("IF('(INGESTA)Datos_consumo_datadis'!A11983&lt;&gt;"""",SPLIT('(INGESTA)Datos_consumo_datadis'!A:A,"",""),"""")"),"ES0031408323131005HX0F")</f>
        <v>ES0031408323131005HX0F</v>
      </c>
      <c r="B11983" s="12">
        <f>IFERROR(__xludf.DUMMYFUNCTION("""COMPUTED_VALUE"""),45365.0)</f>
        <v>45365</v>
      </c>
      <c r="C11983" s="13">
        <f>IFERROR(__xludf.DUMMYFUNCTION("""COMPUTED_VALUE"""),0.25)</f>
        <v>0.25</v>
      </c>
      <c r="D11983" s="8">
        <f>IFERROR(__xludf.DUMMYFUNCTION("""COMPUTED_VALUE"""),0.871)</f>
        <v>0.871</v>
      </c>
      <c r="E11983" s="8" t="str">
        <f>IFERROR(__xludf.DUMMYFUNCTION("""COMPUTED_VALUE"""),"Real")</f>
        <v>Real</v>
      </c>
      <c r="G11983" s="8">
        <f t="shared" si="1"/>
        <v>3</v>
      </c>
      <c r="H11983" s="14">
        <f t="shared" si="2"/>
        <v>14</v>
      </c>
      <c r="I11983" s="15">
        <f t="shared" si="3"/>
        <v>6</v>
      </c>
    </row>
    <row r="11984">
      <c r="A11984" s="8" t="str">
        <f>IFERROR(__xludf.DUMMYFUNCTION("IF('(INGESTA)Datos_consumo_datadis'!A11984&lt;&gt;"""",SPLIT('(INGESTA)Datos_consumo_datadis'!A:A,"",""),"""")"),"ES0031408323131005HX0F")</f>
        <v>ES0031408323131005HX0F</v>
      </c>
      <c r="B11984" s="12">
        <f>IFERROR(__xludf.DUMMYFUNCTION("""COMPUTED_VALUE"""),45365.0)</f>
        <v>45365</v>
      </c>
      <c r="C11984" s="13">
        <f>IFERROR(__xludf.DUMMYFUNCTION("""COMPUTED_VALUE"""),0.2916666666666667)</f>
        <v>0.2916666667</v>
      </c>
      <c r="D11984" s="8">
        <f>IFERROR(__xludf.DUMMYFUNCTION("""COMPUTED_VALUE"""),1.325)</f>
        <v>1.325</v>
      </c>
      <c r="E11984" s="8" t="str">
        <f>IFERROR(__xludf.DUMMYFUNCTION("""COMPUTED_VALUE"""),"Real")</f>
        <v>Real</v>
      </c>
      <c r="G11984" s="8">
        <f t="shared" si="1"/>
        <v>3</v>
      </c>
      <c r="H11984" s="14">
        <f t="shared" si="2"/>
        <v>14</v>
      </c>
      <c r="I11984" s="15">
        <f t="shared" si="3"/>
        <v>7</v>
      </c>
    </row>
    <row r="11985">
      <c r="A11985" s="8" t="str">
        <f>IFERROR(__xludf.DUMMYFUNCTION("IF('(INGESTA)Datos_consumo_datadis'!A11985&lt;&gt;"""",SPLIT('(INGESTA)Datos_consumo_datadis'!A:A,"",""),"""")"),"ES0031408323131005HX0F")</f>
        <v>ES0031408323131005HX0F</v>
      </c>
      <c r="B11985" s="12">
        <f>IFERROR(__xludf.DUMMYFUNCTION("""COMPUTED_VALUE"""),45365.0)</f>
        <v>45365</v>
      </c>
      <c r="C11985" s="13">
        <f>IFERROR(__xludf.DUMMYFUNCTION("""COMPUTED_VALUE"""),0.3333333333333333)</f>
        <v>0.3333333333</v>
      </c>
      <c r="D11985" s="8">
        <f>IFERROR(__xludf.DUMMYFUNCTION("""COMPUTED_VALUE"""),0.4)</f>
        <v>0.4</v>
      </c>
      <c r="E11985" s="8" t="str">
        <f>IFERROR(__xludf.DUMMYFUNCTION("""COMPUTED_VALUE"""),"Real")</f>
        <v>Real</v>
      </c>
      <c r="G11985" s="8">
        <f t="shared" si="1"/>
        <v>3</v>
      </c>
      <c r="H11985" s="14">
        <f t="shared" si="2"/>
        <v>14</v>
      </c>
      <c r="I11985" s="15">
        <f t="shared" si="3"/>
        <v>8</v>
      </c>
    </row>
    <row r="11986">
      <c r="A11986" s="8" t="str">
        <f>IFERROR(__xludf.DUMMYFUNCTION("IF('(INGESTA)Datos_consumo_datadis'!A11986&lt;&gt;"""",SPLIT('(INGESTA)Datos_consumo_datadis'!A:A,"",""),"""")"),"ES0031408323131005HX0F")</f>
        <v>ES0031408323131005HX0F</v>
      </c>
      <c r="B11986" s="12">
        <f>IFERROR(__xludf.DUMMYFUNCTION("""COMPUTED_VALUE"""),45365.0)</f>
        <v>45365</v>
      </c>
      <c r="C11986" s="13">
        <f>IFERROR(__xludf.DUMMYFUNCTION("""COMPUTED_VALUE"""),0.375)</f>
        <v>0.375</v>
      </c>
      <c r="D11986" s="8">
        <f>IFERROR(__xludf.DUMMYFUNCTION("""COMPUTED_VALUE"""),0.068)</f>
        <v>0.068</v>
      </c>
      <c r="E11986" s="8" t="str">
        <f>IFERROR(__xludf.DUMMYFUNCTION("""COMPUTED_VALUE"""),"Real")</f>
        <v>Real</v>
      </c>
      <c r="G11986" s="8">
        <f t="shared" si="1"/>
        <v>3</v>
      </c>
      <c r="H11986" s="14">
        <f t="shared" si="2"/>
        <v>14</v>
      </c>
      <c r="I11986" s="15">
        <f t="shared" si="3"/>
        <v>9</v>
      </c>
    </row>
    <row r="11987">
      <c r="A11987" s="8" t="str">
        <f>IFERROR(__xludf.DUMMYFUNCTION("IF('(INGESTA)Datos_consumo_datadis'!A11987&lt;&gt;"""",SPLIT('(INGESTA)Datos_consumo_datadis'!A:A,"",""),"""")"),"ES0031408323131005HX0F")</f>
        <v>ES0031408323131005HX0F</v>
      </c>
      <c r="B11987" s="12">
        <f>IFERROR(__xludf.DUMMYFUNCTION("""COMPUTED_VALUE"""),45365.0)</f>
        <v>45365</v>
      </c>
      <c r="C11987" s="13">
        <f>IFERROR(__xludf.DUMMYFUNCTION("""COMPUTED_VALUE"""),0.4166666666666667)</f>
        <v>0.4166666667</v>
      </c>
      <c r="D11987" s="8">
        <f>IFERROR(__xludf.DUMMYFUNCTION("""COMPUTED_VALUE"""),0.088)</f>
        <v>0.088</v>
      </c>
      <c r="E11987" s="8" t="str">
        <f>IFERROR(__xludf.DUMMYFUNCTION("""COMPUTED_VALUE"""),"Real")</f>
        <v>Real</v>
      </c>
      <c r="G11987" s="8">
        <f t="shared" si="1"/>
        <v>3</v>
      </c>
      <c r="H11987" s="14">
        <f t="shared" si="2"/>
        <v>14</v>
      </c>
      <c r="I11987" s="15">
        <f t="shared" si="3"/>
        <v>10</v>
      </c>
    </row>
    <row r="11988">
      <c r="A11988" s="8" t="str">
        <f>IFERROR(__xludf.DUMMYFUNCTION("IF('(INGESTA)Datos_consumo_datadis'!A11988&lt;&gt;"""",SPLIT('(INGESTA)Datos_consumo_datadis'!A:A,"",""),"""")"),"ES0031408323131005HX0F")</f>
        <v>ES0031408323131005HX0F</v>
      </c>
      <c r="B11988" s="12">
        <f>IFERROR(__xludf.DUMMYFUNCTION("""COMPUTED_VALUE"""),45365.0)</f>
        <v>45365</v>
      </c>
      <c r="C11988" s="13">
        <f>IFERROR(__xludf.DUMMYFUNCTION("""COMPUTED_VALUE"""),0.4583333333333333)</f>
        <v>0.4583333333</v>
      </c>
      <c r="D11988" s="8">
        <f>IFERROR(__xludf.DUMMYFUNCTION("""COMPUTED_VALUE"""),0.105)</f>
        <v>0.105</v>
      </c>
      <c r="E11988" s="8" t="str">
        <f>IFERROR(__xludf.DUMMYFUNCTION("""COMPUTED_VALUE"""),"Real")</f>
        <v>Real</v>
      </c>
      <c r="G11988" s="8">
        <f t="shared" si="1"/>
        <v>3</v>
      </c>
      <c r="H11988" s="14">
        <f t="shared" si="2"/>
        <v>14</v>
      </c>
      <c r="I11988" s="15">
        <f t="shared" si="3"/>
        <v>11</v>
      </c>
    </row>
    <row r="11989">
      <c r="A11989" s="8" t="str">
        <f>IFERROR(__xludf.DUMMYFUNCTION("IF('(INGESTA)Datos_consumo_datadis'!A11989&lt;&gt;"""",SPLIT('(INGESTA)Datos_consumo_datadis'!A:A,"",""),"""")"),"ES0031408323131005HX0F")</f>
        <v>ES0031408323131005HX0F</v>
      </c>
      <c r="B11989" s="12">
        <f>IFERROR(__xludf.DUMMYFUNCTION("""COMPUTED_VALUE"""),45365.0)</f>
        <v>45365</v>
      </c>
      <c r="C11989" s="13">
        <f>IFERROR(__xludf.DUMMYFUNCTION("""COMPUTED_VALUE"""),0.5)</f>
        <v>0.5</v>
      </c>
      <c r="D11989" s="8">
        <f>IFERROR(__xludf.DUMMYFUNCTION("""COMPUTED_VALUE"""),0.967)</f>
        <v>0.967</v>
      </c>
      <c r="E11989" s="8" t="str">
        <f>IFERROR(__xludf.DUMMYFUNCTION("""COMPUTED_VALUE"""),"Real")</f>
        <v>Real</v>
      </c>
      <c r="G11989" s="8">
        <f t="shared" si="1"/>
        <v>3</v>
      </c>
      <c r="H11989" s="14">
        <f t="shared" si="2"/>
        <v>14</v>
      </c>
      <c r="I11989" s="15">
        <f t="shared" si="3"/>
        <v>12</v>
      </c>
    </row>
    <row r="11990">
      <c r="A11990" s="8" t="str">
        <f>IFERROR(__xludf.DUMMYFUNCTION("IF('(INGESTA)Datos_consumo_datadis'!A11990&lt;&gt;"""",SPLIT('(INGESTA)Datos_consumo_datadis'!A:A,"",""),"""")"),"ES0031408323131005HX0F")</f>
        <v>ES0031408323131005HX0F</v>
      </c>
      <c r="B11990" s="12">
        <f>IFERROR(__xludf.DUMMYFUNCTION("""COMPUTED_VALUE"""),45365.0)</f>
        <v>45365</v>
      </c>
      <c r="C11990" s="13">
        <f>IFERROR(__xludf.DUMMYFUNCTION("""COMPUTED_VALUE"""),0.5416666666666666)</f>
        <v>0.5416666667</v>
      </c>
      <c r="D11990" s="8">
        <f>IFERROR(__xludf.DUMMYFUNCTION("""COMPUTED_VALUE"""),0.68)</f>
        <v>0.68</v>
      </c>
      <c r="E11990" s="8" t="str">
        <f>IFERROR(__xludf.DUMMYFUNCTION("""COMPUTED_VALUE"""),"Real")</f>
        <v>Real</v>
      </c>
      <c r="G11990" s="8">
        <f t="shared" si="1"/>
        <v>3</v>
      </c>
      <c r="H11990" s="14">
        <f t="shared" si="2"/>
        <v>14</v>
      </c>
      <c r="I11990" s="15">
        <f t="shared" si="3"/>
        <v>13</v>
      </c>
    </row>
    <row r="11991">
      <c r="A11991" s="8" t="str">
        <f>IFERROR(__xludf.DUMMYFUNCTION("IF('(INGESTA)Datos_consumo_datadis'!A11991&lt;&gt;"""",SPLIT('(INGESTA)Datos_consumo_datadis'!A:A,"",""),"""")"),"ES0031408323131005HX0F")</f>
        <v>ES0031408323131005HX0F</v>
      </c>
      <c r="B11991" s="12">
        <f>IFERROR(__xludf.DUMMYFUNCTION("""COMPUTED_VALUE"""),45365.0)</f>
        <v>45365</v>
      </c>
      <c r="C11991" s="13">
        <f>IFERROR(__xludf.DUMMYFUNCTION("""COMPUTED_VALUE"""),0.5833333333333334)</f>
        <v>0.5833333333</v>
      </c>
      <c r="D11991" s="8">
        <f>IFERROR(__xludf.DUMMYFUNCTION("""COMPUTED_VALUE"""),0.038)</f>
        <v>0.038</v>
      </c>
      <c r="E11991" s="8" t="str">
        <f>IFERROR(__xludf.DUMMYFUNCTION("""COMPUTED_VALUE"""),"Real")</f>
        <v>Real</v>
      </c>
      <c r="G11991" s="8">
        <f t="shared" si="1"/>
        <v>3</v>
      </c>
      <c r="H11991" s="14">
        <f t="shared" si="2"/>
        <v>14</v>
      </c>
      <c r="I11991" s="15">
        <f t="shared" si="3"/>
        <v>14</v>
      </c>
    </row>
    <row r="11992">
      <c r="A11992" s="8" t="str">
        <f>IFERROR(__xludf.DUMMYFUNCTION("IF('(INGESTA)Datos_consumo_datadis'!A11992&lt;&gt;"""",SPLIT('(INGESTA)Datos_consumo_datadis'!A:A,"",""),"""")"),"ES0031408323131005HX0F")</f>
        <v>ES0031408323131005HX0F</v>
      </c>
      <c r="B11992" s="12">
        <f>IFERROR(__xludf.DUMMYFUNCTION("""COMPUTED_VALUE"""),45365.0)</f>
        <v>45365</v>
      </c>
      <c r="C11992" s="13">
        <f>IFERROR(__xludf.DUMMYFUNCTION("""COMPUTED_VALUE"""),0.625)</f>
        <v>0.625</v>
      </c>
      <c r="D11992" s="8">
        <f>IFERROR(__xludf.DUMMYFUNCTION("""COMPUTED_VALUE"""),0.35)</f>
        <v>0.35</v>
      </c>
      <c r="E11992" s="8" t="str">
        <f>IFERROR(__xludf.DUMMYFUNCTION("""COMPUTED_VALUE"""),"Real")</f>
        <v>Real</v>
      </c>
      <c r="G11992" s="8">
        <f t="shared" si="1"/>
        <v>3</v>
      </c>
      <c r="H11992" s="14">
        <f t="shared" si="2"/>
        <v>14</v>
      </c>
      <c r="I11992" s="15">
        <f t="shared" si="3"/>
        <v>15</v>
      </c>
    </row>
    <row r="11993">
      <c r="A11993" s="8" t="str">
        <f>IFERROR(__xludf.DUMMYFUNCTION("IF('(INGESTA)Datos_consumo_datadis'!A11993&lt;&gt;"""",SPLIT('(INGESTA)Datos_consumo_datadis'!A:A,"",""),"""")"),"ES0031408323131005HX0F")</f>
        <v>ES0031408323131005HX0F</v>
      </c>
      <c r="B11993" s="12">
        <f>IFERROR(__xludf.DUMMYFUNCTION("""COMPUTED_VALUE"""),45365.0)</f>
        <v>45365</v>
      </c>
      <c r="C11993" s="13">
        <f>IFERROR(__xludf.DUMMYFUNCTION("""COMPUTED_VALUE"""),0.6666666666666666)</f>
        <v>0.6666666667</v>
      </c>
      <c r="D11993" s="8">
        <f>IFERROR(__xludf.DUMMYFUNCTION("""COMPUTED_VALUE"""),0.91)</f>
        <v>0.91</v>
      </c>
      <c r="E11993" s="8" t="str">
        <f>IFERROR(__xludf.DUMMYFUNCTION("""COMPUTED_VALUE"""),"Real")</f>
        <v>Real</v>
      </c>
      <c r="G11993" s="8">
        <f t="shared" si="1"/>
        <v>3</v>
      </c>
      <c r="H11993" s="14">
        <f t="shared" si="2"/>
        <v>14</v>
      </c>
      <c r="I11993" s="15">
        <f t="shared" si="3"/>
        <v>16</v>
      </c>
    </row>
    <row r="11994">
      <c r="A11994" s="8" t="str">
        <f>IFERROR(__xludf.DUMMYFUNCTION("IF('(INGESTA)Datos_consumo_datadis'!A11994&lt;&gt;"""",SPLIT('(INGESTA)Datos_consumo_datadis'!A:A,"",""),"""")"),"ES0031408323131005HX0F")</f>
        <v>ES0031408323131005HX0F</v>
      </c>
      <c r="B11994" s="12">
        <f>IFERROR(__xludf.DUMMYFUNCTION("""COMPUTED_VALUE"""),45365.0)</f>
        <v>45365</v>
      </c>
      <c r="C11994" s="13">
        <f>IFERROR(__xludf.DUMMYFUNCTION("""COMPUTED_VALUE"""),0.7083333333333334)</f>
        <v>0.7083333333</v>
      </c>
      <c r="D11994" s="8">
        <f>IFERROR(__xludf.DUMMYFUNCTION("""COMPUTED_VALUE"""),0.333)</f>
        <v>0.333</v>
      </c>
      <c r="E11994" s="8" t="str">
        <f>IFERROR(__xludf.DUMMYFUNCTION("""COMPUTED_VALUE"""),"Real")</f>
        <v>Real</v>
      </c>
      <c r="G11994" s="8">
        <f t="shared" si="1"/>
        <v>3</v>
      </c>
      <c r="H11994" s="14">
        <f t="shared" si="2"/>
        <v>14</v>
      </c>
      <c r="I11994" s="15">
        <f t="shared" si="3"/>
        <v>17</v>
      </c>
    </row>
    <row r="11995">
      <c r="A11995" s="8" t="str">
        <f>IFERROR(__xludf.DUMMYFUNCTION("IF('(INGESTA)Datos_consumo_datadis'!A11995&lt;&gt;"""",SPLIT('(INGESTA)Datos_consumo_datadis'!A:A,"",""),"""")"),"ES0031408323131005HX0F")</f>
        <v>ES0031408323131005HX0F</v>
      </c>
      <c r="B11995" s="12">
        <f>IFERROR(__xludf.DUMMYFUNCTION("""COMPUTED_VALUE"""),45365.0)</f>
        <v>45365</v>
      </c>
      <c r="C11995" s="13">
        <f>IFERROR(__xludf.DUMMYFUNCTION("""COMPUTED_VALUE"""),0.75)</f>
        <v>0.75</v>
      </c>
      <c r="D11995" s="8">
        <f>IFERROR(__xludf.DUMMYFUNCTION("""COMPUTED_VALUE"""),0.097)</f>
        <v>0.097</v>
      </c>
      <c r="E11995" s="8" t="str">
        <f>IFERROR(__xludf.DUMMYFUNCTION("""COMPUTED_VALUE"""),"Real")</f>
        <v>Real</v>
      </c>
      <c r="G11995" s="8">
        <f t="shared" si="1"/>
        <v>3</v>
      </c>
      <c r="H11995" s="14">
        <f t="shared" si="2"/>
        <v>14</v>
      </c>
      <c r="I11995" s="15">
        <f t="shared" si="3"/>
        <v>18</v>
      </c>
    </row>
    <row r="11996">
      <c r="A11996" s="8" t="str">
        <f>IFERROR(__xludf.DUMMYFUNCTION("IF('(INGESTA)Datos_consumo_datadis'!A11996&lt;&gt;"""",SPLIT('(INGESTA)Datos_consumo_datadis'!A:A,"",""),"""")"),"ES0031408323131005HX0F")</f>
        <v>ES0031408323131005HX0F</v>
      </c>
      <c r="B11996" s="12">
        <f>IFERROR(__xludf.DUMMYFUNCTION("""COMPUTED_VALUE"""),45365.0)</f>
        <v>45365</v>
      </c>
      <c r="C11996" s="13">
        <f>IFERROR(__xludf.DUMMYFUNCTION("""COMPUTED_VALUE"""),0.7916666666666666)</f>
        <v>0.7916666667</v>
      </c>
      <c r="D11996" s="8">
        <f>IFERROR(__xludf.DUMMYFUNCTION("""COMPUTED_VALUE"""),0.048)</f>
        <v>0.048</v>
      </c>
      <c r="E11996" s="8" t="str">
        <f>IFERROR(__xludf.DUMMYFUNCTION("""COMPUTED_VALUE"""),"Real")</f>
        <v>Real</v>
      </c>
      <c r="G11996" s="8">
        <f t="shared" si="1"/>
        <v>3</v>
      </c>
      <c r="H11996" s="14">
        <f t="shared" si="2"/>
        <v>14</v>
      </c>
      <c r="I11996" s="15">
        <f t="shared" si="3"/>
        <v>19</v>
      </c>
    </row>
    <row r="11997">
      <c r="A11997" s="8" t="str">
        <f>IFERROR(__xludf.DUMMYFUNCTION("IF('(INGESTA)Datos_consumo_datadis'!A11997&lt;&gt;"""",SPLIT('(INGESTA)Datos_consumo_datadis'!A:A,"",""),"""")"),"ES0031408323131005HX0F")</f>
        <v>ES0031408323131005HX0F</v>
      </c>
      <c r="B11997" s="12">
        <f>IFERROR(__xludf.DUMMYFUNCTION("""COMPUTED_VALUE"""),45365.0)</f>
        <v>45365</v>
      </c>
      <c r="C11997" s="13">
        <f>IFERROR(__xludf.DUMMYFUNCTION("""COMPUTED_VALUE"""),0.8333333333333334)</f>
        <v>0.8333333333</v>
      </c>
      <c r="D11997" s="8">
        <f>IFERROR(__xludf.DUMMYFUNCTION("""COMPUTED_VALUE"""),0.072)</f>
        <v>0.072</v>
      </c>
      <c r="E11997" s="8" t="str">
        <f>IFERROR(__xludf.DUMMYFUNCTION("""COMPUTED_VALUE"""),"Real")</f>
        <v>Real</v>
      </c>
      <c r="G11997" s="8">
        <f t="shared" si="1"/>
        <v>3</v>
      </c>
      <c r="H11997" s="14">
        <f t="shared" si="2"/>
        <v>14</v>
      </c>
      <c r="I11997" s="15">
        <f t="shared" si="3"/>
        <v>20</v>
      </c>
    </row>
    <row r="11998">
      <c r="A11998" s="8" t="str">
        <f>IFERROR(__xludf.DUMMYFUNCTION("IF('(INGESTA)Datos_consumo_datadis'!A11998&lt;&gt;"""",SPLIT('(INGESTA)Datos_consumo_datadis'!A:A,"",""),"""")"),"ES0031408323131005HX0F")</f>
        <v>ES0031408323131005HX0F</v>
      </c>
      <c r="B11998" s="12">
        <f>IFERROR(__xludf.DUMMYFUNCTION("""COMPUTED_VALUE"""),45365.0)</f>
        <v>45365</v>
      </c>
      <c r="C11998" s="13">
        <f>IFERROR(__xludf.DUMMYFUNCTION("""COMPUTED_VALUE"""),0.875)</f>
        <v>0.875</v>
      </c>
      <c r="D11998" s="8">
        <f>IFERROR(__xludf.DUMMYFUNCTION("""COMPUTED_VALUE"""),2.371)</f>
        <v>2.371</v>
      </c>
      <c r="E11998" s="8" t="str">
        <f>IFERROR(__xludf.DUMMYFUNCTION("""COMPUTED_VALUE"""),"Real")</f>
        <v>Real</v>
      </c>
      <c r="G11998" s="8">
        <f t="shared" si="1"/>
        <v>3</v>
      </c>
      <c r="H11998" s="14">
        <f t="shared" si="2"/>
        <v>14</v>
      </c>
      <c r="I11998" s="15">
        <f t="shared" si="3"/>
        <v>21</v>
      </c>
    </row>
    <row r="11999">
      <c r="A11999" s="8" t="str">
        <f>IFERROR(__xludf.DUMMYFUNCTION("IF('(INGESTA)Datos_consumo_datadis'!A11999&lt;&gt;"""",SPLIT('(INGESTA)Datos_consumo_datadis'!A:A,"",""),"""")"),"ES0031408323131005HX0F")</f>
        <v>ES0031408323131005HX0F</v>
      </c>
      <c r="B11999" s="12">
        <f>IFERROR(__xludf.DUMMYFUNCTION("""COMPUTED_VALUE"""),45365.0)</f>
        <v>45365</v>
      </c>
      <c r="C11999" s="13">
        <f>IFERROR(__xludf.DUMMYFUNCTION("""COMPUTED_VALUE"""),0.9166666666666666)</f>
        <v>0.9166666667</v>
      </c>
      <c r="D11999" s="8">
        <f>IFERROR(__xludf.DUMMYFUNCTION("""COMPUTED_VALUE"""),1.909)</f>
        <v>1.909</v>
      </c>
      <c r="E11999" s="8" t="str">
        <f>IFERROR(__xludf.DUMMYFUNCTION("""COMPUTED_VALUE"""),"Real")</f>
        <v>Real</v>
      </c>
      <c r="G11999" s="8">
        <f t="shared" si="1"/>
        <v>3</v>
      </c>
      <c r="H11999" s="14">
        <f t="shared" si="2"/>
        <v>14</v>
      </c>
      <c r="I11999" s="15">
        <f t="shared" si="3"/>
        <v>22</v>
      </c>
    </row>
    <row r="12000">
      <c r="A12000" s="8" t="str">
        <f>IFERROR(__xludf.DUMMYFUNCTION("IF('(INGESTA)Datos_consumo_datadis'!A12000&lt;&gt;"""",SPLIT('(INGESTA)Datos_consumo_datadis'!A:A,"",""),"""")"),"ES0031408323131005HX0F")</f>
        <v>ES0031408323131005HX0F</v>
      </c>
      <c r="B12000" s="12">
        <f>IFERROR(__xludf.DUMMYFUNCTION("""COMPUTED_VALUE"""),45365.0)</f>
        <v>45365</v>
      </c>
      <c r="C12000" s="13">
        <f>IFERROR(__xludf.DUMMYFUNCTION("""COMPUTED_VALUE"""),0.9583333333333334)</f>
        <v>0.9583333333</v>
      </c>
      <c r="D12000" s="8">
        <f>IFERROR(__xludf.DUMMYFUNCTION("""COMPUTED_VALUE"""),0.392)</f>
        <v>0.392</v>
      </c>
      <c r="E12000" s="8" t="str">
        <f>IFERROR(__xludf.DUMMYFUNCTION("""COMPUTED_VALUE"""),"Real")</f>
        <v>Real</v>
      </c>
      <c r="G12000" s="8">
        <f t="shared" si="1"/>
        <v>3</v>
      </c>
      <c r="H12000" s="14">
        <f t="shared" si="2"/>
        <v>14</v>
      </c>
      <c r="I12000" s="15">
        <f t="shared" si="3"/>
        <v>23</v>
      </c>
    </row>
    <row r="12001">
      <c r="A12001" s="8" t="str">
        <f>IFERROR(__xludf.DUMMYFUNCTION("IF('(INGESTA)Datos_consumo_datadis'!A12001&lt;&gt;"""",SPLIT('(INGESTA)Datos_consumo_datadis'!A:A,"",""),"""")"),"ES0031408323131005HX0F")</f>
        <v>ES0031408323131005HX0F</v>
      </c>
      <c r="B12001" s="12">
        <f>IFERROR(__xludf.DUMMYFUNCTION("""COMPUTED_VALUE"""),45365.0)</f>
        <v>45365</v>
      </c>
      <c r="C12001" s="16">
        <f>IFERROR(__xludf.DUMMYFUNCTION("""COMPUTED_VALUE"""),1.0)</f>
        <v>1</v>
      </c>
      <c r="D12001" s="8">
        <f>IFERROR(__xludf.DUMMYFUNCTION("""COMPUTED_VALUE"""),0.979)</f>
        <v>0.979</v>
      </c>
      <c r="E12001" s="8" t="str">
        <f>IFERROR(__xludf.DUMMYFUNCTION("""COMPUTED_VALUE"""),"Real")</f>
        <v>Real</v>
      </c>
      <c r="G12001" s="8">
        <f t="shared" si="1"/>
        <v>3</v>
      </c>
      <c r="H12001" s="14">
        <f t="shared" si="2"/>
        <v>14</v>
      </c>
      <c r="I12001" s="15">
        <f t="shared" si="3"/>
        <v>0</v>
      </c>
    </row>
    <row r="12002">
      <c r="A12002" s="8" t="str">
        <f>IFERROR(__xludf.DUMMYFUNCTION("IF('(INGESTA)Datos_consumo_datadis'!A12002&lt;&gt;"""",SPLIT('(INGESTA)Datos_consumo_datadis'!A:A,"",""),"""")"),"ES0031408323131005HX0F")</f>
        <v>ES0031408323131005HX0F</v>
      </c>
      <c r="B12002" s="12">
        <f>IFERROR(__xludf.DUMMYFUNCTION("""COMPUTED_VALUE"""),45366.0)</f>
        <v>45366</v>
      </c>
      <c r="C12002" s="13">
        <f>IFERROR(__xludf.DUMMYFUNCTION("""COMPUTED_VALUE"""),0.041666666666666664)</f>
        <v>0.04166666667</v>
      </c>
      <c r="D12002" s="8">
        <f>IFERROR(__xludf.DUMMYFUNCTION("""COMPUTED_VALUE"""),0.035)</f>
        <v>0.035</v>
      </c>
      <c r="E12002" s="8" t="str">
        <f>IFERROR(__xludf.DUMMYFUNCTION("""COMPUTED_VALUE"""),"Real")</f>
        <v>Real</v>
      </c>
      <c r="G12002" s="8">
        <f t="shared" si="1"/>
        <v>3</v>
      </c>
      <c r="H12002" s="14">
        <f t="shared" si="2"/>
        <v>15</v>
      </c>
      <c r="I12002" s="15">
        <f t="shared" si="3"/>
        <v>1</v>
      </c>
    </row>
    <row r="12003">
      <c r="A12003" s="8" t="str">
        <f>IFERROR(__xludf.DUMMYFUNCTION("IF('(INGESTA)Datos_consumo_datadis'!A12003&lt;&gt;"""",SPLIT('(INGESTA)Datos_consumo_datadis'!A:A,"",""),"""")"),"ES0031408323131005HX0F")</f>
        <v>ES0031408323131005HX0F</v>
      </c>
      <c r="B12003" s="12">
        <f>IFERROR(__xludf.DUMMYFUNCTION("""COMPUTED_VALUE"""),45366.0)</f>
        <v>45366</v>
      </c>
      <c r="C12003" s="13">
        <f>IFERROR(__xludf.DUMMYFUNCTION("""COMPUTED_VALUE"""),0.08333333333333333)</f>
        <v>0.08333333333</v>
      </c>
      <c r="D12003" s="8">
        <f>IFERROR(__xludf.DUMMYFUNCTION("""COMPUTED_VALUE"""),0.097)</f>
        <v>0.097</v>
      </c>
      <c r="E12003" s="8" t="str">
        <f>IFERROR(__xludf.DUMMYFUNCTION("""COMPUTED_VALUE"""),"Real")</f>
        <v>Real</v>
      </c>
      <c r="G12003" s="8">
        <f t="shared" si="1"/>
        <v>3</v>
      </c>
      <c r="H12003" s="14">
        <f t="shared" si="2"/>
        <v>15</v>
      </c>
      <c r="I12003" s="15">
        <f t="shared" si="3"/>
        <v>2</v>
      </c>
    </row>
    <row r="12004">
      <c r="A12004" s="8" t="str">
        <f>IFERROR(__xludf.DUMMYFUNCTION("IF('(INGESTA)Datos_consumo_datadis'!A12004&lt;&gt;"""",SPLIT('(INGESTA)Datos_consumo_datadis'!A:A,"",""),"""")"),"ES0031408323131005HX0F")</f>
        <v>ES0031408323131005HX0F</v>
      </c>
      <c r="B12004" s="12">
        <f>IFERROR(__xludf.DUMMYFUNCTION("""COMPUTED_VALUE"""),45366.0)</f>
        <v>45366</v>
      </c>
      <c r="C12004" s="13">
        <f>IFERROR(__xludf.DUMMYFUNCTION("""COMPUTED_VALUE"""),0.125)</f>
        <v>0.125</v>
      </c>
      <c r="D12004" s="8">
        <f>IFERROR(__xludf.DUMMYFUNCTION("""COMPUTED_VALUE"""),0.096)</f>
        <v>0.096</v>
      </c>
      <c r="E12004" s="8" t="str">
        <f>IFERROR(__xludf.DUMMYFUNCTION("""COMPUTED_VALUE"""),"Real")</f>
        <v>Real</v>
      </c>
      <c r="G12004" s="8">
        <f t="shared" si="1"/>
        <v>3</v>
      </c>
      <c r="H12004" s="14">
        <f t="shared" si="2"/>
        <v>15</v>
      </c>
      <c r="I12004" s="15">
        <f t="shared" si="3"/>
        <v>3</v>
      </c>
    </row>
    <row r="12005">
      <c r="A12005" s="8" t="str">
        <f>IFERROR(__xludf.DUMMYFUNCTION("IF('(INGESTA)Datos_consumo_datadis'!A12005&lt;&gt;"""",SPLIT('(INGESTA)Datos_consumo_datadis'!A:A,"",""),"""")"),"ES0031408323131005HX0F")</f>
        <v>ES0031408323131005HX0F</v>
      </c>
      <c r="B12005" s="12">
        <f>IFERROR(__xludf.DUMMYFUNCTION("""COMPUTED_VALUE"""),45366.0)</f>
        <v>45366</v>
      </c>
      <c r="C12005" s="13">
        <f>IFERROR(__xludf.DUMMYFUNCTION("""COMPUTED_VALUE"""),0.16666666666666666)</f>
        <v>0.1666666667</v>
      </c>
      <c r="D12005" s="8">
        <f>IFERROR(__xludf.DUMMYFUNCTION("""COMPUTED_VALUE"""),0.058)</f>
        <v>0.058</v>
      </c>
      <c r="E12005" s="8" t="str">
        <f>IFERROR(__xludf.DUMMYFUNCTION("""COMPUTED_VALUE"""),"Real")</f>
        <v>Real</v>
      </c>
      <c r="G12005" s="8">
        <f t="shared" si="1"/>
        <v>3</v>
      </c>
      <c r="H12005" s="14">
        <f t="shared" si="2"/>
        <v>15</v>
      </c>
      <c r="I12005" s="15">
        <f t="shared" si="3"/>
        <v>4</v>
      </c>
    </row>
    <row r="12006">
      <c r="A12006" s="8" t="str">
        <f>IFERROR(__xludf.DUMMYFUNCTION("IF('(INGESTA)Datos_consumo_datadis'!A12006&lt;&gt;"""",SPLIT('(INGESTA)Datos_consumo_datadis'!A:A,"",""),"""")"),"ES0031408323131005HX0F")</f>
        <v>ES0031408323131005HX0F</v>
      </c>
      <c r="B12006" s="12">
        <f>IFERROR(__xludf.DUMMYFUNCTION("""COMPUTED_VALUE"""),45366.0)</f>
        <v>45366</v>
      </c>
      <c r="C12006" s="13">
        <f>IFERROR(__xludf.DUMMYFUNCTION("""COMPUTED_VALUE"""),0.20833333333333334)</f>
        <v>0.2083333333</v>
      </c>
      <c r="D12006" s="8">
        <f>IFERROR(__xludf.DUMMYFUNCTION("""COMPUTED_VALUE"""),0.381)</f>
        <v>0.381</v>
      </c>
      <c r="E12006" s="8" t="str">
        <f>IFERROR(__xludf.DUMMYFUNCTION("""COMPUTED_VALUE"""),"Real")</f>
        <v>Real</v>
      </c>
      <c r="G12006" s="8">
        <f t="shared" si="1"/>
        <v>3</v>
      </c>
      <c r="H12006" s="14">
        <f t="shared" si="2"/>
        <v>15</v>
      </c>
      <c r="I12006" s="15">
        <f t="shared" si="3"/>
        <v>5</v>
      </c>
    </row>
    <row r="12007">
      <c r="A12007" s="8" t="str">
        <f>IFERROR(__xludf.DUMMYFUNCTION("IF('(INGESTA)Datos_consumo_datadis'!A12007&lt;&gt;"""",SPLIT('(INGESTA)Datos_consumo_datadis'!A:A,"",""),"""")"),"ES0031408323131005HX0F")</f>
        <v>ES0031408323131005HX0F</v>
      </c>
      <c r="B12007" s="12">
        <f>IFERROR(__xludf.DUMMYFUNCTION("""COMPUTED_VALUE"""),45366.0)</f>
        <v>45366</v>
      </c>
      <c r="C12007" s="13">
        <f>IFERROR(__xludf.DUMMYFUNCTION("""COMPUTED_VALUE"""),0.25)</f>
        <v>0.25</v>
      </c>
      <c r="D12007" s="8">
        <f>IFERROR(__xludf.DUMMYFUNCTION("""COMPUTED_VALUE"""),0.053)</f>
        <v>0.053</v>
      </c>
      <c r="E12007" s="8" t="str">
        <f>IFERROR(__xludf.DUMMYFUNCTION("""COMPUTED_VALUE"""),"Real")</f>
        <v>Real</v>
      </c>
      <c r="G12007" s="8">
        <f t="shared" si="1"/>
        <v>3</v>
      </c>
      <c r="H12007" s="14">
        <f t="shared" si="2"/>
        <v>15</v>
      </c>
      <c r="I12007" s="15">
        <f t="shared" si="3"/>
        <v>6</v>
      </c>
    </row>
    <row r="12008">
      <c r="A12008" s="8" t="str">
        <f>IFERROR(__xludf.DUMMYFUNCTION("IF('(INGESTA)Datos_consumo_datadis'!A12008&lt;&gt;"""",SPLIT('(INGESTA)Datos_consumo_datadis'!A:A,"",""),"""")"),"ES0031408323131005HX0F")</f>
        <v>ES0031408323131005HX0F</v>
      </c>
      <c r="B12008" s="12">
        <f>IFERROR(__xludf.DUMMYFUNCTION("""COMPUTED_VALUE"""),45366.0)</f>
        <v>45366</v>
      </c>
      <c r="C12008" s="13">
        <f>IFERROR(__xludf.DUMMYFUNCTION("""COMPUTED_VALUE"""),0.2916666666666667)</f>
        <v>0.2916666667</v>
      </c>
      <c r="D12008" s="8">
        <f>IFERROR(__xludf.DUMMYFUNCTION("""COMPUTED_VALUE"""),0.68)</f>
        <v>0.68</v>
      </c>
      <c r="E12008" s="8" t="str">
        <f>IFERROR(__xludf.DUMMYFUNCTION("""COMPUTED_VALUE"""),"Real")</f>
        <v>Real</v>
      </c>
      <c r="G12008" s="8">
        <f t="shared" si="1"/>
        <v>3</v>
      </c>
      <c r="H12008" s="14">
        <f t="shared" si="2"/>
        <v>15</v>
      </c>
      <c r="I12008" s="15">
        <f t="shared" si="3"/>
        <v>7</v>
      </c>
    </row>
    <row r="12009">
      <c r="A12009" s="8" t="str">
        <f>IFERROR(__xludf.DUMMYFUNCTION("IF('(INGESTA)Datos_consumo_datadis'!A12009&lt;&gt;"""",SPLIT('(INGESTA)Datos_consumo_datadis'!A:A,"",""),"""")"),"ES0031408323131005HX0F")</f>
        <v>ES0031408323131005HX0F</v>
      </c>
      <c r="B12009" s="12">
        <f>IFERROR(__xludf.DUMMYFUNCTION("""COMPUTED_VALUE"""),45366.0)</f>
        <v>45366</v>
      </c>
      <c r="C12009" s="13">
        <f>IFERROR(__xludf.DUMMYFUNCTION("""COMPUTED_VALUE"""),0.3333333333333333)</f>
        <v>0.3333333333</v>
      </c>
      <c r="D12009" s="8">
        <f>IFERROR(__xludf.DUMMYFUNCTION("""COMPUTED_VALUE"""),1.322)</f>
        <v>1.322</v>
      </c>
      <c r="E12009" s="8" t="str">
        <f>IFERROR(__xludf.DUMMYFUNCTION("""COMPUTED_VALUE"""),"Real")</f>
        <v>Real</v>
      </c>
      <c r="G12009" s="8">
        <f t="shared" si="1"/>
        <v>3</v>
      </c>
      <c r="H12009" s="14">
        <f t="shared" si="2"/>
        <v>15</v>
      </c>
      <c r="I12009" s="15">
        <f t="shared" si="3"/>
        <v>8</v>
      </c>
    </row>
    <row r="12010">
      <c r="A12010" s="8" t="str">
        <f>IFERROR(__xludf.DUMMYFUNCTION("IF('(INGESTA)Datos_consumo_datadis'!A12010&lt;&gt;"""",SPLIT('(INGESTA)Datos_consumo_datadis'!A:A,"",""),"""")"),"ES0031408323131005HX0F")</f>
        <v>ES0031408323131005HX0F</v>
      </c>
      <c r="B12010" s="12">
        <f>IFERROR(__xludf.DUMMYFUNCTION("""COMPUTED_VALUE"""),45366.0)</f>
        <v>45366</v>
      </c>
      <c r="C12010" s="13">
        <f>IFERROR(__xludf.DUMMYFUNCTION("""COMPUTED_VALUE"""),0.375)</f>
        <v>0.375</v>
      </c>
      <c r="D12010" s="8">
        <f>IFERROR(__xludf.DUMMYFUNCTION("""COMPUTED_VALUE"""),0.038)</f>
        <v>0.038</v>
      </c>
      <c r="E12010" s="8" t="str">
        <f>IFERROR(__xludf.DUMMYFUNCTION("""COMPUTED_VALUE"""),"Real")</f>
        <v>Real</v>
      </c>
      <c r="G12010" s="8">
        <f t="shared" si="1"/>
        <v>3</v>
      </c>
      <c r="H12010" s="14">
        <f t="shared" si="2"/>
        <v>15</v>
      </c>
      <c r="I12010" s="15">
        <f t="shared" si="3"/>
        <v>9</v>
      </c>
    </row>
    <row r="12011">
      <c r="A12011" s="8" t="str">
        <f>IFERROR(__xludf.DUMMYFUNCTION("IF('(INGESTA)Datos_consumo_datadis'!A12011&lt;&gt;"""",SPLIT('(INGESTA)Datos_consumo_datadis'!A:A,"",""),"""")"),"ES0031408323131005HX0F")</f>
        <v>ES0031408323131005HX0F</v>
      </c>
      <c r="B12011" s="12">
        <f>IFERROR(__xludf.DUMMYFUNCTION("""COMPUTED_VALUE"""),45366.0)</f>
        <v>45366</v>
      </c>
      <c r="C12011" s="13">
        <f>IFERROR(__xludf.DUMMYFUNCTION("""COMPUTED_VALUE"""),0.4166666666666667)</f>
        <v>0.4166666667</v>
      </c>
      <c r="D12011" s="8">
        <f>IFERROR(__xludf.DUMMYFUNCTION("""COMPUTED_VALUE"""),0.097)</f>
        <v>0.097</v>
      </c>
      <c r="E12011" s="8" t="str">
        <f>IFERROR(__xludf.DUMMYFUNCTION("""COMPUTED_VALUE"""),"Real")</f>
        <v>Real</v>
      </c>
      <c r="G12011" s="8">
        <f t="shared" si="1"/>
        <v>3</v>
      </c>
      <c r="H12011" s="14">
        <f t="shared" si="2"/>
        <v>15</v>
      </c>
      <c r="I12011" s="15">
        <f t="shared" si="3"/>
        <v>10</v>
      </c>
    </row>
    <row r="12012">
      <c r="A12012" s="8" t="str">
        <f>IFERROR(__xludf.DUMMYFUNCTION("IF('(INGESTA)Datos_consumo_datadis'!A12012&lt;&gt;"""",SPLIT('(INGESTA)Datos_consumo_datadis'!A:A,"",""),"""")"),"ES0031408323131005HX0F")</f>
        <v>ES0031408323131005HX0F</v>
      </c>
      <c r="B12012" s="12">
        <f>IFERROR(__xludf.DUMMYFUNCTION("""COMPUTED_VALUE"""),45366.0)</f>
        <v>45366</v>
      </c>
      <c r="C12012" s="13">
        <f>IFERROR(__xludf.DUMMYFUNCTION("""COMPUTED_VALUE"""),0.4583333333333333)</f>
        <v>0.4583333333</v>
      </c>
      <c r="D12012" s="8">
        <f>IFERROR(__xludf.DUMMYFUNCTION("""COMPUTED_VALUE"""),0.055)</f>
        <v>0.055</v>
      </c>
      <c r="E12012" s="8" t="str">
        <f>IFERROR(__xludf.DUMMYFUNCTION("""COMPUTED_VALUE"""),"Real")</f>
        <v>Real</v>
      </c>
      <c r="G12012" s="8">
        <f t="shared" si="1"/>
        <v>3</v>
      </c>
      <c r="H12012" s="14">
        <f t="shared" si="2"/>
        <v>15</v>
      </c>
      <c r="I12012" s="15">
        <f t="shared" si="3"/>
        <v>11</v>
      </c>
    </row>
    <row r="12013">
      <c r="A12013" s="8" t="str">
        <f>IFERROR(__xludf.DUMMYFUNCTION("IF('(INGESTA)Datos_consumo_datadis'!A12013&lt;&gt;"""",SPLIT('(INGESTA)Datos_consumo_datadis'!A:A,"",""),"""")"),"ES0031408323131005HX0F")</f>
        <v>ES0031408323131005HX0F</v>
      </c>
      <c r="B12013" s="12">
        <f>IFERROR(__xludf.DUMMYFUNCTION("""COMPUTED_VALUE"""),45366.0)</f>
        <v>45366</v>
      </c>
      <c r="C12013" s="13">
        <f>IFERROR(__xludf.DUMMYFUNCTION("""COMPUTED_VALUE"""),0.5)</f>
        <v>0.5</v>
      </c>
      <c r="D12013" s="8">
        <f>IFERROR(__xludf.DUMMYFUNCTION("""COMPUTED_VALUE"""),0.859)</f>
        <v>0.859</v>
      </c>
      <c r="E12013" s="8" t="str">
        <f>IFERROR(__xludf.DUMMYFUNCTION("""COMPUTED_VALUE"""),"Real")</f>
        <v>Real</v>
      </c>
      <c r="G12013" s="8">
        <f t="shared" si="1"/>
        <v>3</v>
      </c>
      <c r="H12013" s="14">
        <f t="shared" si="2"/>
        <v>15</v>
      </c>
      <c r="I12013" s="15">
        <f t="shared" si="3"/>
        <v>12</v>
      </c>
    </row>
    <row r="12014">
      <c r="A12014" s="8" t="str">
        <f>IFERROR(__xludf.DUMMYFUNCTION("IF('(INGESTA)Datos_consumo_datadis'!A12014&lt;&gt;"""",SPLIT('(INGESTA)Datos_consumo_datadis'!A:A,"",""),"""")"),"ES0031408323131005HX0F")</f>
        <v>ES0031408323131005HX0F</v>
      </c>
      <c r="B12014" s="12">
        <f>IFERROR(__xludf.DUMMYFUNCTION("""COMPUTED_VALUE"""),45366.0)</f>
        <v>45366</v>
      </c>
      <c r="C12014" s="13">
        <f>IFERROR(__xludf.DUMMYFUNCTION("""COMPUTED_VALUE"""),0.5416666666666666)</f>
        <v>0.5416666667</v>
      </c>
      <c r="D12014" s="8">
        <f>IFERROR(__xludf.DUMMYFUNCTION("""COMPUTED_VALUE"""),0.934)</f>
        <v>0.934</v>
      </c>
      <c r="E12014" s="8" t="str">
        <f>IFERROR(__xludf.DUMMYFUNCTION("""COMPUTED_VALUE"""),"Real")</f>
        <v>Real</v>
      </c>
      <c r="G12014" s="8">
        <f t="shared" si="1"/>
        <v>3</v>
      </c>
      <c r="H12014" s="14">
        <f t="shared" si="2"/>
        <v>15</v>
      </c>
      <c r="I12014" s="15">
        <f t="shared" si="3"/>
        <v>13</v>
      </c>
    </row>
    <row r="12015">
      <c r="A12015" s="8" t="str">
        <f>IFERROR(__xludf.DUMMYFUNCTION("IF('(INGESTA)Datos_consumo_datadis'!A12015&lt;&gt;"""",SPLIT('(INGESTA)Datos_consumo_datadis'!A:A,"",""),"""")"),"ES0031408323131005HX0F")</f>
        <v>ES0031408323131005HX0F</v>
      </c>
      <c r="B12015" s="12">
        <f>IFERROR(__xludf.DUMMYFUNCTION("""COMPUTED_VALUE"""),45366.0)</f>
        <v>45366</v>
      </c>
      <c r="C12015" s="13">
        <f>IFERROR(__xludf.DUMMYFUNCTION("""COMPUTED_VALUE"""),0.5833333333333334)</f>
        <v>0.5833333333</v>
      </c>
      <c r="D12015" s="8">
        <f>IFERROR(__xludf.DUMMYFUNCTION("""COMPUTED_VALUE"""),0.573)</f>
        <v>0.573</v>
      </c>
      <c r="E12015" s="8" t="str">
        <f>IFERROR(__xludf.DUMMYFUNCTION("""COMPUTED_VALUE"""),"Real")</f>
        <v>Real</v>
      </c>
      <c r="G12015" s="8">
        <f t="shared" si="1"/>
        <v>3</v>
      </c>
      <c r="H12015" s="14">
        <f t="shared" si="2"/>
        <v>15</v>
      </c>
      <c r="I12015" s="15">
        <f t="shared" si="3"/>
        <v>14</v>
      </c>
    </row>
    <row r="12016">
      <c r="A12016" s="8" t="str">
        <f>IFERROR(__xludf.DUMMYFUNCTION("IF('(INGESTA)Datos_consumo_datadis'!A12016&lt;&gt;"""",SPLIT('(INGESTA)Datos_consumo_datadis'!A:A,"",""),"""")"),"ES0031408323131005HX0F")</f>
        <v>ES0031408323131005HX0F</v>
      </c>
      <c r="B12016" s="12">
        <f>IFERROR(__xludf.DUMMYFUNCTION("""COMPUTED_VALUE"""),45366.0)</f>
        <v>45366</v>
      </c>
      <c r="C12016" s="13">
        <f>IFERROR(__xludf.DUMMYFUNCTION("""COMPUTED_VALUE"""),0.625)</f>
        <v>0.625</v>
      </c>
      <c r="D12016" s="8">
        <f>IFERROR(__xludf.DUMMYFUNCTION("""COMPUTED_VALUE"""),0.084)</f>
        <v>0.084</v>
      </c>
      <c r="E12016" s="8" t="str">
        <f>IFERROR(__xludf.DUMMYFUNCTION("""COMPUTED_VALUE"""),"Real")</f>
        <v>Real</v>
      </c>
      <c r="G12016" s="8">
        <f t="shared" si="1"/>
        <v>3</v>
      </c>
      <c r="H12016" s="14">
        <f t="shared" si="2"/>
        <v>15</v>
      </c>
      <c r="I12016" s="15">
        <f t="shared" si="3"/>
        <v>15</v>
      </c>
    </row>
    <row r="12017">
      <c r="A12017" s="8" t="str">
        <f>IFERROR(__xludf.DUMMYFUNCTION("IF('(INGESTA)Datos_consumo_datadis'!A12017&lt;&gt;"""",SPLIT('(INGESTA)Datos_consumo_datadis'!A:A,"",""),"""")"),"ES0031408323131005HX0F")</f>
        <v>ES0031408323131005HX0F</v>
      </c>
      <c r="B12017" s="12">
        <f>IFERROR(__xludf.DUMMYFUNCTION("""COMPUTED_VALUE"""),45366.0)</f>
        <v>45366</v>
      </c>
      <c r="C12017" s="13">
        <f>IFERROR(__xludf.DUMMYFUNCTION("""COMPUTED_VALUE"""),0.6666666666666666)</f>
        <v>0.6666666667</v>
      </c>
      <c r="D12017" s="8">
        <f>IFERROR(__xludf.DUMMYFUNCTION("""COMPUTED_VALUE"""),0.284)</f>
        <v>0.284</v>
      </c>
      <c r="E12017" s="8" t="str">
        <f>IFERROR(__xludf.DUMMYFUNCTION("""COMPUTED_VALUE"""),"Real")</f>
        <v>Real</v>
      </c>
      <c r="G12017" s="8">
        <f t="shared" si="1"/>
        <v>3</v>
      </c>
      <c r="H12017" s="14">
        <f t="shared" si="2"/>
        <v>15</v>
      </c>
      <c r="I12017" s="15">
        <f t="shared" si="3"/>
        <v>16</v>
      </c>
    </row>
    <row r="12018">
      <c r="A12018" s="8" t="str">
        <f>IFERROR(__xludf.DUMMYFUNCTION("IF('(INGESTA)Datos_consumo_datadis'!A12018&lt;&gt;"""",SPLIT('(INGESTA)Datos_consumo_datadis'!A:A,"",""),"""")"),"ES0031408323131005HX0F")</f>
        <v>ES0031408323131005HX0F</v>
      </c>
      <c r="B12018" s="12">
        <f>IFERROR(__xludf.DUMMYFUNCTION("""COMPUTED_VALUE"""),45366.0)</f>
        <v>45366</v>
      </c>
      <c r="C12018" s="13">
        <f>IFERROR(__xludf.DUMMYFUNCTION("""COMPUTED_VALUE"""),0.7083333333333334)</f>
        <v>0.7083333333</v>
      </c>
      <c r="D12018" s="8">
        <f>IFERROR(__xludf.DUMMYFUNCTION("""COMPUTED_VALUE"""),2.385)</f>
        <v>2.385</v>
      </c>
      <c r="E12018" s="8" t="str">
        <f>IFERROR(__xludf.DUMMYFUNCTION("""COMPUTED_VALUE"""),"Real")</f>
        <v>Real</v>
      </c>
      <c r="G12018" s="8">
        <f t="shared" si="1"/>
        <v>3</v>
      </c>
      <c r="H12018" s="14">
        <f t="shared" si="2"/>
        <v>15</v>
      </c>
      <c r="I12018" s="15">
        <f t="shared" si="3"/>
        <v>17</v>
      </c>
    </row>
    <row r="12019">
      <c r="A12019" s="8" t="str">
        <f>IFERROR(__xludf.DUMMYFUNCTION("IF('(INGESTA)Datos_consumo_datadis'!A12019&lt;&gt;"""",SPLIT('(INGESTA)Datos_consumo_datadis'!A:A,"",""),"""")"),"ES0031408323131005HX0F")</f>
        <v>ES0031408323131005HX0F</v>
      </c>
      <c r="B12019" s="12">
        <f>IFERROR(__xludf.DUMMYFUNCTION("""COMPUTED_VALUE"""),45366.0)</f>
        <v>45366</v>
      </c>
      <c r="C12019" s="13">
        <f>IFERROR(__xludf.DUMMYFUNCTION("""COMPUTED_VALUE"""),0.75)</f>
        <v>0.75</v>
      </c>
      <c r="D12019" s="8">
        <f>IFERROR(__xludf.DUMMYFUNCTION("""COMPUTED_VALUE"""),0.102)</f>
        <v>0.102</v>
      </c>
      <c r="E12019" s="8" t="str">
        <f>IFERROR(__xludf.DUMMYFUNCTION("""COMPUTED_VALUE"""),"Real")</f>
        <v>Real</v>
      </c>
      <c r="G12019" s="8">
        <f t="shared" si="1"/>
        <v>3</v>
      </c>
      <c r="H12019" s="14">
        <f t="shared" si="2"/>
        <v>15</v>
      </c>
      <c r="I12019" s="15">
        <f t="shared" si="3"/>
        <v>18</v>
      </c>
    </row>
    <row r="12020">
      <c r="A12020" s="8" t="str">
        <f>IFERROR(__xludf.DUMMYFUNCTION("IF('(INGESTA)Datos_consumo_datadis'!A12020&lt;&gt;"""",SPLIT('(INGESTA)Datos_consumo_datadis'!A:A,"",""),"""")"),"ES0031408323131005HX0F")</f>
        <v>ES0031408323131005HX0F</v>
      </c>
      <c r="B12020" s="12">
        <f>IFERROR(__xludf.DUMMYFUNCTION("""COMPUTED_VALUE"""),45366.0)</f>
        <v>45366</v>
      </c>
      <c r="C12020" s="13">
        <f>IFERROR(__xludf.DUMMYFUNCTION("""COMPUTED_VALUE"""),0.7916666666666666)</f>
        <v>0.7916666667</v>
      </c>
      <c r="D12020" s="8">
        <f>IFERROR(__xludf.DUMMYFUNCTION("""COMPUTED_VALUE"""),0.031)</f>
        <v>0.031</v>
      </c>
      <c r="E12020" s="8" t="str">
        <f>IFERROR(__xludf.DUMMYFUNCTION("""COMPUTED_VALUE"""),"Real")</f>
        <v>Real</v>
      </c>
      <c r="G12020" s="8">
        <f t="shared" si="1"/>
        <v>3</v>
      </c>
      <c r="H12020" s="14">
        <f t="shared" si="2"/>
        <v>15</v>
      </c>
      <c r="I12020" s="15">
        <f t="shared" si="3"/>
        <v>19</v>
      </c>
    </row>
    <row r="12021">
      <c r="A12021" s="8" t="str">
        <f>IFERROR(__xludf.DUMMYFUNCTION("IF('(INGESTA)Datos_consumo_datadis'!A12021&lt;&gt;"""",SPLIT('(INGESTA)Datos_consumo_datadis'!A:A,"",""),"""")"),"ES0031408323131005HX0F")</f>
        <v>ES0031408323131005HX0F</v>
      </c>
      <c r="B12021" s="12">
        <f>IFERROR(__xludf.DUMMYFUNCTION("""COMPUTED_VALUE"""),45366.0)</f>
        <v>45366</v>
      </c>
      <c r="C12021" s="13">
        <f>IFERROR(__xludf.DUMMYFUNCTION("""COMPUTED_VALUE"""),0.8333333333333334)</f>
        <v>0.8333333333</v>
      </c>
      <c r="D12021" s="8">
        <f>IFERROR(__xludf.DUMMYFUNCTION("""COMPUTED_VALUE"""),0.088)</f>
        <v>0.088</v>
      </c>
      <c r="E12021" s="8" t="str">
        <f>IFERROR(__xludf.DUMMYFUNCTION("""COMPUTED_VALUE"""),"Real")</f>
        <v>Real</v>
      </c>
      <c r="G12021" s="8">
        <f t="shared" si="1"/>
        <v>3</v>
      </c>
      <c r="H12021" s="14">
        <f t="shared" si="2"/>
        <v>15</v>
      </c>
      <c r="I12021" s="15">
        <f t="shared" si="3"/>
        <v>20</v>
      </c>
    </row>
    <row r="12022">
      <c r="A12022" s="8" t="str">
        <f>IFERROR(__xludf.DUMMYFUNCTION("IF('(INGESTA)Datos_consumo_datadis'!A12022&lt;&gt;"""",SPLIT('(INGESTA)Datos_consumo_datadis'!A:A,"",""),"""")"),"ES0031408323131005HX0F")</f>
        <v>ES0031408323131005HX0F</v>
      </c>
      <c r="B12022" s="12">
        <f>IFERROR(__xludf.DUMMYFUNCTION("""COMPUTED_VALUE"""),45366.0)</f>
        <v>45366</v>
      </c>
      <c r="C12022" s="13">
        <f>IFERROR(__xludf.DUMMYFUNCTION("""COMPUTED_VALUE"""),0.875)</f>
        <v>0.875</v>
      </c>
      <c r="D12022" s="8">
        <f>IFERROR(__xludf.DUMMYFUNCTION("""COMPUTED_VALUE"""),0.055)</f>
        <v>0.055</v>
      </c>
      <c r="E12022" s="8" t="str">
        <f>IFERROR(__xludf.DUMMYFUNCTION("""COMPUTED_VALUE"""),"Real")</f>
        <v>Real</v>
      </c>
      <c r="G12022" s="8">
        <f t="shared" si="1"/>
        <v>3</v>
      </c>
      <c r="H12022" s="14">
        <f t="shared" si="2"/>
        <v>15</v>
      </c>
      <c r="I12022" s="15">
        <f t="shared" si="3"/>
        <v>21</v>
      </c>
    </row>
    <row r="12023">
      <c r="A12023" s="8" t="str">
        <f>IFERROR(__xludf.DUMMYFUNCTION("IF('(INGESTA)Datos_consumo_datadis'!A12023&lt;&gt;"""",SPLIT('(INGESTA)Datos_consumo_datadis'!A:A,"",""),"""")"),"ES0031408323131005HX0F")</f>
        <v>ES0031408323131005HX0F</v>
      </c>
      <c r="B12023" s="12">
        <f>IFERROR(__xludf.DUMMYFUNCTION("""COMPUTED_VALUE"""),45366.0)</f>
        <v>45366</v>
      </c>
      <c r="C12023" s="13">
        <f>IFERROR(__xludf.DUMMYFUNCTION("""COMPUTED_VALUE"""),0.9166666666666666)</f>
        <v>0.9166666667</v>
      </c>
      <c r="D12023" s="8">
        <f>IFERROR(__xludf.DUMMYFUNCTION("""COMPUTED_VALUE"""),3.903)</f>
        <v>3.903</v>
      </c>
      <c r="E12023" s="8" t="str">
        <f>IFERROR(__xludf.DUMMYFUNCTION("""COMPUTED_VALUE"""),"Real")</f>
        <v>Real</v>
      </c>
      <c r="G12023" s="8">
        <f t="shared" si="1"/>
        <v>3</v>
      </c>
      <c r="H12023" s="14">
        <f t="shared" si="2"/>
        <v>15</v>
      </c>
      <c r="I12023" s="15">
        <f t="shared" si="3"/>
        <v>22</v>
      </c>
    </row>
    <row r="12024">
      <c r="A12024" s="8" t="str">
        <f>IFERROR(__xludf.DUMMYFUNCTION("IF('(INGESTA)Datos_consumo_datadis'!A12024&lt;&gt;"""",SPLIT('(INGESTA)Datos_consumo_datadis'!A:A,"",""),"""")"),"ES0031408323131005HX0F")</f>
        <v>ES0031408323131005HX0F</v>
      </c>
      <c r="B12024" s="12">
        <f>IFERROR(__xludf.DUMMYFUNCTION("""COMPUTED_VALUE"""),45366.0)</f>
        <v>45366</v>
      </c>
      <c r="C12024" s="13">
        <f>IFERROR(__xludf.DUMMYFUNCTION("""COMPUTED_VALUE"""),0.9583333333333334)</f>
        <v>0.9583333333</v>
      </c>
      <c r="D12024" s="8">
        <f>IFERROR(__xludf.DUMMYFUNCTION("""COMPUTED_VALUE"""),1.735)</f>
        <v>1.735</v>
      </c>
      <c r="E12024" s="8" t="str">
        <f>IFERROR(__xludf.DUMMYFUNCTION("""COMPUTED_VALUE"""),"Real")</f>
        <v>Real</v>
      </c>
      <c r="G12024" s="8">
        <f t="shared" si="1"/>
        <v>3</v>
      </c>
      <c r="H12024" s="14">
        <f t="shared" si="2"/>
        <v>15</v>
      </c>
      <c r="I12024" s="15">
        <f t="shared" si="3"/>
        <v>23</v>
      </c>
    </row>
    <row r="12025">
      <c r="A12025" s="8" t="str">
        <f>IFERROR(__xludf.DUMMYFUNCTION("IF('(INGESTA)Datos_consumo_datadis'!A12025&lt;&gt;"""",SPLIT('(INGESTA)Datos_consumo_datadis'!A:A,"",""),"""")"),"ES0031408323131005HX0F")</f>
        <v>ES0031408323131005HX0F</v>
      </c>
      <c r="B12025" s="12">
        <f>IFERROR(__xludf.DUMMYFUNCTION("""COMPUTED_VALUE"""),45366.0)</f>
        <v>45366</v>
      </c>
      <c r="C12025" s="16">
        <f>IFERROR(__xludf.DUMMYFUNCTION("""COMPUTED_VALUE"""),1.0)</f>
        <v>1</v>
      </c>
      <c r="D12025" s="8">
        <f>IFERROR(__xludf.DUMMYFUNCTION("""COMPUTED_VALUE"""),1.58)</f>
        <v>1.58</v>
      </c>
      <c r="E12025" s="8" t="str">
        <f>IFERROR(__xludf.DUMMYFUNCTION("""COMPUTED_VALUE"""),"Real")</f>
        <v>Real</v>
      </c>
      <c r="G12025" s="8">
        <f t="shared" si="1"/>
        <v>3</v>
      </c>
      <c r="H12025" s="14">
        <f t="shared" si="2"/>
        <v>15</v>
      </c>
      <c r="I12025" s="15">
        <f t="shared" si="3"/>
        <v>0</v>
      </c>
    </row>
    <row r="12026">
      <c r="A12026" s="8" t="str">
        <f>IFERROR(__xludf.DUMMYFUNCTION("IF('(INGESTA)Datos_consumo_datadis'!A12026&lt;&gt;"""",SPLIT('(INGESTA)Datos_consumo_datadis'!A:A,"",""),"""")"),"ES0031408323131005HX0F")</f>
        <v>ES0031408323131005HX0F</v>
      </c>
      <c r="B12026" s="12">
        <f>IFERROR(__xludf.DUMMYFUNCTION("""COMPUTED_VALUE"""),45367.0)</f>
        <v>45367</v>
      </c>
      <c r="C12026" s="13">
        <f>IFERROR(__xludf.DUMMYFUNCTION("""COMPUTED_VALUE"""),0.041666666666666664)</f>
        <v>0.04166666667</v>
      </c>
      <c r="D12026" s="8">
        <f>IFERROR(__xludf.DUMMYFUNCTION("""COMPUTED_VALUE"""),0.923)</f>
        <v>0.923</v>
      </c>
      <c r="E12026" s="8" t="str">
        <f>IFERROR(__xludf.DUMMYFUNCTION("""COMPUTED_VALUE"""),"Real")</f>
        <v>Real</v>
      </c>
      <c r="G12026" s="8">
        <f t="shared" si="1"/>
        <v>3</v>
      </c>
      <c r="H12026" s="14">
        <f t="shared" si="2"/>
        <v>16</v>
      </c>
      <c r="I12026" s="15">
        <f t="shared" si="3"/>
        <v>1</v>
      </c>
    </row>
    <row r="12027">
      <c r="A12027" s="8" t="str">
        <f>IFERROR(__xludf.DUMMYFUNCTION("IF('(INGESTA)Datos_consumo_datadis'!A12027&lt;&gt;"""",SPLIT('(INGESTA)Datos_consumo_datadis'!A:A,"",""),"""")"),"ES0031408323131005HX0F")</f>
        <v>ES0031408323131005HX0F</v>
      </c>
      <c r="B12027" s="12">
        <f>IFERROR(__xludf.DUMMYFUNCTION("""COMPUTED_VALUE"""),45367.0)</f>
        <v>45367</v>
      </c>
      <c r="C12027" s="13">
        <f>IFERROR(__xludf.DUMMYFUNCTION("""COMPUTED_VALUE"""),0.08333333333333333)</f>
        <v>0.08333333333</v>
      </c>
      <c r="D12027" s="8">
        <f>IFERROR(__xludf.DUMMYFUNCTION("""COMPUTED_VALUE"""),0.531)</f>
        <v>0.531</v>
      </c>
      <c r="E12027" s="8" t="str">
        <f>IFERROR(__xludf.DUMMYFUNCTION("""COMPUTED_VALUE"""),"Real")</f>
        <v>Real</v>
      </c>
      <c r="G12027" s="8">
        <f t="shared" si="1"/>
        <v>3</v>
      </c>
      <c r="H12027" s="14">
        <f t="shared" si="2"/>
        <v>16</v>
      </c>
      <c r="I12027" s="15">
        <f t="shared" si="3"/>
        <v>2</v>
      </c>
    </row>
    <row r="12028">
      <c r="A12028" s="8" t="str">
        <f>IFERROR(__xludf.DUMMYFUNCTION("IF('(INGESTA)Datos_consumo_datadis'!A12028&lt;&gt;"""",SPLIT('(INGESTA)Datos_consumo_datadis'!A:A,"",""),"""")"),"ES0031408323131005HX0F")</f>
        <v>ES0031408323131005HX0F</v>
      </c>
      <c r="B12028" s="12">
        <f>IFERROR(__xludf.DUMMYFUNCTION("""COMPUTED_VALUE"""),45367.0)</f>
        <v>45367</v>
      </c>
      <c r="C12028" s="13">
        <f>IFERROR(__xludf.DUMMYFUNCTION("""COMPUTED_VALUE"""),0.125)</f>
        <v>0.125</v>
      </c>
      <c r="D12028" s="8">
        <f>IFERROR(__xludf.DUMMYFUNCTION("""COMPUTED_VALUE"""),0.052)</f>
        <v>0.052</v>
      </c>
      <c r="E12028" s="8" t="str">
        <f>IFERROR(__xludf.DUMMYFUNCTION("""COMPUTED_VALUE"""),"Real")</f>
        <v>Real</v>
      </c>
      <c r="G12028" s="8">
        <f t="shared" si="1"/>
        <v>3</v>
      </c>
      <c r="H12028" s="14">
        <f t="shared" si="2"/>
        <v>16</v>
      </c>
      <c r="I12028" s="15">
        <f t="shared" si="3"/>
        <v>3</v>
      </c>
    </row>
    <row r="12029">
      <c r="A12029" s="8" t="str">
        <f>IFERROR(__xludf.DUMMYFUNCTION("IF('(INGESTA)Datos_consumo_datadis'!A12029&lt;&gt;"""",SPLIT('(INGESTA)Datos_consumo_datadis'!A:A,"",""),"""")"),"ES0031408323131005HX0F")</f>
        <v>ES0031408323131005HX0F</v>
      </c>
      <c r="B12029" s="12">
        <f>IFERROR(__xludf.DUMMYFUNCTION("""COMPUTED_VALUE"""),45367.0)</f>
        <v>45367</v>
      </c>
      <c r="C12029" s="13">
        <f>IFERROR(__xludf.DUMMYFUNCTION("""COMPUTED_VALUE"""),0.16666666666666666)</f>
        <v>0.1666666667</v>
      </c>
      <c r="D12029" s="8">
        <f>IFERROR(__xludf.DUMMYFUNCTION("""COMPUTED_VALUE"""),0.042)</f>
        <v>0.042</v>
      </c>
      <c r="E12029" s="8" t="str">
        <f>IFERROR(__xludf.DUMMYFUNCTION("""COMPUTED_VALUE"""),"Real")</f>
        <v>Real</v>
      </c>
      <c r="G12029" s="8">
        <f t="shared" si="1"/>
        <v>3</v>
      </c>
      <c r="H12029" s="14">
        <f t="shared" si="2"/>
        <v>16</v>
      </c>
      <c r="I12029" s="15">
        <f t="shared" si="3"/>
        <v>4</v>
      </c>
    </row>
    <row r="12030">
      <c r="A12030" s="8" t="str">
        <f>IFERROR(__xludf.DUMMYFUNCTION("IF('(INGESTA)Datos_consumo_datadis'!A12030&lt;&gt;"""",SPLIT('(INGESTA)Datos_consumo_datadis'!A:A,"",""),"""")"),"ES0031408323131005HX0F")</f>
        <v>ES0031408323131005HX0F</v>
      </c>
      <c r="B12030" s="12">
        <f>IFERROR(__xludf.DUMMYFUNCTION("""COMPUTED_VALUE"""),45367.0)</f>
        <v>45367</v>
      </c>
      <c r="C12030" s="13">
        <f>IFERROR(__xludf.DUMMYFUNCTION("""COMPUTED_VALUE"""),0.20833333333333334)</f>
        <v>0.2083333333</v>
      </c>
      <c r="D12030" s="8">
        <f>IFERROR(__xludf.DUMMYFUNCTION("""COMPUTED_VALUE"""),0.129)</f>
        <v>0.129</v>
      </c>
      <c r="E12030" s="8" t="str">
        <f>IFERROR(__xludf.DUMMYFUNCTION("""COMPUTED_VALUE"""),"Real")</f>
        <v>Real</v>
      </c>
      <c r="G12030" s="8">
        <f t="shared" si="1"/>
        <v>3</v>
      </c>
      <c r="H12030" s="14">
        <f t="shared" si="2"/>
        <v>16</v>
      </c>
      <c r="I12030" s="15">
        <f t="shared" si="3"/>
        <v>5</v>
      </c>
    </row>
    <row r="12031">
      <c r="A12031" s="8" t="str">
        <f>IFERROR(__xludf.DUMMYFUNCTION("IF('(INGESTA)Datos_consumo_datadis'!A12031&lt;&gt;"""",SPLIT('(INGESTA)Datos_consumo_datadis'!A:A,"",""),"""")"),"ES0031408323131005HX0F")</f>
        <v>ES0031408323131005HX0F</v>
      </c>
      <c r="B12031" s="12">
        <f>IFERROR(__xludf.DUMMYFUNCTION("""COMPUTED_VALUE"""),45367.0)</f>
        <v>45367</v>
      </c>
      <c r="C12031" s="13">
        <f>IFERROR(__xludf.DUMMYFUNCTION("""COMPUTED_VALUE"""),0.25)</f>
        <v>0.25</v>
      </c>
      <c r="D12031" s="8">
        <f>IFERROR(__xludf.DUMMYFUNCTION("""COMPUTED_VALUE"""),0.106)</f>
        <v>0.106</v>
      </c>
      <c r="E12031" s="8" t="str">
        <f>IFERROR(__xludf.DUMMYFUNCTION("""COMPUTED_VALUE"""),"Real")</f>
        <v>Real</v>
      </c>
      <c r="G12031" s="8">
        <f t="shared" si="1"/>
        <v>3</v>
      </c>
      <c r="H12031" s="14">
        <f t="shared" si="2"/>
        <v>16</v>
      </c>
      <c r="I12031" s="15">
        <f t="shared" si="3"/>
        <v>6</v>
      </c>
    </row>
    <row r="12032">
      <c r="A12032" s="8" t="str">
        <f>IFERROR(__xludf.DUMMYFUNCTION("IF('(INGESTA)Datos_consumo_datadis'!A12032&lt;&gt;"""",SPLIT('(INGESTA)Datos_consumo_datadis'!A:A,"",""),"""")"),"ES0031408323131005HX0F")</f>
        <v>ES0031408323131005HX0F</v>
      </c>
      <c r="B12032" s="12">
        <f>IFERROR(__xludf.DUMMYFUNCTION("""COMPUTED_VALUE"""),45367.0)</f>
        <v>45367</v>
      </c>
      <c r="C12032" s="13">
        <f>IFERROR(__xludf.DUMMYFUNCTION("""COMPUTED_VALUE"""),0.2916666666666667)</f>
        <v>0.2916666667</v>
      </c>
      <c r="D12032" s="8">
        <f>IFERROR(__xludf.DUMMYFUNCTION("""COMPUTED_VALUE"""),0.053)</f>
        <v>0.053</v>
      </c>
      <c r="E12032" s="8" t="str">
        <f>IFERROR(__xludf.DUMMYFUNCTION("""COMPUTED_VALUE"""),"Real")</f>
        <v>Real</v>
      </c>
      <c r="G12032" s="8">
        <f t="shared" si="1"/>
        <v>3</v>
      </c>
      <c r="H12032" s="14">
        <f t="shared" si="2"/>
        <v>16</v>
      </c>
      <c r="I12032" s="15">
        <f t="shared" si="3"/>
        <v>7</v>
      </c>
    </row>
    <row r="12033">
      <c r="A12033" s="8" t="str">
        <f>IFERROR(__xludf.DUMMYFUNCTION("IF('(INGESTA)Datos_consumo_datadis'!A12033&lt;&gt;"""",SPLIT('(INGESTA)Datos_consumo_datadis'!A:A,"",""),"""")"),"ES0031408323131005HX0F")</f>
        <v>ES0031408323131005HX0F</v>
      </c>
      <c r="B12033" s="12">
        <f>IFERROR(__xludf.DUMMYFUNCTION("""COMPUTED_VALUE"""),45367.0)</f>
        <v>45367</v>
      </c>
      <c r="C12033" s="13">
        <f>IFERROR(__xludf.DUMMYFUNCTION("""COMPUTED_VALUE"""),0.3333333333333333)</f>
        <v>0.3333333333</v>
      </c>
      <c r="D12033" s="8">
        <f>IFERROR(__xludf.DUMMYFUNCTION("""COMPUTED_VALUE"""),0.295)</f>
        <v>0.295</v>
      </c>
      <c r="E12033" s="8" t="str">
        <f>IFERROR(__xludf.DUMMYFUNCTION("""COMPUTED_VALUE"""),"Real")</f>
        <v>Real</v>
      </c>
      <c r="G12033" s="8">
        <f t="shared" si="1"/>
        <v>3</v>
      </c>
      <c r="H12033" s="14">
        <f t="shared" si="2"/>
        <v>16</v>
      </c>
      <c r="I12033" s="15">
        <f t="shared" si="3"/>
        <v>8</v>
      </c>
    </row>
    <row r="12034">
      <c r="A12034" s="8" t="str">
        <f>IFERROR(__xludf.DUMMYFUNCTION("IF('(INGESTA)Datos_consumo_datadis'!A12034&lt;&gt;"""",SPLIT('(INGESTA)Datos_consumo_datadis'!A:A,"",""),"""")"),"ES0031408323131005HX0F")</f>
        <v>ES0031408323131005HX0F</v>
      </c>
      <c r="B12034" s="12">
        <f>IFERROR(__xludf.DUMMYFUNCTION("""COMPUTED_VALUE"""),45367.0)</f>
        <v>45367</v>
      </c>
      <c r="C12034" s="13">
        <f>IFERROR(__xludf.DUMMYFUNCTION("""COMPUTED_VALUE"""),0.375)</f>
        <v>0.375</v>
      </c>
      <c r="D12034" s="8">
        <f>IFERROR(__xludf.DUMMYFUNCTION("""COMPUTED_VALUE"""),0.096)</f>
        <v>0.096</v>
      </c>
      <c r="E12034" s="8" t="str">
        <f>IFERROR(__xludf.DUMMYFUNCTION("""COMPUTED_VALUE"""),"Real")</f>
        <v>Real</v>
      </c>
      <c r="G12034" s="8">
        <f t="shared" si="1"/>
        <v>3</v>
      </c>
      <c r="H12034" s="14">
        <f t="shared" si="2"/>
        <v>16</v>
      </c>
      <c r="I12034" s="15">
        <f t="shared" si="3"/>
        <v>9</v>
      </c>
    </row>
    <row r="12035">
      <c r="A12035" s="8" t="str">
        <f>IFERROR(__xludf.DUMMYFUNCTION("IF('(INGESTA)Datos_consumo_datadis'!A12035&lt;&gt;"""",SPLIT('(INGESTA)Datos_consumo_datadis'!A:A,"",""),"""")"),"ES0031408323131005HX0F")</f>
        <v>ES0031408323131005HX0F</v>
      </c>
      <c r="B12035" s="12">
        <f>IFERROR(__xludf.DUMMYFUNCTION("""COMPUTED_VALUE"""),45367.0)</f>
        <v>45367</v>
      </c>
      <c r="C12035" s="13">
        <f>IFERROR(__xludf.DUMMYFUNCTION("""COMPUTED_VALUE"""),0.4166666666666667)</f>
        <v>0.4166666667</v>
      </c>
      <c r="D12035" s="8">
        <f>IFERROR(__xludf.DUMMYFUNCTION("""COMPUTED_VALUE"""),0.05)</f>
        <v>0.05</v>
      </c>
      <c r="E12035" s="8" t="str">
        <f>IFERROR(__xludf.DUMMYFUNCTION("""COMPUTED_VALUE"""),"Real")</f>
        <v>Real</v>
      </c>
      <c r="G12035" s="8">
        <f t="shared" si="1"/>
        <v>3</v>
      </c>
      <c r="H12035" s="14">
        <f t="shared" si="2"/>
        <v>16</v>
      </c>
      <c r="I12035" s="15">
        <f t="shared" si="3"/>
        <v>10</v>
      </c>
    </row>
    <row r="12036">
      <c r="A12036" s="8" t="str">
        <f>IFERROR(__xludf.DUMMYFUNCTION("IF('(INGESTA)Datos_consumo_datadis'!A12036&lt;&gt;"""",SPLIT('(INGESTA)Datos_consumo_datadis'!A:A,"",""),"""")"),"ES0031408323131005HX0F")</f>
        <v>ES0031408323131005HX0F</v>
      </c>
      <c r="B12036" s="12">
        <f>IFERROR(__xludf.DUMMYFUNCTION("""COMPUTED_VALUE"""),45367.0)</f>
        <v>45367</v>
      </c>
      <c r="C12036" s="13">
        <f>IFERROR(__xludf.DUMMYFUNCTION("""COMPUTED_VALUE"""),0.4583333333333333)</f>
        <v>0.4583333333</v>
      </c>
      <c r="D12036" s="8">
        <f>IFERROR(__xludf.DUMMYFUNCTION("""COMPUTED_VALUE"""),0.876)</f>
        <v>0.876</v>
      </c>
      <c r="E12036" s="8" t="str">
        <f>IFERROR(__xludf.DUMMYFUNCTION("""COMPUTED_VALUE"""),"Real")</f>
        <v>Real</v>
      </c>
      <c r="G12036" s="8">
        <f t="shared" si="1"/>
        <v>3</v>
      </c>
      <c r="H12036" s="14">
        <f t="shared" si="2"/>
        <v>16</v>
      </c>
      <c r="I12036" s="15">
        <f t="shared" si="3"/>
        <v>11</v>
      </c>
    </row>
    <row r="12037">
      <c r="A12037" s="8" t="str">
        <f>IFERROR(__xludf.DUMMYFUNCTION("IF('(INGESTA)Datos_consumo_datadis'!A12037&lt;&gt;"""",SPLIT('(INGESTA)Datos_consumo_datadis'!A:A,"",""),"""")"),"ES0031408323131005HX0F")</f>
        <v>ES0031408323131005HX0F</v>
      </c>
      <c r="B12037" s="12">
        <f>IFERROR(__xludf.DUMMYFUNCTION("""COMPUTED_VALUE"""),45367.0)</f>
        <v>45367</v>
      </c>
      <c r="C12037" s="13">
        <f>IFERROR(__xludf.DUMMYFUNCTION("""COMPUTED_VALUE"""),0.5)</f>
        <v>0.5</v>
      </c>
      <c r="D12037" s="8">
        <f>IFERROR(__xludf.DUMMYFUNCTION("""COMPUTED_VALUE"""),0.508)</f>
        <v>0.508</v>
      </c>
      <c r="E12037" s="8" t="str">
        <f>IFERROR(__xludf.DUMMYFUNCTION("""COMPUTED_VALUE"""),"Real")</f>
        <v>Real</v>
      </c>
      <c r="G12037" s="8">
        <f t="shared" si="1"/>
        <v>3</v>
      </c>
      <c r="H12037" s="14">
        <f t="shared" si="2"/>
        <v>16</v>
      </c>
      <c r="I12037" s="15">
        <f t="shared" si="3"/>
        <v>12</v>
      </c>
    </row>
    <row r="12038">
      <c r="A12038" s="8" t="str">
        <f>IFERROR(__xludf.DUMMYFUNCTION("IF('(INGESTA)Datos_consumo_datadis'!A12038&lt;&gt;"""",SPLIT('(INGESTA)Datos_consumo_datadis'!A:A,"",""),"""")"),"ES0031408323131005HX0F")</f>
        <v>ES0031408323131005HX0F</v>
      </c>
      <c r="B12038" s="12">
        <f>IFERROR(__xludf.DUMMYFUNCTION("""COMPUTED_VALUE"""),45367.0)</f>
        <v>45367</v>
      </c>
      <c r="C12038" s="13">
        <f>IFERROR(__xludf.DUMMYFUNCTION("""COMPUTED_VALUE"""),0.5416666666666666)</f>
        <v>0.5416666667</v>
      </c>
      <c r="D12038" s="8">
        <f>IFERROR(__xludf.DUMMYFUNCTION("""COMPUTED_VALUE"""),0.442)</f>
        <v>0.442</v>
      </c>
      <c r="E12038" s="8" t="str">
        <f>IFERROR(__xludf.DUMMYFUNCTION("""COMPUTED_VALUE"""),"Real")</f>
        <v>Real</v>
      </c>
      <c r="G12038" s="8">
        <f t="shared" si="1"/>
        <v>3</v>
      </c>
      <c r="H12038" s="14">
        <f t="shared" si="2"/>
        <v>16</v>
      </c>
      <c r="I12038" s="15">
        <f t="shared" si="3"/>
        <v>13</v>
      </c>
    </row>
    <row r="12039">
      <c r="A12039" s="8" t="str">
        <f>IFERROR(__xludf.DUMMYFUNCTION("IF('(INGESTA)Datos_consumo_datadis'!A12039&lt;&gt;"""",SPLIT('(INGESTA)Datos_consumo_datadis'!A:A,"",""),"""")"),"ES0031408323131005HX0F")</f>
        <v>ES0031408323131005HX0F</v>
      </c>
      <c r="B12039" s="12">
        <f>IFERROR(__xludf.DUMMYFUNCTION("""COMPUTED_VALUE"""),45367.0)</f>
        <v>45367</v>
      </c>
      <c r="C12039" s="13">
        <f>IFERROR(__xludf.DUMMYFUNCTION("""COMPUTED_VALUE"""),0.5833333333333334)</f>
        <v>0.5833333333</v>
      </c>
      <c r="D12039" s="8">
        <f>IFERROR(__xludf.DUMMYFUNCTION("""COMPUTED_VALUE"""),0.103)</f>
        <v>0.103</v>
      </c>
      <c r="E12039" s="8" t="str">
        <f>IFERROR(__xludf.DUMMYFUNCTION("""COMPUTED_VALUE"""),"Real")</f>
        <v>Real</v>
      </c>
      <c r="G12039" s="8">
        <f t="shared" si="1"/>
        <v>3</v>
      </c>
      <c r="H12039" s="14">
        <f t="shared" si="2"/>
        <v>16</v>
      </c>
      <c r="I12039" s="15">
        <f t="shared" si="3"/>
        <v>14</v>
      </c>
    </row>
    <row r="12040">
      <c r="A12040" s="8" t="str">
        <f>IFERROR(__xludf.DUMMYFUNCTION("IF('(INGESTA)Datos_consumo_datadis'!A12040&lt;&gt;"""",SPLIT('(INGESTA)Datos_consumo_datadis'!A:A,"",""),"""")"),"ES0031408323131005HX0F")</f>
        <v>ES0031408323131005HX0F</v>
      </c>
      <c r="B12040" s="12">
        <f>IFERROR(__xludf.DUMMYFUNCTION("""COMPUTED_VALUE"""),45367.0)</f>
        <v>45367</v>
      </c>
      <c r="C12040" s="13">
        <f>IFERROR(__xludf.DUMMYFUNCTION("""COMPUTED_VALUE"""),0.625)</f>
        <v>0.625</v>
      </c>
      <c r="D12040" s="8">
        <f>IFERROR(__xludf.DUMMYFUNCTION("""COMPUTED_VALUE"""),0.056)</f>
        <v>0.056</v>
      </c>
      <c r="E12040" s="8" t="str">
        <f>IFERROR(__xludf.DUMMYFUNCTION("""COMPUTED_VALUE"""),"Real")</f>
        <v>Real</v>
      </c>
      <c r="G12040" s="8">
        <f t="shared" si="1"/>
        <v>3</v>
      </c>
      <c r="H12040" s="14">
        <f t="shared" si="2"/>
        <v>16</v>
      </c>
      <c r="I12040" s="15">
        <f t="shared" si="3"/>
        <v>15</v>
      </c>
    </row>
    <row r="12041">
      <c r="A12041" s="8" t="str">
        <f>IFERROR(__xludf.DUMMYFUNCTION("IF('(INGESTA)Datos_consumo_datadis'!A12041&lt;&gt;"""",SPLIT('(INGESTA)Datos_consumo_datadis'!A:A,"",""),"""")"),"ES0031408323131005HX0F")</f>
        <v>ES0031408323131005HX0F</v>
      </c>
      <c r="B12041" s="12">
        <f>IFERROR(__xludf.DUMMYFUNCTION("""COMPUTED_VALUE"""),45367.0)</f>
        <v>45367</v>
      </c>
      <c r="C12041" s="13">
        <f>IFERROR(__xludf.DUMMYFUNCTION("""COMPUTED_VALUE"""),0.6666666666666666)</f>
        <v>0.6666666667</v>
      </c>
      <c r="D12041" s="8">
        <f>IFERROR(__xludf.DUMMYFUNCTION("""COMPUTED_VALUE"""),1.004)</f>
        <v>1.004</v>
      </c>
      <c r="E12041" s="8" t="str">
        <f>IFERROR(__xludf.DUMMYFUNCTION("""COMPUTED_VALUE"""),"Real")</f>
        <v>Real</v>
      </c>
      <c r="G12041" s="8">
        <f t="shared" si="1"/>
        <v>3</v>
      </c>
      <c r="H12041" s="14">
        <f t="shared" si="2"/>
        <v>16</v>
      </c>
      <c r="I12041" s="15">
        <f t="shared" si="3"/>
        <v>16</v>
      </c>
    </row>
    <row r="12042">
      <c r="A12042" s="8" t="str">
        <f>IFERROR(__xludf.DUMMYFUNCTION("IF('(INGESTA)Datos_consumo_datadis'!A12042&lt;&gt;"""",SPLIT('(INGESTA)Datos_consumo_datadis'!A:A,"",""),"""")"),"ES0031408323131005HX0F")</f>
        <v>ES0031408323131005HX0F</v>
      </c>
      <c r="B12042" s="12">
        <f>IFERROR(__xludf.DUMMYFUNCTION("""COMPUTED_VALUE"""),45367.0)</f>
        <v>45367</v>
      </c>
      <c r="C12042" s="13">
        <f>IFERROR(__xludf.DUMMYFUNCTION("""COMPUTED_VALUE"""),0.7083333333333334)</f>
        <v>0.7083333333</v>
      </c>
      <c r="D12042" s="8">
        <f>IFERROR(__xludf.DUMMYFUNCTION("""COMPUTED_VALUE"""),2.805)</f>
        <v>2.805</v>
      </c>
      <c r="E12042" s="8" t="str">
        <f>IFERROR(__xludf.DUMMYFUNCTION("""COMPUTED_VALUE"""),"Real")</f>
        <v>Real</v>
      </c>
      <c r="G12042" s="8">
        <f t="shared" si="1"/>
        <v>3</v>
      </c>
      <c r="H12042" s="14">
        <f t="shared" si="2"/>
        <v>16</v>
      </c>
      <c r="I12042" s="15">
        <f t="shared" si="3"/>
        <v>17</v>
      </c>
    </row>
    <row r="12043">
      <c r="A12043" s="8" t="str">
        <f>IFERROR(__xludf.DUMMYFUNCTION("IF('(INGESTA)Datos_consumo_datadis'!A12043&lt;&gt;"""",SPLIT('(INGESTA)Datos_consumo_datadis'!A:A,"",""),"""")"),"ES0031408323131005HX0F")</f>
        <v>ES0031408323131005HX0F</v>
      </c>
      <c r="B12043" s="12">
        <f>IFERROR(__xludf.DUMMYFUNCTION("""COMPUTED_VALUE"""),45367.0)</f>
        <v>45367</v>
      </c>
      <c r="C12043" s="13">
        <f>IFERROR(__xludf.DUMMYFUNCTION("""COMPUTED_VALUE"""),0.75)</f>
        <v>0.75</v>
      </c>
      <c r="D12043" s="8">
        <f>IFERROR(__xludf.DUMMYFUNCTION("""COMPUTED_VALUE"""),1.165)</f>
        <v>1.165</v>
      </c>
      <c r="E12043" s="8" t="str">
        <f>IFERROR(__xludf.DUMMYFUNCTION("""COMPUTED_VALUE"""),"Real")</f>
        <v>Real</v>
      </c>
      <c r="G12043" s="8">
        <f t="shared" si="1"/>
        <v>3</v>
      </c>
      <c r="H12043" s="14">
        <f t="shared" si="2"/>
        <v>16</v>
      </c>
      <c r="I12043" s="15">
        <f t="shared" si="3"/>
        <v>18</v>
      </c>
    </row>
    <row r="12044">
      <c r="A12044" s="8" t="str">
        <f>IFERROR(__xludf.DUMMYFUNCTION("IF('(INGESTA)Datos_consumo_datadis'!A12044&lt;&gt;"""",SPLIT('(INGESTA)Datos_consumo_datadis'!A:A,"",""),"""")"),"ES0031408323131005HX0F")</f>
        <v>ES0031408323131005HX0F</v>
      </c>
      <c r="B12044" s="12">
        <f>IFERROR(__xludf.DUMMYFUNCTION("""COMPUTED_VALUE"""),45367.0)</f>
        <v>45367</v>
      </c>
      <c r="C12044" s="13">
        <f>IFERROR(__xludf.DUMMYFUNCTION("""COMPUTED_VALUE"""),0.7916666666666666)</f>
        <v>0.7916666667</v>
      </c>
      <c r="D12044" s="8">
        <f>IFERROR(__xludf.DUMMYFUNCTION("""COMPUTED_VALUE"""),1.139)</f>
        <v>1.139</v>
      </c>
      <c r="E12044" s="8" t="str">
        <f>IFERROR(__xludf.DUMMYFUNCTION("""COMPUTED_VALUE"""),"Real")</f>
        <v>Real</v>
      </c>
      <c r="G12044" s="8">
        <f t="shared" si="1"/>
        <v>3</v>
      </c>
      <c r="H12044" s="14">
        <f t="shared" si="2"/>
        <v>16</v>
      </c>
      <c r="I12044" s="15">
        <f t="shared" si="3"/>
        <v>19</v>
      </c>
    </row>
    <row r="12045">
      <c r="A12045" s="8" t="str">
        <f>IFERROR(__xludf.DUMMYFUNCTION("IF('(INGESTA)Datos_consumo_datadis'!A12045&lt;&gt;"""",SPLIT('(INGESTA)Datos_consumo_datadis'!A:A,"",""),"""")"),"ES0031408323131005HX0F")</f>
        <v>ES0031408323131005HX0F</v>
      </c>
      <c r="B12045" s="12">
        <f>IFERROR(__xludf.DUMMYFUNCTION("""COMPUTED_VALUE"""),45367.0)</f>
        <v>45367</v>
      </c>
      <c r="C12045" s="13">
        <f>IFERROR(__xludf.DUMMYFUNCTION("""COMPUTED_VALUE"""),0.8333333333333334)</f>
        <v>0.8333333333</v>
      </c>
      <c r="D12045" s="8">
        <f>IFERROR(__xludf.DUMMYFUNCTION("""COMPUTED_VALUE"""),0.198)</f>
        <v>0.198</v>
      </c>
      <c r="E12045" s="8" t="str">
        <f>IFERROR(__xludf.DUMMYFUNCTION("""COMPUTED_VALUE"""),"Real")</f>
        <v>Real</v>
      </c>
      <c r="G12045" s="8">
        <f t="shared" si="1"/>
        <v>3</v>
      </c>
      <c r="H12045" s="14">
        <f t="shared" si="2"/>
        <v>16</v>
      </c>
      <c r="I12045" s="15">
        <f t="shared" si="3"/>
        <v>20</v>
      </c>
    </row>
    <row r="12046">
      <c r="A12046" s="8" t="str">
        <f>IFERROR(__xludf.DUMMYFUNCTION("IF('(INGESTA)Datos_consumo_datadis'!A12046&lt;&gt;"""",SPLIT('(INGESTA)Datos_consumo_datadis'!A:A,"",""),"""")"),"ES0031408323131005HX0F")</f>
        <v>ES0031408323131005HX0F</v>
      </c>
      <c r="B12046" s="12">
        <f>IFERROR(__xludf.DUMMYFUNCTION("""COMPUTED_VALUE"""),45367.0)</f>
        <v>45367</v>
      </c>
      <c r="C12046" s="13">
        <f>IFERROR(__xludf.DUMMYFUNCTION("""COMPUTED_VALUE"""),0.875)</f>
        <v>0.875</v>
      </c>
      <c r="D12046" s="8">
        <f>IFERROR(__xludf.DUMMYFUNCTION("""COMPUTED_VALUE"""),2.653)</f>
        <v>2.653</v>
      </c>
      <c r="E12046" s="8" t="str">
        <f>IFERROR(__xludf.DUMMYFUNCTION("""COMPUTED_VALUE"""),"Real")</f>
        <v>Real</v>
      </c>
      <c r="G12046" s="8">
        <f t="shared" si="1"/>
        <v>3</v>
      </c>
      <c r="H12046" s="14">
        <f t="shared" si="2"/>
        <v>16</v>
      </c>
      <c r="I12046" s="15">
        <f t="shared" si="3"/>
        <v>21</v>
      </c>
    </row>
    <row r="12047">
      <c r="A12047" s="8" t="str">
        <f>IFERROR(__xludf.DUMMYFUNCTION("IF('(INGESTA)Datos_consumo_datadis'!A12047&lt;&gt;"""",SPLIT('(INGESTA)Datos_consumo_datadis'!A:A,"",""),"""")"),"ES0031408323131005HX0F")</f>
        <v>ES0031408323131005HX0F</v>
      </c>
      <c r="B12047" s="12">
        <f>IFERROR(__xludf.DUMMYFUNCTION("""COMPUTED_VALUE"""),45367.0)</f>
        <v>45367</v>
      </c>
      <c r="C12047" s="13">
        <f>IFERROR(__xludf.DUMMYFUNCTION("""COMPUTED_VALUE"""),0.9166666666666666)</f>
        <v>0.9166666667</v>
      </c>
      <c r="D12047" s="8">
        <f>IFERROR(__xludf.DUMMYFUNCTION("""COMPUTED_VALUE"""),0.535)</f>
        <v>0.535</v>
      </c>
      <c r="E12047" s="8" t="str">
        <f>IFERROR(__xludf.DUMMYFUNCTION("""COMPUTED_VALUE"""),"Real")</f>
        <v>Real</v>
      </c>
      <c r="G12047" s="8">
        <f t="shared" si="1"/>
        <v>3</v>
      </c>
      <c r="H12047" s="14">
        <f t="shared" si="2"/>
        <v>16</v>
      </c>
      <c r="I12047" s="15">
        <f t="shared" si="3"/>
        <v>22</v>
      </c>
    </row>
    <row r="12048">
      <c r="A12048" s="8" t="str">
        <f>IFERROR(__xludf.DUMMYFUNCTION("IF('(INGESTA)Datos_consumo_datadis'!A12048&lt;&gt;"""",SPLIT('(INGESTA)Datos_consumo_datadis'!A:A,"",""),"""")"),"ES0031408323131005HX0F")</f>
        <v>ES0031408323131005HX0F</v>
      </c>
      <c r="B12048" s="12">
        <f>IFERROR(__xludf.DUMMYFUNCTION("""COMPUTED_VALUE"""),45367.0)</f>
        <v>45367</v>
      </c>
      <c r="C12048" s="13">
        <f>IFERROR(__xludf.DUMMYFUNCTION("""COMPUTED_VALUE"""),0.9583333333333334)</f>
        <v>0.9583333333</v>
      </c>
      <c r="D12048" s="8">
        <f>IFERROR(__xludf.DUMMYFUNCTION("""COMPUTED_VALUE"""),1.013)</f>
        <v>1.013</v>
      </c>
      <c r="E12048" s="8" t="str">
        <f>IFERROR(__xludf.DUMMYFUNCTION("""COMPUTED_VALUE"""),"Real")</f>
        <v>Real</v>
      </c>
      <c r="G12048" s="8">
        <f t="shared" si="1"/>
        <v>3</v>
      </c>
      <c r="H12048" s="14">
        <f t="shared" si="2"/>
        <v>16</v>
      </c>
      <c r="I12048" s="15">
        <f t="shared" si="3"/>
        <v>23</v>
      </c>
    </row>
    <row r="12049">
      <c r="A12049" s="8" t="str">
        <f>IFERROR(__xludf.DUMMYFUNCTION("IF('(INGESTA)Datos_consumo_datadis'!A12049&lt;&gt;"""",SPLIT('(INGESTA)Datos_consumo_datadis'!A:A,"",""),"""")"),"ES0031408323131005HX0F")</f>
        <v>ES0031408323131005HX0F</v>
      </c>
      <c r="B12049" s="12">
        <f>IFERROR(__xludf.DUMMYFUNCTION("""COMPUTED_VALUE"""),45367.0)</f>
        <v>45367</v>
      </c>
      <c r="C12049" s="16">
        <f>IFERROR(__xludf.DUMMYFUNCTION("""COMPUTED_VALUE"""),1.0)</f>
        <v>1</v>
      </c>
      <c r="D12049" s="8">
        <f>IFERROR(__xludf.DUMMYFUNCTION("""COMPUTED_VALUE"""),0.525)</f>
        <v>0.525</v>
      </c>
      <c r="E12049" s="8" t="str">
        <f>IFERROR(__xludf.DUMMYFUNCTION("""COMPUTED_VALUE"""),"Real")</f>
        <v>Real</v>
      </c>
      <c r="G12049" s="8">
        <f t="shared" si="1"/>
        <v>3</v>
      </c>
      <c r="H12049" s="14">
        <f t="shared" si="2"/>
        <v>16</v>
      </c>
      <c r="I12049" s="15">
        <f t="shared" si="3"/>
        <v>0</v>
      </c>
    </row>
    <row r="12050">
      <c r="A12050" s="8" t="str">
        <f>IFERROR(__xludf.DUMMYFUNCTION("IF('(INGESTA)Datos_consumo_datadis'!A12050&lt;&gt;"""",SPLIT('(INGESTA)Datos_consumo_datadis'!A:A,"",""),"""")"),"ES0031408323131005HX0F")</f>
        <v>ES0031408323131005HX0F</v>
      </c>
      <c r="B12050" s="12">
        <f>IFERROR(__xludf.DUMMYFUNCTION("""COMPUTED_VALUE"""),45368.0)</f>
        <v>45368</v>
      </c>
      <c r="C12050" s="13">
        <f>IFERROR(__xludf.DUMMYFUNCTION("""COMPUTED_VALUE"""),0.041666666666666664)</f>
        <v>0.04166666667</v>
      </c>
      <c r="D12050" s="8">
        <f>IFERROR(__xludf.DUMMYFUNCTION("""COMPUTED_VALUE"""),0.069)</f>
        <v>0.069</v>
      </c>
      <c r="E12050" s="8" t="str">
        <f>IFERROR(__xludf.DUMMYFUNCTION("""COMPUTED_VALUE"""),"Real")</f>
        <v>Real</v>
      </c>
      <c r="G12050" s="8">
        <f t="shared" si="1"/>
        <v>3</v>
      </c>
      <c r="H12050" s="14">
        <f t="shared" si="2"/>
        <v>17</v>
      </c>
      <c r="I12050" s="15">
        <f t="shared" si="3"/>
        <v>1</v>
      </c>
    </row>
    <row r="12051">
      <c r="A12051" s="8" t="str">
        <f>IFERROR(__xludf.DUMMYFUNCTION("IF('(INGESTA)Datos_consumo_datadis'!A12051&lt;&gt;"""",SPLIT('(INGESTA)Datos_consumo_datadis'!A:A,"",""),"""")"),"ES0031408323131005HX0F")</f>
        <v>ES0031408323131005HX0F</v>
      </c>
      <c r="B12051" s="12">
        <f>IFERROR(__xludf.DUMMYFUNCTION("""COMPUTED_VALUE"""),45368.0)</f>
        <v>45368</v>
      </c>
      <c r="C12051" s="13">
        <f>IFERROR(__xludf.DUMMYFUNCTION("""COMPUTED_VALUE"""),0.08333333333333333)</f>
        <v>0.08333333333</v>
      </c>
      <c r="D12051" s="8">
        <f>IFERROR(__xludf.DUMMYFUNCTION("""COMPUTED_VALUE"""),0.074)</f>
        <v>0.074</v>
      </c>
      <c r="E12051" s="8" t="str">
        <f>IFERROR(__xludf.DUMMYFUNCTION("""COMPUTED_VALUE"""),"Real")</f>
        <v>Real</v>
      </c>
      <c r="G12051" s="8">
        <f t="shared" si="1"/>
        <v>3</v>
      </c>
      <c r="H12051" s="14">
        <f t="shared" si="2"/>
        <v>17</v>
      </c>
      <c r="I12051" s="15">
        <f t="shared" si="3"/>
        <v>2</v>
      </c>
    </row>
    <row r="12052">
      <c r="A12052" s="8" t="str">
        <f>IFERROR(__xludf.DUMMYFUNCTION("IF('(INGESTA)Datos_consumo_datadis'!A12052&lt;&gt;"""",SPLIT('(INGESTA)Datos_consumo_datadis'!A:A,"",""),"""")"),"ES0031408323131005HX0F")</f>
        <v>ES0031408323131005HX0F</v>
      </c>
      <c r="B12052" s="12">
        <f>IFERROR(__xludf.DUMMYFUNCTION("""COMPUTED_VALUE"""),45368.0)</f>
        <v>45368</v>
      </c>
      <c r="C12052" s="13">
        <f>IFERROR(__xludf.DUMMYFUNCTION("""COMPUTED_VALUE"""),0.125)</f>
        <v>0.125</v>
      </c>
      <c r="D12052" s="8">
        <f>IFERROR(__xludf.DUMMYFUNCTION("""COMPUTED_VALUE"""),1.293)</f>
        <v>1.293</v>
      </c>
      <c r="E12052" s="8" t="str">
        <f>IFERROR(__xludf.DUMMYFUNCTION("""COMPUTED_VALUE"""),"Real")</f>
        <v>Real</v>
      </c>
      <c r="G12052" s="8">
        <f t="shared" si="1"/>
        <v>3</v>
      </c>
      <c r="H12052" s="14">
        <f t="shared" si="2"/>
        <v>17</v>
      </c>
      <c r="I12052" s="15">
        <f t="shared" si="3"/>
        <v>3</v>
      </c>
    </row>
    <row r="12053">
      <c r="A12053" s="8" t="str">
        <f>IFERROR(__xludf.DUMMYFUNCTION("IF('(INGESTA)Datos_consumo_datadis'!A12053&lt;&gt;"""",SPLIT('(INGESTA)Datos_consumo_datadis'!A:A,"",""),"""")"),"ES0031408323131005HX0F")</f>
        <v>ES0031408323131005HX0F</v>
      </c>
      <c r="B12053" s="12">
        <f>IFERROR(__xludf.DUMMYFUNCTION("""COMPUTED_VALUE"""),45368.0)</f>
        <v>45368</v>
      </c>
      <c r="C12053" s="13">
        <f>IFERROR(__xludf.DUMMYFUNCTION("""COMPUTED_VALUE"""),0.16666666666666666)</f>
        <v>0.1666666667</v>
      </c>
      <c r="D12053" s="8">
        <f>IFERROR(__xludf.DUMMYFUNCTION("""COMPUTED_VALUE"""),0.047)</f>
        <v>0.047</v>
      </c>
      <c r="E12053" s="8" t="str">
        <f>IFERROR(__xludf.DUMMYFUNCTION("""COMPUTED_VALUE"""),"Real")</f>
        <v>Real</v>
      </c>
      <c r="G12053" s="8">
        <f t="shared" si="1"/>
        <v>3</v>
      </c>
      <c r="H12053" s="14">
        <f t="shared" si="2"/>
        <v>17</v>
      </c>
      <c r="I12053" s="15">
        <f t="shared" si="3"/>
        <v>4</v>
      </c>
    </row>
    <row r="12054">
      <c r="A12054" s="8" t="str">
        <f>IFERROR(__xludf.DUMMYFUNCTION("IF('(INGESTA)Datos_consumo_datadis'!A12054&lt;&gt;"""",SPLIT('(INGESTA)Datos_consumo_datadis'!A:A,"",""),"""")"),"ES0031408323131005HX0F")</f>
        <v>ES0031408323131005HX0F</v>
      </c>
      <c r="B12054" s="12">
        <f>IFERROR(__xludf.DUMMYFUNCTION("""COMPUTED_VALUE"""),45368.0)</f>
        <v>45368</v>
      </c>
      <c r="C12054" s="13">
        <f>IFERROR(__xludf.DUMMYFUNCTION("""COMPUTED_VALUE"""),0.20833333333333334)</f>
        <v>0.2083333333</v>
      </c>
      <c r="D12054" s="8">
        <f>IFERROR(__xludf.DUMMYFUNCTION("""COMPUTED_VALUE"""),0.093)</f>
        <v>0.093</v>
      </c>
      <c r="E12054" s="8" t="str">
        <f>IFERROR(__xludf.DUMMYFUNCTION("""COMPUTED_VALUE"""),"Real")</f>
        <v>Real</v>
      </c>
      <c r="G12054" s="8">
        <f t="shared" si="1"/>
        <v>3</v>
      </c>
      <c r="H12054" s="14">
        <f t="shared" si="2"/>
        <v>17</v>
      </c>
      <c r="I12054" s="15">
        <f t="shared" si="3"/>
        <v>5</v>
      </c>
    </row>
    <row r="12055">
      <c r="A12055" s="8" t="str">
        <f>IFERROR(__xludf.DUMMYFUNCTION("IF('(INGESTA)Datos_consumo_datadis'!A12055&lt;&gt;"""",SPLIT('(INGESTA)Datos_consumo_datadis'!A:A,"",""),"""")"),"ES0031408323131005HX0F")</f>
        <v>ES0031408323131005HX0F</v>
      </c>
      <c r="B12055" s="12">
        <f>IFERROR(__xludf.DUMMYFUNCTION("""COMPUTED_VALUE"""),45368.0)</f>
        <v>45368</v>
      </c>
      <c r="C12055" s="13">
        <f>IFERROR(__xludf.DUMMYFUNCTION("""COMPUTED_VALUE"""),0.25)</f>
        <v>0.25</v>
      </c>
      <c r="D12055" s="8">
        <f>IFERROR(__xludf.DUMMYFUNCTION("""COMPUTED_VALUE"""),0.118)</f>
        <v>0.118</v>
      </c>
      <c r="E12055" s="8" t="str">
        <f>IFERROR(__xludf.DUMMYFUNCTION("""COMPUTED_VALUE"""),"Real")</f>
        <v>Real</v>
      </c>
      <c r="G12055" s="8">
        <f t="shared" si="1"/>
        <v>3</v>
      </c>
      <c r="H12055" s="14">
        <f t="shared" si="2"/>
        <v>17</v>
      </c>
      <c r="I12055" s="15">
        <f t="shared" si="3"/>
        <v>6</v>
      </c>
    </row>
    <row r="12056">
      <c r="A12056" s="8" t="str">
        <f>IFERROR(__xludf.DUMMYFUNCTION("IF('(INGESTA)Datos_consumo_datadis'!A12056&lt;&gt;"""",SPLIT('(INGESTA)Datos_consumo_datadis'!A:A,"",""),"""")"),"ES0031408323131005HX0F")</f>
        <v>ES0031408323131005HX0F</v>
      </c>
      <c r="B12056" s="12">
        <f>IFERROR(__xludf.DUMMYFUNCTION("""COMPUTED_VALUE"""),45368.0)</f>
        <v>45368</v>
      </c>
      <c r="C12056" s="13">
        <f>IFERROR(__xludf.DUMMYFUNCTION("""COMPUTED_VALUE"""),0.2916666666666667)</f>
        <v>0.2916666667</v>
      </c>
      <c r="D12056" s="8">
        <f>IFERROR(__xludf.DUMMYFUNCTION("""COMPUTED_VALUE"""),0.078)</f>
        <v>0.078</v>
      </c>
      <c r="E12056" s="8" t="str">
        <f>IFERROR(__xludf.DUMMYFUNCTION("""COMPUTED_VALUE"""),"Real")</f>
        <v>Real</v>
      </c>
      <c r="G12056" s="8">
        <f t="shared" si="1"/>
        <v>3</v>
      </c>
      <c r="H12056" s="14">
        <f t="shared" si="2"/>
        <v>17</v>
      </c>
      <c r="I12056" s="15">
        <f t="shared" si="3"/>
        <v>7</v>
      </c>
    </row>
    <row r="12057">
      <c r="A12057" s="8" t="str">
        <f>IFERROR(__xludf.DUMMYFUNCTION("IF('(INGESTA)Datos_consumo_datadis'!A12057&lt;&gt;"""",SPLIT('(INGESTA)Datos_consumo_datadis'!A:A,"",""),"""")"),"ES0031408323131005HX0F")</f>
        <v>ES0031408323131005HX0F</v>
      </c>
      <c r="B12057" s="12">
        <f>IFERROR(__xludf.DUMMYFUNCTION("""COMPUTED_VALUE"""),45368.0)</f>
        <v>45368</v>
      </c>
      <c r="C12057" s="13">
        <f>IFERROR(__xludf.DUMMYFUNCTION("""COMPUTED_VALUE"""),0.3333333333333333)</f>
        <v>0.3333333333</v>
      </c>
      <c r="D12057" s="8">
        <f>IFERROR(__xludf.DUMMYFUNCTION("""COMPUTED_VALUE"""),0.299)</f>
        <v>0.299</v>
      </c>
      <c r="E12057" s="8" t="str">
        <f>IFERROR(__xludf.DUMMYFUNCTION("""COMPUTED_VALUE"""),"Real")</f>
        <v>Real</v>
      </c>
      <c r="G12057" s="8">
        <f t="shared" si="1"/>
        <v>3</v>
      </c>
      <c r="H12057" s="14">
        <f t="shared" si="2"/>
        <v>17</v>
      </c>
      <c r="I12057" s="15">
        <f t="shared" si="3"/>
        <v>8</v>
      </c>
    </row>
    <row r="12058">
      <c r="A12058" s="8" t="str">
        <f>IFERROR(__xludf.DUMMYFUNCTION("IF('(INGESTA)Datos_consumo_datadis'!A12058&lt;&gt;"""",SPLIT('(INGESTA)Datos_consumo_datadis'!A:A,"",""),"""")"),"ES0031408323131005HX0F")</f>
        <v>ES0031408323131005HX0F</v>
      </c>
      <c r="B12058" s="12">
        <f>IFERROR(__xludf.DUMMYFUNCTION("""COMPUTED_VALUE"""),45368.0)</f>
        <v>45368</v>
      </c>
      <c r="C12058" s="13">
        <f>IFERROR(__xludf.DUMMYFUNCTION("""COMPUTED_VALUE"""),0.375)</f>
        <v>0.375</v>
      </c>
      <c r="D12058" s="8">
        <f>IFERROR(__xludf.DUMMYFUNCTION("""COMPUTED_VALUE"""),0.081)</f>
        <v>0.081</v>
      </c>
      <c r="E12058" s="8" t="str">
        <f>IFERROR(__xludf.DUMMYFUNCTION("""COMPUTED_VALUE"""),"Real")</f>
        <v>Real</v>
      </c>
      <c r="G12058" s="8">
        <f t="shared" si="1"/>
        <v>3</v>
      </c>
      <c r="H12058" s="14">
        <f t="shared" si="2"/>
        <v>17</v>
      </c>
      <c r="I12058" s="15">
        <f t="shared" si="3"/>
        <v>9</v>
      </c>
    </row>
    <row r="12059">
      <c r="A12059" s="8" t="str">
        <f>IFERROR(__xludf.DUMMYFUNCTION("IF('(INGESTA)Datos_consumo_datadis'!A12059&lt;&gt;"""",SPLIT('(INGESTA)Datos_consumo_datadis'!A:A,"",""),"""")"),"ES0031408323131005HX0F")</f>
        <v>ES0031408323131005HX0F</v>
      </c>
      <c r="B12059" s="12">
        <f>IFERROR(__xludf.DUMMYFUNCTION("""COMPUTED_VALUE"""),45368.0)</f>
        <v>45368</v>
      </c>
      <c r="C12059" s="13">
        <f>IFERROR(__xludf.DUMMYFUNCTION("""COMPUTED_VALUE"""),0.4166666666666667)</f>
        <v>0.4166666667</v>
      </c>
      <c r="D12059" s="8">
        <f>IFERROR(__xludf.DUMMYFUNCTION("""COMPUTED_VALUE"""),0.111)</f>
        <v>0.111</v>
      </c>
      <c r="E12059" s="8" t="str">
        <f>IFERROR(__xludf.DUMMYFUNCTION("""COMPUTED_VALUE"""),"Real")</f>
        <v>Real</v>
      </c>
      <c r="G12059" s="8">
        <f t="shared" si="1"/>
        <v>3</v>
      </c>
      <c r="H12059" s="14">
        <f t="shared" si="2"/>
        <v>17</v>
      </c>
      <c r="I12059" s="15">
        <f t="shared" si="3"/>
        <v>10</v>
      </c>
    </row>
    <row r="12060">
      <c r="A12060" s="8" t="str">
        <f>IFERROR(__xludf.DUMMYFUNCTION("IF('(INGESTA)Datos_consumo_datadis'!A12060&lt;&gt;"""",SPLIT('(INGESTA)Datos_consumo_datadis'!A:A,"",""),"""")"),"ES0031408323131005HX0F")</f>
        <v>ES0031408323131005HX0F</v>
      </c>
      <c r="B12060" s="12">
        <f>IFERROR(__xludf.DUMMYFUNCTION("""COMPUTED_VALUE"""),45368.0)</f>
        <v>45368</v>
      </c>
      <c r="C12060" s="13">
        <f>IFERROR(__xludf.DUMMYFUNCTION("""COMPUTED_VALUE"""),0.4583333333333333)</f>
        <v>0.4583333333</v>
      </c>
      <c r="D12060" s="8">
        <f>IFERROR(__xludf.DUMMYFUNCTION("""COMPUTED_VALUE"""),1.047)</f>
        <v>1.047</v>
      </c>
      <c r="E12060" s="8" t="str">
        <f>IFERROR(__xludf.DUMMYFUNCTION("""COMPUTED_VALUE"""),"Real")</f>
        <v>Real</v>
      </c>
      <c r="G12060" s="8">
        <f t="shared" si="1"/>
        <v>3</v>
      </c>
      <c r="H12060" s="14">
        <f t="shared" si="2"/>
        <v>17</v>
      </c>
      <c r="I12060" s="15">
        <f t="shared" si="3"/>
        <v>11</v>
      </c>
    </row>
    <row r="12061">
      <c r="A12061" s="8" t="str">
        <f>IFERROR(__xludf.DUMMYFUNCTION("IF('(INGESTA)Datos_consumo_datadis'!A12061&lt;&gt;"""",SPLIT('(INGESTA)Datos_consumo_datadis'!A:A,"",""),"""")"),"ES0031408323131005HX0F")</f>
        <v>ES0031408323131005HX0F</v>
      </c>
      <c r="B12061" s="12">
        <f>IFERROR(__xludf.DUMMYFUNCTION("""COMPUTED_VALUE"""),45368.0)</f>
        <v>45368</v>
      </c>
      <c r="C12061" s="13">
        <f>IFERROR(__xludf.DUMMYFUNCTION("""COMPUTED_VALUE"""),0.5)</f>
        <v>0.5</v>
      </c>
      <c r="D12061" s="8">
        <f>IFERROR(__xludf.DUMMYFUNCTION("""COMPUTED_VALUE"""),0.82)</f>
        <v>0.82</v>
      </c>
      <c r="E12061" s="8" t="str">
        <f>IFERROR(__xludf.DUMMYFUNCTION("""COMPUTED_VALUE"""),"Real")</f>
        <v>Real</v>
      </c>
      <c r="G12061" s="8">
        <f t="shared" si="1"/>
        <v>3</v>
      </c>
      <c r="H12061" s="14">
        <f t="shared" si="2"/>
        <v>17</v>
      </c>
      <c r="I12061" s="15">
        <f t="shared" si="3"/>
        <v>12</v>
      </c>
    </row>
    <row r="12062">
      <c r="A12062" s="8" t="str">
        <f>IFERROR(__xludf.DUMMYFUNCTION("IF('(INGESTA)Datos_consumo_datadis'!A12062&lt;&gt;"""",SPLIT('(INGESTA)Datos_consumo_datadis'!A:A,"",""),"""")"),"ES0031408323131005HX0F")</f>
        <v>ES0031408323131005HX0F</v>
      </c>
      <c r="B12062" s="12">
        <f>IFERROR(__xludf.DUMMYFUNCTION("""COMPUTED_VALUE"""),45368.0)</f>
        <v>45368</v>
      </c>
      <c r="C12062" s="13">
        <f>IFERROR(__xludf.DUMMYFUNCTION("""COMPUTED_VALUE"""),0.5416666666666666)</f>
        <v>0.5416666667</v>
      </c>
      <c r="D12062" s="8">
        <f>IFERROR(__xludf.DUMMYFUNCTION("""COMPUTED_VALUE"""),0.068)</f>
        <v>0.068</v>
      </c>
      <c r="E12062" s="8" t="str">
        <f>IFERROR(__xludf.DUMMYFUNCTION("""COMPUTED_VALUE"""),"Real")</f>
        <v>Real</v>
      </c>
      <c r="G12062" s="8">
        <f t="shared" si="1"/>
        <v>3</v>
      </c>
      <c r="H12062" s="14">
        <f t="shared" si="2"/>
        <v>17</v>
      </c>
      <c r="I12062" s="15">
        <f t="shared" si="3"/>
        <v>13</v>
      </c>
    </row>
    <row r="12063">
      <c r="A12063" s="8" t="str">
        <f>IFERROR(__xludf.DUMMYFUNCTION("IF('(INGESTA)Datos_consumo_datadis'!A12063&lt;&gt;"""",SPLIT('(INGESTA)Datos_consumo_datadis'!A:A,"",""),"""")"),"ES0031408323131005HX0F")</f>
        <v>ES0031408323131005HX0F</v>
      </c>
      <c r="B12063" s="12">
        <f>IFERROR(__xludf.DUMMYFUNCTION("""COMPUTED_VALUE"""),45368.0)</f>
        <v>45368</v>
      </c>
      <c r="C12063" s="13">
        <f>IFERROR(__xludf.DUMMYFUNCTION("""COMPUTED_VALUE"""),0.5833333333333334)</f>
        <v>0.5833333333</v>
      </c>
      <c r="D12063" s="8">
        <f>IFERROR(__xludf.DUMMYFUNCTION("""COMPUTED_VALUE"""),0.022)</f>
        <v>0.022</v>
      </c>
      <c r="E12063" s="8" t="str">
        <f>IFERROR(__xludf.DUMMYFUNCTION("""COMPUTED_VALUE"""),"Real")</f>
        <v>Real</v>
      </c>
      <c r="G12063" s="8">
        <f t="shared" si="1"/>
        <v>3</v>
      </c>
      <c r="H12063" s="14">
        <f t="shared" si="2"/>
        <v>17</v>
      </c>
      <c r="I12063" s="15">
        <f t="shared" si="3"/>
        <v>14</v>
      </c>
    </row>
    <row r="12064">
      <c r="A12064" s="8" t="str">
        <f>IFERROR(__xludf.DUMMYFUNCTION("IF('(INGESTA)Datos_consumo_datadis'!A12064&lt;&gt;"""",SPLIT('(INGESTA)Datos_consumo_datadis'!A:A,"",""),"""")"),"ES0031408323131005HX0F")</f>
        <v>ES0031408323131005HX0F</v>
      </c>
      <c r="B12064" s="12">
        <f>IFERROR(__xludf.DUMMYFUNCTION("""COMPUTED_VALUE"""),45368.0)</f>
        <v>45368</v>
      </c>
      <c r="C12064" s="13">
        <f>IFERROR(__xludf.DUMMYFUNCTION("""COMPUTED_VALUE"""),0.625)</f>
        <v>0.625</v>
      </c>
      <c r="D12064" s="8">
        <f>IFERROR(__xludf.DUMMYFUNCTION("""COMPUTED_VALUE"""),3.015)</f>
        <v>3.015</v>
      </c>
      <c r="E12064" s="8" t="str">
        <f>IFERROR(__xludf.DUMMYFUNCTION("""COMPUTED_VALUE"""),"Real")</f>
        <v>Real</v>
      </c>
      <c r="G12064" s="8">
        <f t="shared" si="1"/>
        <v>3</v>
      </c>
      <c r="H12064" s="14">
        <f t="shared" si="2"/>
        <v>17</v>
      </c>
      <c r="I12064" s="15">
        <f t="shared" si="3"/>
        <v>15</v>
      </c>
    </row>
    <row r="12065">
      <c r="A12065" s="8" t="str">
        <f>IFERROR(__xludf.DUMMYFUNCTION("IF('(INGESTA)Datos_consumo_datadis'!A12065&lt;&gt;"""",SPLIT('(INGESTA)Datos_consumo_datadis'!A:A,"",""),"""")"),"ES0031408323131005HX0F")</f>
        <v>ES0031408323131005HX0F</v>
      </c>
      <c r="B12065" s="12">
        <f>IFERROR(__xludf.DUMMYFUNCTION("""COMPUTED_VALUE"""),45368.0)</f>
        <v>45368</v>
      </c>
      <c r="C12065" s="13">
        <f>IFERROR(__xludf.DUMMYFUNCTION("""COMPUTED_VALUE"""),0.6666666666666666)</f>
        <v>0.6666666667</v>
      </c>
      <c r="D12065" s="8">
        <f>IFERROR(__xludf.DUMMYFUNCTION("""COMPUTED_VALUE"""),1.371)</f>
        <v>1.371</v>
      </c>
      <c r="E12065" s="8" t="str">
        <f>IFERROR(__xludf.DUMMYFUNCTION("""COMPUTED_VALUE"""),"Real")</f>
        <v>Real</v>
      </c>
      <c r="G12065" s="8">
        <f t="shared" si="1"/>
        <v>3</v>
      </c>
      <c r="H12065" s="14">
        <f t="shared" si="2"/>
        <v>17</v>
      </c>
      <c r="I12065" s="15">
        <f t="shared" si="3"/>
        <v>16</v>
      </c>
    </row>
    <row r="12066">
      <c r="A12066" s="8" t="str">
        <f>IFERROR(__xludf.DUMMYFUNCTION("IF('(INGESTA)Datos_consumo_datadis'!A12066&lt;&gt;"""",SPLIT('(INGESTA)Datos_consumo_datadis'!A:A,"",""),"""")"),"ES0031408323131005HX0F")</f>
        <v>ES0031408323131005HX0F</v>
      </c>
      <c r="B12066" s="12">
        <f>IFERROR(__xludf.DUMMYFUNCTION("""COMPUTED_VALUE"""),45368.0)</f>
        <v>45368</v>
      </c>
      <c r="C12066" s="13">
        <f>IFERROR(__xludf.DUMMYFUNCTION("""COMPUTED_VALUE"""),0.7083333333333334)</f>
        <v>0.7083333333</v>
      </c>
      <c r="D12066" s="8">
        <f>IFERROR(__xludf.DUMMYFUNCTION("""COMPUTED_VALUE"""),1.146)</f>
        <v>1.146</v>
      </c>
      <c r="E12066" s="8" t="str">
        <f>IFERROR(__xludf.DUMMYFUNCTION("""COMPUTED_VALUE"""),"Real")</f>
        <v>Real</v>
      </c>
      <c r="G12066" s="8">
        <f t="shared" si="1"/>
        <v>3</v>
      </c>
      <c r="H12066" s="14">
        <f t="shared" si="2"/>
        <v>17</v>
      </c>
      <c r="I12066" s="15">
        <f t="shared" si="3"/>
        <v>17</v>
      </c>
    </row>
    <row r="12067">
      <c r="A12067" s="8" t="str">
        <f>IFERROR(__xludf.DUMMYFUNCTION("IF('(INGESTA)Datos_consumo_datadis'!A12067&lt;&gt;"""",SPLIT('(INGESTA)Datos_consumo_datadis'!A:A,"",""),"""")"),"ES0031408323131005HX0F")</f>
        <v>ES0031408323131005HX0F</v>
      </c>
      <c r="B12067" s="12">
        <f>IFERROR(__xludf.DUMMYFUNCTION("""COMPUTED_VALUE"""),45368.0)</f>
        <v>45368</v>
      </c>
      <c r="C12067" s="13">
        <f>IFERROR(__xludf.DUMMYFUNCTION("""COMPUTED_VALUE"""),0.75)</f>
        <v>0.75</v>
      </c>
      <c r="D12067" s="8">
        <f>IFERROR(__xludf.DUMMYFUNCTION("""COMPUTED_VALUE"""),0.86)</f>
        <v>0.86</v>
      </c>
      <c r="E12067" s="8" t="str">
        <f>IFERROR(__xludf.DUMMYFUNCTION("""COMPUTED_VALUE"""),"Real")</f>
        <v>Real</v>
      </c>
      <c r="G12067" s="8">
        <f t="shared" si="1"/>
        <v>3</v>
      </c>
      <c r="H12067" s="14">
        <f t="shared" si="2"/>
        <v>17</v>
      </c>
      <c r="I12067" s="15">
        <f t="shared" si="3"/>
        <v>18</v>
      </c>
    </row>
    <row r="12068">
      <c r="A12068" s="8" t="str">
        <f>IFERROR(__xludf.DUMMYFUNCTION("IF('(INGESTA)Datos_consumo_datadis'!A12068&lt;&gt;"""",SPLIT('(INGESTA)Datos_consumo_datadis'!A:A,"",""),"""")"),"ES0031408323131005HX0F")</f>
        <v>ES0031408323131005HX0F</v>
      </c>
      <c r="B12068" s="12">
        <f>IFERROR(__xludf.DUMMYFUNCTION("""COMPUTED_VALUE"""),45368.0)</f>
        <v>45368</v>
      </c>
      <c r="C12068" s="13">
        <f>IFERROR(__xludf.DUMMYFUNCTION("""COMPUTED_VALUE"""),0.7916666666666666)</f>
        <v>0.7916666667</v>
      </c>
      <c r="D12068" s="8">
        <f>IFERROR(__xludf.DUMMYFUNCTION("""COMPUTED_VALUE"""),0.977)</f>
        <v>0.977</v>
      </c>
      <c r="E12068" s="8" t="str">
        <f>IFERROR(__xludf.DUMMYFUNCTION("""COMPUTED_VALUE"""),"Real")</f>
        <v>Real</v>
      </c>
      <c r="G12068" s="8">
        <f t="shared" si="1"/>
        <v>3</v>
      </c>
      <c r="H12068" s="14">
        <f t="shared" si="2"/>
        <v>17</v>
      </c>
      <c r="I12068" s="15">
        <f t="shared" si="3"/>
        <v>19</v>
      </c>
    </row>
    <row r="12069">
      <c r="A12069" s="8" t="str">
        <f>IFERROR(__xludf.DUMMYFUNCTION("IF('(INGESTA)Datos_consumo_datadis'!A12069&lt;&gt;"""",SPLIT('(INGESTA)Datos_consumo_datadis'!A:A,"",""),"""")"),"ES0031408323131005HX0F")</f>
        <v>ES0031408323131005HX0F</v>
      </c>
      <c r="B12069" s="12">
        <f>IFERROR(__xludf.DUMMYFUNCTION("""COMPUTED_VALUE"""),45368.0)</f>
        <v>45368</v>
      </c>
      <c r="C12069" s="13">
        <f>IFERROR(__xludf.DUMMYFUNCTION("""COMPUTED_VALUE"""),0.8333333333333334)</f>
        <v>0.8333333333</v>
      </c>
      <c r="D12069" s="8">
        <f>IFERROR(__xludf.DUMMYFUNCTION("""COMPUTED_VALUE"""),0.623)</f>
        <v>0.623</v>
      </c>
      <c r="E12069" s="8" t="str">
        <f>IFERROR(__xludf.DUMMYFUNCTION("""COMPUTED_VALUE"""),"Real")</f>
        <v>Real</v>
      </c>
      <c r="G12069" s="8">
        <f t="shared" si="1"/>
        <v>3</v>
      </c>
      <c r="H12069" s="14">
        <f t="shared" si="2"/>
        <v>17</v>
      </c>
      <c r="I12069" s="15">
        <f t="shared" si="3"/>
        <v>20</v>
      </c>
    </row>
    <row r="12070">
      <c r="A12070" s="8" t="str">
        <f>IFERROR(__xludf.DUMMYFUNCTION("IF('(INGESTA)Datos_consumo_datadis'!A12070&lt;&gt;"""",SPLIT('(INGESTA)Datos_consumo_datadis'!A:A,"",""),"""")"),"ES0031408323131005HX0F")</f>
        <v>ES0031408323131005HX0F</v>
      </c>
      <c r="B12070" s="12">
        <f>IFERROR(__xludf.DUMMYFUNCTION("""COMPUTED_VALUE"""),45368.0)</f>
        <v>45368</v>
      </c>
      <c r="C12070" s="13">
        <f>IFERROR(__xludf.DUMMYFUNCTION("""COMPUTED_VALUE"""),0.875)</f>
        <v>0.875</v>
      </c>
      <c r="D12070" s="8">
        <f>IFERROR(__xludf.DUMMYFUNCTION("""COMPUTED_VALUE"""),1.389)</f>
        <v>1.389</v>
      </c>
      <c r="E12070" s="8" t="str">
        <f>IFERROR(__xludf.DUMMYFUNCTION("""COMPUTED_VALUE"""),"Real")</f>
        <v>Real</v>
      </c>
      <c r="G12070" s="8">
        <f t="shared" si="1"/>
        <v>3</v>
      </c>
      <c r="H12070" s="14">
        <f t="shared" si="2"/>
        <v>17</v>
      </c>
      <c r="I12070" s="15">
        <f t="shared" si="3"/>
        <v>21</v>
      </c>
    </row>
    <row r="12071">
      <c r="A12071" s="8" t="str">
        <f>IFERROR(__xludf.DUMMYFUNCTION("IF('(INGESTA)Datos_consumo_datadis'!A12071&lt;&gt;"""",SPLIT('(INGESTA)Datos_consumo_datadis'!A:A,"",""),"""")"),"ES0031408323131005HX0F")</f>
        <v>ES0031408323131005HX0F</v>
      </c>
      <c r="B12071" s="12">
        <f>IFERROR(__xludf.DUMMYFUNCTION("""COMPUTED_VALUE"""),45368.0)</f>
        <v>45368</v>
      </c>
      <c r="C12071" s="13">
        <f>IFERROR(__xludf.DUMMYFUNCTION("""COMPUTED_VALUE"""),0.9166666666666666)</f>
        <v>0.9166666667</v>
      </c>
      <c r="D12071" s="8">
        <f>IFERROR(__xludf.DUMMYFUNCTION("""COMPUTED_VALUE"""),1.112)</f>
        <v>1.112</v>
      </c>
      <c r="E12071" s="8" t="str">
        <f>IFERROR(__xludf.DUMMYFUNCTION("""COMPUTED_VALUE"""),"Real")</f>
        <v>Real</v>
      </c>
      <c r="G12071" s="8">
        <f t="shared" si="1"/>
        <v>3</v>
      </c>
      <c r="H12071" s="14">
        <f t="shared" si="2"/>
        <v>17</v>
      </c>
      <c r="I12071" s="15">
        <f t="shared" si="3"/>
        <v>22</v>
      </c>
    </row>
    <row r="12072">
      <c r="A12072" s="8" t="str">
        <f>IFERROR(__xludf.DUMMYFUNCTION("IF('(INGESTA)Datos_consumo_datadis'!A12072&lt;&gt;"""",SPLIT('(INGESTA)Datos_consumo_datadis'!A:A,"",""),"""")"),"ES0031408323131005HX0F")</f>
        <v>ES0031408323131005HX0F</v>
      </c>
      <c r="B12072" s="12">
        <f>IFERROR(__xludf.DUMMYFUNCTION("""COMPUTED_VALUE"""),45368.0)</f>
        <v>45368</v>
      </c>
      <c r="C12072" s="13">
        <f>IFERROR(__xludf.DUMMYFUNCTION("""COMPUTED_VALUE"""),0.9583333333333334)</f>
        <v>0.9583333333</v>
      </c>
      <c r="D12072" s="8">
        <f>IFERROR(__xludf.DUMMYFUNCTION("""COMPUTED_VALUE"""),0.99)</f>
        <v>0.99</v>
      </c>
      <c r="E12072" s="8" t="str">
        <f>IFERROR(__xludf.DUMMYFUNCTION("""COMPUTED_VALUE"""),"Real")</f>
        <v>Real</v>
      </c>
      <c r="G12072" s="8">
        <f t="shared" si="1"/>
        <v>3</v>
      </c>
      <c r="H12072" s="14">
        <f t="shared" si="2"/>
        <v>17</v>
      </c>
      <c r="I12072" s="15">
        <f t="shared" si="3"/>
        <v>23</v>
      </c>
    </row>
    <row r="12073">
      <c r="A12073" s="8" t="str">
        <f>IFERROR(__xludf.DUMMYFUNCTION("IF('(INGESTA)Datos_consumo_datadis'!A12073&lt;&gt;"""",SPLIT('(INGESTA)Datos_consumo_datadis'!A:A,"",""),"""")"),"ES0031408323131005HX0F")</f>
        <v>ES0031408323131005HX0F</v>
      </c>
      <c r="B12073" s="12">
        <f>IFERROR(__xludf.DUMMYFUNCTION("""COMPUTED_VALUE"""),45368.0)</f>
        <v>45368</v>
      </c>
      <c r="C12073" s="16">
        <f>IFERROR(__xludf.DUMMYFUNCTION("""COMPUTED_VALUE"""),1.0)</f>
        <v>1</v>
      </c>
      <c r="D12073" s="8">
        <f>IFERROR(__xludf.DUMMYFUNCTION("""COMPUTED_VALUE"""),0.316)</f>
        <v>0.316</v>
      </c>
      <c r="E12073" s="8" t="str">
        <f>IFERROR(__xludf.DUMMYFUNCTION("""COMPUTED_VALUE"""),"Real")</f>
        <v>Real</v>
      </c>
      <c r="G12073" s="8">
        <f t="shared" si="1"/>
        <v>3</v>
      </c>
      <c r="H12073" s="14">
        <f t="shared" si="2"/>
        <v>17</v>
      </c>
      <c r="I12073" s="15">
        <f t="shared" si="3"/>
        <v>0</v>
      </c>
    </row>
    <row r="12074">
      <c r="A12074" s="8" t="str">
        <f>IFERROR(__xludf.DUMMYFUNCTION("IF('(INGESTA)Datos_consumo_datadis'!A12074&lt;&gt;"""",SPLIT('(INGESTA)Datos_consumo_datadis'!A:A,"",""),"""")"),"ES0031408323131005HX0F")</f>
        <v>ES0031408323131005HX0F</v>
      </c>
      <c r="B12074" s="12">
        <f>IFERROR(__xludf.DUMMYFUNCTION("""COMPUTED_VALUE"""),45369.0)</f>
        <v>45369</v>
      </c>
      <c r="C12074" s="13">
        <f>IFERROR(__xludf.DUMMYFUNCTION("""COMPUTED_VALUE"""),0.041666666666666664)</f>
        <v>0.04166666667</v>
      </c>
      <c r="D12074" s="8">
        <f>IFERROR(__xludf.DUMMYFUNCTION("""COMPUTED_VALUE"""),0.08)</f>
        <v>0.08</v>
      </c>
      <c r="E12074" s="8" t="str">
        <f>IFERROR(__xludf.DUMMYFUNCTION("""COMPUTED_VALUE"""),"Real")</f>
        <v>Real</v>
      </c>
      <c r="G12074" s="8">
        <f t="shared" si="1"/>
        <v>3</v>
      </c>
      <c r="H12074" s="14">
        <f t="shared" si="2"/>
        <v>18</v>
      </c>
      <c r="I12074" s="15">
        <f t="shared" si="3"/>
        <v>1</v>
      </c>
    </row>
    <row r="12075">
      <c r="A12075" s="8" t="str">
        <f>IFERROR(__xludf.DUMMYFUNCTION("IF('(INGESTA)Datos_consumo_datadis'!A12075&lt;&gt;"""",SPLIT('(INGESTA)Datos_consumo_datadis'!A:A,"",""),"""")"),"ES0031408323131005HX0F")</f>
        <v>ES0031408323131005HX0F</v>
      </c>
      <c r="B12075" s="12">
        <f>IFERROR(__xludf.DUMMYFUNCTION("""COMPUTED_VALUE"""),45369.0)</f>
        <v>45369</v>
      </c>
      <c r="C12075" s="13">
        <f>IFERROR(__xludf.DUMMYFUNCTION("""COMPUTED_VALUE"""),0.08333333333333333)</f>
        <v>0.08333333333</v>
      </c>
      <c r="D12075" s="8">
        <f>IFERROR(__xludf.DUMMYFUNCTION("""COMPUTED_VALUE"""),0.291)</f>
        <v>0.291</v>
      </c>
      <c r="E12075" s="8" t="str">
        <f>IFERROR(__xludf.DUMMYFUNCTION("""COMPUTED_VALUE"""),"Real")</f>
        <v>Real</v>
      </c>
      <c r="G12075" s="8">
        <f t="shared" si="1"/>
        <v>3</v>
      </c>
      <c r="H12075" s="14">
        <f t="shared" si="2"/>
        <v>18</v>
      </c>
      <c r="I12075" s="15">
        <f t="shared" si="3"/>
        <v>2</v>
      </c>
    </row>
    <row r="12076">
      <c r="A12076" s="8" t="str">
        <f>IFERROR(__xludf.DUMMYFUNCTION("IF('(INGESTA)Datos_consumo_datadis'!A12076&lt;&gt;"""",SPLIT('(INGESTA)Datos_consumo_datadis'!A:A,"",""),"""")"),"ES0031408323131005HX0F")</f>
        <v>ES0031408323131005HX0F</v>
      </c>
      <c r="B12076" s="12">
        <f>IFERROR(__xludf.DUMMYFUNCTION("""COMPUTED_VALUE"""),45369.0)</f>
        <v>45369</v>
      </c>
      <c r="C12076" s="13">
        <f>IFERROR(__xludf.DUMMYFUNCTION("""COMPUTED_VALUE"""),0.125)</f>
        <v>0.125</v>
      </c>
      <c r="D12076" s="8">
        <f>IFERROR(__xludf.DUMMYFUNCTION("""COMPUTED_VALUE"""),0.111)</f>
        <v>0.111</v>
      </c>
      <c r="E12076" s="8" t="str">
        <f>IFERROR(__xludf.DUMMYFUNCTION("""COMPUTED_VALUE"""),"Real")</f>
        <v>Real</v>
      </c>
      <c r="G12076" s="8">
        <f t="shared" si="1"/>
        <v>3</v>
      </c>
      <c r="H12076" s="14">
        <f t="shared" si="2"/>
        <v>18</v>
      </c>
      <c r="I12076" s="15">
        <f t="shared" si="3"/>
        <v>3</v>
      </c>
    </row>
    <row r="12077">
      <c r="A12077" s="8" t="str">
        <f>IFERROR(__xludf.DUMMYFUNCTION("IF('(INGESTA)Datos_consumo_datadis'!A12077&lt;&gt;"""",SPLIT('(INGESTA)Datos_consumo_datadis'!A:A,"",""),"""")"),"ES0031408323131005HX0F")</f>
        <v>ES0031408323131005HX0F</v>
      </c>
      <c r="B12077" s="12">
        <f>IFERROR(__xludf.DUMMYFUNCTION("""COMPUTED_VALUE"""),45369.0)</f>
        <v>45369</v>
      </c>
      <c r="C12077" s="13">
        <f>IFERROR(__xludf.DUMMYFUNCTION("""COMPUTED_VALUE"""),0.16666666666666666)</f>
        <v>0.1666666667</v>
      </c>
      <c r="D12077" s="8">
        <f>IFERROR(__xludf.DUMMYFUNCTION("""COMPUTED_VALUE"""),0.053)</f>
        <v>0.053</v>
      </c>
      <c r="E12077" s="8" t="str">
        <f>IFERROR(__xludf.DUMMYFUNCTION("""COMPUTED_VALUE"""),"Real")</f>
        <v>Real</v>
      </c>
      <c r="G12077" s="8">
        <f t="shared" si="1"/>
        <v>3</v>
      </c>
      <c r="H12077" s="14">
        <f t="shared" si="2"/>
        <v>18</v>
      </c>
      <c r="I12077" s="15">
        <f t="shared" si="3"/>
        <v>4</v>
      </c>
    </row>
    <row r="12078">
      <c r="A12078" s="8" t="str">
        <f>IFERROR(__xludf.DUMMYFUNCTION("IF('(INGESTA)Datos_consumo_datadis'!A12078&lt;&gt;"""",SPLIT('(INGESTA)Datos_consumo_datadis'!A:A,"",""),"""")"),"ES0031408323131005HX0F")</f>
        <v>ES0031408323131005HX0F</v>
      </c>
      <c r="B12078" s="12">
        <f>IFERROR(__xludf.DUMMYFUNCTION("""COMPUTED_VALUE"""),45369.0)</f>
        <v>45369</v>
      </c>
      <c r="C12078" s="13">
        <f>IFERROR(__xludf.DUMMYFUNCTION("""COMPUTED_VALUE"""),0.20833333333333334)</f>
        <v>0.2083333333</v>
      </c>
      <c r="D12078" s="8">
        <f>IFERROR(__xludf.DUMMYFUNCTION("""COMPUTED_VALUE"""),0.042)</f>
        <v>0.042</v>
      </c>
      <c r="E12078" s="8" t="str">
        <f>IFERROR(__xludf.DUMMYFUNCTION("""COMPUTED_VALUE"""),"Real")</f>
        <v>Real</v>
      </c>
      <c r="G12078" s="8">
        <f t="shared" si="1"/>
        <v>3</v>
      </c>
      <c r="H12078" s="14">
        <f t="shared" si="2"/>
        <v>18</v>
      </c>
      <c r="I12078" s="15">
        <f t="shared" si="3"/>
        <v>5</v>
      </c>
    </row>
    <row r="12079">
      <c r="A12079" s="8" t="str">
        <f>IFERROR(__xludf.DUMMYFUNCTION("IF('(INGESTA)Datos_consumo_datadis'!A12079&lt;&gt;"""",SPLIT('(INGESTA)Datos_consumo_datadis'!A:A,"",""),"""")"),"ES0031408323131005HX0F")</f>
        <v>ES0031408323131005HX0F</v>
      </c>
      <c r="B12079" s="12">
        <f>IFERROR(__xludf.DUMMYFUNCTION("""COMPUTED_VALUE"""),45369.0)</f>
        <v>45369</v>
      </c>
      <c r="C12079" s="13">
        <f>IFERROR(__xludf.DUMMYFUNCTION("""COMPUTED_VALUE"""),0.25)</f>
        <v>0.25</v>
      </c>
      <c r="D12079" s="8">
        <f>IFERROR(__xludf.DUMMYFUNCTION("""COMPUTED_VALUE"""),0.129)</f>
        <v>0.129</v>
      </c>
      <c r="E12079" s="8" t="str">
        <f>IFERROR(__xludf.DUMMYFUNCTION("""COMPUTED_VALUE"""),"Real")</f>
        <v>Real</v>
      </c>
      <c r="G12079" s="8">
        <f t="shared" si="1"/>
        <v>3</v>
      </c>
      <c r="H12079" s="14">
        <f t="shared" si="2"/>
        <v>18</v>
      </c>
      <c r="I12079" s="15">
        <f t="shared" si="3"/>
        <v>6</v>
      </c>
    </row>
    <row r="12080">
      <c r="A12080" s="8" t="str">
        <f>IFERROR(__xludf.DUMMYFUNCTION("IF('(INGESTA)Datos_consumo_datadis'!A12080&lt;&gt;"""",SPLIT('(INGESTA)Datos_consumo_datadis'!A:A,"",""),"""")"),"ES0031408323131005HX0F")</f>
        <v>ES0031408323131005HX0F</v>
      </c>
      <c r="B12080" s="12">
        <f>IFERROR(__xludf.DUMMYFUNCTION("""COMPUTED_VALUE"""),45369.0)</f>
        <v>45369</v>
      </c>
      <c r="C12080" s="13">
        <f>IFERROR(__xludf.DUMMYFUNCTION("""COMPUTED_VALUE"""),0.2916666666666667)</f>
        <v>0.2916666667</v>
      </c>
      <c r="D12080" s="8">
        <f>IFERROR(__xludf.DUMMYFUNCTION("""COMPUTED_VALUE"""),1.25)</f>
        <v>1.25</v>
      </c>
      <c r="E12080" s="8" t="str">
        <f>IFERROR(__xludf.DUMMYFUNCTION("""COMPUTED_VALUE"""),"Real")</f>
        <v>Real</v>
      </c>
      <c r="G12080" s="8">
        <f t="shared" si="1"/>
        <v>3</v>
      </c>
      <c r="H12080" s="14">
        <f t="shared" si="2"/>
        <v>18</v>
      </c>
      <c r="I12080" s="15">
        <f t="shared" si="3"/>
        <v>7</v>
      </c>
    </row>
    <row r="12081">
      <c r="A12081" s="8" t="str">
        <f>IFERROR(__xludf.DUMMYFUNCTION("IF('(INGESTA)Datos_consumo_datadis'!A12081&lt;&gt;"""",SPLIT('(INGESTA)Datos_consumo_datadis'!A:A,"",""),"""")"),"ES0031408323131005HX0F")</f>
        <v>ES0031408323131005HX0F</v>
      </c>
      <c r="B12081" s="12">
        <f>IFERROR(__xludf.DUMMYFUNCTION("""COMPUTED_VALUE"""),45369.0)</f>
        <v>45369</v>
      </c>
      <c r="C12081" s="13">
        <f>IFERROR(__xludf.DUMMYFUNCTION("""COMPUTED_VALUE"""),0.3333333333333333)</f>
        <v>0.3333333333</v>
      </c>
      <c r="D12081" s="8">
        <f>IFERROR(__xludf.DUMMYFUNCTION("""COMPUTED_VALUE"""),0.619)</f>
        <v>0.619</v>
      </c>
      <c r="E12081" s="8" t="str">
        <f>IFERROR(__xludf.DUMMYFUNCTION("""COMPUTED_VALUE"""),"Real")</f>
        <v>Real</v>
      </c>
      <c r="G12081" s="8">
        <f t="shared" si="1"/>
        <v>3</v>
      </c>
      <c r="H12081" s="14">
        <f t="shared" si="2"/>
        <v>18</v>
      </c>
      <c r="I12081" s="15">
        <f t="shared" si="3"/>
        <v>8</v>
      </c>
    </row>
    <row r="12082">
      <c r="A12082" s="8" t="str">
        <f>IFERROR(__xludf.DUMMYFUNCTION("IF('(INGESTA)Datos_consumo_datadis'!A12082&lt;&gt;"""",SPLIT('(INGESTA)Datos_consumo_datadis'!A:A,"",""),"""")"),"ES0031408323131005HX0F")</f>
        <v>ES0031408323131005HX0F</v>
      </c>
      <c r="B12082" s="12">
        <f>IFERROR(__xludf.DUMMYFUNCTION("""COMPUTED_VALUE"""),45369.0)</f>
        <v>45369</v>
      </c>
      <c r="C12082" s="13">
        <f>IFERROR(__xludf.DUMMYFUNCTION("""COMPUTED_VALUE"""),0.375)</f>
        <v>0.375</v>
      </c>
      <c r="D12082" s="8">
        <f>IFERROR(__xludf.DUMMYFUNCTION("""COMPUTED_VALUE"""),0.024)</f>
        <v>0.024</v>
      </c>
      <c r="E12082" s="8" t="str">
        <f>IFERROR(__xludf.DUMMYFUNCTION("""COMPUTED_VALUE"""),"Real")</f>
        <v>Real</v>
      </c>
      <c r="G12082" s="8">
        <f t="shared" si="1"/>
        <v>3</v>
      </c>
      <c r="H12082" s="14">
        <f t="shared" si="2"/>
        <v>18</v>
      </c>
      <c r="I12082" s="15">
        <f t="shared" si="3"/>
        <v>9</v>
      </c>
    </row>
    <row r="12083">
      <c r="A12083" s="8" t="str">
        <f>IFERROR(__xludf.DUMMYFUNCTION("IF('(INGESTA)Datos_consumo_datadis'!A12083&lt;&gt;"""",SPLIT('(INGESTA)Datos_consumo_datadis'!A:A,"",""),"""")"),"ES0031408323131005HX0F")</f>
        <v>ES0031408323131005HX0F</v>
      </c>
      <c r="B12083" s="12">
        <f>IFERROR(__xludf.DUMMYFUNCTION("""COMPUTED_VALUE"""),45369.0)</f>
        <v>45369</v>
      </c>
      <c r="C12083" s="13">
        <f>IFERROR(__xludf.DUMMYFUNCTION("""COMPUTED_VALUE"""),0.4166666666666667)</f>
        <v>0.4166666667</v>
      </c>
      <c r="D12083" s="8">
        <f>IFERROR(__xludf.DUMMYFUNCTION("""COMPUTED_VALUE"""),0.662)</f>
        <v>0.662</v>
      </c>
      <c r="E12083" s="8" t="str">
        <f>IFERROR(__xludf.DUMMYFUNCTION("""COMPUTED_VALUE"""),"Real")</f>
        <v>Real</v>
      </c>
      <c r="G12083" s="8">
        <f t="shared" si="1"/>
        <v>3</v>
      </c>
      <c r="H12083" s="14">
        <f t="shared" si="2"/>
        <v>18</v>
      </c>
      <c r="I12083" s="15">
        <f t="shared" si="3"/>
        <v>10</v>
      </c>
    </row>
    <row r="12084">
      <c r="A12084" s="8" t="str">
        <f>IFERROR(__xludf.DUMMYFUNCTION("IF('(INGESTA)Datos_consumo_datadis'!A12084&lt;&gt;"""",SPLIT('(INGESTA)Datos_consumo_datadis'!A:A,"",""),"""")"),"ES0031408323131005HX0F")</f>
        <v>ES0031408323131005HX0F</v>
      </c>
      <c r="B12084" s="12">
        <f>IFERROR(__xludf.DUMMYFUNCTION("""COMPUTED_VALUE"""),45369.0)</f>
        <v>45369</v>
      </c>
      <c r="C12084" s="13">
        <f>IFERROR(__xludf.DUMMYFUNCTION("""COMPUTED_VALUE"""),0.4583333333333333)</f>
        <v>0.4583333333</v>
      </c>
      <c r="D12084" s="8">
        <f>IFERROR(__xludf.DUMMYFUNCTION("""COMPUTED_VALUE"""),0.728)</f>
        <v>0.728</v>
      </c>
      <c r="E12084" s="8" t="str">
        <f>IFERROR(__xludf.DUMMYFUNCTION("""COMPUTED_VALUE"""),"Real")</f>
        <v>Real</v>
      </c>
      <c r="G12084" s="8">
        <f t="shared" si="1"/>
        <v>3</v>
      </c>
      <c r="H12084" s="14">
        <f t="shared" si="2"/>
        <v>18</v>
      </c>
      <c r="I12084" s="15">
        <f t="shared" si="3"/>
        <v>11</v>
      </c>
    </row>
    <row r="12085">
      <c r="A12085" s="8" t="str">
        <f>IFERROR(__xludf.DUMMYFUNCTION("IF('(INGESTA)Datos_consumo_datadis'!A12085&lt;&gt;"""",SPLIT('(INGESTA)Datos_consumo_datadis'!A:A,"",""),"""")"),"ES0031408323131005HX0F")</f>
        <v>ES0031408323131005HX0F</v>
      </c>
      <c r="B12085" s="12">
        <f>IFERROR(__xludf.DUMMYFUNCTION("""COMPUTED_VALUE"""),45369.0)</f>
        <v>45369</v>
      </c>
      <c r="C12085" s="13">
        <f>IFERROR(__xludf.DUMMYFUNCTION("""COMPUTED_VALUE"""),0.5)</f>
        <v>0.5</v>
      </c>
      <c r="D12085" s="8">
        <f>IFERROR(__xludf.DUMMYFUNCTION("""COMPUTED_VALUE"""),1.977)</f>
        <v>1.977</v>
      </c>
      <c r="E12085" s="8" t="str">
        <f>IFERROR(__xludf.DUMMYFUNCTION("""COMPUTED_VALUE"""),"Real")</f>
        <v>Real</v>
      </c>
      <c r="G12085" s="8">
        <f t="shared" si="1"/>
        <v>3</v>
      </c>
      <c r="H12085" s="14">
        <f t="shared" si="2"/>
        <v>18</v>
      </c>
      <c r="I12085" s="15">
        <f t="shared" si="3"/>
        <v>12</v>
      </c>
    </row>
    <row r="12086">
      <c r="A12086" s="8" t="str">
        <f>IFERROR(__xludf.DUMMYFUNCTION("IF('(INGESTA)Datos_consumo_datadis'!A12086&lt;&gt;"""",SPLIT('(INGESTA)Datos_consumo_datadis'!A:A,"",""),"""")"),"ES0031408323131005HX0F")</f>
        <v>ES0031408323131005HX0F</v>
      </c>
      <c r="B12086" s="12">
        <f>IFERROR(__xludf.DUMMYFUNCTION("""COMPUTED_VALUE"""),45369.0)</f>
        <v>45369</v>
      </c>
      <c r="C12086" s="13">
        <f>IFERROR(__xludf.DUMMYFUNCTION("""COMPUTED_VALUE"""),0.5416666666666666)</f>
        <v>0.5416666667</v>
      </c>
      <c r="D12086" s="8">
        <f>IFERROR(__xludf.DUMMYFUNCTION("""COMPUTED_VALUE"""),1.272)</f>
        <v>1.272</v>
      </c>
      <c r="E12086" s="8" t="str">
        <f>IFERROR(__xludf.DUMMYFUNCTION("""COMPUTED_VALUE"""),"Real")</f>
        <v>Real</v>
      </c>
      <c r="G12086" s="8">
        <f t="shared" si="1"/>
        <v>3</v>
      </c>
      <c r="H12086" s="14">
        <f t="shared" si="2"/>
        <v>18</v>
      </c>
      <c r="I12086" s="15">
        <f t="shared" si="3"/>
        <v>13</v>
      </c>
    </row>
    <row r="12087">
      <c r="A12087" s="8" t="str">
        <f>IFERROR(__xludf.DUMMYFUNCTION("IF('(INGESTA)Datos_consumo_datadis'!A12087&lt;&gt;"""",SPLIT('(INGESTA)Datos_consumo_datadis'!A:A,"",""),"""")"),"ES0031408323131005HX0F")</f>
        <v>ES0031408323131005HX0F</v>
      </c>
      <c r="B12087" s="12">
        <f>IFERROR(__xludf.DUMMYFUNCTION("""COMPUTED_VALUE"""),45369.0)</f>
        <v>45369</v>
      </c>
      <c r="C12087" s="13">
        <f>IFERROR(__xludf.DUMMYFUNCTION("""COMPUTED_VALUE"""),0.5833333333333334)</f>
        <v>0.5833333333</v>
      </c>
      <c r="D12087" s="8">
        <f>IFERROR(__xludf.DUMMYFUNCTION("""COMPUTED_VALUE"""),0.282)</f>
        <v>0.282</v>
      </c>
      <c r="E12087" s="8" t="str">
        <f>IFERROR(__xludf.DUMMYFUNCTION("""COMPUTED_VALUE"""),"Real")</f>
        <v>Real</v>
      </c>
      <c r="G12087" s="8">
        <f t="shared" si="1"/>
        <v>3</v>
      </c>
      <c r="H12087" s="14">
        <f t="shared" si="2"/>
        <v>18</v>
      </c>
      <c r="I12087" s="15">
        <f t="shared" si="3"/>
        <v>14</v>
      </c>
    </row>
    <row r="12088">
      <c r="A12088" s="8" t="str">
        <f>IFERROR(__xludf.DUMMYFUNCTION("IF('(INGESTA)Datos_consumo_datadis'!A12088&lt;&gt;"""",SPLIT('(INGESTA)Datos_consumo_datadis'!A:A,"",""),"""")"),"ES0031408323131005HX0F")</f>
        <v>ES0031408323131005HX0F</v>
      </c>
      <c r="B12088" s="12">
        <f>IFERROR(__xludf.DUMMYFUNCTION("""COMPUTED_VALUE"""),45369.0)</f>
        <v>45369</v>
      </c>
      <c r="C12088" s="13">
        <f>IFERROR(__xludf.DUMMYFUNCTION("""COMPUTED_VALUE"""),0.625)</f>
        <v>0.625</v>
      </c>
      <c r="D12088" s="8">
        <f>IFERROR(__xludf.DUMMYFUNCTION("""COMPUTED_VALUE"""),1.597)</f>
        <v>1.597</v>
      </c>
      <c r="E12088" s="8" t="str">
        <f>IFERROR(__xludf.DUMMYFUNCTION("""COMPUTED_VALUE"""),"Real")</f>
        <v>Real</v>
      </c>
      <c r="G12088" s="8">
        <f t="shared" si="1"/>
        <v>3</v>
      </c>
      <c r="H12088" s="14">
        <f t="shared" si="2"/>
        <v>18</v>
      </c>
      <c r="I12088" s="15">
        <f t="shared" si="3"/>
        <v>15</v>
      </c>
    </row>
    <row r="12089">
      <c r="A12089" s="8" t="str">
        <f>IFERROR(__xludf.DUMMYFUNCTION("IF('(INGESTA)Datos_consumo_datadis'!A12089&lt;&gt;"""",SPLIT('(INGESTA)Datos_consumo_datadis'!A:A,"",""),"""")"),"ES0031408323131005HX0F")</f>
        <v>ES0031408323131005HX0F</v>
      </c>
      <c r="B12089" s="12">
        <f>IFERROR(__xludf.DUMMYFUNCTION("""COMPUTED_VALUE"""),45369.0)</f>
        <v>45369</v>
      </c>
      <c r="C12089" s="13">
        <f>IFERROR(__xludf.DUMMYFUNCTION("""COMPUTED_VALUE"""),0.6666666666666666)</f>
        <v>0.6666666667</v>
      </c>
      <c r="D12089" s="8">
        <f>IFERROR(__xludf.DUMMYFUNCTION("""COMPUTED_VALUE"""),1.347)</f>
        <v>1.347</v>
      </c>
      <c r="E12089" s="8" t="str">
        <f>IFERROR(__xludf.DUMMYFUNCTION("""COMPUTED_VALUE"""),"Real")</f>
        <v>Real</v>
      </c>
      <c r="G12089" s="8">
        <f t="shared" si="1"/>
        <v>3</v>
      </c>
      <c r="H12089" s="14">
        <f t="shared" si="2"/>
        <v>18</v>
      </c>
      <c r="I12089" s="15">
        <f t="shared" si="3"/>
        <v>16</v>
      </c>
    </row>
    <row r="12090">
      <c r="A12090" s="8" t="str">
        <f>IFERROR(__xludf.DUMMYFUNCTION("IF('(INGESTA)Datos_consumo_datadis'!A12090&lt;&gt;"""",SPLIT('(INGESTA)Datos_consumo_datadis'!A:A,"",""),"""")"),"ES0031408323131005HX0F")</f>
        <v>ES0031408323131005HX0F</v>
      </c>
      <c r="B12090" s="12">
        <f>IFERROR(__xludf.DUMMYFUNCTION("""COMPUTED_VALUE"""),45369.0)</f>
        <v>45369</v>
      </c>
      <c r="C12090" s="13">
        <f>IFERROR(__xludf.DUMMYFUNCTION("""COMPUTED_VALUE"""),0.7083333333333334)</f>
        <v>0.7083333333</v>
      </c>
      <c r="D12090" s="8">
        <f>IFERROR(__xludf.DUMMYFUNCTION("""COMPUTED_VALUE"""),0.479)</f>
        <v>0.479</v>
      </c>
      <c r="E12090" s="8" t="str">
        <f>IFERROR(__xludf.DUMMYFUNCTION("""COMPUTED_VALUE"""),"Real")</f>
        <v>Real</v>
      </c>
      <c r="G12090" s="8">
        <f t="shared" si="1"/>
        <v>3</v>
      </c>
      <c r="H12090" s="14">
        <f t="shared" si="2"/>
        <v>18</v>
      </c>
      <c r="I12090" s="15">
        <f t="shared" si="3"/>
        <v>17</v>
      </c>
    </row>
    <row r="12091">
      <c r="A12091" s="8" t="str">
        <f>IFERROR(__xludf.DUMMYFUNCTION("IF('(INGESTA)Datos_consumo_datadis'!A12091&lt;&gt;"""",SPLIT('(INGESTA)Datos_consumo_datadis'!A:A,"",""),"""")"),"ES0031408323131005HX0F")</f>
        <v>ES0031408323131005HX0F</v>
      </c>
      <c r="B12091" s="12">
        <f>IFERROR(__xludf.DUMMYFUNCTION("""COMPUTED_VALUE"""),45369.0)</f>
        <v>45369</v>
      </c>
      <c r="C12091" s="13">
        <f>IFERROR(__xludf.DUMMYFUNCTION("""COMPUTED_VALUE"""),0.75)</f>
        <v>0.75</v>
      </c>
      <c r="D12091" s="8">
        <f>IFERROR(__xludf.DUMMYFUNCTION("""COMPUTED_VALUE"""),0.096)</f>
        <v>0.096</v>
      </c>
      <c r="E12091" s="8" t="str">
        <f>IFERROR(__xludf.DUMMYFUNCTION("""COMPUTED_VALUE"""),"Real")</f>
        <v>Real</v>
      </c>
      <c r="G12091" s="8">
        <f t="shared" si="1"/>
        <v>3</v>
      </c>
      <c r="H12091" s="14">
        <f t="shared" si="2"/>
        <v>18</v>
      </c>
      <c r="I12091" s="15">
        <f t="shared" si="3"/>
        <v>18</v>
      </c>
    </row>
    <row r="12092">
      <c r="A12092" s="8" t="str">
        <f>IFERROR(__xludf.DUMMYFUNCTION("IF('(INGESTA)Datos_consumo_datadis'!A12092&lt;&gt;"""",SPLIT('(INGESTA)Datos_consumo_datadis'!A:A,"",""),"""")"),"ES0031408323131005HX0F")</f>
        <v>ES0031408323131005HX0F</v>
      </c>
      <c r="B12092" s="12">
        <f>IFERROR(__xludf.DUMMYFUNCTION("""COMPUTED_VALUE"""),45369.0)</f>
        <v>45369</v>
      </c>
      <c r="C12092" s="13">
        <f>IFERROR(__xludf.DUMMYFUNCTION("""COMPUTED_VALUE"""),0.7916666666666666)</f>
        <v>0.7916666667</v>
      </c>
      <c r="D12092" s="8">
        <f>IFERROR(__xludf.DUMMYFUNCTION("""COMPUTED_VALUE"""),0.059)</f>
        <v>0.059</v>
      </c>
      <c r="E12092" s="8" t="str">
        <f>IFERROR(__xludf.DUMMYFUNCTION("""COMPUTED_VALUE"""),"Real")</f>
        <v>Real</v>
      </c>
      <c r="G12092" s="8">
        <f t="shared" si="1"/>
        <v>3</v>
      </c>
      <c r="H12092" s="14">
        <f t="shared" si="2"/>
        <v>18</v>
      </c>
      <c r="I12092" s="15">
        <f t="shared" si="3"/>
        <v>19</v>
      </c>
    </row>
    <row r="12093">
      <c r="A12093" s="8" t="str">
        <f>IFERROR(__xludf.DUMMYFUNCTION("IF('(INGESTA)Datos_consumo_datadis'!A12093&lt;&gt;"""",SPLIT('(INGESTA)Datos_consumo_datadis'!A:A,"",""),"""")"),"ES0031408323131005HX0F")</f>
        <v>ES0031408323131005HX0F</v>
      </c>
      <c r="B12093" s="12">
        <f>IFERROR(__xludf.DUMMYFUNCTION("""COMPUTED_VALUE"""),45369.0)</f>
        <v>45369</v>
      </c>
      <c r="C12093" s="13">
        <f>IFERROR(__xludf.DUMMYFUNCTION("""COMPUTED_VALUE"""),0.8333333333333334)</f>
        <v>0.8333333333</v>
      </c>
      <c r="D12093" s="8">
        <f>IFERROR(__xludf.DUMMYFUNCTION("""COMPUTED_VALUE"""),0.489)</f>
        <v>0.489</v>
      </c>
      <c r="E12093" s="8" t="str">
        <f>IFERROR(__xludf.DUMMYFUNCTION("""COMPUTED_VALUE"""),"Real")</f>
        <v>Real</v>
      </c>
      <c r="G12093" s="8">
        <f t="shared" si="1"/>
        <v>3</v>
      </c>
      <c r="H12093" s="14">
        <f t="shared" si="2"/>
        <v>18</v>
      </c>
      <c r="I12093" s="15">
        <f t="shared" si="3"/>
        <v>20</v>
      </c>
    </row>
    <row r="12094">
      <c r="A12094" s="8" t="str">
        <f>IFERROR(__xludf.DUMMYFUNCTION("IF('(INGESTA)Datos_consumo_datadis'!A12094&lt;&gt;"""",SPLIT('(INGESTA)Datos_consumo_datadis'!A:A,"",""),"""")"),"ES0031408323131005HX0F")</f>
        <v>ES0031408323131005HX0F</v>
      </c>
      <c r="B12094" s="12">
        <f>IFERROR(__xludf.DUMMYFUNCTION("""COMPUTED_VALUE"""),45369.0)</f>
        <v>45369</v>
      </c>
      <c r="C12094" s="13">
        <f>IFERROR(__xludf.DUMMYFUNCTION("""COMPUTED_VALUE"""),0.875)</f>
        <v>0.875</v>
      </c>
      <c r="D12094" s="8">
        <f>IFERROR(__xludf.DUMMYFUNCTION("""COMPUTED_VALUE"""),1.912)</f>
        <v>1.912</v>
      </c>
      <c r="E12094" s="8" t="str">
        <f>IFERROR(__xludf.DUMMYFUNCTION("""COMPUTED_VALUE"""),"Real")</f>
        <v>Real</v>
      </c>
      <c r="G12094" s="8">
        <f t="shared" si="1"/>
        <v>3</v>
      </c>
      <c r="H12094" s="14">
        <f t="shared" si="2"/>
        <v>18</v>
      </c>
      <c r="I12094" s="15">
        <f t="shared" si="3"/>
        <v>21</v>
      </c>
    </row>
    <row r="12095">
      <c r="A12095" s="8" t="str">
        <f>IFERROR(__xludf.DUMMYFUNCTION("IF('(INGESTA)Datos_consumo_datadis'!A12095&lt;&gt;"""",SPLIT('(INGESTA)Datos_consumo_datadis'!A:A,"",""),"""")"),"ES0031408323131005HX0F")</f>
        <v>ES0031408323131005HX0F</v>
      </c>
      <c r="B12095" s="12">
        <f>IFERROR(__xludf.DUMMYFUNCTION("""COMPUTED_VALUE"""),45369.0)</f>
        <v>45369</v>
      </c>
      <c r="C12095" s="13">
        <f>IFERROR(__xludf.DUMMYFUNCTION("""COMPUTED_VALUE"""),0.9166666666666666)</f>
        <v>0.9166666667</v>
      </c>
      <c r="D12095" s="8">
        <f>IFERROR(__xludf.DUMMYFUNCTION("""COMPUTED_VALUE"""),1.467)</f>
        <v>1.467</v>
      </c>
      <c r="E12095" s="8" t="str">
        <f>IFERROR(__xludf.DUMMYFUNCTION("""COMPUTED_VALUE"""),"Real")</f>
        <v>Real</v>
      </c>
      <c r="G12095" s="8">
        <f t="shared" si="1"/>
        <v>3</v>
      </c>
      <c r="H12095" s="14">
        <f t="shared" si="2"/>
        <v>18</v>
      </c>
      <c r="I12095" s="15">
        <f t="shared" si="3"/>
        <v>22</v>
      </c>
    </row>
    <row r="12096">
      <c r="A12096" s="8" t="str">
        <f>IFERROR(__xludf.DUMMYFUNCTION("IF('(INGESTA)Datos_consumo_datadis'!A12096&lt;&gt;"""",SPLIT('(INGESTA)Datos_consumo_datadis'!A:A,"",""),"""")"),"ES0031408323131005HX0F")</f>
        <v>ES0031408323131005HX0F</v>
      </c>
      <c r="B12096" s="12">
        <f>IFERROR(__xludf.DUMMYFUNCTION("""COMPUTED_VALUE"""),45369.0)</f>
        <v>45369</v>
      </c>
      <c r="C12096" s="13">
        <f>IFERROR(__xludf.DUMMYFUNCTION("""COMPUTED_VALUE"""),0.9583333333333334)</f>
        <v>0.9583333333</v>
      </c>
      <c r="D12096" s="8">
        <f>IFERROR(__xludf.DUMMYFUNCTION("""COMPUTED_VALUE"""),1.524)</f>
        <v>1.524</v>
      </c>
      <c r="E12096" s="8" t="str">
        <f>IFERROR(__xludf.DUMMYFUNCTION("""COMPUTED_VALUE"""),"Real")</f>
        <v>Real</v>
      </c>
      <c r="G12096" s="8">
        <f t="shared" si="1"/>
        <v>3</v>
      </c>
      <c r="H12096" s="14">
        <f t="shared" si="2"/>
        <v>18</v>
      </c>
      <c r="I12096" s="15">
        <f t="shared" si="3"/>
        <v>23</v>
      </c>
    </row>
    <row r="12097">
      <c r="A12097" s="8" t="str">
        <f>IFERROR(__xludf.DUMMYFUNCTION("IF('(INGESTA)Datos_consumo_datadis'!A12097&lt;&gt;"""",SPLIT('(INGESTA)Datos_consumo_datadis'!A:A,"",""),"""")"),"ES0031408323131005HX0F")</f>
        <v>ES0031408323131005HX0F</v>
      </c>
      <c r="B12097" s="12">
        <f>IFERROR(__xludf.DUMMYFUNCTION("""COMPUTED_VALUE"""),45369.0)</f>
        <v>45369</v>
      </c>
      <c r="C12097" s="16">
        <f>IFERROR(__xludf.DUMMYFUNCTION("""COMPUTED_VALUE"""),1.0)</f>
        <v>1</v>
      </c>
      <c r="D12097" s="8">
        <f>IFERROR(__xludf.DUMMYFUNCTION("""COMPUTED_VALUE"""),0.71)</f>
        <v>0.71</v>
      </c>
      <c r="E12097" s="8" t="str">
        <f>IFERROR(__xludf.DUMMYFUNCTION("""COMPUTED_VALUE"""),"Real")</f>
        <v>Real</v>
      </c>
      <c r="G12097" s="8">
        <f t="shared" si="1"/>
        <v>3</v>
      </c>
      <c r="H12097" s="14">
        <f t="shared" si="2"/>
        <v>18</v>
      </c>
      <c r="I12097" s="15">
        <f t="shared" si="3"/>
        <v>0</v>
      </c>
    </row>
    <row r="12098">
      <c r="A12098" s="8" t="str">
        <f>IFERROR(__xludf.DUMMYFUNCTION("IF('(INGESTA)Datos_consumo_datadis'!A12098&lt;&gt;"""",SPLIT('(INGESTA)Datos_consumo_datadis'!A:A,"",""),"""")"),"ES0031408323131005HX0F")</f>
        <v>ES0031408323131005HX0F</v>
      </c>
      <c r="B12098" s="12">
        <f>IFERROR(__xludf.DUMMYFUNCTION("""COMPUTED_VALUE"""),45370.0)</f>
        <v>45370</v>
      </c>
      <c r="C12098" s="13">
        <f>IFERROR(__xludf.DUMMYFUNCTION("""COMPUTED_VALUE"""),0.041666666666666664)</f>
        <v>0.04166666667</v>
      </c>
      <c r="D12098" s="8">
        <f>IFERROR(__xludf.DUMMYFUNCTION("""COMPUTED_VALUE"""),0.763)</f>
        <v>0.763</v>
      </c>
      <c r="E12098" s="8" t="str">
        <f>IFERROR(__xludf.DUMMYFUNCTION("""COMPUTED_VALUE"""),"Real")</f>
        <v>Real</v>
      </c>
      <c r="G12098" s="8">
        <f t="shared" si="1"/>
        <v>3</v>
      </c>
      <c r="H12098" s="14">
        <f t="shared" si="2"/>
        <v>19</v>
      </c>
      <c r="I12098" s="15">
        <f t="shared" si="3"/>
        <v>1</v>
      </c>
    </row>
    <row r="12099">
      <c r="A12099" s="8" t="str">
        <f>IFERROR(__xludf.DUMMYFUNCTION("IF('(INGESTA)Datos_consumo_datadis'!A12099&lt;&gt;"""",SPLIT('(INGESTA)Datos_consumo_datadis'!A:A,"",""),"""")"),"ES0031408323131005HX0F")</f>
        <v>ES0031408323131005HX0F</v>
      </c>
      <c r="B12099" s="12">
        <f>IFERROR(__xludf.DUMMYFUNCTION("""COMPUTED_VALUE"""),45370.0)</f>
        <v>45370</v>
      </c>
      <c r="C12099" s="13">
        <f>IFERROR(__xludf.DUMMYFUNCTION("""COMPUTED_VALUE"""),0.08333333333333333)</f>
        <v>0.08333333333</v>
      </c>
      <c r="D12099" s="8">
        <f>IFERROR(__xludf.DUMMYFUNCTION("""COMPUTED_VALUE"""),0.814)</f>
        <v>0.814</v>
      </c>
      <c r="E12099" s="8" t="str">
        <f>IFERROR(__xludf.DUMMYFUNCTION("""COMPUTED_VALUE"""),"Real")</f>
        <v>Real</v>
      </c>
      <c r="G12099" s="8">
        <f t="shared" si="1"/>
        <v>3</v>
      </c>
      <c r="H12099" s="14">
        <f t="shared" si="2"/>
        <v>19</v>
      </c>
      <c r="I12099" s="15">
        <f t="shared" si="3"/>
        <v>2</v>
      </c>
    </row>
    <row r="12100">
      <c r="A12100" s="8" t="str">
        <f>IFERROR(__xludf.DUMMYFUNCTION("IF('(INGESTA)Datos_consumo_datadis'!A12100&lt;&gt;"""",SPLIT('(INGESTA)Datos_consumo_datadis'!A:A,"",""),"""")"),"ES0031408323131005HX0F")</f>
        <v>ES0031408323131005HX0F</v>
      </c>
      <c r="B12100" s="12">
        <f>IFERROR(__xludf.DUMMYFUNCTION("""COMPUTED_VALUE"""),45370.0)</f>
        <v>45370</v>
      </c>
      <c r="C12100" s="13">
        <f>IFERROR(__xludf.DUMMYFUNCTION("""COMPUTED_VALUE"""),0.125)</f>
        <v>0.125</v>
      </c>
      <c r="D12100" s="8">
        <f>IFERROR(__xludf.DUMMYFUNCTION("""COMPUTED_VALUE"""),0.341)</f>
        <v>0.341</v>
      </c>
      <c r="E12100" s="8" t="str">
        <f>IFERROR(__xludf.DUMMYFUNCTION("""COMPUTED_VALUE"""),"Real")</f>
        <v>Real</v>
      </c>
      <c r="G12100" s="8">
        <f t="shared" si="1"/>
        <v>3</v>
      </c>
      <c r="H12100" s="14">
        <f t="shared" si="2"/>
        <v>19</v>
      </c>
      <c r="I12100" s="15">
        <f t="shared" si="3"/>
        <v>3</v>
      </c>
    </row>
    <row r="12101">
      <c r="A12101" s="8" t="str">
        <f>IFERROR(__xludf.DUMMYFUNCTION("IF('(INGESTA)Datos_consumo_datadis'!A12101&lt;&gt;"""",SPLIT('(INGESTA)Datos_consumo_datadis'!A:A,"",""),"""")"),"ES0031408323131005HX0F")</f>
        <v>ES0031408323131005HX0F</v>
      </c>
      <c r="B12101" s="12">
        <f>IFERROR(__xludf.DUMMYFUNCTION("""COMPUTED_VALUE"""),45370.0)</f>
        <v>45370</v>
      </c>
      <c r="C12101" s="13">
        <f>IFERROR(__xludf.DUMMYFUNCTION("""COMPUTED_VALUE"""),0.16666666666666666)</f>
        <v>0.1666666667</v>
      </c>
      <c r="D12101" s="8">
        <f>IFERROR(__xludf.DUMMYFUNCTION("""COMPUTED_VALUE"""),0.102)</f>
        <v>0.102</v>
      </c>
      <c r="E12101" s="8" t="str">
        <f>IFERROR(__xludf.DUMMYFUNCTION("""COMPUTED_VALUE"""),"Real")</f>
        <v>Real</v>
      </c>
      <c r="G12101" s="8">
        <f t="shared" si="1"/>
        <v>3</v>
      </c>
      <c r="H12101" s="14">
        <f t="shared" si="2"/>
        <v>19</v>
      </c>
      <c r="I12101" s="15">
        <f t="shared" si="3"/>
        <v>4</v>
      </c>
    </row>
    <row r="12102">
      <c r="A12102" s="8" t="str">
        <f>IFERROR(__xludf.DUMMYFUNCTION("IF('(INGESTA)Datos_consumo_datadis'!A12102&lt;&gt;"""",SPLIT('(INGESTA)Datos_consumo_datadis'!A:A,"",""),"""")"),"ES0031408323131005HX0F")</f>
        <v>ES0031408323131005HX0F</v>
      </c>
      <c r="B12102" s="12">
        <f>IFERROR(__xludf.DUMMYFUNCTION("""COMPUTED_VALUE"""),45370.0)</f>
        <v>45370</v>
      </c>
      <c r="C12102" s="13">
        <f>IFERROR(__xludf.DUMMYFUNCTION("""COMPUTED_VALUE"""),0.20833333333333334)</f>
        <v>0.2083333333</v>
      </c>
      <c r="D12102" s="8">
        <f>IFERROR(__xludf.DUMMYFUNCTION("""COMPUTED_VALUE"""),0.313)</f>
        <v>0.313</v>
      </c>
      <c r="E12102" s="8" t="str">
        <f>IFERROR(__xludf.DUMMYFUNCTION("""COMPUTED_VALUE"""),"Real")</f>
        <v>Real</v>
      </c>
      <c r="G12102" s="8">
        <f t="shared" si="1"/>
        <v>3</v>
      </c>
      <c r="H12102" s="14">
        <f t="shared" si="2"/>
        <v>19</v>
      </c>
      <c r="I12102" s="15">
        <f t="shared" si="3"/>
        <v>5</v>
      </c>
    </row>
    <row r="12103">
      <c r="A12103" s="8" t="str">
        <f>IFERROR(__xludf.DUMMYFUNCTION("IF('(INGESTA)Datos_consumo_datadis'!A12103&lt;&gt;"""",SPLIT('(INGESTA)Datos_consumo_datadis'!A:A,"",""),"""")"),"ES0031408323131005HX0F")</f>
        <v>ES0031408323131005HX0F</v>
      </c>
      <c r="B12103" s="12">
        <f>IFERROR(__xludf.DUMMYFUNCTION("""COMPUTED_VALUE"""),45370.0)</f>
        <v>45370</v>
      </c>
      <c r="C12103" s="13">
        <f>IFERROR(__xludf.DUMMYFUNCTION("""COMPUTED_VALUE"""),0.25)</f>
        <v>0.25</v>
      </c>
      <c r="D12103" s="8">
        <f>IFERROR(__xludf.DUMMYFUNCTION("""COMPUTED_VALUE"""),0.042)</f>
        <v>0.042</v>
      </c>
      <c r="E12103" s="8" t="str">
        <f>IFERROR(__xludf.DUMMYFUNCTION("""COMPUTED_VALUE"""),"Real")</f>
        <v>Real</v>
      </c>
      <c r="G12103" s="8">
        <f t="shared" si="1"/>
        <v>3</v>
      </c>
      <c r="H12103" s="14">
        <f t="shared" si="2"/>
        <v>19</v>
      </c>
      <c r="I12103" s="15">
        <f t="shared" si="3"/>
        <v>6</v>
      </c>
    </row>
    <row r="12104">
      <c r="A12104" s="8" t="str">
        <f>IFERROR(__xludf.DUMMYFUNCTION("IF('(INGESTA)Datos_consumo_datadis'!A12104&lt;&gt;"""",SPLIT('(INGESTA)Datos_consumo_datadis'!A:A,"",""),"""")"),"ES0031408323131005HX0F")</f>
        <v>ES0031408323131005HX0F</v>
      </c>
      <c r="B12104" s="12">
        <f>IFERROR(__xludf.DUMMYFUNCTION("""COMPUTED_VALUE"""),45370.0)</f>
        <v>45370</v>
      </c>
      <c r="C12104" s="13">
        <f>IFERROR(__xludf.DUMMYFUNCTION("""COMPUTED_VALUE"""),0.2916666666666667)</f>
        <v>0.2916666667</v>
      </c>
      <c r="D12104" s="8">
        <f>IFERROR(__xludf.DUMMYFUNCTION("""COMPUTED_VALUE"""),0.197)</f>
        <v>0.197</v>
      </c>
      <c r="E12104" s="8" t="str">
        <f>IFERROR(__xludf.DUMMYFUNCTION("""COMPUTED_VALUE"""),"Real")</f>
        <v>Real</v>
      </c>
      <c r="G12104" s="8">
        <f t="shared" si="1"/>
        <v>3</v>
      </c>
      <c r="H12104" s="14">
        <f t="shared" si="2"/>
        <v>19</v>
      </c>
      <c r="I12104" s="15">
        <f t="shared" si="3"/>
        <v>7</v>
      </c>
    </row>
    <row r="12105">
      <c r="A12105" s="8" t="str">
        <f>IFERROR(__xludf.DUMMYFUNCTION("IF('(INGESTA)Datos_consumo_datadis'!A12105&lt;&gt;"""",SPLIT('(INGESTA)Datos_consumo_datadis'!A:A,"",""),"""")"),"ES0031408323131005HX0F")</f>
        <v>ES0031408323131005HX0F</v>
      </c>
      <c r="B12105" s="12">
        <f>IFERROR(__xludf.DUMMYFUNCTION("""COMPUTED_VALUE"""),45370.0)</f>
        <v>45370</v>
      </c>
      <c r="C12105" s="13">
        <f>IFERROR(__xludf.DUMMYFUNCTION("""COMPUTED_VALUE"""),0.3333333333333333)</f>
        <v>0.3333333333</v>
      </c>
      <c r="D12105" s="8">
        <f>IFERROR(__xludf.DUMMYFUNCTION("""COMPUTED_VALUE"""),0.253)</f>
        <v>0.253</v>
      </c>
      <c r="E12105" s="8" t="str">
        <f>IFERROR(__xludf.DUMMYFUNCTION("""COMPUTED_VALUE"""),"Real")</f>
        <v>Real</v>
      </c>
      <c r="G12105" s="8">
        <f t="shared" si="1"/>
        <v>3</v>
      </c>
      <c r="H12105" s="14">
        <f t="shared" si="2"/>
        <v>19</v>
      </c>
      <c r="I12105" s="15">
        <f t="shared" si="3"/>
        <v>8</v>
      </c>
    </row>
    <row r="12106">
      <c r="A12106" s="8" t="str">
        <f>IFERROR(__xludf.DUMMYFUNCTION("IF('(INGESTA)Datos_consumo_datadis'!A12106&lt;&gt;"""",SPLIT('(INGESTA)Datos_consumo_datadis'!A:A,"",""),"""")"),"ES0031408323131005HX0F")</f>
        <v>ES0031408323131005HX0F</v>
      </c>
      <c r="B12106" s="12">
        <f>IFERROR(__xludf.DUMMYFUNCTION("""COMPUTED_VALUE"""),45370.0)</f>
        <v>45370</v>
      </c>
      <c r="C12106" s="13">
        <f>IFERROR(__xludf.DUMMYFUNCTION("""COMPUTED_VALUE"""),0.375)</f>
        <v>0.375</v>
      </c>
      <c r="D12106" s="8">
        <f>IFERROR(__xludf.DUMMYFUNCTION("""COMPUTED_VALUE"""),0.137)</f>
        <v>0.137</v>
      </c>
      <c r="E12106" s="8" t="str">
        <f>IFERROR(__xludf.DUMMYFUNCTION("""COMPUTED_VALUE"""),"Real")</f>
        <v>Real</v>
      </c>
      <c r="G12106" s="8">
        <f t="shared" si="1"/>
        <v>3</v>
      </c>
      <c r="H12106" s="14">
        <f t="shared" si="2"/>
        <v>19</v>
      </c>
      <c r="I12106" s="15">
        <f t="shared" si="3"/>
        <v>9</v>
      </c>
    </row>
    <row r="12107">
      <c r="A12107" s="8" t="str">
        <f>IFERROR(__xludf.DUMMYFUNCTION("IF('(INGESTA)Datos_consumo_datadis'!A12107&lt;&gt;"""",SPLIT('(INGESTA)Datos_consumo_datadis'!A:A,"",""),"""")"),"ES0031408323131005HX0F")</f>
        <v>ES0031408323131005HX0F</v>
      </c>
      <c r="B12107" s="12">
        <f>IFERROR(__xludf.DUMMYFUNCTION("""COMPUTED_VALUE"""),45370.0)</f>
        <v>45370</v>
      </c>
      <c r="C12107" s="13">
        <f>IFERROR(__xludf.DUMMYFUNCTION("""COMPUTED_VALUE"""),0.4166666666666667)</f>
        <v>0.4166666667</v>
      </c>
      <c r="D12107" s="8">
        <f>IFERROR(__xludf.DUMMYFUNCTION("""COMPUTED_VALUE"""),0.957)</f>
        <v>0.957</v>
      </c>
      <c r="E12107" s="8" t="str">
        <f>IFERROR(__xludf.DUMMYFUNCTION("""COMPUTED_VALUE"""),"Real")</f>
        <v>Real</v>
      </c>
      <c r="G12107" s="8">
        <f t="shared" si="1"/>
        <v>3</v>
      </c>
      <c r="H12107" s="14">
        <f t="shared" si="2"/>
        <v>19</v>
      </c>
      <c r="I12107" s="15">
        <f t="shared" si="3"/>
        <v>10</v>
      </c>
    </row>
    <row r="12108">
      <c r="A12108" s="8" t="str">
        <f>IFERROR(__xludf.DUMMYFUNCTION("IF('(INGESTA)Datos_consumo_datadis'!A12108&lt;&gt;"""",SPLIT('(INGESTA)Datos_consumo_datadis'!A:A,"",""),"""")"),"ES0031408323131005HX0F")</f>
        <v>ES0031408323131005HX0F</v>
      </c>
      <c r="B12108" s="12">
        <f>IFERROR(__xludf.DUMMYFUNCTION("""COMPUTED_VALUE"""),45370.0)</f>
        <v>45370</v>
      </c>
      <c r="C12108" s="13">
        <f>IFERROR(__xludf.DUMMYFUNCTION("""COMPUTED_VALUE"""),0.4583333333333333)</f>
        <v>0.4583333333</v>
      </c>
      <c r="D12108" s="8">
        <f>IFERROR(__xludf.DUMMYFUNCTION("""COMPUTED_VALUE"""),1.106)</f>
        <v>1.106</v>
      </c>
      <c r="E12108" s="8" t="str">
        <f>IFERROR(__xludf.DUMMYFUNCTION("""COMPUTED_VALUE"""),"Real")</f>
        <v>Real</v>
      </c>
      <c r="G12108" s="8">
        <f t="shared" si="1"/>
        <v>3</v>
      </c>
      <c r="H12108" s="14">
        <f t="shared" si="2"/>
        <v>19</v>
      </c>
      <c r="I12108" s="15">
        <f t="shared" si="3"/>
        <v>11</v>
      </c>
    </row>
    <row r="12109">
      <c r="A12109" s="8" t="str">
        <f>IFERROR(__xludf.DUMMYFUNCTION("IF('(INGESTA)Datos_consumo_datadis'!A12109&lt;&gt;"""",SPLIT('(INGESTA)Datos_consumo_datadis'!A:A,"",""),"""")"),"ES0031408323131005HX0F")</f>
        <v>ES0031408323131005HX0F</v>
      </c>
      <c r="B12109" s="12">
        <f>IFERROR(__xludf.DUMMYFUNCTION("""COMPUTED_VALUE"""),45370.0)</f>
        <v>45370</v>
      </c>
      <c r="C12109" s="13">
        <f>IFERROR(__xludf.DUMMYFUNCTION("""COMPUTED_VALUE"""),0.5)</f>
        <v>0.5</v>
      </c>
      <c r="D12109" s="8">
        <f>IFERROR(__xludf.DUMMYFUNCTION("""COMPUTED_VALUE"""),0.152)</f>
        <v>0.152</v>
      </c>
      <c r="E12109" s="8" t="str">
        <f>IFERROR(__xludf.DUMMYFUNCTION("""COMPUTED_VALUE"""),"Real")</f>
        <v>Real</v>
      </c>
      <c r="G12109" s="8">
        <f t="shared" si="1"/>
        <v>3</v>
      </c>
      <c r="H12109" s="14">
        <f t="shared" si="2"/>
        <v>19</v>
      </c>
      <c r="I12109" s="15">
        <f t="shared" si="3"/>
        <v>12</v>
      </c>
    </row>
    <row r="12110">
      <c r="A12110" s="8" t="str">
        <f>IFERROR(__xludf.DUMMYFUNCTION("IF('(INGESTA)Datos_consumo_datadis'!A12110&lt;&gt;"""",SPLIT('(INGESTA)Datos_consumo_datadis'!A:A,"",""),"""")"),"ES0031408323131005HX0F")</f>
        <v>ES0031408323131005HX0F</v>
      </c>
      <c r="B12110" s="12">
        <f>IFERROR(__xludf.DUMMYFUNCTION("""COMPUTED_VALUE"""),45370.0)</f>
        <v>45370</v>
      </c>
      <c r="C12110" s="13">
        <f>IFERROR(__xludf.DUMMYFUNCTION("""COMPUTED_VALUE"""),0.5416666666666666)</f>
        <v>0.5416666667</v>
      </c>
      <c r="D12110" s="8">
        <f>IFERROR(__xludf.DUMMYFUNCTION("""COMPUTED_VALUE"""),0.917)</f>
        <v>0.917</v>
      </c>
      <c r="E12110" s="8" t="str">
        <f>IFERROR(__xludf.DUMMYFUNCTION("""COMPUTED_VALUE"""),"Real")</f>
        <v>Real</v>
      </c>
      <c r="G12110" s="8">
        <f t="shared" si="1"/>
        <v>3</v>
      </c>
      <c r="H12110" s="14">
        <f t="shared" si="2"/>
        <v>19</v>
      </c>
      <c r="I12110" s="15">
        <f t="shared" si="3"/>
        <v>13</v>
      </c>
    </row>
    <row r="12111">
      <c r="A12111" s="8" t="str">
        <f>IFERROR(__xludf.DUMMYFUNCTION("IF('(INGESTA)Datos_consumo_datadis'!A12111&lt;&gt;"""",SPLIT('(INGESTA)Datos_consumo_datadis'!A:A,"",""),"""")"),"ES0031408323131005HX0F")</f>
        <v>ES0031408323131005HX0F</v>
      </c>
      <c r="B12111" s="12">
        <f>IFERROR(__xludf.DUMMYFUNCTION("""COMPUTED_VALUE"""),45370.0)</f>
        <v>45370</v>
      </c>
      <c r="C12111" s="13">
        <f>IFERROR(__xludf.DUMMYFUNCTION("""COMPUTED_VALUE"""),0.5833333333333334)</f>
        <v>0.5833333333</v>
      </c>
      <c r="D12111" s="8">
        <f>IFERROR(__xludf.DUMMYFUNCTION("""COMPUTED_VALUE"""),1.385)</f>
        <v>1.385</v>
      </c>
      <c r="E12111" s="8" t="str">
        <f>IFERROR(__xludf.DUMMYFUNCTION("""COMPUTED_VALUE"""),"Real")</f>
        <v>Real</v>
      </c>
      <c r="G12111" s="8">
        <f t="shared" si="1"/>
        <v>3</v>
      </c>
      <c r="H12111" s="14">
        <f t="shared" si="2"/>
        <v>19</v>
      </c>
      <c r="I12111" s="15">
        <f t="shared" si="3"/>
        <v>14</v>
      </c>
    </row>
    <row r="12112">
      <c r="A12112" s="8" t="str">
        <f>IFERROR(__xludf.DUMMYFUNCTION("IF('(INGESTA)Datos_consumo_datadis'!A12112&lt;&gt;"""",SPLIT('(INGESTA)Datos_consumo_datadis'!A:A,"",""),"""")"),"ES0031408323131005HX0F")</f>
        <v>ES0031408323131005HX0F</v>
      </c>
      <c r="B12112" s="12">
        <f>IFERROR(__xludf.DUMMYFUNCTION("""COMPUTED_VALUE"""),45370.0)</f>
        <v>45370</v>
      </c>
      <c r="C12112" s="13">
        <f>IFERROR(__xludf.DUMMYFUNCTION("""COMPUTED_VALUE"""),0.625)</f>
        <v>0.625</v>
      </c>
      <c r="D12112" s="8">
        <f>IFERROR(__xludf.DUMMYFUNCTION("""COMPUTED_VALUE"""),0.191)</f>
        <v>0.191</v>
      </c>
      <c r="E12112" s="8" t="str">
        <f>IFERROR(__xludf.DUMMYFUNCTION("""COMPUTED_VALUE"""),"Real")</f>
        <v>Real</v>
      </c>
      <c r="G12112" s="8">
        <f t="shared" si="1"/>
        <v>3</v>
      </c>
      <c r="H12112" s="14">
        <f t="shared" si="2"/>
        <v>19</v>
      </c>
      <c r="I12112" s="15">
        <f t="shared" si="3"/>
        <v>15</v>
      </c>
    </row>
    <row r="12113">
      <c r="A12113" s="8" t="str">
        <f>IFERROR(__xludf.DUMMYFUNCTION("IF('(INGESTA)Datos_consumo_datadis'!A12113&lt;&gt;"""",SPLIT('(INGESTA)Datos_consumo_datadis'!A:A,"",""),"""")"),"ES0031408323131005HX0F")</f>
        <v>ES0031408323131005HX0F</v>
      </c>
      <c r="B12113" s="12">
        <f>IFERROR(__xludf.DUMMYFUNCTION("""COMPUTED_VALUE"""),45370.0)</f>
        <v>45370</v>
      </c>
      <c r="C12113" s="13">
        <f>IFERROR(__xludf.DUMMYFUNCTION("""COMPUTED_VALUE"""),0.6666666666666666)</f>
        <v>0.6666666667</v>
      </c>
      <c r="D12113" s="8">
        <f>IFERROR(__xludf.DUMMYFUNCTION("""COMPUTED_VALUE"""),1.095)</f>
        <v>1.095</v>
      </c>
      <c r="E12113" s="8" t="str">
        <f>IFERROR(__xludf.DUMMYFUNCTION("""COMPUTED_VALUE"""),"Real")</f>
        <v>Real</v>
      </c>
      <c r="G12113" s="8">
        <f t="shared" si="1"/>
        <v>3</v>
      </c>
      <c r="H12113" s="14">
        <f t="shared" si="2"/>
        <v>19</v>
      </c>
      <c r="I12113" s="15">
        <f t="shared" si="3"/>
        <v>16</v>
      </c>
    </row>
    <row r="12114">
      <c r="A12114" s="8" t="str">
        <f>IFERROR(__xludf.DUMMYFUNCTION("IF('(INGESTA)Datos_consumo_datadis'!A12114&lt;&gt;"""",SPLIT('(INGESTA)Datos_consumo_datadis'!A:A,"",""),"""")"),"ES0031408323131005HX0F")</f>
        <v>ES0031408323131005HX0F</v>
      </c>
      <c r="B12114" s="12">
        <f>IFERROR(__xludf.DUMMYFUNCTION("""COMPUTED_VALUE"""),45370.0)</f>
        <v>45370</v>
      </c>
      <c r="C12114" s="13">
        <f>IFERROR(__xludf.DUMMYFUNCTION("""COMPUTED_VALUE"""),0.7083333333333334)</f>
        <v>0.7083333333</v>
      </c>
      <c r="D12114" s="8">
        <f>IFERROR(__xludf.DUMMYFUNCTION("""COMPUTED_VALUE"""),0.094)</f>
        <v>0.094</v>
      </c>
      <c r="E12114" s="8" t="str">
        <f>IFERROR(__xludf.DUMMYFUNCTION("""COMPUTED_VALUE"""),"Real")</f>
        <v>Real</v>
      </c>
      <c r="G12114" s="8">
        <f t="shared" si="1"/>
        <v>3</v>
      </c>
      <c r="H12114" s="14">
        <f t="shared" si="2"/>
        <v>19</v>
      </c>
      <c r="I12114" s="15">
        <f t="shared" si="3"/>
        <v>17</v>
      </c>
    </row>
    <row r="12115">
      <c r="A12115" s="8" t="str">
        <f>IFERROR(__xludf.DUMMYFUNCTION("IF('(INGESTA)Datos_consumo_datadis'!A12115&lt;&gt;"""",SPLIT('(INGESTA)Datos_consumo_datadis'!A:A,"",""),"""")"),"ES0031408323131005HX0F")</f>
        <v>ES0031408323131005HX0F</v>
      </c>
      <c r="B12115" s="12">
        <f>IFERROR(__xludf.DUMMYFUNCTION("""COMPUTED_VALUE"""),45370.0)</f>
        <v>45370</v>
      </c>
      <c r="C12115" s="13">
        <f>IFERROR(__xludf.DUMMYFUNCTION("""COMPUTED_VALUE"""),0.75)</f>
        <v>0.75</v>
      </c>
      <c r="D12115" s="8">
        <f>IFERROR(__xludf.DUMMYFUNCTION("""COMPUTED_VALUE"""),0.022)</f>
        <v>0.022</v>
      </c>
      <c r="E12115" s="8" t="str">
        <f>IFERROR(__xludf.DUMMYFUNCTION("""COMPUTED_VALUE"""),"Real")</f>
        <v>Real</v>
      </c>
      <c r="G12115" s="8">
        <f t="shared" si="1"/>
        <v>3</v>
      </c>
      <c r="H12115" s="14">
        <f t="shared" si="2"/>
        <v>19</v>
      </c>
      <c r="I12115" s="15">
        <f t="shared" si="3"/>
        <v>18</v>
      </c>
    </row>
    <row r="12116">
      <c r="A12116" s="8" t="str">
        <f>IFERROR(__xludf.DUMMYFUNCTION("IF('(INGESTA)Datos_consumo_datadis'!A12116&lt;&gt;"""",SPLIT('(INGESTA)Datos_consumo_datadis'!A:A,"",""),"""")"),"ES0031408323131005HX0F")</f>
        <v>ES0031408323131005HX0F</v>
      </c>
      <c r="B12116" s="12">
        <f>IFERROR(__xludf.DUMMYFUNCTION("""COMPUTED_VALUE"""),45370.0)</f>
        <v>45370</v>
      </c>
      <c r="C12116" s="13">
        <f>IFERROR(__xludf.DUMMYFUNCTION("""COMPUTED_VALUE"""),0.7916666666666666)</f>
        <v>0.7916666667</v>
      </c>
      <c r="D12116" s="8">
        <f>IFERROR(__xludf.DUMMYFUNCTION("""COMPUTED_VALUE"""),0.096)</f>
        <v>0.096</v>
      </c>
      <c r="E12116" s="8" t="str">
        <f>IFERROR(__xludf.DUMMYFUNCTION("""COMPUTED_VALUE"""),"Real")</f>
        <v>Real</v>
      </c>
      <c r="G12116" s="8">
        <f t="shared" si="1"/>
        <v>3</v>
      </c>
      <c r="H12116" s="14">
        <f t="shared" si="2"/>
        <v>19</v>
      </c>
      <c r="I12116" s="15">
        <f t="shared" si="3"/>
        <v>19</v>
      </c>
    </row>
    <row r="12117">
      <c r="A12117" s="8" t="str">
        <f>IFERROR(__xludf.DUMMYFUNCTION("IF('(INGESTA)Datos_consumo_datadis'!A12117&lt;&gt;"""",SPLIT('(INGESTA)Datos_consumo_datadis'!A:A,"",""),"""")"),"ES0031408323131005HX0F")</f>
        <v>ES0031408323131005HX0F</v>
      </c>
      <c r="B12117" s="12">
        <f>IFERROR(__xludf.DUMMYFUNCTION("""COMPUTED_VALUE"""),45370.0)</f>
        <v>45370</v>
      </c>
      <c r="C12117" s="13">
        <f>IFERROR(__xludf.DUMMYFUNCTION("""COMPUTED_VALUE"""),0.8333333333333334)</f>
        <v>0.8333333333</v>
      </c>
      <c r="D12117" s="8">
        <f>IFERROR(__xludf.DUMMYFUNCTION("""COMPUTED_VALUE"""),0.636)</f>
        <v>0.636</v>
      </c>
      <c r="E12117" s="8" t="str">
        <f>IFERROR(__xludf.DUMMYFUNCTION("""COMPUTED_VALUE"""),"Real")</f>
        <v>Real</v>
      </c>
      <c r="G12117" s="8">
        <f t="shared" si="1"/>
        <v>3</v>
      </c>
      <c r="H12117" s="14">
        <f t="shared" si="2"/>
        <v>19</v>
      </c>
      <c r="I12117" s="15">
        <f t="shared" si="3"/>
        <v>20</v>
      </c>
    </row>
    <row r="12118">
      <c r="A12118" s="8" t="str">
        <f>IFERROR(__xludf.DUMMYFUNCTION("IF('(INGESTA)Datos_consumo_datadis'!A12118&lt;&gt;"""",SPLIT('(INGESTA)Datos_consumo_datadis'!A:A,"",""),"""")"),"ES0031408323131005HX0F")</f>
        <v>ES0031408323131005HX0F</v>
      </c>
      <c r="B12118" s="12">
        <f>IFERROR(__xludf.DUMMYFUNCTION("""COMPUTED_VALUE"""),45370.0)</f>
        <v>45370</v>
      </c>
      <c r="C12118" s="13">
        <f>IFERROR(__xludf.DUMMYFUNCTION("""COMPUTED_VALUE"""),0.875)</f>
        <v>0.875</v>
      </c>
      <c r="D12118" s="8">
        <f>IFERROR(__xludf.DUMMYFUNCTION("""COMPUTED_VALUE"""),3.464)</f>
        <v>3.464</v>
      </c>
      <c r="E12118" s="8" t="str">
        <f>IFERROR(__xludf.DUMMYFUNCTION("""COMPUTED_VALUE"""),"Real")</f>
        <v>Real</v>
      </c>
      <c r="G12118" s="8">
        <f t="shared" si="1"/>
        <v>3</v>
      </c>
      <c r="H12118" s="14">
        <f t="shared" si="2"/>
        <v>19</v>
      </c>
      <c r="I12118" s="15">
        <f t="shared" si="3"/>
        <v>21</v>
      </c>
    </row>
    <row r="12119">
      <c r="A12119" s="8" t="str">
        <f>IFERROR(__xludf.DUMMYFUNCTION("IF('(INGESTA)Datos_consumo_datadis'!A12119&lt;&gt;"""",SPLIT('(INGESTA)Datos_consumo_datadis'!A:A,"",""),"""")"),"ES0031408323131005HX0F")</f>
        <v>ES0031408323131005HX0F</v>
      </c>
      <c r="B12119" s="12">
        <f>IFERROR(__xludf.DUMMYFUNCTION("""COMPUTED_VALUE"""),45370.0)</f>
        <v>45370</v>
      </c>
      <c r="C12119" s="13">
        <f>IFERROR(__xludf.DUMMYFUNCTION("""COMPUTED_VALUE"""),0.9166666666666666)</f>
        <v>0.9166666667</v>
      </c>
      <c r="D12119" s="8">
        <f>IFERROR(__xludf.DUMMYFUNCTION("""COMPUTED_VALUE"""),1.273)</f>
        <v>1.273</v>
      </c>
      <c r="E12119" s="8" t="str">
        <f>IFERROR(__xludf.DUMMYFUNCTION("""COMPUTED_VALUE"""),"Real")</f>
        <v>Real</v>
      </c>
      <c r="G12119" s="8">
        <f t="shared" si="1"/>
        <v>3</v>
      </c>
      <c r="H12119" s="14">
        <f t="shared" si="2"/>
        <v>19</v>
      </c>
      <c r="I12119" s="15">
        <f t="shared" si="3"/>
        <v>22</v>
      </c>
    </row>
    <row r="12120">
      <c r="A12120" s="8" t="str">
        <f>IFERROR(__xludf.DUMMYFUNCTION("IF('(INGESTA)Datos_consumo_datadis'!A12120&lt;&gt;"""",SPLIT('(INGESTA)Datos_consumo_datadis'!A:A,"",""),"""")"),"ES0031408323131005HX0F")</f>
        <v>ES0031408323131005HX0F</v>
      </c>
      <c r="B12120" s="12">
        <f>IFERROR(__xludf.DUMMYFUNCTION("""COMPUTED_VALUE"""),45370.0)</f>
        <v>45370</v>
      </c>
      <c r="C12120" s="13">
        <f>IFERROR(__xludf.DUMMYFUNCTION("""COMPUTED_VALUE"""),0.9583333333333334)</f>
        <v>0.9583333333</v>
      </c>
      <c r="D12120" s="8">
        <f>IFERROR(__xludf.DUMMYFUNCTION("""COMPUTED_VALUE"""),1.095)</f>
        <v>1.095</v>
      </c>
      <c r="E12120" s="8" t="str">
        <f>IFERROR(__xludf.DUMMYFUNCTION("""COMPUTED_VALUE"""),"Real")</f>
        <v>Real</v>
      </c>
      <c r="G12120" s="8">
        <f t="shared" si="1"/>
        <v>3</v>
      </c>
      <c r="H12120" s="14">
        <f t="shared" si="2"/>
        <v>19</v>
      </c>
      <c r="I12120" s="15">
        <f t="shared" si="3"/>
        <v>23</v>
      </c>
    </row>
    <row r="12121">
      <c r="A12121" s="8" t="str">
        <f>IFERROR(__xludf.DUMMYFUNCTION("IF('(INGESTA)Datos_consumo_datadis'!A12121&lt;&gt;"""",SPLIT('(INGESTA)Datos_consumo_datadis'!A:A,"",""),"""")"),"ES0031408323131005HX0F")</f>
        <v>ES0031408323131005HX0F</v>
      </c>
      <c r="B12121" s="12">
        <f>IFERROR(__xludf.DUMMYFUNCTION("""COMPUTED_VALUE"""),45370.0)</f>
        <v>45370</v>
      </c>
      <c r="C12121" s="16">
        <f>IFERROR(__xludf.DUMMYFUNCTION("""COMPUTED_VALUE"""),1.0)</f>
        <v>1</v>
      </c>
      <c r="D12121" s="8">
        <f>IFERROR(__xludf.DUMMYFUNCTION("""COMPUTED_VALUE"""),0.865)</f>
        <v>0.865</v>
      </c>
      <c r="E12121" s="8" t="str">
        <f>IFERROR(__xludf.DUMMYFUNCTION("""COMPUTED_VALUE"""),"Real")</f>
        <v>Real</v>
      </c>
      <c r="G12121" s="8">
        <f t="shared" si="1"/>
        <v>3</v>
      </c>
      <c r="H12121" s="14">
        <f t="shared" si="2"/>
        <v>19</v>
      </c>
      <c r="I12121" s="15">
        <f t="shared" si="3"/>
        <v>0</v>
      </c>
    </row>
    <row r="12122">
      <c r="A12122" s="8" t="str">
        <f>IFERROR(__xludf.DUMMYFUNCTION("IF('(INGESTA)Datos_consumo_datadis'!A12122&lt;&gt;"""",SPLIT('(INGESTA)Datos_consumo_datadis'!A:A,"",""),"""")"),"ES0031408323131005HX0F")</f>
        <v>ES0031408323131005HX0F</v>
      </c>
      <c r="B12122" s="12">
        <f>IFERROR(__xludf.DUMMYFUNCTION("""COMPUTED_VALUE"""),45371.0)</f>
        <v>45371</v>
      </c>
      <c r="C12122" s="13">
        <f>IFERROR(__xludf.DUMMYFUNCTION("""COMPUTED_VALUE"""),0.041666666666666664)</f>
        <v>0.04166666667</v>
      </c>
      <c r="D12122" s="8">
        <f>IFERROR(__xludf.DUMMYFUNCTION("""COMPUTED_VALUE"""),0.03)</f>
        <v>0.03</v>
      </c>
      <c r="E12122" s="8" t="str">
        <f>IFERROR(__xludf.DUMMYFUNCTION("""COMPUTED_VALUE"""),"Real")</f>
        <v>Real</v>
      </c>
      <c r="G12122" s="8">
        <f t="shared" si="1"/>
        <v>3</v>
      </c>
      <c r="H12122" s="14">
        <f t="shared" si="2"/>
        <v>20</v>
      </c>
      <c r="I12122" s="15">
        <f t="shared" si="3"/>
        <v>1</v>
      </c>
    </row>
    <row r="12123">
      <c r="A12123" s="8" t="str">
        <f>IFERROR(__xludf.DUMMYFUNCTION("IF('(INGESTA)Datos_consumo_datadis'!A12123&lt;&gt;"""",SPLIT('(INGESTA)Datos_consumo_datadis'!A:A,"",""),"""")"),"ES0031408323131005HX0F")</f>
        <v>ES0031408323131005HX0F</v>
      </c>
      <c r="B12123" s="12">
        <f>IFERROR(__xludf.DUMMYFUNCTION("""COMPUTED_VALUE"""),45371.0)</f>
        <v>45371</v>
      </c>
      <c r="C12123" s="13">
        <f>IFERROR(__xludf.DUMMYFUNCTION("""COMPUTED_VALUE"""),0.08333333333333333)</f>
        <v>0.08333333333</v>
      </c>
      <c r="D12123" s="8">
        <f>IFERROR(__xludf.DUMMYFUNCTION("""COMPUTED_VALUE"""),0.101)</f>
        <v>0.101</v>
      </c>
      <c r="E12123" s="8" t="str">
        <f>IFERROR(__xludf.DUMMYFUNCTION("""COMPUTED_VALUE"""),"Real")</f>
        <v>Real</v>
      </c>
      <c r="G12123" s="8">
        <f t="shared" si="1"/>
        <v>3</v>
      </c>
      <c r="H12123" s="14">
        <f t="shared" si="2"/>
        <v>20</v>
      </c>
      <c r="I12123" s="15">
        <f t="shared" si="3"/>
        <v>2</v>
      </c>
    </row>
    <row r="12124">
      <c r="A12124" s="8" t="str">
        <f>IFERROR(__xludf.DUMMYFUNCTION("IF('(INGESTA)Datos_consumo_datadis'!A12124&lt;&gt;"""",SPLIT('(INGESTA)Datos_consumo_datadis'!A:A,"",""),"""")"),"ES0031408323131005HX0F")</f>
        <v>ES0031408323131005HX0F</v>
      </c>
      <c r="B12124" s="12">
        <f>IFERROR(__xludf.DUMMYFUNCTION("""COMPUTED_VALUE"""),45371.0)</f>
        <v>45371</v>
      </c>
      <c r="C12124" s="13">
        <f>IFERROR(__xludf.DUMMYFUNCTION("""COMPUTED_VALUE"""),0.125)</f>
        <v>0.125</v>
      </c>
      <c r="D12124" s="8">
        <f>IFERROR(__xludf.DUMMYFUNCTION("""COMPUTED_VALUE"""),0.051)</f>
        <v>0.051</v>
      </c>
      <c r="E12124" s="8" t="str">
        <f>IFERROR(__xludf.DUMMYFUNCTION("""COMPUTED_VALUE"""),"Real")</f>
        <v>Real</v>
      </c>
      <c r="G12124" s="8">
        <f t="shared" si="1"/>
        <v>3</v>
      </c>
      <c r="H12124" s="14">
        <f t="shared" si="2"/>
        <v>20</v>
      </c>
      <c r="I12124" s="15">
        <f t="shared" si="3"/>
        <v>3</v>
      </c>
    </row>
    <row r="12125">
      <c r="A12125" s="8" t="str">
        <f>IFERROR(__xludf.DUMMYFUNCTION("IF('(INGESTA)Datos_consumo_datadis'!A12125&lt;&gt;"""",SPLIT('(INGESTA)Datos_consumo_datadis'!A:A,"",""),"""")"),"ES0031408323131005HX0F")</f>
        <v>ES0031408323131005HX0F</v>
      </c>
      <c r="B12125" s="12">
        <f>IFERROR(__xludf.DUMMYFUNCTION("""COMPUTED_VALUE"""),45371.0)</f>
        <v>45371</v>
      </c>
      <c r="C12125" s="13">
        <f>IFERROR(__xludf.DUMMYFUNCTION("""COMPUTED_VALUE"""),0.16666666666666666)</f>
        <v>0.1666666667</v>
      </c>
      <c r="D12125" s="8">
        <f>IFERROR(__xludf.DUMMYFUNCTION("""COMPUTED_VALUE"""),0.042)</f>
        <v>0.042</v>
      </c>
      <c r="E12125" s="8" t="str">
        <f>IFERROR(__xludf.DUMMYFUNCTION("""COMPUTED_VALUE"""),"Real")</f>
        <v>Real</v>
      </c>
      <c r="G12125" s="8">
        <f t="shared" si="1"/>
        <v>3</v>
      </c>
      <c r="H12125" s="14">
        <f t="shared" si="2"/>
        <v>20</v>
      </c>
      <c r="I12125" s="15">
        <f t="shared" si="3"/>
        <v>4</v>
      </c>
    </row>
    <row r="12126">
      <c r="A12126" s="8" t="str">
        <f>IFERROR(__xludf.DUMMYFUNCTION("IF('(INGESTA)Datos_consumo_datadis'!A12126&lt;&gt;"""",SPLIT('(INGESTA)Datos_consumo_datadis'!A:A,"",""),"""")"),"ES0031408323131005HX0F")</f>
        <v>ES0031408323131005HX0F</v>
      </c>
      <c r="B12126" s="12">
        <f>IFERROR(__xludf.DUMMYFUNCTION("""COMPUTED_VALUE"""),45371.0)</f>
        <v>45371</v>
      </c>
      <c r="C12126" s="13">
        <f>IFERROR(__xludf.DUMMYFUNCTION("""COMPUTED_VALUE"""),0.20833333333333334)</f>
        <v>0.2083333333</v>
      </c>
      <c r="D12126" s="8">
        <f>IFERROR(__xludf.DUMMYFUNCTION("""COMPUTED_VALUE"""),0.175)</f>
        <v>0.175</v>
      </c>
      <c r="E12126" s="8" t="str">
        <f>IFERROR(__xludf.DUMMYFUNCTION("""COMPUTED_VALUE"""),"Real")</f>
        <v>Real</v>
      </c>
      <c r="G12126" s="8">
        <f t="shared" si="1"/>
        <v>3</v>
      </c>
      <c r="H12126" s="14">
        <f t="shared" si="2"/>
        <v>20</v>
      </c>
      <c r="I12126" s="15">
        <f t="shared" si="3"/>
        <v>5</v>
      </c>
    </row>
    <row r="12127">
      <c r="A12127" s="8" t="str">
        <f>IFERROR(__xludf.DUMMYFUNCTION("IF('(INGESTA)Datos_consumo_datadis'!A12127&lt;&gt;"""",SPLIT('(INGESTA)Datos_consumo_datadis'!A:A,"",""),"""")"),"ES0031408323131005HX0F")</f>
        <v>ES0031408323131005HX0F</v>
      </c>
      <c r="B12127" s="12">
        <f>IFERROR(__xludf.DUMMYFUNCTION("""COMPUTED_VALUE"""),45371.0)</f>
        <v>45371</v>
      </c>
      <c r="C12127" s="13">
        <f>IFERROR(__xludf.DUMMYFUNCTION("""COMPUTED_VALUE"""),0.25)</f>
        <v>0.25</v>
      </c>
      <c r="D12127" s="8">
        <f>IFERROR(__xludf.DUMMYFUNCTION("""COMPUTED_VALUE"""),0.32)</f>
        <v>0.32</v>
      </c>
      <c r="E12127" s="8" t="str">
        <f>IFERROR(__xludf.DUMMYFUNCTION("""COMPUTED_VALUE"""),"Real")</f>
        <v>Real</v>
      </c>
      <c r="G12127" s="8">
        <f t="shared" si="1"/>
        <v>3</v>
      </c>
      <c r="H12127" s="14">
        <f t="shared" si="2"/>
        <v>20</v>
      </c>
      <c r="I12127" s="15">
        <f t="shared" si="3"/>
        <v>6</v>
      </c>
    </row>
    <row r="12128">
      <c r="A12128" s="8" t="str">
        <f>IFERROR(__xludf.DUMMYFUNCTION("IF('(INGESTA)Datos_consumo_datadis'!A12128&lt;&gt;"""",SPLIT('(INGESTA)Datos_consumo_datadis'!A:A,"",""),"""")"),"ES0031408323131005HX0F")</f>
        <v>ES0031408323131005HX0F</v>
      </c>
      <c r="B12128" s="12">
        <f>IFERROR(__xludf.DUMMYFUNCTION("""COMPUTED_VALUE"""),45371.0)</f>
        <v>45371</v>
      </c>
      <c r="C12128" s="13">
        <f>IFERROR(__xludf.DUMMYFUNCTION("""COMPUTED_VALUE"""),0.2916666666666667)</f>
        <v>0.2916666667</v>
      </c>
      <c r="D12128" s="8">
        <f>IFERROR(__xludf.DUMMYFUNCTION("""COMPUTED_VALUE"""),0.064)</f>
        <v>0.064</v>
      </c>
      <c r="E12128" s="8" t="str">
        <f>IFERROR(__xludf.DUMMYFUNCTION("""COMPUTED_VALUE"""),"Real")</f>
        <v>Real</v>
      </c>
      <c r="G12128" s="8">
        <f t="shared" si="1"/>
        <v>3</v>
      </c>
      <c r="H12128" s="14">
        <f t="shared" si="2"/>
        <v>20</v>
      </c>
      <c r="I12128" s="15">
        <f t="shared" si="3"/>
        <v>7</v>
      </c>
    </row>
    <row r="12129">
      <c r="A12129" s="8" t="str">
        <f>IFERROR(__xludf.DUMMYFUNCTION("IF('(INGESTA)Datos_consumo_datadis'!A12129&lt;&gt;"""",SPLIT('(INGESTA)Datos_consumo_datadis'!A:A,"",""),"""")"),"ES0031408323131005HX0F")</f>
        <v>ES0031408323131005HX0F</v>
      </c>
      <c r="B12129" s="12">
        <f>IFERROR(__xludf.DUMMYFUNCTION("""COMPUTED_VALUE"""),45371.0)</f>
        <v>45371</v>
      </c>
      <c r="C12129" s="13">
        <f>IFERROR(__xludf.DUMMYFUNCTION("""COMPUTED_VALUE"""),0.3333333333333333)</f>
        <v>0.3333333333</v>
      </c>
      <c r="D12129" s="8">
        <f>IFERROR(__xludf.DUMMYFUNCTION("""COMPUTED_VALUE"""),1.07)</f>
        <v>1.07</v>
      </c>
      <c r="E12129" s="8" t="str">
        <f>IFERROR(__xludf.DUMMYFUNCTION("""COMPUTED_VALUE"""),"Real")</f>
        <v>Real</v>
      </c>
      <c r="G12129" s="8">
        <f t="shared" si="1"/>
        <v>3</v>
      </c>
      <c r="H12129" s="14">
        <f t="shared" si="2"/>
        <v>20</v>
      </c>
      <c r="I12129" s="15">
        <f t="shared" si="3"/>
        <v>8</v>
      </c>
    </row>
    <row r="12130">
      <c r="A12130" s="8" t="str">
        <f>IFERROR(__xludf.DUMMYFUNCTION("IF('(INGESTA)Datos_consumo_datadis'!A12130&lt;&gt;"""",SPLIT('(INGESTA)Datos_consumo_datadis'!A:A,"",""),"""")"),"ES0031408323131005HX0F")</f>
        <v>ES0031408323131005HX0F</v>
      </c>
      <c r="B12130" s="12">
        <f>IFERROR(__xludf.DUMMYFUNCTION("""COMPUTED_VALUE"""),45371.0)</f>
        <v>45371</v>
      </c>
      <c r="C12130" s="13">
        <f>IFERROR(__xludf.DUMMYFUNCTION("""COMPUTED_VALUE"""),0.375)</f>
        <v>0.375</v>
      </c>
      <c r="D12130" s="8">
        <f>IFERROR(__xludf.DUMMYFUNCTION("""COMPUTED_VALUE"""),0.447)</f>
        <v>0.447</v>
      </c>
      <c r="E12130" s="8" t="str">
        <f>IFERROR(__xludf.DUMMYFUNCTION("""COMPUTED_VALUE"""),"Real")</f>
        <v>Real</v>
      </c>
      <c r="G12130" s="8">
        <f t="shared" si="1"/>
        <v>3</v>
      </c>
      <c r="H12130" s="14">
        <f t="shared" si="2"/>
        <v>20</v>
      </c>
      <c r="I12130" s="15">
        <f t="shared" si="3"/>
        <v>9</v>
      </c>
    </row>
    <row r="12131">
      <c r="A12131" s="8" t="str">
        <f>IFERROR(__xludf.DUMMYFUNCTION("IF('(INGESTA)Datos_consumo_datadis'!A12131&lt;&gt;"""",SPLIT('(INGESTA)Datos_consumo_datadis'!A:A,"",""),"""")"),"ES0031408323131005HX0F")</f>
        <v>ES0031408323131005HX0F</v>
      </c>
      <c r="B12131" s="12">
        <f>IFERROR(__xludf.DUMMYFUNCTION("""COMPUTED_VALUE"""),45371.0)</f>
        <v>45371</v>
      </c>
      <c r="C12131" s="13">
        <f>IFERROR(__xludf.DUMMYFUNCTION("""COMPUTED_VALUE"""),0.4166666666666667)</f>
        <v>0.4166666667</v>
      </c>
      <c r="D12131" s="8">
        <f>IFERROR(__xludf.DUMMYFUNCTION("""COMPUTED_VALUE"""),0.938)</f>
        <v>0.938</v>
      </c>
      <c r="E12131" s="8" t="str">
        <f>IFERROR(__xludf.DUMMYFUNCTION("""COMPUTED_VALUE"""),"Real")</f>
        <v>Real</v>
      </c>
      <c r="G12131" s="8">
        <f t="shared" si="1"/>
        <v>3</v>
      </c>
      <c r="H12131" s="14">
        <f t="shared" si="2"/>
        <v>20</v>
      </c>
      <c r="I12131" s="15">
        <f t="shared" si="3"/>
        <v>10</v>
      </c>
    </row>
    <row r="12132">
      <c r="A12132" s="8" t="str">
        <f>IFERROR(__xludf.DUMMYFUNCTION("IF('(INGESTA)Datos_consumo_datadis'!A12132&lt;&gt;"""",SPLIT('(INGESTA)Datos_consumo_datadis'!A:A,"",""),"""")"),"ES0031408323131005HX0F")</f>
        <v>ES0031408323131005HX0F</v>
      </c>
      <c r="B12132" s="12">
        <f>IFERROR(__xludf.DUMMYFUNCTION("""COMPUTED_VALUE"""),45371.0)</f>
        <v>45371</v>
      </c>
      <c r="C12132" s="13">
        <f>IFERROR(__xludf.DUMMYFUNCTION("""COMPUTED_VALUE"""),0.4583333333333333)</f>
        <v>0.4583333333</v>
      </c>
      <c r="D12132" s="8">
        <f>IFERROR(__xludf.DUMMYFUNCTION("""COMPUTED_VALUE"""),0.064)</f>
        <v>0.064</v>
      </c>
      <c r="E12132" s="8" t="str">
        <f>IFERROR(__xludf.DUMMYFUNCTION("""COMPUTED_VALUE"""),"Real")</f>
        <v>Real</v>
      </c>
      <c r="G12132" s="8">
        <f t="shared" si="1"/>
        <v>3</v>
      </c>
      <c r="H12132" s="14">
        <f t="shared" si="2"/>
        <v>20</v>
      </c>
      <c r="I12132" s="15">
        <f t="shared" si="3"/>
        <v>11</v>
      </c>
    </row>
    <row r="12133">
      <c r="A12133" s="8" t="str">
        <f>IFERROR(__xludf.DUMMYFUNCTION("IF('(INGESTA)Datos_consumo_datadis'!A12133&lt;&gt;"""",SPLIT('(INGESTA)Datos_consumo_datadis'!A:A,"",""),"""")"),"ES0031408323131005HX0F")</f>
        <v>ES0031408323131005HX0F</v>
      </c>
      <c r="B12133" s="12">
        <f>IFERROR(__xludf.DUMMYFUNCTION("""COMPUTED_VALUE"""),45371.0)</f>
        <v>45371</v>
      </c>
      <c r="C12133" s="13">
        <f>IFERROR(__xludf.DUMMYFUNCTION("""COMPUTED_VALUE"""),0.5)</f>
        <v>0.5</v>
      </c>
      <c r="D12133" s="8">
        <f>IFERROR(__xludf.DUMMYFUNCTION("""COMPUTED_VALUE"""),0.091)</f>
        <v>0.091</v>
      </c>
      <c r="E12133" s="8" t="str">
        <f>IFERROR(__xludf.DUMMYFUNCTION("""COMPUTED_VALUE"""),"Real")</f>
        <v>Real</v>
      </c>
      <c r="G12133" s="8">
        <f t="shared" si="1"/>
        <v>3</v>
      </c>
      <c r="H12133" s="14">
        <f t="shared" si="2"/>
        <v>20</v>
      </c>
      <c r="I12133" s="15">
        <f t="shared" si="3"/>
        <v>12</v>
      </c>
    </row>
    <row r="12134">
      <c r="A12134" s="8" t="str">
        <f>IFERROR(__xludf.DUMMYFUNCTION("IF('(INGESTA)Datos_consumo_datadis'!A12134&lt;&gt;"""",SPLIT('(INGESTA)Datos_consumo_datadis'!A:A,"",""),"""")"),"ES0031408323131005HX0F")</f>
        <v>ES0031408323131005HX0F</v>
      </c>
      <c r="B12134" s="12">
        <f>IFERROR(__xludf.DUMMYFUNCTION("""COMPUTED_VALUE"""),45371.0)</f>
        <v>45371</v>
      </c>
      <c r="C12134" s="13">
        <f>IFERROR(__xludf.DUMMYFUNCTION("""COMPUTED_VALUE"""),0.5416666666666666)</f>
        <v>0.5416666667</v>
      </c>
      <c r="D12134" s="8">
        <f>IFERROR(__xludf.DUMMYFUNCTION("""COMPUTED_VALUE"""),0.769)</f>
        <v>0.769</v>
      </c>
      <c r="E12134" s="8" t="str">
        <f>IFERROR(__xludf.DUMMYFUNCTION("""COMPUTED_VALUE"""),"Real")</f>
        <v>Real</v>
      </c>
      <c r="G12134" s="8">
        <f t="shared" si="1"/>
        <v>3</v>
      </c>
      <c r="H12134" s="14">
        <f t="shared" si="2"/>
        <v>20</v>
      </c>
      <c r="I12134" s="15">
        <f t="shared" si="3"/>
        <v>13</v>
      </c>
    </row>
    <row r="12135">
      <c r="A12135" s="8" t="str">
        <f>IFERROR(__xludf.DUMMYFUNCTION("IF('(INGESTA)Datos_consumo_datadis'!A12135&lt;&gt;"""",SPLIT('(INGESTA)Datos_consumo_datadis'!A:A,"",""),"""")"),"ES0031408323131005HX0F")</f>
        <v>ES0031408323131005HX0F</v>
      </c>
      <c r="B12135" s="12">
        <f>IFERROR(__xludf.DUMMYFUNCTION("""COMPUTED_VALUE"""),45371.0)</f>
        <v>45371</v>
      </c>
      <c r="C12135" s="13">
        <f>IFERROR(__xludf.DUMMYFUNCTION("""COMPUTED_VALUE"""),0.5833333333333334)</f>
        <v>0.5833333333</v>
      </c>
      <c r="D12135" s="8">
        <f>IFERROR(__xludf.DUMMYFUNCTION("""COMPUTED_VALUE"""),0.794)</f>
        <v>0.794</v>
      </c>
      <c r="E12135" s="8" t="str">
        <f>IFERROR(__xludf.DUMMYFUNCTION("""COMPUTED_VALUE"""),"Real")</f>
        <v>Real</v>
      </c>
      <c r="G12135" s="8">
        <f t="shared" si="1"/>
        <v>3</v>
      </c>
      <c r="H12135" s="14">
        <f t="shared" si="2"/>
        <v>20</v>
      </c>
      <c r="I12135" s="15">
        <f t="shared" si="3"/>
        <v>14</v>
      </c>
    </row>
    <row r="12136">
      <c r="A12136" s="8" t="str">
        <f>IFERROR(__xludf.DUMMYFUNCTION("IF('(INGESTA)Datos_consumo_datadis'!A12136&lt;&gt;"""",SPLIT('(INGESTA)Datos_consumo_datadis'!A:A,"",""),"""")"),"ES0031408323131005HX0F")</f>
        <v>ES0031408323131005HX0F</v>
      </c>
      <c r="B12136" s="12">
        <f>IFERROR(__xludf.DUMMYFUNCTION("""COMPUTED_VALUE"""),45371.0)</f>
        <v>45371</v>
      </c>
      <c r="C12136" s="13">
        <f>IFERROR(__xludf.DUMMYFUNCTION("""COMPUTED_VALUE"""),0.625)</f>
        <v>0.625</v>
      </c>
      <c r="D12136" s="8">
        <f>IFERROR(__xludf.DUMMYFUNCTION("""COMPUTED_VALUE"""),0.484)</f>
        <v>0.484</v>
      </c>
      <c r="E12136" s="8" t="str">
        <f>IFERROR(__xludf.DUMMYFUNCTION("""COMPUTED_VALUE"""),"Real")</f>
        <v>Real</v>
      </c>
      <c r="G12136" s="8">
        <f t="shared" si="1"/>
        <v>3</v>
      </c>
      <c r="H12136" s="14">
        <f t="shared" si="2"/>
        <v>20</v>
      </c>
      <c r="I12136" s="15">
        <f t="shared" si="3"/>
        <v>15</v>
      </c>
    </row>
    <row r="12137">
      <c r="A12137" s="8" t="str">
        <f>IFERROR(__xludf.DUMMYFUNCTION("IF('(INGESTA)Datos_consumo_datadis'!A12137&lt;&gt;"""",SPLIT('(INGESTA)Datos_consumo_datadis'!A:A,"",""),"""")"),"ES0031408323131005HX0F")</f>
        <v>ES0031408323131005HX0F</v>
      </c>
      <c r="B12137" s="12">
        <f>IFERROR(__xludf.DUMMYFUNCTION("""COMPUTED_VALUE"""),45371.0)</f>
        <v>45371</v>
      </c>
      <c r="C12137" s="13">
        <f>IFERROR(__xludf.DUMMYFUNCTION("""COMPUTED_VALUE"""),0.6666666666666666)</f>
        <v>0.6666666667</v>
      </c>
      <c r="D12137" s="8">
        <f>IFERROR(__xludf.DUMMYFUNCTION("""COMPUTED_VALUE"""),0.541)</f>
        <v>0.541</v>
      </c>
      <c r="E12137" s="8" t="str">
        <f>IFERROR(__xludf.DUMMYFUNCTION("""COMPUTED_VALUE"""),"Real")</f>
        <v>Real</v>
      </c>
      <c r="G12137" s="8">
        <f t="shared" si="1"/>
        <v>3</v>
      </c>
      <c r="H12137" s="14">
        <f t="shared" si="2"/>
        <v>20</v>
      </c>
      <c r="I12137" s="15">
        <f t="shared" si="3"/>
        <v>16</v>
      </c>
    </row>
    <row r="12138">
      <c r="A12138" s="8" t="str">
        <f>IFERROR(__xludf.DUMMYFUNCTION("IF('(INGESTA)Datos_consumo_datadis'!A12138&lt;&gt;"""",SPLIT('(INGESTA)Datos_consumo_datadis'!A:A,"",""),"""")"),"ES0031408323131005HX0F")</f>
        <v>ES0031408323131005HX0F</v>
      </c>
      <c r="B12138" s="12">
        <f>IFERROR(__xludf.DUMMYFUNCTION("""COMPUTED_VALUE"""),45371.0)</f>
        <v>45371</v>
      </c>
      <c r="C12138" s="13">
        <f>IFERROR(__xludf.DUMMYFUNCTION("""COMPUTED_VALUE"""),0.7083333333333334)</f>
        <v>0.7083333333</v>
      </c>
      <c r="D12138" s="8">
        <f>IFERROR(__xludf.DUMMYFUNCTION("""COMPUTED_VALUE"""),0.108)</f>
        <v>0.108</v>
      </c>
      <c r="E12138" s="8" t="str">
        <f>IFERROR(__xludf.DUMMYFUNCTION("""COMPUTED_VALUE"""),"Real")</f>
        <v>Real</v>
      </c>
      <c r="G12138" s="8">
        <f t="shared" si="1"/>
        <v>3</v>
      </c>
      <c r="H12138" s="14">
        <f t="shared" si="2"/>
        <v>20</v>
      </c>
      <c r="I12138" s="15">
        <f t="shared" si="3"/>
        <v>17</v>
      </c>
    </row>
    <row r="12139">
      <c r="A12139" s="8" t="str">
        <f>IFERROR(__xludf.DUMMYFUNCTION("IF('(INGESTA)Datos_consumo_datadis'!A12139&lt;&gt;"""",SPLIT('(INGESTA)Datos_consumo_datadis'!A:A,"",""),"""")"),"ES0031408323131005HX0F")</f>
        <v>ES0031408323131005HX0F</v>
      </c>
      <c r="B12139" s="12">
        <f>IFERROR(__xludf.DUMMYFUNCTION("""COMPUTED_VALUE"""),45371.0)</f>
        <v>45371</v>
      </c>
      <c r="C12139" s="13">
        <f>IFERROR(__xludf.DUMMYFUNCTION("""COMPUTED_VALUE"""),0.75)</f>
        <v>0.75</v>
      </c>
      <c r="D12139" s="8">
        <f>IFERROR(__xludf.DUMMYFUNCTION("""COMPUTED_VALUE"""),0.048)</f>
        <v>0.048</v>
      </c>
      <c r="E12139" s="8" t="str">
        <f>IFERROR(__xludf.DUMMYFUNCTION("""COMPUTED_VALUE"""),"Real")</f>
        <v>Real</v>
      </c>
      <c r="G12139" s="8">
        <f t="shared" si="1"/>
        <v>3</v>
      </c>
      <c r="H12139" s="14">
        <f t="shared" si="2"/>
        <v>20</v>
      </c>
      <c r="I12139" s="15">
        <f t="shared" si="3"/>
        <v>18</v>
      </c>
    </row>
    <row r="12140">
      <c r="A12140" s="8" t="str">
        <f>IFERROR(__xludf.DUMMYFUNCTION("IF('(INGESTA)Datos_consumo_datadis'!A12140&lt;&gt;"""",SPLIT('(INGESTA)Datos_consumo_datadis'!A:A,"",""),"""")"),"ES0031408323131005HX0F")</f>
        <v>ES0031408323131005HX0F</v>
      </c>
      <c r="B12140" s="12">
        <f>IFERROR(__xludf.DUMMYFUNCTION("""COMPUTED_VALUE"""),45371.0)</f>
        <v>45371</v>
      </c>
      <c r="C12140" s="13">
        <f>IFERROR(__xludf.DUMMYFUNCTION("""COMPUTED_VALUE"""),0.7916666666666666)</f>
        <v>0.7916666667</v>
      </c>
      <c r="D12140" s="8">
        <f>IFERROR(__xludf.DUMMYFUNCTION("""COMPUTED_VALUE"""),0.059)</f>
        <v>0.059</v>
      </c>
      <c r="E12140" s="8" t="str">
        <f>IFERROR(__xludf.DUMMYFUNCTION("""COMPUTED_VALUE"""),"Real")</f>
        <v>Real</v>
      </c>
      <c r="G12140" s="8">
        <f t="shared" si="1"/>
        <v>3</v>
      </c>
      <c r="H12140" s="14">
        <f t="shared" si="2"/>
        <v>20</v>
      </c>
      <c r="I12140" s="15">
        <f t="shared" si="3"/>
        <v>19</v>
      </c>
    </row>
    <row r="12141">
      <c r="A12141" s="8" t="str">
        <f>IFERROR(__xludf.DUMMYFUNCTION("IF('(INGESTA)Datos_consumo_datadis'!A12141&lt;&gt;"""",SPLIT('(INGESTA)Datos_consumo_datadis'!A:A,"",""),"""")"),"ES0031408323131005HX0F")</f>
        <v>ES0031408323131005HX0F</v>
      </c>
      <c r="B12141" s="12">
        <f>IFERROR(__xludf.DUMMYFUNCTION("""COMPUTED_VALUE"""),45371.0)</f>
        <v>45371</v>
      </c>
      <c r="C12141" s="13">
        <f>IFERROR(__xludf.DUMMYFUNCTION("""COMPUTED_VALUE"""),0.8333333333333334)</f>
        <v>0.8333333333</v>
      </c>
      <c r="D12141" s="8">
        <f>IFERROR(__xludf.DUMMYFUNCTION("""COMPUTED_VALUE"""),1.451)</f>
        <v>1.451</v>
      </c>
      <c r="E12141" s="8" t="str">
        <f>IFERROR(__xludf.DUMMYFUNCTION("""COMPUTED_VALUE"""),"Real")</f>
        <v>Real</v>
      </c>
      <c r="G12141" s="8">
        <f t="shared" si="1"/>
        <v>3</v>
      </c>
      <c r="H12141" s="14">
        <f t="shared" si="2"/>
        <v>20</v>
      </c>
      <c r="I12141" s="15">
        <f t="shared" si="3"/>
        <v>20</v>
      </c>
    </row>
    <row r="12142">
      <c r="A12142" s="8" t="str">
        <f>IFERROR(__xludf.DUMMYFUNCTION("IF('(INGESTA)Datos_consumo_datadis'!A12142&lt;&gt;"""",SPLIT('(INGESTA)Datos_consumo_datadis'!A:A,"",""),"""")"),"ES0031408323131005HX0F")</f>
        <v>ES0031408323131005HX0F</v>
      </c>
      <c r="B12142" s="12">
        <f>IFERROR(__xludf.DUMMYFUNCTION("""COMPUTED_VALUE"""),45371.0)</f>
        <v>45371</v>
      </c>
      <c r="C12142" s="13">
        <f>IFERROR(__xludf.DUMMYFUNCTION("""COMPUTED_VALUE"""),0.875)</f>
        <v>0.875</v>
      </c>
      <c r="D12142" s="8">
        <f>IFERROR(__xludf.DUMMYFUNCTION("""COMPUTED_VALUE"""),1.493)</f>
        <v>1.493</v>
      </c>
      <c r="E12142" s="8" t="str">
        <f>IFERROR(__xludf.DUMMYFUNCTION("""COMPUTED_VALUE"""),"Real")</f>
        <v>Real</v>
      </c>
      <c r="G12142" s="8">
        <f t="shared" si="1"/>
        <v>3</v>
      </c>
      <c r="H12142" s="14">
        <f t="shared" si="2"/>
        <v>20</v>
      </c>
      <c r="I12142" s="15">
        <f t="shared" si="3"/>
        <v>21</v>
      </c>
    </row>
    <row r="12143">
      <c r="A12143" s="8" t="str">
        <f>IFERROR(__xludf.DUMMYFUNCTION("IF('(INGESTA)Datos_consumo_datadis'!A12143&lt;&gt;"""",SPLIT('(INGESTA)Datos_consumo_datadis'!A:A,"",""),"""")"),"ES0031408323131005HX0F")</f>
        <v>ES0031408323131005HX0F</v>
      </c>
      <c r="B12143" s="12">
        <f>IFERROR(__xludf.DUMMYFUNCTION("""COMPUTED_VALUE"""),45371.0)</f>
        <v>45371</v>
      </c>
      <c r="C12143" s="13">
        <f>IFERROR(__xludf.DUMMYFUNCTION("""COMPUTED_VALUE"""),0.9166666666666666)</f>
        <v>0.9166666667</v>
      </c>
      <c r="D12143" s="8">
        <f>IFERROR(__xludf.DUMMYFUNCTION("""COMPUTED_VALUE"""),1.059)</f>
        <v>1.059</v>
      </c>
      <c r="E12143" s="8" t="str">
        <f>IFERROR(__xludf.DUMMYFUNCTION("""COMPUTED_VALUE"""),"Real")</f>
        <v>Real</v>
      </c>
      <c r="G12143" s="8">
        <f t="shared" si="1"/>
        <v>3</v>
      </c>
      <c r="H12143" s="14">
        <f t="shared" si="2"/>
        <v>20</v>
      </c>
      <c r="I12143" s="15">
        <f t="shared" si="3"/>
        <v>22</v>
      </c>
    </row>
    <row r="12144">
      <c r="A12144" s="8" t="str">
        <f>IFERROR(__xludf.DUMMYFUNCTION("IF('(INGESTA)Datos_consumo_datadis'!A12144&lt;&gt;"""",SPLIT('(INGESTA)Datos_consumo_datadis'!A:A,"",""),"""")"),"ES0031408323131005HX0F")</f>
        <v>ES0031408323131005HX0F</v>
      </c>
      <c r="B12144" s="12">
        <f>IFERROR(__xludf.DUMMYFUNCTION("""COMPUTED_VALUE"""),45371.0)</f>
        <v>45371</v>
      </c>
      <c r="C12144" s="13">
        <f>IFERROR(__xludf.DUMMYFUNCTION("""COMPUTED_VALUE"""),0.9583333333333334)</f>
        <v>0.9583333333</v>
      </c>
      <c r="D12144" s="8">
        <f>IFERROR(__xludf.DUMMYFUNCTION("""COMPUTED_VALUE"""),1.28)</f>
        <v>1.28</v>
      </c>
      <c r="E12144" s="8" t="str">
        <f>IFERROR(__xludf.DUMMYFUNCTION("""COMPUTED_VALUE"""),"Real")</f>
        <v>Real</v>
      </c>
      <c r="G12144" s="8">
        <f t="shared" si="1"/>
        <v>3</v>
      </c>
      <c r="H12144" s="14">
        <f t="shared" si="2"/>
        <v>20</v>
      </c>
      <c r="I12144" s="15">
        <f t="shared" si="3"/>
        <v>23</v>
      </c>
    </row>
    <row r="12145">
      <c r="A12145" s="8" t="str">
        <f>IFERROR(__xludf.DUMMYFUNCTION("IF('(INGESTA)Datos_consumo_datadis'!A12145&lt;&gt;"""",SPLIT('(INGESTA)Datos_consumo_datadis'!A:A,"",""),"""")"),"ES0031408323131005HX0F")</f>
        <v>ES0031408323131005HX0F</v>
      </c>
      <c r="B12145" s="12">
        <f>IFERROR(__xludf.DUMMYFUNCTION("""COMPUTED_VALUE"""),45371.0)</f>
        <v>45371</v>
      </c>
      <c r="C12145" s="16">
        <f>IFERROR(__xludf.DUMMYFUNCTION("""COMPUTED_VALUE"""),1.0)</f>
        <v>1</v>
      </c>
      <c r="D12145" s="8">
        <f>IFERROR(__xludf.DUMMYFUNCTION("""COMPUTED_VALUE"""),0.141)</f>
        <v>0.141</v>
      </c>
      <c r="E12145" s="8" t="str">
        <f>IFERROR(__xludf.DUMMYFUNCTION("""COMPUTED_VALUE"""),"Real")</f>
        <v>Real</v>
      </c>
      <c r="G12145" s="8">
        <f t="shared" si="1"/>
        <v>3</v>
      </c>
      <c r="H12145" s="14">
        <f t="shared" si="2"/>
        <v>20</v>
      </c>
      <c r="I12145" s="15">
        <f t="shared" si="3"/>
        <v>0</v>
      </c>
    </row>
    <row r="12146">
      <c r="A12146" s="8" t="str">
        <f>IFERROR(__xludf.DUMMYFUNCTION("IF('(INGESTA)Datos_consumo_datadis'!A12146&lt;&gt;"""",SPLIT('(INGESTA)Datos_consumo_datadis'!A:A,"",""),"""")"),"ES0031408323131005HX0F")</f>
        <v>ES0031408323131005HX0F</v>
      </c>
      <c r="B12146" s="12">
        <f>IFERROR(__xludf.DUMMYFUNCTION("""COMPUTED_VALUE"""),45372.0)</f>
        <v>45372</v>
      </c>
      <c r="C12146" s="13">
        <f>IFERROR(__xludf.DUMMYFUNCTION("""COMPUTED_VALUE"""),0.041666666666666664)</f>
        <v>0.04166666667</v>
      </c>
      <c r="D12146" s="8">
        <f>IFERROR(__xludf.DUMMYFUNCTION("""COMPUTED_VALUE"""),0.105)</f>
        <v>0.105</v>
      </c>
      <c r="E12146" s="8" t="str">
        <f>IFERROR(__xludf.DUMMYFUNCTION("""COMPUTED_VALUE"""),"Real")</f>
        <v>Real</v>
      </c>
      <c r="G12146" s="8">
        <f t="shared" si="1"/>
        <v>3</v>
      </c>
      <c r="H12146" s="14">
        <f t="shared" si="2"/>
        <v>21</v>
      </c>
      <c r="I12146" s="15">
        <f t="shared" si="3"/>
        <v>1</v>
      </c>
    </row>
    <row r="12147">
      <c r="A12147" s="8" t="str">
        <f>IFERROR(__xludf.DUMMYFUNCTION("IF('(INGESTA)Datos_consumo_datadis'!A12147&lt;&gt;"""",SPLIT('(INGESTA)Datos_consumo_datadis'!A:A,"",""),"""")"),"ES0031408323131005HX0F")</f>
        <v>ES0031408323131005HX0F</v>
      </c>
      <c r="B12147" s="12">
        <f>IFERROR(__xludf.DUMMYFUNCTION("""COMPUTED_VALUE"""),45372.0)</f>
        <v>45372</v>
      </c>
      <c r="C12147" s="13">
        <f>IFERROR(__xludf.DUMMYFUNCTION("""COMPUTED_VALUE"""),0.08333333333333333)</f>
        <v>0.08333333333</v>
      </c>
      <c r="D12147" s="8">
        <f>IFERROR(__xludf.DUMMYFUNCTION("""COMPUTED_VALUE"""),0.04)</f>
        <v>0.04</v>
      </c>
      <c r="E12147" s="8" t="str">
        <f>IFERROR(__xludf.DUMMYFUNCTION("""COMPUTED_VALUE"""),"Real")</f>
        <v>Real</v>
      </c>
      <c r="G12147" s="8">
        <f t="shared" si="1"/>
        <v>3</v>
      </c>
      <c r="H12147" s="14">
        <f t="shared" si="2"/>
        <v>21</v>
      </c>
      <c r="I12147" s="15">
        <f t="shared" si="3"/>
        <v>2</v>
      </c>
    </row>
    <row r="12148">
      <c r="A12148" s="8" t="str">
        <f>IFERROR(__xludf.DUMMYFUNCTION("IF('(INGESTA)Datos_consumo_datadis'!A12148&lt;&gt;"""",SPLIT('(INGESTA)Datos_consumo_datadis'!A:A,"",""),"""")"),"ES0031408323131005HX0F")</f>
        <v>ES0031408323131005HX0F</v>
      </c>
      <c r="B12148" s="12">
        <f>IFERROR(__xludf.DUMMYFUNCTION("""COMPUTED_VALUE"""),45372.0)</f>
        <v>45372</v>
      </c>
      <c r="C12148" s="13">
        <f>IFERROR(__xludf.DUMMYFUNCTION("""COMPUTED_VALUE"""),0.125)</f>
        <v>0.125</v>
      </c>
      <c r="D12148" s="8">
        <f>IFERROR(__xludf.DUMMYFUNCTION("""COMPUTED_VALUE"""),0.094)</f>
        <v>0.094</v>
      </c>
      <c r="E12148" s="8" t="str">
        <f>IFERROR(__xludf.DUMMYFUNCTION("""COMPUTED_VALUE"""),"Real")</f>
        <v>Real</v>
      </c>
      <c r="G12148" s="8">
        <f t="shared" si="1"/>
        <v>3</v>
      </c>
      <c r="H12148" s="14">
        <f t="shared" si="2"/>
        <v>21</v>
      </c>
      <c r="I12148" s="15">
        <f t="shared" si="3"/>
        <v>3</v>
      </c>
    </row>
    <row r="12149">
      <c r="A12149" s="8" t="str">
        <f>IFERROR(__xludf.DUMMYFUNCTION("IF('(INGESTA)Datos_consumo_datadis'!A12149&lt;&gt;"""",SPLIT('(INGESTA)Datos_consumo_datadis'!A:A,"",""),"""")"),"ES0031408323131005HX0F")</f>
        <v>ES0031408323131005HX0F</v>
      </c>
      <c r="B12149" s="12">
        <f>IFERROR(__xludf.DUMMYFUNCTION("""COMPUTED_VALUE"""),45372.0)</f>
        <v>45372</v>
      </c>
      <c r="C12149" s="13">
        <f>IFERROR(__xludf.DUMMYFUNCTION("""COMPUTED_VALUE"""),0.16666666666666666)</f>
        <v>0.1666666667</v>
      </c>
      <c r="D12149" s="8">
        <f>IFERROR(__xludf.DUMMYFUNCTION("""COMPUTED_VALUE"""),0.189)</f>
        <v>0.189</v>
      </c>
      <c r="E12149" s="8" t="str">
        <f>IFERROR(__xludf.DUMMYFUNCTION("""COMPUTED_VALUE"""),"Real")</f>
        <v>Real</v>
      </c>
      <c r="G12149" s="8">
        <f t="shared" si="1"/>
        <v>3</v>
      </c>
      <c r="H12149" s="14">
        <f t="shared" si="2"/>
        <v>21</v>
      </c>
      <c r="I12149" s="15">
        <f t="shared" si="3"/>
        <v>4</v>
      </c>
    </row>
    <row r="12150">
      <c r="A12150" s="8" t="str">
        <f>IFERROR(__xludf.DUMMYFUNCTION("IF('(INGESTA)Datos_consumo_datadis'!A12150&lt;&gt;"""",SPLIT('(INGESTA)Datos_consumo_datadis'!A:A,"",""),"""")"),"ES0031408323131005HX0F")</f>
        <v>ES0031408323131005HX0F</v>
      </c>
      <c r="B12150" s="12">
        <f>IFERROR(__xludf.DUMMYFUNCTION("""COMPUTED_VALUE"""),45372.0)</f>
        <v>45372</v>
      </c>
      <c r="C12150" s="13">
        <f>IFERROR(__xludf.DUMMYFUNCTION("""COMPUTED_VALUE"""),0.20833333333333334)</f>
        <v>0.2083333333</v>
      </c>
      <c r="D12150" s="8">
        <f>IFERROR(__xludf.DUMMYFUNCTION("""COMPUTED_VALUE"""),0.199)</f>
        <v>0.199</v>
      </c>
      <c r="E12150" s="8" t="str">
        <f>IFERROR(__xludf.DUMMYFUNCTION("""COMPUTED_VALUE"""),"Real")</f>
        <v>Real</v>
      </c>
      <c r="G12150" s="8">
        <f t="shared" si="1"/>
        <v>3</v>
      </c>
      <c r="H12150" s="14">
        <f t="shared" si="2"/>
        <v>21</v>
      </c>
      <c r="I12150" s="15">
        <f t="shared" si="3"/>
        <v>5</v>
      </c>
    </row>
    <row r="12151">
      <c r="A12151" s="8" t="str">
        <f>IFERROR(__xludf.DUMMYFUNCTION("IF('(INGESTA)Datos_consumo_datadis'!A12151&lt;&gt;"""",SPLIT('(INGESTA)Datos_consumo_datadis'!A:A,"",""),"""")"),"ES0031408323131005HX0F")</f>
        <v>ES0031408323131005HX0F</v>
      </c>
      <c r="B12151" s="12">
        <f>IFERROR(__xludf.DUMMYFUNCTION("""COMPUTED_VALUE"""),45372.0)</f>
        <v>45372</v>
      </c>
      <c r="C12151" s="13">
        <f>IFERROR(__xludf.DUMMYFUNCTION("""COMPUTED_VALUE"""),0.25)</f>
        <v>0.25</v>
      </c>
      <c r="D12151" s="8">
        <f>IFERROR(__xludf.DUMMYFUNCTION("""COMPUTED_VALUE"""),0.056)</f>
        <v>0.056</v>
      </c>
      <c r="E12151" s="8" t="str">
        <f>IFERROR(__xludf.DUMMYFUNCTION("""COMPUTED_VALUE"""),"Real")</f>
        <v>Real</v>
      </c>
      <c r="G12151" s="8">
        <f t="shared" si="1"/>
        <v>3</v>
      </c>
      <c r="H12151" s="14">
        <f t="shared" si="2"/>
        <v>21</v>
      </c>
      <c r="I12151" s="15">
        <f t="shared" si="3"/>
        <v>6</v>
      </c>
    </row>
    <row r="12152">
      <c r="A12152" s="8" t="str">
        <f>IFERROR(__xludf.DUMMYFUNCTION("IF('(INGESTA)Datos_consumo_datadis'!A12152&lt;&gt;"""",SPLIT('(INGESTA)Datos_consumo_datadis'!A:A,"",""),"""")"),"ES0031408323131005HX0F")</f>
        <v>ES0031408323131005HX0F</v>
      </c>
      <c r="B12152" s="12">
        <f>IFERROR(__xludf.DUMMYFUNCTION("""COMPUTED_VALUE"""),45372.0)</f>
        <v>45372</v>
      </c>
      <c r="C12152" s="13">
        <f>IFERROR(__xludf.DUMMYFUNCTION("""COMPUTED_VALUE"""),0.2916666666666667)</f>
        <v>0.2916666667</v>
      </c>
      <c r="D12152" s="8">
        <f>IFERROR(__xludf.DUMMYFUNCTION("""COMPUTED_VALUE"""),0.319)</f>
        <v>0.319</v>
      </c>
      <c r="E12152" s="8" t="str">
        <f>IFERROR(__xludf.DUMMYFUNCTION("""COMPUTED_VALUE"""),"Real")</f>
        <v>Real</v>
      </c>
      <c r="G12152" s="8">
        <f t="shared" si="1"/>
        <v>3</v>
      </c>
      <c r="H12152" s="14">
        <f t="shared" si="2"/>
        <v>21</v>
      </c>
      <c r="I12152" s="15">
        <f t="shared" si="3"/>
        <v>7</v>
      </c>
    </row>
    <row r="12153">
      <c r="A12153" s="8" t="str">
        <f>IFERROR(__xludf.DUMMYFUNCTION("IF('(INGESTA)Datos_consumo_datadis'!A12153&lt;&gt;"""",SPLIT('(INGESTA)Datos_consumo_datadis'!A:A,"",""),"""")"),"ES0031408323131005HX0F")</f>
        <v>ES0031408323131005HX0F</v>
      </c>
      <c r="B12153" s="12">
        <f>IFERROR(__xludf.DUMMYFUNCTION("""COMPUTED_VALUE"""),45372.0)</f>
        <v>45372</v>
      </c>
      <c r="C12153" s="13">
        <f>IFERROR(__xludf.DUMMYFUNCTION("""COMPUTED_VALUE"""),0.3333333333333333)</f>
        <v>0.3333333333</v>
      </c>
      <c r="D12153" s="8">
        <f>IFERROR(__xludf.DUMMYFUNCTION("""COMPUTED_VALUE"""),1.136)</f>
        <v>1.136</v>
      </c>
      <c r="E12153" s="8" t="str">
        <f>IFERROR(__xludf.DUMMYFUNCTION("""COMPUTED_VALUE"""),"Real")</f>
        <v>Real</v>
      </c>
      <c r="G12153" s="8">
        <f t="shared" si="1"/>
        <v>3</v>
      </c>
      <c r="H12153" s="14">
        <f t="shared" si="2"/>
        <v>21</v>
      </c>
      <c r="I12153" s="15">
        <f t="shared" si="3"/>
        <v>8</v>
      </c>
    </row>
    <row r="12154">
      <c r="A12154" s="8" t="str">
        <f>IFERROR(__xludf.DUMMYFUNCTION("IF('(INGESTA)Datos_consumo_datadis'!A12154&lt;&gt;"""",SPLIT('(INGESTA)Datos_consumo_datadis'!A:A,"",""),"""")"),"ES0031408323131005HX0F")</f>
        <v>ES0031408323131005HX0F</v>
      </c>
      <c r="B12154" s="12">
        <f>IFERROR(__xludf.DUMMYFUNCTION("""COMPUTED_VALUE"""),45372.0)</f>
        <v>45372</v>
      </c>
      <c r="C12154" s="13">
        <f>IFERROR(__xludf.DUMMYFUNCTION("""COMPUTED_VALUE"""),0.375)</f>
        <v>0.375</v>
      </c>
      <c r="D12154" s="8">
        <f>IFERROR(__xludf.DUMMYFUNCTION("""COMPUTED_VALUE"""),0.922)</f>
        <v>0.922</v>
      </c>
      <c r="E12154" s="8" t="str">
        <f>IFERROR(__xludf.DUMMYFUNCTION("""COMPUTED_VALUE"""),"Real")</f>
        <v>Real</v>
      </c>
      <c r="G12154" s="8">
        <f t="shared" si="1"/>
        <v>3</v>
      </c>
      <c r="H12154" s="14">
        <f t="shared" si="2"/>
        <v>21</v>
      </c>
      <c r="I12154" s="15">
        <f t="shared" si="3"/>
        <v>9</v>
      </c>
    </row>
    <row r="12155">
      <c r="A12155" s="8" t="str">
        <f>IFERROR(__xludf.DUMMYFUNCTION("IF('(INGESTA)Datos_consumo_datadis'!A12155&lt;&gt;"""",SPLIT('(INGESTA)Datos_consumo_datadis'!A:A,"",""),"""")"),"ES0031408323131005HX0F")</f>
        <v>ES0031408323131005HX0F</v>
      </c>
      <c r="B12155" s="12">
        <f>IFERROR(__xludf.DUMMYFUNCTION("""COMPUTED_VALUE"""),45372.0)</f>
        <v>45372</v>
      </c>
      <c r="C12155" s="13">
        <f>IFERROR(__xludf.DUMMYFUNCTION("""COMPUTED_VALUE"""),0.4166666666666667)</f>
        <v>0.4166666667</v>
      </c>
      <c r="D12155" s="8">
        <f>IFERROR(__xludf.DUMMYFUNCTION("""COMPUTED_VALUE"""),0.188)</f>
        <v>0.188</v>
      </c>
      <c r="E12155" s="8" t="str">
        <f>IFERROR(__xludf.DUMMYFUNCTION("""COMPUTED_VALUE"""),"Real")</f>
        <v>Real</v>
      </c>
      <c r="G12155" s="8">
        <f t="shared" si="1"/>
        <v>3</v>
      </c>
      <c r="H12155" s="14">
        <f t="shared" si="2"/>
        <v>21</v>
      </c>
      <c r="I12155" s="15">
        <f t="shared" si="3"/>
        <v>10</v>
      </c>
    </row>
    <row r="12156">
      <c r="A12156" s="8" t="str">
        <f>IFERROR(__xludf.DUMMYFUNCTION("IF('(INGESTA)Datos_consumo_datadis'!A12156&lt;&gt;"""",SPLIT('(INGESTA)Datos_consumo_datadis'!A:A,"",""),"""")"),"ES0031408323131005HX0F")</f>
        <v>ES0031408323131005HX0F</v>
      </c>
      <c r="B12156" s="12">
        <f>IFERROR(__xludf.DUMMYFUNCTION("""COMPUTED_VALUE"""),45372.0)</f>
        <v>45372</v>
      </c>
      <c r="C12156" s="13">
        <f>IFERROR(__xludf.DUMMYFUNCTION("""COMPUTED_VALUE"""),0.4583333333333333)</f>
        <v>0.4583333333</v>
      </c>
      <c r="D12156" s="8">
        <f>IFERROR(__xludf.DUMMYFUNCTION("""COMPUTED_VALUE"""),0.846)</f>
        <v>0.846</v>
      </c>
      <c r="E12156" s="8" t="str">
        <f>IFERROR(__xludf.DUMMYFUNCTION("""COMPUTED_VALUE"""),"Real")</f>
        <v>Real</v>
      </c>
      <c r="G12156" s="8">
        <f t="shared" si="1"/>
        <v>3</v>
      </c>
      <c r="H12156" s="14">
        <f t="shared" si="2"/>
        <v>21</v>
      </c>
      <c r="I12156" s="15">
        <f t="shared" si="3"/>
        <v>11</v>
      </c>
    </row>
    <row r="12157">
      <c r="A12157" s="8" t="str">
        <f>IFERROR(__xludf.DUMMYFUNCTION("IF('(INGESTA)Datos_consumo_datadis'!A12157&lt;&gt;"""",SPLIT('(INGESTA)Datos_consumo_datadis'!A:A,"",""),"""")"),"ES0031408323131005HX0F")</f>
        <v>ES0031408323131005HX0F</v>
      </c>
      <c r="B12157" s="12">
        <f>IFERROR(__xludf.DUMMYFUNCTION("""COMPUTED_VALUE"""),45372.0)</f>
        <v>45372</v>
      </c>
      <c r="C12157" s="13">
        <f>IFERROR(__xludf.DUMMYFUNCTION("""COMPUTED_VALUE"""),0.5)</f>
        <v>0.5</v>
      </c>
      <c r="D12157" s="8">
        <f>IFERROR(__xludf.DUMMYFUNCTION("""COMPUTED_VALUE"""),0.088)</f>
        <v>0.088</v>
      </c>
      <c r="E12157" s="8" t="str">
        <f>IFERROR(__xludf.DUMMYFUNCTION("""COMPUTED_VALUE"""),"Real")</f>
        <v>Real</v>
      </c>
      <c r="G12157" s="8">
        <f t="shared" si="1"/>
        <v>3</v>
      </c>
      <c r="H12157" s="14">
        <f t="shared" si="2"/>
        <v>21</v>
      </c>
      <c r="I12157" s="15">
        <f t="shared" si="3"/>
        <v>12</v>
      </c>
    </row>
    <row r="12158">
      <c r="A12158" s="8" t="str">
        <f>IFERROR(__xludf.DUMMYFUNCTION("IF('(INGESTA)Datos_consumo_datadis'!A12158&lt;&gt;"""",SPLIT('(INGESTA)Datos_consumo_datadis'!A:A,"",""),"""")"),"ES0031408323131005HX0F")</f>
        <v>ES0031408323131005HX0F</v>
      </c>
      <c r="B12158" s="12">
        <f>IFERROR(__xludf.DUMMYFUNCTION("""COMPUTED_VALUE"""),45372.0)</f>
        <v>45372</v>
      </c>
      <c r="C12158" s="13">
        <f>IFERROR(__xludf.DUMMYFUNCTION("""COMPUTED_VALUE"""),0.5416666666666666)</f>
        <v>0.5416666667</v>
      </c>
      <c r="D12158" s="8">
        <f>IFERROR(__xludf.DUMMYFUNCTION("""COMPUTED_VALUE"""),0.025)</f>
        <v>0.025</v>
      </c>
      <c r="E12158" s="8" t="str">
        <f>IFERROR(__xludf.DUMMYFUNCTION("""COMPUTED_VALUE"""),"Real")</f>
        <v>Real</v>
      </c>
      <c r="G12158" s="8">
        <f t="shared" si="1"/>
        <v>3</v>
      </c>
      <c r="H12158" s="14">
        <f t="shared" si="2"/>
        <v>21</v>
      </c>
      <c r="I12158" s="15">
        <f t="shared" si="3"/>
        <v>13</v>
      </c>
    </row>
    <row r="12159">
      <c r="A12159" s="8" t="str">
        <f>IFERROR(__xludf.DUMMYFUNCTION("IF('(INGESTA)Datos_consumo_datadis'!A12159&lt;&gt;"""",SPLIT('(INGESTA)Datos_consumo_datadis'!A:A,"",""),"""")"),"ES0031408323131005HX0F")</f>
        <v>ES0031408323131005HX0F</v>
      </c>
      <c r="B12159" s="12">
        <f>IFERROR(__xludf.DUMMYFUNCTION("""COMPUTED_VALUE"""),45372.0)</f>
        <v>45372</v>
      </c>
      <c r="C12159" s="13">
        <f>IFERROR(__xludf.DUMMYFUNCTION("""COMPUTED_VALUE"""),0.5833333333333334)</f>
        <v>0.5833333333</v>
      </c>
      <c r="D12159" s="8">
        <f>IFERROR(__xludf.DUMMYFUNCTION("""COMPUTED_VALUE"""),0.091)</f>
        <v>0.091</v>
      </c>
      <c r="E12159" s="8" t="str">
        <f>IFERROR(__xludf.DUMMYFUNCTION("""COMPUTED_VALUE"""),"Real")</f>
        <v>Real</v>
      </c>
      <c r="G12159" s="8">
        <f t="shared" si="1"/>
        <v>3</v>
      </c>
      <c r="H12159" s="14">
        <f t="shared" si="2"/>
        <v>21</v>
      </c>
      <c r="I12159" s="15">
        <f t="shared" si="3"/>
        <v>14</v>
      </c>
    </row>
    <row r="12160">
      <c r="A12160" s="8" t="str">
        <f>IFERROR(__xludf.DUMMYFUNCTION("IF('(INGESTA)Datos_consumo_datadis'!A12160&lt;&gt;"""",SPLIT('(INGESTA)Datos_consumo_datadis'!A:A,"",""),"""")"),"ES0031408323131005HX0F")</f>
        <v>ES0031408323131005HX0F</v>
      </c>
      <c r="B12160" s="12">
        <f>IFERROR(__xludf.DUMMYFUNCTION("""COMPUTED_VALUE"""),45372.0)</f>
        <v>45372</v>
      </c>
      <c r="C12160" s="13">
        <f>IFERROR(__xludf.DUMMYFUNCTION("""COMPUTED_VALUE"""),0.625)</f>
        <v>0.625</v>
      </c>
      <c r="D12160" s="8">
        <f>IFERROR(__xludf.DUMMYFUNCTION("""COMPUTED_VALUE"""),0.05)</f>
        <v>0.05</v>
      </c>
      <c r="E12160" s="8" t="str">
        <f>IFERROR(__xludf.DUMMYFUNCTION("""COMPUTED_VALUE"""),"Real")</f>
        <v>Real</v>
      </c>
      <c r="G12160" s="8">
        <f t="shared" si="1"/>
        <v>3</v>
      </c>
      <c r="H12160" s="14">
        <f t="shared" si="2"/>
        <v>21</v>
      </c>
      <c r="I12160" s="15">
        <f t="shared" si="3"/>
        <v>15</v>
      </c>
    </row>
    <row r="12161">
      <c r="A12161" s="8" t="str">
        <f>IFERROR(__xludf.DUMMYFUNCTION("IF('(INGESTA)Datos_consumo_datadis'!A12161&lt;&gt;"""",SPLIT('(INGESTA)Datos_consumo_datadis'!A:A,"",""),"""")"),"ES0031408323131005HX0F")</f>
        <v>ES0031408323131005HX0F</v>
      </c>
      <c r="B12161" s="12">
        <f>IFERROR(__xludf.DUMMYFUNCTION("""COMPUTED_VALUE"""),45372.0)</f>
        <v>45372</v>
      </c>
      <c r="C12161" s="13">
        <f>IFERROR(__xludf.DUMMYFUNCTION("""COMPUTED_VALUE"""),0.6666666666666666)</f>
        <v>0.6666666667</v>
      </c>
      <c r="D12161" s="8">
        <f>IFERROR(__xludf.DUMMYFUNCTION("""COMPUTED_VALUE"""),0.495)</f>
        <v>0.495</v>
      </c>
      <c r="E12161" s="8" t="str">
        <f>IFERROR(__xludf.DUMMYFUNCTION("""COMPUTED_VALUE"""),"Real")</f>
        <v>Real</v>
      </c>
      <c r="G12161" s="8">
        <f t="shared" si="1"/>
        <v>3</v>
      </c>
      <c r="H12161" s="14">
        <f t="shared" si="2"/>
        <v>21</v>
      </c>
      <c r="I12161" s="15">
        <f t="shared" si="3"/>
        <v>16</v>
      </c>
    </row>
    <row r="12162">
      <c r="A12162" s="8" t="str">
        <f>IFERROR(__xludf.DUMMYFUNCTION("IF('(INGESTA)Datos_consumo_datadis'!A12162&lt;&gt;"""",SPLIT('(INGESTA)Datos_consumo_datadis'!A:A,"",""),"""")"),"ES0031408323131005HX0F")</f>
        <v>ES0031408323131005HX0F</v>
      </c>
      <c r="B12162" s="12">
        <f>IFERROR(__xludf.DUMMYFUNCTION("""COMPUTED_VALUE"""),45372.0)</f>
        <v>45372</v>
      </c>
      <c r="C12162" s="13">
        <f>IFERROR(__xludf.DUMMYFUNCTION("""COMPUTED_VALUE"""),0.7083333333333334)</f>
        <v>0.7083333333</v>
      </c>
      <c r="D12162" s="8">
        <f>IFERROR(__xludf.DUMMYFUNCTION("""COMPUTED_VALUE"""),0.517)</f>
        <v>0.517</v>
      </c>
      <c r="E12162" s="8" t="str">
        <f>IFERROR(__xludf.DUMMYFUNCTION("""COMPUTED_VALUE"""),"Real")</f>
        <v>Real</v>
      </c>
      <c r="G12162" s="8">
        <f t="shared" si="1"/>
        <v>3</v>
      </c>
      <c r="H12162" s="14">
        <f t="shared" si="2"/>
        <v>21</v>
      </c>
      <c r="I12162" s="15">
        <f t="shared" si="3"/>
        <v>17</v>
      </c>
    </row>
    <row r="12163">
      <c r="A12163" s="8" t="str">
        <f>IFERROR(__xludf.DUMMYFUNCTION("IF('(INGESTA)Datos_consumo_datadis'!A12163&lt;&gt;"""",SPLIT('(INGESTA)Datos_consumo_datadis'!A:A,"",""),"""")"),"ES0031408323131005HX0F")</f>
        <v>ES0031408323131005HX0F</v>
      </c>
      <c r="B12163" s="12">
        <f>IFERROR(__xludf.DUMMYFUNCTION("""COMPUTED_VALUE"""),45372.0)</f>
        <v>45372</v>
      </c>
      <c r="C12163" s="13">
        <f>IFERROR(__xludf.DUMMYFUNCTION("""COMPUTED_VALUE"""),0.75)</f>
        <v>0.75</v>
      </c>
      <c r="D12163" s="8">
        <f>IFERROR(__xludf.DUMMYFUNCTION("""COMPUTED_VALUE"""),0.024)</f>
        <v>0.024</v>
      </c>
      <c r="E12163" s="8" t="str">
        <f>IFERROR(__xludf.DUMMYFUNCTION("""COMPUTED_VALUE"""),"Real")</f>
        <v>Real</v>
      </c>
      <c r="G12163" s="8">
        <f t="shared" si="1"/>
        <v>3</v>
      </c>
      <c r="H12163" s="14">
        <f t="shared" si="2"/>
        <v>21</v>
      </c>
      <c r="I12163" s="15">
        <f t="shared" si="3"/>
        <v>18</v>
      </c>
    </row>
    <row r="12164">
      <c r="A12164" s="8" t="str">
        <f>IFERROR(__xludf.DUMMYFUNCTION("IF('(INGESTA)Datos_consumo_datadis'!A12164&lt;&gt;"""",SPLIT('(INGESTA)Datos_consumo_datadis'!A:A,"",""),"""")"),"ES0031408323131005HX0F")</f>
        <v>ES0031408323131005HX0F</v>
      </c>
      <c r="B12164" s="12">
        <f>IFERROR(__xludf.DUMMYFUNCTION("""COMPUTED_VALUE"""),45372.0)</f>
        <v>45372</v>
      </c>
      <c r="C12164" s="13">
        <f>IFERROR(__xludf.DUMMYFUNCTION("""COMPUTED_VALUE"""),0.7916666666666666)</f>
        <v>0.7916666667</v>
      </c>
      <c r="D12164" s="8">
        <f>IFERROR(__xludf.DUMMYFUNCTION("""COMPUTED_VALUE"""),0.121)</f>
        <v>0.121</v>
      </c>
      <c r="E12164" s="8" t="str">
        <f>IFERROR(__xludf.DUMMYFUNCTION("""COMPUTED_VALUE"""),"Real")</f>
        <v>Real</v>
      </c>
      <c r="G12164" s="8">
        <f t="shared" si="1"/>
        <v>3</v>
      </c>
      <c r="H12164" s="14">
        <f t="shared" si="2"/>
        <v>21</v>
      </c>
      <c r="I12164" s="15">
        <f t="shared" si="3"/>
        <v>19</v>
      </c>
    </row>
    <row r="12165">
      <c r="A12165" s="8" t="str">
        <f>IFERROR(__xludf.DUMMYFUNCTION("IF('(INGESTA)Datos_consumo_datadis'!A12165&lt;&gt;"""",SPLIT('(INGESTA)Datos_consumo_datadis'!A:A,"",""),"""")"),"ES0031408323131005HX0F")</f>
        <v>ES0031408323131005HX0F</v>
      </c>
      <c r="B12165" s="12">
        <f>IFERROR(__xludf.DUMMYFUNCTION("""COMPUTED_VALUE"""),45372.0)</f>
        <v>45372</v>
      </c>
      <c r="C12165" s="13">
        <f>IFERROR(__xludf.DUMMYFUNCTION("""COMPUTED_VALUE"""),0.8333333333333334)</f>
        <v>0.8333333333</v>
      </c>
      <c r="D12165" s="8">
        <f>IFERROR(__xludf.DUMMYFUNCTION("""COMPUTED_VALUE"""),1.245)</f>
        <v>1.245</v>
      </c>
      <c r="E12165" s="8" t="str">
        <f>IFERROR(__xludf.DUMMYFUNCTION("""COMPUTED_VALUE"""),"Real")</f>
        <v>Real</v>
      </c>
      <c r="G12165" s="8">
        <f t="shared" si="1"/>
        <v>3</v>
      </c>
      <c r="H12165" s="14">
        <f t="shared" si="2"/>
        <v>21</v>
      </c>
      <c r="I12165" s="15">
        <f t="shared" si="3"/>
        <v>20</v>
      </c>
    </row>
    <row r="12166">
      <c r="A12166" s="8" t="str">
        <f>IFERROR(__xludf.DUMMYFUNCTION("IF('(INGESTA)Datos_consumo_datadis'!A12166&lt;&gt;"""",SPLIT('(INGESTA)Datos_consumo_datadis'!A:A,"",""),"""")"),"ES0031408323131005HX0F")</f>
        <v>ES0031408323131005HX0F</v>
      </c>
      <c r="B12166" s="12">
        <f>IFERROR(__xludf.DUMMYFUNCTION("""COMPUTED_VALUE"""),45372.0)</f>
        <v>45372</v>
      </c>
      <c r="C12166" s="13">
        <f>IFERROR(__xludf.DUMMYFUNCTION("""COMPUTED_VALUE"""),0.875)</f>
        <v>0.875</v>
      </c>
      <c r="D12166" s="8">
        <f>IFERROR(__xludf.DUMMYFUNCTION("""COMPUTED_VALUE"""),0.724)</f>
        <v>0.724</v>
      </c>
      <c r="E12166" s="8" t="str">
        <f>IFERROR(__xludf.DUMMYFUNCTION("""COMPUTED_VALUE"""),"Real")</f>
        <v>Real</v>
      </c>
      <c r="G12166" s="8">
        <f t="shared" si="1"/>
        <v>3</v>
      </c>
      <c r="H12166" s="14">
        <f t="shared" si="2"/>
        <v>21</v>
      </c>
      <c r="I12166" s="15">
        <f t="shared" si="3"/>
        <v>21</v>
      </c>
    </row>
    <row r="12167">
      <c r="A12167" s="8" t="str">
        <f>IFERROR(__xludf.DUMMYFUNCTION("IF('(INGESTA)Datos_consumo_datadis'!A12167&lt;&gt;"""",SPLIT('(INGESTA)Datos_consumo_datadis'!A:A,"",""),"""")"),"ES0031408323131005HX0F")</f>
        <v>ES0031408323131005HX0F</v>
      </c>
      <c r="B12167" s="12">
        <f>IFERROR(__xludf.DUMMYFUNCTION("""COMPUTED_VALUE"""),45372.0)</f>
        <v>45372</v>
      </c>
      <c r="C12167" s="13">
        <f>IFERROR(__xludf.DUMMYFUNCTION("""COMPUTED_VALUE"""),0.9166666666666666)</f>
        <v>0.9166666667</v>
      </c>
      <c r="D12167" s="8">
        <f>IFERROR(__xludf.DUMMYFUNCTION("""COMPUTED_VALUE"""),1.055)</f>
        <v>1.055</v>
      </c>
      <c r="E12167" s="8" t="str">
        <f>IFERROR(__xludf.DUMMYFUNCTION("""COMPUTED_VALUE"""),"Real")</f>
        <v>Real</v>
      </c>
      <c r="G12167" s="8">
        <f t="shared" si="1"/>
        <v>3</v>
      </c>
      <c r="H12167" s="14">
        <f t="shared" si="2"/>
        <v>21</v>
      </c>
      <c r="I12167" s="15">
        <f t="shared" si="3"/>
        <v>22</v>
      </c>
    </row>
    <row r="12168">
      <c r="A12168" s="8" t="str">
        <f>IFERROR(__xludf.DUMMYFUNCTION("IF('(INGESTA)Datos_consumo_datadis'!A12168&lt;&gt;"""",SPLIT('(INGESTA)Datos_consumo_datadis'!A:A,"",""),"""")"),"ES0031408323131005HX0F")</f>
        <v>ES0031408323131005HX0F</v>
      </c>
      <c r="B12168" s="12">
        <f>IFERROR(__xludf.DUMMYFUNCTION("""COMPUTED_VALUE"""),45372.0)</f>
        <v>45372</v>
      </c>
      <c r="C12168" s="13">
        <f>IFERROR(__xludf.DUMMYFUNCTION("""COMPUTED_VALUE"""),0.9583333333333334)</f>
        <v>0.9583333333</v>
      </c>
      <c r="D12168" s="8">
        <f>IFERROR(__xludf.DUMMYFUNCTION("""COMPUTED_VALUE"""),0.885)</f>
        <v>0.885</v>
      </c>
      <c r="E12168" s="8" t="str">
        <f>IFERROR(__xludf.DUMMYFUNCTION("""COMPUTED_VALUE"""),"Real")</f>
        <v>Real</v>
      </c>
      <c r="G12168" s="8">
        <f t="shared" si="1"/>
        <v>3</v>
      </c>
      <c r="H12168" s="14">
        <f t="shared" si="2"/>
        <v>21</v>
      </c>
      <c r="I12168" s="15">
        <f t="shared" si="3"/>
        <v>23</v>
      </c>
    </row>
    <row r="12169">
      <c r="A12169" s="8" t="str">
        <f>IFERROR(__xludf.DUMMYFUNCTION("IF('(INGESTA)Datos_consumo_datadis'!A12169&lt;&gt;"""",SPLIT('(INGESTA)Datos_consumo_datadis'!A:A,"",""),"""")"),"ES0031408323131005HX0F")</f>
        <v>ES0031408323131005HX0F</v>
      </c>
      <c r="B12169" s="12">
        <f>IFERROR(__xludf.DUMMYFUNCTION("""COMPUTED_VALUE"""),45372.0)</f>
        <v>45372</v>
      </c>
      <c r="C12169" s="16">
        <f>IFERROR(__xludf.DUMMYFUNCTION("""COMPUTED_VALUE"""),1.0)</f>
        <v>1</v>
      </c>
      <c r="D12169" s="8">
        <f>IFERROR(__xludf.DUMMYFUNCTION("""COMPUTED_VALUE"""),0.11)</f>
        <v>0.11</v>
      </c>
      <c r="E12169" s="8" t="str">
        <f>IFERROR(__xludf.DUMMYFUNCTION("""COMPUTED_VALUE"""),"Real")</f>
        <v>Real</v>
      </c>
      <c r="G12169" s="8">
        <f t="shared" si="1"/>
        <v>3</v>
      </c>
      <c r="H12169" s="14">
        <f t="shared" si="2"/>
        <v>21</v>
      </c>
      <c r="I12169" s="15">
        <f t="shared" si="3"/>
        <v>0</v>
      </c>
    </row>
    <row r="12170">
      <c r="A12170" s="8" t="str">
        <f>IFERROR(__xludf.DUMMYFUNCTION("IF('(INGESTA)Datos_consumo_datadis'!A12170&lt;&gt;"""",SPLIT('(INGESTA)Datos_consumo_datadis'!A:A,"",""),"""")"),"ES0031408323131005HX0F")</f>
        <v>ES0031408323131005HX0F</v>
      </c>
      <c r="B12170" s="12">
        <f>IFERROR(__xludf.DUMMYFUNCTION("""COMPUTED_VALUE"""),45373.0)</f>
        <v>45373</v>
      </c>
      <c r="C12170" s="13">
        <f>IFERROR(__xludf.DUMMYFUNCTION("""COMPUTED_VALUE"""),0.041666666666666664)</f>
        <v>0.04166666667</v>
      </c>
      <c r="D12170" s="8">
        <f>IFERROR(__xludf.DUMMYFUNCTION("""COMPUTED_VALUE"""),0.065)</f>
        <v>0.065</v>
      </c>
      <c r="E12170" s="8" t="str">
        <f>IFERROR(__xludf.DUMMYFUNCTION("""COMPUTED_VALUE"""),"Real")</f>
        <v>Real</v>
      </c>
      <c r="G12170" s="8">
        <f t="shared" si="1"/>
        <v>3</v>
      </c>
      <c r="H12170" s="14">
        <f t="shared" si="2"/>
        <v>22</v>
      </c>
      <c r="I12170" s="15">
        <f t="shared" si="3"/>
        <v>1</v>
      </c>
    </row>
    <row r="12171">
      <c r="A12171" s="8" t="str">
        <f>IFERROR(__xludf.DUMMYFUNCTION("IF('(INGESTA)Datos_consumo_datadis'!A12171&lt;&gt;"""",SPLIT('(INGESTA)Datos_consumo_datadis'!A:A,"",""),"""")"),"ES0031408323131005HX0F")</f>
        <v>ES0031408323131005HX0F</v>
      </c>
      <c r="B12171" s="12">
        <f>IFERROR(__xludf.DUMMYFUNCTION("""COMPUTED_VALUE"""),45373.0)</f>
        <v>45373</v>
      </c>
      <c r="C12171" s="13">
        <f>IFERROR(__xludf.DUMMYFUNCTION("""COMPUTED_VALUE"""),0.08333333333333333)</f>
        <v>0.08333333333</v>
      </c>
      <c r="D12171" s="8">
        <f>IFERROR(__xludf.DUMMYFUNCTION("""COMPUTED_VALUE"""),0.045)</f>
        <v>0.045</v>
      </c>
      <c r="E12171" s="8" t="str">
        <f>IFERROR(__xludf.DUMMYFUNCTION("""COMPUTED_VALUE"""),"Real")</f>
        <v>Real</v>
      </c>
      <c r="G12171" s="8">
        <f t="shared" si="1"/>
        <v>3</v>
      </c>
      <c r="H12171" s="14">
        <f t="shared" si="2"/>
        <v>22</v>
      </c>
      <c r="I12171" s="15">
        <f t="shared" si="3"/>
        <v>2</v>
      </c>
    </row>
    <row r="12172">
      <c r="A12172" s="8" t="str">
        <f>IFERROR(__xludf.DUMMYFUNCTION("IF('(INGESTA)Datos_consumo_datadis'!A12172&lt;&gt;"""",SPLIT('(INGESTA)Datos_consumo_datadis'!A:A,"",""),"""")"),"ES0031408323131005HX0F")</f>
        <v>ES0031408323131005HX0F</v>
      </c>
      <c r="B12172" s="12">
        <f>IFERROR(__xludf.DUMMYFUNCTION("""COMPUTED_VALUE"""),45373.0)</f>
        <v>45373</v>
      </c>
      <c r="C12172" s="13">
        <f>IFERROR(__xludf.DUMMYFUNCTION("""COMPUTED_VALUE"""),0.125)</f>
        <v>0.125</v>
      </c>
      <c r="D12172" s="8">
        <f>IFERROR(__xludf.DUMMYFUNCTION("""COMPUTED_VALUE"""),0.353)</f>
        <v>0.353</v>
      </c>
      <c r="E12172" s="8" t="str">
        <f>IFERROR(__xludf.DUMMYFUNCTION("""COMPUTED_VALUE"""),"Real")</f>
        <v>Real</v>
      </c>
      <c r="G12172" s="8">
        <f t="shared" si="1"/>
        <v>3</v>
      </c>
      <c r="H12172" s="14">
        <f t="shared" si="2"/>
        <v>22</v>
      </c>
      <c r="I12172" s="15">
        <f t="shared" si="3"/>
        <v>3</v>
      </c>
    </row>
    <row r="12173">
      <c r="A12173" s="8" t="str">
        <f>IFERROR(__xludf.DUMMYFUNCTION("IF('(INGESTA)Datos_consumo_datadis'!A12173&lt;&gt;"""",SPLIT('(INGESTA)Datos_consumo_datadis'!A:A,"",""),"""")"),"ES0031408323131005HX0F")</f>
        <v>ES0031408323131005HX0F</v>
      </c>
      <c r="B12173" s="12">
        <f>IFERROR(__xludf.DUMMYFUNCTION("""COMPUTED_VALUE"""),45373.0)</f>
        <v>45373</v>
      </c>
      <c r="C12173" s="13">
        <f>IFERROR(__xludf.DUMMYFUNCTION("""COMPUTED_VALUE"""),0.16666666666666666)</f>
        <v>0.1666666667</v>
      </c>
      <c r="D12173" s="8">
        <f>IFERROR(__xludf.DUMMYFUNCTION("""COMPUTED_VALUE"""),0.045)</f>
        <v>0.045</v>
      </c>
      <c r="E12173" s="8" t="str">
        <f>IFERROR(__xludf.DUMMYFUNCTION("""COMPUTED_VALUE"""),"Real")</f>
        <v>Real</v>
      </c>
      <c r="G12173" s="8">
        <f t="shared" si="1"/>
        <v>3</v>
      </c>
      <c r="H12173" s="14">
        <f t="shared" si="2"/>
        <v>22</v>
      </c>
      <c r="I12173" s="15">
        <f t="shared" si="3"/>
        <v>4</v>
      </c>
    </row>
    <row r="12174">
      <c r="A12174" s="8" t="str">
        <f>IFERROR(__xludf.DUMMYFUNCTION("IF('(INGESTA)Datos_consumo_datadis'!A12174&lt;&gt;"""",SPLIT('(INGESTA)Datos_consumo_datadis'!A:A,"",""),"""")"),"ES0031408323131005HX0F")</f>
        <v>ES0031408323131005HX0F</v>
      </c>
      <c r="B12174" s="12">
        <f>IFERROR(__xludf.DUMMYFUNCTION("""COMPUTED_VALUE"""),45373.0)</f>
        <v>45373</v>
      </c>
      <c r="C12174" s="13">
        <f>IFERROR(__xludf.DUMMYFUNCTION("""COMPUTED_VALUE"""),0.20833333333333334)</f>
        <v>0.2083333333</v>
      </c>
      <c r="D12174" s="8">
        <f>IFERROR(__xludf.DUMMYFUNCTION("""COMPUTED_VALUE"""),0.06)</f>
        <v>0.06</v>
      </c>
      <c r="E12174" s="8" t="str">
        <f>IFERROR(__xludf.DUMMYFUNCTION("""COMPUTED_VALUE"""),"Real")</f>
        <v>Real</v>
      </c>
      <c r="G12174" s="8">
        <f t="shared" si="1"/>
        <v>3</v>
      </c>
      <c r="H12174" s="14">
        <f t="shared" si="2"/>
        <v>22</v>
      </c>
      <c r="I12174" s="15">
        <f t="shared" si="3"/>
        <v>5</v>
      </c>
    </row>
    <row r="12175">
      <c r="A12175" s="8" t="str">
        <f>IFERROR(__xludf.DUMMYFUNCTION("IF('(INGESTA)Datos_consumo_datadis'!A12175&lt;&gt;"""",SPLIT('(INGESTA)Datos_consumo_datadis'!A:A,"",""),"""")"),"ES0031408323131005HX0F")</f>
        <v>ES0031408323131005HX0F</v>
      </c>
      <c r="B12175" s="12">
        <f>IFERROR(__xludf.DUMMYFUNCTION("""COMPUTED_VALUE"""),45373.0)</f>
        <v>45373</v>
      </c>
      <c r="C12175" s="13">
        <f>IFERROR(__xludf.DUMMYFUNCTION("""COMPUTED_VALUE"""),0.25)</f>
        <v>0.25</v>
      </c>
      <c r="D12175" s="8">
        <f>IFERROR(__xludf.DUMMYFUNCTION("""COMPUTED_VALUE"""),0.079)</f>
        <v>0.079</v>
      </c>
      <c r="E12175" s="8" t="str">
        <f>IFERROR(__xludf.DUMMYFUNCTION("""COMPUTED_VALUE"""),"Real")</f>
        <v>Real</v>
      </c>
      <c r="G12175" s="8">
        <f t="shared" si="1"/>
        <v>3</v>
      </c>
      <c r="H12175" s="14">
        <f t="shared" si="2"/>
        <v>22</v>
      </c>
      <c r="I12175" s="15">
        <f t="shared" si="3"/>
        <v>6</v>
      </c>
    </row>
    <row r="12176">
      <c r="A12176" s="8" t="str">
        <f>IFERROR(__xludf.DUMMYFUNCTION("IF('(INGESTA)Datos_consumo_datadis'!A12176&lt;&gt;"""",SPLIT('(INGESTA)Datos_consumo_datadis'!A:A,"",""),"""")"),"ES0031408323131005HX0F")</f>
        <v>ES0031408323131005HX0F</v>
      </c>
      <c r="B12176" s="12">
        <f>IFERROR(__xludf.DUMMYFUNCTION("""COMPUTED_VALUE"""),45373.0)</f>
        <v>45373</v>
      </c>
      <c r="C12176" s="13">
        <f>IFERROR(__xludf.DUMMYFUNCTION("""COMPUTED_VALUE"""),0.2916666666666667)</f>
        <v>0.2916666667</v>
      </c>
      <c r="D12176" s="8">
        <f>IFERROR(__xludf.DUMMYFUNCTION("""COMPUTED_VALUE"""),0.023)</f>
        <v>0.023</v>
      </c>
      <c r="E12176" s="8" t="str">
        <f>IFERROR(__xludf.DUMMYFUNCTION("""COMPUTED_VALUE"""),"Real")</f>
        <v>Real</v>
      </c>
      <c r="G12176" s="8">
        <f t="shared" si="1"/>
        <v>3</v>
      </c>
      <c r="H12176" s="14">
        <f t="shared" si="2"/>
        <v>22</v>
      </c>
      <c r="I12176" s="15">
        <f t="shared" si="3"/>
        <v>7</v>
      </c>
    </row>
    <row r="12177">
      <c r="A12177" s="8" t="str">
        <f>IFERROR(__xludf.DUMMYFUNCTION("IF('(INGESTA)Datos_consumo_datadis'!A12177&lt;&gt;"""",SPLIT('(INGESTA)Datos_consumo_datadis'!A:A,"",""),"""")"),"ES0031408323131005HX0F")</f>
        <v>ES0031408323131005HX0F</v>
      </c>
      <c r="B12177" s="12">
        <f>IFERROR(__xludf.DUMMYFUNCTION("""COMPUTED_VALUE"""),45373.0)</f>
        <v>45373</v>
      </c>
      <c r="C12177" s="13">
        <f>IFERROR(__xludf.DUMMYFUNCTION("""COMPUTED_VALUE"""),0.3333333333333333)</f>
        <v>0.3333333333</v>
      </c>
      <c r="D12177" s="8">
        <f>IFERROR(__xludf.DUMMYFUNCTION("""COMPUTED_VALUE"""),0.969)</f>
        <v>0.969</v>
      </c>
      <c r="E12177" s="8" t="str">
        <f>IFERROR(__xludf.DUMMYFUNCTION("""COMPUTED_VALUE"""),"Real")</f>
        <v>Real</v>
      </c>
      <c r="G12177" s="8">
        <f t="shared" si="1"/>
        <v>3</v>
      </c>
      <c r="H12177" s="14">
        <f t="shared" si="2"/>
        <v>22</v>
      </c>
      <c r="I12177" s="15">
        <f t="shared" si="3"/>
        <v>8</v>
      </c>
    </row>
    <row r="12178">
      <c r="A12178" s="8" t="str">
        <f>IFERROR(__xludf.DUMMYFUNCTION("IF('(INGESTA)Datos_consumo_datadis'!A12178&lt;&gt;"""",SPLIT('(INGESTA)Datos_consumo_datadis'!A:A,"",""),"""")"),"ES0031408323131005HX0F")</f>
        <v>ES0031408323131005HX0F</v>
      </c>
      <c r="B12178" s="12">
        <f>IFERROR(__xludf.DUMMYFUNCTION("""COMPUTED_VALUE"""),45373.0)</f>
        <v>45373</v>
      </c>
      <c r="C12178" s="13">
        <f>IFERROR(__xludf.DUMMYFUNCTION("""COMPUTED_VALUE"""),0.375)</f>
        <v>0.375</v>
      </c>
      <c r="D12178" s="8">
        <f>IFERROR(__xludf.DUMMYFUNCTION("""COMPUTED_VALUE"""),0.469)</f>
        <v>0.469</v>
      </c>
      <c r="E12178" s="8" t="str">
        <f>IFERROR(__xludf.DUMMYFUNCTION("""COMPUTED_VALUE"""),"Real")</f>
        <v>Real</v>
      </c>
      <c r="G12178" s="8">
        <f t="shared" si="1"/>
        <v>3</v>
      </c>
      <c r="H12178" s="14">
        <f t="shared" si="2"/>
        <v>22</v>
      </c>
      <c r="I12178" s="15">
        <f t="shared" si="3"/>
        <v>9</v>
      </c>
    </row>
    <row r="12179">
      <c r="A12179" s="8" t="str">
        <f>IFERROR(__xludf.DUMMYFUNCTION("IF('(INGESTA)Datos_consumo_datadis'!A12179&lt;&gt;"""",SPLIT('(INGESTA)Datos_consumo_datadis'!A:A,"",""),"""")"),"ES0031408323131005HX0F")</f>
        <v>ES0031408323131005HX0F</v>
      </c>
      <c r="B12179" s="12">
        <f>IFERROR(__xludf.DUMMYFUNCTION("""COMPUTED_VALUE"""),45373.0)</f>
        <v>45373</v>
      </c>
      <c r="C12179" s="13">
        <f>IFERROR(__xludf.DUMMYFUNCTION("""COMPUTED_VALUE"""),0.4166666666666667)</f>
        <v>0.4166666667</v>
      </c>
      <c r="D12179" s="8">
        <f>IFERROR(__xludf.DUMMYFUNCTION("""COMPUTED_VALUE"""),0.03)</f>
        <v>0.03</v>
      </c>
      <c r="E12179" s="8" t="str">
        <f>IFERROR(__xludf.DUMMYFUNCTION("""COMPUTED_VALUE"""),"Real")</f>
        <v>Real</v>
      </c>
      <c r="G12179" s="8">
        <f t="shared" si="1"/>
        <v>3</v>
      </c>
      <c r="H12179" s="14">
        <f t="shared" si="2"/>
        <v>22</v>
      </c>
      <c r="I12179" s="15">
        <f t="shared" si="3"/>
        <v>10</v>
      </c>
    </row>
    <row r="12180">
      <c r="A12180" s="8" t="str">
        <f>IFERROR(__xludf.DUMMYFUNCTION("IF('(INGESTA)Datos_consumo_datadis'!A12180&lt;&gt;"""",SPLIT('(INGESTA)Datos_consumo_datadis'!A:A,"",""),"""")"),"ES0031408323131005HX0F")</f>
        <v>ES0031408323131005HX0F</v>
      </c>
      <c r="B12180" s="12">
        <f>IFERROR(__xludf.DUMMYFUNCTION("""COMPUTED_VALUE"""),45373.0)</f>
        <v>45373</v>
      </c>
      <c r="C12180" s="13">
        <f>IFERROR(__xludf.DUMMYFUNCTION("""COMPUTED_VALUE"""),0.4583333333333333)</f>
        <v>0.4583333333</v>
      </c>
      <c r="D12180" s="8">
        <f>IFERROR(__xludf.DUMMYFUNCTION("""COMPUTED_VALUE"""),0.133)</f>
        <v>0.133</v>
      </c>
      <c r="E12180" s="8" t="str">
        <f>IFERROR(__xludf.DUMMYFUNCTION("""COMPUTED_VALUE"""),"Real")</f>
        <v>Real</v>
      </c>
      <c r="G12180" s="8">
        <f t="shared" si="1"/>
        <v>3</v>
      </c>
      <c r="H12180" s="14">
        <f t="shared" si="2"/>
        <v>22</v>
      </c>
      <c r="I12180" s="15">
        <f t="shared" si="3"/>
        <v>11</v>
      </c>
    </row>
    <row r="12181">
      <c r="A12181" s="8" t="str">
        <f>IFERROR(__xludf.DUMMYFUNCTION("IF('(INGESTA)Datos_consumo_datadis'!A12181&lt;&gt;"""",SPLIT('(INGESTA)Datos_consumo_datadis'!A:A,"",""),"""")"),"ES0031408323131005HX0F")</f>
        <v>ES0031408323131005HX0F</v>
      </c>
      <c r="B12181" s="12">
        <f>IFERROR(__xludf.DUMMYFUNCTION("""COMPUTED_VALUE"""),45373.0)</f>
        <v>45373</v>
      </c>
      <c r="C12181" s="13">
        <f>IFERROR(__xludf.DUMMYFUNCTION("""COMPUTED_VALUE"""),0.5)</f>
        <v>0.5</v>
      </c>
      <c r="D12181" s="8">
        <f>IFERROR(__xludf.DUMMYFUNCTION("""COMPUTED_VALUE"""),0.45)</f>
        <v>0.45</v>
      </c>
      <c r="E12181" s="8" t="str">
        <f>IFERROR(__xludf.DUMMYFUNCTION("""COMPUTED_VALUE"""),"Real")</f>
        <v>Real</v>
      </c>
      <c r="G12181" s="8">
        <f t="shared" si="1"/>
        <v>3</v>
      </c>
      <c r="H12181" s="14">
        <f t="shared" si="2"/>
        <v>22</v>
      </c>
      <c r="I12181" s="15">
        <f t="shared" si="3"/>
        <v>12</v>
      </c>
    </row>
    <row r="12182">
      <c r="A12182" s="8" t="str">
        <f>IFERROR(__xludf.DUMMYFUNCTION("IF('(INGESTA)Datos_consumo_datadis'!A12182&lt;&gt;"""",SPLIT('(INGESTA)Datos_consumo_datadis'!A:A,"",""),"""")"),"ES0031408323131005HX0F")</f>
        <v>ES0031408323131005HX0F</v>
      </c>
      <c r="B12182" s="12">
        <f>IFERROR(__xludf.DUMMYFUNCTION("""COMPUTED_VALUE"""),45373.0)</f>
        <v>45373</v>
      </c>
      <c r="C12182" s="13">
        <f>IFERROR(__xludf.DUMMYFUNCTION("""COMPUTED_VALUE"""),0.5416666666666666)</f>
        <v>0.5416666667</v>
      </c>
      <c r="D12182" s="8">
        <f>IFERROR(__xludf.DUMMYFUNCTION("""COMPUTED_VALUE"""),0.055)</f>
        <v>0.055</v>
      </c>
      <c r="E12182" s="8" t="str">
        <f>IFERROR(__xludf.DUMMYFUNCTION("""COMPUTED_VALUE"""),"Real")</f>
        <v>Real</v>
      </c>
      <c r="G12182" s="8">
        <f t="shared" si="1"/>
        <v>3</v>
      </c>
      <c r="H12182" s="14">
        <f t="shared" si="2"/>
        <v>22</v>
      </c>
      <c r="I12182" s="15">
        <f t="shared" si="3"/>
        <v>13</v>
      </c>
    </row>
    <row r="12183">
      <c r="A12183" s="8" t="str">
        <f>IFERROR(__xludf.DUMMYFUNCTION("IF('(INGESTA)Datos_consumo_datadis'!A12183&lt;&gt;"""",SPLIT('(INGESTA)Datos_consumo_datadis'!A:A,"",""),"""")"),"ES0031408323131005HX0F")</f>
        <v>ES0031408323131005HX0F</v>
      </c>
      <c r="B12183" s="12">
        <f>IFERROR(__xludf.DUMMYFUNCTION("""COMPUTED_VALUE"""),45373.0)</f>
        <v>45373</v>
      </c>
      <c r="C12183" s="13">
        <f>IFERROR(__xludf.DUMMYFUNCTION("""COMPUTED_VALUE"""),0.5833333333333334)</f>
        <v>0.5833333333</v>
      </c>
      <c r="D12183" s="8">
        <f>IFERROR(__xludf.DUMMYFUNCTION("""COMPUTED_VALUE"""),0.028)</f>
        <v>0.028</v>
      </c>
      <c r="E12183" s="8" t="str">
        <f>IFERROR(__xludf.DUMMYFUNCTION("""COMPUTED_VALUE"""),"Real")</f>
        <v>Real</v>
      </c>
      <c r="G12183" s="8">
        <f t="shared" si="1"/>
        <v>3</v>
      </c>
      <c r="H12183" s="14">
        <f t="shared" si="2"/>
        <v>22</v>
      </c>
      <c r="I12183" s="15">
        <f t="shared" si="3"/>
        <v>14</v>
      </c>
    </row>
    <row r="12184">
      <c r="A12184" s="8" t="str">
        <f>IFERROR(__xludf.DUMMYFUNCTION("IF('(INGESTA)Datos_consumo_datadis'!A12184&lt;&gt;"""",SPLIT('(INGESTA)Datos_consumo_datadis'!A:A,"",""),"""")"),"ES0031408323131005HX0F")</f>
        <v>ES0031408323131005HX0F</v>
      </c>
      <c r="B12184" s="12">
        <f>IFERROR(__xludf.DUMMYFUNCTION("""COMPUTED_VALUE"""),45373.0)</f>
        <v>45373</v>
      </c>
      <c r="C12184" s="13">
        <f>IFERROR(__xludf.DUMMYFUNCTION("""COMPUTED_VALUE"""),0.625)</f>
        <v>0.625</v>
      </c>
      <c r="D12184" s="8">
        <f>IFERROR(__xludf.DUMMYFUNCTION("""COMPUTED_VALUE"""),0.101)</f>
        <v>0.101</v>
      </c>
      <c r="E12184" s="8" t="str">
        <f>IFERROR(__xludf.DUMMYFUNCTION("""COMPUTED_VALUE"""),"Real")</f>
        <v>Real</v>
      </c>
      <c r="G12184" s="8">
        <f t="shared" si="1"/>
        <v>3</v>
      </c>
      <c r="H12184" s="14">
        <f t="shared" si="2"/>
        <v>22</v>
      </c>
      <c r="I12184" s="15">
        <f t="shared" si="3"/>
        <v>15</v>
      </c>
    </row>
    <row r="12185">
      <c r="A12185" s="8" t="str">
        <f>IFERROR(__xludf.DUMMYFUNCTION("IF('(INGESTA)Datos_consumo_datadis'!A12185&lt;&gt;"""",SPLIT('(INGESTA)Datos_consumo_datadis'!A:A,"",""),"""")"),"ES0031408323131005HX0F")</f>
        <v>ES0031408323131005HX0F</v>
      </c>
      <c r="B12185" s="12">
        <f>IFERROR(__xludf.DUMMYFUNCTION("""COMPUTED_VALUE"""),45373.0)</f>
        <v>45373</v>
      </c>
      <c r="C12185" s="13">
        <f>IFERROR(__xludf.DUMMYFUNCTION("""COMPUTED_VALUE"""),0.6666666666666666)</f>
        <v>0.6666666667</v>
      </c>
      <c r="D12185" s="8">
        <f>IFERROR(__xludf.DUMMYFUNCTION("""COMPUTED_VALUE"""),0.051)</f>
        <v>0.051</v>
      </c>
      <c r="E12185" s="8" t="str">
        <f>IFERROR(__xludf.DUMMYFUNCTION("""COMPUTED_VALUE"""),"Real")</f>
        <v>Real</v>
      </c>
      <c r="G12185" s="8">
        <f t="shared" si="1"/>
        <v>3</v>
      </c>
      <c r="H12185" s="14">
        <f t="shared" si="2"/>
        <v>22</v>
      </c>
      <c r="I12185" s="15">
        <f t="shared" si="3"/>
        <v>16</v>
      </c>
    </row>
    <row r="12186">
      <c r="A12186" s="8" t="str">
        <f>IFERROR(__xludf.DUMMYFUNCTION("IF('(INGESTA)Datos_consumo_datadis'!A12186&lt;&gt;"""",SPLIT('(INGESTA)Datos_consumo_datadis'!A:A,"",""),"""")"),"ES0031408323131005HX0F")</f>
        <v>ES0031408323131005HX0F</v>
      </c>
      <c r="B12186" s="12">
        <f>IFERROR(__xludf.DUMMYFUNCTION("""COMPUTED_VALUE"""),45373.0)</f>
        <v>45373</v>
      </c>
      <c r="C12186" s="13">
        <f>IFERROR(__xludf.DUMMYFUNCTION("""COMPUTED_VALUE"""),0.7083333333333334)</f>
        <v>0.7083333333</v>
      </c>
      <c r="D12186" s="8">
        <f>IFERROR(__xludf.DUMMYFUNCTION("""COMPUTED_VALUE"""),0.054)</f>
        <v>0.054</v>
      </c>
      <c r="E12186" s="8" t="str">
        <f>IFERROR(__xludf.DUMMYFUNCTION("""COMPUTED_VALUE"""),"Real")</f>
        <v>Real</v>
      </c>
      <c r="G12186" s="8">
        <f t="shared" si="1"/>
        <v>3</v>
      </c>
      <c r="H12186" s="14">
        <f t="shared" si="2"/>
        <v>22</v>
      </c>
      <c r="I12186" s="15">
        <f t="shared" si="3"/>
        <v>17</v>
      </c>
    </row>
    <row r="12187">
      <c r="A12187" s="8" t="str">
        <f>IFERROR(__xludf.DUMMYFUNCTION("IF('(INGESTA)Datos_consumo_datadis'!A12187&lt;&gt;"""",SPLIT('(INGESTA)Datos_consumo_datadis'!A:A,"",""),"""")"),"ES0031408323131005HX0F")</f>
        <v>ES0031408323131005HX0F</v>
      </c>
      <c r="B12187" s="12">
        <f>IFERROR(__xludf.DUMMYFUNCTION("""COMPUTED_VALUE"""),45373.0)</f>
        <v>45373</v>
      </c>
      <c r="C12187" s="13">
        <f>IFERROR(__xludf.DUMMYFUNCTION("""COMPUTED_VALUE"""),0.75)</f>
        <v>0.75</v>
      </c>
      <c r="D12187" s="8">
        <f>IFERROR(__xludf.DUMMYFUNCTION("""COMPUTED_VALUE"""),0.337)</f>
        <v>0.337</v>
      </c>
      <c r="E12187" s="8" t="str">
        <f>IFERROR(__xludf.DUMMYFUNCTION("""COMPUTED_VALUE"""),"Real")</f>
        <v>Real</v>
      </c>
      <c r="G12187" s="8">
        <f t="shared" si="1"/>
        <v>3</v>
      </c>
      <c r="H12187" s="14">
        <f t="shared" si="2"/>
        <v>22</v>
      </c>
      <c r="I12187" s="15">
        <f t="shared" si="3"/>
        <v>18</v>
      </c>
    </row>
    <row r="12188">
      <c r="A12188" s="8" t="str">
        <f>IFERROR(__xludf.DUMMYFUNCTION("IF('(INGESTA)Datos_consumo_datadis'!A12188&lt;&gt;"""",SPLIT('(INGESTA)Datos_consumo_datadis'!A:A,"",""),"""")"),"ES0031408323131005HX0F")</f>
        <v>ES0031408323131005HX0F</v>
      </c>
      <c r="B12188" s="12">
        <f>IFERROR(__xludf.DUMMYFUNCTION("""COMPUTED_VALUE"""),45373.0)</f>
        <v>45373</v>
      </c>
      <c r="C12188" s="13">
        <f>IFERROR(__xludf.DUMMYFUNCTION("""COMPUTED_VALUE"""),0.7916666666666666)</f>
        <v>0.7916666667</v>
      </c>
      <c r="D12188" s="8">
        <f>IFERROR(__xludf.DUMMYFUNCTION("""COMPUTED_VALUE"""),0.053)</f>
        <v>0.053</v>
      </c>
      <c r="E12188" s="8" t="str">
        <f>IFERROR(__xludf.DUMMYFUNCTION("""COMPUTED_VALUE"""),"Real")</f>
        <v>Real</v>
      </c>
      <c r="G12188" s="8">
        <f t="shared" si="1"/>
        <v>3</v>
      </c>
      <c r="H12188" s="14">
        <f t="shared" si="2"/>
        <v>22</v>
      </c>
      <c r="I12188" s="15">
        <f t="shared" si="3"/>
        <v>19</v>
      </c>
    </row>
    <row r="12189">
      <c r="A12189" s="8" t="str">
        <f>IFERROR(__xludf.DUMMYFUNCTION("IF('(INGESTA)Datos_consumo_datadis'!A12189&lt;&gt;"""",SPLIT('(INGESTA)Datos_consumo_datadis'!A:A,"",""),"""")"),"ES0031408323131005HX0F")</f>
        <v>ES0031408323131005HX0F</v>
      </c>
      <c r="B12189" s="12">
        <f>IFERROR(__xludf.DUMMYFUNCTION("""COMPUTED_VALUE"""),45373.0)</f>
        <v>45373</v>
      </c>
      <c r="C12189" s="13">
        <f>IFERROR(__xludf.DUMMYFUNCTION("""COMPUTED_VALUE"""),0.8333333333333334)</f>
        <v>0.8333333333</v>
      </c>
      <c r="D12189" s="8">
        <f>IFERROR(__xludf.DUMMYFUNCTION("""COMPUTED_VALUE"""),0.099)</f>
        <v>0.099</v>
      </c>
      <c r="E12189" s="8" t="str">
        <f>IFERROR(__xludf.DUMMYFUNCTION("""COMPUTED_VALUE"""),"Real")</f>
        <v>Real</v>
      </c>
      <c r="G12189" s="8">
        <f t="shared" si="1"/>
        <v>3</v>
      </c>
      <c r="H12189" s="14">
        <f t="shared" si="2"/>
        <v>22</v>
      </c>
      <c r="I12189" s="15">
        <f t="shared" si="3"/>
        <v>20</v>
      </c>
    </row>
    <row r="12190">
      <c r="A12190" s="8" t="str">
        <f>IFERROR(__xludf.DUMMYFUNCTION("IF('(INGESTA)Datos_consumo_datadis'!A12190&lt;&gt;"""",SPLIT('(INGESTA)Datos_consumo_datadis'!A:A,"",""),"""")"),"ES0031408323131005HX0F")</f>
        <v>ES0031408323131005HX0F</v>
      </c>
      <c r="B12190" s="12">
        <f>IFERROR(__xludf.DUMMYFUNCTION("""COMPUTED_VALUE"""),45373.0)</f>
        <v>45373</v>
      </c>
      <c r="C12190" s="13">
        <f>IFERROR(__xludf.DUMMYFUNCTION("""COMPUTED_VALUE"""),0.875)</f>
        <v>0.875</v>
      </c>
      <c r="D12190" s="8">
        <f>IFERROR(__xludf.DUMMYFUNCTION("""COMPUTED_VALUE"""),1.416)</f>
        <v>1.416</v>
      </c>
      <c r="E12190" s="8" t="str">
        <f>IFERROR(__xludf.DUMMYFUNCTION("""COMPUTED_VALUE"""),"Real")</f>
        <v>Real</v>
      </c>
      <c r="G12190" s="8">
        <f t="shared" si="1"/>
        <v>3</v>
      </c>
      <c r="H12190" s="14">
        <f t="shared" si="2"/>
        <v>22</v>
      </c>
      <c r="I12190" s="15">
        <f t="shared" si="3"/>
        <v>21</v>
      </c>
    </row>
    <row r="12191">
      <c r="A12191" s="8" t="str">
        <f>IFERROR(__xludf.DUMMYFUNCTION("IF('(INGESTA)Datos_consumo_datadis'!A12191&lt;&gt;"""",SPLIT('(INGESTA)Datos_consumo_datadis'!A:A,"",""),"""")"),"ES0031408323131005HX0F")</f>
        <v>ES0031408323131005HX0F</v>
      </c>
      <c r="B12191" s="12">
        <f>IFERROR(__xludf.DUMMYFUNCTION("""COMPUTED_VALUE"""),45373.0)</f>
        <v>45373</v>
      </c>
      <c r="C12191" s="13">
        <f>IFERROR(__xludf.DUMMYFUNCTION("""COMPUTED_VALUE"""),0.9166666666666666)</f>
        <v>0.9166666667</v>
      </c>
      <c r="D12191" s="8">
        <f>IFERROR(__xludf.DUMMYFUNCTION("""COMPUTED_VALUE"""),0.581)</f>
        <v>0.581</v>
      </c>
      <c r="E12191" s="8" t="str">
        <f>IFERROR(__xludf.DUMMYFUNCTION("""COMPUTED_VALUE"""),"Real")</f>
        <v>Real</v>
      </c>
      <c r="G12191" s="8">
        <f t="shared" si="1"/>
        <v>3</v>
      </c>
      <c r="H12191" s="14">
        <f t="shared" si="2"/>
        <v>22</v>
      </c>
      <c r="I12191" s="15">
        <f t="shared" si="3"/>
        <v>22</v>
      </c>
    </row>
    <row r="12192">
      <c r="A12192" s="8" t="str">
        <f>IFERROR(__xludf.DUMMYFUNCTION("IF('(INGESTA)Datos_consumo_datadis'!A12192&lt;&gt;"""",SPLIT('(INGESTA)Datos_consumo_datadis'!A:A,"",""),"""")"),"ES0031408323131005HX0F")</f>
        <v>ES0031408323131005HX0F</v>
      </c>
      <c r="B12192" s="12">
        <f>IFERROR(__xludf.DUMMYFUNCTION("""COMPUTED_VALUE"""),45373.0)</f>
        <v>45373</v>
      </c>
      <c r="C12192" s="13">
        <f>IFERROR(__xludf.DUMMYFUNCTION("""COMPUTED_VALUE"""),0.9583333333333334)</f>
        <v>0.9583333333</v>
      </c>
      <c r="D12192" s="8">
        <f>IFERROR(__xludf.DUMMYFUNCTION("""COMPUTED_VALUE"""),1.31)</f>
        <v>1.31</v>
      </c>
      <c r="E12192" s="8" t="str">
        <f>IFERROR(__xludf.DUMMYFUNCTION("""COMPUTED_VALUE"""),"Real")</f>
        <v>Real</v>
      </c>
      <c r="G12192" s="8">
        <f t="shared" si="1"/>
        <v>3</v>
      </c>
      <c r="H12192" s="14">
        <f t="shared" si="2"/>
        <v>22</v>
      </c>
      <c r="I12192" s="15">
        <f t="shared" si="3"/>
        <v>23</v>
      </c>
    </row>
    <row r="12193">
      <c r="A12193" s="8" t="str">
        <f>IFERROR(__xludf.DUMMYFUNCTION("IF('(INGESTA)Datos_consumo_datadis'!A12193&lt;&gt;"""",SPLIT('(INGESTA)Datos_consumo_datadis'!A:A,"",""),"""")"),"ES0031408323131005HX0F")</f>
        <v>ES0031408323131005HX0F</v>
      </c>
      <c r="B12193" s="12">
        <f>IFERROR(__xludf.DUMMYFUNCTION("""COMPUTED_VALUE"""),45373.0)</f>
        <v>45373</v>
      </c>
      <c r="C12193" s="16">
        <f>IFERROR(__xludf.DUMMYFUNCTION("""COMPUTED_VALUE"""),1.0)</f>
        <v>1</v>
      </c>
      <c r="D12193" s="8">
        <f>IFERROR(__xludf.DUMMYFUNCTION("""COMPUTED_VALUE"""),0.624)</f>
        <v>0.624</v>
      </c>
      <c r="E12193" s="8" t="str">
        <f>IFERROR(__xludf.DUMMYFUNCTION("""COMPUTED_VALUE"""),"Real")</f>
        <v>Real</v>
      </c>
      <c r="G12193" s="8">
        <f t="shared" si="1"/>
        <v>3</v>
      </c>
      <c r="H12193" s="14">
        <f t="shared" si="2"/>
        <v>22</v>
      </c>
      <c r="I12193" s="15">
        <f t="shared" si="3"/>
        <v>0</v>
      </c>
    </row>
    <row r="12194">
      <c r="A12194" s="8" t="str">
        <f>IFERROR(__xludf.DUMMYFUNCTION("IF('(INGESTA)Datos_consumo_datadis'!A12194&lt;&gt;"""",SPLIT('(INGESTA)Datos_consumo_datadis'!A:A,"",""),"""")"),"ES0031408323131005HX0F")</f>
        <v>ES0031408323131005HX0F</v>
      </c>
      <c r="B12194" s="12">
        <f>IFERROR(__xludf.DUMMYFUNCTION("""COMPUTED_VALUE"""),45374.0)</f>
        <v>45374</v>
      </c>
      <c r="C12194" s="13">
        <f>IFERROR(__xludf.DUMMYFUNCTION("""COMPUTED_VALUE"""),0.041666666666666664)</f>
        <v>0.04166666667</v>
      </c>
      <c r="D12194" s="8">
        <f>IFERROR(__xludf.DUMMYFUNCTION("""COMPUTED_VALUE"""),0.074)</f>
        <v>0.074</v>
      </c>
      <c r="E12194" s="8" t="str">
        <f>IFERROR(__xludf.DUMMYFUNCTION("""COMPUTED_VALUE"""),"Real")</f>
        <v>Real</v>
      </c>
      <c r="G12194" s="8">
        <f t="shared" si="1"/>
        <v>3</v>
      </c>
      <c r="H12194" s="14">
        <f t="shared" si="2"/>
        <v>23</v>
      </c>
      <c r="I12194" s="15">
        <f t="shared" si="3"/>
        <v>1</v>
      </c>
    </row>
    <row r="12195">
      <c r="A12195" s="8" t="str">
        <f>IFERROR(__xludf.DUMMYFUNCTION("IF('(INGESTA)Datos_consumo_datadis'!A12195&lt;&gt;"""",SPLIT('(INGESTA)Datos_consumo_datadis'!A:A,"",""),"""")"),"ES0031408323131005HX0F")</f>
        <v>ES0031408323131005HX0F</v>
      </c>
      <c r="B12195" s="12">
        <f>IFERROR(__xludf.DUMMYFUNCTION("""COMPUTED_VALUE"""),45374.0)</f>
        <v>45374</v>
      </c>
      <c r="C12195" s="13">
        <f>IFERROR(__xludf.DUMMYFUNCTION("""COMPUTED_VALUE"""),0.08333333333333333)</f>
        <v>0.08333333333</v>
      </c>
      <c r="D12195" s="8">
        <f>IFERROR(__xludf.DUMMYFUNCTION("""COMPUTED_VALUE"""),0.022)</f>
        <v>0.022</v>
      </c>
      <c r="E12195" s="8" t="str">
        <f>IFERROR(__xludf.DUMMYFUNCTION("""COMPUTED_VALUE"""),"Real")</f>
        <v>Real</v>
      </c>
      <c r="G12195" s="8">
        <f t="shared" si="1"/>
        <v>3</v>
      </c>
      <c r="H12195" s="14">
        <f t="shared" si="2"/>
        <v>23</v>
      </c>
      <c r="I12195" s="15">
        <f t="shared" si="3"/>
        <v>2</v>
      </c>
    </row>
    <row r="12196">
      <c r="A12196" s="8" t="str">
        <f>IFERROR(__xludf.DUMMYFUNCTION("IF('(INGESTA)Datos_consumo_datadis'!A12196&lt;&gt;"""",SPLIT('(INGESTA)Datos_consumo_datadis'!A:A,"",""),"""")"),"ES0031408323131005HX0F")</f>
        <v>ES0031408323131005HX0F</v>
      </c>
      <c r="B12196" s="12">
        <f>IFERROR(__xludf.DUMMYFUNCTION("""COMPUTED_VALUE"""),45374.0)</f>
        <v>45374</v>
      </c>
      <c r="C12196" s="13">
        <f>IFERROR(__xludf.DUMMYFUNCTION("""COMPUTED_VALUE"""),0.125)</f>
        <v>0.125</v>
      </c>
      <c r="D12196" s="8">
        <f>IFERROR(__xludf.DUMMYFUNCTION("""COMPUTED_VALUE"""),0.091)</f>
        <v>0.091</v>
      </c>
      <c r="E12196" s="8" t="str">
        <f>IFERROR(__xludf.DUMMYFUNCTION("""COMPUTED_VALUE"""),"Real")</f>
        <v>Real</v>
      </c>
      <c r="G12196" s="8">
        <f t="shared" si="1"/>
        <v>3</v>
      </c>
      <c r="H12196" s="14">
        <f t="shared" si="2"/>
        <v>23</v>
      </c>
      <c r="I12196" s="15">
        <f t="shared" si="3"/>
        <v>3</v>
      </c>
    </row>
    <row r="12197">
      <c r="A12197" s="8" t="str">
        <f>IFERROR(__xludf.DUMMYFUNCTION("IF('(INGESTA)Datos_consumo_datadis'!A12197&lt;&gt;"""",SPLIT('(INGESTA)Datos_consumo_datadis'!A:A,"",""),"""")"),"ES0031408323131005HX0F")</f>
        <v>ES0031408323131005HX0F</v>
      </c>
      <c r="B12197" s="12">
        <f>IFERROR(__xludf.DUMMYFUNCTION("""COMPUTED_VALUE"""),45374.0)</f>
        <v>45374</v>
      </c>
      <c r="C12197" s="13">
        <f>IFERROR(__xludf.DUMMYFUNCTION("""COMPUTED_VALUE"""),0.16666666666666666)</f>
        <v>0.1666666667</v>
      </c>
      <c r="D12197" s="8">
        <f>IFERROR(__xludf.DUMMYFUNCTION("""COMPUTED_VALUE"""),0.317)</f>
        <v>0.317</v>
      </c>
      <c r="E12197" s="8" t="str">
        <f>IFERROR(__xludf.DUMMYFUNCTION("""COMPUTED_VALUE"""),"Real")</f>
        <v>Real</v>
      </c>
      <c r="G12197" s="8">
        <f t="shared" si="1"/>
        <v>3</v>
      </c>
      <c r="H12197" s="14">
        <f t="shared" si="2"/>
        <v>23</v>
      </c>
      <c r="I12197" s="15">
        <f t="shared" si="3"/>
        <v>4</v>
      </c>
    </row>
    <row r="12198">
      <c r="A12198" s="8" t="str">
        <f>IFERROR(__xludf.DUMMYFUNCTION("IF('(INGESTA)Datos_consumo_datadis'!A12198&lt;&gt;"""",SPLIT('(INGESTA)Datos_consumo_datadis'!A:A,"",""),"""")"),"ES0031408323131005HX0F")</f>
        <v>ES0031408323131005HX0F</v>
      </c>
      <c r="B12198" s="12">
        <f>IFERROR(__xludf.DUMMYFUNCTION("""COMPUTED_VALUE"""),45374.0)</f>
        <v>45374</v>
      </c>
      <c r="C12198" s="13">
        <f>IFERROR(__xludf.DUMMYFUNCTION("""COMPUTED_VALUE"""),0.20833333333333334)</f>
        <v>0.2083333333</v>
      </c>
      <c r="D12198" s="8">
        <f>IFERROR(__xludf.DUMMYFUNCTION("""COMPUTED_VALUE"""),0.044)</f>
        <v>0.044</v>
      </c>
      <c r="E12198" s="8" t="str">
        <f>IFERROR(__xludf.DUMMYFUNCTION("""COMPUTED_VALUE"""),"Real")</f>
        <v>Real</v>
      </c>
      <c r="G12198" s="8">
        <f t="shared" si="1"/>
        <v>3</v>
      </c>
      <c r="H12198" s="14">
        <f t="shared" si="2"/>
        <v>23</v>
      </c>
      <c r="I12198" s="15">
        <f t="shared" si="3"/>
        <v>5</v>
      </c>
    </row>
    <row r="12199">
      <c r="A12199" s="8" t="str">
        <f>IFERROR(__xludf.DUMMYFUNCTION("IF('(INGESTA)Datos_consumo_datadis'!A12199&lt;&gt;"""",SPLIT('(INGESTA)Datos_consumo_datadis'!A:A,"",""),"""")"),"ES0031408323131005HX0F")</f>
        <v>ES0031408323131005HX0F</v>
      </c>
      <c r="B12199" s="12">
        <f>IFERROR(__xludf.DUMMYFUNCTION("""COMPUTED_VALUE"""),45374.0)</f>
        <v>45374</v>
      </c>
      <c r="C12199" s="13">
        <f>IFERROR(__xludf.DUMMYFUNCTION("""COMPUTED_VALUE"""),0.25)</f>
        <v>0.25</v>
      </c>
      <c r="D12199" s="8">
        <f>IFERROR(__xludf.DUMMYFUNCTION("""COMPUTED_VALUE"""),0.095)</f>
        <v>0.095</v>
      </c>
      <c r="E12199" s="8" t="str">
        <f>IFERROR(__xludf.DUMMYFUNCTION("""COMPUTED_VALUE"""),"Real")</f>
        <v>Real</v>
      </c>
      <c r="G12199" s="8">
        <f t="shared" si="1"/>
        <v>3</v>
      </c>
      <c r="H12199" s="14">
        <f t="shared" si="2"/>
        <v>23</v>
      </c>
      <c r="I12199" s="15">
        <f t="shared" si="3"/>
        <v>6</v>
      </c>
    </row>
    <row r="12200">
      <c r="A12200" s="8" t="str">
        <f>IFERROR(__xludf.DUMMYFUNCTION("IF('(INGESTA)Datos_consumo_datadis'!A12200&lt;&gt;"""",SPLIT('(INGESTA)Datos_consumo_datadis'!A:A,"",""),"""")"),"ES0031408323131005HX0F")</f>
        <v>ES0031408323131005HX0F</v>
      </c>
      <c r="B12200" s="12">
        <f>IFERROR(__xludf.DUMMYFUNCTION("""COMPUTED_VALUE"""),45374.0)</f>
        <v>45374</v>
      </c>
      <c r="C12200" s="13">
        <f>IFERROR(__xludf.DUMMYFUNCTION("""COMPUTED_VALUE"""),0.2916666666666667)</f>
        <v>0.2916666667</v>
      </c>
      <c r="D12200" s="8">
        <f>IFERROR(__xludf.DUMMYFUNCTION("""COMPUTED_VALUE"""),0.044)</f>
        <v>0.044</v>
      </c>
      <c r="E12200" s="8" t="str">
        <f>IFERROR(__xludf.DUMMYFUNCTION("""COMPUTED_VALUE"""),"Real")</f>
        <v>Real</v>
      </c>
      <c r="G12200" s="8">
        <f t="shared" si="1"/>
        <v>3</v>
      </c>
      <c r="H12200" s="14">
        <f t="shared" si="2"/>
        <v>23</v>
      </c>
      <c r="I12200" s="15">
        <f t="shared" si="3"/>
        <v>7</v>
      </c>
    </row>
    <row r="12201">
      <c r="A12201" s="8" t="str">
        <f>IFERROR(__xludf.DUMMYFUNCTION("IF('(INGESTA)Datos_consumo_datadis'!A12201&lt;&gt;"""",SPLIT('(INGESTA)Datos_consumo_datadis'!A:A,"",""),"""")"),"ES0031408323131005HX0F")</f>
        <v>ES0031408323131005HX0F</v>
      </c>
      <c r="B12201" s="12">
        <f>IFERROR(__xludf.DUMMYFUNCTION("""COMPUTED_VALUE"""),45374.0)</f>
        <v>45374</v>
      </c>
      <c r="C12201" s="13">
        <f>IFERROR(__xludf.DUMMYFUNCTION("""COMPUTED_VALUE"""),0.3333333333333333)</f>
        <v>0.3333333333</v>
      </c>
      <c r="D12201" s="8">
        <f>IFERROR(__xludf.DUMMYFUNCTION("""COMPUTED_VALUE"""),0.339)</f>
        <v>0.339</v>
      </c>
      <c r="E12201" s="8" t="str">
        <f>IFERROR(__xludf.DUMMYFUNCTION("""COMPUTED_VALUE"""),"Real")</f>
        <v>Real</v>
      </c>
      <c r="G12201" s="8">
        <f t="shared" si="1"/>
        <v>3</v>
      </c>
      <c r="H12201" s="14">
        <f t="shared" si="2"/>
        <v>23</v>
      </c>
      <c r="I12201" s="15">
        <f t="shared" si="3"/>
        <v>8</v>
      </c>
    </row>
    <row r="12202">
      <c r="A12202" s="8" t="str">
        <f>IFERROR(__xludf.DUMMYFUNCTION("IF('(INGESTA)Datos_consumo_datadis'!A12202&lt;&gt;"""",SPLIT('(INGESTA)Datos_consumo_datadis'!A:A,"",""),"""")"),"ES0031408323131005HX0F")</f>
        <v>ES0031408323131005HX0F</v>
      </c>
      <c r="B12202" s="12">
        <f>IFERROR(__xludf.DUMMYFUNCTION("""COMPUTED_VALUE"""),45374.0)</f>
        <v>45374</v>
      </c>
      <c r="C12202" s="13">
        <f>IFERROR(__xludf.DUMMYFUNCTION("""COMPUTED_VALUE"""),0.375)</f>
        <v>0.375</v>
      </c>
      <c r="D12202" s="8">
        <f>IFERROR(__xludf.DUMMYFUNCTION("""COMPUTED_VALUE"""),1.184)</f>
        <v>1.184</v>
      </c>
      <c r="E12202" s="8" t="str">
        <f>IFERROR(__xludf.DUMMYFUNCTION("""COMPUTED_VALUE"""),"Real")</f>
        <v>Real</v>
      </c>
      <c r="G12202" s="8">
        <f t="shared" si="1"/>
        <v>3</v>
      </c>
      <c r="H12202" s="14">
        <f t="shared" si="2"/>
        <v>23</v>
      </c>
      <c r="I12202" s="15">
        <f t="shared" si="3"/>
        <v>9</v>
      </c>
    </row>
    <row r="12203">
      <c r="A12203" s="8" t="str">
        <f>IFERROR(__xludf.DUMMYFUNCTION("IF('(INGESTA)Datos_consumo_datadis'!A12203&lt;&gt;"""",SPLIT('(INGESTA)Datos_consumo_datadis'!A:A,"",""),"""")"),"ES0031408323131005HX0F")</f>
        <v>ES0031408323131005HX0F</v>
      </c>
      <c r="B12203" s="12">
        <f>IFERROR(__xludf.DUMMYFUNCTION("""COMPUTED_VALUE"""),45374.0)</f>
        <v>45374</v>
      </c>
      <c r="C12203" s="13">
        <f>IFERROR(__xludf.DUMMYFUNCTION("""COMPUTED_VALUE"""),0.4166666666666667)</f>
        <v>0.4166666667</v>
      </c>
      <c r="D12203" s="8">
        <f>IFERROR(__xludf.DUMMYFUNCTION("""COMPUTED_VALUE"""),0.575)</f>
        <v>0.575</v>
      </c>
      <c r="E12203" s="8" t="str">
        <f>IFERROR(__xludf.DUMMYFUNCTION("""COMPUTED_VALUE"""),"Real")</f>
        <v>Real</v>
      </c>
      <c r="G12203" s="8">
        <f t="shared" si="1"/>
        <v>3</v>
      </c>
      <c r="H12203" s="14">
        <f t="shared" si="2"/>
        <v>23</v>
      </c>
      <c r="I12203" s="15">
        <f t="shared" si="3"/>
        <v>10</v>
      </c>
    </row>
    <row r="12204">
      <c r="A12204" s="8" t="str">
        <f>IFERROR(__xludf.DUMMYFUNCTION("IF('(INGESTA)Datos_consumo_datadis'!A12204&lt;&gt;"""",SPLIT('(INGESTA)Datos_consumo_datadis'!A:A,"",""),"""")"),"ES0031408323131005HX0F")</f>
        <v>ES0031408323131005HX0F</v>
      </c>
      <c r="B12204" s="12">
        <f>IFERROR(__xludf.DUMMYFUNCTION("""COMPUTED_VALUE"""),45374.0)</f>
        <v>45374</v>
      </c>
      <c r="C12204" s="13">
        <f>IFERROR(__xludf.DUMMYFUNCTION("""COMPUTED_VALUE"""),0.4583333333333333)</f>
        <v>0.4583333333</v>
      </c>
      <c r="D12204" s="8">
        <f>IFERROR(__xludf.DUMMYFUNCTION("""COMPUTED_VALUE"""),0.894)</f>
        <v>0.894</v>
      </c>
      <c r="E12204" s="8" t="str">
        <f>IFERROR(__xludf.DUMMYFUNCTION("""COMPUTED_VALUE"""),"Real")</f>
        <v>Real</v>
      </c>
      <c r="G12204" s="8">
        <f t="shared" si="1"/>
        <v>3</v>
      </c>
      <c r="H12204" s="14">
        <f t="shared" si="2"/>
        <v>23</v>
      </c>
      <c r="I12204" s="15">
        <f t="shared" si="3"/>
        <v>11</v>
      </c>
    </row>
    <row r="12205">
      <c r="A12205" s="8" t="str">
        <f>IFERROR(__xludf.DUMMYFUNCTION("IF('(INGESTA)Datos_consumo_datadis'!A12205&lt;&gt;"""",SPLIT('(INGESTA)Datos_consumo_datadis'!A:A,"",""),"""")"),"ES0031408323131005HX0F")</f>
        <v>ES0031408323131005HX0F</v>
      </c>
      <c r="B12205" s="12">
        <f>IFERROR(__xludf.DUMMYFUNCTION("""COMPUTED_VALUE"""),45374.0)</f>
        <v>45374</v>
      </c>
      <c r="C12205" s="13">
        <f>IFERROR(__xludf.DUMMYFUNCTION("""COMPUTED_VALUE"""),0.5)</f>
        <v>0.5</v>
      </c>
      <c r="D12205" s="8">
        <f>IFERROR(__xludf.DUMMYFUNCTION("""COMPUTED_VALUE"""),0.077)</f>
        <v>0.077</v>
      </c>
      <c r="E12205" s="8" t="str">
        <f>IFERROR(__xludf.DUMMYFUNCTION("""COMPUTED_VALUE"""),"Real")</f>
        <v>Real</v>
      </c>
      <c r="G12205" s="8">
        <f t="shared" si="1"/>
        <v>3</v>
      </c>
      <c r="H12205" s="14">
        <f t="shared" si="2"/>
        <v>23</v>
      </c>
      <c r="I12205" s="15">
        <f t="shared" si="3"/>
        <v>12</v>
      </c>
    </row>
    <row r="12206">
      <c r="A12206" s="8" t="str">
        <f>IFERROR(__xludf.DUMMYFUNCTION("IF('(INGESTA)Datos_consumo_datadis'!A12206&lt;&gt;"""",SPLIT('(INGESTA)Datos_consumo_datadis'!A:A,"",""),"""")"),"ES0031408323131005HX0F")</f>
        <v>ES0031408323131005HX0F</v>
      </c>
      <c r="B12206" s="12">
        <f>IFERROR(__xludf.DUMMYFUNCTION("""COMPUTED_VALUE"""),45374.0)</f>
        <v>45374</v>
      </c>
      <c r="C12206" s="13">
        <f>IFERROR(__xludf.DUMMYFUNCTION("""COMPUTED_VALUE"""),0.5416666666666666)</f>
        <v>0.5416666667</v>
      </c>
      <c r="D12206" s="8">
        <f>IFERROR(__xludf.DUMMYFUNCTION("""COMPUTED_VALUE"""),0.105)</f>
        <v>0.105</v>
      </c>
      <c r="E12206" s="8" t="str">
        <f>IFERROR(__xludf.DUMMYFUNCTION("""COMPUTED_VALUE"""),"Real")</f>
        <v>Real</v>
      </c>
      <c r="G12206" s="8">
        <f t="shared" si="1"/>
        <v>3</v>
      </c>
      <c r="H12206" s="14">
        <f t="shared" si="2"/>
        <v>23</v>
      </c>
      <c r="I12206" s="15">
        <f t="shared" si="3"/>
        <v>13</v>
      </c>
    </row>
    <row r="12207">
      <c r="A12207" s="8" t="str">
        <f>IFERROR(__xludf.DUMMYFUNCTION("IF('(INGESTA)Datos_consumo_datadis'!A12207&lt;&gt;"""",SPLIT('(INGESTA)Datos_consumo_datadis'!A:A,"",""),"""")"),"ES0031408323131005HX0F")</f>
        <v>ES0031408323131005HX0F</v>
      </c>
      <c r="B12207" s="12">
        <f>IFERROR(__xludf.DUMMYFUNCTION("""COMPUTED_VALUE"""),45374.0)</f>
        <v>45374</v>
      </c>
      <c r="C12207" s="13">
        <f>IFERROR(__xludf.DUMMYFUNCTION("""COMPUTED_VALUE"""),0.5833333333333334)</f>
        <v>0.5833333333</v>
      </c>
      <c r="D12207" s="8">
        <f>IFERROR(__xludf.DUMMYFUNCTION("""COMPUTED_VALUE"""),1.477)</f>
        <v>1.477</v>
      </c>
      <c r="E12207" s="8" t="str">
        <f>IFERROR(__xludf.DUMMYFUNCTION("""COMPUTED_VALUE"""),"Real")</f>
        <v>Real</v>
      </c>
      <c r="G12207" s="8">
        <f t="shared" si="1"/>
        <v>3</v>
      </c>
      <c r="H12207" s="14">
        <f t="shared" si="2"/>
        <v>23</v>
      </c>
      <c r="I12207" s="15">
        <f t="shared" si="3"/>
        <v>14</v>
      </c>
    </row>
    <row r="12208">
      <c r="A12208" s="8" t="str">
        <f>IFERROR(__xludf.DUMMYFUNCTION("IF('(INGESTA)Datos_consumo_datadis'!A12208&lt;&gt;"""",SPLIT('(INGESTA)Datos_consumo_datadis'!A:A,"",""),"""")"),"ES0031408323131005HX0F")</f>
        <v>ES0031408323131005HX0F</v>
      </c>
      <c r="B12208" s="12">
        <f>IFERROR(__xludf.DUMMYFUNCTION("""COMPUTED_VALUE"""),45374.0)</f>
        <v>45374</v>
      </c>
      <c r="C12208" s="13">
        <f>IFERROR(__xludf.DUMMYFUNCTION("""COMPUTED_VALUE"""),0.625)</f>
        <v>0.625</v>
      </c>
      <c r="D12208" s="8">
        <f>IFERROR(__xludf.DUMMYFUNCTION("""COMPUTED_VALUE"""),0.814)</f>
        <v>0.814</v>
      </c>
      <c r="E12208" s="8" t="str">
        <f>IFERROR(__xludf.DUMMYFUNCTION("""COMPUTED_VALUE"""),"Real")</f>
        <v>Real</v>
      </c>
      <c r="G12208" s="8">
        <f t="shared" si="1"/>
        <v>3</v>
      </c>
      <c r="H12208" s="14">
        <f t="shared" si="2"/>
        <v>23</v>
      </c>
      <c r="I12208" s="15">
        <f t="shared" si="3"/>
        <v>15</v>
      </c>
    </row>
    <row r="12209">
      <c r="A12209" s="8" t="str">
        <f>IFERROR(__xludf.DUMMYFUNCTION("IF('(INGESTA)Datos_consumo_datadis'!A12209&lt;&gt;"""",SPLIT('(INGESTA)Datos_consumo_datadis'!A:A,"",""),"""")"),"ES0031408323131005HX0F")</f>
        <v>ES0031408323131005HX0F</v>
      </c>
      <c r="B12209" s="12">
        <f>IFERROR(__xludf.DUMMYFUNCTION("""COMPUTED_VALUE"""),45374.0)</f>
        <v>45374</v>
      </c>
      <c r="C12209" s="13">
        <f>IFERROR(__xludf.DUMMYFUNCTION("""COMPUTED_VALUE"""),0.6666666666666666)</f>
        <v>0.6666666667</v>
      </c>
      <c r="D12209" s="8">
        <f>IFERROR(__xludf.DUMMYFUNCTION("""COMPUTED_VALUE"""),0.298)</f>
        <v>0.298</v>
      </c>
      <c r="E12209" s="8" t="str">
        <f>IFERROR(__xludf.DUMMYFUNCTION("""COMPUTED_VALUE"""),"Real")</f>
        <v>Real</v>
      </c>
      <c r="G12209" s="8">
        <f t="shared" si="1"/>
        <v>3</v>
      </c>
      <c r="H12209" s="14">
        <f t="shared" si="2"/>
        <v>23</v>
      </c>
      <c r="I12209" s="15">
        <f t="shared" si="3"/>
        <v>16</v>
      </c>
    </row>
    <row r="12210">
      <c r="A12210" s="8" t="str">
        <f>IFERROR(__xludf.DUMMYFUNCTION("IF('(INGESTA)Datos_consumo_datadis'!A12210&lt;&gt;"""",SPLIT('(INGESTA)Datos_consumo_datadis'!A:A,"",""),"""")"),"ES0031408323131005HX0F")</f>
        <v>ES0031408323131005HX0F</v>
      </c>
      <c r="B12210" s="12">
        <f>IFERROR(__xludf.DUMMYFUNCTION("""COMPUTED_VALUE"""),45374.0)</f>
        <v>45374</v>
      </c>
      <c r="C12210" s="13">
        <f>IFERROR(__xludf.DUMMYFUNCTION("""COMPUTED_VALUE"""),0.7083333333333334)</f>
        <v>0.7083333333</v>
      </c>
      <c r="D12210" s="8">
        <f>IFERROR(__xludf.DUMMYFUNCTION("""COMPUTED_VALUE"""),0.218)</f>
        <v>0.218</v>
      </c>
      <c r="E12210" s="8" t="str">
        <f>IFERROR(__xludf.DUMMYFUNCTION("""COMPUTED_VALUE"""),"Real")</f>
        <v>Real</v>
      </c>
      <c r="G12210" s="8">
        <f t="shared" si="1"/>
        <v>3</v>
      </c>
      <c r="H12210" s="14">
        <f t="shared" si="2"/>
        <v>23</v>
      </c>
      <c r="I12210" s="15">
        <f t="shared" si="3"/>
        <v>17</v>
      </c>
    </row>
    <row r="12211">
      <c r="A12211" s="8" t="str">
        <f>IFERROR(__xludf.DUMMYFUNCTION("IF('(INGESTA)Datos_consumo_datadis'!A12211&lt;&gt;"""",SPLIT('(INGESTA)Datos_consumo_datadis'!A:A,"",""),"""")"),"ES0031408323131005HX0F")</f>
        <v>ES0031408323131005HX0F</v>
      </c>
      <c r="B12211" s="12">
        <f>IFERROR(__xludf.DUMMYFUNCTION("""COMPUTED_VALUE"""),45374.0)</f>
        <v>45374</v>
      </c>
      <c r="C12211" s="13">
        <f>IFERROR(__xludf.DUMMYFUNCTION("""COMPUTED_VALUE"""),0.75)</f>
        <v>0.75</v>
      </c>
      <c r="D12211" s="8">
        <f>IFERROR(__xludf.DUMMYFUNCTION("""COMPUTED_VALUE"""),0.668)</f>
        <v>0.668</v>
      </c>
      <c r="E12211" s="8" t="str">
        <f>IFERROR(__xludf.DUMMYFUNCTION("""COMPUTED_VALUE"""),"Real")</f>
        <v>Real</v>
      </c>
      <c r="G12211" s="8">
        <f t="shared" si="1"/>
        <v>3</v>
      </c>
      <c r="H12211" s="14">
        <f t="shared" si="2"/>
        <v>23</v>
      </c>
      <c r="I12211" s="15">
        <f t="shared" si="3"/>
        <v>18</v>
      </c>
    </row>
    <row r="12212">
      <c r="A12212" s="8" t="str">
        <f>IFERROR(__xludf.DUMMYFUNCTION("IF('(INGESTA)Datos_consumo_datadis'!A12212&lt;&gt;"""",SPLIT('(INGESTA)Datos_consumo_datadis'!A:A,"",""),"""")"),"ES0031408323131005HX0F")</f>
        <v>ES0031408323131005HX0F</v>
      </c>
      <c r="B12212" s="12">
        <f>IFERROR(__xludf.DUMMYFUNCTION("""COMPUTED_VALUE"""),45374.0)</f>
        <v>45374</v>
      </c>
      <c r="C12212" s="13">
        <f>IFERROR(__xludf.DUMMYFUNCTION("""COMPUTED_VALUE"""),0.7916666666666666)</f>
        <v>0.7916666667</v>
      </c>
      <c r="D12212" s="8">
        <f>IFERROR(__xludf.DUMMYFUNCTION("""COMPUTED_VALUE"""),0.088)</f>
        <v>0.088</v>
      </c>
      <c r="E12212" s="8" t="str">
        <f>IFERROR(__xludf.DUMMYFUNCTION("""COMPUTED_VALUE"""),"Real")</f>
        <v>Real</v>
      </c>
      <c r="G12212" s="8">
        <f t="shared" si="1"/>
        <v>3</v>
      </c>
      <c r="H12212" s="14">
        <f t="shared" si="2"/>
        <v>23</v>
      </c>
      <c r="I12212" s="15">
        <f t="shared" si="3"/>
        <v>19</v>
      </c>
    </row>
    <row r="12213">
      <c r="A12213" s="8" t="str">
        <f>IFERROR(__xludf.DUMMYFUNCTION("IF('(INGESTA)Datos_consumo_datadis'!A12213&lt;&gt;"""",SPLIT('(INGESTA)Datos_consumo_datadis'!A:A,"",""),"""")"),"ES0031408323131005HX0F")</f>
        <v>ES0031408323131005HX0F</v>
      </c>
      <c r="B12213" s="12">
        <f>IFERROR(__xludf.DUMMYFUNCTION("""COMPUTED_VALUE"""),45374.0)</f>
        <v>45374</v>
      </c>
      <c r="C12213" s="13">
        <f>IFERROR(__xludf.DUMMYFUNCTION("""COMPUTED_VALUE"""),0.8333333333333334)</f>
        <v>0.8333333333</v>
      </c>
      <c r="D12213" s="8">
        <f>IFERROR(__xludf.DUMMYFUNCTION("""COMPUTED_VALUE"""),0.097)</f>
        <v>0.097</v>
      </c>
      <c r="E12213" s="8" t="str">
        <f>IFERROR(__xludf.DUMMYFUNCTION("""COMPUTED_VALUE"""),"Real")</f>
        <v>Real</v>
      </c>
      <c r="G12213" s="8">
        <f t="shared" si="1"/>
        <v>3</v>
      </c>
      <c r="H12213" s="14">
        <f t="shared" si="2"/>
        <v>23</v>
      </c>
      <c r="I12213" s="15">
        <f t="shared" si="3"/>
        <v>20</v>
      </c>
    </row>
    <row r="12214">
      <c r="A12214" s="8" t="str">
        <f>IFERROR(__xludf.DUMMYFUNCTION("IF('(INGESTA)Datos_consumo_datadis'!A12214&lt;&gt;"""",SPLIT('(INGESTA)Datos_consumo_datadis'!A:A,"",""),"""")"),"ES0031408323131005HX0F")</f>
        <v>ES0031408323131005HX0F</v>
      </c>
      <c r="B12214" s="12">
        <f>IFERROR(__xludf.DUMMYFUNCTION("""COMPUTED_VALUE"""),45374.0)</f>
        <v>45374</v>
      </c>
      <c r="C12214" s="13">
        <f>IFERROR(__xludf.DUMMYFUNCTION("""COMPUTED_VALUE"""),0.875)</f>
        <v>0.875</v>
      </c>
      <c r="D12214" s="8">
        <f>IFERROR(__xludf.DUMMYFUNCTION("""COMPUTED_VALUE"""),3.354)</f>
        <v>3.354</v>
      </c>
      <c r="E12214" s="8" t="str">
        <f>IFERROR(__xludf.DUMMYFUNCTION("""COMPUTED_VALUE"""),"Real")</f>
        <v>Real</v>
      </c>
      <c r="G12214" s="8">
        <f t="shared" si="1"/>
        <v>3</v>
      </c>
      <c r="H12214" s="14">
        <f t="shared" si="2"/>
        <v>23</v>
      </c>
      <c r="I12214" s="15">
        <f t="shared" si="3"/>
        <v>21</v>
      </c>
    </row>
    <row r="12215">
      <c r="A12215" s="8" t="str">
        <f>IFERROR(__xludf.DUMMYFUNCTION("IF('(INGESTA)Datos_consumo_datadis'!A12215&lt;&gt;"""",SPLIT('(INGESTA)Datos_consumo_datadis'!A:A,"",""),"""")"),"ES0031408323131005HX0F")</f>
        <v>ES0031408323131005HX0F</v>
      </c>
      <c r="B12215" s="12">
        <f>IFERROR(__xludf.DUMMYFUNCTION("""COMPUTED_VALUE"""),45374.0)</f>
        <v>45374</v>
      </c>
      <c r="C12215" s="13">
        <f>IFERROR(__xludf.DUMMYFUNCTION("""COMPUTED_VALUE"""),0.9166666666666666)</f>
        <v>0.9166666667</v>
      </c>
      <c r="D12215" s="8">
        <f>IFERROR(__xludf.DUMMYFUNCTION("""COMPUTED_VALUE"""),1.88)</f>
        <v>1.88</v>
      </c>
      <c r="E12215" s="8" t="str">
        <f>IFERROR(__xludf.DUMMYFUNCTION("""COMPUTED_VALUE"""),"Real")</f>
        <v>Real</v>
      </c>
      <c r="G12215" s="8">
        <f t="shared" si="1"/>
        <v>3</v>
      </c>
      <c r="H12215" s="14">
        <f t="shared" si="2"/>
        <v>23</v>
      </c>
      <c r="I12215" s="15">
        <f t="shared" si="3"/>
        <v>22</v>
      </c>
    </row>
    <row r="12216">
      <c r="A12216" s="8" t="str">
        <f>IFERROR(__xludf.DUMMYFUNCTION("IF('(INGESTA)Datos_consumo_datadis'!A12216&lt;&gt;"""",SPLIT('(INGESTA)Datos_consumo_datadis'!A:A,"",""),"""")"),"ES0031408323131005HX0F")</f>
        <v>ES0031408323131005HX0F</v>
      </c>
      <c r="B12216" s="12">
        <f>IFERROR(__xludf.DUMMYFUNCTION("""COMPUTED_VALUE"""),45374.0)</f>
        <v>45374</v>
      </c>
      <c r="C12216" s="13">
        <f>IFERROR(__xludf.DUMMYFUNCTION("""COMPUTED_VALUE"""),0.9583333333333334)</f>
        <v>0.9583333333</v>
      </c>
      <c r="D12216" s="8">
        <f>IFERROR(__xludf.DUMMYFUNCTION("""COMPUTED_VALUE"""),1.114)</f>
        <v>1.114</v>
      </c>
      <c r="E12216" s="8" t="str">
        <f>IFERROR(__xludf.DUMMYFUNCTION("""COMPUTED_VALUE"""),"Real")</f>
        <v>Real</v>
      </c>
      <c r="G12216" s="8">
        <f t="shared" si="1"/>
        <v>3</v>
      </c>
      <c r="H12216" s="14">
        <f t="shared" si="2"/>
        <v>23</v>
      </c>
      <c r="I12216" s="15">
        <f t="shared" si="3"/>
        <v>23</v>
      </c>
    </row>
    <row r="12217">
      <c r="A12217" s="8" t="str">
        <f>IFERROR(__xludf.DUMMYFUNCTION("IF('(INGESTA)Datos_consumo_datadis'!A12217&lt;&gt;"""",SPLIT('(INGESTA)Datos_consumo_datadis'!A:A,"",""),"""")"),"ES0031408323131005HX0F")</f>
        <v>ES0031408323131005HX0F</v>
      </c>
      <c r="B12217" s="12">
        <f>IFERROR(__xludf.DUMMYFUNCTION("""COMPUTED_VALUE"""),45374.0)</f>
        <v>45374</v>
      </c>
      <c r="C12217" s="16">
        <f>IFERROR(__xludf.DUMMYFUNCTION("""COMPUTED_VALUE"""),1.0)</f>
        <v>1</v>
      </c>
      <c r="D12217" s="8">
        <f>IFERROR(__xludf.DUMMYFUNCTION("""COMPUTED_VALUE"""),0.062)</f>
        <v>0.062</v>
      </c>
      <c r="E12217" s="8" t="str">
        <f>IFERROR(__xludf.DUMMYFUNCTION("""COMPUTED_VALUE"""),"Real")</f>
        <v>Real</v>
      </c>
      <c r="G12217" s="8">
        <f t="shared" si="1"/>
        <v>3</v>
      </c>
      <c r="H12217" s="14">
        <f t="shared" si="2"/>
        <v>23</v>
      </c>
      <c r="I12217" s="15">
        <f t="shared" si="3"/>
        <v>0</v>
      </c>
    </row>
    <row r="12218">
      <c r="A12218" s="8" t="str">
        <f>IFERROR(__xludf.DUMMYFUNCTION("IF('(INGESTA)Datos_consumo_datadis'!A12218&lt;&gt;"""",SPLIT('(INGESTA)Datos_consumo_datadis'!A:A,"",""),"""")"),"ES0031408323131005HX0F")</f>
        <v>ES0031408323131005HX0F</v>
      </c>
      <c r="B12218" s="12">
        <f>IFERROR(__xludf.DUMMYFUNCTION("""COMPUTED_VALUE"""),45375.0)</f>
        <v>45375</v>
      </c>
      <c r="C12218" s="13">
        <f>IFERROR(__xludf.DUMMYFUNCTION("""COMPUTED_VALUE"""),0.041666666666666664)</f>
        <v>0.04166666667</v>
      </c>
      <c r="D12218" s="8">
        <f>IFERROR(__xludf.DUMMYFUNCTION("""COMPUTED_VALUE"""),0.11)</f>
        <v>0.11</v>
      </c>
      <c r="E12218" s="8" t="str">
        <f>IFERROR(__xludf.DUMMYFUNCTION("""COMPUTED_VALUE"""),"Real")</f>
        <v>Real</v>
      </c>
      <c r="G12218" s="8">
        <f t="shared" si="1"/>
        <v>3</v>
      </c>
      <c r="H12218" s="14">
        <f t="shared" si="2"/>
        <v>24</v>
      </c>
      <c r="I12218" s="15">
        <f t="shared" si="3"/>
        <v>1</v>
      </c>
    </row>
    <row r="12219">
      <c r="A12219" s="8" t="str">
        <f>IFERROR(__xludf.DUMMYFUNCTION("IF('(INGESTA)Datos_consumo_datadis'!A12219&lt;&gt;"""",SPLIT('(INGESTA)Datos_consumo_datadis'!A:A,"",""),"""")"),"ES0031408323131005HX0F")</f>
        <v>ES0031408323131005HX0F</v>
      </c>
      <c r="B12219" s="12">
        <f>IFERROR(__xludf.DUMMYFUNCTION("""COMPUTED_VALUE"""),45375.0)</f>
        <v>45375</v>
      </c>
      <c r="C12219" s="13">
        <f>IFERROR(__xludf.DUMMYFUNCTION("""COMPUTED_VALUE"""),0.08333333333333333)</f>
        <v>0.08333333333</v>
      </c>
      <c r="D12219" s="8">
        <f>IFERROR(__xludf.DUMMYFUNCTION("""COMPUTED_VALUE"""),0.066)</f>
        <v>0.066</v>
      </c>
      <c r="E12219" s="8" t="str">
        <f>IFERROR(__xludf.DUMMYFUNCTION("""COMPUTED_VALUE"""),"Real")</f>
        <v>Real</v>
      </c>
      <c r="G12219" s="8">
        <f t="shared" si="1"/>
        <v>3</v>
      </c>
      <c r="H12219" s="14">
        <f t="shared" si="2"/>
        <v>24</v>
      </c>
      <c r="I12219" s="15">
        <f t="shared" si="3"/>
        <v>2</v>
      </c>
    </row>
    <row r="12220">
      <c r="A12220" s="8" t="str">
        <f>IFERROR(__xludf.DUMMYFUNCTION("IF('(INGESTA)Datos_consumo_datadis'!A12220&lt;&gt;"""",SPLIT('(INGESTA)Datos_consumo_datadis'!A:A,"",""),"""")"),"ES0031408323131005HX0F")</f>
        <v>ES0031408323131005HX0F</v>
      </c>
      <c r="B12220" s="12">
        <f>IFERROR(__xludf.DUMMYFUNCTION("""COMPUTED_VALUE"""),45375.0)</f>
        <v>45375</v>
      </c>
      <c r="C12220" s="13">
        <f>IFERROR(__xludf.DUMMYFUNCTION("""COMPUTED_VALUE"""),0.125)</f>
        <v>0.125</v>
      </c>
      <c r="D12220" s="8">
        <f>IFERROR(__xludf.DUMMYFUNCTION("""COMPUTED_VALUE"""),0.07)</f>
        <v>0.07</v>
      </c>
      <c r="E12220" s="8" t="str">
        <f>IFERROR(__xludf.DUMMYFUNCTION("""COMPUTED_VALUE"""),"Real")</f>
        <v>Real</v>
      </c>
      <c r="G12220" s="8">
        <f t="shared" si="1"/>
        <v>3</v>
      </c>
      <c r="H12220" s="14">
        <f t="shared" si="2"/>
        <v>24</v>
      </c>
      <c r="I12220" s="15">
        <f t="shared" si="3"/>
        <v>3</v>
      </c>
    </row>
    <row r="12221">
      <c r="A12221" s="8" t="str">
        <f>IFERROR(__xludf.DUMMYFUNCTION("IF('(INGESTA)Datos_consumo_datadis'!A12221&lt;&gt;"""",SPLIT('(INGESTA)Datos_consumo_datadis'!A:A,"",""),"""")"),"ES0031408323131005HX0F")</f>
        <v>ES0031408323131005HX0F</v>
      </c>
      <c r="B12221" s="12">
        <f>IFERROR(__xludf.DUMMYFUNCTION("""COMPUTED_VALUE"""),45375.0)</f>
        <v>45375</v>
      </c>
      <c r="C12221" s="13">
        <f>IFERROR(__xludf.DUMMYFUNCTION("""COMPUTED_VALUE"""),0.16666666666666666)</f>
        <v>0.1666666667</v>
      </c>
      <c r="D12221" s="8">
        <f>IFERROR(__xludf.DUMMYFUNCTION("""COMPUTED_VALUE"""),0.308)</f>
        <v>0.308</v>
      </c>
      <c r="E12221" s="8" t="str">
        <f>IFERROR(__xludf.DUMMYFUNCTION("""COMPUTED_VALUE"""),"Real")</f>
        <v>Real</v>
      </c>
      <c r="G12221" s="8">
        <f t="shared" si="1"/>
        <v>3</v>
      </c>
      <c r="H12221" s="14">
        <f t="shared" si="2"/>
        <v>24</v>
      </c>
      <c r="I12221" s="15">
        <f t="shared" si="3"/>
        <v>4</v>
      </c>
    </row>
    <row r="12222">
      <c r="A12222" s="8" t="str">
        <f>IFERROR(__xludf.DUMMYFUNCTION("IF('(INGESTA)Datos_consumo_datadis'!A12222&lt;&gt;"""",SPLIT('(INGESTA)Datos_consumo_datadis'!A:A,"",""),"""")"),"ES0031408323131005HX0F")</f>
        <v>ES0031408323131005HX0F</v>
      </c>
      <c r="B12222" s="12">
        <f>IFERROR(__xludf.DUMMYFUNCTION("""COMPUTED_VALUE"""),45375.0)</f>
        <v>45375</v>
      </c>
      <c r="C12222" s="13">
        <f>IFERROR(__xludf.DUMMYFUNCTION("""COMPUTED_VALUE"""),0.20833333333333334)</f>
        <v>0.2083333333</v>
      </c>
      <c r="D12222" s="8">
        <f>IFERROR(__xludf.DUMMYFUNCTION("""COMPUTED_VALUE"""),0.057)</f>
        <v>0.057</v>
      </c>
      <c r="E12222" s="8" t="str">
        <f>IFERROR(__xludf.DUMMYFUNCTION("""COMPUTED_VALUE"""),"Real")</f>
        <v>Real</v>
      </c>
      <c r="G12222" s="8">
        <f t="shared" si="1"/>
        <v>3</v>
      </c>
      <c r="H12222" s="14">
        <f t="shared" si="2"/>
        <v>24</v>
      </c>
      <c r="I12222" s="15">
        <f t="shared" si="3"/>
        <v>5</v>
      </c>
    </row>
    <row r="12223">
      <c r="A12223" s="8" t="str">
        <f>IFERROR(__xludf.DUMMYFUNCTION("IF('(INGESTA)Datos_consumo_datadis'!A12223&lt;&gt;"""",SPLIT('(INGESTA)Datos_consumo_datadis'!A:A,"",""),"""")"),"ES0031408323131005HX0F")</f>
        <v>ES0031408323131005HX0F</v>
      </c>
      <c r="B12223" s="12">
        <f>IFERROR(__xludf.DUMMYFUNCTION("""COMPUTED_VALUE"""),45375.0)</f>
        <v>45375</v>
      </c>
      <c r="C12223" s="13">
        <f>IFERROR(__xludf.DUMMYFUNCTION("""COMPUTED_VALUE"""),0.25)</f>
        <v>0.25</v>
      </c>
      <c r="D12223" s="8">
        <f>IFERROR(__xludf.DUMMYFUNCTION("""COMPUTED_VALUE"""),0.057)</f>
        <v>0.057</v>
      </c>
      <c r="E12223" s="8" t="str">
        <f>IFERROR(__xludf.DUMMYFUNCTION("""COMPUTED_VALUE"""),"Real")</f>
        <v>Real</v>
      </c>
      <c r="G12223" s="8">
        <f t="shared" si="1"/>
        <v>3</v>
      </c>
      <c r="H12223" s="14">
        <f t="shared" si="2"/>
        <v>24</v>
      </c>
      <c r="I12223" s="15">
        <f t="shared" si="3"/>
        <v>6</v>
      </c>
    </row>
    <row r="12224">
      <c r="A12224" s="8" t="str">
        <f>IFERROR(__xludf.DUMMYFUNCTION("IF('(INGESTA)Datos_consumo_datadis'!A12224&lt;&gt;"""",SPLIT('(INGESTA)Datos_consumo_datadis'!A:A,"",""),"""")"),"ES0031408323131005HX0F")</f>
        <v>ES0031408323131005HX0F</v>
      </c>
      <c r="B12224" s="12">
        <f>IFERROR(__xludf.DUMMYFUNCTION("""COMPUTED_VALUE"""),45375.0)</f>
        <v>45375</v>
      </c>
      <c r="C12224" s="13">
        <f>IFERROR(__xludf.DUMMYFUNCTION("""COMPUTED_VALUE"""),0.2916666666666667)</f>
        <v>0.2916666667</v>
      </c>
      <c r="D12224" s="8">
        <f>IFERROR(__xludf.DUMMYFUNCTION("""COMPUTED_VALUE"""),0.044)</f>
        <v>0.044</v>
      </c>
      <c r="E12224" s="8" t="str">
        <f>IFERROR(__xludf.DUMMYFUNCTION("""COMPUTED_VALUE"""),"Real")</f>
        <v>Real</v>
      </c>
      <c r="G12224" s="8">
        <f t="shared" si="1"/>
        <v>3</v>
      </c>
      <c r="H12224" s="14">
        <f t="shared" si="2"/>
        <v>24</v>
      </c>
      <c r="I12224" s="15">
        <f t="shared" si="3"/>
        <v>7</v>
      </c>
    </row>
    <row r="12225">
      <c r="A12225" s="8" t="str">
        <f>IFERROR(__xludf.DUMMYFUNCTION("IF('(INGESTA)Datos_consumo_datadis'!A12225&lt;&gt;"""",SPLIT('(INGESTA)Datos_consumo_datadis'!A:A,"",""),"""")"),"ES0031408323131005HX0F")</f>
        <v>ES0031408323131005HX0F</v>
      </c>
      <c r="B12225" s="12">
        <f>IFERROR(__xludf.DUMMYFUNCTION("""COMPUTED_VALUE"""),45375.0)</f>
        <v>45375</v>
      </c>
      <c r="C12225" s="13">
        <f>IFERROR(__xludf.DUMMYFUNCTION("""COMPUTED_VALUE"""),0.3333333333333333)</f>
        <v>0.3333333333</v>
      </c>
      <c r="D12225" s="8">
        <f>IFERROR(__xludf.DUMMYFUNCTION("""COMPUTED_VALUE"""),0.068)</f>
        <v>0.068</v>
      </c>
      <c r="E12225" s="8" t="str">
        <f>IFERROR(__xludf.DUMMYFUNCTION("""COMPUTED_VALUE"""),"Real")</f>
        <v>Real</v>
      </c>
      <c r="G12225" s="8">
        <f t="shared" si="1"/>
        <v>3</v>
      </c>
      <c r="H12225" s="14">
        <f t="shared" si="2"/>
        <v>24</v>
      </c>
      <c r="I12225" s="15">
        <f t="shared" si="3"/>
        <v>8</v>
      </c>
    </row>
    <row r="12226">
      <c r="A12226" s="8" t="str">
        <f>IFERROR(__xludf.DUMMYFUNCTION("IF('(INGESTA)Datos_consumo_datadis'!A12226&lt;&gt;"""",SPLIT('(INGESTA)Datos_consumo_datadis'!A:A,"",""),"""")"),"ES0031408323131005HX0F")</f>
        <v>ES0031408323131005HX0F</v>
      </c>
      <c r="B12226" s="12">
        <f>IFERROR(__xludf.DUMMYFUNCTION("""COMPUTED_VALUE"""),45375.0)</f>
        <v>45375</v>
      </c>
      <c r="C12226" s="13">
        <f>IFERROR(__xludf.DUMMYFUNCTION("""COMPUTED_VALUE"""),0.375)</f>
        <v>0.375</v>
      </c>
      <c r="D12226" s="8">
        <f>IFERROR(__xludf.DUMMYFUNCTION("""COMPUTED_VALUE"""),1.521)</f>
        <v>1.521</v>
      </c>
      <c r="E12226" s="8" t="str">
        <f>IFERROR(__xludf.DUMMYFUNCTION("""COMPUTED_VALUE"""),"Real")</f>
        <v>Real</v>
      </c>
      <c r="G12226" s="8">
        <f t="shared" si="1"/>
        <v>3</v>
      </c>
      <c r="H12226" s="14">
        <f t="shared" si="2"/>
        <v>24</v>
      </c>
      <c r="I12226" s="15">
        <f t="shared" si="3"/>
        <v>9</v>
      </c>
    </row>
    <row r="12227">
      <c r="A12227" s="8" t="str">
        <f>IFERROR(__xludf.DUMMYFUNCTION("IF('(INGESTA)Datos_consumo_datadis'!A12227&lt;&gt;"""",SPLIT('(INGESTA)Datos_consumo_datadis'!A:A,"",""),"""")"),"ES0031408323131005HX0F")</f>
        <v>ES0031408323131005HX0F</v>
      </c>
      <c r="B12227" s="12">
        <f>IFERROR(__xludf.DUMMYFUNCTION("""COMPUTED_VALUE"""),45375.0)</f>
        <v>45375</v>
      </c>
      <c r="C12227" s="13">
        <f>IFERROR(__xludf.DUMMYFUNCTION("""COMPUTED_VALUE"""),0.4166666666666667)</f>
        <v>0.4166666667</v>
      </c>
      <c r="D12227" s="8">
        <f>IFERROR(__xludf.DUMMYFUNCTION("""COMPUTED_VALUE"""),2.241)</f>
        <v>2.241</v>
      </c>
      <c r="E12227" s="8" t="str">
        <f>IFERROR(__xludf.DUMMYFUNCTION("""COMPUTED_VALUE"""),"Real")</f>
        <v>Real</v>
      </c>
      <c r="G12227" s="8">
        <f t="shared" si="1"/>
        <v>3</v>
      </c>
      <c r="H12227" s="14">
        <f t="shared" si="2"/>
        <v>24</v>
      </c>
      <c r="I12227" s="15">
        <f t="shared" si="3"/>
        <v>10</v>
      </c>
    </row>
    <row r="12228">
      <c r="A12228" s="8" t="str">
        <f>IFERROR(__xludf.DUMMYFUNCTION("IF('(INGESTA)Datos_consumo_datadis'!A12228&lt;&gt;"""",SPLIT('(INGESTA)Datos_consumo_datadis'!A:A,"",""),"""")"),"ES0031408323131005HX0F")</f>
        <v>ES0031408323131005HX0F</v>
      </c>
      <c r="B12228" s="12">
        <f>IFERROR(__xludf.DUMMYFUNCTION("""COMPUTED_VALUE"""),45375.0)</f>
        <v>45375</v>
      </c>
      <c r="C12228" s="13">
        <f>IFERROR(__xludf.DUMMYFUNCTION("""COMPUTED_VALUE"""),0.4583333333333333)</f>
        <v>0.4583333333</v>
      </c>
      <c r="D12228" s="8">
        <f>IFERROR(__xludf.DUMMYFUNCTION("""COMPUTED_VALUE"""),0.677)</f>
        <v>0.677</v>
      </c>
      <c r="E12228" s="8" t="str">
        <f>IFERROR(__xludf.DUMMYFUNCTION("""COMPUTED_VALUE"""),"Real")</f>
        <v>Real</v>
      </c>
      <c r="G12228" s="8">
        <f t="shared" si="1"/>
        <v>3</v>
      </c>
      <c r="H12228" s="14">
        <f t="shared" si="2"/>
        <v>24</v>
      </c>
      <c r="I12228" s="15">
        <f t="shared" si="3"/>
        <v>11</v>
      </c>
    </row>
    <row r="12229">
      <c r="A12229" s="8" t="str">
        <f>IFERROR(__xludf.DUMMYFUNCTION("IF('(INGESTA)Datos_consumo_datadis'!A12229&lt;&gt;"""",SPLIT('(INGESTA)Datos_consumo_datadis'!A:A,"",""),"""")"),"ES0031408323131005HX0F")</f>
        <v>ES0031408323131005HX0F</v>
      </c>
      <c r="B12229" s="12">
        <f>IFERROR(__xludf.DUMMYFUNCTION("""COMPUTED_VALUE"""),45375.0)</f>
        <v>45375</v>
      </c>
      <c r="C12229" s="13">
        <f>IFERROR(__xludf.DUMMYFUNCTION("""COMPUTED_VALUE"""),0.5)</f>
        <v>0.5</v>
      </c>
      <c r="D12229" s="8">
        <f>IFERROR(__xludf.DUMMYFUNCTION("""COMPUTED_VALUE"""),0.269)</f>
        <v>0.269</v>
      </c>
      <c r="E12229" s="8" t="str">
        <f>IFERROR(__xludf.DUMMYFUNCTION("""COMPUTED_VALUE"""),"Real")</f>
        <v>Real</v>
      </c>
      <c r="G12229" s="8">
        <f t="shared" si="1"/>
        <v>3</v>
      </c>
      <c r="H12229" s="14">
        <f t="shared" si="2"/>
        <v>24</v>
      </c>
      <c r="I12229" s="15">
        <f t="shared" si="3"/>
        <v>12</v>
      </c>
    </row>
    <row r="12230">
      <c r="A12230" s="8" t="str">
        <f>IFERROR(__xludf.DUMMYFUNCTION("IF('(INGESTA)Datos_consumo_datadis'!A12230&lt;&gt;"""",SPLIT('(INGESTA)Datos_consumo_datadis'!A:A,"",""),"""")"),"ES0031408323131005HX0F")</f>
        <v>ES0031408323131005HX0F</v>
      </c>
      <c r="B12230" s="12">
        <f>IFERROR(__xludf.DUMMYFUNCTION("""COMPUTED_VALUE"""),45375.0)</f>
        <v>45375</v>
      </c>
      <c r="C12230" s="13">
        <f>IFERROR(__xludf.DUMMYFUNCTION("""COMPUTED_VALUE"""),0.5416666666666666)</f>
        <v>0.5416666667</v>
      </c>
      <c r="D12230" s="8">
        <f>IFERROR(__xludf.DUMMYFUNCTION("""COMPUTED_VALUE"""),0.192)</f>
        <v>0.192</v>
      </c>
      <c r="E12230" s="8" t="str">
        <f>IFERROR(__xludf.DUMMYFUNCTION("""COMPUTED_VALUE"""),"Real")</f>
        <v>Real</v>
      </c>
      <c r="G12230" s="8">
        <f t="shared" si="1"/>
        <v>3</v>
      </c>
      <c r="H12230" s="14">
        <f t="shared" si="2"/>
        <v>24</v>
      </c>
      <c r="I12230" s="15">
        <f t="shared" si="3"/>
        <v>13</v>
      </c>
    </row>
    <row r="12231">
      <c r="A12231" s="8" t="str">
        <f>IFERROR(__xludf.DUMMYFUNCTION("IF('(INGESTA)Datos_consumo_datadis'!A12231&lt;&gt;"""",SPLIT('(INGESTA)Datos_consumo_datadis'!A:A,"",""),"""")"),"ES0031408323131005HX0F")</f>
        <v>ES0031408323131005HX0F</v>
      </c>
      <c r="B12231" s="12">
        <f>IFERROR(__xludf.DUMMYFUNCTION("""COMPUTED_VALUE"""),45375.0)</f>
        <v>45375</v>
      </c>
      <c r="C12231" s="13">
        <f>IFERROR(__xludf.DUMMYFUNCTION("""COMPUTED_VALUE"""),0.5833333333333334)</f>
        <v>0.5833333333</v>
      </c>
      <c r="D12231" s="8">
        <f>IFERROR(__xludf.DUMMYFUNCTION("""COMPUTED_VALUE"""),0.102)</f>
        <v>0.102</v>
      </c>
      <c r="E12231" s="8" t="str">
        <f>IFERROR(__xludf.DUMMYFUNCTION("""COMPUTED_VALUE"""),"Real")</f>
        <v>Real</v>
      </c>
      <c r="G12231" s="8">
        <f t="shared" si="1"/>
        <v>3</v>
      </c>
      <c r="H12231" s="14">
        <f t="shared" si="2"/>
        <v>24</v>
      </c>
      <c r="I12231" s="15">
        <f t="shared" si="3"/>
        <v>14</v>
      </c>
    </row>
    <row r="12232">
      <c r="A12232" s="8" t="str">
        <f>IFERROR(__xludf.DUMMYFUNCTION("IF('(INGESTA)Datos_consumo_datadis'!A12232&lt;&gt;"""",SPLIT('(INGESTA)Datos_consumo_datadis'!A:A,"",""),"""")"),"ES0031408323131005HX0F")</f>
        <v>ES0031408323131005HX0F</v>
      </c>
      <c r="B12232" s="12">
        <f>IFERROR(__xludf.DUMMYFUNCTION("""COMPUTED_VALUE"""),45375.0)</f>
        <v>45375</v>
      </c>
      <c r="C12232" s="13">
        <f>IFERROR(__xludf.DUMMYFUNCTION("""COMPUTED_VALUE"""),0.625)</f>
        <v>0.625</v>
      </c>
      <c r="D12232" s="8">
        <f>IFERROR(__xludf.DUMMYFUNCTION("""COMPUTED_VALUE"""),0.386)</f>
        <v>0.386</v>
      </c>
      <c r="E12232" s="8" t="str">
        <f>IFERROR(__xludf.DUMMYFUNCTION("""COMPUTED_VALUE"""),"Real")</f>
        <v>Real</v>
      </c>
      <c r="G12232" s="8">
        <f t="shared" si="1"/>
        <v>3</v>
      </c>
      <c r="H12232" s="14">
        <f t="shared" si="2"/>
        <v>24</v>
      </c>
      <c r="I12232" s="15">
        <f t="shared" si="3"/>
        <v>15</v>
      </c>
    </row>
    <row r="12233">
      <c r="A12233" s="8" t="str">
        <f>IFERROR(__xludf.DUMMYFUNCTION("IF('(INGESTA)Datos_consumo_datadis'!A12233&lt;&gt;"""",SPLIT('(INGESTA)Datos_consumo_datadis'!A:A,"",""),"""")"),"ES0031408323131005HX0F")</f>
        <v>ES0031408323131005HX0F</v>
      </c>
      <c r="B12233" s="12">
        <f>IFERROR(__xludf.DUMMYFUNCTION("""COMPUTED_VALUE"""),45375.0)</f>
        <v>45375</v>
      </c>
      <c r="C12233" s="13">
        <f>IFERROR(__xludf.DUMMYFUNCTION("""COMPUTED_VALUE"""),0.6666666666666666)</f>
        <v>0.6666666667</v>
      </c>
      <c r="D12233" s="8">
        <f>IFERROR(__xludf.DUMMYFUNCTION("""COMPUTED_VALUE"""),0.165)</f>
        <v>0.165</v>
      </c>
      <c r="E12233" s="8" t="str">
        <f>IFERROR(__xludf.DUMMYFUNCTION("""COMPUTED_VALUE"""),"Real")</f>
        <v>Real</v>
      </c>
      <c r="G12233" s="8">
        <f t="shared" si="1"/>
        <v>3</v>
      </c>
      <c r="H12233" s="14">
        <f t="shared" si="2"/>
        <v>24</v>
      </c>
      <c r="I12233" s="15">
        <f t="shared" si="3"/>
        <v>16</v>
      </c>
    </row>
    <row r="12234">
      <c r="A12234" s="8" t="str">
        <f>IFERROR(__xludf.DUMMYFUNCTION("IF('(INGESTA)Datos_consumo_datadis'!A12234&lt;&gt;"""",SPLIT('(INGESTA)Datos_consumo_datadis'!A:A,"",""),"""")"),"ES0031408323131005HX0F")</f>
        <v>ES0031408323131005HX0F</v>
      </c>
      <c r="B12234" s="12">
        <f>IFERROR(__xludf.DUMMYFUNCTION("""COMPUTED_VALUE"""),45375.0)</f>
        <v>45375</v>
      </c>
      <c r="C12234" s="13">
        <f>IFERROR(__xludf.DUMMYFUNCTION("""COMPUTED_VALUE"""),0.7083333333333334)</f>
        <v>0.7083333333</v>
      </c>
      <c r="D12234" s="8">
        <f>IFERROR(__xludf.DUMMYFUNCTION("""COMPUTED_VALUE"""),0.928)</f>
        <v>0.928</v>
      </c>
      <c r="E12234" s="8" t="str">
        <f>IFERROR(__xludf.DUMMYFUNCTION("""COMPUTED_VALUE"""),"Real")</f>
        <v>Real</v>
      </c>
      <c r="G12234" s="8">
        <f t="shared" si="1"/>
        <v>3</v>
      </c>
      <c r="H12234" s="14">
        <f t="shared" si="2"/>
        <v>24</v>
      </c>
      <c r="I12234" s="15">
        <f t="shared" si="3"/>
        <v>17</v>
      </c>
    </row>
    <row r="12235">
      <c r="A12235" s="8" t="str">
        <f>IFERROR(__xludf.DUMMYFUNCTION("IF('(INGESTA)Datos_consumo_datadis'!A12235&lt;&gt;"""",SPLIT('(INGESTA)Datos_consumo_datadis'!A:A,"",""),"""")"),"ES0031408323131005HX0F")</f>
        <v>ES0031408323131005HX0F</v>
      </c>
      <c r="B12235" s="12">
        <f>IFERROR(__xludf.DUMMYFUNCTION("""COMPUTED_VALUE"""),45375.0)</f>
        <v>45375</v>
      </c>
      <c r="C12235" s="13">
        <f>IFERROR(__xludf.DUMMYFUNCTION("""COMPUTED_VALUE"""),0.75)</f>
        <v>0.75</v>
      </c>
      <c r="D12235" s="8">
        <f>IFERROR(__xludf.DUMMYFUNCTION("""COMPUTED_VALUE"""),0.399)</f>
        <v>0.399</v>
      </c>
      <c r="E12235" s="8" t="str">
        <f>IFERROR(__xludf.DUMMYFUNCTION("""COMPUTED_VALUE"""),"Real")</f>
        <v>Real</v>
      </c>
      <c r="G12235" s="8">
        <f t="shared" si="1"/>
        <v>3</v>
      </c>
      <c r="H12235" s="14">
        <f t="shared" si="2"/>
        <v>24</v>
      </c>
      <c r="I12235" s="15">
        <f t="shared" si="3"/>
        <v>18</v>
      </c>
    </row>
    <row r="12236">
      <c r="A12236" s="8" t="str">
        <f>IFERROR(__xludf.DUMMYFUNCTION("IF('(INGESTA)Datos_consumo_datadis'!A12236&lt;&gt;"""",SPLIT('(INGESTA)Datos_consumo_datadis'!A:A,"",""),"""")"),"ES0031408323131005HX0F")</f>
        <v>ES0031408323131005HX0F</v>
      </c>
      <c r="B12236" s="12">
        <f>IFERROR(__xludf.DUMMYFUNCTION("""COMPUTED_VALUE"""),45375.0)</f>
        <v>45375</v>
      </c>
      <c r="C12236" s="13">
        <f>IFERROR(__xludf.DUMMYFUNCTION("""COMPUTED_VALUE"""),0.7916666666666666)</f>
        <v>0.7916666667</v>
      </c>
      <c r="D12236" s="8">
        <f>IFERROR(__xludf.DUMMYFUNCTION("""COMPUTED_VALUE"""),0.403)</f>
        <v>0.403</v>
      </c>
      <c r="E12236" s="8" t="str">
        <f>IFERROR(__xludf.DUMMYFUNCTION("""COMPUTED_VALUE"""),"Real")</f>
        <v>Real</v>
      </c>
      <c r="G12236" s="8">
        <f t="shared" si="1"/>
        <v>3</v>
      </c>
      <c r="H12236" s="14">
        <f t="shared" si="2"/>
        <v>24</v>
      </c>
      <c r="I12236" s="15">
        <f t="shared" si="3"/>
        <v>19</v>
      </c>
    </row>
    <row r="12237">
      <c r="A12237" s="8" t="str">
        <f>IFERROR(__xludf.DUMMYFUNCTION("IF('(INGESTA)Datos_consumo_datadis'!A12237&lt;&gt;"""",SPLIT('(INGESTA)Datos_consumo_datadis'!A:A,"",""),"""")"),"ES0031408323131005HX0F")</f>
        <v>ES0031408323131005HX0F</v>
      </c>
      <c r="B12237" s="12">
        <f>IFERROR(__xludf.DUMMYFUNCTION("""COMPUTED_VALUE"""),45375.0)</f>
        <v>45375</v>
      </c>
      <c r="C12237" s="13">
        <f>IFERROR(__xludf.DUMMYFUNCTION("""COMPUTED_VALUE"""),0.8333333333333334)</f>
        <v>0.8333333333</v>
      </c>
      <c r="D12237" s="8">
        <f>IFERROR(__xludf.DUMMYFUNCTION("""COMPUTED_VALUE"""),0.167)</f>
        <v>0.167</v>
      </c>
      <c r="E12237" s="8" t="str">
        <f>IFERROR(__xludf.DUMMYFUNCTION("""COMPUTED_VALUE"""),"Real")</f>
        <v>Real</v>
      </c>
      <c r="G12237" s="8">
        <f t="shared" si="1"/>
        <v>3</v>
      </c>
      <c r="H12237" s="14">
        <f t="shared" si="2"/>
        <v>24</v>
      </c>
      <c r="I12237" s="15">
        <f t="shared" si="3"/>
        <v>20</v>
      </c>
    </row>
    <row r="12238">
      <c r="A12238" s="8" t="str">
        <f>IFERROR(__xludf.DUMMYFUNCTION("IF('(INGESTA)Datos_consumo_datadis'!A12238&lt;&gt;"""",SPLIT('(INGESTA)Datos_consumo_datadis'!A:A,"",""),"""")"),"ES0031408323131005HX0F")</f>
        <v>ES0031408323131005HX0F</v>
      </c>
      <c r="B12238" s="12">
        <f>IFERROR(__xludf.DUMMYFUNCTION("""COMPUTED_VALUE"""),45375.0)</f>
        <v>45375</v>
      </c>
      <c r="C12238" s="13">
        <f>IFERROR(__xludf.DUMMYFUNCTION("""COMPUTED_VALUE"""),0.875)</f>
        <v>0.875</v>
      </c>
      <c r="D12238" s="8">
        <f>IFERROR(__xludf.DUMMYFUNCTION("""COMPUTED_VALUE"""),0.427)</f>
        <v>0.427</v>
      </c>
      <c r="E12238" s="8" t="str">
        <f>IFERROR(__xludf.DUMMYFUNCTION("""COMPUTED_VALUE"""),"Real")</f>
        <v>Real</v>
      </c>
      <c r="G12238" s="8">
        <f t="shared" si="1"/>
        <v>3</v>
      </c>
      <c r="H12238" s="14">
        <f t="shared" si="2"/>
        <v>24</v>
      </c>
      <c r="I12238" s="15">
        <f t="shared" si="3"/>
        <v>21</v>
      </c>
    </row>
    <row r="12239">
      <c r="A12239" s="8" t="str">
        <f>IFERROR(__xludf.DUMMYFUNCTION("IF('(INGESTA)Datos_consumo_datadis'!A12239&lt;&gt;"""",SPLIT('(INGESTA)Datos_consumo_datadis'!A:A,"",""),"""")"),"ES0031408323131005HX0F")</f>
        <v>ES0031408323131005HX0F</v>
      </c>
      <c r="B12239" s="12">
        <f>IFERROR(__xludf.DUMMYFUNCTION("""COMPUTED_VALUE"""),45375.0)</f>
        <v>45375</v>
      </c>
      <c r="C12239" s="13">
        <f>IFERROR(__xludf.DUMMYFUNCTION("""COMPUTED_VALUE"""),0.9166666666666666)</f>
        <v>0.9166666667</v>
      </c>
      <c r="D12239" s="8">
        <f>IFERROR(__xludf.DUMMYFUNCTION("""COMPUTED_VALUE"""),1.494)</f>
        <v>1.494</v>
      </c>
      <c r="E12239" s="8" t="str">
        <f>IFERROR(__xludf.DUMMYFUNCTION("""COMPUTED_VALUE"""),"Real")</f>
        <v>Real</v>
      </c>
      <c r="G12239" s="8">
        <f t="shared" si="1"/>
        <v>3</v>
      </c>
      <c r="H12239" s="14">
        <f t="shared" si="2"/>
        <v>24</v>
      </c>
      <c r="I12239" s="15">
        <f t="shared" si="3"/>
        <v>22</v>
      </c>
    </row>
    <row r="12240">
      <c r="A12240" s="8" t="str">
        <f>IFERROR(__xludf.DUMMYFUNCTION("IF('(INGESTA)Datos_consumo_datadis'!A12240&lt;&gt;"""",SPLIT('(INGESTA)Datos_consumo_datadis'!A:A,"",""),"""")"),"ES0031408323131005HX0F")</f>
        <v>ES0031408323131005HX0F</v>
      </c>
      <c r="B12240" s="12">
        <f>IFERROR(__xludf.DUMMYFUNCTION("""COMPUTED_VALUE"""),45375.0)</f>
        <v>45375</v>
      </c>
      <c r="C12240" s="13">
        <f>IFERROR(__xludf.DUMMYFUNCTION("""COMPUTED_VALUE"""),0.9583333333333334)</f>
        <v>0.9583333333</v>
      </c>
      <c r="D12240" s="8">
        <f>IFERROR(__xludf.DUMMYFUNCTION("""COMPUTED_VALUE"""),0.986)</f>
        <v>0.986</v>
      </c>
      <c r="E12240" s="8" t="str">
        <f>IFERROR(__xludf.DUMMYFUNCTION("""COMPUTED_VALUE"""),"Real")</f>
        <v>Real</v>
      </c>
      <c r="G12240" s="8">
        <f t="shared" si="1"/>
        <v>3</v>
      </c>
      <c r="H12240" s="14">
        <f t="shared" si="2"/>
        <v>24</v>
      </c>
      <c r="I12240" s="15">
        <f t="shared" si="3"/>
        <v>23</v>
      </c>
    </row>
    <row r="12241">
      <c r="A12241" s="8" t="str">
        <f>IFERROR(__xludf.DUMMYFUNCTION("IF('(INGESTA)Datos_consumo_datadis'!A12241&lt;&gt;"""",SPLIT('(INGESTA)Datos_consumo_datadis'!A:A,"",""),"""")"),"ES0031408323131005HX0F")</f>
        <v>ES0031408323131005HX0F</v>
      </c>
      <c r="B12241" s="12">
        <f>IFERROR(__xludf.DUMMYFUNCTION("""COMPUTED_VALUE"""),45375.0)</f>
        <v>45375</v>
      </c>
      <c r="C12241" s="16">
        <f>IFERROR(__xludf.DUMMYFUNCTION("""COMPUTED_VALUE"""),1.0)</f>
        <v>1</v>
      </c>
      <c r="D12241" s="8">
        <f>IFERROR(__xludf.DUMMYFUNCTION("""COMPUTED_VALUE"""),0.114)</f>
        <v>0.114</v>
      </c>
      <c r="E12241" s="8" t="str">
        <f>IFERROR(__xludf.DUMMYFUNCTION("""COMPUTED_VALUE"""),"Real")</f>
        <v>Real</v>
      </c>
      <c r="G12241" s="8">
        <f t="shared" si="1"/>
        <v>3</v>
      </c>
      <c r="H12241" s="14">
        <f t="shared" si="2"/>
        <v>24</v>
      </c>
      <c r="I12241" s="15">
        <f t="shared" si="3"/>
        <v>0</v>
      </c>
    </row>
    <row r="12242">
      <c r="A12242" s="8" t="str">
        <f>IFERROR(__xludf.DUMMYFUNCTION("IF('(INGESTA)Datos_consumo_datadis'!A12242&lt;&gt;"""",SPLIT('(INGESTA)Datos_consumo_datadis'!A:A,"",""),"""")"),"ES0031408323131005HX0F")</f>
        <v>ES0031408323131005HX0F</v>
      </c>
      <c r="B12242" s="12">
        <f>IFERROR(__xludf.DUMMYFUNCTION("""COMPUTED_VALUE"""),45376.0)</f>
        <v>45376</v>
      </c>
      <c r="C12242" s="13">
        <f>IFERROR(__xludf.DUMMYFUNCTION("""COMPUTED_VALUE"""),0.041666666666666664)</f>
        <v>0.04166666667</v>
      </c>
      <c r="D12242" s="8">
        <f>IFERROR(__xludf.DUMMYFUNCTION("""COMPUTED_VALUE"""),0.072)</f>
        <v>0.072</v>
      </c>
      <c r="E12242" s="8" t="str">
        <f>IFERROR(__xludf.DUMMYFUNCTION("""COMPUTED_VALUE"""),"Real")</f>
        <v>Real</v>
      </c>
      <c r="G12242" s="8">
        <f t="shared" si="1"/>
        <v>3</v>
      </c>
      <c r="H12242" s="14">
        <f t="shared" si="2"/>
        <v>25</v>
      </c>
      <c r="I12242" s="15">
        <f t="shared" si="3"/>
        <v>1</v>
      </c>
    </row>
    <row r="12243">
      <c r="A12243" s="8" t="str">
        <f>IFERROR(__xludf.DUMMYFUNCTION("IF('(INGESTA)Datos_consumo_datadis'!A12243&lt;&gt;"""",SPLIT('(INGESTA)Datos_consumo_datadis'!A:A,"",""),"""")"),"ES0031408323131005HX0F")</f>
        <v>ES0031408323131005HX0F</v>
      </c>
      <c r="B12243" s="12">
        <f>IFERROR(__xludf.DUMMYFUNCTION("""COMPUTED_VALUE"""),45376.0)</f>
        <v>45376</v>
      </c>
      <c r="C12243" s="13">
        <f>IFERROR(__xludf.DUMMYFUNCTION("""COMPUTED_VALUE"""),0.08333333333333333)</f>
        <v>0.08333333333</v>
      </c>
      <c r="D12243" s="8">
        <f>IFERROR(__xludf.DUMMYFUNCTION("""COMPUTED_VALUE"""),0.074)</f>
        <v>0.074</v>
      </c>
      <c r="E12243" s="8" t="str">
        <f>IFERROR(__xludf.DUMMYFUNCTION("""COMPUTED_VALUE"""),"Real")</f>
        <v>Real</v>
      </c>
      <c r="G12243" s="8">
        <f t="shared" si="1"/>
        <v>3</v>
      </c>
      <c r="H12243" s="14">
        <f t="shared" si="2"/>
        <v>25</v>
      </c>
      <c r="I12243" s="15">
        <f t="shared" si="3"/>
        <v>2</v>
      </c>
    </row>
    <row r="12244">
      <c r="A12244" s="8" t="str">
        <f>IFERROR(__xludf.DUMMYFUNCTION("IF('(INGESTA)Datos_consumo_datadis'!A12244&lt;&gt;"""",SPLIT('(INGESTA)Datos_consumo_datadis'!A:A,"",""),"""")"),"ES0031408323131005HX0F")</f>
        <v>ES0031408323131005HX0F</v>
      </c>
      <c r="B12244" s="12">
        <f>IFERROR(__xludf.DUMMYFUNCTION("""COMPUTED_VALUE"""),45376.0)</f>
        <v>45376</v>
      </c>
      <c r="C12244" s="13">
        <f>IFERROR(__xludf.DUMMYFUNCTION("""COMPUTED_VALUE"""),0.125)</f>
        <v>0.125</v>
      </c>
      <c r="D12244" s="8">
        <f>IFERROR(__xludf.DUMMYFUNCTION("""COMPUTED_VALUE"""),0.135)</f>
        <v>0.135</v>
      </c>
      <c r="E12244" s="8" t="str">
        <f>IFERROR(__xludf.DUMMYFUNCTION("""COMPUTED_VALUE"""),"Real")</f>
        <v>Real</v>
      </c>
      <c r="G12244" s="8">
        <f t="shared" si="1"/>
        <v>3</v>
      </c>
      <c r="H12244" s="14">
        <f t="shared" si="2"/>
        <v>25</v>
      </c>
      <c r="I12244" s="15">
        <f t="shared" si="3"/>
        <v>3</v>
      </c>
    </row>
    <row r="12245">
      <c r="A12245" s="8" t="str">
        <f>IFERROR(__xludf.DUMMYFUNCTION("IF('(INGESTA)Datos_consumo_datadis'!A12245&lt;&gt;"""",SPLIT('(INGESTA)Datos_consumo_datadis'!A:A,"",""),"""")"),"ES0031408323131005HX0F")</f>
        <v>ES0031408323131005HX0F</v>
      </c>
      <c r="B12245" s="12">
        <f>IFERROR(__xludf.DUMMYFUNCTION("""COMPUTED_VALUE"""),45376.0)</f>
        <v>45376</v>
      </c>
      <c r="C12245" s="13">
        <f>IFERROR(__xludf.DUMMYFUNCTION("""COMPUTED_VALUE"""),0.16666666666666666)</f>
        <v>0.1666666667</v>
      </c>
      <c r="D12245" s="8">
        <f>IFERROR(__xludf.DUMMYFUNCTION("""COMPUTED_VALUE"""),0.234)</f>
        <v>0.234</v>
      </c>
      <c r="E12245" s="8" t="str">
        <f>IFERROR(__xludf.DUMMYFUNCTION("""COMPUTED_VALUE"""),"Real")</f>
        <v>Real</v>
      </c>
      <c r="G12245" s="8">
        <f t="shared" si="1"/>
        <v>3</v>
      </c>
      <c r="H12245" s="14">
        <f t="shared" si="2"/>
        <v>25</v>
      </c>
      <c r="I12245" s="15">
        <f t="shared" si="3"/>
        <v>4</v>
      </c>
    </row>
    <row r="12246">
      <c r="A12246" s="8" t="str">
        <f>IFERROR(__xludf.DUMMYFUNCTION("IF('(INGESTA)Datos_consumo_datadis'!A12246&lt;&gt;"""",SPLIT('(INGESTA)Datos_consumo_datadis'!A:A,"",""),"""")"),"ES0031408323131005HX0F")</f>
        <v>ES0031408323131005HX0F</v>
      </c>
      <c r="B12246" s="12">
        <f>IFERROR(__xludf.DUMMYFUNCTION("""COMPUTED_VALUE"""),45376.0)</f>
        <v>45376</v>
      </c>
      <c r="C12246" s="13">
        <f>IFERROR(__xludf.DUMMYFUNCTION("""COMPUTED_VALUE"""),0.20833333333333334)</f>
        <v>0.2083333333</v>
      </c>
      <c r="D12246" s="8">
        <f>IFERROR(__xludf.DUMMYFUNCTION("""COMPUTED_VALUE"""),0.089)</f>
        <v>0.089</v>
      </c>
      <c r="E12246" s="8" t="str">
        <f>IFERROR(__xludf.DUMMYFUNCTION("""COMPUTED_VALUE"""),"Real")</f>
        <v>Real</v>
      </c>
      <c r="G12246" s="8">
        <f t="shared" si="1"/>
        <v>3</v>
      </c>
      <c r="H12246" s="14">
        <f t="shared" si="2"/>
        <v>25</v>
      </c>
      <c r="I12246" s="15">
        <f t="shared" si="3"/>
        <v>5</v>
      </c>
    </row>
    <row r="12247">
      <c r="A12247" s="8" t="str">
        <f>IFERROR(__xludf.DUMMYFUNCTION("IF('(INGESTA)Datos_consumo_datadis'!A12247&lt;&gt;"""",SPLIT('(INGESTA)Datos_consumo_datadis'!A:A,"",""),"""")"),"ES0031408323131005HX0F")</f>
        <v>ES0031408323131005HX0F</v>
      </c>
      <c r="B12247" s="12">
        <f>IFERROR(__xludf.DUMMYFUNCTION("""COMPUTED_VALUE"""),45376.0)</f>
        <v>45376</v>
      </c>
      <c r="C12247" s="13">
        <f>IFERROR(__xludf.DUMMYFUNCTION("""COMPUTED_VALUE"""),0.25)</f>
        <v>0.25</v>
      </c>
      <c r="D12247" s="8">
        <f>IFERROR(__xludf.DUMMYFUNCTION("""COMPUTED_VALUE"""),0.056)</f>
        <v>0.056</v>
      </c>
      <c r="E12247" s="8" t="str">
        <f>IFERROR(__xludf.DUMMYFUNCTION("""COMPUTED_VALUE"""),"Real")</f>
        <v>Real</v>
      </c>
      <c r="G12247" s="8">
        <f t="shared" si="1"/>
        <v>3</v>
      </c>
      <c r="H12247" s="14">
        <f t="shared" si="2"/>
        <v>25</v>
      </c>
      <c r="I12247" s="15">
        <f t="shared" si="3"/>
        <v>6</v>
      </c>
    </row>
    <row r="12248">
      <c r="A12248" s="8" t="str">
        <f>IFERROR(__xludf.DUMMYFUNCTION("IF('(INGESTA)Datos_consumo_datadis'!A12248&lt;&gt;"""",SPLIT('(INGESTA)Datos_consumo_datadis'!A:A,"",""),"""")"),"ES0031408323131005HX0F")</f>
        <v>ES0031408323131005HX0F</v>
      </c>
      <c r="B12248" s="12">
        <f>IFERROR(__xludf.DUMMYFUNCTION("""COMPUTED_VALUE"""),45376.0)</f>
        <v>45376</v>
      </c>
      <c r="C12248" s="13">
        <f>IFERROR(__xludf.DUMMYFUNCTION("""COMPUTED_VALUE"""),0.2916666666666667)</f>
        <v>0.2916666667</v>
      </c>
      <c r="D12248" s="8">
        <f>IFERROR(__xludf.DUMMYFUNCTION("""COMPUTED_VALUE"""),0.078)</f>
        <v>0.078</v>
      </c>
      <c r="E12248" s="8" t="str">
        <f>IFERROR(__xludf.DUMMYFUNCTION("""COMPUTED_VALUE"""),"Real")</f>
        <v>Real</v>
      </c>
      <c r="G12248" s="8">
        <f t="shared" si="1"/>
        <v>3</v>
      </c>
      <c r="H12248" s="14">
        <f t="shared" si="2"/>
        <v>25</v>
      </c>
      <c r="I12248" s="15">
        <f t="shared" si="3"/>
        <v>7</v>
      </c>
    </row>
    <row r="12249">
      <c r="A12249" s="8" t="str">
        <f>IFERROR(__xludf.DUMMYFUNCTION("IF('(INGESTA)Datos_consumo_datadis'!A12249&lt;&gt;"""",SPLIT('(INGESTA)Datos_consumo_datadis'!A:A,"",""),"""")"),"ES0031408323131005HX0F")</f>
        <v>ES0031408323131005HX0F</v>
      </c>
      <c r="B12249" s="12">
        <f>IFERROR(__xludf.DUMMYFUNCTION("""COMPUTED_VALUE"""),45376.0)</f>
        <v>45376</v>
      </c>
      <c r="C12249" s="13">
        <f>IFERROR(__xludf.DUMMYFUNCTION("""COMPUTED_VALUE"""),0.3333333333333333)</f>
        <v>0.3333333333</v>
      </c>
      <c r="D12249" s="8">
        <f>IFERROR(__xludf.DUMMYFUNCTION("""COMPUTED_VALUE"""),0.062)</f>
        <v>0.062</v>
      </c>
      <c r="E12249" s="8" t="str">
        <f>IFERROR(__xludf.DUMMYFUNCTION("""COMPUTED_VALUE"""),"Real")</f>
        <v>Real</v>
      </c>
      <c r="G12249" s="8">
        <f t="shared" si="1"/>
        <v>3</v>
      </c>
      <c r="H12249" s="14">
        <f t="shared" si="2"/>
        <v>25</v>
      </c>
      <c r="I12249" s="15">
        <f t="shared" si="3"/>
        <v>8</v>
      </c>
    </row>
    <row r="12250">
      <c r="A12250" s="8" t="str">
        <f>IFERROR(__xludf.DUMMYFUNCTION("IF('(INGESTA)Datos_consumo_datadis'!A12250&lt;&gt;"""",SPLIT('(INGESTA)Datos_consumo_datadis'!A:A,"",""),"""")"),"ES0031408323131005HX0F")</f>
        <v>ES0031408323131005HX0F</v>
      </c>
      <c r="B12250" s="12">
        <f>IFERROR(__xludf.DUMMYFUNCTION("""COMPUTED_VALUE"""),45376.0)</f>
        <v>45376</v>
      </c>
      <c r="C12250" s="13">
        <f>IFERROR(__xludf.DUMMYFUNCTION("""COMPUTED_VALUE"""),0.375)</f>
        <v>0.375</v>
      </c>
      <c r="D12250" s="8">
        <f>IFERROR(__xludf.DUMMYFUNCTION("""COMPUTED_VALUE"""),0.334)</f>
        <v>0.334</v>
      </c>
      <c r="E12250" s="8" t="str">
        <f>IFERROR(__xludf.DUMMYFUNCTION("""COMPUTED_VALUE"""),"Real")</f>
        <v>Real</v>
      </c>
      <c r="G12250" s="8">
        <f t="shared" si="1"/>
        <v>3</v>
      </c>
      <c r="H12250" s="14">
        <f t="shared" si="2"/>
        <v>25</v>
      </c>
      <c r="I12250" s="15">
        <f t="shared" si="3"/>
        <v>9</v>
      </c>
    </row>
    <row r="12251">
      <c r="A12251" s="8" t="str">
        <f>IFERROR(__xludf.DUMMYFUNCTION("IF('(INGESTA)Datos_consumo_datadis'!A12251&lt;&gt;"""",SPLIT('(INGESTA)Datos_consumo_datadis'!A:A,"",""),"""")"),"ES0031408323131005HX0F")</f>
        <v>ES0031408323131005HX0F</v>
      </c>
      <c r="B12251" s="12">
        <f>IFERROR(__xludf.DUMMYFUNCTION("""COMPUTED_VALUE"""),45376.0)</f>
        <v>45376</v>
      </c>
      <c r="C12251" s="13">
        <f>IFERROR(__xludf.DUMMYFUNCTION("""COMPUTED_VALUE"""),0.4166666666666667)</f>
        <v>0.4166666667</v>
      </c>
      <c r="D12251" s="8">
        <f>IFERROR(__xludf.DUMMYFUNCTION("""COMPUTED_VALUE"""),0.064)</f>
        <v>0.064</v>
      </c>
      <c r="E12251" s="8" t="str">
        <f>IFERROR(__xludf.DUMMYFUNCTION("""COMPUTED_VALUE"""),"Real")</f>
        <v>Real</v>
      </c>
      <c r="G12251" s="8">
        <f t="shared" si="1"/>
        <v>3</v>
      </c>
      <c r="H12251" s="14">
        <f t="shared" si="2"/>
        <v>25</v>
      </c>
      <c r="I12251" s="15">
        <f t="shared" si="3"/>
        <v>10</v>
      </c>
    </row>
    <row r="12252">
      <c r="A12252" s="8" t="str">
        <f>IFERROR(__xludf.DUMMYFUNCTION("IF('(INGESTA)Datos_consumo_datadis'!A12252&lt;&gt;"""",SPLIT('(INGESTA)Datos_consumo_datadis'!A:A,"",""),"""")"),"ES0031408323131005HX0F")</f>
        <v>ES0031408323131005HX0F</v>
      </c>
      <c r="B12252" s="12">
        <f>IFERROR(__xludf.DUMMYFUNCTION("""COMPUTED_VALUE"""),45376.0)</f>
        <v>45376</v>
      </c>
      <c r="C12252" s="13">
        <f>IFERROR(__xludf.DUMMYFUNCTION("""COMPUTED_VALUE"""),0.4583333333333333)</f>
        <v>0.4583333333</v>
      </c>
      <c r="D12252" s="8">
        <f>IFERROR(__xludf.DUMMYFUNCTION("""COMPUTED_VALUE"""),0.134)</f>
        <v>0.134</v>
      </c>
      <c r="E12252" s="8" t="str">
        <f>IFERROR(__xludf.DUMMYFUNCTION("""COMPUTED_VALUE"""),"Real")</f>
        <v>Real</v>
      </c>
      <c r="G12252" s="8">
        <f t="shared" si="1"/>
        <v>3</v>
      </c>
      <c r="H12252" s="14">
        <f t="shared" si="2"/>
        <v>25</v>
      </c>
      <c r="I12252" s="15">
        <f t="shared" si="3"/>
        <v>11</v>
      </c>
    </row>
    <row r="12253">
      <c r="A12253" s="8" t="str">
        <f>IFERROR(__xludf.DUMMYFUNCTION("IF('(INGESTA)Datos_consumo_datadis'!A12253&lt;&gt;"""",SPLIT('(INGESTA)Datos_consumo_datadis'!A:A,"",""),"""")"),"ES0031408323131005HX0F")</f>
        <v>ES0031408323131005HX0F</v>
      </c>
      <c r="B12253" s="12">
        <f>IFERROR(__xludf.DUMMYFUNCTION("""COMPUTED_VALUE"""),45376.0)</f>
        <v>45376</v>
      </c>
      <c r="C12253" s="13">
        <f>IFERROR(__xludf.DUMMYFUNCTION("""COMPUTED_VALUE"""),0.5)</f>
        <v>0.5</v>
      </c>
      <c r="D12253" s="8">
        <f>IFERROR(__xludf.DUMMYFUNCTION("""COMPUTED_VALUE"""),1.83)</f>
        <v>1.83</v>
      </c>
      <c r="E12253" s="8" t="str">
        <f>IFERROR(__xludf.DUMMYFUNCTION("""COMPUTED_VALUE"""),"Real")</f>
        <v>Real</v>
      </c>
      <c r="G12253" s="8">
        <f t="shared" si="1"/>
        <v>3</v>
      </c>
      <c r="H12253" s="14">
        <f t="shared" si="2"/>
        <v>25</v>
      </c>
      <c r="I12253" s="15">
        <f t="shared" si="3"/>
        <v>12</v>
      </c>
    </row>
    <row r="12254">
      <c r="A12254" s="8" t="str">
        <f>IFERROR(__xludf.DUMMYFUNCTION("IF('(INGESTA)Datos_consumo_datadis'!A12254&lt;&gt;"""",SPLIT('(INGESTA)Datos_consumo_datadis'!A:A,"",""),"""")"),"ES0031408323131005HX0F")</f>
        <v>ES0031408323131005HX0F</v>
      </c>
      <c r="B12254" s="12">
        <f>IFERROR(__xludf.DUMMYFUNCTION("""COMPUTED_VALUE"""),45376.0)</f>
        <v>45376</v>
      </c>
      <c r="C12254" s="13">
        <f>IFERROR(__xludf.DUMMYFUNCTION("""COMPUTED_VALUE"""),0.5416666666666666)</f>
        <v>0.5416666667</v>
      </c>
      <c r="D12254" s="8">
        <f>IFERROR(__xludf.DUMMYFUNCTION("""COMPUTED_VALUE"""),1.192)</f>
        <v>1.192</v>
      </c>
      <c r="E12254" s="8" t="str">
        <f>IFERROR(__xludf.DUMMYFUNCTION("""COMPUTED_VALUE"""),"Real")</f>
        <v>Real</v>
      </c>
      <c r="G12254" s="8">
        <f t="shared" si="1"/>
        <v>3</v>
      </c>
      <c r="H12254" s="14">
        <f t="shared" si="2"/>
        <v>25</v>
      </c>
      <c r="I12254" s="15">
        <f t="shared" si="3"/>
        <v>13</v>
      </c>
    </row>
    <row r="12255">
      <c r="A12255" s="8" t="str">
        <f>IFERROR(__xludf.DUMMYFUNCTION("IF('(INGESTA)Datos_consumo_datadis'!A12255&lt;&gt;"""",SPLIT('(INGESTA)Datos_consumo_datadis'!A:A,"",""),"""")"),"ES0031408323131005HX0F")</f>
        <v>ES0031408323131005HX0F</v>
      </c>
      <c r="B12255" s="12">
        <f>IFERROR(__xludf.DUMMYFUNCTION("""COMPUTED_VALUE"""),45376.0)</f>
        <v>45376</v>
      </c>
      <c r="C12255" s="13">
        <f>IFERROR(__xludf.DUMMYFUNCTION("""COMPUTED_VALUE"""),0.5833333333333334)</f>
        <v>0.5833333333</v>
      </c>
      <c r="D12255" s="8">
        <f>IFERROR(__xludf.DUMMYFUNCTION("""COMPUTED_VALUE"""),0.545)</f>
        <v>0.545</v>
      </c>
      <c r="E12255" s="8" t="str">
        <f>IFERROR(__xludf.DUMMYFUNCTION("""COMPUTED_VALUE"""),"Real")</f>
        <v>Real</v>
      </c>
      <c r="G12255" s="8">
        <f t="shared" si="1"/>
        <v>3</v>
      </c>
      <c r="H12255" s="14">
        <f t="shared" si="2"/>
        <v>25</v>
      </c>
      <c r="I12255" s="15">
        <f t="shared" si="3"/>
        <v>14</v>
      </c>
    </row>
    <row r="12256">
      <c r="A12256" s="8" t="str">
        <f>IFERROR(__xludf.DUMMYFUNCTION("IF('(INGESTA)Datos_consumo_datadis'!A12256&lt;&gt;"""",SPLIT('(INGESTA)Datos_consumo_datadis'!A:A,"",""),"""")"),"ES0031408323131005HX0F")</f>
        <v>ES0031408323131005HX0F</v>
      </c>
      <c r="B12256" s="12">
        <f>IFERROR(__xludf.DUMMYFUNCTION("""COMPUTED_VALUE"""),45376.0)</f>
        <v>45376</v>
      </c>
      <c r="C12256" s="13">
        <f>IFERROR(__xludf.DUMMYFUNCTION("""COMPUTED_VALUE"""),0.625)</f>
        <v>0.625</v>
      </c>
      <c r="D12256" s="8">
        <f>IFERROR(__xludf.DUMMYFUNCTION("""COMPUTED_VALUE"""),0.194)</f>
        <v>0.194</v>
      </c>
      <c r="E12256" s="8" t="str">
        <f>IFERROR(__xludf.DUMMYFUNCTION("""COMPUTED_VALUE"""),"Real")</f>
        <v>Real</v>
      </c>
      <c r="G12256" s="8">
        <f t="shared" si="1"/>
        <v>3</v>
      </c>
      <c r="H12256" s="14">
        <f t="shared" si="2"/>
        <v>25</v>
      </c>
      <c r="I12256" s="15">
        <f t="shared" si="3"/>
        <v>15</v>
      </c>
    </row>
    <row r="12257">
      <c r="A12257" s="8" t="str">
        <f>IFERROR(__xludf.DUMMYFUNCTION("IF('(INGESTA)Datos_consumo_datadis'!A12257&lt;&gt;"""",SPLIT('(INGESTA)Datos_consumo_datadis'!A:A,"",""),"""")"),"ES0031408323131005HX0F")</f>
        <v>ES0031408323131005HX0F</v>
      </c>
      <c r="B12257" s="12">
        <f>IFERROR(__xludf.DUMMYFUNCTION("""COMPUTED_VALUE"""),45376.0)</f>
        <v>45376</v>
      </c>
      <c r="C12257" s="13">
        <f>IFERROR(__xludf.DUMMYFUNCTION("""COMPUTED_VALUE"""),0.6666666666666666)</f>
        <v>0.6666666667</v>
      </c>
      <c r="D12257" s="8">
        <f>IFERROR(__xludf.DUMMYFUNCTION("""COMPUTED_VALUE"""),0.09)</f>
        <v>0.09</v>
      </c>
      <c r="E12257" s="8" t="str">
        <f>IFERROR(__xludf.DUMMYFUNCTION("""COMPUTED_VALUE"""),"Real")</f>
        <v>Real</v>
      </c>
      <c r="G12257" s="8">
        <f t="shared" si="1"/>
        <v>3</v>
      </c>
      <c r="H12257" s="14">
        <f t="shared" si="2"/>
        <v>25</v>
      </c>
      <c r="I12257" s="15">
        <f t="shared" si="3"/>
        <v>16</v>
      </c>
    </row>
    <row r="12258">
      <c r="A12258" s="8" t="str">
        <f>IFERROR(__xludf.DUMMYFUNCTION("IF('(INGESTA)Datos_consumo_datadis'!A12258&lt;&gt;"""",SPLIT('(INGESTA)Datos_consumo_datadis'!A:A,"",""),"""")"),"ES0031408323131005HX0F")</f>
        <v>ES0031408323131005HX0F</v>
      </c>
      <c r="B12258" s="12">
        <f>IFERROR(__xludf.DUMMYFUNCTION("""COMPUTED_VALUE"""),45376.0)</f>
        <v>45376</v>
      </c>
      <c r="C12258" s="13">
        <f>IFERROR(__xludf.DUMMYFUNCTION("""COMPUTED_VALUE"""),0.7083333333333334)</f>
        <v>0.7083333333</v>
      </c>
      <c r="D12258" s="8">
        <f>IFERROR(__xludf.DUMMYFUNCTION("""COMPUTED_VALUE"""),0.073)</f>
        <v>0.073</v>
      </c>
      <c r="E12258" s="8" t="str">
        <f>IFERROR(__xludf.DUMMYFUNCTION("""COMPUTED_VALUE"""),"Real")</f>
        <v>Real</v>
      </c>
      <c r="G12258" s="8">
        <f t="shared" si="1"/>
        <v>3</v>
      </c>
      <c r="H12258" s="14">
        <f t="shared" si="2"/>
        <v>25</v>
      </c>
      <c r="I12258" s="15">
        <f t="shared" si="3"/>
        <v>17</v>
      </c>
    </row>
    <row r="12259">
      <c r="A12259" s="8" t="str">
        <f>IFERROR(__xludf.DUMMYFUNCTION("IF('(INGESTA)Datos_consumo_datadis'!A12259&lt;&gt;"""",SPLIT('(INGESTA)Datos_consumo_datadis'!A:A,"",""),"""")"),"ES0031408323131005HX0F")</f>
        <v>ES0031408323131005HX0F</v>
      </c>
      <c r="B12259" s="12">
        <f>IFERROR(__xludf.DUMMYFUNCTION("""COMPUTED_VALUE"""),45376.0)</f>
        <v>45376</v>
      </c>
      <c r="C12259" s="13">
        <f>IFERROR(__xludf.DUMMYFUNCTION("""COMPUTED_VALUE"""),0.75)</f>
        <v>0.75</v>
      </c>
      <c r="D12259" s="8">
        <f>IFERROR(__xludf.DUMMYFUNCTION("""COMPUTED_VALUE"""),0.062)</f>
        <v>0.062</v>
      </c>
      <c r="E12259" s="8" t="str">
        <f>IFERROR(__xludf.DUMMYFUNCTION("""COMPUTED_VALUE"""),"Real")</f>
        <v>Real</v>
      </c>
      <c r="G12259" s="8">
        <f t="shared" si="1"/>
        <v>3</v>
      </c>
      <c r="H12259" s="14">
        <f t="shared" si="2"/>
        <v>25</v>
      </c>
      <c r="I12259" s="15">
        <f t="shared" si="3"/>
        <v>18</v>
      </c>
    </row>
    <row r="12260">
      <c r="A12260" s="8" t="str">
        <f>IFERROR(__xludf.DUMMYFUNCTION("IF('(INGESTA)Datos_consumo_datadis'!A12260&lt;&gt;"""",SPLIT('(INGESTA)Datos_consumo_datadis'!A:A,"",""),"""")"),"ES0031408323131005HX0F")</f>
        <v>ES0031408323131005HX0F</v>
      </c>
      <c r="B12260" s="12">
        <f>IFERROR(__xludf.DUMMYFUNCTION("""COMPUTED_VALUE"""),45376.0)</f>
        <v>45376</v>
      </c>
      <c r="C12260" s="13">
        <f>IFERROR(__xludf.DUMMYFUNCTION("""COMPUTED_VALUE"""),0.7916666666666666)</f>
        <v>0.7916666667</v>
      </c>
      <c r="D12260" s="8">
        <f>IFERROR(__xludf.DUMMYFUNCTION("""COMPUTED_VALUE"""),0.323)</f>
        <v>0.323</v>
      </c>
      <c r="E12260" s="8" t="str">
        <f>IFERROR(__xludf.DUMMYFUNCTION("""COMPUTED_VALUE"""),"Real")</f>
        <v>Real</v>
      </c>
      <c r="G12260" s="8">
        <f t="shared" si="1"/>
        <v>3</v>
      </c>
      <c r="H12260" s="14">
        <f t="shared" si="2"/>
        <v>25</v>
      </c>
      <c r="I12260" s="15">
        <f t="shared" si="3"/>
        <v>19</v>
      </c>
    </row>
    <row r="12261">
      <c r="A12261" s="8" t="str">
        <f>IFERROR(__xludf.DUMMYFUNCTION("IF('(INGESTA)Datos_consumo_datadis'!A12261&lt;&gt;"""",SPLIT('(INGESTA)Datos_consumo_datadis'!A:A,"",""),"""")"),"ES0031408323131005HX0F")</f>
        <v>ES0031408323131005HX0F</v>
      </c>
      <c r="B12261" s="12">
        <f>IFERROR(__xludf.DUMMYFUNCTION("""COMPUTED_VALUE"""),45376.0)</f>
        <v>45376</v>
      </c>
      <c r="C12261" s="13">
        <f>IFERROR(__xludf.DUMMYFUNCTION("""COMPUTED_VALUE"""),0.8333333333333334)</f>
        <v>0.8333333333</v>
      </c>
      <c r="D12261" s="8">
        <f>IFERROR(__xludf.DUMMYFUNCTION("""COMPUTED_VALUE"""),1.54)</f>
        <v>1.54</v>
      </c>
      <c r="E12261" s="8" t="str">
        <f>IFERROR(__xludf.DUMMYFUNCTION("""COMPUTED_VALUE"""),"Real")</f>
        <v>Real</v>
      </c>
      <c r="G12261" s="8">
        <f t="shared" si="1"/>
        <v>3</v>
      </c>
      <c r="H12261" s="14">
        <f t="shared" si="2"/>
        <v>25</v>
      </c>
      <c r="I12261" s="15">
        <f t="shared" si="3"/>
        <v>20</v>
      </c>
    </row>
    <row r="12262">
      <c r="A12262" s="8" t="str">
        <f>IFERROR(__xludf.DUMMYFUNCTION("IF('(INGESTA)Datos_consumo_datadis'!A12262&lt;&gt;"""",SPLIT('(INGESTA)Datos_consumo_datadis'!A:A,"",""),"""")"),"ES0031408323131005HX0F")</f>
        <v>ES0031408323131005HX0F</v>
      </c>
      <c r="B12262" s="12">
        <f>IFERROR(__xludf.DUMMYFUNCTION("""COMPUTED_VALUE"""),45376.0)</f>
        <v>45376</v>
      </c>
      <c r="C12262" s="13">
        <f>IFERROR(__xludf.DUMMYFUNCTION("""COMPUTED_VALUE"""),0.875)</f>
        <v>0.875</v>
      </c>
      <c r="D12262" s="8">
        <f>IFERROR(__xludf.DUMMYFUNCTION("""COMPUTED_VALUE"""),2.841)</f>
        <v>2.841</v>
      </c>
      <c r="E12262" s="8" t="str">
        <f>IFERROR(__xludf.DUMMYFUNCTION("""COMPUTED_VALUE"""),"Real")</f>
        <v>Real</v>
      </c>
      <c r="G12262" s="8">
        <f t="shared" si="1"/>
        <v>3</v>
      </c>
      <c r="H12262" s="14">
        <f t="shared" si="2"/>
        <v>25</v>
      </c>
      <c r="I12262" s="15">
        <f t="shared" si="3"/>
        <v>21</v>
      </c>
    </row>
    <row r="12263">
      <c r="A12263" s="8" t="str">
        <f>IFERROR(__xludf.DUMMYFUNCTION("IF('(INGESTA)Datos_consumo_datadis'!A12263&lt;&gt;"""",SPLIT('(INGESTA)Datos_consumo_datadis'!A:A,"",""),"""")"),"ES0031408323131005HX0F")</f>
        <v>ES0031408323131005HX0F</v>
      </c>
      <c r="B12263" s="12">
        <f>IFERROR(__xludf.DUMMYFUNCTION("""COMPUTED_VALUE"""),45376.0)</f>
        <v>45376</v>
      </c>
      <c r="C12263" s="13">
        <f>IFERROR(__xludf.DUMMYFUNCTION("""COMPUTED_VALUE"""),0.9166666666666666)</f>
        <v>0.9166666667</v>
      </c>
      <c r="D12263" s="8">
        <f>IFERROR(__xludf.DUMMYFUNCTION("""COMPUTED_VALUE"""),1.464)</f>
        <v>1.464</v>
      </c>
      <c r="E12263" s="8" t="str">
        <f>IFERROR(__xludf.DUMMYFUNCTION("""COMPUTED_VALUE"""),"Real")</f>
        <v>Real</v>
      </c>
      <c r="G12263" s="8">
        <f t="shared" si="1"/>
        <v>3</v>
      </c>
      <c r="H12263" s="14">
        <f t="shared" si="2"/>
        <v>25</v>
      </c>
      <c r="I12263" s="15">
        <f t="shared" si="3"/>
        <v>22</v>
      </c>
    </row>
    <row r="12264">
      <c r="A12264" s="8" t="str">
        <f>IFERROR(__xludf.DUMMYFUNCTION("IF('(INGESTA)Datos_consumo_datadis'!A12264&lt;&gt;"""",SPLIT('(INGESTA)Datos_consumo_datadis'!A:A,"",""),"""")"),"ES0031408323131005HX0F")</f>
        <v>ES0031408323131005HX0F</v>
      </c>
      <c r="B12264" s="12">
        <f>IFERROR(__xludf.DUMMYFUNCTION("""COMPUTED_VALUE"""),45376.0)</f>
        <v>45376</v>
      </c>
      <c r="C12264" s="13">
        <f>IFERROR(__xludf.DUMMYFUNCTION("""COMPUTED_VALUE"""),0.9583333333333334)</f>
        <v>0.9583333333</v>
      </c>
      <c r="D12264" s="8">
        <f>IFERROR(__xludf.DUMMYFUNCTION("""COMPUTED_VALUE"""),2.025)</f>
        <v>2.025</v>
      </c>
      <c r="E12264" s="8" t="str">
        <f>IFERROR(__xludf.DUMMYFUNCTION("""COMPUTED_VALUE"""),"Real")</f>
        <v>Real</v>
      </c>
      <c r="G12264" s="8">
        <f t="shared" si="1"/>
        <v>3</v>
      </c>
      <c r="H12264" s="14">
        <f t="shared" si="2"/>
        <v>25</v>
      </c>
      <c r="I12264" s="15">
        <f t="shared" si="3"/>
        <v>23</v>
      </c>
    </row>
    <row r="12265">
      <c r="A12265" s="8" t="str">
        <f>IFERROR(__xludf.DUMMYFUNCTION("IF('(INGESTA)Datos_consumo_datadis'!A12265&lt;&gt;"""",SPLIT('(INGESTA)Datos_consumo_datadis'!A:A,"",""),"""")"),"ES0031408323131005HX0F")</f>
        <v>ES0031408323131005HX0F</v>
      </c>
      <c r="B12265" s="12">
        <f>IFERROR(__xludf.DUMMYFUNCTION("""COMPUTED_VALUE"""),45376.0)</f>
        <v>45376</v>
      </c>
      <c r="C12265" s="16">
        <f>IFERROR(__xludf.DUMMYFUNCTION("""COMPUTED_VALUE"""),1.0)</f>
        <v>1</v>
      </c>
      <c r="D12265" s="8">
        <f>IFERROR(__xludf.DUMMYFUNCTION("""COMPUTED_VALUE"""),2.205)</f>
        <v>2.205</v>
      </c>
      <c r="E12265" s="8" t="str">
        <f>IFERROR(__xludf.DUMMYFUNCTION("""COMPUTED_VALUE"""),"Real")</f>
        <v>Real</v>
      </c>
      <c r="G12265" s="8">
        <f t="shared" si="1"/>
        <v>3</v>
      </c>
      <c r="H12265" s="14">
        <f t="shared" si="2"/>
        <v>25</v>
      </c>
      <c r="I12265" s="15">
        <f t="shared" si="3"/>
        <v>0</v>
      </c>
    </row>
    <row r="12266">
      <c r="A12266" s="8" t="str">
        <f>IFERROR(__xludf.DUMMYFUNCTION("IF('(INGESTA)Datos_consumo_datadis'!A12266&lt;&gt;"""",SPLIT('(INGESTA)Datos_consumo_datadis'!A:A,"",""),"""")"),"ES0031408323131005HX0F")</f>
        <v>ES0031408323131005HX0F</v>
      </c>
      <c r="B12266" s="12">
        <f>IFERROR(__xludf.DUMMYFUNCTION("""COMPUTED_VALUE"""),45377.0)</f>
        <v>45377</v>
      </c>
      <c r="C12266" s="13">
        <f>IFERROR(__xludf.DUMMYFUNCTION("""COMPUTED_VALUE"""),0.041666666666666664)</f>
        <v>0.04166666667</v>
      </c>
      <c r="D12266" s="8">
        <f>IFERROR(__xludf.DUMMYFUNCTION("""COMPUTED_VALUE"""),0.936)</f>
        <v>0.936</v>
      </c>
      <c r="E12266" s="8" t="str">
        <f>IFERROR(__xludf.DUMMYFUNCTION("""COMPUTED_VALUE"""),"Real")</f>
        <v>Real</v>
      </c>
      <c r="G12266" s="8">
        <f t="shared" si="1"/>
        <v>3</v>
      </c>
      <c r="H12266" s="14">
        <f t="shared" si="2"/>
        <v>26</v>
      </c>
      <c r="I12266" s="15">
        <f t="shared" si="3"/>
        <v>1</v>
      </c>
    </row>
    <row r="12267">
      <c r="A12267" s="8" t="str">
        <f>IFERROR(__xludf.DUMMYFUNCTION("IF('(INGESTA)Datos_consumo_datadis'!A12267&lt;&gt;"""",SPLIT('(INGESTA)Datos_consumo_datadis'!A:A,"",""),"""")"),"ES0031408323131005HX0F")</f>
        <v>ES0031408323131005HX0F</v>
      </c>
      <c r="B12267" s="12">
        <f>IFERROR(__xludf.DUMMYFUNCTION("""COMPUTED_VALUE"""),45377.0)</f>
        <v>45377</v>
      </c>
      <c r="C12267" s="13">
        <f>IFERROR(__xludf.DUMMYFUNCTION("""COMPUTED_VALUE"""),0.08333333333333333)</f>
        <v>0.08333333333</v>
      </c>
      <c r="D12267" s="8">
        <f>IFERROR(__xludf.DUMMYFUNCTION("""COMPUTED_VALUE"""),0.726)</f>
        <v>0.726</v>
      </c>
      <c r="E12267" s="8" t="str">
        <f>IFERROR(__xludf.DUMMYFUNCTION("""COMPUTED_VALUE"""),"Real")</f>
        <v>Real</v>
      </c>
      <c r="G12267" s="8">
        <f t="shared" si="1"/>
        <v>3</v>
      </c>
      <c r="H12267" s="14">
        <f t="shared" si="2"/>
        <v>26</v>
      </c>
      <c r="I12267" s="15">
        <f t="shared" si="3"/>
        <v>2</v>
      </c>
    </row>
    <row r="12268">
      <c r="A12268" s="8" t="str">
        <f>IFERROR(__xludf.DUMMYFUNCTION("IF('(INGESTA)Datos_consumo_datadis'!A12268&lt;&gt;"""",SPLIT('(INGESTA)Datos_consumo_datadis'!A:A,"",""),"""")"),"ES0031408323131005HX0F")</f>
        <v>ES0031408323131005HX0F</v>
      </c>
      <c r="B12268" s="12">
        <f>IFERROR(__xludf.DUMMYFUNCTION("""COMPUTED_VALUE"""),45377.0)</f>
        <v>45377</v>
      </c>
      <c r="C12268" s="13">
        <f>IFERROR(__xludf.DUMMYFUNCTION("""COMPUTED_VALUE"""),0.125)</f>
        <v>0.125</v>
      </c>
      <c r="D12268" s="8">
        <f>IFERROR(__xludf.DUMMYFUNCTION("""COMPUTED_VALUE"""),0.08)</f>
        <v>0.08</v>
      </c>
      <c r="E12268" s="8" t="str">
        <f>IFERROR(__xludf.DUMMYFUNCTION("""COMPUTED_VALUE"""),"Real")</f>
        <v>Real</v>
      </c>
      <c r="G12268" s="8">
        <f t="shared" si="1"/>
        <v>3</v>
      </c>
      <c r="H12268" s="14">
        <f t="shared" si="2"/>
        <v>26</v>
      </c>
      <c r="I12268" s="15">
        <f t="shared" si="3"/>
        <v>3</v>
      </c>
    </row>
    <row r="12269">
      <c r="A12269" s="8" t="str">
        <f>IFERROR(__xludf.DUMMYFUNCTION("IF('(INGESTA)Datos_consumo_datadis'!A12269&lt;&gt;"""",SPLIT('(INGESTA)Datos_consumo_datadis'!A:A,"",""),"""")"),"ES0031408323131005HX0F")</f>
        <v>ES0031408323131005HX0F</v>
      </c>
      <c r="B12269" s="12">
        <f>IFERROR(__xludf.DUMMYFUNCTION("""COMPUTED_VALUE"""),45377.0)</f>
        <v>45377</v>
      </c>
      <c r="C12269" s="13">
        <f>IFERROR(__xludf.DUMMYFUNCTION("""COMPUTED_VALUE"""),0.16666666666666666)</f>
        <v>0.1666666667</v>
      </c>
      <c r="D12269" s="8">
        <f>IFERROR(__xludf.DUMMYFUNCTION("""COMPUTED_VALUE"""),0.075)</f>
        <v>0.075</v>
      </c>
      <c r="E12269" s="8" t="str">
        <f>IFERROR(__xludf.DUMMYFUNCTION("""COMPUTED_VALUE"""),"Real")</f>
        <v>Real</v>
      </c>
      <c r="G12269" s="8">
        <f t="shared" si="1"/>
        <v>3</v>
      </c>
      <c r="H12269" s="14">
        <f t="shared" si="2"/>
        <v>26</v>
      </c>
      <c r="I12269" s="15">
        <f t="shared" si="3"/>
        <v>4</v>
      </c>
    </row>
    <row r="12270">
      <c r="A12270" s="8" t="str">
        <f>IFERROR(__xludf.DUMMYFUNCTION("IF('(INGESTA)Datos_consumo_datadis'!A12270&lt;&gt;"""",SPLIT('(INGESTA)Datos_consumo_datadis'!A:A,"",""),"""")"),"ES0031408323131005HX0F")</f>
        <v>ES0031408323131005HX0F</v>
      </c>
      <c r="B12270" s="12">
        <f>IFERROR(__xludf.DUMMYFUNCTION("""COMPUTED_VALUE"""),45377.0)</f>
        <v>45377</v>
      </c>
      <c r="C12270" s="13">
        <f>IFERROR(__xludf.DUMMYFUNCTION("""COMPUTED_VALUE"""),0.20833333333333334)</f>
        <v>0.2083333333</v>
      </c>
      <c r="D12270" s="8">
        <f>IFERROR(__xludf.DUMMYFUNCTION("""COMPUTED_VALUE"""),0.344)</f>
        <v>0.344</v>
      </c>
      <c r="E12270" s="8" t="str">
        <f>IFERROR(__xludf.DUMMYFUNCTION("""COMPUTED_VALUE"""),"Real")</f>
        <v>Real</v>
      </c>
      <c r="G12270" s="8">
        <f t="shared" si="1"/>
        <v>3</v>
      </c>
      <c r="H12270" s="14">
        <f t="shared" si="2"/>
        <v>26</v>
      </c>
      <c r="I12270" s="15">
        <f t="shared" si="3"/>
        <v>5</v>
      </c>
    </row>
    <row r="12271">
      <c r="A12271" s="8" t="str">
        <f>IFERROR(__xludf.DUMMYFUNCTION("IF('(INGESTA)Datos_consumo_datadis'!A12271&lt;&gt;"""",SPLIT('(INGESTA)Datos_consumo_datadis'!A:A,"",""),"""")"),"ES0031408323131005HX0F")</f>
        <v>ES0031408323131005HX0F</v>
      </c>
      <c r="B12271" s="12">
        <f>IFERROR(__xludf.DUMMYFUNCTION("""COMPUTED_VALUE"""),45377.0)</f>
        <v>45377</v>
      </c>
      <c r="C12271" s="13">
        <f>IFERROR(__xludf.DUMMYFUNCTION("""COMPUTED_VALUE"""),0.25)</f>
        <v>0.25</v>
      </c>
      <c r="D12271" s="8">
        <f>IFERROR(__xludf.DUMMYFUNCTION("""COMPUTED_VALUE"""),0.07)</f>
        <v>0.07</v>
      </c>
      <c r="E12271" s="8" t="str">
        <f>IFERROR(__xludf.DUMMYFUNCTION("""COMPUTED_VALUE"""),"Real")</f>
        <v>Real</v>
      </c>
      <c r="G12271" s="8">
        <f t="shared" si="1"/>
        <v>3</v>
      </c>
      <c r="H12271" s="14">
        <f t="shared" si="2"/>
        <v>26</v>
      </c>
      <c r="I12271" s="15">
        <f t="shared" si="3"/>
        <v>6</v>
      </c>
    </row>
    <row r="12272">
      <c r="A12272" s="8" t="str">
        <f>IFERROR(__xludf.DUMMYFUNCTION("IF('(INGESTA)Datos_consumo_datadis'!A12272&lt;&gt;"""",SPLIT('(INGESTA)Datos_consumo_datadis'!A:A,"",""),"""")"),"ES0031408323131005HX0F")</f>
        <v>ES0031408323131005HX0F</v>
      </c>
      <c r="B12272" s="12">
        <f>IFERROR(__xludf.DUMMYFUNCTION("""COMPUTED_VALUE"""),45377.0)</f>
        <v>45377</v>
      </c>
      <c r="C12272" s="13">
        <f>IFERROR(__xludf.DUMMYFUNCTION("""COMPUTED_VALUE"""),0.2916666666666667)</f>
        <v>0.2916666667</v>
      </c>
      <c r="D12272" s="8">
        <f>IFERROR(__xludf.DUMMYFUNCTION("""COMPUTED_VALUE"""),0.058)</f>
        <v>0.058</v>
      </c>
      <c r="E12272" s="8" t="str">
        <f>IFERROR(__xludf.DUMMYFUNCTION("""COMPUTED_VALUE"""),"Real")</f>
        <v>Real</v>
      </c>
      <c r="G12272" s="8">
        <f t="shared" si="1"/>
        <v>3</v>
      </c>
      <c r="H12272" s="14">
        <f t="shared" si="2"/>
        <v>26</v>
      </c>
      <c r="I12272" s="15">
        <f t="shared" si="3"/>
        <v>7</v>
      </c>
    </row>
    <row r="12273">
      <c r="A12273" s="8" t="str">
        <f>IFERROR(__xludf.DUMMYFUNCTION("IF('(INGESTA)Datos_consumo_datadis'!A12273&lt;&gt;"""",SPLIT('(INGESTA)Datos_consumo_datadis'!A:A,"",""),"""")"),"ES0031408323131005HX0F")</f>
        <v>ES0031408323131005HX0F</v>
      </c>
      <c r="B12273" s="12">
        <f>IFERROR(__xludf.DUMMYFUNCTION("""COMPUTED_VALUE"""),45377.0)</f>
        <v>45377</v>
      </c>
      <c r="C12273" s="13">
        <f>IFERROR(__xludf.DUMMYFUNCTION("""COMPUTED_VALUE"""),0.3333333333333333)</f>
        <v>0.3333333333</v>
      </c>
      <c r="D12273" s="8">
        <f>IFERROR(__xludf.DUMMYFUNCTION("""COMPUTED_VALUE"""),0.051)</f>
        <v>0.051</v>
      </c>
      <c r="E12273" s="8" t="str">
        <f>IFERROR(__xludf.DUMMYFUNCTION("""COMPUTED_VALUE"""),"Real")</f>
        <v>Real</v>
      </c>
      <c r="G12273" s="8">
        <f t="shared" si="1"/>
        <v>3</v>
      </c>
      <c r="H12273" s="14">
        <f t="shared" si="2"/>
        <v>26</v>
      </c>
      <c r="I12273" s="15">
        <f t="shared" si="3"/>
        <v>8</v>
      </c>
    </row>
    <row r="12274">
      <c r="A12274" s="8" t="str">
        <f>IFERROR(__xludf.DUMMYFUNCTION("IF('(INGESTA)Datos_consumo_datadis'!A12274&lt;&gt;"""",SPLIT('(INGESTA)Datos_consumo_datadis'!A:A,"",""),"""")"),"ES0031408323131005HX0F")</f>
        <v>ES0031408323131005HX0F</v>
      </c>
      <c r="B12274" s="12">
        <f>IFERROR(__xludf.DUMMYFUNCTION("""COMPUTED_VALUE"""),45377.0)</f>
        <v>45377</v>
      </c>
      <c r="C12274" s="13">
        <f>IFERROR(__xludf.DUMMYFUNCTION("""COMPUTED_VALUE"""),0.375)</f>
        <v>0.375</v>
      </c>
      <c r="D12274" s="8">
        <f>IFERROR(__xludf.DUMMYFUNCTION("""COMPUTED_VALUE"""),0.073)</f>
        <v>0.073</v>
      </c>
      <c r="E12274" s="8" t="str">
        <f>IFERROR(__xludf.DUMMYFUNCTION("""COMPUTED_VALUE"""),"Real")</f>
        <v>Real</v>
      </c>
      <c r="G12274" s="8">
        <f t="shared" si="1"/>
        <v>3</v>
      </c>
      <c r="H12274" s="14">
        <f t="shared" si="2"/>
        <v>26</v>
      </c>
      <c r="I12274" s="15">
        <f t="shared" si="3"/>
        <v>9</v>
      </c>
    </row>
    <row r="12275">
      <c r="A12275" s="8" t="str">
        <f>IFERROR(__xludf.DUMMYFUNCTION("IF('(INGESTA)Datos_consumo_datadis'!A12275&lt;&gt;"""",SPLIT('(INGESTA)Datos_consumo_datadis'!A:A,"",""),"""")"),"ES0031408323131005HX0F")</f>
        <v>ES0031408323131005HX0F</v>
      </c>
      <c r="B12275" s="12">
        <f>IFERROR(__xludf.DUMMYFUNCTION("""COMPUTED_VALUE"""),45377.0)</f>
        <v>45377</v>
      </c>
      <c r="C12275" s="13">
        <f>IFERROR(__xludf.DUMMYFUNCTION("""COMPUTED_VALUE"""),0.4166666666666667)</f>
        <v>0.4166666667</v>
      </c>
      <c r="D12275" s="8">
        <f>IFERROR(__xludf.DUMMYFUNCTION("""COMPUTED_VALUE"""),0.613)</f>
        <v>0.613</v>
      </c>
      <c r="E12275" s="8" t="str">
        <f>IFERROR(__xludf.DUMMYFUNCTION("""COMPUTED_VALUE"""),"Real")</f>
        <v>Real</v>
      </c>
      <c r="G12275" s="8">
        <f t="shared" si="1"/>
        <v>3</v>
      </c>
      <c r="H12275" s="14">
        <f t="shared" si="2"/>
        <v>26</v>
      </c>
      <c r="I12275" s="15">
        <f t="shared" si="3"/>
        <v>10</v>
      </c>
    </row>
    <row r="12276">
      <c r="A12276" s="8" t="str">
        <f>IFERROR(__xludf.DUMMYFUNCTION("IF('(INGESTA)Datos_consumo_datadis'!A12276&lt;&gt;"""",SPLIT('(INGESTA)Datos_consumo_datadis'!A:A,"",""),"""")"),"ES0031408323131005HX0F")</f>
        <v>ES0031408323131005HX0F</v>
      </c>
      <c r="B12276" s="12">
        <f>IFERROR(__xludf.DUMMYFUNCTION("""COMPUTED_VALUE"""),45377.0)</f>
        <v>45377</v>
      </c>
      <c r="C12276" s="13">
        <f>IFERROR(__xludf.DUMMYFUNCTION("""COMPUTED_VALUE"""),0.4583333333333333)</f>
        <v>0.4583333333</v>
      </c>
      <c r="D12276" s="8">
        <f>IFERROR(__xludf.DUMMYFUNCTION("""COMPUTED_VALUE"""),0.526)</f>
        <v>0.526</v>
      </c>
      <c r="E12276" s="8" t="str">
        <f>IFERROR(__xludf.DUMMYFUNCTION("""COMPUTED_VALUE"""),"Real")</f>
        <v>Real</v>
      </c>
      <c r="G12276" s="8">
        <f t="shared" si="1"/>
        <v>3</v>
      </c>
      <c r="H12276" s="14">
        <f t="shared" si="2"/>
        <v>26</v>
      </c>
      <c r="I12276" s="15">
        <f t="shared" si="3"/>
        <v>11</v>
      </c>
    </row>
    <row r="12277">
      <c r="A12277" s="8" t="str">
        <f>IFERROR(__xludf.DUMMYFUNCTION("IF('(INGESTA)Datos_consumo_datadis'!A12277&lt;&gt;"""",SPLIT('(INGESTA)Datos_consumo_datadis'!A:A,"",""),"""")"),"ES0031408323131005HX0F")</f>
        <v>ES0031408323131005HX0F</v>
      </c>
      <c r="B12277" s="12">
        <f>IFERROR(__xludf.DUMMYFUNCTION("""COMPUTED_VALUE"""),45377.0)</f>
        <v>45377</v>
      </c>
      <c r="C12277" s="13">
        <f>IFERROR(__xludf.DUMMYFUNCTION("""COMPUTED_VALUE"""),0.5)</f>
        <v>0.5</v>
      </c>
      <c r="D12277" s="8">
        <f>IFERROR(__xludf.DUMMYFUNCTION("""COMPUTED_VALUE"""),0.077)</f>
        <v>0.077</v>
      </c>
      <c r="E12277" s="8" t="str">
        <f>IFERROR(__xludf.DUMMYFUNCTION("""COMPUTED_VALUE"""),"Real")</f>
        <v>Real</v>
      </c>
      <c r="G12277" s="8">
        <f t="shared" si="1"/>
        <v>3</v>
      </c>
      <c r="H12277" s="14">
        <f t="shared" si="2"/>
        <v>26</v>
      </c>
      <c r="I12277" s="15">
        <f t="shared" si="3"/>
        <v>12</v>
      </c>
    </row>
    <row r="12278">
      <c r="A12278" s="8" t="str">
        <f>IFERROR(__xludf.DUMMYFUNCTION("IF('(INGESTA)Datos_consumo_datadis'!A12278&lt;&gt;"""",SPLIT('(INGESTA)Datos_consumo_datadis'!A:A,"",""),"""")"),"ES0031408323131005HX0F")</f>
        <v>ES0031408323131005HX0F</v>
      </c>
      <c r="B12278" s="12">
        <f>IFERROR(__xludf.DUMMYFUNCTION("""COMPUTED_VALUE"""),45377.0)</f>
        <v>45377</v>
      </c>
      <c r="C12278" s="13">
        <f>IFERROR(__xludf.DUMMYFUNCTION("""COMPUTED_VALUE"""),0.5416666666666666)</f>
        <v>0.5416666667</v>
      </c>
      <c r="D12278" s="8">
        <f>IFERROR(__xludf.DUMMYFUNCTION("""COMPUTED_VALUE"""),0.078)</f>
        <v>0.078</v>
      </c>
      <c r="E12278" s="8" t="str">
        <f>IFERROR(__xludf.DUMMYFUNCTION("""COMPUTED_VALUE"""),"Real")</f>
        <v>Real</v>
      </c>
      <c r="G12278" s="8">
        <f t="shared" si="1"/>
        <v>3</v>
      </c>
      <c r="H12278" s="14">
        <f t="shared" si="2"/>
        <v>26</v>
      </c>
      <c r="I12278" s="15">
        <f t="shared" si="3"/>
        <v>13</v>
      </c>
    </row>
    <row r="12279">
      <c r="A12279" s="8" t="str">
        <f>IFERROR(__xludf.DUMMYFUNCTION("IF('(INGESTA)Datos_consumo_datadis'!A12279&lt;&gt;"""",SPLIT('(INGESTA)Datos_consumo_datadis'!A:A,"",""),"""")"),"ES0031408323131005HX0F")</f>
        <v>ES0031408323131005HX0F</v>
      </c>
      <c r="B12279" s="12">
        <f>IFERROR(__xludf.DUMMYFUNCTION("""COMPUTED_VALUE"""),45377.0)</f>
        <v>45377</v>
      </c>
      <c r="C12279" s="13">
        <f>IFERROR(__xludf.DUMMYFUNCTION("""COMPUTED_VALUE"""),0.5833333333333334)</f>
        <v>0.5833333333</v>
      </c>
      <c r="D12279" s="8">
        <f>IFERROR(__xludf.DUMMYFUNCTION("""COMPUTED_VALUE"""),0.409)</f>
        <v>0.409</v>
      </c>
      <c r="E12279" s="8" t="str">
        <f>IFERROR(__xludf.DUMMYFUNCTION("""COMPUTED_VALUE"""),"Real")</f>
        <v>Real</v>
      </c>
      <c r="G12279" s="8">
        <f t="shared" si="1"/>
        <v>3</v>
      </c>
      <c r="H12279" s="14">
        <f t="shared" si="2"/>
        <v>26</v>
      </c>
      <c r="I12279" s="15">
        <f t="shared" si="3"/>
        <v>14</v>
      </c>
    </row>
    <row r="12280">
      <c r="A12280" s="8" t="str">
        <f>IFERROR(__xludf.DUMMYFUNCTION("IF('(INGESTA)Datos_consumo_datadis'!A12280&lt;&gt;"""",SPLIT('(INGESTA)Datos_consumo_datadis'!A:A,"",""),"""")"),"ES0031408323131005HX0F")</f>
        <v>ES0031408323131005HX0F</v>
      </c>
      <c r="B12280" s="12">
        <f>IFERROR(__xludf.DUMMYFUNCTION("""COMPUTED_VALUE"""),45377.0)</f>
        <v>45377</v>
      </c>
      <c r="C12280" s="13">
        <f>IFERROR(__xludf.DUMMYFUNCTION("""COMPUTED_VALUE"""),0.625)</f>
        <v>0.625</v>
      </c>
      <c r="D12280" s="8">
        <f>IFERROR(__xludf.DUMMYFUNCTION("""COMPUTED_VALUE"""),0.515)</f>
        <v>0.515</v>
      </c>
      <c r="E12280" s="8" t="str">
        <f>IFERROR(__xludf.DUMMYFUNCTION("""COMPUTED_VALUE"""),"Real")</f>
        <v>Real</v>
      </c>
      <c r="G12280" s="8">
        <f t="shared" si="1"/>
        <v>3</v>
      </c>
      <c r="H12280" s="14">
        <f t="shared" si="2"/>
        <v>26</v>
      </c>
      <c r="I12280" s="15">
        <f t="shared" si="3"/>
        <v>15</v>
      </c>
    </row>
    <row r="12281">
      <c r="A12281" s="8" t="str">
        <f>IFERROR(__xludf.DUMMYFUNCTION("IF('(INGESTA)Datos_consumo_datadis'!A12281&lt;&gt;"""",SPLIT('(INGESTA)Datos_consumo_datadis'!A:A,"",""),"""")"),"ES0031408323131005HX0F")</f>
        <v>ES0031408323131005HX0F</v>
      </c>
      <c r="B12281" s="12">
        <f>IFERROR(__xludf.DUMMYFUNCTION("""COMPUTED_VALUE"""),45377.0)</f>
        <v>45377</v>
      </c>
      <c r="C12281" s="13">
        <f>IFERROR(__xludf.DUMMYFUNCTION("""COMPUTED_VALUE"""),0.6666666666666666)</f>
        <v>0.6666666667</v>
      </c>
      <c r="D12281" s="8">
        <f>IFERROR(__xludf.DUMMYFUNCTION("""COMPUTED_VALUE"""),1.082)</f>
        <v>1.082</v>
      </c>
      <c r="E12281" s="8" t="str">
        <f>IFERROR(__xludf.DUMMYFUNCTION("""COMPUTED_VALUE"""),"Real")</f>
        <v>Real</v>
      </c>
      <c r="G12281" s="8">
        <f t="shared" si="1"/>
        <v>3</v>
      </c>
      <c r="H12281" s="14">
        <f t="shared" si="2"/>
        <v>26</v>
      </c>
      <c r="I12281" s="15">
        <f t="shared" si="3"/>
        <v>16</v>
      </c>
    </row>
    <row r="12282">
      <c r="A12282" s="8" t="str">
        <f>IFERROR(__xludf.DUMMYFUNCTION("IF('(INGESTA)Datos_consumo_datadis'!A12282&lt;&gt;"""",SPLIT('(INGESTA)Datos_consumo_datadis'!A:A,"",""),"""")"),"ES0031408323131005HX0F")</f>
        <v>ES0031408323131005HX0F</v>
      </c>
      <c r="B12282" s="12">
        <f>IFERROR(__xludf.DUMMYFUNCTION("""COMPUTED_VALUE"""),45377.0)</f>
        <v>45377</v>
      </c>
      <c r="C12282" s="13">
        <f>IFERROR(__xludf.DUMMYFUNCTION("""COMPUTED_VALUE"""),0.7083333333333334)</f>
        <v>0.7083333333</v>
      </c>
      <c r="D12282" s="8">
        <f>IFERROR(__xludf.DUMMYFUNCTION("""COMPUTED_VALUE"""),0.924)</f>
        <v>0.924</v>
      </c>
      <c r="E12282" s="8" t="str">
        <f>IFERROR(__xludf.DUMMYFUNCTION("""COMPUTED_VALUE"""),"Real")</f>
        <v>Real</v>
      </c>
      <c r="G12282" s="8">
        <f t="shared" si="1"/>
        <v>3</v>
      </c>
      <c r="H12282" s="14">
        <f t="shared" si="2"/>
        <v>26</v>
      </c>
      <c r="I12282" s="15">
        <f t="shared" si="3"/>
        <v>17</v>
      </c>
    </row>
    <row r="12283">
      <c r="A12283" s="8" t="str">
        <f>IFERROR(__xludf.DUMMYFUNCTION("IF('(INGESTA)Datos_consumo_datadis'!A12283&lt;&gt;"""",SPLIT('(INGESTA)Datos_consumo_datadis'!A:A,"",""),"""")"),"ES0031408323131005HX0F")</f>
        <v>ES0031408323131005HX0F</v>
      </c>
      <c r="B12283" s="12">
        <f>IFERROR(__xludf.DUMMYFUNCTION("""COMPUTED_VALUE"""),45377.0)</f>
        <v>45377</v>
      </c>
      <c r="C12283" s="13">
        <f>IFERROR(__xludf.DUMMYFUNCTION("""COMPUTED_VALUE"""),0.75)</f>
        <v>0.75</v>
      </c>
      <c r="D12283" s="8">
        <f>IFERROR(__xludf.DUMMYFUNCTION("""COMPUTED_VALUE"""),0.844)</f>
        <v>0.844</v>
      </c>
      <c r="E12283" s="8" t="str">
        <f>IFERROR(__xludf.DUMMYFUNCTION("""COMPUTED_VALUE"""),"Real")</f>
        <v>Real</v>
      </c>
      <c r="G12283" s="8">
        <f t="shared" si="1"/>
        <v>3</v>
      </c>
      <c r="H12283" s="14">
        <f t="shared" si="2"/>
        <v>26</v>
      </c>
      <c r="I12283" s="15">
        <f t="shared" si="3"/>
        <v>18</v>
      </c>
    </row>
    <row r="12284">
      <c r="A12284" s="8" t="str">
        <f>IFERROR(__xludf.DUMMYFUNCTION("IF('(INGESTA)Datos_consumo_datadis'!A12284&lt;&gt;"""",SPLIT('(INGESTA)Datos_consumo_datadis'!A:A,"",""),"""")"),"ES0031408323131005HX0F")</f>
        <v>ES0031408323131005HX0F</v>
      </c>
      <c r="B12284" s="12">
        <f>IFERROR(__xludf.DUMMYFUNCTION("""COMPUTED_VALUE"""),45377.0)</f>
        <v>45377</v>
      </c>
      <c r="C12284" s="13">
        <f>IFERROR(__xludf.DUMMYFUNCTION("""COMPUTED_VALUE"""),0.7916666666666666)</f>
        <v>0.7916666667</v>
      </c>
      <c r="D12284" s="8">
        <f>IFERROR(__xludf.DUMMYFUNCTION("""COMPUTED_VALUE"""),0.994)</f>
        <v>0.994</v>
      </c>
      <c r="E12284" s="8" t="str">
        <f>IFERROR(__xludf.DUMMYFUNCTION("""COMPUTED_VALUE"""),"Real")</f>
        <v>Real</v>
      </c>
      <c r="G12284" s="8">
        <f t="shared" si="1"/>
        <v>3</v>
      </c>
      <c r="H12284" s="14">
        <f t="shared" si="2"/>
        <v>26</v>
      </c>
      <c r="I12284" s="15">
        <f t="shared" si="3"/>
        <v>19</v>
      </c>
    </row>
    <row r="12285">
      <c r="A12285" s="8" t="str">
        <f>IFERROR(__xludf.DUMMYFUNCTION("IF('(INGESTA)Datos_consumo_datadis'!A12285&lt;&gt;"""",SPLIT('(INGESTA)Datos_consumo_datadis'!A:A,"",""),"""")"),"ES0031408323131005HX0F")</f>
        <v>ES0031408323131005HX0F</v>
      </c>
      <c r="B12285" s="12">
        <f>IFERROR(__xludf.DUMMYFUNCTION("""COMPUTED_VALUE"""),45377.0)</f>
        <v>45377</v>
      </c>
      <c r="C12285" s="13">
        <f>IFERROR(__xludf.DUMMYFUNCTION("""COMPUTED_VALUE"""),0.8333333333333334)</f>
        <v>0.8333333333</v>
      </c>
      <c r="D12285" s="8">
        <f>IFERROR(__xludf.DUMMYFUNCTION("""COMPUTED_VALUE"""),0.235)</f>
        <v>0.235</v>
      </c>
      <c r="E12285" s="8" t="str">
        <f>IFERROR(__xludf.DUMMYFUNCTION("""COMPUTED_VALUE"""),"Real")</f>
        <v>Real</v>
      </c>
      <c r="G12285" s="8">
        <f t="shared" si="1"/>
        <v>3</v>
      </c>
      <c r="H12285" s="14">
        <f t="shared" si="2"/>
        <v>26</v>
      </c>
      <c r="I12285" s="15">
        <f t="shared" si="3"/>
        <v>20</v>
      </c>
    </row>
    <row r="12286">
      <c r="A12286" s="8" t="str">
        <f>IFERROR(__xludf.DUMMYFUNCTION("IF('(INGESTA)Datos_consumo_datadis'!A12286&lt;&gt;"""",SPLIT('(INGESTA)Datos_consumo_datadis'!A:A,"",""),"""")"),"ES0031408323131005HX0F")</f>
        <v>ES0031408323131005HX0F</v>
      </c>
      <c r="B12286" s="12">
        <f>IFERROR(__xludf.DUMMYFUNCTION("""COMPUTED_VALUE"""),45377.0)</f>
        <v>45377</v>
      </c>
      <c r="C12286" s="13">
        <f>IFERROR(__xludf.DUMMYFUNCTION("""COMPUTED_VALUE"""),0.875)</f>
        <v>0.875</v>
      </c>
      <c r="D12286" s="8">
        <f>IFERROR(__xludf.DUMMYFUNCTION("""COMPUTED_VALUE"""),0.231)</f>
        <v>0.231</v>
      </c>
      <c r="E12286" s="8" t="str">
        <f>IFERROR(__xludf.DUMMYFUNCTION("""COMPUTED_VALUE"""),"Real")</f>
        <v>Real</v>
      </c>
      <c r="G12286" s="8">
        <f t="shared" si="1"/>
        <v>3</v>
      </c>
      <c r="H12286" s="14">
        <f t="shared" si="2"/>
        <v>26</v>
      </c>
      <c r="I12286" s="15">
        <f t="shared" si="3"/>
        <v>21</v>
      </c>
    </row>
    <row r="12287">
      <c r="A12287" s="8" t="str">
        <f>IFERROR(__xludf.DUMMYFUNCTION("IF('(INGESTA)Datos_consumo_datadis'!A12287&lt;&gt;"""",SPLIT('(INGESTA)Datos_consumo_datadis'!A:A,"",""),"""")"),"ES0031408323131005HX0F")</f>
        <v>ES0031408323131005HX0F</v>
      </c>
      <c r="B12287" s="12">
        <f>IFERROR(__xludf.DUMMYFUNCTION("""COMPUTED_VALUE"""),45377.0)</f>
        <v>45377</v>
      </c>
      <c r="C12287" s="13">
        <f>IFERROR(__xludf.DUMMYFUNCTION("""COMPUTED_VALUE"""),0.9166666666666666)</f>
        <v>0.9166666667</v>
      </c>
      <c r="D12287" s="8">
        <f>IFERROR(__xludf.DUMMYFUNCTION("""COMPUTED_VALUE"""),1.086)</f>
        <v>1.086</v>
      </c>
      <c r="E12287" s="8" t="str">
        <f>IFERROR(__xludf.DUMMYFUNCTION("""COMPUTED_VALUE"""),"Real")</f>
        <v>Real</v>
      </c>
      <c r="G12287" s="8">
        <f t="shared" si="1"/>
        <v>3</v>
      </c>
      <c r="H12287" s="14">
        <f t="shared" si="2"/>
        <v>26</v>
      </c>
      <c r="I12287" s="15">
        <f t="shared" si="3"/>
        <v>22</v>
      </c>
    </row>
    <row r="12288">
      <c r="A12288" s="8" t="str">
        <f>IFERROR(__xludf.DUMMYFUNCTION("IF('(INGESTA)Datos_consumo_datadis'!A12288&lt;&gt;"""",SPLIT('(INGESTA)Datos_consumo_datadis'!A:A,"",""),"""")"),"ES0031408323131005HX0F")</f>
        <v>ES0031408323131005HX0F</v>
      </c>
      <c r="B12288" s="12">
        <f>IFERROR(__xludf.DUMMYFUNCTION("""COMPUTED_VALUE"""),45377.0)</f>
        <v>45377</v>
      </c>
      <c r="C12288" s="13">
        <f>IFERROR(__xludf.DUMMYFUNCTION("""COMPUTED_VALUE"""),0.9583333333333334)</f>
        <v>0.9583333333</v>
      </c>
      <c r="D12288" s="8">
        <f>IFERROR(__xludf.DUMMYFUNCTION("""COMPUTED_VALUE"""),1.206)</f>
        <v>1.206</v>
      </c>
      <c r="E12288" s="8" t="str">
        <f>IFERROR(__xludf.DUMMYFUNCTION("""COMPUTED_VALUE"""),"Real")</f>
        <v>Real</v>
      </c>
      <c r="G12288" s="8">
        <f t="shared" si="1"/>
        <v>3</v>
      </c>
      <c r="H12288" s="14">
        <f t="shared" si="2"/>
        <v>26</v>
      </c>
      <c r="I12288" s="15">
        <f t="shared" si="3"/>
        <v>23</v>
      </c>
    </row>
    <row r="12289">
      <c r="A12289" s="8" t="str">
        <f>IFERROR(__xludf.DUMMYFUNCTION("IF('(INGESTA)Datos_consumo_datadis'!A12289&lt;&gt;"""",SPLIT('(INGESTA)Datos_consumo_datadis'!A:A,"",""),"""")"),"ES0031408323131005HX0F")</f>
        <v>ES0031408323131005HX0F</v>
      </c>
      <c r="B12289" s="12">
        <f>IFERROR(__xludf.DUMMYFUNCTION("""COMPUTED_VALUE"""),45377.0)</f>
        <v>45377</v>
      </c>
      <c r="C12289" s="16">
        <f>IFERROR(__xludf.DUMMYFUNCTION("""COMPUTED_VALUE"""),1.0)</f>
        <v>1</v>
      </c>
      <c r="D12289" s="8">
        <f>IFERROR(__xludf.DUMMYFUNCTION("""COMPUTED_VALUE"""),1.604)</f>
        <v>1.604</v>
      </c>
      <c r="E12289" s="8" t="str">
        <f>IFERROR(__xludf.DUMMYFUNCTION("""COMPUTED_VALUE"""),"Real")</f>
        <v>Real</v>
      </c>
      <c r="G12289" s="8">
        <f t="shared" si="1"/>
        <v>3</v>
      </c>
      <c r="H12289" s="14">
        <f t="shared" si="2"/>
        <v>26</v>
      </c>
      <c r="I12289" s="15">
        <f t="shared" si="3"/>
        <v>0</v>
      </c>
    </row>
    <row r="12290">
      <c r="A12290" s="8" t="str">
        <f>IFERROR(__xludf.DUMMYFUNCTION("IF('(INGESTA)Datos_consumo_datadis'!A12290&lt;&gt;"""",SPLIT('(INGESTA)Datos_consumo_datadis'!A:A,"",""),"""")"),"ES0031408323131005HX0F")</f>
        <v>ES0031408323131005HX0F</v>
      </c>
      <c r="B12290" s="12">
        <f>IFERROR(__xludf.DUMMYFUNCTION("""COMPUTED_VALUE"""),45378.0)</f>
        <v>45378</v>
      </c>
      <c r="C12290" s="13">
        <f>IFERROR(__xludf.DUMMYFUNCTION("""COMPUTED_VALUE"""),0.041666666666666664)</f>
        <v>0.04166666667</v>
      </c>
      <c r="D12290" s="8">
        <f>IFERROR(__xludf.DUMMYFUNCTION("""COMPUTED_VALUE"""),1.444)</f>
        <v>1.444</v>
      </c>
      <c r="E12290" s="8" t="str">
        <f>IFERROR(__xludf.DUMMYFUNCTION("""COMPUTED_VALUE"""),"Real")</f>
        <v>Real</v>
      </c>
      <c r="G12290" s="8">
        <f t="shared" si="1"/>
        <v>3</v>
      </c>
      <c r="H12290" s="14">
        <f t="shared" si="2"/>
        <v>27</v>
      </c>
      <c r="I12290" s="15">
        <f t="shared" si="3"/>
        <v>1</v>
      </c>
    </row>
    <row r="12291">
      <c r="A12291" s="8" t="str">
        <f>IFERROR(__xludf.DUMMYFUNCTION("IF('(INGESTA)Datos_consumo_datadis'!A12291&lt;&gt;"""",SPLIT('(INGESTA)Datos_consumo_datadis'!A:A,"",""),"""")"),"ES0031408323131005HX0F")</f>
        <v>ES0031408323131005HX0F</v>
      </c>
      <c r="B12291" s="12">
        <f>IFERROR(__xludf.DUMMYFUNCTION("""COMPUTED_VALUE"""),45378.0)</f>
        <v>45378</v>
      </c>
      <c r="C12291" s="13">
        <f>IFERROR(__xludf.DUMMYFUNCTION("""COMPUTED_VALUE"""),0.08333333333333333)</f>
        <v>0.08333333333</v>
      </c>
      <c r="D12291" s="8">
        <f>IFERROR(__xludf.DUMMYFUNCTION("""COMPUTED_VALUE"""),0.068)</f>
        <v>0.068</v>
      </c>
      <c r="E12291" s="8" t="str">
        <f>IFERROR(__xludf.DUMMYFUNCTION("""COMPUTED_VALUE"""),"Real")</f>
        <v>Real</v>
      </c>
      <c r="G12291" s="8">
        <f t="shared" si="1"/>
        <v>3</v>
      </c>
      <c r="H12291" s="14">
        <f t="shared" si="2"/>
        <v>27</v>
      </c>
      <c r="I12291" s="15">
        <f t="shared" si="3"/>
        <v>2</v>
      </c>
    </row>
    <row r="12292">
      <c r="A12292" s="8" t="str">
        <f>IFERROR(__xludf.DUMMYFUNCTION("IF('(INGESTA)Datos_consumo_datadis'!A12292&lt;&gt;"""",SPLIT('(INGESTA)Datos_consumo_datadis'!A:A,"",""),"""")"),"ES0031408323131005HX0F")</f>
        <v>ES0031408323131005HX0F</v>
      </c>
      <c r="B12292" s="12">
        <f>IFERROR(__xludf.DUMMYFUNCTION("""COMPUTED_VALUE"""),45378.0)</f>
        <v>45378</v>
      </c>
      <c r="C12292" s="13">
        <f>IFERROR(__xludf.DUMMYFUNCTION("""COMPUTED_VALUE"""),0.125)</f>
        <v>0.125</v>
      </c>
      <c r="D12292" s="8">
        <f>IFERROR(__xludf.DUMMYFUNCTION("""COMPUTED_VALUE"""),0.064)</f>
        <v>0.064</v>
      </c>
      <c r="E12292" s="8" t="str">
        <f>IFERROR(__xludf.DUMMYFUNCTION("""COMPUTED_VALUE"""),"Real")</f>
        <v>Real</v>
      </c>
      <c r="G12292" s="8">
        <f t="shared" si="1"/>
        <v>3</v>
      </c>
      <c r="H12292" s="14">
        <f t="shared" si="2"/>
        <v>27</v>
      </c>
      <c r="I12292" s="15">
        <f t="shared" si="3"/>
        <v>3</v>
      </c>
    </row>
    <row r="12293">
      <c r="A12293" s="8" t="str">
        <f>IFERROR(__xludf.DUMMYFUNCTION("IF('(INGESTA)Datos_consumo_datadis'!A12293&lt;&gt;"""",SPLIT('(INGESTA)Datos_consumo_datadis'!A:A,"",""),"""")"),"ES0031408323131005HX0F")</f>
        <v>ES0031408323131005HX0F</v>
      </c>
      <c r="B12293" s="12">
        <f>IFERROR(__xludf.DUMMYFUNCTION("""COMPUTED_VALUE"""),45378.0)</f>
        <v>45378</v>
      </c>
      <c r="C12293" s="13">
        <f>IFERROR(__xludf.DUMMYFUNCTION("""COMPUTED_VALUE"""),0.16666666666666666)</f>
        <v>0.1666666667</v>
      </c>
      <c r="D12293" s="8">
        <f>IFERROR(__xludf.DUMMYFUNCTION("""COMPUTED_VALUE"""),0.057)</f>
        <v>0.057</v>
      </c>
      <c r="E12293" s="8" t="str">
        <f>IFERROR(__xludf.DUMMYFUNCTION("""COMPUTED_VALUE"""),"Real")</f>
        <v>Real</v>
      </c>
      <c r="G12293" s="8">
        <f t="shared" si="1"/>
        <v>3</v>
      </c>
      <c r="H12293" s="14">
        <f t="shared" si="2"/>
        <v>27</v>
      </c>
      <c r="I12293" s="15">
        <f t="shared" si="3"/>
        <v>4</v>
      </c>
    </row>
    <row r="12294">
      <c r="A12294" s="8" t="str">
        <f>IFERROR(__xludf.DUMMYFUNCTION("IF('(INGESTA)Datos_consumo_datadis'!A12294&lt;&gt;"""",SPLIT('(INGESTA)Datos_consumo_datadis'!A:A,"",""),"""")"),"ES0031408323131005HX0F")</f>
        <v>ES0031408323131005HX0F</v>
      </c>
      <c r="B12294" s="12">
        <f>IFERROR(__xludf.DUMMYFUNCTION("""COMPUTED_VALUE"""),45378.0)</f>
        <v>45378</v>
      </c>
      <c r="C12294" s="13">
        <f>IFERROR(__xludf.DUMMYFUNCTION("""COMPUTED_VALUE"""),0.20833333333333334)</f>
        <v>0.2083333333</v>
      </c>
      <c r="D12294" s="8">
        <f>IFERROR(__xludf.DUMMYFUNCTION("""COMPUTED_VALUE"""),0.064)</f>
        <v>0.064</v>
      </c>
      <c r="E12294" s="8" t="str">
        <f>IFERROR(__xludf.DUMMYFUNCTION("""COMPUTED_VALUE"""),"Real")</f>
        <v>Real</v>
      </c>
      <c r="G12294" s="8">
        <f t="shared" si="1"/>
        <v>3</v>
      </c>
      <c r="H12294" s="14">
        <f t="shared" si="2"/>
        <v>27</v>
      </c>
      <c r="I12294" s="15">
        <f t="shared" si="3"/>
        <v>5</v>
      </c>
    </row>
    <row r="12295">
      <c r="A12295" s="8" t="str">
        <f>IFERROR(__xludf.DUMMYFUNCTION("IF('(INGESTA)Datos_consumo_datadis'!A12295&lt;&gt;"""",SPLIT('(INGESTA)Datos_consumo_datadis'!A:A,"",""),"""")"),"ES0031408323131005HX0F")</f>
        <v>ES0031408323131005HX0F</v>
      </c>
      <c r="B12295" s="12">
        <f>IFERROR(__xludf.DUMMYFUNCTION("""COMPUTED_VALUE"""),45378.0)</f>
        <v>45378</v>
      </c>
      <c r="C12295" s="13">
        <f>IFERROR(__xludf.DUMMYFUNCTION("""COMPUTED_VALUE"""),0.25)</f>
        <v>0.25</v>
      </c>
      <c r="D12295" s="8">
        <f>IFERROR(__xludf.DUMMYFUNCTION("""COMPUTED_VALUE"""),0.33)</f>
        <v>0.33</v>
      </c>
      <c r="E12295" s="8" t="str">
        <f>IFERROR(__xludf.DUMMYFUNCTION("""COMPUTED_VALUE"""),"Real")</f>
        <v>Real</v>
      </c>
      <c r="G12295" s="8">
        <f t="shared" si="1"/>
        <v>3</v>
      </c>
      <c r="H12295" s="14">
        <f t="shared" si="2"/>
        <v>27</v>
      </c>
      <c r="I12295" s="15">
        <f t="shared" si="3"/>
        <v>6</v>
      </c>
    </row>
    <row r="12296">
      <c r="A12296" s="8" t="str">
        <f>IFERROR(__xludf.DUMMYFUNCTION("IF('(INGESTA)Datos_consumo_datadis'!A12296&lt;&gt;"""",SPLIT('(INGESTA)Datos_consumo_datadis'!A:A,"",""),"""")"),"ES0031408323131005HX0F")</f>
        <v>ES0031408323131005HX0F</v>
      </c>
      <c r="B12296" s="12">
        <f>IFERROR(__xludf.DUMMYFUNCTION("""COMPUTED_VALUE"""),45378.0)</f>
        <v>45378</v>
      </c>
      <c r="C12296" s="13">
        <f>IFERROR(__xludf.DUMMYFUNCTION("""COMPUTED_VALUE"""),0.2916666666666667)</f>
        <v>0.2916666667</v>
      </c>
      <c r="D12296" s="8">
        <f>IFERROR(__xludf.DUMMYFUNCTION("""COMPUTED_VALUE"""),0.037)</f>
        <v>0.037</v>
      </c>
      <c r="E12296" s="8" t="str">
        <f>IFERROR(__xludf.DUMMYFUNCTION("""COMPUTED_VALUE"""),"Real")</f>
        <v>Real</v>
      </c>
      <c r="G12296" s="8">
        <f t="shared" si="1"/>
        <v>3</v>
      </c>
      <c r="H12296" s="14">
        <f t="shared" si="2"/>
        <v>27</v>
      </c>
      <c r="I12296" s="15">
        <f t="shared" si="3"/>
        <v>7</v>
      </c>
    </row>
    <row r="12297">
      <c r="A12297" s="8" t="str">
        <f>IFERROR(__xludf.DUMMYFUNCTION("IF('(INGESTA)Datos_consumo_datadis'!A12297&lt;&gt;"""",SPLIT('(INGESTA)Datos_consumo_datadis'!A:A,"",""),"""")"),"ES0031408323131005HX0F")</f>
        <v>ES0031408323131005HX0F</v>
      </c>
      <c r="B12297" s="12">
        <f>IFERROR(__xludf.DUMMYFUNCTION("""COMPUTED_VALUE"""),45378.0)</f>
        <v>45378</v>
      </c>
      <c r="C12297" s="13">
        <f>IFERROR(__xludf.DUMMYFUNCTION("""COMPUTED_VALUE"""),0.3333333333333333)</f>
        <v>0.3333333333</v>
      </c>
      <c r="D12297" s="8">
        <f>IFERROR(__xludf.DUMMYFUNCTION("""COMPUTED_VALUE"""),0.054)</f>
        <v>0.054</v>
      </c>
      <c r="E12297" s="8" t="str">
        <f>IFERROR(__xludf.DUMMYFUNCTION("""COMPUTED_VALUE"""),"Real")</f>
        <v>Real</v>
      </c>
      <c r="G12297" s="8">
        <f t="shared" si="1"/>
        <v>3</v>
      </c>
      <c r="H12297" s="14">
        <f t="shared" si="2"/>
        <v>27</v>
      </c>
      <c r="I12297" s="15">
        <f t="shared" si="3"/>
        <v>8</v>
      </c>
    </row>
    <row r="12298">
      <c r="A12298" s="8" t="str">
        <f>IFERROR(__xludf.DUMMYFUNCTION("IF('(INGESTA)Datos_consumo_datadis'!A12298&lt;&gt;"""",SPLIT('(INGESTA)Datos_consumo_datadis'!A:A,"",""),"""")"),"ES0031408323131005HX0F")</f>
        <v>ES0031408323131005HX0F</v>
      </c>
      <c r="B12298" s="12">
        <f>IFERROR(__xludf.DUMMYFUNCTION("""COMPUTED_VALUE"""),45378.0)</f>
        <v>45378</v>
      </c>
      <c r="C12298" s="13">
        <f>IFERROR(__xludf.DUMMYFUNCTION("""COMPUTED_VALUE"""),0.375)</f>
        <v>0.375</v>
      </c>
      <c r="D12298" s="8">
        <f>IFERROR(__xludf.DUMMYFUNCTION("""COMPUTED_VALUE"""),0.501)</f>
        <v>0.501</v>
      </c>
      <c r="E12298" s="8" t="str">
        <f>IFERROR(__xludf.DUMMYFUNCTION("""COMPUTED_VALUE"""),"Real")</f>
        <v>Real</v>
      </c>
      <c r="G12298" s="8">
        <f t="shared" si="1"/>
        <v>3</v>
      </c>
      <c r="H12298" s="14">
        <f t="shared" si="2"/>
        <v>27</v>
      </c>
      <c r="I12298" s="15">
        <f t="shared" si="3"/>
        <v>9</v>
      </c>
    </row>
    <row r="12299">
      <c r="A12299" s="8" t="str">
        <f>IFERROR(__xludf.DUMMYFUNCTION("IF('(INGESTA)Datos_consumo_datadis'!A12299&lt;&gt;"""",SPLIT('(INGESTA)Datos_consumo_datadis'!A:A,"",""),"""")"),"ES0031408323131005HX0F")</f>
        <v>ES0031408323131005HX0F</v>
      </c>
      <c r="B12299" s="12">
        <f>IFERROR(__xludf.DUMMYFUNCTION("""COMPUTED_VALUE"""),45378.0)</f>
        <v>45378</v>
      </c>
      <c r="C12299" s="13">
        <f>IFERROR(__xludf.DUMMYFUNCTION("""COMPUTED_VALUE"""),0.4166666666666667)</f>
        <v>0.4166666667</v>
      </c>
      <c r="D12299" s="8">
        <f>IFERROR(__xludf.DUMMYFUNCTION("""COMPUTED_VALUE"""),0.382)</f>
        <v>0.382</v>
      </c>
      <c r="E12299" s="8" t="str">
        <f>IFERROR(__xludf.DUMMYFUNCTION("""COMPUTED_VALUE"""),"Real")</f>
        <v>Real</v>
      </c>
      <c r="G12299" s="8">
        <f t="shared" si="1"/>
        <v>3</v>
      </c>
      <c r="H12299" s="14">
        <f t="shared" si="2"/>
        <v>27</v>
      </c>
      <c r="I12299" s="15">
        <f t="shared" si="3"/>
        <v>10</v>
      </c>
    </row>
    <row r="12300">
      <c r="A12300" s="8" t="str">
        <f>IFERROR(__xludf.DUMMYFUNCTION("IF('(INGESTA)Datos_consumo_datadis'!A12300&lt;&gt;"""",SPLIT('(INGESTA)Datos_consumo_datadis'!A:A,"",""),"""")"),"ES0031408323131005HX0F")</f>
        <v>ES0031408323131005HX0F</v>
      </c>
      <c r="B12300" s="12">
        <f>IFERROR(__xludf.DUMMYFUNCTION("""COMPUTED_VALUE"""),45378.0)</f>
        <v>45378</v>
      </c>
      <c r="C12300" s="13">
        <f>IFERROR(__xludf.DUMMYFUNCTION("""COMPUTED_VALUE"""),0.4583333333333333)</f>
        <v>0.4583333333</v>
      </c>
      <c r="D12300" s="8">
        <f>IFERROR(__xludf.DUMMYFUNCTION("""COMPUTED_VALUE"""),0.055)</f>
        <v>0.055</v>
      </c>
      <c r="E12300" s="8" t="str">
        <f>IFERROR(__xludf.DUMMYFUNCTION("""COMPUTED_VALUE"""),"Real")</f>
        <v>Real</v>
      </c>
      <c r="G12300" s="8">
        <f t="shared" si="1"/>
        <v>3</v>
      </c>
      <c r="H12300" s="14">
        <f t="shared" si="2"/>
        <v>27</v>
      </c>
      <c r="I12300" s="15">
        <f t="shared" si="3"/>
        <v>11</v>
      </c>
    </row>
    <row r="12301">
      <c r="A12301" s="8" t="str">
        <f>IFERROR(__xludf.DUMMYFUNCTION("IF('(INGESTA)Datos_consumo_datadis'!A12301&lt;&gt;"""",SPLIT('(INGESTA)Datos_consumo_datadis'!A:A,"",""),"""")"),"ES0031408323131005HX0F")</f>
        <v>ES0031408323131005HX0F</v>
      </c>
      <c r="B12301" s="12">
        <f>IFERROR(__xludf.DUMMYFUNCTION("""COMPUTED_VALUE"""),45378.0)</f>
        <v>45378</v>
      </c>
      <c r="C12301" s="13">
        <f>IFERROR(__xludf.DUMMYFUNCTION("""COMPUTED_VALUE"""),0.5)</f>
        <v>0.5</v>
      </c>
      <c r="D12301" s="8">
        <f>IFERROR(__xludf.DUMMYFUNCTION("""COMPUTED_VALUE"""),0.059)</f>
        <v>0.059</v>
      </c>
      <c r="E12301" s="8" t="str">
        <f>IFERROR(__xludf.DUMMYFUNCTION("""COMPUTED_VALUE"""),"Real")</f>
        <v>Real</v>
      </c>
      <c r="G12301" s="8">
        <f t="shared" si="1"/>
        <v>3</v>
      </c>
      <c r="H12301" s="14">
        <f t="shared" si="2"/>
        <v>27</v>
      </c>
      <c r="I12301" s="15">
        <f t="shared" si="3"/>
        <v>12</v>
      </c>
    </row>
    <row r="12302">
      <c r="A12302" s="8" t="str">
        <f>IFERROR(__xludf.DUMMYFUNCTION("IF('(INGESTA)Datos_consumo_datadis'!A12302&lt;&gt;"""",SPLIT('(INGESTA)Datos_consumo_datadis'!A:A,"",""),"""")"),"ES0031408323131005HX0F")</f>
        <v>ES0031408323131005HX0F</v>
      </c>
      <c r="B12302" s="12">
        <f>IFERROR(__xludf.DUMMYFUNCTION("""COMPUTED_VALUE"""),45378.0)</f>
        <v>45378</v>
      </c>
      <c r="C12302" s="13">
        <f>IFERROR(__xludf.DUMMYFUNCTION("""COMPUTED_VALUE"""),0.5416666666666666)</f>
        <v>0.5416666667</v>
      </c>
      <c r="D12302" s="8">
        <f>IFERROR(__xludf.DUMMYFUNCTION("""COMPUTED_VALUE"""),0.055)</f>
        <v>0.055</v>
      </c>
      <c r="E12302" s="8" t="str">
        <f>IFERROR(__xludf.DUMMYFUNCTION("""COMPUTED_VALUE"""),"Real")</f>
        <v>Real</v>
      </c>
      <c r="G12302" s="8">
        <f t="shared" si="1"/>
        <v>3</v>
      </c>
      <c r="H12302" s="14">
        <f t="shared" si="2"/>
        <v>27</v>
      </c>
      <c r="I12302" s="15">
        <f t="shared" si="3"/>
        <v>13</v>
      </c>
    </row>
    <row r="12303">
      <c r="A12303" s="8" t="str">
        <f>IFERROR(__xludf.DUMMYFUNCTION("IF('(INGESTA)Datos_consumo_datadis'!A12303&lt;&gt;"""",SPLIT('(INGESTA)Datos_consumo_datadis'!A:A,"",""),"""")"),"ES0031408323131005HX0F")</f>
        <v>ES0031408323131005HX0F</v>
      </c>
      <c r="B12303" s="12">
        <f>IFERROR(__xludf.DUMMYFUNCTION("""COMPUTED_VALUE"""),45378.0)</f>
        <v>45378</v>
      </c>
      <c r="C12303" s="13">
        <f>IFERROR(__xludf.DUMMYFUNCTION("""COMPUTED_VALUE"""),0.5833333333333334)</f>
        <v>0.5833333333</v>
      </c>
      <c r="D12303" s="8">
        <f>IFERROR(__xludf.DUMMYFUNCTION("""COMPUTED_VALUE"""),0.386)</f>
        <v>0.386</v>
      </c>
      <c r="E12303" s="8" t="str">
        <f>IFERROR(__xludf.DUMMYFUNCTION("""COMPUTED_VALUE"""),"Real")</f>
        <v>Real</v>
      </c>
      <c r="G12303" s="8">
        <f t="shared" si="1"/>
        <v>3</v>
      </c>
      <c r="H12303" s="14">
        <f t="shared" si="2"/>
        <v>27</v>
      </c>
      <c r="I12303" s="15">
        <f t="shared" si="3"/>
        <v>14</v>
      </c>
    </row>
    <row r="12304">
      <c r="A12304" s="8" t="str">
        <f>IFERROR(__xludf.DUMMYFUNCTION("IF('(INGESTA)Datos_consumo_datadis'!A12304&lt;&gt;"""",SPLIT('(INGESTA)Datos_consumo_datadis'!A:A,"",""),"""")"),"ES0031408323131005HX0F")</f>
        <v>ES0031408323131005HX0F</v>
      </c>
      <c r="B12304" s="12">
        <f>IFERROR(__xludf.DUMMYFUNCTION("""COMPUTED_VALUE"""),45378.0)</f>
        <v>45378</v>
      </c>
      <c r="C12304" s="13">
        <f>IFERROR(__xludf.DUMMYFUNCTION("""COMPUTED_VALUE"""),0.625)</f>
        <v>0.625</v>
      </c>
      <c r="D12304" s="8">
        <f>IFERROR(__xludf.DUMMYFUNCTION("""COMPUTED_VALUE"""),0.103)</f>
        <v>0.103</v>
      </c>
      <c r="E12304" s="8" t="str">
        <f>IFERROR(__xludf.DUMMYFUNCTION("""COMPUTED_VALUE"""),"Real")</f>
        <v>Real</v>
      </c>
      <c r="G12304" s="8">
        <f t="shared" si="1"/>
        <v>3</v>
      </c>
      <c r="H12304" s="14">
        <f t="shared" si="2"/>
        <v>27</v>
      </c>
      <c r="I12304" s="15">
        <f t="shared" si="3"/>
        <v>15</v>
      </c>
    </row>
    <row r="12305">
      <c r="A12305" s="8" t="str">
        <f>IFERROR(__xludf.DUMMYFUNCTION("IF('(INGESTA)Datos_consumo_datadis'!A12305&lt;&gt;"""",SPLIT('(INGESTA)Datos_consumo_datadis'!A:A,"",""),"""")"),"ES0031408323131005HX0F")</f>
        <v>ES0031408323131005HX0F</v>
      </c>
      <c r="B12305" s="12">
        <f>IFERROR(__xludf.DUMMYFUNCTION("""COMPUTED_VALUE"""),45378.0)</f>
        <v>45378</v>
      </c>
      <c r="C12305" s="13">
        <f>IFERROR(__xludf.DUMMYFUNCTION("""COMPUTED_VALUE"""),0.6666666666666666)</f>
        <v>0.6666666667</v>
      </c>
      <c r="D12305" s="8">
        <f>IFERROR(__xludf.DUMMYFUNCTION("""COMPUTED_VALUE"""),0.05)</f>
        <v>0.05</v>
      </c>
      <c r="E12305" s="8" t="str">
        <f>IFERROR(__xludf.DUMMYFUNCTION("""COMPUTED_VALUE"""),"Real")</f>
        <v>Real</v>
      </c>
      <c r="G12305" s="8">
        <f t="shared" si="1"/>
        <v>3</v>
      </c>
      <c r="H12305" s="14">
        <f t="shared" si="2"/>
        <v>27</v>
      </c>
      <c r="I12305" s="15">
        <f t="shared" si="3"/>
        <v>16</v>
      </c>
    </row>
    <row r="12306">
      <c r="A12306" s="8" t="str">
        <f>IFERROR(__xludf.DUMMYFUNCTION("IF('(INGESTA)Datos_consumo_datadis'!A12306&lt;&gt;"""",SPLIT('(INGESTA)Datos_consumo_datadis'!A:A,"",""),"""")"),"ES0031408323131005HX0F")</f>
        <v>ES0031408323131005HX0F</v>
      </c>
      <c r="B12306" s="12">
        <f>IFERROR(__xludf.DUMMYFUNCTION("""COMPUTED_VALUE"""),45378.0)</f>
        <v>45378</v>
      </c>
      <c r="C12306" s="13">
        <f>IFERROR(__xludf.DUMMYFUNCTION("""COMPUTED_VALUE"""),0.7083333333333334)</f>
        <v>0.7083333333</v>
      </c>
      <c r="D12306" s="8">
        <f>IFERROR(__xludf.DUMMYFUNCTION("""COMPUTED_VALUE"""),0.066)</f>
        <v>0.066</v>
      </c>
      <c r="E12306" s="8" t="str">
        <f>IFERROR(__xludf.DUMMYFUNCTION("""COMPUTED_VALUE"""),"Real")</f>
        <v>Real</v>
      </c>
      <c r="G12306" s="8">
        <f t="shared" si="1"/>
        <v>3</v>
      </c>
      <c r="H12306" s="14">
        <f t="shared" si="2"/>
        <v>27</v>
      </c>
      <c r="I12306" s="15">
        <f t="shared" si="3"/>
        <v>17</v>
      </c>
    </row>
    <row r="12307">
      <c r="A12307" s="8" t="str">
        <f>IFERROR(__xludf.DUMMYFUNCTION("IF('(INGESTA)Datos_consumo_datadis'!A12307&lt;&gt;"""",SPLIT('(INGESTA)Datos_consumo_datadis'!A:A,"",""),"""")"),"ES0031408323131005HX0F")</f>
        <v>ES0031408323131005HX0F</v>
      </c>
      <c r="B12307" s="12">
        <f>IFERROR(__xludf.DUMMYFUNCTION("""COMPUTED_VALUE"""),45378.0)</f>
        <v>45378</v>
      </c>
      <c r="C12307" s="13">
        <f>IFERROR(__xludf.DUMMYFUNCTION("""COMPUTED_VALUE"""),0.75)</f>
        <v>0.75</v>
      </c>
      <c r="D12307" s="8">
        <f>IFERROR(__xludf.DUMMYFUNCTION("""COMPUTED_VALUE"""),0.043)</f>
        <v>0.043</v>
      </c>
      <c r="E12307" s="8" t="str">
        <f>IFERROR(__xludf.DUMMYFUNCTION("""COMPUTED_VALUE"""),"Real")</f>
        <v>Real</v>
      </c>
      <c r="G12307" s="8">
        <f t="shared" si="1"/>
        <v>3</v>
      </c>
      <c r="H12307" s="14">
        <f t="shared" si="2"/>
        <v>27</v>
      </c>
      <c r="I12307" s="15">
        <f t="shared" si="3"/>
        <v>18</v>
      </c>
    </row>
    <row r="12308">
      <c r="A12308" s="8" t="str">
        <f>IFERROR(__xludf.DUMMYFUNCTION("IF('(INGESTA)Datos_consumo_datadis'!A12308&lt;&gt;"""",SPLIT('(INGESTA)Datos_consumo_datadis'!A:A,"",""),"""")"),"ES0031408323131005HX0F")</f>
        <v>ES0031408323131005HX0F</v>
      </c>
      <c r="B12308" s="12">
        <f>IFERROR(__xludf.DUMMYFUNCTION("""COMPUTED_VALUE"""),45378.0)</f>
        <v>45378</v>
      </c>
      <c r="C12308" s="13">
        <f>IFERROR(__xludf.DUMMYFUNCTION("""COMPUTED_VALUE"""),0.7916666666666666)</f>
        <v>0.7916666667</v>
      </c>
      <c r="D12308" s="8">
        <f>IFERROR(__xludf.DUMMYFUNCTION("""COMPUTED_VALUE"""),0.593)</f>
        <v>0.593</v>
      </c>
      <c r="E12308" s="8" t="str">
        <f>IFERROR(__xludf.DUMMYFUNCTION("""COMPUTED_VALUE"""),"Real")</f>
        <v>Real</v>
      </c>
      <c r="G12308" s="8">
        <f t="shared" si="1"/>
        <v>3</v>
      </c>
      <c r="H12308" s="14">
        <f t="shared" si="2"/>
        <v>27</v>
      </c>
      <c r="I12308" s="15">
        <f t="shared" si="3"/>
        <v>19</v>
      </c>
    </row>
    <row r="12309">
      <c r="A12309" s="8" t="str">
        <f>IFERROR(__xludf.DUMMYFUNCTION("IF('(INGESTA)Datos_consumo_datadis'!A12309&lt;&gt;"""",SPLIT('(INGESTA)Datos_consumo_datadis'!A:A,"",""),"""")"),"ES0031408323131005HX0F")</f>
        <v>ES0031408323131005HX0F</v>
      </c>
      <c r="B12309" s="12">
        <f>IFERROR(__xludf.DUMMYFUNCTION("""COMPUTED_VALUE"""),45378.0)</f>
        <v>45378</v>
      </c>
      <c r="C12309" s="13">
        <f>IFERROR(__xludf.DUMMYFUNCTION("""COMPUTED_VALUE"""),0.8333333333333334)</f>
        <v>0.8333333333</v>
      </c>
      <c r="D12309" s="8">
        <f>IFERROR(__xludf.DUMMYFUNCTION("""COMPUTED_VALUE"""),1.984)</f>
        <v>1.984</v>
      </c>
      <c r="E12309" s="8" t="str">
        <f>IFERROR(__xludf.DUMMYFUNCTION("""COMPUTED_VALUE"""),"Real")</f>
        <v>Real</v>
      </c>
      <c r="G12309" s="8">
        <f t="shared" si="1"/>
        <v>3</v>
      </c>
      <c r="H12309" s="14">
        <f t="shared" si="2"/>
        <v>27</v>
      </c>
      <c r="I12309" s="15">
        <f t="shared" si="3"/>
        <v>20</v>
      </c>
    </row>
    <row r="12310">
      <c r="A12310" s="8" t="str">
        <f>IFERROR(__xludf.DUMMYFUNCTION("IF('(INGESTA)Datos_consumo_datadis'!A12310&lt;&gt;"""",SPLIT('(INGESTA)Datos_consumo_datadis'!A:A,"",""),"""")"),"ES0031408323131005HX0F")</f>
        <v>ES0031408323131005HX0F</v>
      </c>
      <c r="B12310" s="12">
        <f>IFERROR(__xludf.DUMMYFUNCTION("""COMPUTED_VALUE"""),45378.0)</f>
        <v>45378</v>
      </c>
      <c r="C12310" s="13">
        <f>IFERROR(__xludf.DUMMYFUNCTION("""COMPUTED_VALUE"""),0.875)</f>
        <v>0.875</v>
      </c>
      <c r="D12310" s="8">
        <f>IFERROR(__xludf.DUMMYFUNCTION("""COMPUTED_VALUE"""),1.163)</f>
        <v>1.163</v>
      </c>
      <c r="E12310" s="8" t="str">
        <f>IFERROR(__xludf.DUMMYFUNCTION("""COMPUTED_VALUE"""),"Real")</f>
        <v>Real</v>
      </c>
      <c r="G12310" s="8">
        <f t="shared" si="1"/>
        <v>3</v>
      </c>
      <c r="H12310" s="14">
        <f t="shared" si="2"/>
        <v>27</v>
      </c>
      <c r="I12310" s="15">
        <f t="shared" si="3"/>
        <v>21</v>
      </c>
    </row>
    <row r="12311">
      <c r="A12311" s="8" t="str">
        <f>IFERROR(__xludf.DUMMYFUNCTION("IF('(INGESTA)Datos_consumo_datadis'!A12311&lt;&gt;"""",SPLIT('(INGESTA)Datos_consumo_datadis'!A:A,"",""),"""")"),"ES0031408323131005HX0F")</f>
        <v>ES0031408323131005HX0F</v>
      </c>
      <c r="B12311" s="12">
        <f>IFERROR(__xludf.DUMMYFUNCTION("""COMPUTED_VALUE"""),45378.0)</f>
        <v>45378</v>
      </c>
      <c r="C12311" s="13">
        <f>IFERROR(__xludf.DUMMYFUNCTION("""COMPUTED_VALUE"""),0.9166666666666666)</f>
        <v>0.9166666667</v>
      </c>
      <c r="D12311" s="8">
        <f>IFERROR(__xludf.DUMMYFUNCTION("""COMPUTED_VALUE"""),3.714)</f>
        <v>3.714</v>
      </c>
      <c r="E12311" s="8" t="str">
        <f>IFERROR(__xludf.DUMMYFUNCTION("""COMPUTED_VALUE"""),"Real")</f>
        <v>Real</v>
      </c>
      <c r="G12311" s="8">
        <f t="shared" si="1"/>
        <v>3</v>
      </c>
      <c r="H12311" s="14">
        <f t="shared" si="2"/>
        <v>27</v>
      </c>
      <c r="I12311" s="15">
        <f t="shared" si="3"/>
        <v>22</v>
      </c>
    </row>
    <row r="12312">
      <c r="A12312" s="8" t="str">
        <f>IFERROR(__xludf.DUMMYFUNCTION("IF('(INGESTA)Datos_consumo_datadis'!A12312&lt;&gt;"""",SPLIT('(INGESTA)Datos_consumo_datadis'!A:A,"",""),"""")"),"ES0031408323131005HX0F")</f>
        <v>ES0031408323131005HX0F</v>
      </c>
      <c r="B12312" s="12">
        <f>IFERROR(__xludf.DUMMYFUNCTION("""COMPUTED_VALUE"""),45378.0)</f>
        <v>45378</v>
      </c>
      <c r="C12312" s="13">
        <f>IFERROR(__xludf.DUMMYFUNCTION("""COMPUTED_VALUE"""),0.9583333333333334)</f>
        <v>0.9583333333</v>
      </c>
      <c r="D12312" s="8">
        <f>IFERROR(__xludf.DUMMYFUNCTION("""COMPUTED_VALUE"""),1.254)</f>
        <v>1.254</v>
      </c>
      <c r="E12312" s="8" t="str">
        <f>IFERROR(__xludf.DUMMYFUNCTION("""COMPUTED_VALUE"""),"Real")</f>
        <v>Real</v>
      </c>
      <c r="G12312" s="8">
        <f t="shared" si="1"/>
        <v>3</v>
      </c>
      <c r="H12312" s="14">
        <f t="shared" si="2"/>
        <v>27</v>
      </c>
      <c r="I12312" s="15">
        <f t="shared" si="3"/>
        <v>23</v>
      </c>
    </row>
    <row r="12313">
      <c r="A12313" s="8" t="str">
        <f>IFERROR(__xludf.DUMMYFUNCTION("IF('(INGESTA)Datos_consumo_datadis'!A12313&lt;&gt;"""",SPLIT('(INGESTA)Datos_consumo_datadis'!A:A,"",""),"""")"),"ES0031408323131005HX0F")</f>
        <v>ES0031408323131005HX0F</v>
      </c>
      <c r="B12313" s="12">
        <f>IFERROR(__xludf.DUMMYFUNCTION("""COMPUTED_VALUE"""),45378.0)</f>
        <v>45378</v>
      </c>
      <c r="C12313" s="16">
        <f>IFERROR(__xludf.DUMMYFUNCTION("""COMPUTED_VALUE"""),1.0)</f>
        <v>1</v>
      </c>
      <c r="D12313" s="8">
        <f>IFERROR(__xludf.DUMMYFUNCTION("""COMPUTED_VALUE"""),1.916)</f>
        <v>1.916</v>
      </c>
      <c r="E12313" s="8" t="str">
        <f>IFERROR(__xludf.DUMMYFUNCTION("""COMPUTED_VALUE"""),"Real")</f>
        <v>Real</v>
      </c>
      <c r="G12313" s="8">
        <f t="shared" si="1"/>
        <v>3</v>
      </c>
      <c r="H12313" s="14">
        <f t="shared" si="2"/>
        <v>27</v>
      </c>
      <c r="I12313" s="15">
        <f t="shared" si="3"/>
        <v>0</v>
      </c>
    </row>
    <row r="12314">
      <c r="A12314" s="8" t="str">
        <f>IFERROR(__xludf.DUMMYFUNCTION("IF('(INGESTA)Datos_consumo_datadis'!A12314&lt;&gt;"""",SPLIT('(INGESTA)Datos_consumo_datadis'!A:A,"",""),"""")"),"ES0031408323131005HX0F")</f>
        <v>ES0031408323131005HX0F</v>
      </c>
      <c r="B12314" s="12">
        <f>IFERROR(__xludf.DUMMYFUNCTION("""COMPUTED_VALUE"""),45379.0)</f>
        <v>45379</v>
      </c>
      <c r="C12314" s="13">
        <f>IFERROR(__xludf.DUMMYFUNCTION("""COMPUTED_VALUE"""),0.041666666666666664)</f>
        <v>0.04166666667</v>
      </c>
      <c r="D12314" s="8">
        <f>IFERROR(__xludf.DUMMYFUNCTION("""COMPUTED_VALUE"""),1.554)</f>
        <v>1.554</v>
      </c>
      <c r="E12314" s="8" t="str">
        <f>IFERROR(__xludf.DUMMYFUNCTION("""COMPUTED_VALUE"""),"Real")</f>
        <v>Real</v>
      </c>
      <c r="G12314" s="8">
        <f t="shared" si="1"/>
        <v>3</v>
      </c>
      <c r="H12314" s="14">
        <f t="shared" si="2"/>
        <v>28</v>
      </c>
      <c r="I12314" s="15">
        <f t="shared" si="3"/>
        <v>1</v>
      </c>
    </row>
    <row r="12315">
      <c r="A12315" s="8" t="str">
        <f>IFERROR(__xludf.DUMMYFUNCTION("IF('(INGESTA)Datos_consumo_datadis'!A12315&lt;&gt;"""",SPLIT('(INGESTA)Datos_consumo_datadis'!A:A,"",""),"""")"),"ES0031408323131005HX0F")</f>
        <v>ES0031408323131005HX0F</v>
      </c>
      <c r="B12315" s="12">
        <f>IFERROR(__xludf.DUMMYFUNCTION("""COMPUTED_VALUE"""),45379.0)</f>
        <v>45379</v>
      </c>
      <c r="C12315" s="13">
        <f>IFERROR(__xludf.DUMMYFUNCTION("""COMPUTED_VALUE"""),0.08333333333333333)</f>
        <v>0.08333333333</v>
      </c>
      <c r="D12315" s="8">
        <f>IFERROR(__xludf.DUMMYFUNCTION("""COMPUTED_VALUE"""),0.086)</f>
        <v>0.086</v>
      </c>
      <c r="E12315" s="8" t="str">
        <f>IFERROR(__xludf.DUMMYFUNCTION("""COMPUTED_VALUE"""),"Real")</f>
        <v>Real</v>
      </c>
      <c r="G12315" s="8">
        <f t="shared" si="1"/>
        <v>3</v>
      </c>
      <c r="H12315" s="14">
        <f t="shared" si="2"/>
        <v>28</v>
      </c>
      <c r="I12315" s="15">
        <f t="shared" si="3"/>
        <v>2</v>
      </c>
    </row>
    <row r="12316">
      <c r="A12316" s="8" t="str">
        <f>IFERROR(__xludf.DUMMYFUNCTION("IF('(INGESTA)Datos_consumo_datadis'!A12316&lt;&gt;"""",SPLIT('(INGESTA)Datos_consumo_datadis'!A:A,"",""),"""")"),"ES0031408323131005HX0F")</f>
        <v>ES0031408323131005HX0F</v>
      </c>
      <c r="B12316" s="12">
        <f>IFERROR(__xludf.DUMMYFUNCTION("""COMPUTED_VALUE"""),45379.0)</f>
        <v>45379</v>
      </c>
      <c r="C12316" s="13">
        <f>IFERROR(__xludf.DUMMYFUNCTION("""COMPUTED_VALUE"""),0.125)</f>
        <v>0.125</v>
      </c>
      <c r="D12316" s="8">
        <f>IFERROR(__xludf.DUMMYFUNCTION("""COMPUTED_VALUE"""),0.058)</f>
        <v>0.058</v>
      </c>
      <c r="E12316" s="8" t="str">
        <f>IFERROR(__xludf.DUMMYFUNCTION("""COMPUTED_VALUE"""),"Real")</f>
        <v>Real</v>
      </c>
      <c r="G12316" s="8">
        <f t="shared" si="1"/>
        <v>3</v>
      </c>
      <c r="H12316" s="14">
        <f t="shared" si="2"/>
        <v>28</v>
      </c>
      <c r="I12316" s="15">
        <f t="shared" si="3"/>
        <v>3</v>
      </c>
    </row>
    <row r="12317">
      <c r="A12317" s="8" t="str">
        <f>IFERROR(__xludf.DUMMYFUNCTION("IF('(INGESTA)Datos_consumo_datadis'!A12317&lt;&gt;"""",SPLIT('(INGESTA)Datos_consumo_datadis'!A:A,"",""),"""")"),"ES0031408323131005HX0F")</f>
        <v>ES0031408323131005HX0F</v>
      </c>
      <c r="B12317" s="12">
        <f>IFERROR(__xludf.DUMMYFUNCTION("""COMPUTED_VALUE"""),45379.0)</f>
        <v>45379</v>
      </c>
      <c r="C12317" s="13">
        <f>IFERROR(__xludf.DUMMYFUNCTION("""COMPUTED_VALUE"""),0.16666666666666666)</f>
        <v>0.1666666667</v>
      </c>
      <c r="D12317" s="8">
        <f>IFERROR(__xludf.DUMMYFUNCTION("""COMPUTED_VALUE"""),0.362)</f>
        <v>0.362</v>
      </c>
      <c r="E12317" s="8" t="str">
        <f>IFERROR(__xludf.DUMMYFUNCTION("""COMPUTED_VALUE"""),"Real")</f>
        <v>Real</v>
      </c>
      <c r="G12317" s="8">
        <f t="shared" si="1"/>
        <v>3</v>
      </c>
      <c r="H12317" s="14">
        <f t="shared" si="2"/>
        <v>28</v>
      </c>
      <c r="I12317" s="15">
        <f t="shared" si="3"/>
        <v>4</v>
      </c>
    </row>
    <row r="12318">
      <c r="A12318" s="8" t="str">
        <f>IFERROR(__xludf.DUMMYFUNCTION("IF('(INGESTA)Datos_consumo_datadis'!A12318&lt;&gt;"""",SPLIT('(INGESTA)Datos_consumo_datadis'!A:A,"",""),"""")"),"ES0031408323131005HX0F")</f>
        <v>ES0031408323131005HX0F</v>
      </c>
      <c r="B12318" s="12">
        <f>IFERROR(__xludf.DUMMYFUNCTION("""COMPUTED_VALUE"""),45379.0)</f>
        <v>45379</v>
      </c>
      <c r="C12318" s="13">
        <f>IFERROR(__xludf.DUMMYFUNCTION("""COMPUTED_VALUE"""),0.20833333333333334)</f>
        <v>0.2083333333</v>
      </c>
      <c r="D12318" s="8">
        <f>IFERROR(__xludf.DUMMYFUNCTION("""COMPUTED_VALUE"""),0.063)</f>
        <v>0.063</v>
      </c>
      <c r="E12318" s="8" t="str">
        <f>IFERROR(__xludf.DUMMYFUNCTION("""COMPUTED_VALUE"""),"Real")</f>
        <v>Real</v>
      </c>
      <c r="G12318" s="8">
        <f t="shared" si="1"/>
        <v>3</v>
      </c>
      <c r="H12318" s="14">
        <f t="shared" si="2"/>
        <v>28</v>
      </c>
      <c r="I12318" s="15">
        <f t="shared" si="3"/>
        <v>5</v>
      </c>
    </row>
    <row r="12319">
      <c r="A12319" s="8" t="str">
        <f>IFERROR(__xludf.DUMMYFUNCTION("IF('(INGESTA)Datos_consumo_datadis'!A12319&lt;&gt;"""",SPLIT('(INGESTA)Datos_consumo_datadis'!A:A,"",""),"""")"),"ES0031408323131005HX0F")</f>
        <v>ES0031408323131005HX0F</v>
      </c>
      <c r="B12319" s="12">
        <f>IFERROR(__xludf.DUMMYFUNCTION("""COMPUTED_VALUE"""),45379.0)</f>
        <v>45379</v>
      </c>
      <c r="C12319" s="13">
        <f>IFERROR(__xludf.DUMMYFUNCTION("""COMPUTED_VALUE"""),0.25)</f>
        <v>0.25</v>
      </c>
      <c r="D12319" s="8">
        <f>IFERROR(__xludf.DUMMYFUNCTION("""COMPUTED_VALUE"""),0.073)</f>
        <v>0.073</v>
      </c>
      <c r="E12319" s="8" t="str">
        <f>IFERROR(__xludf.DUMMYFUNCTION("""COMPUTED_VALUE"""),"Real")</f>
        <v>Real</v>
      </c>
      <c r="G12319" s="8">
        <f t="shared" si="1"/>
        <v>3</v>
      </c>
      <c r="H12319" s="14">
        <f t="shared" si="2"/>
        <v>28</v>
      </c>
      <c r="I12319" s="15">
        <f t="shared" si="3"/>
        <v>6</v>
      </c>
    </row>
    <row r="12320">
      <c r="A12320" s="8" t="str">
        <f>IFERROR(__xludf.DUMMYFUNCTION("IF('(INGESTA)Datos_consumo_datadis'!A12320&lt;&gt;"""",SPLIT('(INGESTA)Datos_consumo_datadis'!A:A,"",""),"""")"),"ES0031408323131005HX0F")</f>
        <v>ES0031408323131005HX0F</v>
      </c>
      <c r="B12320" s="12">
        <f>IFERROR(__xludf.DUMMYFUNCTION("""COMPUTED_VALUE"""),45379.0)</f>
        <v>45379</v>
      </c>
      <c r="C12320" s="13">
        <f>IFERROR(__xludf.DUMMYFUNCTION("""COMPUTED_VALUE"""),0.2916666666666667)</f>
        <v>0.2916666667</v>
      </c>
      <c r="D12320" s="8">
        <f>IFERROR(__xludf.DUMMYFUNCTION("""COMPUTED_VALUE"""),0.061)</f>
        <v>0.061</v>
      </c>
      <c r="E12320" s="8" t="str">
        <f>IFERROR(__xludf.DUMMYFUNCTION("""COMPUTED_VALUE"""),"Real")</f>
        <v>Real</v>
      </c>
      <c r="G12320" s="8">
        <f t="shared" si="1"/>
        <v>3</v>
      </c>
      <c r="H12320" s="14">
        <f t="shared" si="2"/>
        <v>28</v>
      </c>
      <c r="I12320" s="15">
        <f t="shared" si="3"/>
        <v>7</v>
      </c>
    </row>
    <row r="12321">
      <c r="A12321" s="8" t="str">
        <f>IFERROR(__xludf.DUMMYFUNCTION("IF('(INGESTA)Datos_consumo_datadis'!A12321&lt;&gt;"""",SPLIT('(INGESTA)Datos_consumo_datadis'!A:A,"",""),"""")"),"ES0031408323131005HX0F")</f>
        <v>ES0031408323131005HX0F</v>
      </c>
      <c r="B12321" s="12">
        <f>IFERROR(__xludf.DUMMYFUNCTION("""COMPUTED_VALUE"""),45379.0)</f>
        <v>45379</v>
      </c>
      <c r="C12321" s="13">
        <f>IFERROR(__xludf.DUMMYFUNCTION("""COMPUTED_VALUE"""),0.3333333333333333)</f>
        <v>0.3333333333</v>
      </c>
      <c r="D12321" s="8">
        <f>IFERROR(__xludf.DUMMYFUNCTION("""COMPUTED_VALUE"""),0.069)</f>
        <v>0.069</v>
      </c>
      <c r="E12321" s="8" t="str">
        <f>IFERROR(__xludf.DUMMYFUNCTION("""COMPUTED_VALUE"""),"Real")</f>
        <v>Real</v>
      </c>
      <c r="G12321" s="8">
        <f t="shared" si="1"/>
        <v>3</v>
      </c>
      <c r="H12321" s="14">
        <f t="shared" si="2"/>
        <v>28</v>
      </c>
      <c r="I12321" s="15">
        <f t="shared" si="3"/>
        <v>8</v>
      </c>
    </row>
    <row r="12322">
      <c r="A12322" s="8" t="str">
        <f>IFERROR(__xludf.DUMMYFUNCTION("IF('(INGESTA)Datos_consumo_datadis'!A12322&lt;&gt;"""",SPLIT('(INGESTA)Datos_consumo_datadis'!A:A,"",""),"""")"),"ES0031408323131005HX0F")</f>
        <v>ES0031408323131005HX0F</v>
      </c>
      <c r="B12322" s="12">
        <f>IFERROR(__xludf.DUMMYFUNCTION("""COMPUTED_VALUE"""),45379.0)</f>
        <v>45379</v>
      </c>
      <c r="C12322" s="13">
        <f>IFERROR(__xludf.DUMMYFUNCTION("""COMPUTED_VALUE"""),0.375)</f>
        <v>0.375</v>
      </c>
      <c r="D12322" s="8">
        <f>IFERROR(__xludf.DUMMYFUNCTION("""COMPUTED_VALUE"""),1.818)</f>
        <v>1.818</v>
      </c>
      <c r="E12322" s="8" t="str">
        <f>IFERROR(__xludf.DUMMYFUNCTION("""COMPUTED_VALUE"""),"Real")</f>
        <v>Real</v>
      </c>
      <c r="G12322" s="8">
        <f t="shared" si="1"/>
        <v>3</v>
      </c>
      <c r="H12322" s="14">
        <f t="shared" si="2"/>
        <v>28</v>
      </c>
      <c r="I12322" s="15">
        <f t="shared" si="3"/>
        <v>9</v>
      </c>
    </row>
    <row r="12323">
      <c r="A12323" s="8" t="str">
        <f>IFERROR(__xludf.DUMMYFUNCTION("IF('(INGESTA)Datos_consumo_datadis'!A12323&lt;&gt;"""",SPLIT('(INGESTA)Datos_consumo_datadis'!A:A,"",""),"""")"),"ES0031408323131005HX0F")</f>
        <v>ES0031408323131005HX0F</v>
      </c>
      <c r="B12323" s="12">
        <f>IFERROR(__xludf.DUMMYFUNCTION("""COMPUTED_VALUE"""),45379.0)</f>
        <v>45379</v>
      </c>
      <c r="C12323" s="13">
        <f>IFERROR(__xludf.DUMMYFUNCTION("""COMPUTED_VALUE"""),0.4166666666666667)</f>
        <v>0.4166666667</v>
      </c>
      <c r="D12323" s="8">
        <f>IFERROR(__xludf.DUMMYFUNCTION("""COMPUTED_VALUE"""),2.758)</f>
        <v>2.758</v>
      </c>
      <c r="E12323" s="8" t="str">
        <f>IFERROR(__xludf.DUMMYFUNCTION("""COMPUTED_VALUE"""),"Real")</f>
        <v>Real</v>
      </c>
      <c r="G12323" s="8">
        <f t="shared" si="1"/>
        <v>3</v>
      </c>
      <c r="H12323" s="14">
        <f t="shared" si="2"/>
        <v>28</v>
      </c>
      <c r="I12323" s="15">
        <f t="shared" si="3"/>
        <v>10</v>
      </c>
    </row>
    <row r="12324">
      <c r="A12324" s="8" t="str">
        <f>IFERROR(__xludf.DUMMYFUNCTION("IF('(INGESTA)Datos_consumo_datadis'!A12324&lt;&gt;"""",SPLIT('(INGESTA)Datos_consumo_datadis'!A:A,"",""),"""")"),"ES0031408323131005HX0F")</f>
        <v>ES0031408323131005HX0F</v>
      </c>
      <c r="B12324" s="12">
        <f>IFERROR(__xludf.DUMMYFUNCTION("""COMPUTED_VALUE"""),45379.0)</f>
        <v>45379</v>
      </c>
      <c r="C12324" s="13">
        <f>IFERROR(__xludf.DUMMYFUNCTION("""COMPUTED_VALUE"""),0.4583333333333333)</f>
        <v>0.4583333333</v>
      </c>
      <c r="D12324" s="8">
        <f>IFERROR(__xludf.DUMMYFUNCTION("""COMPUTED_VALUE"""),0.459)</f>
        <v>0.459</v>
      </c>
      <c r="E12324" s="8" t="str">
        <f>IFERROR(__xludf.DUMMYFUNCTION("""COMPUTED_VALUE"""),"Real")</f>
        <v>Real</v>
      </c>
      <c r="G12324" s="8">
        <f t="shared" si="1"/>
        <v>3</v>
      </c>
      <c r="H12324" s="14">
        <f t="shared" si="2"/>
        <v>28</v>
      </c>
      <c r="I12324" s="15">
        <f t="shared" si="3"/>
        <v>11</v>
      </c>
    </row>
    <row r="12325">
      <c r="A12325" s="8" t="str">
        <f>IFERROR(__xludf.DUMMYFUNCTION("IF('(INGESTA)Datos_consumo_datadis'!A12325&lt;&gt;"""",SPLIT('(INGESTA)Datos_consumo_datadis'!A:A,"",""),"""")"),"ES0031408323131005HX0F")</f>
        <v>ES0031408323131005HX0F</v>
      </c>
      <c r="B12325" s="12">
        <f>IFERROR(__xludf.DUMMYFUNCTION("""COMPUTED_VALUE"""),45379.0)</f>
        <v>45379</v>
      </c>
      <c r="C12325" s="13">
        <f>IFERROR(__xludf.DUMMYFUNCTION("""COMPUTED_VALUE"""),0.5)</f>
        <v>0.5</v>
      </c>
      <c r="D12325" s="8">
        <f>IFERROR(__xludf.DUMMYFUNCTION("""COMPUTED_VALUE"""),0.058)</f>
        <v>0.058</v>
      </c>
      <c r="E12325" s="8" t="str">
        <f>IFERROR(__xludf.DUMMYFUNCTION("""COMPUTED_VALUE"""),"Real")</f>
        <v>Real</v>
      </c>
      <c r="G12325" s="8">
        <f t="shared" si="1"/>
        <v>3</v>
      </c>
      <c r="H12325" s="14">
        <f t="shared" si="2"/>
        <v>28</v>
      </c>
      <c r="I12325" s="15">
        <f t="shared" si="3"/>
        <v>12</v>
      </c>
    </row>
    <row r="12326">
      <c r="A12326" s="8" t="str">
        <f>IFERROR(__xludf.DUMMYFUNCTION("IF('(INGESTA)Datos_consumo_datadis'!A12326&lt;&gt;"""",SPLIT('(INGESTA)Datos_consumo_datadis'!A:A,"",""),"""")"),"ES0031408323131005HX0F")</f>
        <v>ES0031408323131005HX0F</v>
      </c>
      <c r="B12326" s="12">
        <f>IFERROR(__xludf.DUMMYFUNCTION("""COMPUTED_VALUE"""),45379.0)</f>
        <v>45379</v>
      </c>
      <c r="C12326" s="13">
        <f>IFERROR(__xludf.DUMMYFUNCTION("""COMPUTED_VALUE"""),0.5416666666666666)</f>
        <v>0.5416666667</v>
      </c>
      <c r="D12326" s="8">
        <f>IFERROR(__xludf.DUMMYFUNCTION("""COMPUTED_VALUE"""),0.06)</f>
        <v>0.06</v>
      </c>
      <c r="E12326" s="8" t="str">
        <f>IFERROR(__xludf.DUMMYFUNCTION("""COMPUTED_VALUE"""),"Real")</f>
        <v>Real</v>
      </c>
      <c r="G12326" s="8">
        <f t="shared" si="1"/>
        <v>3</v>
      </c>
      <c r="H12326" s="14">
        <f t="shared" si="2"/>
        <v>28</v>
      </c>
      <c r="I12326" s="15">
        <f t="shared" si="3"/>
        <v>13</v>
      </c>
    </row>
    <row r="12327">
      <c r="A12327" s="8" t="str">
        <f>IFERROR(__xludf.DUMMYFUNCTION("IF('(INGESTA)Datos_consumo_datadis'!A12327&lt;&gt;"""",SPLIT('(INGESTA)Datos_consumo_datadis'!A:A,"",""),"""")"),"ES0031408323131005HX0F")</f>
        <v>ES0031408323131005HX0F</v>
      </c>
      <c r="B12327" s="12">
        <f>IFERROR(__xludf.DUMMYFUNCTION("""COMPUTED_VALUE"""),45379.0)</f>
        <v>45379</v>
      </c>
      <c r="C12327" s="13">
        <f>IFERROR(__xludf.DUMMYFUNCTION("""COMPUTED_VALUE"""),0.5833333333333334)</f>
        <v>0.5833333333</v>
      </c>
      <c r="D12327" s="8">
        <f>IFERROR(__xludf.DUMMYFUNCTION("""COMPUTED_VALUE"""),0.075)</f>
        <v>0.075</v>
      </c>
      <c r="E12327" s="8" t="str">
        <f>IFERROR(__xludf.DUMMYFUNCTION("""COMPUTED_VALUE"""),"Real")</f>
        <v>Real</v>
      </c>
      <c r="G12327" s="8">
        <f t="shared" si="1"/>
        <v>3</v>
      </c>
      <c r="H12327" s="14">
        <f t="shared" si="2"/>
        <v>28</v>
      </c>
      <c r="I12327" s="15">
        <f t="shared" si="3"/>
        <v>14</v>
      </c>
    </row>
    <row r="12328">
      <c r="A12328" s="8" t="str">
        <f>IFERROR(__xludf.DUMMYFUNCTION("IF('(INGESTA)Datos_consumo_datadis'!A12328&lt;&gt;"""",SPLIT('(INGESTA)Datos_consumo_datadis'!A:A,"",""),"""")"),"ES0031408323131005HX0F")</f>
        <v>ES0031408323131005HX0F</v>
      </c>
      <c r="B12328" s="12">
        <f>IFERROR(__xludf.DUMMYFUNCTION("""COMPUTED_VALUE"""),45379.0)</f>
        <v>45379</v>
      </c>
      <c r="C12328" s="13">
        <f>IFERROR(__xludf.DUMMYFUNCTION("""COMPUTED_VALUE"""),0.625)</f>
        <v>0.625</v>
      </c>
      <c r="D12328" s="8">
        <f>IFERROR(__xludf.DUMMYFUNCTION("""COMPUTED_VALUE"""),0.969)</f>
        <v>0.969</v>
      </c>
      <c r="E12328" s="8" t="str">
        <f>IFERROR(__xludf.DUMMYFUNCTION("""COMPUTED_VALUE"""),"Real")</f>
        <v>Real</v>
      </c>
      <c r="G12328" s="8">
        <f t="shared" si="1"/>
        <v>3</v>
      </c>
      <c r="H12328" s="14">
        <f t="shared" si="2"/>
        <v>28</v>
      </c>
      <c r="I12328" s="15">
        <f t="shared" si="3"/>
        <v>15</v>
      </c>
    </row>
    <row r="12329">
      <c r="A12329" s="8" t="str">
        <f>IFERROR(__xludf.DUMMYFUNCTION("IF('(INGESTA)Datos_consumo_datadis'!A12329&lt;&gt;"""",SPLIT('(INGESTA)Datos_consumo_datadis'!A:A,"",""),"""")"),"ES0031408323131005HX0F")</f>
        <v>ES0031408323131005HX0F</v>
      </c>
      <c r="B12329" s="12">
        <f>IFERROR(__xludf.DUMMYFUNCTION("""COMPUTED_VALUE"""),45379.0)</f>
        <v>45379</v>
      </c>
      <c r="C12329" s="13">
        <f>IFERROR(__xludf.DUMMYFUNCTION("""COMPUTED_VALUE"""),0.6666666666666666)</f>
        <v>0.6666666667</v>
      </c>
      <c r="D12329" s="8">
        <f>IFERROR(__xludf.DUMMYFUNCTION("""COMPUTED_VALUE"""),0.86)</f>
        <v>0.86</v>
      </c>
      <c r="E12329" s="8" t="str">
        <f>IFERROR(__xludf.DUMMYFUNCTION("""COMPUTED_VALUE"""),"Real")</f>
        <v>Real</v>
      </c>
      <c r="G12329" s="8">
        <f t="shared" si="1"/>
        <v>3</v>
      </c>
      <c r="H12329" s="14">
        <f t="shared" si="2"/>
        <v>28</v>
      </c>
      <c r="I12329" s="15">
        <f t="shared" si="3"/>
        <v>16</v>
      </c>
    </row>
    <row r="12330">
      <c r="A12330" s="8" t="str">
        <f>IFERROR(__xludf.DUMMYFUNCTION("IF('(INGESTA)Datos_consumo_datadis'!A12330&lt;&gt;"""",SPLIT('(INGESTA)Datos_consumo_datadis'!A:A,"",""),"""")"),"ES0031408323131005HX0F")</f>
        <v>ES0031408323131005HX0F</v>
      </c>
      <c r="B12330" s="12">
        <f>IFERROR(__xludf.DUMMYFUNCTION("""COMPUTED_VALUE"""),45379.0)</f>
        <v>45379</v>
      </c>
      <c r="C12330" s="13">
        <f>IFERROR(__xludf.DUMMYFUNCTION("""COMPUTED_VALUE"""),0.7083333333333334)</f>
        <v>0.7083333333</v>
      </c>
      <c r="D12330" s="8">
        <f>IFERROR(__xludf.DUMMYFUNCTION("""COMPUTED_VALUE"""),1.816)</f>
        <v>1.816</v>
      </c>
      <c r="E12330" s="8" t="str">
        <f>IFERROR(__xludf.DUMMYFUNCTION("""COMPUTED_VALUE"""),"Real")</f>
        <v>Real</v>
      </c>
      <c r="G12330" s="8">
        <f t="shared" si="1"/>
        <v>3</v>
      </c>
      <c r="H12330" s="14">
        <f t="shared" si="2"/>
        <v>28</v>
      </c>
      <c r="I12330" s="15">
        <f t="shared" si="3"/>
        <v>17</v>
      </c>
    </row>
    <row r="12331">
      <c r="A12331" s="8" t="str">
        <f>IFERROR(__xludf.DUMMYFUNCTION("IF('(INGESTA)Datos_consumo_datadis'!A12331&lt;&gt;"""",SPLIT('(INGESTA)Datos_consumo_datadis'!A:A,"",""),"""")"),"ES0031408323131005HX0F")</f>
        <v>ES0031408323131005HX0F</v>
      </c>
      <c r="B12331" s="12">
        <f>IFERROR(__xludf.DUMMYFUNCTION("""COMPUTED_VALUE"""),45379.0)</f>
        <v>45379</v>
      </c>
      <c r="C12331" s="13">
        <f>IFERROR(__xludf.DUMMYFUNCTION("""COMPUTED_VALUE"""),0.75)</f>
        <v>0.75</v>
      </c>
      <c r="D12331" s="8">
        <f>IFERROR(__xludf.DUMMYFUNCTION("""COMPUTED_VALUE"""),1.586)</f>
        <v>1.586</v>
      </c>
      <c r="E12331" s="8" t="str">
        <f>IFERROR(__xludf.DUMMYFUNCTION("""COMPUTED_VALUE"""),"Real")</f>
        <v>Real</v>
      </c>
      <c r="G12331" s="8">
        <f t="shared" si="1"/>
        <v>3</v>
      </c>
      <c r="H12331" s="14">
        <f t="shared" si="2"/>
        <v>28</v>
      </c>
      <c r="I12331" s="15">
        <f t="shared" si="3"/>
        <v>18</v>
      </c>
    </row>
    <row r="12332">
      <c r="A12332" s="8" t="str">
        <f>IFERROR(__xludf.DUMMYFUNCTION("IF('(INGESTA)Datos_consumo_datadis'!A12332&lt;&gt;"""",SPLIT('(INGESTA)Datos_consumo_datadis'!A:A,"",""),"""")"),"ES0031408323131005HX0F")</f>
        <v>ES0031408323131005HX0F</v>
      </c>
      <c r="B12332" s="12">
        <f>IFERROR(__xludf.DUMMYFUNCTION("""COMPUTED_VALUE"""),45379.0)</f>
        <v>45379</v>
      </c>
      <c r="C12332" s="13">
        <f>IFERROR(__xludf.DUMMYFUNCTION("""COMPUTED_VALUE"""),0.7916666666666666)</f>
        <v>0.7916666667</v>
      </c>
      <c r="D12332" s="8">
        <f>IFERROR(__xludf.DUMMYFUNCTION("""COMPUTED_VALUE"""),1.256)</f>
        <v>1.256</v>
      </c>
      <c r="E12332" s="8" t="str">
        <f>IFERROR(__xludf.DUMMYFUNCTION("""COMPUTED_VALUE"""),"Real")</f>
        <v>Real</v>
      </c>
      <c r="G12332" s="8">
        <f t="shared" si="1"/>
        <v>3</v>
      </c>
      <c r="H12332" s="14">
        <f t="shared" si="2"/>
        <v>28</v>
      </c>
      <c r="I12332" s="15">
        <f t="shared" si="3"/>
        <v>19</v>
      </c>
    </row>
    <row r="12333">
      <c r="A12333" s="8" t="str">
        <f>IFERROR(__xludf.DUMMYFUNCTION("IF('(INGESTA)Datos_consumo_datadis'!A12333&lt;&gt;"""",SPLIT('(INGESTA)Datos_consumo_datadis'!A:A,"",""),"""")"),"ES0031408323131005HX0F")</f>
        <v>ES0031408323131005HX0F</v>
      </c>
      <c r="B12333" s="12">
        <f>IFERROR(__xludf.DUMMYFUNCTION("""COMPUTED_VALUE"""),45379.0)</f>
        <v>45379</v>
      </c>
      <c r="C12333" s="13">
        <f>IFERROR(__xludf.DUMMYFUNCTION("""COMPUTED_VALUE"""),0.8333333333333334)</f>
        <v>0.8333333333</v>
      </c>
      <c r="D12333" s="8">
        <f>IFERROR(__xludf.DUMMYFUNCTION("""COMPUTED_VALUE"""),0.136)</f>
        <v>0.136</v>
      </c>
      <c r="E12333" s="8" t="str">
        <f>IFERROR(__xludf.DUMMYFUNCTION("""COMPUTED_VALUE"""),"Real")</f>
        <v>Real</v>
      </c>
      <c r="G12333" s="8">
        <f t="shared" si="1"/>
        <v>3</v>
      </c>
      <c r="H12333" s="14">
        <f t="shared" si="2"/>
        <v>28</v>
      </c>
      <c r="I12333" s="15">
        <f t="shared" si="3"/>
        <v>20</v>
      </c>
    </row>
    <row r="12334">
      <c r="A12334" s="8" t="str">
        <f>IFERROR(__xludf.DUMMYFUNCTION("IF('(INGESTA)Datos_consumo_datadis'!A12334&lt;&gt;"""",SPLIT('(INGESTA)Datos_consumo_datadis'!A:A,"",""),"""")"),"ES0031408323131005HX0F")</f>
        <v>ES0031408323131005HX0F</v>
      </c>
      <c r="B12334" s="12">
        <f>IFERROR(__xludf.DUMMYFUNCTION("""COMPUTED_VALUE"""),45379.0)</f>
        <v>45379</v>
      </c>
      <c r="C12334" s="13">
        <f>IFERROR(__xludf.DUMMYFUNCTION("""COMPUTED_VALUE"""),0.875)</f>
        <v>0.875</v>
      </c>
      <c r="D12334" s="8">
        <f>IFERROR(__xludf.DUMMYFUNCTION("""COMPUTED_VALUE"""),0.102)</f>
        <v>0.102</v>
      </c>
      <c r="E12334" s="8" t="str">
        <f>IFERROR(__xludf.DUMMYFUNCTION("""COMPUTED_VALUE"""),"Real")</f>
        <v>Real</v>
      </c>
      <c r="G12334" s="8">
        <f t="shared" si="1"/>
        <v>3</v>
      </c>
      <c r="H12334" s="14">
        <f t="shared" si="2"/>
        <v>28</v>
      </c>
      <c r="I12334" s="15">
        <f t="shared" si="3"/>
        <v>21</v>
      </c>
    </row>
    <row r="12335">
      <c r="A12335" s="8" t="str">
        <f>IFERROR(__xludf.DUMMYFUNCTION("IF('(INGESTA)Datos_consumo_datadis'!A12335&lt;&gt;"""",SPLIT('(INGESTA)Datos_consumo_datadis'!A:A,"",""),"""")"),"ES0031408323131005HX0F")</f>
        <v>ES0031408323131005HX0F</v>
      </c>
      <c r="B12335" s="12">
        <f>IFERROR(__xludf.DUMMYFUNCTION("""COMPUTED_VALUE"""),45379.0)</f>
        <v>45379</v>
      </c>
      <c r="C12335" s="13">
        <f>IFERROR(__xludf.DUMMYFUNCTION("""COMPUTED_VALUE"""),0.9166666666666666)</f>
        <v>0.9166666667</v>
      </c>
      <c r="D12335" s="8">
        <f>IFERROR(__xludf.DUMMYFUNCTION("""COMPUTED_VALUE"""),1.558)</f>
        <v>1.558</v>
      </c>
      <c r="E12335" s="8" t="str">
        <f>IFERROR(__xludf.DUMMYFUNCTION("""COMPUTED_VALUE"""),"Real")</f>
        <v>Real</v>
      </c>
      <c r="G12335" s="8">
        <f t="shared" si="1"/>
        <v>3</v>
      </c>
      <c r="H12335" s="14">
        <f t="shared" si="2"/>
        <v>28</v>
      </c>
      <c r="I12335" s="15">
        <f t="shared" si="3"/>
        <v>22</v>
      </c>
    </row>
    <row r="12336">
      <c r="A12336" s="8" t="str">
        <f>IFERROR(__xludf.DUMMYFUNCTION("IF('(INGESTA)Datos_consumo_datadis'!A12336&lt;&gt;"""",SPLIT('(INGESTA)Datos_consumo_datadis'!A:A,"",""),"""")"),"ES0031408323131005HX0F")</f>
        <v>ES0031408323131005HX0F</v>
      </c>
      <c r="B12336" s="12">
        <f>IFERROR(__xludf.DUMMYFUNCTION("""COMPUTED_VALUE"""),45379.0)</f>
        <v>45379</v>
      </c>
      <c r="C12336" s="13">
        <f>IFERROR(__xludf.DUMMYFUNCTION("""COMPUTED_VALUE"""),0.9583333333333334)</f>
        <v>0.9583333333</v>
      </c>
      <c r="D12336" s="8">
        <f>IFERROR(__xludf.DUMMYFUNCTION("""COMPUTED_VALUE"""),0.968)</f>
        <v>0.968</v>
      </c>
      <c r="E12336" s="8" t="str">
        <f>IFERROR(__xludf.DUMMYFUNCTION("""COMPUTED_VALUE"""),"Real")</f>
        <v>Real</v>
      </c>
      <c r="G12336" s="8">
        <f t="shared" si="1"/>
        <v>3</v>
      </c>
      <c r="H12336" s="14">
        <f t="shared" si="2"/>
        <v>28</v>
      </c>
      <c r="I12336" s="15">
        <f t="shared" si="3"/>
        <v>23</v>
      </c>
    </row>
    <row r="12337">
      <c r="A12337" s="8" t="str">
        <f>IFERROR(__xludf.DUMMYFUNCTION("IF('(INGESTA)Datos_consumo_datadis'!A12337&lt;&gt;"""",SPLIT('(INGESTA)Datos_consumo_datadis'!A:A,"",""),"""")"),"ES0031408323131005HX0F")</f>
        <v>ES0031408323131005HX0F</v>
      </c>
      <c r="B12337" s="12">
        <f>IFERROR(__xludf.DUMMYFUNCTION("""COMPUTED_VALUE"""),45379.0)</f>
        <v>45379</v>
      </c>
      <c r="C12337" s="16">
        <f>IFERROR(__xludf.DUMMYFUNCTION("""COMPUTED_VALUE"""),1.0)</f>
        <v>1</v>
      </c>
      <c r="D12337" s="8">
        <f>IFERROR(__xludf.DUMMYFUNCTION("""COMPUTED_VALUE"""),0.066)</f>
        <v>0.066</v>
      </c>
      <c r="E12337" s="8" t="str">
        <f>IFERROR(__xludf.DUMMYFUNCTION("""COMPUTED_VALUE"""),"Real")</f>
        <v>Real</v>
      </c>
      <c r="G12337" s="8">
        <f t="shared" si="1"/>
        <v>3</v>
      </c>
      <c r="H12337" s="14">
        <f t="shared" si="2"/>
        <v>28</v>
      </c>
      <c r="I12337" s="15">
        <f t="shared" si="3"/>
        <v>0</v>
      </c>
    </row>
    <row r="12338">
      <c r="A12338" s="8" t="str">
        <f>IFERROR(__xludf.DUMMYFUNCTION("IF('(INGESTA)Datos_consumo_datadis'!A12338&lt;&gt;"""",SPLIT('(INGESTA)Datos_consumo_datadis'!A:A,"",""),"""")"),"ES0031408323131005HX0F")</f>
        <v>ES0031408323131005HX0F</v>
      </c>
      <c r="B12338" s="12">
        <f>IFERROR(__xludf.DUMMYFUNCTION("""COMPUTED_VALUE"""),45380.0)</f>
        <v>45380</v>
      </c>
      <c r="C12338" s="13">
        <f>IFERROR(__xludf.DUMMYFUNCTION("""COMPUTED_VALUE"""),0.041666666666666664)</f>
        <v>0.04166666667</v>
      </c>
      <c r="D12338" s="8">
        <f>IFERROR(__xludf.DUMMYFUNCTION("""COMPUTED_VALUE"""),0.69)</f>
        <v>0.69</v>
      </c>
      <c r="E12338" s="8" t="str">
        <f>IFERROR(__xludf.DUMMYFUNCTION("""COMPUTED_VALUE"""),"Real")</f>
        <v>Real</v>
      </c>
      <c r="G12338" s="8">
        <f t="shared" si="1"/>
        <v>3</v>
      </c>
      <c r="H12338" s="14">
        <f t="shared" si="2"/>
        <v>29</v>
      </c>
      <c r="I12338" s="15">
        <f t="shared" si="3"/>
        <v>1</v>
      </c>
    </row>
    <row r="12339">
      <c r="A12339" s="8" t="str">
        <f>IFERROR(__xludf.DUMMYFUNCTION("IF('(INGESTA)Datos_consumo_datadis'!A12339&lt;&gt;"""",SPLIT('(INGESTA)Datos_consumo_datadis'!A:A,"",""),"""")"),"ES0031408323131005HX0F")</f>
        <v>ES0031408323131005HX0F</v>
      </c>
      <c r="B12339" s="12">
        <f>IFERROR(__xludf.DUMMYFUNCTION("""COMPUTED_VALUE"""),45380.0)</f>
        <v>45380</v>
      </c>
      <c r="C12339" s="13">
        <f>IFERROR(__xludf.DUMMYFUNCTION("""COMPUTED_VALUE"""),0.08333333333333333)</f>
        <v>0.08333333333</v>
      </c>
      <c r="D12339" s="8">
        <f>IFERROR(__xludf.DUMMYFUNCTION("""COMPUTED_VALUE"""),0.895)</f>
        <v>0.895</v>
      </c>
      <c r="E12339" s="8" t="str">
        <f>IFERROR(__xludf.DUMMYFUNCTION("""COMPUTED_VALUE"""),"Real")</f>
        <v>Real</v>
      </c>
      <c r="G12339" s="8">
        <f t="shared" si="1"/>
        <v>3</v>
      </c>
      <c r="H12339" s="14">
        <f t="shared" si="2"/>
        <v>29</v>
      </c>
      <c r="I12339" s="15">
        <f t="shared" si="3"/>
        <v>2</v>
      </c>
    </row>
    <row r="12340">
      <c r="A12340" s="8" t="str">
        <f>IFERROR(__xludf.DUMMYFUNCTION("IF('(INGESTA)Datos_consumo_datadis'!A12340&lt;&gt;"""",SPLIT('(INGESTA)Datos_consumo_datadis'!A:A,"",""),"""")"),"ES0031408323131005HX0F")</f>
        <v>ES0031408323131005HX0F</v>
      </c>
      <c r="B12340" s="12">
        <f>IFERROR(__xludf.DUMMYFUNCTION("""COMPUTED_VALUE"""),45380.0)</f>
        <v>45380</v>
      </c>
      <c r="C12340" s="13">
        <f>IFERROR(__xludf.DUMMYFUNCTION("""COMPUTED_VALUE"""),0.125)</f>
        <v>0.125</v>
      </c>
      <c r="D12340" s="8">
        <f>IFERROR(__xludf.DUMMYFUNCTION("""COMPUTED_VALUE"""),0.056)</f>
        <v>0.056</v>
      </c>
      <c r="E12340" s="8" t="str">
        <f>IFERROR(__xludf.DUMMYFUNCTION("""COMPUTED_VALUE"""),"Real")</f>
        <v>Real</v>
      </c>
      <c r="G12340" s="8">
        <f t="shared" si="1"/>
        <v>3</v>
      </c>
      <c r="H12340" s="14">
        <f t="shared" si="2"/>
        <v>29</v>
      </c>
      <c r="I12340" s="15">
        <f t="shared" si="3"/>
        <v>3</v>
      </c>
    </row>
    <row r="12341">
      <c r="A12341" s="8" t="str">
        <f>IFERROR(__xludf.DUMMYFUNCTION("IF('(INGESTA)Datos_consumo_datadis'!A12341&lt;&gt;"""",SPLIT('(INGESTA)Datos_consumo_datadis'!A:A,"",""),"""")"),"ES0031408323131005HX0F")</f>
        <v>ES0031408323131005HX0F</v>
      </c>
      <c r="B12341" s="12">
        <f>IFERROR(__xludf.DUMMYFUNCTION("""COMPUTED_VALUE"""),45380.0)</f>
        <v>45380</v>
      </c>
      <c r="C12341" s="13">
        <f>IFERROR(__xludf.DUMMYFUNCTION("""COMPUTED_VALUE"""),0.16666666666666666)</f>
        <v>0.1666666667</v>
      </c>
      <c r="D12341" s="8">
        <f>IFERROR(__xludf.DUMMYFUNCTION("""COMPUTED_VALUE"""),0.086)</f>
        <v>0.086</v>
      </c>
      <c r="E12341" s="8" t="str">
        <f>IFERROR(__xludf.DUMMYFUNCTION("""COMPUTED_VALUE"""),"Real")</f>
        <v>Real</v>
      </c>
      <c r="G12341" s="8">
        <f t="shared" si="1"/>
        <v>3</v>
      </c>
      <c r="H12341" s="14">
        <f t="shared" si="2"/>
        <v>29</v>
      </c>
      <c r="I12341" s="15">
        <f t="shared" si="3"/>
        <v>4</v>
      </c>
    </row>
    <row r="12342">
      <c r="A12342" s="8" t="str">
        <f>IFERROR(__xludf.DUMMYFUNCTION("IF('(INGESTA)Datos_consumo_datadis'!A12342&lt;&gt;"""",SPLIT('(INGESTA)Datos_consumo_datadis'!A:A,"",""),"""")"),"ES0031408323131005HX0F")</f>
        <v>ES0031408323131005HX0F</v>
      </c>
      <c r="B12342" s="12">
        <f>IFERROR(__xludf.DUMMYFUNCTION("""COMPUTED_VALUE"""),45380.0)</f>
        <v>45380</v>
      </c>
      <c r="C12342" s="13">
        <f>IFERROR(__xludf.DUMMYFUNCTION("""COMPUTED_VALUE"""),0.20833333333333334)</f>
        <v>0.2083333333</v>
      </c>
      <c r="D12342" s="8">
        <f>IFERROR(__xludf.DUMMYFUNCTION("""COMPUTED_VALUE"""),0.058)</f>
        <v>0.058</v>
      </c>
      <c r="E12342" s="8" t="str">
        <f>IFERROR(__xludf.DUMMYFUNCTION("""COMPUTED_VALUE"""),"Real")</f>
        <v>Real</v>
      </c>
      <c r="G12342" s="8">
        <f t="shared" si="1"/>
        <v>3</v>
      </c>
      <c r="H12342" s="14">
        <f t="shared" si="2"/>
        <v>29</v>
      </c>
      <c r="I12342" s="15">
        <f t="shared" si="3"/>
        <v>5</v>
      </c>
    </row>
    <row r="12343">
      <c r="A12343" s="8" t="str">
        <f>IFERROR(__xludf.DUMMYFUNCTION("IF('(INGESTA)Datos_consumo_datadis'!A12343&lt;&gt;"""",SPLIT('(INGESTA)Datos_consumo_datadis'!A:A,"",""),"""")"),"ES0031408323131005HX0F")</f>
        <v>ES0031408323131005HX0F</v>
      </c>
      <c r="B12343" s="12">
        <f>IFERROR(__xludf.DUMMYFUNCTION("""COMPUTED_VALUE"""),45380.0)</f>
        <v>45380</v>
      </c>
      <c r="C12343" s="13">
        <f>IFERROR(__xludf.DUMMYFUNCTION("""COMPUTED_VALUE"""),0.25)</f>
        <v>0.25</v>
      </c>
      <c r="D12343" s="8">
        <f>IFERROR(__xludf.DUMMYFUNCTION("""COMPUTED_VALUE"""),0.356)</f>
        <v>0.356</v>
      </c>
      <c r="E12343" s="8" t="str">
        <f>IFERROR(__xludf.DUMMYFUNCTION("""COMPUTED_VALUE"""),"Real")</f>
        <v>Real</v>
      </c>
      <c r="G12343" s="8">
        <f t="shared" si="1"/>
        <v>3</v>
      </c>
      <c r="H12343" s="14">
        <f t="shared" si="2"/>
        <v>29</v>
      </c>
      <c r="I12343" s="15">
        <f t="shared" si="3"/>
        <v>6</v>
      </c>
    </row>
    <row r="12344">
      <c r="A12344" s="8" t="str">
        <f>IFERROR(__xludf.DUMMYFUNCTION("IF('(INGESTA)Datos_consumo_datadis'!A12344&lt;&gt;"""",SPLIT('(INGESTA)Datos_consumo_datadis'!A:A,"",""),"""")"),"ES0031408323131005HX0F")</f>
        <v>ES0031408323131005HX0F</v>
      </c>
      <c r="B12344" s="12">
        <f>IFERROR(__xludf.DUMMYFUNCTION("""COMPUTED_VALUE"""),45380.0)</f>
        <v>45380</v>
      </c>
      <c r="C12344" s="13">
        <f>IFERROR(__xludf.DUMMYFUNCTION("""COMPUTED_VALUE"""),0.2916666666666667)</f>
        <v>0.2916666667</v>
      </c>
      <c r="D12344" s="8">
        <f>IFERROR(__xludf.DUMMYFUNCTION("""COMPUTED_VALUE"""),0.057)</f>
        <v>0.057</v>
      </c>
      <c r="E12344" s="8" t="str">
        <f>IFERROR(__xludf.DUMMYFUNCTION("""COMPUTED_VALUE"""),"Real")</f>
        <v>Real</v>
      </c>
      <c r="G12344" s="8">
        <f t="shared" si="1"/>
        <v>3</v>
      </c>
      <c r="H12344" s="14">
        <f t="shared" si="2"/>
        <v>29</v>
      </c>
      <c r="I12344" s="15">
        <f t="shared" si="3"/>
        <v>7</v>
      </c>
    </row>
    <row r="12345">
      <c r="A12345" s="8" t="str">
        <f>IFERROR(__xludf.DUMMYFUNCTION("IF('(INGESTA)Datos_consumo_datadis'!A12345&lt;&gt;"""",SPLIT('(INGESTA)Datos_consumo_datadis'!A:A,"",""),"""")"),"ES0031408323131005HX0F")</f>
        <v>ES0031408323131005HX0F</v>
      </c>
      <c r="B12345" s="12">
        <f>IFERROR(__xludf.DUMMYFUNCTION("""COMPUTED_VALUE"""),45380.0)</f>
        <v>45380</v>
      </c>
      <c r="C12345" s="13">
        <f>IFERROR(__xludf.DUMMYFUNCTION("""COMPUTED_VALUE"""),0.3333333333333333)</f>
        <v>0.3333333333</v>
      </c>
      <c r="D12345" s="8">
        <f>IFERROR(__xludf.DUMMYFUNCTION("""COMPUTED_VALUE"""),0.039)</f>
        <v>0.039</v>
      </c>
      <c r="E12345" s="8" t="str">
        <f>IFERROR(__xludf.DUMMYFUNCTION("""COMPUTED_VALUE"""),"Real")</f>
        <v>Real</v>
      </c>
      <c r="G12345" s="8">
        <f t="shared" si="1"/>
        <v>3</v>
      </c>
      <c r="H12345" s="14">
        <f t="shared" si="2"/>
        <v>29</v>
      </c>
      <c r="I12345" s="15">
        <f t="shared" si="3"/>
        <v>8</v>
      </c>
    </row>
    <row r="12346">
      <c r="A12346" s="8" t="str">
        <f>IFERROR(__xludf.DUMMYFUNCTION("IF('(INGESTA)Datos_consumo_datadis'!A12346&lt;&gt;"""",SPLIT('(INGESTA)Datos_consumo_datadis'!A:A,"",""),"""")"),"ES0031408323131005HX0F")</f>
        <v>ES0031408323131005HX0F</v>
      </c>
      <c r="B12346" s="12">
        <f>IFERROR(__xludf.DUMMYFUNCTION("""COMPUTED_VALUE"""),45380.0)</f>
        <v>45380</v>
      </c>
      <c r="C12346" s="13">
        <f>IFERROR(__xludf.DUMMYFUNCTION("""COMPUTED_VALUE"""),0.375)</f>
        <v>0.375</v>
      </c>
      <c r="D12346" s="8">
        <f>IFERROR(__xludf.DUMMYFUNCTION("""COMPUTED_VALUE"""),0.06)</f>
        <v>0.06</v>
      </c>
      <c r="E12346" s="8" t="str">
        <f>IFERROR(__xludf.DUMMYFUNCTION("""COMPUTED_VALUE"""),"Real")</f>
        <v>Real</v>
      </c>
      <c r="G12346" s="8">
        <f t="shared" si="1"/>
        <v>3</v>
      </c>
      <c r="H12346" s="14">
        <f t="shared" si="2"/>
        <v>29</v>
      </c>
      <c r="I12346" s="15">
        <f t="shared" si="3"/>
        <v>9</v>
      </c>
    </row>
    <row r="12347">
      <c r="A12347" s="8" t="str">
        <f>IFERROR(__xludf.DUMMYFUNCTION("IF('(INGESTA)Datos_consumo_datadis'!A12347&lt;&gt;"""",SPLIT('(INGESTA)Datos_consumo_datadis'!A:A,"",""),"""")"),"ES0031408323131005HX0F")</f>
        <v>ES0031408323131005HX0F</v>
      </c>
      <c r="B12347" s="12">
        <f>IFERROR(__xludf.DUMMYFUNCTION("""COMPUTED_VALUE"""),45380.0)</f>
        <v>45380</v>
      </c>
      <c r="C12347" s="13">
        <f>IFERROR(__xludf.DUMMYFUNCTION("""COMPUTED_VALUE"""),0.4166666666666667)</f>
        <v>0.4166666667</v>
      </c>
      <c r="D12347" s="8">
        <f>IFERROR(__xludf.DUMMYFUNCTION("""COMPUTED_VALUE"""),0.076)</f>
        <v>0.076</v>
      </c>
      <c r="E12347" s="8" t="str">
        <f>IFERROR(__xludf.DUMMYFUNCTION("""COMPUTED_VALUE"""),"Real")</f>
        <v>Real</v>
      </c>
      <c r="G12347" s="8">
        <f t="shared" si="1"/>
        <v>3</v>
      </c>
      <c r="H12347" s="14">
        <f t="shared" si="2"/>
        <v>29</v>
      </c>
      <c r="I12347" s="15">
        <f t="shared" si="3"/>
        <v>10</v>
      </c>
    </row>
    <row r="12348">
      <c r="A12348" s="8" t="str">
        <f>IFERROR(__xludf.DUMMYFUNCTION("IF('(INGESTA)Datos_consumo_datadis'!A12348&lt;&gt;"""",SPLIT('(INGESTA)Datos_consumo_datadis'!A:A,"",""),"""")"),"ES0031408323131005HX0F")</f>
        <v>ES0031408323131005HX0F</v>
      </c>
      <c r="B12348" s="12">
        <f>IFERROR(__xludf.DUMMYFUNCTION("""COMPUTED_VALUE"""),45380.0)</f>
        <v>45380</v>
      </c>
      <c r="C12348" s="13">
        <f>IFERROR(__xludf.DUMMYFUNCTION("""COMPUTED_VALUE"""),0.4583333333333333)</f>
        <v>0.4583333333</v>
      </c>
      <c r="D12348" s="8">
        <f>IFERROR(__xludf.DUMMYFUNCTION("""COMPUTED_VALUE"""),1.137)</f>
        <v>1.137</v>
      </c>
      <c r="E12348" s="8" t="str">
        <f>IFERROR(__xludf.DUMMYFUNCTION("""COMPUTED_VALUE"""),"Real")</f>
        <v>Real</v>
      </c>
      <c r="G12348" s="8">
        <f t="shared" si="1"/>
        <v>3</v>
      </c>
      <c r="H12348" s="14">
        <f t="shared" si="2"/>
        <v>29</v>
      </c>
      <c r="I12348" s="15">
        <f t="shared" si="3"/>
        <v>11</v>
      </c>
    </row>
    <row r="12349">
      <c r="A12349" s="8" t="str">
        <f>IFERROR(__xludf.DUMMYFUNCTION("IF('(INGESTA)Datos_consumo_datadis'!A12349&lt;&gt;"""",SPLIT('(INGESTA)Datos_consumo_datadis'!A:A,"",""),"""")"),"ES0031408323131005HX0F")</f>
        <v>ES0031408323131005HX0F</v>
      </c>
      <c r="B12349" s="12">
        <f>IFERROR(__xludf.DUMMYFUNCTION("""COMPUTED_VALUE"""),45380.0)</f>
        <v>45380</v>
      </c>
      <c r="C12349" s="13">
        <f>IFERROR(__xludf.DUMMYFUNCTION("""COMPUTED_VALUE"""),0.5)</f>
        <v>0.5</v>
      </c>
      <c r="D12349" s="8">
        <f>IFERROR(__xludf.DUMMYFUNCTION("""COMPUTED_VALUE"""),0.702)</f>
        <v>0.702</v>
      </c>
      <c r="E12349" s="8" t="str">
        <f>IFERROR(__xludf.DUMMYFUNCTION("""COMPUTED_VALUE"""),"Real")</f>
        <v>Real</v>
      </c>
      <c r="G12349" s="8">
        <f t="shared" si="1"/>
        <v>3</v>
      </c>
      <c r="H12349" s="14">
        <f t="shared" si="2"/>
        <v>29</v>
      </c>
      <c r="I12349" s="15">
        <f t="shared" si="3"/>
        <v>12</v>
      </c>
    </row>
    <row r="12350">
      <c r="A12350" s="8" t="str">
        <f>IFERROR(__xludf.DUMMYFUNCTION("IF('(INGESTA)Datos_consumo_datadis'!A12350&lt;&gt;"""",SPLIT('(INGESTA)Datos_consumo_datadis'!A:A,"",""),"""")"),"ES0031408323131005HX0F")</f>
        <v>ES0031408323131005HX0F</v>
      </c>
      <c r="B12350" s="12">
        <f>IFERROR(__xludf.DUMMYFUNCTION("""COMPUTED_VALUE"""),45380.0)</f>
        <v>45380</v>
      </c>
      <c r="C12350" s="13">
        <f>IFERROR(__xludf.DUMMYFUNCTION("""COMPUTED_VALUE"""),0.5416666666666666)</f>
        <v>0.5416666667</v>
      </c>
      <c r="D12350" s="8">
        <f>IFERROR(__xludf.DUMMYFUNCTION("""COMPUTED_VALUE"""),0.129)</f>
        <v>0.129</v>
      </c>
      <c r="E12350" s="8" t="str">
        <f>IFERROR(__xludf.DUMMYFUNCTION("""COMPUTED_VALUE"""),"Real")</f>
        <v>Real</v>
      </c>
      <c r="G12350" s="8">
        <f t="shared" si="1"/>
        <v>3</v>
      </c>
      <c r="H12350" s="14">
        <f t="shared" si="2"/>
        <v>29</v>
      </c>
      <c r="I12350" s="15">
        <f t="shared" si="3"/>
        <v>13</v>
      </c>
    </row>
    <row r="12351">
      <c r="A12351" s="8" t="str">
        <f>IFERROR(__xludf.DUMMYFUNCTION("IF('(INGESTA)Datos_consumo_datadis'!A12351&lt;&gt;"""",SPLIT('(INGESTA)Datos_consumo_datadis'!A:A,"",""),"""")"),"ES0031408323131005HX0F")</f>
        <v>ES0031408323131005HX0F</v>
      </c>
      <c r="B12351" s="12">
        <f>IFERROR(__xludf.DUMMYFUNCTION("""COMPUTED_VALUE"""),45380.0)</f>
        <v>45380</v>
      </c>
      <c r="C12351" s="13">
        <f>IFERROR(__xludf.DUMMYFUNCTION("""COMPUTED_VALUE"""),0.5833333333333334)</f>
        <v>0.5833333333</v>
      </c>
      <c r="D12351" s="8">
        <f>IFERROR(__xludf.DUMMYFUNCTION("""COMPUTED_VALUE"""),1.466)</f>
        <v>1.466</v>
      </c>
      <c r="E12351" s="8" t="str">
        <f>IFERROR(__xludf.DUMMYFUNCTION("""COMPUTED_VALUE"""),"Real")</f>
        <v>Real</v>
      </c>
      <c r="G12351" s="8">
        <f t="shared" si="1"/>
        <v>3</v>
      </c>
      <c r="H12351" s="14">
        <f t="shared" si="2"/>
        <v>29</v>
      </c>
      <c r="I12351" s="15">
        <f t="shared" si="3"/>
        <v>14</v>
      </c>
    </row>
    <row r="12352">
      <c r="A12352" s="8" t="str">
        <f>IFERROR(__xludf.DUMMYFUNCTION("IF('(INGESTA)Datos_consumo_datadis'!A12352&lt;&gt;"""",SPLIT('(INGESTA)Datos_consumo_datadis'!A:A,"",""),"""")"),"ES0031408323131005HX0F")</f>
        <v>ES0031408323131005HX0F</v>
      </c>
      <c r="B12352" s="12">
        <f>IFERROR(__xludf.DUMMYFUNCTION("""COMPUTED_VALUE"""),45380.0)</f>
        <v>45380</v>
      </c>
      <c r="C12352" s="13">
        <f>IFERROR(__xludf.DUMMYFUNCTION("""COMPUTED_VALUE"""),0.625)</f>
        <v>0.625</v>
      </c>
      <c r="D12352" s="8">
        <f>IFERROR(__xludf.DUMMYFUNCTION("""COMPUTED_VALUE"""),1.55)</f>
        <v>1.55</v>
      </c>
      <c r="E12352" s="8" t="str">
        <f>IFERROR(__xludf.DUMMYFUNCTION("""COMPUTED_VALUE"""),"Real")</f>
        <v>Real</v>
      </c>
      <c r="G12352" s="8">
        <f t="shared" si="1"/>
        <v>3</v>
      </c>
      <c r="H12352" s="14">
        <f t="shared" si="2"/>
        <v>29</v>
      </c>
      <c r="I12352" s="15">
        <f t="shared" si="3"/>
        <v>15</v>
      </c>
    </row>
    <row r="12353">
      <c r="A12353" s="8" t="str">
        <f>IFERROR(__xludf.DUMMYFUNCTION("IF('(INGESTA)Datos_consumo_datadis'!A12353&lt;&gt;"""",SPLIT('(INGESTA)Datos_consumo_datadis'!A:A,"",""),"""")"),"ES0031408323131005HX0F")</f>
        <v>ES0031408323131005HX0F</v>
      </c>
      <c r="B12353" s="12">
        <f>IFERROR(__xludf.DUMMYFUNCTION("""COMPUTED_VALUE"""),45380.0)</f>
        <v>45380</v>
      </c>
      <c r="C12353" s="13">
        <f>IFERROR(__xludf.DUMMYFUNCTION("""COMPUTED_VALUE"""),0.6666666666666666)</f>
        <v>0.6666666667</v>
      </c>
      <c r="D12353" s="8">
        <f>IFERROR(__xludf.DUMMYFUNCTION("""COMPUTED_VALUE"""),1.296)</f>
        <v>1.296</v>
      </c>
      <c r="E12353" s="8" t="str">
        <f>IFERROR(__xludf.DUMMYFUNCTION("""COMPUTED_VALUE"""),"Real")</f>
        <v>Real</v>
      </c>
      <c r="G12353" s="8">
        <f t="shared" si="1"/>
        <v>3</v>
      </c>
      <c r="H12353" s="14">
        <f t="shared" si="2"/>
        <v>29</v>
      </c>
      <c r="I12353" s="15">
        <f t="shared" si="3"/>
        <v>16</v>
      </c>
    </row>
    <row r="12354">
      <c r="A12354" s="8" t="str">
        <f>IFERROR(__xludf.DUMMYFUNCTION("IF('(INGESTA)Datos_consumo_datadis'!A12354&lt;&gt;"""",SPLIT('(INGESTA)Datos_consumo_datadis'!A:A,"",""),"""")"),"ES0031408323131005HX0F")</f>
        <v>ES0031408323131005HX0F</v>
      </c>
      <c r="B12354" s="12">
        <f>IFERROR(__xludf.DUMMYFUNCTION("""COMPUTED_VALUE"""),45380.0)</f>
        <v>45380</v>
      </c>
      <c r="C12354" s="13">
        <f>IFERROR(__xludf.DUMMYFUNCTION("""COMPUTED_VALUE"""),0.7083333333333334)</f>
        <v>0.7083333333</v>
      </c>
      <c r="D12354" s="8">
        <f>IFERROR(__xludf.DUMMYFUNCTION("""COMPUTED_VALUE"""),1.666)</f>
        <v>1.666</v>
      </c>
      <c r="E12354" s="8" t="str">
        <f>IFERROR(__xludf.DUMMYFUNCTION("""COMPUTED_VALUE"""),"Real")</f>
        <v>Real</v>
      </c>
      <c r="G12354" s="8">
        <f t="shared" si="1"/>
        <v>3</v>
      </c>
      <c r="H12354" s="14">
        <f t="shared" si="2"/>
        <v>29</v>
      </c>
      <c r="I12354" s="15">
        <f t="shared" si="3"/>
        <v>17</v>
      </c>
    </row>
    <row r="12355">
      <c r="A12355" s="8" t="str">
        <f>IFERROR(__xludf.DUMMYFUNCTION("IF('(INGESTA)Datos_consumo_datadis'!A12355&lt;&gt;"""",SPLIT('(INGESTA)Datos_consumo_datadis'!A:A,"",""),"""")"),"ES0031408323131005HX0F")</f>
        <v>ES0031408323131005HX0F</v>
      </c>
      <c r="B12355" s="12">
        <f>IFERROR(__xludf.DUMMYFUNCTION("""COMPUTED_VALUE"""),45380.0)</f>
        <v>45380</v>
      </c>
      <c r="C12355" s="13">
        <f>IFERROR(__xludf.DUMMYFUNCTION("""COMPUTED_VALUE"""),0.75)</f>
        <v>0.75</v>
      </c>
      <c r="D12355" s="8">
        <f>IFERROR(__xludf.DUMMYFUNCTION("""COMPUTED_VALUE"""),0.668)</f>
        <v>0.668</v>
      </c>
      <c r="E12355" s="8" t="str">
        <f>IFERROR(__xludf.DUMMYFUNCTION("""COMPUTED_VALUE"""),"Real")</f>
        <v>Real</v>
      </c>
      <c r="G12355" s="8">
        <f t="shared" si="1"/>
        <v>3</v>
      </c>
      <c r="H12355" s="14">
        <f t="shared" si="2"/>
        <v>29</v>
      </c>
      <c r="I12355" s="15">
        <f t="shared" si="3"/>
        <v>18</v>
      </c>
    </row>
    <row r="12356">
      <c r="A12356" s="8" t="str">
        <f>IFERROR(__xludf.DUMMYFUNCTION("IF('(INGESTA)Datos_consumo_datadis'!A12356&lt;&gt;"""",SPLIT('(INGESTA)Datos_consumo_datadis'!A:A,"",""),"""")"),"ES0031408323131005HX0F")</f>
        <v>ES0031408323131005HX0F</v>
      </c>
      <c r="B12356" s="12">
        <f>IFERROR(__xludf.DUMMYFUNCTION("""COMPUTED_VALUE"""),45380.0)</f>
        <v>45380</v>
      </c>
      <c r="C12356" s="13">
        <f>IFERROR(__xludf.DUMMYFUNCTION("""COMPUTED_VALUE"""),0.7916666666666666)</f>
        <v>0.7916666667</v>
      </c>
      <c r="D12356" s="8">
        <f>IFERROR(__xludf.DUMMYFUNCTION("""COMPUTED_VALUE"""),0.321)</f>
        <v>0.321</v>
      </c>
      <c r="E12356" s="8" t="str">
        <f>IFERROR(__xludf.DUMMYFUNCTION("""COMPUTED_VALUE"""),"Real")</f>
        <v>Real</v>
      </c>
      <c r="G12356" s="8">
        <f t="shared" si="1"/>
        <v>3</v>
      </c>
      <c r="H12356" s="14">
        <f t="shared" si="2"/>
        <v>29</v>
      </c>
      <c r="I12356" s="15">
        <f t="shared" si="3"/>
        <v>19</v>
      </c>
    </row>
    <row r="12357">
      <c r="A12357" s="8" t="str">
        <f>IFERROR(__xludf.DUMMYFUNCTION("IF('(INGESTA)Datos_consumo_datadis'!A12357&lt;&gt;"""",SPLIT('(INGESTA)Datos_consumo_datadis'!A:A,"",""),"""")"),"ES0031408323131005HX0F")</f>
        <v>ES0031408323131005HX0F</v>
      </c>
      <c r="B12357" s="12">
        <f>IFERROR(__xludf.DUMMYFUNCTION("""COMPUTED_VALUE"""),45380.0)</f>
        <v>45380</v>
      </c>
      <c r="C12357" s="13">
        <f>IFERROR(__xludf.DUMMYFUNCTION("""COMPUTED_VALUE"""),0.8333333333333334)</f>
        <v>0.8333333333</v>
      </c>
      <c r="D12357" s="8">
        <f>IFERROR(__xludf.DUMMYFUNCTION("""COMPUTED_VALUE"""),0.08)</f>
        <v>0.08</v>
      </c>
      <c r="E12357" s="8" t="str">
        <f>IFERROR(__xludf.DUMMYFUNCTION("""COMPUTED_VALUE"""),"Real")</f>
        <v>Real</v>
      </c>
      <c r="G12357" s="8">
        <f t="shared" si="1"/>
        <v>3</v>
      </c>
      <c r="H12357" s="14">
        <f t="shared" si="2"/>
        <v>29</v>
      </c>
      <c r="I12357" s="15">
        <f t="shared" si="3"/>
        <v>20</v>
      </c>
    </row>
    <row r="12358">
      <c r="A12358" s="8" t="str">
        <f>IFERROR(__xludf.DUMMYFUNCTION("IF('(INGESTA)Datos_consumo_datadis'!A12358&lt;&gt;"""",SPLIT('(INGESTA)Datos_consumo_datadis'!A:A,"",""),"""")"),"ES0031408323131005HX0F")</f>
        <v>ES0031408323131005HX0F</v>
      </c>
      <c r="B12358" s="12">
        <f>IFERROR(__xludf.DUMMYFUNCTION("""COMPUTED_VALUE"""),45380.0)</f>
        <v>45380</v>
      </c>
      <c r="C12358" s="13">
        <f>IFERROR(__xludf.DUMMYFUNCTION("""COMPUTED_VALUE"""),0.875)</f>
        <v>0.875</v>
      </c>
      <c r="D12358" s="8">
        <f>IFERROR(__xludf.DUMMYFUNCTION("""COMPUTED_VALUE"""),0.037)</f>
        <v>0.037</v>
      </c>
      <c r="E12358" s="8" t="str">
        <f>IFERROR(__xludf.DUMMYFUNCTION("""COMPUTED_VALUE"""),"Real")</f>
        <v>Real</v>
      </c>
      <c r="G12358" s="8">
        <f t="shared" si="1"/>
        <v>3</v>
      </c>
      <c r="H12358" s="14">
        <f t="shared" si="2"/>
        <v>29</v>
      </c>
      <c r="I12358" s="15">
        <f t="shared" si="3"/>
        <v>21</v>
      </c>
    </row>
    <row r="12359">
      <c r="A12359" s="8" t="str">
        <f>IFERROR(__xludf.DUMMYFUNCTION("IF('(INGESTA)Datos_consumo_datadis'!A12359&lt;&gt;"""",SPLIT('(INGESTA)Datos_consumo_datadis'!A:A,"",""),"""")"),"ES0031408323131005HX0F")</f>
        <v>ES0031408323131005HX0F</v>
      </c>
      <c r="B12359" s="12">
        <f>IFERROR(__xludf.DUMMYFUNCTION("""COMPUTED_VALUE"""),45380.0)</f>
        <v>45380</v>
      </c>
      <c r="C12359" s="13">
        <f>IFERROR(__xludf.DUMMYFUNCTION("""COMPUTED_VALUE"""),0.9166666666666666)</f>
        <v>0.9166666667</v>
      </c>
      <c r="D12359" s="8">
        <f>IFERROR(__xludf.DUMMYFUNCTION("""COMPUTED_VALUE"""),0.964)</f>
        <v>0.964</v>
      </c>
      <c r="E12359" s="8" t="str">
        <f>IFERROR(__xludf.DUMMYFUNCTION("""COMPUTED_VALUE"""),"Real")</f>
        <v>Real</v>
      </c>
      <c r="G12359" s="8">
        <f t="shared" si="1"/>
        <v>3</v>
      </c>
      <c r="H12359" s="14">
        <f t="shared" si="2"/>
        <v>29</v>
      </c>
      <c r="I12359" s="15">
        <f t="shared" si="3"/>
        <v>22</v>
      </c>
    </row>
    <row r="12360">
      <c r="A12360" s="8" t="str">
        <f>IFERROR(__xludf.DUMMYFUNCTION("IF('(INGESTA)Datos_consumo_datadis'!A12360&lt;&gt;"""",SPLIT('(INGESTA)Datos_consumo_datadis'!A:A,"",""),"""")"),"ES0031408323131005HX0F")</f>
        <v>ES0031408323131005HX0F</v>
      </c>
      <c r="B12360" s="12">
        <f>IFERROR(__xludf.DUMMYFUNCTION("""COMPUTED_VALUE"""),45380.0)</f>
        <v>45380</v>
      </c>
      <c r="C12360" s="13">
        <f>IFERROR(__xludf.DUMMYFUNCTION("""COMPUTED_VALUE"""),0.9583333333333334)</f>
        <v>0.9583333333</v>
      </c>
      <c r="D12360" s="8">
        <f>IFERROR(__xludf.DUMMYFUNCTION("""COMPUTED_VALUE"""),2.359)</f>
        <v>2.359</v>
      </c>
      <c r="E12360" s="8" t="str">
        <f>IFERROR(__xludf.DUMMYFUNCTION("""COMPUTED_VALUE"""),"Real")</f>
        <v>Real</v>
      </c>
      <c r="G12360" s="8">
        <f t="shared" si="1"/>
        <v>3</v>
      </c>
      <c r="H12360" s="14">
        <f t="shared" si="2"/>
        <v>29</v>
      </c>
      <c r="I12360" s="15">
        <f t="shared" si="3"/>
        <v>23</v>
      </c>
    </row>
    <row r="12361">
      <c r="A12361" s="8" t="str">
        <f>IFERROR(__xludf.DUMMYFUNCTION("IF('(INGESTA)Datos_consumo_datadis'!A12361&lt;&gt;"""",SPLIT('(INGESTA)Datos_consumo_datadis'!A:A,"",""),"""")"),"ES0031408323131005HX0F")</f>
        <v>ES0031408323131005HX0F</v>
      </c>
      <c r="B12361" s="12">
        <f>IFERROR(__xludf.DUMMYFUNCTION("""COMPUTED_VALUE"""),45380.0)</f>
        <v>45380</v>
      </c>
      <c r="C12361" s="16">
        <f>IFERROR(__xludf.DUMMYFUNCTION("""COMPUTED_VALUE"""),1.0)</f>
        <v>1</v>
      </c>
      <c r="D12361" s="8">
        <f>IFERROR(__xludf.DUMMYFUNCTION("""COMPUTED_VALUE"""),0.724)</f>
        <v>0.724</v>
      </c>
      <c r="E12361" s="8" t="str">
        <f>IFERROR(__xludf.DUMMYFUNCTION("""COMPUTED_VALUE"""),"Real")</f>
        <v>Real</v>
      </c>
      <c r="G12361" s="8">
        <f t="shared" si="1"/>
        <v>3</v>
      </c>
      <c r="H12361" s="14">
        <f t="shared" si="2"/>
        <v>29</v>
      </c>
      <c r="I12361" s="15">
        <f t="shared" si="3"/>
        <v>0</v>
      </c>
    </row>
    <row r="12362">
      <c r="A12362" s="8" t="str">
        <f>IFERROR(__xludf.DUMMYFUNCTION("IF('(INGESTA)Datos_consumo_datadis'!A12362&lt;&gt;"""",SPLIT('(INGESTA)Datos_consumo_datadis'!A:A,"",""),"""")"),"ES0031408323131005HX0F")</f>
        <v>ES0031408323131005HX0F</v>
      </c>
      <c r="B12362" s="12">
        <f>IFERROR(__xludf.DUMMYFUNCTION("""COMPUTED_VALUE"""),45381.0)</f>
        <v>45381</v>
      </c>
      <c r="C12362" s="13">
        <f>IFERROR(__xludf.DUMMYFUNCTION("""COMPUTED_VALUE"""),0.041666666666666664)</f>
        <v>0.04166666667</v>
      </c>
      <c r="D12362" s="8">
        <f>IFERROR(__xludf.DUMMYFUNCTION("""COMPUTED_VALUE"""),0.803)</f>
        <v>0.803</v>
      </c>
      <c r="E12362" s="8" t="str">
        <f>IFERROR(__xludf.DUMMYFUNCTION("""COMPUTED_VALUE"""),"Real")</f>
        <v>Real</v>
      </c>
      <c r="G12362" s="8">
        <f t="shared" si="1"/>
        <v>3</v>
      </c>
      <c r="H12362" s="14">
        <f t="shared" si="2"/>
        <v>30</v>
      </c>
      <c r="I12362" s="15">
        <f t="shared" si="3"/>
        <v>1</v>
      </c>
    </row>
    <row r="12363">
      <c r="A12363" s="8" t="str">
        <f>IFERROR(__xludf.DUMMYFUNCTION("IF('(INGESTA)Datos_consumo_datadis'!A12363&lt;&gt;"""",SPLIT('(INGESTA)Datos_consumo_datadis'!A:A,"",""),"""")"),"ES0031408323131005HX0F")</f>
        <v>ES0031408323131005HX0F</v>
      </c>
      <c r="B12363" s="12">
        <f>IFERROR(__xludf.DUMMYFUNCTION("""COMPUTED_VALUE"""),45381.0)</f>
        <v>45381</v>
      </c>
      <c r="C12363" s="13">
        <f>IFERROR(__xludf.DUMMYFUNCTION("""COMPUTED_VALUE"""),0.08333333333333333)</f>
        <v>0.08333333333</v>
      </c>
      <c r="D12363" s="8">
        <f>IFERROR(__xludf.DUMMYFUNCTION("""COMPUTED_VALUE"""),0.081)</f>
        <v>0.081</v>
      </c>
      <c r="E12363" s="8" t="str">
        <f>IFERROR(__xludf.DUMMYFUNCTION("""COMPUTED_VALUE"""),"Real")</f>
        <v>Real</v>
      </c>
      <c r="G12363" s="8">
        <f t="shared" si="1"/>
        <v>3</v>
      </c>
      <c r="H12363" s="14">
        <f t="shared" si="2"/>
        <v>30</v>
      </c>
      <c r="I12363" s="15">
        <f t="shared" si="3"/>
        <v>2</v>
      </c>
    </row>
    <row r="12364">
      <c r="A12364" s="8" t="str">
        <f>IFERROR(__xludf.DUMMYFUNCTION("IF('(INGESTA)Datos_consumo_datadis'!A12364&lt;&gt;"""",SPLIT('(INGESTA)Datos_consumo_datadis'!A:A,"",""),"""")"),"ES0031408323131005HX0F")</f>
        <v>ES0031408323131005HX0F</v>
      </c>
      <c r="B12364" s="12">
        <f>IFERROR(__xludf.DUMMYFUNCTION("""COMPUTED_VALUE"""),45381.0)</f>
        <v>45381</v>
      </c>
      <c r="C12364" s="13">
        <f>IFERROR(__xludf.DUMMYFUNCTION("""COMPUTED_VALUE"""),0.125)</f>
        <v>0.125</v>
      </c>
      <c r="D12364" s="8">
        <f>IFERROR(__xludf.DUMMYFUNCTION("""COMPUTED_VALUE"""),0.054)</f>
        <v>0.054</v>
      </c>
      <c r="E12364" s="8" t="str">
        <f>IFERROR(__xludf.DUMMYFUNCTION("""COMPUTED_VALUE"""),"Real")</f>
        <v>Real</v>
      </c>
      <c r="G12364" s="8">
        <f t="shared" si="1"/>
        <v>3</v>
      </c>
      <c r="H12364" s="14">
        <f t="shared" si="2"/>
        <v>30</v>
      </c>
      <c r="I12364" s="15">
        <f t="shared" si="3"/>
        <v>3</v>
      </c>
    </row>
    <row r="12365">
      <c r="A12365" s="8" t="str">
        <f>IFERROR(__xludf.DUMMYFUNCTION("IF('(INGESTA)Datos_consumo_datadis'!A12365&lt;&gt;"""",SPLIT('(INGESTA)Datos_consumo_datadis'!A:A,"",""),"""")"),"ES0031408323131005HX0F")</f>
        <v>ES0031408323131005HX0F</v>
      </c>
      <c r="B12365" s="12">
        <f>IFERROR(__xludf.DUMMYFUNCTION("""COMPUTED_VALUE"""),45381.0)</f>
        <v>45381</v>
      </c>
      <c r="C12365" s="13">
        <f>IFERROR(__xludf.DUMMYFUNCTION("""COMPUTED_VALUE"""),0.16666666666666666)</f>
        <v>0.1666666667</v>
      </c>
      <c r="D12365" s="8">
        <f>IFERROR(__xludf.DUMMYFUNCTION("""COMPUTED_VALUE"""),0.071)</f>
        <v>0.071</v>
      </c>
      <c r="E12365" s="8" t="str">
        <f>IFERROR(__xludf.DUMMYFUNCTION("""COMPUTED_VALUE"""),"Real")</f>
        <v>Real</v>
      </c>
      <c r="G12365" s="8">
        <f t="shared" si="1"/>
        <v>3</v>
      </c>
      <c r="H12365" s="14">
        <f t="shared" si="2"/>
        <v>30</v>
      </c>
      <c r="I12365" s="15">
        <f t="shared" si="3"/>
        <v>4</v>
      </c>
    </row>
    <row r="12366">
      <c r="A12366" s="8" t="str">
        <f>IFERROR(__xludf.DUMMYFUNCTION("IF('(INGESTA)Datos_consumo_datadis'!A12366&lt;&gt;"""",SPLIT('(INGESTA)Datos_consumo_datadis'!A:A,"",""),"""")"),"ES0031408323131005HX0F")</f>
        <v>ES0031408323131005HX0F</v>
      </c>
      <c r="B12366" s="12">
        <f>IFERROR(__xludf.DUMMYFUNCTION("""COMPUTED_VALUE"""),45381.0)</f>
        <v>45381</v>
      </c>
      <c r="C12366" s="13">
        <f>IFERROR(__xludf.DUMMYFUNCTION("""COMPUTED_VALUE"""),0.20833333333333334)</f>
        <v>0.2083333333</v>
      </c>
      <c r="D12366" s="8">
        <f>IFERROR(__xludf.DUMMYFUNCTION("""COMPUTED_VALUE"""),0.334)</f>
        <v>0.334</v>
      </c>
      <c r="E12366" s="8" t="str">
        <f>IFERROR(__xludf.DUMMYFUNCTION("""COMPUTED_VALUE"""),"Real")</f>
        <v>Real</v>
      </c>
      <c r="G12366" s="8">
        <f t="shared" si="1"/>
        <v>3</v>
      </c>
      <c r="H12366" s="14">
        <f t="shared" si="2"/>
        <v>30</v>
      </c>
      <c r="I12366" s="15">
        <f t="shared" si="3"/>
        <v>5</v>
      </c>
    </row>
    <row r="12367">
      <c r="A12367" s="8" t="str">
        <f>IFERROR(__xludf.DUMMYFUNCTION("IF('(INGESTA)Datos_consumo_datadis'!A12367&lt;&gt;"""",SPLIT('(INGESTA)Datos_consumo_datadis'!A:A,"",""),"""")"),"ES0031408323131005HX0F")</f>
        <v>ES0031408323131005HX0F</v>
      </c>
      <c r="B12367" s="12">
        <f>IFERROR(__xludf.DUMMYFUNCTION("""COMPUTED_VALUE"""),45381.0)</f>
        <v>45381</v>
      </c>
      <c r="C12367" s="13">
        <f>IFERROR(__xludf.DUMMYFUNCTION("""COMPUTED_VALUE"""),0.25)</f>
        <v>0.25</v>
      </c>
      <c r="D12367" s="8">
        <f>IFERROR(__xludf.DUMMYFUNCTION("""COMPUTED_VALUE"""),0.072)</f>
        <v>0.072</v>
      </c>
      <c r="E12367" s="8" t="str">
        <f>IFERROR(__xludf.DUMMYFUNCTION("""COMPUTED_VALUE"""),"Real")</f>
        <v>Real</v>
      </c>
      <c r="G12367" s="8">
        <f t="shared" si="1"/>
        <v>3</v>
      </c>
      <c r="H12367" s="14">
        <f t="shared" si="2"/>
        <v>30</v>
      </c>
      <c r="I12367" s="15">
        <f t="shared" si="3"/>
        <v>6</v>
      </c>
    </row>
    <row r="12368">
      <c r="A12368" s="8" t="str">
        <f>IFERROR(__xludf.DUMMYFUNCTION("IF('(INGESTA)Datos_consumo_datadis'!A12368&lt;&gt;"""",SPLIT('(INGESTA)Datos_consumo_datadis'!A:A,"",""),"""")"),"ES0031408323131005HX0F")</f>
        <v>ES0031408323131005HX0F</v>
      </c>
      <c r="B12368" s="12">
        <f>IFERROR(__xludf.DUMMYFUNCTION("""COMPUTED_VALUE"""),45381.0)</f>
        <v>45381</v>
      </c>
      <c r="C12368" s="13">
        <f>IFERROR(__xludf.DUMMYFUNCTION("""COMPUTED_VALUE"""),0.2916666666666667)</f>
        <v>0.2916666667</v>
      </c>
      <c r="D12368" s="8">
        <f>IFERROR(__xludf.DUMMYFUNCTION("""COMPUTED_VALUE"""),0.061)</f>
        <v>0.061</v>
      </c>
      <c r="E12368" s="8" t="str">
        <f>IFERROR(__xludf.DUMMYFUNCTION("""COMPUTED_VALUE"""),"Real")</f>
        <v>Real</v>
      </c>
      <c r="G12368" s="8">
        <f t="shared" si="1"/>
        <v>3</v>
      </c>
      <c r="H12368" s="14">
        <f t="shared" si="2"/>
        <v>30</v>
      </c>
      <c r="I12368" s="15">
        <f t="shared" si="3"/>
        <v>7</v>
      </c>
    </row>
    <row r="12369">
      <c r="A12369" s="8" t="str">
        <f>IFERROR(__xludf.DUMMYFUNCTION("IF('(INGESTA)Datos_consumo_datadis'!A12369&lt;&gt;"""",SPLIT('(INGESTA)Datos_consumo_datadis'!A:A,"",""),"""")"),"ES0031408323131005HX0F")</f>
        <v>ES0031408323131005HX0F</v>
      </c>
      <c r="B12369" s="12">
        <f>IFERROR(__xludf.DUMMYFUNCTION("""COMPUTED_VALUE"""),45381.0)</f>
        <v>45381</v>
      </c>
      <c r="C12369" s="13">
        <f>IFERROR(__xludf.DUMMYFUNCTION("""COMPUTED_VALUE"""),0.3333333333333333)</f>
        <v>0.3333333333</v>
      </c>
      <c r="D12369" s="8">
        <f>IFERROR(__xludf.DUMMYFUNCTION("""COMPUTED_VALUE"""),0.051)</f>
        <v>0.051</v>
      </c>
      <c r="E12369" s="8" t="str">
        <f>IFERROR(__xludf.DUMMYFUNCTION("""COMPUTED_VALUE"""),"Real")</f>
        <v>Real</v>
      </c>
      <c r="G12369" s="8">
        <f t="shared" si="1"/>
        <v>3</v>
      </c>
      <c r="H12369" s="14">
        <f t="shared" si="2"/>
        <v>30</v>
      </c>
      <c r="I12369" s="15">
        <f t="shared" si="3"/>
        <v>8</v>
      </c>
    </row>
    <row r="12370">
      <c r="A12370" s="8" t="str">
        <f>IFERROR(__xludf.DUMMYFUNCTION("IF('(INGESTA)Datos_consumo_datadis'!A12370&lt;&gt;"""",SPLIT('(INGESTA)Datos_consumo_datadis'!A:A,"",""),"""")"),"ES0031408323131005HX0F")</f>
        <v>ES0031408323131005HX0F</v>
      </c>
      <c r="B12370" s="12">
        <f>IFERROR(__xludf.DUMMYFUNCTION("""COMPUTED_VALUE"""),45381.0)</f>
        <v>45381</v>
      </c>
      <c r="C12370" s="13">
        <f>IFERROR(__xludf.DUMMYFUNCTION("""COMPUTED_VALUE"""),0.375)</f>
        <v>0.375</v>
      </c>
      <c r="D12370" s="8">
        <f>IFERROR(__xludf.DUMMYFUNCTION("""COMPUTED_VALUE"""),0.06)</f>
        <v>0.06</v>
      </c>
      <c r="E12370" s="8" t="str">
        <f>IFERROR(__xludf.DUMMYFUNCTION("""COMPUTED_VALUE"""),"Real")</f>
        <v>Real</v>
      </c>
      <c r="G12370" s="8">
        <f t="shared" si="1"/>
        <v>3</v>
      </c>
      <c r="H12370" s="14">
        <f t="shared" si="2"/>
        <v>30</v>
      </c>
      <c r="I12370" s="15">
        <f t="shared" si="3"/>
        <v>9</v>
      </c>
    </row>
    <row r="12371">
      <c r="A12371" s="8" t="str">
        <f>IFERROR(__xludf.DUMMYFUNCTION("IF('(INGESTA)Datos_consumo_datadis'!A12371&lt;&gt;"""",SPLIT('(INGESTA)Datos_consumo_datadis'!A:A,"",""),"""")"),"ES0031408323131005HX0F")</f>
        <v>ES0031408323131005HX0F</v>
      </c>
      <c r="B12371" s="12">
        <f>IFERROR(__xludf.DUMMYFUNCTION("""COMPUTED_VALUE"""),45381.0)</f>
        <v>45381</v>
      </c>
      <c r="C12371" s="13">
        <f>IFERROR(__xludf.DUMMYFUNCTION("""COMPUTED_VALUE"""),0.4166666666666667)</f>
        <v>0.4166666667</v>
      </c>
      <c r="D12371" s="8">
        <f>IFERROR(__xludf.DUMMYFUNCTION("""COMPUTED_VALUE"""),1.468)</f>
        <v>1.468</v>
      </c>
      <c r="E12371" s="8" t="str">
        <f>IFERROR(__xludf.DUMMYFUNCTION("""COMPUTED_VALUE"""),"Real")</f>
        <v>Real</v>
      </c>
      <c r="G12371" s="8">
        <f t="shared" si="1"/>
        <v>3</v>
      </c>
      <c r="H12371" s="14">
        <f t="shared" si="2"/>
        <v>30</v>
      </c>
      <c r="I12371" s="15">
        <f t="shared" si="3"/>
        <v>10</v>
      </c>
    </row>
    <row r="12372">
      <c r="A12372" s="8" t="str">
        <f>IFERROR(__xludf.DUMMYFUNCTION("IF('(INGESTA)Datos_consumo_datadis'!A12372&lt;&gt;"""",SPLIT('(INGESTA)Datos_consumo_datadis'!A:A,"",""),"""")"),"ES0031408323131005HX0F")</f>
        <v>ES0031408323131005HX0F</v>
      </c>
      <c r="B12372" s="12">
        <f>IFERROR(__xludf.DUMMYFUNCTION("""COMPUTED_VALUE"""),45381.0)</f>
        <v>45381</v>
      </c>
      <c r="C12372" s="13">
        <f>IFERROR(__xludf.DUMMYFUNCTION("""COMPUTED_VALUE"""),0.4583333333333333)</f>
        <v>0.4583333333</v>
      </c>
      <c r="D12372" s="8">
        <f>IFERROR(__xludf.DUMMYFUNCTION("""COMPUTED_VALUE"""),0.804)</f>
        <v>0.804</v>
      </c>
      <c r="E12372" s="8" t="str">
        <f>IFERROR(__xludf.DUMMYFUNCTION("""COMPUTED_VALUE"""),"Real")</f>
        <v>Real</v>
      </c>
      <c r="G12372" s="8">
        <f t="shared" si="1"/>
        <v>3</v>
      </c>
      <c r="H12372" s="14">
        <f t="shared" si="2"/>
        <v>30</v>
      </c>
      <c r="I12372" s="15">
        <f t="shared" si="3"/>
        <v>11</v>
      </c>
    </row>
    <row r="12373">
      <c r="A12373" s="8" t="str">
        <f>IFERROR(__xludf.DUMMYFUNCTION("IF('(INGESTA)Datos_consumo_datadis'!A12373&lt;&gt;"""",SPLIT('(INGESTA)Datos_consumo_datadis'!A:A,"",""),"""")"),"ES0031408323131005HX0F")</f>
        <v>ES0031408323131005HX0F</v>
      </c>
      <c r="B12373" s="12">
        <f>IFERROR(__xludf.DUMMYFUNCTION("""COMPUTED_VALUE"""),45381.0)</f>
        <v>45381</v>
      </c>
      <c r="C12373" s="13">
        <f>IFERROR(__xludf.DUMMYFUNCTION("""COMPUTED_VALUE"""),0.5)</f>
        <v>0.5</v>
      </c>
      <c r="D12373" s="8">
        <f>IFERROR(__xludf.DUMMYFUNCTION("""COMPUTED_VALUE"""),0.173)</f>
        <v>0.173</v>
      </c>
      <c r="E12373" s="8" t="str">
        <f>IFERROR(__xludf.DUMMYFUNCTION("""COMPUTED_VALUE"""),"Real")</f>
        <v>Real</v>
      </c>
      <c r="G12373" s="8">
        <f t="shared" si="1"/>
        <v>3</v>
      </c>
      <c r="H12373" s="14">
        <f t="shared" si="2"/>
        <v>30</v>
      </c>
      <c r="I12373" s="15">
        <f t="shared" si="3"/>
        <v>12</v>
      </c>
    </row>
    <row r="12374">
      <c r="A12374" s="8" t="str">
        <f>IFERROR(__xludf.DUMMYFUNCTION("IF('(INGESTA)Datos_consumo_datadis'!A12374&lt;&gt;"""",SPLIT('(INGESTA)Datos_consumo_datadis'!A:A,"",""),"""")"),"ES0031408323131005HX0F")</f>
        <v>ES0031408323131005HX0F</v>
      </c>
      <c r="B12374" s="12">
        <f>IFERROR(__xludf.DUMMYFUNCTION("""COMPUTED_VALUE"""),45381.0)</f>
        <v>45381</v>
      </c>
      <c r="C12374" s="13">
        <f>IFERROR(__xludf.DUMMYFUNCTION("""COMPUTED_VALUE"""),0.5416666666666666)</f>
        <v>0.5416666667</v>
      </c>
      <c r="D12374" s="8">
        <f>IFERROR(__xludf.DUMMYFUNCTION("""COMPUTED_VALUE"""),0.332)</f>
        <v>0.332</v>
      </c>
      <c r="E12374" s="8" t="str">
        <f>IFERROR(__xludf.DUMMYFUNCTION("""COMPUTED_VALUE"""),"Real")</f>
        <v>Real</v>
      </c>
      <c r="G12374" s="8">
        <f t="shared" si="1"/>
        <v>3</v>
      </c>
      <c r="H12374" s="14">
        <f t="shared" si="2"/>
        <v>30</v>
      </c>
      <c r="I12374" s="15">
        <f t="shared" si="3"/>
        <v>13</v>
      </c>
    </row>
    <row r="12375">
      <c r="A12375" s="8" t="str">
        <f>IFERROR(__xludf.DUMMYFUNCTION("IF('(INGESTA)Datos_consumo_datadis'!A12375&lt;&gt;"""",SPLIT('(INGESTA)Datos_consumo_datadis'!A:A,"",""),"""")"),"ES0031408323131005HX0F")</f>
        <v>ES0031408323131005HX0F</v>
      </c>
      <c r="B12375" s="12">
        <f>IFERROR(__xludf.DUMMYFUNCTION("""COMPUTED_VALUE"""),45381.0)</f>
        <v>45381</v>
      </c>
      <c r="C12375" s="13">
        <f>IFERROR(__xludf.DUMMYFUNCTION("""COMPUTED_VALUE"""),0.5833333333333334)</f>
        <v>0.5833333333</v>
      </c>
      <c r="D12375" s="8">
        <f>IFERROR(__xludf.DUMMYFUNCTION("""COMPUTED_VALUE"""),0.056)</f>
        <v>0.056</v>
      </c>
      <c r="E12375" s="8" t="str">
        <f>IFERROR(__xludf.DUMMYFUNCTION("""COMPUTED_VALUE"""),"Real")</f>
        <v>Real</v>
      </c>
      <c r="G12375" s="8">
        <f t="shared" si="1"/>
        <v>3</v>
      </c>
      <c r="H12375" s="14">
        <f t="shared" si="2"/>
        <v>30</v>
      </c>
      <c r="I12375" s="15">
        <f t="shared" si="3"/>
        <v>14</v>
      </c>
    </row>
    <row r="12376">
      <c r="A12376" s="8" t="str">
        <f>IFERROR(__xludf.DUMMYFUNCTION("IF('(INGESTA)Datos_consumo_datadis'!A12376&lt;&gt;"""",SPLIT('(INGESTA)Datos_consumo_datadis'!A:A,"",""),"""")"),"ES0031408323131005HX0F")</f>
        <v>ES0031408323131005HX0F</v>
      </c>
      <c r="B12376" s="12">
        <f>IFERROR(__xludf.DUMMYFUNCTION("""COMPUTED_VALUE"""),45381.0)</f>
        <v>45381</v>
      </c>
      <c r="C12376" s="13">
        <f>IFERROR(__xludf.DUMMYFUNCTION("""COMPUTED_VALUE"""),0.625)</f>
        <v>0.625</v>
      </c>
      <c r="D12376" s="8">
        <f>IFERROR(__xludf.DUMMYFUNCTION("""COMPUTED_VALUE"""),0.063)</f>
        <v>0.063</v>
      </c>
      <c r="E12376" s="8" t="str">
        <f>IFERROR(__xludf.DUMMYFUNCTION("""COMPUTED_VALUE"""),"Real")</f>
        <v>Real</v>
      </c>
      <c r="G12376" s="8">
        <f t="shared" si="1"/>
        <v>3</v>
      </c>
      <c r="H12376" s="14">
        <f t="shared" si="2"/>
        <v>30</v>
      </c>
      <c r="I12376" s="15">
        <f t="shared" si="3"/>
        <v>15</v>
      </c>
    </row>
    <row r="12377">
      <c r="A12377" s="8" t="str">
        <f>IFERROR(__xludf.DUMMYFUNCTION("IF('(INGESTA)Datos_consumo_datadis'!A12377&lt;&gt;"""",SPLIT('(INGESTA)Datos_consumo_datadis'!A:A,"",""),"""")"),"ES0031408323131005HX0F")</f>
        <v>ES0031408323131005HX0F</v>
      </c>
      <c r="B12377" s="12">
        <f>IFERROR(__xludf.DUMMYFUNCTION("""COMPUTED_VALUE"""),45381.0)</f>
        <v>45381</v>
      </c>
      <c r="C12377" s="13">
        <f>IFERROR(__xludf.DUMMYFUNCTION("""COMPUTED_VALUE"""),0.6666666666666666)</f>
        <v>0.6666666667</v>
      </c>
      <c r="D12377" s="8">
        <f>IFERROR(__xludf.DUMMYFUNCTION("""COMPUTED_VALUE"""),0.058)</f>
        <v>0.058</v>
      </c>
      <c r="E12377" s="8" t="str">
        <f>IFERROR(__xludf.DUMMYFUNCTION("""COMPUTED_VALUE"""),"Real")</f>
        <v>Real</v>
      </c>
      <c r="G12377" s="8">
        <f t="shared" si="1"/>
        <v>3</v>
      </c>
      <c r="H12377" s="14">
        <f t="shared" si="2"/>
        <v>30</v>
      </c>
      <c r="I12377" s="15">
        <f t="shared" si="3"/>
        <v>16</v>
      </c>
    </row>
    <row r="12378">
      <c r="A12378" s="8" t="str">
        <f>IFERROR(__xludf.DUMMYFUNCTION("IF('(INGESTA)Datos_consumo_datadis'!A12378&lt;&gt;"""",SPLIT('(INGESTA)Datos_consumo_datadis'!A:A,"",""),"""")"),"ES0031408323131005HX0F")</f>
        <v>ES0031408323131005HX0F</v>
      </c>
      <c r="B12378" s="12">
        <f>IFERROR(__xludf.DUMMYFUNCTION("""COMPUTED_VALUE"""),45381.0)</f>
        <v>45381</v>
      </c>
      <c r="C12378" s="13">
        <f>IFERROR(__xludf.DUMMYFUNCTION("""COMPUTED_VALUE"""),0.7083333333333334)</f>
        <v>0.7083333333</v>
      </c>
      <c r="D12378" s="8">
        <f>IFERROR(__xludf.DUMMYFUNCTION("""COMPUTED_VALUE"""),0.583)</f>
        <v>0.583</v>
      </c>
      <c r="E12378" s="8" t="str">
        <f>IFERROR(__xludf.DUMMYFUNCTION("""COMPUTED_VALUE"""),"Real")</f>
        <v>Real</v>
      </c>
      <c r="G12378" s="8">
        <f t="shared" si="1"/>
        <v>3</v>
      </c>
      <c r="H12378" s="14">
        <f t="shared" si="2"/>
        <v>30</v>
      </c>
      <c r="I12378" s="15">
        <f t="shared" si="3"/>
        <v>17</v>
      </c>
    </row>
    <row r="12379">
      <c r="A12379" s="8" t="str">
        <f>IFERROR(__xludf.DUMMYFUNCTION("IF('(INGESTA)Datos_consumo_datadis'!A12379&lt;&gt;"""",SPLIT('(INGESTA)Datos_consumo_datadis'!A:A,"",""),"""")"),"ES0031408323131005HX0F")</f>
        <v>ES0031408323131005HX0F</v>
      </c>
      <c r="B12379" s="12">
        <f>IFERROR(__xludf.DUMMYFUNCTION("""COMPUTED_VALUE"""),45381.0)</f>
        <v>45381</v>
      </c>
      <c r="C12379" s="13">
        <f>IFERROR(__xludf.DUMMYFUNCTION("""COMPUTED_VALUE"""),0.75)</f>
        <v>0.75</v>
      </c>
      <c r="D12379" s="8">
        <f>IFERROR(__xludf.DUMMYFUNCTION("""COMPUTED_VALUE"""),1.428)</f>
        <v>1.428</v>
      </c>
      <c r="E12379" s="8" t="str">
        <f>IFERROR(__xludf.DUMMYFUNCTION("""COMPUTED_VALUE"""),"Real")</f>
        <v>Real</v>
      </c>
      <c r="G12379" s="8">
        <f t="shared" si="1"/>
        <v>3</v>
      </c>
      <c r="H12379" s="14">
        <f t="shared" si="2"/>
        <v>30</v>
      </c>
      <c r="I12379" s="15">
        <f t="shared" si="3"/>
        <v>18</v>
      </c>
    </row>
    <row r="12380">
      <c r="A12380" s="8" t="str">
        <f>IFERROR(__xludf.DUMMYFUNCTION("IF('(INGESTA)Datos_consumo_datadis'!A12380&lt;&gt;"""",SPLIT('(INGESTA)Datos_consumo_datadis'!A:A,"",""),"""")"),"ES0031408323131005HX0F")</f>
        <v>ES0031408323131005HX0F</v>
      </c>
      <c r="B12380" s="12">
        <f>IFERROR(__xludf.DUMMYFUNCTION("""COMPUTED_VALUE"""),45381.0)</f>
        <v>45381</v>
      </c>
      <c r="C12380" s="13">
        <f>IFERROR(__xludf.DUMMYFUNCTION("""COMPUTED_VALUE"""),0.7916666666666666)</f>
        <v>0.7916666667</v>
      </c>
      <c r="D12380" s="8">
        <f>IFERROR(__xludf.DUMMYFUNCTION("""COMPUTED_VALUE"""),0.095)</f>
        <v>0.095</v>
      </c>
      <c r="E12380" s="8" t="str">
        <f>IFERROR(__xludf.DUMMYFUNCTION("""COMPUTED_VALUE"""),"Real")</f>
        <v>Real</v>
      </c>
      <c r="G12380" s="8">
        <f t="shared" si="1"/>
        <v>3</v>
      </c>
      <c r="H12380" s="14">
        <f t="shared" si="2"/>
        <v>30</v>
      </c>
      <c r="I12380" s="15">
        <f t="shared" si="3"/>
        <v>19</v>
      </c>
    </row>
    <row r="12381">
      <c r="A12381" s="8" t="str">
        <f>IFERROR(__xludf.DUMMYFUNCTION("IF('(INGESTA)Datos_consumo_datadis'!A12381&lt;&gt;"""",SPLIT('(INGESTA)Datos_consumo_datadis'!A:A,"",""),"""")"),"ES0031408323131005HX0F")</f>
        <v>ES0031408323131005HX0F</v>
      </c>
      <c r="B12381" s="12">
        <f>IFERROR(__xludf.DUMMYFUNCTION("""COMPUTED_VALUE"""),45381.0)</f>
        <v>45381</v>
      </c>
      <c r="C12381" s="13">
        <f>IFERROR(__xludf.DUMMYFUNCTION("""COMPUTED_VALUE"""),0.8333333333333334)</f>
        <v>0.8333333333</v>
      </c>
      <c r="D12381" s="8">
        <f>IFERROR(__xludf.DUMMYFUNCTION("""COMPUTED_VALUE"""),0.065)</f>
        <v>0.065</v>
      </c>
      <c r="E12381" s="8" t="str">
        <f>IFERROR(__xludf.DUMMYFUNCTION("""COMPUTED_VALUE"""),"Real")</f>
        <v>Real</v>
      </c>
      <c r="G12381" s="8">
        <f t="shared" si="1"/>
        <v>3</v>
      </c>
      <c r="H12381" s="14">
        <f t="shared" si="2"/>
        <v>30</v>
      </c>
      <c r="I12381" s="15">
        <f t="shared" si="3"/>
        <v>20</v>
      </c>
    </row>
    <row r="12382">
      <c r="A12382" s="8" t="str">
        <f>IFERROR(__xludf.DUMMYFUNCTION("IF('(INGESTA)Datos_consumo_datadis'!A12382&lt;&gt;"""",SPLIT('(INGESTA)Datos_consumo_datadis'!A:A,"",""),"""")"),"ES0031408323131005HX0F")</f>
        <v>ES0031408323131005HX0F</v>
      </c>
      <c r="B12382" s="12">
        <f>IFERROR(__xludf.DUMMYFUNCTION("""COMPUTED_VALUE"""),45381.0)</f>
        <v>45381</v>
      </c>
      <c r="C12382" s="13">
        <f>IFERROR(__xludf.DUMMYFUNCTION("""COMPUTED_VALUE"""),0.875)</f>
        <v>0.875</v>
      </c>
      <c r="D12382" s="8">
        <f>IFERROR(__xludf.DUMMYFUNCTION("""COMPUTED_VALUE"""),2.328)</f>
        <v>2.328</v>
      </c>
      <c r="E12382" s="8" t="str">
        <f>IFERROR(__xludf.DUMMYFUNCTION("""COMPUTED_VALUE"""),"Real")</f>
        <v>Real</v>
      </c>
      <c r="G12382" s="8">
        <f t="shared" si="1"/>
        <v>3</v>
      </c>
      <c r="H12382" s="14">
        <f t="shared" si="2"/>
        <v>30</v>
      </c>
      <c r="I12382" s="15">
        <f t="shared" si="3"/>
        <v>21</v>
      </c>
    </row>
    <row r="12383">
      <c r="A12383" s="8" t="str">
        <f>IFERROR(__xludf.DUMMYFUNCTION("IF('(INGESTA)Datos_consumo_datadis'!A12383&lt;&gt;"""",SPLIT('(INGESTA)Datos_consumo_datadis'!A:A,"",""),"""")"),"ES0031408323131005HX0F")</f>
        <v>ES0031408323131005HX0F</v>
      </c>
      <c r="B12383" s="12">
        <f>IFERROR(__xludf.DUMMYFUNCTION("""COMPUTED_VALUE"""),45381.0)</f>
        <v>45381</v>
      </c>
      <c r="C12383" s="13">
        <f>IFERROR(__xludf.DUMMYFUNCTION("""COMPUTED_VALUE"""),0.9166666666666666)</f>
        <v>0.9166666667</v>
      </c>
      <c r="D12383" s="8">
        <f>IFERROR(__xludf.DUMMYFUNCTION("""COMPUTED_VALUE"""),1.088)</f>
        <v>1.088</v>
      </c>
      <c r="E12383" s="8" t="str">
        <f>IFERROR(__xludf.DUMMYFUNCTION("""COMPUTED_VALUE"""),"Real")</f>
        <v>Real</v>
      </c>
      <c r="G12383" s="8">
        <f t="shared" si="1"/>
        <v>3</v>
      </c>
      <c r="H12383" s="14">
        <f t="shared" si="2"/>
        <v>30</v>
      </c>
      <c r="I12383" s="15">
        <f t="shared" si="3"/>
        <v>22</v>
      </c>
    </row>
    <row r="12384">
      <c r="A12384" s="8" t="str">
        <f>IFERROR(__xludf.DUMMYFUNCTION("IF('(INGESTA)Datos_consumo_datadis'!A12384&lt;&gt;"""",SPLIT('(INGESTA)Datos_consumo_datadis'!A:A,"",""),"""")"),"ES0031408323131005HX0F")</f>
        <v>ES0031408323131005HX0F</v>
      </c>
      <c r="B12384" s="12">
        <f>IFERROR(__xludf.DUMMYFUNCTION("""COMPUTED_VALUE"""),45381.0)</f>
        <v>45381</v>
      </c>
      <c r="C12384" s="13">
        <f>IFERROR(__xludf.DUMMYFUNCTION("""COMPUTED_VALUE"""),0.9583333333333334)</f>
        <v>0.9583333333</v>
      </c>
      <c r="D12384" s="8">
        <f>IFERROR(__xludf.DUMMYFUNCTION("""COMPUTED_VALUE"""),1.379)</f>
        <v>1.379</v>
      </c>
      <c r="E12384" s="8" t="str">
        <f>IFERROR(__xludf.DUMMYFUNCTION("""COMPUTED_VALUE"""),"Real")</f>
        <v>Real</v>
      </c>
      <c r="G12384" s="8">
        <f t="shared" si="1"/>
        <v>3</v>
      </c>
      <c r="H12384" s="14">
        <f t="shared" si="2"/>
        <v>30</v>
      </c>
      <c r="I12384" s="15">
        <f t="shared" si="3"/>
        <v>23</v>
      </c>
    </row>
    <row r="12385">
      <c r="A12385" s="8" t="str">
        <f>IFERROR(__xludf.DUMMYFUNCTION("IF('(INGESTA)Datos_consumo_datadis'!A12385&lt;&gt;"""",SPLIT('(INGESTA)Datos_consumo_datadis'!A:A,"",""),"""")"),"ES0031408323131005HX0F")</f>
        <v>ES0031408323131005HX0F</v>
      </c>
      <c r="B12385" s="12">
        <f>IFERROR(__xludf.DUMMYFUNCTION("""COMPUTED_VALUE"""),45381.0)</f>
        <v>45381</v>
      </c>
      <c r="C12385" s="16">
        <f>IFERROR(__xludf.DUMMYFUNCTION("""COMPUTED_VALUE"""),1.0)</f>
        <v>1</v>
      </c>
      <c r="D12385" s="8">
        <f>IFERROR(__xludf.DUMMYFUNCTION("""COMPUTED_VALUE"""),0.062)</f>
        <v>0.062</v>
      </c>
      <c r="E12385" s="8" t="str">
        <f>IFERROR(__xludf.DUMMYFUNCTION("""COMPUTED_VALUE"""),"Real")</f>
        <v>Real</v>
      </c>
      <c r="G12385" s="8">
        <f t="shared" si="1"/>
        <v>3</v>
      </c>
      <c r="H12385" s="14">
        <f t="shared" si="2"/>
        <v>30</v>
      </c>
      <c r="I12385" s="15">
        <f t="shared" si="3"/>
        <v>0</v>
      </c>
    </row>
    <row r="12386">
      <c r="A12386" s="8" t="str">
        <f>IFERROR(__xludf.DUMMYFUNCTION("IF('(INGESTA)Datos_consumo_datadis'!A12386&lt;&gt;"""",SPLIT('(INGESTA)Datos_consumo_datadis'!A:A,"",""),"""")"),"ES0031408323131005HX0F")</f>
        <v>ES0031408323131005HX0F</v>
      </c>
      <c r="B12386" s="12">
        <f>IFERROR(__xludf.DUMMYFUNCTION("""COMPUTED_VALUE"""),45382.0)</f>
        <v>45382</v>
      </c>
      <c r="C12386" s="13">
        <f>IFERROR(__xludf.DUMMYFUNCTION("""COMPUTED_VALUE"""),0.041666666666666664)</f>
        <v>0.04166666667</v>
      </c>
      <c r="D12386" s="8">
        <f>IFERROR(__xludf.DUMMYFUNCTION("""COMPUTED_VALUE"""),0.092)</f>
        <v>0.092</v>
      </c>
      <c r="E12386" s="8" t="str">
        <f>IFERROR(__xludf.DUMMYFUNCTION("""COMPUTED_VALUE"""),"Real")</f>
        <v>Real</v>
      </c>
      <c r="G12386" s="8">
        <f t="shared" si="1"/>
        <v>3</v>
      </c>
      <c r="H12386" s="14">
        <f t="shared" si="2"/>
        <v>31</v>
      </c>
      <c r="I12386" s="15">
        <f t="shared" si="3"/>
        <v>1</v>
      </c>
    </row>
    <row r="12387">
      <c r="A12387" s="8" t="str">
        <f>IFERROR(__xludf.DUMMYFUNCTION("IF('(INGESTA)Datos_consumo_datadis'!A12387&lt;&gt;"""",SPLIT('(INGESTA)Datos_consumo_datadis'!A:A,"",""),"""")"),"ES0031408323131005HX0F")</f>
        <v>ES0031408323131005HX0F</v>
      </c>
      <c r="B12387" s="12">
        <f>IFERROR(__xludf.DUMMYFUNCTION("""COMPUTED_VALUE"""),45382.0)</f>
        <v>45382</v>
      </c>
      <c r="C12387" s="13">
        <f>IFERROR(__xludf.DUMMYFUNCTION("""COMPUTED_VALUE"""),0.08333333333333333)</f>
        <v>0.08333333333</v>
      </c>
      <c r="D12387" s="8">
        <f>IFERROR(__xludf.DUMMYFUNCTION("""COMPUTED_VALUE"""),0.352)</f>
        <v>0.352</v>
      </c>
      <c r="E12387" s="8" t="str">
        <f>IFERROR(__xludf.DUMMYFUNCTION("""COMPUTED_VALUE"""),"Real")</f>
        <v>Real</v>
      </c>
      <c r="G12387" s="8">
        <f t="shared" si="1"/>
        <v>3</v>
      </c>
      <c r="H12387" s="14">
        <f t="shared" si="2"/>
        <v>31</v>
      </c>
      <c r="I12387" s="15">
        <f t="shared" si="3"/>
        <v>2</v>
      </c>
    </row>
    <row r="12388">
      <c r="A12388" s="8" t="str">
        <f>IFERROR(__xludf.DUMMYFUNCTION("IF('(INGESTA)Datos_consumo_datadis'!A12388&lt;&gt;"""",SPLIT('(INGESTA)Datos_consumo_datadis'!A:A,"",""),"""")"),"ES0031408323131005HX0F")</f>
        <v>ES0031408323131005HX0F</v>
      </c>
      <c r="B12388" s="12">
        <f>IFERROR(__xludf.DUMMYFUNCTION("""COMPUTED_VALUE"""),45382.0)</f>
        <v>45382</v>
      </c>
      <c r="C12388" s="13">
        <f>IFERROR(__xludf.DUMMYFUNCTION("""COMPUTED_VALUE"""),0.16666666666666666)</f>
        <v>0.1666666667</v>
      </c>
      <c r="D12388" s="8">
        <f>IFERROR(__xludf.DUMMYFUNCTION("""COMPUTED_VALUE"""),0.07)</f>
        <v>0.07</v>
      </c>
      <c r="E12388" s="8" t="str">
        <f>IFERROR(__xludf.DUMMYFUNCTION("""COMPUTED_VALUE"""),"Real")</f>
        <v>Real</v>
      </c>
      <c r="G12388" s="8">
        <f t="shared" si="1"/>
        <v>3</v>
      </c>
      <c r="H12388" s="14">
        <f t="shared" si="2"/>
        <v>31</v>
      </c>
      <c r="I12388" s="15">
        <f t="shared" si="3"/>
        <v>4</v>
      </c>
    </row>
    <row r="12389">
      <c r="A12389" s="8" t="str">
        <f>IFERROR(__xludf.DUMMYFUNCTION("IF('(INGESTA)Datos_consumo_datadis'!A12389&lt;&gt;"""",SPLIT('(INGESTA)Datos_consumo_datadis'!A:A,"",""),"""")"),"ES0031408323131005HX0F")</f>
        <v>ES0031408323131005HX0F</v>
      </c>
      <c r="B12389" s="12">
        <f>IFERROR(__xludf.DUMMYFUNCTION("""COMPUTED_VALUE"""),45382.0)</f>
        <v>45382</v>
      </c>
      <c r="C12389" s="13">
        <f>IFERROR(__xludf.DUMMYFUNCTION("""COMPUTED_VALUE"""),0.20833333333333334)</f>
        <v>0.2083333333</v>
      </c>
      <c r="D12389" s="8">
        <f>IFERROR(__xludf.DUMMYFUNCTION("""COMPUTED_VALUE"""),0.058)</f>
        <v>0.058</v>
      </c>
      <c r="E12389" s="8" t="str">
        <f>IFERROR(__xludf.DUMMYFUNCTION("""COMPUTED_VALUE"""),"Real")</f>
        <v>Real</v>
      </c>
      <c r="G12389" s="8">
        <f t="shared" si="1"/>
        <v>3</v>
      </c>
      <c r="H12389" s="14">
        <f t="shared" si="2"/>
        <v>31</v>
      </c>
      <c r="I12389" s="15">
        <f t="shared" si="3"/>
        <v>5</v>
      </c>
    </row>
    <row r="12390">
      <c r="A12390" s="8" t="str">
        <f>IFERROR(__xludf.DUMMYFUNCTION("IF('(INGESTA)Datos_consumo_datadis'!A12390&lt;&gt;"""",SPLIT('(INGESTA)Datos_consumo_datadis'!A:A,"",""),"""")"),"ES0031408323131005HX0F")</f>
        <v>ES0031408323131005HX0F</v>
      </c>
      <c r="B12390" s="12">
        <f>IFERROR(__xludf.DUMMYFUNCTION("""COMPUTED_VALUE"""),45382.0)</f>
        <v>45382</v>
      </c>
      <c r="C12390" s="13">
        <f>IFERROR(__xludf.DUMMYFUNCTION("""COMPUTED_VALUE"""),0.25)</f>
        <v>0.25</v>
      </c>
      <c r="D12390" s="8">
        <f>IFERROR(__xludf.DUMMYFUNCTION("""COMPUTED_VALUE"""),0.04)</f>
        <v>0.04</v>
      </c>
      <c r="E12390" s="8" t="str">
        <f>IFERROR(__xludf.DUMMYFUNCTION("""COMPUTED_VALUE"""),"Real")</f>
        <v>Real</v>
      </c>
      <c r="G12390" s="8">
        <f t="shared" si="1"/>
        <v>3</v>
      </c>
      <c r="H12390" s="14">
        <f t="shared" si="2"/>
        <v>31</v>
      </c>
      <c r="I12390" s="15">
        <f t="shared" si="3"/>
        <v>6</v>
      </c>
    </row>
    <row r="12391">
      <c r="A12391" s="8" t="str">
        <f>IFERROR(__xludf.DUMMYFUNCTION("IF('(INGESTA)Datos_consumo_datadis'!A12391&lt;&gt;"""",SPLIT('(INGESTA)Datos_consumo_datadis'!A:A,"",""),"""")"),"ES0031408323131005HX0F")</f>
        <v>ES0031408323131005HX0F</v>
      </c>
      <c r="B12391" s="12">
        <f>IFERROR(__xludf.DUMMYFUNCTION("""COMPUTED_VALUE"""),45382.0)</f>
        <v>45382</v>
      </c>
      <c r="C12391" s="13">
        <f>IFERROR(__xludf.DUMMYFUNCTION("""COMPUTED_VALUE"""),0.2916666666666667)</f>
        <v>0.2916666667</v>
      </c>
      <c r="D12391" s="8">
        <f>IFERROR(__xludf.DUMMYFUNCTION("""COMPUTED_VALUE"""),0.06)</f>
        <v>0.06</v>
      </c>
      <c r="E12391" s="8" t="str">
        <f>IFERROR(__xludf.DUMMYFUNCTION("""COMPUTED_VALUE"""),"Real")</f>
        <v>Real</v>
      </c>
      <c r="G12391" s="8">
        <f t="shared" si="1"/>
        <v>3</v>
      </c>
      <c r="H12391" s="14">
        <f t="shared" si="2"/>
        <v>31</v>
      </c>
      <c r="I12391" s="15">
        <f t="shared" si="3"/>
        <v>7</v>
      </c>
    </row>
    <row r="12392">
      <c r="A12392" s="8" t="str">
        <f>IFERROR(__xludf.DUMMYFUNCTION("IF('(INGESTA)Datos_consumo_datadis'!A12392&lt;&gt;"""",SPLIT('(INGESTA)Datos_consumo_datadis'!A:A,"",""),"""")"),"ES0031408323131005HX0F")</f>
        <v>ES0031408323131005HX0F</v>
      </c>
      <c r="B12392" s="12">
        <f>IFERROR(__xludf.DUMMYFUNCTION("""COMPUTED_VALUE"""),45382.0)</f>
        <v>45382</v>
      </c>
      <c r="C12392" s="13">
        <f>IFERROR(__xludf.DUMMYFUNCTION("""COMPUTED_VALUE"""),0.3333333333333333)</f>
        <v>0.3333333333</v>
      </c>
      <c r="D12392" s="8">
        <f>IFERROR(__xludf.DUMMYFUNCTION("""COMPUTED_VALUE"""),0.046)</f>
        <v>0.046</v>
      </c>
      <c r="E12392" s="8" t="str">
        <f>IFERROR(__xludf.DUMMYFUNCTION("""COMPUTED_VALUE"""),"Real")</f>
        <v>Real</v>
      </c>
      <c r="G12392" s="8">
        <f t="shared" si="1"/>
        <v>3</v>
      </c>
      <c r="H12392" s="14">
        <f t="shared" si="2"/>
        <v>31</v>
      </c>
      <c r="I12392" s="15">
        <f t="shared" si="3"/>
        <v>8</v>
      </c>
    </row>
    <row r="12393">
      <c r="A12393" s="8" t="str">
        <f>IFERROR(__xludf.DUMMYFUNCTION("IF('(INGESTA)Datos_consumo_datadis'!A12393&lt;&gt;"""",SPLIT('(INGESTA)Datos_consumo_datadis'!A:A,"",""),"""")"),"ES0031408323131005HX0F")</f>
        <v>ES0031408323131005HX0F</v>
      </c>
      <c r="B12393" s="12">
        <f>IFERROR(__xludf.DUMMYFUNCTION("""COMPUTED_VALUE"""),45382.0)</f>
        <v>45382</v>
      </c>
      <c r="C12393" s="13">
        <f>IFERROR(__xludf.DUMMYFUNCTION("""COMPUTED_VALUE"""),0.375)</f>
        <v>0.375</v>
      </c>
      <c r="D12393" s="8">
        <f>IFERROR(__xludf.DUMMYFUNCTION("""COMPUTED_VALUE"""),1.932)</f>
        <v>1.932</v>
      </c>
      <c r="E12393" s="8" t="str">
        <f>IFERROR(__xludf.DUMMYFUNCTION("""COMPUTED_VALUE"""),"Real")</f>
        <v>Real</v>
      </c>
      <c r="G12393" s="8">
        <f t="shared" si="1"/>
        <v>3</v>
      </c>
      <c r="H12393" s="14">
        <f t="shared" si="2"/>
        <v>31</v>
      </c>
      <c r="I12393" s="15">
        <f t="shared" si="3"/>
        <v>9</v>
      </c>
    </row>
    <row r="12394">
      <c r="A12394" s="8" t="str">
        <f>IFERROR(__xludf.DUMMYFUNCTION("IF('(INGESTA)Datos_consumo_datadis'!A12394&lt;&gt;"""",SPLIT('(INGESTA)Datos_consumo_datadis'!A:A,"",""),"""")"),"ES0031408323131005HX0F")</f>
        <v>ES0031408323131005HX0F</v>
      </c>
      <c r="B12394" s="12">
        <f>IFERROR(__xludf.DUMMYFUNCTION("""COMPUTED_VALUE"""),45382.0)</f>
        <v>45382</v>
      </c>
      <c r="C12394" s="13">
        <f>IFERROR(__xludf.DUMMYFUNCTION("""COMPUTED_VALUE"""),0.4166666666666667)</f>
        <v>0.4166666667</v>
      </c>
      <c r="D12394" s="8">
        <f>IFERROR(__xludf.DUMMYFUNCTION("""COMPUTED_VALUE"""),2.534)</f>
        <v>2.534</v>
      </c>
      <c r="E12394" s="8" t="str">
        <f>IFERROR(__xludf.DUMMYFUNCTION("""COMPUTED_VALUE"""),"Real")</f>
        <v>Real</v>
      </c>
      <c r="G12394" s="8">
        <f t="shared" si="1"/>
        <v>3</v>
      </c>
      <c r="H12394" s="14">
        <f t="shared" si="2"/>
        <v>31</v>
      </c>
      <c r="I12394" s="15">
        <f t="shared" si="3"/>
        <v>10</v>
      </c>
    </row>
    <row r="12395">
      <c r="A12395" s="8" t="str">
        <f>IFERROR(__xludf.DUMMYFUNCTION("IF('(INGESTA)Datos_consumo_datadis'!A12395&lt;&gt;"""",SPLIT('(INGESTA)Datos_consumo_datadis'!A:A,"",""),"""")"),"ES0031408323131005HX0F")</f>
        <v>ES0031408323131005HX0F</v>
      </c>
      <c r="B12395" s="12">
        <f>IFERROR(__xludf.DUMMYFUNCTION("""COMPUTED_VALUE"""),45382.0)</f>
        <v>45382</v>
      </c>
      <c r="C12395" s="13">
        <f>IFERROR(__xludf.DUMMYFUNCTION("""COMPUTED_VALUE"""),0.4583333333333333)</f>
        <v>0.4583333333</v>
      </c>
      <c r="D12395" s="8">
        <f>IFERROR(__xludf.DUMMYFUNCTION("""COMPUTED_VALUE"""),1.223)</f>
        <v>1.223</v>
      </c>
      <c r="E12395" s="8" t="str">
        <f>IFERROR(__xludf.DUMMYFUNCTION("""COMPUTED_VALUE"""),"Real")</f>
        <v>Real</v>
      </c>
      <c r="G12395" s="8">
        <f t="shared" si="1"/>
        <v>3</v>
      </c>
      <c r="H12395" s="14">
        <f t="shared" si="2"/>
        <v>31</v>
      </c>
      <c r="I12395" s="15">
        <f t="shared" si="3"/>
        <v>11</v>
      </c>
    </row>
    <row r="12396">
      <c r="A12396" s="8" t="str">
        <f>IFERROR(__xludf.DUMMYFUNCTION("IF('(INGESTA)Datos_consumo_datadis'!A12396&lt;&gt;"""",SPLIT('(INGESTA)Datos_consumo_datadis'!A:A,"",""),"""")"),"ES0031408323131005HX0F")</f>
        <v>ES0031408323131005HX0F</v>
      </c>
      <c r="B12396" s="12">
        <f>IFERROR(__xludf.DUMMYFUNCTION("""COMPUTED_VALUE"""),45382.0)</f>
        <v>45382</v>
      </c>
      <c r="C12396" s="13">
        <f>IFERROR(__xludf.DUMMYFUNCTION("""COMPUTED_VALUE"""),0.5)</f>
        <v>0.5</v>
      </c>
      <c r="D12396" s="8">
        <f>IFERROR(__xludf.DUMMYFUNCTION("""COMPUTED_VALUE"""),1.24)</f>
        <v>1.24</v>
      </c>
      <c r="E12396" s="8" t="str">
        <f>IFERROR(__xludf.DUMMYFUNCTION("""COMPUTED_VALUE"""),"Real")</f>
        <v>Real</v>
      </c>
      <c r="G12396" s="8">
        <f t="shared" si="1"/>
        <v>3</v>
      </c>
      <c r="H12396" s="14">
        <f t="shared" si="2"/>
        <v>31</v>
      </c>
      <c r="I12396" s="15">
        <f t="shared" si="3"/>
        <v>12</v>
      </c>
    </row>
    <row r="12397">
      <c r="A12397" s="8" t="str">
        <f>IFERROR(__xludf.DUMMYFUNCTION("IF('(INGESTA)Datos_consumo_datadis'!A12397&lt;&gt;"""",SPLIT('(INGESTA)Datos_consumo_datadis'!A:A,"",""),"""")"),"ES0031408323131005HX0F")</f>
        <v>ES0031408323131005HX0F</v>
      </c>
      <c r="B12397" s="12">
        <f>IFERROR(__xludf.DUMMYFUNCTION("""COMPUTED_VALUE"""),45382.0)</f>
        <v>45382</v>
      </c>
      <c r="C12397" s="13">
        <f>IFERROR(__xludf.DUMMYFUNCTION("""COMPUTED_VALUE"""),0.5416666666666666)</f>
        <v>0.5416666667</v>
      </c>
      <c r="D12397" s="8">
        <f>IFERROR(__xludf.DUMMYFUNCTION("""COMPUTED_VALUE"""),0.775)</f>
        <v>0.775</v>
      </c>
      <c r="E12397" s="8" t="str">
        <f>IFERROR(__xludf.DUMMYFUNCTION("""COMPUTED_VALUE"""),"Real")</f>
        <v>Real</v>
      </c>
      <c r="G12397" s="8">
        <f t="shared" si="1"/>
        <v>3</v>
      </c>
      <c r="H12397" s="14">
        <f t="shared" si="2"/>
        <v>31</v>
      </c>
      <c r="I12397" s="15">
        <f t="shared" si="3"/>
        <v>13</v>
      </c>
    </row>
    <row r="12398">
      <c r="A12398" s="8" t="str">
        <f>IFERROR(__xludf.DUMMYFUNCTION("IF('(INGESTA)Datos_consumo_datadis'!A12398&lt;&gt;"""",SPLIT('(INGESTA)Datos_consumo_datadis'!A:A,"",""),"""")"),"ES0031408323131005HX0F")</f>
        <v>ES0031408323131005HX0F</v>
      </c>
      <c r="B12398" s="12">
        <f>IFERROR(__xludf.DUMMYFUNCTION("""COMPUTED_VALUE"""),45382.0)</f>
        <v>45382</v>
      </c>
      <c r="C12398" s="13">
        <f>IFERROR(__xludf.DUMMYFUNCTION("""COMPUTED_VALUE"""),0.5833333333333334)</f>
        <v>0.5833333333</v>
      </c>
      <c r="D12398" s="8">
        <f>IFERROR(__xludf.DUMMYFUNCTION("""COMPUTED_VALUE"""),0.372)</f>
        <v>0.372</v>
      </c>
      <c r="E12398" s="8" t="str">
        <f>IFERROR(__xludf.DUMMYFUNCTION("""COMPUTED_VALUE"""),"Real")</f>
        <v>Real</v>
      </c>
      <c r="G12398" s="8">
        <f t="shared" si="1"/>
        <v>3</v>
      </c>
      <c r="H12398" s="14">
        <f t="shared" si="2"/>
        <v>31</v>
      </c>
      <c r="I12398" s="15">
        <f t="shared" si="3"/>
        <v>14</v>
      </c>
    </row>
    <row r="12399">
      <c r="A12399" s="8" t="str">
        <f>IFERROR(__xludf.DUMMYFUNCTION("IF('(INGESTA)Datos_consumo_datadis'!A12399&lt;&gt;"""",SPLIT('(INGESTA)Datos_consumo_datadis'!A:A,"",""),"""")"),"ES0031408323131005HX0F")</f>
        <v>ES0031408323131005HX0F</v>
      </c>
      <c r="B12399" s="12">
        <f>IFERROR(__xludf.DUMMYFUNCTION("""COMPUTED_VALUE"""),45382.0)</f>
        <v>45382</v>
      </c>
      <c r="C12399" s="13">
        <f>IFERROR(__xludf.DUMMYFUNCTION("""COMPUTED_VALUE"""),0.625)</f>
        <v>0.625</v>
      </c>
      <c r="D12399" s="8">
        <f>IFERROR(__xludf.DUMMYFUNCTION("""COMPUTED_VALUE"""),0.201)</f>
        <v>0.201</v>
      </c>
      <c r="E12399" s="8" t="str">
        <f>IFERROR(__xludf.DUMMYFUNCTION("""COMPUTED_VALUE"""),"Real")</f>
        <v>Real</v>
      </c>
      <c r="G12399" s="8">
        <f t="shared" si="1"/>
        <v>3</v>
      </c>
      <c r="H12399" s="14">
        <f t="shared" si="2"/>
        <v>31</v>
      </c>
      <c r="I12399" s="15">
        <f t="shared" si="3"/>
        <v>15</v>
      </c>
    </row>
    <row r="12400">
      <c r="A12400" s="8" t="str">
        <f>IFERROR(__xludf.DUMMYFUNCTION("IF('(INGESTA)Datos_consumo_datadis'!A12400&lt;&gt;"""",SPLIT('(INGESTA)Datos_consumo_datadis'!A:A,"",""),"""")"),"ES0031408323131005HX0F")</f>
        <v>ES0031408323131005HX0F</v>
      </c>
      <c r="B12400" s="12">
        <f>IFERROR(__xludf.DUMMYFUNCTION("""COMPUTED_VALUE"""),45382.0)</f>
        <v>45382</v>
      </c>
      <c r="C12400" s="13">
        <f>IFERROR(__xludf.DUMMYFUNCTION("""COMPUTED_VALUE"""),0.6666666666666666)</f>
        <v>0.6666666667</v>
      </c>
      <c r="D12400" s="8">
        <f>IFERROR(__xludf.DUMMYFUNCTION("""COMPUTED_VALUE"""),0.467)</f>
        <v>0.467</v>
      </c>
      <c r="E12400" s="8" t="str">
        <f>IFERROR(__xludf.DUMMYFUNCTION("""COMPUTED_VALUE"""),"Real")</f>
        <v>Real</v>
      </c>
      <c r="G12400" s="8">
        <f t="shared" si="1"/>
        <v>3</v>
      </c>
      <c r="H12400" s="14">
        <f t="shared" si="2"/>
        <v>31</v>
      </c>
      <c r="I12400" s="15">
        <f t="shared" si="3"/>
        <v>16</v>
      </c>
    </row>
    <row r="12401">
      <c r="A12401" s="8" t="str">
        <f>IFERROR(__xludf.DUMMYFUNCTION("IF('(INGESTA)Datos_consumo_datadis'!A12401&lt;&gt;"""",SPLIT('(INGESTA)Datos_consumo_datadis'!A:A,"",""),"""")"),"ES0031408323131005HX0F")</f>
        <v>ES0031408323131005HX0F</v>
      </c>
      <c r="B12401" s="12">
        <f>IFERROR(__xludf.DUMMYFUNCTION("""COMPUTED_VALUE"""),45382.0)</f>
        <v>45382</v>
      </c>
      <c r="C12401" s="13">
        <f>IFERROR(__xludf.DUMMYFUNCTION("""COMPUTED_VALUE"""),0.7083333333333334)</f>
        <v>0.7083333333</v>
      </c>
      <c r="D12401" s="8">
        <f>IFERROR(__xludf.DUMMYFUNCTION("""COMPUTED_VALUE"""),0.159)</f>
        <v>0.159</v>
      </c>
      <c r="E12401" s="8" t="str">
        <f>IFERROR(__xludf.DUMMYFUNCTION("""COMPUTED_VALUE"""),"Real")</f>
        <v>Real</v>
      </c>
      <c r="G12401" s="8">
        <f t="shared" si="1"/>
        <v>3</v>
      </c>
      <c r="H12401" s="14">
        <f t="shared" si="2"/>
        <v>31</v>
      </c>
      <c r="I12401" s="15">
        <f t="shared" si="3"/>
        <v>17</v>
      </c>
    </row>
    <row r="12402">
      <c r="A12402" s="8" t="str">
        <f>IFERROR(__xludf.DUMMYFUNCTION("IF('(INGESTA)Datos_consumo_datadis'!A12402&lt;&gt;"""",SPLIT('(INGESTA)Datos_consumo_datadis'!A:A,"",""),"""")"),"ES0031408323131005HX0F")</f>
        <v>ES0031408323131005HX0F</v>
      </c>
      <c r="B12402" s="12">
        <f>IFERROR(__xludf.DUMMYFUNCTION("""COMPUTED_VALUE"""),45382.0)</f>
        <v>45382</v>
      </c>
      <c r="C12402" s="13">
        <f>IFERROR(__xludf.DUMMYFUNCTION("""COMPUTED_VALUE"""),0.75)</f>
        <v>0.75</v>
      </c>
      <c r="D12402" s="8">
        <f>IFERROR(__xludf.DUMMYFUNCTION("""COMPUTED_VALUE"""),0.12)</f>
        <v>0.12</v>
      </c>
      <c r="E12402" s="8" t="str">
        <f>IFERROR(__xludf.DUMMYFUNCTION("""COMPUTED_VALUE"""),"Real")</f>
        <v>Real</v>
      </c>
      <c r="G12402" s="8">
        <f t="shared" si="1"/>
        <v>3</v>
      </c>
      <c r="H12402" s="14">
        <f t="shared" si="2"/>
        <v>31</v>
      </c>
      <c r="I12402" s="15">
        <f t="shared" si="3"/>
        <v>18</v>
      </c>
    </row>
    <row r="12403">
      <c r="A12403" s="8" t="str">
        <f>IFERROR(__xludf.DUMMYFUNCTION("IF('(INGESTA)Datos_consumo_datadis'!A12403&lt;&gt;"""",SPLIT('(INGESTA)Datos_consumo_datadis'!A:A,"",""),"""")"),"ES0031408323131005HX0F")</f>
        <v>ES0031408323131005HX0F</v>
      </c>
      <c r="B12403" s="12">
        <f>IFERROR(__xludf.DUMMYFUNCTION("""COMPUTED_VALUE"""),45382.0)</f>
        <v>45382</v>
      </c>
      <c r="C12403" s="13">
        <f>IFERROR(__xludf.DUMMYFUNCTION("""COMPUTED_VALUE"""),0.7916666666666666)</f>
        <v>0.7916666667</v>
      </c>
      <c r="D12403" s="8">
        <f>IFERROR(__xludf.DUMMYFUNCTION("""COMPUTED_VALUE"""),0.068)</f>
        <v>0.068</v>
      </c>
      <c r="E12403" s="8" t="str">
        <f>IFERROR(__xludf.DUMMYFUNCTION("""COMPUTED_VALUE"""),"Real")</f>
        <v>Real</v>
      </c>
      <c r="G12403" s="8">
        <f t="shared" si="1"/>
        <v>3</v>
      </c>
      <c r="H12403" s="14">
        <f t="shared" si="2"/>
        <v>31</v>
      </c>
      <c r="I12403" s="15">
        <f t="shared" si="3"/>
        <v>19</v>
      </c>
    </row>
    <row r="12404">
      <c r="A12404" s="8" t="str">
        <f>IFERROR(__xludf.DUMMYFUNCTION("IF('(INGESTA)Datos_consumo_datadis'!A12404&lt;&gt;"""",SPLIT('(INGESTA)Datos_consumo_datadis'!A:A,"",""),"""")"),"ES0031408323131005HX0F")</f>
        <v>ES0031408323131005HX0F</v>
      </c>
      <c r="B12404" s="12">
        <f>IFERROR(__xludf.DUMMYFUNCTION("""COMPUTED_VALUE"""),45382.0)</f>
        <v>45382</v>
      </c>
      <c r="C12404" s="13">
        <f>IFERROR(__xludf.DUMMYFUNCTION("""COMPUTED_VALUE"""),0.8333333333333334)</f>
        <v>0.8333333333</v>
      </c>
      <c r="D12404" s="8">
        <f>IFERROR(__xludf.DUMMYFUNCTION("""COMPUTED_VALUE"""),0.427)</f>
        <v>0.427</v>
      </c>
      <c r="E12404" s="8" t="str">
        <f>IFERROR(__xludf.DUMMYFUNCTION("""COMPUTED_VALUE"""),"Real")</f>
        <v>Real</v>
      </c>
      <c r="G12404" s="8">
        <f t="shared" si="1"/>
        <v>3</v>
      </c>
      <c r="H12404" s="14">
        <f t="shared" si="2"/>
        <v>31</v>
      </c>
      <c r="I12404" s="15">
        <f t="shared" si="3"/>
        <v>20</v>
      </c>
    </row>
    <row r="12405">
      <c r="A12405" s="8" t="str">
        <f>IFERROR(__xludf.DUMMYFUNCTION("IF('(INGESTA)Datos_consumo_datadis'!A12405&lt;&gt;"""",SPLIT('(INGESTA)Datos_consumo_datadis'!A:A,"",""),"""")"),"ES0031408323131005HX0F")</f>
        <v>ES0031408323131005HX0F</v>
      </c>
      <c r="B12405" s="12">
        <f>IFERROR(__xludf.DUMMYFUNCTION("""COMPUTED_VALUE"""),45382.0)</f>
        <v>45382</v>
      </c>
      <c r="C12405" s="13">
        <f>IFERROR(__xludf.DUMMYFUNCTION("""COMPUTED_VALUE"""),0.875)</f>
        <v>0.875</v>
      </c>
      <c r="D12405" s="8">
        <f>IFERROR(__xludf.DUMMYFUNCTION("""COMPUTED_VALUE"""),0.455)</f>
        <v>0.455</v>
      </c>
      <c r="E12405" s="8" t="str">
        <f>IFERROR(__xludf.DUMMYFUNCTION("""COMPUTED_VALUE"""),"Real")</f>
        <v>Real</v>
      </c>
      <c r="G12405" s="8">
        <f t="shared" si="1"/>
        <v>3</v>
      </c>
      <c r="H12405" s="14">
        <f t="shared" si="2"/>
        <v>31</v>
      </c>
      <c r="I12405" s="15">
        <f t="shared" si="3"/>
        <v>21</v>
      </c>
    </row>
    <row r="12406">
      <c r="A12406" s="8" t="str">
        <f>IFERROR(__xludf.DUMMYFUNCTION("IF('(INGESTA)Datos_consumo_datadis'!A12406&lt;&gt;"""",SPLIT('(INGESTA)Datos_consumo_datadis'!A:A,"",""),"""")"),"ES0031408323131005HX0F")</f>
        <v>ES0031408323131005HX0F</v>
      </c>
      <c r="B12406" s="12">
        <f>IFERROR(__xludf.DUMMYFUNCTION("""COMPUTED_VALUE"""),45382.0)</f>
        <v>45382</v>
      </c>
      <c r="C12406" s="13">
        <f>IFERROR(__xludf.DUMMYFUNCTION("""COMPUTED_VALUE"""),0.9166666666666666)</f>
        <v>0.9166666667</v>
      </c>
      <c r="D12406" s="8">
        <f>IFERROR(__xludf.DUMMYFUNCTION("""COMPUTED_VALUE"""),1.358)</f>
        <v>1.358</v>
      </c>
      <c r="E12406" s="8" t="str">
        <f>IFERROR(__xludf.DUMMYFUNCTION("""COMPUTED_VALUE"""),"Real")</f>
        <v>Real</v>
      </c>
      <c r="G12406" s="8">
        <f t="shared" si="1"/>
        <v>3</v>
      </c>
      <c r="H12406" s="14">
        <f t="shared" si="2"/>
        <v>31</v>
      </c>
      <c r="I12406" s="15">
        <f t="shared" si="3"/>
        <v>22</v>
      </c>
    </row>
    <row r="12407">
      <c r="A12407" s="8" t="str">
        <f>IFERROR(__xludf.DUMMYFUNCTION("IF('(INGESTA)Datos_consumo_datadis'!A12407&lt;&gt;"""",SPLIT('(INGESTA)Datos_consumo_datadis'!A:A,"",""),"""")"),"ES0031408323131005HX0F")</f>
        <v>ES0031408323131005HX0F</v>
      </c>
      <c r="B12407" s="12">
        <f>IFERROR(__xludf.DUMMYFUNCTION("""COMPUTED_VALUE"""),45382.0)</f>
        <v>45382</v>
      </c>
      <c r="C12407" s="13">
        <f>IFERROR(__xludf.DUMMYFUNCTION("""COMPUTED_VALUE"""),0.9583333333333334)</f>
        <v>0.9583333333</v>
      </c>
      <c r="D12407" s="8">
        <f>IFERROR(__xludf.DUMMYFUNCTION("""COMPUTED_VALUE"""),0.61)</f>
        <v>0.61</v>
      </c>
      <c r="E12407" s="8" t="str">
        <f>IFERROR(__xludf.DUMMYFUNCTION("""COMPUTED_VALUE"""),"Real")</f>
        <v>Real</v>
      </c>
      <c r="G12407" s="8">
        <f t="shared" si="1"/>
        <v>3</v>
      </c>
      <c r="H12407" s="14">
        <f t="shared" si="2"/>
        <v>31</v>
      </c>
      <c r="I12407" s="15">
        <f t="shared" si="3"/>
        <v>23</v>
      </c>
    </row>
    <row r="12408">
      <c r="A12408" s="8" t="str">
        <f>IFERROR(__xludf.DUMMYFUNCTION("IF('(INGESTA)Datos_consumo_datadis'!A12408&lt;&gt;"""",SPLIT('(INGESTA)Datos_consumo_datadis'!A:A,"",""),"""")"),"ES0031408323131005HX0F")</f>
        <v>ES0031408323131005HX0F</v>
      </c>
      <c r="B12408" s="12">
        <f>IFERROR(__xludf.DUMMYFUNCTION("""COMPUTED_VALUE"""),45382.0)</f>
        <v>45382</v>
      </c>
      <c r="C12408" s="16">
        <f>IFERROR(__xludf.DUMMYFUNCTION("""COMPUTED_VALUE"""),1.0)</f>
        <v>1</v>
      </c>
      <c r="D12408" s="8">
        <f>IFERROR(__xludf.DUMMYFUNCTION("""COMPUTED_VALUE"""),1.225)</f>
        <v>1.225</v>
      </c>
      <c r="E12408" s="8" t="str">
        <f>IFERROR(__xludf.DUMMYFUNCTION("""COMPUTED_VALUE"""),"Real")</f>
        <v>Real</v>
      </c>
      <c r="G12408" s="8">
        <f t="shared" si="1"/>
        <v>3</v>
      </c>
      <c r="H12408" s="14">
        <f t="shared" si="2"/>
        <v>31</v>
      </c>
      <c r="I12408" s="15">
        <f t="shared" si="3"/>
        <v>0</v>
      </c>
    </row>
    <row r="12409">
      <c r="A12409" s="8" t="str">
        <f>IFERROR(__xludf.DUMMYFUNCTION("IF('(INGESTA)Datos_consumo_datadis'!A12409&lt;&gt;"""",SPLIT('(INGESTA)Datos_consumo_datadis'!A:A,"",""),"""")"),"ES0031408323131005HX0F")</f>
        <v>ES0031408323131005HX0F</v>
      </c>
      <c r="B12409" s="12">
        <f>IFERROR(__xludf.DUMMYFUNCTION("""COMPUTED_VALUE"""),45383.0)</f>
        <v>45383</v>
      </c>
      <c r="C12409" s="13">
        <f>IFERROR(__xludf.DUMMYFUNCTION("""COMPUTED_VALUE"""),0.041666666666666664)</f>
        <v>0.04166666667</v>
      </c>
      <c r="D12409" s="8">
        <f>IFERROR(__xludf.DUMMYFUNCTION("""COMPUTED_VALUE"""),1.692)</f>
        <v>1.692</v>
      </c>
      <c r="E12409" s="8" t="str">
        <f>IFERROR(__xludf.DUMMYFUNCTION("""COMPUTED_VALUE"""),"Real")</f>
        <v>Real</v>
      </c>
      <c r="G12409" s="8">
        <f t="shared" si="1"/>
        <v>4</v>
      </c>
      <c r="H12409" s="14">
        <f t="shared" si="2"/>
        <v>1</v>
      </c>
      <c r="I12409" s="15">
        <f t="shared" si="3"/>
        <v>1</v>
      </c>
    </row>
    <row r="12410">
      <c r="A12410" s="8" t="str">
        <f>IFERROR(__xludf.DUMMYFUNCTION("IF('(INGESTA)Datos_consumo_datadis'!A12410&lt;&gt;"""",SPLIT('(INGESTA)Datos_consumo_datadis'!A:A,"",""),"""")"),"ES0031408323131005HX0F")</f>
        <v>ES0031408323131005HX0F</v>
      </c>
      <c r="B12410" s="12">
        <f>IFERROR(__xludf.DUMMYFUNCTION("""COMPUTED_VALUE"""),45383.0)</f>
        <v>45383</v>
      </c>
      <c r="C12410" s="13">
        <f>IFERROR(__xludf.DUMMYFUNCTION("""COMPUTED_VALUE"""),0.08333333333333333)</f>
        <v>0.08333333333</v>
      </c>
      <c r="D12410" s="8">
        <f>IFERROR(__xludf.DUMMYFUNCTION("""COMPUTED_VALUE"""),0.095)</f>
        <v>0.095</v>
      </c>
      <c r="E12410" s="8" t="str">
        <f>IFERROR(__xludf.DUMMYFUNCTION("""COMPUTED_VALUE"""),"Real")</f>
        <v>Real</v>
      </c>
      <c r="G12410" s="8">
        <f t="shared" si="1"/>
        <v>4</v>
      </c>
      <c r="H12410" s="14">
        <f t="shared" si="2"/>
        <v>1</v>
      </c>
      <c r="I12410" s="15">
        <f t="shared" si="3"/>
        <v>2</v>
      </c>
    </row>
    <row r="12411">
      <c r="A12411" s="8" t="str">
        <f>IFERROR(__xludf.DUMMYFUNCTION("IF('(INGESTA)Datos_consumo_datadis'!A12411&lt;&gt;"""",SPLIT('(INGESTA)Datos_consumo_datadis'!A:A,"",""),"""")"),"ES0031408323131005HX0F")</f>
        <v>ES0031408323131005HX0F</v>
      </c>
      <c r="B12411" s="12">
        <f>IFERROR(__xludf.DUMMYFUNCTION("""COMPUTED_VALUE"""),45383.0)</f>
        <v>45383</v>
      </c>
      <c r="C12411" s="13">
        <f>IFERROR(__xludf.DUMMYFUNCTION("""COMPUTED_VALUE"""),0.125)</f>
        <v>0.125</v>
      </c>
      <c r="D12411" s="8">
        <f>IFERROR(__xludf.DUMMYFUNCTION("""COMPUTED_VALUE"""),0.067)</f>
        <v>0.067</v>
      </c>
      <c r="E12411" s="8" t="str">
        <f>IFERROR(__xludf.DUMMYFUNCTION("""COMPUTED_VALUE"""),"Real")</f>
        <v>Real</v>
      </c>
      <c r="G12411" s="8">
        <f t="shared" si="1"/>
        <v>4</v>
      </c>
      <c r="H12411" s="14">
        <f t="shared" si="2"/>
        <v>1</v>
      </c>
      <c r="I12411" s="15">
        <f t="shared" si="3"/>
        <v>3</v>
      </c>
    </row>
    <row r="12412">
      <c r="A12412" s="8" t="str">
        <f>IFERROR(__xludf.DUMMYFUNCTION("IF('(INGESTA)Datos_consumo_datadis'!A12412&lt;&gt;"""",SPLIT('(INGESTA)Datos_consumo_datadis'!A:A,"",""),"""")"),"ES0031408323131005HX0F")</f>
        <v>ES0031408323131005HX0F</v>
      </c>
      <c r="B12412" s="12">
        <f>IFERROR(__xludf.DUMMYFUNCTION("""COMPUTED_VALUE"""),45383.0)</f>
        <v>45383</v>
      </c>
      <c r="C12412" s="13">
        <f>IFERROR(__xludf.DUMMYFUNCTION("""COMPUTED_VALUE"""),0.16666666666666666)</f>
        <v>0.1666666667</v>
      </c>
      <c r="D12412" s="8">
        <f>IFERROR(__xludf.DUMMYFUNCTION("""COMPUTED_VALUE"""),0.358)</f>
        <v>0.358</v>
      </c>
      <c r="E12412" s="8" t="str">
        <f>IFERROR(__xludf.DUMMYFUNCTION("""COMPUTED_VALUE"""),"Real")</f>
        <v>Real</v>
      </c>
      <c r="G12412" s="8">
        <f t="shared" si="1"/>
        <v>4</v>
      </c>
      <c r="H12412" s="14">
        <f t="shared" si="2"/>
        <v>1</v>
      </c>
      <c r="I12412" s="15">
        <f t="shared" si="3"/>
        <v>4</v>
      </c>
    </row>
    <row r="12413">
      <c r="A12413" s="8" t="str">
        <f>IFERROR(__xludf.DUMMYFUNCTION("IF('(INGESTA)Datos_consumo_datadis'!A12413&lt;&gt;"""",SPLIT('(INGESTA)Datos_consumo_datadis'!A:A,"",""),"""")"),"ES0031408323131005HX0F")</f>
        <v>ES0031408323131005HX0F</v>
      </c>
      <c r="B12413" s="12">
        <f>IFERROR(__xludf.DUMMYFUNCTION("""COMPUTED_VALUE"""),45383.0)</f>
        <v>45383</v>
      </c>
      <c r="C12413" s="13">
        <f>IFERROR(__xludf.DUMMYFUNCTION("""COMPUTED_VALUE"""),0.20833333333333334)</f>
        <v>0.2083333333</v>
      </c>
      <c r="D12413" s="8">
        <f>IFERROR(__xludf.DUMMYFUNCTION("""COMPUTED_VALUE"""),0.065)</f>
        <v>0.065</v>
      </c>
      <c r="E12413" s="8" t="str">
        <f>IFERROR(__xludf.DUMMYFUNCTION("""COMPUTED_VALUE"""),"Real")</f>
        <v>Real</v>
      </c>
      <c r="G12413" s="8">
        <f t="shared" si="1"/>
        <v>4</v>
      </c>
      <c r="H12413" s="14">
        <f t="shared" si="2"/>
        <v>1</v>
      </c>
      <c r="I12413" s="15">
        <f t="shared" si="3"/>
        <v>5</v>
      </c>
    </row>
    <row r="12414">
      <c r="A12414" s="8" t="str">
        <f>IFERROR(__xludf.DUMMYFUNCTION("IF('(INGESTA)Datos_consumo_datadis'!A12414&lt;&gt;"""",SPLIT('(INGESTA)Datos_consumo_datadis'!A:A,"",""),"""")"),"ES0031408323131005HX0F")</f>
        <v>ES0031408323131005HX0F</v>
      </c>
      <c r="B12414" s="12">
        <f>IFERROR(__xludf.DUMMYFUNCTION("""COMPUTED_VALUE"""),45383.0)</f>
        <v>45383</v>
      </c>
      <c r="C12414" s="13">
        <f>IFERROR(__xludf.DUMMYFUNCTION("""COMPUTED_VALUE"""),0.25)</f>
        <v>0.25</v>
      </c>
      <c r="D12414" s="8">
        <f>IFERROR(__xludf.DUMMYFUNCTION("""COMPUTED_VALUE"""),0.027)</f>
        <v>0.027</v>
      </c>
      <c r="E12414" s="8" t="str">
        <f>IFERROR(__xludf.DUMMYFUNCTION("""COMPUTED_VALUE"""),"Real")</f>
        <v>Real</v>
      </c>
      <c r="G12414" s="8">
        <f t="shared" si="1"/>
        <v>4</v>
      </c>
      <c r="H12414" s="14">
        <f t="shared" si="2"/>
        <v>1</v>
      </c>
      <c r="I12414" s="15">
        <f t="shared" si="3"/>
        <v>6</v>
      </c>
    </row>
    <row r="12415">
      <c r="A12415" s="8" t="str">
        <f>IFERROR(__xludf.DUMMYFUNCTION("IF('(INGESTA)Datos_consumo_datadis'!A12415&lt;&gt;"""",SPLIT('(INGESTA)Datos_consumo_datadis'!A:A,"",""),"""")"),"ES0031408323131005HX0F")</f>
        <v>ES0031408323131005HX0F</v>
      </c>
      <c r="B12415" s="12">
        <f>IFERROR(__xludf.DUMMYFUNCTION("""COMPUTED_VALUE"""),45383.0)</f>
        <v>45383</v>
      </c>
      <c r="C12415" s="13">
        <f>IFERROR(__xludf.DUMMYFUNCTION("""COMPUTED_VALUE"""),0.2916666666666667)</f>
        <v>0.2916666667</v>
      </c>
      <c r="D12415" s="8">
        <f>IFERROR(__xludf.DUMMYFUNCTION("""COMPUTED_VALUE"""),0.07)</f>
        <v>0.07</v>
      </c>
      <c r="E12415" s="8" t="str">
        <f>IFERROR(__xludf.DUMMYFUNCTION("""COMPUTED_VALUE"""),"Real")</f>
        <v>Real</v>
      </c>
      <c r="G12415" s="8">
        <f t="shared" si="1"/>
        <v>4</v>
      </c>
      <c r="H12415" s="14">
        <f t="shared" si="2"/>
        <v>1</v>
      </c>
      <c r="I12415" s="15">
        <f t="shared" si="3"/>
        <v>7</v>
      </c>
    </row>
    <row r="12416">
      <c r="A12416" s="8" t="str">
        <f>IFERROR(__xludf.DUMMYFUNCTION("IF('(INGESTA)Datos_consumo_datadis'!A12416&lt;&gt;"""",SPLIT('(INGESTA)Datos_consumo_datadis'!A:A,"",""),"""")"),"ES0031408323131005HX0F")</f>
        <v>ES0031408323131005HX0F</v>
      </c>
      <c r="B12416" s="12">
        <f>IFERROR(__xludf.DUMMYFUNCTION("""COMPUTED_VALUE"""),45383.0)</f>
        <v>45383</v>
      </c>
      <c r="C12416" s="13">
        <f>IFERROR(__xludf.DUMMYFUNCTION("""COMPUTED_VALUE"""),0.3333333333333333)</f>
        <v>0.3333333333</v>
      </c>
      <c r="D12416" s="8">
        <f>IFERROR(__xludf.DUMMYFUNCTION("""COMPUTED_VALUE"""),0.058)</f>
        <v>0.058</v>
      </c>
      <c r="E12416" s="8" t="str">
        <f>IFERROR(__xludf.DUMMYFUNCTION("""COMPUTED_VALUE"""),"Real")</f>
        <v>Real</v>
      </c>
      <c r="G12416" s="8">
        <f t="shared" si="1"/>
        <v>4</v>
      </c>
      <c r="H12416" s="14">
        <f t="shared" si="2"/>
        <v>1</v>
      </c>
      <c r="I12416" s="15">
        <f t="shared" si="3"/>
        <v>8</v>
      </c>
    </row>
    <row r="12417">
      <c r="A12417" s="8" t="str">
        <f>IFERROR(__xludf.DUMMYFUNCTION("IF('(INGESTA)Datos_consumo_datadis'!A12417&lt;&gt;"""",SPLIT('(INGESTA)Datos_consumo_datadis'!A:A,"",""),"""")"),"ES0031408323131005HX0F")</f>
        <v>ES0031408323131005HX0F</v>
      </c>
      <c r="B12417" s="12">
        <f>IFERROR(__xludf.DUMMYFUNCTION("""COMPUTED_VALUE"""),45383.0)</f>
        <v>45383</v>
      </c>
      <c r="C12417" s="13">
        <f>IFERROR(__xludf.DUMMYFUNCTION("""COMPUTED_VALUE"""),0.375)</f>
        <v>0.375</v>
      </c>
      <c r="D12417" s="8">
        <f>IFERROR(__xludf.DUMMYFUNCTION("""COMPUTED_VALUE"""),0.07)</f>
        <v>0.07</v>
      </c>
      <c r="E12417" s="8" t="str">
        <f>IFERROR(__xludf.DUMMYFUNCTION("""COMPUTED_VALUE"""),"Real")</f>
        <v>Real</v>
      </c>
      <c r="G12417" s="8">
        <f t="shared" si="1"/>
        <v>4</v>
      </c>
      <c r="H12417" s="14">
        <f t="shared" si="2"/>
        <v>1</v>
      </c>
      <c r="I12417" s="15">
        <f t="shared" si="3"/>
        <v>9</v>
      </c>
    </row>
    <row r="12418">
      <c r="A12418" s="8" t="str">
        <f>IFERROR(__xludf.DUMMYFUNCTION("IF('(INGESTA)Datos_consumo_datadis'!A12418&lt;&gt;"""",SPLIT('(INGESTA)Datos_consumo_datadis'!A:A,"",""),"""")"),"ES0031408323131005HX0F")</f>
        <v>ES0031408323131005HX0F</v>
      </c>
      <c r="B12418" s="12">
        <f>IFERROR(__xludf.DUMMYFUNCTION("""COMPUTED_VALUE"""),45383.0)</f>
        <v>45383</v>
      </c>
      <c r="C12418" s="13">
        <f>IFERROR(__xludf.DUMMYFUNCTION("""COMPUTED_VALUE"""),0.4166666666666667)</f>
        <v>0.4166666667</v>
      </c>
      <c r="D12418" s="8">
        <f>IFERROR(__xludf.DUMMYFUNCTION("""COMPUTED_VALUE"""),0.058)</f>
        <v>0.058</v>
      </c>
      <c r="E12418" s="8" t="str">
        <f>IFERROR(__xludf.DUMMYFUNCTION("""COMPUTED_VALUE"""),"Real")</f>
        <v>Real</v>
      </c>
      <c r="G12418" s="8">
        <f t="shared" si="1"/>
        <v>4</v>
      </c>
      <c r="H12418" s="14">
        <f t="shared" si="2"/>
        <v>1</v>
      </c>
      <c r="I12418" s="15">
        <f t="shared" si="3"/>
        <v>10</v>
      </c>
    </row>
    <row r="12419">
      <c r="A12419" s="8" t="str">
        <f>IFERROR(__xludf.DUMMYFUNCTION("IF('(INGESTA)Datos_consumo_datadis'!A12419&lt;&gt;"""",SPLIT('(INGESTA)Datos_consumo_datadis'!A:A,"",""),"""")"),"ES0031408323131005HX0F")</f>
        <v>ES0031408323131005HX0F</v>
      </c>
      <c r="B12419" s="12">
        <f>IFERROR(__xludf.DUMMYFUNCTION("""COMPUTED_VALUE"""),45383.0)</f>
        <v>45383</v>
      </c>
      <c r="C12419" s="13">
        <f>IFERROR(__xludf.DUMMYFUNCTION("""COMPUTED_VALUE"""),0.4583333333333333)</f>
        <v>0.4583333333</v>
      </c>
      <c r="D12419" s="8">
        <f>IFERROR(__xludf.DUMMYFUNCTION("""COMPUTED_VALUE"""),1.405)</f>
        <v>1.405</v>
      </c>
      <c r="E12419" s="8" t="str">
        <f>IFERROR(__xludf.DUMMYFUNCTION("""COMPUTED_VALUE"""),"Real")</f>
        <v>Real</v>
      </c>
      <c r="G12419" s="8">
        <f t="shared" si="1"/>
        <v>4</v>
      </c>
      <c r="H12419" s="14">
        <f t="shared" si="2"/>
        <v>1</v>
      </c>
      <c r="I12419" s="15">
        <f t="shared" si="3"/>
        <v>11</v>
      </c>
    </row>
    <row r="12420">
      <c r="A12420" s="8" t="str">
        <f>IFERROR(__xludf.DUMMYFUNCTION("IF('(INGESTA)Datos_consumo_datadis'!A12420&lt;&gt;"""",SPLIT('(INGESTA)Datos_consumo_datadis'!A:A,"",""),"""")"),"ES0031408323131005HX0F")</f>
        <v>ES0031408323131005HX0F</v>
      </c>
      <c r="B12420" s="12">
        <f>IFERROR(__xludf.DUMMYFUNCTION("""COMPUTED_VALUE"""),45383.0)</f>
        <v>45383</v>
      </c>
      <c r="C12420" s="13">
        <f>IFERROR(__xludf.DUMMYFUNCTION("""COMPUTED_VALUE"""),0.5)</f>
        <v>0.5</v>
      </c>
      <c r="D12420" s="8">
        <f>IFERROR(__xludf.DUMMYFUNCTION("""COMPUTED_VALUE"""),0.561)</f>
        <v>0.561</v>
      </c>
      <c r="E12420" s="8" t="str">
        <f>IFERROR(__xludf.DUMMYFUNCTION("""COMPUTED_VALUE"""),"Real")</f>
        <v>Real</v>
      </c>
      <c r="G12420" s="8">
        <f t="shared" si="1"/>
        <v>4</v>
      </c>
      <c r="H12420" s="14">
        <f t="shared" si="2"/>
        <v>1</v>
      </c>
      <c r="I12420" s="15">
        <f t="shared" si="3"/>
        <v>12</v>
      </c>
    </row>
    <row r="12421">
      <c r="A12421" s="8" t="str">
        <f>IFERROR(__xludf.DUMMYFUNCTION("IF('(INGESTA)Datos_consumo_datadis'!A12421&lt;&gt;"""",SPLIT('(INGESTA)Datos_consumo_datadis'!A:A,"",""),"""")"),"ES0031408323131005HX0F")</f>
        <v>ES0031408323131005HX0F</v>
      </c>
      <c r="B12421" s="12">
        <f>IFERROR(__xludf.DUMMYFUNCTION("""COMPUTED_VALUE"""),45383.0)</f>
        <v>45383</v>
      </c>
      <c r="C12421" s="13">
        <f>IFERROR(__xludf.DUMMYFUNCTION("""COMPUTED_VALUE"""),0.5416666666666666)</f>
        <v>0.5416666667</v>
      </c>
      <c r="D12421" s="8">
        <f>IFERROR(__xludf.DUMMYFUNCTION("""COMPUTED_VALUE"""),0.55)</f>
        <v>0.55</v>
      </c>
      <c r="E12421" s="8" t="str">
        <f>IFERROR(__xludf.DUMMYFUNCTION("""COMPUTED_VALUE"""),"Real")</f>
        <v>Real</v>
      </c>
      <c r="G12421" s="8">
        <f t="shared" si="1"/>
        <v>4</v>
      </c>
      <c r="H12421" s="14">
        <f t="shared" si="2"/>
        <v>1</v>
      </c>
      <c r="I12421" s="15">
        <f t="shared" si="3"/>
        <v>13</v>
      </c>
    </row>
    <row r="12422">
      <c r="A12422" s="8" t="str">
        <f>IFERROR(__xludf.DUMMYFUNCTION("IF('(INGESTA)Datos_consumo_datadis'!A12422&lt;&gt;"""",SPLIT('(INGESTA)Datos_consumo_datadis'!A:A,"",""),"""")"),"ES0031408323131005HX0F")</f>
        <v>ES0031408323131005HX0F</v>
      </c>
      <c r="B12422" s="12">
        <f>IFERROR(__xludf.DUMMYFUNCTION("""COMPUTED_VALUE"""),45383.0)</f>
        <v>45383</v>
      </c>
      <c r="C12422" s="13">
        <f>IFERROR(__xludf.DUMMYFUNCTION("""COMPUTED_VALUE"""),0.5833333333333334)</f>
        <v>0.5833333333</v>
      </c>
      <c r="D12422" s="8">
        <f>IFERROR(__xludf.DUMMYFUNCTION("""COMPUTED_VALUE"""),0.074)</f>
        <v>0.074</v>
      </c>
      <c r="E12422" s="8" t="str">
        <f>IFERROR(__xludf.DUMMYFUNCTION("""COMPUTED_VALUE"""),"Real")</f>
        <v>Real</v>
      </c>
      <c r="G12422" s="8">
        <f t="shared" si="1"/>
        <v>4</v>
      </c>
      <c r="H12422" s="14">
        <f t="shared" si="2"/>
        <v>1</v>
      </c>
      <c r="I12422" s="15">
        <f t="shared" si="3"/>
        <v>14</v>
      </c>
    </row>
    <row r="12423">
      <c r="A12423" s="8" t="str">
        <f>IFERROR(__xludf.DUMMYFUNCTION("IF('(INGESTA)Datos_consumo_datadis'!A12423&lt;&gt;"""",SPLIT('(INGESTA)Datos_consumo_datadis'!A:A,"",""),"""")"),"ES0031408323131005HX0F")</f>
        <v>ES0031408323131005HX0F</v>
      </c>
      <c r="B12423" s="12">
        <f>IFERROR(__xludf.DUMMYFUNCTION("""COMPUTED_VALUE"""),45383.0)</f>
        <v>45383</v>
      </c>
      <c r="C12423" s="13">
        <f>IFERROR(__xludf.DUMMYFUNCTION("""COMPUTED_VALUE"""),0.625)</f>
        <v>0.625</v>
      </c>
      <c r="D12423" s="8">
        <f>IFERROR(__xludf.DUMMYFUNCTION("""COMPUTED_VALUE"""),0.062)</f>
        <v>0.062</v>
      </c>
      <c r="E12423" s="8" t="str">
        <f>IFERROR(__xludf.DUMMYFUNCTION("""COMPUTED_VALUE"""),"Real")</f>
        <v>Real</v>
      </c>
      <c r="G12423" s="8">
        <f t="shared" si="1"/>
        <v>4</v>
      </c>
      <c r="H12423" s="14">
        <f t="shared" si="2"/>
        <v>1</v>
      </c>
      <c r="I12423" s="15">
        <f t="shared" si="3"/>
        <v>15</v>
      </c>
    </row>
    <row r="12424">
      <c r="A12424" s="8" t="str">
        <f>IFERROR(__xludf.DUMMYFUNCTION("IF('(INGESTA)Datos_consumo_datadis'!A12424&lt;&gt;"""",SPLIT('(INGESTA)Datos_consumo_datadis'!A:A,"",""),"""")"),"ES0031408323131005HX0F")</f>
        <v>ES0031408323131005HX0F</v>
      </c>
      <c r="B12424" s="12">
        <f>IFERROR(__xludf.DUMMYFUNCTION("""COMPUTED_VALUE"""),45383.0)</f>
        <v>45383</v>
      </c>
      <c r="C12424" s="13">
        <f>IFERROR(__xludf.DUMMYFUNCTION("""COMPUTED_VALUE"""),0.6666666666666666)</f>
        <v>0.6666666667</v>
      </c>
      <c r="D12424" s="8">
        <f>IFERROR(__xludf.DUMMYFUNCTION("""COMPUTED_VALUE"""),0.07)</f>
        <v>0.07</v>
      </c>
      <c r="E12424" s="8" t="str">
        <f>IFERROR(__xludf.DUMMYFUNCTION("""COMPUTED_VALUE"""),"Real")</f>
        <v>Real</v>
      </c>
      <c r="G12424" s="8">
        <f t="shared" si="1"/>
        <v>4</v>
      </c>
      <c r="H12424" s="14">
        <f t="shared" si="2"/>
        <v>1</v>
      </c>
      <c r="I12424" s="15">
        <f t="shared" si="3"/>
        <v>16</v>
      </c>
    </row>
    <row r="12425">
      <c r="A12425" s="8" t="str">
        <f>IFERROR(__xludf.DUMMYFUNCTION("IF('(INGESTA)Datos_consumo_datadis'!A12425&lt;&gt;"""",SPLIT('(INGESTA)Datos_consumo_datadis'!A:A,"",""),"""")"),"ES0031408323131005HX0F")</f>
        <v>ES0031408323131005HX0F</v>
      </c>
      <c r="B12425" s="12">
        <f>IFERROR(__xludf.DUMMYFUNCTION("""COMPUTED_VALUE"""),45383.0)</f>
        <v>45383</v>
      </c>
      <c r="C12425" s="13">
        <f>IFERROR(__xludf.DUMMYFUNCTION("""COMPUTED_VALUE"""),0.7083333333333334)</f>
        <v>0.7083333333</v>
      </c>
      <c r="D12425" s="8">
        <f>IFERROR(__xludf.DUMMYFUNCTION("""COMPUTED_VALUE"""),0.062)</f>
        <v>0.062</v>
      </c>
      <c r="E12425" s="8" t="str">
        <f>IFERROR(__xludf.DUMMYFUNCTION("""COMPUTED_VALUE"""),"Real")</f>
        <v>Real</v>
      </c>
      <c r="G12425" s="8">
        <f t="shared" si="1"/>
        <v>4</v>
      </c>
      <c r="H12425" s="14">
        <f t="shared" si="2"/>
        <v>1</v>
      </c>
      <c r="I12425" s="15">
        <f t="shared" si="3"/>
        <v>17</v>
      </c>
    </row>
    <row r="12426">
      <c r="A12426" s="8" t="str">
        <f>IFERROR(__xludf.DUMMYFUNCTION("IF('(INGESTA)Datos_consumo_datadis'!A12426&lt;&gt;"""",SPLIT('(INGESTA)Datos_consumo_datadis'!A:A,"",""),"""")"),"ES0031408323131005HX0F")</f>
        <v>ES0031408323131005HX0F</v>
      </c>
      <c r="B12426" s="12">
        <f>IFERROR(__xludf.DUMMYFUNCTION("""COMPUTED_VALUE"""),45383.0)</f>
        <v>45383</v>
      </c>
      <c r="C12426" s="13">
        <f>IFERROR(__xludf.DUMMYFUNCTION("""COMPUTED_VALUE"""),0.75)</f>
        <v>0.75</v>
      </c>
      <c r="D12426" s="8">
        <f>IFERROR(__xludf.DUMMYFUNCTION("""COMPUTED_VALUE"""),0.268)</f>
        <v>0.268</v>
      </c>
      <c r="E12426" s="8" t="str">
        <f>IFERROR(__xludf.DUMMYFUNCTION("""COMPUTED_VALUE"""),"Real")</f>
        <v>Real</v>
      </c>
      <c r="G12426" s="8">
        <f t="shared" si="1"/>
        <v>4</v>
      </c>
      <c r="H12426" s="14">
        <f t="shared" si="2"/>
        <v>1</v>
      </c>
      <c r="I12426" s="15">
        <f t="shared" si="3"/>
        <v>18</v>
      </c>
    </row>
    <row r="12427">
      <c r="A12427" s="8" t="str">
        <f>IFERROR(__xludf.DUMMYFUNCTION("IF('(INGESTA)Datos_consumo_datadis'!A12427&lt;&gt;"""",SPLIT('(INGESTA)Datos_consumo_datadis'!A:A,"",""),"""")"),"ES0031408323131005HX0F")</f>
        <v>ES0031408323131005HX0F</v>
      </c>
      <c r="B12427" s="12">
        <f>IFERROR(__xludf.DUMMYFUNCTION("""COMPUTED_VALUE"""),45383.0)</f>
        <v>45383</v>
      </c>
      <c r="C12427" s="13">
        <f>IFERROR(__xludf.DUMMYFUNCTION("""COMPUTED_VALUE"""),0.7916666666666666)</f>
        <v>0.7916666667</v>
      </c>
      <c r="D12427" s="8">
        <f>IFERROR(__xludf.DUMMYFUNCTION("""COMPUTED_VALUE"""),0.129)</f>
        <v>0.129</v>
      </c>
      <c r="E12427" s="8" t="str">
        <f>IFERROR(__xludf.DUMMYFUNCTION("""COMPUTED_VALUE"""),"Real")</f>
        <v>Real</v>
      </c>
      <c r="G12427" s="8">
        <f t="shared" si="1"/>
        <v>4</v>
      </c>
      <c r="H12427" s="14">
        <f t="shared" si="2"/>
        <v>1</v>
      </c>
      <c r="I12427" s="15">
        <f t="shared" si="3"/>
        <v>19</v>
      </c>
    </row>
    <row r="12428">
      <c r="A12428" s="8" t="str">
        <f>IFERROR(__xludf.DUMMYFUNCTION("IF('(INGESTA)Datos_consumo_datadis'!A12428&lt;&gt;"""",SPLIT('(INGESTA)Datos_consumo_datadis'!A:A,"",""),"""")"),"ES0031408323131005HX0F")</f>
        <v>ES0031408323131005HX0F</v>
      </c>
      <c r="B12428" s="12">
        <f>IFERROR(__xludf.DUMMYFUNCTION("""COMPUTED_VALUE"""),45383.0)</f>
        <v>45383</v>
      </c>
      <c r="C12428" s="13">
        <f>IFERROR(__xludf.DUMMYFUNCTION("""COMPUTED_VALUE"""),0.8333333333333334)</f>
        <v>0.8333333333</v>
      </c>
      <c r="D12428" s="8">
        <f>IFERROR(__xludf.DUMMYFUNCTION("""COMPUTED_VALUE"""),0.258)</f>
        <v>0.258</v>
      </c>
      <c r="E12428" s="8" t="str">
        <f>IFERROR(__xludf.DUMMYFUNCTION("""COMPUTED_VALUE"""),"Real")</f>
        <v>Real</v>
      </c>
      <c r="G12428" s="8">
        <f t="shared" si="1"/>
        <v>4</v>
      </c>
      <c r="H12428" s="14">
        <f t="shared" si="2"/>
        <v>1</v>
      </c>
      <c r="I12428" s="15">
        <f t="shared" si="3"/>
        <v>20</v>
      </c>
    </row>
    <row r="12429">
      <c r="A12429" s="8" t="str">
        <f>IFERROR(__xludf.DUMMYFUNCTION("IF('(INGESTA)Datos_consumo_datadis'!A12429&lt;&gt;"""",SPLIT('(INGESTA)Datos_consumo_datadis'!A:A,"",""),"""")"),"ES0031408323131005HX0F")</f>
        <v>ES0031408323131005HX0F</v>
      </c>
      <c r="B12429" s="12">
        <f>IFERROR(__xludf.DUMMYFUNCTION("""COMPUTED_VALUE"""),45383.0)</f>
        <v>45383</v>
      </c>
      <c r="C12429" s="13">
        <f>IFERROR(__xludf.DUMMYFUNCTION("""COMPUTED_VALUE"""),0.875)</f>
        <v>0.875</v>
      </c>
      <c r="D12429" s="8">
        <f>IFERROR(__xludf.DUMMYFUNCTION("""COMPUTED_VALUE"""),2.156)</f>
        <v>2.156</v>
      </c>
      <c r="E12429" s="8" t="str">
        <f>IFERROR(__xludf.DUMMYFUNCTION("""COMPUTED_VALUE"""),"Real")</f>
        <v>Real</v>
      </c>
      <c r="G12429" s="8">
        <f t="shared" si="1"/>
        <v>4</v>
      </c>
      <c r="H12429" s="14">
        <f t="shared" si="2"/>
        <v>1</v>
      </c>
      <c r="I12429" s="15">
        <f t="shared" si="3"/>
        <v>21</v>
      </c>
    </row>
    <row r="12430">
      <c r="A12430" s="8" t="str">
        <f>IFERROR(__xludf.DUMMYFUNCTION("IF('(INGESTA)Datos_consumo_datadis'!A12430&lt;&gt;"""",SPLIT('(INGESTA)Datos_consumo_datadis'!A:A,"",""),"""")"),"ES0031408323131005HX0F")</f>
        <v>ES0031408323131005HX0F</v>
      </c>
      <c r="B12430" s="12">
        <f>IFERROR(__xludf.DUMMYFUNCTION("""COMPUTED_VALUE"""),45383.0)</f>
        <v>45383</v>
      </c>
      <c r="C12430" s="13">
        <f>IFERROR(__xludf.DUMMYFUNCTION("""COMPUTED_VALUE"""),0.9166666666666666)</f>
        <v>0.9166666667</v>
      </c>
      <c r="D12430" s="8">
        <f>IFERROR(__xludf.DUMMYFUNCTION("""COMPUTED_VALUE"""),2.906)</f>
        <v>2.906</v>
      </c>
      <c r="E12430" s="8" t="str">
        <f>IFERROR(__xludf.DUMMYFUNCTION("""COMPUTED_VALUE"""),"Real")</f>
        <v>Real</v>
      </c>
      <c r="G12430" s="8">
        <f t="shared" si="1"/>
        <v>4</v>
      </c>
      <c r="H12430" s="14">
        <f t="shared" si="2"/>
        <v>1</v>
      </c>
      <c r="I12430" s="15">
        <f t="shared" si="3"/>
        <v>22</v>
      </c>
    </row>
    <row r="12431">
      <c r="A12431" s="8" t="str">
        <f>IFERROR(__xludf.DUMMYFUNCTION("IF('(INGESTA)Datos_consumo_datadis'!A12431&lt;&gt;"""",SPLIT('(INGESTA)Datos_consumo_datadis'!A:A,"",""),"""")"),"ES0031408323131005HX0F")</f>
        <v>ES0031408323131005HX0F</v>
      </c>
      <c r="B12431" s="12">
        <f>IFERROR(__xludf.DUMMYFUNCTION("""COMPUTED_VALUE"""),45383.0)</f>
        <v>45383</v>
      </c>
      <c r="C12431" s="13">
        <f>IFERROR(__xludf.DUMMYFUNCTION("""COMPUTED_VALUE"""),0.9583333333333334)</f>
        <v>0.9583333333</v>
      </c>
      <c r="D12431" s="8">
        <f>IFERROR(__xludf.DUMMYFUNCTION("""COMPUTED_VALUE"""),2.2)</f>
        <v>2.2</v>
      </c>
      <c r="E12431" s="8" t="str">
        <f>IFERROR(__xludf.DUMMYFUNCTION("""COMPUTED_VALUE"""),"Real")</f>
        <v>Real</v>
      </c>
      <c r="G12431" s="8">
        <f t="shared" si="1"/>
        <v>4</v>
      </c>
      <c r="H12431" s="14">
        <f t="shared" si="2"/>
        <v>1</v>
      </c>
      <c r="I12431" s="15">
        <f t="shared" si="3"/>
        <v>23</v>
      </c>
    </row>
    <row r="12432">
      <c r="A12432" s="8" t="str">
        <f>IFERROR(__xludf.DUMMYFUNCTION("IF('(INGESTA)Datos_consumo_datadis'!A12432&lt;&gt;"""",SPLIT('(INGESTA)Datos_consumo_datadis'!A:A,"",""),"""")"),"ES0031408323131005HX0F")</f>
        <v>ES0031408323131005HX0F</v>
      </c>
      <c r="B12432" s="12">
        <f>IFERROR(__xludf.DUMMYFUNCTION("""COMPUTED_VALUE"""),45383.0)</f>
        <v>45383</v>
      </c>
      <c r="C12432" s="16">
        <f>IFERROR(__xludf.DUMMYFUNCTION("""COMPUTED_VALUE"""),1.0)</f>
        <v>1</v>
      </c>
      <c r="D12432" s="8">
        <f>IFERROR(__xludf.DUMMYFUNCTION("""COMPUTED_VALUE"""),1.693)</f>
        <v>1.693</v>
      </c>
      <c r="E12432" s="8" t="str">
        <f>IFERROR(__xludf.DUMMYFUNCTION("""COMPUTED_VALUE"""),"Real")</f>
        <v>Real</v>
      </c>
      <c r="G12432" s="8">
        <f t="shared" si="1"/>
        <v>4</v>
      </c>
      <c r="H12432" s="14">
        <f t="shared" si="2"/>
        <v>1</v>
      </c>
      <c r="I12432" s="15">
        <f t="shared" si="3"/>
        <v>0</v>
      </c>
    </row>
    <row r="12433">
      <c r="A12433" s="8" t="str">
        <f>IFERROR(__xludf.DUMMYFUNCTION("IF('(INGESTA)Datos_consumo_datadis'!A12433&lt;&gt;"""",SPLIT('(INGESTA)Datos_consumo_datadis'!A:A,"",""),"""")"),"ES0031408323131005HX0F")</f>
        <v>ES0031408323131005HX0F</v>
      </c>
      <c r="B12433" s="12">
        <f>IFERROR(__xludf.DUMMYFUNCTION("""COMPUTED_VALUE"""),45384.0)</f>
        <v>45384</v>
      </c>
      <c r="C12433" s="13">
        <f>IFERROR(__xludf.DUMMYFUNCTION("""COMPUTED_VALUE"""),0.041666666666666664)</f>
        <v>0.04166666667</v>
      </c>
      <c r="D12433" s="8">
        <f>IFERROR(__xludf.DUMMYFUNCTION("""COMPUTED_VALUE"""),0.082)</f>
        <v>0.082</v>
      </c>
      <c r="E12433" s="8" t="str">
        <f>IFERROR(__xludf.DUMMYFUNCTION("""COMPUTED_VALUE"""),"Real")</f>
        <v>Real</v>
      </c>
      <c r="G12433" s="8">
        <f t="shared" si="1"/>
        <v>4</v>
      </c>
      <c r="H12433" s="14">
        <f t="shared" si="2"/>
        <v>2</v>
      </c>
      <c r="I12433" s="15">
        <f t="shared" si="3"/>
        <v>1</v>
      </c>
    </row>
    <row r="12434">
      <c r="A12434" s="8" t="str">
        <f>IFERROR(__xludf.DUMMYFUNCTION("IF('(INGESTA)Datos_consumo_datadis'!A12434&lt;&gt;"""",SPLIT('(INGESTA)Datos_consumo_datadis'!A:A,"",""),"""")"),"ES0031408323131005HX0F")</f>
        <v>ES0031408323131005HX0F</v>
      </c>
      <c r="B12434" s="12">
        <f>IFERROR(__xludf.DUMMYFUNCTION("""COMPUTED_VALUE"""),45384.0)</f>
        <v>45384</v>
      </c>
      <c r="C12434" s="13">
        <f>IFERROR(__xludf.DUMMYFUNCTION("""COMPUTED_VALUE"""),0.08333333333333333)</f>
        <v>0.08333333333</v>
      </c>
      <c r="D12434" s="8">
        <f>IFERROR(__xludf.DUMMYFUNCTION("""COMPUTED_VALUE"""),0.062)</f>
        <v>0.062</v>
      </c>
      <c r="E12434" s="8" t="str">
        <f>IFERROR(__xludf.DUMMYFUNCTION("""COMPUTED_VALUE"""),"Real")</f>
        <v>Real</v>
      </c>
      <c r="G12434" s="8">
        <f t="shared" si="1"/>
        <v>4</v>
      </c>
      <c r="H12434" s="14">
        <f t="shared" si="2"/>
        <v>2</v>
      </c>
      <c r="I12434" s="15">
        <f t="shared" si="3"/>
        <v>2</v>
      </c>
    </row>
    <row r="12435">
      <c r="A12435" s="8" t="str">
        <f>IFERROR(__xludf.DUMMYFUNCTION("IF('(INGESTA)Datos_consumo_datadis'!A12435&lt;&gt;"""",SPLIT('(INGESTA)Datos_consumo_datadis'!A:A,"",""),"""")"),"ES0031408323131005HX0F")</f>
        <v>ES0031408323131005HX0F</v>
      </c>
      <c r="B12435" s="12">
        <f>IFERROR(__xludf.DUMMYFUNCTION("""COMPUTED_VALUE"""),45384.0)</f>
        <v>45384</v>
      </c>
      <c r="C12435" s="13">
        <f>IFERROR(__xludf.DUMMYFUNCTION("""COMPUTED_VALUE"""),0.125)</f>
        <v>0.125</v>
      </c>
      <c r="D12435" s="8">
        <f>IFERROR(__xludf.DUMMYFUNCTION("""COMPUTED_VALUE"""),0.144)</f>
        <v>0.144</v>
      </c>
      <c r="E12435" s="8" t="str">
        <f>IFERROR(__xludf.DUMMYFUNCTION("""COMPUTED_VALUE"""),"Real")</f>
        <v>Real</v>
      </c>
      <c r="G12435" s="8">
        <f t="shared" si="1"/>
        <v>4</v>
      </c>
      <c r="H12435" s="14">
        <f t="shared" si="2"/>
        <v>2</v>
      </c>
      <c r="I12435" s="15">
        <f t="shared" si="3"/>
        <v>3</v>
      </c>
    </row>
    <row r="12436">
      <c r="A12436" s="8" t="str">
        <f>IFERROR(__xludf.DUMMYFUNCTION("IF('(INGESTA)Datos_consumo_datadis'!A12436&lt;&gt;"""",SPLIT('(INGESTA)Datos_consumo_datadis'!A:A,"",""),"""")"),"ES0031408323131005HX0F")</f>
        <v>ES0031408323131005HX0F</v>
      </c>
      <c r="B12436" s="12">
        <f>IFERROR(__xludf.DUMMYFUNCTION("""COMPUTED_VALUE"""),45384.0)</f>
        <v>45384</v>
      </c>
      <c r="C12436" s="13">
        <f>IFERROR(__xludf.DUMMYFUNCTION("""COMPUTED_VALUE"""),0.16666666666666666)</f>
        <v>0.1666666667</v>
      </c>
      <c r="D12436" s="8">
        <f>IFERROR(__xludf.DUMMYFUNCTION("""COMPUTED_VALUE"""),0.093)</f>
        <v>0.093</v>
      </c>
      <c r="E12436" s="8" t="str">
        <f>IFERROR(__xludf.DUMMYFUNCTION("""COMPUTED_VALUE"""),"Real")</f>
        <v>Real</v>
      </c>
      <c r="G12436" s="8">
        <f t="shared" si="1"/>
        <v>4</v>
      </c>
      <c r="H12436" s="14">
        <f t="shared" si="2"/>
        <v>2</v>
      </c>
      <c r="I12436" s="15">
        <f t="shared" si="3"/>
        <v>4</v>
      </c>
    </row>
    <row r="12437">
      <c r="A12437" s="8" t="str">
        <f>IFERROR(__xludf.DUMMYFUNCTION("IF('(INGESTA)Datos_consumo_datadis'!A12437&lt;&gt;"""",SPLIT('(INGESTA)Datos_consumo_datadis'!A:A,"",""),"""")"),"ES0031408323131005HX0F")</f>
        <v>ES0031408323131005HX0F</v>
      </c>
      <c r="B12437" s="12">
        <f>IFERROR(__xludf.DUMMYFUNCTION("""COMPUTED_VALUE"""),45384.0)</f>
        <v>45384</v>
      </c>
      <c r="C12437" s="13">
        <f>IFERROR(__xludf.DUMMYFUNCTION("""COMPUTED_VALUE"""),0.20833333333333334)</f>
        <v>0.2083333333</v>
      </c>
      <c r="D12437" s="8">
        <f>IFERROR(__xludf.DUMMYFUNCTION("""COMPUTED_VALUE"""),0.307)</f>
        <v>0.307</v>
      </c>
      <c r="E12437" s="8" t="str">
        <f>IFERROR(__xludf.DUMMYFUNCTION("""COMPUTED_VALUE"""),"Real")</f>
        <v>Real</v>
      </c>
      <c r="G12437" s="8">
        <f t="shared" si="1"/>
        <v>4</v>
      </c>
      <c r="H12437" s="14">
        <f t="shared" si="2"/>
        <v>2</v>
      </c>
      <c r="I12437" s="15">
        <f t="shared" si="3"/>
        <v>5</v>
      </c>
    </row>
    <row r="12438">
      <c r="A12438" s="8" t="str">
        <f>IFERROR(__xludf.DUMMYFUNCTION("IF('(INGESTA)Datos_consumo_datadis'!A12438&lt;&gt;"""",SPLIT('(INGESTA)Datos_consumo_datadis'!A:A,"",""),"""")"),"ES0031408323131005HX0F")</f>
        <v>ES0031408323131005HX0F</v>
      </c>
      <c r="B12438" s="12">
        <f>IFERROR(__xludf.DUMMYFUNCTION("""COMPUTED_VALUE"""),45384.0)</f>
        <v>45384</v>
      </c>
      <c r="C12438" s="13">
        <f>IFERROR(__xludf.DUMMYFUNCTION("""COMPUTED_VALUE"""),0.25)</f>
        <v>0.25</v>
      </c>
      <c r="D12438" s="8">
        <f>IFERROR(__xludf.DUMMYFUNCTION("""COMPUTED_VALUE"""),0.076)</f>
        <v>0.076</v>
      </c>
      <c r="E12438" s="8" t="str">
        <f>IFERROR(__xludf.DUMMYFUNCTION("""COMPUTED_VALUE"""),"Real")</f>
        <v>Real</v>
      </c>
      <c r="G12438" s="8">
        <f t="shared" si="1"/>
        <v>4</v>
      </c>
      <c r="H12438" s="14">
        <f t="shared" si="2"/>
        <v>2</v>
      </c>
      <c r="I12438" s="15">
        <f t="shared" si="3"/>
        <v>6</v>
      </c>
    </row>
    <row r="12439">
      <c r="A12439" s="8" t="str">
        <f>IFERROR(__xludf.DUMMYFUNCTION("IF('(INGESTA)Datos_consumo_datadis'!A12439&lt;&gt;"""",SPLIT('(INGESTA)Datos_consumo_datadis'!A:A,"",""),"""")"),"ES0031408323131005HX0F")</f>
        <v>ES0031408323131005HX0F</v>
      </c>
      <c r="B12439" s="12">
        <f>IFERROR(__xludf.DUMMYFUNCTION("""COMPUTED_VALUE"""),45384.0)</f>
        <v>45384</v>
      </c>
      <c r="C12439" s="13">
        <f>IFERROR(__xludf.DUMMYFUNCTION("""COMPUTED_VALUE"""),0.2916666666666667)</f>
        <v>0.2916666667</v>
      </c>
      <c r="D12439" s="8">
        <f>IFERROR(__xludf.DUMMYFUNCTION("""COMPUTED_VALUE"""),0.072)</f>
        <v>0.072</v>
      </c>
      <c r="E12439" s="8" t="str">
        <f>IFERROR(__xludf.DUMMYFUNCTION("""COMPUTED_VALUE"""),"Real")</f>
        <v>Real</v>
      </c>
      <c r="G12439" s="8">
        <f t="shared" si="1"/>
        <v>4</v>
      </c>
      <c r="H12439" s="14">
        <f t="shared" si="2"/>
        <v>2</v>
      </c>
      <c r="I12439" s="15">
        <f t="shared" si="3"/>
        <v>7</v>
      </c>
    </row>
    <row r="12440">
      <c r="A12440" s="8" t="str">
        <f>IFERROR(__xludf.DUMMYFUNCTION("IF('(INGESTA)Datos_consumo_datadis'!A12440&lt;&gt;"""",SPLIT('(INGESTA)Datos_consumo_datadis'!A:A,"",""),"""")"),"ES0031408323131005HX0F")</f>
        <v>ES0031408323131005HX0F</v>
      </c>
      <c r="B12440" s="12">
        <f>IFERROR(__xludf.DUMMYFUNCTION("""COMPUTED_VALUE"""),45384.0)</f>
        <v>45384</v>
      </c>
      <c r="C12440" s="13">
        <f>IFERROR(__xludf.DUMMYFUNCTION("""COMPUTED_VALUE"""),0.3333333333333333)</f>
        <v>0.3333333333</v>
      </c>
      <c r="D12440" s="8">
        <f>IFERROR(__xludf.DUMMYFUNCTION("""COMPUTED_VALUE"""),0.726)</f>
        <v>0.726</v>
      </c>
      <c r="E12440" s="8" t="str">
        <f>IFERROR(__xludf.DUMMYFUNCTION("""COMPUTED_VALUE"""),"Real")</f>
        <v>Real</v>
      </c>
      <c r="G12440" s="8">
        <f t="shared" si="1"/>
        <v>4</v>
      </c>
      <c r="H12440" s="14">
        <f t="shared" si="2"/>
        <v>2</v>
      </c>
      <c r="I12440" s="15">
        <f t="shared" si="3"/>
        <v>8</v>
      </c>
    </row>
    <row r="12441">
      <c r="A12441" s="8" t="str">
        <f>IFERROR(__xludf.DUMMYFUNCTION("IF('(INGESTA)Datos_consumo_datadis'!A12441&lt;&gt;"""",SPLIT('(INGESTA)Datos_consumo_datadis'!A:A,"",""),"""")"),"ES0031408323131005HX0F")</f>
        <v>ES0031408323131005HX0F</v>
      </c>
      <c r="B12441" s="12">
        <f>IFERROR(__xludf.DUMMYFUNCTION("""COMPUTED_VALUE"""),45384.0)</f>
        <v>45384</v>
      </c>
      <c r="C12441" s="13">
        <f>IFERROR(__xludf.DUMMYFUNCTION("""COMPUTED_VALUE"""),0.375)</f>
        <v>0.375</v>
      </c>
      <c r="D12441" s="8">
        <f>IFERROR(__xludf.DUMMYFUNCTION("""COMPUTED_VALUE"""),1.097)</f>
        <v>1.097</v>
      </c>
      <c r="E12441" s="8" t="str">
        <f>IFERROR(__xludf.DUMMYFUNCTION("""COMPUTED_VALUE"""),"Real")</f>
        <v>Real</v>
      </c>
      <c r="G12441" s="8">
        <f t="shared" si="1"/>
        <v>4</v>
      </c>
      <c r="H12441" s="14">
        <f t="shared" si="2"/>
        <v>2</v>
      </c>
      <c r="I12441" s="15">
        <f t="shared" si="3"/>
        <v>9</v>
      </c>
    </row>
    <row r="12442">
      <c r="A12442" s="8" t="str">
        <f>IFERROR(__xludf.DUMMYFUNCTION("IF('(INGESTA)Datos_consumo_datadis'!A12442&lt;&gt;"""",SPLIT('(INGESTA)Datos_consumo_datadis'!A:A,"",""),"""")"),"ES0031408323131005HX0F")</f>
        <v>ES0031408323131005HX0F</v>
      </c>
      <c r="B12442" s="12">
        <f>IFERROR(__xludf.DUMMYFUNCTION("""COMPUTED_VALUE"""),45384.0)</f>
        <v>45384</v>
      </c>
      <c r="C12442" s="13">
        <f>IFERROR(__xludf.DUMMYFUNCTION("""COMPUTED_VALUE"""),0.4166666666666667)</f>
        <v>0.4166666667</v>
      </c>
      <c r="D12442" s="8">
        <f>IFERROR(__xludf.DUMMYFUNCTION("""COMPUTED_VALUE"""),0.069)</f>
        <v>0.069</v>
      </c>
      <c r="E12442" s="8" t="str">
        <f>IFERROR(__xludf.DUMMYFUNCTION("""COMPUTED_VALUE"""),"Real")</f>
        <v>Real</v>
      </c>
      <c r="G12442" s="8">
        <f t="shared" si="1"/>
        <v>4</v>
      </c>
      <c r="H12442" s="14">
        <f t="shared" si="2"/>
        <v>2</v>
      </c>
      <c r="I12442" s="15">
        <f t="shared" si="3"/>
        <v>10</v>
      </c>
    </row>
    <row r="12443">
      <c r="A12443" s="8" t="str">
        <f>IFERROR(__xludf.DUMMYFUNCTION("IF('(INGESTA)Datos_consumo_datadis'!A12443&lt;&gt;"""",SPLIT('(INGESTA)Datos_consumo_datadis'!A:A,"",""),"""")"),"ES0031408323131005HX0F")</f>
        <v>ES0031408323131005HX0F</v>
      </c>
      <c r="B12443" s="12">
        <f>IFERROR(__xludf.DUMMYFUNCTION("""COMPUTED_VALUE"""),45384.0)</f>
        <v>45384</v>
      </c>
      <c r="C12443" s="13">
        <f>IFERROR(__xludf.DUMMYFUNCTION("""COMPUTED_VALUE"""),0.4583333333333333)</f>
        <v>0.4583333333</v>
      </c>
      <c r="D12443" s="8">
        <f>IFERROR(__xludf.DUMMYFUNCTION("""COMPUTED_VALUE"""),0.049)</f>
        <v>0.049</v>
      </c>
      <c r="E12443" s="8" t="str">
        <f>IFERROR(__xludf.DUMMYFUNCTION("""COMPUTED_VALUE"""),"Real")</f>
        <v>Real</v>
      </c>
      <c r="G12443" s="8">
        <f t="shared" si="1"/>
        <v>4</v>
      </c>
      <c r="H12443" s="14">
        <f t="shared" si="2"/>
        <v>2</v>
      </c>
      <c r="I12443" s="15">
        <f t="shared" si="3"/>
        <v>11</v>
      </c>
    </row>
    <row r="12444">
      <c r="A12444" s="8" t="str">
        <f>IFERROR(__xludf.DUMMYFUNCTION("IF('(INGESTA)Datos_consumo_datadis'!A12444&lt;&gt;"""",SPLIT('(INGESTA)Datos_consumo_datadis'!A:A,"",""),"""")"),"ES0031408323131005HX0F")</f>
        <v>ES0031408323131005HX0F</v>
      </c>
      <c r="B12444" s="12">
        <f>IFERROR(__xludf.DUMMYFUNCTION("""COMPUTED_VALUE"""),45384.0)</f>
        <v>45384</v>
      </c>
      <c r="C12444" s="13">
        <f>IFERROR(__xludf.DUMMYFUNCTION("""COMPUTED_VALUE"""),0.5)</f>
        <v>0.5</v>
      </c>
      <c r="D12444" s="8">
        <f>IFERROR(__xludf.DUMMYFUNCTION("""COMPUTED_VALUE"""),0.057)</f>
        <v>0.057</v>
      </c>
      <c r="E12444" s="8" t="str">
        <f>IFERROR(__xludf.DUMMYFUNCTION("""COMPUTED_VALUE"""),"Real")</f>
        <v>Real</v>
      </c>
      <c r="G12444" s="8">
        <f t="shared" si="1"/>
        <v>4</v>
      </c>
      <c r="H12444" s="14">
        <f t="shared" si="2"/>
        <v>2</v>
      </c>
      <c r="I12444" s="15">
        <f t="shared" si="3"/>
        <v>12</v>
      </c>
    </row>
    <row r="12445">
      <c r="A12445" s="8" t="str">
        <f>IFERROR(__xludf.DUMMYFUNCTION("IF('(INGESTA)Datos_consumo_datadis'!A12445&lt;&gt;"""",SPLIT('(INGESTA)Datos_consumo_datadis'!A:A,"",""),"""")"),"ES0031408323131005HX0F")</f>
        <v>ES0031408323131005HX0F</v>
      </c>
      <c r="B12445" s="12">
        <f>IFERROR(__xludf.DUMMYFUNCTION("""COMPUTED_VALUE"""),45384.0)</f>
        <v>45384</v>
      </c>
      <c r="C12445" s="13">
        <f>IFERROR(__xludf.DUMMYFUNCTION("""COMPUTED_VALUE"""),0.5416666666666666)</f>
        <v>0.5416666667</v>
      </c>
      <c r="D12445" s="8">
        <f>IFERROR(__xludf.DUMMYFUNCTION("""COMPUTED_VALUE"""),1.045)</f>
        <v>1.045</v>
      </c>
      <c r="E12445" s="8" t="str">
        <f>IFERROR(__xludf.DUMMYFUNCTION("""COMPUTED_VALUE"""),"Real")</f>
        <v>Real</v>
      </c>
      <c r="G12445" s="8">
        <f t="shared" si="1"/>
        <v>4</v>
      </c>
      <c r="H12445" s="14">
        <f t="shared" si="2"/>
        <v>2</v>
      </c>
      <c r="I12445" s="15">
        <f t="shared" si="3"/>
        <v>13</v>
      </c>
    </row>
    <row r="12446">
      <c r="A12446" s="8" t="str">
        <f>IFERROR(__xludf.DUMMYFUNCTION("IF('(INGESTA)Datos_consumo_datadis'!A12446&lt;&gt;"""",SPLIT('(INGESTA)Datos_consumo_datadis'!A:A,"",""),"""")"),"ES0031408323131005HX0F")</f>
        <v>ES0031408323131005HX0F</v>
      </c>
      <c r="B12446" s="12">
        <f>IFERROR(__xludf.DUMMYFUNCTION("""COMPUTED_VALUE"""),45384.0)</f>
        <v>45384</v>
      </c>
      <c r="C12446" s="13">
        <f>IFERROR(__xludf.DUMMYFUNCTION("""COMPUTED_VALUE"""),0.5833333333333334)</f>
        <v>0.5833333333</v>
      </c>
      <c r="D12446" s="8">
        <f>IFERROR(__xludf.DUMMYFUNCTION("""COMPUTED_VALUE"""),0.129)</f>
        <v>0.129</v>
      </c>
      <c r="E12446" s="8" t="str">
        <f>IFERROR(__xludf.DUMMYFUNCTION("""COMPUTED_VALUE"""),"Real")</f>
        <v>Real</v>
      </c>
      <c r="G12446" s="8">
        <f t="shared" si="1"/>
        <v>4</v>
      </c>
      <c r="H12446" s="14">
        <f t="shared" si="2"/>
        <v>2</v>
      </c>
      <c r="I12446" s="15">
        <f t="shared" si="3"/>
        <v>14</v>
      </c>
    </row>
    <row r="12447">
      <c r="A12447" s="8" t="str">
        <f>IFERROR(__xludf.DUMMYFUNCTION("IF('(INGESTA)Datos_consumo_datadis'!A12447&lt;&gt;"""",SPLIT('(INGESTA)Datos_consumo_datadis'!A:A,"",""),"""")"),"ES0031408323131005HX0F")</f>
        <v>ES0031408323131005HX0F</v>
      </c>
      <c r="B12447" s="12">
        <f>IFERROR(__xludf.DUMMYFUNCTION("""COMPUTED_VALUE"""),45384.0)</f>
        <v>45384</v>
      </c>
      <c r="C12447" s="13">
        <f>IFERROR(__xludf.DUMMYFUNCTION("""COMPUTED_VALUE"""),0.625)</f>
        <v>0.625</v>
      </c>
      <c r="D12447" s="8">
        <f>IFERROR(__xludf.DUMMYFUNCTION("""COMPUTED_VALUE"""),1.827)</f>
        <v>1.827</v>
      </c>
      <c r="E12447" s="8" t="str">
        <f>IFERROR(__xludf.DUMMYFUNCTION("""COMPUTED_VALUE"""),"Real")</f>
        <v>Real</v>
      </c>
      <c r="G12447" s="8">
        <f t="shared" si="1"/>
        <v>4</v>
      </c>
      <c r="H12447" s="14">
        <f t="shared" si="2"/>
        <v>2</v>
      </c>
      <c r="I12447" s="15">
        <f t="shared" si="3"/>
        <v>15</v>
      </c>
    </row>
    <row r="12448">
      <c r="A12448" s="8" t="str">
        <f>IFERROR(__xludf.DUMMYFUNCTION("IF('(INGESTA)Datos_consumo_datadis'!A12448&lt;&gt;"""",SPLIT('(INGESTA)Datos_consumo_datadis'!A:A,"",""),"""")"),"ES0031408323131005HX0F")</f>
        <v>ES0031408323131005HX0F</v>
      </c>
      <c r="B12448" s="12">
        <f>IFERROR(__xludf.DUMMYFUNCTION("""COMPUTED_VALUE"""),45384.0)</f>
        <v>45384</v>
      </c>
      <c r="C12448" s="13">
        <f>IFERROR(__xludf.DUMMYFUNCTION("""COMPUTED_VALUE"""),0.6666666666666666)</f>
        <v>0.6666666667</v>
      </c>
      <c r="D12448" s="8">
        <f>IFERROR(__xludf.DUMMYFUNCTION("""COMPUTED_VALUE"""),2.261)</f>
        <v>2.261</v>
      </c>
      <c r="E12448" s="8" t="str">
        <f>IFERROR(__xludf.DUMMYFUNCTION("""COMPUTED_VALUE"""),"Real")</f>
        <v>Real</v>
      </c>
      <c r="G12448" s="8">
        <f t="shared" si="1"/>
        <v>4</v>
      </c>
      <c r="H12448" s="14">
        <f t="shared" si="2"/>
        <v>2</v>
      </c>
      <c r="I12448" s="15">
        <f t="shared" si="3"/>
        <v>16</v>
      </c>
    </row>
    <row r="12449">
      <c r="A12449" s="8" t="str">
        <f>IFERROR(__xludf.DUMMYFUNCTION("IF('(INGESTA)Datos_consumo_datadis'!A12449&lt;&gt;"""",SPLIT('(INGESTA)Datos_consumo_datadis'!A:A,"",""),"""")"),"ES0031408323131005HX0F")</f>
        <v>ES0031408323131005HX0F</v>
      </c>
      <c r="B12449" s="12">
        <f>IFERROR(__xludf.DUMMYFUNCTION("""COMPUTED_VALUE"""),45384.0)</f>
        <v>45384</v>
      </c>
      <c r="C12449" s="13">
        <f>IFERROR(__xludf.DUMMYFUNCTION("""COMPUTED_VALUE"""),0.7083333333333334)</f>
        <v>0.7083333333</v>
      </c>
      <c r="D12449" s="8">
        <f>IFERROR(__xludf.DUMMYFUNCTION("""COMPUTED_VALUE"""),1.616)</f>
        <v>1.616</v>
      </c>
      <c r="E12449" s="8" t="str">
        <f>IFERROR(__xludf.DUMMYFUNCTION("""COMPUTED_VALUE"""),"Real")</f>
        <v>Real</v>
      </c>
      <c r="G12449" s="8">
        <f t="shared" si="1"/>
        <v>4</v>
      </c>
      <c r="H12449" s="14">
        <f t="shared" si="2"/>
        <v>2</v>
      </c>
      <c r="I12449" s="15">
        <f t="shared" si="3"/>
        <v>17</v>
      </c>
    </row>
    <row r="12450">
      <c r="A12450" s="8" t="str">
        <f>IFERROR(__xludf.DUMMYFUNCTION("IF('(INGESTA)Datos_consumo_datadis'!A12450&lt;&gt;"""",SPLIT('(INGESTA)Datos_consumo_datadis'!A:A,"",""),"""")"),"ES0031408323131005HX0F")</f>
        <v>ES0031408323131005HX0F</v>
      </c>
      <c r="B12450" s="12">
        <f>IFERROR(__xludf.DUMMYFUNCTION("""COMPUTED_VALUE"""),45384.0)</f>
        <v>45384</v>
      </c>
      <c r="C12450" s="13">
        <f>IFERROR(__xludf.DUMMYFUNCTION("""COMPUTED_VALUE"""),0.75)</f>
        <v>0.75</v>
      </c>
      <c r="D12450" s="8">
        <f>IFERROR(__xludf.DUMMYFUNCTION("""COMPUTED_VALUE"""),1.031)</f>
        <v>1.031</v>
      </c>
      <c r="E12450" s="8" t="str">
        <f>IFERROR(__xludf.DUMMYFUNCTION("""COMPUTED_VALUE"""),"Real")</f>
        <v>Real</v>
      </c>
      <c r="G12450" s="8">
        <f t="shared" si="1"/>
        <v>4</v>
      </c>
      <c r="H12450" s="14">
        <f t="shared" si="2"/>
        <v>2</v>
      </c>
      <c r="I12450" s="15">
        <f t="shared" si="3"/>
        <v>18</v>
      </c>
    </row>
    <row r="12451">
      <c r="A12451" s="8" t="str">
        <f>IFERROR(__xludf.DUMMYFUNCTION("IF('(INGESTA)Datos_consumo_datadis'!A12451&lt;&gt;"""",SPLIT('(INGESTA)Datos_consumo_datadis'!A:A,"",""),"""")"),"ES0031408323131005HX0F")</f>
        <v>ES0031408323131005HX0F</v>
      </c>
      <c r="B12451" s="12">
        <f>IFERROR(__xludf.DUMMYFUNCTION("""COMPUTED_VALUE"""),45384.0)</f>
        <v>45384</v>
      </c>
      <c r="C12451" s="13">
        <f>IFERROR(__xludf.DUMMYFUNCTION("""COMPUTED_VALUE"""),0.7916666666666666)</f>
        <v>0.7916666667</v>
      </c>
      <c r="D12451" s="8">
        <f>IFERROR(__xludf.DUMMYFUNCTION("""COMPUTED_VALUE"""),0.086)</f>
        <v>0.086</v>
      </c>
      <c r="E12451" s="8" t="str">
        <f>IFERROR(__xludf.DUMMYFUNCTION("""COMPUTED_VALUE"""),"Real")</f>
        <v>Real</v>
      </c>
      <c r="G12451" s="8">
        <f t="shared" si="1"/>
        <v>4</v>
      </c>
      <c r="H12451" s="14">
        <f t="shared" si="2"/>
        <v>2</v>
      </c>
      <c r="I12451" s="15">
        <f t="shared" si="3"/>
        <v>19</v>
      </c>
    </row>
    <row r="12452">
      <c r="A12452" s="8" t="str">
        <f>IFERROR(__xludf.DUMMYFUNCTION("IF('(INGESTA)Datos_consumo_datadis'!A12452&lt;&gt;"""",SPLIT('(INGESTA)Datos_consumo_datadis'!A:A,"",""),"""")"),"ES0031408323131005HX0F")</f>
        <v>ES0031408323131005HX0F</v>
      </c>
      <c r="B12452" s="12">
        <f>IFERROR(__xludf.DUMMYFUNCTION("""COMPUTED_VALUE"""),45384.0)</f>
        <v>45384</v>
      </c>
      <c r="C12452" s="13">
        <f>IFERROR(__xludf.DUMMYFUNCTION("""COMPUTED_VALUE"""),0.8333333333333334)</f>
        <v>0.8333333333</v>
      </c>
      <c r="D12452" s="8">
        <f>IFERROR(__xludf.DUMMYFUNCTION("""COMPUTED_VALUE"""),0.105)</f>
        <v>0.105</v>
      </c>
      <c r="E12452" s="8" t="str">
        <f>IFERROR(__xludf.DUMMYFUNCTION("""COMPUTED_VALUE"""),"Real")</f>
        <v>Real</v>
      </c>
      <c r="G12452" s="8">
        <f t="shared" si="1"/>
        <v>4</v>
      </c>
      <c r="H12452" s="14">
        <f t="shared" si="2"/>
        <v>2</v>
      </c>
      <c r="I12452" s="15">
        <f t="shared" si="3"/>
        <v>20</v>
      </c>
    </row>
    <row r="12453">
      <c r="A12453" s="8" t="str">
        <f>IFERROR(__xludf.DUMMYFUNCTION("IF('(INGESTA)Datos_consumo_datadis'!A12453&lt;&gt;"""",SPLIT('(INGESTA)Datos_consumo_datadis'!A:A,"",""),"""")"),"ES0031408323131005HX0F")</f>
        <v>ES0031408323131005HX0F</v>
      </c>
      <c r="B12453" s="12">
        <f>IFERROR(__xludf.DUMMYFUNCTION("""COMPUTED_VALUE"""),45384.0)</f>
        <v>45384</v>
      </c>
      <c r="C12453" s="13">
        <f>IFERROR(__xludf.DUMMYFUNCTION("""COMPUTED_VALUE"""),0.875)</f>
        <v>0.875</v>
      </c>
      <c r="D12453" s="8">
        <f>IFERROR(__xludf.DUMMYFUNCTION("""COMPUTED_VALUE"""),2.209)</f>
        <v>2.209</v>
      </c>
      <c r="E12453" s="8" t="str">
        <f>IFERROR(__xludf.DUMMYFUNCTION("""COMPUTED_VALUE"""),"Real")</f>
        <v>Real</v>
      </c>
      <c r="G12453" s="8">
        <f t="shared" si="1"/>
        <v>4</v>
      </c>
      <c r="H12453" s="14">
        <f t="shared" si="2"/>
        <v>2</v>
      </c>
      <c r="I12453" s="15">
        <f t="shared" si="3"/>
        <v>21</v>
      </c>
    </row>
    <row r="12454">
      <c r="A12454" s="8" t="str">
        <f>IFERROR(__xludf.DUMMYFUNCTION("IF('(INGESTA)Datos_consumo_datadis'!A12454&lt;&gt;"""",SPLIT('(INGESTA)Datos_consumo_datadis'!A:A,"",""),"""")"),"ES0031408323131005HX0F")</f>
        <v>ES0031408323131005HX0F</v>
      </c>
      <c r="B12454" s="12">
        <f>IFERROR(__xludf.DUMMYFUNCTION("""COMPUTED_VALUE"""),45384.0)</f>
        <v>45384</v>
      </c>
      <c r="C12454" s="13">
        <f>IFERROR(__xludf.DUMMYFUNCTION("""COMPUTED_VALUE"""),0.9166666666666666)</f>
        <v>0.9166666667</v>
      </c>
      <c r="D12454" s="8">
        <f>IFERROR(__xludf.DUMMYFUNCTION("""COMPUTED_VALUE"""),0.804)</f>
        <v>0.804</v>
      </c>
      <c r="E12454" s="8" t="str">
        <f>IFERROR(__xludf.DUMMYFUNCTION("""COMPUTED_VALUE"""),"Real")</f>
        <v>Real</v>
      </c>
      <c r="G12454" s="8">
        <f t="shared" si="1"/>
        <v>4</v>
      </c>
      <c r="H12454" s="14">
        <f t="shared" si="2"/>
        <v>2</v>
      </c>
      <c r="I12454" s="15">
        <f t="shared" si="3"/>
        <v>22</v>
      </c>
    </row>
    <row r="12455">
      <c r="A12455" s="8" t="str">
        <f>IFERROR(__xludf.DUMMYFUNCTION("IF('(INGESTA)Datos_consumo_datadis'!A12455&lt;&gt;"""",SPLIT('(INGESTA)Datos_consumo_datadis'!A:A,"",""),"""")"),"ES0031408323131005HX0F")</f>
        <v>ES0031408323131005HX0F</v>
      </c>
      <c r="B12455" s="12">
        <f>IFERROR(__xludf.DUMMYFUNCTION("""COMPUTED_VALUE"""),45384.0)</f>
        <v>45384</v>
      </c>
      <c r="C12455" s="13">
        <f>IFERROR(__xludf.DUMMYFUNCTION("""COMPUTED_VALUE"""),0.9583333333333334)</f>
        <v>0.9583333333</v>
      </c>
      <c r="D12455" s="8">
        <f>IFERROR(__xludf.DUMMYFUNCTION("""COMPUTED_VALUE"""),1.319)</f>
        <v>1.319</v>
      </c>
      <c r="E12455" s="8" t="str">
        <f>IFERROR(__xludf.DUMMYFUNCTION("""COMPUTED_VALUE"""),"Real")</f>
        <v>Real</v>
      </c>
      <c r="G12455" s="8">
        <f t="shared" si="1"/>
        <v>4</v>
      </c>
      <c r="H12455" s="14">
        <f t="shared" si="2"/>
        <v>2</v>
      </c>
      <c r="I12455" s="15">
        <f t="shared" si="3"/>
        <v>23</v>
      </c>
    </row>
    <row r="12456">
      <c r="A12456" s="8" t="str">
        <f>IFERROR(__xludf.DUMMYFUNCTION("IF('(INGESTA)Datos_consumo_datadis'!A12456&lt;&gt;"""",SPLIT('(INGESTA)Datos_consumo_datadis'!A:A,"",""),"""")"),"ES0031408323131005HX0F")</f>
        <v>ES0031408323131005HX0F</v>
      </c>
      <c r="B12456" s="12">
        <f>IFERROR(__xludf.DUMMYFUNCTION("""COMPUTED_VALUE"""),45384.0)</f>
        <v>45384</v>
      </c>
      <c r="C12456" s="16">
        <f>IFERROR(__xludf.DUMMYFUNCTION("""COMPUTED_VALUE"""),1.0)</f>
        <v>1</v>
      </c>
      <c r="D12456" s="8">
        <f>IFERROR(__xludf.DUMMYFUNCTION("""COMPUTED_VALUE"""),1.58)</f>
        <v>1.58</v>
      </c>
      <c r="E12456" s="8" t="str">
        <f>IFERROR(__xludf.DUMMYFUNCTION("""COMPUTED_VALUE"""),"Real")</f>
        <v>Real</v>
      </c>
      <c r="G12456" s="8">
        <f t="shared" si="1"/>
        <v>4</v>
      </c>
      <c r="H12456" s="14">
        <f t="shared" si="2"/>
        <v>2</v>
      </c>
      <c r="I12456" s="15">
        <f t="shared" si="3"/>
        <v>0</v>
      </c>
    </row>
    <row r="12457">
      <c r="A12457" s="8" t="str">
        <f>IFERROR(__xludf.DUMMYFUNCTION("IF('(INGESTA)Datos_consumo_datadis'!A12457&lt;&gt;"""",SPLIT('(INGESTA)Datos_consumo_datadis'!A:A,"",""),"""")"),"ES0031408323131005HX0F")</f>
        <v>ES0031408323131005HX0F</v>
      </c>
      <c r="B12457" s="12">
        <f>IFERROR(__xludf.DUMMYFUNCTION("""COMPUTED_VALUE"""),45385.0)</f>
        <v>45385</v>
      </c>
      <c r="C12457" s="13">
        <f>IFERROR(__xludf.DUMMYFUNCTION("""COMPUTED_VALUE"""),0.041666666666666664)</f>
        <v>0.04166666667</v>
      </c>
      <c r="D12457" s="8">
        <f>IFERROR(__xludf.DUMMYFUNCTION("""COMPUTED_VALUE"""),0.066)</f>
        <v>0.066</v>
      </c>
      <c r="E12457" s="8" t="str">
        <f>IFERROR(__xludf.DUMMYFUNCTION("""COMPUTED_VALUE"""),"Real")</f>
        <v>Real</v>
      </c>
      <c r="G12457" s="8">
        <f t="shared" si="1"/>
        <v>4</v>
      </c>
      <c r="H12457" s="14">
        <f t="shared" si="2"/>
        <v>3</v>
      </c>
      <c r="I12457" s="15">
        <f t="shared" si="3"/>
        <v>1</v>
      </c>
    </row>
    <row r="12458">
      <c r="A12458" s="8" t="str">
        <f>IFERROR(__xludf.DUMMYFUNCTION("IF('(INGESTA)Datos_consumo_datadis'!A12458&lt;&gt;"""",SPLIT('(INGESTA)Datos_consumo_datadis'!A:A,"",""),"""")"),"ES0031408323131005HX0F")</f>
        <v>ES0031408323131005HX0F</v>
      </c>
      <c r="B12458" s="12">
        <f>IFERROR(__xludf.DUMMYFUNCTION("""COMPUTED_VALUE"""),45385.0)</f>
        <v>45385</v>
      </c>
      <c r="C12458" s="13">
        <f>IFERROR(__xludf.DUMMYFUNCTION("""COMPUTED_VALUE"""),0.08333333333333333)</f>
        <v>0.08333333333</v>
      </c>
      <c r="D12458" s="8">
        <f>IFERROR(__xludf.DUMMYFUNCTION("""COMPUTED_VALUE"""),0.1)</f>
        <v>0.1</v>
      </c>
      <c r="E12458" s="8" t="str">
        <f>IFERROR(__xludf.DUMMYFUNCTION("""COMPUTED_VALUE"""),"Real")</f>
        <v>Real</v>
      </c>
      <c r="G12458" s="8">
        <f t="shared" si="1"/>
        <v>4</v>
      </c>
      <c r="H12458" s="14">
        <f t="shared" si="2"/>
        <v>3</v>
      </c>
      <c r="I12458" s="15">
        <f t="shared" si="3"/>
        <v>2</v>
      </c>
    </row>
    <row r="12459">
      <c r="A12459" s="8" t="str">
        <f>IFERROR(__xludf.DUMMYFUNCTION("IF('(INGESTA)Datos_consumo_datadis'!A12459&lt;&gt;"""",SPLIT('(INGESTA)Datos_consumo_datadis'!A:A,"",""),"""")"),"ES0031408323131005HX0F")</f>
        <v>ES0031408323131005HX0F</v>
      </c>
      <c r="B12459" s="12">
        <f>IFERROR(__xludf.DUMMYFUNCTION("""COMPUTED_VALUE"""),45385.0)</f>
        <v>45385</v>
      </c>
      <c r="C12459" s="13">
        <f>IFERROR(__xludf.DUMMYFUNCTION("""COMPUTED_VALUE"""),0.125)</f>
        <v>0.125</v>
      </c>
      <c r="D12459" s="8">
        <f>IFERROR(__xludf.DUMMYFUNCTION("""COMPUTED_VALUE"""),0.078)</f>
        <v>0.078</v>
      </c>
      <c r="E12459" s="8" t="str">
        <f>IFERROR(__xludf.DUMMYFUNCTION("""COMPUTED_VALUE"""),"Real")</f>
        <v>Real</v>
      </c>
      <c r="G12459" s="8">
        <f t="shared" si="1"/>
        <v>4</v>
      </c>
      <c r="H12459" s="14">
        <f t="shared" si="2"/>
        <v>3</v>
      </c>
      <c r="I12459" s="15">
        <f t="shared" si="3"/>
        <v>3</v>
      </c>
    </row>
    <row r="12460">
      <c r="A12460" s="8" t="str">
        <f>IFERROR(__xludf.DUMMYFUNCTION("IF('(INGESTA)Datos_consumo_datadis'!A12460&lt;&gt;"""",SPLIT('(INGESTA)Datos_consumo_datadis'!A:A,"",""),"""")"),"ES0031408323131005HX0F")</f>
        <v>ES0031408323131005HX0F</v>
      </c>
      <c r="B12460" s="12">
        <f>IFERROR(__xludf.DUMMYFUNCTION("""COMPUTED_VALUE"""),45385.0)</f>
        <v>45385</v>
      </c>
      <c r="C12460" s="13">
        <f>IFERROR(__xludf.DUMMYFUNCTION("""COMPUTED_VALUE"""),0.16666666666666666)</f>
        <v>0.1666666667</v>
      </c>
      <c r="D12460" s="8">
        <f>IFERROR(__xludf.DUMMYFUNCTION("""COMPUTED_VALUE"""),0.092)</f>
        <v>0.092</v>
      </c>
      <c r="E12460" s="8" t="str">
        <f>IFERROR(__xludf.DUMMYFUNCTION("""COMPUTED_VALUE"""),"Real")</f>
        <v>Real</v>
      </c>
      <c r="G12460" s="8">
        <f t="shared" si="1"/>
        <v>4</v>
      </c>
      <c r="H12460" s="14">
        <f t="shared" si="2"/>
        <v>3</v>
      </c>
      <c r="I12460" s="15">
        <f t="shared" si="3"/>
        <v>4</v>
      </c>
    </row>
    <row r="12461">
      <c r="A12461" s="8" t="str">
        <f>IFERROR(__xludf.DUMMYFUNCTION("IF('(INGESTA)Datos_consumo_datadis'!A12461&lt;&gt;"""",SPLIT('(INGESTA)Datos_consumo_datadis'!A:A,"",""),"""")"),"ES0031408323131005HX0F")</f>
        <v>ES0031408323131005HX0F</v>
      </c>
      <c r="B12461" s="12">
        <f>IFERROR(__xludf.DUMMYFUNCTION("""COMPUTED_VALUE"""),45385.0)</f>
        <v>45385</v>
      </c>
      <c r="C12461" s="13">
        <f>IFERROR(__xludf.DUMMYFUNCTION("""COMPUTED_VALUE"""),0.20833333333333334)</f>
        <v>0.2083333333</v>
      </c>
      <c r="D12461" s="8">
        <f>IFERROR(__xludf.DUMMYFUNCTION("""COMPUTED_VALUE"""),0.116)</f>
        <v>0.116</v>
      </c>
      <c r="E12461" s="8" t="str">
        <f>IFERROR(__xludf.DUMMYFUNCTION("""COMPUTED_VALUE"""),"Real")</f>
        <v>Real</v>
      </c>
      <c r="G12461" s="8">
        <f t="shared" si="1"/>
        <v>4</v>
      </c>
      <c r="H12461" s="14">
        <f t="shared" si="2"/>
        <v>3</v>
      </c>
      <c r="I12461" s="15">
        <f t="shared" si="3"/>
        <v>5</v>
      </c>
    </row>
    <row r="12462">
      <c r="A12462" s="8" t="str">
        <f>IFERROR(__xludf.DUMMYFUNCTION("IF('(INGESTA)Datos_consumo_datadis'!A12462&lt;&gt;"""",SPLIT('(INGESTA)Datos_consumo_datadis'!A:A,"",""),"""")"),"ES0031408323131005HX0F")</f>
        <v>ES0031408323131005HX0F</v>
      </c>
      <c r="B12462" s="12">
        <f>IFERROR(__xludf.DUMMYFUNCTION("""COMPUTED_VALUE"""),45385.0)</f>
        <v>45385</v>
      </c>
      <c r="C12462" s="13">
        <f>IFERROR(__xludf.DUMMYFUNCTION("""COMPUTED_VALUE"""),0.25)</f>
        <v>0.25</v>
      </c>
      <c r="D12462" s="8">
        <f>IFERROR(__xludf.DUMMYFUNCTION("""COMPUTED_VALUE"""),0.35)</f>
        <v>0.35</v>
      </c>
      <c r="E12462" s="8" t="str">
        <f>IFERROR(__xludf.DUMMYFUNCTION("""COMPUTED_VALUE"""),"Real")</f>
        <v>Real</v>
      </c>
      <c r="G12462" s="8">
        <f t="shared" si="1"/>
        <v>4</v>
      </c>
      <c r="H12462" s="14">
        <f t="shared" si="2"/>
        <v>3</v>
      </c>
      <c r="I12462" s="15">
        <f t="shared" si="3"/>
        <v>6</v>
      </c>
    </row>
    <row r="12463">
      <c r="A12463" s="8" t="str">
        <f>IFERROR(__xludf.DUMMYFUNCTION("IF('(INGESTA)Datos_consumo_datadis'!A12463&lt;&gt;"""",SPLIT('(INGESTA)Datos_consumo_datadis'!A:A,"",""),"""")"),"ES0031408323131005HX0F")</f>
        <v>ES0031408323131005HX0F</v>
      </c>
      <c r="B12463" s="12">
        <f>IFERROR(__xludf.DUMMYFUNCTION("""COMPUTED_VALUE"""),45385.0)</f>
        <v>45385</v>
      </c>
      <c r="C12463" s="13">
        <f>IFERROR(__xludf.DUMMYFUNCTION("""COMPUTED_VALUE"""),0.2916666666666667)</f>
        <v>0.2916666667</v>
      </c>
      <c r="D12463" s="8">
        <f>IFERROR(__xludf.DUMMYFUNCTION("""COMPUTED_VALUE"""),0.486)</f>
        <v>0.486</v>
      </c>
      <c r="E12463" s="8" t="str">
        <f>IFERROR(__xludf.DUMMYFUNCTION("""COMPUTED_VALUE"""),"Real")</f>
        <v>Real</v>
      </c>
      <c r="G12463" s="8">
        <f t="shared" si="1"/>
        <v>4</v>
      </c>
      <c r="H12463" s="14">
        <f t="shared" si="2"/>
        <v>3</v>
      </c>
      <c r="I12463" s="15">
        <f t="shared" si="3"/>
        <v>7</v>
      </c>
    </row>
    <row r="12464">
      <c r="A12464" s="8" t="str">
        <f>IFERROR(__xludf.DUMMYFUNCTION("IF('(INGESTA)Datos_consumo_datadis'!A12464&lt;&gt;"""",SPLIT('(INGESTA)Datos_consumo_datadis'!A:A,"",""),"""")"),"ES0031408323131005HX0F")</f>
        <v>ES0031408323131005HX0F</v>
      </c>
      <c r="B12464" s="12">
        <f>IFERROR(__xludf.DUMMYFUNCTION("""COMPUTED_VALUE"""),45385.0)</f>
        <v>45385</v>
      </c>
      <c r="C12464" s="13">
        <f>IFERROR(__xludf.DUMMYFUNCTION("""COMPUTED_VALUE"""),0.3333333333333333)</f>
        <v>0.3333333333</v>
      </c>
      <c r="D12464" s="8">
        <f>IFERROR(__xludf.DUMMYFUNCTION("""COMPUTED_VALUE"""),1.202)</f>
        <v>1.202</v>
      </c>
      <c r="E12464" s="8" t="str">
        <f>IFERROR(__xludf.DUMMYFUNCTION("""COMPUTED_VALUE"""),"Real")</f>
        <v>Real</v>
      </c>
      <c r="G12464" s="8">
        <f t="shared" si="1"/>
        <v>4</v>
      </c>
      <c r="H12464" s="14">
        <f t="shared" si="2"/>
        <v>3</v>
      </c>
      <c r="I12464" s="15">
        <f t="shared" si="3"/>
        <v>8</v>
      </c>
    </row>
    <row r="12465">
      <c r="A12465" s="8" t="str">
        <f>IFERROR(__xludf.DUMMYFUNCTION("IF('(INGESTA)Datos_consumo_datadis'!A12465&lt;&gt;"""",SPLIT('(INGESTA)Datos_consumo_datadis'!A:A,"",""),"""")"),"ES0031408323131005HX0F")</f>
        <v>ES0031408323131005HX0F</v>
      </c>
      <c r="B12465" s="12">
        <f>IFERROR(__xludf.DUMMYFUNCTION("""COMPUTED_VALUE"""),45385.0)</f>
        <v>45385</v>
      </c>
      <c r="C12465" s="13">
        <f>IFERROR(__xludf.DUMMYFUNCTION("""COMPUTED_VALUE"""),0.375)</f>
        <v>0.375</v>
      </c>
      <c r="D12465" s="8">
        <f>IFERROR(__xludf.DUMMYFUNCTION("""COMPUTED_VALUE"""),0.056)</f>
        <v>0.056</v>
      </c>
      <c r="E12465" s="8" t="str">
        <f>IFERROR(__xludf.DUMMYFUNCTION("""COMPUTED_VALUE"""),"Real")</f>
        <v>Real</v>
      </c>
      <c r="G12465" s="8">
        <f t="shared" si="1"/>
        <v>4</v>
      </c>
      <c r="H12465" s="14">
        <f t="shared" si="2"/>
        <v>3</v>
      </c>
      <c r="I12465" s="15">
        <f t="shared" si="3"/>
        <v>9</v>
      </c>
    </row>
    <row r="12466">
      <c r="A12466" s="8" t="str">
        <f>IFERROR(__xludf.DUMMYFUNCTION("IF('(INGESTA)Datos_consumo_datadis'!A12466&lt;&gt;"""",SPLIT('(INGESTA)Datos_consumo_datadis'!A:A,"",""),"""")"),"ES0031408323131005HX0F")</f>
        <v>ES0031408323131005HX0F</v>
      </c>
      <c r="B12466" s="12">
        <f>IFERROR(__xludf.DUMMYFUNCTION("""COMPUTED_VALUE"""),45385.0)</f>
        <v>45385</v>
      </c>
      <c r="C12466" s="13">
        <f>IFERROR(__xludf.DUMMYFUNCTION("""COMPUTED_VALUE"""),0.4166666666666667)</f>
        <v>0.4166666667</v>
      </c>
      <c r="D12466" s="8">
        <f>IFERROR(__xludf.DUMMYFUNCTION("""COMPUTED_VALUE"""),0.07)</f>
        <v>0.07</v>
      </c>
      <c r="E12466" s="8" t="str">
        <f>IFERROR(__xludf.DUMMYFUNCTION("""COMPUTED_VALUE"""),"Real")</f>
        <v>Real</v>
      </c>
      <c r="G12466" s="8">
        <f t="shared" si="1"/>
        <v>4</v>
      </c>
      <c r="H12466" s="14">
        <f t="shared" si="2"/>
        <v>3</v>
      </c>
      <c r="I12466" s="15">
        <f t="shared" si="3"/>
        <v>10</v>
      </c>
    </row>
    <row r="12467">
      <c r="A12467" s="8" t="str">
        <f>IFERROR(__xludf.DUMMYFUNCTION("IF('(INGESTA)Datos_consumo_datadis'!A12467&lt;&gt;"""",SPLIT('(INGESTA)Datos_consumo_datadis'!A:A,"",""),"""")"),"ES0031408323131005HX0F")</f>
        <v>ES0031408323131005HX0F</v>
      </c>
      <c r="B12467" s="12">
        <f>IFERROR(__xludf.DUMMYFUNCTION("""COMPUTED_VALUE"""),45385.0)</f>
        <v>45385</v>
      </c>
      <c r="C12467" s="13">
        <f>IFERROR(__xludf.DUMMYFUNCTION("""COMPUTED_VALUE"""),0.4583333333333333)</f>
        <v>0.4583333333</v>
      </c>
      <c r="D12467" s="8">
        <f>IFERROR(__xludf.DUMMYFUNCTION("""COMPUTED_VALUE"""),0.054)</f>
        <v>0.054</v>
      </c>
      <c r="E12467" s="8" t="str">
        <f>IFERROR(__xludf.DUMMYFUNCTION("""COMPUTED_VALUE"""),"Real")</f>
        <v>Real</v>
      </c>
      <c r="G12467" s="8">
        <f t="shared" si="1"/>
        <v>4</v>
      </c>
      <c r="H12467" s="14">
        <f t="shared" si="2"/>
        <v>3</v>
      </c>
      <c r="I12467" s="15">
        <f t="shared" si="3"/>
        <v>11</v>
      </c>
    </row>
    <row r="12468">
      <c r="A12468" s="8" t="str">
        <f>IFERROR(__xludf.DUMMYFUNCTION("IF('(INGESTA)Datos_consumo_datadis'!A12468&lt;&gt;"""",SPLIT('(INGESTA)Datos_consumo_datadis'!A:A,"",""),"""")"),"ES0031408323131005HX0F")</f>
        <v>ES0031408323131005HX0F</v>
      </c>
      <c r="B12468" s="12">
        <f>IFERROR(__xludf.DUMMYFUNCTION("""COMPUTED_VALUE"""),45385.0)</f>
        <v>45385</v>
      </c>
      <c r="C12468" s="13">
        <f>IFERROR(__xludf.DUMMYFUNCTION("""COMPUTED_VALUE"""),0.5)</f>
        <v>0.5</v>
      </c>
      <c r="D12468" s="8">
        <f>IFERROR(__xludf.DUMMYFUNCTION("""COMPUTED_VALUE"""),0.768)</f>
        <v>0.768</v>
      </c>
      <c r="E12468" s="8" t="str">
        <f>IFERROR(__xludf.DUMMYFUNCTION("""COMPUTED_VALUE"""),"Real")</f>
        <v>Real</v>
      </c>
      <c r="G12468" s="8">
        <f t="shared" si="1"/>
        <v>4</v>
      </c>
      <c r="H12468" s="14">
        <f t="shared" si="2"/>
        <v>3</v>
      </c>
      <c r="I12468" s="15">
        <f t="shared" si="3"/>
        <v>12</v>
      </c>
    </row>
    <row r="12469">
      <c r="A12469" s="8" t="str">
        <f>IFERROR(__xludf.DUMMYFUNCTION("IF('(INGESTA)Datos_consumo_datadis'!A12469&lt;&gt;"""",SPLIT('(INGESTA)Datos_consumo_datadis'!A:A,"",""),"""")"),"ES0031408323131005HX0F")</f>
        <v>ES0031408323131005HX0F</v>
      </c>
      <c r="B12469" s="12">
        <f>IFERROR(__xludf.DUMMYFUNCTION("""COMPUTED_VALUE"""),45385.0)</f>
        <v>45385</v>
      </c>
      <c r="C12469" s="13">
        <f>IFERROR(__xludf.DUMMYFUNCTION("""COMPUTED_VALUE"""),0.5416666666666666)</f>
        <v>0.5416666667</v>
      </c>
      <c r="D12469" s="8">
        <f>IFERROR(__xludf.DUMMYFUNCTION("""COMPUTED_VALUE"""),0.695)</f>
        <v>0.695</v>
      </c>
      <c r="E12469" s="8" t="str">
        <f>IFERROR(__xludf.DUMMYFUNCTION("""COMPUTED_VALUE"""),"Real")</f>
        <v>Real</v>
      </c>
      <c r="G12469" s="8">
        <f t="shared" si="1"/>
        <v>4</v>
      </c>
      <c r="H12469" s="14">
        <f t="shared" si="2"/>
        <v>3</v>
      </c>
      <c r="I12469" s="15">
        <f t="shared" si="3"/>
        <v>13</v>
      </c>
    </row>
    <row r="12470">
      <c r="A12470" s="8" t="str">
        <f>IFERROR(__xludf.DUMMYFUNCTION("IF('(INGESTA)Datos_consumo_datadis'!A12470&lt;&gt;"""",SPLIT('(INGESTA)Datos_consumo_datadis'!A:A,"",""),"""")"),"ES0031408323131005HX0F")</f>
        <v>ES0031408323131005HX0F</v>
      </c>
      <c r="B12470" s="12">
        <f>IFERROR(__xludf.DUMMYFUNCTION("""COMPUTED_VALUE"""),45385.0)</f>
        <v>45385</v>
      </c>
      <c r="C12470" s="13">
        <f>IFERROR(__xludf.DUMMYFUNCTION("""COMPUTED_VALUE"""),0.5833333333333334)</f>
        <v>0.5833333333</v>
      </c>
      <c r="D12470" s="8">
        <f>IFERROR(__xludf.DUMMYFUNCTION("""COMPUTED_VALUE"""),1.645)</f>
        <v>1.645</v>
      </c>
      <c r="E12470" s="8" t="str">
        <f>IFERROR(__xludf.DUMMYFUNCTION("""COMPUTED_VALUE"""),"Real")</f>
        <v>Real</v>
      </c>
      <c r="G12470" s="8">
        <f t="shared" si="1"/>
        <v>4</v>
      </c>
      <c r="H12470" s="14">
        <f t="shared" si="2"/>
        <v>3</v>
      </c>
      <c r="I12470" s="15">
        <f t="shared" si="3"/>
        <v>14</v>
      </c>
    </row>
    <row r="12471">
      <c r="A12471" s="8" t="str">
        <f>IFERROR(__xludf.DUMMYFUNCTION("IF('(INGESTA)Datos_consumo_datadis'!A12471&lt;&gt;"""",SPLIT('(INGESTA)Datos_consumo_datadis'!A:A,"",""),"""")"),"ES0031408323131005HX0F")</f>
        <v>ES0031408323131005HX0F</v>
      </c>
      <c r="B12471" s="12">
        <f>IFERROR(__xludf.DUMMYFUNCTION("""COMPUTED_VALUE"""),45385.0)</f>
        <v>45385</v>
      </c>
      <c r="C12471" s="13">
        <f>IFERROR(__xludf.DUMMYFUNCTION("""COMPUTED_VALUE"""),0.625)</f>
        <v>0.625</v>
      </c>
      <c r="D12471" s="8">
        <f>IFERROR(__xludf.DUMMYFUNCTION("""COMPUTED_VALUE"""),2.905)</f>
        <v>2.905</v>
      </c>
      <c r="E12471" s="8" t="str">
        <f>IFERROR(__xludf.DUMMYFUNCTION("""COMPUTED_VALUE"""),"Real")</f>
        <v>Real</v>
      </c>
      <c r="G12471" s="8">
        <f t="shared" si="1"/>
        <v>4</v>
      </c>
      <c r="H12471" s="14">
        <f t="shared" si="2"/>
        <v>3</v>
      </c>
      <c r="I12471" s="15">
        <f t="shared" si="3"/>
        <v>15</v>
      </c>
    </row>
    <row r="12472">
      <c r="A12472" s="8" t="str">
        <f>IFERROR(__xludf.DUMMYFUNCTION("IF('(INGESTA)Datos_consumo_datadis'!A12472&lt;&gt;"""",SPLIT('(INGESTA)Datos_consumo_datadis'!A:A,"",""),"""")"),"ES0031408323131005HX0F")</f>
        <v>ES0031408323131005HX0F</v>
      </c>
      <c r="B12472" s="12">
        <f>IFERROR(__xludf.DUMMYFUNCTION("""COMPUTED_VALUE"""),45385.0)</f>
        <v>45385</v>
      </c>
      <c r="C12472" s="13">
        <f>IFERROR(__xludf.DUMMYFUNCTION("""COMPUTED_VALUE"""),0.6666666666666666)</f>
        <v>0.6666666667</v>
      </c>
      <c r="D12472" s="8">
        <f>IFERROR(__xludf.DUMMYFUNCTION("""COMPUTED_VALUE"""),0.242)</f>
        <v>0.242</v>
      </c>
      <c r="E12472" s="8" t="str">
        <f>IFERROR(__xludf.DUMMYFUNCTION("""COMPUTED_VALUE"""),"Real")</f>
        <v>Real</v>
      </c>
      <c r="G12472" s="8">
        <f t="shared" si="1"/>
        <v>4</v>
      </c>
      <c r="H12472" s="14">
        <f t="shared" si="2"/>
        <v>3</v>
      </c>
      <c r="I12472" s="15">
        <f t="shared" si="3"/>
        <v>16</v>
      </c>
    </row>
    <row r="12473">
      <c r="A12473" s="8" t="str">
        <f>IFERROR(__xludf.DUMMYFUNCTION("IF('(INGESTA)Datos_consumo_datadis'!A12473&lt;&gt;"""",SPLIT('(INGESTA)Datos_consumo_datadis'!A:A,"",""),"""")"),"ES0031408323131005HX0F")</f>
        <v>ES0031408323131005HX0F</v>
      </c>
      <c r="B12473" s="12">
        <f>IFERROR(__xludf.DUMMYFUNCTION("""COMPUTED_VALUE"""),45385.0)</f>
        <v>45385</v>
      </c>
      <c r="C12473" s="13">
        <f>IFERROR(__xludf.DUMMYFUNCTION("""COMPUTED_VALUE"""),0.7083333333333334)</f>
        <v>0.7083333333</v>
      </c>
      <c r="D12473" s="8">
        <f>IFERROR(__xludf.DUMMYFUNCTION("""COMPUTED_VALUE"""),0.134)</f>
        <v>0.134</v>
      </c>
      <c r="E12473" s="8" t="str">
        <f>IFERROR(__xludf.DUMMYFUNCTION("""COMPUTED_VALUE"""),"Real")</f>
        <v>Real</v>
      </c>
      <c r="G12473" s="8">
        <f t="shared" si="1"/>
        <v>4</v>
      </c>
      <c r="H12473" s="14">
        <f t="shared" si="2"/>
        <v>3</v>
      </c>
      <c r="I12473" s="15">
        <f t="shared" si="3"/>
        <v>17</v>
      </c>
    </row>
    <row r="12474">
      <c r="A12474" s="8" t="str">
        <f>IFERROR(__xludf.DUMMYFUNCTION("IF('(INGESTA)Datos_consumo_datadis'!A12474&lt;&gt;"""",SPLIT('(INGESTA)Datos_consumo_datadis'!A:A,"",""),"""")"),"ES0031408323131005HX0F")</f>
        <v>ES0031408323131005HX0F</v>
      </c>
      <c r="B12474" s="12">
        <f>IFERROR(__xludf.DUMMYFUNCTION("""COMPUTED_VALUE"""),45385.0)</f>
        <v>45385</v>
      </c>
      <c r="C12474" s="13">
        <f>IFERROR(__xludf.DUMMYFUNCTION("""COMPUTED_VALUE"""),0.75)</f>
        <v>0.75</v>
      </c>
      <c r="D12474" s="8">
        <f>IFERROR(__xludf.DUMMYFUNCTION("""COMPUTED_VALUE"""),0.345)</f>
        <v>0.345</v>
      </c>
      <c r="E12474" s="8" t="str">
        <f>IFERROR(__xludf.DUMMYFUNCTION("""COMPUTED_VALUE"""),"Real")</f>
        <v>Real</v>
      </c>
      <c r="G12474" s="8">
        <f t="shared" si="1"/>
        <v>4</v>
      </c>
      <c r="H12474" s="14">
        <f t="shared" si="2"/>
        <v>3</v>
      </c>
      <c r="I12474" s="15">
        <f t="shared" si="3"/>
        <v>18</v>
      </c>
    </row>
    <row r="12475">
      <c r="A12475" s="8" t="str">
        <f>IFERROR(__xludf.DUMMYFUNCTION("IF('(INGESTA)Datos_consumo_datadis'!A12475&lt;&gt;"""",SPLIT('(INGESTA)Datos_consumo_datadis'!A:A,"",""),"""")"),"ES0031408323131005HX0F")</f>
        <v>ES0031408323131005HX0F</v>
      </c>
      <c r="B12475" s="12">
        <f>IFERROR(__xludf.DUMMYFUNCTION("""COMPUTED_VALUE"""),45385.0)</f>
        <v>45385</v>
      </c>
      <c r="C12475" s="13">
        <f>IFERROR(__xludf.DUMMYFUNCTION("""COMPUTED_VALUE"""),0.7916666666666666)</f>
        <v>0.7916666667</v>
      </c>
      <c r="D12475" s="8">
        <f>IFERROR(__xludf.DUMMYFUNCTION("""COMPUTED_VALUE"""),0.052)</f>
        <v>0.052</v>
      </c>
      <c r="E12475" s="8" t="str">
        <f>IFERROR(__xludf.DUMMYFUNCTION("""COMPUTED_VALUE"""),"Real")</f>
        <v>Real</v>
      </c>
      <c r="G12475" s="8">
        <f t="shared" si="1"/>
        <v>4</v>
      </c>
      <c r="H12475" s="14">
        <f t="shared" si="2"/>
        <v>3</v>
      </c>
      <c r="I12475" s="15">
        <f t="shared" si="3"/>
        <v>19</v>
      </c>
    </row>
    <row r="12476">
      <c r="A12476" s="8" t="str">
        <f>IFERROR(__xludf.DUMMYFUNCTION("IF('(INGESTA)Datos_consumo_datadis'!A12476&lt;&gt;"""",SPLIT('(INGESTA)Datos_consumo_datadis'!A:A,"",""),"""")"),"ES0031408323131005HX0F")</f>
        <v>ES0031408323131005HX0F</v>
      </c>
      <c r="B12476" s="12">
        <f>IFERROR(__xludf.DUMMYFUNCTION("""COMPUTED_VALUE"""),45385.0)</f>
        <v>45385</v>
      </c>
      <c r="C12476" s="13">
        <f>IFERROR(__xludf.DUMMYFUNCTION("""COMPUTED_VALUE"""),0.8333333333333334)</f>
        <v>0.8333333333</v>
      </c>
      <c r="D12476" s="8">
        <f>IFERROR(__xludf.DUMMYFUNCTION("""COMPUTED_VALUE"""),0.095)</f>
        <v>0.095</v>
      </c>
      <c r="E12476" s="8" t="str">
        <f>IFERROR(__xludf.DUMMYFUNCTION("""COMPUTED_VALUE"""),"Real")</f>
        <v>Real</v>
      </c>
      <c r="G12476" s="8">
        <f t="shared" si="1"/>
        <v>4</v>
      </c>
      <c r="H12476" s="14">
        <f t="shared" si="2"/>
        <v>3</v>
      </c>
      <c r="I12476" s="15">
        <f t="shared" si="3"/>
        <v>20</v>
      </c>
    </row>
    <row r="12477">
      <c r="A12477" s="8" t="str">
        <f>IFERROR(__xludf.DUMMYFUNCTION("IF('(INGESTA)Datos_consumo_datadis'!A12477&lt;&gt;"""",SPLIT('(INGESTA)Datos_consumo_datadis'!A:A,"",""),"""")"),"ES0031408323131005HX0F")</f>
        <v>ES0031408323131005HX0F</v>
      </c>
      <c r="B12477" s="12">
        <f>IFERROR(__xludf.DUMMYFUNCTION("""COMPUTED_VALUE"""),45385.0)</f>
        <v>45385</v>
      </c>
      <c r="C12477" s="13">
        <f>IFERROR(__xludf.DUMMYFUNCTION("""COMPUTED_VALUE"""),0.875)</f>
        <v>0.875</v>
      </c>
      <c r="D12477" s="8">
        <f>IFERROR(__xludf.DUMMYFUNCTION("""COMPUTED_VALUE"""),1.081)</f>
        <v>1.081</v>
      </c>
      <c r="E12477" s="8" t="str">
        <f>IFERROR(__xludf.DUMMYFUNCTION("""COMPUTED_VALUE"""),"Real")</f>
        <v>Real</v>
      </c>
      <c r="G12477" s="8">
        <f t="shared" si="1"/>
        <v>4</v>
      </c>
      <c r="H12477" s="14">
        <f t="shared" si="2"/>
        <v>3</v>
      </c>
      <c r="I12477" s="15">
        <f t="shared" si="3"/>
        <v>21</v>
      </c>
    </row>
    <row r="12478">
      <c r="A12478" s="8" t="str">
        <f>IFERROR(__xludf.DUMMYFUNCTION("IF('(INGESTA)Datos_consumo_datadis'!A12478&lt;&gt;"""",SPLIT('(INGESTA)Datos_consumo_datadis'!A:A,"",""),"""")"),"ES0031408323131005HX0F")</f>
        <v>ES0031408323131005HX0F</v>
      </c>
      <c r="B12478" s="12">
        <f>IFERROR(__xludf.DUMMYFUNCTION("""COMPUTED_VALUE"""),45385.0)</f>
        <v>45385</v>
      </c>
      <c r="C12478" s="13">
        <f>IFERROR(__xludf.DUMMYFUNCTION("""COMPUTED_VALUE"""),0.9166666666666666)</f>
        <v>0.9166666667</v>
      </c>
      <c r="D12478" s="8">
        <f>IFERROR(__xludf.DUMMYFUNCTION("""COMPUTED_VALUE"""),2.28)</f>
        <v>2.28</v>
      </c>
      <c r="E12478" s="8" t="str">
        <f>IFERROR(__xludf.DUMMYFUNCTION("""COMPUTED_VALUE"""),"Real")</f>
        <v>Real</v>
      </c>
      <c r="G12478" s="8">
        <f t="shared" si="1"/>
        <v>4</v>
      </c>
      <c r="H12478" s="14">
        <f t="shared" si="2"/>
        <v>3</v>
      </c>
      <c r="I12478" s="15">
        <f t="shared" si="3"/>
        <v>22</v>
      </c>
    </row>
    <row r="12479">
      <c r="A12479" s="8" t="str">
        <f>IFERROR(__xludf.DUMMYFUNCTION("IF('(INGESTA)Datos_consumo_datadis'!A12479&lt;&gt;"""",SPLIT('(INGESTA)Datos_consumo_datadis'!A:A,"",""),"""")"),"ES0031408323131005HX0F")</f>
        <v>ES0031408323131005HX0F</v>
      </c>
      <c r="B12479" s="12">
        <f>IFERROR(__xludf.DUMMYFUNCTION("""COMPUTED_VALUE"""),45385.0)</f>
        <v>45385</v>
      </c>
      <c r="C12479" s="13">
        <f>IFERROR(__xludf.DUMMYFUNCTION("""COMPUTED_VALUE"""),0.9583333333333334)</f>
        <v>0.9583333333</v>
      </c>
      <c r="D12479" s="8">
        <f>IFERROR(__xludf.DUMMYFUNCTION("""COMPUTED_VALUE"""),1.453)</f>
        <v>1.453</v>
      </c>
      <c r="E12479" s="8" t="str">
        <f>IFERROR(__xludf.DUMMYFUNCTION("""COMPUTED_VALUE"""),"Real")</f>
        <v>Real</v>
      </c>
      <c r="G12479" s="8">
        <f t="shared" si="1"/>
        <v>4</v>
      </c>
      <c r="H12479" s="14">
        <f t="shared" si="2"/>
        <v>3</v>
      </c>
      <c r="I12479" s="15">
        <f t="shared" si="3"/>
        <v>23</v>
      </c>
    </row>
    <row r="12480">
      <c r="A12480" s="8" t="str">
        <f>IFERROR(__xludf.DUMMYFUNCTION("IF('(INGESTA)Datos_consumo_datadis'!A12480&lt;&gt;"""",SPLIT('(INGESTA)Datos_consumo_datadis'!A:A,"",""),"""")"),"ES0031408323131005HX0F")</f>
        <v>ES0031408323131005HX0F</v>
      </c>
      <c r="B12480" s="12">
        <f>IFERROR(__xludf.DUMMYFUNCTION("""COMPUTED_VALUE"""),45385.0)</f>
        <v>45385</v>
      </c>
      <c r="C12480" s="16">
        <f>IFERROR(__xludf.DUMMYFUNCTION("""COMPUTED_VALUE"""),1.0)</f>
        <v>1</v>
      </c>
      <c r="D12480" s="8">
        <f>IFERROR(__xludf.DUMMYFUNCTION("""COMPUTED_VALUE"""),1.16)</f>
        <v>1.16</v>
      </c>
      <c r="E12480" s="8" t="str">
        <f>IFERROR(__xludf.DUMMYFUNCTION("""COMPUTED_VALUE"""),"Real")</f>
        <v>Real</v>
      </c>
      <c r="G12480" s="8">
        <f t="shared" si="1"/>
        <v>4</v>
      </c>
      <c r="H12480" s="14">
        <f t="shared" si="2"/>
        <v>3</v>
      </c>
      <c r="I12480" s="15">
        <f t="shared" si="3"/>
        <v>0</v>
      </c>
    </row>
    <row r="12481">
      <c r="A12481" s="8" t="str">
        <f>IFERROR(__xludf.DUMMYFUNCTION("IF('(INGESTA)Datos_consumo_datadis'!A12481&lt;&gt;"""",SPLIT('(INGESTA)Datos_consumo_datadis'!A:A,"",""),"""")"),"ES0031408323131005HX0F")</f>
        <v>ES0031408323131005HX0F</v>
      </c>
      <c r="B12481" s="12">
        <f>IFERROR(__xludf.DUMMYFUNCTION("""COMPUTED_VALUE"""),45386.0)</f>
        <v>45386</v>
      </c>
      <c r="C12481" s="13">
        <f>IFERROR(__xludf.DUMMYFUNCTION("""COMPUTED_VALUE"""),0.041666666666666664)</f>
        <v>0.04166666667</v>
      </c>
      <c r="D12481" s="8">
        <f>IFERROR(__xludf.DUMMYFUNCTION("""COMPUTED_VALUE"""),0.319)</f>
        <v>0.319</v>
      </c>
      <c r="E12481" s="8" t="str">
        <f>IFERROR(__xludf.DUMMYFUNCTION("""COMPUTED_VALUE"""),"Real")</f>
        <v>Real</v>
      </c>
      <c r="G12481" s="8">
        <f t="shared" si="1"/>
        <v>4</v>
      </c>
      <c r="H12481" s="14">
        <f t="shared" si="2"/>
        <v>4</v>
      </c>
      <c r="I12481" s="15">
        <f t="shared" si="3"/>
        <v>1</v>
      </c>
    </row>
    <row r="12482">
      <c r="A12482" s="8" t="str">
        <f>IFERROR(__xludf.DUMMYFUNCTION("IF('(INGESTA)Datos_consumo_datadis'!A12482&lt;&gt;"""",SPLIT('(INGESTA)Datos_consumo_datadis'!A:A,"",""),"""")"),"ES0031408323131005HX0F")</f>
        <v>ES0031408323131005HX0F</v>
      </c>
      <c r="B12482" s="12">
        <f>IFERROR(__xludf.DUMMYFUNCTION("""COMPUTED_VALUE"""),45386.0)</f>
        <v>45386</v>
      </c>
      <c r="C12482" s="13">
        <f>IFERROR(__xludf.DUMMYFUNCTION("""COMPUTED_VALUE"""),0.08333333333333333)</f>
        <v>0.08333333333</v>
      </c>
      <c r="D12482" s="8">
        <f>IFERROR(__xludf.DUMMYFUNCTION("""COMPUTED_VALUE"""),0.085)</f>
        <v>0.085</v>
      </c>
      <c r="E12482" s="8" t="str">
        <f>IFERROR(__xludf.DUMMYFUNCTION("""COMPUTED_VALUE"""),"Real")</f>
        <v>Real</v>
      </c>
      <c r="G12482" s="8">
        <f t="shared" si="1"/>
        <v>4</v>
      </c>
      <c r="H12482" s="14">
        <f t="shared" si="2"/>
        <v>4</v>
      </c>
      <c r="I12482" s="15">
        <f t="shared" si="3"/>
        <v>2</v>
      </c>
    </row>
    <row r="12483">
      <c r="A12483" s="8" t="str">
        <f>IFERROR(__xludf.DUMMYFUNCTION("IF('(INGESTA)Datos_consumo_datadis'!A12483&lt;&gt;"""",SPLIT('(INGESTA)Datos_consumo_datadis'!A:A,"",""),"""")"),"ES0031408323131005HX0F")</f>
        <v>ES0031408323131005HX0F</v>
      </c>
      <c r="B12483" s="12">
        <f>IFERROR(__xludf.DUMMYFUNCTION("""COMPUTED_VALUE"""),45386.0)</f>
        <v>45386</v>
      </c>
      <c r="C12483" s="13">
        <f>IFERROR(__xludf.DUMMYFUNCTION("""COMPUTED_VALUE"""),0.125)</f>
        <v>0.125</v>
      </c>
      <c r="D12483" s="8">
        <f>IFERROR(__xludf.DUMMYFUNCTION("""COMPUTED_VALUE"""),0.299)</f>
        <v>0.299</v>
      </c>
      <c r="E12483" s="8" t="str">
        <f>IFERROR(__xludf.DUMMYFUNCTION("""COMPUTED_VALUE"""),"Real")</f>
        <v>Real</v>
      </c>
      <c r="G12483" s="8">
        <f t="shared" si="1"/>
        <v>4</v>
      </c>
      <c r="H12483" s="14">
        <f t="shared" si="2"/>
        <v>4</v>
      </c>
      <c r="I12483" s="15">
        <f t="shared" si="3"/>
        <v>3</v>
      </c>
    </row>
    <row r="12484">
      <c r="A12484" s="8" t="str">
        <f>IFERROR(__xludf.DUMMYFUNCTION("IF('(INGESTA)Datos_consumo_datadis'!A12484&lt;&gt;"""",SPLIT('(INGESTA)Datos_consumo_datadis'!A:A,"",""),"""")"),"ES0031408323131005HX0F")</f>
        <v>ES0031408323131005HX0F</v>
      </c>
      <c r="B12484" s="12">
        <f>IFERROR(__xludf.DUMMYFUNCTION("""COMPUTED_VALUE"""),45386.0)</f>
        <v>45386</v>
      </c>
      <c r="C12484" s="13">
        <f>IFERROR(__xludf.DUMMYFUNCTION("""COMPUTED_VALUE"""),0.16666666666666666)</f>
        <v>0.1666666667</v>
      </c>
      <c r="D12484" s="8">
        <f>IFERROR(__xludf.DUMMYFUNCTION("""COMPUTED_VALUE"""),0.068)</f>
        <v>0.068</v>
      </c>
      <c r="E12484" s="8" t="str">
        <f>IFERROR(__xludf.DUMMYFUNCTION("""COMPUTED_VALUE"""),"Real")</f>
        <v>Real</v>
      </c>
      <c r="G12484" s="8">
        <f t="shared" si="1"/>
        <v>4</v>
      </c>
      <c r="H12484" s="14">
        <f t="shared" si="2"/>
        <v>4</v>
      </c>
      <c r="I12484" s="15">
        <f t="shared" si="3"/>
        <v>4</v>
      </c>
    </row>
    <row r="12485">
      <c r="A12485" s="8" t="str">
        <f>IFERROR(__xludf.DUMMYFUNCTION("IF('(INGESTA)Datos_consumo_datadis'!A12485&lt;&gt;"""",SPLIT('(INGESTA)Datos_consumo_datadis'!A:A,"",""),"""")"),"ES0031408323131005HX0F")</f>
        <v>ES0031408323131005HX0F</v>
      </c>
      <c r="B12485" s="12">
        <f>IFERROR(__xludf.DUMMYFUNCTION("""COMPUTED_VALUE"""),45386.0)</f>
        <v>45386</v>
      </c>
      <c r="C12485" s="13">
        <f>IFERROR(__xludf.DUMMYFUNCTION("""COMPUTED_VALUE"""),0.20833333333333334)</f>
        <v>0.2083333333</v>
      </c>
      <c r="D12485" s="8">
        <f>IFERROR(__xludf.DUMMYFUNCTION("""COMPUTED_VALUE"""),0.049)</f>
        <v>0.049</v>
      </c>
      <c r="E12485" s="8" t="str">
        <f>IFERROR(__xludf.DUMMYFUNCTION("""COMPUTED_VALUE"""),"Real")</f>
        <v>Real</v>
      </c>
      <c r="G12485" s="8">
        <f t="shared" si="1"/>
        <v>4</v>
      </c>
      <c r="H12485" s="14">
        <f t="shared" si="2"/>
        <v>4</v>
      </c>
      <c r="I12485" s="15">
        <f t="shared" si="3"/>
        <v>5</v>
      </c>
    </row>
    <row r="12486">
      <c r="A12486" s="8" t="str">
        <f>IFERROR(__xludf.DUMMYFUNCTION("IF('(INGESTA)Datos_consumo_datadis'!A12486&lt;&gt;"""",SPLIT('(INGESTA)Datos_consumo_datadis'!A:A,"",""),"""")"),"ES0031408323131005HX0F")</f>
        <v>ES0031408323131005HX0F</v>
      </c>
      <c r="B12486" s="12">
        <f>IFERROR(__xludf.DUMMYFUNCTION("""COMPUTED_VALUE"""),45386.0)</f>
        <v>45386</v>
      </c>
      <c r="C12486" s="13">
        <f>IFERROR(__xludf.DUMMYFUNCTION("""COMPUTED_VALUE"""),0.25)</f>
        <v>0.25</v>
      </c>
      <c r="D12486" s="8">
        <f>IFERROR(__xludf.DUMMYFUNCTION("""COMPUTED_VALUE"""),0.068)</f>
        <v>0.068</v>
      </c>
      <c r="E12486" s="8" t="str">
        <f>IFERROR(__xludf.DUMMYFUNCTION("""COMPUTED_VALUE"""),"Real")</f>
        <v>Real</v>
      </c>
      <c r="G12486" s="8">
        <f t="shared" si="1"/>
        <v>4</v>
      </c>
      <c r="H12486" s="14">
        <f t="shared" si="2"/>
        <v>4</v>
      </c>
      <c r="I12486" s="15">
        <f t="shared" si="3"/>
        <v>6</v>
      </c>
    </row>
    <row r="12487">
      <c r="A12487" s="8" t="str">
        <f>IFERROR(__xludf.DUMMYFUNCTION("IF('(INGESTA)Datos_consumo_datadis'!A12487&lt;&gt;"""",SPLIT('(INGESTA)Datos_consumo_datadis'!A:A,"",""),"""")"),"ES0031408323131005HX0F")</f>
        <v>ES0031408323131005HX0F</v>
      </c>
      <c r="B12487" s="12">
        <f>IFERROR(__xludf.DUMMYFUNCTION("""COMPUTED_VALUE"""),45386.0)</f>
        <v>45386</v>
      </c>
      <c r="C12487" s="13">
        <f>IFERROR(__xludf.DUMMYFUNCTION("""COMPUTED_VALUE"""),0.2916666666666667)</f>
        <v>0.2916666667</v>
      </c>
      <c r="D12487" s="8">
        <f>IFERROR(__xludf.DUMMYFUNCTION("""COMPUTED_VALUE"""),0.648)</f>
        <v>0.648</v>
      </c>
      <c r="E12487" s="8" t="str">
        <f>IFERROR(__xludf.DUMMYFUNCTION("""COMPUTED_VALUE"""),"Real")</f>
        <v>Real</v>
      </c>
      <c r="G12487" s="8">
        <f t="shared" si="1"/>
        <v>4</v>
      </c>
      <c r="H12487" s="14">
        <f t="shared" si="2"/>
        <v>4</v>
      </c>
      <c r="I12487" s="15">
        <f t="shared" si="3"/>
        <v>7</v>
      </c>
    </row>
    <row r="12488">
      <c r="A12488" s="8" t="str">
        <f>IFERROR(__xludf.DUMMYFUNCTION("IF('(INGESTA)Datos_consumo_datadis'!A12488&lt;&gt;"""",SPLIT('(INGESTA)Datos_consumo_datadis'!A:A,"",""),"""")"),"ES0031408323131005HX0F")</f>
        <v>ES0031408323131005HX0F</v>
      </c>
      <c r="B12488" s="12">
        <f>IFERROR(__xludf.DUMMYFUNCTION("""COMPUTED_VALUE"""),45386.0)</f>
        <v>45386</v>
      </c>
      <c r="C12488" s="13">
        <f>IFERROR(__xludf.DUMMYFUNCTION("""COMPUTED_VALUE"""),0.3333333333333333)</f>
        <v>0.3333333333</v>
      </c>
      <c r="D12488" s="8">
        <f>IFERROR(__xludf.DUMMYFUNCTION("""COMPUTED_VALUE"""),0.944)</f>
        <v>0.944</v>
      </c>
      <c r="E12488" s="8" t="str">
        <f>IFERROR(__xludf.DUMMYFUNCTION("""COMPUTED_VALUE"""),"Real")</f>
        <v>Real</v>
      </c>
      <c r="G12488" s="8">
        <f t="shared" si="1"/>
        <v>4</v>
      </c>
      <c r="H12488" s="14">
        <f t="shared" si="2"/>
        <v>4</v>
      </c>
      <c r="I12488" s="15">
        <f t="shared" si="3"/>
        <v>8</v>
      </c>
    </row>
    <row r="12489">
      <c r="A12489" s="8" t="str">
        <f>IFERROR(__xludf.DUMMYFUNCTION("IF('(INGESTA)Datos_consumo_datadis'!A12489&lt;&gt;"""",SPLIT('(INGESTA)Datos_consumo_datadis'!A:A,"",""),"""")"),"ES0031408323131005HX0F")</f>
        <v>ES0031408323131005HX0F</v>
      </c>
      <c r="B12489" s="12">
        <f>IFERROR(__xludf.DUMMYFUNCTION("""COMPUTED_VALUE"""),45386.0)</f>
        <v>45386</v>
      </c>
      <c r="C12489" s="13">
        <f>IFERROR(__xludf.DUMMYFUNCTION("""COMPUTED_VALUE"""),0.375)</f>
        <v>0.375</v>
      </c>
      <c r="D12489" s="8">
        <f>IFERROR(__xludf.DUMMYFUNCTION("""COMPUTED_VALUE"""),0.071)</f>
        <v>0.071</v>
      </c>
      <c r="E12489" s="8" t="str">
        <f>IFERROR(__xludf.DUMMYFUNCTION("""COMPUTED_VALUE"""),"Real")</f>
        <v>Real</v>
      </c>
      <c r="G12489" s="8">
        <f t="shared" si="1"/>
        <v>4</v>
      </c>
      <c r="H12489" s="14">
        <f t="shared" si="2"/>
        <v>4</v>
      </c>
      <c r="I12489" s="15">
        <f t="shared" si="3"/>
        <v>9</v>
      </c>
    </row>
    <row r="12490">
      <c r="A12490" s="8" t="str">
        <f>IFERROR(__xludf.DUMMYFUNCTION("IF('(INGESTA)Datos_consumo_datadis'!A12490&lt;&gt;"""",SPLIT('(INGESTA)Datos_consumo_datadis'!A:A,"",""),"""")"),"ES0031408323131005HX0F")</f>
        <v>ES0031408323131005HX0F</v>
      </c>
      <c r="B12490" s="12">
        <f>IFERROR(__xludf.DUMMYFUNCTION("""COMPUTED_VALUE"""),45386.0)</f>
        <v>45386</v>
      </c>
      <c r="C12490" s="13">
        <f>IFERROR(__xludf.DUMMYFUNCTION("""COMPUTED_VALUE"""),0.4166666666666667)</f>
        <v>0.4166666667</v>
      </c>
      <c r="D12490" s="8">
        <f>IFERROR(__xludf.DUMMYFUNCTION("""COMPUTED_VALUE"""),0.039)</f>
        <v>0.039</v>
      </c>
      <c r="E12490" s="8" t="str">
        <f>IFERROR(__xludf.DUMMYFUNCTION("""COMPUTED_VALUE"""),"Real")</f>
        <v>Real</v>
      </c>
      <c r="G12490" s="8">
        <f t="shared" si="1"/>
        <v>4</v>
      </c>
      <c r="H12490" s="14">
        <f t="shared" si="2"/>
        <v>4</v>
      </c>
      <c r="I12490" s="15">
        <f t="shared" si="3"/>
        <v>10</v>
      </c>
    </row>
    <row r="12491">
      <c r="A12491" s="8" t="str">
        <f>IFERROR(__xludf.DUMMYFUNCTION("IF('(INGESTA)Datos_consumo_datadis'!A12491&lt;&gt;"""",SPLIT('(INGESTA)Datos_consumo_datadis'!A:A,"",""),"""")"),"ES0031408323131005HX0F")</f>
        <v>ES0031408323131005HX0F</v>
      </c>
      <c r="B12491" s="12">
        <f>IFERROR(__xludf.DUMMYFUNCTION("""COMPUTED_VALUE"""),45386.0)</f>
        <v>45386</v>
      </c>
      <c r="C12491" s="13">
        <f>IFERROR(__xludf.DUMMYFUNCTION("""COMPUTED_VALUE"""),0.4583333333333333)</f>
        <v>0.4583333333</v>
      </c>
      <c r="D12491" s="8">
        <f>IFERROR(__xludf.DUMMYFUNCTION("""COMPUTED_VALUE"""),0.067)</f>
        <v>0.067</v>
      </c>
      <c r="E12491" s="8" t="str">
        <f>IFERROR(__xludf.DUMMYFUNCTION("""COMPUTED_VALUE"""),"Real")</f>
        <v>Real</v>
      </c>
      <c r="G12491" s="8">
        <f t="shared" si="1"/>
        <v>4</v>
      </c>
      <c r="H12491" s="14">
        <f t="shared" si="2"/>
        <v>4</v>
      </c>
      <c r="I12491" s="15">
        <f t="shared" si="3"/>
        <v>11</v>
      </c>
    </row>
    <row r="12492">
      <c r="A12492" s="8" t="str">
        <f>IFERROR(__xludf.DUMMYFUNCTION("IF('(INGESTA)Datos_consumo_datadis'!A12492&lt;&gt;"""",SPLIT('(INGESTA)Datos_consumo_datadis'!A:A,"",""),"""")"),"ES0031408323131005HX0F")</f>
        <v>ES0031408323131005HX0F</v>
      </c>
      <c r="B12492" s="12">
        <f>IFERROR(__xludf.DUMMYFUNCTION("""COMPUTED_VALUE"""),45386.0)</f>
        <v>45386</v>
      </c>
      <c r="C12492" s="13">
        <f>IFERROR(__xludf.DUMMYFUNCTION("""COMPUTED_VALUE"""),0.5)</f>
        <v>0.5</v>
      </c>
      <c r="D12492" s="8">
        <f>IFERROR(__xludf.DUMMYFUNCTION("""COMPUTED_VALUE"""),0.509)</f>
        <v>0.509</v>
      </c>
      <c r="E12492" s="8" t="str">
        <f>IFERROR(__xludf.DUMMYFUNCTION("""COMPUTED_VALUE"""),"Real")</f>
        <v>Real</v>
      </c>
      <c r="G12492" s="8">
        <f t="shared" si="1"/>
        <v>4</v>
      </c>
      <c r="H12492" s="14">
        <f t="shared" si="2"/>
        <v>4</v>
      </c>
      <c r="I12492" s="15">
        <f t="shared" si="3"/>
        <v>12</v>
      </c>
    </row>
    <row r="12493">
      <c r="A12493" s="8" t="str">
        <f>IFERROR(__xludf.DUMMYFUNCTION("IF('(INGESTA)Datos_consumo_datadis'!A12493&lt;&gt;"""",SPLIT('(INGESTA)Datos_consumo_datadis'!A:A,"",""),"""")"),"ES0031408323131005HX0F")</f>
        <v>ES0031408323131005HX0F</v>
      </c>
      <c r="B12493" s="12">
        <f>IFERROR(__xludf.DUMMYFUNCTION("""COMPUTED_VALUE"""),45386.0)</f>
        <v>45386</v>
      </c>
      <c r="C12493" s="13">
        <f>IFERROR(__xludf.DUMMYFUNCTION("""COMPUTED_VALUE"""),0.5416666666666666)</f>
        <v>0.5416666667</v>
      </c>
      <c r="D12493" s="8">
        <f>IFERROR(__xludf.DUMMYFUNCTION("""COMPUTED_VALUE"""),1.065)</f>
        <v>1.065</v>
      </c>
      <c r="E12493" s="8" t="str">
        <f>IFERROR(__xludf.DUMMYFUNCTION("""COMPUTED_VALUE"""),"Real")</f>
        <v>Real</v>
      </c>
      <c r="G12493" s="8">
        <f t="shared" si="1"/>
        <v>4</v>
      </c>
      <c r="H12493" s="14">
        <f t="shared" si="2"/>
        <v>4</v>
      </c>
      <c r="I12493" s="15">
        <f t="shared" si="3"/>
        <v>13</v>
      </c>
    </row>
    <row r="12494">
      <c r="A12494" s="8" t="str">
        <f>IFERROR(__xludf.DUMMYFUNCTION("IF('(INGESTA)Datos_consumo_datadis'!A12494&lt;&gt;"""",SPLIT('(INGESTA)Datos_consumo_datadis'!A:A,"",""),"""")"),"ES0031408323131005HX0F")</f>
        <v>ES0031408323131005HX0F</v>
      </c>
      <c r="B12494" s="12">
        <f>IFERROR(__xludf.DUMMYFUNCTION("""COMPUTED_VALUE"""),45386.0)</f>
        <v>45386</v>
      </c>
      <c r="C12494" s="13">
        <f>IFERROR(__xludf.DUMMYFUNCTION("""COMPUTED_VALUE"""),0.5833333333333334)</f>
        <v>0.5833333333</v>
      </c>
      <c r="D12494" s="8">
        <f>IFERROR(__xludf.DUMMYFUNCTION("""COMPUTED_VALUE"""),0.879)</f>
        <v>0.879</v>
      </c>
      <c r="E12494" s="8" t="str">
        <f>IFERROR(__xludf.DUMMYFUNCTION("""COMPUTED_VALUE"""),"Real")</f>
        <v>Real</v>
      </c>
      <c r="G12494" s="8">
        <f t="shared" si="1"/>
        <v>4</v>
      </c>
      <c r="H12494" s="14">
        <f t="shared" si="2"/>
        <v>4</v>
      </c>
      <c r="I12494" s="15">
        <f t="shared" si="3"/>
        <v>14</v>
      </c>
    </row>
    <row r="12495">
      <c r="A12495" s="8" t="str">
        <f>IFERROR(__xludf.DUMMYFUNCTION("IF('(INGESTA)Datos_consumo_datadis'!A12495&lt;&gt;"""",SPLIT('(INGESTA)Datos_consumo_datadis'!A:A,"",""),"""")"),"ES0031408323131005HX0F")</f>
        <v>ES0031408323131005HX0F</v>
      </c>
      <c r="B12495" s="12">
        <f>IFERROR(__xludf.DUMMYFUNCTION("""COMPUTED_VALUE"""),45386.0)</f>
        <v>45386</v>
      </c>
      <c r="C12495" s="13">
        <f>IFERROR(__xludf.DUMMYFUNCTION("""COMPUTED_VALUE"""),0.625)</f>
        <v>0.625</v>
      </c>
      <c r="D12495" s="8">
        <f>IFERROR(__xludf.DUMMYFUNCTION("""COMPUTED_VALUE"""),0.799)</f>
        <v>0.799</v>
      </c>
      <c r="E12495" s="8" t="str">
        <f>IFERROR(__xludf.DUMMYFUNCTION("""COMPUTED_VALUE"""),"Real")</f>
        <v>Real</v>
      </c>
      <c r="G12495" s="8">
        <f t="shared" si="1"/>
        <v>4</v>
      </c>
      <c r="H12495" s="14">
        <f t="shared" si="2"/>
        <v>4</v>
      </c>
      <c r="I12495" s="15">
        <f t="shared" si="3"/>
        <v>15</v>
      </c>
    </row>
    <row r="12496">
      <c r="A12496" s="8" t="str">
        <f>IFERROR(__xludf.DUMMYFUNCTION("IF('(INGESTA)Datos_consumo_datadis'!A12496&lt;&gt;"""",SPLIT('(INGESTA)Datos_consumo_datadis'!A:A,"",""),"""")"),"ES0031408323131005HX0F")</f>
        <v>ES0031408323131005HX0F</v>
      </c>
      <c r="B12496" s="12">
        <f>IFERROR(__xludf.DUMMYFUNCTION("""COMPUTED_VALUE"""),45386.0)</f>
        <v>45386</v>
      </c>
      <c r="C12496" s="13">
        <f>IFERROR(__xludf.DUMMYFUNCTION("""COMPUTED_VALUE"""),0.6666666666666666)</f>
        <v>0.6666666667</v>
      </c>
      <c r="D12496" s="8">
        <f>IFERROR(__xludf.DUMMYFUNCTION("""COMPUTED_VALUE"""),0.726)</f>
        <v>0.726</v>
      </c>
      <c r="E12496" s="8" t="str">
        <f>IFERROR(__xludf.DUMMYFUNCTION("""COMPUTED_VALUE"""),"Real")</f>
        <v>Real</v>
      </c>
      <c r="G12496" s="8">
        <f t="shared" si="1"/>
        <v>4</v>
      </c>
      <c r="H12496" s="14">
        <f t="shared" si="2"/>
        <v>4</v>
      </c>
      <c r="I12496" s="15">
        <f t="shared" si="3"/>
        <v>16</v>
      </c>
    </row>
    <row r="12497">
      <c r="A12497" s="8" t="str">
        <f>IFERROR(__xludf.DUMMYFUNCTION("IF('(INGESTA)Datos_consumo_datadis'!A12497&lt;&gt;"""",SPLIT('(INGESTA)Datos_consumo_datadis'!A:A,"",""),"""")"),"ES0031408323131005HX0F")</f>
        <v>ES0031408323131005HX0F</v>
      </c>
      <c r="B12497" s="12">
        <f>IFERROR(__xludf.DUMMYFUNCTION("""COMPUTED_VALUE"""),45386.0)</f>
        <v>45386</v>
      </c>
      <c r="C12497" s="13">
        <f>IFERROR(__xludf.DUMMYFUNCTION("""COMPUTED_VALUE"""),0.7083333333333334)</f>
        <v>0.7083333333</v>
      </c>
      <c r="D12497" s="8">
        <f>IFERROR(__xludf.DUMMYFUNCTION("""COMPUTED_VALUE"""),0.437)</f>
        <v>0.437</v>
      </c>
      <c r="E12497" s="8" t="str">
        <f>IFERROR(__xludf.DUMMYFUNCTION("""COMPUTED_VALUE"""),"Real")</f>
        <v>Real</v>
      </c>
      <c r="G12497" s="8">
        <f t="shared" si="1"/>
        <v>4</v>
      </c>
      <c r="H12497" s="14">
        <f t="shared" si="2"/>
        <v>4</v>
      </c>
      <c r="I12497" s="15">
        <f t="shared" si="3"/>
        <v>17</v>
      </c>
    </row>
    <row r="12498">
      <c r="A12498" s="8" t="str">
        <f>IFERROR(__xludf.DUMMYFUNCTION("IF('(INGESTA)Datos_consumo_datadis'!A12498&lt;&gt;"""",SPLIT('(INGESTA)Datos_consumo_datadis'!A:A,"",""),"""")"),"ES0031408323131005HX0F")</f>
        <v>ES0031408323131005HX0F</v>
      </c>
      <c r="B12498" s="12">
        <f>IFERROR(__xludf.DUMMYFUNCTION("""COMPUTED_VALUE"""),45386.0)</f>
        <v>45386</v>
      </c>
      <c r="C12498" s="13">
        <f>IFERROR(__xludf.DUMMYFUNCTION("""COMPUTED_VALUE"""),0.75)</f>
        <v>0.75</v>
      </c>
      <c r="D12498" s="8">
        <f>IFERROR(__xludf.DUMMYFUNCTION("""COMPUTED_VALUE"""),0.054)</f>
        <v>0.054</v>
      </c>
      <c r="E12498" s="8" t="str">
        <f>IFERROR(__xludf.DUMMYFUNCTION("""COMPUTED_VALUE"""),"Real")</f>
        <v>Real</v>
      </c>
      <c r="G12498" s="8">
        <f t="shared" si="1"/>
        <v>4</v>
      </c>
      <c r="H12498" s="14">
        <f t="shared" si="2"/>
        <v>4</v>
      </c>
      <c r="I12498" s="15">
        <f t="shared" si="3"/>
        <v>18</v>
      </c>
    </row>
    <row r="12499">
      <c r="A12499" s="8" t="str">
        <f>IFERROR(__xludf.DUMMYFUNCTION("IF('(INGESTA)Datos_consumo_datadis'!A12499&lt;&gt;"""",SPLIT('(INGESTA)Datos_consumo_datadis'!A:A,"",""),"""")"),"ES0031408323131005HX0F")</f>
        <v>ES0031408323131005HX0F</v>
      </c>
      <c r="B12499" s="12">
        <f>IFERROR(__xludf.DUMMYFUNCTION("""COMPUTED_VALUE"""),45386.0)</f>
        <v>45386</v>
      </c>
      <c r="C12499" s="13">
        <f>IFERROR(__xludf.DUMMYFUNCTION("""COMPUTED_VALUE"""),0.7916666666666666)</f>
        <v>0.7916666667</v>
      </c>
      <c r="D12499" s="8">
        <f>IFERROR(__xludf.DUMMYFUNCTION("""COMPUTED_VALUE"""),0.071)</f>
        <v>0.071</v>
      </c>
      <c r="E12499" s="8" t="str">
        <f>IFERROR(__xludf.DUMMYFUNCTION("""COMPUTED_VALUE"""),"Real")</f>
        <v>Real</v>
      </c>
      <c r="G12499" s="8">
        <f t="shared" si="1"/>
        <v>4</v>
      </c>
      <c r="H12499" s="14">
        <f t="shared" si="2"/>
        <v>4</v>
      </c>
      <c r="I12499" s="15">
        <f t="shared" si="3"/>
        <v>19</v>
      </c>
    </row>
    <row r="12500">
      <c r="A12500" s="8" t="str">
        <f>IFERROR(__xludf.DUMMYFUNCTION("IF('(INGESTA)Datos_consumo_datadis'!A12500&lt;&gt;"""",SPLIT('(INGESTA)Datos_consumo_datadis'!A:A,"",""),"""")"),"ES0031408323131005HX0F")</f>
        <v>ES0031408323131005HX0F</v>
      </c>
      <c r="B12500" s="12">
        <f>IFERROR(__xludf.DUMMYFUNCTION("""COMPUTED_VALUE"""),45386.0)</f>
        <v>45386</v>
      </c>
      <c r="C12500" s="13">
        <f>IFERROR(__xludf.DUMMYFUNCTION("""COMPUTED_VALUE"""),0.8333333333333334)</f>
        <v>0.8333333333</v>
      </c>
      <c r="D12500" s="8">
        <f>IFERROR(__xludf.DUMMYFUNCTION("""COMPUTED_VALUE"""),0.057)</f>
        <v>0.057</v>
      </c>
      <c r="E12500" s="8" t="str">
        <f>IFERROR(__xludf.DUMMYFUNCTION("""COMPUTED_VALUE"""),"Real")</f>
        <v>Real</v>
      </c>
      <c r="G12500" s="8">
        <f t="shared" si="1"/>
        <v>4</v>
      </c>
      <c r="H12500" s="14">
        <f t="shared" si="2"/>
        <v>4</v>
      </c>
      <c r="I12500" s="15">
        <f t="shared" si="3"/>
        <v>20</v>
      </c>
    </row>
    <row r="12501">
      <c r="A12501" s="8" t="str">
        <f>IFERROR(__xludf.DUMMYFUNCTION("IF('(INGESTA)Datos_consumo_datadis'!A12501&lt;&gt;"""",SPLIT('(INGESTA)Datos_consumo_datadis'!A:A,"",""),"""")"),"ES0031408323131005HX0F")</f>
        <v>ES0031408323131005HX0F</v>
      </c>
      <c r="B12501" s="12">
        <f>IFERROR(__xludf.DUMMYFUNCTION("""COMPUTED_VALUE"""),45386.0)</f>
        <v>45386</v>
      </c>
      <c r="C12501" s="13">
        <f>IFERROR(__xludf.DUMMYFUNCTION("""COMPUTED_VALUE"""),0.875)</f>
        <v>0.875</v>
      </c>
      <c r="D12501" s="8">
        <f>IFERROR(__xludf.DUMMYFUNCTION("""COMPUTED_VALUE"""),1.077)</f>
        <v>1.077</v>
      </c>
      <c r="E12501" s="8" t="str">
        <f>IFERROR(__xludf.DUMMYFUNCTION("""COMPUTED_VALUE"""),"Real")</f>
        <v>Real</v>
      </c>
      <c r="G12501" s="8">
        <f t="shared" si="1"/>
        <v>4</v>
      </c>
      <c r="H12501" s="14">
        <f t="shared" si="2"/>
        <v>4</v>
      </c>
      <c r="I12501" s="15">
        <f t="shared" si="3"/>
        <v>21</v>
      </c>
    </row>
    <row r="12502">
      <c r="A12502" s="8" t="str">
        <f>IFERROR(__xludf.DUMMYFUNCTION("IF('(INGESTA)Datos_consumo_datadis'!A12502&lt;&gt;"""",SPLIT('(INGESTA)Datos_consumo_datadis'!A:A,"",""),"""")"),"ES0031408323131005HX0F")</f>
        <v>ES0031408323131005HX0F</v>
      </c>
      <c r="B12502" s="12">
        <f>IFERROR(__xludf.DUMMYFUNCTION("""COMPUTED_VALUE"""),45386.0)</f>
        <v>45386</v>
      </c>
      <c r="C12502" s="13">
        <f>IFERROR(__xludf.DUMMYFUNCTION("""COMPUTED_VALUE"""),0.9166666666666666)</f>
        <v>0.9166666667</v>
      </c>
      <c r="D12502" s="8">
        <f>IFERROR(__xludf.DUMMYFUNCTION("""COMPUTED_VALUE"""),1.52)</f>
        <v>1.52</v>
      </c>
      <c r="E12502" s="8" t="str">
        <f>IFERROR(__xludf.DUMMYFUNCTION("""COMPUTED_VALUE"""),"Real")</f>
        <v>Real</v>
      </c>
      <c r="G12502" s="8">
        <f t="shared" si="1"/>
        <v>4</v>
      </c>
      <c r="H12502" s="14">
        <f t="shared" si="2"/>
        <v>4</v>
      </c>
      <c r="I12502" s="15">
        <f t="shared" si="3"/>
        <v>22</v>
      </c>
    </row>
    <row r="12503">
      <c r="A12503" s="8" t="str">
        <f>IFERROR(__xludf.DUMMYFUNCTION("IF('(INGESTA)Datos_consumo_datadis'!A12503&lt;&gt;"""",SPLIT('(INGESTA)Datos_consumo_datadis'!A:A,"",""),"""")"),"ES0031408323131005HX0F")</f>
        <v>ES0031408323131005HX0F</v>
      </c>
      <c r="B12503" s="12">
        <f>IFERROR(__xludf.DUMMYFUNCTION("""COMPUTED_VALUE"""),45386.0)</f>
        <v>45386</v>
      </c>
      <c r="C12503" s="13">
        <f>IFERROR(__xludf.DUMMYFUNCTION("""COMPUTED_VALUE"""),0.9583333333333334)</f>
        <v>0.9583333333</v>
      </c>
      <c r="D12503" s="8">
        <f>IFERROR(__xludf.DUMMYFUNCTION("""COMPUTED_VALUE"""),1.873)</f>
        <v>1.873</v>
      </c>
      <c r="E12503" s="8" t="str">
        <f>IFERROR(__xludf.DUMMYFUNCTION("""COMPUTED_VALUE"""),"Real")</f>
        <v>Real</v>
      </c>
      <c r="G12503" s="8">
        <f t="shared" si="1"/>
        <v>4</v>
      </c>
      <c r="H12503" s="14">
        <f t="shared" si="2"/>
        <v>4</v>
      </c>
      <c r="I12503" s="15">
        <f t="shared" si="3"/>
        <v>23</v>
      </c>
    </row>
    <row r="12504">
      <c r="A12504" s="8" t="str">
        <f>IFERROR(__xludf.DUMMYFUNCTION("IF('(INGESTA)Datos_consumo_datadis'!A12504&lt;&gt;"""",SPLIT('(INGESTA)Datos_consumo_datadis'!A:A,"",""),"""")"),"ES0031408323131005HX0F")</f>
        <v>ES0031408323131005HX0F</v>
      </c>
      <c r="B12504" s="12">
        <f>IFERROR(__xludf.DUMMYFUNCTION("""COMPUTED_VALUE"""),45386.0)</f>
        <v>45386</v>
      </c>
      <c r="C12504" s="16">
        <f>IFERROR(__xludf.DUMMYFUNCTION("""COMPUTED_VALUE"""),1.0)</f>
        <v>1</v>
      </c>
      <c r="D12504" s="8">
        <f>IFERROR(__xludf.DUMMYFUNCTION("""COMPUTED_VALUE"""),0.792)</f>
        <v>0.792</v>
      </c>
      <c r="E12504" s="8" t="str">
        <f>IFERROR(__xludf.DUMMYFUNCTION("""COMPUTED_VALUE"""),"Real")</f>
        <v>Real</v>
      </c>
      <c r="G12504" s="8">
        <f t="shared" si="1"/>
        <v>4</v>
      </c>
      <c r="H12504" s="14">
        <f t="shared" si="2"/>
        <v>4</v>
      </c>
      <c r="I12504" s="15">
        <f t="shared" si="3"/>
        <v>0</v>
      </c>
    </row>
    <row r="12505">
      <c r="A12505" s="8" t="str">
        <f>IFERROR(__xludf.DUMMYFUNCTION("IF('(INGESTA)Datos_consumo_datadis'!A12505&lt;&gt;"""",SPLIT('(INGESTA)Datos_consumo_datadis'!A:A,"",""),"""")"),"ES0031408323131005HX0F")</f>
        <v>ES0031408323131005HX0F</v>
      </c>
      <c r="B12505" s="12">
        <f>IFERROR(__xludf.DUMMYFUNCTION("""COMPUTED_VALUE"""),45387.0)</f>
        <v>45387</v>
      </c>
      <c r="C12505" s="13">
        <f>IFERROR(__xludf.DUMMYFUNCTION("""COMPUTED_VALUE"""),0.041666666666666664)</f>
        <v>0.04166666667</v>
      </c>
      <c r="D12505" s="8">
        <f>IFERROR(__xludf.DUMMYFUNCTION("""COMPUTED_VALUE"""),0.317)</f>
        <v>0.317</v>
      </c>
      <c r="E12505" s="8" t="str">
        <f>IFERROR(__xludf.DUMMYFUNCTION("""COMPUTED_VALUE"""),"Real")</f>
        <v>Real</v>
      </c>
      <c r="G12505" s="8">
        <f t="shared" si="1"/>
        <v>4</v>
      </c>
      <c r="H12505" s="14">
        <f t="shared" si="2"/>
        <v>5</v>
      </c>
      <c r="I12505" s="15">
        <f t="shared" si="3"/>
        <v>1</v>
      </c>
    </row>
    <row r="12506">
      <c r="A12506" s="8" t="str">
        <f>IFERROR(__xludf.DUMMYFUNCTION("IF('(INGESTA)Datos_consumo_datadis'!A12506&lt;&gt;"""",SPLIT('(INGESTA)Datos_consumo_datadis'!A:A,"",""),"""")"),"ES0031408323131005HX0F")</f>
        <v>ES0031408323131005HX0F</v>
      </c>
      <c r="B12506" s="12">
        <f>IFERROR(__xludf.DUMMYFUNCTION("""COMPUTED_VALUE"""),45387.0)</f>
        <v>45387</v>
      </c>
      <c r="C12506" s="13">
        <f>IFERROR(__xludf.DUMMYFUNCTION("""COMPUTED_VALUE"""),0.08333333333333333)</f>
        <v>0.08333333333</v>
      </c>
      <c r="D12506" s="8">
        <f>IFERROR(__xludf.DUMMYFUNCTION("""COMPUTED_VALUE"""),0.053)</f>
        <v>0.053</v>
      </c>
      <c r="E12506" s="8" t="str">
        <f>IFERROR(__xludf.DUMMYFUNCTION("""COMPUTED_VALUE"""),"Real")</f>
        <v>Real</v>
      </c>
      <c r="G12506" s="8">
        <f t="shared" si="1"/>
        <v>4</v>
      </c>
      <c r="H12506" s="14">
        <f t="shared" si="2"/>
        <v>5</v>
      </c>
      <c r="I12506" s="15">
        <f t="shared" si="3"/>
        <v>2</v>
      </c>
    </row>
    <row r="12507">
      <c r="A12507" s="8" t="str">
        <f>IFERROR(__xludf.DUMMYFUNCTION("IF('(INGESTA)Datos_consumo_datadis'!A12507&lt;&gt;"""",SPLIT('(INGESTA)Datos_consumo_datadis'!A:A,"",""),"""")"),"ES0031408323131005HX0F")</f>
        <v>ES0031408323131005HX0F</v>
      </c>
      <c r="B12507" s="12">
        <f>IFERROR(__xludf.DUMMYFUNCTION("""COMPUTED_VALUE"""),45387.0)</f>
        <v>45387</v>
      </c>
      <c r="C12507" s="13">
        <f>IFERROR(__xludf.DUMMYFUNCTION("""COMPUTED_VALUE"""),0.125)</f>
        <v>0.125</v>
      </c>
      <c r="D12507" s="8">
        <f>IFERROR(__xludf.DUMMYFUNCTION("""COMPUTED_VALUE"""),0.065)</f>
        <v>0.065</v>
      </c>
      <c r="E12507" s="8" t="str">
        <f>IFERROR(__xludf.DUMMYFUNCTION("""COMPUTED_VALUE"""),"Real")</f>
        <v>Real</v>
      </c>
      <c r="G12507" s="8">
        <f t="shared" si="1"/>
        <v>4</v>
      </c>
      <c r="H12507" s="14">
        <f t="shared" si="2"/>
        <v>5</v>
      </c>
      <c r="I12507" s="15">
        <f t="shared" si="3"/>
        <v>3</v>
      </c>
    </row>
    <row r="12508">
      <c r="A12508" s="8" t="str">
        <f>IFERROR(__xludf.DUMMYFUNCTION("IF('(INGESTA)Datos_consumo_datadis'!A12508&lt;&gt;"""",SPLIT('(INGESTA)Datos_consumo_datadis'!A:A,"",""),"""")"),"ES0031408323131005HX0F")</f>
        <v>ES0031408323131005HX0F</v>
      </c>
      <c r="B12508" s="12">
        <f>IFERROR(__xludf.DUMMYFUNCTION("""COMPUTED_VALUE"""),45387.0)</f>
        <v>45387</v>
      </c>
      <c r="C12508" s="13">
        <f>IFERROR(__xludf.DUMMYFUNCTION("""COMPUTED_VALUE"""),0.16666666666666666)</f>
        <v>0.1666666667</v>
      </c>
      <c r="D12508" s="8">
        <f>IFERROR(__xludf.DUMMYFUNCTION("""COMPUTED_VALUE"""),0.052)</f>
        <v>0.052</v>
      </c>
      <c r="E12508" s="8" t="str">
        <f>IFERROR(__xludf.DUMMYFUNCTION("""COMPUTED_VALUE"""),"Real")</f>
        <v>Real</v>
      </c>
      <c r="G12508" s="8">
        <f t="shared" si="1"/>
        <v>4</v>
      </c>
      <c r="H12508" s="14">
        <f t="shared" si="2"/>
        <v>5</v>
      </c>
      <c r="I12508" s="15">
        <f t="shared" si="3"/>
        <v>4</v>
      </c>
    </row>
    <row r="12509">
      <c r="A12509" s="8" t="str">
        <f>IFERROR(__xludf.DUMMYFUNCTION("IF('(INGESTA)Datos_consumo_datadis'!A12509&lt;&gt;"""",SPLIT('(INGESTA)Datos_consumo_datadis'!A:A,"",""),"""")"),"ES0031408323131005HX0F")</f>
        <v>ES0031408323131005HX0F</v>
      </c>
      <c r="B12509" s="12">
        <f>IFERROR(__xludf.DUMMYFUNCTION("""COMPUTED_VALUE"""),45387.0)</f>
        <v>45387</v>
      </c>
      <c r="C12509" s="13">
        <f>IFERROR(__xludf.DUMMYFUNCTION("""COMPUTED_VALUE"""),0.20833333333333334)</f>
        <v>0.2083333333</v>
      </c>
      <c r="D12509" s="8">
        <f>IFERROR(__xludf.DUMMYFUNCTION("""COMPUTED_VALUE"""),0.063)</f>
        <v>0.063</v>
      </c>
      <c r="E12509" s="8" t="str">
        <f>IFERROR(__xludf.DUMMYFUNCTION("""COMPUTED_VALUE"""),"Real")</f>
        <v>Real</v>
      </c>
      <c r="G12509" s="8">
        <f t="shared" si="1"/>
        <v>4</v>
      </c>
      <c r="H12509" s="14">
        <f t="shared" si="2"/>
        <v>5</v>
      </c>
      <c r="I12509" s="15">
        <f t="shared" si="3"/>
        <v>5</v>
      </c>
    </row>
    <row r="12510">
      <c r="A12510" s="8" t="str">
        <f>IFERROR(__xludf.DUMMYFUNCTION("IF('(INGESTA)Datos_consumo_datadis'!A12510&lt;&gt;"""",SPLIT('(INGESTA)Datos_consumo_datadis'!A:A,"",""),"""")"),"ES0031408323131005HX0F")</f>
        <v>ES0031408323131005HX0F</v>
      </c>
      <c r="B12510" s="12">
        <f>IFERROR(__xludf.DUMMYFUNCTION("""COMPUTED_VALUE"""),45387.0)</f>
        <v>45387</v>
      </c>
      <c r="C12510" s="13">
        <f>IFERROR(__xludf.DUMMYFUNCTION("""COMPUTED_VALUE"""),0.25)</f>
        <v>0.25</v>
      </c>
      <c r="D12510" s="8">
        <f>IFERROR(__xludf.DUMMYFUNCTION("""COMPUTED_VALUE"""),0.053)</f>
        <v>0.053</v>
      </c>
      <c r="E12510" s="8" t="str">
        <f>IFERROR(__xludf.DUMMYFUNCTION("""COMPUTED_VALUE"""),"Real")</f>
        <v>Real</v>
      </c>
      <c r="G12510" s="8">
        <f t="shared" si="1"/>
        <v>4</v>
      </c>
      <c r="H12510" s="14">
        <f t="shared" si="2"/>
        <v>5</v>
      </c>
      <c r="I12510" s="15">
        <f t="shared" si="3"/>
        <v>6</v>
      </c>
    </row>
    <row r="12511">
      <c r="A12511" s="8" t="str">
        <f>IFERROR(__xludf.DUMMYFUNCTION("IF('(INGESTA)Datos_consumo_datadis'!A12511&lt;&gt;"""",SPLIT('(INGESTA)Datos_consumo_datadis'!A:A,"",""),"""")"),"ES0031408323131005HX0F")</f>
        <v>ES0031408323131005HX0F</v>
      </c>
      <c r="B12511" s="12">
        <f>IFERROR(__xludf.DUMMYFUNCTION("""COMPUTED_VALUE"""),45387.0)</f>
        <v>45387</v>
      </c>
      <c r="C12511" s="13">
        <f>IFERROR(__xludf.DUMMYFUNCTION("""COMPUTED_VALUE"""),0.2916666666666667)</f>
        <v>0.2916666667</v>
      </c>
      <c r="D12511" s="8">
        <f>IFERROR(__xludf.DUMMYFUNCTION("""COMPUTED_VALUE"""),0.613)</f>
        <v>0.613</v>
      </c>
      <c r="E12511" s="8" t="str">
        <f>IFERROR(__xludf.DUMMYFUNCTION("""COMPUTED_VALUE"""),"Real")</f>
        <v>Real</v>
      </c>
      <c r="G12511" s="8">
        <f t="shared" si="1"/>
        <v>4</v>
      </c>
      <c r="H12511" s="14">
        <f t="shared" si="2"/>
        <v>5</v>
      </c>
      <c r="I12511" s="15">
        <f t="shared" si="3"/>
        <v>7</v>
      </c>
    </row>
    <row r="12512">
      <c r="A12512" s="8" t="str">
        <f>IFERROR(__xludf.DUMMYFUNCTION("IF('(INGESTA)Datos_consumo_datadis'!A12512&lt;&gt;"""",SPLIT('(INGESTA)Datos_consumo_datadis'!A:A,"",""),"""")"),"ES0031408323131005HX0F")</f>
        <v>ES0031408323131005HX0F</v>
      </c>
      <c r="B12512" s="12">
        <f>IFERROR(__xludf.DUMMYFUNCTION("""COMPUTED_VALUE"""),45387.0)</f>
        <v>45387</v>
      </c>
      <c r="C12512" s="13">
        <f>IFERROR(__xludf.DUMMYFUNCTION("""COMPUTED_VALUE"""),0.3333333333333333)</f>
        <v>0.3333333333</v>
      </c>
      <c r="D12512" s="8">
        <f>IFERROR(__xludf.DUMMYFUNCTION("""COMPUTED_VALUE"""),0.825)</f>
        <v>0.825</v>
      </c>
      <c r="E12512" s="8" t="str">
        <f>IFERROR(__xludf.DUMMYFUNCTION("""COMPUTED_VALUE"""),"Real")</f>
        <v>Real</v>
      </c>
      <c r="G12512" s="8">
        <f t="shared" si="1"/>
        <v>4</v>
      </c>
      <c r="H12512" s="14">
        <f t="shared" si="2"/>
        <v>5</v>
      </c>
      <c r="I12512" s="15">
        <f t="shared" si="3"/>
        <v>8</v>
      </c>
    </row>
    <row r="12513">
      <c r="A12513" s="8" t="str">
        <f>IFERROR(__xludf.DUMMYFUNCTION("IF('(INGESTA)Datos_consumo_datadis'!A12513&lt;&gt;"""",SPLIT('(INGESTA)Datos_consumo_datadis'!A:A,"",""),"""")"),"ES0031408323131005HX0F")</f>
        <v>ES0031408323131005HX0F</v>
      </c>
      <c r="B12513" s="12">
        <f>IFERROR(__xludf.DUMMYFUNCTION("""COMPUTED_VALUE"""),45387.0)</f>
        <v>45387</v>
      </c>
      <c r="C12513" s="13">
        <f>IFERROR(__xludf.DUMMYFUNCTION("""COMPUTED_VALUE"""),0.375)</f>
        <v>0.375</v>
      </c>
      <c r="D12513" s="8">
        <f>IFERROR(__xludf.DUMMYFUNCTION("""COMPUTED_VALUE"""),0.09)</f>
        <v>0.09</v>
      </c>
      <c r="E12513" s="8" t="str">
        <f>IFERROR(__xludf.DUMMYFUNCTION("""COMPUTED_VALUE"""),"Real")</f>
        <v>Real</v>
      </c>
      <c r="G12513" s="8">
        <f t="shared" si="1"/>
        <v>4</v>
      </c>
      <c r="H12513" s="14">
        <f t="shared" si="2"/>
        <v>5</v>
      </c>
      <c r="I12513" s="15">
        <f t="shared" si="3"/>
        <v>9</v>
      </c>
    </row>
    <row r="12514">
      <c r="A12514" s="8" t="str">
        <f>IFERROR(__xludf.DUMMYFUNCTION("IF('(INGESTA)Datos_consumo_datadis'!A12514&lt;&gt;"""",SPLIT('(INGESTA)Datos_consumo_datadis'!A:A,"",""),"""")"),"ES0031408323131005HX0F")</f>
        <v>ES0031408323131005HX0F</v>
      </c>
      <c r="B12514" s="12">
        <f>IFERROR(__xludf.DUMMYFUNCTION("""COMPUTED_VALUE"""),45387.0)</f>
        <v>45387</v>
      </c>
      <c r="C12514" s="13">
        <f>IFERROR(__xludf.DUMMYFUNCTION("""COMPUTED_VALUE"""),0.4166666666666667)</f>
        <v>0.4166666667</v>
      </c>
      <c r="D12514" s="8">
        <f>IFERROR(__xludf.DUMMYFUNCTION("""COMPUTED_VALUE"""),0.075)</f>
        <v>0.075</v>
      </c>
      <c r="E12514" s="8" t="str">
        <f>IFERROR(__xludf.DUMMYFUNCTION("""COMPUTED_VALUE"""),"Real")</f>
        <v>Real</v>
      </c>
      <c r="G12514" s="8">
        <f t="shared" si="1"/>
        <v>4</v>
      </c>
      <c r="H12514" s="14">
        <f t="shared" si="2"/>
        <v>5</v>
      </c>
      <c r="I12514" s="15">
        <f t="shared" si="3"/>
        <v>10</v>
      </c>
    </row>
    <row r="12515">
      <c r="A12515" s="8" t="str">
        <f>IFERROR(__xludf.DUMMYFUNCTION("IF('(INGESTA)Datos_consumo_datadis'!A12515&lt;&gt;"""",SPLIT('(INGESTA)Datos_consumo_datadis'!A:A,"",""),"""")"),"ES0031408323131005HX0F")</f>
        <v>ES0031408323131005HX0F</v>
      </c>
      <c r="B12515" s="12">
        <f>IFERROR(__xludf.DUMMYFUNCTION("""COMPUTED_VALUE"""),45387.0)</f>
        <v>45387</v>
      </c>
      <c r="C12515" s="13">
        <f>IFERROR(__xludf.DUMMYFUNCTION("""COMPUTED_VALUE"""),0.4583333333333333)</f>
        <v>0.4583333333</v>
      </c>
      <c r="D12515" s="8">
        <f>IFERROR(__xludf.DUMMYFUNCTION("""COMPUTED_VALUE"""),0.038)</f>
        <v>0.038</v>
      </c>
      <c r="E12515" s="8" t="str">
        <f>IFERROR(__xludf.DUMMYFUNCTION("""COMPUTED_VALUE"""),"Real")</f>
        <v>Real</v>
      </c>
      <c r="G12515" s="8">
        <f t="shared" si="1"/>
        <v>4</v>
      </c>
      <c r="H12515" s="14">
        <f t="shared" si="2"/>
        <v>5</v>
      </c>
      <c r="I12515" s="15">
        <f t="shared" si="3"/>
        <v>11</v>
      </c>
    </row>
    <row r="12516">
      <c r="A12516" s="8" t="str">
        <f>IFERROR(__xludf.DUMMYFUNCTION("IF('(INGESTA)Datos_consumo_datadis'!A12516&lt;&gt;"""",SPLIT('(INGESTA)Datos_consumo_datadis'!A:A,"",""),"""")"),"ES0031408323131005HX0F")</f>
        <v>ES0031408323131005HX0F</v>
      </c>
      <c r="B12516" s="12">
        <f>IFERROR(__xludf.DUMMYFUNCTION("""COMPUTED_VALUE"""),45387.0)</f>
        <v>45387</v>
      </c>
      <c r="C12516" s="13">
        <f>IFERROR(__xludf.DUMMYFUNCTION("""COMPUTED_VALUE"""),0.5)</f>
        <v>0.5</v>
      </c>
      <c r="D12516" s="8">
        <f>IFERROR(__xludf.DUMMYFUNCTION("""COMPUTED_VALUE"""),0.463)</f>
        <v>0.463</v>
      </c>
      <c r="E12516" s="8" t="str">
        <f>IFERROR(__xludf.DUMMYFUNCTION("""COMPUTED_VALUE"""),"Real")</f>
        <v>Real</v>
      </c>
      <c r="G12516" s="8">
        <f t="shared" si="1"/>
        <v>4</v>
      </c>
      <c r="H12516" s="14">
        <f t="shared" si="2"/>
        <v>5</v>
      </c>
      <c r="I12516" s="15">
        <f t="shared" si="3"/>
        <v>12</v>
      </c>
    </row>
    <row r="12517">
      <c r="A12517" s="8" t="str">
        <f>IFERROR(__xludf.DUMMYFUNCTION("IF('(INGESTA)Datos_consumo_datadis'!A12517&lt;&gt;"""",SPLIT('(INGESTA)Datos_consumo_datadis'!A:A,"",""),"""")"),"ES0031408323131005HX0F")</f>
        <v>ES0031408323131005HX0F</v>
      </c>
      <c r="B12517" s="12">
        <f>IFERROR(__xludf.DUMMYFUNCTION("""COMPUTED_VALUE"""),45387.0)</f>
        <v>45387</v>
      </c>
      <c r="C12517" s="13">
        <f>IFERROR(__xludf.DUMMYFUNCTION("""COMPUTED_VALUE"""),0.5416666666666666)</f>
        <v>0.5416666667</v>
      </c>
      <c r="D12517" s="8">
        <f>IFERROR(__xludf.DUMMYFUNCTION("""COMPUTED_VALUE"""),1.656)</f>
        <v>1.656</v>
      </c>
      <c r="E12517" s="8" t="str">
        <f>IFERROR(__xludf.DUMMYFUNCTION("""COMPUTED_VALUE"""),"Real")</f>
        <v>Real</v>
      </c>
      <c r="G12517" s="8">
        <f t="shared" si="1"/>
        <v>4</v>
      </c>
      <c r="H12517" s="14">
        <f t="shared" si="2"/>
        <v>5</v>
      </c>
      <c r="I12517" s="15">
        <f t="shared" si="3"/>
        <v>13</v>
      </c>
    </row>
    <row r="12518">
      <c r="A12518" s="8" t="str">
        <f>IFERROR(__xludf.DUMMYFUNCTION("IF('(INGESTA)Datos_consumo_datadis'!A12518&lt;&gt;"""",SPLIT('(INGESTA)Datos_consumo_datadis'!A:A,"",""),"""")"),"ES0031408323131005HX0F")</f>
        <v>ES0031408323131005HX0F</v>
      </c>
      <c r="B12518" s="12">
        <f>IFERROR(__xludf.DUMMYFUNCTION("""COMPUTED_VALUE"""),45387.0)</f>
        <v>45387</v>
      </c>
      <c r="C12518" s="13">
        <f>IFERROR(__xludf.DUMMYFUNCTION("""COMPUTED_VALUE"""),0.5833333333333334)</f>
        <v>0.5833333333</v>
      </c>
      <c r="D12518" s="8">
        <f>IFERROR(__xludf.DUMMYFUNCTION("""COMPUTED_VALUE"""),0.743)</f>
        <v>0.743</v>
      </c>
      <c r="E12518" s="8" t="str">
        <f>IFERROR(__xludf.DUMMYFUNCTION("""COMPUTED_VALUE"""),"Real")</f>
        <v>Real</v>
      </c>
      <c r="G12518" s="8">
        <f t="shared" si="1"/>
        <v>4</v>
      </c>
      <c r="H12518" s="14">
        <f t="shared" si="2"/>
        <v>5</v>
      </c>
      <c r="I12518" s="15">
        <f t="shared" si="3"/>
        <v>14</v>
      </c>
    </row>
    <row r="12519">
      <c r="A12519" s="8" t="str">
        <f>IFERROR(__xludf.DUMMYFUNCTION("IF('(INGESTA)Datos_consumo_datadis'!A12519&lt;&gt;"""",SPLIT('(INGESTA)Datos_consumo_datadis'!A:A,"",""),"""")"),"ES0031408323131005HX0F")</f>
        <v>ES0031408323131005HX0F</v>
      </c>
      <c r="B12519" s="12">
        <f>IFERROR(__xludf.DUMMYFUNCTION("""COMPUTED_VALUE"""),45387.0)</f>
        <v>45387</v>
      </c>
      <c r="C12519" s="13">
        <f>IFERROR(__xludf.DUMMYFUNCTION("""COMPUTED_VALUE"""),0.625)</f>
        <v>0.625</v>
      </c>
      <c r="D12519" s="8">
        <f>IFERROR(__xludf.DUMMYFUNCTION("""COMPUTED_VALUE"""),0.119)</f>
        <v>0.119</v>
      </c>
      <c r="E12519" s="8" t="str">
        <f>IFERROR(__xludf.DUMMYFUNCTION("""COMPUTED_VALUE"""),"Real")</f>
        <v>Real</v>
      </c>
      <c r="G12519" s="8">
        <f t="shared" si="1"/>
        <v>4</v>
      </c>
      <c r="H12519" s="14">
        <f t="shared" si="2"/>
        <v>5</v>
      </c>
      <c r="I12519" s="15">
        <f t="shared" si="3"/>
        <v>15</v>
      </c>
    </row>
    <row r="12520">
      <c r="A12520" s="8" t="str">
        <f>IFERROR(__xludf.DUMMYFUNCTION("IF('(INGESTA)Datos_consumo_datadis'!A12520&lt;&gt;"""",SPLIT('(INGESTA)Datos_consumo_datadis'!A:A,"",""),"""")"),"ES0031408323131005HX0F")</f>
        <v>ES0031408323131005HX0F</v>
      </c>
      <c r="B12520" s="12">
        <f>IFERROR(__xludf.DUMMYFUNCTION("""COMPUTED_VALUE"""),45387.0)</f>
        <v>45387</v>
      </c>
      <c r="C12520" s="13">
        <f>IFERROR(__xludf.DUMMYFUNCTION("""COMPUTED_VALUE"""),0.6666666666666666)</f>
        <v>0.6666666667</v>
      </c>
      <c r="D12520" s="8">
        <f>IFERROR(__xludf.DUMMYFUNCTION("""COMPUTED_VALUE"""),0.622)</f>
        <v>0.622</v>
      </c>
      <c r="E12520" s="8" t="str">
        <f>IFERROR(__xludf.DUMMYFUNCTION("""COMPUTED_VALUE"""),"Real")</f>
        <v>Real</v>
      </c>
      <c r="G12520" s="8">
        <f t="shared" si="1"/>
        <v>4</v>
      </c>
      <c r="H12520" s="14">
        <f t="shared" si="2"/>
        <v>5</v>
      </c>
      <c r="I12520" s="15">
        <f t="shared" si="3"/>
        <v>16</v>
      </c>
    </row>
    <row r="12521">
      <c r="A12521" s="8" t="str">
        <f>IFERROR(__xludf.DUMMYFUNCTION("IF('(INGESTA)Datos_consumo_datadis'!A12521&lt;&gt;"""",SPLIT('(INGESTA)Datos_consumo_datadis'!A:A,"",""),"""")"),"ES0031408323131005HX0F")</f>
        <v>ES0031408323131005HX0F</v>
      </c>
      <c r="B12521" s="12">
        <f>IFERROR(__xludf.DUMMYFUNCTION("""COMPUTED_VALUE"""),45387.0)</f>
        <v>45387</v>
      </c>
      <c r="C12521" s="13">
        <f>IFERROR(__xludf.DUMMYFUNCTION("""COMPUTED_VALUE"""),0.7083333333333334)</f>
        <v>0.7083333333</v>
      </c>
      <c r="D12521" s="8">
        <f>IFERROR(__xludf.DUMMYFUNCTION("""COMPUTED_VALUE"""),0.109)</f>
        <v>0.109</v>
      </c>
      <c r="E12521" s="8" t="str">
        <f>IFERROR(__xludf.DUMMYFUNCTION("""COMPUTED_VALUE"""),"Real")</f>
        <v>Real</v>
      </c>
      <c r="G12521" s="8">
        <f t="shared" si="1"/>
        <v>4</v>
      </c>
      <c r="H12521" s="14">
        <f t="shared" si="2"/>
        <v>5</v>
      </c>
      <c r="I12521" s="15">
        <f t="shared" si="3"/>
        <v>17</v>
      </c>
    </row>
    <row r="12522">
      <c r="A12522" s="8" t="str">
        <f>IFERROR(__xludf.DUMMYFUNCTION("IF('(INGESTA)Datos_consumo_datadis'!A12522&lt;&gt;"""",SPLIT('(INGESTA)Datos_consumo_datadis'!A:A,"",""),"""")"),"ES0031408323131005HX0F")</f>
        <v>ES0031408323131005HX0F</v>
      </c>
      <c r="B12522" s="12">
        <f>IFERROR(__xludf.DUMMYFUNCTION("""COMPUTED_VALUE"""),45387.0)</f>
        <v>45387</v>
      </c>
      <c r="C12522" s="13">
        <f>IFERROR(__xludf.DUMMYFUNCTION("""COMPUTED_VALUE"""),0.75)</f>
        <v>0.75</v>
      </c>
      <c r="D12522" s="8">
        <f>IFERROR(__xludf.DUMMYFUNCTION("""COMPUTED_VALUE"""),0.07)</f>
        <v>0.07</v>
      </c>
      <c r="E12522" s="8" t="str">
        <f>IFERROR(__xludf.DUMMYFUNCTION("""COMPUTED_VALUE"""),"Real")</f>
        <v>Real</v>
      </c>
      <c r="G12522" s="8">
        <f t="shared" si="1"/>
        <v>4</v>
      </c>
      <c r="H12522" s="14">
        <f t="shared" si="2"/>
        <v>5</v>
      </c>
      <c r="I12522" s="15">
        <f t="shared" si="3"/>
        <v>18</v>
      </c>
    </row>
    <row r="12523">
      <c r="A12523" s="8" t="str">
        <f>IFERROR(__xludf.DUMMYFUNCTION("IF('(INGESTA)Datos_consumo_datadis'!A12523&lt;&gt;"""",SPLIT('(INGESTA)Datos_consumo_datadis'!A:A,"",""),"""")"),"ES0031408323131005HX0F")</f>
        <v>ES0031408323131005HX0F</v>
      </c>
      <c r="B12523" s="12">
        <f>IFERROR(__xludf.DUMMYFUNCTION("""COMPUTED_VALUE"""),45387.0)</f>
        <v>45387</v>
      </c>
      <c r="C12523" s="13">
        <f>IFERROR(__xludf.DUMMYFUNCTION("""COMPUTED_VALUE"""),0.7916666666666666)</f>
        <v>0.7916666667</v>
      </c>
      <c r="D12523" s="8">
        <f>IFERROR(__xludf.DUMMYFUNCTION("""COMPUTED_VALUE"""),0.045)</f>
        <v>0.045</v>
      </c>
      <c r="E12523" s="8" t="str">
        <f>IFERROR(__xludf.DUMMYFUNCTION("""COMPUTED_VALUE"""),"Real")</f>
        <v>Real</v>
      </c>
      <c r="G12523" s="8">
        <f t="shared" si="1"/>
        <v>4</v>
      </c>
      <c r="H12523" s="14">
        <f t="shared" si="2"/>
        <v>5</v>
      </c>
      <c r="I12523" s="15">
        <f t="shared" si="3"/>
        <v>19</v>
      </c>
    </row>
    <row r="12524">
      <c r="A12524" s="8" t="str">
        <f>IFERROR(__xludf.DUMMYFUNCTION("IF('(INGESTA)Datos_consumo_datadis'!A12524&lt;&gt;"""",SPLIT('(INGESTA)Datos_consumo_datadis'!A:A,"",""),"""")"),"ES0031408323131005HX0F")</f>
        <v>ES0031408323131005HX0F</v>
      </c>
      <c r="B12524" s="12">
        <f>IFERROR(__xludf.DUMMYFUNCTION("""COMPUTED_VALUE"""),45387.0)</f>
        <v>45387</v>
      </c>
      <c r="C12524" s="13">
        <f>IFERROR(__xludf.DUMMYFUNCTION("""COMPUTED_VALUE"""),0.8333333333333334)</f>
        <v>0.8333333333</v>
      </c>
      <c r="D12524" s="8">
        <f>IFERROR(__xludf.DUMMYFUNCTION("""COMPUTED_VALUE"""),0.811)</f>
        <v>0.811</v>
      </c>
      <c r="E12524" s="8" t="str">
        <f>IFERROR(__xludf.DUMMYFUNCTION("""COMPUTED_VALUE"""),"Real")</f>
        <v>Real</v>
      </c>
      <c r="G12524" s="8">
        <f t="shared" si="1"/>
        <v>4</v>
      </c>
      <c r="H12524" s="14">
        <f t="shared" si="2"/>
        <v>5</v>
      </c>
      <c r="I12524" s="15">
        <f t="shared" si="3"/>
        <v>20</v>
      </c>
    </row>
    <row r="12525">
      <c r="A12525" s="8" t="str">
        <f>IFERROR(__xludf.DUMMYFUNCTION("IF('(INGESTA)Datos_consumo_datadis'!A12525&lt;&gt;"""",SPLIT('(INGESTA)Datos_consumo_datadis'!A:A,"",""),"""")"),"ES0031408323131005HX0F")</f>
        <v>ES0031408323131005HX0F</v>
      </c>
      <c r="B12525" s="12">
        <f>IFERROR(__xludf.DUMMYFUNCTION("""COMPUTED_VALUE"""),45387.0)</f>
        <v>45387</v>
      </c>
      <c r="C12525" s="13">
        <f>IFERROR(__xludf.DUMMYFUNCTION("""COMPUTED_VALUE"""),0.875)</f>
        <v>0.875</v>
      </c>
      <c r="D12525" s="8">
        <f>IFERROR(__xludf.DUMMYFUNCTION("""COMPUTED_VALUE"""),1.217)</f>
        <v>1.217</v>
      </c>
      <c r="E12525" s="8" t="str">
        <f>IFERROR(__xludf.DUMMYFUNCTION("""COMPUTED_VALUE"""),"Real")</f>
        <v>Real</v>
      </c>
      <c r="G12525" s="8">
        <f t="shared" si="1"/>
        <v>4</v>
      </c>
      <c r="H12525" s="14">
        <f t="shared" si="2"/>
        <v>5</v>
      </c>
      <c r="I12525" s="15">
        <f t="shared" si="3"/>
        <v>21</v>
      </c>
    </row>
    <row r="12526">
      <c r="A12526" s="8" t="str">
        <f>IFERROR(__xludf.DUMMYFUNCTION("IF('(INGESTA)Datos_consumo_datadis'!A12526&lt;&gt;"""",SPLIT('(INGESTA)Datos_consumo_datadis'!A:A,"",""),"""")"),"ES0031408323131005HX0F")</f>
        <v>ES0031408323131005HX0F</v>
      </c>
      <c r="B12526" s="12">
        <f>IFERROR(__xludf.DUMMYFUNCTION("""COMPUTED_VALUE"""),45387.0)</f>
        <v>45387</v>
      </c>
      <c r="C12526" s="13">
        <f>IFERROR(__xludf.DUMMYFUNCTION("""COMPUTED_VALUE"""),0.9166666666666666)</f>
        <v>0.9166666667</v>
      </c>
      <c r="D12526" s="8">
        <f>IFERROR(__xludf.DUMMYFUNCTION("""COMPUTED_VALUE"""),1.779)</f>
        <v>1.779</v>
      </c>
      <c r="E12526" s="8" t="str">
        <f>IFERROR(__xludf.DUMMYFUNCTION("""COMPUTED_VALUE"""),"Real")</f>
        <v>Real</v>
      </c>
      <c r="G12526" s="8">
        <f t="shared" si="1"/>
        <v>4</v>
      </c>
      <c r="H12526" s="14">
        <f t="shared" si="2"/>
        <v>5</v>
      </c>
      <c r="I12526" s="15">
        <f t="shared" si="3"/>
        <v>22</v>
      </c>
    </row>
    <row r="12527">
      <c r="A12527" s="8" t="str">
        <f>IFERROR(__xludf.DUMMYFUNCTION("IF('(INGESTA)Datos_consumo_datadis'!A12527&lt;&gt;"""",SPLIT('(INGESTA)Datos_consumo_datadis'!A:A,"",""),"""")"),"ES0031408323131005HX0F")</f>
        <v>ES0031408323131005HX0F</v>
      </c>
      <c r="B12527" s="12">
        <f>IFERROR(__xludf.DUMMYFUNCTION("""COMPUTED_VALUE"""),45387.0)</f>
        <v>45387</v>
      </c>
      <c r="C12527" s="13">
        <f>IFERROR(__xludf.DUMMYFUNCTION("""COMPUTED_VALUE"""),0.9583333333333334)</f>
        <v>0.9583333333</v>
      </c>
      <c r="D12527" s="8">
        <f>IFERROR(__xludf.DUMMYFUNCTION("""COMPUTED_VALUE"""),1.181)</f>
        <v>1.181</v>
      </c>
      <c r="E12527" s="8" t="str">
        <f>IFERROR(__xludf.DUMMYFUNCTION("""COMPUTED_VALUE"""),"Real")</f>
        <v>Real</v>
      </c>
      <c r="G12527" s="8">
        <f t="shared" si="1"/>
        <v>4</v>
      </c>
      <c r="H12527" s="14">
        <f t="shared" si="2"/>
        <v>5</v>
      </c>
      <c r="I12527" s="15">
        <f t="shared" si="3"/>
        <v>23</v>
      </c>
    </row>
    <row r="12528">
      <c r="A12528" s="8" t="str">
        <f>IFERROR(__xludf.DUMMYFUNCTION("IF('(INGESTA)Datos_consumo_datadis'!A12528&lt;&gt;"""",SPLIT('(INGESTA)Datos_consumo_datadis'!A:A,"",""),"""")"),"ES0031408323131005HX0F")</f>
        <v>ES0031408323131005HX0F</v>
      </c>
      <c r="B12528" s="12">
        <f>IFERROR(__xludf.DUMMYFUNCTION("""COMPUTED_VALUE"""),45387.0)</f>
        <v>45387</v>
      </c>
      <c r="C12528" s="16">
        <f>IFERROR(__xludf.DUMMYFUNCTION("""COMPUTED_VALUE"""),1.0)</f>
        <v>1</v>
      </c>
      <c r="D12528" s="8">
        <f>IFERROR(__xludf.DUMMYFUNCTION("""COMPUTED_VALUE"""),0.583)</f>
        <v>0.583</v>
      </c>
      <c r="E12528" s="8" t="str">
        <f>IFERROR(__xludf.DUMMYFUNCTION("""COMPUTED_VALUE"""),"Real")</f>
        <v>Real</v>
      </c>
      <c r="G12528" s="8">
        <f t="shared" si="1"/>
        <v>4</v>
      </c>
      <c r="H12528" s="14">
        <f t="shared" si="2"/>
        <v>5</v>
      </c>
      <c r="I12528" s="15">
        <f t="shared" si="3"/>
        <v>0</v>
      </c>
    </row>
    <row r="12529">
      <c r="A12529" s="8" t="str">
        <f>IFERROR(__xludf.DUMMYFUNCTION("IF('(INGESTA)Datos_consumo_datadis'!A12529&lt;&gt;"""",SPLIT('(INGESTA)Datos_consumo_datadis'!A:A,"",""),"""")"),"ES0031408323131005HX0F")</f>
        <v>ES0031408323131005HX0F</v>
      </c>
      <c r="B12529" s="12">
        <f>IFERROR(__xludf.DUMMYFUNCTION("""COMPUTED_VALUE"""),45388.0)</f>
        <v>45388</v>
      </c>
      <c r="C12529" s="13">
        <f>IFERROR(__xludf.DUMMYFUNCTION("""COMPUTED_VALUE"""),0.041666666666666664)</f>
        <v>0.04166666667</v>
      </c>
      <c r="D12529" s="8">
        <f>IFERROR(__xludf.DUMMYFUNCTION("""COMPUTED_VALUE"""),0.086)</f>
        <v>0.086</v>
      </c>
      <c r="E12529" s="8" t="str">
        <f>IFERROR(__xludf.DUMMYFUNCTION("""COMPUTED_VALUE"""),"Real")</f>
        <v>Real</v>
      </c>
      <c r="G12529" s="8">
        <f t="shared" si="1"/>
        <v>4</v>
      </c>
      <c r="H12529" s="14">
        <f t="shared" si="2"/>
        <v>6</v>
      </c>
      <c r="I12529" s="15">
        <f t="shared" si="3"/>
        <v>1</v>
      </c>
    </row>
    <row r="12530">
      <c r="A12530" s="8" t="str">
        <f>IFERROR(__xludf.DUMMYFUNCTION("IF('(INGESTA)Datos_consumo_datadis'!A12530&lt;&gt;"""",SPLIT('(INGESTA)Datos_consumo_datadis'!A:A,"",""),"""")"),"ES0031408323131005HX0F")</f>
        <v>ES0031408323131005HX0F</v>
      </c>
      <c r="B12530" s="12">
        <f>IFERROR(__xludf.DUMMYFUNCTION("""COMPUTED_VALUE"""),45388.0)</f>
        <v>45388</v>
      </c>
      <c r="C12530" s="13">
        <f>IFERROR(__xludf.DUMMYFUNCTION("""COMPUTED_VALUE"""),0.08333333333333333)</f>
        <v>0.08333333333</v>
      </c>
      <c r="D12530" s="8">
        <f>IFERROR(__xludf.DUMMYFUNCTION("""COMPUTED_VALUE"""),0.079)</f>
        <v>0.079</v>
      </c>
      <c r="E12530" s="8" t="str">
        <f>IFERROR(__xludf.DUMMYFUNCTION("""COMPUTED_VALUE"""),"Real")</f>
        <v>Real</v>
      </c>
      <c r="G12530" s="8">
        <f t="shared" si="1"/>
        <v>4</v>
      </c>
      <c r="H12530" s="14">
        <f t="shared" si="2"/>
        <v>6</v>
      </c>
      <c r="I12530" s="15">
        <f t="shared" si="3"/>
        <v>2</v>
      </c>
    </row>
    <row r="12531">
      <c r="A12531" s="8" t="str">
        <f>IFERROR(__xludf.DUMMYFUNCTION("IF('(INGESTA)Datos_consumo_datadis'!A12531&lt;&gt;"""",SPLIT('(INGESTA)Datos_consumo_datadis'!A:A,"",""),"""")"),"ES0031408323131005HX0F")</f>
        <v>ES0031408323131005HX0F</v>
      </c>
      <c r="B12531" s="12">
        <f>IFERROR(__xludf.DUMMYFUNCTION("""COMPUTED_VALUE"""),45388.0)</f>
        <v>45388</v>
      </c>
      <c r="C12531" s="13">
        <f>IFERROR(__xludf.DUMMYFUNCTION("""COMPUTED_VALUE"""),0.125)</f>
        <v>0.125</v>
      </c>
      <c r="D12531" s="8">
        <f>IFERROR(__xludf.DUMMYFUNCTION("""COMPUTED_VALUE"""),0.042)</f>
        <v>0.042</v>
      </c>
      <c r="E12531" s="8" t="str">
        <f>IFERROR(__xludf.DUMMYFUNCTION("""COMPUTED_VALUE"""),"Real")</f>
        <v>Real</v>
      </c>
      <c r="G12531" s="8">
        <f t="shared" si="1"/>
        <v>4</v>
      </c>
      <c r="H12531" s="14">
        <f t="shared" si="2"/>
        <v>6</v>
      </c>
      <c r="I12531" s="15">
        <f t="shared" si="3"/>
        <v>3</v>
      </c>
    </row>
    <row r="12532">
      <c r="A12532" s="8" t="str">
        <f>IFERROR(__xludf.DUMMYFUNCTION("IF('(INGESTA)Datos_consumo_datadis'!A12532&lt;&gt;"""",SPLIT('(INGESTA)Datos_consumo_datadis'!A:A,"",""),"""")"),"ES0031408323131005HX0F")</f>
        <v>ES0031408323131005HX0F</v>
      </c>
      <c r="B12532" s="12">
        <f>IFERROR(__xludf.DUMMYFUNCTION("""COMPUTED_VALUE"""),45388.0)</f>
        <v>45388</v>
      </c>
      <c r="C12532" s="13">
        <f>IFERROR(__xludf.DUMMYFUNCTION("""COMPUTED_VALUE"""),0.16666666666666666)</f>
        <v>0.1666666667</v>
      </c>
      <c r="D12532" s="8">
        <f>IFERROR(__xludf.DUMMYFUNCTION("""COMPUTED_VALUE"""),0.066)</f>
        <v>0.066</v>
      </c>
      <c r="E12532" s="8" t="str">
        <f>IFERROR(__xludf.DUMMYFUNCTION("""COMPUTED_VALUE"""),"Real")</f>
        <v>Real</v>
      </c>
      <c r="G12532" s="8">
        <f t="shared" si="1"/>
        <v>4</v>
      </c>
      <c r="H12532" s="14">
        <f t="shared" si="2"/>
        <v>6</v>
      </c>
      <c r="I12532" s="15">
        <f t="shared" si="3"/>
        <v>4</v>
      </c>
    </row>
    <row r="12533">
      <c r="A12533" s="8" t="str">
        <f>IFERROR(__xludf.DUMMYFUNCTION("IF('(INGESTA)Datos_consumo_datadis'!A12533&lt;&gt;"""",SPLIT('(INGESTA)Datos_consumo_datadis'!A:A,"",""),"""")"),"ES0031408323131005HX0F")</f>
        <v>ES0031408323131005HX0F</v>
      </c>
      <c r="B12533" s="12">
        <f>IFERROR(__xludf.DUMMYFUNCTION("""COMPUTED_VALUE"""),45388.0)</f>
        <v>45388</v>
      </c>
      <c r="C12533" s="13">
        <f>IFERROR(__xludf.DUMMYFUNCTION("""COMPUTED_VALUE"""),0.20833333333333334)</f>
        <v>0.2083333333</v>
      </c>
      <c r="D12533" s="8">
        <f>IFERROR(__xludf.DUMMYFUNCTION("""COMPUTED_VALUE"""),0.049)</f>
        <v>0.049</v>
      </c>
      <c r="E12533" s="8" t="str">
        <f>IFERROR(__xludf.DUMMYFUNCTION("""COMPUTED_VALUE"""),"Real")</f>
        <v>Real</v>
      </c>
      <c r="G12533" s="8">
        <f t="shared" si="1"/>
        <v>4</v>
      </c>
      <c r="H12533" s="14">
        <f t="shared" si="2"/>
        <v>6</v>
      </c>
      <c r="I12533" s="15">
        <f t="shared" si="3"/>
        <v>5</v>
      </c>
    </row>
    <row r="12534">
      <c r="A12534" s="8" t="str">
        <f>IFERROR(__xludf.DUMMYFUNCTION("IF('(INGESTA)Datos_consumo_datadis'!A12534&lt;&gt;"""",SPLIT('(INGESTA)Datos_consumo_datadis'!A:A,"",""),"""")"),"ES0031408323131005HX0F")</f>
        <v>ES0031408323131005HX0F</v>
      </c>
      <c r="B12534" s="12">
        <f>IFERROR(__xludf.DUMMYFUNCTION("""COMPUTED_VALUE"""),45388.0)</f>
        <v>45388</v>
      </c>
      <c r="C12534" s="13">
        <f>IFERROR(__xludf.DUMMYFUNCTION("""COMPUTED_VALUE"""),0.25)</f>
        <v>0.25</v>
      </c>
      <c r="D12534" s="8">
        <f>IFERROR(__xludf.DUMMYFUNCTION("""COMPUTED_VALUE"""),0.312)</f>
        <v>0.312</v>
      </c>
      <c r="E12534" s="8" t="str">
        <f>IFERROR(__xludf.DUMMYFUNCTION("""COMPUTED_VALUE"""),"Real")</f>
        <v>Real</v>
      </c>
      <c r="G12534" s="8">
        <f t="shared" si="1"/>
        <v>4</v>
      </c>
      <c r="H12534" s="14">
        <f t="shared" si="2"/>
        <v>6</v>
      </c>
      <c r="I12534" s="15">
        <f t="shared" si="3"/>
        <v>6</v>
      </c>
    </row>
    <row r="12535">
      <c r="A12535" s="8" t="str">
        <f>IFERROR(__xludf.DUMMYFUNCTION("IF('(INGESTA)Datos_consumo_datadis'!A12535&lt;&gt;"""",SPLIT('(INGESTA)Datos_consumo_datadis'!A:A,"",""),"""")"),"ES0031408323131005HX0F")</f>
        <v>ES0031408323131005HX0F</v>
      </c>
      <c r="B12535" s="12">
        <f>IFERROR(__xludf.DUMMYFUNCTION("""COMPUTED_VALUE"""),45388.0)</f>
        <v>45388</v>
      </c>
      <c r="C12535" s="13">
        <f>IFERROR(__xludf.DUMMYFUNCTION("""COMPUTED_VALUE"""),0.2916666666666667)</f>
        <v>0.2916666667</v>
      </c>
      <c r="D12535" s="8">
        <f>IFERROR(__xludf.DUMMYFUNCTION("""COMPUTED_VALUE"""),0.058)</f>
        <v>0.058</v>
      </c>
      <c r="E12535" s="8" t="str">
        <f>IFERROR(__xludf.DUMMYFUNCTION("""COMPUTED_VALUE"""),"Real")</f>
        <v>Real</v>
      </c>
      <c r="G12535" s="8">
        <f t="shared" si="1"/>
        <v>4</v>
      </c>
      <c r="H12535" s="14">
        <f t="shared" si="2"/>
        <v>6</v>
      </c>
      <c r="I12535" s="15">
        <f t="shared" si="3"/>
        <v>7</v>
      </c>
    </row>
    <row r="12536">
      <c r="A12536" s="8" t="str">
        <f>IFERROR(__xludf.DUMMYFUNCTION("IF('(INGESTA)Datos_consumo_datadis'!A12536&lt;&gt;"""",SPLIT('(INGESTA)Datos_consumo_datadis'!A:A,"",""),"""")"),"ES0031408323131005HX0F")</f>
        <v>ES0031408323131005HX0F</v>
      </c>
      <c r="B12536" s="12">
        <f>IFERROR(__xludf.DUMMYFUNCTION("""COMPUTED_VALUE"""),45388.0)</f>
        <v>45388</v>
      </c>
      <c r="C12536" s="13">
        <f>IFERROR(__xludf.DUMMYFUNCTION("""COMPUTED_VALUE"""),0.3333333333333333)</f>
        <v>0.3333333333</v>
      </c>
      <c r="D12536" s="8">
        <f>IFERROR(__xludf.DUMMYFUNCTION("""COMPUTED_VALUE"""),0.061)</f>
        <v>0.061</v>
      </c>
      <c r="E12536" s="8" t="str">
        <f>IFERROR(__xludf.DUMMYFUNCTION("""COMPUTED_VALUE"""),"Real")</f>
        <v>Real</v>
      </c>
      <c r="G12536" s="8">
        <f t="shared" si="1"/>
        <v>4</v>
      </c>
      <c r="H12536" s="14">
        <f t="shared" si="2"/>
        <v>6</v>
      </c>
      <c r="I12536" s="15">
        <f t="shared" si="3"/>
        <v>8</v>
      </c>
    </row>
    <row r="12537">
      <c r="A12537" s="8" t="str">
        <f>IFERROR(__xludf.DUMMYFUNCTION("IF('(INGESTA)Datos_consumo_datadis'!A12537&lt;&gt;"""",SPLIT('(INGESTA)Datos_consumo_datadis'!A:A,"",""),"""")"),"ES0031408323131005HX0F")</f>
        <v>ES0031408323131005HX0F</v>
      </c>
      <c r="B12537" s="12">
        <f>IFERROR(__xludf.DUMMYFUNCTION("""COMPUTED_VALUE"""),45388.0)</f>
        <v>45388</v>
      </c>
      <c r="C12537" s="13">
        <f>IFERROR(__xludf.DUMMYFUNCTION("""COMPUTED_VALUE"""),0.375)</f>
        <v>0.375</v>
      </c>
      <c r="D12537" s="8">
        <f>IFERROR(__xludf.DUMMYFUNCTION("""COMPUTED_VALUE"""),0.052)</f>
        <v>0.052</v>
      </c>
      <c r="E12537" s="8" t="str">
        <f>IFERROR(__xludf.DUMMYFUNCTION("""COMPUTED_VALUE"""),"Real")</f>
        <v>Real</v>
      </c>
      <c r="G12537" s="8">
        <f t="shared" si="1"/>
        <v>4</v>
      </c>
      <c r="H12537" s="14">
        <f t="shared" si="2"/>
        <v>6</v>
      </c>
      <c r="I12537" s="15">
        <f t="shared" si="3"/>
        <v>9</v>
      </c>
    </row>
    <row r="12538">
      <c r="A12538" s="8" t="str">
        <f>IFERROR(__xludf.DUMMYFUNCTION("IF('(INGESTA)Datos_consumo_datadis'!A12538&lt;&gt;"""",SPLIT('(INGESTA)Datos_consumo_datadis'!A:A,"",""),"""")"),"ES0031408323131005HX0F")</f>
        <v>ES0031408323131005HX0F</v>
      </c>
      <c r="B12538" s="12">
        <f>IFERROR(__xludf.DUMMYFUNCTION("""COMPUTED_VALUE"""),45388.0)</f>
        <v>45388</v>
      </c>
      <c r="C12538" s="13">
        <f>IFERROR(__xludf.DUMMYFUNCTION("""COMPUTED_VALUE"""),0.4166666666666667)</f>
        <v>0.4166666667</v>
      </c>
      <c r="D12538" s="8">
        <f>IFERROR(__xludf.DUMMYFUNCTION("""COMPUTED_VALUE"""),0.062)</f>
        <v>0.062</v>
      </c>
      <c r="E12538" s="8" t="str">
        <f>IFERROR(__xludf.DUMMYFUNCTION("""COMPUTED_VALUE"""),"Real")</f>
        <v>Real</v>
      </c>
      <c r="G12538" s="8">
        <f t="shared" si="1"/>
        <v>4</v>
      </c>
      <c r="H12538" s="14">
        <f t="shared" si="2"/>
        <v>6</v>
      </c>
      <c r="I12538" s="15">
        <f t="shared" si="3"/>
        <v>10</v>
      </c>
    </row>
    <row r="12539">
      <c r="A12539" s="8" t="str">
        <f>IFERROR(__xludf.DUMMYFUNCTION("IF('(INGESTA)Datos_consumo_datadis'!A12539&lt;&gt;"""",SPLIT('(INGESTA)Datos_consumo_datadis'!A:A,"",""),"""")"),"ES0031408323131005HX0F")</f>
        <v>ES0031408323131005HX0F</v>
      </c>
      <c r="B12539" s="12">
        <f>IFERROR(__xludf.DUMMYFUNCTION("""COMPUTED_VALUE"""),45388.0)</f>
        <v>45388</v>
      </c>
      <c r="C12539" s="13">
        <f>IFERROR(__xludf.DUMMYFUNCTION("""COMPUTED_VALUE"""),0.4583333333333333)</f>
        <v>0.4583333333</v>
      </c>
      <c r="D12539" s="8">
        <f>IFERROR(__xludf.DUMMYFUNCTION("""COMPUTED_VALUE"""),0.712)</f>
        <v>0.712</v>
      </c>
      <c r="E12539" s="8" t="str">
        <f>IFERROR(__xludf.DUMMYFUNCTION("""COMPUTED_VALUE"""),"Real")</f>
        <v>Real</v>
      </c>
      <c r="G12539" s="8">
        <f t="shared" si="1"/>
        <v>4</v>
      </c>
      <c r="H12539" s="14">
        <f t="shared" si="2"/>
        <v>6</v>
      </c>
      <c r="I12539" s="15">
        <f t="shared" si="3"/>
        <v>11</v>
      </c>
    </row>
    <row r="12540">
      <c r="A12540" s="8" t="str">
        <f>IFERROR(__xludf.DUMMYFUNCTION("IF('(INGESTA)Datos_consumo_datadis'!A12540&lt;&gt;"""",SPLIT('(INGESTA)Datos_consumo_datadis'!A:A,"",""),"""")"),"ES0031408323131005HX0F")</f>
        <v>ES0031408323131005HX0F</v>
      </c>
      <c r="B12540" s="12">
        <f>IFERROR(__xludf.DUMMYFUNCTION("""COMPUTED_VALUE"""),45388.0)</f>
        <v>45388</v>
      </c>
      <c r="C12540" s="13">
        <f>IFERROR(__xludf.DUMMYFUNCTION("""COMPUTED_VALUE"""),0.5)</f>
        <v>0.5</v>
      </c>
      <c r="D12540" s="8">
        <f>IFERROR(__xludf.DUMMYFUNCTION("""COMPUTED_VALUE"""),0.491)</f>
        <v>0.491</v>
      </c>
      <c r="E12540" s="8" t="str">
        <f>IFERROR(__xludf.DUMMYFUNCTION("""COMPUTED_VALUE"""),"Real")</f>
        <v>Real</v>
      </c>
      <c r="G12540" s="8">
        <f t="shared" si="1"/>
        <v>4</v>
      </c>
      <c r="H12540" s="14">
        <f t="shared" si="2"/>
        <v>6</v>
      </c>
      <c r="I12540" s="15">
        <f t="shared" si="3"/>
        <v>12</v>
      </c>
    </row>
    <row r="12541">
      <c r="A12541" s="8" t="str">
        <f>IFERROR(__xludf.DUMMYFUNCTION("IF('(INGESTA)Datos_consumo_datadis'!A12541&lt;&gt;"""",SPLIT('(INGESTA)Datos_consumo_datadis'!A:A,"",""),"""")"),"ES0031408323131005HX0F")</f>
        <v>ES0031408323131005HX0F</v>
      </c>
      <c r="B12541" s="12">
        <f>IFERROR(__xludf.DUMMYFUNCTION("""COMPUTED_VALUE"""),45388.0)</f>
        <v>45388</v>
      </c>
      <c r="C12541" s="13">
        <f>IFERROR(__xludf.DUMMYFUNCTION("""COMPUTED_VALUE"""),0.5416666666666666)</f>
        <v>0.5416666667</v>
      </c>
      <c r="D12541" s="8">
        <f>IFERROR(__xludf.DUMMYFUNCTION("""COMPUTED_VALUE"""),0.127)</f>
        <v>0.127</v>
      </c>
      <c r="E12541" s="8" t="str">
        <f>IFERROR(__xludf.DUMMYFUNCTION("""COMPUTED_VALUE"""),"Real")</f>
        <v>Real</v>
      </c>
      <c r="G12541" s="8">
        <f t="shared" si="1"/>
        <v>4</v>
      </c>
      <c r="H12541" s="14">
        <f t="shared" si="2"/>
        <v>6</v>
      </c>
      <c r="I12541" s="15">
        <f t="shared" si="3"/>
        <v>13</v>
      </c>
    </row>
    <row r="12542">
      <c r="A12542" s="8" t="str">
        <f>IFERROR(__xludf.DUMMYFUNCTION("IF('(INGESTA)Datos_consumo_datadis'!A12542&lt;&gt;"""",SPLIT('(INGESTA)Datos_consumo_datadis'!A:A,"",""),"""")"),"ES0031408323131005HX0F")</f>
        <v>ES0031408323131005HX0F</v>
      </c>
      <c r="B12542" s="12">
        <f>IFERROR(__xludf.DUMMYFUNCTION("""COMPUTED_VALUE"""),45388.0)</f>
        <v>45388</v>
      </c>
      <c r="C12542" s="13">
        <f>IFERROR(__xludf.DUMMYFUNCTION("""COMPUTED_VALUE"""),0.5833333333333334)</f>
        <v>0.5833333333</v>
      </c>
      <c r="D12542" s="8">
        <f>IFERROR(__xludf.DUMMYFUNCTION("""COMPUTED_VALUE"""),0.362)</f>
        <v>0.362</v>
      </c>
      <c r="E12542" s="8" t="str">
        <f>IFERROR(__xludf.DUMMYFUNCTION("""COMPUTED_VALUE"""),"Real")</f>
        <v>Real</v>
      </c>
      <c r="G12542" s="8">
        <f t="shared" si="1"/>
        <v>4</v>
      </c>
      <c r="H12542" s="14">
        <f t="shared" si="2"/>
        <v>6</v>
      </c>
      <c r="I12542" s="15">
        <f t="shared" si="3"/>
        <v>14</v>
      </c>
    </row>
    <row r="12543">
      <c r="A12543" s="8" t="str">
        <f>IFERROR(__xludf.DUMMYFUNCTION("IF('(INGESTA)Datos_consumo_datadis'!A12543&lt;&gt;"""",SPLIT('(INGESTA)Datos_consumo_datadis'!A:A,"",""),"""")"),"ES0031408323131005HX0F")</f>
        <v>ES0031408323131005HX0F</v>
      </c>
      <c r="B12543" s="12">
        <f>IFERROR(__xludf.DUMMYFUNCTION("""COMPUTED_VALUE"""),45388.0)</f>
        <v>45388</v>
      </c>
      <c r="C12543" s="13">
        <f>IFERROR(__xludf.DUMMYFUNCTION("""COMPUTED_VALUE"""),0.625)</f>
        <v>0.625</v>
      </c>
      <c r="D12543" s="8">
        <f>IFERROR(__xludf.DUMMYFUNCTION("""COMPUTED_VALUE"""),0.089)</f>
        <v>0.089</v>
      </c>
      <c r="E12543" s="8" t="str">
        <f>IFERROR(__xludf.DUMMYFUNCTION("""COMPUTED_VALUE"""),"Real")</f>
        <v>Real</v>
      </c>
      <c r="G12543" s="8">
        <f t="shared" si="1"/>
        <v>4</v>
      </c>
      <c r="H12543" s="14">
        <f t="shared" si="2"/>
        <v>6</v>
      </c>
      <c r="I12543" s="15">
        <f t="shared" si="3"/>
        <v>15</v>
      </c>
    </row>
    <row r="12544">
      <c r="A12544" s="8" t="str">
        <f>IFERROR(__xludf.DUMMYFUNCTION("IF('(INGESTA)Datos_consumo_datadis'!A12544&lt;&gt;"""",SPLIT('(INGESTA)Datos_consumo_datadis'!A:A,"",""),"""")"),"ES0031408323131005HX0F")</f>
        <v>ES0031408323131005HX0F</v>
      </c>
      <c r="B12544" s="12">
        <f>IFERROR(__xludf.DUMMYFUNCTION("""COMPUTED_VALUE"""),45388.0)</f>
        <v>45388</v>
      </c>
      <c r="C12544" s="13">
        <f>IFERROR(__xludf.DUMMYFUNCTION("""COMPUTED_VALUE"""),0.6666666666666666)</f>
        <v>0.6666666667</v>
      </c>
      <c r="D12544" s="8">
        <f>IFERROR(__xludf.DUMMYFUNCTION("""COMPUTED_VALUE"""),0.404)</f>
        <v>0.404</v>
      </c>
      <c r="E12544" s="8" t="str">
        <f>IFERROR(__xludf.DUMMYFUNCTION("""COMPUTED_VALUE"""),"Real")</f>
        <v>Real</v>
      </c>
      <c r="G12544" s="8">
        <f t="shared" si="1"/>
        <v>4</v>
      </c>
      <c r="H12544" s="14">
        <f t="shared" si="2"/>
        <v>6</v>
      </c>
      <c r="I12544" s="15">
        <f t="shared" si="3"/>
        <v>16</v>
      </c>
    </row>
    <row r="12545">
      <c r="A12545" s="8" t="str">
        <f>IFERROR(__xludf.DUMMYFUNCTION("IF('(INGESTA)Datos_consumo_datadis'!A12545&lt;&gt;"""",SPLIT('(INGESTA)Datos_consumo_datadis'!A:A,"",""),"""")"),"ES0031408323131005HX0F")</f>
        <v>ES0031408323131005HX0F</v>
      </c>
      <c r="B12545" s="12">
        <f>IFERROR(__xludf.DUMMYFUNCTION("""COMPUTED_VALUE"""),45388.0)</f>
        <v>45388</v>
      </c>
      <c r="C12545" s="13">
        <f>IFERROR(__xludf.DUMMYFUNCTION("""COMPUTED_VALUE"""),0.7083333333333334)</f>
        <v>0.7083333333</v>
      </c>
      <c r="D12545" s="8">
        <f>IFERROR(__xludf.DUMMYFUNCTION("""COMPUTED_VALUE"""),0.28)</f>
        <v>0.28</v>
      </c>
      <c r="E12545" s="8" t="str">
        <f>IFERROR(__xludf.DUMMYFUNCTION("""COMPUTED_VALUE"""),"Real")</f>
        <v>Real</v>
      </c>
      <c r="G12545" s="8">
        <f t="shared" si="1"/>
        <v>4</v>
      </c>
      <c r="H12545" s="14">
        <f t="shared" si="2"/>
        <v>6</v>
      </c>
      <c r="I12545" s="15">
        <f t="shared" si="3"/>
        <v>17</v>
      </c>
    </row>
    <row r="12546">
      <c r="A12546" s="8" t="str">
        <f>IFERROR(__xludf.DUMMYFUNCTION("IF('(INGESTA)Datos_consumo_datadis'!A12546&lt;&gt;"""",SPLIT('(INGESTA)Datos_consumo_datadis'!A:A,"",""),"""")"),"ES0031408323131005HX0F")</f>
        <v>ES0031408323131005HX0F</v>
      </c>
      <c r="B12546" s="12">
        <f>IFERROR(__xludf.DUMMYFUNCTION("""COMPUTED_VALUE"""),45388.0)</f>
        <v>45388</v>
      </c>
      <c r="C12546" s="13">
        <f>IFERROR(__xludf.DUMMYFUNCTION("""COMPUTED_VALUE"""),0.75)</f>
        <v>0.75</v>
      </c>
      <c r="D12546" s="8">
        <f>IFERROR(__xludf.DUMMYFUNCTION("""COMPUTED_VALUE"""),0.088)</f>
        <v>0.088</v>
      </c>
      <c r="E12546" s="8" t="str">
        <f>IFERROR(__xludf.DUMMYFUNCTION("""COMPUTED_VALUE"""),"Real")</f>
        <v>Real</v>
      </c>
      <c r="G12546" s="8">
        <f t="shared" si="1"/>
        <v>4</v>
      </c>
      <c r="H12546" s="14">
        <f t="shared" si="2"/>
        <v>6</v>
      </c>
      <c r="I12546" s="15">
        <f t="shared" si="3"/>
        <v>18</v>
      </c>
    </row>
    <row r="12547">
      <c r="A12547" s="8" t="str">
        <f>IFERROR(__xludf.DUMMYFUNCTION("IF('(INGESTA)Datos_consumo_datadis'!A12547&lt;&gt;"""",SPLIT('(INGESTA)Datos_consumo_datadis'!A:A,"",""),"""")"),"ES0031408323131005HX0F")</f>
        <v>ES0031408323131005HX0F</v>
      </c>
      <c r="B12547" s="12">
        <f>IFERROR(__xludf.DUMMYFUNCTION("""COMPUTED_VALUE"""),45388.0)</f>
        <v>45388</v>
      </c>
      <c r="C12547" s="13">
        <f>IFERROR(__xludf.DUMMYFUNCTION("""COMPUTED_VALUE"""),0.7916666666666666)</f>
        <v>0.7916666667</v>
      </c>
      <c r="D12547" s="8">
        <f>IFERROR(__xludf.DUMMYFUNCTION("""COMPUTED_VALUE"""),0.306)</f>
        <v>0.306</v>
      </c>
      <c r="E12547" s="8" t="str">
        <f>IFERROR(__xludf.DUMMYFUNCTION("""COMPUTED_VALUE"""),"Real")</f>
        <v>Real</v>
      </c>
      <c r="G12547" s="8">
        <f t="shared" si="1"/>
        <v>4</v>
      </c>
      <c r="H12547" s="14">
        <f t="shared" si="2"/>
        <v>6</v>
      </c>
      <c r="I12547" s="15">
        <f t="shared" si="3"/>
        <v>19</v>
      </c>
    </row>
    <row r="12548">
      <c r="A12548" s="8" t="str">
        <f>IFERROR(__xludf.DUMMYFUNCTION("IF('(INGESTA)Datos_consumo_datadis'!A12548&lt;&gt;"""",SPLIT('(INGESTA)Datos_consumo_datadis'!A:A,"",""),"""")"),"ES0031408323131005HX0F")</f>
        <v>ES0031408323131005HX0F</v>
      </c>
      <c r="B12548" s="12">
        <f>IFERROR(__xludf.DUMMYFUNCTION("""COMPUTED_VALUE"""),45388.0)</f>
        <v>45388</v>
      </c>
      <c r="C12548" s="13">
        <f>IFERROR(__xludf.DUMMYFUNCTION("""COMPUTED_VALUE"""),0.8333333333333334)</f>
        <v>0.8333333333</v>
      </c>
      <c r="D12548" s="8">
        <f>IFERROR(__xludf.DUMMYFUNCTION("""COMPUTED_VALUE"""),0.069)</f>
        <v>0.069</v>
      </c>
      <c r="E12548" s="8" t="str">
        <f>IFERROR(__xludf.DUMMYFUNCTION("""COMPUTED_VALUE"""),"Real")</f>
        <v>Real</v>
      </c>
      <c r="G12548" s="8">
        <f t="shared" si="1"/>
        <v>4</v>
      </c>
      <c r="H12548" s="14">
        <f t="shared" si="2"/>
        <v>6</v>
      </c>
      <c r="I12548" s="15">
        <f t="shared" si="3"/>
        <v>20</v>
      </c>
    </row>
    <row r="12549">
      <c r="A12549" s="8" t="str">
        <f>IFERROR(__xludf.DUMMYFUNCTION("IF('(INGESTA)Datos_consumo_datadis'!A12549&lt;&gt;"""",SPLIT('(INGESTA)Datos_consumo_datadis'!A:A,"",""),"""")"),"ES0031408323131005HX0F")</f>
        <v>ES0031408323131005HX0F</v>
      </c>
      <c r="B12549" s="12">
        <f>IFERROR(__xludf.DUMMYFUNCTION("""COMPUTED_VALUE"""),45388.0)</f>
        <v>45388</v>
      </c>
      <c r="C12549" s="13">
        <f>IFERROR(__xludf.DUMMYFUNCTION("""COMPUTED_VALUE"""),0.875)</f>
        <v>0.875</v>
      </c>
      <c r="D12549" s="8">
        <f>IFERROR(__xludf.DUMMYFUNCTION("""COMPUTED_VALUE"""),0.628)</f>
        <v>0.628</v>
      </c>
      <c r="E12549" s="8" t="str">
        <f>IFERROR(__xludf.DUMMYFUNCTION("""COMPUTED_VALUE"""),"Real")</f>
        <v>Real</v>
      </c>
      <c r="G12549" s="8">
        <f t="shared" si="1"/>
        <v>4</v>
      </c>
      <c r="H12549" s="14">
        <f t="shared" si="2"/>
        <v>6</v>
      </c>
      <c r="I12549" s="15">
        <f t="shared" si="3"/>
        <v>21</v>
      </c>
    </row>
    <row r="12550">
      <c r="A12550" s="8" t="str">
        <f>IFERROR(__xludf.DUMMYFUNCTION("IF('(INGESTA)Datos_consumo_datadis'!A12550&lt;&gt;"""",SPLIT('(INGESTA)Datos_consumo_datadis'!A:A,"",""),"""")"),"ES0031408323131005HX0F")</f>
        <v>ES0031408323131005HX0F</v>
      </c>
      <c r="B12550" s="12">
        <f>IFERROR(__xludf.DUMMYFUNCTION("""COMPUTED_VALUE"""),45388.0)</f>
        <v>45388</v>
      </c>
      <c r="C12550" s="13">
        <f>IFERROR(__xludf.DUMMYFUNCTION("""COMPUTED_VALUE"""),0.9166666666666666)</f>
        <v>0.9166666667</v>
      </c>
      <c r="D12550" s="8">
        <f>IFERROR(__xludf.DUMMYFUNCTION("""COMPUTED_VALUE"""),0.549)</f>
        <v>0.549</v>
      </c>
      <c r="E12550" s="8" t="str">
        <f>IFERROR(__xludf.DUMMYFUNCTION("""COMPUTED_VALUE"""),"Real")</f>
        <v>Real</v>
      </c>
      <c r="G12550" s="8">
        <f t="shared" si="1"/>
        <v>4</v>
      </c>
      <c r="H12550" s="14">
        <f t="shared" si="2"/>
        <v>6</v>
      </c>
      <c r="I12550" s="15">
        <f t="shared" si="3"/>
        <v>22</v>
      </c>
    </row>
    <row r="12551">
      <c r="A12551" s="8" t="str">
        <f>IFERROR(__xludf.DUMMYFUNCTION("IF('(INGESTA)Datos_consumo_datadis'!A12551&lt;&gt;"""",SPLIT('(INGESTA)Datos_consumo_datadis'!A:A,"",""),"""")"),"ES0031408323131005HX0F")</f>
        <v>ES0031408323131005HX0F</v>
      </c>
      <c r="B12551" s="12">
        <f>IFERROR(__xludf.DUMMYFUNCTION("""COMPUTED_VALUE"""),45388.0)</f>
        <v>45388</v>
      </c>
      <c r="C12551" s="13">
        <f>IFERROR(__xludf.DUMMYFUNCTION("""COMPUTED_VALUE"""),0.9583333333333334)</f>
        <v>0.9583333333</v>
      </c>
      <c r="D12551" s="8">
        <f>IFERROR(__xludf.DUMMYFUNCTION("""COMPUTED_VALUE"""),0.841)</f>
        <v>0.841</v>
      </c>
      <c r="E12551" s="8" t="str">
        <f>IFERROR(__xludf.DUMMYFUNCTION("""COMPUTED_VALUE"""),"Real")</f>
        <v>Real</v>
      </c>
      <c r="G12551" s="8">
        <f t="shared" si="1"/>
        <v>4</v>
      </c>
      <c r="H12551" s="14">
        <f t="shared" si="2"/>
        <v>6</v>
      </c>
      <c r="I12551" s="15">
        <f t="shared" si="3"/>
        <v>23</v>
      </c>
    </row>
    <row r="12552">
      <c r="A12552" s="8" t="str">
        <f>IFERROR(__xludf.DUMMYFUNCTION("IF('(INGESTA)Datos_consumo_datadis'!A12552&lt;&gt;"""",SPLIT('(INGESTA)Datos_consumo_datadis'!A:A,"",""),"""")"),"ES0031408323131005HX0F")</f>
        <v>ES0031408323131005HX0F</v>
      </c>
      <c r="B12552" s="12">
        <f>IFERROR(__xludf.DUMMYFUNCTION("""COMPUTED_VALUE"""),45388.0)</f>
        <v>45388</v>
      </c>
      <c r="C12552" s="16">
        <f>IFERROR(__xludf.DUMMYFUNCTION("""COMPUTED_VALUE"""),1.0)</f>
        <v>1</v>
      </c>
      <c r="D12552" s="8">
        <f>IFERROR(__xludf.DUMMYFUNCTION("""COMPUTED_VALUE"""),2.315)</f>
        <v>2.315</v>
      </c>
      <c r="E12552" s="8" t="str">
        <f>IFERROR(__xludf.DUMMYFUNCTION("""COMPUTED_VALUE"""),"Real")</f>
        <v>Real</v>
      </c>
      <c r="G12552" s="8">
        <f t="shared" si="1"/>
        <v>4</v>
      </c>
      <c r="H12552" s="14">
        <f t="shared" si="2"/>
        <v>6</v>
      </c>
      <c r="I12552" s="15">
        <f t="shared" si="3"/>
        <v>0</v>
      </c>
    </row>
    <row r="12553">
      <c r="A12553" s="8" t="str">
        <f>IFERROR(__xludf.DUMMYFUNCTION("IF('(INGESTA)Datos_consumo_datadis'!A12553&lt;&gt;"""",SPLIT('(INGESTA)Datos_consumo_datadis'!A:A,"",""),"""")"),"ES0031408323131005HX0F")</f>
        <v>ES0031408323131005HX0F</v>
      </c>
      <c r="B12553" s="12">
        <f>IFERROR(__xludf.DUMMYFUNCTION("""COMPUTED_VALUE"""),45389.0)</f>
        <v>45389</v>
      </c>
      <c r="C12553" s="13">
        <f>IFERROR(__xludf.DUMMYFUNCTION("""COMPUTED_VALUE"""),0.041666666666666664)</f>
        <v>0.04166666667</v>
      </c>
      <c r="D12553" s="8">
        <f>IFERROR(__xludf.DUMMYFUNCTION("""COMPUTED_VALUE"""),0.087)</f>
        <v>0.087</v>
      </c>
      <c r="E12553" s="8" t="str">
        <f>IFERROR(__xludf.DUMMYFUNCTION("""COMPUTED_VALUE"""),"Real")</f>
        <v>Real</v>
      </c>
      <c r="G12553" s="8">
        <f t="shared" si="1"/>
        <v>4</v>
      </c>
      <c r="H12553" s="14">
        <f t="shared" si="2"/>
        <v>7</v>
      </c>
      <c r="I12553" s="15">
        <f t="shared" si="3"/>
        <v>1</v>
      </c>
    </row>
    <row r="12554">
      <c r="A12554" s="8" t="str">
        <f>IFERROR(__xludf.DUMMYFUNCTION("IF('(INGESTA)Datos_consumo_datadis'!A12554&lt;&gt;"""",SPLIT('(INGESTA)Datos_consumo_datadis'!A:A,"",""),"""")"),"ES0031408323131005HX0F")</f>
        <v>ES0031408323131005HX0F</v>
      </c>
      <c r="B12554" s="12">
        <f>IFERROR(__xludf.DUMMYFUNCTION("""COMPUTED_VALUE"""),45389.0)</f>
        <v>45389</v>
      </c>
      <c r="C12554" s="13">
        <f>IFERROR(__xludf.DUMMYFUNCTION("""COMPUTED_VALUE"""),0.08333333333333333)</f>
        <v>0.08333333333</v>
      </c>
      <c r="D12554" s="8">
        <f>IFERROR(__xludf.DUMMYFUNCTION("""COMPUTED_VALUE"""),0.064)</f>
        <v>0.064</v>
      </c>
      <c r="E12554" s="8" t="str">
        <f>IFERROR(__xludf.DUMMYFUNCTION("""COMPUTED_VALUE"""),"Real")</f>
        <v>Real</v>
      </c>
      <c r="G12554" s="8">
        <f t="shared" si="1"/>
        <v>4</v>
      </c>
      <c r="H12554" s="14">
        <f t="shared" si="2"/>
        <v>7</v>
      </c>
      <c r="I12554" s="15">
        <f t="shared" si="3"/>
        <v>2</v>
      </c>
    </row>
    <row r="12555">
      <c r="A12555" s="8" t="str">
        <f>IFERROR(__xludf.DUMMYFUNCTION("IF('(INGESTA)Datos_consumo_datadis'!A12555&lt;&gt;"""",SPLIT('(INGESTA)Datos_consumo_datadis'!A:A,"",""),"""")"),"ES0031408323131005HX0F")</f>
        <v>ES0031408323131005HX0F</v>
      </c>
      <c r="B12555" s="12">
        <f>IFERROR(__xludf.DUMMYFUNCTION("""COMPUTED_VALUE"""),45389.0)</f>
        <v>45389</v>
      </c>
      <c r="C12555" s="13">
        <f>IFERROR(__xludf.DUMMYFUNCTION("""COMPUTED_VALUE"""),0.125)</f>
        <v>0.125</v>
      </c>
      <c r="D12555" s="8">
        <f>IFERROR(__xludf.DUMMYFUNCTION("""COMPUTED_VALUE"""),0.07)</f>
        <v>0.07</v>
      </c>
      <c r="E12555" s="8" t="str">
        <f>IFERROR(__xludf.DUMMYFUNCTION("""COMPUTED_VALUE"""),"Real")</f>
        <v>Real</v>
      </c>
      <c r="G12555" s="8">
        <f t="shared" si="1"/>
        <v>4</v>
      </c>
      <c r="H12555" s="14">
        <f t="shared" si="2"/>
        <v>7</v>
      </c>
      <c r="I12555" s="15">
        <f t="shared" si="3"/>
        <v>3</v>
      </c>
    </row>
    <row r="12556">
      <c r="A12556" s="8" t="str">
        <f>IFERROR(__xludf.DUMMYFUNCTION("IF('(INGESTA)Datos_consumo_datadis'!A12556&lt;&gt;"""",SPLIT('(INGESTA)Datos_consumo_datadis'!A:A,"",""),"""")"),"ES0031408323131005HX0F")</f>
        <v>ES0031408323131005HX0F</v>
      </c>
      <c r="B12556" s="12">
        <f>IFERROR(__xludf.DUMMYFUNCTION("""COMPUTED_VALUE"""),45389.0)</f>
        <v>45389</v>
      </c>
      <c r="C12556" s="13">
        <f>IFERROR(__xludf.DUMMYFUNCTION("""COMPUTED_VALUE"""),0.16666666666666666)</f>
        <v>0.1666666667</v>
      </c>
      <c r="D12556" s="8">
        <f>IFERROR(__xludf.DUMMYFUNCTION("""COMPUTED_VALUE"""),0.058)</f>
        <v>0.058</v>
      </c>
      <c r="E12556" s="8" t="str">
        <f>IFERROR(__xludf.DUMMYFUNCTION("""COMPUTED_VALUE"""),"Real")</f>
        <v>Real</v>
      </c>
      <c r="G12556" s="8">
        <f t="shared" si="1"/>
        <v>4</v>
      </c>
      <c r="H12556" s="14">
        <f t="shared" si="2"/>
        <v>7</v>
      </c>
      <c r="I12556" s="15">
        <f t="shared" si="3"/>
        <v>4</v>
      </c>
    </row>
    <row r="12557">
      <c r="A12557" s="8" t="str">
        <f>IFERROR(__xludf.DUMMYFUNCTION("IF('(INGESTA)Datos_consumo_datadis'!A12557&lt;&gt;"""",SPLIT('(INGESTA)Datos_consumo_datadis'!A:A,"",""),"""")"),"ES0031408323131005HX0F")</f>
        <v>ES0031408323131005HX0F</v>
      </c>
      <c r="B12557" s="12">
        <f>IFERROR(__xludf.DUMMYFUNCTION("""COMPUTED_VALUE"""),45389.0)</f>
        <v>45389</v>
      </c>
      <c r="C12557" s="13">
        <f>IFERROR(__xludf.DUMMYFUNCTION("""COMPUTED_VALUE"""),0.20833333333333334)</f>
        <v>0.2083333333</v>
      </c>
      <c r="D12557" s="8">
        <f>IFERROR(__xludf.DUMMYFUNCTION("""COMPUTED_VALUE"""),0.323)</f>
        <v>0.323</v>
      </c>
      <c r="E12557" s="8" t="str">
        <f>IFERROR(__xludf.DUMMYFUNCTION("""COMPUTED_VALUE"""),"Real")</f>
        <v>Real</v>
      </c>
      <c r="G12557" s="8">
        <f t="shared" si="1"/>
        <v>4</v>
      </c>
      <c r="H12557" s="14">
        <f t="shared" si="2"/>
        <v>7</v>
      </c>
      <c r="I12557" s="15">
        <f t="shared" si="3"/>
        <v>5</v>
      </c>
    </row>
    <row r="12558">
      <c r="A12558" s="8" t="str">
        <f>IFERROR(__xludf.DUMMYFUNCTION("IF('(INGESTA)Datos_consumo_datadis'!A12558&lt;&gt;"""",SPLIT('(INGESTA)Datos_consumo_datadis'!A:A,"",""),"""")"),"ES0031408323131005HX0F")</f>
        <v>ES0031408323131005HX0F</v>
      </c>
      <c r="B12558" s="12">
        <f>IFERROR(__xludf.DUMMYFUNCTION("""COMPUTED_VALUE"""),45389.0)</f>
        <v>45389</v>
      </c>
      <c r="C12558" s="13">
        <f>IFERROR(__xludf.DUMMYFUNCTION("""COMPUTED_VALUE"""),0.25)</f>
        <v>0.25</v>
      </c>
      <c r="D12558" s="8">
        <f>IFERROR(__xludf.DUMMYFUNCTION("""COMPUTED_VALUE"""),0.057)</f>
        <v>0.057</v>
      </c>
      <c r="E12558" s="8" t="str">
        <f>IFERROR(__xludf.DUMMYFUNCTION("""COMPUTED_VALUE"""),"Real")</f>
        <v>Real</v>
      </c>
      <c r="G12558" s="8">
        <f t="shared" si="1"/>
        <v>4</v>
      </c>
      <c r="H12558" s="14">
        <f t="shared" si="2"/>
        <v>7</v>
      </c>
      <c r="I12558" s="15">
        <f t="shared" si="3"/>
        <v>6</v>
      </c>
    </row>
    <row r="12559">
      <c r="A12559" s="8" t="str">
        <f>IFERROR(__xludf.DUMMYFUNCTION("IF('(INGESTA)Datos_consumo_datadis'!A12559&lt;&gt;"""",SPLIT('(INGESTA)Datos_consumo_datadis'!A:A,"",""),"""")"),"ES0031408323131005HX0F")</f>
        <v>ES0031408323131005HX0F</v>
      </c>
      <c r="B12559" s="12">
        <f>IFERROR(__xludf.DUMMYFUNCTION("""COMPUTED_VALUE"""),45389.0)</f>
        <v>45389</v>
      </c>
      <c r="C12559" s="13">
        <f>IFERROR(__xludf.DUMMYFUNCTION("""COMPUTED_VALUE"""),0.2916666666666667)</f>
        <v>0.2916666667</v>
      </c>
      <c r="D12559" s="8">
        <f>IFERROR(__xludf.DUMMYFUNCTION("""COMPUTED_VALUE"""),0.067)</f>
        <v>0.067</v>
      </c>
      <c r="E12559" s="8" t="str">
        <f>IFERROR(__xludf.DUMMYFUNCTION("""COMPUTED_VALUE"""),"Real")</f>
        <v>Real</v>
      </c>
      <c r="G12559" s="8">
        <f t="shared" si="1"/>
        <v>4</v>
      </c>
      <c r="H12559" s="14">
        <f t="shared" si="2"/>
        <v>7</v>
      </c>
      <c r="I12559" s="15">
        <f t="shared" si="3"/>
        <v>7</v>
      </c>
    </row>
    <row r="12560">
      <c r="A12560" s="8" t="str">
        <f>IFERROR(__xludf.DUMMYFUNCTION("IF('(INGESTA)Datos_consumo_datadis'!A12560&lt;&gt;"""",SPLIT('(INGESTA)Datos_consumo_datadis'!A:A,"",""),"""")"),"ES0031408323131005HX0F")</f>
        <v>ES0031408323131005HX0F</v>
      </c>
      <c r="B12560" s="12">
        <f>IFERROR(__xludf.DUMMYFUNCTION("""COMPUTED_VALUE"""),45389.0)</f>
        <v>45389</v>
      </c>
      <c r="C12560" s="13">
        <f>IFERROR(__xludf.DUMMYFUNCTION("""COMPUTED_VALUE"""),0.3333333333333333)</f>
        <v>0.3333333333</v>
      </c>
      <c r="D12560" s="8">
        <f>IFERROR(__xludf.DUMMYFUNCTION("""COMPUTED_VALUE"""),0.058)</f>
        <v>0.058</v>
      </c>
      <c r="E12560" s="8" t="str">
        <f>IFERROR(__xludf.DUMMYFUNCTION("""COMPUTED_VALUE"""),"Real")</f>
        <v>Real</v>
      </c>
      <c r="G12560" s="8">
        <f t="shared" si="1"/>
        <v>4</v>
      </c>
      <c r="H12560" s="14">
        <f t="shared" si="2"/>
        <v>7</v>
      </c>
      <c r="I12560" s="15">
        <f t="shared" si="3"/>
        <v>8</v>
      </c>
    </row>
    <row r="12561">
      <c r="A12561" s="8" t="str">
        <f>IFERROR(__xludf.DUMMYFUNCTION("IF('(INGESTA)Datos_consumo_datadis'!A12561&lt;&gt;"""",SPLIT('(INGESTA)Datos_consumo_datadis'!A:A,"",""),"""")"),"ES0031408323131005HX0F")</f>
        <v>ES0031408323131005HX0F</v>
      </c>
      <c r="B12561" s="12">
        <f>IFERROR(__xludf.DUMMYFUNCTION("""COMPUTED_VALUE"""),45389.0)</f>
        <v>45389</v>
      </c>
      <c r="C12561" s="13">
        <f>IFERROR(__xludf.DUMMYFUNCTION("""COMPUTED_VALUE"""),0.375)</f>
        <v>0.375</v>
      </c>
      <c r="D12561" s="8">
        <f>IFERROR(__xludf.DUMMYFUNCTION("""COMPUTED_VALUE"""),0.067)</f>
        <v>0.067</v>
      </c>
      <c r="E12561" s="8" t="str">
        <f>IFERROR(__xludf.DUMMYFUNCTION("""COMPUTED_VALUE"""),"Real")</f>
        <v>Real</v>
      </c>
      <c r="G12561" s="8">
        <f t="shared" si="1"/>
        <v>4</v>
      </c>
      <c r="H12561" s="14">
        <f t="shared" si="2"/>
        <v>7</v>
      </c>
      <c r="I12561" s="15">
        <f t="shared" si="3"/>
        <v>9</v>
      </c>
    </row>
    <row r="12562">
      <c r="A12562" s="8" t="str">
        <f>IFERROR(__xludf.DUMMYFUNCTION("IF('(INGESTA)Datos_consumo_datadis'!A12562&lt;&gt;"""",SPLIT('(INGESTA)Datos_consumo_datadis'!A:A,"",""),"""")"),"ES0031408323131005HX0F")</f>
        <v>ES0031408323131005HX0F</v>
      </c>
      <c r="B12562" s="12">
        <f>IFERROR(__xludf.DUMMYFUNCTION("""COMPUTED_VALUE"""),45389.0)</f>
        <v>45389</v>
      </c>
      <c r="C12562" s="13">
        <f>IFERROR(__xludf.DUMMYFUNCTION("""COMPUTED_VALUE"""),0.4166666666666667)</f>
        <v>0.4166666667</v>
      </c>
      <c r="D12562" s="8">
        <f>IFERROR(__xludf.DUMMYFUNCTION("""COMPUTED_VALUE"""),0.278)</f>
        <v>0.278</v>
      </c>
      <c r="E12562" s="8" t="str">
        <f>IFERROR(__xludf.DUMMYFUNCTION("""COMPUTED_VALUE"""),"Real")</f>
        <v>Real</v>
      </c>
      <c r="G12562" s="8">
        <f t="shared" si="1"/>
        <v>4</v>
      </c>
      <c r="H12562" s="14">
        <f t="shared" si="2"/>
        <v>7</v>
      </c>
      <c r="I12562" s="15">
        <f t="shared" si="3"/>
        <v>10</v>
      </c>
    </row>
    <row r="12563">
      <c r="A12563" s="8" t="str">
        <f>IFERROR(__xludf.DUMMYFUNCTION("IF('(INGESTA)Datos_consumo_datadis'!A12563&lt;&gt;"""",SPLIT('(INGESTA)Datos_consumo_datadis'!A:A,"",""),"""")"),"ES0031408323131005HX0F")</f>
        <v>ES0031408323131005HX0F</v>
      </c>
      <c r="B12563" s="12">
        <f>IFERROR(__xludf.DUMMYFUNCTION("""COMPUTED_VALUE"""),45389.0)</f>
        <v>45389</v>
      </c>
      <c r="C12563" s="13">
        <f>IFERROR(__xludf.DUMMYFUNCTION("""COMPUTED_VALUE"""),0.4583333333333333)</f>
        <v>0.4583333333</v>
      </c>
      <c r="D12563" s="8">
        <f>IFERROR(__xludf.DUMMYFUNCTION("""COMPUTED_VALUE"""),0.162)</f>
        <v>0.162</v>
      </c>
      <c r="E12563" s="8" t="str">
        <f>IFERROR(__xludf.DUMMYFUNCTION("""COMPUTED_VALUE"""),"Real")</f>
        <v>Real</v>
      </c>
      <c r="G12563" s="8">
        <f t="shared" si="1"/>
        <v>4</v>
      </c>
      <c r="H12563" s="14">
        <f t="shared" si="2"/>
        <v>7</v>
      </c>
      <c r="I12563" s="15">
        <f t="shared" si="3"/>
        <v>11</v>
      </c>
    </row>
    <row r="12564">
      <c r="A12564" s="8" t="str">
        <f>IFERROR(__xludf.DUMMYFUNCTION("IF('(INGESTA)Datos_consumo_datadis'!A12564&lt;&gt;"""",SPLIT('(INGESTA)Datos_consumo_datadis'!A:A,"",""),"""")"),"ES0031408323131005HX0F")</f>
        <v>ES0031408323131005HX0F</v>
      </c>
      <c r="B12564" s="12">
        <f>IFERROR(__xludf.DUMMYFUNCTION("""COMPUTED_VALUE"""),45389.0)</f>
        <v>45389</v>
      </c>
      <c r="C12564" s="13">
        <f>IFERROR(__xludf.DUMMYFUNCTION("""COMPUTED_VALUE"""),0.5)</f>
        <v>0.5</v>
      </c>
      <c r="D12564" s="8">
        <f>IFERROR(__xludf.DUMMYFUNCTION("""COMPUTED_VALUE"""),0.38)</f>
        <v>0.38</v>
      </c>
      <c r="E12564" s="8" t="str">
        <f>IFERROR(__xludf.DUMMYFUNCTION("""COMPUTED_VALUE"""),"Real")</f>
        <v>Real</v>
      </c>
      <c r="G12564" s="8">
        <f t="shared" si="1"/>
        <v>4</v>
      </c>
      <c r="H12564" s="14">
        <f t="shared" si="2"/>
        <v>7</v>
      </c>
      <c r="I12564" s="15">
        <f t="shared" si="3"/>
        <v>12</v>
      </c>
    </row>
    <row r="12565">
      <c r="A12565" s="8" t="str">
        <f>IFERROR(__xludf.DUMMYFUNCTION("IF('(INGESTA)Datos_consumo_datadis'!A12565&lt;&gt;"""",SPLIT('(INGESTA)Datos_consumo_datadis'!A:A,"",""),"""")"),"ES0031408323131005HX0F")</f>
        <v>ES0031408323131005HX0F</v>
      </c>
      <c r="B12565" s="12">
        <f>IFERROR(__xludf.DUMMYFUNCTION("""COMPUTED_VALUE"""),45389.0)</f>
        <v>45389</v>
      </c>
      <c r="C12565" s="13">
        <f>IFERROR(__xludf.DUMMYFUNCTION("""COMPUTED_VALUE"""),0.5416666666666666)</f>
        <v>0.5416666667</v>
      </c>
      <c r="D12565" s="8">
        <f>IFERROR(__xludf.DUMMYFUNCTION("""COMPUTED_VALUE"""),0.23)</f>
        <v>0.23</v>
      </c>
      <c r="E12565" s="8" t="str">
        <f>IFERROR(__xludf.DUMMYFUNCTION("""COMPUTED_VALUE"""),"Real")</f>
        <v>Real</v>
      </c>
      <c r="G12565" s="8">
        <f t="shared" si="1"/>
        <v>4</v>
      </c>
      <c r="H12565" s="14">
        <f t="shared" si="2"/>
        <v>7</v>
      </c>
      <c r="I12565" s="15">
        <f t="shared" si="3"/>
        <v>13</v>
      </c>
    </row>
    <row r="12566">
      <c r="A12566" s="8" t="str">
        <f>IFERROR(__xludf.DUMMYFUNCTION("IF('(INGESTA)Datos_consumo_datadis'!A12566&lt;&gt;"""",SPLIT('(INGESTA)Datos_consumo_datadis'!A:A,"",""),"""")"),"ES0031408323131005HX0F")</f>
        <v>ES0031408323131005HX0F</v>
      </c>
      <c r="B12566" s="12">
        <f>IFERROR(__xludf.DUMMYFUNCTION("""COMPUTED_VALUE"""),45389.0)</f>
        <v>45389</v>
      </c>
      <c r="C12566" s="13">
        <f>IFERROR(__xludf.DUMMYFUNCTION("""COMPUTED_VALUE"""),0.5833333333333334)</f>
        <v>0.5833333333</v>
      </c>
      <c r="D12566" s="8">
        <f>IFERROR(__xludf.DUMMYFUNCTION("""COMPUTED_VALUE"""),0.486)</f>
        <v>0.486</v>
      </c>
      <c r="E12566" s="8" t="str">
        <f>IFERROR(__xludf.DUMMYFUNCTION("""COMPUTED_VALUE"""),"Real")</f>
        <v>Real</v>
      </c>
      <c r="G12566" s="8">
        <f t="shared" si="1"/>
        <v>4</v>
      </c>
      <c r="H12566" s="14">
        <f t="shared" si="2"/>
        <v>7</v>
      </c>
      <c r="I12566" s="15">
        <f t="shared" si="3"/>
        <v>14</v>
      </c>
    </row>
    <row r="12567">
      <c r="A12567" s="8" t="str">
        <f>IFERROR(__xludf.DUMMYFUNCTION("IF('(INGESTA)Datos_consumo_datadis'!A12567&lt;&gt;"""",SPLIT('(INGESTA)Datos_consumo_datadis'!A:A,"",""),"""")"),"ES0031408323131005HX0F")</f>
        <v>ES0031408323131005HX0F</v>
      </c>
      <c r="B12567" s="12">
        <f>IFERROR(__xludf.DUMMYFUNCTION("""COMPUTED_VALUE"""),45389.0)</f>
        <v>45389</v>
      </c>
      <c r="C12567" s="13">
        <f>IFERROR(__xludf.DUMMYFUNCTION("""COMPUTED_VALUE"""),0.625)</f>
        <v>0.625</v>
      </c>
      <c r="D12567" s="8">
        <f>IFERROR(__xludf.DUMMYFUNCTION("""COMPUTED_VALUE"""),0.802)</f>
        <v>0.802</v>
      </c>
      <c r="E12567" s="8" t="str">
        <f>IFERROR(__xludf.DUMMYFUNCTION("""COMPUTED_VALUE"""),"Real")</f>
        <v>Real</v>
      </c>
      <c r="G12567" s="8">
        <f t="shared" si="1"/>
        <v>4</v>
      </c>
      <c r="H12567" s="14">
        <f t="shared" si="2"/>
        <v>7</v>
      </c>
      <c r="I12567" s="15">
        <f t="shared" si="3"/>
        <v>15</v>
      </c>
    </row>
    <row r="12568">
      <c r="A12568" s="8" t="str">
        <f>IFERROR(__xludf.DUMMYFUNCTION("IF('(INGESTA)Datos_consumo_datadis'!A12568&lt;&gt;"""",SPLIT('(INGESTA)Datos_consumo_datadis'!A:A,"",""),"""")"),"ES0031408323131005HX0F")</f>
        <v>ES0031408323131005HX0F</v>
      </c>
      <c r="B12568" s="12">
        <f>IFERROR(__xludf.DUMMYFUNCTION("""COMPUTED_VALUE"""),45389.0)</f>
        <v>45389</v>
      </c>
      <c r="C12568" s="13">
        <f>IFERROR(__xludf.DUMMYFUNCTION("""COMPUTED_VALUE"""),0.6666666666666666)</f>
        <v>0.6666666667</v>
      </c>
      <c r="D12568" s="8">
        <f>IFERROR(__xludf.DUMMYFUNCTION("""COMPUTED_VALUE"""),0.132)</f>
        <v>0.132</v>
      </c>
      <c r="E12568" s="8" t="str">
        <f>IFERROR(__xludf.DUMMYFUNCTION("""COMPUTED_VALUE"""),"Real")</f>
        <v>Real</v>
      </c>
      <c r="G12568" s="8">
        <f t="shared" si="1"/>
        <v>4</v>
      </c>
      <c r="H12568" s="14">
        <f t="shared" si="2"/>
        <v>7</v>
      </c>
      <c r="I12568" s="15">
        <f t="shared" si="3"/>
        <v>16</v>
      </c>
    </row>
    <row r="12569">
      <c r="A12569" s="8" t="str">
        <f>IFERROR(__xludf.DUMMYFUNCTION("IF('(INGESTA)Datos_consumo_datadis'!A12569&lt;&gt;"""",SPLIT('(INGESTA)Datos_consumo_datadis'!A:A,"",""),"""")"),"ES0031408323131005HX0F")</f>
        <v>ES0031408323131005HX0F</v>
      </c>
      <c r="B12569" s="12">
        <f>IFERROR(__xludf.DUMMYFUNCTION("""COMPUTED_VALUE"""),45389.0)</f>
        <v>45389</v>
      </c>
      <c r="C12569" s="13">
        <f>IFERROR(__xludf.DUMMYFUNCTION("""COMPUTED_VALUE"""),0.7083333333333334)</f>
        <v>0.7083333333</v>
      </c>
      <c r="D12569" s="8">
        <f>IFERROR(__xludf.DUMMYFUNCTION("""COMPUTED_VALUE"""),0.094)</f>
        <v>0.094</v>
      </c>
      <c r="E12569" s="8" t="str">
        <f>IFERROR(__xludf.DUMMYFUNCTION("""COMPUTED_VALUE"""),"Real")</f>
        <v>Real</v>
      </c>
      <c r="G12569" s="8">
        <f t="shared" si="1"/>
        <v>4</v>
      </c>
      <c r="H12569" s="14">
        <f t="shared" si="2"/>
        <v>7</v>
      </c>
      <c r="I12569" s="15">
        <f t="shared" si="3"/>
        <v>17</v>
      </c>
    </row>
    <row r="12570">
      <c r="A12570" s="8" t="str">
        <f>IFERROR(__xludf.DUMMYFUNCTION("IF('(INGESTA)Datos_consumo_datadis'!A12570&lt;&gt;"""",SPLIT('(INGESTA)Datos_consumo_datadis'!A:A,"",""),"""")"),"ES0031408323131005HX0F")</f>
        <v>ES0031408323131005HX0F</v>
      </c>
      <c r="B12570" s="12">
        <f>IFERROR(__xludf.DUMMYFUNCTION("""COMPUTED_VALUE"""),45389.0)</f>
        <v>45389</v>
      </c>
      <c r="C12570" s="13">
        <f>IFERROR(__xludf.DUMMYFUNCTION("""COMPUTED_VALUE"""),0.75)</f>
        <v>0.75</v>
      </c>
      <c r="D12570" s="8">
        <f>IFERROR(__xludf.DUMMYFUNCTION("""COMPUTED_VALUE"""),0.065)</f>
        <v>0.065</v>
      </c>
      <c r="E12570" s="8" t="str">
        <f>IFERROR(__xludf.DUMMYFUNCTION("""COMPUTED_VALUE"""),"Real")</f>
        <v>Real</v>
      </c>
      <c r="G12570" s="8">
        <f t="shared" si="1"/>
        <v>4</v>
      </c>
      <c r="H12570" s="14">
        <f t="shared" si="2"/>
        <v>7</v>
      </c>
      <c r="I12570" s="15">
        <f t="shared" si="3"/>
        <v>18</v>
      </c>
    </row>
    <row r="12571">
      <c r="A12571" s="8" t="str">
        <f>IFERROR(__xludf.DUMMYFUNCTION("IF('(INGESTA)Datos_consumo_datadis'!A12571&lt;&gt;"""",SPLIT('(INGESTA)Datos_consumo_datadis'!A:A,"",""),"""")"),"ES0031408323131005HX0F")</f>
        <v>ES0031408323131005HX0F</v>
      </c>
      <c r="B12571" s="12">
        <f>IFERROR(__xludf.DUMMYFUNCTION("""COMPUTED_VALUE"""),45389.0)</f>
        <v>45389</v>
      </c>
      <c r="C12571" s="13">
        <f>IFERROR(__xludf.DUMMYFUNCTION("""COMPUTED_VALUE"""),0.7916666666666666)</f>
        <v>0.7916666667</v>
      </c>
      <c r="D12571" s="8">
        <f>IFERROR(__xludf.DUMMYFUNCTION("""COMPUTED_VALUE"""),0.087)</f>
        <v>0.087</v>
      </c>
      <c r="E12571" s="8" t="str">
        <f>IFERROR(__xludf.DUMMYFUNCTION("""COMPUTED_VALUE"""),"Real")</f>
        <v>Real</v>
      </c>
      <c r="G12571" s="8">
        <f t="shared" si="1"/>
        <v>4</v>
      </c>
      <c r="H12571" s="14">
        <f t="shared" si="2"/>
        <v>7</v>
      </c>
      <c r="I12571" s="15">
        <f t="shared" si="3"/>
        <v>19</v>
      </c>
    </row>
    <row r="12572">
      <c r="A12572" s="8" t="str">
        <f>IFERROR(__xludf.DUMMYFUNCTION("IF('(INGESTA)Datos_consumo_datadis'!A12572&lt;&gt;"""",SPLIT('(INGESTA)Datos_consumo_datadis'!A:A,"",""),"""")"),"ES0031408323131005HX0F")</f>
        <v>ES0031408323131005HX0F</v>
      </c>
      <c r="B12572" s="12">
        <f>IFERROR(__xludf.DUMMYFUNCTION("""COMPUTED_VALUE"""),45389.0)</f>
        <v>45389</v>
      </c>
      <c r="C12572" s="13">
        <f>IFERROR(__xludf.DUMMYFUNCTION("""COMPUTED_VALUE"""),0.8333333333333334)</f>
        <v>0.8333333333</v>
      </c>
      <c r="D12572" s="8">
        <f>IFERROR(__xludf.DUMMYFUNCTION("""COMPUTED_VALUE"""),0.336)</f>
        <v>0.336</v>
      </c>
      <c r="E12572" s="8" t="str">
        <f>IFERROR(__xludf.DUMMYFUNCTION("""COMPUTED_VALUE"""),"Real")</f>
        <v>Real</v>
      </c>
      <c r="G12572" s="8">
        <f t="shared" si="1"/>
        <v>4</v>
      </c>
      <c r="H12572" s="14">
        <f t="shared" si="2"/>
        <v>7</v>
      </c>
      <c r="I12572" s="15">
        <f t="shared" si="3"/>
        <v>20</v>
      </c>
    </row>
    <row r="12573">
      <c r="A12573" s="8" t="str">
        <f>IFERROR(__xludf.DUMMYFUNCTION("IF('(INGESTA)Datos_consumo_datadis'!A12573&lt;&gt;"""",SPLIT('(INGESTA)Datos_consumo_datadis'!A:A,"",""),"""")"),"ES0031408323131005HX0F")</f>
        <v>ES0031408323131005HX0F</v>
      </c>
      <c r="B12573" s="12">
        <f>IFERROR(__xludf.DUMMYFUNCTION("""COMPUTED_VALUE"""),45389.0)</f>
        <v>45389</v>
      </c>
      <c r="C12573" s="13">
        <f>IFERROR(__xludf.DUMMYFUNCTION("""COMPUTED_VALUE"""),0.875)</f>
        <v>0.875</v>
      </c>
      <c r="D12573" s="8">
        <f>IFERROR(__xludf.DUMMYFUNCTION("""COMPUTED_VALUE"""),1.876)</f>
        <v>1.876</v>
      </c>
      <c r="E12573" s="8" t="str">
        <f>IFERROR(__xludf.DUMMYFUNCTION("""COMPUTED_VALUE"""),"Real")</f>
        <v>Real</v>
      </c>
      <c r="G12573" s="8">
        <f t="shared" si="1"/>
        <v>4</v>
      </c>
      <c r="H12573" s="14">
        <f t="shared" si="2"/>
        <v>7</v>
      </c>
      <c r="I12573" s="15">
        <f t="shared" si="3"/>
        <v>21</v>
      </c>
    </row>
    <row r="12574">
      <c r="A12574" s="8" t="str">
        <f>IFERROR(__xludf.DUMMYFUNCTION("IF('(INGESTA)Datos_consumo_datadis'!A12574&lt;&gt;"""",SPLIT('(INGESTA)Datos_consumo_datadis'!A:A,"",""),"""")"),"ES0031408323131005HX0F")</f>
        <v>ES0031408323131005HX0F</v>
      </c>
      <c r="B12574" s="12">
        <f>IFERROR(__xludf.DUMMYFUNCTION("""COMPUTED_VALUE"""),45389.0)</f>
        <v>45389</v>
      </c>
      <c r="C12574" s="13">
        <f>IFERROR(__xludf.DUMMYFUNCTION("""COMPUTED_VALUE"""),0.9166666666666666)</f>
        <v>0.9166666667</v>
      </c>
      <c r="D12574" s="8">
        <f>IFERROR(__xludf.DUMMYFUNCTION("""COMPUTED_VALUE"""),2.621)</f>
        <v>2.621</v>
      </c>
      <c r="E12574" s="8" t="str">
        <f>IFERROR(__xludf.DUMMYFUNCTION("""COMPUTED_VALUE"""),"Real")</f>
        <v>Real</v>
      </c>
      <c r="G12574" s="8">
        <f t="shared" si="1"/>
        <v>4</v>
      </c>
      <c r="H12574" s="14">
        <f t="shared" si="2"/>
        <v>7</v>
      </c>
      <c r="I12574" s="15">
        <f t="shared" si="3"/>
        <v>22</v>
      </c>
    </row>
    <row r="12575">
      <c r="A12575" s="8" t="str">
        <f>IFERROR(__xludf.DUMMYFUNCTION("IF('(INGESTA)Datos_consumo_datadis'!A12575&lt;&gt;"""",SPLIT('(INGESTA)Datos_consumo_datadis'!A:A,"",""),"""")"),"ES0031408323131005HX0F")</f>
        <v>ES0031408323131005HX0F</v>
      </c>
      <c r="B12575" s="12">
        <f>IFERROR(__xludf.DUMMYFUNCTION("""COMPUTED_VALUE"""),45389.0)</f>
        <v>45389</v>
      </c>
      <c r="C12575" s="13">
        <f>IFERROR(__xludf.DUMMYFUNCTION("""COMPUTED_VALUE"""),0.9583333333333334)</f>
        <v>0.9583333333</v>
      </c>
      <c r="D12575" s="8">
        <f>IFERROR(__xludf.DUMMYFUNCTION("""COMPUTED_VALUE"""),1.184)</f>
        <v>1.184</v>
      </c>
      <c r="E12575" s="8" t="str">
        <f>IFERROR(__xludf.DUMMYFUNCTION("""COMPUTED_VALUE"""),"Real")</f>
        <v>Real</v>
      </c>
      <c r="G12575" s="8">
        <f t="shared" si="1"/>
        <v>4</v>
      </c>
      <c r="H12575" s="14">
        <f t="shared" si="2"/>
        <v>7</v>
      </c>
      <c r="I12575" s="15">
        <f t="shared" si="3"/>
        <v>23</v>
      </c>
    </row>
    <row r="12576">
      <c r="A12576" s="8" t="str">
        <f>IFERROR(__xludf.DUMMYFUNCTION("IF('(INGESTA)Datos_consumo_datadis'!A12576&lt;&gt;"""",SPLIT('(INGESTA)Datos_consumo_datadis'!A:A,"",""),"""")"),"ES0031408323131005HX0F")</f>
        <v>ES0031408323131005HX0F</v>
      </c>
      <c r="B12576" s="12">
        <f>IFERROR(__xludf.DUMMYFUNCTION("""COMPUTED_VALUE"""),45389.0)</f>
        <v>45389</v>
      </c>
      <c r="C12576" s="16">
        <f>IFERROR(__xludf.DUMMYFUNCTION("""COMPUTED_VALUE"""),1.0)</f>
        <v>1</v>
      </c>
      <c r="D12576" s="8">
        <f>IFERROR(__xludf.DUMMYFUNCTION("""COMPUTED_VALUE"""),0.104)</f>
        <v>0.104</v>
      </c>
      <c r="E12576" s="8" t="str">
        <f>IFERROR(__xludf.DUMMYFUNCTION("""COMPUTED_VALUE"""),"Real")</f>
        <v>Real</v>
      </c>
      <c r="G12576" s="8">
        <f t="shared" si="1"/>
        <v>4</v>
      </c>
      <c r="H12576" s="14">
        <f t="shared" si="2"/>
        <v>7</v>
      </c>
      <c r="I12576" s="15">
        <f t="shared" si="3"/>
        <v>0</v>
      </c>
    </row>
    <row r="12577">
      <c r="A12577" s="8" t="str">
        <f>IFERROR(__xludf.DUMMYFUNCTION("IF('(INGESTA)Datos_consumo_datadis'!A12577&lt;&gt;"""",SPLIT('(INGESTA)Datos_consumo_datadis'!A:A,"",""),"""")"),"ES0031408323131005HX0F")</f>
        <v>ES0031408323131005HX0F</v>
      </c>
      <c r="B12577" s="12">
        <f>IFERROR(__xludf.DUMMYFUNCTION("""COMPUTED_VALUE"""),45390.0)</f>
        <v>45390</v>
      </c>
      <c r="C12577" s="13">
        <f>IFERROR(__xludf.DUMMYFUNCTION("""COMPUTED_VALUE"""),0.041666666666666664)</f>
        <v>0.04166666667</v>
      </c>
      <c r="D12577" s="8">
        <f>IFERROR(__xludf.DUMMYFUNCTION("""COMPUTED_VALUE"""),0.319)</f>
        <v>0.319</v>
      </c>
      <c r="E12577" s="8" t="str">
        <f>IFERROR(__xludf.DUMMYFUNCTION("""COMPUTED_VALUE"""),"Real")</f>
        <v>Real</v>
      </c>
      <c r="G12577" s="8">
        <f t="shared" si="1"/>
        <v>4</v>
      </c>
      <c r="H12577" s="14">
        <f t="shared" si="2"/>
        <v>8</v>
      </c>
      <c r="I12577" s="15">
        <f t="shared" si="3"/>
        <v>1</v>
      </c>
    </row>
    <row r="12578">
      <c r="A12578" s="8" t="str">
        <f>IFERROR(__xludf.DUMMYFUNCTION("IF('(INGESTA)Datos_consumo_datadis'!A12578&lt;&gt;"""",SPLIT('(INGESTA)Datos_consumo_datadis'!A:A,"",""),"""")"),"ES0031408323131005HX0F")</f>
        <v>ES0031408323131005HX0F</v>
      </c>
      <c r="B12578" s="12">
        <f>IFERROR(__xludf.DUMMYFUNCTION("""COMPUTED_VALUE"""),45390.0)</f>
        <v>45390</v>
      </c>
      <c r="C12578" s="13">
        <f>IFERROR(__xludf.DUMMYFUNCTION("""COMPUTED_VALUE"""),0.08333333333333333)</f>
        <v>0.08333333333</v>
      </c>
      <c r="D12578" s="8">
        <f>IFERROR(__xludf.DUMMYFUNCTION("""COMPUTED_VALUE"""),0.118)</f>
        <v>0.118</v>
      </c>
      <c r="E12578" s="8" t="str">
        <f>IFERROR(__xludf.DUMMYFUNCTION("""COMPUTED_VALUE"""),"Real")</f>
        <v>Real</v>
      </c>
      <c r="G12578" s="8">
        <f t="shared" si="1"/>
        <v>4</v>
      </c>
      <c r="H12578" s="14">
        <f t="shared" si="2"/>
        <v>8</v>
      </c>
      <c r="I12578" s="15">
        <f t="shared" si="3"/>
        <v>2</v>
      </c>
    </row>
    <row r="12579">
      <c r="A12579" s="8" t="str">
        <f>IFERROR(__xludf.DUMMYFUNCTION("IF('(INGESTA)Datos_consumo_datadis'!A12579&lt;&gt;"""",SPLIT('(INGESTA)Datos_consumo_datadis'!A:A,"",""),"""")"),"ES0031408323131005HX0F")</f>
        <v>ES0031408323131005HX0F</v>
      </c>
      <c r="B12579" s="12">
        <f>IFERROR(__xludf.DUMMYFUNCTION("""COMPUTED_VALUE"""),45390.0)</f>
        <v>45390</v>
      </c>
      <c r="C12579" s="13">
        <f>IFERROR(__xludf.DUMMYFUNCTION("""COMPUTED_VALUE"""),0.125)</f>
        <v>0.125</v>
      </c>
      <c r="D12579" s="8">
        <f>IFERROR(__xludf.DUMMYFUNCTION("""COMPUTED_VALUE"""),0.057)</f>
        <v>0.057</v>
      </c>
      <c r="E12579" s="8" t="str">
        <f>IFERROR(__xludf.DUMMYFUNCTION("""COMPUTED_VALUE"""),"Real")</f>
        <v>Real</v>
      </c>
      <c r="G12579" s="8">
        <f t="shared" si="1"/>
        <v>4</v>
      </c>
      <c r="H12579" s="14">
        <f t="shared" si="2"/>
        <v>8</v>
      </c>
      <c r="I12579" s="15">
        <f t="shared" si="3"/>
        <v>3</v>
      </c>
    </row>
    <row r="12580">
      <c r="A12580" s="8" t="str">
        <f>IFERROR(__xludf.DUMMYFUNCTION("IF('(INGESTA)Datos_consumo_datadis'!A12580&lt;&gt;"""",SPLIT('(INGESTA)Datos_consumo_datadis'!A:A,"",""),"""")"),"ES0031408323131005HX0F")</f>
        <v>ES0031408323131005HX0F</v>
      </c>
      <c r="B12580" s="12">
        <f>IFERROR(__xludf.DUMMYFUNCTION("""COMPUTED_VALUE"""),45390.0)</f>
        <v>45390</v>
      </c>
      <c r="C12580" s="13">
        <f>IFERROR(__xludf.DUMMYFUNCTION("""COMPUTED_VALUE"""),0.16666666666666666)</f>
        <v>0.1666666667</v>
      </c>
      <c r="D12580" s="8">
        <f>IFERROR(__xludf.DUMMYFUNCTION("""COMPUTED_VALUE"""),0.084)</f>
        <v>0.084</v>
      </c>
      <c r="E12580" s="8" t="str">
        <f>IFERROR(__xludf.DUMMYFUNCTION("""COMPUTED_VALUE"""),"Real")</f>
        <v>Real</v>
      </c>
      <c r="G12580" s="8">
        <f t="shared" si="1"/>
        <v>4</v>
      </c>
      <c r="H12580" s="14">
        <f t="shared" si="2"/>
        <v>8</v>
      </c>
      <c r="I12580" s="15">
        <f t="shared" si="3"/>
        <v>4</v>
      </c>
    </row>
    <row r="12581">
      <c r="A12581" s="8" t="str">
        <f>IFERROR(__xludf.DUMMYFUNCTION("IF('(INGESTA)Datos_consumo_datadis'!A12581&lt;&gt;"""",SPLIT('(INGESTA)Datos_consumo_datadis'!A:A,"",""),"""")"),"ES0031408323131005HX0F")</f>
        <v>ES0031408323131005HX0F</v>
      </c>
      <c r="B12581" s="12">
        <f>IFERROR(__xludf.DUMMYFUNCTION("""COMPUTED_VALUE"""),45390.0)</f>
        <v>45390</v>
      </c>
      <c r="C12581" s="13">
        <f>IFERROR(__xludf.DUMMYFUNCTION("""COMPUTED_VALUE"""),0.20833333333333334)</f>
        <v>0.2083333333</v>
      </c>
      <c r="D12581" s="8">
        <f>IFERROR(__xludf.DUMMYFUNCTION("""COMPUTED_VALUE"""),0.055)</f>
        <v>0.055</v>
      </c>
      <c r="E12581" s="8" t="str">
        <f>IFERROR(__xludf.DUMMYFUNCTION("""COMPUTED_VALUE"""),"Real")</f>
        <v>Real</v>
      </c>
      <c r="G12581" s="8">
        <f t="shared" si="1"/>
        <v>4</v>
      </c>
      <c r="H12581" s="14">
        <f t="shared" si="2"/>
        <v>8</v>
      </c>
      <c r="I12581" s="15">
        <f t="shared" si="3"/>
        <v>5</v>
      </c>
    </row>
    <row r="12582">
      <c r="A12582" s="8" t="str">
        <f>IFERROR(__xludf.DUMMYFUNCTION("IF('(INGESTA)Datos_consumo_datadis'!A12582&lt;&gt;"""",SPLIT('(INGESTA)Datos_consumo_datadis'!A:A,"",""),"""")"),"ES0031408323131005HX0F")</f>
        <v>ES0031408323131005HX0F</v>
      </c>
      <c r="B12582" s="12">
        <f>IFERROR(__xludf.DUMMYFUNCTION("""COMPUTED_VALUE"""),45390.0)</f>
        <v>45390</v>
      </c>
      <c r="C12582" s="13">
        <f>IFERROR(__xludf.DUMMYFUNCTION("""COMPUTED_VALUE"""),0.25)</f>
        <v>0.25</v>
      </c>
      <c r="D12582" s="8">
        <f>IFERROR(__xludf.DUMMYFUNCTION("""COMPUTED_VALUE"""),0.062)</f>
        <v>0.062</v>
      </c>
      <c r="E12582" s="8" t="str">
        <f>IFERROR(__xludf.DUMMYFUNCTION("""COMPUTED_VALUE"""),"Real")</f>
        <v>Real</v>
      </c>
      <c r="G12582" s="8">
        <f t="shared" si="1"/>
        <v>4</v>
      </c>
      <c r="H12582" s="14">
        <f t="shared" si="2"/>
        <v>8</v>
      </c>
      <c r="I12582" s="15">
        <f t="shared" si="3"/>
        <v>6</v>
      </c>
    </row>
    <row r="12583">
      <c r="A12583" s="8" t="str">
        <f>IFERROR(__xludf.DUMMYFUNCTION("IF('(INGESTA)Datos_consumo_datadis'!A12583&lt;&gt;"""",SPLIT('(INGESTA)Datos_consumo_datadis'!A:A,"",""),"""")"),"ES0031408323131005HX0F")</f>
        <v>ES0031408323131005HX0F</v>
      </c>
      <c r="B12583" s="12">
        <f>IFERROR(__xludf.DUMMYFUNCTION("""COMPUTED_VALUE"""),45390.0)</f>
        <v>45390</v>
      </c>
      <c r="C12583" s="13">
        <f>IFERROR(__xludf.DUMMYFUNCTION("""COMPUTED_VALUE"""),0.2916666666666667)</f>
        <v>0.2916666667</v>
      </c>
      <c r="D12583" s="8">
        <f>IFERROR(__xludf.DUMMYFUNCTION("""COMPUTED_VALUE"""),0.322)</f>
        <v>0.322</v>
      </c>
      <c r="E12583" s="8" t="str">
        <f>IFERROR(__xludf.DUMMYFUNCTION("""COMPUTED_VALUE"""),"Real")</f>
        <v>Real</v>
      </c>
      <c r="G12583" s="8">
        <f t="shared" si="1"/>
        <v>4</v>
      </c>
      <c r="H12583" s="14">
        <f t="shared" si="2"/>
        <v>8</v>
      </c>
      <c r="I12583" s="15">
        <f t="shared" si="3"/>
        <v>7</v>
      </c>
    </row>
    <row r="12584">
      <c r="A12584" s="8" t="str">
        <f>IFERROR(__xludf.DUMMYFUNCTION("IF('(INGESTA)Datos_consumo_datadis'!A12584&lt;&gt;"""",SPLIT('(INGESTA)Datos_consumo_datadis'!A:A,"",""),"""")"),"ES0031408323131005HX0F")</f>
        <v>ES0031408323131005HX0F</v>
      </c>
      <c r="B12584" s="12">
        <f>IFERROR(__xludf.DUMMYFUNCTION("""COMPUTED_VALUE"""),45390.0)</f>
        <v>45390</v>
      </c>
      <c r="C12584" s="13">
        <f>IFERROR(__xludf.DUMMYFUNCTION("""COMPUTED_VALUE"""),0.3333333333333333)</f>
        <v>0.3333333333</v>
      </c>
      <c r="D12584" s="8">
        <f>IFERROR(__xludf.DUMMYFUNCTION("""COMPUTED_VALUE"""),0.044)</f>
        <v>0.044</v>
      </c>
      <c r="E12584" s="8" t="str">
        <f>IFERROR(__xludf.DUMMYFUNCTION("""COMPUTED_VALUE"""),"Real")</f>
        <v>Real</v>
      </c>
      <c r="G12584" s="8">
        <f t="shared" si="1"/>
        <v>4</v>
      </c>
      <c r="H12584" s="14">
        <f t="shared" si="2"/>
        <v>8</v>
      </c>
      <c r="I12584" s="15">
        <f t="shared" si="3"/>
        <v>8</v>
      </c>
    </row>
    <row r="12585">
      <c r="A12585" s="8" t="str">
        <f>IFERROR(__xludf.DUMMYFUNCTION("IF('(INGESTA)Datos_consumo_datadis'!A12585&lt;&gt;"""",SPLIT('(INGESTA)Datos_consumo_datadis'!A:A,"",""),"""")"),"ES0031408323131005HX0F")</f>
        <v>ES0031408323131005HX0F</v>
      </c>
      <c r="B12585" s="12">
        <f>IFERROR(__xludf.DUMMYFUNCTION("""COMPUTED_VALUE"""),45390.0)</f>
        <v>45390</v>
      </c>
      <c r="C12585" s="13">
        <f>IFERROR(__xludf.DUMMYFUNCTION("""COMPUTED_VALUE"""),0.375)</f>
        <v>0.375</v>
      </c>
      <c r="D12585" s="8">
        <f>IFERROR(__xludf.DUMMYFUNCTION("""COMPUTED_VALUE"""),0.071)</f>
        <v>0.071</v>
      </c>
      <c r="E12585" s="8" t="str">
        <f>IFERROR(__xludf.DUMMYFUNCTION("""COMPUTED_VALUE"""),"Real")</f>
        <v>Real</v>
      </c>
      <c r="G12585" s="8">
        <f t="shared" si="1"/>
        <v>4</v>
      </c>
      <c r="H12585" s="14">
        <f t="shared" si="2"/>
        <v>8</v>
      </c>
      <c r="I12585" s="15">
        <f t="shared" si="3"/>
        <v>9</v>
      </c>
    </row>
    <row r="12586">
      <c r="A12586" s="8" t="str">
        <f>IFERROR(__xludf.DUMMYFUNCTION("IF('(INGESTA)Datos_consumo_datadis'!A12586&lt;&gt;"""",SPLIT('(INGESTA)Datos_consumo_datadis'!A:A,"",""),"""")"),"ES0031408323131005HX0F")</f>
        <v>ES0031408323131005HX0F</v>
      </c>
      <c r="B12586" s="12">
        <f>IFERROR(__xludf.DUMMYFUNCTION("""COMPUTED_VALUE"""),45390.0)</f>
        <v>45390</v>
      </c>
      <c r="C12586" s="13">
        <f>IFERROR(__xludf.DUMMYFUNCTION("""COMPUTED_VALUE"""),0.4166666666666667)</f>
        <v>0.4166666667</v>
      </c>
      <c r="D12586" s="8">
        <f>IFERROR(__xludf.DUMMYFUNCTION("""COMPUTED_VALUE"""),0.435)</f>
        <v>0.435</v>
      </c>
      <c r="E12586" s="8" t="str">
        <f>IFERROR(__xludf.DUMMYFUNCTION("""COMPUTED_VALUE"""),"Real")</f>
        <v>Real</v>
      </c>
      <c r="G12586" s="8">
        <f t="shared" si="1"/>
        <v>4</v>
      </c>
      <c r="H12586" s="14">
        <f t="shared" si="2"/>
        <v>8</v>
      </c>
      <c r="I12586" s="15">
        <f t="shared" si="3"/>
        <v>10</v>
      </c>
    </row>
    <row r="12587">
      <c r="A12587" s="8" t="str">
        <f>IFERROR(__xludf.DUMMYFUNCTION("IF('(INGESTA)Datos_consumo_datadis'!A12587&lt;&gt;"""",SPLIT('(INGESTA)Datos_consumo_datadis'!A:A,"",""),"""")"),"ES0031408323131005HX0F")</f>
        <v>ES0031408323131005HX0F</v>
      </c>
      <c r="B12587" s="12">
        <f>IFERROR(__xludf.DUMMYFUNCTION("""COMPUTED_VALUE"""),45390.0)</f>
        <v>45390</v>
      </c>
      <c r="C12587" s="13">
        <f>IFERROR(__xludf.DUMMYFUNCTION("""COMPUTED_VALUE"""),0.4583333333333333)</f>
        <v>0.4583333333</v>
      </c>
      <c r="D12587" s="8">
        <f>IFERROR(__xludf.DUMMYFUNCTION("""COMPUTED_VALUE"""),0.641)</f>
        <v>0.641</v>
      </c>
      <c r="E12587" s="8" t="str">
        <f>IFERROR(__xludf.DUMMYFUNCTION("""COMPUTED_VALUE"""),"Real")</f>
        <v>Real</v>
      </c>
      <c r="G12587" s="8">
        <f t="shared" si="1"/>
        <v>4</v>
      </c>
      <c r="H12587" s="14">
        <f t="shared" si="2"/>
        <v>8</v>
      </c>
      <c r="I12587" s="15">
        <f t="shared" si="3"/>
        <v>11</v>
      </c>
    </row>
    <row r="12588">
      <c r="A12588" s="8" t="str">
        <f>IFERROR(__xludf.DUMMYFUNCTION("IF('(INGESTA)Datos_consumo_datadis'!A12588&lt;&gt;"""",SPLIT('(INGESTA)Datos_consumo_datadis'!A:A,"",""),"""")"),"ES0031408323131005HX0F")</f>
        <v>ES0031408323131005HX0F</v>
      </c>
      <c r="B12588" s="12">
        <f>IFERROR(__xludf.DUMMYFUNCTION("""COMPUTED_VALUE"""),45390.0)</f>
        <v>45390</v>
      </c>
      <c r="C12588" s="13">
        <f>IFERROR(__xludf.DUMMYFUNCTION("""COMPUTED_VALUE"""),0.5)</f>
        <v>0.5</v>
      </c>
      <c r="D12588" s="8">
        <f>IFERROR(__xludf.DUMMYFUNCTION("""COMPUTED_VALUE"""),0.084)</f>
        <v>0.084</v>
      </c>
      <c r="E12588" s="8" t="str">
        <f>IFERROR(__xludf.DUMMYFUNCTION("""COMPUTED_VALUE"""),"Real")</f>
        <v>Real</v>
      </c>
      <c r="G12588" s="8">
        <f t="shared" si="1"/>
        <v>4</v>
      </c>
      <c r="H12588" s="14">
        <f t="shared" si="2"/>
        <v>8</v>
      </c>
      <c r="I12588" s="15">
        <f t="shared" si="3"/>
        <v>12</v>
      </c>
    </row>
    <row r="12589">
      <c r="A12589" s="8" t="str">
        <f>IFERROR(__xludf.DUMMYFUNCTION("IF('(INGESTA)Datos_consumo_datadis'!A12589&lt;&gt;"""",SPLIT('(INGESTA)Datos_consumo_datadis'!A:A,"",""),"""")"),"ES0031408323131005HX0F")</f>
        <v>ES0031408323131005HX0F</v>
      </c>
      <c r="B12589" s="12">
        <f>IFERROR(__xludf.DUMMYFUNCTION("""COMPUTED_VALUE"""),45390.0)</f>
        <v>45390</v>
      </c>
      <c r="C12589" s="13">
        <f>IFERROR(__xludf.DUMMYFUNCTION("""COMPUTED_VALUE"""),0.5416666666666666)</f>
        <v>0.5416666667</v>
      </c>
      <c r="D12589" s="8">
        <f>IFERROR(__xludf.DUMMYFUNCTION("""COMPUTED_VALUE"""),0.061)</f>
        <v>0.061</v>
      </c>
      <c r="E12589" s="8" t="str">
        <f>IFERROR(__xludf.DUMMYFUNCTION("""COMPUTED_VALUE"""),"Real")</f>
        <v>Real</v>
      </c>
      <c r="G12589" s="8">
        <f t="shared" si="1"/>
        <v>4</v>
      </c>
      <c r="H12589" s="14">
        <f t="shared" si="2"/>
        <v>8</v>
      </c>
      <c r="I12589" s="15">
        <f t="shared" si="3"/>
        <v>13</v>
      </c>
    </row>
    <row r="12590">
      <c r="A12590" s="8" t="str">
        <f>IFERROR(__xludf.DUMMYFUNCTION("IF('(INGESTA)Datos_consumo_datadis'!A12590&lt;&gt;"""",SPLIT('(INGESTA)Datos_consumo_datadis'!A:A,"",""),"""")"),"ES0031408323131005HX0F")</f>
        <v>ES0031408323131005HX0F</v>
      </c>
      <c r="B12590" s="12">
        <f>IFERROR(__xludf.DUMMYFUNCTION("""COMPUTED_VALUE"""),45390.0)</f>
        <v>45390</v>
      </c>
      <c r="C12590" s="13">
        <f>IFERROR(__xludf.DUMMYFUNCTION("""COMPUTED_VALUE"""),0.5833333333333334)</f>
        <v>0.5833333333</v>
      </c>
      <c r="D12590" s="8">
        <f>IFERROR(__xludf.DUMMYFUNCTION("""COMPUTED_VALUE"""),0.086)</f>
        <v>0.086</v>
      </c>
      <c r="E12590" s="8" t="str">
        <f>IFERROR(__xludf.DUMMYFUNCTION("""COMPUTED_VALUE"""),"Real")</f>
        <v>Real</v>
      </c>
      <c r="G12590" s="8">
        <f t="shared" si="1"/>
        <v>4</v>
      </c>
      <c r="H12590" s="14">
        <f t="shared" si="2"/>
        <v>8</v>
      </c>
      <c r="I12590" s="15">
        <f t="shared" si="3"/>
        <v>14</v>
      </c>
    </row>
    <row r="12591">
      <c r="A12591" s="8" t="str">
        <f>IFERROR(__xludf.DUMMYFUNCTION("IF('(INGESTA)Datos_consumo_datadis'!A12591&lt;&gt;"""",SPLIT('(INGESTA)Datos_consumo_datadis'!A:A,"",""),"""")"),"ES0031408323131005HX0F")</f>
        <v>ES0031408323131005HX0F</v>
      </c>
      <c r="B12591" s="12">
        <f>IFERROR(__xludf.DUMMYFUNCTION("""COMPUTED_VALUE"""),45390.0)</f>
        <v>45390</v>
      </c>
      <c r="C12591" s="13">
        <f>IFERROR(__xludf.DUMMYFUNCTION("""COMPUTED_VALUE"""),0.625)</f>
        <v>0.625</v>
      </c>
      <c r="D12591" s="8">
        <f>IFERROR(__xludf.DUMMYFUNCTION("""COMPUTED_VALUE"""),0.058)</f>
        <v>0.058</v>
      </c>
      <c r="E12591" s="8" t="str">
        <f>IFERROR(__xludf.DUMMYFUNCTION("""COMPUTED_VALUE"""),"Real")</f>
        <v>Real</v>
      </c>
      <c r="G12591" s="8">
        <f t="shared" si="1"/>
        <v>4</v>
      </c>
      <c r="H12591" s="14">
        <f t="shared" si="2"/>
        <v>8</v>
      </c>
      <c r="I12591" s="15">
        <f t="shared" si="3"/>
        <v>15</v>
      </c>
    </row>
    <row r="12592">
      <c r="A12592" s="8" t="str">
        <f>IFERROR(__xludf.DUMMYFUNCTION("IF('(INGESTA)Datos_consumo_datadis'!A12592&lt;&gt;"""",SPLIT('(INGESTA)Datos_consumo_datadis'!A:A,"",""),"""")"),"ES0031408323131005HX0F")</f>
        <v>ES0031408323131005HX0F</v>
      </c>
      <c r="B12592" s="12">
        <f>IFERROR(__xludf.DUMMYFUNCTION("""COMPUTED_VALUE"""),45390.0)</f>
        <v>45390</v>
      </c>
      <c r="C12592" s="13">
        <f>IFERROR(__xludf.DUMMYFUNCTION("""COMPUTED_VALUE"""),0.6666666666666666)</f>
        <v>0.6666666667</v>
      </c>
      <c r="D12592" s="8">
        <f>IFERROR(__xludf.DUMMYFUNCTION("""COMPUTED_VALUE"""),0.07)</f>
        <v>0.07</v>
      </c>
      <c r="E12592" s="8" t="str">
        <f>IFERROR(__xludf.DUMMYFUNCTION("""COMPUTED_VALUE"""),"Real")</f>
        <v>Real</v>
      </c>
      <c r="G12592" s="8">
        <f t="shared" si="1"/>
        <v>4</v>
      </c>
      <c r="H12592" s="14">
        <f t="shared" si="2"/>
        <v>8</v>
      </c>
      <c r="I12592" s="15">
        <f t="shared" si="3"/>
        <v>16</v>
      </c>
    </row>
    <row r="12593">
      <c r="A12593" s="8" t="str">
        <f>IFERROR(__xludf.DUMMYFUNCTION("IF('(INGESTA)Datos_consumo_datadis'!A12593&lt;&gt;"""",SPLIT('(INGESTA)Datos_consumo_datadis'!A:A,"",""),"""")"),"ES0031408323131005HX0F")</f>
        <v>ES0031408323131005HX0F</v>
      </c>
      <c r="B12593" s="12">
        <f>IFERROR(__xludf.DUMMYFUNCTION("""COMPUTED_VALUE"""),45390.0)</f>
        <v>45390</v>
      </c>
      <c r="C12593" s="13">
        <f>IFERROR(__xludf.DUMMYFUNCTION("""COMPUTED_VALUE"""),0.7083333333333334)</f>
        <v>0.7083333333</v>
      </c>
      <c r="D12593" s="8">
        <f>IFERROR(__xludf.DUMMYFUNCTION("""COMPUTED_VALUE"""),0.081)</f>
        <v>0.081</v>
      </c>
      <c r="E12593" s="8" t="str">
        <f>IFERROR(__xludf.DUMMYFUNCTION("""COMPUTED_VALUE"""),"Real")</f>
        <v>Real</v>
      </c>
      <c r="G12593" s="8">
        <f t="shared" si="1"/>
        <v>4</v>
      </c>
      <c r="H12593" s="14">
        <f t="shared" si="2"/>
        <v>8</v>
      </c>
      <c r="I12593" s="15">
        <f t="shared" si="3"/>
        <v>17</v>
      </c>
    </row>
    <row r="12594">
      <c r="A12594" s="8" t="str">
        <f>IFERROR(__xludf.DUMMYFUNCTION("IF('(INGESTA)Datos_consumo_datadis'!A12594&lt;&gt;"""",SPLIT('(INGESTA)Datos_consumo_datadis'!A:A,"",""),"""")"),"ES0031408323131005HX0F")</f>
        <v>ES0031408323131005HX0F</v>
      </c>
      <c r="B12594" s="12">
        <f>IFERROR(__xludf.DUMMYFUNCTION("""COMPUTED_VALUE"""),45390.0)</f>
        <v>45390</v>
      </c>
      <c r="C12594" s="13">
        <f>IFERROR(__xludf.DUMMYFUNCTION("""COMPUTED_VALUE"""),0.75)</f>
        <v>0.75</v>
      </c>
      <c r="D12594" s="8">
        <f>IFERROR(__xludf.DUMMYFUNCTION("""COMPUTED_VALUE"""),0.255)</f>
        <v>0.255</v>
      </c>
      <c r="E12594" s="8" t="str">
        <f>IFERROR(__xludf.DUMMYFUNCTION("""COMPUTED_VALUE"""),"Real")</f>
        <v>Real</v>
      </c>
      <c r="G12594" s="8">
        <f t="shared" si="1"/>
        <v>4</v>
      </c>
      <c r="H12594" s="14">
        <f t="shared" si="2"/>
        <v>8</v>
      </c>
      <c r="I12594" s="15">
        <f t="shared" si="3"/>
        <v>18</v>
      </c>
    </row>
    <row r="12595">
      <c r="A12595" s="8" t="str">
        <f>IFERROR(__xludf.DUMMYFUNCTION("IF('(INGESTA)Datos_consumo_datadis'!A12595&lt;&gt;"""",SPLIT('(INGESTA)Datos_consumo_datadis'!A:A,"",""),"""")"),"ES0031408323131005HX0F")</f>
        <v>ES0031408323131005HX0F</v>
      </c>
      <c r="B12595" s="12">
        <f>IFERROR(__xludf.DUMMYFUNCTION("""COMPUTED_VALUE"""),45390.0)</f>
        <v>45390</v>
      </c>
      <c r="C12595" s="13">
        <f>IFERROR(__xludf.DUMMYFUNCTION("""COMPUTED_VALUE"""),0.7916666666666666)</f>
        <v>0.7916666667</v>
      </c>
      <c r="D12595" s="8">
        <f>IFERROR(__xludf.DUMMYFUNCTION("""COMPUTED_VALUE"""),0.241)</f>
        <v>0.241</v>
      </c>
      <c r="E12595" s="8" t="str">
        <f>IFERROR(__xludf.DUMMYFUNCTION("""COMPUTED_VALUE"""),"Real")</f>
        <v>Real</v>
      </c>
      <c r="G12595" s="8">
        <f t="shared" si="1"/>
        <v>4</v>
      </c>
      <c r="H12595" s="14">
        <f t="shared" si="2"/>
        <v>8</v>
      </c>
      <c r="I12595" s="15">
        <f t="shared" si="3"/>
        <v>19</v>
      </c>
    </row>
    <row r="12596">
      <c r="A12596" s="8" t="str">
        <f>IFERROR(__xludf.DUMMYFUNCTION("IF('(INGESTA)Datos_consumo_datadis'!A12596&lt;&gt;"""",SPLIT('(INGESTA)Datos_consumo_datadis'!A:A,"",""),"""")"),"ES0031408323131005HX0F")</f>
        <v>ES0031408323131005HX0F</v>
      </c>
      <c r="B12596" s="12">
        <f>IFERROR(__xludf.DUMMYFUNCTION("""COMPUTED_VALUE"""),45390.0)</f>
        <v>45390</v>
      </c>
      <c r="C12596" s="13">
        <f>IFERROR(__xludf.DUMMYFUNCTION("""COMPUTED_VALUE"""),0.8333333333333334)</f>
        <v>0.8333333333</v>
      </c>
      <c r="D12596" s="8">
        <f>IFERROR(__xludf.DUMMYFUNCTION("""COMPUTED_VALUE"""),0.256)</f>
        <v>0.256</v>
      </c>
      <c r="E12596" s="8" t="str">
        <f>IFERROR(__xludf.DUMMYFUNCTION("""COMPUTED_VALUE"""),"Real")</f>
        <v>Real</v>
      </c>
      <c r="G12596" s="8">
        <f t="shared" si="1"/>
        <v>4</v>
      </c>
      <c r="H12596" s="14">
        <f t="shared" si="2"/>
        <v>8</v>
      </c>
      <c r="I12596" s="15">
        <f t="shared" si="3"/>
        <v>20</v>
      </c>
    </row>
    <row r="12597">
      <c r="A12597" s="8" t="str">
        <f>IFERROR(__xludf.DUMMYFUNCTION("IF('(INGESTA)Datos_consumo_datadis'!A12597&lt;&gt;"""",SPLIT('(INGESTA)Datos_consumo_datadis'!A:A,"",""),"""")"),"ES0031408323131005HX0F")</f>
        <v>ES0031408323131005HX0F</v>
      </c>
      <c r="B12597" s="12">
        <f>IFERROR(__xludf.DUMMYFUNCTION("""COMPUTED_VALUE"""),45390.0)</f>
        <v>45390</v>
      </c>
      <c r="C12597" s="13">
        <f>IFERROR(__xludf.DUMMYFUNCTION("""COMPUTED_VALUE"""),0.875)</f>
        <v>0.875</v>
      </c>
      <c r="D12597" s="8">
        <f>IFERROR(__xludf.DUMMYFUNCTION("""COMPUTED_VALUE"""),0.986)</f>
        <v>0.986</v>
      </c>
      <c r="E12597" s="8" t="str">
        <f>IFERROR(__xludf.DUMMYFUNCTION("""COMPUTED_VALUE"""),"Real")</f>
        <v>Real</v>
      </c>
      <c r="G12597" s="8">
        <f t="shared" si="1"/>
        <v>4</v>
      </c>
      <c r="H12597" s="14">
        <f t="shared" si="2"/>
        <v>8</v>
      </c>
      <c r="I12597" s="15">
        <f t="shared" si="3"/>
        <v>21</v>
      </c>
    </row>
    <row r="12598">
      <c r="A12598" s="8" t="str">
        <f>IFERROR(__xludf.DUMMYFUNCTION("IF('(INGESTA)Datos_consumo_datadis'!A12598&lt;&gt;"""",SPLIT('(INGESTA)Datos_consumo_datadis'!A:A,"",""),"""")"),"ES0031408323131005HX0F")</f>
        <v>ES0031408323131005HX0F</v>
      </c>
      <c r="B12598" s="12">
        <f>IFERROR(__xludf.DUMMYFUNCTION("""COMPUTED_VALUE"""),45390.0)</f>
        <v>45390</v>
      </c>
      <c r="C12598" s="13">
        <f>IFERROR(__xludf.DUMMYFUNCTION("""COMPUTED_VALUE"""),0.9166666666666666)</f>
        <v>0.9166666667</v>
      </c>
      <c r="D12598" s="8">
        <f>IFERROR(__xludf.DUMMYFUNCTION("""COMPUTED_VALUE"""),0.5)</f>
        <v>0.5</v>
      </c>
      <c r="E12598" s="8" t="str">
        <f>IFERROR(__xludf.DUMMYFUNCTION("""COMPUTED_VALUE"""),"Real")</f>
        <v>Real</v>
      </c>
      <c r="G12598" s="8">
        <f t="shared" si="1"/>
        <v>4</v>
      </c>
      <c r="H12598" s="14">
        <f t="shared" si="2"/>
        <v>8</v>
      </c>
      <c r="I12598" s="15">
        <f t="shared" si="3"/>
        <v>22</v>
      </c>
    </row>
    <row r="12599">
      <c r="A12599" s="8" t="str">
        <f>IFERROR(__xludf.DUMMYFUNCTION("IF('(INGESTA)Datos_consumo_datadis'!A12599&lt;&gt;"""",SPLIT('(INGESTA)Datos_consumo_datadis'!A:A,"",""),"""")"),"ES0031408323131005HX0F")</f>
        <v>ES0031408323131005HX0F</v>
      </c>
      <c r="B12599" s="12">
        <f>IFERROR(__xludf.DUMMYFUNCTION("""COMPUTED_VALUE"""),45390.0)</f>
        <v>45390</v>
      </c>
      <c r="C12599" s="13">
        <f>IFERROR(__xludf.DUMMYFUNCTION("""COMPUTED_VALUE"""),0.9583333333333334)</f>
        <v>0.9583333333</v>
      </c>
      <c r="D12599" s="8">
        <f>IFERROR(__xludf.DUMMYFUNCTION("""COMPUTED_VALUE"""),2.653)</f>
        <v>2.653</v>
      </c>
      <c r="E12599" s="8" t="str">
        <f>IFERROR(__xludf.DUMMYFUNCTION("""COMPUTED_VALUE"""),"Real")</f>
        <v>Real</v>
      </c>
      <c r="G12599" s="8">
        <f t="shared" si="1"/>
        <v>4</v>
      </c>
      <c r="H12599" s="14">
        <f t="shared" si="2"/>
        <v>8</v>
      </c>
      <c r="I12599" s="15">
        <f t="shared" si="3"/>
        <v>23</v>
      </c>
    </row>
    <row r="12600">
      <c r="A12600" s="8" t="str">
        <f>IFERROR(__xludf.DUMMYFUNCTION("IF('(INGESTA)Datos_consumo_datadis'!A12600&lt;&gt;"""",SPLIT('(INGESTA)Datos_consumo_datadis'!A:A,"",""),"""")"),"ES0031408323131005HX0F")</f>
        <v>ES0031408323131005HX0F</v>
      </c>
      <c r="B12600" s="12">
        <f>IFERROR(__xludf.DUMMYFUNCTION("""COMPUTED_VALUE"""),45390.0)</f>
        <v>45390</v>
      </c>
      <c r="C12600" s="16">
        <f>IFERROR(__xludf.DUMMYFUNCTION("""COMPUTED_VALUE"""),1.0)</f>
        <v>1</v>
      </c>
      <c r="D12600" s="8">
        <f>IFERROR(__xludf.DUMMYFUNCTION("""COMPUTED_VALUE"""),1.182)</f>
        <v>1.182</v>
      </c>
      <c r="E12600" s="8" t="str">
        <f>IFERROR(__xludf.DUMMYFUNCTION("""COMPUTED_VALUE"""),"Real")</f>
        <v>Real</v>
      </c>
      <c r="G12600" s="8">
        <f t="shared" si="1"/>
        <v>4</v>
      </c>
      <c r="H12600" s="14">
        <f t="shared" si="2"/>
        <v>8</v>
      </c>
      <c r="I12600" s="15">
        <f t="shared" si="3"/>
        <v>0</v>
      </c>
    </row>
    <row r="12601">
      <c r="A12601" s="8" t="str">
        <f>IFERROR(__xludf.DUMMYFUNCTION("IF('(INGESTA)Datos_consumo_datadis'!A12601&lt;&gt;"""",SPLIT('(INGESTA)Datos_consumo_datadis'!A:A,"",""),"""")"),"ES0031408323131005HX0F")</f>
        <v>ES0031408323131005HX0F</v>
      </c>
      <c r="B12601" s="12">
        <f>IFERROR(__xludf.DUMMYFUNCTION("""COMPUTED_VALUE"""),45391.0)</f>
        <v>45391</v>
      </c>
      <c r="C12601" s="13">
        <f>IFERROR(__xludf.DUMMYFUNCTION("""COMPUTED_VALUE"""),0.041666666666666664)</f>
        <v>0.04166666667</v>
      </c>
      <c r="D12601" s="8">
        <f>IFERROR(__xludf.DUMMYFUNCTION("""COMPUTED_VALUE"""),1.176)</f>
        <v>1.176</v>
      </c>
      <c r="E12601" s="8" t="str">
        <f>IFERROR(__xludf.DUMMYFUNCTION("""COMPUTED_VALUE"""),"Real")</f>
        <v>Real</v>
      </c>
      <c r="G12601" s="8">
        <f t="shared" si="1"/>
        <v>4</v>
      </c>
      <c r="H12601" s="14">
        <f t="shared" si="2"/>
        <v>9</v>
      </c>
      <c r="I12601" s="15">
        <f t="shared" si="3"/>
        <v>1</v>
      </c>
    </row>
    <row r="12602">
      <c r="A12602" s="8" t="str">
        <f>IFERROR(__xludf.DUMMYFUNCTION("IF('(INGESTA)Datos_consumo_datadis'!A12602&lt;&gt;"""",SPLIT('(INGESTA)Datos_consumo_datadis'!A:A,"",""),"""")"),"ES0031408323131005HX0F")</f>
        <v>ES0031408323131005HX0F</v>
      </c>
      <c r="B12602" s="12">
        <f>IFERROR(__xludf.DUMMYFUNCTION("""COMPUTED_VALUE"""),45391.0)</f>
        <v>45391</v>
      </c>
      <c r="C12602" s="13">
        <f>IFERROR(__xludf.DUMMYFUNCTION("""COMPUTED_VALUE"""),0.08333333333333333)</f>
        <v>0.08333333333</v>
      </c>
      <c r="D12602" s="8">
        <f>IFERROR(__xludf.DUMMYFUNCTION("""COMPUTED_VALUE"""),0.677)</f>
        <v>0.677</v>
      </c>
      <c r="E12602" s="8" t="str">
        <f>IFERROR(__xludf.DUMMYFUNCTION("""COMPUTED_VALUE"""),"Real")</f>
        <v>Real</v>
      </c>
      <c r="G12602" s="8">
        <f t="shared" si="1"/>
        <v>4</v>
      </c>
      <c r="H12602" s="14">
        <f t="shared" si="2"/>
        <v>9</v>
      </c>
      <c r="I12602" s="15">
        <f t="shared" si="3"/>
        <v>2</v>
      </c>
    </row>
    <row r="12603">
      <c r="A12603" s="8" t="str">
        <f>IFERROR(__xludf.DUMMYFUNCTION("IF('(INGESTA)Datos_consumo_datadis'!A12603&lt;&gt;"""",SPLIT('(INGESTA)Datos_consumo_datadis'!A:A,"",""),"""")"),"ES0031408323131005HX0F")</f>
        <v>ES0031408323131005HX0F</v>
      </c>
      <c r="B12603" s="12">
        <f>IFERROR(__xludf.DUMMYFUNCTION("""COMPUTED_VALUE"""),45391.0)</f>
        <v>45391</v>
      </c>
      <c r="C12603" s="13">
        <f>IFERROR(__xludf.DUMMYFUNCTION("""COMPUTED_VALUE"""),0.125)</f>
        <v>0.125</v>
      </c>
      <c r="D12603" s="8">
        <f>IFERROR(__xludf.DUMMYFUNCTION("""COMPUTED_VALUE"""),0.101)</f>
        <v>0.101</v>
      </c>
      <c r="E12603" s="8" t="str">
        <f>IFERROR(__xludf.DUMMYFUNCTION("""COMPUTED_VALUE"""),"Real")</f>
        <v>Real</v>
      </c>
      <c r="G12603" s="8">
        <f t="shared" si="1"/>
        <v>4</v>
      </c>
      <c r="H12603" s="14">
        <f t="shared" si="2"/>
        <v>9</v>
      </c>
      <c r="I12603" s="15">
        <f t="shared" si="3"/>
        <v>3</v>
      </c>
    </row>
    <row r="12604">
      <c r="A12604" s="8" t="str">
        <f>IFERROR(__xludf.DUMMYFUNCTION("IF('(INGESTA)Datos_consumo_datadis'!A12604&lt;&gt;"""",SPLIT('(INGESTA)Datos_consumo_datadis'!A:A,"",""),"""")"),"ES0031408323131005HX0F")</f>
        <v>ES0031408323131005HX0F</v>
      </c>
      <c r="B12604" s="12">
        <f>IFERROR(__xludf.DUMMYFUNCTION("""COMPUTED_VALUE"""),45391.0)</f>
        <v>45391</v>
      </c>
      <c r="C12604" s="13">
        <f>IFERROR(__xludf.DUMMYFUNCTION("""COMPUTED_VALUE"""),0.16666666666666666)</f>
        <v>0.1666666667</v>
      </c>
      <c r="D12604" s="8">
        <f>IFERROR(__xludf.DUMMYFUNCTION("""COMPUTED_VALUE"""),0.073)</f>
        <v>0.073</v>
      </c>
      <c r="E12604" s="8" t="str">
        <f>IFERROR(__xludf.DUMMYFUNCTION("""COMPUTED_VALUE"""),"Real")</f>
        <v>Real</v>
      </c>
      <c r="G12604" s="8">
        <f t="shared" si="1"/>
        <v>4</v>
      </c>
      <c r="H12604" s="14">
        <f t="shared" si="2"/>
        <v>9</v>
      </c>
      <c r="I12604" s="15">
        <f t="shared" si="3"/>
        <v>4</v>
      </c>
    </row>
    <row r="12605">
      <c r="A12605" s="8" t="str">
        <f>IFERROR(__xludf.DUMMYFUNCTION("IF('(INGESTA)Datos_consumo_datadis'!A12605&lt;&gt;"""",SPLIT('(INGESTA)Datos_consumo_datadis'!A:A,"",""),"""")"),"ES0031408323131005HX0F")</f>
        <v>ES0031408323131005HX0F</v>
      </c>
      <c r="B12605" s="12">
        <f>IFERROR(__xludf.DUMMYFUNCTION("""COMPUTED_VALUE"""),45391.0)</f>
        <v>45391</v>
      </c>
      <c r="C12605" s="13">
        <f>IFERROR(__xludf.DUMMYFUNCTION("""COMPUTED_VALUE"""),0.20833333333333334)</f>
        <v>0.2083333333</v>
      </c>
      <c r="D12605" s="8">
        <f>IFERROR(__xludf.DUMMYFUNCTION("""COMPUTED_VALUE"""),0.217)</f>
        <v>0.217</v>
      </c>
      <c r="E12605" s="8" t="str">
        <f>IFERROR(__xludf.DUMMYFUNCTION("""COMPUTED_VALUE"""),"Real")</f>
        <v>Real</v>
      </c>
      <c r="G12605" s="8">
        <f t="shared" si="1"/>
        <v>4</v>
      </c>
      <c r="H12605" s="14">
        <f t="shared" si="2"/>
        <v>9</v>
      </c>
      <c r="I12605" s="15">
        <f t="shared" si="3"/>
        <v>5</v>
      </c>
    </row>
    <row r="12606">
      <c r="A12606" s="8" t="str">
        <f>IFERROR(__xludf.DUMMYFUNCTION("IF('(INGESTA)Datos_consumo_datadis'!A12606&lt;&gt;"""",SPLIT('(INGESTA)Datos_consumo_datadis'!A:A,"",""),"""")"),"ES0031408323131005HX0F")</f>
        <v>ES0031408323131005HX0F</v>
      </c>
      <c r="B12606" s="12">
        <f>IFERROR(__xludf.DUMMYFUNCTION("""COMPUTED_VALUE"""),45391.0)</f>
        <v>45391</v>
      </c>
      <c r="C12606" s="13">
        <f>IFERROR(__xludf.DUMMYFUNCTION("""COMPUTED_VALUE"""),0.25)</f>
        <v>0.25</v>
      </c>
      <c r="D12606" s="8">
        <f>IFERROR(__xludf.DUMMYFUNCTION("""COMPUTED_VALUE"""),0.186)</f>
        <v>0.186</v>
      </c>
      <c r="E12606" s="8" t="str">
        <f>IFERROR(__xludf.DUMMYFUNCTION("""COMPUTED_VALUE"""),"Real")</f>
        <v>Real</v>
      </c>
      <c r="G12606" s="8">
        <f t="shared" si="1"/>
        <v>4</v>
      </c>
      <c r="H12606" s="14">
        <f t="shared" si="2"/>
        <v>9</v>
      </c>
      <c r="I12606" s="15">
        <f t="shared" si="3"/>
        <v>6</v>
      </c>
    </row>
    <row r="12607">
      <c r="A12607" s="8" t="str">
        <f>IFERROR(__xludf.DUMMYFUNCTION("IF('(INGESTA)Datos_consumo_datadis'!A12607&lt;&gt;"""",SPLIT('(INGESTA)Datos_consumo_datadis'!A:A,"",""),"""")"),"ES0031408323131005HX0F")</f>
        <v>ES0031408323131005HX0F</v>
      </c>
      <c r="B12607" s="12">
        <f>IFERROR(__xludf.DUMMYFUNCTION("""COMPUTED_VALUE"""),45391.0)</f>
        <v>45391</v>
      </c>
      <c r="C12607" s="13">
        <f>IFERROR(__xludf.DUMMYFUNCTION("""COMPUTED_VALUE"""),0.2916666666666667)</f>
        <v>0.2916666667</v>
      </c>
      <c r="D12607" s="8">
        <f>IFERROR(__xludf.DUMMYFUNCTION("""COMPUTED_VALUE"""),0.053)</f>
        <v>0.053</v>
      </c>
      <c r="E12607" s="8" t="str">
        <f>IFERROR(__xludf.DUMMYFUNCTION("""COMPUTED_VALUE"""),"Real")</f>
        <v>Real</v>
      </c>
      <c r="G12607" s="8">
        <f t="shared" si="1"/>
        <v>4</v>
      </c>
      <c r="H12607" s="14">
        <f t="shared" si="2"/>
        <v>9</v>
      </c>
      <c r="I12607" s="15">
        <f t="shared" si="3"/>
        <v>7</v>
      </c>
    </row>
    <row r="12608">
      <c r="A12608" s="8" t="str">
        <f>IFERROR(__xludf.DUMMYFUNCTION("IF('(INGESTA)Datos_consumo_datadis'!A12608&lt;&gt;"""",SPLIT('(INGESTA)Datos_consumo_datadis'!A:A,"",""),"""")"),"ES0031408323131005HX0F")</f>
        <v>ES0031408323131005HX0F</v>
      </c>
      <c r="B12608" s="12">
        <f>IFERROR(__xludf.DUMMYFUNCTION("""COMPUTED_VALUE"""),45391.0)</f>
        <v>45391</v>
      </c>
      <c r="C12608" s="13">
        <f>IFERROR(__xludf.DUMMYFUNCTION("""COMPUTED_VALUE"""),0.3333333333333333)</f>
        <v>0.3333333333</v>
      </c>
      <c r="D12608" s="8">
        <f>IFERROR(__xludf.DUMMYFUNCTION("""COMPUTED_VALUE"""),1.481)</f>
        <v>1.481</v>
      </c>
      <c r="E12608" s="8" t="str">
        <f>IFERROR(__xludf.DUMMYFUNCTION("""COMPUTED_VALUE"""),"Real")</f>
        <v>Real</v>
      </c>
      <c r="G12608" s="8">
        <f t="shared" si="1"/>
        <v>4</v>
      </c>
      <c r="H12608" s="14">
        <f t="shared" si="2"/>
        <v>9</v>
      </c>
      <c r="I12608" s="15">
        <f t="shared" si="3"/>
        <v>8</v>
      </c>
    </row>
    <row r="12609">
      <c r="A12609" s="8" t="str">
        <f>IFERROR(__xludf.DUMMYFUNCTION("IF('(INGESTA)Datos_consumo_datadis'!A12609&lt;&gt;"""",SPLIT('(INGESTA)Datos_consumo_datadis'!A:A,"",""),"""")"),"ES0031408323131005HX0F")</f>
        <v>ES0031408323131005HX0F</v>
      </c>
      <c r="B12609" s="12">
        <f>IFERROR(__xludf.DUMMYFUNCTION("""COMPUTED_VALUE"""),45391.0)</f>
        <v>45391</v>
      </c>
      <c r="C12609" s="13">
        <f>IFERROR(__xludf.DUMMYFUNCTION("""COMPUTED_VALUE"""),0.375)</f>
        <v>0.375</v>
      </c>
      <c r="D12609" s="8">
        <f>IFERROR(__xludf.DUMMYFUNCTION("""COMPUTED_VALUE"""),0.636)</f>
        <v>0.636</v>
      </c>
      <c r="E12609" s="8" t="str">
        <f>IFERROR(__xludf.DUMMYFUNCTION("""COMPUTED_VALUE"""),"Real")</f>
        <v>Real</v>
      </c>
      <c r="G12609" s="8">
        <f t="shared" si="1"/>
        <v>4</v>
      </c>
      <c r="H12609" s="14">
        <f t="shared" si="2"/>
        <v>9</v>
      </c>
      <c r="I12609" s="15">
        <f t="shared" si="3"/>
        <v>9</v>
      </c>
    </row>
    <row r="12610">
      <c r="A12610" s="8" t="str">
        <f>IFERROR(__xludf.DUMMYFUNCTION("IF('(INGESTA)Datos_consumo_datadis'!A12610&lt;&gt;"""",SPLIT('(INGESTA)Datos_consumo_datadis'!A:A,"",""),"""")"),"ES0031408323131005HX0F")</f>
        <v>ES0031408323131005HX0F</v>
      </c>
      <c r="B12610" s="12">
        <f>IFERROR(__xludf.DUMMYFUNCTION("""COMPUTED_VALUE"""),45391.0)</f>
        <v>45391</v>
      </c>
      <c r="C12610" s="13">
        <f>IFERROR(__xludf.DUMMYFUNCTION("""COMPUTED_VALUE"""),0.4166666666666667)</f>
        <v>0.4166666667</v>
      </c>
      <c r="D12610" s="8">
        <f>IFERROR(__xludf.DUMMYFUNCTION("""COMPUTED_VALUE"""),0.693)</f>
        <v>0.693</v>
      </c>
      <c r="E12610" s="8" t="str">
        <f>IFERROR(__xludf.DUMMYFUNCTION("""COMPUTED_VALUE"""),"Real")</f>
        <v>Real</v>
      </c>
      <c r="G12610" s="8">
        <f t="shared" si="1"/>
        <v>4</v>
      </c>
      <c r="H12610" s="14">
        <f t="shared" si="2"/>
        <v>9</v>
      </c>
      <c r="I12610" s="15">
        <f t="shared" si="3"/>
        <v>10</v>
      </c>
    </row>
    <row r="12611">
      <c r="A12611" s="8" t="str">
        <f>IFERROR(__xludf.DUMMYFUNCTION("IF('(INGESTA)Datos_consumo_datadis'!A12611&lt;&gt;"""",SPLIT('(INGESTA)Datos_consumo_datadis'!A:A,"",""),"""")"),"ES0031408323131005HX0F")</f>
        <v>ES0031408323131005HX0F</v>
      </c>
      <c r="B12611" s="12">
        <f>IFERROR(__xludf.DUMMYFUNCTION("""COMPUTED_VALUE"""),45391.0)</f>
        <v>45391</v>
      </c>
      <c r="C12611" s="13">
        <f>IFERROR(__xludf.DUMMYFUNCTION("""COMPUTED_VALUE"""),0.4583333333333333)</f>
        <v>0.4583333333</v>
      </c>
      <c r="D12611" s="8">
        <f>IFERROR(__xludf.DUMMYFUNCTION("""COMPUTED_VALUE"""),0.056)</f>
        <v>0.056</v>
      </c>
      <c r="E12611" s="8" t="str">
        <f>IFERROR(__xludf.DUMMYFUNCTION("""COMPUTED_VALUE"""),"Real")</f>
        <v>Real</v>
      </c>
      <c r="G12611" s="8">
        <f t="shared" si="1"/>
        <v>4</v>
      </c>
      <c r="H12611" s="14">
        <f t="shared" si="2"/>
        <v>9</v>
      </c>
      <c r="I12611" s="15">
        <f t="shared" si="3"/>
        <v>11</v>
      </c>
    </row>
    <row r="12612">
      <c r="A12612" s="8" t="str">
        <f>IFERROR(__xludf.DUMMYFUNCTION("IF('(INGESTA)Datos_consumo_datadis'!A12612&lt;&gt;"""",SPLIT('(INGESTA)Datos_consumo_datadis'!A:A,"",""),"""")"),"ES0031408323131005HX0F")</f>
        <v>ES0031408323131005HX0F</v>
      </c>
      <c r="B12612" s="12">
        <f>IFERROR(__xludf.DUMMYFUNCTION("""COMPUTED_VALUE"""),45391.0)</f>
        <v>45391</v>
      </c>
      <c r="C12612" s="13">
        <f>IFERROR(__xludf.DUMMYFUNCTION("""COMPUTED_VALUE"""),0.5)</f>
        <v>0.5</v>
      </c>
      <c r="D12612" s="8">
        <f>IFERROR(__xludf.DUMMYFUNCTION("""COMPUTED_VALUE"""),0.112)</f>
        <v>0.112</v>
      </c>
      <c r="E12612" s="8" t="str">
        <f>IFERROR(__xludf.DUMMYFUNCTION("""COMPUTED_VALUE"""),"Real")</f>
        <v>Real</v>
      </c>
      <c r="G12612" s="8">
        <f t="shared" si="1"/>
        <v>4</v>
      </c>
      <c r="H12612" s="14">
        <f t="shared" si="2"/>
        <v>9</v>
      </c>
      <c r="I12612" s="15">
        <f t="shared" si="3"/>
        <v>12</v>
      </c>
    </row>
    <row r="12613">
      <c r="A12613" s="8" t="str">
        <f>IFERROR(__xludf.DUMMYFUNCTION("IF('(INGESTA)Datos_consumo_datadis'!A12613&lt;&gt;"""",SPLIT('(INGESTA)Datos_consumo_datadis'!A:A,"",""),"""")"),"ES0031408323131005HX0F")</f>
        <v>ES0031408323131005HX0F</v>
      </c>
      <c r="B12613" s="12">
        <f>IFERROR(__xludf.DUMMYFUNCTION("""COMPUTED_VALUE"""),45391.0)</f>
        <v>45391</v>
      </c>
      <c r="C12613" s="13">
        <f>IFERROR(__xludf.DUMMYFUNCTION("""COMPUTED_VALUE"""),0.5416666666666666)</f>
        <v>0.5416666667</v>
      </c>
      <c r="D12613" s="8">
        <f>IFERROR(__xludf.DUMMYFUNCTION("""COMPUTED_VALUE"""),0.356)</f>
        <v>0.356</v>
      </c>
      <c r="E12613" s="8" t="str">
        <f>IFERROR(__xludf.DUMMYFUNCTION("""COMPUTED_VALUE"""),"Real")</f>
        <v>Real</v>
      </c>
      <c r="G12613" s="8">
        <f t="shared" si="1"/>
        <v>4</v>
      </c>
      <c r="H12613" s="14">
        <f t="shared" si="2"/>
        <v>9</v>
      </c>
      <c r="I12613" s="15">
        <f t="shared" si="3"/>
        <v>13</v>
      </c>
    </row>
    <row r="12614">
      <c r="A12614" s="8" t="str">
        <f>IFERROR(__xludf.DUMMYFUNCTION("IF('(INGESTA)Datos_consumo_datadis'!A12614&lt;&gt;"""",SPLIT('(INGESTA)Datos_consumo_datadis'!A:A,"",""),"""")"),"ES0031408323131005HX0F")</f>
        <v>ES0031408323131005HX0F</v>
      </c>
      <c r="B12614" s="12">
        <f>IFERROR(__xludf.DUMMYFUNCTION("""COMPUTED_VALUE"""),45391.0)</f>
        <v>45391</v>
      </c>
      <c r="C12614" s="13">
        <f>IFERROR(__xludf.DUMMYFUNCTION("""COMPUTED_VALUE"""),0.5833333333333334)</f>
        <v>0.5833333333</v>
      </c>
      <c r="D12614" s="8">
        <f>IFERROR(__xludf.DUMMYFUNCTION("""COMPUTED_VALUE"""),0.114)</f>
        <v>0.114</v>
      </c>
      <c r="E12614" s="8" t="str">
        <f>IFERROR(__xludf.DUMMYFUNCTION("""COMPUTED_VALUE"""),"Real")</f>
        <v>Real</v>
      </c>
      <c r="G12614" s="8">
        <f t="shared" si="1"/>
        <v>4</v>
      </c>
      <c r="H12614" s="14">
        <f t="shared" si="2"/>
        <v>9</v>
      </c>
      <c r="I12614" s="15">
        <f t="shared" si="3"/>
        <v>14</v>
      </c>
    </row>
    <row r="12615">
      <c r="A12615" s="8" t="str">
        <f>IFERROR(__xludf.DUMMYFUNCTION("IF('(INGESTA)Datos_consumo_datadis'!A12615&lt;&gt;"""",SPLIT('(INGESTA)Datos_consumo_datadis'!A:A,"",""),"""")"),"ES0031408323131005HX0F")</f>
        <v>ES0031408323131005HX0F</v>
      </c>
      <c r="B12615" s="12">
        <f>IFERROR(__xludf.DUMMYFUNCTION("""COMPUTED_VALUE"""),45391.0)</f>
        <v>45391</v>
      </c>
      <c r="C12615" s="13">
        <f>IFERROR(__xludf.DUMMYFUNCTION("""COMPUTED_VALUE"""),0.625)</f>
        <v>0.625</v>
      </c>
      <c r="D12615" s="8">
        <f>IFERROR(__xludf.DUMMYFUNCTION("""COMPUTED_VALUE"""),0.054)</f>
        <v>0.054</v>
      </c>
      <c r="E12615" s="8" t="str">
        <f>IFERROR(__xludf.DUMMYFUNCTION("""COMPUTED_VALUE"""),"Real")</f>
        <v>Real</v>
      </c>
      <c r="G12615" s="8">
        <f t="shared" si="1"/>
        <v>4</v>
      </c>
      <c r="H12615" s="14">
        <f t="shared" si="2"/>
        <v>9</v>
      </c>
      <c r="I12615" s="15">
        <f t="shared" si="3"/>
        <v>15</v>
      </c>
    </row>
    <row r="12616">
      <c r="A12616" s="8" t="str">
        <f>IFERROR(__xludf.DUMMYFUNCTION("IF('(INGESTA)Datos_consumo_datadis'!A12616&lt;&gt;"""",SPLIT('(INGESTA)Datos_consumo_datadis'!A:A,"",""),"""")"),"ES0031408323131005HX0F")</f>
        <v>ES0031408323131005HX0F</v>
      </c>
      <c r="B12616" s="12">
        <f>IFERROR(__xludf.DUMMYFUNCTION("""COMPUTED_VALUE"""),45391.0)</f>
        <v>45391</v>
      </c>
      <c r="C12616" s="13">
        <f>IFERROR(__xludf.DUMMYFUNCTION("""COMPUTED_VALUE"""),0.6666666666666666)</f>
        <v>0.6666666667</v>
      </c>
      <c r="D12616" s="8">
        <f>IFERROR(__xludf.DUMMYFUNCTION("""COMPUTED_VALUE"""),0.351)</f>
        <v>0.351</v>
      </c>
      <c r="E12616" s="8" t="str">
        <f>IFERROR(__xludf.DUMMYFUNCTION("""COMPUTED_VALUE"""),"Real")</f>
        <v>Real</v>
      </c>
      <c r="G12616" s="8">
        <f t="shared" si="1"/>
        <v>4</v>
      </c>
      <c r="H12616" s="14">
        <f t="shared" si="2"/>
        <v>9</v>
      </c>
      <c r="I12616" s="15">
        <f t="shared" si="3"/>
        <v>16</v>
      </c>
    </row>
    <row r="12617">
      <c r="A12617" s="8" t="str">
        <f>IFERROR(__xludf.DUMMYFUNCTION("IF('(INGESTA)Datos_consumo_datadis'!A12617&lt;&gt;"""",SPLIT('(INGESTA)Datos_consumo_datadis'!A:A,"",""),"""")"),"ES0031408323131005HX0F")</f>
        <v>ES0031408323131005HX0F</v>
      </c>
      <c r="B12617" s="12">
        <f>IFERROR(__xludf.DUMMYFUNCTION("""COMPUTED_VALUE"""),45391.0)</f>
        <v>45391</v>
      </c>
      <c r="C12617" s="13">
        <f>IFERROR(__xludf.DUMMYFUNCTION("""COMPUTED_VALUE"""),0.7083333333333334)</f>
        <v>0.7083333333</v>
      </c>
      <c r="D12617" s="8">
        <f>IFERROR(__xludf.DUMMYFUNCTION("""COMPUTED_VALUE"""),0.03)</f>
        <v>0.03</v>
      </c>
      <c r="E12617" s="8" t="str">
        <f>IFERROR(__xludf.DUMMYFUNCTION("""COMPUTED_VALUE"""),"Real")</f>
        <v>Real</v>
      </c>
      <c r="G12617" s="8">
        <f t="shared" si="1"/>
        <v>4</v>
      </c>
      <c r="H12617" s="14">
        <f t="shared" si="2"/>
        <v>9</v>
      </c>
      <c r="I12617" s="15">
        <f t="shared" si="3"/>
        <v>17</v>
      </c>
    </row>
    <row r="12618">
      <c r="A12618" s="8" t="str">
        <f>IFERROR(__xludf.DUMMYFUNCTION("IF('(INGESTA)Datos_consumo_datadis'!A12618&lt;&gt;"""",SPLIT('(INGESTA)Datos_consumo_datadis'!A:A,"",""),"""")"),"ES0031408323131005HX0F")</f>
        <v>ES0031408323131005HX0F</v>
      </c>
      <c r="B12618" s="12">
        <f>IFERROR(__xludf.DUMMYFUNCTION("""COMPUTED_VALUE"""),45391.0)</f>
        <v>45391</v>
      </c>
      <c r="C12618" s="13">
        <f>IFERROR(__xludf.DUMMYFUNCTION("""COMPUTED_VALUE"""),0.75)</f>
        <v>0.75</v>
      </c>
      <c r="D12618" s="8">
        <f>IFERROR(__xludf.DUMMYFUNCTION("""COMPUTED_VALUE"""),0.196)</f>
        <v>0.196</v>
      </c>
      <c r="E12618" s="8" t="str">
        <f>IFERROR(__xludf.DUMMYFUNCTION("""COMPUTED_VALUE"""),"Real")</f>
        <v>Real</v>
      </c>
      <c r="G12618" s="8">
        <f t="shared" si="1"/>
        <v>4</v>
      </c>
      <c r="H12618" s="14">
        <f t="shared" si="2"/>
        <v>9</v>
      </c>
      <c r="I12618" s="15">
        <f t="shared" si="3"/>
        <v>18</v>
      </c>
    </row>
    <row r="12619">
      <c r="A12619" s="8" t="str">
        <f>IFERROR(__xludf.DUMMYFUNCTION("IF('(INGESTA)Datos_consumo_datadis'!A12619&lt;&gt;"""",SPLIT('(INGESTA)Datos_consumo_datadis'!A:A,"",""),"""")"),"ES0031408323131005HX0F")</f>
        <v>ES0031408323131005HX0F</v>
      </c>
      <c r="B12619" s="12">
        <f>IFERROR(__xludf.DUMMYFUNCTION("""COMPUTED_VALUE"""),45391.0)</f>
        <v>45391</v>
      </c>
      <c r="C12619" s="13">
        <f>IFERROR(__xludf.DUMMYFUNCTION("""COMPUTED_VALUE"""),0.7916666666666666)</f>
        <v>0.7916666667</v>
      </c>
      <c r="D12619" s="8">
        <f>IFERROR(__xludf.DUMMYFUNCTION("""COMPUTED_VALUE"""),0.062)</f>
        <v>0.062</v>
      </c>
      <c r="E12619" s="8" t="str">
        <f>IFERROR(__xludf.DUMMYFUNCTION("""COMPUTED_VALUE"""),"Real")</f>
        <v>Real</v>
      </c>
      <c r="G12619" s="8">
        <f t="shared" si="1"/>
        <v>4</v>
      </c>
      <c r="H12619" s="14">
        <f t="shared" si="2"/>
        <v>9</v>
      </c>
      <c r="I12619" s="15">
        <f t="shared" si="3"/>
        <v>19</v>
      </c>
    </row>
    <row r="12620">
      <c r="A12620" s="8" t="str">
        <f>IFERROR(__xludf.DUMMYFUNCTION("IF('(INGESTA)Datos_consumo_datadis'!A12620&lt;&gt;"""",SPLIT('(INGESTA)Datos_consumo_datadis'!A:A,"",""),"""")"),"ES0031408323131005HX0F")</f>
        <v>ES0031408323131005HX0F</v>
      </c>
      <c r="B12620" s="12">
        <f>IFERROR(__xludf.DUMMYFUNCTION("""COMPUTED_VALUE"""),45391.0)</f>
        <v>45391</v>
      </c>
      <c r="C12620" s="13">
        <f>IFERROR(__xludf.DUMMYFUNCTION("""COMPUTED_VALUE"""),0.8333333333333334)</f>
        <v>0.8333333333</v>
      </c>
      <c r="D12620" s="8">
        <f>IFERROR(__xludf.DUMMYFUNCTION("""COMPUTED_VALUE"""),2.494)</f>
        <v>2.494</v>
      </c>
      <c r="E12620" s="8" t="str">
        <f>IFERROR(__xludf.DUMMYFUNCTION("""COMPUTED_VALUE"""),"Real")</f>
        <v>Real</v>
      </c>
      <c r="G12620" s="8">
        <f t="shared" si="1"/>
        <v>4</v>
      </c>
      <c r="H12620" s="14">
        <f t="shared" si="2"/>
        <v>9</v>
      </c>
      <c r="I12620" s="15">
        <f t="shared" si="3"/>
        <v>20</v>
      </c>
    </row>
    <row r="12621">
      <c r="A12621" s="8" t="str">
        <f>IFERROR(__xludf.DUMMYFUNCTION("IF('(INGESTA)Datos_consumo_datadis'!A12621&lt;&gt;"""",SPLIT('(INGESTA)Datos_consumo_datadis'!A:A,"",""),"""")"),"ES0031408323131005HX0F")</f>
        <v>ES0031408323131005HX0F</v>
      </c>
      <c r="B12621" s="12">
        <f>IFERROR(__xludf.DUMMYFUNCTION("""COMPUTED_VALUE"""),45391.0)</f>
        <v>45391</v>
      </c>
      <c r="C12621" s="13">
        <f>IFERROR(__xludf.DUMMYFUNCTION("""COMPUTED_VALUE"""),0.875)</f>
        <v>0.875</v>
      </c>
      <c r="D12621" s="8">
        <f>IFERROR(__xludf.DUMMYFUNCTION("""COMPUTED_VALUE"""),2.578)</f>
        <v>2.578</v>
      </c>
      <c r="E12621" s="8" t="str">
        <f>IFERROR(__xludf.DUMMYFUNCTION("""COMPUTED_VALUE"""),"Real")</f>
        <v>Real</v>
      </c>
      <c r="G12621" s="8">
        <f t="shared" si="1"/>
        <v>4</v>
      </c>
      <c r="H12621" s="14">
        <f t="shared" si="2"/>
        <v>9</v>
      </c>
      <c r="I12621" s="15">
        <f t="shared" si="3"/>
        <v>21</v>
      </c>
    </row>
    <row r="12622">
      <c r="A12622" s="8" t="str">
        <f>IFERROR(__xludf.DUMMYFUNCTION("IF('(INGESTA)Datos_consumo_datadis'!A12622&lt;&gt;"""",SPLIT('(INGESTA)Datos_consumo_datadis'!A:A,"",""),"""")"),"ES0031408323131005HX0F")</f>
        <v>ES0031408323131005HX0F</v>
      </c>
      <c r="B12622" s="12">
        <f>IFERROR(__xludf.DUMMYFUNCTION("""COMPUTED_VALUE"""),45391.0)</f>
        <v>45391</v>
      </c>
      <c r="C12622" s="13">
        <f>IFERROR(__xludf.DUMMYFUNCTION("""COMPUTED_VALUE"""),0.9166666666666666)</f>
        <v>0.9166666667</v>
      </c>
      <c r="D12622" s="8">
        <f>IFERROR(__xludf.DUMMYFUNCTION("""COMPUTED_VALUE"""),1.303)</f>
        <v>1.303</v>
      </c>
      <c r="E12622" s="8" t="str">
        <f>IFERROR(__xludf.DUMMYFUNCTION("""COMPUTED_VALUE"""),"Real")</f>
        <v>Real</v>
      </c>
      <c r="G12622" s="8">
        <f t="shared" si="1"/>
        <v>4</v>
      </c>
      <c r="H12622" s="14">
        <f t="shared" si="2"/>
        <v>9</v>
      </c>
      <c r="I12622" s="15">
        <f t="shared" si="3"/>
        <v>22</v>
      </c>
    </row>
    <row r="12623">
      <c r="A12623" s="8" t="str">
        <f>IFERROR(__xludf.DUMMYFUNCTION("IF('(INGESTA)Datos_consumo_datadis'!A12623&lt;&gt;"""",SPLIT('(INGESTA)Datos_consumo_datadis'!A:A,"",""),"""")"),"ES0031408323131005HX0F")</f>
        <v>ES0031408323131005HX0F</v>
      </c>
      <c r="B12623" s="12">
        <f>IFERROR(__xludf.DUMMYFUNCTION("""COMPUTED_VALUE"""),45391.0)</f>
        <v>45391</v>
      </c>
      <c r="C12623" s="13">
        <f>IFERROR(__xludf.DUMMYFUNCTION("""COMPUTED_VALUE"""),0.9583333333333334)</f>
        <v>0.9583333333</v>
      </c>
      <c r="D12623" s="8">
        <f>IFERROR(__xludf.DUMMYFUNCTION("""COMPUTED_VALUE"""),1.784)</f>
        <v>1.784</v>
      </c>
      <c r="E12623" s="8" t="str">
        <f>IFERROR(__xludf.DUMMYFUNCTION("""COMPUTED_VALUE"""),"Real")</f>
        <v>Real</v>
      </c>
      <c r="G12623" s="8">
        <f t="shared" si="1"/>
        <v>4</v>
      </c>
      <c r="H12623" s="14">
        <f t="shared" si="2"/>
        <v>9</v>
      </c>
      <c r="I12623" s="15">
        <f t="shared" si="3"/>
        <v>23</v>
      </c>
    </row>
    <row r="12624">
      <c r="A12624" s="8" t="str">
        <f>IFERROR(__xludf.DUMMYFUNCTION("IF('(INGESTA)Datos_consumo_datadis'!A12624&lt;&gt;"""",SPLIT('(INGESTA)Datos_consumo_datadis'!A:A,"",""),"""")"),"ES0031408323131005HX0F")</f>
        <v>ES0031408323131005HX0F</v>
      </c>
      <c r="B12624" s="12">
        <f>IFERROR(__xludf.DUMMYFUNCTION("""COMPUTED_VALUE"""),45391.0)</f>
        <v>45391</v>
      </c>
      <c r="C12624" s="16">
        <f>IFERROR(__xludf.DUMMYFUNCTION("""COMPUTED_VALUE"""),1.0)</f>
        <v>1</v>
      </c>
      <c r="D12624" s="8">
        <f>IFERROR(__xludf.DUMMYFUNCTION("""COMPUTED_VALUE"""),1.656)</f>
        <v>1.656</v>
      </c>
      <c r="E12624" s="8" t="str">
        <f>IFERROR(__xludf.DUMMYFUNCTION("""COMPUTED_VALUE"""),"Real")</f>
        <v>Real</v>
      </c>
      <c r="G12624" s="8">
        <f t="shared" si="1"/>
        <v>4</v>
      </c>
      <c r="H12624" s="14">
        <f t="shared" si="2"/>
        <v>9</v>
      </c>
      <c r="I12624" s="15">
        <f t="shared" si="3"/>
        <v>0</v>
      </c>
    </row>
    <row r="12625">
      <c r="A12625" s="8" t="str">
        <f>IFERROR(__xludf.DUMMYFUNCTION("IF('(INGESTA)Datos_consumo_datadis'!A12625&lt;&gt;"""",SPLIT('(INGESTA)Datos_consumo_datadis'!A:A,"",""),"""")"),"ES0031408323131005HX0F")</f>
        <v>ES0031408323131005HX0F</v>
      </c>
      <c r="B12625" s="12">
        <f>IFERROR(__xludf.DUMMYFUNCTION("""COMPUTED_VALUE"""),45392.0)</f>
        <v>45392</v>
      </c>
      <c r="C12625" s="13">
        <f>IFERROR(__xludf.DUMMYFUNCTION("""COMPUTED_VALUE"""),0.041666666666666664)</f>
        <v>0.04166666667</v>
      </c>
      <c r="D12625" s="8">
        <f>IFERROR(__xludf.DUMMYFUNCTION("""COMPUTED_VALUE"""),0.138)</f>
        <v>0.138</v>
      </c>
      <c r="E12625" s="8" t="str">
        <f>IFERROR(__xludf.DUMMYFUNCTION("""COMPUTED_VALUE"""),"Real")</f>
        <v>Real</v>
      </c>
      <c r="G12625" s="8">
        <f t="shared" si="1"/>
        <v>4</v>
      </c>
      <c r="H12625" s="14">
        <f t="shared" si="2"/>
        <v>10</v>
      </c>
      <c r="I12625" s="15">
        <f t="shared" si="3"/>
        <v>1</v>
      </c>
    </row>
    <row r="12626">
      <c r="A12626" s="8" t="str">
        <f>IFERROR(__xludf.DUMMYFUNCTION("IF('(INGESTA)Datos_consumo_datadis'!A12626&lt;&gt;"""",SPLIT('(INGESTA)Datos_consumo_datadis'!A:A,"",""),"""")"),"ES0031408323131005HX0F")</f>
        <v>ES0031408323131005HX0F</v>
      </c>
      <c r="B12626" s="12">
        <f>IFERROR(__xludf.DUMMYFUNCTION("""COMPUTED_VALUE"""),45392.0)</f>
        <v>45392</v>
      </c>
      <c r="C12626" s="13">
        <f>IFERROR(__xludf.DUMMYFUNCTION("""COMPUTED_VALUE"""),0.08333333333333333)</f>
        <v>0.08333333333</v>
      </c>
      <c r="D12626" s="8">
        <f>IFERROR(__xludf.DUMMYFUNCTION("""COMPUTED_VALUE"""),0.04)</f>
        <v>0.04</v>
      </c>
      <c r="E12626" s="8" t="str">
        <f>IFERROR(__xludf.DUMMYFUNCTION("""COMPUTED_VALUE"""),"Real")</f>
        <v>Real</v>
      </c>
      <c r="G12626" s="8">
        <f t="shared" si="1"/>
        <v>4</v>
      </c>
      <c r="H12626" s="14">
        <f t="shared" si="2"/>
        <v>10</v>
      </c>
      <c r="I12626" s="15">
        <f t="shared" si="3"/>
        <v>2</v>
      </c>
    </row>
    <row r="12627">
      <c r="A12627" s="8" t="str">
        <f>IFERROR(__xludf.DUMMYFUNCTION("IF('(INGESTA)Datos_consumo_datadis'!A12627&lt;&gt;"""",SPLIT('(INGESTA)Datos_consumo_datadis'!A:A,"",""),"""")"),"ES0031408323131005HX0F")</f>
        <v>ES0031408323131005HX0F</v>
      </c>
      <c r="B12627" s="12">
        <f>IFERROR(__xludf.DUMMYFUNCTION("""COMPUTED_VALUE"""),45392.0)</f>
        <v>45392</v>
      </c>
      <c r="C12627" s="13">
        <f>IFERROR(__xludf.DUMMYFUNCTION("""COMPUTED_VALUE"""),0.125)</f>
        <v>0.125</v>
      </c>
      <c r="D12627" s="8">
        <f>IFERROR(__xludf.DUMMYFUNCTION("""COMPUTED_VALUE"""),0.076)</f>
        <v>0.076</v>
      </c>
      <c r="E12627" s="8" t="str">
        <f>IFERROR(__xludf.DUMMYFUNCTION("""COMPUTED_VALUE"""),"Real")</f>
        <v>Real</v>
      </c>
      <c r="G12627" s="8">
        <f t="shared" si="1"/>
        <v>4</v>
      </c>
      <c r="H12627" s="14">
        <f t="shared" si="2"/>
        <v>10</v>
      </c>
      <c r="I12627" s="15">
        <f t="shared" si="3"/>
        <v>3</v>
      </c>
    </row>
    <row r="12628">
      <c r="A12628" s="8" t="str">
        <f>IFERROR(__xludf.DUMMYFUNCTION("IF('(INGESTA)Datos_consumo_datadis'!A12628&lt;&gt;"""",SPLIT('(INGESTA)Datos_consumo_datadis'!A:A,"",""),"""")"),"ES0031408323131005HX0F")</f>
        <v>ES0031408323131005HX0F</v>
      </c>
      <c r="B12628" s="12">
        <f>IFERROR(__xludf.DUMMYFUNCTION("""COMPUTED_VALUE"""),45392.0)</f>
        <v>45392</v>
      </c>
      <c r="C12628" s="13">
        <f>IFERROR(__xludf.DUMMYFUNCTION("""COMPUTED_VALUE"""),0.16666666666666666)</f>
        <v>0.1666666667</v>
      </c>
      <c r="D12628" s="8">
        <f>IFERROR(__xludf.DUMMYFUNCTION("""COMPUTED_VALUE"""),0.049)</f>
        <v>0.049</v>
      </c>
      <c r="E12628" s="8" t="str">
        <f>IFERROR(__xludf.DUMMYFUNCTION("""COMPUTED_VALUE"""),"Real")</f>
        <v>Real</v>
      </c>
      <c r="G12628" s="8">
        <f t="shared" si="1"/>
        <v>4</v>
      </c>
      <c r="H12628" s="14">
        <f t="shared" si="2"/>
        <v>10</v>
      </c>
      <c r="I12628" s="15">
        <f t="shared" si="3"/>
        <v>4</v>
      </c>
    </row>
    <row r="12629">
      <c r="A12629" s="8" t="str">
        <f>IFERROR(__xludf.DUMMYFUNCTION("IF('(INGESTA)Datos_consumo_datadis'!A12629&lt;&gt;"""",SPLIT('(INGESTA)Datos_consumo_datadis'!A:A,"",""),"""")"),"ES0031408323131005HX0F")</f>
        <v>ES0031408323131005HX0F</v>
      </c>
      <c r="B12629" s="12">
        <f>IFERROR(__xludf.DUMMYFUNCTION("""COMPUTED_VALUE"""),45392.0)</f>
        <v>45392</v>
      </c>
      <c r="C12629" s="13">
        <f>IFERROR(__xludf.DUMMYFUNCTION("""COMPUTED_VALUE"""),0.20833333333333334)</f>
        <v>0.2083333333</v>
      </c>
      <c r="D12629" s="8">
        <f>IFERROR(__xludf.DUMMYFUNCTION("""COMPUTED_VALUE"""),0.329)</f>
        <v>0.329</v>
      </c>
      <c r="E12629" s="8" t="str">
        <f>IFERROR(__xludf.DUMMYFUNCTION("""COMPUTED_VALUE"""),"Real")</f>
        <v>Real</v>
      </c>
      <c r="G12629" s="8">
        <f t="shared" si="1"/>
        <v>4</v>
      </c>
      <c r="H12629" s="14">
        <f t="shared" si="2"/>
        <v>10</v>
      </c>
      <c r="I12629" s="15">
        <f t="shared" si="3"/>
        <v>5</v>
      </c>
    </row>
    <row r="12630">
      <c r="A12630" s="8" t="str">
        <f>IFERROR(__xludf.DUMMYFUNCTION("IF('(INGESTA)Datos_consumo_datadis'!A12630&lt;&gt;"""",SPLIT('(INGESTA)Datos_consumo_datadis'!A:A,"",""),"""")"),"ES0031408323131005HX0F")</f>
        <v>ES0031408323131005HX0F</v>
      </c>
      <c r="B12630" s="12">
        <f>IFERROR(__xludf.DUMMYFUNCTION("""COMPUTED_VALUE"""),45392.0)</f>
        <v>45392</v>
      </c>
      <c r="C12630" s="13">
        <f>IFERROR(__xludf.DUMMYFUNCTION("""COMPUTED_VALUE"""),0.25)</f>
        <v>0.25</v>
      </c>
      <c r="D12630" s="8">
        <f>IFERROR(__xludf.DUMMYFUNCTION("""COMPUTED_VALUE"""),0.053)</f>
        <v>0.053</v>
      </c>
      <c r="E12630" s="8" t="str">
        <f>IFERROR(__xludf.DUMMYFUNCTION("""COMPUTED_VALUE"""),"Real")</f>
        <v>Real</v>
      </c>
      <c r="G12630" s="8">
        <f t="shared" si="1"/>
        <v>4</v>
      </c>
      <c r="H12630" s="14">
        <f t="shared" si="2"/>
        <v>10</v>
      </c>
      <c r="I12630" s="15">
        <f t="shared" si="3"/>
        <v>6</v>
      </c>
    </row>
    <row r="12631">
      <c r="A12631" s="8" t="str">
        <f>IFERROR(__xludf.DUMMYFUNCTION("IF('(INGESTA)Datos_consumo_datadis'!A12631&lt;&gt;"""",SPLIT('(INGESTA)Datos_consumo_datadis'!A:A,"",""),"""")"),"ES0031408323131005HX0F")</f>
        <v>ES0031408323131005HX0F</v>
      </c>
      <c r="B12631" s="12">
        <f>IFERROR(__xludf.DUMMYFUNCTION("""COMPUTED_VALUE"""),45392.0)</f>
        <v>45392</v>
      </c>
      <c r="C12631" s="13">
        <f>IFERROR(__xludf.DUMMYFUNCTION("""COMPUTED_VALUE"""),0.2916666666666667)</f>
        <v>0.2916666667</v>
      </c>
      <c r="D12631" s="8">
        <f>IFERROR(__xludf.DUMMYFUNCTION("""COMPUTED_VALUE"""),0.065)</f>
        <v>0.065</v>
      </c>
      <c r="E12631" s="8" t="str">
        <f>IFERROR(__xludf.DUMMYFUNCTION("""COMPUTED_VALUE"""),"Real")</f>
        <v>Real</v>
      </c>
      <c r="G12631" s="8">
        <f t="shared" si="1"/>
        <v>4</v>
      </c>
      <c r="H12631" s="14">
        <f t="shared" si="2"/>
        <v>10</v>
      </c>
      <c r="I12631" s="15">
        <f t="shared" si="3"/>
        <v>7</v>
      </c>
    </row>
    <row r="12632">
      <c r="A12632" s="8" t="str">
        <f>IFERROR(__xludf.DUMMYFUNCTION("IF('(INGESTA)Datos_consumo_datadis'!A12632&lt;&gt;"""",SPLIT('(INGESTA)Datos_consumo_datadis'!A:A,"",""),"""")"),"ES0031408323131005HX0F")</f>
        <v>ES0031408323131005HX0F</v>
      </c>
      <c r="B12632" s="12">
        <f>IFERROR(__xludf.DUMMYFUNCTION("""COMPUTED_VALUE"""),45392.0)</f>
        <v>45392</v>
      </c>
      <c r="C12632" s="13">
        <f>IFERROR(__xludf.DUMMYFUNCTION("""COMPUTED_VALUE"""),0.3333333333333333)</f>
        <v>0.3333333333</v>
      </c>
      <c r="D12632" s="8">
        <f>IFERROR(__xludf.DUMMYFUNCTION("""COMPUTED_VALUE"""),2.043)</f>
        <v>2.043</v>
      </c>
      <c r="E12632" s="8" t="str">
        <f>IFERROR(__xludf.DUMMYFUNCTION("""COMPUTED_VALUE"""),"Real")</f>
        <v>Real</v>
      </c>
      <c r="G12632" s="8">
        <f t="shared" si="1"/>
        <v>4</v>
      </c>
      <c r="H12632" s="14">
        <f t="shared" si="2"/>
        <v>10</v>
      </c>
      <c r="I12632" s="15">
        <f t="shared" si="3"/>
        <v>8</v>
      </c>
    </row>
    <row r="12633">
      <c r="A12633" s="8" t="str">
        <f>IFERROR(__xludf.DUMMYFUNCTION("IF('(INGESTA)Datos_consumo_datadis'!A12633&lt;&gt;"""",SPLIT('(INGESTA)Datos_consumo_datadis'!A:A,"",""),"""")"),"ES0031408323131005HX0F")</f>
        <v>ES0031408323131005HX0F</v>
      </c>
      <c r="B12633" s="12">
        <f>IFERROR(__xludf.DUMMYFUNCTION("""COMPUTED_VALUE"""),45392.0)</f>
        <v>45392</v>
      </c>
      <c r="C12633" s="13">
        <f>IFERROR(__xludf.DUMMYFUNCTION("""COMPUTED_VALUE"""),0.375)</f>
        <v>0.375</v>
      </c>
      <c r="D12633" s="8">
        <f>IFERROR(__xludf.DUMMYFUNCTION("""COMPUTED_VALUE"""),1.419)</f>
        <v>1.419</v>
      </c>
      <c r="E12633" s="8" t="str">
        <f>IFERROR(__xludf.DUMMYFUNCTION("""COMPUTED_VALUE"""),"Real")</f>
        <v>Real</v>
      </c>
      <c r="G12633" s="8">
        <f t="shared" si="1"/>
        <v>4</v>
      </c>
      <c r="H12633" s="14">
        <f t="shared" si="2"/>
        <v>10</v>
      </c>
      <c r="I12633" s="15">
        <f t="shared" si="3"/>
        <v>9</v>
      </c>
    </row>
    <row r="12634">
      <c r="A12634" s="8" t="str">
        <f>IFERROR(__xludf.DUMMYFUNCTION("IF('(INGESTA)Datos_consumo_datadis'!A12634&lt;&gt;"""",SPLIT('(INGESTA)Datos_consumo_datadis'!A:A,"",""),"""")"),"ES0031408323131005HX0F")</f>
        <v>ES0031408323131005HX0F</v>
      </c>
      <c r="B12634" s="12">
        <f>IFERROR(__xludf.DUMMYFUNCTION("""COMPUTED_VALUE"""),45392.0)</f>
        <v>45392</v>
      </c>
      <c r="C12634" s="13">
        <f>IFERROR(__xludf.DUMMYFUNCTION("""COMPUTED_VALUE"""),0.4166666666666667)</f>
        <v>0.4166666667</v>
      </c>
      <c r="D12634" s="8">
        <f>IFERROR(__xludf.DUMMYFUNCTION("""COMPUTED_VALUE"""),0.054)</f>
        <v>0.054</v>
      </c>
      <c r="E12634" s="8" t="str">
        <f>IFERROR(__xludf.DUMMYFUNCTION("""COMPUTED_VALUE"""),"Real")</f>
        <v>Real</v>
      </c>
      <c r="G12634" s="8">
        <f t="shared" si="1"/>
        <v>4</v>
      </c>
      <c r="H12634" s="14">
        <f t="shared" si="2"/>
        <v>10</v>
      </c>
      <c r="I12634" s="15">
        <f t="shared" si="3"/>
        <v>10</v>
      </c>
    </row>
    <row r="12635">
      <c r="A12635" s="8" t="str">
        <f>IFERROR(__xludf.DUMMYFUNCTION("IF('(INGESTA)Datos_consumo_datadis'!A12635&lt;&gt;"""",SPLIT('(INGESTA)Datos_consumo_datadis'!A:A,"",""),"""")"),"ES0031408323131005HX0F")</f>
        <v>ES0031408323131005HX0F</v>
      </c>
      <c r="B12635" s="12">
        <f>IFERROR(__xludf.DUMMYFUNCTION("""COMPUTED_VALUE"""),45392.0)</f>
        <v>45392</v>
      </c>
      <c r="C12635" s="13">
        <f>IFERROR(__xludf.DUMMYFUNCTION("""COMPUTED_VALUE"""),0.4583333333333333)</f>
        <v>0.4583333333</v>
      </c>
      <c r="D12635" s="8">
        <f>IFERROR(__xludf.DUMMYFUNCTION("""COMPUTED_VALUE"""),0.049)</f>
        <v>0.049</v>
      </c>
      <c r="E12635" s="8" t="str">
        <f>IFERROR(__xludf.DUMMYFUNCTION("""COMPUTED_VALUE"""),"Real")</f>
        <v>Real</v>
      </c>
      <c r="G12635" s="8">
        <f t="shared" si="1"/>
        <v>4</v>
      </c>
      <c r="H12635" s="14">
        <f t="shared" si="2"/>
        <v>10</v>
      </c>
      <c r="I12635" s="15">
        <f t="shared" si="3"/>
        <v>11</v>
      </c>
    </row>
    <row r="12636">
      <c r="A12636" s="8" t="str">
        <f>IFERROR(__xludf.DUMMYFUNCTION("IF('(INGESTA)Datos_consumo_datadis'!A12636&lt;&gt;"""",SPLIT('(INGESTA)Datos_consumo_datadis'!A:A,"",""),"""")"),"ES0031408323131005HX0F")</f>
        <v>ES0031408323131005HX0F</v>
      </c>
      <c r="B12636" s="12">
        <f>IFERROR(__xludf.DUMMYFUNCTION("""COMPUTED_VALUE"""),45392.0)</f>
        <v>45392</v>
      </c>
      <c r="C12636" s="13">
        <f>IFERROR(__xludf.DUMMYFUNCTION("""COMPUTED_VALUE"""),0.5)</f>
        <v>0.5</v>
      </c>
      <c r="D12636" s="8">
        <f>IFERROR(__xludf.DUMMYFUNCTION("""COMPUTED_VALUE"""),0.07)</f>
        <v>0.07</v>
      </c>
      <c r="E12636" s="8" t="str">
        <f>IFERROR(__xludf.DUMMYFUNCTION("""COMPUTED_VALUE"""),"Real")</f>
        <v>Real</v>
      </c>
      <c r="G12636" s="8">
        <f t="shared" si="1"/>
        <v>4</v>
      </c>
      <c r="H12636" s="14">
        <f t="shared" si="2"/>
        <v>10</v>
      </c>
      <c r="I12636" s="15">
        <f t="shared" si="3"/>
        <v>12</v>
      </c>
    </row>
    <row r="12637">
      <c r="A12637" s="8" t="str">
        <f>IFERROR(__xludf.DUMMYFUNCTION("IF('(INGESTA)Datos_consumo_datadis'!A12637&lt;&gt;"""",SPLIT('(INGESTA)Datos_consumo_datadis'!A:A,"",""),"""")"),"ES0031408323131005HX0F")</f>
        <v>ES0031408323131005HX0F</v>
      </c>
      <c r="B12637" s="12">
        <f>IFERROR(__xludf.DUMMYFUNCTION("""COMPUTED_VALUE"""),45392.0)</f>
        <v>45392</v>
      </c>
      <c r="C12637" s="13">
        <f>IFERROR(__xludf.DUMMYFUNCTION("""COMPUTED_VALUE"""),0.5416666666666666)</f>
        <v>0.5416666667</v>
      </c>
      <c r="D12637" s="8">
        <f>IFERROR(__xludf.DUMMYFUNCTION("""COMPUTED_VALUE"""),0.037)</f>
        <v>0.037</v>
      </c>
      <c r="E12637" s="8" t="str">
        <f>IFERROR(__xludf.DUMMYFUNCTION("""COMPUTED_VALUE"""),"Real")</f>
        <v>Real</v>
      </c>
      <c r="G12637" s="8">
        <f t="shared" si="1"/>
        <v>4</v>
      </c>
      <c r="H12637" s="14">
        <f t="shared" si="2"/>
        <v>10</v>
      </c>
      <c r="I12637" s="15">
        <f t="shared" si="3"/>
        <v>13</v>
      </c>
    </row>
    <row r="12638">
      <c r="A12638" s="8" t="str">
        <f>IFERROR(__xludf.DUMMYFUNCTION("IF('(INGESTA)Datos_consumo_datadis'!A12638&lt;&gt;"""",SPLIT('(INGESTA)Datos_consumo_datadis'!A:A,"",""),"""")"),"ES0031408323131005HX0F")</f>
        <v>ES0031408323131005HX0F</v>
      </c>
      <c r="B12638" s="12">
        <f>IFERROR(__xludf.DUMMYFUNCTION("""COMPUTED_VALUE"""),45392.0)</f>
        <v>45392</v>
      </c>
      <c r="C12638" s="13">
        <f>IFERROR(__xludf.DUMMYFUNCTION("""COMPUTED_VALUE"""),0.5833333333333334)</f>
        <v>0.5833333333</v>
      </c>
      <c r="D12638" s="8">
        <f>IFERROR(__xludf.DUMMYFUNCTION("""COMPUTED_VALUE"""),0.311)</f>
        <v>0.311</v>
      </c>
      <c r="E12638" s="8" t="str">
        <f>IFERROR(__xludf.DUMMYFUNCTION("""COMPUTED_VALUE"""),"Real")</f>
        <v>Real</v>
      </c>
      <c r="G12638" s="8">
        <f t="shared" si="1"/>
        <v>4</v>
      </c>
      <c r="H12638" s="14">
        <f t="shared" si="2"/>
        <v>10</v>
      </c>
      <c r="I12638" s="15">
        <f t="shared" si="3"/>
        <v>14</v>
      </c>
    </row>
    <row r="12639">
      <c r="A12639" s="8" t="str">
        <f>IFERROR(__xludf.DUMMYFUNCTION("IF('(INGESTA)Datos_consumo_datadis'!A12639&lt;&gt;"""",SPLIT('(INGESTA)Datos_consumo_datadis'!A:A,"",""),"""")"),"ES0031408323131005HX0F")</f>
        <v>ES0031408323131005HX0F</v>
      </c>
      <c r="B12639" s="12">
        <f>IFERROR(__xludf.DUMMYFUNCTION("""COMPUTED_VALUE"""),45392.0)</f>
        <v>45392</v>
      </c>
      <c r="C12639" s="13">
        <f>IFERROR(__xludf.DUMMYFUNCTION("""COMPUTED_VALUE"""),0.625)</f>
        <v>0.625</v>
      </c>
      <c r="D12639" s="8">
        <f>IFERROR(__xludf.DUMMYFUNCTION("""COMPUTED_VALUE"""),0.097)</f>
        <v>0.097</v>
      </c>
      <c r="E12639" s="8" t="str">
        <f>IFERROR(__xludf.DUMMYFUNCTION("""COMPUTED_VALUE"""),"Real")</f>
        <v>Real</v>
      </c>
      <c r="G12639" s="8">
        <f t="shared" si="1"/>
        <v>4</v>
      </c>
      <c r="H12639" s="14">
        <f t="shared" si="2"/>
        <v>10</v>
      </c>
      <c r="I12639" s="15">
        <f t="shared" si="3"/>
        <v>15</v>
      </c>
    </row>
    <row r="12640">
      <c r="A12640" s="8" t="str">
        <f>IFERROR(__xludf.DUMMYFUNCTION("IF('(INGESTA)Datos_consumo_datadis'!A12640&lt;&gt;"""",SPLIT('(INGESTA)Datos_consumo_datadis'!A:A,"",""),"""")"),"ES0031408323131005HX0F")</f>
        <v>ES0031408323131005HX0F</v>
      </c>
      <c r="B12640" s="12">
        <f>IFERROR(__xludf.DUMMYFUNCTION("""COMPUTED_VALUE"""),45392.0)</f>
        <v>45392</v>
      </c>
      <c r="C12640" s="13">
        <f>IFERROR(__xludf.DUMMYFUNCTION("""COMPUTED_VALUE"""),0.6666666666666666)</f>
        <v>0.6666666667</v>
      </c>
      <c r="D12640" s="8">
        <f>IFERROR(__xludf.DUMMYFUNCTION("""COMPUTED_VALUE"""),0.108)</f>
        <v>0.108</v>
      </c>
      <c r="E12640" s="8" t="str">
        <f>IFERROR(__xludf.DUMMYFUNCTION("""COMPUTED_VALUE"""),"Real")</f>
        <v>Real</v>
      </c>
      <c r="G12640" s="8">
        <f t="shared" si="1"/>
        <v>4</v>
      </c>
      <c r="H12640" s="14">
        <f t="shared" si="2"/>
        <v>10</v>
      </c>
      <c r="I12640" s="15">
        <f t="shared" si="3"/>
        <v>16</v>
      </c>
    </row>
    <row r="12641">
      <c r="A12641" s="8" t="str">
        <f>IFERROR(__xludf.DUMMYFUNCTION("IF('(INGESTA)Datos_consumo_datadis'!A12641&lt;&gt;"""",SPLIT('(INGESTA)Datos_consumo_datadis'!A:A,"",""),"""")"),"ES0031408323131005HX0F")</f>
        <v>ES0031408323131005HX0F</v>
      </c>
      <c r="B12641" s="12">
        <f>IFERROR(__xludf.DUMMYFUNCTION("""COMPUTED_VALUE"""),45392.0)</f>
        <v>45392</v>
      </c>
      <c r="C12641" s="13">
        <f>IFERROR(__xludf.DUMMYFUNCTION("""COMPUTED_VALUE"""),0.7083333333333334)</f>
        <v>0.7083333333</v>
      </c>
      <c r="D12641" s="8">
        <f>IFERROR(__xludf.DUMMYFUNCTION("""COMPUTED_VALUE"""),0.057)</f>
        <v>0.057</v>
      </c>
      <c r="E12641" s="8" t="str">
        <f>IFERROR(__xludf.DUMMYFUNCTION("""COMPUTED_VALUE"""),"Real")</f>
        <v>Real</v>
      </c>
      <c r="G12641" s="8">
        <f t="shared" si="1"/>
        <v>4</v>
      </c>
      <c r="H12641" s="14">
        <f t="shared" si="2"/>
        <v>10</v>
      </c>
      <c r="I12641" s="15">
        <f t="shared" si="3"/>
        <v>17</v>
      </c>
    </row>
    <row r="12642">
      <c r="A12642" s="8" t="str">
        <f>IFERROR(__xludf.DUMMYFUNCTION("IF('(INGESTA)Datos_consumo_datadis'!A12642&lt;&gt;"""",SPLIT('(INGESTA)Datos_consumo_datadis'!A:A,"",""),"""")"),"ES0031408323131005HX0F")</f>
        <v>ES0031408323131005HX0F</v>
      </c>
      <c r="B12642" s="12">
        <f>IFERROR(__xludf.DUMMYFUNCTION("""COMPUTED_VALUE"""),45392.0)</f>
        <v>45392</v>
      </c>
      <c r="C12642" s="13">
        <f>IFERROR(__xludf.DUMMYFUNCTION("""COMPUTED_VALUE"""),0.75)</f>
        <v>0.75</v>
      </c>
      <c r="D12642" s="8">
        <f>IFERROR(__xludf.DUMMYFUNCTION("""COMPUTED_VALUE"""),0.05)</f>
        <v>0.05</v>
      </c>
      <c r="E12642" s="8" t="str">
        <f>IFERROR(__xludf.DUMMYFUNCTION("""COMPUTED_VALUE"""),"Real")</f>
        <v>Real</v>
      </c>
      <c r="G12642" s="8">
        <f t="shared" si="1"/>
        <v>4</v>
      </c>
      <c r="H12642" s="14">
        <f t="shared" si="2"/>
        <v>10</v>
      </c>
      <c r="I12642" s="15">
        <f t="shared" si="3"/>
        <v>18</v>
      </c>
    </row>
    <row r="12643">
      <c r="A12643" s="8" t="str">
        <f>IFERROR(__xludf.DUMMYFUNCTION("IF('(INGESTA)Datos_consumo_datadis'!A12643&lt;&gt;"""",SPLIT('(INGESTA)Datos_consumo_datadis'!A:A,"",""),"""")"),"ES0031408323131005HX0F")</f>
        <v>ES0031408323131005HX0F</v>
      </c>
      <c r="B12643" s="12">
        <f>IFERROR(__xludf.DUMMYFUNCTION("""COMPUTED_VALUE"""),45392.0)</f>
        <v>45392</v>
      </c>
      <c r="C12643" s="13">
        <f>IFERROR(__xludf.DUMMYFUNCTION("""COMPUTED_VALUE"""),0.7916666666666666)</f>
        <v>0.7916666667</v>
      </c>
      <c r="D12643" s="8">
        <f>IFERROR(__xludf.DUMMYFUNCTION("""COMPUTED_VALUE"""),0.132)</f>
        <v>0.132</v>
      </c>
      <c r="E12643" s="8" t="str">
        <f>IFERROR(__xludf.DUMMYFUNCTION("""COMPUTED_VALUE"""),"Real")</f>
        <v>Real</v>
      </c>
      <c r="G12643" s="8">
        <f t="shared" si="1"/>
        <v>4</v>
      </c>
      <c r="H12643" s="14">
        <f t="shared" si="2"/>
        <v>10</v>
      </c>
      <c r="I12643" s="15">
        <f t="shared" si="3"/>
        <v>19</v>
      </c>
    </row>
    <row r="12644">
      <c r="A12644" s="8" t="str">
        <f>IFERROR(__xludf.DUMMYFUNCTION("IF('(INGESTA)Datos_consumo_datadis'!A12644&lt;&gt;"""",SPLIT('(INGESTA)Datos_consumo_datadis'!A:A,"",""),"""")"),"ES0031408323131005HX0F")</f>
        <v>ES0031408323131005HX0F</v>
      </c>
      <c r="B12644" s="12">
        <f>IFERROR(__xludf.DUMMYFUNCTION("""COMPUTED_VALUE"""),45392.0)</f>
        <v>45392</v>
      </c>
      <c r="C12644" s="13">
        <f>IFERROR(__xludf.DUMMYFUNCTION("""COMPUTED_VALUE"""),0.8333333333333334)</f>
        <v>0.8333333333</v>
      </c>
      <c r="D12644" s="8">
        <f>IFERROR(__xludf.DUMMYFUNCTION("""COMPUTED_VALUE"""),1.116)</f>
        <v>1.116</v>
      </c>
      <c r="E12644" s="8" t="str">
        <f>IFERROR(__xludf.DUMMYFUNCTION("""COMPUTED_VALUE"""),"Real")</f>
        <v>Real</v>
      </c>
      <c r="G12644" s="8">
        <f t="shared" si="1"/>
        <v>4</v>
      </c>
      <c r="H12644" s="14">
        <f t="shared" si="2"/>
        <v>10</v>
      </c>
      <c r="I12644" s="15">
        <f t="shared" si="3"/>
        <v>20</v>
      </c>
    </row>
    <row r="12645">
      <c r="A12645" s="8" t="str">
        <f>IFERROR(__xludf.DUMMYFUNCTION("IF('(INGESTA)Datos_consumo_datadis'!A12645&lt;&gt;"""",SPLIT('(INGESTA)Datos_consumo_datadis'!A:A,"",""),"""")"),"ES0031408323131005HX0F")</f>
        <v>ES0031408323131005HX0F</v>
      </c>
      <c r="B12645" s="12">
        <f>IFERROR(__xludf.DUMMYFUNCTION("""COMPUTED_VALUE"""),45392.0)</f>
        <v>45392</v>
      </c>
      <c r="C12645" s="13">
        <f>IFERROR(__xludf.DUMMYFUNCTION("""COMPUTED_VALUE"""),0.875)</f>
        <v>0.875</v>
      </c>
      <c r="D12645" s="8">
        <f>IFERROR(__xludf.DUMMYFUNCTION("""COMPUTED_VALUE"""),1.418)</f>
        <v>1.418</v>
      </c>
      <c r="E12645" s="8" t="str">
        <f>IFERROR(__xludf.DUMMYFUNCTION("""COMPUTED_VALUE"""),"Real")</f>
        <v>Real</v>
      </c>
      <c r="G12645" s="8">
        <f t="shared" si="1"/>
        <v>4</v>
      </c>
      <c r="H12645" s="14">
        <f t="shared" si="2"/>
        <v>10</v>
      </c>
      <c r="I12645" s="15">
        <f t="shared" si="3"/>
        <v>21</v>
      </c>
    </row>
    <row r="12646">
      <c r="A12646" s="8" t="str">
        <f>IFERROR(__xludf.DUMMYFUNCTION("IF('(INGESTA)Datos_consumo_datadis'!A12646&lt;&gt;"""",SPLIT('(INGESTA)Datos_consumo_datadis'!A:A,"",""),"""")"),"ES0031408323131005HX0F")</f>
        <v>ES0031408323131005HX0F</v>
      </c>
      <c r="B12646" s="12">
        <f>IFERROR(__xludf.DUMMYFUNCTION("""COMPUTED_VALUE"""),45392.0)</f>
        <v>45392</v>
      </c>
      <c r="C12646" s="13">
        <f>IFERROR(__xludf.DUMMYFUNCTION("""COMPUTED_VALUE"""),0.9166666666666666)</f>
        <v>0.9166666667</v>
      </c>
      <c r="D12646" s="8">
        <f>IFERROR(__xludf.DUMMYFUNCTION("""COMPUTED_VALUE"""),0.234)</f>
        <v>0.234</v>
      </c>
      <c r="E12646" s="8" t="str">
        <f>IFERROR(__xludf.DUMMYFUNCTION("""COMPUTED_VALUE"""),"Real")</f>
        <v>Real</v>
      </c>
      <c r="G12646" s="8">
        <f t="shared" si="1"/>
        <v>4</v>
      </c>
      <c r="H12646" s="14">
        <f t="shared" si="2"/>
        <v>10</v>
      </c>
      <c r="I12646" s="15">
        <f t="shared" si="3"/>
        <v>22</v>
      </c>
    </row>
    <row r="12647">
      <c r="A12647" s="8" t="str">
        <f>IFERROR(__xludf.DUMMYFUNCTION("IF('(INGESTA)Datos_consumo_datadis'!A12647&lt;&gt;"""",SPLIT('(INGESTA)Datos_consumo_datadis'!A:A,"",""),"""")"),"ES0031408323131005HX0F")</f>
        <v>ES0031408323131005HX0F</v>
      </c>
      <c r="B12647" s="12">
        <f>IFERROR(__xludf.DUMMYFUNCTION("""COMPUTED_VALUE"""),45392.0)</f>
        <v>45392</v>
      </c>
      <c r="C12647" s="13">
        <f>IFERROR(__xludf.DUMMYFUNCTION("""COMPUTED_VALUE"""),0.9583333333333334)</f>
        <v>0.9583333333</v>
      </c>
      <c r="D12647" s="8">
        <f>IFERROR(__xludf.DUMMYFUNCTION("""COMPUTED_VALUE"""),1.404)</f>
        <v>1.404</v>
      </c>
      <c r="E12647" s="8" t="str">
        <f>IFERROR(__xludf.DUMMYFUNCTION("""COMPUTED_VALUE"""),"Real")</f>
        <v>Real</v>
      </c>
      <c r="G12647" s="8">
        <f t="shared" si="1"/>
        <v>4</v>
      </c>
      <c r="H12647" s="14">
        <f t="shared" si="2"/>
        <v>10</v>
      </c>
      <c r="I12647" s="15">
        <f t="shared" si="3"/>
        <v>23</v>
      </c>
    </row>
    <row r="12648">
      <c r="A12648" s="8" t="str">
        <f>IFERROR(__xludf.DUMMYFUNCTION("IF('(INGESTA)Datos_consumo_datadis'!A12648&lt;&gt;"""",SPLIT('(INGESTA)Datos_consumo_datadis'!A:A,"",""),"""")"),"ES0031408323131005HX0F")</f>
        <v>ES0031408323131005HX0F</v>
      </c>
      <c r="B12648" s="12">
        <f>IFERROR(__xludf.DUMMYFUNCTION("""COMPUTED_VALUE"""),45392.0)</f>
        <v>45392</v>
      </c>
      <c r="C12648" s="16">
        <f>IFERROR(__xludf.DUMMYFUNCTION("""COMPUTED_VALUE"""),1.0)</f>
        <v>1</v>
      </c>
      <c r="D12648" s="8">
        <f>IFERROR(__xludf.DUMMYFUNCTION("""COMPUTED_VALUE"""),1.842)</f>
        <v>1.842</v>
      </c>
      <c r="E12648" s="8" t="str">
        <f>IFERROR(__xludf.DUMMYFUNCTION("""COMPUTED_VALUE"""),"Real")</f>
        <v>Real</v>
      </c>
      <c r="G12648" s="8">
        <f t="shared" si="1"/>
        <v>4</v>
      </c>
      <c r="H12648" s="14">
        <f t="shared" si="2"/>
        <v>10</v>
      </c>
      <c r="I12648" s="15">
        <f t="shared" si="3"/>
        <v>0</v>
      </c>
    </row>
    <row r="12649">
      <c r="A12649" s="8" t="str">
        <f>IFERROR(__xludf.DUMMYFUNCTION("IF('(INGESTA)Datos_consumo_datadis'!A12649&lt;&gt;"""",SPLIT('(INGESTA)Datos_consumo_datadis'!A:A,"",""),"""")"),"ES0031408323131005HX0F")</f>
        <v>ES0031408323131005HX0F</v>
      </c>
      <c r="B12649" s="12">
        <f>IFERROR(__xludf.DUMMYFUNCTION("""COMPUTED_VALUE"""),45393.0)</f>
        <v>45393</v>
      </c>
      <c r="C12649" s="13">
        <f>IFERROR(__xludf.DUMMYFUNCTION("""COMPUTED_VALUE"""),0.041666666666666664)</f>
        <v>0.04166666667</v>
      </c>
      <c r="D12649" s="8">
        <f>IFERROR(__xludf.DUMMYFUNCTION("""COMPUTED_VALUE"""),0.365)</f>
        <v>0.365</v>
      </c>
      <c r="E12649" s="8" t="str">
        <f>IFERROR(__xludf.DUMMYFUNCTION("""COMPUTED_VALUE"""),"Real")</f>
        <v>Real</v>
      </c>
      <c r="G12649" s="8">
        <f t="shared" si="1"/>
        <v>4</v>
      </c>
      <c r="H12649" s="14">
        <f t="shared" si="2"/>
        <v>11</v>
      </c>
      <c r="I12649" s="15">
        <f t="shared" si="3"/>
        <v>1</v>
      </c>
    </row>
    <row r="12650">
      <c r="A12650" s="8" t="str">
        <f>IFERROR(__xludf.DUMMYFUNCTION("IF('(INGESTA)Datos_consumo_datadis'!A12650&lt;&gt;"""",SPLIT('(INGESTA)Datos_consumo_datadis'!A:A,"",""),"""")"),"ES0031408323131005HX0F")</f>
        <v>ES0031408323131005HX0F</v>
      </c>
      <c r="B12650" s="12">
        <f>IFERROR(__xludf.DUMMYFUNCTION("""COMPUTED_VALUE"""),45393.0)</f>
        <v>45393</v>
      </c>
      <c r="C12650" s="13">
        <f>IFERROR(__xludf.DUMMYFUNCTION("""COMPUTED_VALUE"""),0.08333333333333333)</f>
        <v>0.08333333333</v>
      </c>
      <c r="D12650" s="8">
        <f>IFERROR(__xludf.DUMMYFUNCTION("""COMPUTED_VALUE"""),0.056)</f>
        <v>0.056</v>
      </c>
      <c r="E12650" s="8" t="str">
        <f>IFERROR(__xludf.DUMMYFUNCTION("""COMPUTED_VALUE"""),"Real")</f>
        <v>Real</v>
      </c>
      <c r="G12650" s="8">
        <f t="shared" si="1"/>
        <v>4</v>
      </c>
      <c r="H12650" s="14">
        <f t="shared" si="2"/>
        <v>11</v>
      </c>
      <c r="I12650" s="15">
        <f t="shared" si="3"/>
        <v>2</v>
      </c>
    </row>
    <row r="12651">
      <c r="A12651" s="8" t="str">
        <f>IFERROR(__xludf.DUMMYFUNCTION("IF('(INGESTA)Datos_consumo_datadis'!A12651&lt;&gt;"""",SPLIT('(INGESTA)Datos_consumo_datadis'!A:A,"",""),"""")"),"ES0031408323131005HX0F")</f>
        <v>ES0031408323131005HX0F</v>
      </c>
      <c r="B12651" s="12">
        <f>IFERROR(__xludf.DUMMYFUNCTION("""COMPUTED_VALUE"""),45393.0)</f>
        <v>45393</v>
      </c>
      <c r="C12651" s="13">
        <f>IFERROR(__xludf.DUMMYFUNCTION("""COMPUTED_VALUE"""),0.125)</f>
        <v>0.125</v>
      </c>
      <c r="D12651" s="8">
        <f>IFERROR(__xludf.DUMMYFUNCTION("""COMPUTED_VALUE"""),0.067)</f>
        <v>0.067</v>
      </c>
      <c r="E12651" s="8" t="str">
        <f>IFERROR(__xludf.DUMMYFUNCTION("""COMPUTED_VALUE"""),"Real")</f>
        <v>Real</v>
      </c>
      <c r="G12651" s="8">
        <f t="shared" si="1"/>
        <v>4</v>
      </c>
      <c r="H12651" s="14">
        <f t="shared" si="2"/>
        <v>11</v>
      </c>
      <c r="I12651" s="15">
        <f t="shared" si="3"/>
        <v>3</v>
      </c>
    </row>
    <row r="12652">
      <c r="A12652" s="8" t="str">
        <f>IFERROR(__xludf.DUMMYFUNCTION("IF('(INGESTA)Datos_consumo_datadis'!A12652&lt;&gt;"""",SPLIT('(INGESTA)Datos_consumo_datadis'!A:A,"",""),"""")"),"ES0031408323131005HX0F")</f>
        <v>ES0031408323131005HX0F</v>
      </c>
      <c r="B12652" s="12">
        <f>IFERROR(__xludf.DUMMYFUNCTION("""COMPUTED_VALUE"""),45393.0)</f>
        <v>45393</v>
      </c>
      <c r="C12652" s="13">
        <f>IFERROR(__xludf.DUMMYFUNCTION("""COMPUTED_VALUE"""),0.16666666666666666)</f>
        <v>0.1666666667</v>
      </c>
      <c r="D12652" s="8">
        <f>IFERROR(__xludf.DUMMYFUNCTION("""COMPUTED_VALUE"""),0.054)</f>
        <v>0.054</v>
      </c>
      <c r="E12652" s="8" t="str">
        <f>IFERROR(__xludf.DUMMYFUNCTION("""COMPUTED_VALUE"""),"Real")</f>
        <v>Real</v>
      </c>
      <c r="G12652" s="8">
        <f t="shared" si="1"/>
        <v>4</v>
      </c>
      <c r="H12652" s="14">
        <f t="shared" si="2"/>
        <v>11</v>
      </c>
      <c r="I12652" s="15">
        <f t="shared" si="3"/>
        <v>4</v>
      </c>
    </row>
    <row r="12653">
      <c r="A12653" s="8" t="str">
        <f>IFERROR(__xludf.DUMMYFUNCTION("IF('(INGESTA)Datos_consumo_datadis'!A12653&lt;&gt;"""",SPLIT('(INGESTA)Datos_consumo_datadis'!A:A,"",""),"""")"),"ES0031408323131005HX0F")</f>
        <v>ES0031408323131005HX0F</v>
      </c>
      <c r="B12653" s="12">
        <f>IFERROR(__xludf.DUMMYFUNCTION("""COMPUTED_VALUE"""),45393.0)</f>
        <v>45393</v>
      </c>
      <c r="C12653" s="13">
        <f>IFERROR(__xludf.DUMMYFUNCTION("""COMPUTED_VALUE"""),0.20833333333333334)</f>
        <v>0.2083333333</v>
      </c>
      <c r="D12653" s="8">
        <f>IFERROR(__xludf.DUMMYFUNCTION("""COMPUTED_VALUE"""),0.308)</f>
        <v>0.308</v>
      </c>
      <c r="E12653" s="8" t="str">
        <f>IFERROR(__xludf.DUMMYFUNCTION("""COMPUTED_VALUE"""),"Real")</f>
        <v>Real</v>
      </c>
      <c r="G12653" s="8">
        <f t="shared" si="1"/>
        <v>4</v>
      </c>
      <c r="H12653" s="14">
        <f t="shared" si="2"/>
        <v>11</v>
      </c>
      <c r="I12653" s="15">
        <f t="shared" si="3"/>
        <v>5</v>
      </c>
    </row>
    <row r="12654">
      <c r="A12654" s="8" t="str">
        <f>IFERROR(__xludf.DUMMYFUNCTION("IF('(INGESTA)Datos_consumo_datadis'!A12654&lt;&gt;"""",SPLIT('(INGESTA)Datos_consumo_datadis'!A:A,"",""),"""")"),"ES0031408323131005HX0F")</f>
        <v>ES0031408323131005HX0F</v>
      </c>
      <c r="B12654" s="12">
        <f>IFERROR(__xludf.DUMMYFUNCTION("""COMPUTED_VALUE"""),45393.0)</f>
        <v>45393</v>
      </c>
      <c r="C12654" s="13">
        <f>IFERROR(__xludf.DUMMYFUNCTION("""COMPUTED_VALUE"""),0.25)</f>
        <v>0.25</v>
      </c>
      <c r="D12654" s="8">
        <f>IFERROR(__xludf.DUMMYFUNCTION("""COMPUTED_VALUE"""),0.08)</f>
        <v>0.08</v>
      </c>
      <c r="E12654" s="8" t="str">
        <f>IFERROR(__xludf.DUMMYFUNCTION("""COMPUTED_VALUE"""),"Real")</f>
        <v>Real</v>
      </c>
      <c r="G12654" s="8">
        <f t="shared" si="1"/>
        <v>4</v>
      </c>
      <c r="H12654" s="14">
        <f t="shared" si="2"/>
        <v>11</v>
      </c>
      <c r="I12654" s="15">
        <f t="shared" si="3"/>
        <v>6</v>
      </c>
    </row>
    <row r="12655">
      <c r="A12655" s="8" t="str">
        <f>IFERROR(__xludf.DUMMYFUNCTION("IF('(INGESTA)Datos_consumo_datadis'!A12655&lt;&gt;"""",SPLIT('(INGESTA)Datos_consumo_datadis'!A:A,"",""),"""")"),"ES0031408323131005HX0F")</f>
        <v>ES0031408323131005HX0F</v>
      </c>
      <c r="B12655" s="12">
        <f>IFERROR(__xludf.DUMMYFUNCTION("""COMPUTED_VALUE"""),45393.0)</f>
        <v>45393</v>
      </c>
      <c r="C12655" s="13">
        <f>IFERROR(__xludf.DUMMYFUNCTION("""COMPUTED_VALUE"""),0.2916666666666667)</f>
        <v>0.2916666667</v>
      </c>
      <c r="D12655" s="8">
        <f>IFERROR(__xludf.DUMMYFUNCTION("""COMPUTED_VALUE"""),0.259)</f>
        <v>0.259</v>
      </c>
      <c r="E12655" s="8" t="str">
        <f>IFERROR(__xludf.DUMMYFUNCTION("""COMPUTED_VALUE"""),"Real")</f>
        <v>Real</v>
      </c>
      <c r="G12655" s="8">
        <f t="shared" si="1"/>
        <v>4</v>
      </c>
      <c r="H12655" s="14">
        <f t="shared" si="2"/>
        <v>11</v>
      </c>
      <c r="I12655" s="15">
        <f t="shared" si="3"/>
        <v>7</v>
      </c>
    </row>
    <row r="12656">
      <c r="A12656" s="8" t="str">
        <f>IFERROR(__xludf.DUMMYFUNCTION("IF('(INGESTA)Datos_consumo_datadis'!A12656&lt;&gt;"""",SPLIT('(INGESTA)Datos_consumo_datadis'!A:A,"",""),"""")"),"ES0031408323131005HX0F")</f>
        <v>ES0031408323131005HX0F</v>
      </c>
      <c r="B12656" s="12">
        <f>IFERROR(__xludf.DUMMYFUNCTION("""COMPUTED_VALUE"""),45393.0)</f>
        <v>45393</v>
      </c>
      <c r="C12656" s="13">
        <f>IFERROR(__xludf.DUMMYFUNCTION("""COMPUTED_VALUE"""),0.3333333333333333)</f>
        <v>0.3333333333</v>
      </c>
      <c r="D12656" s="8">
        <f>IFERROR(__xludf.DUMMYFUNCTION("""COMPUTED_VALUE"""),1.847)</f>
        <v>1.847</v>
      </c>
      <c r="E12656" s="8" t="str">
        <f>IFERROR(__xludf.DUMMYFUNCTION("""COMPUTED_VALUE"""),"Real")</f>
        <v>Real</v>
      </c>
      <c r="G12656" s="8">
        <f t="shared" si="1"/>
        <v>4</v>
      </c>
      <c r="H12656" s="14">
        <f t="shared" si="2"/>
        <v>11</v>
      </c>
      <c r="I12656" s="15">
        <f t="shared" si="3"/>
        <v>8</v>
      </c>
    </row>
    <row r="12657">
      <c r="A12657" s="8" t="str">
        <f>IFERROR(__xludf.DUMMYFUNCTION("IF('(INGESTA)Datos_consumo_datadis'!A12657&lt;&gt;"""",SPLIT('(INGESTA)Datos_consumo_datadis'!A:A,"",""),"""")"),"ES0031408323131005HX0F")</f>
        <v>ES0031408323131005HX0F</v>
      </c>
      <c r="B12657" s="12">
        <f>IFERROR(__xludf.DUMMYFUNCTION("""COMPUTED_VALUE"""),45393.0)</f>
        <v>45393</v>
      </c>
      <c r="C12657" s="13">
        <f>IFERROR(__xludf.DUMMYFUNCTION("""COMPUTED_VALUE"""),0.375)</f>
        <v>0.375</v>
      </c>
      <c r="D12657" s="8">
        <f>IFERROR(__xludf.DUMMYFUNCTION("""COMPUTED_VALUE"""),1.684)</f>
        <v>1.684</v>
      </c>
      <c r="E12657" s="8" t="str">
        <f>IFERROR(__xludf.DUMMYFUNCTION("""COMPUTED_VALUE"""),"Real")</f>
        <v>Real</v>
      </c>
      <c r="G12657" s="8">
        <f t="shared" si="1"/>
        <v>4</v>
      </c>
      <c r="H12657" s="14">
        <f t="shared" si="2"/>
        <v>11</v>
      </c>
      <c r="I12657" s="15">
        <f t="shared" si="3"/>
        <v>9</v>
      </c>
    </row>
    <row r="12658">
      <c r="A12658" s="8" t="str">
        <f>IFERROR(__xludf.DUMMYFUNCTION("IF('(INGESTA)Datos_consumo_datadis'!A12658&lt;&gt;"""",SPLIT('(INGESTA)Datos_consumo_datadis'!A:A,"",""),"""")"),"ES0031408323131005HX0F")</f>
        <v>ES0031408323131005HX0F</v>
      </c>
      <c r="B12658" s="12">
        <f>IFERROR(__xludf.DUMMYFUNCTION("""COMPUTED_VALUE"""),45393.0)</f>
        <v>45393</v>
      </c>
      <c r="C12658" s="13">
        <f>IFERROR(__xludf.DUMMYFUNCTION("""COMPUTED_VALUE"""),0.4166666666666667)</f>
        <v>0.4166666667</v>
      </c>
      <c r="D12658" s="8">
        <f>IFERROR(__xludf.DUMMYFUNCTION("""COMPUTED_VALUE"""),1.415)</f>
        <v>1.415</v>
      </c>
      <c r="E12658" s="8" t="str">
        <f>IFERROR(__xludf.DUMMYFUNCTION("""COMPUTED_VALUE"""),"Real")</f>
        <v>Real</v>
      </c>
      <c r="G12658" s="8">
        <f t="shared" si="1"/>
        <v>4</v>
      </c>
      <c r="H12658" s="14">
        <f t="shared" si="2"/>
        <v>11</v>
      </c>
      <c r="I12658" s="15">
        <f t="shared" si="3"/>
        <v>10</v>
      </c>
    </row>
    <row r="12659">
      <c r="A12659" s="8" t="str">
        <f>IFERROR(__xludf.DUMMYFUNCTION("IF('(INGESTA)Datos_consumo_datadis'!A12659&lt;&gt;"""",SPLIT('(INGESTA)Datos_consumo_datadis'!A:A,"",""),"""")"),"ES0031408323131005HX0F")</f>
        <v>ES0031408323131005HX0F</v>
      </c>
      <c r="B12659" s="12">
        <f>IFERROR(__xludf.DUMMYFUNCTION("""COMPUTED_VALUE"""),45393.0)</f>
        <v>45393</v>
      </c>
      <c r="C12659" s="13">
        <f>IFERROR(__xludf.DUMMYFUNCTION("""COMPUTED_VALUE"""),0.4583333333333333)</f>
        <v>0.4583333333</v>
      </c>
      <c r="D12659" s="8">
        <f>IFERROR(__xludf.DUMMYFUNCTION("""COMPUTED_VALUE"""),0.076)</f>
        <v>0.076</v>
      </c>
      <c r="E12659" s="8" t="str">
        <f>IFERROR(__xludf.DUMMYFUNCTION("""COMPUTED_VALUE"""),"Real")</f>
        <v>Real</v>
      </c>
      <c r="G12659" s="8">
        <f t="shared" si="1"/>
        <v>4</v>
      </c>
      <c r="H12659" s="14">
        <f t="shared" si="2"/>
        <v>11</v>
      </c>
      <c r="I12659" s="15">
        <f t="shared" si="3"/>
        <v>11</v>
      </c>
    </row>
    <row r="12660">
      <c r="A12660" s="8" t="str">
        <f>IFERROR(__xludf.DUMMYFUNCTION("IF('(INGESTA)Datos_consumo_datadis'!A12660&lt;&gt;"""",SPLIT('(INGESTA)Datos_consumo_datadis'!A:A,"",""),"""")"),"ES0031408323131005HX0F")</f>
        <v>ES0031408323131005HX0F</v>
      </c>
      <c r="B12660" s="12">
        <f>IFERROR(__xludf.DUMMYFUNCTION("""COMPUTED_VALUE"""),45393.0)</f>
        <v>45393</v>
      </c>
      <c r="C12660" s="13">
        <f>IFERROR(__xludf.DUMMYFUNCTION("""COMPUTED_VALUE"""),0.5)</f>
        <v>0.5</v>
      </c>
      <c r="D12660" s="8">
        <f>IFERROR(__xludf.DUMMYFUNCTION("""COMPUTED_VALUE"""),0.084)</f>
        <v>0.084</v>
      </c>
      <c r="E12660" s="8" t="str">
        <f>IFERROR(__xludf.DUMMYFUNCTION("""COMPUTED_VALUE"""),"Real")</f>
        <v>Real</v>
      </c>
      <c r="G12660" s="8">
        <f t="shared" si="1"/>
        <v>4</v>
      </c>
      <c r="H12660" s="14">
        <f t="shared" si="2"/>
        <v>11</v>
      </c>
      <c r="I12660" s="15">
        <f t="shared" si="3"/>
        <v>12</v>
      </c>
    </row>
    <row r="12661">
      <c r="A12661" s="8" t="str">
        <f>IFERROR(__xludf.DUMMYFUNCTION("IF('(INGESTA)Datos_consumo_datadis'!A12661&lt;&gt;"""",SPLIT('(INGESTA)Datos_consumo_datadis'!A:A,"",""),"""")"),"ES0031408323131005HX0F")</f>
        <v>ES0031408323131005HX0F</v>
      </c>
      <c r="B12661" s="12">
        <f>IFERROR(__xludf.DUMMYFUNCTION("""COMPUTED_VALUE"""),45393.0)</f>
        <v>45393</v>
      </c>
      <c r="C12661" s="13">
        <f>IFERROR(__xludf.DUMMYFUNCTION("""COMPUTED_VALUE"""),0.5416666666666666)</f>
        <v>0.5416666667</v>
      </c>
      <c r="D12661" s="8">
        <f>IFERROR(__xludf.DUMMYFUNCTION("""COMPUTED_VALUE"""),0.401)</f>
        <v>0.401</v>
      </c>
      <c r="E12661" s="8" t="str">
        <f>IFERROR(__xludf.DUMMYFUNCTION("""COMPUTED_VALUE"""),"Real")</f>
        <v>Real</v>
      </c>
      <c r="G12661" s="8">
        <f t="shared" si="1"/>
        <v>4</v>
      </c>
      <c r="H12661" s="14">
        <f t="shared" si="2"/>
        <v>11</v>
      </c>
      <c r="I12661" s="15">
        <f t="shared" si="3"/>
        <v>13</v>
      </c>
    </row>
    <row r="12662">
      <c r="A12662" s="8" t="str">
        <f>IFERROR(__xludf.DUMMYFUNCTION("IF('(INGESTA)Datos_consumo_datadis'!A12662&lt;&gt;"""",SPLIT('(INGESTA)Datos_consumo_datadis'!A:A,"",""),"""")"),"ES0031408323131005HX0F")</f>
        <v>ES0031408323131005HX0F</v>
      </c>
      <c r="B12662" s="12">
        <f>IFERROR(__xludf.DUMMYFUNCTION("""COMPUTED_VALUE"""),45393.0)</f>
        <v>45393</v>
      </c>
      <c r="C12662" s="13">
        <f>IFERROR(__xludf.DUMMYFUNCTION("""COMPUTED_VALUE"""),0.5833333333333334)</f>
        <v>0.5833333333</v>
      </c>
      <c r="D12662" s="8">
        <f>IFERROR(__xludf.DUMMYFUNCTION("""COMPUTED_VALUE"""),0.492)</f>
        <v>0.492</v>
      </c>
      <c r="E12662" s="8" t="str">
        <f>IFERROR(__xludf.DUMMYFUNCTION("""COMPUTED_VALUE"""),"Real")</f>
        <v>Real</v>
      </c>
      <c r="G12662" s="8">
        <f t="shared" si="1"/>
        <v>4</v>
      </c>
      <c r="H12662" s="14">
        <f t="shared" si="2"/>
        <v>11</v>
      </c>
      <c r="I12662" s="15">
        <f t="shared" si="3"/>
        <v>14</v>
      </c>
    </row>
    <row r="12663">
      <c r="A12663" s="8" t="str">
        <f>IFERROR(__xludf.DUMMYFUNCTION("IF('(INGESTA)Datos_consumo_datadis'!A12663&lt;&gt;"""",SPLIT('(INGESTA)Datos_consumo_datadis'!A:A,"",""),"""")"),"ES0031408323131005HX0F")</f>
        <v>ES0031408323131005HX0F</v>
      </c>
      <c r="B12663" s="12">
        <f>IFERROR(__xludf.DUMMYFUNCTION("""COMPUTED_VALUE"""),45393.0)</f>
        <v>45393</v>
      </c>
      <c r="C12663" s="13">
        <f>IFERROR(__xludf.DUMMYFUNCTION("""COMPUTED_VALUE"""),0.625)</f>
        <v>0.625</v>
      </c>
      <c r="D12663" s="8">
        <f>IFERROR(__xludf.DUMMYFUNCTION("""COMPUTED_VALUE"""),1.292)</f>
        <v>1.292</v>
      </c>
      <c r="E12663" s="8" t="str">
        <f>IFERROR(__xludf.DUMMYFUNCTION("""COMPUTED_VALUE"""),"Real")</f>
        <v>Real</v>
      </c>
      <c r="G12663" s="8">
        <f t="shared" si="1"/>
        <v>4</v>
      </c>
      <c r="H12663" s="14">
        <f t="shared" si="2"/>
        <v>11</v>
      </c>
      <c r="I12663" s="15">
        <f t="shared" si="3"/>
        <v>15</v>
      </c>
    </row>
    <row r="12664">
      <c r="A12664" s="8" t="str">
        <f>IFERROR(__xludf.DUMMYFUNCTION("IF('(INGESTA)Datos_consumo_datadis'!A12664&lt;&gt;"""",SPLIT('(INGESTA)Datos_consumo_datadis'!A:A,"",""),"""")"),"ES0031408323131005HX0F")</f>
        <v>ES0031408323131005HX0F</v>
      </c>
      <c r="B12664" s="12">
        <f>IFERROR(__xludf.DUMMYFUNCTION("""COMPUTED_VALUE"""),45393.0)</f>
        <v>45393</v>
      </c>
      <c r="C12664" s="13">
        <f>IFERROR(__xludf.DUMMYFUNCTION("""COMPUTED_VALUE"""),0.6666666666666666)</f>
        <v>0.6666666667</v>
      </c>
      <c r="D12664" s="8">
        <f>IFERROR(__xludf.DUMMYFUNCTION("""COMPUTED_VALUE"""),0.136)</f>
        <v>0.136</v>
      </c>
      <c r="E12664" s="8" t="str">
        <f>IFERROR(__xludf.DUMMYFUNCTION("""COMPUTED_VALUE"""),"Real")</f>
        <v>Real</v>
      </c>
      <c r="G12664" s="8">
        <f t="shared" si="1"/>
        <v>4</v>
      </c>
      <c r="H12664" s="14">
        <f t="shared" si="2"/>
        <v>11</v>
      </c>
      <c r="I12664" s="15">
        <f t="shared" si="3"/>
        <v>16</v>
      </c>
    </row>
    <row r="12665">
      <c r="A12665" s="8" t="str">
        <f>IFERROR(__xludf.DUMMYFUNCTION("IF('(INGESTA)Datos_consumo_datadis'!A12665&lt;&gt;"""",SPLIT('(INGESTA)Datos_consumo_datadis'!A:A,"",""),"""")"),"ES0031408323131005HX0F")</f>
        <v>ES0031408323131005HX0F</v>
      </c>
      <c r="B12665" s="12">
        <f>IFERROR(__xludf.DUMMYFUNCTION("""COMPUTED_VALUE"""),45393.0)</f>
        <v>45393</v>
      </c>
      <c r="C12665" s="13">
        <f>IFERROR(__xludf.DUMMYFUNCTION("""COMPUTED_VALUE"""),0.7083333333333334)</f>
        <v>0.7083333333</v>
      </c>
      <c r="D12665" s="8">
        <f>IFERROR(__xludf.DUMMYFUNCTION("""COMPUTED_VALUE"""),0.112)</f>
        <v>0.112</v>
      </c>
      <c r="E12665" s="8" t="str">
        <f>IFERROR(__xludf.DUMMYFUNCTION("""COMPUTED_VALUE"""),"Real")</f>
        <v>Real</v>
      </c>
      <c r="G12665" s="8">
        <f t="shared" si="1"/>
        <v>4</v>
      </c>
      <c r="H12665" s="14">
        <f t="shared" si="2"/>
        <v>11</v>
      </c>
      <c r="I12665" s="15">
        <f t="shared" si="3"/>
        <v>17</v>
      </c>
    </row>
    <row r="12666">
      <c r="A12666" s="8" t="str">
        <f>IFERROR(__xludf.DUMMYFUNCTION("IF('(INGESTA)Datos_consumo_datadis'!A12666&lt;&gt;"""",SPLIT('(INGESTA)Datos_consumo_datadis'!A:A,"",""),"""")"),"ES0031408323131005HX0F")</f>
        <v>ES0031408323131005HX0F</v>
      </c>
      <c r="B12666" s="12">
        <f>IFERROR(__xludf.DUMMYFUNCTION("""COMPUTED_VALUE"""),45393.0)</f>
        <v>45393</v>
      </c>
      <c r="C12666" s="13">
        <f>IFERROR(__xludf.DUMMYFUNCTION("""COMPUTED_VALUE"""),0.75)</f>
        <v>0.75</v>
      </c>
      <c r="D12666" s="8">
        <f>IFERROR(__xludf.DUMMYFUNCTION("""COMPUTED_VALUE"""),0.07)</f>
        <v>0.07</v>
      </c>
      <c r="E12666" s="8" t="str">
        <f>IFERROR(__xludf.DUMMYFUNCTION("""COMPUTED_VALUE"""),"Real")</f>
        <v>Real</v>
      </c>
      <c r="G12666" s="8">
        <f t="shared" si="1"/>
        <v>4</v>
      </c>
      <c r="H12666" s="14">
        <f t="shared" si="2"/>
        <v>11</v>
      </c>
      <c r="I12666" s="15">
        <f t="shared" si="3"/>
        <v>18</v>
      </c>
    </row>
    <row r="12667">
      <c r="A12667" s="8" t="str">
        <f>IFERROR(__xludf.DUMMYFUNCTION("IF('(INGESTA)Datos_consumo_datadis'!A12667&lt;&gt;"""",SPLIT('(INGESTA)Datos_consumo_datadis'!A:A,"",""),"""")"),"ES0031408323131005HX0F")</f>
        <v>ES0031408323131005HX0F</v>
      </c>
      <c r="B12667" s="12">
        <f>IFERROR(__xludf.DUMMYFUNCTION("""COMPUTED_VALUE"""),45393.0)</f>
        <v>45393</v>
      </c>
      <c r="C12667" s="13">
        <f>IFERROR(__xludf.DUMMYFUNCTION("""COMPUTED_VALUE"""),0.7916666666666666)</f>
        <v>0.7916666667</v>
      </c>
      <c r="D12667" s="8">
        <f>IFERROR(__xludf.DUMMYFUNCTION("""COMPUTED_VALUE"""),0.063)</f>
        <v>0.063</v>
      </c>
      <c r="E12667" s="8" t="str">
        <f>IFERROR(__xludf.DUMMYFUNCTION("""COMPUTED_VALUE"""),"Real")</f>
        <v>Real</v>
      </c>
      <c r="G12667" s="8">
        <f t="shared" si="1"/>
        <v>4</v>
      </c>
      <c r="H12667" s="14">
        <f t="shared" si="2"/>
        <v>11</v>
      </c>
      <c r="I12667" s="15">
        <f t="shared" si="3"/>
        <v>19</v>
      </c>
    </row>
    <row r="12668">
      <c r="A12668" s="8" t="str">
        <f>IFERROR(__xludf.DUMMYFUNCTION("IF('(INGESTA)Datos_consumo_datadis'!A12668&lt;&gt;"""",SPLIT('(INGESTA)Datos_consumo_datadis'!A:A,"",""),"""")"),"ES0031408323131005HX0F")</f>
        <v>ES0031408323131005HX0F</v>
      </c>
      <c r="B12668" s="12">
        <f>IFERROR(__xludf.DUMMYFUNCTION("""COMPUTED_VALUE"""),45393.0)</f>
        <v>45393</v>
      </c>
      <c r="C12668" s="13">
        <f>IFERROR(__xludf.DUMMYFUNCTION("""COMPUTED_VALUE"""),0.8333333333333334)</f>
        <v>0.8333333333</v>
      </c>
      <c r="D12668" s="8">
        <f>IFERROR(__xludf.DUMMYFUNCTION("""COMPUTED_VALUE"""),0.487)</f>
        <v>0.487</v>
      </c>
      <c r="E12668" s="8" t="str">
        <f>IFERROR(__xludf.DUMMYFUNCTION("""COMPUTED_VALUE"""),"Real")</f>
        <v>Real</v>
      </c>
      <c r="G12668" s="8">
        <f t="shared" si="1"/>
        <v>4</v>
      </c>
      <c r="H12668" s="14">
        <f t="shared" si="2"/>
        <v>11</v>
      </c>
      <c r="I12668" s="15">
        <f t="shared" si="3"/>
        <v>20</v>
      </c>
    </row>
    <row r="12669">
      <c r="A12669" s="8" t="str">
        <f>IFERROR(__xludf.DUMMYFUNCTION("IF('(INGESTA)Datos_consumo_datadis'!A12669&lt;&gt;"""",SPLIT('(INGESTA)Datos_consumo_datadis'!A:A,"",""),"""")"),"ES0031408323131005HX0F")</f>
        <v>ES0031408323131005HX0F</v>
      </c>
      <c r="B12669" s="12">
        <f>IFERROR(__xludf.DUMMYFUNCTION("""COMPUTED_VALUE"""),45393.0)</f>
        <v>45393</v>
      </c>
      <c r="C12669" s="13">
        <f>IFERROR(__xludf.DUMMYFUNCTION("""COMPUTED_VALUE"""),0.875)</f>
        <v>0.875</v>
      </c>
      <c r="D12669" s="8">
        <f>IFERROR(__xludf.DUMMYFUNCTION("""COMPUTED_VALUE"""),1.63)</f>
        <v>1.63</v>
      </c>
      <c r="E12669" s="8" t="str">
        <f>IFERROR(__xludf.DUMMYFUNCTION("""COMPUTED_VALUE"""),"Real")</f>
        <v>Real</v>
      </c>
      <c r="G12669" s="8">
        <f t="shared" si="1"/>
        <v>4</v>
      </c>
      <c r="H12669" s="14">
        <f t="shared" si="2"/>
        <v>11</v>
      </c>
      <c r="I12669" s="15">
        <f t="shared" si="3"/>
        <v>21</v>
      </c>
    </row>
    <row r="12670">
      <c r="A12670" s="8" t="str">
        <f>IFERROR(__xludf.DUMMYFUNCTION("IF('(INGESTA)Datos_consumo_datadis'!A12670&lt;&gt;"""",SPLIT('(INGESTA)Datos_consumo_datadis'!A:A,"",""),"""")"),"ES0031408323131005HX0F")</f>
        <v>ES0031408323131005HX0F</v>
      </c>
      <c r="B12670" s="12">
        <f>IFERROR(__xludf.DUMMYFUNCTION("""COMPUTED_VALUE"""),45393.0)</f>
        <v>45393</v>
      </c>
      <c r="C12670" s="13">
        <f>IFERROR(__xludf.DUMMYFUNCTION("""COMPUTED_VALUE"""),0.9166666666666666)</f>
        <v>0.9166666667</v>
      </c>
      <c r="D12670" s="8">
        <f>IFERROR(__xludf.DUMMYFUNCTION("""COMPUTED_VALUE"""),0.702)</f>
        <v>0.702</v>
      </c>
      <c r="E12670" s="8" t="str">
        <f>IFERROR(__xludf.DUMMYFUNCTION("""COMPUTED_VALUE"""),"Real")</f>
        <v>Real</v>
      </c>
      <c r="G12670" s="8">
        <f t="shared" si="1"/>
        <v>4</v>
      </c>
      <c r="H12670" s="14">
        <f t="shared" si="2"/>
        <v>11</v>
      </c>
      <c r="I12670" s="15">
        <f t="shared" si="3"/>
        <v>22</v>
      </c>
    </row>
    <row r="12671">
      <c r="A12671" s="8" t="str">
        <f>IFERROR(__xludf.DUMMYFUNCTION("IF('(INGESTA)Datos_consumo_datadis'!A12671&lt;&gt;"""",SPLIT('(INGESTA)Datos_consumo_datadis'!A:A,"",""),"""")"),"ES0031408323131005HX0F")</f>
        <v>ES0031408323131005HX0F</v>
      </c>
      <c r="B12671" s="12">
        <f>IFERROR(__xludf.DUMMYFUNCTION("""COMPUTED_VALUE"""),45393.0)</f>
        <v>45393</v>
      </c>
      <c r="C12671" s="13">
        <f>IFERROR(__xludf.DUMMYFUNCTION("""COMPUTED_VALUE"""),0.9583333333333334)</f>
        <v>0.9583333333</v>
      </c>
      <c r="D12671" s="8">
        <f>IFERROR(__xludf.DUMMYFUNCTION("""COMPUTED_VALUE"""),1.863)</f>
        <v>1.863</v>
      </c>
      <c r="E12671" s="8" t="str">
        <f>IFERROR(__xludf.DUMMYFUNCTION("""COMPUTED_VALUE"""),"Real")</f>
        <v>Real</v>
      </c>
      <c r="G12671" s="8">
        <f t="shared" si="1"/>
        <v>4</v>
      </c>
      <c r="H12671" s="14">
        <f t="shared" si="2"/>
        <v>11</v>
      </c>
      <c r="I12671" s="15">
        <f t="shared" si="3"/>
        <v>23</v>
      </c>
    </row>
    <row r="12672">
      <c r="A12672" s="8" t="str">
        <f>IFERROR(__xludf.DUMMYFUNCTION("IF('(INGESTA)Datos_consumo_datadis'!A12672&lt;&gt;"""",SPLIT('(INGESTA)Datos_consumo_datadis'!A:A,"",""),"""")"),"ES0031408323131005HX0F")</f>
        <v>ES0031408323131005HX0F</v>
      </c>
      <c r="B12672" s="12">
        <f>IFERROR(__xludf.DUMMYFUNCTION("""COMPUTED_VALUE"""),45393.0)</f>
        <v>45393</v>
      </c>
      <c r="C12672" s="16">
        <f>IFERROR(__xludf.DUMMYFUNCTION("""COMPUTED_VALUE"""),1.0)</f>
        <v>1</v>
      </c>
      <c r="D12672" s="8">
        <f>IFERROR(__xludf.DUMMYFUNCTION("""COMPUTED_VALUE"""),0.571)</f>
        <v>0.571</v>
      </c>
      <c r="E12672" s="8" t="str">
        <f>IFERROR(__xludf.DUMMYFUNCTION("""COMPUTED_VALUE"""),"Real")</f>
        <v>Real</v>
      </c>
      <c r="G12672" s="8">
        <f t="shared" si="1"/>
        <v>4</v>
      </c>
      <c r="H12672" s="14">
        <f t="shared" si="2"/>
        <v>11</v>
      </c>
      <c r="I12672" s="15">
        <f t="shared" si="3"/>
        <v>0</v>
      </c>
    </row>
    <row r="12673">
      <c r="A12673" s="8" t="str">
        <f>IFERROR(__xludf.DUMMYFUNCTION("IF('(INGESTA)Datos_consumo_datadis'!A12673&lt;&gt;"""",SPLIT('(INGESTA)Datos_consumo_datadis'!A:A,"",""),"""")"),"ES0031408323131005HX0F")</f>
        <v>ES0031408323131005HX0F</v>
      </c>
      <c r="B12673" s="12">
        <f>IFERROR(__xludf.DUMMYFUNCTION("""COMPUTED_VALUE"""),45394.0)</f>
        <v>45394</v>
      </c>
      <c r="C12673" s="13">
        <f>IFERROR(__xludf.DUMMYFUNCTION("""COMPUTED_VALUE"""),0.041666666666666664)</f>
        <v>0.04166666667</v>
      </c>
      <c r="D12673" s="8">
        <f>IFERROR(__xludf.DUMMYFUNCTION("""COMPUTED_VALUE"""),0.076)</f>
        <v>0.076</v>
      </c>
      <c r="E12673" s="8" t="str">
        <f>IFERROR(__xludf.DUMMYFUNCTION("""COMPUTED_VALUE"""),"Real")</f>
        <v>Real</v>
      </c>
      <c r="G12673" s="8">
        <f t="shared" si="1"/>
        <v>4</v>
      </c>
      <c r="H12673" s="14">
        <f t="shared" si="2"/>
        <v>12</v>
      </c>
      <c r="I12673" s="15">
        <f t="shared" si="3"/>
        <v>1</v>
      </c>
    </row>
    <row r="12674">
      <c r="A12674" s="8" t="str">
        <f>IFERROR(__xludf.DUMMYFUNCTION("IF('(INGESTA)Datos_consumo_datadis'!A12674&lt;&gt;"""",SPLIT('(INGESTA)Datos_consumo_datadis'!A:A,"",""),"""")"),"ES0031408323131005HX0F")</f>
        <v>ES0031408323131005HX0F</v>
      </c>
      <c r="B12674" s="12">
        <f>IFERROR(__xludf.DUMMYFUNCTION("""COMPUTED_VALUE"""),45394.0)</f>
        <v>45394</v>
      </c>
      <c r="C12674" s="13">
        <f>IFERROR(__xludf.DUMMYFUNCTION("""COMPUTED_VALUE"""),0.08333333333333333)</f>
        <v>0.08333333333</v>
      </c>
      <c r="D12674" s="8">
        <f>IFERROR(__xludf.DUMMYFUNCTION("""COMPUTED_VALUE"""),0.084)</f>
        <v>0.084</v>
      </c>
      <c r="E12674" s="8" t="str">
        <f>IFERROR(__xludf.DUMMYFUNCTION("""COMPUTED_VALUE"""),"Real")</f>
        <v>Real</v>
      </c>
      <c r="G12674" s="8">
        <f t="shared" si="1"/>
        <v>4</v>
      </c>
      <c r="H12674" s="14">
        <f t="shared" si="2"/>
        <v>12</v>
      </c>
      <c r="I12674" s="15">
        <f t="shared" si="3"/>
        <v>2</v>
      </c>
    </row>
    <row r="12675">
      <c r="A12675" s="8" t="str">
        <f>IFERROR(__xludf.DUMMYFUNCTION("IF('(INGESTA)Datos_consumo_datadis'!A12675&lt;&gt;"""",SPLIT('(INGESTA)Datos_consumo_datadis'!A:A,"",""),"""")"),"ES0031408323131005HX0F")</f>
        <v>ES0031408323131005HX0F</v>
      </c>
      <c r="B12675" s="12">
        <f>IFERROR(__xludf.DUMMYFUNCTION("""COMPUTED_VALUE"""),45394.0)</f>
        <v>45394</v>
      </c>
      <c r="C12675" s="13">
        <f>IFERROR(__xludf.DUMMYFUNCTION("""COMPUTED_VALUE"""),0.125)</f>
        <v>0.125</v>
      </c>
      <c r="D12675" s="8">
        <f>IFERROR(__xludf.DUMMYFUNCTION("""COMPUTED_VALUE"""),0.322)</f>
        <v>0.322</v>
      </c>
      <c r="E12675" s="8" t="str">
        <f>IFERROR(__xludf.DUMMYFUNCTION("""COMPUTED_VALUE"""),"Real")</f>
        <v>Real</v>
      </c>
      <c r="G12675" s="8">
        <f t="shared" si="1"/>
        <v>4</v>
      </c>
      <c r="H12675" s="14">
        <f t="shared" si="2"/>
        <v>12</v>
      </c>
      <c r="I12675" s="15">
        <f t="shared" si="3"/>
        <v>3</v>
      </c>
    </row>
    <row r="12676">
      <c r="A12676" s="8" t="str">
        <f>IFERROR(__xludf.DUMMYFUNCTION("IF('(INGESTA)Datos_consumo_datadis'!A12676&lt;&gt;"""",SPLIT('(INGESTA)Datos_consumo_datadis'!A:A,"",""),"""")"),"ES0031408323131005HX0F")</f>
        <v>ES0031408323131005HX0F</v>
      </c>
      <c r="B12676" s="12">
        <f>IFERROR(__xludf.DUMMYFUNCTION("""COMPUTED_VALUE"""),45394.0)</f>
        <v>45394</v>
      </c>
      <c r="C12676" s="13">
        <f>IFERROR(__xludf.DUMMYFUNCTION("""COMPUTED_VALUE"""),0.16666666666666666)</f>
        <v>0.1666666667</v>
      </c>
      <c r="D12676" s="8">
        <f>IFERROR(__xludf.DUMMYFUNCTION("""COMPUTED_VALUE"""),0.051)</f>
        <v>0.051</v>
      </c>
      <c r="E12676" s="8" t="str">
        <f>IFERROR(__xludf.DUMMYFUNCTION("""COMPUTED_VALUE"""),"Real")</f>
        <v>Real</v>
      </c>
      <c r="G12676" s="8">
        <f t="shared" si="1"/>
        <v>4</v>
      </c>
      <c r="H12676" s="14">
        <f t="shared" si="2"/>
        <v>12</v>
      </c>
      <c r="I12676" s="15">
        <f t="shared" si="3"/>
        <v>4</v>
      </c>
    </row>
    <row r="12677">
      <c r="A12677" s="8" t="str">
        <f>IFERROR(__xludf.DUMMYFUNCTION("IF('(INGESTA)Datos_consumo_datadis'!A12677&lt;&gt;"""",SPLIT('(INGESTA)Datos_consumo_datadis'!A:A,"",""),"""")"),"ES0031408323131005HX0F")</f>
        <v>ES0031408323131005HX0F</v>
      </c>
      <c r="B12677" s="12">
        <f>IFERROR(__xludf.DUMMYFUNCTION("""COMPUTED_VALUE"""),45394.0)</f>
        <v>45394</v>
      </c>
      <c r="C12677" s="13">
        <f>IFERROR(__xludf.DUMMYFUNCTION("""COMPUTED_VALUE"""),0.20833333333333334)</f>
        <v>0.2083333333</v>
      </c>
      <c r="D12677" s="8">
        <f>IFERROR(__xludf.DUMMYFUNCTION("""COMPUTED_VALUE"""),0.071)</f>
        <v>0.071</v>
      </c>
      <c r="E12677" s="8" t="str">
        <f>IFERROR(__xludf.DUMMYFUNCTION("""COMPUTED_VALUE"""),"Real")</f>
        <v>Real</v>
      </c>
      <c r="G12677" s="8">
        <f t="shared" si="1"/>
        <v>4</v>
      </c>
      <c r="H12677" s="14">
        <f t="shared" si="2"/>
        <v>12</v>
      </c>
      <c r="I12677" s="15">
        <f t="shared" si="3"/>
        <v>5</v>
      </c>
    </row>
    <row r="12678">
      <c r="A12678" s="8" t="str">
        <f>IFERROR(__xludf.DUMMYFUNCTION("IF('(INGESTA)Datos_consumo_datadis'!A12678&lt;&gt;"""",SPLIT('(INGESTA)Datos_consumo_datadis'!A:A,"",""),"""")"),"ES0031408323131005HX0F")</f>
        <v>ES0031408323131005HX0F</v>
      </c>
      <c r="B12678" s="12">
        <f>IFERROR(__xludf.DUMMYFUNCTION("""COMPUTED_VALUE"""),45394.0)</f>
        <v>45394</v>
      </c>
      <c r="C12678" s="13">
        <f>IFERROR(__xludf.DUMMYFUNCTION("""COMPUTED_VALUE"""),0.25)</f>
        <v>0.25</v>
      </c>
      <c r="D12678" s="8">
        <f>IFERROR(__xludf.DUMMYFUNCTION("""COMPUTED_VALUE"""),0.035)</f>
        <v>0.035</v>
      </c>
      <c r="E12678" s="8" t="str">
        <f>IFERROR(__xludf.DUMMYFUNCTION("""COMPUTED_VALUE"""),"Real")</f>
        <v>Real</v>
      </c>
      <c r="G12678" s="8">
        <f t="shared" si="1"/>
        <v>4</v>
      </c>
      <c r="H12678" s="14">
        <f t="shared" si="2"/>
        <v>12</v>
      </c>
      <c r="I12678" s="15">
        <f t="shared" si="3"/>
        <v>6</v>
      </c>
    </row>
    <row r="12679">
      <c r="A12679" s="8" t="str">
        <f>IFERROR(__xludf.DUMMYFUNCTION("IF('(INGESTA)Datos_consumo_datadis'!A12679&lt;&gt;"""",SPLIT('(INGESTA)Datos_consumo_datadis'!A:A,"",""),"""")"),"ES0031408323131005HX0F")</f>
        <v>ES0031408323131005HX0F</v>
      </c>
      <c r="B12679" s="12">
        <f>IFERROR(__xludf.DUMMYFUNCTION("""COMPUTED_VALUE"""),45394.0)</f>
        <v>45394</v>
      </c>
      <c r="C12679" s="13">
        <f>IFERROR(__xludf.DUMMYFUNCTION("""COMPUTED_VALUE"""),0.2916666666666667)</f>
        <v>0.2916666667</v>
      </c>
      <c r="D12679" s="8">
        <f>IFERROR(__xludf.DUMMYFUNCTION("""COMPUTED_VALUE"""),0.073)</f>
        <v>0.073</v>
      </c>
      <c r="E12679" s="8" t="str">
        <f>IFERROR(__xludf.DUMMYFUNCTION("""COMPUTED_VALUE"""),"Real")</f>
        <v>Real</v>
      </c>
      <c r="G12679" s="8">
        <f t="shared" si="1"/>
        <v>4</v>
      </c>
      <c r="H12679" s="14">
        <f t="shared" si="2"/>
        <v>12</v>
      </c>
      <c r="I12679" s="15">
        <f t="shared" si="3"/>
        <v>7</v>
      </c>
    </row>
    <row r="12680">
      <c r="A12680" s="8" t="str">
        <f>IFERROR(__xludf.DUMMYFUNCTION("IF('(INGESTA)Datos_consumo_datadis'!A12680&lt;&gt;"""",SPLIT('(INGESTA)Datos_consumo_datadis'!A:A,"",""),"""")"),"ES0031408323131005HX0F")</f>
        <v>ES0031408323131005HX0F</v>
      </c>
      <c r="B12680" s="12">
        <f>IFERROR(__xludf.DUMMYFUNCTION("""COMPUTED_VALUE"""),45394.0)</f>
        <v>45394</v>
      </c>
      <c r="C12680" s="13">
        <f>IFERROR(__xludf.DUMMYFUNCTION("""COMPUTED_VALUE"""),0.3333333333333333)</f>
        <v>0.3333333333</v>
      </c>
      <c r="D12680" s="8">
        <f>IFERROR(__xludf.DUMMYFUNCTION("""COMPUTED_VALUE"""),1.356)</f>
        <v>1.356</v>
      </c>
      <c r="E12680" s="8" t="str">
        <f>IFERROR(__xludf.DUMMYFUNCTION("""COMPUTED_VALUE"""),"Real")</f>
        <v>Real</v>
      </c>
      <c r="G12680" s="8">
        <f t="shared" si="1"/>
        <v>4</v>
      </c>
      <c r="H12680" s="14">
        <f t="shared" si="2"/>
        <v>12</v>
      </c>
      <c r="I12680" s="15">
        <f t="shared" si="3"/>
        <v>8</v>
      </c>
    </row>
    <row r="12681">
      <c r="A12681" s="8" t="str">
        <f>IFERROR(__xludf.DUMMYFUNCTION("IF('(INGESTA)Datos_consumo_datadis'!A12681&lt;&gt;"""",SPLIT('(INGESTA)Datos_consumo_datadis'!A:A,"",""),"""")"),"ES0031408323131005HX0F")</f>
        <v>ES0031408323131005HX0F</v>
      </c>
      <c r="B12681" s="12">
        <f>IFERROR(__xludf.DUMMYFUNCTION("""COMPUTED_VALUE"""),45394.0)</f>
        <v>45394</v>
      </c>
      <c r="C12681" s="13">
        <f>IFERROR(__xludf.DUMMYFUNCTION("""COMPUTED_VALUE"""),0.375)</f>
        <v>0.375</v>
      </c>
      <c r="D12681" s="8">
        <f>IFERROR(__xludf.DUMMYFUNCTION("""COMPUTED_VALUE"""),1.035)</f>
        <v>1.035</v>
      </c>
      <c r="E12681" s="8" t="str">
        <f>IFERROR(__xludf.DUMMYFUNCTION("""COMPUTED_VALUE"""),"Real")</f>
        <v>Real</v>
      </c>
      <c r="G12681" s="8">
        <f t="shared" si="1"/>
        <v>4</v>
      </c>
      <c r="H12681" s="14">
        <f t="shared" si="2"/>
        <v>12</v>
      </c>
      <c r="I12681" s="15">
        <f t="shared" si="3"/>
        <v>9</v>
      </c>
    </row>
    <row r="12682">
      <c r="A12682" s="8" t="str">
        <f>IFERROR(__xludf.DUMMYFUNCTION("IF('(INGESTA)Datos_consumo_datadis'!A12682&lt;&gt;"""",SPLIT('(INGESTA)Datos_consumo_datadis'!A:A,"",""),"""")"),"ES0031408323131005HX0F")</f>
        <v>ES0031408323131005HX0F</v>
      </c>
      <c r="B12682" s="12">
        <f>IFERROR(__xludf.DUMMYFUNCTION("""COMPUTED_VALUE"""),45394.0)</f>
        <v>45394</v>
      </c>
      <c r="C12682" s="13">
        <f>IFERROR(__xludf.DUMMYFUNCTION("""COMPUTED_VALUE"""),0.4166666666666667)</f>
        <v>0.4166666667</v>
      </c>
      <c r="D12682" s="8">
        <f>IFERROR(__xludf.DUMMYFUNCTION("""COMPUTED_VALUE"""),0.203)</f>
        <v>0.203</v>
      </c>
      <c r="E12682" s="8" t="str">
        <f>IFERROR(__xludf.DUMMYFUNCTION("""COMPUTED_VALUE"""),"Real")</f>
        <v>Real</v>
      </c>
      <c r="G12682" s="8">
        <f t="shared" si="1"/>
        <v>4</v>
      </c>
      <c r="H12682" s="14">
        <f t="shared" si="2"/>
        <v>12</v>
      </c>
      <c r="I12682" s="15">
        <f t="shared" si="3"/>
        <v>10</v>
      </c>
    </row>
    <row r="12683">
      <c r="A12683" s="8" t="str">
        <f>IFERROR(__xludf.DUMMYFUNCTION("IF('(INGESTA)Datos_consumo_datadis'!A12683&lt;&gt;"""",SPLIT('(INGESTA)Datos_consumo_datadis'!A:A,"",""),"""")"),"ES0031408323131005HX0F")</f>
        <v>ES0031408323131005HX0F</v>
      </c>
      <c r="B12683" s="12">
        <f>IFERROR(__xludf.DUMMYFUNCTION("""COMPUTED_VALUE"""),45394.0)</f>
        <v>45394</v>
      </c>
      <c r="C12683" s="13">
        <f>IFERROR(__xludf.DUMMYFUNCTION("""COMPUTED_VALUE"""),0.4583333333333333)</f>
        <v>0.4583333333</v>
      </c>
      <c r="D12683" s="8">
        <f>IFERROR(__xludf.DUMMYFUNCTION("""COMPUTED_VALUE"""),0.084)</f>
        <v>0.084</v>
      </c>
      <c r="E12683" s="8" t="str">
        <f>IFERROR(__xludf.DUMMYFUNCTION("""COMPUTED_VALUE"""),"Real")</f>
        <v>Real</v>
      </c>
      <c r="G12683" s="8">
        <f t="shared" si="1"/>
        <v>4</v>
      </c>
      <c r="H12683" s="14">
        <f t="shared" si="2"/>
        <v>12</v>
      </c>
      <c r="I12683" s="15">
        <f t="shared" si="3"/>
        <v>11</v>
      </c>
    </row>
    <row r="12684">
      <c r="A12684" s="8" t="str">
        <f>IFERROR(__xludf.DUMMYFUNCTION("IF('(INGESTA)Datos_consumo_datadis'!A12684&lt;&gt;"""",SPLIT('(INGESTA)Datos_consumo_datadis'!A:A,"",""),"""")"),"ES0031408323131005HX0F")</f>
        <v>ES0031408323131005HX0F</v>
      </c>
      <c r="B12684" s="12">
        <f>IFERROR(__xludf.DUMMYFUNCTION("""COMPUTED_VALUE"""),45394.0)</f>
        <v>45394</v>
      </c>
      <c r="C12684" s="13">
        <f>IFERROR(__xludf.DUMMYFUNCTION("""COMPUTED_VALUE"""),0.5)</f>
        <v>0.5</v>
      </c>
      <c r="D12684" s="8">
        <f>IFERROR(__xludf.DUMMYFUNCTION("""COMPUTED_VALUE"""),0.069)</f>
        <v>0.069</v>
      </c>
      <c r="E12684" s="8" t="str">
        <f>IFERROR(__xludf.DUMMYFUNCTION("""COMPUTED_VALUE"""),"Real")</f>
        <v>Real</v>
      </c>
      <c r="G12684" s="8">
        <f t="shared" si="1"/>
        <v>4</v>
      </c>
      <c r="H12684" s="14">
        <f t="shared" si="2"/>
        <v>12</v>
      </c>
      <c r="I12684" s="15">
        <f t="shared" si="3"/>
        <v>12</v>
      </c>
    </row>
    <row r="12685">
      <c r="A12685" s="8" t="str">
        <f>IFERROR(__xludf.DUMMYFUNCTION("IF('(INGESTA)Datos_consumo_datadis'!A12685&lt;&gt;"""",SPLIT('(INGESTA)Datos_consumo_datadis'!A:A,"",""),"""")"),"ES0031408323131005HX0F")</f>
        <v>ES0031408323131005HX0F</v>
      </c>
      <c r="B12685" s="12">
        <f>IFERROR(__xludf.DUMMYFUNCTION("""COMPUTED_VALUE"""),45394.0)</f>
        <v>45394</v>
      </c>
      <c r="C12685" s="13">
        <f>IFERROR(__xludf.DUMMYFUNCTION("""COMPUTED_VALUE"""),0.5416666666666666)</f>
        <v>0.5416666667</v>
      </c>
      <c r="D12685" s="8">
        <f>IFERROR(__xludf.DUMMYFUNCTION("""COMPUTED_VALUE"""),0.349)</f>
        <v>0.349</v>
      </c>
      <c r="E12685" s="8" t="str">
        <f>IFERROR(__xludf.DUMMYFUNCTION("""COMPUTED_VALUE"""),"Real")</f>
        <v>Real</v>
      </c>
      <c r="G12685" s="8">
        <f t="shared" si="1"/>
        <v>4</v>
      </c>
      <c r="H12685" s="14">
        <f t="shared" si="2"/>
        <v>12</v>
      </c>
      <c r="I12685" s="15">
        <f t="shared" si="3"/>
        <v>13</v>
      </c>
    </row>
    <row r="12686">
      <c r="A12686" s="8" t="str">
        <f>IFERROR(__xludf.DUMMYFUNCTION("IF('(INGESTA)Datos_consumo_datadis'!A12686&lt;&gt;"""",SPLIT('(INGESTA)Datos_consumo_datadis'!A:A,"",""),"""")"),"ES0031408323131005HX0F")</f>
        <v>ES0031408323131005HX0F</v>
      </c>
      <c r="B12686" s="12">
        <f>IFERROR(__xludf.DUMMYFUNCTION("""COMPUTED_VALUE"""),45394.0)</f>
        <v>45394</v>
      </c>
      <c r="C12686" s="13">
        <f>IFERROR(__xludf.DUMMYFUNCTION("""COMPUTED_VALUE"""),0.5833333333333334)</f>
        <v>0.5833333333</v>
      </c>
      <c r="D12686" s="8">
        <f>IFERROR(__xludf.DUMMYFUNCTION("""COMPUTED_VALUE"""),0.078)</f>
        <v>0.078</v>
      </c>
      <c r="E12686" s="8" t="str">
        <f>IFERROR(__xludf.DUMMYFUNCTION("""COMPUTED_VALUE"""),"Real")</f>
        <v>Real</v>
      </c>
      <c r="G12686" s="8">
        <f t="shared" si="1"/>
        <v>4</v>
      </c>
      <c r="H12686" s="14">
        <f t="shared" si="2"/>
        <v>12</v>
      </c>
      <c r="I12686" s="15">
        <f t="shared" si="3"/>
        <v>14</v>
      </c>
    </row>
    <row r="12687">
      <c r="A12687" s="8" t="str">
        <f>IFERROR(__xludf.DUMMYFUNCTION("IF('(INGESTA)Datos_consumo_datadis'!A12687&lt;&gt;"""",SPLIT('(INGESTA)Datos_consumo_datadis'!A:A,"",""),"""")"),"ES0031408323131005HX0F")</f>
        <v>ES0031408323131005HX0F</v>
      </c>
      <c r="B12687" s="12">
        <f>IFERROR(__xludf.DUMMYFUNCTION("""COMPUTED_VALUE"""),45394.0)</f>
        <v>45394</v>
      </c>
      <c r="C12687" s="13">
        <f>IFERROR(__xludf.DUMMYFUNCTION("""COMPUTED_VALUE"""),0.625)</f>
        <v>0.625</v>
      </c>
      <c r="D12687" s="8">
        <f>IFERROR(__xludf.DUMMYFUNCTION("""COMPUTED_VALUE"""),0.09)</f>
        <v>0.09</v>
      </c>
      <c r="E12687" s="8" t="str">
        <f>IFERROR(__xludf.DUMMYFUNCTION("""COMPUTED_VALUE"""),"Real")</f>
        <v>Real</v>
      </c>
      <c r="G12687" s="8">
        <f t="shared" si="1"/>
        <v>4</v>
      </c>
      <c r="H12687" s="14">
        <f t="shared" si="2"/>
        <v>12</v>
      </c>
      <c r="I12687" s="15">
        <f t="shared" si="3"/>
        <v>15</v>
      </c>
    </row>
    <row r="12688">
      <c r="A12688" s="8" t="str">
        <f>IFERROR(__xludf.DUMMYFUNCTION("IF('(INGESTA)Datos_consumo_datadis'!A12688&lt;&gt;"""",SPLIT('(INGESTA)Datos_consumo_datadis'!A:A,"",""),"""")"),"ES0031408323131005HX0F")</f>
        <v>ES0031408323131005HX0F</v>
      </c>
      <c r="B12688" s="12">
        <f>IFERROR(__xludf.DUMMYFUNCTION("""COMPUTED_VALUE"""),45394.0)</f>
        <v>45394</v>
      </c>
      <c r="C12688" s="13">
        <f>IFERROR(__xludf.DUMMYFUNCTION("""COMPUTED_VALUE"""),0.6666666666666666)</f>
        <v>0.6666666667</v>
      </c>
      <c r="D12688" s="8">
        <f>IFERROR(__xludf.DUMMYFUNCTION("""COMPUTED_VALUE"""),1.132)</f>
        <v>1.132</v>
      </c>
      <c r="E12688" s="8" t="str">
        <f>IFERROR(__xludf.DUMMYFUNCTION("""COMPUTED_VALUE"""),"Real")</f>
        <v>Real</v>
      </c>
      <c r="G12688" s="8">
        <f t="shared" si="1"/>
        <v>4</v>
      </c>
      <c r="H12688" s="14">
        <f t="shared" si="2"/>
        <v>12</v>
      </c>
      <c r="I12688" s="15">
        <f t="shared" si="3"/>
        <v>16</v>
      </c>
    </row>
    <row r="12689">
      <c r="A12689" s="8" t="str">
        <f>IFERROR(__xludf.DUMMYFUNCTION("IF('(INGESTA)Datos_consumo_datadis'!A12689&lt;&gt;"""",SPLIT('(INGESTA)Datos_consumo_datadis'!A:A,"",""),"""")"),"ES0031408323131005HX0F")</f>
        <v>ES0031408323131005HX0F</v>
      </c>
      <c r="B12689" s="12">
        <f>IFERROR(__xludf.DUMMYFUNCTION("""COMPUTED_VALUE"""),45394.0)</f>
        <v>45394</v>
      </c>
      <c r="C12689" s="13">
        <f>IFERROR(__xludf.DUMMYFUNCTION("""COMPUTED_VALUE"""),0.7083333333333334)</f>
        <v>0.7083333333</v>
      </c>
      <c r="D12689" s="8">
        <f>IFERROR(__xludf.DUMMYFUNCTION("""COMPUTED_VALUE"""),0.139)</f>
        <v>0.139</v>
      </c>
      <c r="E12689" s="8" t="str">
        <f>IFERROR(__xludf.DUMMYFUNCTION("""COMPUTED_VALUE"""),"Real")</f>
        <v>Real</v>
      </c>
      <c r="G12689" s="8">
        <f t="shared" si="1"/>
        <v>4</v>
      </c>
      <c r="H12689" s="14">
        <f t="shared" si="2"/>
        <v>12</v>
      </c>
      <c r="I12689" s="15">
        <f t="shared" si="3"/>
        <v>17</v>
      </c>
    </row>
    <row r="12690">
      <c r="A12690" s="8" t="str">
        <f>IFERROR(__xludf.DUMMYFUNCTION("IF('(INGESTA)Datos_consumo_datadis'!A12690&lt;&gt;"""",SPLIT('(INGESTA)Datos_consumo_datadis'!A:A,"",""),"""")"),"ES0031408323131005HX0F")</f>
        <v>ES0031408323131005HX0F</v>
      </c>
      <c r="B12690" s="12">
        <f>IFERROR(__xludf.DUMMYFUNCTION("""COMPUTED_VALUE"""),45394.0)</f>
        <v>45394</v>
      </c>
      <c r="C12690" s="13">
        <f>IFERROR(__xludf.DUMMYFUNCTION("""COMPUTED_VALUE"""),0.75)</f>
        <v>0.75</v>
      </c>
      <c r="D12690" s="8">
        <f>IFERROR(__xludf.DUMMYFUNCTION("""COMPUTED_VALUE"""),0.087)</f>
        <v>0.087</v>
      </c>
      <c r="E12690" s="8" t="str">
        <f>IFERROR(__xludf.DUMMYFUNCTION("""COMPUTED_VALUE"""),"Real")</f>
        <v>Real</v>
      </c>
      <c r="G12690" s="8">
        <f t="shared" si="1"/>
        <v>4</v>
      </c>
      <c r="H12690" s="14">
        <f t="shared" si="2"/>
        <v>12</v>
      </c>
      <c r="I12690" s="15">
        <f t="shared" si="3"/>
        <v>18</v>
      </c>
    </row>
    <row r="12691">
      <c r="A12691" s="8" t="str">
        <f>IFERROR(__xludf.DUMMYFUNCTION("IF('(INGESTA)Datos_consumo_datadis'!A12691&lt;&gt;"""",SPLIT('(INGESTA)Datos_consumo_datadis'!A:A,"",""),"""")"),"ES0031408323131005HX0F")</f>
        <v>ES0031408323131005HX0F</v>
      </c>
      <c r="B12691" s="12">
        <f>IFERROR(__xludf.DUMMYFUNCTION("""COMPUTED_VALUE"""),45394.0)</f>
        <v>45394</v>
      </c>
      <c r="C12691" s="13">
        <f>IFERROR(__xludf.DUMMYFUNCTION("""COMPUTED_VALUE"""),0.7916666666666666)</f>
        <v>0.7916666667</v>
      </c>
      <c r="D12691" s="8">
        <f>IFERROR(__xludf.DUMMYFUNCTION("""COMPUTED_VALUE"""),0.128)</f>
        <v>0.128</v>
      </c>
      <c r="E12691" s="8" t="str">
        <f>IFERROR(__xludf.DUMMYFUNCTION("""COMPUTED_VALUE"""),"Real")</f>
        <v>Real</v>
      </c>
      <c r="G12691" s="8">
        <f t="shared" si="1"/>
        <v>4</v>
      </c>
      <c r="H12691" s="14">
        <f t="shared" si="2"/>
        <v>12</v>
      </c>
      <c r="I12691" s="15">
        <f t="shared" si="3"/>
        <v>19</v>
      </c>
    </row>
    <row r="12692">
      <c r="A12692" s="8" t="str">
        <f>IFERROR(__xludf.DUMMYFUNCTION("IF('(INGESTA)Datos_consumo_datadis'!A12692&lt;&gt;"""",SPLIT('(INGESTA)Datos_consumo_datadis'!A:A,"",""),"""")"),"ES0031408323131005HX0F")</f>
        <v>ES0031408323131005HX0F</v>
      </c>
      <c r="B12692" s="12">
        <f>IFERROR(__xludf.DUMMYFUNCTION("""COMPUTED_VALUE"""),45394.0)</f>
        <v>45394</v>
      </c>
      <c r="C12692" s="13">
        <f>IFERROR(__xludf.DUMMYFUNCTION("""COMPUTED_VALUE"""),0.8333333333333334)</f>
        <v>0.8333333333</v>
      </c>
      <c r="D12692" s="8">
        <f>IFERROR(__xludf.DUMMYFUNCTION("""COMPUTED_VALUE"""),0.206)</f>
        <v>0.206</v>
      </c>
      <c r="E12692" s="8" t="str">
        <f>IFERROR(__xludf.DUMMYFUNCTION("""COMPUTED_VALUE"""),"Real")</f>
        <v>Real</v>
      </c>
      <c r="G12692" s="8">
        <f t="shared" si="1"/>
        <v>4</v>
      </c>
      <c r="H12692" s="14">
        <f t="shared" si="2"/>
        <v>12</v>
      </c>
      <c r="I12692" s="15">
        <f t="shared" si="3"/>
        <v>20</v>
      </c>
    </row>
    <row r="12693">
      <c r="A12693" s="8" t="str">
        <f>IFERROR(__xludf.DUMMYFUNCTION("IF('(INGESTA)Datos_consumo_datadis'!A12693&lt;&gt;"""",SPLIT('(INGESTA)Datos_consumo_datadis'!A:A,"",""),"""")"),"ES0031408323131005HX0F")</f>
        <v>ES0031408323131005HX0F</v>
      </c>
      <c r="B12693" s="12">
        <f>IFERROR(__xludf.DUMMYFUNCTION("""COMPUTED_VALUE"""),45394.0)</f>
        <v>45394</v>
      </c>
      <c r="C12693" s="13">
        <f>IFERROR(__xludf.DUMMYFUNCTION("""COMPUTED_VALUE"""),0.875)</f>
        <v>0.875</v>
      </c>
      <c r="D12693" s="8">
        <f>IFERROR(__xludf.DUMMYFUNCTION("""COMPUTED_VALUE"""),1.239)</f>
        <v>1.239</v>
      </c>
      <c r="E12693" s="8" t="str">
        <f>IFERROR(__xludf.DUMMYFUNCTION("""COMPUTED_VALUE"""),"Real")</f>
        <v>Real</v>
      </c>
      <c r="G12693" s="8">
        <f t="shared" si="1"/>
        <v>4</v>
      </c>
      <c r="H12693" s="14">
        <f t="shared" si="2"/>
        <v>12</v>
      </c>
      <c r="I12693" s="15">
        <f t="shared" si="3"/>
        <v>21</v>
      </c>
    </row>
    <row r="12694">
      <c r="A12694" s="8" t="str">
        <f>IFERROR(__xludf.DUMMYFUNCTION("IF('(INGESTA)Datos_consumo_datadis'!A12694&lt;&gt;"""",SPLIT('(INGESTA)Datos_consumo_datadis'!A:A,"",""),"""")"),"ES0031408323131005HX0F")</f>
        <v>ES0031408323131005HX0F</v>
      </c>
      <c r="B12694" s="12">
        <f>IFERROR(__xludf.DUMMYFUNCTION("""COMPUTED_VALUE"""),45394.0)</f>
        <v>45394</v>
      </c>
      <c r="C12694" s="13">
        <f>IFERROR(__xludf.DUMMYFUNCTION("""COMPUTED_VALUE"""),0.9166666666666666)</f>
        <v>0.9166666667</v>
      </c>
      <c r="D12694" s="8">
        <f>IFERROR(__xludf.DUMMYFUNCTION("""COMPUTED_VALUE"""),0.524)</f>
        <v>0.524</v>
      </c>
      <c r="E12694" s="8" t="str">
        <f>IFERROR(__xludf.DUMMYFUNCTION("""COMPUTED_VALUE"""),"Real")</f>
        <v>Real</v>
      </c>
      <c r="G12694" s="8">
        <f t="shared" si="1"/>
        <v>4</v>
      </c>
      <c r="H12694" s="14">
        <f t="shared" si="2"/>
        <v>12</v>
      </c>
      <c r="I12694" s="15">
        <f t="shared" si="3"/>
        <v>22</v>
      </c>
    </row>
    <row r="12695">
      <c r="A12695" s="8" t="str">
        <f>IFERROR(__xludf.DUMMYFUNCTION("IF('(INGESTA)Datos_consumo_datadis'!A12695&lt;&gt;"""",SPLIT('(INGESTA)Datos_consumo_datadis'!A:A,"",""),"""")"),"ES0031408323131005HX0F")</f>
        <v>ES0031408323131005HX0F</v>
      </c>
      <c r="B12695" s="12">
        <f>IFERROR(__xludf.DUMMYFUNCTION("""COMPUTED_VALUE"""),45394.0)</f>
        <v>45394</v>
      </c>
      <c r="C12695" s="13">
        <f>IFERROR(__xludf.DUMMYFUNCTION("""COMPUTED_VALUE"""),0.9583333333333334)</f>
        <v>0.9583333333</v>
      </c>
      <c r="D12695" s="8">
        <f>IFERROR(__xludf.DUMMYFUNCTION("""COMPUTED_VALUE"""),1.224)</f>
        <v>1.224</v>
      </c>
      <c r="E12695" s="8" t="str">
        <f>IFERROR(__xludf.DUMMYFUNCTION("""COMPUTED_VALUE"""),"Real")</f>
        <v>Real</v>
      </c>
      <c r="G12695" s="8">
        <f t="shared" si="1"/>
        <v>4</v>
      </c>
      <c r="H12695" s="14">
        <f t="shared" si="2"/>
        <v>12</v>
      </c>
      <c r="I12695" s="15">
        <f t="shared" si="3"/>
        <v>23</v>
      </c>
    </row>
    <row r="12696">
      <c r="A12696" s="8" t="str">
        <f>IFERROR(__xludf.DUMMYFUNCTION("IF('(INGESTA)Datos_consumo_datadis'!A12696&lt;&gt;"""",SPLIT('(INGESTA)Datos_consumo_datadis'!A:A,"",""),"""")"),"ES0031408323131005HX0F")</f>
        <v>ES0031408323131005HX0F</v>
      </c>
      <c r="B12696" s="12">
        <f>IFERROR(__xludf.DUMMYFUNCTION("""COMPUTED_VALUE"""),45394.0)</f>
        <v>45394</v>
      </c>
      <c r="C12696" s="16">
        <f>IFERROR(__xludf.DUMMYFUNCTION("""COMPUTED_VALUE"""),1.0)</f>
        <v>1</v>
      </c>
      <c r="D12696" s="8">
        <f>IFERROR(__xludf.DUMMYFUNCTION("""COMPUTED_VALUE"""),1.276)</f>
        <v>1.276</v>
      </c>
      <c r="E12696" s="8" t="str">
        <f>IFERROR(__xludf.DUMMYFUNCTION("""COMPUTED_VALUE"""),"Real")</f>
        <v>Real</v>
      </c>
      <c r="G12696" s="8">
        <f t="shared" si="1"/>
        <v>4</v>
      </c>
      <c r="H12696" s="14">
        <f t="shared" si="2"/>
        <v>12</v>
      </c>
      <c r="I12696" s="15">
        <f t="shared" si="3"/>
        <v>0</v>
      </c>
    </row>
    <row r="12697">
      <c r="A12697" s="8" t="str">
        <f>IFERROR(__xludf.DUMMYFUNCTION("IF('(INGESTA)Datos_consumo_datadis'!A12697&lt;&gt;"""",SPLIT('(INGESTA)Datos_consumo_datadis'!A:A,"",""),"""")"),"ES0031408323131005HX0F")</f>
        <v>ES0031408323131005HX0F</v>
      </c>
      <c r="B12697" s="12">
        <f>IFERROR(__xludf.DUMMYFUNCTION("""COMPUTED_VALUE"""),45395.0)</f>
        <v>45395</v>
      </c>
      <c r="C12697" s="13">
        <f>IFERROR(__xludf.DUMMYFUNCTION("""COMPUTED_VALUE"""),0.041666666666666664)</f>
        <v>0.04166666667</v>
      </c>
      <c r="D12697" s="8">
        <f>IFERROR(__xludf.DUMMYFUNCTION("""COMPUTED_VALUE"""),0.872)</f>
        <v>0.872</v>
      </c>
      <c r="E12697" s="8" t="str">
        <f>IFERROR(__xludf.DUMMYFUNCTION("""COMPUTED_VALUE"""),"Real")</f>
        <v>Real</v>
      </c>
      <c r="G12697" s="8">
        <f t="shared" si="1"/>
        <v>4</v>
      </c>
      <c r="H12697" s="14">
        <f t="shared" si="2"/>
        <v>13</v>
      </c>
      <c r="I12697" s="15">
        <f t="shared" si="3"/>
        <v>1</v>
      </c>
    </row>
    <row r="12698">
      <c r="A12698" s="8" t="str">
        <f>IFERROR(__xludf.DUMMYFUNCTION("IF('(INGESTA)Datos_consumo_datadis'!A12698&lt;&gt;"""",SPLIT('(INGESTA)Datos_consumo_datadis'!A:A,"",""),"""")"),"ES0031408323131005HX0F")</f>
        <v>ES0031408323131005HX0F</v>
      </c>
      <c r="B12698" s="12">
        <f>IFERROR(__xludf.DUMMYFUNCTION("""COMPUTED_VALUE"""),45395.0)</f>
        <v>45395</v>
      </c>
      <c r="C12698" s="13">
        <f>IFERROR(__xludf.DUMMYFUNCTION("""COMPUTED_VALUE"""),0.08333333333333333)</f>
        <v>0.08333333333</v>
      </c>
      <c r="D12698" s="8">
        <f>IFERROR(__xludf.DUMMYFUNCTION("""COMPUTED_VALUE"""),0.357)</f>
        <v>0.357</v>
      </c>
      <c r="E12698" s="8" t="str">
        <f>IFERROR(__xludf.DUMMYFUNCTION("""COMPUTED_VALUE"""),"Real")</f>
        <v>Real</v>
      </c>
      <c r="G12698" s="8">
        <f t="shared" si="1"/>
        <v>4</v>
      </c>
      <c r="H12698" s="14">
        <f t="shared" si="2"/>
        <v>13</v>
      </c>
      <c r="I12698" s="15">
        <f t="shared" si="3"/>
        <v>2</v>
      </c>
    </row>
    <row r="12699">
      <c r="A12699" s="8" t="str">
        <f>IFERROR(__xludf.DUMMYFUNCTION("IF('(INGESTA)Datos_consumo_datadis'!A12699&lt;&gt;"""",SPLIT('(INGESTA)Datos_consumo_datadis'!A:A,"",""),"""")"),"ES0031408323131005HX0F")</f>
        <v>ES0031408323131005HX0F</v>
      </c>
      <c r="B12699" s="12">
        <f>IFERROR(__xludf.DUMMYFUNCTION("""COMPUTED_VALUE"""),45395.0)</f>
        <v>45395</v>
      </c>
      <c r="C12699" s="13">
        <f>IFERROR(__xludf.DUMMYFUNCTION("""COMPUTED_VALUE"""),0.125)</f>
        <v>0.125</v>
      </c>
      <c r="D12699" s="8">
        <f>IFERROR(__xludf.DUMMYFUNCTION("""COMPUTED_VALUE"""),0.031)</f>
        <v>0.031</v>
      </c>
      <c r="E12699" s="8" t="str">
        <f>IFERROR(__xludf.DUMMYFUNCTION("""COMPUTED_VALUE"""),"Real")</f>
        <v>Real</v>
      </c>
      <c r="G12699" s="8">
        <f t="shared" si="1"/>
        <v>4</v>
      </c>
      <c r="H12699" s="14">
        <f t="shared" si="2"/>
        <v>13</v>
      </c>
      <c r="I12699" s="15">
        <f t="shared" si="3"/>
        <v>3</v>
      </c>
    </row>
    <row r="12700">
      <c r="A12700" s="8" t="str">
        <f>IFERROR(__xludf.DUMMYFUNCTION("IF('(INGESTA)Datos_consumo_datadis'!A12700&lt;&gt;"""",SPLIT('(INGESTA)Datos_consumo_datadis'!A:A,"",""),"""")"),"ES0031408323131005HX0F")</f>
        <v>ES0031408323131005HX0F</v>
      </c>
      <c r="B12700" s="12">
        <f>IFERROR(__xludf.DUMMYFUNCTION("""COMPUTED_VALUE"""),45395.0)</f>
        <v>45395</v>
      </c>
      <c r="C12700" s="13">
        <f>IFERROR(__xludf.DUMMYFUNCTION("""COMPUTED_VALUE"""),0.16666666666666666)</f>
        <v>0.1666666667</v>
      </c>
      <c r="D12700" s="8">
        <f>IFERROR(__xludf.DUMMYFUNCTION("""COMPUTED_VALUE"""),0.073)</f>
        <v>0.073</v>
      </c>
      <c r="E12700" s="8" t="str">
        <f>IFERROR(__xludf.DUMMYFUNCTION("""COMPUTED_VALUE"""),"Real")</f>
        <v>Real</v>
      </c>
      <c r="G12700" s="8">
        <f t="shared" si="1"/>
        <v>4</v>
      </c>
      <c r="H12700" s="14">
        <f t="shared" si="2"/>
        <v>13</v>
      </c>
      <c r="I12700" s="15">
        <f t="shared" si="3"/>
        <v>4</v>
      </c>
    </row>
    <row r="12701">
      <c r="A12701" s="8" t="str">
        <f>IFERROR(__xludf.DUMMYFUNCTION("IF('(INGESTA)Datos_consumo_datadis'!A12701&lt;&gt;"""",SPLIT('(INGESTA)Datos_consumo_datadis'!A:A,"",""),"""")"),"ES0031408323131005HX0F")</f>
        <v>ES0031408323131005HX0F</v>
      </c>
      <c r="B12701" s="12">
        <f>IFERROR(__xludf.DUMMYFUNCTION("""COMPUTED_VALUE"""),45395.0)</f>
        <v>45395</v>
      </c>
      <c r="C12701" s="13">
        <f>IFERROR(__xludf.DUMMYFUNCTION("""COMPUTED_VALUE"""),0.20833333333333334)</f>
        <v>0.2083333333</v>
      </c>
      <c r="D12701" s="8">
        <f>IFERROR(__xludf.DUMMYFUNCTION("""COMPUTED_VALUE"""),0.044)</f>
        <v>0.044</v>
      </c>
      <c r="E12701" s="8" t="str">
        <f>IFERROR(__xludf.DUMMYFUNCTION("""COMPUTED_VALUE"""),"Real")</f>
        <v>Real</v>
      </c>
      <c r="G12701" s="8">
        <f t="shared" si="1"/>
        <v>4</v>
      </c>
      <c r="H12701" s="14">
        <f t="shared" si="2"/>
        <v>13</v>
      </c>
      <c r="I12701" s="15">
        <f t="shared" si="3"/>
        <v>5</v>
      </c>
    </row>
    <row r="12702">
      <c r="A12702" s="8" t="str">
        <f>IFERROR(__xludf.DUMMYFUNCTION("IF('(INGESTA)Datos_consumo_datadis'!A12702&lt;&gt;"""",SPLIT('(INGESTA)Datos_consumo_datadis'!A:A,"",""),"""")"),"ES0031408323131005HX0F")</f>
        <v>ES0031408323131005HX0F</v>
      </c>
      <c r="B12702" s="12">
        <f>IFERROR(__xludf.DUMMYFUNCTION("""COMPUTED_VALUE"""),45395.0)</f>
        <v>45395</v>
      </c>
      <c r="C12702" s="13">
        <f>IFERROR(__xludf.DUMMYFUNCTION("""COMPUTED_VALUE"""),0.25)</f>
        <v>0.25</v>
      </c>
      <c r="D12702" s="8">
        <f>IFERROR(__xludf.DUMMYFUNCTION("""COMPUTED_VALUE"""),0.068)</f>
        <v>0.068</v>
      </c>
      <c r="E12702" s="8" t="str">
        <f>IFERROR(__xludf.DUMMYFUNCTION("""COMPUTED_VALUE"""),"Real")</f>
        <v>Real</v>
      </c>
      <c r="G12702" s="8">
        <f t="shared" si="1"/>
        <v>4</v>
      </c>
      <c r="H12702" s="14">
        <f t="shared" si="2"/>
        <v>13</v>
      </c>
      <c r="I12702" s="15">
        <f t="shared" si="3"/>
        <v>6</v>
      </c>
    </row>
    <row r="12703">
      <c r="A12703" s="8" t="str">
        <f>IFERROR(__xludf.DUMMYFUNCTION("IF('(INGESTA)Datos_consumo_datadis'!A12703&lt;&gt;"""",SPLIT('(INGESTA)Datos_consumo_datadis'!A:A,"",""),"""")"),"ES0031408323131005HX0F")</f>
        <v>ES0031408323131005HX0F</v>
      </c>
      <c r="B12703" s="12">
        <f>IFERROR(__xludf.DUMMYFUNCTION("""COMPUTED_VALUE"""),45395.0)</f>
        <v>45395</v>
      </c>
      <c r="C12703" s="13">
        <f>IFERROR(__xludf.DUMMYFUNCTION("""COMPUTED_VALUE"""),0.2916666666666667)</f>
        <v>0.2916666667</v>
      </c>
      <c r="D12703" s="8">
        <f>IFERROR(__xludf.DUMMYFUNCTION("""COMPUTED_VALUE"""),0.053)</f>
        <v>0.053</v>
      </c>
      <c r="E12703" s="8" t="str">
        <f>IFERROR(__xludf.DUMMYFUNCTION("""COMPUTED_VALUE"""),"Real")</f>
        <v>Real</v>
      </c>
      <c r="G12703" s="8">
        <f t="shared" si="1"/>
        <v>4</v>
      </c>
      <c r="H12703" s="14">
        <f t="shared" si="2"/>
        <v>13</v>
      </c>
      <c r="I12703" s="15">
        <f t="shared" si="3"/>
        <v>7</v>
      </c>
    </row>
    <row r="12704">
      <c r="A12704" s="8" t="str">
        <f>IFERROR(__xludf.DUMMYFUNCTION("IF('(INGESTA)Datos_consumo_datadis'!A12704&lt;&gt;"""",SPLIT('(INGESTA)Datos_consumo_datadis'!A:A,"",""),"""")"),"ES0031408323131005HX0F")</f>
        <v>ES0031408323131005HX0F</v>
      </c>
      <c r="B12704" s="12">
        <f>IFERROR(__xludf.DUMMYFUNCTION("""COMPUTED_VALUE"""),45395.0)</f>
        <v>45395</v>
      </c>
      <c r="C12704" s="13">
        <f>IFERROR(__xludf.DUMMYFUNCTION("""COMPUTED_VALUE"""),0.3333333333333333)</f>
        <v>0.3333333333</v>
      </c>
      <c r="D12704" s="8">
        <f>IFERROR(__xludf.DUMMYFUNCTION("""COMPUTED_VALUE"""),0.335)</f>
        <v>0.335</v>
      </c>
      <c r="E12704" s="8" t="str">
        <f>IFERROR(__xludf.DUMMYFUNCTION("""COMPUTED_VALUE"""),"Real")</f>
        <v>Real</v>
      </c>
      <c r="G12704" s="8">
        <f t="shared" si="1"/>
        <v>4</v>
      </c>
      <c r="H12704" s="14">
        <f t="shared" si="2"/>
        <v>13</v>
      </c>
      <c r="I12704" s="15">
        <f t="shared" si="3"/>
        <v>8</v>
      </c>
    </row>
    <row r="12705">
      <c r="A12705" s="8" t="str">
        <f>IFERROR(__xludf.DUMMYFUNCTION("IF('(INGESTA)Datos_consumo_datadis'!A12705&lt;&gt;"""",SPLIT('(INGESTA)Datos_consumo_datadis'!A:A,"",""),"""")"),"ES0031408323131005HX0F")</f>
        <v>ES0031408323131005HX0F</v>
      </c>
      <c r="B12705" s="12">
        <f>IFERROR(__xludf.DUMMYFUNCTION("""COMPUTED_VALUE"""),45395.0)</f>
        <v>45395</v>
      </c>
      <c r="C12705" s="13">
        <f>IFERROR(__xludf.DUMMYFUNCTION("""COMPUTED_VALUE"""),0.375)</f>
        <v>0.375</v>
      </c>
      <c r="D12705" s="8">
        <f>IFERROR(__xludf.DUMMYFUNCTION("""COMPUTED_VALUE"""),1.577)</f>
        <v>1.577</v>
      </c>
      <c r="E12705" s="8" t="str">
        <f>IFERROR(__xludf.DUMMYFUNCTION("""COMPUTED_VALUE"""),"Real")</f>
        <v>Real</v>
      </c>
      <c r="G12705" s="8">
        <f t="shared" si="1"/>
        <v>4</v>
      </c>
      <c r="H12705" s="14">
        <f t="shared" si="2"/>
        <v>13</v>
      </c>
      <c r="I12705" s="15">
        <f t="shared" si="3"/>
        <v>9</v>
      </c>
    </row>
    <row r="12706">
      <c r="A12706" s="8" t="str">
        <f>IFERROR(__xludf.DUMMYFUNCTION("IF('(INGESTA)Datos_consumo_datadis'!A12706&lt;&gt;"""",SPLIT('(INGESTA)Datos_consumo_datadis'!A:A,"",""),"""")"),"ES0031408323131005HX0F")</f>
        <v>ES0031408323131005HX0F</v>
      </c>
      <c r="B12706" s="12">
        <f>IFERROR(__xludf.DUMMYFUNCTION("""COMPUTED_VALUE"""),45395.0)</f>
        <v>45395</v>
      </c>
      <c r="C12706" s="13">
        <f>IFERROR(__xludf.DUMMYFUNCTION("""COMPUTED_VALUE"""),0.4166666666666667)</f>
        <v>0.4166666667</v>
      </c>
      <c r="D12706" s="8">
        <f>IFERROR(__xludf.DUMMYFUNCTION("""COMPUTED_VALUE"""),0.617)</f>
        <v>0.617</v>
      </c>
      <c r="E12706" s="8" t="str">
        <f>IFERROR(__xludf.DUMMYFUNCTION("""COMPUTED_VALUE"""),"Real")</f>
        <v>Real</v>
      </c>
      <c r="G12706" s="8">
        <f t="shared" si="1"/>
        <v>4</v>
      </c>
      <c r="H12706" s="14">
        <f t="shared" si="2"/>
        <v>13</v>
      </c>
      <c r="I12706" s="15">
        <f t="shared" si="3"/>
        <v>10</v>
      </c>
    </row>
    <row r="12707">
      <c r="A12707" s="8" t="str">
        <f>IFERROR(__xludf.DUMMYFUNCTION("IF('(INGESTA)Datos_consumo_datadis'!A12707&lt;&gt;"""",SPLIT('(INGESTA)Datos_consumo_datadis'!A:A,"",""),"""")"),"ES0031408323131005HX0F")</f>
        <v>ES0031408323131005HX0F</v>
      </c>
      <c r="B12707" s="12">
        <f>IFERROR(__xludf.DUMMYFUNCTION("""COMPUTED_VALUE"""),45395.0)</f>
        <v>45395</v>
      </c>
      <c r="C12707" s="13">
        <f>IFERROR(__xludf.DUMMYFUNCTION("""COMPUTED_VALUE"""),0.4583333333333333)</f>
        <v>0.4583333333</v>
      </c>
      <c r="D12707" s="8">
        <f>IFERROR(__xludf.DUMMYFUNCTION("""COMPUTED_VALUE"""),1.145)</f>
        <v>1.145</v>
      </c>
      <c r="E12707" s="8" t="str">
        <f>IFERROR(__xludf.DUMMYFUNCTION("""COMPUTED_VALUE"""),"Real")</f>
        <v>Real</v>
      </c>
      <c r="G12707" s="8">
        <f t="shared" si="1"/>
        <v>4</v>
      </c>
      <c r="H12707" s="14">
        <f t="shared" si="2"/>
        <v>13</v>
      </c>
      <c r="I12707" s="15">
        <f t="shared" si="3"/>
        <v>11</v>
      </c>
    </row>
    <row r="12708">
      <c r="A12708" s="8" t="str">
        <f>IFERROR(__xludf.DUMMYFUNCTION("IF('(INGESTA)Datos_consumo_datadis'!A12708&lt;&gt;"""",SPLIT('(INGESTA)Datos_consumo_datadis'!A:A,"",""),"""")"),"ES0031408323131005HX0F")</f>
        <v>ES0031408323131005HX0F</v>
      </c>
      <c r="B12708" s="12">
        <f>IFERROR(__xludf.DUMMYFUNCTION("""COMPUTED_VALUE"""),45395.0)</f>
        <v>45395</v>
      </c>
      <c r="C12708" s="13">
        <f>IFERROR(__xludf.DUMMYFUNCTION("""COMPUTED_VALUE"""),0.5)</f>
        <v>0.5</v>
      </c>
      <c r="D12708" s="8">
        <f>IFERROR(__xludf.DUMMYFUNCTION("""COMPUTED_VALUE"""),2.176)</f>
        <v>2.176</v>
      </c>
      <c r="E12708" s="8" t="str">
        <f>IFERROR(__xludf.DUMMYFUNCTION("""COMPUTED_VALUE"""),"Real")</f>
        <v>Real</v>
      </c>
      <c r="G12708" s="8">
        <f t="shared" si="1"/>
        <v>4</v>
      </c>
      <c r="H12708" s="14">
        <f t="shared" si="2"/>
        <v>13</v>
      </c>
      <c r="I12708" s="15">
        <f t="shared" si="3"/>
        <v>12</v>
      </c>
    </row>
    <row r="12709">
      <c r="A12709" s="8" t="str">
        <f>IFERROR(__xludf.DUMMYFUNCTION("IF('(INGESTA)Datos_consumo_datadis'!A12709&lt;&gt;"""",SPLIT('(INGESTA)Datos_consumo_datadis'!A:A,"",""),"""")"),"ES0031408323131005HX0F")</f>
        <v>ES0031408323131005HX0F</v>
      </c>
      <c r="B12709" s="12">
        <f>IFERROR(__xludf.DUMMYFUNCTION("""COMPUTED_VALUE"""),45395.0)</f>
        <v>45395</v>
      </c>
      <c r="C12709" s="13">
        <f>IFERROR(__xludf.DUMMYFUNCTION("""COMPUTED_VALUE"""),0.5416666666666666)</f>
        <v>0.5416666667</v>
      </c>
      <c r="D12709" s="8">
        <f>IFERROR(__xludf.DUMMYFUNCTION("""COMPUTED_VALUE"""),0.095)</f>
        <v>0.095</v>
      </c>
      <c r="E12709" s="8" t="str">
        <f>IFERROR(__xludf.DUMMYFUNCTION("""COMPUTED_VALUE"""),"Real")</f>
        <v>Real</v>
      </c>
      <c r="G12709" s="8">
        <f t="shared" si="1"/>
        <v>4</v>
      </c>
      <c r="H12709" s="14">
        <f t="shared" si="2"/>
        <v>13</v>
      </c>
      <c r="I12709" s="15">
        <f t="shared" si="3"/>
        <v>13</v>
      </c>
    </row>
    <row r="12710">
      <c r="A12710" s="8" t="str">
        <f>IFERROR(__xludf.DUMMYFUNCTION("IF('(INGESTA)Datos_consumo_datadis'!A12710&lt;&gt;"""",SPLIT('(INGESTA)Datos_consumo_datadis'!A:A,"",""),"""")"),"ES0031408323131005HX0F")</f>
        <v>ES0031408323131005HX0F</v>
      </c>
      <c r="B12710" s="12">
        <f>IFERROR(__xludf.DUMMYFUNCTION("""COMPUTED_VALUE"""),45395.0)</f>
        <v>45395</v>
      </c>
      <c r="C12710" s="13">
        <f>IFERROR(__xludf.DUMMYFUNCTION("""COMPUTED_VALUE"""),0.5833333333333334)</f>
        <v>0.5833333333</v>
      </c>
      <c r="D12710" s="8">
        <f>IFERROR(__xludf.DUMMYFUNCTION("""COMPUTED_VALUE"""),0.649)</f>
        <v>0.649</v>
      </c>
      <c r="E12710" s="8" t="str">
        <f>IFERROR(__xludf.DUMMYFUNCTION("""COMPUTED_VALUE"""),"Real")</f>
        <v>Real</v>
      </c>
      <c r="G12710" s="8">
        <f t="shared" si="1"/>
        <v>4</v>
      </c>
      <c r="H12710" s="14">
        <f t="shared" si="2"/>
        <v>13</v>
      </c>
      <c r="I12710" s="15">
        <f t="shared" si="3"/>
        <v>14</v>
      </c>
    </row>
    <row r="12711">
      <c r="A12711" s="8" t="str">
        <f>IFERROR(__xludf.DUMMYFUNCTION("IF('(INGESTA)Datos_consumo_datadis'!A12711&lt;&gt;"""",SPLIT('(INGESTA)Datos_consumo_datadis'!A:A,"",""),"""")"),"ES0031408323131005HX0F")</f>
        <v>ES0031408323131005HX0F</v>
      </c>
      <c r="B12711" s="12">
        <f>IFERROR(__xludf.DUMMYFUNCTION("""COMPUTED_VALUE"""),45395.0)</f>
        <v>45395</v>
      </c>
      <c r="C12711" s="13">
        <f>IFERROR(__xludf.DUMMYFUNCTION("""COMPUTED_VALUE"""),0.625)</f>
        <v>0.625</v>
      </c>
      <c r="D12711" s="8">
        <f>IFERROR(__xludf.DUMMYFUNCTION("""COMPUTED_VALUE"""),0.362)</f>
        <v>0.362</v>
      </c>
      <c r="E12711" s="8" t="str">
        <f>IFERROR(__xludf.DUMMYFUNCTION("""COMPUTED_VALUE"""),"Real")</f>
        <v>Real</v>
      </c>
      <c r="G12711" s="8">
        <f t="shared" si="1"/>
        <v>4</v>
      </c>
      <c r="H12711" s="14">
        <f t="shared" si="2"/>
        <v>13</v>
      </c>
      <c r="I12711" s="15">
        <f t="shared" si="3"/>
        <v>15</v>
      </c>
    </row>
    <row r="12712">
      <c r="A12712" s="8" t="str">
        <f>IFERROR(__xludf.DUMMYFUNCTION("IF('(INGESTA)Datos_consumo_datadis'!A12712&lt;&gt;"""",SPLIT('(INGESTA)Datos_consumo_datadis'!A:A,"",""),"""")"),"ES0031408323131005HX0F")</f>
        <v>ES0031408323131005HX0F</v>
      </c>
      <c r="B12712" s="12">
        <f>IFERROR(__xludf.DUMMYFUNCTION("""COMPUTED_VALUE"""),45395.0)</f>
        <v>45395</v>
      </c>
      <c r="C12712" s="13">
        <f>IFERROR(__xludf.DUMMYFUNCTION("""COMPUTED_VALUE"""),0.6666666666666666)</f>
        <v>0.6666666667</v>
      </c>
      <c r="D12712" s="8">
        <f>IFERROR(__xludf.DUMMYFUNCTION("""COMPUTED_VALUE"""),0.257)</f>
        <v>0.257</v>
      </c>
      <c r="E12712" s="8" t="str">
        <f>IFERROR(__xludf.DUMMYFUNCTION("""COMPUTED_VALUE"""),"Real")</f>
        <v>Real</v>
      </c>
      <c r="G12712" s="8">
        <f t="shared" si="1"/>
        <v>4</v>
      </c>
      <c r="H12712" s="14">
        <f t="shared" si="2"/>
        <v>13</v>
      </c>
      <c r="I12712" s="15">
        <f t="shared" si="3"/>
        <v>16</v>
      </c>
    </row>
    <row r="12713">
      <c r="A12713" s="8" t="str">
        <f>IFERROR(__xludf.DUMMYFUNCTION("IF('(INGESTA)Datos_consumo_datadis'!A12713&lt;&gt;"""",SPLIT('(INGESTA)Datos_consumo_datadis'!A:A,"",""),"""")"),"ES0031408323131005HX0F")</f>
        <v>ES0031408323131005HX0F</v>
      </c>
      <c r="B12713" s="12">
        <f>IFERROR(__xludf.DUMMYFUNCTION("""COMPUTED_VALUE"""),45395.0)</f>
        <v>45395</v>
      </c>
      <c r="C12713" s="13">
        <f>IFERROR(__xludf.DUMMYFUNCTION("""COMPUTED_VALUE"""),0.7083333333333334)</f>
        <v>0.7083333333</v>
      </c>
      <c r="D12713" s="8">
        <f>IFERROR(__xludf.DUMMYFUNCTION("""COMPUTED_VALUE"""),0.195)</f>
        <v>0.195</v>
      </c>
      <c r="E12713" s="8" t="str">
        <f>IFERROR(__xludf.DUMMYFUNCTION("""COMPUTED_VALUE"""),"Real")</f>
        <v>Real</v>
      </c>
      <c r="G12713" s="8">
        <f t="shared" si="1"/>
        <v>4</v>
      </c>
      <c r="H12713" s="14">
        <f t="shared" si="2"/>
        <v>13</v>
      </c>
      <c r="I12713" s="15">
        <f t="shared" si="3"/>
        <v>17</v>
      </c>
    </row>
    <row r="12714">
      <c r="A12714" s="8" t="str">
        <f>IFERROR(__xludf.DUMMYFUNCTION("IF('(INGESTA)Datos_consumo_datadis'!A12714&lt;&gt;"""",SPLIT('(INGESTA)Datos_consumo_datadis'!A:A,"",""),"""")"),"ES0031408323131005HX0F")</f>
        <v>ES0031408323131005HX0F</v>
      </c>
      <c r="B12714" s="12">
        <f>IFERROR(__xludf.DUMMYFUNCTION("""COMPUTED_VALUE"""),45395.0)</f>
        <v>45395</v>
      </c>
      <c r="C12714" s="13">
        <f>IFERROR(__xludf.DUMMYFUNCTION("""COMPUTED_VALUE"""),0.75)</f>
        <v>0.75</v>
      </c>
      <c r="D12714" s="8">
        <f>IFERROR(__xludf.DUMMYFUNCTION("""COMPUTED_VALUE"""),0.573)</f>
        <v>0.573</v>
      </c>
      <c r="E12714" s="8" t="str">
        <f>IFERROR(__xludf.DUMMYFUNCTION("""COMPUTED_VALUE"""),"Real")</f>
        <v>Real</v>
      </c>
      <c r="G12714" s="8">
        <f t="shared" si="1"/>
        <v>4</v>
      </c>
      <c r="H12714" s="14">
        <f t="shared" si="2"/>
        <v>13</v>
      </c>
      <c r="I12714" s="15">
        <f t="shared" si="3"/>
        <v>18</v>
      </c>
    </row>
    <row r="12715">
      <c r="A12715" s="8" t="str">
        <f>IFERROR(__xludf.DUMMYFUNCTION("IF('(INGESTA)Datos_consumo_datadis'!A12715&lt;&gt;"""",SPLIT('(INGESTA)Datos_consumo_datadis'!A:A,"",""),"""")"),"ES0031408323131005HX0F")</f>
        <v>ES0031408323131005HX0F</v>
      </c>
      <c r="B12715" s="12">
        <f>IFERROR(__xludf.DUMMYFUNCTION("""COMPUTED_VALUE"""),45395.0)</f>
        <v>45395</v>
      </c>
      <c r="C12715" s="13">
        <f>IFERROR(__xludf.DUMMYFUNCTION("""COMPUTED_VALUE"""),0.7916666666666666)</f>
        <v>0.7916666667</v>
      </c>
      <c r="D12715" s="8">
        <f>IFERROR(__xludf.DUMMYFUNCTION("""COMPUTED_VALUE"""),0.1)</f>
        <v>0.1</v>
      </c>
      <c r="E12715" s="8" t="str">
        <f>IFERROR(__xludf.DUMMYFUNCTION("""COMPUTED_VALUE"""),"Real")</f>
        <v>Real</v>
      </c>
      <c r="G12715" s="8">
        <f t="shared" si="1"/>
        <v>4</v>
      </c>
      <c r="H12715" s="14">
        <f t="shared" si="2"/>
        <v>13</v>
      </c>
      <c r="I12715" s="15">
        <f t="shared" si="3"/>
        <v>19</v>
      </c>
    </row>
    <row r="12716">
      <c r="A12716" s="8" t="str">
        <f>IFERROR(__xludf.DUMMYFUNCTION("IF('(INGESTA)Datos_consumo_datadis'!A12716&lt;&gt;"""",SPLIT('(INGESTA)Datos_consumo_datadis'!A:A,"",""),"""")"),"ES0031408323131005HX0F")</f>
        <v>ES0031408323131005HX0F</v>
      </c>
      <c r="B12716" s="12">
        <f>IFERROR(__xludf.DUMMYFUNCTION("""COMPUTED_VALUE"""),45395.0)</f>
        <v>45395</v>
      </c>
      <c r="C12716" s="13">
        <f>IFERROR(__xludf.DUMMYFUNCTION("""COMPUTED_VALUE"""),0.8333333333333334)</f>
        <v>0.8333333333</v>
      </c>
      <c r="D12716" s="8">
        <f>IFERROR(__xludf.DUMMYFUNCTION("""COMPUTED_VALUE"""),0.292)</f>
        <v>0.292</v>
      </c>
      <c r="E12716" s="8" t="str">
        <f>IFERROR(__xludf.DUMMYFUNCTION("""COMPUTED_VALUE"""),"Real")</f>
        <v>Real</v>
      </c>
      <c r="G12716" s="8">
        <f t="shared" si="1"/>
        <v>4</v>
      </c>
      <c r="H12716" s="14">
        <f t="shared" si="2"/>
        <v>13</v>
      </c>
      <c r="I12716" s="15">
        <f t="shared" si="3"/>
        <v>20</v>
      </c>
    </row>
    <row r="12717">
      <c r="A12717" s="8" t="str">
        <f>IFERROR(__xludf.DUMMYFUNCTION("IF('(INGESTA)Datos_consumo_datadis'!A12717&lt;&gt;"""",SPLIT('(INGESTA)Datos_consumo_datadis'!A:A,"",""),"""")"),"ES0031408323131005HX0F")</f>
        <v>ES0031408323131005HX0F</v>
      </c>
      <c r="B12717" s="12">
        <f>IFERROR(__xludf.DUMMYFUNCTION("""COMPUTED_VALUE"""),45395.0)</f>
        <v>45395</v>
      </c>
      <c r="C12717" s="13">
        <f>IFERROR(__xludf.DUMMYFUNCTION("""COMPUTED_VALUE"""),0.875)</f>
        <v>0.875</v>
      </c>
      <c r="D12717" s="8">
        <f>IFERROR(__xludf.DUMMYFUNCTION("""COMPUTED_VALUE"""),0.888)</f>
        <v>0.888</v>
      </c>
      <c r="E12717" s="8" t="str">
        <f>IFERROR(__xludf.DUMMYFUNCTION("""COMPUTED_VALUE"""),"Real")</f>
        <v>Real</v>
      </c>
      <c r="G12717" s="8">
        <f t="shared" si="1"/>
        <v>4</v>
      </c>
      <c r="H12717" s="14">
        <f t="shared" si="2"/>
        <v>13</v>
      </c>
      <c r="I12717" s="15">
        <f t="shared" si="3"/>
        <v>21</v>
      </c>
    </row>
    <row r="12718">
      <c r="A12718" s="8" t="str">
        <f>IFERROR(__xludf.DUMMYFUNCTION("IF('(INGESTA)Datos_consumo_datadis'!A12718&lt;&gt;"""",SPLIT('(INGESTA)Datos_consumo_datadis'!A:A,"",""),"""")"),"ES0031408323131005HX0F")</f>
        <v>ES0031408323131005HX0F</v>
      </c>
      <c r="B12718" s="12">
        <f>IFERROR(__xludf.DUMMYFUNCTION("""COMPUTED_VALUE"""),45395.0)</f>
        <v>45395</v>
      </c>
      <c r="C12718" s="13">
        <f>IFERROR(__xludf.DUMMYFUNCTION("""COMPUTED_VALUE"""),0.9166666666666666)</f>
        <v>0.9166666667</v>
      </c>
      <c r="D12718" s="8">
        <f>IFERROR(__xludf.DUMMYFUNCTION("""COMPUTED_VALUE"""),0.682)</f>
        <v>0.682</v>
      </c>
      <c r="E12718" s="8" t="str">
        <f>IFERROR(__xludf.DUMMYFUNCTION("""COMPUTED_VALUE"""),"Real")</f>
        <v>Real</v>
      </c>
      <c r="G12718" s="8">
        <f t="shared" si="1"/>
        <v>4</v>
      </c>
      <c r="H12718" s="14">
        <f t="shared" si="2"/>
        <v>13</v>
      </c>
      <c r="I12718" s="15">
        <f t="shared" si="3"/>
        <v>22</v>
      </c>
    </row>
    <row r="12719">
      <c r="A12719" s="8" t="str">
        <f>IFERROR(__xludf.DUMMYFUNCTION("IF('(INGESTA)Datos_consumo_datadis'!A12719&lt;&gt;"""",SPLIT('(INGESTA)Datos_consumo_datadis'!A:A,"",""),"""")"),"ES0031408323131005HX0F")</f>
        <v>ES0031408323131005HX0F</v>
      </c>
      <c r="B12719" s="12">
        <f>IFERROR(__xludf.DUMMYFUNCTION("""COMPUTED_VALUE"""),45395.0)</f>
        <v>45395</v>
      </c>
      <c r="C12719" s="13">
        <f>IFERROR(__xludf.DUMMYFUNCTION("""COMPUTED_VALUE"""),0.9583333333333334)</f>
        <v>0.9583333333</v>
      </c>
      <c r="D12719" s="8">
        <f>IFERROR(__xludf.DUMMYFUNCTION("""COMPUTED_VALUE"""),0.18)</f>
        <v>0.18</v>
      </c>
      <c r="E12719" s="8" t="str">
        <f>IFERROR(__xludf.DUMMYFUNCTION("""COMPUTED_VALUE"""),"Real")</f>
        <v>Real</v>
      </c>
      <c r="G12719" s="8">
        <f t="shared" si="1"/>
        <v>4</v>
      </c>
      <c r="H12719" s="14">
        <f t="shared" si="2"/>
        <v>13</v>
      </c>
      <c r="I12719" s="15">
        <f t="shared" si="3"/>
        <v>23</v>
      </c>
    </row>
    <row r="12720">
      <c r="A12720" s="8" t="str">
        <f>IFERROR(__xludf.DUMMYFUNCTION("IF('(INGESTA)Datos_consumo_datadis'!A12720&lt;&gt;"""",SPLIT('(INGESTA)Datos_consumo_datadis'!A:A,"",""),"""")"),"ES0031408323131005HX0F")</f>
        <v>ES0031408323131005HX0F</v>
      </c>
      <c r="B12720" s="12">
        <f>IFERROR(__xludf.DUMMYFUNCTION("""COMPUTED_VALUE"""),45395.0)</f>
        <v>45395</v>
      </c>
      <c r="C12720" s="16">
        <f>IFERROR(__xludf.DUMMYFUNCTION("""COMPUTED_VALUE"""),1.0)</f>
        <v>1</v>
      </c>
      <c r="D12720" s="8">
        <f>IFERROR(__xludf.DUMMYFUNCTION("""COMPUTED_VALUE"""),0.141)</f>
        <v>0.141</v>
      </c>
      <c r="E12720" s="8" t="str">
        <f>IFERROR(__xludf.DUMMYFUNCTION("""COMPUTED_VALUE"""),"Real")</f>
        <v>Real</v>
      </c>
      <c r="G12720" s="8">
        <f t="shared" si="1"/>
        <v>4</v>
      </c>
      <c r="H12720" s="14">
        <f t="shared" si="2"/>
        <v>13</v>
      </c>
      <c r="I12720" s="15">
        <f t="shared" si="3"/>
        <v>0</v>
      </c>
    </row>
    <row r="12721">
      <c r="A12721" s="8" t="str">
        <f>IFERROR(__xludf.DUMMYFUNCTION("IF('(INGESTA)Datos_consumo_datadis'!A12721&lt;&gt;"""",SPLIT('(INGESTA)Datos_consumo_datadis'!A:A,"",""),"""")"),"ES0031408323131005HX0F")</f>
        <v>ES0031408323131005HX0F</v>
      </c>
      <c r="B12721" s="12">
        <f>IFERROR(__xludf.DUMMYFUNCTION("""COMPUTED_VALUE"""),45396.0)</f>
        <v>45396</v>
      </c>
      <c r="C12721" s="13">
        <f>IFERROR(__xludf.DUMMYFUNCTION("""COMPUTED_VALUE"""),0.041666666666666664)</f>
        <v>0.04166666667</v>
      </c>
      <c r="D12721" s="8">
        <f>IFERROR(__xludf.DUMMYFUNCTION("""COMPUTED_VALUE"""),0.105)</f>
        <v>0.105</v>
      </c>
      <c r="E12721" s="8" t="str">
        <f>IFERROR(__xludf.DUMMYFUNCTION("""COMPUTED_VALUE"""),"Real")</f>
        <v>Real</v>
      </c>
      <c r="G12721" s="8">
        <f t="shared" si="1"/>
        <v>4</v>
      </c>
      <c r="H12721" s="14">
        <f t="shared" si="2"/>
        <v>14</v>
      </c>
      <c r="I12721" s="15">
        <f t="shared" si="3"/>
        <v>1</v>
      </c>
    </row>
    <row r="12722">
      <c r="A12722" s="8" t="str">
        <f>IFERROR(__xludf.DUMMYFUNCTION("IF('(INGESTA)Datos_consumo_datadis'!A12722&lt;&gt;"""",SPLIT('(INGESTA)Datos_consumo_datadis'!A:A,"",""),"""")"),"ES0031408323131005HX0F")</f>
        <v>ES0031408323131005HX0F</v>
      </c>
      <c r="B12722" s="12">
        <f>IFERROR(__xludf.DUMMYFUNCTION("""COMPUTED_VALUE"""),45396.0)</f>
        <v>45396</v>
      </c>
      <c r="C12722" s="13">
        <f>IFERROR(__xludf.DUMMYFUNCTION("""COMPUTED_VALUE"""),0.08333333333333333)</f>
        <v>0.08333333333</v>
      </c>
      <c r="D12722" s="8">
        <f>IFERROR(__xludf.DUMMYFUNCTION("""COMPUTED_VALUE"""),0.346)</f>
        <v>0.346</v>
      </c>
      <c r="E12722" s="8" t="str">
        <f>IFERROR(__xludf.DUMMYFUNCTION("""COMPUTED_VALUE"""),"Real")</f>
        <v>Real</v>
      </c>
      <c r="G12722" s="8">
        <f t="shared" si="1"/>
        <v>4</v>
      </c>
      <c r="H12722" s="14">
        <f t="shared" si="2"/>
        <v>14</v>
      </c>
      <c r="I12722" s="15">
        <f t="shared" si="3"/>
        <v>2</v>
      </c>
    </row>
    <row r="12723">
      <c r="A12723" s="8" t="str">
        <f>IFERROR(__xludf.DUMMYFUNCTION("IF('(INGESTA)Datos_consumo_datadis'!A12723&lt;&gt;"""",SPLIT('(INGESTA)Datos_consumo_datadis'!A:A,"",""),"""")"),"ES0031408323131005HX0F")</f>
        <v>ES0031408323131005HX0F</v>
      </c>
      <c r="B12723" s="12">
        <f>IFERROR(__xludf.DUMMYFUNCTION("""COMPUTED_VALUE"""),45396.0)</f>
        <v>45396</v>
      </c>
      <c r="C12723" s="13">
        <f>IFERROR(__xludf.DUMMYFUNCTION("""COMPUTED_VALUE"""),0.125)</f>
        <v>0.125</v>
      </c>
      <c r="D12723" s="8">
        <f>IFERROR(__xludf.DUMMYFUNCTION("""COMPUTED_VALUE"""),0.072)</f>
        <v>0.072</v>
      </c>
      <c r="E12723" s="8" t="str">
        <f>IFERROR(__xludf.DUMMYFUNCTION("""COMPUTED_VALUE"""),"Real")</f>
        <v>Real</v>
      </c>
      <c r="G12723" s="8">
        <f t="shared" si="1"/>
        <v>4</v>
      </c>
      <c r="H12723" s="14">
        <f t="shared" si="2"/>
        <v>14</v>
      </c>
      <c r="I12723" s="15">
        <f t="shared" si="3"/>
        <v>3</v>
      </c>
    </row>
    <row r="12724">
      <c r="A12724" s="8" t="str">
        <f>IFERROR(__xludf.DUMMYFUNCTION("IF('(INGESTA)Datos_consumo_datadis'!A12724&lt;&gt;"""",SPLIT('(INGESTA)Datos_consumo_datadis'!A:A,"",""),"""")"),"ES0031408323131005HX0F")</f>
        <v>ES0031408323131005HX0F</v>
      </c>
      <c r="B12724" s="12">
        <f>IFERROR(__xludf.DUMMYFUNCTION("""COMPUTED_VALUE"""),45396.0)</f>
        <v>45396</v>
      </c>
      <c r="C12724" s="13">
        <f>IFERROR(__xludf.DUMMYFUNCTION("""COMPUTED_VALUE"""),0.16666666666666666)</f>
        <v>0.1666666667</v>
      </c>
      <c r="D12724" s="8">
        <f>IFERROR(__xludf.DUMMYFUNCTION("""COMPUTED_VALUE"""),0.037)</f>
        <v>0.037</v>
      </c>
      <c r="E12724" s="8" t="str">
        <f>IFERROR(__xludf.DUMMYFUNCTION("""COMPUTED_VALUE"""),"Real")</f>
        <v>Real</v>
      </c>
      <c r="G12724" s="8">
        <f t="shared" si="1"/>
        <v>4</v>
      </c>
      <c r="H12724" s="14">
        <f t="shared" si="2"/>
        <v>14</v>
      </c>
      <c r="I12724" s="15">
        <f t="shared" si="3"/>
        <v>4</v>
      </c>
    </row>
    <row r="12725">
      <c r="A12725" s="8" t="str">
        <f>IFERROR(__xludf.DUMMYFUNCTION("IF('(INGESTA)Datos_consumo_datadis'!A12725&lt;&gt;"""",SPLIT('(INGESTA)Datos_consumo_datadis'!A:A,"",""),"""")"),"ES0031408323131005HX0F")</f>
        <v>ES0031408323131005HX0F</v>
      </c>
      <c r="B12725" s="12">
        <f>IFERROR(__xludf.DUMMYFUNCTION("""COMPUTED_VALUE"""),45396.0)</f>
        <v>45396</v>
      </c>
      <c r="C12725" s="13">
        <f>IFERROR(__xludf.DUMMYFUNCTION("""COMPUTED_VALUE"""),0.20833333333333334)</f>
        <v>0.2083333333</v>
      </c>
      <c r="D12725" s="8">
        <f>IFERROR(__xludf.DUMMYFUNCTION("""COMPUTED_VALUE"""),0.074)</f>
        <v>0.074</v>
      </c>
      <c r="E12725" s="8" t="str">
        <f>IFERROR(__xludf.DUMMYFUNCTION("""COMPUTED_VALUE"""),"Real")</f>
        <v>Real</v>
      </c>
      <c r="G12725" s="8">
        <f t="shared" si="1"/>
        <v>4</v>
      </c>
      <c r="H12725" s="14">
        <f t="shared" si="2"/>
        <v>14</v>
      </c>
      <c r="I12725" s="15">
        <f t="shared" si="3"/>
        <v>5</v>
      </c>
    </row>
    <row r="12726">
      <c r="A12726" s="8" t="str">
        <f>IFERROR(__xludf.DUMMYFUNCTION("IF('(INGESTA)Datos_consumo_datadis'!A12726&lt;&gt;"""",SPLIT('(INGESTA)Datos_consumo_datadis'!A:A,"",""),"""")"),"ES0031408323131005HX0F")</f>
        <v>ES0031408323131005HX0F</v>
      </c>
      <c r="B12726" s="12">
        <f>IFERROR(__xludf.DUMMYFUNCTION("""COMPUTED_VALUE"""),45396.0)</f>
        <v>45396</v>
      </c>
      <c r="C12726" s="13">
        <f>IFERROR(__xludf.DUMMYFUNCTION("""COMPUTED_VALUE"""),0.25)</f>
        <v>0.25</v>
      </c>
      <c r="D12726" s="8">
        <f>IFERROR(__xludf.DUMMYFUNCTION("""COMPUTED_VALUE"""),0.038)</f>
        <v>0.038</v>
      </c>
      <c r="E12726" s="8" t="str">
        <f>IFERROR(__xludf.DUMMYFUNCTION("""COMPUTED_VALUE"""),"Real")</f>
        <v>Real</v>
      </c>
      <c r="G12726" s="8">
        <f t="shared" si="1"/>
        <v>4</v>
      </c>
      <c r="H12726" s="14">
        <f t="shared" si="2"/>
        <v>14</v>
      </c>
      <c r="I12726" s="15">
        <f t="shared" si="3"/>
        <v>6</v>
      </c>
    </row>
    <row r="12727">
      <c r="A12727" s="8" t="str">
        <f>IFERROR(__xludf.DUMMYFUNCTION("IF('(INGESTA)Datos_consumo_datadis'!A12727&lt;&gt;"""",SPLIT('(INGESTA)Datos_consumo_datadis'!A:A,"",""),"""")"),"ES0031408323131005HX0F")</f>
        <v>ES0031408323131005HX0F</v>
      </c>
      <c r="B12727" s="12">
        <f>IFERROR(__xludf.DUMMYFUNCTION("""COMPUTED_VALUE"""),45396.0)</f>
        <v>45396</v>
      </c>
      <c r="C12727" s="13">
        <f>IFERROR(__xludf.DUMMYFUNCTION("""COMPUTED_VALUE"""),0.2916666666666667)</f>
        <v>0.2916666667</v>
      </c>
      <c r="D12727" s="8">
        <f>IFERROR(__xludf.DUMMYFUNCTION("""COMPUTED_VALUE"""),0.077)</f>
        <v>0.077</v>
      </c>
      <c r="E12727" s="8" t="str">
        <f>IFERROR(__xludf.DUMMYFUNCTION("""COMPUTED_VALUE"""),"Real")</f>
        <v>Real</v>
      </c>
      <c r="G12727" s="8">
        <f t="shared" si="1"/>
        <v>4</v>
      </c>
      <c r="H12727" s="14">
        <f t="shared" si="2"/>
        <v>14</v>
      </c>
      <c r="I12727" s="15">
        <f t="shared" si="3"/>
        <v>7</v>
      </c>
    </row>
    <row r="12728">
      <c r="A12728" s="8" t="str">
        <f>IFERROR(__xludf.DUMMYFUNCTION("IF('(INGESTA)Datos_consumo_datadis'!A12728&lt;&gt;"""",SPLIT('(INGESTA)Datos_consumo_datadis'!A:A,"",""),"""")"),"ES0031408323131005HX0F")</f>
        <v>ES0031408323131005HX0F</v>
      </c>
      <c r="B12728" s="12">
        <f>IFERROR(__xludf.DUMMYFUNCTION("""COMPUTED_VALUE"""),45396.0)</f>
        <v>45396</v>
      </c>
      <c r="C12728" s="13">
        <f>IFERROR(__xludf.DUMMYFUNCTION("""COMPUTED_VALUE"""),0.3333333333333333)</f>
        <v>0.3333333333</v>
      </c>
      <c r="D12728" s="8">
        <f>IFERROR(__xludf.DUMMYFUNCTION("""COMPUTED_VALUE"""),0.336)</f>
        <v>0.336</v>
      </c>
      <c r="E12728" s="8" t="str">
        <f>IFERROR(__xludf.DUMMYFUNCTION("""COMPUTED_VALUE"""),"Real")</f>
        <v>Real</v>
      </c>
      <c r="G12728" s="8">
        <f t="shared" si="1"/>
        <v>4</v>
      </c>
      <c r="H12728" s="14">
        <f t="shared" si="2"/>
        <v>14</v>
      </c>
      <c r="I12728" s="15">
        <f t="shared" si="3"/>
        <v>8</v>
      </c>
    </row>
    <row r="12729">
      <c r="A12729" s="8" t="str">
        <f>IFERROR(__xludf.DUMMYFUNCTION("IF('(INGESTA)Datos_consumo_datadis'!A12729&lt;&gt;"""",SPLIT('(INGESTA)Datos_consumo_datadis'!A:A,"",""),"""")"),"ES0031408323131005HX0F")</f>
        <v>ES0031408323131005HX0F</v>
      </c>
      <c r="B12729" s="12">
        <f>IFERROR(__xludf.DUMMYFUNCTION("""COMPUTED_VALUE"""),45396.0)</f>
        <v>45396</v>
      </c>
      <c r="C12729" s="13">
        <f>IFERROR(__xludf.DUMMYFUNCTION("""COMPUTED_VALUE"""),0.375)</f>
        <v>0.375</v>
      </c>
      <c r="D12729" s="8">
        <f>IFERROR(__xludf.DUMMYFUNCTION("""COMPUTED_VALUE"""),0.12)</f>
        <v>0.12</v>
      </c>
      <c r="E12729" s="8" t="str">
        <f>IFERROR(__xludf.DUMMYFUNCTION("""COMPUTED_VALUE"""),"Real")</f>
        <v>Real</v>
      </c>
      <c r="G12729" s="8">
        <f t="shared" si="1"/>
        <v>4</v>
      </c>
      <c r="H12729" s="14">
        <f t="shared" si="2"/>
        <v>14</v>
      </c>
      <c r="I12729" s="15">
        <f t="shared" si="3"/>
        <v>9</v>
      </c>
    </row>
    <row r="12730">
      <c r="A12730" s="8" t="str">
        <f>IFERROR(__xludf.DUMMYFUNCTION("IF('(INGESTA)Datos_consumo_datadis'!A12730&lt;&gt;"""",SPLIT('(INGESTA)Datos_consumo_datadis'!A:A,"",""),"""")"),"ES0031408323131005HX0F")</f>
        <v>ES0031408323131005HX0F</v>
      </c>
      <c r="B12730" s="12">
        <f>IFERROR(__xludf.DUMMYFUNCTION("""COMPUTED_VALUE"""),45396.0)</f>
        <v>45396</v>
      </c>
      <c r="C12730" s="13">
        <f>IFERROR(__xludf.DUMMYFUNCTION("""COMPUTED_VALUE"""),0.4166666666666667)</f>
        <v>0.4166666667</v>
      </c>
      <c r="D12730" s="8">
        <f>IFERROR(__xludf.DUMMYFUNCTION("""COMPUTED_VALUE"""),0.403)</f>
        <v>0.403</v>
      </c>
      <c r="E12730" s="8" t="str">
        <f>IFERROR(__xludf.DUMMYFUNCTION("""COMPUTED_VALUE"""),"Real")</f>
        <v>Real</v>
      </c>
      <c r="G12730" s="8">
        <f t="shared" si="1"/>
        <v>4</v>
      </c>
      <c r="H12730" s="14">
        <f t="shared" si="2"/>
        <v>14</v>
      </c>
      <c r="I12730" s="15">
        <f t="shared" si="3"/>
        <v>10</v>
      </c>
    </row>
    <row r="12731">
      <c r="A12731" s="8" t="str">
        <f>IFERROR(__xludf.DUMMYFUNCTION("IF('(INGESTA)Datos_consumo_datadis'!A12731&lt;&gt;"""",SPLIT('(INGESTA)Datos_consumo_datadis'!A:A,"",""),"""")"),"ES0031408323131005HX0F")</f>
        <v>ES0031408323131005HX0F</v>
      </c>
      <c r="B12731" s="12">
        <f>IFERROR(__xludf.DUMMYFUNCTION("""COMPUTED_VALUE"""),45396.0)</f>
        <v>45396</v>
      </c>
      <c r="C12731" s="13">
        <f>IFERROR(__xludf.DUMMYFUNCTION("""COMPUTED_VALUE"""),0.4583333333333333)</f>
        <v>0.4583333333</v>
      </c>
      <c r="D12731" s="8">
        <f>IFERROR(__xludf.DUMMYFUNCTION("""COMPUTED_VALUE"""),2.322)</f>
        <v>2.322</v>
      </c>
      <c r="E12731" s="8" t="str">
        <f>IFERROR(__xludf.DUMMYFUNCTION("""COMPUTED_VALUE"""),"Real")</f>
        <v>Real</v>
      </c>
      <c r="G12731" s="8">
        <f t="shared" si="1"/>
        <v>4</v>
      </c>
      <c r="H12731" s="14">
        <f t="shared" si="2"/>
        <v>14</v>
      </c>
      <c r="I12731" s="15">
        <f t="shared" si="3"/>
        <v>11</v>
      </c>
    </row>
    <row r="12732">
      <c r="A12732" s="8" t="str">
        <f>IFERROR(__xludf.DUMMYFUNCTION("IF('(INGESTA)Datos_consumo_datadis'!A12732&lt;&gt;"""",SPLIT('(INGESTA)Datos_consumo_datadis'!A:A,"",""),"""")"),"ES0031408323131005HX0F")</f>
        <v>ES0031408323131005HX0F</v>
      </c>
      <c r="B12732" s="12">
        <f>IFERROR(__xludf.DUMMYFUNCTION("""COMPUTED_VALUE"""),45396.0)</f>
        <v>45396</v>
      </c>
      <c r="C12732" s="13">
        <f>IFERROR(__xludf.DUMMYFUNCTION("""COMPUTED_VALUE"""),0.5)</f>
        <v>0.5</v>
      </c>
      <c r="D12732" s="8">
        <f>IFERROR(__xludf.DUMMYFUNCTION("""COMPUTED_VALUE"""),0.559)</f>
        <v>0.559</v>
      </c>
      <c r="E12732" s="8" t="str">
        <f>IFERROR(__xludf.DUMMYFUNCTION("""COMPUTED_VALUE"""),"Real")</f>
        <v>Real</v>
      </c>
      <c r="G12732" s="8">
        <f t="shared" si="1"/>
        <v>4</v>
      </c>
      <c r="H12732" s="14">
        <f t="shared" si="2"/>
        <v>14</v>
      </c>
      <c r="I12732" s="15">
        <f t="shared" si="3"/>
        <v>12</v>
      </c>
    </row>
    <row r="12733">
      <c r="A12733" s="8" t="str">
        <f>IFERROR(__xludf.DUMMYFUNCTION("IF('(INGESTA)Datos_consumo_datadis'!A12733&lt;&gt;"""",SPLIT('(INGESTA)Datos_consumo_datadis'!A:A,"",""),"""")"),"ES0031408323131005HX0F")</f>
        <v>ES0031408323131005HX0F</v>
      </c>
      <c r="B12733" s="12">
        <f>IFERROR(__xludf.DUMMYFUNCTION("""COMPUTED_VALUE"""),45396.0)</f>
        <v>45396</v>
      </c>
      <c r="C12733" s="13">
        <f>IFERROR(__xludf.DUMMYFUNCTION("""COMPUTED_VALUE"""),0.5416666666666666)</f>
        <v>0.5416666667</v>
      </c>
      <c r="D12733" s="8">
        <f>IFERROR(__xludf.DUMMYFUNCTION("""COMPUTED_VALUE"""),0.071)</f>
        <v>0.071</v>
      </c>
      <c r="E12733" s="8" t="str">
        <f>IFERROR(__xludf.DUMMYFUNCTION("""COMPUTED_VALUE"""),"Real")</f>
        <v>Real</v>
      </c>
      <c r="G12733" s="8">
        <f t="shared" si="1"/>
        <v>4</v>
      </c>
      <c r="H12733" s="14">
        <f t="shared" si="2"/>
        <v>14</v>
      </c>
      <c r="I12733" s="15">
        <f t="shared" si="3"/>
        <v>13</v>
      </c>
    </row>
    <row r="12734">
      <c r="A12734" s="8" t="str">
        <f>IFERROR(__xludf.DUMMYFUNCTION("IF('(INGESTA)Datos_consumo_datadis'!A12734&lt;&gt;"""",SPLIT('(INGESTA)Datos_consumo_datadis'!A:A,"",""),"""")"),"ES0031408323131005HX0F")</f>
        <v>ES0031408323131005HX0F</v>
      </c>
      <c r="B12734" s="12">
        <f>IFERROR(__xludf.DUMMYFUNCTION("""COMPUTED_VALUE"""),45396.0)</f>
        <v>45396</v>
      </c>
      <c r="C12734" s="13">
        <f>IFERROR(__xludf.DUMMYFUNCTION("""COMPUTED_VALUE"""),0.5833333333333334)</f>
        <v>0.5833333333</v>
      </c>
      <c r="D12734" s="8">
        <f>IFERROR(__xludf.DUMMYFUNCTION("""COMPUTED_VALUE"""),1.211)</f>
        <v>1.211</v>
      </c>
      <c r="E12734" s="8" t="str">
        <f>IFERROR(__xludf.DUMMYFUNCTION("""COMPUTED_VALUE"""),"Real")</f>
        <v>Real</v>
      </c>
      <c r="G12734" s="8">
        <f t="shared" si="1"/>
        <v>4</v>
      </c>
      <c r="H12734" s="14">
        <f t="shared" si="2"/>
        <v>14</v>
      </c>
      <c r="I12734" s="15">
        <f t="shared" si="3"/>
        <v>14</v>
      </c>
    </row>
    <row r="12735">
      <c r="A12735" s="8" t="str">
        <f>IFERROR(__xludf.DUMMYFUNCTION("IF('(INGESTA)Datos_consumo_datadis'!A12735&lt;&gt;"""",SPLIT('(INGESTA)Datos_consumo_datadis'!A:A,"",""),"""")"),"ES0031408323131005HX0F")</f>
        <v>ES0031408323131005HX0F</v>
      </c>
      <c r="B12735" s="12">
        <f>IFERROR(__xludf.DUMMYFUNCTION("""COMPUTED_VALUE"""),45396.0)</f>
        <v>45396</v>
      </c>
      <c r="C12735" s="13">
        <f>IFERROR(__xludf.DUMMYFUNCTION("""COMPUTED_VALUE"""),0.625)</f>
        <v>0.625</v>
      </c>
      <c r="D12735" s="8">
        <f>IFERROR(__xludf.DUMMYFUNCTION("""COMPUTED_VALUE"""),0.212)</f>
        <v>0.212</v>
      </c>
      <c r="E12735" s="8" t="str">
        <f>IFERROR(__xludf.DUMMYFUNCTION("""COMPUTED_VALUE"""),"Real")</f>
        <v>Real</v>
      </c>
      <c r="G12735" s="8">
        <f t="shared" si="1"/>
        <v>4</v>
      </c>
      <c r="H12735" s="14">
        <f t="shared" si="2"/>
        <v>14</v>
      </c>
      <c r="I12735" s="15">
        <f t="shared" si="3"/>
        <v>15</v>
      </c>
    </row>
    <row r="12736">
      <c r="A12736" s="8" t="str">
        <f>IFERROR(__xludf.DUMMYFUNCTION("IF('(INGESTA)Datos_consumo_datadis'!A12736&lt;&gt;"""",SPLIT('(INGESTA)Datos_consumo_datadis'!A:A,"",""),"""")"),"ES0031408323131005HX0F")</f>
        <v>ES0031408323131005HX0F</v>
      </c>
      <c r="B12736" s="12">
        <f>IFERROR(__xludf.DUMMYFUNCTION("""COMPUTED_VALUE"""),45396.0)</f>
        <v>45396</v>
      </c>
      <c r="C12736" s="13">
        <f>IFERROR(__xludf.DUMMYFUNCTION("""COMPUTED_VALUE"""),0.6666666666666666)</f>
        <v>0.6666666667</v>
      </c>
      <c r="D12736" s="8">
        <f>IFERROR(__xludf.DUMMYFUNCTION("""COMPUTED_VALUE"""),0.193)</f>
        <v>0.193</v>
      </c>
      <c r="E12736" s="8" t="str">
        <f>IFERROR(__xludf.DUMMYFUNCTION("""COMPUTED_VALUE"""),"Real")</f>
        <v>Real</v>
      </c>
      <c r="G12736" s="8">
        <f t="shared" si="1"/>
        <v>4</v>
      </c>
      <c r="H12736" s="14">
        <f t="shared" si="2"/>
        <v>14</v>
      </c>
      <c r="I12736" s="15">
        <f t="shared" si="3"/>
        <v>16</v>
      </c>
    </row>
    <row r="12737">
      <c r="A12737" s="8" t="str">
        <f>IFERROR(__xludf.DUMMYFUNCTION("IF('(INGESTA)Datos_consumo_datadis'!A12737&lt;&gt;"""",SPLIT('(INGESTA)Datos_consumo_datadis'!A:A,"",""),"""")"),"ES0031408323131005HX0F")</f>
        <v>ES0031408323131005HX0F</v>
      </c>
      <c r="B12737" s="12">
        <f>IFERROR(__xludf.DUMMYFUNCTION("""COMPUTED_VALUE"""),45396.0)</f>
        <v>45396</v>
      </c>
      <c r="C12737" s="13">
        <f>IFERROR(__xludf.DUMMYFUNCTION("""COMPUTED_VALUE"""),0.7083333333333334)</f>
        <v>0.7083333333</v>
      </c>
      <c r="D12737" s="8">
        <f>IFERROR(__xludf.DUMMYFUNCTION("""COMPUTED_VALUE"""),0.247)</f>
        <v>0.247</v>
      </c>
      <c r="E12737" s="8" t="str">
        <f>IFERROR(__xludf.DUMMYFUNCTION("""COMPUTED_VALUE"""),"Real")</f>
        <v>Real</v>
      </c>
      <c r="G12737" s="8">
        <f t="shared" si="1"/>
        <v>4</v>
      </c>
      <c r="H12737" s="14">
        <f t="shared" si="2"/>
        <v>14</v>
      </c>
      <c r="I12737" s="15">
        <f t="shared" si="3"/>
        <v>17</v>
      </c>
    </row>
    <row r="12738">
      <c r="A12738" s="8" t="str">
        <f>IFERROR(__xludf.DUMMYFUNCTION("IF('(INGESTA)Datos_consumo_datadis'!A12738&lt;&gt;"""",SPLIT('(INGESTA)Datos_consumo_datadis'!A:A,"",""),"""")"),"ES0031408323131005HX0F")</f>
        <v>ES0031408323131005HX0F</v>
      </c>
      <c r="B12738" s="12">
        <f>IFERROR(__xludf.DUMMYFUNCTION("""COMPUTED_VALUE"""),45396.0)</f>
        <v>45396</v>
      </c>
      <c r="C12738" s="13">
        <f>IFERROR(__xludf.DUMMYFUNCTION("""COMPUTED_VALUE"""),0.75)</f>
        <v>0.75</v>
      </c>
      <c r="D12738" s="8">
        <f>IFERROR(__xludf.DUMMYFUNCTION("""COMPUTED_VALUE"""),0.085)</f>
        <v>0.085</v>
      </c>
      <c r="E12738" s="8" t="str">
        <f>IFERROR(__xludf.DUMMYFUNCTION("""COMPUTED_VALUE"""),"Real")</f>
        <v>Real</v>
      </c>
      <c r="G12738" s="8">
        <f t="shared" si="1"/>
        <v>4</v>
      </c>
      <c r="H12738" s="14">
        <f t="shared" si="2"/>
        <v>14</v>
      </c>
      <c r="I12738" s="15">
        <f t="shared" si="3"/>
        <v>18</v>
      </c>
    </row>
    <row r="12739">
      <c r="A12739" s="8" t="str">
        <f>IFERROR(__xludf.DUMMYFUNCTION("IF('(INGESTA)Datos_consumo_datadis'!A12739&lt;&gt;"""",SPLIT('(INGESTA)Datos_consumo_datadis'!A:A,"",""),"""")"),"ES0031408323131005HX0F")</f>
        <v>ES0031408323131005HX0F</v>
      </c>
      <c r="B12739" s="12">
        <f>IFERROR(__xludf.DUMMYFUNCTION("""COMPUTED_VALUE"""),45396.0)</f>
        <v>45396</v>
      </c>
      <c r="C12739" s="13">
        <f>IFERROR(__xludf.DUMMYFUNCTION("""COMPUTED_VALUE"""),0.7916666666666666)</f>
        <v>0.7916666667</v>
      </c>
      <c r="D12739" s="8">
        <f>IFERROR(__xludf.DUMMYFUNCTION("""COMPUTED_VALUE"""),0.065)</f>
        <v>0.065</v>
      </c>
      <c r="E12739" s="8" t="str">
        <f>IFERROR(__xludf.DUMMYFUNCTION("""COMPUTED_VALUE"""),"Real")</f>
        <v>Real</v>
      </c>
      <c r="G12739" s="8">
        <f t="shared" si="1"/>
        <v>4</v>
      </c>
      <c r="H12739" s="14">
        <f t="shared" si="2"/>
        <v>14</v>
      </c>
      <c r="I12739" s="15">
        <f t="shared" si="3"/>
        <v>19</v>
      </c>
    </row>
    <row r="12740">
      <c r="A12740" s="8" t="str">
        <f>IFERROR(__xludf.DUMMYFUNCTION("IF('(INGESTA)Datos_consumo_datadis'!A12740&lt;&gt;"""",SPLIT('(INGESTA)Datos_consumo_datadis'!A:A,"",""),"""")"),"ES0031408323131005HX0F")</f>
        <v>ES0031408323131005HX0F</v>
      </c>
      <c r="B12740" s="12">
        <f>IFERROR(__xludf.DUMMYFUNCTION("""COMPUTED_VALUE"""),45396.0)</f>
        <v>45396</v>
      </c>
      <c r="C12740" s="13">
        <f>IFERROR(__xludf.DUMMYFUNCTION("""COMPUTED_VALUE"""),0.8333333333333334)</f>
        <v>0.8333333333</v>
      </c>
      <c r="D12740" s="8">
        <f>IFERROR(__xludf.DUMMYFUNCTION("""COMPUTED_VALUE"""),1.116)</f>
        <v>1.116</v>
      </c>
      <c r="E12740" s="8" t="str">
        <f>IFERROR(__xludf.DUMMYFUNCTION("""COMPUTED_VALUE"""),"Real")</f>
        <v>Real</v>
      </c>
      <c r="G12740" s="8">
        <f t="shared" si="1"/>
        <v>4</v>
      </c>
      <c r="H12740" s="14">
        <f t="shared" si="2"/>
        <v>14</v>
      </c>
      <c r="I12740" s="15">
        <f t="shared" si="3"/>
        <v>20</v>
      </c>
    </row>
    <row r="12741">
      <c r="A12741" s="8" t="str">
        <f>IFERROR(__xludf.DUMMYFUNCTION("IF('(INGESTA)Datos_consumo_datadis'!A12741&lt;&gt;"""",SPLIT('(INGESTA)Datos_consumo_datadis'!A:A,"",""),"""")"),"ES0031408323131005HX0F")</f>
        <v>ES0031408323131005HX0F</v>
      </c>
      <c r="B12741" s="12">
        <f>IFERROR(__xludf.DUMMYFUNCTION("""COMPUTED_VALUE"""),45396.0)</f>
        <v>45396</v>
      </c>
      <c r="C12741" s="13">
        <f>IFERROR(__xludf.DUMMYFUNCTION("""COMPUTED_VALUE"""),0.875)</f>
        <v>0.875</v>
      </c>
      <c r="D12741" s="8">
        <f>IFERROR(__xludf.DUMMYFUNCTION("""COMPUTED_VALUE"""),0.27)</f>
        <v>0.27</v>
      </c>
      <c r="E12741" s="8" t="str">
        <f>IFERROR(__xludf.DUMMYFUNCTION("""COMPUTED_VALUE"""),"Real")</f>
        <v>Real</v>
      </c>
      <c r="G12741" s="8">
        <f t="shared" si="1"/>
        <v>4</v>
      </c>
      <c r="H12741" s="14">
        <f t="shared" si="2"/>
        <v>14</v>
      </c>
      <c r="I12741" s="15">
        <f t="shared" si="3"/>
        <v>21</v>
      </c>
    </row>
    <row r="12742">
      <c r="A12742" s="8" t="str">
        <f>IFERROR(__xludf.DUMMYFUNCTION("IF('(INGESTA)Datos_consumo_datadis'!A12742&lt;&gt;"""",SPLIT('(INGESTA)Datos_consumo_datadis'!A:A,"",""),"""")"),"ES0031408323131005HX0F")</f>
        <v>ES0031408323131005HX0F</v>
      </c>
      <c r="B12742" s="12">
        <f>IFERROR(__xludf.DUMMYFUNCTION("""COMPUTED_VALUE"""),45396.0)</f>
        <v>45396</v>
      </c>
      <c r="C12742" s="13">
        <f>IFERROR(__xludf.DUMMYFUNCTION("""COMPUTED_VALUE"""),0.9166666666666666)</f>
        <v>0.9166666667</v>
      </c>
      <c r="D12742" s="8">
        <f>IFERROR(__xludf.DUMMYFUNCTION("""COMPUTED_VALUE"""),0.894)</f>
        <v>0.894</v>
      </c>
      <c r="E12742" s="8" t="str">
        <f>IFERROR(__xludf.DUMMYFUNCTION("""COMPUTED_VALUE"""),"Real")</f>
        <v>Real</v>
      </c>
      <c r="G12742" s="8">
        <f t="shared" si="1"/>
        <v>4</v>
      </c>
      <c r="H12742" s="14">
        <f t="shared" si="2"/>
        <v>14</v>
      </c>
      <c r="I12742" s="15">
        <f t="shared" si="3"/>
        <v>22</v>
      </c>
    </row>
    <row r="12743">
      <c r="A12743" s="8" t="str">
        <f>IFERROR(__xludf.DUMMYFUNCTION("IF('(INGESTA)Datos_consumo_datadis'!A12743&lt;&gt;"""",SPLIT('(INGESTA)Datos_consumo_datadis'!A:A,"",""),"""")"),"ES0031408323131005HX0F")</f>
        <v>ES0031408323131005HX0F</v>
      </c>
      <c r="B12743" s="12">
        <f>IFERROR(__xludf.DUMMYFUNCTION("""COMPUTED_VALUE"""),45396.0)</f>
        <v>45396</v>
      </c>
      <c r="C12743" s="13">
        <f>IFERROR(__xludf.DUMMYFUNCTION("""COMPUTED_VALUE"""),0.9583333333333334)</f>
        <v>0.9583333333</v>
      </c>
      <c r="D12743" s="8">
        <f>IFERROR(__xludf.DUMMYFUNCTION("""COMPUTED_VALUE"""),1.847)</f>
        <v>1.847</v>
      </c>
      <c r="E12743" s="8" t="str">
        <f>IFERROR(__xludf.DUMMYFUNCTION("""COMPUTED_VALUE"""),"Real")</f>
        <v>Real</v>
      </c>
      <c r="G12743" s="8">
        <f t="shared" si="1"/>
        <v>4</v>
      </c>
      <c r="H12743" s="14">
        <f t="shared" si="2"/>
        <v>14</v>
      </c>
      <c r="I12743" s="15">
        <f t="shared" si="3"/>
        <v>23</v>
      </c>
    </row>
    <row r="12744">
      <c r="A12744" s="8" t="str">
        <f>IFERROR(__xludf.DUMMYFUNCTION("IF('(INGESTA)Datos_consumo_datadis'!A12744&lt;&gt;"""",SPLIT('(INGESTA)Datos_consumo_datadis'!A:A,"",""),"""")"),"ES0031408323131005HX0F")</f>
        <v>ES0031408323131005HX0F</v>
      </c>
      <c r="B12744" s="12">
        <f>IFERROR(__xludf.DUMMYFUNCTION("""COMPUTED_VALUE"""),45396.0)</f>
        <v>45396</v>
      </c>
      <c r="C12744" s="16">
        <f>IFERROR(__xludf.DUMMYFUNCTION("""COMPUTED_VALUE"""),1.0)</f>
        <v>1</v>
      </c>
      <c r="D12744" s="8">
        <f>IFERROR(__xludf.DUMMYFUNCTION("""COMPUTED_VALUE"""),1.12)</f>
        <v>1.12</v>
      </c>
      <c r="E12744" s="8" t="str">
        <f>IFERROR(__xludf.DUMMYFUNCTION("""COMPUTED_VALUE"""),"Real")</f>
        <v>Real</v>
      </c>
      <c r="G12744" s="8">
        <f t="shared" si="1"/>
        <v>4</v>
      </c>
      <c r="H12744" s="14">
        <f t="shared" si="2"/>
        <v>14</v>
      </c>
      <c r="I12744" s="15">
        <f t="shared" si="3"/>
        <v>0</v>
      </c>
    </row>
    <row r="12745">
      <c r="A12745" s="8" t="str">
        <f>IFERROR(__xludf.DUMMYFUNCTION("IF('(INGESTA)Datos_consumo_datadis'!A12745&lt;&gt;"""",SPLIT('(INGESTA)Datos_consumo_datadis'!A:A,"",""),"""")"),"ES0031408323131005HX0F")</f>
        <v>ES0031408323131005HX0F</v>
      </c>
      <c r="B12745" s="12">
        <f>IFERROR(__xludf.DUMMYFUNCTION("""COMPUTED_VALUE"""),45397.0)</f>
        <v>45397</v>
      </c>
      <c r="C12745" s="13">
        <f>IFERROR(__xludf.DUMMYFUNCTION("""COMPUTED_VALUE"""),0.041666666666666664)</f>
        <v>0.04166666667</v>
      </c>
      <c r="D12745" s="8">
        <f>IFERROR(__xludf.DUMMYFUNCTION("""COMPUTED_VALUE"""),0.07)</f>
        <v>0.07</v>
      </c>
      <c r="E12745" s="8" t="str">
        <f>IFERROR(__xludf.DUMMYFUNCTION("""COMPUTED_VALUE"""),"Real")</f>
        <v>Real</v>
      </c>
      <c r="G12745" s="8">
        <f t="shared" si="1"/>
        <v>4</v>
      </c>
      <c r="H12745" s="14">
        <f t="shared" si="2"/>
        <v>15</v>
      </c>
      <c r="I12745" s="15">
        <f t="shared" si="3"/>
        <v>1</v>
      </c>
    </row>
    <row r="12746">
      <c r="A12746" s="8" t="str">
        <f>IFERROR(__xludf.DUMMYFUNCTION("IF('(INGESTA)Datos_consumo_datadis'!A12746&lt;&gt;"""",SPLIT('(INGESTA)Datos_consumo_datadis'!A:A,"",""),"""")"),"ES0031408323131005HX0F")</f>
        <v>ES0031408323131005HX0F</v>
      </c>
      <c r="B12746" s="12">
        <f>IFERROR(__xludf.DUMMYFUNCTION("""COMPUTED_VALUE"""),45397.0)</f>
        <v>45397</v>
      </c>
      <c r="C12746" s="13">
        <f>IFERROR(__xludf.DUMMYFUNCTION("""COMPUTED_VALUE"""),0.08333333333333333)</f>
        <v>0.08333333333</v>
      </c>
      <c r="D12746" s="8">
        <f>IFERROR(__xludf.DUMMYFUNCTION("""COMPUTED_VALUE"""),0.076)</f>
        <v>0.076</v>
      </c>
      <c r="E12746" s="8" t="str">
        <f>IFERROR(__xludf.DUMMYFUNCTION("""COMPUTED_VALUE"""),"Real")</f>
        <v>Real</v>
      </c>
      <c r="G12746" s="8">
        <f t="shared" si="1"/>
        <v>4</v>
      </c>
      <c r="H12746" s="14">
        <f t="shared" si="2"/>
        <v>15</v>
      </c>
      <c r="I12746" s="15">
        <f t="shared" si="3"/>
        <v>2</v>
      </c>
    </row>
    <row r="12747">
      <c r="A12747" s="8" t="str">
        <f>IFERROR(__xludf.DUMMYFUNCTION("IF('(INGESTA)Datos_consumo_datadis'!A12747&lt;&gt;"""",SPLIT('(INGESTA)Datos_consumo_datadis'!A:A,"",""),"""")"),"ES0031408323131005HX0F")</f>
        <v>ES0031408323131005HX0F</v>
      </c>
      <c r="B12747" s="12">
        <f>IFERROR(__xludf.DUMMYFUNCTION("""COMPUTED_VALUE"""),45397.0)</f>
        <v>45397</v>
      </c>
      <c r="C12747" s="13">
        <f>IFERROR(__xludf.DUMMYFUNCTION("""COMPUTED_VALUE"""),0.125)</f>
        <v>0.125</v>
      </c>
      <c r="D12747" s="8">
        <f>IFERROR(__xludf.DUMMYFUNCTION("""COMPUTED_VALUE"""),0.032)</f>
        <v>0.032</v>
      </c>
      <c r="E12747" s="8" t="str">
        <f>IFERROR(__xludf.DUMMYFUNCTION("""COMPUTED_VALUE"""),"Real")</f>
        <v>Real</v>
      </c>
      <c r="G12747" s="8">
        <f t="shared" si="1"/>
        <v>4</v>
      </c>
      <c r="H12747" s="14">
        <f t="shared" si="2"/>
        <v>15</v>
      </c>
      <c r="I12747" s="15">
        <f t="shared" si="3"/>
        <v>3</v>
      </c>
    </row>
    <row r="12748">
      <c r="A12748" s="8" t="str">
        <f>IFERROR(__xludf.DUMMYFUNCTION("IF('(INGESTA)Datos_consumo_datadis'!A12748&lt;&gt;"""",SPLIT('(INGESTA)Datos_consumo_datadis'!A:A,"",""),"""")"),"ES0031408323131005HX0F")</f>
        <v>ES0031408323131005HX0F</v>
      </c>
      <c r="B12748" s="12">
        <f>IFERROR(__xludf.DUMMYFUNCTION("""COMPUTED_VALUE"""),45397.0)</f>
        <v>45397</v>
      </c>
      <c r="C12748" s="13">
        <f>IFERROR(__xludf.DUMMYFUNCTION("""COMPUTED_VALUE"""),0.16666666666666666)</f>
        <v>0.1666666667</v>
      </c>
      <c r="D12748" s="8">
        <f>IFERROR(__xludf.DUMMYFUNCTION("""COMPUTED_VALUE"""),0.078)</f>
        <v>0.078</v>
      </c>
      <c r="E12748" s="8" t="str">
        <f>IFERROR(__xludf.DUMMYFUNCTION("""COMPUTED_VALUE"""),"Real")</f>
        <v>Real</v>
      </c>
      <c r="G12748" s="8">
        <f t="shared" si="1"/>
        <v>4</v>
      </c>
      <c r="H12748" s="14">
        <f t="shared" si="2"/>
        <v>15</v>
      </c>
      <c r="I12748" s="15">
        <f t="shared" si="3"/>
        <v>4</v>
      </c>
    </row>
    <row r="12749">
      <c r="A12749" s="8" t="str">
        <f>IFERROR(__xludf.DUMMYFUNCTION("IF('(INGESTA)Datos_consumo_datadis'!A12749&lt;&gt;"""",SPLIT('(INGESTA)Datos_consumo_datadis'!A:A,"",""),"""")"),"ES0031408323131005HX0F")</f>
        <v>ES0031408323131005HX0F</v>
      </c>
      <c r="B12749" s="12">
        <f>IFERROR(__xludf.DUMMYFUNCTION("""COMPUTED_VALUE"""),45397.0)</f>
        <v>45397</v>
      </c>
      <c r="C12749" s="13">
        <f>IFERROR(__xludf.DUMMYFUNCTION("""COMPUTED_VALUE"""),0.20833333333333334)</f>
        <v>0.2083333333</v>
      </c>
      <c r="D12749" s="8">
        <f>IFERROR(__xludf.DUMMYFUNCTION("""COMPUTED_VALUE"""),0.304)</f>
        <v>0.304</v>
      </c>
      <c r="E12749" s="8" t="str">
        <f>IFERROR(__xludf.DUMMYFUNCTION("""COMPUTED_VALUE"""),"Real")</f>
        <v>Real</v>
      </c>
      <c r="G12749" s="8">
        <f t="shared" si="1"/>
        <v>4</v>
      </c>
      <c r="H12749" s="14">
        <f t="shared" si="2"/>
        <v>15</v>
      </c>
      <c r="I12749" s="15">
        <f t="shared" si="3"/>
        <v>5</v>
      </c>
    </row>
    <row r="12750">
      <c r="A12750" s="8" t="str">
        <f>IFERROR(__xludf.DUMMYFUNCTION("IF('(INGESTA)Datos_consumo_datadis'!A12750&lt;&gt;"""",SPLIT('(INGESTA)Datos_consumo_datadis'!A:A,"",""),"""")"),"ES0031408323131005HX0F")</f>
        <v>ES0031408323131005HX0F</v>
      </c>
      <c r="B12750" s="12">
        <f>IFERROR(__xludf.DUMMYFUNCTION("""COMPUTED_VALUE"""),45397.0)</f>
        <v>45397</v>
      </c>
      <c r="C12750" s="13">
        <f>IFERROR(__xludf.DUMMYFUNCTION("""COMPUTED_VALUE"""),0.25)</f>
        <v>0.25</v>
      </c>
      <c r="D12750" s="8">
        <f>IFERROR(__xludf.DUMMYFUNCTION("""COMPUTED_VALUE"""),0.421)</f>
        <v>0.421</v>
      </c>
      <c r="E12750" s="8" t="str">
        <f>IFERROR(__xludf.DUMMYFUNCTION("""COMPUTED_VALUE"""),"Real")</f>
        <v>Real</v>
      </c>
      <c r="G12750" s="8">
        <f t="shared" si="1"/>
        <v>4</v>
      </c>
      <c r="H12750" s="14">
        <f t="shared" si="2"/>
        <v>15</v>
      </c>
      <c r="I12750" s="15">
        <f t="shared" si="3"/>
        <v>6</v>
      </c>
    </row>
    <row r="12751">
      <c r="A12751" s="8" t="str">
        <f>IFERROR(__xludf.DUMMYFUNCTION("IF('(INGESTA)Datos_consumo_datadis'!A12751&lt;&gt;"""",SPLIT('(INGESTA)Datos_consumo_datadis'!A:A,"",""),"""")"),"ES0031408323131005HX0F")</f>
        <v>ES0031408323131005HX0F</v>
      </c>
      <c r="B12751" s="12">
        <f>IFERROR(__xludf.DUMMYFUNCTION("""COMPUTED_VALUE"""),45397.0)</f>
        <v>45397</v>
      </c>
      <c r="C12751" s="13">
        <f>IFERROR(__xludf.DUMMYFUNCTION("""COMPUTED_VALUE"""),0.2916666666666667)</f>
        <v>0.2916666667</v>
      </c>
      <c r="D12751" s="8">
        <f>IFERROR(__xludf.DUMMYFUNCTION("""COMPUTED_VALUE"""),0.053)</f>
        <v>0.053</v>
      </c>
      <c r="E12751" s="8" t="str">
        <f>IFERROR(__xludf.DUMMYFUNCTION("""COMPUTED_VALUE"""),"Real")</f>
        <v>Real</v>
      </c>
      <c r="G12751" s="8">
        <f t="shared" si="1"/>
        <v>4</v>
      </c>
      <c r="H12751" s="14">
        <f t="shared" si="2"/>
        <v>15</v>
      </c>
      <c r="I12751" s="15">
        <f t="shared" si="3"/>
        <v>7</v>
      </c>
    </row>
    <row r="12752">
      <c r="A12752" s="8" t="str">
        <f>IFERROR(__xludf.DUMMYFUNCTION("IF('(INGESTA)Datos_consumo_datadis'!A12752&lt;&gt;"""",SPLIT('(INGESTA)Datos_consumo_datadis'!A:A,"",""),"""")"),"ES0031408323131005HX0F")</f>
        <v>ES0031408323131005HX0F</v>
      </c>
      <c r="B12752" s="12">
        <f>IFERROR(__xludf.DUMMYFUNCTION("""COMPUTED_VALUE"""),45397.0)</f>
        <v>45397</v>
      </c>
      <c r="C12752" s="13">
        <f>IFERROR(__xludf.DUMMYFUNCTION("""COMPUTED_VALUE"""),0.3333333333333333)</f>
        <v>0.3333333333</v>
      </c>
      <c r="D12752" s="8">
        <f>IFERROR(__xludf.DUMMYFUNCTION("""COMPUTED_VALUE"""),0.079)</f>
        <v>0.079</v>
      </c>
      <c r="E12752" s="8" t="str">
        <f>IFERROR(__xludf.DUMMYFUNCTION("""COMPUTED_VALUE"""),"Real")</f>
        <v>Real</v>
      </c>
      <c r="G12752" s="8">
        <f t="shared" si="1"/>
        <v>4</v>
      </c>
      <c r="H12752" s="14">
        <f t="shared" si="2"/>
        <v>15</v>
      </c>
      <c r="I12752" s="15">
        <f t="shared" si="3"/>
        <v>8</v>
      </c>
    </row>
    <row r="12753">
      <c r="A12753" s="8" t="str">
        <f>IFERROR(__xludf.DUMMYFUNCTION("IF('(INGESTA)Datos_consumo_datadis'!A12753&lt;&gt;"""",SPLIT('(INGESTA)Datos_consumo_datadis'!A:A,"",""),"""")"),"ES0031408323131005HX0F")</f>
        <v>ES0031408323131005HX0F</v>
      </c>
      <c r="B12753" s="12">
        <f>IFERROR(__xludf.DUMMYFUNCTION("""COMPUTED_VALUE"""),45397.0)</f>
        <v>45397</v>
      </c>
      <c r="C12753" s="13">
        <f>IFERROR(__xludf.DUMMYFUNCTION("""COMPUTED_VALUE"""),0.375)</f>
        <v>0.375</v>
      </c>
      <c r="D12753" s="8">
        <f>IFERROR(__xludf.DUMMYFUNCTION("""COMPUTED_VALUE"""),0.052)</f>
        <v>0.052</v>
      </c>
      <c r="E12753" s="8" t="str">
        <f>IFERROR(__xludf.DUMMYFUNCTION("""COMPUTED_VALUE"""),"Real")</f>
        <v>Real</v>
      </c>
      <c r="G12753" s="8">
        <f t="shared" si="1"/>
        <v>4</v>
      </c>
      <c r="H12753" s="14">
        <f t="shared" si="2"/>
        <v>15</v>
      </c>
      <c r="I12753" s="15">
        <f t="shared" si="3"/>
        <v>9</v>
      </c>
    </row>
    <row r="12754">
      <c r="A12754" s="8" t="str">
        <f>IFERROR(__xludf.DUMMYFUNCTION("IF('(INGESTA)Datos_consumo_datadis'!A12754&lt;&gt;"""",SPLIT('(INGESTA)Datos_consumo_datadis'!A:A,"",""),"""")"),"ES0031408323131005HX0F")</f>
        <v>ES0031408323131005HX0F</v>
      </c>
      <c r="B12754" s="12">
        <f>IFERROR(__xludf.DUMMYFUNCTION("""COMPUTED_VALUE"""),45397.0)</f>
        <v>45397</v>
      </c>
      <c r="C12754" s="13">
        <f>IFERROR(__xludf.DUMMYFUNCTION("""COMPUTED_VALUE"""),0.4166666666666667)</f>
        <v>0.4166666667</v>
      </c>
      <c r="D12754" s="8">
        <f>IFERROR(__xludf.DUMMYFUNCTION("""COMPUTED_VALUE"""),0.051)</f>
        <v>0.051</v>
      </c>
      <c r="E12754" s="8" t="str">
        <f>IFERROR(__xludf.DUMMYFUNCTION("""COMPUTED_VALUE"""),"Real")</f>
        <v>Real</v>
      </c>
      <c r="G12754" s="8">
        <f t="shared" si="1"/>
        <v>4</v>
      </c>
      <c r="H12754" s="14">
        <f t="shared" si="2"/>
        <v>15</v>
      </c>
      <c r="I12754" s="15">
        <f t="shared" si="3"/>
        <v>10</v>
      </c>
    </row>
    <row r="12755">
      <c r="A12755" s="8" t="str">
        <f>IFERROR(__xludf.DUMMYFUNCTION("IF('(INGESTA)Datos_consumo_datadis'!A12755&lt;&gt;"""",SPLIT('(INGESTA)Datos_consumo_datadis'!A:A,"",""),"""")"),"ES0031408323131005HX0F")</f>
        <v>ES0031408323131005HX0F</v>
      </c>
      <c r="B12755" s="12">
        <f>IFERROR(__xludf.DUMMYFUNCTION("""COMPUTED_VALUE"""),45397.0)</f>
        <v>45397</v>
      </c>
      <c r="C12755" s="13">
        <f>IFERROR(__xludf.DUMMYFUNCTION("""COMPUTED_VALUE"""),0.4583333333333333)</f>
        <v>0.4583333333</v>
      </c>
      <c r="D12755" s="8">
        <f>IFERROR(__xludf.DUMMYFUNCTION("""COMPUTED_VALUE"""),0.088)</f>
        <v>0.088</v>
      </c>
      <c r="E12755" s="8" t="str">
        <f>IFERROR(__xludf.DUMMYFUNCTION("""COMPUTED_VALUE"""),"Real")</f>
        <v>Real</v>
      </c>
      <c r="G12755" s="8">
        <f t="shared" si="1"/>
        <v>4</v>
      </c>
      <c r="H12755" s="14">
        <f t="shared" si="2"/>
        <v>15</v>
      </c>
      <c r="I12755" s="15">
        <f t="shared" si="3"/>
        <v>11</v>
      </c>
    </row>
    <row r="12756">
      <c r="A12756" s="8" t="str">
        <f>IFERROR(__xludf.DUMMYFUNCTION("IF('(INGESTA)Datos_consumo_datadis'!A12756&lt;&gt;"""",SPLIT('(INGESTA)Datos_consumo_datadis'!A:A,"",""),"""")"),"ES0031408323131005HX0F")</f>
        <v>ES0031408323131005HX0F</v>
      </c>
      <c r="B12756" s="12">
        <f>IFERROR(__xludf.DUMMYFUNCTION("""COMPUTED_VALUE"""),45397.0)</f>
        <v>45397</v>
      </c>
      <c r="C12756" s="13">
        <f>IFERROR(__xludf.DUMMYFUNCTION("""COMPUTED_VALUE"""),0.5)</f>
        <v>0.5</v>
      </c>
      <c r="D12756" s="8">
        <f>IFERROR(__xludf.DUMMYFUNCTION("""COMPUTED_VALUE"""),0.289)</f>
        <v>0.289</v>
      </c>
      <c r="E12756" s="8" t="str">
        <f>IFERROR(__xludf.DUMMYFUNCTION("""COMPUTED_VALUE"""),"Real")</f>
        <v>Real</v>
      </c>
      <c r="G12756" s="8">
        <f t="shared" si="1"/>
        <v>4</v>
      </c>
      <c r="H12756" s="14">
        <f t="shared" si="2"/>
        <v>15</v>
      </c>
      <c r="I12756" s="15">
        <f t="shared" si="3"/>
        <v>12</v>
      </c>
    </row>
    <row r="12757">
      <c r="A12757" s="8" t="str">
        <f>IFERROR(__xludf.DUMMYFUNCTION("IF('(INGESTA)Datos_consumo_datadis'!A12757&lt;&gt;"""",SPLIT('(INGESTA)Datos_consumo_datadis'!A:A,"",""),"""")"),"ES0031408323131005HX0F")</f>
        <v>ES0031408323131005HX0F</v>
      </c>
      <c r="B12757" s="12">
        <f>IFERROR(__xludf.DUMMYFUNCTION("""COMPUTED_VALUE"""),45397.0)</f>
        <v>45397</v>
      </c>
      <c r="C12757" s="13">
        <f>IFERROR(__xludf.DUMMYFUNCTION("""COMPUTED_VALUE"""),0.5416666666666666)</f>
        <v>0.5416666667</v>
      </c>
      <c r="D12757" s="8">
        <f>IFERROR(__xludf.DUMMYFUNCTION("""COMPUTED_VALUE"""),0.076)</f>
        <v>0.076</v>
      </c>
      <c r="E12757" s="8" t="str">
        <f>IFERROR(__xludf.DUMMYFUNCTION("""COMPUTED_VALUE"""),"Real")</f>
        <v>Real</v>
      </c>
      <c r="G12757" s="8">
        <f t="shared" si="1"/>
        <v>4</v>
      </c>
      <c r="H12757" s="14">
        <f t="shared" si="2"/>
        <v>15</v>
      </c>
      <c r="I12757" s="15">
        <f t="shared" si="3"/>
        <v>13</v>
      </c>
    </row>
    <row r="12758">
      <c r="A12758" s="8" t="str">
        <f>IFERROR(__xludf.DUMMYFUNCTION("IF('(INGESTA)Datos_consumo_datadis'!A12758&lt;&gt;"""",SPLIT('(INGESTA)Datos_consumo_datadis'!A:A,"",""),"""")"),"ES0031408323131005HX0F")</f>
        <v>ES0031408323131005HX0F</v>
      </c>
      <c r="B12758" s="12">
        <f>IFERROR(__xludf.DUMMYFUNCTION("""COMPUTED_VALUE"""),45397.0)</f>
        <v>45397</v>
      </c>
      <c r="C12758" s="13">
        <f>IFERROR(__xludf.DUMMYFUNCTION("""COMPUTED_VALUE"""),0.5833333333333334)</f>
        <v>0.5833333333</v>
      </c>
      <c r="D12758" s="8">
        <f>IFERROR(__xludf.DUMMYFUNCTION("""COMPUTED_VALUE"""),0.04)</f>
        <v>0.04</v>
      </c>
      <c r="E12758" s="8" t="str">
        <f>IFERROR(__xludf.DUMMYFUNCTION("""COMPUTED_VALUE"""),"Real")</f>
        <v>Real</v>
      </c>
      <c r="G12758" s="8">
        <f t="shared" si="1"/>
        <v>4</v>
      </c>
      <c r="H12758" s="14">
        <f t="shared" si="2"/>
        <v>15</v>
      </c>
      <c r="I12758" s="15">
        <f t="shared" si="3"/>
        <v>14</v>
      </c>
    </row>
    <row r="12759">
      <c r="A12759" s="8" t="str">
        <f>IFERROR(__xludf.DUMMYFUNCTION("IF('(INGESTA)Datos_consumo_datadis'!A12759&lt;&gt;"""",SPLIT('(INGESTA)Datos_consumo_datadis'!A:A,"",""),"""")"),"ES0031408323131005HX0F")</f>
        <v>ES0031408323131005HX0F</v>
      </c>
      <c r="B12759" s="12">
        <f>IFERROR(__xludf.DUMMYFUNCTION("""COMPUTED_VALUE"""),45397.0)</f>
        <v>45397</v>
      </c>
      <c r="C12759" s="13">
        <f>IFERROR(__xludf.DUMMYFUNCTION("""COMPUTED_VALUE"""),0.625)</f>
        <v>0.625</v>
      </c>
      <c r="D12759" s="8">
        <f>IFERROR(__xludf.DUMMYFUNCTION("""COMPUTED_VALUE"""),0.077)</f>
        <v>0.077</v>
      </c>
      <c r="E12759" s="8" t="str">
        <f>IFERROR(__xludf.DUMMYFUNCTION("""COMPUTED_VALUE"""),"Real")</f>
        <v>Real</v>
      </c>
      <c r="G12759" s="8">
        <f t="shared" si="1"/>
        <v>4</v>
      </c>
      <c r="H12759" s="14">
        <f t="shared" si="2"/>
        <v>15</v>
      </c>
      <c r="I12759" s="15">
        <f t="shared" si="3"/>
        <v>15</v>
      </c>
    </row>
    <row r="12760">
      <c r="A12760" s="8" t="str">
        <f>IFERROR(__xludf.DUMMYFUNCTION("IF('(INGESTA)Datos_consumo_datadis'!A12760&lt;&gt;"""",SPLIT('(INGESTA)Datos_consumo_datadis'!A:A,"",""),"""")"),"ES0031408323131005HX0F")</f>
        <v>ES0031408323131005HX0F</v>
      </c>
      <c r="B12760" s="12">
        <f>IFERROR(__xludf.DUMMYFUNCTION("""COMPUTED_VALUE"""),45397.0)</f>
        <v>45397</v>
      </c>
      <c r="C12760" s="13">
        <f>IFERROR(__xludf.DUMMYFUNCTION("""COMPUTED_VALUE"""),0.6666666666666666)</f>
        <v>0.6666666667</v>
      </c>
      <c r="D12760" s="8">
        <f>IFERROR(__xludf.DUMMYFUNCTION("""COMPUTED_VALUE"""),0.078)</f>
        <v>0.078</v>
      </c>
      <c r="E12760" s="8" t="str">
        <f>IFERROR(__xludf.DUMMYFUNCTION("""COMPUTED_VALUE"""),"Real")</f>
        <v>Real</v>
      </c>
      <c r="G12760" s="8">
        <f t="shared" si="1"/>
        <v>4</v>
      </c>
      <c r="H12760" s="14">
        <f t="shared" si="2"/>
        <v>15</v>
      </c>
      <c r="I12760" s="15">
        <f t="shared" si="3"/>
        <v>16</v>
      </c>
    </row>
    <row r="12761">
      <c r="A12761" s="8" t="str">
        <f>IFERROR(__xludf.DUMMYFUNCTION("IF('(INGESTA)Datos_consumo_datadis'!A12761&lt;&gt;"""",SPLIT('(INGESTA)Datos_consumo_datadis'!A:A,"",""),"""")"),"ES0031408323131005HX0F")</f>
        <v>ES0031408323131005HX0F</v>
      </c>
      <c r="B12761" s="12">
        <f>IFERROR(__xludf.DUMMYFUNCTION("""COMPUTED_VALUE"""),45397.0)</f>
        <v>45397</v>
      </c>
      <c r="C12761" s="13">
        <f>IFERROR(__xludf.DUMMYFUNCTION("""COMPUTED_VALUE"""),0.7083333333333334)</f>
        <v>0.7083333333</v>
      </c>
      <c r="D12761" s="8">
        <f>IFERROR(__xludf.DUMMYFUNCTION("""COMPUTED_VALUE"""),1.317)</f>
        <v>1.317</v>
      </c>
      <c r="E12761" s="8" t="str">
        <f>IFERROR(__xludf.DUMMYFUNCTION("""COMPUTED_VALUE"""),"Real")</f>
        <v>Real</v>
      </c>
      <c r="G12761" s="8">
        <f t="shared" si="1"/>
        <v>4</v>
      </c>
      <c r="H12761" s="14">
        <f t="shared" si="2"/>
        <v>15</v>
      </c>
      <c r="I12761" s="15">
        <f t="shared" si="3"/>
        <v>17</v>
      </c>
    </row>
    <row r="12762">
      <c r="A12762" s="8" t="str">
        <f>IFERROR(__xludf.DUMMYFUNCTION("IF('(INGESTA)Datos_consumo_datadis'!A12762&lt;&gt;"""",SPLIT('(INGESTA)Datos_consumo_datadis'!A:A,"",""),"""")"),"ES0031408323131005HX0F")</f>
        <v>ES0031408323131005HX0F</v>
      </c>
      <c r="B12762" s="12">
        <f>IFERROR(__xludf.DUMMYFUNCTION("""COMPUTED_VALUE"""),45397.0)</f>
        <v>45397</v>
      </c>
      <c r="C12762" s="13">
        <f>IFERROR(__xludf.DUMMYFUNCTION("""COMPUTED_VALUE"""),0.75)</f>
        <v>0.75</v>
      </c>
      <c r="D12762" s="8">
        <f>IFERROR(__xludf.DUMMYFUNCTION("""COMPUTED_VALUE"""),0.658)</f>
        <v>0.658</v>
      </c>
      <c r="E12762" s="8" t="str">
        <f>IFERROR(__xludf.DUMMYFUNCTION("""COMPUTED_VALUE"""),"Real")</f>
        <v>Real</v>
      </c>
      <c r="G12762" s="8">
        <f t="shared" si="1"/>
        <v>4</v>
      </c>
      <c r="H12762" s="14">
        <f t="shared" si="2"/>
        <v>15</v>
      </c>
      <c r="I12762" s="15">
        <f t="shared" si="3"/>
        <v>18</v>
      </c>
    </row>
    <row r="12763">
      <c r="A12763" s="8" t="str">
        <f>IFERROR(__xludf.DUMMYFUNCTION("IF('(INGESTA)Datos_consumo_datadis'!A12763&lt;&gt;"""",SPLIT('(INGESTA)Datos_consumo_datadis'!A:A,"",""),"""")"),"ES0031408323131005HX0F")</f>
        <v>ES0031408323131005HX0F</v>
      </c>
      <c r="B12763" s="12">
        <f>IFERROR(__xludf.DUMMYFUNCTION("""COMPUTED_VALUE"""),45397.0)</f>
        <v>45397</v>
      </c>
      <c r="C12763" s="13">
        <f>IFERROR(__xludf.DUMMYFUNCTION("""COMPUTED_VALUE"""),0.7916666666666666)</f>
        <v>0.7916666667</v>
      </c>
      <c r="D12763" s="8">
        <f>IFERROR(__xludf.DUMMYFUNCTION("""COMPUTED_VALUE"""),0.083)</f>
        <v>0.083</v>
      </c>
      <c r="E12763" s="8" t="str">
        <f>IFERROR(__xludf.DUMMYFUNCTION("""COMPUTED_VALUE"""),"Real")</f>
        <v>Real</v>
      </c>
      <c r="G12763" s="8">
        <f t="shared" si="1"/>
        <v>4</v>
      </c>
      <c r="H12763" s="14">
        <f t="shared" si="2"/>
        <v>15</v>
      </c>
      <c r="I12763" s="15">
        <f t="shared" si="3"/>
        <v>19</v>
      </c>
    </row>
    <row r="12764">
      <c r="A12764" s="8" t="str">
        <f>IFERROR(__xludf.DUMMYFUNCTION("IF('(INGESTA)Datos_consumo_datadis'!A12764&lt;&gt;"""",SPLIT('(INGESTA)Datos_consumo_datadis'!A:A,"",""),"""")"),"ES0031408323131005HX0F")</f>
        <v>ES0031408323131005HX0F</v>
      </c>
      <c r="B12764" s="12">
        <f>IFERROR(__xludf.DUMMYFUNCTION("""COMPUTED_VALUE"""),45397.0)</f>
        <v>45397</v>
      </c>
      <c r="C12764" s="13">
        <f>IFERROR(__xludf.DUMMYFUNCTION("""COMPUTED_VALUE"""),0.8333333333333334)</f>
        <v>0.8333333333</v>
      </c>
      <c r="D12764" s="8">
        <f>IFERROR(__xludf.DUMMYFUNCTION("""COMPUTED_VALUE"""),0.064)</f>
        <v>0.064</v>
      </c>
      <c r="E12764" s="8" t="str">
        <f>IFERROR(__xludf.DUMMYFUNCTION("""COMPUTED_VALUE"""),"Real")</f>
        <v>Real</v>
      </c>
      <c r="G12764" s="8">
        <f t="shared" si="1"/>
        <v>4</v>
      </c>
      <c r="H12764" s="14">
        <f t="shared" si="2"/>
        <v>15</v>
      </c>
      <c r="I12764" s="15">
        <f t="shared" si="3"/>
        <v>20</v>
      </c>
    </row>
    <row r="12765">
      <c r="A12765" s="8" t="str">
        <f>IFERROR(__xludf.DUMMYFUNCTION("IF('(INGESTA)Datos_consumo_datadis'!A12765&lt;&gt;"""",SPLIT('(INGESTA)Datos_consumo_datadis'!A:A,"",""),"""")"),"ES0031408323131005HX0F")</f>
        <v>ES0031408323131005HX0F</v>
      </c>
      <c r="B12765" s="12">
        <f>IFERROR(__xludf.DUMMYFUNCTION("""COMPUTED_VALUE"""),45397.0)</f>
        <v>45397</v>
      </c>
      <c r="C12765" s="13">
        <f>IFERROR(__xludf.DUMMYFUNCTION("""COMPUTED_VALUE"""),0.875)</f>
        <v>0.875</v>
      </c>
      <c r="D12765" s="8">
        <f>IFERROR(__xludf.DUMMYFUNCTION("""COMPUTED_VALUE"""),0.112)</f>
        <v>0.112</v>
      </c>
      <c r="E12765" s="8" t="str">
        <f>IFERROR(__xludf.DUMMYFUNCTION("""COMPUTED_VALUE"""),"Real")</f>
        <v>Real</v>
      </c>
      <c r="G12765" s="8">
        <f t="shared" si="1"/>
        <v>4</v>
      </c>
      <c r="H12765" s="14">
        <f t="shared" si="2"/>
        <v>15</v>
      </c>
      <c r="I12765" s="15">
        <f t="shared" si="3"/>
        <v>21</v>
      </c>
    </row>
    <row r="12766">
      <c r="A12766" s="8" t="str">
        <f>IFERROR(__xludf.DUMMYFUNCTION("IF('(INGESTA)Datos_consumo_datadis'!A12766&lt;&gt;"""",SPLIT('(INGESTA)Datos_consumo_datadis'!A:A,"",""),"""")"),"ES0031408323131005HX0F")</f>
        <v>ES0031408323131005HX0F</v>
      </c>
      <c r="B12766" s="12">
        <f>IFERROR(__xludf.DUMMYFUNCTION("""COMPUTED_VALUE"""),45397.0)</f>
        <v>45397</v>
      </c>
      <c r="C12766" s="13">
        <f>IFERROR(__xludf.DUMMYFUNCTION("""COMPUTED_VALUE"""),0.9166666666666666)</f>
        <v>0.9166666667</v>
      </c>
      <c r="D12766" s="8">
        <f>IFERROR(__xludf.DUMMYFUNCTION("""COMPUTED_VALUE"""),0.811)</f>
        <v>0.811</v>
      </c>
      <c r="E12766" s="8" t="str">
        <f>IFERROR(__xludf.DUMMYFUNCTION("""COMPUTED_VALUE"""),"Real")</f>
        <v>Real</v>
      </c>
      <c r="G12766" s="8">
        <f t="shared" si="1"/>
        <v>4</v>
      </c>
      <c r="H12766" s="14">
        <f t="shared" si="2"/>
        <v>15</v>
      </c>
      <c r="I12766" s="15">
        <f t="shared" si="3"/>
        <v>22</v>
      </c>
    </row>
    <row r="12767">
      <c r="A12767" s="8" t="str">
        <f>IFERROR(__xludf.DUMMYFUNCTION("IF('(INGESTA)Datos_consumo_datadis'!A12767&lt;&gt;"""",SPLIT('(INGESTA)Datos_consumo_datadis'!A:A,"",""),"""")"),"ES0031408323131005HX0F")</f>
        <v>ES0031408323131005HX0F</v>
      </c>
      <c r="B12767" s="12">
        <f>IFERROR(__xludf.DUMMYFUNCTION("""COMPUTED_VALUE"""),45397.0)</f>
        <v>45397</v>
      </c>
      <c r="C12767" s="13">
        <f>IFERROR(__xludf.DUMMYFUNCTION("""COMPUTED_VALUE"""),0.9583333333333334)</f>
        <v>0.9583333333</v>
      </c>
      <c r="D12767" s="8">
        <f>IFERROR(__xludf.DUMMYFUNCTION("""COMPUTED_VALUE"""),0.099)</f>
        <v>0.099</v>
      </c>
      <c r="E12767" s="8" t="str">
        <f>IFERROR(__xludf.DUMMYFUNCTION("""COMPUTED_VALUE"""),"Real")</f>
        <v>Real</v>
      </c>
      <c r="G12767" s="8">
        <f t="shared" si="1"/>
        <v>4</v>
      </c>
      <c r="H12767" s="14">
        <f t="shared" si="2"/>
        <v>15</v>
      </c>
      <c r="I12767" s="15">
        <f t="shared" si="3"/>
        <v>23</v>
      </c>
    </row>
    <row r="12768">
      <c r="A12768" s="8" t="str">
        <f>IFERROR(__xludf.DUMMYFUNCTION("IF('(INGESTA)Datos_consumo_datadis'!A12768&lt;&gt;"""",SPLIT('(INGESTA)Datos_consumo_datadis'!A:A,"",""),"""")"),"ES0031408323131005HX0F")</f>
        <v>ES0031408323131005HX0F</v>
      </c>
      <c r="B12768" s="12">
        <f>IFERROR(__xludf.DUMMYFUNCTION("""COMPUTED_VALUE"""),45397.0)</f>
        <v>45397</v>
      </c>
      <c r="C12768" s="16">
        <f>IFERROR(__xludf.DUMMYFUNCTION("""COMPUTED_VALUE"""),1.0)</f>
        <v>1</v>
      </c>
      <c r="D12768" s="8">
        <f>IFERROR(__xludf.DUMMYFUNCTION("""COMPUTED_VALUE"""),0.141)</f>
        <v>0.141</v>
      </c>
      <c r="E12768" s="8" t="str">
        <f>IFERROR(__xludf.DUMMYFUNCTION("""COMPUTED_VALUE"""),"Real")</f>
        <v>Real</v>
      </c>
      <c r="G12768" s="8">
        <f t="shared" si="1"/>
        <v>4</v>
      </c>
      <c r="H12768" s="14">
        <f t="shared" si="2"/>
        <v>15</v>
      </c>
      <c r="I12768" s="15">
        <f t="shared" si="3"/>
        <v>0</v>
      </c>
    </row>
    <row r="12769">
      <c r="A12769" s="8" t="str">
        <f>IFERROR(__xludf.DUMMYFUNCTION("IF('(INGESTA)Datos_consumo_datadis'!A12769&lt;&gt;"""",SPLIT('(INGESTA)Datos_consumo_datadis'!A:A,"",""),"""")"),"ES0031408323131005HX0F")</f>
        <v>ES0031408323131005HX0F</v>
      </c>
      <c r="B12769" s="12">
        <f>IFERROR(__xludf.DUMMYFUNCTION("""COMPUTED_VALUE"""),45398.0)</f>
        <v>45398</v>
      </c>
      <c r="C12769" s="13">
        <f>IFERROR(__xludf.DUMMYFUNCTION("""COMPUTED_VALUE"""),0.041666666666666664)</f>
        <v>0.04166666667</v>
      </c>
      <c r="D12769" s="8">
        <f>IFERROR(__xludf.DUMMYFUNCTION("""COMPUTED_VALUE"""),0.081)</f>
        <v>0.081</v>
      </c>
      <c r="E12769" s="8" t="str">
        <f>IFERROR(__xludf.DUMMYFUNCTION("""COMPUTED_VALUE"""),"Real")</f>
        <v>Real</v>
      </c>
      <c r="G12769" s="8">
        <f t="shared" si="1"/>
        <v>4</v>
      </c>
      <c r="H12769" s="14">
        <f t="shared" si="2"/>
        <v>16</v>
      </c>
      <c r="I12769" s="15">
        <f t="shared" si="3"/>
        <v>1</v>
      </c>
    </row>
    <row r="12770">
      <c r="A12770" s="8" t="str">
        <f>IFERROR(__xludf.DUMMYFUNCTION("IF('(INGESTA)Datos_consumo_datadis'!A12770&lt;&gt;"""",SPLIT('(INGESTA)Datos_consumo_datadis'!A:A,"",""),"""")"),"ES0031408323131005HX0F")</f>
        <v>ES0031408323131005HX0F</v>
      </c>
      <c r="B12770" s="12">
        <f>IFERROR(__xludf.DUMMYFUNCTION("""COMPUTED_VALUE"""),45398.0)</f>
        <v>45398</v>
      </c>
      <c r="C12770" s="13">
        <f>IFERROR(__xludf.DUMMYFUNCTION("""COMPUTED_VALUE"""),0.08333333333333333)</f>
        <v>0.08333333333</v>
      </c>
      <c r="D12770" s="8">
        <f>IFERROR(__xludf.DUMMYFUNCTION("""COMPUTED_VALUE"""),0.056)</f>
        <v>0.056</v>
      </c>
      <c r="E12770" s="8" t="str">
        <f>IFERROR(__xludf.DUMMYFUNCTION("""COMPUTED_VALUE"""),"Real")</f>
        <v>Real</v>
      </c>
      <c r="G12770" s="8">
        <f t="shared" si="1"/>
        <v>4</v>
      </c>
      <c r="H12770" s="14">
        <f t="shared" si="2"/>
        <v>16</v>
      </c>
      <c r="I12770" s="15">
        <f t="shared" si="3"/>
        <v>2</v>
      </c>
    </row>
    <row r="12771">
      <c r="A12771" s="8" t="str">
        <f>IFERROR(__xludf.DUMMYFUNCTION("IF('(INGESTA)Datos_consumo_datadis'!A12771&lt;&gt;"""",SPLIT('(INGESTA)Datos_consumo_datadis'!A:A,"",""),"""")"),"ES0031408323131005HX0F")</f>
        <v>ES0031408323131005HX0F</v>
      </c>
      <c r="B12771" s="12">
        <f>IFERROR(__xludf.DUMMYFUNCTION("""COMPUTED_VALUE"""),45398.0)</f>
        <v>45398</v>
      </c>
      <c r="C12771" s="13">
        <f>IFERROR(__xludf.DUMMYFUNCTION("""COMPUTED_VALUE"""),0.125)</f>
        <v>0.125</v>
      </c>
      <c r="D12771" s="8">
        <f>IFERROR(__xludf.DUMMYFUNCTION("""COMPUTED_VALUE"""),0.079)</f>
        <v>0.079</v>
      </c>
      <c r="E12771" s="8" t="str">
        <f>IFERROR(__xludf.DUMMYFUNCTION("""COMPUTED_VALUE"""),"Real")</f>
        <v>Real</v>
      </c>
      <c r="G12771" s="8">
        <f t="shared" si="1"/>
        <v>4</v>
      </c>
      <c r="H12771" s="14">
        <f t="shared" si="2"/>
        <v>16</v>
      </c>
      <c r="I12771" s="15">
        <f t="shared" si="3"/>
        <v>3</v>
      </c>
    </row>
    <row r="12772">
      <c r="A12772" s="8" t="str">
        <f>IFERROR(__xludf.DUMMYFUNCTION("IF('(INGESTA)Datos_consumo_datadis'!A12772&lt;&gt;"""",SPLIT('(INGESTA)Datos_consumo_datadis'!A:A,"",""),"""")"),"ES0031408323131005HX0F")</f>
        <v>ES0031408323131005HX0F</v>
      </c>
      <c r="B12772" s="12">
        <f>IFERROR(__xludf.DUMMYFUNCTION("""COMPUTED_VALUE"""),45398.0)</f>
        <v>45398</v>
      </c>
      <c r="C12772" s="13">
        <f>IFERROR(__xludf.DUMMYFUNCTION("""COMPUTED_VALUE"""),0.16666666666666666)</f>
        <v>0.1666666667</v>
      </c>
      <c r="D12772" s="8">
        <f>IFERROR(__xludf.DUMMYFUNCTION("""COMPUTED_VALUE"""),0.329)</f>
        <v>0.329</v>
      </c>
      <c r="E12772" s="8" t="str">
        <f>IFERROR(__xludf.DUMMYFUNCTION("""COMPUTED_VALUE"""),"Real")</f>
        <v>Real</v>
      </c>
      <c r="G12772" s="8">
        <f t="shared" si="1"/>
        <v>4</v>
      </c>
      <c r="H12772" s="14">
        <f t="shared" si="2"/>
        <v>16</v>
      </c>
      <c r="I12772" s="15">
        <f t="shared" si="3"/>
        <v>4</v>
      </c>
    </row>
    <row r="12773">
      <c r="A12773" s="8" t="str">
        <f>IFERROR(__xludf.DUMMYFUNCTION("IF('(INGESTA)Datos_consumo_datadis'!A12773&lt;&gt;"""",SPLIT('(INGESTA)Datos_consumo_datadis'!A:A,"",""),"""")"),"ES0031408323131005HX0F")</f>
        <v>ES0031408323131005HX0F</v>
      </c>
      <c r="B12773" s="12">
        <f>IFERROR(__xludf.DUMMYFUNCTION("""COMPUTED_VALUE"""),45398.0)</f>
        <v>45398</v>
      </c>
      <c r="C12773" s="13">
        <f>IFERROR(__xludf.DUMMYFUNCTION("""COMPUTED_VALUE"""),0.20833333333333334)</f>
        <v>0.2083333333</v>
      </c>
      <c r="D12773" s="8">
        <f>IFERROR(__xludf.DUMMYFUNCTION("""COMPUTED_VALUE"""),0.06)</f>
        <v>0.06</v>
      </c>
      <c r="E12773" s="8" t="str">
        <f>IFERROR(__xludf.DUMMYFUNCTION("""COMPUTED_VALUE"""),"Real")</f>
        <v>Real</v>
      </c>
      <c r="G12773" s="8">
        <f t="shared" si="1"/>
        <v>4</v>
      </c>
      <c r="H12773" s="14">
        <f t="shared" si="2"/>
        <v>16</v>
      </c>
      <c r="I12773" s="15">
        <f t="shared" si="3"/>
        <v>5</v>
      </c>
    </row>
    <row r="12774">
      <c r="A12774" s="8" t="str">
        <f>IFERROR(__xludf.DUMMYFUNCTION("IF('(INGESTA)Datos_consumo_datadis'!A12774&lt;&gt;"""",SPLIT('(INGESTA)Datos_consumo_datadis'!A:A,"",""),"""")"),"ES0031408323131005HX0F")</f>
        <v>ES0031408323131005HX0F</v>
      </c>
      <c r="B12774" s="12">
        <f>IFERROR(__xludf.DUMMYFUNCTION("""COMPUTED_VALUE"""),45398.0)</f>
        <v>45398</v>
      </c>
      <c r="C12774" s="13">
        <f>IFERROR(__xludf.DUMMYFUNCTION("""COMPUTED_VALUE"""),0.25)</f>
        <v>0.25</v>
      </c>
      <c r="D12774" s="8">
        <f>IFERROR(__xludf.DUMMYFUNCTION("""COMPUTED_VALUE"""),0.473)</f>
        <v>0.473</v>
      </c>
      <c r="E12774" s="8" t="str">
        <f>IFERROR(__xludf.DUMMYFUNCTION("""COMPUTED_VALUE"""),"Real")</f>
        <v>Real</v>
      </c>
      <c r="G12774" s="8">
        <f t="shared" si="1"/>
        <v>4</v>
      </c>
      <c r="H12774" s="14">
        <f t="shared" si="2"/>
        <v>16</v>
      </c>
      <c r="I12774" s="15">
        <f t="shared" si="3"/>
        <v>6</v>
      </c>
    </row>
    <row r="12775">
      <c r="A12775" s="8" t="str">
        <f>IFERROR(__xludf.DUMMYFUNCTION("IF('(INGESTA)Datos_consumo_datadis'!A12775&lt;&gt;"""",SPLIT('(INGESTA)Datos_consumo_datadis'!A:A,"",""),"""")"),"ES0031408323131005HX0F")</f>
        <v>ES0031408323131005HX0F</v>
      </c>
      <c r="B12775" s="12">
        <f>IFERROR(__xludf.DUMMYFUNCTION("""COMPUTED_VALUE"""),45398.0)</f>
        <v>45398</v>
      </c>
      <c r="C12775" s="13">
        <f>IFERROR(__xludf.DUMMYFUNCTION("""COMPUTED_VALUE"""),0.2916666666666667)</f>
        <v>0.2916666667</v>
      </c>
      <c r="D12775" s="8">
        <f>IFERROR(__xludf.DUMMYFUNCTION("""COMPUTED_VALUE"""),0.053)</f>
        <v>0.053</v>
      </c>
      <c r="E12775" s="8" t="str">
        <f>IFERROR(__xludf.DUMMYFUNCTION("""COMPUTED_VALUE"""),"Real")</f>
        <v>Real</v>
      </c>
      <c r="G12775" s="8">
        <f t="shared" si="1"/>
        <v>4</v>
      </c>
      <c r="H12775" s="14">
        <f t="shared" si="2"/>
        <v>16</v>
      </c>
      <c r="I12775" s="15">
        <f t="shared" si="3"/>
        <v>7</v>
      </c>
    </row>
    <row r="12776">
      <c r="A12776" s="8" t="str">
        <f>IFERROR(__xludf.DUMMYFUNCTION("IF('(INGESTA)Datos_consumo_datadis'!A12776&lt;&gt;"""",SPLIT('(INGESTA)Datos_consumo_datadis'!A:A,"",""),"""")"),"ES0031408323131005HX0F")</f>
        <v>ES0031408323131005HX0F</v>
      </c>
      <c r="B12776" s="12">
        <f>IFERROR(__xludf.DUMMYFUNCTION("""COMPUTED_VALUE"""),45398.0)</f>
        <v>45398</v>
      </c>
      <c r="C12776" s="13">
        <f>IFERROR(__xludf.DUMMYFUNCTION("""COMPUTED_VALUE"""),0.3333333333333333)</f>
        <v>0.3333333333</v>
      </c>
      <c r="D12776" s="8">
        <f>IFERROR(__xludf.DUMMYFUNCTION("""COMPUTED_VALUE"""),0.073)</f>
        <v>0.073</v>
      </c>
      <c r="E12776" s="8" t="str">
        <f>IFERROR(__xludf.DUMMYFUNCTION("""COMPUTED_VALUE"""),"Real")</f>
        <v>Real</v>
      </c>
      <c r="G12776" s="8">
        <f t="shared" si="1"/>
        <v>4</v>
      </c>
      <c r="H12776" s="14">
        <f t="shared" si="2"/>
        <v>16</v>
      </c>
      <c r="I12776" s="15">
        <f t="shared" si="3"/>
        <v>8</v>
      </c>
    </row>
    <row r="12777">
      <c r="A12777" s="8" t="str">
        <f>IFERROR(__xludf.DUMMYFUNCTION("IF('(INGESTA)Datos_consumo_datadis'!A12777&lt;&gt;"""",SPLIT('(INGESTA)Datos_consumo_datadis'!A:A,"",""),"""")"),"ES0031408323131005HX0F")</f>
        <v>ES0031408323131005HX0F</v>
      </c>
      <c r="B12777" s="12">
        <f>IFERROR(__xludf.DUMMYFUNCTION("""COMPUTED_VALUE"""),45398.0)</f>
        <v>45398</v>
      </c>
      <c r="C12777" s="13">
        <f>IFERROR(__xludf.DUMMYFUNCTION("""COMPUTED_VALUE"""),0.375)</f>
        <v>0.375</v>
      </c>
      <c r="D12777" s="8">
        <f>IFERROR(__xludf.DUMMYFUNCTION("""COMPUTED_VALUE"""),0.029)</f>
        <v>0.029</v>
      </c>
      <c r="E12777" s="8" t="str">
        <f>IFERROR(__xludf.DUMMYFUNCTION("""COMPUTED_VALUE"""),"Real")</f>
        <v>Real</v>
      </c>
      <c r="G12777" s="8">
        <f t="shared" si="1"/>
        <v>4</v>
      </c>
      <c r="H12777" s="14">
        <f t="shared" si="2"/>
        <v>16</v>
      </c>
      <c r="I12777" s="15">
        <f t="shared" si="3"/>
        <v>9</v>
      </c>
    </row>
    <row r="12778">
      <c r="A12778" s="8" t="str">
        <f>IFERROR(__xludf.DUMMYFUNCTION("IF('(INGESTA)Datos_consumo_datadis'!A12778&lt;&gt;"""",SPLIT('(INGESTA)Datos_consumo_datadis'!A:A,"",""),"""")"),"ES0031408323131005HX0F")</f>
        <v>ES0031408323131005HX0F</v>
      </c>
      <c r="B12778" s="12">
        <f>IFERROR(__xludf.DUMMYFUNCTION("""COMPUTED_VALUE"""),45398.0)</f>
        <v>45398</v>
      </c>
      <c r="C12778" s="13">
        <f>IFERROR(__xludf.DUMMYFUNCTION("""COMPUTED_VALUE"""),0.4166666666666667)</f>
        <v>0.4166666667</v>
      </c>
      <c r="D12778" s="8">
        <f>IFERROR(__xludf.DUMMYFUNCTION("""COMPUTED_VALUE"""),0.071)</f>
        <v>0.071</v>
      </c>
      <c r="E12778" s="8" t="str">
        <f>IFERROR(__xludf.DUMMYFUNCTION("""COMPUTED_VALUE"""),"Real")</f>
        <v>Real</v>
      </c>
      <c r="G12778" s="8">
        <f t="shared" si="1"/>
        <v>4</v>
      </c>
      <c r="H12778" s="14">
        <f t="shared" si="2"/>
        <v>16</v>
      </c>
      <c r="I12778" s="15">
        <f t="shared" si="3"/>
        <v>10</v>
      </c>
    </row>
    <row r="12779">
      <c r="A12779" s="8" t="str">
        <f>IFERROR(__xludf.DUMMYFUNCTION("IF('(INGESTA)Datos_consumo_datadis'!A12779&lt;&gt;"""",SPLIT('(INGESTA)Datos_consumo_datadis'!A:A,"",""),"""")"),"ES0031408323131005HX0F")</f>
        <v>ES0031408323131005HX0F</v>
      </c>
      <c r="B12779" s="12">
        <f>IFERROR(__xludf.DUMMYFUNCTION("""COMPUTED_VALUE"""),45398.0)</f>
        <v>45398</v>
      </c>
      <c r="C12779" s="13">
        <f>IFERROR(__xludf.DUMMYFUNCTION("""COMPUTED_VALUE"""),0.4583333333333333)</f>
        <v>0.4583333333</v>
      </c>
      <c r="D12779" s="8">
        <f>IFERROR(__xludf.DUMMYFUNCTION("""COMPUTED_VALUE"""),0.059)</f>
        <v>0.059</v>
      </c>
      <c r="E12779" s="8" t="str">
        <f>IFERROR(__xludf.DUMMYFUNCTION("""COMPUTED_VALUE"""),"Real")</f>
        <v>Real</v>
      </c>
      <c r="G12779" s="8">
        <f t="shared" si="1"/>
        <v>4</v>
      </c>
      <c r="H12779" s="14">
        <f t="shared" si="2"/>
        <v>16</v>
      </c>
      <c r="I12779" s="15">
        <f t="shared" si="3"/>
        <v>11</v>
      </c>
    </row>
    <row r="12780">
      <c r="A12780" s="8" t="str">
        <f>IFERROR(__xludf.DUMMYFUNCTION("IF('(INGESTA)Datos_consumo_datadis'!A12780&lt;&gt;"""",SPLIT('(INGESTA)Datos_consumo_datadis'!A:A,"",""),"""")"),"ES0031408323131005HX0F")</f>
        <v>ES0031408323131005HX0F</v>
      </c>
      <c r="B12780" s="12">
        <f>IFERROR(__xludf.DUMMYFUNCTION("""COMPUTED_VALUE"""),45398.0)</f>
        <v>45398</v>
      </c>
      <c r="C12780" s="13">
        <f>IFERROR(__xludf.DUMMYFUNCTION("""COMPUTED_VALUE"""),0.5)</f>
        <v>0.5</v>
      </c>
      <c r="D12780" s="8">
        <f>IFERROR(__xludf.DUMMYFUNCTION("""COMPUTED_VALUE"""),0.314)</f>
        <v>0.314</v>
      </c>
      <c r="E12780" s="8" t="str">
        <f>IFERROR(__xludf.DUMMYFUNCTION("""COMPUTED_VALUE"""),"Real")</f>
        <v>Real</v>
      </c>
      <c r="G12780" s="8">
        <f t="shared" si="1"/>
        <v>4</v>
      </c>
      <c r="H12780" s="14">
        <f t="shared" si="2"/>
        <v>16</v>
      </c>
      <c r="I12780" s="15">
        <f t="shared" si="3"/>
        <v>12</v>
      </c>
    </row>
    <row r="12781">
      <c r="A12781" s="8" t="str">
        <f>IFERROR(__xludf.DUMMYFUNCTION("IF('(INGESTA)Datos_consumo_datadis'!A12781&lt;&gt;"""",SPLIT('(INGESTA)Datos_consumo_datadis'!A:A,"",""),"""")"),"ES0031408323131005HX0F")</f>
        <v>ES0031408323131005HX0F</v>
      </c>
      <c r="B12781" s="12">
        <f>IFERROR(__xludf.DUMMYFUNCTION("""COMPUTED_VALUE"""),45398.0)</f>
        <v>45398</v>
      </c>
      <c r="C12781" s="13">
        <f>IFERROR(__xludf.DUMMYFUNCTION("""COMPUTED_VALUE"""),0.5416666666666666)</f>
        <v>0.5416666667</v>
      </c>
      <c r="D12781" s="8">
        <f>IFERROR(__xludf.DUMMYFUNCTION("""COMPUTED_VALUE"""),0.053)</f>
        <v>0.053</v>
      </c>
      <c r="E12781" s="8" t="str">
        <f>IFERROR(__xludf.DUMMYFUNCTION("""COMPUTED_VALUE"""),"Real")</f>
        <v>Real</v>
      </c>
      <c r="G12781" s="8">
        <f t="shared" si="1"/>
        <v>4</v>
      </c>
      <c r="H12781" s="14">
        <f t="shared" si="2"/>
        <v>16</v>
      </c>
      <c r="I12781" s="15">
        <f t="shared" si="3"/>
        <v>13</v>
      </c>
    </row>
    <row r="12782">
      <c r="A12782" s="8" t="str">
        <f>IFERROR(__xludf.DUMMYFUNCTION("IF('(INGESTA)Datos_consumo_datadis'!A12782&lt;&gt;"""",SPLIT('(INGESTA)Datos_consumo_datadis'!A:A,"",""),"""")"),"ES0031408323131005HX0F")</f>
        <v>ES0031408323131005HX0F</v>
      </c>
      <c r="B12782" s="12">
        <f>IFERROR(__xludf.DUMMYFUNCTION("""COMPUTED_VALUE"""),45398.0)</f>
        <v>45398</v>
      </c>
      <c r="C12782" s="13">
        <f>IFERROR(__xludf.DUMMYFUNCTION("""COMPUTED_VALUE"""),0.5833333333333334)</f>
        <v>0.5833333333</v>
      </c>
      <c r="D12782" s="8">
        <f>IFERROR(__xludf.DUMMYFUNCTION("""COMPUTED_VALUE"""),0.069)</f>
        <v>0.069</v>
      </c>
      <c r="E12782" s="8" t="str">
        <f>IFERROR(__xludf.DUMMYFUNCTION("""COMPUTED_VALUE"""),"Real")</f>
        <v>Real</v>
      </c>
      <c r="G12782" s="8">
        <f t="shared" si="1"/>
        <v>4</v>
      </c>
      <c r="H12782" s="14">
        <f t="shared" si="2"/>
        <v>16</v>
      </c>
      <c r="I12782" s="15">
        <f t="shared" si="3"/>
        <v>14</v>
      </c>
    </row>
    <row r="12783">
      <c r="A12783" s="8" t="str">
        <f>IFERROR(__xludf.DUMMYFUNCTION("IF('(INGESTA)Datos_consumo_datadis'!A12783&lt;&gt;"""",SPLIT('(INGESTA)Datos_consumo_datadis'!A:A,"",""),"""")"),"ES0031408323131005HX0F")</f>
        <v>ES0031408323131005HX0F</v>
      </c>
      <c r="B12783" s="12">
        <f>IFERROR(__xludf.DUMMYFUNCTION("""COMPUTED_VALUE"""),45398.0)</f>
        <v>45398</v>
      </c>
      <c r="C12783" s="13">
        <f>IFERROR(__xludf.DUMMYFUNCTION("""COMPUTED_VALUE"""),0.625)</f>
        <v>0.625</v>
      </c>
      <c r="D12783" s="8">
        <f>IFERROR(__xludf.DUMMYFUNCTION("""COMPUTED_VALUE"""),0.387)</f>
        <v>0.387</v>
      </c>
      <c r="E12783" s="8" t="str">
        <f>IFERROR(__xludf.DUMMYFUNCTION("""COMPUTED_VALUE"""),"Real")</f>
        <v>Real</v>
      </c>
      <c r="G12783" s="8">
        <f t="shared" si="1"/>
        <v>4</v>
      </c>
      <c r="H12783" s="14">
        <f t="shared" si="2"/>
        <v>16</v>
      </c>
      <c r="I12783" s="15">
        <f t="shared" si="3"/>
        <v>15</v>
      </c>
    </row>
    <row r="12784">
      <c r="A12784" s="8" t="str">
        <f>IFERROR(__xludf.DUMMYFUNCTION("IF('(INGESTA)Datos_consumo_datadis'!A12784&lt;&gt;"""",SPLIT('(INGESTA)Datos_consumo_datadis'!A:A,"",""),"""")"),"ES0031408323131005HX0F")</f>
        <v>ES0031408323131005HX0F</v>
      </c>
      <c r="B12784" s="12">
        <f>IFERROR(__xludf.DUMMYFUNCTION("""COMPUTED_VALUE"""),45398.0)</f>
        <v>45398</v>
      </c>
      <c r="C12784" s="13">
        <f>IFERROR(__xludf.DUMMYFUNCTION("""COMPUTED_VALUE"""),0.6666666666666666)</f>
        <v>0.6666666667</v>
      </c>
      <c r="D12784" s="8">
        <f>IFERROR(__xludf.DUMMYFUNCTION("""COMPUTED_VALUE"""),0.407)</f>
        <v>0.407</v>
      </c>
      <c r="E12784" s="8" t="str">
        <f>IFERROR(__xludf.DUMMYFUNCTION("""COMPUTED_VALUE"""),"Real")</f>
        <v>Real</v>
      </c>
      <c r="G12784" s="8">
        <f t="shared" si="1"/>
        <v>4</v>
      </c>
      <c r="H12784" s="14">
        <f t="shared" si="2"/>
        <v>16</v>
      </c>
      <c r="I12784" s="15">
        <f t="shared" si="3"/>
        <v>16</v>
      </c>
    </row>
    <row r="12785">
      <c r="A12785" s="8" t="str">
        <f>IFERROR(__xludf.DUMMYFUNCTION("IF('(INGESTA)Datos_consumo_datadis'!A12785&lt;&gt;"""",SPLIT('(INGESTA)Datos_consumo_datadis'!A:A,"",""),"""")"),"ES0031408323131005HX0F")</f>
        <v>ES0031408323131005HX0F</v>
      </c>
      <c r="B12785" s="12">
        <f>IFERROR(__xludf.DUMMYFUNCTION("""COMPUTED_VALUE"""),45398.0)</f>
        <v>45398</v>
      </c>
      <c r="C12785" s="13">
        <f>IFERROR(__xludf.DUMMYFUNCTION("""COMPUTED_VALUE"""),0.7083333333333334)</f>
        <v>0.7083333333</v>
      </c>
      <c r="D12785" s="8">
        <f>IFERROR(__xludf.DUMMYFUNCTION("""COMPUTED_VALUE"""),0.983)</f>
        <v>0.983</v>
      </c>
      <c r="E12785" s="8" t="str">
        <f>IFERROR(__xludf.DUMMYFUNCTION("""COMPUTED_VALUE"""),"Real")</f>
        <v>Real</v>
      </c>
      <c r="G12785" s="8">
        <f t="shared" si="1"/>
        <v>4</v>
      </c>
      <c r="H12785" s="14">
        <f t="shared" si="2"/>
        <v>16</v>
      </c>
      <c r="I12785" s="15">
        <f t="shared" si="3"/>
        <v>17</v>
      </c>
    </row>
    <row r="12786">
      <c r="A12786" s="8" t="str">
        <f>IFERROR(__xludf.DUMMYFUNCTION("IF('(INGESTA)Datos_consumo_datadis'!A12786&lt;&gt;"""",SPLIT('(INGESTA)Datos_consumo_datadis'!A:A,"",""),"""")"),"ES0031408323131005HX0F")</f>
        <v>ES0031408323131005HX0F</v>
      </c>
      <c r="B12786" s="12">
        <f>IFERROR(__xludf.DUMMYFUNCTION("""COMPUTED_VALUE"""),45398.0)</f>
        <v>45398</v>
      </c>
      <c r="C12786" s="13">
        <f>IFERROR(__xludf.DUMMYFUNCTION("""COMPUTED_VALUE"""),0.75)</f>
        <v>0.75</v>
      </c>
      <c r="D12786" s="8">
        <f>IFERROR(__xludf.DUMMYFUNCTION("""COMPUTED_VALUE"""),0.767)</f>
        <v>0.767</v>
      </c>
      <c r="E12786" s="8" t="str">
        <f>IFERROR(__xludf.DUMMYFUNCTION("""COMPUTED_VALUE"""),"Real")</f>
        <v>Real</v>
      </c>
      <c r="G12786" s="8">
        <f t="shared" si="1"/>
        <v>4</v>
      </c>
      <c r="H12786" s="14">
        <f t="shared" si="2"/>
        <v>16</v>
      </c>
      <c r="I12786" s="15">
        <f t="shared" si="3"/>
        <v>18</v>
      </c>
    </row>
    <row r="12787">
      <c r="A12787" s="8" t="str">
        <f>IFERROR(__xludf.DUMMYFUNCTION("IF('(INGESTA)Datos_consumo_datadis'!A12787&lt;&gt;"""",SPLIT('(INGESTA)Datos_consumo_datadis'!A:A,"",""),"""")"),"ES0031408323131005HX0F")</f>
        <v>ES0031408323131005HX0F</v>
      </c>
      <c r="B12787" s="12">
        <f>IFERROR(__xludf.DUMMYFUNCTION("""COMPUTED_VALUE"""),45398.0)</f>
        <v>45398</v>
      </c>
      <c r="C12787" s="13">
        <f>IFERROR(__xludf.DUMMYFUNCTION("""COMPUTED_VALUE"""),0.7916666666666666)</f>
        <v>0.7916666667</v>
      </c>
      <c r="D12787" s="8">
        <f>IFERROR(__xludf.DUMMYFUNCTION("""COMPUTED_VALUE"""),0.085)</f>
        <v>0.085</v>
      </c>
      <c r="E12787" s="8" t="str">
        <f>IFERROR(__xludf.DUMMYFUNCTION("""COMPUTED_VALUE"""),"Real")</f>
        <v>Real</v>
      </c>
      <c r="G12787" s="8">
        <f t="shared" si="1"/>
        <v>4</v>
      </c>
      <c r="H12787" s="14">
        <f t="shared" si="2"/>
        <v>16</v>
      </c>
      <c r="I12787" s="15">
        <f t="shared" si="3"/>
        <v>19</v>
      </c>
    </row>
    <row r="12788">
      <c r="A12788" s="8" t="str">
        <f>IFERROR(__xludf.DUMMYFUNCTION("IF('(INGESTA)Datos_consumo_datadis'!A12788&lt;&gt;"""",SPLIT('(INGESTA)Datos_consumo_datadis'!A:A,"",""),"""")"),"ES0031408323131005HX0F")</f>
        <v>ES0031408323131005HX0F</v>
      </c>
      <c r="B12788" s="12">
        <f>IFERROR(__xludf.DUMMYFUNCTION("""COMPUTED_VALUE"""),45398.0)</f>
        <v>45398</v>
      </c>
      <c r="C12788" s="13">
        <f>IFERROR(__xludf.DUMMYFUNCTION("""COMPUTED_VALUE"""),0.8333333333333334)</f>
        <v>0.8333333333</v>
      </c>
      <c r="D12788" s="8">
        <f>IFERROR(__xludf.DUMMYFUNCTION("""COMPUTED_VALUE"""),0.048)</f>
        <v>0.048</v>
      </c>
      <c r="E12788" s="8" t="str">
        <f>IFERROR(__xludf.DUMMYFUNCTION("""COMPUTED_VALUE"""),"Real")</f>
        <v>Real</v>
      </c>
      <c r="G12788" s="8">
        <f t="shared" si="1"/>
        <v>4</v>
      </c>
      <c r="H12788" s="14">
        <f t="shared" si="2"/>
        <v>16</v>
      </c>
      <c r="I12788" s="15">
        <f t="shared" si="3"/>
        <v>20</v>
      </c>
    </row>
    <row r="12789">
      <c r="A12789" s="8" t="str">
        <f>IFERROR(__xludf.DUMMYFUNCTION("IF('(INGESTA)Datos_consumo_datadis'!A12789&lt;&gt;"""",SPLIT('(INGESTA)Datos_consumo_datadis'!A:A,"",""),"""")"),"ES0031408323131005HX0F")</f>
        <v>ES0031408323131005HX0F</v>
      </c>
      <c r="B12789" s="12">
        <f>IFERROR(__xludf.DUMMYFUNCTION("""COMPUTED_VALUE"""),45398.0)</f>
        <v>45398</v>
      </c>
      <c r="C12789" s="13">
        <f>IFERROR(__xludf.DUMMYFUNCTION("""COMPUTED_VALUE"""),0.875)</f>
        <v>0.875</v>
      </c>
      <c r="D12789" s="8">
        <f>IFERROR(__xludf.DUMMYFUNCTION("""COMPUTED_VALUE"""),0.075)</f>
        <v>0.075</v>
      </c>
      <c r="E12789" s="8" t="str">
        <f>IFERROR(__xludf.DUMMYFUNCTION("""COMPUTED_VALUE"""),"Real")</f>
        <v>Real</v>
      </c>
      <c r="G12789" s="8">
        <f t="shared" si="1"/>
        <v>4</v>
      </c>
      <c r="H12789" s="14">
        <f t="shared" si="2"/>
        <v>16</v>
      </c>
      <c r="I12789" s="15">
        <f t="shared" si="3"/>
        <v>21</v>
      </c>
    </row>
    <row r="12790">
      <c r="A12790" s="8" t="str">
        <f>IFERROR(__xludf.DUMMYFUNCTION("IF('(INGESTA)Datos_consumo_datadis'!A12790&lt;&gt;"""",SPLIT('(INGESTA)Datos_consumo_datadis'!A:A,"",""),"""")"),"ES0031408323131005HX0F")</f>
        <v>ES0031408323131005HX0F</v>
      </c>
      <c r="B12790" s="12">
        <f>IFERROR(__xludf.DUMMYFUNCTION("""COMPUTED_VALUE"""),45398.0)</f>
        <v>45398</v>
      </c>
      <c r="C12790" s="13">
        <f>IFERROR(__xludf.DUMMYFUNCTION("""COMPUTED_VALUE"""),0.9166666666666666)</f>
        <v>0.9166666667</v>
      </c>
      <c r="D12790" s="8">
        <f>IFERROR(__xludf.DUMMYFUNCTION("""COMPUTED_VALUE"""),0.04)</f>
        <v>0.04</v>
      </c>
      <c r="E12790" s="8" t="str">
        <f>IFERROR(__xludf.DUMMYFUNCTION("""COMPUTED_VALUE"""),"Real")</f>
        <v>Real</v>
      </c>
      <c r="G12790" s="8">
        <f t="shared" si="1"/>
        <v>4</v>
      </c>
      <c r="H12790" s="14">
        <f t="shared" si="2"/>
        <v>16</v>
      </c>
      <c r="I12790" s="15">
        <f t="shared" si="3"/>
        <v>22</v>
      </c>
    </row>
    <row r="12791">
      <c r="A12791" s="8" t="str">
        <f>IFERROR(__xludf.DUMMYFUNCTION("IF('(INGESTA)Datos_consumo_datadis'!A12791&lt;&gt;"""",SPLIT('(INGESTA)Datos_consumo_datadis'!A:A,"",""),"""")"),"ES0031408323131005HX0F")</f>
        <v>ES0031408323131005HX0F</v>
      </c>
      <c r="B12791" s="12">
        <f>IFERROR(__xludf.DUMMYFUNCTION("""COMPUTED_VALUE"""),45398.0)</f>
        <v>45398</v>
      </c>
      <c r="C12791" s="13">
        <f>IFERROR(__xludf.DUMMYFUNCTION("""COMPUTED_VALUE"""),0.9583333333333334)</f>
        <v>0.9583333333</v>
      </c>
      <c r="D12791" s="8">
        <f>IFERROR(__xludf.DUMMYFUNCTION("""COMPUTED_VALUE"""),0.581)</f>
        <v>0.581</v>
      </c>
      <c r="E12791" s="8" t="str">
        <f>IFERROR(__xludf.DUMMYFUNCTION("""COMPUTED_VALUE"""),"Real")</f>
        <v>Real</v>
      </c>
      <c r="G12791" s="8">
        <f t="shared" si="1"/>
        <v>4</v>
      </c>
      <c r="H12791" s="14">
        <f t="shared" si="2"/>
        <v>16</v>
      </c>
      <c r="I12791" s="15">
        <f t="shared" si="3"/>
        <v>23</v>
      </c>
    </row>
    <row r="12792">
      <c r="A12792" s="8" t="str">
        <f>IFERROR(__xludf.DUMMYFUNCTION("IF('(INGESTA)Datos_consumo_datadis'!A12792&lt;&gt;"""",SPLIT('(INGESTA)Datos_consumo_datadis'!A:A,"",""),"""")"),"ES0031408323131005HX0F")</f>
        <v>ES0031408323131005HX0F</v>
      </c>
      <c r="B12792" s="12">
        <f>IFERROR(__xludf.DUMMYFUNCTION("""COMPUTED_VALUE"""),45398.0)</f>
        <v>45398</v>
      </c>
      <c r="C12792" s="16">
        <f>IFERROR(__xludf.DUMMYFUNCTION("""COMPUTED_VALUE"""),1.0)</f>
        <v>1</v>
      </c>
      <c r="D12792" s="8">
        <f>IFERROR(__xludf.DUMMYFUNCTION("""COMPUTED_VALUE"""),0.138)</f>
        <v>0.138</v>
      </c>
      <c r="E12792" s="8" t="str">
        <f>IFERROR(__xludf.DUMMYFUNCTION("""COMPUTED_VALUE"""),"Real")</f>
        <v>Real</v>
      </c>
      <c r="G12792" s="8">
        <f t="shared" si="1"/>
        <v>4</v>
      </c>
      <c r="H12792" s="14">
        <f t="shared" si="2"/>
        <v>16</v>
      </c>
      <c r="I12792" s="15">
        <f t="shared" si="3"/>
        <v>0</v>
      </c>
    </row>
    <row r="12793">
      <c r="A12793" s="8" t="str">
        <f>IFERROR(__xludf.DUMMYFUNCTION("IF('(INGESTA)Datos_consumo_datadis'!A12793&lt;&gt;"""",SPLIT('(INGESTA)Datos_consumo_datadis'!A:A,"",""),"""")"),"ES0031408323131005HX0F")</f>
        <v>ES0031408323131005HX0F</v>
      </c>
      <c r="B12793" s="12">
        <f>IFERROR(__xludf.DUMMYFUNCTION("""COMPUTED_VALUE"""),45399.0)</f>
        <v>45399</v>
      </c>
      <c r="C12793" s="13">
        <f>IFERROR(__xludf.DUMMYFUNCTION("""COMPUTED_VALUE"""),0.041666666666666664)</f>
        <v>0.04166666667</v>
      </c>
      <c r="D12793" s="8">
        <f>IFERROR(__xludf.DUMMYFUNCTION("""COMPUTED_VALUE"""),1.171)</f>
        <v>1.171</v>
      </c>
      <c r="E12793" s="8" t="str">
        <f>IFERROR(__xludf.DUMMYFUNCTION("""COMPUTED_VALUE"""),"Real")</f>
        <v>Real</v>
      </c>
      <c r="G12793" s="8">
        <f t="shared" si="1"/>
        <v>4</v>
      </c>
      <c r="H12793" s="14">
        <f t="shared" si="2"/>
        <v>17</v>
      </c>
      <c r="I12793" s="15">
        <f t="shared" si="3"/>
        <v>1</v>
      </c>
    </row>
    <row r="12794">
      <c r="A12794" s="8" t="str">
        <f>IFERROR(__xludf.DUMMYFUNCTION("IF('(INGESTA)Datos_consumo_datadis'!A12794&lt;&gt;"""",SPLIT('(INGESTA)Datos_consumo_datadis'!A:A,"",""),"""")"),"ES0031408323131005HX0F")</f>
        <v>ES0031408323131005HX0F</v>
      </c>
      <c r="B12794" s="12">
        <f>IFERROR(__xludf.DUMMYFUNCTION("""COMPUTED_VALUE"""),45399.0)</f>
        <v>45399</v>
      </c>
      <c r="C12794" s="13">
        <f>IFERROR(__xludf.DUMMYFUNCTION("""COMPUTED_VALUE"""),0.08333333333333333)</f>
        <v>0.08333333333</v>
      </c>
      <c r="D12794" s="8">
        <f>IFERROR(__xludf.DUMMYFUNCTION("""COMPUTED_VALUE"""),1.349)</f>
        <v>1.349</v>
      </c>
      <c r="E12794" s="8" t="str">
        <f>IFERROR(__xludf.DUMMYFUNCTION("""COMPUTED_VALUE"""),"Real")</f>
        <v>Real</v>
      </c>
      <c r="G12794" s="8">
        <f t="shared" si="1"/>
        <v>4</v>
      </c>
      <c r="H12794" s="14">
        <f t="shared" si="2"/>
        <v>17</v>
      </c>
      <c r="I12794" s="15">
        <f t="shared" si="3"/>
        <v>2</v>
      </c>
    </row>
    <row r="12795">
      <c r="A12795" s="8" t="str">
        <f>IFERROR(__xludf.DUMMYFUNCTION("IF('(INGESTA)Datos_consumo_datadis'!A12795&lt;&gt;"""",SPLIT('(INGESTA)Datos_consumo_datadis'!A:A,"",""),"""")"),"ES0031408323131005HX0F")</f>
        <v>ES0031408323131005HX0F</v>
      </c>
      <c r="B12795" s="12">
        <f>IFERROR(__xludf.DUMMYFUNCTION("""COMPUTED_VALUE"""),45399.0)</f>
        <v>45399</v>
      </c>
      <c r="C12795" s="13">
        <f>IFERROR(__xludf.DUMMYFUNCTION("""COMPUTED_VALUE"""),0.125)</f>
        <v>0.125</v>
      </c>
      <c r="D12795" s="8">
        <f>IFERROR(__xludf.DUMMYFUNCTION("""COMPUTED_VALUE"""),0.931)</f>
        <v>0.931</v>
      </c>
      <c r="E12795" s="8" t="str">
        <f>IFERROR(__xludf.DUMMYFUNCTION("""COMPUTED_VALUE"""),"Real")</f>
        <v>Real</v>
      </c>
      <c r="G12795" s="8">
        <f t="shared" si="1"/>
        <v>4</v>
      </c>
      <c r="H12795" s="14">
        <f t="shared" si="2"/>
        <v>17</v>
      </c>
      <c r="I12795" s="15">
        <f t="shared" si="3"/>
        <v>3</v>
      </c>
    </row>
    <row r="12796">
      <c r="A12796" s="8" t="str">
        <f>IFERROR(__xludf.DUMMYFUNCTION("IF('(INGESTA)Datos_consumo_datadis'!A12796&lt;&gt;"""",SPLIT('(INGESTA)Datos_consumo_datadis'!A:A,"",""),"""")"),"ES0031408323131005HX0F")</f>
        <v>ES0031408323131005HX0F</v>
      </c>
      <c r="B12796" s="12">
        <f>IFERROR(__xludf.DUMMYFUNCTION("""COMPUTED_VALUE"""),45399.0)</f>
        <v>45399</v>
      </c>
      <c r="C12796" s="13">
        <f>IFERROR(__xludf.DUMMYFUNCTION("""COMPUTED_VALUE"""),0.16666666666666666)</f>
        <v>0.1666666667</v>
      </c>
      <c r="D12796" s="8">
        <f>IFERROR(__xludf.DUMMYFUNCTION("""COMPUTED_VALUE"""),1.001)</f>
        <v>1.001</v>
      </c>
      <c r="E12796" s="8" t="str">
        <f>IFERROR(__xludf.DUMMYFUNCTION("""COMPUTED_VALUE"""),"Real")</f>
        <v>Real</v>
      </c>
      <c r="G12796" s="8">
        <f t="shared" si="1"/>
        <v>4</v>
      </c>
      <c r="H12796" s="14">
        <f t="shared" si="2"/>
        <v>17</v>
      </c>
      <c r="I12796" s="15">
        <f t="shared" si="3"/>
        <v>4</v>
      </c>
    </row>
    <row r="12797">
      <c r="A12797" s="8" t="str">
        <f>IFERROR(__xludf.DUMMYFUNCTION("IF('(INGESTA)Datos_consumo_datadis'!A12797&lt;&gt;"""",SPLIT('(INGESTA)Datos_consumo_datadis'!A:A,"",""),"""")"),"ES0031408323131005HX0F")</f>
        <v>ES0031408323131005HX0F</v>
      </c>
      <c r="B12797" s="12">
        <f>IFERROR(__xludf.DUMMYFUNCTION("""COMPUTED_VALUE"""),45399.0)</f>
        <v>45399</v>
      </c>
      <c r="C12797" s="13">
        <f>IFERROR(__xludf.DUMMYFUNCTION("""COMPUTED_VALUE"""),0.20833333333333334)</f>
        <v>0.2083333333</v>
      </c>
      <c r="D12797" s="8">
        <f>IFERROR(__xludf.DUMMYFUNCTION("""COMPUTED_VALUE"""),0.883)</f>
        <v>0.883</v>
      </c>
      <c r="E12797" s="8" t="str">
        <f>IFERROR(__xludf.DUMMYFUNCTION("""COMPUTED_VALUE"""),"Real")</f>
        <v>Real</v>
      </c>
      <c r="G12797" s="8">
        <f t="shared" si="1"/>
        <v>4</v>
      </c>
      <c r="H12797" s="14">
        <f t="shared" si="2"/>
        <v>17</v>
      </c>
      <c r="I12797" s="15">
        <f t="shared" si="3"/>
        <v>5</v>
      </c>
    </row>
    <row r="12798">
      <c r="A12798" s="8" t="str">
        <f>IFERROR(__xludf.DUMMYFUNCTION("IF('(INGESTA)Datos_consumo_datadis'!A12798&lt;&gt;"""",SPLIT('(INGESTA)Datos_consumo_datadis'!A:A,"",""),"""")"),"ES0031408323131005HX0F")</f>
        <v>ES0031408323131005HX0F</v>
      </c>
      <c r="B12798" s="12">
        <f>IFERROR(__xludf.DUMMYFUNCTION("""COMPUTED_VALUE"""),45399.0)</f>
        <v>45399</v>
      </c>
      <c r="C12798" s="13">
        <f>IFERROR(__xludf.DUMMYFUNCTION("""COMPUTED_VALUE"""),0.25)</f>
        <v>0.25</v>
      </c>
      <c r="D12798" s="8">
        <f>IFERROR(__xludf.DUMMYFUNCTION("""COMPUTED_VALUE"""),0.544)</f>
        <v>0.544</v>
      </c>
      <c r="E12798" s="8" t="str">
        <f>IFERROR(__xludf.DUMMYFUNCTION("""COMPUTED_VALUE"""),"Real")</f>
        <v>Real</v>
      </c>
      <c r="G12798" s="8">
        <f t="shared" si="1"/>
        <v>4</v>
      </c>
      <c r="H12798" s="14">
        <f t="shared" si="2"/>
        <v>17</v>
      </c>
      <c r="I12798" s="15">
        <f t="shared" si="3"/>
        <v>6</v>
      </c>
    </row>
    <row r="12799">
      <c r="A12799" s="8" t="str">
        <f>IFERROR(__xludf.DUMMYFUNCTION("IF('(INGESTA)Datos_consumo_datadis'!A12799&lt;&gt;"""",SPLIT('(INGESTA)Datos_consumo_datadis'!A:A,"",""),"""")"),"ES0031408323131005HX0F")</f>
        <v>ES0031408323131005HX0F</v>
      </c>
      <c r="B12799" s="12">
        <f>IFERROR(__xludf.DUMMYFUNCTION("""COMPUTED_VALUE"""),45399.0)</f>
        <v>45399</v>
      </c>
      <c r="C12799" s="13">
        <f>IFERROR(__xludf.DUMMYFUNCTION("""COMPUTED_VALUE"""),0.2916666666666667)</f>
        <v>0.2916666667</v>
      </c>
      <c r="D12799" s="8">
        <f>IFERROR(__xludf.DUMMYFUNCTION("""COMPUTED_VALUE"""),0.056)</f>
        <v>0.056</v>
      </c>
      <c r="E12799" s="8" t="str">
        <f>IFERROR(__xludf.DUMMYFUNCTION("""COMPUTED_VALUE"""),"Real")</f>
        <v>Real</v>
      </c>
      <c r="G12799" s="8">
        <f t="shared" si="1"/>
        <v>4</v>
      </c>
      <c r="H12799" s="14">
        <f t="shared" si="2"/>
        <v>17</v>
      </c>
      <c r="I12799" s="15">
        <f t="shared" si="3"/>
        <v>7</v>
      </c>
    </row>
    <row r="12800">
      <c r="A12800" s="8" t="str">
        <f>IFERROR(__xludf.DUMMYFUNCTION("IF('(INGESTA)Datos_consumo_datadis'!A12800&lt;&gt;"""",SPLIT('(INGESTA)Datos_consumo_datadis'!A:A,"",""),"""")"),"ES0031408323131005HX0F")</f>
        <v>ES0031408323131005HX0F</v>
      </c>
      <c r="B12800" s="12">
        <f>IFERROR(__xludf.DUMMYFUNCTION("""COMPUTED_VALUE"""),45399.0)</f>
        <v>45399</v>
      </c>
      <c r="C12800" s="13">
        <f>IFERROR(__xludf.DUMMYFUNCTION("""COMPUTED_VALUE"""),0.3333333333333333)</f>
        <v>0.3333333333</v>
      </c>
      <c r="D12800" s="8">
        <f>IFERROR(__xludf.DUMMYFUNCTION("""COMPUTED_VALUE"""),0.082)</f>
        <v>0.082</v>
      </c>
      <c r="E12800" s="8" t="str">
        <f>IFERROR(__xludf.DUMMYFUNCTION("""COMPUTED_VALUE"""),"Real")</f>
        <v>Real</v>
      </c>
      <c r="G12800" s="8">
        <f t="shared" si="1"/>
        <v>4</v>
      </c>
      <c r="H12800" s="14">
        <f t="shared" si="2"/>
        <v>17</v>
      </c>
      <c r="I12800" s="15">
        <f t="shared" si="3"/>
        <v>8</v>
      </c>
    </row>
    <row r="12801">
      <c r="A12801" s="8" t="str">
        <f>IFERROR(__xludf.DUMMYFUNCTION("IF('(INGESTA)Datos_consumo_datadis'!A12801&lt;&gt;"""",SPLIT('(INGESTA)Datos_consumo_datadis'!A:A,"",""),"""")"),"ES0031408323131005HX0F")</f>
        <v>ES0031408323131005HX0F</v>
      </c>
      <c r="B12801" s="12">
        <f>IFERROR(__xludf.DUMMYFUNCTION("""COMPUTED_VALUE"""),45399.0)</f>
        <v>45399</v>
      </c>
      <c r="C12801" s="13">
        <f>IFERROR(__xludf.DUMMYFUNCTION("""COMPUTED_VALUE"""),0.375)</f>
        <v>0.375</v>
      </c>
      <c r="D12801" s="8">
        <f>IFERROR(__xludf.DUMMYFUNCTION("""COMPUTED_VALUE"""),0.047)</f>
        <v>0.047</v>
      </c>
      <c r="E12801" s="8" t="str">
        <f>IFERROR(__xludf.DUMMYFUNCTION("""COMPUTED_VALUE"""),"Real")</f>
        <v>Real</v>
      </c>
      <c r="G12801" s="8">
        <f t="shared" si="1"/>
        <v>4</v>
      </c>
      <c r="H12801" s="14">
        <f t="shared" si="2"/>
        <v>17</v>
      </c>
      <c r="I12801" s="15">
        <f t="shared" si="3"/>
        <v>9</v>
      </c>
    </row>
    <row r="12802">
      <c r="A12802" s="8" t="str">
        <f>IFERROR(__xludf.DUMMYFUNCTION("IF('(INGESTA)Datos_consumo_datadis'!A12802&lt;&gt;"""",SPLIT('(INGESTA)Datos_consumo_datadis'!A:A,"",""),"""")"),"ES0031408323131005HX0F")</f>
        <v>ES0031408323131005HX0F</v>
      </c>
      <c r="B12802" s="12">
        <f>IFERROR(__xludf.DUMMYFUNCTION("""COMPUTED_VALUE"""),45399.0)</f>
        <v>45399</v>
      </c>
      <c r="C12802" s="13">
        <f>IFERROR(__xludf.DUMMYFUNCTION("""COMPUTED_VALUE"""),0.4166666666666667)</f>
        <v>0.4166666667</v>
      </c>
      <c r="D12802" s="8">
        <f>IFERROR(__xludf.DUMMYFUNCTION("""COMPUTED_VALUE"""),0.08)</f>
        <v>0.08</v>
      </c>
      <c r="E12802" s="8" t="str">
        <f>IFERROR(__xludf.DUMMYFUNCTION("""COMPUTED_VALUE"""),"Real")</f>
        <v>Real</v>
      </c>
      <c r="G12802" s="8">
        <f t="shared" si="1"/>
        <v>4</v>
      </c>
      <c r="H12802" s="14">
        <f t="shared" si="2"/>
        <v>17</v>
      </c>
      <c r="I12802" s="15">
        <f t="shared" si="3"/>
        <v>10</v>
      </c>
    </row>
    <row r="12803">
      <c r="A12803" s="8" t="str">
        <f>IFERROR(__xludf.DUMMYFUNCTION("IF('(INGESTA)Datos_consumo_datadis'!A12803&lt;&gt;"""",SPLIT('(INGESTA)Datos_consumo_datadis'!A:A,"",""),"""")"),"ES0031408323131005HX0F")</f>
        <v>ES0031408323131005HX0F</v>
      </c>
      <c r="B12803" s="12">
        <f>IFERROR(__xludf.DUMMYFUNCTION("""COMPUTED_VALUE"""),45399.0)</f>
        <v>45399</v>
      </c>
      <c r="C12803" s="13">
        <f>IFERROR(__xludf.DUMMYFUNCTION("""COMPUTED_VALUE"""),0.4583333333333333)</f>
        <v>0.4583333333</v>
      </c>
      <c r="D12803" s="8">
        <f>IFERROR(__xludf.DUMMYFUNCTION("""COMPUTED_VALUE"""),0.057)</f>
        <v>0.057</v>
      </c>
      <c r="E12803" s="8" t="str">
        <f>IFERROR(__xludf.DUMMYFUNCTION("""COMPUTED_VALUE"""),"Real")</f>
        <v>Real</v>
      </c>
      <c r="G12803" s="8">
        <f t="shared" si="1"/>
        <v>4</v>
      </c>
      <c r="H12803" s="14">
        <f t="shared" si="2"/>
        <v>17</v>
      </c>
      <c r="I12803" s="15">
        <f t="shared" si="3"/>
        <v>11</v>
      </c>
    </row>
    <row r="12804">
      <c r="A12804" s="8" t="str">
        <f>IFERROR(__xludf.DUMMYFUNCTION("IF('(INGESTA)Datos_consumo_datadis'!A12804&lt;&gt;"""",SPLIT('(INGESTA)Datos_consumo_datadis'!A:A,"",""),"""")"),"ES0031408323131005HX0F")</f>
        <v>ES0031408323131005HX0F</v>
      </c>
      <c r="B12804" s="12">
        <f>IFERROR(__xludf.DUMMYFUNCTION("""COMPUTED_VALUE"""),45399.0)</f>
        <v>45399</v>
      </c>
      <c r="C12804" s="13">
        <f>IFERROR(__xludf.DUMMYFUNCTION("""COMPUTED_VALUE"""),0.5)</f>
        <v>0.5</v>
      </c>
      <c r="D12804" s="8">
        <f>IFERROR(__xludf.DUMMYFUNCTION("""COMPUTED_VALUE"""),0.08)</f>
        <v>0.08</v>
      </c>
      <c r="E12804" s="8" t="str">
        <f>IFERROR(__xludf.DUMMYFUNCTION("""COMPUTED_VALUE"""),"Real")</f>
        <v>Real</v>
      </c>
      <c r="G12804" s="8">
        <f t="shared" si="1"/>
        <v>4</v>
      </c>
      <c r="H12804" s="14">
        <f t="shared" si="2"/>
        <v>17</v>
      </c>
      <c r="I12804" s="15">
        <f t="shared" si="3"/>
        <v>12</v>
      </c>
    </row>
    <row r="12805">
      <c r="A12805" s="8" t="str">
        <f>IFERROR(__xludf.DUMMYFUNCTION("IF('(INGESTA)Datos_consumo_datadis'!A12805&lt;&gt;"""",SPLIT('(INGESTA)Datos_consumo_datadis'!A:A,"",""),"""")"),"ES0031408323131005HX0F")</f>
        <v>ES0031408323131005HX0F</v>
      </c>
      <c r="B12805" s="12">
        <f>IFERROR(__xludf.DUMMYFUNCTION("""COMPUTED_VALUE"""),45399.0)</f>
        <v>45399</v>
      </c>
      <c r="C12805" s="13">
        <f>IFERROR(__xludf.DUMMYFUNCTION("""COMPUTED_VALUE"""),0.5416666666666666)</f>
        <v>0.5416666667</v>
      </c>
      <c r="D12805" s="8">
        <f>IFERROR(__xludf.DUMMYFUNCTION("""COMPUTED_VALUE"""),0.322)</f>
        <v>0.322</v>
      </c>
      <c r="E12805" s="8" t="str">
        <f>IFERROR(__xludf.DUMMYFUNCTION("""COMPUTED_VALUE"""),"Real")</f>
        <v>Real</v>
      </c>
      <c r="G12805" s="8">
        <f t="shared" si="1"/>
        <v>4</v>
      </c>
      <c r="H12805" s="14">
        <f t="shared" si="2"/>
        <v>17</v>
      </c>
      <c r="I12805" s="15">
        <f t="shared" si="3"/>
        <v>13</v>
      </c>
    </row>
    <row r="12806">
      <c r="A12806" s="8" t="str">
        <f>IFERROR(__xludf.DUMMYFUNCTION("IF('(INGESTA)Datos_consumo_datadis'!A12806&lt;&gt;"""",SPLIT('(INGESTA)Datos_consumo_datadis'!A:A,"",""),"""")"),"ES0031408323131005HX0F")</f>
        <v>ES0031408323131005HX0F</v>
      </c>
      <c r="B12806" s="12">
        <f>IFERROR(__xludf.DUMMYFUNCTION("""COMPUTED_VALUE"""),45399.0)</f>
        <v>45399</v>
      </c>
      <c r="C12806" s="13">
        <f>IFERROR(__xludf.DUMMYFUNCTION("""COMPUTED_VALUE"""),0.5833333333333334)</f>
        <v>0.5833333333</v>
      </c>
      <c r="D12806" s="8">
        <f>IFERROR(__xludf.DUMMYFUNCTION("""COMPUTED_VALUE"""),0.073)</f>
        <v>0.073</v>
      </c>
      <c r="E12806" s="8" t="str">
        <f>IFERROR(__xludf.DUMMYFUNCTION("""COMPUTED_VALUE"""),"Real")</f>
        <v>Real</v>
      </c>
      <c r="G12806" s="8">
        <f t="shared" si="1"/>
        <v>4</v>
      </c>
      <c r="H12806" s="14">
        <f t="shared" si="2"/>
        <v>17</v>
      </c>
      <c r="I12806" s="15">
        <f t="shared" si="3"/>
        <v>14</v>
      </c>
    </row>
    <row r="12807">
      <c r="A12807" s="8" t="str">
        <f>IFERROR(__xludf.DUMMYFUNCTION("IF('(INGESTA)Datos_consumo_datadis'!A12807&lt;&gt;"""",SPLIT('(INGESTA)Datos_consumo_datadis'!A:A,"",""),"""")"),"ES0031408323131005HX0F")</f>
        <v>ES0031408323131005HX0F</v>
      </c>
      <c r="B12807" s="12">
        <f>IFERROR(__xludf.DUMMYFUNCTION("""COMPUTED_VALUE"""),45399.0)</f>
        <v>45399</v>
      </c>
      <c r="C12807" s="13">
        <f>IFERROR(__xludf.DUMMYFUNCTION("""COMPUTED_VALUE"""),0.625)</f>
        <v>0.625</v>
      </c>
      <c r="D12807" s="8">
        <f>IFERROR(__xludf.DUMMYFUNCTION("""COMPUTED_VALUE"""),0.472)</f>
        <v>0.472</v>
      </c>
      <c r="E12807" s="8" t="str">
        <f>IFERROR(__xludf.DUMMYFUNCTION("""COMPUTED_VALUE"""),"Real")</f>
        <v>Real</v>
      </c>
      <c r="G12807" s="8">
        <f t="shared" si="1"/>
        <v>4</v>
      </c>
      <c r="H12807" s="14">
        <f t="shared" si="2"/>
        <v>17</v>
      </c>
      <c r="I12807" s="15">
        <f t="shared" si="3"/>
        <v>15</v>
      </c>
    </row>
    <row r="12808">
      <c r="A12808" s="8" t="str">
        <f>IFERROR(__xludf.DUMMYFUNCTION("IF('(INGESTA)Datos_consumo_datadis'!A12808&lt;&gt;"""",SPLIT('(INGESTA)Datos_consumo_datadis'!A:A,"",""),"""")"),"ES0031408323131005HX0F")</f>
        <v>ES0031408323131005HX0F</v>
      </c>
      <c r="B12808" s="12">
        <f>IFERROR(__xludf.DUMMYFUNCTION("""COMPUTED_VALUE"""),45399.0)</f>
        <v>45399</v>
      </c>
      <c r="C12808" s="13">
        <f>IFERROR(__xludf.DUMMYFUNCTION("""COMPUTED_VALUE"""),0.6666666666666666)</f>
        <v>0.6666666667</v>
      </c>
      <c r="D12808" s="8">
        <f>IFERROR(__xludf.DUMMYFUNCTION("""COMPUTED_VALUE"""),0.702)</f>
        <v>0.702</v>
      </c>
      <c r="E12808" s="8" t="str">
        <f>IFERROR(__xludf.DUMMYFUNCTION("""COMPUTED_VALUE"""),"Real")</f>
        <v>Real</v>
      </c>
      <c r="G12808" s="8">
        <f t="shared" si="1"/>
        <v>4</v>
      </c>
      <c r="H12808" s="14">
        <f t="shared" si="2"/>
        <v>17</v>
      </c>
      <c r="I12808" s="15">
        <f t="shared" si="3"/>
        <v>16</v>
      </c>
    </row>
    <row r="12809">
      <c r="A12809" s="8" t="str">
        <f>IFERROR(__xludf.DUMMYFUNCTION("IF('(INGESTA)Datos_consumo_datadis'!A12809&lt;&gt;"""",SPLIT('(INGESTA)Datos_consumo_datadis'!A:A,"",""),"""")"),"ES0031408323131005HX0F")</f>
        <v>ES0031408323131005HX0F</v>
      </c>
      <c r="B12809" s="12">
        <f>IFERROR(__xludf.DUMMYFUNCTION("""COMPUTED_VALUE"""),45399.0)</f>
        <v>45399</v>
      </c>
      <c r="C12809" s="13">
        <f>IFERROR(__xludf.DUMMYFUNCTION("""COMPUTED_VALUE"""),0.7083333333333334)</f>
        <v>0.7083333333</v>
      </c>
      <c r="D12809" s="8">
        <f>IFERROR(__xludf.DUMMYFUNCTION("""COMPUTED_VALUE"""),0.206)</f>
        <v>0.206</v>
      </c>
      <c r="E12809" s="8" t="str">
        <f>IFERROR(__xludf.DUMMYFUNCTION("""COMPUTED_VALUE"""),"Real")</f>
        <v>Real</v>
      </c>
      <c r="G12809" s="8">
        <f t="shared" si="1"/>
        <v>4</v>
      </c>
      <c r="H12809" s="14">
        <f t="shared" si="2"/>
        <v>17</v>
      </c>
      <c r="I12809" s="15">
        <f t="shared" si="3"/>
        <v>17</v>
      </c>
    </row>
    <row r="12810">
      <c r="A12810" s="8" t="str">
        <f>IFERROR(__xludf.DUMMYFUNCTION("IF('(INGESTA)Datos_consumo_datadis'!A12810&lt;&gt;"""",SPLIT('(INGESTA)Datos_consumo_datadis'!A:A,"",""),"""")"),"ES0031408323131005HX0F")</f>
        <v>ES0031408323131005HX0F</v>
      </c>
      <c r="B12810" s="12">
        <f>IFERROR(__xludf.DUMMYFUNCTION("""COMPUTED_VALUE"""),45399.0)</f>
        <v>45399</v>
      </c>
      <c r="C12810" s="13">
        <f>IFERROR(__xludf.DUMMYFUNCTION("""COMPUTED_VALUE"""),0.75)</f>
        <v>0.75</v>
      </c>
      <c r="D12810" s="8">
        <f>IFERROR(__xludf.DUMMYFUNCTION("""COMPUTED_VALUE"""),1.757)</f>
        <v>1.757</v>
      </c>
      <c r="E12810" s="8" t="str">
        <f>IFERROR(__xludf.DUMMYFUNCTION("""COMPUTED_VALUE"""),"Real")</f>
        <v>Real</v>
      </c>
      <c r="G12810" s="8">
        <f t="shared" si="1"/>
        <v>4</v>
      </c>
      <c r="H12810" s="14">
        <f t="shared" si="2"/>
        <v>17</v>
      </c>
      <c r="I12810" s="15">
        <f t="shared" si="3"/>
        <v>18</v>
      </c>
    </row>
    <row r="12811">
      <c r="A12811" s="8" t="str">
        <f>IFERROR(__xludf.DUMMYFUNCTION("IF('(INGESTA)Datos_consumo_datadis'!A12811&lt;&gt;"""",SPLIT('(INGESTA)Datos_consumo_datadis'!A:A,"",""),"""")"),"ES0031408323131005HX0F")</f>
        <v>ES0031408323131005HX0F</v>
      </c>
      <c r="B12811" s="12">
        <f>IFERROR(__xludf.DUMMYFUNCTION("""COMPUTED_VALUE"""),45399.0)</f>
        <v>45399</v>
      </c>
      <c r="C12811" s="13">
        <f>IFERROR(__xludf.DUMMYFUNCTION("""COMPUTED_VALUE"""),0.7916666666666666)</f>
        <v>0.7916666667</v>
      </c>
      <c r="D12811" s="8">
        <f>IFERROR(__xludf.DUMMYFUNCTION("""COMPUTED_VALUE"""),0.359)</f>
        <v>0.359</v>
      </c>
      <c r="E12811" s="8" t="str">
        <f>IFERROR(__xludf.DUMMYFUNCTION("""COMPUTED_VALUE"""),"Real")</f>
        <v>Real</v>
      </c>
      <c r="G12811" s="8">
        <f t="shared" si="1"/>
        <v>4</v>
      </c>
      <c r="H12811" s="14">
        <f t="shared" si="2"/>
        <v>17</v>
      </c>
      <c r="I12811" s="15">
        <f t="shared" si="3"/>
        <v>19</v>
      </c>
    </row>
    <row r="12812">
      <c r="A12812" s="8" t="str">
        <f>IFERROR(__xludf.DUMMYFUNCTION("IF('(INGESTA)Datos_consumo_datadis'!A12812&lt;&gt;"""",SPLIT('(INGESTA)Datos_consumo_datadis'!A:A,"",""),"""")"),"ES0031408323131005HX0F")</f>
        <v>ES0031408323131005HX0F</v>
      </c>
      <c r="B12812" s="12">
        <f>IFERROR(__xludf.DUMMYFUNCTION("""COMPUTED_VALUE"""),45399.0)</f>
        <v>45399</v>
      </c>
      <c r="C12812" s="13">
        <f>IFERROR(__xludf.DUMMYFUNCTION("""COMPUTED_VALUE"""),0.8333333333333334)</f>
        <v>0.8333333333</v>
      </c>
      <c r="D12812" s="8">
        <f>IFERROR(__xludf.DUMMYFUNCTION("""COMPUTED_VALUE"""),0.074)</f>
        <v>0.074</v>
      </c>
      <c r="E12812" s="8" t="str">
        <f>IFERROR(__xludf.DUMMYFUNCTION("""COMPUTED_VALUE"""),"Real")</f>
        <v>Real</v>
      </c>
      <c r="G12812" s="8">
        <f t="shared" si="1"/>
        <v>4</v>
      </c>
      <c r="H12812" s="14">
        <f t="shared" si="2"/>
        <v>17</v>
      </c>
      <c r="I12812" s="15">
        <f t="shared" si="3"/>
        <v>20</v>
      </c>
    </row>
    <row r="12813">
      <c r="A12813" s="8" t="str">
        <f>IFERROR(__xludf.DUMMYFUNCTION("IF('(INGESTA)Datos_consumo_datadis'!A12813&lt;&gt;"""",SPLIT('(INGESTA)Datos_consumo_datadis'!A:A,"",""),"""")"),"ES0031408323131005HX0F")</f>
        <v>ES0031408323131005HX0F</v>
      </c>
      <c r="B12813" s="12">
        <f>IFERROR(__xludf.DUMMYFUNCTION("""COMPUTED_VALUE"""),45399.0)</f>
        <v>45399</v>
      </c>
      <c r="C12813" s="13">
        <f>IFERROR(__xludf.DUMMYFUNCTION("""COMPUTED_VALUE"""),0.875)</f>
        <v>0.875</v>
      </c>
      <c r="D12813" s="8">
        <f>IFERROR(__xludf.DUMMYFUNCTION("""COMPUTED_VALUE"""),1.197)</f>
        <v>1.197</v>
      </c>
      <c r="E12813" s="8" t="str">
        <f>IFERROR(__xludf.DUMMYFUNCTION("""COMPUTED_VALUE"""),"Real")</f>
        <v>Real</v>
      </c>
      <c r="G12813" s="8">
        <f t="shared" si="1"/>
        <v>4</v>
      </c>
      <c r="H12813" s="14">
        <f t="shared" si="2"/>
        <v>17</v>
      </c>
      <c r="I12813" s="15">
        <f t="shared" si="3"/>
        <v>21</v>
      </c>
    </row>
    <row r="12814">
      <c r="A12814" s="8" t="str">
        <f>IFERROR(__xludf.DUMMYFUNCTION("IF('(INGESTA)Datos_consumo_datadis'!A12814&lt;&gt;"""",SPLIT('(INGESTA)Datos_consumo_datadis'!A:A,"",""),"""")"),"ES0031408323131005HX0F")</f>
        <v>ES0031408323131005HX0F</v>
      </c>
      <c r="B12814" s="12">
        <f>IFERROR(__xludf.DUMMYFUNCTION("""COMPUTED_VALUE"""),45399.0)</f>
        <v>45399</v>
      </c>
      <c r="C12814" s="13">
        <f>IFERROR(__xludf.DUMMYFUNCTION("""COMPUTED_VALUE"""),0.9166666666666666)</f>
        <v>0.9166666667</v>
      </c>
      <c r="D12814" s="8">
        <f>IFERROR(__xludf.DUMMYFUNCTION("""COMPUTED_VALUE"""),0.273)</f>
        <v>0.273</v>
      </c>
      <c r="E12814" s="8" t="str">
        <f>IFERROR(__xludf.DUMMYFUNCTION("""COMPUTED_VALUE"""),"Real")</f>
        <v>Real</v>
      </c>
      <c r="G12814" s="8">
        <f t="shared" si="1"/>
        <v>4</v>
      </c>
      <c r="H12814" s="14">
        <f t="shared" si="2"/>
        <v>17</v>
      </c>
      <c r="I12814" s="15">
        <f t="shared" si="3"/>
        <v>22</v>
      </c>
    </row>
    <row r="12815">
      <c r="A12815" s="8" t="str">
        <f>IFERROR(__xludf.DUMMYFUNCTION("IF('(INGESTA)Datos_consumo_datadis'!A12815&lt;&gt;"""",SPLIT('(INGESTA)Datos_consumo_datadis'!A:A,"",""),"""")"),"ES0031408323131005HX0F")</f>
        <v>ES0031408323131005HX0F</v>
      </c>
      <c r="B12815" s="12">
        <f>IFERROR(__xludf.DUMMYFUNCTION("""COMPUTED_VALUE"""),45399.0)</f>
        <v>45399</v>
      </c>
      <c r="C12815" s="13">
        <f>IFERROR(__xludf.DUMMYFUNCTION("""COMPUTED_VALUE"""),0.9583333333333334)</f>
        <v>0.9583333333</v>
      </c>
      <c r="D12815" s="8">
        <f>IFERROR(__xludf.DUMMYFUNCTION("""COMPUTED_VALUE"""),1.208)</f>
        <v>1.208</v>
      </c>
      <c r="E12815" s="8" t="str">
        <f>IFERROR(__xludf.DUMMYFUNCTION("""COMPUTED_VALUE"""),"Real")</f>
        <v>Real</v>
      </c>
      <c r="G12815" s="8">
        <f t="shared" si="1"/>
        <v>4</v>
      </c>
      <c r="H12815" s="14">
        <f t="shared" si="2"/>
        <v>17</v>
      </c>
      <c r="I12815" s="15">
        <f t="shared" si="3"/>
        <v>23</v>
      </c>
    </row>
    <row r="12816">
      <c r="A12816" s="8" t="str">
        <f>IFERROR(__xludf.DUMMYFUNCTION("IF('(INGESTA)Datos_consumo_datadis'!A12816&lt;&gt;"""",SPLIT('(INGESTA)Datos_consumo_datadis'!A:A,"",""),"""")"),"ES0031408323131005HX0F")</f>
        <v>ES0031408323131005HX0F</v>
      </c>
      <c r="B12816" s="12">
        <f>IFERROR(__xludf.DUMMYFUNCTION("""COMPUTED_VALUE"""),45399.0)</f>
        <v>45399</v>
      </c>
      <c r="C12816" s="16">
        <f>IFERROR(__xludf.DUMMYFUNCTION("""COMPUTED_VALUE"""),1.0)</f>
        <v>1</v>
      </c>
      <c r="D12816" s="8">
        <f>IFERROR(__xludf.DUMMYFUNCTION("""COMPUTED_VALUE"""),0.209)</f>
        <v>0.209</v>
      </c>
      <c r="E12816" s="8" t="str">
        <f>IFERROR(__xludf.DUMMYFUNCTION("""COMPUTED_VALUE"""),"Real")</f>
        <v>Real</v>
      </c>
      <c r="G12816" s="8">
        <f t="shared" si="1"/>
        <v>4</v>
      </c>
      <c r="H12816" s="14">
        <f t="shared" si="2"/>
        <v>17</v>
      </c>
      <c r="I12816" s="15">
        <f t="shared" si="3"/>
        <v>0</v>
      </c>
    </row>
    <row r="12817">
      <c r="A12817" s="8" t="str">
        <f>IFERROR(__xludf.DUMMYFUNCTION("IF('(INGESTA)Datos_consumo_datadis'!A12817&lt;&gt;"""",SPLIT('(INGESTA)Datos_consumo_datadis'!A:A,"",""),"""")"),"ES0031408323131005HX0F")</f>
        <v>ES0031408323131005HX0F</v>
      </c>
      <c r="B12817" s="12">
        <f>IFERROR(__xludf.DUMMYFUNCTION("""COMPUTED_VALUE"""),45400.0)</f>
        <v>45400</v>
      </c>
      <c r="C12817" s="13">
        <f>IFERROR(__xludf.DUMMYFUNCTION("""COMPUTED_VALUE"""),0.041666666666666664)</f>
        <v>0.04166666667</v>
      </c>
      <c r="D12817" s="8">
        <f>IFERROR(__xludf.DUMMYFUNCTION("""COMPUTED_VALUE"""),0.096)</f>
        <v>0.096</v>
      </c>
      <c r="E12817" s="8" t="str">
        <f>IFERROR(__xludf.DUMMYFUNCTION("""COMPUTED_VALUE"""),"Real")</f>
        <v>Real</v>
      </c>
      <c r="G12817" s="8">
        <f t="shared" si="1"/>
        <v>4</v>
      </c>
      <c r="H12817" s="14">
        <f t="shared" si="2"/>
        <v>18</v>
      </c>
      <c r="I12817" s="15">
        <f t="shared" si="3"/>
        <v>1</v>
      </c>
    </row>
    <row r="12818">
      <c r="A12818" s="8" t="str">
        <f>IFERROR(__xludf.DUMMYFUNCTION("IF('(INGESTA)Datos_consumo_datadis'!A12818&lt;&gt;"""",SPLIT('(INGESTA)Datos_consumo_datadis'!A:A,"",""),"""")"),"ES0031408323131005HX0F")</f>
        <v>ES0031408323131005HX0F</v>
      </c>
      <c r="B12818" s="12">
        <f>IFERROR(__xludf.DUMMYFUNCTION("""COMPUTED_VALUE"""),45400.0)</f>
        <v>45400</v>
      </c>
      <c r="C12818" s="13">
        <f>IFERROR(__xludf.DUMMYFUNCTION("""COMPUTED_VALUE"""),0.08333333333333333)</f>
        <v>0.08333333333</v>
      </c>
      <c r="D12818" s="8">
        <f>IFERROR(__xludf.DUMMYFUNCTION("""COMPUTED_VALUE"""),0.054)</f>
        <v>0.054</v>
      </c>
      <c r="E12818" s="8" t="str">
        <f>IFERROR(__xludf.DUMMYFUNCTION("""COMPUTED_VALUE"""),"Real")</f>
        <v>Real</v>
      </c>
      <c r="G12818" s="8">
        <f t="shared" si="1"/>
        <v>4</v>
      </c>
      <c r="H12818" s="14">
        <f t="shared" si="2"/>
        <v>18</v>
      </c>
      <c r="I12818" s="15">
        <f t="shared" si="3"/>
        <v>2</v>
      </c>
    </row>
    <row r="12819">
      <c r="A12819" s="8" t="str">
        <f>IFERROR(__xludf.DUMMYFUNCTION("IF('(INGESTA)Datos_consumo_datadis'!A12819&lt;&gt;"""",SPLIT('(INGESTA)Datos_consumo_datadis'!A:A,"",""),"""")"),"ES0031408323131005HX0F")</f>
        <v>ES0031408323131005HX0F</v>
      </c>
      <c r="B12819" s="12">
        <f>IFERROR(__xludf.DUMMYFUNCTION("""COMPUTED_VALUE"""),45400.0)</f>
        <v>45400</v>
      </c>
      <c r="C12819" s="13">
        <f>IFERROR(__xludf.DUMMYFUNCTION("""COMPUTED_VALUE"""),0.125)</f>
        <v>0.125</v>
      </c>
      <c r="D12819" s="8">
        <f>IFERROR(__xludf.DUMMYFUNCTION("""COMPUTED_VALUE"""),0.061)</f>
        <v>0.061</v>
      </c>
      <c r="E12819" s="8" t="str">
        <f>IFERROR(__xludf.DUMMYFUNCTION("""COMPUTED_VALUE"""),"Real")</f>
        <v>Real</v>
      </c>
      <c r="G12819" s="8">
        <f t="shared" si="1"/>
        <v>4</v>
      </c>
      <c r="H12819" s="14">
        <f t="shared" si="2"/>
        <v>18</v>
      </c>
      <c r="I12819" s="15">
        <f t="shared" si="3"/>
        <v>3</v>
      </c>
    </row>
    <row r="12820">
      <c r="A12820" s="8" t="str">
        <f>IFERROR(__xludf.DUMMYFUNCTION("IF('(INGESTA)Datos_consumo_datadis'!A12820&lt;&gt;"""",SPLIT('(INGESTA)Datos_consumo_datadis'!A:A,"",""),"""")"),"ES0031408323131005HX0F")</f>
        <v>ES0031408323131005HX0F</v>
      </c>
      <c r="B12820" s="12">
        <f>IFERROR(__xludf.DUMMYFUNCTION("""COMPUTED_VALUE"""),45400.0)</f>
        <v>45400</v>
      </c>
      <c r="C12820" s="13">
        <f>IFERROR(__xludf.DUMMYFUNCTION("""COMPUTED_VALUE"""),0.16666666666666666)</f>
        <v>0.1666666667</v>
      </c>
      <c r="D12820" s="8">
        <f>IFERROR(__xludf.DUMMYFUNCTION("""COMPUTED_VALUE"""),0.405)</f>
        <v>0.405</v>
      </c>
      <c r="E12820" s="8" t="str">
        <f>IFERROR(__xludf.DUMMYFUNCTION("""COMPUTED_VALUE"""),"Real")</f>
        <v>Real</v>
      </c>
      <c r="G12820" s="8">
        <f t="shared" si="1"/>
        <v>4</v>
      </c>
      <c r="H12820" s="14">
        <f t="shared" si="2"/>
        <v>18</v>
      </c>
      <c r="I12820" s="15">
        <f t="shared" si="3"/>
        <v>4</v>
      </c>
    </row>
    <row r="12821">
      <c r="A12821" s="8" t="str">
        <f>IFERROR(__xludf.DUMMYFUNCTION("IF('(INGESTA)Datos_consumo_datadis'!A12821&lt;&gt;"""",SPLIT('(INGESTA)Datos_consumo_datadis'!A:A,"",""),"""")"),"ES0031408323131005HX0F")</f>
        <v>ES0031408323131005HX0F</v>
      </c>
      <c r="B12821" s="12">
        <f>IFERROR(__xludf.DUMMYFUNCTION("""COMPUTED_VALUE"""),45400.0)</f>
        <v>45400</v>
      </c>
      <c r="C12821" s="13">
        <f>IFERROR(__xludf.DUMMYFUNCTION("""COMPUTED_VALUE"""),0.20833333333333334)</f>
        <v>0.2083333333</v>
      </c>
      <c r="D12821" s="8">
        <f>IFERROR(__xludf.DUMMYFUNCTION("""COMPUTED_VALUE"""),0.084)</f>
        <v>0.084</v>
      </c>
      <c r="E12821" s="8" t="str">
        <f>IFERROR(__xludf.DUMMYFUNCTION("""COMPUTED_VALUE"""),"Real")</f>
        <v>Real</v>
      </c>
      <c r="G12821" s="8">
        <f t="shared" si="1"/>
        <v>4</v>
      </c>
      <c r="H12821" s="14">
        <f t="shared" si="2"/>
        <v>18</v>
      </c>
      <c r="I12821" s="15">
        <f t="shared" si="3"/>
        <v>5</v>
      </c>
    </row>
    <row r="12822">
      <c r="A12822" s="8" t="str">
        <f>IFERROR(__xludf.DUMMYFUNCTION("IF('(INGESTA)Datos_consumo_datadis'!A12822&lt;&gt;"""",SPLIT('(INGESTA)Datos_consumo_datadis'!A:A,"",""),"""")"),"ES0031408323131005HX0F")</f>
        <v>ES0031408323131005HX0F</v>
      </c>
      <c r="B12822" s="12">
        <f>IFERROR(__xludf.DUMMYFUNCTION("""COMPUTED_VALUE"""),45400.0)</f>
        <v>45400</v>
      </c>
      <c r="C12822" s="13">
        <f>IFERROR(__xludf.DUMMYFUNCTION("""COMPUTED_VALUE"""),0.25)</f>
        <v>0.25</v>
      </c>
      <c r="D12822" s="8">
        <f>IFERROR(__xludf.DUMMYFUNCTION("""COMPUTED_VALUE"""),0.401)</f>
        <v>0.401</v>
      </c>
      <c r="E12822" s="8" t="str">
        <f>IFERROR(__xludf.DUMMYFUNCTION("""COMPUTED_VALUE"""),"Real")</f>
        <v>Real</v>
      </c>
      <c r="G12822" s="8">
        <f t="shared" si="1"/>
        <v>4</v>
      </c>
      <c r="H12822" s="14">
        <f t="shared" si="2"/>
        <v>18</v>
      </c>
      <c r="I12822" s="15">
        <f t="shared" si="3"/>
        <v>6</v>
      </c>
    </row>
    <row r="12823">
      <c r="A12823" s="8" t="str">
        <f>IFERROR(__xludf.DUMMYFUNCTION("IF('(INGESTA)Datos_consumo_datadis'!A12823&lt;&gt;"""",SPLIT('(INGESTA)Datos_consumo_datadis'!A:A,"",""),"""")"),"ES0031408323131005HX0F")</f>
        <v>ES0031408323131005HX0F</v>
      </c>
      <c r="B12823" s="12">
        <f>IFERROR(__xludf.DUMMYFUNCTION("""COMPUTED_VALUE"""),45400.0)</f>
        <v>45400</v>
      </c>
      <c r="C12823" s="13">
        <f>IFERROR(__xludf.DUMMYFUNCTION("""COMPUTED_VALUE"""),0.2916666666666667)</f>
        <v>0.2916666667</v>
      </c>
      <c r="D12823" s="8">
        <f>IFERROR(__xludf.DUMMYFUNCTION("""COMPUTED_VALUE"""),0.075)</f>
        <v>0.075</v>
      </c>
      <c r="E12823" s="8" t="str">
        <f>IFERROR(__xludf.DUMMYFUNCTION("""COMPUTED_VALUE"""),"Real")</f>
        <v>Real</v>
      </c>
      <c r="G12823" s="8">
        <f t="shared" si="1"/>
        <v>4</v>
      </c>
      <c r="H12823" s="14">
        <f t="shared" si="2"/>
        <v>18</v>
      </c>
      <c r="I12823" s="15">
        <f t="shared" si="3"/>
        <v>7</v>
      </c>
    </row>
    <row r="12824">
      <c r="A12824" s="8" t="str">
        <f>IFERROR(__xludf.DUMMYFUNCTION("IF('(INGESTA)Datos_consumo_datadis'!A12824&lt;&gt;"""",SPLIT('(INGESTA)Datos_consumo_datadis'!A:A,"",""),"""")"),"ES0031408323131005HX0F")</f>
        <v>ES0031408323131005HX0F</v>
      </c>
      <c r="B12824" s="12">
        <f>IFERROR(__xludf.DUMMYFUNCTION("""COMPUTED_VALUE"""),45400.0)</f>
        <v>45400</v>
      </c>
      <c r="C12824" s="13">
        <f>IFERROR(__xludf.DUMMYFUNCTION("""COMPUTED_VALUE"""),0.3333333333333333)</f>
        <v>0.3333333333</v>
      </c>
      <c r="D12824" s="8">
        <f>IFERROR(__xludf.DUMMYFUNCTION("""COMPUTED_VALUE"""),0.057)</f>
        <v>0.057</v>
      </c>
      <c r="E12824" s="8" t="str">
        <f>IFERROR(__xludf.DUMMYFUNCTION("""COMPUTED_VALUE"""),"Real")</f>
        <v>Real</v>
      </c>
      <c r="G12824" s="8">
        <f t="shared" si="1"/>
        <v>4</v>
      </c>
      <c r="H12824" s="14">
        <f t="shared" si="2"/>
        <v>18</v>
      </c>
      <c r="I12824" s="15">
        <f t="shared" si="3"/>
        <v>8</v>
      </c>
    </row>
    <row r="12825">
      <c r="A12825" s="8" t="str">
        <f>IFERROR(__xludf.DUMMYFUNCTION("IF('(INGESTA)Datos_consumo_datadis'!A12825&lt;&gt;"""",SPLIT('(INGESTA)Datos_consumo_datadis'!A:A,"",""),"""")"),"ES0031408323131005HX0F")</f>
        <v>ES0031408323131005HX0F</v>
      </c>
      <c r="B12825" s="12">
        <f>IFERROR(__xludf.DUMMYFUNCTION("""COMPUTED_VALUE"""),45400.0)</f>
        <v>45400</v>
      </c>
      <c r="C12825" s="13">
        <f>IFERROR(__xludf.DUMMYFUNCTION("""COMPUTED_VALUE"""),0.375)</f>
        <v>0.375</v>
      </c>
      <c r="D12825" s="8">
        <f>IFERROR(__xludf.DUMMYFUNCTION("""COMPUTED_VALUE"""),0.072)</f>
        <v>0.072</v>
      </c>
      <c r="E12825" s="8" t="str">
        <f>IFERROR(__xludf.DUMMYFUNCTION("""COMPUTED_VALUE"""),"Real")</f>
        <v>Real</v>
      </c>
      <c r="G12825" s="8">
        <f t="shared" si="1"/>
        <v>4</v>
      </c>
      <c r="H12825" s="14">
        <f t="shared" si="2"/>
        <v>18</v>
      </c>
      <c r="I12825" s="15">
        <f t="shared" si="3"/>
        <v>9</v>
      </c>
    </row>
    <row r="12826">
      <c r="A12826" s="8" t="str">
        <f>IFERROR(__xludf.DUMMYFUNCTION("IF('(INGESTA)Datos_consumo_datadis'!A12826&lt;&gt;"""",SPLIT('(INGESTA)Datos_consumo_datadis'!A:A,"",""),"""")"),"ES0031408323131005HX0F")</f>
        <v>ES0031408323131005HX0F</v>
      </c>
      <c r="B12826" s="12">
        <f>IFERROR(__xludf.DUMMYFUNCTION("""COMPUTED_VALUE"""),45400.0)</f>
        <v>45400</v>
      </c>
      <c r="C12826" s="13">
        <f>IFERROR(__xludf.DUMMYFUNCTION("""COMPUTED_VALUE"""),0.4166666666666667)</f>
        <v>0.4166666667</v>
      </c>
      <c r="D12826" s="8">
        <f>IFERROR(__xludf.DUMMYFUNCTION("""COMPUTED_VALUE"""),0.062)</f>
        <v>0.062</v>
      </c>
      <c r="E12826" s="8" t="str">
        <f>IFERROR(__xludf.DUMMYFUNCTION("""COMPUTED_VALUE"""),"Real")</f>
        <v>Real</v>
      </c>
      <c r="G12826" s="8">
        <f t="shared" si="1"/>
        <v>4</v>
      </c>
      <c r="H12826" s="14">
        <f t="shared" si="2"/>
        <v>18</v>
      </c>
      <c r="I12826" s="15">
        <f t="shared" si="3"/>
        <v>10</v>
      </c>
    </row>
    <row r="12827">
      <c r="A12827" s="8" t="str">
        <f>IFERROR(__xludf.DUMMYFUNCTION("IF('(INGESTA)Datos_consumo_datadis'!A12827&lt;&gt;"""",SPLIT('(INGESTA)Datos_consumo_datadis'!A:A,"",""),"""")"),"ES0031408323131005HX0F")</f>
        <v>ES0031408323131005HX0F</v>
      </c>
      <c r="B12827" s="12">
        <f>IFERROR(__xludf.DUMMYFUNCTION("""COMPUTED_VALUE"""),45400.0)</f>
        <v>45400</v>
      </c>
      <c r="C12827" s="13">
        <f>IFERROR(__xludf.DUMMYFUNCTION("""COMPUTED_VALUE"""),0.4583333333333333)</f>
        <v>0.4583333333</v>
      </c>
      <c r="D12827" s="8">
        <f>IFERROR(__xludf.DUMMYFUNCTION("""COMPUTED_VALUE"""),0.786)</f>
        <v>0.786</v>
      </c>
      <c r="E12827" s="8" t="str">
        <f>IFERROR(__xludf.DUMMYFUNCTION("""COMPUTED_VALUE"""),"Real")</f>
        <v>Real</v>
      </c>
      <c r="G12827" s="8">
        <f t="shared" si="1"/>
        <v>4</v>
      </c>
      <c r="H12827" s="14">
        <f t="shared" si="2"/>
        <v>18</v>
      </c>
      <c r="I12827" s="15">
        <f t="shared" si="3"/>
        <v>11</v>
      </c>
    </row>
    <row r="12828">
      <c r="A12828" s="8" t="str">
        <f>IFERROR(__xludf.DUMMYFUNCTION("IF('(INGESTA)Datos_consumo_datadis'!A12828&lt;&gt;"""",SPLIT('(INGESTA)Datos_consumo_datadis'!A:A,"",""),"""")"),"ES0031408323131005HX0F")</f>
        <v>ES0031408323131005HX0F</v>
      </c>
      <c r="B12828" s="12">
        <f>IFERROR(__xludf.DUMMYFUNCTION("""COMPUTED_VALUE"""),45400.0)</f>
        <v>45400</v>
      </c>
      <c r="C12828" s="13">
        <f>IFERROR(__xludf.DUMMYFUNCTION("""COMPUTED_VALUE"""),0.5)</f>
        <v>0.5</v>
      </c>
      <c r="D12828" s="8">
        <f>IFERROR(__xludf.DUMMYFUNCTION("""COMPUTED_VALUE"""),0.145)</f>
        <v>0.145</v>
      </c>
      <c r="E12828" s="8" t="str">
        <f>IFERROR(__xludf.DUMMYFUNCTION("""COMPUTED_VALUE"""),"Real")</f>
        <v>Real</v>
      </c>
      <c r="G12828" s="8">
        <f t="shared" si="1"/>
        <v>4</v>
      </c>
      <c r="H12828" s="14">
        <f t="shared" si="2"/>
        <v>18</v>
      </c>
      <c r="I12828" s="15">
        <f t="shared" si="3"/>
        <v>12</v>
      </c>
    </row>
    <row r="12829">
      <c r="A12829" s="8" t="str">
        <f>IFERROR(__xludf.DUMMYFUNCTION("IF('(INGESTA)Datos_consumo_datadis'!A12829&lt;&gt;"""",SPLIT('(INGESTA)Datos_consumo_datadis'!A:A,"",""),"""")"),"ES0031408323131005HX0F")</f>
        <v>ES0031408323131005HX0F</v>
      </c>
      <c r="B12829" s="12">
        <f>IFERROR(__xludf.DUMMYFUNCTION("""COMPUTED_VALUE"""),45400.0)</f>
        <v>45400</v>
      </c>
      <c r="C12829" s="13">
        <f>IFERROR(__xludf.DUMMYFUNCTION("""COMPUTED_VALUE"""),0.5416666666666666)</f>
        <v>0.5416666667</v>
      </c>
      <c r="D12829" s="8">
        <f>IFERROR(__xludf.DUMMYFUNCTION("""COMPUTED_VALUE"""),0.428)</f>
        <v>0.428</v>
      </c>
      <c r="E12829" s="8" t="str">
        <f>IFERROR(__xludf.DUMMYFUNCTION("""COMPUTED_VALUE"""),"Real")</f>
        <v>Real</v>
      </c>
      <c r="G12829" s="8">
        <f t="shared" si="1"/>
        <v>4</v>
      </c>
      <c r="H12829" s="14">
        <f t="shared" si="2"/>
        <v>18</v>
      </c>
      <c r="I12829" s="15">
        <f t="shared" si="3"/>
        <v>13</v>
      </c>
    </row>
    <row r="12830">
      <c r="A12830" s="8" t="str">
        <f>IFERROR(__xludf.DUMMYFUNCTION("IF('(INGESTA)Datos_consumo_datadis'!A12830&lt;&gt;"""",SPLIT('(INGESTA)Datos_consumo_datadis'!A:A,"",""),"""")"),"ES0031408323131005HX0F")</f>
        <v>ES0031408323131005HX0F</v>
      </c>
      <c r="B12830" s="12">
        <f>IFERROR(__xludf.DUMMYFUNCTION("""COMPUTED_VALUE"""),45400.0)</f>
        <v>45400</v>
      </c>
      <c r="C12830" s="13">
        <f>IFERROR(__xludf.DUMMYFUNCTION("""COMPUTED_VALUE"""),0.5833333333333334)</f>
        <v>0.5833333333</v>
      </c>
      <c r="D12830" s="8">
        <f>IFERROR(__xludf.DUMMYFUNCTION("""COMPUTED_VALUE"""),0.07)</f>
        <v>0.07</v>
      </c>
      <c r="E12830" s="8" t="str">
        <f>IFERROR(__xludf.DUMMYFUNCTION("""COMPUTED_VALUE"""),"Real")</f>
        <v>Real</v>
      </c>
      <c r="G12830" s="8">
        <f t="shared" si="1"/>
        <v>4</v>
      </c>
      <c r="H12830" s="14">
        <f t="shared" si="2"/>
        <v>18</v>
      </c>
      <c r="I12830" s="15">
        <f t="shared" si="3"/>
        <v>14</v>
      </c>
    </row>
    <row r="12831">
      <c r="A12831" s="8" t="str">
        <f>IFERROR(__xludf.DUMMYFUNCTION("IF('(INGESTA)Datos_consumo_datadis'!A12831&lt;&gt;"""",SPLIT('(INGESTA)Datos_consumo_datadis'!A:A,"",""),"""")"),"ES0031408323131005HX0F")</f>
        <v>ES0031408323131005HX0F</v>
      </c>
      <c r="B12831" s="12">
        <f>IFERROR(__xludf.DUMMYFUNCTION("""COMPUTED_VALUE"""),45400.0)</f>
        <v>45400</v>
      </c>
      <c r="C12831" s="13">
        <f>IFERROR(__xludf.DUMMYFUNCTION("""COMPUTED_VALUE"""),0.625)</f>
        <v>0.625</v>
      </c>
      <c r="D12831" s="8">
        <f>IFERROR(__xludf.DUMMYFUNCTION("""COMPUTED_VALUE"""),0.295)</f>
        <v>0.295</v>
      </c>
      <c r="E12831" s="8" t="str">
        <f>IFERROR(__xludf.DUMMYFUNCTION("""COMPUTED_VALUE"""),"Real")</f>
        <v>Real</v>
      </c>
      <c r="G12831" s="8">
        <f t="shared" si="1"/>
        <v>4</v>
      </c>
      <c r="H12831" s="14">
        <f t="shared" si="2"/>
        <v>18</v>
      </c>
      <c r="I12831" s="15">
        <f t="shared" si="3"/>
        <v>15</v>
      </c>
    </row>
    <row r="12832">
      <c r="A12832" s="8" t="str">
        <f>IFERROR(__xludf.DUMMYFUNCTION("IF('(INGESTA)Datos_consumo_datadis'!A12832&lt;&gt;"""",SPLIT('(INGESTA)Datos_consumo_datadis'!A:A,"",""),"""")"),"ES0031408323131005HX0F")</f>
        <v>ES0031408323131005HX0F</v>
      </c>
      <c r="B12832" s="12">
        <f>IFERROR(__xludf.DUMMYFUNCTION("""COMPUTED_VALUE"""),45400.0)</f>
        <v>45400</v>
      </c>
      <c r="C12832" s="13">
        <f>IFERROR(__xludf.DUMMYFUNCTION("""COMPUTED_VALUE"""),0.6666666666666666)</f>
        <v>0.6666666667</v>
      </c>
      <c r="D12832" s="8">
        <f>IFERROR(__xludf.DUMMYFUNCTION("""COMPUTED_VALUE"""),1.105)</f>
        <v>1.105</v>
      </c>
      <c r="E12832" s="8" t="str">
        <f>IFERROR(__xludf.DUMMYFUNCTION("""COMPUTED_VALUE"""),"Real")</f>
        <v>Real</v>
      </c>
      <c r="G12832" s="8">
        <f t="shared" si="1"/>
        <v>4</v>
      </c>
      <c r="H12832" s="14">
        <f t="shared" si="2"/>
        <v>18</v>
      </c>
      <c r="I12832" s="15">
        <f t="shared" si="3"/>
        <v>16</v>
      </c>
    </row>
    <row r="12833">
      <c r="A12833" s="8" t="str">
        <f>IFERROR(__xludf.DUMMYFUNCTION("IF('(INGESTA)Datos_consumo_datadis'!A12833&lt;&gt;"""",SPLIT('(INGESTA)Datos_consumo_datadis'!A:A,"",""),"""")"),"ES0031408323131005HX0F")</f>
        <v>ES0031408323131005HX0F</v>
      </c>
      <c r="B12833" s="12">
        <f>IFERROR(__xludf.DUMMYFUNCTION("""COMPUTED_VALUE"""),45400.0)</f>
        <v>45400</v>
      </c>
      <c r="C12833" s="13">
        <f>IFERROR(__xludf.DUMMYFUNCTION("""COMPUTED_VALUE"""),0.7083333333333334)</f>
        <v>0.7083333333</v>
      </c>
      <c r="D12833" s="8">
        <f>IFERROR(__xludf.DUMMYFUNCTION("""COMPUTED_VALUE"""),1.096)</f>
        <v>1.096</v>
      </c>
      <c r="E12833" s="8" t="str">
        <f>IFERROR(__xludf.DUMMYFUNCTION("""COMPUTED_VALUE"""),"Real")</f>
        <v>Real</v>
      </c>
      <c r="G12833" s="8">
        <f t="shared" si="1"/>
        <v>4</v>
      </c>
      <c r="H12833" s="14">
        <f t="shared" si="2"/>
        <v>18</v>
      </c>
      <c r="I12833" s="15">
        <f t="shared" si="3"/>
        <v>17</v>
      </c>
    </row>
    <row r="12834">
      <c r="A12834" s="8" t="str">
        <f>IFERROR(__xludf.DUMMYFUNCTION("IF('(INGESTA)Datos_consumo_datadis'!A12834&lt;&gt;"""",SPLIT('(INGESTA)Datos_consumo_datadis'!A:A,"",""),"""")"),"ES0031408323131005HX0F")</f>
        <v>ES0031408323131005HX0F</v>
      </c>
      <c r="B12834" s="12">
        <f>IFERROR(__xludf.DUMMYFUNCTION("""COMPUTED_VALUE"""),45400.0)</f>
        <v>45400</v>
      </c>
      <c r="C12834" s="13">
        <f>IFERROR(__xludf.DUMMYFUNCTION("""COMPUTED_VALUE"""),0.75)</f>
        <v>0.75</v>
      </c>
      <c r="D12834" s="8">
        <f>IFERROR(__xludf.DUMMYFUNCTION("""COMPUTED_VALUE"""),0.05)</f>
        <v>0.05</v>
      </c>
      <c r="E12834" s="8" t="str">
        <f>IFERROR(__xludf.DUMMYFUNCTION("""COMPUTED_VALUE"""),"Real")</f>
        <v>Real</v>
      </c>
      <c r="G12834" s="8">
        <f t="shared" si="1"/>
        <v>4</v>
      </c>
      <c r="H12834" s="14">
        <f t="shared" si="2"/>
        <v>18</v>
      </c>
      <c r="I12834" s="15">
        <f t="shared" si="3"/>
        <v>18</v>
      </c>
    </row>
    <row r="12835">
      <c r="A12835" s="8" t="str">
        <f>IFERROR(__xludf.DUMMYFUNCTION("IF('(INGESTA)Datos_consumo_datadis'!A12835&lt;&gt;"""",SPLIT('(INGESTA)Datos_consumo_datadis'!A:A,"",""),"""")"),"ES0031408323131005HX0F")</f>
        <v>ES0031408323131005HX0F</v>
      </c>
      <c r="B12835" s="12">
        <f>IFERROR(__xludf.DUMMYFUNCTION("""COMPUTED_VALUE"""),45400.0)</f>
        <v>45400</v>
      </c>
      <c r="C12835" s="13">
        <f>IFERROR(__xludf.DUMMYFUNCTION("""COMPUTED_VALUE"""),0.7916666666666666)</f>
        <v>0.7916666667</v>
      </c>
      <c r="D12835" s="8">
        <f>IFERROR(__xludf.DUMMYFUNCTION("""COMPUTED_VALUE"""),0.068)</f>
        <v>0.068</v>
      </c>
      <c r="E12835" s="8" t="str">
        <f>IFERROR(__xludf.DUMMYFUNCTION("""COMPUTED_VALUE"""),"Real")</f>
        <v>Real</v>
      </c>
      <c r="G12835" s="8">
        <f t="shared" si="1"/>
        <v>4</v>
      </c>
      <c r="H12835" s="14">
        <f t="shared" si="2"/>
        <v>18</v>
      </c>
      <c r="I12835" s="15">
        <f t="shared" si="3"/>
        <v>19</v>
      </c>
    </row>
    <row r="12836">
      <c r="A12836" s="8" t="str">
        <f>IFERROR(__xludf.DUMMYFUNCTION("IF('(INGESTA)Datos_consumo_datadis'!A12836&lt;&gt;"""",SPLIT('(INGESTA)Datos_consumo_datadis'!A:A,"",""),"""")"),"ES0031408323131005HX0F")</f>
        <v>ES0031408323131005HX0F</v>
      </c>
      <c r="B12836" s="12">
        <f>IFERROR(__xludf.DUMMYFUNCTION("""COMPUTED_VALUE"""),45400.0)</f>
        <v>45400</v>
      </c>
      <c r="C12836" s="13">
        <f>IFERROR(__xludf.DUMMYFUNCTION("""COMPUTED_VALUE"""),0.8333333333333334)</f>
        <v>0.8333333333</v>
      </c>
      <c r="D12836" s="8">
        <f>IFERROR(__xludf.DUMMYFUNCTION("""COMPUTED_VALUE"""),0.058)</f>
        <v>0.058</v>
      </c>
      <c r="E12836" s="8" t="str">
        <f>IFERROR(__xludf.DUMMYFUNCTION("""COMPUTED_VALUE"""),"Real")</f>
        <v>Real</v>
      </c>
      <c r="G12836" s="8">
        <f t="shared" si="1"/>
        <v>4</v>
      </c>
      <c r="H12836" s="14">
        <f t="shared" si="2"/>
        <v>18</v>
      </c>
      <c r="I12836" s="15">
        <f t="shared" si="3"/>
        <v>20</v>
      </c>
    </row>
    <row r="12837">
      <c r="A12837" s="8" t="str">
        <f>IFERROR(__xludf.DUMMYFUNCTION("IF('(INGESTA)Datos_consumo_datadis'!A12837&lt;&gt;"""",SPLIT('(INGESTA)Datos_consumo_datadis'!A:A,"",""),"""")"),"ES0031408323131005HX0F")</f>
        <v>ES0031408323131005HX0F</v>
      </c>
      <c r="B12837" s="12">
        <f>IFERROR(__xludf.DUMMYFUNCTION("""COMPUTED_VALUE"""),45400.0)</f>
        <v>45400</v>
      </c>
      <c r="C12837" s="13">
        <f>IFERROR(__xludf.DUMMYFUNCTION("""COMPUTED_VALUE"""),0.875)</f>
        <v>0.875</v>
      </c>
      <c r="D12837" s="8">
        <f>IFERROR(__xludf.DUMMYFUNCTION("""COMPUTED_VALUE"""),1.344)</f>
        <v>1.344</v>
      </c>
      <c r="E12837" s="8" t="str">
        <f>IFERROR(__xludf.DUMMYFUNCTION("""COMPUTED_VALUE"""),"Real")</f>
        <v>Real</v>
      </c>
      <c r="G12837" s="8">
        <f t="shared" si="1"/>
        <v>4</v>
      </c>
      <c r="H12837" s="14">
        <f t="shared" si="2"/>
        <v>18</v>
      </c>
      <c r="I12837" s="15">
        <f t="shared" si="3"/>
        <v>21</v>
      </c>
    </row>
    <row r="12838">
      <c r="A12838" s="8" t="str">
        <f>IFERROR(__xludf.DUMMYFUNCTION("IF('(INGESTA)Datos_consumo_datadis'!A12838&lt;&gt;"""",SPLIT('(INGESTA)Datos_consumo_datadis'!A:A,"",""),"""")"),"ES0031408323131005HX0F")</f>
        <v>ES0031408323131005HX0F</v>
      </c>
      <c r="B12838" s="12">
        <f>IFERROR(__xludf.DUMMYFUNCTION("""COMPUTED_VALUE"""),45400.0)</f>
        <v>45400</v>
      </c>
      <c r="C12838" s="13">
        <f>IFERROR(__xludf.DUMMYFUNCTION("""COMPUTED_VALUE"""),0.9166666666666666)</f>
        <v>0.9166666667</v>
      </c>
      <c r="D12838" s="8">
        <f>IFERROR(__xludf.DUMMYFUNCTION("""COMPUTED_VALUE"""),2.688)</f>
        <v>2.688</v>
      </c>
      <c r="E12838" s="8" t="str">
        <f>IFERROR(__xludf.DUMMYFUNCTION("""COMPUTED_VALUE"""),"Real")</f>
        <v>Real</v>
      </c>
      <c r="G12838" s="8">
        <f t="shared" si="1"/>
        <v>4</v>
      </c>
      <c r="H12838" s="14">
        <f t="shared" si="2"/>
        <v>18</v>
      </c>
      <c r="I12838" s="15">
        <f t="shared" si="3"/>
        <v>22</v>
      </c>
    </row>
    <row r="12839">
      <c r="A12839" s="8" t="str">
        <f>IFERROR(__xludf.DUMMYFUNCTION("IF('(INGESTA)Datos_consumo_datadis'!A12839&lt;&gt;"""",SPLIT('(INGESTA)Datos_consumo_datadis'!A:A,"",""),"""")"),"ES0031408323131005HX0F")</f>
        <v>ES0031408323131005HX0F</v>
      </c>
      <c r="B12839" s="12">
        <f>IFERROR(__xludf.DUMMYFUNCTION("""COMPUTED_VALUE"""),45400.0)</f>
        <v>45400</v>
      </c>
      <c r="C12839" s="13">
        <f>IFERROR(__xludf.DUMMYFUNCTION("""COMPUTED_VALUE"""),0.9583333333333334)</f>
        <v>0.9583333333</v>
      </c>
      <c r="D12839" s="8">
        <f>IFERROR(__xludf.DUMMYFUNCTION("""COMPUTED_VALUE"""),0.848)</f>
        <v>0.848</v>
      </c>
      <c r="E12839" s="8" t="str">
        <f>IFERROR(__xludf.DUMMYFUNCTION("""COMPUTED_VALUE"""),"Real")</f>
        <v>Real</v>
      </c>
      <c r="G12839" s="8">
        <f t="shared" si="1"/>
        <v>4</v>
      </c>
      <c r="H12839" s="14">
        <f t="shared" si="2"/>
        <v>18</v>
      </c>
      <c r="I12839" s="15">
        <f t="shared" si="3"/>
        <v>23</v>
      </c>
    </row>
    <row r="12840">
      <c r="A12840" s="8" t="str">
        <f>IFERROR(__xludf.DUMMYFUNCTION("IF('(INGESTA)Datos_consumo_datadis'!A12840&lt;&gt;"""",SPLIT('(INGESTA)Datos_consumo_datadis'!A:A,"",""),"""")"),"ES0031408323131005HX0F")</f>
        <v>ES0031408323131005HX0F</v>
      </c>
      <c r="B12840" s="12">
        <f>IFERROR(__xludf.DUMMYFUNCTION("""COMPUTED_VALUE"""),45400.0)</f>
        <v>45400</v>
      </c>
      <c r="C12840" s="16">
        <f>IFERROR(__xludf.DUMMYFUNCTION("""COMPUTED_VALUE"""),1.0)</f>
        <v>1</v>
      </c>
      <c r="D12840" s="8">
        <f>IFERROR(__xludf.DUMMYFUNCTION("""COMPUTED_VALUE"""),0.086)</f>
        <v>0.086</v>
      </c>
      <c r="E12840" s="8" t="str">
        <f>IFERROR(__xludf.DUMMYFUNCTION("""COMPUTED_VALUE"""),"Real")</f>
        <v>Real</v>
      </c>
      <c r="G12840" s="8">
        <f t="shared" si="1"/>
        <v>4</v>
      </c>
      <c r="H12840" s="14">
        <f t="shared" si="2"/>
        <v>18</v>
      </c>
      <c r="I12840" s="15">
        <f t="shared" si="3"/>
        <v>0</v>
      </c>
    </row>
    <row r="12841">
      <c r="A12841" s="8" t="str">
        <f>IFERROR(__xludf.DUMMYFUNCTION("IF('(INGESTA)Datos_consumo_datadis'!A12841&lt;&gt;"""",SPLIT('(INGESTA)Datos_consumo_datadis'!A:A,"",""),"""")"),"ES0031408323131005HX0F")</f>
        <v>ES0031408323131005HX0F</v>
      </c>
      <c r="B12841" s="12">
        <f>IFERROR(__xludf.DUMMYFUNCTION("""COMPUTED_VALUE"""),45401.0)</f>
        <v>45401</v>
      </c>
      <c r="C12841" s="13">
        <f>IFERROR(__xludf.DUMMYFUNCTION("""COMPUTED_VALUE"""),0.041666666666666664)</f>
        <v>0.04166666667</v>
      </c>
      <c r="D12841" s="8">
        <f>IFERROR(__xludf.DUMMYFUNCTION("""COMPUTED_VALUE"""),0.061)</f>
        <v>0.061</v>
      </c>
      <c r="E12841" s="8" t="str">
        <f>IFERROR(__xludf.DUMMYFUNCTION("""COMPUTED_VALUE"""),"Real")</f>
        <v>Real</v>
      </c>
      <c r="G12841" s="8">
        <f t="shared" si="1"/>
        <v>4</v>
      </c>
      <c r="H12841" s="14">
        <f t="shared" si="2"/>
        <v>19</v>
      </c>
      <c r="I12841" s="15">
        <f t="shared" si="3"/>
        <v>1</v>
      </c>
    </row>
    <row r="12842">
      <c r="A12842" s="8" t="str">
        <f>IFERROR(__xludf.DUMMYFUNCTION("IF('(INGESTA)Datos_consumo_datadis'!A12842&lt;&gt;"""",SPLIT('(INGESTA)Datos_consumo_datadis'!A:A,"",""),"""")"),"ES0031408323131005HX0F")</f>
        <v>ES0031408323131005HX0F</v>
      </c>
      <c r="B12842" s="12">
        <f>IFERROR(__xludf.DUMMYFUNCTION("""COMPUTED_VALUE"""),45401.0)</f>
        <v>45401</v>
      </c>
      <c r="C12842" s="13">
        <f>IFERROR(__xludf.DUMMYFUNCTION("""COMPUTED_VALUE"""),0.08333333333333333)</f>
        <v>0.08333333333</v>
      </c>
      <c r="D12842" s="8">
        <f>IFERROR(__xludf.DUMMYFUNCTION("""COMPUTED_VALUE"""),0.074)</f>
        <v>0.074</v>
      </c>
      <c r="E12842" s="8" t="str">
        <f>IFERROR(__xludf.DUMMYFUNCTION("""COMPUTED_VALUE"""),"Real")</f>
        <v>Real</v>
      </c>
      <c r="G12842" s="8">
        <f t="shared" si="1"/>
        <v>4</v>
      </c>
      <c r="H12842" s="14">
        <f t="shared" si="2"/>
        <v>19</v>
      </c>
      <c r="I12842" s="15">
        <f t="shared" si="3"/>
        <v>2</v>
      </c>
    </row>
    <row r="12843">
      <c r="A12843" s="8" t="str">
        <f>IFERROR(__xludf.DUMMYFUNCTION("IF('(INGESTA)Datos_consumo_datadis'!A12843&lt;&gt;"""",SPLIT('(INGESTA)Datos_consumo_datadis'!A:A,"",""),"""")"),"ES0031408323131005HX0F")</f>
        <v>ES0031408323131005HX0F</v>
      </c>
      <c r="B12843" s="12">
        <f>IFERROR(__xludf.DUMMYFUNCTION("""COMPUTED_VALUE"""),45401.0)</f>
        <v>45401</v>
      </c>
      <c r="C12843" s="13">
        <f>IFERROR(__xludf.DUMMYFUNCTION("""COMPUTED_VALUE"""),0.125)</f>
        <v>0.125</v>
      </c>
      <c r="D12843" s="8">
        <f>IFERROR(__xludf.DUMMYFUNCTION("""COMPUTED_VALUE"""),0.306)</f>
        <v>0.306</v>
      </c>
      <c r="E12843" s="8" t="str">
        <f>IFERROR(__xludf.DUMMYFUNCTION("""COMPUTED_VALUE"""),"Real")</f>
        <v>Real</v>
      </c>
      <c r="G12843" s="8">
        <f t="shared" si="1"/>
        <v>4</v>
      </c>
      <c r="H12843" s="14">
        <f t="shared" si="2"/>
        <v>19</v>
      </c>
      <c r="I12843" s="15">
        <f t="shared" si="3"/>
        <v>3</v>
      </c>
    </row>
    <row r="12844">
      <c r="A12844" s="8" t="str">
        <f>IFERROR(__xludf.DUMMYFUNCTION("IF('(INGESTA)Datos_consumo_datadis'!A12844&lt;&gt;"""",SPLIT('(INGESTA)Datos_consumo_datadis'!A:A,"",""),"""")"),"ES0031408323131005HX0F")</f>
        <v>ES0031408323131005HX0F</v>
      </c>
      <c r="B12844" s="12">
        <f>IFERROR(__xludf.DUMMYFUNCTION("""COMPUTED_VALUE"""),45401.0)</f>
        <v>45401</v>
      </c>
      <c r="C12844" s="13">
        <f>IFERROR(__xludf.DUMMYFUNCTION("""COMPUTED_VALUE"""),0.16666666666666666)</f>
        <v>0.1666666667</v>
      </c>
      <c r="D12844" s="8">
        <f>IFERROR(__xludf.DUMMYFUNCTION("""COMPUTED_VALUE"""),0.075)</f>
        <v>0.075</v>
      </c>
      <c r="E12844" s="8" t="str">
        <f>IFERROR(__xludf.DUMMYFUNCTION("""COMPUTED_VALUE"""),"Real")</f>
        <v>Real</v>
      </c>
      <c r="G12844" s="8">
        <f t="shared" si="1"/>
        <v>4</v>
      </c>
      <c r="H12844" s="14">
        <f t="shared" si="2"/>
        <v>19</v>
      </c>
      <c r="I12844" s="15">
        <f t="shared" si="3"/>
        <v>4</v>
      </c>
    </row>
    <row r="12845">
      <c r="A12845" s="8" t="str">
        <f>IFERROR(__xludf.DUMMYFUNCTION("IF('(INGESTA)Datos_consumo_datadis'!A12845&lt;&gt;"""",SPLIT('(INGESTA)Datos_consumo_datadis'!A:A,"",""),"""")"),"ES0031408323131005HX0F")</f>
        <v>ES0031408323131005HX0F</v>
      </c>
      <c r="B12845" s="12">
        <f>IFERROR(__xludf.DUMMYFUNCTION("""COMPUTED_VALUE"""),45401.0)</f>
        <v>45401</v>
      </c>
      <c r="C12845" s="13">
        <f>IFERROR(__xludf.DUMMYFUNCTION("""COMPUTED_VALUE"""),0.20833333333333334)</f>
        <v>0.2083333333</v>
      </c>
      <c r="D12845" s="8">
        <f>IFERROR(__xludf.DUMMYFUNCTION("""COMPUTED_VALUE"""),0.061)</f>
        <v>0.061</v>
      </c>
      <c r="E12845" s="8" t="str">
        <f>IFERROR(__xludf.DUMMYFUNCTION("""COMPUTED_VALUE"""),"Real")</f>
        <v>Real</v>
      </c>
      <c r="G12845" s="8">
        <f t="shared" si="1"/>
        <v>4</v>
      </c>
      <c r="H12845" s="14">
        <f t="shared" si="2"/>
        <v>19</v>
      </c>
      <c r="I12845" s="15">
        <f t="shared" si="3"/>
        <v>5</v>
      </c>
    </row>
    <row r="12846">
      <c r="A12846" s="8" t="str">
        <f>IFERROR(__xludf.DUMMYFUNCTION("IF('(INGESTA)Datos_consumo_datadis'!A12846&lt;&gt;"""",SPLIT('(INGESTA)Datos_consumo_datadis'!A:A,"",""),"""")"),"ES0031408323131005HX0F")</f>
        <v>ES0031408323131005HX0F</v>
      </c>
      <c r="B12846" s="12">
        <f>IFERROR(__xludf.DUMMYFUNCTION("""COMPUTED_VALUE"""),45401.0)</f>
        <v>45401</v>
      </c>
      <c r="C12846" s="13">
        <f>IFERROR(__xludf.DUMMYFUNCTION("""COMPUTED_VALUE"""),0.25)</f>
        <v>0.25</v>
      </c>
      <c r="D12846" s="8">
        <f>IFERROR(__xludf.DUMMYFUNCTION("""COMPUTED_VALUE"""),0.488)</f>
        <v>0.488</v>
      </c>
      <c r="E12846" s="8" t="str">
        <f>IFERROR(__xludf.DUMMYFUNCTION("""COMPUTED_VALUE"""),"Real")</f>
        <v>Real</v>
      </c>
      <c r="G12846" s="8">
        <f t="shared" si="1"/>
        <v>4</v>
      </c>
      <c r="H12846" s="14">
        <f t="shared" si="2"/>
        <v>19</v>
      </c>
      <c r="I12846" s="15">
        <f t="shared" si="3"/>
        <v>6</v>
      </c>
    </row>
    <row r="12847">
      <c r="A12847" s="8" t="str">
        <f>IFERROR(__xludf.DUMMYFUNCTION("IF('(INGESTA)Datos_consumo_datadis'!A12847&lt;&gt;"""",SPLIT('(INGESTA)Datos_consumo_datadis'!A:A,"",""),"""")"),"ES0031408323131005HX0F")</f>
        <v>ES0031408323131005HX0F</v>
      </c>
      <c r="B12847" s="12">
        <f>IFERROR(__xludf.DUMMYFUNCTION("""COMPUTED_VALUE"""),45401.0)</f>
        <v>45401</v>
      </c>
      <c r="C12847" s="13">
        <f>IFERROR(__xludf.DUMMYFUNCTION("""COMPUTED_VALUE"""),0.2916666666666667)</f>
        <v>0.2916666667</v>
      </c>
      <c r="D12847" s="8">
        <f>IFERROR(__xludf.DUMMYFUNCTION("""COMPUTED_VALUE"""),0.116)</f>
        <v>0.116</v>
      </c>
      <c r="E12847" s="8" t="str">
        <f>IFERROR(__xludf.DUMMYFUNCTION("""COMPUTED_VALUE"""),"Real")</f>
        <v>Real</v>
      </c>
      <c r="G12847" s="8">
        <f t="shared" si="1"/>
        <v>4</v>
      </c>
      <c r="H12847" s="14">
        <f t="shared" si="2"/>
        <v>19</v>
      </c>
      <c r="I12847" s="15">
        <f t="shared" si="3"/>
        <v>7</v>
      </c>
    </row>
    <row r="12848">
      <c r="A12848" s="8" t="str">
        <f>IFERROR(__xludf.DUMMYFUNCTION("IF('(INGESTA)Datos_consumo_datadis'!A12848&lt;&gt;"""",SPLIT('(INGESTA)Datos_consumo_datadis'!A:A,"",""),"""")"),"ES0031408323131005HX0F")</f>
        <v>ES0031408323131005HX0F</v>
      </c>
      <c r="B12848" s="12">
        <f>IFERROR(__xludf.DUMMYFUNCTION("""COMPUTED_VALUE"""),45401.0)</f>
        <v>45401</v>
      </c>
      <c r="C12848" s="13">
        <f>IFERROR(__xludf.DUMMYFUNCTION("""COMPUTED_VALUE"""),0.3333333333333333)</f>
        <v>0.3333333333</v>
      </c>
      <c r="D12848" s="8">
        <f>IFERROR(__xludf.DUMMYFUNCTION("""COMPUTED_VALUE"""),0.061)</f>
        <v>0.061</v>
      </c>
      <c r="E12848" s="8" t="str">
        <f>IFERROR(__xludf.DUMMYFUNCTION("""COMPUTED_VALUE"""),"Real")</f>
        <v>Real</v>
      </c>
      <c r="G12848" s="8">
        <f t="shared" si="1"/>
        <v>4</v>
      </c>
      <c r="H12848" s="14">
        <f t="shared" si="2"/>
        <v>19</v>
      </c>
      <c r="I12848" s="15">
        <f t="shared" si="3"/>
        <v>8</v>
      </c>
    </row>
    <row r="12849">
      <c r="A12849" s="8" t="str">
        <f>IFERROR(__xludf.DUMMYFUNCTION("IF('(INGESTA)Datos_consumo_datadis'!A12849&lt;&gt;"""",SPLIT('(INGESTA)Datos_consumo_datadis'!A:A,"",""),"""")"),"ES0031408323131005HX0F")</f>
        <v>ES0031408323131005HX0F</v>
      </c>
      <c r="B12849" s="12">
        <f>IFERROR(__xludf.DUMMYFUNCTION("""COMPUTED_VALUE"""),45401.0)</f>
        <v>45401</v>
      </c>
      <c r="C12849" s="13">
        <f>IFERROR(__xludf.DUMMYFUNCTION("""COMPUTED_VALUE"""),0.375)</f>
        <v>0.375</v>
      </c>
      <c r="D12849" s="8">
        <f>IFERROR(__xludf.DUMMYFUNCTION("""COMPUTED_VALUE"""),0.049)</f>
        <v>0.049</v>
      </c>
      <c r="E12849" s="8" t="str">
        <f>IFERROR(__xludf.DUMMYFUNCTION("""COMPUTED_VALUE"""),"Real")</f>
        <v>Real</v>
      </c>
      <c r="G12849" s="8">
        <f t="shared" si="1"/>
        <v>4</v>
      </c>
      <c r="H12849" s="14">
        <f t="shared" si="2"/>
        <v>19</v>
      </c>
      <c r="I12849" s="15">
        <f t="shared" si="3"/>
        <v>9</v>
      </c>
    </row>
    <row r="12850">
      <c r="A12850" s="8" t="str">
        <f>IFERROR(__xludf.DUMMYFUNCTION("IF('(INGESTA)Datos_consumo_datadis'!A12850&lt;&gt;"""",SPLIT('(INGESTA)Datos_consumo_datadis'!A:A,"",""),"""")"),"ES0031408323131005HX0F")</f>
        <v>ES0031408323131005HX0F</v>
      </c>
      <c r="B12850" s="12">
        <f>IFERROR(__xludf.DUMMYFUNCTION("""COMPUTED_VALUE"""),45401.0)</f>
        <v>45401</v>
      </c>
      <c r="C12850" s="13">
        <f>IFERROR(__xludf.DUMMYFUNCTION("""COMPUTED_VALUE"""),0.4166666666666667)</f>
        <v>0.4166666667</v>
      </c>
      <c r="D12850" s="8">
        <f>IFERROR(__xludf.DUMMYFUNCTION("""COMPUTED_VALUE"""),0.302)</f>
        <v>0.302</v>
      </c>
      <c r="E12850" s="8" t="str">
        <f>IFERROR(__xludf.DUMMYFUNCTION("""COMPUTED_VALUE"""),"Real")</f>
        <v>Real</v>
      </c>
      <c r="G12850" s="8">
        <f t="shared" si="1"/>
        <v>4</v>
      </c>
      <c r="H12850" s="14">
        <f t="shared" si="2"/>
        <v>19</v>
      </c>
      <c r="I12850" s="15">
        <f t="shared" si="3"/>
        <v>10</v>
      </c>
    </row>
    <row r="12851">
      <c r="A12851" s="8" t="str">
        <f>IFERROR(__xludf.DUMMYFUNCTION("IF('(INGESTA)Datos_consumo_datadis'!A12851&lt;&gt;"""",SPLIT('(INGESTA)Datos_consumo_datadis'!A:A,"",""),"""")"),"ES0031408323131005HX0F")</f>
        <v>ES0031408323131005HX0F</v>
      </c>
      <c r="B12851" s="12">
        <f>IFERROR(__xludf.DUMMYFUNCTION("""COMPUTED_VALUE"""),45401.0)</f>
        <v>45401</v>
      </c>
      <c r="C12851" s="13">
        <f>IFERROR(__xludf.DUMMYFUNCTION("""COMPUTED_VALUE"""),0.4583333333333333)</f>
        <v>0.4583333333</v>
      </c>
      <c r="D12851" s="8">
        <f>IFERROR(__xludf.DUMMYFUNCTION("""COMPUTED_VALUE"""),0.39)</f>
        <v>0.39</v>
      </c>
      <c r="E12851" s="8" t="str">
        <f>IFERROR(__xludf.DUMMYFUNCTION("""COMPUTED_VALUE"""),"Real")</f>
        <v>Real</v>
      </c>
      <c r="G12851" s="8">
        <f t="shared" si="1"/>
        <v>4</v>
      </c>
      <c r="H12851" s="14">
        <f t="shared" si="2"/>
        <v>19</v>
      </c>
      <c r="I12851" s="15">
        <f t="shared" si="3"/>
        <v>11</v>
      </c>
    </row>
    <row r="12852">
      <c r="A12852" s="8" t="str">
        <f>IFERROR(__xludf.DUMMYFUNCTION("IF('(INGESTA)Datos_consumo_datadis'!A12852&lt;&gt;"""",SPLIT('(INGESTA)Datos_consumo_datadis'!A:A,"",""),"""")"),"ES0031408323131005HX0F")</f>
        <v>ES0031408323131005HX0F</v>
      </c>
      <c r="B12852" s="12">
        <f>IFERROR(__xludf.DUMMYFUNCTION("""COMPUTED_VALUE"""),45401.0)</f>
        <v>45401</v>
      </c>
      <c r="C12852" s="13">
        <f>IFERROR(__xludf.DUMMYFUNCTION("""COMPUTED_VALUE"""),0.5)</f>
        <v>0.5</v>
      </c>
      <c r="D12852" s="8">
        <f>IFERROR(__xludf.DUMMYFUNCTION("""COMPUTED_VALUE"""),1.49)</f>
        <v>1.49</v>
      </c>
      <c r="E12852" s="8" t="str">
        <f>IFERROR(__xludf.DUMMYFUNCTION("""COMPUTED_VALUE"""),"Real")</f>
        <v>Real</v>
      </c>
      <c r="G12852" s="8">
        <f t="shared" si="1"/>
        <v>4</v>
      </c>
      <c r="H12852" s="14">
        <f t="shared" si="2"/>
        <v>19</v>
      </c>
      <c r="I12852" s="15">
        <f t="shared" si="3"/>
        <v>12</v>
      </c>
    </row>
    <row r="12853">
      <c r="A12853" s="8" t="str">
        <f>IFERROR(__xludf.DUMMYFUNCTION("IF('(INGESTA)Datos_consumo_datadis'!A12853&lt;&gt;"""",SPLIT('(INGESTA)Datos_consumo_datadis'!A:A,"",""),"""")"),"ES0031408323131005HX0F")</f>
        <v>ES0031408323131005HX0F</v>
      </c>
      <c r="B12853" s="12">
        <f>IFERROR(__xludf.DUMMYFUNCTION("""COMPUTED_VALUE"""),45401.0)</f>
        <v>45401</v>
      </c>
      <c r="C12853" s="13">
        <f>IFERROR(__xludf.DUMMYFUNCTION("""COMPUTED_VALUE"""),0.5416666666666666)</f>
        <v>0.5416666667</v>
      </c>
      <c r="D12853" s="8">
        <f>IFERROR(__xludf.DUMMYFUNCTION("""COMPUTED_VALUE"""),0.121)</f>
        <v>0.121</v>
      </c>
      <c r="E12853" s="8" t="str">
        <f>IFERROR(__xludf.DUMMYFUNCTION("""COMPUTED_VALUE"""),"Real")</f>
        <v>Real</v>
      </c>
      <c r="G12853" s="8">
        <f t="shared" si="1"/>
        <v>4</v>
      </c>
      <c r="H12853" s="14">
        <f t="shared" si="2"/>
        <v>19</v>
      </c>
      <c r="I12853" s="15">
        <f t="shared" si="3"/>
        <v>13</v>
      </c>
    </row>
    <row r="12854">
      <c r="A12854" s="8" t="str">
        <f>IFERROR(__xludf.DUMMYFUNCTION("IF('(INGESTA)Datos_consumo_datadis'!A12854&lt;&gt;"""",SPLIT('(INGESTA)Datos_consumo_datadis'!A:A,"",""),"""")"),"ES0031408323131005HX0F")</f>
        <v>ES0031408323131005HX0F</v>
      </c>
      <c r="B12854" s="12">
        <f>IFERROR(__xludf.DUMMYFUNCTION("""COMPUTED_VALUE"""),45401.0)</f>
        <v>45401</v>
      </c>
      <c r="C12854" s="13">
        <f>IFERROR(__xludf.DUMMYFUNCTION("""COMPUTED_VALUE"""),0.5833333333333334)</f>
        <v>0.5833333333</v>
      </c>
      <c r="D12854" s="8">
        <f>IFERROR(__xludf.DUMMYFUNCTION("""COMPUTED_VALUE"""),1.73)</f>
        <v>1.73</v>
      </c>
      <c r="E12854" s="8" t="str">
        <f>IFERROR(__xludf.DUMMYFUNCTION("""COMPUTED_VALUE"""),"Real")</f>
        <v>Real</v>
      </c>
      <c r="G12854" s="8">
        <f t="shared" si="1"/>
        <v>4</v>
      </c>
      <c r="H12854" s="14">
        <f t="shared" si="2"/>
        <v>19</v>
      </c>
      <c r="I12854" s="15">
        <f t="shared" si="3"/>
        <v>14</v>
      </c>
    </row>
    <row r="12855">
      <c r="A12855" s="8" t="str">
        <f>IFERROR(__xludf.DUMMYFUNCTION("IF('(INGESTA)Datos_consumo_datadis'!A12855&lt;&gt;"""",SPLIT('(INGESTA)Datos_consumo_datadis'!A:A,"",""),"""")"),"ES0031408323131005HX0F")</f>
        <v>ES0031408323131005HX0F</v>
      </c>
      <c r="B12855" s="12">
        <f>IFERROR(__xludf.DUMMYFUNCTION("""COMPUTED_VALUE"""),45401.0)</f>
        <v>45401</v>
      </c>
      <c r="C12855" s="13">
        <f>IFERROR(__xludf.DUMMYFUNCTION("""COMPUTED_VALUE"""),0.625)</f>
        <v>0.625</v>
      </c>
      <c r="D12855" s="8">
        <f>IFERROR(__xludf.DUMMYFUNCTION("""COMPUTED_VALUE"""),1.647)</f>
        <v>1.647</v>
      </c>
      <c r="E12855" s="8" t="str">
        <f>IFERROR(__xludf.DUMMYFUNCTION("""COMPUTED_VALUE"""),"Real")</f>
        <v>Real</v>
      </c>
      <c r="G12855" s="8">
        <f t="shared" si="1"/>
        <v>4</v>
      </c>
      <c r="H12855" s="14">
        <f t="shared" si="2"/>
        <v>19</v>
      </c>
      <c r="I12855" s="15">
        <f t="shared" si="3"/>
        <v>15</v>
      </c>
    </row>
    <row r="12856">
      <c r="A12856" s="8" t="str">
        <f>IFERROR(__xludf.DUMMYFUNCTION("IF('(INGESTA)Datos_consumo_datadis'!A12856&lt;&gt;"""",SPLIT('(INGESTA)Datos_consumo_datadis'!A:A,"",""),"""")"),"ES0031408323131005HX0F")</f>
        <v>ES0031408323131005HX0F</v>
      </c>
      <c r="B12856" s="12">
        <f>IFERROR(__xludf.DUMMYFUNCTION("""COMPUTED_VALUE"""),45401.0)</f>
        <v>45401</v>
      </c>
      <c r="C12856" s="13">
        <f>IFERROR(__xludf.DUMMYFUNCTION("""COMPUTED_VALUE"""),0.6666666666666666)</f>
        <v>0.6666666667</v>
      </c>
      <c r="D12856" s="8">
        <f>IFERROR(__xludf.DUMMYFUNCTION("""COMPUTED_VALUE"""),0.564)</f>
        <v>0.564</v>
      </c>
      <c r="E12856" s="8" t="str">
        <f>IFERROR(__xludf.DUMMYFUNCTION("""COMPUTED_VALUE"""),"Real")</f>
        <v>Real</v>
      </c>
      <c r="G12856" s="8">
        <f t="shared" si="1"/>
        <v>4</v>
      </c>
      <c r="H12856" s="14">
        <f t="shared" si="2"/>
        <v>19</v>
      </c>
      <c r="I12856" s="15">
        <f t="shared" si="3"/>
        <v>16</v>
      </c>
    </row>
    <row r="12857">
      <c r="A12857" s="8" t="str">
        <f>IFERROR(__xludf.DUMMYFUNCTION("IF('(INGESTA)Datos_consumo_datadis'!A12857&lt;&gt;"""",SPLIT('(INGESTA)Datos_consumo_datadis'!A:A,"",""),"""")"),"ES0031408323131005HX0F")</f>
        <v>ES0031408323131005HX0F</v>
      </c>
      <c r="B12857" s="12">
        <f>IFERROR(__xludf.DUMMYFUNCTION("""COMPUTED_VALUE"""),45401.0)</f>
        <v>45401</v>
      </c>
      <c r="C12857" s="13">
        <f>IFERROR(__xludf.DUMMYFUNCTION("""COMPUTED_VALUE"""),0.7083333333333334)</f>
        <v>0.7083333333</v>
      </c>
      <c r="D12857" s="8">
        <f>IFERROR(__xludf.DUMMYFUNCTION("""COMPUTED_VALUE"""),0.071)</f>
        <v>0.071</v>
      </c>
      <c r="E12857" s="8" t="str">
        <f>IFERROR(__xludf.DUMMYFUNCTION("""COMPUTED_VALUE"""),"Real")</f>
        <v>Real</v>
      </c>
      <c r="G12857" s="8">
        <f t="shared" si="1"/>
        <v>4</v>
      </c>
      <c r="H12857" s="14">
        <f t="shared" si="2"/>
        <v>19</v>
      </c>
      <c r="I12857" s="15">
        <f t="shared" si="3"/>
        <v>17</v>
      </c>
    </row>
    <row r="12858">
      <c r="A12858" s="8" t="str">
        <f>IFERROR(__xludf.DUMMYFUNCTION("IF('(INGESTA)Datos_consumo_datadis'!A12858&lt;&gt;"""",SPLIT('(INGESTA)Datos_consumo_datadis'!A:A,"",""),"""")"),"ES0031408323131005HX0F")</f>
        <v>ES0031408323131005HX0F</v>
      </c>
      <c r="B12858" s="12">
        <f>IFERROR(__xludf.DUMMYFUNCTION("""COMPUTED_VALUE"""),45401.0)</f>
        <v>45401</v>
      </c>
      <c r="C12858" s="13">
        <f>IFERROR(__xludf.DUMMYFUNCTION("""COMPUTED_VALUE"""),0.75)</f>
        <v>0.75</v>
      </c>
      <c r="D12858" s="8">
        <f>IFERROR(__xludf.DUMMYFUNCTION("""COMPUTED_VALUE"""),0.073)</f>
        <v>0.073</v>
      </c>
      <c r="E12858" s="8" t="str">
        <f>IFERROR(__xludf.DUMMYFUNCTION("""COMPUTED_VALUE"""),"Real")</f>
        <v>Real</v>
      </c>
      <c r="G12858" s="8">
        <f t="shared" si="1"/>
        <v>4</v>
      </c>
      <c r="H12858" s="14">
        <f t="shared" si="2"/>
        <v>19</v>
      </c>
      <c r="I12858" s="15">
        <f t="shared" si="3"/>
        <v>18</v>
      </c>
    </row>
    <row r="12859">
      <c r="A12859" s="8" t="str">
        <f>IFERROR(__xludf.DUMMYFUNCTION("IF('(INGESTA)Datos_consumo_datadis'!A12859&lt;&gt;"""",SPLIT('(INGESTA)Datos_consumo_datadis'!A:A,"",""),"""")"),"ES0031408323131005HX0F")</f>
        <v>ES0031408323131005HX0F</v>
      </c>
      <c r="B12859" s="12">
        <f>IFERROR(__xludf.DUMMYFUNCTION("""COMPUTED_VALUE"""),45401.0)</f>
        <v>45401</v>
      </c>
      <c r="C12859" s="13">
        <f>IFERROR(__xludf.DUMMYFUNCTION("""COMPUTED_VALUE"""),0.7916666666666666)</f>
        <v>0.7916666667</v>
      </c>
      <c r="D12859" s="8">
        <f>IFERROR(__xludf.DUMMYFUNCTION("""COMPUTED_VALUE"""),0.084)</f>
        <v>0.084</v>
      </c>
      <c r="E12859" s="8" t="str">
        <f>IFERROR(__xludf.DUMMYFUNCTION("""COMPUTED_VALUE"""),"Real")</f>
        <v>Real</v>
      </c>
      <c r="G12859" s="8">
        <f t="shared" si="1"/>
        <v>4</v>
      </c>
      <c r="H12859" s="14">
        <f t="shared" si="2"/>
        <v>19</v>
      </c>
      <c r="I12859" s="15">
        <f t="shared" si="3"/>
        <v>19</v>
      </c>
    </row>
    <row r="12860">
      <c r="A12860" s="8" t="str">
        <f>IFERROR(__xludf.DUMMYFUNCTION("IF('(INGESTA)Datos_consumo_datadis'!A12860&lt;&gt;"""",SPLIT('(INGESTA)Datos_consumo_datadis'!A:A,"",""),"""")"),"ES0031408323131005HX0F")</f>
        <v>ES0031408323131005HX0F</v>
      </c>
      <c r="B12860" s="12">
        <f>IFERROR(__xludf.DUMMYFUNCTION("""COMPUTED_VALUE"""),45401.0)</f>
        <v>45401</v>
      </c>
      <c r="C12860" s="13">
        <f>IFERROR(__xludf.DUMMYFUNCTION("""COMPUTED_VALUE"""),0.8333333333333334)</f>
        <v>0.8333333333</v>
      </c>
      <c r="D12860" s="8">
        <f>IFERROR(__xludf.DUMMYFUNCTION("""COMPUTED_VALUE"""),0.299)</f>
        <v>0.299</v>
      </c>
      <c r="E12860" s="8" t="str">
        <f>IFERROR(__xludf.DUMMYFUNCTION("""COMPUTED_VALUE"""),"Real")</f>
        <v>Real</v>
      </c>
      <c r="G12860" s="8">
        <f t="shared" si="1"/>
        <v>4</v>
      </c>
      <c r="H12860" s="14">
        <f t="shared" si="2"/>
        <v>19</v>
      </c>
      <c r="I12860" s="15">
        <f t="shared" si="3"/>
        <v>20</v>
      </c>
    </row>
    <row r="12861">
      <c r="A12861" s="8" t="str">
        <f>IFERROR(__xludf.DUMMYFUNCTION("IF('(INGESTA)Datos_consumo_datadis'!A12861&lt;&gt;"""",SPLIT('(INGESTA)Datos_consumo_datadis'!A:A,"",""),"""")"),"ES0031408323131005HX0F")</f>
        <v>ES0031408323131005HX0F</v>
      </c>
      <c r="B12861" s="12">
        <f>IFERROR(__xludf.DUMMYFUNCTION("""COMPUTED_VALUE"""),45401.0)</f>
        <v>45401</v>
      </c>
      <c r="C12861" s="13">
        <f>IFERROR(__xludf.DUMMYFUNCTION("""COMPUTED_VALUE"""),0.875)</f>
        <v>0.875</v>
      </c>
      <c r="D12861" s="8">
        <f>IFERROR(__xludf.DUMMYFUNCTION("""COMPUTED_VALUE"""),0.071)</f>
        <v>0.071</v>
      </c>
      <c r="E12861" s="8" t="str">
        <f>IFERROR(__xludf.DUMMYFUNCTION("""COMPUTED_VALUE"""),"Real")</f>
        <v>Real</v>
      </c>
      <c r="G12861" s="8">
        <f t="shared" si="1"/>
        <v>4</v>
      </c>
      <c r="H12861" s="14">
        <f t="shared" si="2"/>
        <v>19</v>
      </c>
      <c r="I12861" s="15">
        <f t="shared" si="3"/>
        <v>21</v>
      </c>
    </row>
    <row r="12862">
      <c r="A12862" s="8" t="str">
        <f>IFERROR(__xludf.DUMMYFUNCTION("IF('(INGESTA)Datos_consumo_datadis'!A12862&lt;&gt;"""",SPLIT('(INGESTA)Datos_consumo_datadis'!A:A,"",""),"""")"),"ES0031408323131005HX0F")</f>
        <v>ES0031408323131005HX0F</v>
      </c>
      <c r="B12862" s="12">
        <f>IFERROR(__xludf.DUMMYFUNCTION("""COMPUTED_VALUE"""),45401.0)</f>
        <v>45401</v>
      </c>
      <c r="C12862" s="13">
        <f>IFERROR(__xludf.DUMMYFUNCTION("""COMPUTED_VALUE"""),0.9166666666666666)</f>
        <v>0.9166666667</v>
      </c>
      <c r="D12862" s="8">
        <f>IFERROR(__xludf.DUMMYFUNCTION("""COMPUTED_VALUE"""),2.828)</f>
        <v>2.828</v>
      </c>
      <c r="E12862" s="8" t="str">
        <f>IFERROR(__xludf.DUMMYFUNCTION("""COMPUTED_VALUE"""),"Real")</f>
        <v>Real</v>
      </c>
      <c r="G12862" s="8">
        <f t="shared" si="1"/>
        <v>4</v>
      </c>
      <c r="H12862" s="14">
        <f t="shared" si="2"/>
        <v>19</v>
      </c>
      <c r="I12862" s="15">
        <f t="shared" si="3"/>
        <v>22</v>
      </c>
    </row>
    <row r="12863">
      <c r="A12863" s="8" t="str">
        <f>IFERROR(__xludf.DUMMYFUNCTION("IF('(INGESTA)Datos_consumo_datadis'!A12863&lt;&gt;"""",SPLIT('(INGESTA)Datos_consumo_datadis'!A:A,"",""),"""")"),"ES0031408323131005HX0F")</f>
        <v>ES0031408323131005HX0F</v>
      </c>
      <c r="B12863" s="12">
        <f>IFERROR(__xludf.DUMMYFUNCTION("""COMPUTED_VALUE"""),45401.0)</f>
        <v>45401</v>
      </c>
      <c r="C12863" s="13">
        <f>IFERROR(__xludf.DUMMYFUNCTION("""COMPUTED_VALUE"""),0.9583333333333334)</f>
        <v>0.9583333333</v>
      </c>
      <c r="D12863" s="8">
        <f>IFERROR(__xludf.DUMMYFUNCTION("""COMPUTED_VALUE"""),1.635)</f>
        <v>1.635</v>
      </c>
      <c r="E12863" s="8" t="str">
        <f>IFERROR(__xludf.DUMMYFUNCTION("""COMPUTED_VALUE"""),"Real")</f>
        <v>Real</v>
      </c>
      <c r="G12863" s="8">
        <f t="shared" si="1"/>
        <v>4</v>
      </c>
      <c r="H12863" s="14">
        <f t="shared" si="2"/>
        <v>19</v>
      </c>
      <c r="I12863" s="15">
        <f t="shared" si="3"/>
        <v>23</v>
      </c>
    </row>
    <row r="12864">
      <c r="A12864" s="8" t="str">
        <f>IFERROR(__xludf.DUMMYFUNCTION("IF('(INGESTA)Datos_consumo_datadis'!A12864&lt;&gt;"""",SPLIT('(INGESTA)Datos_consumo_datadis'!A:A,"",""),"""")"),"ES0031408323131005HX0F")</f>
        <v>ES0031408323131005HX0F</v>
      </c>
      <c r="B12864" s="12">
        <f>IFERROR(__xludf.DUMMYFUNCTION("""COMPUTED_VALUE"""),45401.0)</f>
        <v>45401</v>
      </c>
      <c r="C12864" s="16">
        <f>IFERROR(__xludf.DUMMYFUNCTION("""COMPUTED_VALUE"""),1.0)</f>
        <v>1</v>
      </c>
      <c r="D12864" s="8">
        <f>IFERROR(__xludf.DUMMYFUNCTION("""COMPUTED_VALUE"""),0.649)</f>
        <v>0.649</v>
      </c>
      <c r="E12864" s="8" t="str">
        <f>IFERROR(__xludf.DUMMYFUNCTION("""COMPUTED_VALUE"""),"Real")</f>
        <v>Real</v>
      </c>
      <c r="G12864" s="8">
        <f t="shared" si="1"/>
        <v>4</v>
      </c>
      <c r="H12864" s="14">
        <f t="shared" si="2"/>
        <v>19</v>
      </c>
      <c r="I12864" s="15">
        <f t="shared" si="3"/>
        <v>0</v>
      </c>
    </row>
    <row r="12865">
      <c r="A12865" s="8" t="str">
        <f>IFERROR(__xludf.DUMMYFUNCTION("IF('(INGESTA)Datos_consumo_datadis'!A12865&lt;&gt;"""",SPLIT('(INGESTA)Datos_consumo_datadis'!A:A,"",""),"""")"),"ES0031408323131005HX0F")</f>
        <v>ES0031408323131005HX0F</v>
      </c>
      <c r="B12865" s="12">
        <f>IFERROR(__xludf.DUMMYFUNCTION("""COMPUTED_VALUE"""),45402.0)</f>
        <v>45402</v>
      </c>
      <c r="C12865" s="13">
        <f>IFERROR(__xludf.DUMMYFUNCTION("""COMPUTED_VALUE"""),0.041666666666666664)</f>
        <v>0.04166666667</v>
      </c>
      <c r="D12865" s="8">
        <f>IFERROR(__xludf.DUMMYFUNCTION("""COMPUTED_VALUE"""),0.258)</f>
        <v>0.258</v>
      </c>
      <c r="E12865" s="8" t="str">
        <f>IFERROR(__xludf.DUMMYFUNCTION("""COMPUTED_VALUE"""),"Real")</f>
        <v>Real</v>
      </c>
      <c r="G12865" s="8">
        <f t="shared" si="1"/>
        <v>4</v>
      </c>
      <c r="H12865" s="14">
        <f t="shared" si="2"/>
        <v>20</v>
      </c>
      <c r="I12865" s="15">
        <f t="shared" si="3"/>
        <v>1</v>
      </c>
    </row>
    <row r="12866">
      <c r="A12866" s="8" t="str">
        <f>IFERROR(__xludf.DUMMYFUNCTION("IF('(INGESTA)Datos_consumo_datadis'!A12866&lt;&gt;"""",SPLIT('(INGESTA)Datos_consumo_datadis'!A:A,"",""),"""")"),"ES0031408323131005HX0F")</f>
        <v>ES0031408323131005HX0F</v>
      </c>
      <c r="B12866" s="12">
        <f>IFERROR(__xludf.DUMMYFUNCTION("""COMPUTED_VALUE"""),45402.0)</f>
        <v>45402</v>
      </c>
      <c r="C12866" s="13">
        <f>IFERROR(__xludf.DUMMYFUNCTION("""COMPUTED_VALUE"""),0.08333333333333333)</f>
        <v>0.08333333333</v>
      </c>
      <c r="D12866" s="8">
        <f>IFERROR(__xludf.DUMMYFUNCTION("""COMPUTED_VALUE"""),0.088)</f>
        <v>0.088</v>
      </c>
      <c r="E12866" s="8" t="str">
        <f>IFERROR(__xludf.DUMMYFUNCTION("""COMPUTED_VALUE"""),"Real")</f>
        <v>Real</v>
      </c>
      <c r="G12866" s="8">
        <f t="shared" si="1"/>
        <v>4</v>
      </c>
      <c r="H12866" s="14">
        <f t="shared" si="2"/>
        <v>20</v>
      </c>
      <c r="I12866" s="15">
        <f t="shared" si="3"/>
        <v>2</v>
      </c>
    </row>
    <row r="12867">
      <c r="A12867" s="8" t="str">
        <f>IFERROR(__xludf.DUMMYFUNCTION("IF('(INGESTA)Datos_consumo_datadis'!A12867&lt;&gt;"""",SPLIT('(INGESTA)Datos_consumo_datadis'!A:A,"",""),"""")"),"ES0031408323131005HX0F")</f>
        <v>ES0031408323131005HX0F</v>
      </c>
      <c r="B12867" s="12">
        <f>IFERROR(__xludf.DUMMYFUNCTION("""COMPUTED_VALUE"""),45402.0)</f>
        <v>45402</v>
      </c>
      <c r="C12867" s="13">
        <f>IFERROR(__xludf.DUMMYFUNCTION("""COMPUTED_VALUE"""),0.125)</f>
        <v>0.125</v>
      </c>
      <c r="D12867" s="8">
        <f>IFERROR(__xludf.DUMMYFUNCTION("""COMPUTED_VALUE"""),0.047)</f>
        <v>0.047</v>
      </c>
      <c r="E12867" s="8" t="str">
        <f>IFERROR(__xludf.DUMMYFUNCTION("""COMPUTED_VALUE"""),"Real")</f>
        <v>Real</v>
      </c>
      <c r="G12867" s="8">
        <f t="shared" si="1"/>
        <v>4</v>
      </c>
      <c r="H12867" s="14">
        <f t="shared" si="2"/>
        <v>20</v>
      </c>
      <c r="I12867" s="15">
        <f t="shared" si="3"/>
        <v>3</v>
      </c>
    </row>
    <row r="12868">
      <c r="A12868" s="8" t="str">
        <f>IFERROR(__xludf.DUMMYFUNCTION("IF('(INGESTA)Datos_consumo_datadis'!A12868&lt;&gt;"""",SPLIT('(INGESTA)Datos_consumo_datadis'!A:A,"",""),"""")"),"ES0031408323131005HX0F")</f>
        <v>ES0031408323131005HX0F</v>
      </c>
      <c r="B12868" s="12">
        <f>IFERROR(__xludf.DUMMYFUNCTION("""COMPUTED_VALUE"""),45402.0)</f>
        <v>45402</v>
      </c>
      <c r="C12868" s="13">
        <f>IFERROR(__xludf.DUMMYFUNCTION("""COMPUTED_VALUE"""),0.16666666666666666)</f>
        <v>0.1666666667</v>
      </c>
      <c r="D12868" s="8">
        <f>IFERROR(__xludf.DUMMYFUNCTION("""COMPUTED_VALUE"""),0.106)</f>
        <v>0.106</v>
      </c>
      <c r="E12868" s="8" t="str">
        <f>IFERROR(__xludf.DUMMYFUNCTION("""COMPUTED_VALUE"""),"Real")</f>
        <v>Real</v>
      </c>
      <c r="G12868" s="8">
        <f t="shared" si="1"/>
        <v>4</v>
      </c>
      <c r="H12868" s="14">
        <f t="shared" si="2"/>
        <v>20</v>
      </c>
      <c r="I12868" s="15">
        <f t="shared" si="3"/>
        <v>4</v>
      </c>
    </row>
    <row r="12869">
      <c r="A12869" s="8" t="str">
        <f>IFERROR(__xludf.DUMMYFUNCTION("IF('(INGESTA)Datos_consumo_datadis'!A12869&lt;&gt;"""",SPLIT('(INGESTA)Datos_consumo_datadis'!A:A,"",""),"""")"),"ES0031408323131005HX0F")</f>
        <v>ES0031408323131005HX0F</v>
      </c>
      <c r="B12869" s="12">
        <f>IFERROR(__xludf.DUMMYFUNCTION("""COMPUTED_VALUE"""),45402.0)</f>
        <v>45402</v>
      </c>
      <c r="C12869" s="13">
        <f>IFERROR(__xludf.DUMMYFUNCTION("""COMPUTED_VALUE"""),0.20833333333333334)</f>
        <v>0.2083333333</v>
      </c>
      <c r="D12869" s="8">
        <f>IFERROR(__xludf.DUMMYFUNCTION("""COMPUTED_VALUE"""),0.217)</f>
        <v>0.217</v>
      </c>
      <c r="E12869" s="8" t="str">
        <f>IFERROR(__xludf.DUMMYFUNCTION("""COMPUTED_VALUE"""),"Real")</f>
        <v>Real</v>
      </c>
      <c r="G12869" s="8">
        <f t="shared" si="1"/>
        <v>4</v>
      </c>
      <c r="H12869" s="14">
        <f t="shared" si="2"/>
        <v>20</v>
      </c>
      <c r="I12869" s="15">
        <f t="shared" si="3"/>
        <v>5</v>
      </c>
    </row>
    <row r="12870">
      <c r="A12870" s="8" t="str">
        <f>IFERROR(__xludf.DUMMYFUNCTION("IF('(INGESTA)Datos_consumo_datadis'!A12870&lt;&gt;"""",SPLIT('(INGESTA)Datos_consumo_datadis'!A:A,"",""),"""")"),"ES0031408323131005HX0F")</f>
        <v>ES0031408323131005HX0F</v>
      </c>
      <c r="B12870" s="12">
        <f>IFERROR(__xludf.DUMMYFUNCTION("""COMPUTED_VALUE"""),45402.0)</f>
        <v>45402</v>
      </c>
      <c r="C12870" s="13">
        <f>IFERROR(__xludf.DUMMYFUNCTION("""COMPUTED_VALUE"""),0.25)</f>
        <v>0.25</v>
      </c>
      <c r="D12870" s="8">
        <f>IFERROR(__xludf.DUMMYFUNCTION("""COMPUTED_VALUE"""),0.239)</f>
        <v>0.239</v>
      </c>
      <c r="E12870" s="8" t="str">
        <f>IFERROR(__xludf.DUMMYFUNCTION("""COMPUTED_VALUE"""),"Real")</f>
        <v>Real</v>
      </c>
      <c r="G12870" s="8">
        <f t="shared" si="1"/>
        <v>4</v>
      </c>
      <c r="H12870" s="14">
        <f t="shared" si="2"/>
        <v>20</v>
      </c>
      <c r="I12870" s="15">
        <f t="shared" si="3"/>
        <v>6</v>
      </c>
    </row>
    <row r="12871">
      <c r="A12871" s="8" t="str">
        <f>IFERROR(__xludf.DUMMYFUNCTION("IF('(INGESTA)Datos_consumo_datadis'!A12871&lt;&gt;"""",SPLIT('(INGESTA)Datos_consumo_datadis'!A:A,"",""),"""")"),"ES0031408323131005HX0F")</f>
        <v>ES0031408323131005HX0F</v>
      </c>
      <c r="B12871" s="12">
        <f>IFERROR(__xludf.DUMMYFUNCTION("""COMPUTED_VALUE"""),45402.0)</f>
        <v>45402</v>
      </c>
      <c r="C12871" s="13">
        <f>IFERROR(__xludf.DUMMYFUNCTION("""COMPUTED_VALUE"""),0.2916666666666667)</f>
        <v>0.2916666667</v>
      </c>
      <c r="D12871" s="8">
        <f>IFERROR(__xludf.DUMMYFUNCTION("""COMPUTED_VALUE"""),0.079)</f>
        <v>0.079</v>
      </c>
      <c r="E12871" s="8" t="str">
        <f>IFERROR(__xludf.DUMMYFUNCTION("""COMPUTED_VALUE"""),"Real")</f>
        <v>Real</v>
      </c>
      <c r="G12871" s="8">
        <f t="shared" si="1"/>
        <v>4</v>
      </c>
      <c r="H12871" s="14">
        <f t="shared" si="2"/>
        <v>20</v>
      </c>
      <c r="I12871" s="15">
        <f t="shared" si="3"/>
        <v>7</v>
      </c>
    </row>
    <row r="12872">
      <c r="A12872" s="8" t="str">
        <f>IFERROR(__xludf.DUMMYFUNCTION("IF('(INGESTA)Datos_consumo_datadis'!A12872&lt;&gt;"""",SPLIT('(INGESTA)Datos_consumo_datadis'!A:A,"",""),"""")"),"ES0031408323131005HX0F")</f>
        <v>ES0031408323131005HX0F</v>
      </c>
      <c r="B12872" s="12">
        <f>IFERROR(__xludf.DUMMYFUNCTION("""COMPUTED_VALUE"""),45402.0)</f>
        <v>45402</v>
      </c>
      <c r="C12872" s="13">
        <f>IFERROR(__xludf.DUMMYFUNCTION("""COMPUTED_VALUE"""),0.3333333333333333)</f>
        <v>0.3333333333</v>
      </c>
      <c r="D12872" s="8">
        <f>IFERROR(__xludf.DUMMYFUNCTION("""COMPUTED_VALUE"""),0.041)</f>
        <v>0.041</v>
      </c>
      <c r="E12872" s="8" t="str">
        <f>IFERROR(__xludf.DUMMYFUNCTION("""COMPUTED_VALUE"""),"Real")</f>
        <v>Real</v>
      </c>
      <c r="G12872" s="8">
        <f t="shared" si="1"/>
        <v>4</v>
      </c>
      <c r="H12872" s="14">
        <f t="shared" si="2"/>
        <v>20</v>
      </c>
      <c r="I12872" s="15">
        <f t="shared" si="3"/>
        <v>8</v>
      </c>
    </row>
    <row r="12873">
      <c r="A12873" s="8" t="str">
        <f>IFERROR(__xludf.DUMMYFUNCTION("IF('(INGESTA)Datos_consumo_datadis'!A12873&lt;&gt;"""",SPLIT('(INGESTA)Datos_consumo_datadis'!A:A,"",""),"""")"),"ES0031408323131005HX0F")</f>
        <v>ES0031408323131005HX0F</v>
      </c>
      <c r="B12873" s="12">
        <f>IFERROR(__xludf.DUMMYFUNCTION("""COMPUTED_VALUE"""),45402.0)</f>
        <v>45402</v>
      </c>
      <c r="C12873" s="13">
        <f>IFERROR(__xludf.DUMMYFUNCTION("""COMPUTED_VALUE"""),0.375)</f>
        <v>0.375</v>
      </c>
      <c r="D12873" s="8">
        <f>IFERROR(__xludf.DUMMYFUNCTION("""COMPUTED_VALUE"""),2.356)</f>
        <v>2.356</v>
      </c>
      <c r="E12873" s="8" t="str">
        <f>IFERROR(__xludf.DUMMYFUNCTION("""COMPUTED_VALUE"""),"Real")</f>
        <v>Real</v>
      </c>
      <c r="G12873" s="8">
        <f t="shared" si="1"/>
        <v>4</v>
      </c>
      <c r="H12873" s="14">
        <f t="shared" si="2"/>
        <v>20</v>
      </c>
      <c r="I12873" s="15">
        <f t="shared" si="3"/>
        <v>9</v>
      </c>
    </row>
    <row r="12874">
      <c r="A12874" s="8" t="str">
        <f>IFERROR(__xludf.DUMMYFUNCTION("IF('(INGESTA)Datos_consumo_datadis'!A12874&lt;&gt;"""",SPLIT('(INGESTA)Datos_consumo_datadis'!A:A,"",""),"""")"),"ES0031408323131005HX0F")</f>
        <v>ES0031408323131005HX0F</v>
      </c>
      <c r="B12874" s="12">
        <f>IFERROR(__xludf.DUMMYFUNCTION("""COMPUTED_VALUE"""),45402.0)</f>
        <v>45402</v>
      </c>
      <c r="C12874" s="13">
        <f>IFERROR(__xludf.DUMMYFUNCTION("""COMPUTED_VALUE"""),0.4166666666666667)</f>
        <v>0.4166666667</v>
      </c>
      <c r="D12874" s="8">
        <f>IFERROR(__xludf.DUMMYFUNCTION("""COMPUTED_VALUE"""),1.043)</f>
        <v>1.043</v>
      </c>
      <c r="E12874" s="8" t="str">
        <f>IFERROR(__xludf.DUMMYFUNCTION("""COMPUTED_VALUE"""),"Real")</f>
        <v>Real</v>
      </c>
      <c r="G12874" s="8">
        <f t="shared" si="1"/>
        <v>4</v>
      </c>
      <c r="H12874" s="14">
        <f t="shared" si="2"/>
        <v>20</v>
      </c>
      <c r="I12874" s="15">
        <f t="shared" si="3"/>
        <v>10</v>
      </c>
    </row>
    <row r="12875">
      <c r="A12875" s="8" t="str">
        <f>IFERROR(__xludf.DUMMYFUNCTION("IF('(INGESTA)Datos_consumo_datadis'!A12875&lt;&gt;"""",SPLIT('(INGESTA)Datos_consumo_datadis'!A:A,"",""),"""")"),"ES0031408323131005HX0F")</f>
        <v>ES0031408323131005HX0F</v>
      </c>
      <c r="B12875" s="12">
        <f>IFERROR(__xludf.DUMMYFUNCTION("""COMPUTED_VALUE"""),45402.0)</f>
        <v>45402</v>
      </c>
      <c r="C12875" s="13">
        <f>IFERROR(__xludf.DUMMYFUNCTION("""COMPUTED_VALUE"""),0.4583333333333333)</f>
        <v>0.4583333333</v>
      </c>
      <c r="D12875" s="8">
        <f>IFERROR(__xludf.DUMMYFUNCTION("""COMPUTED_VALUE"""),0.045)</f>
        <v>0.045</v>
      </c>
      <c r="E12875" s="8" t="str">
        <f>IFERROR(__xludf.DUMMYFUNCTION("""COMPUTED_VALUE"""),"Real")</f>
        <v>Real</v>
      </c>
      <c r="G12875" s="8">
        <f t="shared" si="1"/>
        <v>4</v>
      </c>
      <c r="H12875" s="14">
        <f t="shared" si="2"/>
        <v>20</v>
      </c>
      <c r="I12875" s="15">
        <f t="shared" si="3"/>
        <v>11</v>
      </c>
    </row>
    <row r="12876">
      <c r="A12876" s="8" t="str">
        <f>IFERROR(__xludf.DUMMYFUNCTION("IF('(INGESTA)Datos_consumo_datadis'!A12876&lt;&gt;"""",SPLIT('(INGESTA)Datos_consumo_datadis'!A:A,"",""),"""")"),"ES0031408323131005HX0F")</f>
        <v>ES0031408323131005HX0F</v>
      </c>
      <c r="B12876" s="12">
        <f>IFERROR(__xludf.DUMMYFUNCTION("""COMPUTED_VALUE"""),45402.0)</f>
        <v>45402</v>
      </c>
      <c r="C12876" s="13">
        <f>IFERROR(__xludf.DUMMYFUNCTION("""COMPUTED_VALUE"""),0.5)</f>
        <v>0.5</v>
      </c>
      <c r="D12876" s="8">
        <f>IFERROR(__xludf.DUMMYFUNCTION("""COMPUTED_VALUE"""),0.089)</f>
        <v>0.089</v>
      </c>
      <c r="E12876" s="8" t="str">
        <f>IFERROR(__xludf.DUMMYFUNCTION("""COMPUTED_VALUE"""),"Real")</f>
        <v>Real</v>
      </c>
      <c r="G12876" s="8">
        <f t="shared" si="1"/>
        <v>4</v>
      </c>
      <c r="H12876" s="14">
        <f t="shared" si="2"/>
        <v>20</v>
      </c>
      <c r="I12876" s="15">
        <f t="shared" si="3"/>
        <v>12</v>
      </c>
    </row>
    <row r="12877">
      <c r="A12877" s="8" t="str">
        <f>IFERROR(__xludf.DUMMYFUNCTION("IF('(INGESTA)Datos_consumo_datadis'!A12877&lt;&gt;"""",SPLIT('(INGESTA)Datos_consumo_datadis'!A:A,"",""),"""")"),"ES0031408323131005HX0F")</f>
        <v>ES0031408323131005HX0F</v>
      </c>
      <c r="B12877" s="12">
        <f>IFERROR(__xludf.DUMMYFUNCTION("""COMPUTED_VALUE"""),45402.0)</f>
        <v>45402</v>
      </c>
      <c r="C12877" s="13">
        <f>IFERROR(__xludf.DUMMYFUNCTION("""COMPUTED_VALUE"""),0.5416666666666666)</f>
        <v>0.5416666667</v>
      </c>
      <c r="D12877" s="8">
        <f>IFERROR(__xludf.DUMMYFUNCTION("""COMPUTED_VALUE"""),0.069)</f>
        <v>0.069</v>
      </c>
      <c r="E12877" s="8" t="str">
        <f>IFERROR(__xludf.DUMMYFUNCTION("""COMPUTED_VALUE"""),"Real")</f>
        <v>Real</v>
      </c>
      <c r="G12877" s="8">
        <f t="shared" si="1"/>
        <v>4</v>
      </c>
      <c r="H12877" s="14">
        <f t="shared" si="2"/>
        <v>20</v>
      </c>
      <c r="I12877" s="15">
        <f t="shared" si="3"/>
        <v>13</v>
      </c>
    </row>
    <row r="12878">
      <c r="A12878" s="8" t="str">
        <f>IFERROR(__xludf.DUMMYFUNCTION("IF('(INGESTA)Datos_consumo_datadis'!A12878&lt;&gt;"""",SPLIT('(INGESTA)Datos_consumo_datadis'!A:A,"",""),"""")"),"ES0031408323131005HX0F")</f>
        <v>ES0031408323131005HX0F</v>
      </c>
      <c r="B12878" s="12">
        <f>IFERROR(__xludf.DUMMYFUNCTION("""COMPUTED_VALUE"""),45402.0)</f>
        <v>45402</v>
      </c>
      <c r="C12878" s="13">
        <f>IFERROR(__xludf.DUMMYFUNCTION("""COMPUTED_VALUE"""),0.5833333333333334)</f>
        <v>0.5833333333</v>
      </c>
      <c r="D12878" s="8">
        <f>IFERROR(__xludf.DUMMYFUNCTION("""COMPUTED_VALUE"""),0.063)</f>
        <v>0.063</v>
      </c>
      <c r="E12878" s="8" t="str">
        <f>IFERROR(__xludf.DUMMYFUNCTION("""COMPUTED_VALUE"""),"Real")</f>
        <v>Real</v>
      </c>
      <c r="G12878" s="8">
        <f t="shared" si="1"/>
        <v>4</v>
      </c>
      <c r="H12878" s="14">
        <f t="shared" si="2"/>
        <v>20</v>
      </c>
      <c r="I12878" s="15">
        <f t="shared" si="3"/>
        <v>14</v>
      </c>
    </row>
    <row r="12879">
      <c r="A12879" s="8" t="str">
        <f>IFERROR(__xludf.DUMMYFUNCTION("IF('(INGESTA)Datos_consumo_datadis'!A12879&lt;&gt;"""",SPLIT('(INGESTA)Datos_consumo_datadis'!A:A,"",""),"""")"),"ES0031408323131005HX0F")</f>
        <v>ES0031408323131005HX0F</v>
      </c>
      <c r="B12879" s="12">
        <f>IFERROR(__xludf.DUMMYFUNCTION("""COMPUTED_VALUE"""),45402.0)</f>
        <v>45402</v>
      </c>
      <c r="C12879" s="13">
        <f>IFERROR(__xludf.DUMMYFUNCTION("""COMPUTED_VALUE"""),0.625)</f>
        <v>0.625</v>
      </c>
      <c r="D12879" s="8">
        <f>IFERROR(__xludf.DUMMYFUNCTION("""COMPUTED_VALUE"""),0.321)</f>
        <v>0.321</v>
      </c>
      <c r="E12879" s="8" t="str">
        <f>IFERROR(__xludf.DUMMYFUNCTION("""COMPUTED_VALUE"""),"Real")</f>
        <v>Real</v>
      </c>
      <c r="G12879" s="8">
        <f t="shared" si="1"/>
        <v>4</v>
      </c>
      <c r="H12879" s="14">
        <f t="shared" si="2"/>
        <v>20</v>
      </c>
      <c r="I12879" s="15">
        <f t="shared" si="3"/>
        <v>15</v>
      </c>
    </row>
    <row r="12880">
      <c r="A12880" s="8" t="str">
        <f>IFERROR(__xludf.DUMMYFUNCTION("IF('(INGESTA)Datos_consumo_datadis'!A12880&lt;&gt;"""",SPLIT('(INGESTA)Datos_consumo_datadis'!A:A,"",""),"""")"),"ES0031408323131005HX0F")</f>
        <v>ES0031408323131005HX0F</v>
      </c>
      <c r="B12880" s="12">
        <f>IFERROR(__xludf.DUMMYFUNCTION("""COMPUTED_VALUE"""),45402.0)</f>
        <v>45402</v>
      </c>
      <c r="C12880" s="13">
        <f>IFERROR(__xludf.DUMMYFUNCTION("""COMPUTED_VALUE"""),0.6666666666666666)</f>
        <v>0.6666666667</v>
      </c>
      <c r="D12880" s="8">
        <f>IFERROR(__xludf.DUMMYFUNCTION("""COMPUTED_VALUE"""),0.043)</f>
        <v>0.043</v>
      </c>
      <c r="E12880" s="8" t="str">
        <f>IFERROR(__xludf.DUMMYFUNCTION("""COMPUTED_VALUE"""),"Real")</f>
        <v>Real</v>
      </c>
      <c r="G12880" s="8">
        <f t="shared" si="1"/>
        <v>4</v>
      </c>
      <c r="H12880" s="14">
        <f t="shared" si="2"/>
        <v>20</v>
      </c>
      <c r="I12880" s="15">
        <f t="shared" si="3"/>
        <v>16</v>
      </c>
    </row>
    <row r="12881">
      <c r="A12881" s="8" t="str">
        <f>IFERROR(__xludf.DUMMYFUNCTION("IF('(INGESTA)Datos_consumo_datadis'!A12881&lt;&gt;"""",SPLIT('(INGESTA)Datos_consumo_datadis'!A:A,"",""),"""")"),"ES0031408323131005HX0F")</f>
        <v>ES0031408323131005HX0F</v>
      </c>
      <c r="B12881" s="12">
        <f>IFERROR(__xludf.DUMMYFUNCTION("""COMPUTED_VALUE"""),45402.0)</f>
        <v>45402</v>
      </c>
      <c r="C12881" s="13">
        <f>IFERROR(__xludf.DUMMYFUNCTION("""COMPUTED_VALUE"""),0.7083333333333334)</f>
        <v>0.7083333333</v>
      </c>
      <c r="D12881" s="8">
        <f>IFERROR(__xludf.DUMMYFUNCTION("""COMPUTED_VALUE"""),0.091)</f>
        <v>0.091</v>
      </c>
      <c r="E12881" s="8" t="str">
        <f>IFERROR(__xludf.DUMMYFUNCTION("""COMPUTED_VALUE"""),"Real")</f>
        <v>Real</v>
      </c>
      <c r="G12881" s="8">
        <f t="shared" si="1"/>
        <v>4</v>
      </c>
      <c r="H12881" s="14">
        <f t="shared" si="2"/>
        <v>20</v>
      </c>
      <c r="I12881" s="15">
        <f t="shared" si="3"/>
        <v>17</v>
      </c>
    </row>
    <row r="12882">
      <c r="A12882" s="8" t="str">
        <f>IFERROR(__xludf.DUMMYFUNCTION("IF('(INGESTA)Datos_consumo_datadis'!A12882&lt;&gt;"""",SPLIT('(INGESTA)Datos_consumo_datadis'!A:A,"",""),"""")"),"ES0031408323131005HX0F")</f>
        <v>ES0031408323131005HX0F</v>
      </c>
      <c r="B12882" s="12">
        <f>IFERROR(__xludf.DUMMYFUNCTION("""COMPUTED_VALUE"""),45402.0)</f>
        <v>45402</v>
      </c>
      <c r="C12882" s="13">
        <f>IFERROR(__xludf.DUMMYFUNCTION("""COMPUTED_VALUE"""),0.75)</f>
        <v>0.75</v>
      </c>
      <c r="D12882" s="8">
        <f>IFERROR(__xludf.DUMMYFUNCTION("""COMPUTED_VALUE"""),0.067)</f>
        <v>0.067</v>
      </c>
      <c r="E12882" s="8" t="str">
        <f>IFERROR(__xludf.DUMMYFUNCTION("""COMPUTED_VALUE"""),"Real")</f>
        <v>Real</v>
      </c>
      <c r="G12882" s="8">
        <f t="shared" si="1"/>
        <v>4</v>
      </c>
      <c r="H12882" s="14">
        <f t="shared" si="2"/>
        <v>20</v>
      </c>
      <c r="I12882" s="15">
        <f t="shared" si="3"/>
        <v>18</v>
      </c>
    </row>
    <row r="12883">
      <c r="A12883" s="8" t="str">
        <f>IFERROR(__xludf.DUMMYFUNCTION("IF('(INGESTA)Datos_consumo_datadis'!A12883&lt;&gt;"""",SPLIT('(INGESTA)Datos_consumo_datadis'!A:A,"",""),"""")"),"ES0031408323131005HX0F")</f>
        <v>ES0031408323131005HX0F</v>
      </c>
      <c r="B12883" s="12">
        <f>IFERROR(__xludf.DUMMYFUNCTION("""COMPUTED_VALUE"""),45402.0)</f>
        <v>45402</v>
      </c>
      <c r="C12883" s="13">
        <f>IFERROR(__xludf.DUMMYFUNCTION("""COMPUTED_VALUE"""),0.7916666666666666)</f>
        <v>0.7916666667</v>
      </c>
      <c r="D12883" s="8">
        <f>IFERROR(__xludf.DUMMYFUNCTION("""COMPUTED_VALUE"""),0.042)</f>
        <v>0.042</v>
      </c>
      <c r="E12883" s="8" t="str">
        <f>IFERROR(__xludf.DUMMYFUNCTION("""COMPUTED_VALUE"""),"Real")</f>
        <v>Real</v>
      </c>
      <c r="G12883" s="8">
        <f t="shared" si="1"/>
        <v>4</v>
      </c>
      <c r="H12883" s="14">
        <f t="shared" si="2"/>
        <v>20</v>
      </c>
      <c r="I12883" s="15">
        <f t="shared" si="3"/>
        <v>19</v>
      </c>
    </row>
    <row r="12884">
      <c r="A12884" s="8" t="str">
        <f>IFERROR(__xludf.DUMMYFUNCTION("IF('(INGESTA)Datos_consumo_datadis'!A12884&lt;&gt;"""",SPLIT('(INGESTA)Datos_consumo_datadis'!A:A,"",""),"""")"),"ES0031408323131005HX0F")</f>
        <v>ES0031408323131005HX0F</v>
      </c>
      <c r="B12884" s="12">
        <f>IFERROR(__xludf.DUMMYFUNCTION("""COMPUTED_VALUE"""),45402.0)</f>
        <v>45402</v>
      </c>
      <c r="C12884" s="13">
        <f>IFERROR(__xludf.DUMMYFUNCTION("""COMPUTED_VALUE"""),0.8333333333333334)</f>
        <v>0.8333333333</v>
      </c>
      <c r="D12884" s="8">
        <f>IFERROR(__xludf.DUMMYFUNCTION("""COMPUTED_VALUE"""),0.078)</f>
        <v>0.078</v>
      </c>
      <c r="E12884" s="8" t="str">
        <f>IFERROR(__xludf.DUMMYFUNCTION("""COMPUTED_VALUE"""),"Real")</f>
        <v>Real</v>
      </c>
      <c r="G12884" s="8">
        <f t="shared" si="1"/>
        <v>4</v>
      </c>
      <c r="H12884" s="14">
        <f t="shared" si="2"/>
        <v>20</v>
      </c>
      <c r="I12884" s="15">
        <f t="shared" si="3"/>
        <v>20</v>
      </c>
    </row>
    <row r="12885">
      <c r="A12885" s="8" t="str">
        <f>IFERROR(__xludf.DUMMYFUNCTION("IF('(INGESTA)Datos_consumo_datadis'!A12885&lt;&gt;"""",SPLIT('(INGESTA)Datos_consumo_datadis'!A:A,"",""),"""")"),"ES0031408323131005HX0F")</f>
        <v>ES0031408323131005HX0F</v>
      </c>
      <c r="B12885" s="12">
        <f>IFERROR(__xludf.DUMMYFUNCTION("""COMPUTED_VALUE"""),45402.0)</f>
        <v>45402</v>
      </c>
      <c r="C12885" s="13">
        <f>IFERROR(__xludf.DUMMYFUNCTION("""COMPUTED_VALUE"""),0.875)</f>
        <v>0.875</v>
      </c>
      <c r="D12885" s="8">
        <f>IFERROR(__xludf.DUMMYFUNCTION("""COMPUTED_VALUE"""),1.532)</f>
        <v>1.532</v>
      </c>
      <c r="E12885" s="8" t="str">
        <f>IFERROR(__xludf.DUMMYFUNCTION("""COMPUTED_VALUE"""),"Real")</f>
        <v>Real</v>
      </c>
      <c r="G12885" s="8">
        <f t="shared" si="1"/>
        <v>4</v>
      </c>
      <c r="H12885" s="14">
        <f t="shared" si="2"/>
        <v>20</v>
      </c>
      <c r="I12885" s="15">
        <f t="shared" si="3"/>
        <v>21</v>
      </c>
    </row>
    <row r="12886">
      <c r="A12886" s="8" t="str">
        <f>IFERROR(__xludf.DUMMYFUNCTION("IF('(INGESTA)Datos_consumo_datadis'!A12886&lt;&gt;"""",SPLIT('(INGESTA)Datos_consumo_datadis'!A:A,"",""),"""")"),"ES0031408323131005HX0F")</f>
        <v>ES0031408323131005HX0F</v>
      </c>
      <c r="B12886" s="12">
        <f>IFERROR(__xludf.DUMMYFUNCTION("""COMPUTED_VALUE"""),45402.0)</f>
        <v>45402</v>
      </c>
      <c r="C12886" s="13">
        <f>IFERROR(__xludf.DUMMYFUNCTION("""COMPUTED_VALUE"""),0.9166666666666666)</f>
        <v>0.9166666667</v>
      </c>
      <c r="D12886" s="8">
        <f>IFERROR(__xludf.DUMMYFUNCTION("""COMPUTED_VALUE"""),2.278)</f>
        <v>2.278</v>
      </c>
      <c r="E12886" s="8" t="str">
        <f>IFERROR(__xludf.DUMMYFUNCTION("""COMPUTED_VALUE"""),"Real")</f>
        <v>Real</v>
      </c>
      <c r="G12886" s="8">
        <f t="shared" si="1"/>
        <v>4</v>
      </c>
      <c r="H12886" s="14">
        <f t="shared" si="2"/>
        <v>20</v>
      </c>
      <c r="I12886" s="15">
        <f t="shared" si="3"/>
        <v>22</v>
      </c>
    </row>
    <row r="12887">
      <c r="A12887" s="8" t="str">
        <f>IFERROR(__xludf.DUMMYFUNCTION("IF('(INGESTA)Datos_consumo_datadis'!A12887&lt;&gt;"""",SPLIT('(INGESTA)Datos_consumo_datadis'!A:A,"",""),"""")"),"ES0031408323131005HX0F")</f>
        <v>ES0031408323131005HX0F</v>
      </c>
      <c r="B12887" s="12">
        <f>IFERROR(__xludf.DUMMYFUNCTION("""COMPUTED_VALUE"""),45402.0)</f>
        <v>45402</v>
      </c>
      <c r="C12887" s="13">
        <f>IFERROR(__xludf.DUMMYFUNCTION("""COMPUTED_VALUE"""),0.9583333333333334)</f>
        <v>0.9583333333</v>
      </c>
      <c r="D12887" s="8">
        <f>IFERROR(__xludf.DUMMYFUNCTION("""COMPUTED_VALUE"""),1.042)</f>
        <v>1.042</v>
      </c>
      <c r="E12887" s="8" t="str">
        <f>IFERROR(__xludf.DUMMYFUNCTION("""COMPUTED_VALUE"""),"Real")</f>
        <v>Real</v>
      </c>
      <c r="G12887" s="8">
        <f t="shared" si="1"/>
        <v>4</v>
      </c>
      <c r="H12887" s="14">
        <f t="shared" si="2"/>
        <v>20</v>
      </c>
      <c r="I12887" s="15">
        <f t="shared" si="3"/>
        <v>23</v>
      </c>
    </row>
    <row r="12888">
      <c r="A12888" s="8" t="str">
        <f>IFERROR(__xludf.DUMMYFUNCTION("IF('(INGESTA)Datos_consumo_datadis'!A12888&lt;&gt;"""",SPLIT('(INGESTA)Datos_consumo_datadis'!A:A,"",""),"""")"),"ES0031408323131005HX0F")</f>
        <v>ES0031408323131005HX0F</v>
      </c>
      <c r="B12888" s="12">
        <f>IFERROR(__xludf.DUMMYFUNCTION("""COMPUTED_VALUE"""),45402.0)</f>
        <v>45402</v>
      </c>
      <c r="C12888" s="16">
        <f>IFERROR(__xludf.DUMMYFUNCTION("""COMPUTED_VALUE"""),1.0)</f>
        <v>1</v>
      </c>
      <c r="D12888" s="8">
        <f>IFERROR(__xludf.DUMMYFUNCTION("""COMPUTED_VALUE"""),0.676)</f>
        <v>0.676</v>
      </c>
      <c r="E12888" s="8" t="str">
        <f>IFERROR(__xludf.DUMMYFUNCTION("""COMPUTED_VALUE"""),"Real")</f>
        <v>Real</v>
      </c>
      <c r="G12888" s="8">
        <f t="shared" si="1"/>
        <v>4</v>
      </c>
      <c r="H12888" s="14">
        <f t="shared" si="2"/>
        <v>20</v>
      </c>
      <c r="I12888" s="15">
        <f t="shared" si="3"/>
        <v>0</v>
      </c>
    </row>
    <row r="12889">
      <c r="A12889" s="8" t="str">
        <f>IFERROR(__xludf.DUMMYFUNCTION("IF('(INGESTA)Datos_consumo_datadis'!A12889&lt;&gt;"""",SPLIT('(INGESTA)Datos_consumo_datadis'!A:A,"",""),"""")"),"ES0031408323131005HX0F")</f>
        <v>ES0031408323131005HX0F</v>
      </c>
      <c r="B12889" s="12">
        <f>IFERROR(__xludf.DUMMYFUNCTION("""COMPUTED_VALUE"""),45403.0)</f>
        <v>45403</v>
      </c>
      <c r="C12889" s="13">
        <f>IFERROR(__xludf.DUMMYFUNCTION("""COMPUTED_VALUE"""),0.041666666666666664)</f>
        <v>0.04166666667</v>
      </c>
      <c r="D12889" s="8">
        <f>IFERROR(__xludf.DUMMYFUNCTION("""COMPUTED_VALUE"""),0.37)</f>
        <v>0.37</v>
      </c>
      <c r="E12889" s="8" t="str">
        <f>IFERROR(__xludf.DUMMYFUNCTION("""COMPUTED_VALUE"""),"Real")</f>
        <v>Real</v>
      </c>
      <c r="G12889" s="8">
        <f t="shared" si="1"/>
        <v>4</v>
      </c>
      <c r="H12889" s="14">
        <f t="shared" si="2"/>
        <v>21</v>
      </c>
      <c r="I12889" s="15">
        <f t="shared" si="3"/>
        <v>1</v>
      </c>
    </row>
    <row r="12890">
      <c r="A12890" s="8" t="str">
        <f>IFERROR(__xludf.DUMMYFUNCTION("IF('(INGESTA)Datos_consumo_datadis'!A12890&lt;&gt;"""",SPLIT('(INGESTA)Datos_consumo_datadis'!A:A,"",""),"""")"),"ES0031408323131005HX0F")</f>
        <v>ES0031408323131005HX0F</v>
      </c>
      <c r="B12890" s="12">
        <f>IFERROR(__xludf.DUMMYFUNCTION("""COMPUTED_VALUE"""),45403.0)</f>
        <v>45403</v>
      </c>
      <c r="C12890" s="13">
        <f>IFERROR(__xludf.DUMMYFUNCTION("""COMPUTED_VALUE"""),0.08333333333333333)</f>
        <v>0.08333333333</v>
      </c>
      <c r="D12890" s="8">
        <f>IFERROR(__xludf.DUMMYFUNCTION("""COMPUTED_VALUE"""),0.098)</f>
        <v>0.098</v>
      </c>
      <c r="E12890" s="8" t="str">
        <f>IFERROR(__xludf.DUMMYFUNCTION("""COMPUTED_VALUE"""),"Real")</f>
        <v>Real</v>
      </c>
      <c r="G12890" s="8">
        <f t="shared" si="1"/>
        <v>4</v>
      </c>
      <c r="H12890" s="14">
        <f t="shared" si="2"/>
        <v>21</v>
      </c>
      <c r="I12890" s="15">
        <f t="shared" si="3"/>
        <v>2</v>
      </c>
    </row>
    <row r="12891">
      <c r="A12891" s="8" t="str">
        <f>IFERROR(__xludf.DUMMYFUNCTION("IF('(INGESTA)Datos_consumo_datadis'!A12891&lt;&gt;"""",SPLIT('(INGESTA)Datos_consumo_datadis'!A:A,"",""),"""")"),"ES0031408323131005HX0F")</f>
        <v>ES0031408323131005HX0F</v>
      </c>
      <c r="B12891" s="12">
        <f>IFERROR(__xludf.DUMMYFUNCTION("""COMPUTED_VALUE"""),45403.0)</f>
        <v>45403</v>
      </c>
      <c r="C12891" s="13">
        <f>IFERROR(__xludf.DUMMYFUNCTION("""COMPUTED_VALUE"""),0.125)</f>
        <v>0.125</v>
      </c>
      <c r="D12891" s="8">
        <f>IFERROR(__xludf.DUMMYFUNCTION("""COMPUTED_VALUE"""),0.078)</f>
        <v>0.078</v>
      </c>
      <c r="E12891" s="8" t="str">
        <f>IFERROR(__xludf.DUMMYFUNCTION("""COMPUTED_VALUE"""),"Real")</f>
        <v>Real</v>
      </c>
      <c r="G12891" s="8">
        <f t="shared" si="1"/>
        <v>4</v>
      </c>
      <c r="H12891" s="14">
        <f t="shared" si="2"/>
        <v>21</v>
      </c>
      <c r="I12891" s="15">
        <f t="shared" si="3"/>
        <v>3</v>
      </c>
    </row>
    <row r="12892">
      <c r="A12892" s="8" t="str">
        <f>IFERROR(__xludf.DUMMYFUNCTION("IF('(INGESTA)Datos_consumo_datadis'!A12892&lt;&gt;"""",SPLIT('(INGESTA)Datos_consumo_datadis'!A:A,"",""),"""")"),"ES0031408323131005HX0F")</f>
        <v>ES0031408323131005HX0F</v>
      </c>
      <c r="B12892" s="12">
        <f>IFERROR(__xludf.DUMMYFUNCTION("""COMPUTED_VALUE"""),45403.0)</f>
        <v>45403</v>
      </c>
      <c r="C12892" s="13">
        <f>IFERROR(__xludf.DUMMYFUNCTION("""COMPUTED_VALUE"""),0.16666666666666666)</f>
        <v>0.1666666667</v>
      </c>
      <c r="D12892" s="8">
        <f>IFERROR(__xludf.DUMMYFUNCTION("""COMPUTED_VALUE"""),0.055)</f>
        <v>0.055</v>
      </c>
      <c r="E12892" s="8" t="str">
        <f>IFERROR(__xludf.DUMMYFUNCTION("""COMPUTED_VALUE"""),"Real")</f>
        <v>Real</v>
      </c>
      <c r="G12892" s="8">
        <f t="shared" si="1"/>
        <v>4</v>
      </c>
      <c r="H12892" s="14">
        <f t="shared" si="2"/>
        <v>21</v>
      </c>
      <c r="I12892" s="15">
        <f t="shared" si="3"/>
        <v>4</v>
      </c>
    </row>
    <row r="12893">
      <c r="A12893" s="8" t="str">
        <f>IFERROR(__xludf.DUMMYFUNCTION("IF('(INGESTA)Datos_consumo_datadis'!A12893&lt;&gt;"""",SPLIT('(INGESTA)Datos_consumo_datadis'!A:A,"",""),"""")"),"ES0031408323131005HX0F")</f>
        <v>ES0031408323131005HX0F</v>
      </c>
      <c r="B12893" s="12">
        <f>IFERROR(__xludf.DUMMYFUNCTION("""COMPUTED_VALUE"""),45403.0)</f>
        <v>45403</v>
      </c>
      <c r="C12893" s="13">
        <f>IFERROR(__xludf.DUMMYFUNCTION("""COMPUTED_VALUE"""),0.20833333333333334)</f>
        <v>0.2083333333</v>
      </c>
      <c r="D12893" s="8">
        <f>IFERROR(__xludf.DUMMYFUNCTION("""COMPUTED_VALUE"""),0.073)</f>
        <v>0.073</v>
      </c>
      <c r="E12893" s="8" t="str">
        <f>IFERROR(__xludf.DUMMYFUNCTION("""COMPUTED_VALUE"""),"Real")</f>
        <v>Real</v>
      </c>
      <c r="G12893" s="8">
        <f t="shared" si="1"/>
        <v>4</v>
      </c>
      <c r="H12893" s="14">
        <f t="shared" si="2"/>
        <v>21</v>
      </c>
      <c r="I12893" s="15">
        <f t="shared" si="3"/>
        <v>5</v>
      </c>
    </row>
    <row r="12894">
      <c r="A12894" s="8" t="str">
        <f>IFERROR(__xludf.DUMMYFUNCTION("IF('(INGESTA)Datos_consumo_datadis'!A12894&lt;&gt;"""",SPLIT('(INGESTA)Datos_consumo_datadis'!A:A,"",""),"""")"),"ES0031408323131005HX0F")</f>
        <v>ES0031408323131005HX0F</v>
      </c>
      <c r="B12894" s="12">
        <f>IFERROR(__xludf.DUMMYFUNCTION("""COMPUTED_VALUE"""),45403.0)</f>
        <v>45403</v>
      </c>
      <c r="C12894" s="13">
        <f>IFERROR(__xludf.DUMMYFUNCTION("""COMPUTED_VALUE"""),0.25)</f>
        <v>0.25</v>
      </c>
      <c r="D12894" s="8">
        <f>IFERROR(__xludf.DUMMYFUNCTION("""COMPUTED_VALUE"""),0.058)</f>
        <v>0.058</v>
      </c>
      <c r="E12894" s="8" t="str">
        <f>IFERROR(__xludf.DUMMYFUNCTION("""COMPUTED_VALUE"""),"Real")</f>
        <v>Real</v>
      </c>
      <c r="G12894" s="8">
        <f t="shared" si="1"/>
        <v>4</v>
      </c>
      <c r="H12894" s="14">
        <f t="shared" si="2"/>
        <v>21</v>
      </c>
      <c r="I12894" s="15">
        <f t="shared" si="3"/>
        <v>6</v>
      </c>
    </row>
    <row r="12895">
      <c r="A12895" s="8" t="str">
        <f>IFERROR(__xludf.DUMMYFUNCTION("IF('(INGESTA)Datos_consumo_datadis'!A12895&lt;&gt;"""",SPLIT('(INGESTA)Datos_consumo_datadis'!A:A,"",""),"""")"),"ES0031408323131005HX0F")</f>
        <v>ES0031408323131005HX0F</v>
      </c>
      <c r="B12895" s="12">
        <f>IFERROR(__xludf.DUMMYFUNCTION("""COMPUTED_VALUE"""),45403.0)</f>
        <v>45403</v>
      </c>
      <c r="C12895" s="13">
        <f>IFERROR(__xludf.DUMMYFUNCTION("""COMPUTED_VALUE"""),0.2916666666666667)</f>
        <v>0.2916666667</v>
      </c>
      <c r="D12895" s="8">
        <f>IFERROR(__xludf.DUMMYFUNCTION("""COMPUTED_VALUE"""),0.295)</f>
        <v>0.295</v>
      </c>
      <c r="E12895" s="8" t="str">
        <f>IFERROR(__xludf.DUMMYFUNCTION("""COMPUTED_VALUE"""),"Real")</f>
        <v>Real</v>
      </c>
      <c r="G12895" s="8">
        <f t="shared" si="1"/>
        <v>4</v>
      </c>
      <c r="H12895" s="14">
        <f t="shared" si="2"/>
        <v>21</v>
      </c>
      <c r="I12895" s="15">
        <f t="shared" si="3"/>
        <v>7</v>
      </c>
    </row>
    <row r="12896">
      <c r="A12896" s="8" t="str">
        <f>IFERROR(__xludf.DUMMYFUNCTION("IF('(INGESTA)Datos_consumo_datadis'!A12896&lt;&gt;"""",SPLIT('(INGESTA)Datos_consumo_datadis'!A:A,"",""),"""")"),"ES0031408323131005HX0F")</f>
        <v>ES0031408323131005HX0F</v>
      </c>
      <c r="B12896" s="12">
        <f>IFERROR(__xludf.DUMMYFUNCTION("""COMPUTED_VALUE"""),45403.0)</f>
        <v>45403</v>
      </c>
      <c r="C12896" s="13">
        <f>IFERROR(__xludf.DUMMYFUNCTION("""COMPUTED_VALUE"""),0.3333333333333333)</f>
        <v>0.3333333333</v>
      </c>
      <c r="D12896" s="8">
        <f>IFERROR(__xludf.DUMMYFUNCTION("""COMPUTED_VALUE"""),0.07)</f>
        <v>0.07</v>
      </c>
      <c r="E12896" s="8" t="str">
        <f>IFERROR(__xludf.DUMMYFUNCTION("""COMPUTED_VALUE"""),"Real")</f>
        <v>Real</v>
      </c>
      <c r="G12896" s="8">
        <f t="shared" si="1"/>
        <v>4</v>
      </c>
      <c r="H12896" s="14">
        <f t="shared" si="2"/>
        <v>21</v>
      </c>
      <c r="I12896" s="15">
        <f t="shared" si="3"/>
        <v>8</v>
      </c>
    </row>
    <row r="12897">
      <c r="A12897" s="8" t="str">
        <f>IFERROR(__xludf.DUMMYFUNCTION("IF('(INGESTA)Datos_consumo_datadis'!A12897&lt;&gt;"""",SPLIT('(INGESTA)Datos_consumo_datadis'!A:A,"",""),"""")"),"ES0031408323131005HX0F")</f>
        <v>ES0031408323131005HX0F</v>
      </c>
      <c r="B12897" s="12">
        <f>IFERROR(__xludf.DUMMYFUNCTION("""COMPUTED_VALUE"""),45403.0)</f>
        <v>45403</v>
      </c>
      <c r="C12897" s="13">
        <f>IFERROR(__xludf.DUMMYFUNCTION("""COMPUTED_VALUE"""),0.375)</f>
        <v>0.375</v>
      </c>
      <c r="D12897" s="8">
        <f>IFERROR(__xludf.DUMMYFUNCTION("""COMPUTED_VALUE"""),0.115)</f>
        <v>0.115</v>
      </c>
      <c r="E12897" s="8" t="str">
        <f>IFERROR(__xludf.DUMMYFUNCTION("""COMPUTED_VALUE"""),"Real")</f>
        <v>Real</v>
      </c>
      <c r="G12897" s="8">
        <f t="shared" si="1"/>
        <v>4</v>
      </c>
      <c r="H12897" s="14">
        <f t="shared" si="2"/>
        <v>21</v>
      </c>
      <c r="I12897" s="15">
        <f t="shared" si="3"/>
        <v>9</v>
      </c>
    </row>
    <row r="12898">
      <c r="A12898" s="8" t="str">
        <f>IFERROR(__xludf.DUMMYFUNCTION("IF('(INGESTA)Datos_consumo_datadis'!A12898&lt;&gt;"""",SPLIT('(INGESTA)Datos_consumo_datadis'!A:A,"",""),"""")"),"ES0031408323131005HX0F")</f>
        <v>ES0031408323131005HX0F</v>
      </c>
      <c r="B12898" s="12">
        <f>IFERROR(__xludf.DUMMYFUNCTION("""COMPUTED_VALUE"""),45403.0)</f>
        <v>45403</v>
      </c>
      <c r="C12898" s="13">
        <f>IFERROR(__xludf.DUMMYFUNCTION("""COMPUTED_VALUE"""),0.4166666666666667)</f>
        <v>0.4166666667</v>
      </c>
      <c r="D12898" s="8">
        <f>IFERROR(__xludf.DUMMYFUNCTION("""COMPUTED_VALUE"""),0.186)</f>
        <v>0.186</v>
      </c>
      <c r="E12898" s="8" t="str">
        <f>IFERROR(__xludf.DUMMYFUNCTION("""COMPUTED_VALUE"""),"Real")</f>
        <v>Real</v>
      </c>
      <c r="G12898" s="8">
        <f t="shared" si="1"/>
        <v>4</v>
      </c>
      <c r="H12898" s="14">
        <f t="shared" si="2"/>
        <v>21</v>
      </c>
      <c r="I12898" s="15">
        <f t="shared" si="3"/>
        <v>10</v>
      </c>
    </row>
    <row r="12899">
      <c r="A12899" s="8" t="str">
        <f>IFERROR(__xludf.DUMMYFUNCTION("IF('(INGESTA)Datos_consumo_datadis'!A12899&lt;&gt;"""",SPLIT('(INGESTA)Datos_consumo_datadis'!A:A,"",""),"""")"),"ES0031408323131005HX0F")</f>
        <v>ES0031408323131005HX0F</v>
      </c>
      <c r="B12899" s="12">
        <f>IFERROR(__xludf.DUMMYFUNCTION("""COMPUTED_VALUE"""),45403.0)</f>
        <v>45403</v>
      </c>
      <c r="C12899" s="13">
        <f>IFERROR(__xludf.DUMMYFUNCTION("""COMPUTED_VALUE"""),0.4583333333333333)</f>
        <v>0.4583333333</v>
      </c>
      <c r="D12899" s="8">
        <f>IFERROR(__xludf.DUMMYFUNCTION("""COMPUTED_VALUE"""),0.414)</f>
        <v>0.414</v>
      </c>
      <c r="E12899" s="8" t="str">
        <f>IFERROR(__xludf.DUMMYFUNCTION("""COMPUTED_VALUE"""),"Real")</f>
        <v>Real</v>
      </c>
      <c r="G12899" s="8">
        <f t="shared" si="1"/>
        <v>4</v>
      </c>
      <c r="H12899" s="14">
        <f t="shared" si="2"/>
        <v>21</v>
      </c>
      <c r="I12899" s="15">
        <f t="shared" si="3"/>
        <v>11</v>
      </c>
    </row>
    <row r="12900">
      <c r="A12900" s="8" t="str">
        <f>IFERROR(__xludf.DUMMYFUNCTION("IF('(INGESTA)Datos_consumo_datadis'!A12900&lt;&gt;"""",SPLIT('(INGESTA)Datos_consumo_datadis'!A:A,"",""),"""")"),"ES0031408323131005HX0F")</f>
        <v>ES0031408323131005HX0F</v>
      </c>
      <c r="B12900" s="12">
        <f>IFERROR(__xludf.DUMMYFUNCTION("""COMPUTED_VALUE"""),45403.0)</f>
        <v>45403</v>
      </c>
      <c r="C12900" s="13">
        <f>IFERROR(__xludf.DUMMYFUNCTION("""COMPUTED_VALUE"""),0.5)</f>
        <v>0.5</v>
      </c>
      <c r="D12900" s="8">
        <f>IFERROR(__xludf.DUMMYFUNCTION("""COMPUTED_VALUE"""),0.081)</f>
        <v>0.081</v>
      </c>
      <c r="E12900" s="8" t="str">
        <f>IFERROR(__xludf.DUMMYFUNCTION("""COMPUTED_VALUE"""),"Real")</f>
        <v>Real</v>
      </c>
      <c r="G12900" s="8">
        <f t="shared" si="1"/>
        <v>4</v>
      </c>
      <c r="H12900" s="14">
        <f t="shared" si="2"/>
        <v>21</v>
      </c>
      <c r="I12900" s="15">
        <f t="shared" si="3"/>
        <v>12</v>
      </c>
    </row>
    <row r="12901">
      <c r="A12901" s="8" t="str">
        <f>IFERROR(__xludf.DUMMYFUNCTION("IF('(INGESTA)Datos_consumo_datadis'!A12901&lt;&gt;"""",SPLIT('(INGESTA)Datos_consumo_datadis'!A:A,"",""),"""")"),"ES0031408323131005HX0F")</f>
        <v>ES0031408323131005HX0F</v>
      </c>
      <c r="B12901" s="12">
        <f>IFERROR(__xludf.DUMMYFUNCTION("""COMPUTED_VALUE"""),45403.0)</f>
        <v>45403</v>
      </c>
      <c r="C12901" s="13">
        <f>IFERROR(__xludf.DUMMYFUNCTION("""COMPUTED_VALUE"""),0.5416666666666666)</f>
        <v>0.5416666667</v>
      </c>
      <c r="D12901" s="8">
        <f>IFERROR(__xludf.DUMMYFUNCTION("""COMPUTED_VALUE"""),0.058)</f>
        <v>0.058</v>
      </c>
      <c r="E12901" s="8" t="str">
        <f>IFERROR(__xludf.DUMMYFUNCTION("""COMPUTED_VALUE"""),"Real")</f>
        <v>Real</v>
      </c>
      <c r="G12901" s="8">
        <f t="shared" si="1"/>
        <v>4</v>
      </c>
      <c r="H12901" s="14">
        <f t="shared" si="2"/>
        <v>21</v>
      </c>
      <c r="I12901" s="15">
        <f t="shared" si="3"/>
        <v>13</v>
      </c>
    </row>
    <row r="12902">
      <c r="A12902" s="8" t="str">
        <f>IFERROR(__xludf.DUMMYFUNCTION("IF('(INGESTA)Datos_consumo_datadis'!A12902&lt;&gt;"""",SPLIT('(INGESTA)Datos_consumo_datadis'!A:A,"",""),"""")"),"ES0031408323131005HX0F")</f>
        <v>ES0031408323131005HX0F</v>
      </c>
      <c r="B12902" s="12">
        <f>IFERROR(__xludf.DUMMYFUNCTION("""COMPUTED_VALUE"""),45403.0)</f>
        <v>45403</v>
      </c>
      <c r="C12902" s="13">
        <f>IFERROR(__xludf.DUMMYFUNCTION("""COMPUTED_VALUE"""),0.5833333333333334)</f>
        <v>0.5833333333</v>
      </c>
      <c r="D12902" s="8">
        <f>IFERROR(__xludf.DUMMYFUNCTION("""COMPUTED_VALUE"""),1.467)</f>
        <v>1.467</v>
      </c>
      <c r="E12902" s="8" t="str">
        <f>IFERROR(__xludf.DUMMYFUNCTION("""COMPUTED_VALUE"""),"Real")</f>
        <v>Real</v>
      </c>
      <c r="G12902" s="8">
        <f t="shared" si="1"/>
        <v>4</v>
      </c>
      <c r="H12902" s="14">
        <f t="shared" si="2"/>
        <v>21</v>
      </c>
      <c r="I12902" s="15">
        <f t="shared" si="3"/>
        <v>14</v>
      </c>
    </row>
    <row r="12903">
      <c r="A12903" s="8" t="str">
        <f>IFERROR(__xludf.DUMMYFUNCTION("IF('(INGESTA)Datos_consumo_datadis'!A12903&lt;&gt;"""",SPLIT('(INGESTA)Datos_consumo_datadis'!A:A,"",""),"""")"),"ES0031408323131005HX0F")</f>
        <v>ES0031408323131005HX0F</v>
      </c>
      <c r="B12903" s="12">
        <f>IFERROR(__xludf.DUMMYFUNCTION("""COMPUTED_VALUE"""),45403.0)</f>
        <v>45403</v>
      </c>
      <c r="C12903" s="13">
        <f>IFERROR(__xludf.DUMMYFUNCTION("""COMPUTED_VALUE"""),0.625)</f>
        <v>0.625</v>
      </c>
      <c r="D12903" s="8">
        <f>IFERROR(__xludf.DUMMYFUNCTION("""COMPUTED_VALUE"""),0.272)</f>
        <v>0.272</v>
      </c>
      <c r="E12903" s="8" t="str">
        <f>IFERROR(__xludf.DUMMYFUNCTION("""COMPUTED_VALUE"""),"Real")</f>
        <v>Real</v>
      </c>
      <c r="G12903" s="8">
        <f t="shared" si="1"/>
        <v>4</v>
      </c>
      <c r="H12903" s="14">
        <f t="shared" si="2"/>
        <v>21</v>
      </c>
      <c r="I12903" s="15">
        <f t="shared" si="3"/>
        <v>15</v>
      </c>
    </row>
    <row r="12904">
      <c r="A12904" s="8" t="str">
        <f>IFERROR(__xludf.DUMMYFUNCTION("IF('(INGESTA)Datos_consumo_datadis'!A12904&lt;&gt;"""",SPLIT('(INGESTA)Datos_consumo_datadis'!A:A,"",""),"""")"),"ES0031408323131005HX0F")</f>
        <v>ES0031408323131005HX0F</v>
      </c>
      <c r="B12904" s="12">
        <f>IFERROR(__xludf.DUMMYFUNCTION("""COMPUTED_VALUE"""),45403.0)</f>
        <v>45403</v>
      </c>
      <c r="C12904" s="13">
        <f>IFERROR(__xludf.DUMMYFUNCTION("""COMPUTED_VALUE"""),0.6666666666666666)</f>
        <v>0.6666666667</v>
      </c>
      <c r="D12904" s="8">
        <f>IFERROR(__xludf.DUMMYFUNCTION("""COMPUTED_VALUE"""),0.425)</f>
        <v>0.425</v>
      </c>
      <c r="E12904" s="8" t="str">
        <f>IFERROR(__xludf.DUMMYFUNCTION("""COMPUTED_VALUE"""),"Real")</f>
        <v>Real</v>
      </c>
      <c r="G12904" s="8">
        <f t="shared" si="1"/>
        <v>4</v>
      </c>
      <c r="H12904" s="14">
        <f t="shared" si="2"/>
        <v>21</v>
      </c>
      <c r="I12904" s="15">
        <f t="shared" si="3"/>
        <v>16</v>
      </c>
    </row>
    <row r="12905">
      <c r="A12905" s="8" t="str">
        <f>IFERROR(__xludf.DUMMYFUNCTION("IF('(INGESTA)Datos_consumo_datadis'!A12905&lt;&gt;"""",SPLIT('(INGESTA)Datos_consumo_datadis'!A:A,"",""),"""")"),"ES0031408323131005HX0F")</f>
        <v>ES0031408323131005HX0F</v>
      </c>
      <c r="B12905" s="12">
        <f>IFERROR(__xludf.DUMMYFUNCTION("""COMPUTED_VALUE"""),45403.0)</f>
        <v>45403</v>
      </c>
      <c r="C12905" s="13">
        <f>IFERROR(__xludf.DUMMYFUNCTION("""COMPUTED_VALUE"""),0.7083333333333334)</f>
        <v>0.7083333333</v>
      </c>
      <c r="D12905" s="8">
        <f>IFERROR(__xludf.DUMMYFUNCTION("""COMPUTED_VALUE"""),0.483)</f>
        <v>0.483</v>
      </c>
      <c r="E12905" s="8" t="str">
        <f>IFERROR(__xludf.DUMMYFUNCTION("""COMPUTED_VALUE"""),"Real")</f>
        <v>Real</v>
      </c>
      <c r="G12905" s="8">
        <f t="shared" si="1"/>
        <v>4</v>
      </c>
      <c r="H12905" s="14">
        <f t="shared" si="2"/>
        <v>21</v>
      </c>
      <c r="I12905" s="15">
        <f t="shared" si="3"/>
        <v>17</v>
      </c>
    </row>
    <row r="12906">
      <c r="A12906" s="8" t="str">
        <f>IFERROR(__xludf.DUMMYFUNCTION("IF('(INGESTA)Datos_consumo_datadis'!A12906&lt;&gt;"""",SPLIT('(INGESTA)Datos_consumo_datadis'!A:A,"",""),"""")"),"ES0031408323131005HX0F")</f>
        <v>ES0031408323131005HX0F</v>
      </c>
      <c r="B12906" s="12">
        <f>IFERROR(__xludf.DUMMYFUNCTION("""COMPUTED_VALUE"""),45403.0)</f>
        <v>45403</v>
      </c>
      <c r="C12906" s="13">
        <f>IFERROR(__xludf.DUMMYFUNCTION("""COMPUTED_VALUE"""),0.75)</f>
        <v>0.75</v>
      </c>
      <c r="D12906" s="8">
        <f>IFERROR(__xludf.DUMMYFUNCTION("""COMPUTED_VALUE"""),0.251)</f>
        <v>0.251</v>
      </c>
      <c r="E12906" s="8" t="str">
        <f>IFERROR(__xludf.DUMMYFUNCTION("""COMPUTED_VALUE"""),"Real")</f>
        <v>Real</v>
      </c>
      <c r="G12906" s="8">
        <f t="shared" si="1"/>
        <v>4</v>
      </c>
      <c r="H12906" s="14">
        <f t="shared" si="2"/>
        <v>21</v>
      </c>
      <c r="I12906" s="15">
        <f t="shared" si="3"/>
        <v>18</v>
      </c>
    </row>
    <row r="12907">
      <c r="A12907" s="8" t="str">
        <f>IFERROR(__xludf.DUMMYFUNCTION("IF('(INGESTA)Datos_consumo_datadis'!A12907&lt;&gt;"""",SPLIT('(INGESTA)Datos_consumo_datadis'!A:A,"",""),"""")"),"ES0031408323131005HX0F")</f>
        <v>ES0031408323131005HX0F</v>
      </c>
      <c r="B12907" s="12">
        <f>IFERROR(__xludf.DUMMYFUNCTION("""COMPUTED_VALUE"""),45403.0)</f>
        <v>45403</v>
      </c>
      <c r="C12907" s="13">
        <f>IFERROR(__xludf.DUMMYFUNCTION("""COMPUTED_VALUE"""),0.7916666666666666)</f>
        <v>0.7916666667</v>
      </c>
      <c r="D12907" s="8">
        <f>IFERROR(__xludf.DUMMYFUNCTION("""COMPUTED_VALUE"""),0.336)</f>
        <v>0.336</v>
      </c>
      <c r="E12907" s="8" t="str">
        <f>IFERROR(__xludf.DUMMYFUNCTION("""COMPUTED_VALUE"""),"Real")</f>
        <v>Real</v>
      </c>
      <c r="G12907" s="8">
        <f t="shared" si="1"/>
        <v>4</v>
      </c>
      <c r="H12907" s="14">
        <f t="shared" si="2"/>
        <v>21</v>
      </c>
      <c r="I12907" s="15">
        <f t="shared" si="3"/>
        <v>19</v>
      </c>
    </row>
    <row r="12908">
      <c r="A12908" s="8" t="str">
        <f>IFERROR(__xludf.DUMMYFUNCTION("IF('(INGESTA)Datos_consumo_datadis'!A12908&lt;&gt;"""",SPLIT('(INGESTA)Datos_consumo_datadis'!A:A,"",""),"""")"),"ES0031408323131005HX0F")</f>
        <v>ES0031408323131005HX0F</v>
      </c>
      <c r="B12908" s="12">
        <f>IFERROR(__xludf.DUMMYFUNCTION("""COMPUTED_VALUE"""),45403.0)</f>
        <v>45403</v>
      </c>
      <c r="C12908" s="13">
        <f>IFERROR(__xludf.DUMMYFUNCTION("""COMPUTED_VALUE"""),0.8333333333333334)</f>
        <v>0.8333333333</v>
      </c>
      <c r="D12908" s="8">
        <f>IFERROR(__xludf.DUMMYFUNCTION("""COMPUTED_VALUE"""),0.496)</f>
        <v>0.496</v>
      </c>
      <c r="E12908" s="8" t="str">
        <f>IFERROR(__xludf.DUMMYFUNCTION("""COMPUTED_VALUE"""),"Real")</f>
        <v>Real</v>
      </c>
      <c r="G12908" s="8">
        <f t="shared" si="1"/>
        <v>4</v>
      </c>
      <c r="H12908" s="14">
        <f t="shared" si="2"/>
        <v>21</v>
      </c>
      <c r="I12908" s="15">
        <f t="shared" si="3"/>
        <v>20</v>
      </c>
    </row>
    <row r="12909">
      <c r="A12909" s="8" t="str">
        <f>IFERROR(__xludf.DUMMYFUNCTION("IF('(INGESTA)Datos_consumo_datadis'!A12909&lt;&gt;"""",SPLIT('(INGESTA)Datos_consumo_datadis'!A:A,"",""),"""")"),"ES0031408323131005HX0F")</f>
        <v>ES0031408323131005HX0F</v>
      </c>
      <c r="B12909" s="12">
        <f>IFERROR(__xludf.DUMMYFUNCTION("""COMPUTED_VALUE"""),45403.0)</f>
        <v>45403</v>
      </c>
      <c r="C12909" s="13">
        <f>IFERROR(__xludf.DUMMYFUNCTION("""COMPUTED_VALUE"""),0.875)</f>
        <v>0.875</v>
      </c>
      <c r="D12909" s="8">
        <f>IFERROR(__xludf.DUMMYFUNCTION("""COMPUTED_VALUE"""),0.489)</f>
        <v>0.489</v>
      </c>
      <c r="E12909" s="8" t="str">
        <f>IFERROR(__xludf.DUMMYFUNCTION("""COMPUTED_VALUE"""),"Real")</f>
        <v>Real</v>
      </c>
      <c r="G12909" s="8">
        <f t="shared" si="1"/>
        <v>4</v>
      </c>
      <c r="H12909" s="14">
        <f t="shared" si="2"/>
        <v>21</v>
      </c>
      <c r="I12909" s="15">
        <f t="shared" si="3"/>
        <v>21</v>
      </c>
    </row>
    <row r="12910">
      <c r="A12910" s="8" t="str">
        <f>IFERROR(__xludf.DUMMYFUNCTION("IF('(INGESTA)Datos_consumo_datadis'!A12910&lt;&gt;"""",SPLIT('(INGESTA)Datos_consumo_datadis'!A:A,"",""),"""")"),"ES0031408323131005HX0F")</f>
        <v>ES0031408323131005HX0F</v>
      </c>
      <c r="B12910" s="12">
        <f>IFERROR(__xludf.DUMMYFUNCTION("""COMPUTED_VALUE"""),45403.0)</f>
        <v>45403</v>
      </c>
      <c r="C12910" s="13">
        <f>IFERROR(__xludf.DUMMYFUNCTION("""COMPUTED_VALUE"""),0.9166666666666666)</f>
        <v>0.9166666667</v>
      </c>
      <c r="D12910" s="8">
        <f>IFERROR(__xludf.DUMMYFUNCTION("""COMPUTED_VALUE"""),0.058)</f>
        <v>0.058</v>
      </c>
      <c r="E12910" s="8" t="str">
        <f>IFERROR(__xludf.DUMMYFUNCTION("""COMPUTED_VALUE"""),"Real")</f>
        <v>Real</v>
      </c>
      <c r="G12910" s="8">
        <f t="shared" si="1"/>
        <v>4</v>
      </c>
      <c r="H12910" s="14">
        <f t="shared" si="2"/>
        <v>21</v>
      </c>
      <c r="I12910" s="15">
        <f t="shared" si="3"/>
        <v>22</v>
      </c>
    </row>
    <row r="12911">
      <c r="A12911" s="8" t="str">
        <f>IFERROR(__xludf.DUMMYFUNCTION("IF('(INGESTA)Datos_consumo_datadis'!A12911&lt;&gt;"""",SPLIT('(INGESTA)Datos_consumo_datadis'!A:A,"",""),"""")"),"ES0031408323131005HX0F")</f>
        <v>ES0031408323131005HX0F</v>
      </c>
      <c r="B12911" s="12">
        <f>IFERROR(__xludf.DUMMYFUNCTION("""COMPUTED_VALUE"""),45403.0)</f>
        <v>45403</v>
      </c>
      <c r="C12911" s="13">
        <f>IFERROR(__xludf.DUMMYFUNCTION("""COMPUTED_VALUE"""),0.9583333333333334)</f>
        <v>0.9583333333</v>
      </c>
      <c r="D12911" s="8">
        <f>IFERROR(__xludf.DUMMYFUNCTION("""COMPUTED_VALUE"""),0.056)</f>
        <v>0.056</v>
      </c>
      <c r="E12911" s="8" t="str">
        <f>IFERROR(__xludf.DUMMYFUNCTION("""COMPUTED_VALUE"""),"Real")</f>
        <v>Real</v>
      </c>
      <c r="G12911" s="8">
        <f t="shared" si="1"/>
        <v>4</v>
      </c>
      <c r="H12911" s="14">
        <f t="shared" si="2"/>
        <v>21</v>
      </c>
      <c r="I12911" s="15">
        <f t="shared" si="3"/>
        <v>23</v>
      </c>
    </row>
    <row r="12912">
      <c r="A12912" s="8" t="str">
        <f>IFERROR(__xludf.DUMMYFUNCTION("IF('(INGESTA)Datos_consumo_datadis'!A12912&lt;&gt;"""",SPLIT('(INGESTA)Datos_consumo_datadis'!A:A,"",""),"""")"),"ES0031408323131005HX0F")</f>
        <v>ES0031408323131005HX0F</v>
      </c>
      <c r="B12912" s="12">
        <f>IFERROR(__xludf.DUMMYFUNCTION("""COMPUTED_VALUE"""),45403.0)</f>
        <v>45403</v>
      </c>
      <c r="C12912" s="16">
        <f>IFERROR(__xludf.DUMMYFUNCTION("""COMPUTED_VALUE"""),1.0)</f>
        <v>1</v>
      </c>
      <c r="D12912" s="8">
        <f>IFERROR(__xludf.DUMMYFUNCTION("""COMPUTED_VALUE"""),0.304)</f>
        <v>0.304</v>
      </c>
      <c r="E12912" s="8" t="str">
        <f>IFERROR(__xludf.DUMMYFUNCTION("""COMPUTED_VALUE"""),"Real")</f>
        <v>Real</v>
      </c>
      <c r="G12912" s="8">
        <f t="shared" si="1"/>
        <v>4</v>
      </c>
      <c r="H12912" s="14">
        <f t="shared" si="2"/>
        <v>21</v>
      </c>
      <c r="I12912" s="15">
        <f t="shared" si="3"/>
        <v>0</v>
      </c>
    </row>
    <row r="12913">
      <c r="A12913" s="8" t="str">
        <f>IFERROR(__xludf.DUMMYFUNCTION("IF('(INGESTA)Datos_consumo_datadis'!A12913&lt;&gt;"""",SPLIT('(INGESTA)Datos_consumo_datadis'!A:A,"",""),"""")"),"ES0031408323131005HX0F")</f>
        <v>ES0031408323131005HX0F</v>
      </c>
      <c r="B12913" s="12">
        <f>IFERROR(__xludf.DUMMYFUNCTION("""COMPUTED_VALUE"""),45404.0)</f>
        <v>45404</v>
      </c>
      <c r="C12913" s="13">
        <f>IFERROR(__xludf.DUMMYFUNCTION("""COMPUTED_VALUE"""),0.041666666666666664)</f>
        <v>0.04166666667</v>
      </c>
      <c r="D12913" s="8">
        <f>IFERROR(__xludf.DUMMYFUNCTION("""COMPUTED_VALUE"""),0.036)</f>
        <v>0.036</v>
      </c>
      <c r="E12913" s="8" t="str">
        <f>IFERROR(__xludf.DUMMYFUNCTION("""COMPUTED_VALUE"""),"Real")</f>
        <v>Real</v>
      </c>
      <c r="G12913" s="8">
        <f t="shared" si="1"/>
        <v>4</v>
      </c>
      <c r="H12913" s="14">
        <f t="shared" si="2"/>
        <v>22</v>
      </c>
      <c r="I12913" s="15">
        <f t="shared" si="3"/>
        <v>1</v>
      </c>
    </row>
    <row r="12914">
      <c r="A12914" s="8" t="str">
        <f>IFERROR(__xludf.DUMMYFUNCTION("IF('(INGESTA)Datos_consumo_datadis'!A12914&lt;&gt;"""",SPLIT('(INGESTA)Datos_consumo_datadis'!A:A,"",""),"""")"),"ES0031408323131005HX0F")</f>
        <v>ES0031408323131005HX0F</v>
      </c>
      <c r="B12914" s="12">
        <f>IFERROR(__xludf.DUMMYFUNCTION("""COMPUTED_VALUE"""),45404.0)</f>
        <v>45404</v>
      </c>
      <c r="C12914" s="13">
        <f>IFERROR(__xludf.DUMMYFUNCTION("""COMPUTED_VALUE"""),0.08333333333333333)</f>
        <v>0.08333333333</v>
      </c>
      <c r="D12914" s="8">
        <f>IFERROR(__xludf.DUMMYFUNCTION("""COMPUTED_VALUE"""),0.074)</f>
        <v>0.074</v>
      </c>
      <c r="E12914" s="8" t="str">
        <f>IFERROR(__xludf.DUMMYFUNCTION("""COMPUTED_VALUE"""),"Real")</f>
        <v>Real</v>
      </c>
      <c r="G12914" s="8">
        <f t="shared" si="1"/>
        <v>4</v>
      </c>
      <c r="H12914" s="14">
        <f t="shared" si="2"/>
        <v>22</v>
      </c>
      <c r="I12914" s="15">
        <f t="shared" si="3"/>
        <v>2</v>
      </c>
    </row>
    <row r="12915">
      <c r="A12915" s="8" t="str">
        <f>IFERROR(__xludf.DUMMYFUNCTION("IF('(INGESTA)Datos_consumo_datadis'!A12915&lt;&gt;"""",SPLIT('(INGESTA)Datos_consumo_datadis'!A:A,"",""),"""")"),"ES0031408323131005HX0F")</f>
        <v>ES0031408323131005HX0F</v>
      </c>
      <c r="B12915" s="12">
        <f>IFERROR(__xludf.DUMMYFUNCTION("""COMPUTED_VALUE"""),45404.0)</f>
        <v>45404</v>
      </c>
      <c r="C12915" s="13">
        <f>IFERROR(__xludf.DUMMYFUNCTION("""COMPUTED_VALUE"""),0.125)</f>
        <v>0.125</v>
      </c>
      <c r="D12915" s="8">
        <f>IFERROR(__xludf.DUMMYFUNCTION("""COMPUTED_VALUE"""),0.043)</f>
        <v>0.043</v>
      </c>
      <c r="E12915" s="8" t="str">
        <f>IFERROR(__xludf.DUMMYFUNCTION("""COMPUTED_VALUE"""),"Real")</f>
        <v>Real</v>
      </c>
      <c r="G12915" s="8">
        <f t="shared" si="1"/>
        <v>4</v>
      </c>
      <c r="H12915" s="14">
        <f t="shared" si="2"/>
        <v>22</v>
      </c>
      <c r="I12915" s="15">
        <f t="shared" si="3"/>
        <v>3</v>
      </c>
    </row>
    <row r="12916">
      <c r="A12916" s="8" t="str">
        <f>IFERROR(__xludf.DUMMYFUNCTION("IF('(INGESTA)Datos_consumo_datadis'!A12916&lt;&gt;"""",SPLIT('(INGESTA)Datos_consumo_datadis'!A:A,"",""),"""")"),"ES0031408323131005HX0F")</f>
        <v>ES0031408323131005HX0F</v>
      </c>
      <c r="B12916" s="12">
        <f>IFERROR(__xludf.DUMMYFUNCTION("""COMPUTED_VALUE"""),45404.0)</f>
        <v>45404</v>
      </c>
      <c r="C12916" s="13">
        <f>IFERROR(__xludf.DUMMYFUNCTION("""COMPUTED_VALUE"""),0.16666666666666666)</f>
        <v>0.1666666667</v>
      </c>
      <c r="D12916" s="8">
        <f>IFERROR(__xludf.DUMMYFUNCTION("""COMPUTED_VALUE"""),0.111)</f>
        <v>0.111</v>
      </c>
      <c r="E12916" s="8" t="str">
        <f>IFERROR(__xludf.DUMMYFUNCTION("""COMPUTED_VALUE"""),"Real")</f>
        <v>Real</v>
      </c>
      <c r="G12916" s="8">
        <f t="shared" si="1"/>
        <v>4</v>
      </c>
      <c r="H12916" s="14">
        <f t="shared" si="2"/>
        <v>22</v>
      </c>
      <c r="I12916" s="15">
        <f t="shared" si="3"/>
        <v>4</v>
      </c>
    </row>
    <row r="12917">
      <c r="A12917" s="8" t="str">
        <f>IFERROR(__xludf.DUMMYFUNCTION("IF('(INGESTA)Datos_consumo_datadis'!A12917&lt;&gt;"""",SPLIT('(INGESTA)Datos_consumo_datadis'!A:A,"",""),"""")"),"ES0031408323131005HX0F")</f>
        <v>ES0031408323131005HX0F</v>
      </c>
      <c r="B12917" s="12">
        <f>IFERROR(__xludf.DUMMYFUNCTION("""COMPUTED_VALUE"""),45404.0)</f>
        <v>45404</v>
      </c>
      <c r="C12917" s="13">
        <f>IFERROR(__xludf.DUMMYFUNCTION("""COMPUTED_VALUE"""),0.20833333333333334)</f>
        <v>0.2083333333</v>
      </c>
      <c r="D12917" s="8">
        <f>IFERROR(__xludf.DUMMYFUNCTION("""COMPUTED_VALUE"""),0.366)</f>
        <v>0.366</v>
      </c>
      <c r="E12917" s="8" t="str">
        <f>IFERROR(__xludf.DUMMYFUNCTION("""COMPUTED_VALUE"""),"Real")</f>
        <v>Real</v>
      </c>
      <c r="G12917" s="8">
        <f t="shared" si="1"/>
        <v>4</v>
      </c>
      <c r="H12917" s="14">
        <f t="shared" si="2"/>
        <v>22</v>
      </c>
      <c r="I12917" s="15">
        <f t="shared" si="3"/>
        <v>5</v>
      </c>
    </row>
    <row r="12918">
      <c r="A12918" s="8" t="str">
        <f>IFERROR(__xludf.DUMMYFUNCTION("IF('(INGESTA)Datos_consumo_datadis'!A12918&lt;&gt;"""",SPLIT('(INGESTA)Datos_consumo_datadis'!A:A,"",""),"""")"),"ES0031408323131005HX0F")</f>
        <v>ES0031408323131005HX0F</v>
      </c>
      <c r="B12918" s="12">
        <f>IFERROR(__xludf.DUMMYFUNCTION("""COMPUTED_VALUE"""),45404.0)</f>
        <v>45404</v>
      </c>
      <c r="C12918" s="13">
        <f>IFERROR(__xludf.DUMMYFUNCTION("""COMPUTED_VALUE"""),0.25)</f>
        <v>0.25</v>
      </c>
      <c r="D12918" s="8">
        <f>IFERROR(__xludf.DUMMYFUNCTION("""COMPUTED_VALUE"""),0.063)</f>
        <v>0.063</v>
      </c>
      <c r="E12918" s="8" t="str">
        <f>IFERROR(__xludf.DUMMYFUNCTION("""COMPUTED_VALUE"""),"Real")</f>
        <v>Real</v>
      </c>
      <c r="G12918" s="8">
        <f t="shared" si="1"/>
        <v>4</v>
      </c>
      <c r="H12918" s="14">
        <f t="shared" si="2"/>
        <v>22</v>
      </c>
      <c r="I12918" s="15">
        <f t="shared" si="3"/>
        <v>6</v>
      </c>
    </row>
    <row r="12919">
      <c r="A12919" s="8" t="str">
        <f>IFERROR(__xludf.DUMMYFUNCTION("IF('(INGESTA)Datos_consumo_datadis'!A12919&lt;&gt;"""",SPLIT('(INGESTA)Datos_consumo_datadis'!A:A,"",""),"""")"),"ES0031408323131005HX0F")</f>
        <v>ES0031408323131005HX0F</v>
      </c>
      <c r="B12919" s="12">
        <f>IFERROR(__xludf.DUMMYFUNCTION("""COMPUTED_VALUE"""),45404.0)</f>
        <v>45404</v>
      </c>
      <c r="C12919" s="13">
        <f>IFERROR(__xludf.DUMMYFUNCTION("""COMPUTED_VALUE"""),0.2916666666666667)</f>
        <v>0.2916666667</v>
      </c>
      <c r="D12919" s="8">
        <f>IFERROR(__xludf.DUMMYFUNCTION("""COMPUTED_VALUE"""),1.856)</f>
        <v>1.856</v>
      </c>
      <c r="E12919" s="8" t="str">
        <f>IFERROR(__xludf.DUMMYFUNCTION("""COMPUTED_VALUE"""),"Real")</f>
        <v>Real</v>
      </c>
      <c r="G12919" s="8">
        <f t="shared" si="1"/>
        <v>4</v>
      </c>
      <c r="H12919" s="14">
        <f t="shared" si="2"/>
        <v>22</v>
      </c>
      <c r="I12919" s="15">
        <f t="shared" si="3"/>
        <v>7</v>
      </c>
    </row>
    <row r="12920">
      <c r="A12920" s="8" t="str">
        <f>IFERROR(__xludf.DUMMYFUNCTION("IF('(INGESTA)Datos_consumo_datadis'!A12920&lt;&gt;"""",SPLIT('(INGESTA)Datos_consumo_datadis'!A:A,"",""),"""")"),"ES0031408323131005HX0F")</f>
        <v>ES0031408323131005HX0F</v>
      </c>
      <c r="B12920" s="12">
        <f>IFERROR(__xludf.DUMMYFUNCTION("""COMPUTED_VALUE"""),45404.0)</f>
        <v>45404</v>
      </c>
      <c r="C12920" s="13">
        <f>IFERROR(__xludf.DUMMYFUNCTION("""COMPUTED_VALUE"""),0.3333333333333333)</f>
        <v>0.3333333333</v>
      </c>
      <c r="D12920" s="8">
        <f>IFERROR(__xludf.DUMMYFUNCTION("""COMPUTED_VALUE"""),1.312)</f>
        <v>1.312</v>
      </c>
      <c r="E12920" s="8" t="str">
        <f>IFERROR(__xludf.DUMMYFUNCTION("""COMPUTED_VALUE"""),"Real")</f>
        <v>Real</v>
      </c>
      <c r="G12920" s="8">
        <f t="shared" si="1"/>
        <v>4</v>
      </c>
      <c r="H12920" s="14">
        <f t="shared" si="2"/>
        <v>22</v>
      </c>
      <c r="I12920" s="15">
        <f t="shared" si="3"/>
        <v>8</v>
      </c>
    </row>
    <row r="12921">
      <c r="A12921" s="8" t="str">
        <f>IFERROR(__xludf.DUMMYFUNCTION("IF('(INGESTA)Datos_consumo_datadis'!A12921&lt;&gt;"""",SPLIT('(INGESTA)Datos_consumo_datadis'!A:A,"",""),"""")"),"ES0031408323131005HX0F")</f>
        <v>ES0031408323131005HX0F</v>
      </c>
      <c r="B12921" s="12">
        <f>IFERROR(__xludf.DUMMYFUNCTION("""COMPUTED_VALUE"""),45404.0)</f>
        <v>45404</v>
      </c>
      <c r="C12921" s="13">
        <f>IFERROR(__xludf.DUMMYFUNCTION("""COMPUTED_VALUE"""),0.375)</f>
        <v>0.375</v>
      </c>
      <c r="D12921" s="8">
        <f>IFERROR(__xludf.DUMMYFUNCTION("""COMPUTED_VALUE"""),0.089)</f>
        <v>0.089</v>
      </c>
      <c r="E12921" s="8" t="str">
        <f>IFERROR(__xludf.DUMMYFUNCTION("""COMPUTED_VALUE"""),"Real")</f>
        <v>Real</v>
      </c>
      <c r="G12921" s="8">
        <f t="shared" si="1"/>
        <v>4</v>
      </c>
      <c r="H12921" s="14">
        <f t="shared" si="2"/>
        <v>22</v>
      </c>
      <c r="I12921" s="15">
        <f t="shared" si="3"/>
        <v>9</v>
      </c>
    </row>
    <row r="12922">
      <c r="A12922" s="8" t="str">
        <f>IFERROR(__xludf.DUMMYFUNCTION("IF('(INGESTA)Datos_consumo_datadis'!A12922&lt;&gt;"""",SPLIT('(INGESTA)Datos_consumo_datadis'!A:A,"",""),"""")"),"ES0031408323131005HX0F")</f>
        <v>ES0031408323131005HX0F</v>
      </c>
      <c r="B12922" s="12">
        <f>IFERROR(__xludf.DUMMYFUNCTION("""COMPUTED_VALUE"""),45404.0)</f>
        <v>45404</v>
      </c>
      <c r="C12922" s="13">
        <f>IFERROR(__xludf.DUMMYFUNCTION("""COMPUTED_VALUE"""),0.4166666666666667)</f>
        <v>0.4166666667</v>
      </c>
      <c r="D12922" s="8">
        <f>IFERROR(__xludf.DUMMYFUNCTION("""COMPUTED_VALUE"""),2.14)</f>
        <v>2.14</v>
      </c>
      <c r="E12922" s="8" t="str">
        <f>IFERROR(__xludf.DUMMYFUNCTION("""COMPUTED_VALUE"""),"Real")</f>
        <v>Real</v>
      </c>
      <c r="G12922" s="8">
        <f t="shared" si="1"/>
        <v>4</v>
      </c>
      <c r="H12922" s="14">
        <f t="shared" si="2"/>
        <v>22</v>
      </c>
      <c r="I12922" s="15">
        <f t="shared" si="3"/>
        <v>10</v>
      </c>
    </row>
    <row r="12923">
      <c r="A12923" s="8" t="str">
        <f>IFERROR(__xludf.DUMMYFUNCTION("IF('(INGESTA)Datos_consumo_datadis'!A12923&lt;&gt;"""",SPLIT('(INGESTA)Datos_consumo_datadis'!A:A,"",""),"""")"),"ES0031408323131005HX0F")</f>
        <v>ES0031408323131005HX0F</v>
      </c>
      <c r="B12923" s="12">
        <f>IFERROR(__xludf.DUMMYFUNCTION("""COMPUTED_VALUE"""),45404.0)</f>
        <v>45404</v>
      </c>
      <c r="C12923" s="13">
        <f>IFERROR(__xludf.DUMMYFUNCTION("""COMPUTED_VALUE"""),0.4583333333333333)</f>
        <v>0.4583333333</v>
      </c>
      <c r="D12923" s="8">
        <f>IFERROR(__xludf.DUMMYFUNCTION("""COMPUTED_VALUE"""),1.56)</f>
        <v>1.56</v>
      </c>
      <c r="E12923" s="8" t="str">
        <f>IFERROR(__xludf.DUMMYFUNCTION("""COMPUTED_VALUE"""),"Real")</f>
        <v>Real</v>
      </c>
      <c r="G12923" s="8">
        <f t="shared" si="1"/>
        <v>4</v>
      </c>
      <c r="H12923" s="14">
        <f t="shared" si="2"/>
        <v>22</v>
      </c>
      <c r="I12923" s="15">
        <f t="shared" si="3"/>
        <v>11</v>
      </c>
    </row>
    <row r="12924">
      <c r="A12924" s="8" t="str">
        <f>IFERROR(__xludf.DUMMYFUNCTION("IF('(INGESTA)Datos_consumo_datadis'!A12924&lt;&gt;"""",SPLIT('(INGESTA)Datos_consumo_datadis'!A:A,"",""),"""")"),"ES0031408323131005HX0F")</f>
        <v>ES0031408323131005HX0F</v>
      </c>
      <c r="B12924" s="12">
        <f>IFERROR(__xludf.DUMMYFUNCTION("""COMPUTED_VALUE"""),45404.0)</f>
        <v>45404</v>
      </c>
      <c r="C12924" s="13">
        <f>IFERROR(__xludf.DUMMYFUNCTION("""COMPUTED_VALUE"""),0.5)</f>
        <v>0.5</v>
      </c>
      <c r="D12924" s="8">
        <f>IFERROR(__xludf.DUMMYFUNCTION("""COMPUTED_VALUE"""),1.438)</f>
        <v>1.438</v>
      </c>
      <c r="E12924" s="8" t="str">
        <f>IFERROR(__xludf.DUMMYFUNCTION("""COMPUTED_VALUE"""),"Real")</f>
        <v>Real</v>
      </c>
      <c r="G12924" s="8">
        <f t="shared" si="1"/>
        <v>4</v>
      </c>
      <c r="H12924" s="14">
        <f t="shared" si="2"/>
        <v>22</v>
      </c>
      <c r="I12924" s="15">
        <f t="shared" si="3"/>
        <v>12</v>
      </c>
    </row>
    <row r="12925">
      <c r="A12925" s="8" t="str">
        <f>IFERROR(__xludf.DUMMYFUNCTION("IF('(INGESTA)Datos_consumo_datadis'!A12925&lt;&gt;"""",SPLIT('(INGESTA)Datos_consumo_datadis'!A:A,"",""),"""")"),"ES0031408323131005HX0F")</f>
        <v>ES0031408323131005HX0F</v>
      </c>
      <c r="B12925" s="12">
        <f>IFERROR(__xludf.DUMMYFUNCTION("""COMPUTED_VALUE"""),45404.0)</f>
        <v>45404</v>
      </c>
      <c r="C12925" s="13">
        <f>IFERROR(__xludf.DUMMYFUNCTION("""COMPUTED_VALUE"""),0.5416666666666666)</f>
        <v>0.5416666667</v>
      </c>
      <c r="D12925" s="8">
        <f>IFERROR(__xludf.DUMMYFUNCTION("""COMPUTED_VALUE"""),1.287)</f>
        <v>1.287</v>
      </c>
      <c r="E12925" s="8" t="str">
        <f>IFERROR(__xludf.DUMMYFUNCTION("""COMPUTED_VALUE"""),"Real")</f>
        <v>Real</v>
      </c>
      <c r="G12925" s="8">
        <f t="shared" si="1"/>
        <v>4</v>
      </c>
      <c r="H12925" s="14">
        <f t="shared" si="2"/>
        <v>22</v>
      </c>
      <c r="I12925" s="15">
        <f t="shared" si="3"/>
        <v>13</v>
      </c>
    </row>
    <row r="12926">
      <c r="A12926" s="8" t="str">
        <f>IFERROR(__xludf.DUMMYFUNCTION("IF('(INGESTA)Datos_consumo_datadis'!A12926&lt;&gt;"""",SPLIT('(INGESTA)Datos_consumo_datadis'!A:A,"",""),"""")"),"ES0031408323131005HX0F")</f>
        <v>ES0031408323131005HX0F</v>
      </c>
      <c r="B12926" s="12">
        <f>IFERROR(__xludf.DUMMYFUNCTION("""COMPUTED_VALUE"""),45404.0)</f>
        <v>45404</v>
      </c>
      <c r="C12926" s="13">
        <f>IFERROR(__xludf.DUMMYFUNCTION("""COMPUTED_VALUE"""),0.5833333333333334)</f>
        <v>0.5833333333</v>
      </c>
      <c r="D12926" s="8">
        <f>IFERROR(__xludf.DUMMYFUNCTION("""COMPUTED_VALUE"""),0.597)</f>
        <v>0.597</v>
      </c>
      <c r="E12926" s="8" t="str">
        <f>IFERROR(__xludf.DUMMYFUNCTION("""COMPUTED_VALUE"""),"Real")</f>
        <v>Real</v>
      </c>
      <c r="G12926" s="8">
        <f t="shared" si="1"/>
        <v>4</v>
      </c>
      <c r="H12926" s="14">
        <f t="shared" si="2"/>
        <v>22</v>
      </c>
      <c r="I12926" s="15">
        <f t="shared" si="3"/>
        <v>14</v>
      </c>
    </row>
    <row r="12927">
      <c r="A12927" s="8" t="str">
        <f>IFERROR(__xludf.DUMMYFUNCTION("IF('(INGESTA)Datos_consumo_datadis'!A12927&lt;&gt;"""",SPLIT('(INGESTA)Datos_consumo_datadis'!A:A,"",""),"""")"),"ES0031408323131005HX0F")</f>
        <v>ES0031408323131005HX0F</v>
      </c>
      <c r="B12927" s="12">
        <f>IFERROR(__xludf.DUMMYFUNCTION("""COMPUTED_VALUE"""),45404.0)</f>
        <v>45404</v>
      </c>
      <c r="C12927" s="13">
        <f>IFERROR(__xludf.DUMMYFUNCTION("""COMPUTED_VALUE"""),0.625)</f>
        <v>0.625</v>
      </c>
      <c r="D12927" s="8">
        <f>IFERROR(__xludf.DUMMYFUNCTION("""COMPUTED_VALUE"""),0.083)</f>
        <v>0.083</v>
      </c>
      <c r="E12927" s="8" t="str">
        <f>IFERROR(__xludf.DUMMYFUNCTION("""COMPUTED_VALUE"""),"Real")</f>
        <v>Real</v>
      </c>
      <c r="G12927" s="8">
        <f t="shared" si="1"/>
        <v>4</v>
      </c>
      <c r="H12927" s="14">
        <f t="shared" si="2"/>
        <v>22</v>
      </c>
      <c r="I12927" s="15">
        <f t="shared" si="3"/>
        <v>15</v>
      </c>
    </row>
    <row r="12928">
      <c r="A12928" s="8" t="str">
        <f>IFERROR(__xludf.DUMMYFUNCTION("IF('(INGESTA)Datos_consumo_datadis'!A12928&lt;&gt;"""",SPLIT('(INGESTA)Datos_consumo_datadis'!A:A,"",""),"""")"),"ES0031408323131005HX0F")</f>
        <v>ES0031408323131005HX0F</v>
      </c>
      <c r="B12928" s="12">
        <f>IFERROR(__xludf.DUMMYFUNCTION("""COMPUTED_VALUE"""),45404.0)</f>
        <v>45404</v>
      </c>
      <c r="C12928" s="13">
        <f>IFERROR(__xludf.DUMMYFUNCTION("""COMPUTED_VALUE"""),0.6666666666666666)</f>
        <v>0.6666666667</v>
      </c>
      <c r="D12928" s="8">
        <f>IFERROR(__xludf.DUMMYFUNCTION("""COMPUTED_VALUE"""),0.067)</f>
        <v>0.067</v>
      </c>
      <c r="E12928" s="8" t="str">
        <f>IFERROR(__xludf.DUMMYFUNCTION("""COMPUTED_VALUE"""),"Real")</f>
        <v>Real</v>
      </c>
      <c r="G12928" s="8">
        <f t="shared" si="1"/>
        <v>4</v>
      </c>
      <c r="H12928" s="14">
        <f t="shared" si="2"/>
        <v>22</v>
      </c>
      <c r="I12928" s="15">
        <f t="shared" si="3"/>
        <v>16</v>
      </c>
    </row>
    <row r="12929">
      <c r="A12929" s="8" t="str">
        <f>IFERROR(__xludf.DUMMYFUNCTION("IF('(INGESTA)Datos_consumo_datadis'!A12929&lt;&gt;"""",SPLIT('(INGESTA)Datos_consumo_datadis'!A:A,"",""),"""")"),"ES0031408323131005HX0F")</f>
        <v>ES0031408323131005HX0F</v>
      </c>
      <c r="B12929" s="12">
        <f>IFERROR(__xludf.DUMMYFUNCTION("""COMPUTED_VALUE"""),45404.0)</f>
        <v>45404</v>
      </c>
      <c r="C12929" s="13">
        <f>IFERROR(__xludf.DUMMYFUNCTION("""COMPUTED_VALUE"""),0.7083333333333334)</f>
        <v>0.7083333333</v>
      </c>
      <c r="D12929" s="8">
        <f>IFERROR(__xludf.DUMMYFUNCTION("""COMPUTED_VALUE"""),0.657)</f>
        <v>0.657</v>
      </c>
      <c r="E12929" s="8" t="str">
        <f>IFERROR(__xludf.DUMMYFUNCTION("""COMPUTED_VALUE"""),"Real")</f>
        <v>Real</v>
      </c>
      <c r="G12929" s="8">
        <f t="shared" si="1"/>
        <v>4</v>
      </c>
      <c r="H12929" s="14">
        <f t="shared" si="2"/>
        <v>22</v>
      </c>
      <c r="I12929" s="15">
        <f t="shared" si="3"/>
        <v>17</v>
      </c>
    </row>
    <row r="12930">
      <c r="A12930" s="8" t="str">
        <f>IFERROR(__xludf.DUMMYFUNCTION("IF('(INGESTA)Datos_consumo_datadis'!A12930&lt;&gt;"""",SPLIT('(INGESTA)Datos_consumo_datadis'!A:A,"",""),"""")"),"ES0031408323131005HX0F")</f>
        <v>ES0031408323131005HX0F</v>
      </c>
      <c r="B12930" s="12">
        <f>IFERROR(__xludf.DUMMYFUNCTION("""COMPUTED_VALUE"""),45404.0)</f>
        <v>45404</v>
      </c>
      <c r="C12930" s="13">
        <f>IFERROR(__xludf.DUMMYFUNCTION("""COMPUTED_VALUE"""),0.75)</f>
        <v>0.75</v>
      </c>
      <c r="D12930" s="8">
        <f>IFERROR(__xludf.DUMMYFUNCTION("""COMPUTED_VALUE"""),0.068)</f>
        <v>0.068</v>
      </c>
      <c r="E12930" s="8" t="str">
        <f>IFERROR(__xludf.DUMMYFUNCTION("""COMPUTED_VALUE"""),"Real")</f>
        <v>Real</v>
      </c>
      <c r="G12930" s="8">
        <f t="shared" si="1"/>
        <v>4</v>
      </c>
      <c r="H12930" s="14">
        <f t="shared" si="2"/>
        <v>22</v>
      </c>
      <c r="I12930" s="15">
        <f t="shared" si="3"/>
        <v>18</v>
      </c>
    </row>
    <row r="12931">
      <c r="A12931" s="8" t="str">
        <f>IFERROR(__xludf.DUMMYFUNCTION("IF('(INGESTA)Datos_consumo_datadis'!A12931&lt;&gt;"""",SPLIT('(INGESTA)Datos_consumo_datadis'!A:A,"",""),"""")"),"ES0031408323131005HX0F")</f>
        <v>ES0031408323131005HX0F</v>
      </c>
      <c r="B12931" s="12">
        <f>IFERROR(__xludf.DUMMYFUNCTION("""COMPUTED_VALUE"""),45404.0)</f>
        <v>45404</v>
      </c>
      <c r="C12931" s="13">
        <f>IFERROR(__xludf.DUMMYFUNCTION("""COMPUTED_VALUE"""),0.7916666666666666)</f>
        <v>0.7916666667</v>
      </c>
      <c r="D12931" s="8">
        <f>IFERROR(__xludf.DUMMYFUNCTION("""COMPUTED_VALUE"""),0.075)</f>
        <v>0.075</v>
      </c>
      <c r="E12931" s="8" t="str">
        <f>IFERROR(__xludf.DUMMYFUNCTION("""COMPUTED_VALUE"""),"Real")</f>
        <v>Real</v>
      </c>
      <c r="G12931" s="8">
        <f t="shared" si="1"/>
        <v>4</v>
      </c>
      <c r="H12931" s="14">
        <f t="shared" si="2"/>
        <v>22</v>
      </c>
      <c r="I12931" s="15">
        <f t="shared" si="3"/>
        <v>19</v>
      </c>
    </row>
    <row r="12932">
      <c r="A12932" s="8" t="str">
        <f>IFERROR(__xludf.DUMMYFUNCTION("IF('(INGESTA)Datos_consumo_datadis'!A12932&lt;&gt;"""",SPLIT('(INGESTA)Datos_consumo_datadis'!A:A,"",""),"""")"),"ES0031408323131005HX0F")</f>
        <v>ES0031408323131005HX0F</v>
      </c>
      <c r="B12932" s="12">
        <f>IFERROR(__xludf.DUMMYFUNCTION("""COMPUTED_VALUE"""),45404.0)</f>
        <v>45404</v>
      </c>
      <c r="C12932" s="13">
        <f>IFERROR(__xludf.DUMMYFUNCTION("""COMPUTED_VALUE"""),0.8333333333333334)</f>
        <v>0.8333333333</v>
      </c>
      <c r="D12932" s="8">
        <f>IFERROR(__xludf.DUMMYFUNCTION("""COMPUTED_VALUE"""),0.664)</f>
        <v>0.664</v>
      </c>
      <c r="E12932" s="8" t="str">
        <f>IFERROR(__xludf.DUMMYFUNCTION("""COMPUTED_VALUE"""),"Real")</f>
        <v>Real</v>
      </c>
      <c r="G12932" s="8">
        <f t="shared" si="1"/>
        <v>4</v>
      </c>
      <c r="H12932" s="14">
        <f t="shared" si="2"/>
        <v>22</v>
      </c>
      <c r="I12932" s="15">
        <f t="shared" si="3"/>
        <v>20</v>
      </c>
    </row>
    <row r="12933">
      <c r="A12933" s="8" t="str">
        <f>IFERROR(__xludf.DUMMYFUNCTION("IF('(INGESTA)Datos_consumo_datadis'!A12933&lt;&gt;"""",SPLIT('(INGESTA)Datos_consumo_datadis'!A:A,"",""),"""")"),"ES0031408323131005HX0F")</f>
        <v>ES0031408323131005HX0F</v>
      </c>
      <c r="B12933" s="12">
        <f>IFERROR(__xludf.DUMMYFUNCTION("""COMPUTED_VALUE"""),45404.0)</f>
        <v>45404</v>
      </c>
      <c r="C12933" s="13">
        <f>IFERROR(__xludf.DUMMYFUNCTION("""COMPUTED_VALUE"""),0.875)</f>
        <v>0.875</v>
      </c>
      <c r="D12933" s="8">
        <f>IFERROR(__xludf.DUMMYFUNCTION("""COMPUTED_VALUE"""),2.175)</f>
        <v>2.175</v>
      </c>
      <c r="E12933" s="8" t="str">
        <f>IFERROR(__xludf.DUMMYFUNCTION("""COMPUTED_VALUE"""),"Real")</f>
        <v>Real</v>
      </c>
      <c r="G12933" s="8">
        <f t="shared" si="1"/>
        <v>4</v>
      </c>
      <c r="H12933" s="14">
        <f t="shared" si="2"/>
        <v>22</v>
      </c>
      <c r="I12933" s="15">
        <f t="shared" si="3"/>
        <v>21</v>
      </c>
    </row>
    <row r="12934">
      <c r="A12934" s="8" t="str">
        <f>IFERROR(__xludf.DUMMYFUNCTION("IF('(INGESTA)Datos_consumo_datadis'!A12934&lt;&gt;"""",SPLIT('(INGESTA)Datos_consumo_datadis'!A:A,"",""),"""")"),"ES0031408323131005HX0F")</f>
        <v>ES0031408323131005HX0F</v>
      </c>
      <c r="B12934" s="12">
        <f>IFERROR(__xludf.DUMMYFUNCTION("""COMPUTED_VALUE"""),45404.0)</f>
        <v>45404</v>
      </c>
      <c r="C12934" s="13">
        <f>IFERROR(__xludf.DUMMYFUNCTION("""COMPUTED_VALUE"""),0.9166666666666666)</f>
        <v>0.9166666667</v>
      </c>
      <c r="D12934" s="8">
        <f>IFERROR(__xludf.DUMMYFUNCTION("""COMPUTED_VALUE"""),1.368)</f>
        <v>1.368</v>
      </c>
      <c r="E12934" s="8" t="str">
        <f>IFERROR(__xludf.DUMMYFUNCTION("""COMPUTED_VALUE"""),"Real")</f>
        <v>Real</v>
      </c>
      <c r="G12934" s="8">
        <f t="shared" si="1"/>
        <v>4</v>
      </c>
      <c r="H12934" s="14">
        <f t="shared" si="2"/>
        <v>22</v>
      </c>
      <c r="I12934" s="15">
        <f t="shared" si="3"/>
        <v>22</v>
      </c>
    </row>
    <row r="12935">
      <c r="A12935" s="8" t="str">
        <f>IFERROR(__xludf.DUMMYFUNCTION("IF('(INGESTA)Datos_consumo_datadis'!A12935&lt;&gt;"""",SPLIT('(INGESTA)Datos_consumo_datadis'!A:A,"",""),"""")"),"ES0031408323131005HX0F")</f>
        <v>ES0031408323131005HX0F</v>
      </c>
      <c r="B12935" s="12">
        <f>IFERROR(__xludf.DUMMYFUNCTION("""COMPUTED_VALUE"""),45404.0)</f>
        <v>45404</v>
      </c>
      <c r="C12935" s="13">
        <f>IFERROR(__xludf.DUMMYFUNCTION("""COMPUTED_VALUE"""),0.9583333333333334)</f>
        <v>0.9583333333</v>
      </c>
      <c r="D12935" s="8">
        <f>IFERROR(__xludf.DUMMYFUNCTION("""COMPUTED_VALUE"""),1.133)</f>
        <v>1.133</v>
      </c>
      <c r="E12935" s="8" t="str">
        <f>IFERROR(__xludf.DUMMYFUNCTION("""COMPUTED_VALUE"""),"Real")</f>
        <v>Real</v>
      </c>
      <c r="G12935" s="8">
        <f t="shared" si="1"/>
        <v>4</v>
      </c>
      <c r="H12935" s="14">
        <f t="shared" si="2"/>
        <v>22</v>
      </c>
      <c r="I12935" s="15">
        <f t="shared" si="3"/>
        <v>23</v>
      </c>
    </row>
    <row r="12936">
      <c r="A12936" s="8" t="str">
        <f>IFERROR(__xludf.DUMMYFUNCTION("IF('(INGESTA)Datos_consumo_datadis'!A12936&lt;&gt;"""",SPLIT('(INGESTA)Datos_consumo_datadis'!A:A,"",""),"""")"),"ES0031408323131005HX0F")</f>
        <v>ES0031408323131005HX0F</v>
      </c>
      <c r="B12936" s="12">
        <f>IFERROR(__xludf.DUMMYFUNCTION("""COMPUTED_VALUE"""),45404.0)</f>
        <v>45404</v>
      </c>
      <c r="C12936" s="16">
        <f>IFERROR(__xludf.DUMMYFUNCTION("""COMPUTED_VALUE"""),1.0)</f>
        <v>1</v>
      </c>
      <c r="D12936" s="8">
        <f>IFERROR(__xludf.DUMMYFUNCTION("""COMPUTED_VALUE"""),0.969)</f>
        <v>0.969</v>
      </c>
      <c r="E12936" s="8" t="str">
        <f>IFERROR(__xludf.DUMMYFUNCTION("""COMPUTED_VALUE"""),"Real")</f>
        <v>Real</v>
      </c>
      <c r="G12936" s="8">
        <f t="shared" si="1"/>
        <v>4</v>
      </c>
      <c r="H12936" s="14">
        <f t="shared" si="2"/>
        <v>22</v>
      </c>
      <c r="I12936" s="15">
        <f t="shared" si="3"/>
        <v>0</v>
      </c>
    </row>
    <row r="12937">
      <c r="A12937" s="8" t="str">
        <f>IFERROR(__xludf.DUMMYFUNCTION("IF('(INGESTA)Datos_consumo_datadis'!A12937&lt;&gt;"""",SPLIT('(INGESTA)Datos_consumo_datadis'!A:A,"",""),"""")"),"ES0031408323131005HX0F")</f>
        <v>ES0031408323131005HX0F</v>
      </c>
      <c r="B12937" s="12">
        <f>IFERROR(__xludf.DUMMYFUNCTION("""COMPUTED_VALUE"""),45405.0)</f>
        <v>45405</v>
      </c>
      <c r="C12937" s="13">
        <f>IFERROR(__xludf.DUMMYFUNCTION("""COMPUTED_VALUE"""),0.041666666666666664)</f>
        <v>0.04166666667</v>
      </c>
      <c r="D12937" s="8">
        <f>IFERROR(__xludf.DUMMYFUNCTION("""COMPUTED_VALUE"""),0.476)</f>
        <v>0.476</v>
      </c>
      <c r="E12937" s="8" t="str">
        <f>IFERROR(__xludf.DUMMYFUNCTION("""COMPUTED_VALUE"""),"Real")</f>
        <v>Real</v>
      </c>
      <c r="G12937" s="8">
        <f t="shared" si="1"/>
        <v>4</v>
      </c>
      <c r="H12937" s="14">
        <f t="shared" si="2"/>
        <v>23</v>
      </c>
      <c r="I12937" s="15">
        <f t="shared" si="3"/>
        <v>1</v>
      </c>
    </row>
    <row r="12938">
      <c r="A12938" s="8" t="str">
        <f>IFERROR(__xludf.DUMMYFUNCTION("IF('(INGESTA)Datos_consumo_datadis'!A12938&lt;&gt;"""",SPLIT('(INGESTA)Datos_consumo_datadis'!A:A,"",""),"""")"),"ES0031408323131005HX0F")</f>
        <v>ES0031408323131005HX0F</v>
      </c>
      <c r="B12938" s="12">
        <f>IFERROR(__xludf.DUMMYFUNCTION("""COMPUTED_VALUE"""),45405.0)</f>
        <v>45405</v>
      </c>
      <c r="C12938" s="13">
        <f>IFERROR(__xludf.DUMMYFUNCTION("""COMPUTED_VALUE"""),0.08333333333333333)</f>
        <v>0.08333333333</v>
      </c>
      <c r="D12938" s="8">
        <f>IFERROR(__xludf.DUMMYFUNCTION("""COMPUTED_VALUE"""),0.043)</f>
        <v>0.043</v>
      </c>
      <c r="E12938" s="8" t="str">
        <f>IFERROR(__xludf.DUMMYFUNCTION("""COMPUTED_VALUE"""),"Real")</f>
        <v>Real</v>
      </c>
      <c r="G12938" s="8">
        <f t="shared" si="1"/>
        <v>4</v>
      </c>
      <c r="H12938" s="14">
        <f t="shared" si="2"/>
        <v>23</v>
      </c>
      <c r="I12938" s="15">
        <f t="shared" si="3"/>
        <v>2</v>
      </c>
    </row>
    <row r="12939">
      <c r="A12939" s="8" t="str">
        <f>IFERROR(__xludf.DUMMYFUNCTION("IF('(INGESTA)Datos_consumo_datadis'!A12939&lt;&gt;"""",SPLIT('(INGESTA)Datos_consumo_datadis'!A:A,"",""),"""")"),"ES0031408323131005HX0F")</f>
        <v>ES0031408323131005HX0F</v>
      </c>
      <c r="B12939" s="12">
        <f>IFERROR(__xludf.DUMMYFUNCTION("""COMPUTED_VALUE"""),45405.0)</f>
        <v>45405</v>
      </c>
      <c r="C12939" s="13">
        <f>IFERROR(__xludf.DUMMYFUNCTION("""COMPUTED_VALUE"""),0.125)</f>
        <v>0.125</v>
      </c>
      <c r="D12939" s="8">
        <f>IFERROR(__xludf.DUMMYFUNCTION("""COMPUTED_VALUE"""),0.132)</f>
        <v>0.132</v>
      </c>
      <c r="E12939" s="8" t="str">
        <f>IFERROR(__xludf.DUMMYFUNCTION("""COMPUTED_VALUE"""),"Real")</f>
        <v>Real</v>
      </c>
      <c r="G12939" s="8">
        <f t="shared" si="1"/>
        <v>4</v>
      </c>
      <c r="H12939" s="14">
        <f t="shared" si="2"/>
        <v>23</v>
      </c>
      <c r="I12939" s="15">
        <f t="shared" si="3"/>
        <v>3</v>
      </c>
    </row>
    <row r="12940">
      <c r="A12940" s="8" t="str">
        <f>IFERROR(__xludf.DUMMYFUNCTION("IF('(INGESTA)Datos_consumo_datadis'!A12940&lt;&gt;"""",SPLIT('(INGESTA)Datos_consumo_datadis'!A:A,"",""),"""")"),"ES0031408323131005HX0F")</f>
        <v>ES0031408323131005HX0F</v>
      </c>
      <c r="B12940" s="12">
        <f>IFERROR(__xludf.DUMMYFUNCTION("""COMPUTED_VALUE"""),45405.0)</f>
        <v>45405</v>
      </c>
      <c r="C12940" s="13">
        <f>IFERROR(__xludf.DUMMYFUNCTION("""COMPUTED_VALUE"""),0.16666666666666666)</f>
        <v>0.1666666667</v>
      </c>
      <c r="D12940" s="8">
        <f>IFERROR(__xludf.DUMMYFUNCTION("""COMPUTED_VALUE"""),0.361)</f>
        <v>0.361</v>
      </c>
      <c r="E12940" s="8" t="str">
        <f>IFERROR(__xludf.DUMMYFUNCTION("""COMPUTED_VALUE"""),"Real")</f>
        <v>Real</v>
      </c>
      <c r="G12940" s="8">
        <f t="shared" si="1"/>
        <v>4</v>
      </c>
      <c r="H12940" s="14">
        <f t="shared" si="2"/>
        <v>23</v>
      </c>
      <c r="I12940" s="15">
        <f t="shared" si="3"/>
        <v>4</v>
      </c>
    </row>
    <row r="12941">
      <c r="A12941" s="8" t="str">
        <f>IFERROR(__xludf.DUMMYFUNCTION("IF('(INGESTA)Datos_consumo_datadis'!A12941&lt;&gt;"""",SPLIT('(INGESTA)Datos_consumo_datadis'!A:A,"",""),"""")"),"ES0031408323131005HX0F")</f>
        <v>ES0031408323131005HX0F</v>
      </c>
      <c r="B12941" s="12">
        <f>IFERROR(__xludf.DUMMYFUNCTION("""COMPUTED_VALUE"""),45405.0)</f>
        <v>45405</v>
      </c>
      <c r="C12941" s="13">
        <f>IFERROR(__xludf.DUMMYFUNCTION("""COMPUTED_VALUE"""),0.20833333333333334)</f>
        <v>0.2083333333</v>
      </c>
      <c r="D12941" s="8">
        <f>IFERROR(__xludf.DUMMYFUNCTION("""COMPUTED_VALUE"""),0.061)</f>
        <v>0.061</v>
      </c>
      <c r="E12941" s="8" t="str">
        <f>IFERROR(__xludf.DUMMYFUNCTION("""COMPUTED_VALUE"""),"Real")</f>
        <v>Real</v>
      </c>
      <c r="G12941" s="8">
        <f t="shared" si="1"/>
        <v>4</v>
      </c>
      <c r="H12941" s="14">
        <f t="shared" si="2"/>
        <v>23</v>
      </c>
      <c r="I12941" s="15">
        <f t="shared" si="3"/>
        <v>5</v>
      </c>
    </row>
    <row r="12942">
      <c r="A12942" s="8" t="str">
        <f>IFERROR(__xludf.DUMMYFUNCTION("IF('(INGESTA)Datos_consumo_datadis'!A12942&lt;&gt;"""",SPLIT('(INGESTA)Datos_consumo_datadis'!A:A,"",""),"""")"),"ES0031408323131005HX0F")</f>
        <v>ES0031408323131005HX0F</v>
      </c>
      <c r="B12942" s="12">
        <f>IFERROR(__xludf.DUMMYFUNCTION("""COMPUTED_VALUE"""),45405.0)</f>
        <v>45405</v>
      </c>
      <c r="C12942" s="13">
        <f>IFERROR(__xludf.DUMMYFUNCTION("""COMPUTED_VALUE"""),0.25)</f>
        <v>0.25</v>
      </c>
      <c r="D12942" s="8">
        <f>IFERROR(__xludf.DUMMYFUNCTION("""COMPUTED_VALUE"""),0.051)</f>
        <v>0.051</v>
      </c>
      <c r="E12942" s="8" t="str">
        <f>IFERROR(__xludf.DUMMYFUNCTION("""COMPUTED_VALUE"""),"Real")</f>
        <v>Real</v>
      </c>
      <c r="G12942" s="8">
        <f t="shared" si="1"/>
        <v>4</v>
      </c>
      <c r="H12942" s="14">
        <f t="shared" si="2"/>
        <v>23</v>
      </c>
      <c r="I12942" s="15">
        <f t="shared" si="3"/>
        <v>6</v>
      </c>
    </row>
    <row r="12943">
      <c r="A12943" s="8" t="str">
        <f>IFERROR(__xludf.DUMMYFUNCTION("IF('(INGESTA)Datos_consumo_datadis'!A12943&lt;&gt;"""",SPLIT('(INGESTA)Datos_consumo_datadis'!A:A,"",""),"""")"),"ES0031408323131005HX0F")</f>
        <v>ES0031408323131005HX0F</v>
      </c>
      <c r="B12943" s="12">
        <f>IFERROR(__xludf.DUMMYFUNCTION("""COMPUTED_VALUE"""),45405.0)</f>
        <v>45405</v>
      </c>
      <c r="C12943" s="13">
        <f>IFERROR(__xludf.DUMMYFUNCTION("""COMPUTED_VALUE"""),0.2916666666666667)</f>
        <v>0.2916666667</v>
      </c>
      <c r="D12943" s="8">
        <f>IFERROR(__xludf.DUMMYFUNCTION("""COMPUTED_VALUE"""),1.645)</f>
        <v>1.645</v>
      </c>
      <c r="E12943" s="8" t="str">
        <f>IFERROR(__xludf.DUMMYFUNCTION("""COMPUTED_VALUE"""),"Real")</f>
        <v>Real</v>
      </c>
      <c r="G12943" s="8">
        <f t="shared" si="1"/>
        <v>4</v>
      </c>
      <c r="H12943" s="14">
        <f t="shared" si="2"/>
        <v>23</v>
      </c>
      <c r="I12943" s="15">
        <f t="shared" si="3"/>
        <v>7</v>
      </c>
    </row>
    <row r="12944">
      <c r="A12944" s="8" t="str">
        <f>IFERROR(__xludf.DUMMYFUNCTION("IF('(INGESTA)Datos_consumo_datadis'!A12944&lt;&gt;"""",SPLIT('(INGESTA)Datos_consumo_datadis'!A:A,"",""),"""")"),"ES0031408323131005HX0F")</f>
        <v>ES0031408323131005HX0F</v>
      </c>
      <c r="B12944" s="12">
        <f>IFERROR(__xludf.DUMMYFUNCTION("""COMPUTED_VALUE"""),45405.0)</f>
        <v>45405</v>
      </c>
      <c r="C12944" s="13">
        <f>IFERROR(__xludf.DUMMYFUNCTION("""COMPUTED_VALUE"""),0.3333333333333333)</f>
        <v>0.3333333333</v>
      </c>
      <c r="D12944" s="8">
        <f>IFERROR(__xludf.DUMMYFUNCTION("""COMPUTED_VALUE"""),1.05)</f>
        <v>1.05</v>
      </c>
      <c r="E12944" s="8" t="str">
        <f>IFERROR(__xludf.DUMMYFUNCTION("""COMPUTED_VALUE"""),"Real")</f>
        <v>Real</v>
      </c>
      <c r="G12944" s="8">
        <f t="shared" si="1"/>
        <v>4</v>
      </c>
      <c r="H12944" s="14">
        <f t="shared" si="2"/>
        <v>23</v>
      </c>
      <c r="I12944" s="15">
        <f t="shared" si="3"/>
        <v>8</v>
      </c>
    </row>
    <row r="12945">
      <c r="A12945" s="8" t="str">
        <f>IFERROR(__xludf.DUMMYFUNCTION("IF('(INGESTA)Datos_consumo_datadis'!A12945&lt;&gt;"""",SPLIT('(INGESTA)Datos_consumo_datadis'!A:A,"",""),"""")"),"ES0031408323131005HX0F")</f>
        <v>ES0031408323131005HX0F</v>
      </c>
      <c r="B12945" s="12">
        <f>IFERROR(__xludf.DUMMYFUNCTION("""COMPUTED_VALUE"""),45405.0)</f>
        <v>45405</v>
      </c>
      <c r="C12945" s="13">
        <f>IFERROR(__xludf.DUMMYFUNCTION("""COMPUTED_VALUE"""),0.375)</f>
        <v>0.375</v>
      </c>
      <c r="D12945" s="8">
        <f>IFERROR(__xludf.DUMMYFUNCTION("""COMPUTED_VALUE"""),0.549)</f>
        <v>0.549</v>
      </c>
      <c r="E12945" s="8" t="str">
        <f>IFERROR(__xludf.DUMMYFUNCTION("""COMPUTED_VALUE"""),"Real")</f>
        <v>Real</v>
      </c>
      <c r="G12945" s="8">
        <f t="shared" si="1"/>
        <v>4</v>
      </c>
      <c r="H12945" s="14">
        <f t="shared" si="2"/>
        <v>23</v>
      </c>
      <c r="I12945" s="15">
        <f t="shared" si="3"/>
        <v>9</v>
      </c>
    </row>
    <row r="12946">
      <c r="A12946" s="8" t="str">
        <f>IFERROR(__xludf.DUMMYFUNCTION("IF('(INGESTA)Datos_consumo_datadis'!A12946&lt;&gt;"""",SPLIT('(INGESTA)Datos_consumo_datadis'!A:A,"",""),"""")"),"ES0031408323131005HX0F")</f>
        <v>ES0031408323131005HX0F</v>
      </c>
      <c r="B12946" s="12">
        <f>IFERROR(__xludf.DUMMYFUNCTION("""COMPUTED_VALUE"""),45405.0)</f>
        <v>45405</v>
      </c>
      <c r="C12946" s="13">
        <f>IFERROR(__xludf.DUMMYFUNCTION("""COMPUTED_VALUE"""),0.4166666666666667)</f>
        <v>0.4166666667</v>
      </c>
      <c r="D12946" s="8">
        <f>IFERROR(__xludf.DUMMYFUNCTION("""COMPUTED_VALUE"""),0.469)</f>
        <v>0.469</v>
      </c>
      <c r="E12946" s="8" t="str">
        <f>IFERROR(__xludf.DUMMYFUNCTION("""COMPUTED_VALUE"""),"Real")</f>
        <v>Real</v>
      </c>
      <c r="G12946" s="8">
        <f t="shared" si="1"/>
        <v>4</v>
      </c>
      <c r="H12946" s="14">
        <f t="shared" si="2"/>
        <v>23</v>
      </c>
      <c r="I12946" s="15">
        <f t="shared" si="3"/>
        <v>10</v>
      </c>
    </row>
    <row r="12947">
      <c r="A12947" s="8" t="str">
        <f>IFERROR(__xludf.DUMMYFUNCTION("IF('(INGESTA)Datos_consumo_datadis'!A12947&lt;&gt;"""",SPLIT('(INGESTA)Datos_consumo_datadis'!A:A,"",""),"""")"),"ES0031408323131005HX0F")</f>
        <v>ES0031408323131005HX0F</v>
      </c>
      <c r="B12947" s="12">
        <f>IFERROR(__xludf.DUMMYFUNCTION("""COMPUTED_VALUE"""),45405.0)</f>
        <v>45405</v>
      </c>
      <c r="C12947" s="13">
        <f>IFERROR(__xludf.DUMMYFUNCTION("""COMPUTED_VALUE"""),0.4583333333333333)</f>
        <v>0.4583333333</v>
      </c>
      <c r="D12947" s="8">
        <f>IFERROR(__xludf.DUMMYFUNCTION("""COMPUTED_VALUE"""),1.546)</f>
        <v>1.546</v>
      </c>
      <c r="E12947" s="8" t="str">
        <f>IFERROR(__xludf.DUMMYFUNCTION("""COMPUTED_VALUE"""),"Real")</f>
        <v>Real</v>
      </c>
      <c r="G12947" s="8">
        <f t="shared" si="1"/>
        <v>4</v>
      </c>
      <c r="H12947" s="14">
        <f t="shared" si="2"/>
        <v>23</v>
      </c>
      <c r="I12947" s="15">
        <f t="shared" si="3"/>
        <v>11</v>
      </c>
    </row>
    <row r="12948">
      <c r="A12948" s="8" t="str">
        <f>IFERROR(__xludf.DUMMYFUNCTION("IF('(INGESTA)Datos_consumo_datadis'!A12948&lt;&gt;"""",SPLIT('(INGESTA)Datos_consumo_datadis'!A:A,"",""),"""")"),"ES0031408323131005HX0F")</f>
        <v>ES0031408323131005HX0F</v>
      </c>
      <c r="B12948" s="12">
        <f>IFERROR(__xludf.DUMMYFUNCTION("""COMPUTED_VALUE"""),45405.0)</f>
        <v>45405</v>
      </c>
      <c r="C12948" s="13">
        <f>IFERROR(__xludf.DUMMYFUNCTION("""COMPUTED_VALUE"""),0.5)</f>
        <v>0.5</v>
      </c>
      <c r="D12948" s="8">
        <f>IFERROR(__xludf.DUMMYFUNCTION("""COMPUTED_VALUE"""),0.041)</f>
        <v>0.041</v>
      </c>
      <c r="E12948" s="8" t="str">
        <f>IFERROR(__xludf.DUMMYFUNCTION("""COMPUTED_VALUE"""),"Real")</f>
        <v>Real</v>
      </c>
      <c r="G12948" s="8">
        <f t="shared" si="1"/>
        <v>4</v>
      </c>
      <c r="H12948" s="14">
        <f t="shared" si="2"/>
        <v>23</v>
      </c>
      <c r="I12948" s="15">
        <f t="shared" si="3"/>
        <v>12</v>
      </c>
    </row>
    <row r="12949">
      <c r="A12949" s="8" t="str">
        <f>IFERROR(__xludf.DUMMYFUNCTION("IF('(INGESTA)Datos_consumo_datadis'!A12949&lt;&gt;"""",SPLIT('(INGESTA)Datos_consumo_datadis'!A:A,"",""),"""")"),"ES0031408323131005HX0F")</f>
        <v>ES0031408323131005HX0F</v>
      </c>
      <c r="B12949" s="12">
        <f>IFERROR(__xludf.DUMMYFUNCTION("""COMPUTED_VALUE"""),45405.0)</f>
        <v>45405</v>
      </c>
      <c r="C12949" s="13">
        <f>IFERROR(__xludf.DUMMYFUNCTION("""COMPUTED_VALUE"""),0.5416666666666666)</f>
        <v>0.5416666667</v>
      </c>
      <c r="D12949" s="8">
        <f>IFERROR(__xludf.DUMMYFUNCTION("""COMPUTED_VALUE"""),0.075)</f>
        <v>0.075</v>
      </c>
      <c r="E12949" s="8" t="str">
        <f>IFERROR(__xludf.DUMMYFUNCTION("""COMPUTED_VALUE"""),"Real")</f>
        <v>Real</v>
      </c>
      <c r="G12949" s="8">
        <f t="shared" si="1"/>
        <v>4</v>
      </c>
      <c r="H12949" s="14">
        <f t="shared" si="2"/>
        <v>23</v>
      </c>
      <c r="I12949" s="15">
        <f t="shared" si="3"/>
        <v>13</v>
      </c>
    </row>
    <row r="12950">
      <c r="A12950" s="8" t="str">
        <f>IFERROR(__xludf.DUMMYFUNCTION("IF('(INGESTA)Datos_consumo_datadis'!A12950&lt;&gt;"""",SPLIT('(INGESTA)Datos_consumo_datadis'!A:A,"",""),"""")"),"ES0031408323131005HX0F")</f>
        <v>ES0031408323131005HX0F</v>
      </c>
      <c r="B12950" s="12">
        <f>IFERROR(__xludf.DUMMYFUNCTION("""COMPUTED_VALUE"""),45405.0)</f>
        <v>45405</v>
      </c>
      <c r="C12950" s="13">
        <f>IFERROR(__xludf.DUMMYFUNCTION("""COMPUTED_VALUE"""),0.5833333333333334)</f>
        <v>0.5833333333</v>
      </c>
      <c r="D12950" s="8">
        <f>IFERROR(__xludf.DUMMYFUNCTION("""COMPUTED_VALUE"""),0.054)</f>
        <v>0.054</v>
      </c>
      <c r="E12950" s="8" t="str">
        <f>IFERROR(__xludf.DUMMYFUNCTION("""COMPUTED_VALUE"""),"Real")</f>
        <v>Real</v>
      </c>
      <c r="G12950" s="8">
        <f t="shared" si="1"/>
        <v>4</v>
      </c>
      <c r="H12950" s="14">
        <f t="shared" si="2"/>
        <v>23</v>
      </c>
      <c r="I12950" s="15">
        <f t="shared" si="3"/>
        <v>14</v>
      </c>
    </row>
    <row r="12951">
      <c r="A12951" s="8" t="str">
        <f>IFERROR(__xludf.DUMMYFUNCTION("IF('(INGESTA)Datos_consumo_datadis'!A12951&lt;&gt;"""",SPLIT('(INGESTA)Datos_consumo_datadis'!A:A,"",""),"""")"),"ES0031408323131005HX0F")</f>
        <v>ES0031408323131005HX0F</v>
      </c>
      <c r="B12951" s="12">
        <f>IFERROR(__xludf.DUMMYFUNCTION("""COMPUTED_VALUE"""),45405.0)</f>
        <v>45405</v>
      </c>
      <c r="C12951" s="13">
        <f>IFERROR(__xludf.DUMMYFUNCTION("""COMPUTED_VALUE"""),0.625)</f>
        <v>0.625</v>
      </c>
      <c r="D12951" s="8">
        <f>IFERROR(__xludf.DUMMYFUNCTION("""COMPUTED_VALUE"""),0.067)</f>
        <v>0.067</v>
      </c>
      <c r="E12951" s="8" t="str">
        <f>IFERROR(__xludf.DUMMYFUNCTION("""COMPUTED_VALUE"""),"Real")</f>
        <v>Real</v>
      </c>
      <c r="G12951" s="8">
        <f t="shared" si="1"/>
        <v>4</v>
      </c>
      <c r="H12951" s="14">
        <f t="shared" si="2"/>
        <v>23</v>
      </c>
      <c r="I12951" s="15">
        <f t="shared" si="3"/>
        <v>15</v>
      </c>
    </row>
    <row r="12952">
      <c r="A12952" s="8" t="str">
        <f>IFERROR(__xludf.DUMMYFUNCTION("IF('(INGESTA)Datos_consumo_datadis'!A12952&lt;&gt;"""",SPLIT('(INGESTA)Datos_consumo_datadis'!A:A,"",""),"""")"),"ES0031408323131005HX0F")</f>
        <v>ES0031408323131005HX0F</v>
      </c>
      <c r="B12952" s="12">
        <f>IFERROR(__xludf.DUMMYFUNCTION("""COMPUTED_VALUE"""),45405.0)</f>
        <v>45405</v>
      </c>
      <c r="C12952" s="13">
        <f>IFERROR(__xludf.DUMMYFUNCTION("""COMPUTED_VALUE"""),0.6666666666666666)</f>
        <v>0.6666666667</v>
      </c>
      <c r="D12952" s="8">
        <f>IFERROR(__xludf.DUMMYFUNCTION("""COMPUTED_VALUE"""),0.844)</f>
        <v>0.844</v>
      </c>
      <c r="E12952" s="8" t="str">
        <f>IFERROR(__xludf.DUMMYFUNCTION("""COMPUTED_VALUE"""),"Real")</f>
        <v>Real</v>
      </c>
      <c r="G12952" s="8">
        <f t="shared" si="1"/>
        <v>4</v>
      </c>
      <c r="H12952" s="14">
        <f t="shared" si="2"/>
        <v>23</v>
      </c>
      <c r="I12952" s="15">
        <f t="shared" si="3"/>
        <v>16</v>
      </c>
    </row>
    <row r="12953">
      <c r="A12953" s="8" t="str">
        <f>IFERROR(__xludf.DUMMYFUNCTION("IF('(INGESTA)Datos_consumo_datadis'!A12953&lt;&gt;"""",SPLIT('(INGESTA)Datos_consumo_datadis'!A:A,"",""),"""")"),"ES0031408323131005HX0F")</f>
        <v>ES0031408323131005HX0F</v>
      </c>
      <c r="B12953" s="12">
        <f>IFERROR(__xludf.DUMMYFUNCTION("""COMPUTED_VALUE"""),45405.0)</f>
        <v>45405</v>
      </c>
      <c r="C12953" s="13">
        <f>IFERROR(__xludf.DUMMYFUNCTION("""COMPUTED_VALUE"""),0.7083333333333334)</f>
        <v>0.7083333333</v>
      </c>
      <c r="D12953" s="8">
        <f>IFERROR(__xludf.DUMMYFUNCTION("""COMPUTED_VALUE"""),0.415)</f>
        <v>0.415</v>
      </c>
      <c r="E12953" s="8" t="str">
        <f>IFERROR(__xludf.DUMMYFUNCTION("""COMPUTED_VALUE"""),"Real")</f>
        <v>Real</v>
      </c>
      <c r="G12953" s="8">
        <f t="shared" si="1"/>
        <v>4</v>
      </c>
      <c r="H12953" s="14">
        <f t="shared" si="2"/>
        <v>23</v>
      </c>
      <c r="I12953" s="15">
        <f t="shared" si="3"/>
        <v>17</v>
      </c>
    </row>
    <row r="12954">
      <c r="A12954" s="8" t="str">
        <f>IFERROR(__xludf.DUMMYFUNCTION("IF('(INGESTA)Datos_consumo_datadis'!A12954&lt;&gt;"""",SPLIT('(INGESTA)Datos_consumo_datadis'!A:A,"",""),"""")"),"ES0031408323131005HX0F")</f>
        <v>ES0031408323131005HX0F</v>
      </c>
      <c r="B12954" s="12">
        <f>IFERROR(__xludf.DUMMYFUNCTION("""COMPUTED_VALUE"""),45405.0)</f>
        <v>45405</v>
      </c>
      <c r="C12954" s="13">
        <f>IFERROR(__xludf.DUMMYFUNCTION("""COMPUTED_VALUE"""),0.75)</f>
        <v>0.75</v>
      </c>
      <c r="D12954" s="8">
        <f>IFERROR(__xludf.DUMMYFUNCTION("""COMPUTED_VALUE"""),0.056)</f>
        <v>0.056</v>
      </c>
      <c r="E12954" s="8" t="str">
        <f>IFERROR(__xludf.DUMMYFUNCTION("""COMPUTED_VALUE"""),"Real")</f>
        <v>Real</v>
      </c>
      <c r="G12954" s="8">
        <f t="shared" si="1"/>
        <v>4</v>
      </c>
      <c r="H12954" s="14">
        <f t="shared" si="2"/>
        <v>23</v>
      </c>
      <c r="I12954" s="15">
        <f t="shared" si="3"/>
        <v>18</v>
      </c>
    </row>
    <row r="12955">
      <c r="A12955" s="8" t="str">
        <f>IFERROR(__xludf.DUMMYFUNCTION("IF('(INGESTA)Datos_consumo_datadis'!A12955&lt;&gt;"""",SPLIT('(INGESTA)Datos_consumo_datadis'!A:A,"",""),"""")"),"ES0031408323131005HX0F")</f>
        <v>ES0031408323131005HX0F</v>
      </c>
      <c r="B12955" s="12">
        <f>IFERROR(__xludf.DUMMYFUNCTION("""COMPUTED_VALUE"""),45405.0)</f>
        <v>45405</v>
      </c>
      <c r="C12955" s="13">
        <f>IFERROR(__xludf.DUMMYFUNCTION("""COMPUTED_VALUE"""),0.7916666666666666)</f>
        <v>0.7916666667</v>
      </c>
      <c r="D12955" s="8">
        <f>IFERROR(__xludf.DUMMYFUNCTION("""COMPUTED_VALUE"""),0.047)</f>
        <v>0.047</v>
      </c>
      <c r="E12955" s="8" t="str">
        <f>IFERROR(__xludf.DUMMYFUNCTION("""COMPUTED_VALUE"""),"Real")</f>
        <v>Real</v>
      </c>
      <c r="G12955" s="8">
        <f t="shared" si="1"/>
        <v>4</v>
      </c>
      <c r="H12955" s="14">
        <f t="shared" si="2"/>
        <v>23</v>
      </c>
      <c r="I12955" s="15">
        <f t="shared" si="3"/>
        <v>19</v>
      </c>
    </row>
    <row r="12956">
      <c r="A12956" s="8" t="str">
        <f>IFERROR(__xludf.DUMMYFUNCTION("IF('(INGESTA)Datos_consumo_datadis'!A12956&lt;&gt;"""",SPLIT('(INGESTA)Datos_consumo_datadis'!A:A,"",""),"""")"),"ES0031408323131005HX0F")</f>
        <v>ES0031408323131005HX0F</v>
      </c>
      <c r="B12956" s="12">
        <f>IFERROR(__xludf.DUMMYFUNCTION("""COMPUTED_VALUE"""),45405.0)</f>
        <v>45405</v>
      </c>
      <c r="C12956" s="13">
        <f>IFERROR(__xludf.DUMMYFUNCTION("""COMPUTED_VALUE"""),0.8333333333333334)</f>
        <v>0.8333333333</v>
      </c>
      <c r="D12956" s="8">
        <f>IFERROR(__xludf.DUMMYFUNCTION("""COMPUTED_VALUE"""),0.073)</f>
        <v>0.073</v>
      </c>
      <c r="E12956" s="8" t="str">
        <f>IFERROR(__xludf.DUMMYFUNCTION("""COMPUTED_VALUE"""),"Real")</f>
        <v>Real</v>
      </c>
      <c r="G12956" s="8">
        <f t="shared" si="1"/>
        <v>4</v>
      </c>
      <c r="H12956" s="14">
        <f t="shared" si="2"/>
        <v>23</v>
      </c>
      <c r="I12956" s="15">
        <f t="shared" si="3"/>
        <v>20</v>
      </c>
    </row>
    <row r="12957">
      <c r="A12957" s="8" t="str">
        <f>IFERROR(__xludf.DUMMYFUNCTION("IF('(INGESTA)Datos_consumo_datadis'!A12957&lt;&gt;"""",SPLIT('(INGESTA)Datos_consumo_datadis'!A:A,"",""),"""")"),"ES0031408323131005HX0F")</f>
        <v>ES0031408323131005HX0F</v>
      </c>
      <c r="B12957" s="12">
        <f>IFERROR(__xludf.DUMMYFUNCTION("""COMPUTED_VALUE"""),45405.0)</f>
        <v>45405</v>
      </c>
      <c r="C12957" s="13">
        <f>IFERROR(__xludf.DUMMYFUNCTION("""COMPUTED_VALUE"""),0.875)</f>
        <v>0.875</v>
      </c>
      <c r="D12957" s="8">
        <f>IFERROR(__xludf.DUMMYFUNCTION("""COMPUTED_VALUE"""),2.459)</f>
        <v>2.459</v>
      </c>
      <c r="E12957" s="8" t="str">
        <f>IFERROR(__xludf.DUMMYFUNCTION("""COMPUTED_VALUE"""),"Real")</f>
        <v>Real</v>
      </c>
      <c r="G12957" s="8">
        <f t="shared" si="1"/>
        <v>4</v>
      </c>
      <c r="H12957" s="14">
        <f t="shared" si="2"/>
        <v>23</v>
      </c>
      <c r="I12957" s="15">
        <f t="shared" si="3"/>
        <v>21</v>
      </c>
    </row>
    <row r="12958">
      <c r="A12958" s="8" t="str">
        <f>IFERROR(__xludf.DUMMYFUNCTION("IF('(INGESTA)Datos_consumo_datadis'!A12958&lt;&gt;"""",SPLIT('(INGESTA)Datos_consumo_datadis'!A:A,"",""),"""")"),"ES0031408323131005HX0F")</f>
        <v>ES0031408323131005HX0F</v>
      </c>
      <c r="B12958" s="12">
        <f>IFERROR(__xludf.DUMMYFUNCTION("""COMPUTED_VALUE"""),45405.0)</f>
        <v>45405</v>
      </c>
      <c r="C12958" s="13">
        <f>IFERROR(__xludf.DUMMYFUNCTION("""COMPUTED_VALUE"""),0.9166666666666666)</f>
        <v>0.9166666667</v>
      </c>
      <c r="D12958" s="8">
        <f>IFERROR(__xludf.DUMMYFUNCTION("""COMPUTED_VALUE"""),1.898)</f>
        <v>1.898</v>
      </c>
      <c r="E12958" s="8" t="str">
        <f>IFERROR(__xludf.DUMMYFUNCTION("""COMPUTED_VALUE"""),"Real")</f>
        <v>Real</v>
      </c>
      <c r="G12958" s="8">
        <f t="shared" si="1"/>
        <v>4</v>
      </c>
      <c r="H12958" s="14">
        <f t="shared" si="2"/>
        <v>23</v>
      </c>
      <c r="I12958" s="15">
        <f t="shared" si="3"/>
        <v>22</v>
      </c>
    </row>
    <row r="12959">
      <c r="A12959" s="8" t="str">
        <f>IFERROR(__xludf.DUMMYFUNCTION("IF('(INGESTA)Datos_consumo_datadis'!A12959&lt;&gt;"""",SPLIT('(INGESTA)Datos_consumo_datadis'!A:A,"",""),"""")"),"ES0031408323131005HX0F")</f>
        <v>ES0031408323131005HX0F</v>
      </c>
      <c r="B12959" s="12">
        <f>IFERROR(__xludf.DUMMYFUNCTION("""COMPUTED_VALUE"""),45405.0)</f>
        <v>45405</v>
      </c>
      <c r="C12959" s="13">
        <f>IFERROR(__xludf.DUMMYFUNCTION("""COMPUTED_VALUE"""),0.9583333333333334)</f>
        <v>0.9583333333</v>
      </c>
      <c r="D12959" s="8">
        <f>IFERROR(__xludf.DUMMYFUNCTION("""COMPUTED_VALUE"""),1.211)</f>
        <v>1.211</v>
      </c>
      <c r="E12959" s="8" t="str">
        <f>IFERROR(__xludf.DUMMYFUNCTION("""COMPUTED_VALUE"""),"Real")</f>
        <v>Real</v>
      </c>
      <c r="G12959" s="8">
        <f t="shared" si="1"/>
        <v>4</v>
      </c>
      <c r="H12959" s="14">
        <f t="shared" si="2"/>
        <v>23</v>
      </c>
      <c r="I12959" s="15">
        <f t="shared" si="3"/>
        <v>23</v>
      </c>
    </row>
    <row r="12960">
      <c r="A12960" s="8" t="str">
        <f>IFERROR(__xludf.DUMMYFUNCTION("IF('(INGESTA)Datos_consumo_datadis'!A12960&lt;&gt;"""",SPLIT('(INGESTA)Datos_consumo_datadis'!A:A,"",""),"""")"),"ES0031408323131005HX0F")</f>
        <v>ES0031408323131005HX0F</v>
      </c>
      <c r="B12960" s="12">
        <f>IFERROR(__xludf.DUMMYFUNCTION("""COMPUTED_VALUE"""),45405.0)</f>
        <v>45405</v>
      </c>
      <c r="C12960" s="16">
        <f>IFERROR(__xludf.DUMMYFUNCTION("""COMPUTED_VALUE"""),1.0)</f>
        <v>1</v>
      </c>
      <c r="D12960" s="8">
        <f>IFERROR(__xludf.DUMMYFUNCTION("""COMPUTED_VALUE"""),1.719)</f>
        <v>1.719</v>
      </c>
      <c r="E12960" s="8" t="str">
        <f>IFERROR(__xludf.DUMMYFUNCTION("""COMPUTED_VALUE"""),"Real")</f>
        <v>Real</v>
      </c>
      <c r="G12960" s="8">
        <f t="shared" si="1"/>
        <v>4</v>
      </c>
      <c r="H12960" s="14">
        <f t="shared" si="2"/>
        <v>23</v>
      </c>
      <c r="I12960" s="15">
        <f t="shared" si="3"/>
        <v>0</v>
      </c>
    </row>
    <row r="12961">
      <c r="A12961" s="8" t="str">
        <f>IFERROR(__xludf.DUMMYFUNCTION("IF('(INGESTA)Datos_consumo_datadis'!A12961&lt;&gt;"""",SPLIT('(INGESTA)Datos_consumo_datadis'!A:A,"",""),"""")"),"ES0031408323131005HX0F")</f>
        <v>ES0031408323131005HX0F</v>
      </c>
      <c r="B12961" s="12">
        <f>IFERROR(__xludf.DUMMYFUNCTION("""COMPUTED_VALUE"""),45406.0)</f>
        <v>45406</v>
      </c>
      <c r="C12961" s="13">
        <f>IFERROR(__xludf.DUMMYFUNCTION("""COMPUTED_VALUE"""),0.041666666666666664)</f>
        <v>0.04166666667</v>
      </c>
      <c r="D12961" s="8">
        <f>IFERROR(__xludf.DUMMYFUNCTION("""COMPUTED_VALUE"""),0.233)</f>
        <v>0.233</v>
      </c>
      <c r="E12961" s="8" t="str">
        <f>IFERROR(__xludf.DUMMYFUNCTION("""COMPUTED_VALUE"""),"Real")</f>
        <v>Real</v>
      </c>
      <c r="G12961" s="8">
        <f t="shared" si="1"/>
        <v>4</v>
      </c>
      <c r="H12961" s="14">
        <f t="shared" si="2"/>
        <v>24</v>
      </c>
      <c r="I12961" s="15">
        <f t="shared" si="3"/>
        <v>1</v>
      </c>
    </row>
    <row r="12962">
      <c r="A12962" s="8" t="str">
        <f>IFERROR(__xludf.DUMMYFUNCTION("IF('(INGESTA)Datos_consumo_datadis'!A12962&lt;&gt;"""",SPLIT('(INGESTA)Datos_consumo_datadis'!A:A,"",""),"""")"),"ES0031408323131005HX0F")</f>
        <v>ES0031408323131005HX0F</v>
      </c>
      <c r="B12962" s="12">
        <f>IFERROR(__xludf.DUMMYFUNCTION("""COMPUTED_VALUE"""),45406.0)</f>
        <v>45406</v>
      </c>
      <c r="C12962" s="13">
        <f>IFERROR(__xludf.DUMMYFUNCTION("""COMPUTED_VALUE"""),0.08333333333333333)</f>
        <v>0.08333333333</v>
      </c>
      <c r="D12962" s="8">
        <f>IFERROR(__xludf.DUMMYFUNCTION("""COMPUTED_VALUE"""),0.085)</f>
        <v>0.085</v>
      </c>
      <c r="E12962" s="8" t="str">
        <f>IFERROR(__xludf.DUMMYFUNCTION("""COMPUTED_VALUE"""),"Real")</f>
        <v>Real</v>
      </c>
      <c r="G12962" s="8">
        <f t="shared" si="1"/>
        <v>4</v>
      </c>
      <c r="H12962" s="14">
        <f t="shared" si="2"/>
        <v>24</v>
      </c>
      <c r="I12962" s="15">
        <f t="shared" si="3"/>
        <v>2</v>
      </c>
    </row>
    <row r="12963">
      <c r="A12963" s="8" t="str">
        <f>IFERROR(__xludf.DUMMYFUNCTION("IF('(INGESTA)Datos_consumo_datadis'!A12963&lt;&gt;"""",SPLIT('(INGESTA)Datos_consumo_datadis'!A:A,"",""),"""")"),"ES0031408323131005HX0F")</f>
        <v>ES0031408323131005HX0F</v>
      </c>
      <c r="B12963" s="12">
        <f>IFERROR(__xludf.DUMMYFUNCTION("""COMPUTED_VALUE"""),45406.0)</f>
        <v>45406</v>
      </c>
      <c r="C12963" s="13">
        <f>IFERROR(__xludf.DUMMYFUNCTION("""COMPUTED_VALUE"""),0.125)</f>
        <v>0.125</v>
      </c>
      <c r="D12963" s="8">
        <f>IFERROR(__xludf.DUMMYFUNCTION("""COMPUTED_VALUE"""),0.054)</f>
        <v>0.054</v>
      </c>
      <c r="E12963" s="8" t="str">
        <f>IFERROR(__xludf.DUMMYFUNCTION("""COMPUTED_VALUE"""),"Real")</f>
        <v>Real</v>
      </c>
      <c r="G12963" s="8">
        <f t="shared" si="1"/>
        <v>4</v>
      </c>
      <c r="H12963" s="14">
        <f t="shared" si="2"/>
        <v>24</v>
      </c>
      <c r="I12963" s="15">
        <f t="shared" si="3"/>
        <v>3</v>
      </c>
    </row>
    <row r="12964">
      <c r="A12964" s="8" t="str">
        <f>IFERROR(__xludf.DUMMYFUNCTION("IF('(INGESTA)Datos_consumo_datadis'!A12964&lt;&gt;"""",SPLIT('(INGESTA)Datos_consumo_datadis'!A:A,"",""),"""")"),"ES0031408323131005HX0F")</f>
        <v>ES0031408323131005HX0F</v>
      </c>
      <c r="B12964" s="12">
        <f>IFERROR(__xludf.DUMMYFUNCTION("""COMPUTED_VALUE"""),45406.0)</f>
        <v>45406</v>
      </c>
      <c r="C12964" s="13">
        <f>IFERROR(__xludf.DUMMYFUNCTION("""COMPUTED_VALUE"""),0.16666666666666666)</f>
        <v>0.1666666667</v>
      </c>
      <c r="D12964" s="8">
        <f>IFERROR(__xludf.DUMMYFUNCTION("""COMPUTED_VALUE"""),0.072)</f>
        <v>0.072</v>
      </c>
      <c r="E12964" s="8" t="str">
        <f>IFERROR(__xludf.DUMMYFUNCTION("""COMPUTED_VALUE"""),"Real")</f>
        <v>Real</v>
      </c>
      <c r="G12964" s="8">
        <f t="shared" si="1"/>
        <v>4</v>
      </c>
      <c r="H12964" s="14">
        <f t="shared" si="2"/>
        <v>24</v>
      </c>
      <c r="I12964" s="15">
        <f t="shared" si="3"/>
        <v>4</v>
      </c>
    </row>
    <row r="12965">
      <c r="A12965" s="8" t="str">
        <f>IFERROR(__xludf.DUMMYFUNCTION("IF('(INGESTA)Datos_consumo_datadis'!A12965&lt;&gt;"""",SPLIT('(INGESTA)Datos_consumo_datadis'!A:A,"",""),"""")"),"ES0031408323131005HX0F")</f>
        <v>ES0031408323131005HX0F</v>
      </c>
      <c r="B12965" s="12">
        <f>IFERROR(__xludf.DUMMYFUNCTION("""COMPUTED_VALUE"""),45406.0)</f>
        <v>45406</v>
      </c>
      <c r="C12965" s="13">
        <f>IFERROR(__xludf.DUMMYFUNCTION("""COMPUTED_VALUE"""),0.20833333333333334)</f>
        <v>0.2083333333</v>
      </c>
      <c r="D12965" s="8">
        <f>IFERROR(__xludf.DUMMYFUNCTION("""COMPUTED_VALUE"""),0.046)</f>
        <v>0.046</v>
      </c>
      <c r="E12965" s="8" t="str">
        <f>IFERROR(__xludf.DUMMYFUNCTION("""COMPUTED_VALUE"""),"Real")</f>
        <v>Real</v>
      </c>
      <c r="G12965" s="8">
        <f t="shared" si="1"/>
        <v>4</v>
      </c>
      <c r="H12965" s="14">
        <f t="shared" si="2"/>
        <v>24</v>
      </c>
      <c r="I12965" s="15">
        <f t="shared" si="3"/>
        <v>5</v>
      </c>
    </row>
    <row r="12966">
      <c r="A12966" s="8" t="str">
        <f>IFERROR(__xludf.DUMMYFUNCTION("IF('(INGESTA)Datos_consumo_datadis'!A12966&lt;&gt;"""",SPLIT('(INGESTA)Datos_consumo_datadis'!A:A,"",""),"""")"),"ES0031408323131005HX0F")</f>
        <v>ES0031408323131005HX0F</v>
      </c>
      <c r="B12966" s="12">
        <f>IFERROR(__xludf.DUMMYFUNCTION("""COMPUTED_VALUE"""),45406.0)</f>
        <v>45406</v>
      </c>
      <c r="C12966" s="13">
        <f>IFERROR(__xludf.DUMMYFUNCTION("""COMPUTED_VALUE"""),0.25)</f>
        <v>0.25</v>
      </c>
      <c r="D12966" s="8">
        <f>IFERROR(__xludf.DUMMYFUNCTION("""COMPUTED_VALUE"""),0.387)</f>
        <v>0.387</v>
      </c>
      <c r="E12966" s="8" t="str">
        <f>IFERROR(__xludf.DUMMYFUNCTION("""COMPUTED_VALUE"""),"Real")</f>
        <v>Real</v>
      </c>
      <c r="G12966" s="8">
        <f t="shared" si="1"/>
        <v>4</v>
      </c>
      <c r="H12966" s="14">
        <f t="shared" si="2"/>
        <v>24</v>
      </c>
      <c r="I12966" s="15">
        <f t="shared" si="3"/>
        <v>6</v>
      </c>
    </row>
    <row r="12967">
      <c r="A12967" s="8" t="str">
        <f>IFERROR(__xludf.DUMMYFUNCTION("IF('(INGESTA)Datos_consumo_datadis'!A12967&lt;&gt;"""",SPLIT('(INGESTA)Datos_consumo_datadis'!A:A,"",""),"""")"),"ES0031408323131005HX0F")</f>
        <v>ES0031408323131005HX0F</v>
      </c>
      <c r="B12967" s="12">
        <f>IFERROR(__xludf.DUMMYFUNCTION("""COMPUTED_VALUE"""),45406.0)</f>
        <v>45406</v>
      </c>
      <c r="C12967" s="13">
        <f>IFERROR(__xludf.DUMMYFUNCTION("""COMPUTED_VALUE"""),0.2916666666666667)</f>
        <v>0.2916666667</v>
      </c>
      <c r="D12967" s="8">
        <f>IFERROR(__xludf.DUMMYFUNCTION("""COMPUTED_VALUE"""),1.38)</f>
        <v>1.38</v>
      </c>
      <c r="E12967" s="8" t="str">
        <f>IFERROR(__xludf.DUMMYFUNCTION("""COMPUTED_VALUE"""),"Real")</f>
        <v>Real</v>
      </c>
      <c r="G12967" s="8">
        <f t="shared" si="1"/>
        <v>4</v>
      </c>
      <c r="H12967" s="14">
        <f t="shared" si="2"/>
        <v>24</v>
      </c>
      <c r="I12967" s="15">
        <f t="shared" si="3"/>
        <v>7</v>
      </c>
    </row>
    <row r="12968">
      <c r="A12968" s="8" t="str">
        <f>IFERROR(__xludf.DUMMYFUNCTION("IF('(INGESTA)Datos_consumo_datadis'!A12968&lt;&gt;"""",SPLIT('(INGESTA)Datos_consumo_datadis'!A:A,"",""),"""")"),"ES0031408323131005HX0F")</f>
        <v>ES0031408323131005HX0F</v>
      </c>
      <c r="B12968" s="12">
        <f>IFERROR(__xludf.DUMMYFUNCTION("""COMPUTED_VALUE"""),45406.0)</f>
        <v>45406</v>
      </c>
      <c r="C12968" s="13">
        <f>IFERROR(__xludf.DUMMYFUNCTION("""COMPUTED_VALUE"""),0.3333333333333333)</f>
        <v>0.3333333333</v>
      </c>
      <c r="D12968" s="8">
        <f>IFERROR(__xludf.DUMMYFUNCTION("""COMPUTED_VALUE"""),1.187)</f>
        <v>1.187</v>
      </c>
      <c r="E12968" s="8" t="str">
        <f>IFERROR(__xludf.DUMMYFUNCTION("""COMPUTED_VALUE"""),"Real")</f>
        <v>Real</v>
      </c>
      <c r="G12968" s="8">
        <f t="shared" si="1"/>
        <v>4</v>
      </c>
      <c r="H12968" s="14">
        <f t="shared" si="2"/>
        <v>24</v>
      </c>
      <c r="I12968" s="15">
        <f t="shared" si="3"/>
        <v>8</v>
      </c>
    </row>
    <row r="12969">
      <c r="A12969" s="8" t="str">
        <f>IFERROR(__xludf.DUMMYFUNCTION("IF('(INGESTA)Datos_consumo_datadis'!A12969&lt;&gt;"""",SPLIT('(INGESTA)Datos_consumo_datadis'!A:A,"",""),"""")"),"ES0031408323131005HX0F")</f>
        <v>ES0031408323131005HX0F</v>
      </c>
      <c r="B12969" s="12">
        <f>IFERROR(__xludf.DUMMYFUNCTION("""COMPUTED_VALUE"""),45406.0)</f>
        <v>45406</v>
      </c>
      <c r="C12969" s="13">
        <f>IFERROR(__xludf.DUMMYFUNCTION("""COMPUTED_VALUE"""),0.375)</f>
        <v>0.375</v>
      </c>
      <c r="D12969" s="8">
        <f>IFERROR(__xludf.DUMMYFUNCTION("""COMPUTED_VALUE"""),0.498)</f>
        <v>0.498</v>
      </c>
      <c r="E12969" s="8" t="str">
        <f>IFERROR(__xludf.DUMMYFUNCTION("""COMPUTED_VALUE"""),"Real")</f>
        <v>Real</v>
      </c>
      <c r="G12969" s="8">
        <f t="shared" si="1"/>
        <v>4</v>
      </c>
      <c r="H12969" s="14">
        <f t="shared" si="2"/>
        <v>24</v>
      </c>
      <c r="I12969" s="15">
        <f t="shared" si="3"/>
        <v>9</v>
      </c>
    </row>
    <row r="12970">
      <c r="A12970" s="8" t="str">
        <f>IFERROR(__xludf.DUMMYFUNCTION("IF('(INGESTA)Datos_consumo_datadis'!A12970&lt;&gt;"""",SPLIT('(INGESTA)Datos_consumo_datadis'!A:A,"",""),"""")"),"ES0031408323131005HX0F")</f>
        <v>ES0031408323131005HX0F</v>
      </c>
      <c r="B12970" s="12">
        <f>IFERROR(__xludf.DUMMYFUNCTION("""COMPUTED_VALUE"""),45406.0)</f>
        <v>45406</v>
      </c>
      <c r="C12970" s="13">
        <f>IFERROR(__xludf.DUMMYFUNCTION("""COMPUTED_VALUE"""),0.4166666666666667)</f>
        <v>0.4166666667</v>
      </c>
      <c r="D12970" s="8">
        <f>IFERROR(__xludf.DUMMYFUNCTION("""COMPUTED_VALUE"""),0.948)</f>
        <v>0.948</v>
      </c>
      <c r="E12970" s="8" t="str">
        <f>IFERROR(__xludf.DUMMYFUNCTION("""COMPUTED_VALUE"""),"Real")</f>
        <v>Real</v>
      </c>
      <c r="G12970" s="8">
        <f t="shared" si="1"/>
        <v>4</v>
      </c>
      <c r="H12970" s="14">
        <f t="shared" si="2"/>
        <v>24</v>
      </c>
      <c r="I12970" s="15">
        <f t="shared" si="3"/>
        <v>10</v>
      </c>
    </row>
    <row r="12971">
      <c r="A12971" s="8" t="str">
        <f>IFERROR(__xludf.DUMMYFUNCTION("IF('(INGESTA)Datos_consumo_datadis'!A12971&lt;&gt;"""",SPLIT('(INGESTA)Datos_consumo_datadis'!A:A,"",""),"""")"),"ES0031408323131005HX0F")</f>
        <v>ES0031408323131005HX0F</v>
      </c>
      <c r="B12971" s="12">
        <f>IFERROR(__xludf.DUMMYFUNCTION("""COMPUTED_VALUE"""),45406.0)</f>
        <v>45406</v>
      </c>
      <c r="C12971" s="13">
        <f>IFERROR(__xludf.DUMMYFUNCTION("""COMPUTED_VALUE"""),0.4583333333333333)</f>
        <v>0.4583333333</v>
      </c>
      <c r="D12971" s="8">
        <f>IFERROR(__xludf.DUMMYFUNCTION("""COMPUTED_VALUE"""),0.079)</f>
        <v>0.079</v>
      </c>
      <c r="E12971" s="8" t="str">
        <f>IFERROR(__xludf.DUMMYFUNCTION("""COMPUTED_VALUE"""),"Real")</f>
        <v>Real</v>
      </c>
      <c r="G12971" s="8">
        <f t="shared" si="1"/>
        <v>4</v>
      </c>
      <c r="H12971" s="14">
        <f t="shared" si="2"/>
        <v>24</v>
      </c>
      <c r="I12971" s="15">
        <f t="shared" si="3"/>
        <v>11</v>
      </c>
    </row>
    <row r="12972">
      <c r="A12972" s="8" t="str">
        <f>IFERROR(__xludf.DUMMYFUNCTION("IF('(INGESTA)Datos_consumo_datadis'!A12972&lt;&gt;"""",SPLIT('(INGESTA)Datos_consumo_datadis'!A:A,"",""),"""")"),"ES0031408323131005HX0F")</f>
        <v>ES0031408323131005HX0F</v>
      </c>
      <c r="B12972" s="12">
        <f>IFERROR(__xludf.DUMMYFUNCTION("""COMPUTED_VALUE"""),45406.0)</f>
        <v>45406</v>
      </c>
      <c r="C12972" s="13">
        <f>IFERROR(__xludf.DUMMYFUNCTION("""COMPUTED_VALUE"""),0.5)</f>
        <v>0.5</v>
      </c>
      <c r="D12972" s="8">
        <f>IFERROR(__xludf.DUMMYFUNCTION("""COMPUTED_VALUE"""),0.06)</f>
        <v>0.06</v>
      </c>
      <c r="E12972" s="8" t="str">
        <f>IFERROR(__xludf.DUMMYFUNCTION("""COMPUTED_VALUE"""),"Real")</f>
        <v>Real</v>
      </c>
      <c r="G12972" s="8">
        <f t="shared" si="1"/>
        <v>4</v>
      </c>
      <c r="H12972" s="14">
        <f t="shared" si="2"/>
        <v>24</v>
      </c>
      <c r="I12972" s="15">
        <f t="shared" si="3"/>
        <v>12</v>
      </c>
    </row>
    <row r="12973">
      <c r="A12973" s="8" t="str">
        <f>IFERROR(__xludf.DUMMYFUNCTION("IF('(INGESTA)Datos_consumo_datadis'!A12973&lt;&gt;"""",SPLIT('(INGESTA)Datos_consumo_datadis'!A:A,"",""),"""")"),"ES0031408323131005HX0F")</f>
        <v>ES0031408323131005HX0F</v>
      </c>
      <c r="B12973" s="12">
        <f>IFERROR(__xludf.DUMMYFUNCTION("""COMPUTED_VALUE"""),45406.0)</f>
        <v>45406</v>
      </c>
      <c r="C12973" s="13">
        <f>IFERROR(__xludf.DUMMYFUNCTION("""COMPUTED_VALUE"""),0.5416666666666666)</f>
        <v>0.5416666667</v>
      </c>
      <c r="D12973" s="8">
        <f>IFERROR(__xludf.DUMMYFUNCTION("""COMPUTED_VALUE"""),0.297)</f>
        <v>0.297</v>
      </c>
      <c r="E12973" s="8" t="str">
        <f>IFERROR(__xludf.DUMMYFUNCTION("""COMPUTED_VALUE"""),"Real")</f>
        <v>Real</v>
      </c>
      <c r="G12973" s="8">
        <f t="shared" si="1"/>
        <v>4</v>
      </c>
      <c r="H12973" s="14">
        <f t="shared" si="2"/>
        <v>24</v>
      </c>
      <c r="I12973" s="15">
        <f t="shared" si="3"/>
        <v>13</v>
      </c>
    </row>
    <row r="12974">
      <c r="A12974" s="8" t="str">
        <f>IFERROR(__xludf.DUMMYFUNCTION("IF('(INGESTA)Datos_consumo_datadis'!A12974&lt;&gt;"""",SPLIT('(INGESTA)Datos_consumo_datadis'!A:A,"",""),"""")"),"ES0031408323131005HX0F")</f>
        <v>ES0031408323131005HX0F</v>
      </c>
      <c r="B12974" s="12">
        <f>IFERROR(__xludf.DUMMYFUNCTION("""COMPUTED_VALUE"""),45406.0)</f>
        <v>45406</v>
      </c>
      <c r="C12974" s="13">
        <f>IFERROR(__xludf.DUMMYFUNCTION("""COMPUTED_VALUE"""),0.5833333333333334)</f>
        <v>0.5833333333</v>
      </c>
      <c r="D12974" s="8">
        <f>IFERROR(__xludf.DUMMYFUNCTION("""COMPUTED_VALUE"""),0.098)</f>
        <v>0.098</v>
      </c>
      <c r="E12974" s="8" t="str">
        <f>IFERROR(__xludf.DUMMYFUNCTION("""COMPUTED_VALUE"""),"Real")</f>
        <v>Real</v>
      </c>
      <c r="G12974" s="8">
        <f t="shared" si="1"/>
        <v>4</v>
      </c>
      <c r="H12974" s="14">
        <f t="shared" si="2"/>
        <v>24</v>
      </c>
      <c r="I12974" s="15">
        <f t="shared" si="3"/>
        <v>14</v>
      </c>
    </row>
    <row r="12975">
      <c r="A12975" s="8" t="str">
        <f>IFERROR(__xludf.DUMMYFUNCTION("IF('(INGESTA)Datos_consumo_datadis'!A12975&lt;&gt;"""",SPLIT('(INGESTA)Datos_consumo_datadis'!A:A,"",""),"""")"),"ES0031408323131005HX0F")</f>
        <v>ES0031408323131005HX0F</v>
      </c>
      <c r="B12975" s="12">
        <f>IFERROR(__xludf.DUMMYFUNCTION("""COMPUTED_VALUE"""),45406.0)</f>
        <v>45406</v>
      </c>
      <c r="C12975" s="13">
        <f>IFERROR(__xludf.DUMMYFUNCTION("""COMPUTED_VALUE"""),0.625)</f>
        <v>0.625</v>
      </c>
      <c r="D12975" s="8">
        <f>IFERROR(__xludf.DUMMYFUNCTION("""COMPUTED_VALUE"""),0.056)</f>
        <v>0.056</v>
      </c>
      <c r="E12975" s="8" t="str">
        <f>IFERROR(__xludf.DUMMYFUNCTION("""COMPUTED_VALUE"""),"Real")</f>
        <v>Real</v>
      </c>
      <c r="G12975" s="8">
        <f t="shared" si="1"/>
        <v>4</v>
      </c>
      <c r="H12975" s="14">
        <f t="shared" si="2"/>
        <v>24</v>
      </c>
      <c r="I12975" s="15">
        <f t="shared" si="3"/>
        <v>15</v>
      </c>
    </row>
    <row r="12976">
      <c r="A12976" s="8" t="str">
        <f>IFERROR(__xludf.DUMMYFUNCTION("IF('(INGESTA)Datos_consumo_datadis'!A12976&lt;&gt;"""",SPLIT('(INGESTA)Datos_consumo_datadis'!A:A,"",""),"""")"),"ES0031408323131005HX0F")</f>
        <v>ES0031408323131005HX0F</v>
      </c>
      <c r="B12976" s="12">
        <f>IFERROR(__xludf.DUMMYFUNCTION("""COMPUTED_VALUE"""),45406.0)</f>
        <v>45406</v>
      </c>
      <c r="C12976" s="13">
        <f>IFERROR(__xludf.DUMMYFUNCTION("""COMPUTED_VALUE"""),0.6666666666666666)</f>
        <v>0.6666666667</v>
      </c>
      <c r="D12976" s="8">
        <f>IFERROR(__xludf.DUMMYFUNCTION("""COMPUTED_VALUE"""),0.574)</f>
        <v>0.574</v>
      </c>
      <c r="E12976" s="8" t="str">
        <f>IFERROR(__xludf.DUMMYFUNCTION("""COMPUTED_VALUE"""),"Real")</f>
        <v>Real</v>
      </c>
      <c r="G12976" s="8">
        <f t="shared" si="1"/>
        <v>4</v>
      </c>
      <c r="H12976" s="14">
        <f t="shared" si="2"/>
        <v>24</v>
      </c>
      <c r="I12976" s="15">
        <f t="shared" si="3"/>
        <v>16</v>
      </c>
    </row>
    <row r="12977">
      <c r="A12977" s="8" t="str">
        <f>IFERROR(__xludf.DUMMYFUNCTION("IF('(INGESTA)Datos_consumo_datadis'!A12977&lt;&gt;"""",SPLIT('(INGESTA)Datos_consumo_datadis'!A:A,"",""),"""")"),"ES0031408323131005HX0F")</f>
        <v>ES0031408323131005HX0F</v>
      </c>
      <c r="B12977" s="12">
        <f>IFERROR(__xludf.DUMMYFUNCTION("""COMPUTED_VALUE"""),45406.0)</f>
        <v>45406</v>
      </c>
      <c r="C12977" s="13">
        <f>IFERROR(__xludf.DUMMYFUNCTION("""COMPUTED_VALUE"""),0.7083333333333334)</f>
        <v>0.7083333333</v>
      </c>
      <c r="D12977" s="8">
        <f>IFERROR(__xludf.DUMMYFUNCTION("""COMPUTED_VALUE"""),0.127)</f>
        <v>0.127</v>
      </c>
      <c r="E12977" s="8" t="str">
        <f>IFERROR(__xludf.DUMMYFUNCTION("""COMPUTED_VALUE"""),"Real")</f>
        <v>Real</v>
      </c>
      <c r="G12977" s="8">
        <f t="shared" si="1"/>
        <v>4</v>
      </c>
      <c r="H12977" s="14">
        <f t="shared" si="2"/>
        <v>24</v>
      </c>
      <c r="I12977" s="15">
        <f t="shared" si="3"/>
        <v>17</v>
      </c>
    </row>
    <row r="12978">
      <c r="A12978" s="8" t="str">
        <f>IFERROR(__xludf.DUMMYFUNCTION("IF('(INGESTA)Datos_consumo_datadis'!A12978&lt;&gt;"""",SPLIT('(INGESTA)Datos_consumo_datadis'!A:A,"",""),"""")"),"ES0031408323131005HX0F")</f>
        <v>ES0031408323131005HX0F</v>
      </c>
      <c r="B12978" s="12">
        <f>IFERROR(__xludf.DUMMYFUNCTION("""COMPUTED_VALUE"""),45406.0)</f>
        <v>45406</v>
      </c>
      <c r="C12978" s="13">
        <f>IFERROR(__xludf.DUMMYFUNCTION("""COMPUTED_VALUE"""),0.75)</f>
        <v>0.75</v>
      </c>
      <c r="D12978" s="8">
        <f>IFERROR(__xludf.DUMMYFUNCTION("""COMPUTED_VALUE"""),0.163)</f>
        <v>0.163</v>
      </c>
      <c r="E12978" s="8" t="str">
        <f>IFERROR(__xludf.DUMMYFUNCTION("""COMPUTED_VALUE"""),"Real")</f>
        <v>Real</v>
      </c>
      <c r="G12978" s="8">
        <f t="shared" si="1"/>
        <v>4</v>
      </c>
      <c r="H12978" s="14">
        <f t="shared" si="2"/>
        <v>24</v>
      </c>
      <c r="I12978" s="15">
        <f t="shared" si="3"/>
        <v>18</v>
      </c>
    </row>
    <row r="12979">
      <c r="A12979" s="8" t="str">
        <f>IFERROR(__xludf.DUMMYFUNCTION("IF('(INGESTA)Datos_consumo_datadis'!A12979&lt;&gt;"""",SPLIT('(INGESTA)Datos_consumo_datadis'!A:A,"",""),"""")"),"ES0031408323131005HX0F")</f>
        <v>ES0031408323131005HX0F</v>
      </c>
      <c r="B12979" s="12">
        <f>IFERROR(__xludf.DUMMYFUNCTION("""COMPUTED_VALUE"""),45406.0)</f>
        <v>45406</v>
      </c>
      <c r="C12979" s="13">
        <f>IFERROR(__xludf.DUMMYFUNCTION("""COMPUTED_VALUE"""),0.7916666666666666)</f>
        <v>0.7916666667</v>
      </c>
      <c r="D12979" s="8">
        <f>IFERROR(__xludf.DUMMYFUNCTION("""COMPUTED_VALUE"""),0.147)</f>
        <v>0.147</v>
      </c>
      <c r="E12979" s="8" t="str">
        <f>IFERROR(__xludf.DUMMYFUNCTION("""COMPUTED_VALUE"""),"Real")</f>
        <v>Real</v>
      </c>
      <c r="G12979" s="8">
        <f t="shared" si="1"/>
        <v>4</v>
      </c>
      <c r="H12979" s="14">
        <f t="shared" si="2"/>
        <v>24</v>
      </c>
      <c r="I12979" s="15">
        <f t="shared" si="3"/>
        <v>19</v>
      </c>
    </row>
    <row r="12980">
      <c r="A12980" s="8" t="str">
        <f>IFERROR(__xludf.DUMMYFUNCTION("IF('(INGESTA)Datos_consumo_datadis'!A12980&lt;&gt;"""",SPLIT('(INGESTA)Datos_consumo_datadis'!A:A,"",""),"""")"),"ES0031408323131005HX0F")</f>
        <v>ES0031408323131005HX0F</v>
      </c>
      <c r="B12980" s="12">
        <f>IFERROR(__xludf.DUMMYFUNCTION("""COMPUTED_VALUE"""),45406.0)</f>
        <v>45406</v>
      </c>
      <c r="C12980" s="13">
        <f>IFERROR(__xludf.DUMMYFUNCTION("""COMPUTED_VALUE"""),0.8333333333333334)</f>
        <v>0.8333333333</v>
      </c>
      <c r="D12980" s="8">
        <f>IFERROR(__xludf.DUMMYFUNCTION("""COMPUTED_VALUE"""),0.907)</f>
        <v>0.907</v>
      </c>
      <c r="E12980" s="8" t="str">
        <f>IFERROR(__xludf.DUMMYFUNCTION("""COMPUTED_VALUE"""),"Real")</f>
        <v>Real</v>
      </c>
      <c r="G12980" s="8">
        <f t="shared" si="1"/>
        <v>4</v>
      </c>
      <c r="H12980" s="14">
        <f t="shared" si="2"/>
        <v>24</v>
      </c>
      <c r="I12980" s="15">
        <f t="shared" si="3"/>
        <v>20</v>
      </c>
    </row>
    <row r="12981">
      <c r="A12981" s="8" t="str">
        <f>IFERROR(__xludf.DUMMYFUNCTION("IF('(INGESTA)Datos_consumo_datadis'!A12981&lt;&gt;"""",SPLIT('(INGESTA)Datos_consumo_datadis'!A:A,"",""),"""")"),"ES0031408323131005HX0F")</f>
        <v>ES0031408323131005HX0F</v>
      </c>
      <c r="B12981" s="12">
        <f>IFERROR(__xludf.DUMMYFUNCTION("""COMPUTED_VALUE"""),45406.0)</f>
        <v>45406</v>
      </c>
      <c r="C12981" s="13">
        <f>IFERROR(__xludf.DUMMYFUNCTION("""COMPUTED_VALUE"""),0.875)</f>
        <v>0.875</v>
      </c>
      <c r="D12981" s="8">
        <f>IFERROR(__xludf.DUMMYFUNCTION("""COMPUTED_VALUE"""),1.478)</f>
        <v>1.478</v>
      </c>
      <c r="E12981" s="8" t="str">
        <f>IFERROR(__xludf.DUMMYFUNCTION("""COMPUTED_VALUE"""),"Real")</f>
        <v>Real</v>
      </c>
      <c r="G12981" s="8">
        <f t="shared" si="1"/>
        <v>4</v>
      </c>
      <c r="H12981" s="14">
        <f t="shared" si="2"/>
        <v>24</v>
      </c>
      <c r="I12981" s="15">
        <f t="shared" si="3"/>
        <v>21</v>
      </c>
    </row>
    <row r="12982">
      <c r="A12982" s="8" t="str">
        <f>IFERROR(__xludf.DUMMYFUNCTION("IF('(INGESTA)Datos_consumo_datadis'!A12982&lt;&gt;"""",SPLIT('(INGESTA)Datos_consumo_datadis'!A:A,"",""),"""")"),"ES0031408323131005HX0F")</f>
        <v>ES0031408323131005HX0F</v>
      </c>
      <c r="B12982" s="12">
        <f>IFERROR(__xludf.DUMMYFUNCTION("""COMPUTED_VALUE"""),45406.0)</f>
        <v>45406</v>
      </c>
      <c r="C12982" s="13">
        <f>IFERROR(__xludf.DUMMYFUNCTION("""COMPUTED_VALUE"""),0.9166666666666666)</f>
        <v>0.9166666667</v>
      </c>
      <c r="D12982" s="8">
        <f>IFERROR(__xludf.DUMMYFUNCTION("""COMPUTED_VALUE"""),0.769)</f>
        <v>0.769</v>
      </c>
      <c r="E12982" s="8" t="str">
        <f>IFERROR(__xludf.DUMMYFUNCTION("""COMPUTED_VALUE"""),"Real")</f>
        <v>Real</v>
      </c>
      <c r="G12982" s="8">
        <f t="shared" si="1"/>
        <v>4</v>
      </c>
      <c r="H12982" s="14">
        <f t="shared" si="2"/>
        <v>24</v>
      </c>
      <c r="I12982" s="15">
        <f t="shared" si="3"/>
        <v>22</v>
      </c>
    </row>
    <row r="12983">
      <c r="A12983" s="8" t="str">
        <f>IFERROR(__xludf.DUMMYFUNCTION("IF('(INGESTA)Datos_consumo_datadis'!A12983&lt;&gt;"""",SPLIT('(INGESTA)Datos_consumo_datadis'!A:A,"",""),"""")"),"ES0031408323131005HX0F")</f>
        <v>ES0031408323131005HX0F</v>
      </c>
      <c r="B12983" s="12">
        <f>IFERROR(__xludf.DUMMYFUNCTION("""COMPUTED_VALUE"""),45406.0)</f>
        <v>45406</v>
      </c>
      <c r="C12983" s="13">
        <f>IFERROR(__xludf.DUMMYFUNCTION("""COMPUTED_VALUE"""),0.9583333333333334)</f>
        <v>0.9583333333</v>
      </c>
      <c r="D12983" s="8">
        <f>IFERROR(__xludf.DUMMYFUNCTION("""COMPUTED_VALUE"""),2.159)</f>
        <v>2.159</v>
      </c>
      <c r="E12983" s="8" t="str">
        <f>IFERROR(__xludf.DUMMYFUNCTION("""COMPUTED_VALUE"""),"Real")</f>
        <v>Real</v>
      </c>
      <c r="G12983" s="8">
        <f t="shared" si="1"/>
        <v>4</v>
      </c>
      <c r="H12983" s="14">
        <f t="shared" si="2"/>
        <v>24</v>
      </c>
      <c r="I12983" s="15">
        <f t="shared" si="3"/>
        <v>23</v>
      </c>
    </row>
    <row r="12984">
      <c r="A12984" s="8" t="str">
        <f>IFERROR(__xludf.DUMMYFUNCTION("IF('(INGESTA)Datos_consumo_datadis'!A12984&lt;&gt;"""",SPLIT('(INGESTA)Datos_consumo_datadis'!A:A,"",""),"""")"),"ES0031408323131005HX0F")</f>
        <v>ES0031408323131005HX0F</v>
      </c>
      <c r="B12984" s="12">
        <f>IFERROR(__xludf.DUMMYFUNCTION("""COMPUTED_VALUE"""),45406.0)</f>
        <v>45406</v>
      </c>
      <c r="C12984" s="16">
        <f>IFERROR(__xludf.DUMMYFUNCTION("""COMPUTED_VALUE"""),1.0)</f>
        <v>1</v>
      </c>
      <c r="D12984" s="8">
        <f>IFERROR(__xludf.DUMMYFUNCTION("""COMPUTED_VALUE"""),1.107)</f>
        <v>1.107</v>
      </c>
      <c r="E12984" s="8" t="str">
        <f>IFERROR(__xludf.DUMMYFUNCTION("""COMPUTED_VALUE"""),"Real")</f>
        <v>Real</v>
      </c>
      <c r="G12984" s="8">
        <f t="shared" si="1"/>
        <v>4</v>
      </c>
      <c r="H12984" s="14">
        <f t="shared" si="2"/>
        <v>24</v>
      </c>
      <c r="I12984" s="15">
        <f t="shared" si="3"/>
        <v>0</v>
      </c>
    </row>
    <row r="12985">
      <c r="A12985" s="8" t="str">
        <f>IFERROR(__xludf.DUMMYFUNCTION("IF('(INGESTA)Datos_consumo_datadis'!A12985&lt;&gt;"""",SPLIT('(INGESTA)Datos_consumo_datadis'!A:A,"",""),"""")"),"ES0031408323131005HX0F")</f>
        <v>ES0031408323131005HX0F</v>
      </c>
      <c r="B12985" s="12">
        <f>IFERROR(__xludf.DUMMYFUNCTION("""COMPUTED_VALUE"""),45407.0)</f>
        <v>45407</v>
      </c>
      <c r="C12985" s="13">
        <f>IFERROR(__xludf.DUMMYFUNCTION("""COMPUTED_VALUE"""),0.041666666666666664)</f>
        <v>0.04166666667</v>
      </c>
      <c r="D12985" s="8">
        <f>IFERROR(__xludf.DUMMYFUNCTION("""COMPUTED_VALUE"""),0.069)</f>
        <v>0.069</v>
      </c>
      <c r="E12985" s="8" t="str">
        <f>IFERROR(__xludf.DUMMYFUNCTION("""COMPUTED_VALUE"""),"Real")</f>
        <v>Real</v>
      </c>
      <c r="G12985" s="8">
        <f t="shared" si="1"/>
        <v>4</v>
      </c>
      <c r="H12985" s="14">
        <f t="shared" si="2"/>
        <v>25</v>
      </c>
      <c r="I12985" s="15">
        <f t="shared" si="3"/>
        <v>1</v>
      </c>
    </row>
    <row r="12986">
      <c r="A12986" s="8" t="str">
        <f>IFERROR(__xludf.DUMMYFUNCTION("IF('(INGESTA)Datos_consumo_datadis'!A12986&lt;&gt;"""",SPLIT('(INGESTA)Datos_consumo_datadis'!A:A,"",""),"""")"),"ES0031408323131005HX0F")</f>
        <v>ES0031408323131005HX0F</v>
      </c>
      <c r="B12986" s="12">
        <f>IFERROR(__xludf.DUMMYFUNCTION("""COMPUTED_VALUE"""),45407.0)</f>
        <v>45407</v>
      </c>
      <c r="C12986" s="13">
        <f>IFERROR(__xludf.DUMMYFUNCTION("""COMPUTED_VALUE"""),0.08333333333333333)</f>
        <v>0.08333333333</v>
      </c>
      <c r="D12986" s="8">
        <f>IFERROR(__xludf.DUMMYFUNCTION("""COMPUTED_VALUE"""),0.076)</f>
        <v>0.076</v>
      </c>
      <c r="E12986" s="8" t="str">
        <f>IFERROR(__xludf.DUMMYFUNCTION("""COMPUTED_VALUE"""),"Real")</f>
        <v>Real</v>
      </c>
      <c r="G12986" s="8">
        <f t="shared" si="1"/>
        <v>4</v>
      </c>
      <c r="H12986" s="14">
        <f t="shared" si="2"/>
        <v>25</v>
      </c>
      <c r="I12986" s="15">
        <f t="shared" si="3"/>
        <v>2</v>
      </c>
    </row>
    <row r="12987">
      <c r="A12987" s="8" t="str">
        <f>IFERROR(__xludf.DUMMYFUNCTION("IF('(INGESTA)Datos_consumo_datadis'!A12987&lt;&gt;"""",SPLIT('(INGESTA)Datos_consumo_datadis'!A:A,"",""),"""")"),"ES0031408323131005HX0F")</f>
        <v>ES0031408323131005HX0F</v>
      </c>
      <c r="B12987" s="12">
        <f>IFERROR(__xludf.DUMMYFUNCTION("""COMPUTED_VALUE"""),45407.0)</f>
        <v>45407</v>
      </c>
      <c r="C12987" s="13">
        <f>IFERROR(__xludf.DUMMYFUNCTION("""COMPUTED_VALUE"""),0.125)</f>
        <v>0.125</v>
      </c>
      <c r="D12987" s="8">
        <f>IFERROR(__xludf.DUMMYFUNCTION("""COMPUTED_VALUE"""),0.038)</f>
        <v>0.038</v>
      </c>
      <c r="E12987" s="8" t="str">
        <f>IFERROR(__xludf.DUMMYFUNCTION("""COMPUTED_VALUE"""),"Real")</f>
        <v>Real</v>
      </c>
      <c r="G12987" s="8">
        <f t="shared" si="1"/>
        <v>4</v>
      </c>
      <c r="H12987" s="14">
        <f t="shared" si="2"/>
        <v>25</v>
      </c>
      <c r="I12987" s="15">
        <f t="shared" si="3"/>
        <v>3</v>
      </c>
    </row>
    <row r="12988">
      <c r="A12988" s="8" t="str">
        <f>IFERROR(__xludf.DUMMYFUNCTION("IF('(INGESTA)Datos_consumo_datadis'!A12988&lt;&gt;"""",SPLIT('(INGESTA)Datos_consumo_datadis'!A:A,"",""),"""")"),"ES0031408323131005HX0F")</f>
        <v>ES0031408323131005HX0F</v>
      </c>
      <c r="B12988" s="12">
        <f>IFERROR(__xludf.DUMMYFUNCTION("""COMPUTED_VALUE"""),45407.0)</f>
        <v>45407</v>
      </c>
      <c r="C12988" s="13">
        <f>IFERROR(__xludf.DUMMYFUNCTION("""COMPUTED_VALUE"""),0.16666666666666666)</f>
        <v>0.1666666667</v>
      </c>
      <c r="D12988" s="8">
        <f>IFERROR(__xludf.DUMMYFUNCTION("""COMPUTED_VALUE"""),0.073)</f>
        <v>0.073</v>
      </c>
      <c r="E12988" s="8" t="str">
        <f>IFERROR(__xludf.DUMMYFUNCTION("""COMPUTED_VALUE"""),"Real")</f>
        <v>Real</v>
      </c>
      <c r="G12988" s="8">
        <f t="shared" si="1"/>
        <v>4</v>
      </c>
      <c r="H12988" s="14">
        <f t="shared" si="2"/>
        <v>25</v>
      </c>
      <c r="I12988" s="15">
        <f t="shared" si="3"/>
        <v>4</v>
      </c>
    </row>
    <row r="12989">
      <c r="A12989" s="8" t="str">
        <f>IFERROR(__xludf.DUMMYFUNCTION("IF('(INGESTA)Datos_consumo_datadis'!A12989&lt;&gt;"""",SPLIT('(INGESTA)Datos_consumo_datadis'!A:A,"",""),"""")"),"ES0031408323131005HX0F")</f>
        <v>ES0031408323131005HX0F</v>
      </c>
      <c r="B12989" s="12">
        <f>IFERROR(__xludf.DUMMYFUNCTION("""COMPUTED_VALUE"""),45407.0)</f>
        <v>45407</v>
      </c>
      <c r="C12989" s="13">
        <f>IFERROR(__xludf.DUMMYFUNCTION("""COMPUTED_VALUE"""),0.20833333333333334)</f>
        <v>0.2083333333</v>
      </c>
      <c r="D12989" s="8">
        <f>IFERROR(__xludf.DUMMYFUNCTION("""COMPUTED_VALUE"""),0.049)</f>
        <v>0.049</v>
      </c>
      <c r="E12989" s="8" t="str">
        <f>IFERROR(__xludf.DUMMYFUNCTION("""COMPUTED_VALUE"""),"Real")</f>
        <v>Real</v>
      </c>
      <c r="G12989" s="8">
        <f t="shared" si="1"/>
        <v>4</v>
      </c>
      <c r="H12989" s="14">
        <f t="shared" si="2"/>
        <v>25</v>
      </c>
      <c r="I12989" s="15">
        <f t="shared" si="3"/>
        <v>5</v>
      </c>
    </row>
    <row r="12990">
      <c r="A12990" s="8" t="str">
        <f>IFERROR(__xludf.DUMMYFUNCTION("IF('(INGESTA)Datos_consumo_datadis'!A12990&lt;&gt;"""",SPLIT('(INGESTA)Datos_consumo_datadis'!A:A,"",""),"""")"),"ES0031408323131005HX0F")</f>
        <v>ES0031408323131005HX0F</v>
      </c>
      <c r="B12990" s="12">
        <f>IFERROR(__xludf.DUMMYFUNCTION("""COMPUTED_VALUE"""),45407.0)</f>
        <v>45407</v>
      </c>
      <c r="C12990" s="13">
        <f>IFERROR(__xludf.DUMMYFUNCTION("""COMPUTED_VALUE"""),0.25)</f>
        <v>0.25</v>
      </c>
      <c r="D12990" s="8">
        <f>IFERROR(__xludf.DUMMYFUNCTION("""COMPUTED_VALUE"""),0.35)</f>
        <v>0.35</v>
      </c>
      <c r="E12990" s="8" t="str">
        <f>IFERROR(__xludf.DUMMYFUNCTION("""COMPUTED_VALUE"""),"Real")</f>
        <v>Real</v>
      </c>
      <c r="G12990" s="8">
        <f t="shared" si="1"/>
        <v>4</v>
      </c>
      <c r="H12990" s="14">
        <f t="shared" si="2"/>
        <v>25</v>
      </c>
      <c r="I12990" s="15">
        <f t="shared" si="3"/>
        <v>6</v>
      </c>
    </row>
    <row r="12991">
      <c r="A12991" s="8" t="str">
        <f>IFERROR(__xludf.DUMMYFUNCTION("IF('(INGESTA)Datos_consumo_datadis'!A12991&lt;&gt;"""",SPLIT('(INGESTA)Datos_consumo_datadis'!A:A,"",""),"""")"),"ES0031408323131005HX0F")</f>
        <v>ES0031408323131005HX0F</v>
      </c>
      <c r="B12991" s="12">
        <f>IFERROR(__xludf.DUMMYFUNCTION("""COMPUTED_VALUE"""),45407.0)</f>
        <v>45407</v>
      </c>
      <c r="C12991" s="13">
        <f>IFERROR(__xludf.DUMMYFUNCTION("""COMPUTED_VALUE"""),0.2916666666666667)</f>
        <v>0.2916666667</v>
      </c>
      <c r="D12991" s="8">
        <f>IFERROR(__xludf.DUMMYFUNCTION("""COMPUTED_VALUE"""),0.085)</f>
        <v>0.085</v>
      </c>
      <c r="E12991" s="8" t="str">
        <f>IFERROR(__xludf.DUMMYFUNCTION("""COMPUTED_VALUE"""),"Real")</f>
        <v>Real</v>
      </c>
      <c r="G12991" s="8">
        <f t="shared" si="1"/>
        <v>4</v>
      </c>
      <c r="H12991" s="14">
        <f t="shared" si="2"/>
        <v>25</v>
      </c>
      <c r="I12991" s="15">
        <f t="shared" si="3"/>
        <v>7</v>
      </c>
    </row>
    <row r="12992">
      <c r="A12992" s="8" t="str">
        <f>IFERROR(__xludf.DUMMYFUNCTION("IF('(INGESTA)Datos_consumo_datadis'!A12992&lt;&gt;"""",SPLIT('(INGESTA)Datos_consumo_datadis'!A:A,"",""),"""")"),"ES0031408323131005HX0F")</f>
        <v>ES0031408323131005HX0F</v>
      </c>
      <c r="B12992" s="12">
        <f>IFERROR(__xludf.DUMMYFUNCTION("""COMPUTED_VALUE"""),45407.0)</f>
        <v>45407</v>
      </c>
      <c r="C12992" s="13">
        <f>IFERROR(__xludf.DUMMYFUNCTION("""COMPUTED_VALUE"""),0.3333333333333333)</f>
        <v>0.3333333333</v>
      </c>
      <c r="D12992" s="8">
        <f>IFERROR(__xludf.DUMMYFUNCTION("""COMPUTED_VALUE"""),1.924)</f>
        <v>1.924</v>
      </c>
      <c r="E12992" s="8" t="str">
        <f>IFERROR(__xludf.DUMMYFUNCTION("""COMPUTED_VALUE"""),"Real")</f>
        <v>Real</v>
      </c>
      <c r="G12992" s="8">
        <f t="shared" si="1"/>
        <v>4</v>
      </c>
      <c r="H12992" s="14">
        <f t="shared" si="2"/>
        <v>25</v>
      </c>
      <c r="I12992" s="15">
        <f t="shared" si="3"/>
        <v>8</v>
      </c>
    </row>
    <row r="12993">
      <c r="A12993" s="8" t="str">
        <f>IFERROR(__xludf.DUMMYFUNCTION("IF('(INGESTA)Datos_consumo_datadis'!A12993&lt;&gt;"""",SPLIT('(INGESTA)Datos_consumo_datadis'!A:A,"",""),"""")"),"ES0031408323131005HX0F")</f>
        <v>ES0031408323131005HX0F</v>
      </c>
      <c r="B12993" s="12">
        <f>IFERROR(__xludf.DUMMYFUNCTION("""COMPUTED_VALUE"""),45407.0)</f>
        <v>45407</v>
      </c>
      <c r="C12993" s="13">
        <f>IFERROR(__xludf.DUMMYFUNCTION("""COMPUTED_VALUE"""),0.375)</f>
        <v>0.375</v>
      </c>
      <c r="D12993" s="8">
        <f>IFERROR(__xludf.DUMMYFUNCTION("""COMPUTED_VALUE"""),0.296)</f>
        <v>0.296</v>
      </c>
      <c r="E12993" s="8" t="str">
        <f>IFERROR(__xludf.DUMMYFUNCTION("""COMPUTED_VALUE"""),"Real")</f>
        <v>Real</v>
      </c>
      <c r="G12993" s="8">
        <f t="shared" si="1"/>
        <v>4</v>
      </c>
      <c r="H12993" s="14">
        <f t="shared" si="2"/>
        <v>25</v>
      </c>
      <c r="I12993" s="15">
        <f t="shared" si="3"/>
        <v>9</v>
      </c>
    </row>
    <row r="12994">
      <c r="A12994" s="8" t="str">
        <f>IFERROR(__xludf.DUMMYFUNCTION("IF('(INGESTA)Datos_consumo_datadis'!A12994&lt;&gt;"""",SPLIT('(INGESTA)Datos_consumo_datadis'!A:A,"",""),"""")"),"ES0031408323131005HX0F")</f>
        <v>ES0031408323131005HX0F</v>
      </c>
      <c r="B12994" s="12">
        <f>IFERROR(__xludf.DUMMYFUNCTION("""COMPUTED_VALUE"""),45407.0)</f>
        <v>45407</v>
      </c>
      <c r="C12994" s="13">
        <f>IFERROR(__xludf.DUMMYFUNCTION("""COMPUTED_VALUE"""),0.4166666666666667)</f>
        <v>0.4166666667</v>
      </c>
      <c r="D12994" s="8">
        <f>IFERROR(__xludf.DUMMYFUNCTION("""COMPUTED_VALUE"""),0.425)</f>
        <v>0.425</v>
      </c>
      <c r="E12994" s="8" t="str">
        <f>IFERROR(__xludf.DUMMYFUNCTION("""COMPUTED_VALUE"""),"Real")</f>
        <v>Real</v>
      </c>
      <c r="G12994" s="8">
        <f t="shared" si="1"/>
        <v>4</v>
      </c>
      <c r="H12994" s="14">
        <f t="shared" si="2"/>
        <v>25</v>
      </c>
      <c r="I12994" s="15">
        <f t="shared" si="3"/>
        <v>10</v>
      </c>
    </row>
    <row r="12995">
      <c r="A12995" s="8" t="str">
        <f>IFERROR(__xludf.DUMMYFUNCTION("IF('(INGESTA)Datos_consumo_datadis'!A12995&lt;&gt;"""",SPLIT('(INGESTA)Datos_consumo_datadis'!A:A,"",""),"""")"),"ES0031408323131005HX0F")</f>
        <v>ES0031408323131005HX0F</v>
      </c>
      <c r="B12995" s="12">
        <f>IFERROR(__xludf.DUMMYFUNCTION("""COMPUTED_VALUE"""),45407.0)</f>
        <v>45407</v>
      </c>
      <c r="C12995" s="13">
        <f>IFERROR(__xludf.DUMMYFUNCTION("""COMPUTED_VALUE"""),0.4583333333333333)</f>
        <v>0.4583333333</v>
      </c>
      <c r="D12995" s="8">
        <f>IFERROR(__xludf.DUMMYFUNCTION("""COMPUTED_VALUE"""),0.107)</f>
        <v>0.107</v>
      </c>
      <c r="E12995" s="8" t="str">
        <f>IFERROR(__xludf.DUMMYFUNCTION("""COMPUTED_VALUE"""),"Real")</f>
        <v>Real</v>
      </c>
      <c r="G12995" s="8">
        <f t="shared" si="1"/>
        <v>4</v>
      </c>
      <c r="H12995" s="14">
        <f t="shared" si="2"/>
        <v>25</v>
      </c>
      <c r="I12995" s="15">
        <f t="shared" si="3"/>
        <v>11</v>
      </c>
    </row>
    <row r="12996">
      <c r="A12996" s="8" t="str">
        <f>IFERROR(__xludf.DUMMYFUNCTION("IF('(INGESTA)Datos_consumo_datadis'!A12996&lt;&gt;"""",SPLIT('(INGESTA)Datos_consumo_datadis'!A:A,"",""),"""")"),"ES0031408323131005HX0F")</f>
        <v>ES0031408323131005HX0F</v>
      </c>
      <c r="B12996" s="12">
        <f>IFERROR(__xludf.DUMMYFUNCTION("""COMPUTED_VALUE"""),45407.0)</f>
        <v>45407</v>
      </c>
      <c r="C12996" s="13">
        <f>IFERROR(__xludf.DUMMYFUNCTION("""COMPUTED_VALUE"""),0.5)</f>
        <v>0.5</v>
      </c>
      <c r="D12996" s="8">
        <f>IFERROR(__xludf.DUMMYFUNCTION("""COMPUTED_VALUE"""),0.064)</f>
        <v>0.064</v>
      </c>
      <c r="E12996" s="8" t="str">
        <f>IFERROR(__xludf.DUMMYFUNCTION("""COMPUTED_VALUE"""),"Real")</f>
        <v>Real</v>
      </c>
      <c r="G12996" s="8">
        <f t="shared" si="1"/>
        <v>4</v>
      </c>
      <c r="H12996" s="14">
        <f t="shared" si="2"/>
        <v>25</v>
      </c>
      <c r="I12996" s="15">
        <f t="shared" si="3"/>
        <v>12</v>
      </c>
    </row>
    <row r="12997">
      <c r="A12997" s="8" t="str">
        <f>IFERROR(__xludf.DUMMYFUNCTION("IF('(INGESTA)Datos_consumo_datadis'!A12997&lt;&gt;"""",SPLIT('(INGESTA)Datos_consumo_datadis'!A:A,"",""),"""")"),"ES0031408323131005HX0F")</f>
        <v>ES0031408323131005HX0F</v>
      </c>
      <c r="B12997" s="12">
        <f>IFERROR(__xludf.DUMMYFUNCTION("""COMPUTED_VALUE"""),45407.0)</f>
        <v>45407</v>
      </c>
      <c r="C12997" s="13">
        <f>IFERROR(__xludf.DUMMYFUNCTION("""COMPUTED_VALUE"""),0.5416666666666666)</f>
        <v>0.5416666667</v>
      </c>
      <c r="D12997" s="8">
        <f>IFERROR(__xludf.DUMMYFUNCTION("""COMPUTED_VALUE"""),0.074)</f>
        <v>0.074</v>
      </c>
      <c r="E12997" s="8" t="str">
        <f>IFERROR(__xludf.DUMMYFUNCTION("""COMPUTED_VALUE"""),"Real")</f>
        <v>Real</v>
      </c>
      <c r="G12997" s="8">
        <f t="shared" si="1"/>
        <v>4</v>
      </c>
      <c r="H12997" s="14">
        <f t="shared" si="2"/>
        <v>25</v>
      </c>
      <c r="I12997" s="15">
        <f t="shared" si="3"/>
        <v>13</v>
      </c>
    </row>
    <row r="12998">
      <c r="A12998" s="8" t="str">
        <f>IFERROR(__xludf.DUMMYFUNCTION("IF('(INGESTA)Datos_consumo_datadis'!A12998&lt;&gt;"""",SPLIT('(INGESTA)Datos_consumo_datadis'!A:A,"",""),"""")"),"ES0031408323131005HX0F")</f>
        <v>ES0031408323131005HX0F</v>
      </c>
      <c r="B12998" s="12">
        <f>IFERROR(__xludf.DUMMYFUNCTION("""COMPUTED_VALUE"""),45407.0)</f>
        <v>45407</v>
      </c>
      <c r="C12998" s="13">
        <f>IFERROR(__xludf.DUMMYFUNCTION("""COMPUTED_VALUE"""),0.5833333333333334)</f>
        <v>0.5833333333</v>
      </c>
      <c r="D12998" s="8">
        <f>IFERROR(__xludf.DUMMYFUNCTION("""COMPUTED_VALUE"""),0.059)</f>
        <v>0.059</v>
      </c>
      <c r="E12998" s="8" t="str">
        <f>IFERROR(__xludf.DUMMYFUNCTION("""COMPUTED_VALUE"""),"Real")</f>
        <v>Real</v>
      </c>
      <c r="G12998" s="8">
        <f t="shared" si="1"/>
        <v>4</v>
      </c>
      <c r="H12998" s="14">
        <f t="shared" si="2"/>
        <v>25</v>
      </c>
      <c r="I12998" s="15">
        <f t="shared" si="3"/>
        <v>14</v>
      </c>
    </row>
    <row r="12999">
      <c r="A12999" s="8" t="str">
        <f>IFERROR(__xludf.DUMMYFUNCTION("IF('(INGESTA)Datos_consumo_datadis'!A12999&lt;&gt;"""",SPLIT('(INGESTA)Datos_consumo_datadis'!A:A,"",""),"""")"),"ES0031408323131005HX0F")</f>
        <v>ES0031408323131005HX0F</v>
      </c>
      <c r="B12999" s="12">
        <f>IFERROR(__xludf.DUMMYFUNCTION("""COMPUTED_VALUE"""),45407.0)</f>
        <v>45407</v>
      </c>
      <c r="C12999" s="13">
        <f>IFERROR(__xludf.DUMMYFUNCTION("""COMPUTED_VALUE"""),0.625)</f>
        <v>0.625</v>
      </c>
      <c r="D12999" s="8">
        <f>IFERROR(__xludf.DUMMYFUNCTION("""COMPUTED_VALUE"""),0.071)</f>
        <v>0.071</v>
      </c>
      <c r="E12999" s="8" t="str">
        <f>IFERROR(__xludf.DUMMYFUNCTION("""COMPUTED_VALUE"""),"Real")</f>
        <v>Real</v>
      </c>
      <c r="G12999" s="8">
        <f t="shared" si="1"/>
        <v>4</v>
      </c>
      <c r="H12999" s="14">
        <f t="shared" si="2"/>
        <v>25</v>
      </c>
      <c r="I12999" s="15">
        <f t="shared" si="3"/>
        <v>15</v>
      </c>
    </row>
    <row r="13000">
      <c r="A13000" s="8" t="str">
        <f>IFERROR(__xludf.DUMMYFUNCTION("IF('(INGESTA)Datos_consumo_datadis'!A13000&lt;&gt;"""",SPLIT('(INGESTA)Datos_consumo_datadis'!A:A,"",""),"""")"),"ES0031408323131005HX0F")</f>
        <v>ES0031408323131005HX0F</v>
      </c>
      <c r="B13000" s="12">
        <f>IFERROR(__xludf.DUMMYFUNCTION("""COMPUTED_VALUE"""),45407.0)</f>
        <v>45407</v>
      </c>
      <c r="C13000" s="13">
        <f>IFERROR(__xludf.DUMMYFUNCTION("""COMPUTED_VALUE"""),0.6666666666666666)</f>
        <v>0.6666666667</v>
      </c>
      <c r="D13000" s="8">
        <f>IFERROR(__xludf.DUMMYFUNCTION("""COMPUTED_VALUE"""),0.465)</f>
        <v>0.465</v>
      </c>
      <c r="E13000" s="8" t="str">
        <f>IFERROR(__xludf.DUMMYFUNCTION("""COMPUTED_VALUE"""),"Real")</f>
        <v>Real</v>
      </c>
      <c r="G13000" s="8">
        <f t="shared" si="1"/>
        <v>4</v>
      </c>
      <c r="H13000" s="14">
        <f t="shared" si="2"/>
        <v>25</v>
      </c>
      <c r="I13000" s="15">
        <f t="shared" si="3"/>
        <v>16</v>
      </c>
    </row>
    <row r="13001">
      <c r="A13001" s="8" t="str">
        <f>IFERROR(__xludf.DUMMYFUNCTION("IF('(INGESTA)Datos_consumo_datadis'!A13001&lt;&gt;"""",SPLIT('(INGESTA)Datos_consumo_datadis'!A:A,"",""),"""")"),"ES0031408323131005HX0F")</f>
        <v>ES0031408323131005HX0F</v>
      </c>
      <c r="B13001" s="12">
        <f>IFERROR(__xludf.DUMMYFUNCTION("""COMPUTED_VALUE"""),45407.0)</f>
        <v>45407</v>
      </c>
      <c r="C13001" s="13">
        <f>IFERROR(__xludf.DUMMYFUNCTION("""COMPUTED_VALUE"""),0.7083333333333334)</f>
        <v>0.7083333333</v>
      </c>
      <c r="D13001" s="8">
        <f>IFERROR(__xludf.DUMMYFUNCTION("""COMPUTED_VALUE"""),0.062)</f>
        <v>0.062</v>
      </c>
      <c r="E13001" s="8" t="str">
        <f>IFERROR(__xludf.DUMMYFUNCTION("""COMPUTED_VALUE"""),"Real")</f>
        <v>Real</v>
      </c>
      <c r="G13001" s="8">
        <f t="shared" si="1"/>
        <v>4</v>
      </c>
      <c r="H13001" s="14">
        <f t="shared" si="2"/>
        <v>25</v>
      </c>
      <c r="I13001" s="15">
        <f t="shared" si="3"/>
        <v>17</v>
      </c>
    </row>
    <row r="13002">
      <c r="A13002" s="8" t="str">
        <f>IFERROR(__xludf.DUMMYFUNCTION("IF('(INGESTA)Datos_consumo_datadis'!A13002&lt;&gt;"""",SPLIT('(INGESTA)Datos_consumo_datadis'!A:A,"",""),"""")"),"ES0031408323131005HX0F")</f>
        <v>ES0031408323131005HX0F</v>
      </c>
      <c r="B13002" s="12">
        <f>IFERROR(__xludf.DUMMYFUNCTION("""COMPUTED_VALUE"""),45407.0)</f>
        <v>45407</v>
      </c>
      <c r="C13002" s="13">
        <f>IFERROR(__xludf.DUMMYFUNCTION("""COMPUTED_VALUE"""),0.75)</f>
        <v>0.75</v>
      </c>
      <c r="D13002" s="8">
        <f>IFERROR(__xludf.DUMMYFUNCTION("""COMPUTED_VALUE"""),0.067)</f>
        <v>0.067</v>
      </c>
      <c r="E13002" s="8" t="str">
        <f>IFERROR(__xludf.DUMMYFUNCTION("""COMPUTED_VALUE"""),"Real")</f>
        <v>Real</v>
      </c>
      <c r="G13002" s="8">
        <f t="shared" si="1"/>
        <v>4</v>
      </c>
      <c r="H13002" s="14">
        <f t="shared" si="2"/>
        <v>25</v>
      </c>
      <c r="I13002" s="15">
        <f t="shared" si="3"/>
        <v>18</v>
      </c>
    </row>
    <row r="13003">
      <c r="A13003" s="8" t="str">
        <f>IFERROR(__xludf.DUMMYFUNCTION("IF('(INGESTA)Datos_consumo_datadis'!A13003&lt;&gt;"""",SPLIT('(INGESTA)Datos_consumo_datadis'!A:A,"",""),"""")"),"ES0031408323131005HX0F")</f>
        <v>ES0031408323131005HX0F</v>
      </c>
      <c r="B13003" s="12">
        <f>IFERROR(__xludf.DUMMYFUNCTION("""COMPUTED_VALUE"""),45407.0)</f>
        <v>45407</v>
      </c>
      <c r="C13003" s="13">
        <f>IFERROR(__xludf.DUMMYFUNCTION("""COMPUTED_VALUE"""),0.7916666666666666)</f>
        <v>0.7916666667</v>
      </c>
      <c r="D13003" s="8">
        <f>IFERROR(__xludf.DUMMYFUNCTION("""COMPUTED_VALUE"""),0.048)</f>
        <v>0.048</v>
      </c>
      <c r="E13003" s="8" t="str">
        <f>IFERROR(__xludf.DUMMYFUNCTION("""COMPUTED_VALUE"""),"Real")</f>
        <v>Real</v>
      </c>
      <c r="G13003" s="8">
        <f t="shared" si="1"/>
        <v>4</v>
      </c>
      <c r="H13003" s="14">
        <f t="shared" si="2"/>
        <v>25</v>
      </c>
      <c r="I13003" s="15">
        <f t="shared" si="3"/>
        <v>19</v>
      </c>
    </row>
    <row r="13004">
      <c r="A13004" s="8" t="str">
        <f>IFERROR(__xludf.DUMMYFUNCTION("IF('(INGESTA)Datos_consumo_datadis'!A13004&lt;&gt;"""",SPLIT('(INGESTA)Datos_consumo_datadis'!A:A,"",""),"""")"),"ES0031408323131005HX0F")</f>
        <v>ES0031408323131005HX0F</v>
      </c>
      <c r="B13004" s="12">
        <f>IFERROR(__xludf.DUMMYFUNCTION("""COMPUTED_VALUE"""),45407.0)</f>
        <v>45407</v>
      </c>
      <c r="C13004" s="13">
        <f>IFERROR(__xludf.DUMMYFUNCTION("""COMPUTED_VALUE"""),0.8333333333333334)</f>
        <v>0.8333333333</v>
      </c>
      <c r="D13004" s="8">
        <f>IFERROR(__xludf.DUMMYFUNCTION("""COMPUTED_VALUE"""),0.445)</f>
        <v>0.445</v>
      </c>
      <c r="E13004" s="8" t="str">
        <f>IFERROR(__xludf.DUMMYFUNCTION("""COMPUTED_VALUE"""),"Real")</f>
        <v>Real</v>
      </c>
      <c r="G13004" s="8">
        <f t="shared" si="1"/>
        <v>4</v>
      </c>
      <c r="H13004" s="14">
        <f t="shared" si="2"/>
        <v>25</v>
      </c>
      <c r="I13004" s="15">
        <f t="shared" si="3"/>
        <v>20</v>
      </c>
    </row>
    <row r="13005">
      <c r="A13005" s="8" t="str">
        <f>IFERROR(__xludf.DUMMYFUNCTION("IF('(INGESTA)Datos_consumo_datadis'!A13005&lt;&gt;"""",SPLIT('(INGESTA)Datos_consumo_datadis'!A:A,"",""),"""")"),"ES0031408323131005HX0F")</f>
        <v>ES0031408323131005HX0F</v>
      </c>
      <c r="B13005" s="12">
        <f>IFERROR(__xludf.DUMMYFUNCTION("""COMPUTED_VALUE"""),45407.0)</f>
        <v>45407</v>
      </c>
      <c r="C13005" s="13">
        <f>IFERROR(__xludf.DUMMYFUNCTION("""COMPUTED_VALUE"""),0.875)</f>
        <v>0.875</v>
      </c>
      <c r="D13005" s="8">
        <f>IFERROR(__xludf.DUMMYFUNCTION("""COMPUTED_VALUE"""),0.63)</f>
        <v>0.63</v>
      </c>
      <c r="E13005" s="8" t="str">
        <f>IFERROR(__xludf.DUMMYFUNCTION("""COMPUTED_VALUE"""),"Real")</f>
        <v>Real</v>
      </c>
      <c r="G13005" s="8">
        <f t="shared" si="1"/>
        <v>4</v>
      </c>
      <c r="H13005" s="14">
        <f t="shared" si="2"/>
        <v>25</v>
      </c>
      <c r="I13005" s="15">
        <f t="shared" si="3"/>
        <v>21</v>
      </c>
    </row>
    <row r="13006">
      <c r="A13006" s="8" t="str">
        <f>IFERROR(__xludf.DUMMYFUNCTION("IF('(INGESTA)Datos_consumo_datadis'!A13006&lt;&gt;"""",SPLIT('(INGESTA)Datos_consumo_datadis'!A:A,"",""),"""")"),"ES0031408323131005HX0F")</f>
        <v>ES0031408323131005HX0F</v>
      </c>
      <c r="B13006" s="12">
        <f>IFERROR(__xludf.DUMMYFUNCTION("""COMPUTED_VALUE"""),45407.0)</f>
        <v>45407</v>
      </c>
      <c r="C13006" s="13">
        <f>IFERROR(__xludf.DUMMYFUNCTION("""COMPUTED_VALUE"""),0.9166666666666666)</f>
        <v>0.9166666667</v>
      </c>
      <c r="D13006" s="8">
        <f>IFERROR(__xludf.DUMMYFUNCTION("""COMPUTED_VALUE"""),2.148)</f>
        <v>2.148</v>
      </c>
      <c r="E13006" s="8" t="str">
        <f>IFERROR(__xludf.DUMMYFUNCTION("""COMPUTED_VALUE"""),"Real")</f>
        <v>Real</v>
      </c>
      <c r="G13006" s="8">
        <f t="shared" si="1"/>
        <v>4</v>
      </c>
      <c r="H13006" s="14">
        <f t="shared" si="2"/>
        <v>25</v>
      </c>
      <c r="I13006" s="15">
        <f t="shared" si="3"/>
        <v>22</v>
      </c>
    </row>
    <row r="13007">
      <c r="A13007" s="8" t="str">
        <f>IFERROR(__xludf.DUMMYFUNCTION("IF('(INGESTA)Datos_consumo_datadis'!A13007&lt;&gt;"""",SPLIT('(INGESTA)Datos_consumo_datadis'!A:A,"",""),"""")"),"ES0031408323131005HX0F")</f>
        <v>ES0031408323131005HX0F</v>
      </c>
      <c r="B13007" s="12">
        <f>IFERROR(__xludf.DUMMYFUNCTION("""COMPUTED_VALUE"""),45407.0)</f>
        <v>45407</v>
      </c>
      <c r="C13007" s="13">
        <f>IFERROR(__xludf.DUMMYFUNCTION("""COMPUTED_VALUE"""),0.9583333333333334)</f>
        <v>0.9583333333</v>
      </c>
      <c r="D13007" s="8">
        <f>IFERROR(__xludf.DUMMYFUNCTION("""COMPUTED_VALUE"""),1.545)</f>
        <v>1.545</v>
      </c>
      <c r="E13007" s="8" t="str">
        <f>IFERROR(__xludf.DUMMYFUNCTION("""COMPUTED_VALUE"""),"Real")</f>
        <v>Real</v>
      </c>
      <c r="G13007" s="8">
        <f t="shared" si="1"/>
        <v>4</v>
      </c>
      <c r="H13007" s="14">
        <f t="shared" si="2"/>
        <v>25</v>
      </c>
      <c r="I13007" s="15">
        <f t="shared" si="3"/>
        <v>23</v>
      </c>
    </row>
    <row r="13008">
      <c r="A13008" s="8" t="str">
        <f>IFERROR(__xludf.DUMMYFUNCTION("IF('(INGESTA)Datos_consumo_datadis'!A13008&lt;&gt;"""",SPLIT('(INGESTA)Datos_consumo_datadis'!A:A,"",""),"""")"),"ES0031408323131005HX0F")</f>
        <v>ES0031408323131005HX0F</v>
      </c>
      <c r="B13008" s="12">
        <f>IFERROR(__xludf.DUMMYFUNCTION("""COMPUTED_VALUE"""),45407.0)</f>
        <v>45407</v>
      </c>
      <c r="C13008" s="16">
        <f>IFERROR(__xludf.DUMMYFUNCTION("""COMPUTED_VALUE"""),1.0)</f>
        <v>1</v>
      </c>
      <c r="D13008" s="8">
        <f>IFERROR(__xludf.DUMMYFUNCTION("""COMPUTED_VALUE"""),1.146)</f>
        <v>1.146</v>
      </c>
      <c r="E13008" s="8" t="str">
        <f>IFERROR(__xludf.DUMMYFUNCTION("""COMPUTED_VALUE"""),"Real")</f>
        <v>Real</v>
      </c>
      <c r="G13008" s="8">
        <f t="shared" si="1"/>
        <v>4</v>
      </c>
      <c r="H13008" s="14">
        <f t="shared" si="2"/>
        <v>25</v>
      </c>
      <c r="I13008" s="15">
        <f t="shared" si="3"/>
        <v>0</v>
      </c>
    </row>
    <row r="13009">
      <c r="A13009" s="8" t="str">
        <f>IFERROR(__xludf.DUMMYFUNCTION("IF('(INGESTA)Datos_consumo_datadis'!A13009&lt;&gt;"""",SPLIT('(INGESTA)Datos_consumo_datadis'!A:A,"",""),"""")"),"ES0031408323131005HX0F")</f>
        <v>ES0031408323131005HX0F</v>
      </c>
      <c r="B13009" s="12">
        <f>IFERROR(__xludf.DUMMYFUNCTION("""COMPUTED_VALUE"""),45408.0)</f>
        <v>45408</v>
      </c>
      <c r="C13009" s="13">
        <f>IFERROR(__xludf.DUMMYFUNCTION("""COMPUTED_VALUE"""),0.041666666666666664)</f>
        <v>0.04166666667</v>
      </c>
      <c r="D13009" s="8">
        <f>IFERROR(__xludf.DUMMYFUNCTION("""COMPUTED_VALUE"""),0.9)</f>
        <v>0.9</v>
      </c>
      <c r="E13009" s="8" t="str">
        <f>IFERROR(__xludf.DUMMYFUNCTION("""COMPUTED_VALUE"""),"Real")</f>
        <v>Real</v>
      </c>
      <c r="G13009" s="8">
        <f t="shared" si="1"/>
        <v>4</v>
      </c>
      <c r="H13009" s="14">
        <f t="shared" si="2"/>
        <v>26</v>
      </c>
      <c r="I13009" s="15">
        <f t="shared" si="3"/>
        <v>1</v>
      </c>
    </row>
    <row r="13010">
      <c r="A13010" s="8" t="str">
        <f>IFERROR(__xludf.DUMMYFUNCTION("IF('(INGESTA)Datos_consumo_datadis'!A13010&lt;&gt;"""",SPLIT('(INGESTA)Datos_consumo_datadis'!A:A,"",""),"""")"),"ES0031408323131005HX0F")</f>
        <v>ES0031408323131005HX0F</v>
      </c>
      <c r="B13010" s="12">
        <f>IFERROR(__xludf.DUMMYFUNCTION("""COMPUTED_VALUE"""),45408.0)</f>
        <v>45408</v>
      </c>
      <c r="C13010" s="13">
        <f>IFERROR(__xludf.DUMMYFUNCTION("""COMPUTED_VALUE"""),0.08333333333333333)</f>
        <v>0.08333333333</v>
      </c>
      <c r="D13010" s="8">
        <f>IFERROR(__xludf.DUMMYFUNCTION("""COMPUTED_VALUE"""),0.095)</f>
        <v>0.095</v>
      </c>
      <c r="E13010" s="8" t="str">
        <f>IFERROR(__xludf.DUMMYFUNCTION("""COMPUTED_VALUE"""),"Real")</f>
        <v>Real</v>
      </c>
      <c r="G13010" s="8">
        <f t="shared" si="1"/>
        <v>4</v>
      </c>
      <c r="H13010" s="14">
        <f t="shared" si="2"/>
        <v>26</v>
      </c>
      <c r="I13010" s="15">
        <f t="shared" si="3"/>
        <v>2</v>
      </c>
    </row>
    <row r="13011">
      <c r="A13011" s="8" t="str">
        <f>IFERROR(__xludf.DUMMYFUNCTION("IF('(INGESTA)Datos_consumo_datadis'!A13011&lt;&gt;"""",SPLIT('(INGESTA)Datos_consumo_datadis'!A:A,"",""),"""")"),"ES0031408323131005HX0F")</f>
        <v>ES0031408323131005HX0F</v>
      </c>
      <c r="B13011" s="12">
        <f>IFERROR(__xludf.DUMMYFUNCTION("""COMPUTED_VALUE"""),45408.0)</f>
        <v>45408</v>
      </c>
      <c r="C13011" s="13">
        <f>IFERROR(__xludf.DUMMYFUNCTION("""COMPUTED_VALUE"""),0.125)</f>
        <v>0.125</v>
      </c>
      <c r="D13011" s="8">
        <f>IFERROR(__xludf.DUMMYFUNCTION("""COMPUTED_VALUE"""),0.07)</f>
        <v>0.07</v>
      </c>
      <c r="E13011" s="8" t="str">
        <f>IFERROR(__xludf.DUMMYFUNCTION("""COMPUTED_VALUE"""),"Real")</f>
        <v>Real</v>
      </c>
      <c r="G13011" s="8">
        <f t="shared" si="1"/>
        <v>4</v>
      </c>
      <c r="H13011" s="14">
        <f t="shared" si="2"/>
        <v>26</v>
      </c>
      <c r="I13011" s="15">
        <f t="shared" si="3"/>
        <v>3</v>
      </c>
    </row>
    <row r="13012">
      <c r="A13012" s="8" t="str">
        <f>IFERROR(__xludf.DUMMYFUNCTION("IF('(INGESTA)Datos_consumo_datadis'!A13012&lt;&gt;"""",SPLIT('(INGESTA)Datos_consumo_datadis'!A:A,"",""),"""")"),"ES0031408323131005HX0F")</f>
        <v>ES0031408323131005HX0F</v>
      </c>
      <c r="B13012" s="12">
        <f>IFERROR(__xludf.DUMMYFUNCTION("""COMPUTED_VALUE"""),45408.0)</f>
        <v>45408</v>
      </c>
      <c r="C13012" s="13">
        <f>IFERROR(__xludf.DUMMYFUNCTION("""COMPUTED_VALUE"""),0.16666666666666666)</f>
        <v>0.1666666667</v>
      </c>
      <c r="D13012" s="8">
        <f>IFERROR(__xludf.DUMMYFUNCTION("""COMPUTED_VALUE"""),0.035)</f>
        <v>0.035</v>
      </c>
      <c r="E13012" s="8" t="str">
        <f>IFERROR(__xludf.DUMMYFUNCTION("""COMPUTED_VALUE"""),"Real")</f>
        <v>Real</v>
      </c>
      <c r="G13012" s="8">
        <f t="shared" si="1"/>
        <v>4</v>
      </c>
      <c r="H13012" s="14">
        <f t="shared" si="2"/>
        <v>26</v>
      </c>
      <c r="I13012" s="15">
        <f t="shared" si="3"/>
        <v>4</v>
      </c>
    </row>
    <row r="13013">
      <c r="A13013" s="8" t="str">
        <f>IFERROR(__xludf.DUMMYFUNCTION("IF('(INGESTA)Datos_consumo_datadis'!A13013&lt;&gt;"""",SPLIT('(INGESTA)Datos_consumo_datadis'!A:A,"",""),"""")"),"ES0031408323131005HX0F")</f>
        <v>ES0031408323131005HX0F</v>
      </c>
      <c r="B13013" s="12">
        <f>IFERROR(__xludf.DUMMYFUNCTION("""COMPUTED_VALUE"""),45408.0)</f>
        <v>45408</v>
      </c>
      <c r="C13013" s="13">
        <f>IFERROR(__xludf.DUMMYFUNCTION("""COMPUTED_VALUE"""),0.20833333333333334)</f>
        <v>0.2083333333</v>
      </c>
      <c r="D13013" s="8">
        <f>IFERROR(__xludf.DUMMYFUNCTION("""COMPUTED_VALUE"""),0.242)</f>
        <v>0.242</v>
      </c>
      <c r="E13013" s="8" t="str">
        <f>IFERROR(__xludf.DUMMYFUNCTION("""COMPUTED_VALUE"""),"Real")</f>
        <v>Real</v>
      </c>
      <c r="G13013" s="8">
        <f t="shared" si="1"/>
        <v>4</v>
      </c>
      <c r="H13013" s="14">
        <f t="shared" si="2"/>
        <v>26</v>
      </c>
      <c r="I13013" s="15">
        <f t="shared" si="3"/>
        <v>5</v>
      </c>
    </row>
    <row r="13014">
      <c r="A13014" s="8" t="str">
        <f>IFERROR(__xludf.DUMMYFUNCTION("IF('(INGESTA)Datos_consumo_datadis'!A13014&lt;&gt;"""",SPLIT('(INGESTA)Datos_consumo_datadis'!A:A,"",""),"""")"),"ES0031408323131005HX0F")</f>
        <v>ES0031408323131005HX0F</v>
      </c>
      <c r="B13014" s="12">
        <f>IFERROR(__xludf.DUMMYFUNCTION("""COMPUTED_VALUE"""),45408.0)</f>
        <v>45408</v>
      </c>
      <c r="C13014" s="13">
        <f>IFERROR(__xludf.DUMMYFUNCTION("""COMPUTED_VALUE"""),0.25)</f>
        <v>0.25</v>
      </c>
      <c r="D13014" s="8">
        <f>IFERROR(__xludf.DUMMYFUNCTION("""COMPUTED_VALUE"""),0.166)</f>
        <v>0.166</v>
      </c>
      <c r="E13014" s="8" t="str">
        <f>IFERROR(__xludf.DUMMYFUNCTION("""COMPUTED_VALUE"""),"Real")</f>
        <v>Real</v>
      </c>
      <c r="G13014" s="8">
        <f t="shared" si="1"/>
        <v>4</v>
      </c>
      <c r="H13014" s="14">
        <f t="shared" si="2"/>
        <v>26</v>
      </c>
      <c r="I13014" s="15">
        <f t="shared" si="3"/>
        <v>6</v>
      </c>
    </row>
    <row r="13015">
      <c r="A13015" s="8" t="str">
        <f>IFERROR(__xludf.DUMMYFUNCTION("IF('(INGESTA)Datos_consumo_datadis'!A13015&lt;&gt;"""",SPLIT('(INGESTA)Datos_consumo_datadis'!A:A,"",""),"""")"),"ES0031408323131005HX0F")</f>
        <v>ES0031408323131005HX0F</v>
      </c>
      <c r="B13015" s="12">
        <f>IFERROR(__xludf.DUMMYFUNCTION("""COMPUTED_VALUE"""),45408.0)</f>
        <v>45408</v>
      </c>
      <c r="C13015" s="13">
        <f>IFERROR(__xludf.DUMMYFUNCTION("""COMPUTED_VALUE"""),0.2916666666666667)</f>
        <v>0.2916666667</v>
      </c>
      <c r="D13015" s="8">
        <f>IFERROR(__xludf.DUMMYFUNCTION("""COMPUTED_VALUE"""),1.339)</f>
        <v>1.339</v>
      </c>
      <c r="E13015" s="8" t="str">
        <f>IFERROR(__xludf.DUMMYFUNCTION("""COMPUTED_VALUE"""),"Real")</f>
        <v>Real</v>
      </c>
      <c r="G13015" s="8">
        <f t="shared" si="1"/>
        <v>4</v>
      </c>
      <c r="H13015" s="14">
        <f t="shared" si="2"/>
        <v>26</v>
      </c>
      <c r="I13015" s="15">
        <f t="shared" si="3"/>
        <v>7</v>
      </c>
    </row>
    <row r="13016">
      <c r="A13016" s="8" t="str">
        <f>IFERROR(__xludf.DUMMYFUNCTION("IF('(INGESTA)Datos_consumo_datadis'!A13016&lt;&gt;"""",SPLIT('(INGESTA)Datos_consumo_datadis'!A:A,"",""),"""")"),"ES0031408323131005HX0F")</f>
        <v>ES0031408323131005HX0F</v>
      </c>
      <c r="B13016" s="12">
        <f>IFERROR(__xludf.DUMMYFUNCTION("""COMPUTED_VALUE"""),45408.0)</f>
        <v>45408</v>
      </c>
      <c r="C13016" s="13">
        <f>IFERROR(__xludf.DUMMYFUNCTION("""COMPUTED_VALUE"""),0.3333333333333333)</f>
        <v>0.3333333333</v>
      </c>
      <c r="D13016" s="8">
        <f>IFERROR(__xludf.DUMMYFUNCTION("""COMPUTED_VALUE"""),1.358)</f>
        <v>1.358</v>
      </c>
      <c r="E13016" s="8" t="str">
        <f>IFERROR(__xludf.DUMMYFUNCTION("""COMPUTED_VALUE"""),"Real")</f>
        <v>Real</v>
      </c>
      <c r="G13016" s="8">
        <f t="shared" si="1"/>
        <v>4</v>
      </c>
      <c r="H13016" s="14">
        <f t="shared" si="2"/>
        <v>26</v>
      </c>
      <c r="I13016" s="15">
        <f t="shared" si="3"/>
        <v>8</v>
      </c>
    </row>
    <row r="13017">
      <c r="A13017" s="8" t="str">
        <f>IFERROR(__xludf.DUMMYFUNCTION("IF('(INGESTA)Datos_consumo_datadis'!A13017&lt;&gt;"""",SPLIT('(INGESTA)Datos_consumo_datadis'!A:A,"",""),"""")"),"ES0031408323131005HX0F")</f>
        <v>ES0031408323131005HX0F</v>
      </c>
      <c r="B13017" s="12">
        <f>IFERROR(__xludf.DUMMYFUNCTION("""COMPUTED_VALUE"""),45408.0)</f>
        <v>45408</v>
      </c>
      <c r="C13017" s="13">
        <f>IFERROR(__xludf.DUMMYFUNCTION("""COMPUTED_VALUE"""),0.375)</f>
        <v>0.375</v>
      </c>
      <c r="D13017" s="8">
        <f>IFERROR(__xludf.DUMMYFUNCTION("""COMPUTED_VALUE"""),1.093)</f>
        <v>1.093</v>
      </c>
      <c r="E13017" s="8" t="str">
        <f>IFERROR(__xludf.DUMMYFUNCTION("""COMPUTED_VALUE"""),"Real")</f>
        <v>Real</v>
      </c>
      <c r="G13017" s="8">
        <f t="shared" si="1"/>
        <v>4</v>
      </c>
      <c r="H13017" s="14">
        <f t="shared" si="2"/>
        <v>26</v>
      </c>
      <c r="I13017" s="15">
        <f t="shared" si="3"/>
        <v>9</v>
      </c>
    </row>
    <row r="13018">
      <c r="A13018" s="8" t="str">
        <f>IFERROR(__xludf.DUMMYFUNCTION("IF('(INGESTA)Datos_consumo_datadis'!A13018&lt;&gt;"""",SPLIT('(INGESTA)Datos_consumo_datadis'!A:A,"",""),"""")"),"ES0031408323131005HX0F")</f>
        <v>ES0031408323131005HX0F</v>
      </c>
      <c r="B13018" s="12">
        <f>IFERROR(__xludf.DUMMYFUNCTION("""COMPUTED_VALUE"""),45408.0)</f>
        <v>45408</v>
      </c>
      <c r="C13018" s="13">
        <f>IFERROR(__xludf.DUMMYFUNCTION("""COMPUTED_VALUE"""),0.4166666666666667)</f>
        <v>0.4166666667</v>
      </c>
      <c r="D13018" s="8">
        <f>IFERROR(__xludf.DUMMYFUNCTION("""COMPUTED_VALUE"""),0.083)</f>
        <v>0.083</v>
      </c>
      <c r="E13018" s="8" t="str">
        <f>IFERROR(__xludf.DUMMYFUNCTION("""COMPUTED_VALUE"""),"Real")</f>
        <v>Real</v>
      </c>
      <c r="G13018" s="8">
        <f t="shared" si="1"/>
        <v>4</v>
      </c>
      <c r="H13018" s="14">
        <f t="shared" si="2"/>
        <v>26</v>
      </c>
      <c r="I13018" s="15">
        <f t="shared" si="3"/>
        <v>10</v>
      </c>
    </row>
    <row r="13019">
      <c r="A13019" s="8" t="str">
        <f>IFERROR(__xludf.DUMMYFUNCTION("IF('(INGESTA)Datos_consumo_datadis'!A13019&lt;&gt;"""",SPLIT('(INGESTA)Datos_consumo_datadis'!A:A,"",""),"""")"),"ES0031408323131005HX0F")</f>
        <v>ES0031408323131005HX0F</v>
      </c>
      <c r="B13019" s="12">
        <f>IFERROR(__xludf.DUMMYFUNCTION("""COMPUTED_VALUE"""),45408.0)</f>
        <v>45408</v>
      </c>
      <c r="C13019" s="13">
        <f>IFERROR(__xludf.DUMMYFUNCTION("""COMPUTED_VALUE"""),0.4583333333333333)</f>
        <v>0.4583333333</v>
      </c>
      <c r="D13019" s="8">
        <f>IFERROR(__xludf.DUMMYFUNCTION("""COMPUTED_VALUE"""),0.033)</f>
        <v>0.033</v>
      </c>
      <c r="E13019" s="8" t="str">
        <f>IFERROR(__xludf.DUMMYFUNCTION("""COMPUTED_VALUE"""),"Real")</f>
        <v>Real</v>
      </c>
      <c r="G13019" s="8">
        <f t="shared" si="1"/>
        <v>4</v>
      </c>
      <c r="H13019" s="14">
        <f t="shared" si="2"/>
        <v>26</v>
      </c>
      <c r="I13019" s="15">
        <f t="shared" si="3"/>
        <v>11</v>
      </c>
    </row>
    <row r="13020">
      <c r="A13020" s="8" t="str">
        <f>IFERROR(__xludf.DUMMYFUNCTION("IF('(INGESTA)Datos_consumo_datadis'!A13020&lt;&gt;"""",SPLIT('(INGESTA)Datos_consumo_datadis'!A:A,"",""),"""")"),"ES0031408323131005HX0F")</f>
        <v>ES0031408323131005HX0F</v>
      </c>
      <c r="B13020" s="12">
        <f>IFERROR(__xludf.DUMMYFUNCTION("""COMPUTED_VALUE"""),45408.0)</f>
        <v>45408</v>
      </c>
      <c r="C13020" s="13">
        <f>IFERROR(__xludf.DUMMYFUNCTION("""COMPUTED_VALUE"""),0.5)</f>
        <v>0.5</v>
      </c>
      <c r="D13020" s="8">
        <f>IFERROR(__xludf.DUMMYFUNCTION("""COMPUTED_VALUE"""),0.132)</f>
        <v>0.132</v>
      </c>
      <c r="E13020" s="8" t="str">
        <f>IFERROR(__xludf.DUMMYFUNCTION("""COMPUTED_VALUE"""),"Real")</f>
        <v>Real</v>
      </c>
      <c r="G13020" s="8">
        <f t="shared" si="1"/>
        <v>4</v>
      </c>
      <c r="H13020" s="14">
        <f t="shared" si="2"/>
        <v>26</v>
      </c>
      <c r="I13020" s="15">
        <f t="shared" si="3"/>
        <v>12</v>
      </c>
    </row>
    <row r="13021">
      <c r="A13021" s="8" t="str">
        <f>IFERROR(__xludf.DUMMYFUNCTION("IF('(INGESTA)Datos_consumo_datadis'!A13021&lt;&gt;"""",SPLIT('(INGESTA)Datos_consumo_datadis'!A:A,"",""),"""")"),"ES0031408323131005HX0F")</f>
        <v>ES0031408323131005HX0F</v>
      </c>
      <c r="B13021" s="12">
        <f>IFERROR(__xludf.DUMMYFUNCTION("""COMPUTED_VALUE"""),45408.0)</f>
        <v>45408</v>
      </c>
      <c r="C13021" s="13">
        <f>IFERROR(__xludf.DUMMYFUNCTION("""COMPUTED_VALUE"""),0.5416666666666666)</f>
        <v>0.5416666667</v>
      </c>
      <c r="D13021" s="8">
        <f>IFERROR(__xludf.DUMMYFUNCTION("""COMPUTED_VALUE"""),0.102)</f>
        <v>0.102</v>
      </c>
      <c r="E13021" s="8" t="str">
        <f>IFERROR(__xludf.DUMMYFUNCTION("""COMPUTED_VALUE"""),"Real")</f>
        <v>Real</v>
      </c>
      <c r="G13021" s="8">
        <f t="shared" si="1"/>
        <v>4</v>
      </c>
      <c r="H13021" s="14">
        <f t="shared" si="2"/>
        <v>26</v>
      </c>
      <c r="I13021" s="15">
        <f t="shared" si="3"/>
        <v>13</v>
      </c>
    </row>
    <row r="13022">
      <c r="A13022" s="8" t="str">
        <f>IFERROR(__xludf.DUMMYFUNCTION("IF('(INGESTA)Datos_consumo_datadis'!A13022&lt;&gt;"""",SPLIT('(INGESTA)Datos_consumo_datadis'!A:A,"",""),"""")"),"ES0031408323131005HX0F")</f>
        <v>ES0031408323131005HX0F</v>
      </c>
      <c r="B13022" s="12">
        <f>IFERROR(__xludf.DUMMYFUNCTION("""COMPUTED_VALUE"""),45408.0)</f>
        <v>45408</v>
      </c>
      <c r="C13022" s="13">
        <f>IFERROR(__xludf.DUMMYFUNCTION("""COMPUTED_VALUE"""),0.5833333333333334)</f>
        <v>0.5833333333</v>
      </c>
      <c r="D13022" s="8">
        <f>IFERROR(__xludf.DUMMYFUNCTION("""COMPUTED_VALUE"""),0.832)</f>
        <v>0.832</v>
      </c>
      <c r="E13022" s="8" t="str">
        <f>IFERROR(__xludf.DUMMYFUNCTION("""COMPUTED_VALUE"""),"Real")</f>
        <v>Real</v>
      </c>
      <c r="G13022" s="8">
        <f t="shared" si="1"/>
        <v>4</v>
      </c>
      <c r="H13022" s="14">
        <f t="shared" si="2"/>
        <v>26</v>
      </c>
      <c r="I13022" s="15">
        <f t="shared" si="3"/>
        <v>14</v>
      </c>
    </row>
    <row r="13023">
      <c r="A13023" s="8" t="str">
        <f>IFERROR(__xludf.DUMMYFUNCTION("IF('(INGESTA)Datos_consumo_datadis'!A13023&lt;&gt;"""",SPLIT('(INGESTA)Datos_consumo_datadis'!A:A,"",""),"""")"),"ES0031408323131005HX0F")</f>
        <v>ES0031408323131005HX0F</v>
      </c>
      <c r="B13023" s="12">
        <f>IFERROR(__xludf.DUMMYFUNCTION("""COMPUTED_VALUE"""),45408.0)</f>
        <v>45408</v>
      </c>
      <c r="C13023" s="13">
        <f>IFERROR(__xludf.DUMMYFUNCTION("""COMPUTED_VALUE"""),0.625)</f>
        <v>0.625</v>
      </c>
      <c r="D13023" s="8">
        <f>IFERROR(__xludf.DUMMYFUNCTION("""COMPUTED_VALUE"""),0.628)</f>
        <v>0.628</v>
      </c>
      <c r="E13023" s="8" t="str">
        <f>IFERROR(__xludf.DUMMYFUNCTION("""COMPUTED_VALUE"""),"Real")</f>
        <v>Real</v>
      </c>
      <c r="G13023" s="8">
        <f t="shared" si="1"/>
        <v>4</v>
      </c>
      <c r="H13023" s="14">
        <f t="shared" si="2"/>
        <v>26</v>
      </c>
      <c r="I13023" s="15">
        <f t="shared" si="3"/>
        <v>15</v>
      </c>
    </row>
    <row r="13024">
      <c r="A13024" s="8" t="str">
        <f>IFERROR(__xludf.DUMMYFUNCTION("IF('(INGESTA)Datos_consumo_datadis'!A13024&lt;&gt;"""",SPLIT('(INGESTA)Datos_consumo_datadis'!A:A,"",""),"""")"),"ES0031408323131005HX0F")</f>
        <v>ES0031408323131005HX0F</v>
      </c>
      <c r="B13024" s="12">
        <f>IFERROR(__xludf.DUMMYFUNCTION("""COMPUTED_VALUE"""),45408.0)</f>
        <v>45408</v>
      </c>
      <c r="C13024" s="13">
        <f>IFERROR(__xludf.DUMMYFUNCTION("""COMPUTED_VALUE"""),0.6666666666666666)</f>
        <v>0.6666666667</v>
      </c>
      <c r="D13024" s="8">
        <f>IFERROR(__xludf.DUMMYFUNCTION("""COMPUTED_VALUE"""),1.5)</f>
        <v>1.5</v>
      </c>
      <c r="E13024" s="8" t="str">
        <f>IFERROR(__xludf.DUMMYFUNCTION("""COMPUTED_VALUE"""),"Real")</f>
        <v>Real</v>
      </c>
      <c r="G13024" s="8">
        <f t="shared" si="1"/>
        <v>4</v>
      </c>
      <c r="H13024" s="14">
        <f t="shared" si="2"/>
        <v>26</v>
      </c>
      <c r="I13024" s="15">
        <f t="shared" si="3"/>
        <v>16</v>
      </c>
    </row>
    <row r="13025">
      <c r="A13025" s="8" t="str">
        <f>IFERROR(__xludf.DUMMYFUNCTION("IF('(INGESTA)Datos_consumo_datadis'!A13025&lt;&gt;"""",SPLIT('(INGESTA)Datos_consumo_datadis'!A:A,"",""),"""")"),"ES0031408323131005HX0F")</f>
        <v>ES0031408323131005HX0F</v>
      </c>
      <c r="B13025" s="12">
        <f>IFERROR(__xludf.DUMMYFUNCTION("""COMPUTED_VALUE"""),45408.0)</f>
        <v>45408</v>
      </c>
      <c r="C13025" s="13">
        <f>IFERROR(__xludf.DUMMYFUNCTION("""COMPUTED_VALUE"""),0.7083333333333334)</f>
        <v>0.7083333333</v>
      </c>
      <c r="D13025" s="8">
        <f>IFERROR(__xludf.DUMMYFUNCTION("""COMPUTED_VALUE"""),0.278)</f>
        <v>0.278</v>
      </c>
      <c r="E13025" s="8" t="str">
        <f>IFERROR(__xludf.DUMMYFUNCTION("""COMPUTED_VALUE"""),"Real")</f>
        <v>Real</v>
      </c>
      <c r="G13025" s="8">
        <f t="shared" si="1"/>
        <v>4</v>
      </c>
      <c r="H13025" s="14">
        <f t="shared" si="2"/>
        <v>26</v>
      </c>
      <c r="I13025" s="15">
        <f t="shared" si="3"/>
        <v>17</v>
      </c>
    </row>
    <row r="13026">
      <c r="A13026" s="8" t="str">
        <f>IFERROR(__xludf.DUMMYFUNCTION("IF('(INGESTA)Datos_consumo_datadis'!A13026&lt;&gt;"""",SPLIT('(INGESTA)Datos_consumo_datadis'!A:A,"",""),"""")"),"ES0031408323131005HX0F")</f>
        <v>ES0031408323131005HX0F</v>
      </c>
      <c r="B13026" s="12">
        <f>IFERROR(__xludf.DUMMYFUNCTION("""COMPUTED_VALUE"""),45408.0)</f>
        <v>45408</v>
      </c>
      <c r="C13026" s="13">
        <f>IFERROR(__xludf.DUMMYFUNCTION("""COMPUTED_VALUE"""),0.75)</f>
        <v>0.75</v>
      </c>
      <c r="D13026" s="8">
        <f>IFERROR(__xludf.DUMMYFUNCTION("""COMPUTED_VALUE"""),0.07)</f>
        <v>0.07</v>
      </c>
      <c r="E13026" s="8" t="str">
        <f>IFERROR(__xludf.DUMMYFUNCTION("""COMPUTED_VALUE"""),"Real")</f>
        <v>Real</v>
      </c>
      <c r="G13026" s="8">
        <f t="shared" si="1"/>
        <v>4</v>
      </c>
      <c r="H13026" s="14">
        <f t="shared" si="2"/>
        <v>26</v>
      </c>
      <c r="I13026" s="15">
        <f t="shared" si="3"/>
        <v>18</v>
      </c>
    </row>
    <row r="13027">
      <c r="A13027" s="8" t="str">
        <f>IFERROR(__xludf.DUMMYFUNCTION("IF('(INGESTA)Datos_consumo_datadis'!A13027&lt;&gt;"""",SPLIT('(INGESTA)Datos_consumo_datadis'!A:A,"",""),"""")"),"ES0031408323131005HX0F")</f>
        <v>ES0031408323131005HX0F</v>
      </c>
      <c r="B13027" s="12">
        <f>IFERROR(__xludf.DUMMYFUNCTION("""COMPUTED_VALUE"""),45408.0)</f>
        <v>45408</v>
      </c>
      <c r="C13027" s="13">
        <f>IFERROR(__xludf.DUMMYFUNCTION("""COMPUTED_VALUE"""),0.7916666666666666)</f>
        <v>0.7916666667</v>
      </c>
      <c r="D13027" s="8">
        <f>IFERROR(__xludf.DUMMYFUNCTION("""COMPUTED_VALUE"""),0.052)</f>
        <v>0.052</v>
      </c>
      <c r="E13027" s="8" t="str">
        <f>IFERROR(__xludf.DUMMYFUNCTION("""COMPUTED_VALUE"""),"Real")</f>
        <v>Real</v>
      </c>
      <c r="G13027" s="8">
        <f t="shared" si="1"/>
        <v>4</v>
      </c>
      <c r="H13027" s="14">
        <f t="shared" si="2"/>
        <v>26</v>
      </c>
      <c r="I13027" s="15">
        <f t="shared" si="3"/>
        <v>19</v>
      </c>
    </row>
    <row r="13028">
      <c r="A13028" s="8" t="str">
        <f>IFERROR(__xludf.DUMMYFUNCTION("IF('(INGESTA)Datos_consumo_datadis'!A13028&lt;&gt;"""",SPLIT('(INGESTA)Datos_consumo_datadis'!A:A,"",""),"""")"),"ES0031408323131005HX0F")</f>
        <v>ES0031408323131005HX0F</v>
      </c>
      <c r="B13028" s="12">
        <f>IFERROR(__xludf.DUMMYFUNCTION("""COMPUTED_VALUE"""),45408.0)</f>
        <v>45408</v>
      </c>
      <c r="C13028" s="13">
        <f>IFERROR(__xludf.DUMMYFUNCTION("""COMPUTED_VALUE"""),0.8333333333333334)</f>
        <v>0.8333333333</v>
      </c>
      <c r="D13028" s="8">
        <f>IFERROR(__xludf.DUMMYFUNCTION("""COMPUTED_VALUE"""),0.215)</f>
        <v>0.215</v>
      </c>
      <c r="E13028" s="8" t="str">
        <f>IFERROR(__xludf.DUMMYFUNCTION("""COMPUTED_VALUE"""),"Real")</f>
        <v>Real</v>
      </c>
      <c r="G13028" s="8">
        <f t="shared" si="1"/>
        <v>4</v>
      </c>
      <c r="H13028" s="14">
        <f t="shared" si="2"/>
        <v>26</v>
      </c>
      <c r="I13028" s="15">
        <f t="shared" si="3"/>
        <v>20</v>
      </c>
    </row>
    <row r="13029">
      <c r="A13029" s="8" t="str">
        <f>IFERROR(__xludf.DUMMYFUNCTION("IF('(INGESTA)Datos_consumo_datadis'!A13029&lt;&gt;"""",SPLIT('(INGESTA)Datos_consumo_datadis'!A:A,"",""),"""")"),"ES0031408323131005HX0F")</f>
        <v>ES0031408323131005HX0F</v>
      </c>
      <c r="B13029" s="12">
        <f>IFERROR(__xludf.DUMMYFUNCTION("""COMPUTED_VALUE"""),45408.0)</f>
        <v>45408</v>
      </c>
      <c r="C13029" s="13">
        <f>IFERROR(__xludf.DUMMYFUNCTION("""COMPUTED_VALUE"""),0.875)</f>
        <v>0.875</v>
      </c>
      <c r="D13029" s="8">
        <f>IFERROR(__xludf.DUMMYFUNCTION("""COMPUTED_VALUE"""),1.891)</f>
        <v>1.891</v>
      </c>
      <c r="E13029" s="8" t="str">
        <f>IFERROR(__xludf.DUMMYFUNCTION("""COMPUTED_VALUE"""),"Real")</f>
        <v>Real</v>
      </c>
      <c r="G13029" s="8">
        <f t="shared" si="1"/>
        <v>4</v>
      </c>
      <c r="H13029" s="14">
        <f t="shared" si="2"/>
        <v>26</v>
      </c>
      <c r="I13029" s="15">
        <f t="shared" si="3"/>
        <v>21</v>
      </c>
    </row>
    <row r="13030">
      <c r="A13030" s="8" t="str">
        <f>IFERROR(__xludf.DUMMYFUNCTION("IF('(INGESTA)Datos_consumo_datadis'!A13030&lt;&gt;"""",SPLIT('(INGESTA)Datos_consumo_datadis'!A:A,"",""),"""")"),"ES0031408323131005HX0F")</f>
        <v>ES0031408323131005HX0F</v>
      </c>
      <c r="B13030" s="12">
        <f>IFERROR(__xludf.DUMMYFUNCTION("""COMPUTED_VALUE"""),45408.0)</f>
        <v>45408</v>
      </c>
      <c r="C13030" s="13">
        <f>IFERROR(__xludf.DUMMYFUNCTION("""COMPUTED_VALUE"""),0.9166666666666666)</f>
        <v>0.9166666667</v>
      </c>
      <c r="D13030" s="8">
        <f>IFERROR(__xludf.DUMMYFUNCTION("""COMPUTED_VALUE"""),1.059)</f>
        <v>1.059</v>
      </c>
      <c r="E13030" s="8" t="str">
        <f>IFERROR(__xludf.DUMMYFUNCTION("""COMPUTED_VALUE"""),"Real")</f>
        <v>Real</v>
      </c>
      <c r="G13030" s="8">
        <f t="shared" si="1"/>
        <v>4</v>
      </c>
      <c r="H13030" s="14">
        <f t="shared" si="2"/>
        <v>26</v>
      </c>
      <c r="I13030" s="15">
        <f t="shared" si="3"/>
        <v>22</v>
      </c>
    </row>
    <row r="13031">
      <c r="A13031" s="8" t="str">
        <f>IFERROR(__xludf.DUMMYFUNCTION("IF('(INGESTA)Datos_consumo_datadis'!A13031&lt;&gt;"""",SPLIT('(INGESTA)Datos_consumo_datadis'!A:A,"",""),"""")"),"ES0031408323131005HX0F")</f>
        <v>ES0031408323131005HX0F</v>
      </c>
      <c r="B13031" s="12">
        <f>IFERROR(__xludf.DUMMYFUNCTION("""COMPUTED_VALUE"""),45408.0)</f>
        <v>45408</v>
      </c>
      <c r="C13031" s="13">
        <f>IFERROR(__xludf.DUMMYFUNCTION("""COMPUTED_VALUE"""),0.9583333333333334)</f>
        <v>0.9583333333</v>
      </c>
      <c r="D13031" s="8">
        <f>IFERROR(__xludf.DUMMYFUNCTION("""COMPUTED_VALUE"""),1.62)</f>
        <v>1.62</v>
      </c>
      <c r="E13031" s="8" t="str">
        <f>IFERROR(__xludf.DUMMYFUNCTION("""COMPUTED_VALUE"""),"Real")</f>
        <v>Real</v>
      </c>
      <c r="G13031" s="8">
        <f t="shared" si="1"/>
        <v>4</v>
      </c>
      <c r="H13031" s="14">
        <f t="shared" si="2"/>
        <v>26</v>
      </c>
      <c r="I13031" s="15">
        <f t="shared" si="3"/>
        <v>23</v>
      </c>
    </row>
    <row r="13032">
      <c r="A13032" s="8" t="str">
        <f>IFERROR(__xludf.DUMMYFUNCTION("IF('(INGESTA)Datos_consumo_datadis'!A13032&lt;&gt;"""",SPLIT('(INGESTA)Datos_consumo_datadis'!A:A,"",""),"""")"),"ES0031408323131005HX0F")</f>
        <v>ES0031408323131005HX0F</v>
      </c>
      <c r="B13032" s="12">
        <f>IFERROR(__xludf.DUMMYFUNCTION("""COMPUTED_VALUE"""),45408.0)</f>
        <v>45408</v>
      </c>
      <c r="C13032" s="16">
        <f>IFERROR(__xludf.DUMMYFUNCTION("""COMPUTED_VALUE"""),1.0)</f>
        <v>1</v>
      </c>
      <c r="D13032" s="8">
        <f>IFERROR(__xludf.DUMMYFUNCTION("""COMPUTED_VALUE"""),0.083)</f>
        <v>0.083</v>
      </c>
      <c r="E13032" s="8" t="str">
        <f>IFERROR(__xludf.DUMMYFUNCTION("""COMPUTED_VALUE"""),"Real")</f>
        <v>Real</v>
      </c>
      <c r="G13032" s="8">
        <f t="shared" si="1"/>
        <v>4</v>
      </c>
      <c r="H13032" s="14">
        <f t="shared" si="2"/>
        <v>26</v>
      </c>
      <c r="I13032" s="15">
        <f t="shared" si="3"/>
        <v>0</v>
      </c>
    </row>
    <row r="13033">
      <c r="A13033" s="8" t="str">
        <f>IFERROR(__xludf.DUMMYFUNCTION("IF('(INGESTA)Datos_consumo_datadis'!A13033&lt;&gt;"""",SPLIT('(INGESTA)Datos_consumo_datadis'!A:A,"",""),"""")"),"ES0031408323131005HX0F")</f>
        <v>ES0031408323131005HX0F</v>
      </c>
      <c r="B13033" s="12">
        <f>IFERROR(__xludf.DUMMYFUNCTION("""COMPUTED_VALUE"""),45409.0)</f>
        <v>45409</v>
      </c>
      <c r="C13033" s="13">
        <f>IFERROR(__xludf.DUMMYFUNCTION("""COMPUTED_VALUE"""),0.041666666666666664)</f>
        <v>0.04166666667</v>
      </c>
      <c r="D13033" s="8">
        <f>IFERROR(__xludf.DUMMYFUNCTION("""COMPUTED_VALUE"""),0.081)</f>
        <v>0.081</v>
      </c>
      <c r="E13033" s="8" t="str">
        <f>IFERROR(__xludf.DUMMYFUNCTION("""COMPUTED_VALUE"""),"Real")</f>
        <v>Real</v>
      </c>
      <c r="G13033" s="8">
        <f t="shared" si="1"/>
        <v>4</v>
      </c>
      <c r="H13033" s="14">
        <f t="shared" si="2"/>
        <v>27</v>
      </c>
      <c r="I13033" s="15">
        <f t="shared" si="3"/>
        <v>1</v>
      </c>
    </row>
    <row r="13034">
      <c r="A13034" s="8" t="str">
        <f>IFERROR(__xludf.DUMMYFUNCTION("IF('(INGESTA)Datos_consumo_datadis'!A13034&lt;&gt;"""",SPLIT('(INGESTA)Datos_consumo_datadis'!A:A,"",""),"""")"),"ES0031408323131005HX0F")</f>
        <v>ES0031408323131005HX0F</v>
      </c>
      <c r="B13034" s="12">
        <f>IFERROR(__xludf.DUMMYFUNCTION("""COMPUTED_VALUE"""),45409.0)</f>
        <v>45409</v>
      </c>
      <c r="C13034" s="13">
        <f>IFERROR(__xludf.DUMMYFUNCTION("""COMPUTED_VALUE"""),0.08333333333333333)</f>
        <v>0.08333333333</v>
      </c>
      <c r="D13034" s="8">
        <f>IFERROR(__xludf.DUMMYFUNCTION("""COMPUTED_VALUE"""),0.048)</f>
        <v>0.048</v>
      </c>
      <c r="E13034" s="8" t="str">
        <f>IFERROR(__xludf.DUMMYFUNCTION("""COMPUTED_VALUE"""),"Real")</f>
        <v>Real</v>
      </c>
      <c r="G13034" s="8">
        <f t="shared" si="1"/>
        <v>4</v>
      </c>
      <c r="H13034" s="14">
        <f t="shared" si="2"/>
        <v>27</v>
      </c>
      <c r="I13034" s="15">
        <f t="shared" si="3"/>
        <v>2</v>
      </c>
    </row>
    <row r="13035">
      <c r="A13035" s="8" t="str">
        <f>IFERROR(__xludf.DUMMYFUNCTION("IF('(INGESTA)Datos_consumo_datadis'!A13035&lt;&gt;"""",SPLIT('(INGESTA)Datos_consumo_datadis'!A:A,"",""),"""")"),"ES0031408323131005HX0F")</f>
        <v>ES0031408323131005HX0F</v>
      </c>
      <c r="B13035" s="12">
        <f>IFERROR(__xludf.DUMMYFUNCTION("""COMPUTED_VALUE"""),45409.0)</f>
        <v>45409</v>
      </c>
      <c r="C13035" s="13">
        <f>IFERROR(__xludf.DUMMYFUNCTION("""COMPUTED_VALUE"""),0.125)</f>
        <v>0.125</v>
      </c>
      <c r="D13035" s="8">
        <f>IFERROR(__xludf.DUMMYFUNCTION("""COMPUTED_VALUE"""),0.371)</f>
        <v>0.371</v>
      </c>
      <c r="E13035" s="8" t="str">
        <f>IFERROR(__xludf.DUMMYFUNCTION("""COMPUTED_VALUE"""),"Real")</f>
        <v>Real</v>
      </c>
      <c r="G13035" s="8">
        <f t="shared" si="1"/>
        <v>4</v>
      </c>
      <c r="H13035" s="14">
        <f t="shared" si="2"/>
        <v>27</v>
      </c>
      <c r="I13035" s="15">
        <f t="shared" si="3"/>
        <v>3</v>
      </c>
    </row>
    <row r="13036">
      <c r="A13036" s="8" t="str">
        <f>IFERROR(__xludf.DUMMYFUNCTION("IF('(INGESTA)Datos_consumo_datadis'!A13036&lt;&gt;"""",SPLIT('(INGESTA)Datos_consumo_datadis'!A:A,"",""),"""")"),"ES0031408323131005HX0F")</f>
        <v>ES0031408323131005HX0F</v>
      </c>
      <c r="B13036" s="12">
        <f>IFERROR(__xludf.DUMMYFUNCTION("""COMPUTED_VALUE"""),45409.0)</f>
        <v>45409</v>
      </c>
      <c r="C13036" s="13">
        <f>IFERROR(__xludf.DUMMYFUNCTION("""COMPUTED_VALUE"""),0.16666666666666666)</f>
        <v>0.1666666667</v>
      </c>
      <c r="D13036" s="8">
        <f>IFERROR(__xludf.DUMMYFUNCTION("""COMPUTED_VALUE"""),0.057)</f>
        <v>0.057</v>
      </c>
      <c r="E13036" s="8" t="str">
        <f>IFERROR(__xludf.DUMMYFUNCTION("""COMPUTED_VALUE"""),"Real")</f>
        <v>Real</v>
      </c>
      <c r="G13036" s="8">
        <f t="shared" si="1"/>
        <v>4</v>
      </c>
      <c r="H13036" s="14">
        <f t="shared" si="2"/>
        <v>27</v>
      </c>
      <c r="I13036" s="15">
        <f t="shared" si="3"/>
        <v>4</v>
      </c>
    </row>
    <row r="13037">
      <c r="A13037" s="8" t="str">
        <f>IFERROR(__xludf.DUMMYFUNCTION("IF('(INGESTA)Datos_consumo_datadis'!A13037&lt;&gt;"""",SPLIT('(INGESTA)Datos_consumo_datadis'!A:A,"",""),"""")"),"ES0031408323131005HX0F")</f>
        <v>ES0031408323131005HX0F</v>
      </c>
      <c r="B13037" s="12">
        <f>IFERROR(__xludf.DUMMYFUNCTION("""COMPUTED_VALUE"""),45409.0)</f>
        <v>45409</v>
      </c>
      <c r="C13037" s="13">
        <f>IFERROR(__xludf.DUMMYFUNCTION("""COMPUTED_VALUE"""),0.20833333333333334)</f>
        <v>0.2083333333</v>
      </c>
      <c r="D13037" s="8">
        <f>IFERROR(__xludf.DUMMYFUNCTION("""COMPUTED_VALUE"""),0.06)</f>
        <v>0.06</v>
      </c>
      <c r="E13037" s="8" t="str">
        <f>IFERROR(__xludf.DUMMYFUNCTION("""COMPUTED_VALUE"""),"Real")</f>
        <v>Real</v>
      </c>
      <c r="G13037" s="8">
        <f t="shared" si="1"/>
        <v>4</v>
      </c>
      <c r="H13037" s="14">
        <f t="shared" si="2"/>
        <v>27</v>
      </c>
      <c r="I13037" s="15">
        <f t="shared" si="3"/>
        <v>5</v>
      </c>
    </row>
    <row r="13038">
      <c r="A13038" s="8" t="str">
        <f>IFERROR(__xludf.DUMMYFUNCTION("IF('(INGESTA)Datos_consumo_datadis'!A13038&lt;&gt;"""",SPLIT('(INGESTA)Datos_consumo_datadis'!A:A,"",""),"""")"),"ES0031408323131005HX0F")</f>
        <v>ES0031408323131005HX0F</v>
      </c>
      <c r="B13038" s="12">
        <f>IFERROR(__xludf.DUMMYFUNCTION("""COMPUTED_VALUE"""),45409.0)</f>
        <v>45409</v>
      </c>
      <c r="C13038" s="13">
        <f>IFERROR(__xludf.DUMMYFUNCTION("""COMPUTED_VALUE"""),0.25)</f>
        <v>0.25</v>
      </c>
      <c r="D13038" s="8">
        <f>IFERROR(__xludf.DUMMYFUNCTION("""COMPUTED_VALUE"""),0.068)</f>
        <v>0.068</v>
      </c>
      <c r="E13038" s="8" t="str">
        <f>IFERROR(__xludf.DUMMYFUNCTION("""COMPUTED_VALUE"""),"Real")</f>
        <v>Real</v>
      </c>
      <c r="G13038" s="8">
        <f t="shared" si="1"/>
        <v>4</v>
      </c>
      <c r="H13038" s="14">
        <f t="shared" si="2"/>
        <v>27</v>
      </c>
      <c r="I13038" s="15">
        <f t="shared" si="3"/>
        <v>6</v>
      </c>
    </row>
    <row r="13039">
      <c r="A13039" s="8" t="str">
        <f>IFERROR(__xludf.DUMMYFUNCTION("IF('(INGESTA)Datos_consumo_datadis'!A13039&lt;&gt;"""",SPLIT('(INGESTA)Datos_consumo_datadis'!A:A,"",""),"""")"),"ES0031408323131005HX0F")</f>
        <v>ES0031408323131005HX0F</v>
      </c>
      <c r="B13039" s="12">
        <f>IFERROR(__xludf.DUMMYFUNCTION("""COMPUTED_VALUE"""),45409.0)</f>
        <v>45409</v>
      </c>
      <c r="C13039" s="13">
        <f>IFERROR(__xludf.DUMMYFUNCTION("""COMPUTED_VALUE"""),0.2916666666666667)</f>
        <v>0.2916666667</v>
      </c>
      <c r="D13039" s="8">
        <f>IFERROR(__xludf.DUMMYFUNCTION("""COMPUTED_VALUE"""),0.036)</f>
        <v>0.036</v>
      </c>
      <c r="E13039" s="8" t="str">
        <f>IFERROR(__xludf.DUMMYFUNCTION("""COMPUTED_VALUE"""),"Real")</f>
        <v>Real</v>
      </c>
      <c r="G13039" s="8">
        <f t="shared" si="1"/>
        <v>4</v>
      </c>
      <c r="H13039" s="14">
        <f t="shared" si="2"/>
        <v>27</v>
      </c>
      <c r="I13039" s="15">
        <f t="shared" si="3"/>
        <v>7</v>
      </c>
    </row>
    <row r="13040">
      <c r="A13040" s="8" t="str">
        <f>IFERROR(__xludf.DUMMYFUNCTION("IF('(INGESTA)Datos_consumo_datadis'!A13040&lt;&gt;"""",SPLIT('(INGESTA)Datos_consumo_datadis'!A:A,"",""),"""")"),"ES0031408323131005HX0F")</f>
        <v>ES0031408323131005HX0F</v>
      </c>
      <c r="B13040" s="12">
        <f>IFERROR(__xludf.DUMMYFUNCTION("""COMPUTED_VALUE"""),45409.0)</f>
        <v>45409</v>
      </c>
      <c r="C13040" s="13">
        <f>IFERROR(__xludf.DUMMYFUNCTION("""COMPUTED_VALUE"""),0.3333333333333333)</f>
        <v>0.3333333333</v>
      </c>
      <c r="D13040" s="8">
        <f>IFERROR(__xludf.DUMMYFUNCTION("""COMPUTED_VALUE"""),0.102)</f>
        <v>0.102</v>
      </c>
      <c r="E13040" s="8" t="str">
        <f>IFERROR(__xludf.DUMMYFUNCTION("""COMPUTED_VALUE"""),"Real")</f>
        <v>Real</v>
      </c>
      <c r="G13040" s="8">
        <f t="shared" si="1"/>
        <v>4</v>
      </c>
      <c r="H13040" s="14">
        <f t="shared" si="2"/>
        <v>27</v>
      </c>
      <c r="I13040" s="15">
        <f t="shared" si="3"/>
        <v>8</v>
      </c>
    </row>
    <row r="13041">
      <c r="A13041" s="8" t="str">
        <f>IFERROR(__xludf.DUMMYFUNCTION("IF('(INGESTA)Datos_consumo_datadis'!A13041&lt;&gt;"""",SPLIT('(INGESTA)Datos_consumo_datadis'!A:A,"",""),"""")"),"ES0031408323131005HX0F")</f>
        <v>ES0031408323131005HX0F</v>
      </c>
      <c r="B13041" s="12">
        <f>IFERROR(__xludf.DUMMYFUNCTION("""COMPUTED_VALUE"""),45409.0)</f>
        <v>45409</v>
      </c>
      <c r="C13041" s="13">
        <f>IFERROR(__xludf.DUMMYFUNCTION("""COMPUTED_VALUE"""),0.375)</f>
        <v>0.375</v>
      </c>
      <c r="D13041" s="8">
        <f>IFERROR(__xludf.DUMMYFUNCTION("""COMPUTED_VALUE"""),0.511)</f>
        <v>0.511</v>
      </c>
      <c r="E13041" s="8" t="str">
        <f>IFERROR(__xludf.DUMMYFUNCTION("""COMPUTED_VALUE"""),"Real")</f>
        <v>Real</v>
      </c>
      <c r="G13041" s="8">
        <f t="shared" si="1"/>
        <v>4</v>
      </c>
      <c r="H13041" s="14">
        <f t="shared" si="2"/>
        <v>27</v>
      </c>
      <c r="I13041" s="15">
        <f t="shared" si="3"/>
        <v>9</v>
      </c>
    </row>
    <row r="13042">
      <c r="A13042" s="8" t="str">
        <f>IFERROR(__xludf.DUMMYFUNCTION("IF('(INGESTA)Datos_consumo_datadis'!A13042&lt;&gt;"""",SPLIT('(INGESTA)Datos_consumo_datadis'!A:A,"",""),"""")"),"ES0031408323131005HX0F")</f>
        <v>ES0031408323131005HX0F</v>
      </c>
      <c r="B13042" s="12">
        <f>IFERROR(__xludf.DUMMYFUNCTION("""COMPUTED_VALUE"""),45409.0)</f>
        <v>45409</v>
      </c>
      <c r="C13042" s="13">
        <f>IFERROR(__xludf.DUMMYFUNCTION("""COMPUTED_VALUE"""),0.4166666666666667)</f>
        <v>0.4166666667</v>
      </c>
      <c r="D13042" s="8">
        <f>IFERROR(__xludf.DUMMYFUNCTION("""COMPUTED_VALUE"""),0.529)</f>
        <v>0.529</v>
      </c>
      <c r="E13042" s="8" t="str">
        <f>IFERROR(__xludf.DUMMYFUNCTION("""COMPUTED_VALUE"""),"Real")</f>
        <v>Real</v>
      </c>
      <c r="G13042" s="8">
        <f t="shared" si="1"/>
        <v>4</v>
      </c>
      <c r="H13042" s="14">
        <f t="shared" si="2"/>
        <v>27</v>
      </c>
      <c r="I13042" s="15">
        <f t="shared" si="3"/>
        <v>10</v>
      </c>
    </row>
    <row r="13043">
      <c r="A13043" s="8" t="str">
        <f>IFERROR(__xludf.DUMMYFUNCTION("IF('(INGESTA)Datos_consumo_datadis'!A13043&lt;&gt;"""",SPLIT('(INGESTA)Datos_consumo_datadis'!A:A,"",""),"""")"),"ES0031408323131005HX0F")</f>
        <v>ES0031408323131005HX0F</v>
      </c>
      <c r="B13043" s="12">
        <f>IFERROR(__xludf.DUMMYFUNCTION("""COMPUTED_VALUE"""),45409.0)</f>
        <v>45409</v>
      </c>
      <c r="C13043" s="13">
        <f>IFERROR(__xludf.DUMMYFUNCTION("""COMPUTED_VALUE"""),0.4583333333333333)</f>
        <v>0.4583333333</v>
      </c>
      <c r="D13043" s="8">
        <f>IFERROR(__xludf.DUMMYFUNCTION("""COMPUTED_VALUE"""),1.011)</f>
        <v>1.011</v>
      </c>
      <c r="E13043" s="8" t="str">
        <f>IFERROR(__xludf.DUMMYFUNCTION("""COMPUTED_VALUE"""),"Real")</f>
        <v>Real</v>
      </c>
      <c r="G13043" s="8">
        <f t="shared" si="1"/>
        <v>4</v>
      </c>
      <c r="H13043" s="14">
        <f t="shared" si="2"/>
        <v>27</v>
      </c>
      <c r="I13043" s="15">
        <f t="shared" si="3"/>
        <v>11</v>
      </c>
    </row>
    <row r="13044">
      <c r="A13044" s="8" t="str">
        <f>IFERROR(__xludf.DUMMYFUNCTION("IF('(INGESTA)Datos_consumo_datadis'!A13044&lt;&gt;"""",SPLIT('(INGESTA)Datos_consumo_datadis'!A:A,"",""),"""")"),"ES0031408323131005HX0F")</f>
        <v>ES0031408323131005HX0F</v>
      </c>
      <c r="B13044" s="12">
        <f>IFERROR(__xludf.DUMMYFUNCTION("""COMPUTED_VALUE"""),45409.0)</f>
        <v>45409</v>
      </c>
      <c r="C13044" s="13">
        <f>IFERROR(__xludf.DUMMYFUNCTION("""COMPUTED_VALUE"""),0.5)</f>
        <v>0.5</v>
      </c>
      <c r="D13044" s="8">
        <f>IFERROR(__xludf.DUMMYFUNCTION("""COMPUTED_VALUE"""),0.235)</f>
        <v>0.235</v>
      </c>
      <c r="E13044" s="8" t="str">
        <f>IFERROR(__xludf.DUMMYFUNCTION("""COMPUTED_VALUE"""),"Real")</f>
        <v>Real</v>
      </c>
      <c r="G13044" s="8">
        <f t="shared" si="1"/>
        <v>4</v>
      </c>
      <c r="H13044" s="14">
        <f t="shared" si="2"/>
        <v>27</v>
      </c>
      <c r="I13044" s="15">
        <f t="shared" si="3"/>
        <v>12</v>
      </c>
    </row>
    <row r="13045">
      <c r="A13045" s="8" t="str">
        <f>IFERROR(__xludf.DUMMYFUNCTION("IF('(INGESTA)Datos_consumo_datadis'!A13045&lt;&gt;"""",SPLIT('(INGESTA)Datos_consumo_datadis'!A:A,"",""),"""")"),"ES0031408323131005HX0F")</f>
        <v>ES0031408323131005HX0F</v>
      </c>
      <c r="B13045" s="12">
        <f>IFERROR(__xludf.DUMMYFUNCTION("""COMPUTED_VALUE"""),45409.0)</f>
        <v>45409</v>
      </c>
      <c r="C13045" s="13">
        <f>IFERROR(__xludf.DUMMYFUNCTION("""COMPUTED_VALUE"""),0.5416666666666666)</f>
        <v>0.5416666667</v>
      </c>
      <c r="D13045" s="8">
        <f>IFERROR(__xludf.DUMMYFUNCTION("""COMPUTED_VALUE"""),0.54)</f>
        <v>0.54</v>
      </c>
      <c r="E13045" s="8" t="str">
        <f>IFERROR(__xludf.DUMMYFUNCTION("""COMPUTED_VALUE"""),"Real")</f>
        <v>Real</v>
      </c>
      <c r="G13045" s="8">
        <f t="shared" si="1"/>
        <v>4</v>
      </c>
      <c r="H13045" s="14">
        <f t="shared" si="2"/>
        <v>27</v>
      </c>
      <c r="I13045" s="15">
        <f t="shared" si="3"/>
        <v>13</v>
      </c>
    </row>
    <row r="13046">
      <c r="A13046" s="8" t="str">
        <f>IFERROR(__xludf.DUMMYFUNCTION("IF('(INGESTA)Datos_consumo_datadis'!A13046&lt;&gt;"""",SPLIT('(INGESTA)Datos_consumo_datadis'!A:A,"",""),"""")"),"ES0031408323131005HX0F")</f>
        <v>ES0031408323131005HX0F</v>
      </c>
      <c r="B13046" s="12">
        <f>IFERROR(__xludf.DUMMYFUNCTION("""COMPUTED_VALUE"""),45409.0)</f>
        <v>45409</v>
      </c>
      <c r="C13046" s="13">
        <f>IFERROR(__xludf.DUMMYFUNCTION("""COMPUTED_VALUE"""),0.5833333333333334)</f>
        <v>0.5833333333</v>
      </c>
      <c r="D13046" s="8">
        <f>IFERROR(__xludf.DUMMYFUNCTION("""COMPUTED_VALUE"""),0.726)</f>
        <v>0.726</v>
      </c>
      <c r="E13046" s="8" t="str">
        <f>IFERROR(__xludf.DUMMYFUNCTION("""COMPUTED_VALUE"""),"Real")</f>
        <v>Real</v>
      </c>
      <c r="G13046" s="8">
        <f t="shared" si="1"/>
        <v>4</v>
      </c>
      <c r="H13046" s="14">
        <f t="shared" si="2"/>
        <v>27</v>
      </c>
      <c r="I13046" s="15">
        <f t="shared" si="3"/>
        <v>14</v>
      </c>
    </row>
    <row r="13047">
      <c r="A13047" s="8" t="str">
        <f>IFERROR(__xludf.DUMMYFUNCTION("IF('(INGESTA)Datos_consumo_datadis'!A13047&lt;&gt;"""",SPLIT('(INGESTA)Datos_consumo_datadis'!A:A,"",""),"""")"),"ES0031408323131005HX0F")</f>
        <v>ES0031408323131005HX0F</v>
      </c>
      <c r="B13047" s="12">
        <f>IFERROR(__xludf.DUMMYFUNCTION("""COMPUTED_VALUE"""),45409.0)</f>
        <v>45409</v>
      </c>
      <c r="C13047" s="13">
        <f>IFERROR(__xludf.DUMMYFUNCTION("""COMPUTED_VALUE"""),0.625)</f>
        <v>0.625</v>
      </c>
      <c r="D13047" s="8">
        <f>IFERROR(__xludf.DUMMYFUNCTION("""COMPUTED_VALUE"""),0.5)</f>
        <v>0.5</v>
      </c>
      <c r="E13047" s="8" t="str">
        <f>IFERROR(__xludf.DUMMYFUNCTION("""COMPUTED_VALUE"""),"Real")</f>
        <v>Real</v>
      </c>
      <c r="G13047" s="8">
        <f t="shared" si="1"/>
        <v>4</v>
      </c>
      <c r="H13047" s="14">
        <f t="shared" si="2"/>
        <v>27</v>
      </c>
      <c r="I13047" s="15">
        <f t="shared" si="3"/>
        <v>15</v>
      </c>
    </row>
    <row r="13048">
      <c r="A13048" s="8" t="str">
        <f>IFERROR(__xludf.DUMMYFUNCTION("IF('(INGESTA)Datos_consumo_datadis'!A13048&lt;&gt;"""",SPLIT('(INGESTA)Datos_consumo_datadis'!A:A,"",""),"""")"),"ES0031408323131005HX0F")</f>
        <v>ES0031408323131005HX0F</v>
      </c>
      <c r="B13048" s="12">
        <f>IFERROR(__xludf.DUMMYFUNCTION("""COMPUTED_VALUE"""),45409.0)</f>
        <v>45409</v>
      </c>
      <c r="C13048" s="13">
        <f>IFERROR(__xludf.DUMMYFUNCTION("""COMPUTED_VALUE"""),0.6666666666666666)</f>
        <v>0.6666666667</v>
      </c>
      <c r="D13048" s="8">
        <f>IFERROR(__xludf.DUMMYFUNCTION("""COMPUTED_VALUE"""),0.202)</f>
        <v>0.202</v>
      </c>
      <c r="E13048" s="8" t="str">
        <f>IFERROR(__xludf.DUMMYFUNCTION("""COMPUTED_VALUE"""),"Real")</f>
        <v>Real</v>
      </c>
      <c r="G13048" s="8">
        <f t="shared" si="1"/>
        <v>4</v>
      </c>
      <c r="H13048" s="14">
        <f t="shared" si="2"/>
        <v>27</v>
      </c>
      <c r="I13048" s="15">
        <f t="shared" si="3"/>
        <v>16</v>
      </c>
    </row>
    <row r="13049">
      <c r="A13049" s="8" t="str">
        <f>IFERROR(__xludf.DUMMYFUNCTION("IF('(INGESTA)Datos_consumo_datadis'!A13049&lt;&gt;"""",SPLIT('(INGESTA)Datos_consumo_datadis'!A:A,"",""),"""")"),"ES0031408323131005HX0F")</f>
        <v>ES0031408323131005HX0F</v>
      </c>
      <c r="B13049" s="12">
        <f>IFERROR(__xludf.DUMMYFUNCTION("""COMPUTED_VALUE"""),45409.0)</f>
        <v>45409</v>
      </c>
      <c r="C13049" s="13">
        <f>IFERROR(__xludf.DUMMYFUNCTION("""COMPUTED_VALUE"""),0.7083333333333334)</f>
        <v>0.7083333333</v>
      </c>
      <c r="D13049" s="8">
        <f>IFERROR(__xludf.DUMMYFUNCTION("""COMPUTED_VALUE"""),0.224)</f>
        <v>0.224</v>
      </c>
      <c r="E13049" s="8" t="str">
        <f>IFERROR(__xludf.DUMMYFUNCTION("""COMPUTED_VALUE"""),"Real")</f>
        <v>Real</v>
      </c>
      <c r="G13049" s="8">
        <f t="shared" si="1"/>
        <v>4</v>
      </c>
      <c r="H13049" s="14">
        <f t="shared" si="2"/>
        <v>27</v>
      </c>
      <c r="I13049" s="15">
        <f t="shared" si="3"/>
        <v>17</v>
      </c>
    </row>
    <row r="13050">
      <c r="A13050" s="8" t="str">
        <f>IFERROR(__xludf.DUMMYFUNCTION("IF('(INGESTA)Datos_consumo_datadis'!A13050&lt;&gt;"""",SPLIT('(INGESTA)Datos_consumo_datadis'!A:A,"",""),"""")"),"ES0031408323131005HX0F")</f>
        <v>ES0031408323131005HX0F</v>
      </c>
      <c r="B13050" s="12">
        <f>IFERROR(__xludf.DUMMYFUNCTION("""COMPUTED_VALUE"""),45409.0)</f>
        <v>45409</v>
      </c>
      <c r="C13050" s="13">
        <f>IFERROR(__xludf.DUMMYFUNCTION("""COMPUTED_VALUE"""),0.75)</f>
        <v>0.75</v>
      </c>
      <c r="D13050" s="8">
        <f>IFERROR(__xludf.DUMMYFUNCTION("""COMPUTED_VALUE"""),1.426)</f>
        <v>1.426</v>
      </c>
      <c r="E13050" s="8" t="str">
        <f>IFERROR(__xludf.DUMMYFUNCTION("""COMPUTED_VALUE"""),"Real")</f>
        <v>Real</v>
      </c>
      <c r="G13050" s="8">
        <f t="shared" si="1"/>
        <v>4</v>
      </c>
      <c r="H13050" s="14">
        <f t="shared" si="2"/>
        <v>27</v>
      </c>
      <c r="I13050" s="15">
        <f t="shared" si="3"/>
        <v>18</v>
      </c>
    </row>
    <row r="13051">
      <c r="A13051" s="8" t="str">
        <f>IFERROR(__xludf.DUMMYFUNCTION("IF('(INGESTA)Datos_consumo_datadis'!A13051&lt;&gt;"""",SPLIT('(INGESTA)Datos_consumo_datadis'!A:A,"",""),"""")"),"ES0031408323131005HX0F")</f>
        <v>ES0031408323131005HX0F</v>
      </c>
      <c r="B13051" s="12">
        <f>IFERROR(__xludf.DUMMYFUNCTION("""COMPUTED_VALUE"""),45409.0)</f>
        <v>45409</v>
      </c>
      <c r="C13051" s="13">
        <f>IFERROR(__xludf.DUMMYFUNCTION("""COMPUTED_VALUE"""),0.7916666666666666)</f>
        <v>0.7916666667</v>
      </c>
      <c r="D13051" s="8">
        <f>IFERROR(__xludf.DUMMYFUNCTION("""COMPUTED_VALUE"""),0.371)</f>
        <v>0.371</v>
      </c>
      <c r="E13051" s="8" t="str">
        <f>IFERROR(__xludf.DUMMYFUNCTION("""COMPUTED_VALUE"""),"Real")</f>
        <v>Real</v>
      </c>
      <c r="G13051" s="8">
        <f t="shared" si="1"/>
        <v>4</v>
      </c>
      <c r="H13051" s="14">
        <f t="shared" si="2"/>
        <v>27</v>
      </c>
      <c r="I13051" s="15">
        <f t="shared" si="3"/>
        <v>19</v>
      </c>
    </row>
    <row r="13052">
      <c r="A13052" s="8" t="str">
        <f>IFERROR(__xludf.DUMMYFUNCTION("IF('(INGESTA)Datos_consumo_datadis'!A13052&lt;&gt;"""",SPLIT('(INGESTA)Datos_consumo_datadis'!A:A,"",""),"""")"),"ES0031408323131005HX0F")</f>
        <v>ES0031408323131005HX0F</v>
      </c>
      <c r="B13052" s="12">
        <f>IFERROR(__xludf.DUMMYFUNCTION("""COMPUTED_VALUE"""),45409.0)</f>
        <v>45409</v>
      </c>
      <c r="C13052" s="13">
        <f>IFERROR(__xludf.DUMMYFUNCTION("""COMPUTED_VALUE"""),0.8333333333333334)</f>
        <v>0.8333333333</v>
      </c>
      <c r="D13052" s="8">
        <f>IFERROR(__xludf.DUMMYFUNCTION("""COMPUTED_VALUE"""),0.094)</f>
        <v>0.094</v>
      </c>
      <c r="E13052" s="8" t="str">
        <f>IFERROR(__xludf.DUMMYFUNCTION("""COMPUTED_VALUE"""),"Real")</f>
        <v>Real</v>
      </c>
      <c r="G13052" s="8">
        <f t="shared" si="1"/>
        <v>4</v>
      </c>
      <c r="H13052" s="14">
        <f t="shared" si="2"/>
        <v>27</v>
      </c>
      <c r="I13052" s="15">
        <f t="shared" si="3"/>
        <v>20</v>
      </c>
    </row>
    <row r="13053">
      <c r="A13053" s="8" t="str">
        <f>IFERROR(__xludf.DUMMYFUNCTION("IF('(INGESTA)Datos_consumo_datadis'!A13053&lt;&gt;"""",SPLIT('(INGESTA)Datos_consumo_datadis'!A:A,"",""),"""")"),"ES0031408323131005HX0F")</f>
        <v>ES0031408323131005HX0F</v>
      </c>
      <c r="B13053" s="12">
        <f>IFERROR(__xludf.DUMMYFUNCTION("""COMPUTED_VALUE"""),45409.0)</f>
        <v>45409</v>
      </c>
      <c r="C13053" s="13">
        <f>IFERROR(__xludf.DUMMYFUNCTION("""COMPUTED_VALUE"""),0.875)</f>
        <v>0.875</v>
      </c>
      <c r="D13053" s="8">
        <f>IFERROR(__xludf.DUMMYFUNCTION("""COMPUTED_VALUE"""),1.553)</f>
        <v>1.553</v>
      </c>
      <c r="E13053" s="8" t="str">
        <f>IFERROR(__xludf.DUMMYFUNCTION("""COMPUTED_VALUE"""),"Real")</f>
        <v>Real</v>
      </c>
      <c r="G13053" s="8">
        <f t="shared" si="1"/>
        <v>4</v>
      </c>
      <c r="H13053" s="14">
        <f t="shared" si="2"/>
        <v>27</v>
      </c>
      <c r="I13053" s="15">
        <f t="shared" si="3"/>
        <v>21</v>
      </c>
    </row>
    <row r="13054">
      <c r="A13054" s="8" t="str">
        <f>IFERROR(__xludf.DUMMYFUNCTION("IF('(INGESTA)Datos_consumo_datadis'!A13054&lt;&gt;"""",SPLIT('(INGESTA)Datos_consumo_datadis'!A:A,"",""),"""")"),"ES0031408323131005HX0F")</f>
        <v>ES0031408323131005HX0F</v>
      </c>
      <c r="B13054" s="12">
        <f>IFERROR(__xludf.DUMMYFUNCTION("""COMPUTED_VALUE"""),45409.0)</f>
        <v>45409</v>
      </c>
      <c r="C13054" s="13">
        <f>IFERROR(__xludf.DUMMYFUNCTION("""COMPUTED_VALUE"""),0.9166666666666666)</f>
        <v>0.9166666667</v>
      </c>
      <c r="D13054" s="8">
        <f>IFERROR(__xludf.DUMMYFUNCTION("""COMPUTED_VALUE"""),0.837)</f>
        <v>0.837</v>
      </c>
      <c r="E13054" s="8" t="str">
        <f>IFERROR(__xludf.DUMMYFUNCTION("""COMPUTED_VALUE"""),"Real")</f>
        <v>Real</v>
      </c>
      <c r="G13054" s="8">
        <f t="shared" si="1"/>
        <v>4</v>
      </c>
      <c r="H13054" s="14">
        <f t="shared" si="2"/>
        <v>27</v>
      </c>
      <c r="I13054" s="15">
        <f t="shared" si="3"/>
        <v>22</v>
      </c>
    </row>
    <row r="13055">
      <c r="A13055" s="8" t="str">
        <f>IFERROR(__xludf.DUMMYFUNCTION("IF('(INGESTA)Datos_consumo_datadis'!A13055&lt;&gt;"""",SPLIT('(INGESTA)Datos_consumo_datadis'!A:A,"",""),"""")"),"ES0031408323131005HX0F")</f>
        <v>ES0031408323131005HX0F</v>
      </c>
      <c r="B13055" s="12">
        <f>IFERROR(__xludf.DUMMYFUNCTION("""COMPUTED_VALUE"""),45409.0)</f>
        <v>45409</v>
      </c>
      <c r="C13055" s="13">
        <f>IFERROR(__xludf.DUMMYFUNCTION("""COMPUTED_VALUE"""),0.9583333333333334)</f>
        <v>0.9583333333</v>
      </c>
      <c r="D13055" s="8">
        <f>IFERROR(__xludf.DUMMYFUNCTION("""COMPUTED_VALUE"""),1.686)</f>
        <v>1.686</v>
      </c>
      <c r="E13055" s="8" t="str">
        <f>IFERROR(__xludf.DUMMYFUNCTION("""COMPUTED_VALUE"""),"Real")</f>
        <v>Real</v>
      </c>
      <c r="G13055" s="8">
        <f t="shared" si="1"/>
        <v>4</v>
      </c>
      <c r="H13055" s="14">
        <f t="shared" si="2"/>
        <v>27</v>
      </c>
      <c r="I13055" s="15">
        <f t="shared" si="3"/>
        <v>23</v>
      </c>
    </row>
    <row r="13056">
      <c r="A13056" s="8" t="str">
        <f>IFERROR(__xludf.DUMMYFUNCTION("IF('(INGESTA)Datos_consumo_datadis'!A13056&lt;&gt;"""",SPLIT('(INGESTA)Datos_consumo_datadis'!A:A,"",""),"""")"),"ES0031408323131005HX0F")</f>
        <v>ES0031408323131005HX0F</v>
      </c>
      <c r="B13056" s="12">
        <f>IFERROR(__xludf.DUMMYFUNCTION("""COMPUTED_VALUE"""),45409.0)</f>
        <v>45409</v>
      </c>
      <c r="C13056" s="16">
        <f>IFERROR(__xludf.DUMMYFUNCTION("""COMPUTED_VALUE"""),1.0)</f>
        <v>1</v>
      </c>
      <c r="D13056" s="8">
        <f>IFERROR(__xludf.DUMMYFUNCTION("""COMPUTED_VALUE"""),1.791)</f>
        <v>1.791</v>
      </c>
      <c r="E13056" s="8" t="str">
        <f>IFERROR(__xludf.DUMMYFUNCTION("""COMPUTED_VALUE"""),"Real")</f>
        <v>Real</v>
      </c>
      <c r="G13056" s="8">
        <f t="shared" si="1"/>
        <v>4</v>
      </c>
      <c r="H13056" s="14">
        <f t="shared" si="2"/>
        <v>27</v>
      </c>
      <c r="I13056" s="15">
        <f t="shared" si="3"/>
        <v>0</v>
      </c>
    </row>
    <row r="13057">
      <c r="A13057" s="8" t="str">
        <f>IFERROR(__xludf.DUMMYFUNCTION("IF('(INGESTA)Datos_consumo_datadis'!A13057&lt;&gt;"""",SPLIT('(INGESTA)Datos_consumo_datadis'!A:A,"",""),"""")"),"ES0031408323131005HX0F")</f>
        <v>ES0031408323131005HX0F</v>
      </c>
      <c r="B13057" s="12">
        <f>IFERROR(__xludf.DUMMYFUNCTION("""COMPUTED_VALUE"""),45410.0)</f>
        <v>45410</v>
      </c>
      <c r="C13057" s="13">
        <f>IFERROR(__xludf.DUMMYFUNCTION("""COMPUTED_VALUE"""),0.041666666666666664)</f>
        <v>0.04166666667</v>
      </c>
      <c r="D13057" s="8">
        <f>IFERROR(__xludf.DUMMYFUNCTION("""COMPUTED_VALUE"""),0.087)</f>
        <v>0.087</v>
      </c>
      <c r="E13057" s="8" t="str">
        <f>IFERROR(__xludf.DUMMYFUNCTION("""COMPUTED_VALUE"""),"Real")</f>
        <v>Real</v>
      </c>
      <c r="G13057" s="8">
        <f t="shared" si="1"/>
        <v>4</v>
      </c>
      <c r="H13057" s="14">
        <f t="shared" si="2"/>
        <v>28</v>
      </c>
      <c r="I13057" s="15">
        <f t="shared" si="3"/>
        <v>1</v>
      </c>
    </row>
    <row r="13058">
      <c r="A13058" s="8" t="str">
        <f>IFERROR(__xludf.DUMMYFUNCTION("IF('(INGESTA)Datos_consumo_datadis'!A13058&lt;&gt;"""",SPLIT('(INGESTA)Datos_consumo_datadis'!A:A,"",""),"""")"),"ES0031408323131005HX0F")</f>
        <v>ES0031408323131005HX0F</v>
      </c>
      <c r="B13058" s="12">
        <f>IFERROR(__xludf.DUMMYFUNCTION("""COMPUTED_VALUE"""),45410.0)</f>
        <v>45410</v>
      </c>
      <c r="C13058" s="13">
        <f>IFERROR(__xludf.DUMMYFUNCTION("""COMPUTED_VALUE"""),0.08333333333333333)</f>
        <v>0.08333333333</v>
      </c>
      <c r="D13058" s="8">
        <f>IFERROR(__xludf.DUMMYFUNCTION("""COMPUTED_VALUE"""),0.061)</f>
        <v>0.061</v>
      </c>
      <c r="E13058" s="8" t="str">
        <f>IFERROR(__xludf.DUMMYFUNCTION("""COMPUTED_VALUE"""),"Real")</f>
        <v>Real</v>
      </c>
      <c r="G13058" s="8">
        <f t="shared" si="1"/>
        <v>4</v>
      </c>
      <c r="H13058" s="14">
        <f t="shared" si="2"/>
        <v>28</v>
      </c>
      <c r="I13058" s="15">
        <f t="shared" si="3"/>
        <v>2</v>
      </c>
    </row>
    <row r="13059">
      <c r="A13059" s="8" t="str">
        <f>IFERROR(__xludf.DUMMYFUNCTION("IF('(INGESTA)Datos_consumo_datadis'!A13059&lt;&gt;"""",SPLIT('(INGESTA)Datos_consumo_datadis'!A:A,"",""),"""")"),"ES0031408323131005HX0F")</f>
        <v>ES0031408323131005HX0F</v>
      </c>
      <c r="B13059" s="12">
        <f>IFERROR(__xludf.DUMMYFUNCTION("""COMPUTED_VALUE"""),45410.0)</f>
        <v>45410</v>
      </c>
      <c r="C13059" s="13">
        <f>IFERROR(__xludf.DUMMYFUNCTION("""COMPUTED_VALUE"""),0.125)</f>
        <v>0.125</v>
      </c>
      <c r="D13059" s="8">
        <f>IFERROR(__xludf.DUMMYFUNCTION("""COMPUTED_VALUE"""),0.057)</f>
        <v>0.057</v>
      </c>
      <c r="E13059" s="8" t="str">
        <f>IFERROR(__xludf.DUMMYFUNCTION("""COMPUTED_VALUE"""),"Real")</f>
        <v>Real</v>
      </c>
      <c r="G13059" s="8">
        <f t="shared" si="1"/>
        <v>4</v>
      </c>
      <c r="H13059" s="14">
        <f t="shared" si="2"/>
        <v>28</v>
      </c>
      <c r="I13059" s="15">
        <f t="shared" si="3"/>
        <v>3</v>
      </c>
    </row>
    <row r="13060">
      <c r="A13060" s="8" t="str">
        <f>IFERROR(__xludf.DUMMYFUNCTION("IF('(INGESTA)Datos_consumo_datadis'!A13060&lt;&gt;"""",SPLIT('(INGESTA)Datos_consumo_datadis'!A:A,"",""),"""")"),"ES0031408323131005HX0F")</f>
        <v>ES0031408323131005HX0F</v>
      </c>
      <c r="B13060" s="12">
        <f>IFERROR(__xludf.DUMMYFUNCTION("""COMPUTED_VALUE"""),45410.0)</f>
        <v>45410</v>
      </c>
      <c r="C13060" s="13">
        <f>IFERROR(__xludf.DUMMYFUNCTION("""COMPUTED_VALUE"""),0.16666666666666666)</f>
        <v>0.1666666667</v>
      </c>
      <c r="D13060" s="8">
        <f>IFERROR(__xludf.DUMMYFUNCTION("""COMPUTED_VALUE"""),0.078)</f>
        <v>0.078</v>
      </c>
      <c r="E13060" s="8" t="str">
        <f>IFERROR(__xludf.DUMMYFUNCTION("""COMPUTED_VALUE"""),"Real")</f>
        <v>Real</v>
      </c>
      <c r="G13060" s="8">
        <f t="shared" si="1"/>
        <v>4</v>
      </c>
      <c r="H13060" s="14">
        <f t="shared" si="2"/>
        <v>28</v>
      </c>
      <c r="I13060" s="15">
        <f t="shared" si="3"/>
        <v>4</v>
      </c>
    </row>
    <row r="13061">
      <c r="A13061" s="8" t="str">
        <f>IFERROR(__xludf.DUMMYFUNCTION("IF('(INGESTA)Datos_consumo_datadis'!A13061&lt;&gt;"""",SPLIT('(INGESTA)Datos_consumo_datadis'!A:A,"",""),"""")"),"ES0031408323131005HX0F")</f>
        <v>ES0031408323131005HX0F</v>
      </c>
      <c r="B13061" s="12">
        <f>IFERROR(__xludf.DUMMYFUNCTION("""COMPUTED_VALUE"""),45410.0)</f>
        <v>45410</v>
      </c>
      <c r="C13061" s="13">
        <f>IFERROR(__xludf.DUMMYFUNCTION("""COMPUTED_VALUE"""),0.20833333333333334)</f>
        <v>0.2083333333</v>
      </c>
      <c r="D13061" s="8">
        <f>IFERROR(__xludf.DUMMYFUNCTION("""COMPUTED_VALUE"""),0.292)</f>
        <v>0.292</v>
      </c>
      <c r="E13061" s="8" t="str">
        <f>IFERROR(__xludf.DUMMYFUNCTION("""COMPUTED_VALUE"""),"Real")</f>
        <v>Real</v>
      </c>
      <c r="G13061" s="8">
        <f t="shared" si="1"/>
        <v>4</v>
      </c>
      <c r="H13061" s="14">
        <f t="shared" si="2"/>
        <v>28</v>
      </c>
      <c r="I13061" s="15">
        <f t="shared" si="3"/>
        <v>5</v>
      </c>
    </row>
    <row r="13062">
      <c r="A13062" s="8" t="str">
        <f>IFERROR(__xludf.DUMMYFUNCTION("IF('(INGESTA)Datos_consumo_datadis'!A13062&lt;&gt;"""",SPLIT('(INGESTA)Datos_consumo_datadis'!A:A,"",""),"""")"),"ES0031408323131005HX0F")</f>
        <v>ES0031408323131005HX0F</v>
      </c>
      <c r="B13062" s="12">
        <f>IFERROR(__xludf.DUMMYFUNCTION("""COMPUTED_VALUE"""),45410.0)</f>
        <v>45410</v>
      </c>
      <c r="C13062" s="13">
        <f>IFERROR(__xludf.DUMMYFUNCTION("""COMPUTED_VALUE"""),0.25)</f>
        <v>0.25</v>
      </c>
      <c r="D13062" s="8">
        <f>IFERROR(__xludf.DUMMYFUNCTION("""COMPUTED_VALUE"""),0.082)</f>
        <v>0.082</v>
      </c>
      <c r="E13062" s="8" t="str">
        <f>IFERROR(__xludf.DUMMYFUNCTION("""COMPUTED_VALUE"""),"Real")</f>
        <v>Real</v>
      </c>
      <c r="G13062" s="8">
        <f t="shared" si="1"/>
        <v>4</v>
      </c>
      <c r="H13062" s="14">
        <f t="shared" si="2"/>
        <v>28</v>
      </c>
      <c r="I13062" s="15">
        <f t="shared" si="3"/>
        <v>6</v>
      </c>
    </row>
    <row r="13063">
      <c r="A13063" s="8" t="str">
        <f>IFERROR(__xludf.DUMMYFUNCTION("IF('(INGESTA)Datos_consumo_datadis'!A13063&lt;&gt;"""",SPLIT('(INGESTA)Datos_consumo_datadis'!A:A,"",""),"""")"),"ES0031408323131005HX0F")</f>
        <v>ES0031408323131005HX0F</v>
      </c>
      <c r="B13063" s="12">
        <f>IFERROR(__xludf.DUMMYFUNCTION("""COMPUTED_VALUE"""),45410.0)</f>
        <v>45410</v>
      </c>
      <c r="C13063" s="13">
        <f>IFERROR(__xludf.DUMMYFUNCTION("""COMPUTED_VALUE"""),0.2916666666666667)</f>
        <v>0.2916666667</v>
      </c>
      <c r="D13063" s="8">
        <f>IFERROR(__xludf.DUMMYFUNCTION("""COMPUTED_VALUE"""),0.037)</f>
        <v>0.037</v>
      </c>
      <c r="E13063" s="8" t="str">
        <f>IFERROR(__xludf.DUMMYFUNCTION("""COMPUTED_VALUE"""),"Real")</f>
        <v>Real</v>
      </c>
      <c r="G13063" s="8">
        <f t="shared" si="1"/>
        <v>4</v>
      </c>
      <c r="H13063" s="14">
        <f t="shared" si="2"/>
        <v>28</v>
      </c>
      <c r="I13063" s="15">
        <f t="shared" si="3"/>
        <v>7</v>
      </c>
    </row>
    <row r="13064">
      <c r="A13064" s="8" t="str">
        <f>IFERROR(__xludf.DUMMYFUNCTION("IF('(INGESTA)Datos_consumo_datadis'!A13064&lt;&gt;"""",SPLIT('(INGESTA)Datos_consumo_datadis'!A:A,"",""),"""")"),"ES0031408323131005HX0F")</f>
        <v>ES0031408323131005HX0F</v>
      </c>
      <c r="B13064" s="12">
        <f>IFERROR(__xludf.DUMMYFUNCTION("""COMPUTED_VALUE"""),45410.0)</f>
        <v>45410</v>
      </c>
      <c r="C13064" s="13">
        <f>IFERROR(__xludf.DUMMYFUNCTION("""COMPUTED_VALUE"""),0.3333333333333333)</f>
        <v>0.3333333333</v>
      </c>
      <c r="D13064" s="8">
        <f>IFERROR(__xludf.DUMMYFUNCTION("""COMPUTED_VALUE"""),0.092)</f>
        <v>0.092</v>
      </c>
      <c r="E13064" s="8" t="str">
        <f>IFERROR(__xludf.DUMMYFUNCTION("""COMPUTED_VALUE"""),"Real")</f>
        <v>Real</v>
      </c>
      <c r="G13064" s="8">
        <f t="shared" si="1"/>
        <v>4</v>
      </c>
      <c r="H13064" s="14">
        <f t="shared" si="2"/>
        <v>28</v>
      </c>
      <c r="I13064" s="15">
        <f t="shared" si="3"/>
        <v>8</v>
      </c>
    </row>
    <row r="13065">
      <c r="A13065" s="8" t="str">
        <f>IFERROR(__xludf.DUMMYFUNCTION("IF('(INGESTA)Datos_consumo_datadis'!A13065&lt;&gt;"""",SPLIT('(INGESTA)Datos_consumo_datadis'!A:A,"",""),"""")"),"ES0031408323131005HX0F")</f>
        <v>ES0031408323131005HX0F</v>
      </c>
      <c r="B13065" s="12">
        <f>IFERROR(__xludf.DUMMYFUNCTION("""COMPUTED_VALUE"""),45410.0)</f>
        <v>45410</v>
      </c>
      <c r="C13065" s="13">
        <f>IFERROR(__xludf.DUMMYFUNCTION("""COMPUTED_VALUE"""),0.375)</f>
        <v>0.375</v>
      </c>
      <c r="D13065" s="8">
        <f>IFERROR(__xludf.DUMMYFUNCTION("""COMPUTED_VALUE"""),0.115)</f>
        <v>0.115</v>
      </c>
      <c r="E13065" s="8" t="str">
        <f>IFERROR(__xludf.DUMMYFUNCTION("""COMPUTED_VALUE"""),"Real")</f>
        <v>Real</v>
      </c>
      <c r="G13065" s="8">
        <f t="shared" si="1"/>
        <v>4</v>
      </c>
      <c r="H13065" s="14">
        <f t="shared" si="2"/>
        <v>28</v>
      </c>
      <c r="I13065" s="15">
        <f t="shared" si="3"/>
        <v>9</v>
      </c>
    </row>
    <row r="13066">
      <c r="A13066" s="8" t="str">
        <f>IFERROR(__xludf.DUMMYFUNCTION("IF('(INGESTA)Datos_consumo_datadis'!A13066&lt;&gt;"""",SPLIT('(INGESTA)Datos_consumo_datadis'!A:A,"",""),"""")"),"ES0031408323131005HX0F")</f>
        <v>ES0031408323131005HX0F</v>
      </c>
      <c r="B13066" s="12">
        <f>IFERROR(__xludf.DUMMYFUNCTION("""COMPUTED_VALUE"""),45410.0)</f>
        <v>45410</v>
      </c>
      <c r="C13066" s="13">
        <f>IFERROR(__xludf.DUMMYFUNCTION("""COMPUTED_VALUE"""),0.4166666666666667)</f>
        <v>0.4166666667</v>
      </c>
      <c r="D13066" s="8">
        <f>IFERROR(__xludf.DUMMYFUNCTION("""COMPUTED_VALUE"""),1.726)</f>
        <v>1.726</v>
      </c>
      <c r="E13066" s="8" t="str">
        <f>IFERROR(__xludf.DUMMYFUNCTION("""COMPUTED_VALUE"""),"Real")</f>
        <v>Real</v>
      </c>
      <c r="G13066" s="8">
        <f t="shared" si="1"/>
        <v>4</v>
      </c>
      <c r="H13066" s="14">
        <f t="shared" si="2"/>
        <v>28</v>
      </c>
      <c r="I13066" s="15">
        <f t="shared" si="3"/>
        <v>10</v>
      </c>
    </row>
    <row r="13067">
      <c r="A13067" s="8" t="str">
        <f>IFERROR(__xludf.DUMMYFUNCTION("IF('(INGESTA)Datos_consumo_datadis'!A13067&lt;&gt;"""",SPLIT('(INGESTA)Datos_consumo_datadis'!A:A,"",""),"""")"),"ES0031408323131005HX0F")</f>
        <v>ES0031408323131005HX0F</v>
      </c>
      <c r="B13067" s="12">
        <f>IFERROR(__xludf.DUMMYFUNCTION("""COMPUTED_VALUE"""),45410.0)</f>
        <v>45410</v>
      </c>
      <c r="C13067" s="13">
        <f>IFERROR(__xludf.DUMMYFUNCTION("""COMPUTED_VALUE"""),0.4583333333333333)</f>
        <v>0.4583333333</v>
      </c>
      <c r="D13067" s="8">
        <f>IFERROR(__xludf.DUMMYFUNCTION("""COMPUTED_VALUE"""),1.212)</f>
        <v>1.212</v>
      </c>
      <c r="E13067" s="8" t="str">
        <f>IFERROR(__xludf.DUMMYFUNCTION("""COMPUTED_VALUE"""),"Real")</f>
        <v>Real</v>
      </c>
      <c r="G13067" s="8">
        <f t="shared" si="1"/>
        <v>4</v>
      </c>
      <c r="H13067" s="14">
        <f t="shared" si="2"/>
        <v>28</v>
      </c>
      <c r="I13067" s="15">
        <f t="shared" si="3"/>
        <v>11</v>
      </c>
    </row>
    <row r="13068">
      <c r="A13068" s="8" t="str">
        <f>IFERROR(__xludf.DUMMYFUNCTION("IF('(INGESTA)Datos_consumo_datadis'!A13068&lt;&gt;"""",SPLIT('(INGESTA)Datos_consumo_datadis'!A:A,"",""),"""")"),"ES0031408323131005HX0F")</f>
        <v>ES0031408323131005HX0F</v>
      </c>
      <c r="B13068" s="12">
        <f>IFERROR(__xludf.DUMMYFUNCTION("""COMPUTED_VALUE"""),45410.0)</f>
        <v>45410</v>
      </c>
      <c r="C13068" s="13">
        <f>IFERROR(__xludf.DUMMYFUNCTION("""COMPUTED_VALUE"""),0.5)</f>
        <v>0.5</v>
      </c>
      <c r="D13068" s="8">
        <f>IFERROR(__xludf.DUMMYFUNCTION("""COMPUTED_VALUE"""),0.474)</f>
        <v>0.474</v>
      </c>
      <c r="E13068" s="8" t="str">
        <f>IFERROR(__xludf.DUMMYFUNCTION("""COMPUTED_VALUE"""),"Real")</f>
        <v>Real</v>
      </c>
      <c r="G13068" s="8">
        <f t="shared" si="1"/>
        <v>4</v>
      </c>
      <c r="H13068" s="14">
        <f t="shared" si="2"/>
        <v>28</v>
      </c>
      <c r="I13068" s="15">
        <f t="shared" si="3"/>
        <v>12</v>
      </c>
    </row>
    <row r="13069">
      <c r="A13069" s="8" t="str">
        <f>IFERROR(__xludf.DUMMYFUNCTION("IF('(INGESTA)Datos_consumo_datadis'!A13069&lt;&gt;"""",SPLIT('(INGESTA)Datos_consumo_datadis'!A:A,"",""),"""")"),"ES0031408323131005HX0F")</f>
        <v>ES0031408323131005HX0F</v>
      </c>
      <c r="B13069" s="12">
        <f>IFERROR(__xludf.DUMMYFUNCTION("""COMPUTED_VALUE"""),45410.0)</f>
        <v>45410</v>
      </c>
      <c r="C13069" s="13">
        <f>IFERROR(__xludf.DUMMYFUNCTION("""COMPUTED_VALUE"""),0.5416666666666666)</f>
        <v>0.5416666667</v>
      </c>
      <c r="D13069" s="8">
        <f>IFERROR(__xludf.DUMMYFUNCTION("""COMPUTED_VALUE"""),0.257)</f>
        <v>0.257</v>
      </c>
      <c r="E13069" s="8" t="str">
        <f>IFERROR(__xludf.DUMMYFUNCTION("""COMPUTED_VALUE"""),"Real")</f>
        <v>Real</v>
      </c>
      <c r="G13069" s="8">
        <f t="shared" si="1"/>
        <v>4</v>
      </c>
      <c r="H13069" s="14">
        <f t="shared" si="2"/>
        <v>28</v>
      </c>
      <c r="I13069" s="15">
        <f t="shared" si="3"/>
        <v>13</v>
      </c>
    </row>
    <row r="13070">
      <c r="A13070" s="8" t="str">
        <f>IFERROR(__xludf.DUMMYFUNCTION("IF('(INGESTA)Datos_consumo_datadis'!A13070&lt;&gt;"""",SPLIT('(INGESTA)Datos_consumo_datadis'!A:A,"",""),"""")"),"ES0031408323131005HX0F")</f>
        <v>ES0031408323131005HX0F</v>
      </c>
      <c r="B13070" s="12">
        <f>IFERROR(__xludf.DUMMYFUNCTION("""COMPUTED_VALUE"""),45410.0)</f>
        <v>45410</v>
      </c>
      <c r="C13070" s="13">
        <f>IFERROR(__xludf.DUMMYFUNCTION("""COMPUTED_VALUE"""),0.5833333333333334)</f>
        <v>0.5833333333</v>
      </c>
      <c r="D13070" s="8">
        <f>IFERROR(__xludf.DUMMYFUNCTION("""COMPUTED_VALUE"""),0.988)</f>
        <v>0.988</v>
      </c>
      <c r="E13070" s="8" t="str">
        <f>IFERROR(__xludf.DUMMYFUNCTION("""COMPUTED_VALUE"""),"Real")</f>
        <v>Real</v>
      </c>
      <c r="G13070" s="8">
        <f t="shared" si="1"/>
        <v>4</v>
      </c>
      <c r="H13070" s="14">
        <f t="shared" si="2"/>
        <v>28</v>
      </c>
      <c r="I13070" s="15">
        <f t="shared" si="3"/>
        <v>14</v>
      </c>
    </row>
    <row r="13071">
      <c r="A13071" s="8" t="str">
        <f>IFERROR(__xludf.DUMMYFUNCTION("IF('(INGESTA)Datos_consumo_datadis'!A13071&lt;&gt;"""",SPLIT('(INGESTA)Datos_consumo_datadis'!A:A,"",""),"""")"),"ES0031408323131005HX0F")</f>
        <v>ES0031408323131005HX0F</v>
      </c>
      <c r="B13071" s="12">
        <f>IFERROR(__xludf.DUMMYFUNCTION("""COMPUTED_VALUE"""),45410.0)</f>
        <v>45410</v>
      </c>
      <c r="C13071" s="13">
        <f>IFERROR(__xludf.DUMMYFUNCTION("""COMPUTED_VALUE"""),0.625)</f>
        <v>0.625</v>
      </c>
      <c r="D13071" s="8">
        <f>IFERROR(__xludf.DUMMYFUNCTION("""COMPUTED_VALUE"""),0.18)</f>
        <v>0.18</v>
      </c>
      <c r="E13071" s="8" t="str">
        <f>IFERROR(__xludf.DUMMYFUNCTION("""COMPUTED_VALUE"""),"Real")</f>
        <v>Real</v>
      </c>
      <c r="G13071" s="8">
        <f t="shared" si="1"/>
        <v>4</v>
      </c>
      <c r="H13071" s="14">
        <f t="shared" si="2"/>
        <v>28</v>
      </c>
      <c r="I13071" s="15">
        <f t="shared" si="3"/>
        <v>15</v>
      </c>
    </row>
    <row r="13072">
      <c r="A13072" s="8" t="str">
        <f>IFERROR(__xludf.DUMMYFUNCTION("IF('(INGESTA)Datos_consumo_datadis'!A13072&lt;&gt;"""",SPLIT('(INGESTA)Datos_consumo_datadis'!A:A,"",""),"""")"),"ES0031408323131005HX0F")</f>
        <v>ES0031408323131005HX0F</v>
      </c>
      <c r="B13072" s="12">
        <f>IFERROR(__xludf.DUMMYFUNCTION("""COMPUTED_VALUE"""),45410.0)</f>
        <v>45410</v>
      </c>
      <c r="C13072" s="13">
        <f>IFERROR(__xludf.DUMMYFUNCTION("""COMPUTED_VALUE"""),0.6666666666666666)</f>
        <v>0.6666666667</v>
      </c>
      <c r="D13072" s="8">
        <f>IFERROR(__xludf.DUMMYFUNCTION("""COMPUTED_VALUE"""),0.858)</f>
        <v>0.858</v>
      </c>
      <c r="E13072" s="8" t="str">
        <f>IFERROR(__xludf.DUMMYFUNCTION("""COMPUTED_VALUE"""),"Real")</f>
        <v>Real</v>
      </c>
      <c r="G13072" s="8">
        <f t="shared" si="1"/>
        <v>4</v>
      </c>
      <c r="H13072" s="14">
        <f t="shared" si="2"/>
        <v>28</v>
      </c>
      <c r="I13072" s="15">
        <f t="shared" si="3"/>
        <v>16</v>
      </c>
    </row>
    <row r="13073">
      <c r="A13073" s="8" t="str">
        <f>IFERROR(__xludf.DUMMYFUNCTION("IF('(INGESTA)Datos_consumo_datadis'!A13073&lt;&gt;"""",SPLIT('(INGESTA)Datos_consumo_datadis'!A:A,"",""),"""")"),"ES0031408323131005HX0F")</f>
        <v>ES0031408323131005HX0F</v>
      </c>
      <c r="B13073" s="12">
        <f>IFERROR(__xludf.DUMMYFUNCTION("""COMPUTED_VALUE"""),45410.0)</f>
        <v>45410</v>
      </c>
      <c r="C13073" s="13">
        <f>IFERROR(__xludf.DUMMYFUNCTION("""COMPUTED_VALUE"""),0.7083333333333334)</f>
        <v>0.7083333333</v>
      </c>
      <c r="D13073" s="8">
        <f>IFERROR(__xludf.DUMMYFUNCTION("""COMPUTED_VALUE"""),0.762)</f>
        <v>0.762</v>
      </c>
      <c r="E13073" s="8" t="str">
        <f>IFERROR(__xludf.DUMMYFUNCTION("""COMPUTED_VALUE"""),"Real")</f>
        <v>Real</v>
      </c>
      <c r="G13073" s="8">
        <f t="shared" si="1"/>
        <v>4</v>
      </c>
      <c r="H13073" s="14">
        <f t="shared" si="2"/>
        <v>28</v>
      </c>
      <c r="I13073" s="15">
        <f t="shared" si="3"/>
        <v>17</v>
      </c>
    </row>
    <row r="13074">
      <c r="A13074" s="8" t="str">
        <f>IFERROR(__xludf.DUMMYFUNCTION("IF('(INGESTA)Datos_consumo_datadis'!A13074&lt;&gt;"""",SPLIT('(INGESTA)Datos_consumo_datadis'!A:A,"",""),"""")"),"ES0031408323131005HX0F")</f>
        <v>ES0031408323131005HX0F</v>
      </c>
      <c r="B13074" s="12">
        <f>IFERROR(__xludf.DUMMYFUNCTION("""COMPUTED_VALUE"""),45410.0)</f>
        <v>45410</v>
      </c>
      <c r="C13074" s="13">
        <f>IFERROR(__xludf.DUMMYFUNCTION("""COMPUTED_VALUE"""),0.75)</f>
        <v>0.75</v>
      </c>
      <c r="D13074" s="8">
        <f>IFERROR(__xludf.DUMMYFUNCTION("""COMPUTED_VALUE"""),0.299)</f>
        <v>0.299</v>
      </c>
      <c r="E13074" s="8" t="str">
        <f>IFERROR(__xludf.DUMMYFUNCTION("""COMPUTED_VALUE"""),"Real")</f>
        <v>Real</v>
      </c>
      <c r="G13074" s="8">
        <f t="shared" si="1"/>
        <v>4</v>
      </c>
      <c r="H13074" s="14">
        <f t="shared" si="2"/>
        <v>28</v>
      </c>
      <c r="I13074" s="15">
        <f t="shared" si="3"/>
        <v>18</v>
      </c>
    </row>
    <row r="13075">
      <c r="A13075" s="8" t="str">
        <f>IFERROR(__xludf.DUMMYFUNCTION("IF('(INGESTA)Datos_consumo_datadis'!A13075&lt;&gt;"""",SPLIT('(INGESTA)Datos_consumo_datadis'!A:A,"",""),"""")"),"ES0031408323131005HX0F")</f>
        <v>ES0031408323131005HX0F</v>
      </c>
      <c r="B13075" s="12">
        <f>IFERROR(__xludf.DUMMYFUNCTION("""COMPUTED_VALUE"""),45410.0)</f>
        <v>45410</v>
      </c>
      <c r="C13075" s="13">
        <f>IFERROR(__xludf.DUMMYFUNCTION("""COMPUTED_VALUE"""),0.7916666666666666)</f>
        <v>0.7916666667</v>
      </c>
      <c r="D13075" s="8">
        <f>IFERROR(__xludf.DUMMYFUNCTION("""COMPUTED_VALUE"""),0.165)</f>
        <v>0.165</v>
      </c>
      <c r="E13075" s="8" t="str">
        <f>IFERROR(__xludf.DUMMYFUNCTION("""COMPUTED_VALUE"""),"Real")</f>
        <v>Real</v>
      </c>
      <c r="G13075" s="8">
        <f t="shared" si="1"/>
        <v>4</v>
      </c>
      <c r="H13075" s="14">
        <f t="shared" si="2"/>
        <v>28</v>
      </c>
      <c r="I13075" s="15">
        <f t="shared" si="3"/>
        <v>19</v>
      </c>
    </row>
    <row r="13076">
      <c r="A13076" s="8" t="str">
        <f>IFERROR(__xludf.DUMMYFUNCTION("IF('(INGESTA)Datos_consumo_datadis'!A13076&lt;&gt;"""",SPLIT('(INGESTA)Datos_consumo_datadis'!A:A,"",""),"""")"),"ES0031408323131005HX0F")</f>
        <v>ES0031408323131005HX0F</v>
      </c>
      <c r="B13076" s="12">
        <f>IFERROR(__xludf.DUMMYFUNCTION("""COMPUTED_VALUE"""),45410.0)</f>
        <v>45410</v>
      </c>
      <c r="C13076" s="13">
        <f>IFERROR(__xludf.DUMMYFUNCTION("""COMPUTED_VALUE"""),0.8333333333333334)</f>
        <v>0.8333333333</v>
      </c>
      <c r="D13076" s="8">
        <f>IFERROR(__xludf.DUMMYFUNCTION("""COMPUTED_VALUE"""),1.18)</f>
        <v>1.18</v>
      </c>
      <c r="E13076" s="8" t="str">
        <f>IFERROR(__xludf.DUMMYFUNCTION("""COMPUTED_VALUE"""),"Real")</f>
        <v>Real</v>
      </c>
      <c r="G13076" s="8">
        <f t="shared" si="1"/>
        <v>4</v>
      </c>
      <c r="H13076" s="14">
        <f t="shared" si="2"/>
        <v>28</v>
      </c>
      <c r="I13076" s="15">
        <f t="shared" si="3"/>
        <v>20</v>
      </c>
    </row>
    <row r="13077">
      <c r="A13077" s="8" t="str">
        <f>IFERROR(__xludf.DUMMYFUNCTION("IF('(INGESTA)Datos_consumo_datadis'!A13077&lt;&gt;"""",SPLIT('(INGESTA)Datos_consumo_datadis'!A:A,"",""),"""")"),"ES0031408323131005HX0F")</f>
        <v>ES0031408323131005HX0F</v>
      </c>
      <c r="B13077" s="12">
        <f>IFERROR(__xludf.DUMMYFUNCTION("""COMPUTED_VALUE"""),45410.0)</f>
        <v>45410</v>
      </c>
      <c r="C13077" s="13">
        <f>IFERROR(__xludf.DUMMYFUNCTION("""COMPUTED_VALUE"""),0.875)</f>
        <v>0.875</v>
      </c>
      <c r="D13077" s="8">
        <f>IFERROR(__xludf.DUMMYFUNCTION("""COMPUTED_VALUE"""),2.03)</f>
        <v>2.03</v>
      </c>
      <c r="E13077" s="8" t="str">
        <f>IFERROR(__xludf.DUMMYFUNCTION("""COMPUTED_VALUE"""),"Real")</f>
        <v>Real</v>
      </c>
      <c r="G13077" s="8">
        <f t="shared" si="1"/>
        <v>4</v>
      </c>
      <c r="H13077" s="14">
        <f t="shared" si="2"/>
        <v>28</v>
      </c>
      <c r="I13077" s="15">
        <f t="shared" si="3"/>
        <v>21</v>
      </c>
    </row>
    <row r="13078">
      <c r="A13078" s="8" t="str">
        <f>IFERROR(__xludf.DUMMYFUNCTION("IF('(INGESTA)Datos_consumo_datadis'!A13078&lt;&gt;"""",SPLIT('(INGESTA)Datos_consumo_datadis'!A:A,"",""),"""")"),"ES0031408323131005HX0F")</f>
        <v>ES0031408323131005HX0F</v>
      </c>
      <c r="B13078" s="12">
        <f>IFERROR(__xludf.DUMMYFUNCTION("""COMPUTED_VALUE"""),45410.0)</f>
        <v>45410</v>
      </c>
      <c r="C13078" s="13">
        <f>IFERROR(__xludf.DUMMYFUNCTION("""COMPUTED_VALUE"""),0.9166666666666666)</f>
        <v>0.9166666667</v>
      </c>
      <c r="D13078" s="8">
        <f>IFERROR(__xludf.DUMMYFUNCTION("""COMPUTED_VALUE"""),1.238)</f>
        <v>1.238</v>
      </c>
      <c r="E13078" s="8" t="str">
        <f>IFERROR(__xludf.DUMMYFUNCTION("""COMPUTED_VALUE"""),"Real")</f>
        <v>Real</v>
      </c>
      <c r="G13078" s="8">
        <f t="shared" si="1"/>
        <v>4</v>
      </c>
      <c r="H13078" s="14">
        <f t="shared" si="2"/>
        <v>28</v>
      </c>
      <c r="I13078" s="15">
        <f t="shared" si="3"/>
        <v>22</v>
      </c>
    </row>
    <row r="13079">
      <c r="A13079" s="8" t="str">
        <f>IFERROR(__xludf.DUMMYFUNCTION("IF('(INGESTA)Datos_consumo_datadis'!A13079&lt;&gt;"""",SPLIT('(INGESTA)Datos_consumo_datadis'!A:A,"",""),"""")"),"ES0031408323131005HX0F")</f>
        <v>ES0031408323131005HX0F</v>
      </c>
      <c r="B13079" s="12">
        <f>IFERROR(__xludf.DUMMYFUNCTION("""COMPUTED_VALUE"""),45410.0)</f>
        <v>45410</v>
      </c>
      <c r="C13079" s="13">
        <f>IFERROR(__xludf.DUMMYFUNCTION("""COMPUTED_VALUE"""),0.9583333333333334)</f>
        <v>0.9583333333</v>
      </c>
      <c r="D13079" s="8">
        <f>IFERROR(__xludf.DUMMYFUNCTION("""COMPUTED_VALUE"""),0.08)</f>
        <v>0.08</v>
      </c>
      <c r="E13079" s="8" t="str">
        <f>IFERROR(__xludf.DUMMYFUNCTION("""COMPUTED_VALUE"""),"Real")</f>
        <v>Real</v>
      </c>
      <c r="G13079" s="8">
        <f t="shared" si="1"/>
        <v>4</v>
      </c>
      <c r="H13079" s="14">
        <f t="shared" si="2"/>
        <v>28</v>
      </c>
      <c r="I13079" s="15">
        <f t="shared" si="3"/>
        <v>23</v>
      </c>
    </row>
    <row r="13080">
      <c r="A13080" s="8" t="str">
        <f>IFERROR(__xludf.DUMMYFUNCTION("IF('(INGESTA)Datos_consumo_datadis'!A13080&lt;&gt;"""",SPLIT('(INGESTA)Datos_consumo_datadis'!A:A,"",""),"""")"),"ES0031408323131005HX0F")</f>
        <v>ES0031408323131005HX0F</v>
      </c>
      <c r="B13080" s="12">
        <f>IFERROR(__xludf.DUMMYFUNCTION("""COMPUTED_VALUE"""),45410.0)</f>
        <v>45410</v>
      </c>
      <c r="C13080" s="16">
        <f>IFERROR(__xludf.DUMMYFUNCTION("""COMPUTED_VALUE"""),1.0)</f>
        <v>1</v>
      </c>
      <c r="D13080" s="8">
        <f>IFERROR(__xludf.DUMMYFUNCTION("""COMPUTED_VALUE"""),0.077)</f>
        <v>0.077</v>
      </c>
      <c r="E13080" s="8" t="str">
        <f>IFERROR(__xludf.DUMMYFUNCTION("""COMPUTED_VALUE"""),"Real")</f>
        <v>Real</v>
      </c>
      <c r="G13080" s="8">
        <f t="shared" si="1"/>
        <v>4</v>
      </c>
      <c r="H13080" s="14">
        <f t="shared" si="2"/>
        <v>28</v>
      </c>
      <c r="I13080" s="15">
        <f t="shared" si="3"/>
        <v>0</v>
      </c>
    </row>
    <row r="13081">
      <c r="A13081" s="8" t="str">
        <f>IFERROR(__xludf.DUMMYFUNCTION("IF('(INGESTA)Datos_consumo_datadis'!A13081&lt;&gt;"""",SPLIT('(INGESTA)Datos_consumo_datadis'!A:A,"",""),"""")"),"ES0031408323131005HX0F")</f>
        <v>ES0031408323131005HX0F</v>
      </c>
      <c r="B13081" s="12">
        <f>IFERROR(__xludf.DUMMYFUNCTION("""COMPUTED_VALUE"""),45411.0)</f>
        <v>45411</v>
      </c>
      <c r="C13081" s="13">
        <f>IFERROR(__xludf.DUMMYFUNCTION("""COMPUTED_VALUE"""),0.041666666666666664)</f>
        <v>0.04166666667</v>
      </c>
      <c r="D13081" s="8">
        <f>IFERROR(__xludf.DUMMYFUNCTION("""COMPUTED_VALUE"""),0.045)</f>
        <v>0.045</v>
      </c>
      <c r="E13081" s="8" t="str">
        <f>IFERROR(__xludf.DUMMYFUNCTION("""COMPUTED_VALUE"""),"Real")</f>
        <v>Real</v>
      </c>
      <c r="G13081" s="8">
        <f t="shared" si="1"/>
        <v>4</v>
      </c>
      <c r="H13081" s="14">
        <f t="shared" si="2"/>
        <v>29</v>
      </c>
      <c r="I13081" s="15">
        <f t="shared" si="3"/>
        <v>1</v>
      </c>
    </row>
    <row r="13082">
      <c r="A13082" s="8" t="str">
        <f>IFERROR(__xludf.DUMMYFUNCTION("IF('(INGESTA)Datos_consumo_datadis'!A13082&lt;&gt;"""",SPLIT('(INGESTA)Datos_consumo_datadis'!A:A,"",""),"""")"),"ES0031408323131005HX0F")</f>
        <v>ES0031408323131005HX0F</v>
      </c>
      <c r="B13082" s="12">
        <f>IFERROR(__xludf.DUMMYFUNCTION("""COMPUTED_VALUE"""),45411.0)</f>
        <v>45411</v>
      </c>
      <c r="C13082" s="13">
        <f>IFERROR(__xludf.DUMMYFUNCTION("""COMPUTED_VALUE"""),0.08333333333333333)</f>
        <v>0.08333333333</v>
      </c>
      <c r="D13082" s="8">
        <f>IFERROR(__xludf.DUMMYFUNCTION("""COMPUTED_VALUE"""),0.07)</f>
        <v>0.07</v>
      </c>
      <c r="E13082" s="8" t="str">
        <f>IFERROR(__xludf.DUMMYFUNCTION("""COMPUTED_VALUE"""),"Real")</f>
        <v>Real</v>
      </c>
      <c r="G13082" s="8">
        <f t="shared" si="1"/>
        <v>4</v>
      </c>
      <c r="H13082" s="14">
        <f t="shared" si="2"/>
        <v>29</v>
      </c>
      <c r="I13082" s="15">
        <f t="shared" si="3"/>
        <v>2</v>
      </c>
    </row>
    <row r="13083">
      <c r="A13083" s="8" t="str">
        <f>IFERROR(__xludf.DUMMYFUNCTION("IF('(INGESTA)Datos_consumo_datadis'!A13083&lt;&gt;"""",SPLIT('(INGESTA)Datos_consumo_datadis'!A:A,"",""),"""")"),"ES0031408323131005HX0F")</f>
        <v>ES0031408323131005HX0F</v>
      </c>
      <c r="B13083" s="12">
        <f>IFERROR(__xludf.DUMMYFUNCTION("""COMPUTED_VALUE"""),45411.0)</f>
        <v>45411</v>
      </c>
      <c r="C13083" s="13">
        <f>IFERROR(__xludf.DUMMYFUNCTION("""COMPUTED_VALUE"""),0.125)</f>
        <v>0.125</v>
      </c>
      <c r="D13083" s="8">
        <f>IFERROR(__xludf.DUMMYFUNCTION("""COMPUTED_VALUE"""),0.328)</f>
        <v>0.328</v>
      </c>
      <c r="E13083" s="8" t="str">
        <f>IFERROR(__xludf.DUMMYFUNCTION("""COMPUTED_VALUE"""),"Real")</f>
        <v>Real</v>
      </c>
      <c r="G13083" s="8">
        <f t="shared" si="1"/>
        <v>4</v>
      </c>
      <c r="H13083" s="14">
        <f t="shared" si="2"/>
        <v>29</v>
      </c>
      <c r="I13083" s="15">
        <f t="shared" si="3"/>
        <v>3</v>
      </c>
    </row>
    <row r="13084">
      <c r="A13084" s="8" t="str">
        <f>IFERROR(__xludf.DUMMYFUNCTION("IF('(INGESTA)Datos_consumo_datadis'!A13084&lt;&gt;"""",SPLIT('(INGESTA)Datos_consumo_datadis'!A:A,"",""),"""")"),"ES0031408323131005HX0F")</f>
        <v>ES0031408323131005HX0F</v>
      </c>
      <c r="B13084" s="12">
        <f>IFERROR(__xludf.DUMMYFUNCTION("""COMPUTED_VALUE"""),45411.0)</f>
        <v>45411</v>
      </c>
      <c r="C13084" s="13">
        <f>IFERROR(__xludf.DUMMYFUNCTION("""COMPUTED_VALUE"""),0.16666666666666666)</f>
        <v>0.1666666667</v>
      </c>
      <c r="D13084" s="8">
        <f>IFERROR(__xludf.DUMMYFUNCTION("""COMPUTED_VALUE"""),0.095)</f>
        <v>0.095</v>
      </c>
      <c r="E13084" s="8" t="str">
        <f>IFERROR(__xludf.DUMMYFUNCTION("""COMPUTED_VALUE"""),"Real")</f>
        <v>Real</v>
      </c>
      <c r="G13084" s="8">
        <f t="shared" si="1"/>
        <v>4</v>
      </c>
      <c r="H13084" s="14">
        <f t="shared" si="2"/>
        <v>29</v>
      </c>
      <c r="I13084" s="15">
        <f t="shared" si="3"/>
        <v>4</v>
      </c>
    </row>
    <row r="13085">
      <c r="A13085" s="8" t="str">
        <f>IFERROR(__xludf.DUMMYFUNCTION("IF('(INGESTA)Datos_consumo_datadis'!A13085&lt;&gt;"""",SPLIT('(INGESTA)Datos_consumo_datadis'!A:A,"",""),"""")"),"ES0031408323131005HX0F")</f>
        <v>ES0031408323131005HX0F</v>
      </c>
      <c r="B13085" s="12">
        <f>IFERROR(__xludf.DUMMYFUNCTION("""COMPUTED_VALUE"""),45411.0)</f>
        <v>45411</v>
      </c>
      <c r="C13085" s="13">
        <f>IFERROR(__xludf.DUMMYFUNCTION("""COMPUTED_VALUE"""),0.20833333333333334)</f>
        <v>0.2083333333</v>
      </c>
      <c r="D13085" s="8">
        <f>IFERROR(__xludf.DUMMYFUNCTION("""COMPUTED_VALUE"""),0.046)</f>
        <v>0.046</v>
      </c>
      <c r="E13085" s="8" t="str">
        <f>IFERROR(__xludf.DUMMYFUNCTION("""COMPUTED_VALUE"""),"Real")</f>
        <v>Real</v>
      </c>
      <c r="G13085" s="8">
        <f t="shared" si="1"/>
        <v>4</v>
      </c>
      <c r="H13085" s="14">
        <f t="shared" si="2"/>
        <v>29</v>
      </c>
      <c r="I13085" s="15">
        <f t="shared" si="3"/>
        <v>5</v>
      </c>
    </row>
    <row r="13086">
      <c r="A13086" s="8" t="str">
        <f>IFERROR(__xludf.DUMMYFUNCTION("IF('(INGESTA)Datos_consumo_datadis'!A13086&lt;&gt;"""",SPLIT('(INGESTA)Datos_consumo_datadis'!A:A,"",""),"""")"),"ES0031408323131005HX0F")</f>
        <v>ES0031408323131005HX0F</v>
      </c>
      <c r="B13086" s="12">
        <f>IFERROR(__xludf.DUMMYFUNCTION("""COMPUTED_VALUE"""),45411.0)</f>
        <v>45411</v>
      </c>
      <c r="C13086" s="13">
        <f>IFERROR(__xludf.DUMMYFUNCTION("""COMPUTED_VALUE"""),0.25)</f>
        <v>0.25</v>
      </c>
      <c r="D13086" s="8">
        <f>IFERROR(__xludf.DUMMYFUNCTION("""COMPUTED_VALUE"""),0.07)</f>
        <v>0.07</v>
      </c>
      <c r="E13086" s="8" t="str">
        <f>IFERROR(__xludf.DUMMYFUNCTION("""COMPUTED_VALUE"""),"Real")</f>
        <v>Real</v>
      </c>
      <c r="G13086" s="8">
        <f t="shared" si="1"/>
        <v>4</v>
      </c>
      <c r="H13086" s="14">
        <f t="shared" si="2"/>
        <v>29</v>
      </c>
      <c r="I13086" s="15">
        <f t="shared" si="3"/>
        <v>6</v>
      </c>
    </row>
    <row r="13087">
      <c r="A13087" s="8" t="str">
        <f>IFERROR(__xludf.DUMMYFUNCTION("IF('(INGESTA)Datos_consumo_datadis'!A13087&lt;&gt;"""",SPLIT('(INGESTA)Datos_consumo_datadis'!A:A,"",""),"""")"),"ES0031408323131005HX0F")</f>
        <v>ES0031408323131005HX0F</v>
      </c>
      <c r="B13087" s="12">
        <f>IFERROR(__xludf.DUMMYFUNCTION("""COMPUTED_VALUE"""),45411.0)</f>
        <v>45411</v>
      </c>
      <c r="C13087" s="13">
        <f>IFERROR(__xludf.DUMMYFUNCTION("""COMPUTED_VALUE"""),0.2916666666666667)</f>
        <v>0.2916666667</v>
      </c>
      <c r="D13087" s="8">
        <f>IFERROR(__xludf.DUMMYFUNCTION("""COMPUTED_VALUE"""),0.052)</f>
        <v>0.052</v>
      </c>
      <c r="E13087" s="8" t="str">
        <f>IFERROR(__xludf.DUMMYFUNCTION("""COMPUTED_VALUE"""),"Real")</f>
        <v>Real</v>
      </c>
      <c r="G13087" s="8">
        <f t="shared" si="1"/>
        <v>4</v>
      </c>
      <c r="H13087" s="14">
        <f t="shared" si="2"/>
        <v>29</v>
      </c>
      <c r="I13087" s="15">
        <f t="shared" si="3"/>
        <v>7</v>
      </c>
    </row>
    <row r="13088">
      <c r="A13088" s="8" t="str">
        <f>IFERROR(__xludf.DUMMYFUNCTION("IF('(INGESTA)Datos_consumo_datadis'!A13088&lt;&gt;"""",SPLIT('(INGESTA)Datos_consumo_datadis'!A:A,"",""),"""")"),"ES0031408323131005HX0F")</f>
        <v>ES0031408323131005HX0F</v>
      </c>
      <c r="B13088" s="12">
        <f>IFERROR(__xludf.DUMMYFUNCTION("""COMPUTED_VALUE"""),45411.0)</f>
        <v>45411</v>
      </c>
      <c r="C13088" s="13">
        <f>IFERROR(__xludf.DUMMYFUNCTION("""COMPUTED_VALUE"""),0.3333333333333333)</f>
        <v>0.3333333333</v>
      </c>
      <c r="D13088" s="8">
        <f>IFERROR(__xludf.DUMMYFUNCTION("""COMPUTED_VALUE"""),0.801)</f>
        <v>0.801</v>
      </c>
      <c r="E13088" s="8" t="str">
        <f>IFERROR(__xludf.DUMMYFUNCTION("""COMPUTED_VALUE"""),"Real")</f>
        <v>Real</v>
      </c>
      <c r="G13088" s="8">
        <f t="shared" si="1"/>
        <v>4</v>
      </c>
      <c r="H13088" s="14">
        <f t="shared" si="2"/>
        <v>29</v>
      </c>
      <c r="I13088" s="15">
        <f t="shared" si="3"/>
        <v>8</v>
      </c>
    </row>
    <row r="13089">
      <c r="A13089" s="8" t="str">
        <f>IFERROR(__xludf.DUMMYFUNCTION("IF('(INGESTA)Datos_consumo_datadis'!A13089&lt;&gt;"""",SPLIT('(INGESTA)Datos_consumo_datadis'!A:A,"",""),"""")"),"ES0031408323131005HX0F")</f>
        <v>ES0031408323131005HX0F</v>
      </c>
      <c r="B13089" s="12">
        <f>IFERROR(__xludf.DUMMYFUNCTION("""COMPUTED_VALUE"""),45411.0)</f>
        <v>45411</v>
      </c>
      <c r="C13089" s="13">
        <f>IFERROR(__xludf.DUMMYFUNCTION("""COMPUTED_VALUE"""),0.375)</f>
        <v>0.375</v>
      </c>
      <c r="D13089" s="8">
        <f>IFERROR(__xludf.DUMMYFUNCTION("""COMPUTED_VALUE"""),1.174)</f>
        <v>1.174</v>
      </c>
      <c r="E13089" s="8" t="str">
        <f>IFERROR(__xludf.DUMMYFUNCTION("""COMPUTED_VALUE"""),"Real")</f>
        <v>Real</v>
      </c>
      <c r="G13089" s="8">
        <f t="shared" si="1"/>
        <v>4</v>
      </c>
      <c r="H13089" s="14">
        <f t="shared" si="2"/>
        <v>29</v>
      </c>
      <c r="I13089" s="15">
        <f t="shared" si="3"/>
        <v>9</v>
      </c>
    </row>
    <row r="13090">
      <c r="A13090" s="8" t="str">
        <f>IFERROR(__xludf.DUMMYFUNCTION("IF('(INGESTA)Datos_consumo_datadis'!A13090&lt;&gt;"""",SPLIT('(INGESTA)Datos_consumo_datadis'!A:A,"",""),"""")"),"ES0031408323131005HX0F")</f>
        <v>ES0031408323131005HX0F</v>
      </c>
      <c r="B13090" s="12">
        <f>IFERROR(__xludf.DUMMYFUNCTION("""COMPUTED_VALUE"""),45411.0)</f>
        <v>45411</v>
      </c>
      <c r="C13090" s="13">
        <f>IFERROR(__xludf.DUMMYFUNCTION("""COMPUTED_VALUE"""),0.4166666666666667)</f>
        <v>0.4166666667</v>
      </c>
      <c r="D13090" s="8">
        <f>IFERROR(__xludf.DUMMYFUNCTION("""COMPUTED_VALUE"""),0.172)</f>
        <v>0.172</v>
      </c>
      <c r="E13090" s="8" t="str">
        <f>IFERROR(__xludf.DUMMYFUNCTION("""COMPUTED_VALUE"""),"Real")</f>
        <v>Real</v>
      </c>
      <c r="G13090" s="8">
        <f t="shared" si="1"/>
        <v>4</v>
      </c>
      <c r="H13090" s="14">
        <f t="shared" si="2"/>
        <v>29</v>
      </c>
      <c r="I13090" s="15">
        <f t="shared" si="3"/>
        <v>10</v>
      </c>
    </row>
    <row r="13091">
      <c r="A13091" s="8" t="str">
        <f>IFERROR(__xludf.DUMMYFUNCTION("IF('(INGESTA)Datos_consumo_datadis'!A13091&lt;&gt;"""",SPLIT('(INGESTA)Datos_consumo_datadis'!A:A,"",""),"""")"),"ES0031408323131005HX0F")</f>
        <v>ES0031408323131005HX0F</v>
      </c>
      <c r="B13091" s="12">
        <f>IFERROR(__xludf.DUMMYFUNCTION("""COMPUTED_VALUE"""),45411.0)</f>
        <v>45411</v>
      </c>
      <c r="C13091" s="13">
        <f>IFERROR(__xludf.DUMMYFUNCTION("""COMPUTED_VALUE"""),0.4583333333333333)</f>
        <v>0.4583333333</v>
      </c>
      <c r="D13091" s="8">
        <f>IFERROR(__xludf.DUMMYFUNCTION("""COMPUTED_VALUE"""),0.148)</f>
        <v>0.148</v>
      </c>
      <c r="E13091" s="8" t="str">
        <f>IFERROR(__xludf.DUMMYFUNCTION("""COMPUTED_VALUE"""),"Real")</f>
        <v>Real</v>
      </c>
      <c r="G13091" s="8">
        <f t="shared" si="1"/>
        <v>4</v>
      </c>
      <c r="H13091" s="14">
        <f t="shared" si="2"/>
        <v>29</v>
      </c>
      <c r="I13091" s="15">
        <f t="shared" si="3"/>
        <v>11</v>
      </c>
    </row>
    <row r="13092">
      <c r="A13092" s="8" t="str">
        <f>IFERROR(__xludf.DUMMYFUNCTION("IF('(INGESTA)Datos_consumo_datadis'!A13092&lt;&gt;"""",SPLIT('(INGESTA)Datos_consumo_datadis'!A:A,"",""),"""")"),"ES0031408323131005HX0F")</f>
        <v>ES0031408323131005HX0F</v>
      </c>
      <c r="B13092" s="12">
        <f>IFERROR(__xludf.DUMMYFUNCTION("""COMPUTED_VALUE"""),45411.0)</f>
        <v>45411</v>
      </c>
      <c r="C13092" s="13">
        <f>IFERROR(__xludf.DUMMYFUNCTION("""COMPUTED_VALUE"""),0.5)</f>
        <v>0.5</v>
      </c>
      <c r="D13092" s="8">
        <f>IFERROR(__xludf.DUMMYFUNCTION("""COMPUTED_VALUE"""),0.372)</f>
        <v>0.372</v>
      </c>
      <c r="E13092" s="8" t="str">
        <f>IFERROR(__xludf.DUMMYFUNCTION("""COMPUTED_VALUE"""),"Real")</f>
        <v>Real</v>
      </c>
      <c r="G13092" s="8">
        <f t="shared" si="1"/>
        <v>4</v>
      </c>
      <c r="H13092" s="14">
        <f t="shared" si="2"/>
        <v>29</v>
      </c>
      <c r="I13092" s="15">
        <f t="shared" si="3"/>
        <v>12</v>
      </c>
    </row>
    <row r="13093">
      <c r="A13093" s="8" t="str">
        <f>IFERROR(__xludf.DUMMYFUNCTION("IF('(INGESTA)Datos_consumo_datadis'!A13093&lt;&gt;"""",SPLIT('(INGESTA)Datos_consumo_datadis'!A:A,"",""),"""")"),"ES0031408323131005HX0F")</f>
        <v>ES0031408323131005HX0F</v>
      </c>
      <c r="B13093" s="12">
        <f>IFERROR(__xludf.DUMMYFUNCTION("""COMPUTED_VALUE"""),45411.0)</f>
        <v>45411</v>
      </c>
      <c r="C13093" s="13">
        <f>IFERROR(__xludf.DUMMYFUNCTION("""COMPUTED_VALUE"""),0.5416666666666666)</f>
        <v>0.5416666667</v>
      </c>
      <c r="D13093" s="8">
        <f>IFERROR(__xludf.DUMMYFUNCTION("""COMPUTED_VALUE"""),0.395)</f>
        <v>0.395</v>
      </c>
      <c r="E13093" s="8" t="str">
        <f>IFERROR(__xludf.DUMMYFUNCTION("""COMPUTED_VALUE"""),"Real")</f>
        <v>Real</v>
      </c>
      <c r="G13093" s="8">
        <f t="shared" si="1"/>
        <v>4</v>
      </c>
      <c r="H13093" s="14">
        <f t="shared" si="2"/>
        <v>29</v>
      </c>
      <c r="I13093" s="15">
        <f t="shared" si="3"/>
        <v>13</v>
      </c>
    </row>
    <row r="13094">
      <c r="A13094" s="8" t="str">
        <f>IFERROR(__xludf.DUMMYFUNCTION("IF('(INGESTA)Datos_consumo_datadis'!A13094&lt;&gt;"""",SPLIT('(INGESTA)Datos_consumo_datadis'!A:A,"",""),"""")"),"ES0031408323131005HX0F")</f>
        <v>ES0031408323131005HX0F</v>
      </c>
      <c r="B13094" s="12">
        <f>IFERROR(__xludf.DUMMYFUNCTION("""COMPUTED_VALUE"""),45411.0)</f>
        <v>45411</v>
      </c>
      <c r="C13094" s="13">
        <f>IFERROR(__xludf.DUMMYFUNCTION("""COMPUTED_VALUE"""),0.5833333333333334)</f>
        <v>0.5833333333</v>
      </c>
      <c r="D13094" s="8">
        <f>IFERROR(__xludf.DUMMYFUNCTION("""COMPUTED_VALUE"""),0.465)</f>
        <v>0.465</v>
      </c>
      <c r="E13094" s="8" t="str">
        <f>IFERROR(__xludf.DUMMYFUNCTION("""COMPUTED_VALUE"""),"Real")</f>
        <v>Real</v>
      </c>
      <c r="G13094" s="8">
        <f t="shared" si="1"/>
        <v>4</v>
      </c>
      <c r="H13094" s="14">
        <f t="shared" si="2"/>
        <v>29</v>
      </c>
      <c r="I13094" s="15">
        <f t="shared" si="3"/>
        <v>14</v>
      </c>
    </row>
    <row r="13095">
      <c r="A13095" s="8" t="str">
        <f>IFERROR(__xludf.DUMMYFUNCTION("IF('(INGESTA)Datos_consumo_datadis'!A13095&lt;&gt;"""",SPLIT('(INGESTA)Datos_consumo_datadis'!A:A,"",""),"""")"),"ES0031408323131005HX0F")</f>
        <v>ES0031408323131005HX0F</v>
      </c>
      <c r="B13095" s="12">
        <f>IFERROR(__xludf.DUMMYFUNCTION("""COMPUTED_VALUE"""),45411.0)</f>
        <v>45411</v>
      </c>
      <c r="C13095" s="13">
        <f>IFERROR(__xludf.DUMMYFUNCTION("""COMPUTED_VALUE"""),0.625)</f>
        <v>0.625</v>
      </c>
      <c r="D13095" s="8">
        <f>IFERROR(__xludf.DUMMYFUNCTION("""COMPUTED_VALUE"""),0.264)</f>
        <v>0.264</v>
      </c>
      <c r="E13095" s="8" t="str">
        <f>IFERROR(__xludf.DUMMYFUNCTION("""COMPUTED_VALUE"""),"Real")</f>
        <v>Real</v>
      </c>
      <c r="G13095" s="8">
        <f t="shared" si="1"/>
        <v>4</v>
      </c>
      <c r="H13095" s="14">
        <f t="shared" si="2"/>
        <v>29</v>
      </c>
      <c r="I13095" s="15">
        <f t="shared" si="3"/>
        <v>15</v>
      </c>
    </row>
    <row r="13096">
      <c r="A13096" s="8" t="str">
        <f>IFERROR(__xludf.DUMMYFUNCTION("IF('(INGESTA)Datos_consumo_datadis'!A13096&lt;&gt;"""",SPLIT('(INGESTA)Datos_consumo_datadis'!A:A,"",""),"""")"),"ES0031408323131005HX0F")</f>
        <v>ES0031408323131005HX0F</v>
      </c>
      <c r="B13096" s="12">
        <f>IFERROR(__xludf.DUMMYFUNCTION("""COMPUTED_VALUE"""),45411.0)</f>
        <v>45411</v>
      </c>
      <c r="C13096" s="13">
        <f>IFERROR(__xludf.DUMMYFUNCTION("""COMPUTED_VALUE"""),0.6666666666666666)</f>
        <v>0.6666666667</v>
      </c>
      <c r="D13096" s="8">
        <f>IFERROR(__xludf.DUMMYFUNCTION("""COMPUTED_VALUE"""),0.525)</f>
        <v>0.525</v>
      </c>
      <c r="E13096" s="8" t="str">
        <f>IFERROR(__xludf.DUMMYFUNCTION("""COMPUTED_VALUE"""),"Real")</f>
        <v>Real</v>
      </c>
      <c r="G13096" s="8">
        <f t="shared" si="1"/>
        <v>4</v>
      </c>
      <c r="H13096" s="14">
        <f t="shared" si="2"/>
        <v>29</v>
      </c>
      <c r="I13096" s="15">
        <f t="shared" si="3"/>
        <v>16</v>
      </c>
    </row>
    <row r="13097">
      <c r="A13097" s="8" t="str">
        <f>IFERROR(__xludf.DUMMYFUNCTION("IF('(INGESTA)Datos_consumo_datadis'!A13097&lt;&gt;"""",SPLIT('(INGESTA)Datos_consumo_datadis'!A:A,"",""),"""")"),"ES0031408323131005HX0F")</f>
        <v>ES0031408323131005HX0F</v>
      </c>
      <c r="B13097" s="12">
        <f>IFERROR(__xludf.DUMMYFUNCTION("""COMPUTED_VALUE"""),45411.0)</f>
        <v>45411</v>
      </c>
      <c r="C13097" s="13">
        <f>IFERROR(__xludf.DUMMYFUNCTION("""COMPUTED_VALUE"""),0.7083333333333334)</f>
        <v>0.7083333333</v>
      </c>
      <c r="D13097" s="8">
        <f>IFERROR(__xludf.DUMMYFUNCTION("""COMPUTED_VALUE"""),0.325)</f>
        <v>0.325</v>
      </c>
      <c r="E13097" s="8" t="str">
        <f>IFERROR(__xludf.DUMMYFUNCTION("""COMPUTED_VALUE"""),"Real")</f>
        <v>Real</v>
      </c>
      <c r="G13097" s="8">
        <f t="shared" si="1"/>
        <v>4</v>
      </c>
      <c r="H13097" s="14">
        <f t="shared" si="2"/>
        <v>29</v>
      </c>
      <c r="I13097" s="15">
        <f t="shared" si="3"/>
        <v>17</v>
      </c>
    </row>
    <row r="13098">
      <c r="A13098" s="8" t="str">
        <f>IFERROR(__xludf.DUMMYFUNCTION("IF('(INGESTA)Datos_consumo_datadis'!A13098&lt;&gt;"""",SPLIT('(INGESTA)Datos_consumo_datadis'!A:A,"",""),"""")"),"ES0031408323131005HX0F")</f>
        <v>ES0031408323131005HX0F</v>
      </c>
      <c r="B13098" s="12">
        <f>IFERROR(__xludf.DUMMYFUNCTION("""COMPUTED_VALUE"""),45411.0)</f>
        <v>45411</v>
      </c>
      <c r="C13098" s="13">
        <f>IFERROR(__xludf.DUMMYFUNCTION("""COMPUTED_VALUE"""),0.75)</f>
        <v>0.75</v>
      </c>
      <c r="D13098" s="8">
        <f>IFERROR(__xludf.DUMMYFUNCTION("""COMPUTED_VALUE"""),0.044)</f>
        <v>0.044</v>
      </c>
      <c r="E13098" s="8" t="str">
        <f>IFERROR(__xludf.DUMMYFUNCTION("""COMPUTED_VALUE"""),"Real")</f>
        <v>Real</v>
      </c>
      <c r="G13098" s="8">
        <f t="shared" si="1"/>
        <v>4</v>
      </c>
      <c r="H13098" s="14">
        <f t="shared" si="2"/>
        <v>29</v>
      </c>
      <c r="I13098" s="15">
        <f t="shared" si="3"/>
        <v>18</v>
      </c>
    </row>
    <row r="13099">
      <c r="A13099" s="8" t="str">
        <f>IFERROR(__xludf.DUMMYFUNCTION("IF('(INGESTA)Datos_consumo_datadis'!A13099&lt;&gt;"""",SPLIT('(INGESTA)Datos_consumo_datadis'!A:A,"",""),"""")"),"ES0031408323131005HX0F")</f>
        <v>ES0031408323131005HX0F</v>
      </c>
      <c r="B13099" s="12">
        <f>IFERROR(__xludf.DUMMYFUNCTION("""COMPUTED_VALUE"""),45411.0)</f>
        <v>45411</v>
      </c>
      <c r="C13099" s="13">
        <f>IFERROR(__xludf.DUMMYFUNCTION("""COMPUTED_VALUE"""),0.7916666666666666)</f>
        <v>0.7916666667</v>
      </c>
      <c r="D13099" s="8">
        <f>IFERROR(__xludf.DUMMYFUNCTION("""COMPUTED_VALUE"""),0.076)</f>
        <v>0.076</v>
      </c>
      <c r="E13099" s="8" t="str">
        <f>IFERROR(__xludf.DUMMYFUNCTION("""COMPUTED_VALUE"""),"Real")</f>
        <v>Real</v>
      </c>
      <c r="G13099" s="8">
        <f t="shared" si="1"/>
        <v>4</v>
      </c>
      <c r="H13099" s="14">
        <f t="shared" si="2"/>
        <v>29</v>
      </c>
      <c r="I13099" s="15">
        <f t="shared" si="3"/>
        <v>19</v>
      </c>
    </row>
    <row r="13100">
      <c r="A13100" s="8" t="str">
        <f>IFERROR(__xludf.DUMMYFUNCTION("IF('(INGESTA)Datos_consumo_datadis'!A13100&lt;&gt;"""",SPLIT('(INGESTA)Datos_consumo_datadis'!A:A,"",""),"""")"),"ES0031408323131005HX0F")</f>
        <v>ES0031408323131005HX0F</v>
      </c>
      <c r="B13100" s="12">
        <f>IFERROR(__xludf.DUMMYFUNCTION("""COMPUTED_VALUE"""),45411.0)</f>
        <v>45411</v>
      </c>
      <c r="C13100" s="13">
        <f>IFERROR(__xludf.DUMMYFUNCTION("""COMPUTED_VALUE"""),0.8333333333333334)</f>
        <v>0.8333333333</v>
      </c>
      <c r="D13100" s="8">
        <f>IFERROR(__xludf.DUMMYFUNCTION("""COMPUTED_VALUE"""),0.038)</f>
        <v>0.038</v>
      </c>
      <c r="E13100" s="8" t="str">
        <f>IFERROR(__xludf.DUMMYFUNCTION("""COMPUTED_VALUE"""),"Real")</f>
        <v>Real</v>
      </c>
      <c r="G13100" s="8">
        <f t="shared" si="1"/>
        <v>4</v>
      </c>
      <c r="H13100" s="14">
        <f t="shared" si="2"/>
        <v>29</v>
      </c>
      <c r="I13100" s="15">
        <f t="shared" si="3"/>
        <v>20</v>
      </c>
    </row>
    <row r="13101">
      <c r="A13101" s="8" t="str">
        <f>IFERROR(__xludf.DUMMYFUNCTION("IF('(INGESTA)Datos_consumo_datadis'!A13101&lt;&gt;"""",SPLIT('(INGESTA)Datos_consumo_datadis'!A:A,"",""),"""")"),"ES0031408323131005HX0F")</f>
        <v>ES0031408323131005HX0F</v>
      </c>
      <c r="B13101" s="12">
        <f>IFERROR(__xludf.DUMMYFUNCTION("""COMPUTED_VALUE"""),45411.0)</f>
        <v>45411</v>
      </c>
      <c r="C13101" s="13">
        <f>IFERROR(__xludf.DUMMYFUNCTION("""COMPUTED_VALUE"""),0.875)</f>
        <v>0.875</v>
      </c>
      <c r="D13101" s="8">
        <f>IFERROR(__xludf.DUMMYFUNCTION("""COMPUTED_VALUE"""),0.076)</f>
        <v>0.076</v>
      </c>
      <c r="E13101" s="8" t="str">
        <f>IFERROR(__xludf.DUMMYFUNCTION("""COMPUTED_VALUE"""),"Real")</f>
        <v>Real</v>
      </c>
      <c r="G13101" s="8">
        <f t="shared" si="1"/>
        <v>4</v>
      </c>
      <c r="H13101" s="14">
        <f t="shared" si="2"/>
        <v>29</v>
      </c>
      <c r="I13101" s="15">
        <f t="shared" si="3"/>
        <v>21</v>
      </c>
    </row>
    <row r="13102">
      <c r="A13102" s="8" t="str">
        <f>IFERROR(__xludf.DUMMYFUNCTION("IF('(INGESTA)Datos_consumo_datadis'!A13102&lt;&gt;"""",SPLIT('(INGESTA)Datos_consumo_datadis'!A:A,"",""),"""")"),"ES0031408323131005HX0F")</f>
        <v>ES0031408323131005HX0F</v>
      </c>
      <c r="B13102" s="12">
        <f>IFERROR(__xludf.DUMMYFUNCTION("""COMPUTED_VALUE"""),45411.0)</f>
        <v>45411</v>
      </c>
      <c r="C13102" s="13">
        <f>IFERROR(__xludf.DUMMYFUNCTION("""COMPUTED_VALUE"""),0.9166666666666666)</f>
        <v>0.9166666667</v>
      </c>
      <c r="D13102" s="8">
        <f>IFERROR(__xludf.DUMMYFUNCTION("""COMPUTED_VALUE"""),0.04)</f>
        <v>0.04</v>
      </c>
      <c r="E13102" s="8" t="str">
        <f>IFERROR(__xludf.DUMMYFUNCTION("""COMPUTED_VALUE"""),"Real")</f>
        <v>Real</v>
      </c>
      <c r="G13102" s="8">
        <f t="shared" si="1"/>
        <v>4</v>
      </c>
      <c r="H13102" s="14">
        <f t="shared" si="2"/>
        <v>29</v>
      </c>
      <c r="I13102" s="15">
        <f t="shared" si="3"/>
        <v>22</v>
      </c>
    </row>
    <row r="13103">
      <c r="A13103" s="8" t="str">
        <f>IFERROR(__xludf.DUMMYFUNCTION("IF('(INGESTA)Datos_consumo_datadis'!A13103&lt;&gt;"""",SPLIT('(INGESTA)Datos_consumo_datadis'!A:A,"",""),"""")"),"ES0031408323131005HX0F")</f>
        <v>ES0031408323131005HX0F</v>
      </c>
      <c r="B13103" s="12">
        <f>IFERROR(__xludf.DUMMYFUNCTION("""COMPUTED_VALUE"""),45411.0)</f>
        <v>45411</v>
      </c>
      <c r="C13103" s="13">
        <f>IFERROR(__xludf.DUMMYFUNCTION("""COMPUTED_VALUE"""),0.9583333333333334)</f>
        <v>0.9583333333</v>
      </c>
      <c r="D13103" s="8">
        <f>IFERROR(__xludf.DUMMYFUNCTION("""COMPUTED_VALUE"""),1.368)</f>
        <v>1.368</v>
      </c>
      <c r="E13103" s="8" t="str">
        <f>IFERROR(__xludf.DUMMYFUNCTION("""COMPUTED_VALUE"""),"Real")</f>
        <v>Real</v>
      </c>
      <c r="G13103" s="8">
        <f t="shared" si="1"/>
        <v>4</v>
      </c>
      <c r="H13103" s="14">
        <f t="shared" si="2"/>
        <v>29</v>
      </c>
      <c r="I13103" s="15">
        <f t="shared" si="3"/>
        <v>23</v>
      </c>
    </row>
    <row r="13104">
      <c r="A13104" s="8" t="str">
        <f>IFERROR(__xludf.DUMMYFUNCTION("IF('(INGESTA)Datos_consumo_datadis'!A13104&lt;&gt;"""",SPLIT('(INGESTA)Datos_consumo_datadis'!A:A,"",""),"""")"),"ES0031408323131005HX0F")</f>
        <v>ES0031408323131005HX0F</v>
      </c>
      <c r="B13104" s="12">
        <f>IFERROR(__xludf.DUMMYFUNCTION("""COMPUTED_VALUE"""),45411.0)</f>
        <v>45411</v>
      </c>
      <c r="C13104" s="16">
        <f>IFERROR(__xludf.DUMMYFUNCTION("""COMPUTED_VALUE"""),1.0)</f>
        <v>1</v>
      </c>
      <c r="D13104" s="8">
        <f>IFERROR(__xludf.DUMMYFUNCTION("""COMPUTED_VALUE"""),3.018)</f>
        <v>3.018</v>
      </c>
      <c r="E13104" s="8" t="str">
        <f>IFERROR(__xludf.DUMMYFUNCTION("""COMPUTED_VALUE"""),"Real")</f>
        <v>Real</v>
      </c>
      <c r="G13104" s="8">
        <f t="shared" si="1"/>
        <v>4</v>
      </c>
      <c r="H13104" s="14">
        <f t="shared" si="2"/>
        <v>29</v>
      </c>
      <c r="I13104" s="15">
        <f t="shared" si="3"/>
        <v>0</v>
      </c>
    </row>
    <row r="13105">
      <c r="A13105" s="8" t="str">
        <f>IFERROR(__xludf.DUMMYFUNCTION("IF('(INGESTA)Datos_consumo_datadis'!A13105&lt;&gt;"""",SPLIT('(INGESTA)Datos_consumo_datadis'!A:A,"",""),"""")"),"ES0031408323131005HX0F")</f>
        <v>ES0031408323131005HX0F</v>
      </c>
      <c r="B13105" s="12">
        <f>IFERROR(__xludf.DUMMYFUNCTION("""COMPUTED_VALUE"""),45412.0)</f>
        <v>45412</v>
      </c>
      <c r="C13105" s="13">
        <f>IFERROR(__xludf.DUMMYFUNCTION("""COMPUTED_VALUE"""),0.041666666666666664)</f>
        <v>0.04166666667</v>
      </c>
      <c r="D13105" s="8">
        <f>IFERROR(__xludf.DUMMYFUNCTION("""COMPUTED_VALUE"""),0.31)</f>
        <v>0.31</v>
      </c>
      <c r="E13105" s="8" t="str">
        <f>IFERROR(__xludf.DUMMYFUNCTION("""COMPUTED_VALUE"""),"Real")</f>
        <v>Real</v>
      </c>
      <c r="G13105" s="8">
        <f t="shared" si="1"/>
        <v>4</v>
      </c>
      <c r="H13105" s="14">
        <f t="shared" si="2"/>
        <v>30</v>
      </c>
      <c r="I13105" s="15">
        <f t="shared" si="3"/>
        <v>1</v>
      </c>
    </row>
    <row r="13106">
      <c r="A13106" s="8" t="str">
        <f>IFERROR(__xludf.DUMMYFUNCTION("IF('(INGESTA)Datos_consumo_datadis'!A13106&lt;&gt;"""",SPLIT('(INGESTA)Datos_consumo_datadis'!A:A,"",""),"""")"),"ES0031408323131005HX0F")</f>
        <v>ES0031408323131005HX0F</v>
      </c>
      <c r="B13106" s="12">
        <f>IFERROR(__xludf.DUMMYFUNCTION("""COMPUTED_VALUE"""),45412.0)</f>
        <v>45412</v>
      </c>
      <c r="C13106" s="13">
        <f>IFERROR(__xludf.DUMMYFUNCTION("""COMPUTED_VALUE"""),0.08333333333333333)</f>
        <v>0.08333333333</v>
      </c>
      <c r="D13106" s="8">
        <f>IFERROR(__xludf.DUMMYFUNCTION("""COMPUTED_VALUE"""),0.062)</f>
        <v>0.062</v>
      </c>
      <c r="E13106" s="8" t="str">
        <f>IFERROR(__xludf.DUMMYFUNCTION("""COMPUTED_VALUE"""),"Real")</f>
        <v>Real</v>
      </c>
      <c r="G13106" s="8">
        <f t="shared" si="1"/>
        <v>4</v>
      </c>
      <c r="H13106" s="14">
        <f t="shared" si="2"/>
        <v>30</v>
      </c>
      <c r="I13106" s="15">
        <f t="shared" si="3"/>
        <v>2</v>
      </c>
    </row>
    <row r="13107">
      <c r="A13107" s="8" t="str">
        <f>IFERROR(__xludf.DUMMYFUNCTION("IF('(INGESTA)Datos_consumo_datadis'!A13107&lt;&gt;"""",SPLIT('(INGESTA)Datos_consumo_datadis'!A:A,"",""),"""")"),"ES0031408323131005HX0F")</f>
        <v>ES0031408323131005HX0F</v>
      </c>
      <c r="B13107" s="12">
        <f>IFERROR(__xludf.DUMMYFUNCTION("""COMPUTED_VALUE"""),45412.0)</f>
        <v>45412</v>
      </c>
      <c r="C13107" s="13">
        <f>IFERROR(__xludf.DUMMYFUNCTION("""COMPUTED_VALUE"""),0.125)</f>
        <v>0.125</v>
      </c>
      <c r="D13107" s="8">
        <f>IFERROR(__xludf.DUMMYFUNCTION("""COMPUTED_VALUE"""),0.058)</f>
        <v>0.058</v>
      </c>
      <c r="E13107" s="8" t="str">
        <f>IFERROR(__xludf.DUMMYFUNCTION("""COMPUTED_VALUE"""),"Real")</f>
        <v>Real</v>
      </c>
      <c r="G13107" s="8">
        <f t="shared" si="1"/>
        <v>4</v>
      </c>
      <c r="H13107" s="14">
        <f t="shared" si="2"/>
        <v>30</v>
      </c>
      <c r="I13107" s="15">
        <f t="shared" si="3"/>
        <v>3</v>
      </c>
    </row>
    <row r="13108">
      <c r="A13108" s="8" t="str">
        <f>IFERROR(__xludf.DUMMYFUNCTION("IF('(INGESTA)Datos_consumo_datadis'!A13108&lt;&gt;"""",SPLIT('(INGESTA)Datos_consumo_datadis'!A:A,"",""),"""")"),"ES0031408323131005HX0F")</f>
        <v>ES0031408323131005HX0F</v>
      </c>
      <c r="B13108" s="12">
        <f>IFERROR(__xludf.DUMMYFUNCTION("""COMPUTED_VALUE"""),45412.0)</f>
        <v>45412</v>
      </c>
      <c r="C13108" s="13">
        <f>IFERROR(__xludf.DUMMYFUNCTION("""COMPUTED_VALUE"""),0.16666666666666666)</f>
        <v>0.1666666667</v>
      </c>
      <c r="D13108" s="8">
        <f>IFERROR(__xludf.DUMMYFUNCTION("""COMPUTED_VALUE"""),0.053)</f>
        <v>0.053</v>
      </c>
      <c r="E13108" s="8" t="str">
        <f>IFERROR(__xludf.DUMMYFUNCTION("""COMPUTED_VALUE"""),"Real")</f>
        <v>Real</v>
      </c>
      <c r="G13108" s="8">
        <f t="shared" si="1"/>
        <v>4</v>
      </c>
      <c r="H13108" s="14">
        <f t="shared" si="2"/>
        <v>30</v>
      </c>
      <c r="I13108" s="15">
        <f t="shared" si="3"/>
        <v>4</v>
      </c>
    </row>
    <row r="13109">
      <c r="A13109" s="8" t="str">
        <f>IFERROR(__xludf.DUMMYFUNCTION("IF('(INGESTA)Datos_consumo_datadis'!A13109&lt;&gt;"""",SPLIT('(INGESTA)Datos_consumo_datadis'!A:A,"",""),"""")"),"ES0031408323131005HX0F")</f>
        <v>ES0031408323131005HX0F</v>
      </c>
      <c r="B13109" s="12">
        <f>IFERROR(__xludf.DUMMYFUNCTION("""COMPUTED_VALUE"""),45412.0)</f>
        <v>45412</v>
      </c>
      <c r="C13109" s="13">
        <f>IFERROR(__xludf.DUMMYFUNCTION("""COMPUTED_VALUE"""),0.20833333333333334)</f>
        <v>0.2083333333</v>
      </c>
      <c r="D13109" s="8">
        <f>IFERROR(__xludf.DUMMYFUNCTION("""COMPUTED_VALUE"""),0.322)</f>
        <v>0.322</v>
      </c>
      <c r="E13109" s="8" t="str">
        <f>IFERROR(__xludf.DUMMYFUNCTION("""COMPUTED_VALUE"""),"Real")</f>
        <v>Real</v>
      </c>
      <c r="G13109" s="8">
        <f t="shared" si="1"/>
        <v>4</v>
      </c>
      <c r="H13109" s="14">
        <f t="shared" si="2"/>
        <v>30</v>
      </c>
      <c r="I13109" s="15">
        <f t="shared" si="3"/>
        <v>5</v>
      </c>
    </row>
    <row r="13110">
      <c r="A13110" s="8" t="str">
        <f>IFERROR(__xludf.DUMMYFUNCTION("IF('(INGESTA)Datos_consumo_datadis'!A13110&lt;&gt;"""",SPLIT('(INGESTA)Datos_consumo_datadis'!A:A,"",""),"""")"),"ES0031408323131005HX0F")</f>
        <v>ES0031408323131005HX0F</v>
      </c>
      <c r="B13110" s="12">
        <f>IFERROR(__xludf.DUMMYFUNCTION("""COMPUTED_VALUE"""),45412.0)</f>
        <v>45412</v>
      </c>
      <c r="C13110" s="13">
        <f>IFERROR(__xludf.DUMMYFUNCTION("""COMPUTED_VALUE"""),0.25)</f>
        <v>0.25</v>
      </c>
      <c r="D13110" s="8">
        <f>IFERROR(__xludf.DUMMYFUNCTION("""COMPUTED_VALUE"""),0.055)</f>
        <v>0.055</v>
      </c>
      <c r="E13110" s="8" t="str">
        <f>IFERROR(__xludf.DUMMYFUNCTION("""COMPUTED_VALUE"""),"Real")</f>
        <v>Real</v>
      </c>
      <c r="G13110" s="8">
        <f t="shared" si="1"/>
        <v>4</v>
      </c>
      <c r="H13110" s="14">
        <f t="shared" si="2"/>
        <v>30</v>
      </c>
      <c r="I13110" s="15">
        <f t="shared" si="3"/>
        <v>6</v>
      </c>
    </row>
    <row r="13111">
      <c r="A13111" s="8" t="str">
        <f>IFERROR(__xludf.DUMMYFUNCTION("IF('(INGESTA)Datos_consumo_datadis'!A13111&lt;&gt;"""",SPLIT('(INGESTA)Datos_consumo_datadis'!A:A,"",""),"""")"),"ES0031408323131005HX0F")</f>
        <v>ES0031408323131005HX0F</v>
      </c>
      <c r="B13111" s="12">
        <f>IFERROR(__xludf.DUMMYFUNCTION("""COMPUTED_VALUE"""),45412.0)</f>
        <v>45412</v>
      </c>
      <c r="C13111" s="13">
        <f>IFERROR(__xludf.DUMMYFUNCTION("""COMPUTED_VALUE"""),0.2916666666666667)</f>
        <v>0.2916666667</v>
      </c>
      <c r="D13111" s="8">
        <f>IFERROR(__xludf.DUMMYFUNCTION("""COMPUTED_VALUE"""),0.054)</f>
        <v>0.054</v>
      </c>
      <c r="E13111" s="8" t="str">
        <f>IFERROR(__xludf.DUMMYFUNCTION("""COMPUTED_VALUE"""),"Real")</f>
        <v>Real</v>
      </c>
      <c r="G13111" s="8">
        <f t="shared" si="1"/>
        <v>4</v>
      </c>
      <c r="H13111" s="14">
        <f t="shared" si="2"/>
        <v>30</v>
      </c>
      <c r="I13111" s="15">
        <f t="shared" si="3"/>
        <v>7</v>
      </c>
    </row>
    <row r="13112">
      <c r="A13112" s="8" t="str">
        <f>IFERROR(__xludf.DUMMYFUNCTION("IF('(INGESTA)Datos_consumo_datadis'!A13112&lt;&gt;"""",SPLIT('(INGESTA)Datos_consumo_datadis'!A:A,"",""),"""")"),"ES0031408323131005HX0F")</f>
        <v>ES0031408323131005HX0F</v>
      </c>
      <c r="B13112" s="12">
        <f>IFERROR(__xludf.DUMMYFUNCTION("""COMPUTED_VALUE"""),45412.0)</f>
        <v>45412</v>
      </c>
      <c r="C13112" s="13">
        <f>IFERROR(__xludf.DUMMYFUNCTION("""COMPUTED_VALUE"""),0.3333333333333333)</f>
        <v>0.3333333333</v>
      </c>
      <c r="D13112" s="8">
        <f>IFERROR(__xludf.DUMMYFUNCTION("""COMPUTED_VALUE"""),0.593)</f>
        <v>0.593</v>
      </c>
      <c r="E13112" s="8" t="str">
        <f>IFERROR(__xludf.DUMMYFUNCTION("""COMPUTED_VALUE"""),"Real")</f>
        <v>Real</v>
      </c>
      <c r="G13112" s="8">
        <f t="shared" si="1"/>
        <v>4</v>
      </c>
      <c r="H13112" s="14">
        <f t="shared" si="2"/>
        <v>30</v>
      </c>
      <c r="I13112" s="15">
        <f t="shared" si="3"/>
        <v>8</v>
      </c>
    </row>
    <row r="13113">
      <c r="A13113" s="8" t="str">
        <f>IFERROR(__xludf.DUMMYFUNCTION("IF('(INGESTA)Datos_consumo_datadis'!A13113&lt;&gt;"""",SPLIT('(INGESTA)Datos_consumo_datadis'!A:A,"",""),"""")"),"ES0031408323131005HX0F")</f>
        <v>ES0031408323131005HX0F</v>
      </c>
      <c r="B13113" s="12">
        <f>IFERROR(__xludf.DUMMYFUNCTION("""COMPUTED_VALUE"""),45412.0)</f>
        <v>45412</v>
      </c>
      <c r="C13113" s="13">
        <f>IFERROR(__xludf.DUMMYFUNCTION("""COMPUTED_VALUE"""),0.375)</f>
        <v>0.375</v>
      </c>
      <c r="D13113" s="8">
        <f>IFERROR(__xludf.DUMMYFUNCTION("""COMPUTED_VALUE"""),0.096)</f>
        <v>0.096</v>
      </c>
      <c r="E13113" s="8" t="str">
        <f>IFERROR(__xludf.DUMMYFUNCTION("""COMPUTED_VALUE"""),"Real")</f>
        <v>Real</v>
      </c>
      <c r="G13113" s="8">
        <f t="shared" si="1"/>
        <v>4</v>
      </c>
      <c r="H13113" s="14">
        <f t="shared" si="2"/>
        <v>30</v>
      </c>
      <c r="I13113" s="15">
        <f t="shared" si="3"/>
        <v>9</v>
      </c>
    </row>
    <row r="13114">
      <c r="A13114" s="8" t="str">
        <f>IFERROR(__xludf.DUMMYFUNCTION("IF('(INGESTA)Datos_consumo_datadis'!A13114&lt;&gt;"""",SPLIT('(INGESTA)Datos_consumo_datadis'!A:A,"",""),"""")"),"ES0031408323131005HX0F")</f>
        <v>ES0031408323131005HX0F</v>
      </c>
      <c r="B13114" s="12">
        <f>IFERROR(__xludf.DUMMYFUNCTION("""COMPUTED_VALUE"""),45412.0)</f>
        <v>45412</v>
      </c>
      <c r="C13114" s="13">
        <f>IFERROR(__xludf.DUMMYFUNCTION("""COMPUTED_VALUE"""),0.4166666666666667)</f>
        <v>0.4166666667</v>
      </c>
      <c r="D13114" s="8">
        <f>IFERROR(__xludf.DUMMYFUNCTION("""COMPUTED_VALUE"""),0.644)</f>
        <v>0.644</v>
      </c>
      <c r="E13114" s="8" t="str">
        <f>IFERROR(__xludf.DUMMYFUNCTION("""COMPUTED_VALUE"""),"Real")</f>
        <v>Real</v>
      </c>
      <c r="G13114" s="8">
        <f t="shared" si="1"/>
        <v>4</v>
      </c>
      <c r="H13114" s="14">
        <f t="shared" si="2"/>
        <v>30</v>
      </c>
      <c r="I13114" s="15">
        <f t="shared" si="3"/>
        <v>10</v>
      </c>
    </row>
    <row r="13115">
      <c r="A13115" s="8" t="str">
        <f>IFERROR(__xludf.DUMMYFUNCTION("IF('(INGESTA)Datos_consumo_datadis'!A13115&lt;&gt;"""",SPLIT('(INGESTA)Datos_consumo_datadis'!A:A,"",""),"""")"),"ES0031408323131005HX0F")</f>
        <v>ES0031408323131005HX0F</v>
      </c>
      <c r="B13115" s="12">
        <f>IFERROR(__xludf.DUMMYFUNCTION("""COMPUTED_VALUE"""),45412.0)</f>
        <v>45412</v>
      </c>
      <c r="C13115" s="13">
        <f>IFERROR(__xludf.DUMMYFUNCTION("""COMPUTED_VALUE"""),0.4583333333333333)</f>
        <v>0.4583333333</v>
      </c>
      <c r="D13115" s="8">
        <f>IFERROR(__xludf.DUMMYFUNCTION("""COMPUTED_VALUE"""),0.321)</f>
        <v>0.321</v>
      </c>
      <c r="E13115" s="8" t="str">
        <f>IFERROR(__xludf.DUMMYFUNCTION("""COMPUTED_VALUE"""),"Real")</f>
        <v>Real</v>
      </c>
      <c r="G13115" s="8">
        <f t="shared" si="1"/>
        <v>4</v>
      </c>
      <c r="H13115" s="14">
        <f t="shared" si="2"/>
        <v>30</v>
      </c>
      <c r="I13115" s="15">
        <f t="shared" si="3"/>
        <v>11</v>
      </c>
    </row>
    <row r="13116">
      <c r="A13116" s="8" t="str">
        <f>IFERROR(__xludf.DUMMYFUNCTION("IF('(INGESTA)Datos_consumo_datadis'!A13116&lt;&gt;"""",SPLIT('(INGESTA)Datos_consumo_datadis'!A:A,"",""),"""")"),"ES0031408323131005HX0F")</f>
        <v>ES0031408323131005HX0F</v>
      </c>
      <c r="B13116" s="12">
        <f>IFERROR(__xludf.DUMMYFUNCTION("""COMPUTED_VALUE"""),45412.0)</f>
        <v>45412</v>
      </c>
      <c r="C13116" s="13">
        <f>IFERROR(__xludf.DUMMYFUNCTION("""COMPUTED_VALUE"""),0.5)</f>
        <v>0.5</v>
      </c>
      <c r="D13116" s="8">
        <f>IFERROR(__xludf.DUMMYFUNCTION("""COMPUTED_VALUE"""),0.387)</f>
        <v>0.387</v>
      </c>
      <c r="E13116" s="8" t="str">
        <f>IFERROR(__xludf.DUMMYFUNCTION("""COMPUTED_VALUE"""),"Real")</f>
        <v>Real</v>
      </c>
      <c r="G13116" s="8">
        <f t="shared" si="1"/>
        <v>4</v>
      </c>
      <c r="H13116" s="14">
        <f t="shared" si="2"/>
        <v>30</v>
      </c>
      <c r="I13116" s="15">
        <f t="shared" si="3"/>
        <v>12</v>
      </c>
    </row>
    <row r="13117">
      <c r="A13117" s="8" t="str">
        <f>IFERROR(__xludf.DUMMYFUNCTION("IF('(INGESTA)Datos_consumo_datadis'!A13117&lt;&gt;"""",SPLIT('(INGESTA)Datos_consumo_datadis'!A:A,"",""),"""")"),"ES0031408323131005HX0F")</f>
        <v>ES0031408323131005HX0F</v>
      </c>
      <c r="B13117" s="12">
        <f>IFERROR(__xludf.DUMMYFUNCTION("""COMPUTED_VALUE"""),45412.0)</f>
        <v>45412</v>
      </c>
      <c r="C13117" s="13">
        <f>IFERROR(__xludf.DUMMYFUNCTION("""COMPUTED_VALUE"""),0.5416666666666666)</f>
        <v>0.5416666667</v>
      </c>
      <c r="D13117" s="8">
        <f>IFERROR(__xludf.DUMMYFUNCTION("""COMPUTED_VALUE"""),0.186)</f>
        <v>0.186</v>
      </c>
      <c r="E13117" s="8" t="str">
        <f>IFERROR(__xludf.DUMMYFUNCTION("""COMPUTED_VALUE"""),"Real")</f>
        <v>Real</v>
      </c>
      <c r="G13117" s="8">
        <f t="shared" si="1"/>
        <v>4</v>
      </c>
      <c r="H13117" s="14">
        <f t="shared" si="2"/>
        <v>30</v>
      </c>
      <c r="I13117" s="15">
        <f t="shared" si="3"/>
        <v>13</v>
      </c>
    </row>
    <row r="13118">
      <c r="A13118" s="8" t="str">
        <f>IFERROR(__xludf.DUMMYFUNCTION("IF('(INGESTA)Datos_consumo_datadis'!A13118&lt;&gt;"""",SPLIT('(INGESTA)Datos_consumo_datadis'!A:A,"",""),"""")"),"ES0031408323131005HX0F")</f>
        <v>ES0031408323131005HX0F</v>
      </c>
      <c r="B13118" s="12">
        <f>IFERROR(__xludf.DUMMYFUNCTION("""COMPUTED_VALUE"""),45412.0)</f>
        <v>45412</v>
      </c>
      <c r="C13118" s="13">
        <f>IFERROR(__xludf.DUMMYFUNCTION("""COMPUTED_VALUE"""),0.5833333333333334)</f>
        <v>0.5833333333</v>
      </c>
      <c r="D13118" s="8">
        <f>IFERROR(__xludf.DUMMYFUNCTION("""COMPUTED_VALUE"""),0.365)</f>
        <v>0.365</v>
      </c>
      <c r="E13118" s="8" t="str">
        <f>IFERROR(__xludf.DUMMYFUNCTION("""COMPUTED_VALUE"""),"Real")</f>
        <v>Real</v>
      </c>
      <c r="G13118" s="8">
        <f t="shared" si="1"/>
        <v>4</v>
      </c>
      <c r="H13118" s="14">
        <f t="shared" si="2"/>
        <v>30</v>
      </c>
      <c r="I13118" s="15">
        <f t="shared" si="3"/>
        <v>14</v>
      </c>
    </row>
    <row r="13119">
      <c r="A13119" s="8" t="str">
        <f>IFERROR(__xludf.DUMMYFUNCTION("IF('(INGESTA)Datos_consumo_datadis'!A13119&lt;&gt;"""",SPLIT('(INGESTA)Datos_consumo_datadis'!A:A,"",""),"""")"),"ES0031408323131005HX0F")</f>
        <v>ES0031408323131005HX0F</v>
      </c>
      <c r="B13119" s="12">
        <f>IFERROR(__xludf.DUMMYFUNCTION("""COMPUTED_VALUE"""),45412.0)</f>
        <v>45412</v>
      </c>
      <c r="C13119" s="13">
        <f>IFERROR(__xludf.DUMMYFUNCTION("""COMPUTED_VALUE"""),0.625)</f>
        <v>0.625</v>
      </c>
      <c r="D13119" s="8">
        <f>IFERROR(__xludf.DUMMYFUNCTION("""COMPUTED_VALUE"""),0.052)</f>
        <v>0.052</v>
      </c>
      <c r="E13119" s="8" t="str">
        <f>IFERROR(__xludf.DUMMYFUNCTION("""COMPUTED_VALUE"""),"Real")</f>
        <v>Real</v>
      </c>
      <c r="G13119" s="8">
        <f t="shared" si="1"/>
        <v>4</v>
      </c>
      <c r="H13119" s="14">
        <f t="shared" si="2"/>
        <v>30</v>
      </c>
      <c r="I13119" s="15">
        <f t="shared" si="3"/>
        <v>15</v>
      </c>
    </row>
    <row r="13120">
      <c r="A13120" s="8" t="str">
        <f>IFERROR(__xludf.DUMMYFUNCTION("IF('(INGESTA)Datos_consumo_datadis'!A13120&lt;&gt;"""",SPLIT('(INGESTA)Datos_consumo_datadis'!A:A,"",""),"""")"),"ES0031408323131005HX0F")</f>
        <v>ES0031408323131005HX0F</v>
      </c>
      <c r="B13120" s="12">
        <f>IFERROR(__xludf.DUMMYFUNCTION("""COMPUTED_VALUE"""),45412.0)</f>
        <v>45412</v>
      </c>
      <c r="C13120" s="13">
        <f>IFERROR(__xludf.DUMMYFUNCTION("""COMPUTED_VALUE"""),0.6666666666666666)</f>
        <v>0.6666666667</v>
      </c>
      <c r="D13120" s="8">
        <f>IFERROR(__xludf.DUMMYFUNCTION("""COMPUTED_VALUE"""),0.069)</f>
        <v>0.069</v>
      </c>
      <c r="E13120" s="8" t="str">
        <f>IFERROR(__xludf.DUMMYFUNCTION("""COMPUTED_VALUE"""),"Real")</f>
        <v>Real</v>
      </c>
      <c r="G13120" s="8">
        <f t="shared" si="1"/>
        <v>4</v>
      </c>
      <c r="H13120" s="14">
        <f t="shared" si="2"/>
        <v>30</v>
      </c>
      <c r="I13120" s="15">
        <f t="shared" si="3"/>
        <v>16</v>
      </c>
    </row>
    <row r="13121">
      <c r="A13121" s="8" t="str">
        <f>IFERROR(__xludf.DUMMYFUNCTION("IF('(INGESTA)Datos_consumo_datadis'!A13121&lt;&gt;"""",SPLIT('(INGESTA)Datos_consumo_datadis'!A:A,"",""),"""")"),"ES0031408323131005HX0F")</f>
        <v>ES0031408323131005HX0F</v>
      </c>
      <c r="B13121" s="12">
        <f>IFERROR(__xludf.DUMMYFUNCTION("""COMPUTED_VALUE"""),45412.0)</f>
        <v>45412</v>
      </c>
      <c r="C13121" s="13">
        <f>IFERROR(__xludf.DUMMYFUNCTION("""COMPUTED_VALUE"""),0.7083333333333334)</f>
        <v>0.7083333333</v>
      </c>
      <c r="D13121" s="8">
        <f>IFERROR(__xludf.DUMMYFUNCTION("""COMPUTED_VALUE"""),0.046)</f>
        <v>0.046</v>
      </c>
      <c r="E13121" s="8" t="str">
        <f>IFERROR(__xludf.DUMMYFUNCTION("""COMPUTED_VALUE"""),"Real")</f>
        <v>Real</v>
      </c>
      <c r="G13121" s="8">
        <f t="shared" si="1"/>
        <v>4</v>
      </c>
      <c r="H13121" s="14">
        <f t="shared" si="2"/>
        <v>30</v>
      </c>
      <c r="I13121" s="15">
        <f t="shared" si="3"/>
        <v>17</v>
      </c>
    </row>
    <row r="13122">
      <c r="A13122" s="8" t="str">
        <f>IFERROR(__xludf.DUMMYFUNCTION("IF('(INGESTA)Datos_consumo_datadis'!A13122&lt;&gt;"""",SPLIT('(INGESTA)Datos_consumo_datadis'!A:A,"",""),"""")"),"ES0031408323131005HX0F")</f>
        <v>ES0031408323131005HX0F</v>
      </c>
      <c r="B13122" s="12">
        <f>IFERROR(__xludf.DUMMYFUNCTION("""COMPUTED_VALUE"""),45412.0)</f>
        <v>45412</v>
      </c>
      <c r="C13122" s="13">
        <f>IFERROR(__xludf.DUMMYFUNCTION("""COMPUTED_VALUE"""),0.75)</f>
        <v>0.75</v>
      </c>
      <c r="D13122" s="8">
        <f>IFERROR(__xludf.DUMMYFUNCTION("""COMPUTED_VALUE"""),0.101)</f>
        <v>0.101</v>
      </c>
      <c r="E13122" s="8" t="str">
        <f>IFERROR(__xludf.DUMMYFUNCTION("""COMPUTED_VALUE"""),"Real")</f>
        <v>Real</v>
      </c>
      <c r="G13122" s="8">
        <f t="shared" si="1"/>
        <v>4</v>
      </c>
      <c r="H13122" s="14">
        <f t="shared" si="2"/>
        <v>30</v>
      </c>
      <c r="I13122" s="15">
        <f t="shared" si="3"/>
        <v>18</v>
      </c>
    </row>
    <row r="13123">
      <c r="A13123" s="8" t="str">
        <f>IFERROR(__xludf.DUMMYFUNCTION("IF('(INGESTA)Datos_consumo_datadis'!A13123&lt;&gt;"""",SPLIT('(INGESTA)Datos_consumo_datadis'!A:A,"",""),"""")"),"ES0031408323131005HX0F")</f>
        <v>ES0031408323131005HX0F</v>
      </c>
      <c r="B13123" s="12">
        <f>IFERROR(__xludf.DUMMYFUNCTION("""COMPUTED_VALUE"""),45412.0)</f>
        <v>45412</v>
      </c>
      <c r="C13123" s="13">
        <f>IFERROR(__xludf.DUMMYFUNCTION("""COMPUTED_VALUE"""),0.7916666666666666)</f>
        <v>0.7916666667</v>
      </c>
      <c r="D13123" s="8">
        <f>IFERROR(__xludf.DUMMYFUNCTION("""COMPUTED_VALUE"""),0.115)</f>
        <v>0.115</v>
      </c>
      <c r="E13123" s="8" t="str">
        <f>IFERROR(__xludf.DUMMYFUNCTION("""COMPUTED_VALUE"""),"Real")</f>
        <v>Real</v>
      </c>
      <c r="G13123" s="8">
        <f t="shared" si="1"/>
        <v>4</v>
      </c>
      <c r="H13123" s="14">
        <f t="shared" si="2"/>
        <v>30</v>
      </c>
      <c r="I13123" s="15">
        <f t="shared" si="3"/>
        <v>19</v>
      </c>
    </row>
    <row r="13124">
      <c r="A13124" s="8" t="str">
        <f>IFERROR(__xludf.DUMMYFUNCTION("IF('(INGESTA)Datos_consumo_datadis'!A13124&lt;&gt;"""",SPLIT('(INGESTA)Datos_consumo_datadis'!A:A,"",""),"""")"),"ES0031408323131005HX0F")</f>
        <v>ES0031408323131005HX0F</v>
      </c>
      <c r="B13124" s="12">
        <f>IFERROR(__xludf.DUMMYFUNCTION("""COMPUTED_VALUE"""),45412.0)</f>
        <v>45412</v>
      </c>
      <c r="C13124" s="13">
        <f>IFERROR(__xludf.DUMMYFUNCTION("""COMPUTED_VALUE"""),0.8333333333333334)</f>
        <v>0.8333333333</v>
      </c>
      <c r="D13124" s="8">
        <f>IFERROR(__xludf.DUMMYFUNCTION("""COMPUTED_VALUE"""),0.357)</f>
        <v>0.357</v>
      </c>
      <c r="E13124" s="8" t="str">
        <f>IFERROR(__xludf.DUMMYFUNCTION("""COMPUTED_VALUE"""),"Real")</f>
        <v>Real</v>
      </c>
      <c r="G13124" s="8">
        <f t="shared" si="1"/>
        <v>4</v>
      </c>
      <c r="H13124" s="14">
        <f t="shared" si="2"/>
        <v>30</v>
      </c>
      <c r="I13124" s="15">
        <f t="shared" si="3"/>
        <v>20</v>
      </c>
    </row>
    <row r="13125">
      <c r="A13125" s="8" t="str">
        <f>IFERROR(__xludf.DUMMYFUNCTION("IF('(INGESTA)Datos_consumo_datadis'!A13125&lt;&gt;"""",SPLIT('(INGESTA)Datos_consumo_datadis'!A:A,"",""),"""")"),"ES0031408323131005HX0F")</f>
        <v>ES0031408323131005HX0F</v>
      </c>
      <c r="B13125" s="12">
        <f>IFERROR(__xludf.DUMMYFUNCTION("""COMPUTED_VALUE"""),45412.0)</f>
        <v>45412</v>
      </c>
      <c r="C13125" s="13">
        <f>IFERROR(__xludf.DUMMYFUNCTION("""COMPUTED_VALUE"""),0.875)</f>
        <v>0.875</v>
      </c>
      <c r="D13125" s="8">
        <f>IFERROR(__xludf.DUMMYFUNCTION("""COMPUTED_VALUE"""),0.056)</f>
        <v>0.056</v>
      </c>
      <c r="E13125" s="8" t="str">
        <f>IFERROR(__xludf.DUMMYFUNCTION("""COMPUTED_VALUE"""),"Real")</f>
        <v>Real</v>
      </c>
      <c r="G13125" s="8">
        <f t="shared" si="1"/>
        <v>4</v>
      </c>
      <c r="H13125" s="14">
        <f t="shared" si="2"/>
        <v>30</v>
      </c>
      <c r="I13125" s="15">
        <f t="shared" si="3"/>
        <v>21</v>
      </c>
    </row>
    <row r="13126">
      <c r="A13126" s="8" t="str">
        <f>IFERROR(__xludf.DUMMYFUNCTION("IF('(INGESTA)Datos_consumo_datadis'!A13126&lt;&gt;"""",SPLIT('(INGESTA)Datos_consumo_datadis'!A:A,"",""),"""")"),"ES0031408323131005HX0F")</f>
        <v>ES0031408323131005HX0F</v>
      </c>
      <c r="B13126" s="12">
        <f>IFERROR(__xludf.DUMMYFUNCTION("""COMPUTED_VALUE"""),45412.0)</f>
        <v>45412</v>
      </c>
      <c r="C13126" s="13">
        <f>IFERROR(__xludf.DUMMYFUNCTION("""COMPUTED_VALUE"""),0.9166666666666666)</f>
        <v>0.9166666667</v>
      </c>
      <c r="D13126" s="8">
        <f>IFERROR(__xludf.DUMMYFUNCTION("""COMPUTED_VALUE"""),0.059)</f>
        <v>0.059</v>
      </c>
      <c r="E13126" s="8" t="str">
        <f>IFERROR(__xludf.DUMMYFUNCTION("""COMPUTED_VALUE"""),"Real")</f>
        <v>Real</v>
      </c>
      <c r="G13126" s="8">
        <f t="shared" si="1"/>
        <v>4</v>
      </c>
      <c r="H13126" s="14">
        <f t="shared" si="2"/>
        <v>30</v>
      </c>
      <c r="I13126" s="15">
        <f t="shared" si="3"/>
        <v>22</v>
      </c>
    </row>
    <row r="13127">
      <c r="A13127" s="8" t="str">
        <f>IFERROR(__xludf.DUMMYFUNCTION("IF('(INGESTA)Datos_consumo_datadis'!A13127&lt;&gt;"""",SPLIT('(INGESTA)Datos_consumo_datadis'!A:A,"",""),"""")"),"ES0031408323131005HX0F")</f>
        <v>ES0031408323131005HX0F</v>
      </c>
      <c r="B13127" s="12">
        <f>IFERROR(__xludf.DUMMYFUNCTION("""COMPUTED_VALUE"""),45412.0)</f>
        <v>45412</v>
      </c>
      <c r="C13127" s="13">
        <f>IFERROR(__xludf.DUMMYFUNCTION("""COMPUTED_VALUE"""),0.9583333333333334)</f>
        <v>0.9583333333</v>
      </c>
      <c r="D13127" s="8">
        <f>IFERROR(__xludf.DUMMYFUNCTION("""COMPUTED_VALUE"""),0.809)</f>
        <v>0.809</v>
      </c>
      <c r="E13127" s="8" t="str">
        <f>IFERROR(__xludf.DUMMYFUNCTION("""COMPUTED_VALUE"""),"Real")</f>
        <v>Real</v>
      </c>
      <c r="G13127" s="8">
        <f t="shared" si="1"/>
        <v>4</v>
      </c>
      <c r="H13127" s="14">
        <f t="shared" si="2"/>
        <v>30</v>
      </c>
      <c r="I13127" s="15">
        <f t="shared" si="3"/>
        <v>23</v>
      </c>
    </row>
    <row r="13128">
      <c r="A13128" s="8" t="str">
        <f>IFERROR(__xludf.DUMMYFUNCTION("IF('(INGESTA)Datos_consumo_datadis'!A13128&lt;&gt;"""",SPLIT('(INGESTA)Datos_consumo_datadis'!A:A,"",""),"""")"),"ES0031408323131005HX0F")</f>
        <v>ES0031408323131005HX0F</v>
      </c>
      <c r="B13128" s="12">
        <f>IFERROR(__xludf.DUMMYFUNCTION("""COMPUTED_VALUE"""),45412.0)</f>
        <v>45412</v>
      </c>
      <c r="C13128" s="16">
        <f>IFERROR(__xludf.DUMMYFUNCTION("""COMPUTED_VALUE"""),1.0)</f>
        <v>1</v>
      </c>
      <c r="D13128" s="8">
        <f>IFERROR(__xludf.DUMMYFUNCTION("""COMPUTED_VALUE"""),0.269)</f>
        <v>0.269</v>
      </c>
      <c r="E13128" s="8" t="str">
        <f>IFERROR(__xludf.DUMMYFUNCTION("""COMPUTED_VALUE"""),"Real")</f>
        <v>Real</v>
      </c>
      <c r="G13128" s="8">
        <f t="shared" si="1"/>
        <v>4</v>
      </c>
      <c r="H13128" s="14">
        <f t="shared" si="2"/>
        <v>30</v>
      </c>
      <c r="I13128" s="15">
        <f t="shared" si="3"/>
        <v>0</v>
      </c>
    </row>
    <row r="13129">
      <c r="A13129" s="8" t="str">
        <f>IFERROR(__xludf.DUMMYFUNCTION("IF('(INGESTA)Datos_consumo_datadis'!A13129&lt;&gt;"""",SPLIT('(INGESTA)Datos_consumo_datadis'!A:A,"",""),"""")"),"ES0031408323131005HX0F")</f>
        <v>ES0031408323131005HX0F</v>
      </c>
      <c r="B13129" s="12">
        <f>IFERROR(__xludf.DUMMYFUNCTION("""COMPUTED_VALUE"""),45413.0)</f>
        <v>45413</v>
      </c>
      <c r="C13129" s="13">
        <f>IFERROR(__xludf.DUMMYFUNCTION("""COMPUTED_VALUE"""),0.041666666666666664)</f>
        <v>0.04166666667</v>
      </c>
      <c r="D13129" s="8">
        <f>IFERROR(__xludf.DUMMYFUNCTION("""COMPUTED_VALUE"""),1.633)</f>
        <v>1.633</v>
      </c>
      <c r="E13129" s="8" t="str">
        <f>IFERROR(__xludf.DUMMYFUNCTION("""COMPUTED_VALUE"""),"Real")</f>
        <v>Real</v>
      </c>
      <c r="G13129" s="8">
        <f t="shared" si="1"/>
        <v>5</v>
      </c>
      <c r="H13129" s="14">
        <f t="shared" si="2"/>
        <v>1</v>
      </c>
      <c r="I13129" s="15">
        <f t="shared" si="3"/>
        <v>1</v>
      </c>
    </row>
    <row r="13130">
      <c r="A13130" s="8" t="str">
        <f>IFERROR(__xludf.DUMMYFUNCTION("IF('(INGESTA)Datos_consumo_datadis'!A13130&lt;&gt;"""",SPLIT('(INGESTA)Datos_consumo_datadis'!A:A,"",""),"""")"),"ES0031408323131005HX0F")</f>
        <v>ES0031408323131005HX0F</v>
      </c>
      <c r="B13130" s="12">
        <f>IFERROR(__xludf.DUMMYFUNCTION("""COMPUTED_VALUE"""),45413.0)</f>
        <v>45413</v>
      </c>
      <c r="C13130" s="13">
        <f>IFERROR(__xludf.DUMMYFUNCTION("""COMPUTED_VALUE"""),0.08333333333333333)</f>
        <v>0.08333333333</v>
      </c>
      <c r="D13130" s="8">
        <f>IFERROR(__xludf.DUMMYFUNCTION("""COMPUTED_VALUE"""),0.693)</f>
        <v>0.693</v>
      </c>
      <c r="E13130" s="8" t="str">
        <f>IFERROR(__xludf.DUMMYFUNCTION("""COMPUTED_VALUE"""),"Real")</f>
        <v>Real</v>
      </c>
      <c r="G13130" s="8">
        <f t="shared" si="1"/>
        <v>5</v>
      </c>
      <c r="H13130" s="14">
        <f t="shared" si="2"/>
        <v>1</v>
      </c>
      <c r="I13130" s="15">
        <f t="shared" si="3"/>
        <v>2</v>
      </c>
    </row>
    <row r="13131">
      <c r="A13131" s="8" t="str">
        <f>IFERROR(__xludf.DUMMYFUNCTION("IF('(INGESTA)Datos_consumo_datadis'!A13131&lt;&gt;"""",SPLIT('(INGESTA)Datos_consumo_datadis'!A:A,"",""),"""")"),"ES0031408323131005HX0F")</f>
        <v>ES0031408323131005HX0F</v>
      </c>
      <c r="B13131" s="12">
        <f>IFERROR(__xludf.DUMMYFUNCTION("""COMPUTED_VALUE"""),45413.0)</f>
        <v>45413</v>
      </c>
      <c r="C13131" s="13">
        <f>IFERROR(__xludf.DUMMYFUNCTION("""COMPUTED_VALUE"""),0.125)</f>
        <v>0.125</v>
      </c>
      <c r="D13131" s="8">
        <f>IFERROR(__xludf.DUMMYFUNCTION("""COMPUTED_VALUE"""),0.078)</f>
        <v>0.078</v>
      </c>
      <c r="E13131" s="8" t="str">
        <f>IFERROR(__xludf.DUMMYFUNCTION("""COMPUTED_VALUE"""),"Real")</f>
        <v>Real</v>
      </c>
      <c r="G13131" s="8">
        <f t="shared" si="1"/>
        <v>5</v>
      </c>
      <c r="H13131" s="14">
        <f t="shared" si="2"/>
        <v>1</v>
      </c>
      <c r="I13131" s="15">
        <f t="shared" si="3"/>
        <v>3</v>
      </c>
    </row>
    <row r="13132">
      <c r="A13132" s="8" t="str">
        <f>IFERROR(__xludf.DUMMYFUNCTION("IF('(INGESTA)Datos_consumo_datadis'!A13132&lt;&gt;"""",SPLIT('(INGESTA)Datos_consumo_datadis'!A:A,"",""),"""")"),"ES0031408323131005HX0F")</f>
        <v>ES0031408323131005HX0F</v>
      </c>
      <c r="B13132" s="12">
        <f>IFERROR(__xludf.DUMMYFUNCTION("""COMPUTED_VALUE"""),45413.0)</f>
        <v>45413</v>
      </c>
      <c r="C13132" s="13">
        <f>IFERROR(__xludf.DUMMYFUNCTION("""COMPUTED_VALUE"""),0.16666666666666666)</f>
        <v>0.1666666667</v>
      </c>
      <c r="D13132" s="8">
        <f>IFERROR(__xludf.DUMMYFUNCTION("""COMPUTED_VALUE"""),0.034)</f>
        <v>0.034</v>
      </c>
      <c r="E13132" s="8" t="str">
        <f>IFERROR(__xludf.DUMMYFUNCTION("""COMPUTED_VALUE"""),"Real")</f>
        <v>Real</v>
      </c>
      <c r="G13132" s="8">
        <f t="shared" si="1"/>
        <v>5</v>
      </c>
      <c r="H13132" s="14">
        <f t="shared" si="2"/>
        <v>1</v>
      </c>
      <c r="I13132" s="15">
        <f t="shared" si="3"/>
        <v>4</v>
      </c>
    </row>
    <row r="13133">
      <c r="A13133" s="8" t="str">
        <f>IFERROR(__xludf.DUMMYFUNCTION("IF('(INGESTA)Datos_consumo_datadis'!A13133&lt;&gt;"""",SPLIT('(INGESTA)Datos_consumo_datadis'!A:A,"",""),"""")"),"ES0031408323131005HX0F")</f>
        <v>ES0031408323131005HX0F</v>
      </c>
      <c r="B13133" s="12">
        <f>IFERROR(__xludf.DUMMYFUNCTION("""COMPUTED_VALUE"""),45413.0)</f>
        <v>45413</v>
      </c>
      <c r="C13133" s="13">
        <f>IFERROR(__xludf.DUMMYFUNCTION("""COMPUTED_VALUE"""),0.20833333333333334)</f>
        <v>0.2083333333</v>
      </c>
      <c r="D13133" s="8">
        <f>IFERROR(__xludf.DUMMYFUNCTION("""COMPUTED_VALUE"""),0.077)</f>
        <v>0.077</v>
      </c>
      <c r="E13133" s="8" t="str">
        <f>IFERROR(__xludf.DUMMYFUNCTION("""COMPUTED_VALUE"""),"Real")</f>
        <v>Real</v>
      </c>
      <c r="G13133" s="8">
        <f t="shared" si="1"/>
        <v>5</v>
      </c>
      <c r="H13133" s="14">
        <f t="shared" si="2"/>
        <v>1</v>
      </c>
      <c r="I13133" s="15">
        <f t="shared" si="3"/>
        <v>5</v>
      </c>
    </row>
    <row r="13134">
      <c r="A13134" s="8" t="str">
        <f>IFERROR(__xludf.DUMMYFUNCTION("IF('(INGESTA)Datos_consumo_datadis'!A13134&lt;&gt;"""",SPLIT('(INGESTA)Datos_consumo_datadis'!A:A,"",""),"""")"),"ES0031408323131005HX0F")</f>
        <v>ES0031408323131005HX0F</v>
      </c>
      <c r="B13134" s="12">
        <f>IFERROR(__xludf.DUMMYFUNCTION("""COMPUTED_VALUE"""),45413.0)</f>
        <v>45413</v>
      </c>
      <c r="C13134" s="13">
        <f>IFERROR(__xludf.DUMMYFUNCTION("""COMPUTED_VALUE"""),0.25)</f>
        <v>0.25</v>
      </c>
      <c r="D13134" s="8">
        <f>IFERROR(__xludf.DUMMYFUNCTION("""COMPUTED_VALUE"""),0.042)</f>
        <v>0.042</v>
      </c>
      <c r="E13134" s="8" t="str">
        <f>IFERROR(__xludf.DUMMYFUNCTION("""COMPUTED_VALUE"""),"Real")</f>
        <v>Real</v>
      </c>
      <c r="G13134" s="8">
        <f t="shared" si="1"/>
        <v>5</v>
      </c>
      <c r="H13134" s="14">
        <f t="shared" si="2"/>
        <v>1</v>
      </c>
      <c r="I13134" s="15">
        <f t="shared" si="3"/>
        <v>6</v>
      </c>
    </row>
    <row r="13135">
      <c r="A13135" s="8" t="str">
        <f>IFERROR(__xludf.DUMMYFUNCTION("IF('(INGESTA)Datos_consumo_datadis'!A13135&lt;&gt;"""",SPLIT('(INGESTA)Datos_consumo_datadis'!A:A,"",""),"""")"),"ES0031408323131005HX0F")</f>
        <v>ES0031408323131005HX0F</v>
      </c>
      <c r="B13135" s="12">
        <f>IFERROR(__xludf.DUMMYFUNCTION("""COMPUTED_VALUE"""),45413.0)</f>
        <v>45413</v>
      </c>
      <c r="C13135" s="13">
        <f>IFERROR(__xludf.DUMMYFUNCTION("""COMPUTED_VALUE"""),0.2916666666666667)</f>
        <v>0.2916666667</v>
      </c>
      <c r="D13135" s="8">
        <f>IFERROR(__xludf.DUMMYFUNCTION("""COMPUTED_VALUE"""),0.344)</f>
        <v>0.344</v>
      </c>
      <c r="E13135" s="8" t="str">
        <f>IFERROR(__xludf.DUMMYFUNCTION("""COMPUTED_VALUE"""),"Real")</f>
        <v>Real</v>
      </c>
      <c r="G13135" s="8">
        <f t="shared" si="1"/>
        <v>5</v>
      </c>
      <c r="H13135" s="14">
        <f t="shared" si="2"/>
        <v>1</v>
      </c>
      <c r="I13135" s="15">
        <f t="shared" si="3"/>
        <v>7</v>
      </c>
    </row>
    <row r="13136">
      <c r="A13136" s="8" t="str">
        <f>IFERROR(__xludf.DUMMYFUNCTION("IF('(INGESTA)Datos_consumo_datadis'!A13136&lt;&gt;"""",SPLIT('(INGESTA)Datos_consumo_datadis'!A:A,"",""),"""")"),"ES0031408323131005HX0F")</f>
        <v>ES0031408323131005HX0F</v>
      </c>
      <c r="B13136" s="12">
        <f>IFERROR(__xludf.DUMMYFUNCTION("""COMPUTED_VALUE"""),45413.0)</f>
        <v>45413</v>
      </c>
      <c r="C13136" s="13">
        <f>IFERROR(__xludf.DUMMYFUNCTION("""COMPUTED_VALUE"""),0.3333333333333333)</f>
        <v>0.3333333333</v>
      </c>
      <c r="D13136" s="8">
        <f>IFERROR(__xludf.DUMMYFUNCTION("""COMPUTED_VALUE"""),1.516)</f>
        <v>1.516</v>
      </c>
      <c r="E13136" s="8" t="str">
        <f>IFERROR(__xludf.DUMMYFUNCTION("""COMPUTED_VALUE"""),"Real")</f>
        <v>Real</v>
      </c>
      <c r="G13136" s="8">
        <f t="shared" si="1"/>
        <v>5</v>
      </c>
      <c r="H13136" s="14">
        <f t="shared" si="2"/>
        <v>1</v>
      </c>
      <c r="I13136" s="15">
        <f t="shared" si="3"/>
        <v>8</v>
      </c>
    </row>
    <row r="13137">
      <c r="A13137" s="8" t="str">
        <f>IFERROR(__xludf.DUMMYFUNCTION("IF('(INGESTA)Datos_consumo_datadis'!A13137&lt;&gt;"""",SPLIT('(INGESTA)Datos_consumo_datadis'!A:A,"",""),"""")"),"ES0031408323131005HX0F")</f>
        <v>ES0031408323131005HX0F</v>
      </c>
      <c r="B13137" s="12">
        <f>IFERROR(__xludf.DUMMYFUNCTION("""COMPUTED_VALUE"""),45413.0)</f>
        <v>45413</v>
      </c>
      <c r="C13137" s="13">
        <f>IFERROR(__xludf.DUMMYFUNCTION("""COMPUTED_VALUE"""),0.375)</f>
        <v>0.375</v>
      </c>
      <c r="D13137" s="8">
        <f>IFERROR(__xludf.DUMMYFUNCTION("""COMPUTED_VALUE"""),1.153)</f>
        <v>1.153</v>
      </c>
      <c r="E13137" s="8" t="str">
        <f>IFERROR(__xludf.DUMMYFUNCTION("""COMPUTED_VALUE"""),"Real")</f>
        <v>Real</v>
      </c>
      <c r="G13137" s="8">
        <f t="shared" si="1"/>
        <v>5</v>
      </c>
      <c r="H13137" s="14">
        <f t="shared" si="2"/>
        <v>1</v>
      </c>
      <c r="I13137" s="15">
        <f t="shared" si="3"/>
        <v>9</v>
      </c>
    </row>
    <row r="13138">
      <c r="A13138" s="8" t="str">
        <f>IFERROR(__xludf.DUMMYFUNCTION("IF('(INGESTA)Datos_consumo_datadis'!A13138&lt;&gt;"""",SPLIT('(INGESTA)Datos_consumo_datadis'!A:A,"",""),"""")"),"ES0031408323131005HX0F")</f>
        <v>ES0031408323131005HX0F</v>
      </c>
      <c r="B13138" s="12">
        <f>IFERROR(__xludf.DUMMYFUNCTION("""COMPUTED_VALUE"""),45413.0)</f>
        <v>45413</v>
      </c>
      <c r="C13138" s="13">
        <f>IFERROR(__xludf.DUMMYFUNCTION("""COMPUTED_VALUE"""),0.4166666666666667)</f>
        <v>0.4166666667</v>
      </c>
      <c r="D13138" s="8">
        <f>IFERROR(__xludf.DUMMYFUNCTION("""COMPUTED_VALUE"""),0.07)</f>
        <v>0.07</v>
      </c>
      <c r="E13138" s="8" t="str">
        <f>IFERROR(__xludf.DUMMYFUNCTION("""COMPUTED_VALUE"""),"Real")</f>
        <v>Real</v>
      </c>
      <c r="G13138" s="8">
        <f t="shared" si="1"/>
        <v>5</v>
      </c>
      <c r="H13138" s="14">
        <f t="shared" si="2"/>
        <v>1</v>
      </c>
      <c r="I13138" s="15">
        <f t="shared" si="3"/>
        <v>10</v>
      </c>
    </row>
    <row r="13139">
      <c r="A13139" s="8" t="str">
        <f>IFERROR(__xludf.DUMMYFUNCTION("IF('(INGESTA)Datos_consumo_datadis'!A13139&lt;&gt;"""",SPLIT('(INGESTA)Datos_consumo_datadis'!A:A,"",""),"""")"),"ES0031408323131005HX0F")</f>
        <v>ES0031408323131005HX0F</v>
      </c>
      <c r="B13139" s="12">
        <f>IFERROR(__xludf.DUMMYFUNCTION("""COMPUTED_VALUE"""),45413.0)</f>
        <v>45413</v>
      </c>
      <c r="C13139" s="13">
        <f>IFERROR(__xludf.DUMMYFUNCTION("""COMPUTED_VALUE"""),0.4583333333333333)</f>
        <v>0.4583333333</v>
      </c>
      <c r="D13139" s="8">
        <f>IFERROR(__xludf.DUMMYFUNCTION("""COMPUTED_VALUE"""),0.045)</f>
        <v>0.045</v>
      </c>
      <c r="E13139" s="8" t="str">
        <f>IFERROR(__xludf.DUMMYFUNCTION("""COMPUTED_VALUE"""),"Real")</f>
        <v>Real</v>
      </c>
      <c r="G13139" s="8">
        <f t="shared" si="1"/>
        <v>5</v>
      </c>
      <c r="H13139" s="14">
        <f t="shared" si="2"/>
        <v>1</v>
      </c>
      <c r="I13139" s="15">
        <f t="shared" si="3"/>
        <v>11</v>
      </c>
    </row>
    <row r="13140">
      <c r="A13140" s="8" t="str">
        <f>IFERROR(__xludf.DUMMYFUNCTION("IF('(INGESTA)Datos_consumo_datadis'!A13140&lt;&gt;"""",SPLIT('(INGESTA)Datos_consumo_datadis'!A:A,"",""),"""")"),"ES0031408323131005HX0F")</f>
        <v>ES0031408323131005HX0F</v>
      </c>
      <c r="B13140" s="12">
        <f>IFERROR(__xludf.DUMMYFUNCTION("""COMPUTED_VALUE"""),45413.0)</f>
        <v>45413</v>
      </c>
      <c r="C13140" s="13">
        <f>IFERROR(__xludf.DUMMYFUNCTION("""COMPUTED_VALUE"""),0.5)</f>
        <v>0.5</v>
      </c>
      <c r="D13140" s="8">
        <f>IFERROR(__xludf.DUMMYFUNCTION("""COMPUTED_VALUE"""),0.071)</f>
        <v>0.071</v>
      </c>
      <c r="E13140" s="8" t="str">
        <f>IFERROR(__xludf.DUMMYFUNCTION("""COMPUTED_VALUE"""),"Real")</f>
        <v>Real</v>
      </c>
      <c r="G13140" s="8">
        <f t="shared" si="1"/>
        <v>5</v>
      </c>
      <c r="H13140" s="14">
        <f t="shared" si="2"/>
        <v>1</v>
      </c>
      <c r="I13140" s="15">
        <f t="shared" si="3"/>
        <v>12</v>
      </c>
    </row>
    <row r="13141">
      <c r="A13141" s="8" t="str">
        <f>IFERROR(__xludf.DUMMYFUNCTION("IF('(INGESTA)Datos_consumo_datadis'!A13141&lt;&gt;"""",SPLIT('(INGESTA)Datos_consumo_datadis'!A:A,"",""),"""")"),"ES0031408323131005HX0F")</f>
        <v>ES0031408323131005HX0F</v>
      </c>
      <c r="B13141" s="12">
        <f>IFERROR(__xludf.DUMMYFUNCTION("""COMPUTED_VALUE"""),45413.0)</f>
        <v>45413</v>
      </c>
      <c r="C13141" s="13">
        <f>IFERROR(__xludf.DUMMYFUNCTION("""COMPUTED_VALUE"""),0.5416666666666666)</f>
        <v>0.5416666667</v>
      </c>
      <c r="D13141" s="8">
        <f>IFERROR(__xludf.DUMMYFUNCTION("""COMPUTED_VALUE"""),0.034)</f>
        <v>0.034</v>
      </c>
      <c r="E13141" s="8" t="str">
        <f>IFERROR(__xludf.DUMMYFUNCTION("""COMPUTED_VALUE"""),"Real")</f>
        <v>Real</v>
      </c>
      <c r="G13141" s="8">
        <f t="shared" si="1"/>
        <v>5</v>
      </c>
      <c r="H13141" s="14">
        <f t="shared" si="2"/>
        <v>1</v>
      </c>
      <c r="I13141" s="15">
        <f t="shared" si="3"/>
        <v>13</v>
      </c>
    </row>
    <row r="13142">
      <c r="A13142" s="8" t="str">
        <f>IFERROR(__xludf.DUMMYFUNCTION("IF('(INGESTA)Datos_consumo_datadis'!A13142&lt;&gt;"""",SPLIT('(INGESTA)Datos_consumo_datadis'!A:A,"",""),"""")"),"ES0031408323131005HX0F")</f>
        <v>ES0031408323131005HX0F</v>
      </c>
      <c r="B13142" s="12">
        <f>IFERROR(__xludf.DUMMYFUNCTION("""COMPUTED_VALUE"""),45413.0)</f>
        <v>45413</v>
      </c>
      <c r="C13142" s="13">
        <f>IFERROR(__xludf.DUMMYFUNCTION("""COMPUTED_VALUE"""),0.5833333333333334)</f>
        <v>0.5833333333</v>
      </c>
      <c r="D13142" s="8">
        <f>IFERROR(__xludf.DUMMYFUNCTION("""COMPUTED_VALUE"""),0.361)</f>
        <v>0.361</v>
      </c>
      <c r="E13142" s="8" t="str">
        <f>IFERROR(__xludf.DUMMYFUNCTION("""COMPUTED_VALUE"""),"Real")</f>
        <v>Real</v>
      </c>
      <c r="G13142" s="8">
        <f t="shared" si="1"/>
        <v>5</v>
      </c>
      <c r="H13142" s="14">
        <f t="shared" si="2"/>
        <v>1</v>
      </c>
      <c r="I13142" s="15">
        <f t="shared" si="3"/>
        <v>14</v>
      </c>
    </row>
    <row r="13143">
      <c r="A13143" s="8" t="str">
        <f>IFERROR(__xludf.DUMMYFUNCTION("IF('(INGESTA)Datos_consumo_datadis'!A13143&lt;&gt;"""",SPLIT('(INGESTA)Datos_consumo_datadis'!A:A,"",""),"""")"),"ES0031408323131005HX0F")</f>
        <v>ES0031408323131005HX0F</v>
      </c>
      <c r="B13143" s="12">
        <f>IFERROR(__xludf.DUMMYFUNCTION("""COMPUTED_VALUE"""),45413.0)</f>
        <v>45413</v>
      </c>
      <c r="C13143" s="13">
        <f>IFERROR(__xludf.DUMMYFUNCTION("""COMPUTED_VALUE"""),0.625)</f>
        <v>0.625</v>
      </c>
      <c r="D13143" s="8">
        <f>IFERROR(__xludf.DUMMYFUNCTION("""COMPUTED_VALUE"""),0.17)</f>
        <v>0.17</v>
      </c>
      <c r="E13143" s="8" t="str">
        <f>IFERROR(__xludf.DUMMYFUNCTION("""COMPUTED_VALUE"""),"Real")</f>
        <v>Real</v>
      </c>
      <c r="G13143" s="8">
        <f t="shared" si="1"/>
        <v>5</v>
      </c>
      <c r="H13143" s="14">
        <f t="shared" si="2"/>
        <v>1</v>
      </c>
      <c r="I13143" s="15">
        <f t="shared" si="3"/>
        <v>15</v>
      </c>
    </row>
    <row r="13144">
      <c r="A13144" s="8" t="str">
        <f>IFERROR(__xludf.DUMMYFUNCTION("IF('(INGESTA)Datos_consumo_datadis'!A13144&lt;&gt;"""",SPLIT('(INGESTA)Datos_consumo_datadis'!A:A,"",""),"""")"),"ES0031408323131005HX0F")</f>
        <v>ES0031408323131005HX0F</v>
      </c>
      <c r="B13144" s="12">
        <f>IFERROR(__xludf.DUMMYFUNCTION("""COMPUTED_VALUE"""),45413.0)</f>
        <v>45413</v>
      </c>
      <c r="C13144" s="13">
        <f>IFERROR(__xludf.DUMMYFUNCTION("""COMPUTED_VALUE"""),0.6666666666666666)</f>
        <v>0.6666666667</v>
      </c>
      <c r="D13144" s="8">
        <f>IFERROR(__xludf.DUMMYFUNCTION("""COMPUTED_VALUE"""),0.197)</f>
        <v>0.197</v>
      </c>
      <c r="E13144" s="8" t="str">
        <f>IFERROR(__xludf.DUMMYFUNCTION("""COMPUTED_VALUE"""),"Real")</f>
        <v>Real</v>
      </c>
      <c r="G13144" s="8">
        <f t="shared" si="1"/>
        <v>5</v>
      </c>
      <c r="H13144" s="14">
        <f t="shared" si="2"/>
        <v>1</v>
      </c>
      <c r="I13144" s="15">
        <f t="shared" si="3"/>
        <v>16</v>
      </c>
    </row>
    <row r="13145">
      <c r="A13145" s="8" t="str">
        <f>IFERROR(__xludf.DUMMYFUNCTION("IF('(INGESTA)Datos_consumo_datadis'!A13145&lt;&gt;"""",SPLIT('(INGESTA)Datos_consumo_datadis'!A:A,"",""),"""")"),"ES0031408323131005HX0F")</f>
        <v>ES0031408323131005HX0F</v>
      </c>
      <c r="B13145" s="12">
        <f>IFERROR(__xludf.DUMMYFUNCTION("""COMPUTED_VALUE"""),45413.0)</f>
        <v>45413</v>
      </c>
      <c r="C13145" s="13">
        <f>IFERROR(__xludf.DUMMYFUNCTION("""COMPUTED_VALUE"""),0.7083333333333334)</f>
        <v>0.7083333333</v>
      </c>
      <c r="D13145" s="8">
        <f>IFERROR(__xludf.DUMMYFUNCTION("""COMPUTED_VALUE"""),1.106)</f>
        <v>1.106</v>
      </c>
      <c r="E13145" s="8" t="str">
        <f>IFERROR(__xludf.DUMMYFUNCTION("""COMPUTED_VALUE"""),"Real")</f>
        <v>Real</v>
      </c>
      <c r="G13145" s="8">
        <f t="shared" si="1"/>
        <v>5</v>
      </c>
      <c r="H13145" s="14">
        <f t="shared" si="2"/>
        <v>1</v>
      </c>
      <c r="I13145" s="15">
        <f t="shared" si="3"/>
        <v>17</v>
      </c>
    </row>
    <row r="13146">
      <c r="A13146" s="8" t="str">
        <f>IFERROR(__xludf.DUMMYFUNCTION("IF('(INGESTA)Datos_consumo_datadis'!A13146&lt;&gt;"""",SPLIT('(INGESTA)Datos_consumo_datadis'!A:A,"",""),"""")"),"ES0031408323131005HX0F")</f>
        <v>ES0031408323131005HX0F</v>
      </c>
      <c r="B13146" s="12">
        <f>IFERROR(__xludf.DUMMYFUNCTION("""COMPUTED_VALUE"""),45413.0)</f>
        <v>45413</v>
      </c>
      <c r="C13146" s="13">
        <f>IFERROR(__xludf.DUMMYFUNCTION("""COMPUTED_VALUE"""),0.75)</f>
        <v>0.75</v>
      </c>
      <c r="D13146" s="8">
        <f>IFERROR(__xludf.DUMMYFUNCTION("""COMPUTED_VALUE"""),0.07)</f>
        <v>0.07</v>
      </c>
      <c r="E13146" s="8" t="str">
        <f>IFERROR(__xludf.DUMMYFUNCTION("""COMPUTED_VALUE"""),"Real")</f>
        <v>Real</v>
      </c>
      <c r="G13146" s="8">
        <f t="shared" si="1"/>
        <v>5</v>
      </c>
      <c r="H13146" s="14">
        <f t="shared" si="2"/>
        <v>1</v>
      </c>
      <c r="I13146" s="15">
        <f t="shared" si="3"/>
        <v>18</v>
      </c>
    </row>
    <row r="13147">
      <c r="A13147" s="8" t="str">
        <f>IFERROR(__xludf.DUMMYFUNCTION("IF('(INGESTA)Datos_consumo_datadis'!A13147&lt;&gt;"""",SPLIT('(INGESTA)Datos_consumo_datadis'!A:A,"",""),"""")"),"ES0031408323131005HX0F")</f>
        <v>ES0031408323131005HX0F</v>
      </c>
      <c r="B13147" s="12">
        <f>IFERROR(__xludf.DUMMYFUNCTION("""COMPUTED_VALUE"""),45413.0)</f>
        <v>45413</v>
      </c>
      <c r="C13147" s="13">
        <f>IFERROR(__xludf.DUMMYFUNCTION("""COMPUTED_VALUE"""),0.7916666666666666)</f>
        <v>0.7916666667</v>
      </c>
      <c r="D13147" s="8">
        <f>IFERROR(__xludf.DUMMYFUNCTION("""COMPUTED_VALUE"""),0.049)</f>
        <v>0.049</v>
      </c>
      <c r="E13147" s="8" t="str">
        <f>IFERROR(__xludf.DUMMYFUNCTION("""COMPUTED_VALUE"""),"Real")</f>
        <v>Real</v>
      </c>
      <c r="G13147" s="8">
        <f t="shared" si="1"/>
        <v>5</v>
      </c>
      <c r="H13147" s="14">
        <f t="shared" si="2"/>
        <v>1</v>
      </c>
      <c r="I13147" s="15">
        <f t="shared" si="3"/>
        <v>19</v>
      </c>
    </row>
    <row r="13148">
      <c r="A13148" s="8" t="str">
        <f>IFERROR(__xludf.DUMMYFUNCTION("IF('(INGESTA)Datos_consumo_datadis'!A13148&lt;&gt;"""",SPLIT('(INGESTA)Datos_consumo_datadis'!A:A,"",""),"""")"),"ES0031408323131005HX0F")</f>
        <v>ES0031408323131005HX0F</v>
      </c>
      <c r="B13148" s="12">
        <f>IFERROR(__xludf.DUMMYFUNCTION("""COMPUTED_VALUE"""),45413.0)</f>
        <v>45413</v>
      </c>
      <c r="C13148" s="13">
        <f>IFERROR(__xludf.DUMMYFUNCTION("""COMPUTED_VALUE"""),0.8333333333333334)</f>
        <v>0.8333333333</v>
      </c>
      <c r="D13148" s="8">
        <f>IFERROR(__xludf.DUMMYFUNCTION("""COMPUTED_VALUE"""),0.066)</f>
        <v>0.066</v>
      </c>
      <c r="E13148" s="8" t="str">
        <f>IFERROR(__xludf.DUMMYFUNCTION("""COMPUTED_VALUE"""),"Real")</f>
        <v>Real</v>
      </c>
      <c r="G13148" s="8">
        <f t="shared" si="1"/>
        <v>5</v>
      </c>
      <c r="H13148" s="14">
        <f t="shared" si="2"/>
        <v>1</v>
      </c>
      <c r="I13148" s="15">
        <f t="shared" si="3"/>
        <v>20</v>
      </c>
    </row>
    <row r="13149">
      <c r="A13149" s="8" t="str">
        <f>IFERROR(__xludf.DUMMYFUNCTION("IF('(INGESTA)Datos_consumo_datadis'!A13149&lt;&gt;"""",SPLIT('(INGESTA)Datos_consumo_datadis'!A:A,"",""),"""")"),"ES0031408323131005HX0F")</f>
        <v>ES0031408323131005HX0F</v>
      </c>
      <c r="B13149" s="12">
        <f>IFERROR(__xludf.DUMMYFUNCTION("""COMPUTED_VALUE"""),45413.0)</f>
        <v>45413</v>
      </c>
      <c r="C13149" s="13">
        <f>IFERROR(__xludf.DUMMYFUNCTION("""COMPUTED_VALUE"""),0.875)</f>
        <v>0.875</v>
      </c>
      <c r="D13149" s="8">
        <f>IFERROR(__xludf.DUMMYFUNCTION("""COMPUTED_VALUE"""),0.052)</f>
        <v>0.052</v>
      </c>
      <c r="E13149" s="8" t="str">
        <f>IFERROR(__xludf.DUMMYFUNCTION("""COMPUTED_VALUE"""),"Real")</f>
        <v>Real</v>
      </c>
      <c r="G13149" s="8">
        <f t="shared" si="1"/>
        <v>5</v>
      </c>
      <c r="H13149" s="14">
        <f t="shared" si="2"/>
        <v>1</v>
      </c>
      <c r="I13149" s="15">
        <f t="shared" si="3"/>
        <v>21</v>
      </c>
    </row>
    <row r="13150">
      <c r="A13150" s="8" t="str">
        <f>IFERROR(__xludf.DUMMYFUNCTION("IF('(INGESTA)Datos_consumo_datadis'!A13150&lt;&gt;"""",SPLIT('(INGESTA)Datos_consumo_datadis'!A:A,"",""),"""")"),"ES0031408323131005HX0F")</f>
        <v>ES0031408323131005HX0F</v>
      </c>
      <c r="B13150" s="12">
        <f>IFERROR(__xludf.DUMMYFUNCTION("""COMPUTED_VALUE"""),45413.0)</f>
        <v>45413</v>
      </c>
      <c r="C13150" s="13">
        <f>IFERROR(__xludf.DUMMYFUNCTION("""COMPUTED_VALUE"""),0.9166666666666666)</f>
        <v>0.9166666667</v>
      </c>
      <c r="D13150" s="8">
        <f>IFERROR(__xludf.DUMMYFUNCTION("""COMPUTED_VALUE"""),0.381)</f>
        <v>0.381</v>
      </c>
      <c r="E13150" s="8" t="str">
        <f>IFERROR(__xludf.DUMMYFUNCTION("""COMPUTED_VALUE"""),"Real")</f>
        <v>Real</v>
      </c>
      <c r="G13150" s="8">
        <f t="shared" si="1"/>
        <v>5</v>
      </c>
      <c r="H13150" s="14">
        <f t="shared" si="2"/>
        <v>1</v>
      </c>
      <c r="I13150" s="15">
        <f t="shared" si="3"/>
        <v>22</v>
      </c>
    </row>
    <row r="13151">
      <c r="A13151" s="8" t="str">
        <f>IFERROR(__xludf.DUMMYFUNCTION("IF('(INGESTA)Datos_consumo_datadis'!A13151&lt;&gt;"""",SPLIT('(INGESTA)Datos_consumo_datadis'!A:A,"",""),"""")"),"ES0031408323131005HX0F")</f>
        <v>ES0031408323131005HX0F</v>
      </c>
      <c r="B13151" s="12">
        <f>IFERROR(__xludf.DUMMYFUNCTION("""COMPUTED_VALUE"""),45413.0)</f>
        <v>45413</v>
      </c>
      <c r="C13151" s="13">
        <f>IFERROR(__xludf.DUMMYFUNCTION("""COMPUTED_VALUE"""),0.9583333333333334)</f>
        <v>0.9583333333</v>
      </c>
      <c r="D13151" s="8">
        <f>IFERROR(__xludf.DUMMYFUNCTION("""COMPUTED_VALUE"""),1.026)</f>
        <v>1.026</v>
      </c>
      <c r="E13151" s="8" t="str">
        <f>IFERROR(__xludf.DUMMYFUNCTION("""COMPUTED_VALUE"""),"Real")</f>
        <v>Real</v>
      </c>
      <c r="G13151" s="8">
        <f t="shared" si="1"/>
        <v>5</v>
      </c>
      <c r="H13151" s="14">
        <f t="shared" si="2"/>
        <v>1</v>
      </c>
      <c r="I13151" s="15">
        <f t="shared" si="3"/>
        <v>23</v>
      </c>
    </row>
    <row r="13152">
      <c r="A13152" s="8" t="str">
        <f>IFERROR(__xludf.DUMMYFUNCTION("IF('(INGESTA)Datos_consumo_datadis'!A13152&lt;&gt;"""",SPLIT('(INGESTA)Datos_consumo_datadis'!A:A,"",""),"""")"),"ES0031408323131005HX0F")</f>
        <v>ES0031408323131005HX0F</v>
      </c>
      <c r="B13152" s="12">
        <f>IFERROR(__xludf.DUMMYFUNCTION("""COMPUTED_VALUE"""),45413.0)</f>
        <v>45413</v>
      </c>
      <c r="C13152" s="16">
        <f>IFERROR(__xludf.DUMMYFUNCTION("""COMPUTED_VALUE"""),1.0)</f>
        <v>1</v>
      </c>
      <c r="D13152" s="8">
        <f>IFERROR(__xludf.DUMMYFUNCTION("""COMPUTED_VALUE"""),2.509)</f>
        <v>2.509</v>
      </c>
      <c r="E13152" s="8" t="str">
        <f>IFERROR(__xludf.DUMMYFUNCTION("""COMPUTED_VALUE"""),"Real")</f>
        <v>Real</v>
      </c>
      <c r="G13152" s="8">
        <f t="shared" si="1"/>
        <v>5</v>
      </c>
      <c r="H13152" s="14">
        <f t="shared" si="2"/>
        <v>1</v>
      </c>
      <c r="I13152" s="15">
        <f t="shared" si="3"/>
        <v>0</v>
      </c>
    </row>
    <row r="13153">
      <c r="A13153" s="8" t="str">
        <f>IFERROR(__xludf.DUMMYFUNCTION("IF('(INGESTA)Datos_consumo_datadis'!A13153&lt;&gt;"""",SPLIT('(INGESTA)Datos_consumo_datadis'!A:A,"",""),"""")"),"ES0031408323131005HX0F")</f>
        <v>ES0031408323131005HX0F</v>
      </c>
      <c r="B13153" s="12">
        <f>IFERROR(__xludf.DUMMYFUNCTION("""COMPUTED_VALUE"""),45414.0)</f>
        <v>45414</v>
      </c>
      <c r="C13153" s="13">
        <f>IFERROR(__xludf.DUMMYFUNCTION("""COMPUTED_VALUE"""),0.041666666666666664)</f>
        <v>0.04166666667</v>
      </c>
      <c r="D13153" s="8">
        <f>IFERROR(__xludf.DUMMYFUNCTION("""COMPUTED_VALUE"""),0.062)</f>
        <v>0.062</v>
      </c>
      <c r="E13153" s="8" t="str">
        <f>IFERROR(__xludf.DUMMYFUNCTION("""COMPUTED_VALUE"""),"Real")</f>
        <v>Real</v>
      </c>
      <c r="G13153" s="8">
        <f t="shared" si="1"/>
        <v>5</v>
      </c>
      <c r="H13153" s="14">
        <f t="shared" si="2"/>
        <v>2</v>
      </c>
      <c r="I13153" s="15">
        <f t="shared" si="3"/>
        <v>1</v>
      </c>
    </row>
    <row r="13154">
      <c r="A13154" s="8" t="str">
        <f>IFERROR(__xludf.DUMMYFUNCTION("IF('(INGESTA)Datos_consumo_datadis'!A13154&lt;&gt;"""",SPLIT('(INGESTA)Datos_consumo_datadis'!A:A,"",""),"""")"),"ES0031408323131005HX0F")</f>
        <v>ES0031408323131005HX0F</v>
      </c>
      <c r="B13154" s="12">
        <f>IFERROR(__xludf.DUMMYFUNCTION("""COMPUTED_VALUE"""),45414.0)</f>
        <v>45414</v>
      </c>
      <c r="C13154" s="13">
        <f>IFERROR(__xludf.DUMMYFUNCTION("""COMPUTED_VALUE"""),0.08333333333333333)</f>
        <v>0.08333333333</v>
      </c>
      <c r="D13154" s="8">
        <f>IFERROR(__xludf.DUMMYFUNCTION("""COMPUTED_VALUE"""),0.081)</f>
        <v>0.081</v>
      </c>
      <c r="E13154" s="8" t="str">
        <f>IFERROR(__xludf.DUMMYFUNCTION("""COMPUTED_VALUE"""),"Real")</f>
        <v>Real</v>
      </c>
      <c r="G13154" s="8">
        <f t="shared" si="1"/>
        <v>5</v>
      </c>
      <c r="H13154" s="14">
        <f t="shared" si="2"/>
        <v>2</v>
      </c>
      <c r="I13154" s="15">
        <f t="shared" si="3"/>
        <v>2</v>
      </c>
    </row>
    <row r="13155">
      <c r="A13155" s="8" t="str">
        <f>IFERROR(__xludf.DUMMYFUNCTION("IF('(INGESTA)Datos_consumo_datadis'!A13155&lt;&gt;"""",SPLIT('(INGESTA)Datos_consumo_datadis'!A:A,"",""),"""")"),"ES0031408323131005HX0F")</f>
        <v>ES0031408323131005HX0F</v>
      </c>
      <c r="B13155" s="12">
        <f>IFERROR(__xludf.DUMMYFUNCTION("""COMPUTED_VALUE"""),45414.0)</f>
        <v>45414</v>
      </c>
      <c r="C13155" s="13">
        <f>IFERROR(__xludf.DUMMYFUNCTION("""COMPUTED_VALUE"""),0.125)</f>
        <v>0.125</v>
      </c>
      <c r="D13155" s="8">
        <f>IFERROR(__xludf.DUMMYFUNCTION("""COMPUTED_VALUE"""),0.036)</f>
        <v>0.036</v>
      </c>
      <c r="E13155" s="8" t="str">
        <f>IFERROR(__xludf.DUMMYFUNCTION("""COMPUTED_VALUE"""),"Real")</f>
        <v>Real</v>
      </c>
      <c r="G13155" s="8">
        <f t="shared" si="1"/>
        <v>5</v>
      </c>
      <c r="H13155" s="14">
        <f t="shared" si="2"/>
        <v>2</v>
      </c>
      <c r="I13155" s="15">
        <f t="shared" si="3"/>
        <v>3</v>
      </c>
    </row>
    <row r="13156">
      <c r="A13156" s="8" t="str">
        <f>IFERROR(__xludf.DUMMYFUNCTION("IF('(INGESTA)Datos_consumo_datadis'!A13156&lt;&gt;"""",SPLIT('(INGESTA)Datos_consumo_datadis'!A:A,"",""),"""")"),"ES0031408323131005HX0F")</f>
        <v>ES0031408323131005HX0F</v>
      </c>
      <c r="B13156" s="12">
        <f>IFERROR(__xludf.DUMMYFUNCTION("""COMPUTED_VALUE"""),45414.0)</f>
        <v>45414</v>
      </c>
      <c r="C13156" s="13">
        <f>IFERROR(__xludf.DUMMYFUNCTION("""COMPUTED_VALUE"""),0.16666666666666666)</f>
        <v>0.1666666667</v>
      </c>
      <c r="D13156" s="8">
        <f>IFERROR(__xludf.DUMMYFUNCTION("""COMPUTED_VALUE"""),0.34)</f>
        <v>0.34</v>
      </c>
      <c r="E13156" s="8" t="str">
        <f>IFERROR(__xludf.DUMMYFUNCTION("""COMPUTED_VALUE"""),"Real")</f>
        <v>Real</v>
      </c>
      <c r="G13156" s="8">
        <f t="shared" si="1"/>
        <v>5</v>
      </c>
      <c r="H13156" s="14">
        <f t="shared" si="2"/>
        <v>2</v>
      </c>
      <c r="I13156" s="15">
        <f t="shared" si="3"/>
        <v>4</v>
      </c>
    </row>
    <row r="13157">
      <c r="A13157" s="8" t="str">
        <f>IFERROR(__xludf.DUMMYFUNCTION("IF('(INGESTA)Datos_consumo_datadis'!A13157&lt;&gt;"""",SPLIT('(INGESTA)Datos_consumo_datadis'!A:A,"",""),"""")"),"ES0031408323131005HX0F")</f>
        <v>ES0031408323131005HX0F</v>
      </c>
      <c r="B13157" s="12">
        <f>IFERROR(__xludf.DUMMYFUNCTION("""COMPUTED_VALUE"""),45414.0)</f>
        <v>45414</v>
      </c>
      <c r="C13157" s="13">
        <f>IFERROR(__xludf.DUMMYFUNCTION("""COMPUTED_VALUE"""),0.20833333333333334)</f>
        <v>0.2083333333</v>
      </c>
      <c r="D13157" s="8">
        <f>IFERROR(__xludf.DUMMYFUNCTION("""COMPUTED_VALUE"""),0.052)</f>
        <v>0.052</v>
      </c>
      <c r="E13157" s="8" t="str">
        <f>IFERROR(__xludf.DUMMYFUNCTION("""COMPUTED_VALUE"""),"Real")</f>
        <v>Real</v>
      </c>
      <c r="G13157" s="8">
        <f t="shared" si="1"/>
        <v>5</v>
      </c>
      <c r="H13157" s="14">
        <f t="shared" si="2"/>
        <v>2</v>
      </c>
      <c r="I13157" s="15">
        <f t="shared" si="3"/>
        <v>5</v>
      </c>
    </row>
    <row r="13158">
      <c r="A13158" s="8" t="str">
        <f>IFERROR(__xludf.DUMMYFUNCTION("IF('(INGESTA)Datos_consumo_datadis'!A13158&lt;&gt;"""",SPLIT('(INGESTA)Datos_consumo_datadis'!A:A,"",""),"""")"),"ES0031408323131005HX0F")</f>
        <v>ES0031408323131005HX0F</v>
      </c>
      <c r="B13158" s="12">
        <f>IFERROR(__xludf.DUMMYFUNCTION("""COMPUTED_VALUE"""),45414.0)</f>
        <v>45414</v>
      </c>
      <c r="C13158" s="13">
        <f>IFERROR(__xludf.DUMMYFUNCTION("""COMPUTED_VALUE"""),0.25)</f>
        <v>0.25</v>
      </c>
      <c r="D13158" s="8">
        <f>IFERROR(__xludf.DUMMYFUNCTION("""COMPUTED_VALUE"""),0.064)</f>
        <v>0.064</v>
      </c>
      <c r="E13158" s="8" t="str">
        <f>IFERROR(__xludf.DUMMYFUNCTION("""COMPUTED_VALUE"""),"Real")</f>
        <v>Real</v>
      </c>
      <c r="G13158" s="8">
        <f t="shared" si="1"/>
        <v>5</v>
      </c>
      <c r="H13158" s="14">
        <f t="shared" si="2"/>
        <v>2</v>
      </c>
      <c r="I13158" s="15">
        <f t="shared" si="3"/>
        <v>6</v>
      </c>
    </row>
    <row r="13159">
      <c r="A13159" s="8" t="str">
        <f>IFERROR(__xludf.DUMMYFUNCTION("IF('(INGESTA)Datos_consumo_datadis'!A13159&lt;&gt;"""",SPLIT('(INGESTA)Datos_consumo_datadis'!A:A,"",""),"""")"),"ES0031408323131005HX0F")</f>
        <v>ES0031408323131005HX0F</v>
      </c>
      <c r="B13159" s="12">
        <f>IFERROR(__xludf.DUMMYFUNCTION("""COMPUTED_VALUE"""),45414.0)</f>
        <v>45414</v>
      </c>
      <c r="C13159" s="13">
        <f>IFERROR(__xludf.DUMMYFUNCTION("""COMPUTED_VALUE"""),0.2916666666666667)</f>
        <v>0.2916666667</v>
      </c>
      <c r="D13159" s="8">
        <f>IFERROR(__xludf.DUMMYFUNCTION("""COMPUTED_VALUE"""),0.051)</f>
        <v>0.051</v>
      </c>
      <c r="E13159" s="8" t="str">
        <f>IFERROR(__xludf.DUMMYFUNCTION("""COMPUTED_VALUE"""),"Real")</f>
        <v>Real</v>
      </c>
      <c r="G13159" s="8">
        <f t="shared" si="1"/>
        <v>5</v>
      </c>
      <c r="H13159" s="14">
        <f t="shared" si="2"/>
        <v>2</v>
      </c>
      <c r="I13159" s="15">
        <f t="shared" si="3"/>
        <v>7</v>
      </c>
    </row>
    <row r="13160">
      <c r="A13160" s="8" t="str">
        <f>IFERROR(__xludf.DUMMYFUNCTION("IF('(INGESTA)Datos_consumo_datadis'!A13160&lt;&gt;"""",SPLIT('(INGESTA)Datos_consumo_datadis'!A:A,"",""),"""")"),"ES0031408323131005HX0F")</f>
        <v>ES0031408323131005HX0F</v>
      </c>
      <c r="B13160" s="12">
        <f>IFERROR(__xludf.DUMMYFUNCTION("""COMPUTED_VALUE"""),45414.0)</f>
        <v>45414</v>
      </c>
      <c r="C13160" s="13">
        <f>IFERROR(__xludf.DUMMYFUNCTION("""COMPUTED_VALUE"""),0.3333333333333333)</f>
        <v>0.3333333333</v>
      </c>
      <c r="D13160" s="8">
        <f>IFERROR(__xludf.DUMMYFUNCTION("""COMPUTED_VALUE"""),0.063)</f>
        <v>0.063</v>
      </c>
      <c r="E13160" s="8" t="str">
        <f>IFERROR(__xludf.DUMMYFUNCTION("""COMPUTED_VALUE"""),"Real")</f>
        <v>Real</v>
      </c>
      <c r="G13160" s="8">
        <f t="shared" si="1"/>
        <v>5</v>
      </c>
      <c r="H13160" s="14">
        <f t="shared" si="2"/>
        <v>2</v>
      </c>
      <c r="I13160" s="15">
        <f t="shared" si="3"/>
        <v>8</v>
      </c>
    </row>
    <row r="13161">
      <c r="A13161" s="8" t="str">
        <f>IFERROR(__xludf.DUMMYFUNCTION("IF('(INGESTA)Datos_consumo_datadis'!A13161&lt;&gt;"""",SPLIT('(INGESTA)Datos_consumo_datadis'!A:A,"",""),"""")"),"ES0031408323131005HX0F")</f>
        <v>ES0031408323131005HX0F</v>
      </c>
      <c r="B13161" s="12">
        <f>IFERROR(__xludf.DUMMYFUNCTION("""COMPUTED_VALUE"""),45414.0)</f>
        <v>45414</v>
      </c>
      <c r="C13161" s="13">
        <f>IFERROR(__xludf.DUMMYFUNCTION("""COMPUTED_VALUE"""),0.375)</f>
        <v>0.375</v>
      </c>
      <c r="D13161" s="8">
        <f>IFERROR(__xludf.DUMMYFUNCTION("""COMPUTED_VALUE"""),0.051)</f>
        <v>0.051</v>
      </c>
      <c r="E13161" s="8" t="str">
        <f>IFERROR(__xludf.DUMMYFUNCTION("""COMPUTED_VALUE"""),"Real")</f>
        <v>Real</v>
      </c>
      <c r="G13161" s="8">
        <f t="shared" si="1"/>
        <v>5</v>
      </c>
      <c r="H13161" s="14">
        <f t="shared" si="2"/>
        <v>2</v>
      </c>
      <c r="I13161" s="15">
        <f t="shared" si="3"/>
        <v>9</v>
      </c>
    </row>
    <row r="13162">
      <c r="A13162" s="8" t="str">
        <f>IFERROR(__xludf.DUMMYFUNCTION("IF('(INGESTA)Datos_consumo_datadis'!A13162&lt;&gt;"""",SPLIT('(INGESTA)Datos_consumo_datadis'!A:A,"",""),"""")"),"ES0031408323131005HX0F")</f>
        <v>ES0031408323131005HX0F</v>
      </c>
      <c r="B13162" s="12">
        <f>IFERROR(__xludf.DUMMYFUNCTION("""COMPUTED_VALUE"""),45414.0)</f>
        <v>45414</v>
      </c>
      <c r="C13162" s="13">
        <f>IFERROR(__xludf.DUMMYFUNCTION("""COMPUTED_VALUE"""),0.4166666666666667)</f>
        <v>0.4166666667</v>
      </c>
      <c r="D13162" s="8">
        <f>IFERROR(__xludf.DUMMYFUNCTION("""COMPUTED_VALUE"""),0.337)</f>
        <v>0.337</v>
      </c>
      <c r="E13162" s="8" t="str">
        <f>IFERROR(__xludf.DUMMYFUNCTION("""COMPUTED_VALUE"""),"Real")</f>
        <v>Real</v>
      </c>
      <c r="G13162" s="8">
        <f t="shared" si="1"/>
        <v>5</v>
      </c>
      <c r="H13162" s="14">
        <f t="shared" si="2"/>
        <v>2</v>
      </c>
      <c r="I13162" s="15">
        <f t="shared" si="3"/>
        <v>10</v>
      </c>
    </row>
    <row r="13163">
      <c r="A13163" s="8" t="str">
        <f>IFERROR(__xludf.DUMMYFUNCTION("IF('(INGESTA)Datos_consumo_datadis'!A13163&lt;&gt;"""",SPLIT('(INGESTA)Datos_consumo_datadis'!A:A,"",""),"""")"),"ES0031408323131005HX0F")</f>
        <v>ES0031408323131005HX0F</v>
      </c>
      <c r="B13163" s="12">
        <f>IFERROR(__xludf.DUMMYFUNCTION("""COMPUTED_VALUE"""),45414.0)</f>
        <v>45414</v>
      </c>
      <c r="C13163" s="13">
        <f>IFERROR(__xludf.DUMMYFUNCTION("""COMPUTED_VALUE"""),0.4583333333333333)</f>
        <v>0.4583333333</v>
      </c>
      <c r="D13163" s="8">
        <f>IFERROR(__xludf.DUMMYFUNCTION("""COMPUTED_VALUE"""),0.215)</f>
        <v>0.215</v>
      </c>
      <c r="E13163" s="8" t="str">
        <f>IFERROR(__xludf.DUMMYFUNCTION("""COMPUTED_VALUE"""),"Real")</f>
        <v>Real</v>
      </c>
      <c r="G13163" s="8">
        <f t="shared" si="1"/>
        <v>5</v>
      </c>
      <c r="H13163" s="14">
        <f t="shared" si="2"/>
        <v>2</v>
      </c>
      <c r="I13163" s="15">
        <f t="shared" si="3"/>
        <v>11</v>
      </c>
    </row>
    <row r="13164">
      <c r="A13164" s="8" t="str">
        <f>IFERROR(__xludf.DUMMYFUNCTION("IF('(INGESTA)Datos_consumo_datadis'!A13164&lt;&gt;"""",SPLIT('(INGESTA)Datos_consumo_datadis'!A:A,"",""),"""")"),"ES0031408323131005HX0F")</f>
        <v>ES0031408323131005HX0F</v>
      </c>
      <c r="B13164" s="12">
        <f>IFERROR(__xludf.DUMMYFUNCTION("""COMPUTED_VALUE"""),45414.0)</f>
        <v>45414</v>
      </c>
      <c r="C13164" s="13">
        <f>IFERROR(__xludf.DUMMYFUNCTION("""COMPUTED_VALUE"""),0.5)</f>
        <v>0.5</v>
      </c>
      <c r="D13164" s="8">
        <f>IFERROR(__xludf.DUMMYFUNCTION("""COMPUTED_VALUE"""),0.033)</f>
        <v>0.033</v>
      </c>
      <c r="E13164" s="8" t="str">
        <f>IFERROR(__xludf.DUMMYFUNCTION("""COMPUTED_VALUE"""),"Real")</f>
        <v>Real</v>
      </c>
      <c r="G13164" s="8">
        <f t="shared" si="1"/>
        <v>5</v>
      </c>
      <c r="H13164" s="14">
        <f t="shared" si="2"/>
        <v>2</v>
      </c>
      <c r="I13164" s="15">
        <f t="shared" si="3"/>
        <v>12</v>
      </c>
    </row>
    <row r="13165">
      <c r="A13165" s="8" t="str">
        <f>IFERROR(__xludf.DUMMYFUNCTION("IF('(INGESTA)Datos_consumo_datadis'!A13165&lt;&gt;"""",SPLIT('(INGESTA)Datos_consumo_datadis'!A:A,"",""),"""")"),"ES0031408323131005HX0F")</f>
        <v>ES0031408323131005HX0F</v>
      </c>
      <c r="B13165" s="12">
        <f>IFERROR(__xludf.DUMMYFUNCTION("""COMPUTED_VALUE"""),45414.0)</f>
        <v>45414</v>
      </c>
      <c r="C13165" s="13">
        <f>IFERROR(__xludf.DUMMYFUNCTION("""COMPUTED_VALUE"""),0.5416666666666666)</f>
        <v>0.5416666667</v>
      </c>
      <c r="D13165" s="8">
        <f>IFERROR(__xludf.DUMMYFUNCTION("""COMPUTED_VALUE"""),0.065)</f>
        <v>0.065</v>
      </c>
      <c r="E13165" s="8" t="str">
        <f>IFERROR(__xludf.DUMMYFUNCTION("""COMPUTED_VALUE"""),"Real")</f>
        <v>Real</v>
      </c>
      <c r="G13165" s="8">
        <f t="shared" si="1"/>
        <v>5</v>
      </c>
      <c r="H13165" s="14">
        <f t="shared" si="2"/>
        <v>2</v>
      </c>
      <c r="I13165" s="15">
        <f t="shared" si="3"/>
        <v>13</v>
      </c>
    </row>
    <row r="13166">
      <c r="A13166" s="8" t="str">
        <f>IFERROR(__xludf.DUMMYFUNCTION("IF('(INGESTA)Datos_consumo_datadis'!A13166&lt;&gt;"""",SPLIT('(INGESTA)Datos_consumo_datadis'!A:A,"",""),"""")"),"ES0031408323131005HX0F")</f>
        <v>ES0031408323131005HX0F</v>
      </c>
      <c r="B13166" s="12">
        <f>IFERROR(__xludf.DUMMYFUNCTION("""COMPUTED_VALUE"""),45414.0)</f>
        <v>45414</v>
      </c>
      <c r="C13166" s="13">
        <f>IFERROR(__xludf.DUMMYFUNCTION("""COMPUTED_VALUE"""),0.5833333333333334)</f>
        <v>0.5833333333</v>
      </c>
      <c r="D13166" s="8">
        <f>IFERROR(__xludf.DUMMYFUNCTION("""COMPUTED_VALUE"""),0.05)</f>
        <v>0.05</v>
      </c>
      <c r="E13166" s="8" t="str">
        <f>IFERROR(__xludf.DUMMYFUNCTION("""COMPUTED_VALUE"""),"Real")</f>
        <v>Real</v>
      </c>
      <c r="G13166" s="8">
        <f t="shared" si="1"/>
        <v>5</v>
      </c>
      <c r="H13166" s="14">
        <f t="shared" si="2"/>
        <v>2</v>
      </c>
      <c r="I13166" s="15">
        <f t="shared" si="3"/>
        <v>14</v>
      </c>
    </row>
    <row r="13167">
      <c r="A13167" s="8" t="str">
        <f>IFERROR(__xludf.DUMMYFUNCTION("IF('(INGESTA)Datos_consumo_datadis'!A13167&lt;&gt;"""",SPLIT('(INGESTA)Datos_consumo_datadis'!A:A,"",""),"""")"),"ES0031408323131005HX0F")</f>
        <v>ES0031408323131005HX0F</v>
      </c>
      <c r="B13167" s="12">
        <f>IFERROR(__xludf.DUMMYFUNCTION("""COMPUTED_VALUE"""),45414.0)</f>
        <v>45414</v>
      </c>
      <c r="C13167" s="13">
        <f>IFERROR(__xludf.DUMMYFUNCTION("""COMPUTED_VALUE"""),0.625)</f>
        <v>0.625</v>
      </c>
      <c r="D13167" s="8">
        <f>IFERROR(__xludf.DUMMYFUNCTION("""COMPUTED_VALUE"""),0.362)</f>
        <v>0.362</v>
      </c>
      <c r="E13167" s="8" t="str">
        <f>IFERROR(__xludf.DUMMYFUNCTION("""COMPUTED_VALUE"""),"Real")</f>
        <v>Real</v>
      </c>
      <c r="G13167" s="8">
        <f t="shared" si="1"/>
        <v>5</v>
      </c>
      <c r="H13167" s="14">
        <f t="shared" si="2"/>
        <v>2</v>
      </c>
      <c r="I13167" s="15">
        <f t="shared" si="3"/>
        <v>15</v>
      </c>
    </row>
    <row r="13168">
      <c r="A13168" s="8" t="str">
        <f>IFERROR(__xludf.DUMMYFUNCTION("IF('(INGESTA)Datos_consumo_datadis'!A13168&lt;&gt;"""",SPLIT('(INGESTA)Datos_consumo_datadis'!A:A,"",""),"""")"),"ES0031408323131005HX0F")</f>
        <v>ES0031408323131005HX0F</v>
      </c>
      <c r="B13168" s="12">
        <f>IFERROR(__xludf.DUMMYFUNCTION("""COMPUTED_VALUE"""),45414.0)</f>
        <v>45414</v>
      </c>
      <c r="C13168" s="13">
        <f>IFERROR(__xludf.DUMMYFUNCTION("""COMPUTED_VALUE"""),0.6666666666666666)</f>
        <v>0.6666666667</v>
      </c>
      <c r="D13168" s="8">
        <f>IFERROR(__xludf.DUMMYFUNCTION("""COMPUTED_VALUE"""),0.052)</f>
        <v>0.052</v>
      </c>
      <c r="E13168" s="8" t="str">
        <f>IFERROR(__xludf.DUMMYFUNCTION("""COMPUTED_VALUE"""),"Real")</f>
        <v>Real</v>
      </c>
      <c r="G13168" s="8">
        <f t="shared" si="1"/>
        <v>5</v>
      </c>
      <c r="H13168" s="14">
        <f t="shared" si="2"/>
        <v>2</v>
      </c>
      <c r="I13168" s="15">
        <f t="shared" si="3"/>
        <v>16</v>
      </c>
    </row>
    <row r="13169">
      <c r="A13169" s="8" t="str">
        <f>IFERROR(__xludf.DUMMYFUNCTION("IF('(INGESTA)Datos_consumo_datadis'!A13169&lt;&gt;"""",SPLIT('(INGESTA)Datos_consumo_datadis'!A:A,"",""),"""")"),"ES0031408323131005HX0F")</f>
        <v>ES0031408323131005HX0F</v>
      </c>
      <c r="B13169" s="12">
        <f>IFERROR(__xludf.DUMMYFUNCTION("""COMPUTED_VALUE"""),45414.0)</f>
        <v>45414</v>
      </c>
      <c r="C13169" s="13">
        <f>IFERROR(__xludf.DUMMYFUNCTION("""COMPUTED_VALUE"""),0.7083333333333334)</f>
        <v>0.7083333333</v>
      </c>
      <c r="D13169" s="8">
        <f>IFERROR(__xludf.DUMMYFUNCTION("""COMPUTED_VALUE"""),0.065)</f>
        <v>0.065</v>
      </c>
      <c r="E13169" s="8" t="str">
        <f>IFERROR(__xludf.DUMMYFUNCTION("""COMPUTED_VALUE"""),"Real")</f>
        <v>Real</v>
      </c>
      <c r="G13169" s="8">
        <f t="shared" si="1"/>
        <v>5</v>
      </c>
      <c r="H13169" s="14">
        <f t="shared" si="2"/>
        <v>2</v>
      </c>
      <c r="I13169" s="15">
        <f t="shared" si="3"/>
        <v>17</v>
      </c>
    </row>
    <row r="13170">
      <c r="A13170" s="8" t="str">
        <f>IFERROR(__xludf.DUMMYFUNCTION("IF('(INGESTA)Datos_consumo_datadis'!A13170&lt;&gt;"""",SPLIT('(INGESTA)Datos_consumo_datadis'!A:A,"",""),"""")"),"ES0031408323131005HX0F")</f>
        <v>ES0031408323131005HX0F</v>
      </c>
      <c r="B13170" s="12">
        <f>IFERROR(__xludf.DUMMYFUNCTION("""COMPUTED_VALUE"""),45414.0)</f>
        <v>45414</v>
      </c>
      <c r="C13170" s="13">
        <f>IFERROR(__xludf.DUMMYFUNCTION("""COMPUTED_VALUE"""),0.75)</f>
        <v>0.75</v>
      </c>
      <c r="D13170" s="8">
        <f>IFERROR(__xludf.DUMMYFUNCTION("""COMPUTED_VALUE"""),0.052)</f>
        <v>0.052</v>
      </c>
      <c r="E13170" s="8" t="str">
        <f>IFERROR(__xludf.DUMMYFUNCTION("""COMPUTED_VALUE"""),"Real")</f>
        <v>Real</v>
      </c>
      <c r="G13170" s="8">
        <f t="shared" si="1"/>
        <v>5</v>
      </c>
      <c r="H13170" s="14">
        <f t="shared" si="2"/>
        <v>2</v>
      </c>
      <c r="I13170" s="15">
        <f t="shared" si="3"/>
        <v>18</v>
      </c>
    </row>
    <row r="13171">
      <c r="A13171" s="8" t="str">
        <f>IFERROR(__xludf.DUMMYFUNCTION("IF('(INGESTA)Datos_consumo_datadis'!A13171&lt;&gt;"""",SPLIT('(INGESTA)Datos_consumo_datadis'!A:A,"",""),"""")"),"ES0031408323131005HX0F")</f>
        <v>ES0031408323131005HX0F</v>
      </c>
      <c r="B13171" s="12">
        <f>IFERROR(__xludf.DUMMYFUNCTION("""COMPUTED_VALUE"""),45414.0)</f>
        <v>45414</v>
      </c>
      <c r="C13171" s="13">
        <f>IFERROR(__xludf.DUMMYFUNCTION("""COMPUTED_VALUE"""),0.7916666666666666)</f>
        <v>0.7916666667</v>
      </c>
      <c r="D13171" s="8">
        <f>IFERROR(__xludf.DUMMYFUNCTION("""COMPUTED_VALUE"""),0.054)</f>
        <v>0.054</v>
      </c>
      <c r="E13171" s="8" t="str">
        <f>IFERROR(__xludf.DUMMYFUNCTION("""COMPUTED_VALUE"""),"Real")</f>
        <v>Real</v>
      </c>
      <c r="G13171" s="8">
        <f t="shared" si="1"/>
        <v>5</v>
      </c>
      <c r="H13171" s="14">
        <f t="shared" si="2"/>
        <v>2</v>
      </c>
      <c r="I13171" s="15">
        <f t="shared" si="3"/>
        <v>19</v>
      </c>
    </row>
    <row r="13172">
      <c r="A13172" s="8" t="str">
        <f>IFERROR(__xludf.DUMMYFUNCTION("IF('(INGESTA)Datos_consumo_datadis'!A13172&lt;&gt;"""",SPLIT('(INGESTA)Datos_consumo_datadis'!A:A,"",""),"""")"),"ES0031408323131005HX0F")</f>
        <v>ES0031408323131005HX0F</v>
      </c>
      <c r="B13172" s="12">
        <f>IFERROR(__xludf.DUMMYFUNCTION("""COMPUTED_VALUE"""),45414.0)</f>
        <v>45414</v>
      </c>
      <c r="C13172" s="13">
        <f>IFERROR(__xludf.DUMMYFUNCTION("""COMPUTED_VALUE"""),0.8333333333333334)</f>
        <v>0.8333333333</v>
      </c>
      <c r="D13172" s="8">
        <f>IFERROR(__xludf.DUMMYFUNCTION("""COMPUTED_VALUE"""),0.063)</f>
        <v>0.063</v>
      </c>
      <c r="E13172" s="8" t="str">
        <f>IFERROR(__xludf.DUMMYFUNCTION("""COMPUTED_VALUE"""),"Real")</f>
        <v>Real</v>
      </c>
      <c r="G13172" s="8">
        <f t="shared" si="1"/>
        <v>5</v>
      </c>
      <c r="H13172" s="14">
        <f t="shared" si="2"/>
        <v>2</v>
      </c>
      <c r="I13172" s="15">
        <f t="shared" si="3"/>
        <v>20</v>
      </c>
    </row>
    <row r="13173">
      <c r="A13173" s="8" t="str">
        <f>IFERROR(__xludf.DUMMYFUNCTION("IF('(INGESTA)Datos_consumo_datadis'!A13173&lt;&gt;"""",SPLIT('(INGESTA)Datos_consumo_datadis'!A:A,"",""),"""")"),"ES0031408323131005HX0F")</f>
        <v>ES0031408323131005HX0F</v>
      </c>
      <c r="B13173" s="12">
        <f>IFERROR(__xludf.DUMMYFUNCTION("""COMPUTED_VALUE"""),45414.0)</f>
        <v>45414</v>
      </c>
      <c r="C13173" s="13">
        <f>IFERROR(__xludf.DUMMYFUNCTION("""COMPUTED_VALUE"""),0.875)</f>
        <v>0.875</v>
      </c>
      <c r="D13173" s="8">
        <f>IFERROR(__xludf.DUMMYFUNCTION("""COMPUTED_VALUE"""),0.31)</f>
        <v>0.31</v>
      </c>
      <c r="E13173" s="8" t="str">
        <f>IFERROR(__xludf.DUMMYFUNCTION("""COMPUTED_VALUE"""),"Real")</f>
        <v>Real</v>
      </c>
      <c r="G13173" s="8">
        <f t="shared" si="1"/>
        <v>5</v>
      </c>
      <c r="H13173" s="14">
        <f t="shared" si="2"/>
        <v>2</v>
      </c>
      <c r="I13173" s="15">
        <f t="shared" si="3"/>
        <v>21</v>
      </c>
    </row>
    <row r="13174">
      <c r="A13174" s="8" t="str">
        <f>IFERROR(__xludf.DUMMYFUNCTION("IF('(INGESTA)Datos_consumo_datadis'!A13174&lt;&gt;"""",SPLIT('(INGESTA)Datos_consumo_datadis'!A:A,"",""),"""")"),"ES0031408323131005HX0F")</f>
        <v>ES0031408323131005HX0F</v>
      </c>
      <c r="B13174" s="12">
        <f>IFERROR(__xludf.DUMMYFUNCTION("""COMPUTED_VALUE"""),45414.0)</f>
        <v>45414</v>
      </c>
      <c r="C13174" s="13">
        <f>IFERROR(__xludf.DUMMYFUNCTION("""COMPUTED_VALUE"""),0.9166666666666666)</f>
        <v>0.9166666667</v>
      </c>
      <c r="D13174" s="8">
        <f>IFERROR(__xludf.DUMMYFUNCTION("""COMPUTED_VALUE"""),0.067)</f>
        <v>0.067</v>
      </c>
      <c r="E13174" s="8" t="str">
        <f>IFERROR(__xludf.DUMMYFUNCTION("""COMPUTED_VALUE"""),"Real")</f>
        <v>Real</v>
      </c>
      <c r="G13174" s="8">
        <f t="shared" si="1"/>
        <v>5</v>
      </c>
      <c r="H13174" s="14">
        <f t="shared" si="2"/>
        <v>2</v>
      </c>
      <c r="I13174" s="15">
        <f t="shared" si="3"/>
        <v>22</v>
      </c>
    </row>
    <row r="13175">
      <c r="A13175" s="8" t="str">
        <f>IFERROR(__xludf.DUMMYFUNCTION("IF('(INGESTA)Datos_consumo_datadis'!A13175&lt;&gt;"""",SPLIT('(INGESTA)Datos_consumo_datadis'!A:A,"",""),"""")"),"ES0031408323131005HX0F")</f>
        <v>ES0031408323131005HX0F</v>
      </c>
      <c r="B13175" s="12">
        <f>IFERROR(__xludf.DUMMYFUNCTION("""COMPUTED_VALUE"""),45414.0)</f>
        <v>45414</v>
      </c>
      <c r="C13175" s="13">
        <f>IFERROR(__xludf.DUMMYFUNCTION("""COMPUTED_VALUE"""),0.9583333333333334)</f>
        <v>0.9583333333</v>
      </c>
      <c r="D13175" s="8">
        <f>IFERROR(__xludf.DUMMYFUNCTION("""COMPUTED_VALUE"""),0.417)</f>
        <v>0.417</v>
      </c>
      <c r="E13175" s="8" t="str">
        <f>IFERROR(__xludf.DUMMYFUNCTION("""COMPUTED_VALUE"""),"Real")</f>
        <v>Real</v>
      </c>
      <c r="G13175" s="8">
        <f t="shared" si="1"/>
        <v>5</v>
      </c>
      <c r="H13175" s="14">
        <f t="shared" si="2"/>
        <v>2</v>
      </c>
      <c r="I13175" s="15">
        <f t="shared" si="3"/>
        <v>23</v>
      </c>
    </row>
    <row r="13176">
      <c r="A13176" s="8" t="str">
        <f>IFERROR(__xludf.DUMMYFUNCTION("IF('(INGESTA)Datos_consumo_datadis'!A13176&lt;&gt;"""",SPLIT('(INGESTA)Datos_consumo_datadis'!A:A,"",""),"""")"),"ES0031408323131005HX0F")</f>
        <v>ES0031408323131005HX0F</v>
      </c>
      <c r="B13176" s="12">
        <f>IFERROR(__xludf.DUMMYFUNCTION("""COMPUTED_VALUE"""),45414.0)</f>
        <v>45414</v>
      </c>
      <c r="C13176" s="16">
        <f>IFERROR(__xludf.DUMMYFUNCTION("""COMPUTED_VALUE"""),1.0)</f>
        <v>1</v>
      </c>
      <c r="D13176" s="8">
        <f>IFERROR(__xludf.DUMMYFUNCTION("""COMPUTED_VALUE"""),3.664)</f>
        <v>3.664</v>
      </c>
      <c r="E13176" s="8" t="str">
        <f>IFERROR(__xludf.DUMMYFUNCTION("""COMPUTED_VALUE"""),"Real")</f>
        <v>Real</v>
      </c>
      <c r="G13176" s="8">
        <f t="shared" si="1"/>
        <v>5</v>
      </c>
      <c r="H13176" s="14">
        <f t="shared" si="2"/>
        <v>2</v>
      </c>
      <c r="I13176" s="15">
        <f t="shared" si="3"/>
        <v>0</v>
      </c>
    </row>
    <row r="13177">
      <c r="A13177" s="8" t="str">
        <f>IFERROR(__xludf.DUMMYFUNCTION("IF('(INGESTA)Datos_consumo_datadis'!A13177&lt;&gt;"""",SPLIT('(INGESTA)Datos_consumo_datadis'!A:A,"",""),"""")"),"ES0031408323131005HX0F")</f>
        <v>ES0031408323131005HX0F</v>
      </c>
      <c r="B13177" s="12">
        <f>IFERROR(__xludf.DUMMYFUNCTION("""COMPUTED_VALUE"""),45415.0)</f>
        <v>45415</v>
      </c>
      <c r="C13177" s="13">
        <f>IFERROR(__xludf.DUMMYFUNCTION("""COMPUTED_VALUE"""),0.041666666666666664)</f>
        <v>0.04166666667</v>
      </c>
      <c r="D13177" s="8">
        <f>IFERROR(__xludf.DUMMYFUNCTION("""COMPUTED_VALUE"""),1.025)</f>
        <v>1.025</v>
      </c>
      <c r="E13177" s="8" t="str">
        <f>IFERROR(__xludf.DUMMYFUNCTION("""COMPUTED_VALUE"""),"Real")</f>
        <v>Real</v>
      </c>
      <c r="G13177" s="8">
        <f t="shared" si="1"/>
        <v>5</v>
      </c>
      <c r="H13177" s="14">
        <f t="shared" si="2"/>
        <v>3</v>
      </c>
      <c r="I13177" s="15">
        <f t="shared" si="3"/>
        <v>1</v>
      </c>
    </row>
    <row r="13178">
      <c r="A13178" s="8" t="str">
        <f>IFERROR(__xludf.DUMMYFUNCTION("IF('(INGESTA)Datos_consumo_datadis'!A13178&lt;&gt;"""",SPLIT('(INGESTA)Datos_consumo_datadis'!A:A,"",""),"""")"),"ES0031408323131005HX0F")</f>
        <v>ES0031408323131005HX0F</v>
      </c>
      <c r="B13178" s="12">
        <f>IFERROR(__xludf.DUMMYFUNCTION("""COMPUTED_VALUE"""),45415.0)</f>
        <v>45415</v>
      </c>
      <c r="C13178" s="13">
        <f>IFERROR(__xludf.DUMMYFUNCTION("""COMPUTED_VALUE"""),0.08333333333333333)</f>
        <v>0.08333333333</v>
      </c>
      <c r="D13178" s="8">
        <f>IFERROR(__xludf.DUMMYFUNCTION("""COMPUTED_VALUE"""),0.142)</f>
        <v>0.142</v>
      </c>
      <c r="E13178" s="8" t="str">
        <f>IFERROR(__xludf.DUMMYFUNCTION("""COMPUTED_VALUE"""),"Real")</f>
        <v>Real</v>
      </c>
      <c r="G13178" s="8">
        <f t="shared" si="1"/>
        <v>5</v>
      </c>
      <c r="H13178" s="14">
        <f t="shared" si="2"/>
        <v>3</v>
      </c>
      <c r="I13178" s="15">
        <f t="shared" si="3"/>
        <v>2</v>
      </c>
    </row>
    <row r="13179">
      <c r="A13179" s="8" t="str">
        <f>IFERROR(__xludf.DUMMYFUNCTION("IF('(INGESTA)Datos_consumo_datadis'!A13179&lt;&gt;"""",SPLIT('(INGESTA)Datos_consumo_datadis'!A:A,"",""),"""")"),"ES0031408323131005HX0F")</f>
        <v>ES0031408323131005HX0F</v>
      </c>
      <c r="B13179" s="12">
        <f>IFERROR(__xludf.DUMMYFUNCTION("""COMPUTED_VALUE"""),45415.0)</f>
        <v>45415</v>
      </c>
      <c r="C13179" s="13">
        <f>IFERROR(__xludf.DUMMYFUNCTION("""COMPUTED_VALUE"""),0.125)</f>
        <v>0.125</v>
      </c>
      <c r="D13179" s="8">
        <f>IFERROR(__xludf.DUMMYFUNCTION("""COMPUTED_VALUE"""),0.118)</f>
        <v>0.118</v>
      </c>
      <c r="E13179" s="8" t="str">
        <f>IFERROR(__xludf.DUMMYFUNCTION("""COMPUTED_VALUE"""),"Real")</f>
        <v>Real</v>
      </c>
      <c r="G13179" s="8">
        <f t="shared" si="1"/>
        <v>5</v>
      </c>
      <c r="H13179" s="14">
        <f t="shared" si="2"/>
        <v>3</v>
      </c>
      <c r="I13179" s="15">
        <f t="shared" si="3"/>
        <v>3</v>
      </c>
    </row>
    <row r="13180">
      <c r="A13180" s="8" t="str">
        <f>IFERROR(__xludf.DUMMYFUNCTION("IF('(INGESTA)Datos_consumo_datadis'!A13180&lt;&gt;"""",SPLIT('(INGESTA)Datos_consumo_datadis'!A:A,"",""),"""")"),"ES0031408323131005HX0F")</f>
        <v>ES0031408323131005HX0F</v>
      </c>
      <c r="B13180" s="12">
        <f>IFERROR(__xludf.DUMMYFUNCTION("""COMPUTED_VALUE"""),45415.0)</f>
        <v>45415</v>
      </c>
      <c r="C13180" s="13">
        <f>IFERROR(__xludf.DUMMYFUNCTION("""COMPUTED_VALUE"""),0.16666666666666666)</f>
        <v>0.1666666667</v>
      </c>
      <c r="D13180" s="8">
        <f>IFERROR(__xludf.DUMMYFUNCTION("""COMPUTED_VALUE"""),0.347)</f>
        <v>0.347</v>
      </c>
      <c r="E13180" s="8" t="str">
        <f>IFERROR(__xludf.DUMMYFUNCTION("""COMPUTED_VALUE"""),"Real")</f>
        <v>Real</v>
      </c>
      <c r="G13180" s="8">
        <f t="shared" si="1"/>
        <v>5</v>
      </c>
      <c r="H13180" s="14">
        <f t="shared" si="2"/>
        <v>3</v>
      </c>
      <c r="I13180" s="15">
        <f t="shared" si="3"/>
        <v>4</v>
      </c>
    </row>
    <row r="13181">
      <c r="A13181" s="8" t="str">
        <f>IFERROR(__xludf.DUMMYFUNCTION("IF('(INGESTA)Datos_consumo_datadis'!A13181&lt;&gt;"""",SPLIT('(INGESTA)Datos_consumo_datadis'!A:A,"",""),"""")"),"ES0031408323131005HX0F")</f>
        <v>ES0031408323131005HX0F</v>
      </c>
      <c r="B13181" s="12">
        <f>IFERROR(__xludf.DUMMYFUNCTION("""COMPUTED_VALUE"""),45415.0)</f>
        <v>45415</v>
      </c>
      <c r="C13181" s="13">
        <f>IFERROR(__xludf.DUMMYFUNCTION("""COMPUTED_VALUE"""),0.20833333333333334)</f>
        <v>0.2083333333</v>
      </c>
      <c r="D13181" s="8">
        <f>IFERROR(__xludf.DUMMYFUNCTION("""COMPUTED_VALUE"""),0.053)</f>
        <v>0.053</v>
      </c>
      <c r="E13181" s="8" t="str">
        <f>IFERROR(__xludf.DUMMYFUNCTION("""COMPUTED_VALUE"""),"Real")</f>
        <v>Real</v>
      </c>
      <c r="G13181" s="8">
        <f t="shared" si="1"/>
        <v>5</v>
      </c>
      <c r="H13181" s="14">
        <f t="shared" si="2"/>
        <v>3</v>
      </c>
      <c r="I13181" s="15">
        <f t="shared" si="3"/>
        <v>5</v>
      </c>
    </row>
    <row r="13182">
      <c r="A13182" s="8" t="str">
        <f>IFERROR(__xludf.DUMMYFUNCTION("IF('(INGESTA)Datos_consumo_datadis'!A13182&lt;&gt;"""",SPLIT('(INGESTA)Datos_consumo_datadis'!A:A,"",""),"""")"),"ES0031408323131005HX0F")</f>
        <v>ES0031408323131005HX0F</v>
      </c>
      <c r="B13182" s="12">
        <f>IFERROR(__xludf.DUMMYFUNCTION("""COMPUTED_VALUE"""),45415.0)</f>
        <v>45415</v>
      </c>
      <c r="C13182" s="13">
        <f>IFERROR(__xludf.DUMMYFUNCTION("""COMPUTED_VALUE"""),0.25)</f>
        <v>0.25</v>
      </c>
      <c r="D13182" s="8">
        <f>IFERROR(__xludf.DUMMYFUNCTION("""COMPUTED_VALUE"""),0.069)</f>
        <v>0.069</v>
      </c>
      <c r="E13182" s="8" t="str">
        <f>IFERROR(__xludf.DUMMYFUNCTION("""COMPUTED_VALUE"""),"Real")</f>
        <v>Real</v>
      </c>
      <c r="G13182" s="8">
        <f t="shared" si="1"/>
        <v>5</v>
      </c>
      <c r="H13182" s="14">
        <f t="shared" si="2"/>
        <v>3</v>
      </c>
      <c r="I13182" s="15">
        <f t="shared" si="3"/>
        <v>6</v>
      </c>
    </row>
    <row r="13183">
      <c r="A13183" s="8" t="str">
        <f>IFERROR(__xludf.DUMMYFUNCTION("IF('(INGESTA)Datos_consumo_datadis'!A13183&lt;&gt;"""",SPLIT('(INGESTA)Datos_consumo_datadis'!A:A,"",""),"""")"),"ES0031408323131005HX0F")</f>
        <v>ES0031408323131005HX0F</v>
      </c>
      <c r="B13183" s="12">
        <f>IFERROR(__xludf.DUMMYFUNCTION("""COMPUTED_VALUE"""),45415.0)</f>
        <v>45415</v>
      </c>
      <c r="C13183" s="13">
        <f>IFERROR(__xludf.DUMMYFUNCTION("""COMPUTED_VALUE"""),0.2916666666666667)</f>
        <v>0.2916666667</v>
      </c>
      <c r="D13183" s="8">
        <f>IFERROR(__xludf.DUMMYFUNCTION("""COMPUTED_VALUE"""),0.033)</f>
        <v>0.033</v>
      </c>
      <c r="E13183" s="8" t="str">
        <f>IFERROR(__xludf.DUMMYFUNCTION("""COMPUTED_VALUE"""),"Real")</f>
        <v>Real</v>
      </c>
      <c r="G13183" s="8">
        <f t="shared" si="1"/>
        <v>5</v>
      </c>
      <c r="H13183" s="14">
        <f t="shared" si="2"/>
        <v>3</v>
      </c>
      <c r="I13183" s="15">
        <f t="shared" si="3"/>
        <v>7</v>
      </c>
    </row>
    <row r="13184">
      <c r="A13184" s="8" t="str">
        <f>IFERROR(__xludf.DUMMYFUNCTION("IF('(INGESTA)Datos_consumo_datadis'!A13184&lt;&gt;"""",SPLIT('(INGESTA)Datos_consumo_datadis'!A:A,"",""),"""")"),"ES0031408323131005HX0F")</f>
        <v>ES0031408323131005HX0F</v>
      </c>
      <c r="B13184" s="12">
        <f>IFERROR(__xludf.DUMMYFUNCTION("""COMPUTED_VALUE"""),45415.0)</f>
        <v>45415</v>
      </c>
      <c r="C13184" s="13">
        <f>IFERROR(__xludf.DUMMYFUNCTION("""COMPUTED_VALUE"""),0.3333333333333333)</f>
        <v>0.3333333333</v>
      </c>
      <c r="D13184" s="8">
        <f>IFERROR(__xludf.DUMMYFUNCTION("""COMPUTED_VALUE"""),0.067)</f>
        <v>0.067</v>
      </c>
      <c r="E13184" s="8" t="str">
        <f>IFERROR(__xludf.DUMMYFUNCTION("""COMPUTED_VALUE"""),"Real")</f>
        <v>Real</v>
      </c>
      <c r="G13184" s="8">
        <f t="shared" si="1"/>
        <v>5</v>
      </c>
      <c r="H13184" s="14">
        <f t="shared" si="2"/>
        <v>3</v>
      </c>
      <c r="I13184" s="15">
        <f t="shared" si="3"/>
        <v>8</v>
      </c>
    </row>
    <row r="13185">
      <c r="A13185" s="8" t="str">
        <f>IFERROR(__xludf.DUMMYFUNCTION("IF('(INGESTA)Datos_consumo_datadis'!A13185&lt;&gt;"""",SPLIT('(INGESTA)Datos_consumo_datadis'!A:A,"",""),"""")"),"ES0031408323131005HX0F")</f>
        <v>ES0031408323131005HX0F</v>
      </c>
      <c r="B13185" s="12">
        <f>IFERROR(__xludf.DUMMYFUNCTION("""COMPUTED_VALUE"""),45415.0)</f>
        <v>45415</v>
      </c>
      <c r="C13185" s="13">
        <f>IFERROR(__xludf.DUMMYFUNCTION("""COMPUTED_VALUE"""),0.375)</f>
        <v>0.375</v>
      </c>
      <c r="D13185" s="8">
        <f>IFERROR(__xludf.DUMMYFUNCTION("""COMPUTED_VALUE"""),1.266)</f>
        <v>1.266</v>
      </c>
      <c r="E13185" s="8" t="str">
        <f>IFERROR(__xludf.DUMMYFUNCTION("""COMPUTED_VALUE"""),"Real")</f>
        <v>Real</v>
      </c>
      <c r="G13185" s="8">
        <f t="shared" si="1"/>
        <v>5</v>
      </c>
      <c r="H13185" s="14">
        <f t="shared" si="2"/>
        <v>3</v>
      </c>
      <c r="I13185" s="15">
        <f t="shared" si="3"/>
        <v>9</v>
      </c>
    </row>
    <row r="13186">
      <c r="A13186" s="8" t="str">
        <f>IFERROR(__xludf.DUMMYFUNCTION("IF('(INGESTA)Datos_consumo_datadis'!A13186&lt;&gt;"""",SPLIT('(INGESTA)Datos_consumo_datadis'!A:A,"",""),"""")"),"ES0031408323131005HX0F")</f>
        <v>ES0031408323131005HX0F</v>
      </c>
      <c r="B13186" s="12">
        <f>IFERROR(__xludf.DUMMYFUNCTION("""COMPUTED_VALUE"""),45415.0)</f>
        <v>45415</v>
      </c>
      <c r="C13186" s="13">
        <f>IFERROR(__xludf.DUMMYFUNCTION("""COMPUTED_VALUE"""),0.4166666666666667)</f>
        <v>0.4166666667</v>
      </c>
      <c r="D13186" s="8">
        <f>IFERROR(__xludf.DUMMYFUNCTION("""COMPUTED_VALUE"""),0.484)</f>
        <v>0.484</v>
      </c>
      <c r="E13186" s="8" t="str">
        <f>IFERROR(__xludf.DUMMYFUNCTION("""COMPUTED_VALUE"""),"Real")</f>
        <v>Real</v>
      </c>
      <c r="G13186" s="8">
        <f t="shared" si="1"/>
        <v>5</v>
      </c>
      <c r="H13186" s="14">
        <f t="shared" si="2"/>
        <v>3</v>
      </c>
      <c r="I13186" s="15">
        <f t="shared" si="3"/>
        <v>10</v>
      </c>
    </row>
    <row r="13187">
      <c r="A13187" s="8" t="str">
        <f>IFERROR(__xludf.DUMMYFUNCTION("IF('(INGESTA)Datos_consumo_datadis'!A13187&lt;&gt;"""",SPLIT('(INGESTA)Datos_consumo_datadis'!A:A,"",""),"""")"),"ES0031408323131005HX0F")</f>
        <v>ES0031408323131005HX0F</v>
      </c>
      <c r="B13187" s="12">
        <f>IFERROR(__xludf.DUMMYFUNCTION("""COMPUTED_VALUE"""),45415.0)</f>
        <v>45415</v>
      </c>
      <c r="C13187" s="13">
        <f>IFERROR(__xludf.DUMMYFUNCTION("""COMPUTED_VALUE"""),0.4583333333333333)</f>
        <v>0.4583333333</v>
      </c>
      <c r="D13187" s="8">
        <f>IFERROR(__xludf.DUMMYFUNCTION("""COMPUTED_VALUE"""),0.095)</f>
        <v>0.095</v>
      </c>
      <c r="E13187" s="8" t="str">
        <f>IFERROR(__xludf.DUMMYFUNCTION("""COMPUTED_VALUE"""),"Real")</f>
        <v>Real</v>
      </c>
      <c r="G13187" s="8">
        <f t="shared" si="1"/>
        <v>5</v>
      </c>
      <c r="H13187" s="14">
        <f t="shared" si="2"/>
        <v>3</v>
      </c>
      <c r="I13187" s="15">
        <f t="shared" si="3"/>
        <v>11</v>
      </c>
    </row>
    <row r="13188">
      <c r="A13188" s="8" t="str">
        <f>IFERROR(__xludf.DUMMYFUNCTION("IF('(INGESTA)Datos_consumo_datadis'!A13188&lt;&gt;"""",SPLIT('(INGESTA)Datos_consumo_datadis'!A:A,"",""),"""")"),"ES0031408323131005HX0F")</f>
        <v>ES0031408323131005HX0F</v>
      </c>
      <c r="B13188" s="12">
        <f>IFERROR(__xludf.DUMMYFUNCTION("""COMPUTED_VALUE"""),45415.0)</f>
        <v>45415</v>
      </c>
      <c r="C13188" s="13">
        <f>IFERROR(__xludf.DUMMYFUNCTION("""COMPUTED_VALUE"""),0.5)</f>
        <v>0.5</v>
      </c>
      <c r="D13188" s="8">
        <f>IFERROR(__xludf.DUMMYFUNCTION("""COMPUTED_VALUE"""),0.117)</f>
        <v>0.117</v>
      </c>
      <c r="E13188" s="8" t="str">
        <f>IFERROR(__xludf.DUMMYFUNCTION("""COMPUTED_VALUE"""),"Real")</f>
        <v>Real</v>
      </c>
      <c r="G13188" s="8">
        <f t="shared" si="1"/>
        <v>5</v>
      </c>
      <c r="H13188" s="14">
        <f t="shared" si="2"/>
        <v>3</v>
      </c>
      <c r="I13188" s="15">
        <f t="shared" si="3"/>
        <v>12</v>
      </c>
    </row>
    <row r="13189">
      <c r="A13189" s="8" t="str">
        <f>IFERROR(__xludf.DUMMYFUNCTION("IF('(INGESTA)Datos_consumo_datadis'!A13189&lt;&gt;"""",SPLIT('(INGESTA)Datos_consumo_datadis'!A:A,"",""),"""")"),"ES0031408323131005HX0F")</f>
        <v>ES0031408323131005HX0F</v>
      </c>
      <c r="B13189" s="12">
        <f>IFERROR(__xludf.DUMMYFUNCTION("""COMPUTED_VALUE"""),45415.0)</f>
        <v>45415</v>
      </c>
      <c r="C13189" s="13">
        <f>IFERROR(__xludf.DUMMYFUNCTION("""COMPUTED_VALUE"""),0.5416666666666666)</f>
        <v>0.5416666667</v>
      </c>
      <c r="D13189" s="8">
        <f>IFERROR(__xludf.DUMMYFUNCTION("""COMPUTED_VALUE"""),0.113)</f>
        <v>0.113</v>
      </c>
      <c r="E13189" s="8" t="str">
        <f>IFERROR(__xludf.DUMMYFUNCTION("""COMPUTED_VALUE"""),"Real")</f>
        <v>Real</v>
      </c>
      <c r="G13189" s="8">
        <f t="shared" si="1"/>
        <v>5</v>
      </c>
      <c r="H13189" s="14">
        <f t="shared" si="2"/>
        <v>3</v>
      </c>
      <c r="I13189" s="15">
        <f t="shared" si="3"/>
        <v>13</v>
      </c>
    </row>
    <row r="13190">
      <c r="A13190" s="8" t="str">
        <f>IFERROR(__xludf.DUMMYFUNCTION("IF('(INGESTA)Datos_consumo_datadis'!A13190&lt;&gt;"""",SPLIT('(INGESTA)Datos_consumo_datadis'!A:A,"",""),"""")"),"ES0031408323131005HX0F")</f>
        <v>ES0031408323131005HX0F</v>
      </c>
      <c r="B13190" s="12">
        <f>IFERROR(__xludf.DUMMYFUNCTION("""COMPUTED_VALUE"""),45415.0)</f>
        <v>45415</v>
      </c>
      <c r="C13190" s="13">
        <f>IFERROR(__xludf.DUMMYFUNCTION("""COMPUTED_VALUE"""),0.5833333333333334)</f>
        <v>0.5833333333</v>
      </c>
      <c r="D13190" s="8">
        <f>IFERROR(__xludf.DUMMYFUNCTION("""COMPUTED_VALUE"""),0.113)</f>
        <v>0.113</v>
      </c>
      <c r="E13190" s="8" t="str">
        <f>IFERROR(__xludf.DUMMYFUNCTION("""COMPUTED_VALUE"""),"Real")</f>
        <v>Real</v>
      </c>
      <c r="G13190" s="8">
        <f t="shared" si="1"/>
        <v>5</v>
      </c>
      <c r="H13190" s="14">
        <f t="shared" si="2"/>
        <v>3</v>
      </c>
      <c r="I13190" s="15">
        <f t="shared" si="3"/>
        <v>14</v>
      </c>
    </row>
    <row r="13191">
      <c r="A13191" s="8" t="str">
        <f>IFERROR(__xludf.DUMMYFUNCTION("IF('(INGESTA)Datos_consumo_datadis'!A13191&lt;&gt;"""",SPLIT('(INGESTA)Datos_consumo_datadis'!A:A,"",""),"""")"),"ES0031408323131005HX0F")</f>
        <v>ES0031408323131005HX0F</v>
      </c>
      <c r="B13191" s="12">
        <f>IFERROR(__xludf.DUMMYFUNCTION("""COMPUTED_VALUE"""),45415.0)</f>
        <v>45415</v>
      </c>
      <c r="C13191" s="13">
        <f>IFERROR(__xludf.DUMMYFUNCTION("""COMPUTED_VALUE"""),0.625)</f>
        <v>0.625</v>
      </c>
      <c r="D13191" s="8">
        <f>IFERROR(__xludf.DUMMYFUNCTION("""COMPUTED_VALUE"""),0.384)</f>
        <v>0.384</v>
      </c>
      <c r="E13191" s="8" t="str">
        <f>IFERROR(__xludf.DUMMYFUNCTION("""COMPUTED_VALUE"""),"Real")</f>
        <v>Real</v>
      </c>
      <c r="G13191" s="8">
        <f t="shared" si="1"/>
        <v>5</v>
      </c>
      <c r="H13191" s="14">
        <f t="shared" si="2"/>
        <v>3</v>
      </c>
      <c r="I13191" s="15">
        <f t="shared" si="3"/>
        <v>15</v>
      </c>
    </row>
    <row r="13192">
      <c r="A13192" s="8" t="str">
        <f>IFERROR(__xludf.DUMMYFUNCTION("IF('(INGESTA)Datos_consumo_datadis'!A13192&lt;&gt;"""",SPLIT('(INGESTA)Datos_consumo_datadis'!A:A,"",""),"""")"),"ES0031408323131005HX0F")</f>
        <v>ES0031408323131005HX0F</v>
      </c>
      <c r="B13192" s="12">
        <f>IFERROR(__xludf.DUMMYFUNCTION("""COMPUTED_VALUE"""),45415.0)</f>
        <v>45415</v>
      </c>
      <c r="C13192" s="13">
        <f>IFERROR(__xludf.DUMMYFUNCTION("""COMPUTED_VALUE"""),0.6666666666666666)</f>
        <v>0.6666666667</v>
      </c>
      <c r="D13192" s="8">
        <f>IFERROR(__xludf.DUMMYFUNCTION("""COMPUTED_VALUE"""),0.111)</f>
        <v>0.111</v>
      </c>
      <c r="E13192" s="8" t="str">
        <f>IFERROR(__xludf.DUMMYFUNCTION("""COMPUTED_VALUE"""),"Real")</f>
        <v>Real</v>
      </c>
      <c r="G13192" s="8">
        <f t="shared" si="1"/>
        <v>5</v>
      </c>
      <c r="H13192" s="14">
        <f t="shared" si="2"/>
        <v>3</v>
      </c>
      <c r="I13192" s="15">
        <f t="shared" si="3"/>
        <v>16</v>
      </c>
    </row>
    <row r="13193">
      <c r="A13193" s="8" t="str">
        <f>IFERROR(__xludf.DUMMYFUNCTION("IF('(INGESTA)Datos_consumo_datadis'!A13193&lt;&gt;"""",SPLIT('(INGESTA)Datos_consumo_datadis'!A:A,"",""),"""")"),"ES0031408323131005HX0F")</f>
        <v>ES0031408323131005HX0F</v>
      </c>
      <c r="B13193" s="12">
        <f>IFERROR(__xludf.DUMMYFUNCTION("""COMPUTED_VALUE"""),45415.0)</f>
        <v>45415</v>
      </c>
      <c r="C13193" s="13">
        <f>IFERROR(__xludf.DUMMYFUNCTION("""COMPUTED_VALUE"""),0.7083333333333334)</f>
        <v>0.7083333333</v>
      </c>
      <c r="D13193" s="8">
        <f>IFERROR(__xludf.DUMMYFUNCTION("""COMPUTED_VALUE"""),0.077)</f>
        <v>0.077</v>
      </c>
      <c r="E13193" s="8" t="str">
        <f>IFERROR(__xludf.DUMMYFUNCTION("""COMPUTED_VALUE"""),"Real")</f>
        <v>Real</v>
      </c>
      <c r="G13193" s="8">
        <f t="shared" si="1"/>
        <v>5</v>
      </c>
      <c r="H13193" s="14">
        <f t="shared" si="2"/>
        <v>3</v>
      </c>
      <c r="I13193" s="15">
        <f t="shared" si="3"/>
        <v>17</v>
      </c>
    </row>
    <row r="13194">
      <c r="A13194" s="8" t="str">
        <f>IFERROR(__xludf.DUMMYFUNCTION("IF('(INGESTA)Datos_consumo_datadis'!A13194&lt;&gt;"""",SPLIT('(INGESTA)Datos_consumo_datadis'!A:A,"",""),"""")"),"ES0031408323131005HX0F")</f>
        <v>ES0031408323131005HX0F</v>
      </c>
      <c r="B13194" s="12">
        <f>IFERROR(__xludf.DUMMYFUNCTION("""COMPUTED_VALUE"""),45415.0)</f>
        <v>45415</v>
      </c>
      <c r="C13194" s="13">
        <f>IFERROR(__xludf.DUMMYFUNCTION("""COMPUTED_VALUE"""),0.75)</f>
        <v>0.75</v>
      </c>
      <c r="D13194" s="8">
        <f>IFERROR(__xludf.DUMMYFUNCTION("""COMPUTED_VALUE"""),0.036)</f>
        <v>0.036</v>
      </c>
      <c r="E13194" s="8" t="str">
        <f>IFERROR(__xludf.DUMMYFUNCTION("""COMPUTED_VALUE"""),"Real")</f>
        <v>Real</v>
      </c>
      <c r="G13194" s="8">
        <f t="shared" si="1"/>
        <v>5</v>
      </c>
      <c r="H13194" s="14">
        <f t="shared" si="2"/>
        <v>3</v>
      </c>
      <c r="I13194" s="15">
        <f t="shared" si="3"/>
        <v>18</v>
      </c>
    </row>
    <row r="13195">
      <c r="A13195" s="8" t="str">
        <f>IFERROR(__xludf.DUMMYFUNCTION("IF('(INGESTA)Datos_consumo_datadis'!A13195&lt;&gt;"""",SPLIT('(INGESTA)Datos_consumo_datadis'!A:A,"",""),"""")"),"ES0031408323131005HX0F")</f>
        <v>ES0031408323131005HX0F</v>
      </c>
      <c r="B13195" s="12">
        <f>IFERROR(__xludf.DUMMYFUNCTION("""COMPUTED_VALUE"""),45415.0)</f>
        <v>45415</v>
      </c>
      <c r="C13195" s="13">
        <f>IFERROR(__xludf.DUMMYFUNCTION("""COMPUTED_VALUE"""),0.7916666666666666)</f>
        <v>0.7916666667</v>
      </c>
      <c r="D13195" s="8">
        <f>IFERROR(__xludf.DUMMYFUNCTION("""COMPUTED_VALUE"""),0.049)</f>
        <v>0.049</v>
      </c>
      <c r="E13195" s="8" t="str">
        <f>IFERROR(__xludf.DUMMYFUNCTION("""COMPUTED_VALUE"""),"Real")</f>
        <v>Real</v>
      </c>
      <c r="G13195" s="8">
        <f t="shared" si="1"/>
        <v>5</v>
      </c>
      <c r="H13195" s="14">
        <f t="shared" si="2"/>
        <v>3</v>
      </c>
      <c r="I13195" s="15">
        <f t="shared" si="3"/>
        <v>19</v>
      </c>
    </row>
    <row r="13196">
      <c r="A13196" s="8" t="str">
        <f>IFERROR(__xludf.DUMMYFUNCTION("IF('(INGESTA)Datos_consumo_datadis'!A13196&lt;&gt;"""",SPLIT('(INGESTA)Datos_consumo_datadis'!A:A,"",""),"""")"),"ES0031408323131005HX0F")</f>
        <v>ES0031408323131005HX0F</v>
      </c>
      <c r="B13196" s="12">
        <f>IFERROR(__xludf.DUMMYFUNCTION("""COMPUTED_VALUE"""),45415.0)</f>
        <v>45415</v>
      </c>
      <c r="C13196" s="13">
        <f>IFERROR(__xludf.DUMMYFUNCTION("""COMPUTED_VALUE"""),0.8333333333333334)</f>
        <v>0.8333333333</v>
      </c>
      <c r="D13196" s="8">
        <f>IFERROR(__xludf.DUMMYFUNCTION("""COMPUTED_VALUE"""),0.059)</f>
        <v>0.059</v>
      </c>
      <c r="E13196" s="8" t="str">
        <f>IFERROR(__xludf.DUMMYFUNCTION("""COMPUTED_VALUE"""),"Real")</f>
        <v>Real</v>
      </c>
      <c r="G13196" s="8">
        <f t="shared" si="1"/>
        <v>5</v>
      </c>
      <c r="H13196" s="14">
        <f t="shared" si="2"/>
        <v>3</v>
      </c>
      <c r="I13196" s="15">
        <f t="shared" si="3"/>
        <v>20</v>
      </c>
    </row>
    <row r="13197">
      <c r="A13197" s="8" t="str">
        <f>IFERROR(__xludf.DUMMYFUNCTION("IF('(INGESTA)Datos_consumo_datadis'!A13197&lt;&gt;"""",SPLIT('(INGESTA)Datos_consumo_datadis'!A:A,"",""),"""")"),"ES0031408323131005HX0F")</f>
        <v>ES0031408323131005HX0F</v>
      </c>
      <c r="B13197" s="12">
        <f>IFERROR(__xludf.DUMMYFUNCTION("""COMPUTED_VALUE"""),45415.0)</f>
        <v>45415</v>
      </c>
      <c r="C13197" s="13">
        <f>IFERROR(__xludf.DUMMYFUNCTION("""COMPUTED_VALUE"""),0.875)</f>
        <v>0.875</v>
      </c>
      <c r="D13197" s="8">
        <f>IFERROR(__xludf.DUMMYFUNCTION("""COMPUTED_VALUE"""),0.34)</f>
        <v>0.34</v>
      </c>
      <c r="E13197" s="8" t="str">
        <f>IFERROR(__xludf.DUMMYFUNCTION("""COMPUTED_VALUE"""),"Real")</f>
        <v>Real</v>
      </c>
      <c r="G13197" s="8">
        <f t="shared" si="1"/>
        <v>5</v>
      </c>
      <c r="H13197" s="14">
        <f t="shared" si="2"/>
        <v>3</v>
      </c>
      <c r="I13197" s="15">
        <f t="shared" si="3"/>
        <v>21</v>
      </c>
    </row>
    <row r="13198">
      <c r="A13198" s="8" t="str">
        <f>IFERROR(__xludf.DUMMYFUNCTION("IF('(INGESTA)Datos_consumo_datadis'!A13198&lt;&gt;"""",SPLIT('(INGESTA)Datos_consumo_datadis'!A:A,"",""),"""")"),"ES0031408323131005HX0F")</f>
        <v>ES0031408323131005HX0F</v>
      </c>
      <c r="B13198" s="12">
        <f>IFERROR(__xludf.DUMMYFUNCTION("""COMPUTED_VALUE"""),45415.0)</f>
        <v>45415</v>
      </c>
      <c r="C13198" s="13">
        <f>IFERROR(__xludf.DUMMYFUNCTION("""COMPUTED_VALUE"""),0.9166666666666666)</f>
        <v>0.9166666667</v>
      </c>
      <c r="D13198" s="8">
        <f>IFERROR(__xludf.DUMMYFUNCTION("""COMPUTED_VALUE"""),0.025)</f>
        <v>0.025</v>
      </c>
      <c r="E13198" s="8" t="str">
        <f>IFERROR(__xludf.DUMMYFUNCTION("""COMPUTED_VALUE"""),"Real")</f>
        <v>Real</v>
      </c>
      <c r="G13198" s="8">
        <f t="shared" si="1"/>
        <v>5</v>
      </c>
      <c r="H13198" s="14">
        <f t="shared" si="2"/>
        <v>3</v>
      </c>
      <c r="I13198" s="15">
        <f t="shared" si="3"/>
        <v>22</v>
      </c>
    </row>
    <row r="13199">
      <c r="A13199" s="8" t="str">
        <f>IFERROR(__xludf.DUMMYFUNCTION("IF('(INGESTA)Datos_consumo_datadis'!A13199&lt;&gt;"""",SPLIT('(INGESTA)Datos_consumo_datadis'!A:A,"",""),"""")"),"ES0031408323131005HX0F")</f>
        <v>ES0031408323131005HX0F</v>
      </c>
      <c r="B13199" s="12">
        <f>IFERROR(__xludf.DUMMYFUNCTION("""COMPUTED_VALUE"""),45415.0)</f>
        <v>45415</v>
      </c>
      <c r="C13199" s="13">
        <f>IFERROR(__xludf.DUMMYFUNCTION("""COMPUTED_VALUE"""),0.9583333333333334)</f>
        <v>0.9583333333</v>
      </c>
      <c r="D13199" s="8">
        <f>IFERROR(__xludf.DUMMYFUNCTION("""COMPUTED_VALUE"""),0.886)</f>
        <v>0.886</v>
      </c>
      <c r="E13199" s="8" t="str">
        <f>IFERROR(__xludf.DUMMYFUNCTION("""COMPUTED_VALUE"""),"Real")</f>
        <v>Real</v>
      </c>
      <c r="G13199" s="8">
        <f t="shared" si="1"/>
        <v>5</v>
      </c>
      <c r="H13199" s="14">
        <f t="shared" si="2"/>
        <v>3</v>
      </c>
      <c r="I13199" s="15">
        <f t="shared" si="3"/>
        <v>23</v>
      </c>
    </row>
    <row r="13200">
      <c r="A13200" s="8" t="str">
        <f>IFERROR(__xludf.DUMMYFUNCTION("IF('(INGESTA)Datos_consumo_datadis'!A13200&lt;&gt;"""",SPLIT('(INGESTA)Datos_consumo_datadis'!A:A,"",""),"""")"),"ES0031408323131005HX0F")</f>
        <v>ES0031408323131005HX0F</v>
      </c>
      <c r="B13200" s="12">
        <f>IFERROR(__xludf.DUMMYFUNCTION("""COMPUTED_VALUE"""),45415.0)</f>
        <v>45415</v>
      </c>
      <c r="C13200" s="16">
        <f>IFERROR(__xludf.DUMMYFUNCTION("""COMPUTED_VALUE"""),1.0)</f>
        <v>1</v>
      </c>
      <c r="D13200" s="8">
        <f>IFERROR(__xludf.DUMMYFUNCTION("""COMPUTED_VALUE"""),1.49)</f>
        <v>1.49</v>
      </c>
      <c r="E13200" s="8" t="str">
        <f>IFERROR(__xludf.DUMMYFUNCTION("""COMPUTED_VALUE"""),"Real")</f>
        <v>Real</v>
      </c>
      <c r="G13200" s="8">
        <f t="shared" si="1"/>
        <v>5</v>
      </c>
      <c r="H13200" s="14">
        <f t="shared" si="2"/>
        <v>3</v>
      </c>
      <c r="I13200" s="15">
        <f t="shared" si="3"/>
        <v>0</v>
      </c>
    </row>
    <row r="13201">
      <c r="A13201" s="8" t="str">
        <f>IFERROR(__xludf.DUMMYFUNCTION("IF('(INGESTA)Datos_consumo_datadis'!A13201&lt;&gt;"""",SPLIT('(INGESTA)Datos_consumo_datadis'!A:A,"",""),"""")"),"ES0031408323131005HX0F")</f>
        <v>ES0031408323131005HX0F</v>
      </c>
      <c r="B13201" s="12">
        <f>IFERROR(__xludf.DUMMYFUNCTION("""COMPUTED_VALUE"""),45416.0)</f>
        <v>45416</v>
      </c>
      <c r="C13201" s="13">
        <f>IFERROR(__xludf.DUMMYFUNCTION("""COMPUTED_VALUE"""),0.041666666666666664)</f>
        <v>0.04166666667</v>
      </c>
      <c r="D13201" s="8">
        <f>IFERROR(__xludf.DUMMYFUNCTION("""COMPUTED_VALUE"""),1.074)</f>
        <v>1.074</v>
      </c>
      <c r="E13201" s="8" t="str">
        <f>IFERROR(__xludf.DUMMYFUNCTION("""COMPUTED_VALUE"""),"Real")</f>
        <v>Real</v>
      </c>
      <c r="G13201" s="8">
        <f t="shared" si="1"/>
        <v>5</v>
      </c>
      <c r="H13201" s="14">
        <f t="shared" si="2"/>
        <v>4</v>
      </c>
      <c r="I13201" s="15">
        <f t="shared" si="3"/>
        <v>1</v>
      </c>
    </row>
    <row r="13202">
      <c r="A13202" s="8" t="str">
        <f>IFERROR(__xludf.DUMMYFUNCTION("IF('(INGESTA)Datos_consumo_datadis'!A13202&lt;&gt;"""",SPLIT('(INGESTA)Datos_consumo_datadis'!A:A,"",""),"""")"),"ES0031408323131005HX0F")</f>
        <v>ES0031408323131005HX0F</v>
      </c>
      <c r="B13202" s="12">
        <f>IFERROR(__xludf.DUMMYFUNCTION("""COMPUTED_VALUE"""),45416.0)</f>
        <v>45416</v>
      </c>
      <c r="C13202" s="13">
        <f>IFERROR(__xludf.DUMMYFUNCTION("""COMPUTED_VALUE"""),0.08333333333333333)</f>
        <v>0.08333333333</v>
      </c>
      <c r="D13202" s="8">
        <f>IFERROR(__xludf.DUMMYFUNCTION("""COMPUTED_VALUE"""),0.058)</f>
        <v>0.058</v>
      </c>
      <c r="E13202" s="8" t="str">
        <f>IFERROR(__xludf.DUMMYFUNCTION("""COMPUTED_VALUE"""),"Real")</f>
        <v>Real</v>
      </c>
      <c r="G13202" s="8">
        <f t="shared" si="1"/>
        <v>5</v>
      </c>
      <c r="H13202" s="14">
        <f t="shared" si="2"/>
        <v>4</v>
      </c>
      <c r="I13202" s="15">
        <f t="shared" si="3"/>
        <v>2</v>
      </c>
    </row>
    <row r="13203">
      <c r="A13203" s="8" t="str">
        <f>IFERROR(__xludf.DUMMYFUNCTION("IF('(INGESTA)Datos_consumo_datadis'!A13203&lt;&gt;"""",SPLIT('(INGESTA)Datos_consumo_datadis'!A:A,"",""),"""")"),"ES0031408323131005HX0F")</f>
        <v>ES0031408323131005HX0F</v>
      </c>
      <c r="B13203" s="12">
        <f>IFERROR(__xludf.DUMMYFUNCTION("""COMPUTED_VALUE"""),45416.0)</f>
        <v>45416</v>
      </c>
      <c r="C13203" s="13">
        <f>IFERROR(__xludf.DUMMYFUNCTION("""COMPUTED_VALUE"""),0.125)</f>
        <v>0.125</v>
      </c>
      <c r="D13203" s="8">
        <f>IFERROR(__xludf.DUMMYFUNCTION("""COMPUTED_VALUE"""),0.068)</f>
        <v>0.068</v>
      </c>
      <c r="E13203" s="8" t="str">
        <f>IFERROR(__xludf.DUMMYFUNCTION("""COMPUTED_VALUE"""),"Real")</f>
        <v>Real</v>
      </c>
      <c r="G13203" s="8">
        <f t="shared" si="1"/>
        <v>5</v>
      </c>
      <c r="H13203" s="14">
        <f t="shared" si="2"/>
        <v>4</v>
      </c>
      <c r="I13203" s="15">
        <f t="shared" si="3"/>
        <v>3</v>
      </c>
    </row>
    <row r="13204">
      <c r="A13204" s="8" t="str">
        <f>IFERROR(__xludf.DUMMYFUNCTION("IF('(INGESTA)Datos_consumo_datadis'!A13204&lt;&gt;"""",SPLIT('(INGESTA)Datos_consumo_datadis'!A:A,"",""),"""")"),"ES0031408323131005HX0F")</f>
        <v>ES0031408323131005HX0F</v>
      </c>
      <c r="B13204" s="12">
        <f>IFERROR(__xludf.DUMMYFUNCTION("""COMPUTED_VALUE"""),45416.0)</f>
        <v>45416</v>
      </c>
      <c r="C13204" s="13">
        <f>IFERROR(__xludf.DUMMYFUNCTION("""COMPUTED_VALUE"""),0.16666666666666666)</f>
        <v>0.1666666667</v>
      </c>
      <c r="D13204" s="8">
        <f>IFERROR(__xludf.DUMMYFUNCTION("""COMPUTED_VALUE"""),0.031)</f>
        <v>0.031</v>
      </c>
      <c r="E13204" s="8" t="str">
        <f>IFERROR(__xludf.DUMMYFUNCTION("""COMPUTED_VALUE"""),"Real")</f>
        <v>Real</v>
      </c>
      <c r="G13204" s="8">
        <f t="shared" si="1"/>
        <v>5</v>
      </c>
      <c r="H13204" s="14">
        <f t="shared" si="2"/>
        <v>4</v>
      </c>
      <c r="I13204" s="15">
        <f t="shared" si="3"/>
        <v>4</v>
      </c>
    </row>
    <row r="13205">
      <c r="A13205" s="8" t="str">
        <f>IFERROR(__xludf.DUMMYFUNCTION("IF('(INGESTA)Datos_consumo_datadis'!A13205&lt;&gt;"""",SPLIT('(INGESTA)Datos_consumo_datadis'!A:A,"",""),"""")"),"ES0031408323131005HX0F")</f>
        <v>ES0031408323131005HX0F</v>
      </c>
      <c r="B13205" s="12">
        <f>IFERROR(__xludf.DUMMYFUNCTION("""COMPUTED_VALUE"""),45416.0)</f>
        <v>45416</v>
      </c>
      <c r="C13205" s="13">
        <f>IFERROR(__xludf.DUMMYFUNCTION("""COMPUTED_VALUE"""),0.20833333333333334)</f>
        <v>0.2083333333</v>
      </c>
      <c r="D13205" s="8">
        <f>IFERROR(__xludf.DUMMYFUNCTION("""COMPUTED_VALUE"""),0.067)</f>
        <v>0.067</v>
      </c>
      <c r="E13205" s="8" t="str">
        <f>IFERROR(__xludf.DUMMYFUNCTION("""COMPUTED_VALUE"""),"Real")</f>
        <v>Real</v>
      </c>
      <c r="G13205" s="8">
        <f t="shared" si="1"/>
        <v>5</v>
      </c>
      <c r="H13205" s="14">
        <f t="shared" si="2"/>
        <v>4</v>
      </c>
      <c r="I13205" s="15">
        <f t="shared" si="3"/>
        <v>5</v>
      </c>
    </row>
    <row r="13206">
      <c r="A13206" s="8" t="str">
        <f>IFERROR(__xludf.DUMMYFUNCTION("IF('(INGESTA)Datos_consumo_datadis'!A13206&lt;&gt;"""",SPLIT('(INGESTA)Datos_consumo_datadis'!A:A,"",""),"""")"),"ES0031408323131005HX0F")</f>
        <v>ES0031408323131005HX0F</v>
      </c>
      <c r="B13206" s="12">
        <f>IFERROR(__xludf.DUMMYFUNCTION("""COMPUTED_VALUE"""),45416.0)</f>
        <v>45416</v>
      </c>
      <c r="C13206" s="13">
        <f>IFERROR(__xludf.DUMMYFUNCTION("""COMPUTED_VALUE"""),0.25)</f>
        <v>0.25</v>
      </c>
      <c r="D13206" s="8">
        <f>IFERROR(__xludf.DUMMYFUNCTION("""COMPUTED_VALUE"""),0.325)</f>
        <v>0.325</v>
      </c>
      <c r="E13206" s="8" t="str">
        <f>IFERROR(__xludf.DUMMYFUNCTION("""COMPUTED_VALUE"""),"Real")</f>
        <v>Real</v>
      </c>
      <c r="G13206" s="8">
        <f t="shared" si="1"/>
        <v>5</v>
      </c>
      <c r="H13206" s="14">
        <f t="shared" si="2"/>
        <v>4</v>
      </c>
      <c r="I13206" s="15">
        <f t="shared" si="3"/>
        <v>6</v>
      </c>
    </row>
    <row r="13207">
      <c r="A13207" s="8" t="str">
        <f>IFERROR(__xludf.DUMMYFUNCTION("IF('(INGESTA)Datos_consumo_datadis'!A13207&lt;&gt;"""",SPLIT('(INGESTA)Datos_consumo_datadis'!A:A,"",""),"""")"),"ES0031408323131005HX0F")</f>
        <v>ES0031408323131005HX0F</v>
      </c>
      <c r="B13207" s="12">
        <f>IFERROR(__xludf.DUMMYFUNCTION("""COMPUTED_VALUE"""),45416.0)</f>
        <v>45416</v>
      </c>
      <c r="C13207" s="13">
        <f>IFERROR(__xludf.DUMMYFUNCTION("""COMPUTED_VALUE"""),0.2916666666666667)</f>
        <v>0.2916666667</v>
      </c>
      <c r="D13207" s="8">
        <f>IFERROR(__xludf.DUMMYFUNCTION("""COMPUTED_VALUE"""),0.065)</f>
        <v>0.065</v>
      </c>
      <c r="E13207" s="8" t="str">
        <f>IFERROR(__xludf.DUMMYFUNCTION("""COMPUTED_VALUE"""),"Real")</f>
        <v>Real</v>
      </c>
      <c r="G13207" s="8">
        <f t="shared" si="1"/>
        <v>5</v>
      </c>
      <c r="H13207" s="14">
        <f t="shared" si="2"/>
        <v>4</v>
      </c>
      <c r="I13207" s="15">
        <f t="shared" si="3"/>
        <v>7</v>
      </c>
    </row>
    <row r="13208">
      <c r="A13208" s="8" t="str">
        <f>IFERROR(__xludf.DUMMYFUNCTION("IF('(INGESTA)Datos_consumo_datadis'!A13208&lt;&gt;"""",SPLIT('(INGESTA)Datos_consumo_datadis'!A:A,"",""),"""")"),"ES0031408323131005HX0F")</f>
        <v>ES0031408323131005HX0F</v>
      </c>
      <c r="B13208" s="12">
        <f>IFERROR(__xludf.DUMMYFUNCTION("""COMPUTED_VALUE"""),45416.0)</f>
        <v>45416</v>
      </c>
      <c r="C13208" s="13">
        <f>IFERROR(__xludf.DUMMYFUNCTION("""COMPUTED_VALUE"""),0.3333333333333333)</f>
        <v>0.3333333333</v>
      </c>
      <c r="D13208" s="8">
        <f>IFERROR(__xludf.DUMMYFUNCTION("""COMPUTED_VALUE"""),0.063)</f>
        <v>0.063</v>
      </c>
      <c r="E13208" s="8" t="str">
        <f>IFERROR(__xludf.DUMMYFUNCTION("""COMPUTED_VALUE"""),"Real")</f>
        <v>Real</v>
      </c>
      <c r="G13208" s="8">
        <f t="shared" si="1"/>
        <v>5</v>
      </c>
      <c r="H13208" s="14">
        <f t="shared" si="2"/>
        <v>4</v>
      </c>
      <c r="I13208" s="15">
        <f t="shared" si="3"/>
        <v>8</v>
      </c>
    </row>
    <row r="13209">
      <c r="A13209" s="8" t="str">
        <f>IFERROR(__xludf.DUMMYFUNCTION("IF('(INGESTA)Datos_consumo_datadis'!A13209&lt;&gt;"""",SPLIT('(INGESTA)Datos_consumo_datadis'!A:A,"",""),"""")"),"ES0031408323131005HX0F")</f>
        <v>ES0031408323131005HX0F</v>
      </c>
      <c r="B13209" s="12">
        <f>IFERROR(__xludf.DUMMYFUNCTION("""COMPUTED_VALUE"""),45416.0)</f>
        <v>45416</v>
      </c>
      <c r="C13209" s="13">
        <f>IFERROR(__xludf.DUMMYFUNCTION("""COMPUTED_VALUE"""),0.375)</f>
        <v>0.375</v>
      </c>
      <c r="D13209" s="8">
        <f>IFERROR(__xludf.DUMMYFUNCTION("""COMPUTED_VALUE"""),0.87)</f>
        <v>0.87</v>
      </c>
      <c r="E13209" s="8" t="str">
        <f>IFERROR(__xludf.DUMMYFUNCTION("""COMPUTED_VALUE"""),"Real")</f>
        <v>Real</v>
      </c>
      <c r="G13209" s="8">
        <f t="shared" si="1"/>
        <v>5</v>
      </c>
      <c r="H13209" s="14">
        <f t="shared" si="2"/>
        <v>4</v>
      </c>
      <c r="I13209" s="15">
        <f t="shared" si="3"/>
        <v>9</v>
      </c>
    </row>
    <row r="13210">
      <c r="A13210" s="8" t="str">
        <f>IFERROR(__xludf.DUMMYFUNCTION("IF('(INGESTA)Datos_consumo_datadis'!A13210&lt;&gt;"""",SPLIT('(INGESTA)Datos_consumo_datadis'!A:A,"",""),"""")"),"ES0031408323131005HX0F")</f>
        <v>ES0031408323131005HX0F</v>
      </c>
      <c r="B13210" s="12">
        <f>IFERROR(__xludf.DUMMYFUNCTION("""COMPUTED_VALUE"""),45416.0)</f>
        <v>45416</v>
      </c>
      <c r="C13210" s="13">
        <f>IFERROR(__xludf.DUMMYFUNCTION("""COMPUTED_VALUE"""),0.4166666666666667)</f>
        <v>0.4166666667</v>
      </c>
      <c r="D13210" s="8">
        <f>IFERROR(__xludf.DUMMYFUNCTION("""COMPUTED_VALUE"""),1.025)</f>
        <v>1.025</v>
      </c>
      <c r="E13210" s="8" t="str">
        <f>IFERROR(__xludf.DUMMYFUNCTION("""COMPUTED_VALUE"""),"Real")</f>
        <v>Real</v>
      </c>
      <c r="G13210" s="8">
        <f t="shared" si="1"/>
        <v>5</v>
      </c>
      <c r="H13210" s="14">
        <f t="shared" si="2"/>
        <v>4</v>
      </c>
      <c r="I13210" s="15">
        <f t="shared" si="3"/>
        <v>10</v>
      </c>
    </row>
    <row r="13211">
      <c r="A13211" s="8" t="str">
        <f>IFERROR(__xludf.DUMMYFUNCTION("IF('(INGESTA)Datos_consumo_datadis'!A13211&lt;&gt;"""",SPLIT('(INGESTA)Datos_consumo_datadis'!A:A,"",""),"""")"),"ES0031408323131005HX0F")</f>
        <v>ES0031408323131005HX0F</v>
      </c>
      <c r="B13211" s="12">
        <f>IFERROR(__xludf.DUMMYFUNCTION("""COMPUTED_VALUE"""),45416.0)</f>
        <v>45416</v>
      </c>
      <c r="C13211" s="13">
        <f>IFERROR(__xludf.DUMMYFUNCTION("""COMPUTED_VALUE"""),0.4583333333333333)</f>
        <v>0.4583333333</v>
      </c>
      <c r="D13211" s="8">
        <f>IFERROR(__xludf.DUMMYFUNCTION("""COMPUTED_VALUE"""),0.058)</f>
        <v>0.058</v>
      </c>
      <c r="E13211" s="8" t="str">
        <f>IFERROR(__xludf.DUMMYFUNCTION("""COMPUTED_VALUE"""),"Real")</f>
        <v>Real</v>
      </c>
      <c r="G13211" s="8">
        <f t="shared" si="1"/>
        <v>5</v>
      </c>
      <c r="H13211" s="14">
        <f t="shared" si="2"/>
        <v>4</v>
      </c>
      <c r="I13211" s="15">
        <f t="shared" si="3"/>
        <v>11</v>
      </c>
    </row>
    <row r="13212">
      <c r="A13212" s="8" t="str">
        <f>IFERROR(__xludf.DUMMYFUNCTION("IF('(INGESTA)Datos_consumo_datadis'!A13212&lt;&gt;"""",SPLIT('(INGESTA)Datos_consumo_datadis'!A:A,"",""),"""")"),"ES0031408323131005HX0F")</f>
        <v>ES0031408323131005HX0F</v>
      </c>
      <c r="B13212" s="12">
        <f>IFERROR(__xludf.DUMMYFUNCTION("""COMPUTED_VALUE"""),45416.0)</f>
        <v>45416</v>
      </c>
      <c r="C13212" s="13">
        <f>IFERROR(__xludf.DUMMYFUNCTION("""COMPUTED_VALUE"""),0.5)</f>
        <v>0.5</v>
      </c>
      <c r="D13212" s="8">
        <f>IFERROR(__xludf.DUMMYFUNCTION("""COMPUTED_VALUE"""),0.057)</f>
        <v>0.057</v>
      </c>
      <c r="E13212" s="8" t="str">
        <f>IFERROR(__xludf.DUMMYFUNCTION("""COMPUTED_VALUE"""),"Real")</f>
        <v>Real</v>
      </c>
      <c r="G13212" s="8">
        <f t="shared" si="1"/>
        <v>5</v>
      </c>
      <c r="H13212" s="14">
        <f t="shared" si="2"/>
        <v>4</v>
      </c>
      <c r="I13212" s="15">
        <f t="shared" si="3"/>
        <v>12</v>
      </c>
    </row>
    <row r="13213">
      <c r="A13213" s="8" t="str">
        <f>IFERROR(__xludf.DUMMYFUNCTION("IF('(INGESTA)Datos_consumo_datadis'!A13213&lt;&gt;"""",SPLIT('(INGESTA)Datos_consumo_datadis'!A:A,"",""),"""")"),"ES0031408323131005HX0F")</f>
        <v>ES0031408323131005HX0F</v>
      </c>
      <c r="B13213" s="12">
        <f>IFERROR(__xludf.DUMMYFUNCTION("""COMPUTED_VALUE"""),45416.0)</f>
        <v>45416</v>
      </c>
      <c r="C13213" s="13">
        <f>IFERROR(__xludf.DUMMYFUNCTION("""COMPUTED_VALUE"""),0.5416666666666666)</f>
        <v>0.5416666667</v>
      </c>
      <c r="D13213" s="8">
        <f>IFERROR(__xludf.DUMMYFUNCTION("""COMPUTED_VALUE"""),0.053)</f>
        <v>0.053</v>
      </c>
      <c r="E13213" s="8" t="str">
        <f>IFERROR(__xludf.DUMMYFUNCTION("""COMPUTED_VALUE"""),"Real")</f>
        <v>Real</v>
      </c>
      <c r="G13213" s="8">
        <f t="shared" si="1"/>
        <v>5</v>
      </c>
      <c r="H13213" s="14">
        <f t="shared" si="2"/>
        <v>4</v>
      </c>
      <c r="I13213" s="15">
        <f t="shared" si="3"/>
        <v>13</v>
      </c>
    </row>
    <row r="13214">
      <c r="A13214" s="8" t="str">
        <f>IFERROR(__xludf.DUMMYFUNCTION("IF('(INGESTA)Datos_consumo_datadis'!A13214&lt;&gt;"""",SPLIT('(INGESTA)Datos_consumo_datadis'!A:A,"",""),"""")"),"ES0031408323131005HX0F")</f>
        <v>ES0031408323131005HX0F</v>
      </c>
      <c r="B13214" s="12">
        <f>IFERROR(__xludf.DUMMYFUNCTION("""COMPUTED_VALUE"""),45416.0)</f>
        <v>45416</v>
      </c>
      <c r="C13214" s="13">
        <f>IFERROR(__xludf.DUMMYFUNCTION("""COMPUTED_VALUE"""),0.5833333333333334)</f>
        <v>0.5833333333</v>
      </c>
      <c r="D13214" s="8">
        <f>IFERROR(__xludf.DUMMYFUNCTION("""COMPUTED_VALUE"""),0.185)</f>
        <v>0.185</v>
      </c>
      <c r="E13214" s="8" t="str">
        <f>IFERROR(__xludf.DUMMYFUNCTION("""COMPUTED_VALUE"""),"Real")</f>
        <v>Real</v>
      </c>
      <c r="G13214" s="8">
        <f t="shared" si="1"/>
        <v>5</v>
      </c>
      <c r="H13214" s="14">
        <f t="shared" si="2"/>
        <v>4</v>
      </c>
      <c r="I13214" s="15">
        <f t="shared" si="3"/>
        <v>14</v>
      </c>
    </row>
    <row r="13215">
      <c r="A13215" s="8" t="str">
        <f>IFERROR(__xludf.DUMMYFUNCTION("IF('(INGESTA)Datos_consumo_datadis'!A13215&lt;&gt;"""",SPLIT('(INGESTA)Datos_consumo_datadis'!A:A,"",""),"""")"),"ES0031408323131005HX0F")</f>
        <v>ES0031408323131005HX0F</v>
      </c>
      <c r="B13215" s="12">
        <f>IFERROR(__xludf.DUMMYFUNCTION("""COMPUTED_VALUE"""),45416.0)</f>
        <v>45416</v>
      </c>
      <c r="C13215" s="13">
        <f>IFERROR(__xludf.DUMMYFUNCTION("""COMPUTED_VALUE"""),0.625)</f>
        <v>0.625</v>
      </c>
      <c r="D13215" s="8">
        <f>IFERROR(__xludf.DUMMYFUNCTION("""COMPUTED_VALUE"""),0.18)</f>
        <v>0.18</v>
      </c>
      <c r="E13215" s="8" t="str">
        <f>IFERROR(__xludf.DUMMYFUNCTION("""COMPUTED_VALUE"""),"Real")</f>
        <v>Real</v>
      </c>
      <c r="G13215" s="8">
        <f t="shared" si="1"/>
        <v>5</v>
      </c>
      <c r="H13215" s="14">
        <f t="shared" si="2"/>
        <v>4</v>
      </c>
      <c r="I13215" s="15">
        <f t="shared" si="3"/>
        <v>15</v>
      </c>
    </row>
    <row r="13216">
      <c r="A13216" s="8" t="str">
        <f>IFERROR(__xludf.DUMMYFUNCTION("IF('(INGESTA)Datos_consumo_datadis'!A13216&lt;&gt;"""",SPLIT('(INGESTA)Datos_consumo_datadis'!A:A,"",""),"""")"),"ES0031408323131005HX0F")</f>
        <v>ES0031408323131005HX0F</v>
      </c>
      <c r="B13216" s="12">
        <f>IFERROR(__xludf.DUMMYFUNCTION("""COMPUTED_VALUE"""),45416.0)</f>
        <v>45416</v>
      </c>
      <c r="C13216" s="13">
        <f>IFERROR(__xludf.DUMMYFUNCTION("""COMPUTED_VALUE"""),0.6666666666666666)</f>
        <v>0.6666666667</v>
      </c>
      <c r="D13216" s="8">
        <f>IFERROR(__xludf.DUMMYFUNCTION("""COMPUTED_VALUE"""),0.067)</f>
        <v>0.067</v>
      </c>
      <c r="E13216" s="8" t="str">
        <f>IFERROR(__xludf.DUMMYFUNCTION("""COMPUTED_VALUE"""),"Real")</f>
        <v>Real</v>
      </c>
      <c r="G13216" s="8">
        <f t="shared" si="1"/>
        <v>5</v>
      </c>
      <c r="H13216" s="14">
        <f t="shared" si="2"/>
        <v>4</v>
      </c>
      <c r="I13216" s="15">
        <f t="shared" si="3"/>
        <v>16</v>
      </c>
    </row>
    <row r="13217">
      <c r="A13217" s="8" t="str">
        <f>IFERROR(__xludf.DUMMYFUNCTION("IF('(INGESTA)Datos_consumo_datadis'!A13217&lt;&gt;"""",SPLIT('(INGESTA)Datos_consumo_datadis'!A:A,"",""),"""")"),"ES0031408323131005HX0F")</f>
        <v>ES0031408323131005HX0F</v>
      </c>
      <c r="B13217" s="12">
        <f>IFERROR(__xludf.DUMMYFUNCTION("""COMPUTED_VALUE"""),45416.0)</f>
        <v>45416</v>
      </c>
      <c r="C13217" s="13">
        <f>IFERROR(__xludf.DUMMYFUNCTION("""COMPUTED_VALUE"""),0.7083333333333334)</f>
        <v>0.7083333333</v>
      </c>
      <c r="D13217" s="8">
        <f>IFERROR(__xludf.DUMMYFUNCTION("""COMPUTED_VALUE"""),0.044)</f>
        <v>0.044</v>
      </c>
      <c r="E13217" s="8" t="str">
        <f>IFERROR(__xludf.DUMMYFUNCTION("""COMPUTED_VALUE"""),"Real")</f>
        <v>Real</v>
      </c>
      <c r="G13217" s="8">
        <f t="shared" si="1"/>
        <v>5</v>
      </c>
      <c r="H13217" s="14">
        <f t="shared" si="2"/>
        <v>4</v>
      </c>
      <c r="I13217" s="15">
        <f t="shared" si="3"/>
        <v>17</v>
      </c>
    </row>
    <row r="13218">
      <c r="A13218" s="8" t="str">
        <f>IFERROR(__xludf.DUMMYFUNCTION("IF('(INGESTA)Datos_consumo_datadis'!A13218&lt;&gt;"""",SPLIT('(INGESTA)Datos_consumo_datadis'!A:A,"",""),"""")"),"ES0031408323131005HX0F")</f>
        <v>ES0031408323131005HX0F</v>
      </c>
      <c r="B13218" s="12">
        <f>IFERROR(__xludf.DUMMYFUNCTION("""COMPUTED_VALUE"""),45416.0)</f>
        <v>45416</v>
      </c>
      <c r="C13218" s="13">
        <f>IFERROR(__xludf.DUMMYFUNCTION("""COMPUTED_VALUE"""),0.75)</f>
        <v>0.75</v>
      </c>
      <c r="D13218" s="8">
        <f>IFERROR(__xludf.DUMMYFUNCTION("""COMPUTED_VALUE"""),0.215)</f>
        <v>0.215</v>
      </c>
      <c r="E13218" s="8" t="str">
        <f>IFERROR(__xludf.DUMMYFUNCTION("""COMPUTED_VALUE"""),"Real")</f>
        <v>Real</v>
      </c>
      <c r="G13218" s="8">
        <f t="shared" si="1"/>
        <v>5</v>
      </c>
      <c r="H13218" s="14">
        <f t="shared" si="2"/>
        <v>4</v>
      </c>
      <c r="I13218" s="15">
        <f t="shared" si="3"/>
        <v>18</v>
      </c>
    </row>
    <row r="13219">
      <c r="A13219" s="8" t="str">
        <f>IFERROR(__xludf.DUMMYFUNCTION("IF('(INGESTA)Datos_consumo_datadis'!A13219&lt;&gt;"""",SPLIT('(INGESTA)Datos_consumo_datadis'!A:A,"",""),"""")"),"ES0031408323131005HX0F")</f>
        <v>ES0031408323131005HX0F</v>
      </c>
      <c r="B13219" s="12">
        <f>IFERROR(__xludf.DUMMYFUNCTION("""COMPUTED_VALUE"""),45416.0)</f>
        <v>45416</v>
      </c>
      <c r="C13219" s="13">
        <f>IFERROR(__xludf.DUMMYFUNCTION("""COMPUTED_VALUE"""),0.7916666666666666)</f>
        <v>0.7916666667</v>
      </c>
      <c r="D13219" s="8">
        <f>IFERROR(__xludf.DUMMYFUNCTION("""COMPUTED_VALUE"""),0.057)</f>
        <v>0.057</v>
      </c>
      <c r="E13219" s="8" t="str">
        <f>IFERROR(__xludf.DUMMYFUNCTION("""COMPUTED_VALUE"""),"Real")</f>
        <v>Real</v>
      </c>
      <c r="G13219" s="8">
        <f t="shared" si="1"/>
        <v>5</v>
      </c>
      <c r="H13219" s="14">
        <f t="shared" si="2"/>
        <v>4</v>
      </c>
      <c r="I13219" s="15">
        <f t="shared" si="3"/>
        <v>19</v>
      </c>
    </row>
    <row r="13220">
      <c r="A13220" s="8" t="str">
        <f>IFERROR(__xludf.DUMMYFUNCTION("IF('(INGESTA)Datos_consumo_datadis'!A13220&lt;&gt;"""",SPLIT('(INGESTA)Datos_consumo_datadis'!A:A,"",""),"""")"),"ES0031408323131005HX0F")</f>
        <v>ES0031408323131005HX0F</v>
      </c>
      <c r="B13220" s="12">
        <f>IFERROR(__xludf.DUMMYFUNCTION("""COMPUTED_VALUE"""),45416.0)</f>
        <v>45416</v>
      </c>
      <c r="C13220" s="13">
        <f>IFERROR(__xludf.DUMMYFUNCTION("""COMPUTED_VALUE"""),0.8333333333333334)</f>
        <v>0.8333333333</v>
      </c>
      <c r="D13220" s="8">
        <f>IFERROR(__xludf.DUMMYFUNCTION("""COMPUTED_VALUE"""),0.347)</f>
        <v>0.347</v>
      </c>
      <c r="E13220" s="8" t="str">
        <f>IFERROR(__xludf.DUMMYFUNCTION("""COMPUTED_VALUE"""),"Real")</f>
        <v>Real</v>
      </c>
      <c r="G13220" s="8">
        <f t="shared" si="1"/>
        <v>5</v>
      </c>
      <c r="H13220" s="14">
        <f t="shared" si="2"/>
        <v>4</v>
      </c>
      <c r="I13220" s="15">
        <f t="shared" si="3"/>
        <v>20</v>
      </c>
    </row>
    <row r="13221">
      <c r="A13221" s="8" t="str">
        <f>IFERROR(__xludf.DUMMYFUNCTION("IF('(INGESTA)Datos_consumo_datadis'!A13221&lt;&gt;"""",SPLIT('(INGESTA)Datos_consumo_datadis'!A:A,"",""),"""")"),"ES0031408323131005HX0F")</f>
        <v>ES0031408323131005HX0F</v>
      </c>
      <c r="B13221" s="12">
        <f>IFERROR(__xludf.DUMMYFUNCTION("""COMPUTED_VALUE"""),45416.0)</f>
        <v>45416</v>
      </c>
      <c r="C13221" s="13">
        <f>IFERROR(__xludf.DUMMYFUNCTION("""COMPUTED_VALUE"""),0.875)</f>
        <v>0.875</v>
      </c>
      <c r="D13221" s="8">
        <f>IFERROR(__xludf.DUMMYFUNCTION("""COMPUTED_VALUE"""),0.682)</f>
        <v>0.682</v>
      </c>
      <c r="E13221" s="8" t="str">
        <f>IFERROR(__xludf.DUMMYFUNCTION("""COMPUTED_VALUE"""),"Real")</f>
        <v>Real</v>
      </c>
      <c r="G13221" s="8">
        <f t="shared" si="1"/>
        <v>5</v>
      </c>
      <c r="H13221" s="14">
        <f t="shared" si="2"/>
        <v>4</v>
      </c>
      <c r="I13221" s="15">
        <f t="shared" si="3"/>
        <v>21</v>
      </c>
    </row>
    <row r="13222">
      <c r="A13222" s="8" t="str">
        <f>IFERROR(__xludf.DUMMYFUNCTION("IF('(INGESTA)Datos_consumo_datadis'!A13222&lt;&gt;"""",SPLIT('(INGESTA)Datos_consumo_datadis'!A:A,"",""),"""")"),"ES0031408323131005HX0F")</f>
        <v>ES0031408323131005HX0F</v>
      </c>
      <c r="B13222" s="12">
        <f>IFERROR(__xludf.DUMMYFUNCTION("""COMPUTED_VALUE"""),45416.0)</f>
        <v>45416</v>
      </c>
      <c r="C13222" s="13">
        <f>IFERROR(__xludf.DUMMYFUNCTION("""COMPUTED_VALUE"""),0.9166666666666666)</f>
        <v>0.9166666667</v>
      </c>
      <c r="D13222" s="8">
        <f>IFERROR(__xludf.DUMMYFUNCTION("""COMPUTED_VALUE"""),0.364)</f>
        <v>0.364</v>
      </c>
      <c r="E13222" s="8" t="str">
        <f>IFERROR(__xludf.DUMMYFUNCTION("""COMPUTED_VALUE"""),"Real")</f>
        <v>Real</v>
      </c>
      <c r="G13222" s="8">
        <f t="shared" si="1"/>
        <v>5</v>
      </c>
      <c r="H13222" s="14">
        <f t="shared" si="2"/>
        <v>4</v>
      </c>
      <c r="I13222" s="15">
        <f t="shared" si="3"/>
        <v>22</v>
      </c>
    </row>
    <row r="13223">
      <c r="A13223" s="8" t="str">
        <f>IFERROR(__xludf.DUMMYFUNCTION("IF('(INGESTA)Datos_consumo_datadis'!A13223&lt;&gt;"""",SPLIT('(INGESTA)Datos_consumo_datadis'!A:A,"",""),"""")"),"ES0031408323131005HX0F")</f>
        <v>ES0031408323131005HX0F</v>
      </c>
      <c r="B13223" s="12">
        <f>IFERROR(__xludf.DUMMYFUNCTION("""COMPUTED_VALUE"""),45416.0)</f>
        <v>45416</v>
      </c>
      <c r="C13223" s="13">
        <f>IFERROR(__xludf.DUMMYFUNCTION("""COMPUTED_VALUE"""),0.9583333333333334)</f>
        <v>0.9583333333</v>
      </c>
      <c r="D13223" s="8">
        <f>IFERROR(__xludf.DUMMYFUNCTION("""COMPUTED_VALUE"""),0.06)</f>
        <v>0.06</v>
      </c>
      <c r="E13223" s="8" t="str">
        <f>IFERROR(__xludf.DUMMYFUNCTION("""COMPUTED_VALUE"""),"Real")</f>
        <v>Real</v>
      </c>
      <c r="G13223" s="8">
        <f t="shared" si="1"/>
        <v>5</v>
      </c>
      <c r="H13223" s="14">
        <f t="shared" si="2"/>
        <v>4</v>
      </c>
      <c r="I13223" s="15">
        <f t="shared" si="3"/>
        <v>23</v>
      </c>
    </row>
    <row r="13224">
      <c r="A13224" s="8" t="str">
        <f>IFERROR(__xludf.DUMMYFUNCTION("IF('(INGESTA)Datos_consumo_datadis'!A13224&lt;&gt;"""",SPLIT('(INGESTA)Datos_consumo_datadis'!A:A,"",""),"""")"),"ES0031408323131005HX0F")</f>
        <v>ES0031408323131005HX0F</v>
      </c>
      <c r="B13224" s="12">
        <f>IFERROR(__xludf.DUMMYFUNCTION("""COMPUTED_VALUE"""),45416.0)</f>
        <v>45416</v>
      </c>
      <c r="C13224" s="16">
        <f>IFERROR(__xludf.DUMMYFUNCTION("""COMPUTED_VALUE"""),1.0)</f>
        <v>1</v>
      </c>
      <c r="D13224" s="8">
        <f>IFERROR(__xludf.DUMMYFUNCTION("""COMPUTED_VALUE"""),0.065)</f>
        <v>0.065</v>
      </c>
      <c r="E13224" s="8" t="str">
        <f>IFERROR(__xludf.DUMMYFUNCTION("""COMPUTED_VALUE"""),"Real")</f>
        <v>Real</v>
      </c>
      <c r="G13224" s="8">
        <f t="shared" si="1"/>
        <v>5</v>
      </c>
      <c r="H13224" s="14">
        <f t="shared" si="2"/>
        <v>4</v>
      </c>
      <c r="I13224" s="15">
        <f t="shared" si="3"/>
        <v>0</v>
      </c>
    </row>
    <row r="13225">
      <c r="A13225" s="8" t="str">
        <f>IFERROR(__xludf.DUMMYFUNCTION("IF('(INGESTA)Datos_consumo_datadis'!A13225&lt;&gt;"""",SPLIT('(INGESTA)Datos_consumo_datadis'!A:A,"",""),"""")"),"ES0031408323131005HX0F")</f>
        <v>ES0031408323131005HX0F</v>
      </c>
      <c r="B13225" s="12">
        <f>IFERROR(__xludf.DUMMYFUNCTION("""COMPUTED_VALUE"""),45417.0)</f>
        <v>45417</v>
      </c>
      <c r="C13225" s="13">
        <f>IFERROR(__xludf.DUMMYFUNCTION("""COMPUTED_VALUE"""),0.041666666666666664)</f>
        <v>0.04166666667</v>
      </c>
      <c r="D13225" s="8">
        <f>IFERROR(__xludf.DUMMYFUNCTION("""COMPUTED_VALUE"""),0.447)</f>
        <v>0.447</v>
      </c>
      <c r="E13225" s="8" t="str">
        <f>IFERROR(__xludf.DUMMYFUNCTION("""COMPUTED_VALUE"""),"Real")</f>
        <v>Real</v>
      </c>
      <c r="G13225" s="8">
        <f t="shared" si="1"/>
        <v>5</v>
      </c>
      <c r="H13225" s="14">
        <f t="shared" si="2"/>
        <v>5</v>
      </c>
      <c r="I13225" s="15">
        <f t="shared" si="3"/>
        <v>1</v>
      </c>
    </row>
    <row r="13226">
      <c r="A13226" s="8" t="str">
        <f>IFERROR(__xludf.DUMMYFUNCTION("IF('(INGESTA)Datos_consumo_datadis'!A13226&lt;&gt;"""",SPLIT('(INGESTA)Datos_consumo_datadis'!A:A,"",""),"""")"),"ES0031408323131005HX0F")</f>
        <v>ES0031408323131005HX0F</v>
      </c>
      <c r="B13226" s="12">
        <f>IFERROR(__xludf.DUMMYFUNCTION("""COMPUTED_VALUE"""),45417.0)</f>
        <v>45417</v>
      </c>
      <c r="C13226" s="13">
        <f>IFERROR(__xludf.DUMMYFUNCTION("""COMPUTED_VALUE"""),0.08333333333333333)</f>
        <v>0.08333333333</v>
      </c>
      <c r="D13226" s="8">
        <f>IFERROR(__xludf.DUMMYFUNCTION("""COMPUTED_VALUE"""),0.083)</f>
        <v>0.083</v>
      </c>
      <c r="E13226" s="8" t="str">
        <f>IFERROR(__xludf.DUMMYFUNCTION("""COMPUTED_VALUE"""),"Real")</f>
        <v>Real</v>
      </c>
      <c r="G13226" s="8">
        <f t="shared" si="1"/>
        <v>5</v>
      </c>
      <c r="H13226" s="14">
        <f t="shared" si="2"/>
        <v>5</v>
      </c>
      <c r="I13226" s="15">
        <f t="shared" si="3"/>
        <v>2</v>
      </c>
    </row>
    <row r="13227">
      <c r="A13227" s="8" t="str">
        <f>IFERROR(__xludf.DUMMYFUNCTION("IF('(INGESTA)Datos_consumo_datadis'!A13227&lt;&gt;"""",SPLIT('(INGESTA)Datos_consumo_datadis'!A:A,"",""),"""")"),"ES0031408323131005HX0F")</f>
        <v>ES0031408323131005HX0F</v>
      </c>
      <c r="B13227" s="12">
        <f>IFERROR(__xludf.DUMMYFUNCTION("""COMPUTED_VALUE"""),45417.0)</f>
        <v>45417</v>
      </c>
      <c r="C13227" s="13">
        <f>IFERROR(__xludf.DUMMYFUNCTION("""COMPUTED_VALUE"""),0.125)</f>
        <v>0.125</v>
      </c>
      <c r="D13227" s="8">
        <f>IFERROR(__xludf.DUMMYFUNCTION("""COMPUTED_VALUE"""),0.145)</f>
        <v>0.145</v>
      </c>
      <c r="E13227" s="8" t="str">
        <f>IFERROR(__xludf.DUMMYFUNCTION("""COMPUTED_VALUE"""),"Real")</f>
        <v>Real</v>
      </c>
      <c r="G13227" s="8">
        <f t="shared" si="1"/>
        <v>5</v>
      </c>
      <c r="H13227" s="14">
        <f t="shared" si="2"/>
        <v>5</v>
      </c>
      <c r="I13227" s="15">
        <f t="shared" si="3"/>
        <v>3</v>
      </c>
    </row>
    <row r="13228">
      <c r="A13228" s="8" t="str">
        <f>IFERROR(__xludf.DUMMYFUNCTION("IF('(INGESTA)Datos_consumo_datadis'!A13228&lt;&gt;"""",SPLIT('(INGESTA)Datos_consumo_datadis'!A:A,"",""),"""")"),"ES0031408323131005HX0F")</f>
        <v>ES0031408323131005HX0F</v>
      </c>
      <c r="B13228" s="12">
        <f>IFERROR(__xludf.DUMMYFUNCTION("""COMPUTED_VALUE"""),45417.0)</f>
        <v>45417</v>
      </c>
      <c r="C13228" s="13">
        <f>IFERROR(__xludf.DUMMYFUNCTION("""COMPUTED_VALUE"""),0.16666666666666666)</f>
        <v>0.1666666667</v>
      </c>
      <c r="D13228" s="8">
        <f>IFERROR(__xludf.DUMMYFUNCTION("""COMPUTED_VALUE"""),0.076)</f>
        <v>0.076</v>
      </c>
      <c r="E13228" s="8" t="str">
        <f>IFERROR(__xludf.DUMMYFUNCTION("""COMPUTED_VALUE"""),"Real")</f>
        <v>Real</v>
      </c>
      <c r="G13228" s="8">
        <f t="shared" si="1"/>
        <v>5</v>
      </c>
      <c r="H13228" s="14">
        <f t="shared" si="2"/>
        <v>5</v>
      </c>
      <c r="I13228" s="15">
        <f t="shared" si="3"/>
        <v>4</v>
      </c>
    </row>
    <row r="13229">
      <c r="A13229" s="8" t="str">
        <f>IFERROR(__xludf.DUMMYFUNCTION("IF('(INGESTA)Datos_consumo_datadis'!A13229&lt;&gt;"""",SPLIT('(INGESTA)Datos_consumo_datadis'!A:A,"",""),"""")"),"ES0031408323131005HX0F")</f>
        <v>ES0031408323131005HX0F</v>
      </c>
      <c r="B13229" s="12">
        <f>IFERROR(__xludf.DUMMYFUNCTION("""COMPUTED_VALUE"""),45417.0)</f>
        <v>45417</v>
      </c>
      <c r="C13229" s="13">
        <f>IFERROR(__xludf.DUMMYFUNCTION("""COMPUTED_VALUE"""),0.20833333333333334)</f>
        <v>0.2083333333</v>
      </c>
      <c r="D13229" s="8">
        <f>IFERROR(__xludf.DUMMYFUNCTION("""COMPUTED_VALUE"""),0.057)</f>
        <v>0.057</v>
      </c>
      <c r="E13229" s="8" t="str">
        <f>IFERROR(__xludf.DUMMYFUNCTION("""COMPUTED_VALUE"""),"Real")</f>
        <v>Real</v>
      </c>
      <c r="G13229" s="8">
        <f t="shared" si="1"/>
        <v>5</v>
      </c>
      <c r="H13229" s="14">
        <f t="shared" si="2"/>
        <v>5</v>
      </c>
      <c r="I13229" s="15">
        <f t="shared" si="3"/>
        <v>5</v>
      </c>
    </row>
    <row r="13230">
      <c r="A13230" s="8" t="str">
        <f>IFERROR(__xludf.DUMMYFUNCTION("IF('(INGESTA)Datos_consumo_datadis'!A13230&lt;&gt;"""",SPLIT('(INGESTA)Datos_consumo_datadis'!A:A,"",""),"""")"),"ES0031408323131005HX0F")</f>
        <v>ES0031408323131005HX0F</v>
      </c>
      <c r="B13230" s="12">
        <f>IFERROR(__xludf.DUMMYFUNCTION("""COMPUTED_VALUE"""),45417.0)</f>
        <v>45417</v>
      </c>
      <c r="C13230" s="13">
        <f>IFERROR(__xludf.DUMMYFUNCTION("""COMPUTED_VALUE"""),0.25)</f>
        <v>0.25</v>
      </c>
      <c r="D13230" s="8">
        <f>IFERROR(__xludf.DUMMYFUNCTION("""COMPUTED_VALUE"""),0.071)</f>
        <v>0.071</v>
      </c>
      <c r="E13230" s="8" t="str">
        <f>IFERROR(__xludf.DUMMYFUNCTION("""COMPUTED_VALUE"""),"Real")</f>
        <v>Real</v>
      </c>
      <c r="G13230" s="8">
        <f t="shared" si="1"/>
        <v>5</v>
      </c>
      <c r="H13230" s="14">
        <f t="shared" si="2"/>
        <v>5</v>
      </c>
      <c r="I13230" s="15">
        <f t="shared" si="3"/>
        <v>6</v>
      </c>
    </row>
    <row r="13231">
      <c r="A13231" s="8" t="str">
        <f>IFERROR(__xludf.DUMMYFUNCTION("IF('(INGESTA)Datos_consumo_datadis'!A13231&lt;&gt;"""",SPLIT('(INGESTA)Datos_consumo_datadis'!A:A,"",""),"""")"),"ES0031408323131005HX0F")</f>
        <v>ES0031408323131005HX0F</v>
      </c>
      <c r="B13231" s="12">
        <f>IFERROR(__xludf.DUMMYFUNCTION("""COMPUTED_VALUE"""),45417.0)</f>
        <v>45417</v>
      </c>
      <c r="C13231" s="13">
        <f>IFERROR(__xludf.DUMMYFUNCTION("""COMPUTED_VALUE"""),0.2916666666666667)</f>
        <v>0.2916666667</v>
      </c>
      <c r="D13231" s="8">
        <f>IFERROR(__xludf.DUMMYFUNCTION("""COMPUTED_VALUE"""),0.321)</f>
        <v>0.321</v>
      </c>
      <c r="E13231" s="8" t="str">
        <f>IFERROR(__xludf.DUMMYFUNCTION("""COMPUTED_VALUE"""),"Real")</f>
        <v>Real</v>
      </c>
      <c r="G13231" s="8">
        <f t="shared" si="1"/>
        <v>5</v>
      </c>
      <c r="H13231" s="14">
        <f t="shared" si="2"/>
        <v>5</v>
      </c>
      <c r="I13231" s="15">
        <f t="shared" si="3"/>
        <v>7</v>
      </c>
    </row>
    <row r="13232">
      <c r="A13232" s="8" t="str">
        <f>IFERROR(__xludf.DUMMYFUNCTION("IF('(INGESTA)Datos_consumo_datadis'!A13232&lt;&gt;"""",SPLIT('(INGESTA)Datos_consumo_datadis'!A:A,"",""),"""")"),"ES0031408323131005HX0F")</f>
        <v>ES0031408323131005HX0F</v>
      </c>
      <c r="B13232" s="12">
        <f>IFERROR(__xludf.DUMMYFUNCTION("""COMPUTED_VALUE"""),45417.0)</f>
        <v>45417</v>
      </c>
      <c r="C13232" s="13">
        <f>IFERROR(__xludf.DUMMYFUNCTION("""COMPUTED_VALUE"""),0.3333333333333333)</f>
        <v>0.3333333333</v>
      </c>
      <c r="D13232" s="8">
        <f>IFERROR(__xludf.DUMMYFUNCTION("""COMPUTED_VALUE"""),0.097)</f>
        <v>0.097</v>
      </c>
      <c r="E13232" s="8" t="str">
        <f>IFERROR(__xludf.DUMMYFUNCTION("""COMPUTED_VALUE"""),"Real")</f>
        <v>Real</v>
      </c>
      <c r="G13232" s="8">
        <f t="shared" si="1"/>
        <v>5</v>
      </c>
      <c r="H13232" s="14">
        <f t="shared" si="2"/>
        <v>5</v>
      </c>
      <c r="I13232" s="15">
        <f t="shared" si="3"/>
        <v>8</v>
      </c>
    </row>
    <row r="13233">
      <c r="A13233" s="8" t="str">
        <f>IFERROR(__xludf.DUMMYFUNCTION("IF('(INGESTA)Datos_consumo_datadis'!A13233&lt;&gt;"""",SPLIT('(INGESTA)Datos_consumo_datadis'!A:A,"",""),"""")"),"ES0031408323131005HX0F")</f>
        <v>ES0031408323131005HX0F</v>
      </c>
      <c r="B13233" s="12">
        <f>IFERROR(__xludf.DUMMYFUNCTION("""COMPUTED_VALUE"""),45417.0)</f>
        <v>45417</v>
      </c>
      <c r="C13233" s="13">
        <f>IFERROR(__xludf.DUMMYFUNCTION("""COMPUTED_VALUE"""),0.375)</f>
        <v>0.375</v>
      </c>
      <c r="D13233" s="8">
        <f>IFERROR(__xludf.DUMMYFUNCTION("""COMPUTED_VALUE"""),0.71)</f>
        <v>0.71</v>
      </c>
      <c r="E13233" s="8" t="str">
        <f>IFERROR(__xludf.DUMMYFUNCTION("""COMPUTED_VALUE"""),"Real")</f>
        <v>Real</v>
      </c>
      <c r="G13233" s="8">
        <f t="shared" si="1"/>
        <v>5</v>
      </c>
      <c r="H13233" s="14">
        <f t="shared" si="2"/>
        <v>5</v>
      </c>
      <c r="I13233" s="15">
        <f t="shared" si="3"/>
        <v>9</v>
      </c>
    </row>
    <row r="13234">
      <c r="A13234" s="8" t="str">
        <f>IFERROR(__xludf.DUMMYFUNCTION("IF('(INGESTA)Datos_consumo_datadis'!A13234&lt;&gt;"""",SPLIT('(INGESTA)Datos_consumo_datadis'!A:A,"",""),"""")"),"ES0031408323131005HX0F")</f>
        <v>ES0031408323131005HX0F</v>
      </c>
      <c r="B13234" s="12">
        <f>IFERROR(__xludf.DUMMYFUNCTION("""COMPUTED_VALUE"""),45417.0)</f>
        <v>45417</v>
      </c>
      <c r="C13234" s="13">
        <f>IFERROR(__xludf.DUMMYFUNCTION("""COMPUTED_VALUE"""),0.4166666666666667)</f>
        <v>0.4166666667</v>
      </c>
      <c r="D13234" s="8">
        <f>IFERROR(__xludf.DUMMYFUNCTION("""COMPUTED_VALUE"""),0.177)</f>
        <v>0.177</v>
      </c>
      <c r="E13234" s="8" t="str">
        <f>IFERROR(__xludf.DUMMYFUNCTION("""COMPUTED_VALUE"""),"Real")</f>
        <v>Real</v>
      </c>
      <c r="G13234" s="8">
        <f t="shared" si="1"/>
        <v>5</v>
      </c>
      <c r="H13234" s="14">
        <f t="shared" si="2"/>
        <v>5</v>
      </c>
      <c r="I13234" s="15">
        <f t="shared" si="3"/>
        <v>10</v>
      </c>
    </row>
    <row r="13235">
      <c r="A13235" s="8" t="str">
        <f>IFERROR(__xludf.DUMMYFUNCTION("IF('(INGESTA)Datos_consumo_datadis'!A13235&lt;&gt;"""",SPLIT('(INGESTA)Datos_consumo_datadis'!A:A,"",""),"""")"),"ES0031408323131005HX0F")</f>
        <v>ES0031408323131005HX0F</v>
      </c>
      <c r="B13235" s="12">
        <f>IFERROR(__xludf.DUMMYFUNCTION("""COMPUTED_VALUE"""),45417.0)</f>
        <v>45417</v>
      </c>
      <c r="C13235" s="13">
        <f>IFERROR(__xludf.DUMMYFUNCTION("""COMPUTED_VALUE"""),0.4583333333333333)</f>
        <v>0.4583333333</v>
      </c>
      <c r="D13235" s="8">
        <f>IFERROR(__xludf.DUMMYFUNCTION("""COMPUTED_VALUE"""),0.142)</f>
        <v>0.142</v>
      </c>
      <c r="E13235" s="8" t="str">
        <f>IFERROR(__xludf.DUMMYFUNCTION("""COMPUTED_VALUE"""),"Real")</f>
        <v>Real</v>
      </c>
      <c r="G13235" s="8">
        <f t="shared" si="1"/>
        <v>5</v>
      </c>
      <c r="H13235" s="14">
        <f t="shared" si="2"/>
        <v>5</v>
      </c>
      <c r="I13235" s="15">
        <f t="shared" si="3"/>
        <v>11</v>
      </c>
    </row>
    <row r="13236">
      <c r="A13236" s="8" t="str">
        <f>IFERROR(__xludf.DUMMYFUNCTION("IF('(INGESTA)Datos_consumo_datadis'!A13236&lt;&gt;"""",SPLIT('(INGESTA)Datos_consumo_datadis'!A:A,"",""),"""")"),"ES0031408323131005HX0F")</f>
        <v>ES0031408323131005HX0F</v>
      </c>
      <c r="B13236" s="12">
        <f>IFERROR(__xludf.DUMMYFUNCTION("""COMPUTED_VALUE"""),45417.0)</f>
        <v>45417</v>
      </c>
      <c r="C13236" s="13">
        <f>IFERROR(__xludf.DUMMYFUNCTION("""COMPUTED_VALUE"""),0.5)</f>
        <v>0.5</v>
      </c>
      <c r="D13236" s="8">
        <f>IFERROR(__xludf.DUMMYFUNCTION("""COMPUTED_VALUE"""),0.373)</f>
        <v>0.373</v>
      </c>
      <c r="E13236" s="8" t="str">
        <f>IFERROR(__xludf.DUMMYFUNCTION("""COMPUTED_VALUE"""),"Real")</f>
        <v>Real</v>
      </c>
      <c r="G13236" s="8">
        <f t="shared" si="1"/>
        <v>5</v>
      </c>
      <c r="H13236" s="14">
        <f t="shared" si="2"/>
        <v>5</v>
      </c>
      <c r="I13236" s="15">
        <f t="shared" si="3"/>
        <v>12</v>
      </c>
    </row>
    <row r="13237">
      <c r="A13237" s="8" t="str">
        <f>IFERROR(__xludf.DUMMYFUNCTION("IF('(INGESTA)Datos_consumo_datadis'!A13237&lt;&gt;"""",SPLIT('(INGESTA)Datos_consumo_datadis'!A:A,"",""),"""")"),"ES0031408323131005HX0F")</f>
        <v>ES0031408323131005HX0F</v>
      </c>
      <c r="B13237" s="12">
        <f>IFERROR(__xludf.DUMMYFUNCTION("""COMPUTED_VALUE"""),45417.0)</f>
        <v>45417</v>
      </c>
      <c r="C13237" s="13">
        <f>IFERROR(__xludf.DUMMYFUNCTION("""COMPUTED_VALUE"""),0.5416666666666666)</f>
        <v>0.5416666667</v>
      </c>
      <c r="D13237" s="8">
        <f>IFERROR(__xludf.DUMMYFUNCTION("""COMPUTED_VALUE"""),0.066)</f>
        <v>0.066</v>
      </c>
      <c r="E13237" s="8" t="str">
        <f>IFERROR(__xludf.DUMMYFUNCTION("""COMPUTED_VALUE"""),"Real")</f>
        <v>Real</v>
      </c>
      <c r="G13237" s="8">
        <f t="shared" si="1"/>
        <v>5</v>
      </c>
      <c r="H13237" s="14">
        <f t="shared" si="2"/>
        <v>5</v>
      </c>
      <c r="I13237" s="15">
        <f t="shared" si="3"/>
        <v>13</v>
      </c>
    </row>
    <row r="13238">
      <c r="A13238" s="8" t="str">
        <f>IFERROR(__xludf.DUMMYFUNCTION("IF('(INGESTA)Datos_consumo_datadis'!A13238&lt;&gt;"""",SPLIT('(INGESTA)Datos_consumo_datadis'!A:A,"",""),"""")"),"ES0031408323131005HX0F")</f>
        <v>ES0031408323131005HX0F</v>
      </c>
      <c r="B13238" s="12">
        <f>IFERROR(__xludf.DUMMYFUNCTION("""COMPUTED_VALUE"""),45417.0)</f>
        <v>45417</v>
      </c>
      <c r="C13238" s="13">
        <f>IFERROR(__xludf.DUMMYFUNCTION("""COMPUTED_VALUE"""),0.5833333333333334)</f>
        <v>0.5833333333</v>
      </c>
      <c r="D13238" s="8">
        <f>IFERROR(__xludf.DUMMYFUNCTION("""COMPUTED_VALUE"""),0.055)</f>
        <v>0.055</v>
      </c>
      <c r="E13238" s="8" t="str">
        <f>IFERROR(__xludf.DUMMYFUNCTION("""COMPUTED_VALUE"""),"Real")</f>
        <v>Real</v>
      </c>
      <c r="G13238" s="8">
        <f t="shared" si="1"/>
        <v>5</v>
      </c>
      <c r="H13238" s="14">
        <f t="shared" si="2"/>
        <v>5</v>
      </c>
      <c r="I13238" s="15">
        <f t="shared" si="3"/>
        <v>14</v>
      </c>
    </row>
    <row r="13239">
      <c r="A13239" s="8" t="str">
        <f>IFERROR(__xludf.DUMMYFUNCTION("IF('(INGESTA)Datos_consumo_datadis'!A13239&lt;&gt;"""",SPLIT('(INGESTA)Datos_consumo_datadis'!A:A,"",""),"""")"),"ES0031408323131005HX0F")</f>
        <v>ES0031408323131005HX0F</v>
      </c>
      <c r="B13239" s="12">
        <f>IFERROR(__xludf.DUMMYFUNCTION("""COMPUTED_VALUE"""),45417.0)</f>
        <v>45417</v>
      </c>
      <c r="C13239" s="13">
        <f>IFERROR(__xludf.DUMMYFUNCTION("""COMPUTED_VALUE"""),0.625)</f>
        <v>0.625</v>
      </c>
      <c r="D13239" s="8">
        <f>IFERROR(__xludf.DUMMYFUNCTION("""COMPUTED_VALUE"""),0.066)</f>
        <v>0.066</v>
      </c>
      <c r="E13239" s="8" t="str">
        <f>IFERROR(__xludf.DUMMYFUNCTION("""COMPUTED_VALUE"""),"Real")</f>
        <v>Real</v>
      </c>
      <c r="G13239" s="8">
        <f t="shared" si="1"/>
        <v>5</v>
      </c>
      <c r="H13239" s="14">
        <f t="shared" si="2"/>
        <v>5</v>
      </c>
      <c r="I13239" s="15">
        <f t="shared" si="3"/>
        <v>15</v>
      </c>
    </row>
    <row r="13240">
      <c r="A13240" s="8" t="str">
        <f>IFERROR(__xludf.DUMMYFUNCTION("IF('(INGESTA)Datos_consumo_datadis'!A13240&lt;&gt;"""",SPLIT('(INGESTA)Datos_consumo_datadis'!A:A,"",""),"""")"),"ES0031408323131005HX0F")</f>
        <v>ES0031408323131005HX0F</v>
      </c>
      <c r="B13240" s="12">
        <f>IFERROR(__xludf.DUMMYFUNCTION("""COMPUTED_VALUE"""),45417.0)</f>
        <v>45417</v>
      </c>
      <c r="C13240" s="13">
        <f>IFERROR(__xludf.DUMMYFUNCTION("""COMPUTED_VALUE"""),0.6666666666666666)</f>
        <v>0.6666666667</v>
      </c>
      <c r="D13240" s="8">
        <f>IFERROR(__xludf.DUMMYFUNCTION("""COMPUTED_VALUE"""),1.782)</f>
        <v>1.782</v>
      </c>
      <c r="E13240" s="8" t="str">
        <f>IFERROR(__xludf.DUMMYFUNCTION("""COMPUTED_VALUE"""),"Real")</f>
        <v>Real</v>
      </c>
      <c r="G13240" s="8">
        <f t="shared" si="1"/>
        <v>5</v>
      </c>
      <c r="H13240" s="14">
        <f t="shared" si="2"/>
        <v>5</v>
      </c>
      <c r="I13240" s="15">
        <f t="shared" si="3"/>
        <v>16</v>
      </c>
    </row>
    <row r="13241">
      <c r="A13241" s="8" t="str">
        <f>IFERROR(__xludf.DUMMYFUNCTION("IF('(INGESTA)Datos_consumo_datadis'!A13241&lt;&gt;"""",SPLIT('(INGESTA)Datos_consumo_datadis'!A:A,"",""),"""")"),"ES0031408323131005HX0F")</f>
        <v>ES0031408323131005HX0F</v>
      </c>
      <c r="B13241" s="12">
        <f>IFERROR(__xludf.DUMMYFUNCTION("""COMPUTED_VALUE"""),45417.0)</f>
        <v>45417</v>
      </c>
      <c r="C13241" s="13">
        <f>IFERROR(__xludf.DUMMYFUNCTION("""COMPUTED_VALUE"""),0.7083333333333334)</f>
        <v>0.7083333333</v>
      </c>
      <c r="D13241" s="8">
        <f>IFERROR(__xludf.DUMMYFUNCTION("""COMPUTED_VALUE"""),0.388)</f>
        <v>0.388</v>
      </c>
      <c r="E13241" s="8" t="str">
        <f>IFERROR(__xludf.DUMMYFUNCTION("""COMPUTED_VALUE"""),"Real")</f>
        <v>Real</v>
      </c>
      <c r="G13241" s="8">
        <f t="shared" si="1"/>
        <v>5</v>
      </c>
      <c r="H13241" s="14">
        <f t="shared" si="2"/>
        <v>5</v>
      </c>
      <c r="I13241" s="15">
        <f t="shared" si="3"/>
        <v>17</v>
      </c>
    </row>
    <row r="13242">
      <c r="A13242" s="8" t="str">
        <f>IFERROR(__xludf.DUMMYFUNCTION("IF('(INGESTA)Datos_consumo_datadis'!A13242&lt;&gt;"""",SPLIT('(INGESTA)Datos_consumo_datadis'!A:A,"",""),"""")"),"ES0031408323131005HX0F")</f>
        <v>ES0031408323131005HX0F</v>
      </c>
      <c r="B13242" s="12">
        <f>IFERROR(__xludf.DUMMYFUNCTION("""COMPUTED_VALUE"""),45417.0)</f>
        <v>45417</v>
      </c>
      <c r="C13242" s="13">
        <f>IFERROR(__xludf.DUMMYFUNCTION("""COMPUTED_VALUE"""),0.75)</f>
        <v>0.75</v>
      </c>
      <c r="D13242" s="8">
        <f>IFERROR(__xludf.DUMMYFUNCTION("""COMPUTED_VALUE"""),0.054)</f>
        <v>0.054</v>
      </c>
      <c r="E13242" s="8" t="str">
        <f>IFERROR(__xludf.DUMMYFUNCTION("""COMPUTED_VALUE"""),"Real")</f>
        <v>Real</v>
      </c>
      <c r="G13242" s="8">
        <f t="shared" si="1"/>
        <v>5</v>
      </c>
      <c r="H13242" s="14">
        <f t="shared" si="2"/>
        <v>5</v>
      </c>
      <c r="I13242" s="15">
        <f t="shared" si="3"/>
        <v>18</v>
      </c>
    </row>
    <row r="13243">
      <c r="A13243" s="8" t="str">
        <f>IFERROR(__xludf.DUMMYFUNCTION("IF('(INGESTA)Datos_consumo_datadis'!A13243&lt;&gt;"""",SPLIT('(INGESTA)Datos_consumo_datadis'!A:A,"",""),"""")"),"ES0031408323131005HX0F")</f>
        <v>ES0031408323131005HX0F</v>
      </c>
      <c r="B13243" s="12">
        <f>IFERROR(__xludf.DUMMYFUNCTION("""COMPUTED_VALUE"""),45417.0)</f>
        <v>45417</v>
      </c>
      <c r="C13243" s="13">
        <f>IFERROR(__xludf.DUMMYFUNCTION("""COMPUTED_VALUE"""),0.7916666666666666)</f>
        <v>0.7916666667</v>
      </c>
      <c r="D13243" s="8">
        <f>IFERROR(__xludf.DUMMYFUNCTION("""COMPUTED_VALUE"""),0.062)</f>
        <v>0.062</v>
      </c>
      <c r="E13243" s="8" t="str">
        <f>IFERROR(__xludf.DUMMYFUNCTION("""COMPUTED_VALUE"""),"Real")</f>
        <v>Real</v>
      </c>
      <c r="G13243" s="8">
        <f t="shared" si="1"/>
        <v>5</v>
      </c>
      <c r="H13243" s="14">
        <f t="shared" si="2"/>
        <v>5</v>
      </c>
      <c r="I13243" s="15">
        <f t="shared" si="3"/>
        <v>19</v>
      </c>
    </row>
    <row r="13244">
      <c r="A13244" s="8" t="str">
        <f>IFERROR(__xludf.DUMMYFUNCTION("IF('(INGESTA)Datos_consumo_datadis'!A13244&lt;&gt;"""",SPLIT('(INGESTA)Datos_consumo_datadis'!A:A,"",""),"""")"),"ES0031408323131005HX0F")</f>
        <v>ES0031408323131005HX0F</v>
      </c>
      <c r="B13244" s="12">
        <f>IFERROR(__xludf.DUMMYFUNCTION("""COMPUTED_VALUE"""),45417.0)</f>
        <v>45417</v>
      </c>
      <c r="C13244" s="13">
        <f>IFERROR(__xludf.DUMMYFUNCTION("""COMPUTED_VALUE"""),0.8333333333333334)</f>
        <v>0.8333333333</v>
      </c>
      <c r="D13244" s="8">
        <f>IFERROR(__xludf.DUMMYFUNCTION("""COMPUTED_VALUE"""),0.057)</f>
        <v>0.057</v>
      </c>
      <c r="E13244" s="8" t="str">
        <f>IFERROR(__xludf.DUMMYFUNCTION("""COMPUTED_VALUE"""),"Real")</f>
        <v>Real</v>
      </c>
      <c r="G13244" s="8">
        <f t="shared" si="1"/>
        <v>5</v>
      </c>
      <c r="H13244" s="14">
        <f t="shared" si="2"/>
        <v>5</v>
      </c>
      <c r="I13244" s="15">
        <f t="shared" si="3"/>
        <v>20</v>
      </c>
    </row>
    <row r="13245">
      <c r="A13245" s="8" t="str">
        <f>IFERROR(__xludf.DUMMYFUNCTION("IF('(INGESTA)Datos_consumo_datadis'!A13245&lt;&gt;"""",SPLIT('(INGESTA)Datos_consumo_datadis'!A:A,"",""),"""")"),"ES0031408323131005HX0F")</f>
        <v>ES0031408323131005HX0F</v>
      </c>
      <c r="B13245" s="12">
        <f>IFERROR(__xludf.DUMMYFUNCTION("""COMPUTED_VALUE"""),45417.0)</f>
        <v>45417</v>
      </c>
      <c r="C13245" s="13">
        <f>IFERROR(__xludf.DUMMYFUNCTION("""COMPUTED_VALUE"""),0.875)</f>
        <v>0.875</v>
      </c>
      <c r="D13245" s="8">
        <f>IFERROR(__xludf.DUMMYFUNCTION("""COMPUTED_VALUE"""),0.325)</f>
        <v>0.325</v>
      </c>
      <c r="E13245" s="8" t="str">
        <f>IFERROR(__xludf.DUMMYFUNCTION("""COMPUTED_VALUE"""),"Real")</f>
        <v>Real</v>
      </c>
      <c r="G13245" s="8">
        <f t="shared" si="1"/>
        <v>5</v>
      </c>
      <c r="H13245" s="14">
        <f t="shared" si="2"/>
        <v>5</v>
      </c>
      <c r="I13245" s="15">
        <f t="shared" si="3"/>
        <v>21</v>
      </c>
    </row>
    <row r="13246">
      <c r="A13246" s="8" t="str">
        <f>IFERROR(__xludf.DUMMYFUNCTION("IF('(INGESTA)Datos_consumo_datadis'!A13246&lt;&gt;"""",SPLIT('(INGESTA)Datos_consumo_datadis'!A:A,"",""),"""")"),"ES0031408323131005HX0F")</f>
        <v>ES0031408323131005HX0F</v>
      </c>
      <c r="B13246" s="12">
        <f>IFERROR(__xludf.DUMMYFUNCTION("""COMPUTED_VALUE"""),45417.0)</f>
        <v>45417</v>
      </c>
      <c r="C13246" s="13">
        <f>IFERROR(__xludf.DUMMYFUNCTION("""COMPUTED_VALUE"""),0.9166666666666666)</f>
        <v>0.9166666667</v>
      </c>
      <c r="D13246" s="8">
        <f>IFERROR(__xludf.DUMMYFUNCTION("""COMPUTED_VALUE"""),0.065)</f>
        <v>0.065</v>
      </c>
      <c r="E13246" s="8" t="str">
        <f>IFERROR(__xludf.DUMMYFUNCTION("""COMPUTED_VALUE"""),"Real")</f>
        <v>Real</v>
      </c>
      <c r="G13246" s="8">
        <f t="shared" si="1"/>
        <v>5</v>
      </c>
      <c r="H13246" s="14">
        <f t="shared" si="2"/>
        <v>5</v>
      </c>
      <c r="I13246" s="15">
        <f t="shared" si="3"/>
        <v>22</v>
      </c>
    </row>
    <row r="13247">
      <c r="A13247" s="8" t="str">
        <f>IFERROR(__xludf.DUMMYFUNCTION("IF('(INGESTA)Datos_consumo_datadis'!A13247&lt;&gt;"""",SPLIT('(INGESTA)Datos_consumo_datadis'!A:A,"",""),"""")"),"ES0031408323131005HX0F")</f>
        <v>ES0031408323131005HX0F</v>
      </c>
      <c r="B13247" s="12">
        <f>IFERROR(__xludf.DUMMYFUNCTION("""COMPUTED_VALUE"""),45417.0)</f>
        <v>45417</v>
      </c>
      <c r="C13247" s="13">
        <f>IFERROR(__xludf.DUMMYFUNCTION("""COMPUTED_VALUE"""),0.9583333333333334)</f>
        <v>0.9583333333</v>
      </c>
      <c r="D13247" s="8">
        <f>IFERROR(__xludf.DUMMYFUNCTION("""COMPUTED_VALUE"""),0.367)</f>
        <v>0.367</v>
      </c>
      <c r="E13247" s="8" t="str">
        <f>IFERROR(__xludf.DUMMYFUNCTION("""COMPUTED_VALUE"""),"Real")</f>
        <v>Real</v>
      </c>
      <c r="G13247" s="8">
        <f t="shared" si="1"/>
        <v>5</v>
      </c>
      <c r="H13247" s="14">
        <f t="shared" si="2"/>
        <v>5</v>
      </c>
      <c r="I13247" s="15">
        <f t="shared" si="3"/>
        <v>23</v>
      </c>
    </row>
    <row r="13248">
      <c r="A13248" s="8" t="str">
        <f>IFERROR(__xludf.DUMMYFUNCTION("IF('(INGESTA)Datos_consumo_datadis'!A13248&lt;&gt;"""",SPLIT('(INGESTA)Datos_consumo_datadis'!A:A,"",""),"""")"),"ES0031408323131005HX0F")</f>
        <v>ES0031408323131005HX0F</v>
      </c>
      <c r="B13248" s="12">
        <f>IFERROR(__xludf.DUMMYFUNCTION("""COMPUTED_VALUE"""),45417.0)</f>
        <v>45417</v>
      </c>
      <c r="C13248" s="16">
        <f>IFERROR(__xludf.DUMMYFUNCTION("""COMPUTED_VALUE"""),1.0)</f>
        <v>1</v>
      </c>
      <c r="D13248" s="8">
        <f>IFERROR(__xludf.DUMMYFUNCTION("""COMPUTED_VALUE"""),1.429)</f>
        <v>1.429</v>
      </c>
      <c r="E13248" s="8" t="str">
        <f>IFERROR(__xludf.DUMMYFUNCTION("""COMPUTED_VALUE"""),"Real")</f>
        <v>Real</v>
      </c>
      <c r="G13248" s="8">
        <f t="shared" si="1"/>
        <v>5</v>
      </c>
      <c r="H13248" s="14">
        <f t="shared" si="2"/>
        <v>5</v>
      </c>
      <c r="I13248" s="15">
        <f t="shared" si="3"/>
        <v>0</v>
      </c>
    </row>
    <row r="13249">
      <c r="A13249" s="8" t="str">
        <f>IFERROR(__xludf.DUMMYFUNCTION("IF('(INGESTA)Datos_consumo_datadis'!A13249&lt;&gt;"""",SPLIT('(INGESTA)Datos_consumo_datadis'!A:A,"",""),"""")"),"ES0031408323131005HX0F")</f>
        <v>ES0031408323131005HX0F</v>
      </c>
      <c r="B13249" s="12">
        <f>IFERROR(__xludf.DUMMYFUNCTION("""COMPUTED_VALUE"""),45418.0)</f>
        <v>45418</v>
      </c>
      <c r="C13249" s="13">
        <f>IFERROR(__xludf.DUMMYFUNCTION("""COMPUTED_VALUE"""),0.041666666666666664)</f>
        <v>0.04166666667</v>
      </c>
      <c r="D13249" s="8">
        <f>IFERROR(__xludf.DUMMYFUNCTION("""COMPUTED_VALUE"""),0.095)</f>
        <v>0.095</v>
      </c>
      <c r="E13249" s="8" t="str">
        <f>IFERROR(__xludf.DUMMYFUNCTION("""COMPUTED_VALUE"""),"Real")</f>
        <v>Real</v>
      </c>
      <c r="G13249" s="8">
        <f t="shared" si="1"/>
        <v>5</v>
      </c>
      <c r="H13249" s="14">
        <f t="shared" si="2"/>
        <v>6</v>
      </c>
      <c r="I13249" s="15">
        <f t="shared" si="3"/>
        <v>1</v>
      </c>
    </row>
    <row r="13250">
      <c r="A13250" s="8" t="str">
        <f>IFERROR(__xludf.DUMMYFUNCTION("IF('(INGESTA)Datos_consumo_datadis'!A13250&lt;&gt;"""",SPLIT('(INGESTA)Datos_consumo_datadis'!A:A,"",""),"""")"),"ES0031408323131005HX0F")</f>
        <v>ES0031408323131005HX0F</v>
      </c>
      <c r="B13250" s="12">
        <f>IFERROR(__xludf.DUMMYFUNCTION("""COMPUTED_VALUE"""),45418.0)</f>
        <v>45418</v>
      </c>
      <c r="C13250" s="13">
        <f>IFERROR(__xludf.DUMMYFUNCTION("""COMPUTED_VALUE"""),0.08333333333333333)</f>
        <v>0.08333333333</v>
      </c>
      <c r="D13250" s="8">
        <f>IFERROR(__xludf.DUMMYFUNCTION("""COMPUTED_VALUE"""),0.078)</f>
        <v>0.078</v>
      </c>
      <c r="E13250" s="8" t="str">
        <f>IFERROR(__xludf.DUMMYFUNCTION("""COMPUTED_VALUE"""),"Real")</f>
        <v>Real</v>
      </c>
      <c r="G13250" s="8">
        <f t="shared" si="1"/>
        <v>5</v>
      </c>
      <c r="H13250" s="14">
        <f t="shared" si="2"/>
        <v>6</v>
      </c>
      <c r="I13250" s="15">
        <f t="shared" si="3"/>
        <v>2</v>
      </c>
    </row>
    <row r="13251">
      <c r="A13251" s="8" t="str">
        <f>IFERROR(__xludf.DUMMYFUNCTION("IF('(INGESTA)Datos_consumo_datadis'!A13251&lt;&gt;"""",SPLIT('(INGESTA)Datos_consumo_datadis'!A:A,"",""),"""")"),"ES0031408323131005HX0F")</f>
        <v>ES0031408323131005HX0F</v>
      </c>
      <c r="B13251" s="12">
        <f>IFERROR(__xludf.DUMMYFUNCTION("""COMPUTED_VALUE"""),45418.0)</f>
        <v>45418</v>
      </c>
      <c r="C13251" s="13">
        <f>IFERROR(__xludf.DUMMYFUNCTION("""COMPUTED_VALUE"""),0.125)</f>
        <v>0.125</v>
      </c>
      <c r="D13251" s="8">
        <f>IFERROR(__xludf.DUMMYFUNCTION("""COMPUTED_VALUE"""),0.322)</f>
        <v>0.322</v>
      </c>
      <c r="E13251" s="8" t="str">
        <f>IFERROR(__xludf.DUMMYFUNCTION("""COMPUTED_VALUE"""),"Real")</f>
        <v>Real</v>
      </c>
      <c r="G13251" s="8">
        <f t="shared" si="1"/>
        <v>5</v>
      </c>
      <c r="H13251" s="14">
        <f t="shared" si="2"/>
        <v>6</v>
      </c>
      <c r="I13251" s="15">
        <f t="shared" si="3"/>
        <v>3</v>
      </c>
    </row>
    <row r="13252">
      <c r="A13252" s="8" t="str">
        <f>IFERROR(__xludf.DUMMYFUNCTION("IF('(INGESTA)Datos_consumo_datadis'!A13252&lt;&gt;"""",SPLIT('(INGESTA)Datos_consumo_datadis'!A:A,"",""),"""")"),"ES0031408323131005HX0F")</f>
        <v>ES0031408323131005HX0F</v>
      </c>
      <c r="B13252" s="12">
        <f>IFERROR(__xludf.DUMMYFUNCTION("""COMPUTED_VALUE"""),45418.0)</f>
        <v>45418</v>
      </c>
      <c r="C13252" s="13">
        <f>IFERROR(__xludf.DUMMYFUNCTION("""COMPUTED_VALUE"""),0.16666666666666666)</f>
        <v>0.1666666667</v>
      </c>
      <c r="D13252" s="8">
        <f>IFERROR(__xludf.DUMMYFUNCTION("""COMPUTED_VALUE"""),0.071)</f>
        <v>0.071</v>
      </c>
      <c r="E13252" s="8" t="str">
        <f>IFERROR(__xludf.DUMMYFUNCTION("""COMPUTED_VALUE"""),"Real")</f>
        <v>Real</v>
      </c>
      <c r="G13252" s="8">
        <f t="shared" si="1"/>
        <v>5</v>
      </c>
      <c r="H13252" s="14">
        <f t="shared" si="2"/>
        <v>6</v>
      </c>
      <c r="I13252" s="15">
        <f t="shared" si="3"/>
        <v>4</v>
      </c>
    </row>
    <row r="13253">
      <c r="A13253" s="8" t="str">
        <f>IFERROR(__xludf.DUMMYFUNCTION("IF('(INGESTA)Datos_consumo_datadis'!A13253&lt;&gt;"""",SPLIT('(INGESTA)Datos_consumo_datadis'!A:A,"",""),"""")"),"ES0031408323131005HX0F")</f>
        <v>ES0031408323131005HX0F</v>
      </c>
      <c r="B13253" s="12">
        <f>IFERROR(__xludf.DUMMYFUNCTION("""COMPUTED_VALUE"""),45418.0)</f>
        <v>45418</v>
      </c>
      <c r="C13253" s="13">
        <f>IFERROR(__xludf.DUMMYFUNCTION("""COMPUTED_VALUE"""),0.20833333333333334)</f>
        <v>0.2083333333</v>
      </c>
      <c r="D13253" s="8">
        <f>IFERROR(__xludf.DUMMYFUNCTION("""COMPUTED_VALUE"""),0.04)</f>
        <v>0.04</v>
      </c>
      <c r="E13253" s="8" t="str">
        <f>IFERROR(__xludf.DUMMYFUNCTION("""COMPUTED_VALUE"""),"Real")</f>
        <v>Real</v>
      </c>
      <c r="G13253" s="8">
        <f t="shared" si="1"/>
        <v>5</v>
      </c>
      <c r="H13253" s="14">
        <f t="shared" si="2"/>
        <v>6</v>
      </c>
      <c r="I13253" s="15">
        <f t="shared" si="3"/>
        <v>5</v>
      </c>
    </row>
    <row r="13254">
      <c r="A13254" s="8" t="str">
        <f>IFERROR(__xludf.DUMMYFUNCTION("IF('(INGESTA)Datos_consumo_datadis'!A13254&lt;&gt;"""",SPLIT('(INGESTA)Datos_consumo_datadis'!A:A,"",""),"""")"),"ES0031408323131005HX0F")</f>
        <v>ES0031408323131005HX0F</v>
      </c>
      <c r="B13254" s="12">
        <f>IFERROR(__xludf.DUMMYFUNCTION("""COMPUTED_VALUE"""),45418.0)</f>
        <v>45418</v>
      </c>
      <c r="C13254" s="13">
        <f>IFERROR(__xludf.DUMMYFUNCTION("""COMPUTED_VALUE"""),0.25)</f>
        <v>0.25</v>
      </c>
      <c r="D13254" s="8">
        <f>IFERROR(__xludf.DUMMYFUNCTION("""COMPUTED_VALUE"""),0.126)</f>
        <v>0.126</v>
      </c>
      <c r="E13254" s="8" t="str">
        <f>IFERROR(__xludf.DUMMYFUNCTION("""COMPUTED_VALUE"""),"Real")</f>
        <v>Real</v>
      </c>
      <c r="G13254" s="8">
        <f t="shared" si="1"/>
        <v>5</v>
      </c>
      <c r="H13254" s="14">
        <f t="shared" si="2"/>
        <v>6</v>
      </c>
      <c r="I13254" s="15">
        <f t="shared" si="3"/>
        <v>6</v>
      </c>
    </row>
    <row r="13255">
      <c r="A13255" s="8" t="str">
        <f>IFERROR(__xludf.DUMMYFUNCTION("IF('(INGESTA)Datos_consumo_datadis'!A13255&lt;&gt;"""",SPLIT('(INGESTA)Datos_consumo_datadis'!A:A,"",""),"""")"),"ES0031408323131005HX0F")</f>
        <v>ES0031408323131005HX0F</v>
      </c>
      <c r="B13255" s="12">
        <f>IFERROR(__xludf.DUMMYFUNCTION("""COMPUTED_VALUE"""),45418.0)</f>
        <v>45418</v>
      </c>
      <c r="C13255" s="13">
        <f>IFERROR(__xludf.DUMMYFUNCTION("""COMPUTED_VALUE"""),0.2916666666666667)</f>
        <v>0.2916666667</v>
      </c>
      <c r="D13255" s="8">
        <f>IFERROR(__xludf.DUMMYFUNCTION("""COMPUTED_VALUE"""),0.075)</f>
        <v>0.075</v>
      </c>
      <c r="E13255" s="8" t="str">
        <f>IFERROR(__xludf.DUMMYFUNCTION("""COMPUTED_VALUE"""),"Real")</f>
        <v>Real</v>
      </c>
      <c r="G13255" s="8">
        <f t="shared" si="1"/>
        <v>5</v>
      </c>
      <c r="H13255" s="14">
        <f t="shared" si="2"/>
        <v>6</v>
      </c>
      <c r="I13255" s="15">
        <f t="shared" si="3"/>
        <v>7</v>
      </c>
    </row>
    <row r="13256">
      <c r="A13256" s="8" t="str">
        <f>IFERROR(__xludf.DUMMYFUNCTION("IF('(INGESTA)Datos_consumo_datadis'!A13256&lt;&gt;"""",SPLIT('(INGESTA)Datos_consumo_datadis'!A:A,"",""),"""")"),"ES0031408323131005HX0F")</f>
        <v>ES0031408323131005HX0F</v>
      </c>
      <c r="B13256" s="12">
        <f>IFERROR(__xludf.DUMMYFUNCTION("""COMPUTED_VALUE"""),45418.0)</f>
        <v>45418</v>
      </c>
      <c r="C13256" s="13">
        <f>IFERROR(__xludf.DUMMYFUNCTION("""COMPUTED_VALUE"""),0.3333333333333333)</f>
        <v>0.3333333333</v>
      </c>
      <c r="D13256" s="8">
        <f>IFERROR(__xludf.DUMMYFUNCTION("""COMPUTED_VALUE"""),0.119)</f>
        <v>0.119</v>
      </c>
      <c r="E13256" s="8" t="str">
        <f>IFERROR(__xludf.DUMMYFUNCTION("""COMPUTED_VALUE"""),"Real")</f>
        <v>Real</v>
      </c>
      <c r="G13256" s="8">
        <f t="shared" si="1"/>
        <v>5</v>
      </c>
      <c r="H13256" s="14">
        <f t="shared" si="2"/>
        <v>6</v>
      </c>
      <c r="I13256" s="15">
        <f t="shared" si="3"/>
        <v>8</v>
      </c>
    </row>
    <row r="13257">
      <c r="A13257" s="8" t="str">
        <f>IFERROR(__xludf.DUMMYFUNCTION("IF('(INGESTA)Datos_consumo_datadis'!A13257&lt;&gt;"""",SPLIT('(INGESTA)Datos_consumo_datadis'!A:A,"",""),"""")"),"ES0031408323131005HX0F")</f>
        <v>ES0031408323131005HX0F</v>
      </c>
      <c r="B13257" s="12">
        <f>IFERROR(__xludf.DUMMYFUNCTION("""COMPUTED_VALUE"""),45418.0)</f>
        <v>45418</v>
      </c>
      <c r="C13257" s="13">
        <f>IFERROR(__xludf.DUMMYFUNCTION("""COMPUTED_VALUE"""),0.375)</f>
        <v>0.375</v>
      </c>
      <c r="D13257" s="8">
        <f>IFERROR(__xludf.DUMMYFUNCTION("""COMPUTED_VALUE"""),0.372)</f>
        <v>0.372</v>
      </c>
      <c r="E13257" s="8" t="str">
        <f>IFERROR(__xludf.DUMMYFUNCTION("""COMPUTED_VALUE"""),"Real")</f>
        <v>Real</v>
      </c>
      <c r="G13257" s="8">
        <f t="shared" si="1"/>
        <v>5</v>
      </c>
      <c r="H13257" s="14">
        <f t="shared" si="2"/>
        <v>6</v>
      </c>
      <c r="I13257" s="15">
        <f t="shared" si="3"/>
        <v>9</v>
      </c>
    </row>
    <row r="13258">
      <c r="A13258" s="8" t="str">
        <f>IFERROR(__xludf.DUMMYFUNCTION("IF('(INGESTA)Datos_consumo_datadis'!A13258&lt;&gt;"""",SPLIT('(INGESTA)Datos_consumo_datadis'!A:A,"",""),"""")"),"ES0031408323131005HX0F")</f>
        <v>ES0031408323131005HX0F</v>
      </c>
      <c r="B13258" s="12">
        <f>IFERROR(__xludf.DUMMYFUNCTION("""COMPUTED_VALUE"""),45418.0)</f>
        <v>45418</v>
      </c>
      <c r="C13258" s="13">
        <f>IFERROR(__xludf.DUMMYFUNCTION("""COMPUTED_VALUE"""),0.4166666666666667)</f>
        <v>0.4166666667</v>
      </c>
      <c r="D13258" s="8">
        <f>IFERROR(__xludf.DUMMYFUNCTION("""COMPUTED_VALUE"""),1.532)</f>
        <v>1.532</v>
      </c>
      <c r="E13258" s="8" t="str">
        <f>IFERROR(__xludf.DUMMYFUNCTION("""COMPUTED_VALUE"""),"Real")</f>
        <v>Real</v>
      </c>
      <c r="G13258" s="8">
        <f t="shared" si="1"/>
        <v>5</v>
      </c>
      <c r="H13258" s="14">
        <f t="shared" si="2"/>
        <v>6</v>
      </c>
      <c r="I13258" s="15">
        <f t="shared" si="3"/>
        <v>10</v>
      </c>
    </row>
    <row r="13259">
      <c r="A13259" s="8" t="str">
        <f>IFERROR(__xludf.DUMMYFUNCTION("IF('(INGESTA)Datos_consumo_datadis'!A13259&lt;&gt;"""",SPLIT('(INGESTA)Datos_consumo_datadis'!A:A,"",""),"""")"),"ES0031408323131005HX0F")</f>
        <v>ES0031408323131005HX0F</v>
      </c>
      <c r="B13259" s="12">
        <f>IFERROR(__xludf.DUMMYFUNCTION("""COMPUTED_VALUE"""),45418.0)</f>
        <v>45418</v>
      </c>
      <c r="C13259" s="13">
        <f>IFERROR(__xludf.DUMMYFUNCTION("""COMPUTED_VALUE"""),0.4583333333333333)</f>
        <v>0.4583333333</v>
      </c>
      <c r="D13259" s="8">
        <f>IFERROR(__xludf.DUMMYFUNCTION("""COMPUTED_VALUE"""),0.122)</f>
        <v>0.122</v>
      </c>
      <c r="E13259" s="8" t="str">
        <f>IFERROR(__xludf.DUMMYFUNCTION("""COMPUTED_VALUE"""),"Real")</f>
        <v>Real</v>
      </c>
      <c r="G13259" s="8">
        <f t="shared" si="1"/>
        <v>5</v>
      </c>
      <c r="H13259" s="14">
        <f t="shared" si="2"/>
        <v>6</v>
      </c>
      <c r="I13259" s="15">
        <f t="shared" si="3"/>
        <v>11</v>
      </c>
    </row>
    <row r="13260">
      <c r="A13260" s="8" t="str">
        <f>IFERROR(__xludf.DUMMYFUNCTION("IF('(INGESTA)Datos_consumo_datadis'!A13260&lt;&gt;"""",SPLIT('(INGESTA)Datos_consumo_datadis'!A:A,"",""),"""")"),"ES0031408323131005HX0F")</f>
        <v>ES0031408323131005HX0F</v>
      </c>
      <c r="B13260" s="12">
        <f>IFERROR(__xludf.DUMMYFUNCTION("""COMPUTED_VALUE"""),45418.0)</f>
        <v>45418</v>
      </c>
      <c r="C13260" s="13">
        <f>IFERROR(__xludf.DUMMYFUNCTION("""COMPUTED_VALUE"""),0.5)</f>
        <v>0.5</v>
      </c>
      <c r="D13260" s="8">
        <f>IFERROR(__xludf.DUMMYFUNCTION("""COMPUTED_VALUE"""),0.054)</f>
        <v>0.054</v>
      </c>
      <c r="E13260" s="8" t="str">
        <f>IFERROR(__xludf.DUMMYFUNCTION("""COMPUTED_VALUE"""),"Real")</f>
        <v>Real</v>
      </c>
      <c r="G13260" s="8">
        <f t="shared" si="1"/>
        <v>5</v>
      </c>
      <c r="H13260" s="14">
        <f t="shared" si="2"/>
        <v>6</v>
      </c>
      <c r="I13260" s="15">
        <f t="shared" si="3"/>
        <v>12</v>
      </c>
    </row>
    <row r="13261">
      <c r="A13261" s="8" t="str">
        <f>IFERROR(__xludf.DUMMYFUNCTION("IF('(INGESTA)Datos_consumo_datadis'!A13261&lt;&gt;"""",SPLIT('(INGESTA)Datos_consumo_datadis'!A:A,"",""),"""")"),"ES0031408323131005HX0F")</f>
        <v>ES0031408323131005HX0F</v>
      </c>
      <c r="B13261" s="12">
        <f>IFERROR(__xludf.DUMMYFUNCTION("""COMPUTED_VALUE"""),45418.0)</f>
        <v>45418</v>
      </c>
      <c r="C13261" s="13">
        <f>IFERROR(__xludf.DUMMYFUNCTION("""COMPUTED_VALUE"""),0.5416666666666666)</f>
        <v>0.5416666667</v>
      </c>
      <c r="D13261" s="8">
        <f>IFERROR(__xludf.DUMMYFUNCTION("""COMPUTED_VALUE"""),0.068)</f>
        <v>0.068</v>
      </c>
      <c r="E13261" s="8" t="str">
        <f>IFERROR(__xludf.DUMMYFUNCTION("""COMPUTED_VALUE"""),"Real")</f>
        <v>Real</v>
      </c>
      <c r="G13261" s="8">
        <f t="shared" si="1"/>
        <v>5</v>
      </c>
      <c r="H13261" s="14">
        <f t="shared" si="2"/>
        <v>6</v>
      </c>
      <c r="I13261" s="15">
        <f t="shared" si="3"/>
        <v>13</v>
      </c>
    </row>
    <row r="13262">
      <c r="A13262" s="8" t="str">
        <f>IFERROR(__xludf.DUMMYFUNCTION("IF('(INGESTA)Datos_consumo_datadis'!A13262&lt;&gt;"""",SPLIT('(INGESTA)Datos_consumo_datadis'!A:A,"",""),"""")"),"ES0031408323131005HX0F")</f>
        <v>ES0031408323131005HX0F</v>
      </c>
      <c r="B13262" s="12">
        <f>IFERROR(__xludf.DUMMYFUNCTION("""COMPUTED_VALUE"""),45418.0)</f>
        <v>45418</v>
      </c>
      <c r="C13262" s="13">
        <f>IFERROR(__xludf.DUMMYFUNCTION("""COMPUTED_VALUE"""),0.5833333333333334)</f>
        <v>0.5833333333</v>
      </c>
      <c r="D13262" s="8">
        <f>IFERROR(__xludf.DUMMYFUNCTION("""COMPUTED_VALUE"""),0.311)</f>
        <v>0.311</v>
      </c>
      <c r="E13262" s="8" t="str">
        <f>IFERROR(__xludf.DUMMYFUNCTION("""COMPUTED_VALUE"""),"Real")</f>
        <v>Real</v>
      </c>
      <c r="G13262" s="8">
        <f t="shared" si="1"/>
        <v>5</v>
      </c>
      <c r="H13262" s="14">
        <f t="shared" si="2"/>
        <v>6</v>
      </c>
      <c r="I13262" s="15">
        <f t="shared" si="3"/>
        <v>14</v>
      </c>
    </row>
    <row r="13263">
      <c r="A13263" s="8" t="str">
        <f>IFERROR(__xludf.DUMMYFUNCTION("IF('(INGESTA)Datos_consumo_datadis'!A13263&lt;&gt;"""",SPLIT('(INGESTA)Datos_consumo_datadis'!A:A,"",""),"""")"),"ES0031408323131005HX0F")</f>
        <v>ES0031408323131005HX0F</v>
      </c>
      <c r="B13263" s="12">
        <f>IFERROR(__xludf.DUMMYFUNCTION("""COMPUTED_VALUE"""),45418.0)</f>
        <v>45418</v>
      </c>
      <c r="C13263" s="13">
        <f>IFERROR(__xludf.DUMMYFUNCTION("""COMPUTED_VALUE"""),0.625)</f>
        <v>0.625</v>
      </c>
      <c r="D13263" s="8">
        <f>IFERROR(__xludf.DUMMYFUNCTION("""COMPUTED_VALUE"""),0.063)</f>
        <v>0.063</v>
      </c>
      <c r="E13263" s="8" t="str">
        <f>IFERROR(__xludf.DUMMYFUNCTION("""COMPUTED_VALUE"""),"Real")</f>
        <v>Real</v>
      </c>
      <c r="G13263" s="8">
        <f t="shared" si="1"/>
        <v>5</v>
      </c>
      <c r="H13263" s="14">
        <f t="shared" si="2"/>
        <v>6</v>
      </c>
      <c r="I13263" s="15">
        <f t="shared" si="3"/>
        <v>15</v>
      </c>
    </row>
    <row r="13264">
      <c r="A13264" s="8" t="str">
        <f>IFERROR(__xludf.DUMMYFUNCTION("IF('(INGESTA)Datos_consumo_datadis'!A13264&lt;&gt;"""",SPLIT('(INGESTA)Datos_consumo_datadis'!A:A,"",""),"""")"),"ES0031408323131005HX0F")</f>
        <v>ES0031408323131005HX0F</v>
      </c>
      <c r="B13264" s="12">
        <f>IFERROR(__xludf.DUMMYFUNCTION("""COMPUTED_VALUE"""),45418.0)</f>
        <v>45418</v>
      </c>
      <c r="C13264" s="13">
        <f>IFERROR(__xludf.DUMMYFUNCTION("""COMPUTED_VALUE"""),0.6666666666666666)</f>
        <v>0.6666666667</v>
      </c>
      <c r="D13264" s="8">
        <f>IFERROR(__xludf.DUMMYFUNCTION("""COMPUTED_VALUE"""),0.067)</f>
        <v>0.067</v>
      </c>
      <c r="E13264" s="8" t="str">
        <f>IFERROR(__xludf.DUMMYFUNCTION("""COMPUTED_VALUE"""),"Real")</f>
        <v>Real</v>
      </c>
      <c r="G13264" s="8">
        <f t="shared" si="1"/>
        <v>5</v>
      </c>
      <c r="H13264" s="14">
        <f t="shared" si="2"/>
        <v>6</v>
      </c>
      <c r="I13264" s="15">
        <f t="shared" si="3"/>
        <v>16</v>
      </c>
    </row>
    <row r="13265">
      <c r="A13265" s="8" t="str">
        <f>IFERROR(__xludf.DUMMYFUNCTION("IF('(INGESTA)Datos_consumo_datadis'!A13265&lt;&gt;"""",SPLIT('(INGESTA)Datos_consumo_datadis'!A:A,"",""),"""")"),"ES0031408323131005HX0F")</f>
        <v>ES0031408323131005HX0F</v>
      </c>
      <c r="B13265" s="12">
        <f>IFERROR(__xludf.DUMMYFUNCTION("""COMPUTED_VALUE"""),45418.0)</f>
        <v>45418</v>
      </c>
      <c r="C13265" s="13">
        <f>IFERROR(__xludf.DUMMYFUNCTION("""COMPUTED_VALUE"""),0.7083333333333334)</f>
        <v>0.7083333333</v>
      </c>
      <c r="D13265" s="8">
        <f>IFERROR(__xludf.DUMMYFUNCTION("""COMPUTED_VALUE"""),0.698)</f>
        <v>0.698</v>
      </c>
      <c r="E13265" s="8" t="str">
        <f>IFERROR(__xludf.DUMMYFUNCTION("""COMPUTED_VALUE"""),"Real")</f>
        <v>Real</v>
      </c>
      <c r="G13265" s="8">
        <f t="shared" si="1"/>
        <v>5</v>
      </c>
      <c r="H13265" s="14">
        <f t="shared" si="2"/>
        <v>6</v>
      </c>
      <c r="I13265" s="15">
        <f t="shared" si="3"/>
        <v>17</v>
      </c>
    </row>
    <row r="13266">
      <c r="A13266" s="8" t="str">
        <f>IFERROR(__xludf.DUMMYFUNCTION("IF('(INGESTA)Datos_consumo_datadis'!A13266&lt;&gt;"""",SPLIT('(INGESTA)Datos_consumo_datadis'!A:A,"",""),"""")"),"ES0031408323131005HX0F")</f>
        <v>ES0031408323131005HX0F</v>
      </c>
      <c r="B13266" s="12">
        <f>IFERROR(__xludf.DUMMYFUNCTION("""COMPUTED_VALUE"""),45418.0)</f>
        <v>45418</v>
      </c>
      <c r="C13266" s="13">
        <f>IFERROR(__xludf.DUMMYFUNCTION("""COMPUTED_VALUE"""),0.75)</f>
        <v>0.75</v>
      </c>
      <c r="D13266" s="8">
        <f>IFERROR(__xludf.DUMMYFUNCTION("""COMPUTED_VALUE"""),0.071)</f>
        <v>0.071</v>
      </c>
      <c r="E13266" s="8" t="str">
        <f>IFERROR(__xludf.DUMMYFUNCTION("""COMPUTED_VALUE"""),"Real")</f>
        <v>Real</v>
      </c>
      <c r="G13266" s="8">
        <f t="shared" si="1"/>
        <v>5</v>
      </c>
      <c r="H13266" s="14">
        <f t="shared" si="2"/>
        <v>6</v>
      </c>
      <c r="I13266" s="15">
        <f t="shared" si="3"/>
        <v>18</v>
      </c>
    </row>
    <row r="13267">
      <c r="A13267" s="8" t="str">
        <f>IFERROR(__xludf.DUMMYFUNCTION("IF('(INGESTA)Datos_consumo_datadis'!A13267&lt;&gt;"""",SPLIT('(INGESTA)Datos_consumo_datadis'!A:A,"",""),"""")"),"ES0031408323131005HX0F")</f>
        <v>ES0031408323131005HX0F</v>
      </c>
      <c r="B13267" s="12">
        <f>IFERROR(__xludf.DUMMYFUNCTION("""COMPUTED_VALUE"""),45418.0)</f>
        <v>45418</v>
      </c>
      <c r="C13267" s="13">
        <f>IFERROR(__xludf.DUMMYFUNCTION("""COMPUTED_VALUE"""),0.7916666666666666)</f>
        <v>0.7916666667</v>
      </c>
      <c r="D13267" s="8">
        <f>IFERROR(__xludf.DUMMYFUNCTION("""COMPUTED_VALUE"""),0.04)</f>
        <v>0.04</v>
      </c>
      <c r="E13267" s="8" t="str">
        <f>IFERROR(__xludf.DUMMYFUNCTION("""COMPUTED_VALUE"""),"Real")</f>
        <v>Real</v>
      </c>
      <c r="G13267" s="8">
        <f t="shared" si="1"/>
        <v>5</v>
      </c>
      <c r="H13267" s="14">
        <f t="shared" si="2"/>
        <v>6</v>
      </c>
      <c r="I13267" s="15">
        <f t="shared" si="3"/>
        <v>19</v>
      </c>
    </row>
    <row r="13268">
      <c r="A13268" s="8" t="str">
        <f>IFERROR(__xludf.DUMMYFUNCTION("IF('(INGESTA)Datos_consumo_datadis'!A13268&lt;&gt;"""",SPLIT('(INGESTA)Datos_consumo_datadis'!A:A,"",""),"""")"),"ES0031408323131005HX0F")</f>
        <v>ES0031408323131005HX0F</v>
      </c>
      <c r="B13268" s="12">
        <f>IFERROR(__xludf.DUMMYFUNCTION("""COMPUTED_VALUE"""),45418.0)</f>
        <v>45418</v>
      </c>
      <c r="C13268" s="13">
        <f>IFERROR(__xludf.DUMMYFUNCTION("""COMPUTED_VALUE"""),0.8333333333333334)</f>
        <v>0.8333333333</v>
      </c>
      <c r="D13268" s="8">
        <f>IFERROR(__xludf.DUMMYFUNCTION("""COMPUTED_VALUE"""),0.597)</f>
        <v>0.597</v>
      </c>
      <c r="E13268" s="8" t="str">
        <f>IFERROR(__xludf.DUMMYFUNCTION("""COMPUTED_VALUE"""),"Real")</f>
        <v>Real</v>
      </c>
      <c r="G13268" s="8">
        <f t="shared" si="1"/>
        <v>5</v>
      </c>
      <c r="H13268" s="14">
        <f t="shared" si="2"/>
        <v>6</v>
      </c>
      <c r="I13268" s="15">
        <f t="shared" si="3"/>
        <v>20</v>
      </c>
    </row>
    <row r="13269">
      <c r="A13269" s="8" t="str">
        <f>IFERROR(__xludf.DUMMYFUNCTION("IF('(INGESTA)Datos_consumo_datadis'!A13269&lt;&gt;"""",SPLIT('(INGESTA)Datos_consumo_datadis'!A:A,"",""),"""")"),"ES0031408323131005HX0F")</f>
        <v>ES0031408323131005HX0F</v>
      </c>
      <c r="B13269" s="12">
        <f>IFERROR(__xludf.DUMMYFUNCTION("""COMPUTED_VALUE"""),45418.0)</f>
        <v>45418</v>
      </c>
      <c r="C13269" s="13">
        <f>IFERROR(__xludf.DUMMYFUNCTION("""COMPUTED_VALUE"""),0.875)</f>
        <v>0.875</v>
      </c>
      <c r="D13269" s="8">
        <f>IFERROR(__xludf.DUMMYFUNCTION("""COMPUTED_VALUE"""),0.594)</f>
        <v>0.594</v>
      </c>
      <c r="E13269" s="8" t="str">
        <f>IFERROR(__xludf.DUMMYFUNCTION("""COMPUTED_VALUE"""),"Real")</f>
        <v>Real</v>
      </c>
      <c r="G13269" s="8">
        <f t="shared" si="1"/>
        <v>5</v>
      </c>
      <c r="H13269" s="14">
        <f t="shared" si="2"/>
        <v>6</v>
      </c>
      <c r="I13269" s="15">
        <f t="shared" si="3"/>
        <v>21</v>
      </c>
    </row>
    <row r="13270">
      <c r="A13270" s="8" t="str">
        <f>IFERROR(__xludf.DUMMYFUNCTION("IF('(INGESTA)Datos_consumo_datadis'!A13270&lt;&gt;"""",SPLIT('(INGESTA)Datos_consumo_datadis'!A:A,"",""),"""")"),"ES0031408323131005HX0F")</f>
        <v>ES0031408323131005HX0F</v>
      </c>
      <c r="B13270" s="12">
        <f>IFERROR(__xludf.DUMMYFUNCTION("""COMPUTED_VALUE"""),45418.0)</f>
        <v>45418</v>
      </c>
      <c r="C13270" s="13">
        <f>IFERROR(__xludf.DUMMYFUNCTION("""COMPUTED_VALUE"""),0.9166666666666666)</f>
        <v>0.9166666667</v>
      </c>
      <c r="D13270" s="8">
        <f>IFERROR(__xludf.DUMMYFUNCTION("""COMPUTED_VALUE"""),0.808)</f>
        <v>0.808</v>
      </c>
      <c r="E13270" s="8" t="str">
        <f>IFERROR(__xludf.DUMMYFUNCTION("""COMPUTED_VALUE"""),"Real")</f>
        <v>Real</v>
      </c>
      <c r="G13270" s="8">
        <f t="shared" si="1"/>
        <v>5</v>
      </c>
      <c r="H13270" s="14">
        <f t="shared" si="2"/>
        <v>6</v>
      </c>
      <c r="I13270" s="15">
        <f t="shared" si="3"/>
        <v>22</v>
      </c>
    </row>
    <row r="13271">
      <c r="A13271" s="8" t="str">
        <f>IFERROR(__xludf.DUMMYFUNCTION("IF('(INGESTA)Datos_consumo_datadis'!A13271&lt;&gt;"""",SPLIT('(INGESTA)Datos_consumo_datadis'!A:A,"",""),"""")"),"ES0031408323131005HX0F")</f>
        <v>ES0031408323131005HX0F</v>
      </c>
      <c r="B13271" s="12">
        <f>IFERROR(__xludf.DUMMYFUNCTION("""COMPUTED_VALUE"""),45418.0)</f>
        <v>45418</v>
      </c>
      <c r="C13271" s="13">
        <f>IFERROR(__xludf.DUMMYFUNCTION("""COMPUTED_VALUE"""),0.9583333333333334)</f>
        <v>0.9583333333</v>
      </c>
      <c r="D13271" s="8">
        <f>IFERROR(__xludf.DUMMYFUNCTION("""COMPUTED_VALUE"""),1.325)</f>
        <v>1.325</v>
      </c>
      <c r="E13271" s="8" t="str">
        <f>IFERROR(__xludf.DUMMYFUNCTION("""COMPUTED_VALUE"""),"Real")</f>
        <v>Real</v>
      </c>
      <c r="G13271" s="8">
        <f t="shared" si="1"/>
        <v>5</v>
      </c>
      <c r="H13271" s="14">
        <f t="shared" si="2"/>
        <v>6</v>
      </c>
      <c r="I13271" s="15">
        <f t="shared" si="3"/>
        <v>23</v>
      </c>
    </row>
    <row r="13272">
      <c r="A13272" s="8" t="str">
        <f>IFERROR(__xludf.DUMMYFUNCTION("IF('(INGESTA)Datos_consumo_datadis'!A13272&lt;&gt;"""",SPLIT('(INGESTA)Datos_consumo_datadis'!A:A,"",""),"""")"),"ES0031408323131005HX0F")</f>
        <v>ES0031408323131005HX0F</v>
      </c>
      <c r="B13272" s="12">
        <f>IFERROR(__xludf.DUMMYFUNCTION("""COMPUTED_VALUE"""),45418.0)</f>
        <v>45418</v>
      </c>
      <c r="C13272" s="16">
        <f>IFERROR(__xludf.DUMMYFUNCTION("""COMPUTED_VALUE"""),1.0)</f>
        <v>1</v>
      </c>
      <c r="D13272" s="8">
        <f>IFERROR(__xludf.DUMMYFUNCTION("""COMPUTED_VALUE"""),0.47)</f>
        <v>0.47</v>
      </c>
      <c r="E13272" s="8" t="str">
        <f>IFERROR(__xludf.DUMMYFUNCTION("""COMPUTED_VALUE"""),"Real")</f>
        <v>Real</v>
      </c>
      <c r="G13272" s="8">
        <f t="shared" si="1"/>
        <v>5</v>
      </c>
      <c r="H13272" s="14">
        <f t="shared" si="2"/>
        <v>6</v>
      </c>
      <c r="I13272" s="15">
        <f t="shared" si="3"/>
        <v>0</v>
      </c>
    </row>
    <row r="13273">
      <c r="A13273" s="8" t="str">
        <f>IFERROR(__xludf.DUMMYFUNCTION("IF('(INGESTA)Datos_consumo_datadis'!A13273&lt;&gt;"""",SPLIT('(INGESTA)Datos_consumo_datadis'!A:A,"",""),"""")"),"ES0031408323131005HX0F")</f>
        <v>ES0031408323131005HX0F</v>
      </c>
      <c r="B13273" s="12">
        <f>IFERROR(__xludf.DUMMYFUNCTION("""COMPUTED_VALUE"""),45419.0)</f>
        <v>45419</v>
      </c>
      <c r="C13273" s="13">
        <f>IFERROR(__xludf.DUMMYFUNCTION("""COMPUTED_VALUE"""),0.041666666666666664)</f>
        <v>0.04166666667</v>
      </c>
      <c r="D13273" s="8">
        <f>IFERROR(__xludf.DUMMYFUNCTION("""COMPUTED_VALUE"""),0.473)</f>
        <v>0.473</v>
      </c>
      <c r="E13273" s="8" t="str">
        <f>IFERROR(__xludf.DUMMYFUNCTION("""COMPUTED_VALUE"""),"Real")</f>
        <v>Real</v>
      </c>
      <c r="G13273" s="8">
        <f t="shared" si="1"/>
        <v>5</v>
      </c>
      <c r="H13273" s="14">
        <f t="shared" si="2"/>
        <v>7</v>
      </c>
      <c r="I13273" s="15">
        <f t="shared" si="3"/>
        <v>1</v>
      </c>
    </row>
    <row r="13274">
      <c r="A13274" s="8" t="str">
        <f>IFERROR(__xludf.DUMMYFUNCTION("IF('(INGESTA)Datos_consumo_datadis'!A13274&lt;&gt;"""",SPLIT('(INGESTA)Datos_consumo_datadis'!A:A,"",""),"""")"),"ES0031408323131005HX0F")</f>
        <v>ES0031408323131005HX0F</v>
      </c>
      <c r="B13274" s="12">
        <f>IFERROR(__xludf.DUMMYFUNCTION("""COMPUTED_VALUE"""),45419.0)</f>
        <v>45419</v>
      </c>
      <c r="C13274" s="13">
        <f>IFERROR(__xludf.DUMMYFUNCTION("""COMPUTED_VALUE"""),0.08333333333333333)</f>
        <v>0.08333333333</v>
      </c>
      <c r="D13274" s="8">
        <f>IFERROR(__xludf.DUMMYFUNCTION("""COMPUTED_VALUE"""),0.332)</f>
        <v>0.332</v>
      </c>
      <c r="E13274" s="8" t="str">
        <f>IFERROR(__xludf.DUMMYFUNCTION("""COMPUTED_VALUE"""),"Real")</f>
        <v>Real</v>
      </c>
      <c r="G13274" s="8">
        <f t="shared" si="1"/>
        <v>5</v>
      </c>
      <c r="H13274" s="14">
        <f t="shared" si="2"/>
        <v>7</v>
      </c>
      <c r="I13274" s="15">
        <f t="shared" si="3"/>
        <v>2</v>
      </c>
    </row>
    <row r="13275">
      <c r="A13275" s="8" t="str">
        <f>IFERROR(__xludf.DUMMYFUNCTION("IF('(INGESTA)Datos_consumo_datadis'!A13275&lt;&gt;"""",SPLIT('(INGESTA)Datos_consumo_datadis'!A:A,"",""),"""")"),"ES0031408323131005HX0F")</f>
        <v>ES0031408323131005HX0F</v>
      </c>
      <c r="B13275" s="12">
        <f>IFERROR(__xludf.DUMMYFUNCTION("""COMPUTED_VALUE"""),45419.0)</f>
        <v>45419</v>
      </c>
      <c r="C13275" s="13">
        <f>IFERROR(__xludf.DUMMYFUNCTION("""COMPUTED_VALUE"""),0.125)</f>
        <v>0.125</v>
      </c>
      <c r="D13275" s="8">
        <f>IFERROR(__xludf.DUMMYFUNCTION("""COMPUTED_VALUE"""),0.057)</f>
        <v>0.057</v>
      </c>
      <c r="E13275" s="8" t="str">
        <f>IFERROR(__xludf.DUMMYFUNCTION("""COMPUTED_VALUE"""),"Real")</f>
        <v>Real</v>
      </c>
      <c r="G13275" s="8">
        <f t="shared" si="1"/>
        <v>5</v>
      </c>
      <c r="H13275" s="14">
        <f t="shared" si="2"/>
        <v>7</v>
      </c>
      <c r="I13275" s="15">
        <f t="shared" si="3"/>
        <v>3</v>
      </c>
    </row>
    <row r="13276">
      <c r="A13276" s="8" t="str">
        <f>IFERROR(__xludf.DUMMYFUNCTION("IF('(INGESTA)Datos_consumo_datadis'!A13276&lt;&gt;"""",SPLIT('(INGESTA)Datos_consumo_datadis'!A:A,"",""),"""")"),"ES0031408323131005HX0F")</f>
        <v>ES0031408323131005HX0F</v>
      </c>
      <c r="B13276" s="12">
        <f>IFERROR(__xludf.DUMMYFUNCTION("""COMPUTED_VALUE"""),45419.0)</f>
        <v>45419</v>
      </c>
      <c r="C13276" s="13">
        <f>IFERROR(__xludf.DUMMYFUNCTION("""COMPUTED_VALUE"""),0.16666666666666666)</f>
        <v>0.1666666667</v>
      </c>
      <c r="D13276" s="8">
        <f>IFERROR(__xludf.DUMMYFUNCTION("""COMPUTED_VALUE"""),0.08)</f>
        <v>0.08</v>
      </c>
      <c r="E13276" s="8" t="str">
        <f>IFERROR(__xludf.DUMMYFUNCTION("""COMPUTED_VALUE"""),"Real")</f>
        <v>Real</v>
      </c>
      <c r="G13276" s="8">
        <f t="shared" si="1"/>
        <v>5</v>
      </c>
      <c r="H13276" s="14">
        <f t="shared" si="2"/>
        <v>7</v>
      </c>
      <c r="I13276" s="15">
        <f t="shared" si="3"/>
        <v>4</v>
      </c>
    </row>
    <row r="13277">
      <c r="A13277" s="8" t="str">
        <f>IFERROR(__xludf.DUMMYFUNCTION("IF('(INGESTA)Datos_consumo_datadis'!A13277&lt;&gt;"""",SPLIT('(INGESTA)Datos_consumo_datadis'!A:A,"",""),"""")"),"ES0031408323131005HX0F")</f>
        <v>ES0031408323131005HX0F</v>
      </c>
      <c r="B13277" s="12">
        <f>IFERROR(__xludf.DUMMYFUNCTION("""COMPUTED_VALUE"""),45419.0)</f>
        <v>45419</v>
      </c>
      <c r="C13277" s="13">
        <f>IFERROR(__xludf.DUMMYFUNCTION("""COMPUTED_VALUE"""),0.20833333333333334)</f>
        <v>0.2083333333</v>
      </c>
      <c r="D13277" s="8">
        <f>IFERROR(__xludf.DUMMYFUNCTION("""COMPUTED_VALUE"""),0.055)</f>
        <v>0.055</v>
      </c>
      <c r="E13277" s="8" t="str">
        <f>IFERROR(__xludf.DUMMYFUNCTION("""COMPUTED_VALUE"""),"Real")</f>
        <v>Real</v>
      </c>
      <c r="G13277" s="8">
        <f t="shared" si="1"/>
        <v>5</v>
      </c>
      <c r="H13277" s="14">
        <f t="shared" si="2"/>
        <v>7</v>
      </c>
      <c r="I13277" s="15">
        <f t="shared" si="3"/>
        <v>5</v>
      </c>
    </row>
    <row r="13278">
      <c r="A13278" s="8" t="str">
        <f>IFERROR(__xludf.DUMMYFUNCTION("IF('(INGESTA)Datos_consumo_datadis'!A13278&lt;&gt;"""",SPLIT('(INGESTA)Datos_consumo_datadis'!A:A,"",""),"""")"),"ES0031408323131005HX0F")</f>
        <v>ES0031408323131005HX0F</v>
      </c>
      <c r="B13278" s="12">
        <f>IFERROR(__xludf.DUMMYFUNCTION("""COMPUTED_VALUE"""),45419.0)</f>
        <v>45419</v>
      </c>
      <c r="C13278" s="13">
        <f>IFERROR(__xludf.DUMMYFUNCTION("""COMPUTED_VALUE"""),0.25)</f>
        <v>0.25</v>
      </c>
      <c r="D13278" s="8">
        <f>IFERROR(__xludf.DUMMYFUNCTION("""COMPUTED_VALUE"""),0.066)</f>
        <v>0.066</v>
      </c>
      <c r="E13278" s="8" t="str">
        <f>IFERROR(__xludf.DUMMYFUNCTION("""COMPUTED_VALUE"""),"Real")</f>
        <v>Real</v>
      </c>
      <c r="G13278" s="8">
        <f t="shared" si="1"/>
        <v>5</v>
      </c>
      <c r="H13278" s="14">
        <f t="shared" si="2"/>
        <v>7</v>
      </c>
      <c r="I13278" s="15">
        <f t="shared" si="3"/>
        <v>6</v>
      </c>
    </row>
    <row r="13279">
      <c r="A13279" s="8" t="str">
        <f>IFERROR(__xludf.DUMMYFUNCTION("IF('(INGESTA)Datos_consumo_datadis'!A13279&lt;&gt;"""",SPLIT('(INGESTA)Datos_consumo_datadis'!A:A,"",""),"""")"),"ES0031408323131005HX0F")</f>
        <v>ES0031408323131005HX0F</v>
      </c>
      <c r="B13279" s="12">
        <f>IFERROR(__xludf.DUMMYFUNCTION("""COMPUTED_VALUE"""),45419.0)</f>
        <v>45419</v>
      </c>
      <c r="C13279" s="13">
        <f>IFERROR(__xludf.DUMMYFUNCTION("""COMPUTED_VALUE"""),0.2916666666666667)</f>
        <v>0.2916666667</v>
      </c>
      <c r="D13279" s="8">
        <f>IFERROR(__xludf.DUMMYFUNCTION("""COMPUTED_VALUE"""),1.909)</f>
        <v>1.909</v>
      </c>
      <c r="E13279" s="8" t="str">
        <f>IFERROR(__xludf.DUMMYFUNCTION("""COMPUTED_VALUE"""),"Real")</f>
        <v>Real</v>
      </c>
      <c r="G13279" s="8">
        <f t="shared" si="1"/>
        <v>5</v>
      </c>
      <c r="H13279" s="14">
        <f t="shared" si="2"/>
        <v>7</v>
      </c>
      <c r="I13279" s="15">
        <f t="shared" si="3"/>
        <v>7</v>
      </c>
    </row>
    <row r="13280">
      <c r="A13280" s="8" t="str">
        <f>IFERROR(__xludf.DUMMYFUNCTION("IF('(INGESTA)Datos_consumo_datadis'!A13280&lt;&gt;"""",SPLIT('(INGESTA)Datos_consumo_datadis'!A:A,"",""),"""")"),"ES0031408323131005HX0F")</f>
        <v>ES0031408323131005HX0F</v>
      </c>
      <c r="B13280" s="12">
        <f>IFERROR(__xludf.DUMMYFUNCTION("""COMPUTED_VALUE"""),45419.0)</f>
        <v>45419</v>
      </c>
      <c r="C13280" s="13">
        <f>IFERROR(__xludf.DUMMYFUNCTION("""COMPUTED_VALUE"""),0.3333333333333333)</f>
        <v>0.3333333333</v>
      </c>
      <c r="D13280" s="8">
        <f>IFERROR(__xludf.DUMMYFUNCTION("""COMPUTED_VALUE"""),0.131)</f>
        <v>0.131</v>
      </c>
      <c r="E13280" s="8" t="str">
        <f>IFERROR(__xludf.DUMMYFUNCTION("""COMPUTED_VALUE"""),"Real")</f>
        <v>Real</v>
      </c>
      <c r="G13280" s="8">
        <f t="shared" si="1"/>
        <v>5</v>
      </c>
      <c r="H13280" s="14">
        <f t="shared" si="2"/>
        <v>7</v>
      </c>
      <c r="I13280" s="15">
        <f t="shared" si="3"/>
        <v>8</v>
      </c>
    </row>
    <row r="13281">
      <c r="A13281" s="8" t="str">
        <f>IFERROR(__xludf.DUMMYFUNCTION("IF('(INGESTA)Datos_consumo_datadis'!A13281&lt;&gt;"""",SPLIT('(INGESTA)Datos_consumo_datadis'!A:A,"",""),"""")"),"ES0031408323131005HX0F")</f>
        <v>ES0031408323131005HX0F</v>
      </c>
      <c r="B13281" s="12">
        <f>IFERROR(__xludf.DUMMYFUNCTION("""COMPUTED_VALUE"""),45419.0)</f>
        <v>45419</v>
      </c>
      <c r="C13281" s="13">
        <f>IFERROR(__xludf.DUMMYFUNCTION("""COMPUTED_VALUE"""),0.375)</f>
        <v>0.375</v>
      </c>
      <c r="D13281" s="8">
        <f>IFERROR(__xludf.DUMMYFUNCTION("""COMPUTED_VALUE"""),0.076)</f>
        <v>0.076</v>
      </c>
      <c r="E13281" s="8" t="str">
        <f>IFERROR(__xludf.DUMMYFUNCTION("""COMPUTED_VALUE"""),"Real")</f>
        <v>Real</v>
      </c>
      <c r="G13281" s="8">
        <f t="shared" si="1"/>
        <v>5</v>
      </c>
      <c r="H13281" s="14">
        <f t="shared" si="2"/>
        <v>7</v>
      </c>
      <c r="I13281" s="15">
        <f t="shared" si="3"/>
        <v>9</v>
      </c>
    </row>
    <row r="13282">
      <c r="A13282" s="8" t="str">
        <f>IFERROR(__xludf.DUMMYFUNCTION("IF('(INGESTA)Datos_consumo_datadis'!A13282&lt;&gt;"""",SPLIT('(INGESTA)Datos_consumo_datadis'!A:A,"",""),"""")"),"ES0031408323131005HX0F")</f>
        <v>ES0031408323131005HX0F</v>
      </c>
      <c r="B13282" s="12">
        <f>IFERROR(__xludf.DUMMYFUNCTION("""COMPUTED_VALUE"""),45419.0)</f>
        <v>45419</v>
      </c>
      <c r="C13282" s="13">
        <f>IFERROR(__xludf.DUMMYFUNCTION("""COMPUTED_VALUE"""),0.4166666666666667)</f>
        <v>0.4166666667</v>
      </c>
      <c r="D13282" s="8">
        <f>IFERROR(__xludf.DUMMYFUNCTION("""COMPUTED_VALUE"""),0.044)</f>
        <v>0.044</v>
      </c>
      <c r="E13282" s="8" t="str">
        <f>IFERROR(__xludf.DUMMYFUNCTION("""COMPUTED_VALUE"""),"Real")</f>
        <v>Real</v>
      </c>
      <c r="G13282" s="8">
        <f t="shared" si="1"/>
        <v>5</v>
      </c>
      <c r="H13282" s="14">
        <f t="shared" si="2"/>
        <v>7</v>
      </c>
      <c r="I13282" s="15">
        <f t="shared" si="3"/>
        <v>10</v>
      </c>
    </row>
    <row r="13283">
      <c r="A13283" s="8" t="str">
        <f>IFERROR(__xludf.DUMMYFUNCTION("IF('(INGESTA)Datos_consumo_datadis'!A13283&lt;&gt;"""",SPLIT('(INGESTA)Datos_consumo_datadis'!A:A,"",""),"""")"),"ES0031408323131005HX0F")</f>
        <v>ES0031408323131005HX0F</v>
      </c>
      <c r="B13283" s="12">
        <f>IFERROR(__xludf.DUMMYFUNCTION("""COMPUTED_VALUE"""),45419.0)</f>
        <v>45419</v>
      </c>
      <c r="C13283" s="13">
        <f>IFERROR(__xludf.DUMMYFUNCTION("""COMPUTED_VALUE"""),0.4583333333333333)</f>
        <v>0.4583333333</v>
      </c>
      <c r="D13283" s="8">
        <f>IFERROR(__xludf.DUMMYFUNCTION("""COMPUTED_VALUE"""),0.072)</f>
        <v>0.072</v>
      </c>
      <c r="E13283" s="8" t="str">
        <f>IFERROR(__xludf.DUMMYFUNCTION("""COMPUTED_VALUE"""),"Real")</f>
        <v>Real</v>
      </c>
      <c r="G13283" s="8">
        <f t="shared" si="1"/>
        <v>5</v>
      </c>
      <c r="H13283" s="14">
        <f t="shared" si="2"/>
        <v>7</v>
      </c>
      <c r="I13283" s="15">
        <f t="shared" si="3"/>
        <v>11</v>
      </c>
    </row>
    <row r="13284">
      <c r="A13284" s="8" t="str">
        <f>IFERROR(__xludf.DUMMYFUNCTION("IF('(INGESTA)Datos_consumo_datadis'!A13284&lt;&gt;"""",SPLIT('(INGESTA)Datos_consumo_datadis'!A:A,"",""),"""")"),"ES0031408323131005HX0F")</f>
        <v>ES0031408323131005HX0F</v>
      </c>
      <c r="B13284" s="12">
        <f>IFERROR(__xludf.DUMMYFUNCTION("""COMPUTED_VALUE"""),45419.0)</f>
        <v>45419</v>
      </c>
      <c r="C13284" s="13">
        <f>IFERROR(__xludf.DUMMYFUNCTION("""COMPUTED_VALUE"""),0.5)</f>
        <v>0.5</v>
      </c>
      <c r="D13284" s="8">
        <f>IFERROR(__xludf.DUMMYFUNCTION("""COMPUTED_VALUE"""),0.315)</f>
        <v>0.315</v>
      </c>
      <c r="E13284" s="8" t="str">
        <f>IFERROR(__xludf.DUMMYFUNCTION("""COMPUTED_VALUE"""),"Real")</f>
        <v>Real</v>
      </c>
      <c r="G13284" s="8">
        <f t="shared" si="1"/>
        <v>5</v>
      </c>
      <c r="H13284" s="14">
        <f t="shared" si="2"/>
        <v>7</v>
      </c>
      <c r="I13284" s="15">
        <f t="shared" si="3"/>
        <v>12</v>
      </c>
    </row>
    <row r="13285">
      <c r="A13285" s="8" t="str">
        <f>IFERROR(__xludf.DUMMYFUNCTION("IF('(INGESTA)Datos_consumo_datadis'!A13285&lt;&gt;"""",SPLIT('(INGESTA)Datos_consumo_datadis'!A:A,"",""),"""")"),"ES0031408323131005HX0F")</f>
        <v>ES0031408323131005HX0F</v>
      </c>
      <c r="B13285" s="12">
        <f>IFERROR(__xludf.DUMMYFUNCTION("""COMPUTED_VALUE"""),45419.0)</f>
        <v>45419</v>
      </c>
      <c r="C13285" s="13">
        <f>IFERROR(__xludf.DUMMYFUNCTION("""COMPUTED_VALUE"""),0.5416666666666666)</f>
        <v>0.5416666667</v>
      </c>
      <c r="D13285" s="8">
        <f>IFERROR(__xludf.DUMMYFUNCTION("""COMPUTED_VALUE"""),0.068)</f>
        <v>0.068</v>
      </c>
      <c r="E13285" s="8" t="str">
        <f>IFERROR(__xludf.DUMMYFUNCTION("""COMPUTED_VALUE"""),"Real")</f>
        <v>Real</v>
      </c>
      <c r="G13285" s="8">
        <f t="shared" si="1"/>
        <v>5</v>
      </c>
      <c r="H13285" s="14">
        <f t="shared" si="2"/>
        <v>7</v>
      </c>
      <c r="I13285" s="15">
        <f t="shared" si="3"/>
        <v>13</v>
      </c>
    </row>
    <row r="13286">
      <c r="A13286" s="8" t="str">
        <f>IFERROR(__xludf.DUMMYFUNCTION("IF('(INGESTA)Datos_consumo_datadis'!A13286&lt;&gt;"""",SPLIT('(INGESTA)Datos_consumo_datadis'!A:A,"",""),"""")"),"ES0031408323131005HX0F")</f>
        <v>ES0031408323131005HX0F</v>
      </c>
      <c r="B13286" s="12">
        <f>IFERROR(__xludf.DUMMYFUNCTION("""COMPUTED_VALUE"""),45419.0)</f>
        <v>45419</v>
      </c>
      <c r="C13286" s="13">
        <f>IFERROR(__xludf.DUMMYFUNCTION("""COMPUTED_VALUE"""),0.5833333333333334)</f>
        <v>0.5833333333</v>
      </c>
      <c r="D13286" s="8">
        <f>IFERROR(__xludf.DUMMYFUNCTION("""COMPUTED_VALUE"""),0.055)</f>
        <v>0.055</v>
      </c>
      <c r="E13286" s="8" t="str">
        <f>IFERROR(__xludf.DUMMYFUNCTION("""COMPUTED_VALUE"""),"Real")</f>
        <v>Real</v>
      </c>
      <c r="G13286" s="8">
        <f t="shared" si="1"/>
        <v>5</v>
      </c>
      <c r="H13286" s="14">
        <f t="shared" si="2"/>
        <v>7</v>
      </c>
      <c r="I13286" s="15">
        <f t="shared" si="3"/>
        <v>14</v>
      </c>
    </row>
    <row r="13287">
      <c r="A13287" s="8" t="str">
        <f>IFERROR(__xludf.DUMMYFUNCTION("IF('(INGESTA)Datos_consumo_datadis'!A13287&lt;&gt;"""",SPLIT('(INGESTA)Datos_consumo_datadis'!A:A,"",""),"""")"),"ES0031408323131005HX0F")</f>
        <v>ES0031408323131005HX0F</v>
      </c>
      <c r="B13287" s="12">
        <f>IFERROR(__xludf.DUMMYFUNCTION("""COMPUTED_VALUE"""),45419.0)</f>
        <v>45419</v>
      </c>
      <c r="C13287" s="13">
        <f>IFERROR(__xludf.DUMMYFUNCTION("""COMPUTED_VALUE"""),0.625)</f>
        <v>0.625</v>
      </c>
      <c r="D13287" s="8">
        <f>IFERROR(__xludf.DUMMYFUNCTION("""COMPUTED_VALUE"""),0.072)</f>
        <v>0.072</v>
      </c>
      <c r="E13287" s="8" t="str">
        <f>IFERROR(__xludf.DUMMYFUNCTION("""COMPUTED_VALUE"""),"Real")</f>
        <v>Real</v>
      </c>
      <c r="G13287" s="8">
        <f t="shared" si="1"/>
        <v>5</v>
      </c>
      <c r="H13287" s="14">
        <f t="shared" si="2"/>
        <v>7</v>
      </c>
      <c r="I13287" s="15">
        <f t="shared" si="3"/>
        <v>15</v>
      </c>
    </row>
    <row r="13288">
      <c r="A13288" s="8" t="str">
        <f>IFERROR(__xludf.DUMMYFUNCTION("IF('(INGESTA)Datos_consumo_datadis'!A13288&lt;&gt;"""",SPLIT('(INGESTA)Datos_consumo_datadis'!A:A,"",""),"""")"),"ES0031408323131005HX0F")</f>
        <v>ES0031408323131005HX0F</v>
      </c>
      <c r="B13288" s="12">
        <f>IFERROR(__xludf.DUMMYFUNCTION("""COMPUTED_VALUE"""),45419.0)</f>
        <v>45419</v>
      </c>
      <c r="C13288" s="13">
        <f>IFERROR(__xludf.DUMMYFUNCTION("""COMPUTED_VALUE"""),0.6666666666666666)</f>
        <v>0.6666666667</v>
      </c>
      <c r="D13288" s="8">
        <f>IFERROR(__xludf.DUMMYFUNCTION("""COMPUTED_VALUE"""),0.059)</f>
        <v>0.059</v>
      </c>
      <c r="E13288" s="8" t="str">
        <f>IFERROR(__xludf.DUMMYFUNCTION("""COMPUTED_VALUE"""),"Real")</f>
        <v>Real</v>
      </c>
      <c r="G13288" s="8">
        <f t="shared" si="1"/>
        <v>5</v>
      </c>
      <c r="H13288" s="14">
        <f t="shared" si="2"/>
        <v>7</v>
      </c>
      <c r="I13288" s="15">
        <f t="shared" si="3"/>
        <v>16</v>
      </c>
    </row>
    <row r="13289">
      <c r="A13289" s="8" t="str">
        <f>IFERROR(__xludf.DUMMYFUNCTION("IF('(INGESTA)Datos_consumo_datadis'!A13289&lt;&gt;"""",SPLIT('(INGESTA)Datos_consumo_datadis'!A:A,"",""),"""")"),"ES0031408323131005HX0F")</f>
        <v>ES0031408323131005HX0F</v>
      </c>
      <c r="B13289" s="12">
        <f>IFERROR(__xludf.DUMMYFUNCTION("""COMPUTED_VALUE"""),45419.0)</f>
        <v>45419</v>
      </c>
      <c r="C13289" s="13">
        <f>IFERROR(__xludf.DUMMYFUNCTION("""COMPUTED_VALUE"""),0.7083333333333334)</f>
        <v>0.7083333333</v>
      </c>
      <c r="D13289" s="8">
        <f>IFERROR(__xludf.DUMMYFUNCTION("""COMPUTED_VALUE"""),0.047)</f>
        <v>0.047</v>
      </c>
      <c r="E13289" s="8" t="str">
        <f>IFERROR(__xludf.DUMMYFUNCTION("""COMPUTED_VALUE"""),"Real")</f>
        <v>Real</v>
      </c>
      <c r="G13289" s="8">
        <f t="shared" si="1"/>
        <v>5</v>
      </c>
      <c r="H13289" s="14">
        <f t="shared" si="2"/>
        <v>7</v>
      </c>
      <c r="I13289" s="15">
        <f t="shared" si="3"/>
        <v>17</v>
      </c>
    </row>
    <row r="13290">
      <c r="A13290" s="8" t="str">
        <f>IFERROR(__xludf.DUMMYFUNCTION("IF('(INGESTA)Datos_consumo_datadis'!A13290&lt;&gt;"""",SPLIT('(INGESTA)Datos_consumo_datadis'!A:A,"",""),"""")"),"ES0031408323131005HX0F")</f>
        <v>ES0031408323131005HX0F</v>
      </c>
      <c r="B13290" s="12">
        <f>IFERROR(__xludf.DUMMYFUNCTION("""COMPUTED_VALUE"""),45419.0)</f>
        <v>45419</v>
      </c>
      <c r="C13290" s="13">
        <f>IFERROR(__xludf.DUMMYFUNCTION("""COMPUTED_VALUE"""),0.75)</f>
        <v>0.75</v>
      </c>
      <c r="D13290" s="8">
        <f>IFERROR(__xludf.DUMMYFUNCTION("""COMPUTED_VALUE"""),0.328)</f>
        <v>0.328</v>
      </c>
      <c r="E13290" s="8" t="str">
        <f>IFERROR(__xludf.DUMMYFUNCTION("""COMPUTED_VALUE"""),"Real")</f>
        <v>Real</v>
      </c>
      <c r="G13290" s="8">
        <f t="shared" si="1"/>
        <v>5</v>
      </c>
      <c r="H13290" s="14">
        <f t="shared" si="2"/>
        <v>7</v>
      </c>
      <c r="I13290" s="15">
        <f t="shared" si="3"/>
        <v>18</v>
      </c>
    </row>
    <row r="13291">
      <c r="A13291" s="8" t="str">
        <f>IFERROR(__xludf.DUMMYFUNCTION("IF('(INGESTA)Datos_consumo_datadis'!A13291&lt;&gt;"""",SPLIT('(INGESTA)Datos_consumo_datadis'!A:A,"",""),"""")"),"ES0031408323131005HX0F")</f>
        <v>ES0031408323131005HX0F</v>
      </c>
      <c r="B13291" s="12">
        <f>IFERROR(__xludf.DUMMYFUNCTION("""COMPUTED_VALUE"""),45419.0)</f>
        <v>45419</v>
      </c>
      <c r="C13291" s="13">
        <f>IFERROR(__xludf.DUMMYFUNCTION("""COMPUTED_VALUE"""),0.7916666666666666)</f>
        <v>0.7916666667</v>
      </c>
      <c r="D13291" s="8">
        <f>IFERROR(__xludf.DUMMYFUNCTION("""COMPUTED_VALUE"""),0.034)</f>
        <v>0.034</v>
      </c>
      <c r="E13291" s="8" t="str">
        <f>IFERROR(__xludf.DUMMYFUNCTION("""COMPUTED_VALUE"""),"Real")</f>
        <v>Real</v>
      </c>
      <c r="G13291" s="8">
        <f t="shared" si="1"/>
        <v>5</v>
      </c>
      <c r="H13291" s="14">
        <f t="shared" si="2"/>
        <v>7</v>
      </c>
      <c r="I13291" s="15">
        <f t="shared" si="3"/>
        <v>19</v>
      </c>
    </row>
    <row r="13292">
      <c r="A13292" s="8" t="str">
        <f>IFERROR(__xludf.DUMMYFUNCTION("IF('(INGESTA)Datos_consumo_datadis'!A13292&lt;&gt;"""",SPLIT('(INGESTA)Datos_consumo_datadis'!A:A,"",""),"""")"),"ES0031408323131005HX0F")</f>
        <v>ES0031408323131005HX0F</v>
      </c>
      <c r="B13292" s="12">
        <f>IFERROR(__xludf.DUMMYFUNCTION("""COMPUTED_VALUE"""),45419.0)</f>
        <v>45419</v>
      </c>
      <c r="C13292" s="13">
        <f>IFERROR(__xludf.DUMMYFUNCTION("""COMPUTED_VALUE"""),0.8333333333333334)</f>
        <v>0.8333333333</v>
      </c>
      <c r="D13292" s="8">
        <f>IFERROR(__xludf.DUMMYFUNCTION("""COMPUTED_VALUE"""),0.072)</f>
        <v>0.072</v>
      </c>
      <c r="E13292" s="8" t="str">
        <f>IFERROR(__xludf.DUMMYFUNCTION("""COMPUTED_VALUE"""),"Real")</f>
        <v>Real</v>
      </c>
      <c r="G13292" s="8">
        <f t="shared" si="1"/>
        <v>5</v>
      </c>
      <c r="H13292" s="14">
        <f t="shared" si="2"/>
        <v>7</v>
      </c>
      <c r="I13292" s="15">
        <f t="shared" si="3"/>
        <v>20</v>
      </c>
    </row>
    <row r="13293">
      <c r="A13293" s="8" t="str">
        <f>IFERROR(__xludf.DUMMYFUNCTION("IF('(INGESTA)Datos_consumo_datadis'!A13293&lt;&gt;"""",SPLIT('(INGESTA)Datos_consumo_datadis'!A:A,"",""),"""")"),"ES0031408323131005HX0F")</f>
        <v>ES0031408323131005HX0F</v>
      </c>
      <c r="B13293" s="12">
        <f>IFERROR(__xludf.DUMMYFUNCTION("""COMPUTED_VALUE"""),45419.0)</f>
        <v>45419</v>
      </c>
      <c r="C13293" s="13">
        <f>IFERROR(__xludf.DUMMYFUNCTION("""COMPUTED_VALUE"""),0.875)</f>
        <v>0.875</v>
      </c>
      <c r="D13293" s="8">
        <f>IFERROR(__xludf.DUMMYFUNCTION("""COMPUTED_VALUE"""),0.052)</f>
        <v>0.052</v>
      </c>
      <c r="E13293" s="8" t="str">
        <f>IFERROR(__xludf.DUMMYFUNCTION("""COMPUTED_VALUE"""),"Real")</f>
        <v>Real</v>
      </c>
      <c r="G13293" s="8">
        <f t="shared" si="1"/>
        <v>5</v>
      </c>
      <c r="H13293" s="14">
        <f t="shared" si="2"/>
        <v>7</v>
      </c>
      <c r="I13293" s="15">
        <f t="shared" si="3"/>
        <v>21</v>
      </c>
    </row>
    <row r="13294">
      <c r="A13294" s="8" t="str">
        <f>IFERROR(__xludf.DUMMYFUNCTION("IF('(INGESTA)Datos_consumo_datadis'!A13294&lt;&gt;"""",SPLIT('(INGESTA)Datos_consumo_datadis'!A:A,"",""),"""")"),"ES0031408323131005HX0F")</f>
        <v>ES0031408323131005HX0F</v>
      </c>
      <c r="B13294" s="12">
        <f>IFERROR(__xludf.DUMMYFUNCTION("""COMPUTED_VALUE"""),45419.0)</f>
        <v>45419</v>
      </c>
      <c r="C13294" s="13">
        <f>IFERROR(__xludf.DUMMYFUNCTION("""COMPUTED_VALUE"""),0.9166666666666666)</f>
        <v>0.9166666667</v>
      </c>
      <c r="D13294" s="8">
        <f>IFERROR(__xludf.DUMMYFUNCTION("""COMPUTED_VALUE"""),0.597)</f>
        <v>0.597</v>
      </c>
      <c r="E13294" s="8" t="str">
        <f>IFERROR(__xludf.DUMMYFUNCTION("""COMPUTED_VALUE"""),"Real")</f>
        <v>Real</v>
      </c>
      <c r="G13294" s="8">
        <f t="shared" si="1"/>
        <v>5</v>
      </c>
      <c r="H13294" s="14">
        <f t="shared" si="2"/>
        <v>7</v>
      </c>
      <c r="I13294" s="15">
        <f t="shared" si="3"/>
        <v>22</v>
      </c>
    </row>
    <row r="13295">
      <c r="A13295" s="8" t="str">
        <f>IFERROR(__xludf.DUMMYFUNCTION("IF('(INGESTA)Datos_consumo_datadis'!A13295&lt;&gt;"""",SPLIT('(INGESTA)Datos_consumo_datadis'!A:A,"",""),"""")"),"ES0031408323131005HX0F")</f>
        <v>ES0031408323131005HX0F</v>
      </c>
      <c r="B13295" s="12">
        <f>IFERROR(__xludf.DUMMYFUNCTION("""COMPUTED_VALUE"""),45419.0)</f>
        <v>45419</v>
      </c>
      <c r="C13295" s="13">
        <f>IFERROR(__xludf.DUMMYFUNCTION("""COMPUTED_VALUE"""),0.9583333333333334)</f>
        <v>0.9583333333</v>
      </c>
      <c r="D13295" s="8">
        <f>IFERROR(__xludf.DUMMYFUNCTION("""COMPUTED_VALUE"""),0.71)</f>
        <v>0.71</v>
      </c>
      <c r="E13295" s="8" t="str">
        <f>IFERROR(__xludf.DUMMYFUNCTION("""COMPUTED_VALUE"""),"Real")</f>
        <v>Real</v>
      </c>
      <c r="G13295" s="8">
        <f t="shared" si="1"/>
        <v>5</v>
      </c>
      <c r="H13295" s="14">
        <f t="shared" si="2"/>
        <v>7</v>
      </c>
      <c r="I13295" s="15">
        <f t="shared" si="3"/>
        <v>23</v>
      </c>
    </row>
    <row r="13296">
      <c r="A13296" s="8" t="str">
        <f>IFERROR(__xludf.DUMMYFUNCTION("IF('(INGESTA)Datos_consumo_datadis'!A13296&lt;&gt;"""",SPLIT('(INGESTA)Datos_consumo_datadis'!A:A,"",""),"""")"),"ES0031408323131005HX0F")</f>
        <v>ES0031408323131005HX0F</v>
      </c>
      <c r="B13296" s="12">
        <f>IFERROR(__xludf.DUMMYFUNCTION("""COMPUTED_VALUE"""),45419.0)</f>
        <v>45419</v>
      </c>
      <c r="C13296" s="16">
        <f>IFERROR(__xludf.DUMMYFUNCTION("""COMPUTED_VALUE"""),1.0)</f>
        <v>1</v>
      </c>
      <c r="D13296" s="8">
        <f>IFERROR(__xludf.DUMMYFUNCTION("""COMPUTED_VALUE"""),0.09)</f>
        <v>0.09</v>
      </c>
      <c r="E13296" s="8" t="str">
        <f>IFERROR(__xludf.DUMMYFUNCTION("""COMPUTED_VALUE"""),"Real")</f>
        <v>Real</v>
      </c>
      <c r="G13296" s="8">
        <f t="shared" si="1"/>
        <v>5</v>
      </c>
      <c r="H13296" s="14">
        <f t="shared" si="2"/>
        <v>7</v>
      </c>
      <c r="I13296" s="15">
        <f t="shared" si="3"/>
        <v>0</v>
      </c>
    </row>
    <row r="13297">
      <c r="A13297" s="8" t="str">
        <f>IFERROR(__xludf.DUMMYFUNCTION("IF('(INGESTA)Datos_consumo_datadis'!A13297&lt;&gt;"""",SPLIT('(INGESTA)Datos_consumo_datadis'!A:A,"",""),"""")"),"ES0031408323131005HX0F")</f>
        <v>ES0031408323131005HX0F</v>
      </c>
      <c r="B13297" s="12">
        <f>IFERROR(__xludf.DUMMYFUNCTION("""COMPUTED_VALUE"""),45420.0)</f>
        <v>45420</v>
      </c>
      <c r="C13297" s="13">
        <f>IFERROR(__xludf.DUMMYFUNCTION("""COMPUTED_VALUE"""),0.041666666666666664)</f>
        <v>0.04166666667</v>
      </c>
      <c r="D13297" s="8">
        <f>IFERROR(__xludf.DUMMYFUNCTION("""COMPUTED_VALUE"""),0.057)</f>
        <v>0.057</v>
      </c>
      <c r="E13297" s="8" t="str">
        <f>IFERROR(__xludf.DUMMYFUNCTION("""COMPUTED_VALUE"""),"Real")</f>
        <v>Real</v>
      </c>
      <c r="G13297" s="8">
        <f t="shared" si="1"/>
        <v>5</v>
      </c>
      <c r="H13297" s="14">
        <f t="shared" si="2"/>
        <v>8</v>
      </c>
      <c r="I13297" s="15">
        <f t="shared" si="3"/>
        <v>1</v>
      </c>
    </row>
    <row r="13298">
      <c r="A13298" s="8" t="str">
        <f>IFERROR(__xludf.DUMMYFUNCTION("IF('(INGESTA)Datos_consumo_datadis'!A13298&lt;&gt;"""",SPLIT('(INGESTA)Datos_consumo_datadis'!A:A,"",""),"""")"),"ES0031408323131005HX0F")</f>
        <v>ES0031408323131005HX0F</v>
      </c>
      <c r="B13298" s="12">
        <f>IFERROR(__xludf.DUMMYFUNCTION("""COMPUTED_VALUE"""),45420.0)</f>
        <v>45420</v>
      </c>
      <c r="C13298" s="13">
        <f>IFERROR(__xludf.DUMMYFUNCTION("""COMPUTED_VALUE"""),0.08333333333333333)</f>
        <v>0.08333333333</v>
      </c>
      <c r="D13298" s="8">
        <f>IFERROR(__xludf.DUMMYFUNCTION("""COMPUTED_VALUE"""),0.078)</f>
        <v>0.078</v>
      </c>
      <c r="E13298" s="8" t="str">
        <f>IFERROR(__xludf.DUMMYFUNCTION("""COMPUTED_VALUE"""),"Real")</f>
        <v>Real</v>
      </c>
      <c r="G13298" s="8">
        <f t="shared" si="1"/>
        <v>5</v>
      </c>
      <c r="H13298" s="14">
        <f t="shared" si="2"/>
        <v>8</v>
      </c>
      <c r="I13298" s="15">
        <f t="shared" si="3"/>
        <v>2</v>
      </c>
    </row>
    <row r="13299">
      <c r="A13299" s="8" t="str">
        <f>IFERROR(__xludf.DUMMYFUNCTION("IF('(INGESTA)Datos_consumo_datadis'!A13299&lt;&gt;"""",SPLIT('(INGESTA)Datos_consumo_datadis'!A:A,"",""),"""")"),"ES0031408323131005HX0F")</f>
        <v>ES0031408323131005HX0F</v>
      </c>
      <c r="B13299" s="12">
        <f>IFERROR(__xludf.DUMMYFUNCTION("""COMPUTED_VALUE"""),45420.0)</f>
        <v>45420</v>
      </c>
      <c r="C13299" s="13">
        <f>IFERROR(__xludf.DUMMYFUNCTION("""COMPUTED_VALUE"""),0.125)</f>
        <v>0.125</v>
      </c>
      <c r="D13299" s="8">
        <f>IFERROR(__xludf.DUMMYFUNCTION("""COMPUTED_VALUE"""),0.056)</f>
        <v>0.056</v>
      </c>
      <c r="E13299" s="8" t="str">
        <f>IFERROR(__xludf.DUMMYFUNCTION("""COMPUTED_VALUE"""),"Real")</f>
        <v>Real</v>
      </c>
      <c r="G13299" s="8">
        <f t="shared" si="1"/>
        <v>5</v>
      </c>
      <c r="H13299" s="14">
        <f t="shared" si="2"/>
        <v>8</v>
      </c>
      <c r="I13299" s="15">
        <f t="shared" si="3"/>
        <v>3</v>
      </c>
    </row>
    <row r="13300">
      <c r="A13300" s="8" t="str">
        <f>IFERROR(__xludf.DUMMYFUNCTION("IF('(INGESTA)Datos_consumo_datadis'!A13300&lt;&gt;"""",SPLIT('(INGESTA)Datos_consumo_datadis'!A:A,"",""),"""")"),"ES0031408323131005HX0F")</f>
        <v>ES0031408323131005HX0F</v>
      </c>
      <c r="B13300" s="12">
        <f>IFERROR(__xludf.DUMMYFUNCTION("""COMPUTED_VALUE"""),45420.0)</f>
        <v>45420</v>
      </c>
      <c r="C13300" s="13">
        <f>IFERROR(__xludf.DUMMYFUNCTION("""COMPUTED_VALUE"""),0.16666666666666666)</f>
        <v>0.1666666667</v>
      </c>
      <c r="D13300" s="8">
        <f>IFERROR(__xludf.DUMMYFUNCTION("""COMPUTED_VALUE"""),0.07)</f>
        <v>0.07</v>
      </c>
      <c r="E13300" s="8" t="str">
        <f>IFERROR(__xludf.DUMMYFUNCTION("""COMPUTED_VALUE"""),"Real")</f>
        <v>Real</v>
      </c>
      <c r="G13300" s="8">
        <f t="shared" si="1"/>
        <v>5</v>
      </c>
      <c r="H13300" s="14">
        <f t="shared" si="2"/>
        <v>8</v>
      </c>
      <c r="I13300" s="15">
        <f t="shared" si="3"/>
        <v>4</v>
      </c>
    </row>
    <row r="13301">
      <c r="A13301" s="8" t="str">
        <f>IFERROR(__xludf.DUMMYFUNCTION("IF('(INGESTA)Datos_consumo_datadis'!A13301&lt;&gt;"""",SPLIT('(INGESTA)Datos_consumo_datadis'!A:A,"",""),"""")"),"ES0031408323131005HX0F")</f>
        <v>ES0031408323131005HX0F</v>
      </c>
      <c r="B13301" s="12">
        <f>IFERROR(__xludf.DUMMYFUNCTION("""COMPUTED_VALUE"""),45420.0)</f>
        <v>45420</v>
      </c>
      <c r="C13301" s="13">
        <f>IFERROR(__xludf.DUMMYFUNCTION("""COMPUTED_VALUE"""),0.20833333333333334)</f>
        <v>0.2083333333</v>
      </c>
      <c r="D13301" s="8">
        <f>IFERROR(__xludf.DUMMYFUNCTION("""COMPUTED_VALUE"""),0.335)</f>
        <v>0.335</v>
      </c>
      <c r="E13301" s="8" t="str">
        <f>IFERROR(__xludf.DUMMYFUNCTION("""COMPUTED_VALUE"""),"Real")</f>
        <v>Real</v>
      </c>
      <c r="G13301" s="8">
        <f t="shared" si="1"/>
        <v>5</v>
      </c>
      <c r="H13301" s="14">
        <f t="shared" si="2"/>
        <v>8</v>
      </c>
      <c r="I13301" s="15">
        <f t="shared" si="3"/>
        <v>5</v>
      </c>
    </row>
    <row r="13302">
      <c r="A13302" s="8" t="str">
        <f>IFERROR(__xludf.DUMMYFUNCTION("IF('(INGESTA)Datos_consumo_datadis'!A13302&lt;&gt;"""",SPLIT('(INGESTA)Datos_consumo_datadis'!A:A,"",""),"""")"),"ES0031408323131005HX0F")</f>
        <v>ES0031408323131005HX0F</v>
      </c>
      <c r="B13302" s="12">
        <f>IFERROR(__xludf.DUMMYFUNCTION("""COMPUTED_VALUE"""),45420.0)</f>
        <v>45420</v>
      </c>
      <c r="C13302" s="13">
        <f>IFERROR(__xludf.DUMMYFUNCTION("""COMPUTED_VALUE"""),0.25)</f>
        <v>0.25</v>
      </c>
      <c r="D13302" s="8">
        <f>IFERROR(__xludf.DUMMYFUNCTION("""COMPUTED_VALUE"""),0.049)</f>
        <v>0.049</v>
      </c>
      <c r="E13302" s="8" t="str">
        <f>IFERROR(__xludf.DUMMYFUNCTION("""COMPUTED_VALUE"""),"Real")</f>
        <v>Real</v>
      </c>
      <c r="G13302" s="8">
        <f t="shared" si="1"/>
        <v>5</v>
      </c>
      <c r="H13302" s="14">
        <f t="shared" si="2"/>
        <v>8</v>
      </c>
      <c r="I13302" s="15">
        <f t="shared" si="3"/>
        <v>6</v>
      </c>
    </row>
    <row r="13303">
      <c r="A13303" s="8" t="str">
        <f>IFERROR(__xludf.DUMMYFUNCTION("IF('(INGESTA)Datos_consumo_datadis'!A13303&lt;&gt;"""",SPLIT('(INGESTA)Datos_consumo_datadis'!A:A,"",""),"""")"),"ES0031408323131005HX0F")</f>
        <v>ES0031408323131005HX0F</v>
      </c>
      <c r="B13303" s="12">
        <f>IFERROR(__xludf.DUMMYFUNCTION("""COMPUTED_VALUE"""),45420.0)</f>
        <v>45420</v>
      </c>
      <c r="C13303" s="13">
        <f>IFERROR(__xludf.DUMMYFUNCTION("""COMPUTED_VALUE"""),0.2916666666666667)</f>
        <v>0.2916666667</v>
      </c>
      <c r="D13303" s="8">
        <f>IFERROR(__xludf.DUMMYFUNCTION("""COMPUTED_VALUE"""),2.081)</f>
        <v>2.081</v>
      </c>
      <c r="E13303" s="8" t="str">
        <f>IFERROR(__xludf.DUMMYFUNCTION("""COMPUTED_VALUE"""),"Real")</f>
        <v>Real</v>
      </c>
      <c r="G13303" s="8">
        <f t="shared" si="1"/>
        <v>5</v>
      </c>
      <c r="H13303" s="14">
        <f t="shared" si="2"/>
        <v>8</v>
      </c>
      <c r="I13303" s="15">
        <f t="shared" si="3"/>
        <v>7</v>
      </c>
    </row>
    <row r="13304">
      <c r="A13304" s="8" t="str">
        <f>IFERROR(__xludf.DUMMYFUNCTION("IF('(INGESTA)Datos_consumo_datadis'!A13304&lt;&gt;"""",SPLIT('(INGESTA)Datos_consumo_datadis'!A:A,"",""),"""")"),"ES0031408323131005HX0F")</f>
        <v>ES0031408323131005HX0F</v>
      </c>
      <c r="B13304" s="12">
        <f>IFERROR(__xludf.DUMMYFUNCTION("""COMPUTED_VALUE"""),45420.0)</f>
        <v>45420</v>
      </c>
      <c r="C13304" s="13">
        <f>IFERROR(__xludf.DUMMYFUNCTION("""COMPUTED_VALUE"""),0.3333333333333333)</f>
        <v>0.3333333333</v>
      </c>
      <c r="D13304" s="8">
        <f>IFERROR(__xludf.DUMMYFUNCTION("""COMPUTED_VALUE"""),0.55)</f>
        <v>0.55</v>
      </c>
      <c r="E13304" s="8" t="str">
        <f>IFERROR(__xludf.DUMMYFUNCTION("""COMPUTED_VALUE"""),"Real")</f>
        <v>Real</v>
      </c>
      <c r="G13304" s="8">
        <f t="shared" si="1"/>
        <v>5</v>
      </c>
      <c r="H13304" s="14">
        <f t="shared" si="2"/>
        <v>8</v>
      </c>
      <c r="I13304" s="15">
        <f t="shared" si="3"/>
        <v>8</v>
      </c>
    </row>
    <row r="13305">
      <c r="A13305" s="8" t="str">
        <f>IFERROR(__xludf.DUMMYFUNCTION("IF('(INGESTA)Datos_consumo_datadis'!A13305&lt;&gt;"""",SPLIT('(INGESTA)Datos_consumo_datadis'!A:A,"",""),"""")"),"ES0031408323131005HX0F")</f>
        <v>ES0031408323131005HX0F</v>
      </c>
      <c r="B13305" s="12">
        <f>IFERROR(__xludf.DUMMYFUNCTION("""COMPUTED_VALUE"""),45420.0)</f>
        <v>45420</v>
      </c>
      <c r="C13305" s="13">
        <f>IFERROR(__xludf.DUMMYFUNCTION("""COMPUTED_VALUE"""),0.375)</f>
        <v>0.375</v>
      </c>
      <c r="D13305" s="8">
        <f>IFERROR(__xludf.DUMMYFUNCTION("""COMPUTED_VALUE"""),0.126)</f>
        <v>0.126</v>
      </c>
      <c r="E13305" s="8" t="str">
        <f>IFERROR(__xludf.DUMMYFUNCTION("""COMPUTED_VALUE"""),"Real")</f>
        <v>Real</v>
      </c>
      <c r="G13305" s="8">
        <f t="shared" si="1"/>
        <v>5</v>
      </c>
      <c r="H13305" s="14">
        <f t="shared" si="2"/>
        <v>8</v>
      </c>
      <c r="I13305" s="15">
        <f t="shared" si="3"/>
        <v>9</v>
      </c>
    </row>
    <row r="13306">
      <c r="A13306" s="8" t="str">
        <f>IFERROR(__xludf.DUMMYFUNCTION("IF('(INGESTA)Datos_consumo_datadis'!A13306&lt;&gt;"""",SPLIT('(INGESTA)Datos_consumo_datadis'!A:A,"",""),"""")"),"ES0031408323131005HX0F")</f>
        <v>ES0031408323131005HX0F</v>
      </c>
      <c r="B13306" s="12">
        <f>IFERROR(__xludf.DUMMYFUNCTION("""COMPUTED_VALUE"""),45420.0)</f>
        <v>45420</v>
      </c>
      <c r="C13306" s="13">
        <f>IFERROR(__xludf.DUMMYFUNCTION("""COMPUTED_VALUE"""),0.4166666666666667)</f>
        <v>0.4166666667</v>
      </c>
      <c r="D13306" s="8">
        <f>IFERROR(__xludf.DUMMYFUNCTION("""COMPUTED_VALUE"""),0.085)</f>
        <v>0.085</v>
      </c>
      <c r="E13306" s="8" t="str">
        <f>IFERROR(__xludf.DUMMYFUNCTION("""COMPUTED_VALUE"""),"Real")</f>
        <v>Real</v>
      </c>
      <c r="G13306" s="8">
        <f t="shared" si="1"/>
        <v>5</v>
      </c>
      <c r="H13306" s="14">
        <f t="shared" si="2"/>
        <v>8</v>
      </c>
      <c r="I13306" s="15">
        <f t="shared" si="3"/>
        <v>10</v>
      </c>
    </row>
    <row r="13307">
      <c r="A13307" s="8" t="str">
        <f>IFERROR(__xludf.DUMMYFUNCTION("IF('(INGESTA)Datos_consumo_datadis'!A13307&lt;&gt;"""",SPLIT('(INGESTA)Datos_consumo_datadis'!A:A,"",""),"""")"),"ES0031408323131005HX0F")</f>
        <v>ES0031408323131005HX0F</v>
      </c>
      <c r="B13307" s="12">
        <f>IFERROR(__xludf.DUMMYFUNCTION("""COMPUTED_VALUE"""),45420.0)</f>
        <v>45420</v>
      </c>
      <c r="C13307" s="13">
        <f>IFERROR(__xludf.DUMMYFUNCTION("""COMPUTED_VALUE"""),0.4583333333333333)</f>
        <v>0.4583333333</v>
      </c>
      <c r="D13307" s="8">
        <f>IFERROR(__xludf.DUMMYFUNCTION("""COMPUTED_VALUE"""),0.056)</f>
        <v>0.056</v>
      </c>
      <c r="E13307" s="8" t="str">
        <f>IFERROR(__xludf.DUMMYFUNCTION("""COMPUTED_VALUE"""),"Real")</f>
        <v>Real</v>
      </c>
      <c r="G13307" s="8">
        <f t="shared" si="1"/>
        <v>5</v>
      </c>
      <c r="H13307" s="14">
        <f t="shared" si="2"/>
        <v>8</v>
      </c>
      <c r="I13307" s="15">
        <f t="shared" si="3"/>
        <v>11</v>
      </c>
    </row>
    <row r="13308">
      <c r="A13308" s="8" t="str">
        <f>IFERROR(__xludf.DUMMYFUNCTION("IF('(INGESTA)Datos_consumo_datadis'!A13308&lt;&gt;"""",SPLIT('(INGESTA)Datos_consumo_datadis'!A:A,"",""),"""")"),"ES0031408323131005HX0F")</f>
        <v>ES0031408323131005HX0F</v>
      </c>
      <c r="B13308" s="12">
        <f>IFERROR(__xludf.DUMMYFUNCTION("""COMPUTED_VALUE"""),45420.0)</f>
        <v>45420</v>
      </c>
      <c r="C13308" s="13">
        <f>IFERROR(__xludf.DUMMYFUNCTION("""COMPUTED_VALUE"""),0.5)</f>
        <v>0.5</v>
      </c>
      <c r="D13308" s="8">
        <f>IFERROR(__xludf.DUMMYFUNCTION("""COMPUTED_VALUE"""),0.07)</f>
        <v>0.07</v>
      </c>
      <c r="E13308" s="8" t="str">
        <f>IFERROR(__xludf.DUMMYFUNCTION("""COMPUTED_VALUE"""),"Real")</f>
        <v>Real</v>
      </c>
      <c r="G13308" s="8">
        <f t="shared" si="1"/>
        <v>5</v>
      </c>
      <c r="H13308" s="14">
        <f t="shared" si="2"/>
        <v>8</v>
      </c>
      <c r="I13308" s="15">
        <f t="shared" si="3"/>
        <v>12</v>
      </c>
    </row>
    <row r="13309">
      <c r="A13309" s="8" t="str">
        <f>IFERROR(__xludf.DUMMYFUNCTION("IF('(INGESTA)Datos_consumo_datadis'!A13309&lt;&gt;"""",SPLIT('(INGESTA)Datos_consumo_datadis'!A:A,"",""),"""")"),"ES0031408323131005HX0F")</f>
        <v>ES0031408323131005HX0F</v>
      </c>
      <c r="B13309" s="12">
        <f>IFERROR(__xludf.DUMMYFUNCTION("""COMPUTED_VALUE"""),45420.0)</f>
        <v>45420</v>
      </c>
      <c r="C13309" s="13">
        <f>IFERROR(__xludf.DUMMYFUNCTION("""COMPUTED_VALUE"""),0.5416666666666666)</f>
        <v>0.5416666667</v>
      </c>
      <c r="D13309" s="8">
        <f>IFERROR(__xludf.DUMMYFUNCTION("""COMPUTED_VALUE"""),0.055)</f>
        <v>0.055</v>
      </c>
      <c r="E13309" s="8" t="str">
        <f>IFERROR(__xludf.DUMMYFUNCTION("""COMPUTED_VALUE"""),"Real")</f>
        <v>Real</v>
      </c>
      <c r="G13309" s="8">
        <f t="shared" si="1"/>
        <v>5</v>
      </c>
      <c r="H13309" s="14">
        <f t="shared" si="2"/>
        <v>8</v>
      </c>
      <c r="I13309" s="15">
        <f t="shared" si="3"/>
        <v>13</v>
      </c>
    </row>
    <row r="13310">
      <c r="A13310" s="8" t="str">
        <f>IFERROR(__xludf.DUMMYFUNCTION("IF('(INGESTA)Datos_consumo_datadis'!A13310&lt;&gt;"""",SPLIT('(INGESTA)Datos_consumo_datadis'!A:A,"",""),"""")"),"ES0031408323131005HX0F")</f>
        <v>ES0031408323131005HX0F</v>
      </c>
      <c r="B13310" s="12">
        <f>IFERROR(__xludf.DUMMYFUNCTION("""COMPUTED_VALUE"""),45420.0)</f>
        <v>45420</v>
      </c>
      <c r="C13310" s="13">
        <f>IFERROR(__xludf.DUMMYFUNCTION("""COMPUTED_VALUE"""),0.5833333333333334)</f>
        <v>0.5833333333</v>
      </c>
      <c r="D13310" s="8">
        <f>IFERROR(__xludf.DUMMYFUNCTION("""COMPUTED_VALUE"""),0.312)</f>
        <v>0.312</v>
      </c>
      <c r="E13310" s="8" t="str">
        <f>IFERROR(__xludf.DUMMYFUNCTION("""COMPUTED_VALUE"""),"Real")</f>
        <v>Real</v>
      </c>
      <c r="G13310" s="8">
        <f t="shared" si="1"/>
        <v>5</v>
      </c>
      <c r="H13310" s="14">
        <f t="shared" si="2"/>
        <v>8</v>
      </c>
      <c r="I13310" s="15">
        <f t="shared" si="3"/>
        <v>14</v>
      </c>
    </row>
    <row r="13311">
      <c r="A13311" s="8" t="str">
        <f>IFERROR(__xludf.DUMMYFUNCTION("IF('(INGESTA)Datos_consumo_datadis'!A13311&lt;&gt;"""",SPLIT('(INGESTA)Datos_consumo_datadis'!A:A,"",""),"""")"),"ES0031408323131005HX0F")</f>
        <v>ES0031408323131005HX0F</v>
      </c>
      <c r="B13311" s="12">
        <f>IFERROR(__xludf.DUMMYFUNCTION("""COMPUTED_VALUE"""),45420.0)</f>
        <v>45420</v>
      </c>
      <c r="C13311" s="13">
        <f>IFERROR(__xludf.DUMMYFUNCTION("""COMPUTED_VALUE"""),0.625)</f>
        <v>0.625</v>
      </c>
      <c r="D13311" s="8">
        <f>IFERROR(__xludf.DUMMYFUNCTION("""COMPUTED_VALUE"""),0.066)</f>
        <v>0.066</v>
      </c>
      <c r="E13311" s="8" t="str">
        <f>IFERROR(__xludf.DUMMYFUNCTION("""COMPUTED_VALUE"""),"Real")</f>
        <v>Real</v>
      </c>
      <c r="G13311" s="8">
        <f t="shared" si="1"/>
        <v>5</v>
      </c>
      <c r="H13311" s="14">
        <f t="shared" si="2"/>
        <v>8</v>
      </c>
      <c r="I13311" s="15">
        <f t="shared" si="3"/>
        <v>15</v>
      </c>
    </row>
    <row r="13312">
      <c r="A13312" s="8" t="str">
        <f>IFERROR(__xludf.DUMMYFUNCTION("IF('(INGESTA)Datos_consumo_datadis'!A13312&lt;&gt;"""",SPLIT('(INGESTA)Datos_consumo_datadis'!A:A,"",""),"""")"),"ES0031408323131005HX0F")</f>
        <v>ES0031408323131005HX0F</v>
      </c>
      <c r="B13312" s="12">
        <f>IFERROR(__xludf.DUMMYFUNCTION("""COMPUTED_VALUE"""),45420.0)</f>
        <v>45420</v>
      </c>
      <c r="C13312" s="13">
        <f>IFERROR(__xludf.DUMMYFUNCTION("""COMPUTED_VALUE"""),0.6666666666666666)</f>
        <v>0.6666666667</v>
      </c>
      <c r="D13312" s="8">
        <f>IFERROR(__xludf.DUMMYFUNCTION("""COMPUTED_VALUE"""),1.062)</f>
        <v>1.062</v>
      </c>
      <c r="E13312" s="8" t="str">
        <f>IFERROR(__xludf.DUMMYFUNCTION("""COMPUTED_VALUE"""),"Real")</f>
        <v>Real</v>
      </c>
      <c r="G13312" s="8">
        <f t="shared" si="1"/>
        <v>5</v>
      </c>
      <c r="H13312" s="14">
        <f t="shared" si="2"/>
        <v>8</v>
      </c>
      <c r="I13312" s="15">
        <f t="shared" si="3"/>
        <v>16</v>
      </c>
    </row>
    <row r="13313">
      <c r="A13313" s="8" t="str">
        <f>IFERROR(__xludf.DUMMYFUNCTION("IF('(INGESTA)Datos_consumo_datadis'!A13313&lt;&gt;"""",SPLIT('(INGESTA)Datos_consumo_datadis'!A:A,"",""),"""")"),"ES0031408323131005HX0F")</f>
        <v>ES0031408323131005HX0F</v>
      </c>
      <c r="B13313" s="12">
        <f>IFERROR(__xludf.DUMMYFUNCTION("""COMPUTED_VALUE"""),45420.0)</f>
        <v>45420</v>
      </c>
      <c r="C13313" s="13">
        <f>IFERROR(__xludf.DUMMYFUNCTION("""COMPUTED_VALUE"""),0.7083333333333334)</f>
        <v>0.7083333333</v>
      </c>
      <c r="D13313" s="8">
        <f>IFERROR(__xludf.DUMMYFUNCTION("""COMPUTED_VALUE"""),0.135)</f>
        <v>0.135</v>
      </c>
      <c r="E13313" s="8" t="str">
        <f>IFERROR(__xludf.DUMMYFUNCTION("""COMPUTED_VALUE"""),"Real")</f>
        <v>Real</v>
      </c>
      <c r="G13313" s="8">
        <f t="shared" si="1"/>
        <v>5</v>
      </c>
      <c r="H13313" s="14">
        <f t="shared" si="2"/>
        <v>8</v>
      </c>
      <c r="I13313" s="15">
        <f t="shared" si="3"/>
        <v>17</v>
      </c>
    </row>
    <row r="13314">
      <c r="A13314" s="8" t="str">
        <f>IFERROR(__xludf.DUMMYFUNCTION("IF('(INGESTA)Datos_consumo_datadis'!A13314&lt;&gt;"""",SPLIT('(INGESTA)Datos_consumo_datadis'!A:A,"",""),"""")"),"ES0031408323131005HX0F")</f>
        <v>ES0031408323131005HX0F</v>
      </c>
      <c r="B13314" s="12">
        <f>IFERROR(__xludf.DUMMYFUNCTION("""COMPUTED_VALUE"""),45420.0)</f>
        <v>45420</v>
      </c>
      <c r="C13314" s="13">
        <f>IFERROR(__xludf.DUMMYFUNCTION("""COMPUTED_VALUE"""),0.75)</f>
        <v>0.75</v>
      </c>
      <c r="D13314" s="8">
        <f>IFERROR(__xludf.DUMMYFUNCTION("""COMPUTED_VALUE"""),0.076)</f>
        <v>0.076</v>
      </c>
      <c r="E13314" s="8" t="str">
        <f>IFERROR(__xludf.DUMMYFUNCTION("""COMPUTED_VALUE"""),"Real")</f>
        <v>Real</v>
      </c>
      <c r="G13314" s="8">
        <f t="shared" si="1"/>
        <v>5</v>
      </c>
      <c r="H13314" s="14">
        <f t="shared" si="2"/>
        <v>8</v>
      </c>
      <c r="I13314" s="15">
        <f t="shared" si="3"/>
        <v>18</v>
      </c>
    </row>
    <row r="13315">
      <c r="A13315" s="8" t="str">
        <f>IFERROR(__xludf.DUMMYFUNCTION("IF('(INGESTA)Datos_consumo_datadis'!A13315&lt;&gt;"""",SPLIT('(INGESTA)Datos_consumo_datadis'!A:A,"",""),"""")"),"ES0031408323131005HX0F")</f>
        <v>ES0031408323131005HX0F</v>
      </c>
      <c r="B13315" s="12">
        <f>IFERROR(__xludf.DUMMYFUNCTION("""COMPUTED_VALUE"""),45420.0)</f>
        <v>45420</v>
      </c>
      <c r="C13315" s="13">
        <f>IFERROR(__xludf.DUMMYFUNCTION("""COMPUTED_VALUE"""),0.7916666666666666)</f>
        <v>0.7916666667</v>
      </c>
      <c r="D13315" s="8">
        <f>IFERROR(__xludf.DUMMYFUNCTION("""COMPUTED_VALUE"""),0.288)</f>
        <v>0.288</v>
      </c>
      <c r="E13315" s="8" t="str">
        <f>IFERROR(__xludf.DUMMYFUNCTION("""COMPUTED_VALUE"""),"Real")</f>
        <v>Real</v>
      </c>
      <c r="G13315" s="8">
        <f t="shared" si="1"/>
        <v>5</v>
      </c>
      <c r="H13315" s="14">
        <f t="shared" si="2"/>
        <v>8</v>
      </c>
      <c r="I13315" s="15">
        <f t="shared" si="3"/>
        <v>19</v>
      </c>
    </row>
    <row r="13316">
      <c r="A13316" s="8" t="str">
        <f>IFERROR(__xludf.DUMMYFUNCTION("IF('(INGESTA)Datos_consumo_datadis'!A13316&lt;&gt;"""",SPLIT('(INGESTA)Datos_consumo_datadis'!A:A,"",""),"""")"),"ES0031408323131005HX0F")</f>
        <v>ES0031408323131005HX0F</v>
      </c>
      <c r="B13316" s="12">
        <f>IFERROR(__xludf.DUMMYFUNCTION("""COMPUTED_VALUE"""),45420.0)</f>
        <v>45420</v>
      </c>
      <c r="C13316" s="13">
        <f>IFERROR(__xludf.DUMMYFUNCTION("""COMPUTED_VALUE"""),0.8333333333333334)</f>
        <v>0.8333333333</v>
      </c>
      <c r="D13316" s="8">
        <f>IFERROR(__xludf.DUMMYFUNCTION("""COMPUTED_VALUE"""),1.249)</f>
        <v>1.249</v>
      </c>
      <c r="E13316" s="8" t="str">
        <f>IFERROR(__xludf.DUMMYFUNCTION("""COMPUTED_VALUE"""),"Real")</f>
        <v>Real</v>
      </c>
      <c r="G13316" s="8">
        <f t="shared" si="1"/>
        <v>5</v>
      </c>
      <c r="H13316" s="14">
        <f t="shared" si="2"/>
        <v>8</v>
      </c>
      <c r="I13316" s="15">
        <f t="shared" si="3"/>
        <v>20</v>
      </c>
    </row>
    <row r="13317">
      <c r="A13317" s="8" t="str">
        <f>IFERROR(__xludf.DUMMYFUNCTION("IF('(INGESTA)Datos_consumo_datadis'!A13317&lt;&gt;"""",SPLIT('(INGESTA)Datos_consumo_datadis'!A:A,"",""),"""")"),"ES0031408323131005HX0F")</f>
        <v>ES0031408323131005HX0F</v>
      </c>
      <c r="B13317" s="12">
        <f>IFERROR(__xludf.DUMMYFUNCTION("""COMPUTED_VALUE"""),45420.0)</f>
        <v>45420</v>
      </c>
      <c r="C13317" s="13">
        <f>IFERROR(__xludf.DUMMYFUNCTION("""COMPUTED_VALUE"""),0.875)</f>
        <v>0.875</v>
      </c>
      <c r="D13317" s="8">
        <f>IFERROR(__xludf.DUMMYFUNCTION("""COMPUTED_VALUE"""),0.855)</f>
        <v>0.855</v>
      </c>
      <c r="E13317" s="8" t="str">
        <f>IFERROR(__xludf.DUMMYFUNCTION("""COMPUTED_VALUE"""),"Real")</f>
        <v>Real</v>
      </c>
      <c r="G13317" s="8">
        <f t="shared" si="1"/>
        <v>5</v>
      </c>
      <c r="H13317" s="14">
        <f t="shared" si="2"/>
        <v>8</v>
      </c>
      <c r="I13317" s="15">
        <f t="shared" si="3"/>
        <v>21</v>
      </c>
    </row>
    <row r="13318">
      <c r="A13318" s="8" t="str">
        <f>IFERROR(__xludf.DUMMYFUNCTION("IF('(INGESTA)Datos_consumo_datadis'!A13318&lt;&gt;"""",SPLIT('(INGESTA)Datos_consumo_datadis'!A:A,"",""),"""")"),"ES0031408323131005HX0F")</f>
        <v>ES0031408323131005HX0F</v>
      </c>
      <c r="B13318" s="12">
        <f>IFERROR(__xludf.DUMMYFUNCTION("""COMPUTED_VALUE"""),45420.0)</f>
        <v>45420</v>
      </c>
      <c r="C13318" s="13">
        <f>IFERROR(__xludf.DUMMYFUNCTION("""COMPUTED_VALUE"""),0.9166666666666666)</f>
        <v>0.9166666667</v>
      </c>
      <c r="D13318" s="8">
        <f>IFERROR(__xludf.DUMMYFUNCTION("""COMPUTED_VALUE"""),1.009)</f>
        <v>1.009</v>
      </c>
      <c r="E13318" s="8" t="str">
        <f>IFERROR(__xludf.DUMMYFUNCTION("""COMPUTED_VALUE"""),"Real")</f>
        <v>Real</v>
      </c>
      <c r="G13318" s="8">
        <f t="shared" si="1"/>
        <v>5</v>
      </c>
      <c r="H13318" s="14">
        <f t="shared" si="2"/>
        <v>8</v>
      </c>
      <c r="I13318" s="15">
        <f t="shared" si="3"/>
        <v>22</v>
      </c>
    </row>
    <row r="13319">
      <c r="A13319" s="8" t="str">
        <f>IFERROR(__xludf.DUMMYFUNCTION("IF('(INGESTA)Datos_consumo_datadis'!A13319&lt;&gt;"""",SPLIT('(INGESTA)Datos_consumo_datadis'!A:A,"",""),"""")"),"ES0031408323131005HX0F")</f>
        <v>ES0031408323131005HX0F</v>
      </c>
      <c r="B13319" s="12">
        <f>IFERROR(__xludf.DUMMYFUNCTION("""COMPUTED_VALUE"""),45420.0)</f>
        <v>45420</v>
      </c>
      <c r="C13319" s="13">
        <f>IFERROR(__xludf.DUMMYFUNCTION("""COMPUTED_VALUE"""),0.9583333333333334)</f>
        <v>0.9583333333</v>
      </c>
      <c r="D13319" s="8">
        <f>IFERROR(__xludf.DUMMYFUNCTION("""COMPUTED_VALUE"""),0.819)</f>
        <v>0.819</v>
      </c>
      <c r="E13319" s="8" t="str">
        <f>IFERROR(__xludf.DUMMYFUNCTION("""COMPUTED_VALUE"""),"Real")</f>
        <v>Real</v>
      </c>
      <c r="G13319" s="8">
        <f t="shared" si="1"/>
        <v>5</v>
      </c>
      <c r="H13319" s="14">
        <f t="shared" si="2"/>
        <v>8</v>
      </c>
      <c r="I13319" s="15">
        <f t="shared" si="3"/>
        <v>23</v>
      </c>
    </row>
    <row r="13320">
      <c r="A13320" s="8" t="str">
        <f>IFERROR(__xludf.DUMMYFUNCTION("IF('(INGESTA)Datos_consumo_datadis'!A13320&lt;&gt;"""",SPLIT('(INGESTA)Datos_consumo_datadis'!A:A,"",""),"""")"),"ES0031408323131005HX0F")</f>
        <v>ES0031408323131005HX0F</v>
      </c>
      <c r="B13320" s="12">
        <f>IFERROR(__xludf.DUMMYFUNCTION("""COMPUTED_VALUE"""),45420.0)</f>
        <v>45420</v>
      </c>
      <c r="C13320" s="16">
        <f>IFERROR(__xludf.DUMMYFUNCTION("""COMPUTED_VALUE"""),1.0)</f>
        <v>1</v>
      </c>
      <c r="D13320" s="8">
        <f>IFERROR(__xludf.DUMMYFUNCTION("""COMPUTED_VALUE"""),0.241)</f>
        <v>0.241</v>
      </c>
      <c r="E13320" s="8" t="str">
        <f>IFERROR(__xludf.DUMMYFUNCTION("""COMPUTED_VALUE"""),"Real")</f>
        <v>Real</v>
      </c>
      <c r="G13320" s="8">
        <f t="shared" si="1"/>
        <v>5</v>
      </c>
      <c r="H13320" s="14">
        <f t="shared" si="2"/>
        <v>8</v>
      </c>
      <c r="I13320" s="15">
        <f t="shared" si="3"/>
        <v>0</v>
      </c>
    </row>
    <row r="13321">
      <c r="A13321" s="8" t="str">
        <f>IFERROR(__xludf.DUMMYFUNCTION("IF('(INGESTA)Datos_consumo_datadis'!A13321&lt;&gt;"""",SPLIT('(INGESTA)Datos_consumo_datadis'!A:A,"",""),"""")"),"ES0031408323131005HX0F")</f>
        <v>ES0031408323131005HX0F</v>
      </c>
      <c r="B13321" s="12">
        <f>IFERROR(__xludf.DUMMYFUNCTION("""COMPUTED_VALUE"""),45421.0)</f>
        <v>45421</v>
      </c>
      <c r="C13321" s="13">
        <f>IFERROR(__xludf.DUMMYFUNCTION("""COMPUTED_VALUE"""),0.041666666666666664)</f>
        <v>0.04166666667</v>
      </c>
      <c r="D13321" s="8">
        <f>IFERROR(__xludf.DUMMYFUNCTION("""COMPUTED_VALUE"""),0.085)</f>
        <v>0.085</v>
      </c>
      <c r="E13321" s="8" t="str">
        <f>IFERROR(__xludf.DUMMYFUNCTION("""COMPUTED_VALUE"""),"Real")</f>
        <v>Real</v>
      </c>
      <c r="G13321" s="8">
        <f t="shared" si="1"/>
        <v>5</v>
      </c>
      <c r="H13321" s="14">
        <f t="shared" si="2"/>
        <v>9</v>
      </c>
      <c r="I13321" s="15">
        <f t="shared" si="3"/>
        <v>1</v>
      </c>
    </row>
    <row r="13322">
      <c r="A13322" s="8" t="str">
        <f>IFERROR(__xludf.DUMMYFUNCTION("IF('(INGESTA)Datos_consumo_datadis'!A13322&lt;&gt;"""",SPLIT('(INGESTA)Datos_consumo_datadis'!A:A,"",""),"""")"),"ES0031408323131005HX0F")</f>
        <v>ES0031408323131005HX0F</v>
      </c>
      <c r="B13322" s="12">
        <f>IFERROR(__xludf.DUMMYFUNCTION("""COMPUTED_VALUE"""),45421.0)</f>
        <v>45421</v>
      </c>
      <c r="C13322" s="13">
        <f>IFERROR(__xludf.DUMMYFUNCTION("""COMPUTED_VALUE"""),0.08333333333333333)</f>
        <v>0.08333333333</v>
      </c>
      <c r="D13322" s="8">
        <f>IFERROR(__xludf.DUMMYFUNCTION("""COMPUTED_VALUE"""),0.334)</f>
        <v>0.334</v>
      </c>
      <c r="E13322" s="8" t="str">
        <f>IFERROR(__xludf.DUMMYFUNCTION("""COMPUTED_VALUE"""),"Real")</f>
        <v>Real</v>
      </c>
      <c r="G13322" s="8">
        <f t="shared" si="1"/>
        <v>5</v>
      </c>
      <c r="H13322" s="14">
        <f t="shared" si="2"/>
        <v>9</v>
      </c>
      <c r="I13322" s="15">
        <f t="shared" si="3"/>
        <v>2</v>
      </c>
    </row>
    <row r="13323">
      <c r="A13323" s="8" t="str">
        <f>IFERROR(__xludf.DUMMYFUNCTION("IF('(INGESTA)Datos_consumo_datadis'!A13323&lt;&gt;"""",SPLIT('(INGESTA)Datos_consumo_datadis'!A:A,"",""),"""")"),"ES0031408323131005HX0F")</f>
        <v>ES0031408323131005HX0F</v>
      </c>
      <c r="B13323" s="12">
        <f>IFERROR(__xludf.DUMMYFUNCTION("""COMPUTED_VALUE"""),45421.0)</f>
        <v>45421</v>
      </c>
      <c r="C13323" s="13">
        <f>IFERROR(__xludf.DUMMYFUNCTION("""COMPUTED_VALUE"""),0.125)</f>
        <v>0.125</v>
      </c>
      <c r="D13323" s="8">
        <f>IFERROR(__xludf.DUMMYFUNCTION("""COMPUTED_VALUE"""),0.051)</f>
        <v>0.051</v>
      </c>
      <c r="E13323" s="8" t="str">
        <f>IFERROR(__xludf.DUMMYFUNCTION("""COMPUTED_VALUE"""),"Real")</f>
        <v>Real</v>
      </c>
      <c r="G13323" s="8">
        <f t="shared" si="1"/>
        <v>5</v>
      </c>
      <c r="H13323" s="14">
        <f t="shared" si="2"/>
        <v>9</v>
      </c>
      <c r="I13323" s="15">
        <f t="shared" si="3"/>
        <v>3</v>
      </c>
    </row>
    <row r="13324">
      <c r="A13324" s="8" t="str">
        <f>IFERROR(__xludf.DUMMYFUNCTION("IF('(INGESTA)Datos_consumo_datadis'!A13324&lt;&gt;"""",SPLIT('(INGESTA)Datos_consumo_datadis'!A:A,"",""),"""")"),"ES0031408323131005HX0F")</f>
        <v>ES0031408323131005HX0F</v>
      </c>
      <c r="B13324" s="12">
        <f>IFERROR(__xludf.DUMMYFUNCTION("""COMPUTED_VALUE"""),45421.0)</f>
        <v>45421</v>
      </c>
      <c r="C13324" s="13">
        <f>IFERROR(__xludf.DUMMYFUNCTION("""COMPUTED_VALUE"""),0.16666666666666666)</f>
        <v>0.1666666667</v>
      </c>
      <c r="D13324" s="8">
        <f>IFERROR(__xludf.DUMMYFUNCTION("""COMPUTED_VALUE"""),0.074)</f>
        <v>0.074</v>
      </c>
      <c r="E13324" s="8" t="str">
        <f>IFERROR(__xludf.DUMMYFUNCTION("""COMPUTED_VALUE"""),"Real")</f>
        <v>Real</v>
      </c>
      <c r="G13324" s="8">
        <f t="shared" si="1"/>
        <v>5</v>
      </c>
      <c r="H13324" s="14">
        <f t="shared" si="2"/>
        <v>9</v>
      </c>
      <c r="I13324" s="15">
        <f t="shared" si="3"/>
        <v>4</v>
      </c>
    </row>
    <row r="13325">
      <c r="A13325" s="8" t="str">
        <f>IFERROR(__xludf.DUMMYFUNCTION("IF('(INGESTA)Datos_consumo_datadis'!A13325&lt;&gt;"""",SPLIT('(INGESTA)Datos_consumo_datadis'!A:A,"",""),"""")"),"ES0031408323131005HX0F")</f>
        <v>ES0031408323131005HX0F</v>
      </c>
      <c r="B13325" s="12">
        <f>IFERROR(__xludf.DUMMYFUNCTION("""COMPUTED_VALUE"""),45421.0)</f>
        <v>45421</v>
      </c>
      <c r="C13325" s="13">
        <f>IFERROR(__xludf.DUMMYFUNCTION("""COMPUTED_VALUE"""),0.20833333333333334)</f>
        <v>0.2083333333</v>
      </c>
      <c r="D13325" s="8">
        <f>IFERROR(__xludf.DUMMYFUNCTION("""COMPUTED_VALUE"""),0.034)</f>
        <v>0.034</v>
      </c>
      <c r="E13325" s="8" t="str">
        <f>IFERROR(__xludf.DUMMYFUNCTION("""COMPUTED_VALUE"""),"Real")</f>
        <v>Real</v>
      </c>
      <c r="G13325" s="8">
        <f t="shared" si="1"/>
        <v>5</v>
      </c>
      <c r="H13325" s="14">
        <f t="shared" si="2"/>
        <v>9</v>
      </c>
      <c r="I13325" s="15">
        <f t="shared" si="3"/>
        <v>5</v>
      </c>
    </row>
    <row r="13326">
      <c r="A13326" s="8" t="str">
        <f>IFERROR(__xludf.DUMMYFUNCTION("IF('(INGESTA)Datos_consumo_datadis'!A13326&lt;&gt;"""",SPLIT('(INGESTA)Datos_consumo_datadis'!A:A,"",""),"""")"),"ES0031408323131005HX0F")</f>
        <v>ES0031408323131005HX0F</v>
      </c>
      <c r="B13326" s="12">
        <f>IFERROR(__xludf.DUMMYFUNCTION("""COMPUTED_VALUE"""),45421.0)</f>
        <v>45421</v>
      </c>
      <c r="C13326" s="13">
        <f>IFERROR(__xludf.DUMMYFUNCTION("""COMPUTED_VALUE"""),0.25)</f>
        <v>0.25</v>
      </c>
      <c r="D13326" s="8">
        <f>IFERROR(__xludf.DUMMYFUNCTION("""COMPUTED_VALUE"""),0.069)</f>
        <v>0.069</v>
      </c>
      <c r="E13326" s="8" t="str">
        <f>IFERROR(__xludf.DUMMYFUNCTION("""COMPUTED_VALUE"""),"Real")</f>
        <v>Real</v>
      </c>
      <c r="G13326" s="8">
        <f t="shared" si="1"/>
        <v>5</v>
      </c>
      <c r="H13326" s="14">
        <f t="shared" si="2"/>
        <v>9</v>
      </c>
      <c r="I13326" s="15">
        <f t="shared" si="3"/>
        <v>6</v>
      </c>
    </row>
    <row r="13327">
      <c r="A13327" s="8" t="str">
        <f>IFERROR(__xludf.DUMMYFUNCTION("IF('(INGESTA)Datos_consumo_datadis'!A13327&lt;&gt;"""",SPLIT('(INGESTA)Datos_consumo_datadis'!A:A,"",""),"""")"),"ES0031408323131005HX0F")</f>
        <v>ES0031408323131005HX0F</v>
      </c>
      <c r="B13327" s="12">
        <f>IFERROR(__xludf.DUMMYFUNCTION("""COMPUTED_VALUE"""),45421.0)</f>
        <v>45421</v>
      </c>
      <c r="C13327" s="13">
        <f>IFERROR(__xludf.DUMMYFUNCTION("""COMPUTED_VALUE"""),0.2916666666666667)</f>
        <v>0.2916666667</v>
      </c>
      <c r="D13327" s="8">
        <f>IFERROR(__xludf.DUMMYFUNCTION("""COMPUTED_VALUE"""),1.508)</f>
        <v>1.508</v>
      </c>
      <c r="E13327" s="8" t="str">
        <f>IFERROR(__xludf.DUMMYFUNCTION("""COMPUTED_VALUE"""),"Real")</f>
        <v>Real</v>
      </c>
      <c r="G13327" s="8">
        <f t="shared" si="1"/>
        <v>5</v>
      </c>
      <c r="H13327" s="14">
        <f t="shared" si="2"/>
        <v>9</v>
      </c>
      <c r="I13327" s="15">
        <f t="shared" si="3"/>
        <v>7</v>
      </c>
    </row>
    <row r="13328">
      <c r="A13328" s="8" t="str">
        <f>IFERROR(__xludf.DUMMYFUNCTION("IF('(INGESTA)Datos_consumo_datadis'!A13328&lt;&gt;"""",SPLIT('(INGESTA)Datos_consumo_datadis'!A:A,"",""),"""")"),"ES0031408323131005HX0F")</f>
        <v>ES0031408323131005HX0F</v>
      </c>
      <c r="B13328" s="12">
        <f>IFERROR(__xludf.DUMMYFUNCTION("""COMPUTED_VALUE"""),45421.0)</f>
        <v>45421</v>
      </c>
      <c r="C13328" s="13">
        <f>IFERROR(__xludf.DUMMYFUNCTION("""COMPUTED_VALUE"""),0.3333333333333333)</f>
        <v>0.3333333333</v>
      </c>
      <c r="D13328" s="8">
        <f>IFERROR(__xludf.DUMMYFUNCTION("""COMPUTED_VALUE"""),0.52)</f>
        <v>0.52</v>
      </c>
      <c r="E13328" s="8" t="str">
        <f>IFERROR(__xludf.DUMMYFUNCTION("""COMPUTED_VALUE"""),"Real")</f>
        <v>Real</v>
      </c>
      <c r="G13328" s="8">
        <f t="shared" si="1"/>
        <v>5</v>
      </c>
      <c r="H13328" s="14">
        <f t="shared" si="2"/>
        <v>9</v>
      </c>
      <c r="I13328" s="15">
        <f t="shared" si="3"/>
        <v>8</v>
      </c>
    </row>
    <row r="13329">
      <c r="A13329" s="8" t="str">
        <f>IFERROR(__xludf.DUMMYFUNCTION("IF('(INGESTA)Datos_consumo_datadis'!A13329&lt;&gt;"""",SPLIT('(INGESTA)Datos_consumo_datadis'!A:A,"",""),"""")"),"ES0031408323131005HX0F")</f>
        <v>ES0031408323131005HX0F</v>
      </c>
      <c r="B13329" s="12">
        <f>IFERROR(__xludf.DUMMYFUNCTION("""COMPUTED_VALUE"""),45421.0)</f>
        <v>45421</v>
      </c>
      <c r="C13329" s="13">
        <f>IFERROR(__xludf.DUMMYFUNCTION("""COMPUTED_VALUE"""),0.375)</f>
        <v>0.375</v>
      </c>
      <c r="D13329" s="8">
        <f>IFERROR(__xludf.DUMMYFUNCTION("""COMPUTED_VALUE"""),0.054)</f>
        <v>0.054</v>
      </c>
      <c r="E13329" s="8" t="str">
        <f>IFERROR(__xludf.DUMMYFUNCTION("""COMPUTED_VALUE"""),"Real")</f>
        <v>Real</v>
      </c>
      <c r="G13329" s="8">
        <f t="shared" si="1"/>
        <v>5</v>
      </c>
      <c r="H13329" s="14">
        <f t="shared" si="2"/>
        <v>9</v>
      </c>
      <c r="I13329" s="15">
        <f t="shared" si="3"/>
        <v>9</v>
      </c>
    </row>
    <row r="13330">
      <c r="A13330" s="8" t="str">
        <f>IFERROR(__xludf.DUMMYFUNCTION("IF('(INGESTA)Datos_consumo_datadis'!A13330&lt;&gt;"""",SPLIT('(INGESTA)Datos_consumo_datadis'!A:A,"",""),"""")"),"ES0031408323131005HX0F")</f>
        <v>ES0031408323131005HX0F</v>
      </c>
      <c r="B13330" s="12">
        <f>IFERROR(__xludf.DUMMYFUNCTION("""COMPUTED_VALUE"""),45421.0)</f>
        <v>45421</v>
      </c>
      <c r="C13330" s="13">
        <f>IFERROR(__xludf.DUMMYFUNCTION("""COMPUTED_VALUE"""),0.4166666666666667)</f>
        <v>0.4166666667</v>
      </c>
      <c r="D13330" s="8">
        <f>IFERROR(__xludf.DUMMYFUNCTION("""COMPUTED_VALUE"""),0.111)</f>
        <v>0.111</v>
      </c>
      <c r="E13330" s="8" t="str">
        <f>IFERROR(__xludf.DUMMYFUNCTION("""COMPUTED_VALUE"""),"Real")</f>
        <v>Real</v>
      </c>
      <c r="G13330" s="8">
        <f t="shared" si="1"/>
        <v>5</v>
      </c>
      <c r="H13330" s="14">
        <f t="shared" si="2"/>
        <v>9</v>
      </c>
      <c r="I13330" s="15">
        <f t="shared" si="3"/>
        <v>10</v>
      </c>
    </row>
    <row r="13331">
      <c r="A13331" s="8" t="str">
        <f>IFERROR(__xludf.DUMMYFUNCTION("IF('(INGESTA)Datos_consumo_datadis'!A13331&lt;&gt;"""",SPLIT('(INGESTA)Datos_consumo_datadis'!A:A,"",""),"""")"),"ES0031408323131005HX0F")</f>
        <v>ES0031408323131005HX0F</v>
      </c>
      <c r="B13331" s="12">
        <f>IFERROR(__xludf.DUMMYFUNCTION("""COMPUTED_VALUE"""),45421.0)</f>
        <v>45421</v>
      </c>
      <c r="C13331" s="13">
        <f>IFERROR(__xludf.DUMMYFUNCTION("""COMPUTED_VALUE"""),0.4583333333333333)</f>
        <v>0.4583333333</v>
      </c>
      <c r="D13331" s="8">
        <f>IFERROR(__xludf.DUMMYFUNCTION("""COMPUTED_VALUE"""),0.115)</f>
        <v>0.115</v>
      </c>
      <c r="E13331" s="8" t="str">
        <f>IFERROR(__xludf.DUMMYFUNCTION("""COMPUTED_VALUE"""),"Real")</f>
        <v>Real</v>
      </c>
      <c r="G13331" s="8">
        <f t="shared" si="1"/>
        <v>5</v>
      </c>
      <c r="H13331" s="14">
        <f t="shared" si="2"/>
        <v>9</v>
      </c>
      <c r="I13331" s="15">
        <f t="shared" si="3"/>
        <v>11</v>
      </c>
    </row>
    <row r="13332">
      <c r="A13332" s="8" t="str">
        <f>IFERROR(__xludf.DUMMYFUNCTION("IF('(INGESTA)Datos_consumo_datadis'!A13332&lt;&gt;"""",SPLIT('(INGESTA)Datos_consumo_datadis'!A:A,"",""),"""")"),"ES0031408323131005HX0F")</f>
        <v>ES0031408323131005HX0F</v>
      </c>
      <c r="B13332" s="12">
        <f>IFERROR(__xludf.DUMMYFUNCTION("""COMPUTED_VALUE"""),45421.0)</f>
        <v>45421</v>
      </c>
      <c r="C13332" s="13">
        <f>IFERROR(__xludf.DUMMYFUNCTION("""COMPUTED_VALUE"""),0.5)</f>
        <v>0.5</v>
      </c>
      <c r="D13332" s="8">
        <f>IFERROR(__xludf.DUMMYFUNCTION("""COMPUTED_VALUE"""),0.059)</f>
        <v>0.059</v>
      </c>
      <c r="E13332" s="8" t="str">
        <f>IFERROR(__xludf.DUMMYFUNCTION("""COMPUTED_VALUE"""),"Real")</f>
        <v>Real</v>
      </c>
      <c r="G13332" s="8">
        <f t="shared" si="1"/>
        <v>5</v>
      </c>
      <c r="H13332" s="14">
        <f t="shared" si="2"/>
        <v>9</v>
      </c>
      <c r="I13332" s="15">
        <f t="shared" si="3"/>
        <v>12</v>
      </c>
    </row>
    <row r="13333">
      <c r="A13333" s="8" t="str">
        <f>IFERROR(__xludf.DUMMYFUNCTION("IF('(INGESTA)Datos_consumo_datadis'!A13333&lt;&gt;"""",SPLIT('(INGESTA)Datos_consumo_datadis'!A:A,"",""),"""")"),"ES0031408323131005HX0F")</f>
        <v>ES0031408323131005HX0F</v>
      </c>
      <c r="B13333" s="12">
        <f>IFERROR(__xludf.DUMMYFUNCTION("""COMPUTED_VALUE"""),45421.0)</f>
        <v>45421</v>
      </c>
      <c r="C13333" s="13">
        <f>IFERROR(__xludf.DUMMYFUNCTION("""COMPUTED_VALUE"""),0.5416666666666666)</f>
        <v>0.5416666667</v>
      </c>
      <c r="D13333" s="8">
        <f>IFERROR(__xludf.DUMMYFUNCTION("""COMPUTED_VALUE"""),0.052)</f>
        <v>0.052</v>
      </c>
      <c r="E13333" s="8" t="str">
        <f>IFERROR(__xludf.DUMMYFUNCTION("""COMPUTED_VALUE"""),"Real")</f>
        <v>Real</v>
      </c>
      <c r="G13333" s="8">
        <f t="shared" si="1"/>
        <v>5</v>
      </c>
      <c r="H13333" s="14">
        <f t="shared" si="2"/>
        <v>9</v>
      </c>
      <c r="I13333" s="15">
        <f t="shared" si="3"/>
        <v>13</v>
      </c>
    </row>
    <row r="13334">
      <c r="A13334" s="8" t="str">
        <f>IFERROR(__xludf.DUMMYFUNCTION("IF('(INGESTA)Datos_consumo_datadis'!A13334&lt;&gt;"""",SPLIT('(INGESTA)Datos_consumo_datadis'!A:A,"",""),"""")"),"ES0031408323131005HX0F")</f>
        <v>ES0031408323131005HX0F</v>
      </c>
      <c r="B13334" s="12">
        <f>IFERROR(__xludf.DUMMYFUNCTION("""COMPUTED_VALUE"""),45421.0)</f>
        <v>45421</v>
      </c>
      <c r="C13334" s="13">
        <f>IFERROR(__xludf.DUMMYFUNCTION("""COMPUTED_VALUE"""),0.5833333333333334)</f>
        <v>0.5833333333</v>
      </c>
      <c r="D13334" s="8">
        <f>IFERROR(__xludf.DUMMYFUNCTION("""COMPUTED_VALUE"""),0.337)</f>
        <v>0.337</v>
      </c>
      <c r="E13334" s="8" t="str">
        <f>IFERROR(__xludf.DUMMYFUNCTION("""COMPUTED_VALUE"""),"Real")</f>
        <v>Real</v>
      </c>
      <c r="G13334" s="8">
        <f t="shared" si="1"/>
        <v>5</v>
      </c>
      <c r="H13334" s="14">
        <f t="shared" si="2"/>
        <v>9</v>
      </c>
      <c r="I13334" s="15">
        <f t="shared" si="3"/>
        <v>14</v>
      </c>
    </row>
    <row r="13335">
      <c r="A13335" s="8" t="str">
        <f>IFERROR(__xludf.DUMMYFUNCTION("IF('(INGESTA)Datos_consumo_datadis'!A13335&lt;&gt;"""",SPLIT('(INGESTA)Datos_consumo_datadis'!A:A,"",""),"""")"),"ES0031408323131005HX0F")</f>
        <v>ES0031408323131005HX0F</v>
      </c>
      <c r="B13335" s="12">
        <f>IFERROR(__xludf.DUMMYFUNCTION("""COMPUTED_VALUE"""),45421.0)</f>
        <v>45421</v>
      </c>
      <c r="C13335" s="13">
        <f>IFERROR(__xludf.DUMMYFUNCTION("""COMPUTED_VALUE"""),0.625)</f>
        <v>0.625</v>
      </c>
      <c r="D13335" s="8">
        <f>IFERROR(__xludf.DUMMYFUNCTION("""COMPUTED_VALUE"""),0.043)</f>
        <v>0.043</v>
      </c>
      <c r="E13335" s="8" t="str">
        <f>IFERROR(__xludf.DUMMYFUNCTION("""COMPUTED_VALUE"""),"Real")</f>
        <v>Real</v>
      </c>
      <c r="G13335" s="8">
        <f t="shared" si="1"/>
        <v>5</v>
      </c>
      <c r="H13335" s="14">
        <f t="shared" si="2"/>
        <v>9</v>
      </c>
      <c r="I13335" s="15">
        <f t="shared" si="3"/>
        <v>15</v>
      </c>
    </row>
    <row r="13336">
      <c r="A13336" s="8" t="str">
        <f>IFERROR(__xludf.DUMMYFUNCTION("IF('(INGESTA)Datos_consumo_datadis'!A13336&lt;&gt;"""",SPLIT('(INGESTA)Datos_consumo_datadis'!A:A,"",""),"""")"),"ES0031408323131005HX0F")</f>
        <v>ES0031408323131005HX0F</v>
      </c>
      <c r="B13336" s="12">
        <f>IFERROR(__xludf.DUMMYFUNCTION("""COMPUTED_VALUE"""),45421.0)</f>
        <v>45421</v>
      </c>
      <c r="C13336" s="13">
        <f>IFERROR(__xludf.DUMMYFUNCTION("""COMPUTED_VALUE"""),0.6666666666666666)</f>
        <v>0.6666666667</v>
      </c>
      <c r="D13336" s="8">
        <f>IFERROR(__xludf.DUMMYFUNCTION("""COMPUTED_VALUE"""),0.073)</f>
        <v>0.073</v>
      </c>
      <c r="E13336" s="8" t="str">
        <f>IFERROR(__xludf.DUMMYFUNCTION("""COMPUTED_VALUE"""),"Real")</f>
        <v>Real</v>
      </c>
      <c r="G13336" s="8">
        <f t="shared" si="1"/>
        <v>5</v>
      </c>
      <c r="H13336" s="14">
        <f t="shared" si="2"/>
        <v>9</v>
      </c>
      <c r="I13336" s="15">
        <f t="shared" si="3"/>
        <v>16</v>
      </c>
    </row>
    <row r="13337">
      <c r="A13337" s="8" t="str">
        <f>IFERROR(__xludf.DUMMYFUNCTION("IF('(INGESTA)Datos_consumo_datadis'!A13337&lt;&gt;"""",SPLIT('(INGESTA)Datos_consumo_datadis'!A:A,"",""),"""")"),"ES0031408323131005HX0F")</f>
        <v>ES0031408323131005HX0F</v>
      </c>
      <c r="B13337" s="12">
        <f>IFERROR(__xludf.DUMMYFUNCTION("""COMPUTED_VALUE"""),45421.0)</f>
        <v>45421</v>
      </c>
      <c r="C13337" s="13">
        <f>IFERROR(__xludf.DUMMYFUNCTION("""COMPUTED_VALUE"""),0.7083333333333334)</f>
        <v>0.7083333333</v>
      </c>
      <c r="D13337" s="8">
        <f>IFERROR(__xludf.DUMMYFUNCTION("""COMPUTED_VALUE"""),0.324)</f>
        <v>0.324</v>
      </c>
      <c r="E13337" s="8" t="str">
        <f>IFERROR(__xludf.DUMMYFUNCTION("""COMPUTED_VALUE"""),"Real")</f>
        <v>Real</v>
      </c>
      <c r="G13337" s="8">
        <f t="shared" si="1"/>
        <v>5</v>
      </c>
      <c r="H13337" s="14">
        <f t="shared" si="2"/>
        <v>9</v>
      </c>
      <c r="I13337" s="15">
        <f t="shared" si="3"/>
        <v>17</v>
      </c>
    </row>
    <row r="13338">
      <c r="A13338" s="8" t="str">
        <f>IFERROR(__xludf.DUMMYFUNCTION("IF('(INGESTA)Datos_consumo_datadis'!A13338&lt;&gt;"""",SPLIT('(INGESTA)Datos_consumo_datadis'!A:A,"",""),"""")"),"ES0031408323131005HX0F")</f>
        <v>ES0031408323131005HX0F</v>
      </c>
      <c r="B13338" s="12">
        <f>IFERROR(__xludf.DUMMYFUNCTION("""COMPUTED_VALUE"""),45421.0)</f>
        <v>45421</v>
      </c>
      <c r="C13338" s="13">
        <f>IFERROR(__xludf.DUMMYFUNCTION("""COMPUTED_VALUE"""),0.75)</f>
        <v>0.75</v>
      </c>
      <c r="D13338" s="8">
        <f>IFERROR(__xludf.DUMMYFUNCTION("""COMPUTED_VALUE"""),0.132)</f>
        <v>0.132</v>
      </c>
      <c r="E13338" s="8" t="str">
        <f>IFERROR(__xludf.DUMMYFUNCTION("""COMPUTED_VALUE"""),"Real")</f>
        <v>Real</v>
      </c>
      <c r="G13338" s="8">
        <f t="shared" si="1"/>
        <v>5</v>
      </c>
      <c r="H13338" s="14">
        <f t="shared" si="2"/>
        <v>9</v>
      </c>
      <c r="I13338" s="15">
        <f t="shared" si="3"/>
        <v>18</v>
      </c>
    </row>
    <row r="13339">
      <c r="A13339" s="8" t="str">
        <f>IFERROR(__xludf.DUMMYFUNCTION("IF('(INGESTA)Datos_consumo_datadis'!A13339&lt;&gt;"""",SPLIT('(INGESTA)Datos_consumo_datadis'!A:A,"",""),"""")"),"ES0031408323131005HX0F")</f>
        <v>ES0031408323131005HX0F</v>
      </c>
      <c r="B13339" s="12">
        <f>IFERROR(__xludf.DUMMYFUNCTION("""COMPUTED_VALUE"""),45421.0)</f>
        <v>45421</v>
      </c>
      <c r="C13339" s="13">
        <f>IFERROR(__xludf.DUMMYFUNCTION("""COMPUTED_VALUE"""),0.7916666666666666)</f>
        <v>0.7916666667</v>
      </c>
      <c r="D13339" s="8">
        <f>IFERROR(__xludf.DUMMYFUNCTION("""COMPUTED_VALUE"""),0.285)</f>
        <v>0.285</v>
      </c>
      <c r="E13339" s="8" t="str">
        <f>IFERROR(__xludf.DUMMYFUNCTION("""COMPUTED_VALUE"""),"Real")</f>
        <v>Real</v>
      </c>
      <c r="G13339" s="8">
        <f t="shared" si="1"/>
        <v>5</v>
      </c>
      <c r="H13339" s="14">
        <f t="shared" si="2"/>
        <v>9</v>
      </c>
      <c r="I13339" s="15">
        <f t="shared" si="3"/>
        <v>19</v>
      </c>
    </row>
    <row r="13340">
      <c r="A13340" s="8" t="str">
        <f>IFERROR(__xludf.DUMMYFUNCTION("IF('(INGESTA)Datos_consumo_datadis'!A13340&lt;&gt;"""",SPLIT('(INGESTA)Datos_consumo_datadis'!A:A,"",""),"""")"),"ES0031408323131005HX0F")</f>
        <v>ES0031408323131005HX0F</v>
      </c>
      <c r="B13340" s="12">
        <f>IFERROR(__xludf.DUMMYFUNCTION("""COMPUTED_VALUE"""),45421.0)</f>
        <v>45421</v>
      </c>
      <c r="C13340" s="13">
        <f>IFERROR(__xludf.DUMMYFUNCTION("""COMPUTED_VALUE"""),0.8333333333333334)</f>
        <v>0.8333333333</v>
      </c>
      <c r="D13340" s="8">
        <f>IFERROR(__xludf.DUMMYFUNCTION("""COMPUTED_VALUE"""),0.378)</f>
        <v>0.378</v>
      </c>
      <c r="E13340" s="8" t="str">
        <f>IFERROR(__xludf.DUMMYFUNCTION("""COMPUTED_VALUE"""),"Real")</f>
        <v>Real</v>
      </c>
      <c r="G13340" s="8">
        <f t="shared" si="1"/>
        <v>5</v>
      </c>
      <c r="H13340" s="14">
        <f t="shared" si="2"/>
        <v>9</v>
      </c>
      <c r="I13340" s="15">
        <f t="shared" si="3"/>
        <v>20</v>
      </c>
    </row>
    <row r="13341">
      <c r="A13341" s="8" t="str">
        <f>IFERROR(__xludf.DUMMYFUNCTION("IF('(INGESTA)Datos_consumo_datadis'!A13341&lt;&gt;"""",SPLIT('(INGESTA)Datos_consumo_datadis'!A:A,"",""),"""")"),"ES0031408323131005HX0F")</f>
        <v>ES0031408323131005HX0F</v>
      </c>
      <c r="B13341" s="12">
        <f>IFERROR(__xludf.DUMMYFUNCTION("""COMPUTED_VALUE"""),45421.0)</f>
        <v>45421</v>
      </c>
      <c r="C13341" s="13">
        <f>IFERROR(__xludf.DUMMYFUNCTION("""COMPUTED_VALUE"""),0.875)</f>
        <v>0.875</v>
      </c>
      <c r="D13341" s="8">
        <f>IFERROR(__xludf.DUMMYFUNCTION("""COMPUTED_VALUE"""),0.364)</f>
        <v>0.364</v>
      </c>
      <c r="E13341" s="8" t="str">
        <f>IFERROR(__xludf.DUMMYFUNCTION("""COMPUTED_VALUE"""),"Real")</f>
        <v>Real</v>
      </c>
      <c r="G13341" s="8">
        <f t="shared" si="1"/>
        <v>5</v>
      </c>
      <c r="H13341" s="14">
        <f t="shared" si="2"/>
        <v>9</v>
      </c>
      <c r="I13341" s="15">
        <f t="shared" si="3"/>
        <v>21</v>
      </c>
    </row>
    <row r="13342">
      <c r="A13342" s="8" t="str">
        <f>IFERROR(__xludf.DUMMYFUNCTION("IF('(INGESTA)Datos_consumo_datadis'!A13342&lt;&gt;"""",SPLIT('(INGESTA)Datos_consumo_datadis'!A:A,"",""),"""")"),"ES0031408323131005HX0F")</f>
        <v>ES0031408323131005HX0F</v>
      </c>
      <c r="B13342" s="12">
        <f>IFERROR(__xludf.DUMMYFUNCTION("""COMPUTED_VALUE"""),45421.0)</f>
        <v>45421</v>
      </c>
      <c r="C13342" s="13">
        <f>IFERROR(__xludf.DUMMYFUNCTION("""COMPUTED_VALUE"""),0.9166666666666666)</f>
        <v>0.9166666667</v>
      </c>
      <c r="D13342" s="8">
        <f>IFERROR(__xludf.DUMMYFUNCTION("""COMPUTED_VALUE"""),0.532)</f>
        <v>0.532</v>
      </c>
      <c r="E13342" s="8" t="str">
        <f>IFERROR(__xludf.DUMMYFUNCTION("""COMPUTED_VALUE"""),"Real")</f>
        <v>Real</v>
      </c>
      <c r="G13342" s="8">
        <f t="shared" si="1"/>
        <v>5</v>
      </c>
      <c r="H13342" s="14">
        <f t="shared" si="2"/>
        <v>9</v>
      </c>
      <c r="I13342" s="15">
        <f t="shared" si="3"/>
        <v>22</v>
      </c>
    </row>
    <row r="13343">
      <c r="A13343" s="8" t="str">
        <f>IFERROR(__xludf.DUMMYFUNCTION("IF('(INGESTA)Datos_consumo_datadis'!A13343&lt;&gt;"""",SPLIT('(INGESTA)Datos_consumo_datadis'!A:A,"",""),"""")"),"ES0031408323131005HX0F")</f>
        <v>ES0031408323131005HX0F</v>
      </c>
      <c r="B13343" s="12">
        <f>IFERROR(__xludf.DUMMYFUNCTION("""COMPUTED_VALUE"""),45421.0)</f>
        <v>45421</v>
      </c>
      <c r="C13343" s="13">
        <f>IFERROR(__xludf.DUMMYFUNCTION("""COMPUTED_VALUE"""),0.9583333333333334)</f>
        <v>0.9583333333</v>
      </c>
      <c r="D13343" s="8">
        <f>IFERROR(__xludf.DUMMYFUNCTION("""COMPUTED_VALUE"""),1.451)</f>
        <v>1.451</v>
      </c>
      <c r="E13343" s="8" t="str">
        <f>IFERROR(__xludf.DUMMYFUNCTION("""COMPUTED_VALUE"""),"Real")</f>
        <v>Real</v>
      </c>
      <c r="G13343" s="8">
        <f t="shared" si="1"/>
        <v>5</v>
      </c>
      <c r="H13343" s="14">
        <f t="shared" si="2"/>
        <v>9</v>
      </c>
      <c r="I13343" s="15">
        <f t="shared" si="3"/>
        <v>23</v>
      </c>
    </row>
    <row r="13344">
      <c r="A13344" s="8" t="str">
        <f>IFERROR(__xludf.DUMMYFUNCTION("IF('(INGESTA)Datos_consumo_datadis'!A13344&lt;&gt;"""",SPLIT('(INGESTA)Datos_consumo_datadis'!A:A,"",""),"""")"),"ES0031408323131005HX0F")</f>
        <v>ES0031408323131005HX0F</v>
      </c>
      <c r="B13344" s="12">
        <f>IFERROR(__xludf.DUMMYFUNCTION("""COMPUTED_VALUE"""),45421.0)</f>
        <v>45421</v>
      </c>
      <c r="C13344" s="16">
        <f>IFERROR(__xludf.DUMMYFUNCTION("""COMPUTED_VALUE"""),1.0)</f>
        <v>1</v>
      </c>
      <c r="D13344" s="8">
        <f>IFERROR(__xludf.DUMMYFUNCTION("""COMPUTED_VALUE"""),0.088)</f>
        <v>0.088</v>
      </c>
      <c r="E13344" s="8" t="str">
        <f>IFERROR(__xludf.DUMMYFUNCTION("""COMPUTED_VALUE"""),"Real")</f>
        <v>Real</v>
      </c>
      <c r="G13344" s="8">
        <f t="shared" si="1"/>
        <v>5</v>
      </c>
      <c r="H13344" s="14">
        <f t="shared" si="2"/>
        <v>9</v>
      </c>
      <c r="I13344" s="15">
        <f t="shared" si="3"/>
        <v>0</v>
      </c>
    </row>
    <row r="13345">
      <c r="A13345" s="8" t="str">
        <f>IFERROR(__xludf.DUMMYFUNCTION("IF('(INGESTA)Datos_consumo_datadis'!A13345&lt;&gt;"""",SPLIT('(INGESTA)Datos_consumo_datadis'!A:A,"",""),"""")"),"ES0031408323131005HX0F")</f>
        <v>ES0031408323131005HX0F</v>
      </c>
      <c r="B13345" s="12">
        <f>IFERROR(__xludf.DUMMYFUNCTION("""COMPUTED_VALUE"""),45422.0)</f>
        <v>45422</v>
      </c>
      <c r="C13345" s="13">
        <f>IFERROR(__xludf.DUMMYFUNCTION("""COMPUTED_VALUE"""),0.041666666666666664)</f>
        <v>0.04166666667</v>
      </c>
      <c r="D13345" s="8">
        <f>IFERROR(__xludf.DUMMYFUNCTION("""COMPUTED_VALUE"""),0.077)</f>
        <v>0.077</v>
      </c>
      <c r="E13345" s="8" t="str">
        <f>IFERROR(__xludf.DUMMYFUNCTION("""COMPUTED_VALUE"""),"Real")</f>
        <v>Real</v>
      </c>
      <c r="G13345" s="8">
        <f t="shared" si="1"/>
        <v>5</v>
      </c>
      <c r="H13345" s="14">
        <f t="shared" si="2"/>
        <v>10</v>
      </c>
      <c r="I13345" s="15">
        <f t="shared" si="3"/>
        <v>1</v>
      </c>
    </row>
    <row r="13346">
      <c r="A13346" s="8" t="str">
        <f>IFERROR(__xludf.DUMMYFUNCTION("IF('(INGESTA)Datos_consumo_datadis'!A13346&lt;&gt;"""",SPLIT('(INGESTA)Datos_consumo_datadis'!A:A,"",""),"""")"),"ES0031408323131005HX0F")</f>
        <v>ES0031408323131005HX0F</v>
      </c>
      <c r="B13346" s="12">
        <f>IFERROR(__xludf.DUMMYFUNCTION("""COMPUTED_VALUE"""),45422.0)</f>
        <v>45422</v>
      </c>
      <c r="C13346" s="13">
        <f>IFERROR(__xludf.DUMMYFUNCTION("""COMPUTED_VALUE"""),0.08333333333333333)</f>
        <v>0.08333333333</v>
      </c>
      <c r="D13346" s="8">
        <f>IFERROR(__xludf.DUMMYFUNCTION("""COMPUTED_VALUE"""),0.047)</f>
        <v>0.047</v>
      </c>
      <c r="E13346" s="8" t="str">
        <f>IFERROR(__xludf.DUMMYFUNCTION("""COMPUTED_VALUE"""),"Real")</f>
        <v>Real</v>
      </c>
      <c r="G13346" s="8">
        <f t="shared" si="1"/>
        <v>5</v>
      </c>
      <c r="H13346" s="14">
        <f t="shared" si="2"/>
        <v>10</v>
      </c>
      <c r="I13346" s="15">
        <f t="shared" si="3"/>
        <v>2</v>
      </c>
    </row>
    <row r="13347">
      <c r="A13347" s="8" t="str">
        <f>IFERROR(__xludf.DUMMYFUNCTION("IF('(INGESTA)Datos_consumo_datadis'!A13347&lt;&gt;"""",SPLIT('(INGESTA)Datos_consumo_datadis'!A:A,"",""),"""")"),"ES0031408323131005HX0F")</f>
        <v>ES0031408323131005HX0F</v>
      </c>
      <c r="B13347" s="12">
        <f>IFERROR(__xludf.DUMMYFUNCTION("""COMPUTED_VALUE"""),45422.0)</f>
        <v>45422</v>
      </c>
      <c r="C13347" s="13">
        <f>IFERROR(__xludf.DUMMYFUNCTION("""COMPUTED_VALUE"""),0.125)</f>
        <v>0.125</v>
      </c>
      <c r="D13347" s="8">
        <f>IFERROR(__xludf.DUMMYFUNCTION("""COMPUTED_VALUE"""),0.071)</f>
        <v>0.071</v>
      </c>
      <c r="E13347" s="8" t="str">
        <f>IFERROR(__xludf.DUMMYFUNCTION("""COMPUTED_VALUE"""),"Real")</f>
        <v>Real</v>
      </c>
      <c r="G13347" s="8">
        <f t="shared" si="1"/>
        <v>5</v>
      </c>
      <c r="H13347" s="14">
        <f t="shared" si="2"/>
        <v>10</v>
      </c>
      <c r="I13347" s="15">
        <f t="shared" si="3"/>
        <v>3</v>
      </c>
    </row>
    <row r="13348">
      <c r="A13348" s="8" t="str">
        <f>IFERROR(__xludf.DUMMYFUNCTION("IF('(INGESTA)Datos_consumo_datadis'!A13348&lt;&gt;"""",SPLIT('(INGESTA)Datos_consumo_datadis'!A:A,"",""),"""")"),"ES0031408323131005HX0F")</f>
        <v>ES0031408323131005HX0F</v>
      </c>
      <c r="B13348" s="12">
        <f>IFERROR(__xludf.DUMMYFUNCTION("""COMPUTED_VALUE"""),45422.0)</f>
        <v>45422</v>
      </c>
      <c r="C13348" s="13">
        <f>IFERROR(__xludf.DUMMYFUNCTION("""COMPUTED_VALUE"""),0.16666666666666666)</f>
        <v>0.1666666667</v>
      </c>
      <c r="D13348" s="8">
        <f>IFERROR(__xludf.DUMMYFUNCTION("""COMPUTED_VALUE"""),0.304)</f>
        <v>0.304</v>
      </c>
      <c r="E13348" s="8" t="str">
        <f>IFERROR(__xludf.DUMMYFUNCTION("""COMPUTED_VALUE"""),"Real")</f>
        <v>Real</v>
      </c>
      <c r="G13348" s="8">
        <f t="shared" si="1"/>
        <v>5</v>
      </c>
      <c r="H13348" s="14">
        <f t="shared" si="2"/>
        <v>10</v>
      </c>
      <c r="I13348" s="15">
        <f t="shared" si="3"/>
        <v>4</v>
      </c>
    </row>
    <row r="13349">
      <c r="A13349" s="8" t="str">
        <f>IFERROR(__xludf.DUMMYFUNCTION("IF('(INGESTA)Datos_consumo_datadis'!A13349&lt;&gt;"""",SPLIT('(INGESTA)Datos_consumo_datadis'!A:A,"",""),"""")"),"ES0031408323131005HX0F")</f>
        <v>ES0031408323131005HX0F</v>
      </c>
      <c r="B13349" s="12">
        <f>IFERROR(__xludf.DUMMYFUNCTION("""COMPUTED_VALUE"""),45422.0)</f>
        <v>45422</v>
      </c>
      <c r="C13349" s="13">
        <f>IFERROR(__xludf.DUMMYFUNCTION("""COMPUTED_VALUE"""),0.20833333333333334)</f>
        <v>0.2083333333</v>
      </c>
      <c r="D13349" s="8">
        <f>IFERROR(__xludf.DUMMYFUNCTION("""COMPUTED_VALUE"""),0.077)</f>
        <v>0.077</v>
      </c>
      <c r="E13349" s="8" t="str">
        <f>IFERROR(__xludf.DUMMYFUNCTION("""COMPUTED_VALUE"""),"Real")</f>
        <v>Real</v>
      </c>
      <c r="G13349" s="8">
        <f t="shared" si="1"/>
        <v>5</v>
      </c>
      <c r="H13349" s="14">
        <f t="shared" si="2"/>
        <v>10</v>
      </c>
      <c r="I13349" s="15">
        <f t="shared" si="3"/>
        <v>5</v>
      </c>
    </row>
    <row r="13350">
      <c r="A13350" s="8" t="str">
        <f>IFERROR(__xludf.DUMMYFUNCTION("IF('(INGESTA)Datos_consumo_datadis'!A13350&lt;&gt;"""",SPLIT('(INGESTA)Datos_consumo_datadis'!A:A,"",""),"""")"),"ES0031408323131005HX0F")</f>
        <v>ES0031408323131005HX0F</v>
      </c>
      <c r="B13350" s="12">
        <f>IFERROR(__xludf.DUMMYFUNCTION("""COMPUTED_VALUE"""),45422.0)</f>
        <v>45422</v>
      </c>
      <c r="C13350" s="13">
        <f>IFERROR(__xludf.DUMMYFUNCTION("""COMPUTED_VALUE"""),0.25)</f>
        <v>0.25</v>
      </c>
      <c r="D13350" s="8">
        <f>IFERROR(__xludf.DUMMYFUNCTION("""COMPUTED_VALUE"""),0.055)</f>
        <v>0.055</v>
      </c>
      <c r="E13350" s="8" t="str">
        <f>IFERROR(__xludf.DUMMYFUNCTION("""COMPUTED_VALUE"""),"Real")</f>
        <v>Real</v>
      </c>
      <c r="G13350" s="8">
        <f t="shared" si="1"/>
        <v>5</v>
      </c>
      <c r="H13350" s="14">
        <f t="shared" si="2"/>
        <v>10</v>
      </c>
      <c r="I13350" s="15">
        <f t="shared" si="3"/>
        <v>6</v>
      </c>
    </row>
    <row r="13351">
      <c r="A13351" s="8" t="str">
        <f>IFERROR(__xludf.DUMMYFUNCTION("IF('(INGESTA)Datos_consumo_datadis'!A13351&lt;&gt;"""",SPLIT('(INGESTA)Datos_consumo_datadis'!A:A,"",""),"""")"),"ES0031408323131005HX0F")</f>
        <v>ES0031408323131005HX0F</v>
      </c>
      <c r="B13351" s="12">
        <f>IFERROR(__xludf.DUMMYFUNCTION("""COMPUTED_VALUE"""),45422.0)</f>
        <v>45422</v>
      </c>
      <c r="C13351" s="13">
        <f>IFERROR(__xludf.DUMMYFUNCTION("""COMPUTED_VALUE"""),0.2916666666666667)</f>
        <v>0.2916666667</v>
      </c>
      <c r="D13351" s="8">
        <f>IFERROR(__xludf.DUMMYFUNCTION("""COMPUTED_VALUE"""),1.414)</f>
        <v>1.414</v>
      </c>
      <c r="E13351" s="8" t="str">
        <f>IFERROR(__xludf.DUMMYFUNCTION("""COMPUTED_VALUE"""),"Real")</f>
        <v>Real</v>
      </c>
      <c r="G13351" s="8">
        <f t="shared" si="1"/>
        <v>5</v>
      </c>
      <c r="H13351" s="14">
        <f t="shared" si="2"/>
        <v>10</v>
      </c>
      <c r="I13351" s="15">
        <f t="shared" si="3"/>
        <v>7</v>
      </c>
    </row>
    <row r="13352">
      <c r="A13352" s="8" t="str">
        <f>IFERROR(__xludf.DUMMYFUNCTION("IF('(INGESTA)Datos_consumo_datadis'!A13352&lt;&gt;"""",SPLIT('(INGESTA)Datos_consumo_datadis'!A:A,"",""),"""")"),"ES0031408323131005HX0F")</f>
        <v>ES0031408323131005HX0F</v>
      </c>
      <c r="B13352" s="12">
        <f>IFERROR(__xludf.DUMMYFUNCTION("""COMPUTED_VALUE"""),45422.0)</f>
        <v>45422</v>
      </c>
      <c r="C13352" s="13">
        <f>IFERROR(__xludf.DUMMYFUNCTION("""COMPUTED_VALUE"""),0.3333333333333333)</f>
        <v>0.3333333333</v>
      </c>
      <c r="D13352" s="8">
        <f>IFERROR(__xludf.DUMMYFUNCTION("""COMPUTED_VALUE"""),0.381)</f>
        <v>0.381</v>
      </c>
      <c r="E13352" s="8" t="str">
        <f>IFERROR(__xludf.DUMMYFUNCTION("""COMPUTED_VALUE"""),"Real")</f>
        <v>Real</v>
      </c>
      <c r="G13352" s="8">
        <f t="shared" si="1"/>
        <v>5</v>
      </c>
      <c r="H13352" s="14">
        <f t="shared" si="2"/>
        <v>10</v>
      </c>
      <c r="I13352" s="15">
        <f t="shared" si="3"/>
        <v>8</v>
      </c>
    </row>
    <row r="13353">
      <c r="A13353" s="8" t="str">
        <f>IFERROR(__xludf.DUMMYFUNCTION("IF('(INGESTA)Datos_consumo_datadis'!A13353&lt;&gt;"""",SPLIT('(INGESTA)Datos_consumo_datadis'!A:A,"",""),"""")"),"ES0031408323131005HX0F")</f>
        <v>ES0031408323131005HX0F</v>
      </c>
      <c r="B13353" s="12">
        <f>IFERROR(__xludf.DUMMYFUNCTION("""COMPUTED_VALUE"""),45422.0)</f>
        <v>45422</v>
      </c>
      <c r="C13353" s="13">
        <f>IFERROR(__xludf.DUMMYFUNCTION("""COMPUTED_VALUE"""),0.375)</f>
        <v>0.375</v>
      </c>
      <c r="D13353" s="8">
        <f>IFERROR(__xludf.DUMMYFUNCTION("""COMPUTED_VALUE"""),0.055)</f>
        <v>0.055</v>
      </c>
      <c r="E13353" s="8" t="str">
        <f>IFERROR(__xludf.DUMMYFUNCTION("""COMPUTED_VALUE"""),"Real")</f>
        <v>Real</v>
      </c>
      <c r="G13353" s="8">
        <f t="shared" si="1"/>
        <v>5</v>
      </c>
      <c r="H13353" s="14">
        <f t="shared" si="2"/>
        <v>10</v>
      </c>
      <c r="I13353" s="15">
        <f t="shared" si="3"/>
        <v>9</v>
      </c>
    </row>
    <row r="13354">
      <c r="A13354" s="8" t="str">
        <f>IFERROR(__xludf.DUMMYFUNCTION("IF('(INGESTA)Datos_consumo_datadis'!A13354&lt;&gt;"""",SPLIT('(INGESTA)Datos_consumo_datadis'!A:A,"",""),"""")"),"ES0031408323131005HX0F")</f>
        <v>ES0031408323131005HX0F</v>
      </c>
      <c r="B13354" s="12">
        <f>IFERROR(__xludf.DUMMYFUNCTION("""COMPUTED_VALUE"""),45422.0)</f>
        <v>45422</v>
      </c>
      <c r="C13354" s="13">
        <f>IFERROR(__xludf.DUMMYFUNCTION("""COMPUTED_VALUE"""),0.4166666666666667)</f>
        <v>0.4166666667</v>
      </c>
      <c r="D13354" s="8">
        <f>IFERROR(__xludf.DUMMYFUNCTION("""COMPUTED_VALUE"""),0.085)</f>
        <v>0.085</v>
      </c>
      <c r="E13354" s="8" t="str">
        <f>IFERROR(__xludf.DUMMYFUNCTION("""COMPUTED_VALUE"""),"Real")</f>
        <v>Real</v>
      </c>
      <c r="G13354" s="8">
        <f t="shared" si="1"/>
        <v>5</v>
      </c>
      <c r="H13354" s="14">
        <f t="shared" si="2"/>
        <v>10</v>
      </c>
      <c r="I13354" s="15">
        <f t="shared" si="3"/>
        <v>10</v>
      </c>
    </row>
    <row r="13355">
      <c r="A13355" s="8" t="str">
        <f>IFERROR(__xludf.DUMMYFUNCTION("IF('(INGESTA)Datos_consumo_datadis'!A13355&lt;&gt;"""",SPLIT('(INGESTA)Datos_consumo_datadis'!A:A,"",""),"""")"),"ES0031408323131005HX0F")</f>
        <v>ES0031408323131005HX0F</v>
      </c>
      <c r="B13355" s="12">
        <f>IFERROR(__xludf.DUMMYFUNCTION("""COMPUTED_VALUE"""),45422.0)</f>
        <v>45422</v>
      </c>
      <c r="C13355" s="13">
        <f>IFERROR(__xludf.DUMMYFUNCTION("""COMPUTED_VALUE"""),0.4583333333333333)</f>
        <v>0.4583333333</v>
      </c>
      <c r="D13355" s="8">
        <f>IFERROR(__xludf.DUMMYFUNCTION("""COMPUTED_VALUE"""),0.126)</f>
        <v>0.126</v>
      </c>
      <c r="E13355" s="8" t="str">
        <f>IFERROR(__xludf.DUMMYFUNCTION("""COMPUTED_VALUE"""),"Real")</f>
        <v>Real</v>
      </c>
      <c r="G13355" s="8">
        <f t="shared" si="1"/>
        <v>5</v>
      </c>
      <c r="H13355" s="14">
        <f t="shared" si="2"/>
        <v>10</v>
      </c>
      <c r="I13355" s="15">
        <f t="shared" si="3"/>
        <v>11</v>
      </c>
    </row>
    <row r="13356">
      <c r="A13356" s="8" t="str">
        <f>IFERROR(__xludf.DUMMYFUNCTION("IF('(INGESTA)Datos_consumo_datadis'!A13356&lt;&gt;"""",SPLIT('(INGESTA)Datos_consumo_datadis'!A:A,"",""),"""")"),"ES0031408323131005HX0F")</f>
        <v>ES0031408323131005HX0F</v>
      </c>
      <c r="B13356" s="12">
        <f>IFERROR(__xludf.DUMMYFUNCTION("""COMPUTED_VALUE"""),45422.0)</f>
        <v>45422</v>
      </c>
      <c r="C13356" s="13">
        <f>IFERROR(__xludf.DUMMYFUNCTION("""COMPUTED_VALUE"""),0.5)</f>
        <v>0.5</v>
      </c>
      <c r="D13356" s="8">
        <f>IFERROR(__xludf.DUMMYFUNCTION("""COMPUTED_VALUE"""),0.076)</f>
        <v>0.076</v>
      </c>
      <c r="E13356" s="8" t="str">
        <f>IFERROR(__xludf.DUMMYFUNCTION("""COMPUTED_VALUE"""),"Real")</f>
        <v>Real</v>
      </c>
      <c r="G13356" s="8">
        <f t="shared" si="1"/>
        <v>5</v>
      </c>
      <c r="H13356" s="14">
        <f t="shared" si="2"/>
        <v>10</v>
      </c>
      <c r="I13356" s="15">
        <f t="shared" si="3"/>
        <v>12</v>
      </c>
    </row>
    <row r="13357">
      <c r="A13357" s="8" t="str">
        <f>IFERROR(__xludf.DUMMYFUNCTION("IF('(INGESTA)Datos_consumo_datadis'!A13357&lt;&gt;"""",SPLIT('(INGESTA)Datos_consumo_datadis'!A:A,"",""),"""")"),"ES0031408323131005HX0F")</f>
        <v>ES0031408323131005HX0F</v>
      </c>
      <c r="B13357" s="12">
        <f>IFERROR(__xludf.DUMMYFUNCTION("""COMPUTED_VALUE"""),45422.0)</f>
        <v>45422</v>
      </c>
      <c r="C13357" s="13">
        <f>IFERROR(__xludf.DUMMYFUNCTION("""COMPUTED_VALUE"""),0.5416666666666666)</f>
        <v>0.5416666667</v>
      </c>
      <c r="D13357" s="8">
        <f>IFERROR(__xludf.DUMMYFUNCTION("""COMPUTED_VALUE"""),0.463)</f>
        <v>0.463</v>
      </c>
      <c r="E13357" s="8" t="str">
        <f>IFERROR(__xludf.DUMMYFUNCTION("""COMPUTED_VALUE"""),"Real")</f>
        <v>Real</v>
      </c>
      <c r="G13357" s="8">
        <f t="shared" si="1"/>
        <v>5</v>
      </c>
      <c r="H13357" s="14">
        <f t="shared" si="2"/>
        <v>10</v>
      </c>
      <c r="I13357" s="15">
        <f t="shared" si="3"/>
        <v>13</v>
      </c>
    </row>
    <row r="13358">
      <c r="A13358" s="8" t="str">
        <f>IFERROR(__xludf.DUMMYFUNCTION("IF('(INGESTA)Datos_consumo_datadis'!A13358&lt;&gt;"""",SPLIT('(INGESTA)Datos_consumo_datadis'!A:A,"",""),"""")"),"ES0031408323131005HX0F")</f>
        <v>ES0031408323131005HX0F</v>
      </c>
      <c r="B13358" s="12">
        <f>IFERROR(__xludf.DUMMYFUNCTION("""COMPUTED_VALUE"""),45422.0)</f>
        <v>45422</v>
      </c>
      <c r="C13358" s="13">
        <f>IFERROR(__xludf.DUMMYFUNCTION("""COMPUTED_VALUE"""),0.5833333333333334)</f>
        <v>0.5833333333</v>
      </c>
      <c r="D13358" s="8">
        <f>IFERROR(__xludf.DUMMYFUNCTION("""COMPUTED_VALUE"""),0.721)</f>
        <v>0.721</v>
      </c>
      <c r="E13358" s="8" t="str">
        <f>IFERROR(__xludf.DUMMYFUNCTION("""COMPUTED_VALUE"""),"Real")</f>
        <v>Real</v>
      </c>
      <c r="G13358" s="8">
        <f t="shared" si="1"/>
        <v>5</v>
      </c>
      <c r="H13358" s="14">
        <f t="shared" si="2"/>
        <v>10</v>
      </c>
      <c r="I13358" s="15">
        <f t="shared" si="3"/>
        <v>14</v>
      </c>
    </row>
    <row r="13359">
      <c r="A13359" s="8" t="str">
        <f>IFERROR(__xludf.DUMMYFUNCTION("IF('(INGESTA)Datos_consumo_datadis'!A13359&lt;&gt;"""",SPLIT('(INGESTA)Datos_consumo_datadis'!A:A,"",""),"""")"),"ES0031408323131005HX0F")</f>
        <v>ES0031408323131005HX0F</v>
      </c>
      <c r="B13359" s="12">
        <f>IFERROR(__xludf.DUMMYFUNCTION("""COMPUTED_VALUE"""),45422.0)</f>
        <v>45422</v>
      </c>
      <c r="C13359" s="13">
        <f>IFERROR(__xludf.DUMMYFUNCTION("""COMPUTED_VALUE"""),0.625)</f>
        <v>0.625</v>
      </c>
      <c r="D13359" s="8">
        <f>IFERROR(__xludf.DUMMYFUNCTION("""COMPUTED_VALUE"""),0.045)</f>
        <v>0.045</v>
      </c>
      <c r="E13359" s="8" t="str">
        <f>IFERROR(__xludf.DUMMYFUNCTION("""COMPUTED_VALUE"""),"Real")</f>
        <v>Real</v>
      </c>
      <c r="G13359" s="8">
        <f t="shared" si="1"/>
        <v>5</v>
      </c>
      <c r="H13359" s="14">
        <f t="shared" si="2"/>
        <v>10</v>
      </c>
      <c r="I13359" s="15">
        <f t="shared" si="3"/>
        <v>15</v>
      </c>
    </row>
    <row r="13360">
      <c r="A13360" s="8" t="str">
        <f>IFERROR(__xludf.DUMMYFUNCTION("IF('(INGESTA)Datos_consumo_datadis'!A13360&lt;&gt;"""",SPLIT('(INGESTA)Datos_consumo_datadis'!A:A,"",""),"""")"),"ES0031408323131005HX0F")</f>
        <v>ES0031408323131005HX0F</v>
      </c>
      <c r="B13360" s="12">
        <f>IFERROR(__xludf.DUMMYFUNCTION("""COMPUTED_VALUE"""),45422.0)</f>
        <v>45422</v>
      </c>
      <c r="C13360" s="13">
        <f>IFERROR(__xludf.DUMMYFUNCTION("""COMPUTED_VALUE"""),0.6666666666666666)</f>
        <v>0.6666666667</v>
      </c>
      <c r="D13360" s="8">
        <f>IFERROR(__xludf.DUMMYFUNCTION("""COMPUTED_VALUE"""),0.08)</f>
        <v>0.08</v>
      </c>
      <c r="E13360" s="8" t="str">
        <f>IFERROR(__xludf.DUMMYFUNCTION("""COMPUTED_VALUE"""),"Real")</f>
        <v>Real</v>
      </c>
      <c r="G13360" s="8">
        <f t="shared" si="1"/>
        <v>5</v>
      </c>
      <c r="H13360" s="14">
        <f t="shared" si="2"/>
        <v>10</v>
      </c>
      <c r="I13360" s="15">
        <f t="shared" si="3"/>
        <v>16</v>
      </c>
    </row>
    <row r="13361">
      <c r="A13361" s="8" t="str">
        <f>IFERROR(__xludf.DUMMYFUNCTION("IF('(INGESTA)Datos_consumo_datadis'!A13361&lt;&gt;"""",SPLIT('(INGESTA)Datos_consumo_datadis'!A:A,"",""),"""")"),"ES0031408323131005HX0F")</f>
        <v>ES0031408323131005HX0F</v>
      </c>
      <c r="B13361" s="12">
        <f>IFERROR(__xludf.DUMMYFUNCTION("""COMPUTED_VALUE"""),45422.0)</f>
        <v>45422</v>
      </c>
      <c r="C13361" s="13">
        <f>IFERROR(__xludf.DUMMYFUNCTION("""COMPUTED_VALUE"""),0.7083333333333334)</f>
        <v>0.7083333333</v>
      </c>
      <c r="D13361" s="8">
        <f>IFERROR(__xludf.DUMMYFUNCTION("""COMPUTED_VALUE"""),0.056)</f>
        <v>0.056</v>
      </c>
      <c r="E13361" s="8" t="str">
        <f>IFERROR(__xludf.DUMMYFUNCTION("""COMPUTED_VALUE"""),"Real")</f>
        <v>Real</v>
      </c>
      <c r="G13361" s="8">
        <f t="shared" si="1"/>
        <v>5</v>
      </c>
      <c r="H13361" s="14">
        <f t="shared" si="2"/>
        <v>10</v>
      </c>
      <c r="I13361" s="15">
        <f t="shared" si="3"/>
        <v>17</v>
      </c>
    </row>
    <row r="13362">
      <c r="A13362" s="8" t="str">
        <f>IFERROR(__xludf.DUMMYFUNCTION("IF('(INGESTA)Datos_consumo_datadis'!A13362&lt;&gt;"""",SPLIT('(INGESTA)Datos_consumo_datadis'!A:A,"",""),"""")"),"ES0031408323131005HX0F")</f>
        <v>ES0031408323131005HX0F</v>
      </c>
      <c r="B13362" s="12">
        <f>IFERROR(__xludf.DUMMYFUNCTION("""COMPUTED_VALUE"""),45422.0)</f>
        <v>45422</v>
      </c>
      <c r="C13362" s="13">
        <f>IFERROR(__xludf.DUMMYFUNCTION("""COMPUTED_VALUE"""),0.75)</f>
        <v>0.75</v>
      </c>
      <c r="D13362" s="8">
        <f>IFERROR(__xludf.DUMMYFUNCTION("""COMPUTED_VALUE"""),0.335)</f>
        <v>0.335</v>
      </c>
      <c r="E13362" s="8" t="str">
        <f>IFERROR(__xludf.DUMMYFUNCTION("""COMPUTED_VALUE"""),"Real")</f>
        <v>Real</v>
      </c>
      <c r="G13362" s="8">
        <f t="shared" si="1"/>
        <v>5</v>
      </c>
      <c r="H13362" s="14">
        <f t="shared" si="2"/>
        <v>10</v>
      </c>
      <c r="I13362" s="15">
        <f t="shared" si="3"/>
        <v>18</v>
      </c>
    </row>
    <row r="13363">
      <c r="A13363" s="8" t="str">
        <f>IFERROR(__xludf.DUMMYFUNCTION("IF('(INGESTA)Datos_consumo_datadis'!A13363&lt;&gt;"""",SPLIT('(INGESTA)Datos_consumo_datadis'!A:A,"",""),"""")"),"ES0031408323131005HX0F")</f>
        <v>ES0031408323131005HX0F</v>
      </c>
      <c r="B13363" s="12">
        <f>IFERROR(__xludf.DUMMYFUNCTION("""COMPUTED_VALUE"""),45422.0)</f>
        <v>45422</v>
      </c>
      <c r="C13363" s="13">
        <f>IFERROR(__xludf.DUMMYFUNCTION("""COMPUTED_VALUE"""),0.7916666666666666)</f>
        <v>0.7916666667</v>
      </c>
      <c r="D13363" s="8">
        <f>IFERROR(__xludf.DUMMYFUNCTION("""COMPUTED_VALUE"""),0.056)</f>
        <v>0.056</v>
      </c>
      <c r="E13363" s="8" t="str">
        <f>IFERROR(__xludf.DUMMYFUNCTION("""COMPUTED_VALUE"""),"Real")</f>
        <v>Real</v>
      </c>
      <c r="G13363" s="8">
        <f t="shared" si="1"/>
        <v>5</v>
      </c>
      <c r="H13363" s="14">
        <f t="shared" si="2"/>
        <v>10</v>
      </c>
      <c r="I13363" s="15">
        <f t="shared" si="3"/>
        <v>19</v>
      </c>
    </row>
    <row r="13364">
      <c r="A13364" s="8" t="str">
        <f>IFERROR(__xludf.DUMMYFUNCTION("IF('(INGESTA)Datos_consumo_datadis'!A13364&lt;&gt;"""",SPLIT('(INGESTA)Datos_consumo_datadis'!A:A,"",""),"""")"),"ES0031408323131005HX0F")</f>
        <v>ES0031408323131005HX0F</v>
      </c>
      <c r="B13364" s="12">
        <f>IFERROR(__xludf.DUMMYFUNCTION("""COMPUTED_VALUE"""),45422.0)</f>
        <v>45422</v>
      </c>
      <c r="C13364" s="13">
        <f>IFERROR(__xludf.DUMMYFUNCTION("""COMPUTED_VALUE"""),0.8333333333333334)</f>
        <v>0.8333333333</v>
      </c>
      <c r="D13364" s="8">
        <f>IFERROR(__xludf.DUMMYFUNCTION("""COMPUTED_VALUE"""),0.064)</f>
        <v>0.064</v>
      </c>
      <c r="E13364" s="8" t="str">
        <f>IFERROR(__xludf.DUMMYFUNCTION("""COMPUTED_VALUE"""),"Real")</f>
        <v>Real</v>
      </c>
      <c r="G13364" s="8">
        <f t="shared" si="1"/>
        <v>5</v>
      </c>
      <c r="H13364" s="14">
        <f t="shared" si="2"/>
        <v>10</v>
      </c>
      <c r="I13364" s="15">
        <f t="shared" si="3"/>
        <v>20</v>
      </c>
    </row>
    <row r="13365">
      <c r="A13365" s="8" t="str">
        <f>IFERROR(__xludf.DUMMYFUNCTION("IF('(INGESTA)Datos_consumo_datadis'!A13365&lt;&gt;"""",SPLIT('(INGESTA)Datos_consumo_datadis'!A:A,"",""),"""")"),"ES0031408323131005HX0F")</f>
        <v>ES0031408323131005HX0F</v>
      </c>
      <c r="B13365" s="12">
        <f>IFERROR(__xludf.DUMMYFUNCTION("""COMPUTED_VALUE"""),45422.0)</f>
        <v>45422</v>
      </c>
      <c r="C13365" s="13">
        <f>IFERROR(__xludf.DUMMYFUNCTION("""COMPUTED_VALUE"""),0.875)</f>
        <v>0.875</v>
      </c>
      <c r="D13365" s="8">
        <f>IFERROR(__xludf.DUMMYFUNCTION("""COMPUTED_VALUE"""),0.833)</f>
        <v>0.833</v>
      </c>
      <c r="E13365" s="8" t="str">
        <f>IFERROR(__xludf.DUMMYFUNCTION("""COMPUTED_VALUE"""),"Real")</f>
        <v>Real</v>
      </c>
      <c r="G13365" s="8">
        <f t="shared" si="1"/>
        <v>5</v>
      </c>
      <c r="H13365" s="14">
        <f t="shared" si="2"/>
        <v>10</v>
      </c>
      <c r="I13365" s="15">
        <f t="shared" si="3"/>
        <v>21</v>
      </c>
    </row>
    <row r="13366">
      <c r="A13366" s="8" t="str">
        <f>IFERROR(__xludf.DUMMYFUNCTION("IF('(INGESTA)Datos_consumo_datadis'!A13366&lt;&gt;"""",SPLIT('(INGESTA)Datos_consumo_datadis'!A:A,"",""),"""")"),"ES0031408323131005HX0F")</f>
        <v>ES0031408323131005HX0F</v>
      </c>
      <c r="B13366" s="12">
        <f>IFERROR(__xludf.DUMMYFUNCTION("""COMPUTED_VALUE"""),45422.0)</f>
        <v>45422</v>
      </c>
      <c r="C13366" s="13">
        <f>IFERROR(__xludf.DUMMYFUNCTION("""COMPUTED_VALUE"""),0.9166666666666666)</f>
        <v>0.9166666667</v>
      </c>
      <c r="D13366" s="8">
        <f>IFERROR(__xludf.DUMMYFUNCTION("""COMPUTED_VALUE"""),0.497)</f>
        <v>0.497</v>
      </c>
      <c r="E13366" s="8" t="str">
        <f>IFERROR(__xludf.DUMMYFUNCTION("""COMPUTED_VALUE"""),"Real")</f>
        <v>Real</v>
      </c>
      <c r="G13366" s="8">
        <f t="shared" si="1"/>
        <v>5</v>
      </c>
      <c r="H13366" s="14">
        <f t="shared" si="2"/>
        <v>10</v>
      </c>
      <c r="I13366" s="15">
        <f t="shared" si="3"/>
        <v>22</v>
      </c>
    </row>
    <row r="13367">
      <c r="A13367" s="8" t="str">
        <f>IFERROR(__xludf.DUMMYFUNCTION("IF('(INGESTA)Datos_consumo_datadis'!A13367&lt;&gt;"""",SPLIT('(INGESTA)Datos_consumo_datadis'!A:A,"",""),"""")"),"ES0031408323131005HX0F")</f>
        <v>ES0031408323131005HX0F</v>
      </c>
      <c r="B13367" s="12">
        <f>IFERROR(__xludf.DUMMYFUNCTION("""COMPUTED_VALUE"""),45422.0)</f>
        <v>45422</v>
      </c>
      <c r="C13367" s="13">
        <f>IFERROR(__xludf.DUMMYFUNCTION("""COMPUTED_VALUE"""),0.9583333333333334)</f>
        <v>0.9583333333</v>
      </c>
      <c r="D13367" s="8">
        <f>IFERROR(__xludf.DUMMYFUNCTION("""COMPUTED_VALUE"""),0.539)</f>
        <v>0.539</v>
      </c>
      <c r="E13367" s="8" t="str">
        <f>IFERROR(__xludf.DUMMYFUNCTION("""COMPUTED_VALUE"""),"Real")</f>
        <v>Real</v>
      </c>
      <c r="G13367" s="8">
        <f t="shared" si="1"/>
        <v>5</v>
      </c>
      <c r="H13367" s="14">
        <f t="shared" si="2"/>
        <v>10</v>
      </c>
      <c r="I13367" s="15">
        <f t="shared" si="3"/>
        <v>23</v>
      </c>
    </row>
    <row r="13368">
      <c r="A13368" s="8" t="str">
        <f>IFERROR(__xludf.DUMMYFUNCTION("IF('(INGESTA)Datos_consumo_datadis'!A13368&lt;&gt;"""",SPLIT('(INGESTA)Datos_consumo_datadis'!A:A,"",""),"""")"),"ES0031408323131005HX0F")</f>
        <v>ES0031408323131005HX0F</v>
      </c>
      <c r="B13368" s="12">
        <f>IFERROR(__xludf.DUMMYFUNCTION("""COMPUTED_VALUE"""),45422.0)</f>
        <v>45422</v>
      </c>
      <c r="C13368" s="16">
        <f>IFERROR(__xludf.DUMMYFUNCTION("""COMPUTED_VALUE"""),1.0)</f>
        <v>1</v>
      </c>
      <c r="D13368" s="8">
        <f>IFERROR(__xludf.DUMMYFUNCTION("""COMPUTED_VALUE"""),0.049)</f>
        <v>0.049</v>
      </c>
      <c r="E13368" s="8" t="str">
        <f>IFERROR(__xludf.DUMMYFUNCTION("""COMPUTED_VALUE"""),"Real")</f>
        <v>Real</v>
      </c>
      <c r="G13368" s="8">
        <f t="shared" si="1"/>
        <v>5</v>
      </c>
      <c r="H13368" s="14">
        <f t="shared" si="2"/>
        <v>10</v>
      </c>
      <c r="I13368" s="15">
        <f t="shared" si="3"/>
        <v>0</v>
      </c>
    </row>
    <row r="13369">
      <c r="A13369" s="8" t="str">
        <f>IFERROR(__xludf.DUMMYFUNCTION("IF('(INGESTA)Datos_consumo_datadis'!A13369&lt;&gt;"""",SPLIT('(INGESTA)Datos_consumo_datadis'!A:A,"",""),"""")"),"ES0031408323131005HX0F")</f>
        <v>ES0031408323131005HX0F</v>
      </c>
      <c r="B13369" s="12">
        <f>IFERROR(__xludf.DUMMYFUNCTION("""COMPUTED_VALUE"""),45423.0)</f>
        <v>45423</v>
      </c>
      <c r="C13369" s="13">
        <f>IFERROR(__xludf.DUMMYFUNCTION("""COMPUTED_VALUE"""),0.041666666666666664)</f>
        <v>0.04166666667</v>
      </c>
      <c r="D13369" s="8">
        <f>IFERROR(__xludf.DUMMYFUNCTION("""COMPUTED_VALUE"""),0.075)</f>
        <v>0.075</v>
      </c>
      <c r="E13369" s="8" t="str">
        <f>IFERROR(__xludf.DUMMYFUNCTION("""COMPUTED_VALUE"""),"Real")</f>
        <v>Real</v>
      </c>
      <c r="G13369" s="8">
        <f t="shared" si="1"/>
        <v>5</v>
      </c>
      <c r="H13369" s="14">
        <f t="shared" si="2"/>
        <v>11</v>
      </c>
      <c r="I13369" s="15">
        <f t="shared" si="3"/>
        <v>1</v>
      </c>
    </row>
    <row r="13370">
      <c r="A13370" s="8" t="str">
        <f>IFERROR(__xludf.DUMMYFUNCTION("IF('(INGESTA)Datos_consumo_datadis'!A13370&lt;&gt;"""",SPLIT('(INGESTA)Datos_consumo_datadis'!A:A,"",""),"""")"),"ES0031408323131005HX0F")</f>
        <v>ES0031408323131005HX0F</v>
      </c>
      <c r="B13370" s="12">
        <f>IFERROR(__xludf.DUMMYFUNCTION("""COMPUTED_VALUE"""),45423.0)</f>
        <v>45423</v>
      </c>
      <c r="C13370" s="13">
        <f>IFERROR(__xludf.DUMMYFUNCTION("""COMPUTED_VALUE"""),0.08333333333333333)</f>
        <v>0.08333333333</v>
      </c>
      <c r="D13370" s="8">
        <f>IFERROR(__xludf.DUMMYFUNCTION("""COMPUTED_VALUE"""),0.307)</f>
        <v>0.307</v>
      </c>
      <c r="E13370" s="8" t="str">
        <f>IFERROR(__xludf.DUMMYFUNCTION("""COMPUTED_VALUE"""),"Real")</f>
        <v>Real</v>
      </c>
      <c r="G13370" s="8">
        <f t="shared" si="1"/>
        <v>5</v>
      </c>
      <c r="H13370" s="14">
        <f t="shared" si="2"/>
        <v>11</v>
      </c>
      <c r="I13370" s="15">
        <f t="shared" si="3"/>
        <v>2</v>
      </c>
    </row>
    <row r="13371">
      <c r="A13371" s="8" t="str">
        <f>IFERROR(__xludf.DUMMYFUNCTION("IF('(INGESTA)Datos_consumo_datadis'!A13371&lt;&gt;"""",SPLIT('(INGESTA)Datos_consumo_datadis'!A:A,"",""),"""")"),"ES0031408323131005HX0F")</f>
        <v>ES0031408323131005HX0F</v>
      </c>
      <c r="B13371" s="12">
        <f>IFERROR(__xludf.DUMMYFUNCTION("""COMPUTED_VALUE"""),45423.0)</f>
        <v>45423</v>
      </c>
      <c r="C13371" s="13">
        <f>IFERROR(__xludf.DUMMYFUNCTION("""COMPUTED_VALUE"""),0.125)</f>
        <v>0.125</v>
      </c>
      <c r="D13371" s="8">
        <f>IFERROR(__xludf.DUMMYFUNCTION("""COMPUTED_VALUE"""),0.083)</f>
        <v>0.083</v>
      </c>
      <c r="E13371" s="8" t="str">
        <f>IFERROR(__xludf.DUMMYFUNCTION("""COMPUTED_VALUE"""),"Real")</f>
        <v>Real</v>
      </c>
      <c r="G13371" s="8">
        <f t="shared" si="1"/>
        <v>5</v>
      </c>
      <c r="H13371" s="14">
        <f t="shared" si="2"/>
        <v>11</v>
      </c>
      <c r="I13371" s="15">
        <f t="shared" si="3"/>
        <v>3</v>
      </c>
    </row>
    <row r="13372">
      <c r="A13372" s="8" t="str">
        <f>IFERROR(__xludf.DUMMYFUNCTION("IF('(INGESTA)Datos_consumo_datadis'!A13372&lt;&gt;"""",SPLIT('(INGESTA)Datos_consumo_datadis'!A:A,"",""),"""")"),"ES0031408323131005HX0F")</f>
        <v>ES0031408323131005HX0F</v>
      </c>
      <c r="B13372" s="12">
        <f>IFERROR(__xludf.DUMMYFUNCTION("""COMPUTED_VALUE"""),45423.0)</f>
        <v>45423</v>
      </c>
      <c r="C13372" s="13">
        <f>IFERROR(__xludf.DUMMYFUNCTION("""COMPUTED_VALUE"""),0.16666666666666666)</f>
        <v>0.1666666667</v>
      </c>
      <c r="D13372" s="8">
        <f>IFERROR(__xludf.DUMMYFUNCTION("""COMPUTED_VALUE"""),0.058)</f>
        <v>0.058</v>
      </c>
      <c r="E13372" s="8" t="str">
        <f>IFERROR(__xludf.DUMMYFUNCTION("""COMPUTED_VALUE"""),"Real")</f>
        <v>Real</v>
      </c>
      <c r="G13372" s="8">
        <f t="shared" si="1"/>
        <v>5</v>
      </c>
      <c r="H13372" s="14">
        <f t="shared" si="2"/>
        <v>11</v>
      </c>
      <c r="I13372" s="15">
        <f t="shared" si="3"/>
        <v>4</v>
      </c>
    </row>
    <row r="13373">
      <c r="A13373" s="8" t="str">
        <f>IFERROR(__xludf.DUMMYFUNCTION("IF('(INGESTA)Datos_consumo_datadis'!A13373&lt;&gt;"""",SPLIT('(INGESTA)Datos_consumo_datadis'!A:A,"",""),"""")"),"ES0031408323131005HX0F")</f>
        <v>ES0031408323131005HX0F</v>
      </c>
      <c r="B13373" s="12">
        <f>IFERROR(__xludf.DUMMYFUNCTION("""COMPUTED_VALUE"""),45423.0)</f>
        <v>45423</v>
      </c>
      <c r="C13373" s="13">
        <f>IFERROR(__xludf.DUMMYFUNCTION("""COMPUTED_VALUE"""),0.20833333333333334)</f>
        <v>0.2083333333</v>
      </c>
      <c r="D13373" s="8">
        <f>IFERROR(__xludf.DUMMYFUNCTION("""COMPUTED_VALUE"""),0.077)</f>
        <v>0.077</v>
      </c>
      <c r="E13373" s="8" t="str">
        <f>IFERROR(__xludf.DUMMYFUNCTION("""COMPUTED_VALUE"""),"Real")</f>
        <v>Real</v>
      </c>
      <c r="G13373" s="8">
        <f t="shared" si="1"/>
        <v>5</v>
      </c>
      <c r="H13373" s="14">
        <f t="shared" si="2"/>
        <v>11</v>
      </c>
      <c r="I13373" s="15">
        <f t="shared" si="3"/>
        <v>5</v>
      </c>
    </row>
    <row r="13374">
      <c r="A13374" s="8" t="str">
        <f>IFERROR(__xludf.DUMMYFUNCTION("IF('(INGESTA)Datos_consumo_datadis'!A13374&lt;&gt;"""",SPLIT('(INGESTA)Datos_consumo_datadis'!A:A,"",""),"""")"),"ES0031408323131005HX0F")</f>
        <v>ES0031408323131005HX0F</v>
      </c>
      <c r="B13374" s="12">
        <f>IFERROR(__xludf.DUMMYFUNCTION("""COMPUTED_VALUE"""),45423.0)</f>
        <v>45423</v>
      </c>
      <c r="C13374" s="13">
        <f>IFERROR(__xludf.DUMMYFUNCTION("""COMPUTED_VALUE"""),0.25)</f>
        <v>0.25</v>
      </c>
      <c r="D13374" s="8">
        <f>IFERROR(__xludf.DUMMYFUNCTION("""COMPUTED_VALUE"""),0.061)</f>
        <v>0.061</v>
      </c>
      <c r="E13374" s="8" t="str">
        <f>IFERROR(__xludf.DUMMYFUNCTION("""COMPUTED_VALUE"""),"Real")</f>
        <v>Real</v>
      </c>
      <c r="G13374" s="8">
        <f t="shared" si="1"/>
        <v>5</v>
      </c>
      <c r="H13374" s="14">
        <f t="shared" si="2"/>
        <v>11</v>
      </c>
      <c r="I13374" s="15">
        <f t="shared" si="3"/>
        <v>6</v>
      </c>
    </row>
    <row r="13375">
      <c r="A13375" s="8" t="str">
        <f>IFERROR(__xludf.DUMMYFUNCTION("IF('(INGESTA)Datos_consumo_datadis'!A13375&lt;&gt;"""",SPLIT('(INGESTA)Datos_consumo_datadis'!A:A,"",""),"""")"),"ES0031408323131005HX0F")</f>
        <v>ES0031408323131005HX0F</v>
      </c>
      <c r="B13375" s="12">
        <f>IFERROR(__xludf.DUMMYFUNCTION("""COMPUTED_VALUE"""),45423.0)</f>
        <v>45423</v>
      </c>
      <c r="C13375" s="13">
        <f>IFERROR(__xludf.DUMMYFUNCTION("""COMPUTED_VALUE"""),0.2916666666666667)</f>
        <v>0.2916666667</v>
      </c>
      <c r="D13375" s="8">
        <f>IFERROR(__xludf.DUMMYFUNCTION("""COMPUTED_VALUE"""),0.053)</f>
        <v>0.053</v>
      </c>
      <c r="E13375" s="8" t="str">
        <f>IFERROR(__xludf.DUMMYFUNCTION("""COMPUTED_VALUE"""),"Real")</f>
        <v>Real</v>
      </c>
      <c r="G13375" s="8">
        <f t="shared" si="1"/>
        <v>5</v>
      </c>
      <c r="H13375" s="14">
        <f t="shared" si="2"/>
        <v>11</v>
      </c>
      <c r="I13375" s="15">
        <f t="shared" si="3"/>
        <v>7</v>
      </c>
    </row>
    <row r="13376">
      <c r="A13376" s="8" t="str">
        <f>IFERROR(__xludf.DUMMYFUNCTION("IF('(INGESTA)Datos_consumo_datadis'!A13376&lt;&gt;"""",SPLIT('(INGESTA)Datos_consumo_datadis'!A:A,"",""),"""")"),"ES0031408323131005HX0F")</f>
        <v>ES0031408323131005HX0F</v>
      </c>
      <c r="B13376" s="12">
        <f>IFERROR(__xludf.DUMMYFUNCTION("""COMPUTED_VALUE"""),45423.0)</f>
        <v>45423</v>
      </c>
      <c r="C13376" s="13">
        <f>IFERROR(__xludf.DUMMYFUNCTION("""COMPUTED_VALUE"""),0.3333333333333333)</f>
        <v>0.3333333333</v>
      </c>
      <c r="D13376" s="8">
        <f>IFERROR(__xludf.DUMMYFUNCTION("""COMPUTED_VALUE"""),0.324)</f>
        <v>0.324</v>
      </c>
      <c r="E13376" s="8" t="str">
        <f>IFERROR(__xludf.DUMMYFUNCTION("""COMPUTED_VALUE"""),"Real")</f>
        <v>Real</v>
      </c>
      <c r="G13376" s="8">
        <f t="shared" si="1"/>
        <v>5</v>
      </c>
      <c r="H13376" s="14">
        <f t="shared" si="2"/>
        <v>11</v>
      </c>
      <c r="I13376" s="15">
        <f t="shared" si="3"/>
        <v>8</v>
      </c>
    </row>
    <row r="13377">
      <c r="A13377" s="8" t="str">
        <f>IFERROR(__xludf.DUMMYFUNCTION("IF('(INGESTA)Datos_consumo_datadis'!A13377&lt;&gt;"""",SPLIT('(INGESTA)Datos_consumo_datadis'!A:A,"",""),"""")"),"ES0031408323131005HX0F")</f>
        <v>ES0031408323131005HX0F</v>
      </c>
      <c r="B13377" s="12">
        <f>IFERROR(__xludf.DUMMYFUNCTION("""COMPUTED_VALUE"""),45423.0)</f>
        <v>45423</v>
      </c>
      <c r="C13377" s="13">
        <f>IFERROR(__xludf.DUMMYFUNCTION("""COMPUTED_VALUE"""),0.375)</f>
        <v>0.375</v>
      </c>
      <c r="D13377" s="8">
        <f>IFERROR(__xludf.DUMMYFUNCTION("""COMPUTED_VALUE"""),0.944)</f>
        <v>0.944</v>
      </c>
      <c r="E13377" s="8" t="str">
        <f>IFERROR(__xludf.DUMMYFUNCTION("""COMPUTED_VALUE"""),"Real")</f>
        <v>Real</v>
      </c>
      <c r="G13377" s="8">
        <f t="shared" si="1"/>
        <v>5</v>
      </c>
      <c r="H13377" s="14">
        <f t="shared" si="2"/>
        <v>11</v>
      </c>
      <c r="I13377" s="15">
        <f t="shared" si="3"/>
        <v>9</v>
      </c>
    </row>
    <row r="13378">
      <c r="A13378" s="8" t="str">
        <f>IFERROR(__xludf.DUMMYFUNCTION("IF('(INGESTA)Datos_consumo_datadis'!A13378&lt;&gt;"""",SPLIT('(INGESTA)Datos_consumo_datadis'!A:A,"",""),"""")"),"ES0031408323131005HX0F")</f>
        <v>ES0031408323131005HX0F</v>
      </c>
      <c r="B13378" s="12">
        <f>IFERROR(__xludf.DUMMYFUNCTION("""COMPUTED_VALUE"""),45423.0)</f>
        <v>45423</v>
      </c>
      <c r="C13378" s="13">
        <f>IFERROR(__xludf.DUMMYFUNCTION("""COMPUTED_VALUE"""),0.4166666666666667)</f>
        <v>0.4166666667</v>
      </c>
      <c r="D13378" s="8">
        <f>IFERROR(__xludf.DUMMYFUNCTION("""COMPUTED_VALUE"""),0.164)</f>
        <v>0.164</v>
      </c>
      <c r="E13378" s="8" t="str">
        <f>IFERROR(__xludf.DUMMYFUNCTION("""COMPUTED_VALUE"""),"Real")</f>
        <v>Real</v>
      </c>
      <c r="G13378" s="8">
        <f t="shared" si="1"/>
        <v>5</v>
      </c>
      <c r="H13378" s="14">
        <f t="shared" si="2"/>
        <v>11</v>
      </c>
      <c r="I13378" s="15">
        <f t="shared" si="3"/>
        <v>10</v>
      </c>
    </row>
    <row r="13379">
      <c r="A13379" s="8" t="str">
        <f>IFERROR(__xludf.DUMMYFUNCTION("IF('(INGESTA)Datos_consumo_datadis'!A13379&lt;&gt;"""",SPLIT('(INGESTA)Datos_consumo_datadis'!A:A,"",""),"""")"),"ES0031408323131005HX0F")</f>
        <v>ES0031408323131005HX0F</v>
      </c>
      <c r="B13379" s="12">
        <f>IFERROR(__xludf.DUMMYFUNCTION("""COMPUTED_VALUE"""),45423.0)</f>
        <v>45423</v>
      </c>
      <c r="C13379" s="13">
        <f>IFERROR(__xludf.DUMMYFUNCTION("""COMPUTED_VALUE"""),0.4583333333333333)</f>
        <v>0.4583333333</v>
      </c>
      <c r="D13379" s="8">
        <f>IFERROR(__xludf.DUMMYFUNCTION("""COMPUTED_VALUE"""),0.106)</f>
        <v>0.106</v>
      </c>
      <c r="E13379" s="8" t="str">
        <f>IFERROR(__xludf.DUMMYFUNCTION("""COMPUTED_VALUE"""),"Real")</f>
        <v>Real</v>
      </c>
      <c r="G13379" s="8">
        <f t="shared" si="1"/>
        <v>5</v>
      </c>
      <c r="H13379" s="14">
        <f t="shared" si="2"/>
        <v>11</v>
      </c>
      <c r="I13379" s="15">
        <f t="shared" si="3"/>
        <v>11</v>
      </c>
    </row>
    <row r="13380">
      <c r="A13380" s="8" t="str">
        <f>IFERROR(__xludf.DUMMYFUNCTION("IF('(INGESTA)Datos_consumo_datadis'!A13380&lt;&gt;"""",SPLIT('(INGESTA)Datos_consumo_datadis'!A:A,"",""),"""")"),"ES0031408323131005HX0F")</f>
        <v>ES0031408323131005HX0F</v>
      </c>
      <c r="B13380" s="12">
        <f>IFERROR(__xludf.DUMMYFUNCTION("""COMPUTED_VALUE"""),45423.0)</f>
        <v>45423</v>
      </c>
      <c r="C13380" s="13">
        <f>IFERROR(__xludf.DUMMYFUNCTION("""COMPUTED_VALUE"""),0.5)</f>
        <v>0.5</v>
      </c>
      <c r="D13380" s="8">
        <f>IFERROR(__xludf.DUMMYFUNCTION("""COMPUTED_VALUE"""),0.198)</f>
        <v>0.198</v>
      </c>
      <c r="E13380" s="8" t="str">
        <f>IFERROR(__xludf.DUMMYFUNCTION("""COMPUTED_VALUE"""),"Real")</f>
        <v>Real</v>
      </c>
      <c r="G13380" s="8">
        <f t="shared" si="1"/>
        <v>5</v>
      </c>
      <c r="H13380" s="14">
        <f t="shared" si="2"/>
        <v>11</v>
      </c>
      <c r="I13380" s="15">
        <f t="shared" si="3"/>
        <v>12</v>
      </c>
    </row>
    <row r="13381">
      <c r="A13381" s="8" t="str">
        <f>IFERROR(__xludf.DUMMYFUNCTION("IF('(INGESTA)Datos_consumo_datadis'!A13381&lt;&gt;"""",SPLIT('(INGESTA)Datos_consumo_datadis'!A:A,"",""),"""")"),"ES0031408323131005HX0F")</f>
        <v>ES0031408323131005HX0F</v>
      </c>
      <c r="B13381" s="12">
        <f>IFERROR(__xludf.DUMMYFUNCTION("""COMPUTED_VALUE"""),45423.0)</f>
        <v>45423</v>
      </c>
      <c r="C13381" s="13">
        <f>IFERROR(__xludf.DUMMYFUNCTION("""COMPUTED_VALUE"""),0.5416666666666666)</f>
        <v>0.5416666667</v>
      </c>
      <c r="D13381" s="8">
        <f>IFERROR(__xludf.DUMMYFUNCTION("""COMPUTED_VALUE"""),0.123)</f>
        <v>0.123</v>
      </c>
      <c r="E13381" s="8" t="str">
        <f>IFERROR(__xludf.DUMMYFUNCTION("""COMPUTED_VALUE"""),"Real")</f>
        <v>Real</v>
      </c>
      <c r="G13381" s="8">
        <f t="shared" si="1"/>
        <v>5</v>
      </c>
      <c r="H13381" s="14">
        <f t="shared" si="2"/>
        <v>11</v>
      </c>
      <c r="I13381" s="15">
        <f t="shared" si="3"/>
        <v>13</v>
      </c>
    </row>
    <row r="13382">
      <c r="A13382" s="8" t="str">
        <f>IFERROR(__xludf.DUMMYFUNCTION("IF('(INGESTA)Datos_consumo_datadis'!A13382&lt;&gt;"""",SPLIT('(INGESTA)Datos_consumo_datadis'!A:A,"",""),"""")"),"ES0031408323131005HX0F")</f>
        <v>ES0031408323131005HX0F</v>
      </c>
      <c r="B13382" s="12">
        <f>IFERROR(__xludf.DUMMYFUNCTION("""COMPUTED_VALUE"""),45423.0)</f>
        <v>45423</v>
      </c>
      <c r="C13382" s="13">
        <f>IFERROR(__xludf.DUMMYFUNCTION("""COMPUTED_VALUE"""),0.5833333333333334)</f>
        <v>0.5833333333</v>
      </c>
      <c r="D13382" s="8">
        <f>IFERROR(__xludf.DUMMYFUNCTION("""COMPUTED_VALUE"""),0.981)</f>
        <v>0.981</v>
      </c>
      <c r="E13382" s="8" t="str">
        <f>IFERROR(__xludf.DUMMYFUNCTION("""COMPUTED_VALUE"""),"Real")</f>
        <v>Real</v>
      </c>
      <c r="G13382" s="8">
        <f t="shared" si="1"/>
        <v>5</v>
      </c>
      <c r="H13382" s="14">
        <f t="shared" si="2"/>
        <v>11</v>
      </c>
      <c r="I13382" s="15">
        <f t="shared" si="3"/>
        <v>14</v>
      </c>
    </row>
    <row r="13383">
      <c r="A13383" s="8" t="str">
        <f>IFERROR(__xludf.DUMMYFUNCTION("IF('(INGESTA)Datos_consumo_datadis'!A13383&lt;&gt;"""",SPLIT('(INGESTA)Datos_consumo_datadis'!A:A,"",""),"""")"),"ES0031408323131005HX0F")</f>
        <v>ES0031408323131005HX0F</v>
      </c>
      <c r="B13383" s="12">
        <f>IFERROR(__xludf.DUMMYFUNCTION("""COMPUTED_VALUE"""),45423.0)</f>
        <v>45423</v>
      </c>
      <c r="C13383" s="13">
        <f>IFERROR(__xludf.DUMMYFUNCTION("""COMPUTED_VALUE"""),0.625)</f>
        <v>0.625</v>
      </c>
      <c r="D13383" s="8">
        <f>IFERROR(__xludf.DUMMYFUNCTION("""COMPUTED_VALUE"""),0.21)</f>
        <v>0.21</v>
      </c>
      <c r="E13383" s="8" t="str">
        <f>IFERROR(__xludf.DUMMYFUNCTION("""COMPUTED_VALUE"""),"Real")</f>
        <v>Real</v>
      </c>
      <c r="G13383" s="8">
        <f t="shared" si="1"/>
        <v>5</v>
      </c>
      <c r="H13383" s="14">
        <f t="shared" si="2"/>
        <v>11</v>
      </c>
      <c r="I13383" s="15">
        <f t="shared" si="3"/>
        <v>15</v>
      </c>
    </row>
    <row r="13384">
      <c r="A13384" s="8" t="str">
        <f>IFERROR(__xludf.DUMMYFUNCTION("IF('(INGESTA)Datos_consumo_datadis'!A13384&lt;&gt;"""",SPLIT('(INGESTA)Datos_consumo_datadis'!A:A,"",""),"""")"),"ES0031408323131005HX0F")</f>
        <v>ES0031408323131005HX0F</v>
      </c>
      <c r="B13384" s="12">
        <f>IFERROR(__xludf.DUMMYFUNCTION("""COMPUTED_VALUE"""),45423.0)</f>
        <v>45423</v>
      </c>
      <c r="C13384" s="13">
        <f>IFERROR(__xludf.DUMMYFUNCTION("""COMPUTED_VALUE"""),0.6666666666666666)</f>
        <v>0.6666666667</v>
      </c>
      <c r="D13384" s="8">
        <f>IFERROR(__xludf.DUMMYFUNCTION("""COMPUTED_VALUE"""),0.152)</f>
        <v>0.152</v>
      </c>
      <c r="E13384" s="8" t="str">
        <f>IFERROR(__xludf.DUMMYFUNCTION("""COMPUTED_VALUE"""),"Real")</f>
        <v>Real</v>
      </c>
      <c r="G13384" s="8">
        <f t="shared" si="1"/>
        <v>5</v>
      </c>
      <c r="H13384" s="14">
        <f t="shared" si="2"/>
        <v>11</v>
      </c>
      <c r="I13384" s="15">
        <f t="shared" si="3"/>
        <v>16</v>
      </c>
    </row>
    <row r="13385">
      <c r="A13385" s="8" t="str">
        <f>IFERROR(__xludf.DUMMYFUNCTION("IF('(INGESTA)Datos_consumo_datadis'!A13385&lt;&gt;"""",SPLIT('(INGESTA)Datos_consumo_datadis'!A:A,"",""),"""")"),"ES0031408323131005HX0F")</f>
        <v>ES0031408323131005HX0F</v>
      </c>
      <c r="B13385" s="12">
        <f>IFERROR(__xludf.DUMMYFUNCTION("""COMPUTED_VALUE"""),45423.0)</f>
        <v>45423</v>
      </c>
      <c r="C13385" s="13">
        <f>IFERROR(__xludf.DUMMYFUNCTION("""COMPUTED_VALUE"""),0.7083333333333334)</f>
        <v>0.7083333333</v>
      </c>
      <c r="D13385" s="8">
        <f>IFERROR(__xludf.DUMMYFUNCTION("""COMPUTED_VALUE"""),0.182)</f>
        <v>0.182</v>
      </c>
      <c r="E13385" s="8" t="str">
        <f>IFERROR(__xludf.DUMMYFUNCTION("""COMPUTED_VALUE"""),"Real")</f>
        <v>Real</v>
      </c>
      <c r="G13385" s="8">
        <f t="shared" si="1"/>
        <v>5</v>
      </c>
      <c r="H13385" s="14">
        <f t="shared" si="2"/>
        <v>11</v>
      </c>
      <c r="I13385" s="15">
        <f t="shared" si="3"/>
        <v>17</v>
      </c>
    </row>
    <row r="13386">
      <c r="A13386" s="8" t="str">
        <f>IFERROR(__xludf.DUMMYFUNCTION("IF('(INGESTA)Datos_consumo_datadis'!A13386&lt;&gt;"""",SPLIT('(INGESTA)Datos_consumo_datadis'!A:A,"",""),"""")"),"ES0031408323131005HX0F")</f>
        <v>ES0031408323131005HX0F</v>
      </c>
      <c r="B13386" s="12">
        <f>IFERROR(__xludf.DUMMYFUNCTION("""COMPUTED_VALUE"""),45423.0)</f>
        <v>45423</v>
      </c>
      <c r="C13386" s="13">
        <f>IFERROR(__xludf.DUMMYFUNCTION("""COMPUTED_VALUE"""),0.75)</f>
        <v>0.75</v>
      </c>
      <c r="D13386" s="8">
        <f>IFERROR(__xludf.DUMMYFUNCTION("""COMPUTED_VALUE"""),0.455)</f>
        <v>0.455</v>
      </c>
      <c r="E13386" s="8" t="str">
        <f>IFERROR(__xludf.DUMMYFUNCTION("""COMPUTED_VALUE"""),"Real")</f>
        <v>Real</v>
      </c>
      <c r="G13386" s="8">
        <f t="shared" si="1"/>
        <v>5</v>
      </c>
      <c r="H13386" s="14">
        <f t="shared" si="2"/>
        <v>11</v>
      </c>
      <c r="I13386" s="15">
        <f t="shared" si="3"/>
        <v>18</v>
      </c>
    </row>
    <row r="13387">
      <c r="A13387" s="8" t="str">
        <f>IFERROR(__xludf.DUMMYFUNCTION("IF('(INGESTA)Datos_consumo_datadis'!A13387&lt;&gt;"""",SPLIT('(INGESTA)Datos_consumo_datadis'!A:A,"",""),"""")"),"ES0031408323131005HX0F")</f>
        <v>ES0031408323131005HX0F</v>
      </c>
      <c r="B13387" s="12">
        <f>IFERROR(__xludf.DUMMYFUNCTION("""COMPUTED_VALUE"""),45423.0)</f>
        <v>45423</v>
      </c>
      <c r="C13387" s="13">
        <f>IFERROR(__xludf.DUMMYFUNCTION("""COMPUTED_VALUE"""),0.7916666666666666)</f>
        <v>0.7916666667</v>
      </c>
      <c r="D13387" s="8">
        <f>IFERROR(__xludf.DUMMYFUNCTION("""COMPUTED_VALUE"""),0.837)</f>
        <v>0.837</v>
      </c>
      <c r="E13387" s="8" t="str">
        <f>IFERROR(__xludf.DUMMYFUNCTION("""COMPUTED_VALUE"""),"Real")</f>
        <v>Real</v>
      </c>
      <c r="G13387" s="8">
        <f t="shared" si="1"/>
        <v>5</v>
      </c>
      <c r="H13387" s="14">
        <f t="shared" si="2"/>
        <v>11</v>
      </c>
      <c r="I13387" s="15">
        <f t="shared" si="3"/>
        <v>19</v>
      </c>
    </row>
    <row r="13388">
      <c r="A13388" s="8" t="str">
        <f>IFERROR(__xludf.DUMMYFUNCTION("IF('(INGESTA)Datos_consumo_datadis'!A13388&lt;&gt;"""",SPLIT('(INGESTA)Datos_consumo_datadis'!A:A,"",""),"""")"),"ES0031408323131005HX0F")</f>
        <v>ES0031408323131005HX0F</v>
      </c>
      <c r="B13388" s="12">
        <f>IFERROR(__xludf.DUMMYFUNCTION("""COMPUTED_VALUE"""),45423.0)</f>
        <v>45423</v>
      </c>
      <c r="C13388" s="13">
        <f>IFERROR(__xludf.DUMMYFUNCTION("""COMPUTED_VALUE"""),0.8333333333333334)</f>
        <v>0.8333333333</v>
      </c>
      <c r="D13388" s="8">
        <f>IFERROR(__xludf.DUMMYFUNCTION("""COMPUTED_VALUE"""),0.079)</f>
        <v>0.079</v>
      </c>
      <c r="E13388" s="8" t="str">
        <f>IFERROR(__xludf.DUMMYFUNCTION("""COMPUTED_VALUE"""),"Real")</f>
        <v>Real</v>
      </c>
      <c r="G13388" s="8">
        <f t="shared" si="1"/>
        <v>5</v>
      </c>
      <c r="H13388" s="14">
        <f t="shared" si="2"/>
        <v>11</v>
      </c>
      <c r="I13388" s="15">
        <f t="shared" si="3"/>
        <v>20</v>
      </c>
    </row>
    <row r="13389">
      <c r="A13389" s="8" t="str">
        <f>IFERROR(__xludf.DUMMYFUNCTION("IF('(INGESTA)Datos_consumo_datadis'!A13389&lt;&gt;"""",SPLIT('(INGESTA)Datos_consumo_datadis'!A:A,"",""),"""")"),"ES0031408323131005HX0F")</f>
        <v>ES0031408323131005HX0F</v>
      </c>
      <c r="B13389" s="12">
        <f>IFERROR(__xludf.DUMMYFUNCTION("""COMPUTED_VALUE"""),45423.0)</f>
        <v>45423</v>
      </c>
      <c r="C13389" s="13">
        <f>IFERROR(__xludf.DUMMYFUNCTION("""COMPUTED_VALUE"""),0.875)</f>
        <v>0.875</v>
      </c>
      <c r="D13389" s="8">
        <f>IFERROR(__xludf.DUMMYFUNCTION("""COMPUTED_VALUE"""),0.042)</f>
        <v>0.042</v>
      </c>
      <c r="E13389" s="8" t="str">
        <f>IFERROR(__xludf.DUMMYFUNCTION("""COMPUTED_VALUE"""),"Real")</f>
        <v>Real</v>
      </c>
      <c r="G13389" s="8">
        <f t="shared" si="1"/>
        <v>5</v>
      </c>
      <c r="H13389" s="14">
        <f t="shared" si="2"/>
        <v>11</v>
      </c>
      <c r="I13389" s="15">
        <f t="shared" si="3"/>
        <v>21</v>
      </c>
    </row>
    <row r="13390">
      <c r="A13390" s="8" t="str">
        <f>IFERROR(__xludf.DUMMYFUNCTION("IF('(INGESTA)Datos_consumo_datadis'!A13390&lt;&gt;"""",SPLIT('(INGESTA)Datos_consumo_datadis'!A:A,"",""),"""")"),"ES0031408323131005HX0F")</f>
        <v>ES0031408323131005HX0F</v>
      </c>
      <c r="B13390" s="12">
        <f>IFERROR(__xludf.DUMMYFUNCTION("""COMPUTED_VALUE"""),45423.0)</f>
        <v>45423</v>
      </c>
      <c r="C13390" s="13">
        <f>IFERROR(__xludf.DUMMYFUNCTION("""COMPUTED_VALUE"""),0.9166666666666666)</f>
        <v>0.9166666667</v>
      </c>
      <c r="D13390" s="8">
        <f>IFERROR(__xludf.DUMMYFUNCTION("""COMPUTED_VALUE"""),0.082)</f>
        <v>0.082</v>
      </c>
      <c r="E13390" s="8" t="str">
        <f>IFERROR(__xludf.DUMMYFUNCTION("""COMPUTED_VALUE"""),"Real")</f>
        <v>Real</v>
      </c>
      <c r="G13390" s="8">
        <f t="shared" si="1"/>
        <v>5</v>
      </c>
      <c r="H13390" s="14">
        <f t="shared" si="2"/>
        <v>11</v>
      </c>
      <c r="I13390" s="15">
        <f t="shared" si="3"/>
        <v>22</v>
      </c>
    </row>
    <row r="13391">
      <c r="A13391" s="8" t="str">
        <f>IFERROR(__xludf.DUMMYFUNCTION("IF('(INGESTA)Datos_consumo_datadis'!A13391&lt;&gt;"""",SPLIT('(INGESTA)Datos_consumo_datadis'!A:A,"",""),"""")"),"ES0031408323131005HX0F")</f>
        <v>ES0031408323131005HX0F</v>
      </c>
      <c r="B13391" s="12">
        <f>IFERROR(__xludf.DUMMYFUNCTION("""COMPUTED_VALUE"""),45423.0)</f>
        <v>45423</v>
      </c>
      <c r="C13391" s="13">
        <f>IFERROR(__xludf.DUMMYFUNCTION("""COMPUTED_VALUE"""),0.9583333333333334)</f>
        <v>0.9583333333</v>
      </c>
      <c r="D13391" s="8">
        <f>IFERROR(__xludf.DUMMYFUNCTION("""COMPUTED_VALUE"""),0.056)</f>
        <v>0.056</v>
      </c>
      <c r="E13391" s="8" t="str">
        <f>IFERROR(__xludf.DUMMYFUNCTION("""COMPUTED_VALUE"""),"Real")</f>
        <v>Real</v>
      </c>
      <c r="G13391" s="8">
        <f t="shared" si="1"/>
        <v>5</v>
      </c>
      <c r="H13391" s="14">
        <f t="shared" si="2"/>
        <v>11</v>
      </c>
      <c r="I13391" s="15">
        <f t="shared" si="3"/>
        <v>23</v>
      </c>
    </row>
    <row r="13392">
      <c r="A13392" s="8" t="str">
        <f>IFERROR(__xludf.DUMMYFUNCTION("IF('(INGESTA)Datos_consumo_datadis'!A13392&lt;&gt;"""",SPLIT('(INGESTA)Datos_consumo_datadis'!A:A,"",""),"""")"),"ES0031408323131005HX0F")</f>
        <v>ES0031408323131005HX0F</v>
      </c>
      <c r="B13392" s="12">
        <f>IFERROR(__xludf.DUMMYFUNCTION("""COMPUTED_VALUE"""),45423.0)</f>
        <v>45423</v>
      </c>
      <c r="C13392" s="16">
        <f>IFERROR(__xludf.DUMMYFUNCTION("""COMPUTED_VALUE"""),1.0)</f>
        <v>1</v>
      </c>
      <c r="D13392" s="8">
        <f>IFERROR(__xludf.DUMMYFUNCTION("""COMPUTED_VALUE"""),0.493)</f>
        <v>0.493</v>
      </c>
      <c r="E13392" s="8" t="str">
        <f>IFERROR(__xludf.DUMMYFUNCTION("""COMPUTED_VALUE"""),"Real")</f>
        <v>Real</v>
      </c>
      <c r="G13392" s="8">
        <f t="shared" si="1"/>
        <v>5</v>
      </c>
      <c r="H13392" s="14">
        <f t="shared" si="2"/>
        <v>11</v>
      </c>
      <c r="I13392" s="15">
        <f t="shared" si="3"/>
        <v>0</v>
      </c>
    </row>
    <row r="13393">
      <c r="A13393" s="8" t="str">
        <f>IFERROR(__xludf.DUMMYFUNCTION("IF('(INGESTA)Datos_consumo_datadis'!A13393&lt;&gt;"""",SPLIT('(INGESTA)Datos_consumo_datadis'!A:A,"",""),"""")"),"ES0031408323131005HX0F")</f>
        <v>ES0031408323131005HX0F</v>
      </c>
      <c r="B13393" s="12">
        <f>IFERROR(__xludf.DUMMYFUNCTION("""COMPUTED_VALUE"""),45424.0)</f>
        <v>45424</v>
      </c>
      <c r="C13393" s="13">
        <f>IFERROR(__xludf.DUMMYFUNCTION("""COMPUTED_VALUE"""),0.041666666666666664)</f>
        <v>0.04166666667</v>
      </c>
      <c r="D13393" s="8">
        <f>IFERROR(__xludf.DUMMYFUNCTION("""COMPUTED_VALUE"""),0.069)</f>
        <v>0.069</v>
      </c>
      <c r="E13393" s="8" t="str">
        <f>IFERROR(__xludf.DUMMYFUNCTION("""COMPUTED_VALUE"""),"Real")</f>
        <v>Real</v>
      </c>
      <c r="G13393" s="8">
        <f t="shared" si="1"/>
        <v>5</v>
      </c>
      <c r="H13393" s="14">
        <f t="shared" si="2"/>
        <v>12</v>
      </c>
      <c r="I13393" s="15">
        <f t="shared" si="3"/>
        <v>1</v>
      </c>
    </row>
    <row r="13394">
      <c r="A13394" s="8" t="str">
        <f>IFERROR(__xludf.DUMMYFUNCTION("IF('(INGESTA)Datos_consumo_datadis'!A13394&lt;&gt;"""",SPLIT('(INGESTA)Datos_consumo_datadis'!A:A,"",""),"""")"),"ES0031408323131005HX0F")</f>
        <v>ES0031408323131005HX0F</v>
      </c>
      <c r="B13394" s="12">
        <f>IFERROR(__xludf.DUMMYFUNCTION("""COMPUTED_VALUE"""),45424.0)</f>
        <v>45424</v>
      </c>
      <c r="C13394" s="13">
        <f>IFERROR(__xludf.DUMMYFUNCTION("""COMPUTED_VALUE"""),0.08333333333333333)</f>
        <v>0.08333333333</v>
      </c>
      <c r="D13394" s="8">
        <f>IFERROR(__xludf.DUMMYFUNCTION("""COMPUTED_VALUE"""),0.071)</f>
        <v>0.071</v>
      </c>
      <c r="E13394" s="8" t="str">
        <f>IFERROR(__xludf.DUMMYFUNCTION("""COMPUTED_VALUE"""),"Real")</f>
        <v>Real</v>
      </c>
      <c r="G13394" s="8">
        <f t="shared" si="1"/>
        <v>5</v>
      </c>
      <c r="H13394" s="14">
        <f t="shared" si="2"/>
        <v>12</v>
      </c>
      <c r="I13394" s="15">
        <f t="shared" si="3"/>
        <v>2</v>
      </c>
    </row>
    <row r="13395">
      <c r="A13395" s="8" t="str">
        <f>IFERROR(__xludf.DUMMYFUNCTION("IF('(INGESTA)Datos_consumo_datadis'!A13395&lt;&gt;"""",SPLIT('(INGESTA)Datos_consumo_datadis'!A:A,"",""),"""")"),"ES0031408323131005HX0F")</f>
        <v>ES0031408323131005HX0F</v>
      </c>
      <c r="B13395" s="12">
        <f>IFERROR(__xludf.DUMMYFUNCTION("""COMPUTED_VALUE"""),45424.0)</f>
        <v>45424</v>
      </c>
      <c r="C13395" s="13">
        <f>IFERROR(__xludf.DUMMYFUNCTION("""COMPUTED_VALUE"""),0.125)</f>
        <v>0.125</v>
      </c>
      <c r="D13395" s="8">
        <f>IFERROR(__xludf.DUMMYFUNCTION("""COMPUTED_VALUE"""),0.072)</f>
        <v>0.072</v>
      </c>
      <c r="E13395" s="8" t="str">
        <f>IFERROR(__xludf.DUMMYFUNCTION("""COMPUTED_VALUE"""),"Real")</f>
        <v>Real</v>
      </c>
      <c r="G13395" s="8">
        <f t="shared" si="1"/>
        <v>5</v>
      </c>
      <c r="H13395" s="14">
        <f t="shared" si="2"/>
        <v>12</v>
      </c>
      <c r="I13395" s="15">
        <f t="shared" si="3"/>
        <v>3</v>
      </c>
    </row>
    <row r="13396">
      <c r="A13396" s="8" t="str">
        <f>IFERROR(__xludf.DUMMYFUNCTION("IF('(INGESTA)Datos_consumo_datadis'!A13396&lt;&gt;"""",SPLIT('(INGESTA)Datos_consumo_datadis'!A:A,"",""),"""")"),"ES0031408323131005HX0F")</f>
        <v>ES0031408323131005HX0F</v>
      </c>
      <c r="B13396" s="12">
        <f>IFERROR(__xludf.DUMMYFUNCTION("""COMPUTED_VALUE"""),45424.0)</f>
        <v>45424</v>
      </c>
      <c r="C13396" s="13">
        <f>IFERROR(__xludf.DUMMYFUNCTION("""COMPUTED_VALUE"""),0.16666666666666666)</f>
        <v>0.1666666667</v>
      </c>
      <c r="D13396" s="8">
        <f>IFERROR(__xludf.DUMMYFUNCTION("""COMPUTED_VALUE"""),0.042)</f>
        <v>0.042</v>
      </c>
      <c r="E13396" s="8" t="str">
        <f>IFERROR(__xludf.DUMMYFUNCTION("""COMPUTED_VALUE"""),"Real")</f>
        <v>Real</v>
      </c>
      <c r="G13396" s="8">
        <f t="shared" si="1"/>
        <v>5</v>
      </c>
      <c r="H13396" s="14">
        <f t="shared" si="2"/>
        <v>12</v>
      </c>
      <c r="I13396" s="15">
        <f t="shared" si="3"/>
        <v>4</v>
      </c>
    </row>
    <row r="13397">
      <c r="A13397" s="8" t="str">
        <f>IFERROR(__xludf.DUMMYFUNCTION("IF('(INGESTA)Datos_consumo_datadis'!A13397&lt;&gt;"""",SPLIT('(INGESTA)Datos_consumo_datadis'!A:A,"",""),"""")"),"ES0031408323131005HX0F")</f>
        <v>ES0031408323131005HX0F</v>
      </c>
      <c r="B13397" s="12">
        <f>IFERROR(__xludf.DUMMYFUNCTION("""COMPUTED_VALUE"""),45424.0)</f>
        <v>45424</v>
      </c>
      <c r="C13397" s="13">
        <f>IFERROR(__xludf.DUMMYFUNCTION("""COMPUTED_VALUE"""),0.20833333333333334)</f>
        <v>0.2083333333</v>
      </c>
      <c r="D13397" s="8">
        <f>IFERROR(__xludf.DUMMYFUNCTION("""COMPUTED_VALUE"""),0.071)</f>
        <v>0.071</v>
      </c>
      <c r="E13397" s="8" t="str">
        <f>IFERROR(__xludf.DUMMYFUNCTION("""COMPUTED_VALUE"""),"Real")</f>
        <v>Real</v>
      </c>
      <c r="G13397" s="8">
        <f t="shared" si="1"/>
        <v>5</v>
      </c>
      <c r="H13397" s="14">
        <f t="shared" si="2"/>
        <v>12</v>
      </c>
      <c r="I13397" s="15">
        <f t="shared" si="3"/>
        <v>5</v>
      </c>
    </row>
    <row r="13398">
      <c r="A13398" s="8" t="str">
        <f>IFERROR(__xludf.DUMMYFUNCTION("IF('(INGESTA)Datos_consumo_datadis'!A13398&lt;&gt;"""",SPLIT('(INGESTA)Datos_consumo_datadis'!A:A,"",""),"""")"),"ES0031408323131005HX0F")</f>
        <v>ES0031408323131005HX0F</v>
      </c>
      <c r="B13398" s="12">
        <f>IFERROR(__xludf.DUMMYFUNCTION("""COMPUTED_VALUE"""),45424.0)</f>
        <v>45424</v>
      </c>
      <c r="C13398" s="13">
        <f>IFERROR(__xludf.DUMMYFUNCTION("""COMPUTED_VALUE"""),0.25)</f>
        <v>0.25</v>
      </c>
      <c r="D13398" s="8">
        <f>IFERROR(__xludf.DUMMYFUNCTION("""COMPUTED_VALUE"""),0.286)</f>
        <v>0.286</v>
      </c>
      <c r="E13398" s="8" t="str">
        <f>IFERROR(__xludf.DUMMYFUNCTION("""COMPUTED_VALUE"""),"Real")</f>
        <v>Real</v>
      </c>
      <c r="G13398" s="8">
        <f t="shared" si="1"/>
        <v>5</v>
      </c>
      <c r="H13398" s="14">
        <f t="shared" si="2"/>
        <v>12</v>
      </c>
      <c r="I13398" s="15">
        <f t="shared" si="3"/>
        <v>6</v>
      </c>
    </row>
    <row r="13399">
      <c r="A13399" s="8" t="str">
        <f>IFERROR(__xludf.DUMMYFUNCTION("IF('(INGESTA)Datos_consumo_datadis'!A13399&lt;&gt;"""",SPLIT('(INGESTA)Datos_consumo_datadis'!A:A,"",""),"""")"),"ES0031408323131005HX0F")</f>
        <v>ES0031408323131005HX0F</v>
      </c>
      <c r="B13399" s="12">
        <f>IFERROR(__xludf.DUMMYFUNCTION("""COMPUTED_VALUE"""),45424.0)</f>
        <v>45424</v>
      </c>
      <c r="C13399" s="13">
        <f>IFERROR(__xludf.DUMMYFUNCTION("""COMPUTED_VALUE"""),0.2916666666666667)</f>
        <v>0.2916666667</v>
      </c>
      <c r="D13399" s="8">
        <f>IFERROR(__xludf.DUMMYFUNCTION("""COMPUTED_VALUE"""),0.075)</f>
        <v>0.075</v>
      </c>
      <c r="E13399" s="8" t="str">
        <f>IFERROR(__xludf.DUMMYFUNCTION("""COMPUTED_VALUE"""),"Real")</f>
        <v>Real</v>
      </c>
      <c r="G13399" s="8">
        <f t="shared" si="1"/>
        <v>5</v>
      </c>
      <c r="H13399" s="14">
        <f t="shared" si="2"/>
        <v>12</v>
      </c>
      <c r="I13399" s="15">
        <f t="shared" si="3"/>
        <v>7</v>
      </c>
    </row>
    <row r="13400">
      <c r="A13400" s="8" t="str">
        <f>IFERROR(__xludf.DUMMYFUNCTION("IF('(INGESTA)Datos_consumo_datadis'!A13400&lt;&gt;"""",SPLIT('(INGESTA)Datos_consumo_datadis'!A:A,"",""),"""")"),"ES0031408323131005HX0F")</f>
        <v>ES0031408323131005HX0F</v>
      </c>
      <c r="B13400" s="12">
        <f>IFERROR(__xludf.DUMMYFUNCTION("""COMPUTED_VALUE"""),45424.0)</f>
        <v>45424</v>
      </c>
      <c r="C13400" s="13">
        <f>IFERROR(__xludf.DUMMYFUNCTION("""COMPUTED_VALUE"""),0.3333333333333333)</f>
        <v>0.3333333333</v>
      </c>
      <c r="D13400" s="8">
        <f>IFERROR(__xludf.DUMMYFUNCTION("""COMPUTED_VALUE"""),0.051)</f>
        <v>0.051</v>
      </c>
      <c r="E13400" s="8" t="str">
        <f>IFERROR(__xludf.DUMMYFUNCTION("""COMPUTED_VALUE"""),"Real")</f>
        <v>Real</v>
      </c>
      <c r="G13400" s="8">
        <f t="shared" si="1"/>
        <v>5</v>
      </c>
      <c r="H13400" s="14">
        <f t="shared" si="2"/>
        <v>12</v>
      </c>
      <c r="I13400" s="15">
        <f t="shared" si="3"/>
        <v>8</v>
      </c>
    </row>
    <row r="13401">
      <c r="A13401" s="8" t="str">
        <f>IFERROR(__xludf.DUMMYFUNCTION("IF('(INGESTA)Datos_consumo_datadis'!A13401&lt;&gt;"""",SPLIT('(INGESTA)Datos_consumo_datadis'!A:A,"",""),"""")"),"ES0031408323131005HX0F")</f>
        <v>ES0031408323131005HX0F</v>
      </c>
      <c r="B13401" s="12">
        <f>IFERROR(__xludf.DUMMYFUNCTION("""COMPUTED_VALUE"""),45424.0)</f>
        <v>45424</v>
      </c>
      <c r="C13401" s="13">
        <f>IFERROR(__xludf.DUMMYFUNCTION("""COMPUTED_VALUE"""),0.375)</f>
        <v>0.375</v>
      </c>
      <c r="D13401" s="8">
        <f>IFERROR(__xludf.DUMMYFUNCTION("""COMPUTED_VALUE"""),0.08)</f>
        <v>0.08</v>
      </c>
      <c r="E13401" s="8" t="str">
        <f>IFERROR(__xludf.DUMMYFUNCTION("""COMPUTED_VALUE"""),"Real")</f>
        <v>Real</v>
      </c>
      <c r="G13401" s="8">
        <f t="shared" si="1"/>
        <v>5</v>
      </c>
      <c r="H13401" s="14">
        <f t="shared" si="2"/>
        <v>12</v>
      </c>
      <c r="I13401" s="15">
        <f t="shared" si="3"/>
        <v>9</v>
      </c>
    </row>
    <row r="13402">
      <c r="A13402" s="8" t="str">
        <f>IFERROR(__xludf.DUMMYFUNCTION("IF('(INGESTA)Datos_consumo_datadis'!A13402&lt;&gt;"""",SPLIT('(INGESTA)Datos_consumo_datadis'!A:A,"",""),"""")"),"ES0031408323131005HX0F")</f>
        <v>ES0031408323131005HX0F</v>
      </c>
      <c r="B13402" s="12">
        <f>IFERROR(__xludf.DUMMYFUNCTION("""COMPUTED_VALUE"""),45424.0)</f>
        <v>45424</v>
      </c>
      <c r="C13402" s="13">
        <f>IFERROR(__xludf.DUMMYFUNCTION("""COMPUTED_VALUE"""),0.4166666666666667)</f>
        <v>0.4166666667</v>
      </c>
      <c r="D13402" s="8">
        <f>IFERROR(__xludf.DUMMYFUNCTION("""COMPUTED_VALUE"""),0.124)</f>
        <v>0.124</v>
      </c>
      <c r="E13402" s="8" t="str">
        <f>IFERROR(__xludf.DUMMYFUNCTION("""COMPUTED_VALUE"""),"Real")</f>
        <v>Real</v>
      </c>
      <c r="G13402" s="8">
        <f t="shared" si="1"/>
        <v>5</v>
      </c>
      <c r="H13402" s="14">
        <f t="shared" si="2"/>
        <v>12</v>
      </c>
      <c r="I13402" s="15">
        <f t="shared" si="3"/>
        <v>10</v>
      </c>
    </row>
    <row r="13403">
      <c r="A13403" s="8" t="str">
        <f>IFERROR(__xludf.DUMMYFUNCTION("IF('(INGESTA)Datos_consumo_datadis'!A13403&lt;&gt;"""",SPLIT('(INGESTA)Datos_consumo_datadis'!A:A,"",""),"""")"),"ES0031408323131005HX0F")</f>
        <v>ES0031408323131005HX0F</v>
      </c>
      <c r="B13403" s="12">
        <f>IFERROR(__xludf.DUMMYFUNCTION("""COMPUTED_VALUE"""),45424.0)</f>
        <v>45424</v>
      </c>
      <c r="C13403" s="13">
        <f>IFERROR(__xludf.DUMMYFUNCTION("""COMPUTED_VALUE"""),0.4583333333333333)</f>
        <v>0.4583333333</v>
      </c>
      <c r="D13403" s="8">
        <f>IFERROR(__xludf.DUMMYFUNCTION("""COMPUTED_VALUE"""),0.188)</f>
        <v>0.188</v>
      </c>
      <c r="E13403" s="8" t="str">
        <f>IFERROR(__xludf.DUMMYFUNCTION("""COMPUTED_VALUE"""),"Real")</f>
        <v>Real</v>
      </c>
      <c r="G13403" s="8">
        <f t="shared" si="1"/>
        <v>5</v>
      </c>
      <c r="H13403" s="14">
        <f t="shared" si="2"/>
        <v>12</v>
      </c>
      <c r="I13403" s="15">
        <f t="shared" si="3"/>
        <v>11</v>
      </c>
    </row>
    <row r="13404">
      <c r="A13404" s="8" t="str">
        <f>IFERROR(__xludf.DUMMYFUNCTION("IF('(INGESTA)Datos_consumo_datadis'!A13404&lt;&gt;"""",SPLIT('(INGESTA)Datos_consumo_datadis'!A:A,"",""),"""")"),"ES0031408323131005HX0F")</f>
        <v>ES0031408323131005HX0F</v>
      </c>
      <c r="B13404" s="12">
        <f>IFERROR(__xludf.DUMMYFUNCTION("""COMPUTED_VALUE"""),45424.0)</f>
        <v>45424</v>
      </c>
      <c r="C13404" s="13">
        <f>IFERROR(__xludf.DUMMYFUNCTION("""COMPUTED_VALUE"""),0.5)</f>
        <v>0.5</v>
      </c>
      <c r="D13404" s="8">
        <f>IFERROR(__xludf.DUMMYFUNCTION("""COMPUTED_VALUE"""),0.56)</f>
        <v>0.56</v>
      </c>
      <c r="E13404" s="8" t="str">
        <f>IFERROR(__xludf.DUMMYFUNCTION("""COMPUTED_VALUE"""),"Real")</f>
        <v>Real</v>
      </c>
      <c r="G13404" s="8">
        <f t="shared" si="1"/>
        <v>5</v>
      </c>
      <c r="H13404" s="14">
        <f t="shared" si="2"/>
        <v>12</v>
      </c>
      <c r="I13404" s="15">
        <f t="shared" si="3"/>
        <v>12</v>
      </c>
    </row>
    <row r="13405">
      <c r="A13405" s="8" t="str">
        <f>IFERROR(__xludf.DUMMYFUNCTION("IF('(INGESTA)Datos_consumo_datadis'!A13405&lt;&gt;"""",SPLIT('(INGESTA)Datos_consumo_datadis'!A:A,"",""),"""")"),"ES0031408323131005HX0F")</f>
        <v>ES0031408323131005HX0F</v>
      </c>
      <c r="B13405" s="12">
        <f>IFERROR(__xludf.DUMMYFUNCTION("""COMPUTED_VALUE"""),45424.0)</f>
        <v>45424</v>
      </c>
      <c r="C13405" s="13">
        <f>IFERROR(__xludf.DUMMYFUNCTION("""COMPUTED_VALUE"""),0.5416666666666666)</f>
        <v>0.5416666667</v>
      </c>
      <c r="D13405" s="8">
        <f>IFERROR(__xludf.DUMMYFUNCTION("""COMPUTED_VALUE"""),0.159)</f>
        <v>0.159</v>
      </c>
      <c r="E13405" s="8" t="str">
        <f>IFERROR(__xludf.DUMMYFUNCTION("""COMPUTED_VALUE"""),"Real")</f>
        <v>Real</v>
      </c>
      <c r="G13405" s="8">
        <f t="shared" si="1"/>
        <v>5</v>
      </c>
      <c r="H13405" s="14">
        <f t="shared" si="2"/>
        <v>12</v>
      </c>
      <c r="I13405" s="15">
        <f t="shared" si="3"/>
        <v>13</v>
      </c>
    </row>
    <row r="13406">
      <c r="A13406" s="8" t="str">
        <f>IFERROR(__xludf.DUMMYFUNCTION("IF('(INGESTA)Datos_consumo_datadis'!A13406&lt;&gt;"""",SPLIT('(INGESTA)Datos_consumo_datadis'!A:A,"",""),"""")"),"ES0031408323131005HX0F")</f>
        <v>ES0031408323131005HX0F</v>
      </c>
      <c r="B13406" s="12">
        <f>IFERROR(__xludf.DUMMYFUNCTION("""COMPUTED_VALUE"""),45424.0)</f>
        <v>45424</v>
      </c>
      <c r="C13406" s="13">
        <f>IFERROR(__xludf.DUMMYFUNCTION("""COMPUTED_VALUE"""),0.5833333333333334)</f>
        <v>0.5833333333</v>
      </c>
      <c r="D13406" s="8">
        <f>IFERROR(__xludf.DUMMYFUNCTION("""COMPUTED_VALUE"""),0.582)</f>
        <v>0.582</v>
      </c>
      <c r="E13406" s="8" t="str">
        <f>IFERROR(__xludf.DUMMYFUNCTION("""COMPUTED_VALUE"""),"Real")</f>
        <v>Real</v>
      </c>
      <c r="G13406" s="8">
        <f t="shared" si="1"/>
        <v>5</v>
      </c>
      <c r="H13406" s="14">
        <f t="shared" si="2"/>
        <v>12</v>
      </c>
      <c r="I13406" s="15">
        <f t="shared" si="3"/>
        <v>14</v>
      </c>
    </row>
    <row r="13407">
      <c r="A13407" s="8" t="str">
        <f>IFERROR(__xludf.DUMMYFUNCTION("IF('(INGESTA)Datos_consumo_datadis'!A13407&lt;&gt;"""",SPLIT('(INGESTA)Datos_consumo_datadis'!A:A,"",""),"""")"),"ES0031408323131005HX0F")</f>
        <v>ES0031408323131005HX0F</v>
      </c>
      <c r="B13407" s="12">
        <f>IFERROR(__xludf.DUMMYFUNCTION("""COMPUTED_VALUE"""),45424.0)</f>
        <v>45424</v>
      </c>
      <c r="C13407" s="13">
        <f>IFERROR(__xludf.DUMMYFUNCTION("""COMPUTED_VALUE"""),0.625)</f>
        <v>0.625</v>
      </c>
      <c r="D13407" s="8">
        <f>IFERROR(__xludf.DUMMYFUNCTION("""COMPUTED_VALUE"""),0.438)</f>
        <v>0.438</v>
      </c>
      <c r="E13407" s="8" t="str">
        <f>IFERROR(__xludf.DUMMYFUNCTION("""COMPUTED_VALUE"""),"Real")</f>
        <v>Real</v>
      </c>
      <c r="G13407" s="8">
        <f t="shared" si="1"/>
        <v>5</v>
      </c>
      <c r="H13407" s="14">
        <f t="shared" si="2"/>
        <v>12</v>
      </c>
      <c r="I13407" s="15">
        <f t="shared" si="3"/>
        <v>15</v>
      </c>
    </row>
    <row r="13408">
      <c r="A13408" s="8" t="str">
        <f>IFERROR(__xludf.DUMMYFUNCTION("IF('(INGESTA)Datos_consumo_datadis'!A13408&lt;&gt;"""",SPLIT('(INGESTA)Datos_consumo_datadis'!A:A,"",""),"""")"),"ES0031408323131005HX0F")</f>
        <v>ES0031408323131005HX0F</v>
      </c>
      <c r="B13408" s="12">
        <f>IFERROR(__xludf.DUMMYFUNCTION("""COMPUTED_VALUE"""),45424.0)</f>
        <v>45424</v>
      </c>
      <c r="C13408" s="13">
        <f>IFERROR(__xludf.DUMMYFUNCTION("""COMPUTED_VALUE"""),0.6666666666666666)</f>
        <v>0.6666666667</v>
      </c>
      <c r="D13408" s="8">
        <f>IFERROR(__xludf.DUMMYFUNCTION("""COMPUTED_VALUE"""),0.499)</f>
        <v>0.499</v>
      </c>
      <c r="E13408" s="8" t="str">
        <f>IFERROR(__xludf.DUMMYFUNCTION("""COMPUTED_VALUE"""),"Real")</f>
        <v>Real</v>
      </c>
      <c r="G13408" s="8">
        <f t="shared" si="1"/>
        <v>5</v>
      </c>
      <c r="H13408" s="14">
        <f t="shared" si="2"/>
        <v>12</v>
      </c>
      <c r="I13408" s="15">
        <f t="shared" si="3"/>
        <v>16</v>
      </c>
    </row>
    <row r="13409">
      <c r="A13409" s="8" t="str">
        <f>IFERROR(__xludf.DUMMYFUNCTION("IF('(INGESTA)Datos_consumo_datadis'!A13409&lt;&gt;"""",SPLIT('(INGESTA)Datos_consumo_datadis'!A:A,"",""),"""")"),"ES0031408323131005HX0F")</f>
        <v>ES0031408323131005HX0F</v>
      </c>
      <c r="B13409" s="12">
        <f>IFERROR(__xludf.DUMMYFUNCTION("""COMPUTED_VALUE"""),45424.0)</f>
        <v>45424</v>
      </c>
      <c r="C13409" s="13">
        <f>IFERROR(__xludf.DUMMYFUNCTION("""COMPUTED_VALUE"""),0.7083333333333334)</f>
        <v>0.7083333333</v>
      </c>
      <c r="D13409" s="8">
        <f>IFERROR(__xludf.DUMMYFUNCTION("""COMPUTED_VALUE"""),0.551)</f>
        <v>0.551</v>
      </c>
      <c r="E13409" s="8" t="str">
        <f>IFERROR(__xludf.DUMMYFUNCTION("""COMPUTED_VALUE"""),"Real")</f>
        <v>Real</v>
      </c>
      <c r="G13409" s="8">
        <f t="shared" si="1"/>
        <v>5</v>
      </c>
      <c r="H13409" s="14">
        <f t="shared" si="2"/>
        <v>12</v>
      </c>
      <c r="I13409" s="15">
        <f t="shared" si="3"/>
        <v>17</v>
      </c>
    </row>
    <row r="13410">
      <c r="A13410" s="8" t="str">
        <f>IFERROR(__xludf.DUMMYFUNCTION("IF('(INGESTA)Datos_consumo_datadis'!A13410&lt;&gt;"""",SPLIT('(INGESTA)Datos_consumo_datadis'!A:A,"",""),"""")"),"ES0031408323131005HX0F")</f>
        <v>ES0031408323131005HX0F</v>
      </c>
      <c r="B13410" s="12">
        <f>IFERROR(__xludf.DUMMYFUNCTION("""COMPUTED_VALUE"""),45424.0)</f>
        <v>45424</v>
      </c>
      <c r="C13410" s="13">
        <f>IFERROR(__xludf.DUMMYFUNCTION("""COMPUTED_VALUE"""),0.75)</f>
        <v>0.75</v>
      </c>
      <c r="D13410" s="8">
        <f>IFERROR(__xludf.DUMMYFUNCTION("""COMPUTED_VALUE"""),0.328)</f>
        <v>0.328</v>
      </c>
      <c r="E13410" s="8" t="str">
        <f>IFERROR(__xludf.DUMMYFUNCTION("""COMPUTED_VALUE"""),"Real")</f>
        <v>Real</v>
      </c>
      <c r="G13410" s="8">
        <f t="shared" si="1"/>
        <v>5</v>
      </c>
      <c r="H13410" s="14">
        <f t="shared" si="2"/>
        <v>12</v>
      </c>
      <c r="I13410" s="15">
        <f t="shared" si="3"/>
        <v>18</v>
      </c>
    </row>
    <row r="13411">
      <c r="A13411" s="8" t="str">
        <f>IFERROR(__xludf.DUMMYFUNCTION("IF('(INGESTA)Datos_consumo_datadis'!A13411&lt;&gt;"""",SPLIT('(INGESTA)Datos_consumo_datadis'!A:A,"",""),"""")"),"ES0031408323131005HX0F")</f>
        <v>ES0031408323131005HX0F</v>
      </c>
      <c r="B13411" s="12">
        <f>IFERROR(__xludf.DUMMYFUNCTION("""COMPUTED_VALUE"""),45424.0)</f>
        <v>45424</v>
      </c>
      <c r="C13411" s="13">
        <f>IFERROR(__xludf.DUMMYFUNCTION("""COMPUTED_VALUE"""),0.7916666666666666)</f>
        <v>0.7916666667</v>
      </c>
      <c r="D13411" s="8">
        <f>IFERROR(__xludf.DUMMYFUNCTION("""COMPUTED_VALUE"""),0.994)</f>
        <v>0.994</v>
      </c>
      <c r="E13411" s="8" t="str">
        <f>IFERROR(__xludf.DUMMYFUNCTION("""COMPUTED_VALUE"""),"Real")</f>
        <v>Real</v>
      </c>
      <c r="G13411" s="8">
        <f t="shared" si="1"/>
        <v>5</v>
      </c>
      <c r="H13411" s="14">
        <f t="shared" si="2"/>
        <v>12</v>
      </c>
      <c r="I13411" s="15">
        <f t="shared" si="3"/>
        <v>19</v>
      </c>
    </row>
    <row r="13412">
      <c r="A13412" s="8" t="str">
        <f>IFERROR(__xludf.DUMMYFUNCTION("IF('(INGESTA)Datos_consumo_datadis'!A13412&lt;&gt;"""",SPLIT('(INGESTA)Datos_consumo_datadis'!A:A,"",""),"""")"),"ES0031408323131005HX0F")</f>
        <v>ES0031408323131005HX0F</v>
      </c>
      <c r="B13412" s="12">
        <f>IFERROR(__xludf.DUMMYFUNCTION("""COMPUTED_VALUE"""),45424.0)</f>
        <v>45424</v>
      </c>
      <c r="C13412" s="13">
        <f>IFERROR(__xludf.DUMMYFUNCTION("""COMPUTED_VALUE"""),0.8333333333333334)</f>
        <v>0.8333333333</v>
      </c>
      <c r="D13412" s="8">
        <f>IFERROR(__xludf.DUMMYFUNCTION("""COMPUTED_VALUE"""),0.134)</f>
        <v>0.134</v>
      </c>
      <c r="E13412" s="8" t="str">
        <f>IFERROR(__xludf.DUMMYFUNCTION("""COMPUTED_VALUE"""),"Real")</f>
        <v>Real</v>
      </c>
      <c r="G13412" s="8">
        <f t="shared" si="1"/>
        <v>5</v>
      </c>
      <c r="H13412" s="14">
        <f t="shared" si="2"/>
        <v>12</v>
      </c>
      <c r="I13412" s="15">
        <f t="shared" si="3"/>
        <v>20</v>
      </c>
    </row>
    <row r="13413">
      <c r="A13413" s="8" t="str">
        <f>IFERROR(__xludf.DUMMYFUNCTION("IF('(INGESTA)Datos_consumo_datadis'!A13413&lt;&gt;"""",SPLIT('(INGESTA)Datos_consumo_datadis'!A:A,"",""),"""")"),"ES0031408323131005HX0F")</f>
        <v>ES0031408323131005HX0F</v>
      </c>
      <c r="B13413" s="12">
        <f>IFERROR(__xludf.DUMMYFUNCTION("""COMPUTED_VALUE"""),45424.0)</f>
        <v>45424</v>
      </c>
      <c r="C13413" s="13">
        <f>IFERROR(__xludf.DUMMYFUNCTION("""COMPUTED_VALUE"""),0.875)</f>
        <v>0.875</v>
      </c>
      <c r="D13413" s="8">
        <f>IFERROR(__xludf.DUMMYFUNCTION("""COMPUTED_VALUE"""),0.582)</f>
        <v>0.582</v>
      </c>
      <c r="E13413" s="8" t="str">
        <f>IFERROR(__xludf.DUMMYFUNCTION("""COMPUTED_VALUE"""),"Real")</f>
        <v>Real</v>
      </c>
      <c r="G13413" s="8">
        <f t="shared" si="1"/>
        <v>5</v>
      </c>
      <c r="H13413" s="14">
        <f t="shared" si="2"/>
        <v>12</v>
      </c>
      <c r="I13413" s="15">
        <f t="shared" si="3"/>
        <v>21</v>
      </c>
    </row>
    <row r="13414">
      <c r="A13414" s="8" t="str">
        <f>IFERROR(__xludf.DUMMYFUNCTION("IF('(INGESTA)Datos_consumo_datadis'!A13414&lt;&gt;"""",SPLIT('(INGESTA)Datos_consumo_datadis'!A:A,"",""),"""")"),"ES0031408323131005HX0F")</f>
        <v>ES0031408323131005HX0F</v>
      </c>
      <c r="B13414" s="12">
        <f>IFERROR(__xludf.DUMMYFUNCTION("""COMPUTED_VALUE"""),45424.0)</f>
        <v>45424</v>
      </c>
      <c r="C13414" s="13">
        <f>IFERROR(__xludf.DUMMYFUNCTION("""COMPUTED_VALUE"""),0.9166666666666666)</f>
        <v>0.9166666667</v>
      </c>
      <c r="D13414" s="8">
        <f>IFERROR(__xludf.DUMMYFUNCTION("""COMPUTED_VALUE"""),0.278)</f>
        <v>0.278</v>
      </c>
      <c r="E13414" s="8" t="str">
        <f>IFERROR(__xludf.DUMMYFUNCTION("""COMPUTED_VALUE"""),"Real")</f>
        <v>Real</v>
      </c>
      <c r="G13414" s="8">
        <f t="shared" si="1"/>
        <v>5</v>
      </c>
      <c r="H13414" s="14">
        <f t="shared" si="2"/>
        <v>12</v>
      </c>
      <c r="I13414" s="15">
        <f t="shared" si="3"/>
        <v>22</v>
      </c>
    </row>
    <row r="13415">
      <c r="A13415" s="8" t="str">
        <f>IFERROR(__xludf.DUMMYFUNCTION("IF('(INGESTA)Datos_consumo_datadis'!A13415&lt;&gt;"""",SPLIT('(INGESTA)Datos_consumo_datadis'!A:A,"",""),"""")"),"ES0031408323131005HX0F")</f>
        <v>ES0031408323131005HX0F</v>
      </c>
      <c r="B13415" s="12">
        <f>IFERROR(__xludf.DUMMYFUNCTION("""COMPUTED_VALUE"""),45424.0)</f>
        <v>45424</v>
      </c>
      <c r="C13415" s="13">
        <f>IFERROR(__xludf.DUMMYFUNCTION("""COMPUTED_VALUE"""),0.9583333333333334)</f>
        <v>0.9583333333</v>
      </c>
      <c r="D13415" s="8">
        <f>IFERROR(__xludf.DUMMYFUNCTION("""COMPUTED_VALUE"""),0.058)</f>
        <v>0.058</v>
      </c>
      <c r="E13415" s="8" t="str">
        <f>IFERROR(__xludf.DUMMYFUNCTION("""COMPUTED_VALUE"""),"Real")</f>
        <v>Real</v>
      </c>
      <c r="G13415" s="8">
        <f t="shared" si="1"/>
        <v>5</v>
      </c>
      <c r="H13415" s="14">
        <f t="shared" si="2"/>
        <v>12</v>
      </c>
      <c r="I13415" s="15">
        <f t="shared" si="3"/>
        <v>23</v>
      </c>
    </row>
    <row r="13416">
      <c r="A13416" s="8" t="str">
        <f>IFERROR(__xludf.DUMMYFUNCTION("IF('(INGESTA)Datos_consumo_datadis'!A13416&lt;&gt;"""",SPLIT('(INGESTA)Datos_consumo_datadis'!A:A,"",""),"""")"),"ES0031408323131005HX0F")</f>
        <v>ES0031408323131005HX0F</v>
      </c>
      <c r="B13416" s="12">
        <f>IFERROR(__xludf.DUMMYFUNCTION("""COMPUTED_VALUE"""),45424.0)</f>
        <v>45424</v>
      </c>
      <c r="C13416" s="16">
        <f>IFERROR(__xludf.DUMMYFUNCTION("""COMPUTED_VALUE"""),1.0)</f>
        <v>1</v>
      </c>
      <c r="D13416" s="8">
        <f>IFERROR(__xludf.DUMMYFUNCTION("""COMPUTED_VALUE"""),0.078)</f>
        <v>0.078</v>
      </c>
      <c r="E13416" s="8" t="str">
        <f>IFERROR(__xludf.DUMMYFUNCTION("""COMPUTED_VALUE"""),"Real")</f>
        <v>Real</v>
      </c>
      <c r="G13416" s="8">
        <f t="shared" si="1"/>
        <v>5</v>
      </c>
      <c r="H13416" s="14">
        <f t="shared" si="2"/>
        <v>12</v>
      </c>
      <c r="I13416" s="15">
        <f t="shared" si="3"/>
        <v>0</v>
      </c>
    </row>
    <row r="13417">
      <c r="A13417" s="8" t="str">
        <f>IFERROR(__xludf.DUMMYFUNCTION("IF('(INGESTA)Datos_consumo_datadis'!A13417&lt;&gt;"""",SPLIT('(INGESTA)Datos_consumo_datadis'!A:A,"",""),"""")"),"ES0031408323131005HX0F")</f>
        <v>ES0031408323131005HX0F</v>
      </c>
      <c r="B13417" s="12">
        <f>IFERROR(__xludf.DUMMYFUNCTION("""COMPUTED_VALUE"""),45425.0)</f>
        <v>45425</v>
      </c>
      <c r="C13417" s="13">
        <f>IFERROR(__xludf.DUMMYFUNCTION("""COMPUTED_VALUE"""),0.041666666666666664)</f>
        <v>0.04166666667</v>
      </c>
      <c r="D13417" s="8">
        <f>IFERROR(__xludf.DUMMYFUNCTION("""COMPUTED_VALUE"""),0.342)</f>
        <v>0.342</v>
      </c>
      <c r="E13417" s="8" t="str">
        <f>IFERROR(__xludf.DUMMYFUNCTION("""COMPUTED_VALUE"""),"Real")</f>
        <v>Real</v>
      </c>
      <c r="G13417" s="8">
        <f t="shared" si="1"/>
        <v>5</v>
      </c>
      <c r="H13417" s="14">
        <f t="shared" si="2"/>
        <v>13</v>
      </c>
      <c r="I13417" s="15">
        <f t="shared" si="3"/>
        <v>1</v>
      </c>
    </row>
    <row r="13418">
      <c r="A13418" s="8" t="str">
        <f>IFERROR(__xludf.DUMMYFUNCTION("IF('(INGESTA)Datos_consumo_datadis'!A13418&lt;&gt;"""",SPLIT('(INGESTA)Datos_consumo_datadis'!A:A,"",""),"""")"),"ES0031408323131005HX0F")</f>
        <v>ES0031408323131005HX0F</v>
      </c>
      <c r="B13418" s="12">
        <f>IFERROR(__xludf.DUMMYFUNCTION("""COMPUTED_VALUE"""),45425.0)</f>
        <v>45425</v>
      </c>
      <c r="C13418" s="13">
        <f>IFERROR(__xludf.DUMMYFUNCTION("""COMPUTED_VALUE"""),0.08333333333333333)</f>
        <v>0.08333333333</v>
      </c>
      <c r="D13418" s="8">
        <f>IFERROR(__xludf.DUMMYFUNCTION("""COMPUTED_VALUE"""),0.058)</f>
        <v>0.058</v>
      </c>
      <c r="E13418" s="8" t="str">
        <f>IFERROR(__xludf.DUMMYFUNCTION("""COMPUTED_VALUE"""),"Real")</f>
        <v>Real</v>
      </c>
      <c r="G13418" s="8">
        <f t="shared" si="1"/>
        <v>5</v>
      </c>
      <c r="H13418" s="14">
        <f t="shared" si="2"/>
        <v>13</v>
      </c>
      <c r="I13418" s="15">
        <f t="shared" si="3"/>
        <v>2</v>
      </c>
    </row>
    <row r="13419">
      <c r="A13419" s="8" t="str">
        <f>IFERROR(__xludf.DUMMYFUNCTION("IF('(INGESTA)Datos_consumo_datadis'!A13419&lt;&gt;"""",SPLIT('(INGESTA)Datos_consumo_datadis'!A:A,"",""),"""")"),"ES0031408323131005HX0F")</f>
        <v>ES0031408323131005HX0F</v>
      </c>
      <c r="B13419" s="12">
        <f>IFERROR(__xludf.DUMMYFUNCTION("""COMPUTED_VALUE"""),45425.0)</f>
        <v>45425</v>
      </c>
      <c r="C13419" s="13">
        <f>IFERROR(__xludf.DUMMYFUNCTION("""COMPUTED_VALUE"""),0.125)</f>
        <v>0.125</v>
      </c>
      <c r="D13419" s="8">
        <f>IFERROR(__xludf.DUMMYFUNCTION("""COMPUTED_VALUE"""),0.074)</f>
        <v>0.074</v>
      </c>
      <c r="E13419" s="8" t="str">
        <f>IFERROR(__xludf.DUMMYFUNCTION("""COMPUTED_VALUE"""),"Real")</f>
        <v>Real</v>
      </c>
      <c r="G13419" s="8">
        <f t="shared" si="1"/>
        <v>5</v>
      </c>
      <c r="H13419" s="14">
        <f t="shared" si="2"/>
        <v>13</v>
      </c>
      <c r="I13419" s="15">
        <f t="shared" si="3"/>
        <v>3</v>
      </c>
    </row>
    <row r="13420">
      <c r="A13420" s="8" t="str">
        <f>IFERROR(__xludf.DUMMYFUNCTION("IF('(INGESTA)Datos_consumo_datadis'!A13420&lt;&gt;"""",SPLIT('(INGESTA)Datos_consumo_datadis'!A:A,"",""),"""")"),"ES0031408323131005HX0F")</f>
        <v>ES0031408323131005HX0F</v>
      </c>
      <c r="B13420" s="12">
        <f>IFERROR(__xludf.DUMMYFUNCTION("""COMPUTED_VALUE"""),45425.0)</f>
        <v>45425</v>
      </c>
      <c r="C13420" s="13">
        <f>IFERROR(__xludf.DUMMYFUNCTION("""COMPUTED_VALUE"""),0.16666666666666666)</f>
        <v>0.1666666667</v>
      </c>
      <c r="D13420" s="8">
        <f>IFERROR(__xludf.DUMMYFUNCTION("""COMPUTED_VALUE"""),0.042)</f>
        <v>0.042</v>
      </c>
      <c r="E13420" s="8" t="str">
        <f>IFERROR(__xludf.DUMMYFUNCTION("""COMPUTED_VALUE"""),"Real")</f>
        <v>Real</v>
      </c>
      <c r="G13420" s="8">
        <f t="shared" si="1"/>
        <v>5</v>
      </c>
      <c r="H13420" s="14">
        <f t="shared" si="2"/>
        <v>13</v>
      </c>
      <c r="I13420" s="15">
        <f t="shared" si="3"/>
        <v>4</v>
      </c>
    </row>
    <row r="13421">
      <c r="A13421" s="8" t="str">
        <f>IFERROR(__xludf.DUMMYFUNCTION("IF('(INGESTA)Datos_consumo_datadis'!A13421&lt;&gt;"""",SPLIT('(INGESTA)Datos_consumo_datadis'!A:A,"",""),"""")"),"ES0031408323131005HX0F")</f>
        <v>ES0031408323131005HX0F</v>
      </c>
      <c r="B13421" s="12">
        <f>IFERROR(__xludf.DUMMYFUNCTION("""COMPUTED_VALUE"""),45425.0)</f>
        <v>45425</v>
      </c>
      <c r="C13421" s="13">
        <f>IFERROR(__xludf.DUMMYFUNCTION("""COMPUTED_VALUE"""),0.20833333333333334)</f>
        <v>0.2083333333</v>
      </c>
      <c r="D13421" s="8">
        <f>IFERROR(__xludf.DUMMYFUNCTION("""COMPUTED_VALUE"""),0.075)</f>
        <v>0.075</v>
      </c>
      <c r="E13421" s="8" t="str">
        <f>IFERROR(__xludf.DUMMYFUNCTION("""COMPUTED_VALUE"""),"Real")</f>
        <v>Real</v>
      </c>
      <c r="G13421" s="8">
        <f t="shared" si="1"/>
        <v>5</v>
      </c>
      <c r="H13421" s="14">
        <f t="shared" si="2"/>
        <v>13</v>
      </c>
      <c r="I13421" s="15">
        <f t="shared" si="3"/>
        <v>5</v>
      </c>
    </row>
    <row r="13422">
      <c r="A13422" s="8" t="str">
        <f>IFERROR(__xludf.DUMMYFUNCTION("IF('(INGESTA)Datos_consumo_datadis'!A13422&lt;&gt;"""",SPLIT('(INGESTA)Datos_consumo_datadis'!A:A,"",""),"""")"),"ES0031408323131005HX0F")</f>
        <v>ES0031408323131005HX0F</v>
      </c>
      <c r="B13422" s="12">
        <f>IFERROR(__xludf.DUMMYFUNCTION("""COMPUTED_VALUE"""),45425.0)</f>
        <v>45425</v>
      </c>
      <c r="C13422" s="13">
        <f>IFERROR(__xludf.DUMMYFUNCTION("""COMPUTED_VALUE"""),0.25)</f>
        <v>0.25</v>
      </c>
      <c r="D13422" s="8">
        <f>IFERROR(__xludf.DUMMYFUNCTION("""COMPUTED_VALUE"""),0.05)</f>
        <v>0.05</v>
      </c>
      <c r="E13422" s="8" t="str">
        <f>IFERROR(__xludf.DUMMYFUNCTION("""COMPUTED_VALUE"""),"Real")</f>
        <v>Real</v>
      </c>
      <c r="G13422" s="8">
        <f t="shared" si="1"/>
        <v>5</v>
      </c>
      <c r="H13422" s="14">
        <f t="shared" si="2"/>
        <v>13</v>
      </c>
      <c r="I13422" s="15">
        <f t="shared" si="3"/>
        <v>6</v>
      </c>
    </row>
    <row r="13423">
      <c r="A13423" s="8" t="str">
        <f>IFERROR(__xludf.DUMMYFUNCTION("IF('(INGESTA)Datos_consumo_datadis'!A13423&lt;&gt;"""",SPLIT('(INGESTA)Datos_consumo_datadis'!A:A,"",""),"""")"),"ES0031408323131005HX0F")</f>
        <v>ES0031408323131005HX0F</v>
      </c>
      <c r="B13423" s="12">
        <f>IFERROR(__xludf.DUMMYFUNCTION("""COMPUTED_VALUE"""),45425.0)</f>
        <v>45425</v>
      </c>
      <c r="C13423" s="13">
        <f>IFERROR(__xludf.DUMMYFUNCTION("""COMPUTED_VALUE"""),0.2916666666666667)</f>
        <v>0.2916666667</v>
      </c>
      <c r="D13423" s="8">
        <f>IFERROR(__xludf.DUMMYFUNCTION("""COMPUTED_VALUE"""),0.119)</f>
        <v>0.119</v>
      </c>
      <c r="E13423" s="8" t="str">
        <f>IFERROR(__xludf.DUMMYFUNCTION("""COMPUTED_VALUE"""),"Real")</f>
        <v>Real</v>
      </c>
      <c r="G13423" s="8">
        <f t="shared" si="1"/>
        <v>5</v>
      </c>
      <c r="H13423" s="14">
        <f t="shared" si="2"/>
        <v>13</v>
      </c>
      <c r="I13423" s="15">
        <f t="shared" si="3"/>
        <v>7</v>
      </c>
    </row>
    <row r="13424">
      <c r="A13424" s="8" t="str">
        <f>IFERROR(__xludf.DUMMYFUNCTION("IF('(INGESTA)Datos_consumo_datadis'!A13424&lt;&gt;"""",SPLIT('(INGESTA)Datos_consumo_datadis'!A:A,"",""),"""")"),"ES0031408323131005HX0F")</f>
        <v>ES0031408323131005HX0F</v>
      </c>
      <c r="B13424" s="12">
        <f>IFERROR(__xludf.DUMMYFUNCTION("""COMPUTED_VALUE"""),45425.0)</f>
        <v>45425</v>
      </c>
      <c r="C13424" s="13">
        <f>IFERROR(__xludf.DUMMYFUNCTION("""COMPUTED_VALUE"""),0.3333333333333333)</f>
        <v>0.3333333333</v>
      </c>
      <c r="D13424" s="8">
        <f>IFERROR(__xludf.DUMMYFUNCTION("""COMPUTED_VALUE"""),0.321)</f>
        <v>0.321</v>
      </c>
      <c r="E13424" s="8" t="str">
        <f>IFERROR(__xludf.DUMMYFUNCTION("""COMPUTED_VALUE"""),"Real")</f>
        <v>Real</v>
      </c>
      <c r="G13424" s="8">
        <f t="shared" si="1"/>
        <v>5</v>
      </c>
      <c r="H13424" s="14">
        <f t="shared" si="2"/>
        <v>13</v>
      </c>
      <c r="I13424" s="15">
        <f t="shared" si="3"/>
        <v>8</v>
      </c>
    </row>
    <row r="13425">
      <c r="A13425" s="8" t="str">
        <f>IFERROR(__xludf.DUMMYFUNCTION("IF('(INGESTA)Datos_consumo_datadis'!A13425&lt;&gt;"""",SPLIT('(INGESTA)Datos_consumo_datadis'!A:A,"",""),"""")"),"ES0031408323131005HX0F")</f>
        <v>ES0031408323131005HX0F</v>
      </c>
      <c r="B13425" s="12">
        <f>IFERROR(__xludf.DUMMYFUNCTION("""COMPUTED_VALUE"""),45425.0)</f>
        <v>45425</v>
      </c>
      <c r="C13425" s="13">
        <f>IFERROR(__xludf.DUMMYFUNCTION("""COMPUTED_VALUE"""),0.375)</f>
        <v>0.375</v>
      </c>
      <c r="D13425" s="8">
        <f>IFERROR(__xludf.DUMMYFUNCTION("""COMPUTED_VALUE"""),0.079)</f>
        <v>0.079</v>
      </c>
      <c r="E13425" s="8" t="str">
        <f>IFERROR(__xludf.DUMMYFUNCTION("""COMPUTED_VALUE"""),"Real")</f>
        <v>Real</v>
      </c>
      <c r="G13425" s="8">
        <f t="shared" si="1"/>
        <v>5</v>
      </c>
      <c r="H13425" s="14">
        <f t="shared" si="2"/>
        <v>13</v>
      </c>
      <c r="I13425" s="15">
        <f t="shared" si="3"/>
        <v>9</v>
      </c>
    </row>
    <row r="13426">
      <c r="A13426" s="8" t="str">
        <f>IFERROR(__xludf.DUMMYFUNCTION("IF('(INGESTA)Datos_consumo_datadis'!A13426&lt;&gt;"""",SPLIT('(INGESTA)Datos_consumo_datadis'!A:A,"",""),"""")"),"ES0031408323131005HX0F")</f>
        <v>ES0031408323131005HX0F</v>
      </c>
      <c r="B13426" s="12">
        <f>IFERROR(__xludf.DUMMYFUNCTION("""COMPUTED_VALUE"""),45425.0)</f>
        <v>45425</v>
      </c>
      <c r="C13426" s="13">
        <f>IFERROR(__xludf.DUMMYFUNCTION("""COMPUTED_VALUE"""),0.4166666666666667)</f>
        <v>0.4166666667</v>
      </c>
      <c r="D13426" s="8">
        <f>IFERROR(__xludf.DUMMYFUNCTION("""COMPUTED_VALUE"""),0.056)</f>
        <v>0.056</v>
      </c>
      <c r="E13426" s="8" t="str">
        <f>IFERROR(__xludf.DUMMYFUNCTION("""COMPUTED_VALUE"""),"Real")</f>
        <v>Real</v>
      </c>
      <c r="G13426" s="8">
        <f t="shared" si="1"/>
        <v>5</v>
      </c>
      <c r="H13426" s="14">
        <f t="shared" si="2"/>
        <v>13</v>
      </c>
      <c r="I13426" s="15">
        <f t="shared" si="3"/>
        <v>10</v>
      </c>
    </row>
    <row r="13427">
      <c r="A13427" s="8" t="str">
        <f>IFERROR(__xludf.DUMMYFUNCTION("IF('(INGESTA)Datos_consumo_datadis'!A13427&lt;&gt;"""",SPLIT('(INGESTA)Datos_consumo_datadis'!A:A,"",""),"""")"),"ES0031408323131005HX0F")</f>
        <v>ES0031408323131005HX0F</v>
      </c>
      <c r="B13427" s="12">
        <f>IFERROR(__xludf.DUMMYFUNCTION("""COMPUTED_VALUE"""),45425.0)</f>
        <v>45425</v>
      </c>
      <c r="C13427" s="13">
        <f>IFERROR(__xludf.DUMMYFUNCTION("""COMPUTED_VALUE"""),0.4583333333333333)</f>
        <v>0.4583333333</v>
      </c>
      <c r="D13427" s="8">
        <f>IFERROR(__xludf.DUMMYFUNCTION("""COMPUTED_VALUE"""),0.071)</f>
        <v>0.071</v>
      </c>
      <c r="E13427" s="8" t="str">
        <f>IFERROR(__xludf.DUMMYFUNCTION("""COMPUTED_VALUE"""),"Real")</f>
        <v>Real</v>
      </c>
      <c r="G13427" s="8">
        <f t="shared" si="1"/>
        <v>5</v>
      </c>
      <c r="H13427" s="14">
        <f t="shared" si="2"/>
        <v>13</v>
      </c>
      <c r="I13427" s="15">
        <f t="shared" si="3"/>
        <v>11</v>
      </c>
    </row>
    <row r="13428">
      <c r="A13428" s="8" t="str">
        <f>IFERROR(__xludf.DUMMYFUNCTION("IF('(INGESTA)Datos_consumo_datadis'!A13428&lt;&gt;"""",SPLIT('(INGESTA)Datos_consumo_datadis'!A:A,"",""),"""")"),"ES0031408323131005HX0F")</f>
        <v>ES0031408323131005HX0F</v>
      </c>
      <c r="B13428" s="12">
        <f>IFERROR(__xludf.DUMMYFUNCTION("""COMPUTED_VALUE"""),45425.0)</f>
        <v>45425</v>
      </c>
      <c r="C13428" s="13">
        <f>IFERROR(__xludf.DUMMYFUNCTION("""COMPUTED_VALUE"""),0.5)</f>
        <v>0.5</v>
      </c>
      <c r="D13428" s="8">
        <f>IFERROR(__xludf.DUMMYFUNCTION("""COMPUTED_VALUE"""),1.314)</f>
        <v>1.314</v>
      </c>
      <c r="E13428" s="8" t="str">
        <f>IFERROR(__xludf.DUMMYFUNCTION("""COMPUTED_VALUE"""),"Real")</f>
        <v>Real</v>
      </c>
      <c r="G13428" s="8">
        <f t="shared" si="1"/>
        <v>5</v>
      </c>
      <c r="H13428" s="14">
        <f t="shared" si="2"/>
        <v>13</v>
      </c>
      <c r="I13428" s="15">
        <f t="shared" si="3"/>
        <v>12</v>
      </c>
    </row>
    <row r="13429">
      <c r="A13429" s="8" t="str">
        <f>IFERROR(__xludf.DUMMYFUNCTION("IF('(INGESTA)Datos_consumo_datadis'!A13429&lt;&gt;"""",SPLIT('(INGESTA)Datos_consumo_datadis'!A:A,"",""),"""")"),"ES0031408323131005HX0F")</f>
        <v>ES0031408323131005HX0F</v>
      </c>
      <c r="B13429" s="12">
        <f>IFERROR(__xludf.DUMMYFUNCTION("""COMPUTED_VALUE"""),45425.0)</f>
        <v>45425</v>
      </c>
      <c r="C13429" s="13">
        <f>IFERROR(__xludf.DUMMYFUNCTION("""COMPUTED_VALUE"""),0.5416666666666666)</f>
        <v>0.5416666667</v>
      </c>
      <c r="D13429" s="8">
        <f>IFERROR(__xludf.DUMMYFUNCTION("""COMPUTED_VALUE"""),0.627)</f>
        <v>0.627</v>
      </c>
      <c r="E13429" s="8" t="str">
        <f>IFERROR(__xludf.DUMMYFUNCTION("""COMPUTED_VALUE"""),"Real")</f>
        <v>Real</v>
      </c>
      <c r="G13429" s="8">
        <f t="shared" si="1"/>
        <v>5</v>
      </c>
      <c r="H13429" s="14">
        <f t="shared" si="2"/>
        <v>13</v>
      </c>
      <c r="I13429" s="15">
        <f t="shared" si="3"/>
        <v>13</v>
      </c>
    </row>
    <row r="13430">
      <c r="A13430" s="8" t="str">
        <f>IFERROR(__xludf.DUMMYFUNCTION("IF('(INGESTA)Datos_consumo_datadis'!A13430&lt;&gt;"""",SPLIT('(INGESTA)Datos_consumo_datadis'!A:A,"",""),"""")"),"ES0031408323131005HX0F")</f>
        <v>ES0031408323131005HX0F</v>
      </c>
      <c r="B13430" s="12">
        <f>IFERROR(__xludf.DUMMYFUNCTION("""COMPUTED_VALUE"""),45425.0)</f>
        <v>45425</v>
      </c>
      <c r="C13430" s="13">
        <f>IFERROR(__xludf.DUMMYFUNCTION("""COMPUTED_VALUE"""),0.5833333333333334)</f>
        <v>0.5833333333</v>
      </c>
      <c r="D13430" s="8">
        <f>IFERROR(__xludf.DUMMYFUNCTION("""COMPUTED_VALUE"""),0.046)</f>
        <v>0.046</v>
      </c>
      <c r="E13430" s="8" t="str">
        <f>IFERROR(__xludf.DUMMYFUNCTION("""COMPUTED_VALUE"""),"Real")</f>
        <v>Real</v>
      </c>
      <c r="G13430" s="8">
        <f t="shared" si="1"/>
        <v>5</v>
      </c>
      <c r="H13430" s="14">
        <f t="shared" si="2"/>
        <v>13</v>
      </c>
      <c r="I13430" s="15">
        <f t="shared" si="3"/>
        <v>14</v>
      </c>
    </row>
    <row r="13431">
      <c r="A13431" s="8" t="str">
        <f>IFERROR(__xludf.DUMMYFUNCTION("IF('(INGESTA)Datos_consumo_datadis'!A13431&lt;&gt;"""",SPLIT('(INGESTA)Datos_consumo_datadis'!A:A,"",""),"""")"),"ES0031408323131005HX0F")</f>
        <v>ES0031408323131005HX0F</v>
      </c>
      <c r="B13431" s="12">
        <f>IFERROR(__xludf.DUMMYFUNCTION("""COMPUTED_VALUE"""),45425.0)</f>
        <v>45425</v>
      </c>
      <c r="C13431" s="13">
        <f>IFERROR(__xludf.DUMMYFUNCTION("""COMPUTED_VALUE"""),0.625)</f>
        <v>0.625</v>
      </c>
      <c r="D13431" s="8">
        <f>IFERROR(__xludf.DUMMYFUNCTION("""COMPUTED_VALUE"""),0.207)</f>
        <v>0.207</v>
      </c>
      <c r="E13431" s="8" t="str">
        <f>IFERROR(__xludf.DUMMYFUNCTION("""COMPUTED_VALUE"""),"Real")</f>
        <v>Real</v>
      </c>
      <c r="G13431" s="8">
        <f t="shared" si="1"/>
        <v>5</v>
      </c>
      <c r="H13431" s="14">
        <f t="shared" si="2"/>
        <v>13</v>
      </c>
      <c r="I13431" s="15">
        <f t="shared" si="3"/>
        <v>15</v>
      </c>
    </row>
    <row r="13432">
      <c r="A13432" s="8" t="str">
        <f>IFERROR(__xludf.DUMMYFUNCTION("IF('(INGESTA)Datos_consumo_datadis'!A13432&lt;&gt;"""",SPLIT('(INGESTA)Datos_consumo_datadis'!A:A,"",""),"""")"),"ES0031408323131005HX0F")</f>
        <v>ES0031408323131005HX0F</v>
      </c>
      <c r="B13432" s="12">
        <f>IFERROR(__xludf.DUMMYFUNCTION("""COMPUTED_VALUE"""),45425.0)</f>
        <v>45425</v>
      </c>
      <c r="C13432" s="13">
        <f>IFERROR(__xludf.DUMMYFUNCTION("""COMPUTED_VALUE"""),0.6666666666666666)</f>
        <v>0.6666666667</v>
      </c>
      <c r="D13432" s="8">
        <f>IFERROR(__xludf.DUMMYFUNCTION("""COMPUTED_VALUE"""),0.075)</f>
        <v>0.075</v>
      </c>
      <c r="E13432" s="8" t="str">
        <f>IFERROR(__xludf.DUMMYFUNCTION("""COMPUTED_VALUE"""),"Real")</f>
        <v>Real</v>
      </c>
      <c r="G13432" s="8">
        <f t="shared" si="1"/>
        <v>5</v>
      </c>
      <c r="H13432" s="14">
        <f t="shared" si="2"/>
        <v>13</v>
      </c>
      <c r="I13432" s="15">
        <f t="shared" si="3"/>
        <v>16</v>
      </c>
    </row>
    <row r="13433">
      <c r="A13433" s="8" t="str">
        <f>IFERROR(__xludf.DUMMYFUNCTION("IF('(INGESTA)Datos_consumo_datadis'!A13433&lt;&gt;"""",SPLIT('(INGESTA)Datos_consumo_datadis'!A:A,"",""),"""")"),"ES0031408323131005HX0F")</f>
        <v>ES0031408323131005HX0F</v>
      </c>
      <c r="B13433" s="12">
        <f>IFERROR(__xludf.DUMMYFUNCTION("""COMPUTED_VALUE"""),45425.0)</f>
        <v>45425</v>
      </c>
      <c r="C13433" s="13">
        <f>IFERROR(__xludf.DUMMYFUNCTION("""COMPUTED_VALUE"""),0.7083333333333334)</f>
        <v>0.7083333333</v>
      </c>
      <c r="D13433" s="8">
        <f>IFERROR(__xludf.DUMMYFUNCTION("""COMPUTED_VALUE"""),0.374)</f>
        <v>0.374</v>
      </c>
      <c r="E13433" s="8" t="str">
        <f>IFERROR(__xludf.DUMMYFUNCTION("""COMPUTED_VALUE"""),"Real")</f>
        <v>Real</v>
      </c>
      <c r="G13433" s="8">
        <f t="shared" si="1"/>
        <v>5</v>
      </c>
      <c r="H13433" s="14">
        <f t="shared" si="2"/>
        <v>13</v>
      </c>
      <c r="I13433" s="15">
        <f t="shared" si="3"/>
        <v>17</v>
      </c>
    </row>
    <row r="13434">
      <c r="A13434" s="8" t="str">
        <f>IFERROR(__xludf.DUMMYFUNCTION("IF('(INGESTA)Datos_consumo_datadis'!A13434&lt;&gt;"""",SPLIT('(INGESTA)Datos_consumo_datadis'!A:A,"",""),"""")"),"ES0031408323131005HX0F")</f>
        <v>ES0031408323131005HX0F</v>
      </c>
      <c r="B13434" s="12">
        <f>IFERROR(__xludf.DUMMYFUNCTION("""COMPUTED_VALUE"""),45425.0)</f>
        <v>45425</v>
      </c>
      <c r="C13434" s="13">
        <f>IFERROR(__xludf.DUMMYFUNCTION("""COMPUTED_VALUE"""),0.75)</f>
        <v>0.75</v>
      </c>
      <c r="D13434" s="8">
        <f>IFERROR(__xludf.DUMMYFUNCTION("""COMPUTED_VALUE"""),0.073)</f>
        <v>0.073</v>
      </c>
      <c r="E13434" s="8" t="str">
        <f>IFERROR(__xludf.DUMMYFUNCTION("""COMPUTED_VALUE"""),"Real")</f>
        <v>Real</v>
      </c>
      <c r="G13434" s="8">
        <f t="shared" si="1"/>
        <v>5</v>
      </c>
      <c r="H13434" s="14">
        <f t="shared" si="2"/>
        <v>13</v>
      </c>
      <c r="I13434" s="15">
        <f t="shared" si="3"/>
        <v>18</v>
      </c>
    </row>
    <row r="13435">
      <c r="A13435" s="8" t="str">
        <f>IFERROR(__xludf.DUMMYFUNCTION("IF('(INGESTA)Datos_consumo_datadis'!A13435&lt;&gt;"""",SPLIT('(INGESTA)Datos_consumo_datadis'!A:A,"",""),"""")"),"ES0031408323131005HX0F")</f>
        <v>ES0031408323131005HX0F</v>
      </c>
      <c r="B13435" s="12">
        <f>IFERROR(__xludf.DUMMYFUNCTION("""COMPUTED_VALUE"""),45425.0)</f>
        <v>45425</v>
      </c>
      <c r="C13435" s="13">
        <f>IFERROR(__xludf.DUMMYFUNCTION("""COMPUTED_VALUE"""),0.7916666666666666)</f>
        <v>0.7916666667</v>
      </c>
      <c r="D13435" s="8">
        <f>IFERROR(__xludf.DUMMYFUNCTION("""COMPUTED_VALUE"""),0.069)</f>
        <v>0.069</v>
      </c>
      <c r="E13435" s="8" t="str">
        <f>IFERROR(__xludf.DUMMYFUNCTION("""COMPUTED_VALUE"""),"Real")</f>
        <v>Real</v>
      </c>
      <c r="G13435" s="8">
        <f t="shared" si="1"/>
        <v>5</v>
      </c>
      <c r="H13435" s="14">
        <f t="shared" si="2"/>
        <v>13</v>
      </c>
      <c r="I13435" s="15">
        <f t="shared" si="3"/>
        <v>19</v>
      </c>
    </row>
    <row r="13436">
      <c r="A13436" s="8" t="str">
        <f>IFERROR(__xludf.DUMMYFUNCTION("IF('(INGESTA)Datos_consumo_datadis'!A13436&lt;&gt;"""",SPLIT('(INGESTA)Datos_consumo_datadis'!A:A,"",""),"""")"),"ES0031408323131005HX0F")</f>
        <v>ES0031408323131005HX0F</v>
      </c>
      <c r="B13436" s="12">
        <f>IFERROR(__xludf.DUMMYFUNCTION("""COMPUTED_VALUE"""),45425.0)</f>
        <v>45425</v>
      </c>
      <c r="C13436" s="13">
        <f>IFERROR(__xludf.DUMMYFUNCTION("""COMPUTED_VALUE"""),0.8333333333333334)</f>
        <v>0.8333333333</v>
      </c>
      <c r="D13436" s="8">
        <f>IFERROR(__xludf.DUMMYFUNCTION("""COMPUTED_VALUE"""),0.076)</f>
        <v>0.076</v>
      </c>
      <c r="E13436" s="8" t="str">
        <f>IFERROR(__xludf.DUMMYFUNCTION("""COMPUTED_VALUE"""),"Real")</f>
        <v>Real</v>
      </c>
      <c r="G13436" s="8">
        <f t="shared" si="1"/>
        <v>5</v>
      </c>
      <c r="H13436" s="14">
        <f t="shared" si="2"/>
        <v>13</v>
      </c>
      <c r="I13436" s="15">
        <f t="shared" si="3"/>
        <v>20</v>
      </c>
    </row>
    <row r="13437">
      <c r="A13437" s="8" t="str">
        <f>IFERROR(__xludf.DUMMYFUNCTION("IF('(INGESTA)Datos_consumo_datadis'!A13437&lt;&gt;"""",SPLIT('(INGESTA)Datos_consumo_datadis'!A:A,"",""),"""")"),"ES0031408323131005HX0F")</f>
        <v>ES0031408323131005HX0F</v>
      </c>
      <c r="B13437" s="12">
        <f>IFERROR(__xludf.DUMMYFUNCTION("""COMPUTED_VALUE"""),45425.0)</f>
        <v>45425</v>
      </c>
      <c r="C13437" s="13">
        <f>IFERROR(__xludf.DUMMYFUNCTION("""COMPUTED_VALUE"""),0.875)</f>
        <v>0.875</v>
      </c>
      <c r="D13437" s="8">
        <f>IFERROR(__xludf.DUMMYFUNCTION("""COMPUTED_VALUE"""),0.042)</f>
        <v>0.042</v>
      </c>
      <c r="E13437" s="8" t="str">
        <f>IFERROR(__xludf.DUMMYFUNCTION("""COMPUTED_VALUE"""),"Real")</f>
        <v>Real</v>
      </c>
      <c r="G13437" s="8">
        <f t="shared" si="1"/>
        <v>5</v>
      </c>
      <c r="H13437" s="14">
        <f t="shared" si="2"/>
        <v>13</v>
      </c>
      <c r="I13437" s="15">
        <f t="shared" si="3"/>
        <v>21</v>
      </c>
    </row>
    <row r="13438">
      <c r="A13438" s="8" t="str">
        <f>IFERROR(__xludf.DUMMYFUNCTION("IF('(INGESTA)Datos_consumo_datadis'!A13438&lt;&gt;"""",SPLIT('(INGESTA)Datos_consumo_datadis'!A:A,"",""),"""")"),"ES0031408323131005HX0F")</f>
        <v>ES0031408323131005HX0F</v>
      </c>
      <c r="B13438" s="12">
        <f>IFERROR(__xludf.DUMMYFUNCTION("""COMPUTED_VALUE"""),45425.0)</f>
        <v>45425</v>
      </c>
      <c r="C13438" s="13">
        <f>IFERROR(__xludf.DUMMYFUNCTION("""COMPUTED_VALUE"""),0.9166666666666666)</f>
        <v>0.9166666667</v>
      </c>
      <c r="D13438" s="8">
        <f>IFERROR(__xludf.DUMMYFUNCTION("""COMPUTED_VALUE"""),0.305)</f>
        <v>0.305</v>
      </c>
      <c r="E13438" s="8" t="str">
        <f>IFERROR(__xludf.DUMMYFUNCTION("""COMPUTED_VALUE"""),"Real")</f>
        <v>Real</v>
      </c>
      <c r="G13438" s="8">
        <f t="shared" si="1"/>
        <v>5</v>
      </c>
      <c r="H13438" s="14">
        <f t="shared" si="2"/>
        <v>13</v>
      </c>
      <c r="I13438" s="15">
        <f t="shared" si="3"/>
        <v>22</v>
      </c>
    </row>
    <row r="13439">
      <c r="A13439" s="8" t="str">
        <f>IFERROR(__xludf.DUMMYFUNCTION("IF('(INGESTA)Datos_consumo_datadis'!A13439&lt;&gt;"""",SPLIT('(INGESTA)Datos_consumo_datadis'!A:A,"",""),"""")"),"ES0031408323131005HX0F")</f>
        <v>ES0031408323131005HX0F</v>
      </c>
      <c r="B13439" s="12">
        <f>IFERROR(__xludf.DUMMYFUNCTION("""COMPUTED_VALUE"""),45425.0)</f>
        <v>45425</v>
      </c>
      <c r="C13439" s="13">
        <f>IFERROR(__xludf.DUMMYFUNCTION("""COMPUTED_VALUE"""),0.9583333333333334)</f>
        <v>0.9583333333</v>
      </c>
      <c r="D13439" s="8">
        <f>IFERROR(__xludf.DUMMYFUNCTION("""COMPUTED_VALUE"""),0.177)</f>
        <v>0.177</v>
      </c>
      <c r="E13439" s="8" t="str">
        <f>IFERROR(__xludf.DUMMYFUNCTION("""COMPUTED_VALUE"""),"Real")</f>
        <v>Real</v>
      </c>
      <c r="G13439" s="8">
        <f t="shared" si="1"/>
        <v>5</v>
      </c>
      <c r="H13439" s="14">
        <f t="shared" si="2"/>
        <v>13</v>
      </c>
      <c r="I13439" s="15">
        <f t="shared" si="3"/>
        <v>23</v>
      </c>
    </row>
    <row r="13440">
      <c r="A13440" s="8" t="str">
        <f>IFERROR(__xludf.DUMMYFUNCTION("IF('(INGESTA)Datos_consumo_datadis'!A13440&lt;&gt;"""",SPLIT('(INGESTA)Datos_consumo_datadis'!A:A,"",""),"""")"),"ES0031408323131005HX0F")</f>
        <v>ES0031408323131005HX0F</v>
      </c>
      <c r="B13440" s="12">
        <f>IFERROR(__xludf.DUMMYFUNCTION("""COMPUTED_VALUE"""),45425.0)</f>
        <v>45425</v>
      </c>
      <c r="C13440" s="16">
        <f>IFERROR(__xludf.DUMMYFUNCTION("""COMPUTED_VALUE"""),1.0)</f>
        <v>1</v>
      </c>
      <c r="D13440" s="8">
        <f>IFERROR(__xludf.DUMMYFUNCTION("""COMPUTED_VALUE"""),0.502)</f>
        <v>0.502</v>
      </c>
      <c r="E13440" s="8" t="str">
        <f>IFERROR(__xludf.DUMMYFUNCTION("""COMPUTED_VALUE"""),"Real")</f>
        <v>Real</v>
      </c>
      <c r="G13440" s="8">
        <f t="shared" si="1"/>
        <v>5</v>
      </c>
      <c r="H13440" s="14">
        <f t="shared" si="2"/>
        <v>13</v>
      </c>
      <c r="I13440" s="15">
        <f t="shared" si="3"/>
        <v>0</v>
      </c>
    </row>
    <row r="13441">
      <c r="A13441" s="8" t="str">
        <f>IFERROR(__xludf.DUMMYFUNCTION("IF('(INGESTA)Datos_consumo_datadis'!A13441&lt;&gt;"""",SPLIT('(INGESTA)Datos_consumo_datadis'!A:A,"",""),"""")"),"ES0031408323131005HX0F")</f>
        <v>ES0031408323131005HX0F</v>
      </c>
      <c r="B13441" s="12">
        <f>IFERROR(__xludf.DUMMYFUNCTION("""COMPUTED_VALUE"""),45426.0)</f>
        <v>45426</v>
      </c>
      <c r="C13441" s="13">
        <f>IFERROR(__xludf.DUMMYFUNCTION("""COMPUTED_VALUE"""),0.041666666666666664)</f>
        <v>0.04166666667</v>
      </c>
      <c r="D13441" s="8">
        <f>IFERROR(__xludf.DUMMYFUNCTION("""COMPUTED_VALUE"""),0.077)</f>
        <v>0.077</v>
      </c>
      <c r="E13441" s="8" t="str">
        <f>IFERROR(__xludf.DUMMYFUNCTION("""COMPUTED_VALUE"""),"Real")</f>
        <v>Real</v>
      </c>
      <c r="G13441" s="8">
        <f t="shared" si="1"/>
        <v>5</v>
      </c>
      <c r="H13441" s="14">
        <f t="shared" si="2"/>
        <v>14</v>
      </c>
      <c r="I13441" s="15">
        <f t="shared" si="3"/>
        <v>1</v>
      </c>
    </row>
    <row r="13442">
      <c r="A13442" s="8" t="str">
        <f>IFERROR(__xludf.DUMMYFUNCTION("IF('(INGESTA)Datos_consumo_datadis'!A13442&lt;&gt;"""",SPLIT('(INGESTA)Datos_consumo_datadis'!A:A,"",""),"""")"),"ES0031408323131005HX0F")</f>
        <v>ES0031408323131005HX0F</v>
      </c>
      <c r="B13442" s="12">
        <f>IFERROR(__xludf.DUMMYFUNCTION("""COMPUTED_VALUE"""),45426.0)</f>
        <v>45426</v>
      </c>
      <c r="C13442" s="13">
        <f>IFERROR(__xludf.DUMMYFUNCTION("""COMPUTED_VALUE"""),0.08333333333333333)</f>
        <v>0.08333333333</v>
      </c>
      <c r="D13442" s="8">
        <f>IFERROR(__xludf.DUMMYFUNCTION("""COMPUTED_VALUE"""),0.088)</f>
        <v>0.088</v>
      </c>
      <c r="E13442" s="8" t="str">
        <f>IFERROR(__xludf.DUMMYFUNCTION("""COMPUTED_VALUE"""),"Real")</f>
        <v>Real</v>
      </c>
      <c r="G13442" s="8">
        <f t="shared" si="1"/>
        <v>5</v>
      </c>
      <c r="H13442" s="14">
        <f t="shared" si="2"/>
        <v>14</v>
      </c>
      <c r="I13442" s="15">
        <f t="shared" si="3"/>
        <v>2</v>
      </c>
    </row>
    <row r="13443">
      <c r="A13443" s="8" t="str">
        <f>IFERROR(__xludf.DUMMYFUNCTION("IF('(INGESTA)Datos_consumo_datadis'!A13443&lt;&gt;"""",SPLIT('(INGESTA)Datos_consumo_datadis'!A:A,"",""),"""")"),"ES0031408323131005HX0F")</f>
        <v>ES0031408323131005HX0F</v>
      </c>
      <c r="B13443" s="12">
        <f>IFERROR(__xludf.DUMMYFUNCTION("""COMPUTED_VALUE"""),45426.0)</f>
        <v>45426</v>
      </c>
      <c r="C13443" s="13">
        <f>IFERROR(__xludf.DUMMYFUNCTION("""COMPUTED_VALUE"""),0.125)</f>
        <v>0.125</v>
      </c>
      <c r="D13443" s="8">
        <f>IFERROR(__xludf.DUMMYFUNCTION("""COMPUTED_VALUE"""),0.058)</f>
        <v>0.058</v>
      </c>
      <c r="E13443" s="8" t="str">
        <f>IFERROR(__xludf.DUMMYFUNCTION("""COMPUTED_VALUE"""),"Real")</f>
        <v>Real</v>
      </c>
      <c r="G13443" s="8">
        <f t="shared" si="1"/>
        <v>5</v>
      </c>
      <c r="H13443" s="14">
        <f t="shared" si="2"/>
        <v>14</v>
      </c>
      <c r="I13443" s="15">
        <f t="shared" si="3"/>
        <v>3</v>
      </c>
    </row>
    <row r="13444">
      <c r="A13444" s="8" t="str">
        <f>IFERROR(__xludf.DUMMYFUNCTION("IF('(INGESTA)Datos_consumo_datadis'!A13444&lt;&gt;"""",SPLIT('(INGESTA)Datos_consumo_datadis'!A:A,"",""),"""")"),"ES0031408323131005HX0F")</f>
        <v>ES0031408323131005HX0F</v>
      </c>
      <c r="B13444" s="12">
        <f>IFERROR(__xludf.DUMMYFUNCTION("""COMPUTED_VALUE"""),45426.0)</f>
        <v>45426</v>
      </c>
      <c r="C13444" s="13">
        <f>IFERROR(__xludf.DUMMYFUNCTION("""COMPUTED_VALUE"""),0.16666666666666666)</f>
        <v>0.1666666667</v>
      </c>
      <c r="D13444" s="8">
        <f>IFERROR(__xludf.DUMMYFUNCTION("""COMPUTED_VALUE"""),0.076)</f>
        <v>0.076</v>
      </c>
      <c r="E13444" s="8" t="str">
        <f>IFERROR(__xludf.DUMMYFUNCTION("""COMPUTED_VALUE"""),"Real")</f>
        <v>Real</v>
      </c>
      <c r="G13444" s="8">
        <f t="shared" si="1"/>
        <v>5</v>
      </c>
      <c r="H13444" s="14">
        <f t="shared" si="2"/>
        <v>14</v>
      </c>
      <c r="I13444" s="15">
        <f t="shared" si="3"/>
        <v>4</v>
      </c>
    </row>
    <row r="13445">
      <c r="A13445" s="8" t="str">
        <f>IFERROR(__xludf.DUMMYFUNCTION("IF('(INGESTA)Datos_consumo_datadis'!A13445&lt;&gt;"""",SPLIT('(INGESTA)Datos_consumo_datadis'!A:A,"",""),"""")"),"ES0031408323131005HX0F")</f>
        <v>ES0031408323131005HX0F</v>
      </c>
      <c r="B13445" s="12">
        <f>IFERROR(__xludf.DUMMYFUNCTION("""COMPUTED_VALUE"""),45426.0)</f>
        <v>45426</v>
      </c>
      <c r="C13445" s="13">
        <f>IFERROR(__xludf.DUMMYFUNCTION("""COMPUTED_VALUE"""),0.20833333333333334)</f>
        <v>0.2083333333</v>
      </c>
      <c r="D13445" s="8">
        <f>IFERROR(__xludf.DUMMYFUNCTION("""COMPUTED_VALUE"""),0.063)</f>
        <v>0.063</v>
      </c>
      <c r="E13445" s="8" t="str">
        <f>IFERROR(__xludf.DUMMYFUNCTION("""COMPUTED_VALUE"""),"Real")</f>
        <v>Real</v>
      </c>
      <c r="G13445" s="8">
        <f t="shared" si="1"/>
        <v>5</v>
      </c>
      <c r="H13445" s="14">
        <f t="shared" si="2"/>
        <v>14</v>
      </c>
      <c r="I13445" s="15">
        <f t="shared" si="3"/>
        <v>5</v>
      </c>
    </row>
    <row r="13446">
      <c r="A13446" s="8" t="str">
        <f>IFERROR(__xludf.DUMMYFUNCTION("IF('(INGESTA)Datos_consumo_datadis'!A13446&lt;&gt;"""",SPLIT('(INGESTA)Datos_consumo_datadis'!A:A,"",""),"""")"),"ES0031408323131005HX0F")</f>
        <v>ES0031408323131005HX0F</v>
      </c>
      <c r="B13446" s="12">
        <f>IFERROR(__xludf.DUMMYFUNCTION("""COMPUTED_VALUE"""),45426.0)</f>
        <v>45426</v>
      </c>
      <c r="C13446" s="13">
        <f>IFERROR(__xludf.DUMMYFUNCTION("""COMPUTED_VALUE"""),0.25)</f>
        <v>0.25</v>
      </c>
      <c r="D13446" s="8">
        <f>IFERROR(__xludf.DUMMYFUNCTION("""COMPUTED_VALUE"""),0.125)</f>
        <v>0.125</v>
      </c>
      <c r="E13446" s="8" t="str">
        <f>IFERROR(__xludf.DUMMYFUNCTION("""COMPUTED_VALUE"""),"Real")</f>
        <v>Real</v>
      </c>
      <c r="G13446" s="8">
        <f t="shared" si="1"/>
        <v>5</v>
      </c>
      <c r="H13446" s="14">
        <f t="shared" si="2"/>
        <v>14</v>
      </c>
      <c r="I13446" s="15">
        <f t="shared" si="3"/>
        <v>6</v>
      </c>
    </row>
    <row r="13447">
      <c r="A13447" s="8" t="str">
        <f>IFERROR(__xludf.DUMMYFUNCTION("IF('(INGESTA)Datos_consumo_datadis'!A13447&lt;&gt;"""",SPLIT('(INGESTA)Datos_consumo_datadis'!A:A,"",""),"""")"),"ES0031408323131005HX0F")</f>
        <v>ES0031408323131005HX0F</v>
      </c>
      <c r="B13447" s="12">
        <f>IFERROR(__xludf.DUMMYFUNCTION("""COMPUTED_VALUE"""),45426.0)</f>
        <v>45426</v>
      </c>
      <c r="C13447" s="13">
        <f>IFERROR(__xludf.DUMMYFUNCTION("""COMPUTED_VALUE"""),0.2916666666666667)</f>
        <v>0.2916666667</v>
      </c>
      <c r="D13447" s="8">
        <f>IFERROR(__xludf.DUMMYFUNCTION("""COMPUTED_VALUE"""),0.275)</f>
        <v>0.275</v>
      </c>
      <c r="E13447" s="8" t="str">
        <f>IFERROR(__xludf.DUMMYFUNCTION("""COMPUTED_VALUE"""),"Real")</f>
        <v>Real</v>
      </c>
      <c r="G13447" s="8">
        <f t="shared" si="1"/>
        <v>5</v>
      </c>
      <c r="H13447" s="14">
        <f t="shared" si="2"/>
        <v>14</v>
      </c>
      <c r="I13447" s="15">
        <f t="shared" si="3"/>
        <v>7</v>
      </c>
    </row>
    <row r="13448">
      <c r="A13448" s="8" t="str">
        <f>IFERROR(__xludf.DUMMYFUNCTION("IF('(INGESTA)Datos_consumo_datadis'!A13448&lt;&gt;"""",SPLIT('(INGESTA)Datos_consumo_datadis'!A:A,"",""),"""")"),"ES0031408323131005HX0F")</f>
        <v>ES0031408323131005HX0F</v>
      </c>
      <c r="B13448" s="12">
        <f>IFERROR(__xludf.DUMMYFUNCTION("""COMPUTED_VALUE"""),45426.0)</f>
        <v>45426</v>
      </c>
      <c r="C13448" s="13">
        <f>IFERROR(__xludf.DUMMYFUNCTION("""COMPUTED_VALUE"""),0.3333333333333333)</f>
        <v>0.3333333333</v>
      </c>
      <c r="D13448" s="8">
        <f>IFERROR(__xludf.DUMMYFUNCTION("""COMPUTED_VALUE"""),0.269)</f>
        <v>0.269</v>
      </c>
      <c r="E13448" s="8" t="str">
        <f>IFERROR(__xludf.DUMMYFUNCTION("""COMPUTED_VALUE"""),"Real")</f>
        <v>Real</v>
      </c>
      <c r="G13448" s="8">
        <f t="shared" si="1"/>
        <v>5</v>
      </c>
      <c r="H13448" s="14">
        <f t="shared" si="2"/>
        <v>14</v>
      </c>
      <c r="I13448" s="15">
        <f t="shared" si="3"/>
        <v>8</v>
      </c>
    </row>
    <row r="13449">
      <c r="A13449" s="8" t="str">
        <f>IFERROR(__xludf.DUMMYFUNCTION("IF('(INGESTA)Datos_consumo_datadis'!A13449&lt;&gt;"""",SPLIT('(INGESTA)Datos_consumo_datadis'!A:A,"",""),"""")"),"ES0031408323131005HX0F")</f>
        <v>ES0031408323131005HX0F</v>
      </c>
      <c r="B13449" s="12">
        <f>IFERROR(__xludf.DUMMYFUNCTION("""COMPUTED_VALUE"""),45426.0)</f>
        <v>45426</v>
      </c>
      <c r="C13449" s="13">
        <f>IFERROR(__xludf.DUMMYFUNCTION("""COMPUTED_VALUE"""),0.375)</f>
        <v>0.375</v>
      </c>
      <c r="D13449" s="8">
        <f>IFERROR(__xludf.DUMMYFUNCTION("""COMPUTED_VALUE"""),0.074)</f>
        <v>0.074</v>
      </c>
      <c r="E13449" s="8" t="str">
        <f>IFERROR(__xludf.DUMMYFUNCTION("""COMPUTED_VALUE"""),"Real")</f>
        <v>Real</v>
      </c>
      <c r="G13449" s="8">
        <f t="shared" si="1"/>
        <v>5</v>
      </c>
      <c r="H13449" s="14">
        <f t="shared" si="2"/>
        <v>14</v>
      </c>
      <c r="I13449" s="15">
        <f t="shared" si="3"/>
        <v>9</v>
      </c>
    </row>
    <row r="13450">
      <c r="A13450" s="8" t="str">
        <f>IFERROR(__xludf.DUMMYFUNCTION("IF('(INGESTA)Datos_consumo_datadis'!A13450&lt;&gt;"""",SPLIT('(INGESTA)Datos_consumo_datadis'!A:A,"",""),"""")"),"ES0031408323131005HX0F")</f>
        <v>ES0031408323131005HX0F</v>
      </c>
      <c r="B13450" s="12">
        <f>IFERROR(__xludf.DUMMYFUNCTION("""COMPUTED_VALUE"""),45426.0)</f>
        <v>45426</v>
      </c>
      <c r="C13450" s="13">
        <f>IFERROR(__xludf.DUMMYFUNCTION("""COMPUTED_VALUE"""),0.4166666666666667)</f>
        <v>0.4166666667</v>
      </c>
      <c r="D13450" s="8">
        <f>IFERROR(__xludf.DUMMYFUNCTION("""COMPUTED_VALUE"""),0.041)</f>
        <v>0.041</v>
      </c>
      <c r="E13450" s="8" t="str">
        <f>IFERROR(__xludf.DUMMYFUNCTION("""COMPUTED_VALUE"""),"Real")</f>
        <v>Real</v>
      </c>
      <c r="G13450" s="8">
        <f t="shared" si="1"/>
        <v>5</v>
      </c>
      <c r="H13450" s="14">
        <f t="shared" si="2"/>
        <v>14</v>
      </c>
      <c r="I13450" s="15">
        <f t="shared" si="3"/>
        <v>10</v>
      </c>
    </row>
    <row r="13451">
      <c r="A13451" s="8" t="str">
        <f>IFERROR(__xludf.DUMMYFUNCTION("IF('(INGESTA)Datos_consumo_datadis'!A13451&lt;&gt;"""",SPLIT('(INGESTA)Datos_consumo_datadis'!A:A,"",""),"""")"),"ES0031408323131005HX0F")</f>
        <v>ES0031408323131005HX0F</v>
      </c>
      <c r="B13451" s="12">
        <f>IFERROR(__xludf.DUMMYFUNCTION("""COMPUTED_VALUE"""),45426.0)</f>
        <v>45426</v>
      </c>
      <c r="C13451" s="13">
        <f>IFERROR(__xludf.DUMMYFUNCTION("""COMPUTED_VALUE"""),0.4583333333333333)</f>
        <v>0.4583333333</v>
      </c>
      <c r="D13451" s="8">
        <f>IFERROR(__xludf.DUMMYFUNCTION("""COMPUTED_VALUE"""),0.129)</f>
        <v>0.129</v>
      </c>
      <c r="E13451" s="8" t="str">
        <f>IFERROR(__xludf.DUMMYFUNCTION("""COMPUTED_VALUE"""),"Real")</f>
        <v>Real</v>
      </c>
      <c r="G13451" s="8">
        <f t="shared" si="1"/>
        <v>5</v>
      </c>
      <c r="H13451" s="14">
        <f t="shared" si="2"/>
        <v>14</v>
      </c>
      <c r="I13451" s="15">
        <f t="shared" si="3"/>
        <v>11</v>
      </c>
    </row>
    <row r="13452">
      <c r="A13452" s="8" t="str">
        <f>IFERROR(__xludf.DUMMYFUNCTION("IF('(INGESTA)Datos_consumo_datadis'!A13452&lt;&gt;"""",SPLIT('(INGESTA)Datos_consumo_datadis'!A:A,"",""),"""")"),"ES0031408323131005HX0F")</f>
        <v>ES0031408323131005HX0F</v>
      </c>
      <c r="B13452" s="12">
        <f>IFERROR(__xludf.DUMMYFUNCTION("""COMPUTED_VALUE"""),45426.0)</f>
        <v>45426</v>
      </c>
      <c r="C13452" s="13">
        <f>IFERROR(__xludf.DUMMYFUNCTION("""COMPUTED_VALUE"""),0.5)</f>
        <v>0.5</v>
      </c>
      <c r="D13452" s="8">
        <f>IFERROR(__xludf.DUMMYFUNCTION("""COMPUTED_VALUE"""),0.098)</f>
        <v>0.098</v>
      </c>
      <c r="E13452" s="8" t="str">
        <f>IFERROR(__xludf.DUMMYFUNCTION("""COMPUTED_VALUE"""),"Real")</f>
        <v>Real</v>
      </c>
      <c r="G13452" s="8">
        <f t="shared" si="1"/>
        <v>5</v>
      </c>
      <c r="H13452" s="14">
        <f t="shared" si="2"/>
        <v>14</v>
      </c>
      <c r="I13452" s="15">
        <f t="shared" si="3"/>
        <v>12</v>
      </c>
    </row>
    <row r="13453">
      <c r="A13453" s="8" t="str">
        <f>IFERROR(__xludf.DUMMYFUNCTION("IF('(INGESTA)Datos_consumo_datadis'!A13453&lt;&gt;"""",SPLIT('(INGESTA)Datos_consumo_datadis'!A:A,"",""),"""")"),"ES0031408323131005HX0F")</f>
        <v>ES0031408323131005HX0F</v>
      </c>
      <c r="B13453" s="12">
        <f>IFERROR(__xludf.DUMMYFUNCTION("""COMPUTED_VALUE"""),45426.0)</f>
        <v>45426</v>
      </c>
      <c r="C13453" s="13">
        <f>IFERROR(__xludf.DUMMYFUNCTION("""COMPUTED_VALUE"""),0.5416666666666666)</f>
        <v>0.5416666667</v>
      </c>
      <c r="D13453" s="8">
        <f>IFERROR(__xludf.DUMMYFUNCTION("""COMPUTED_VALUE"""),0.32)</f>
        <v>0.32</v>
      </c>
      <c r="E13453" s="8" t="str">
        <f>IFERROR(__xludf.DUMMYFUNCTION("""COMPUTED_VALUE"""),"Real")</f>
        <v>Real</v>
      </c>
      <c r="G13453" s="8">
        <f t="shared" si="1"/>
        <v>5</v>
      </c>
      <c r="H13453" s="14">
        <f t="shared" si="2"/>
        <v>14</v>
      </c>
      <c r="I13453" s="15">
        <f t="shared" si="3"/>
        <v>13</v>
      </c>
    </row>
    <row r="13454">
      <c r="A13454" s="8" t="str">
        <f>IFERROR(__xludf.DUMMYFUNCTION("IF('(INGESTA)Datos_consumo_datadis'!A13454&lt;&gt;"""",SPLIT('(INGESTA)Datos_consumo_datadis'!A:A,"",""),"""")"),"ES0031408323131005HX0F")</f>
        <v>ES0031408323131005HX0F</v>
      </c>
      <c r="B13454" s="12">
        <f>IFERROR(__xludf.DUMMYFUNCTION("""COMPUTED_VALUE"""),45426.0)</f>
        <v>45426</v>
      </c>
      <c r="C13454" s="13">
        <f>IFERROR(__xludf.DUMMYFUNCTION("""COMPUTED_VALUE"""),0.5833333333333334)</f>
        <v>0.5833333333</v>
      </c>
      <c r="D13454" s="8">
        <f>IFERROR(__xludf.DUMMYFUNCTION("""COMPUTED_VALUE"""),0.069)</f>
        <v>0.069</v>
      </c>
      <c r="E13454" s="8" t="str">
        <f>IFERROR(__xludf.DUMMYFUNCTION("""COMPUTED_VALUE"""),"Real")</f>
        <v>Real</v>
      </c>
      <c r="G13454" s="8">
        <f t="shared" si="1"/>
        <v>5</v>
      </c>
      <c r="H13454" s="14">
        <f t="shared" si="2"/>
        <v>14</v>
      </c>
      <c r="I13454" s="15">
        <f t="shared" si="3"/>
        <v>14</v>
      </c>
    </row>
    <row r="13455">
      <c r="A13455" s="8" t="str">
        <f>IFERROR(__xludf.DUMMYFUNCTION("IF('(INGESTA)Datos_consumo_datadis'!A13455&lt;&gt;"""",SPLIT('(INGESTA)Datos_consumo_datadis'!A:A,"",""),"""")"),"ES0031408323131005HX0F")</f>
        <v>ES0031408323131005HX0F</v>
      </c>
      <c r="B13455" s="12">
        <f>IFERROR(__xludf.DUMMYFUNCTION("""COMPUTED_VALUE"""),45426.0)</f>
        <v>45426</v>
      </c>
      <c r="C13455" s="13">
        <f>IFERROR(__xludf.DUMMYFUNCTION("""COMPUTED_VALUE"""),0.625)</f>
        <v>0.625</v>
      </c>
      <c r="D13455" s="8">
        <f>IFERROR(__xludf.DUMMYFUNCTION("""COMPUTED_VALUE"""),0.063)</f>
        <v>0.063</v>
      </c>
      <c r="E13455" s="8" t="str">
        <f>IFERROR(__xludf.DUMMYFUNCTION("""COMPUTED_VALUE"""),"Real")</f>
        <v>Real</v>
      </c>
      <c r="G13455" s="8">
        <f t="shared" si="1"/>
        <v>5</v>
      </c>
      <c r="H13455" s="14">
        <f t="shared" si="2"/>
        <v>14</v>
      </c>
      <c r="I13455" s="15">
        <f t="shared" si="3"/>
        <v>15</v>
      </c>
    </row>
    <row r="13456">
      <c r="A13456" s="8" t="str">
        <f>IFERROR(__xludf.DUMMYFUNCTION("IF('(INGESTA)Datos_consumo_datadis'!A13456&lt;&gt;"""",SPLIT('(INGESTA)Datos_consumo_datadis'!A:A,"",""),"""")"),"ES0031408323131005HX0F")</f>
        <v>ES0031408323131005HX0F</v>
      </c>
      <c r="B13456" s="12">
        <f>IFERROR(__xludf.DUMMYFUNCTION("""COMPUTED_VALUE"""),45426.0)</f>
        <v>45426</v>
      </c>
      <c r="C13456" s="13">
        <f>IFERROR(__xludf.DUMMYFUNCTION("""COMPUTED_VALUE"""),0.6666666666666666)</f>
        <v>0.6666666667</v>
      </c>
      <c r="D13456" s="8">
        <f>IFERROR(__xludf.DUMMYFUNCTION("""COMPUTED_VALUE"""),0.056)</f>
        <v>0.056</v>
      </c>
      <c r="E13456" s="8" t="str">
        <f>IFERROR(__xludf.DUMMYFUNCTION("""COMPUTED_VALUE"""),"Real")</f>
        <v>Real</v>
      </c>
      <c r="G13456" s="8">
        <f t="shared" si="1"/>
        <v>5</v>
      </c>
      <c r="H13456" s="14">
        <f t="shared" si="2"/>
        <v>14</v>
      </c>
      <c r="I13456" s="15">
        <f t="shared" si="3"/>
        <v>16</v>
      </c>
    </row>
    <row r="13457">
      <c r="A13457" s="8" t="str">
        <f>IFERROR(__xludf.DUMMYFUNCTION("IF('(INGESTA)Datos_consumo_datadis'!A13457&lt;&gt;"""",SPLIT('(INGESTA)Datos_consumo_datadis'!A:A,"",""),"""")"),"ES0031408323131005HX0F")</f>
        <v>ES0031408323131005HX0F</v>
      </c>
      <c r="B13457" s="12">
        <f>IFERROR(__xludf.DUMMYFUNCTION("""COMPUTED_VALUE"""),45426.0)</f>
        <v>45426</v>
      </c>
      <c r="C13457" s="13">
        <f>IFERROR(__xludf.DUMMYFUNCTION("""COMPUTED_VALUE"""),0.7083333333333334)</f>
        <v>0.7083333333</v>
      </c>
      <c r="D13457" s="8">
        <f>IFERROR(__xludf.DUMMYFUNCTION("""COMPUTED_VALUE"""),0.073)</f>
        <v>0.073</v>
      </c>
      <c r="E13457" s="8" t="str">
        <f>IFERROR(__xludf.DUMMYFUNCTION("""COMPUTED_VALUE"""),"Real")</f>
        <v>Real</v>
      </c>
      <c r="G13457" s="8">
        <f t="shared" si="1"/>
        <v>5</v>
      </c>
      <c r="H13457" s="14">
        <f t="shared" si="2"/>
        <v>14</v>
      </c>
      <c r="I13457" s="15">
        <f t="shared" si="3"/>
        <v>17</v>
      </c>
    </row>
    <row r="13458">
      <c r="A13458" s="8" t="str">
        <f>IFERROR(__xludf.DUMMYFUNCTION("IF('(INGESTA)Datos_consumo_datadis'!A13458&lt;&gt;"""",SPLIT('(INGESTA)Datos_consumo_datadis'!A:A,"",""),"""")"),"ES0031408323131005HX0F")</f>
        <v>ES0031408323131005HX0F</v>
      </c>
      <c r="B13458" s="12">
        <f>IFERROR(__xludf.DUMMYFUNCTION("""COMPUTED_VALUE"""),45426.0)</f>
        <v>45426</v>
      </c>
      <c r="C13458" s="13">
        <f>IFERROR(__xludf.DUMMYFUNCTION("""COMPUTED_VALUE"""),0.75)</f>
        <v>0.75</v>
      </c>
      <c r="D13458" s="8">
        <f>IFERROR(__xludf.DUMMYFUNCTION("""COMPUTED_VALUE"""),0.039)</f>
        <v>0.039</v>
      </c>
      <c r="E13458" s="8" t="str">
        <f>IFERROR(__xludf.DUMMYFUNCTION("""COMPUTED_VALUE"""),"Real")</f>
        <v>Real</v>
      </c>
      <c r="G13458" s="8">
        <f t="shared" si="1"/>
        <v>5</v>
      </c>
      <c r="H13458" s="14">
        <f t="shared" si="2"/>
        <v>14</v>
      </c>
      <c r="I13458" s="15">
        <f t="shared" si="3"/>
        <v>18</v>
      </c>
    </row>
    <row r="13459">
      <c r="A13459" s="8" t="str">
        <f>IFERROR(__xludf.DUMMYFUNCTION("IF('(INGESTA)Datos_consumo_datadis'!A13459&lt;&gt;"""",SPLIT('(INGESTA)Datos_consumo_datadis'!A:A,"",""),"""")"),"ES0031408323131005HX0F")</f>
        <v>ES0031408323131005HX0F</v>
      </c>
      <c r="B13459" s="12">
        <f>IFERROR(__xludf.DUMMYFUNCTION("""COMPUTED_VALUE"""),45426.0)</f>
        <v>45426</v>
      </c>
      <c r="C13459" s="13">
        <f>IFERROR(__xludf.DUMMYFUNCTION("""COMPUTED_VALUE"""),0.7916666666666666)</f>
        <v>0.7916666667</v>
      </c>
      <c r="D13459" s="8">
        <f>IFERROR(__xludf.DUMMYFUNCTION("""COMPUTED_VALUE"""),0.359)</f>
        <v>0.359</v>
      </c>
      <c r="E13459" s="8" t="str">
        <f>IFERROR(__xludf.DUMMYFUNCTION("""COMPUTED_VALUE"""),"Real")</f>
        <v>Real</v>
      </c>
      <c r="G13459" s="8">
        <f t="shared" si="1"/>
        <v>5</v>
      </c>
      <c r="H13459" s="14">
        <f t="shared" si="2"/>
        <v>14</v>
      </c>
      <c r="I13459" s="15">
        <f t="shared" si="3"/>
        <v>19</v>
      </c>
    </row>
    <row r="13460">
      <c r="A13460" s="8" t="str">
        <f>IFERROR(__xludf.DUMMYFUNCTION("IF('(INGESTA)Datos_consumo_datadis'!A13460&lt;&gt;"""",SPLIT('(INGESTA)Datos_consumo_datadis'!A:A,"",""),"""")"),"ES0031408323131005HX0F")</f>
        <v>ES0031408323131005HX0F</v>
      </c>
      <c r="B13460" s="12">
        <f>IFERROR(__xludf.DUMMYFUNCTION("""COMPUTED_VALUE"""),45426.0)</f>
        <v>45426</v>
      </c>
      <c r="C13460" s="13">
        <f>IFERROR(__xludf.DUMMYFUNCTION("""COMPUTED_VALUE"""),0.8333333333333334)</f>
        <v>0.8333333333</v>
      </c>
      <c r="D13460" s="8">
        <f>IFERROR(__xludf.DUMMYFUNCTION("""COMPUTED_VALUE"""),0.129)</f>
        <v>0.129</v>
      </c>
      <c r="E13460" s="8" t="str">
        <f>IFERROR(__xludf.DUMMYFUNCTION("""COMPUTED_VALUE"""),"Real")</f>
        <v>Real</v>
      </c>
      <c r="G13460" s="8">
        <f t="shared" si="1"/>
        <v>5</v>
      </c>
      <c r="H13460" s="14">
        <f t="shared" si="2"/>
        <v>14</v>
      </c>
      <c r="I13460" s="15">
        <f t="shared" si="3"/>
        <v>20</v>
      </c>
    </row>
    <row r="13461">
      <c r="A13461" s="8" t="str">
        <f>IFERROR(__xludf.DUMMYFUNCTION("IF('(INGESTA)Datos_consumo_datadis'!A13461&lt;&gt;"""",SPLIT('(INGESTA)Datos_consumo_datadis'!A:A,"",""),"""")"),"ES0031408323131005HX0F")</f>
        <v>ES0031408323131005HX0F</v>
      </c>
      <c r="B13461" s="12">
        <f>IFERROR(__xludf.DUMMYFUNCTION("""COMPUTED_VALUE"""),45426.0)</f>
        <v>45426</v>
      </c>
      <c r="C13461" s="13">
        <f>IFERROR(__xludf.DUMMYFUNCTION("""COMPUTED_VALUE"""),0.875)</f>
        <v>0.875</v>
      </c>
      <c r="D13461" s="8">
        <f>IFERROR(__xludf.DUMMYFUNCTION("""COMPUTED_VALUE"""),0.157)</f>
        <v>0.157</v>
      </c>
      <c r="E13461" s="8" t="str">
        <f>IFERROR(__xludf.DUMMYFUNCTION("""COMPUTED_VALUE"""),"Real")</f>
        <v>Real</v>
      </c>
      <c r="G13461" s="8">
        <f t="shared" si="1"/>
        <v>5</v>
      </c>
      <c r="H13461" s="14">
        <f t="shared" si="2"/>
        <v>14</v>
      </c>
      <c r="I13461" s="15">
        <f t="shared" si="3"/>
        <v>21</v>
      </c>
    </row>
    <row r="13462">
      <c r="A13462" s="8" t="str">
        <f>IFERROR(__xludf.DUMMYFUNCTION("IF('(INGESTA)Datos_consumo_datadis'!A13462&lt;&gt;"""",SPLIT('(INGESTA)Datos_consumo_datadis'!A:A,"",""),"""")"),"ES0031408323131005HX0F")</f>
        <v>ES0031408323131005HX0F</v>
      </c>
      <c r="B13462" s="12">
        <f>IFERROR(__xludf.DUMMYFUNCTION("""COMPUTED_VALUE"""),45426.0)</f>
        <v>45426</v>
      </c>
      <c r="C13462" s="13">
        <f>IFERROR(__xludf.DUMMYFUNCTION("""COMPUTED_VALUE"""),0.9166666666666666)</f>
        <v>0.9166666667</v>
      </c>
      <c r="D13462" s="8">
        <f>IFERROR(__xludf.DUMMYFUNCTION("""COMPUTED_VALUE"""),0.769)</f>
        <v>0.769</v>
      </c>
      <c r="E13462" s="8" t="str">
        <f>IFERROR(__xludf.DUMMYFUNCTION("""COMPUTED_VALUE"""),"Real")</f>
        <v>Real</v>
      </c>
      <c r="G13462" s="8">
        <f t="shared" si="1"/>
        <v>5</v>
      </c>
      <c r="H13462" s="14">
        <f t="shared" si="2"/>
        <v>14</v>
      </c>
      <c r="I13462" s="15">
        <f t="shared" si="3"/>
        <v>22</v>
      </c>
    </row>
    <row r="13463">
      <c r="A13463" s="8" t="str">
        <f>IFERROR(__xludf.DUMMYFUNCTION("IF('(INGESTA)Datos_consumo_datadis'!A13463&lt;&gt;"""",SPLIT('(INGESTA)Datos_consumo_datadis'!A:A,"",""),"""")"),"ES0031408323131005HX0F")</f>
        <v>ES0031408323131005HX0F</v>
      </c>
      <c r="B13463" s="12">
        <f>IFERROR(__xludf.DUMMYFUNCTION("""COMPUTED_VALUE"""),45426.0)</f>
        <v>45426</v>
      </c>
      <c r="C13463" s="13">
        <f>IFERROR(__xludf.DUMMYFUNCTION("""COMPUTED_VALUE"""),0.9583333333333334)</f>
        <v>0.9583333333</v>
      </c>
      <c r="D13463" s="8">
        <f>IFERROR(__xludf.DUMMYFUNCTION("""COMPUTED_VALUE"""),0.657)</f>
        <v>0.657</v>
      </c>
      <c r="E13463" s="8" t="str">
        <f>IFERROR(__xludf.DUMMYFUNCTION("""COMPUTED_VALUE"""),"Real")</f>
        <v>Real</v>
      </c>
      <c r="G13463" s="8">
        <f t="shared" si="1"/>
        <v>5</v>
      </c>
      <c r="H13463" s="14">
        <f t="shared" si="2"/>
        <v>14</v>
      </c>
      <c r="I13463" s="15">
        <f t="shared" si="3"/>
        <v>23</v>
      </c>
    </row>
    <row r="13464">
      <c r="A13464" s="8" t="str">
        <f>IFERROR(__xludf.DUMMYFUNCTION("IF('(INGESTA)Datos_consumo_datadis'!A13464&lt;&gt;"""",SPLIT('(INGESTA)Datos_consumo_datadis'!A:A,"",""),"""")"),"ES0031408323131005HX0F")</f>
        <v>ES0031408323131005HX0F</v>
      </c>
      <c r="B13464" s="12">
        <f>IFERROR(__xludf.DUMMYFUNCTION("""COMPUTED_VALUE"""),45426.0)</f>
        <v>45426</v>
      </c>
      <c r="C13464" s="16">
        <f>IFERROR(__xludf.DUMMYFUNCTION("""COMPUTED_VALUE"""),1.0)</f>
        <v>1</v>
      </c>
      <c r="D13464" s="8">
        <f>IFERROR(__xludf.DUMMYFUNCTION("""COMPUTED_VALUE"""),1.289)</f>
        <v>1.289</v>
      </c>
      <c r="E13464" s="8" t="str">
        <f>IFERROR(__xludf.DUMMYFUNCTION("""COMPUTED_VALUE"""),"Real")</f>
        <v>Real</v>
      </c>
      <c r="G13464" s="8">
        <f t="shared" si="1"/>
        <v>5</v>
      </c>
      <c r="H13464" s="14">
        <f t="shared" si="2"/>
        <v>14</v>
      </c>
      <c r="I13464" s="15">
        <f t="shared" si="3"/>
        <v>0</v>
      </c>
    </row>
    <row r="13465">
      <c r="A13465" s="8" t="str">
        <f>IFERROR(__xludf.DUMMYFUNCTION("IF('(INGESTA)Datos_consumo_datadis'!A13465&lt;&gt;"""",SPLIT('(INGESTA)Datos_consumo_datadis'!A:A,"",""),"""")"),"ES0031408323131005HX0F")</f>
        <v>ES0031408323131005HX0F</v>
      </c>
      <c r="B13465" s="12">
        <f>IFERROR(__xludf.DUMMYFUNCTION("""COMPUTED_VALUE"""),45427.0)</f>
        <v>45427</v>
      </c>
      <c r="C13465" s="13">
        <f>IFERROR(__xludf.DUMMYFUNCTION("""COMPUTED_VALUE"""),0.041666666666666664)</f>
        <v>0.04166666667</v>
      </c>
      <c r="D13465" s="8">
        <f>IFERROR(__xludf.DUMMYFUNCTION("""COMPUTED_VALUE"""),1.183)</f>
        <v>1.183</v>
      </c>
      <c r="E13465" s="8" t="str">
        <f>IFERROR(__xludf.DUMMYFUNCTION("""COMPUTED_VALUE"""),"Real")</f>
        <v>Real</v>
      </c>
      <c r="G13465" s="8">
        <f t="shared" si="1"/>
        <v>5</v>
      </c>
      <c r="H13465" s="14">
        <f t="shared" si="2"/>
        <v>15</v>
      </c>
      <c r="I13465" s="15">
        <f t="shared" si="3"/>
        <v>1</v>
      </c>
    </row>
    <row r="13466">
      <c r="A13466" s="8" t="str">
        <f>IFERROR(__xludf.DUMMYFUNCTION("IF('(INGESTA)Datos_consumo_datadis'!A13466&lt;&gt;"""",SPLIT('(INGESTA)Datos_consumo_datadis'!A:A,"",""),"""")"),"ES0031408323131005HX0F")</f>
        <v>ES0031408323131005HX0F</v>
      </c>
      <c r="B13466" s="12">
        <f>IFERROR(__xludf.DUMMYFUNCTION("""COMPUTED_VALUE"""),45427.0)</f>
        <v>45427</v>
      </c>
      <c r="C13466" s="13">
        <f>IFERROR(__xludf.DUMMYFUNCTION("""COMPUTED_VALUE"""),0.08333333333333333)</f>
        <v>0.08333333333</v>
      </c>
      <c r="D13466" s="8">
        <f>IFERROR(__xludf.DUMMYFUNCTION("""COMPUTED_VALUE"""),0.086)</f>
        <v>0.086</v>
      </c>
      <c r="E13466" s="8" t="str">
        <f>IFERROR(__xludf.DUMMYFUNCTION("""COMPUTED_VALUE"""),"Real")</f>
        <v>Real</v>
      </c>
      <c r="G13466" s="8">
        <f t="shared" si="1"/>
        <v>5</v>
      </c>
      <c r="H13466" s="14">
        <f t="shared" si="2"/>
        <v>15</v>
      </c>
      <c r="I13466" s="15">
        <f t="shared" si="3"/>
        <v>2</v>
      </c>
    </row>
    <row r="13467">
      <c r="A13467" s="8" t="str">
        <f>IFERROR(__xludf.DUMMYFUNCTION("IF('(INGESTA)Datos_consumo_datadis'!A13467&lt;&gt;"""",SPLIT('(INGESTA)Datos_consumo_datadis'!A:A,"",""),"""")"),"ES0031408323131005HX0F")</f>
        <v>ES0031408323131005HX0F</v>
      </c>
      <c r="B13467" s="12">
        <f>IFERROR(__xludf.DUMMYFUNCTION("""COMPUTED_VALUE"""),45427.0)</f>
        <v>45427</v>
      </c>
      <c r="C13467" s="13">
        <f>IFERROR(__xludf.DUMMYFUNCTION("""COMPUTED_VALUE"""),0.125)</f>
        <v>0.125</v>
      </c>
      <c r="D13467" s="8">
        <f>IFERROR(__xludf.DUMMYFUNCTION("""COMPUTED_VALUE"""),0.055)</f>
        <v>0.055</v>
      </c>
      <c r="E13467" s="8" t="str">
        <f>IFERROR(__xludf.DUMMYFUNCTION("""COMPUTED_VALUE"""),"Real")</f>
        <v>Real</v>
      </c>
      <c r="G13467" s="8">
        <f t="shared" si="1"/>
        <v>5</v>
      </c>
      <c r="H13467" s="14">
        <f t="shared" si="2"/>
        <v>15</v>
      </c>
      <c r="I13467" s="15">
        <f t="shared" si="3"/>
        <v>3</v>
      </c>
    </row>
    <row r="13468">
      <c r="A13468" s="8" t="str">
        <f>IFERROR(__xludf.DUMMYFUNCTION("IF('(INGESTA)Datos_consumo_datadis'!A13468&lt;&gt;"""",SPLIT('(INGESTA)Datos_consumo_datadis'!A:A,"",""),"""")"),"ES0031408323131005HX0F")</f>
        <v>ES0031408323131005HX0F</v>
      </c>
      <c r="B13468" s="12">
        <f>IFERROR(__xludf.DUMMYFUNCTION("""COMPUTED_VALUE"""),45427.0)</f>
        <v>45427</v>
      </c>
      <c r="C13468" s="13">
        <f>IFERROR(__xludf.DUMMYFUNCTION("""COMPUTED_VALUE"""),0.16666666666666666)</f>
        <v>0.1666666667</v>
      </c>
      <c r="D13468" s="8">
        <f>IFERROR(__xludf.DUMMYFUNCTION("""COMPUTED_VALUE"""),0.073)</f>
        <v>0.073</v>
      </c>
      <c r="E13468" s="8" t="str">
        <f>IFERROR(__xludf.DUMMYFUNCTION("""COMPUTED_VALUE"""),"Real")</f>
        <v>Real</v>
      </c>
      <c r="G13468" s="8">
        <f t="shared" si="1"/>
        <v>5</v>
      </c>
      <c r="H13468" s="14">
        <f t="shared" si="2"/>
        <v>15</v>
      </c>
      <c r="I13468" s="15">
        <f t="shared" si="3"/>
        <v>4</v>
      </c>
    </row>
    <row r="13469">
      <c r="A13469" s="8" t="str">
        <f>IFERROR(__xludf.DUMMYFUNCTION("IF('(INGESTA)Datos_consumo_datadis'!A13469&lt;&gt;"""",SPLIT('(INGESTA)Datos_consumo_datadis'!A:A,"",""),"""")"),"ES0031408323131005HX0F")</f>
        <v>ES0031408323131005HX0F</v>
      </c>
      <c r="B13469" s="12">
        <f>IFERROR(__xludf.DUMMYFUNCTION("""COMPUTED_VALUE"""),45427.0)</f>
        <v>45427</v>
      </c>
      <c r="C13469" s="13">
        <f>IFERROR(__xludf.DUMMYFUNCTION("""COMPUTED_VALUE"""),0.20833333333333334)</f>
        <v>0.2083333333</v>
      </c>
      <c r="D13469" s="8">
        <f>IFERROR(__xludf.DUMMYFUNCTION("""COMPUTED_VALUE"""),0.307)</f>
        <v>0.307</v>
      </c>
      <c r="E13469" s="8" t="str">
        <f>IFERROR(__xludf.DUMMYFUNCTION("""COMPUTED_VALUE"""),"Real")</f>
        <v>Real</v>
      </c>
      <c r="G13469" s="8">
        <f t="shared" si="1"/>
        <v>5</v>
      </c>
      <c r="H13469" s="14">
        <f t="shared" si="2"/>
        <v>15</v>
      </c>
      <c r="I13469" s="15">
        <f t="shared" si="3"/>
        <v>5</v>
      </c>
    </row>
    <row r="13470">
      <c r="A13470" s="8" t="str">
        <f>IFERROR(__xludf.DUMMYFUNCTION("IF('(INGESTA)Datos_consumo_datadis'!A13470&lt;&gt;"""",SPLIT('(INGESTA)Datos_consumo_datadis'!A:A,"",""),"""")"),"ES0031408323131005HX0F")</f>
        <v>ES0031408323131005HX0F</v>
      </c>
      <c r="B13470" s="12">
        <f>IFERROR(__xludf.DUMMYFUNCTION("""COMPUTED_VALUE"""),45427.0)</f>
        <v>45427</v>
      </c>
      <c r="C13470" s="13">
        <f>IFERROR(__xludf.DUMMYFUNCTION("""COMPUTED_VALUE"""),0.25)</f>
        <v>0.25</v>
      </c>
      <c r="D13470" s="8">
        <f>IFERROR(__xludf.DUMMYFUNCTION("""COMPUTED_VALUE"""),0.073)</f>
        <v>0.073</v>
      </c>
      <c r="E13470" s="8" t="str">
        <f>IFERROR(__xludf.DUMMYFUNCTION("""COMPUTED_VALUE"""),"Real")</f>
        <v>Real</v>
      </c>
      <c r="G13470" s="8">
        <f t="shared" si="1"/>
        <v>5</v>
      </c>
      <c r="H13470" s="14">
        <f t="shared" si="2"/>
        <v>15</v>
      </c>
      <c r="I13470" s="15">
        <f t="shared" si="3"/>
        <v>6</v>
      </c>
    </row>
    <row r="13471">
      <c r="A13471" s="8" t="str">
        <f>IFERROR(__xludf.DUMMYFUNCTION("IF('(INGESTA)Datos_consumo_datadis'!A13471&lt;&gt;"""",SPLIT('(INGESTA)Datos_consumo_datadis'!A:A,"",""),"""")"),"ES0031408323131005HX0F")</f>
        <v>ES0031408323131005HX0F</v>
      </c>
      <c r="B13471" s="12">
        <f>IFERROR(__xludf.DUMMYFUNCTION("""COMPUTED_VALUE"""),45427.0)</f>
        <v>45427</v>
      </c>
      <c r="C13471" s="13">
        <f>IFERROR(__xludf.DUMMYFUNCTION("""COMPUTED_VALUE"""),0.2916666666666667)</f>
        <v>0.2916666667</v>
      </c>
      <c r="D13471" s="8">
        <f>IFERROR(__xludf.DUMMYFUNCTION("""COMPUTED_VALUE"""),0.059)</f>
        <v>0.059</v>
      </c>
      <c r="E13471" s="8" t="str">
        <f>IFERROR(__xludf.DUMMYFUNCTION("""COMPUTED_VALUE"""),"Real")</f>
        <v>Real</v>
      </c>
      <c r="G13471" s="8">
        <f t="shared" si="1"/>
        <v>5</v>
      </c>
      <c r="H13471" s="14">
        <f t="shared" si="2"/>
        <v>15</v>
      </c>
      <c r="I13471" s="15">
        <f t="shared" si="3"/>
        <v>7</v>
      </c>
    </row>
    <row r="13472">
      <c r="A13472" s="8" t="str">
        <f>IFERROR(__xludf.DUMMYFUNCTION("IF('(INGESTA)Datos_consumo_datadis'!A13472&lt;&gt;"""",SPLIT('(INGESTA)Datos_consumo_datadis'!A:A,"",""),"""")"),"ES0031408323131005HX0F")</f>
        <v>ES0031408323131005HX0F</v>
      </c>
      <c r="B13472" s="12">
        <f>IFERROR(__xludf.DUMMYFUNCTION("""COMPUTED_VALUE"""),45427.0)</f>
        <v>45427</v>
      </c>
      <c r="C13472" s="13">
        <f>IFERROR(__xludf.DUMMYFUNCTION("""COMPUTED_VALUE"""),0.3333333333333333)</f>
        <v>0.3333333333</v>
      </c>
      <c r="D13472" s="8">
        <f>IFERROR(__xludf.DUMMYFUNCTION("""COMPUTED_VALUE"""),0.082)</f>
        <v>0.082</v>
      </c>
      <c r="E13472" s="8" t="str">
        <f>IFERROR(__xludf.DUMMYFUNCTION("""COMPUTED_VALUE"""),"Real")</f>
        <v>Real</v>
      </c>
      <c r="G13472" s="8">
        <f t="shared" si="1"/>
        <v>5</v>
      </c>
      <c r="H13472" s="14">
        <f t="shared" si="2"/>
        <v>15</v>
      </c>
      <c r="I13472" s="15">
        <f t="shared" si="3"/>
        <v>8</v>
      </c>
    </row>
    <row r="13473">
      <c r="A13473" s="8" t="str">
        <f>IFERROR(__xludf.DUMMYFUNCTION("IF('(INGESTA)Datos_consumo_datadis'!A13473&lt;&gt;"""",SPLIT('(INGESTA)Datos_consumo_datadis'!A:A,"",""),"""")"),"ES0031408323131005HX0F")</f>
        <v>ES0031408323131005HX0F</v>
      </c>
      <c r="B13473" s="12">
        <f>IFERROR(__xludf.DUMMYFUNCTION("""COMPUTED_VALUE"""),45427.0)</f>
        <v>45427</v>
      </c>
      <c r="C13473" s="13">
        <f>IFERROR(__xludf.DUMMYFUNCTION("""COMPUTED_VALUE"""),0.375)</f>
        <v>0.375</v>
      </c>
      <c r="D13473" s="8">
        <f>IFERROR(__xludf.DUMMYFUNCTION("""COMPUTED_VALUE"""),0.061)</f>
        <v>0.061</v>
      </c>
      <c r="E13473" s="8" t="str">
        <f>IFERROR(__xludf.DUMMYFUNCTION("""COMPUTED_VALUE"""),"Real")</f>
        <v>Real</v>
      </c>
      <c r="G13473" s="8">
        <f t="shared" si="1"/>
        <v>5</v>
      </c>
      <c r="H13473" s="14">
        <f t="shared" si="2"/>
        <v>15</v>
      </c>
      <c r="I13473" s="15">
        <f t="shared" si="3"/>
        <v>9</v>
      </c>
    </row>
    <row r="13474">
      <c r="A13474" s="8" t="str">
        <f>IFERROR(__xludf.DUMMYFUNCTION("IF('(INGESTA)Datos_consumo_datadis'!A13474&lt;&gt;"""",SPLIT('(INGESTA)Datos_consumo_datadis'!A:A,"",""),"""")"),"ES0031408323131005HX0F")</f>
        <v>ES0031408323131005HX0F</v>
      </c>
      <c r="B13474" s="12">
        <f>IFERROR(__xludf.DUMMYFUNCTION("""COMPUTED_VALUE"""),45427.0)</f>
        <v>45427</v>
      </c>
      <c r="C13474" s="13">
        <f>IFERROR(__xludf.DUMMYFUNCTION("""COMPUTED_VALUE"""),0.4166666666666667)</f>
        <v>0.4166666667</v>
      </c>
      <c r="D13474" s="8">
        <f>IFERROR(__xludf.DUMMYFUNCTION("""COMPUTED_VALUE"""),0.229)</f>
        <v>0.229</v>
      </c>
      <c r="E13474" s="8" t="str">
        <f>IFERROR(__xludf.DUMMYFUNCTION("""COMPUTED_VALUE"""),"Real")</f>
        <v>Real</v>
      </c>
      <c r="G13474" s="8">
        <f t="shared" si="1"/>
        <v>5</v>
      </c>
      <c r="H13474" s="14">
        <f t="shared" si="2"/>
        <v>15</v>
      </c>
      <c r="I13474" s="15">
        <f t="shared" si="3"/>
        <v>10</v>
      </c>
    </row>
    <row r="13475">
      <c r="A13475" s="8" t="str">
        <f>IFERROR(__xludf.DUMMYFUNCTION("IF('(INGESTA)Datos_consumo_datadis'!A13475&lt;&gt;"""",SPLIT('(INGESTA)Datos_consumo_datadis'!A:A,"",""),"""")"),"ES0031408323131005HX0F")</f>
        <v>ES0031408323131005HX0F</v>
      </c>
      <c r="B13475" s="12">
        <f>IFERROR(__xludf.DUMMYFUNCTION("""COMPUTED_VALUE"""),45427.0)</f>
        <v>45427</v>
      </c>
      <c r="C13475" s="13">
        <f>IFERROR(__xludf.DUMMYFUNCTION("""COMPUTED_VALUE"""),0.4583333333333333)</f>
        <v>0.4583333333</v>
      </c>
      <c r="D13475" s="8">
        <f>IFERROR(__xludf.DUMMYFUNCTION("""COMPUTED_VALUE"""),0.385)</f>
        <v>0.385</v>
      </c>
      <c r="E13475" s="8" t="str">
        <f>IFERROR(__xludf.DUMMYFUNCTION("""COMPUTED_VALUE"""),"Real")</f>
        <v>Real</v>
      </c>
      <c r="G13475" s="8">
        <f t="shared" si="1"/>
        <v>5</v>
      </c>
      <c r="H13475" s="14">
        <f t="shared" si="2"/>
        <v>15</v>
      </c>
      <c r="I13475" s="15">
        <f t="shared" si="3"/>
        <v>11</v>
      </c>
    </row>
    <row r="13476">
      <c r="A13476" s="8" t="str">
        <f>IFERROR(__xludf.DUMMYFUNCTION("IF('(INGESTA)Datos_consumo_datadis'!A13476&lt;&gt;"""",SPLIT('(INGESTA)Datos_consumo_datadis'!A:A,"",""),"""")"),"ES0031408323131005HX0F")</f>
        <v>ES0031408323131005HX0F</v>
      </c>
      <c r="B13476" s="12">
        <f>IFERROR(__xludf.DUMMYFUNCTION("""COMPUTED_VALUE"""),45427.0)</f>
        <v>45427</v>
      </c>
      <c r="C13476" s="13">
        <f>IFERROR(__xludf.DUMMYFUNCTION("""COMPUTED_VALUE"""),0.5)</f>
        <v>0.5</v>
      </c>
      <c r="D13476" s="8">
        <f>IFERROR(__xludf.DUMMYFUNCTION("""COMPUTED_VALUE"""),0.075)</f>
        <v>0.075</v>
      </c>
      <c r="E13476" s="8" t="str">
        <f>IFERROR(__xludf.DUMMYFUNCTION("""COMPUTED_VALUE"""),"Real")</f>
        <v>Real</v>
      </c>
      <c r="G13476" s="8">
        <f t="shared" si="1"/>
        <v>5</v>
      </c>
      <c r="H13476" s="14">
        <f t="shared" si="2"/>
        <v>15</v>
      </c>
      <c r="I13476" s="15">
        <f t="shared" si="3"/>
        <v>12</v>
      </c>
    </row>
    <row r="13477">
      <c r="A13477" s="8" t="str">
        <f>IFERROR(__xludf.DUMMYFUNCTION("IF('(INGESTA)Datos_consumo_datadis'!A13477&lt;&gt;"""",SPLIT('(INGESTA)Datos_consumo_datadis'!A:A,"",""),"""")"),"ES0031408323131005HX0F")</f>
        <v>ES0031408323131005HX0F</v>
      </c>
      <c r="B13477" s="12">
        <f>IFERROR(__xludf.DUMMYFUNCTION("""COMPUTED_VALUE"""),45427.0)</f>
        <v>45427</v>
      </c>
      <c r="C13477" s="13">
        <f>IFERROR(__xludf.DUMMYFUNCTION("""COMPUTED_VALUE"""),0.5416666666666666)</f>
        <v>0.5416666667</v>
      </c>
      <c r="D13477" s="8">
        <f>IFERROR(__xludf.DUMMYFUNCTION("""COMPUTED_VALUE"""),0.045)</f>
        <v>0.045</v>
      </c>
      <c r="E13477" s="8" t="str">
        <f>IFERROR(__xludf.DUMMYFUNCTION("""COMPUTED_VALUE"""),"Real")</f>
        <v>Real</v>
      </c>
      <c r="G13477" s="8">
        <f t="shared" si="1"/>
        <v>5</v>
      </c>
      <c r="H13477" s="14">
        <f t="shared" si="2"/>
        <v>15</v>
      </c>
      <c r="I13477" s="15">
        <f t="shared" si="3"/>
        <v>13</v>
      </c>
    </row>
    <row r="13478">
      <c r="A13478" s="8" t="str">
        <f>IFERROR(__xludf.DUMMYFUNCTION("IF('(INGESTA)Datos_consumo_datadis'!A13478&lt;&gt;"""",SPLIT('(INGESTA)Datos_consumo_datadis'!A:A,"",""),"""")"),"ES0031408323131005HX0F")</f>
        <v>ES0031408323131005HX0F</v>
      </c>
      <c r="B13478" s="12">
        <f>IFERROR(__xludf.DUMMYFUNCTION("""COMPUTED_VALUE"""),45427.0)</f>
        <v>45427</v>
      </c>
      <c r="C13478" s="13">
        <f>IFERROR(__xludf.DUMMYFUNCTION("""COMPUTED_VALUE"""),0.5833333333333334)</f>
        <v>0.5833333333</v>
      </c>
      <c r="D13478" s="8">
        <f>IFERROR(__xludf.DUMMYFUNCTION("""COMPUTED_VALUE"""),0.083)</f>
        <v>0.083</v>
      </c>
      <c r="E13478" s="8" t="str">
        <f>IFERROR(__xludf.DUMMYFUNCTION("""COMPUTED_VALUE"""),"Real")</f>
        <v>Real</v>
      </c>
      <c r="G13478" s="8">
        <f t="shared" si="1"/>
        <v>5</v>
      </c>
      <c r="H13478" s="14">
        <f t="shared" si="2"/>
        <v>15</v>
      </c>
      <c r="I13478" s="15">
        <f t="shared" si="3"/>
        <v>14</v>
      </c>
    </row>
    <row r="13479">
      <c r="A13479" s="8" t="str">
        <f>IFERROR(__xludf.DUMMYFUNCTION("IF('(INGESTA)Datos_consumo_datadis'!A13479&lt;&gt;"""",SPLIT('(INGESTA)Datos_consumo_datadis'!A:A,"",""),"""")"),"ES0031408323131005HX0F")</f>
        <v>ES0031408323131005HX0F</v>
      </c>
      <c r="B13479" s="12">
        <f>IFERROR(__xludf.DUMMYFUNCTION("""COMPUTED_VALUE"""),45427.0)</f>
        <v>45427</v>
      </c>
      <c r="C13479" s="13">
        <f>IFERROR(__xludf.DUMMYFUNCTION("""COMPUTED_VALUE"""),0.625)</f>
        <v>0.625</v>
      </c>
      <c r="D13479" s="8">
        <f>IFERROR(__xludf.DUMMYFUNCTION("""COMPUTED_VALUE"""),0.377)</f>
        <v>0.377</v>
      </c>
      <c r="E13479" s="8" t="str">
        <f>IFERROR(__xludf.DUMMYFUNCTION("""COMPUTED_VALUE"""),"Real")</f>
        <v>Real</v>
      </c>
      <c r="G13479" s="8">
        <f t="shared" si="1"/>
        <v>5</v>
      </c>
      <c r="H13479" s="14">
        <f t="shared" si="2"/>
        <v>15</v>
      </c>
      <c r="I13479" s="15">
        <f t="shared" si="3"/>
        <v>15</v>
      </c>
    </row>
    <row r="13480">
      <c r="A13480" s="8" t="str">
        <f>IFERROR(__xludf.DUMMYFUNCTION("IF('(INGESTA)Datos_consumo_datadis'!A13480&lt;&gt;"""",SPLIT('(INGESTA)Datos_consumo_datadis'!A:A,"",""),"""")"),"ES0031408323131005HX0F")</f>
        <v>ES0031408323131005HX0F</v>
      </c>
      <c r="B13480" s="12">
        <f>IFERROR(__xludf.DUMMYFUNCTION("""COMPUTED_VALUE"""),45427.0)</f>
        <v>45427</v>
      </c>
      <c r="C13480" s="13">
        <f>IFERROR(__xludf.DUMMYFUNCTION("""COMPUTED_VALUE"""),0.6666666666666666)</f>
        <v>0.6666666667</v>
      </c>
      <c r="D13480" s="8">
        <f>IFERROR(__xludf.DUMMYFUNCTION("""COMPUTED_VALUE"""),0.183)</f>
        <v>0.183</v>
      </c>
      <c r="E13480" s="8" t="str">
        <f>IFERROR(__xludf.DUMMYFUNCTION("""COMPUTED_VALUE"""),"Real")</f>
        <v>Real</v>
      </c>
      <c r="G13480" s="8">
        <f t="shared" si="1"/>
        <v>5</v>
      </c>
      <c r="H13480" s="14">
        <f t="shared" si="2"/>
        <v>15</v>
      </c>
      <c r="I13480" s="15">
        <f t="shared" si="3"/>
        <v>16</v>
      </c>
    </row>
    <row r="13481">
      <c r="A13481" s="8" t="str">
        <f>IFERROR(__xludf.DUMMYFUNCTION("IF('(INGESTA)Datos_consumo_datadis'!A13481&lt;&gt;"""",SPLIT('(INGESTA)Datos_consumo_datadis'!A:A,"",""),"""")"),"ES0031408323131005HX0F")</f>
        <v>ES0031408323131005HX0F</v>
      </c>
      <c r="B13481" s="12">
        <f>IFERROR(__xludf.DUMMYFUNCTION("""COMPUTED_VALUE"""),45427.0)</f>
        <v>45427</v>
      </c>
      <c r="C13481" s="13">
        <f>IFERROR(__xludf.DUMMYFUNCTION("""COMPUTED_VALUE"""),0.7083333333333334)</f>
        <v>0.7083333333</v>
      </c>
      <c r="D13481" s="8">
        <f>IFERROR(__xludf.DUMMYFUNCTION("""COMPUTED_VALUE"""),0.582)</f>
        <v>0.582</v>
      </c>
      <c r="E13481" s="8" t="str">
        <f>IFERROR(__xludf.DUMMYFUNCTION("""COMPUTED_VALUE"""),"Real")</f>
        <v>Real</v>
      </c>
      <c r="G13481" s="8">
        <f t="shared" si="1"/>
        <v>5</v>
      </c>
      <c r="H13481" s="14">
        <f t="shared" si="2"/>
        <v>15</v>
      </c>
      <c r="I13481" s="15">
        <f t="shared" si="3"/>
        <v>17</v>
      </c>
    </row>
    <row r="13482">
      <c r="A13482" s="8" t="str">
        <f>IFERROR(__xludf.DUMMYFUNCTION("IF('(INGESTA)Datos_consumo_datadis'!A13482&lt;&gt;"""",SPLIT('(INGESTA)Datos_consumo_datadis'!A:A,"",""),"""")"),"ES0031408323131005HX0F")</f>
        <v>ES0031408323131005HX0F</v>
      </c>
      <c r="B13482" s="12">
        <f>IFERROR(__xludf.DUMMYFUNCTION("""COMPUTED_VALUE"""),45427.0)</f>
        <v>45427</v>
      </c>
      <c r="C13482" s="13">
        <f>IFERROR(__xludf.DUMMYFUNCTION("""COMPUTED_VALUE"""),0.75)</f>
        <v>0.75</v>
      </c>
      <c r="D13482" s="8">
        <f>IFERROR(__xludf.DUMMYFUNCTION("""COMPUTED_VALUE"""),0.659)</f>
        <v>0.659</v>
      </c>
      <c r="E13482" s="8" t="str">
        <f>IFERROR(__xludf.DUMMYFUNCTION("""COMPUTED_VALUE"""),"Real")</f>
        <v>Real</v>
      </c>
      <c r="G13482" s="8">
        <f t="shared" si="1"/>
        <v>5</v>
      </c>
      <c r="H13482" s="14">
        <f t="shared" si="2"/>
        <v>15</v>
      </c>
      <c r="I13482" s="15">
        <f t="shared" si="3"/>
        <v>18</v>
      </c>
    </row>
    <row r="13483">
      <c r="A13483" s="8" t="str">
        <f>IFERROR(__xludf.DUMMYFUNCTION("IF('(INGESTA)Datos_consumo_datadis'!A13483&lt;&gt;"""",SPLIT('(INGESTA)Datos_consumo_datadis'!A:A,"",""),"""")"),"ES0031408323131005HX0F")</f>
        <v>ES0031408323131005HX0F</v>
      </c>
      <c r="B13483" s="12">
        <f>IFERROR(__xludf.DUMMYFUNCTION("""COMPUTED_VALUE"""),45427.0)</f>
        <v>45427</v>
      </c>
      <c r="C13483" s="13">
        <f>IFERROR(__xludf.DUMMYFUNCTION("""COMPUTED_VALUE"""),0.7916666666666666)</f>
        <v>0.7916666667</v>
      </c>
      <c r="D13483" s="8">
        <f>IFERROR(__xludf.DUMMYFUNCTION("""COMPUTED_VALUE"""),0.071)</f>
        <v>0.071</v>
      </c>
      <c r="E13483" s="8" t="str">
        <f>IFERROR(__xludf.DUMMYFUNCTION("""COMPUTED_VALUE"""),"Real")</f>
        <v>Real</v>
      </c>
      <c r="G13483" s="8">
        <f t="shared" si="1"/>
        <v>5</v>
      </c>
      <c r="H13483" s="14">
        <f t="shared" si="2"/>
        <v>15</v>
      </c>
      <c r="I13483" s="15">
        <f t="shared" si="3"/>
        <v>19</v>
      </c>
    </row>
    <row r="13484">
      <c r="A13484" s="8" t="str">
        <f>IFERROR(__xludf.DUMMYFUNCTION("IF('(INGESTA)Datos_consumo_datadis'!A13484&lt;&gt;"""",SPLIT('(INGESTA)Datos_consumo_datadis'!A:A,"",""),"""")"),"ES0031408323131005HX0F")</f>
        <v>ES0031408323131005HX0F</v>
      </c>
      <c r="B13484" s="12">
        <f>IFERROR(__xludf.DUMMYFUNCTION("""COMPUTED_VALUE"""),45427.0)</f>
        <v>45427</v>
      </c>
      <c r="C13484" s="13">
        <f>IFERROR(__xludf.DUMMYFUNCTION("""COMPUTED_VALUE"""),0.8333333333333334)</f>
        <v>0.8333333333</v>
      </c>
      <c r="D13484" s="8">
        <f>IFERROR(__xludf.DUMMYFUNCTION("""COMPUTED_VALUE"""),0.046)</f>
        <v>0.046</v>
      </c>
      <c r="E13484" s="8" t="str">
        <f>IFERROR(__xludf.DUMMYFUNCTION("""COMPUTED_VALUE"""),"Real")</f>
        <v>Real</v>
      </c>
      <c r="G13484" s="8">
        <f t="shared" si="1"/>
        <v>5</v>
      </c>
      <c r="H13484" s="14">
        <f t="shared" si="2"/>
        <v>15</v>
      </c>
      <c r="I13484" s="15">
        <f t="shared" si="3"/>
        <v>20</v>
      </c>
    </row>
    <row r="13485">
      <c r="A13485" s="8" t="str">
        <f>IFERROR(__xludf.DUMMYFUNCTION("IF('(INGESTA)Datos_consumo_datadis'!A13485&lt;&gt;"""",SPLIT('(INGESTA)Datos_consumo_datadis'!A:A,"",""),"""")"),"ES0031408323131005HX0F")</f>
        <v>ES0031408323131005HX0F</v>
      </c>
      <c r="B13485" s="12">
        <f>IFERROR(__xludf.DUMMYFUNCTION("""COMPUTED_VALUE"""),45427.0)</f>
        <v>45427</v>
      </c>
      <c r="C13485" s="13">
        <f>IFERROR(__xludf.DUMMYFUNCTION("""COMPUTED_VALUE"""),0.875)</f>
        <v>0.875</v>
      </c>
      <c r="D13485" s="8">
        <f>IFERROR(__xludf.DUMMYFUNCTION("""COMPUTED_VALUE"""),0.072)</f>
        <v>0.072</v>
      </c>
      <c r="E13485" s="8" t="str">
        <f>IFERROR(__xludf.DUMMYFUNCTION("""COMPUTED_VALUE"""),"Real")</f>
        <v>Real</v>
      </c>
      <c r="G13485" s="8">
        <f t="shared" si="1"/>
        <v>5</v>
      </c>
      <c r="H13485" s="14">
        <f t="shared" si="2"/>
        <v>15</v>
      </c>
      <c r="I13485" s="15">
        <f t="shared" si="3"/>
        <v>21</v>
      </c>
    </row>
    <row r="13486">
      <c r="A13486" s="8" t="str">
        <f>IFERROR(__xludf.DUMMYFUNCTION("IF('(INGESTA)Datos_consumo_datadis'!A13486&lt;&gt;"""",SPLIT('(INGESTA)Datos_consumo_datadis'!A:A,"",""),"""")"),"ES0031408323131005HX0F")</f>
        <v>ES0031408323131005HX0F</v>
      </c>
      <c r="B13486" s="12">
        <f>IFERROR(__xludf.DUMMYFUNCTION("""COMPUTED_VALUE"""),45427.0)</f>
        <v>45427</v>
      </c>
      <c r="C13486" s="13">
        <f>IFERROR(__xludf.DUMMYFUNCTION("""COMPUTED_VALUE"""),0.9166666666666666)</f>
        <v>0.9166666667</v>
      </c>
      <c r="D13486" s="8">
        <f>IFERROR(__xludf.DUMMYFUNCTION("""COMPUTED_VALUE"""),0.065)</f>
        <v>0.065</v>
      </c>
      <c r="E13486" s="8" t="str">
        <f>IFERROR(__xludf.DUMMYFUNCTION("""COMPUTED_VALUE"""),"Real")</f>
        <v>Real</v>
      </c>
      <c r="G13486" s="8">
        <f t="shared" si="1"/>
        <v>5</v>
      </c>
      <c r="H13486" s="14">
        <f t="shared" si="2"/>
        <v>15</v>
      </c>
      <c r="I13486" s="15">
        <f t="shared" si="3"/>
        <v>22</v>
      </c>
    </row>
    <row r="13487">
      <c r="A13487" s="8" t="str">
        <f>IFERROR(__xludf.DUMMYFUNCTION("IF('(INGESTA)Datos_consumo_datadis'!A13487&lt;&gt;"""",SPLIT('(INGESTA)Datos_consumo_datadis'!A:A,"",""),"""")"),"ES0031408323131005HX0F")</f>
        <v>ES0031408323131005HX0F</v>
      </c>
      <c r="B13487" s="12">
        <f>IFERROR(__xludf.DUMMYFUNCTION("""COMPUTED_VALUE"""),45427.0)</f>
        <v>45427</v>
      </c>
      <c r="C13487" s="13">
        <f>IFERROR(__xludf.DUMMYFUNCTION("""COMPUTED_VALUE"""),0.9583333333333334)</f>
        <v>0.9583333333</v>
      </c>
      <c r="D13487" s="8">
        <f>IFERROR(__xludf.DUMMYFUNCTION("""COMPUTED_VALUE"""),0.199)</f>
        <v>0.199</v>
      </c>
      <c r="E13487" s="8" t="str">
        <f>IFERROR(__xludf.DUMMYFUNCTION("""COMPUTED_VALUE"""),"Real")</f>
        <v>Real</v>
      </c>
      <c r="G13487" s="8">
        <f t="shared" si="1"/>
        <v>5</v>
      </c>
      <c r="H13487" s="14">
        <f t="shared" si="2"/>
        <v>15</v>
      </c>
      <c r="I13487" s="15">
        <f t="shared" si="3"/>
        <v>23</v>
      </c>
    </row>
    <row r="13488">
      <c r="A13488" s="8" t="str">
        <f>IFERROR(__xludf.DUMMYFUNCTION("IF('(INGESTA)Datos_consumo_datadis'!A13488&lt;&gt;"""",SPLIT('(INGESTA)Datos_consumo_datadis'!A:A,"",""),"""")"),"ES0031408323131005HX0F")</f>
        <v>ES0031408323131005HX0F</v>
      </c>
      <c r="B13488" s="12">
        <f>IFERROR(__xludf.DUMMYFUNCTION("""COMPUTED_VALUE"""),45427.0)</f>
        <v>45427</v>
      </c>
      <c r="C13488" s="16">
        <f>IFERROR(__xludf.DUMMYFUNCTION("""COMPUTED_VALUE"""),1.0)</f>
        <v>1</v>
      </c>
      <c r="D13488" s="8">
        <f>IFERROR(__xludf.DUMMYFUNCTION("""COMPUTED_VALUE"""),0.591)</f>
        <v>0.591</v>
      </c>
      <c r="E13488" s="8" t="str">
        <f>IFERROR(__xludf.DUMMYFUNCTION("""COMPUTED_VALUE"""),"Real")</f>
        <v>Real</v>
      </c>
      <c r="G13488" s="8">
        <f t="shared" si="1"/>
        <v>5</v>
      </c>
      <c r="H13488" s="14">
        <f t="shared" si="2"/>
        <v>15</v>
      </c>
      <c r="I13488" s="15">
        <f t="shared" si="3"/>
        <v>0</v>
      </c>
    </row>
    <row r="13489">
      <c r="A13489" s="8" t="str">
        <f>IFERROR(__xludf.DUMMYFUNCTION("IF('(INGESTA)Datos_consumo_datadis'!A13489&lt;&gt;"""",SPLIT('(INGESTA)Datos_consumo_datadis'!A:A,"",""),"""")"),"ES0031408323131005HX0F")</f>
        <v>ES0031408323131005HX0F</v>
      </c>
      <c r="B13489" s="12">
        <f>IFERROR(__xludf.DUMMYFUNCTION("""COMPUTED_VALUE"""),45428.0)</f>
        <v>45428</v>
      </c>
      <c r="C13489" s="13">
        <f>IFERROR(__xludf.DUMMYFUNCTION("""COMPUTED_VALUE"""),0.041666666666666664)</f>
        <v>0.04166666667</v>
      </c>
      <c r="D13489" s="8">
        <f>IFERROR(__xludf.DUMMYFUNCTION("""COMPUTED_VALUE"""),0.498)</f>
        <v>0.498</v>
      </c>
      <c r="E13489" s="8" t="str">
        <f>IFERROR(__xludf.DUMMYFUNCTION("""COMPUTED_VALUE"""),"Real")</f>
        <v>Real</v>
      </c>
      <c r="G13489" s="8">
        <f t="shared" si="1"/>
        <v>5</v>
      </c>
      <c r="H13489" s="14">
        <f t="shared" si="2"/>
        <v>16</v>
      </c>
      <c r="I13489" s="15">
        <f t="shared" si="3"/>
        <v>1</v>
      </c>
    </row>
    <row r="13490">
      <c r="A13490" s="8" t="str">
        <f>IFERROR(__xludf.DUMMYFUNCTION("IF('(INGESTA)Datos_consumo_datadis'!A13490&lt;&gt;"""",SPLIT('(INGESTA)Datos_consumo_datadis'!A:A,"",""),"""")"),"ES0031408323131005HX0F")</f>
        <v>ES0031408323131005HX0F</v>
      </c>
      <c r="B13490" s="12">
        <f>IFERROR(__xludf.DUMMYFUNCTION("""COMPUTED_VALUE"""),45428.0)</f>
        <v>45428</v>
      </c>
      <c r="C13490" s="13">
        <f>IFERROR(__xludf.DUMMYFUNCTION("""COMPUTED_VALUE"""),0.08333333333333333)</f>
        <v>0.08333333333</v>
      </c>
      <c r="D13490" s="8">
        <f>IFERROR(__xludf.DUMMYFUNCTION("""COMPUTED_VALUE"""),0.478)</f>
        <v>0.478</v>
      </c>
      <c r="E13490" s="8" t="str">
        <f>IFERROR(__xludf.DUMMYFUNCTION("""COMPUTED_VALUE"""),"Real")</f>
        <v>Real</v>
      </c>
      <c r="G13490" s="8">
        <f t="shared" si="1"/>
        <v>5</v>
      </c>
      <c r="H13490" s="14">
        <f t="shared" si="2"/>
        <v>16</v>
      </c>
      <c r="I13490" s="15">
        <f t="shared" si="3"/>
        <v>2</v>
      </c>
    </row>
    <row r="13491">
      <c r="A13491" s="8" t="str">
        <f>IFERROR(__xludf.DUMMYFUNCTION("IF('(INGESTA)Datos_consumo_datadis'!A13491&lt;&gt;"""",SPLIT('(INGESTA)Datos_consumo_datadis'!A:A,"",""),"""")"),"ES0031408323131005HX0F")</f>
        <v>ES0031408323131005HX0F</v>
      </c>
      <c r="B13491" s="12">
        <f>IFERROR(__xludf.DUMMYFUNCTION("""COMPUTED_VALUE"""),45428.0)</f>
        <v>45428</v>
      </c>
      <c r="C13491" s="13">
        <f>IFERROR(__xludf.DUMMYFUNCTION("""COMPUTED_VALUE"""),0.125)</f>
        <v>0.125</v>
      </c>
      <c r="D13491" s="8">
        <f>IFERROR(__xludf.DUMMYFUNCTION("""COMPUTED_VALUE"""),0.068)</f>
        <v>0.068</v>
      </c>
      <c r="E13491" s="8" t="str">
        <f>IFERROR(__xludf.DUMMYFUNCTION("""COMPUTED_VALUE"""),"Real")</f>
        <v>Real</v>
      </c>
      <c r="G13491" s="8">
        <f t="shared" si="1"/>
        <v>5</v>
      </c>
      <c r="H13491" s="14">
        <f t="shared" si="2"/>
        <v>16</v>
      </c>
      <c r="I13491" s="15">
        <f t="shared" si="3"/>
        <v>3</v>
      </c>
    </row>
    <row r="13492">
      <c r="A13492" s="8" t="str">
        <f>IFERROR(__xludf.DUMMYFUNCTION("IF('(INGESTA)Datos_consumo_datadis'!A13492&lt;&gt;"""",SPLIT('(INGESTA)Datos_consumo_datadis'!A:A,"",""),"""")"),"ES0031408323131005HX0F")</f>
        <v>ES0031408323131005HX0F</v>
      </c>
      <c r="B13492" s="12">
        <f>IFERROR(__xludf.DUMMYFUNCTION("""COMPUTED_VALUE"""),45428.0)</f>
        <v>45428</v>
      </c>
      <c r="C13492" s="13">
        <f>IFERROR(__xludf.DUMMYFUNCTION("""COMPUTED_VALUE"""),0.16666666666666666)</f>
        <v>0.1666666667</v>
      </c>
      <c r="D13492" s="8">
        <f>IFERROR(__xludf.DUMMYFUNCTION("""COMPUTED_VALUE"""),0.073)</f>
        <v>0.073</v>
      </c>
      <c r="E13492" s="8" t="str">
        <f>IFERROR(__xludf.DUMMYFUNCTION("""COMPUTED_VALUE"""),"Real")</f>
        <v>Real</v>
      </c>
      <c r="G13492" s="8">
        <f t="shared" si="1"/>
        <v>5</v>
      </c>
      <c r="H13492" s="14">
        <f t="shared" si="2"/>
        <v>16</v>
      </c>
      <c r="I13492" s="15">
        <f t="shared" si="3"/>
        <v>4</v>
      </c>
    </row>
    <row r="13493">
      <c r="A13493" s="8" t="str">
        <f>IFERROR(__xludf.DUMMYFUNCTION("IF('(INGESTA)Datos_consumo_datadis'!A13493&lt;&gt;"""",SPLIT('(INGESTA)Datos_consumo_datadis'!A:A,"",""),"""")"),"ES0031408323131005HX0F")</f>
        <v>ES0031408323131005HX0F</v>
      </c>
      <c r="B13493" s="12">
        <f>IFERROR(__xludf.DUMMYFUNCTION("""COMPUTED_VALUE"""),45428.0)</f>
        <v>45428</v>
      </c>
      <c r="C13493" s="13">
        <f>IFERROR(__xludf.DUMMYFUNCTION("""COMPUTED_VALUE"""),0.20833333333333334)</f>
        <v>0.2083333333</v>
      </c>
      <c r="D13493" s="8">
        <f>IFERROR(__xludf.DUMMYFUNCTION("""COMPUTED_VALUE"""),0.042)</f>
        <v>0.042</v>
      </c>
      <c r="E13493" s="8" t="str">
        <f>IFERROR(__xludf.DUMMYFUNCTION("""COMPUTED_VALUE"""),"Real")</f>
        <v>Real</v>
      </c>
      <c r="G13493" s="8">
        <f t="shared" si="1"/>
        <v>5</v>
      </c>
      <c r="H13493" s="14">
        <f t="shared" si="2"/>
        <v>16</v>
      </c>
      <c r="I13493" s="15">
        <f t="shared" si="3"/>
        <v>5</v>
      </c>
    </row>
    <row r="13494">
      <c r="A13494" s="8" t="str">
        <f>IFERROR(__xludf.DUMMYFUNCTION("IF('(INGESTA)Datos_consumo_datadis'!A13494&lt;&gt;"""",SPLIT('(INGESTA)Datos_consumo_datadis'!A:A,"",""),"""")"),"ES0031408323131005HX0F")</f>
        <v>ES0031408323131005HX0F</v>
      </c>
      <c r="B13494" s="12">
        <f>IFERROR(__xludf.DUMMYFUNCTION("""COMPUTED_VALUE"""),45428.0)</f>
        <v>45428</v>
      </c>
      <c r="C13494" s="13">
        <f>IFERROR(__xludf.DUMMYFUNCTION("""COMPUTED_VALUE"""),0.25)</f>
        <v>0.25</v>
      </c>
      <c r="D13494" s="8">
        <f>IFERROR(__xludf.DUMMYFUNCTION("""COMPUTED_VALUE"""),0.341)</f>
        <v>0.341</v>
      </c>
      <c r="E13494" s="8" t="str">
        <f>IFERROR(__xludf.DUMMYFUNCTION("""COMPUTED_VALUE"""),"Real")</f>
        <v>Real</v>
      </c>
      <c r="G13494" s="8">
        <f t="shared" si="1"/>
        <v>5</v>
      </c>
      <c r="H13494" s="14">
        <f t="shared" si="2"/>
        <v>16</v>
      </c>
      <c r="I13494" s="15">
        <f t="shared" si="3"/>
        <v>6</v>
      </c>
    </row>
    <row r="13495">
      <c r="A13495" s="8" t="str">
        <f>IFERROR(__xludf.DUMMYFUNCTION("IF('(INGESTA)Datos_consumo_datadis'!A13495&lt;&gt;"""",SPLIT('(INGESTA)Datos_consumo_datadis'!A:A,"",""),"""")"),"ES0031408323131005HX0F")</f>
        <v>ES0031408323131005HX0F</v>
      </c>
      <c r="B13495" s="12">
        <f>IFERROR(__xludf.DUMMYFUNCTION("""COMPUTED_VALUE"""),45428.0)</f>
        <v>45428</v>
      </c>
      <c r="C13495" s="13">
        <f>IFERROR(__xludf.DUMMYFUNCTION("""COMPUTED_VALUE"""),0.2916666666666667)</f>
        <v>0.2916666667</v>
      </c>
      <c r="D13495" s="8">
        <f>IFERROR(__xludf.DUMMYFUNCTION("""COMPUTED_VALUE"""),0.058)</f>
        <v>0.058</v>
      </c>
      <c r="E13495" s="8" t="str">
        <f>IFERROR(__xludf.DUMMYFUNCTION("""COMPUTED_VALUE"""),"Real")</f>
        <v>Real</v>
      </c>
      <c r="G13495" s="8">
        <f t="shared" si="1"/>
        <v>5</v>
      </c>
      <c r="H13495" s="14">
        <f t="shared" si="2"/>
        <v>16</v>
      </c>
      <c r="I13495" s="15">
        <f t="shared" si="3"/>
        <v>7</v>
      </c>
    </row>
    <row r="13496">
      <c r="A13496" s="8" t="str">
        <f>IFERROR(__xludf.DUMMYFUNCTION("IF('(INGESTA)Datos_consumo_datadis'!A13496&lt;&gt;"""",SPLIT('(INGESTA)Datos_consumo_datadis'!A:A,"",""),"""")"),"ES0031408323131005HX0F")</f>
        <v>ES0031408323131005HX0F</v>
      </c>
      <c r="B13496" s="12">
        <f>IFERROR(__xludf.DUMMYFUNCTION("""COMPUTED_VALUE"""),45428.0)</f>
        <v>45428</v>
      </c>
      <c r="C13496" s="13">
        <f>IFERROR(__xludf.DUMMYFUNCTION("""COMPUTED_VALUE"""),0.3333333333333333)</f>
        <v>0.3333333333</v>
      </c>
      <c r="D13496" s="8">
        <f>IFERROR(__xludf.DUMMYFUNCTION("""COMPUTED_VALUE"""),0.109)</f>
        <v>0.109</v>
      </c>
      <c r="E13496" s="8" t="str">
        <f>IFERROR(__xludf.DUMMYFUNCTION("""COMPUTED_VALUE"""),"Real")</f>
        <v>Real</v>
      </c>
      <c r="G13496" s="8">
        <f t="shared" si="1"/>
        <v>5</v>
      </c>
      <c r="H13496" s="14">
        <f t="shared" si="2"/>
        <v>16</v>
      </c>
      <c r="I13496" s="15">
        <f t="shared" si="3"/>
        <v>8</v>
      </c>
    </row>
    <row r="13497">
      <c r="A13497" s="8" t="str">
        <f>IFERROR(__xludf.DUMMYFUNCTION("IF('(INGESTA)Datos_consumo_datadis'!A13497&lt;&gt;"""",SPLIT('(INGESTA)Datos_consumo_datadis'!A:A,"",""),"""")"),"ES0031408323131005HX0F")</f>
        <v>ES0031408323131005HX0F</v>
      </c>
      <c r="B13497" s="12">
        <f>IFERROR(__xludf.DUMMYFUNCTION("""COMPUTED_VALUE"""),45428.0)</f>
        <v>45428</v>
      </c>
      <c r="C13497" s="13">
        <f>IFERROR(__xludf.DUMMYFUNCTION("""COMPUTED_VALUE"""),0.375)</f>
        <v>0.375</v>
      </c>
      <c r="D13497" s="8">
        <f>IFERROR(__xludf.DUMMYFUNCTION("""COMPUTED_VALUE"""),0.059)</f>
        <v>0.059</v>
      </c>
      <c r="E13497" s="8" t="str">
        <f>IFERROR(__xludf.DUMMYFUNCTION("""COMPUTED_VALUE"""),"Real")</f>
        <v>Real</v>
      </c>
      <c r="G13497" s="8">
        <f t="shared" si="1"/>
        <v>5</v>
      </c>
      <c r="H13497" s="14">
        <f t="shared" si="2"/>
        <v>16</v>
      </c>
      <c r="I13497" s="15">
        <f t="shared" si="3"/>
        <v>9</v>
      </c>
    </row>
    <row r="13498">
      <c r="A13498" s="8" t="str">
        <f>IFERROR(__xludf.DUMMYFUNCTION("IF('(INGESTA)Datos_consumo_datadis'!A13498&lt;&gt;"""",SPLIT('(INGESTA)Datos_consumo_datadis'!A:A,"",""),"""")"),"ES0031408323131005HX0F")</f>
        <v>ES0031408323131005HX0F</v>
      </c>
      <c r="B13498" s="12">
        <f>IFERROR(__xludf.DUMMYFUNCTION("""COMPUTED_VALUE"""),45428.0)</f>
        <v>45428</v>
      </c>
      <c r="C13498" s="13">
        <f>IFERROR(__xludf.DUMMYFUNCTION("""COMPUTED_VALUE"""),0.4166666666666667)</f>
        <v>0.4166666667</v>
      </c>
      <c r="D13498" s="8">
        <f>IFERROR(__xludf.DUMMYFUNCTION("""COMPUTED_VALUE"""),0.093)</f>
        <v>0.093</v>
      </c>
      <c r="E13498" s="8" t="str">
        <f>IFERROR(__xludf.DUMMYFUNCTION("""COMPUTED_VALUE"""),"Real")</f>
        <v>Real</v>
      </c>
      <c r="G13498" s="8">
        <f t="shared" si="1"/>
        <v>5</v>
      </c>
      <c r="H13498" s="14">
        <f t="shared" si="2"/>
        <v>16</v>
      </c>
      <c r="I13498" s="15">
        <f t="shared" si="3"/>
        <v>10</v>
      </c>
    </row>
    <row r="13499">
      <c r="A13499" s="8" t="str">
        <f>IFERROR(__xludf.DUMMYFUNCTION("IF('(INGESTA)Datos_consumo_datadis'!A13499&lt;&gt;"""",SPLIT('(INGESTA)Datos_consumo_datadis'!A:A,"",""),"""")"),"ES0031408323131005HX0F")</f>
        <v>ES0031408323131005HX0F</v>
      </c>
      <c r="B13499" s="12">
        <f>IFERROR(__xludf.DUMMYFUNCTION("""COMPUTED_VALUE"""),45428.0)</f>
        <v>45428</v>
      </c>
      <c r="C13499" s="13">
        <f>IFERROR(__xludf.DUMMYFUNCTION("""COMPUTED_VALUE"""),0.4583333333333333)</f>
        <v>0.4583333333</v>
      </c>
      <c r="D13499" s="8">
        <f>IFERROR(__xludf.DUMMYFUNCTION("""COMPUTED_VALUE"""),0.371)</f>
        <v>0.371</v>
      </c>
      <c r="E13499" s="8" t="str">
        <f>IFERROR(__xludf.DUMMYFUNCTION("""COMPUTED_VALUE"""),"Real")</f>
        <v>Real</v>
      </c>
      <c r="G13499" s="8">
        <f t="shared" si="1"/>
        <v>5</v>
      </c>
      <c r="H13499" s="14">
        <f t="shared" si="2"/>
        <v>16</v>
      </c>
      <c r="I13499" s="15">
        <f t="shared" si="3"/>
        <v>11</v>
      </c>
    </row>
    <row r="13500">
      <c r="A13500" s="8" t="str">
        <f>IFERROR(__xludf.DUMMYFUNCTION("IF('(INGESTA)Datos_consumo_datadis'!A13500&lt;&gt;"""",SPLIT('(INGESTA)Datos_consumo_datadis'!A:A,"",""),"""")"),"ES0031408323131005HX0F")</f>
        <v>ES0031408323131005HX0F</v>
      </c>
      <c r="B13500" s="12">
        <f>IFERROR(__xludf.DUMMYFUNCTION("""COMPUTED_VALUE"""),45428.0)</f>
        <v>45428</v>
      </c>
      <c r="C13500" s="13">
        <f>IFERROR(__xludf.DUMMYFUNCTION("""COMPUTED_VALUE"""),0.5)</f>
        <v>0.5</v>
      </c>
      <c r="D13500" s="8">
        <f>IFERROR(__xludf.DUMMYFUNCTION("""COMPUTED_VALUE"""),0.077)</f>
        <v>0.077</v>
      </c>
      <c r="E13500" s="8" t="str">
        <f>IFERROR(__xludf.DUMMYFUNCTION("""COMPUTED_VALUE"""),"Real")</f>
        <v>Real</v>
      </c>
      <c r="G13500" s="8">
        <f t="shared" si="1"/>
        <v>5</v>
      </c>
      <c r="H13500" s="14">
        <f t="shared" si="2"/>
        <v>16</v>
      </c>
      <c r="I13500" s="15">
        <f t="shared" si="3"/>
        <v>12</v>
      </c>
    </row>
    <row r="13501">
      <c r="A13501" s="8" t="str">
        <f>IFERROR(__xludf.DUMMYFUNCTION("IF('(INGESTA)Datos_consumo_datadis'!A13501&lt;&gt;"""",SPLIT('(INGESTA)Datos_consumo_datadis'!A:A,"",""),"""")"),"ES0031408323131005HX0F")</f>
        <v>ES0031408323131005HX0F</v>
      </c>
      <c r="B13501" s="12">
        <f>IFERROR(__xludf.DUMMYFUNCTION("""COMPUTED_VALUE"""),45428.0)</f>
        <v>45428</v>
      </c>
      <c r="C13501" s="13">
        <f>IFERROR(__xludf.DUMMYFUNCTION("""COMPUTED_VALUE"""),0.5416666666666666)</f>
        <v>0.5416666667</v>
      </c>
      <c r="D13501" s="8">
        <f>IFERROR(__xludf.DUMMYFUNCTION("""COMPUTED_VALUE"""),1.572)</f>
        <v>1.572</v>
      </c>
      <c r="E13501" s="8" t="str">
        <f>IFERROR(__xludf.DUMMYFUNCTION("""COMPUTED_VALUE"""),"Real")</f>
        <v>Real</v>
      </c>
      <c r="G13501" s="8">
        <f t="shared" si="1"/>
        <v>5</v>
      </c>
      <c r="H13501" s="14">
        <f t="shared" si="2"/>
        <v>16</v>
      </c>
      <c r="I13501" s="15">
        <f t="shared" si="3"/>
        <v>13</v>
      </c>
    </row>
    <row r="13502">
      <c r="A13502" s="8" t="str">
        <f>IFERROR(__xludf.DUMMYFUNCTION("IF('(INGESTA)Datos_consumo_datadis'!A13502&lt;&gt;"""",SPLIT('(INGESTA)Datos_consumo_datadis'!A:A,"",""),"""")"),"ES0031408323131005HX0F")</f>
        <v>ES0031408323131005HX0F</v>
      </c>
      <c r="B13502" s="12">
        <f>IFERROR(__xludf.DUMMYFUNCTION("""COMPUTED_VALUE"""),45428.0)</f>
        <v>45428</v>
      </c>
      <c r="C13502" s="13">
        <f>IFERROR(__xludf.DUMMYFUNCTION("""COMPUTED_VALUE"""),0.5833333333333334)</f>
        <v>0.5833333333</v>
      </c>
      <c r="D13502" s="8">
        <f>IFERROR(__xludf.DUMMYFUNCTION("""COMPUTED_VALUE"""),0.433)</f>
        <v>0.433</v>
      </c>
      <c r="E13502" s="8" t="str">
        <f>IFERROR(__xludf.DUMMYFUNCTION("""COMPUTED_VALUE"""),"Real")</f>
        <v>Real</v>
      </c>
      <c r="G13502" s="8">
        <f t="shared" si="1"/>
        <v>5</v>
      </c>
      <c r="H13502" s="14">
        <f t="shared" si="2"/>
        <v>16</v>
      </c>
      <c r="I13502" s="15">
        <f t="shared" si="3"/>
        <v>14</v>
      </c>
    </row>
    <row r="13503">
      <c r="A13503" s="8" t="str">
        <f>IFERROR(__xludf.DUMMYFUNCTION("IF('(INGESTA)Datos_consumo_datadis'!A13503&lt;&gt;"""",SPLIT('(INGESTA)Datos_consumo_datadis'!A:A,"",""),"""")"),"ES0031408323131005HX0F")</f>
        <v>ES0031408323131005HX0F</v>
      </c>
      <c r="B13503" s="12">
        <f>IFERROR(__xludf.DUMMYFUNCTION("""COMPUTED_VALUE"""),45428.0)</f>
        <v>45428</v>
      </c>
      <c r="C13503" s="13">
        <f>IFERROR(__xludf.DUMMYFUNCTION("""COMPUTED_VALUE"""),0.625)</f>
        <v>0.625</v>
      </c>
      <c r="D13503" s="8">
        <f>IFERROR(__xludf.DUMMYFUNCTION("""COMPUTED_VALUE"""),0.17)</f>
        <v>0.17</v>
      </c>
      <c r="E13503" s="8" t="str">
        <f>IFERROR(__xludf.DUMMYFUNCTION("""COMPUTED_VALUE"""),"Real")</f>
        <v>Real</v>
      </c>
      <c r="G13503" s="8">
        <f t="shared" si="1"/>
        <v>5</v>
      </c>
      <c r="H13503" s="14">
        <f t="shared" si="2"/>
        <v>16</v>
      </c>
      <c r="I13503" s="15">
        <f t="shared" si="3"/>
        <v>15</v>
      </c>
    </row>
    <row r="13504">
      <c r="A13504" s="8" t="str">
        <f>IFERROR(__xludf.DUMMYFUNCTION("IF('(INGESTA)Datos_consumo_datadis'!A13504&lt;&gt;"""",SPLIT('(INGESTA)Datos_consumo_datadis'!A:A,"",""),"""")"),"ES0031408323131005HX0F")</f>
        <v>ES0031408323131005HX0F</v>
      </c>
      <c r="B13504" s="12">
        <f>IFERROR(__xludf.DUMMYFUNCTION("""COMPUTED_VALUE"""),45428.0)</f>
        <v>45428</v>
      </c>
      <c r="C13504" s="13">
        <f>IFERROR(__xludf.DUMMYFUNCTION("""COMPUTED_VALUE"""),0.6666666666666666)</f>
        <v>0.6666666667</v>
      </c>
      <c r="D13504" s="8">
        <f>IFERROR(__xludf.DUMMYFUNCTION("""COMPUTED_VALUE"""),0.128)</f>
        <v>0.128</v>
      </c>
      <c r="E13504" s="8" t="str">
        <f>IFERROR(__xludf.DUMMYFUNCTION("""COMPUTED_VALUE"""),"Real")</f>
        <v>Real</v>
      </c>
      <c r="G13504" s="8">
        <f t="shared" si="1"/>
        <v>5</v>
      </c>
      <c r="H13504" s="14">
        <f t="shared" si="2"/>
        <v>16</v>
      </c>
      <c r="I13504" s="15">
        <f t="shared" si="3"/>
        <v>16</v>
      </c>
    </row>
    <row r="13505">
      <c r="A13505" s="8" t="str">
        <f>IFERROR(__xludf.DUMMYFUNCTION("IF('(INGESTA)Datos_consumo_datadis'!A13505&lt;&gt;"""",SPLIT('(INGESTA)Datos_consumo_datadis'!A:A,"",""),"""")"),"ES0031408323131005HX0F")</f>
        <v>ES0031408323131005HX0F</v>
      </c>
      <c r="B13505" s="12">
        <f>IFERROR(__xludf.DUMMYFUNCTION("""COMPUTED_VALUE"""),45428.0)</f>
        <v>45428</v>
      </c>
      <c r="C13505" s="13">
        <f>IFERROR(__xludf.DUMMYFUNCTION("""COMPUTED_VALUE"""),0.7083333333333334)</f>
        <v>0.7083333333</v>
      </c>
      <c r="D13505" s="8">
        <f>IFERROR(__xludf.DUMMYFUNCTION("""COMPUTED_VALUE"""),0.06)</f>
        <v>0.06</v>
      </c>
      <c r="E13505" s="8" t="str">
        <f>IFERROR(__xludf.DUMMYFUNCTION("""COMPUTED_VALUE"""),"Real")</f>
        <v>Real</v>
      </c>
      <c r="G13505" s="8">
        <f t="shared" si="1"/>
        <v>5</v>
      </c>
      <c r="H13505" s="14">
        <f t="shared" si="2"/>
        <v>16</v>
      </c>
      <c r="I13505" s="15">
        <f t="shared" si="3"/>
        <v>17</v>
      </c>
    </row>
    <row r="13506">
      <c r="A13506" s="8" t="str">
        <f>IFERROR(__xludf.DUMMYFUNCTION("IF('(INGESTA)Datos_consumo_datadis'!A13506&lt;&gt;"""",SPLIT('(INGESTA)Datos_consumo_datadis'!A:A,"",""),"""")"),"ES0031408323131005HX0F")</f>
        <v>ES0031408323131005HX0F</v>
      </c>
      <c r="B13506" s="12">
        <f>IFERROR(__xludf.DUMMYFUNCTION("""COMPUTED_VALUE"""),45428.0)</f>
        <v>45428</v>
      </c>
      <c r="C13506" s="13">
        <f>IFERROR(__xludf.DUMMYFUNCTION("""COMPUTED_VALUE"""),0.75)</f>
        <v>0.75</v>
      </c>
      <c r="D13506" s="8">
        <f>IFERROR(__xludf.DUMMYFUNCTION("""COMPUTED_VALUE"""),0.322)</f>
        <v>0.322</v>
      </c>
      <c r="E13506" s="8" t="str">
        <f>IFERROR(__xludf.DUMMYFUNCTION("""COMPUTED_VALUE"""),"Real")</f>
        <v>Real</v>
      </c>
      <c r="G13506" s="8">
        <f t="shared" si="1"/>
        <v>5</v>
      </c>
      <c r="H13506" s="14">
        <f t="shared" si="2"/>
        <v>16</v>
      </c>
      <c r="I13506" s="15">
        <f t="shared" si="3"/>
        <v>18</v>
      </c>
    </row>
    <row r="13507">
      <c r="A13507" s="8" t="str">
        <f>IFERROR(__xludf.DUMMYFUNCTION("IF('(INGESTA)Datos_consumo_datadis'!A13507&lt;&gt;"""",SPLIT('(INGESTA)Datos_consumo_datadis'!A:A,"",""),"""")"),"ES0031408323131005HX0F")</f>
        <v>ES0031408323131005HX0F</v>
      </c>
      <c r="B13507" s="12">
        <f>IFERROR(__xludf.DUMMYFUNCTION("""COMPUTED_VALUE"""),45428.0)</f>
        <v>45428</v>
      </c>
      <c r="C13507" s="13">
        <f>IFERROR(__xludf.DUMMYFUNCTION("""COMPUTED_VALUE"""),0.7916666666666666)</f>
        <v>0.7916666667</v>
      </c>
      <c r="D13507" s="8">
        <f>IFERROR(__xludf.DUMMYFUNCTION("""COMPUTED_VALUE"""),0.058)</f>
        <v>0.058</v>
      </c>
      <c r="E13507" s="8" t="str">
        <f>IFERROR(__xludf.DUMMYFUNCTION("""COMPUTED_VALUE"""),"Real")</f>
        <v>Real</v>
      </c>
      <c r="G13507" s="8">
        <f t="shared" si="1"/>
        <v>5</v>
      </c>
      <c r="H13507" s="14">
        <f t="shared" si="2"/>
        <v>16</v>
      </c>
      <c r="I13507" s="15">
        <f t="shared" si="3"/>
        <v>19</v>
      </c>
    </row>
    <row r="13508">
      <c r="A13508" s="8" t="str">
        <f>IFERROR(__xludf.DUMMYFUNCTION("IF('(INGESTA)Datos_consumo_datadis'!A13508&lt;&gt;"""",SPLIT('(INGESTA)Datos_consumo_datadis'!A:A,"",""),"""")"),"ES0031408323131005HX0F")</f>
        <v>ES0031408323131005HX0F</v>
      </c>
      <c r="B13508" s="12">
        <f>IFERROR(__xludf.DUMMYFUNCTION("""COMPUTED_VALUE"""),45428.0)</f>
        <v>45428</v>
      </c>
      <c r="C13508" s="13">
        <f>IFERROR(__xludf.DUMMYFUNCTION("""COMPUTED_VALUE"""),0.8333333333333334)</f>
        <v>0.8333333333</v>
      </c>
      <c r="D13508" s="8">
        <f>IFERROR(__xludf.DUMMYFUNCTION("""COMPUTED_VALUE"""),0.072)</f>
        <v>0.072</v>
      </c>
      <c r="E13508" s="8" t="str">
        <f>IFERROR(__xludf.DUMMYFUNCTION("""COMPUTED_VALUE"""),"Real")</f>
        <v>Real</v>
      </c>
      <c r="G13508" s="8">
        <f t="shared" si="1"/>
        <v>5</v>
      </c>
      <c r="H13508" s="14">
        <f t="shared" si="2"/>
        <v>16</v>
      </c>
      <c r="I13508" s="15">
        <f t="shared" si="3"/>
        <v>20</v>
      </c>
    </row>
    <row r="13509">
      <c r="A13509" s="8" t="str">
        <f>IFERROR(__xludf.DUMMYFUNCTION("IF('(INGESTA)Datos_consumo_datadis'!A13509&lt;&gt;"""",SPLIT('(INGESTA)Datos_consumo_datadis'!A:A,"",""),"""")"),"ES0031408323131005HX0F")</f>
        <v>ES0031408323131005HX0F</v>
      </c>
      <c r="B13509" s="12">
        <f>IFERROR(__xludf.DUMMYFUNCTION("""COMPUTED_VALUE"""),45428.0)</f>
        <v>45428</v>
      </c>
      <c r="C13509" s="13">
        <f>IFERROR(__xludf.DUMMYFUNCTION("""COMPUTED_VALUE"""),0.875)</f>
        <v>0.875</v>
      </c>
      <c r="D13509" s="8">
        <f>IFERROR(__xludf.DUMMYFUNCTION("""COMPUTED_VALUE"""),0.764)</f>
        <v>0.764</v>
      </c>
      <c r="E13509" s="8" t="str">
        <f>IFERROR(__xludf.DUMMYFUNCTION("""COMPUTED_VALUE"""),"Real")</f>
        <v>Real</v>
      </c>
      <c r="G13509" s="8">
        <f t="shared" si="1"/>
        <v>5</v>
      </c>
      <c r="H13509" s="14">
        <f t="shared" si="2"/>
        <v>16</v>
      </c>
      <c r="I13509" s="15">
        <f t="shared" si="3"/>
        <v>21</v>
      </c>
    </row>
    <row r="13510">
      <c r="A13510" s="8" t="str">
        <f>IFERROR(__xludf.DUMMYFUNCTION("IF('(INGESTA)Datos_consumo_datadis'!A13510&lt;&gt;"""",SPLIT('(INGESTA)Datos_consumo_datadis'!A:A,"",""),"""")"),"ES0031408323131005HX0F")</f>
        <v>ES0031408323131005HX0F</v>
      </c>
      <c r="B13510" s="12">
        <f>IFERROR(__xludf.DUMMYFUNCTION("""COMPUTED_VALUE"""),45428.0)</f>
        <v>45428</v>
      </c>
      <c r="C13510" s="13">
        <f>IFERROR(__xludf.DUMMYFUNCTION("""COMPUTED_VALUE"""),0.9166666666666666)</f>
        <v>0.9166666667</v>
      </c>
      <c r="D13510" s="8">
        <f>IFERROR(__xludf.DUMMYFUNCTION("""COMPUTED_VALUE"""),1.036)</f>
        <v>1.036</v>
      </c>
      <c r="E13510" s="8" t="str">
        <f>IFERROR(__xludf.DUMMYFUNCTION("""COMPUTED_VALUE"""),"Real")</f>
        <v>Real</v>
      </c>
      <c r="G13510" s="8">
        <f t="shared" si="1"/>
        <v>5</v>
      </c>
      <c r="H13510" s="14">
        <f t="shared" si="2"/>
        <v>16</v>
      </c>
      <c r="I13510" s="15">
        <f t="shared" si="3"/>
        <v>22</v>
      </c>
    </row>
    <row r="13511">
      <c r="A13511" s="8" t="str">
        <f>IFERROR(__xludf.DUMMYFUNCTION("IF('(INGESTA)Datos_consumo_datadis'!A13511&lt;&gt;"""",SPLIT('(INGESTA)Datos_consumo_datadis'!A:A,"",""),"""")"),"ES0031408323131005HX0F")</f>
        <v>ES0031408323131005HX0F</v>
      </c>
      <c r="B13511" s="12">
        <f>IFERROR(__xludf.DUMMYFUNCTION("""COMPUTED_VALUE"""),45428.0)</f>
        <v>45428</v>
      </c>
      <c r="C13511" s="13">
        <f>IFERROR(__xludf.DUMMYFUNCTION("""COMPUTED_VALUE"""),0.9583333333333334)</f>
        <v>0.9583333333</v>
      </c>
      <c r="D13511" s="8">
        <f>IFERROR(__xludf.DUMMYFUNCTION("""COMPUTED_VALUE"""),0.161)</f>
        <v>0.161</v>
      </c>
      <c r="E13511" s="8" t="str">
        <f>IFERROR(__xludf.DUMMYFUNCTION("""COMPUTED_VALUE"""),"Real")</f>
        <v>Real</v>
      </c>
      <c r="G13511" s="8">
        <f t="shared" si="1"/>
        <v>5</v>
      </c>
      <c r="H13511" s="14">
        <f t="shared" si="2"/>
        <v>16</v>
      </c>
      <c r="I13511" s="15">
        <f t="shared" si="3"/>
        <v>23</v>
      </c>
    </row>
    <row r="13512">
      <c r="A13512" s="8" t="str">
        <f>IFERROR(__xludf.DUMMYFUNCTION("IF('(INGESTA)Datos_consumo_datadis'!A13512&lt;&gt;"""",SPLIT('(INGESTA)Datos_consumo_datadis'!A:A,"",""),"""")"),"ES0031408323131005HX0F")</f>
        <v>ES0031408323131005HX0F</v>
      </c>
      <c r="B13512" s="12">
        <f>IFERROR(__xludf.DUMMYFUNCTION("""COMPUTED_VALUE"""),45428.0)</f>
        <v>45428</v>
      </c>
      <c r="C13512" s="16">
        <f>IFERROR(__xludf.DUMMYFUNCTION("""COMPUTED_VALUE"""),1.0)</f>
        <v>1</v>
      </c>
      <c r="D13512" s="8">
        <f>IFERROR(__xludf.DUMMYFUNCTION("""COMPUTED_VALUE"""),0.088)</f>
        <v>0.088</v>
      </c>
      <c r="E13512" s="8" t="str">
        <f>IFERROR(__xludf.DUMMYFUNCTION("""COMPUTED_VALUE"""),"Real")</f>
        <v>Real</v>
      </c>
      <c r="G13512" s="8">
        <f t="shared" si="1"/>
        <v>5</v>
      </c>
      <c r="H13512" s="14">
        <f t="shared" si="2"/>
        <v>16</v>
      </c>
      <c r="I13512" s="15">
        <f t="shared" si="3"/>
        <v>0</v>
      </c>
    </row>
    <row r="13513">
      <c r="A13513" s="8" t="str">
        <f>IFERROR(__xludf.DUMMYFUNCTION("IF('(INGESTA)Datos_consumo_datadis'!A13513&lt;&gt;"""",SPLIT('(INGESTA)Datos_consumo_datadis'!A:A,"",""),"""")"),"ES0031408323131005HX0F")</f>
        <v>ES0031408323131005HX0F</v>
      </c>
      <c r="B13513" s="12">
        <f>IFERROR(__xludf.DUMMYFUNCTION("""COMPUTED_VALUE"""),45429.0)</f>
        <v>45429</v>
      </c>
      <c r="C13513" s="13">
        <f>IFERROR(__xludf.DUMMYFUNCTION("""COMPUTED_VALUE"""),0.041666666666666664)</f>
        <v>0.04166666667</v>
      </c>
      <c r="D13513" s="8">
        <f>IFERROR(__xludf.DUMMYFUNCTION("""COMPUTED_VALUE"""),0.093)</f>
        <v>0.093</v>
      </c>
      <c r="E13513" s="8" t="str">
        <f>IFERROR(__xludf.DUMMYFUNCTION("""COMPUTED_VALUE"""),"Real")</f>
        <v>Real</v>
      </c>
      <c r="G13513" s="8">
        <f t="shared" si="1"/>
        <v>5</v>
      </c>
      <c r="H13513" s="14">
        <f t="shared" si="2"/>
        <v>17</v>
      </c>
      <c r="I13513" s="15">
        <f t="shared" si="3"/>
        <v>1</v>
      </c>
    </row>
    <row r="13514">
      <c r="A13514" s="8" t="str">
        <f>IFERROR(__xludf.DUMMYFUNCTION("IF('(INGESTA)Datos_consumo_datadis'!A13514&lt;&gt;"""",SPLIT('(INGESTA)Datos_consumo_datadis'!A:A,"",""),"""")"),"ES0031408323131005HX0F")</f>
        <v>ES0031408323131005HX0F</v>
      </c>
      <c r="B13514" s="12">
        <f>IFERROR(__xludf.DUMMYFUNCTION("""COMPUTED_VALUE"""),45429.0)</f>
        <v>45429</v>
      </c>
      <c r="C13514" s="13">
        <f>IFERROR(__xludf.DUMMYFUNCTION("""COMPUTED_VALUE"""),0.08333333333333333)</f>
        <v>0.08333333333</v>
      </c>
      <c r="D13514" s="8">
        <f>IFERROR(__xludf.DUMMYFUNCTION("""COMPUTED_VALUE"""),0.045)</f>
        <v>0.045</v>
      </c>
      <c r="E13514" s="8" t="str">
        <f>IFERROR(__xludf.DUMMYFUNCTION("""COMPUTED_VALUE"""),"Real")</f>
        <v>Real</v>
      </c>
      <c r="G13514" s="8">
        <f t="shared" si="1"/>
        <v>5</v>
      </c>
      <c r="H13514" s="14">
        <f t="shared" si="2"/>
        <v>17</v>
      </c>
      <c r="I13514" s="15">
        <f t="shared" si="3"/>
        <v>2</v>
      </c>
    </row>
    <row r="13515">
      <c r="A13515" s="8" t="str">
        <f>IFERROR(__xludf.DUMMYFUNCTION("IF('(INGESTA)Datos_consumo_datadis'!A13515&lt;&gt;"""",SPLIT('(INGESTA)Datos_consumo_datadis'!A:A,"",""),"""")"),"ES0031408323131005HX0F")</f>
        <v>ES0031408323131005HX0F</v>
      </c>
      <c r="B13515" s="12">
        <f>IFERROR(__xludf.DUMMYFUNCTION("""COMPUTED_VALUE"""),45429.0)</f>
        <v>45429</v>
      </c>
      <c r="C13515" s="13">
        <f>IFERROR(__xludf.DUMMYFUNCTION("""COMPUTED_VALUE"""),0.125)</f>
        <v>0.125</v>
      </c>
      <c r="D13515" s="8">
        <f>IFERROR(__xludf.DUMMYFUNCTION("""COMPUTED_VALUE"""),0.332)</f>
        <v>0.332</v>
      </c>
      <c r="E13515" s="8" t="str">
        <f>IFERROR(__xludf.DUMMYFUNCTION("""COMPUTED_VALUE"""),"Real")</f>
        <v>Real</v>
      </c>
      <c r="G13515" s="8">
        <f t="shared" si="1"/>
        <v>5</v>
      </c>
      <c r="H13515" s="14">
        <f t="shared" si="2"/>
        <v>17</v>
      </c>
      <c r="I13515" s="15">
        <f t="shared" si="3"/>
        <v>3</v>
      </c>
    </row>
    <row r="13516">
      <c r="A13516" s="8" t="str">
        <f>IFERROR(__xludf.DUMMYFUNCTION("IF('(INGESTA)Datos_consumo_datadis'!A13516&lt;&gt;"""",SPLIT('(INGESTA)Datos_consumo_datadis'!A:A,"",""),"""")"),"ES0031408323131005HX0F")</f>
        <v>ES0031408323131005HX0F</v>
      </c>
      <c r="B13516" s="12">
        <f>IFERROR(__xludf.DUMMYFUNCTION("""COMPUTED_VALUE"""),45429.0)</f>
        <v>45429</v>
      </c>
      <c r="C13516" s="13">
        <f>IFERROR(__xludf.DUMMYFUNCTION("""COMPUTED_VALUE"""),0.16666666666666666)</f>
        <v>0.1666666667</v>
      </c>
      <c r="D13516" s="8">
        <f>IFERROR(__xludf.DUMMYFUNCTION("""COMPUTED_VALUE"""),0.058)</f>
        <v>0.058</v>
      </c>
      <c r="E13516" s="8" t="str">
        <f>IFERROR(__xludf.DUMMYFUNCTION("""COMPUTED_VALUE"""),"Real")</f>
        <v>Real</v>
      </c>
      <c r="G13516" s="8">
        <f t="shared" si="1"/>
        <v>5</v>
      </c>
      <c r="H13516" s="14">
        <f t="shared" si="2"/>
        <v>17</v>
      </c>
      <c r="I13516" s="15">
        <f t="shared" si="3"/>
        <v>4</v>
      </c>
    </row>
    <row r="13517">
      <c r="A13517" s="8" t="str">
        <f>IFERROR(__xludf.DUMMYFUNCTION("IF('(INGESTA)Datos_consumo_datadis'!A13517&lt;&gt;"""",SPLIT('(INGESTA)Datos_consumo_datadis'!A:A,"",""),"""")"),"ES0031408323131005HX0F")</f>
        <v>ES0031408323131005HX0F</v>
      </c>
      <c r="B13517" s="12">
        <f>IFERROR(__xludf.DUMMYFUNCTION("""COMPUTED_VALUE"""),45429.0)</f>
        <v>45429</v>
      </c>
      <c r="C13517" s="13">
        <f>IFERROR(__xludf.DUMMYFUNCTION("""COMPUTED_VALUE"""),0.20833333333333334)</f>
        <v>0.2083333333</v>
      </c>
      <c r="D13517" s="8">
        <f>IFERROR(__xludf.DUMMYFUNCTION("""COMPUTED_VALUE"""),0.081)</f>
        <v>0.081</v>
      </c>
      <c r="E13517" s="8" t="str">
        <f>IFERROR(__xludf.DUMMYFUNCTION("""COMPUTED_VALUE"""),"Real")</f>
        <v>Real</v>
      </c>
      <c r="G13517" s="8">
        <f t="shared" si="1"/>
        <v>5</v>
      </c>
      <c r="H13517" s="14">
        <f t="shared" si="2"/>
        <v>17</v>
      </c>
      <c r="I13517" s="15">
        <f t="shared" si="3"/>
        <v>5</v>
      </c>
    </row>
    <row r="13518">
      <c r="A13518" s="8" t="str">
        <f>IFERROR(__xludf.DUMMYFUNCTION("IF('(INGESTA)Datos_consumo_datadis'!A13518&lt;&gt;"""",SPLIT('(INGESTA)Datos_consumo_datadis'!A:A,"",""),"""")"),"ES0031408323131005HX0F")</f>
        <v>ES0031408323131005HX0F</v>
      </c>
      <c r="B13518" s="12">
        <f>IFERROR(__xludf.DUMMYFUNCTION("""COMPUTED_VALUE"""),45429.0)</f>
        <v>45429</v>
      </c>
      <c r="C13518" s="13">
        <f>IFERROR(__xludf.DUMMYFUNCTION("""COMPUTED_VALUE"""),0.25)</f>
        <v>0.25</v>
      </c>
      <c r="D13518" s="8">
        <f>IFERROR(__xludf.DUMMYFUNCTION("""COMPUTED_VALUE"""),0.058)</f>
        <v>0.058</v>
      </c>
      <c r="E13518" s="8" t="str">
        <f>IFERROR(__xludf.DUMMYFUNCTION("""COMPUTED_VALUE"""),"Real")</f>
        <v>Real</v>
      </c>
      <c r="G13518" s="8">
        <f t="shared" si="1"/>
        <v>5</v>
      </c>
      <c r="H13518" s="14">
        <f t="shared" si="2"/>
        <v>17</v>
      </c>
      <c r="I13518" s="15">
        <f t="shared" si="3"/>
        <v>6</v>
      </c>
    </row>
    <row r="13519">
      <c r="A13519" s="8" t="str">
        <f>IFERROR(__xludf.DUMMYFUNCTION("IF('(INGESTA)Datos_consumo_datadis'!A13519&lt;&gt;"""",SPLIT('(INGESTA)Datos_consumo_datadis'!A:A,"",""),"""")"),"ES0031408323131005HX0F")</f>
        <v>ES0031408323131005HX0F</v>
      </c>
      <c r="B13519" s="12">
        <f>IFERROR(__xludf.DUMMYFUNCTION("""COMPUTED_VALUE"""),45429.0)</f>
        <v>45429</v>
      </c>
      <c r="C13519" s="13">
        <f>IFERROR(__xludf.DUMMYFUNCTION("""COMPUTED_VALUE"""),0.2916666666666667)</f>
        <v>0.2916666667</v>
      </c>
      <c r="D13519" s="8">
        <f>IFERROR(__xludf.DUMMYFUNCTION("""COMPUTED_VALUE"""),0.069)</f>
        <v>0.069</v>
      </c>
      <c r="E13519" s="8" t="str">
        <f>IFERROR(__xludf.DUMMYFUNCTION("""COMPUTED_VALUE"""),"Real")</f>
        <v>Real</v>
      </c>
      <c r="G13519" s="8">
        <f t="shared" si="1"/>
        <v>5</v>
      </c>
      <c r="H13519" s="14">
        <f t="shared" si="2"/>
        <v>17</v>
      </c>
      <c r="I13519" s="15">
        <f t="shared" si="3"/>
        <v>7</v>
      </c>
    </row>
    <row r="13520">
      <c r="A13520" s="8" t="str">
        <f>IFERROR(__xludf.DUMMYFUNCTION("IF('(INGESTA)Datos_consumo_datadis'!A13520&lt;&gt;"""",SPLIT('(INGESTA)Datos_consumo_datadis'!A:A,"",""),"""")"),"ES0031408323131005HX0F")</f>
        <v>ES0031408323131005HX0F</v>
      </c>
      <c r="B13520" s="12">
        <f>IFERROR(__xludf.DUMMYFUNCTION("""COMPUTED_VALUE"""),45429.0)</f>
        <v>45429</v>
      </c>
      <c r="C13520" s="13">
        <f>IFERROR(__xludf.DUMMYFUNCTION("""COMPUTED_VALUE"""),0.3333333333333333)</f>
        <v>0.3333333333</v>
      </c>
      <c r="D13520" s="8">
        <f>IFERROR(__xludf.DUMMYFUNCTION("""COMPUTED_VALUE"""),0.06)</f>
        <v>0.06</v>
      </c>
      <c r="E13520" s="8" t="str">
        <f>IFERROR(__xludf.DUMMYFUNCTION("""COMPUTED_VALUE"""),"Real")</f>
        <v>Real</v>
      </c>
      <c r="G13520" s="8">
        <f t="shared" si="1"/>
        <v>5</v>
      </c>
      <c r="H13520" s="14">
        <f t="shared" si="2"/>
        <v>17</v>
      </c>
      <c r="I13520" s="15">
        <f t="shared" si="3"/>
        <v>8</v>
      </c>
    </row>
    <row r="13521">
      <c r="A13521" s="8" t="str">
        <f>IFERROR(__xludf.DUMMYFUNCTION("IF('(INGESTA)Datos_consumo_datadis'!A13521&lt;&gt;"""",SPLIT('(INGESTA)Datos_consumo_datadis'!A:A,"",""),"""")"),"ES0031408323131005HX0F")</f>
        <v>ES0031408323131005HX0F</v>
      </c>
      <c r="B13521" s="12">
        <f>IFERROR(__xludf.DUMMYFUNCTION("""COMPUTED_VALUE"""),45429.0)</f>
        <v>45429</v>
      </c>
      <c r="C13521" s="13">
        <f>IFERROR(__xludf.DUMMYFUNCTION("""COMPUTED_VALUE"""),0.375)</f>
        <v>0.375</v>
      </c>
      <c r="D13521" s="8">
        <f>IFERROR(__xludf.DUMMYFUNCTION("""COMPUTED_VALUE"""),0.474)</f>
        <v>0.474</v>
      </c>
      <c r="E13521" s="8" t="str">
        <f>IFERROR(__xludf.DUMMYFUNCTION("""COMPUTED_VALUE"""),"Real")</f>
        <v>Real</v>
      </c>
      <c r="G13521" s="8">
        <f t="shared" si="1"/>
        <v>5</v>
      </c>
      <c r="H13521" s="14">
        <f t="shared" si="2"/>
        <v>17</v>
      </c>
      <c r="I13521" s="15">
        <f t="shared" si="3"/>
        <v>9</v>
      </c>
    </row>
    <row r="13522">
      <c r="A13522" s="8" t="str">
        <f>IFERROR(__xludf.DUMMYFUNCTION("IF('(INGESTA)Datos_consumo_datadis'!A13522&lt;&gt;"""",SPLIT('(INGESTA)Datos_consumo_datadis'!A:A,"",""),"""")"),"ES0031408323131005HX0F")</f>
        <v>ES0031408323131005HX0F</v>
      </c>
      <c r="B13522" s="12">
        <f>IFERROR(__xludf.DUMMYFUNCTION("""COMPUTED_VALUE"""),45429.0)</f>
        <v>45429</v>
      </c>
      <c r="C13522" s="13">
        <f>IFERROR(__xludf.DUMMYFUNCTION("""COMPUTED_VALUE"""),0.4166666666666667)</f>
        <v>0.4166666667</v>
      </c>
      <c r="D13522" s="8">
        <f>IFERROR(__xludf.DUMMYFUNCTION("""COMPUTED_VALUE"""),0.314)</f>
        <v>0.314</v>
      </c>
      <c r="E13522" s="8" t="str">
        <f>IFERROR(__xludf.DUMMYFUNCTION("""COMPUTED_VALUE"""),"Real")</f>
        <v>Real</v>
      </c>
      <c r="G13522" s="8">
        <f t="shared" si="1"/>
        <v>5</v>
      </c>
      <c r="H13522" s="14">
        <f t="shared" si="2"/>
        <v>17</v>
      </c>
      <c r="I13522" s="15">
        <f t="shared" si="3"/>
        <v>10</v>
      </c>
    </row>
    <row r="13523">
      <c r="A13523" s="8" t="str">
        <f>IFERROR(__xludf.DUMMYFUNCTION("IF('(INGESTA)Datos_consumo_datadis'!A13523&lt;&gt;"""",SPLIT('(INGESTA)Datos_consumo_datadis'!A:A,"",""),"""")"),"ES0031408323131005HX0F")</f>
        <v>ES0031408323131005HX0F</v>
      </c>
      <c r="B13523" s="12">
        <f>IFERROR(__xludf.DUMMYFUNCTION("""COMPUTED_VALUE"""),45429.0)</f>
        <v>45429</v>
      </c>
      <c r="C13523" s="13">
        <f>IFERROR(__xludf.DUMMYFUNCTION("""COMPUTED_VALUE"""),0.4583333333333333)</f>
        <v>0.4583333333</v>
      </c>
      <c r="D13523" s="8">
        <f>IFERROR(__xludf.DUMMYFUNCTION("""COMPUTED_VALUE"""),0.096)</f>
        <v>0.096</v>
      </c>
      <c r="E13523" s="8" t="str">
        <f>IFERROR(__xludf.DUMMYFUNCTION("""COMPUTED_VALUE"""),"Real")</f>
        <v>Real</v>
      </c>
      <c r="G13523" s="8">
        <f t="shared" si="1"/>
        <v>5</v>
      </c>
      <c r="H13523" s="14">
        <f t="shared" si="2"/>
        <v>17</v>
      </c>
      <c r="I13523" s="15">
        <f t="shared" si="3"/>
        <v>11</v>
      </c>
    </row>
    <row r="13524">
      <c r="A13524" s="8" t="str">
        <f>IFERROR(__xludf.DUMMYFUNCTION("IF('(INGESTA)Datos_consumo_datadis'!A13524&lt;&gt;"""",SPLIT('(INGESTA)Datos_consumo_datadis'!A:A,"",""),"""")"),"ES0031408323131005HX0F")</f>
        <v>ES0031408323131005HX0F</v>
      </c>
      <c r="B13524" s="12">
        <f>IFERROR(__xludf.DUMMYFUNCTION("""COMPUTED_VALUE"""),45429.0)</f>
        <v>45429</v>
      </c>
      <c r="C13524" s="13">
        <f>IFERROR(__xludf.DUMMYFUNCTION("""COMPUTED_VALUE"""),0.5)</f>
        <v>0.5</v>
      </c>
      <c r="D13524" s="8">
        <f>IFERROR(__xludf.DUMMYFUNCTION("""COMPUTED_VALUE"""),0.084)</f>
        <v>0.084</v>
      </c>
      <c r="E13524" s="8" t="str">
        <f>IFERROR(__xludf.DUMMYFUNCTION("""COMPUTED_VALUE"""),"Real")</f>
        <v>Real</v>
      </c>
      <c r="G13524" s="8">
        <f t="shared" si="1"/>
        <v>5</v>
      </c>
      <c r="H13524" s="14">
        <f t="shared" si="2"/>
        <v>17</v>
      </c>
      <c r="I13524" s="15">
        <f t="shared" si="3"/>
        <v>12</v>
      </c>
    </row>
    <row r="13525">
      <c r="A13525" s="8" t="str">
        <f>IFERROR(__xludf.DUMMYFUNCTION("IF('(INGESTA)Datos_consumo_datadis'!A13525&lt;&gt;"""",SPLIT('(INGESTA)Datos_consumo_datadis'!A:A,"",""),"""")"),"ES0031408323131005HX0F")</f>
        <v>ES0031408323131005HX0F</v>
      </c>
      <c r="B13525" s="12">
        <f>IFERROR(__xludf.DUMMYFUNCTION("""COMPUTED_VALUE"""),45429.0)</f>
        <v>45429</v>
      </c>
      <c r="C13525" s="13">
        <f>IFERROR(__xludf.DUMMYFUNCTION("""COMPUTED_VALUE"""),0.5416666666666666)</f>
        <v>0.5416666667</v>
      </c>
      <c r="D13525" s="8">
        <f>IFERROR(__xludf.DUMMYFUNCTION("""COMPUTED_VALUE"""),0.063)</f>
        <v>0.063</v>
      </c>
      <c r="E13525" s="8" t="str">
        <f>IFERROR(__xludf.DUMMYFUNCTION("""COMPUTED_VALUE"""),"Real")</f>
        <v>Real</v>
      </c>
      <c r="G13525" s="8">
        <f t="shared" si="1"/>
        <v>5</v>
      </c>
      <c r="H13525" s="14">
        <f t="shared" si="2"/>
        <v>17</v>
      </c>
      <c r="I13525" s="15">
        <f t="shared" si="3"/>
        <v>13</v>
      </c>
    </row>
    <row r="13526">
      <c r="A13526" s="8" t="str">
        <f>IFERROR(__xludf.DUMMYFUNCTION("IF('(INGESTA)Datos_consumo_datadis'!A13526&lt;&gt;"""",SPLIT('(INGESTA)Datos_consumo_datadis'!A:A,"",""),"""")"),"ES0031408323131005HX0F")</f>
        <v>ES0031408323131005HX0F</v>
      </c>
      <c r="B13526" s="12">
        <f>IFERROR(__xludf.DUMMYFUNCTION("""COMPUTED_VALUE"""),45429.0)</f>
        <v>45429</v>
      </c>
      <c r="C13526" s="13">
        <f>IFERROR(__xludf.DUMMYFUNCTION("""COMPUTED_VALUE"""),0.5833333333333334)</f>
        <v>0.5833333333</v>
      </c>
      <c r="D13526" s="8">
        <f>IFERROR(__xludf.DUMMYFUNCTION("""COMPUTED_VALUE"""),0.079)</f>
        <v>0.079</v>
      </c>
      <c r="E13526" s="8" t="str">
        <f>IFERROR(__xludf.DUMMYFUNCTION("""COMPUTED_VALUE"""),"Real")</f>
        <v>Real</v>
      </c>
      <c r="G13526" s="8">
        <f t="shared" si="1"/>
        <v>5</v>
      </c>
      <c r="H13526" s="14">
        <f t="shared" si="2"/>
        <v>17</v>
      </c>
      <c r="I13526" s="15">
        <f t="shared" si="3"/>
        <v>14</v>
      </c>
    </row>
    <row r="13527">
      <c r="A13527" s="8" t="str">
        <f>IFERROR(__xludf.DUMMYFUNCTION("IF('(INGESTA)Datos_consumo_datadis'!A13527&lt;&gt;"""",SPLIT('(INGESTA)Datos_consumo_datadis'!A:A,"",""),"""")"),"ES0031408323131005HX0F")</f>
        <v>ES0031408323131005HX0F</v>
      </c>
      <c r="B13527" s="12">
        <f>IFERROR(__xludf.DUMMYFUNCTION("""COMPUTED_VALUE"""),45429.0)</f>
        <v>45429</v>
      </c>
      <c r="C13527" s="13">
        <f>IFERROR(__xludf.DUMMYFUNCTION("""COMPUTED_VALUE"""),0.625)</f>
        <v>0.625</v>
      </c>
      <c r="D13527" s="8">
        <f>IFERROR(__xludf.DUMMYFUNCTION("""COMPUTED_VALUE"""),1.488)</f>
        <v>1.488</v>
      </c>
      <c r="E13527" s="8" t="str">
        <f>IFERROR(__xludf.DUMMYFUNCTION("""COMPUTED_VALUE"""),"Real")</f>
        <v>Real</v>
      </c>
      <c r="G13527" s="8">
        <f t="shared" si="1"/>
        <v>5</v>
      </c>
      <c r="H13527" s="14">
        <f t="shared" si="2"/>
        <v>17</v>
      </c>
      <c r="I13527" s="15">
        <f t="shared" si="3"/>
        <v>15</v>
      </c>
    </row>
    <row r="13528">
      <c r="A13528" s="8" t="str">
        <f>IFERROR(__xludf.DUMMYFUNCTION("IF('(INGESTA)Datos_consumo_datadis'!A13528&lt;&gt;"""",SPLIT('(INGESTA)Datos_consumo_datadis'!A:A,"",""),"""")"),"ES0031408323131005HX0F")</f>
        <v>ES0031408323131005HX0F</v>
      </c>
      <c r="B13528" s="12">
        <f>IFERROR(__xludf.DUMMYFUNCTION("""COMPUTED_VALUE"""),45429.0)</f>
        <v>45429</v>
      </c>
      <c r="C13528" s="13">
        <f>IFERROR(__xludf.DUMMYFUNCTION("""COMPUTED_VALUE"""),0.6666666666666666)</f>
        <v>0.6666666667</v>
      </c>
      <c r="D13528" s="8">
        <f>IFERROR(__xludf.DUMMYFUNCTION("""COMPUTED_VALUE"""),0.103)</f>
        <v>0.103</v>
      </c>
      <c r="E13528" s="8" t="str">
        <f>IFERROR(__xludf.DUMMYFUNCTION("""COMPUTED_VALUE"""),"Real")</f>
        <v>Real</v>
      </c>
      <c r="G13528" s="8">
        <f t="shared" si="1"/>
        <v>5</v>
      </c>
      <c r="H13528" s="14">
        <f t="shared" si="2"/>
        <v>17</v>
      </c>
      <c r="I13528" s="15">
        <f t="shared" si="3"/>
        <v>16</v>
      </c>
    </row>
    <row r="13529">
      <c r="A13529" s="8" t="str">
        <f>IFERROR(__xludf.DUMMYFUNCTION("IF('(INGESTA)Datos_consumo_datadis'!A13529&lt;&gt;"""",SPLIT('(INGESTA)Datos_consumo_datadis'!A:A,"",""),"""")"),"ES0031408323131005HX0F")</f>
        <v>ES0031408323131005HX0F</v>
      </c>
      <c r="B13529" s="12">
        <f>IFERROR(__xludf.DUMMYFUNCTION("""COMPUTED_VALUE"""),45429.0)</f>
        <v>45429</v>
      </c>
      <c r="C13529" s="13">
        <f>IFERROR(__xludf.DUMMYFUNCTION("""COMPUTED_VALUE"""),0.7083333333333334)</f>
        <v>0.7083333333</v>
      </c>
      <c r="D13529" s="8">
        <f>IFERROR(__xludf.DUMMYFUNCTION("""COMPUTED_VALUE"""),0.064)</f>
        <v>0.064</v>
      </c>
      <c r="E13529" s="8" t="str">
        <f>IFERROR(__xludf.DUMMYFUNCTION("""COMPUTED_VALUE"""),"Real")</f>
        <v>Real</v>
      </c>
      <c r="G13529" s="8">
        <f t="shared" si="1"/>
        <v>5</v>
      </c>
      <c r="H13529" s="14">
        <f t="shared" si="2"/>
        <v>17</v>
      </c>
      <c r="I13529" s="15">
        <f t="shared" si="3"/>
        <v>17</v>
      </c>
    </row>
    <row r="13530">
      <c r="A13530" s="8" t="str">
        <f>IFERROR(__xludf.DUMMYFUNCTION("IF('(INGESTA)Datos_consumo_datadis'!A13530&lt;&gt;"""",SPLIT('(INGESTA)Datos_consumo_datadis'!A:A,"",""),"""")"),"ES0031408323131005HX0F")</f>
        <v>ES0031408323131005HX0F</v>
      </c>
      <c r="B13530" s="12">
        <f>IFERROR(__xludf.DUMMYFUNCTION("""COMPUTED_VALUE"""),45429.0)</f>
        <v>45429</v>
      </c>
      <c r="C13530" s="13">
        <f>IFERROR(__xludf.DUMMYFUNCTION("""COMPUTED_VALUE"""),0.75)</f>
        <v>0.75</v>
      </c>
      <c r="D13530" s="8">
        <f>IFERROR(__xludf.DUMMYFUNCTION("""COMPUTED_VALUE"""),0.088)</f>
        <v>0.088</v>
      </c>
      <c r="E13530" s="8" t="str">
        <f>IFERROR(__xludf.DUMMYFUNCTION("""COMPUTED_VALUE"""),"Real")</f>
        <v>Real</v>
      </c>
      <c r="G13530" s="8">
        <f t="shared" si="1"/>
        <v>5</v>
      </c>
      <c r="H13530" s="14">
        <f t="shared" si="2"/>
        <v>17</v>
      </c>
      <c r="I13530" s="15">
        <f t="shared" si="3"/>
        <v>18</v>
      </c>
    </row>
    <row r="13531">
      <c r="A13531" s="8" t="str">
        <f>IFERROR(__xludf.DUMMYFUNCTION("IF('(INGESTA)Datos_consumo_datadis'!A13531&lt;&gt;"""",SPLIT('(INGESTA)Datos_consumo_datadis'!A:A,"",""),"""")"),"ES0031408323131005HX0F")</f>
        <v>ES0031408323131005HX0F</v>
      </c>
      <c r="B13531" s="12">
        <f>IFERROR(__xludf.DUMMYFUNCTION("""COMPUTED_VALUE"""),45429.0)</f>
        <v>45429</v>
      </c>
      <c r="C13531" s="13">
        <f>IFERROR(__xludf.DUMMYFUNCTION("""COMPUTED_VALUE"""),0.7916666666666666)</f>
        <v>0.7916666667</v>
      </c>
      <c r="D13531" s="8">
        <f>IFERROR(__xludf.DUMMYFUNCTION("""COMPUTED_VALUE"""),0.048)</f>
        <v>0.048</v>
      </c>
      <c r="E13531" s="8" t="str">
        <f>IFERROR(__xludf.DUMMYFUNCTION("""COMPUTED_VALUE"""),"Real")</f>
        <v>Real</v>
      </c>
      <c r="G13531" s="8">
        <f t="shared" si="1"/>
        <v>5</v>
      </c>
      <c r="H13531" s="14">
        <f t="shared" si="2"/>
        <v>17</v>
      </c>
      <c r="I13531" s="15">
        <f t="shared" si="3"/>
        <v>19</v>
      </c>
    </row>
    <row r="13532">
      <c r="A13532" s="8" t="str">
        <f>IFERROR(__xludf.DUMMYFUNCTION("IF('(INGESTA)Datos_consumo_datadis'!A13532&lt;&gt;"""",SPLIT('(INGESTA)Datos_consumo_datadis'!A:A,"",""),"""")"),"ES0031408323131005HX0F")</f>
        <v>ES0031408323131005HX0F</v>
      </c>
      <c r="B13532" s="12">
        <f>IFERROR(__xludf.DUMMYFUNCTION("""COMPUTED_VALUE"""),45429.0)</f>
        <v>45429</v>
      </c>
      <c r="C13532" s="13">
        <f>IFERROR(__xludf.DUMMYFUNCTION("""COMPUTED_VALUE"""),0.8333333333333334)</f>
        <v>0.8333333333</v>
      </c>
      <c r="D13532" s="8">
        <f>IFERROR(__xludf.DUMMYFUNCTION("""COMPUTED_VALUE"""),0.348)</f>
        <v>0.348</v>
      </c>
      <c r="E13532" s="8" t="str">
        <f>IFERROR(__xludf.DUMMYFUNCTION("""COMPUTED_VALUE"""),"Real")</f>
        <v>Real</v>
      </c>
      <c r="G13532" s="8">
        <f t="shared" si="1"/>
        <v>5</v>
      </c>
      <c r="H13532" s="14">
        <f t="shared" si="2"/>
        <v>17</v>
      </c>
      <c r="I13532" s="15">
        <f t="shared" si="3"/>
        <v>20</v>
      </c>
    </row>
    <row r="13533">
      <c r="A13533" s="8" t="str">
        <f>IFERROR(__xludf.DUMMYFUNCTION("IF('(INGESTA)Datos_consumo_datadis'!A13533&lt;&gt;"""",SPLIT('(INGESTA)Datos_consumo_datadis'!A:A,"",""),"""")"),"ES0031408323131005HX0F")</f>
        <v>ES0031408323131005HX0F</v>
      </c>
      <c r="B13533" s="12">
        <f>IFERROR(__xludf.DUMMYFUNCTION("""COMPUTED_VALUE"""),45429.0)</f>
        <v>45429</v>
      </c>
      <c r="C13533" s="13">
        <f>IFERROR(__xludf.DUMMYFUNCTION("""COMPUTED_VALUE"""),0.875)</f>
        <v>0.875</v>
      </c>
      <c r="D13533" s="8">
        <f>IFERROR(__xludf.DUMMYFUNCTION("""COMPUTED_VALUE"""),0.089)</f>
        <v>0.089</v>
      </c>
      <c r="E13533" s="8" t="str">
        <f>IFERROR(__xludf.DUMMYFUNCTION("""COMPUTED_VALUE"""),"Real")</f>
        <v>Real</v>
      </c>
      <c r="G13533" s="8">
        <f t="shared" si="1"/>
        <v>5</v>
      </c>
      <c r="H13533" s="14">
        <f t="shared" si="2"/>
        <v>17</v>
      </c>
      <c r="I13533" s="15">
        <f t="shared" si="3"/>
        <v>21</v>
      </c>
    </row>
    <row r="13534">
      <c r="A13534" s="8" t="str">
        <f>IFERROR(__xludf.DUMMYFUNCTION("IF('(INGESTA)Datos_consumo_datadis'!A13534&lt;&gt;"""",SPLIT('(INGESTA)Datos_consumo_datadis'!A:A,"",""),"""")"),"ES0031408323131005HX0F")</f>
        <v>ES0031408323131005HX0F</v>
      </c>
      <c r="B13534" s="12">
        <f>IFERROR(__xludf.DUMMYFUNCTION("""COMPUTED_VALUE"""),45429.0)</f>
        <v>45429</v>
      </c>
      <c r="C13534" s="13">
        <f>IFERROR(__xludf.DUMMYFUNCTION("""COMPUTED_VALUE"""),0.9166666666666666)</f>
        <v>0.9166666667</v>
      </c>
      <c r="D13534" s="8">
        <f>IFERROR(__xludf.DUMMYFUNCTION("""COMPUTED_VALUE"""),0.286)</f>
        <v>0.286</v>
      </c>
      <c r="E13534" s="8" t="str">
        <f>IFERROR(__xludf.DUMMYFUNCTION("""COMPUTED_VALUE"""),"Real")</f>
        <v>Real</v>
      </c>
      <c r="G13534" s="8">
        <f t="shared" si="1"/>
        <v>5</v>
      </c>
      <c r="H13534" s="14">
        <f t="shared" si="2"/>
        <v>17</v>
      </c>
      <c r="I13534" s="15">
        <f t="shared" si="3"/>
        <v>22</v>
      </c>
    </row>
    <row r="13535">
      <c r="A13535" s="8" t="str">
        <f>IFERROR(__xludf.DUMMYFUNCTION("IF('(INGESTA)Datos_consumo_datadis'!A13535&lt;&gt;"""",SPLIT('(INGESTA)Datos_consumo_datadis'!A:A,"",""),"""")"),"ES0031408323131005HX0F")</f>
        <v>ES0031408323131005HX0F</v>
      </c>
      <c r="B13535" s="12">
        <f>IFERROR(__xludf.DUMMYFUNCTION("""COMPUTED_VALUE"""),45429.0)</f>
        <v>45429</v>
      </c>
      <c r="C13535" s="13">
        <f>IFERROR(__xludf.DUMMYFUNCTION("""COMPUTED_VALUE"""),0.9583333333333334)</f>
        <v>0.9583333333</v>
      </c>
      <c r="D13535" s="8">
        <f>IFERROR(__xludf.DUMMYFUNCTION("""COMPUTED_VALUE"""),1.385)</f>
        <v>1.385</v>
      </c>
      <c r="E13535" s="8" t="str">
        <f>IFERROR(__xludf.DUMMYFUNCTION("""COMPUTED_VALUE"""),"Real")</f>
        <v>Real</v>
      </c>
      <c r="G13535" s="8">
        <f t="shared" si="1"/>
        <v>5</v>
      </c>
      <c r="H13535" s="14">
        <f t="shared" si="2"/>
        <v>17</v>
      </c>
      <c r="I13535" s="15">
        <f t="shared" si="3"/>
        <v>23</v>
      </c>
    </row>
    <row r="13536">
      <c r="A13536" s="8" t="str">
        <f>IFERROR(__xludf.DUMMYFUNCTION("IF('(INGESTA)Datos_consumo_datadis'!A13536&lt;&gt;"""",SPLIT('(INGESTA)Datos_consumo_datadis'!A:A,"",""),"""")"),"ES0031408323131005HX0F")</f>
        <v>ES0031408323131005HX0F</v>
      </c>
      <c r="B13536" s="12">
        <f>IFERROR(__xludf.DUMMYFUNCTION("""COMPUTED_VALUE"""),45429.0)</f>
        <v>45429</v>
      </c>
      <c r="C13536" s="16">
        <f>IFERROR(__xludf.DUMMYFUNCTION("""COMPUTED_VALUE"""),1.0)</f>
        <v>1</v>
      </c>
      <c r="D13536" s="8">
        <f>IFERROR(__xludf.DUMMYFUNCTION("""COMPUTED_VALUE"""),0.102)</f>
        <v>0.102</v>
      </c>
      <c r="E13536" s="8" t="str">
        <f>IFERROR(__xludf.DUMMYFUNCTION("""COMPUTED_VALUE"""),"Real")</f>
        <v>Real</v>
      </c>
      <c r="G13536" s="8">
        <f t="shared" si="1"/>
        <v>5</v>
      </c>
      <c r="H13536" s="14">
        <f t="shared" si="2"/>
        <v>17</v>
      </c>
      <c r="I13536" s="15">
        <f t="shared" si="3"/>
        <v>0</v>
      </c>
    </row>
    <row r="13537">
      <c r="A13537" s="8" t="str">
        <f>IFERROR(__xludf.DUMMYFUNCTION("IF('(INGESTA)Datos_consumo_datadis'!A13537&lt;&gt;"""",SPLIT('(INGESTA)Datos_consumo_datadis'!A:A,"",""),"""")"),"ES0031408323131005HX0F")</f>
        <v>ES0031408323131005HX0F</v>
      </c>
      <c r="B13537" s="12">
        <f>IFERROR(__xludf.DUMMYFUNCTION("""COMPUTED_VALUE"""),45430.0)</f>
        <v>45430</v>
      </c>
      <c r="C13537" s="13">
        <f>IFERROR(__xludf.DUMMYFUNCTION("""COMPUTED_VALUE"""),0.041666666666666664)</f>
        <v>0.04166666667</v>
      </c>
      <c r="D13537" s="8">
        <f>IFERROR(__xludf.DUMMYFUNCTION("""COMPUTED_VALUE"""),0.063)</f>
        <v>0.063</v>
      </c>
      <c r="E13537" s="8" t="str">
        <f>IFERROR(__xludf.DUMMYFUNCTION("""COMPUTED_VALUE"""),"Real")</f>
        <v>Real</v>
      </c>
      <c r="G13537" s="8">
        <f t="shared" si="1"/>
        <v>5</v>
      </c>
      <c r="H13537" s="14">
        <f t="shared" si="2"/>
        <v>18</v>
      </c>
      <c r="I13537" s="15">
        <f t="shared" si="3"/>
        <v>1</v>
      </c>
    </row>
    <row r="13538">
      <c r="A13538" s="8" t="str">
        <f>IFERROR(__xludf.DUMMYFUNCTION("IF('(INGESTA)Datos_consumo_datadis'!A13538&lt;&gt;"""",SPLIT('(INGESTA)Datos_consumo_datadis'!A:A,"",""),"""")"),"ES0031408323131005HX0F")</f>
        <v>ES0031408323131005HX0F</v>
      </c>
      <c r="B13538" s="12">
        <f>IFERROR(__xludf.DUMMYFUNCTION("""COMPUTED_VALUE"""),45430.0)</f>
        <v>45430</v>
      </c>
      <c r="C13538" s="13">
        <f>IFERROR(__xludf.DUMMYFUNCTION("""COMPUTED_VALUE"""),0.08333333333333333)</f>
        <v>0.08333333333</v>
      </c>
      <c r="D13538" s="8">
        <f>IFERROR(__xludf.DUMMYFUNCTION("""COMPUTED_VALUE"""),0.073)</f>
        <v>0.073</v>
      </c>
      <c r="E13538" s="8" t="str">
        <f>IFERROR(__xludf.DUMMYFUNCTION("""COMPUTED_VALUE"""),"Real")</f>
        <v>Real</v>
      </c>
      <c r="G13538" s="8">
        <f t="shared" si="1"/>
        <v>5</v>
      </c>
      <c r="H13538" s="14">
        <f t="shared" si="2"/>
        <v>18</v>
      </c>
      <c r="I13538" s="15">
        <f t="shared" si="3"/>
        <v>2</v>
      </c>
    </row>
    <row r="13539">
      <c r="A13539" s="8" t="str">
        <f>IFERROR(__xludf.DUMMYFUNCTION("IF('(INGESTA)Datos_consumo_datadis'!A13539&lt;&gt;"""",SPLIT('(INGESTA)Datos_consumo_datadis'!A:A,"",""),"""")"),"ES0031408323131005HX0F")</f>
        <v>ES0031408323131005HX0F</v>
      </c>
      <c r="B13539" s="12">
        <f>IFERROR(__xludf.DUMMYFUNCTION("""COMPUTED_VALUE"""),45430.0)</f>
        <v>45430</v>
      </c>
      <c r="C13539" s="13">
        <f>IFERROR(__xludf.DUMMYFUNCTION("""COMPUTED_VALUE"""),0.125)</f>
        <v>0.125</v>
      </c>
      <c r="D13539" s="8">
        <f>IFERROR(__xludf.DUMMYFUNCTION("""COMPUTED_VALUE"""),0.056)</f>
        <v>0.056</v>
      </c>
      <c r="E13539" s="8" t="str">
        <f>IFERROR(__xludf.DUMMYFUNCTION("""COMPUTED_VALUE"""),"Real")</f>
        <v>Real</v>
      </c>
      <c r="G13539" s="8">
        <f t="shared" si="1"/>
        <v>5</v>
      </c>
      <c r="H13539" s="14">
        <f t="shared" si="2"/>
        <v>18</v>
      </c>
      <c r="I13539" s="15">
        <f t="shared" si="3"/>
        <v>3</v>
      </c>
    </row>
    <row r="13540">
      <c r="A13540" s="8" t="str">
        <f>IFERROR(__xludf.DUMMYFUNCTION("IF('(INGESTA)Datos_consumo_datadis'!A13540&lt;&gt;"""",SPLIT('(INGESTA)Datos_consumo_datadis'!A:A,"",""),"""")"),"ES0031408323131005HX0F")</f>
        <v>ES0031408323131005HX0F</v>
      </c>
      <c r="B13540" s="12">
        <f>IFERROR(__xludf.DUMMYFUNCTION("""COMPUTED_VALUE"""),45430.0)</f>
        <v>45430</v>
      </c>
      <c r="C13540" s="13">
        <f>IFERROR(__xludf.DUMMYFUNCTION("""COMPUTED_VALUE"""),0.16666666666666666)</f>
        <v>0.1666666667</v>
      </c>
      <c r="D13540" s="8">
        <f>IFERROR(__xludf.DUMMYFUNCTION("""COMPUTED_VALUE"""),0.344)</f>
        <v>0.344</v>
      </c>
      <c r="E13540" s="8" t="str">
        <f>IFERROR(__xludf.DUMMYFUNCTION("""COMPUTED_VALUE"""),"Real")</f>
        <v>Real</v>
      </c>
      <c r="G13540" s="8">
        <f t="shared" si="1"/>
        <v>5</v>
      </c>
      <c r="H13540" s="14">
        <f t="shared" si="2"/>
        <v>18</v>
      </c>
      <c r="I13540" s="15">
        <f t="shared" si="3"/>
        <v>4</v>
      </c>
    </row>
    <row r="13541">
      <c r="A13541" s="8" t="str">
        <f>IFERROR(__xludf.DUMMYFUNCTION("IF('(INGESTA)Datos_consumo_datadis'!A13541&lt;&gt;"""",SPLIT('(INGESTA)Datos_consumo_datadis'!A:A,"",""),"""")"),"ES0031408323131005HX0F")</f>
        <v>ES0031408323131005HX0F</v>
      </c>
      <c r="B13541" s="12">
        <f>IFERROR(__xludf.DUMMYFUNCTION("""COMPUTED_VALUE"""),45430.0)</f>
        <v>45430</v>
      </c>
      <c r="C13541" s="13">
        <f>IFERROR(__xludf.DUMMYFUNCTION("""COMPUTED_VALUE"""),0.20833333333333334)</f>
        <v>0.2083333333</v>
      </c>
      <c r="D13541" s="8">
        <f>IFERROR(__xludf.DUMMYFUNCTION("""COMPUTED_VALUE"""),0.056)</f>
        <v>0.056</v>
      </c>
      <c r="E13541" s="8" t="str">
        <f>IFERROR(__xludf.DUMMYFUNCTION("""COMPUTED_VALUE"""),"Real")</f>
        <v>Real</v>
      </c>
      <c r="G13541" s="8">
        <f t="shared" si="1"/>
        <v>5</v>
      </c>
      <c r="H13541" s="14">
        <f t="shared" si="2"/>
        <v>18</v>
      </c>
      <c r="I13541" s="15">
        <f t="shared" si="3"/>
        <v>5</v>
      </c>
    </row>
    <row r="13542">
      <c r="A13542" s="8" t="str">
        <f>IFERROR(__xludf.DUMMYFUNCTION("IF('(INGESTA)Datos_consumo_datadis'!A13542&lt;&gt;"""",SPLIT('(INGESTA)Datos_consumo_datadis'!A:A,"",""),"""")"),"ES0031408323131005HX0F")</f>
        <v>ES0031408323131005HX0F</v>
      </c>
      <c r="B13542" s="12">
        <f>IFERROR(__xludf.DUMMYFUNCTION("""COMPUTED_VALUE"""),45430.0)</f>
        <v>45430</v>
      </c>
      <c r="C13542" s="13">
        <f>IFERROR(__xludf.DUMMYFUNCTION("""COMPUTED_VALUE"""),0.25)</f>
        <v>0.25</v>
      </c>
      <c r="D13542" s="8">
        <f>IFERROR(__xludf.DUMMYFUNCTION("""COMPUTED_VALUE"""),0.069)</f>
        <v>0.069</v>
      </c>
      <c r="E13542" s="8" t="str">
        <f>IFERROR(__xludf.DUMMYFUNCTION("""COMPUTED_VALUE"""),"Real")</f>
        <v>Real</v>
      </c>
      <c r="G13542" s="8">
        <f t="shared" si="1"/>
        <v>5</v>
      </c>
      <c r="H13542" s="14">
        <f t="shared" si="2"/>
        <v>18</v>
      </c>
      <c r="I13542" s="15">
        <f t="shared" si="3"/>
        <v>6</v>
      </c>
    </row>
    <row r="13543">
      <c r="A13543" s="8" t="str">
        <f>IFERROR(__xludf.DUMMYFUNCTION("IF('(INGESTA)Datos_consumo_datadis'!A13543&lt;&gt;"""",SPLIT('(INGESTA)Datos_consumo_datadis'!A:A,"",""),"""")"),"ES0031408323131005HX0F")</f>
        <v>ES0031408323131005HX0F</v>
      </c>
      <c r="B13543" s="12">
        <f>IFERROR(__xludf.DUMMYFUNCTION("""COMPUTED_VALUE"""),45430.0)</f>
        <v>45430</v>
      </c>
      <c r="C13543" s="13">
        <f>IFERROR(__xludf.DUMMYFUNCTION("""COMPUTED_VALUE"""),0.2916666666666667)</f>
        <v>0.2916666667</v>
      </c>
      <c r="D13543" s="8">
        <f>IFERROR(__xludf.DUMMYFUNCTION("""COMPUTED_VALUE"""),0.059)</f>
        <v>0.059</v>
      </c>
      <c r="E13543" s="8" t="str">
        <f>IFERROR(__xludf.DUMMYFUNCTION("""COMPUTED_VALUE"""),"Real")</f>
        <v>Real</v>
      </c>
      <c r="G13543" s="8">
        <f t="shared" si="1"/>
        <v>5</v>
      </c>
      <c r="H13543" s="14">
        <f t="shared" si="2"/>
        <v>18</v>
      </c>
      <c r="I13543" s="15">
        <f t="shared" si="3"/>
        <v>7</v>
      </c>
    </row>
    <row r="13544">
      <c r="A13544" s="8" t="str">
        <f>IFERROR(__xludf.DUMMYFUNCTION("IF('(INGESTA)Datos_consumo_datadis'!A13544&lt;&gt;"""",SPLIT('(INGESTA)Datos_consumo_datadis'!A:A,"",""),"""")"),"ES0031408323131005HX0F")</f>
        <v>ES0031408323131005HX0F</v>
      </c>
      <c r="B13544" s="12">
        <f>IFERROR(__xludf.DUMMYFUNCTION("""COMPUTED_VALUE"""),45430.0)</f>
        <v>45430</v>
      </c>
      <c r="C13544" s="13">
        <f>IFERROR(__xludf.DUMMYFUNCTION("""COMPUTED_VALUE"""),0.3333333333333333)</f>
        <v>0.3333333333</v>
      </c>
      <c r="D13544" s="8">
        <f>IFERROR(__xludf.DUMMYFUNCTION("""COMPUTED_VALUE"""),0.066)</f>
        <v>0.066</v>
      </c>
      <c r="E13544" s="8" t="str">
        <f>IFERROR(__xludf.DUMMYFUNCTION("""COMPUTED_VALUE"""),"Real")</f>
        <v>Real</v>
      </c>
      <c r="G13544" s="8">
        <f t="shared" si="1"/>
        <v>5</v>
      </c>
      <c r="H13544" s="14">
        <f t="shared" si="2"/>
        <v>18</v>
      </c>
      <c r="I13544" s="15">
        <f t="shared" si="3"/>
        <v>8</v>
      </c>
    </row>
    <row r="13545">
      <c r="A13545" s="8" t="str">
        <f>IFERROR(__xludf.DUMMYFUNCTION("IF('(INGESTA)Datos_consumo_datadis'!A13545&lt;&gt;"""",SPLIT('(INGESTA)Datos_consumo_datadis'!A:A,"",""),"""")"),"ES0031408323131005HX0F")</f>
        <v>ES0031408323131005HX0F</v>
      </c>
      <c r="B13545" s="12">
        <f>IFERROR(__xludf.DUMMYFUNCTION("""COMPUTED_VALUE"""),45430.0)</f>
        <v>45430</v>
      </c>
      <c r="C13545" s="13">
        <f>IFERROR(__xludf.DUMMYFUNCTION("""COMPUTED_VALUE"""),0.375)</f>
        <v>0.375</v>
      </c>
      <c r="D13545" s="8">
        <f>IFERROR(__xludf.DUMMYFUNCTION("""COMPUTED_VALUE"""),0.616)</f>
        <v>0.616</v>
      </c>
      <c r="E13545" s="8" t="str">
        <f>IFERROR(__xludf.DUMMYFUNCTION("""COMPUTED_VALUE"""),"Real")</f>
        <v>Real</v>
      </c>
      <c r="G13545" s="8">
        <f t="shared" si="1"/>
        <v>5</v>
      </c>
      <c r="H13545" s="14">
        <f t="shared" si="2"/>
        <v>18</v>
      </c>
      <c r="I13545" s="15">
        <f t="shared" si="3"/>
        <v>9</v>
      </c>
    </row>
    <row r="13546">
      <c r="A13546" s="8" t="str">
        <f>IFERROR(__xludf.DUMMYFUNCTION("IF('(INGESTA)Datos_consumo_datadis'!A13546&lt;&gt;"""",SPLIT('(INGESTA)Datos_consumo_datadis'!A:A,"",""),"""")"),"ES0031408323131005HX0F")</f>
        <v>ES0031408323131005HX0F</v>
      </c>
      <c r="B13546" s="12">
        <f>IFERROR(__xludf.DUMMYFUNCTION("""COMPUTED_VALUE"""),45430.0)</f>
        <v>45430</v>
      </c>
      <c r="C13546" s="13">
        <f>IFERROR(__xludf.DUMMYFUNCTION("""COMPUTED_VALUE"""),0.4166666666666667)</f>
        <v>0.4166666667</v>
      </c>
      <c r="D13546" s="8">
        <f>IFERROR(__xludf.DUMMYFUNCTION("""COMPUTED_VALUE"""),0.048)</f>
        <v>0.048</v>
      </c>
      <c r="E13546" s="8" t="str">
        <f>IFERROR(__xludf.DUMMYFUNCTION("""COMPUTED_VALUE"""),"Real")</f>
        <v>Real</v>
      </c>
      <c r="G13546" s="8">
        <f t="shared" si="1"/>
        <v>5</v>
      </c>
      <c r="H13546" s="14">
        <f t="shared" si="2"/>
        <v>18</v>
      </c>
      <c r="I13546" s="15">
        <f t="shared" si="3"/>
        <v>10</v>
      </c>
    </row>
    <row r="13547">
      <c r="A13547" s="8" t="str">
        <f>IFERROR(__xludf.DUMMYFUNCTION("IF('(INGESTA)Datos_consumo_datadis'!A13547&lt;&gt;"""",SPLIT('(INGESTA)Datos_consumo_datadis'!A:A,"",""),"""")"),"ES0031408323131005HX0F")</f>
        <v>ES0031408323131005HX0F</v>
      </c>
      <c r="B13547" s="12">
        <f>IFERROR(__xludf.DUMMYFUNCTION("""COMPUTED_VALUE"""),45430.0)</f>
        <v>45430</v>
      </c>
      <c r="C13547" s="13">
        <f>IFERROR(__xludf.DUMMYFUNCTION("""COMPUTED_VALUE"""),0.4583333333333333)</f>
        <v>0.4583333333</v>
      </c>
      <c r="D13547" s="8">
        <f>IFERROR(__xludf.DUMMYFUNCTION("""COMPUTED_VALUE"""),0.091)</f>
        <v>0.091</v>
      </c>
      <c r="E13547" s="8" t="str">
        <f>IFERROR(__xludf.DUMMYFUNCTION("""COMPUTED_VALUE"""),"Real")</f>
        <v>Real</v>
      </c>
      <c r="G13547" s="8">
        <f t="shared" si="1"/>
        <v>5</v>
      </c>
      <c r="H13547" s="14">
        <f t="shared" si="2"/>
        <v>18</v>
      </c>
      <c r="I13547" s="15">
        <f t="shared" si="3"/>
        <v>11</v>
      </c>
    </row>
    <row r="13548">
      <c r="A13548" s="8" t="str">
        <f>IFERROR(__xludf.DUMMYFUNCTION("IF('(INGESTA)Datos_consumo_datadis'!A13548&lt;&gt;"""",SPLIT('(INGESTA)Datos_consumo_datadis'!A:A,"",""),"""")"),"ES0031408323131005HX0F")</f>
        <v>ES0031408323131005HX0F</v>
      </c>
      <c r="B13548" s="12">
        <f>IFERROR(__xludf.DUMMYFUNCTION("""COMPUTED_VALUE"""),45430.0)</f>
        <v>45430</v>
      </c>
      <c r="C13548" s="13">
        <f>IFERROR(__xludf.DUMMYFUNCTION("""COMPUTED_VALUE"""),0.5)</f>
        <v>0.5</v>
      </c>
      <c r="D13548" s="8">
        <f>IFERROR(__xludf.DUMMYFUNCTION("""COMPUTED_VALUE"""),0.392)</f>
        <v>0.392</v>
      </c>
      <c r="E13548" s="8" t="str">
        <f>IFERROR(__xludf.DUMMYFUNCTION("""COMPUTED_VALUE"""),"Real")</f>
        <v>Real</v>
      </c>
      <c r="G13548" s="8">
        <f t="shared" si="1"/>
        <v>5</v>
      </c>
      <c r="H13548" s="14">
        <f t="shared" si="2"/>
        <v>18</v>
      </c>
      <c r="I13548" s="15">
        <f t="shared" si="3"/>
        <v>12</v>
      </c>
    </row>
    <row r="13549">
      <c r="A13549" s="8" t="str">
        <f>IFERROR(__xludf.DUMMYFUNCTION("IF('(INGESTA)Datos_consumo_datadis'!A13549&lt;&gt;"""",SPLIT('(INGESTA)Datos_consumo_datadis'!A:A,"",""),"""")"),"ES0031408323131005HX0F")</f>
        <v>ES0031408323131005HX0F</v>
      </c>
      <c r="B13549" s="12">
        <f>IFERROR(__xludf.DUMMYFUNCTION("""COMPUTED_VALUE"""),45430.0)</f>
        <v>45430</v>
      </c>
      <c r="C13549" s="13">
        <f>IFERROR(__xludf.DUMMYFUNCTION("""COMPUTED_VALUE"""),0.5416666666666666)</f>
        <v>0.5416666667</v>
      </c>
      <c r="D13549" s="8">
        <f>IFERROR(__xludf.DUMMYFUNCTION("""COMPUTED_VALUE"""),0.058)</f>
        <v>0.058</v>
      </c>
      <c r="E13549" s="8" t="str">
        <f>IFERROR(__xludf.DUMMYFUNCTION("""COMPUTED_VALUE"""),"Real")</f>
        <v>Real</v>
      </c>
      <c r="G13549" s="8">
        <f t="shared" si="1"/>
        <v>5</v>
      </c>
      <c r="H13549" s="14">
        <f t="shared" si="2"/>
        <v>18</v>
      </c>
      <c r="I13549" s="15">
        <f t="shared" si="3"/>
        <v>13</v>
      </c>
    </row>
    <row r="13550">
      <c r="A13550" s="8" t="str">
        <f>IFERROR(__xludf.DUMMYFUNCTION("IF('(INGESTA)Datos_consumo_datadis'!A13550&lt;&gt;"""",SPLIT('(INGESTA)Datos_consumo_datadis'!A:A,"",""),"""")"),"ES0031408323131005HX0F")</f>
        <v>ES0031408323131005HX0F</v>
      </c>
      <c r="B13550" s="12">
        <f>IFERROR(__xludf.DUMMYFUNCTION("""COMPUTED_VALUE"""),45430.0)</f>
        <v>45430</v>
      </c>
      <c r="C13550" s="13">
        <f>IFERROR(__xludf.DUMMYFUNCTION("""COMPUTED_VALUE"""),0.5833333333333334)</f>
        <v>0.5833333333</v>
      </c>
      <c r="D13550" s="8">
        <f>IFERROR(__xludf.DUMMYFUNCTION("""COMPUTED_VALUE"""),0.254)</f>
        <v>0.254</v>
      </c>
      <c r="E13550" s="8" t="str">
        <f>IFERROR(__xludf.DUMMYFUNCTION("""COMPUTED_VALUE"""),"Real")</f>
        <v>Real</v>
      </c>
      <c r="G13550" s="8">
        <f t="shared" si="1"/>
        <v>5</v>
      </c>
      <c r="H13550" s="14">
        <f t="shared" si="2"/>
        <v>18</v>
      </c>
      <c r="I13550" s="15">
        <f t="shared" si="3"/>
        <v>14</v>
      </c>
    </row>
    <row r="13551">
      <c r="A13551" s="8" t="str">
        <f>IFERROR(__xludf.DUMMYFUNCTION("IF('(INGESTA)Datos_consumo_datadis'!A13551&lt;&gt;"""",SPLIT('(INGESTA)Datos_consumo_datadis'!A:A,"",""),"""")"),"ES0031408323131005HX0F")</f>
        <v>ES0031408323131005HX0F</v>
      </c>
      <c r="B13551" s="12">
        <f>IFERROR(__xludf.DUMMYFUNCTION("""COMPUTED_VALUE"""),45430.0)</f>
        <v>45430</v>
      </c>
      <c r="C13551" s="13">
        <f>IFERROR(__xludf.DUMMYFUNCTION("""COMPUTED_VALUE"""),0.625)</f>
        <v>0.625</v>
      </c>
      <c r="D13551" s="8">
        <f>IFERROR(__xludf.DUMMYFUNCTION("""COMPUTED_VALUE"""),1.208)</f>
        <v>1.208</v>
      </c>
      <c r="E13551" s="8" t="str">
        <f>IFERROR(__xludf.DUMMYFUNCTION("""COMPUTED_VALUE"""),"Real")</f>
        <v>Real</v>
      </c>
      <c r="G13551" s="8">
        <f t="shared" si="1"/>
        <v>5</v>
      </c>
      <c r="H13551" s="14">
        <f t="shared" si="2"/>
        <v>18</v>
      </c>
      <c r="I13551" s="15">
        <f t="shared" si="3"/>
        <v>15</v>
      </c>
    </row>
    <row r="13552">
      <c r="A13552" s="8" t="str">
        <f>IFERROR(__xludf.DUMMYFUNCTION("IF('(INGESTA)Datos_consumo_datadis'!A13552&lt;&gt;"""",SPLIT('(INGESTA)Datos_consumo_datadis'!A:A,"",""),"""")"),"ES0031408323131005HX0F")</f>
        <v>ES0031408323131005HX0F</v>
      </c>
      <c r="B13552" s="12">
        <f>IFERROR(__xludf.DUMMYFUNCTION("""COMPUTED_VALUE"""),45430.0)</f>
        <v>45430</v>
      </c>
      <c r="C13552" s="13">
        <f>IFERROR(__xludf.DUMMYFUNCTION("""COMPUTED_VALUE"""),0.6666666666666666)</f>
        <v>0.6666666667</v>
      </c>
      <c r="D13552" s="8">
        <f>IFERROR(__xludf.DUMMYFUNCTION("""COMPUTED_VALUE"""),0.105)</f>
        <v>0.105</v>
      </c>
      <c r="E13552" s="8" t="str">
        <f>IFERROR(__xludf.DUMMYFUNCTION("""COMPUTED_VALUE"""),"Real")</f>
        <v>Real</v>
      </c>
      <c r="G13552" s="8">
        <f t="shared" si="1"/>
        <v>5</v>
      </c>
      <c r="H13552" s="14">
        <f t="shared" si="2"/>
        <v>18</v>
      </c>
      <c r="I13552" s="15">
        <f t="shared" si="3"/>
        <v>16</v>
      </c>
    </row>
    <row r="13553">
      <c r="A13553" s="8" t="str">
        <f>IFERROR(__xludf.DUMMYFUNCTION("IF('(INGESTA)Datos_consumo_datadis'!A13553&lt;&gt;"""",SPLIT('(INGESTA)Datos_consumo_datadis'!A:A,"",""),"""")"),"ES0031408323131005HX0F")</f>
        <v>ES0031408323131005HX0F</v>
      </c>
      <c r="B13553" s="12">
        <f>IFERROR(__xludf.DUMMYFUNCTION("""COMPUTED_VALUE"""),45430.0)</f>
        <v>45430</v>
      </c>
      <c r="C13553" s="13">
        <f>IFERROR(__xludf.DUMMYFUNCTION("""COMPUTED_VALUE"""),0.7083333333333334)</f>
        <v>0.7083333333</v>
      </c>
      <c r="D13553" s="8">
        <f>IFERROR(__xludf.DUMMYFUNCTION("""COMPUTED_VALUE"""),0.069)</f>
        <v>0.069</v>
      </c>
      <c r="E13553" s="8" t="str">
        <f>IFERROR(__xludf.DUMMYFUNCTION("""COMPUTED_VALUE"""),"Real")</f>
        <v>Real</v>
      </c>
      <c r="G13553" s="8">
        <f t="shared" si="1"/>
        <v>5</v>
      </c>
      <c r="H13553" s="14">
        <f t="shared" si="2"/>
        <v>18</v>
      </c>
      <c r="I13553" s="15">
        <f t="shared" si="3"/>
        <v>17</v>
      </c>
    </row>
    <row r="13554">
      <c r="A13554" s="8" t="str">
        <f>IFERROR(__xludf.DUMMYFUNCTION("IF('(INGESTA)Datos_consumo_datadis'!A13554&lt;&gt;"""",SPLIT('(INGESTA)Datos_consumo_datadis'!A:A,"",""),"""")"),"ES0031408323131005HX0F")</f>
        <v>ES0031408323131005HX0F</v>
      </c>
      <c r="B13554" s="12">
        <f>IFERROR(__xludf.DUMMYFUNCTION("""COMPUTED_VALUE"""),45430.0)</f>
        <v>45430</v>
      </c>
      <c r="C13554" s="13">
        <f>IFERROR(__xludf.DUMMYFUNCTION("""COMPUTED_VALUE"""),0.75)</f>
        <v>0.75</v>
      </c>
      <c r="D13554" s="8">
        <f>IFERROR(__xludf.DUMMYFUNCTION("""COMPUTED_VALUE"""),0.558)</f>
        <v>0.558</v>
      </c>
      <c r="E13554" s="8" t="str">
        <f>IFERROR(__xludf.DUMMYFUNCTION("""COMPUTED_VALUE"""),"Real")</f>
        <v>Real</v>
      </c>
      <c r="G13554" s="8">
        <f t="shared" si="1"/>
        <v>5</v>
      </c>
      <c r="H13554" s="14">
        <f t="shared" si="2"/>
        <v>18</v>
      </c>
      <c r="I13554" s="15">
        <f t="shared" si="3"/>
        <v>18</v>
      </c>
    </row>
    <row r="13555">
      <c r="A13555" s="8" t="str">
        <f>IFERROR(__xludf.DUMMYFUNCTION("IF('(INGESTA)Datos_consumo_datadis'!A13555&lt;&gt;"""",SPLIT('(INGESTA)Datos_consumo_datadis'!A:A,"",""),"""")"),"ES0031408323131005HX0F")</f>
        <v>ES0031408323131005HX0F</v>
      </c>
      <c r="B13555" s="12">
        <f>IFERROR(__xludf.DUMMYFUNCTION("""COMPUTED_VALUE"""),45430.0)</f>
        <v>45430</v>
      </c>
      <c r="C13555" s="13">
        <f>IFERROR(__xludf.DUMMYFUNCTION("""COMPUTED_VALUE"""),0.7916666666666666)</f>
        <v>0.7916666667</v>
      </c>
      <c r="D13555" s="8">
        <f>IFERROR(__xludf.DUMMYFUNCTION("""COMPUTED_VALUE"""),0.065)</f>
        <v>0.065</v>
      </c>
      <c r="E13555" s="8" t="str">
        <f>IFERROR(__xludf.DUMMYFUNCTION("""COMPUTED_VALUE"""),"Real")</f>
        <v>Real</v>
      </c>
      <c r="G13555" s="8">
        <f t="shared" si="1"/>
        <v>5</v>
      </c>
      <c r="H13555" s="14">
        <f t="shared" si="2"/>
        <v>18</v>
      </c>
      <c r="I13555" s="15">
        <f t="shared" si="3"/>
        <v>19</v>
      </c>
    </row>
    <row r="13556">
      <c r="A13556" s="8" t="str">
        <f>IFERROR(__xludf.DUMMYFUNCTION("IF('(INGESTA)Datos_consumo_datadis'!A13556&lt;&gt;"""",SPLIT('(INGESTA)Datos_consumo_datadis'!A:A,"",""),"""")"),"ES0031408323131005HX0F")</f>
        <v>ES0031408323131005HX0F</v>
      </c>
      <c r="B13556" s="12">
        <f>IFERROR(__xludf.DUMMYFUNCTION("""COMPUTED_VALUE"""),45430.0)</f>
        <v>45430</v>
      </c>
      <c r="C13556" s="13">
        <f>IFERROR(__xludf.DUMMYFUNCTION("""COMPUTED_VALUE"""),0.8333333333333334)</f>
        <v>0.8333333333</v>
      </c>
      <c r="D13556" s="8">
        <f>IFERROR(__xludf.DUMMYFUNCTION("""COMPUTED_VALUE"""),0.078)</f>
        <v>0.078</v>
      </c>
      <c r="E13556" s="8" t="str">
        <f>IFERROR(__xludf.DUMMYFUNCTION("""COMPUTED_VALUE"""),"Real")</f>
        <v>Real</v>
      </c>
      <c r="G13556" s="8">
        <f t="shared" si="1"/>
        <v>5</v>
      </c>
      <c r="H13556" s="14">
        <f t="shared" si="2"/>
        <v>18</v>
      </c>
      <c r="I13556" s="15">
        <f t="shared" si="3"/>
        <v>20</v>
      </c>
    </row>
    <row r="13557">
      <c r="A13557" s="8" t="str">
        <f>IFERROR(__xludf.DUMMYFUNCTION("IF('(INGESTA)Datos_consumo_datadis'!A13557&lt;&gt;"""",SPLIT('(INGESTA)Datos_consumo_datadis'!A:A,"",""),"""")"),"ES0031408323131005HX0F")</f>
        <v>ES0031408323131005HX0F</v>
      </c>
      <c r="B13557" s="12">
        <f>IFERROR(__xludf.DUMMYFUNCTION("""COMPUTED_VALUE"""),45430.0)</f>
        <v>45430</v>
      </c>
      <c r="C13557" s="13">
        <f>IFERROR(__xludf.DUMMYFUNCTION("""COMPUTED_VALUE"""),0.875)</f>
        <v>0.875</v>
      </c>
      <c r="D13557" s="8">
        <f>IFERROR(__xludf.DUMMYFUNCTION("""COMPUTED_VALUE"""),0.046)</f>
        <v>0.046</v>
      </c>
      <c r="E13557" s="8" t="str">
        <f>IFERROR(__xludf.DUMMYFUNCTION("""COMPUTED_VALUE"""),"Real")</f>
        <v>Real</v>
      </c>
      <c r="G13557" s="8">
        <f t="shared" si="1"/>
        <v>5</v>
      </c>
      <c r="H13557" s="14">
        <f t="shared" si="2"/>
        <v>18</v>
      </c>
      <c r="I13557" s="15">
        <f t="shared" si="3"/>
        <v>21</v>
      </c>
    </row>
    <row r="13558">
      <c r="A13558" s="8" t="str">
        <f>IFERROR(__xludf.DUMMYFUNCTION("IF('(INGESTA)Datos_consumo_datadis'!A13558&lt;&gt;"""",SPLIT('(INGESTA)Datos_consumo_datadis'!A:A,"",""),"""")"),"ES0031408323131005HX0F")</f>
        <v>ES0031408323131005HX0F</v>
      </c>
      <c r="B13558" s="12">
        <f>IFERROR(__xludf.DUMMYFUNCTION("""COMPUTED_VALUE"""),45430.0)</f>
        <v>45430</v>
      </c>
      <c r="C13558" s="13">
        <f>IFERROR(__xludf.DUMMYFUNCTION("""COMPUTED_VALUE"""),0.9166666666666666)</f>
        <v>0.9166666667</v>
      </c>
      <c r="D13558" s="8">
        <f>IFERROR(__xludf.DUMMYFUNCTION("""COMPUTED_VALUE"""),0.078)</f>
        <v>0.078</v>
      </c>
      <c r="E13558" s="8" t="str">
        <f>IFERROR(__xludf.DUMMYFUNCTION("""COMPUTED_VALUE"""),"Real")</f>
        <v>Real</v>
      </c>
      <c r="G13558" s="8">
        <f t="shared" si="1"/>
        <v>5</v>
      </c>
      <c r="H13558" s="14">
        <f t="shared" si="2"/>
        <v>18</v>
      </c>
      <c r="I13558" s="15">
        <f t="shared" si="3"/>
        <v>22</v>
      </c>
    </row>
    <row r="13559">
      <c r="A13559" s="8" t="str">
        <f>IFERROR(__xludf.DUMMYFUNCTION("IF('(INGESTA)Datos_consumo_datadis'!A13559&lt;&gt;"""",SPLIT('(INGESTA)Datos_consumo_datadis'!A:A,"",""),"""")"),"ES0031408323131005HX0F")</f>
        <v>ES0031408323131005HX0F</v>
      </c>
      <c r="B13559" s="12">
        <f>IFERROR(__xludf.DUMMYFUNCTION("""COMPUTED_VALUE"""),45430.0)</f>
        <v>45430</v>
      </c>
      <c r="C13559" s="13">
        <f>IFERROR(__xludf.DUMMYFUNCTION("""COMPUTED_VALUE"""),0.9583333333333334)</f>
        <v>0.9583333333</v>
      </c>
      <c r="D13559" s="8">
        <f>IFERROR(__xludf.DUMMYFUNCTION("""COMPUTED_VALUE"""),0.046)</f>
        <v>0.046</v>
      </c>
      <c r="E13559" s="8" t="str">
        <f>IFERROR(__xludf.DUMMYFUNCTION("""COMPUTED_VALUE"""),"Real")</f>
        <v>Real</v>
      </c>
      <c r="G13559" s="8">
        <f t="shared" si="1"/>
        <v>5</v>
      </c>
      <c r="H13559" s="14">
        <f t="shared" si="2"/>
        <v>18</v>
      </c>
      <c r="I13559" s="15">
        <f t="shared" si="3"/>
        <v>23</v>
      </c>
    </row>
    <row r="13560">
      <c r="A13560" s="8" t="str">
        <f>IFERROR(__xludf.DUMMYFUNCTION("IF('(INGESTA)Datos_consumo_datadis'!A13560&lt;&gt;"""",SPLIT('(INGESTA)Datos_consumo_datadis'!A:A,"",""),"""")"),"ES0031408323131005HX0F")</f>
        <v>ES0031408323131005HX0F</v>
      </c>
      <c r="B13560" s="12">
        <f>IFERROR(__xludf.DUMMYFUNCTION("""COMPUTED_VALUE"""),45430.0)</f>
        <v>45430</v>
      </c>
      <c r="C13560" s="16">
        <f>IFERROR(__xludf.DUMMYFUNCTION("""COMPUTED_VALUE"""),1.0)</f>
        <v>1</v>
      </c>
      <c r="D13560" s="8">
        <f>IFERROR(__xludf.DUMMYFUNCTION("""COMPUTED_VALUE"""),0.418)</f>
        <v>0.418</v>
      </c>
      <c r="E13560" s="8" t="str">
        <f>IFERROR(__xludf.DUMMYFUNCTION("""COMPUTED_VALUE"""),"Real")</f>
        <v>Real</v>
      </c>
      <c r="G13560" s="8">
        <f t="shared" si="1"/>
        <v>5</v>
      </c>
      <c r="H13560" s="14">
        <f t="shared" si="2"/>
        <v>18</v>
      </c>
      <c r="I13560" s="15">
        <f t="shared" si="3"/>
        <v>0</v>
      </c>
    </row>
    <row r="13561">
      <c r="A13561" s="8" t="str">
        <f>IFERROR(__xludf.DUMMYFUNCTION("IF('(INGESTA)Datos_consumo_datadis'!A13561&lt;&gt;"""",SPLIT('(INGESTA)Datos_consumo_datadis'!A:A,"",""),"""")"),"ES0031408323131005HX0F")</f>
        <v>ES0031408323131005HX0F</v>
      </c>
      <c r="B13561" s="12">
        <f>IFERROR(__xludf.DUMMYFUNCTION("""COMPUTED_VALUE"""),45431.0)</f>
        <v>45431</v>
      </c>
      <c r="C13561" s="13">
        <f>IFERROR(__xludf.DUMMYFUNCTION("""COMPUTED_VALUE"""),0.041666666666666664)</f>
        <v>0.04166666667</v>
      </c>
      <c r="D13561" s="8">
        <f>IFERROR(__xludf.DUMMYFUNCTION("""COMPUTED_VALUE"""),0.047)</f>
        <v>0.047</v>
      </c>
      <c r="E13561" s="8" t="str">
        <f>IFERROR(__xludf.DUMMYFUNCTION("""COMPUTED_VALUE"""),"Real")</f>
        <v>Real</v>
      </c>
      <c r="G13561" s="8">
        <f t="shared" si="1"/>
        <v>5</v>
      </c>
      <c r="H13561" s="14">
        <f t="shared" si="2"/>
        <v>19</v>
      </c>
      <c r="I13561" s="15">
        <f t="shared" si="3"/>
        <v>1</v>
      </c>
    </row>
    <row r="13562">
      <c r="A13562" s="8" t="str">
        <f>IFERROR(__xludf.DUMMYFUNCTION("IF('(INGESTA)Datos_consumo_datadis'!A13562&lt;&gt;"""",SPLIT('(INGESTA)Datos_consumo_datadis'!A:A,"",""),"""")"),"ES0031408323131005HX0F")</f>
        <v>ES0031408323131005HX0F</v>
      </c>
      <c r="B13562" s="12">
        <f>IFERROR(__xludf.DUMMYFUNCTION("""COMPUTED_VALUE"""),45431.0)</f>
        <v>45431</v>
      </c>
      <c r="C13562" s="13">
        <f>IFERROR(__xludf.DUMMYFUNCTION("""COMPUTED_VALUE"""),0.08333333333333333)</f>
        <v>0.08333333333</v>
      </c>
      <c r="D13562" s="8">
        <f>IFERROR(__xludf.DUMMYFUNCTION("""COMPUTED_VALUE"""),0.079)</f>
        <v>0.079</v>
      </c>
      <c r="E13562" s="8" t="str">
        <f>IFERROR(__xludf.DUMMYFUNCTION("""COMPUTED_VALUE"""),"Real")</f>
        <v>Real</v>
      </c>
      <c r="G13562" s="8">
        <f t="shared" si="1"/>
        <v>5</v>
      </c>
      <c r="H13562" s="14">
        <f t="shared" si="2"/>
        <v>19</v>
      </c>
      <c r="I13562" s="15">
        <f t="shared" si="3"/>
        <v>2</v>
      </c>
    </row>
    <row r="13563">
      <c r="A13563" s="8" t="str">
        <f>IFERROR(__xludf.DUMMYFUNCTION("IF('(INGESTA)Datos_consumo_datadis'!A13563&lt;&gt;"""",SPLIT('(INGESTA)Datos_consumo_datadis'!A:A,"",""),"""")"),"ES0031408323131005HX0F")</f>
        <v>ES0031408323131005HX0F</v>
      </c>
      <c r="B13563" s="12">
        <f>IFERROR(__xludf.DUMMYFUNCTION("""COMPUTED_VALUE"""),45431.0)</f>
        <v>45431</v>
      </c>
      <c r="C13563" s="13">
        <f>IFERROR(__xludf.DUMMYFUNCTION("""COMPUTED_VALUE"""),0.125)</f>
        <v>0.125</v>
      </c>
      <c r="D13563" s="8">
        <f>IFERROR(__xludf.DUMMYFUNCTION("""COMPUTED_VALUE"""),0.043)</f>
        <v>0.043</v>
      </c>
      <c r="E13563" s="8" t="str">
        <f>IFERROR(__xludf.DUMMYFUNCTION("""COMPUTED_VALUE"""),"Real")</f>
        <v>Real</v>
      </c>
      <c r="G13563" s="8">
        <f t="shared" si="1"/>
        <v>5</v>
      </c>
      <c r="H13563" s="14">
        <f t="shared" si="2"/>
        <v>19</v>
      </c>
      <c r="I13563" s="15">
        <f t="shared" si="3"/>
        <v>3</v>
      </c>
    </row>
    <row r="13564">
      <c r="A13564" s="8" t="str">
        <f>IFERROR(__xludf.DUMMYFUNCTION("IF('(INGESTA)Datos_consumo_datadis'!A13564&lt;&gt;"""",SPLIT('(INGESTA)Datos_consumo_datadis'!A:A,"",""),"""")"),"ES0031408323131005HX0F")</f>
        <v>ES0031408323131005HX0F</v>
      </c>
      <c r="B13564" s="12">
        <f>IFERROR(__xludf.DUMMYFUNCTION("""COMPUTED_VALUE"""),45431.0)</f>
        <v>45431</v>
      </c>
      <c r="C13564" s="13">
        <f>IFERROR(__xludf.DUMMYFUNCTION("""COMPUTED_VALUE"""),0.16666666666666666)</f>
        <v>0.1666666667</v>
      </c>
      <c r="D13564" s="8">
        <f>IFERROR(__xludf.DUMMYFUNCTION("""COMPUTED_VALUE"""),0.084)</f>
        <v>0.084</v>
      </c>
      <c r="E13564" s="8" t="str">
        <f>IFERROR(__xludf.DUMMYFUNCTION("""COMPUTED_VALUE"""),"Real")</f>
        <v>Real</v>
      </c>
      <c r="G13564" s="8">
        <f t="shared" si="1"/>
        <v>5</v>
      </c>
      <c r="H13564" s="14">
        <f t="shared" si="2"/>
        <v>19</v>
      </c>
      <c r="I13564" s="15">
        <f t="shared" si="3"/>
        <v>4</v>
      </c>
    </row>
    <row r="13565">
      <c r="A13565" s="8" t="str">
        <f>IFERROR(__xludf.DUMMYFUNCTION("IF('(INGESTA)Datos_consumo_datadis'!A13565&lt;&gt;"""",SPLIT('(INGESTA)Datos_consumo_datadis'!A:A,"",""),"""")"),"ES0031408323131005HX0F")</f>
        <v>ES0031408323131005HX0F</v>
      </c>
      <c r="B13565" s="12">
        <f>IFERROR(__xludf.DUMMYFUNCTION("""COMPUTED_VALUE"""),45431.0)</f>
        <v>45431</v>
      </c>
      <c r="C13565" s="13">
        <f>IFERROR(__xludf.DUMMYFUNCTION("""COMPUTED_VALUE"""),0.20833333333333334)</f>
        <v>0.2083333333</v>
      </c>
      <c r="D13565" s="8">
        <f>IFERROR(__xludf.DUMMYFUNCTION("""COMPUTED_VALUE"""),0.039)</f>
        <v>0.039</v>
      </c>
      <c r="E13565" s="8" t="str">
        <f>IFERROR(__xludf.DUMMYFUNCTION("""COMPUTED_VALUE"""),"Real")</f>
        <v>Real</v>
      </c>
      <c r="G13565" s="8">
        <f t="shared" si="1"/>
        <v>5</v>
      </c>
      <c r="H13565" s="14">
        <f t="shared" si="2"/>
        <v>19</v>
      </c>
      <c r="I13565" s="15">
        <f t="shared" si="3"/>
        <v>5</v>
      </c>
    </row>
    <row r="13566">
      <c r="A13566" s="8" t="str">
        <f>IFERROR(__xludf.DUMMYFUNCTION("IF('(INGESTA)Datos_consumo_datadis'!A13566&lt;&gt;"""",SPLIT('(INGESTA)Datos_consumo_datadis'!A:A,"",""),"""")"),"ES0031408323131005HX0F")</f>
        <v>ES0031408323131005HX0F</v>
      </c>
      <c r="B13566" s="12">
        <f>IFERROR(__xludf.DUMMYFUNCTION("""COMPUTED_VALUE"""),45431.0)</f>
        <v>45431</v>
      </c>
      <c r="C13566" s="13">
        <f>IFERROR(__xludf.DUMMYFUNCTION("""COMPUTED_VALUE"""),0.25)</f>
        <v>0.25</v>
      </c>
      <c r="D13566" s="8">
        <f>IFERROR(__xludf.DUMMYFUNCTION("""COMPUTED_VALUE"""),0.087)</f>
        <v>0.087</v>
      </c>
      <c r="E13566" s="8" t="str">
        <f>IFERROR(__xludf.DUMMYFUNCTION("""COMPUTED_VALUE"""),"Real")</f>
        <v>Real</v>
      </c>
      <c r="G13566" s="8">
        <f t="shared" si="1"/>
        <v>5</v>
      </c>
      <c r="H13566" s="14">
        <f t="shared" si="2"/>
        <v>19</v>
      </c>
      <c r="I13566" s="15">
        <f t="shared" si="3"/>
        <v>6</v>
      </c>
    </row>
    <row r="13567">
      <c r="A13567" s="8" t="str">
        <f>IFERROR(__xludf.DUMMYFUNCTION("IF('(INGESTA)Datos_consumo_datadis'!A13567&lt;&gt;"""",SPLIT('(INGESTA)Datos_consumo_datadis'!A:A,"",""),"""")"),"ES0031408323131005HX0F")</f>
        <v>ES0031408323131005HX0F</v>
      </c>
      <c r="B13567" s="12">
        <f>IFERROR(__xludf.DUMMYFUNCTION("""COMPUTED_VALUE"""),45431.0)</f>
        <v>45431</v>
      </c>
      <c r="C13567" s="13">
        <f>IFERROR(__xludf.DUMMYFUNCTION("""COMPUTED_VALUE"""),0.2916666666666667)</f>
        <v>0.2916666667</v>
      </c>
      <c r="D13567" s="8">
        <f>IFERROR(__xludf.DUMMYFUNCTION("""COMPUTED_VALUE"""),0.321)</f>
        <v>0.321</v>
      </c>
      <c r="E13567" s="8" t="str">
        <f>IFERROR(__xludf.DUMMYFUNCTION("""COMPUTED_VALUE"""),"Real")</f>
        <v>Real</v>
      </c>
      <c r="G13567" s="8">
        <f t="shared" si="1"/>
        <v>5</v>
      </c>
      <c r="H13567" s="14">
        <f t="shared" si="2"/>
        <v>19</v>
      </c>
      <c r="I13567" s="15">
        <f t="shared" si="3"/>
        <v>7</v>
      </c>
    </row>
    <row r="13568">
      <c r="A13568" s="8" t="str">
        <f>IFERROR(__xludf.DUMMYFUNCTION("IF('(INGESTA)Datos_consumo_datadis'!A13568&lt;&gt;"""",SPLIT('(INGESTA)Datos_consumo_datadis'!A:A,"",""),"""")"),"ES0031408323131005HX0F")</f>
        <v>ES0031408323131005HX0F</v>
      </c>
      <c r="B13568" s="12">
        <f>IFERROR(__xludf.DUMMYFUNCTION("""COMPUTED_VALUE"""),45431.0)</f>
        <v>45431</v>
      </c>
      <c r="C13568" s="13">
        <f>IFERROR(__xludf.DUMMYFUNCTION("""COMPUTED_VALUE"""),0.3333333333333333)</f>
        <v>0.3333333333</v>
      </c>
      <c r="D13568" s="8">
        <f>IFERROR(__xludf.DUMMYFUNCTION("""COMPUTED_VALUE"""),0.114)</f>
        <v>0.114</v>
      </c>
      <c r="E13568" s="8" t="str">
        <f>IFERROR(__xludf.DUMMYFUNCTION("""COMPUTED_VALUE"""),"Real")</f>
        <v>Real</v>
      </c>
      <c r="G13568" s="8">
        <f t="shared" si="1"/>
        <v>5</v>
      </c>
      <c r="H13568" s="14">
        <f t="shared" si="2"/>
        <v>19</v>
      </c>
      <c r="I13568" s="15">
        <f t="shared" si="3"/>
        <v>8</v>
      </c>
    </row>
    <row r="13569">
      <c r="A13569" s="8" t="str">
        <f>IFERROR(__xludf.DUMMYFUNCTION("IF('(INGESTA)Datos_consumo_datadis'!A13569&lt;&gt;"""",SPLIT('(INGESTA)Datos_consumo_datadis'!A:A,"",""),"""")"),"ES0031408323131005HX0F")</f>
        <v>ES0031408323131005HX0F</v>
      </c>
      <c r="B13569" s="12">
        <f>IFERROR(__xludf.DUMMYFUNCTION("""COMPUTED_VALUE"""),45431.0)</f>
        <v>45431</v>
      </c>
      <c r="C13569" s="13">
        <f>IFERROR(__xludf.DUMMYFUNCTION("""COMPUTED_VALUE"""),0.375)</f>
        <v>0.375</v>
      </c>
      <c r="D13569" s="8">
        <f>IFERROR(__xludf.DUMMYFUNCTION("""COMPUTED_VALUE"""),0.052)</f>
        <v>0.052</v>
      </c>
      <c r="E13569" s="8" t="str">
        <f>IFERROR(__xludf.DUMMYFUNCTION("""COMPUTED_VALUE"""),"Real")</f>
        <v>Real</v>
      </c>
      <c r="G13569" s="8">
        <f t="shared" si="1"/>
        <v>5</v>
      </c>
      <c r="H13569" s="14">
        <f t="shared" si="2"/>
        <v>19</v>
      </c>
      <c r="I13569" s="15">
        <f t="shared" si="3"/>
        <v>9</v>
      </c>
    </row>
    <row r="13570">
      <c r="A13570" s="8" t="str">
        <f>IFERROR(__xludf.DUMMYFUNCTION("IF('(INGESTA)Datos_consumo_datadis'!A13570&lt;&gt;"""",SPLIT('(INGESTA)Datos_consumo_datadis'!A:A,"",""),"""")"),"ES0031408323131005HX0F")</f>
        <v>ES0031408323131005HX0F</v>
      </c>
      <c r="B13570" s="12">
        <f>IFERROR(__xludf.DUMMYFUNCTION("""COMPUTED_VALUE"""),45431.0)</f>
        <v>45431</v>
      </c>
      <c r="C13570" s="13">
        <f>IFERROR(__xludf.DUMMYFUNCTION("""COMPUTED_VALUE"""),0.4166666666666667)</f>
        <v>0.4166666667</v>
      </c>
      <c r="D13570" s="8">
        <f>IFERROR(__xludf.DUMMYFUNCTION("""COMPUTED_VALUE"""),0.103)</f>
        <v>0.103</v>
      </c>
      <c r="E13570" s="8" t="str">
        <f>IFERROR(__xludf.DUMMYFUNCTION("""COMPUTED_VALUE"""),"Real")</f>
        <v>Real</v>
      </c>
      <c r="G13570" s="8">
        <f t="shared" si="1"/>
        <v>5</v>
      </c>
      <c r="H13570" s="14">
        <f t="shared" si="2"/>
        <v>19</v>
      </c>
      <c r="I13570" s="15">
        <f t="shared" si="3"/>
        <v>10</v>
      </c>
    </row>
    <row r="13571">
      <c r="A13571" s="8" t="str">
        <f>IFERROR(__xludf.DUMMYFUNCTION("IF('(INGESTA)Datos_consumo_datadis'!A13571&lt;&gt;"""",SPLIT('(INGESTA)Datos_consumo_datadis'!A:A,"",""),"""")"),"ES0031408323131005HX0F")</f>
        <v>ES0031408323131005HX0F</v>
      </c>
      <c r="B13571" s="12">
        <f>IFERROR(__xludf.DUMMYFUNCTION("""COMPUTED_VALUE"""),45431.0)</f>
        <v>45431</v>
      </c>
      <c r="C13571" s="13">
        <f>IFERROR(__xludf.DUMMYFUNCTION("""COMPUTED_VALUE"""),0.4583333333333333)</f>
        <v>0.4583333333</v>
      </c>
      <c r="D13571" s="8">
        <f>IFERROR(__xludf.DUMMYFUNCTION("""COMPUTED_VALUE"""),0.049)</f>
        <v>0.049</v>
      </c>
      <c r="E13571" s="8" t="str">
        <f>IFERROR(__xludf.DUMMYFUNCTION("""COMPUTED_VALUE"""),"Real")</f>
        <v>Real</v>
      </c>
      <c r="G13571" s="8">
        <f t="shared" si="1"/>
        <v>5</v>
      </c>
      <c r="H13571" s="14">
        <f t="shared" si="2"/>
        <v>19</v>
      </c>
      <c r="I13571" s="15">
        <f t="shared" si="3"/>
        <v>11</v>
      </c>
    </row>
    <row r="13572">
      <c r="A13572" s="8" t="str">
        <f>IFERROR(__xludf.DUMMYFUNCTION("IF('(INGESTA)Datos_consumo_datadis'!A13572&lt;&gt;"""",SPLIT('(INGESTA)Datos_consumo_datadis'!A:A,"",""),"""")"),"ES0031408323131005HX0F")</f>
        <v>ES0031408323131005HX0F</v>
      </c>
      <c r="B13572" s="12">
        <f>IFERROR(__xludf.DUMMYFUNCTION("""COMPUTED_VALUE"""),45431.0)</f>
        <v>45431</v>
      </c>
      <c r="C13572" s="13">
        <f>IFERROR(__xludf.DUMMYFUNCTION("""COMPUTED_VALUE"""),0.5)</f>
        <v>0.5</v>
      </c>
      <c r="D13572" s="8">
        <f>IFERROR(__xludf.DUMMYFUNCTION("""COMPUTED_VALUE"""),0.134)</f>
        <v>0.134</v>
      </c>
      <c r="E13572" s="8" t="str">
        <f>IFERROR(__xludf.DUMMYFUNCTION("""COMPUTED_VALUE"""),"Real")</f>
        <v>Real</v>
      </c>
      <c r="G13572" s="8">
        <f t="shared" si="1"/>
        <v>5</v>
      </c>
      <c r="H13572" s="14">
        <f t="shared" si="2"/>
        <v>19</v>
      </c>
      <c r="I13572" s="15">
        <f t="shared" si="3"/>
        <v>12</v>
      </c>
    </row>
    <row r="13573">
      <c r="A13573" s="8" t="str">
        <f>IFERROR(__xludf.DUMMYFUNCTION("IF('(INGESTA)Datos_consumo_datadis'!A13573&lt;&gt;"""",SPLIT('(INGESTA)Datos_consumo_datadis'!A:A,"",""),"""")"),"ES0031408323131005HX0F")</f>
        <v>ES0031408323131005HX0F</v>
      </c>
      <c r="B13573" s="12">
        <f>IFERROR(__xludf.DUMMYFUNCTION("""COMPUTED_VALUE"""),45431.0)</f>
        <v>45431</v>
      </c>
      <c r="C13573" s="13">
        <f>IFERROR(__xludf.DUMMYFUNCTION("""COMPUTED_VALUE"""),0.5416666666666666)</f>
        <v>0.5416666667</v>
      </c>
      <c r="D13573" s="8">
        <f>IFERROR(__xludf.DUMMYFUNCTION("""COMPUTED_VALUE"""),1.204)</f>
        <v>1.204</v>
      </c>
      <c r="E13573" s="8" t="str">
        <f>IFERROR(__xludf.DUMMYFUNCTION("""COMPUTED_VALUE"""),"Real")</f>
        <v>Real</v>
      </c>
      <c r="G13573" s="8">
        <f t="shared" si="1"/>
        <v>5</v>
      </c>
      <c r="H13573" s="14">
        <f t="shared" si="2"/>
        <v>19</v>
      </c>
      <c r="I13573" s="15">
        <f t="shared" si="3"/>
        <v>13</v>
      </c>
    </row>
    <row r="13574">
      <c r="A13574" s="8" t="str">
        <f>IFERROR(__xludf.DUMMYFUNCTION("IF('(INGESTA)Datos_consumo_datadis'!A13574&lt;&gt;"""",SPLIT('(INGESTA)Datos_consumo_datadis'!A:A,"",""),"""")"),"ES0031408323131005HX0F")</f>
        <v>ES0031408323131005HX0F</v>
      </c>
      <c r="B13574" s="12">
        <f>IFERROR(__xludf.DUMMYFUNCTION("""COMPUTED_VALUE"""),45431.0)</f>
        <v>45431</v>
      </c>
      <c r="C13574" s="13">
        <f>IFERROR(__xludf.DUMMYFUNCTION("""COMPUTED_VALUE"""),0.5833333333333334)</f>
        <v>0.5833333333</v>
      </c>
      <c r="D13574" s="8">
        <f>IFERROR(__xludf.DUMMYFUNCTION("""COMPUTED_VALUE"""),0.832)</f>
        <v>0.832</v>
      </c>
      <c r="E13574" s="8" t="str">
        <f>IFERROR(__xludf.DUMMYFUNCTION("""COMPUTED_VALUE"""),"Real")</f>
        <v>Real</v>
      </c>
      <c r="G13574" s="8">
        <f t="shared" si="1"/>
        <v>5</v>
      </c>
      <c r="H13574" s="14">
        <f t="shared" si="2"/>
        <v>19</v>
      </c>
      <c r="I13574" s="15">
        <f t="shared" si="3"/>
        <v>14</v>
      </c>
    </row>
    <row r="13575">
      <c r="A13575" s="8" t="str">
        <f>IFERROR(__xludf.DUMMYFUNCTION("IF('(INGESTA)Datos_consumo_datadis'!A13575&lt;&gt;"""",SPLIT('(INGESTA)Datos_consumo_datadis'!A:A,"",""),"""")"),"ES0031408323131005HX0F")</f>
        <v>ES0031408323131005HX0F</v>
      </c>
      <c r="B13575" s="12">
        <f>IFERROR(__xludf.DUMMYFUNCTION("""COMPUTED_VALUE"""),45431.0)</f>
        <v>45431</v>
      </c>
      <c r="C13575" s="13">
        <f>IFERROR(__xludf.DUMMYFUNCTION("""COMPUTED_VALUE"""),0.625)</f>
        <v>0.625</v>
      </c>
      <c r="D13575" s="8">
        <f>IFERROR(__xludf.DUMMYFUNCTION("""COMPUTED_VALUE"""),0.21)</f>
        <v>0.21</v>
      </c>
      <c r="E13575" s="8" t="str">
        <f>IFERROR(__xludf.DUMMYFUNCTION("""COMPUTED_VALUE"""),"Real")</f>
        <v>Real</v>
      </c>
      <c r="G13575" s="8">
        <f t="shared" si="1"/>
        <v>5</v>
      </c>
      <c r="H13575" s="14">
        <f t="shared" si="2"/>
        <v>19</v>
      </c>
      <c r="I13575" s="15">
        <f t="shared" si="3"/>
        <v>15</v>
      </c>
    </row>
    <row r="13576">
      <c r="A13576" s="8" t="str">
        <f>IFERROR(__xludf.DUMMYFUNCTION("IF('(INGESTA)Datos_consumo_datadis'!A13576&lt;&gt;"""",SPLIT('(INGESTA)Datos_consumo_datadis'!A:A,"",""),"""")"),"ES0031408323131005HX0F")</f>
        <v>ES0031408323131005HX0F</v>
      </c>
      <c r="B13576" s="12">
        <f>IFERROR(__xludf.DUMMYFUNCTION("""COMPUTED_VALUE"""),45431.0)</f>
        <v>45431</v>
      </c>
      <c r="C13576" s="13">
        <f>IFERROR(__xludf.DUMMYFUNCTION("""COMPUTED_VALUE"""),0.6666666666666666)</f>
        <v>0.6666666667</v>
      </c>
      <c r="D13576" s="8">
        <f>IFERROR(__xludf.DUMMYFUNCTION("""COMPUTED_VALUE"""),0.053)</f>
        <v>0.053</v>
      </c>
      <c r="E13576" s="8" t="str">
        <f>IFERROR(__xludf.DUMMYFUNCTION("""COMPUTED_VALUE"""),"Real")</f>
        <v>Real</v>
      </c>
      <c r="G13576" s="8">
        <f t="shared" si="1"/>
        <v>5</v>
      </c>
      <c r="H13576" s="14">
        <f t="shared" si="2"/>
        <v>19</v>
      </c>
      <c r="I13576" s="15">
        <f t="shared" si="3"/>
        <v>16</v>
      </c>
    </row>
    <row r="13577">
      <c r="A13577" s="8" t="str">
        <f>IFERROR(__xludf.DUMMYFUNCTION("IF('(INGESTA)Datos_consumo_datadis'!A13577&lt;&gt;"""",SPLIT('(INGESTA)Datos_consumo_datadis'!A:A,"",""),"""")"),"ES0031408323131005HX0F")</f>
        <v>ES0031408323131005HX0F</v>
      </c>
      <c r="B13577" s="12">
        <f>IFERROR(__xludf.DUMMYFUNCTION("""COMPUTED_VALUE"""),45431.0)</f>
        <v>45431</v>
      </c>
      <c r="C13577" s="13">
        <f>IFERROR(__xludf.DUMMYFUNCTION("""COMPUTED_VALUE"""),0.7083333333333334)</f>
        <v>0.7083333333</v>
      </c>
      <c r="D13577" s="8">
        <f>IFERROR(__xludf.DUMMYFUNCTION("""COMPUTED_VALUE"""),0.102)</f>
        <v>0.102</v>
      </c>
      <c r="E13577" s="8" t="str">
        <f>IFERROR(__xludf.DUMMYFUNCTION("""COMPUTED_VALUE"""),"Real")</f>
        <v>Real</v>
      </c>
      <c r="G13577" s="8">
        <f t="shared" si="1"/>
        <v>5</v>
      </c>
      <c r="H13577" s="14">
        <f t="shared" si="2"/>
        <v>19</v>
      </c>
      <c r="I13577" s="15">
        <f t="shared" si="3"/>
        <v>17</v>
      </c>
    </row>
    <row r="13578">
      <c r="A13578" s="8" t="str">
        <f>IFERROR(__xludf.DUMMYFUNCTION("IF('(INGESTA)Datos_consumo_datadis'!A13578&lt;&gt;"""",SPLIT('(INGESTA)Datos_consumo_datadis'!A:A,"",""),"""")"),"ES0031408323131005HX0F")</f>
        <v>ES0031408323131005HX0F</v>
      </c>
      <c r="B13578" s="12">
        <f>IFERROR(__xludf.DUMMYFUNCTION("""COMPUTED_VALUE"""),45431.0)</f>
        <v>45431</v>
      </c>
      <c r="C13578" s="13">
        <f>IFERROR(__xludf.DUMMYFUNCTION("""COMPUTED_VALUE"""),0.75)</f>
        <v>0.75</v>
      </c>
      <c r="D13578" s="8">
        <f>IFERROR(__xludf.DUMMYFUNCTION("""COMPUTED_VALUE"""),0.194)</f>
        <v>0.194</v>
      </c>
      <c r="E13578" s="8" t="str">
        <f>IFERROR(__xludf.DUMMYFUNCTION("""COMPUTED_VALUE"""),"Real")</f>
        <v>Real</v>
      </c>
      <c r="G13578" s="8">
        <f t="shared" si="1"/>
        <v>5</v>
      </c>
      <c r="H13578" s="14">
        <f t="shared" si="2"/>
        <v>19</v>
      </c>
      <c r="I13578" s="15">
        <f t="shared" si="3"/>
        <v>18</v>
      </c>
    </row>
    <row r="13579">
      <c r="A13579" s="8" t="str">
        <f>IFERROR(__xludf.DUMMYFUNCTION("IF('(INGESTA)Datos_consumo_datadis'!A13579&lt;&gt;"""",SPLIT('(INGESTA)Datos_consumo_datadis'!A:A,"",""),"""")"),"ES0031408323131005HX0F")</f>
        <v>ES0031408323131005HX0F</v>
      </c>
      <c r="B13579" s="12">
        <f>IFERROR(__xludf.DUMMYFUNCTION("""COMPUTED_VALUE"""),45431.0)</f>
        <v>45431</v>
      </c>
      <c r="C13579" s="13">
        <f>IFERROR(__xludf.DUMMYFUNCTION("""COMPUTED_VALUE"""),0.7916666666666666)</f>
        <v>0.7916666667</v>
      </c>
      <c r="D13579" s="8">
        <f>IFERROR(__xludf.DUMMYFUNCTION("""COMPUTED_VALUE"""),0.304)</f>
        <v>0.304</v>
      </c>
      <c r="E13579" s="8" t="str">
        <f>IFERROR(__xludf.DUMMYFUNCTION("""COMPUTED_VALUE"""),"Real")</f>
        <v>Real</v>
      </c>
      <c r="G13579" s="8">
        <f t="shared" si="1"/>
        <v>5</v>
      </c>
      <c r="H13579" s="14">
        <f t="shared" si="2"/>
        <v>19</v>
      </c>
      <c r="I13579" s="15">
        <f t="shared" si="3"/>
        <v>19</v>
      </c>
    </row>
    <row r="13580">
      <c r="A13580" s="8" t="str">
        <f>IFERROR(__xludf.DUMMYFUNCTION("IF('(INGESTA)Datos_consumo_datadis'!A13580&lt;&gt;"""",SPLIT('(INGESTA)Datos_consumo_datadis'!A:A,"",""),"""")"),"ES0031408323131005HX0F")</f>
        <v>ES0031408323131005HX0F</v>
      </c>
      <c r="B13580" s="12">
        <f>IFERROR(__xludf.DUMMYFUNCTION("""COMPUTED_VALUE"""),45431.0)</f>
        <v>45431</v>
      </c>
      <c r="C13580" s="13">
        <f>IFERROR(__xludf.DUMMYFUNCTION("""COMPUTED_VALUE"""),0.8333333333333334)</f>
        <v>0.8333333333</v>
      </c>
      <c r="D13580" s="8">
        <f>IFERROR(__xludf.DUMMYFUNCTION("""COMPUTED_VALUE"""),0.303)</f>
        <v>0.303</v>
      </c>
      <c r="E13580" s="8" t="str">
        <f>IFERROR(__xludf.DUMMYFUNCTION("""COMPUTED_VALUE"""),"Real")</f>
        <v>Real</v>
      </c>
      <c r="G13580" s="8">
        <f t="shared" si="1"/>
        <v>5</v>
      </c>
      <c r="H13580" s="14">
        <f t="shared" si="2"/>
        <v>19</v>
      </c>
      <c r="I13580" s="15">
        <f t="shared" si="3"/>
        <v>20</v>
      </c>
    </row>
    <row r="13581">
      <c r="A13581" s="8" t="str">
        <f>IFERROR(__xludf.DUMMYFUNCTION("IF('(INGESTA)Datos_consumo_datadis'!A13581&lt;&gt;"""",SPLIT('(INGESTA)Datos_consumo_datadis'!A:A,"",""),"""")"),"ES0031408323131005HX0F")</f>
        <v>ES0031408323131005HX0F</v>
      </c>
      <c r="B13581" s="12">
        <f>IFERROR(__xludf.DUMMYFUNCTION("""COMPUTED_VALUE"""),45431.0)</f>
        <v>45431</v>
      </c>
      <c r="C13581" s="13">
        <f>IFERROR(__xludf.DUMMYFUNCTION("""COMPUTED_VALUE"""),0.875)</f>
        <v>0.875</v>
      </c>
      <c r="D13581" s="8">
        <f>IFERROR(__xludf.DUMMYFUNCTION("""COMPUTED_VALUE"""),0.072)</f>
        <v>0.072</v>
      </c>
      <c r="E13581" s="8" t="str">
        <f>IFERROR(__xludf.DUMMYFUNCTION("""COMPUTED_VALUE"""),"Real")</f>
        <v>Real</v>
      </c>
      <c r="G13581" s="8">
        <f t="shared" si="1"/>
        <v>5</v>
      </c>
      <c r="H13581" s="14">
        <f t="shared" si="2"/>
        <v>19</v>
      </c>
      <c r="I13581" s="15">
        <f t="shared" si="3"/>
        <v>21</v>
      </c>
    </row>
    <row r="13582">
      <c r="A13582" s="8" t="str">
        <f>IFERROR(__xludf.DUMMYFUNCTION("IF('(INGESTA)Datos_consumo_datadis'!A13582&lt;&gt;"""",SPLIT('(INGESTA)Datos_consumo_datadis'!A:A,"",""),"""")"),"ES0031408323131005HX0F")</f>
        <v>ES0031408323131005HX0F</v>
      </c>
      <c r="B13582" s="12">
        <f>IFERROR(__xludf.DUMMYFUNCTION("""COMPUTED_VALUE"""),45431.0)</f>
        <v>45431</v>
      </c>
      <c r="C13582" s="13">
        <f>IFERROR(__xludf.DUMMYFUNCTION("""COMPUTED_VALUE"""),0.9166666666666666)</f>
        <v>0.9166666667</v>
      </c>
      <c r="D13582" s="8">
        <f>IFERROR(__xludf.DUMMYFUNCTION("""COMPUTED_VALUE"""),0.61)</f>
        <v>0.61</v>
      </c>
      <c r="E13582" s="8" t="str">
        <f>IFERROR(__xludf.DUMMYFUNCTION("""COMPUTED_VALUE"""),"Real")</f>
        <v>Real</v>
      </c>
      <c r="G13582" s="8">
        <f t="shared" si="1"/>
        <v>5</v>
      </c>
      <c r="H13582" s="14">
        <f t="shared" si="2"/>
        <v>19</v>
      </c>
      <c r="I13582" s="15">
        <f t="shared" si="3"/>
        <v>22</v>
      </c>
    </row>
    <row r="13583">
      <c r="A13583" s="8" t="str">
        <f>IFERROR(__xludf.DUMMYFUNCTION("IF('(INGESTA)Datos_consumo_datadis'!A13583&lt;&gt;"""",SPLIT('(INGESTA)Datos_consumo_datadis'!A:A,"",""),"""")"),"ES0031408323131005HX0F")</f>
        <v>ES0031408323131005HX0F</v>
      </c>
      <c r="B13583" s="12">
        <f>IFERROR(__xludf.DUMMYFUNCTION("""COMPUTED_VALUE"""),45431.0)</f>
        <v>45431</v>
      </c>
      <c r="C13583" s="13">
        <f>IFERROR(__xludf.DUMMYFUNCTION("""COMPUTED_VALUE"""),0.9583333333333334)</f>
        <v>0.9583333333</v>
      </c>
      <c r="D13583" s="8">
        <f>IFERROR(__xludf.DUMMYFUNCTION("""COMPUTED_VALUE"""),0.834)</f>
        <v>0.834</v>
      </c>
      <c r="E13583" s="8" t="str">
        <f>IFERROR(__xludf.DUMMYFUNCTION("""COMPUTED_VALUE"""),"Real")</f>
        <v>Real</v>
      </c>
      <c r="G13583" s="8">
        <f t="shared" si="1"/>
        <v>5</v>
      </c>
      <c r="H13583" s="14">
        <f t="shared" si="2"/>
        <v>19</v>
      </c>
      <c r="I13583" s="15">
        <f t="shared" si="3"/>
        <v>23</v>
      </c>
    </row>
    <row r="13584">
      <c r="A13584" s="8" t="str">
        <f>IFERROR(__xludf.DUMMYFUNCTION("IF('(INGESTA)Datos_consumo_datadis'!A13584&lt;&gt;"""",SPLIT('(INGESTA)Datos_consumo_datadis'!A:A,"",""),"""")"),"ES0031408323131005HX0F")</f>
        <v>ES0031408323131005HX0F</v>
      </c>
      <c r="B13584" s="12">
        <f>IFERROR(__xludf.DUMMYFUNCTION("""COMPUTED_VALUE"""),45431.0)</f>
        <v>45431</v>
      </c>
      <c r="C13584" s="16">
        <f>IFERROR(__xludf.DUMMYFUNCTION("""COMPUTED_VALUE"""),1.0)</f>
        <v>1</v>
      </c>
      <c r="D13584" s="8">
        <f>IFERROR(__xludf.DUMMYFUNCTION("""COMPUTED_VALUE"""),0.695)</f>
        <v>0.695</v>
      </c>
      <c r="E13584" s="8" t="str">
        <f>IFERROR(__xludf.DUMMYFUNCTION("""COMPUTED_VALUE"""),"Real")</f>
        <v>Real</v>
      </c>
      <c r="G13584" s="8">
        <f t="shared" si="1"/>
        <v>5</v>
      </c>
      <c r="H13584" s="14">
        <f t="shared" si="2"/>
        <v>19</v>
      </c>
      <c r="I13584" s="15">
        <f t="shared" si="3"/>
        <v>0</v>
      </c>
    </row>
    <row r="13585">
      <c r="A13585" s="8" t="str">
        <f>IFERROR(__xludf.DUMMYFUNCTION("IF('(INGESTA)Datos_consumo_datadis'!A13585&lt;&gt;"""",SPLIT('(INGESTA)Datos_consumo_datadis'!A:A,"",""),"""")"),"ES0031408323131005HX0F")</f>
        <v>ES0031408323131005HX0F</v>
      </c>
      <c r="B13585" s="12">
        <f>IFERROR(__xludf.DUMMYFUNCTION("""COMPUTED_VALUE"""),45432.0)</f>
        <v>45432</v>
      </c>
      <c r="C13585" s="13">
        <f>IFERROR(__xludf.DUMMYFUNCTION("""COMPUTED_VALUE"""),0.041666666666666664)</f>
        <v>0.04166666667</v>
      </c>
      <c r="D13585" s="8">
        <f>IFERROR(__xludf.DUMMYFUNCTION("""COMPUTED_VALUE"""),0.202)</f>
        <v>0.202</v>
      </c>
      <c r="E13585" s="8" t="str">
        <f>IFERROR(__xludf.DUMMYFUNCTION("""COMPUTED_VALUE"""),"Real")</f>
        <v>Real</v>
      </c>
      <c r="G13585" s="8">
        <f t="shared" si="1"/>
        <v>5</v>
      </c>
      <c r="H13585" s="14">
        <f t="shared" si="2"/>
        <v>20</v>
      </c>
      <c r="I13585" s="15">
        <f t="shared" si="3"/>
        <v>1</v>
      </c>
    </row>
    <row r="13586">
      <c r="A13586" s="8" t="str">
        <f>IFERROR(__xludf.DUMMYFUNCTION("IF('(INGESTA)Datos_consumo_datadis'!A13586&lt;&gt;"""",SPLIT('(INGESTA)Datos_consumo_datadis'!A:A,"",""),"""")"),"ES0031408323131005HX0F")</f>
        <v>ES0031408323131005HX0F</v>
      </c>
      <c r="B13586" s="12">
        <f>IFERROR(__xludf.DUMMYFUNCTION("""COMPUTED_VALUE"""),45432.0)</f>
        <v>45432</v>
      </c>
      <c r="C13586" s="13">
        <f>IFERROR(__xludf.DUMMYFUNCTION("""COMPUTED_VALUE"""),0.08333333333333333)</f>
        <v>0.08333333333</v>
      </c>
      <c r="D13586" s="8">
        <f>IFERROR(__xludf.DUMMYFUNCTION("""COMPUTED_VALUE"""),0.463)</f>
        <v>0.463</v>
      </c>
      <c r="E13586" s="8" t="str">
        <f>IFERROR(__xludf.DUMMYFUNCTION("""COMPUTED_VALUE"""),"Real")</f>
        <v>Real</v>
      </c>
      <c r="G13586" s="8">
        <f t="shared" si="1"/>
        <v>5</v>
      </c>
      <c r="H13586" s="14">
        <f t="shared" si="2"/>
        <v>20</v>
      </c>
      <c r="I13586" s="15">
        <f t="shared" si="3"/>
        <v>2</v>
      </c>
    </row>
    <row r="13587">
      <c r="A13587" s="8" t="str">
        <f>IFERROR(__xludf.DUMMYFUNCTION("IF('(INGESTA)Datos_consumo_datadis'!A13587&lt;&gt;"""",SPLIT('(INGESTA)Datos_consumo_datadis'!A:A,"",""),"""")"),"ES0031408323131005HX0F")</f>
        <v>ES0031408323131005HX0F</v>
      </c>
      <c r="B13587" s="12">
        <f>IFERROR(__xludf.DUMMYFUNCTION("""COMPUTED_VALUE"""),45432.0)</f>
        <v>45432</v>
      </c>
      <c r="C13587" s="13">
        <f>IFERROR(__xludf.DUMMYFUNCTION("""COMPUTED_VALUE"""),0.125)</f>
        <v>0.125</v>
      </c>
      <c r="D13587" s="8">
        <f>IFERROR(__xludf.DUMMYFUNCTION("""COMPUTED_VALUE"""),0.176)</f>
        <v>0.176</v>
      </c>
      <c r="E13587" s="8" t="str">
        <f>IFERROR(__xludf.DUMMYFUNCTION("""COMPUTED_VALUE"""),"Real")</f>
        <v>Real</v>
      </c>
      <c r="G13587" s="8">
        <f t="shared" si="1"/>
        <v>5</v>
      </c>
      <c r="H13587" s="14">
        <f t="shared" si="2"/>
        <v>20</v>
      </c>
      <c r="I13587" s="15">
        <f t="shared" si="3"/>
        <v>3</v>
      </c>
    </row>
    <row r="13588">
      <c r="A13588" s="8" t="str">
        <f>IFERROR(__xludf.DUMMYFUNCTION("IF('(INGESTA)Datos_consumo_datadis'!A13588&lt;&gt;"""",SPLIT('(INGESTA)Datos_consumo_datadis'!A:A,"",""),"""")"),"ES0031408323131005HX0F")</f>
        <v>ES0031408323131005HX0F</v>
      </c>
      <c r="B13588" s="12">
        <f>IFERROR(__xludf.DUMMYFUNCTION("""COMPUTED_VALUE"""),45432.0)</f>
        <v>45432</v>
      </c>
      <c r="C13588" s="13">
        <f>IFERROR(__xludf.DUMMYFUNCTION("""COMPUTED_VALUE"""),0.16666666666666666)</f>
        <v>0.1666666667</v>
      </c>
      <c r="D13588" s="8">
        <f>IFERROR(__xludf.DUMMYFUNCTION("""COMPUTED_VALUE"""),0.241)</f>
        <v>0.241</v>
      </c>
      <c r="E13588" s="8" t="str">
        <f>IFERROR(__xludf.DUMMYFUNCTION("""COMPUTED_VALUE"""),"Real")</f>
        <v>Real</v>
      </c>
      <c r="G13588" s="8">
        <f t="shared" si="1"/>
        <v>5</v>
      </c>
      <c r="H13588" s="14">
        <f t="shared" si="2"/>
        <v>20</v>
      </c>
      <c r="I13588" s="15">
        <f t="shared" si="3"/>
        <v>4</v>
      </c>
    </row>
    <row r="13589">
      <c r="A13589" s="8" t="str">
        <f>IFERROR(__xludf.DUMMYFUNCTION("IF('(INGESTA)Datos_consumo_datadis'!A13589&lt;&gt;"""",SPLIT('(INGESTA)Datos_consumo_datadis'!A:A,"",""),"""")"),"ES0031408323131005HX0F")</f>
        <v>ES0031408323131005HX0F</v>
      </c>
      <c r="B13589" s="12">
        <f>IFERROR(__xludf.DUMMYFUNCTION("""COMPUTED_VALUE"""),45432.0)</f>
        <v>45432</v>
      </c>
      <c r="C13589" s="13">
        <f>IFERROR(__xludf.DUMMYFUNCTION("""COMPUTED_VALUE"""),0.20833333333333334)</f>
        <v>0.2083333333</v>
      </c>
      <c r="D13589" s="8">
        <f>IFERROR(__xludf.DUMMYFUNCTION("""COMPUTED_VALUE"""),0.047)</f>
        <v>0.047</v>
      </c>
      <c r="E13589" s="8" t="str">
        <f>IFERROR(__xludf.DUMMYFUNCTION("""COMPUTED_VALUE"""),"Real")</f>
        <v>Real</v>
      </c>
      <c r="G13589" s="8">
        <f t="shared" si="1"/>
        <v>5</v>
      </c>
      <c r="H13589" s="14">
        <f t="shared" si="2"/>
        <v>20</v>
      </c>
      <c r="I13589" s="15">
        <f t="shared" si="3"/>
        <v>5</v>
      </c>
    </row>
    <row r="13590">
      <c r="A13590" s="8" t="str">
        <f>IFERROR(__xludf.DUMMYFUNCTION("IF('(INGESTA)Datos_consumo_datadis'!A13590&lt;&gt;"""",SPLIT('(INGESTA)Datos_consumo_datadis'!A:A,"",""),"""")"),"ES0031408323131005HX0F")</f>
        <v>ES0031408323131005HX0F</v>
      </c>
      <c r="B13590" s="12">
        <f>IFERROR(__xludf.DUMMYFUNCTION("""COMPUTED_VALUE"""),45432.0)</f>
        <v>45432</v>
      </c>
      <c r="C13590" s="13">
        <f>IFERROR(__xludf.DUMMYFUNCTION("""COMPUTED_VALUE"""),0.25)</f>
        <v>0.25</v>
      </c>
      <c r="D13590" s="8">
        <f>IFERROR(__xludf.DUMMYFUNCTION("""COMPUTED_VALUE"""),0.084)</f>
        <v>0.084</v>
      </c>
      <c r="E13590" s="8" t="str">
        <f>IFERROR(__xludf.DUMMYFUNCTION("""COMPUTED_VALUE"""),"Real")</f>
        <v>Real</v>
      </c>
      <c r="G13590" s="8">
        <f t="shared" si="1"/>
        <v>5</v>
      </c>
      <c r="H13590" s="14">
        <f t="shared" si="2"/>
        <v>20</v>
      </c>
      <c r="I13590" s="15">
        <f t="shared" si="3"/>
        <v>6</v>
      </c>
    </row>
    <row r="13591">
      <c r="A13591" s="8" t="str">
        <f>IFERROR(__xludf.DUMMYFUNCTION("IF('(INGESTA)Datos_consumo_datadis'!A13591&lt;&gt;"""",SPLIT('(INGESTA)Datos_consumo_datadis'!A:A,"",""),"""")"),"ES0031408323131005HX0F")</f>
        <v>ES0031408323131005HX0F</v>
      </c>
      <c r="B13591" s="12">
        <f>IFERROR(__xludf.DUMMYFUNCTION("""COMPUTED_VALUE"""),45432.0)</f>
        <v>45432</v>
      </c>
      <c r="C13591" s="13">
        <f>IFERROR(__xludf.DUMMYFUNCTION("""COMPUTED_VALUE"""),0.2916666666666667)</f>
        <v>0.2916666667</v>
      </c>
      <c r="D13591" s="8">
        <f>IFERROR(__xludf.DUMMYFUNCTION("""COMPUTED_VALUE"""),0.047)</f>
        <v>0.047</v>
      </c>
      <c r="E13591" s="8" t="str">
        <f>IFERROR(__xludf.DUMMYFUNCTION("""COMPUTED_VALUE"""),"Real")</f>
        <v>Real</v>
      </c>
      <c r="G13591" s="8">
        <f t="shared" si="1"/>
        <v>5</v>
      </c>
      <c r="H13591" s="14">
        <f t="shared" si="2"/>
        <v>20</v>
      </c>
      <c r="I13591" s="15">
        <f t="shared" si="3"/>
        <v>7</v>
      </c>
    </row>
    <row r="13592">
      <c r="A13592" s="8" t="str">
        <f>IFERROR(__xludf.DUMMYFUNCTION("IF('(INGESTA)Datos_consumo_datadis'!A13592&lt;&gt;"""",SPLIT('(INGESTA)Datos_consumo_datadis'!A:A,"",""),"""")"),"ES0031408323131005HX0F")</f>
        <v>ES0031408323131005HX0F</v>
      </c>
      <c r="B13592" s="12">
        <f>IFERROR(__xludf.DUMMYFUNCTION("""COMPUTED_VALUE"""),45432.0)</f>
        <v>45432</v>
      </c>
      <c r="C13592" s="13">
        <f>IFERROR(__xludf.DUMMYFUNCTION("""COMPUTED_VALUE"""),0.3333333333333333)</f>
        <v>0.3333333333</v>
      </c>
      <c r="D13592" s="8">
        <f>IFERROR(__xludf.DUMMYFUNCTION("""COMPUTED_VALUE"""),0.082)</f>
        <v>0.082</v>
      </c>
      <c r="E13592" s="8" t="str">
        <f>IFERROR(__xludf.DUMMYFUNCTION("""COMPUTED_VALUE"""),"Real")</f>
        <v>Real</v>
      </c>
      <c r="G13592" s="8">
        <f t="shared" si="1"/>
        <v>5</v>
      </c>
      <c r="H13592" s="14">
        <f t="shared" si="2"/>
        <v>20</v>
      </c>
      <c r="I13592" s="15">
        <f t="shared" si="3"/>
        <v>8</v>
      </c>
    </row>
    <row r="13593">
      <c r="A13593" s="8" t="str">
        <f>IFERROR(__xludf.DUMMYFUNCTION("IF('(INGESTA)Datos_consumo_datadis'!A13593&lt;&gt;"""",SPLIT('(INGESTA)Datos_consumo_datadis'!A:A,"",""),"""")"),"ES0031408323131005HX0F")</f>
        <v>ES0031408323131005HX0F</v>
      </c>
      <c r="B13593" s="12">
        <f>IFERROR(__xludf.DUMMYFUNCTION("""COMPUTED_VALUE"""),45432.0)</f>
        <v>45432</v>
      </c>
      <c r="C13593" s="13">
        <f>IFERROR(__xludf.DUMMYFUNCTION("""COMPUTED_VALUE"""),0.375)</f>
        <v>0.375</v>
      </c>
      <c r="D13593" s="8">
        <f>IFERROR(__xludf.DUMMYFUNCTION("""COMPUTED_VALUE"""),0.046)</f>
        <v>0.046</v>
      </c>
      <c r="E13593" s="8" t="str">
        <f>IFERROR(__xludf.DUMMYFUNCTION("""COMPUTED_VALUE"""),"Real")</f>
        <v>Real</v>
      </c>
      <c r="G13593" s="8">
        <f t="shared" si="1"/>
        <v>5</v>
      </c>
      <c r="H13593" s="14">
        <f t="shared" si="2"/>
        <v>20</v>
      </c>
      <c r="I13593" s="15">
        <f t="shared" si="3"/>
        <v>9</v>
      </c>
    </row>
    <row r="13594">
      <c r="A13594" s="8" t="str">
        <f>IFERROR(__xludf.DUMMYFUNCTION("IF('(INGESTA)Datos_consumo_datadis'!A13594&lt;&gt;"""",SPLIT('(INGESTA)Datos_consumo_datadis'!A:A,"",""),"""")"),"ES0031408323131005HX0F")</f>
        <v>ES0031408323131005HX0F</v>
      </c>
      <c r="B13594" s="12">
        <f>IFERROR(__xludf.DUMMYFUNCTION("""COMPUTED_VALUE"""),45432.0)</f>
        <v>45432</v>
      </c>
      <c r="C13594" s="13">
        <f>IFERROR(__xludf.DUMMYFUNCTION("""COMPUTED_VALUE"""),0.4166666666666667)</f>
        <v>0.4166666667</v>
      </c>
      <c r="D13594" s="8">
        <f>IFERROR(__xludf.DUMMYFUNCTION("""COMPUTED_VALUE"""),0.281)</f>
        <v>0.281</v>
      </c>
      <c r="E13594" s="8" t="str">
        <f>IFERROR(__xludf.DUMMYFUNCTION("""COMPUTED_VALUE"""),"Real")</f>
        <v>Real</v>
      </c>
      <c r="G13594" s="8">
        <f t="shared" si="1"/>
        <v>5</v>
      </c>
      <c r="H13594" s="14">
        <f t="shared" si="2"/>
        <v>20</v>
      </c>
      <c r="I13594" s="15">
        <f t="shared" si="3"/>
        <v>10</v>
      </c>
    </row>
    <row r="13595">
      <c r="A13595" s="8" t="str">
        <f>IFERROR(__xludf.DUMMYFUNCTION("IF('(INGESTA)Datos_consumo_datadis'!A13595&lt;&gt;"""",SPLIT('(INGESTA)Datos_consumo_datadis'!A:A,"",""),"""")"),"ES0031408323131005HX0F")</f>
        <v>ES0031408323131005HX0F</v>
      </c>
      <c r="B13595" s="12">
        <f>IFERROR(__xludf.DUMMYFUNCTION("""COMPUTED_VALUE"""),45432.0)</f>
        <v>45432</v>
      </c>
      <c r="C13595" s="13">
        <f>IFERROR(__xludf.DUMMYFUNCTION("""COMPUTED_VALUE"""),0.4583333333333333)</f>
        <v>0.4583333333</v>
      </c>
      <c r="D13595" s="8">
        <f>IFERROR(__xludf.DUMMYFUNCTION("""COMPUTED_VALUE"""),0.485)</f>
        <v>0.485</v>
      </c>
      <c r="E13595" s="8" t="str">
        <f>IFERROR(__xludf.DUMMYFUNCTION("""COMPUTED_VALUE"""),"Real")</f>
        <v>Real</v>
      </c>
      <c r="G13595" s="8">
        <f t="shared" si="1"/>
        <v>5</v>
      </c>
      <c r="H13595" s="14">
        <f t="shared" si="2"/>
        <v>20</v>
      </c>
      <c r="I13595" s="15">
        <f t="shared" si="3"/>
        <v>11</v>
      </c>
    </row>
    <row r="13596">
      <c r="A13596" s="8" t="str">
        <f>IFERROR(__xludf.DUMMYFUNCTION("IF('(INGESTA)Datos_consumo_datadis'!A13596&lt;&gt;"""",SPLIT('(INGESTA)Datos_consumo_datadis'!A:A,"",""),"""")"),"ES0031408323131005HX0F")</f>
        <v>ES0031408323131005HX0F</v>
      </c>
      <c r="B13596" s="12">
        <f>IFERROR(__xludf.DUMMYFUNCTION("""COMPUTED_VALUE"""),45432.0)</f>
        <v>45432</v>
      </c>
      <c r="C13596" s="13">
        <f>IFERROR(__xludf.DUMMYFUNCTION("""COMPUTED_VALUE"""),0.5)</f>
        <v>0.5</v>
      </c>
      <c r="D13596" s="8">
        <f>IFERROR(__xludf.DUMMYFUNCTION("""COMPUTED_VALUE"""),0.117)</f>
        <v>0.117</v>
      </c>
      <c r="E13596" s="8" t="str">
        <f>IFERROR(__xludf.DUMMYFUNCTION("""COMPUTED_VALUE"""),"Real")</f>
        <v>Real</v>
      </c>
      <c r="G13596" s="8">
        <f t="shared" si="1"/>
        <v>5</v>
      </c>
      <c r="H13596" s="14">
        <f t="shared" si="2"/>
        <v>20</v>
      </c>
      <c r="I13596" s="15">
        <f t="shared" si="3"/>
        <v>12</v>
      </c>
    </row>
    <row r="13597">
      <c r="A13597" s="8" t="str">
        <f>IFERROR(__xludf.DUMMYFUNCTION("IF('(INGESTA)Datos_consumo_datadis'!A13597&lt;&gt;"""",SPLIT('(INGESTA)Datos_consumo_datadis'!A:A,"",""),"""")"),"ES0031408323131005HX0F")</f>
        <v>ES0031408323131005HX0F</v>
      </c>
      <c r="B13597" s="12">
        <f>IFERROR(__xludf.DUMMYFUNCTION("""COMPUTED_VALUE"""),45432.0)</f>
        <v>45432</v>
      </c>
      <c r="C13597" s="13">
        <f>IFERROR(__xludf.DUMMYFUNCTION("""COMPUTED_VALUE"""),0.5416666666666666)</f>
        <v>0.5416666667</v>
      </c>
      <c r="D13597" s="8">
        <f>IFERROR(__xludf.DUMMYFUNCTION("""COMPUTED_VALUE"""),0.12)</f>
        <v>0.12</v>
      </c>
      <c r="E13597" s="8" t="str">
        <f>IFERROR(__xludf.DUMMYFUNCTION("""COMPUTED_VALUE"""),"Real")</f>
        <v>Real</v>
      </c>
      <c r="G13597" s="8">
        <f t="shared" si="1"/>
        <v>5</v>
      </c>
      <c r="H13597" s="14">
        <f t="shared" si="2"/>
        <v>20</v>
      </c>
      <c r="I13597" s="15">
        <f t="shared" si="3"/>
        <v>13</v>
      </c>
    </row>
    <row r="13598">
      <c r="A13598" s="8" t="str">
        <f>IFERROR(__xludf.DUMMYFUNCTION("IF('(INGESTA)Datos_consumo_datadis'!A13598&lt;&gt;"""",SPLIT('(INGESTA)Datos_consumo_datadis'!A:A,"",""),"""")"),"ES0031408323131005HX0F")</f>
        <v>ES0031408323131005HX0F</v>
      </c>
      <c r="B13598" s="12">
        <f>IFERROR(__xludf.DUMMYFUNCTION("""COMPUTED_VALUE"""),45432.0)</f>
        <v>45432</v>
      </c>
      <c r="C13598" s="13">
        <f>IFERROR(__xludf.DUMMYFUNCTION("""COMPUTED_VALUE"""),0.5833333333333334)</f>
        <v>0.5833333333</v>
      </c>
      <c r="D13598" s="8">
        <f>IFERROR(__xludf.DUMMYFUNCTION("""COMPUTED_VALUE"""),0.226)</f>
        <v>0.226</v>
      </c>
      <c r="E13598" s="8" t="str">
        <f>IFERROR(__xludf.DUMMYFUNCTION("""COMPUTED_VALUE"""),"Real")</f>
        <v>Real</v>
      </c>
      <c r="G13598" s="8">
        <f t="shared" si="1"/>
        <v>5</v>
      </c>
      <c r="H13598" s="14">
        <f t="shared" si="2"/>
        <v>20</v>
      </c>
      <c r="I13598" s="15">
        <f t="shared" si="3"/>
        <v>14</v>
      </c>
    </row>
    <row r="13599">
      <c r="A13599" s="8" t="str">
        <f>IFERROR(__xludf.DUMMYFUNCTION("IF('(INGESTA)Datos_consumo_datadis'!A13599&lt;&gt;"""",SPLIT('(INGESTA)Datos_consumo_datadis'!A:A,"",""),"""")"),"ES0031408323131005HX0F")</f>
        <v>ES0031408323131005HX0F</v>
      </c>
      <c r="B13599" s="12">
        <f>IFERROR(__xludf.DUMMYFUNCTION("""COMPUTED_VALUE"""),45432.0)</f>
        <v>45432</v>
      </c>
      <c r="C13599" s="13">
        <f>IFERROR(__xludf.DUMMYFUNCTION("""COMPUTED_VALUE"""),0.625)</f>
        <v>0.625</v>
      </c>
      <c r="D13599" s="8">
        <f>IFERROR(__xludf.DUMMYFUNCTION("""COMPUTED_VALUE"""),1.037)</f>
        <v>1.037</v>
      </c>
      <c r="E13599" s="8" t="str">
        <f>IFERROR(__xludf.DUMMYFUNCTION("""COMPUTED_VALUE"""),"Real")</f>
        <v>Real</v>
      </c>
      <c r="G13599" s="8">
        <f t="shared" si="1"/>
        <v>5</v>
      </c>
      <c r="H13599" s="14">
        <f t="shared" si="2"/>
        <v>20</v>
      </c>
      <c r="I13599" s="15">
        <f t="shared" si="3"/>
        <v>15</v>
      </c>
    </row>
    <row r="13600">
      <c r="A13600" s="8" t="str">
        <f>IFERROR(__xludf.DUMMYFUNCTION("IF('(INGESTA)Datos_consumo_datadis'!A13600&lt;&gt;"""",SPLIT('(INGESTA)Datos_consumo_datadis'!A:A,"",""),"""")"),"ES0031408323131005HX0F")</f>
        <v>ES0031408323131005HX0F</v>
      </c>
      <c r="B13600" s="12">
        <f>IFERROR(__xludf.DUMMYFUNCTION("""COMPUTED_VALUE"""),45432.0)</f>
        <v>45432</v>
      </c>
      <c r="C13600" s="13">
        <f>IFERROR(__xludf.DUMMYFUNCTION("""COMPUTED_VALUE"""),0.6666666666666666)</f>
        <v>0.6666666667</v>
      </c>
      <c r="D13600" s="8">
        <f>IFERROR(__xludf.DUMMYFUNCTION("""COMPUTED_VALUE"""),0.176)</f>
        <v>0.176</v>
      </c>
      <c r="E13600" s="8" t="str">
        <f>IFERROR(__xludf.DUMMYFUNCTION("""COMPUTED_VALUE"""),"Real")</f>
        <v>Real</v>
      </c>
      <c r="G13600" s="8">
        <f t="shared" si="1"/>
        <v>5</v>
      </c>
      <c r="H13600" s="14">
        <f t="shared" si="2"/>
        <v>20</v>
      </c>
      <c r="I13600" s="15">
        <f t="shared" si="3"/>
        <v>16</v>
      </c>
    </row>
    <row r="13601">
      <c r="A13601" s="8" t="str">
        <f>IFERROR(__xludf.DUMMYFUNCTION("IF('(INGESTA)Datos_consumo_datadis'!A13601&lt;&gt;"""",SPLIT('(INGESTA)Datos_consumo_datadis'!A:A,"",""),"""")"),"ES0031408323131005HX0F")</f>
        <v>ES0031408323131005HX0F</v>
      </c>
      <c r="B13601" s="12">
        <f>IFERROR(__xludf.DUMMYFUNCTION("""COMPUTED_VALUE"""),45432.0)</f>
        <v>45432</v>
      </c>
      <c r="C13601" s="13">
        <f>IFERROR(__xludf.DUMMYFUNCTION("""COMPUTED_VALUE"""),0.7083333333333334)</f>
        <v>0.7083333333</v>
      </c>
      <c r="D13601" s="8">
        <f>IFERROR(__xludf.DUMMYFUNCTION("""COMPUTED_VALUE"""),0.803)</f>
        <v>0.803</v>
      </c>
      <c r="E13601" s="8" t="str">
        <f>IFERROR(__xludf.DUMMYFUNCTION("""COMPUTED_VALUE"""),"Real")</f>
        <v>Real</v>
      </c>
      <c r="G13601" s="8">
        <f t="shared" si="1"/>
        <v>5</v>
      </c>
      <c r="H13601" s="14">
        <f t="shared" si="2"/>
        <v>20</v>
      </c>
      <c r="I13601" s="15">
        <f t="shared" si="3"/>
        <v>17</v>
      </c>
    </row>
    <row r="13602">
      <c r="A13602" s="8" t="str">
        <f>IFERROR(__xludf.DUMMYFUNCTION("IF('(INGESTA)Datos_consumo_datadis'!A13602&lt;&gt;"""",SPLIT('(INGESTA)Datos_consumo_datadis'!A:A,"",""),"""")"),"ES0031408323131005HX0F")</f>
        <v>ES0031408323131005HX0F</v>
      </c>
      <c r="B13602" s="12">
        <f>IFERROR(__xludf.DUMMYFUNCTION("""COMPUTED_VALUE"""),45432.0)</f>
        <v>45432</v>
      </c>
      <c r="C13602" s="13">
        <f>IFERROR(__xludf.DUMMYFUNCTION("""COMPUTED_VALUE"""),0.75)</f>
        <v>0.75</v>
      </c>
      <c r="D13602" s="8">
        <f>IFERROR(__xludf.DUMMYFUNCTION("""COMPUTED_VALUE"""),0.638)</f>
        <v>0.638</v>
      </c>
      <c r="E13602" s="8" t="str">
        <f>IFERROR(__xludf.DUMMYFUNCTION("""COMPUTED_VALUE"""),"Real")</f>
        <v>Real</v>
      </c>
      <c r="G13602" s="8">
        <f t="shared" si="1"/>
        <v>5</v>
      </c>
      <c r="H13602" s="14">
        <f t="shared" si="2"/>
        <v>20</v>
      </c>
      <c r="I13602" s="15">
        <f t="shared" si="3"/>
        <v>18</v>
      </c>
    </row>
    <row r="13603">
      <c r="A13603" s="8" t="str">
        <f>IFERROR(__xludf.DUMMYFUNCTION("IF('(INGESTA)Datos_consumo_datadis'!A13603&lt;&gt;"""",SPLIT('(INGESTA)Datos_consumo_datadis'!A:A,"",""),"""")"),"ES0031408323131005HX0F")</f>
        <v>ES0031408323131005HX0F</v>
      </c>
      <c r="B13603" s="12">
        <f>IFERROR(__xludf.DUMMYFUNCTION("""COMPUTED_VALUE"""),45432.0)</f>
        <v>45432</v>
      </c>
      <c r="C13603" s="13">
        <f>IFERROR(__xludf.DUMMYFUNCTION("""COMPUTED_VALUE"""),0.7916666666666666)</f>
        <v>0.7916666667</v>
      </c>
      <c r="D13603" s="8">
        <f>IFERROR(__xludf.DUMMYFUNCTION("""COMPUTED_VALUE"""),0.06)</f>
        <v>0.06</v>
      </c>
      <c r="E13603" s="8" t="str">
        <f>IFERROR(__xludf.DUMMYFUNCTION("""COMPUTED_VALUE"""),"Real")</f>
        <v>Real</v>
      </c>
      <c r="G13603" s="8">
        <f t="shared" si="1"/>
        <v>5</v>
      </c>
      <c r="H13603" s="14">
        <f t="shared" si="2"/>
        <v>20</v>
      </c>
      <c r="I13603" s="15">
        <f t="shared" si="3"/>
        <v>19</v>
      </c>
    </row>
    <row r="13604">
      <c r="A13604" s="8" t="str">
        <f>IFERROR(__xludf.DUMMYFUNCTION("IF('(INGESTA)Datos_consumo_datadis'!A13604&lt;&gt;"""",SPLIT('(INGESTA)Datos_consumo_datadis'!A:A,"",""),"""")"),"ES0031408323131005HX0F")</f>
        <v>ES0031408323131005HX0F</v>
      </c>
      <c r="B13604" s="12">
        <f>IFERROR(__xludf.DUMMYFUNCTION("""COMPUTED_VALUE"""),45432.0)</f>
        <v>45432</v>
      </c>
      <c r="C13604" s="13">
        <f>IFERROR(__xludf.DUMMYFUNCTION("""COMPUTED_VALUE"""),0.8333333333333334)</f>
        <v>0.8333333333</v>
      </c>
      <c r="D13604" s="8">
        <f>IFERROR(__xludf.DUMMYFUNCTION("""COMPUTED_VALUE"""),0.263)</f>
        <v>0.263</v>
      </c>
      <c r="E13604" s="8" t="str">
        <f>IFERROR(__xludf.DUMMYFUNCTION("""COMPUTED_VALUE"""),"Real")</f>
        <v>Real</v>
      </c>
      <c r="G13604" s="8">
        <f t="shared" si="1"/>
        <v>5</v>
      </c>
      <c r="H13604" s="14">
        <f t="shared" si="2"/>
        <v>20</v>
      </c>
      <c r="I13604" s="15">
        <f t="shared" si="3"/>
        <v>20</v>
      </c>
    </row>
    <row r="13605">
      <c r="A13605" s="8" t="str">
        <f>IFERROR(__xludf.DUMMYFUNCTION("IF('(INGESTA)Datos_consumo_datadis'!A13605&lt;&gt;"""",SPLIT('(INGESTA)Datos_consumo_datadis'!A:A,"",""),"""")"),"ES0031408323131005HX0F")</f>
        <v>ES0031408323131005HX0F</v>
      </c>
      <c r="B13605" s="12">
        <f>IFERROR(__xludf.DUMMYFUNCTION("""COMPUTED_VALUE"""),45432.0)</f>
        <v>45432</v>
      </c>
      <c r="C13605" s="13">
        <f>IFERROR(__xludf.DUMMYFUNCTION("""COMPUTED_VALUE"""),0.875)</f>
        <v>0.875</v>
      </c>
      <c r="D13605" s="8">
        <f>IFERROR(__xludf.DUMMYFUNCTION("""COMPUTED_VALUE"""),0.357)</f>
        <v>0.357</v>
      </c>
      <c r="E13605" s="8" t="str">
        <f>IFERROR(__xludf.DUMMYFUNCTION("""COMPUTED_VALUE"""),"Real")</f>
        <v>Real</v>
      </c>
      <c r="G13605" s="8">
        <f t="shared" si="1"/>
        <v>5</v>
      </c>
      <c r="H13605" s="14">
        <f t="shared" si="2"/>
        <v>20</v>
      </c>
      <c r="I13605" s="15">
        <f t="shared" si="3"/>
        <v>21</v>
      </c>
    </row>
    <row r="13606">
      <c r="A13606" s="8" t="str">
        <f>IFERROR(__xludf.DUMMYFUNCTION("IF('(INGESTA)Datos_consumo_datadis'!A13606&lt;&gt;"""",SPLIT('(INGESTA)Datos_consumo_datadis'!A:A,"",""),"""")"),"ES0031408323131005HX0F")</f>
        <v>ES0031408323131005HX0F</v>
      </c>
      <c r="B13606" s="12">
        <f>IFERROR(__xludf.DUMMYFUNCTION("""COMPUTED_VALUE"""),45432.0)</f>
        <v>45432</v>
      </c>
      <c r="C13606" s="13">
        <f>IFERROR(__xludf.DUMMYFUNCTION("""COMPUTED_VALUE"""),0.9166666666666666)</f>
        <v>0.9166666667</v>
      </c>
      <c r="D13606" s="8">
        <f>IFERROR(__xludf.DUMMYFUNCTION("""COMPUTED_VALUE"""),0.1)</f>
        <v>0.1</v>
      </c>
      <c r="E13606" s="8" t="str">
        <f>IFERROR(__xludf.DUMMYFUNCTION("""COMPUTED_VALUE"""),"Real")</f>
        <v>Real</v>
      </c>
      <c r="G13606" s="8">
        <f t="shared" si="1"/>
        <v>5</v>
      </c>
      <c r="H13606" s="14">
        <f t="shared" si="2"/>
        <v>20</v>
      </c>
      <c r="I13606" s="15">
        <f t="shared" si="3"/>
        <v>22</v>
      </c>
    </row>
    <row r="13607">
      <c r="A13607" s="8" t="str">
        <f>IFERROR(__xludf.DUMMYFUNCTION("IF('(INGESTA)Datos_consumo_datadis'!A13607&lt;&gt;"""",SPLIT('(INGESTA)Datos_consumo_datadis'!A:A,"",""),"""")"),"ES0031408323131005HX0F")</f>
        <v>ES0031408323131005HX0F</v>
      </c>
      <c r="B13607" s="12">
        <f>IFERROR(__xludf.DUMMYFUNCTION("""COMPUTED_VALUE"""),45432.0)</f>
        <v>45432</v>
      </c>
      <c r="C13607" s="13">
        <f>IFERROR(__xludf.DUMMYFUNCTION("""COMPUTED_VALUE"""),0.9583333333333334)</f>
        <v>0.9583333333</v>
      </c>
      <c r="D13607" s="8">
        <f>IFERROR(__xludf.DUMMYFUNCTION("""COMPUTED_VALUE"""),0.085)</f>
        <v>0.085</v>
      </c>
      <c r="E13607" s="8" t="str">
        <f>IFERROR(__xludf.DUMMYFUNCTION("""COMPUTED_VALUE"""),"Real")</f>
        <v>Real</v>
      </c>
      <c r="G13607" s="8">
        <f t="shared" si="1"/>
        <v>5</v>
      </c>
      <c r="H13607" s="14">
        <f t="shared" si="2"/>
        <v>20</v>
      </c>
      <c r="I13607" s="15">
        <f t="shared" si="3"/>
        <v>23</v>
      </c>
    </row>
    <row r="13608">
      <c r="A13608" s="8" t="str">
        <f>IFERROR(__xludf.DUMMYFUNCTION("IF('(INGESTA)Datos_consumo_datadis'!A13608&lt;&gt;"""",SPLIT('(INGESTA)Datos_consumo_datadis'!A:A,"",""),"""")"),"ES0031408323131005HX0F")</f>
        <v>ES0031408323131005HX0F</v>
      </c>
      <c r="B13608" s="12">
        <f>IFERROR(__xludf.DUMMYFUNCTION("""COMPUTED_VALUE"""),45432.0)</f>
        <v>45432</v>
      </c>
      <c r="C13608" s="16">
        <f>IFERROR(__xludf.DUMMYFUNCTION("""COMPUTED_VALUE"""),1.0)</f>
        <v>1</v>
      </c>
      <c r="D13608" s="8">
        <f>IFERROR(__xludf.DUMMYFUNCTION("""COMPUTED_VALUE"""),0.329)</f>
        <v>0.329</v>
      </c>
      <c r="E13608" s="8" t="str">
        <f>IFERROR(__xludf.DUMMYFUNCTION("""COMPUTED_VALUE"""),"Real")</f>
        <v>Real</v>
      </c>
      <c r="G13608" s="8">
        <f t="shared" si="1"/>
        <v>5</v>
      </c>
      <c r="H13608" s="14">
        <f t="shared" si="2"/>
        <v>20</v>
      </c>
      <c r="I13608" s="15">
        <f t="shared" si="3"/>
        <v>0</v>
      </c>
    </row>
    <row r="13609">
      <c r="A13609" s="8" t="str">
        <f>IFERROR(__xludf.DUMMYFUNCTION("IF('(INGESTA)Datos_consumo_datadis'!A13609&lt;&gt;"""",SPLIT('(INGESTA)Datos_consumo_datadis'!A:A,"",""),"""")"),"ES0031408323131005HX0F")</f>
        <v>ES0031408323131005HX0F</v>
      </c>
      <c r="B13609" s="12">
        <f>IFERROR(__xludf.DUMMYFUNCTION("""COMPUTED_VALUE"""),45433.0)</f>
        <v>45433</v>
      </c>
      <c r="C13609" s="13">
        <f>IFERROR(__xludf.DUMMYFUNCTION("""COMPUTED_VALUE"""),0.041666666666666664)</f>
        <v>0.04166666667</v>
      </c>
      <c r="D13609" s="8">
        <f>IFERROR(__xludf.DUMMYFUNCTION("""COMPUTED_VALUE"""),0.106)</f>
        <v>0.106</v>
      </c>
      <c r="E13609" s="8" t="str">
        <f>IFERROR(__xludf.DUMMYFUNCTION("""COMPUTED_VALUE"""),"Real")</f>
        <v>Real</v>
      </c>
      <c r="G13609" s="8">
        <f t="shared" si="1"/>
        <v>5</v>
      </c>
      <c r="H13609" s="14">
        <f t="shared" si="2"/>
        <v>21</v>
      </c>
      <c r="I13609" s="15">
        <f t="shared" si="3"/>
        <v>1</v>
      </c>
    </row>
    <row r="13610">
      <c r="A13610" s="8" t="str">
        <f>IFERROR(__xludf.DUMMYFUNCTION("IF('(INGESTA)Datos_consumo_datadis'!A13610&lt;&gt;"""",SPLIT('(INGESTA)Datos_consumo_datadis'!A:A,"",""),"""")"),"ES0031408323131005HX0F")</f>
        <v>ES0031408323131005HX0F</v>
      </c>
      <c r="B13610" s="12">
        <f>IFERROR(__xludf.DUMMYFUNCTION("""COMPUTED_VALUE"""),45433.0)</f>
        <v>45433</v>
      </c>
      <c r="C13610" s="13">
        <f>IFERROR(__xludf.DUMMYFUNCTION("""COMPUTED_VALUE"""),0.08333333333333333)</f>
        <v>0.08333333333</v>
      </c>
      <c r="D13610" s="8">
        <f>IFERROR(__xludf.DUMMYFUNCTION("""COMPUTED_VALUE"""),0.047)</f>
        <v>0.047</v>
      </c>
      <c r="E13610" s="8" t="str">
        <f>IFERROR(__xludf.DUMMYFUNCTION("""COMPUTED_VALUE"""),"Real")</f>
        <v>Real</v>
      </c>
      <c r="G13610" s="8">
        <f t="shared" si="1"/>
        <v>5</v>
      </c>
      <c r="H13610" s="14">
        <f t="shared" si="2"/>
        <v>21</v>
      </c>
      <c r="I13610" s="15">
        <f t="shared" si="3"/>
        <v>2</v>
      </c>
    </row>
    <row r="13611">
      <c r="A13611" s="8" t="str">
        <f>IFERROR(__xludf.DUMMYFUNCTION("IF('(INGESTA)Datos_consumo_datadis'!A13611&lt;&gt;"""",SPLIT('(INGESTA)Datos_consumo_datadis'!A:A,"",""),"""")"),"ES0031408323131005HX0F")</f>
        <v>ES0031408323131005HX0F</v>
      </c>
      <c r="B13611" s="12">
        <f>IFERROR(__xludf.DUMMYFUNCTION("""COMPUTED_VALUE"""),45433.0)</f>
        <v>45433</v>
      </c>
      <c r="C13611" s="13">
        <f>IFERROR(__xludf.DUMMYFUNCTION("""COMPUTED_VALUE"""),0.125)</f>
        <v>0.125</v>
      </c>
      <c r="D13611" s="8">
        <f>IFERROR(__xludf.DUMMYFUNCTION("""COMPUTED_VALUE"""),0.083)</f>
        <v>0.083</v>
      </c>
      <c r="E13611" s="8" t="str">
        <f>IFERROR(__xludf.DUMMYFUNCTION("""COMPUTED_VALUE"""),"Real")</f>
        <v>Real</v>
      </c>
      <c r="G13611" s="8">
        <f t="shared" si="1"/>
        <v>5</v>
      </c>
      <c r="H13611" s="14">
        <f t="shared" si="2"/>
        <v>21</v>
      </c>
      <c r="I13611" s="15">
        <f t="shared" si="3"/>
        <v>3</v>
      </c>
    </row>
    <row r="13612">
      <c r="A13612" s="8" t="str">
        <f>IFERROR(__xludf.DUMMYFUNCTION("IF('(INGESTA)Datos_consumo_datadis'!A13612&lt;&gt;"""",SPLIT('(INGESTA)Datos_consumo_datadis'!A:A,"",""),"""")"),"ES0031408323131005HX0F")</f>
        <v>ES0031408323131005HX0F</v>
      </c>
      <c r="B13612" s="12">
        <f>IFERROR(__xludf.DUMMYFUNCTION("""COMPUTED_VALUE"""),45433.0)</f>
        <v>45433</v>
      </c>
      <c r="C13612" s="13">
        <f>IFERROR(__xludf.DUMMYFUNCTION("""COMPUTED_VALUE"""),0.16666666666666666)</f>
        <v>0.1666666667</v>
      </c>
      <c r="D13612" s="8">
        <f>IFERROR(__xludf.DUMMYFUNCTION("""COMPUTED_VALUE"""),0.042)</f>
        <v>0.042</v>
      </c>
      <c r="E13612" s="8" t="str">
        <f>IFERROR(__xludf.DUMMYFUNCTION("""COMPUTED_VALUE"""),"Real")</f>
        <v>Real</v>
      </c>
      <c r="G13612" s="8">
        <f t="shared" si="1"/>
        <v>5</v>
      </c>
      <c r="H13612" s="14">
        <f t="shared" si="2"/>
        <v>21</v>
      </c>
      <c r="I13612" s="15">
        <f t="shared" si="3"/>
        <v>4</v>
      </c>
    </row>
    <row r="13613">
      <c r="A13613" s="8" t="str">
        <f>IFERROR(__xludf.DUMMYFUNCTION("IF('(INGESTA)Datos_consumo_datadis'!A13613&lt;&gt;"""",SPLIT('(INGESTA)Datos_consumo_datadis'!A:A,"",""),"""")"),"ES0031408323131005HX0F")</f>
        <v>ES0031408323131005HX0F</v>
      </c>
      <c r="B13613" s="12">
        <f>IFERROR(__xludf.DUMMYFUNCTION("""COMPUTED_VALUE"""),45433.0)</f>
        <v>45433</v>
      </c>
      <c r="C13613" s="13">
        <f>IFERROR(__xludf.DUMMYFUNCTION("""COMPUTED_VALUE"""),0.20833333333333334)</f>
        <v>0.2083333333</v>
      </c>
      <c r="D13613" s="8">
        <f>IFERROR(__xludf.DUMMYFUNCTION("""COMPUTED_VALUE"""),0.09)</f>
        <v>0.09</v>
      </c>
      <c r="E13613" s="8" t="str">
        <f>IFERROR(__xludf.DUMMYFUNCTION("""COMPUTED_VALUE"""),"Real")</f>
        <v>Real</v>
      </c>
      <c r="G13613" s="8">
        <f t="shared" si="1"/>
        <v>5</v>
      </c>
      <c r="H13613" s="14">
        <f t="shared" si="2"/>
        <v>21</v>
      </c>
      <c r="I13613" s="15">
        <f t="shared" si="3"/>
        <v>5</v>
      </c>
    </row>
    <row r="13614">
      <c r="A13614" s="8" t="str">
        <f>IFERROR(__xludf.DUMMYFUNCTION("IF('(INGESTA)Datos_consumo_datadis'!A13614&lt;&gt;"""",SPLIT('(INGESTA)Datos_consumo_datadis'!A:A,"",""),"""")"),"ES0031408323131005HX0F")</f>
        <v>ES0031408323131005HX0F</v>
      </c>
      <c r="B13614" s="12">
        <f>IFERROR(__xludf.DUMMYFUNCTION("""COMPUTED_VALUE"""),45433.0)</f>
        <v>45433</v>
      </c>
      <c r="C13614" s="13">
        <f>IFERROR(__xludf.DUMMYFUNCTION("""COMPUTED_VALUE"""),0.25)</f>
        <v>0.25</v>
      </c>
      <c r="D13614" s="8">
        <f>IFERROR(__xludf.DUMMYFUNCTION("""COMPUTED_VALUE"""),0.041)</f>
        <v>0.041</v>
      </c>
      <c r="E13614" s="8" t="str">
        <f>IFERROR(__xludf.DUMMYFUNCTION("""COMPUTED_VALUE"""),"Real")</f>
        <v>Real</v>
      </c>
      <c r="G13614" s="8">
        <f t="shared" si="1"/>
        <v>5</v>
      </c>
      <c r="H13614" s="14">
        <f t="shared" si="2"/>
        <v>21</v>
      </c>
      <c r="I13614" s="15">
        <f t="shared" si="3"/>
        <v>6</v>
      </c>
    </row>
    <row r="13615">
      <c r="A13615" s="8" t="str">
        <f>IFERROR(__xludf.DUMMYFUNCTION("IF('(INGESTA)Datos_consumo_datadis'!A13615&lt;&gt;"""",SPLIT('(INGESTA)Datos_consumo_datadis'!A:A,"",""),"""")"),"ES0031408323131005HX0F")</f>
        <v>ES0031408323131005HX0F</v>
      </c>
      <c r="B13615" s="12">
        <f>IFERROR(__xludf.DUMMYFUNCTION("""COMPUTED_VALUE"""),45433.0)</f>
        <v>45433</v>
      </c>
      <c r="C13615" s="13">
        <f>IFERROR(__xludf.DUMMYFUNCTION("""COMPUTED_VALUE"""),0.2916666666666667)</f>
        <v>0.2916666667</v>
      </c>
      <c r="D13615" s="8">
        <f>IFERROR(__xludf.DUMMYFUNCTION("""COMPUTED_VALUE"""),0.363)</f>
        <v>0.363</v>
      </c>
      <c r="E13615" s="8" t="str">
        <f>IFERROR(__xludf.DUMMYFUNCTION("""COMPUTED_VALUE"""),"Real")</f>
        <v>Real</v>
      </c>
      <c r="G13615" s="8">
        <f t="shared" si="1"/>
        <v>5</v>
      </c>
      <c r="H13615" s="14">
        <f t="shared" si="2"/>
        <v>21</v>
      </c>
      <c r="I13615" s="15">
        <f t="shared" si="3"/>
        <v>7</v>
      </c>
    </row>
    <row r="13616">
      <c r="A13616" s="8" t="str">
        <f>IFERROR(__xludf.DUMMYFUNCTION("IF('(INGESTA)Datos_consumo_datadis'!A13616&lt;&gt;"""",SPLIT('(INGESTA)Datos_consumo_datadis'!A:A,"",""),"""")"),"ES0031408323131005HX0F")</f>
        <v>ES0031408323131005HX0F</v>
      </c>
      <c r="B13616" s="12">
        <f>IFERROR(__xludf.DUMMYFUNCTION("""COMPUTED_VALUE"""),45433.0)</f>
        <v>45433</v>
      </c>
      <c r="C13616" s="13">
        <f>IFERROR(__xludf.DUMMYFUNCTION("""COMPUTED_VALUE"""),0.3333333333333333)</f>
        <v>0.3333333333</v>
      </c>
      <c r="D13616" s="8">
        <f>IFERROR(__xludf.DUMMYFUNCTION("""COMPUTED_VALUE"""),0.492)</f>
        <v>0.492</v>
      </c>
      <c r="E13616" s="8" t="str">
        <f>IFERROR(__xludf.DUMMYFUNCTION("""COMPUTED_VALUE"""),"Real")</f>
        <v>Real</v>
      </c>
      <c r="G13616" s="8">
        <f t="shared" si="1"/>
        <v>5</v>
      </c>
      <c r="H13616" s="14">
        <f t="shared" si="2"/>
        <v>21</v>
      </c>
      <c r="I13616" s="15">
        <f t="shared" si="3"/>
        <v>8</v>
      </c>
    </row>
    <row r="13617">
      <c r="A13617" s="8" t="str">
        <f>IFERROR(__xludf.DUMMYFUNCTION("IF('(INGESTA)Datos_consumo_datadis'!A13617&lt;&gt;"""",SPLIT('(INGESTA)Datos_consumo_datadis'!A:A,"",""),"""")"),"ES0031408323131005HX0F")</f>
        <v>ES0031408323131005HX0F</v>
      </c>
      <c r="B13617" s="12">
        <f>IFERROR(__xludf.DUMMYFUNCTION("""COMPUTED_VALUE"""),45433.0)</f>
        <v>45433</v>
      </c>
      <c r="C13617" s="13">
        <f>IFERROR(__xludf.DUMMYFUNCTION("""COMPUTED_VALUE"""),0.375)</f>
        <v>0.375</v>
      </c>
      <c r="D13617" s="8">
        <f>IFERROR(__xludf.DUMMYFUNCTION("""COMPUTED_VALUE"""),0.456)</f>
        <v>0.456</v>
      </c>
      <c r="E13617" s="8" t="str">
        <f>IFERROR(__xludf.DUMMYFUNCTION("""COMPUTED_VALUE"""),"Real")</f>
        <v>Real</v>
      </c>
      <c r="G13617" s="8">
        <f t="shared" si="1"/>
        <v>5</v>
      </c>
      <c r="H13617" s="14">
        <f t="shared" si="2"/>
        <v>21</v>
      </c>
      <c r="I13617" s="15">
        <f t="shared" si="3"/>
        <v>9</v>
      </c>
    </row>
    <row r="13618">
      <c r="A13618" s="8" t="str">
        <f>IFERROR(__xludf.DUMMYFUNCTION("IF('(INGESTA)Datos_consumo_datadis'!A13618&lt;&gt;"""",SPLIT('(INGESTA)Datos_consumo_datadis'!A:A,"",""),"""")"),"ES0031408323131005HX0F")</f>
        <v>ES0031408323131005HX0F</v>
      </c>
      <c r="B13618" s="12">
        <f>IFERROR(__xludf.DUMMYFUNCTION("""COMPUTED_VALUE"""),45433.0)</f>
        <v>45433</v>
      </c>
      <c r="C13618" s="13">
        <f>IFERROR(__xludf.DUMMYFUNCTION("""COMPUTED_VALUE"""),0.4166666666666667)</f>
        <v>0.4166666667</v>
      </c>
      <c r="D13618" s="8">
        <f>IFERROR(__xludf.DUMMYFUNCTION("""COMPUTED_VALUE"""),0.076)</f>
        <v>0.076</v>
      </c>
      <c r="E13618" s="8" t="str">
        <f>IFERROR(__xludf.DUMMYFUNCTION("""COMPUTED_VALUE"""),"Real")</f>
        <v>Real</v>
      </c>
      <c r="G13618" s="8">
        <f t="shared" si="1"/>
        <v>5</v>
      </c>
      <c r="H13618" s="14">
        <f t="shared" si="2"/>
        <v>21</v>
      </c>
      <c r="I13618" s="15">
        <f t="shared" si="3"/>
        <v>10</v>
      </c>
    </row>
    <row r="13619">
      <c r="A13619" s="8" t="str">
        <f>IFERROR(__xludf.DUMMYFUNCTION("IF('(INGESTA)Datos_consumo_datadis'!A13619&lt;&gt;"""",SPLIT('(INGESTA)Datos_consumo_datadis'!A:A,"",""),"""")"),"ES0031408323131005HX0F")</f>
        <v>ES0031408323131005HX0F</v>
      </c>
      <c r="B13619" s="12">
        <f>IFERROR(__xludf.DUMMYFUNCTION("""COMPUTED_VALUE"""),45433.0)</f>
        <v>45433</v>
      </c>
      <c r="C13619" s="13">
        <f>IFERROR(__xludf.DUMMYFUNCTION("""COMPUTED_VALUE"""),0.4583333333333333)</f>
        <v>0.4583333333</v>
      </c>
      <c r="D13619" s="8">
        <f>IFERROR(__xludf.DUMMYFUNCTION("""COMPUTED_VALUE"""),0.045)</f>
        <v>0.045</v>
      </c>
      <c r="E13619" s="8" t="str">
        <f>IFERROR(__xludf.DUMMYFUNCTION("""COMPUTED_VALUE"""),"Real")</f>
        <v>Real</v>
      </c>
      <c r="G13619" s="8">
        <f t="shared" si="1"/>
        <v>5</v>
      </c>
      <c r="H13619" s="14">
        <f t="shared" si="2"/>
        <v>21</v>
      </c>
      <c r="I13619" s="15">
        <f t="shared" si="3"/>
        <v>11</v>
      </c>
    </row>
    <row r="13620">
      <c r="A13620" s="8" t="str">
        <f>IFERROR(__xludf.DUMMYFUNCTION("IF('(INGESTA)Datos_consumo_datadis'!A13620&lt;&gt;"""",SPLIT('(INGESTA)Datos_consumo_datadis'!A:A,"",""),"""")"),"ES0031408323131005HX0F")</f>
        <v>ES0031408323131005HX0F</v>
      </c>
      <c r="B13620" s="12">
        <f>IFERROR(__xludf.DUMMYFUNCTION("""COMPUTED_VALUE"""),45433.0)</f>
        <v>45433</v>
      </c>
      <c r="C13620" s="13">
        <f>IFERROR(__xludf.DUMMYFUNCTION("""COMPUTED_VALUE"""),0.5)</f>
        <v>0.5</v>
      </c>
      <c r="D13620" s="8">
        <f>IFERROR(__xludf.DUMMYFUNCTION("""COMPUTED_VALUE"""),0.105)</f>
        <v>0.105</v>
      </c>
      <c r="E13620" s="8" t="str">
        <f>IFERROR(__xludf.DUMMYFUNCTION("""COMPUTED_VALUE"""),"Real")</f>
        <v>Real</v>
      </c>
      <c r="G13620" s="8">
        <f t="shared" si="1"/>
        <v>5</v>
      </c>
      <c r="H13620" s="14">
        <f t="shared" si="2"/>
        <v>21</v>
      </c>
      <c r="I13620" s="15">
        <f t="shared" si="3"/>
        <v>12</v>
      </c>
    </row>
    <row r="13621">
      <c r="A13621" s="8" t="str">
        <f>IFERROR(__xludf.DUMMYFUNCTION("IF('(INGESTA)Datos_consumo_datadis'!A13621&lt;&gt;"""",SPLIT('(INGESTA)Datos_consumo_datadis'!A:A,"",""),"""")"),"ES0031408323131005HX0F")</f>
        <v>ES0031408323131005HX0F</v>
      </c>
      <c r="B13621" s="12">
        <f>IFERROR(__xludf.DUMMYFUNCTION("""COMPUTED_VALUE"""),45433.0)</f>
        <v>45433</v>
      </c>
      <c r="C13621" s="13">
        <f>IFERROR(__xludf.DUMMYFUNCTION("""COMPUTED_VALUE"""),0.5416666666666666)</f>
        <v>0.5416666667</v>
      </c>
      <c r="D13621" s="8">
        <f>IFERROR(__xludf.DUMMYFUNCTION("""COMPUTED_VALUE"""),0.932)</f>
        <v>0.932</v>
      </c>
      <c r="E13621" s="8" t="str">
        <f>IFERROR(__xludf.DUMMYFUNCTION("""COMPUTED_VALUE"""),"Real")</f>
        <v>Real</v>
      </c>
      <c r="G13621" s="8">
        <f t="shared" si="1"/>
        <v>5</v>
      </c>
      <c r="H13621" s="14">
        <f t="shared" si="2"/>
        <v>21</v>
      </c>
      <c r="I13621" s="15">
        <f t="shared" si="3"/>
        <v>13</v>
      </c>
    </row>
    <row r="13622">
      <c r="A13622" s="8" t="str">
        <f>IFERROR(__xludf.DUMMYFUNCTION("IF('(INGESTA)Datos_consumo_datadis'!A13622&lt;&gt;"""",SPLIT('(INGESTA)Datos_consumo_datadis'!A:A,"",""),"""")"),"ES0031408323131005HX0F")</f>
        <v>ES0031408323131005HX0F</v>
      </c>
      <c r="B13622" s="12">
        <f>IFERROR(__xludf.DUMMYFUNCTION("""COMPUTED_VALUE"""),45433.0)</f>
        <v>45433</v>
      </c>
      <c r="C13622" s="13">
        <f>IFERROR(__xludf.DUMMYFUNCTION("""COMPUTED_VALUE"""),0.5833333333333334)</f>
        <v>0.5833333333</v>
      </c>
      <c r="D13622" s="8">
        <f>IFERROR(__xludf.DUMMYFUNCTION("""COMPUTED_VALUE"""),0.131)</f>
        <v>0.131</v>
      </c>
      <c r="E13622" s="8" t="str">
        <f>IFERROR(__xludf.DUMMYFUNCTION("""COMPUTED_VALUE"""),"Real")</f>
        <v>Real</v>
      </c>
      <c r="G13622" s="8">
        <f t="shared" si="1"/>
        <v>5</v>
      </c>
      <c r="H13622" s="14">
        <f t="shared" si="2"/>
        <v>21</v>
      </c>
      <c r="I13622" s="15">
        <f t="shared" si="3"/>
        <v>14</v>
      </c>
    </row>
    <row r="13623">
      <c r="A13623" s="8" t="str">
        <f>IFERROR(__xludf.DUMMYFUNCTION("IF('(INGESTA)Datos_consumo_datadis'!A13623&lt;&gt;"""",SPLIT('(INGESTA)Datos_consumo_datadis'!A:A,"",""),"""")"),"ES0031408323131005HX0F")</f>
        <v>ES0031408323131005HX0F</v>
      </c>
      <c r="B13623" s="12">
        <f>IFERROR(__xludf.DUMMYFUNCTION("""COMPUTED_VALUE"""),45433.0)</f>
        <v>45433</v>
      </c>
      <c r="C13623" s="13">
        <f>IFERROR(__xludf.DUMMYFUNCTION("""COMPUTED_VALUE"""),0.625)</f>
        <v>0.625</v>
      </c>
      <c r="D13623" s="8">
        <f>IFERROR(__xludf.DUMMYFUNCTION("""COMPUTED_VALUE"""),0.054)</f>
        <v>0.054</v>
      </c>
      <c r="E13623" s="8" t="str">
        <f>IFERROR(__xludf.DUMMYFUNCTION("""COMPUTED_VALUE"""),"Real")</f>
        <v>Real</v>
      </c>
      <c r="G13623" s="8">
        <f t="shared" si="1"/>
        <v>5</v>
      </c>
      <c r="H13623" s="14">
        <f t="shared" si="2"/>
        <v>21</v>
      </c>
      <c r="I13623" s="15">
        <f t="shared" si="3"/>
        <v>15</v>
      </c>
    </row>
    <row r="13624">
      <c r="A13624" s="8" t="str">
        <f>IFERROR(__xludf.DUMMYFUNCTION("IF('(INGESTA)Datos_consumo_datadis'!A13624&lt;&gt;"""",SPLIT('(INGESTA)Datos_consumo_datadis'!A:A,"",""),"""")"),"ES0031408323131005HX0F")</f>
        <v>ES0031408323131005HX0F</v>
      </c>
      <c r="B13624" s="12">
        <f>IFERROR(__xludf.DUMMYFUNCTION("""COMPUTED_VALUE"""),45433.0)</f>
        <v>45433</v>
      </c>
      <c r="C13624" s="13">
        <f>IFERROR(__xludf.DUMMYFUNCTION("""COMPUTED_VALUE"""),0.6666666666666666)</f>
        <v>0.6666666667</v>
      </c>
      <c r="D13624" s="8">
        <f>IFERROR(__xludf.DUMMYFUNCTION("""COMPUTED_VALUE"""),0.74)</f>
        <v>0.74</v>
      </c>
      <c r="E13624" s="8" t="str">
        <f>IFERROR(__xludf.DUMMYFUNCTION("""COMPUTED_VALUE"""),"Real")</f>
        <v>Real</v>
      </c>
      <c r="G13624" s="8">
        <f t="shared" si="1"/>
        <v>5</v>
      </c>
      <c r="H13624" s="14">
        <f t="shared" si="2"/>
        <v>21</v>
      </c>
      <c r="I13624" s="15">
        <f t="shared" si="3"/>
        <v>16</v>
      </c>
    </row>
    <row r="13625">
      <c r="A13625" s="8" t="str">
        <f>IFERROR(__xludf.DUMMYFUNCTION("IF('(INGESTA)Datos_consumo_datadis'!A13625&lt;&gt;"""",SPLIT('(INGESTA)Datos_consumo_datadis'!A:A,"",""),"""")"),"ES0031408323131005HX0F")</f>
        <v>ES0031408323131005HX0F</v>
      </c>
      <c r="B13625" s="12">
        <f>IFERROR(__xludf.DUMMYFUNCTION("""COMPUTED_VALUE"""),45433.0)</f>
        <v>45433</v>
      </c>
      <c r="C13625" s="13">
        <f>IFERROR(__xludf.DUMMYFUNCTION("""COMPUTED_VALUE"""),0.7083333333333334)</f>
        <v>0.7083333333</v>
      </c>
      <c r="D13625" s="8">
        <f>IFERROR(__xludf.DUMMYFUNCTION("""COMPUTED_VALUE"""),0.438)</f>
        <v>0.438</v>
      </c>
      <c r="E13625" s="8" t="str">
        <f>IFERROR(__xludf.DUMMYFUNCTION("""COMPUTED_VALUE"""),"Real")</f>
        <v>Real</v>
      </c>
      <c r="G13625" s="8">
        <f t="shared" si="1"/>
        <v>5</v>
      </c>
      <c r="H13625" s="14">
        <f t="shared" si="2"/>
        <v>21</v>
      </c>
      <c r="I13625" s="15">
        <f t="shared" si="3"/>
        <v>17</v>
      </c>
    </row>
    <row r="13626">
      <c r="A13626" s="8" t="str">
        <f>IFERROR(__xludf.DUMMYFUNCTION("IF('(INGESTA)Datos_consumo_datadis'!A13626&lt;&gt;"""",SPLIT('(INGESTA)Datos_consumo_datadis'!A:A,"",""),"""")"),"ES0031408323131005HX0F")</f>
        <v>ES0031408323131005HX0F</v>
      </c>
      <c r="B13626" s="12">
        <f>IFERROR(__xludf.DUMMYFUNCTION("""COMPUTED_VALUE"""),45433.0)</f>
        <v>45433</v>
      </c>
      <c r="C13626" s="13">
        <f>IFERROR(__xludf.DUMMYFUNCTION("""COMPUTED_VALUE"""),0.75)</f>
        <v>0.75</v>
      </c>
      <c r="D13626" s="8">
        <f>IFERROR(__xludf.DUMMYFUNCTION("""COMPUTED_VALUE"""),0.518)</f>
        <v>0.518</v>
      </c>
      <c r="E13626" s="8" t="str">
        <f>IFERROR(__xludf.DUMMYFUNCTION("""COMPUTED_VALUE"""),"Real")</f>
        <v>Real</v>
      </c>
      <c r="G13626" s="8">
        <f t="shared" si="1"/>
        <v>5</v>
      </c>
      <c r="H13626" s="14">
        <f t="shared" si="2"/>
        <v>21</v>
      </c>
      <c r="I13626" s="15">
        <f t="shared" si="3"/>
        <v>18</v>
      </c>
    </row>
    <row r="13627">
      <c r="A13627" s="8" t="str">
        <f>IFERROR(__xludf.DUMMYFUNCTION("IF('(INGESTA)Datos_consumo_datadis'!A13627&lt;&gt;"""",SPLIT('(INGESTA)Datos_consumo_datadis'!A:A,"",""),"""")"),"ES0031408323131005HX0F")</f>
        <v>ES0031408323131005HX0F</v>
      </c>
      <c r="B13627" s="12">
        <f>IFERROR(__xludf.DUMMYFUNCTION("""COMPUTED_VALUE"""),45433.0)</f>
        <v>45433</v>
      </c>
      <c r="C13627" s="13">
        <f>IFERROR(__xludf.DUMMYFUNCTION("""COMPUTED_VALUE"""),0.7916666666666666)</f>
        <v>0.7916666667</v>
      </c>
      <c r="D13627" s="8">
        <f>IFERROR(__xludf.DUMMYFUNCTION("""COMPUTED_VALUE"""),0.087)</f>
        <v>0.087</v>
      </c>
      <c r="E13627" s="8" t="str">
        <f>IFERROR(__xludf.DUMMYFUNCTION("""COMPUTED_VALUE"""),"Real")</f>
        <v>Real</v>
      </c>
      <c r="G13627" s="8">
        <f t="shared" si="1"/>
        <v>5</v>
      </c>
      <c r="H13627" s="14">
        <f t="shared" si="2"/>
        <v>21</v>
      </c>
      <c r="I13627" s="15">
        <f t="shared" si="3"/>
        <v>19</v>
      </c>
    </row>
    <row r="13628">
      <c r="A13628" s="8" t="str">
        <f>IFERROR(__xludf.DUMMYFUNCTION("IF('(INGESTA)Datos_consumo_datadis'!A13628&lt;&gt;"""",SPLIT('(INGESTA)Datos_consumo_datadis'!A:A,"",""),"""")"),"ES0031408323131005HX0F")</f>
        <v>ES0031408323131005HX0F</v>
      </c>
      <c r="B13628" s="12">
        <f>IFERROR(__xludf.DUMMYFUNCTION("""COMPUTED_VALUE"""),45433.0)</f>
        <v>45433</v>
      </c>
      <c r="C13628" s="13">
        <f>IFERROR(__xludf.DUMMYFUNCTION("""COMPUTED_VALUE"""),0.8333333333333334)</f>
        <v>0.8333333333</v>
      </c>
      <c r="D13628" s="8">
        <f>IFERROR(__xludf.DUMMYFUNCTION("""COMPUTED_VALUE"""),0.095)</f>
        <v>0.095</v>
      </c>
      <c r="E13628" s="8" t="str">
        <f>IFERROR(__xludf.DUMMYFUNCTION("""COMPUTED_VALUE"""),"Real")</f>
        <v>Real</v>
      </c>
      <c r="G13628" s="8">
        <f t="shared" si="1"/>
        <v>5</v>
      </c>
      <c r="H13628" s="14">
        <f t="shared" si="2"/>
        <v>21</v>
      </c>
      <c r="I13628" s="15">
        <f t="shared" si="3"/>
        <v>20</v>
      </c>
    </row>
    <row r="13629">
      <c r="A13629" s="8" t="str">
        <f>IFERROR(__xludf.DUMMYFUNCTION("IF('(INGESTA)Datos_consumo_datadis'!A13629&lt;&gt;"""",SPLIT('(INGESTA)Datos_consumo_datadis'!A:A,"",""),"""")"),"ES0031408323131005HX0F")</f>
        <v>ES0031408323131005HX0F</v>
      </c>
      <c r="B13629" s="12">
        <f>IFERROR(__xludf.DUMMYFUNCTION("""COMPUTED_VALUE"""),45433.0)</f>
        <v>45433</v>
      </c>
      <c r="C13629" s="13">
        <f>IFERROR(__xludf.DUMMYFUNCTION("""COMPUTED_VALUE"""),0.875)</f>
        <v>0.875</v>
      </c>
      <c r="D13629" s="8">
        <f>IFERROR(__xludf.DUMMYFUNCTION("""COMPUTED_VALUE"""),1.415)</f>
        <v>1.415</v>
      </c>
      <c r="E13629" s="8" t="str">
        <f>IFERROR(__xludf.DUMMYFUNCTION("""COMPUTED_VALUE"""),"Real")</f>
        <v>Real</v>
      </c>
      <c r="G13629" s="8">
        <f t="shared" si="1"/>
        <v>5</v>
      </c>
      <c r="H13629" s="14">
        <f t="shared" si="2"/>
        <v>21</v>
      </c>
      <c r="I13629" s="15">
        <f t="shared" si="3"/>
        <v>21</v>
      </c>
    </row>
    <row r="13630">
      <c r="A13630" s="8" t="str">
        <f>IFERROR(__xludf.DUMMYFUNCTION("IF('(INGESTA)Datos_consumo_datadis'!A13630&lt;&gt;"""",SPLIT('(INGESTA)Datos_consumo_datadis'!A:A,"",""),"""")"),"ES0031408323131005HX0F")</f>
        <v>ES0031408323131005HX0F</v>
      </c>
      <c r="B13630" s="12">
        <f>IFERROR(__xludf.DUMMYFUNCTION("""COMPUTED_VALUE"""),45433.0)</f>
        <v>45433</v>
      </c>
      <c r="C13630" s="13">
        <f>IFERROR(__xludf.DUMMYFUNCTION("""COMPUTED_VALUE"""),0.9166666666666666)</f>
        <v>0.9166666667</v>
      </c>
      <c r="D13630" s="8">
        <f>IFERROR(__xludf.DUMMYFUNCTION("""COMPUTED_VALUE"""),0.179)</f>
        <v>0.179</v>
      </c>
      <c r="E13630" s="8" t="str">
        <f>IFERROR(__xludf.DUMMYFUNCTION("""COMPUTED_VALUE"""),"Real")</f>
        <v>Real</v>
      </c>
      <c r="G13630" s="8">
        <f t="shared" si="1"/>
        <v>5</v>
      </c>
      <c r="H13630" s="14">
        <f t="shared" si="2"/>
        <v>21</v>
      </c>
      <c r="I13630" s="15">
        <f t="shared" si="3"/>
        <v>22</v>
      </c>
    </row>
    <row r="13631">
      <c r="A13631" s="8" t="str">
        <f>IFERROR(__xludf.DUMMYFUNCTION("IF('(INGESTA)Datos_consumo_datadis'!A13631&lt;&gt;"""",SPLIT('(INGESTA)Datos_consumo_datadis'!A:A,"",""),"""")"),"ES0031408323131005HX0F")</f>
        <v>ES0031408323131005HX0F</v>
      </c>
      <c r="B13631" s="12">
        <f>IFERROR(__xludf.DUMMYFUNCTION("""COMPUTED_VALUE"""),45433.0)</f>
        <v>45433</v>
      </c>
      <c r="C13631" s="13">
        <f>IFERROR(__xludf.DUMMYFUNCTION("""COMPUTED_VALUE"""),0.9583333333333334)</f>
        <v>0.9583333333</v>
      </c>
      <c r="D13631" s="8">
        <f>IFERROR(__xludf.DUMMYFUNCTION("""COMPUTED_VALUE"""),0.084)</f>
        <v>0.084</v>
      </c>
      <c r="E13631" s="8" t="str">
        <f>IFERROR(__xludf.DUMMYFUNCTION("""COMPUTED_VALUE"""),"Real")</f>
        <v>Real</v>
      </c>
      <c r="G13631" s="8">
        <f t="shared" si="1"/>
        <v>5</v>
      </c>
      <c r="H13631" s="14">
        <f t="shared" si="2"/>
        <v>21</v>
      </c>
      <c r="I13631" s="15">
        <f t="shared" si="3"/>
        <v>23</v>
      </c>
    </row>
    <row r="13632">
      <c r="A13632" s="8" t="str">
        <f>IFERROR(__xludf.DUMMYFUNCTION("IF('(INGESTA)Datos_consumo_datadis'!A13632&lt;&gt;"""",SPLIT('(INGESTA)Datos_consumo_datadis'!A:A,"",""),"""")"),"ES0031408323131005HX0F")</f>
        <v>ES0031408323131005HX0F</v>
      </c>
      <c r="B13632" s="12">
        <f>IFERROR(__xludf.DUMMYFUNCTION("""COMPUTED_VALUE"""),45433.0)</f>
        <v>45433</v>
      </c>
      <c r="C13632" s="16">
        <f>IFERROR(__xludf.DUMMYFUNCTION("""COMPUTED_VALUE"""),1.0)</f>
        <v>1</v>
      </c>
      <c r="D13632" s="8">
        <f>IFERROR(__xludf.DUMMYFUNCTION("""COMPUTED_VALUE"""),0.103)</f>
        <v>0.103</v>
      </c>
      <c r="E13632" s="8" t="str">
        <f>IFERROR(__xludf.DUMMYFUNCTION("""COMPUTED_VALUE"""),"Real")</f>
        <v>Real</v>
      </c>
      <c r="G13632" s="8">
        <f t="shared" si="1"/>
        <v>5</v>
      </c>
      <c r="H13632" s="14">
        <f t="shared" si="2"/>
        <v>21</v>
      </c>
      <c r="I13632" s="15">
        <f t="shared" si="3"/>
        <v>0</v>
      </c>
    </row>
    <row r="13633">
      <c r="A13633" s="8" t="str">
        <f>IFERROR(__xludf.DUMMYFUNCTION("IF('(INGESTA)Datos_consumo_datadis'!A13633&lt;&gt;"""",SPLIT('(INGESTA)Datos_consumo_datadis'!A:A,"",""),"""")"),"ES0031408323131005HX0F")</f>
        <v>ES0031408323131005HX0F</v>
      </c>
      <c r="B13633" s="12">
        <f>IFERROR(__xludf.DUMMYFUNCTION("""COMPUTED_VALUE"""),45434.0)</f>
        <v>45434</v>
      </c>
      <c r="C13633" s="13">
        <f>IFERROR(__xludf.DUMMYFUNCTION("""COMPUTED_VALUE"""),0.041666666666666664)</f>
        <v>0.04166666667</v>
      </c>
      <c r="D13633" s="8">
        <f>IFERROR(__xludf.DUMMYFUNCTION("""COMPUTED_VALUE"""),0.059)</f>
        <v>0.059</v>
      </c>
      <c r="E13633" s="8" t="str">
        <f>IFERROR(__xludf.DUMMYFUNCTION("""COMPUTED_VALUE"""),"Real")</f>
        <v>Real</v>
      </c>
      <c r="G13633" s="8">
        <f t="shared" si="1"/>
        <v>5</v>
      </c>
      <c r="H13633" s="14">
        <f t="shared" si="2"/>
        <v>22</v>
      </c>
      <c r="I13633" s="15">
        <f t="shared" si="3"/>
        <v>1</v>
      </c>
    </row>
    <row r="13634">
      <c r="A13634" s="8" t="str">
        <f>IFERROR(__xludf.DUMMYFUNCTION("IF('(INGESTA)Datos_consumo_datadis'!A13634&lt;&gt;"""",SPLIT('(INGESTA)Datos_consumo_datadis'!A:A,"",""),"""")"),"ES0031408323131005HX0F")</f>
        <v>ES0031408323131005HX0F</v>
      </c>
      <c r="B13634" s="12">
        <f>IFERROR(__xludf.DUMMYFUNCTION("""COMPUTED_VALUE"""),45434.0)</f>
        <v>45434</v>
      </c>
      <c r="C13634" s="13">
        <f>IFERROR(__xludf.DUMMYFUNCTION("""COMPUTED_VALUE"""),0.08333333333333333)</f>
        <v>0.08333333333</v>
      </c>
      <c r="D13634" s="8">
        <f>IFERROR(__xludf.DUMMYFUNCTION("""COMPUTED_VALUE"""),0.097)</f>
        <v>0.097</v>
      </c>
      <c r="E13634" s="8" t="str">
        <f>IFERROR(__xludf.DUMMYFUNCTION("""COMPUTED_VALUE"""),"Real")</f>
        <v>Real</v>
      </c>
      <c r="G13634" s="8">
        <f t="shared" si="1"/>
        <v>5</v>
      </c>
      <c r="H13634" s="14">
        <f t="shared" si="2"/>
        <v>22</v>
      </c>
      <c r="I13634" s="15">
        <f t="shared" si="3"/>
        <v>2</v>
      </c>
    </row>
    <row r="13635">
      <c r="A13635" s="8" t="str">
        <f>IFERROR(__xludf.DUMMYFUNCTION("IF('(INGESTA)Datos_consumo_datadis'!A13635&lt;&gt;"""",SPLIT('(INGESTA)Datos_consumo_datadis'!A:A,"",""),"""")"),"ES0031408323131005HX0F")</f>
        <v>ES0031408323131005HX0F</v>
      </c>
      <c r="B13635" s="12">
        <f>IFERROR(__xludf.DUMMYFUNCTION("""COMPUTED_VALUE"""),45434.0)</f>
        <v>45434</v>
      </c>
      <c r="C13635" s="13">
        <f>IFERROR(__xludf.DUMMYFUNCTION("""COMPUTED_VALUE"""),0.125)</f>
        <v>0.125</v>
      </c>
      <c r="D13635" s="8">
        <f>IFERROR(__xludf.DUMMYFUNCTION("""COMPUTED_VALUE"""),0.313)</f>
        <v>0.313</v>
      </c>
      <c r="E13635" s="8" t="str">
        <f>IFERROR(__xludf.DUMMYFUNCTION("""COMPUTED_VALUE"""),"Real")</f>
        <v>Real</v>
      </c>
      <c r="G13635" s="8">
        <f t="shared" si="1"/>
        <v>5</v>
      </c>
      <c r="H13635" s="14">
        <f t="shared" si="2"/>
        <v>22</v>
      </c>
      <c r="I13635" s="15">
        <f t="shared" si="3"/>
        <v>3</v>
      </c>
    </row>
    <row r="13636">
      <c r="A13636" s="8" t="str">
        <f>IFERROR(__xludf.DUMMYFUNCTION("IF('(INGESTA)Datos_consumo_datadis'!A13636&lt;&gt;"""",SPLIT('(INGESTA)Datos_consumo_datadis'!A:A,"",""),"""")"),"ES0031408323131005HX0F")</f>
        <v>ES0031408323131005HX0F</v>
      </c>
      <c r="B13636" s="12">
        <f>IFERROR(__xludf.DUMMYFUNCTION("""COMPUTED_VALUE"""),45434.0)</f>
        <v>45434</v>
      </c>
      <c r="C13636" s="13">
        <f>IFERROR(__xludf.DUMMYFUNCTION("""COMPUTED_VALUE"""),0.16666666666666666)</f>
        <v>0.1666666667</v>
      </c>
      <c r="D13636" s="8">
        <f>IFERROR(__xludf.DUMMYFUNCTION("""COMPUTED_VALUE"""),0.094)</f>
        <v>0.094</v>
      </c>
      <c r="E13636" s="8" t="str">
        <f>IFERROR(__xludf.DUMMYFUNCTION("""COMPUTED_VALUE"""),"Real")</f>
        <v>Real</v>
      </c>
      <c r="G13636" s="8">
        <f t="shared" si="1"/>
        <v>5</v>
      </c>
      <c r="H13636" s="14">
        <f t="shared" si="2"/>
        <v>22</v>
      </c>
      <c r="I13636" s="15">
        <f t="shared" si="3"/>
        <v>4</v>
      </c>
    </row>
    <row r="13637">
      <c r="A13637" s="8" t="str">
        <f>IFERROR(__xludf.DUMMYFUNCTION("IF('(INGESTA)Datos_consumo_datadis'!A13637&lt;&gt;"""",SPLIT('(INGESTA)Datos_consumo_datadis'!A:A,"",""),"""")"),"ES0031408323131005HX0F")</f>
        <v>ES0031408323131005HX0F</v>
      </c>
      <c r="B13637" s="12">
        <f>IFERROR(__xludf.DUMMYFUNCTION("""COMPUTED_VALUE"""),45434.0)</f>
        <v>45434</v>
      </c>
      <c r="C13637" s="13">
        <f>IFERROR(__xludf.DUMMYFUNCTION("""COMPUTED_VALUE"""),0.20833333333333334)</f>
        <v>0.2083333333</v>
      </c>
      <c r="D13637" s="8">
        <f>IFERROR(__xludf.DUMMYFUNCTION("""COMPUTED_VALUE"""),0.03)</f>
        <v>0.03</v>
      </c>
      <c r="E13637" s="8" t="str">
        <f>IFERROR(__xludf.DUMMYFUNCTION("""COMPUTED_VALUE"""),"Real")</f>
        <v>Real</v>
      </c>
      <c r="G13637" s="8">
        <f t="shared" si="1"/>
        <v>5</v>
      </c>
      <c r="H13637" s="14">
        <f t="shared" si="2"/>
        <v>22</v>
      </c>
      <c r="I13637" s="15">
        <f t="shared" si="3"/>
        <v>5</v>
      </c>
    </row>
    <row r="13638">
      <c r="A13638" s="8" t="str">
        <f>IFERROR(__xludf.DUMMYFUNCTION("IF('(INGESTA)Datos_consumo_datadis'!A13638&lt;&gt;"""",SPLIT('(INGESTA)Datos_consumo_datadis'!A:A,"",""),"""")"),"ES0031408323131005HX0F")</f>
        <v>ES0031408323131005HX0F</v>
      </c>
      <c r="B13638" s="12">
        <f>IFERROR(__xludf.DUMMYFUNCTION("""COMPUTED_VALUE"""),45434.0)</f>
        <v>45434</v>
      </c>
      <c r="C13638" s="13">
        <f>IFERROR(__xludf.DUMMYFUNCTION("""COMPUTED_VALUE"""),0.25)</f>
        <v>0.25</v>
      </c>
      <c r="D13638" s="8">
        <f>IFERROR(__xludf.DUMMYFUNCTION("""COMPUTED_VALUE"""),0.094)</f>
        <v>0.094</v>
      </c>
      <c r="E13638" s="8" t="str">
        <f>IFERROR(__xludf.DUMMYFUNCTION("""COMPUTED_VALUE"""),"Real")</f>
        <v>Real</v>
      </c>
      <c r="G13638" s="8">
        <f t="shared" si="1"/>
        <v>5</v>
      </c>
      <c r="H13638" s="14">
        <f t="shared" si="2"/>
        <v>22</v>
      </c>
      <c r="I13638" s="15">
        <f t="shared" si="3"/>
        <v>6</v>
      </c>
    </row>
    <row r="13639">
      <c r="A13639" s="8" t="str">
        <f>IFERROR(__xludf.DUMMYFUNCTION("IF('(INGESTA)Datos_consumo_datadis'!A13639&lt;&gt;"""",SPLIT('(INGESTA)Datos_consumo_datadis'!A:A,"",""),"""")"),"ES0031408323131005HX0F")</f>
        <v>ES0031408323131005HX0F</v>
      </c>
      <c r="B13639" s="12">
        <f>IFERROR(__xludf.DUMMYFUNCTION("""COMPUTED_VALUE"""),45434.0)</f>
        <v>45434</v>
      </c>
      <c r="C13639" s="13">
        <f>IFERROR(__xludf.DUMMYFUNCTION("""COMPUTED_VALUE"""),0.2916666666666667)</f>
        <v>0.2916666667</v>
      </c>
      <c r="D13639" s="8">
        <f>IFERROR(__xludf.DUMMYFUNCTION("""COMPUTED_VALUE"""),0.038)</f>
        <v>0.038</v>
      </c>
      <c r="E13639" s="8" t="str">
        <f>IFERROR(__xludf.DUMMYFUNCTION("""COMPUTED_VALUE"""),"Real")</f>
        <v>Real</v>
      </c>
      <c r="G13639" s="8">
        <f t="shared" si="1"/>
        <v>5</v>
      </c>
      <c r="H13639" s="14">
        <f t="shared" si="2"/>
        <v>22</v>
      </c>
      <c r="I13639" s="15">
        <f t="shared" si="3"/>
        <v>7</v>
      </c>
    </row>
    <row r="13640">
      <c r="A13640" s="8" t="str">
        <f>IFERROR(__xludf.DUMMYFUNCTION("IF('(INGESTA)Datos_consumo_datadis'!A13640&lt;&gt;"""",SPLIT('(INGESTA)Datos_consumo_datadis'!A:A,"",""),"""")"),"ES0031408323131005HX0F")</f>
        <v>ES0031408323131005HX0F</v>
      </c>
      <c r="B13640" s="12">
        <f>IFERROR(__xludf.DUMMYFUNCTION("""COMPUTED_VALUE"""),45434.0)</f>
        <v>45434</v>
      </c>
      <c r="C13640" s="13">
        <f>IFERROR(__xludf.DUMMYFUNCTION("""COMPUTED_VALUE"""),0.3333333333333333)</f>
        <v>0.3333333333</v>
      </c>
      <c r="D13640" s="8">
        <f>IFERROR(__xludf.DUMMYFUNCTION("""COMPUTED_VALUE"""),1.471)</f>
        <v>1.471</v>
      </c>
      <c r="E13640" s="8" t="str">
        <f>IFERROR(__xludf.DUMMYFUNCTION("""COMPUTED_VALUE"""),"Real")</f>
        <v>Real</v>
      </c>
      <c r="G13640" s="8">
        <f t="shared" si="1"/>
        <v>5</v>
      </c>
      <c r="H13640" s="14">
        <f t="shared" si="2"/>
        <v>22</v>
      </c>
      <c r="I13640" s="15">
        <f t="shared" si="3"/>
        <v>8</v>
      </c>
    </row>
    <row r="13641">
      <c r="A13641" s="8" t="str">
        <f>IFERROR(__xludf.DUMMYFUNCTION("IF('(INGESTA)Datos_consumo_datadis'!A13641&lt;&gt;"""",SPLIT('(INGESTA)Datos_consumo_datadis'!A:A,"",""),"""")"),"ES0031408323131005HX0F")</f>
        <v>ES0031408323131005HX0F</v>
      </c>
      <c r="B13641" s="12">
        <f>IFERROR(__xludf.DUMMYFUNCTION("""COMPUTED_VALUE"""),45434.0)</f>
        <v>45434</v>
      </c>
      <c r="C13641" s="13">
        <f>IFERROR(__xludf.DUMMYFUNCTION("""COMPUTED_VALUE"""),0.375)</f>
        <v>0.375</v>
      </c>
      <c r="D13641" s="8">
        <f>IFERROR(__xludf.DUMMYFUNCTION("""COMPUTED_VALUE"""),0.248)</f>
        <v>0.248</v>
      </c>
      <c r="E13641" s="8" t="str">
        <f>IFERROR(__xludf.DUMMYFUNCTION("""COMPUTED_VALUE"""),"Real")</f>
        <v>Real</v>
      </c>
      <c r="G13641" s="8">
        <f t="shared" si="1"/>
        <v>5</v>
      </c>
      <c r="H13641" s="14">
        <f t="shared" si="2"/>
        <v>22</v>
      </c>
      <c r="I13641" s="15">
        <f t="shared" si="3"/>
        <v>9</v>
      </c>
    </row>
    <row r="13642">
      <c r="A13642" s="8" t="str">
        <f>IFERROR(__xludf.DUMMYFUNCTION("IF('(INGESTA)Datos_consumo_datadis'!A13642&lt;&gt;"""",SPLIT('(INGESTA)Datos_consumo_datadis'!A:A,"",""),"""")"),"ES0031408323131005HX0F")</f>
        <v>ES0031408323131005HX0F</v>
      </c>
      <c r="B13642" s="12">
        <f>IFERROR(__xludf.DUMMYFUNCTION("""COMPUTED_VALUE"""),45434.0)</f>
        <v>45434</v>
      </c>
      <c r="C13642" s="13">
        <f>IFERROR(__xludf.DUMMYFUNCTION("""COMPUTED_VALUE"""),0.4166666666666667)</f>
        <v>0.4166666667</v>
      </c>
      <c r="D13642" s="8">
        <f>IFERROR(__xludf.DUMMYFUNCTION("""COMPUTED_VALUE"""),0.094)</f>
        <v>0.094</v>
      </c>
      <c r="E13642" s="8" t="str">
        <f>IFERROR(__xludf.DUMMYFUNCTION("""COMPUTED_VALUE"""),"Real")</f>
        <v>Real</v>
      </c>
      <c r="G13642" s="8">
        <f t="shared" si="1"/>
        <v>5</v>
      </c>
      <c r="H13642" s="14">
        <f t="shared" si="2"/>
        <v>22</v>
      </c>
      <c r="I13642" s="15">
        <f t="shared" si="3"/>
        <v>10</v>
      </c>
    </row>
    <row r="13643">
      <c r="A13643" s="8" t="str">
        <f>IFERROR(__xludf.DUMMYFUNCTION("IF('(INGESTA)Datos_consumo_datadis'!A13643&lt;&gt;"""",SPLIT('(INGESTA)Datos_consumo_datadis'!A:A,"",""),"""")"),"ES0031408323131005HX0F")</f>
        <v>ES0031408323131005HX0F</v>
      </c>
      <c r="B13643" s="12">
        <f>IFERROR(__xludf.DUMMYFUNCTION("""COMPUTED_VALUE"""),45434.0)</f>
        <v>45434</v>
      </c>
      <c r="C13643" s="13">
        <f>IFERROR(__xludf.DUMMYFUNCTION("""COMPUTED_VALUE"""),0.4583333333333333)</f>
        <v>0.4583333333</v>
      </c>
      <c r="D13643" s="8">
        <f>IFERROR(__xludf.DUMMYFUNCTION("""COMPUTED_VALUE"""),0.098)</f>
        <v>0.098</v>
      </c>
      <c r="E13643" s="8" t="str">
        <f>IFERROR(__xludf.DUMMYFUNCTION("""COMPUTED_VALUE"""),"Real")</f>
        <v>Real</v>
      </c>
      <c r="G13643" s="8">
        <f t="shared" si="1"/>
        <v>5</v>
      </c>
      <c r="H13643" s="14">
        <f t="shared" si="2"/>
        <v>22</v>
      </c>
      <c r="I13643" s="15">
        <f t="shared" si="3"/>
        <v>11</v>
      </c>
    </row>
    <row r="13644">
      <c r="A13644" s="8" t="str">
        <f>IFERROR(__xludf.DUMMYFUNCTION("IF('(INGESTA)Datos_consumo_datadis'!A13644&lt;&gt;"""",SPLIT('(INGESTA)Datos_consumo_datadis'!A:A,"",""),"""")"),"ES0031408323131005HX0F")</f>
        <v>ES0031408323131005HX0F</v>
      </c>
      <c r="B13644" s="12">
        <f>IFERROR(__xludf.DUMMYFUNCTION("""COMPUTED_VALUE"""),45434.0)</f>
        <v>45434</v>
      </c>
      <c r="C13644" s="13">
        <f>IFERROR(__xludf.DUMMYFUNCTION("""COMPUTED_VALUE"""),0.5)</f>
        <v>0.5</v>
      </c>
      <c r="D13644" s="8">
        <f>IFERROR(__xludf.DUMMYFUNCTION("""COMPUTED_VALUE"""),0.094)</f>
        <v>0.094</v>
      </c>
      <c r="E13644" s="8" t="str">
        <f>IFERROR(__xludf.DUMMYFUNCTION("""COMPUTED_VALUE"""),"Real")</f>
        <v>Real</v>
      </c>
      <c r="G13644" s="8">
        <f t="shared" si="1"/>
        <v>5</v>
      </c>
      <c r="H13644" s="14">
        <f t="shared" si="2"/>
        <v>22</v>
      </c>
      <c r="I13644" s="15">
        <f t="shared" si="3"/>
        <v>12</v>
      </c>
    </row>
    <row r="13645">
      <c r="A13645" s="8" t="str">
        <f>IFERROR(__xludf.DUMMYFUNCTION("IF('(INGESTA)Datos_consumo_datadis'!A13645&lt;&gt;"""",SPLIT('(INGESTA)Datos_consumo_datadis'!A:A,"",""),"""")"),"ES0031408323131005HX0F")</f>
        <v>ES0031408323131005HX0F</v>
      </c>
      <c r="B13645" s="12">
        <f>IFERROR(__xludf.DUMMYFUNCTION("""COMPUTED_VALUE"""),45434.0)</f>
        <v>45434</v>
      </c>
      <c r="C13645" s="13">
        <f>IFERROR(__xludf.DUMMYFUNCTION("""COMPUTED_VALUE"""),0.5416666666666666)</f>
        <v>0.5416666667</v>
      </c>
      <c r="D13645" s="8">
        <f>IFERROR(__xludf.DUMMYFUNCTION("""COMPUTED_VALUE"""),0.096)</f>
        <v>0.096</v>
      </c>
      <c r="E13645" s="8" t="str">
        <f>IFERROR(__xludf.DUMMYFUNCTION("""COMPUTED_VALUE"""),"Real")</f>
        <v>Real</v>
      </c>
      <c r="G13645" s="8">
        <f t="shared" si="1"/>
        <v>5</v>
      </c>
      <c r="H13645" s="14">
        <f t="shared" si="2"/>
        <v>22</v>
      </c>
      <c r="I13645" s="15">
        <f t="shared" si="3"/>
        <v>13</v>
      </c>
    </row>
    <row r="13646">
      <c r="A13646" s="8" t="str">
        <f>IFERROR(__xludf.DUMMYFUNCTION("IF('(INGESTA)Datos_consumo_datadis'!A13646&lt;&gt;"""",SPLIT('(INGESTA)Datos_consumo_datadis'!A:A,"",""),"""")"),"ES0031408323131005HX0F")</f>
        <v>ES0031408323131005HX0F</v>
      </c>
      <c r="B13646" s="12">
        <f>IFERROR(__xludf.DUMMYFUNCTION("""COMPUTED_VALUE"""),45434.0)</f>
        <v>45434</v>
      </c>
      <c r="C13646" s="13">
        <f>IFERROR(__xludf.DUMMYFUNCTION("""COMPUTED_VALUE"""),0.5833333333333334)</f>
        <v>0.5833333333</v>
      </c>
      <c r="D13646" s="8">
        <f>IFERROR(__xludf.DUMMYFUNCTION("""COMPUTED_VALUE"""),0.447)</f>
        <v>0.447</v>
      </c>
      <c r="E13646" s="8" t="str">
        <f>IFERROR(__xludf.DUMMYFUNCTION("""COMPUTED_VALUE"""),"Real")</f>
        <v>Real</v>
      </c>
      <c r="G13646" s="8">
        <f t="shared" si="1"/>
        <v>5</v>
      </c>
      <c r="H13646" s="14">
        <f t="shared" si="2"/>
        <v>22</v>
      </c>
      <c r="I13646" s="15">
        <f t="shared" si="3"/>
        <v>14</v>
      </c>
    </row>
    <row r="13647">
      <c r="A13647" s="8" t="str">
        <f>IFERROR(__xludf.DUMMYFUNCTION("IF('(INGESTA)Datos_consumo_datadis'!A13647&lt;&gt;"""",SPLIT('(INGESTA)Datos_consumo_datadis'!A:A,"",""),"""")"),"ES0031408323131005HX0F")</f>
        <v>ES0031408323131005HX0F</v>
      </c>
      <c r="B13647" s="12">
        <f>IFERROR(__xludf.DUMMYFUNCTION("""COMPUTED_VALUE"""),45434.0)</f>
        <v>45434</v>
      </c>
      <c r="C13647" s="13">
        <f>IFERROR(__xludf.DUMMYFUNCTION("""COMPUTED_VALUE"""),0.625)</f>
        <v>0.625</v>
      </c>
      <c r="D13647" s="8">
        <f>IFERROR(__xludf.DUMMYFUNCTION("""COMPUTED_VALUE"""),0.389)</f>
        <v>0.389</v>
      </c>
      <c r="E13647" s="8" t="str">
        <f>IFERROR(__xludf.DUMMYFUNCTION("""COMPUTED_VALUE"""),"Real")</f>
        <v>Real</v>
      </c>
      <c r="G13647" s="8">
        <f t="shared" si="1"/>
        <v>5</v>
      </c>
      <c r="H13647" s="14">
        <f t="shared" si="2"/>
        <v>22</v>
      </c>
      <c r="I13647" s="15">
        <f t="shared" si="3"/>
        <v>15</v>
      </c>
    </row>
    <row r="13648">
      <c r="A13648" s="8" t="str">
        <f>IFERROR(__xludf.DUMMYFUNCTION("IF('(INGESTA)Datos_consumo_datadis'!A13648&lt;&gt;"""",SPLIT('(INGESTA)Datos_consumo_datadis'!A:A,"",""),"""")"),"ES0031408323131005HX0F")</f>
        <v>ES0031408323131005HX0F</v>
      </c>
      <c r="B13648" s="12">
        <f>IFERROR(__xludf.DUMMYFUNCTION("""COMPUTED_VALUE"""),45434.0)</f>
        <v>45434</v>
      </c>
      <c r="C13648" s="13">
        <f>IFERROR(__xludf.DUMMYFUNCTION("""COMPUTED_VALUE"""),0.6666666666666666)</f>
        <v>0.6666666667</v>
      </c>
      <c r="D13648" s="8">
        <f>IFERROR(__xludf.DUMMYFUNCTION("""COMPUTED_VALUE"""),0.044)</f>
        <v>0.044</v>
      </c>
      <c r="E13648" s="8" t="str">
        <f>IFERROR(__xludf.DUMMYFUNCTION("""COMPUTED_VALUE"""),"Real")</f>
        <v>Real</v>
      </c>
      <c r="G13648" s="8">
        <f t="shared" si="1"/>
        <v>5</v>
      </c>
      <c r="H13648" s="14">
        <f t="shared" si="2"/>
        <v>22</v>
      </c>
      <c r="I13648" s="15">
        <f t="shared" si="3"/>
        <v>16</v>
      </c>
    </row>
    <row r="13649">
      <c r="A13649" s="8" t="str">
        <f>IFERROR(__xludf.DUMMYFUNCTION("IF('(INGESTA)Datos_consumo_datadis'!A13649&lt;&gt;"""",SPLIT('(INGESTA)Datos_consumo_datadis'!A:A,"",""),"""")"),"ES0031408323131005HX0F")</f>
        <v>ES0031408323131005HX0F</v>
      </c>
      <c r="B13649" s="12">
        <f>IFERROR(__xludf.DUMMYFUNCTION("""COMPUTED_VALUE"""),45434.0)</f>
        <v>45434</v>
      </c>
      <c r="C13649" s="13">
        <f>IFERROR(__xludf.DUMMYFUNCTION("""COMPUTED_VALUE"""),0.7083333333333334)</f>
        <v>0.7083333333</v>
      </c>
      <c r="D13649" s="8">
        <f>IFERROR(__xludf.DUMMYFUNCTION("""COMPUTED_VALUE"""),0.101)</f>
        <v>0.101</v>
      </c>
      <c r="E13649" s="8" t="str">
        <f>IFERROR(__xludf.DUMMYFUNCTION("""COMPUTED_VALUE"""),"Real")</f>
        <v>Real</v>
      </c>
      <c r="G13649" s="8">
        <f t="shared" si="1"/>
        <v>5</v>
      </c>
      <c r="H13649" s="14">
        <f t="shared" si="2"/>
        <v>22</v>
      </c>
      <c r="I13649" s="15">
        <f t="shared" si="3"/>
        <v>17</v>
      </c>
    </row>
    <row r="13650">
      <c r="A13650" s="8" t="str">
        <f>IFERROR(__xludf.DUMMYFUNCTION("IF('(INGESTA)Datos_consumo_datadis'!A13650&lt;&gt;"""",SPLIT('(INGESTA)Datos_consumo_datadis'!A:A,"",""),"""")"),"ES0031408323131005HX0F")</f>
        <v>ES0031408323131005HX0F</v>
      </c>
      <c r="B13650" s="12">
        <f>IFERROR(__xludf.DUMMYFUNCTION("""COMPUTED_VALUE"""),45434.0)</f>
        <v>45434</v>
      </c>
      <c r="C13650" s="13">
        <f>IFERROR(__xludf.DUMMYFUNCTION("""COMPUTED_VALUE"""),0.75)</f>
        <v>0.75</v>
      </c>
      <c r="D13650" s="8">
        <f>IFERROR(__xludf.DUMMYFUNCTION("""COMPUTED_VALUE"""),0.05)</f>
        <v>0.05</v>
      </c>
      <c r="E13650" s="8" t="str">
        <f>IFERROR(__xludf.DUMMYFUNCTION("""COMPUTED_VALUE"""),"Real")</f>
        <v>Real</v>
      </c>
      <c r="G13650" s="8">
        <f t="shared" si="1"/>
        <v>5</v>
      </c>
      <c r="H13650" s="14">
        <f t="shared" si="2"/>
        <v>22</v>
      </c>
      <c r="I13650" s="15">
        <f t="shared" si="3"/>
        <v>18</v>
      </c>
    </row>
    <row r="13651">
      <c r="A13651" s="8" t="str">
        <f>IFERROR(__xludf.DUMMYFUNCTION("IF('(INGESTA)Datos_consumo_datadis'!A13651&lt;&gt;"""",SPLIT('(INGESTA)Datos_consumo_datadis'!A:A,"",""),"""")"),"ES0031408323131005HX0F")</f>
        <v>ES0031408323131005HX0F</v>
      </c>
      <c r="B13651" s="12">
        <f>IFERROR(__xludf.DUMMYFUNCTION("""COMPUTED_VALUE"""),45434.0)</f>
        <v>45434</v>
      </c>
      <c r="C13651" s="13">
        <f>IFERROR(__xludf.DUMMYFUNCTION("""COMPUTED_VALUE"""),0.7916666666666666)</f>
        <v>0.7916666667</v>
      </c>
      <c r="D13651" s="8">
        <f>IFERROR(__xludf.DUMMYFUNCTION("""COMPUTED_VALUE"""),0.091)</f>
        <v>0.091</v>
      </c>
      <c r="E13651" s="8" t="str">
        <f>IFERROR(__xludf.DUMMYFUNCTION("""COMPUTED_VALUE"""),"Real")</f>
        <v>Real</v>
      </c>
      <c r="G13651" s="8">
        <f t="shared" si="1"/>
        <v>5</v>
      </c>
      <c r="H13651" s="14">
        <f t="shared" si="2"/>
        <v>22</v>
      </c>
      <c r="I13651" s="15">
        <f t="shared" si="3"/>
        <v>19</v>
      </c>
    </row>
    <row r="13652">
      <c r="A13652" s="8" t="str">
        <f>IFERROR(__xludf.DUMMYFUNCTION("IF('(INGESTA)Datos_consumo_datadis'!A13652&lt;&gt;"""",SPLIT('(INGESTA)Datos_consumo_datadis'!A:A,"",""),"""")"),"ES0031408323131005HX0F")</f>
        <v>ES0031408323131005HX0F</v>
      </c>
      <c r="B13652" s="12">
        <f>IFERROR(__xludf.DUMMYFUNCTION("""COMPUTED_VALUE"""),45434.0)</f>
        <v>45434</v>
      </c>
      <c r="C13652" s="13">
        <f>IFERROR(__xludf.DUMMYFUNCTION("""COMPUTED_VALUE"""),0.8333333333333334)</f>
        <v>0.8333333333</v>
      </c>
      <c r="D13652" s="8">
        <f>IFERROR(__xludf.DUMMYFUNCTION("""COMPUTED_VALUE"""),0.051)</f>
        <v>0.051</v>
      </c>
      <c r="E13652" s="8" t="str">
        <f>IFERROR(__xludf.DUMMYFUNCTION("""COMPUTED_VALUE"""),"Real")</f>
        <v>Real</v>
      </c>
      <c r="G13652" s="8">
        <f t="shared" si="1"/>
        <v>5</v>
      </c>
      <c r="H13652" s="14">
        <f t="shared" si="2"/>
        <v>22</v>
      </c>
      <c r="I13652" s="15">
        <f t="shared" si="3"/>
        <v>20</v>
      </c>
    </row>
    <row r="13653">
      <c r="A13653" s="8" t="str">
        <f>IFERROR(__xludf.DUMMYFUNCTION("IF('(INGESTA)Datos_consumo_datadis'!A13653&lt;&gt;"""",SPLIT('(INGESTA)Datos_consumo_datadis'!A:A,"",""),"""")"),"ES0031408323131005HX0F")</f>
        <v>ES0031408323131005HX0F</v>
      </c>
      <c r="B13653" s="12">
        <f>IFERROR(__xludf.DUMMYFUNCTION("""COMPUTED_VALUE"""),45434.0)</f>
        <v>45434</v>
      </c>
      <c r="C13653" s="13">
        <f>IFERROR(__xludf.DUMMYFUNCTION("""COMPUTED_VALUE"""),0.875)</f>
        <v>0.875</v>
      </c>
      <c r="D13653" s="8">
        <f>IFERROR(__xludf.DUMMYFUNCTION("""COMPUTED_VALUE"""),0.912)</f>
        <v>0.912</v>
      </c>
      <c r="E13653" s="8" t="str">
        <f>IFERROR(__xludf.DUMMYFUNCTION("""COMPUTED_VALUE"""),"Real")</f>
        <v>Real</v>
      </c>
      <c r="G13653" s="8">
        <f t="shared" si="1"/>
        <v>5</v>
      </c>
      <c r="H13653" s="14">
        <f t="shared" si="2"/>
        <v>22</v>
      </c>
      <c r="I13653" s="15">
        <f t="shared" si="3"/>
        <v>21</v>
      </c>
    </row>
    <row r="13654">
      <c r="A13654" s="8" t="str">
        <f>IFERROR(__xludf.DUMMYFUNCTION("IF('(INGESTA)Datos_consumo_datadis'!A13654&lt;&gt;"""",SPLIT('(INGESTA)Datos_consumo_datadis'!A:A,"",""),"""")"),"ES0031408323131005HX0F")</f>
        <v>ES0031408323131005HX0F</v>
      </c>
      <c r="B13654" s="12">
        <f>IFERROR(__xludf.DUMMYFUNCTION("""COMPUTED_VALUE"""),45434.0)</f>
        <v>45434</v>
      </c>
      <c r="C13654" s="13">
        <f>IFERROR(__xludf.DUMMYFUNCTION("""COMPUTED_VALUE"""),0.9166666666666666)</f>
        <v>0.9166666667</v>
      </c>
      <c r="D13654" s="8">
        <f>IFERROR(__xludf.DUMMYFUNCTION("""COMPUTED_VALUE"""),0.167)</f>
        <v>0.167</v>
      </c>
      <c r="E13654" s="8" t="str">
        <f>IFERROR(__xludf.DUMMYFUNCTION("""COMPUTED_VALUE"""),"Real")</f>
        <v>Real</v>
      </c>
      <c r="G13654" s="8">
        <f t="shared" si="1"/>
        <v>5</v>
      </c>
      <c r="H13654" s="14">
        <f t="shared" si="2"/>
        <v>22</v>
      </c>
      <c r="I13654" s="15">
        <f t="shared" si="3"/>
        <v>22</v>
      </c>
    </row>
    <row r="13655">
      <c r="A13655" s="8" t="str">
        <f>IFERROR(__xludf.DUMMYFUNCTION("IF('(INGESTA)Datos_consumo_datadis'!A13655&lt;&gt;"""",SPLIT('(INGESTA)Datos_consumo_datadis'!A:A,"",""),"""")"),"ES0031408323131005HX0F")</f>
        <v>ES0031408323131005HX0F</v>
      </c>
      <c r="B13655" s="12">
        <f>IFERROR(__xludf.DUMMYFUNCTION("""COMPUTED_VALUE"""),45434.0)</f>
        <v>45434</v>
      </c>
      <c r="C13655" s="13">
        <f>IFERROR(__xludf.DUMMYFUNCTION("""COMPUTED_VALUE"""),0.9583333333333334)</f>
        <v>0.9583333333</v>
      </c>
      <c r="D13655" s="8">
        <f>IFERROR(__xludf.DUMMYFUNCTION("""COMPUTED_VALUE"""),0.475)</f>
        <v>0.475</v>
      </c>
      <c r="E13655" s="8" t="str">
        <f>IFERROR(__xludf.DUMMYFUNCTION("""COMPUTED_VALUE"""),"Real")</f>
        <v>Real</v>
      </c>
      <c r="G13655" s="8">
        <f t="shared" si="1"/>
        <v>5</v>
      </c>
      <c r="H13655" s="14">
        <f t="shared" si="2"/>
        <v>22</v>
      </c>
      <c r="I13655" s="15">
        <f t="shared" si="3"/>
        <v>23</v>
      </c>
    </row>
    <row r="13656">
      <c r="A13656" s="8" t="str">
        <f>IFERROR(__xludf.DUMMYFUNCTION("IF('(INGESTA)Datos_consumo_datadis'!A13656&lt;&gt;"""",SPLIT('(INGESTA)Datos_consumo_datadis'!A:A,"",""),"""")"),"ES0031408323131005HX0F")</f>
        <v>ES0031408323131005HX0F</v>
      </c>
      <c r="B13656" s="12">
        <f>IFERROR(__xludf.DUMMYFUNCTION("""COMPUTED_VALUE"""),45434.0)</f>
        <v>45434</v>
      </c>
      <c r="C13656" s="16">
        <f>IFERROR(__xludf.DUMMYFUNCTION("""COMPUTED_VALUE"""),1.0)</f>
        <v>1</v>
      </c>
      <c r="D13656" s="8">
        <f>IFERROR(__xludf.DUMMYFUNCTION("""COMPUTED_VALUE"""),0.448)</f>
        <v>0.448</v>
      </c>
      <c r="E13656" s="8" t="str">
        <f>IFERROR(__xludf.DUMMYFUNCTION("""COMPUTED_VALUE"""),"Real")</f>
        <v>Real</v>
      </c>
      <c r="G13656" s="8">
        <f t="shared" si="1"/>
        <v>5</v>
      </c>
      <c r="H13656" s="14">
        <f t="shared" si="2"/>
        <v>22</v>
      </c>
      <c r="I13656" s="15">
        <f t="shared" si="3"/>
        <v>0</v>
      </c>
    </row>
    <row r="13657">
      <c r="A13657" s="8" t="str">
        <f>IFERROR(__xludf.DUMMYFUNCTION("IF('(INGESTA)Datos_consumo_datadis'!A13657&lt;&gt;"""",SPLIT('(INGESTA)Datos_consumo_datadis'!A:A,"",""),"""")"),"ES0031408323131005HX0F")</f>
        <v>ES0031408323131005HX0F</v>
      </c>
      <c r="B13657" s="12">
        <f>IFERROR(__xludf.DUMMYFUNCTION("""COMPUTED_VALUE"""),45435.0)</f>
        <v>45435</v>
      </c>
      <c r="C13657" s="13">
        <f>IFERROR(__xludf.DUMMYFUNCTION("""COMPUTED_VALUE"""),0.041666666666666664)</f>
        <v>0.04166666667</v>
      </c>
      <c r="D13657" s="8">
        <f>IFERROR(__xludf.DUMMYFUNCTION("""COMPUTED_VALUE"""),0.093)</f>
        <v>0.093</v>
      </c>
      <c r="E13657" s="8" t="str">
        <f>IFERROR(__xludf.DUMMYFUNCTION("""COMPUTED_VALUE"""),"Real")</f>
        <v>Real</v>
      </c>
      <c r="G13657" s="8">
        <f t="shared" si="1"/>
        <v>5</v>
      </c>
      <c r="H13657" s="14">
        <f t="shared" si="2"/>
        <v>23</v>
      </c>
      <c r="I13657" s="15">
        <f t="shared" si="3"/>
        <v>1</v>
      </c>
    </row>
    <row r="13658">
      <c r="A13658" s="8" t="str">
        <f>IFERROR(__xludf.DUMMYFUNCTION("IF('(INGESTA)Datos_consumo_datadis'!A13658&lt;&gt;"""",SPLIT('(INGESTA)Datos_consumo_datadis'!A:A,"",""),"""")"),"ES0031408323131005HX0F")</f>
        <v>ES0031408323131005HX0F</v>
      </c>
      <c r="B13658" s="12">
        <f>IFERROR(__xludf.DUMMYFUNCTION("""COMPUTED_VALUE"""),45435.0)</f>
        <v>45435</v>
      </c>
      <c r="C13658" s="13">
        <f>IFERROR(__xludf.DUMMYFUNCTION("""COMPUTED_VALUE"""),0.08333333333333333)</f>
        <v>0.08333333333</v>
      </c>
      <c r="D13658" s="8">
        <f>IFERROR(__xludf.DUMMYFUNCTION("""COMPUTED_VALUE"""),0.038)</f>
        <v>0.038</v>
      </c>
      <c r="E13658" s="8" t="str">
        <f>IFERROR(__xludf.DUMMYFUNCTION("""COMPUTED_VALUE"""),"Real")</f>
        <v>Real</v>
      </c>
      <c r="G13658" s="8">
        <f t="shared" si="1"/>
        <v>5</v>
      </c>
      <c r="H13658" s="14">
        <f t="shared" si="2"/>
        <v>23</v>
      </c>
      <c r="I13658" s="15">
        <f t="shared" si="3"/>
        <v>2</v>
      </c>
    </row>
    <row r="13659">
      <c r="A13659" s="8" t="str">
        <f>IFERROR(__xludf.DUMMYFUNCTION("IF('(INGESTA)Datos_consumo_datadis'!A13659&lt;&gt;"""",SPLIT('(INGESTA)Datos_consumo_datadis'!A:A,"",""),"""")"),"ES0031408323131005HX0F")</f>
        <v>ES0031408323131005HX0F</v>
      </c>
      <c r="B13659" s="12">
        <f>IFERROR(__xludf.DUMMYFUNCTION("""COMPUTED_VALUE"""),45435.0)</f>
        <v>45435</v>
      </c>
      <c r="C13659" s="13">
        <f>IFERROR(__xludf.DUMMYFUNCTION("""COMPUTED_VALUE"""),0.125)</f>
        <v>0.125</v>
      </c>
      <c r="D13659" s="8">
        <f>IFERROR(__xludf.DUMMYFUNCTION("""COMPUTED_VALUE"""),0.372)</f>
        <v>0.372</v>
      </c>
      <c r="E13659" s="8" t="str">
        <f>IFERROR(__xludf.DUMMYFUNCTION("""COMPUTED_VALUE"""),"Real")</f>
        <v>Real</v>
      </c>
      <c r="G13659" s="8">
        <f t="shared" si="1"/>
        <v>5</v>
      </c>
      <c r="H13659" s="14">
        <f t="shared" si="2"/>
        <v>23</v>
      </c>
      <c r="I13659" s="15">
        <f t="shared" si="3"/>
        <v>3</v>
      </c>
    </row>
    <row r="13660">
      <c r="A13660" s="8" t="str">
        <f>IFERROR(__xludf.DUMMYFUNCTION("IF('(INGESTA)Datos_consumo_datadis'!A13660&lt;&gt;"""",SPLIT('(INGESTA)Datos_consumo_datadis'!A:A,"",""),"""")"),"ES0031408323131005HX0F")</f>
        <v>ES0031408323131005HX0F</v>
      </c>
      <c r="B13660" s="12">
        <f>IFERROR(__xludf.DUMMYFUNCTION("""COMPUTED_VALUE"""),45435.0)</f>
        <v>45435</v>
      </c>
      <c r="C13660" s="13">
        <f>IFERROR(__xludf.DUMMYFUNCTION("""COMPUTED_VALUE"""),0.16666666666666666)</f>
        <v>0.1666666667</v>
      </c>
      <c r="D13660" s="8">
        <f>IFERROR(__xludf.DUMMYFUNCTION("""COMPUTED_VALUE"""),0.032)</f>
        <v>0.032</v>
      </c>
      <c r="E13660" s="8" t="str">
        <f>IFERROR(__xludf.DUMMYFUNCTION("""COMPUTED_VALUE"""),"Real")</f>
        <v>Real</v>
      </c>
      <c r="G13660" s="8">
        <f t="shared" si="1"/>
        <v>5</v>
      </c>
      <c r="H13660" s="14">
        <f t="shared" si="2"/>
        <v>23</v>
      </c>
      <c r="I13660" s="15">
        <f t="shared" si="3"/>
        <v>4</v>
      </c>
    </row>
    <row r="13661">
      <c r="A13661" s="8" t="str">
        <f>IFERROR(__xludf.DUMMYFUNCTION("IF('(INGESTA)Datos_consumo_datadis'!A13661&lt;&gt;"""",SPLIT('(INGESTA)Datos_consumo_datadis'!A:A,"",""),"""")"),"ES0031408323131005HX0F")</f>
        <v>ES0031408323131005HX0F</v>
      </c>
      <c r="B13661" s="12">
        <f>IFERROR(__xludf.DUMMYFUNCTION("""COMPUTED_VALUE"""),45435.0)</f>
        <v>45435</v>
      </c>
      <c r="C13661" s="13">
        <f>IFERROR(__xludf.DUMMYFUNCTION("""COMPUTED_VALUE"""),0.20833333333333334)</f>
        <v>0.2083333333</v>
      </c>
      <c r="D13661" s="8">
        <f>IFERROR(__xludf.DUMMYFUNCTION("""COMPUTED_VALUE"""),0.093)</f>
        <v>0.093</v>
      </c>
      <c r="E13661" s="8" t="str">
        <f>IFERROR(__xludf.DUMMYFUNCTION("""COMPUTED_VALUE"""),"Real")</f>
        <v>Real</v>
      </c>
      <c r="G13661" s="8">
        <f t="shared" si="1"/>
        <v>5</v>
      </c>
      <c r="H13661" s="14">
        <f t="shared" si="2"/>
        <v>23</v>
      </c>
      <c r="I13661" s="15">
        <f t="shared" si="3"/>
        <v>5</v>
      </c>
    </row>
    <row r="13662">
      <c r="A13662" s="8" t="str">
        <f>IFERROR(__xludf.DUMMYFUNCTION("IF('(INGESTA)Datos_consumo_datadis'!A13662&lt;&gt;"""",SPLIT('(INGESTA)Datos_consumo_datadis'!A:A,"",""),"""")"),"ES0031408323131005HX0F")</f>
        <v>ES0031408323131005HX0F</v>
      </c>
      <c r="B13662" s="12">
        <f>IFERROR(__xludf.DUMMYFUNCTION("""COMPUTED_VALUE"""),45435.0)</f>
        <v>45435</v>
      </c>
      <c r="C13662" s="13">
        <f>IFERROR(__xludf.DUMMYFUNCTION("""COMPUTED_VALUE"""),0.25)</f>
        <v>0.25</v>
      </c>
      <c r="D13662" s="8">
        <f>IFERROR(__xludf.DUMMYFUNCTION("""COMPUTED_VALUE"""),0.045)</f>
        <v>0.045</v>
      </c>
      <c r="E13662" s="8" t="str">
        <f>IFERROR(__xludf.DUMMYFUNCTION("""COMPUTED_VALUE"""),"Real")</f>
        <v>Real</v>
      </c>
      <c r="G13662" s="8">
        <f t="shared" si="1"/>
        <v>5</v>
      </c>
      <c r="H13662" s="14">
        <f t="shared" si="2"/>
        <v>23</v>
      </c>
      <c r="I13662" s="15">
        <f t="shared" si="3"/>
        <v>6</v>
      </c>
    </row>
    <row r="13663">
      <c r="A13663" s="8" t="str">
        <f>IFERROR(__xludf.DUMMYFUNCTION("IF('(INGESTA)Datos_consumo_datadis'!A13663&lt;&gt;"""",SPLIT('(INGESTA)Datos_consumo_datadis'!A:A,"",""),"""")"),"ES0031408323131005HX0F")</f>
        <v>ES0031408323131005HX0F</v>
      </c>
      <c r="B13663" s="12">
        <f>IFERROR(__xludf.DUMMYFUNCTION("""COMPUTED_VALUE"""),45435.0)</f>
        <v>45435</v>
      </c>
      <c r="C13663" s="13">
        <f>IFERROR(__xludf.DUMMYFUNCTION("""COMPUTED_VALUE"""),0.2916666666666667)</f>
        <v>0.2916666667</v>
      </c>
      <c r="D13663" s="8">
        <f>IFERROR(__xludf.DUMMYFUNCTION("""COMPUTED_VALUE"""),0.09)</f>
        <v>0.09</v>
      </c>
      <c r="E13663" s="8" t="str">
        <f>IFERROR(__xludf.DUMMYFUNCTION("""COMPUTED_VALUE"""),"Real")</f>
        <v>Real</v>
      </c>
      <c r="G13663" s="8">
        <f t="shared" si="1"/>
        <v>5</v>
      </c>
      <c r="H13663" s="14">
        <f t="shared" si="2"/>
        <v>23</v>
      </c>
      <c r="I13663" s="15">
        <f t="shared" si="3"/>
        <v>7</v>
      </c>
    </row>
    <row r="13664">
      <c r="A13664" s="8" t="str">
        <f>IFERROR(__xludf.DUMMYFUNCTION("IF('(INGESTA)Datos_consumo_datadis'!A13664&lt;&gt;"""",SPLIT('(INGESTA)Datos_consumo_datadis'!A:A,"",""),"""")"),"ES0031408323131005HX0F")</f>
        <v>ES0031408323131005HX0F</v>
      </c>
      <c r="B13664" s="12">
        <f>IFERROR(__xludf.DUMMYFUNCTION("""COMPUTED_VALUE"""),45435.0)</f>
        <v>45435</v>
      </c>
      <c r="C13664" s="13">
        <f>IFERROR(__xludf.DUMMYFUNCTION("""COMPUTED_VALUE"""),0.3333333333333333)</f>
        <v>0.3333333333</v>
      </c>
      <c r="D13664" s="8">
        <f>IFERROR(__xludf.DUMMYFUNCTION("""COMPUTED_VALUE"""),0.625)</f>
        <v>0.625</v>
      </c>
      <c r="E13664" s="8" t="str">
        <f>IFERROR(__xludf.DUMMYFUNCTION("""COMPUTED_VALUE"""),"Real")</f>
        <v>Real</v>
      </c>
      <c r="G13664" s="8">
        <f t="shared" si="1"/>
        <v>5</v>
      </c>
      <c r="H13664" s="14">
        <f t="shared" si="2"/>
        <v>23</v>
      </c>
      <c r="I13664" s="15">
        <f t="shared" si="3"/>
        <v>8</v>
      </c>
    </row>
    <row r="13665">
      <c r="A13665" s="8" t="str">
        <f>IFERROR(__xludf.DUMMYFUNCTION("IF('(INGESTA)Datos_consumo_datadis'!A13665&lt;&gt;"""",SPLIT('(INGESTA)Datos_consumo_datadis'!A:A,"",""),"""")"),"ES0031408323131005HX0F")</f>
        <v>ES0031408323131005HX0F</v>
      </c>
      <c r="B13665" s="12">
        <f>IFERROR(__xludf.DUMMYFUNCTION("""COMPUTED_VALUE"""),45435.0)</f>
        <v>45435</v>
      </c>
      <c r="C13665" s="13">
        <f>IFERROR(__xludf.DUMMYFUNCTION("""COMPUTED_VALUE"""),0.375)</f>
        <v>0.375</v>
      </c>
      <c r="D13665" s="8">
        <f>IFERROR(__xludf.DUMMYFUNCTION("""COMPUTED_VALUE"""),0.491)</f>
        <v>0.491</v>
      </c>
      <c r="E13665" s="8" t="str">
        <f>IFERROR(__xludf.DUMMYFUNCTION("""COMPUTED_VALUE"""),"Real")</f>
        <v>Real</v>
      </c>
      <c r="G13665" s="8">
        <f t="shared" si="1"/>
        <v>5</v>
      </c>
      <c r="H13665" s="14">
        <f t="shared" si="2"/>
        <v>23</v>
      </c>
      <c r="I13665" s="15">
        <f t="shared" si="3"/>
        <v>9</v>
      </c>
    </row>
    <row r="13666">
      <c r="A13666" s="8" t="str">
        <f>IFERROR(__xludf.DUMMYFUNCTION("IF('(INGESTA)Datos_consumo_datadis'!A13666&lt;&gt;"""",SPLIT('(INGESTA)Datos_consumo_datadis'!A:A,"",""),"""")"),"ES0031408323131005HX0F")</f>
        <v>ES0031408323131005HX0F</v>
      </c>
      <c r="B13666" s="12">
        <f>IFERROR(__xludf.DUMMYFUNCTION("""COMPUTED_VALUE"""),45435.0)</f>
        <v>45435</v>
      </c>
      <c r="C13666" s="13">
        <f>IFERROR(__xludf.DUMMYFUNCTION("""COMPUTED_VALUE"""),0.4166666666666667)</f>
        <v>0.4166666667</v>
      </c>
      <c r="D13666" s="8">
        <f>IFERROR(__xludf.DUMMYFUNCTION("""COMPUTED_VALUE"""),0.034)</f>
        <v>0.034</v>
      </c>
      <c r="E13666" s="8" t="str">
        <f>IFERROR(__xludf.DUMMYFUNCTION("""COMPUTED_VALUE"""),"Real")</f>
        <v>Real</v>
      </c>
      <c r="G13666" s="8">
        <f t="shared" si="1"/>
        <v>5</v>
      </c>
      <c r="H13666" s="14">
        <f t="shared" si="2"/>
        <v>23</v>
      </c>
      <c r="I13666" s="15">
        <f t="shared" si="3"/>
        <v>10</v>
      </c>
    </row>
    <row r="13667">
      <c r="A13667" s="8" t="str">
        <f>IFERROR(__xludf.DUMMYFUNCTION("IF('(INGESTA)Datos_consumo_datadis'!A13667&lt;&gt;"""",SPLIT('(INGESTA)Datos_consumo_datadis'!A:A,"",""),"""")"),"ES0031408323131005HX0F")</f>
        <v>ES0031408323131005HX0F</v>
      </c>
      <c r="B13667" s="12">
        <f>IFERROR(__xludf.DUMMYFUNCTION("""COMPUTED_VALUE"""),45435.0)</f>
        <v>45435</v>
      </c>
      <c r="C13667" s="13">
        <f>IFERROR(__xludf.DUMMYFUNCTION("""COMPUTED_VALUE"""),0.4583333333333333)</f>
        <v>0.4583333333</v>
      </c>
      <c r="D13667" s="8">
        <f>IFERROR(__xludf.DUMMYFUNCTION("""COMPUTED_VALUE"""),0.127)</f>
        <v>0.127</v>
      </c>
      <c r="E13667" s="8" t="str">
        <f>IFERROR(__xludf.DUMMYFUNCTION("""COMPUTED_VALUE"""),"Real")</f>
        <v>Real</v>
      </c>
      <c r="G13667" s="8">
        <f t="shared" si="1"/>
        <v>5</v>
      </c>
      <c r="H13667" s="14">
        <f t="shared" si="2"/>
        <v>23</v>
      </c>
      <c r="I13667" s="15">
        <f t="shared" si="3"/>
        <v>11</v>
      </c>
    </row>
    <row r="13668">
      <c r="A13668" s="8" t="str">
        <f>IFERROR(__xludf.DUMMYFUNCTION("IF('(INGESTA)Datos_consumo_datadis'!A13668&lt;&gt;"""",SPLIT('(INGESTA)Datos_consumo_datadis'!A:A,"",""),"""")"),"ES0031408323131005HX0F")</f>
        <v>ES0031408323131005HX0F</v>
      </c>
      <c r="B13668" s="12">
        <f>IFERROR(__xludf.DUMMYFUNCTION("""COMPUTED_VALUE"""),45435.0)</f>
        <v>45435</v>
      </c>
      <c r="C13668" s="13">
        <f>IFERROR(__xludf.DUMMYFUNCTION("""COMPUTED_VALUE"""),0.5)</f>
        <v>0.5</v>
      </c>
      <c r="D13668" s="8">
        <f>IFERROR(__xludf.DUMMYFUNCTION("""COMPUTED_VALUE"""),0.113)</f>
        <v>0.113</v>
      </c>
      <c r="E13668" s="8" t="str">
        <f>IFERROR(__xludf.DUMMYFUNCTION("""COMPUTED_VALUE"""),"Real")</f>
        <v>Real</v>
      </c>
      <c r="G13668" s="8">
        <f t="shared" si="1"/>
        <v>5</v>
      </c>
      <c r="H13668" s="14">
        <f t="shared" si="2"/>
        <v>23</v>
      </c>
      <c r="I13668" s="15">
        <f t="shared" si="3"/>
        <v>12</v>
      </c>
    </row>
    <row r="13669">
      <c r="A13669" s="8" t="str">
        <f>IFERROR(__xludf.DUMMYFUNCTION("IF('(INGESTA)Datos_consumo_datadis'!A13669&lt;&gt;"""",SPLIT('(INGESTA)Datos_consumo_datadis'!A:A,"",""),"""")"),"ES0031408323131005HX0F")</f>
        <v>ES0031408323131005HX0F</v>
      </c>
      <c r="B13669" s="12">
        <f>IFERROR(__xludf.DUMMYFUNCTION("""COMPUTED_VALUE"""),45435.0)</f>
        <v>45435</v>
      </c>
      <c r="C13669" s="13">
        <f>IFERROR(__xludf.DUMMYFUNCTION("""COMPUTED_VALUE"""),0.5416666666666666)</f>
        <v>0.5416666667</v>
      </c>
      <c r="D13669" s="8">
        <f>IFERROR(__xludf.DUMMYFUNCTION("""COMPUTED_VALUE"""),0.047)</f>
        <v>0.047</v>
      </c>
      <c r="E13669" s="8" t="str">
        <f>IFERROR(__xludf.DUMMYFUNCTION("""COMPUTED_VALUE"""),"Real")</f>
        <v>Real</v>
      </c>
      <c r="G13669" s="8">
        <f t="shared" si="1"/>
        <v>5</v>
      </c>
      <c r="H13669" s="14">
        <f t="shared" si="2"/>
        <v>23</v>
      </c>
      <c r="I13669" s="15">
        <f t="shared" si="3"/>
        <v>13</v>
      </c>
    </row>
    <row r="13670">
      <c r="A13670" s="8" t="str">
        <f>IFERROR(__xludf.DUMMYFUNCTION("IF('(INGESTA)Datos_consumo_datadis'!A13670&lt;&gt;"""",SPLIT('(INGESTA)Datos_consumo_datadis'!A:A,"",""),"""")"),"ES0031408323131005HX0F")</f>
        <v>ES0031408323131005HX0F</v>
      </c>
      <c r="B13670" s="12">
        <f>IFERROR(__xludf.DUMMYFUNCTION("""COMPUTED_VALUE"""),45435.0)</f>
        <v>45435</v>
      </c>
      <c r="C13670" s="13">
        <f>IFERROR(__xludf.DUMMYFUNCTION("""COMPUTED_VALUE"""),0.5833333333333334)</f>
        <v>0.5833333333</v>
      </c>
      <c r="D13670" s="8">
        <f>IFERROR(__xludf.DUMMYFUNCTION("""COMPUTED_VALUE"""),0.077)</f>
        <v>0.077</v>
      </c>
      <c r="E13670" s="8" t="str">
        <f>IFERROR(__xludf.DUMMYFUNCTION("""COMPUTED_VALUE"""),"Real")</f>
        <v>Real</v>
      </c>
      <c r="G13670" s="8">
        <f t="shared" si="1"/>
        <v>5</v>
      </c>
      <c r="H13670" s="14">
        <f t="shared" si="2"/>
        <v>23</v>
      </c>
      <c r="I13670" s="15">
        <f t="shared" si="3"/>
        <v>14</v>
      </c>
    </row>
    <row r="13671">
      <c r="A13671" s="8" t="str">
        <f>IFERROR(__xludf.DUMMYFUNCTION("IF('(INGESTA)Datos_consumo_datadis'!A13671&lt;&gt;"""",SPLIT('(INGESTA)Datos_consumo_datadis'!A:A,"",""),"""")"),"ES0031408323131005HX0F")</f>
        <v>ES0031408323131005HX0F</v>
      </c>
      <c r="B13671" s="12">
        <f>IFERROR(__xludf.DUMMYFUNCTION("""COMPUTED_VALUE"""),45435.0)</f>
        <v>45435</v>
      </c>
      <c r="C13671" s="13">
        <f>IFERROR(__xludf.DUMMYFUNCTION("""COMPUTED_VALUE"""),0.625)</f>
        <v>0.625</v>
      </c>
      <c r="D13671" s="8">
        <f>IFERROR(__xludf.DUMMYFUNCTION("""COMPUTED_VALUE"""),0.057)</f>
        <v>0.057</v>
      </c>
      <c r="E13671" s="8" t="str">
        <f>IFERROR(__xludf.DUMMYFUNCTION("""COMPUTED_VALUE"""),"Real")</f>
        <v>Real</v>
      </c>
      <c r="G13671" s="8">
        <f t="shared" si="1"/>
        <v>5</v>
      </c>
      <c r="H13671" s="14">
        <f t="shared" si="2"/>
        <v>23</v>
      </c>
      <c r="I13671" s="15">
        <f t="shared" si="3"/>
        <v>15</v>
      </c>
    </row>
    <row r="13672">
      <c r="A13672" s="8" t="str">
        <f>IFERROR(__xludf.DUMMYFUNCTION("IF('(INGESTA)Datos_consumo_datadis'!A13672&lt;&gt;"""",SPLIT('(INGESTA)Datos_consumo_datadis'!A:A,"",""),"""")"),"ES0031408323131005HX0F")</f>
        <v>ES0031408323131005HX0F</v>
      </c>
      <c r="B13672" s="12">
        <f>IFERROR(__xludf.DUMMYFUNCTION("""COMPUTED_VALUE"""),45435.0)</f>
        <v>45435</v>
      </c>
      <c r="C13672" s="13">
        <f>IFERROR(__xludf.DUMMYFUNCTION("""COMPUTED_VALUE"""),0.6666666666666666)</f>
        <v>0.6666666667</v>
      </c>
      <c r="D13672" s="8">
        <f>IFERROR(__xludf.DUMMYFUNCTION("""COMPUTED_VALUE"""),0.332)</f>
        <v>0.332</v>
      </c>
      <c r="E13672" s="8" t="str">
        <f>IFERROR(__xludf.DUMMYFUNCTION("""COMPUTED_VALUE"""),"Real")</f>
        <v>Real</v>
      </c>
      <c r="G13672" s="8">
        <f t="shared" si="1"/>
        <v>5</v>
      </c>
      <c r="H13672" s="14">
        <f t="shared" si="2"/>
        <v>23</v>
      </c>
      <c r="I13672" s="15">
        <f t="shared" si="3"/>
        <v>16</v>
      </c>
    </row>
    <row r="13673">
      <c r="A13673" s="8" t="str">
        <f>IFERROR(__xludf.DUMMYFUNCTION("IF('(INGESTA)Datos_consumo_datadis'!A13673&lt;&gt;"""",SPLIT('(INGESTA)Datos_consumo_datadis'!A:A,"",""),"""")"),"ES0031408323131005HX0F")</f>
        <v>ES0031408323131005HX0F</v>
      </c>
      <c r="B13673" s="12">
        <f>IFERROR(__xludf.DUMMYFUNCTION("""COMPUTED_VALUE"""),45435.0)</f>
        <v>45435</v>
      </c>
      <c r="C13673" s="13">
        <f>IFERROR(__xludf.DUMMYFUNCTION("""COMPUTED_VALUE"""),0.7083333333333334)</f>
        <v>0.7083333333</v>
      </c>
      <c r="D13673" s="8">
        <f>IFERROR(__xludf.DUMMYFUNCTION("""COMPUTED_VALUE"""),0.066)</f>
        <v>0.066</v>
      </c>
      <c r="E13673" s="8" t="str">
        <f>IFERROR(__xludf.DUMMYFUNCTION("""COMPUTED_VALUE"""),"Real")</f>
        <v>Real</v>
      </c>
      <c r="G13673" s="8">
        <f t="shared" si="1"/>
        <v>5</v>
      </c>
      <c r="H13673" s="14">
        <f t="shared" si="2"/>
        <v>23</v>
      </c>
      <c r="I13673" s="15">
        <f t="shared" si="3"/>
        <v>17</v>
      </c>
    </row>
    <row r="13674">
      <c r="A13674" s="8" t="str">
        <f>IFERROR(__xludf.DUMMYFUNCTION("IF('(INGESTA)Datos_consumo_datadis'!A13674&lt;&gt;"""",SPLIT('(INGESTA)Datos_consumo_datadis'!A:A,"",""),"""")"),"ES0031408323131005HX0F")</f>
        <v>ES0031408323131005HX0F</v>
      </c>
      <c r="B13674" s="12">
        <f>IFERROR(__xludf.DUMMYFUNCTION("""COMPUTED_VALUE"""),45435.0)</f>
        <v>45435</v>
      </c>
      <c r="C13674" s="13">
        <f>IFERROR(__xludf.DUMMYFUNCTION("""COMPUTED_VALUE"""),0.75)</f>
        <v>0.75</v>
      </c>
      <c r="D13674" s="8">
        <f>IFERROR(__xludf.DUMMYFUNCTION("""COMPUTED_VALUE"""),0.056)</f>
        <v>0.056</v>
      </c>
      <c r="E13674" s="8" t="str">
        <f>IFERROR(__xludf.DUMMYFUNCTION("""COMPUTED_VALUE"""),"Real")</f>
        <v>Real</v>
      </c>
      <c r="G13674" s="8">
        <f t="shared" si="1"/>
        <v>5</v>
      </c>
      <c r="H13674" s="14">
        <f t="shared" si="2"/>
        <v>23</v>
      </c>
      <c r="I13674" s="15">
        <f t="shared" si="3"/>
        <v>18</v>
      </c>
    </row>
    <row r="13675">
      <c r="A13675" s="8" t="str">
        <f>IFERROR(__xludf.DUMMYFUNCTION("IF('(INGESTA)Datos_consumo_datadis'!A13675&lt;&gt;"""",SPLIT('(INGESTA)Datos_consumo_datadis'!A:A,"",""),"""")"),"ES0031408323131005HX0F")</f>
        <v>ES0031408323131005HX0F</v>
      </c>
      <c r="B13675" s="12">
        <f>IFERROR(__xludf.DUMMYFUNCTION("""COMPUTED_VALUE"""),45435.0)</f>
        <v>45435</v>
      </c>
      <c r="C13675" s="13">
        <f>IFERROR(__xludf.DUMMYFUNCTION("""COMPUTED_VALUE"""),0.7916666666666666)</f>
        <v>0.7916666667</v>
      </c>
      <c r="D13675" s="8">
        <f>IFERROR(__xludf.DUMMYFUNCTION("""COMPUTED_VALUE"""),0.077)</f>
        <v>0.077</v>
      </c>
      <c r="E13675" s="8" t="str">
        <f>IFERROR(__xludf.DUMMYFUNCTION("""COMPUTED_VALUE"""),"Real")</f>
        <v>Real</v>
      </c>
      <c r="G13675" s="8">
        <f t="shared" si="1"/>
        <v>5</v>
      </c>
      <c r="H13675" s="14">
        <f t="shared" si="2"/>
        <v>23</v>
      </c>
      <c r="I13675" s="15">
        <f t="shared" si="3"/>
        <v>19</v>
      </c>
    </row>
    <row r="13676">
      <c r="A13676" s="8" t="str">
        <f>IFERROR(__xludf.DUMMYFUNCTION("IF('(INGESTA)Datos_consumo_datadis'!A13676&lt;&gt;"""",SPLIT('(INGESTA)Datos_consumo_datadis'!A:A,"",""),"""")"),"ES0031408323131005HX0F")</f>
        <v>ES0031408323131005HX0F</v>
      </c>
      <c r="B13676" s="12">
        <f>IFERROR(__xludf.DUMMYFUNCTION("""COMPUTED_VALUE"""),45435.0)</f>
        <v>45435</v>
      </c>
      <c r="C13676" s="13">
        <f>IFERROR(__xludf.DUMMYFUNCTION("""COMPUTED_VALUE"""),0.8333333333333334)</f>
        <v>0.8333333333</v>
      </c>
      <c r="D13676" s="8">
        <f>IFERROR(__xludf.DUMMYFUNCTION("""COMPUTED_VALUE"""),1.182)</f>
        <v>1.182</v>
      </c>
      <c r="E13676" s="8" t="str">
        <f>IFERROR(__xludf.DUMMYFUNCTION("""COMPUTED_VALUE"""),"Real")</f>
        <v>Real</v>
      </c>
      <c r="G13676" s="8">
        <f t="shared" si="1"/>
        <v>5</v>
      </c>
      <c r="H13676" s="14">
        <f t="shared" si="2"/>
        <v>23</v>
      </c>
      <c r="I13676" s="15">
        <f t="shared" si="3"/>
        <v>20</v>
      </c>
    </row>
    <row r="13677">
      <c r="A13677" s="8" t="str">
        <f>IFERROR(__xludf.DUMMYFUNCTION("IF('(INGESTA)Datos_consumo_datadis'!A13677&lt;&gt;"""",SPLIT('(INGESTA)Datos_consumo_datadis'!A:A,"",""),"""")"),"ES0031408323131005HX0F")</f>
        <v>ES0031408323131005HX0F</v>
      </c>
      <c r="B13677" s="12">
        <f>IFERROR(__xludf.DUMMYFUNCTION("""COMPUTED_VALUE"""),45435.0)</f>
        <v>45435</v>
      </c>
      <c r="C13677" s="13">
        <f>IFERROR(__xludf.DUMMYFUNCTION("""COMPUTED_VALUE"""),0.875)</f>
        <v>0.875</v>
      </c>
      <c r="D13677" s="8">
        <f>IFERROR(__xludf.DUMMYFUNCTION("""COMPUTED_VALUE"""),0.635)</f>
        <v>0.635</v>
      </c>
      <c r="E13677" s="8" t="str">
        <f>IFERROR(__xludf.DUMMYFUNCTION("""COMPUTED_VALUE"""),"Real")</f>
        <v>Real</v>
      </c>
      <c r="G13677" s="8">
        <f t="shared" si="1"/>
        <v>5</v>
      </c>
      <c r="H13677" s="14">
        <f t="shared" si="2"/>
        <v>23</v>
      </c>
      <c r="I13677" s="15">
        <f t="shared" si="3"/>
        <v>21</v>
      </c>
    </row>
    <row r="13678">
      <c r="A13678" s="8" t="str">
        <f>IFERROR(__xludf.DUMMYFUNCTION("IF('(INGESTA)Datos_consumo_datadis'!A13678&lt;&gt;"""",SPLIT('(INGESTA)Datos_consumo_datadis'!A:A,"",""),"""")"),"ES0031408323131005HX0F")</f>
        <v>ES0031408323131005HX0F</v>
      </c>
      <c r="B13678" s="12">
        <f>IFERROR(__xludf.DUMMYFUNCTION("""COMPUTED_VALUE"""),45435.0)</f>
        <v>45435</v>
      </c>
      <c r="C13678" s="13">
        <f>IFERROR(__xludf.DUMMYFUNCTION("""COMPUTED_VALUE"""),0.9166666666666666)</f>
        <v>0.9166666667</v>
      </c>
      <c r="D13678" s="8">
        <f>IFERROR(__xludf.DUMMYFUNCTION("""COMPUTED_VALUE"""),0.376)</f>
        <v>0.376</v>
      </c>
      <c r="E13678" s="8" t="str">
        <f>IFERROR(__xludf.DUMMYFUNCTION("""COMPUTED_VALUE"""),"Real")</f>
        <v>Real</v>
      </c>
      <c r="G13678" s="8">
        <f t="shared" si="1"/>
        <v>5</v>
      </c>
      <c r="H13678" s="14">
        <f t="shared" si="2"/>
        <v>23</v>
      </c>
      <c r="I13678" s="15">
        <f t="shared" si="3"/>
        <v>22</v>
      </c>
    </row>
    <row r="13679">
      <c r="A13679" s="8" t="str">
        <f>IFERROR(__xludf.DUMMYFUNCTION("IF('(INGESTA)Datos_consumo_datadis'!A13679&lt;&gt;"""",SPLIT('(INGESTA)Datos_consumo_datadis'!A:A,"",""),"""")"),"ES0031408323131005HX0F")</f>
        <v>ES0031408323131005HX0F</v>
      </c>
      <c r="B13679" s="12">
        <f>IFERROR(__xludf.DUMMYFUNCTION("""COMPUTED_VALUE"""),45435.0)</f>
        <v>45435</v>
      </c>
      <c r="C13679" s="13">
        <f>IFERROR(__xludf.DUMMYFUNCTION("""COMPUTED_VALUE"""),0.9583333333333334)</f>
        <v>0.9583333333</v>
      </c>
      <c r="D13679" s="8">
        <f>IFERROR(__xludf.DUMMYFUNCTION("""COMPUTED_VALUE"""),0.086)</f>
        <v>0.086</v>
      </c>
      <c r="E13679" s="8" t="str">
        <f>IFERROR(__xludf.DUMMYFUNCTION("""COMPUTED_VALUE"""),"Real")</f>
        <v>Real</v>
      </c>
      <c r="G13679" s="8">
        <f t="shared" si="1"/>
        <v>5</v>
      </c>
      <c r="H13679" s="14">
        <f t="shared" si="2"/>
        <v>23</v>
      </c>
      <c r="I13679" s="15">
        <f t="shared" si="3"/>
        <v>23</v>
      </c>
    </row>
    <row r="13680">
      <c r="A13680" s="8" t="str">
        <f>IFERROR(__xludf.DUMMYFUNCTION("IF('(INGESTA)Datos_consumo_datadis'!A13680&lt;&gt;"""",SPLIT('(INGESTA)Datos_consumo_datadis'!A:A,"",""),"""")"),"ES0031408323131005HX0F")</f>
        <v>ES0031408323131005HX0F</v>
      </c>
      <c r="B13680" s="12">
        <f>IFERROR(__xludf.DUMMYFUNCTION("""COMPUTED_VALUE"""),45435.0)</f>
        <v>45435</v>
      </c>
      <c r="C13680" s="16">
        <f>IFERROR(__xludf.DUMMYFUNCTION("""COMPUTED_VALUE"""),1.0)</f>
        <v>1</v>
      </c>
      <c r="D13680" s="8">
        <f>IFERROR(__xludf.DUMMYFUNCTION("""COMPUTED_VALUE"""),0.102)</f>
        <v>0.102</v>
      </c>
      <c r="E13680" s="8" t="str">
        <f>IFERROR(__xludf.DUMMYFUNCTION("""COMPUTED_VALUE"""),"Real")</f>
        <v>Real</v>
      </c>
      <c r="G13680" s="8">
        <f t="shared" si="1"/>
        <v>5</v>
      </c>
      <c r="H13680" s="14">
        <f t="shared" si="2"/>
        <v>23</v>
      </c>
      <c r="I13680" s="15">
        <f t="shared" si="3"/>
        <v>0</v>
      </c>
    </row>
    <row r="13681">
      <c r="A13681" s="8" t="str">
        <f>IFERROR(__xludf.DUMMYFUNCTION("IF('(INGESTA)Datos_consumo_datadis'!A13681&lt;&gt;"""",SPLIT('(INGESTA)Datos_consumo_datadis'!A:A,"",""),"""")"),"ES0031408323131005HX0F")</f>
        <v>ES0031408323131005HX0F</v>
      </c>
      <c r="B13681" s="12">
        <f>IFERROR(__xludf.DUMMYFUNCTION("""COMPUTED_VALUE"""),45436.0)</f>
        <v>45436</v>
      </c>
      <c r="C13681" s="13">
        <f>IFERROR(__xludf.DUMMYFUNCTION("""COMPUTED_VALUE"""),0.041666666666666664)</f>
        <v>0.04166666667</v>
      </c>
      <c r="D13681" s="8">
        <f>IFERROR(__xludf.DUMMYFUNCTION("""COMPUTED_VALUE"""),0.028)</f>
        <v>0.028</v>
      </c>
      <c r="E13681" s="8" t="str">
        <f>IFERROR(__xludf.DUMMYFUNCTION("""COMPUTED_VALUE"""),"Real")</f>
        <v>Real</v>
      </c>
      <c r="G13681" s="8">
        <f t="shared" si="1"/>
        <v>5</v>
      </c>
      <c r="H13681" s="14">
        <f t="shared" si="2"/>
        <v>24</v>
      </c>
      <c r="I13681" s="15">
        <f t="shared" si="3"/>
        <v>1</v>
      </c>
    </row>
    <row r="13682">
      <c r="A13682" s="8" t="str">
        <f>IFERROR(__xludf.DUMMYFUNCTION("IF('(INGESTA)Datos_consumo_datadis'!A13682&lt;&gt;"""",SPLIT('(INGESTA)Datos_consumo_datadis'!A:A,"",""),"""")"),"ES0031408323131005HX0F")</f>
        <v>ES0031408323131005HX0F</v>
      </c>
      <c r="B13682" s="12">
        <f>IFERROR(__xludf.DUMMYFUNCTION("""COMPUTED_VALUE"""),45436.0)</f>
        <v>45436</v>
      </c>
      <c r="C13682" s="13">
        <f>IFERROR(__xludf.DUMMYFUNCTION("""COMPUTED_VALUE"""),0.08333333333333333)</f>
        <v>0.08333333333</v>
      </c>
      <c r="D13682" s="8">
        <f>IFERROR(__xludf.DUMMYFUNCTION("""COMPUTED_VALUE"""),0.093)</f>
        <v>0.093</v>
      </c>
      <c r="E13682" s="8" t="str">
        <f>IFERROR(__xludf.DUMMYFUNCTION("""COMPUTED_VALUE"""),"Real")</f>
        <v>Real</v>
      </c>
      <c r="G13682" s="8">
        <f t="shared" si="1"/>
        <v>5</v>
      </c>
      <c r="H13682" s="14">
        <f t="shared" si="2"/>
        <v>24</v>
      </c>
      <c r="I13682" s="15">
        <f t="shared" si="3"/>
        <v>2</v>
      </c>
    </row>
    <row r="13683">
      <c r="A13683" s="8" t="str">
        <f>IFERROR(__xludf.DUMMYFUNCTION("IF('(INGESTA)Datos_consumo_datadis'!A13683&lt;&gt;"""",SPLIT('(INGESTA)Datos_consumo_datadis'!A:A,"",""),"""")"),"ES0031408323131005HX0F")</f>
        <v>ES0031408323131005HX0F</v>
      </c>
      <c r="B13683" s="12">
        <f>IFERROR(__xludf.DUMMYFUNCTION("""COMPUTED_VALUE"""),45436.0)</f>
        <v>45436</v>
      </c>
      <c r="C13683" s="13">
        <f>IFERROR(__xludf.DUMMYFUNCTION("""COMPUTED_VALUE"""),0.125)</f>
        <v>0.125</v>
      </c>
      <c r="D13683" s="8">
        <f>IFERROR(__xludf.DUMMYFUNCTION("""COMPUTED_VALUE"""),0.057)</f>
        <v>0.057</v>
      </c>
      <c r="E13683" s="8" t="str">
        <f>IFERROR(__xludf.DUMMYFUNCTION("""COMPUTED_VALUE"""),"Real")</f>
        <v>Real</v>
      </c>
      <c r="G13683" s="8">
        <f t="shared" si="1"/>
        <v>5</v>
      </c>
      <c r="H13683" s="14">
        <f t="shared" si="2"/>
        <v>24</v>
      </c>
      <c r="I13683" s="15">
        <f t="shared" si="3"/>
        <v>3</v>
      </c>
    </row>
    <row r="13684">
      <c r="A13684" s="8" t="str">
        <f>IFERROR(__xludf.DUMMYFUNCTION("IF('(INGESTA)Datos_consumo_datadis'!A13684&lt;&gt;"""",SPLIT('(INGESTA)Datos_consumo_datadis'!A:A,"",""),"""")"),"ES0031408323131005HX0F")</f>
        <v>ES0031408323131005HX0F</v>
      </c>
      <c r="B13684" s="12">
        <f>IFERROR(__xludf.DUMMYFUNCTION("""COMPUTED_VALUE"""),45436.0)</f>
        <v>45436</v>
      </c>
      <c r="C13684" s="13">
        <f>IFERROR(__xludf.DUMMYFUNCTION("""COMPUTED_VALUE"""),0.16666666666666666)</f>
        <v>0.1666666667</v>
      </c>
      <c r="D13684" s="8">
        <f>IFERROR(__xludf.DUMMYFUNCTION("""COMPUTED_VALUE"""),0.324)</f>
        <v>0.324</v>
      </c>
      <c r="E13684" s="8" t="str">
        <f>IFERROR(__xludf.DUMMYFUNCTION("""COMPUTED_VALUE"""),"Real")</f>
        <v>Real</v>
      </c>
      <c r="G13684" s="8">
        <f t="shared" si="1"/>
        <v>5</v>
      </c>
      <c r="H13684" s="14">
        <f t="shared" si="2"/>
        <v>24</v>
      </c>
      <c r="I13684" s="15">
        <f t="shared" si="3"/>
        <v>4</v>
      </c>
    </row>
    <row r="13685">
      <c r="A13685" s="8" t="str">
        <f>IFERROR(__xludf.DUMMYFUNCTION("IF('(INGESTA)Datos_consumo_datadis'!A13685&lt;&gt;"""",SPLIT('(INGESTA)Datos_consumo_datadis'!A:A,"",""),"""")"),"ES0031408323131005HX0F")</f>
        <v>ES0031408323131005HX0F</v>
      </c>
      <c r="B13685" s="12">
        <f>IFERROR(__xludf.DUMMYFUNCTION("""COMPUTED_VALUE"""),45436.0)</f>
        <v>45436</v>
      </c>
      <c r="C13685" s="13">
        <f>IFERROR(__xludf.DUMMYFUNCTION("""COMPUTED_VALUE"""),0.20833333333333334)</f>
        <v>0.2083333333</v>
      </c>
      <c r="D13685" s="8">
        <f>IFERROR(__xludf.DUMMYFUNCTION("""COMPUTED_VALUE"""),0.078)</f>
        <v>0.078</v>
      </c>
      <c r="E13685" s="8" t="str">
        <f>IFERROR(__xludf.DUMMYFUNCTION("""COMPUTED_VALUE"""),"Real")</f>
        <v>Real</v>
      </c>
      <c r="G13685" s="8">
        <f t="shared" si="1"/>
        <v>5</v>
      </c>
      <c r="H13685" s="14">
        <f t="shared" si="2"/>
        <v>24</v>
      </c>
      <c r="I13685" s="15">
        <f t="shared" si="3"/>
        <v>5</v>
      </c>
    </row>
    <row r="13686">
      <c r="A13686" s="8" t="str">
        <f>IFERROR(__xludf.DUMMYFUNCTION("IF('(INGESTA)Datos_consumo_datadis'!A13686&lt;&gt;"""",SPLIT('(INGESTA)Datos_consumo_datadis'!A:A,"",""),"""")"),"ES0031408323131005HX0F")</f>
        <v>ES0031408323131005HX0F</v>
      </c>
      <c r="B13686" s="12">
        <f>IFERROR(__xludf.DUMMYFUNCTION("""COMPUTED_VALUE"""),45436.0)</f>
        <v>45436</v>
      </c>
      <c r="C13686" s="13">
        <f>IFERROR(__xludf.DUMMYFUNCTION("""COMPUTED_VALUE"""),0.25)</f>
        <v>0.25</v>
      </c>
      <c r="D13686" s="8">
        <f>IFERROR(__xludf.DUMMYFUNCTION("""COMPUTED_VALUE"""),0.04)</f>
        <v>0.04</v>
      </c>
      <c r="E13686" s="8" t="str">
        <f>IFERROR(__xludf.DUMMYFUNCTION("""COMPUTED_VALUE"""),"Real")</f>
        <v>Real</v>
      </c>
      <c r="G13686" s="8">
        <f t="shared" si="1"/>
        <v>5</v>
      </c>
      <c r="H13686" s="14">
        <f t="shared" si="2"/>
        <v>24</v>
      </c>
      <c r="I13686" s="15">
        <f t="shared" si="3"/>
        <v>6</v>
      </c>
    </row>
    <row r="13687">
      <c r="A13687" s="8" t="str">
        <f>IFERROR(__xludf.DUMMYFUNCTION("IF('(INGESTA)Datos_consumo_datadis'!A13687&lt;&gt;"""",SPLIT('(INGESTA)Datos_consumo_datadis'!A:A,"",""),"""")"),"ES0031408323131005HX0F")</f>
        <v>ES0031408323131005HX0F</v>
      </c>
      <c r="B13687" s="12">
        <f>IFERROR(__xludf.DUMMYFUNCTION("""COMPUTED_VALUE"""),45436.0)</f>
        <v>45436</v>
      </c>
      <c r="C13687" s="13">
        <f>IFERROR(__xludf.DUMMYFUNCTION("""COMPUTED_VALUE"""),0.2916666666666667)</f>
        <v>0.2916666667</v>
      </c>
      <c r="D13687" s="8">
        <f>IFERROR(__xludf.DUMMYFUNCTION("""COMPUTED_VALUE"""),0.086)</f>
        <v>0.086</v>
      </c>
      <c r="E13687" s="8" t="str">
        <f>IFERROR(__xludf.DUMMYFUNCTION("""COMPUTED_VALUE"""),"Real")</f>
        <v>Real</v>
      </c>
      <c r="G13687" s="8">
        <f t="shared" si="1"/>
        <v>5</v>
      </c>
      <c r="H13687" s="14">
        <f t="shared" si="2"/>
        <v>24</v>
      </c>
      <c r="I13687" s="15">
        <f t="shared" si="3"/>
        <v>7</v>
      </c>
    </row>
    <row r="13688">
      <c r="A13688" s="8" t="str">
        <f>IFERROR(__xludf.DUMMYFUNCTION("IF('(INGESTA)Datos_consumo_datadis'!A13688&lt;&gt;"""",SPLIT('(INGESTA)Datos_consumo_datadis'!A:A,"",""),"""")"),"ES0031408323131005HX0F")</f>
        <v>ES0031408323131005HX0F</v>
      </c>
      <c r="B13688" s="12">
        <f>IFERROR(__xludf.DUMMYFUNCTION("""COMPUTED_VALUE"""),45436.0)</f>
        <v>45436</v>
      </c>
      <c r="C13688" s="13">
        <f>IFERROR(__xludf.DUMMYFUNCTION("""COMPUTED_VALUE"""),0.3333333333333333)</f>
        <v>0.3333333333</v>
      </c>
      <c r="D13688" s="8">
        <f>IFERROR(__xludf.DUMMYFUNCTION("""COMPUTED_VALUE"""),0.301)</f>
        <v>0.301</v>
      </c>
      <c r="E13688" s="8" t="str">
        <f>IFERROR(__xludf.DUMMYFUNCTION("""COMPUTED_VALUE"""),"Real")</f>
        <v>Real</v>
      </c>
      <c r="G13688" s="8">
        <f t="shared" si="1"/>
        <v>5</v>
      </c>
      <c r="H13688" s="14">
        <f t="shared" si="2"/>
        <v>24</v>
      </c>
      <c r="I13688" s="15">
        <f t="shared" si="3"/>
        <v>8</v>
      </c>
    </row>
    <row r="13689">
      <c r="A13689" s="8" t="str">
        <f>IFERROR(__xludf.DUMMYFUNCTION("IF('(INGESTA)Datos_consumo_datadis'!A13689&lt;&gt;"""",SPLIT('(INGESTA)Datos_consumo_datadis'!A:A,"",""),"""")"),"ES0031408323131005HX0F")</f>
        <v>ES0031408323131005HX0F</v>
      </c>
      <c r="B13689" s="12">
        <f>IFERROR(__xludf.DUMMYFUNCTION("""COMPUTED_VALUE"""),45436.0)</f>
        <v>45436</v>
      </c>
      <c r="C13689" s="13">
        <f>IFERROR(__xludf.DUMMYFUNCTION("""COMPUTED_VALUE"""),0.375)</f>
        <v>0.375</v>
      </c>
      <c r="D13689" s="8">
        <f>IFERROR(__xludf.DUMMYFUNCTION("""COMPUTED_VALUE"""),0.376)</f>
        <v>0.376</v>
      </c>
      <c r="E13689" s="8" t="str">
        <f>IFERROR(__xludf.DUMMYFUNCTION("""COMPUTED_VALUE"""),"Real")</f>
        <v>Real</v>
      </c>
      <c r="G13689" s="8">
        <f t="shared" si="1"/>
        <v>5</v>
      </c>
      <c r="H13689" s="14">
        <f t="shared" si="2"/>
        <v>24</v>
      </c>
      <c r="I13689" s="15">
        <f t="shared" si="3"/>
        <v>9</v>
      </c>
    </row>
    <row r="13690">
      <c r="A13690" s="8" t="str">
        <f>IFERROR(__xludf.DUMMYFUNCTION("IF('(INGESTA)Datos_consumo_datadis'!A13690&lt;&gt;"""",SPLIT('(INGESTA)Datos_consumo_datadis'!A:A,"",""),"""")"),"ES0031408323131005HX0F")</f>
        <v>ES0031408323131005HX0F</v>
      </c>
      <c r="B13690" s="12">
        <f>IFERROR(__xludf.DUMMYFUNCTION("""COMPUTED_VALUE"""),45436.0)</f>
        <v>45436</v>
      </c>
      <c r="C13690" s="13">
        <f>IFERROR(__xludf.DUMMYFUNCTION("""COMPUTED_VALUE"""),0.4166666666666667)</f>
        <v>0.4166666667</v>
      </c>
      <c r="D13690" s="8">
        <f>IFERROR(__xludf.DUMMYFUNCTION("""COMPUTED_VALUE"""),0.073)</f>
        <v>0.073</v>
      </c>
      <c r="E13690" s="8" t="str">
        <f>IFERROR(__xludf.DUMMYFUNCTION("""COMPUTED_VALUE"""),"Real")</f>
        <v>Real</v>
      </c>
      <c r="G13690" s="8">
        <f t="shared" si="1"/>
        <v>5</v>
      </c>
      <c r="H13690" s="14">
        <f t="shared" si="2"/>
        <v>24</v>
      </c>
      <c r="I13690" s="15">
        <f t="shared" si="3"/>
        <v>10</v>
      </c>
    </row>
    <row r="13691">
      <c r="A13691" s="8" t="str">
        <f>IFERROR(__xludf.DUMMYFUNCTION("IF('(INGESTA)Datos_consumo_datadis'!A13691&lt;&gt;"""",SPLIT('(INGESTA)Datos_consumo_datadis'!A:A,"",""),"""")"),"ES0031408323131005HX0F")</f>
        <v>ES0031408323131005HX0F</v>
      </c>
      <c r="B13691" s="12">
        <f>IFERROR(__xludf.DUMMYFUNCTION("""COMPUTED_VALUE"""),45436.0)</f>
        <v>45436</v>
      </c>
      <c r="C13691" s="13">
        <f>IFERROR(__xludf.DUMMYFUNCTION("""COMPUTED_VALUE"""),0.4583333333333333)</f>
        <v>0.4583333333</v>
      </c>
      <c r="D13691" s="8">
        <f>IFERROR(__xludf.DUMMYFUNCTION("""COMPUTED_VALUE"""),0.034)</f>
        <v>0.034</v>
      </c>
      <c r="E13691" s="8" t="str">
        <f>IFERROR(__xludf.DUMMYFUNCTION("""COMPUTED_VALUE"""),"Real")</f>
        <v>Real</v>
      </c>
      <c r="G13691" s="8">
        <f t="shared" si="1"/>
        <v>5</v>
      </c>
      <c r="H13691" s="14">
        <f t="shared" si="2"/>
        <v>24</v>
      </c>
      <c r="I13691" s="15">
        <f t="shared" si="3"/>
        <v>11</v>
      </c>
    </row>
    <row r="13692">
      <c r="A13692" s="8" t="str">
        <f>IFERROR(__xludf.DUMMYFUNCTION("IF('(INGESTA)Datos_consumo_datadis'!A13692&lt;&gt;"""",SPLIT('(INGESTA)Datos_consumo_datadis'!A:A,"",""),"""")"),"ES0031408323131005HX0F")</f>
        <v>ES0031408323131005HX0F</v>
      </c>
      <c r="B13692" s="12">
        <f>IFERROR(__xludf.DUMMYFUNCTION("""COMPUTED_VALUE"""),45436.0)</f>
        <v>45436</v>
      </c>
      <c r="C13692" s="13">
        <f>IFERROR(__xludf.DUMMYFUNCTION("""COMPUTED_VALUE"""),0.5)</f>
        <v>0.5</v>
      </c>
      <c r="D13692" s="8">
        <f>IFERROR(__xludf.DUMMYFUNCTION("""COMPUTED_VALUE"""),0.131)</f>
        <v>0.131</v>
      </c>
      <c r="E13692" s="8" t="str">
        <f>IFERROR(__xludf.DUMMYFUNCTION("""COMPUTED_VALUE"""),"Real")</f>
        <v>Real</v>
      </c>
      <c r="G13692" s="8">
        <f t="shared" si="1"/>
        <v>5</v>
      </c>
      <c r="H13692" s="14">
        <f t="shared" si="2"/>
        <v>24</v>
      </c>
      <c r="I13692" s="15">
        <f t="shared" si="3"/>
        <v>12</v>
      </c>
    </row>
    <row r="13693">
      <c r="A13693" s="8" t="str">
        <f>IFERROR(__xludf.DUMMYFUNCTION("IF('(INGESTA)Datos_consumo_datadis'!A13693&lt;&gt;"""",SPLIT('(INGESTA)Datos_consumo_datadis'!A:A,"",""),"""")"),"ES0031408323131005HX0F")</f>
        <v>ES0031408323131005HX0F</v>
      </c>
      <c r="B13693" s="12">
        <f>IFERROR(__xludf.DUMMYFUNCTION("""COMPUTED_VALUE"""),45436.0)</f>
        <v>45436</v>
      </c>
      <c r="C13693" s="13">
        <f>IFERROR(__xludf.DUMMYFUNCTION("""COMPUTED_VALUE"""),0.5416666666666666)</f>
        <v>0.5416666667</v>
      </c>
      <c r="D13693" s="8">
        <f>IFERROR(__xludf.DUMMYFUNCTION("""COMPUTED_VALUE"""),0.097)</f>
        <v>0.097</v>
      </c>
      <c r="E13693" s="8" t="str">
        <f>IFERROR(__xludf.DUMMYFUNCTION("""COMPUTED_VALUE"""),"Real")</f>
        <v>Real</v>
      </c>
      <c r="G13693" s="8">
        <f t="shared" si="1"/>
        <v>5</v>
      </c>
      <c r="H13693" s="14">
        <f t="shared" si="2"/>
        <v>24</v>
      </c>
      <c r="I13693" s="15">
        <f t="shared" si="3"/>
        <v>13</v>
      </c>
    </row>
    <row r="13694">
      <c r="A13694" s="8" t="str">
        <f>IFERROR(__xludf.DUMMYFUNCTION("IF('(INGESTA)Datos_consumo_datadis'!A13694&lt;&gt;"""",SPLIT('(INGESTA)Datos_consumo_datadis'!A:A,"",""),"""")"),"ES0031408323131005HX0F")</f>
        <v>ES0031408323131005HX0F</v>
      </c>
      <c r="B13694" s="12">
        <f>IFERROR(__xludf.DUMMYFUNCTION("""COMPUTED_VALUE"""),45436.0)</f>
        <v>45436</v>
      </c>
      <c r="C13694" s="13">
        <f>IFERROR(__xludf.DUMMYFUNCTION("""COMPUTED_VALUE"""),0.5833333333333334)</f>
        <v>0.5833333333</v>
      </c>
      <c r="D13694" s="8">
        <f>IFERROR(__xludf.DUMMYFUNCTION("""COMPUTED_VALUE"""),0.067)</f>
        <v>0.067</v>
      </c>
      <c r="E13694" s="8" t="str">
        <f>IFERROR(__xludf.DUMMYFUNCTION("""COMPUTED_VALUE"""),"Real")</f>
        <v>Real</v>
      </c>
      <c r="G13694" s="8">
        <f t="shared" si="1"/>
        <v>5</v>
      </c>
      <c r="H13694" s="14">
        <f t="shared" si="2"/>
        <v>24</v>
      </c>
      <c r="I13694" s="15">
        <f t="shared" si="3"/>
        <v>14</v>
      </c>
    </row>
    <row r="13695">
      <c r="A13695" s="8" t="str">
        <f>IFERROR(__xludf.DUMMYFUNCTION("IF('(INGESTA)Datos_consumo_datadis'!A13695&lt;&gt;"""",SPLIT('(INGESTA)Datos_consumo_datadis'!A:A,"",""),"""")"),"ES0031408323131005HX0F")</f>
        <v>ES0031408323131005HX0F</v>
      </c>
      <c r="B13695" s="12">
        <f>IFERROR(__xludf.DUMMYFUNCTION("""COMPUTED_VALUE"""),45436.0)</f>
        <v>45436</v>
      </c>
      <c r="C13695" s="13">
        <f>IFERROR(__xludf.DUMMYFUNCTION("""COMPUTED_VALUE"""),0.625)</f>
        <v>0.625</v>
      </c>
      <c r="D13695" s="8">
        <f>IFERROR(__xludf.DUMMYFUNCTION("""COMPUTED_VALUE"""),0.12)</f>
        <v>0.12</v>
      </c>
      <c r="E13695" s="8" t="str">
        <f>IFERROR(__xludf.DUMMYFUNCTION("""COMPUTED_VALUE"""),"Real")</f>
        <v>Real</v>
      </c>
      <c r="G13695" s="8">
        <f t="shared" si="1"/>
        <v>5</v>
      </c>
      <c r="H13695" s="14">
        <f t="shared" si="2"/>
        <v>24</v>
      </c>
      <c r="I13695" s="15">
        <f t="shared" si="3"/>
        <v>15</v>
      </c>
    </row>
    <row r="13696">
      <c r="A13696" s="8" t="str">
        <f>IFERROR(__xludf.DUMMYFUNCTION("IF('(INGESTA)Datos_consumo_datadis'!A13696&lt;&gt;"""",SPLIT('(INGESTA)Datos_consumo_datadis'!A:A,"",""),"""")"),"ES0031408323131005HX0F")</f>
        <v>ES0031408323131005HX0F</v>
      </c>
      <c r="B13696" s="12">
        <f>IFERROR(__xludf.DUMMYFUNCTION("""COMPUTED_VALUE"""),45436.0)</f>
        <v>45436</v>
      </c>
      <c r="C13696" s="13">
        <f>IFERROR(__xludf.DUMMYFUNCTION("""COMPUTED_VALUE"""),0.6666666666666666)</f>
        <v>0.6666666667</v>
      </c>
      <c r="D13696" s="8">
        <f>IFERROR(__xludf.DUMMYFUNCTION("""COMPUTED_VALUE"""),0.366)</f>
        <v>0.366</v>
      </c>
      <c r="E13696" s="8" t="str">
        <f>IFERROR(__xludf.DUMMYFUNCTION("""COMPUTED_VALUE"""),"Real")</f>
        <v>Real</v>
      </c>
      <c r="G13696" s="8">
        <f t="shared" si="1"/>
        <v>5</v>
      </c>
      <c r="H13696" s="14">
        <f t="shared" si="2"/>
        <v>24</v>
      </c>
      <c r="I13696" s="15">
        <f t="shared" si="3"/>
        <v>16</v>
      </c>
    </row>
    <row r="13697">
      <c r="A13697" s="8" t="str">
        <f>IFERROR(__xludf.DUMMYFUNCTION("IF('(INGESTA)Datos_consumo_datadis'!A13697&lt;&gt;"""",SPLIT('(INGESTA)Datos_consumo_datadis'!A:A,"",""),"""")"),"ES0031408323131005HX0F")</f>
        <v>ES0031408323131005HX0F</v>
      </c>
      <c r="B13697" s="12">
        <f>IFERROR(__xludf.DUMMYFUNCTION("""COMPUTED_VALUE"""),45436.0)</f>
        <v>45436</v>
      </c>
      <c r="C13697" s="13">
        <f>IFERROR(__xludf.DUMMYFUNCTION("""COMPUTED_VALUE"""),0.7083333333333334)</f>
        <v>0.7083333333</v>
      </c>
      <c r="D13697" s="8">
        <f>IFERROR(__xludf.DUMMYFUNCTION("""COMPUTED_VALUE"""),0.033)</f>
        <v>0.033</v>
      </c>
      <c r="E13697" s="8" t="str">
        <f>IFERROR(__xludf.DUMMYFUNCTION("""COMPUTED_VALUE"""),"Real")</f>
        <v>Real</v>
      </c>
      <c r="G13697" s="8">
        <f t="shared" si="1"/>
        <v>5</v>
      </c>
      <c r="H13697" s="14">
        <f t="shared" si="2"/>
        <v>24</v>
      </c>
      <c r="I13697" s="15">
        <f t="shared" si="3"/>
        <v>17</v>
      </c>
    </row>
    <row r="13698">
      <c r="A13698" s="8" t="str">
        <f>IFERROR(__xludf.DUMMYFUNCTION("IF('(INGESTA)Datos_consumo_datadis'!A13698&lt;&gt;"""",SPLIT('(INGESTA)Datos_consumo_datadis'!A:A,"",""),"""")"),"ES0031408323131005HX0F")</f>
        <v>ES0031408323131005HX0F</v>
      </c>
      <c r="B13698" s="12">
        <f>IFERROR(__xludf.DUMMYFUNCTION("""COMPUTED_VALUE"""),45436.0)</f>
        <v>45436</v>
      </c>
      <c r="C13698" s="13">
        <f>IFERROR(__xludf.DUMMYFUNCTION("""COMPUTED_VALUE"""),0.75)</f>
        <v>0.75</v>
      </c>
      <c r="D13698" s="8">
        <f>IFERROR(__xludf.DUMMYFUNCTION("""COMPUTED_VALUE"""),0.094)</f>
        <v>0.094</v>
      </c>
      <c r="E13698" s="8" t="str">
        <f>IFERROR(__xludf.DUMMYFUNCTION("""COMPUTED_VALUE"""),"Real")</f>
        <v>Real</v>
      </c>
      <c r="G13698" s="8">
        <f t="shared" si="1"/>
        <v>5</v>
      </c>
      <c r="H13698" s="14">
        <f t="shared" si="2"/>
        <v>24</v>
      </c>
      <c r="I13698" s="15">
        <f t="shared" si="3"/>
        <v>18</v>
      </c>
    </row>
    <row r="13699">
      <c r="A13699" s="8" t="str">
        <f>IFERROR(__xludf.DUMMYFUNCTION("IF('(INGESTA)Datos_consumo_datadis'!A13699&lt;&gt;"""",SPLIT('(INGESTA)Datos_consumo_datadis'!A:A,"",""),"""")"),"ES0031408323131005HX0F")</f>
        <v>ES0031408323131005HX0F</v>
      </c>
      <c r="B13699" s="12">
        <f>IFERROR(__xludf.DUMMYFUNCTION("""COMPUTED_VALUE"""),45436.0)</f>
        <v>45436</v>
      </c>
      <c r="C13699" s="13">
        <f>IFERROR(__xludf.DUMMYFUNCTION("""COMPUTED_VALUE"""),0.7916666666666666)</f>
        <v>0.7916666667</v>
      </c>
      <c r="D13699" s="8">
        <f>IFERROR(__xludf.DUMMYFUNCTION("""COMPUTED_VALUE"""),0.055)</f>
        <v>0.055</v>
      </c>
      <c r="E13699" s="8" t="str">
        <f>IFERROR(__xludf.DUMMYFUNCTION("""COMPUTED_VALUE"""),"Real")</f>
        <v>Real</v>
      </c>
      <c r="G13699" s="8">
        <f t="shared" si="1"/>
        <v>5</v>
      </c>
      <c r="H13699" s="14">
        <f t="shared" si="2"/>
        <v>24</v>
      </c>
      <c r="I13699" s="15">
        <f t="shared" si="3"/>
        <v>19</v>
      </c>
    </row>
    <row r="13700">
      <c r="A13700" s="8" t="str">
        <f>IFERROR(__xludf.DUMMYFUNCTION("IF('(INGESTA)Datos_consumo_datadis'!A13700&lt;&gt;"""",SPLIT('(INGESTA)Datos_consumo_datadis'!A:A,"",""),"""")"),"ES0031408323131005HX0F")</f>
        <v>ES0031408323131005HX0F</v>
      </c>
      <c r="B13700" s="12">
        <f>IFERROR(__xludf.DUMMYFUNCTION("""COMPUTED_VALUE"""),45436.0)</f>
        <v>45436</v>
      </c>
      <c r="C13700" s="13">
        <f>IFERROR(__xludf.DUMMYFUNCTION("""COMPUTED_VALUE"""),0.8333333333333334)</f>
        <v>0.8333333333</v>
      </c>
      <c r="D13700" s="8">
        <f>IFERROR(__xludf.DUMMYFUNCTION("""COMPUTED_VALUE"""),0.097)</f>
        <v>0.097</v>
      </c>
      <c r="E13700" s="8" t="str">
        <f>IFERROR(__xludf.DUMMYFUNCTION("""COMPUTED_VALUE"""),"Real")</f>
        <v>Real</v>
      </c>
      <c r="G13700" s="8">
        <f t="shared" si="1"/>
        <v>5</v>
      </c>
      <c r="H13700" s="14">
        <f t="shared" si="2"/>
        <v>24</v>
      </c>
      <c r="I13700" s="15">
        <f t="shared" si="3"/>
        <v>20</v>
      </c>
    </row>
    <row r="13701">
      <c r="A13701" s="8" t="str">
        <f>IFERROR(__xludf.DUMMYFUNCTION("IF('(INGESTA)Datos_consumo_datadis'!A13701&lt;&gt;"""",SPLIT('(INGESTA)Datos_consumo_datadis'!A:A,"",""),"""")"),"ES0031408323131005HX0F")</f>
        <v>ES0031408323131005HX0F</v>
      </c>
      <c r="B13701" s="12">
        <f>IFERROR(__xludf.DUMMYFUNCTION("""COMPUTED_VALUE"""),45436.0)</f>
        <v>45436</v>
      </c>
      <c r="C13701" s="13">
        <f>IFERROR(__xludf.DUMMYFUNCTION("""COMPUTED_VALUE"""),0.875)</f>
        <v>0.875</v>
      </c>
      <c r="D13701" s="8">
        <f>IFERROR(__xludf.DUMMYFUNCTION("""COMPUTED_VALUE"""),2.245)</f>
        <v>2.245</v>
      </c>
      <c r="E13701" s="8" t="str">
        <f>IFERROR(__xludf.DUMMYFUNCTION("""COMPUTED_VALUE"""),"Real")</f>
        <v>Real</v>
      </c>
      <c r="G13701" s="8">
        <f t="shared" si="1"/>
        <v>5</v>
      </c>
      <c r="H13701" s="14">
        <f t="shared" si="2"/>
        <v>24</v>
      </c>
      <c r="I13701" s="15">
        <f t="shared" si="3"/>
        <v>21</v>
      </c>
    </row>
    <row r="13702">
      <c r="A13702" s="8" t="str">
        <f>IFERROR(__xludf.DUMMYFUNCTION("IF('(INGESTA)Datos_consumo_datadis'!A13702&lt;&gt;"""",SPLIT('(INGESTA)Datos_consumo_datadis'!A:A,"",""),"""")"),"ES0031408323131005HX0F")</f>
        <v>ES0031408323131005HX0F</v>
      </c>
      <c r="B13702" s="12">
        <f>IFERROR(__xludf.DUMMYFUNCTION("""COMPUTED_VALUE"""),45436.0)</f>
        <v>45436</v>
      </c>
      <c r="C13702" s="13">
        <f>IFERROR(__xludf.DUMMYFUNCTION("""COMPUTED_VALUE"""),0.9166666666666666)</f>
        <v>0.9166666667</v>
      </c>
      <c r="D13702" s="8">
        <f>IFERROR(__xludf.DUMMYFUNCTION("""COMPUTED_VALUE"""),0.442)</f>
        <v>0.442</v>
      </c>
      <c r="E13702" s="8" t="str">
        <f>IFERROR(__xludf.DUMMYFUNCTION("""COMPUTED_VALUE"""),"Real")</f>
        <v>Real</v>
      </c>
      <c r="G13702" s="8">
        <f t="shared" si="1"/>
        <v>5</v>
      </c>
      <c r="H13702" s="14">
        <f t="shared" si="2"/>
        <v>24</v>
      </c>
      <c r="I13702" s="15">
        <f t="shared" si="3"/>
        <v>22</v>
      </c>
    </row>
    <row r="13703">
      <c r="A13703" s="8" t="str">
        <f>IFERROR(__xludf.DUMMYFUNCTION("IF('(INGESTA)Datos_consumo_datadis'!A13703&lt;&gt;"""",SPLIT('(INGESTA)Datos_consumo_datadis'!A:A,"",""),"""")"),"ES0031408323131005HX0F")</f>
        <v>ES0031408323131005HX0F</v>
      </c>
      <c r="B13703" s="12">
        <f>IFERROR(__xludf.DUMMYFUNCTION("""COMPUTED_VALUE"""),45436.0)</f>
        <v>45436</v>
      </c>
      <c r="C13703" s="13">
        <f>IFERROR(__xludf.DUMMYFUNCTION("""COMPUTED_VALUE"""),0.9583333333333334)</f>
        <v>0.9583333333</v>
      </c>
      <c r="D13703" s="8">
        <f>IFERROR(__xludf.DUMMYFUNCTION("""COMPUTED_VALUE"""),0.605)</f>
        <v>0.605</v>
      </c>
      <c r="E13703" s="8" t="str">
        <f>IFERROR(__xludf.DUMMYFUNCTION("""COMPUTED_VALUE"""),"Real")</f>
        <v>Real</v>
      </c>
      <c r="G13703" s="8">
        <f t="shared" si="1"/>
        <v>5</v>
      </c>
      <c r="H13703" s="14">
        <f t="shared" si="2"/>
        <v>24</v>
      </c>
      <c r="I13703" s="15">
        <f t="shared" si="3"/>
        <v>23</v>
      </c>
    </row>
    <row r="13704">
      <c r="A13704" s="8" t="str">
        <f>IFERROR(__xludf.DUMMYFUNCTION("IF('(INGESTA)Datos_consumo_datadis'!A13704&lt;&gt;"""",SPLIT('(INGESTA)Datos_consumo_datadis'!A:A,"",""),"""")"),"ES0031408323131005HX0F")</f>
        <v>ES0031408323131005HX0F</v>
      </c>
      <c r="B13704" s="12">
        <f>IFERROR(__xludf.DUMMYFUNCTION("""COMPUTED_VALUE"""),45436.0)</f>
        <v>45436</v>
      </c>
      <c r="C13704" s="16">
        <f>IFERROR(__xludf.DUMMYFUNCTION("""COMPUTED_VALUE"""),1.0)</f>
        <v>1</v>
      </c>
      <c r="D13704" s="8">
        <f>IFERROR(__xludf.DUMMYFUNCTION("""COMPUTED_VALUE"""),0.564)</f>
        <v>0.564</v>
      </c>
      <c r="E13704" s="8" t="str">
        <f>IFERROR(__xludf.DUMMYFUNCTION("""COMPUTED_VALUE"""),"Real")</f>
        <v>Real</v>
      </c>
      <c r="G13704" s="8">
        <f t="shared" si="1"/>
        <v>5</v>
      </c>
      <c r="H13704" s="14">
        <f t="shared" si="2"/>
        <v>24</v>
      </c>
      <c r="I13704" s="15">
        <f t="shared" si="3"/>
        <v>0</v>
      </c>
    </row>
    <row r="13705">
      <c r="A13705" s="8" t="str">
        <f>IFERROR(__xludf.DUMMYFUNCTION("IF('(INGESTA)Datos_consumo_datadis'!A13705&lt;&gt;"""",SPLIT('(INGESTA)Datos_consumo_datadis'!A:A,"",""),"""")"),"ES0031408323131005HX0F")</f>
        <v>ES0031408323131005HX0F</v>
      </c>
      <c r="B13705" s="12">
        <f>IFERROR(__xludf.DUMMYFUNCTION("""COMPUTED_VALUE"""),45437.0)</f>
        <v>45437</v>
      </c>
      <c r="C13705" s="13">
        <f>IFERROR(__xludf.DUMMYFUNCTION("""COMPUTED_VALUE"""),0.041666666666666664)</f>
        <v>0.04166666667</v>
      </c>
      <c r="D13705" s="8">
        <f>IFERROR(__xludf.DUMMYFUNCTION("""COMPUTED_VALUE"""),0.09)</f>
        <v>0.09</v>
      </c>
      <c r="E13705" s="8" t="str">
        <f>IFERROR(__xludf.DUMMYFUNCTION("""COMPUTED_VALUE"""),"Real")</f>
        <v>Real</v>
      </c>
      <c r="G13705" s="8">
        <f t="shared" si="1"/>
        <v>5</v>
      </c>
      <c r="H13705" s="14">
        <f t="shared" si="2"/>
        <v>25</v>
      </c>
      <c r="I13705" s="15">
        <f t="shared" si="3"/>
        <v>1</v>
      </c>
    </row>
    <row r="13706">
      <c r="A13706" s="8" t="str">
        <f>IFERROR(__xludf.DUMMYFUNCTION("IF('(INGESTA)Datos_consumo_datadis'!A13706&lt;&gt;"""",SPLIT('(INGESTA)Datos_consumo_datadis'!A:A,"",""),"""")"),"ES0031408323131005HX0F")</f>
        <v>ES0031408323131005HX0F</v>
      </c>
      <c r="B13706" s="12">
        <f>IFERROR(__xludf.DUMMYFUNCTION("""COMPUTED_VALUE"""),45437.0)</f>
        <v>45437</v>
      </c>
      <c r="C13706" s="13">
        <f>IFERROR(__xludf.DUMMYFUNCTION("""COMPUTED_VALUE"""),0.08333333333333333)</f>
        <v>0.08333333333</v>
      </c>
      <c r="D13706" s="8">
        <f>IFERROR(__xludf.DUMMYFUNCTION("""COMPUTED_VALUE"""),0.058)</f>
        <v>0.058</v>
      </c>
      <c r="E13706" s="8" t="str">
        <f>IFERROR(__xludf.DUMMYFUNCTION("""COMPUTED_VALUE"""),"Real")</f>
        <v>Real</v>
      </c>
      <c r="G13706" s="8">
        <f t="shared" si="1"/>
        <v>5</v>
      </c>
      <c r="H13706" s="14">
        <f t="shared" si="2"/>
        <v>25</v>
      </c>
      <c r="I13706" s="15">
        <f t="shared" si="3"/>
        <v>2</v>
      </c>
    </row>
    <row r="13707">
      <c r="A13707" s="8" t="str">
        <f>IFERROR(__xludf.DUMMYFUNCTION("IF('(INGESTA)Datos_consumo_datadis'!A13707&lt;&gt;"""",SPLIT('(INGESTA)Datos_consumo_datadis'!A:A,"",""),"""")"),"ES0031408323131005HX0F")</f>
        <v>ES0031408323131005HX0F</v>
      </c>
      <c r="B13707" s="12">
        <f>IFERROR(__xludf.DUMMYFUNCTION("""COMPUTED_VALUE"""),45437.0)</f>
        <v>45437</v>
      </c>
      <c r="C13707" s="13">
        <f>IFERROR(__xludf.DUMMYFUNCTION("""COMPUTED_VALUE"""),0.125)</f>
        <v>0.125</v>
      </c>
      <c r="D13707" s="8">
        <f>IFERROR(__xludf.DUMMYFUNCTION("""COMPUTED_VALUE"""),0.349)</f>
        <v>0.349</v>
      </c>
      <c r="E13707" s="8" t="str">
        <f>IFERROR(__xludf.DUMMYFUNCTION("""COMPUTED_VALUE"""),"Real")</f>
        <v>Real</v>
      </c>
      <c r="G13707" s="8">
        <f t="shared" si="1"/>
        <v>5</v>
      </c>
      <c r="H13707" s="14">
        <f t="shared" si="2"/>
        <v>25</v>
      </c>
      <c r="I13707" s="15">
        <f t="shared" si="3"/>
        <v>3</v>
      </c>
    </row>
    <row r="13708">
      <c r="A13708" s="8" t="str">
        <f>IFERROR(__xludf.DUMMYFUNCTION("IF('(INGESTA)Datos_consumo_datadis'!A13708&lt;&gt;"""",SPLIT('(INGESTA)Datos_consumo_datadis'!A:A,"",""),"""")"),"ES0031408323131005HX0F")</f>
        <v>ES0031408323131005HX0F</v>
      </c>
      <c r="B13708" s="12">
        <f>IFERROR(__xludf.DUMMYFUNCTION("""COMPUTED_VALUE"""),45437.0)</f>
        <v>45437</v>
      </c>
      <c r="C13708" s="13">
        <f>IFERROR(__xludf.DUMMYFUNCTION("""COMPUTED_VALUE"""),0.16666666666666666)</f>
        <v>0.1666666667</v>
      </c>
      <c r="D13708" s="8">
        <f>IFERROR(__xludf.DUMMYFUNCTION("""COMPUTED_VALUE"""),0.059)</f>
        <v>0.059</v>
      </c>
      <c r="E13708" s="8" t="str">
        <f>IFERROR(__xludf.DUMMYFUNCTION("""COMPUTED_VALUE"""),"Real")</f>
        <v>Real</v>
      </c>
      <c r="G13708" s="8">
        <f t="shared" si="1"/>
        <v>5</v>
      </c>
      <c r="H13708" s="14">
        <f t="shared" si="2"/>
        <v>25</v>
      </c>
      <c r="I13708" s="15">
        <f t="shared" si="3"/>
        <v>4</v>
      </c>
    </row>
    <row r="13709">
      <c r="A13709" s="8" t="str">
        <f>IFERROR(__xludf.DUMMYFUNCTION("IF('(INGESTA)Datos_consumo_datadis'!A13709&lt;&gt;"""",SPLIT('(INGESTA)Datos_consumo_datadis'!A:A,"",""),"""")"),"ES0031408323131005HX0F")</f>
        <v>ES0031408323131005HX0F</v>
      </c>
      <c r="B13709" s="12">
        <f>IFERROR(__xludf.DUMMYFUNCTION("""COMPUTED_VALUE"""),45437.0)</f>
        <v>45437</v>
      </c>
      <c r="C13709" s="13">
        <f>IFERROR(__xludf.DUMMYFUNCTION("""COMPUTED_VALUE"""),0.20833333333333334)</f>
        <v>0.2083333333</v>
      </c>
      <c r="D13709" s="8">
        <f>IFERROR(__xludf.DUMMYFUNCTION("""COMPUTED_VALUE"""),0.068)</f>
        <v>0.068</v>
      </c>
      <c r="E13709" s="8" t="str">
        <f>IFERROR(__xludf.DUMMYFUNCTION("""COMPUTED_VALUE"""),"Real")</f>
        <v>Real</v>
      </c>
      <c r="G13709" s="8">
        <f t="shared" si="1"/>
        <v>5</v>
      </c>
      <c r="H13709" s="14">
        <f t="shared" si="2"/>
        <v>25</v>
      </c>
      <c r="I13709" s="15">
        <f t="shared" si="3"/>
        <v>5</v>
      </c>
    </row>
    <row r="13710">
      <c r="A13710" s="8" t="str">
        <f>IFERROR(__xludf.DUMMYFUNCTION("IF('(INGESTA)Datos_consumo_datadis'!A13710&lt;&gt;"""",SPLIT('(INGESTA)Datos_consumo_datadis'!A:A,"",""),"""")"),"ES0031408323131005HX0F")</f>
        <v>ES0031408323131005HX0F</v>
      </c>
      <c r="B13710" s="12">
        <f>IFERROR(__xludf.DUMMYFUNCTION("""COMPUTED_VALUE"""),45437.0)</f>
        <v>45437</v>
      </c>
      <c r="C13710" s="13">
        <f>IFERROR(__xludf.DUMMYFUNCTION("""COMPUTED_VALUE"""),0.25)</f>
        <v>0.25</v>
      </c>
      <c r="D13710" s="8">
        <f>IFERROR(__xludf.DUMMYFUNCTION("""COMPUTED_VALUE"""),0.076)</f>
        <v>0.076</v>
      </c>
      <c r="E13710" s="8" t="str">
        <f>IFERROR(__xludf.DUMMYFUNCTION("""COMPUTED_VALUE"""),"Real")</f>
        <v>Real</v>
      </c>
      <c r="G13710" s="8">
        <f t="shared" si="1"/>
        <v>5</v>
      </c>
      <c r="H13710" s="14">
        <f t="shared" si="2"/>
        <v>25</v>
      </c>
      <c r="I13710" s="15">
        <f t="shared" si="3"/>
        <v>6</v>
      </c>
    </row>
    <row r="13711">
      <c r="A13711" s="8" t="str">
        <f>IFERROR(__xludf.DUMMYFUNCTION("IF('(INGESTA)Datos_consumo_datadis'!A13711&lt;&gt;"""",SPLIT('(INGESTA)Datos_consumo_datadis'!A:A,"",""),"""")"),"ES0031408323131005HX0F")</f>
        <v>ES0031408323131005HX0F</v>
      </c>
      <c r="B13711" s="12">
        <f>IFERROR(__xludf.DUMMYFUNCTION("""COMPUTED_VALUE"""),45437.0)</f>
        <v>45437</v>
      </c>
      <c r="C13711" s="13">
        <f>IFERROR(__xludf.DUMMYFUNCTION("""COMPUTED_VALUE"""),0.2916666666666667)</f>
        <v>0.2916666667</v>
      </c>
      <c r="D13711" s="8">
        <f>IFERROR(__xludf.DUMMYFUNCTION("""COMPUTED_VALUE"""),0.044)</f>
        <v>0.044</v>
      </c>
      <c r="E13711" s="8" t="str">
        <f>IFERROR(__xludf.DUMMYFUNCTION("""COMPUTED_VALUE"""),"Real")</f>
        <v>Real</v>
      </c>
      <c r="G13711" s="8">
        <f t="shared" si="1"/>
        <v>5</v>
      </c>
      <c r="H13711" s="14">
        <f t="shared" si="2"/>
        <v>25</v>
      </c>
      <c r="I13711" s="15">
        <f t="shared" si="3"/>
        <v>7</v>
      </c>
    </row>
    <row r="13712">
      <c r="A13712" s="8" t="str">
        <f>IFERROR(__xludf.DUMMYFUNCTION("IF('(INGESTA)Datos_consumo_datadis'!A13712&lt;&gt;"""",SPLIT('(INGESTA)Datos_consumo_datadis'!A:A,"",""),"""")"),"ES0031408323131005HX0F")</f>
        <v>ES0031408323131005HX0F</v>
      </c>
      <c r="B13712" s="12">
        <f>IFERROR(__xludf.DUMMYFUNCTION("""COMPUTED_VALUE"""),45437.0)</f>
        <v>45437</v>
      </c>
      <c r="C13712" s="13">
        <f>IFERROR(__xludf.DUMMYFUNCTION("""COMPUTED_VALUE"""),0.3333333333333333)</f>
        <v>0.3333333333</v>
      </c>
      <c r="D13712" s="8">
        <f>IFERROR(__xludf.DUMMYFUNCTION("""COMPUTED_VALUE"""),0.35)</f>
        <v>0.35</v>
      </c>
      <c r="E13712" s="8" t="str">
        <f>IFERROR(__xludf.DUMMYFUNCTION("""COMPUTED_VALUE"""),"Real")</f>
        <v>Real</v>
      </c>
      <c r="G13712" s="8">
        <f t="shared" si="1"/>
        <v>5</v>
      </c>
      <c r="H13712" s="14">
        <f t="shared" si="2"/>
        <v>25</v>
      </c>
      <c r="I13712" s="15">
        <f t="shared" si="3"/>
        <v>8</v>
      </c>
    </row>
    <row r="13713">
      <c r="A13713" s="8" t="str">
        <f>IFERROR(__xludf.DUMMYFUNCTION("IF('(INGESTA)Datos_consumo_datadis'!A13713&lt;&gt;"""",SPLIT('(INGESTA)Datos_consumo_datadis'!A:A,"",""),"""")"),"ES0031408323131005HX0F")</f>
        <v>ES0031408323131005HX0F</v>
      </c>
      <c r="B13713" s="12">
        <f>IFERROR(__xludf.DUMMYFUNCTION("""COMPUTED_VALUE"""),45437.0)</f>
        <v>45437</v>
      </c>
      <c r="C13713" s="13">
        <f>IFERROR(__xludf.DUMMYFUNCTION("""COMPUTED_VALUE"""),0.375)</f>
        <v>0.375</v>
      </c>
      <c r="D13713" s="8">
        <f>IFERROR(__xludf.DUMMYFUNCTION("""COMPUTED_VALUE"""),1.64)</f>
        <v>1.64</v>
      </c>
      <c r="E13713" s="8" t="str">
        <f>IFERROR(__xludf.DUMMYFUNCTION("""COMPUTED_VALUE"""),"Real")</f>
        <v>Real</v>
      </c>
      <c r="G13713" s="8">
        <f t="shared" si="1"/>
        <v>5</v>
      </c>
      <c r="H13713" s="14">
        <f t="shared" si="2"/>
        <v>25</v>
      </c>
      <c r="I13713" s="15">
        <f t="shared" si="3"/>
        <v>9</v>
      </c>
    </row>
    <row r="13714">
      <c r="A13714" s="8" t="str">
        <f>IFERROR(__xludf.DUMMYFUNCTION("IF('(INGESTA)Datos_consumo_datadis'!A13714&lt;&gt;"""",SPLIT('(INGESTA)Datos_consumo_datadis'!A:A,"",""),"""")"),"ES0031408323131005HX0F")</f>
        <v>ES0031408323131005HX0F</v>
      </c>
      <c r="B13714" s="12">
        <f>IFERROR(__xludf.DUMMYFUNCTION("""COMPUTED_VALUE"""),45437.0)</f>
        <v>45437</v>
      </c>
      <c r="C13714" s="13">
        <f>IFERROR(__xludf.DUMMYFUNCTION("""COMPUTED_VALUE"""),0.4166666666666667)</f>
        <v>0.4166666667</v>
      </c>
      <c r="D13714" s="8">
        <f>IFERROR(__xludf.DUMMYFUNCTION("""COMPUTED_VALUE"""),0.331)</f>
        <v>0.331</v>
      </c>
      <c r="E13714" s="8" t="str">
        <f>IFERROR(__xludf.DUMMYFUNCTION("""COMPUTED_VALUE"""),"Real")</f>
        <v>Real</v>
      </c>
      <c r="G13714" s="8">
        <f t="shared" si="1"/>
        <v>5</v>
      </c>
      <c r="H13714" s="14">
        <f t="shared" si="2"/>
        <v>25</v>
      </c>
      <c r="I13714" s="15">
        <f t="shared" si="3"/>
        <v>10</v>
      </c>
    </row>
    <row r="13715">
      <c r="A13715" s="8" t="str">
        <f>IFERROR(__xludf.DUMMYFUNCTION("IF('(INGESTA)Datos_consumo_datadis'!A13715&lt;&gt;"""",SPLIT('(INGESTA)Datos_consumo_datadis'!A:A,"",""),"""")"),"ES0031408323131005HX0F")</f>
        <v>ES0031408323131005HX0F</v>
      </c>
      <c r="B13715" s="12">
        <f>IFERROR(__xludf.DUMMYFUNCTION("""COMPUTED_VALUE"""),45437.0)</f>
        <v>45437</v>
      </c>
      <c r="C13715" s="13">
        <f>IFERROR(__xludf.DUMMYFUNCTION("""COMPUTED_VALUE"""),0.4583333333333333)</f>
        <v>0.4583333333</v>
      </c>
      <c r="D13715" s="8">
        <f>IFERROR(__xludf.DUMMYFUNCTION("""COMPUTED_VALUE"""),0.242)</f>
        <v>0.242</v>
      </c>
      <c r="E13715" s="8" t="str">
        <f>IFERROR(__xludf.DUMMYFUNCTION("""COMPUTED_VALUE"""),"Real")</f>
        <v>Real</v>
      </c>
      <c r="G13715" s="8">
        <f t="shared" si="1"/>
        <v>5</v>
      </c>
      <c r="H13715" s="14">
        <f t="shared" si="2"/>
        <v>25</v>
      </c>
      <c r="I13715" s="15">
        <f t="shared" si="3"/>
        <v>11</v>
      </c>
    </row>
    <row r="13716">
      <c r="A13716" s="8" t="str">
        <f>IFERROR(__xludf.DUMMYFUNCTION("IF('(INGESTA)Datos_consumo_datadis'!A13716&lt;&gt;"""",SPLIT('(INGESTA)Datos_consumo_datadis'!A:A,"",""),"""")"),"ES0031408323131005HX0F")</f>
        <v>ES0031408323131005HX0F</v>
      </c>
      <c r="B13716" s="12">
        <f>IFERROR(__xludf.DUMMYFUNCTION("""COMPUTED_VALUE"""),45437.0)</f>
        <v>45437</v>
      </c>
      <c r="C13716" s="13">
        <f>IFERROR(__xludf.DUMMYFUNCTION("""COMPUTED_VALUE"""),0.5)</f>
        <v>0.5</v>
      </c>
      <c r="D13716" s="8">
        <f>IFERROR(__xludf.DUMMYFUNCTION("""COMPUTED_VALUE"""),0.114)</f>
        <v>0.114</v>
      </c>
      <c r="E13716" s="8" t="str">
        <f>IFERROR(__xludf.DUMMYFUNCTION("""COMPUTED_VALUE"""),"Real")</f>
        <v>Real</v>
      </c>
      <c r="G13716" s="8">
        <f t="shared" si="1"/>
        <v>5</v>
      </c>
      <c r="H13716" s="14">
        <f t="shared" si="2"/>
        <v>25</v>
      </c>
      <c r="I13716" s="15">
        <f t="shared" si="3"/>
        <v>12</v>
      </c>
    </row>
    <row r="13717">
      <c r="A13717" s="8" t="str">
        <f>IFERROR(__xludf.DUMMYFUNCTION("IF('(INGESTA)Datos_consumo_datadis'!A13717&lt;&gt;"""",SPLIT('(INGESTA)Datos_consumo_datadis'!A:A,"",""),"""")"),"ES0031408323131005HX0F")</f>
        <v>ES0031408323131005HX0F</v>
      </c>
      <c r="B13717" s="12">
        <f>IFERROR(__xludf.DUMMYFUNCTION("""COMPUTED_VALUE"""),45437.0)</f>
        <v>45437</v>
      </c>
      <c r="C13717" s="13">
        <f>IFERROR(__xludf.DUMMYFUNCTION("""COMPUTED_VALUE"""),0.5416666666666666)</f>
        <v>0.5416666667</v>
      </c>
      <c r="D13717" s="8">
        <f>IFERROR(__xludf.DUMMYFUNCTION("""COMPUTED_VALUE"""),0.064)</f>
        <v>0.064</v>
      </c>
      <c r="E13717" s="8" t="str">
        <f>IFERROR(__xludf.DUMMYFUNCTION("""COMPUTED_VALUE"""),"Real")</f>
        <v>Real</v>
      </c>
      <c r="G13717" s="8">
        <f t="shared" si="1"/>
        <v>5</v>
      </c>
      <c r="H13717" s="14">
        <f t="shared" si="2"/>
        <v>25</v>
      </c>
      <c r="I13717" s="15">
        <f t="shared" si="3"/>
        <v>13</v>
      </c>
    </row>
    <row r="13718">
      <c r="A13718" s="8" t="str">
        <f>IFERROR(__xludf.DUMMYFUNCTION("IF('(INGESTA)Datos_consumo_datadis'!A13718&lt;&gt;"""",SPLIT('(INGESTA)Datos_consumo_datadis'!A:A,"",""),"""")"),"ES0031408323131005HX0F")</f>
        <v>ES0031408323131005HX0F</v>
      </c>
      <c r="B13718" s="12">
        <f>IFERROR(__xludf.DUMMYFUNCTION("""COMPUTED_VALUE"""),45437.0)</f>
        <v>45437</v>
      </c>
      <c r="C13718" s="13">
        <f>IFERROR(__xludf.DUMMYFUNCTION("""COMPUTED_VALUE"""),0.5833333333333334)</f>
        <v>0.5833333333</v>
      </c>
      <c r="D13718" s="8">
        <f>IFERROR(__xludf.DUMMYFUNCTION("""COMPUTED_VALUE"""),0.069)</f>
        <v>0.069</v>
      </c>
      <c r="E13718" s="8" t="str">
        <f>IFERROR(__xludf.DUMMYFUNCTION("""COMPUTED_VALUE"""),"Real")</f>
        <v>Real</v>
      </c>
      <c r="G13718" s="8">
        <f t="shared" si="1"/>
        <v>5</v>
      </c>
      <c r="H13718" s="14">
        <f t="shared" si="2"/>
        <v>25</v>
      </c>
      <c r="I13718" s="15">
        <f t="shared" si="3"/>
        <v>14</v>
      </c>
    </row>
    <row r="13719">
      <c r="A13719" s="8" t="str">
        <f>IFERROR(__xludf.DUMMYFUNCTION("IF('(INGESTA)Datos_consumo_datadis'!A13719&lt;&gt;"""",SPLIT('(INGESTA)Datos_consumo_datadis'!A:A,"",""),"""")"),"ES0031408323131005HX0F")</f>
        <v>ES0031408323131005HX0F</v>
      </c>
      <c r="B13719" s="12">
        <f>IFERROR(__xludf.DUMMYFUNCTION("""COMPUTED_VALUE"""),45437.0)</f>
        <v>45437</v>
      </c>
      <c r="C13719" s="13">
        <f>IFERROR(__xludf.DUMMYFUNCTION("""COMPUTED_VALUE"""),0.625)</f>
        <v>0.625</v>
      </c>
      <c r="D13719" s="8">
        <f>IFERROR(__xludf.DUMMYFUNCTION("""COMPUTED_VALUE"""),0.346)</f>
        <v>0.346</v>
      </c>
      <c r="E13719" s="8" t="str">
        <f>IFERROR(__xludf.DUMMYFUNCTION("""COMPUTED_VALUE"""),"Real")</f>
        <v>Real</v>
      </c>
      <c r="G13719" s="8">
        <f t="shared" si="1"/>
        <v>5</v>
      </c>
      <c r="H13719" s="14">
        <f t="shared" si="2"/>
        <v>25</v>
      </c>
      <c r="I13719" s="15">
        <f t="shared" si="3"/>
        <v>15</v>
      </c>
    </row>
    <row r="13720">
      <c r="A13720" s="8" t="str">
        <f>IFERROR(__xludf.DUMMYFUNCTION("IF('(INGESTA)Datos_consumo_datadis'!A13720&lt;&gt;"""",SPLIT('(INGESTA)Datos_consumo_datadis'!A:A,"",""),"""")"),"ES0031408323131005HX0F")</f>
        <v>ES0031408323131005HX0F</v>
      </c>
      <c r="B13720" s="12">
        <f>IFERROR(__xludf.DUMMYFUNCTION("""COMPUTED_VALUE"""),45437.0)</f>
        <v>45437</v>
      </c>
      <c r="C13720" s="13">
        <f>IFERROR(__xludf.DUMMYFUNCTION("""COMPUTED_VALUE"""),0.6666666666666666)</f>
        <v>0.6666666667</v>
      </c>
      <c r="D13720" s="8">
        <f>IFERROR(__xludf.DUMMYFUNCTION("""COMPUTED_VALUE"""),0.047)</f>
        <v>0.047</v>
      </c>
      <c r="E13720" s="8" t="str">
        <f>IFERROR(__xludf.DUMMYFUNCTION("""COMPUTED_VALUE"""),"Real")</f>
        <v>Real</v>
      </c>
      <c r="G13720" s="8">
        <f t="shared" si="1"/>
        <v>5</v>
      </c>
      <c r="H13720" s="14">
        <f t="shared" si="2"/>
        <v>25</v>
      </c>
      <c r="I13720" s="15">
        <f t="shared" si="3"/>
        <v>16</v>
      </c>
    </row>
    <row r="13721">
      <c r="A13721" s="8" t="str">
        <f>IFERROR(__xludf.DUMMYFUNCTION("IF('(INGESTA)Datos_consumo_datadis'!A13721&lt;&gt;"""",SPLIT('(INGESTA)Datos_consumo_datadis'!A:A,"",""),"""")"),"ES0031408323131005HX0F")</f>
        <v>ES0031408323131005HX0F</v>
      </c>
      <c r="B13721" s="12">
        <f>IFERROR(__xludf.DUMMYFUNCTION("""COMPUTED_VALUE"""),45437.0)</f>
        <v>45437</v>
      </c>
      <c r="C13721" s="13">
        <f>IFERROR(__xludf.DUMMYFUNCTION("""COMPUTED_VALUE"""),0.7083333333333334)</f>
        <v>0.7083333333</v>
      </c>
      <c r="D13721" s="8">
        <f>IFERROR(__xludf.DUMMYFUNCTION("""COMPUTED_VALUE"""),0.077)</f>
        <v>0.077</v>
      </c>
      <c r="E13721" s="8" t="str">
        <f>IFERROR(__xludf.DUMMYFUNCTION("""COMPUTED_VALUE"""),"Real")</f>
        <v>Real</v>
      </c>
      <c r="G13721" s="8">
        <f t="shared" si="1"/>
        <v>5</v>
      </c>
      <c r="H13721" s="14">
        <f t="shared" si="2"/>
        <v>25</v>
      </c>
      <c r="I13721" s="15">
        <f t="shared" si="3"/>
        <v>17</v>
      </c>
    </row>
    <row r="13722">
      <c r="A13722" s="8" t="str">
        <f>IFERROR(__xludf.DUMMYFUNCTION("IF('(INGESTA)Datos_consumo_datadis'!A13722&lt;&gt;"""",SPLIT('(INGESTA)Datos_consumo_datadis'!A:A,"",""),"""")"),"ES0031408323131005HX0F")</f>
        <v>ES0031408323131005HX0F</v>
      </c>
      <c r="B13722" s="12">
        <f>IFERROR(__xludf.DUMMYFUNCTION("""COMPUTED_VALUE"""),45437.0)</f>
        <v>45437</v>
      </c>
      <c r="C13722" s="13">
        <f>IFERROR(__xludf.DUMMYFUNCTION("""COMPUTED_VALUE"""),0.75)</f>
        <v>0.75</v>
      </c>
      <c r="D13722" s="8">
        <f>IFERROR(__xludf.DUMMYFUNCTION("""COMPUTED_VALUE"""),0.043)</f>
        <v>0.043</v>
      </c>
      <c r="E13722" s="8" t="str">
        <f>IFERROR(__xludf.DUMMYFUNCTION("""COMPUTED_VALUE"""),"Real")</f>
        <v>Real</v>
      </c>
      <c r="G13722" s="8">
        <f t="shared" si="1"/>
        <v>5</v>
      </c>
      <c r="H13722" s="14">
        <f t="shared" si="2"/>
        <v>25</v>
      </c>
      <c r="I13722" s="15">
        <f t="shared" si="3"/>
        <v>18</v>
      </c>
    </row>
    <row r="13723">
      <c r="A13723" s="8" t="str">
        <f>IFERROR(__xludf.DUMMYFUNCTION("IF('(INGESTA)Datos_consumo_datadis'!A13723&lt;&gt;"""",SPLIT('(INGESTA)Datos_consumo_datadis'!A:A,"",""),"""")"),"ES0031408323131005HX0F")</f>
        <v>ES0031408323131005HX0F</v>
      </c>
      <c r="B13723" s="12">
        <f>IFERROR(__xludf.DUMMYFUNCTION("""COMPUTED_VALUE"""),45437.0)</f>
        <v>45437</v>
      </c>
      <c r="C13723" s="13">
        <f>IFERROR(__xludf.DUMMYFUNCTION("""COMPUTED_VALUE"""),0.7916666666666666)</f>
        <v>0.7916666667</v>
      </c>
      <c r="D13723" s="8">
        <f>IFERROR(__xludf.DUMMYFUNCTION("""COMPUTED_VALUE"""),1.049)</f>
        <v>1.049</v>
      </c>
      <c r="E13723" s="8" t="str">
        <f>IFERROR(__xludf.DUMMYFUNCTION("""COMPUTED_VALUE"""),"Real")</f>
        <v>Real</v>
      </c>
      <c r="G13723" s="8">
        <f t="shared" si="1"/>
        <v>5</v>
      </c>
      <c r="H13723" s="14">
        <f t="shared" si="2"/>
        <v>25</v>
      </c>
      <c r="I13723" s="15">
        <f t="shared" si="3"/>
        <v>19</v>
      </c>
    </row>
    <row r="13724">
      <c r="A13724" s="8" t="str">
        <f>IFERROR(__xludf.DUMMYFUNCTION("IF('(INGESTA)Datos_consumo_datadis'!A13724&lt;&gt;"""",SPLIT('(INGESTA)Datos_consumo_datadis'!A:A,"",""),"""")"),"ES0031408323131005HX0F")</f>
        <v>ES0031408323131005HX0F</v>
      </c>
      <c r="B13724" s="12">
        <f>IFERROR(__xludf.DUMMYFUNCTION("""COMPUTED_VALUE"""),45437.0)</f>
        <v>45437</v>
      </c>
      <c r="C13724" s="13">
        <f>IFERROR(__xludf.DUMMYFUNCTION("""COMPUTED_VALUE"""),0.8333333333333334)</f>
        <v>0.8333333333</v>
      </c>
      <c r="D13724" s="8">
        <f>IFERROR(__xludf.DUMMYFUNCTION("""COMPUTED_VALUE"""),1.16)</f>
        <v>1.16</v>
      </c>
      <c r="E13724" s="8" t="str">
        <f>IFERROR(__xludf.DUMMYFUNCTION("""COMPUTED_VALUE"""),"Real")</f>
        <v>Real</v>
      </c>
      <c r="G13724" s="8">
        <f t="shared" si="1"/>
        <v>5</v>
      </c>
      <c r="H13724" s="14">
        <f t="shared" si="2"/>
        <v>25</v>
      </c>
      <c r="I13724" s="15">
        <f t="shared" si="3"/>
        <v>20</v>
      </c>
    </row>
    <row r="13725">
      <c r="A13725" s="8" t="str">
        <f>IFERROR(__xludf.DUMMYFUNCTION("IF('(INGESTA)Datos_consumo_datadis'!A13725&lt;&gt;"""",SPLIT('(INGESTA)Datos_consumo_datadis'!A:A,"",""),"""")"),"ES0031408323131005HX0F")</f>
        <v>ES0031408323131005HX0F</v>
      </c>
      <c r="B13725" s="12">
        <f>IFERROR(__xludf.DUMMYFUNCTION("""COMPUTED_VALUE"""),45437.0)</f>
        <v>45437</v>
      </c>
      <c r="C13725" s="13">
        <f>IFERROR(__xludf.DUMMYFUNCTION("""COMPUTED_VALUE"""),0.875)</f>
        <v>0.875</v>
      </c>
      <c r="D13725" s="8">
        <f>IFERROR(__xludf.DUMMYFUNCTION("""COMPUTED_VALUE"""),0.085)</f>
        <v>0.085</v>
      </c>
      <c r="E13725" s="8" t="str">
        <f>IFERROR(__xludf.DUMMYFUNCTION("""COMPUTED_VALUE"""),"Real")</f>
        <v>Real</v>
      </c>
      <c r="G13725" s="8">
        <f t="shared" si="1"/>
        <v>5</v>
      </c>
      <c r="H13725" s="14">
        <f t="shared" si="2"/>
        <v>25</v>
      </c>
      <c r="I13725" s="15">
        <f t="shared" si="3"/>
        <v>21</v>
      </c>
    </row>
    <row r="13726">
      <c r="A13726" s="8" t="str">
        <f>IFERROR(__xludf.DUMMYFUNCTION("IF('(INGESTA)Datos_consumo_datadis'!A13726&lt;&gt;"""",SPLIT('(INGESTA)Datos_consumo_datadis'!A:A,"",""),"""")"),"ES0031408323131005HX0F")</f>
        <v>ES0031408323131005HX0F</v>
      </c>
      <c r="B13726" s="12">
        <f>IFERROR(__xludf.DUMMYFUNCTION("""COMPUTED_VALUE"""),45437.0)</f>
        <v>45437</v>
      </c>
      <c r="C13726" s="13">
        <f>IFERROR(__xludf.DUMMYFUNCTION("""COMPUTED_VALUE"""),0.9166666666666666)</f>
        <v>0.9166666667</v>
      </c>
      <c r="D13726" s="8">
        <f>IFERROR(__xludf.DUMMYFUNCTION("""COMPUTED_VALUE"""),0.759)</f>
        <v>0.759</v>
      </c>
      <c r="E13726" s="8" t="str">
        <f>IFERROR(__xludf.DUMMYFUNCTION("""COMPUTED_VALUE"""),"Real")</f>
        <v>Real</v>
      </c>
      <c r="G13726" s="8">
        <f t="shared" si="1"/>
        <v>5</v>
      </c>
      <c r="H13726" s="14">
        <f t="shared" si="2"/>
        <v>25</v>
      </c>
      <c r="I13726" s="15">
        <f t="shared" si="3"/>
        <v>22</v>
      </c>
    </row>
    <row r="13727">
      <c r="A13727" s="8" t="str">
        <f>IFERROR(__xludf.DUMMYFUNCTION("IF('(INGESTA)Datos_consumo_datadis'!A13727&lt;&gt;"""",SPLIT('(INGESTA)Datos_consumo_datadis'!A:A,"",""),"""")"),"ES0031408323131005HX0F")</f>
        <v>ES0031408323131005HX0F</v>
      </c>
      <c r="B13727" s="12">
        <f>IFERROR(__xludf.DUMMYFUNCTION("""COMPUTED_VALUE"""),45437.0)</f>
        <v>45437</v>
      </c>
      <c r="C13727" s="13">
        <f>IFERROR(__xludf.DUMMYFUNCTION("""COMPUTED_VALUE"""),0.9583333333333334)</f>
        <v>0.9583333333</v>
      </c>
      <c r="D13727" s="8">
        <f>IFERROR(__xludf.DUMMYFUNCTION("""COMPUTED_VALUE"""),0.923)</f>
        <v>0.923</v>
      </c>
      <c r="E13727" s="8" t="str">
        <f>IFERROR(__xludf.DUMMYFUNCTION("""COMPUTED_VALUE"""),"Real")</f>
        <v>Real</v>
      </c>
      <c r="G13727" s="8">
        <f t="shared" si="1"/>
        <v>5</v>
      </c>
      <c r="H13727" s="14">
        <f t="shared" si="2"/>
        <v>25</v>
      </c>
      <c r="I13727" s="15">
        <f t="shared" si="3"/>
        <v>23</v>
      </c>
    </row>
    <row r="13728">
      <c r="A13728" s="8" t="str">
        <f>IFERROR(__xludf.DUMMYFUNCTION("IF('(INGESTA)Datos_consumo_datadis'!A13728&lt;&gt;"""",SPLIT('(INGESTA)Datos_consumo_datadis'!A:A,"",""),"""")"),"ES0031408323131005HX0F")</f>
        <v>ES0031408323131005HX0F</v>
      </c>
      <c r="B13728" s="12">
        <f>IFERROR(__xludf.DUMMYFUNCTION("""COMPUTED_VALUE"""),45437.0)</f>
        <v>45437</v>
      </c>
      <c r="C13728" s="16">
        <f>IFERROR(__xludf.DUMMYFUNCTION("""COMPUTED_VALUE"""),1.0)</f>
        <v>1</v>
      </c>
      <c r="D13728" s="8">
        <f>IFERROR(__xludf.DUMMYFUNCTION("""COMPUTED_VALUE"""),0.161)</f>
        <v>0.161</v>
      </c>
      <c r="E13728" s="8" t="str">
        <f>IFERROR(__xludf.DUMMYFUNCTION("""COMPUTED_VALUE"""),"Real")</f>
        <v>Real</v>
      </c>
      <c r="G13728" s="8">
        <f t="shared" si="1"/>
        <v>5</v>
      </c>
      <c r="H13728" s="14">
        <f t="shared" si="2"/>
        <v>25</v>
      </c>
      <c r="I13728" s="15">
        <f t="shared" si="3"/>
        <v>0</v>
      </c>
    </row>
    <row r="13729">
      <c r="A13729" s="8" t="str">
        <f>IFERROR(__xludf.DUMMYFUNCTION("IF('(INGESTA)Datos_consumo_datadis'!A13729&lt;&gt;"""",SPLIT('(INGESTA)Datos_consumo_datadis'!A:A,"",""),"""")"),"ES0031408323131005HX0F")</f>
        <v>ES0031408323131005HX0F</v>
      </c>
      <c r="B13729" s="12">
        <f>IFERROR(__xludf.DUMMYFUNCTION("""COMPUTED_VALUE"""),45438.0)</f>
        <v>45438</v>
      </c>
      <c r="C13729" s="13">
        <f>IFERROR(__xludf.DUMMYFUNCTION("""COMPUTED_VALUE"""),0.041666666666666664)</f>
        <v>0.04166666667</v>
      </c>
      <c r="D13729" s="8">
        <f>IFERROR(__xludf.DUMMYFUNCTION("""COMPUTED_VALUE"""),0.377)</f>
        <v>0.377</v>
      </c>
      <c r="E13729" s="8" t="str">
        <f>IFERROR(__xludf.DUMMYFUNCTION("""COMPUTED_VALUE"""),"Real")</f>
        <v>Real</v>
      </c>
      <c r="G13729" s="8">
        <f t="shared" si="1"/>
        <v>5</v>
      </c>
      <c r="H13729" s="14">
        <f t="shared" si="2"/>
        <v>26</v>
      </c>
      <c r="I13729" s="15">
        <f t="shared" si="3"/>
        <v>1</v>
      </c>
    </row>
    <row r="13730">
      <c r="A13730" s="8" t="str">
        <f>IFERROR(__xludf.DUMMYFUNCTION("IF('(INGESTA)Datos_consumo_datadis'!A13730&lt;&gt;"""",SPLIT('(INGESTA)Datos_consumo_datadis'!A:A,"",""),"""")"),"ES0031408323131005HX0F")</f>
        <v>ES0031408323131005HX0F</v>
      </c>
      <c r="B13730" s="12">
        <f>IFERROR(__xludf.DUMMYFUNCTION("""COMPUTED_VALUE"""),45438.0)</f>
        <v>45438</v>
      </c>
      <c r="C13730" s="13">
        <f>IFERROR(__xludf.DUMMYFUNCTION("""COMPUTED_VALUE"""),0.08333333333333333)</f>
        <v>0.08333333333</v>
      </c>
      <c r="D13730" s="8">
        <f>IFERROR(__xludf.DUMMYFUNCTION("""COMPUTED_VALUE"""),0.08)</f>
        <v>0.08</v>
      </c>
      <c r="E13730" s="8" t="str">
        <f>IFERROR(__xludf.DUMMYFUNCTION("""COMPUTED_VALUE"""),"Real")</f>
        <v>Real</v>
      </c>
      <c r="G13730" s="8">
        <f t="shared" si="1"/>
        <v>5</v>
      </c>
      <c r="H13730" s="14">
        <f t="shared" si="2"/>
        <v>26</v>
      </c>
      <c r="I13730" s="15">
        <f t="shared" si="3"/>
        <v>2</v>
      </c>
    </row>
    <row r="13731">
      <c r="A13731" s="8" t="str">
        <f>IFERROR(__xludf.DUMMYFUNCTION("IF('(INGESTA)Datos_consumo_datadis'!A13731&lt;&gt;"""",SPLIT('(INGESTA)Datos_consumo_datadis'!A:A,"",""),"""")"),"ES0031408323131005HX0F")</f>
        <v>ES0031408323131005HX0F</v>
      </c>
      <c r="B13731" s="12">
        <f>IFERROR(__xludf.DUMMYFUNCTION("""COMPUTED_VALUE"""),45438.0)</f>
        <v>45438</v>
      </c>
      <c r="C13731" s="13">
        <f>IFERROR(__xludf.DUMMYFUNCTION("""COMPUTED_VALUE"""),0.125)</f>
        <v>0.125</v>
      </c>
      <c r="D13731" s="8">
        <f>IFERROR(__xludf.DUMMYFUNCTION("""COMPUTED_VALUE"""),0.09)</f>
        <v>0.09</v>
      </c>
      <c r="E13731" s="8" t="str">
        <f>IFERROR(__xludf.DUMMYFUNCTION("""COMPUTED_VALUE"""),"Real")</f>
        <v>Real</v>
      </c>
      <c r="G13731" s="8">
        <f t="shared" si="1"/>
        <v>5</v>
      </c>
      <c r="H13731" s="14">
        <f t="shared" si="2"/>
        <v>26</v>
      </c>
      <c r="I13731" s="15">
        <f t="shared" si="3"/>
        <v>3</v>
      </c>
    </row>
    <row r="13732">
      <c r="A13732" s="8" t="str">
        <f>IFERROR(__xludf.DUMMYFUNCTION("IF('(INGESTA)Datos_consumo_datadis'!A13732&lt;&gt;"""",SPLIT('(INGESTA)Datos_consumo_datadis'!A:A,"",""),"""")"),"ES0031408323131005HX0F")</f>
        <v>ES0031408323131005HX0F</v>
      </c>
      <c r="B13732" s="12">
        <f>IFERROR(__xludf.DUMMYFUNCTION("""COMPUTED_VALUE"""),45438.0)</f>
        <v>45438</v>
      </c>
      <c r="C13732" s="13">
        <f>IFERROR(__xludf.DUMMYFUNCTION("""COMPUTED_VALUE"""),0.16666666666666666)</f>
        <v>0.1666666667</v>
      </c>
      <c r="D13732" s="8">
        <f>IFERROR(__xludf.DUMMYFUNCTION("""COMPUTED_VALUE"""),0.061)</f>
        <v>0.061</v>
      </c>
      <c r="E13732" s="8" t="str">
        <f>IFERROR(__xludf.DUMMYFUNCTION("""COMPUTED_VALUE"""),"Real")</f>
        <v>Real</v>
      </c>
      <c r="G13732" s="8">
        <f t="shared" si="1"/>
        <v>5</v>
      </c>
      <c r="H13732" s="14">
        <f t="shared" si="2"/>
        <v>26</v>
      </c>
      <c r="I13732" s="15">
        <f t="shared" si="3"/>
        <v>4</v>
      </c>
    </row>
    <row r="13733">
      <c r="A13733" s="8" t="str">
        <f>IFERROR(__xludf.DUMMYFUNCTION("IF('(INGESTA)Datos_consumo_datadis'!A13733&lt;&gt;"""",SPLIT('(INGESTA)Datos_consumo_datadis'!A:A,"",""),"""")"),"ES0031408323131005HX0F")</f>
        <v>ES0031408323131005HX0F</v>
      </c>
      <c r="B13733" s="12">
        <f>IFERROR(__xludf.DUMMYFUNCTION("""COMPUTED_VALUE"""),45438.0)</f>
        <v>45438</v>
      </c>
      <c r="C13733" s="13">
        <f>IFERROR(__xludf.DUMMYFUNCTION("""COMPUTED_VALUE"""),0.20833333333333334)</f>
        <v>0.2083333333</v>
      </c>
      <c r="D13733" s="8">
        <f>IFERROR(__xludf.DUMMYFUNCTION("""COMPUTED_VALUE"""),0.066)</f>
        <v>0.066</v>
      </c>
      <c r="E13733" s="8" t="str">
        <f>IFERROR(__xludf.DUMMYFUNCTION("""COMPUTED_VALUE"""),"Real")</f>
        <v>Real</v>
      </c>
      <c r="G13733" s="8">
        <f t="shared" si="1"/>
        <v>5</v>
      </c>
      <c r="H13733" s="14">
        <f t="shared" si="2"/>
        <v>26</v>
      </c>
      <c r="I13733" s="15">
        <f t="shared" si="3"/>
        <v>5</v>
      </c>
    </row>
    <row r="13734">
      <c r="A13734" s="8" t="str">
        <f>IFERROR(__xludf.DUMMYFUNCTION("IF('(INGESTA)Datos_consumo_datadis'!A13734&lt;&gt;"""",SPLIT('(INGESTA)Datos_consumo_datadis'!A:A,"",""),"""")"),"ES0031408323131005HX0F")</f>
        <v>ES0031408323131005HX0F</v>
      </c>
      <c r="B13734" s="12">
        <f>IFERROR(__xludf.DUMMYFUNCTION("""COMPUTED_VALUE"""),45438.0)</f>
        <v>45438</v>
      </c>
      <c r="C13734" s="13">
        <f>IFERROR(__xludf.DUMMYFUNCTION("""COMPUTED_VALUE"""),0.25)</f>
        <v>0.25</v>
      </c>
      <c r="D13734" s="8">
        <f>IFERROR(__xludf.DUMMYFUNCTION("""COMPUTED_VALUE"""),0.075)</f>
        <v>0.075</v>
      </c>
      <c r="E13734" s="8" t="str">
        <f>IFERROR(__xludf.DUMMYFUNCTION("""COMPUTED_VALUE"""),"Real")</f>
        <v>Real</v>
      </c>
      <c r="G13734" s="8">
        <f t="shared" si="1"/>
        <v>5</v>
      </c>
      <c r="H13734" s="14">
        <f t="shared" si="2"/>
        <v>26</v>
      </c>
      <c r="I13734" s="15">
        <f t="shared" si="3"/>
        <v>6</v>
      </c>
    </row>
    <row r="13735">
      <c r="A13735" s="8" t="str">
        <f>IFERROR(__xludf.DUMMYFUNCTION("IF('(INGESTA)Datos_consumo_datadis'!A13735&lt;&gt;"""",SPLIT('(INGESTA)Datos_consumo_datadis'!A:A,"",""),"""")"),"ES0031408323131005HX0F")</f>
        <v>ES0031408323131005HX0F</v>
      </c>
      <c r="B13735" s="12">
        <f>IFERROR(__xludf.DUMMYFUNCTION("""COMPUTED_VALUE"""),45438.0)</f>
        <v>45438</v>
      </c>
      <c r="C13735" s="13">
        <f>IFERROR(__xludf.DUMMYFUNCTION("""COMPUTED_VALUE"""),0.2916666666666667)</f>
        <v>0.2916666667</v>
      </c>
      <c r="D13735" s="8">
        <f>IFERROR(__xludf.DUMMYFUNCTION("""COMPUTED_VALUE"""),0.048)</f>
        <v>0.048</v>
      </c>
      <c r="E13735" s="8" t="str">
        <f>IFERROR(__xludf.DUMMYFUNCTION("""COMPUTED_VALUE"""),"Real")</f>
        <v>Real</v>
      </c>
      <c r="G13735" s="8">
        <f t="shared" si="1"/>
        <v>5</v>
      </c>
      <c r="H13735" s="14">
        <f t="shared" si="2"/>
        <v>26</v>
      </c>
      <c r="I13735" s="15">
        <f t="shared" si="3"/>
        <v>7</v>
      </c>
    </row>
    <row r="13736">
      <c r="A13736" s="8" t="str">
        <f>IFERROR(__xludf.DUMMYFUNCTION("IF('(INGESTA)Datos_consumo_datadis'!A13736&lt;&gt;"""",SPLIT('(INGESTA)Datos_consumo_datadis'!A:A,"",""),"""")"),"ES0031408323131005HX0F")</f>
        <v>ES0031408323131005HX0F</v>
      </c>
      <c r="B13736" s="12">
        <f>IFERROR(__xludf.DUMMYFUNCTION("""COMPUTED_VALUE"""),45438.0)</f>
        <v>45438</v>
      </c>
      <c r="C13736" s="13">
        <f>IFERROR(__xludf.DUMMYFUNCTION("""COMPUTED_VALUE"""),0.3333333333333333)</f>
        <v>0.3333333333</v>
      </c>
      <c r="D13736" s="8">
        <f>IFERROR(__xludf.DUMMYFUNCTION("""COMPUTED_VALUE"""),0.386)</f>
        <v>0.386</v>
      </c>
      <c r="E13736" s="8" t="str">
        <f>IFERROR(__xludf.DUMMYFUNCTION("""COMPUTED_VALUE"""),"Real")</f>
        <v>Real</v>
      </c>
      <c r="G13736" s="8">
        <f t="shared" si="1"/>
        <v>5</v>
      </c>
      <c r="H13736" s="14">
        <f t="shared" si="2"/>
        <v>26</v>
      </c>
      <c r="I13736" s="15">
        <f t="shared" si="3"/>
        <v>8</v>
      </c>
    </row>
    <row r="13737">
      <c r="A13737" s="8" t="str">
        <f>IFERROR(__xludf.DUMMYFUNCTION("IF('(INGESTA)Datos_consumo_datadis'!A13737&lt;&gt;"""",SPLIT('(INGESTA)Datos_consumo_datadis'!A:A,"",""),"""")"),"ES0031408323131005HX0F")</f>
        <v>ES0031408323131005HX0F</v>
      </c>
      <c r="B13737" s="12">
        <f>IFERROR(__xludf.DUMMYFUNCTION("""COMPUTED_VALUE"""),45438.0)</f>
        <v>45438</v>
      </c>
      <c r="C13737" s="13">
        <f>IFERROR(__xludf.DUMMYFUNCTION("""COMPUTED_VALUE"""),0.375)</f>
        <v>0.375</v>
      </c>
      <c r="D13737" s="8">
        <f>IFERROR(__xludf.DUMMYFUNCTION("""COMPUTED_VALUE"""),0.197)</f>
        <v>0.197</v>
      </c>
      <c r="E13737" s="8" t="str">
        <f>IFERROR(__xludf.DUMMYFUNCTION("""COMPUTED_VALUE"""),"Real")</f>
        <v>Real</v>
      </c>
      <c r="G13737" s="8">
        <f t="shared" si="1"/>
        <v>5</v>
      </c>
      <c r="H13737" s="14">
        <f t="shared" si="2"/>
        <v>26</v>
      </c>
      <c r="I13737" s="15">
        <f t="shared" si="3"/>
        <v>9</v>
      </c>
    </row>
    <row r="13738">
      <c r="A13738" s="8" t="str">
        <f>IFERROR(__xludf.DUMMYFUNCTION("IF('(INGESTA)Datos_consumo_datadis'!A13738&lt;&gt;"""",SPLIT('(INGESTA)Datos_consumo_datadis'!A:A,"",""),"""")"),"ES0031408323131005HX0F")</f>
        <v>ES0031408323131005HX0F</v>
      </c>
      <c r="B13738" s="12">
        <f>IFERROR(__xludf.DUMMYFUNCTION("""COMPUTED_VALUE"""),45438.0)</f>
        <v>45438</v>
      </c>
      <c r="C13738" s="13">
        <f>IFERROR(__xludf.DUMMYFUNCTION("""COMPUTED_VALUE"""),0.4166666666666667)</f>
        <v>0.4166666667</v>
      </c>
      <c r="D13738" s="8">
        <f>IFERROR(__xludf.DUMMYFUNCTION("""COMPUTED_VALUE"""),0.622)</f>
        <v>0.622</v>
      </c>
      <c r="E13738" s="8" t="str">
        <f>IFERROR(__xludf.DUMMYFUNCTION("""COMPUTED_VALUE"""),"Real")</f>
        <v>Real</v>
      </c>
      <c r="G13738" s="8">
        <f t="shared" si="1"/>
        <v>5</v>
      </c>
      <c r="H13738" s="14">
        <f t="shared" si="2"/>
        <v>26</v>
      </c>
      <c r="I13738" s="15">
        <f t="shared" si="3"/>
        <v>10</v>
      </c>
    </row>
    <row r="13739">
      <c r="A13739" s="8" t="str">
        <f>IFERROR(__xludf.DUMMYFUNCTION("IF('(INGESTA)Datos_consumo_datadis'!A13739&lt;&gt;"""",SPLIT('(INGESTA)Datos_consumo_datadis'!A:A,"",""),"""")"),"ES0031408323131005HX0F")</f>
        <v>ES0031408323131005HX0F</v>
      </c>
      <c r="B13739" s="12">
        <f>IFERROR(__xludf.DUMMYFUNCTION("""COMPUTED_VALUE"""),45438.0)</f>
        <v>45438</v>
      </c>
      <c r="C13739" s="13">
        <f>IFERROR(__xludf.DUMMYFUNCTION("""COMPUTED_VALUE"""),0.4583333333333333)</f>
        <v>0.4583333333</v>
      </c>
      <c r="D13739" s="8">
        <f>IFERROR(__xludf.DUMMYFUNCTION("""COMPUTED_VALUE"""),0.401)</f>
        <v>0.401</v>
      </c>
      <c r="E13739" s="8" t="str">
        <f>IFERROR(__xludf.DUMMYFUNCTION("""COMPUTED_VALUE"""),"Real")</f>
        <v>Real</v>
      </c>
      <c r="G13739" s="8">
        <f t="shared" si="1"/>
        <v>5</v>
      </c>
      <c r="H13739" s="14">
        <f t="shared" si="2"/>
        <v>26</v>
      </c>
      <c r="I13739" s="15">
        <f t="shared" si="3"/>
        <v>11</v>
      </c>
    </row>
    <row r="13740">
      <c r="A13740" s="8" t="str">
        <f>IFERROR(__xludf.DUMMYFUNCTION("IF('(INGESTA)Datos_consumo_datadis'!A13740&lt;&gt;"""",SPLIT('(INGESTA)Datos_consumo_datadis'!A:A,"",""),"""")"),"ES0031408323131005HX0F")</f>
        <v>ES0031408323131005HX0F</v>
      </c>
      <c r="B13740" s="12">
        <f>IFERROR(__xludf.DUMMYFUNCTION("""COMPUTED_VALUE"""),45438.0)</f>
        <v>45438</v>
      </c>
      <c r="C13740" s="13">
        <f>IFERROR(__xludf.DUMMYFUNCTION("""COMPUTED_VALUE"""),0.5)</f>
        <v>0.5</v>
      </c>
      <c r="D13740" s="8">
        <f>IFERROR(__xludf.DUMMYFUNCTION("""COMPUTED_VALUE"""),0.075)</f>
        <v>0.075</v>
      </c>
      <c r="E13740" s="8" t="str">
        <f>IFERROR(__xludf.DUMMYFUNCTION("""COMPUTED_VALUE"""),"Real")</f>
        <v>Real</v>
      </c>
      <c r="G13740" s="8">
        <f t="shared" si="1"/>
        <v>5</v>
      </c>
      <c r="H13740" s="14">
        <f t="shared" si="2"/>
        <v>26</v>
      </c>
      <c r="I13740" s="15">
        <f t="shared" si="3"/>
        <v>12</v>
      </c>
    </row>
    <row r="13741">
      <c r="A13741" s="8" t="str">
        <f>IFERROR(__xludf.DUMMYFUNCTION("IF('(INGESTA)Datos_consumo_datadis'!A13741&lt;&gt;"""",SPLIT('(INGESTA)Datos_consumo_datadis'!A:A,"",""),"""")"),"ES0031408323131005HX0F")</f>
        <v>ES0031408323131005HX0F</v>
      </c>
      <c r="B13741" s="12">
        <f>IFERROR(__xludf.DUMMYFUNCTION("""COMPUTED_VALUE"""),45438.0)</f>
        <v>45438</v>
      </c>
      <c r="C13741" s="13">
        <f>IFERROR(__xludf.DUMMYFUNCTION("""COMPUTED_VALUE"""),0.5416666666666666)</f>
        <v>0.5416666667</v>
      </c>
      <c r="D13741" s="8">
        <f>IFERROR(__xludf.DUMMYFUNCTION("""COMPUTED_VALUE"""),0.079)</f>
        <v>0.079</v>
      </c>
      <c r="E13741" s="8" t="str">
        <f>IFERROR(__xludf.DUMMYFUNCTION("""COMPUTED_VALUE"""),"Real")</f>
        <v>Real</v>
      </c>
      <c r="G13741" s="8">
        <f t="shared" si="1"/>
        <v>5</v>
      </c>
      <c r="H13741" s="14">
        <f t="shared" si="2"/>
        <v>26</v>
      </c>
      <c r="I13741" s="15">
        <f t="shared" si="3"/>
        <v>13</v>
      </c>
    </row>
    <row r="13742">
      <c r="A13742" s="8" t="str">
        <f>IFERROR(__xludf.DUMMYFUNCTION("IF('(INGESTA)Datos_consumo_datadis'!A13742&lt;&gt;"""",SPLIT('(INGESTA)Datos_consumo_datadis'!A:A,"",""),"""")"),"ES0031408323131005HX0F")</f>
        <v>ES0031408323131005HX0F</v>
      </c>
      <c r="B13742" s="12">
        <f>IFERROR(__xludf.DUMMYFUNCTION("""COMPUTED_VALUE"""),45438.0)</f>
        <v>45438</v>
      </c>
      <c r="C13742" s="13">
        <f>IFERROR(__xludf.DUMMYFUNCTION("""COMPUTED_VALUE"""),0.5833333333333334)</f>
        <v>0.5833333333</v>
      </c>
      <c r="D13742" s="8">
        <f>IFERROR(__xludf.DUMMYFUNCTION("""COMPUTED_VALUE"""),0.055)</f>
        <v>0.055</v>
      </c>
      <c r="E13742" s="8" t="str">
        <f>IFERROR(__xludf.DUMMYFUNCTION("""COMPUTED_VALUE"""),"Real")</f>
        <v>Real</v>
      </c>
      <c r="G13742" s="8">
        <f t="shared" si="1"/>
        <v>5</v>
      </c>
      <c r="H13742" s="14">
        <f t="shared" si="2"/>
        <v>26</v>
      </c>
      <c r="I13742" s="15">
        <f t="shared" si="3"/>
        <v>14</v>
      </c>
    </row>
    <row r="13743">
      <c r="A13743" s="8" t="str">
        <f>IFERROR(__xludf.DUMMYFUNCTION("IF('(INGESTA)Datos_consumo_datadis'!A13743&lt;&gt;"""",SPLIT('(INGESTA)Datos_consumo_datadis'!A:A,"",""),"""")"),"ES0031408323131005HX0F")</f>
        <v>ES0031408323131005HX0F</v>
      </c>
      <c r="B13743" s="12">
        <f>IFERROR(__xludf.DUMMYFUNCTION("""COMPUTED_VALUE"""),45438.0)</f>
        <v>45438</v>
      </c>
      <c r="C13743" s="13">
        <f>IFERROR(__xludf.DUMMYFUNCTION("""COMPUTED_VALUE"""),0.625)</f>
        <v>0.625</v>
      </c>
      <c r="D13743" s="8">
        <f>IFERROR(__xludf.DUMMYFUNCTION("""COMPUTED_VALUE"""),0.081)</f>
        <v>0.081</v>
      </c>
      <c r="E13743" s="8" t="str">
        <f>IFERROR(__xludf.DUMMYFUNCTION("""COMPUTED_VALUE"""),"Real")</f>
        <v>Real</v>
      </c>
      <c r="G13743" s="8">
        <f t="shared" si="1"/>
        <v>5</v>
      </c>
      <c r="H13743" s="14">
        <f t="shared" si="2"/>
        <v>26</v>
      </c>
      <c r="I13743" s="15">
        <f t="shared" si="3"/>
        <v>15</v>
      </c>
    </row>
    <row r="13744">
      <c r="A13744" s="8" t="str">
        <f>IFERROR(__xludf.DUMMYFUNCTION("IF('(INGESTA)Datos_consumo_datadis'!A13744&lt;&gt;"""",SPLIT('(INGESTA)Datos_consumo_datadis'!A:A,"",""),"""")"),"ES0031408323131005HX0F")</f>
        <v>ES0031408323131005HX0F</v>
      </c>
      <c r="B13744" s="12">
        <f>IFERROR(__xludf.DUMMYFUNCTION("""COMPUTED_VALUE"""),45438.0)</f>
        <v>45438</v>
      </c>
      <c r="C13744" s="13">
        <f>IFERROR(__xludf.DUMMYFUNCTION("""COMPUTED_VALUE"""),0.6666666666666666)</f>
        <v>0.6666666667</v>
      </c>
      <c r="D13744" s="8">
        <f>IFERROR(__xludf.DUMMYFUNCTION("""COMPUTED_VALUE"""),0.049)</f>
        <v>0.049</v>
      </c>
      <c r="E13744" s="8" t="str">
        <f>IFERROR(__xludf.DUMMYFUNCTION("""COMPUTED_VALUE"""),"Real")</f>
        <v>Real</v>
      </c>
      <c r="G13744" s="8">
        <f t="shared" si="1"/>
        <v>5</v>
      </c>
      <c r="H13744" s="14">
        <f t="shared" si="2"/>
        <v>26</v>
      </c>
      <c r="I13744" s="15">
        <f t="shared" si="3"/>
        <v>16</v>
      </c>
    </row>
    <row r="13745">
      <c r="A13745" s="8" t="str">
        <f>IFERROR(__xludf.DUMMYFUNCTION("IF('(INGESTA)Datos_consumo_datadis'!A13745&lt;&gt;"""",SPLIT('(INGESTA)Datos_consumo_datadis'!A:A,"",""),"""")"),"ES0031408323131005HX0F")</f>
        <v>ES0031408323131005HX0F</v>
      </c>
      <c r="B13745" s="12">
        <f>IFERROR(__xludf.DUMMYFUNCTION("""COMPUTED_VALUE"""),45438.0)</f>
        <v>45438</v>
      </c>
      <c r="C13745" s="13">
        <f>IFERROR(__xludf.DUMMYFUNCTION("""COMPUTED_VALUE"""),0.7083333333333334)</f>
        <v>0.7083333333</v>
      </c>
      <c r="D13745" s="8">
        <f>IFERROR(__xludf.DUMMYFUNCTION("""COMPUTED_VALUE"""),0.083)</f>
        <v>0.083</v>
      </c>
      <c r="E13745" s="8" t="str">
        <f>IFERROR(__xludf.DUMMYFUNCTION("""COMPUTED_VALUE"""),"Real")</f>
        <v>Real</v>
      </c>
      <c r="G13745" s="8">
        <f t="shared" si="1"/>
        <v>5</v>
      </c>
      <c r="H13745" s="14">
        <f t="shared" si="2"/>
        <v>26</v>
      </c>
      <c r="I13745" s="15">
        <f t="shared" si="3"/>
        <v>17</v>
      </c>
    </row>
    <row r="13746">
      <c r="A13746" s="8" t="str">
        <f>IFERROR(__xludf.DUMMYFUNCTION("IF('(INGESTA)Datos_consumo_datadis'!A13746&lt;&gt;"""",SPLIT('(INGESTA)Datos_consumo_datadis'!A:A,"",""),"""")"),"ES0031408323131005HX0F")</f>
        <v>ES0031408323131005HX0F</v>
      </c>
      <c r="B13746" s="12">
        <f>IFERROR(__xludf.DUMMYFUNCTION("""COMPUTED_VALUE"""),45438.0)</f>
        <v>45438</v>
      </c>
      <c r="C13746" s="13">
        <f>IFERROR(__xludf.DUMMYFUNCTION("""COMPUTED_VALUE"""),0.75)</f>
        <v>0.75</v>
      </c>
      <c r="D13746" s="8">
        <f>IFERROR(__xludf.DUMMYFUNCTION("""COMPUTED_VALUE"""),0.296)</f>
        <v>0.296</v>
      </c>
      <c r="E13746" s="8" t="str">
        <f>IFERROR(__xludf.DUMMYFUNCTION("""COMPUTED_VALUE"""),"Real")</f>
        <v>Real</v>
      </c>
      <c r="G13746" s="8">
        <f t="shared" si="1"/>
        <v>5</v>
      </c>
      <c r="H13746" s="14">
        <f t="shared" si="2"/>
        <v>26</v>
      </c>
      <c r="I13746" s="15">
        <f t="shared" si="3"/>
        <v>18</v>
      </c>
    </row>
    <row r="13747">
      <c r="A13747" s="8" t="str">
        <f>IFERROR(__xludf.DUMMYFUNCTION("IF('(INGESTA)Datos_consumo_datadis'!A13747&lt;&gt;"""",SPLIT('(INGESTA)Datos_consumo_datadis'!A:A,"",""),"""")"),"ES0031408323131005HX0F")</f>
        <v>ES0031408323131005HX0F</v>
      </c>
      <c r="B13747" s="12">
        <f>IFERROR(__xludf.DUMMYFUNCTION("""COMPUTED_VALUE"""),45438.0)</f>
        <v>45438</v>
      </c>
      <c r="C13747" s="13">
        <f>IFERROR(__xludf.DUMMYFUNCTION("""COMPUTED_VALUE"""),0.7916666666666666)</f>
        <v>0.7916666667</v>
      </c>
      <c r="D13747" s="8">
        <f>IFERROR(__xludf.DUMMYFUNCTION("""COMPUTED_VALUE"""),0.089)</f>
        <v>0.089</v>
      </c>
      <c r="E13747" s="8" t="str">
        <f>IFERROR(__xludf.DUMMYFUNCTION("""COMPUTED_VALUE"""),"Real")</f>
        <v>Real</v>
      </c>
      <c r="G13747" s="8">
        <f t="shared" si="1"/>
        <v>5</v>
      </c>
      <c r="H13747" s="14">
        <f t="shared" si="2"/>
        <v>26</v>
      </c>
      <c r="I13747" s="15">
        <f t="shared" si="3"/>
        <v>19</v>
      </c>
    </row>
    <row r="13748">
      <c r="A13748" s="8" t="str">
        <f>IFERROR(__xludf.DUMMYFUNCTION("IF('(INGESTA)Datos_consumo_datadis'!A13748&lt;&gt;"""",SPLIT('(INGESTA)Datos_consumo_datadis'!A:A,"",""),"""")"),"ES0031408323131005HX0F")</f>
        <v>ES0031408323131005HX0F</v>
      </c>
      <c r="B13748" s="12">
        <f>IFERROR(__xludf.DUMMYFUNCTION("""COMPUTED_VALUE"""),45438.0)</f>
        <v>45438</v>
      </c>
      <c r="C13748" s="13">
        <f>IFERROR(__xludf.DUMMYFUNCTION("""COMPUTED_VALUE"""),0.8333333333333334)</f>
        <v>0.8333333333</v>
      </c>
      <c r="D13748" s="8">
        <f>IFERROR(__xludf.DUMMYFUNCTION("""COMPUTED_VALUE"""),0.062)</f>
        <v>0.062</v>
      </c>
      <c r="E13748" s="8" t="str">
        <f>IFERROR(__xludf.DUMMYFUNCTION("""COMPUTED_VALUE"""),"Real")</f>
        <v>Real</v>
      </c>
      <c r="G13748" s="8">
        <f t="shared" si="1"/>
        <v>5</v>
      </c>
      <c r="H13748" s="14">
        <f t="shared" si="2"/>
        <v>26</v>
      </c>
      <c r="I13748" s="15">
        <f t="shared" si="3"/>
        <v>20</v>
      </c>
    </row>
    <row r="13749">
      <c r="A13749" s="8" t="str">
        <f>IFERROR(__xludf.DUMMYFUNCTION("IF('(INGESTA)Datos_consumo_datadis'!A13749&lt;&gt;"""",SPLIT('(INGESTA)Datos_consumo_datadis'!A:A,"",""),"""")"),"ES0031408323131005HX0F")</f>
        <v>ES0031408323131005HX0F</v>
      </c>
      <c r="B13749" s="12">
        <f>IFERROR(__xludf.DUMMYFUNCTION("""COMPUTED_VALUE"""),45438.0)</f>
        <v>45438</v>
      </c>
      <c r="C13749" s="13">
        <f>IFERROR(__xludf.DUMMYFUNCTION("""COMPUTED_VALUE"""),0.875)</f>
        <v>0.875</v>
      </c>
      <c r="D13749" s="8">
        <f>IFERROR(__xludf.DUMMYFUNCTION("""COMPUTED_VALUE"""),0.891)</f>
        <v>0.891</v>
      </c>
      <c r="E13749" s="8" t="str">
        <f>IFERROR(__xludf.DUMMYFUNCTION("""COMPUTED_VALUE"""),"Real")</f>
        <v>Real</v>
      </c>
      <c r="G13749" s="8">
        <f t="shared" si="1"/>
        <v>5</v>
      </c>
      <c r="H13749" s="14">
        <f t="shared" si="2"/>
        <v>26</v>
      </c>
      <c r="I13749" s="15">
        <f t="shared" si="3"/>
        <v>21</v>
      </c>
    </row>
    <row r="13750">
      <c r="A13750" s="8" t="str">
        <f>IFERROR(__xludf.DUMMYFUNCTION("IF('(INGESTA)Datos_consumo_datadis'!A13750&lt;&gt;"""",SPLIT('(INGESTA)Datos_consumo_datadis'!A:A,"",""),"""")"),"ES0031408323131005HX0F")</f>
        <v>ES0031408323131005HX0F</v>
      </c>
      <c r="B13750" s="12">
        <f>IFERROR(__xludf.DUMMYFUNCTION("""COMPUTED_VALUE"""),45438.0)</f>
        <v>45438</v>
      </c>
      <c r="C13750" s="13">
        <f>IFERROR(__xludf.DUMMYFUNCTION("""COMPUTED_VALUE"""),0.9166666666666666)</f>
        <v>0.9166666667</v>
      </c>
      <c r="D13750" s="8">
        <f>IFERROR(__xludf.DUMMYFUNCTION("""COMPUTED_VALUE"""),0.934)</f>
        <v>0.934</v>
      </c>
      <c r="E13750" s="8" t="str">
        <f>IFERROR(__xludf.DUMMYFUNCTION("""COMPUTED_VALUE"""),"Real")</f>
        <v>Real</v>
      </c>
      <c r="G13750" s="8">
        <f t="shared" si="1"/>
        <v>5</v>
      </c>
      <c r="H13750" s="14">
        <f t="shared" si="2"/>
        <v>26</v>
      </c>
      <c r="I13750" s="15">
        <f t="shared" si="3"/>
        <v>22</v>
      </c>
    </row>
    <row r="13751">
      <c r="A13751" s="8" t="str">
        <f>IFERROR(__xludf.DUMMYFUNCTION("IF('(INGESTA)Datos_consumo_datadis'!A13751&lt;&gt;"""",SPLIT('(INGESTA)Datos_consumo_datadis'!A:A,"",""),"""")"),"ES0031408323131005HX0F")</f>
        <v>ES0031408323131005HX0F</v>
      </c>
      <c r="B13751" s="12">
        <f>IFERROR(__xludf.DUMMYFUNCTION("""COMPUTED_VALUE"""),45438.0)</f>
        <v>45438</v>
      </c>
      <c r="C13751" s="13">
        <f>IFERROR(__xludf.DUMMYFUNCTION("""COMPUTED_VALUE"""),0.9583333333333334)</f>
        <v>0.9583333333</v>
      </c>
      <c r="D13751" s="8">
        <f>IFERROR(__xludf.DUMMYFUNCTION("""COMPUTED_VALUE"""),0.098)</f>
        <v>0.098</v>
      </c>
      <c r="E13751" s="8" t="str">
        <f>IFERROR(__xludf.DUMMYFUNCTION("""COMPUTED_VALUE"""),"Real")</f>
        <v>Real</v>
      </c>
      <c r="G13751" s="8">
        <f t="shared" si="1"/>
        <v>5</v>
      </c>
      <c r="H13751" s="14">
        <f t="shared" si="2"/>
        <v>26</v>
      </c>
      <c r="I13751" s="15">
        <f t="shared" si="3"/>
        <v>23</v>
      </c>
    </row>
    <row r="13752">
      <c r="A13752" s="8" t="str">
        <f>IFERROR(__xludf.DUMMYFUNCTION("IF('(INGESTA)Datos_consumo_datadis'!A13752&lt;&gt;"""",SPLIT('(INGESTA)Datos_consumo_datadis'!A:A,"",""),"""")"),"ES0031408323131005HX0F")</f>
        <v>ES0031408323131005HX0F</v>
      </c>
      <c r="B13752" s="12">
        <f>IFERROR(__xludf.DUMMYFUNCTION("""COMPUTED_VALUE"""),45438.0)</f>
        <v>45438</v>
      </c>
      <c r="C13752" s="16">
        <f>IFERROR(__xludf.DUMMYFUNCTION("""COMPUTED_VALUE"""),1.0)</f>
        <v>1</v>
      </c>
      <c r="D13752" s="8">
        <f>IFERROR(__xludf.DUMMYFUNCTION("""COMPUTED_VALUE"""),0.096)</f>
        <v>0.096</v>
      </c>
      <c r="E13752" s="8" t="str">
        <f>IFERROR(__xludf.DUMMYFUNCTION("""COMPUTED_VALUE"""),"Real")</f>
        <v>Real</v>
      </c>
      <c r="G13752" s="8">
        <f t="shared" si="1"/>
        <v>5</v>
      </c>
      <c r="H13752" s="14">
        <f t="shared" si="2"/>
        <v>26</v>
      </c>
      <c r="I13752" s="15">
        <f t="shared" si="3"/>
        <v>0</v>
      </c>
    </row>
    <row r="13753">
      <c r="A13753" s="8" t="str">
        <f>IFERROR(__xludf.DUMMYFUNCTION("IF('(INGESTA)Datos_consumo_datadis'!A13753&lt;&gt;"""",SPLIT('(INGESTA)Datos_consumo_datadis'!A:A,"",""),"""")"),"ES0031408323131005HX0F")</f>
        <v>ES0031408323131005HX0F</v>
      </c>
      <c r="B13753" s="12">
        <f>IFERROR(__xludf.DUMMYFUNCTION("""COMPUTED_VALUE"""),45439.0)</f>
        <v>45439</v>
      </c>
      <c r="C13753" s="13">
        <f>IFERROR(__xludf.DUMMYFUNCTION("""COMPUTED_VALUE"""),0.041666666666666664)</f>
        <v>0.04166666667</v>
      </c>
      <c r="D13753" s="8">
        <f>IFERROR(__xludf.DUMMYFUNCTION("""COMPUTED_VALUE"""),0.085)</f>
        <v>0.085</v>
      </c>
      <c r="E13753" s="8" t="str">
        <f>IFERROR(__xludf.DUMMYFUNCTION("""COMPUTED_VALUE"""),"Real")</f>
        <v>Real</v>
      </c>
      <c r="G13753" s="8">
        <f t="shared" si="1"/>
        <v>5</v>
      </c>
      <c r="H13753" s="14">
        <f t="shared" si="2"/>
        <v>27</v>
      </c>
      <c r="I13753" s="15">
        <f t="shared" si="3"/>
        <v>1</v>
      </c>
    </row>
    <row r="13754">
      <c r="A13754" s="8" t="str">
        <f>IFERROR(__xludf.DUMMYFUNCTION("IF('(INGESTA)Datos_consumo_datadis'!A13754&lt;&gt;"""",SPLIT('(INGESTA)Datos_consumo_datadis'!A:A,"",""),"""")"),"ES0031408323131005HX0F")</f>
        <v>ES0031408323131005HX0F</v>
      </c>
      <c r="B13754" s="12">
        <f>IFERROR(__xludf.DUMMYFUNCTION("""COMPUTED_VALUE"""),45439.0)</f>
        <v>45439</v>
      </c>
      <c r="C13754" s="13">
        <f>IFERROR(__xludf.DUMMYFUNCTION("""COMPUTED_VALUE"""),0.08333333333333333)</f>
        <v>0.08333333333</v>
      </c>
      <c r="D13754" s="8">
        <f>IFERROR(__xludf.DUMMYFUNCTION("""COMPUTED_VALUE"""),0.061)</f>
        <v>0.061</v>
      </c>
      <c r="E13754" s="8" t="str">
        <f>IFERROR(__xludf.DUMMYFUNCTION("""COMPUTED_VALUE"""),"Real")</f>
        <v>Real</v>
      </c>
      <c r="G13754" s="8">
        <f t="shared" si="1"/>
        <v>5</v>
      </c>
      <c r="H13754" s="14">
        <f t="shared" si="2"/>
        <v>27</v>
      </c>
      <c r="I13754" s="15">
        <f t="shared" si="3"/>
        <v>2</v>
      </c>
    </row>
    <row r="13755">
      <c r="A13755" s="8" t="str">
        <f>IFERROR(__xludf.DUMMYFUNCTION("IF('(INGESTA)Datos_consumo_datadis'!A13755&lt;&gt;"""",SPLIT('(INGESTA)Datos_consumo_datadis'!A:A,"",""),"""")"),"ES0031408323131005HX0F")</f>
        <v>ES0031408323131005HX0F</v>
      </c>
      <c r="B13755" s="12">
        <f>IFERROR(__xludf.DUMMYFUNCTION("""COMPUTED_VALUE"""),45439.0)</f>
        <v>45439</v>
      </c>
      <c r="C13755" s="13">
        <f>IFERROR(__xludf.DUMMYFUNCTION("""COMPUTED_VALUE"""),0.125)</f>
        <v>0.125</v>
      </c>
      <c r="D13755" s="8">
        <f>IFERROR(__xludf.DUMMYFUNCTION("""COMPUTED_VALUE"""),0.075)</f>
        <v>0.075</v>
      </c>
      <c r="E13755" s="8" t="str">
        <f>IFERROR(__xludf.DUMMYFUNCTION("""COMPUTED_VALUE"""),"Real")</f>
        <v>Real</v>
      </c>
      <c r="G13755" s="8">
        <f t="shared" si="1"/>
        <v>5</v>
      </c>
      <c r="H13755" s="14">
        <f t="shared" si="2"/>
        <v>27</v>
      </c>
      <c r="I13755" s="15">
        <f t="shared" si="3"/>
        <v>3</v>
      </c>
    </row>
    <row r="13756">
      <c r="A13756" s="8" t="str">
        <f>IFERROR(__xludf.DUMMYFUNCTION("IF('(INGESTA)Datos_consumo_datadis'!A13756&lt;&gt;"""",SPLIT('(INGESTA)Datos_consumo_datadis'!A:A,"",""),"""")"),"ES0031408323131005HX0F")</f>
        <v>ES0031408323131005HX0F</v>
      </c>
      <c r="B13756" s="12">
        <f>IFERROR(__xludf.DUMMYFUNCTION("""COMPUTED_VALUE"""),45439.0)</f>
        <v>45439</v>
      </c>
      <c r="C13756" s="13">
        <f>IFERROR(__xludf.DUMMYFUNCTION("""COMPUTED_VALUE"""),0.16666666666666666)</f>
        <v>0.1666666667</v>
      </c>
      <c r="D13756" s="8">
        <f>IFERROR(__xludf.DUMMYFUNCTION("""COMPUTED_VALUE"""),0.05)</f>
        <v>0.05</v>
      </c>
      <c r="E13756" s="8" t="str">
        <f>IFERROR(__xludf.DUMMYFUNCTION("""COMPUTED_VALUE"""),"Real")</f>
        <v>Real</v>
      </c>
      <c r="G13756" s="8">
        <f t="shared" si="1"/>
        <v>5</v>
      </c>
      <c r="H13756" s="14">
        <f t="shared" si="2"/>
        <v>27</v>
      </c>
      <c r="I13756" s="15">
        <f t="shared" si="3"/>
        <v>4</v>
      </c>
    </row>
    <row r="13757">
      <c r="A13757" s="8" t="str">
        <f>IFERROR(__xludf.DUMMYFUNCTION("IF('(INGESTA)Datos_consumo_datadis'!A13757&lt;&gt;"""",SPLIT('(INGESTA)Datos_consumo_datadis'!A:A,"",""),"""")"),"ES0031408323131005HX0F")</f>
        <v>ES0031408323131005HX0F</v>
      </c>
      <c r="B13757" s="12">
        <f>IFERROR(__xludf.DUMMYFUNCTION("""COMPUTED_VALUE"""),45439.0)</f>
        <v>45439</v>
      </c>
      <c r="C13757" s="13">
        <f>IFERROR(__xludf.DUMMYFUNCTION("""COMPUTED_VALUE"""),0.20833333333333334)</f>
        <v>0.2083333333</v>
      </c>
      <c r="D13757" s="8">
        <f>IFERROR(__xludf.DUMMYFUNCTION("""COMPUTED_VALUE"""),0.335)</f>
        <v>0.335</v>
      </c>
      <c r="E13757" s="8" t="str">
        <f>IFERROR(__xludf.DUMMYFUNCTION("""COMPUTED_VALUE"""),"Real")</f>
        <v>Real</v>
      </c>
      <c r="G13757" s="8">
        <f t="shared" si="1"/>
        <v>5</v>
      </c>
      <c r="H13757" s="14">
        <f t="shared" si="2"/>
        <v>27</v>
      </c>
      <c r="I13757" s="15">
        <f t="shared" si="3"/>
        <v>5</v>
      </c>
    </row>
    <row r="13758">
      <c r="A13758" s="8" t="str">
        <f>IFERROR(__xludf.DUMMYFUNCTION("IF('(INGESTA)Datos_consumo_datadis'!A13758&lt;&gt;"""",SPLIT('(INGESTA)Datos_consumo_datadis'!A:A,"",""),"""")"),"ES0031408323131005HX0F")</f>
        <v>ES0031408323131005HX0F</v>
      </c>
      <c r="B13758" s="12">
        <f>IFERROR(__xludf.DUMMYFUNCTION("""COMPUTED_VALUE"""),45439.0)</f>
        <v>45439</v>
      </c>
      <c r="C13758" s="13">
        <f>IFERROR(__xludf.DUMMYFUNCTION("""COMPUTED_VALUE"""),0.25)</f>
        <v>0.25</v>
      </c>
      <c r="D13758" s="8">
        <f>IFERROR(__xludf.DUMMYFUNCTION("""COMPUTED_VALUE"""),0.046)</f>
        <v>0.046</v>
      </c>
      <c r="E13758" s="8" t="str">
        <f>IFERROR(__xludf.DUMMYFUNCTION("""COMPUTED_VALUE"""),"Real")</f>
        <v>Real</v>
      </c>
      <c r="G13758" s="8">
        <f t="shared" si="1"/>
        <v>5</v>
      </c>
      <c r="H13758" s="14">
        <f t="shared" si="2"/>
        <v>27</v>
      </c>
      <c r="I13758" s="15">
        <f t="shared" si="3"/>
        <v>6</v>
      </c>
    </row>
    <row r="13759">
      <c r="A13759" s="8" t="str">
        <f>IFERROR(__xludf.DUMMYFUNCTION("IF('(INGESTA)Datos_consumo_datadis'!A13759&lt;&gt;"""",SPLIT('(INGESTA)Datos_consumo_datadis'!A:A,"",""),"""")"),"ES0031408323131005HX0F")</f>
        <v>ES0031408323131005HX0F</v>
      </c>
      <c r="B13759" s="12">
        <f>IFERROR(__xludf.DUMMYFUNCTION("""COMPUTED_VALUE"""),45439.0)</f>
        <v>45439</v>
      </c>
      <c r="C13759" s="13">
        <f>IFERROR(__xludf.DUMMYFUNCTION("""COMPUTED_VALUE"""),0.2916666666666667)</f>
        <v>0.2916666667</v>
      </c>
      <c r="D13759" s="8">
        <f>IFERROR(__xludf.DUMMYFUNCTION("""COMPUTED_VALUE"""),0.081)</f>
        <v>0.081</v>
      </c>
      <c r="E13759" s="8" t="str">
        <f>IFERROR(__xludf.DUMMYFUNCTION("""COMPUTED_VALUE"""),"Real")</f>
        <v>Real</v>
      </c>
      <c r="G13759" s="8">
        <f t="shared" si="1"/>
        <v>5</v>
      </c>
      <c r="H13759" s="14">
        <f t="shared" si="2"/>
        <v>27</v>
      </c>
      <c r="I13759" s="15">
        <f t="shared" si="3"/>
        <v>7</v>
      </c>
    </row>
    <row r="13760">
      <c r="A13760" s="8" t="str">
        <f>IFERROR(__xludf.DUMMYFUNCTION("IF('(INGESTA)Datos_consumo_datadis'!A13760&lt;&gt;"""",SPLIT('(INGESTA)Datos_consumo_datadis'!A:A,"",""),"""")"),"ES0031408323131005HX0F")</f>
        <v>ES0031408323131005HX0F</v>
      </c>
      <c r="B13760" s="12">
        <f>IFERROR(__xludf.DUMMYFUNCTION("""COMPUTED_VALUE"""),45439.0)</f>
        <v>45439</v>
      </c>
      <c r="C13760" s="13">
        <f>IFERROR(__xludf.DUMMYFUNCTION("""COMPUTED_VALUE"""),0.3333333333333333)</f>
        <v>0.3333333333</v>
      </c>
      <c r="D13760" s="8">
        <f>IFERROR(__xludf.DUMMYFUNCTION("""COMPUTED_VALUE"""),0.233)</f>
        <v>0.233</v>
      </c>
      <c r="E13760" s="8" t="str">
        <f>IFERROR(__xludf.DUMMYFUNCTION("""COMPUTED_VALUE"""),"Real")</f>
        <v>Real</v>
      </c>
      <c r="G13760" s="8">
        <f t="shared" si="1"/>
        <v>5</v>
      </c>
      <c r="H13760" s="14">
        <f t="shared" si="2"/>
        <v>27</v>
      </c>
      <c r="I13760" s="15">
        <f t="shared" si="3"/>
        <v>8</v>
      </c>
    </row>
    <row r="13761">
      <c r="A13761" s="8" t="str">
        <f>IFERROR(__xludf.DUMMYFUNCTION("IF('(INGESTA)Datos_consumo_datadis'!A13761&lt;&gt;"""",SPLIT('(INGESTA)Datos_consumo_datadis'!A:A,"",""),"""")"),"ES0031408323131005HX0F")</f>
        <v>ES0031408323131005HX0F</v>
      </c>
      <c r="B13761" s="12">
        <f>IFERROR(__xludf.DUMMYFUNCTION("""COMPUTED_VALUE"""),45439.0)</f>
        <v>45439</v>
      </c>
      <c r="C13761" s="13">
        <f>IFERROR(__xludf.DUMMYFUNCTION("""COMPUTED_VALUE"""),0.375)</f>
        <v>0.375</v>
      </c>
      <c r="D13761" s="8">
        <f>IFERROR(__xludf.DUMMYFUNCTION("""COMPUTED_VALUE"""),0.858)</f>
        <v>0.858</v>
      </c>
      <c r="E13761" s="8" t="str">
        <f>IFERROR(__xludf.DUMMYFUNCTION("""COMPUTED_VALUE"""),"Real")</f>
        <v>Real</v>
      </c>
      <c r="G13761" s="8">
        <f t="shared" si="1"/>
        <v>5</v>
      </c>
      <c r="H13761" s="14">
        <f t="shared" si="2"/>
        <v>27</v>
      </c>
      <c r="I13761" s="15">
        <f t="shared" si="3"/>
        <v>9</v>
      </c>
    </row>
    <row r="13762">
      <c r="A13762" s="8" t="str">
        <f>IFERROR(__xludf.DUMMYFUNCTION("IF('(INGESTA)Datos_consumo_datadis'!A13762&lt;&gt;"""",SPLIT('(INGESTA)Datos_consumo_datadis'!A:A,"",""),"""")"),"ES0031408323131005HX0F")</f>
        <v>ES0031408323131005HX0F</v>
      </c>
      <c r="B13762" s="12">
        <f>IFERROR(__xludf.DUMMYFUNCTION("""COMPUTED_VALUE"""),45439.0)</f>
        <v>45439</v>
      </c>
      <c r="C13762" s="13">
        <f>IFERROR(__xludf.DUMMYFUNCTION("""COMPUTED_VALUE"""),0.4166666666666667)</f>
        <v>0.4166666667</v>
      </c>
      <c r="D13762" s="8">
        <f>IFERROR(__xludf.DUMMYFUNCTION("""COMPUTED_VALUE"""),0.485)</f>
        <v>0.485</v>
      </c>
      <c r="E13762" s="8" t="str">
        <f>IFERROR(__xludf.DUMMYFUNCTION("""COMPUTED_VALUE"""),"Real")</f>
        <v>Real</v>
      </c>
      <c r="G13762" s="8">
        <f t="shared" si="1"/>
        <v>5</v>
      </c>
      <c r="H13762" s="14">
        <f t="shared" si="2"/>
        <v>27</v>
      </c>
      <c r="I13762" s="15">
        <f t="shared" si="3"/>
        <v>10</v>
      </c>
    </row>
    <row r="13763">
      <c r="A13763" s="8" t="str">
        <f>IFERROR(__xludf.DUMMYFUNCTION("IF('(INGESTA)Datos_consumo_datadis'!A13763&lt;&gt;"""",SPLIT('(INGESTA)Datos_consumo_datadis'!A:A,"",""),"""")"),"ES0031408323131005HX0F")</f>
        <v>ES0031408323131005HX0F</v>
      </c>
      <c r="B13763" s="12">
        <f>IFERROR(__xludf.DUMMYFUNCTION("""COMPUTED_VALUE"""),45439.0)</f>
        <v>45439</v>
      </c>
      <c r="C13763" s="13">
        <f>IFERROR(__xludf.DUMMYFUNCTION("""COMPUTED_VALUE"""),0.4583333333333333)</f>
        <v>0.4583333333</v>
      </c>
      <c r="D13763" s="8">
        <f>IFERROR(__xludf.DUMMYFUNCTION("""COMPUTED_VALUE"""),0.057)</f>
        <v>0.057</v>
      </c>
      <c r="E13763" s="8" t="str">
        <f>IFERROR(__xludf.DUMMYFUNCTION("""COMPUTED_VALUE"""),"Real")</f>
        <v>Real</v>
      </c>
      <c r="G13763" s="8">
        <f t="shared" si="1"/>
        <v>5</v>
      </c>
      <c r="H13763" s="14">
        <f t="shared" si="2"/>
        <v>27</v>
      </c>
      <c r="I13763" s="15">
        <f t="shared" si="3"/>
        <v>11</v>
      </c>
    </row>
    <row r="13764">
      <c r="A13764" s="8" t="str">
        <f>IFERROR(__xludf.DUMMYFUNCTION("IF('(INGESTA)Datos_consumo_datadis'!A13764&lt;&gt;"""",SPLIT('(INGESTA)Datos_consumo_datadis'!A:A,"",""),"""")"),"ES0031408323131005HX0F")</f>
        <v>ES0031408323131005HX0F</v>
      </c>
      <c r="B13764" s="12">
        <f>IFERROR(__xludf.DUMMYFUNCTION("""COMPUTED_VALUE"""),45439.0)</f>
        <v>45439</v>
      </c>
      <c r="C13764" s="13">
        <f>IFERROR(__xludf.DUMMYFUNCTION("""COMPUTED_VALUE"""),0.5)</f>
        <v>0.5</v>
      </c>
      <c r="D13764" s="8">
        <f>IFERROR(__xludf.DUMMYFUNCTION("""COMPUTED_VALUE"""),0.079)</f>
        <v>0.079</v>
      </c>
      <c r="E13764" s="8" t="str">
        <f>IFERROR(__xludf.DUMMYFUNCTION("""COMPUTED_VALUE"""),"Real")</f>
        <v>Real</v>
      </c>
      <c r="G13764" s="8">
        <f t="shared" si="1"/>
        <v>5</v>
      </c>
      <c r="H13764" s="14">
        <f t="shared" si="2"/>
        <v>27</v>
      </c>
      <c r="I13764" s="15">
        <f t="shared" si="3"/>
        <v>12</v>
      </c>
    </row>
    <row r="13765">
      <c r="A13765" s="8" t="str">
        <f>IFERROR(__xludf.DUMMYFUNCTION("IF('(INGESTA)Datos_consumo_datadis'!A13765&lt;&gt;"""",SPLIT('(INGESTA)Datos_consumo_datadis'!A:A,"",""),"""")"),"ES0031408323131005HX0F")</f>
        <v>ES0031408323131005HX0F</v>
      </c>
      <c r="B13765" s="12">
        <f>IFERROR(__xludf.DUMMYFUNCTION("""COMPUTED_VALUE"""),45439.0)</f>
        <v>45439</v>
      </c>
      <c r="C13765" s="13">
        <f>IFERROR(__xludf.DUMMYFUNCTION("""COMPUTED_VALUE"""),0.5416666666666666)</f>
        <v>0.5416666667</v>
      </c>
      <c r="D13765" s="8">
        <f>IFERROR(__xludf.DUMMYFUNCTION("""COMPUTED_VALUE"""),0.048)</f>
        <v>0.048</v>
      </c>
      <c r="E13765" s="8" t="str">
        <f>IFERROR(__xludf.DUMMYFUNCTION("""COMPUTED_VALUE"""),"Real")</f>
        <v>Real</v>
      </c>
      <c r="G13765" s="8">
        <f t="shared" si="1"/>
        <v>5</v>
      </c>
      <c r="H13765" s="14">
        <f t="shared" si="2"/>
        <v>27</v>
      </c>
      <c r="I13765" s="15">
        <f t="shared" si="3"/>
        <v>13</v>
      </c>
    </row>
    <row r="13766">
      <c r="A13766" s="8" t="str">
        <f>IFERROR(__xludf.DUMMYFUNCTION("IF('(INGESTA)Datos_consumo_datadis'!A13766&lt;&gt;"""",SPLIT('(INGESTA)Datos_consumo_datadis'!A:A,"",""),"""")"),"ES0031408323131005HX0F")</f>
        <v>ES0031408323131005HX0F</v>
      </c>
      <c r="B13766" s="12">
        <f>IFERROR(__xludf.DUMMYFUNCTION("""COMPUTED_VALUE"""),45439.0)</f>
        <v>45439</v>
      </c>
      <c r="C13766" s="13">
        <f>IFERROR(__xludf.DUMMYFUNCTION("""COMPUTED_VALUE"""),0.5833333333333334)</f>
        <v>0.5833333333</v>
      </c>
      <c r="D13766" s="8">
        <f>IFERROR(__xludf.DUMMYFUNCTION("""COMPUTED_VALUE"""),0.811)</f>
        <v>0.811</v>
      </c>
      <c r="E13766" s="8" t="str">
        <f>IFERROR(__xludf.DUMMYFUNCTION("""COMPUTED_VALUE"""),"Real")</f>
        <v>Real</v>
      </c>
      <c r="G13766" s="8">
        <f t="shared" si="1"/>
        <v>5</v>
      </c>
      <c r="H13766" s="14">
        <f t="shared" si="2"/>
        <v>27</v>
      </c>
      <c r="I13766" s="15">
        <f t="shared" si="3"/>
        <v>14</v>
      </c>
    </row>
    <row r="13767">
      <c r="A13767" s="8" t="str">
        <f>IFERROR(__xludf.DUMMYFUNCTION("IF('(INGESTA)Datos_consumo_datadis'!A13767&lt;&gt;"""",SPLIT('(INGESTA)Datos_consumo_datadis'!A:A,"",""),"""")"),"ES0031408323131005HX0F")</f>
        <v>ES0031408323131005HX0F</v>
      </c>
      <c r="B13767" s="12">
        <f>IFERROR(__xludf.DUMMYFUNCTION("""COMPUTED_VALUE"""),45439.0)</f>
        <v>45439</v>
      </c>
      <c r="C13767" s="13">
        <f>IFERROR(__xludf.DUMMYFUNCTION("""COMPUTED_VALUE"""),0.625)</f>
        <v>0.625</v>
      </c>
      <c r="D13767" s="8">
        <f>IFERROR(__xludf.DUMMYFUNCTION("""COMPUTED_VALUE"""),0.081)</f>
        <v>0.081</v>
      </c>
      <c r="E13767" s="8" t="str">
        <f>IFERROR(__xludf.DUMMYFUNCTION("""COMPUTED_VALUE"""),"Real")</f>
        <v>Real</v>
      </c>
      <c r="G13767" s="8">
        <f t="shared" si="1"/>
        <v>5</v>
      </c>
      <c r="H13767" s="14">
        <f t="shared" si="2"/>
        <v>27</v>
      </c>
      <c r="I13767" s="15">
        <f t="shared" si="3"/>
        <v>15</v>
      </c>
    </row>
    <row r="13768">
      <c r="A13768" s="8" t="str">
        <f>IFERROR(__xludf.DUMMYFUNCTION("IF('(INGESTA)Datos_consumo_datadis'!A13768&lt;&gt;"""",SPLIT('(INGESTA)Datos_consumo_datadis'!A:A,"",""),"""")"),"ES0031408323131005HX0F")</f>
        <v>ES0031408323131005HX0F</v>
      </c>
      <c r="B13768" s="12">
        <f>IFERROR(__xludf.DUMMYFUNCTION("""COMPUTED_VALUE"""),45439.0)</f>
        <v>45439</v>
      </c>
      <c r="C13768" s="13">
        <f>IFERROR(__xludf.DUMMYFUNCTION("""COMPUTED_VALUE"""),0.6666666666666666)</f>
        <v>0.6666666667</v>
      </c>
      <c r="D13768" s="8">
        <f>IFERROR(__xludf.DUMMYFUNCTION("""COMPUTED_VALUE"""),0.1)</f>
        <v>0.1</v>
      </c>
      <c r="E13768" s="8" t="str">
        <f>IFERROR(__xludf.DUMMYFUNCTION("""COMPUTED_VALUE"""),"Real")</f>
        <v>Real</v>
      </c>
      <c r="G13768" s="8">
        <f t="shared" si="1"/>
        <v>5</v>
      </c>
      <c r="H13768" s="14">
        <f t="shared" si="2"/>
        <v>27</v>
      </c>
      <c r="I13768" s="15">
        <f t="shared" si="3"/>
        <v>16</v>
      </c>
    </row>
    <row r="13769">
      <c r="A13769" s="8" t="str">
        <f>IFERROR(__xludf.DUMMYFUNCTION("IF('(INGESTA)Datos_consumo_datadis'!A13769&lt;&gt;"""",SPLIT('(INGESTA)Datos_consumo_datadis'!A:A,"",""),"""")"),"ES0031408323131005HX0F")</f>
        <v>ES0031408323131005HX0F</v>
      </c>
      <c r="B13769" s="12">
        <f>IFERROR(__xludf.DUMMYFUNCTION("""COMPUTED_VALUE"""),45439.0)</f>
        <v>45439</v>
      </c>
      <c r="C13769" s="13">
        <f>IFERROR(__xludf.DUMMYFUNCTION("""COMPUTED_VALUE"""),0.7083333333333334)</f>
        <v>0.7083333333</v>
      </c>
      <c r="D13769" s="8">
        <f>IFERROR(__xludf.DUMMYFUNCTION("""COMPUTED_VALUE"""),0.074)</f>
        <v>0.074</v>
      </c>
      <c r="E13769" s="8" t="str">
        <f>IFERROR(__xludf.DUMMYFUNCTION("""COMPUTED_VALUE"""),"Real")</f>
        <v>Real</v>
      </c>
      <c r="G13769" s="8">
        <f t="shared" si="1"/>
        <v>5</v>
      </c>
      <c r="H13769" s="14">
        <f t="shared" si="2"/>
        <v>27</v>
      </c>
      <c r="I13769" s="15">
        <f t="shared" si="3"/>
        <v>17</v>
      </c>
    </row>
    <row r="13770">
      <c r="A13770" s="8" t="str">
        <f>IFERROR(__xludf.DUMMYFUNCTION("IF('(INGESTA)Datos_consumo_datadis'!A13770&lt;&gt;"""",SPLIT('(INGESTA)Datos_consumo_datadis'!A:A,"",""),"""")"),"ES0031408323131005HX0F")</f>
        <v>ES0031408323131005HX0F</v>
      </c>
      <c r="B13770" s="12">
        <f>IFERROR(__xludf.DUMMYFUNCTION("""COMPUTED_VALUE"""),45439.0)</f>
        <v>45439</v>
      </c>
      <c r="C13770" s="13">
        <f>IFERROR(__xludf.DUMMYFUNCTION("""COMPUTED_VALUE"""),0.75)</f>
        <v>0.75</v>
      </c>
      <c r="D13770" s="8">
        <f>IFERROR(__xludf.DUMMYFUNCTION("""COMPUTED_VALUE"""),0.265)</f>
        <v>0.265</v>
      </c>
      <c r="E13770" s="8" t="str">
        <f>IFERROR(__xludf.DUMMYFUNCTION("""COMPUTED_VALUE"""),"Real")</f>
        <v>Real</v>
      </c>
      <c r="G13770" s="8">
        <f t="shared" si="1"/>
        <v>5</v>
      </c>
      <c r="H13770" s="14">
        <f t="shared" si="2"/>
        <v>27</v>
      </c>
      <c r="I13770" s="15">
        <f t="shared" si="3"/>
        <v>18</v>
      </c>
    </row>
    <row r="13771">
      <c r="A13771" s="8" t="str">
        <f>IFERROR(__xludf.DUMMYFUNCTION("IF('(INGESTA)Datos_consumo_datadis'!A13771&lt;&gt;"""",SPLIT('(INGESTA)Datos_consumo_datadis'!A:A,"",""),"""")"),"ES0031408323131005HX0F")</f>
        <v>ES0031408323131005HX0F</v>
      </c>
      <c r="B13771" s="12">
        <f>IFERROR(__xludf.DUMMYFUNCTION("""COMPUTED_VALUE"""),45439.0)</f>
        <v>45439</v>
      </c>
      <c r="C13771" s="13">
        <f>IFERROR(__xludf.DUMMYFUNCTION("""COMPUTED_VALUE"""),0.7916666666666666)</f>
        <v>0.7916666667</v>
      </c>
      <c r="D13771" s="8">
        <f>IFERROR(__xludf.DUMMYFUNCTION("""COMPUTED_VALUE"""),0.451)</f>
        <v>0.451</v>
      </c>
      <c r="E13771" s="8" t="str">
        <f>IFERROR(__xludf.DUMMYFUNCTION("""COMPUTED_VALUE"""),"Real")</f>
        <v>Real</v>
      </c>
      <c r="G13771" s="8">
        <f t="shared" si="1"/>
        <v>5</v>
      </c>
      <c r="H13771" s="14">
        <f t="shared" si="2"/>
        <v>27</v>
      </c>
      <c r="I13771" s="15">
        <f t="shared" si="3"/>
        <v>19</v>
      </c>
    </row>
    <row r="13772">
      <c r="A13772" s="8" t="str">
        <f>IFERROR(__xludf.DUMMYFUNCTION("IF('(INGESTA)Datos_consumo_datadis'!A13772&lt;&gt;"""",SPLIT('(INGESTA)Datos_consumo_datadis'!A:A,"",""),"""")"),"ES0031408323131005HX0F")</f>
        <v>ES0031408323131005HX0F</v>
      </c>
      <c r="B13772" s="12">
        <f>IFERROR(__xludf.DUMMYFUNCTION("""COMPUTED_VALUE"""),45439.0)</f>
        <v>45439</v>
      </c>
      <c r="C13772" s="13">
        <f>IFERROR(__xludf.DUMMYFUNCTION("""COMPUTED_VALUE"""),0.8333333333333334)</f>
        <v>0.8333333333</v>
      </c>
      <c r="D13772" s="8">
        <f>IFERROR(__xludf.DUMMYFUNCTION("""COMPUTED_VALUE"""),0.051)</f>
        <v>0.051</v>
      </c>
      <c r="E13772" s="8" t="str">
        <f>IFERROR(__xludf.DUMMYFUNCTION("""COMPUTED_VALUE"""),"Real")</f>
        <v>Real</v>
      </c>
      <c r="G13772" s="8">
        <f t="shared" si="1"/>
        <v>5</v>
      </c>
      <c r="H13772" s="14">
        <f t="shared" si="2"/>
        <v>27</v>
      </c>
      <c r="I13772" s="15">
        <f t="shared" si="3"/>
        <v>20</v>
      </c>
    </row>
    <row r="13773">
      <c r="A13773" s="8" t="str">
        <f>IFERROR(__xludf.DUMMYFUNCTION("IF('(INGESTA)Datos_consumo_datadis'!A13773&lt;&gt;"""",SPLIT('(INGESTA)Datos_consumo_datadis'!A:A,"",""),"""")"),"ES0031408323131005HX0F")</f>
        <v>ES0031408323131005HX0F</v>
      </c>
      <c r="B13773" s="12">
        <f>IFERROR(__xludf.DUMMYFUNCTION("""COMPUTED_VALUE"""),45439.0)</f>
        <v>45439</v>
      </c>
      <c r="C13773" s="13">
        <f>IFERROR(__xludf.DUMMYFUNCTION("""COMPUTED_VALUE"""),0.875)</f>
        <v>0.875</v>
      </c>
      <c r="D13773" s="8">
        <f>IFERROR(__xludf.DUMMYFUNCTION("""COMPUTED_VALUE"""),0.08)</f>
        <v>0.08</v>
      </c>
      <c r="E13773" s="8" t="str">
        <f>IFERROR(__xludf.DUMMYFUNCTION("""COMPUTED_VALUE"""),"Real")</f>
        <v>Real</v>
      </c>
      <c r="G13773" s="8">
        <f t="shared" si="1"/>
        <v>5</v>
      </c>
      <c r="H13773" s="14">
        <f t="shared" si="2"/>
        <v>27</v>
      </c>
      <c r="I13773" s="15">
        <f t="shared" si="3"/>
        <v>21</v>
      </c>
    </row>
    <row r="13774">
      <c r="A13774" s="8" t="str">
        <f>IFERROR(__xludf.DUMMYFUNCTION("IF('(INGESTA)Datos_consumo_datadis'!A13774&lt;&gt;"""",SPLIT('(INGESTA)Datos_consumo_datadis'!A:A,"",""),"""")"),"ES0031408323131005HX0F")</f>
        <v>ES0031408323131005HX0F</v>
      </c>
      <c r="B13774" s="12">
        <f>IFERROR(__xludf.DUMMYFUNCTION("""COMPUTED_VALUE"""),45439.0)</f>
        <v>45439</v>
      </c>
      <c r="C13774" s="13">
        <f>IFERROR(__xludf.DUMMYFUNCTION("""COMPUTED_VALUE"""),0.9166666666666666)</f>
        <v>0.9166666667</v>
      </c>
      <c r="D13774" s="8">
        <f>IFERROR(__xludf.DUMMYFUNCTION("""COMPUTED_VALUE"""),0.049)</f>
        <v>0.049</v>
      </c>
      <c r="E13774" s="8" t="str">
        <f>IFERROR(__xludf.DUMMYFUNCTION("""COMPUTED_VALUE"""),"Real")</f>
        <v>Real</v>
      </c>
      <c r="G13774" s="8">
        <f t="shared" si="1"/>
        <v>5</v>
      </c>
      <c r="H13774" s="14">
        <f t="shared" si="2"/>
        <v>27</v>
      </c>
      <c r="I13774" s="15">
        <f t="shared" si="3"/>
        <v>22</v>
      </c>
    </row>
    <row r="13775">
      <c r="A13775" s="8" t="str">
        <f>IFERROR(__xludf.DUMMYFUNCTION("IF('(INGESTA)Datos_consumo_datadis'!A13775&lt;&gt;"""",SPLIT('(INGESTA)Datos_consumo_datadis'!A:A,"",""),"""")"),"ES0031408323131005HX0F")</f>
        <v>ES0031408323131005HX0F</v>
      </c>
      <c r="B13775" s="12">
        <f>IFERROR(__xludf.DUMMYFUNCTION("""COMPUTED_VALUE"""),45439.0)</f>
        <v>45439</v>
      </c>
      <c r="C13775" s="13">
        <f>IFERROR(__xludf.DUMMYFUNCTION("""COMPUTED_VALUE"""),0.9583333333333334)</f>
        <v>0.9583333333</v>
      </c>
      <c r="D13775" s="8">
        <f>IFERROR(__xludf.DUMMYFUNCTION("""COMPUTED_VALUE"""),0.139)</f>
        <v>0.139</v>
      </c>
      <c r="E13775" s="8" t="str">
        <f>IFERROR(__xludf.DUMMYFUNCTION("""COMPUTED_VALUE"""),"Real")</f>
        <v>Real</v>
      </c>
      <c r="G13775" s="8">
        <f t="shared" si="1"/>
        <v>5</v>
      </c>
      <c r="H13775" s="14">
        <f t="shared" si="2"/>
        <v>27</v>
      </c>
      <c r="I13775" s="15">
        <f t="shared" si="3"/>
        <v>23</v>
      </c>
    </row>
    <row r="13776">
      <c r="A13776" s="8" t="str">
        <f>IFERROR(__xludf.DUMMYFUNCTION("IF('(INGESTA)Datos_consumo_datadis'!A13776&lt;&gt;"""",SPLIT('(INGESTA)Datos_consumo_datadis'!A:A,"",""),"""")"),"ES0031408323131005HX0F")</f>
        <v>ES0031408323131005HX0F</v>
      </c>
      <c r="B13776" s="12">
        <f>IFERROR(__xludf.DUMMYFUNCTION("""COMPUTED_VALUE"""),45439.0)</f>
        <v>45439</v>
      </c>
      <c r="C13776" s="16">
        <f>IFERROR(__xludf.DUMMYFUNCTION("""COMPUTED_VALUE"""),1.0)</f>
        <v>1</v>
      </c>
      <c r="D13776" s="8">
        <f>IFERROR(__xludf.DUMMYFUNCTION("""COMPUTED_VALUE"""),0.194)</f>
        <v>0.194</v>
      </c>
      <c r="E13776" s="8" t="str">
        <f>IFERROR(__xludf.DUMMYFUNCTION("""COMPUTED_VALUE"""),"Real")</f>
        <v>Real</v>
      </c>
      <c r="G13776" s="8">
        <f t="shared" si="1"/>
        <v>5</v>
      </c>
      <c r="H13776" s="14">
        <f t="shared" si="2"/>
        <v>27</v>
      </c>
      <c r="I13776" s="15">
        <f t="shared" si="3"/>
        <v>0</v>
      </c>
    </row>
    <row r="13777">
      <c r="A13777" s="8" t="str">
        <f>IFERROR(__xludf.DUMMYFUNCTION("IF('(INGESTA)Datos_consumo_datadis'!A13777&lt;&gt;"""",SPLIT('(INGESTA)Datos_consumo_datadis'!A:A,"",""),"""")"),"ES0031408323131005HX0F")</f>
        <v>ES0031408323131005HX0F</v>
      </c>
      <c r="B13777" s="12">
        <f>IFERROR(__xludf.DUMMYFUNCTION("""COMPUTED_VALUE"""),45440.0)</f>
        <v>45440</v>
      </c>
      <c r="C13777" s="13">
        <f>IFERROR(__xludf.DUMMYFUNCTION("""COMPUTED_VALUE"""),0.041666666666666664)</f>
        <v>0.04166666667</v>
      </c>
      <c r="D13777" s="8">
        <f>IFERROR(__xludf.DUMMYFUNCTION("""COMPUTED_VALUE"""),0.348)</f>
        <v>0.348</v>
      </c>
      <c r="E13777" s="8" t="str">
        <f>IFERROR(__xludf.DUMMYFUNCTION("""COMPUTED_VALUE"""),"Real")</f>
        <v>Real</v>
      </c>
      <c r="G13777" s="8">
        <f t="shared" si="1"/>
        <v>5</v>
      </c>
      <c r="H13777" s="14">
        <f t="shared" si="2"/>
        <v>28</v>
      </c>
      <c r="I13777" s="15">
        <f t="shared" si="3"/>
        <v>1</v>
      </c>
    </row>
    <row r="13778">
      <c r="A13778" s="8" t="str">
        <f>IFERROR(__xludf.DUMMYFUNCTION("IF('(INGESTA)Datos_consumo_datadis'!A13778&lt;&gt;"""",SPLIT('(INGESTA)Datos_consumo_datadis'!A:A,"",""),"""")"),"ES0031408323131005HX0F")</f>
        <v>ES0031408323131005HX0F</v>
      </c>
      <c r="B13778" s="12">
        <f>IFERROR(__xludf.DUMMYFUNCTION("""COMPUTED_VALUE"""),45440.0)</f>
        <v>45440</v>
      </c>
      <c r="C13778" s="13">
        <f>IFERROR(__xludf.DUMMYFUNCTION("""COMPUTED_VALUE"""),0.08333333333333333)</f>
        <v>0.08333333333</v>
      </c>
      <c r="D13778" s="8">
        <f>IFERROR(__xludf.DUMMYFUNCTION("""COMPUTED_VALUE"""),0.086)</f>
        <v>0.086</v>
      </c>
      <c r="E13778" s="8" t="str">
        <f>IFERROR(__xludf.DUMMYFUNCTION("""COMPUTED_VALUE"""),"Real")</f>
        <v>Real</v>
      </c>
      <c r="G13778" s="8">
        <f t="shared" si="1"/>
        <v>5</v>
      </c>
      <c r="H13778" s="14">
        <f t="shared" si="2"/>
        <v>28</v>
      </c>
      <c r="I13778" s="15">
        <f t="shared" si="3"/>
        <v>2</v>
      </c>
    </row>
    <row r="13779">
      <c r="A13779" s="8" t="str">
        <f>IFERROR(__xludf.DUMMYFUNCTION("IF('(INGESTA)Datos_consumo_datadis'!A13779&lt;&gt;"""",SPLIT('(INGESTA)Datos_consumo_datadis'!A:A,"",""),"""")"),"ES0031408323131005HX0F")</f>
        <v>ES0031408323131005HX0F</v>
      </c>
      <c r="B13779" s="12">
        <f>IFERROR(__xludf.DUMMYFUNCTION("""COMPUTED_VALUE"""),45440.0)</f>
        <v>45440</v>
      </c>
      <c r="C13779" s="13">
        <f>IFERROR(__xludf.DUMMYFUNCTION("""COMPUTED_VALUE"""),0.125)</f>
        <v>0.125</v>
      </c>
      <c r="D13779" s="8">
        <f>IFERROR(__xludf.DUMMYFUNCTION("""COMPUTED_VALUE"""),0.073)</f>
        <v>0.073</v>
      </c>
      <c r="E13779" s="8" t="str">
        <f>IFERROR(__xludf.DUMMYFUNCTION("""COMPUTED_VALUE"""),"Real")</f>
        <v>Real</v>
      </c>
      <c r="G13779" s="8">
        <f t="shared" si="1"/>
        <v>5</v>
      </c>
      <c r="H13779" s="14">
        <f t="shared" si="2"/>
        <v>28</v>
      </c>
      <c r="I13779" s="15">
        <f t="shared" si="3"/>
        <v>3</v>
      </c>
    </row>
    <row r="13780">
      <c r="A13780" s="8" t="str">
        <f>IFERROR(__xludf.DUMMYFUNCTION("IF('(INGESTA)Datos_consumo_datadis'!A13780&lt;&gt;"""",SPLIT('(INGESTA)Datos_consumo_datadis'!A:A,"",""),"""")"),"ES0031408323131005HX0F")</f>
        <v>ES0031408323131005HX0F</v>
      </c>
      <c r="B13780" s="12">
        <f>IFERROR(__xludf.DUMMYFUNCTION("""COMPUTED_VALUE"""),45440.0)</f>
        <v>45440</v>
      </c>
      <c r="C13780" s="13">
        <f>IFERROR(__xludf.DUMMYFUNCTION("""COMPUTED_VALUE"""),0.16666666666666666)</f>
        <v>0.1666666667</v>
      </c>
      <c r="D13780" s="8">
        <f>IFERROR(__xludf.DUMMYFUNCTION("""COMPUTED_VALUE"""),0.081)</f>
        <v>0.081</v>
      </c>
      <c r="E13780" s="8" t="str">
        <f>IFERROR(__xludf.DUMMYFUNCTION("""COMPUTED_VALUE"""),"Real")</f>
        <v>Real</v>
      </c>
      <c r="G13780" s="8">
        <f t="shared" si="1"/>
        <v>5</v>
      </c>
      <c r="H13780" s="14">
        <f t="shared" si="2"/>
        <v>28</v>
      </c>
      <c r="I13780" s="15">
        <f t="shared" si="3"/>
        <v>4</v>
      </c>
    </row>
    <row r="13781">
      <c r="A13781" s="8" t="str">
        <f>IFERROR(__xludf.DUMMYFUNCTION("IF('(INGESTA)Datos_consumo_datadis'!A13781&lt;&gt;"""",SPLIT('(INGESTA)Datos_consumo_datadis'!A:A,"",""),"""")"),"ES0031408323131005HX0F")</f>
        <v>ES0031408323131005HX0F</v>
      </c>
      <c r="B13781" s="12">
        <f>IFERROR(__xludf.DUMMYFUNCTION("""COMPUTED_VALUE"""),45440.0)</f>
        <v>45440</v>
      </c>
      <c r="C13781" s="13">
        <f>IFERROR(__xludf.DUMMYFUNCTION("""COMPUTED_VALUE"""),0.20833333333333334)</f>
        <v>0.2083333333</v>
      </c>
      <c r="D13781" s="8">
        <f>IFERROR(__xludf.DUMMYFUNCTION("""COMPUTED_VALUE"""),0.13)</f>
        <v>0.13</v>
      </c>
      <c r="E13781" s="8" t="str">
        <f>IFERROR(__xludf.DUMMYFUNCTION("""COMPUTED_VALUE"""),"Real")</f>
        <v>Real</v>
      </c>
      <c r="G13781" s="8">
        <f t="shared" si="1"/>
        <v>5</v>
      </c>
      <c r="H13781" s="14">
        <f t="shared" si="2"/>
        <v>28</v>
      </c>
      <c r="I13781" s="15">
        <f t="shared" si="3"/>
        <v>5</v>
      </c>
    </row>
    <row r="13782">
      <c r="A13782" s="8" t="str">
        <f>IFERROR(__xludf.DUMMYFUNCTION("IF('(INGESTA)Datos_consumo_datadis'!A13782&lt;&gt;"""",SPLIT('(INGESTA)Datos_consumo_datadis'!A:A,"",""),"""")"),"ES0031408323131005HX0F")</f>
        <v>ES0031408323131005HX0F</v>
      </c>
      <c r="B13782" s="12">
        <f>IFERROR(__xludf.DUMMYFUNCTION("""COMPUTED_VALUE"""),45440.0)</f>
        <v>45440</v>
      </c>
      <c r="C13782" s="13">
        <f>IFERROR(__xludf.DUMMYFUNCTION("""COMPUTED_VALUE"""),0.25)</f>
        <v>0.25</v>
      </c>
      <c r="D13782" s="8">
        <f>IFERROR(__xludf.DUMMYFUNCTION("""COMPUTED_VALUE"""),0.099)</f>
        <v>0.099</v>
      </c>
      <c r="E13782" s="8" t="str">
        <f>IFERROR(__xludf.DUMMYFUNCTION("""COMPUTED_VALUE"""),"Real")</f>
        <v>Real</v>
      </c>
      <c r="G13782" s="8">
        <f t="shared" si="1"/>
        <v>5</v>
      </c>
      <c r="H13782" s="14">
        <f t="shared" si="2"/>
        <v>28</v>
      </c>
      <c r="I13782" s="15">
        <f t="shared" si="3"/>
        <v>6</v>
      </c>
    </row>
    <row r="13783">
      <c r="A13783" s="8" t="str">
        <f>IFERROR(__xludf.DUMMYFUNCTION("IF('(INGESTA)Datos_consumo_datadis'!A13783&lt;&gt;"""",SPLIT('(INGESTA)Datos_consumo_datadis'!A:A,"",""),"""")"),"ES0031408323131005HX0F")</f>
        <v>ES0031408323131005HX0F</v>
      </c>
      <c r="B13783" s="12">
        <f>IFERROR(__xludf.DUMMYFUNCTION("""COMPUTED_VALUE"""),45440.0)</f>
        <v>45440</v>
      </c>
      <c r="C13783" s="13">
        <f>IFERROR(__xludf.DUMMYFUNCTION("""COMPUTED_VALUE"""),0.2916666666666667)</f>
        <v>0.2916666667</v>
      </c>
      <c r="D13783" s="8">
        <f>IFERROR(__xludf.DUMMYFUNCTION("""COMPUTED_VALUE"""),0.069)</f>
        <v>0.069</v>
      </c>
      <c r="E13783" s="8" t="str">
        <f>IFERROR(__xludf.DUMMYFUNCTION("""COMPUTED_VALUE"""),"Real")</f>
        <v>Real</v>
      </c>
      <c r="G13783" s="8">
        <f t="shared" si="1"/>
        <v>5</v>
      </c>
      <c r="H13783" s="14">
        <f t="shared" si="2"/>
        <v>28</v>
      </c>
      <c r="I13783" s="15">
        <f t="shared" si="3"/>
        <v>7</v>
      </c>
    </row>
    <row r="13784">
      <c r="A13784" s="8" t="str">
        <f>IFERROR(__xludf.DUMMYFUNCTION("IF('(INGESTA)Datos_consumo_datadis'!A13784&lt;&gt;"""",SPLIT('(INGESTA)Datos_consumo_datadis'!A:A,"",""),"""")"),"ES0031408323131005HX0F")</f>
        <v>ES0031408323131005HX0F</v>
      </c>
      <c r="B13784" s="12">
        <f>IFERROR(__xludf.DUMMYFUNCTION("""COMPUTED_VALUE"""),45440.0)</f>
        <v>45440</v>
      </c>
      <c r="C13784" s="13">
        <f>IFERROR(__xludf.DUMMYFUNCTION("""COMPUTED_VALUE"""),0.3333333333333333)</f>
        <v>0.3333333333</v>
      </c>
      <c r="D13784" s="8">
        <f>IFERROR(__xludf.DUMMYFUNCTION("""COMPUTED_VALUE"""),0.378)</f>
        <v>0.378</v>
      </c>
      <c r="E13784" s="8" t="str">
        <f>IFERROR(__xludf.DUMMYFUNCTION("""COMPUTED_VALUE"""),"Real")</f>
        <v>Real</v>
      </c>
      <c r="G13784" s="8">
        <f t="shared" si="1"/>
        <v>5</v>
      </c>
      <c r="H13784" s="14">
        <f t="shared" si="2"/>
        <v>28</v>
      </c>
      <c r="I13784" s="15">
        <f t="shared" si="3"/>
        <v>8</v>
      </c>
    </row>
    <row r="13785">
      <c r="A13785" s="8" t="str">
        <f>IFERROR(__xludf.DUMMYFUNCTION("IF('(INGESTA)Datos_consumo_datadis'!A13785&lt;&gt;"""",SPLIT('(INGESTA)Datos_consumo_datadis'!A:A,"",""),"""")"),"ES0031408323131005HX0F")</f>
        <v>ES0031408323131005HX0F</v>
      </c>
      <c r="B13785" s="12">
        <f>IFERROR(__xludf.DUMMYFUNCTION("""COMPUTED_VALUE"""),45440.0)</f>
        <v>45440</v>
      </c>
      <c r="C13785" s="13">
        <f>IFERROR(__xludf.DUMMYFUNCTION("""COMPUTED_VALUE"""),0.375)</f>
        <v>0.375</v>
      </c>
      <c r="D13785" s="8">
        <f>IFERROR(__xludf.DUMMYFUNCTION("""COMPUTED_VALUE"""),0.151)</f>
        <v>0.151</v>
      </c>
      <c r="E13785" s="8" t="str">
        <f>IFERROR(__xludf.DUMMYFUNCTION("""COMPUTED_VALUE"""),"Real")</f>
        <v>Real</v>
      </c>
      <c r="G13785" s="8">
        <f t="shared" si="1"/>
        <v>5</v>
      </c>
      <c r="H13785" s="14">
        <f t="shared" si="2"/>
        <v>28</v>
      </c>
      <c r="I13785" s="15">
        <f t="shared" si="3"/>
        <v>9</v>
      </c>
    </row>
    <row r="13786">
      <c r="A13786" s="8" t="str">
        <f>IFERROR(__xludf.DUMMYFUNCTION("IF('(INGESTA)Datos_consumo_datadis'!A13786&lt;&gt;"""",SPLIT('(INGESTA)Datos_consumo_datadis'!A:A,"",""),"""")"),"ES0031408323131005HX0F")</f>
        <v>ES0031408323131005HX0F</v>
      </c>
      <c r="B13786" s="12">
        <f>IFERROR(__xludf.DUMMYFUNCTION("""COMPUTED_VALUE"""),45440.0)</f>
        <v>45440</v>
      </c>
      <c r="C13786" s="13">
        <f>IFERROR(__xludf.DUMMYFUNCTION("""COMPUTED_VALUE"""),0.4166666666666667)</f>
        <v>0.4166666667</v>
      </c>
      <c r="D13786" s="8">
        <f>IFERROR(__xludf.DUMMYFUNCTION("""COMPUTED_VALUE"""),0.049)</f>
        <v>0.049</v>
      </c>
      <c r="E13786" s="8" t="str">
        <f>IFERROR(__xludf.DUMMYFUNCTION("""COMPUTED_VALUE"""),"Real")</f>
        <v>Real</v>
      </c>
      <c r="G13786" s="8">
        <f t="shared" si="1"/>
        <v>5</v>
      </c>
      <c r="H13786" s="14">
        <f t="shared" si="2"/>
        <v>28</v>
      </c>
      <c r="I13786" s="15">
        <f t="shared" si="3"/>
        <v>10</v>
      </c>
    </row>
    <row r="13787">
      <c r="A13787" s="8" t="str">
        <f>IFERROR(__xludf.DUMMYFUNCTION("IF('(INGESTA)Datos_consumo_datadis'!A13787&lt;&gt;"""",SPLIT('(INGESTA)Datos_consumo_datadis'!A:A,"",""),"""")"),"ES0031408323131005HX0F")</f>
        <v>ES0031408323131005HX0F</v>
      </c>
      <c r="B13787" s="12">
        <f>IFERROR(__xludf.DUMMYFUNCTION("""COMPUTED_VALUE"""),45440.0)</f>
        <v>45440</v>
      </c>
      <c r="C13787" s="13">
        <f>IFERROR(__xludf.DUMMYFUNCTION("""COMPUTED_VALUE"""),0.4583333333333333)</f>
        <v>0.4583333333</v>
      </c>
      <c r="D13787" s="8">
        <f>IFERROR(__xludf.DUMMYFUNCTION("""COMPUTED_VALUE"""),0.099)</f>
        <v>0.099</v>
      </c>
      <c r="E13787" s="8" t="str">
        <f>IFERROR(__xludf.DUMMYFUNCTION("""COMPUTED_VALUE"""),"Real")</f>
        <v>Real</v>
      </c>
      <c r="G13787" s="8">
        <f t="shared" si="1"/>
        <v>5</v>
      </c>
      <c r="H13787" s="14">
        <f t="shared" si="2"/>
        <v>28</v>
      </c>
      <c r="I13787" s="15">
        <f t="shared" si="3"/>
        <v>11</v>
      </c>
    </row>
    <row r="13788">
      <c r="A13788" s="8" t="str">
        <f>IFERROR(__xludf.DUMMYFUNCTION("IF('(INGESTA)Datos_consumo_datadis'!A13788&lt;&gt;"""",SPLIT('(INGESTA)Datos_consumo_datadis'!A:A,"",""),"""")"),"ES0031408323131005HX0F")</f>
        <v>ES0031408323131005HX0F</v>
      </c>
      <c r="B13788" s="12">
        <f>IFERROR(__xludf.DUMMYFUNCTION("""COMPUTED_VALUE"""),45440.0)</f>
        <v>45440</v>
      </c>
      <c r="C13788" s="13">
        <f>IFERROR(__xludf.DUMMYFUNCTION("""COMPUTED_VALUE"""),0.5)</f>
        <v>0.5</v>
      </c>
      <c r="D13788" s="8">
        <f>IFERROR(__xludf.DUMMYFUNCTION("""COMPUTED_VALUE"""),0.332)</f>
        <v>0.332</v>
      </c>
      <c r="E13788" s="8" t="str">
        <f>IFERROR(__xludf.DUMMYFUNCTION("""COMPUTED_VALUE"""),"Real")</f>
        <v>Real</v>
      </c>
      <c r="G13788" s="8">
        <f t="shared" si="1"/>
        <v>5</v>
      </c>
      <c r="H13788" s="14">
        <f t="shared" si="2"/>
        <v>28</v>
      </c>
      <c r="I13788" s="15">
        <f t="shared" si="3"/>
        <v>12</v>
      </c>
    </row>
    <row r="13789">
      <c r="A13789" s="8" t="str">
        <f>IFERROR(__xludf.DUMMYFUNCTION("IF('(INGESTA)Datos_consumo_datadis'!A13789&lt;&gt;"""",SPLIT('(INGESTA)Datos_consumo_datadis'!A:A,"",""),"""")"),"ES0031408323131005HX0F")</f>
        <v>ES0031408323131005HX0F</v>
      </c>
      <c r="B13789" s="12">
        <f>IFERROR(__xludf.DUMMYFUNCTION("""COMPUTED_VALUE"""),45440.0)</f>
        <v>45440</v>
      </c>
      <c r="C13789" s="13">
        <f>IFERROR(__xludf.DUMMYFUNCTION("""COMPUTED_VALUE"""),0.5416666666666666)</f>
        <v>0.5416666667</v>
      </c>
      <c r="D13789" s="8">
        <f>IFERROR(__xludf.DUMMYFUNCTION("""COMPUTED_VALUE"""),0.06)</f>
        <v>0.06</v>
      </c>
      <c r="E13789" s="8" t="str">
        <f>IFERROR(__xludf.DUMMYFUNCTION("""COMPUTED_VALUE"""),"Real")</f>
        <v>Real</v>
      </c>
      <c r="G13789" s="8">
        <f t="shared" si="1"/>
        <v>5</v>
      </c>
      <c r="H13789" s="14">
        <f t="shared" si="2"/>
        <v>28</v>
      </c>
      <c r="I13789" s="15">
        <f t="shared" si="3"/>
        <v>13</v>
      </c>
    </row>
    <row r="13790">
      <c r="A13790" s="8" t="str">
        <f>IFERROR(__xludf.DUMMYFUNCTION("IF('(INGESTA)Datos_consumo_datadis'!A13790&lt;&gt;"""",SPLIT('(INGESTA)Datos_consumo_datadis'!A:A,"",""),"""")"),"ES0031408323131005HX0F")</f>
        <v>ES0031408323131005HX0F</v>
      </c>
      <c r="B13790" s="12">
        <f>IFERROR(__xludf.DUMMYFUNCTION("""COMPUTED_VALUE"""),45440.0)</f>
        <v>45440</v>
      </c>
      <c r="C13790" s="13">
        <f>IFERROR(__xludf.DUMMYFUNCTION("""COMPUTED_VALUE"""),0.5833333333333334)</f>
        <v>0.5833333333</v>
      </c>
      <c r="D13790" s="8">
        <f>IFERROR(__xludf.DUMMYFUNCTION("""COMPUTED_VALUE"""),0.073)</f>
        <v>0.073</v>
      </c>
      <c r="E13790" s="8" t="str">
        <f>IFERROR(__xludf.DUMMYFUNCTION("""COMPUTED_VALUE"""),"Real")</f>
        <v>Real</v>
      </c>
      <c r="G13790" s="8">
        <f t="shared" si="1"/>
        <v>5</v>
      </c>
      <c r="H13790" s="14">
        <f t="shared" si="2"/>
        <v>28</v>
      </c>
      <c r="I13790" s="15">
        <f t="shared" si="3"/>
        <v>14</v>
      </c>
    </row>
    <row r="13791">
      <c r="A13791" s="8" t="str">
        <f>IFERROR(__xludf.DUMMYFUNCTION("IF('(INGESTA)Datos_consumo_datadis'!A13791&lt;&gt;"""",SPLIT('(INGESTA)Datos_consumo_datadis'!A:A,"",""),"""")"),"ES0031408323131005HX0F")</f>
        <v>ES0031408323131005HX0F</v>
      </c>
      <c r="B13791" s="12">
        <f>IFERROR(__xludf.DUMMYFUNCTION("""COMPUTED_VALUE"""),45440.0)</f>
        <v>45440</v>
      </c>
      <c r="C13791" s="13">
        <f>IFERROR(__xludf.DUMMYFUNCTION("""COMPUTED_VALUE"""),0.625)</f>
        <v>0.625</v>
      </c>
      <c r="D13791" s="8">
        <f>IFERROR(__xludf.DUMMYFUNCTION("""COMPUTED_VALUE"""),0.047)</f>
        <v>0.047</v>
      </c>
      <c r="E13791" s="8" t="str">
        <f>IFERROR(__xludf.DUMMYFUNCTION("""COMPUTED_VALUE"""),"Real")</f>
        <v>Real</v>
      </c>
      <c r="G13791" s="8">
        <f t="shared" si="1"/>
        <v>5</v>
      </c>
      <c r="H13791" s="14">
        <f t="shared" si="2"/>
        <v>28</v>
      </c>
      <c r="I13791" s="15">
        <f t="shared" si="3"/>
        <v>15</v>
      </c>
    </row>
    <row r="13792">
      <c r="A13792" s="8" t="str">
        <f>IFERROR(__xludf.DUMMYFUNCTION("IF('(INGESTA)Datos_consumo_datadis'!A13792&lt;&gt;"""",SPLIT('(INGESTA)Datos_consumo_datadis'!A:A,"",""),"""")"),"ES0031408323131005HX0F")</f>
        <v>ES0031408323131005HX0F</v>
      </c>
      <c r="B13792" s="12">
        <f>IFERROR(__xludf.DUMMYFUNCTION("""COMPUTED_VALUE"""),45440.0)</f>
        <v>45440</v>
      </c>
      <c r="C13792" s="13">
        <f>IFERROR(__xludf.DUMMYFUNCTION("""COMPUTED_VALUE"""),0.6666666666666666)</f>
        <v>0.6666666667</v>
      </c>
      <c r="D13792" s="8">
        <f>IFERROR(__xludf.DUMMYFUNCTION("""COMPUTED_VALUE"""),0.149)</f>
        <v>0.149</v>
      </c>
      <c r="E13792" s="8" t="str">
        <f>IFERROR(__xludf.DUMMYFUNCTION("""COMPUTED_VALUE"""),"Real")</f>
        <v>Real</v>
      </c>
      <c r="G13792" s="8">
        <f t="shared" si="1"/>
        <v>5</v>
      </c>
      <c r="H13792" s="14">
        <f t="shared" si="2"/>
        <v>28</v>
      </c>
      <c r="I13792" s="15">
        <f t="shared" si="3"/>
        <v>16</v>
      </c>
    </row>
    <row r="13793">
      <c r="A13793" s="8" t="str">
        <f>IFERROR(__xludf.DUMMYFUNCTION("IF('(INGESTA)Datos_consumo_datadis'!A13793&lt;&gt;"""",SPLIT('(INGESTA)Datos_consumo_datadis'!A:A,"",""),"""")"),"ES0031408323131005HX0F")</f>
        <v>ES0031408323131005HX0F</v>
      </c>
      <c r="B13793" s="12">
        <f>IFERROR(__xludf.DUMMYFUNCTION("""COMPUTED_VALUE"""),45440.0)</f>
        <v>45440</v>
      </c>
      <c r="C13793" s="13">
        <f>IFERROR(__xludf.DUMMYFUNCTION("""COMPUTED_VALUE"""),0.7083333333333334)</f>
        <v>0.7083333333</v>
      </c>
      <c r="D13793" s="8">
        <f>IFERROR(__xludf.DUMMYFUNCTION("""COMPUTED_VALUE"""),0.08)</f>
        <v>0.08</v>
      </c>
      <c r="E13793" s="8" t="str">
        <f>IFERROR(__xludf.DUMMYFUNCTION("""COMPUTED_VALUE"""),"Real")</f>
        <v>Real</v>
      </c>
      <c r="G13793" s="8">
        <f t="shared" si="1"/>
        <v>5</v>
      </c>
      <c r="H13793" s="14">
        <f t="shared" si="2"/>
        <v>28</v>
      </c>
      <c r="I13793" s="15">
        <f t="shared" si="3"/>
        <v>17</v>
      </c>
    </row>
    <row r="13794">
      <c r="A13794" s="8" t="str">
        <f>IFERROR(__xludf.DUMMYFUNCTION("IF('(INGESTA)Datos_consumo_datadis'!A13794&lt;&gt;"""",SPLIT('(INGESTA)Datos_consumo_datadis'!A:A,"",""),"""")"),"ES0031408323131005HX0F")</f>
        <v>ES0031408323131005HX0F</v>
      </c>
      <c r="B13794" s="12">
        <f>IFERROR(__xludf.DUMMYFUNCTION("""COMPUTED_VALUE"""),45440.0)</f>
        <v>45440</v>
      </c>
      <c r="C13794" s="13">
        <f>IFERROR(__xludf.DUMMYFUNCTION("""COMPUTED_VALUE"""),0.75)</f>
        <v>0.75</v>
      </c>
      <c r="D13794" s="8">
        <f>IFERROR(__xludf.DUMMYFUNCTION("""COMPUTED_VALUE"""),0.256)</f>
        <v>0.256</v>
      </c>
      <c r="E13794" s="8" t="str">
        <f>IFERROR(__xludf.DUMMYFUNCTION("""COMPUTED_VALUE"""),"Real")</f>
        <v>Real</v>
      </c>
      <c r="G13794" s="8">
        <f t="shared" si="1"/>
        <v>5</v>
      </c>
      <c r="H13794" s="14">
        <f t="shared" si="2"/>
        <v>28</v>
      </c>
      <c r="I13794" s="15">
        <f t="shared" si="3"/>
        <v>18</v>
      </c>
    </row>
    <row r="13795">
      <c r="A13795" s="8" t="str">
        <f>IFERROR(__xludf.DUMMYFUNCTION("IF('(INGESTA)Datos_consumo_datadis'!A13795&lt;&gt;"""",SPLIT('(INGESTA)Datos_consumo_datadis'!A:A,"",""),"""")"),"ES0031408323131005HX0F")</f>
        <v>ES0031408323131005HX0F</v>
      </c>
      <c r="B13795" s="12">
        <f>IFERROR(__xludf.DUMMYFUNCTION("""COMPUTED_VALUE"""),45440.0)</f>
        <v>45440</v>
      </c>
      <c r="C13795" s="13">
        <f>IFERROR(__xludf.DUMMYFUNCTION("""COMPUTED_VALUE"""),0.7916666666666666)</f>
        <v>0.7916666667</v>
      </c>
      <c r="D13795" s="8">
        <f>IFERROR(__xludf.DUMMYFUNCTION("""COMPUTED_VALUE"""),0.43)</f>
        <v>0.43</v>
      </c>
      <c r="E13795" s="8" t="str">
        <f>IFERROR(__xludf.DUMMYFUNCTION("""COMPUTED_VALUE"""),"Real")</f>
        <v>Real</v>
      </c>
      <c r="G13795" s="8">
        <f t="shared" si="1"/>
        <v>5</v>
      </c>
      <c r="H13795" s="14">
        <f t="shared" si="2"/>
        <v>28</v>
      </c>
      <c r="I13795" s="15">
        <f t="shared" si="3"/>
        <v>19</v>
      </c>
    </row>
    <row r="13796">
      <c r="A13796" s="8" t="str">
        <f>IFERROR(__xludf.DUMMYFUNCTION("IF('(INGESTA)Datos_consumo_datadis'!A13796&lt;&gt;"""",SPLIT('(INGESTA)Datos_consumo_datadis'!A:A,"",""),"""")"),"ES0031408323131005HX0F")</f>
        <v>ES0031408323131005HX0F</v>
      </c>
      <c r="B13796" s="12">
        <f>IFERROR(__xludf.DUMMYFUNCTION("""COMPUTED_VALUE"""),45440.0)</f>
        <v>45440</v>
      </c>
      <c r="C13796" s="13">
        <f>IFERROR(__xludf.DUMMYFUNCTION("""COMPUTED_VALUE"""),0.8333333333333334)</f>
        <v>0.8333333333</v>
      </c>
      <c r="D13796" s="8">
        <f>IFERROR(__xludf.DUMMYFUNCTION("""COMPUTED_VALUE"""),0.12)</f>
        <v>0.12</v>
      </c>
      <c r="E13796" s="8" t="str">
        <f>IFERROR(__xludf.DUMMYFUNCTION("""COMPUTED_VALUE"""),"Real")</f>
        <v>Real</v>
      </c>
      <c r="G13796" s="8">
        <f t="shared" si="1"/>
        <v>5</v>
      </c>
      <c r="H13796" s="14">
        <f t="shared" si="2"/>
        <v>28</v>
      </c>
      <c r="I13796" s="15">
        <f t="shared" si="3"/>
        <v>20</v>
      </c>
    </row>
    <row r="13797">
      <c r="A13797" s="8" t="str">
        <f>IFERROR(__xludf.DUMMYFUNCTION("IF('(INGESTA)Datos_consumo_datadis'!A13797&lt;&gt;"""",SPLIT('(INGESTA)Datos_consumo_datadis'!A:A,"",""),"""")"),"ES0031408323131005HX0F")</f>
        <v>ES0031408323131005HX0F</v>
      </c>
      <c r="B13797" s="12">
        <f>IFERROR(__xludf.DUMMYFUNCTION("""COMPUTED_VALUE"""),45440.0)</f>
        <v>45440</v>
      </c>
      <c r="C13797" s="13">
        <f>IFERROR(__xludf.DUMMYFUNCTION("""COMPUTED_VALUE"""),0.875)</f>
        <v>0.875</v>
      </c>
      <c r="D13797" s="8">
        <f>IFERROR(__xludf.DUMMYFUNCTION("""COMPUTED_VALUE"""),0.181)</f>
        <v>0.181</v>
      </c>
      <c r="E13797" s="8" t="str">
        <f>IFERROR(__xludf.DUMMYFUNCTION("""COMPUTED_VALUE"""),"Real")</f>
        <v>Real</v>
      </c>
      <c r="G13797" s="8">
        <f t="shared" si="1"/>
        <v>5</v>
      </c>
      <c r="H13797" s="14">
        <f t="shared" si="2"/>
        <v>28</v>
      </c>
      <c r="I13797" s="15">
        <f t="shared" si="3"/>
        <v>21</v>
      </c>
    </row>
    <row r="13798">
      <c r="A13798" s="8" t="str">
        <f>IFERROR(__xludf.DUMMYFUNCTION("IF('(INGESTA)Datos_consumo_datadis'!A13798&lt;&gt;"""",SPLIT('(INGESTA)Datos_consumo_datadis'!A:A,"",""),"""")"),"ES0031408323131005HX0F")</f>
        <v>ES0031408323131005HX0F</v>
      </c>
      <c r="B13798" s="12">
        <f>IFERROR(__xludf.DUMMYFUNCTION("""COMPUTED_VALUE"""),45440.0)</f>
        <v>45440</v>
      </c>
      <c r="C13798" s="13">
        <f>IFERROR(__xludf.DUMMYFUNCTION("""COMPUTED_VALUE"""),0.9166666666666666)</f>
        <v>0.9166666667</v>
      </c>
      <c r="D13798" s="8">
        <f>IFERROR(__xludf.DUMMYFUNCTION("""COMPUTED_VALUE"""),0.063)</f>
        <v>0.063</v>
      </c>
      <c r="E13798" s="8" t="str">
        <f>IFERROR(__xludf.DUMMYFUNCTION("""COMPUTED_VALUE"""),"Real")</f>
        <v>Real</v>
      </c>
      <c r="G13798" s="8">
        <f t="shared" si="1"/>
        <v>5</v>
      </c>
      <c r="H13798" s="14">
        <f t="shared" si="2"/>
        <v>28</v>
      </c>
      <c r="I13798" s="15">
        <f t="shared" si="3"/>
        <v>22</v>
      </c>
    </row>
    <row r="13799">
      <c r="A13799" s="8" t="str">
        <f>IFERROR(__xludf.DUMMYFUNCTION("IF('(INGESTA)Datos_consumo_datadis'!A13799&lt;&gt;"""",SPLIT('(INGESTA)Datos_consumo_datadis'!A:A,"",""),"""")"),"ES0031408323131005HX0F")</f>
        <v>ES0031408323131005HX0F</v>
      </c>
      <c r="B13799" s="12">
        <f>IFERROR(__xludf.DUMMYFUNCTION("""COMPUTED_VALUE"""),45440.0)</f>
        <v>45440</v>
      </c>
      <c r="C13799" s="13">
        <f>IFERROR(__xludf.DUMMYFUNCTION("""COMPUTED_VALUE"""),0.9583333333333334)</f>
        <v>0.9583333333</v>
      </c>
      <c r="D13799" s="8">
        <f>IFERROR(__xludf.DUMMYFUNCTION("""COMPUTED_VALUE"""),1.252)</f>
        <v>1.252</v>
      </c>
      <c r="E13799" s="8" t="str">
        <f>IFERROR(__xludf.DUMMYFUNCTION("""COMPUTED_VALUE"""),"Real")</f>
        <v>Real</v>
      </c>
      <c r="G13799" s="8">
        <f t="shared" si="1"/>
        <v>5</v>
      </c>
      <c r="H13799" s="14">
        <f t="shared" si="2"/>
        <v>28</v>
      </c>
      <c r="I13799" s="15">
        <f t="shared" si="3"/>
        <v>23</v>
      </c>
    </row>
    <row r="13800">
      <c r="A13800" s="8" t="str">
        <f>IFERROR(__xludf.DUMMYFUNCTION("IF('(INGESTA)Datos_consumo_datadis'!A13800&lt;&gt;"""",SPLIT('(INGESTA)Datos_consumo_datadis'!A:A,"",""),"""")"),"ES0031408323131005HX0F")</f>
        <v>ES0031408323131005HX0F</v>
      </c>
      <c r="B13800" s="12">
        <f>IFERROR(__xludf.DUMMYFUNCTION("""COMPUTED_VALUE"""),45440.0)</f>
        <v>45440</v>
      </c>
      <c r="C13800" s="16">
        <f>IFERROR(__xludf.DUMMYFUNCTION("""COMPUTED_VALUE"""),1.0)</f>
        <v>1</v>
      </c>
      <c r="D13800" s="8">
        <f>IFERROR(__xludf.DUMMYFUNCTION("""COMPUTED_VALUE"""),0.333)</f>
        <v>0.333</v>
      </c>
      <c r="E13800" s="8" t="str">
        <f>IFERROR(__xludf.DUMMYFUNCTION("""COMPUTED_VALUE"""),"Real")</f>
        <v>Real</v>
      </c>
      <c r="G13800" s="8">
        <f t="shared" si="1"/>
        <v>5</v>
      </c>
      <c r="H13800" s="14">
        <f t="shared" si="2"/>
        <v>28</v>
      </c>
      <c r="I13800" s="15">
        <f t="shared" si="3"/>
        <v>0</v>
      </c>
    </row>
    <row r="13801">
      <c r="A13801" s="8" t="str">
        <f>IFERROR(__xludf.DUMMYFUNCTION("IF('(INGESTA)Datos_consumo_datadis'!A13801&lt;&gt;"""",SPLIT('(INGESTA)Datos_consumo_datadis'!A:A,"",""),"""")"),"ES0031408323131005HX0F")</f>
        <v>ES0031408323131005HX0F</v>
      </c>
      <c r="B13801" s="12">
        <f>IFERROR(__xludf.DUMMYFUNCTION("""COMPUTED_VALUE"""),45441.0)</f>
        <v>45441</v>
      </c>
      <c r="C13801" s="13">
        <f>IFERROR(__xludf.DUMMYFUNCTION("""COMPUTED_VALUE"""),0.041666666666666664)</f>
        <v>0.04166666667</v>
      </c>
      <c r="D13801" s="8">
        <f>IFERROR(__xludf.DUMMYFUNCTION("""COMPUTED_VALUE"""),0.058)</f>
        <v>0.058</v>
      </c>
      <c r="E13801" s="8" t="str">
        <f>IFERROR(__xludf.DUMMYFUNCTION("""COMPUTED_VALUE"""),"Real")</f>
        <v>Real</v>
      </c>
      <c r="G13801" s="8">
        <f t="shared" si="1"/>
        <v>5</v>
      </c>
      <c r="H13801" s="14">
        <f t="shared" si="2"/>
        <v>29</v>
      </c>
      <c r="I13801" s="15">
        <f t="shared" si="3"/>
        <v>1</v>
      </c>
    </row>
    <row r="13802">
      <c r="A13802" s="8" t="str">
        <f>IFERROR(__xludf.DUMMYFUNCTION("IF('(INGESTA)Datos_consumo_datadis'!A13802&lt;&gt;"""",SPLIT('(INGESTA)Datos_consumo_datadis'!A:A,"",""),"""")"),"ES0031408323131005HX0F")</f>
        <v>ES0031408323131005HX0F</v>
      </c>
      <c r="B13802" s="12">
        <f>IFERROR(__xludf.DUMMYFUNCTION("""COMPUTED_VALUE"""),45441.0)</f>
        <v>45441</v>
      </c>
      <c r="C13802" s="13">
        <f>IFERROR(__xludf.DUMMYFUNCTION("""COMPUTED_VALUE"""),0.08333333333333333)</f>
        <v>0.08333333333</v>
      </c>
      <c r="D13802" s="8">
        <f>IFERROR(__xludf.DUMMYFUNCTION("""COMPUTED_VALUE"""),0.123)</f>
        <v>0.123</v>
      </c>
      <c r="E13802" s="8" t="str">
        <f>IFERROR(__xludf.DUMMYFUNCTION("""COMPUTED_VALUE"""),"Real")</f>
        <v>Real</v>
      </c>
      <c r="G13802" s="8">
        <f t="shared" si="1"/>
        <v>5</v>
      </c>
      <c r="H13802" s="14">
        <f t="shared" si="2"/>
        <v>29</v>
      </c>
      <c r="I13802" s="15">
        <f t="shared" si="3"/>
        <v>2</v>
      </c>
    </row>
    <row r="13803">
      <c r="A13803" s="8" t="str">
        <f>IFERROR(__xludf.DUMMYFUNCTION("IF('(INGESTA)Datos_consumo_datadis'!A13803&lt;&gt;"""",SPLIT('(INGESTA)Datos_consumo_datadis'!A:A,"",""),"""")"),"ES0031408323131005HX0F")</f>
        <v>ES0031408323131005HX0F</v>
      </c>
      <c r="B13803" s="12">
        <f>IFERROR(__xludf.DUMMYFUNCTION("""COMPUTED_VALUE"""),45441.0)</f>
        <v>45441</v>
      </c>
      <c r="C13803" s="13">
        <f>IFERROR(__xludf.DUMMYFUNCTION("""COMPUTED_VALUE"""),0.125)</f>
        <v>0.125</v>
      </c>
      <c r="D13803" s="8">
        <f>IFERROR(__xludf.DUMMYFUNCTION("""COMPUTED_VALUE"""),0.118)</f>
        <v>0.118</v>
      </c>
      <c r="E13803" s="8" t="str">
        <f>IFERROR(__xludf.DUMMYFUNCTION("""COMPUTED_VALUE"""),"Real")</f>
        <v>Real</v>
      </c>
      <c r="G13803" s="8">
        <f t="shared" si="1"/>
        <v>5</v>
      </c>
      <c r="H13803" s="14">
        <f t="shared" si="2"/>
        <v>29</v>
      </c>
      <c r="I13803" s="15">
        <f t="shared" si="3"/>
        <v>3</v>
      </c>
    </row>
    <row r="13804">
      <c r="A13804" s="8" t="str">
        <f>IFERROR(__xludf.DUMMYFUNCTION("IF('(INGESTA)Datos_consumo_datadis'!A13804&lt;&gt;"""",SPLIT('(INGESTA)Datos_consumo_datadis'!A:A,"",""),"""")"),"ES0031408323131005HX0F")</f>
        <v>ES0031408323131005HX0F</v>
      </c>
      <c r="B13804" s="12">
        <f>IFERROR(__xludf.DUMMYFUNCTION("""COMPUTED_VALUE"""),45441.0)</f>
        <v>45441</v>
      </c>
      <c r="C13804" s="13">
        <f>IFERROR(__xludf.DUMMYFUNCTION("""COMPUTED_VALUE"""),0.16666666666666666)</f>
        <v>0.1666666667</v>
      </c>
      <c r="D13804" s="8">
        <f>IFERROR(__xludf.DUMMYFUNCTION("""COMPUTED_VALUE"""),0.075)</f>
        <v>0.075</v>
      </c>
      <c r="E13804" s="8" t="str">
        <f>IFERROR(__xludf.DUMMYFUNCTION("""COMPUTED_VALUE"""),"Real")</f>
        <v>Real</v>
      </c>
      <c r="G13804" s="8">
        <f t="shared" si="1"/>
        <v>5</v>
      </c>
      <c r="H13804" s="14">
        <f t="shared" si="2"/>
        <v>29</v>
      </c>
      <c r="I13804" s="15">
        <f t="shared" si="3"/>
        <v>4</v>
      </c>
    </row>
    <row r="13805">
      <c r="A13805" s="8" t="str">
        <f>IFERROR(__xludf.DUMMYFUNCTION("IF('(INGESTA)Datos_consumo_datadis'!A13805&lt;&gt;"""",SPLIT('(INGESTA)Datos_consumo_datadis'!A:A,"",""),"""")"),"ES0031408323131005HX0F")</f>
        <v>ES0031408323131005HX0F</v>
      </c>
      <c r="B13805" s="12">
        <f>IFERROR(__xludf.DUMMYFUNCTION("""COMPUTED_VALUE"""),45441.0)</f>
        <v>45441</v>
      </c>
      <c r="C13805" s="13">
        <f>IFERROR(__xludf.DUMMYFUNCTION("""COMPUTED_VALUE"""),0.20833333333333334)</f>
        <v>0.2083333333</v>
      </c>
      <c r="D13805" s="8">
        <f>IFERROR(__xludf.DUMMYFUNCTION("""COMPUTED_VALUE"""),0.325)</f>
        <v>0.325</v>
      </c>
      <c r="E13805" s="8" t="str">
        <f>IFERROR(__xludf.DUMMYFUNCTION("""COMPUTED_VALUE"""),"Real")</f>
        <v>Real</v>
      </c>
      <c r="G13805" s="8">
        <f t="shared" si="1"/>
        <v>5</v>
      </c>
      <c r="H13805" s="14">
        <f t="shared" si="2"/>
        <v>29</v>
      </c>
      <c r="I13805" s="15">
        <f t="shared" si="3"/>
        <v>5</v>
      </c>
    </row>
    <row r="13806">
      <c r="A13806" s="8" t="str">
        <f>IFERROR(__xludf.DUMMYFUNCTION("IF('(INGESTA)Datos_consumo_datadis'!A13806&lt;&gt;"""",SPLIT('(INGESTA)Datos_consumo_datadis'!A:A,"",""),"""")"),"ES0031408323131005HX0F")</f>
        <v>ES0031408323131005HX0F</v>
      </c>
      <c r="B13806" s="12">
        <f>IFERROR(__xludf.DUMMYFUNCTION("""COMPUTED_VALUE"""),45441.0)</f>
        <v>45441</v>
      </c>
      <c r="C13806" s="13">
        <f>IFERROR(__xludf.DUMMYFUNCTION("""COMPUTED_VALUE"""),0.25)</f>
        <v>0.25</v>
      </c>
      <c r="D13806" s="8">
        <f>IFERROR(__xludf.DUMMYFUNCTION("""COMPUTED_VALUE"""),0.089)</f>
        <v>0.089</v>
      </c>
      <c r="E13806" s="8" t="str">
        <f>IFERROR(__xludf.DUMMYFUNCTION("""COMPUTED_VALUE"""),"Real")</f>
        <v>Real</v>
      </c>
      <c r="G13806" s="8">
        <f t="shared" si="1"/>
        <v>5</v>
      </c>
      <c r="H13806" s="14">
        <f t="shared" si="2"/>
        <v>29</v>
      </c>
      <c r="I13806" s="15">
        <f t="shared" si="3"/>
        <v>6</v>
      </c>
    </row>
    <row r="13807">
      <c r="A13807" s="8" t="str">
        <f>IFERROR(__xludf.DUMMYFUNCTION("IF('(INGESTA)Datos_consumo_datadis'!A13807&lt;&gt;"""",SPLIT('(INGESTA)Datos_consumo_datadis'!A:A,"",""),"""")"),"ES0031408323131005HX0F")</f>
        <v>ES0031408323131005HX0F</v>
      </c>
      <c r="B13807" s="12">
        <f>IFERROR(__xludf.DUMMYFUNCTION("""COMPUTED_VALUE"""),45441.0)</f>
        <v>45441</v>
      </c>
      <c r="C13807" s="13">
        <f>IFERROR(__xludf.DUMMYFUNCTION("""COMPUTED_VALUE"""),0.2916666666666667)</f>
        <v>0.2916666667</v>
      </c>
      <c r="D13807" s="8">
        <f>IFERROR(__xludf.DUMMYFUNCTION("""COMPUTED_VALUE"""),0.073)</f>
        <v>0.073</v>
      </c>
      <c r="E13807" s="8" t="str">
        <f>IFERROR(__xludf.DUMMYFUNCTION("""COMPUTED_VALUE"""),"Real")</f>
        <v>Real</v>
      </c>
      <c r="G13807" s="8">
        <f t="shared" si="1"/>
        <v>5</v>
      </c>
      <c r="H13807" s="14">
        <f t="shared" si="2"/>
        <v>29</v>
      </c>
      <c r="I13807" s="15">
        <f t="shared" si="3"/>
        <v>7</v>
      </c>
    </row>
    <row r="13808">
      <c r="A13808" s="8" t="str">
        <f>IFERROR(__xludf.DUMMYFUNCTION("IF('(INGESTA)Datos_consumo_datadis'!A13808&lt;&gt;"""",SPLIT('(INGESTA)Datos_consumo_datadis'!A:A,"",""),"""")"),"ES0031408323131005HX0F")</f>
        <v>ES0031408323131005HX0F</v>
      </c>
      <c r="B13808" s="12">
        <f>IFERROR(__xludf.DUMMYFUNCTION("""COMPUTED_VALUE"""),45441.0)</f>
        <v>45441</v>
      </c>
      <c r="C13808" s="13">
        <f>IFERROR(__xludf.DUMMYFUNCTION("""COMPUTED_VALUE"""),0.3333333333333333)</f>
        <v>0.3333333333</v>
      </c>
      <c r="D13808" s="8">
        <f>IFERROR(__xludf.DUMMYFUNCTION("""COMPUTED_VALUE"""),0.039)</f>
        <v>0.039</v>
      </c>
      <c r="E13808" s="8" t="str">
        <f>IFERROR(__xludf.DUMMYFUNCTION("""COMPUTED_VALUE"""),"Real")</f>
        <v>Real</v>
      </c>
      <c r="G13808" s="8">
        <f t="shared" si="1"/>
        <v>5</v>
      </c>
      <c r="H13808" s="14">
        <f t="shared" si="2"/>
        <v>29</v>
      </c>
      <c r="I13808" s="15">
        <f t="shared" si="3"/>
        <v>8</v>
      </c>
    </row>
    <row r="13809">
      <c r="A13809" s="8" t="str">
        <f>IFERROR(__xludf.DUMMYFUNCTION("IF('(INGESTA)Datos_consumo_datadis'!A13809&lt;&gt;"""",SPLIT('(INGESTA)Datos_consumo_datadis'!A:A,"",""),"""")"),"ES0031408323131005HX0F")</f>
        <v>ES0031408323131005HX0F</v>
      </c>
      <c r="B13809" s="12">
        <f>IFERROR(__xludf.DUMMYFUNCTION("""COMPUTED_VALUE"""),45441.0)</f>
        <v>45441</v>
      </c>
      <c r="C13809" s="13">
        <f>IFERROR(__xludf.DUMMYFUNCTION("""COMPUTED_VALUE"""),0.375)</f>
        <v>0.375</v>
      </c>
      <c r="D13809" s="8">
        <f>IFERROR(__xludf.DUMMYFUNCTION("""COMPUTED_VALUE"""),0.084)</f>
        <v>0.084</v>
      </c>
      <c r="E13809" s="8" t="str">
        <f>IFERROR(__xludf.DUMMYFUNCTION("""COMPUTED_VALUE"""),"Real")</f>
        <v>Real</v>
      </c>
      <c r="G13809" s="8">
        <f t="shared" si="1"/>
        <v>5</v>
      </c>
      <c r="H13809" s="14">
        <f t="shared" si="2"/>
        <v>29</v>
      </c>
      <c r="I13809" s="15">
        <f t="shared" si="3"/>
        <v>9</v>
      </c>
    </row>
    <row r="13810">
      <c r="A13810" s="8" t="str">
        <f>IFERROR(__xludf.DUMMYFUNCTION("IF('(INGESTA)Datos_consumo_datadis'!A13810&lt;&gt;"""",SPLIT('(INGESTA)Datos_consumo_datadis'!A:A,"",""),"""")"),"ES0031408323131005HX0F")</f>
        <v>ES0031408323131005HX0F</v>
      </c>
      <c r="B13810" s="12">
        <f>IFERROR(__xludf.DUMMYFUNCTION("""COMPUTED_VALUE"""),45441.0)</f>
        <v>45441</v>
      </c>
      <c r="C13810" s="13">
        <f>IFERROR(__xludf.DUMMYFUNCTION("""COMPUTED_VALUE"""),0.4166666666666667)</f>
        <v>0.4166666667</v>
      </c>
      <c r="D13810" s="8">
        <f>IFERROR(__xludf.DUMMYFUNCTION("""COMPUTED_VALUE"""),0.126)</f>
        <v>0.126</v>
      </c>
      <c r="E13810" s="8" t="str">
        <f>IFERROR(__xludf.DUMMYFUNCTION("""COMPUTED_VALUE"""),"Real")</f>
        <v>Real</v>
      </c>
      <c r="G13810" s="8">
        <f t="shared" si="1"/>
        <v>5</v>
      </c>
      <c r="H13810" s="14">
        <f t="shared" si="2"/>
        <v>29</v>
      </c>
      <c r="I13810" s="15">
        <f t="shared" si="3"/>
        <v>10</v>
      </c>
    </row>
    <row r="13811">
      <c r="A13811" s="8" t="str">
        <f>IFERROR(__xludf.DUMMYFUNCTION("IF('(INGESTA)Datos_consumo_datadis'!A13811&lt;&gt;"""",SPLIT('(INGESTA)Datos_consumo_datadis'!A:A,"",""),"""")"),"ES0031408323131005HX0F")</f>
        <v>ES0031408323131005HX0F</v>
      </c>
      <c r="B13811" s="12">
        <f>IFERROR(__xludf.DUMMYFUNCTION("""COMPUTED_VALUE"""),45441.0)</f>
        <v>45441</v>
      </c>
      <c r="C13811" s="13">
        <f>IFERROR(__xludf.DUMMYFUNCTION("""COMPUTED_VALUE"""),0.4583333333333333)</f>
        <v>0.4583333333</v>
      </c>
      <c r="D13811" s="8">
        <f>IFERROR(__xludf.DUMMYFUNCTION("""COMPUTED_VALUE"""),0.823)</f>
        <v>0.823</v>
      </c>
      <c r="E13811" s="8" t="str">
        <f>IFERROR(__xludf.DUMMYFUNCTION("""COMPUTED_VALUE"""),"Real")</f>
        <v>Real</v>
      </c>
      <c r="G13811" s="8">
        <f t="shared" si="1"/>
        <v>5</v>
      </c>
      <c r="H13811" s="14">
        <f t="shared" si="2"/>
        <v>29</v>
      </c>
      <c r="I13811" s="15">
        <f t="shared" si="3"/>
        <v>11</v>
      </c>
    </row>
    <row r="13812">
      <c r="A13812" s="8" t="str">
        <f>IFERROR(__xludf.DUMMYFUNCTION("IF('(INGESTA)Datos_consumo_datadis'!A13812&lt;&gt;"""",SPLIT('(INGESTA)Datos_consumo_datadis'!A:A,"",""),"""")"),"ES0031408323131005HX0F")</f>
        <v>ES0031408323131005HX0F</v>
      </c>
      <c r="B13812" s="12">
        <f>IFERROR(__xludf.DUMMYFUNCTION("""COMPUTED_VALUE"""),45441.0)</f>
        <v>45441</v>
      </c>
      <c r="C13812" s="13">
        <f>IFERROR(__xludf.DUMMYFUNCTION("""COMPUTED_VALUE"""),0.5)</f>
        <v>0.5</v>
      </c>
      <c r="D13812" s="8">
        <f>IFERROR(__xludf.DUMMYFUNCTION("""COMPUTED_VALUE"""),0.487)</f>
        <v>0.487</v>
      </c>
      <c r="E13812" s="8" t="str">
        <f>IFERROR(__xludf.DUMMYFUNCTION("""COMPUTED_VALUE"""),"Real")</f>
        <v>Real</v>
      </c>
      <c r="G13812" s="8">
        <f t="shared" si="1"/>
        <v>5</v>
      </c>
      <c r="H13812" s="14">
        <f t="shared" si="2"/>
        <v>29</v>
      </c>
      <c r="I13812" s="15">
        <f t="shared" si="3"/>
        <v>12</v>
      </c>
    </row>
    <row r="13813">
      <c r="A13813" s="8" t="str">
        <f>IFERROR(__xludf.DUMMYFUNCTION("IF('(INGESTA)Datos_consumo_datadis'!A13813&lt;&gt;"""",SPLIT('(INGESTA)Datos_consumo_datadis'!A:A,"",""),"""")"),"ES0031408323131005HX0F")</f>
        <v>ES0031408323131005HX0F</v>
      </c>
      <c r="B13813" s="12">
        <f>IFERROR(__xludf.DUMMYFUNCTION("""COMPUTED_VALUE"""),45441.0)</f>
        <v>45441</v>
      </c>
      <c r="C13813" s="13">
        <f>IFERROR(__xludf.DUMMYFUNCTION("""COMPUTED_VALUE"""),0.5416666666666666)</f>
        <v>0.5416666667</v>
      </c>
      <c r="D13813" s="8">
        <f>IFERROR(__xludf.DUMMYFUNCTION("""COMPUTED_VALUE"""),0.166)</f>
        <v>0.166</v>
      </c>
      <c r="E13813" s="8" t="str">
        <f>IFERROR(__xludf.DUMMYFUNCTION("""COMPUTED_VALUE"""),"Real")</f>
        <v>Real</v>
      </c>
      <c r="G13813" s="8">
        <f t="shared" si="1"/>
        <v>5</v>
      </c>
      <c r="H13813" s="14">
        <f t="shared" si="2"/>
        <v>29</v>
      </c>
      <c r="I13813" s="15">
        <f t="shared" si="3"/>
        <v>13</v>
      </c>
    </row>
    <row r="13814">
      <c r="A13814" s="8" t="str">
        <f>IFERROR(__xludf.DUMMYFUNCTION("IF('(INGESTA)Datos_consumo_datadis'!A13814&lt;&gt;"""",SPLIT('(INGESTA)Datos_consumo_datadis'!A:A,"",""),"""")"),"ES0031408323131005HX0F")</f>
        <v>ES0031408323131005HX0F</v>
      </c>
      <c r="B13814" s="12">
        <f>IFERROR(__xludf.DUMMYFUNCTION("""COMPUTED_VALUE"""),45441.0)</f>
        <v>45441</v>
      </c>
      <c r="C13814" s="13">
        <f>IFERROR(__xludf.DUMMYFUNCTION("""COMPUTED_VALUE"""),0.5833333333333334)</f>
        <v>0.5833333333</v>
      </c>
      <c r="D13814" s="8">
        <f>IFERROR(__xludf.DUMMYFUNCTION("""COMPUTED_VALUE"""),1.013)</f>
        <v>1.013</v>
      </c>
      <c r="E13814" s="8" t="str">
        <f>IFERROR(__xludf.DUMMYFUNCTION("""COMPUTED_VALUE"""),"Real")</f>
        <v>Real</v>
      </c>
      <c r="G13814" s="8">
        <f t="shared" si="1"/>
        <v>5</v>
      </c>
      <c r="H13814" s="14">
        <f t="shared" si="2"/>
        <v>29</v>
      </c>
      <c r="I13814" s="15">
        <f t="shared" si="3"/>
        <v>14</v>
      </c>
    </row>
    <row r="13815">
      <c r="A13815" s="8" t="str">
        <f>IFERROR(__xludf.DUMMYFUNCTION("IF('(INGESTA)Datos_consumo_datadis'!A13815&lt;&gt;"""",SPLIT('(INGESTA)Datos_consumo_datadis'!A:A,"",""),"""")"),"ES0031408323131005HX0F")</f>
        <v>ES0031408323131005HX0F</v>
      </c>
      <c r="B13815" s="12">
        <f>IFERROR(__xludf.DUMMYFUNCTION("""COMPUTED_VALUE"""),45441.0)</f>
        <v>45441</v>
      </c>
      <c r="C13815" s="13">
        <f>IFERROR(__xludf.DUMMYFUNCTION("""COMPUTED_VALUE"""),0.625)</f>
        <v>0.625</v>
      </c>
      <c r="D13815" s="8">
        <f>IFERROR(__xludf.DUMMYFUNCTION("""COMPUTED_VALUE"""),0.419)</f>
        <v>0.419</v>
      </c>
      <c r="E13815" s="8" t="str">
        <f>IFERROR(__xludf.DUMMYFUNCTION("""COMPUTED_VALUE"""),"Real")</f>
        <v>Real</v>
      </c>
      <c r="G13815" s="8">
        <f t="shared" si="1"/>
        <v>5</v>
      </c>
      <c r="H13815" s="14">
        <f t="shared" si="2"/>
        <v>29</v>
      </c>
      <c r="I13815" s="15">
        <f t="shared" si="3"/>
        <v>15</v>
      </c>
    </row>
    <row r="13816">
      <c r="A13816" s="8" t="str">
        <f>IFERROR(__xludf.DUMMYFUNCTION("IF('(INGESTA)Datos_consumo_datadis'!A13816&lt;&gt;"""",SPLIT('(INGESTA)Datos_consumo_datadis'!A:A,"",""),"""")"),"ES0031408323131005HX0F")</f>
        <v>ES0031408323131005HX0F</v>
      </c>
      <c r="B13816" s="12">
        <f>IFERROR(__xludf.DUMMYFUNCTION("""COMPUTED_VALUE"""),45441.0)</f>
        <v>45441</v>
      </c>
      <c r="C13816" s="13">
        <f>IFERROR(__xludf.DUMMYFUNCTION("""COMPUTED_VALUE"""),0.6666666666666666)</f>
        <v>0.6666666667</v>
      </c>
      <c r="D13816" s="8">
        <f>IFERROR(__xludf.DUMMYFUNCTION("""COMPUTED_VALUE"""),0.203)</f>
        <v>0.203</v>
      </c>
      <c r="E13816" s="8" t="str">
        <f>IFERROR(__xludf.DUMMYFUNCTION("""COMPUTED_VALUE"""),"Real")</f>
        <v>Real</v>
      </c>
      <c r="G13816" s="8">
        <f t="shared" si="1"/>
        <v>5</v>
      </c>
      <c r="H13816" s="14">
        <f t="shared" si="2"/>
        <v>29</v>
      </c>
      <c r="I13816" s="15">
        <f t="shared" si="3"/>
        <v>16</v>
      </c>
    </row>
    <row r="13817">
      <c r="A13817" s="8" t="str">
        <f>IFERROR(__xludf.DUMMYFUNCTION("IF('(INGESTA)Datos_consumo_datadis'!A13817&lt;&gt;"""",SPLIT('(INGESTA)Datos_consumo_datadis'!A:A,"",""),"""")"),"ES0031408323131005HX0F")</f>
        <v>ES0031408323131005HX0F</v>
      </c>
      <c r="B13817" s="12">
        <f>IFERROR(__xludf.DUMMYFUNCTION("""COMPUTED_VALUE"""),45441.0)</f>
        <v>45441</v>
      </c>
      <c r="C13817" s="13">
        <f>IFERROR(__xludf.DUMMYFUNCTION("""COMPUTED_VALUE"""),0.7083333333333334)</f>
        <v>0.7083333333</v>
      </c>
      <c r="D13817" s="8">
        <f>IFERROR(__xludf.DUMMYFUNCTION("""COMPUTED_VALUE"""),0.707)</f>
        <v>0.707</v>
      </c>
      <c r="E13817" s="8" t="str">
        <f>IFERROR(__xludf.DUMMYFUNCTION("""COMPUTED_VALUE"""),"Real")</f>
        <v>Real</v>
      </c>
      <c r="G13817" s="8">
        <f t="shared" si="1"/>
        <v>5</v>
      </c>
      <c r="H13817" s="14">
        <f t="shared" si="2"/>
        <v>29</v>
      </c>
      <c r="I13817" s="15">
        <f t="shared" si="3"/>
        <v>17</v>
      </c>
    </row>
    <row r="13818">
      <c r="A13818" s="8" t="str">
        <f>IFERROR(__xludf.DUMMYFUNCTION("IF('(INGESTA)Datos_consumo_datadis'!A13818&lt;&gt;"""",SPLIT('(INGESTA)Datos_consumo_datadis'!A:A,"",""),"""")"),"ES0031408323131005HX0F")</f>
        <v>ES0031408323131005HX0F</v>
      </c>
      <c r="B13818" s="12">
        <f>IFERROR(__xludf.DUMMYFUNCTION("""COMPUTED_VALUE"""),45441.0)</f>
        <v>45441</v>
      </c>
      <c r="C13818" s="13">
        <f>IFERROR(__xludf.DUMMYFUNCTION("""COMPUTED_VALUE"""),0.75)</f>
        <v>0.75</v>
      </c>
      <c r="D13818" s="8">
        <f>IFERROR(__xludf.DUMMYFUNCTION("""COMPUTED_VALUE"""),0.059)</f>
        <v>0.059</v>
      </c>
      <c r="E13818" s="8" t="str">
        <f>IFERROR(__xludf.DUMMYFUNCTION("""COMPUTED_VALUE"""),"Real")</f>
        <v>Real</v>
      </c>
      <c r="G13818" s="8">
        <f t="shared" si="1"/>
        <v>5</v>
      </c>
      <c r="H13818" s="14">
        <f t="shared" si="2"/>
        <v>29</v>
      </c>
      <c r="I13818" s="15">
        <f t="shared" si="3"/>
        <v>18</v>
      </c>
    </row>
    <row r="13819">
      <c r="A13819" s="8" t="str">
        <f>IFERROR(__xludf.DUMMYFUNCTION("IF('(INGESTA)Datos_consumo_datadis'!A13819&lt;&gt;"""",SPLIT('(INGESTA)Datos_consumo_datadis'!A:A,"",""),"""")"),"ES0031408323131005HX0F")</f>
        <v>ES0031408323131005HX0F</v>
      </c>
      <c r="B13819" s="12">
        <f>IFERROR(__xludf.DUMMYFUNCTION("""COMPUTED_VALUE"""),45441.0)</f>
        <v>45441</v>
      </c>
      <c r="C13819" s="13">
        <f>IFERROR(__xludf.DUMMYFUNCTION("""COMPUTED_VALUE"""),0.7916666666666666)</f>
        <v>0.7916666667</v>
      </c>
      <c r="D13819" s="8">
        <f>IFERROR(__xludf.DUMMYFUNCTION("""COMPUTED_VALUE"""),0.078)</f>
        <v>0.078</v>
      </c>
      <c r="E13819" s="8" t="str">
        <f>IFERROR(__xludf.DUMMYFUNCTION("""COMPUTED_VALUE"""),"Real")</f>
        <v>Real</v>
      </c>
      <c r="G13819" s="8">
        <f t="shared" si="1"/>
        <v>5</v>
      </c>
      <c r="H13819" s="14">
        <f t="shared" si="2"/>
        <v>29</v>
      </c>
      <c r="I13819" s="15">
        <f t="shared" si="3"/>
        <v>19</v>
      </c>
    </row>
    <row r="13820">
      <c r="A13820" s="8" t="str">
        <f>IFERROR(__xludf.DUMMYFUNCTION("IF('(INGESTA)Datos_consumo_datadis'!A13820&lt;&gt;"""",SPLIT('(INGESTA)Datos_consumo_datadis'!A:A,"",""),"""")"),"ES0031408323131005HX0F")</f>
        <v>ES0031408323131005HX0F</v>
      </c>
      <c r="B13820" s="12">
        <f>IFERROR(__xludf.DUMMYFUNCTION("""COMPUTED_VALUE"""),45441.0)</f>
        <v>45441</v>
      </c>
      <c r="C13820" s="13">
        <f>IFERROR(__xludf.DUMMYFUNCTION("""COMPUTED_VALUE"""),0.8333333333333334)</f>
        <v>0.8333333333</v>
      </c>
      <c r="D13820" s="8">
        <f>IFERROR(__xludf.DUMMYFUNCTION("""COMPUTED_VALUE"""),0.06)</f>
        <v>0.06</v>
      </c>
      <c r="E13820" s="8" t="str">
        <f>IFERROR(__xludf.DUMMYFUNCTION("""COMPUTED_VALUE"""),"Real")</f>
        <v>Real</v>
      </c>
      <c r="G13820" s="8">
        <f t="shared" si="1"/>
        <v>5</v>
      </c>
      <c r="H13820" s="14">
        <f t="shared" si="2"/>
        <v>29</v>
      </c>
      <c r="I13820" s="15">
        <f t="shared" si="3"/>
        <v>20</v>
      </c>
    </row>
    <row r="13821">
      <c r="A13821" s="8" t="str">
        <f>IFERROR(__xludf.DUMMYFUNCTION("IF('(INGESTA)Datos_consumo_datadis'!A13821&lt;&gt;"""",SPLIT('(INGESTA)Datos_consumo_datadis'!A:A,"",""),"""")"),"ES0031408323131005HX0F")</f>
        <v>ES0031408323131005HX0F</v>
      </c>
      <c r="B13821" s="12">
        <f>IFERROR(__xludf.DUMMYFUNCTION("""COMPUTED_VALUE"""),45441.0)</f>
        <v>45441</v>
      </c>
      <c r="C13821" s="13">
        <f>IFERROR(__xludf.DUMMYFUNCTION("""COMPUTED_VALUE"""),0.875)</f>
        <v>0.875</v>
      </c>
      <c r="D13821" s="8">
        <f>IFERROR(__xludf.DUMMYFUNCTION("""COMPUTED_VALUE"""),2.673)</f>
        <v>2.673</v>
      </c>
      <c r="E13821" s="8" t="str">
        <f>IFERROR(__xludf.DUMMYFUNCTION("""COMPUTED_VALUE"""),"Real")</f>
        <v>Real</v>
      </c>
      <c r="G13821" s="8">
        <f t="shared" si="1"/>
        <v>5</v>
      </c>
      <c r="H13821" s="14">
        <f t="shared" si="2"/>
        <v>29</v>
      </c>
      <c r="I13821" s="15">
        <f t="shared" si="3"/>
        <v>21</v>
      </c>
    </row>
    <row r="13822">
      <c r="A13822" s="8" t="str">
        <f>IFERROR(__xludf.DUMMYFUNCTION("IF('(INGESTA)Datos_consumo_datadis'!A13822&lt;&gt;"""",SPLIT('(INGESTA)Datos_consumo_datadis'!A:A,"",""),"""")"),"ES0031408323131005HX0F")</f>
        <v>ES0031408323131005HX0F</v>
      </c>
      <c r="B13822" s="12">
        <f>IFERROR(__xludf.DUMMYFUNCTION("""COMPUTED_VALUE"""),45441.0)</f>
        <v>45441</v>
      </c>
      <c r="C13822" s="13">
        <f>IFERROR(__xludf.DUMMYFUNCTION("""COMPUTED_VALUE"""),0.9166666666666666)</f>
        <v>0.9166666667</v>
      </c>
      <c r="D13822" s="8">
        <f>IFERROR(__xludf.DUMMYFUNCTION("""COMPUTED_VALUE"""),0.854)</f>
        <v>0.854</v>
      </c>
      <c r="E13822" s="8" t="str">
        <f>IFERROR(__xludf.DUMMYFUNCTION("""COMPUTED_VALUE"""),"Real")</f>
        <v>Real</v>
      </c>
      <c r="G13822" s="8">
        <f t="shared" si="1"/>
        <v>5</v>
      </c>
      <c r="H13822" s="14">
        <f t="shared" si="2"/>
        <v>29</v>
      </c>
      <c r="I13822" s="15">
        <f t="shared" si="3"/>
        <v>22</v>
      </c>
    </row>
    <row r="13823">
      <c r="A13823" s="8" t="str">
        <f>IFERROR(__xludf.DUMMYFUNCTION("IF('(INGESTA)Datos_consumo_datadis'!A13823&lt;&gt;"""",SPLIT('(INGESTA)Datos_consumo_datadis'!A:A,"",""),"""")"),"ES0031408323131005HX0F")</f>
        <v>ES0031408323131005HX0F</v>
      </c>
      <c r="B13823" s="12">
        <f>IFERROR(__xludf.DUMMYFUNCTION("""COMPUTED_VALUE"""),45441.0)</f>
        <v>45441</v>
      </c>
      <c r="C13823" s="13">
        <f>IFERROR(__xludf.DUMMYFUNCTION("""COMPUTED_VALUE"""),0.9583333333333334)</f>
        <v>0.9583333333</v>
      </c>
      <c r="D13823" s="8">
        <f>IFERROR(__xludf.DUMMYFUNCTION("""COMPUTED_VALUE"""),0.147)</f>
        <v>0.147</v>
      </c>
      <c r="E13823" s="8" t="str">
        <f>IFERROR(__xludf.DUMMYFUNCTION("""COMPUTED_VALUE"""),"Real")</f>
        <v>Real</v>
      </c>
      <c r="G13823" s="8">
        <f t="shared" si="1"/>
        <v>5</v>
      </c>
      <c r="H13823" s="14">
        <f t="shared" si="2"/>
        <v>29</v>
      </c>
      <c r="I13823" s="15">
        <f t="shared" si="3"/>
        <v>23</v>
      </c>
    </row>
    <row r="13824">
      <c r="A13824" s="8" t="str">
        <f>IFERROR(__xludf.DUMMYFUNCTION("IF('(INGESTA)Datos_consumo_datadis'!A13824&lt;&gt;"""",SPLIT('(INGESTA)Datos_consumo_datadis'!A:A,"",""),"""")"),"ES0031408323131005HX0F")</f>
        <v>ES0031408323131005HX0F</v>
      </c>
      <c r="B13824" s="12">
        <f>IFERROR(__xludf.DUMMYFUNCTION("""COMPUTED_VALUE"""),45441.0)</f>
        <v>45441</v>
      </c>
      <c r="C13824" s="16">
        <f>IFERROR(__xludf.DUMMYFUNCTION("""COMPUTED_VALUE"""),1.0)</f>
        <v>1</v>
      </c>
      <c r="D13824" s="8">
        <f>IFERROR(__xludf.DUMMYFUNCTION("""COMPUTED_VALUE"""),0.144)</f>
        <v>0.144</v>
      </c>
      <c r="E13824" s="8" t="str">
        <f>IFERROR(__xludf.DUMMYFUNCTION("""COMPUTED_VALUE"""),"Real")</f>
        <v>Real</v>
      </c>
      <c r="G13824" s="8">
        <f t="shared" si="1"/>
        <v>5</v>
      </c>
      <c r="H13824" s="14">
        <f t="shared" si="2"/>
        <v>29</v>
      </c>
      <c r="I13824" s="15">
        <f t="shared" si="3"/>
        <v>0</v>
      </c>
    </row>
    <row r="13825">
      <c r="A13825" s="8" t="str">
        <f>IFERROR(__xludf.DUMMYFUNCTION("IF('(INGESTA)Datos_consumo_datadis'!A13825&lt;&gt;"""",SPLIT('(INGESTA)Datos_consumo_datadis'!A:A,"",""),"""")"),"ES0031408323131005HX0F")</f>
        <v>ES0031408323131005HX0F</v>
      </c>
      <c r="B13825" s="12">
        <f>IFERROR(__xludf.DUMMYFUNCTION("""COMPUTED_VALUE"""),45442.0)</f>
        <v>45442</v>
      </c>
      <c r="C13825" s="13">
        <f>IFERROR(__xludf.DUMMYFUNCTION("""COMPUTED_VALUE"""),0.041666666666666664)</f>
        <v>0.04166666667</v>
      </c>
      <c r="D13825" s="8">
        <f>IFERROR(__xludf.DUMMYFUNCTION("""COMPUTED_VALUE"""),0.098)</f>
        <v>0.098</v>
      </c>
      <c r="E13825" s="8" t="str">
        <f>IFERROR(__xludf.DUMMYFUNCTION("""COMPUTED_VALUE"""),"Real")</f>
        <v>Real</v>
      </c>
      <c r="G13825" s="8">
        <f t="shared" si="1"/>
        <v>5</v>
      </c>
      <c r="H13825" s="14">
        <f t="shared" si="2"/>
        <v>30</v>
      </c>
      <c r="I13825" s="15">
        <f t="shared" si="3"/>
        <v>1</v>
      </c>
    </row>
    <row r="13826">
      <c r="A13826" s="8" t="str">
        <f>IFERROR(__xludf.DUMMYFUNCTION("IF('(INGESTA)Datos_consumo_datadis'!A13826&lt;&gt;"""",SPLIT('(INGESTA)Datos_consumo_datadis'!A:A,"",""),"""")"),"ES0031408323131005HX0F")</f>
        <v>ES0031408323131005HX0F</v>
      </c>
      <c r="B13826" s="12">
        <f>IFERROR(__xludf.DUMMYFUNCTION("""COMPUTED_VALUE"""),45442.0)</f>
        <v>45442</v>
      </c>
      <c r="C13826" s="13">
        <f>IFERROR(__xludf.DUMMYFUNCTION("""COMPUTED_VALUE"""),0.08333333333333333)</f>
        <v>0.08333333333</v>
      </c>
      <c r="D13826" s="8">
        <f>IFERROR(__xludf.DUMMYFUNCTION("""COMPUTED_VALUE"""),0.059)</f>
        <v>0.059</v>
      </c>
      <c r="E13826" s="8" t="str">
        <f>IFERROR(__xludf.DUMMYFUNCTION("""COMPUTED_VALUE"""),"Real")</f>
        <v>Real</v>
      </c>
      <c r="G13826" s="8">
        <f t="shared" si="1"/>
        <v>5</v>
      </c>
      <c r="H13826" s="14">
        <f t="shared" si="2"/>
        <v>30</v>
      </c>
      <c r="I13826" s="15">
        <f t="shared" si="3"/>
        <v>2</v>
      </c>
    </row>
    <row r="13827">
      <c r="A13827" s="8" t="str">
        <f>IFERROR(__xludf.DUMMYFUNCTION("IF('(INGESTA)Datos_consumo_datadis'!A13827&lt;&gt;"""",SPLIT('(INGESTA)Datos_consumo_datadis'!A:A,"",""),"""")"),"ES0031408323131005HX0F")</f>
        <v>ES0031408323131005HX0F</v>
      </c>
      <c r="B13827" s="12">
        <f>IFERROR(__xludf.DUMMYFUNCTION("""COMPUTED_VALUE"""),45442.0)</f>
        <v>45442</v>
      </c>
      <c r="C13827" s="13">
        <f>IFERROR(__xludf.DUMMYFUNCTION("""COMPUTED_VALUE"""),0.125)</f>
        <v>0.125</v>
      </c>
      <c r="D13827" s="8">
        <f>IFERROR(__xludf.DUMMYFUNCTION("""COMPUTED_VALUE"""),0.102)</f>
        <v>0.102</v>
      </c>
      <c r="E13827" s="8" t="str">
        <f>IFERROR(__xludf.DUMMYFUNCTION("""COMPUTED_VALUE"""),"Real")</f>
        <v>Real</v>
      </c>
      <c r="G13827" s="8">
        <f t="shared" si="1"/>
        <v>5</v>
      </c>
      <c r="H13827" s="14">
        <f t="shared" si="2"/>
        <v>30</v>
      </c>
      <c r="I13827" s="15">
        <f t="shared" si="3"/>
        <v>3</v>
      </c>
    </row>
    <row r="13828">
      <c r="A13828" s="8" t="str">
        <f>IFERROR(__xludf.DUMMYFUNCTION("IF('(INGESTA)Datos_consumo_datadis'!A13828&lt;&gt;"""",SPLIT('(INGESTA)Datos_consumo_datadis'!A:A,"",""),"""")"),"ES0031408323131005HX0F")</f>
        <v>ES0031408323131005HX0F</v>
      </c>
      <c r="B13828" s="12">
        <f>IFERROR(__xludf.DUMMYFUNCTION("""COMPUTED_VALUE"""),45442.0)</f>
        <v>45442</v>
      </c>
      <c r="C13828" s="13">
        <f>IFERROR(__xludf.DUMMYFUNCTION("""COMPUTED_VALUE"""),0.16666666666666666)</f>
        <v>0.1666666667</v>
      </c>
      <c r="D13828" s="8">
        <f>IFERROR(__xludf.DUMMYFUNCTION("""COMPUTED_VALUE"""),0.316)</f>
        <v>0.316</v>
      </c>
      <c r="E13828" s="8" t="str">
        <f>IFERROR(__xludf.DUMMYFUNCTION("""COMPUTED_VALUE"""),"Real")</f>
        <v>Real</v>
      </c>
      <c r="G13828" s="8">
        <f t="shared" si="1"/>
        <v>5</v>
      </c>
      <c r="H13828" s="14">
        <f t="shared" si="2"/>
        <v>30</v>
      </c>
      <c r="I13828" s="15">
        <f t="shared" si="3"/>
        <v>4</v>
      </c>
    </row>
    <row r="13829">
      <c r="A13829" s="8" t="str">
        <f>IFERROR(__xludf.DUMMYFUNCTION("IF('(INGESTA)Datos_consumo_datadis'!A13829&lt;&gt;"""",SPLIT('(INGESTA)Datos_consumo_datadis'!A:A,"",""),"""")"),"ES0031408323131005HX0F")</f>
        <v>ES0031408323131005HX0F</v>
      </c>
      <c r="B13829" s="12">
        <f>IFERROR(__xludf.DUMMYFUNCTION("""COMPUTED_VALUE"""),45442.0)</f>
        <v>45442</v>
      </c>
      <c r="C13829" s="13">
        <f>IFERROR(__xludf.DUMMYFUNCTION("""COMPUTED_VALUE"""),0.20833333333333334)</f>
        <v>0.2083333333</v>
      </c>
      <c r="D13829" s="8">
        <f>IFERROR(__xludf.DUMMYFUNCTION("""COMPUTED_VALUE"""),0.059)</f>
        <v>0.059</v>
      </c>
      <c r="E13829" s="8" t="str">
        <f>IFERROR(__xludf.DUMMYFUNCTION("""COMPUTED_VALUE"""),"Real")</f>
        <v>Real</v>
      </c>
      <c r="G13829" s="8">
        <f t="shared" si="1"/>
        <v>5</v>
      </c>
      <c r="H13829" s="14">
        <f t="shared" si="2"/>
        <v>30</v>
      </c>
      <c r="I13829" s="15">
        <f t="shared" si="3"/>
        <v>5</v>
      </c>
    </row>
    <row r="13830">
      <c r="A13830" s="8" t="str">
        <f>IFERROR(__xludf.DUMMYFUNCTION("IF('(INGESTA)Datos_consumo_datadis'!A13830&lt;&gt;"""",SPLIT('(INGESTA)Datos_consumo_datadis'!A:A,"",""),"""")"),"ES0031408323131005HX0F")</f>
        <v>ES0031408323131005HX0F</v>
      </c>
      <c r="B13830" s="12">
        <f>IFERROR(__xludf.DUMMYFUNCTION("""COMPUTED_VALUE"""),45442.0)</f>
        <v>45442</v>
      </c>
      <c r="C13830" s="13">
        <f>IFERROR(__xludf.DUMMYFUNCTION("""COMPUTED_VALUE"""),0.25)</f>
        <v>0.25</v>
      </c>
      <c r="D13830" s="8">
        <f>IFERROR(__xludf.DUMMYFUNCTION("""COMPUTED_VALUE"""),0.082)</f>
        <v>0.082</v>
      </c>
      <c r="E13830" s="8" t="str">
        <f>IFERROR(__xludf.DUMMYFUNCTION("""COMPUTED_VALUE"""),"Real")</f>
        <v>Real</v>
      </c>
      <c r="G13830" s="8">
        <f t="shared" si="1"/>
        <v>5</v>
      </c>
      <c r="H13830" s="14">
        <f t="shared" si="2"/>
        <v>30</v>
      </c>
      <c r="I13830" s="15">
        <f t="shared" si="3"/>
        <v>6</v>
      </c>
    </row>
    <row r="13831">
      <c r="A13831" s="8" t="str">
        <f>IFERROR(__xludf.DUMMYFUNCTION("IF('(INGESTA)Datos_consumo_datadis'!A13831&lt;&gt;"""",SPLIT('(INGESTA)Datos_consumo_datadis'!A:A,"",""),"""")"),"ES0031408323131005HX0F")</f>
        <v>ES0031408323131005HX0F</v>
      </c>
      <c r="B13831" s="12">
        <f>IFERROR(__xludf.DUMMYFUNCTION("""COMPUTED_VALUE"""),45442.0)</f>
        <v>45442</v>
      </c>
      <c r="C13831" s="13">
        <f>IFERROR(__xludf.DUMMYFUNCTION("""COMPUTED_VALUE"""),0.2916666666666667)</f>
        <v>0.2916666667</v>
      </c>
      <c r="D13831" s="8">
        <f>IFERROR(__xludf.DUMMYFUNCTION("""COMPUTED_VALUE"""),0.043)</f>
        <v>0.043</v>
      </c>
      <c r="E13831" s="8" t="str">
        <f>IFERROR(__xludf.DUMMYFUNCTION("""COMPUTED_VALUE"""),"Real")</f>
        <v>Real</v>
      </c>
      <c r="G13831" s="8">
        <f t="shared" si="1"/>
        <v>5</v>
      </c>
      <c r="H13831" s="14">
        <f t="shared" si="2"/>
        <v>30</v>
      </c>
      <c r="I13831" s="15">
        <f t="shared" si="3"/>
        <v>7</v>
      </c>
    </row>
    <row r="13832">
      <c r="A13832" s="8" t="str">
        <f>IFERROR(__xludf.DUMMYFUNCTION("IF('(INGESTA)Datos_consumo_datadis'!A13832&lt;&gt;"""",SPLIT('(INGESTA)Datos_consumo_datadis'!A:A,"",""),"""")"),"ES0031408323131005HX0F")</f>
        <v>ES0031408323131005HX0F</v>
      </c>
      <c r="B13832" s="12">
        <f>IFERROR(__xludf.DUMMYFUNCTION("""COMPUTED_VALUE"""),45442.0)</f>
        <v>45442</v>
      </c>
      <c r="C13832" s="13">
        <f>IFERROR(__xludf.DUMMYFUNCTION("""COMPUTED_VALUE"""),0.3333333333333333)</f>
        <v>0.3333333333</v>
      </c>
      <c r="D13832" s="8">
        <f>IFERROR(__xludf.DUMMYFUNCTION("""COMPUTED_VALUE"""),0.099)</f>
        <v>0.099</v>
      </c>
      <c r="E13832" s="8" t="str">
        <f>IFERROR(__xludf.DUMMYFUNCTION("""COMPUTED_VALUE"""),"Real")</f>
        <v>Real</v>
      </c>
      <c r="G13832" s="8">
        <f t="shared" si="1"/>
        <v>5</v>
      </c>
      <c r="H13832" s="14">
        <f t="shared" si="2"/>
        <v>30</v>
      </c>
      <c r="I13832" s="15">
        <f t="shared" si="3"/>
        <v>8</v>
      </c>
    </row>
    <row r="13833">
      <c r="A13833" s="8" t="str">
        <f>IFERROR(__xludf.DUMMYFUNCTION("IF('(INGESTA)Datos_consumo_datadis'!A13833&lt;&gt;"""",SPLIT('(INGESTA)Datos_consumo_datadis'!A:A,"",""),"""")"),"ES0031408323131005HX0F")</f>
        <v>ES0031408323131005HX0F</v>
      </c>
      <c r="B13833" s="12">
        <f>IFERROR(__xludf.DUMMYFUNCTION("""COMPUTED_VALUE"""),45442.0)</f>
        <v>45442</v>
      </c>
      <c r="C13833" s="13">
        <f>IFERROR(__xludf.DUMMYFUNCTION("""COMPUTED_VALUE"""),0.375)</f>
        <v>0.375</v>
      </c>
      <c r="D13833" s="8">
        <f>IFERROR(__xludf.DUMMYFUNCTION("""COMPUTED_VALUE"""),0.09)</f>
        <v>0.09</v>
      </c>
      <c r="E13833" s="8" t="str">
        <f>IFERROR(__xludf.DUMMYFUNCTION("""COMPUTED_VALUE"""),"Real")</f>
        <v>Real</v>
      </c>
      <c r="G13833" s="8">
        <f t="shared" si="1"/>
        <v>5</v>
      </c>
      <c r="H13833" s="14">
        <f t="shared" si="2"/>
        <v>30</v>
      </c>
      <c r="I13833" s="15">
        <f t="shared" si="3"/>
        <v>9</v>
      </c>
    </row>
    <row r="13834">
      <c r="A13834" s="8" t="str">
        <f>IFERROR(__xludf.DUMMYFUNCTION("IF('(INGESTA)Datos_consumo_datadis'!A13834&lt;&gt;"""",SPLIT('(INGESTA)Datos_consumo_datadis'!A:A,"",""),"""")"),"ES0031408323131005HX0F")</f>
        <v>ES0031408323131005HX0F</v>
      </c>
      <c r="B13834" s="12">
        <f>IFERROR(__xludf.DUMMYFUNCTION("""COMPUTED_VALUE"""),45442.0)</f>
        <v>45442</v>
      </c>
      <c r="C13834" s="13">
        <f>IFERROR(__xludf.DUMMYFUNCTION("""COMPUTED_VALUE"""),0.4166666666666667)</f>
        <v>0.4166666667</v>
      </c>
      <c r="D13834" s="8">
        <f>IFERROR(__xludf.DUMMYFUNCTION("""COMPUTED_VALUE"""),0.475)</f>
        <v>0.475</v>
      </c>
      <c r="E13834" s="8" t="str">
        <f>IFERROR(__xludf.DUMMYFUNCTION("""COMPUTED_VALUE"""),"Real")</f>
        <v>Real</v>
      </c>
      <c r="G13834" s="8">
        <f t="shared" si="1"/>
        <v>5</v>
      </c>
      <c r="H13834" s="14">
        <f t="shared" si="2"/>
        <v>30</v>
      </c>
      <c r="I13834" s="15">
        <f t="shared" si="3"/>
        <v>10</v>
      </c>
    </row>
    <row r="13835">
      <c r="A13835" s="8" t="str">
        <f>IFERROR(__xludf.DUMMYFUNCTION("IF('(INGESTA)Datos_consumo_datadis'!A13835&lt;&gt;"""",SPLIT('(INGESTA)Datos_consumo_datadis'!A:A,"",""),"""")"),"ES0031408323131005HX0F")</f>
        <v>ES0031408323131005HX0F</v>
      </c>
      <c r="B13835" s="12">
        <f>IFERROR(__xludf.DUMMYFUNCTION("""COMPUTED_VALUE"""),45442.0)</f>
        <v>45442</v>
      </c>
      <c r="C13835" s="13">
        <f>IFERROR(__xludf.DUMMYFUNCTION("""COMPUTED_VALUE"""),0.4583333333333333)</f>
        <v>0.4583333333</v>
      </c>
      <c r="D13835" s="8">
        <f>IFERROR(__xludf.DUMMYFUNCTION("""COMPUTED_VALUE"""),0.072)</f>
        <v>0.072</v>
      </c>
      <c r="E13835" s="8" t="str">
        <f>IFERROR(__xludf.DUMMYFUNCTION("""COMPUTED_VALUE"""),"Real")</f>
        <v>Real</v>
      </c>
      <c r="G13835" s="8">
        <f t="shared" si="1"/>
        <v>5</v>
      </c>
      <c r="H13835" s="14">
        <f t="shared" si="2"/>
        <v>30</v>
      </c>
      <c r="I13835" s="15">
        <f t="shared" si="3"/>
        <v>11</v>
      </c>
    </row>
    <row r="13836">
      <c r="A13836" s="8" t="str">
        <f>IFERROR(__xludf.DUMMYFUNCTION("IF('(INGESTA)Datos_consumo_datadis'!A13836&lt;&gt;"""",SPLIT('(INGESTA)Datos_consumo_datadis'!A:A,"",""),"""")"),"ES0031408323131005HX0F")</f>
        <v>ES0031408323131005HX0F</v>
      </c>
      <c r="B13836" s="12">
        <f>IFERROR(__xludf.DUMMYFUNCTION("""COMPUTED_VALUE"""),45442.0)</f>
        <v>45442</v>
      </c>
      <c r="C13836" s="13">
        <f>IFERROR(__xludf.DUMMYFUNCTION("""COMPUTED_VALUE"""),0.5)</f>
        <v>0.5</v>
      </c>
      <c r="D13836" s="8">
        <f>IFERROR(__xludf.DUMMYFUNCTION("""COMPUTED_VALUE"""),0.06)</f>
        <v>0.06</v>
      </c>
      <c r="E13836" s="8" t="str">
        <f>IFERROR(__xludf.DUMMYFUNCTION("""COMPUTED_VALUE"""),"Real")</f>
        <v>Real</v>
      </c>
      <c r="G13836" s="8">
        <f t="shared" si="1"/>
        <v>5</v>
      </c>
      <c r="H13836" s="14">
        <f t="shared" si="2"/>
        <v>30</v>
      </c>
      <c r="I13836" s="15">
        <f t="shared" si="3"/>
        <v>12</v>
      </c>
    </row>
    <row r="13837">
      <c r="A13837" s="8" t="str">
        <f>IFERROR(__xludf.DUMMYFUNCTION("IF('(INGESTA)Datos_consumo_datadis'!A13837&lt;&gt;"""",SPLIT('(INGESTA)Datos_consumo_datadis'!A:A,"",""),"""")"),"ES0031408323131005HX0F")</f>
        <v>ES0031408323131005HX0F</v>
      </c>
      <c r="B13837" s="12">
        <f>IFERROR(__xludf.DUMMYFUNCTION("""COMPUTED_VALUE"""),45442.0)</f>
        <v>45442</v>
      </c>
      <c r="C13837" s="13">
        <f>IFERROR(__xludf.DUMMYFUNCTION("""COMPUTED_VALUE"""),0.5416666666666666)</f>
        <v>0.5416666667</v>
      </c>
      <c r="D13837" s="8">
        <f>IFERROR(__xludf.DUMMYFUNCTION("""COMPUTED_VALUE"""),0.094)</f>
        <v>0.094</v>
      </c>
      <c r="E13837" s="8" t="str">
        <f>IFERROR(__xludf.DUMMYFUNCTION("""COMPUTED_VALUE"""),"Real")</f>
        <v>Real</v>
      </c>
      <c r="G13837" s="8">
        <f t="shared" si="1"/>
        <v>5</v>
      </c>
      <c r="H13837" s="14">
        <f t="shared" si="2"/>
        <v>30</v>
      </c>
      <c r="I13837" s="15">
        <f t="shared" si="3"/>
        <v>13</v>
      </c>
    </row>
    <row r="13838">
      <c r="A13838" s="8" t="str">
        <f>IFERROR(__xludf.DUMMYFUNCTION("IF('(INGESTA)Datos_consumo_datadis'!A13838&lt;&gt;"""",SPLIT('(INGESTA)Datos_consumo_datadis'!A:A,"",""),"""")"),"ES0031408323131005HX0F")</f>
        <v>ES0031408323131005HX0F</v>
      </c>
      <c r="B13838" s="12">
        <f>IFERROR(__xludf.DUMMYFUNCTION("""COMPUTED_VALUE"""),45442.0)</f>
        <v>45442</v>
      </c>
      <c r="C13838" s="13">
        <f>IFERROR(__xludf.DUMMYFUNCTION("""COMPUTED_VALUE"""),0.5833333333333334)</f>
        <v>0.5833333333</v>
      </c>
      <c r="D13838" s="8">
        <f>IFERROR(__xludf.DUMMYFUNCTION("""COMPUTED_VALUE"""),0.084)</f>
        <v>0.084</v>
      </c>
      <c r="E13838" s="8" t="str">
        <f>IFERROR(__xludf.DUMMYFUNCTION("""COMPUTED_VALUE"""),"Real")</f>
        <v>Real</v>
      </c>
      <c r="G13838" s="8">
        <f t="shared" si="1"/>
        <v>5</v>
      </c>
      <c r="H13838" s="14">
        <f t="shared" si="2"/>
        <v>30</v>
      </c>
      <c r="I13838" s="15">
        <f t="shared" si="3"/>
        <v>14</v>
      </c>
    </row>
    <row r="13839">
      <c r="A13839" s="8" t="str">
        <f>IFERROR(__xludf.DUMMYFUNCTION("IF('(INGESTA)Datos_consumo_datadis'!A13839&lt;&gt;"""",SPLIT('(INGESTA)Datos_consumo_datadis'!A:A,"",""),"""")"),"ES0031408323131005HX0F")</f>
        <v>ES0031408323131005HX0F</v>
      </c>
      <c r="B13839" s="12">
        <f>IFERROR(__xludf.DUMMYFUNCTION("""COMPUTED_VALUE"""),45442.0)</f>
        <v>45442</v>
      </c>
      <c r="C13839" s="13">
        <f>IFERROR(__xludf.DUMMYFUNCTION("""COMPUTED_VALUE"""),0.625)</f>
        <v>0.625</v>
      </c>
      <c r="D13839" s="8">
        <f>IFERROR(__xludf.DUMMYFUNCTION("""COMPUTED_VALUE"""),0.097)</f>
        <v>0.097</v>
      </c>
      <c r="E13839" s="8" t="str">
        <f>IFERROR(__xludf.DUMMYFUNCTION("""COMPUTED_VALUE"""),"Real")</f>
        <v>Real</v>
      </c>
      <c r="G13839" s="8">
        <f t="shared" si="1"/>
        <v>5</v>
      </c>
      <c r="H13839" s="14">
        <f t="shared" si="2"/>
        <v>30</v>
      </c>
      <c r="I13839" s="15">
        <f t="shared" si="3"/>
        <v>15</v>
      </c>
    </row>
    <row r="13840">
      <c r="A13840" s="8" t="str">
        <f>IFERROR(__xludf.DUMMYFUNCTION("IF('(INGESTA)Datos_consumo_datadis'!A13840&lt;&gt;"""",SPLIT('(INGESTA)Datos_consumo_datadis'!A:A,"",""),"""")"),"ES0031408323131005HX0F")</f>
        <v>ES0031408323131005HX0F</v>
      </c>
      <c r="B13840" s="12">
        <f>IFERROR(__xludf.DUMMYFUNCTION("""COMPUTED_VALUE"""),45442.0)</f>
        <v>45442</v>
      </c>
      <c r="C13840" s="13">
        <f>IFERROR(__xludf.DUMMYFUNCTION("""COMPUTED_VALUE"""),0.6666666666666666)</f>
        <v>0.6666666667</v>
      </c>
      <c r="D13840" s="8">
        <f>IFERROR(__xludf.DUMMYFUNCTION("""COMPUTED_VALUE"""),0.089)</f>
        <v>0.089</v>
      </c>
      <c r="E13840" s="8" t="str">
        <f>IFERROR(__xludf.DUMMYFUNCTION("""COMPUTED_VALUE"""),"Real")</f>
        <v>Real</v>
      </c>
      <c r="G13840" s="8">
        <f t="shared" si="1"/>
        <v>5</v>
      </c>
      <c r="H13840" s="14">
        <f t="shared" si="2"/>
        <v>30</v>
      </c>
      <c r="I13840" s="15">
        <f t="shared" si="3"/>
        <v>16</v>
      </c>
    </row>
    <row r="13841">
      <c r="A13841" s="8" t="str">
        <f>IFERROR(__xludf.DUMMYFUNCTION("IF('(INGESTA)Datos_consumo_datadis'!A13841&lt;&gt;"""",SPLIT('(INGESTA)Datos_consumo_datadis'!A:A,"",""),"""")"),"ES0031408323131005HX0F")</f>
        <v>ES0031408323131005HX0F</v>
      </c>
      <c r="B13841" s="12">
        <f>IFERROR(__xludf.DUMMYFUNCTION("""COMPUTED_VALUE"""),45442.0)</f>
        <v>45442</v>
      </c>
      <c r="C13841" s="13">
        <f>IFERROR(__xludf.DUMMYFUNCTION("""COMPUTED_VALUE"""),0.7083333333333334)</f>
        <v>0.7083333333</v>
      </c>
      <c r="D13841" s="8">
        <f>IFERROR(__xludf.DUMMYFUNCTION("""COMPUTED_VALUE"""),0.309)</f>
        <v>0.309</v>
      </c>
      <c r="E13841" s="8" t="str">
        <f>IFERROR(__xludf.DUMMYFUNCTION("""COMPUTED_VALUE"""),"Real")</f>
        <v>Real</v>
      </c>
      <c r="G13841" s="8">
        <f t="shared" si="1"/>
        <v>5</v>
      </c>
      <c r="H13841" s="14">
        <f t="shared" si="2"/>
        <v>30</v>
      </c>
      <c r="I13841" s="15">
        <f t="shared" si="3"/>
        <v>17</v>
      </c>
    </row>
    <row r="13842">
      <c r="A13842" s="8" t="str">
        <f>IFERROR(__xludf.DUMMYFUNCTION("IF('(INGESTA)Datos_consumo_datadis'!A13842&lt;&gt;"""",SPLIT('(INGESTA)Datos_consumo_datadis'!A:A,"",""),"""")"),"ES0031408323131005HX0F")</f>
        <v>ES0031408323131005HX0F</v>
      </c>
      <c r="B13842" s="12">
        <f>IFERROR(__xludf.DUMMYFUNCTION("""COMPUTED_VALUE"""),45442.0)</f>
        <v>45442</v>
      </c>
      <c r="C13842" s="13">
        <f>IFERROR(__xludf.DUMMYFUNCTION("""COMPUTED_VALUE"""),0.75)</f>
        <v>0.75</v>
      </c>
      <c r="D13842" s="8">
        <f>IFERROR(__xludf.DUMMYFUNCTION("""COMPUTED_VALUE"""),0.102)</f>
        <v>0.102</v>
      </c>
      <c r="E13842" s="8" t="str">
        <f>IFERROR(__xludf.DUMMYFUNCTION("""COMPUTED_VALUE"""),"Real")</f>
        <v>Real</v>
      </c>
      <c r="G13842" s="8">
        <f t="shared" si="1"/>
        <v>5</v>
      </c>
      <c r="H13842" s="14">
        <f t="shared" si="2"/>
        <v>30</v>
      </c>
      <c r="I13842" s="15">
        <f t="shared" si="3"/>
        <v>18</v>
      </c>
    </row>
    <row r="13843">
      <c r="A13843" s="8" t="str">
        <f>IFERROR(__xludf.DUMMYFUNCTION("IF('(INGESTA)Datos_consumo_datadis'!A13843&lt;&gt;"""",SPLIT('(INGESTA)Datos_consumo_datadis'!A:A,"",""),"""")"),"ES0031408323131005HX0F")</f>
        <v>ES0031408323131005HX0F</v>
      </c>
      <c r="B13843" s="12">
        <f>IFERROR(__xludf.DUMMYFUNCTION("""COMPUTED_VALUE"""),45442.0)</f>
        <v>45442</v>
      </c>
      <c r="C13843" s="13">
        <f>IFERROR(__xludf.DUMMYFUNCTION("""COMPUTED_VALUE"""),0.7916666666666666)</f>
        <v>0.7916666667</v>
      </c>
      <c r="D13843" s="8">
        <f>IFERROR(__xludf.DUMMYFUNCTION("""COMPUTED_VALUE"""),0.077)</f>
        <v>0.077</v>
      </c>
      <c r="E13843" s="8" t="str">
        <f>IFERROR(__xludf.DUMMYFUNCTION("""COMPUTED_VALUE"""),"Real")</f>
        <v>Real</v>
      </c>
      <c r="G13843" s="8">
        <f t="shared" si="1"/>
        <v>5</v>
      </c>
      <c r="H13843" s="14">
        <f t="shared" si="2"/>
        <v>30</v>
      </c>
      <c r="I13843" s="15">
        <f t="shared" si="3"/>
        <v>19</v>
      </c>
    </row>
    <row r="13844">
      <c r="A13844" s="8" t="str">
        <f>IFERROR(__xludf.DUMMYFUNCTION("IF('(INGESTA)Datos_consumo_datadis'!A13844&lt;&gt;"""",SPLIT('(INGESTA)Datos_consumo_datadis'!A:A,"",""),"""")"),"ES0031408323131005HX0F")</f>
        <v>ES0031408323131005HX0F</v>
      </c>
      <c r="B13844" s="12">
        <f>IFERROR(__xludf.DUMMYFUNCTION("""COMPUTED_VALUE"""),45442.0)</f>
        <v>45442</v>
      </c>
      <c r="C13844" s="13">
        <f>IFERROR(__xludf.DUMMYFUNCTION("""COMPUTED_VALUE"""),0.8333333333333334)</f>
        <v>0.8333333333</v>
      </c>
      <c r="D13844" s="8">
        <f>IFERROR(__xludf.DUMMYFUNCTION("""COMPUTED_VALUE"""),1.261)</f>
        <v>1.261</v>
      </c>
      <c r="E13844" s="8" t="str">
        <f>IFERROR(__xludf.DUMMYFUNCTION("""COMPUTED_VALUE"""),"Real")</f>
        <v>Real</v>
      </c>
      <c r="G13844" s="8">
        <f t="shared" si="1"/>
        <v>5</v>
      </c>
      <c r="H13844" s="14">
        <f t="shared" si="2"/>
        <v>30</v>
      </c>
      <c r="I13844" s="15">
        <f t="shared" si="3"/>
        <v>20</v>
      </c>
    </row>
    <row r="13845">
      <c r="A13845" s="8" t="str">
        <f>IFERROR(__xludf.DUMMYFUNCTION("IF('(INGESTA)Datos_consumo_datadis'!A13845&lt;&gt;"""",SPLIT('(INGESTA)Datos_consumo_datadis'!A:A,"",""),"""")"),"ES0031408323131005HX0F")</f>
        <v>ES0031408323131005HX0F</v>
      </c>
      <c r="B13845" s="12">
        <f>IFERROR(__xludf.DUMMYFUNCTION("""COMPUTED_VALUE"""),45442.0)</f>
        <v>45442</v>
      </c>
      <c r="C13845" s="13">
        <f>IFERROR(__xludf.DUMMYFUNCTION("""COMPUTED_VALUE"""),0.875)</f>
        <v>0.875</v>
      </c>
      <c r="D13845" s="8">
        <f>IFERROR(__xludf.DUMMYFUNCTION("""COMPUTED_VALUE"""),0.235)</f>
        <v>0.235</v>
      </c>
      <c r="E13845" s="8" t="str">
        <f>IFERROR(__xludf.DUMMYFUNCTION("""COMPUTED_VALUE"""),"Real")</f>
        <v>Real</v>
      </c>
      <c r="G13845" s="8">
        <f t="shared" si="1"/>
        <v>5</v>
      </c>
      <c r="H13845" s="14">
        <f t="shared" si="2"/>
        <v>30</v>
      </c>
      <c r="I13845" s="15">
        <f t="shared" si="3"/>
        <v>21</v>
      </c>
    </row>
    <row r="13846">
      <c r="A13846" s="8" t="str">
        <f>IFERROR(__xludf.DUMMYFUNCTION("IF('(INGESTA)Datos_consumo_datadis'!A13846&lt;&gt;"""",SPLIT('(INGESTA)Datos_consumo_datadis'!A:A,"",""),"""")"),"ES0031408323131005HX0F")</f>
        <v>ES0031408323131005HX0F</v>
      </c>
      <c r="B13846" s="12">
        <f>IFERROR(__xludf.DUMMYFUNCTION("""COMPUTED_VALUE"""),45442.0)</f>
        <v>45442</v>
      </c>
      <c r="C13846" s="13">
        <f>IFERROR(__xludf.DUMMYFUNCTION("""COMPUTED_VALUE"""),0.9166666666666666)</f>
        <v>0.9166666667</v>
      </c>
      <c r="D13846" s="8">
        <f>IFERROR(__xludf.DUMMYFUNCTION("""COMPUTED_VALUE"""),0.226)</f>
        <v>0.226</v>
      </c>
      <c r="E13846" s="8" t="str">
        <f>IFERROR(__xludf.DUMMYFUNCTION("""COMPUTED_VALUE"""),"Real")</f>
        <v>Real</v>
      </c>
      <c r="G13846" s="8">
        <f t="shared" si="1"/>
        <v>5</v>
      </c>
      <c r="H13846" s="14">
        <f t="shared" si="2"/>
        <v>30</v>
      </c>
      <c r="I13846" s="15">
        <f t="shared" si="3"/>
        <v>22</v>
      </c>
    </row>
    <row r="13847">
      <c r="A13847" s="8" t="str">
        <f>IFERROR(__xludf.DUMMYFUNCTION("IF('(INGESTA)Datos_consumo_datadis'!A13847&lt;&gt;"""",SPLIT('(INGESTA)Datos_consumo_datadis'!A:A,"",""),"""")"),"ES0031408323131005HX0F")</f>
        <v>ES0031408323131005HX0F</v>
      </c>
      <c r="B13847" s="12">
        <f>IFERROR(__xludf.DUMMYFUNCTION("""COMPUTED_VALUE"""),45442.0)</f>
        <v>45442</v>
      </c>
      <c r="C13847" s="13">
        <f>IFERROR(__xludf.DUMMYFUNCTION("""COMPUTED_VALUE"""),0.9583333333333334)</f>
        <v>0.9583333333</v>
      </c>
      <c r="D13847" s="8">
        <f>IFERROR(__xludf.DUMMYFUNCTION("""COMPUTED_VALUE"""),0.485)</f>
        <v>0.485</v>
      </c>
      <c r="E13847" s="8" t="str">
        <f>IFERROR(__xludf.DUMMYFUNCTION("""COMPUTED_VALUE"""),"Real")</f>
        <v>Real</v>
      </c>
      <c r="G13847" s="8">
        <f t="shared" si="1"/>
        <v>5</v>
      </c>
      <c r="H13847" s="14">
        <f t="shared" si="2"/>
        <v>30</v>
      </c>
      <c r="I13847" s="15">
        <f t="shared" si="3"/>
        <v>23</v>
      </c>
    </row>
    <row r="13848">
      <c r="A13848" s="8" t="str">
        <f>IFERROR(__xludf.DUMMYFUNCTION("IF('(INGESTA)Datos_consumo_datadis'!A13848&lt;&gt;"""",SPLIT('(INGESTA)Datos_consumo_datadis'!A:A,"",""),"""")"),"ES0031408323131005HX0F")</f>
        <v>ES0031408323131005HX0F</v>
      </c>
      <c r="B13848" s="12">
        <f>IFERROR(__xludf.DUMMYFUNCTION("""COMPUTED_VALUE"""),45442.0)</f>
        <v>45442</v>
      </c>
      <c r="C13848" s="16">
        <f>IFERROR(__xludf.DUMMYFUNCTION("""COMPUTED_VALUE"""),1.0)</f>
        <v>1</v>
      </c>
      <c r="D13848" s="8">
        <f>IFERROR(__xludf.DUMMYFUNCTION("""COMPUTED_VALUE"""),0.355)</f>
        <v>0.355</v>
      </c>
      <c r="E13848" s="8" t="str">
        <f>IFERROR(__xludf.DUMMYFUNCTION("""COMPUTED_VALUE"""),"Real")</f>
        <v>Real</v>
      </c>
      <c r="G13848" s="8">
        <f t="shared" si="1"/>
        <v>5</v>
      </c>
      <c r="H13848" s="14">
        <f t="shared" si="2"/>
        <v>30</v>
      </c>
      <c r="I13848" s="15">
        <f t="shared" si="3"/>
        <v>0</v>
      </c>
    </row>
    <row r="13849">
      <c r="A13849" s="8" t="str">
        <f>IFERROR(__xludf.DUMMYFUNCTION("IF('(INGESTA)Datos_consumo_datadis'!A13849&lt;&gt;"""",SPLIT('(INGESTA)Datos_consumo_datadis'!A:A,"",""),"""")"),"ES0031408323131005HX0F")</f>
        <v>ES0031408323131005HX0F</v>
      </c>
      <c r="B13849" s="12">
        <f>IFERROR(__xludf.DUMMYFUNCTION("""COMPUTED_VALUE"""),45443.0)</f>
        <v>45443</v>
      </c>
      <c r="C13849" s="13">
        <f>IFERROR(__xludf.DUMMYFUNCTION("""COMPUTED_VALUE"""),0.041666666666666664)</f>
        <v>0.04166666667</v>
      </c>
      <c r="D13849" s="8">
        <f>IFERROR(__xludf.DUMMYFUNCTION("""COMPUTED_VALUE"""),0.104)</f>
        <v>0.104</v>
      </c>
      <c r="E13849" s="8" t="str">
        <f>IFERROR(__xludf.DUMMYFUNCTION("""COMPUTED_VALUE"""),"Real")</f>
        <v>Real</v>
      </c>
      <c r="G13849" s="8">
        <f t="shared" si="1"/>
        <v>5</v>
      </c>
      <c r="H13849" s="14">
        <f t="shared" si="2"/>
        <v>31</v>
      </c>
      <c r="I13849" s="15">
        <f t="shared" si="3"/>
        <v>1</v>
      </c>
    </row>
    <row r="13850">
      <c r="A13850" s="8" t="str">
        <f>IFERROR(__xludf.DUMMYFUNCTION("IF('(INGESTA)Datos_consumo_datadis'!A13850&lt;&gt;"""",SPLIT('(INGESTA)Datos_consumo_datadis'!A:A,"",""),"""")"),"ES0031408323131005HX0F")</f>
        <v>ES0031408323131005HX0F</v>
      </c>
      <c r="B13850" s="12">
        <f>IFERROR(__xludf.DUMMYFUNCTION("""COMPUTED_VALUE"""),45443.0)</f>
        <v>45443</v>
      </c>
      <c r="C13850" s="13">
        <f>IFERROR(__xludf.DUMMYFUNCTION("""COMPUTED_VALUE"""),0.08333333333333333)</f>
        <v>0.08333333333</v>
      </c>
      <c r="D13850" s="8">
        <f>IFERROR(__xludf.DUMMYFUNCTION("""COMPUTED_VALUE"""),0.062)</f>
        <v>0.062</v>
      </c>
      <c r="E13850" s="8" t="str">
        <f>IFERROR(__xludf.DUMMYFUNCTION("""COMPUTED_VALUE"""),"Real")</f>
        <v>Real</v>
      </c>
      <c r="G13850" s="8">
        <f t="shared" si="1"/>
        <v>5</v>
      </c>
      <c r="H13850" s="14">
        <f t="shared" si="2"/>
        <v>31</v>
      </c>
      <c r="I13850" s="15">
        <f t="shared" si="3"/>
        <v>2</v>
      </c>
    </row>
    <row r="13851">
      <c r="A13851" s="8" t="str">
        <f>IFERROR(__xludf.DUMMYFUNCTION("IF('(INGESTA)Datos_consumo_datadis'!A13851&lt;&gt;"""",SPLIT('(INGESTA)Datos_consumo_datadis'!A:A,"",""),"""")"),"ES0031408323131005HX0F")</f>
        <v>ES0031408323131005HX0F</v>
      </c>
      <c r="B13851" s="12">
        <f>IFERROR(__xludf.DUMMYFUNCTION("""COMPUTED_VALUE"""),45443.0)</f>
        <v>45443</v>
      </c>
      <c r="C13851" s="13">
        <f>IFERROR(__xludf.DUMMYFUNCTION("""COMPUTED_VALUE"""),0.125)</f>
        <v>0.125</v>
      </c>
      <c r="D13851" s="8">
        <f>IFERROR(__xludf.DUMMYFUNCTION("""COMPUTED_VALUE"""),0.1)</f>
        <v>0.1</v>
      </c>
      <c r="E13851" s="8" t="str">
        <f>IFERROR(__xludf.DUMMYFUNCTION("""COMPUTED_VALUE"""),"Real")</f>
        <v>Real</v>
      </c>
      <c r="G13851" s="8">
        <f t="shared" si="1"/>
        <v>5</v>
      </c>
      <c r="H13851" s="14">
        <f t="shared" si="2"/>
        <v>31</v>
      </c>
      <c r="I13851" s="15">
        <f t="shared" si="3"/>
        <v>3</v>
      </c>
    </row>
    <row r="13852">
      <c r="A13852" s="8" t="str">
        <f>IFERROR(__xludf.DUMMYFUNCTION("IF('(INGESTA)Datos_consumo_datadis'!A13852&lt;&gt;"""",SPLIT('(INGESTA)Datos_consumo_datadis'!A:A,"",""),"""")"),"ES0031408323131005HX0F")</f>
        <v>ES0031408323131005HX0F</v>
      </c>
      <c r="B13852" s="12">
        <f>IFERROR(__xludf.DUMMYFUNCTION("""COMPUTED_VALUE"""),45443.0)</f>
        <v>45443</v>
      </c>
      <c r="C13852" s="13">
        <f>IFERROR(__xludf.DUMMYFUNCTION("""COMPUTED_VALUE"""),0.16666666666666666)</f>
        <v>0.1666666667</v>
      </c>
      <c r="D13852" s="8">
        <f>IFERROR(__xludf.DUMMYFUNCTION("""COMPUTED_VALUE"""),0.045)</f>
        <v>0.045</v>
      </c>
      <c r="E13852" s="8" t="str">
        <f>IFERROR(__xludf.DUMMYFUNCTION("""COMPUTED_VALUE"""),"Real")</f>
        <v>Real</v>
      </c>
      <c r="G13852" s="8">
        <f t="shared" si="1"/>
        <v>5</v>
      </c>
      <c r="H13852" s="14">
        <f t="shared" si="2"/>
        <v>31</v>
      </c>
      <c r="I13852" s="15">
        <f t="shared" si="3"/>
        <v>4</v>
      </c>
    </row>
    <row r="13853">
      <c r="A13853" s="8" t="str">
        <f>IFERROR(__xludf.DUMMYFUNCTION("IF('(INGESTA)Datos_consumo_datadis'!A13853&lt;&gt;"""",SPLIT('(INGESTA)Datos_consumo_datadis'!A:A,"",""),"""")"),"ES0031408323131005HX0F")</f>
        <v>ES0031408323131005HX0F</v>
      </c>
      <c r="B13853" s="12">
        <f>IFERROR(__xludf.DUMMYFUNCTION("""COMPUTED_VALUE"""),45443.0)</f>
        <v>45443</v>
      </c>
      <c r="C13853" s="13">
        <f>IFERROR(__xludf.DUMMYFUNCTION("""COMPUTED_VALUE"""),0.20833333333333334)</f>
        <v>0.2083333333</v>
      </c>
      <c r="D13853" s="8">
        <f>IFERROR(__xludf.DUMMYFUNCTION("""COMPUTED_VALUE"""),0.094)</f>
        <v>0.094</v>
      </c>
      <c r="E13853" s="8" t="str">
        <f>IFERROR(__xludf.DUMMYFUNCTION("""COMPUTED_VALUE"""),"Real")</f>
        <v>Real</v>
      </c>
      <c r="G13853" s="8">
        <f t="shared" si="1"/>
        <v>5</v>
      </c>
      <c r="H13853" s="14">
        <f t="shared" si="2"/>
        <v>31</v>
      </c>
      <c r="I13853" s="15">
        <f t="shared" si="3"/>
        <v>5</v>
      </c>
    </row>
    <row r="13854">
      <c r="A13854" s="8" t="str">
        <f>IFERROR(__xludf.DUMMYFUNCTION("IF('(INGESTA)Datos_consumo_datadis'!A13854&lt;&gt;"""",SPLIT('(INGESTA)Datos_consumo_datadis'!A:A,"",""),"""")"),"ES0031408323131005HX0F")</f>
        <v>ES0031408323131005HX0F</v>
      </c>
      <c r="B13854" s="12">
        <f>IFERROR(__xludf.DUMMYFUNCTION("""COMPUTED_VALUE"""),45443.0)</f>
        <v>45443</v>
      </c>
      <c r="C13854" s="13">
        <f>IFERROR(__xludf.DUMMYFUNCTION("""COMPUTED_VALUE"""),0.25)</f>
        <v>0.25</v>
      </c>
      <c r="D13854" s="8">
        <f>IFERROR(__xludf.DUMMYFUNCTION("""COMPUTED_VALUE"""),0.28)</f>
        <v>0.28</v>
      </c>
      <c r="E13854" s="8" t="str">
        <f>IFERROR(__xludf.DUMMYFUNCTION("""COMPUTED_VALUE"""),"Real")</f>
        <v>Real</v>
      </c>
      <c r="G13854" s="8">
        <f t="shared" si="1"/>
        <v>5</v>
      </c>
      <c r="H13854" s="14">
        <f t="shared" si="2"/>
        <v>31</v>
      </c>
      <c r="I13854" s="15">
        <f t="shared" si="3"/>
        <v>6</v>
      </c>
    </row>
    <row r="13855">
      <c r="A13855" s="8" t="str">
        <f>IFERROR(__xludf.DUMMYFUNCTION("IF('(INGESTA)Datos_consumo_datadis'!A13855&lt;&gt;"""",SPLIT('(INGESTA)Datos_consumo_datadis'!A:A,"",""),"""")"),"ES0031408323131005HX0F")</f>
        <v>ES0031408323131005HX0F</v>
      </c>
      <c r="B13855" s="12">
        <f>IFERROR(__xludf.DUMMYFUNCTION("""COMPUTED_VALUE"""),45443.0)</f>
        <v>45443</v>
      </c>
      <c r="C13855" s="13">
        <f>IFERROR(__xludf.DUMMYFUNCTION("""COMPUTED_VALUE"""),0.2916666666666667)</f>
        <v>0.2916666667</v>
      </c>
      <c r="D13855" s="8">
        <f>IFERROR(__xludf.DUMMYFUNCTION("""COMPUTED_VALUE"""),0.128)</f>
        <v>0.128</v>
      </c>
      <c r="E13855" s="8" t="str">
        <f>IFERROR(__xludf.DUMMYFUNCTION("""COMPUTED_VALUE"""),"Real")</f>
        <v>Real</v>
      </c>
      <c r="G13855" s="8">
        <f t="shared" si="1"/>
        <v>5</v>
      </c>
      <c r="H13855" s="14">
        <f t="shared" si="2"/>
        <v>31</v>
      </c>
      <c r="I13855" s="15">
        <f t="shared" si="3"/>
        <v>7</v>
      </c>
    </row>
    <row r="13856">
      <c r="A13856" s="8" t="str">
        <f>IFERROR(__xludf.DUMMYFUNCTION("IF('(INGESTA)Datos_consumo_datadis'!A13856&lt;&gt;"""",SPLIT('(INGESTA)Datos_consumo_datadis'!A:A,"",""),"""")"),"ES0031408323131005HX0F")</f>
        <v>ES0031408323131005HX0F</v>
      </c>
      <c r="B13856" s="12">
        <f>IFERROR(__xludf.DUMMYFUNCTION("""COMPUTED_VALUE"""),45443.0)</f>
        <v>45443</v>
      </c>
      <c r="C13856" s="13">
        <f>IFERROR(__xludf.DUMMYFUNCTION("""COMPUTED_VALUE"""),0.3333333333333333)</f>
        <v>0.3333333333</v>
      </c>
      <c r="D13856" s="8">
        <f>IFERROR(__xludf.DUMMYFUNCTION("""COMPUTED_VALUE"""),0.055)</f>
        <v>0.055</v>
      </c>
      <c r="E13856" s="8" t="str">
        <f>IFERROR(__xludf.DUMMYFUNCTION("""COMPUTED_VALUE"""),"Real")</f>
        <v>Real</v>
      </c>
      <c r="G13856" s="8">
        <f t="shared" si="1"/>
        <v>5</v>
      </c>
      <c r="H13856" s="14">
        <f t="shared" si="2"/>
        <v>31</v>
      </c>
      <c r="I13856" s="15">
        <f t="shared" si="3"/>
        <v>8</v>
      </c>
    </row>
    <row r="13857">
      <c r="A13857" s="8" t="str">
        <f>IFERROR(__xludf.DUMMYFUNCTION("IF('(INGESTA)Datos_consumo_datadis'!A13857&lt;&gt;"""",SPLIT('(INGESTA)Datos_consumo_datadis'!A:A,"",""),"""")"),"ES0031408323131005HX0F")</f>
        <v>ES0031408323131005HX0F</v>
      </c>
      <c r="B13857" s="12">
        <f>IFERROR(__xludf.DUMMYFUNCTION("""COMPUTED_VALUE"""),45443.0)</f>
        <v>45443</v>
      </c>
      <c r="C13857" s="13">
        <f>IFERROR(__xludf.DUMMYFUNCTION("""COMPUTED_VALUE"""),0.375)</f>
        <v>0.375</v>
      </c>
      <c r="D13857" s="8">
        <f>IFERROR(__xludf.DUMMYFUNCTION("""COMPUTED_VALUE"""),0.069)</f>
        <v>0.069</v>
      </c>
      <c r="E13857" s="8" t="str">
        <f>IFERROR(__xludf.DUMMYFUNCTION("""COMPUTED_VALUE"""),"Real")</f>
        <v>Real</v>
      </c>
      <c r="G13857" s="8">
        <f t="shared" si="1"/>
        <v>5</v>
      </c>
      <c r="H13857" s="14">
        <f t="shared" si="2"/>
        <v>31</v>
      </c>
      <c r="I13857" s="15">
        <f t="shared" si="3"/>
        <v>9</v>
      </c>
    </row>
    <row r="13858">
      <c r="A13858" s="8" t="str">
        <f>IFERROR(__xludf.DUMMYFUNCTION("IF('(INGESTA)Datos_consumo_datadis'!A13858&lt;&gt;"""",SPLIT('(INGESTA)Datos_consumo_datadis'!A:A,"",""),"""")"),"ES0031408323131005HX0F")</f>
        <v>ES0031408323131005HX0F</v>
      </c>
      <c r="B13858" s="12">
        <f>IFERROR(__xludf.DUMMYFUNCTION("""COMPUTED_VALUE"""),45443.0)</f>
        <v>45443</v>
      </c>
      <c r="C13858" s="13">
        <f>IFERROR(__xludf.DUMMYFUNCTION("""COMPUTED_VALUE"""),0.4166666666666667)</f>
        <v>0.4166666667</v>
      </c>
      <c r="D13858" s="8">
        <f>IFERROR(__xludf.DUMMYFUNCTION("""COMPUTED_VALUE"""),0.181)</f>
        <v>0.181</v>
      </c>
      <c r="E13858" s="8" t="str">
        <f>IFERROR(__xludf.DUMMYFUNCTION("""COMPUTED_VALUE"""),"Real")</f>
        <v>Real</v>
      </c>
      <c r="G13858" s="8">
        <f t="shared" si="1"/>
        <v>5</v>
      </c>
      <c r="H13858" s="14">
        <f t="shared" si="2"/>
        <v>31</v>
      </c>
      <c r="I13858" s="15">
        <f t="shared" si="3"/>
        <v>10</v>
      </c>
    </row>
    <row r="13859">
      <c r="A13859" s="8" t="str">
        <f>IFERROR(__xludf.DUMMYFUNCTION("IF('(INGESTA)Datos_consumo_datadis'!A13859&lt;&gt;"""",SPLIT('(INGESTA)Datos_consumo_datadis'!A:A,"",""),"""")"),"ES0031408323131005HX0F")</f>
        <v>ES0031408323131005HX0F</v>
      </c>
      <c r="B13859" s="12">
        <f>IFERROR(__xludf.DUMMYFUNCTION("""COMPUTED_VALUE"""),45443.0)</f>
        <v>45443</v>
      </c>
      <c r="C13859" s="13">
        <f>IFERROR(__xludf.DUMMYFUNCTION("""COMPUTED_VALUE"""),0.4583333333333333)</f>
        <v>0.4583333333</v>
      </c>
      <c r="D13859" s="8">
        <f>IFERROR(__xludf.DUMMYFUNCTION("""COMPUTED_VALUE"""),0.409)</f>
        <v>0.409</v>
      </c>
      <c r="E13859" s="8" t="str">
        <f>IFERROR(__xludf.DUMMYFUNCTION("""COMPUTED_VALUE"""),"Real")</f>
        <v>Real</v>
      </c>
      <c r="G13859" s="8">
        <f t="shared" si="1"/>
        <v>5</v>
      </c>
      <c r="H13859" s="14">
        <f t="shared" si="2"/>
        <v>31</v>
      </c>
      <c r="I13859" s="15">
        <f t="shared" si="3"/>
        <v>11</v>
      </c>
    </row>
    <row r="13860">
      <c r="A13860" s="8" t="str">
        <f>IFERROR(__xludf.DUMMYFUNCTION("IF('(INGESTA)Datos_consumo_datadis'!A13860&lt;&gt;"""",SPLIT('(INGESTA)Datos_consumo_datadis'!A:A,"",""),"""")"),"ES0031408323131005HX0F")</f>
        <v>ES0031408323131005HX0F</v>
      </c>
      <c r="B13860" s="12">
        <f>IFERROR(__xludf.DUMMYFUNCTION("""COMPUTED_VALUE"""),45443.0)</f>
        <v>45443</v>
      </c>
      <c r="C13860" s="13">
        <f>IFERROR(__xludf.DUMMYFUNCTION("""COMPUTED_VALUE"""),0.5)</f>
        <v>0.5</v>
      </c>
      <c r="D13860" s="8">
        <f>IFERROR(__xludf.DUMMYFUNCTION("""COMPUTED_VALUE"""),0.168)</f>
        <v>0.168</v>
      </c>
      <c r="E13860" s="8" t="str">
        <f>IFERROR(__xludf.DUMMYFUNCTION("""COMPUTED_VALUE"""),"Real")</f>
        <v>Real</v>
      </c>
      <c r="G13860" s="8">
        <f t="shared" si="1"/>
        <v>5</v>
      </c>
      <c r="H13860" s="14">
        <f t="shared" si="2"/>
        <v>31</v>
      </c>
      <c r="I13860" s="15">
        <f t="shared" si="3"/>
        <v>12</v>
      </c>
    </row>
    <row r="13861">
      <c r="A13861" s="8" t="str">
        <f>IFERROR(__xludf.DUMMYFUNCTION("IF('(INGESTA)Datos_consumo_datadis'!A13861&lt;&gt;"""",SPLIT('(INGESTA)Datos_consumo_datadis'!A:A,"",""),"""")"),"ES0031408323131005HX0F")</f>
        <v>ES0031408323131005HX0F</v>
      </c>
      <c r="B13861" s="12">
        <f>IFERROR(__xludf.DUMMYFUNCTION("""COMPUTED_VALUE"""),45443.0)</f>
        <v>45443</v>
      </c>
      <c r="C13861" s="13">
        <f>IFERROR(__xludf.DUMMYFUNCTION("""COMPUTED_VALUE"""),0.5416666666666666)</f>
        <v>0.5416666667</v>
      </c>
      <c r="D13861" s="8">
        <f>IFERROR(__xludf.DUMMYFUNCTION("""COMPUTED_VALUE"""),0.312)</f>
        <v>0.312</v>
      </c>
      <c r="E13861" s="8" t="str">
        <f>IFERROR(__xludf.DUMMYFUNCTION("""COMPUTED_VALUE"""),"Real")</f>
        <v>Real</v>
      </c>
      <c r="G13861" s="8">
        <f t="shared" si="1"/>
        <v>5</v>
      </c>
      <c r="H13861" s="14">
        <f t="shared" si="2"/>
        <v>31</v>
      </c>
      <c r="I13861" s="15">
        <f t="shared" si="3"/>
        <v>13</v>
      </c>
    </row>
    <row r="13862">
      <c r="A13862" s="8" t="str">
        <f>IFERROR(__xludf.DUMMYFUNCTION("IF('(INGESTA)Datos_consumo_datadis'!A13862&lt;&gt;"""",SPLIT('(INGESTA)Datos_consumo_datadis'!A:A,"",""),"""")"),"ES0031408323131005HX0F")</f>
        <v>ES0031408323131005HX0F</v>
      </c>
      <c r="B13862" s="12">
        <f>IFERROR(__xludf.DUMMYFUNCTION("""COMPUTED_VALUE"""),45443.0)</f>
        <v>45443</v>
      </c>
      <c r="C13862" s="13">
        <f>IFERROR(__xludf.DUMMYFUNCTION("""COMPUTED_VALUE"""),0.5833333333333334)</f>
        <v>0.5833333333</v>
      </c>
      <c r="D13862" s="8">
        <f>IFERROR(__xludf.DUMMYFUNCTION("""COMPUTED_VALUE"""),0.085)</f>
        <v>0.085</v>
      </c>
      <c r="E13862" s="8" t="str">
        <f>IFERROR(__xludf.DUMMYFUNCTION("""COMPUTED_VALUE"""),"Real")</f>
        <v>Real</v>
      </c>
      <c r="G13862" s="8">
        <f t="shared" si="1"/>
        <v>5</v>
      </c>
      <c r="H13862" s="14">
        <f t="shared" si="2"/>
        <v>31</v>
      </c>
      <c r="I13862" s="15">
        <f t="shared" si="3"/>
        <v>14</v>
      </c>
    </row>
    <row r="13863">
      <c r="A13863" s="8" t="str">
        <f>IFERROR(__xludf.DUMMYFUNCTION("IF('(INGESTA)Datos_consumo_datadis'!A13863&lt;&gt;"""",SPLIT('(INGESTA)Datos_consumo_datadis'!A:A,"",""),"""")"),"ES0031408323131005HX0F")</f>
        <v>ES0031408323131005HX0F</v>
      </c>
      <c r="B13863" s="12">
        <f>IFERROR(__xludf.DUMMYFUNCTION("""COMPUTED_VALUE"""),45443.0)</f>
        <v>45443</v>
      </c>
      <c r="C13863" s="13">
        <f>IFERROR(__xludf.DUMMYFUNCTION("""COMPUTED_VALUE"""),0.625)</f>
        <v>0.625</v>
      </c>
      <c r="D13863" s="8">
        <f>IFERROR(__xludf.DUMMYFUNCTION("""COMPUTED_VALUE"""),0.038)</f>
        <v>0.038</v>
      </c>
      <c r="E13863" s="8" t="str">
        <f>IFERROR(__xludf.DUMMYFUNCTION("""COMPUTED_VALUE"""),"Real")</f>
        <v>Real</v>
      </c>
      <c r="G13863" s="8">
        <f t="shared" si="1"/>
        <v>5</v>
      </c>
      <c r="H13863" s="14">
        <f t="shared" si="2"/>
        <v>31</v>
      </c>
      <c r="I13863" s="15">
        <f t="shared" si="3"/>
        <v>15</v>
      </c>
    </row>
    <row r="13864">
      <c r="A13864" s="8" t="str">
        <f>IFERROR(__xludf.DUMMYFUNCTION("IF('(INGESTA)Datos_consumo_datadis'!A13864&lt;&gt;"""",SPLIT('(INGESTA)Datos_consumo_datadis'!A:A,"",""),"""")"),"ES0031408323131005HX0F")</f>
        <v>ES0031408323131005HX0F</v>
      </c>
      <c r="B13864" s="12">
        <f>IFERROR(__xludf.DUMMYFUNCTION("""COMPUTED_VALUE"""),45443.0)</f>
        <v>45443</v>
      </c>
      <c r="C13864" s="13">
        <f>IFERROR(__xludf.DUMMYFUNCTION("""COMPUTED_VALUE"""),0.6666666666666666)</f>
        <v>0.6666666667</v>
      </c>
      <c r="D13864" s="8">
        <f>IFERROR(__xludf.DUMMYFUNCTION("""COMPUTED_VALUE"""),0.09)</f>
        <v>0.09</v>
      </c>
      <c r="E13864" s="8" t="str">
        <f>IFERROR(__xludf.DUMMYFUNCTION("""COMPUTED_VALUE"""),"Real")</f>
        <v>Real</v>
      </c>
      <c r="G13864" s="8">
        <f t="shared" si="1"/>
        <v>5</v>
      </c>
      <c r="H13864" s="14">
        <f t="shared" si="2"/>
        <v>31</v>
      </c>
      <c r="I13864" s="15">
        <f t="shared" si="3"/>
        <v>16</v>
      </c>
    </row>
    <row r="13865">
      <c r="A13865" s="8" t="str">
        <f>IFERROR(__xludf.DUMMYFUNCTION("IF('(INGESTA)Datos_consumo_datadis'!A13865&lt;&gt;"""",SPLIT('(INGESTA)Datos_consumo_datadis'!A:A,"",""),"""")"),"ES0031408323131005HX0F")</f>
        <v>ES0031408323131005HX0F</v>
      </c>
      <c r="B13865" s="12">
        <f>IFERROR(__xludf.DUMMYFUNCTION("""COMPUTED_VALUE"""),45443.0)</f>
        <v>45443</v>
      </c>
      <c r="C13865" s="13">
        <f>IFERROR(__xludf.DUMMYFUNCTION("""COMPUTED_VALUE"""),0.7083333333333334)</f>
        <v>0.7083333333</v>
      </c>
      <c r="D13865" s="8">
        <f>IFERROR(__xludf.DUMMYFUNCTION("""COMPUTED_VALUE"""),0.051)</f>
        <v>0.051</v>
      </c>
      <c r="E13865" s="8" t="str">
        <f>IFERROR(__xludf.DUMMYFUNCTION("""COMPUTED_VALUE"""),"Real")</f>
        <v>Real</v>
      </c>
      <c r="G13865" s="8">
        <f t="shared" si="1"/>
        <v>5</v>
      </c>
      <c r="H13865" s="14">
        <f t="shared" si="2"/>
        <v>31</v>
      </c>
      <c r="I13865" s="15">
        <f t="shared" si="3"/>
        <v>17</v>
      </c>
    </row>
    <row r="13866">
      <c r="A13866" s="8" t="str">
        <f>IFERROR(__xludf.DUMMYFUNCTION("IF('(INGESTA)Datos_consumo_datadis'!A13866&lt;&gt;"""",SPLIT('(INGESTA)Datos_consumo_datadis'!A:A,"",""),"""")"),"ES0031408323131005HX0F")</f>
        <v>ES0031408323131005HX0F</v>
      </c>
      <c r="B13866" s="12">
        <f>IFERROR(__xludf.DUMMYFUNCTION("""COMPUTED_VALUE"""),45443.0)</f>
        <v>45443</v>
      </c>
      <c r="C13866" s="13">
        <f>IFERROR(__xludf.DUMMYFUNCTION("""COMPUTED_VALUE"""),0.75)</f>
        <v>0.75</v>
      </c>
      <c r="D13866" s="8">
        <f>IFERROR(__xludf.DUMMYFUNCTION("""COMPUTED_VALUE"""),0.144)</f>
        <v>0.144</v>
      </c>
      <c r="E13866" s="8" t="str">
        <f>IFERROR(__xludf.DUMMYFUNCTION("""COMPUTED_VALUE"""),"Real")</f>
        <v>Real</v>
      </c>
      <c r="G13866" s="8">
        <f t="shared" si="1"/>
        <v>5</v>
      </c>
      <c r="H13866" s="14">
        <f t="shared" si="2"/>
        <v>31</v>
      </c>
      <c r="I13866" s="15">
        <f t="shared" si="3"/>
        <v>18</v>
      </c>
    </row>
    <row r="13867">
      <c r="A13867" s="8" t="str">
        <f>IFERROR(__xludf.DUMMYFUNCTION("IF('(INGESTA)Datos_consumo_datadis'!A13867&lt;&gt;"""",SPLIT('(INGESTA)Datos_consumo_datadis'!A:A,"",""),"""")"),"ES0031408323131005HX0F")</f>
        <v>ES0031408323131005HX0F</v>
      </c>
      <c r="B13867" s="12">
        <f>IFERROR(__xludf.DUMMYFUNCTION("""COMPUTED_VALUE"""),45443.0)</f>
        <v>45443</v>
      </c>
      <c r="C13867" s="13">
        <f>IFERROR(__xludf.DUMMYFUNCTION("""COMPUTED_VALUE"""),0.7916666666666666)</f>
        <v>0.7916666667</v>
      </c>
      <c r="D13867" s="8">
        <f>IFERROR(__xludf.DUMMYFUNCTION("""COMPUTED_VALUE"""),0.112)</f>
        <v>0.112</v>
      </c>
      <c r="E13867" s="8" t="str">
        <f>IFERROR(__xludf.DUMMYFUNCTION("""COMPUTED_VALUE"""),"Real")</f>
        <v>Real</v>
      </c>
      <c r="G13867" s="8">
        <f t="shared" si="1"/>
        <v>5</v>
      </c>
      <c r="H13867" s="14">
        <f t="shared" si="2"/>
        <v>31</v>
      </c>
      <c r="I13867" s="15">
        <f t="shared" si="3"/>
        <v>19</v>
      </c>
    </row>
    <row r="13868">
      <c r="A13868" s="8" t="str">
        <f>IFERROR(__xludf.DUMMYFUNCTION("IF('(INGESTA)Datos_consumo_datadis'!A13868&lt;&gt;"""",SPLIT('(INGESTA)Datos_consumo_datadis'!A:A,"",""),"""")"),"ES0031408323131005HX0F")</f>
        <v>ES0031408323131005HX0F</v>
      </c>
      <c r="B13868" s="12">
        <f>IFERROR(__xludf.DUMMYFUNCTION("""COMPUTED_VALUE"""),45443.0)</f>
        <v>45443</v>
      </c>
      <c r="C13868" s="13">
        <f>IFERROR(__xludf.DUMMYFUNCTION("""COMPUTED_VALUE"""),0.8333333333333334)</f>
        <v>0.8333333333</v>
      </c>
      <c r="D13868" s="8">
        <f>IFERROR(__xludf.DUMMYFUNCTION("""COMPUTED_VALUE"""),0.253)</f>
        <v>0.253</v>
      </c>
      <c r="E13868" s="8" t="str">
        <f>IFERROR(__xludf.DUMMYFUNCTION("""COMPUTED_VALUE"""),"Real")</f>
        <v>Real</v>
      </c>
      <c r="G13868" s="8">
        <f t="shared" si="1"/>
        <v>5</v>
      </c>
      <c r="H13868" s="14">
        <f t="shared" si="2"/>
        <v>31</v>
      </c>
      <c r="I13868" s="15">
        <f t="shared" si="3"/>
        <v>20</v>
      </c>
    </row>
    <row r="13869">
      <c r="A13869" s="8" t="str">
        <f>IFERROR(__xludf.DUMMYFUNCTION("IF('(INGESTA)Datos_consumo_datadis'!A13869&lt;&gt;"""",SPLIT('(INGESTA)Datos_consumo_datadis'!A:A,"",""),"""")"),"ES0031408323131005HX0F")</f>
        <v>ES0031408323131005HX0F</v>
      </c>
      <c r="B13869" s="12">
        <f>IFERROR(__xludf.DUMMYFUNCTION("""COMPUTED_VALUE"""),45443.0)</f>
        <v>45443</v>
      </c>
      <c r="C13869" s="13">
        <f>IFERROR(__xludf.DUMMYFUNCTION("""COMPUTED_VALUE"""),0.875)</f>
        <v>0.875</v>
      </c>
      <c r="D13869" s="8">
        <f>IFERROR(__xludf.DUMMYFUNCTION("""COMPUTED_VALUE"""),0.133)</f>
        <v>0.133</v>
      </c>
      <c r="E13869" s="8" t="str">
        <f>IFERROR(__xludf.DUMMYFUNCTION("""COMPUTED_VALUE"""),"Real")</f>
        <v>Real</v>
      </c>
      <c r="G13869" s="8">
        <f t="shared" si="1"/>
        <v>5</v>
      </c>
      <c r="H13869" s="14">
        <f t="shared" si="2"/>
        <v>31</v>
      </c>
      <c r="I13869" s="15">
        <f t="shared" si="3"/>
        <v>21</v>
      </c>
    </row>
    <row r="13870">
      <c r="A13870" s="8" t="str">
        <f>IFERROR(__xludf.DUMMYFUNCTION("IF('(INGESTA)Datos_consumo_datadis'!A13870&lt;&gt;"""",SPLIT('(INGESTA)Datos_consumo_datadis'!A:A,"",""),"""")"),"ES0031408323131005HX0F")</f>
        <v>ES0031408323131005HX0F</v>
      </c>
      <c r="B13870" s="12">
        <f>IFERROR(__xludf.DUMMYFUNCTION("""COMPUTED_VALUE"""),45443.0)</f>
        <v>45443</v>
      </c>
      <c r="C13870" s="13">
        <f>IFERROR(__xludf.DUMMYFUNCTION("""COMPUTED_VALUE"""),0.9166666666666666)</f>
        <v>0.9166666667</v>
      </c>
      <c r="D13870" s="8">
        <f>IFERROR(__xludf.DUMMYFUNCTION("""COMPUTED_VALUE"""),1.479)</f>
        <v>1.479</v>
      </c>
      <c r="E13870" s="8" t="str">
        <f>IFERROR(__xludf.DUMMYFUNCTION("""COMPUTED_VALUE"""),"Real")</f>
        <v>Real</v>
      </c>
      <c r="G13870" s="8">
        <f t="shared" si="1"/>
        <v>5</v>
      </c>
      <c r="H13870" s="14">
        <f t="shared" si="2"/>
        <v>31</v>
      </c>
      <c r="I13870" s="15">
        <f t="shared" si="3"/>
        <v>22</v>
      </c>
    </row>
    <row r="13871">
      <c r="A13871" s="8" t="str">
        <f>IFERROR(__xludf.DUMMYFUNCTION("IF('(INGESTA)Datos_consumo_datadis'!A13871&lt;&gt;"""",SPLIT('(INGESTA)Datos_consumo_datadis'!A:A,"",""),"""")"),"ES0031408323131005HX0F")</f>
        <v>ES0031408323131005HX0F</v>
      </c>
      <c r="B13871" s="12">
        <f>IFERROR(__xludf.DUMMYFUNCTION("""COMPUTED_VALUE"""),45443.0)</f>
        <v>45443</v>
      </c>
      <c r="C13871" s="13">
        <f>IFERROR(__xludf.DUMMYFUNCTION("""COMPUTED_VALUE"""),0.9583333333333334)</f>
        <v>0.9583333333</v>
      </c>
      <c r="D13871" s="8">
        <f>IFERROR(__xludf.DUMMYFUNCTION("""COMPUTED_VALUE"""),0.954)</f>
        <v>0.954</v>
      </c>
      <c r="E13871" s="8" t="str">
        <f>IFERROR(__xludf.DUMMYFUNCTION("""COMPUTED_VALUE"""),"Real")</f>
        <v>Real</v>
      </c>
      <c r="G13871" s="8">
        <f t="shared" si="1"/>
        <v>5</v>
      </c>
      <c r="H13871" s="14">
        <f t="shared" si="2"/>
        <v>31</v>
      </c>
      <c r="I13871" s="15">
        <f t="shared" si="3"/>
        <v>23</v>
      </c>
    </row>
    <row r="13872">
      <c r="A13872" s="8" t="str">
        <f>IFERROR(__xludf.DUMMYFUNCTION("IF('(INGESTA)Datos_consumo_datadis'!A13872&lt;&gt;"""",SPLIT('(INGESTA)Datos_consumo_datadis'!A:A,"",""),"""")"),"ES0031408323131005HX0F")</f>
        <v>ES0031408323131005HX0F</v>
      </c>
      <c r="B13872" s="12">
        <f>IFERROR(__xludf.DUMMYFUNCTION("""COMPUTED_VALUE"""),45443.0)</f>
        <v>45443</v>
      </c>
      <c r="C13872" s="16">
        <f>IFERROR(__xludf.DUMMYFUNCTION("""COMPUTED_VALUE"""),1.0)</f>
        <v>1</v>
      </c>
      <c r="D13872" s="8">
        <f>IFERROR(__xludf.DUMMYFUNCTION("""COMPUTED_VALUE"""),0.083)</f>
        <v>0.083</v>
      </c>
      <c r="E13872" s="8" t="str">
        <f>IFERROR(__xludf.DUMMYFUNCTION("""COMPUTED_VALUE"""),"Real")</f>
        <v>Real</v>
      </c>
      <c r="G13872" s="8">
        <f t="shared" si="1"/>
        <v>5</v>
      </c>
      <c r="H13872" s="14">
        <f t="shared" si="2"/>
        <v>31</v>
      </c>
      <c r="I13872" s="15">
        <f t="shared" si="3"/>
        <v>0</v>
      </c>
    </row>
    <row r="13873">
      <c r="A13873" s="8" t="str">
        <f>IFERROR(__xludf.DUMMYFUNCTION("IF('(INGESTA)Datos_consumo_datadis'!A13873&lt;&gt;"""",SPLIT('(INGESTA)Datos_consumo_datadis'!A:A,"",""),"""")"),"ES0031408323131005HX0F")</f>
        <v>ES0031408323131005HX0F</v>
      </c>
      <c r="B13873" s="12">
        <f>IFERROR(__xludf.DUMMYFUNCTION("""COMPUTED_VALUE"""),45444.0)</f>
        <v>45444</v>
      </c>
      <c r="C13873" s="13">
        <f>IFERROR(__xludf.DUMMYFUNCTION("""COMPUTED_VALUE"""),0.041666666666666664)</f>
        <v>0.04166666667</v>
      </c>
      <c r="D13873" s="8">
        <f>IFERROR(__xludf.DUMMYFUNCTION("""COMPUTED_VALUE"""),0.078)</f>
        <v>0.078</v>
      </c>
      <c r="E13873" s="8" t="str">
        <f>IFERROR(__xludf.DUMMYFUNCTION("""COMPUTED_VALUE"""),"Real")</f>
        <v>Real</v>
      </c>
      <c r="G13873" s="8">
        <f t="shared" si="1"/>
        <v>6</v>
      </c>
      <c r="H13873" s="14">
        <f t="shared" si="2"/>
        <v>1</v>
      </c>
      <c r="I13873" s="15">
        <f t="shared" si="3"/>
        <v>1</v>
      </c>
    </row>
    <row r="13874">
      <c r="A13874" s="8" t="str">
        <f>IFERROR(__xludf.DUMMYFUNCTION("IF('(INGESTA)Datos_consumo_datadis'!A13874&lt;&gt;"""",SPLIT('(INGESTA)Datos_consumo_datadis'!A:A,"",""),"""")"),"ES0031408323131005HX0F")</f>
        <v>ES0031408323131005HX0F</v>
      </c>
      <c r="B13874" s="12">
        <f>IFERROR(__xludf.DUMMYFUNCTION("""COMPUTED_VALUE"""),45444.0)</f>
        <v>45444</v>
      </c>
      <c r="C13874" s="13">
        <f>IFERROR(__xludf.DUMMYFUNCTION("""COMPUTED_VALUE"""),0.08333333333333333)</f>
        <v>0.08333333333</v>
      </c>
      <c r="D13874" s="8">
        <f>IFERROR(__xludf.DUMMYFUNCTION("""COMPUTED_VALUE"""),0.059)</f>
        <v>0.059</v>
      </c>
      <c r="E13874" s="8" t="str">
        <f>IFERROR(__xludf.DUMMYFUNCTION("""COMPUTED_VALUE"""),"Real")</f>
        <v>Real</v>
      </c>
      <c r="G13874" s="8">
        <f t="shared" si="1"/>
        <v>6</v>
      </c>
      <c r="H13874" s="14">
        <f t="shared" si="2"/>
        <v>1</v>
      </c>
      <c r="I13874" s="15">
        <f t="shared" si="3"/>
        <v>2</v>
      </c>
    </row>
    <row r="13875">
      <c r="A13875" s="8" t="str">
        <f>IFERROR(__xludf.DUMMYFUNCTION("IF('(INGESTA)Datos_consumo_datadis'!A13875&lt;&gt;"""",SPLIT('(INGESTA)Datos_consumo_datadis'!A:A,"",""),"""")"),"ES0031408323131005HX0F")</f>
        <v>ES0031408323131005HX0F</v>
      </c>
      <c r="B13875" s="12">
        <f>IFERROR(__xludf.DUMMYFUNCTION("""COMPUTED_VALUE"""),45444.0)</f>
        <v>45444</v>
      </c>
      <c r="C13875" s="13">
        <f>IFERROR(__xludf.DUMMYFUNCTION("""COMPUTED_VALUE"""),0.125)</f>
        <v>0.125</v>
      </c>
      <c r="D13875" s="8">
        <f>IFERROR(__xludf.DUMMYFUNCTION("""COMPUTED_VALUE"""),0.079)</f>
        <v>0.079</v>
      </c>
      <c r="E13875" s="8" t="str">
        <f>IFERROR(__xludf.DUMMYFUNCTION("""COMPUTED_VALUE"""),"Real")</f>
        <v>Real</v>
      </c>
      <c r="G13875" s="8">
        <f t="shared" si="1"/>
        <v>6</v>
      </c>
      <c r="H13875" s="14">
        <f t="shared" si="2"/>
        <v>1</v>
      </c>
      <c r="I13875" s="15">
        <f t="shared" si="3"/>
        <v>3</v>
      </c>
    </row>
    <row r="13876">
      <c r="A13876" s="8" t="str">
        <f>IFERROR(__xludf.DUMMYFUNCTION("IF('(INGESTA)Datos_consumo_datadis'!A13876&lt;&gt;"""",SPLIT('(INGESTA)Datos_consumo_datadis'!A:A,"",""),"""")"),"ES0031408323131005HX0F")</f>
        <v>ES0031408323131005HX0F</v>
      </c>
      <c r="B13876" s="12">
        <f>IFERROR(__xludf.DUMMYFUNCTION("""COMPUTED_VALUE"""),45444.0)</f>
        <v>45444</v>
      </c>
      <c r="C13876" s="13">
        <f>IFERROR(__xludf.DUMMYFUNCTION("""COMPUTED_VALUE"""),0.16666666666666666)</f>
        <v>0.1666666667</v>
      </c>
      <c r="D13876" s="8">
        <f>IFERROR(__xludf.DUMMYFUNCTION("""COMPUTED_VALUE"""),0.065)</f>
        <v>0.065</v>
      </c>
      <c r="E13876" s="8" t="str">
        <f>IFERROR(__xludf.DUMMYFUNCTION("""COMPUTED_VALUE"""),"Real")</f>
        <v>Real</v>
      </c>
      <c r="G13876" s="8">
        <f t="shared" si="1"/>
        <v>6</v>
      </c>
      <c r="H13876" s="14">
        <f t="shared" si="2"/>
        <v>1</v>
      </c>
      <c r="I13876" s="15">
        <f t="shared" si="3"/>
        <v>4</v>
      </c>
    </row>
    <row r="13877">
      <c r="A13877" s="8" t="str">
        <f>IFERROR(__xludf.DUMMYFUNCTION("IF('(INGESTA)Datos_consumo_datadis'!A13877&lt;&gt;"""",SPLIT('(INGESTA)Datos_consumo_datadis'!A:A,"",""),"""")"),"ES0031408323131005HX0F")</f>
        <v>ES0031408323131005HX0F</v>
      </c>
      <c r="B13877" s="12">
        <f>IFERROR(__xludf.DUMMYFUNCTION("""COMPUTED_VALUE"""),45444.0)</f>
        <v>45444</v>
      </c>
      <c r="C13877" s="13">
        <f>IFERROR(__xludf.DUMMYFUNCTION("""COMPUTED_VALUE"""),0.20833333333333334)</f>
        <v>0.2083333333</v>
      </c>
      <c r="D13877" s="8">
        <f>IFERROR(__xludf.DUMMYFUNCTION("""COMPUTED_VALUE"""),0.353)</f>
        <v>0.353</v>
      </c>
      <c r="E13877" s="8" t="str">
        <f>IFERROR(__xludf.DUMMYFUNCTION("""COMPUTED_VALUE"""),"Real")</f>
        <v>Real</v>
      </c>
      <c r="G13877" s="8">
        <f t="shared" si="1"/>
        <v>6</v>
      </c>
      <c r="H13877" s="14">
        <f t="shared" si="2"/>
        <v>1</v>
      </c>
      <c r="I13877" s="15">
        <f t="shared" si="3"/>
        <v>5</v>
      </c>
    </row>
    <row r="13878">
      <c r="A13878" s="8" t="str">
        <f>IFERROR(__xludf.DUMMYFUNCTION("IF('(INGESTA)Datos_consumo_datadis'!A13878&lt;&gt;"""",SPLIT('(INGESTA)Datos_consumo_datadis'!A:A,"",""),"""")"),"ES0031408323131005HX0F")</f>
        <v>ES0031408323131005HX0F</v>
      </c>
      <c r="B13878" s="12">
        <f>IFERROR(__xludf.DUMMYFUNCTION("""COMPUTED_VALUE"""),45444.0)</f>
        <v>45444</v>
      </c>
      <c r="C13878" s="13">
        <f>IFERROR(__xludf.DUMMYFUNCTION("""COMPUTED_VALUE"""),0.25)</f>
        <v>0.25</v>
      </c>
      <c r="D13878" s="8">
        <f>IFERROR(__xludf.DUMMYFUNCTION("""COMPUTED_VALUE"""),0.064)</f>
        <v>0.064</v>
      </c>
      <c r="E13878" s="8" t="str">
        <f>IFERROR(__xludf.DUMMYFUNCTION("""COMPUTED_VALUE"""),"Real")</f>
        <v>Real</v>
      </c>
      <c r="G13878" s="8">
        <f t="shared" si="1"/>
        <v>6</v>
      </c>
      <c r="H13878" s="14">
        <f t="shared" si="2"/>
        <v>1</v>
      </c>
      <c r="I13878" s="15">
        <f t="shared" si="3"/>
        <v>6</v>
      </c>
    </row>
    <row r="13879">
      <c r="A13879" s="8" t="str">
        <f>IFERROR(__xludf.DUMMYFUNCTION("IF('(INGESTA)Datos_consumo_datadis'!A13879&lt;&gt;"""",SPLIT('(INGESTA)Datos_consumo_datadis'!A:A,"",""),"""")"),"ES0031408323131005HX0F")</f>
        <v>ES0031408323131005HX0F</v>
      </c>
      <c r="B13879" s="12">
        <f>IFERROR(__xludf.DUMMYFUNCTION("""COMPUTED_VALUE"""),45444.0)</f>
        <v>45444</v>
      </c>
      <c r="C13879" s="13">
        <f>IFERROR(__xludf.DUMMYFUNCTION("""COMPUTED_VALUE"""),0.2916666666666667)</f>
        <v>0.2916666667</v>
      </c>
      <c r="D13879" s="8">
        <f>IFERROR(__xludf.DUMMYFUNCTION("""COMPUTED_VALUE"""),0.059)</f>
        <v>0.059</v>
      </c>
      <c r="E13879" s="8" t="str">
        <f>IFERROR(__xludf.DUMMYFUNCTION("""COMPUTED_VALUE"""),"Real")</f>
        <v>Real</v>
      </c>
      <c r="G13879" s="8">
        <f t="shared" si="1"/>
        <v>6</v>
      </c>
      <c r="H13879" s="14">
        <f t="shared" si="2"/>
        <v>1</v>
      </c>
      <c r="I13879" s="15">
        <f t="shared" si="3"/>
        <v>7</v>
      </c>
    </row>
    <row r="13880">
      <c r="A13880" s="8" t="str">
        <f>IFERROR(__xludf.DUMMYFUNCTION("IF('(INGESTA)Datos_consumo_datadis'!A13880&lt;&gt;"""",SPLIT('(INGESTA)Datos_consumo_datadis'!A:A,"",""),"""")"),"ES0031408323131005HX0F")</f>
        <v>ES0031408323131005HX0F</v>
      </c>
      <c r="B13880" s="12">
        <f>IFERROR(__xludf.DUMMYFUNCTION("""COMPUTED_VALUE"""),45444.0)</f>
        <v>45444</v>
      </c>
      <c r="C13880" s="13">
        <f>IFERROR(__xludf.DUMMYFUNCTION("""COMPUTED_VALUE"""),0.3333333333333333)</f>
        <v>0.3333333333</v>
      </c>
      <c r="D13880" s="8">
        <f>IFERROR(__xludf.DUMMYFUNCTION("""COMPUTED_VALUE"""),0.898)</f>
        <v>0.898</v>
      </c>
      <c r="E13880" s="8" t="str">
        <f>IFERROR(__xludf.DUMMYFUNCTION("""COMPUTED_VALUE"""),"Real")</f>
        <v>Real</v>
      </c>
      <c r="G13880" s="8">
        <f t="shared" si="1"/>
        <v>6</v>
      </c>
      <c r="H13880" s="14">
        <f t="shared" si="2"/>
        <v>1</v>
      </c>
      <c r="I13880" s="15">
        <f t="shared" si="3"/>
        <v>8</v>
      </c>
    </row>
    <row r="13881">
      <c r="A13881" s="8" t="str">
        <f>IFERROR(__xludf.DUMMYFUNCTION("IF('(INGESTA)Datos_consumo_datadis'!A13881&lt;&gt;"""",SPLIT('(INGESTA)Datos_consumo_datadis'!A:A,"",""),"""")"),"ES0031408323131005HX0F")</f>
        <v>ES0031408323131005HX0F</v>
      </c>
      <c r="B13881" s="12">
        <f>IFERROR(__xludf.DUMMYFUNCTION("""COMPUTED_VALUE"""),45444.0)</f>
        <v>45444</v>
      </c>
      <c r="C13881" s="13">
        <f>IFERROR(__xludf.DUMMYFUNCTION("""COMPUTED_VALUE"""),0.375)</f>
        <v>0.375</v>
      </c>
      <c r="D13881" s="8">
        <f>IFERROR(__xludf.DUMMYFUNCTION("""COMPUTED_VALUE"""),0.174)</f>
        <v>0.174</v>
      </c>
      <c r="E13881" s="8" t="str">
        <f>IFERROR(__xludf.DUMMYFUNCTION("""COMPUTED_VALUE"""),"Real")</f>
        <v>Real</v>
      </c>
      <c r="G13881" s="8">
        <f t="shared" si="1"/>
        <v>6</v>
      </c>
      <c r="H13881" s="14">
        <f t="shared" si="2"/>
        <v>1</v>
      </c>
      <c r="I13881" s="15">
        <f t="shared" si="3"/>
        <v>9</v>
      </c>
    </row>
    <row r="13882">
      <c r="A13882" s="8" t="str">
        <f>IFERROR(__xludf.DUMMYFUNCTION("IF('(INGESTA)Datos_consumo_datadis'!A13882&lt;&gt;"""",SPLIT('(INGESTA)Datos_consumo_datadis'!A:A,"",""),"""")"),"ES0031408323131005HX0F")</f>
        <v>ES0031408323131005HX0F</v>
      </c>
      <c r="B13882" s="12">
        <f>IFERROR(__xludf.DUMMYFUNCTION("""COMPUTED_VALUE"""),45444.0)</f>
        <v>45444</v>
      </c>
      <c r="C13882" s="13">
        <f>IFERROR(__xludf.DUMMYFUNCTION("""COMPUTED_VALUE"""),0.4166666666666667)</f>
        <v>0.4166666667</v>
      </c>
      <c r="D13882" s="8">
        <f>IFERROR(__xludf.DUMMYFUNCTION("""COMPUTED_VALUE"""),0.12)</f>
        <v>0.12</v>
      </c>
      <c r="E13882" s="8" t="str">
        <f>IFERROR(__xludf.DUMMYFUNCTION("""COMPUTED_VALUE"""),"Real")</f>
        <v>Real</v>
      </c>
      <c r="G13882" s="8">
        <f t="shared" si="1"/>
        <v>6</v>
      </c>
      <c r="H13882" s="14">
        <f t="shared" si="2"/>
        <v>1</v>
      </c>
      <c r="I13882" s="15">
        <f t="shared" si="3"/>
        <v>10</v>
      </c>
    </row>
    <row r="13883">
      <c r="A13883" s="8" t="str">
        <f>IFERROR(__xludf.DUMMYFUNCTION("IF('(INGESTA)Datos_consumo_datadis'!A13883&lt;&gt;"""",SPLIT('(INGESTA)Datos_consumo_datadis'!A:A,"",""),"""")"),"ES0031408323131005HX0F")</f>
        <v>ES0031408323131005HX0F</v>
      </c>
      <c r="B13883" s="12">
        <f>IFERROR(__xludf.DUMMYFUNCTION("""COMPUTED_VALUE"""),45444.0)</f>
        <v>45444</v>
      </c>
      <c r="C13883" s="13">
        <f>IFERROR(__xludf.DUMMYFUNCTION("""COMPUTED_VALUE"""),0.4583333333333333)</f>
        <v>0.4583333333</v>
      </c>
      <c r="D13883" s="8">
        <f>IFERROR(__xludf.DUMMYFUNCTION("""COMPUTED_VALUE"""),0.058)</f>
        <v>0.058</v>
      </c>
      <c r="E13883" s="8" t="str">
        <f>IFERROR(__xludf.DUMMYFUNCTION("""COMPUTED_VALUE"""),"Real")</f>
        <v>Real</v>
      </c>
      <c r="G13883" s="8">
        <f t="shared" si="1"/>
        <v>6</v>
      </c>
      <c r="H13883" s="14">
        <f t="shared" si="2"/>
        <v>1</v>
      </c>
      <c r="I13883" s="15">
        <f t="shared" si="3"/>
        <v>11</v>
      </c>
    </row>
    <row r="13884">
      <c r="A13884" s="8" t="str">
        <f>IFERROR(__xludf.DUMMYFUNCTION("IF('(INGESTA)Datos_consumo_datadis'!A13884&lt;&gt;"""",SPLIT('(INGESTA)Datos_consumo_datadis'!A:A,"",""),"""")"),"ES0031408323131005HX0F")</f>
        <v>ES0031408323131005HX0F</v>
      </c>
      <c r="B13884" s="12">
        <f>IFERROR(__xludf.DUMMYFUNCTION("""COMPUTED_VALUE"""),45444.0)</f>
        <v>45444</v>
      </c>
      <c r="C13884" s="13">
        <f>IFERROR(__xludf.DUMMYFUNCTION("""COMPUTED_VALUE"""),0.5)</f>
        <v>0.5</v>
      </c>
      <c r="D13884" s="8">
        <f>IFERROR(__xludf.DUMMYFUNCTION("""COMPUTED_VALUE"""),0.334)</f>
        <v>0.334</v>
      </c>
      <c r="E13884" s="8" t="str">
        <f>IFERROR(__xludf.DUMMYFUNCTION("""COMPUTED_VALUE"""),"Real")</f>
        <v>Real</v>
      </c>
      <c r="G13884" s="8">
        <f t="shared" si="1"/>
        <v>6</v>
      </c>
      <c r="H13884" s="14">
        <f t="shared" si="2"/>
        <v>1</v>
      </c>
      <c r="I13884" s="15">
        <f t="shared" si="3"/>
        <v>12</v>
      </c>
    </row>
    <row r="13885">
      <c r="A13885" s="8" t="str">
        <f>IFERROR(__xludf.DUMMYFUNCTION("IF('(INGESTA)Datos_consumo_datadis'!A13885&lt;&gt;"""",SPLIT('(INGESTA)Datos_consumo_datadis'!A:A,"",""),"""")"),"ES0031408323131005HX0F")</f>
        <v>ES0031408323131005HX0F</v>
      </c>
      <c r="B13885" s="12">
        <f>IFERROR(__xludf.DUMMYFUNCTION("""COMPUTED_VALUE"""),45444.0)</f>
        <v>45444</v>
      </c>
      <c r="C13885" s="13">
        <f>IFERROR(__xludf.DUMMYFUNCTION("""COMPUTED_VALUE"""),0.5416666666666666)</f>
        <v>0.5416666667</v>
      </c>
      <c r="D13885" s="8">
        <f>IFERROR(__xludf.DUMMYFUNCTION("""COMPUTED_VALUE"""),0.066)</f>
        <v>0.066</v>
      </c>
      <c r="E13885" s="8" t="str">
        <f>IFERROR(__xludf.DUMMYFUNCTION("""COMPUTED_VALUE"""),"Real")</f>
        <v>Real</v>
      </c>
      <c r="G13885" s="8">
        <f t="shared" si="1"/>
        <v>6</v>
      </c>
      <c r="H13885" s="14">
        <f t="shared" si="2"/>
        <v>1</v>
      </c>
      <c r="I13885" s="15">
        <f t="shared" si="3"/>
        <v>13</v>
      </c>
    </row>
    <row r="13886">
      <c r="A13886" s="8" t="str">
        <f>IFERROR(__xludf.DUMMYFUNCTION("IF('(INGESTA)Datos_consumo_datadis'!A13886&lt;&gt;"""",SPLIT('(INGESTA)Datos_consumo_datadis'!A:A,"",""),"""")"),"ES0031408323131005HX0F")</f>
        <v>ES0031408323131005HX0F</v>
      </c>
      <c r="B13886" s="12">
        <f>IFERROR(__xludf.DUMMYFUNCTION("""COMPUTED_VALUE"""),45444.0)</f>
        <v>45444</v>
      </c>
      <c r="C13886" s="13">
        <f>IFERROR(__xludf.DUMMYFUNCTION("""COMPUTED_VALUE"""),0.5833333333333334)</f>
        <v>0.5833333333</v>
      </c>
      <c r="D13886" s="8">
        <f>IFERROR(__xludf.DUMMYFUNCTION("""COMPUTED_VALUE"""),0.059)</f>
        <v>0.059</v>
      </c>
      <c r="E13886" s="8" t="str">
        <f>IFERROR(__xludf.DUMMYFUNCTION("""COMPUTED_VALUE"""),"Real")</f>
        <v>Real</v>
      </c>
      <c r="G13886" s="8">
        <f t="shared" si="1"/>
        <v>6</v>
      </c>
      <c r="H13886" s="14">
        <f t="shared" si="2"/>
        <v>1</v>
      </c>
      <c r="I13886" s="15">
        <f t="shared" si="3"/>
        <v>14</v>
      </c>
    </row>
    <row r="13887">
      <c r="A13887" s="8" t="str">
        <f>IFERROR(__xludf.DUMMYFUNCTION("IF('(INGESTA)Datos_consumo_datadis'!A13887&lt;&gt;"""",SPLIT('(INGESTA)Datos_consumo_datadis'!A:A,"",""),"""")"),"ES0031408323131005HX0F")</f>
        <v>ES0031408323131005HX0F</v>
      </c>
      <c r="B13887" s="12">
        <f>IFERROR(__xludf.DUMMYFUNCTION("""COMPUTED_VALUE"""),45444.0)</f>
        <v>45444</v>
      </c>
      <c r="C13887" s="13">
        <f>IFERROR(__xludf.DUMMYFUNCTION("""COMPUTED_VALUE"""),0.625)</f>
        <v>0.625</v>
      </c>
      <c r="D13887" s="8">
        <f>IFERROR(__xludf.DUMMYFUNCTION("""COMPUTED_VALUE"""),0.078)</f>
        <v>0.078</v>
      </c>
      <c r="E13887" s="8" t="str">
        <f>IFERROR(__xludf.DUMMYFUNCTION("""COMPUTED_VALUE"""),"Real")</f>
        <v>Real</v>
      </c>
      <c r="G13887" s="8">
        <f t="shared" si="1"/>
        <v>6</v>
      </c>
      <c r="H13887" s="14">
        <f t="shared" si="2"/>
        <v>1</v>
      </c>
      <c r="I13887" s="15">
        <f t="shared" si="3"/>
        <v>15</v>
      </c>
    </row>
    <row r="13888">
      <c r="A13888" s="8" t="str">
        <f>IFERROR(__xludf.DUMMYFUNCTION("IF('(INGESTA)Datos_consumo_datadis'!A13888&lt;&gt;"""",SPLIT('(INGESTA)Datos_consumo_datadis'!A:A,"",""),"""")"),"ES0031408323131005HX0F")</f>
        <v>ES0031408323131005HX0F</v>
      </c>
      <c r="B13888" s="12">
        <f>IFERROR(__xludf.DUMMYFUNCTION("""COMPUTED_VALUE"""),45444.0)</f>
        <v>45444</v>
      </c>
      <c r="C13888" s="13">
        <f>IFERROR(__xludf.DUMMYFUNCTION("""COMPUTED_VALUE"""),0.6666666666666666)</f>
        <v>0.6666666667</v>
      </c>
      <c r="D13888" s="8">
        <f>IFERROR(__xludf.DUMMYFUNCTION("""COMPUTED_VALUE"""),0.046)</f>
        <v>0.046</v>
      </c>
      <c r="E13888" s="8" t="str">
        <f>IFERROR(__xludf.DUMMYFUNCTION("""COMPUTED_VALUE"""),"Real")</f>
        <v>Real</v>
      </c>
      <c r="G13888" s="8">
        <f t="shared" si="1"/>
        <v>6</v>
      </c>
      <c r="H13888" s="14">
        <f t="shared" si="2"/>
        <v>1</v>
      </c>
      <c r="I13888" s="15">
        <f t="shared" si="3"/>
        <v>16</v>
      </c>
    </row>
    <row r="13889">
      <c r="A13889" s="8" t="str">
        <f>IFERROR(__xludf.DUMMYFUNCTION("IF('(INGESTA)Datos_consumo_datadis'!A13889&lt;&gt;"""",SPLIT('(INGESTA)Datos_consumo_datadis'!A:A,"",""),"""")"),"ES0031408323131005HX0F")</f>
        <v>ES0031408323131005HX0F</v>
      </c>
      <c r="B13889" s="12">
        <f>IFERROR(__xludf.DUMMYFUNCTION("""COMPUTED_VALUE"""),45444.0)</f>
        <v>45444</v>
      </c>
      <c r="C13889" s="13">
        <f>IFERROR(__xludf.DUMMYFUNCTION("""COMPUTED_VALUE"""),0.7083333333333334)</f>
        <v>0.7083333333</v>
      </c>
      <c r="D13889" s="8">
        <f>IFERROR(__xludf.DUMMYFUNCTION("""COMPUTED_VALUE"""),0.135)</f>
        <v>0.135</v>
      </c>
      <c r="E13889" s="8" t="str">
        <f>IFERROR(__xludf.DUMMYFUNCTION("""COMPUTED_VALUE"""),"Real")</f>
        <v>Real</v>
      </c>
      <c r="G13889" s="8">
        <f t="shared" si="1"/>
        <v>6</v>
      </c>
      <c r="H13889" s="14">
        <f t="shared" si="2"/>
        <v>1</v>
      </c>
      <c r="I13889" s="15">
        <f t="shared" si="3"/>
        <v>17</v>
      </c>
    </row>
    <row r="13890">
      <c r="A13890" s="8" t="str">
        <f>IFERROR(__xludf.DUMMYFUNCTION("IF('(INGESTA)Datos_consumo_datadis'!A13890&lt;&gt;"""",SPLIT('(INGESTA)Datos_consumo_datadis'!A:A,"",""),"""")"),"ES0031408323131005HX0F")</f>
        <v>ES0031408323131005HX0F</v>
      </c>
      <c r="B13890" s="12">
        <f>IFERROR(__xludf.DUMMYFUNCTION("""COMPUTED_VALUE"""),45444.0)</f>
        <v>45444</v>
      </c>
      <c r="C13890" s="13">
        <f>IFERROR(__xludf.DUMMYFUNCTION("""COMPUTED_VALUE"""),0.75)</f>
        <v>0.75</v>
      </c>
      <c r="D13890" s="8">
        <f>IFERROR(__xludf.DUMMYFUNCTION("""COMPUTED_VALUE"""),0.376)</f>
        <v>0.376</v>
      </c>
      <c r="E13890" s="8" t="str">
        <f>IFERROR(__xludf.DUMMYFUNCTION("""COMPUTED_VALUE"""),"Real")</f>
        <v>Real</v>
      </c>
      <c r="G13890" s="8">
        <f t="shared" si="1"/>
        <v>6</v>
      </c>
      <c r="H13890" s="14">
        <f t="shared" si="2"/>
        <v>1</v>
      </c>
      <c r="I13890" s="15">
        <f t="shared" si="3"/>
        <v>18</v>
      </c>
    </row>
    <row r="13891">
      <c r="A13891" s="8" t="str">
        <f>IFERROR(__xludf.DUMMYFUNCTION("IF('(INGESTA)Datos_consumo_datadis'!A13891&lt;&gt;"""",SPLIT('(INGESTA)Datos_consumo_datadis'!A:A,"",""),"""")"),"ES0031408323131005HX0F")</f>
        <v>ES0031408323131005HX0F</v>
      </c>
      <c r="B13891" s="12">
        <f>IFERROR(__xludf.DUMMYFUNCTION("""COMPUTED_VALUE"""),45444.0)</f>
        <v>45444</v>
      </c>
      <c r="C13891" s="13">
        <f>IFERROR(__xludf.DUMMYFUNCTION("""COMPUTED_VALUE"""),0.7916666666666666)</f>
        <v>0.7916666667</v>
      </c>
      <c r="D13891" s="8">
        <f>IFERROR(__xludf.DUMMYFUNCTION("""COMPUTED_VALUE"""),0.061)</f>
        <v>0.061</v>
      </c>
      <c r="E13891" s="8" t="str">
        <f>IFERROR(__xludf.DUMMYFUNCTION("""COMPUTED_VALUE"""),"Real")</f>
        <v>Real</v>
      </c>
      <c r="G13891" s="8">
        <f t="shared" si="1"/>
        <v>6</v>
      </c>
      <c r="H13891" s="14">
        <f t="shared" si="2"/>
        <v>1</v>
      </c>
      <c r="I13891" s="15">
        <f t="shared" si="3"/>
        <v>19</v>
      </c>
    </row>
    <row r="13892">
      <c r="A13892" s="8" t="str">
        <f>IFERROR(__xludf.DUMMYFUNCTION("IF('(INGESTA)Datos_consumo_datadis'!A13892&lt;&gt;"""",SPLIT('(INGESTA)Datos_consumo_datadis'!A:A,"",""),"""")"),"ES0031408323131005HX0F")</f>
        <v>ES0031408323131005HX0F</v>
      </c>
      <c r="B13892" s="12">
        <f>IFERROR(__xludf.DUMMYFUNCTION("""COMPUTED_VALUE"""),45444.0)</f>
        <v>45444</v>
      </c>
      <c r="C13892" s="13">
        <f>IFERROR(__xludf.DUMMYFUNCTION("""COMPUTED_VALUE"""),0.8333333333333334)</f>
        <v>0.8333333333</v>
      </c>
      <c r="D13892" s="8">
        <f>IFERROR(__xludf.DUMMYFUNCTION("""COMPUTED_VALUE"""),0.081)</f>
        <v>0.081</v>
      </c>
      <c r="E13892" s="8" t="str">
        <f>IFERROR(__xludf.DUMMYFUNCTION("""COMPUTED_VALUE"""),"Real")</f>
        <v>Real</v>
      </c>
      <c r="G13892" s="8">
        <f t="shared" si="1"/>
        <v>6</v>
      </c>
      <c r="H13892" s="14">
        <f t="shared" si="2"/>
        <v>1</v>
      </c>
      <c r="I13892" s="15">
        <f t="shared" si="3"/>
        <v>20</v>
      </c>
    </row>
    <row r="13893">
      <c r="A13893" s="8" t="str">
        <f>IFERROR(__xludf.DUMMYFUNCTION("IF('(INGESTA)Datos_consumo_datadis'!A13893&lt;&gt;"""",SPLIT('(INGESTA)Datos_consumo_datadis'!A:A,"",""),"""")"),"ES0031408323131005HX0F")</f>
        <v>ES0031408323131005HX0F</v>
      </c>
      <c r="B13893" s="12">
        <f>IFERROR(__xludf.DUMMYFUNCTION("""COMPUTED_VALUE"""),45444.0)</f>
        <v>45444</v>
      </c>
      <c r="C13893" s="13">
        <f>IFERROR(__xludf.DUMMYFUNCTION("""COMPUTED_VALUE"""),0.875)</f>
        <v>0.875</v>
      </c>
      <c r="D13893" s="8">
        <f>IFERROR(__xludf.DUMMYFUNCTION("""COMPUTED_VALUE"""),0.073)</f>
        <v>0.073</v>
      </c>
      <c r="E13893" s="8" t="str">
        <f>IFERROR(__xludf.DUMMYFUNCTION("""COMPUTED_VALUE"""),"Real")</f>
        <v>Real</v>
      </c>
      <c r="G13893" s="8">
        <f t="shared" si="1"/>
        <v>6</v>
      </c>
      <c r="H13893" s="14">
        <f t="shared" si="2"/>
        <v>1</v>
      </c>
      <c r="I13893" s="15">
        <f t="shared" si="3"/>
        <v>21</v>
      </c>
    </row>
    <row r="13894">
      <c r="A13894" s="8" t="str">
        <f>IFERROR(__xludf.DUMMYFUNCTION("IF('(INGESTA)Datos_consumo_datadis'!A13894&lt;&gt;"""",SPLIT('(INGESTA)Datos_consumo_datadis'!A:A,"",""),"""")"),"ES0031408323131005HX0F")</f>
        <v>ES0031408323131005HX0F</v>
      </c>
      <c r="B13894" s="12">
        <f>IFERROR(__xludf.DUMMYFUNCTION("""COMPUTED_VALUE"""),45444.0)</f>
        <v>45444</v>
      </c>
      <c r="C13894" s="13">
        <f>IFERROR(__xludf.DUMMYFUNCTION("""COMPUTED_VALUE"""),0.9166666666666666)</f>
        <v>0.9166666667</v>
      </c>
      <c r="D13894" s="8">
        <f>IFERROR(__xludf.DUMMYFUNCTION("""COMPUTED_VALUE"""),0.054)</f>
        <v>0.054</v>
      </c>
      <c r="E13894" s="8" t="str">
        <f>IFERROR(__xludf.DUMMYFUNCTION("""COMPUTED_VALUE"""),"Real")</f>
        <v>Real</v>
      </c>
      <c r="G13894" s="8">
        <f t="shared" si="1"/>
        <v>6</v>
      </c>
      <c r="H13894" s="14">
        <f t="shared" si="2"/>
        <v>1</v>
      </c>
      <c r="I13894" s="15">
        <f t="shared" si="3"/>
        <v>22</v>
      </c>
    </row>
    <row r="13895">
      <c r="A13895" s="8" t="str">
        <f>IFERROR(__xludf.DUMMYFUNCTION("IF('(INGESTA)Datos_consumo_datadis'!A13895&lt;&gt;"""",SPLIT('(INGESTA)Datos_consumo_datadis'!A:A,"",""),"""")"),"ES0031408323131005HX0F")</f>
        <v>ES0031408323131005HX0F</v>
      </c>
      <c r="B13895" s="12">
        <f>IFERROR(__xludf.DUMMYFUNCTION("""COMPUTED_VALUE"""),45444.0)</f>
        <v>45444</v>
      </c>
      <c r="C13895" s="13">
        <f>IFERROR(__xludf.DUMMYFUNCTION("""COMPUTED_VALUE"""),0.9583333333333334)</f>
        <v>0.9583333333</v>
      </c>
      <c r="D13895" s="8">
        <f>IFERROR(__xludf.DUMMYFUNCTION("""COMPUTED_VALUE"""),0.081)</f>
        <v>0.081</v>
      </c>
      <c r="E13895" s="8" t="str">
        <f>IFERROR(__xludf.DUMMYFUNCTION("""COMPUTED_VALUE"""),"Real")</f>
        <v>Real</v>
      </c>
      <c r="G13895" s="8">
        <f t="shared" si="1"/>
        <v>6</v>
      </c>
      <c r="H13895" s="14">
        <f t="shared" si="2"/>
        <v>1</v>
      </c>
      <c r="I13895" s="15">
        <f t="shared" si="3"/>
        <v>23</v>
      </c>
    </row>
    <row r="13896">
      <c r="A13896" s="8" t="str">
        <f>IFERROR(__xludf.DUMMYFUNCTION("IF('(INGESTA)Datos_consumo_datadis'!A13896&lt;&gt;"""",SPLIT('(INGESTA)Datos_consumo_datadis'!A:A,"",""),"""")"),"ES0031408323131005HX0F")</f>
        <v>ES0031408323131005HX0F</v>
      </c>
      <c r="B13896" s="12">
        <f>IFERROR(__xludf.DUMMYFUNCTION("""COMPUTED_VALUE"""),45444.0)</f>
        <v>45444</v>
      </c>
      <c r="C13896" s="16">
        <f>IFERROR(__xludf.DUMMYFUNCTION("""COMPUTED_VALUE"""),1.0)</f>
        <v>1</v>
      </c>
      <c r="D13896" s="8">
        <f>IFERROR(__xludf.DUMMYFUNCTION("""COMPUTED_VALUE"""),0.045)</f>
        <v>0.045</v>
      </c>
      <c r="E13896" s="8" t="str">
        <f>IFERROR(__xludf.DUMMYFUNCTION("""COMPUTED_VALUE"""),"Real")</f>
        <v>Real</v>
      </c>
      <c r="G13896" s="8">
        <f t="shared" si="1"/>
        <v>6</v>
      </c>
      <c r="H13896" s="14">
        <f t="shared" si="2"/>
        <v>1</v>
      </c>
      <c r="I13896" s="15">
        <f t="shared" si="3"/>
        <v>0</v>
      </c>
    </row>
    <row r="13897">
      <c r="A13897" s="8" t="str">
        <f>IFERROR(__xludf.DUMMYFUNCTION("IF('(INGESTA)Datos_consumo_datadis'!A13897&lt;&gt;"""",SPLIT('(INGESTA)Datos_consumo_datadis'!A:A,"",""),"""")"),"ES0031408323131005HX0F")</f>
        <v>ES0031408323131005HX0F</v>
      </c>
      <c r="B13897" s="12">
        <f>IFERROR(__xludf.DUMMYFUNCTION("""COMPUTED_VALUE"""),45445.0)</f>
        <v>45445</v>
      </c>
      <c r="C13897" s="13">
        <f>IFERROR(__xludf.DUMMYFUNCTION("""COMPUTED_VALUE"""),0.041666666666666664)</f>
        <v>0.04166666667</v>
      </c>
      <c r="D13897" s="8">
        <f>IFERROR(__xludf.DUMMYFUNCTION("""COMPUTED_VALUE"""),0.382)</f>
        <v>0.382</v>
      </c>
      <c r="E13897" s="8" t="str">
        <f>IFERROR(__xludf.DUMMYFUNCTION("""COMPUTED_VALUE"""),"Real")</f>
        <v>Real</v>
      </c>
      <c r="G13897" s="8">
        <f t="shared" si="1"/>
        <v>6</v>
      </c>
      <c r="H13897" s="14">
        <f t="shared" si="2"/>
        <v>2</v>
      </c>
      <c r="I13897" s="15">
        <f t="shared" si="3"/>
        <v>1</v>
      </c>
    </row>
    <row r="13898">
      <c r="A13898" s="8" t="str">
        <f>IFERROR(__xludf.DUMMYFUNCTION("IF('(INGESTA)Datos_consumo_datadis'!A13898&lt;&gt;"""",SPLIT('(INGESTA)Datos_consumo_datadis'!A:A,"",""),"""")"),"ES0031408323131005HX0F")</f>
        <v>ES0031408323131005HX0F</v>
      </c>
      <c r="B13898" s="12">
        <f>IFERROR(__xludf.DUMMYFUNCTION("""COMPUTED_VALUE"""),45445.0)</f>
        <v>45445</v>
      </c>
      <c r="C13898" s="13">
        <f>IFERROR(__xludf.DUMMYFUNCTION("""COMPUTED_VALUE"""),0.08333333333333333)</f>
        <v>0.08333333333</v>
      </c>
      <c r="D13898" s="8">
        <f>IFERROR(__xludf.DUMMYFUNCTION("""COMPUTED_VALUE"""),0.059)</f>
        <v>0.059</v>
      </c>
      <c r="E13898" s="8" t="str">
        <f>IFERROR(__xludf.DUMMYFUNCTION("""COMPUTED_VALUE"""),"Real")</f>
        <v>Real</v>
      </c>
      <c r="G13898" s="8">
        <f t="shared" si="1"/>
        <v>6</v>
      </c>
      <c r="H13898" s="14">
        <f t="shared" si="2"/>
        <v>2</v>
      </c>
      <c r="I13898" s="15">
        <f t="shared" si="3"/>
        <v>2</v>
      </c>
    </row>
    <row r="13899">
      <c r="A13899" s="8" t="str">
        <f>IFERROR(__xludf.DUMMYFUNCTION("IF('(INGESTA)Datos_consumo_datadis'!A13899&lt;&gt;"""",SPLIT('(INGESTA)Datos_consumo_datadis'!A:A,"",""),"""")"),"ES0031408323131005HX0F")</f>
        <v>ES0031408323131005HX0F</v>
      </c>
      <c r="B13899" s="12">
        <f>IFERROR(__xludf.DUMMYFUNCTION("""COMPUTED_VALUE"""),45445.0)</f>
        <v>45445</v>
      </c>
      <c r="C13899" s="13">
        <f>IFERROR(__xludf.DUMMYFUNCTION("""COMPUTED_VALUE"""),0.125)</f>
        <v>0.125</v>
      </c>
      <c r="D13899" s="8">
        <f>IFERROR(__xludf.DUMMYFUNCTION("""COMPUTED_VALUE"""),0.091)</f>
        <v>0.091</v>
      </c>
      <c r="E13899" s="8" t="str">
        <f>IFERROR(__xludf.DUMMYFUNCTION("""COMPUTED_VALUE"""),"Real")</f>
        <v>Real</v>
      </c>
      <c r="G13899" s="8">
        <f t="shared" si="1"/>
        <v>6</v>
      </c>
      <c r="H13899" s="14">
        <f t="shared" si="2"/>
        <v>2</v>
      </c>
      <c r="I13899" s="15">
        <f t="shared" si="3"/>
        <v>3</v>
      </c>
    </row>
    <row r="13900">
      <c r="A13900" s="8" t="str">
        <f>IFERROR(__xludf.DUMMYFUNCTION("IF('(INGESTA)Datos_consumo_datadis'!A13900&lt;&gt;"""",SPLIT('(INGESTA)Datos_consumo_datadis'!A:A,"",""),"""")"),"ES0031408323131005HX0F")</f>
        <v>ES0031408323131005HX0F</v>
      </c>
      <c r="B13900" s="12">
        <f>IFERROR(__xludf.DUMMYFUNCTION("""COMPUTED_VALUE"""),45445.0)</f>
        <v>45445</v>
      </c>
      <c r="C13900" s="13">
        <f>IFERROR(__xludf.DUMMYFUNCTION("""COMPUTED_VALUE"""),0.16666666666666666)</f>
        <v>0.1666666667</v>
      </c>
      <c r="D13900" s="8">
        <f>IFERROR(__xludf.DUMMYFUNCTION("""COMPUTED_VALUE"""),0.058)</f>
        <v>0.058</v>
      </c>
      <c r="E13900" s="8" t="str">
        <f>IFERROR(__xludf.DUMMYFUNCTION("""COMPUTED_VALUE"""),"Real")</f>
        <v>Real</v>
      </c>
      <c r="G13900" s="8">
        <f t="shared" si="1"/>
        <v>6</v>
      </c>
      <c r="H13900" s="14">
        <f t="shared" si="2"/>
        <v>2</v>
      </c>
      <c r="I13900" s="15">
        <f t="shared" si="3"/>
        <v>4</v>
      </c>
    </row>
    <row r="13901">
      <c r="A13901" s="8" t="str">
        <f>IFERROR(__xludf.DUMMYFUNCTION("IF('(INGESTA)Datos_consumo_datadis'!A13901&lt;&gt;"""",SPLIT('(INGESTA)Datos_consumo_datadis'!A:A,"",""),"""")"),"ES0031408323131005HX0F")</f>
        <v>ES0031408323131005HX0F</v>
      </c>
      <c r="B13901" s="12">
        <f>IFERROR(__xludf.DUMMYFUNCTION("""COMPUTED_VALUE"""),45445.0)</f>
        <v>45445</v>
      </c>
      <c r="C13901" s="13">
        <f>IFERROR(__xludf.DUMMYFUNCTION("""COMPUTED_VALUE"""),0.20833333333333334)</f>
        <v>0.2083333333</v>
      </c>
      <c r="D13901" s="8">
        <f>IFERROR(__xludf.DUMMYFUNCTION("""COMPUTED_VALUE"""),0.074)</f>
        <v>0.074</v>
      </c>
      <c r="E13901" s="8" t="str">
        <f>IFERROR(__xludf.DUMMYFUNCTION("""COMPUTED_VALUE"""),"Real")</f>
        <v>Real</v>
      </c>
      <c r="G13901" s="8">
        <f t="shared" si="1"/>
        <v>6</v>
      </c>
      <c r="H13901" s="14">
        <f t="shared" si="2"/>
        <v>2</v>
      </c>
      <c r="I13901" s="15">
        <f t="shared" si="3"/>
        <v>5</v>
      </c>
    </row>
    <row r="13902">
      <c r="A13902" s="8" t="str">
        <f>IFERROR(__xludf.DUMMYFUNCTION("IF('(INGESTA)Datos_consumo_datadis'!A13902&lt;&gt;"""",SPLIT('(INGESTA)Datos_consumo_datadis'!A:A,"",""),"""")"),"ES0031408323131005HX0F")</f>
        <v>ES0031408323131005HX0F</v>
      </c>
      <c r="B13902" s="12">
        <f>IFERROR(__xludf.DUMMYFUNCTION("""COMPUTED_VALUE"""),45445.0)</f>
        <v>45445</v>
      </c>
      <c r="C13902" s="13">
        <f>IFERROR(__xludf.DUMMYFUNCTION("""COMPUTED_VALUE"""),0.25)</f>
        <v>0.25</v>
      </c>
      <c r="D13902" s="8">
        <f>IFERROR(__xludf.DUMMYFUNCTION("""COMPUTED_VALUE"""),0.074)</f>
        <v>0.074</v>
      </c>
      <c r="E13902" s="8" t="str">
        <f>IFERROR(__xludf.DUMMYFUNCTION("""COMPUTED_VALUE"""),"Real")</f>
        <v>Real</v>
      </c>
      <c r="G13902" s="8">
        <f t="shared" si="1"/>
        <v>6</v>
      </c>
      <c r="H13902" s="14">
        <f t="shared" si="2"/>
        <v>2</v>
      </c>
      <c r="I13902" s="15">
        <f t="shared" si="3"/>
        <v>6</v>
      </c>
    </row>
    <row r="13903">
      <c r="A13903" s="8" t="str">
        <f>IFERROR(__xludf.DUMMYFUNCTION("IF('(INGESTA)Datos_consumo_datadis'!A13903&lt;&gt;"""",SPLIT('(INGESTA)Datos_consumo_datadis'!A:A,"",""),"""")"),"ES0031408323131005HX0F")</f>
        <v>ES0031408323131005HX0F</v>
      </c>
      <c r="B13903" s="12">
        <f>IFERROR(__xludf.DUMMYFUNCTION("""COMPUTED_VALUE"""),45445.0)</f>
        <v>45445</v>
      </c>
      <c r="C13903" s="13">
        <f>IFERROR(__xludf.DUMMYFUNCTION("""COMPUTED_VALUE"""),0.2916666666666667)</f>
        <v>0.2916666667</v>
      </c>
      <c r="D13903" s="8">
        <f>IFERROR(__xludf.DUMMYFUNCTION("""COMPUTED_VALUE"""),0.049)</f>
        <v>0.049</v>
      </c>
      <c r="E13903" s="8" t="str">
        <f>IFERROR(__xludf.DUMMYFUNCTION("""COMPUTED_VALUE"""),"Real")</f>
        <v>Real</v>
      </c>
      <c r="G13903" s="8">
        <f t="shared" si="1"/>
        <v>6</v>
      </c>
      <c r="H13903" s="14">
        <f t="shared" si="2"/>
        <v>2</v>
      </c>
      <c r="I13903" s="15">
        <f t="shared" si="3"/>
        <v>7</v>
      </c>
    </row>
    <row r="13904">
      <c r="A13904" s="8" t="str">
        <f>IFERROR(__xludf.DUMMYFUNCTION("IF('(INGESTA)Datos_consumo_datadis'!A13904&lt;&gt;"""",SPLIT('(INGESTA)Datos_consumo_datadis'!A:A,"",""),"""")"),"ES0031408323131005HX0F")</f>
        <v>ES0031408323131005HX0F</v>
      </c>
      <c r="B13904" s="12">
        <f>IFERROR(__xludf.DUMMYFUNCTION("""COMPUTED_VALUE"""),45445.0)</f>
        <v>45445</v>
      </c>
      <c r="C13904" s="13">
        <f>IFERROR(__xludf.DUMMYFUNCTION("""COMPUTED_VALUE"""),0.3333333333333333)</f>
        <v>0.3333333333</v>
      </c>
      <c r="D13904" s="8">
        <f>IFERROR(__xludf.DUMMYFUNCTION("""COMPUTED_VALUE"""),0.375)</f>
        <v>0.375</v>
      </c>
      <c r="E13904" s="8" t="str">
        <f>IFERROR(__xludf.DUMMYFUNCTION("""COMPUTED_VALUE"""),"Real")</f>
        <v>Real</v>
      </c>
      <c r="G13904" s="8">
        <f t="shared" si="1"/>
        <v>6</v>
      </c>
      <c r="H13904" s="14">
        <f t="shared" si="2"/>
        <v>2</v>
      </c>
      <c r="I13904" s="15">
        <f t="shared" si="3"/>
        <v>8</v>
      </c>
    </row>
    <row r="13905">
      <c r="A13905" s="8" t="str">
        <f>IFERROR(__xludf.DUMMYFUNCTION("IF('(INGESTA)Datos_consumo_datadis'!A13905&lt;&gt;"""",SPLIT('(INGESTA)Datos_consumo_datadis'!A:A,"",""),"""")"),"ES0031408323131005HX0F")</f>
        <v>ES0031408323131005HX0F</v>
      </c>
      <c r="B13905" s="12">
        <f>IFERROR(__xludf.DUMMYFUNCTION("""COMPUTED_VALUE"""),45445.0)</f>
        <v>45445</v>
      </c>
      <c r="C13905" s="13">
        <f>IFERROR(__xludf.DUMMYFUNCTION("""COMPUTED_VALUE"""),0.375)</f>
        <v>0.375</v>
      </c>
      <c r="D13905" s="8">
        <f>IFERROR(__xludf.DUMMYFUNCTION("""COMPUTED_VALUE"""),0.045)</f>
        <v>0.045</v>
      </c>
      <c r="E13905" s="8" t="str">
        <f>IFERROR(__xludf.DUMMYFUNCTION("""COMPUTED_VALUE"""),"Real")</f>
        <v>Real</v>
      </c>
      <c r="G13905" s="8">
        <f t="shared" si="1"/>
        <v>6</v>
      </c>
      <c r="H13905" s="14">
        <f t="shared" si="2"/>
        <v>2</v>
      </c>
      <c r="I13905" s="15">
        <f t="shared" si="3"/>
        <v>9</v>
      </c>
    </row>
    <row r="13906">
      <c r="A13906" s="8" t="str">
        <f>IFERROR(__xludf.DUMMYFUNCTION("IF('(INGESTA)Datos_consumo_datadis'!A13906&lt;&gt;"""",SPLIT('(INGESTA)Datos_consumo_datadis'!A:A,"",""),"""")"),"ES0031408323131005HX0F")</f>
        <v>ES0031408323131005HX0F</v>
      </c>
      <c r="B13906" s="12">
        <f>IFERROR(__xludf.DUMMYFUNCTION("""COMPUTED_VALUE"""),45445.0)</f>
        <v>45445</v>
      </c>
      <c r="C13906" s="13">
        <f>IFERROR(__xludf.DUMMYFUNCTION("""COMPUTED_VALUE"""),0.4166666666666667)</f>
        <v>0.4166666667</v>
      </c>
      <c r="D13906" s="8">
        <f>IFERROR(__xludf.DUMMYFUNCTION("""COMPUTED_VALUE"""),0.107)</f>
        <v>0.107</v>
      </c>
      <c r="E13906" s="8" t="str">
        <f>IFERROR(__xludf.DUMMYFUNCTION("""COMPUTED_VALUE"""),"Real")</f>
        <v>Real</v>
      </c>
      <c r="G13906" s="8">
        <f t="shared" si="1"/>
        <v>6</v>
      </c>
      <c r="H13906" s="14">
        <f t="shared" si="2"/>
        <v>2</v>
      </c>
      <c r="I13906" s="15">
        <f t="shared" si="3"/>
        <v>10</v>
      </c>
    </row>
    <row r="13907">
      <c r="A13907" s="8" t="str">
        <f>IFERROR(__xludf.DUMMYFUNCTION("IF('(INGESTA)Datos_consumo_datadis'!A13907&lt;&gt;"""",SPLIT('(INGESTA)Datos_consumo_datadis'!A:A,"",""),"""")"),"ES0031408323131005HX0F")</f>
        <v>ES0031408323131005HX0F</v>
      </c>
      <c r="B13907" s="12">
        <f>IFERROR(__xludf.DUMMYFUNCTION("""COMPUTED_VALUE"""),45445.0)</f>
        <v>45445</v>
      </c>
      <c r="C13907" s="13">
        <f>IFERROR(__xludf.DUMMYFUNCTION("""COMPUTED_VALUE"""),0.4583333333333333)</f>
        <v>0.4583333333</v>
      </c>
      <c r="D13907" s="8">
        <f>IFERROR(__xludf.DUMMYFUNCTION("""COMPUTED_VALUE"""),0.069)</f>
        <v>0.069</v>
      </c>
      <c r="E13907" s="8" t="str">
        <f>IFERROR(__xludf.DUMMYFUNCTION("""COMPUTED_VALUE"""),"Real")</f>
        <v>Real</v>
      </c>
      <c r="G13907" s="8">
        <f t="shared" si="1"/>
        <v>6</v>
      </c>
      <c r="H13907" s="14">
        <f t="shared" si="2"/>
        <v>2</v>
      </c>
      <c r="I13907" s="15">
        <f t="shared" si="3"/>
        <v>11</v>
      </c>
    </row>
    <row r="13908">
      <c r="A13908" s="8" t="str">
        <f>IFERROR(__xludf.DUMMYFUNCTION("IF('(INGESTA)Datos_consumo_datadis'!A13908&lt;&gt;"""",SPLIT('(INGESTA)Datos_consumo_datadis'!A:A,"",""),"""")"),"ES0031408323131005HX0F")</f>
        <v>ES0031408323131005HX0F</v>
      </c>
      <c r="B13908" s="12">
        <f>IFERROR(__xludf.DUMMYFUNCTION("""COMPUTED_VALUE"""),45445.0)</f>
        <v>45445</v>
      </c>
      <c r="C13908" s="13">
        <f>IFERROR(__xludf.DUMMYFUNCTION("""COMPUTED_VALUE"""),0.5)</f>
        <v>0.5</v>
      </c>
      <c r="D13908" s="8">
        <f>IFERROR(__xludf.DUMMYFUNCTION("""COMPUTED_VALUE"""),0.089)</f>
        <v>0.089</v>
      </c>
      <c r="E13908" s="8" t="str">
        <f>IFERROR(__xludf.DUMMYFUNCTION("""COMPUTED_VALUE"""),"Real")</f>
        <v>Real</v>
      </c>
      <c r="G13908" s="8">
        <f t="shared" si="1"/>
        <v>6</v>
      </c>
      <c r="H13908" s="14">
        <f t="shared" si="2"/>
        <v>2</v>
      </c>
      <c r="I13908" s="15">
        <f t="shared" si="3"/>
        <v>12</v>
      </c>
    </row>
    <row r="13909">
      <c r="A13909" s="8" t="str">
        <f>IFERROR(__xludf.DUMMYFUNCTION("IF('(INGESTA)Datos_consumo_datadis'!A13909&lt;&gt;"""",SPLIT('(INGESTA)Datos_consumo_datadis'!A:A,"",""),"""")"),"ES0031408323131005HX0F")</f>
        <v>ES0031408323131005HX0F</v>
      </c>
      <c r="B13909" s="12">
        <f>IFERROR(__xludf.DUMMYFUNCTION("""COMPUTED_VALUE"""),45445.0)</f>
        <v>45445</v>
      </c>
      <c r="C13909" s="13">
        <f>IFERROR(__xludf.DUMMYFUNCTION("""COMPUTED_VALUE"""),0.5416666666666666)</f>
        <v>0.5416666667</v>
      </c>
      <c r="D13909" s="8">
        <f>IFERROR(__xludf.DUMMYFUNCTION("""COMPUTED_VALUE"""),0.057)</f>
        <v>0.057</v>
      </c>
      <c r="E13909" s="8" t="str">
        <f>IFERROR(__xludf.DUMMYFUNCTION("""COMPUTED_VALUE"""),"Real")</f>
        <v>Real</v>
      </c>
      <c r="G13909" s="8">
        <f t="shared" si="1"/>
        <v>6</v>
      </c>
      <c r="H13909" s="14">
        <f t="shared" si="2"/>
        <v>2</v>
      </c>
      <c r="I13909" s="15">
        <f t="shared" si="3"/>
        <v>13</v>
      </c>
    </row>
    <row r="13910">
      <c r="A13910" s="8" t="str">
        <f>IFERROR(__xludf.DUMMYFUNCTION("IF('(INGESTA)Datos_consumo_datadis'!A13910&lt;&gt;"""",SPLIT('(INGESTA)Datos_consumo_datadis'!A:A,"",""),"""")"),"ES0031408323131005HX0F")</f>
        <v>ES0031408323131005HX0F</v>
      </c>
      <c r="B13910" s="12">
        <f>IFERROR(__xludf.DUMMYFUNCTION("""COMPUTED_VALUE"""),45445.0)</f>
        <v>45445</v>
      </c>
      <c r="C13910" s="13">
        <f>IFERROR(__xludf.DUMMYFUNCTION("""COMPUTED_VALUE"""),0.5833333333333334)</f>
        <v>0.5833333333</v>
      </c>
      <c r="D13910" s="8">
        <f>IFERROR(__xludf.DUMMYFUNCTION("""COMPUTED_VALUE"""),0.021)</f>
        <v>0.021</v>
      </c>
      <c r="E13910" s="8" t="str">
        <f>IFERROR(__xludf.DUMMYFUNCTION("""COMPUTED_VALUE"""),"Real")</f>
        <v>Real</v>
      </c>
      <c r="G13910" s="8">
        <f t="shared" si="1"/>
        <v>6</v>
      </c>
      <c r="H13910" s="14">
        <f t="shared" si="2"/>
        <v>2</v>
      </c>
      <c r="I13910" s="15">
        <f t="shared" si="3"/>
        <v>14</v>
      </c>
    </row>
    <row r="13911">
      <c r="A13911" s="8" t="str">
        <f>IFERROR(__xludf.DUMMYFUNCTION("IF('(INGESTA)Datos_consumo_datadis'!A13911&lt;&gt;"""",SPLIT('(INGESTA)Datos_consumo_datadis'!A:A,"",""),"""")"),"ES0031408323131005HX0F")</f>
        <v>ES0031408323131005HX0F</v>
      </c>
      <c r="B13911" s="12">
        <f>IFERROR(__xludf.DUMMYFUNCTION("""COMPUTED_VALUE"""),45445.0)</f>
        <v>45445</v>
      </c>
      <c r="C13911" s="13">
        <f>IFERROR(__xludf.DUMMYFUNCTION("""COMPUTED_VALUE"""),0.625)</f>
        <v>0.625</v>
      </c>
      <c r="D13911" s="8">
        <f>IFERROR(__xludf.DUMMYFUNCTION("""COMPUTED_VALUE"""),0.388)</f>
        <v>0.388</v>
      </c>
      <c r="E13911" s="8" t="str">
        <f>IFERROR(__xludf.DUMMYFUNCTION("""COMPUTED_VALUE"""),"Real")</f>
        <v>Real</v>
      </c>
      <c r="G13911" s="8">
        <f t="shared" si="1"/>
        <v>6</v>
      </c>
      <c r="H13911" s="14">
        <f t="shared" si="2"/>
        <v>2</v>
      </c>
      <c r="I13911" s="15">
        <f t="shared" si="3"/>
        <v>15</v>
      </c>
    </row>
    <row r="13912">
      <c r="A13912" s="8" t="str">
        <f>IFERROR(__xludf.DUMMYFUNCTION("IF('(INGESTA)Datos_consumo_datadis'!A13912&lt;&gt;"""",SPLIT('(INGESTA)Datos_consumo_datadis'!A:A,"",""),"""")"),"ES0031408323131005HX0F")</f>
        <v>ES0031408323131005HX0F</v>
      </c>
      <c r="B13912" s="12">
        <f>IFERROR(__xludf.DUMMYFUNCTION("""COMPUTED_VALUE"""),45445.0)</f>
        <v>45445</v>
      </c>
      <c r="C13912" s="13">
        <f>IFERROR(__xludf.DUMMYFUNCTION("""COMPUTED_VALUE"""),0.6666666666666666)</f>
        <v>0.6666666667</v>
      </c>
      <c r="D13912" s="8">
        <f>IFERROR(__xludf.DUMMYFUNCTION("""COMPUTED_VALUE"""),0.063)</f>
        <v>0.063</v>
      </c>
      <c r="E13912" s="8" t="str">
        <f>IFERROR(__xludf.DUMMYFUNCTION("""COMPUTED_VALUE"""),"Real")</f>
        <v>Real</v>
      </c>
      <c r="G13912" s="8">
        <f t="shared" si="1"/>
        <v>6</v>
      </c>
      <c r="H13912" s="14">
        <f t="shared" si="2"/>
        <v>2</v>
      </c>
      <c r="I13912" s="15">
        <f t="shared" si="3"/>
        <v>16</v>
      </c>
    </row>
    <row r="13913">
      <c r="A13913" s="8" t="str">
        <f>IFERROR(__xludf.DUMMYFUNCTION("IF('(INGESTA)Datos_consumo_datadis'!A13913&lt;&gt;"""",SPLIT('(INGESTA)Datos_consumo_datadis'!A:A,"",""),"""")"),"ES0031408323131005HX0F")</f>
        <v>ES0031408323131005HX0F</v>
      </c>
      <c r="B13913" s="12">
        <f>IFERROR(__xludf.DUMMYFUNCTION("""COMPUTED_VALUE"""),45445.0)</f>
        <v>45445</v>
      </c>
      <c r="C13913" s="13">
        <f>IFERROR(__xludf.DUMMYFUNCTION("""COMPUTED_VALUE"""),0.7083333333333334)</f>
        <v>0.7083333333</v>
      </c>
      <c r="D13913" s="8">
        <f>IFERROR(__xludf.DUMMYFUNCTION("""COMPUTED_VALUE"""),0.052)</f>
        <v>0.052</v>
      </c>
      <c r="E13913" s="8" t="str">
        <f>IFERROR(__xludf.DUMMYFUNCTION("""COMPUTED_VALUE"""),"Real")</f>
        <v>Real</v>
      </c>
      <c r="G13913" s="8">
        <f t="shared" si="1"/>
        <v>6</v>
      </c>
      <c r="H13913" s="14">
        <f t="shared" si="2"/>
        <v>2</v>
      </c>
      <c r="I13913" s="15">
        <f t="shared" si="3"/>
        <v>17</v>
      </c>
    </row>
    <row r="13914">
      <c r="A13914" s="8" t="str">
        <f>IFERROR(__xludf.DUMMYFUNCTION("IF('(INGESTA)Datos_consumo_datadis'!A13914&lt;&gt;"""",SPLIT('(INGESTA)Datos_consumo_datadis'!A:A,"",""),"""")"),"ES0031408323131005HX0F")</f>
        <v>ES0031408323131005HX0F</v>
      </c>
      <c r="B13914" s="12">
        <f>IFERROR(__xludf.DUMMYFUNCTION("""COMPUTED_VALUE"""),45445.0)</f>
        <v>45445</v>
      </c>
      <c r="C13914" s="13">
        <f>IFERROR(__xludf.DUMMYFUNCTION("""COMPUTED_VALUE"""),0.75)</f>
        <v>0.75</v>
      </c>
      <c r="D13914" s="8">
        <f>IFERROR(__xludf.DUMMYFUNCTION("""COMPUTED_VALUE"""),0.02)</f>
        <v>0.02</v>
      </c>
      <c r="E13914" s="8" t="str">
        <f>IFERROR(__xludf.DUMMYFUNCTION("""COMPUTED_VALUE"""),"Real")</f>
        <v>Real</v>
      </c>
      <c r="G13914" s="8">
        <f t="shared" si="1"/>
        <v>6</v>
      </c>
      <c r="H13914" s="14">
        <f t="shared" si="2"/>
        <v>2</v>
      </c>
      <c r="I13914" s="15">
        <f t="shared" si="3"/>
        <v>18</v>
      </c>
    </row>
    <row r="13915">
      <c r="A13915" s="8" t="str">
        <f>IFERROR(__xludf.DUMMYFUNCTION("IF('(INGESTA)Datos_consumo_datadis'!A13915&lt;&gt;"""",SPLIT('(INGESTA)Datos_consumo_datadis'!A:A,"",""),"""")"),"ES0031408323131005HX0F")</f>
        <v>ES0031408323131005HX0F</v>
      </c>
      <c r="B13915" s="12">
        <f>IFERROR(__xludf.DUMMYFUNCTION("""COMPUTED_VALUE"""),45445.0)</f>
        <v>45445</v>
      </c>
      <c r="C13915" s="13">
        <f>IFERROR(__xludf.DUMMYFUNCTION("""COMPUTED_VALUE"""),0.7916666666666666)</f>
        <v>0.7916666667</v>
      </c>
      <c r="D13915" s="8">
        <f>IFERROR(__xludf.DUMMYFUNCTION("""COMPUTED_VALUE"""),0.104)</f>
        <v>0.104</v>
      </c>
      <c r="E13915" s="8" t="str">
        <f>IFERROR(__xludf.DUMMYFUNCTION("""COMPUTED_VALUE"""),"Real")</f>
        <v>Real</v>
      </c>
      <c r="G13915" s="8">
        <f t="shared" si="1"/>
        <v>6</v>
      </c>
      <c r="H13915" s="14">
        <f t="shared" si="2"/>
        <v>2</v>
      </c>
      <c r="I13915" s="15">
        <f t="shared" si="3"/>
        <v>19</v>
      </c>
    </row>
    <row r="13916">
      <c r="A13916" s="8" t="str">
        <f>IFERROR(__xludf.DUMMYFUNCTION("IF('(INGESTA)Datos_consumo_datadis'!A13916&lt;&gt;"""",SPLIT('(INGESTA)Datos_consumo_datadis'!A:A,"",""),"""")"),"ES0031408323131005HX0F")</f>
        <v>ES0031408323131005HX0F</v>
      </c>
      <c r="B13916" s="12">
        <f>IFERROR(__xludf.DUMMYFUNCTION("""COMPUTED_VALUE"""),45445.0)</f>
        <v>45445</v>
      </c>
      <c r="C13916" s="13">
        <f>IFERROR(__xludf.DUMMYFUNCTION("""COMPUTED_VALUE"""),0.8333333333333334)</f>
        <v>0.8333333333</v>
      </c>
      <c r="D13916" s="8">
        <f>IFERROR(__xludf.DUMMYFUNCTION("""COMPUTED_VALUE"""),0.075)</f>
        <v>0.075</v>
      </c>
      <c r="E13916" s="8" t="str">
        <f>IFERROR(__xludf.DUMMYFUNCTION("""COMPUTED_VALUE"""),"Real")</f>
        <v>Real</v>
      </c>
      <c r="G13916" s="8">
        <f t="shared" si="1"/>
        <v>6</v>
      </c>
      <c r="H13916" s="14">
        <f t="shared" si="2"/>
        <v>2</v>
      </c>
      <c r="I13916" s="15">
        <f t="shared" si="3"/>
        <v>20</v>
      </c>
    </row>
    <row r="13917">
      <c r="A13917" s="8" t="str">
        <f>IFERROR(__xludf.DUMMYFUNCTION("IF('(INGESTA)Datos_consumo_datadis'!A13917&lt;&gt;"""",SPLIT('(INGESTA)Datos_consumo_datadis'!A:A,"",""),"""")"),"ES0031408323131005HX0F")</f>
        <v>ES0031408323131005HX0F</v>
      </c>
      <c r="B13917" s="12">
        <f>IFERROR(__xludf.DUMMYFUNCTION("""COMPUTED_VALUE"""),45445.0)</f>
        <v>45445</v>
      </c>
      <c r="C13917" s="13">
        <f>IFERROR(__xludf.DUMMYFUNCTION("""COMPUTED_VALUE"""),0.875)</f>
        <v>0.875</v>
      </c>
      <c r="D13917" s="8">
        <f>IFERROR(__xludf.DUMMYFUNCTION("""COMPUTED_VALUE"""),0.052)</f>
        <v>0.052</v>
      </c>
      <c r="E13917" s="8" t="str">
        <f>IFERROR(__xludf.DUMMYFUNCTION("""COMPUTED_VALUE"""),"Real")</f>
        <v>Real</v>
      </c>
      <c r="G13917" s="8">
        <f t="shared" si="1"/>
        <v>6</v>
      </c>
      <c r="H13917" s="14">
        <f t="shared" si="2"/>
        <v>2</v>
      </c>
      <c r="I13917" s="15">
        <f t="shared" si="3"/>
        <v>21</v>
      </c>
    </row>
    <row r="13918">
      <c r="A13918" s="8" t="str">
        <f>IFERROR(__xludf.DUMMYFUNCTION("IF('(INGESTA)Datos_consumo_datadis'!A13918&lt;&gt;"""",SPLIT('(INGESTA)Datos_consumo_datadis'!A:A,"",""),"""")"),"ES0031408323131005HX0F")</f>
        <v>ES0031408323131005HX0F</v>
      </c>
      <c r="B13918" s="12">
        <f>IFERROR(__xludf.DUMMYFUNCTION("""COMPUTED_VALUE"""),45445.0)</f>
        <v>45445</v>
      </c>
      <c r="C13918" s="13">
        <f>IFERROR(__xludf.DUMMYFUNCTION("""COMPUTED_VALUE"""),0.9166666666666666)</f>
        <v>0.9166666667</v>
      </c>
      <c r="D13918" s="8">
        <f>IFERROR(__xludf.DUMMYFUNCTION("""COMPUTED_VALUE"""),0.317)</f>
        <v>0.317</v>
      </c>
      <c r="E13918" s="8" t="str">
        <f>IFERROR(__xludf.DUMMYFUNCTION("""COMPUTED_VALUE"""),"Real")</f>
        <v>Real</v>
      </c>
      <c r="G13918" s="8">
        <f t="shared" si="1"/>
        <v>6</v>
      </c>
      <c r="H13918" s="14">
        <f t="shared" si="2"/>
        <v>2</v>
      </c>
      <c r="I13918" s="15">
        <f t="shared" si="3"/>
        <v>22</v>
      </c>
    </row>
    <row r="13919">
      <c r="A13919" s="8" t="str">
        <f>IFERROR(__xludf.DUMMYFUNCTION("IF('(INGESTA)Datos_consumo_datadis'!A13919&lt;&gt;"""",SPLIT('(INGESTA)Datos_consumo_datadis'!A:A,"",""),"""")"),"ES0031408323131005HX0F")</f>
        <v>ES0031408323131005HX0F</v>
      </c>
      <c r="B13919" s="12">
        <f>IFERROR(__xludf.DUMMYFUNCTION("""COMPUTED_VALUE"""),45445.0)</f>
        <v>45445</v>
      </c>
      <c r="C13919" s="13">
        <f>IFERROR(__xludf.DUMMYFUNCTION("""COMPUTED_VALUE"""),0.9583333333333334)</f>
        <v>0.9583333333</v>
      </c>
      <c r="D13919" s="8">
        <f>IFERROR(__xludf.DUMMYFUNCTION("""COMPUTED_VALUE"""),0.091)</f>
        <v>0.091</v>
      </c>
      <c r="E13919" s="8" t="str">
        <f>IFERROR(__xludf.DUMMYFUNCTION("""COMPUTED_VALUE"""),"Real")</f>
        <v>Real</v>
      </c>
      <c r="G13919" s="8">
        <f t="shared" si="1"/>
        <v>6</v>
      </c>
      <c r="H13919" s="14">
        <f t="shared" si="2"/>
        <v>2</v>
      </c>
      <c r="I13919" s="15">
        <f t="shared" si="3"/>
        <v>23</v>
      </c>
    </row>
    <row r="13920">
      <c r="A13920" s="8" t="str">
        <f>IFERROR(__xludf.DUMMYFUNCTION("IF('(INGESTA)Datos_consumo_datadis'!A13920&lt;&gt;"""",SPLIT('(INGESTA)Datos_consumo_datadis'!A:A,"",""),"""")"),"ES0031408323131005HX0F")</f>
        <v>ES0031408323131005HX0F</v>
      </c>
      <c r="B13920" s="12">
        <f>IFERROR(__xludf.DUMMYFUNCTION("""COMPUTED_VALUE"""),45445.0)</f>
        <v>45445</v>
      </c>
      <c r="C13920" s="16">
        <f>IFERROR(__xludf.DUMMYFUNCTION("""COMPUTED_VALUE"""),1.0)</f>
        <v>1</v>
      </c>
      <c r="D13920" s="8">
        <f>IFERROR(__xludf.DUMMYFUNCTION("""COMPUTED_VALUE"""),0.079)</f>
        <v>0.079</v>
      </c>
      <c r="E13920" s="8" t="str">
        <f>IFERROR(__xludf.DUMMYFUNCTION("""COMPUTED_VALUE"""),"Real")</f>
        <v>Real</v>
      </c>
      <c r="G13920" s="8">
        <f t="shared" si="1"/>
        <v>6</v>
      </c>
      <c r="H13920" s="14">
        <f t="shared" si="2"/>
        <v>2</v>
      </c>
      <c r="I13920" s="15">
        <f t="shared" si="3"/>
        <v>0</v>
      </c>
    </row>
    <row r="13921">
      <c r="A13921" s="8" t="str">
        <f>IFERROR(__xludf.DUMMYFUNCTION("IF('(INGESTA)Datos_consumo_datadis'!A13921&lt;&gt;"""",SPLIT('(INGESTA)Datos_consumo_datadis'!A:A,"",""),"""")"),"ES0031408323131005HX0F")</f>
        <v>ES0031408323131005HX0F</v>
      </c>
      <c r="B13921" s="12">
        <f>IFERROR(__xludf.DUMMYFUNCTION("""COMPUTED_VALUE"""),45446.0)</f>
        <v>45446</v>
      </c>
      <c r="C13921" s="13">
        <f>IFERROR(__xludf.DUMMYFUNCTION("""COMPUTED_VALUE"""),0.041666666666666664)</f>
        <v>0.04166666667</v>
      </c>
      <c r="D13921" s="8">
        <f>IFERROR(__xludf.DUMMYFUNCTION("""COMPUTED_VALUE"""),0.061)</f>
        <v>0.061</v>
      </c>
      <c r="E13921" s="8" t="str">
        <f>IFERROR(__xludf.DUMMYFUNCTION("""COMPUTED_VALUE"""),"Real")</f>
        <v>Real</v>
      </c>
      <c r="G13921" s="8">
        <f t="shared" si="1"/>
        <v>6</v>
      </c>
      <c r="H13921" s="14">
        <f t="shared" si="2"/>
        <v>3</v>
      </c>
      <c r="I13921" s="15">
        <f t="shared" si="3"/>
        <v>1</v>
      </c>
    </row>
    <row r="13922">
      <c r="A13922" s="8" t="str">
        <f>IFERROR(__xludf.DUMMYFUNCTION("IF('(INGESTA)Datos_consumo_datadis'!A13922&lt;&gt;"""",SPLIT('(INGESTA)Datos_consumo_datadis'!A:A,"",""),"""")"),"ES0031408323131005HX0F")</f>
        <v>ES0031408323131005HX0F</v>
      </c>
      <c r="B13922" s="12">
        <f>IFERROR(__xludf.DUMMYFUNCTION("""COMPUTED_VALUE"""),45446.0)</f>
        <v>45446</v>
      </c>
      <c r="C13922" s="13">
        <f>IFERROR(__xludf.DUMMYFUNCTION("""COMPUTED_VALUE"""),0.08333333333333333)</f>
        <v>0.08333333333</v>
      </c>
      <c r="D13922" s="8">
        <f>IFERROR(__xludf.DUMMYFUNCTION("""COMPUTED_VALUE"""),0.021)</f>
        <v>0.021</v>
      </c>
      <c r="E13922" s="8" t="str">
        <f>IFERROR(__xludf.DUMMYFUNCTION("""COMPUTED_VALUE"""),"Real")</f>
        <v>Real</v>
      </c>
      <c r="G13922" s="8">
        <f t="shared" si="1"/>
        <v>6</v>
      </c>
      <c r="H13922" s="14">
        <f t="shared" si="2"/>
        <v>3</v>
      </c>
      <c r="I13922" s="15">
        <f t="shared" si="3"/>
        <v>2</v>
      </c>
    </row>
    <row r="13923">
      <c r="A13923" s="8" t="str">
        <f>IFERROR(__xludf.DUMMYFUNCTION("IF('(INGESTA)Datos_consumo_datadis'!A13923&lt;&gt;"""",SPLIT('(INGESTA)Datos_consumo_datadis'!A:A,"",""),"""")"),"ES0031408323131005HX0F")</f>
        <v>ES0031408323131005HX0F</v>
      </c>
      <c r="B13923" s="12">
        <f>IFERROR(__xludf.DUMMYFUNCTION("""COMPUTED_VALUE"""),45446.0)</f>
        <v>45446</v>
      </c>
      <c r="C13923" s="13">
        <f>IFERROR(__xludf.DUMMYFUNCTION("""COMPUTED_VALUE"""),0.125)</f>
        <v>0.125</v>
      </c>
      <c r="D13923" s="8">
        <f>IFERROR(__xludf.DUMMYFUNCTION("""COMPUTED_VALUE"""),0.077)</f>
        <v>0.077</v>
      </c>
      <c r="E13923" s="8" t="str">
        <f>IFERROR(__xludf.DUMMYFUNCTION("""COMPUTED_VALUE"""),"Real")</f>
        <v>Real</v>
      </c>
      <c r="G13923" s="8">
        <f t="shared" si="1"/>
        <v>6</v>
      </c>
      <c r="H13923" s="14">
        <f t="shared" si="2"/>
        <v>3</v>
      </c>
      <c r="I13923" s="15">
        <f t="shared" si="3"/>
        <v>3</v>
      </c>
    </row>
    <row r="13924">
      <c r="A13924" s="8" t="str">
        <f>IFERROR(__xludf.DUMMYFUNCTION("IF('(INGESTA)Datos_consumo_datadis'!A13924&lt;&gt;"""",SPLIT('(INGESTA)Datos_consumo_datadis'!A:A,"",""),"""")"),"ES0031408323131005HX0F")</f>
        <v>ES0031408323131005HX0F</v>
      </c>
      <c r="B13924" s="12">
        <f>IFERROR(__xludf.DUMMYFUNCTION("""COMPUTED_VALUE"""),45446.0)</f>
        <v>45446</v>
      </c>
      <c r="C13924" s="13">
        <f>IFERROR(__xludf.DUMMYFUNCTION("""COMPUTED_VALUE"""),0.16666666666666666)</f>
        <v>0.1666666667</v>
      </c>
      <c r="D13924" s="8">
        <f>IFERROR(__xludf.DUMMYFUNCTION("""COMPUTED_VALUE"""),0.079)</f>
        <v>0.079</v>
      </c>
      <c r="E13924" s="8" t="str">
        <f>IFERROR(__xludf.DUMMYFUNCTION("""COMPUTED_VALUE"""),"Real")</f>
        <v>Real</v>
      </c>
      <c r="G13924" s="8">
        <f t="shared" si="1"/>
        <v>6</v>
      </c>
      <c r="H13924" s="14">
        <f t="shared" si="2"/>
        <v>3</v>
      </c>
      <c r="I13924" s="15">
        <f t="shared" si="3"/>
        <v>4</v>
      </c>
    </row>
    <row r="13925">
      <c r="A13925" s="8" t="str">
        <f>IFERROR(__xludf.DUMMYFUNCTION("IF('(INGESTA)Datos_consumo_datadis'!A13925&lt;&gt;"""",SPLIT('(INGESTA)Datos_consumo_datadis'!A:A,"",""),"""")"),"ES0031408323131005HX0F")</f>
        <v>ES0031408323131005HX0F</v>
      </c>
      <c r="B13925" s="12">
        <f>IFERROR(__xludf.DUMMYFUNCTION("""COMPUTED_VALUE"""),45446.0)</f>
        <v>45446</v>
      </c>
      <c r="C13925" s="13">
        <f>IFERROR(__xludf.DUMMYFUNCTION("""COMPUTED_VALUE"""),0.20833333333333334)</f>
        <v>0.2083333333</v>
      </c>
      <c r="D13925" s="8">
        <f>IFERROR(__xludf.DUMMYFUNCTION("""COMPUTED_VALUE"""),0.358)</f>
        <v>0.358</v>
      </c>
      <c r="E13925" s="8" t="str">
        <f>IFERROR(__xludf.DUMMYFUNCTION("""COMPUTED_VALUE"""),"Real")</f>
        <v>Real</v>
      </c>
      <c r="G13925" s="8">
        <f t="shared" si="1"/>
        <v>6</v>
      </c>
      <c r="H13925" s="14">
        <f t="shared" si="2"/>
        <v>3</v>
      </c>
      <c r="I13925" s="15">
        <f t="shared" si="3"/>
        <v>5</v>
      </c>
    </row>
    <row r="13926">
      <c r="A13926" s="8" t="str">
        <f>IFERROR(__xludf.DUMMYFUNCTION("IF('(INGESTA)Datos_consumo_datadis'!A13926&lt;&gt;"""",SPLIT('(INGESTA)Datos_consumo_datadis'!A:A,"",""),"""")"),"ES0031408323131005HX0F")</f>
        <v>ES0031408323131005HX0F</v>
      </c>
      <c r="B13926" s="12">
        <f>IFERROR(__xludf.DUMMYFUNCTION("""COMPUTED_VALUE"""),45446.0)</f>
        <v>45446</v>
      </c>
      <c r="C13926" s="13">
        <f>IFERROR(__xludf.DUMMYFUNCTION("""COMPUTED_VALUE"""),0.25)</f>
        <v>0.25</v>
      </c>
      <c r="D13926" s="8">
        <f>IFERROR(__xludf.DUMMYFUNCTION("""COMPUTED_VALUE"""),0.02)</f>
        <v>0.02</v>
      </c>
      <c r="E13926" s="8" t="str">
        <f>IFERROR(__xludf.DUMMYFUNCTION("""COMPUTED_VALUE"""),"Real")</f>
        <v>Real</v>
      </c>
      <c r="G13926" s="8">
        <f t="shared" si="1"/>
        <v>6</v>
      </c>
      <c r="H13926" s="14">
        <f t="shared" si="2"/>
        <v>3</v>
      </c>
      <c r="I13926" s="15">
        <f t="shared" si="3"/>
        <v>6</v>
      </c>
    </row>
    <row r="13927">
      <c r="A13927" s="8" t="str">
        <f>IFERROR(__xludf.DUMMYFUNCTION("IF('(INGESTA)Datos_consumo_datadis'!A13927&lt;&gt;"""",SPLIT('(INGESTA)Datos_consumo_datadis'!A:A,"",""),"""")"),"ES0031408323131005HX0F")</f>
        <v>ES0031408323131005HX0F</v>
      </c>
      <c r="B13927" s="12">
        <f>IFERROR(__xludf.DUMMYFUNCTION("""COMPUTED_VALUE"""),45446.0)</f>
        <v>45446</v>
      </c>
      <c r="C13927" s="13">
        <f>IFERROR(__xludf.DUMMYFUNCTION("""COMPUTED_VALUE"""),0.2916666666666667)</f>
        <v>0.2916666667</v>
      </c>
      <c r="D13927" s="8">
        <f>IFERROR(__xludf.DUMMYFUNCTION("""COMPUTED_VALUE"""),0.062)</f>
        <v>0.062</v>
      </c>
      <c r="E13927" s="8" t="str">
        <f>IFERROR(__xludf.DUMMYFUNCTION("""COMPUTED_VALUE"""),"Real")</f>
        <v>Real</v>
      </c>
      <c r="G13927" s="8">
        <f t="shared" si="1"/>
        <v>6</v>
      </c>
      <c r="H13927" s="14">
        <f t="shared" si="2"/>
        <v>3</v>
      </c>
      <c r="I13927" s="15">
        <f t="shared" si="3"/>
        <v>7</v>
      </c>
    </row>
    <row r="13928">
      <c r="A13928" s="8" t="str">
        <f>IFERROR(__xludf.DUMMYFUNCTION("IF('(INGESTA)Datos_consumo_datadis'!A13928&lt;&gt;"""",SPLIT('(INGESTA)Datos_consumo_datadis'!A:A,"",""),"""")"),"ES0031408323131005HX0F")</f>
        <v>ES0031408323131005HX0F</v>
      </c>
      <c r="B13928" s="12">
        <f>IFERROR(__xludf.DUMMYFUNCTION("""COMPUTED_VALUE"""),45446.0)</f>
        <v>45446</v>
      </c>
      <c r="C13928" s="13">
        <f>IFERROR(__xludf.DUMMYFUNCTION("""COMPUTED_VALUE"""),0.3333333333333333)</f>
        <v>0.3333333333</v>
      </c>
      <c r="D13928" s="8">
        <f>IFERROR(__xludf.DUMMYFUNCTION("""COMPUTED_VALUE"""),0.083)</f>
        <v>0.083</v>
      </c>
      <c r="E13928" s="8" t="str">
        <f>IFERROR(__xludf.DUMMYFUNCTION("""COMPUTED_VALUE"""),"Real")</f>
        <v>Real</v>
      </c>
      <c r="G13928" s="8">
        <f t="shared" si="1"/>
        <v>6</v>
      </c>
      <c r="H13928" s="14">
        <f t="shared" si="2"/>
        <v>3</v>
      </c>
      <c r="I13928" s="15">
        <f t="shared" si="3"/>
        <v>8</v>
      </c>
    </row>
    <row r="13929">
      <c r="A13929" s="8" t="str">
        <f>IFERROR(__xludf.DUMMYFUNCTION("IF('(INGESTA)Datos_consumo_datadis'!A13929&lt;&gt;"""",SPLIT('(INGESTA)Datos_consumo_datadis'!A:A,"",""),"""")"),"ES0031408323131005HX0F")</f>
        <v>ES0031408323131005HX0F</v>
      </c>
      <c r="B13929" s="12">
        <f>IFERROR(__xludf.DUMMYFUNCTION("""COMPUTED_VALUE"""),45446.0)</f>
        <v>45446</v>
      </c>
      <c r="C13929" s="13">
        <f>IFERROR(__xludf.DUMMYFUNCTION("""COMPUTED_VALUE"""),0.375)</f>
        <v>0.375</v>
      </c>
      <c r="D13929" s="8">
        <f>IFERROR(__xludf.DUMMYFUNCTION("""COMPUTED_VALUE"""),0.076)</f>
        <v>0.076</v>
      </c>
      <c r="E13929" s="8" t="str">
        <f>IFERROR(__xludf.DUMMYFUNCTION("""COMPUTED_VALUE"""),"Real")</f>
        <v>Real</v>
      </c>
      <c r="G13929" s="8">
        <f t="shared" si="1"/>
        <v>6</v>
      </c>
      <c r="H13929" s="14">
        <f t="shared" si="2"/>
        <v>3</v>
      </c>
      <c r="I13929" s="15">
        <f t="shared" si="3"/>
        <v>9</v>
      </c>
    </row>
    <row r="13930">
      <c r="A13930" s="8" t="str">
        <f>IFERROR(__xludf.DUMMYFUNCTION("IF('(INGESTA)Datos_consumo_datadis'!A13930&lt;&gt;"""",SPLIT('(INGESTA)Datos_consumo_datadis'!A:A,"",""),"""")"),"ES0031408323131005HX0F")</f>
        <v>ES0031408323131005HX0F</v>
      </c>
      <c r="B13930" s="12">
        <f>IFERROR(__xludf.DUMMYFUNCTION("""COMPUTED_VALUE"""),45446.0)</f>
        <v>45446</v>
      </c>
      <c r="C13930" s="13">
        <f>IFERROR(__xludf.DUMMYFUNCTION("""COMPUTED_VALUE"""),0.4166666666666667)</f>
        <v>0.4166666667</v>
      </c>
      <c r="D13930" s="8">
        <f>IFERROR(__xludf.DUMMYFUNCTION("""COMPUTED_VALUE"""),0.048)</f>
        <v>0.048</v>
      </c>
      <c r="E13930" s="8" t="str">
        <f>IFERROR(__xludf.DUMMYFUNCTION("""COMPUTED_VALUE"""),"Real")</f>
        <v>Real</v>
      </c>
      <c r="G13930" s="8">
        <f t="shared" si="1"/>
        <v>6</v>
      </c>
      <c r="H13930" s="14">
        <f t="shared" si="2"/>
        <v>3</v>
      </c>
      <c r="I13930" s="15">
        <f t="shared" si="3"/>
        <v>10</v>
      </c>
    </row>
    <row r="13931">
      <c r="A13931" s="8" t="str">
        <f>IFERROR(__xludf.DUMMYFUNCTION("IF('(INGESTA)Datos_consumo_datadis'!A13931&lt;&gt;"""",SPLIT('(INGESTA)Datos_consumo_datadis'!A:A,"",""),"""")"),"ES0031408323131005HX0F")</f>
        <v>ES0031408323131005HX0F</v>
      </c>
      <c r="B13931" s="12">
        <f>IFERROR(__xludf.DUMMYFUNCTION("""COMPUTED_VALUE"""),45446.0)</f>
        <v>45446</v>
      </c>
      <c r="C13931" s="13">
        <f>IFERROR(__xludf.DUMMYFUNCTION("""COMPUTED_VALUE"""),0.4583333333333333)</f>
        <v>0.4583333333</v>
      </c>
      <c r="D13931" s="8">
        <f>IFERROR(__xludf.DUMMYFUNCTION("""COMPUTED_VALUE"""),0.057)</f>
        <v>0.057</v>
      </c>
      <c r="E13931" s="8" t="str">
        <f>IFERROR(__xludf.DUMMYFUNCTION("""COMPUTED_VALUE"""),"Real")</f>
        <v>Real</v>
      </c>
      <c r="G13931" s="8">
        <f t="shared" si="1"/>
        <v>6</v>
      </c>
      <c r="H13931" s="14">
        <f t="shared" si="2"/>
        <v>3</v>
      </c>
      <c r="I13931" s="15">
        <f t="shared" si="3"/>
        <v>11</v>
      </c>
    </row>
    <row r="13932">
      <c r="A13932" s="8" t="str">
        <f>IFERROR(__xludf.DUMMYFUNCTION("IF('(INGESTA)Datos_consumo_datadis'!A13932&lt;&gt;"""",SPLIT('(INGESTA)Datos_consumo_datadis'!A:A,"",""),"""")"),"ES0031408323131005HX0F")</f>
        <v>ES0031408323131005HX0F</v>
      </c>
      <c r="B13932" s="12">
        <f>IFERROR(__xludf.DUMMYFUNCTION("""COMPUTED_VALUE"""),45446.0)</f>
        <v>45446</v>
      </c>
      <c r="C13932" s="13">
        <f>IFERROR(__xludf.DUMMYFUNCTION("""COMPUTED_VALUE"""),0.5)</f>
        <v>0.5</v>
      </c>
      <c r="D13932" s="8">
        <f>IFERROR(__xludf.DUMMYFUNCTION("""COMPUTED_VALUE"""),0.406)</f>
        <v>0.406</v>
      </c>
      <c r="E13932" s="8" t="str">
        <f>IFERROR(__xludf.DUMMYFUNCTION("""COMPUTED_VALUE"""),"Real")</f>
        <v>Real</v>
      </c>
      <c r="G13932" s="8">
        <f t="shared" si="1"/>
        <v>6</v>
      </c>
      <c r="H13932" s="14">
        <f t="shared" si="2"/>
        <v>3</v>
      </c>
      <c r="I13932" s="15">
        <f t="shared" si="3"/>
        <v>12</v>
      </c>
    </row>
    <row r="13933">
      <c r="A13933" s="8" t="str">
        <f>IFERROR(__xludf.DUMMYFUNCTION("IF('(INGESTA)Datos_consumo_datadis'!A13933&lt;&gt;"""",SPLIT('(INGESTA)Datos_consumo_datadis'!A:A,"",""),"""")"),"ES0031408323131005HX0F")</f>
        <v>ES0031408323131005HX0F</v>
      </c>
      <c r="B13933" s="12">
        <f>IFERROR(__xludf.DUMMYFUNCTION("""COMPUTED_VALUE"""),45446.0)</f>
        <v>45446</v>
      </c>
      <c r="C13933" s="13">
        <f>IFERROR(__xludf.DUMMYFUNCTION("""COMPUTED_VALUE"""),0.5416666666666666)</f>
        <v>0.5416666667</v>
      </c>
      <c r="D13933" s="8">
        <f>IFERROR(__xludf.DUMMYFUNCTION("""COMPUTED_VALUE"""),0.062)</f>
        <v>0.062</v>
      </c>
      <c r="E13933" s="8" t="str">
        <f>IFERROR(__xludf.DUMMYFUNCTION("""COMPUTED_VALUE"""),"Real")</f>
        <v>Real</v>
      </c>
      <c r="G13933" s="8">
        <f t="shared" si="1"/>
        <v>6</v>
      </c>
      <c r="H13933" s="14">
        <f t="shared" si="2"/>
        <v>3</v>
      </c>
      <c r="I13933" s="15">
        <f t="shared" si="3"/>
        <v>13</v>
      </c>
    </row>
    <row r="13934">
      <c r="A13934" s="8" t="str">
        <f>IFERROR(__xludf.DUMMYFUNCTION("IF('(INGESTA)Datos_consumo_datadis'!A13934&lt;&gt;"""",SPLIT('(INGESTA)Datos_consumo_datadis'!A:A,"",""),"""")"),"ES0031408323131005HX0F")</f>
        <v>ES0031408323131005HX0F</v>
      </c>
      <c r="B13934" s="12">
        <f>IFERROR(__xludf.DUMMYFUNCTION("""COMPUTED_VALUE"""),45446.0)</f>
        <v>45446</v>
      </c>
      <c r="C13934" s="13">
        <f>IFERROR(__xludf.DUMMYFUNCTION("""COMPUTED_VALUE"""),0.5833333333333334)</f>
        <v>0.5833333333</v>
      </c>
      <c r="D13934" s="8">
        <f>IFERROR(__xludf.DUMMYFUNCTION("""COMPUTED_VALUE"""),0.043)</f>
        <v>0.043</v>
      </c>
      <c r="E13934" s="8" t="str">
        <f>IFERROR(__xludf.DUMMYFUNCTION("""COMPUTED_VALUE"""),"Real")</f>
        <v>Real</v>
      </c>
      <c r="G13934" s="8">
        <f t="shared" si="1"/>
        <v>6</v>
      </c>
      <c r="H13934" s="14">
        <f t="shared" si="2"/>
        <v>3</v>
      </c>
      <c r="I13934" s="15">
        <f t="shared" si="3"/>
        <v>14</v>
      </c>
    </row>
    <row r="13935">
      <c r="A13935" s="8" t="str">
        <f>IFERROR(__xludf.DUMMYFUNCTION("IF('(INGESTA)Datos_consumo_datadis'!A13935&lt;&gt;"""",SPLIT('(INGESTA)Datos_consumo_datadis'!A:A,"",""),"""")"),"ES0031408323131005HX0F")</f>
        <v>ES0031408323131005HX0F</v>
      </c>
      <c r="B13935" s="12">
        <f>IFERROR(__xludf.DUMMYFUNCTION("""COMPUTED_VALUE"""),45446.0)</f>
        <v>45446</v>
      </c>
      <c r="C13935" s="13">
        <f>IFERROR(__xludf.DUMMYFUNCTION("""COMPUTED_VALUE"""),0.625)</f>
        <v>0.625</v>
      </c>
      <c r="D13935" s="8">
        <f>IFERROR(__xludf.DUMMYFUNCTION("""COMPUTED_VALUE"""),0.033)</f>
        <v>0.033</v>
      </c>
      <c r="E13935" s="8" t="str">
        <f>IFERROR(__xludf.DUMMYFUNCTION("""COMPUTED_VALUE"""),"Real")</f>
        <v>Real</v>
      </c>
      <c r="G13935" s="8">
        <f t="shared" si="1"/>
        <v>6</v>
      </c>
      <c r="H13935" s="14">
        <f t="shared" si="2"/>
        <v>3</v>
      </c>
      <c r="I13935" s="15">
        <f t="shared" si="3"/>
        <v>15</v>
      </c>
    </row>
    <row r="13936">
      <c r="A13936" s="8" t="str">
        <f>IFERROR(__xludf.DUMMYFUNCTION("IF('(INGESTA)Datos_consumo_datadis'!A13936&lt;&gt;"""",SPLIT('(INGESTA)Datos_consumo_datadis'!A:A,"",""),"""")"),"ES0031408323131005HX0F")</f>
        <v>ES0031408323131005HX0F</v>
      </c>
      <c r="B13936" s="12">
        <f>IFERROR(__xludf.DUMMYFUNCTION("""COMPUTED_VALUE"""),45446.0)</f>
        <v>45446</v>
      </c>
      <c r="C13936" s="13">
        <f>IFERROR(__xludf.DUMMYFUNCTION("""COMPUTED_VALUE"""),0.6666666666666666)</f>
        <v>0.6666666667</v>
      </c>
      <c r="D13936" s="8">
        <f>IFERROR(__xludf.DUMMYFUNCTION("""COMPUTED_VALUE"""),0.113)</f>
        <v>0.113</v>
      </c>
      <c r="E13936" s="8" t="str">
        <f>IFERROR(__xludf.DUMMYFUNCTION("""COMPUTED_VALUE"""),"Real")</f>
        <v>Real</v>
      </c>
      <c r="G13936" s="8">
        <f t="shared" si="1"/>
        <v>6</v>
      </c>
      <c r="H13936" s="14">
        <f t="shared" si="2"/>
        <v>3</v>
      </c>
      <c r="I13936" s="15">
        <f t="shared" si="3"/>
        <v>16</v>
      </c>
    </row>
    <row r="13937">
      <c r="A13937" s="8" t="str">
        <f>IFERROR(__xludf.DUMMYFUNCTION("IF('(INGESTA)Datos_consumo_datadis'!A13937&lt;&gt;"""",SPLIT('(INGESTA)Datos_consumo_datadis'!A:A,"",""),"""")"),"ES0031408323131005HX0F")</f>
        <v>ES0031408323131005HX0F</v>
      </c>
      <c r="B13937" s="12">
        <f>IFERROR(__xludf.DUMMYFUNCTION("""COMPUTED_VALUE"""),45446.0)</f>
        <v>45446</v>
      </c>
      <c r="C13937" s="13">
        <f>IFERROR(__xludf.DUMMYFUNCTION("""COMPUTED_VALUE"""),0.7083333333333334)</f>
        <v>0.7083333333</v>
      </c>
      <c r="D13937" s="8">
        <f>IFERROR(__xludf.DUMMYFUNCTION("""COMPUTED_VALUE"""),0.054)</f>
        <v>0.054</v>
      </c>
      <c r="E13937" s="8" t="str">
        <f>IFERROR(__xludf.DUMMYFUNCTION("""COMPUTED_VALUE"""),"Real")</f>
        <v>Real</v>
      </c>
      <c r="G13937" s="8">
        <f t="shared" si="1"/>
        <v>6</v>
      </c>
      <c r="H13937" s="14">
        <f t="shared" si="2"/>
        <v>3</v>
      </c>
      <c r="I13937" s="15">
        <f t="shared" si="3"/>
        <v>17</v>
      </c>
    </row>
    <row r="13938">
      <c r="A13938" s="8" t="str">
        <f>IFERROR(__xludf.DUMMYFUNCTION("IF('(INGESTA)Datos_consumo_datadis'!A13938&lt;&gt;"""",SPLIT('(INGESTA)Datos_consumo_datadis'!A:A,"",""),"""")"),"ES0031408323131005HX0F")</f>
        <v>ES0031408323131005HX0F</v>
      </c>
      <c r="B13938" s="12">
        <f>IFERROR(__xludf.DUMMYFUNCTION("""COMPUTED_VALUE"""),45446.0)</f>
        <v>45446</v>
      </c>
      <c r="C13938" s="13">
        <f>IFERROR(__xludf.DUMMYFUNCTION("""COMPUTED_VALUE"""),0.75)</f>
        <v>0.75</v>
      </c>
      <c r="D13938" s="8">
        <f>IFERROR(__xludf.DUMMYFUNCTION("""COMPUTED_VALUE"""),0.053)</f>
        <v>0.053</v>
      </c>
      <c r="E13938" s="8" t="str">
        <f>IFERROR(__xludf.DUMMYFUNCTION("""COMPUTED_VALUE"""),"Real")</f>
        <v>Real</v>
      </c>
      <c r="G13938" s="8">
        <f t="shared" si="1"/>
        <v>6</v>
      </c>
      <c r="H13938" s="14">
        <f t="shared" si="2"/>
        <v>3</v>
      </c>
      <c r="I13938" s="15">
        <f t="shared" si="3"/>
        <v>18</v>
      </c>
    </row>
    <row r="13939">
      <c r="A13939" s="8" t="str">
        <f>IFERROR(__xludf.DUMMYFUNCTION("IF('(INGESTA)Datos_consumo_datadis'!A13939&lt;&gt;"""",SPLIT('(INGESTA)Datos_consumo_datadis'!A:A,"",""),"""")"),"ES0031408323131005HX0F")</f>
        <v>ES0031408323131005HX0F</v>
      </c>
      <c r="B13939" s="12">
        <f>IFERROR(__xludf.DUMMYFUNCTION("""COMPUTED_VALUE"""),45446.0)</f>
        <v>45446</v>
      </c>
      <c r="C13939" s="13">
        <f>IFERROR(__xludf.DUMMYFUNCTION("""COMPUTED_VALUE"""),0.7916666666666666)</f>
        <v>0.7916666667</v>
      </c>
      <c r="D13939" s="8">
        <f>IFERROR(__xludf.DUMMYFUNCTION("""COMPUTED_VALUE"""),0.339)</f>
        <v>0.339</v>
      </c>
      <c r="E13939" s="8" t="str">
        <f>IFERROR(__xludf.DUMMYFUNCTION("""COMPUTED_VALUE"""),"Real")</f>
        <v>Real</v>
      </c>
      <c r="G13939" s="8">
        <f t="shared" si="1"/>
        <v>6</v>
      </c>
      <c r="H13939" s="14">
        <f t="shared" si="2"/>
        <v>3</v>
      </c>
      <c r="I13939" s="15">
        <f t="shared" si="3"/>
        <v>19</v>
      </c>
    </row>
    <row r="13940">
      <c r="A13940" s="8" t="str">
        <f>IFERROR(__xludf.DUMMYFUNCTION("IF('(INGESTA)Datos_consumo_datadis'!A13940&lt;&gt;"""",SPLIT('(INGESTA)Datos_consumo_datadis'!A:A,"",""),"""")"),"ES0031408323131005HX0F")</f>
        <v>ES0031408323131005HX0F</v>
      </c>
      <c r="B13940" s="12">
        <f>IFERROR(__xludf.DUMMYFUNCTION("""COMPUTED_VALUE"""),45446.0)</f>
        <v>45446</v>
      </c>
      <c r="C13940" s="13">
        <f>IFERROR(__xludf.DUMMYFUNCTION("""COMPUTED_VALUE"""),0.8333333333333334)</f>
        <v>0.8333333333</v>
      </c>
      <c r="D13940" s="8">
        <f>IFERROR(__xludf.DUMMYFUNCTION("""COMPUTED_VALUE"""),0.119)</f>
        <v>0.119</v>
      </c>
      <c r="E13940" s="8" t="str">
        <f>IFERROR(__xludf.DUMMYFUNCTION("""COMPUTED_VALUE"""),"Real")</f>
        <v>Real</v>
      </c>
      <c r="G13940" s="8">
        <f t="shared" si="1"/>
        <v>6</v>
      </c>
      <c r="H13940" s="14">
        <f t="shared" si="2"/>
        <v>3</v>
      </c>
      <c r="I13940" s="15">
        <f t="shared" si="3"/>
        <v>20</v>
      </c>
    </row>
    <row r="13941">
      <c r="A13941" s="8" t="str">
        <f>IFERROR(__xludf.DUMMYFUNCTION("IF('(INGESTA)Datos_consumo_datadis'!A13941&lt;&gt;"""",SPLIT('(INGESTA)Datos_consumo_datadis'!A:A,"",""),"""")"),"ES0031408323131005HX0F")</f>
        <v>ES0031408323131005HX0F</v>
      </c>
      <c r="B13941" s="12">
        <f>IFERROR(__xludf.DUMMYFUNCTION("""COMPUTED_VALUE"""),45446.0)</f>
        <v>45446</v>
      </c>
      <c r="C13941" s="13">
        <f>IFERROR(__xludf.DUMMYFUNCTION("""COMPUTED_VALUE"""),0.875)</f>
        <v>0.875</v>
      </c>
      <c r="D13941" s="8">
        <f>IFERROR(__xludf.DUMMYFUNCTION("""COMPUTED_VALUE"""),0.061)</f>
        <v>0.061</v>
      </c>
      <c r="E13941" s="8" t="str">
        <f>IFERROR(__xludf.DUMMYFUNCTION("""COMPUTED_VALUE"""),"Real")</f>
        <v>Real</v>
      </c>
      <c r="G13941" s="8">
        <f t="shared" si="1"/>
        <v>6</v>
      </c>
      <c r="H13941" s="14">
        <f t="shared" si="2"/>
        <v>3</v>
      </c>
      <c r="I13941" s="15">
        <f t="shared" si="3"/>
        <v>21</v>
      </c>
    </row>
    <row r="13942">
      <c r="A13942" s="8" t="str">
        <f>IFERROR(__xludf.DUMMYFUNCTION("IF('(INGESTA)Datos_consumo_datadis'!A13942&lt;&gt;"""",SPLIT('(INGESTA)Datos_consumo_datadis'!A:A,"",""),"""")"),"ES0031408323131005HX0F")</f>
        <v>ES0031408323131005HX0F</v>
      </c>
      <c r="B13942" s="12">
        <f>IFERROR(__xludf.DUMMYFUNCTION("""COMPUTED_VALUE"""),45446.0)</f>
        <v>45446</v>
      </c>
      <c r="C13942" s="13">
        <f>IFERROR(__xludf.DUMMYFUNCTION("""COMPUTED_VALUE"""),0.9166666666666666)</f>
        <v>0.9166666667</v>
      </c>
      <c r="D13942" s="8">
        <f>IFERROR(__xludf.DUMMYFUNCTION("""COMPUTED_VALUE"""),0.057)</f>
        <v>0.057</v>
      </c>
      <c r="E13942" s="8" t="str">
        <f>IFERROR(__xludf.DUMMYFUNCTION("""COMPUTED_VALUE"""),"Real")</f>
        <v>Real</v>
      </c>
      <c r="G13942" s="8">
        <f t="shared" si="1"/>
        <v>6</v>
      </c>
      <c r="H13942" s="14">
        <f t="shared" si="2"/>
        <v>3</v>
      </c>
      <c r="I13942" s="15">
        <f t="shared" si="3"/>
        <v>22</v>
      </c>
    </row>
    <row r="13943">
      <c r="A13943" s="8" t="str">
        <f>IFERROR(__xludf.DUMMYFUNCTION("IF('(INGESTA)Datos_consumo_datadis'!A13943&lt;&gt;"""",SPLIT('(INGESTA)Datos_consumo_datadis'!A:A,"",""),"""")"),"ES0031408323131005HX0F")</f>
        <v>ES0031408323131005HX0F</v>
      </c>
      <c r="B13943" s="12">
        <f>IFERROR(__xludf.DUMMYFUNCTION("""COMPUTED_VALUE"""),45446.0)</f>
        <v>45446</v>
      </c>
      <c r="C13943" s="13">
        <f>IFERROR(__xludf.DUMMYFUNCTION("""COMPUTED_VALUE"""),0.9583333333333334)</f>
        <v>0.9583333333</v>
      </c>
      <c r="D13943" s="8">
        <f>IFERROR(__xludf.DUMMYFUNCTION("""COMPUTED_VALUE"""),0.025)</f>
        <v>0.025</v>
      </c>
      <c r="E13943" s="8" t="str">
        <f>IFERROR(__xludf.DUMMYFUNCTION("""COMPUTED_VALUE"""),"Real")</f>
        <v>Real</v>
      </c>
      <c r="G13943" s="8">
        <f t="shared" si="1"/>
        <v>6</v>
      </c>
      <c r="H13943" s="14">
        <f t="shared" si="2"/>
        <v>3</v>
      </c>
      <c r="I13943" s="15">
        <f t="shared" si="3"/>
        <v>23</v>
      </c>
    </row>
    <row r="13944">
      <c r="A13944" s="8" t="str">
        <f>IFERROR(__xludf.DUMMYFUNCTION("IF('(INGESTA)Datos_consumo_datadis'!A13944&lt;&gt;"""",SPLIT('(INGESTA)Datos_consumo_datadis'!A:A,"",""),"""")"),"ES0031408323131005HX0F")</f>
        <v>ES0031408323131005HX0F</v>
      </c>
      <c r="B13944" s="12">
        <f>IFERROR(__xludf.DUMMYFUNCTION("""COMPUTED_VALUE"""),45446.0)</f>
        <v>45446</v>
      </c>
      <c r="C13944" s="16">
        <f>IFERROR(__xludf.DUMMYFUNCTION("""COMPUTED_VALUE"""),1.0)</f>
        <v>1</v>
      </c>
      <c r="D13944" s="8">
        <f>IFERROR(__xludf.DUMMYFUNCTION("""COMPUTED_VALUE"""),0.123)</f>
        <v>0.123</v>
      </c>
      <c r="E13944" s="8" t="str">
        <f>IFERROR(__xludf.DUMMYFUNCTION("""COMPUTED_VALUE"""),"Real")</f>
        <v>Real</v>
      </c>
      <c r="G13944" s="8">
        <f t="shared" si="1"/>
        <v>6</v>
      </c>
      <c r="H13944" s="14">
        <f t="shared" si="2"/>
        <v>3</v>
      </c>
      <c r="I13944" s="15">
        <f t="shared" si="3"/>
        <v>0</v>
      </c>
    </row>
    <row r="13945">
      <c r="A13945" s="8" t="str">
        <f>IFERROR(__xludf.DUMMYFUNCTION("IF('(INGESTA)Datos_consumo_datadis'!A13945&lt;&gt;"""",SPLIT('(INGESTA)Datos_consumo_datadis'!A:A,"",""),"""")"),"ES0031408323131005HX0F")</f>
        <v>ES0031408323131005HX0F</v>
      </c>
      <c r="B13945" s="12">
        <f>IFERROR(__xludf.DUMMYFUNCTION("""COMPUTED_VALUE"""),45447.0)</f>
        <v>45447</v>
      </c>
      <c r="C13945" s="13">
        <f>IFERROR(__xludf.DUMMYFUNCTION("""COMPUTED_VALUE"""),0.041666666666666664)</f>
        <v>0.04166666667</v>
      </c>
      <c r="D13945" s="8">
        <f>IFERROR(__xludf.DUMMYFUNCTION("""COMPUTED_VALUE"""),0.068)</f>
        <v>0.068</v>
      </c>
      <c r="E13945" s="8" t="str">
        <f>IFERROR(__xludf.DUMMYFUNCTION("""COMPUTED_VALUE"""),"Real")</f>
        <v>Real</v>
      </c>
      <c r="G13945" s="8">
        <f t="shared" si="1"/>
        <v>6</v>
      </c>
      <c r="H13945" s="14">
        <f t="shared" si="2"/>
        <v>4</v>
      </c>
      <c r="I13945" s="15">
        <f t="shared" si="3"/>
        <v>1</v>
      </c>
    </row>
    <row r="13946">
      <c r="A13946" s="8" t="str">
        <f>IFERROR(__xludf.DUMMYFUNCTION("IF('(INGESTA)Datos_consumo_datadis'!A13946&lt;&gt;"""",SPLIT('(INGESTA)Datos_consumo_datadis'!A:A,"",""),"""")"),"ES0031408323131005HX0F")</f>
        <v>ES0031408323131005HX0F</v>
      </c>
      <c r="B13946" s="12">
        <f>IFERROR(__xludf.DUMMYFUNCTION("""COMPUTED_VALUE"""),45447.0)</f>
        <v>45447</v>
      </c>
      <c r="C13946" s="13">
        <f>IFERROR(__xludf.DUMMYFUNCTION("""COMPUTED_VALUE"""),0.08333333333333333)</f>
        <v>0.08333333333</v>
      </c>
      <c r="D13946" s="8">
        <f>IFERROR(__xludf.DUMMYFUNCTION("""COMPUTED_VALUE"""),0.054)</f>
        <v>0.054</v>
      </c>
      <c r="E13946" s="8" t="str">
        <f>IFERROR(__xludf.DUMMYFUNCTION("""COMPUTED_VALUE"""),"Real")</f>
        <v>Real</v>
      </c>
      <c r="G13946" s="8">
        <f t="shared" si="1"/>
        <v>6</v>
      </c>
      <c r="H13946" s="14">
        <f t="shared" si="2"/>
        <v>4</v>
      </c>
      <c r="I13946" s="15">
        <f t="shared" si="3"/>
        <v>2</v>
      </c>
    </row>
    <row r="13947">
      <c r="A13947" s="8" t="str">
        <f>IFERROR(__xludf.DUMMYFUNCTION("IF('(INGESTA)Datos_consumo_datadis'!A13947&lt;&gt;"""",SPLIT('(INGESTA)Datos_consumo_datadis'!A:A,"",""),"""")"),"ES0031408323131005HX0F")</f>
        <v>ES0031408323131005HX0F</v>
      </c>
      <c r="B13947" s="12">
        <f>IFERROR(__xludf.DUMMYFUNCTION("""COMPUTED_VALUE"""),45447.0)</f>
        <v>45447</v>
      </c>
      <c r="C13947" s="13">
        <f>IFERROR(__xludf.DUMMYFUNCTION("""COMPUTED_VALUE"""),0.125)</f>
        <v>0.125</v>
      </c>
      <c r="D13947" s="8">
        <f>IFERROR(__xludf.DUMMYFUNCTION("""COMPUTED_VALUE"""),0.267)</f>
        <v>0.267</v>
      </c>
      <c r="E13947" s="8" t="str">
        <f>IFERROR(__xludf.DUMMYFUNCTION("""COMPUTED_VALUE"""),"Real")</f>
        <v>Real</v>
      </c>
      <c r="G13947" s="8">
        <f t="shared" si="1"/>
        <v>6</v>
      </c>
      <c r="H13947" s="14">
        <f t="shared" si="2"/>
        <v>4</v>
      </c>
      <c r="I13947" s="15">
        <f t="shared" si="3"/>
        <v>3</v>
      </c>
    </row>
    <row r="13948">
      <c r="A13948" s="8" t="str">
        <f>IFERROR(__xludf.DUMMYFUNCTION("IF('(INGESTA)Datos_consumo_datadis'!A13948&lt;&gt;"""",SPLIT('(INGESTA)Datos_consumo_datadis'!A:A,"",""),"""")"),"ES0031408323131005HX0F")</f>
        <v>ES0031408323131005HX0F</v>
      </c>
      <c r="B13948" s="12">
        <f>IFERROR(__xludf.DUMMYFUNCTION("""COMPUTED_VALUE"""),45447.0)</f>
        <v>45447</v>
      </c>
      <c r="C13948" s="13">
        <f>IFERROR(__xludf.DUMMYFUNCTION("""COMPUTED_VALUE"""),0.16666666666666666)</f>
        <v>0.1666666667</v>
      </c>
      <c r="D13948" s="8">
        <f>IFERROR(__xludf.DUMMYFUNCTION("""COMPUTED_VALUE"""),0.102)</f>
        <v>0.102</v>
      </c>
      <c r="E13948" s="8" t="str">
        <f>IFERROR(__xludf.DUMMYFUNCTION("""COMPUTED_VALUE"""),"Real")</f>
        <v>Real</v>
      </c>
      <c r="G13948" s="8">
        <f t="shared" si="1"/>
        <v>6</v>
      </c>
      <c r="H13948" s="14">
        <f t="shared" si="2"/>
        <v>4</v>
      </c>
      <c r="I13948" s="15">
        <f t="shared" si="3"/>
        <v>4</v>
      </c>
    </row>
    <row r="13949">
      <c r="A13949" s="8" t="str">
        <f>IFERROR(__xludf.DUMMYFUNCTION("IF('(INGESTA)Datos_consumo_datadis'!A13949&lt;&gt;"""",SPLIT('(INGESTA)Datos_consumo_datadis'!A:A,"",""),"""")"),"ES0031408323131005HX0F")</f>
        <v>ES0031408323131005HX0F</v>
      </c>
      <c r="B13949" s="12">
        <f>IFERROR(__xludf.DUMMYFUNCTION("""COMPUTED_VALUE"""),45447.0)</f>
        <v>45447</v>
      </c>
      <c r="C13949" s="13">
        <f>IFERROR(__xludf.DUMMYFUNCTION("""COMPUTED_VALUE"""),0.20833333333333334)</f>
        <v>0.2083333333</v>
      </c>
      <c r="D13949" s="8">
        <f>IFERROR(__xludf.DUMMYFUNCTION("""COMPUTED_VALUE"""),0.077)</f>
        <v>0.077</v>
      </c>
      <c r="E13949" s="8" t="str">
        <f>IFERROR(__xludf.DUMMYFUNCTION("""COMPUTED_VALUE"""),"Real")</f>
        <v>Real</v>
      </c>
      <c r="G13949" s="8">
        <f t="shared" si="1"/>
        <v>6</v>
      </c>
      <c r="H13949" s="14">
        <f t="shared" si="2"/>
        <v>4</v>
      </c>
      <c r="I13949" s="15">
        <f t="shared" si="3"/>
        <v>5</v>
      </c>
    </row>
    <row r="13950">
      <c r="A13950" s="8" t="str">
        <f>IFERROR(__xludf.DUMMYFUNCTION("IF('(INGESTA)Datos_consumo_datadis'!A13950&lt;&gt;"""",SPLIT('(INGESTA)Datos_consumo_datadis'!A:A,"",""),"""")"),"ES0031408323131005HX0F")</f>
        <v>ES0031408323131005HX0F</v>
      </c>
      <c r="B13950" s="12">
        <f>IFERROR(__xludf.DUMMYFUNCTION("""COMPUTED_VALUE"""),45447.0)</f>
        <v>45447</v>
      </c>
      <c r="C13950" s="13">
        <f>IFERROR(__xludf.DUMMYFUNCTION("""COMPUTED_VALUE"""),0.25)</f>
        <v>0.25</v>
      </c>
      <c r="D13950" s="8">
        <f>IFERROR(__xludf.DUMMYFUNCTION("""COMPUTED_VALUE"""),0.052)</f>
        <v>0.052</v>
      </c>
      <c r="E13950" s="8" t="str">
        <f>IFERROR(__xludf.DUMMYFUNCTION("""COMPUTED_VALUE"""),"Real")</f>
        <v>Real</v>
      </c>
      <c r="G13950" s="8">
        <f t="shared" si="1"/>
        <v>6</v>
      </c>
      <c r="H13950" s="14">
        <f t="shared" si="2"/>
        <v>4</v>
      </c>
      <c r="I13950" s="15">
        <f t="shared" si="3"/>
        <v>6</v>
      </c>
    </row>
    <row r="13951">
      <c r="A13951" s="8" t="str">
        <f>IFERROR(__xludf.DUMMYFUNCTION("IF('(INGESTA)Datos_consumo_datadis'!A13951&lt;&gt;"""",SPLIT('(INGESTA)Datos_consumo_datadis'!A:A,"",""),"""")"),"ES0031408323131005HX0F")</f>
        <v>ES0031408323131005HX0F</v>
      </c>
      <c r="B13951" s="12">
        <f>IFERROR(__xludf.DUMMYFUNCTION("""COMPUTED_VALUE"""),45447.0)</f>
        <v>45447</v>
      </c>
      <c r="C13951" s="13">
        <f>IFERROR(__xludf.DUMMYFUNCTION("""COMPUTED_VALUE"""),0.2916666666666667)</f>
        <v>0.2916666667</v>
      </c>
      <c r="D13951" s="8">
        <f>IFERROR(__xludf.DUMMYFUNCTION("""COMPUTED_VALUE"""),0.02)</f>
        <v>0.02</v>
      </c>
      <c r="E13951" s="8" t="str">
        <f>IFERROR(__xludf.DUMMYFUNCTION("""COMPUTED_VALUE"""),"Real")</f>
        <v>Real</v>
      </c>
      <c r="G13951" s="8">
        <f t="shared" si="1"/>
        <v>6</v>
      </c>
      <c r="H13951" s="14">
        <f t="shared" si="2"/>
        <v>4</v>
      </c>
      <c r="I13951" s="15">
        <f t="shared" si="3"/>
        <v>7</v>
      </c>
    </row>
    <row r="13952">
      <c r="A13952" s="8" t="str">
        <f>IFERROR(__xludf.DUMMYFUNCTION("IF('(INGESTA)Datos_consumo_datadis'!A13952&lt;&gt;"""",SPLIT('(INGESTA)Datos_consumo_datadis'!A:A,"",""),"""")"),"ES0031408323131005HX0F")</f>
        <v>ES0031408323131005HX0F</v>
      </c>
      <c r="B13952" s="12">
        <f>IFERROR(__xludf.DUMMYFUNCTION("""COMPUTED_VALUE"""),45447.0)</f>
        <v>45447</v>
      </c>
      <c r="C13952" s="13">
        <f>IFERROR(__xludf.DUMMYFUNCTION("""COMPUTED_VALUE"""),0.3333333333333333)</f>
        <v>0.3333333333</v>
      </c>
      <c r="D13952" s="8">
        <f>IFERROR(__xludf.DUMMYFUNCTION("""COMPUTED_VALUE"""),0.09)</f>
        <v>0.09</v>
      </c>
      <c r="E13952" s="8" t="str">
        <f>IFERROR(__xludf.DUMMYFUNCTION("""COMPUTED_VALUE"""),"Real")</f>
        <v>Real</v>
      </c>
      <c r="G13952" s="8">
        <f t="shared" si="1"/>
        <v>6</v>
      </c>
      <c r="H13952" s="14">
        <f t="shared" si="2"/>
        <v>4</v>
      </c>
      <c r="I13952" s="15">
        <f t="shared" si="3"/>
        <v>8</v>
      </c>
    </row>
    <row r="13953">
      <c r="A13953" s="8" t="str">
        <f>IFERROR(__xludf.DUMMYFUNCTION("IF('(INGESTA)Datos_consumo_datadis'!A13953&lt;&gt;"""",SPLIT('(INGESTA)Datos_consumo_datadis'!A:A,"",""),"""")"),"ES0031408323131005HX0F")</f>
        <v>ES0031408323131005HX0F</v>
      </c>
      <c r="B13953" s="12">
        <f>IFERROR(__xludf.DUMMYFUNCTION("""COMPUTED_VALUE"""),45447.0)</f>
        <v>45447</v>
      </c>
      <c r="C13953" s="13">
        <f>IFERROR(__xludf.DUMMYFUNCTION("""COMPUTED_VALUE"""),0.375)</f>
        <v>0.375</v>
      </c>
      <c r="D13953" s="8">
        <f>IFERROR(__xludf.DUMMYFUNCTION("""COMPUTED_VALUE"""),0.356)</f>
        <v>0.356</v>
      </c>
      <c r="E13953" s="8" t="str">
        <f>IFERROR(__xludf.DUMMYFUNCTION("""COMPUTED_VALUE"""),"Real")</f>
        <v>Real</v>
      </c>
      <c r="G13953" s="8">
        <f t="shared" si="1"/>
        <v>6</v>
      </c>
      <c r="H13953" s="14">
        <f t="shared" si="2"/>
        <v>4</v>
      </c>
      <c r="I13953" s="15">
        <f t="shared" si="3"/>
        <v>9</v>
      </c>
    </row>
    <row r="13954">
      <c r="A13954" s="8" t="str">
        <f>IFERROR(__xludf.DUMMYFUNCTION("IF('(INGESTA)Datos_consumo_datadis'!A13954&lt;&gt;"""",SPLIT('(INGESTA)Datos_consumo_datadis'!A:A,"",""),"""")"),"ES0031408323131005HX0F")</f>
        <v>ES0031408323131005HX0F</v>
      </c>
      <c r="B13954" s="12">
        <f>IFERROR(__xludf.DUMMYFUNCTION("""COMPUTED_VALUE"""),45447.0)</f>
        <v>45447</v>
      </c>
      <c r="C13954" s="13">
        <f>IFERROR(__xludf.DUMMYFUNCTION("""COMPUTED_VALUE"""),0.4166666666666667)</f>
        <v>0.4166666667</v>
      </c>
      <c r="D13954" s="8">
        <f>IFERROR(__xludf.DUMMYFUNCTION("""COMPUTED_VALUE"""),0.082)</f>
        <v>0.082</v>
      </c>
      <c r="E13954" s="8" t="str">
        <f>IFERROR(__xludf.DUMMYFUNCTION("""COMPUTED_VALUE"""),"Real")</f>
        <v>Real</v>
      </c>
      <c r="G13954" s="8">
        <f t="shared" si="1"/>
        <v>6</v>
      </c>
      <c r="H13954" s="14">
        <f t="shared" si="2"/>
        <v>4</v>
      </c>
      <c r="I13954" s="15">
        <f t="shared" si="3"/>
        <v>10</v>
      </c>
    </row>
    <row r="13955">
      <c r="A13955" s="8" t="str">
        <f>IFERROR(__xludf.DUMMYFUNCTION("IF('(INGESTA)Datos_consumo_datadis'!A13955&lt;&gt;"""",SPLIT('(INGESTA)Datos_consumo_datadis'!A:A,"",""),"""")"),"ES0031408323131005HX0F")</f>
        <v>ES0031408323131005HX0F</v>
      </c>
      <c r="B13955" s="12">
        <f>IFERROR(__xludf.DUMMYFUNCTION("""COMPUTED_VALUE"""),45447.0)</f>
        <v>45447</v>
      </c>
      <c r="C13955" s="13">
        <f>IFERROR(__xludf.DUMMYFUNCTION("""COMPUTED_VALUE"""),0.4583333333333333)</f>
        <v>0.4583333333</v>
      </c>
      <c r="D13955" s="8">
        <f>IFERROR(__xludf.DUMMYFUNCTION("""COMPUTED_VALUE"""),0.032)</f>
        <v>0.032</v>
      </c>
      <c r="E13955" s="8" t="str">
        <f>IFERROR(__xludf.DUMMYFUNCTION("""COMPUTED_VALUE"""),"Real")</f>
        <v>Real</v>
      </c>
      <c r="G13955" s="8">
        <f t="shared" si="1"/>
        <v>6</v>
      </c>
      <c r="H13955" s="14">
        <f t="shared" si="2"/>
        <v>4</v>
      </c>
      <c r="I13955" s="15">
        <f t="shared" si="3"/>
        <v>11</v>
      </c>
    </row>
    <row r="13956">
      <c r="A13956" s="8" t="str">
        <f>IFERROR(__xludf.DUMMYFUNCTION("IF('(INGESTA)Datos_consumo_datadis'!A13956&lt;&gt;"""",SPLIT('(INGESTA)Datos_consumo_datadis'!A:A,"",""),"""")"),"ES0031408323131005HX0F")</f>
        <v>ES0031408323131005HX0F</v>
      </c>
      <c r="B13956" s="12">
        <f>IFERROR(__xludf.DUMMYFUNCTION("""COMPUTED_VALUE"""),45447.0)</f>
        <v>45447</v>
      </c>
      <c r="C13956" s="13">
        <f>IFERROR(__xludf.DUMMYFUNCTION("""COMPUTED_VALUE"""),0.5)</f>
        <v>0.5</v>
      </c>
      <c r="D13956" s="8">
        <f>IFERROR(__xludf.DUMMYFUNCTION("""COMPUTED_VALUE"""),0.075)</f>
        <v>0.075</v>
      </c>
      <c r="E13956" s="8" t="str">
        <f>IFERROR(__xludf.DUMMYFUNCTION("""COMPUTED_VALUE"""),"Real")</f>
        <v>Real</v>
      </c>
      <c r="G13956" s="8">
        <f t="shared" si="1"/>
        <v>6</v>
      </c>
      <c r="H13956" s="14">
        <f t="shared" si="2"/>
        <v>4</v>
      </c>
      <c r="I13956" s="15">
        <f t="shared" si="3"/>
        <v>12</v>
      </c>
    </row>
    <row r="13957">
      <c r="A13957" s="8" t="str">
        <f>IFERROR(__xludf.DUMMYFUNCTION("IF('(INGESTA)Datos_consumo_datadis'!A13957&lt;&gt;"""",SPLIT('(INGESTA)Datos_consumo_datadis'!A:A,"",""),"""")"),"ES0031408323131005HX0F")</f>
        <v>ES0031408323131005HX0F</v>
      </c>
      <c r="B13957" s="12">
        <f>IFERROR(__xludf.DUMMYFUNCTION("""COMPUTED_VALUE"""),45447.0)</f>
        <v>45447</v>
      </c>
      <c r="C13957" s="13">
        <f>IFERROR(__xludf.DUMMYFUNCTION("""COMPUTED_VALUE"""),0.5416666666666666)</f>
        <v>0.5416666667</v>
      </c>
      <c r="D13957" s="8">
        <f>IFERROR(__xludf.DUMMYFUNCTION("""COMPUTED_VALUE"""),0.551)</f>
        <v>0.551</v>
      </c>
      <c r="E13957" s="8" t="str">
        <f>IFERROR(__xludf.DUMMYFUNCTION("""COMPUTED_VALUE"""),"Real")</f>
        <v>Real</v>
      </c>
      <c r="G13957" s="8">
        <f t="shared" si="1"/>
        <v>6</v>
      </c>
      <c r="H13957" s="14">
        <f t="shared" si="2"/>
        <v>4</v>
      </c>
      <c r="I13957" s="15">
        <f t="shared" si="3"/>
        <v>13</v>
      </c>
    </row>
    <row r="13958">
      <c r="A13958" s="8" t="str">
        <f>IFERROR(__xludf.DUMMYFUNCTION("IF('(INGESTA)Datos_consumo_datadis'!A13958&lt;&gt;"""",SPLIT('(INGESTA)Datos_consumo_datadis'!A:A,"",""),"""")"),"ES0031408323131005HX0F")</f>
        <v>ES0031408323131005HX0F</v>
      </c>
      <c r="B13958" s="12">
        <f>IFERROR(__xludf.DUMMYFUNCTION("""COMPUTED_VALUE"""),45447.0)</f>
        <v>45447</v>
      </c>
      <c r="C13958" s="13">
        <f>IFERROR(__xludf.DUMMYFUNCTION("""COMPUTED_VALUE"""),0.5833333333333334)</f>
        <v>0.5833333333</v>
      </c>
      <c r="D13958" s="8">
        <f>IFERROR(__xludf.DUMMYFUNCTION("""COMPUTED_VALUE"""),0.814)</f>
        <v>0.814</v>
      </c>
      <c r="E13958" s="8" t="str">
        <f>IFERROR(__xludf.DUMMYFUNCTION("""COMPUTED_VALUE"""),"Real")</f>
        <v>Real</v>
      </c>
      <c r="G13958" s="8">
        <f t="shared" si="1"/>
        <v>6</v>
      </c>
      <c r="H13958" s="14">
        <f t="shared" si="2"/>
        <v>4</v>
      </c>
      <c r="I13958" s="15">
        <f t="shared" si="3"/>
        <v>14</v>
      </c>
    </row>
    <row r="13959">
      <c r="A13959" s="8" t="str">
        <f>IFERROR(__xludf.DUMMYFUNCTION("IF('(INGESTA)Datos_consumo_datadis'!A13959&lt;&gt;"""",SPLIT('(INGESTA)Datos_consumo_datadis'!A:A,"",""),"""")"),"ES0031408323131005HX0F")</f>
        <v>ES0031408323131005HX0F</v>
      </c>
      <c r="B13959" s="12">
        <f>IFERROR(__xludf.DUMMYFUNCTION("""COMPUTED_VALUE"""),45447.0)</f>
        <v>45447</v>
      </c>
      <c r="C13959" s="13">
        <f>IFERROR(__xludf.DUMMYFUNCTION("""COMPUTED_VALUE"""),0.625)</f>
        <v>0.625</v>
      </c>
      <c r="D13959" s="8">
        <f>IFERROR(__xludf.DUMMYFUNCTION("""COMPUTED_VALUE"""),0.076)</f>
        <v>0.076</v>
      </c>
      <c r="E13959" s="8" t="str">
        <f>IFERROR(__xludf.DUMMYFUNCTION("""COMPUTED_VALUE"""),"Real")</f>
        <v>Real</v>
      </c>
      <c r="G13959" s="8">
        <f t="shared" si="1"/>
        <v>6</v>
      </c>
      <c r="H13959" s="14">
        <f t="shared" si="2"/>
        <v>4</v>
      </c>
      <c r="I13959" s="15">
        <f t="shared" si="3"/>
        <v>15</v>
      </c>
    </row>
    <row r="13960">
      <c r="A13960" s="8" t="str">
        <f>IFERROR(__xludf.DUMMYFUNCTION("IF('(INGESTA)Datos_consumo_datadis'!A13960&lt;&gt;"""",SPLIT('(INGESTA)Datos_consumo_datadis'!A:A,"",""),"""")"),"ES0031408323131005HX0F")</f>
        <v>ES0031408323131005HX0F</v>
      </c>
      <c r="B13960" s="12">
        <f>IFERROR(__xludf.DUMMYFUNCTION("""COMPUTED_VALUE"""),45447.0)</f>
        <v>45447</v>
      </c>
      <c r="C13960" s="13">
        <f>IFERROR(__xludf.DUMMYFUNCTION("""COMPUTED_VALUE"""),0.6666666666666666)</f>
        <v>0.6666666667</v>
      </c>
      <c r="D13960" s="8">
        <f>IFERROR(__xludf.DUMMYFUNCTION("""COMPUTED_VALUE"""),0.123)</f>
        <v>0.123</v>
      </c>
      <c r="E13960" s="8" t="str">
        <f>IFERROR(__xludf.DUMMYFUNCTION("""COMPUTED_VALUE"""),"Real")</f>
        <v>Real</v>
      </c>
      <c r="G13960" s="8">
        <f t="shared" si="1"/>
        <v>6</v>
      </c>
      <c r="H13960" s="14">
        <f t="shared" si="2"/>
        <v>4</v>
      </c>
      <c r="I13960" s="15">
        <f t="shared" si="3"/>
        <v>16</v>
      </c>
    </row>
    <row r="13961">
      <c r="A13961" s="8" t="str">
        <f>IFERROR(__xludf.DUMMYFUNCTION("IF('(INGESTA)Datos_consumo_datadis'!A13961&lt;&gt;"""",SPLIT('(INGESTA)Datos_consumo_datadis'!A:A,"",""),"""")"),"ES0031408323131005HX0F")</f>
        <v>ES0031408323131005HX0F</v>
      </c>
      <c r="B13961" s="12">
        <f>IFERROR(__xludf.DUMMYFUNCTION("""COMPUTED_VALUE"""),45447.0)</f>
        <v>45447</v>
      </c>
      <c r="C13961" s="13">
        <f>IFERROR(__xludf.DUMMYFUNCTION("""COMPUTED_VALUE"""),0.7083333333333334)</f>
        <v>0.7083333333</v>
      </c>
      <c r="D13961" s="8">
        <f>IFERROR(__xludf.DUMMYFUNCTION("""COMPUTED_VALUE"""),0.138)</f>
        <v>0.138</v>
      </c>
      <c r="E13961" s="8" t="str">
        <f>IFERROR(__xludf.DUMMYFUNCTION("""COMPUTED_VALUE"""),"Real")</f>
        <v>Real</v>
      </c>
      <c r="G13961" s="8">
        <f t="shared" si="1"/>
        <v>6</v>
      </c>
      <c r="H13961" s="14">
        <f t="shared" si="2"/>
        <v>4</v>
      </c>
      <c r="I13961" s="15">
        <f t="shared" si="3"/>
        <v>17</v>
      </c>
    </row>
    <row r="13962">
      <c r="A13962" s="8" t="str">
        <f>IFERROR(__xludf.DUMMYFUNCTION("IF('(INGESTA)Datos_consumo_datadis'!A13962&lt;&gt;"""",SPLIT('(INGESTA)Datos_consumo_datadis'!A:A,"",""),"""")"),"ES0031408323131005HX0F")</f>
        <v>ES0031408323131005HX0F</v>
      </c>
      <c r="B13962" s="12">
        <f>IFERROR(__xludf.DUMMYFUNCTION("""COMPUTED_VALUE"""),45447.0)</f>
        <v>45447</v>
      </c>
      <c r="C13962" s="13">
        <f>IFERROR(__xludf.DUMMYFUNCTION("""COMPUTED_VALUE"""),0.75)</f>
        <v>0.75</v>
      </c>
      <c r="D13962" s="8">
        <f>IFERROR(__xludf.DUMMYFUNCTION("""COMPUTED_VALUE"""),0.134)</f>
        <v>0.134</v>
      </c>
      <c r="E13962" s="8" t="str">
        <f>IFERROR(__xludf.DUMMYFUNCTION("""COMPUTED_VALUE"""),"Real")</f>
        <v>Real</v>
      </c>
      <c r="G13962" s="8">
        <f t="shared" si="1"/>
        <v>6</v>
      </c>
      <c r="H13962" s="14">
        <f t="shared" si="2"/>
        <v>4</v>
      </c>
      <c r="I13962" s="15">
        <f t="shared" si="3"/>
        <v>18</v>
      </c>
    </row>
    <row r="13963">
      <c r="A13963" s="8" t="str">
        <f>IFERROR(__xludf.DUMMYFUNCTION("IF('(INGESTA)Datos_consumo_datadis'!A13963&lt;&gt;"""",SPLIT('(INGESTA)Datos_consumo_datadis'!A:A,"",""),"""")"),"ES0031408323131005HX0F")</f>
        <v>ES0031408323131005HX0F</v>
      </c>
      <c r="B13963" s="12">
        <f>IFERROR(__xludf.DUMMYFUNCTION("""COMPUTED_VALUE"""),45447.0)</f>
        <v>45447</v>
      </c>
      <c r="C13963" s="13">
        <f>IFERROR(__xludf.DUMMYFUNCTION("""COMPUTED_VALUE"""),0.7916666666666666)</f>
        <v>0.7916666667</v>
      </c>
      <c r="D13963" s="8">
        <f>IFERROR(__xludf.DUMMYFUNCTION("""COMPUTED_VALUE"""),0.352)</f>
        <v>0.352</v>
      </c>
      <c r="E13963" s="8" t="str">
        <f>IFERROR(__xludf.DUMMYFUNCTION("""COMPUTED_VALUE"""),"Real")</f>
        <v>Real</v>
      </c>
      <c r="G13963" s="8">
        <f t="shared" si="1"/>
        <v>6</v>
      </c>
      <c r="H13963" s="14">
        <f t="shared" si="2"/>
        <v>4</v>
      </c>
      <c r="I13963" s="15">
        <f t="shared" si="3"/>
        <v>19</v>
      </c>
    </row>
    <row r="13964">
      <c r="A13964" s="8" t="str">
        <f>IFERROR(__xludf.DUMMYFUNCTION("IF('(INGESTA)Datos_consumo_datadis'!A13964&lt;&gt;"""",SPLIT('(INGESTA)Datos_consumo_datadis'!A:A,"",""),"""")"),"ES0031408323131005HX0F")</f>
        <v>ES0031408323131005HX0F</v>
      </c>
      <c r="B13964" s="12">
        <f>IFERROR(__xludf.DUMMYFUNCTION("""COMPUTED_VALUE"""),45447.0)</f>
        <v>45447</v>
      </c>
      <c r="C13964" s="13">
        <f>IFERROR(__xludf.DUMMYFUNCTION("""COMPUTED_VALUE"""),0.8333333333333334)</f>
        <v>0.8333333333</v>
      </c>
      <c r="D13964" s="8">
        <f>IFERROR(__xludf.DUMMYFUNCTION("""COMPUTED_VALUE"""),0.117)</f>
        <v>0.117</v>
      </c>
      <c r="E13964" s="8" t="str">
        <f>IFERROR(__xludf.DUMMYFUNCTION("""COMPUTED_VALUE"""),"Real")</f>
        <v>Real</v>
      </c>
      <c r="G13964" s="8">
        <f t="shared" si="1"/>
        <v>6</v>
      </c>
      <c r="H13964" s="14">
        <f t="shared" si="2"/>
        <v>4</v>
      </c>
      <c r="I13964" s="15">
        <f t="shared" si="3"/>
        <v>20</v>
      </c>
    </row>
    <row r="13965">
      <c r="A13965" s="8" t="str">
        <f>IFERROR(__xludf.DUMMYFUNCTION("IF('(INGESTA)Datos_consumo_datadis'!A13965&lt;&gt;"""",SPLIT('(INGESTA)Datos_consumo_datadis'!A:A,"",""),"""")"),"ES0031408323131005HX0F")</f>
        <v>ES0031408323131005HX0F</v>
      </c>
      <c r="B13965" s="12">
        <f>IFERROR(__xludf.DUMMYFUNCTION("""COMPUTED_VALUE"""),45447.0)</f>
        <v>45447</v>
      </c>
      <c r="C13965" s="13">
        <f>IFERROR(__xludf.DUMMYFUNCTION("""COMPUTED_VALUE"""),0.875)</f>
        <v>0.875</v>
      </c>
      <c r="D13965" s="8">
        <f>IFERROR(__xludf.DUMMYFUNCTION("""COMPUTED_VALUE"""),0.144)</f>
        <v>0.144</v>
      </c>
      <c r="E13965" s="8" t="str">
        <f>IFERROR(__xludf.DUMMYFUNCTION("""COMPUTED_VALUE"""),"Real")</f>
        <v>Real</v>
      </c>
      <c r="G13965" s="8">
        <f t="shared" si="1"/>
        <v>6</v>
      </c>
      <c r="H13965" s="14">
        <f t="shared" si="2"/>
        <v>4</v>
      </c>
      <c r="I13965" s="15">
        <f t="shared" si="3"/>
        <v>21</v>
      </c>
    </row>
    <row r="13966">
      <c r="A13966" s="8" t="str">
        <f>IFERROR(__xludf.DUMMYFUNCTION("IF('(INGESTA)Datos_consumo_datadis'!A13966&lt;&gt;"""",SPLIT('(INGESTA)Datos_consumo_datadis'!A:A,"",""),"""")"),"ES0031408323131005HX0F")</f>
        <v>ES0031408323131005HX0F</v>
      </c>
      <c r="B13966" s="12">
        <f>IFERROR(__xludf.DUMMYFUNCTION("""COMPUTED_VALUE"""),45447.0)</f>
        <v>45447</v>
      </c>
      <c r="C13966" s="13">
        <f>IFERROR(__xludf.DUMMYFUNCTION("""COMPUTED_VALUE"""),0.9166666666666666)</f>
        <v>0.9166666667</v>
      </c>
      <c r="D13966" s="8">
        <f>IFERROR(__xludf.DUMMYFUNCTION("""COMPUTED_VALUE"""),0.13)</f>
        <v>0.13</v>
      </c>
      <c r="E13966" s="8" t="str">
        <f>IFERROR(__xludf.DUMMYFUNCTION("""COMPUTED_VALUE"""),"Real")</f>
        <v>Real</v>
      </c>
      <c r="G13966" s="8">
        <f t="shared" si="1"/>
        <v>6</v>
      </c>
      <c r="H13966" s="14">
        <f t="shared" si="2"/>
        <v>4</v>
      </c>
      <c r="I13966" s="15">
        <f t="shared" si="3"/>
        <v>22</v>
      </c>
    </row>
    <row r="13967">
      <c r="A13967" s="8" t="str">
        <f>IFERROR(__xludf.DUMMYFUNCTION("IF('(INGESTA)Datos_consumo_datadis'!A13967&lt;&gt;"""",SPLIT('(INGESTA)Datos_consumo_datadis'!A:A,"",""),"""")"),"ES0031408323131005HX0F")</f>
        <v>ES0031408323131005HX0F</v>
      </c>
      <c r="B13967" s="12">
        <f>IFERROR(__xludf.DUMMYFUNCTION("""COMPUTED_VALUE"""),45447.0)</f>
        <v>45447</v>
      </c>
      <c r="C13967" s="13">
        <f>IFERROR(__xludf.DUMMYFUNCTION("""COMPUTED_VALUE"""),0.9583333333333334)</f>
        <v>0.9583333333</v>
      </c>
      <c r="D13967" s="8">
        <f>IFERROR(__xludf.DUMMYFUNCTION("""COMPUTED_VALUE"""),0.088)</f>
        <v>0.088</v>
      </c>
      <c r="E13967" s="8" t="str">
        <f>IFERROR(__xludf.DUMMYFUNCTION("""COMPUTED_VALUE"""),"Real")</f>
        <v>Real</v>
      </c>
      <c r="G13967" s="8">
        <f t="shared" si="1"/>
        <v>6</v>
      </c>
      <c r="H13967" s="14">
        <f t="shared" si="2"/>
        <v>4</v>
      </c>
      <c r="I13967" s="15">
        <f t="shared" si="3"/>
        <v>23</v>
      </c>
    </row>
    <row r="13968">
      <c r="A13968" s="8" t="str">
        <f>IFERROR(__xludf.DUMMYFUNCTION("IF('(INGESTA)Datos_consumo_datadis'!A13968&lt;&gt;"""",SPLIT('(INGESTA)Datos_consumo_datadis'!A:A,"",""),"""")"),"ES0031408323131005HX0F")</f>
        <v>ES0031408323131005HX0F</v>
      </c>
      <c r="B13968" s="12">
        <f>IFERROR(__xludf.DUMMYFUNCTION("""COMPUTED_VALUE"""),45447.0)</f>
        <v>45447</v>
      </c>
      <c r="C13968" s="16">
        <f>IFERROR(__xludf.DUMMYFUNCTION("""COMPUTED_VALUE"""),1.0)</f>
        <v>1</v>
      </c>
      <c r="D13968" s="8">
        <f>IFERROR(__xludf.DUMMYFUNCTION("""COMPUTED_VALUE"""),0.108)</f>
        <v>0.108</v>
      </c>
      <c r="E13968" s="8" t="str">
        <f>IFERROR(__xludf.DUMMYFUNCTION("""COMPUTED_VALUE"""),"Real")</f>
        <v>Real</v>
      </c>
      <c r="G13968" s="8">
        <f t="shared" si="1"/>
        <v>6</v>
      </c>
      <c r="H13968" s="14">
        <f t="shared" si="2"/>
        <v>4</v>
      </c>
      <c r="I13968" s="15">
        <f t="shared" si="3"/>
        <v>0</v>
      </c>
    </row>
    <row r="13969">
      <c r="A13969" s="8" t="str">
        <f>IFERROR(__xludf.DUMMYFUNCTION("IF('(INGESTA)Datos_consumo_datadis'!A13969&lt;&gt;"""",SPLIT('(INGESTA)Datos_consumo_datadis'!A:A,"",""),"""")"),"ES0031408323131005HX0F")</f>
        <v>ES0031408323131005HX0F</v>
      </c>
      <c r="B13969" s="12">
        <f>IFERROR(__xludf.DUMMYFUNCTION("""COMPUTED_VALUE"""),45448.0)</f>
        <v>45448</v>
      </c>
      <c r="C13969" s="13">
        <f>IFERROR(__xludf.DUMMYFUNCTION("""COMPUTED_VALUE"""),0.041666666666666664)</f>
        <v>0.04166666667</v>
      </c>
      <c r="D13969" s="8">
        <f>IFERROR(__xludf.DUMMYFUNCTION("""COMPUTED_VALUE"""),0.152)</f>
        <v>0.152</v>
      </c>
      <c r="E13969" s="8" t="str">
        <f>IFERROR(__xludf.DUMMYFUNCTION("""COMPUTED_VALUE"""),"Real")</f>
        <v>Real</v>
      </c>
      <c r="G13969" s="8">
        <f t="shared" si="1"/>
        <v>6</v>
      </c>
      <c r="H13969" s="14">
        <f t="shared" si="2"/>
        <v>5</v>
      </c>
      <c r="I13969" s="15">
        <f t="shared" si="3"/>
        <v>1</v>
      </c>
    </row>
    <row r="13970">
      <c r="A13970" s="8" t="str">
        <f>IFERROR(__xludf.DUMMYFUNCTION("IF('(INGESTA)Datos_consumo_datadis'!A13970&lt;&gt;"""",SPLIT('(INGESTA)Datos_consumo_datadis'!A:A,"",""),"""")"),"ES0031408323131005HX0F")</f>
        <v>ES0031408323131005HX0F</v>
      </c>
      <c r="B13970" s="12">
        <f>IFERROR(__xludf.DUMMYFUNCTION("""COMPUTED_VALUE"""),45448.0)</f>
        <v>45448</v>
      </c>
      <c r="C13970" s="13">
        <f>IFERROR(__xludf.DUMMYFUNCTION("""COMPUTED_VALUE"""),0.08333333333333333)</f>
        <v>0.08333333333</v>
      </c>
      <c r="D13970" s="8">
        <f>IFERROR(__xludf.DUMMYFUNCTION("""COMPUTED_VALUE"""),0.124)</f>
        <v>0.124</v>
      </c>
      <c r="E13970" s="8" t="str">
        <f>IFERROR(__xludf.DUMMYFUNCTION("""COMPUTED_VALUE"""),"Real")</f>
        <v>Real</v>
      </c>
      <c r="G13970" s="8">
        <f t="shared" si="1"/>
        <v>6</v>
      </c>
      <c r="H13970" s="14">
        <f t="shared" si="2"/>
        <v>5</v>
      </c>
      <c r="I13970" s="15">
        <f t="shared" si="3"/>
        <v>2</v>
      </c>
    </row>
    <row r="13971">
      <c r="A13971" s="8" t="str">
        <f>IFERROR(__xludf.DUMMYFUNCTION("IF('(INGESTA)Datos_consumo_datadis'!A13971&lt;&gt;"""",SPLIT('(INGESTA)Datos_consumo_datadis'!A:A,"",""),"""")"),"ES0031408323131005HX0F")</f>
        <v>ES0031408323131005HX0F</v>
      </c>
      <c r="B13971" s="12">
        <f>IFERROR(__xludf.DUMMYFUNCTION("""COMPUTED_VALUE"""),45448.0)</f>
        <v>45448</v>
      </c>
      <c r="C13971" s="13">
        <f>IFERROR(__xludf.DUMMYFUNCTION("""COMPUTED_VALUE"""),0.125)</f>
        <v>0.125</v>
      </c>
      <c r="D13971" s="8">
        <f>IFERROR(__xludf.DUMMYFUNCTION("""COMPUTED_VALUE"""),0.421)</f>
        <v>0.421</v>
      </c>
      <c r="E13971" s="8" t="str">
        <f>IFERROR(__xludf.DUMMYFUNCTION("""COMPUTED_VALUE"""),"Real")</f>
        <v>Real</v>
      </c>
      <c r="G13971" s="8">
        <f t="shared" si="1"/>
        <v>6</v>
      </c>
      <c r="H13971" s="14">
        <f t="shared" si="2"/>
        <v>5</v>
      </c>
      <c r="I13971" s="15">
        <f t="shared" si="3"/>
        <v>3</v>
      </c>
    </row>
    <row r="13972">
      <c r="A13972" s="8" t="str">
        <f>IFERROR(__xludf.DUMMYFUNCTION("IF('(INGESTA)Datos_consumo_datadis'!A13972&lt;&gt;"""",SPLIT('(INGESTA)Datos_consumo_datadis'!A:A,"",""),"""")"),"ES0031408323131005HX0F")</f>
        <v>ES0031408323131005HX0F</v>
      </c>
      <c r="B13972" s="12">
        <f>IFERROR(__xludf.DUMMYFUNCTION("""COMPUTED_VALUE"""),45448.0)</f>
        <v>45448</v>
      </c>
      <c r="C13972" s="13">
        <f>IFERROR(__xludf.DUMMYFUNCTION("""COMPUTED_VALUE"""),0.16666666666666666)</f>
        <v>0.1666666667</v>
      </c>
      <c r="D13972" s="8">
        <f>IFERROR(__xludf.DUMMYFUNCTION("""COMPUTED_VALUE"""),0.1)</f>
        <v>0.1</v>
      </c>
      <c r="E13972" s="8" t="str">
        <f>IFERROR(__xludf.DUMMYFUNCTION("""COMPUTED_VALUE"""),"Real")</f>
        <v>Real</v>
      </c>
      <c r="G13972" s="8">
        <f t="shared" si="1"/>
        <v>6</v>
      </c>
      <c r="H13972" s="14">
        <f t="shared" si="2"/>
        <v>5</v>
      </c>
      <c r="I13972" s="15">
        <f t="shared" si="3"/>
        <v>4</v>
      </c>
    </row>
    <row r="13973">
      <c r="A13973" s="8" t="str">
        <f>IFERROR(__xludf.DUMMYFUNCTION("IF('(INGESTA)Datos_consumo_datadis'!A13973&lt;&gt;"""",SPLIT('(INGESTA)Datos_consumo_datadis'!A:A,"",""),"""")"),"ES0031408323131005HX0F")</f>
        <v>ES0031408323131005HX0F</v>
      </c>
      <c r="B13973" s="12">
        <f>IFERROR(__xludf.DUMMYFUNCTION("""COMPUTED_VALUE"""),45448.0)</f>
        <v>45448</v>
      </c>
      <c r="C13973" s="13">
        <f>IFERROR(__xludf.DUMMYFUNCTION("""COMPUTED_VALUE"""),0.20833333333333334)</f>
        <v>0.2083333333</v>
      </c>
      <c r="D13973" s="8">
        <f>IFERROR(__xludf.DUMMYFUNCTION("""COMPUTED_VALUE"""),0.16)</f>
        <v>0.16</v>
      </c>
      <c r="E13973" s="8" t="str">
        <f>IFERROR(__xludf.DUMMYFUNCTION("""COMPUTED_VALUE"""),"Real")</f>
        <v>Real</v>
      </c>
      <c r="G13973" s="8">
        <f t="shared" si="1"/>
        <v>6</v>
      </c>
      <c r="H13973" s="14">
        <f t="shared" si="2"/>
        <v>5</v>
      </c>
      <c r="I13973" s="15">
        <f t="shared" si="3"/>
        <v>5</v>
      </c>
    </row>
    <row r="13974">
      <c r="A13974" s="8" t="str">
        <f>IFERROR(__xludf.DUMMYFUNCTION("IF('(INGESTA)Datos_consumo_datadis'!A13974&lt;&gt;"""",SPLIT('(INGESTA)Datos_consumo_datadis'!A:A,"",""),"""")"),"ES0031408323131005HX0F")</f>
        <v>ES0031408323131005HX0F</v>
      </c>
      <c r="B13974" s="12">
        <f>IFERROR(__xludf.DUMMYFUNCTION("""COMPUTED_VALUE"""),45448.0)</f>
        <v>45448</v>
      </c>
      <c r="C13974" s="13">
        <f>IFERROR(__xludf.DUMMYFUNCTION("""COMPUTED_VALUE"""),0.25)</f>
        <v>0.25</v>
      </c>
      <c r="D13974" s="8">
        <f>IFERROR(__xludf.DUMMYFUNCTION("""COMPUTED_VALUE"""),0.116)</f>
        <v>0.116</v>
      </c>
      <c r="E13974" s="8" t="str">
        <f>IFERROR(__xludf.DUMMYFUNCTION("""COMPUTED_VALUE"""),"Real")</f>
        <v>Real</v>
      </c>
      <c r="G13974" s="8">
        <f t="shared" si="1"/>
        <v>6</v>
      </c>
      <c r="H13974" s="14">
        <f t="shared" si="2"/>
        <v>5</v>
      </c>
      <c r="I13974" s="15">
        <f t="shared" si="3"/>
        <v>6</v>
      </c>
    </row>
    <row r="13975">
      <c r="A13975" s="8" t="str">
        <f>IFERROR(__xludf.DUMMYFUNCTION("IF('(INGESTA)Datos_consumo_datadis'!A13975&lt;&gt;"""",SPLIT('(INGESTA)Datos_consumo_datadis'!A:A,"",""),"""")"),"ES0031408323131005HX0F")</f>
        <v>ES0031408323131005HX0F</v>
      </c>
      <c r="B13975" s="12">
        <f>IFERROR(__xludf.DUMMYFUNCTION("""COMPUTED_VALUE"""),45448.0)</f>
        <v>45448</v>
      </c>
      <c r="C13975" s="13">
        <f>IFERROR(__xludf.DUMMYFUNCTION("""COMPUTED_VALUE"""),0.2916666666666667)</f>
        <v>0.2916666667</v>
      </c>
      <c r="D13975" s="8">
        <f>IFERROR(__xludf.DUMMYFUNCTION("""COMPUTED_VALUE"""),0.103)</f>
        <v>0.103</v>
      </c>
      <c r="E13975" s="8" t="str">
        <f>IFERROR(__xludf.DUMMYFUNCTION("""COMPUTED_VALUE"""),"Real")</f>
        <v>Real</v>
      </c>
      <c r="G13975" s="8">
        <f t="shared" si="1"/>
        <v>6</v>
      </c>
      <c r="H13975" s="14">
        <f t="shared" si="2"/>
        <v>5</v>
      </c>
      <c r="I13975" s="15">
        <f t="shared" si="3"/>
        <v>7</v>
      </c>
    </row>
    <row r="13976">
      <c r="A13976" s="8" t="str">
        <f>IFERROR(__xludf.DUMMYFUNCTION("IF('(INGESTA)Datos_consumo_datadis'!A13976&lt;&gt;"""",SPLIT('(INGESTA)Datos_consumo_datadis'!A:A,"",""),"""")"),"ES0031408323131005HX0F")</f>
        <v>ES0031408323131005HX0F</v>
      </c>
      <c r="B13976" s="12">
        <f>IFERROR(__xludf.DUMMYFUNCTION("""COMPUTED_VALUE"""),45448.0)</f>
        <v>45448</v>
      </c>
      <c r="C13976" s="13">
        <f>IFERROR(__xludf.DUMMYFUNCTION("""COMPUTED_VALUE"""),0.3333333333333333)</f>
        <v>0.3333333333</v>
      </c>
      <c r="D13976" s="8">
        <f>IFERROR(__xludf.DUMMYFUNCTION("""COMPUTED_VALUE"""),0.088)</f>
        <v>0.088</v>
      </c>
      <c r="E13976" s="8" t="str">
        <f>IFERROR(__xludf.DUMMYFUNCTION("""COMPUTED_VALUE"""),"Real")</f>
        <v>Real</v>
      </c>
      <c r="G13976" s="8">
        <f t="shared" si="1"/>
        <v>6</v>
      </c>
      <c r="H13976" s="14">
        <f t="shared" si="2"/>
        <v>5</v>
      </c>
      <c r="I13976" s="15">
        <f t="shared" si="3"/>
        <v>8</v>
      </c>
    </row>
    <row r="13977">
      <c r="A13977" s="8" t="str">
        <f>IFERROR(__xludf.DUMMYFUNCTION("IF('(INGESTA)Datos_consumo_datadis'!A13977&lt;&gt;"""",SPLIT('(INGESTA)Datos_consumo_datadis'!A:A,"",""),"""")"),"ES0031408323131005HX0F")</f>
        <v>ES0031408323131005HX0F</v>
      </c>
      <c r="B13977" s="12">
        <f>IFERROR(__xludf.DUMMYFUNCTION("""COMPUTED_VALUE"""),45448.0)</f>
        <v>45448</v>
      </c>
      <c r="C13977" s="13">
        <f>IFERROR(__xludf.DUMMYFUNCTION("""COMPUTED_VALUE"""),0.375)</f>
        <v>0.375</v>
      </c>
      <c r="D13977" s="8">
        <f>IFERROR(__xludf.DUMMYFUNCTION("""COMPUTED_VALUE"""),0.17)</f>
        <v>0.17</v>
      </c>
      <c r="E13977" s="8" t="str">
        <f>IFERROR(__xludf.DUMMYFUNCTION("""COMPUTED_VALUE"""),"Real")</f>
        <v>Real</v>
      </c>
      <c r="G13977" s="8">
        <f t="shared" si="1"/>
        <v>6</v>
      </c>
      <c r="H13977" s="14">
        <f t="shared" si="2"/>
        <v>5</v>
      </c>
      <c r="I13977" s="15">
        <f t="shared" si="3"/>
        <v>9</v>
      </c>
    </row>
    <row r="13978">
      <c r="A13978" s="8" t="str">
        <f>IFERROR(__xludf.DUMMYFUNCTION("IF('(INGESTA)Datos_consumo_datadis'!A13978&lt;&gt;"""",SPLIT('(INGESTA)Datos_consumo_datadis'!A:A,"",""),"""")"),"ES0031408323131005HX0F")</f>
        <v>ES0031408323131005HX0F</v>
      </c>
      <c r="B13978" s="12">
        <f>IFERROR(__xludf.DUMMYFUNCTION("""COMPUTED_VALUE"""),45448.0)</f>
        <v>45448</v>
      </c>
      <c r="C13978" s="13">
        <f>IFERROR(__xludf.DUMMYFUNCTION("""COMPUTED_VALUE"""),0.4166666666666667)</f>
        <v>0.4166666667</v>
      </c>
      <c r="D13978" s="8">
        <f>IFERROR(__xludf.DUMMYFUNCTION("""COMPUTED_VALUE"""),0.141)</f>
        <v>0.141</v>
      </c>
      <c r="E13978" s="8" t="str">
        <f>IFERROR(__xludf.DUMMYFUNCTION("""COMPUTED_VALUE"""),"Real")</f>
        <v>Real</v>
      </c>
      <c r="G13978" s="8">
        <f t="shared" si="1"/>
        <v>6</v>
      </c>
      <c r="H13978" s="14">
        <f t="shared" si="2"/>
        <v>5</v>
      </c>
      <c r="I13978" s="15">
        <f t="shared" si="3"/>
        <v>10</v>
      </c>
    </row>
    <row r="13979">
      <c r="A13979" s="8" t="str">
        <f>IFERROR(__xludf.DUMMYFUNCTION("IF('(INGESTA)Datos_consumo_datadis'!A13979&lt;&gt;"""",SPLIT('(INGESTA)Datos_consumo_datadis'!A:A,"",""),"""")"),"ES0031408323131005HX0F")</f>
        <v>ES0031408323131005HX0F</v>
      </c>
      <c r="B13979" s="12">
        <f>IFERROR(__xludf.DUMMYFUNCTION("""COMPUTED_VALUE"""),45448.0)</f>
        <v>45448</v>
      </c>
      <c r="C13979" s="13">
        <f>IFERROR(__xludf.DUMMYFUNCTION("""COMPUTED_VALUE"""),0.4583333333333333)</f>
        <v>0.4583333333</v>
      </c>
      <c r="D13979" s="8">
        <f>IFERROR(__xludf.DUMMYFUNCTION("""COMPUTED_VALUE"""),0.402)</f>
        <v>0.402</v>
      </c>
      <c r="E13979" s="8" t="str">
        <f>IFERROR(__xludf.DUMMYFUNCTION("""COMPUTED_VALUE"""),"Real")</f>
        <v>Real</v>
      </c>
      <c r="G13979" s="8">
        <f t="shared" si="1"/>
        <v>6</v>
      </c>
      <c r="H13979" s="14">
        <f t="shared" si="2"/>
        <v>5</v>
      </c>
      <c r="I13979" s="15">
        <f t="shared" si="3"/>
        <v>11</v>
      </c>
    </row>
    <row r="13980">
      <c r="A13980" s="8" t="str">
        <f>IFERROR(__xludf.DUMMYFUNCTION("IF('(INGESTA)Datos_consumo_datadis'!A13980&lt;&gt;"""",SPLIT('(INGESTA)Datos_consumo_datadis'!A:A,"",""),"""")"),"ES0031408323131005HX0F")</f>
        <v>ES0031408323131005HX0F</v>
      </c>
      <c r="B13980" s="12">
        <f>IFERROR(__xludf.DUMMYFUNCTION("""COMPUTED_VALUE"""),45448.0)</f>
        <v>45448</v>
      </c>
      <c r="C13980" s="13">
        <f>IFERROR(__xludf.DUMMYFUNCTION("""COMPUTED_VALUE"""),0.5)</f>
        <v>0.5</v>
      </c>
      <c r="D13980" s="8">
        <f>IFERROR(__xludf.DUMMYFUNCTION("""COMPUTED_VALUE"""),0.079)</f>
        <v>0.079</v>
      </c>
      <c r="E13980" s="8" t="str">
        <f>IFERROR(__xludf.DUMMYFUNCTION("""COMPUTED_VALUE"""),"Real")</f>
        <v>Real</v>
      </c>
      <c r="G13980" s="8">
        <f t="shared" si="1"/>
        <v>6</v>
      </c>
      <c r="H13980" s="14">
        <f t="shared" si="2"/>
        <v>5</v>
      </c>
      <c r="I13980" s="15">
        <f t="shared" si="3"/>
        <v>12</v>
      </c>
    </row>
    <row r="13981">
      <c r="A13981" s="8" t="str">
        <f>IFERROR(__xludf.DUMMYFUNCTION("IF('(INGESTA)Datos_consumo_datadis'!A13981&lt;&gt;"""",SPLIT('(INGESTA)Datos_consumo_datadis'!A:A,"",""),"""")"),"ES0031408323131005HX0F")</f>
        <v>ES0031408323131005HX0F</v>
      </c>
      <c r="B13981" s="12">
        <f>IFERROR(__xludf.DUMMYFUNCTION("""COMPUTED_VALUE"""),45448.0)</f>
        <v>45448</v>
      </c>
      <c r="C13981" s="13">
        <f>IFERROR(__xludf.DUMMYFUNCTION("""COMPUTED_VALUE"""),0.5416666666666666)</f>
        <v>0.5416666667</v>
      </c>
      <c r="D13981" s="8">
        <f>IFERROR(__xludf.DUMMYFUNCTION("""COMPUTED_VALUE"""),0.178)</f>
        <v>0.178</v>
      </c>
      <c r="E13981" s="8" t="str">
        <f>IFERROR(__xludf.DUMMYFUNCTION("""COMPUTED_VALUE"""),"Real")</f>
        <v>Real</v>
      </c>
      <c r="G13981" s="8">
        <f t="shared" si="1"/>
        <v>6</v>
      </c>
      <c r="H13981" s="14">
        <f t="shared" si="2"/>
        <v>5</v>
      </c>
      <c r="I13981" s="15">
        <f t="shared" si="3"/>
        <v>13</v>
      </c>
    </row>
    <row r="13982">
      <c r="A13982" s="8" t="str">
        <f>IFERROR(__xludf.DUMMYFUNCTION("IF('(INGESTA)Datos_consumo_datadis'!A13982&lt;&gt;"""",SPLIT('(INGESTA)Datos_consumo_datadis'!A:A,"",""),"""")"),"ES0031408323131005HX0F")</f>
        <v>ES0031408323131005HX0F</v>
      </c>
      <c r="B13982" s="12">
        <f>IFERROR(__xludf.DUMMYFUNCTION("""COMPUTED_VALUE"""),45448.0)</f>
        <v>45448</v>
      </c>
      <c r="C13982" s="13">
        <f>IFERROR(__xludf.DUMMYFUNCTION("""COMPUTED_VALUE"""),0.5833333333333334)</f>
        <v>0.5833333333</v>
      </c>
      <c r="D13982" s="8">
        <f>IFERROR(__xludf.DUMMYFUNCTION("""COMPUTED_VALUE"""),0.112)</f>
        <v>0.112</v>
      </c>
      <c r="E13982" s="8" t="str">
        <f>IFERROR(__xludf.DUMMYFUNCTION("""COMPUTED_VALUE"""),"Real")</f>
        <v>Real</v>
      </c>
      <c r="G13982" s="8">
        <f t="shared" si="1"/>
        <v>6</v>
      </c>
      <c r="H13982" s="14">
        <f t="shared" si="2"/>
        <v>5</v>
      </c>
      <c r="I13982" s="15">
        <f t="shared" si="3"/>
        <v>14</v>
      </c>
    </row>
    <row r="13983">
      <c r="A13983" s="8" t="str">
        <f>IFERROR(__xludf.DUMMYFUNCTION("IF('(INGESTA)Datos_consumo_datadis'!A13983&lt;&gt;"""",SPLIT('(INGESTA)Datos_consumo_datadis'!A:A,"",""),"""")"),"ES0031408323131005HX0F")</f>
        <v>ES0031408323131005HX0F</v>
      </c>
      <c r="B13983" s="12">
        <f>IFERROR(__xludf.DUMMYFUNCTION("""COMPUTED_VALUE"""),45448.0)</f>
        <v>45448</v>
      </c>
      <c r="C13983" s="13">
        <f>IFERROR(__xludf.DUMMYFUNCTION("""COMPUTED_VALUE"""),0.625)</f>
        <v>0.625</v>
      </c>
      <c r="D13983" s="8">
        <f>IFERROR(__xludf.DUMMYFUNCTION("""COMPUTED_VALUE"""),0.109)</f>
        <v>0.109</v>
      </c>
      <c r="E13983" s="8" t="str">
        <f>IFERROR(__xludf.DUMMYFUNCTION("""COMPUTED_VALUE"""),"Real")</f>
        <v>Real</v>
      </c>
      <c r="G13983" s="8">
        <f t="shared" si="1"/>
        <v>6</v>
      </c>
      <c r="H13983" s="14">
        <f t="shared" si="2"/>
        <v>5</v>
      </c>
      <c r="I13983" s="15">
        <f t="shared" si="3"/>
        <v>15</v>
      </c>
    </row>
    <row r="13984">
      <c r="A13984" s="8" t="str">
        <f>IFERROR(__xludf.DUMMYFUNCTION("IF('(INGESTA)Datos_consumo_datadis'!A13984&lt;&gt;"""",SPLIT('(INGESTA)Datos_consumo_datadis'!A:A,"",""),"""")"),"ES0031408323131005HX0F")</f>
        <v>ES0031408323131005HX0F</v>
      </c>
      <c r="B13984" s="12">
        <f>IFERROR(__xludf.DUMMYFUNCTION("""COMPUTED_VALUE"""),45448.0)</f>
        <v>45448</v>
      </c>
      <c r="C13984" s="13">
        <f>IFERROR(__xludf.DUMMYFUNCTION("""COMPUTED_VALUE"""),0.6666666666666666)</f>
        <v>0.6666666667</v>
      </c>
      <c r="D13984" s="8">
        <f>IFERROR(__xludf.DUMMYFUNCTION("""COMPUTED_VALUE"""),0.076)</f>
        <v>0.076</v>
      </c>
      <c r="E13984" s="8" t="str">
        <f>IFERROR(__xludf.DUMMYFUNCTION("""COMPUTED_VALUE"""),"Real")</f>
        <v>Real</v>
      </c>
      <c r="G13984" s="8">
        <f t="shared" si="1"/>
        <v>6</v>
      </c>
      <c r="H13984" s="14">
        <f t="shared" si="2"/>
        <v>5</v>
      </c>
      <c r="I13984" s="15">
        <f t="shared" si="3"/>
        <v>16</v>
      </c>
    </row>
    <row r="13985">
      <c r="A13985" s="8" t="str">
        <f>IFERROR(__xludf.DUMMYFUNCTION("IF('(INGESTA)Datos_consumo_datadis'!A13985&lt;&gt;"""",SPLIT('(INGESTA)Datos_consumo_datadis'!A:A,"",""),"""")"),"ES0031408323131005HX0F")</f>
        <v>ES0031408323131005HX0F</v>
      </c>
      <c r="B13985" s="12">
        <f>IFERROR(__xludf.DUMMYFUNCTION("""COMPUTED_VALUE"""),45448.0)</f>
        <v>45448</v>
      </c>
      <c r="C13985" s="13">
        <f>IFERROR(__xludf.DUMMYFUNCTION("""COMPUTED_VALUE"""),0.7083333333333334)</f>
        <v>0.7083333333</v>
      </c>
      <c r="D13985" s="8">
        <f>IFERROR(__xludf.DUMMYFUNCTION("""COMPUTED_VALUE"""),0.177)</f>
        <v>0.177</v>
      </c>
      <c r="E13985" s="8" t="str">
        <f>IFERROR(__xludf.DUMMYFUNCTION("""COMPUTED_VALUE"""),"Real")</f>
        <v>Real</v>
      </c>
      <c r="G13985" s="8">
        <f t="shared" si="1"/>
        <v>6</v>
      </c>
      <c r="H13985" s="14">
        <f t="shared" si="2"/>
        <v>5</v>
      </c>
      <c r="I13985" s="15">
        <f t="shared" si="3"/>
        <v>17</v>
      </c>
    </row>
    <row r="13986">
      <c r="A13986" s="8" t="str">
        <f>IFERROR(__xludf.DUMMYFUNCTION("IF('(INGESTA)Datos_consumo_datadis'!A13986&lt;&gt;"""",SPLIT('(INGESTA)Datos_consumo_datadis'!A:A,"",""),"""")"),"ES0031408323131005HX0F")</f>
        <v>ES0031408323131005HX0F</v>
      </c>
      <c r="B13986" s="12">
        <f>IFERROR(__xludf.DUMMYFUNCTION("""COMPUTED_VALUE"""),45448.0)</f>
        <v>45448</v>
      </c>
      <c r="C13986" s="13">
        <f>IFERROR(__xludf.DUMMYFUNCTION("""COMPUTED_VALUE"""),0.75)</f>
        <v>0.75</v>
      </c>
      <c r="D13986" s="8">
        <f>IFERROR(__xludf.DUMMYFUNCTION("""COMPUTED_VALUE"""),0.399)</f>
        <v>0.399</v>
      </c>
      <c r="E13986" s="8" t="str">
        <f>IFERROR(__xludf.DUMMYFUNCTION("""COMPUTED_VALUE"""),"Real")</f>
        <v>Real</v>
      </c>
      <c r="G13986" s="8">
        <f t="shared" si="1"/>
        <v>6</v>
      </c>
      <c r="H13986" s="14">
        <f t="shared" si="2"/>
        <v>5</v>
      </c>
      <c r="I13986" s="15">
        <f t="shared" si="3"/>
        <v>18</v>
      </c>
    </row>
    <row r="13987">
      <c r="A13987" s="8" t="str">
        <f>IFERROR(__xludf.DUMMYFUNCTION("IF('(INGESTA)Datos_consumo_datadis'!A13987&lt;&gt;"""",SPLIT('(INGESTA)Datos_consumo_datadis'!A:A,"",""),"""")"),"ES0031408323131005HX0F")</f>
        <v>ES0031408323131005HX0F</v>
      </c>
      <c r="B13987" s="12">
        <f>IFERROR(__xludf.DUMMYFUNCTION("""COMPUTED_VALUE"""),45448.0)</f>
        <v>45448</v>
      </c>
      <c r="C13987" s="13">
        <f>IFERROR(__xludf.DUMMYFUNCTION("""COMPUTED_VALUE"""),0.7916666666666666)</f>
        <v>0.7916666667</v>
      </c>
      <c r="D13987" s="8">
        <f>IFERROR(__xludf.DUMMYFUNCTION("""COMPUTED_VALUE"""),0.143)</f>
        <v>0.143</v>
      </c>
      <c r="E13987" s="8" t="str">
        <f>IFERROR(__xludf.DUMMYFUNCTION("""COMPUTED_VALUE"""),"Real")</f>
        <v>Real</v>
      </c>
      <c r="G13987" s="8">
        <f t="shared" si="1"/>
        <v>6</v>
      </c>
      <c r="H13987" s="14">
        <f t="shared" si="2"/>
        <v>5</v>
      </c>
      <c r="I13987" s="15">
        <f t="shared" si="3"/>
        <v>19</v>
      </c>
    </row>
    <row r="13988">
      <c r="A13988" s="8" t="str">
        <f>IFERROR(__xludf.DUMMYFUNCTION("IF('(INGESTA)Datos_consumo_datadis'!A13988&lt;&gt;"""",SPLIT('(INGESTA)Datos_consumo_datadis'!A:A,"",""),"""")"),"ES0031408323131005HX0F")</f>
        <v>ES0031408323131005HX0F</v>
      </c>
      <c r="B13988" s="12">
        <f>IFERROR(__xludf.DUMMYFUNCTION("""COMPUTED_VALUE"""),45448.0)</f>
        <v>45448</v>
      </c>
      <c r="C13988" s="13">
        <f>IFERROR(__xludf.DUMMYFUNCTION("""COMPUTED_VALUE"""),0.8333333333333334)</f>
        <v>0.8333333333</v>
      </c>
      <c r="D13988" s="8">
        <f>IFERROR(__xludf.DUMMYFUNCTION("""COMPUTED_VALUE"""),0.147)</f>
        <v>0.147</v>
      </c>
      <c r="E13988" s="8" t="str">
        <f>IFERROR(__xludf.DUMMYFUNCTION("""COMPUTED_VALUE"""),"Real")</f>
        <v>Real</v>
      </c>
      <c r="G13988" s="8">
        <f t="shared" si="1"/>
        <v>6</v>
      </c>
      <c r="H13988" s="14">
        <f t="shared" si="2"/>
        <v>5</v>
      </c>
      <c r="I13988" s="15">
        <f t="shared" si="3"/>
        <v>20</v>
      </c>
    </row>
    <row r="13989">
      <c r="A13989" s="8" t="str">
        <f>IFERROR(__xludf.DUMMYFUNCTION("IF('(INGESTA)Datos_consumo_datadis'!A13989&lt;&gt;"""",SPLIT('(INGESTA)Datos_consumo_datadis'!A:A,"",""),"""")"),"ES0031408323131005HX0F")</f>
        <v>ES0031408323131005HX0F</v>
      </c>
      <c r="B13989" s="12">
        <f>IFERROR(__xludf.DUMMYFUNCTION("""COMPUTED_VALUE"""),45448.0)</f>
        <v>45448</v>
      </c>
      <c r="C13989" s="13">
        <f>IFERROR(__xludf.DUMMYFUNCTION("""COMPUTED_VALUE"""),0.875)</f>
        <v>0.875</v>
      </c>
      <c r="D13989" s="8">
        <f>IFERROR(__xludf.DUMMYFUNCTION("""COMPUTED_VALUE"""),0.253)</f>
        <v>0.253</v>
      </c>
      <c r="E13989" s="8" t="str">
        <f>IFERROR(__xludf.DUMMYFUNCTION("""COMPUTED_VALUE"""),"Real")</f>
        <v>Real</v>
      </c>
      <c r="G13989" s="8">
        <f t="shared" si="1"/>
        <v>6</v>
      </c>
      <c r="H13989" s="14">
        <f t="shared" si="2"/>
        <v>5</v>
      </c>
      <c r="I13989" s="15">
        <f t="shared" si="3"/>
        <v>21</v>
      </c>
    </row>
    <row r="13990">
      <c r="A13990" s="8" t="str">
        <f>IFERROR(__xludf.DUMMYFUNCTION("IF('(INGESTA)Datos_consumo_datadis'!A13990&lt;&gt;"""",SPLIT('(INGESTA)Datos_consumo_datadis'!A:A,"",""),"""")"),"ES0031408323131005HX0F")</f>
        <v>ES0031408323131005HX0F</v>
      </c>
      <c r="B13990" s="12">
        <f>IFERROR(__xludf.DUMMYFUNCTION("""COMPUTED_VALUE"""),45448.0)</f>
        <v>45448</v>
      </c>
      <c r="C13990" s="13">
        <f>IFERROR(__xludf.DUMMYFUNCTION("""COMPUTED_VALUE"""),0.9166666666666666)</f>
        <v>0.9166666667</v>
      </c>
      <c r="D13990" s="8">
        <f>IFERROR(__xludf.DUMMYFUNCTION("""COMPUTED_VALUE"""),0.215)</f>
        <v>0.215</v>
      </c>
      <c r="E13990" s="8" t="str">
        <f>IFERROR(__xludf.DUMMYFUNCTION("""COMPUTED_VALUE"""),"Real")</f>
        <v>Real</v>
      </c>
      <c r="G13990" s="8">
        <f t="shared" si="1"/>
        <v>6</v>
      </c>
      <c r="H13990" s="14">
        <f t="shared" si="2"/>
        <v>5</v>
      </c>
      <c r="I13990" s="15">
        <f t="shared" si="3"/>
        <v>22</v>
      </c>
    </row>
    <row r="13991">
      <c r="A13991" s="8" t="str">
        <f>IFERROR(__xludf.DUMMYFUNCTION("IF('(INGESTA)Datos_consumo_datadis'!A13991&lt;&gt;"""",SPLIT('(INGESTA)Datos_consumo_datadis'!A:A,"",""),"""")"),"ES0031408323131005HX0F")</f>
        <v>ES0031408323131005HX0F</v>
      </c>
      <c r="B13991" s="12">
        <f>IFERROR(__xludf.DUMMYFUNCTION("""COMPUTED_VALUE"""),45448.0)</f>
        <v>45448</v>
      </c>
      <c r="C13991" s="13">
        <f>IFERROR(__xludf.DUMMYFUNCTION("""COMPUTED_VALUE"""),0.9583333333333334)</f>
        <v>0.9583333333</v>
      </c>
      <c r="D13991" s="8">
        <f>IFERROR(__xludf.DUMMYFUNCTION("""COMPUTED_VALUE"""),0.341)</f>
        <v>0.341</v>
      </c>
      <c r="E13991" s="8" t="str">
        <f>IFERROR(__xludf.DUMMYFUNCTION("""COMPUTED_VALUE"""),"Real")</f>
        <v>Real</v>
      </c>
      <c r="G13991" s="8">
        <f t="shared" si="1"/>
        <v>6</v>
      </c>
      <c r="H13991" s="14">
        <f t="shared" si="2"/>
        <v>5</v>
      </c>
      <c r="I13991" s="15">
        <f t="shared" si="3"/>
        <v>23</v>
      </c>
    </row>
    <row r="13992">
      <c r="A13992" s="8" t="str">
        <f>IFERROR(__xludf.DUMMYFUNCTION("IF('(INGESTA)Datos_consumo_datadis'!A13992&lt;&gt;"""",SPLIT('(INGESTA)Datos_consumo_datadis'!A:A,"",""),"""")"),"ES0031408323131005HX0F")</f>
        <v>ES0031408323131005HX0F</v>
      </c>
      <c r="B13992" s="12">
        <f>IFERROR(__xludf.DUMMYFUNCTION("""COMPUTED_VALUE"""),45448.0)</f>
        <v>45448</v>
      </c>
      <c r="C13992" s="16">
        <f>IFERROR(__xludf.DUMMYFUNCTION("""COMPUTED_VALUE"""),1.0)</f>
        <v>1</v>
      </c>
      <c r="D13992" s="8">
        <f>IFERROR(__xludf.DUMMYFUNCTION("""COMPUTED_VALUE"""),0.185)</f>
        <v>0.185</v>
      </c>
      <c r="E13992" s="8" t="str">
        <f>IFERROR(__xludf.DUMMYFUNCTION("""COMPUTED_VALUE"""),"Real")</f>
        <v>Real</v>
      </c>
      <c r="G13992" s="8">
        <f t="shared" si="1"/>
        <v>6</v>
      </c>
      <c r="H13992" s="14">
        <f t="shared" si="2"/>
        <v>5</v>
      </c>
      <c r="I13992" s="15">
        <f t="shared" si="3"/>
        <v>0</v>
      </c>
    </row>
    <row r="13993">
      <c r="A13993" s="8" t="str">
        <f>IFERROR(__xludf.DUMMYFUNCTION("IF('(INGESTA)Datos_consumo_datadis'!A13993&lt;&gt;"""",SPLIT('(INGESTA)Datos_consumo_datadis'!A:A,"",""),"""")"),"ES0031408323131005HX0F")</f>
        <v>ES0031408323131005HX0F</v>
      </c>
      <c r="B13993" s="12">
        <f>IFERROR(__xludf.DUMMYFUNCTION("""COMPUTED_VALUE"""),45449.0)</f>
        <v>45449</v>
      </c>
      <c r="C13993" s="13">
        <f>IFERROR(__xludf.DUMMYFUNCTION("""COMPUTED_VALUE"""),0.041666666666666664)</f>
        <v>0.04166666667</v>
      </c>
      <c r="D13993" s="8">
        <f>IFERROR(__xludf.DUMMYFUNCTION("""COMPUTED_VALUE"""),0.393)</f>
        <v>0.393</v>
      </c>
      <c r="E13993" s="8" t="str">
        <f>IFERROR(__xludf.DUMMYFUNCTION("""COMPUTED_VALUE"""),"Real")</f>
        <v>Real</v>
      </c>
      <c r="G13993" s="8">
        <f t="shared" si="1"/>
        <v>6</v>
      </c>
      <c r="H13993" s="14">
        <f t="shared" si="2"/>
        <v>6</v>
      </c>
      <c r="I13993" s="15">
        <f t="shared" si="3"/>
        <v>1</v>
      </c>
    </row>
    <row r="13994">
      <c r="A13994" s="8" t="str">
        <f>IFERROR(__xludf.DUMMYFUNCTION("IF('(INGESTA)Datos_consumo_datadis'!A13994&lt;&gt;"""",SPLIT('(INGESTA)Datos_consumo_datadis'!A:A,"",""),"""")"),"ES0031408323131005HX0F")</f>
        <v>ES0031408323131005HX0F</v>
      </c>
      <c r="B13994" s="12">
        <f>IFERROR(__xludf.DUMMYFUNCTION("""COMPUTED_VALUE"""),45449.0)</f>
        <v>45449</v>
      </c>
      <c r="C13994" s="13">
        <f>IFERROR(__xludf.DUMMYFUNCTION("""COMPUTED_VALUE"""),0.08333333333333333)</f>
        <v>0.08333333333</v>
      </c>
      <c r="D13994" s="8">
        <f>IFERROR(__xludf.DUMMYFUNCTION("""COMPUTED_VALUE"""),0.046)</f>
        <v>0.046</v>
      </c>
      <c r="E13994" s="8" t="str">
        <f>IFERROR(__xludf.DUMMYFUNCTION("""COMPUTED_VALUE"""),"Real")</f>
        <v>Real</v>
      </c>
      <c r="G13994" s="8">
        <f t="shared" si="1"/>
        <v>6</v>
      </c>
      <c r="H13994" s="14">
        <f t="shared" si="2"/>
        <v>6</v>
      </c>
      <c r="I13994" s="15">
        <f t="shared" si="3"/>
        <v>2</v>
      </c>
    </row>
    <row r="13995">
      <c r="A13995" s="8" t="str">
        <f>IFERROR(__xludf.DUMMYFUNCTION("IF('(INGESTA)Datos_consumo_datadis'!A13995&lt;&gt;"""",SPLIT('(INGESTA)Datos_consumo_datadis'!A:A,"",""),"""")"),"ES0031408323131005HX0F")</f>
        <v>ES0031408323131005HX0F</v>
      </c>
      <c r="B13995" s="12">
        <f>IFERROR(__xludf.DUMMYFUNCTION("""COMPUTED_VALUE"""),45449.0)</f>
        <v>45449</v>
      </c>
      <c r="C13995" s="13">
        <f>IFERROR(__xludf.DUMMYFUNCTION("""COMPUTED_VALUE"""),0.125)</f>
        <v>0.125</v>
      </c>
      <c r="D13995" s="8">
        <f>IFERROR(__xludf.DUMMYFUNCTION("""COMPUTED_VALUE"""),0.109)</f>
        <v>0.109</v>
      </c>
      <c r="E13995" s="8" t="str">
        <f>IFERROR(__xludf.DUMMYFUNCTION("""COMPUTED_VALUE"""),"Real")</f>
        <v>Real</v>
      </c>
      <c r="G13995" s="8">
        <f t="shared" si="1"/>
        <v>6</v>
      </c>
      <c r="H13995" s="14">
        <f t="shared" si="2"/>
        <v>6</v>
      </c>
      <c r="I13995" s="15">
        <f t="shared" si="3"/>
        <v>3</v>
      </c>
    </row>
    <row r="13996">
      <c r="A13996" s="8" t="str">
        <f>IFERROR(__xludf.DUMMYFUNCTION("IF('(INGESTA)Datos_consumo_datadis'!A13996&lt;&gt;"""",SPLIT('(INGESTA)Datos_consumo_datadis'!A:A,"",""),"""")"),"ES0031408323131005HX0F")</f>
        <v>ES0031408323131005HX0F</v>
      </c>
      <c r="B13996" s="12">
        <f>IFERROR(__xludf.DUMMYFUNCTION("""COMPUTED_VALUE"""),45449.0)</f>
        <v>45449</v>
      </c>
      <c r="C13996" s="13">
        <f>IFERROR(__xludf.DUMMYFUNCTION("""COMPUTED_VALUE"""),0.16666666666666666)</f>
        <v>0.1666666667</v>
      </c>
      <c r="D13996" s="8">
        <f>IFERROR(__xludf.DUMMYFUNCTION("""COMPUTED_VALUE"""),0.061)</f>
        <v>0.061</v>
      </c>
      <c r="E13996" s="8" t="str">
        <f>IFERROR(__xludf.DUMMYFUNCTION("""COMPUTED_VALUE"""),"Real")</f>
        <v>Real</v>
      </c>
      <c r="G13996" s="8">
        <f t="shared" si="1"/>
        <v>6</v>
      </c>
      <c r="H13996" s="14">
        <f t="shared" si="2"/>
        <v>6</v>
      </c>
      <c r="I13996" s="15">
        <f t="shared" si="3"/>
        <v>4</v>
      </c>
    </row>
    <row r="13997">
      <c r="A13997" s="8" t="str">
        <f>IFERROR(__xludf.DUMMYFUNCTION("IF('(INGESTA)Datos_consumo_datadis'!A13997&lt;&gt;"""",SPLIT('(INGESTA)Datos_consumo_datadis'!A:A,"",""),"""")"),"ES0031408323131005HX0F")</f>
        <v>ES0031408323131005HX0F</v>
      </c>
      <c r="B13997" s="12">
        <f>IFERROR(__xludf.DUMMYFUNCTION("""COMPUTED_VALUE"""),45449.0)</f>
        <v>45449</v>
      </c>
      <c r="C13997" s="13">
        <f>IFERROR(__xludf.DUMMYFUNCTION("""COMPUTED_VALUE"""),0.20833333333333334)</f>
        <v>0.2083333333</v>
      </c>
      <c r="D13997" s="8">
        <f>IFERROR(__xludf.DUMMYFUNCTION("""COMPUTED_VALUE"""),0.095)</f>
        <v>0.095</v>
      </c>
      <c r="E13997" s="8" t="str">
        <f>IFERROR(__xludf.DUMMYFUNCTION("""COMPUTED_VALUE"""),"Real")</f>
        <v>Real</v>
      </c>
      <c r="G13997" s="8">
        <f t="shared" si="1"/>
        <v>6</v>
      </c>
      <c r="H13997" s="14">
        <f t="shared" si="2"/>
        <v>6</v>
      </c>
      <c r="I13997" s="15">
        <f t="shared" si="3"/>
        <v>5</v>
      </c>
    </row>
    <row r="13998">
      <c r="A13998" s="8" t="str">
        <f>IFERROR(__xludf.DUMMYFUNCTION("IF('(INGESTA)Datos_consumo_datadis'!A13998&lt;&gt;"""",SPLIT('(INGESTA)Datos_consumo_datadis'!A:A,"",""),"""")"),"ES0031408323131005HX0F")</f>
        <v>ES0031408323131005HX0F</v>
      </c>
      <c r="B13998" s="12">
        <f>IFERROR(__xludf.DUMMYFUNCTION("""COMPUTED_VALUE"""),45449.0)</f>
        <v>45449</v>
      </c>
      <c r="C13998" s="13">
        <f>IFERROR(__xludf.DUMMYFUNCTION("""COMPUTED_VALUE"""),0.25)</f>
        <v>0.25</v>
      </c>
      <c r="D13998" s="8">
        <f>IFERROR(__xludf.DUMMYFUNCTION("""COMPUTED_VALUE"""),0.047)</f>
        <v>0.047</v>
      </c>
      <c r="E13998" s="8" t="str">
        <f>IFERROR(__xludf.DUMMYFUNCTION("""COMPUTED_VALUE"""),"Real")</f>
        <v>Real</v>
      </c>
      <c r="G13998" s="8">
        <f t="shared" si="1"/>
        <v>6</v>
      </c>
      <c r="H13998" s="14">
        <f t="shared" si="2"/>
        <v>6</v>
      </c>
      <c r="I13998" s="15">
        <f t="shared" si="3"/>
        <v>6</v>
      </c>
    </row>
    <row r="13999">
      <c r="A13999" s="8" t="str">
        <f>IFERROR(__xludf.DUMMYFUNCTION("IF('(INGESTA)Datos_consumo_datadis'!A13999&lt;&gt;"""",SPLIT('(INGESTA)Datos_consumo_datadis'!A:A,"",""),"""")"),"ES0031408323131005HX0F")</f>
        <v>ES0031408323131005HX0F</v>
      </c>
      <c r="B13999" s="12">
        <f>IFERROR(__xludf.DUMMYFUNCTION("""COMPUTED_VALUE"""),45449.0)</f>
        <v>45449</v>
      </c>
      <c r="C13999" s="13">
        <f>IFERROR(__xludf.DUMMYFUNCTION("""COMPUTED_VALUE"""),0.2916666666666667)</f>
        <v>0.2916666667</v>
      </c>
      <c r="D13999" s="8">
        <f>IFERROR(__xludf.DUMMYFUNCTION("""COMPUTED_VALUE"""),0.068)</f>
        <v>0.068</v>
      </c>
      <c r="E13999" s="8" t="str">
        <f>IFERROR(__xludf.DUMMYFUNCTION("""COMPUTED_VALUE"""),"Real")</f>
        <v>Real</v>
      </c>
      <c r="G13999" s="8">
        <f t="shared" si="1"/>
        <v>6</v>
      </c>
      <c r="H13999" s="14">
        <f t="shared" si="2"/>
        <v>6</v>
      </c>
      <c r="I13999" s="15">
        <f t="shared" si="3"/>
        <v>7</v>
      </c>
    </row>
    <row r="14000">
      <c r="A14000" s="8" t="str">
        <f>IFERROR(__xludf.DUMMYFUNCTION("IF('(INGESTA)Datos_consumo_datadis'!A14000&lt;&gt;"""",SPLIT('(INGESTA)Datos_consumo_datadis'!A:A,"",""),"""")"),"ES0031408323131005HX0F")</f>
        <v>ES0031408323131005HX0F</v>
      </c>
      <c r="B14000" s="12">
        <f>IFERROR(__xludf.DUMMYFUNCTION("""COMPUTED_VALUE"""),45449.0)</f>
        <v>45449</v>
      </c>
      <c r="C14000" s="13">
        <f>IFERROR(__xludf.DUMMYFUNCTION("""COMPUTED_VALUE"""),0.3333333333333333)</f>
        <v>0.3333333333</v>
      </c>
      <c r="D14000" s="8">
        <f>IFERROR(__xludf.DUMMYFUNCTION("""COMPUTED_VALUE"""),0.367)</f>
        <v>0.367</v>
      </c>
      <c r="E14000" s="8" t="str">
        <f>IFERROR(__xludf.DUMMYFUNCTION("""COMPUTED_VALUE"""),"Real")</f>
        <v>Real</v>
      </c>
      <c r="G14000" s="8">
        <f t="shared" si="1"/>
        <v>6</v>
      </c>
      <c r="H14000" s="14">
        <f t="shared" si="2"/>
        <v>6</v>
      </c>
      <c r="I14000" s="15">
        <f t="shared" si="3"/>
        <v>8</v>
      </c>
    </row>
    <row r="14001">
      <c r="A14001" s="8" t="str">
        <f>IFERROR(__xludf.DUMMYFUNCTION("IF('(INGESTA)Datos_consumo_datadis'!A14001&lt;&gt;"""",SPLIT('(INGESTA)Datos_consumo_datadis'!A:A,"",""),"""")"),"ES0031408323131005HX0F")</f>
        <v>ES0031408323131005HX0F</v>
      </c>
      <c r="B14001" s="12">
        <f>IFERROR(__xludf.DUMMYFUNCTION("""COMPUTED_VALUE"""),45449.0)</f>
        <v>45449</v>
      </c>
      <c r="C14001" s="13">
        <f>IFERROR(__xludf.DUMMYFUNCTION("""COMPUTED_VALUE"""),0.375)</f>
        <v>0.375</v>
      </c>
      <c r="D14001" s="8">
        <f>IFERROR(__xludf.DUMMYFUNCTION("""COMPUTED_VALUE"""),0.185)</f>
        <v>0.185</v>
      </c>
      <c r="E14001" s="8" t="str">
        <f>IFERROR(__xludf.DUMMYFUNCTION("""COMPUTED_VALUE"""),"Real")</f>
        <v>Real</v>
      </c>
      <c r="G14001" s="8">
        <f t="shared" si="1"/>
        <v>6</v>
      </c>
      <c r="H14001" s="14">
        <f t="shared" si="2"/>
        <v>6</v>
      </c>
      <c r="I14001" s="15">
        <f t="shared" si="3"/>
        <v>9</v>
      </c>
    </row>
    <row r="14002">
      <c r="A14002" s="8" t="str">
        <f>IFERROR(__xludf.DUMMYFUNCTION("IF('(INGESTA)Datos_consumo_datadis'!A14002&lt;&gt;"""",SPLIT('(INGESTA)Datos_consumo_datadis'!A:A,"",""),"""")"),"ES0031408323131005HX0F")</f>
        <v>ES0031408323131005HX0F</v>
      </c>
      <c r="B14002" s="12">
        <f>IFERROR(__xludf.DUMMYFUNCTION("""COMPUTED_VALUE"""),45449.0)</f>
        <v>45449</v>
      </c>
      <c r="C14002" s="13">
        <f>IFERROR(__xludf.DUMMYFUNCTION("""COMPUTED_VALUE"""),0.4166666666666667)</f>
        <v>0.4166666667</v>
      </c>
      <c r="D14002" s="8">
        <f>IFERROR(__xludf.DUMMYFUNCTION("""COMPUTED_VALUE"""),1.039)</f>
        <v>1.039</v>
      </c>
      <c r="E14002" s="8" t="str">
        <f>IFERROR(__xludf.DUMMYFUNCTION("""COMPUTED_VALUE"""),"Real")</f>
        <v>Real</v>
      </c>
      <c r="G14002" s="8">
        <f t="shared" si="1"/>
        <v>6</v>
      </c>
      <c r="H14002" s="14">
        <f t="shared" si="2"/>
        <v>6</v>
      </c>
      <c r="I14002" s="15">
        <f t="shared" si="3"/>
        <v>10</v>
      </c>
    </row>
    <row r="14003">
      <c r="A14003" s="8" t="str">
        <f>IFERROR(__xludf.DUMMYFUNCTION("IF('(INGESTA)Datos_consumo_datadis'!A14003&lt;&gt;"""",SPLIT('(INGESTA)Datos_consumo_datadis'!A:A,"",""),"""")"),"ES0031408323131005HX0F")</f>
        <v>ES0031408323131005HX0F</v>
      </c>
      <c r="B14003" s="12">
        <f>IFERROR(__xludf.DUMMYFUNCTION("""COMPUTED_VALUE"""),45449.0)</f>
        <v>45449</v>
      </c>
      <c r="C14003" s="13">
        <f>IFERROR(__xludf.DUMMYFUNCTION("""COMPUTED_VALUE"""),0.4583333333333333)</f>
        <v>0.4583333333</v>
      </c>
      <c r="D14003" s="8">
        <f>IFERROR(__xludf.DUMMYFUNCTION("""COMPUTED_VALUE"""),1.75)</f>
        <v>1.75</v>
      </c>
      <c r="E14003" s="8" t="str">
        <f>IFERROR(__xludf.DUMMYFUNCTION("""COMPUTED_VALUE"""),"Real")</f>
        <v>Real</v>
      </c>
      <c r="G14003" s="8">
        <f t="shared" si="1"/>
        <v>6</v>
      </c>
      <c r="H14003" s="14">
        <f t="shared" si="2"/>
        <v>6</v>
      </c>
      <c r="I14003" s="15">
        <f t="shared" si="3"/>
        <v>11</v>
      </c>
    </row>
    <row r="14004">
      <c r="A14004" s="8" t="str">
        <f>IFERROR(__xludf.DUMMYFUNCTION("IF('(INGESTA)Datos_consumo_datadis'!A14004&lt;&gt;"""",SPLIT('(INGESTA)Datos_consumo_datadis'!A:A,"",""),"""")"),"ES0031408323131005HX0F")</f>
        <v>ES0031408323131005HX0F</v>
      </c>
      <c r="B14004" s="12">
        <f>IFERROR(__xludf.DUMMYFUNCTION("""COMPUTED_VALUE"""),45449.0)</f>
        <v>45449</v>
      </c>
      <c r="C14004" s="13">
        <f>IFERROR(__xludf.DUMMYFUNCTION("""COMPUTED_VALUE"""),0.5)</f>
        <v>0.5</v>
      </c>
      <c r="D14004" s="8">
        <f>IFERROR(__xludf.DUMMYFUNCTION("""COMPUTED_VALUE"""),0.847)</f>
        <v>0.847</v>
      </c>
      <c r="E14004" s="8" t="str">
        <f>IFERROR(__xludf.DUMMYFUNCTION("""COMPUTED_VALUE"""),"Real")</f>
        <v>Real</v>
      </c>
      <c r="G14004" s="8">
        <f t="shared" si="1"/>
        <v>6</v>
      </c>
      <c r="H14004" s="14">
        <f t="shared" si="2"/>
        <v>6</v>
      </c>
      <c r="I14004" s="15">
        <f t="shared" si="3"/>
        <v>12</v>
      </c>
    </row>
    <row r="14005">
      <c r="A14005" s="8" t="str">
        <f>IFERROR(__xludf.DUMMYFUNCTION("IF('(INGESTA)Datos_consumo_datadis'!A14005&lt;&gt;"""",SPLIT('(INGESTA)Datos_consumo_datadis'!A:A,"",""),"""")"),"ES0031408323131005HX0F")</f>
        <v>ES0031408323131005HX0F</v>
      </c>
      <c r="B14005" s="12">
        <f>IFERROR(__xludf.DUMMYFUNCTION("""COMPUTED_VALUE"""),45449.0)</f>
        <v>45449</v>
      </c>
      <c r="C14005" s="13">
        <f>IFERROR(__xludf.DUMMYFUNCTION("""COMPUTED_VALUE"""),0.5416666666666666)</f>
        <v>0.5416666667</v>
      </c>
      <c r="D14005" s="8">
        <f>IFERROR(__xludf.DUMMYFUNCTION("""COMPUTED_VALUE"""),0.098)</f>
        <v>0.098</v>
      </c>
      <c r="E14005" s="8" t="str">
        <f>IFERROR(__xludf.DUMMYFUNCTION("""COMPUTED_VALUE"""),"Real")</f>
        <v>Real</v>
      </c>
      <c r="G14005" s="8">
        <f t="shared" si="1"/>
        <v>6</v>
      </c>
      <c r="H14005" s="14">
        <f t="shared" si="2"/>
        <v>6</v>
      </c>
      <c r="I14005" s="15">
        <f t="shared" si="3"/>
        <v>13</v>
      </c>
    </row>
    <row r="14006">
      <c r="A14006" s="8" t="str">
        <f>IFERROR(__xludf.DUMMYFUNCTION("IF('(INGESTA)Datos_consumo_datadis'!A14006&lt;&gt;"""",SPLIT('(INGESTA)Datos_consumo_datadis'!A:A,"",""),"""")"),"ES0031408323131005HX0F")</f>
        <v>ES0031408323131005HX0F</v>
      </c>
      <c r="B14006" s="12">
        <f>IFERROR(__xludf.DUMMYFUNCTION("""COMPUTED_VALUE"""),45449.0)</f>
        <v>45449</v>
      </c>
      <c r="C14006" s="13">
        <f>IFERROR(__xludf.DUMMYFUNCTION("""COMPUTED_VALUE"""),0.5833333333333334)</f>
        <v>0.5833333333</v>
      </c>
      <c r="D14006" s="8">
        <f>IFERROR(__xludf.DUMMYFUNCTION("""COMPUTED_VALUE"""),0.095)</f>
        <v>0.095</v>
      </c>
      <c r="E14006" s="8" t="str">
        <f>IFERROR(__xludf.DUMMYFUNCTION("""COMPUTED_VALUE"""),"Real")</f>
        <v>Real</v>
      </c>
      <c r="G14006" s="8">
        <f t="shared" si="1"/>
        <v>6</v>
      </c>
      <c r="H14006" s="14">
        <f t="shared" si="2"/>
        <v>6</v>
      </c>
      <c r="I14006" s="15">
        <f t="shared" si="3"/>
        <v>14</v>
      </c>
    </row>
    <row r="14007">
      <c r="A14007" s="8" t="str">
        <f>IFERROR(__xludf.DUMMYFUNCTION("IF('(INGESTA)Datos_consumo_datadis'!A14007&lt;&gt;"""",SPLIT('(INGESTA)Datos_consumo_datadis'!A:A,"",""),"""")"),"ES0031408323131005HX0F")</f>
        <v>ES0031408323131005HX0F</v>
      </c>
      <c r="B14007" s="12">
        <f>IFERROR(__xludf.DUMMYFUNCTION("""COMPUTED_VALUE"""),45449.0)</f>
        <v>45449</v>
      </c>
      <c r="C14007" s="13">
        <f>IFERROR(__xludf.DUMMYFUNCTION("""COMPUTED_VALUE"""),0.625)</f>
        <v>0.625</v>
      </c>
      <c r="D14007" s="8">
        <f>IFERROR(__xludf.DUMMYFUNCTION("""COMPUTED_VALUE"""),0.211)</f>
        <v>0.211</v>
      </c>
      <c r="E14007" s="8" t="str">
        <f>IFERROR(__xludf.DUMMYFUNCTION("""COMPUTED_VALUE"""),"Real")</f>
        <v>Real</v>
      </c>
      <c r="G14007" s="8">
        <f t="shared" si="1"/>
        <v>6</v>
      </c>
      <c r="H14007" s="14">
        <f t="shared" si="2"/>
        <v>6</v>
      </c>
      <c r="I14007" s="15">
        <f t="shared" si="3"/>
        <v>15</v>
      </c>
    </row>
    <row r="14008">
      <c r="A14008" s="8" t="str">
        <f>IFERROR(__xludf.DUMMYFUNCTION("IF('(INGESTA)Datos_consumo_datadis'!A14008&lt;&gt;"""",SPLIT('(INGESTA)Datos_consumo_datadis'!A:A,"",""),"""")"),"ES0031408323131005HX0F")</f>
        <v>ES0031408323131005HX0F</v>
      </c>
      <c r="B14008" s="12">
        <f>IFERROR(__xludf.DUMMYFUNCTION("""COMPUTED_VALUE"""),45449.0)</f>
        <v>45449</v>
      </c>
      <c r="C14008" s="13">
        <f>IFERROR(__xludf.DUMMYFUNCTION("""COMPUTED_VALUE"""),0.6666666666666666)</f>
        <v>0.6666666667</v>
      </c>
      <c r="D14008" s="8">
        <f>IFERROR(__xludf.DUMMYFUNCTION("""COMPUTED_VALUE"""),0.133)</f>
        <v>0.133</v>
      </c>
      <c r="E14008" s="8" t="str">
        <f>IFERROR(__xludf.DUMMYFUNCTION("""COMPUTED_VALUE"""),"Real")</f>
        <v>Real</v>
      </c>
      <c r="G14008" s="8">
        <f t="shared" si="1"/>
        <v>6</v>
      </c>
      <c r="H14008" s="14">
        <f t="shared" si="2"/>
        <v>6</v>
      </c>
      <c r="I14008" s="15">
        <f t="shared" si="3"/>
        <v>16</v>
      </c>
    </row>
    <row r="14009">
      <c r="A14009" s="8" t="str">
        <f>IFERROR(__xludf.DUMMYFUNCTION("IF('(INGESTA)Datos_consumo_datadis'!A14009&lt;&gt;"""",SPLIT('(INGESTA)Datos_consumo_datadis'!A:A,"",""),"""")"),"ES0031408323131005HX0F")</f>
        <v>ES0031408323131005HX0F</v>
      </c>
      <c r="B14009" s="12">
        <f>IFERROR(__xludf.DUMMYFUNCTION("""COMPUTED_VALUE"""),45449.0)</f>
        <v>45449</v>
      </c>
      <c r="C14009" s="13">
        <f>IFERROR(__xludf.DUMMYFUNCTION("""COMPUTED_VALUE"""),0.7083333333333334)</f>
        <v>0.7083333333</v>
      </c>
      <c r="D14009" s="8">
        <f>IFERROR(__xludf.DUMMYFUNCTION("""COMPUTED_VALUE"""),0.14)</f>
        <v>0.14</v>
      </c>
      <c r="E14009" s="8" t="str">
        <f>IFERROR(__xludf.DUMMYFUNCTION("""COMPUTED_VALUE"""),"Real")</f>
        <v>Real</v>
      </c>
      <c r="G14009" s="8">
        <f t="shared" si="1"/>
        <v>6</v>
      </c>
      <c r="H14009" s="14">
        <f t="shared" si="2"/>
        <v>6</v>
      </c>
      <c r="I14009" s="15">
        <f t="shared" si="3"/>
        <v>17</v>
      </c>
    </row>
    <row r="14010">
      <c r="A14010" s="8" t="str">
        <f>IFERROR(__xludf.DUMMYFUNCTION("IF('(INGESTA)Datos_consumo_datadis'!A14010&lt;&gt;"""",SPLIT('(INGESTA)Datos_consumo_datadis'!A:A,"",""),"""")"),"ES0031408323131005HX0F")</f>
        <v>ES0031408323131005HX0F</v>
      </c>
      <c r="B14010" s="12">
        <f>IFERROR(__xludf.DUMMYFUNCTION("""COMPUTED_VALUE"""),45449.0)</f>
        <v>45449</v>
      </c>
      <c r="C14010" s="13">
        <f>IFERROR(__xludf.DUMMYFUNCTION("""COMPUTED_VALUE"""),0.75)</f>
        <v>0.75</v>
      </c>
      <c r="D14010" s="8">
        <f>IFERROR(__xludf.DUMMYFUNCTION("""COMPUTED_VALUE"""),0.115)</f>
        <v>0.115</v>
      </c>
      <c r="E14010" s="8" t="str">
        <f>IFERROR(__xludf.DUMMYFUNCTION("""COMPUTED_VALUE"""),"Real")</f>
        <v>Real</v>
      </c>
      <c r="G14010" s="8">
        <f t="shared" si="1"/>
        <v>6</v>
      </c>
      <c r="H14010" s="14">
        <f t="shared" si="2"/>
        <v>6</v>
      </c>
      <c r="I14010" s="15">
        <f t="shared" si="3"/>
        <v>18</v>
      </c>
    </row>
    <row r="14011">
      <c r="A14011" s="8" t="str">
        <f>IFERROR(__xludf.DUMMYFUNCTION("IF('(INGESTA)Datos_consumo_datadis'!A14011&lt;&gt;"""",SPLIT('(INGESTA)Datos_consumo_datadis'!A:A,"",""),"""")"),"ES0031408323131005HX0F")</f>
        <v>ES0031408323131005HX0F</v>
      </c>
      <c r="B14011" s="12">
        <f>IFERROR(__xludf.DUMMYFUNCTION("""COMPUTED_VALUE"""),45449.0)</f>
        <v>45449</v>
      </c>
      <c r="C14011" s="13">
        <f>IFERROR(__xludf.DUMMYFUNCTION("""COMPUTED_VALUE"""),0.7916666666666666)</f>
        <v>0.7916666667</v>
      </c>
      <c r="D14011" s="8">
        <f>IFERROR(__xludf.DUMMYFUNCTION("""COMPUTED_VALUE"""),0.06)</f>
        <v>0.06</v>
      </c>
      <c r="E14011" s="8" t="str">
        <f>IFERROR(__xludf.DUMMYFUNCTION("""COMPUTED_VALUE"""),"Real")</f>
        <v>Real</v>
      </c>
      <c r="G14011" s="8">
        <f t="shared" si="1"/>
        <v>6</v>
      </c>
      <c r="H14011" s="14">
        <f t="shared" si="2"/>
        <v>6</v>
      </c>
      <c r="I14011" s="15">
        <f t="shared" si="3"/>
        <v>19</v>
      </c>
    </row>
    <row r="14012">
      <c r="A14012" s="8" t="str">
        <f>IFERROR(__xludf.DUMMYFUNCTION("IF('(INGESTA)Datos_consumo_datadis'!A14012&lt;&gt;"""",SPLIT('(INGESTA)Datos_consumo_datadis'!A:A,"",""),"""")"),"ES0031408323131005HX0F")</f>
        <v>ES0031408323131005HX0F</v>
      </c>
      <c r="B14012" s="12">
        <f>IFERROR(__xludf.DUMMYFUNCTION("""COMPUTED_VALUE"""),45449.0)</f>
        <v>45449</v>
      </c>
      <c r="C14012" s="13">
        <f>IFERROR(__xludf.DUMMYFUNCTION("""COMPUTED_VALUE"""),0.8333333333333334)</f>
        <v>0.8333333333</v>
      </c>
      <c r="D14012" s="8">
        <f>IFERROR(__xludf.DUMMYFUNCTION("""COMPUTED_VALUE"""),0.1)</f>
        <v>0.1</v>
      </c>
      <c r="E14012" s="8" t="str">
        <f>IFERROR(__xludf.DUMMYFUNCTION("""COMPUTED_VALUE"""),"Real")</f>
        <v>Real</v>
      </c>
      <c r="G14012" s="8">
        <f t="shared" si="1"/>
        <v>6</v>
      </c>
      <c r="H14012" s="14">
        <f t="shared" si="2"/>
        <v>6</v>
      </c>
      <c r="I14012" s="15">
        <f t="shared" si="3"/>
        <v>20</v>
      </c>
    </row>
    <row r="14013">
      <c r="A14013" s="8" t="str">
        <f>IFERROR(__xludf.DUMMYFUNCTION("IF('(INGESTA)Datos_consumo_datadis'!A14013&lt;&gt;"""",SPLIT('(INGESTA)Datos_consumo_datadis'!A:A,"",""),"""")"),"ES0031408323131005HX0F")</f>
        <v>ES0031408323131005HX0F</v>
      </c>
      <c r="B14013" s="12">
        <f>IFERROR(__xludf.DUMMYFUNCTION("""COMPUTED_VALUE"""),45449.0)</f>
        <v>45449</v>
      </c>
      <c r="C14013" s="13">
        <f>IFERROR(__xludf.DUMMYFUNCTION("""COMPUTED_VALUE"""),0.875)</f>
        <v>0.875</v>
      </c>
      <c r="D14013" s="8">
        <f>IFERROR(__xludf.DUMMYFUNCTION("""COMPUTED_VALUE"""),0.94)</f>
        <v>0.94</v>
      </c>
      <c r="E14013" s="8" t="str">
        <f>IFERROR(__xludf.DUMMYFUNCTION("""COMPUTED_VALUE"""),"Real")</f>
        <v>Real</v>
      </c>
      <c r="G14013" s="8">
        <f t="shared" si="1"/>
        <v>6</v>
      </c>
      <c r="H14013" s="14">
        <f t="shared" si="2"/>
        <v>6</v>
      </c>
      <c r="I14013" s="15">
        <f t="shared" si="3"/>
        <v>21</v>
      </c>
    </row>
    <row r="14014">
      <c r="A14014" s="8" t="str">
        <f>IFERROR(__xludf.DUMMYFUNCTION("IF('(INGESTA)Datos_consumo_datadis'!A14014&lt;&gt;"""",SPLIT('(INGESTA)Datos_consumo_datadis'!A:A,"",""),"""")"),"ES0031408323131005HX0F")</f>
        <v>ES0031408323131005HX0F</v>
      </c>
      <c r="B14014" s="12">
        <f>IFERROR(__xludf.DUMMYFUNCTION("""COMPUTED_VALUE"""),45449.0)</f>
        <v>45449</v>
      </c>
      <c r="C14014" s="13">
        <f>IFERROR(__xludf.DUMMYFUNCTION("""COMPUTED_VALUE"""),0.9166666666666666)</f>
        <v>0.9166666667</v>
      </c>
      <c r="D14014" s="8">
        <f>IFERROR(__xludf.DUMMYFUNCTION("""COMPUTED_VALUE"""),0.513)</f>
        <v>0.513</v>
      </c>
      <c r="E14014" s="8" t="str">
        <f>IFERROR(__xludf.DUMMYFUNCTION("""COMPUTED_VALUE"""),"Real")</f>
        <v>Real</v>
      </c>
      <c r="G14014" s="8">
        <f t="shared" si="1"/>
        <v>6</v>
      </c>
      <c r="H14014" s="14">
        <f t="shared" si="2"/>
        <v>6</v>
      </c>
      <c r="I14014" s="15">
        <f t="shared" si="3"/>
        <v>22</v>
      </c>
    </row>
    <row r="14015">
      <c r="A14015" s="8" t="str">
        <f>IFERROR(__xludf.DUMMYFUNCTION("IF('(INGESTA)Datos_consumo_datadis'!A14015&lt;&gt;"""",SPLIT('(INGESTA)Datos_consumo_datadis'!A:A,"",""),"""")"),"ES0031408323131005HX0F")</f>
        <v>ES0031408323131005HX0F</v>
      </c>
      <c r="B14015" s="12">
        <f>IFERROR(__xludf.DUMMYFUNCTION("""COMPUTED_VALUE"""),45449.0)</f>
        <v>45449</v>
      </c>
      <c r="C14015" s="13">
        <f>IFERROR(__xludf.DUMMYFUNCTION("""COMPUTED_VALUE"""),0.9583333333333334)</f>
        <v>0.9583333333</v>
      </c>
      <c r="D14015" s="8">
        <f>IFERROR(__xludf.DUMMYFUNCTION("""COMPUTED_VALUE"""),0.126)</f>
        <v>0.126</v>
      </c>
      <c r="E14015" s="8" t="str">
        <f>IFERROR(__xludf.DUMMYFUNCTION("""COMPUTED_VALUE"""),"Real")</f>
        <v>Real</v>
      </c>
      <c r="G14015" s="8">
        <f t="shared" si="1"/>
        <v>6</v>
      </c>
      <c r="H14015" s="14">
        <f t="shared" si="2"/>
        <v>6</v>
      </c>
      <c r="I14015" s="15">
        <f t="shared" si="3"/>
        <v>23</v>
      </c>
    </row>
    <row r="14016">
      <c r="A14016" s="8" t="str">
        <f>IFERROR(__xludf.DUMMYFUNCTION("IF('(INGESTA)Datos_consumo_datadis'!A14016&lt;&gt;"""",SPLIT('(INGESTA)Datos_consumo_datadis'!A:A,"",""),"""")"),"ES0031408323131005HX0F")</f>
        <v>ES0031408323131005HX0F</v>
      </c>
      <c r="B14016" s="12">
        <f>IFERROR(__xludf.DUMMYFUNCTION("""COMPUTED_VALUE"""),45449.0)</f>
        <v>45449</v>
      </c>
      <c r="C14016" s="16">
        <f>IFERROR(__xludf.DUMMYFUNCTION("""COMPUTED_VALUE"""),1.0)</f>
        <v>1</v>
      </c>
      <c r="D14016" s="8">
        <f>IFERROR(__xludf.DUMMYFUNCTION("""COMPUTED_VALUE"""),0.09)</f>
        <v>0.09</v>
      </c>
      <c r="E14016" s="8" t="str">
        <f>IFERROR(__xludf.DUMMYFUNCTION("""COMPUTED_VALUE"""),"Real")</f>
        <v>Real</v>
      </c>
      <c r="G14016" s="8">
        <f t="shared" si="1"/>
        <v>6</v>
      </c>
      <c r="H14016" s="14">
        <f t="shared" si="2"/>
        <v>6</v>
      </c>
      <c r="I14016" s="15">
        <f t="shared" si="3"/>
        <v>0</v>
      </c>
    </row>
    <row r="14017">
      <c r="A14017" s="8" t="str">
        <f>IFERROR(__xludf.DUMMYFUNCTION("IF('(INGESTA)Datos_consumo_datadis'!A14017&lt;&gt;"""",SPLIT('(INGESTA)Datos_consumo_datadis'!A:A,"",""),"""")"),"ES0031408323131005HX0F")</f>
        <v>ES0031408323131005HX0F</v>
      </c>
      <c r="B14017" s="12">
        <f>IFERROR(__xludf.DUMMYFUNCTION("""COMPUTED_VALUE"""),45450.0)</f>
        <v>45450</v>
      </c>
      <c r="C14017" s="13">
        <f>IFERROR(__xludf.DUMMYFUNCTION("""COMPUTED_VALUE"""),0.041666666666666664)</f>
        <v>0.04166666667</v>
      </c>
      <c r="D14017" s="8">
        <f>IFERROR(__xludf.DUMMYFUNCTION("""COMPUTED_VALUE"""),0.11)</f>
        <v>0.11</v>
      </c>
      <c r="E14017" s="8" t="str">
        <f>IFERROR(__xludf.DUMMYFUNCTION("""COMPUTED_VALUE"""),"Real")</f>
        <v>Real</v>
      </c>
      <c r="G14017" s="8">
        <f t="shared" si="1"/>
        <v>6</v>
      </c>
      <c r="H14017" s="14">
        <f t="shared" si="2"/>
        <v>7</v>
      </c>
      <c r="I14017" s="15">
        <f t="shared" si="3"/>
        <v>1</v>
      </c>
    </row>
    <row r="14018">
      <c r="A14018" s="8" t="str">
        <f>IFERROR(__xludf.DUMMYFUNCTION("IF('(INGESTA)Datos_consumo_datadis'!A14018&lt;&gt;"""",SPLIT('(INGESTA)Datos_consumo_datadis'!A:A,"",""),"""")"),"ES0031408323131005HX0F")</f>
        <v>ES0031408323131005HX0F</v>
      </c>
      <c r="B14018" s="12">
        <f>IFERROR(__xludf.DUMMYFUNCTION("""COMPUTED_VALUE"""),45450.0)</f>
        <v>45450</v>
      </c>
      <c r="C14018" s="13">
        <f>IFERROR(__xludf.DUMMYFUNCTION("""COMPUTED_VALUE"""),0.08333333333333333)</f>
        <v>0.08333333333</v>
      </c>
      <c r="D14018" s="8">
        <f>IFERROR(__xludf.DUMMYFUNCTION("""COMPUTED_VALUE"""),0.061)</f>
        <v>0.061</v>
      </c>
      <c r="E14018" s="8" t="str">
        <f>IFERROR(__xludf.DUMMYFUNCTION("""COMPUTED_VALUE"""),"Real")</f>
        <v>Real</v>
      </c>
      <c r="G14018" s="8">
        <f t="shared" si="1"/>
        <v>6</v>
      </c>
      <c r="H14018" s="14">
        <f t="shared" si="2"/>
        <v>7</v>
      </c>
      <c r="I14018" s="15">
        <f t="shared" si="3"/>
        <v>2</v>
      </c>
    </row>
    <row r="14019">
      <c r="A14019" s="8" t="str">
        <f>IFERROR(__xludf.DUMMYFUNCTION("IF('(INGESTA)Datos_consumo_datadis'!A14019&lt;&gt;"""",SPLIT('(INGESTA)Datos_consumo_datadis'!A:A,"",""),"""")"),"ES0031408323131005HX0F")</f>
        <v>ES0031408323131005HX0F</v>
      </c>
      <c r="B14019" s="12">
        <f>IFERROR(__xludf.DUMMYFUNCTION("""COMPUTED_VALUE"""),45450.0)</f>
        <v>45450</v>
      </c>
      <c r="C14019" s="13">
        <f>IFERROR(__xludf.DUMMYFUNCTION("""COMPUTED_VALUE"""),0.125)</f>
        <v>0.125</v>
      </c>
      <c r="D14019" s="8">
        <f>IFERROR(__xludf.DUMMYFUNCTION("""COMPUTED_VALUE"""),0.364)</f>
        <v>0.364</v>
      </c>
      <c r="E14019" s="8" t="str">
        <f>IFERROR(__xludf.DUMMYFUNCTION("""COMPUTED_VALUE"""),"Real")</f>
        <v>Real</v>
      </c>
      <c r="G14019" s="8">
        <f t="shared" si="1"/>
        <v>6</v>
      </c>
      <c r="H14019" s="14">
        <f t="shared" si="2"/>
        <v>7</v>
      </c>
      <c r="I14019" s="15">
        <f t="shared" si="3"/>
        <v>3</v>
      </c>
    </row>
    <row r="14020">
      <c r="A14020" s="8" t="str">
        <f>IFERROR(__xludf.DUMMYFUNCTION("IF('(INGESTA)Datos_consumo_datadis'!A14020&lt;&gt;"""",SPLIT('(INGESTA)Datos_consumo_datadis'!A:A,"",""),"""")"),"ES0031408323131005HX0F")</f>
        <v>ES0031408323131005HX0F</v>
      </c>
      <c r="B14020" s="12">
        <f>IFERROR(__xludf.DUMMYFUNCTION("""COMPUTED_VALUE"""),45450.0)</f>
        <v>45450</v>
      </c>
      <c r="C14020" s="13">
        <f>IFERROR(__xludf.DUMMYFUNCTION("""COMPUTED_VALUE"""),0.16666666666666666)</f>
        <v>0.1666666667</v>
      </c>
      <c r="D14020" s="8">
        <f>IFERROR(__xludf.DUMMYFUNCTION("""COMPUTED_VALUE"""),0.082)</f>
        <v>0.082</v>
      </c>
      <c r="E14020" s="8" t="str">
        <f>IFERROR(__xludf.DUMMYFUNCTION("""COMPUTED_VALUE"""),"Real")</f>
        <v>Real</v>
      </c>
      <c r="G14020" s="8">
        <f t="shared" si="1"/>
        <v>6</v>
      </c>
      <c r="H14020" s="14">
        <f t="shared" si="2"/>
        <v>7</v>
      </c>
      <c r="I14020" s="15">
        <f t="shared" si="3"/>
        <v>4</v>
      </c>
    </row>
    <row r="14021">
      <c r="A14021" s="8" t="str">
        <f>IFERROR(__xludf.DUMMYFUNCTION("IF('(INGESTA)Datos_consumo_datadis'!A14021&lt;&gt;"""",SPLIT('(INGESTA)Datos_consumo_datadis'!A:A,"",""),"""")"),"ES0031408323131005HX0F")</f>
        <v>ES0031408323131005HX0F</v>
      </c>
      <c r="B14021" s="12">
        <f>IFERROR(__xludf.DUMMYFUNCTION("""COMPUTED_VALUE"""),45450.0)</f>
        <v>45450</v>
      </c>
      <c r="C14021" s="13">
        <f>IFERROR(__xludf.DUMMYFUNCTION("""COMPUTED_VALUE"""),0.20833333333333334)</f>
        <v>0.2083333333</v>
      </c>
      <c r="D14021" s="8">
        <f>IFERROR(__xludf.DUMMYFUNCTION("""COMPUTED_VALUE"""),0.051)</f>
        <v>0.051</v>
      </c>
      <c r="E14021" s="8" t="str">
        <f>IFERROR(__xludf.DUMMYFUNCTION("""COMPUTED_VALUE"""),"Real")</f>
        <v>Real</v>
      </c>
      <c r="G14021" s="8">
        <f t="shared" si="1"/>
        <v>6</v>
      </c>
      <c r="H14021" s="14">
        <f t="shared" si="2"/>
        <v>7</v>
      </c>
      <c r="I14021" s="15">
        <f t="shared" si="3"/>
        <v>5</v>
      </c>
    </row>
    <row r="14022">
      <c r="A14022" s="8" t="str">
        <f>IFERROR(__xludf.DUMMYFUNCTION("IF('(INGESTA)Datos_consumo_datadis'!A14022&lt;&gt;"""",SPLIT('(INGESTA)Datos_consumo_datadis'!A:A,"",""),"""")"),"ES0031408323131005HX0F")</f>
        <v>ES0031408323131005HX0F</v>
      </c>
      <c r="B14022" s="12">
        <f>IFERROR(__xludf.DUMMYFUNCTION("""COMPUTED_VALUE"""),45450.0)</f>
        <v>45450</v>
      </c>
      <c r="C14022" s="13">
        <f>IFERROR(__xludf.DUMMYFUNCTION("""COMPUTED_VALUE"""),0.25)</f>
        <v>0.25</v>
      </c>
      <c r="D14022" s="8">
        <f>IFERROR(__xludf.DUMMYFUNCTION("""COMPUTED_VALUE"""),0.079)</f>
        <v>0.079</v>
      </c>
      <c r="E14022" s="8" t="str">
        <f>IFERROR(__xludf.DUMMYFUNCTION("""COMPUTED_VALUE"""),"Real")</f>
        <v>Real</v>
      </c>
      <c r="G14022" s="8">
        <f t="shared" si="1"/>
        <v>6</v>
      </c>
      <c r="H14022" s="14">
        <f t="shared" si="2"/>
        <v>7</v>
      </c>
      <c r="I14022" s="15">
        <f t="shared" si="3"/>
        <v>6</v>
      </c>
    </row>
    <row r="14023">
      <c r="A14023" s="8" t="str">
        <f>IFERROR(__xludf.DUMMYFUNCTION("IF('(INGESTA)Datos_consumo_datadis'!A14023&lt;&gt;"""",SPLIT('(INGESTA)Datos_consumo_datadis'!A:A,"",""),"""")"),"ES0031408323131005HX0F")</f>
        <v>ES0031408323131005HX0F</v>
      </c>
      <c r="B14023" s="12">
        <f>IFERROR(__xludf.DUMMYFUNCTION("""COMPUTED_VALUE"""),45450.0)</f>
        <v>45450</v>
      </c>
      <c r="C14023" s="13">
        <f>IFERROR(__xludf.DUMMYFUNCTION("""COMPUTED_VALUE"""),0.2916666666666667)</f>
        <v>0.2916666667</v>
      </c>
      <c r="D14023" s="8">
        <f>IFERROR(__xludf.DUMMYFUNCTION("""COMPUTED_VALUE"""),0.045)</f>
        <v>0.045</v>
      </c>
      <c r="E14023" s="8" t="str">
        <f>IFERROR(__xludf.DUMMYFUNCTION("""COMPUTED_VALUE"""),"Real")</f>
        <v>Real</v>
      </c>
      <c r="G14023" s="8">
        <f t="shared" si="1"/>
        <v>6</v>
      </c>
      <c r="H14023" s="14">
        <f t="shared" si="2"/>
        <v>7</v>
      </c>
      <c r="I14023" s="15">
        <f t="shared" si="3"/>
        <v>7</v>
      </c>
    </row>
    <row r="14024">
      <c r="A14024" s="8" t="str">
        <f>IFERROR(__xludf.DUMMYFUNCTION("IF('(INGESTA)Datos_consumo_datadis'!A14024&lt;&gt;"""",SPLIT('(INGESTA)Datos_consumo_datadis'!A:A,"",""),"""")"),"ES0031408323131005HX0F")</f>
        <v>ES0031408323131005HX0F</v>
      </c>
      <c r="B14024" s="12">
        <f>IFERROR(__xludf.DUMMYFUNCTION("""COMPUTED_VALUE"""),45450.0)</f>
        <v>45450</v>
      </c>
      <c r="C14024" s="13">
        <f>IFERROR(__xludf.DUMMYFUNCTION("""COMPUTED_VALUE"""),0.3333333333333333)</f>
        <v>0.3333333333</v>
      </c>
      <c r="D14024" s="8">
        <f>IFERROR(__xludf.DUMMYFUNCTION("""COMPUTED_VALUE"""),0.09)</f>
        <v>0.09</v>
      </c>
      <c r="E14024" s="8" t="str">
        <f>IFERROR(__xludf.DUMMYFUNCTION("""COMPUTED_VALUE"""),"Real")</f>
        <v>Real</v>
      </c>
      <c r="G14024" s="8">
        <f t="shared" si="1"/>
        <v>6</v>
      </c>
      <c r="H14024" s="14">
        <f t="shared" si="2"/>
        <v>7</v>
      </c>
      <c r="I14024" s="15">
        <f t="shared" si="3"/>
        <v>8</v>
      </c>
    </row>
    <row r="14025">
      <c r="A14025" s="8" t="str">
        <f>IFERROR(__xludf.DUMMYFUNCTION("IF('(INGESTA)Datos_consumo_datadis'!A14025&lt;&gt;"""",SPLIT('(INGESTA)Datos_consumo_datadis'!A:A,"",""),"""")"),"ES0031408323131005HX0F")</f>
        <v>ES0031408323131005HX0F</v>
      </c>
      <c r="B14025" s="12">
        <f>IFERROR(__xludf.DUMMYFUNCTION("""COMPUTED_VALUE"""),45450.0)</f>
        <v>45450</v>
      </c>
      <c r="C14025" s="13">
        <f>IFERROR(__xludf.DUMMYFUNCTION("""COMPUTED_VALUE"""),0.375)</f>
        <v>0.375</v>
      </c>
      <c r="D14025" s="8">
        <f>IFERROR(__xludf.DUMMYFUNCTION("""COMPUTED_VALUE"""),0.228)</f>
        <v>0.228</v>
      </c>
      <c r="E14025" s="8" t="str">
        <f>IFERROR(__xludf.DUMMYFUNCTION("""COMPUTED_VALUE"""),"Real")</f>
        <v>Real</v>
      </c>
      <c r="G14025" s="8">
        <f t="shared" si="1"/>
        <v>6</v>
      </c>
      <c r="H14025" s="14">
        <f t="shared" si="2"/>
        <v>7</v>
      </c>
      <c r="I14025" s="15">
        <f t="shared" si="3"/>
        <v>9</v>
      </c>
    </row>
    <row r="14026">
      <c r="A14026" s="8" t="str">
        <f>IFERROR(__xludf.DUMMYFUNCTION("IF('(INGESTA)Datos_consumo_datadis'!A14026&lt;&gt;"""",SPLIT('(INGESTA)Datos_consumo_datadis'!A:A,"",""),"""")"),"ES0031408323131005HX0F")</f>
        <v>ES0031408323131005HX0F</v>
      </c>
      <c r="B14026" s="12">
        <f>IFERROR(__xludf.DUMMYFUNCTION("""COMPUTED_VALUE"""),45450.0)</f>
        <v>45450</v>
      </c>
      <c r="C14026" s="13">
        <f>IFERROR(__xludf.DUMMYFUNCTION("""COMPUTED_VALUE"""),0.4166666666666667)</f>
        <v>0.4166666667</v>
      </c>
      <c r="D14026" s="8">
        <f>IFERROR(__xludf.DUMMYFUNCTION("""COMPUTED_VALUE"""),0.137)</f>
        <v>0.137</v>
      </c>
      <c r="E14026" s="8" t="str">
        <f>IFERROR(__xludf.DUMMYFUNCTION("""COMPUTED_VALUE"""),"Real")</f>
        <v>Real</v>
      </c>
      <c r="G14026" s="8">
        <f t="shared" si="1"/>
        <v>6</v>
      </c>
      <c r="H14026" s="14">
        <f t="shared" si="2"/>
        <v>7</v>
      </c>
      <c r="I14026" s="15">
        <f t="shared" si="3"/>
        <v>10</v>
      </c>
    </row>
    <row r="14027">
      <c r="A14027" s="8" t="str">
        <f>IFERROR(__xludf.DUMMYFUNCTION("IF('(INGESTA)Datos_consumo_datadis'!A14027&lt;&gt;"""",SPLIT('(INGESTA)Datos_consumo_datadis'!A:A,"",""),"""")"),"ES0031408323131005HX0F")</f>
        <v>ES0031408323131005HX0F</v>
      </c>
      <c r="B14027" s="12">
        <f>IFERROR(__xludf.DUMMYFUNCTION("""COMPUTED_VALUE"""),45450.0)</f>
        <v>45450</v>
      </c>
      <c r="C14027" s="13">
        <f>IFERROR(__xludf.DUMMYFUNCTION("""COMPUTED_VALUE"""),0.4583333333333333)</f>
        <v>0.4583333333</v>
      </c>
      <c r="D14027" s="8">
        <f>IFERROR(__xludf.DUMMYFUNCTION("""COMPUTED_VALUE"""),0.349)</f>
        <v>0.349</v>
      </c>
      <c r="E14027" s="8" t="str">
        <f>IFERROR(__xludf.DUMMYFUNCTION("""COMPUTED_VALUE"""),"Real")</f>
        <v>Real</v>
      </c>
      <c r="G14027" s="8">
        <f t="shared" si="1"/>
        <v>6</v>
      </c>
      <c r="H14027" s="14">
        <f t="shared" si="2"/>
        <v>7</v>
      </c>
      <c r="I14027" s="15">
        <f t="shared" si="3"/>
        <v>11</v>
      </c>
    </row>
    <row r="14028">
      <c r="A14028" s="8" t="str">
        <f>IFERROR(__xludf.DUMMYFUNCTION("IF('(INGESTA)Datos_consumo_datadis'!A14028&lt;&gt;"""",SPLIT('(INGESTA)Datos_consumo_datadis'!A:A,"",""),"""")"),"ES0031408323131005HX0F")</f>
        <v>ES0031408323131005HX0F</v>
      </c>
      <c r="B14028" s="12">
        <f>IFERROR(__xludf.DUMMYFUNCTION("""COMPUTED_VALUE"""),45450.0)</f>
        <v>45450</v>
      </c>
      <c r="C14028" s="13">
        <f>IFERROR(__xludf.DUMMYFUNCTION("""COMPUTED_VALUE"""),0.5)</f>
        <v>0.5</v>
      </c>
      <c r="D14028" s="8">
        <f>IFERROR(__xludf.DUMMYFUNCTION("""COMPUTED_VALUE"""),0.099)</f>
        <v>0.099</v>
      </c>
      <c r="E14028" s="8" t="str">
        <f>IFERROR(__xludf.DUMMYFUNCTION("""COMPUTED_VALUE"""),"Real")</f>
        <v>Real</v>
      </c>
      <c r="G14028" s="8">
        <f t="shared" si="1"/>
        <v>6</v>
      </c>
      <c r="H14028" s="14">
        <f t="shared" si="2"/>
        <v>7</v>
      </c>
      <c r="I14028" s="15">
        <f t="shared" si="3"/>
        <v>12</v>
      </c>
    </row>
    <row r="14029">
      <c r="A14029" s="8" t="str">
        <f>IFERROR(__xludf.DUMMYFUNCTION("IF('(INGESTA)Datos_consumo_datadis'!A14029&lt;&gt;"""",SPLIT('(INGESTA)Datos_consumo_datadis'!A:A,"",""),"""")"),"ES0031408323131005HX0F")</f>
        <v>ES0031408323131005HX0F</v>
      </c>
      <c r="B14029" s="12">
        <f>IFERROR(__xludf.DUMMYFUNCTION("""COMPUTED_VALUE"""),45450.0)</f>
        <v>45450</v>
      </c>
      <c r="C14029" s="13">
        <f>IFERROR(__xludf.DUMMYFUNCTION("""COMPUTED_VALUE"""),0.5416666666666666)</f>
        <v>0.5416666667</v>
      </c>
      <c r="D14029" s="8">
        <f>IFERROR(__xludf.DUMMYFUNCTION("""COMPUTED_VALUE"""),0.061)</f>
        <v>0.061</v>
      </c>
      <c r="E14029" s="8" t="str">
        <f>IFERROR(__xludf.DUMMYFUNCTION("""COMPUTED_VALUE"""),"Real")</f>
        <v>Real</v>
      </c>
      <c r="G14029" s="8">
        <f t="shared" si="1"/>
        <v>6</v>
      </c>
      <c r="H14029" s="14">
        <f t="shared" si="2"/>
        <v>7</v>
      </c>
      <c r="I14029" s="15">
        <f t="shared" si="3"/>
        <v>13</v>
      </c>
    </row>
    <row r="14030">
      <c r="A14030" s="8" t="str">
        <f>IFERROR(__xludf.DUMMYFUNCTION("IF('(INGESTA)Datos_consumo_datadis'!A14030&lt;&gt;"""",SPLIT('(INGESTA)Datos_consumo_datadis'!A:A,"",""),"""")"),"ES0031408323131005HX0F")</f>
        <v>ES0031408323131005HX0F</v>
      </c>
      <c r="B14030" s="12">
        <f>IFERROR(__xludf.DUMMYFUNCTION("""COMPUTED_VALUE"""),45450.0)</f>
        <v>45450</v>
      </c>
      <c r="C14030" s="13">
        <f>IFERROR(__xludf.DUMMYFUNCTION("""COMPUTED_VALUE"""),0.5833333333333334)</f>
        <v>0.5833333333</v>
      </c>
      <c r="D14030" s="8">
        <f>IFERROR(__xludf.DUMMYFUNCTION("""COMPUTED_VALUE"""),0.169)</f>
        <v>0.169</v>
      </c>
      <c r="E14030" s="8" t="str">
        <f>IFERROR(__xludf.DUMMYFUNCTION("""COMPUTED_VALUE"""),"Real")</f>
        <v>Real</v>
      </c>
      <c r="G14030" s="8">
        <f t="shared" si="1"/>
        <v>6</v>
      </c>
      <c r="H14030" s="14">
        <f t="shared" si="2"/>
        <v>7</v>
      </c>
      <c r="I14030" s="15">
        <f t="shared" si="3"/>
        <v>14</v>
      </c>
    </row>
    <row r="14031">
      <c r="A14031" s="8" t="str">
        <f>IFERROR(__xludf.DUMMYFUNCTION("IF('(INGESTA)Datos_consumo_datadis'!A14031&lt;&gt;"""",SPLIT('(INGESTA)Datos_consumo_datadis'!A:A,"",""),"""")"),"ES0031408323131005HX0F")</f>
        <v>ES0031408323131005HX0F</v>
      </c>
      <c r="B14031" s="12">
        <f>IFERROR(__xludf.DUMMYFUNCTION("""COMPUTED_VALUE"""),45450.0)</f>
        <v>45450</v>
      </c>
      <c r="C14031" s="13">
        <f>IFERROR(__xludf.DUMMYFUNCTION("""COMPUTED_VALUE"""),0.625)</f>
        <v>0.625</v>
      </c>
      <c r="D14031" s="8">
        <f>IFERROR(__xludf.DUMMYFUNCTION("""COMPUTED_VALUE"""),0.301)</f>
        <v>0.301</v>
      </c>
      <c r="E14031" s="8" t="str">
        <f>IFERROR(__xludf.DUMMYFUNCTION("""COMPUTED_VALUE"""),"Real")</f>
        <v>Real</v>
      </c>
      <c r="G14031" s="8">
        <f t="shared" si="1"/>
        <v>6</v>
      </c>
      <c r="H14031" s="14">
        <f t="shared" si="2"/>
        <v>7</v>
      </c>
      <c r="I14031" s="15">
        <f t="shared" si="3"/>
        <v>15</v>
      </c>
    </row>
    <row r="14032">
      <c r="A14032" s="8" t="str">
        <f>IFERROR(__xludf.DUMMYFUNCTION("IF('(INGESTA)Datos_consumo_datadis'!A14032&lt;&gt;"""",SPLIT('(INGESTA)Datos_consumo_datadis'!A:A,"",""),"""")"),"ES0031408323131005HX0F")</f>
        <v>ES0031408323131005HX0F</v>
      </c>
      <c r="B14032" s="12">
        <f>IFERROR(__xludf.DUMMYFUNCTION("""COMPUTED_VALUE"""),45450.0)</f>
        <v>45450</v>
      </c>
      <c r="C14032" s="13">
        <f>IFERROR(__xludf.DUMMYFUNCTION("""COMPUTED_VALUE"""),0.6666666666666666)</f>
        <v>0.6666666667</v>
      </c>
      <c r="D14032" s="8">
        <f>IFERROR(__xludf.DUMMYFUNCTION("""COMPUTED_VALUE"""),0.327)</f>
        <v>0.327</v>
      </c>
      <c r="E14032" s="8" t="str">
        <f>IFERROR(__xludf.DUMMYFUNCTION("""COMPUTED_VALUE"""),"Real")</f>
        <v>Real</v>
      </c>
      <c r="G14032" s="8">
        <f t="shared" si="1"/>
        <v>6</v>
      </c>
      <c r="H14032" s="14">
        <f t="shared" si="2"/>
        <v>7</v>
      </c>
      <c r="I14032" s="15">
        <f t="shared" si="3"/>
        <v>16</v>
      </c>
    </row>
    <row r="14033">
      <c r="A14033" s="8" t="str">
        <f>IFERROR(__xludf.DUMMYFUNCTION("IF('(INGESTA)Datos_consumo_datadis'!A14033&lt;&gt;"""",SPLIT('(INGESTA)Datos_consumo_datadis'!A:A,"",""),"""")"),"ES0031408323131005HX0F")</f>
        <v>ES0031408323131005HX0F</v>
      </c>
      <c r="B14033" s="12">
        <f>IFERROR(__xludf.DUMMYFUNCTION("""COMPUTED_VALUE"""),45450.0)</f>
        <v>45450</v>
      </c>
      <c r="C14033" s="13">
        <f>IFERROR(__xludf.DUMMYFUNCTION("""COMPUTED_VALUE"""),0.7083333333333334)</f>
        <v>0.7083333333</v>
      </c>
      <c r="D14033" s="8">
        <f>IFERROR(__xludf.DUMMYFUNCTION("""COMPUTED_VALUE"""),0.595)</f>
        <v>0.595</v>
      </c>
      <c r="E14033" s="8" t="str">
        <f>IFERROR(__xludf.DUMMYFUNCTION("""COMPUTED_VALUE"""),"Real")</f>
        <v>Real</v>
      </c>
      <c r="G14033" s="8">
        <f t="shared" si="1"/>
        <v>6</v>
      </c>
      <c r="H14033" s="14">
        <f t="shared" si="2"/>
        <v>7</v>
      </c>
      <c r="I14033" s="15">
        <f t="shared" si="3"/>
        <v>17</v>
      </c>
    </row>
    <row r="14034">
      <c r="A14034" s="8" t="str">
        <f>IFERROR(__xludf.DUMMYFUNCTION("IF('(INGESTA)Datos_consumo_datadis'!A14034&lt;&gt;"""",SPLIT('(INGESTA)Datos_consumo_datadis'!A:A,"",""),"""")"),"ES0031408323131005HX0F")</f>
        <v>ES0031408323131005HX0F</v>
      </c>
      <c r="B14034" s="12">
        <f>IFERROR(__xludf.DUMMYFUNCTION("""COMPUTED_VALUE"""),45450.0)</f>
        <v>45450</v>
      </c>
      <c r="C14034" s="13">
        <f>IFERROR(__xludf.DUMMYFUNCTION("""COMPUTED_VALUE"""),0.75)</f>
        <v>0.75</v>
      </c>
      <c r="D14034" s="8">
        <f>IFERROR(__xludf.DUMMYFUNCTION("""COMPUTED_VALUE"""),0.517)</f>
        <v>0.517</v>
      </c>
      <c r="E14034" s="8" t="str">
        <f>IFERROR(__xludf.DUMMYFUNCTION("""COMPUTED_VALUE"""),"Real")</f>
        <v>Real</v>
      </c>
      <c r="G14034" s="8">
        <f t="shared" si="1"/>
        <v>6</v>
      </c>
      <c r="H14034" s="14">
        <f t="shared" si="2"/>
        <v>7</v>
      </c>
      <c r="I14034" s="15">
        <f t="shared" si="3"/>
        <v>18</v>
      </c>
    </row>
    <row r="14035">
      <c r="A14035" s="8" t="str">
        <f>IFERROR(__xludf.DUMMYFUNCTION("IF('(INGESTA)Datos_consumo_datadis'!A14035&lt;&gt;"""",SPLIT('(INGESTA)Datos_consumo_datadis'!A:A,"",""),"""")"),"ES0031408323131005HX0F")</f>
        <v>ES0031408323131005HX0F</v>
      </c>
      <c r="B14035" s="12">
        <f>IFERROR(__xludf.DUMMYFUNCTION("""COMPUTED_VALUE"""),45450.0)</f>
        <v>45450</v>
      </c>
      <c r="C14035" s="13">
        <f>IFERROR(__xludf.DUMMYFUNCTION("""COMPUTED_VALUE"""),0.7916666666666666)</f>
        <v>0.7916666667</v>
      </c>
      <c r="D14035" s="8">
        <f>IFERROR(__xludf.DUMMYFUNCTION("""COMPUTED_VALUE"""),0.37)</f>
        <v>0.37</v>
      </c>
      <c r="E14035" s="8" t="str">
        <f>IFERROR(__xludf.DUMMYFUNCTION("""COMPUTED_VALUE"""),"Real")</f>
        <v>Real</v>
      </c>
      <c r="G14035" s="8">
        <f t="shared" si="1"/>
        <v>6</v>
      </c>
      <c r="H14035" s="14">
        <f t="shared" si="2"/>
        <v>7</v>
      </c>
      <c r="I14035" s="15">
        <f t="shared" si="3"/>
        <v>19</v>
      </c>
    </row>
    <row r="14036">
      <c r="A14036" s="8" t="str">
        <f>IFERROR(__xludf.DUMMYFUNCTION("IF('(INGESTA)Datos_consumo_datadis'!A14036&lt;&gt;"""",SPLIT('(INGESTA)Datos_consumo_datadis'!A:A,"",""),"""")"),"ES0031408323131005HX0F")</f>
        <v>ES0031408323131005HX0F</v>
      </c>
      <c r="B14036" s="12">
        <f>IFERROR(__xludf.DUMMYFUNCTION("""COMPUTED_VALUE"""),45450.0)</f>
        <v>45450</v>
      </c>
      <c r="C14036" s="13">
        <f>IFERROR(__xludf.DUMMYFUNCTION("""COMPUTED_VALUE"""),0.8333333333333334)</f>
        <v>0.8333333333</v>
      </c>
      <c r="D14036" s="8">
        <f>IFERROR(__xludf.DUMMYFUNCTION("""COMPUTED_VALUE"""),0.161)</f>
        <v>0.161</v>
      </c>
      <c r="E14036" s="8" t="str">
        <f>IFERROR(__xludf.DUMMYFUNCTION("""COMPUTED_VALUE"""),"Real")</f>
        <v>Real</v>
      </c>
      <c r="G14036" s="8">
        <f t="shared" si="1"/>
        <v>6</v>
      </c>
      <c r="H14036" s="14">
        <f t="shared" si="2"/>
        <v>7</v>
      </c>
      <c r="I14036" s="15">
        <f t="shared" si="3"/>
        <v>20</v>
      </c>
    </row>
    <row r="14037">
      <c r="A14037" s="8" t="str">
        <f>IFERROR(__xludf.DUMMYFUNCTION("IF('(INGESTA)Datos_consumo_datadis'!A14037&lt;&gt;"""",SPLIT('(INGESTA)Datos_consumo_datadis'!A:A,"",""),"""")"),"ES0031408323131005HX0F")</f>
        <v>ES0031408323131005HX0F</v>
      </c>
      <c r="B14037" s="12">
        <f>IFERROR(__xludf.DUMMYFUNCTION("""COMPUTED_VALUE"""),45450.0)</f>
        <v>45450</v>
      </c>
      <c r="C14037" s="13">
        <f>IFERROR(__xludf.DUMMYFUNCTION("""COMPUTED_VALUE"""),0.875)</f>
        <v>0.875</v>
      </c>
      <c r="D14037" s="8">
        <f>IFERROR(__xludf.DUMMYFUNCTION("""COMPUTED_VALUE"""),0.153)</f>
        <v>0.153</v>
      </c>
      <c r="E14037" s="8" t="str">
        <f>IFERROR(__xludf.DUMMYFUNCTION("""COMPUTED_VALUE"""),"Real")</f>
        <v>Real</v>
      </c>
      <c r="G14037" s="8">
        <f t="shared" si="1"/>
        <v>6</v>
      </c>
      <c r="H14037" s="14">
        <f t="shared" si="2"/>
        <v>7</v>
      </c>
      <c r="I14037" s="15">
        <f t="shared" si="3"/>
        <v>21</v>
      </c>
    </row>
    <row r="14038">
      <c r="A14038" s="8" t="str">
        <f>IFERROR(__xludf.DUMMYFUNCTION("IF('(INGESTA)Datos_consumo_datadis'!A14038&lt;&gt;"""",SPLIT('(INGESTA)Datos_consumo_datadis'!A:A,"",""),"""")"),"ES0031408323131005HX0F")</f>
        <v>ES0031408323131005HX0F</v>
      </c>
      <c r="B14038" s="12">
        <f>IFERROR(__xludf.DUMMYFUNCTION("""COMPUTED_VALUE"""),45450.0)</f>
        <v>45450</v>
      </c>
      <c r="C14038" s="13">
        <f>IFERROR(__xludf.DUMMYFUNCTION("""COMPUTED_VALUE"""),0.9166666666666666)</f>
        <v>0.9166666667</v>
      </c>
      <c r="D14038" s="8">
        <f>IFERROR(__xludf.DUMMYFUNCTION("""COMPUTED_VALUE"""),0.214)</f>
        <v>0.214</v>
      </c>
      <c r="E14038" s="8" t="str">
        <f>IFERROR(__xludf.DUMMYFUNCTION("""COMPUTED_VALUE"""),"Real")</f>
        <v>Real</v>
      </c>
      <c r="G14038" s="8">
        <f t="shared" si="1"/>
        <v>6</v>
      </c>
      <c r="H14038" s="14">
        <f t="shared" si="2"/>
        <v>7</v>
      </c>
      <c r="I14038" s="15">
        <f t="shared" si="3"/>
        <v>22</v>
      </c>
    </row>
    <row r="14039">
      <c r="A14039" s="8" t="str">
        <f>IFERROR(__xludf.DUMMYFUNCTION("IF('(INGESTA)Datos_consumo_datadis'!A14039&lt;&gt;"""",SPLIT('(INGESTA)Datos_consumo_datadis'!A:A,"",""),"""")"),"ES0031408323131005HX0F")</f>
        <v>ES0031408323131005HX0F</v>
      </c>
      <c r="B14039" s="12">
        <f>IFERROR(__xludf.DUMMYFUNCTION("""COMPUTED_VALUE"""),45450.0)</f>
        <v>45450</v>
      </c>
      <c r="C14039" s="13">
        <f>IFERROR(__xludf.DUMMYFUNCTION("""COMPUTED_VALUE"""),0.9583333333333334)</f>
        <v>0.9583333333</v>
      </c>
      <c r="D14039" s="8">
        <f>IFERROR(__xludf.DUMMYFUNCTION("""COMPUTED_VALUE"""),0.125)</f>
        <v>0.125</v>
      </c>
      <c r="E14039" s="8" t="str">
        <f>IFERROR(__xludf.DUMMYFUNCTION("""COMPUTED_VALUE"""),"Real")</f>
        <v>Real</v>
      </c>
      <c r="G14039" s="8">
        <f t="shared" si="1"/>
        <v>6</v>
      </c>
      <c r="H14039" s="14">
        <f t="shared" si="2"/>
        <v>7</v>
      </c>
      <c r="I14039" s="15">
        <f t="shared" si="3"/>
        <v>23</v>
      </c>
    </row>
    <row r="14040">
      <c r="A14040" s="8" t="str">
        <f>IFERROR(__xludf.DUMMYFUNCTION("IF('(INGESTA)Datos_consumo_datadis'!A14040&lt;&gt;"""",SPLIT('(INGESTA)Datos_consumo_datadis'!A:A,"",""),"""")"),"ES0031408323131005HX0F")</f>
        <v>ES0031408323131005HX0F</v>
      </c>
      <c r="B14040" s="12">
        <f>IFERROR(__xludf.DUMMYFUNCTION("""COMPUTED_VALUE"""),45450.0)</f>
        <v>45450</v>
      </c>
      <c r="C14040" s="16">
        <f>IFERROR(__xludf.DUMMYFUNCTION("""COMPUTED_VALUE"""),1.0)</f>
        <v>1</v>
      </c>
      <c r="D14040" s="8">
        <f>IFERROR(__xludf.DUMMYFUNCTION("""COMPUTED_VALUE"""),0.075)</f>
        <v>0.075</v>
      </c>
      <c r="E14040" s="8" t="str">
        <f>IFERROR(__xludf.DUMMYFUNCTION("""COMPUTED_VALUE"""),"Real")</f>
        <v>Real</v>
      </c>
      <c r="G14040" s="8">
        <f t="shared" si="1"/>
        <v>6</v>
      </c>
      <c r="H14040" s="14">
        <f t="shared" si="2"/>
        <v>7</v>
      </c>
      <c r="I14040" s="15">
        <f t="shared" si="3"/>
        <v>0</v>
      </c>
    </row>
    <row r="14041">
      <c r="A14041" s="8" t="str">
        <f>IFERROR(__xludf.DUMMYFUNCTION("IF('(INGESTA)Datos_consumo_datadis'!A14041&lt;&gt;"""",SPLIT('(INGESTA)Datos_consumo_datadis'!A:A,"",""),"""")"),"ES0031408323131005HX0F")</f>
        <v>ES0031408323131005HX0F</v>
      </c>
      <c r="B14041" s="12">
        <f>IFERROR(__xludf.DUMMYFUNCTION("""COMPUTED_VALUE"""),45451.0)</f>
        <v>45451</v>
      </c>
      <c r="C14041" s="13">
        <f>IFERROR(__xludf.DUMMYFUNCTION("""COMPUTED_VALUE"""),0.041666666666666664)</f>
        <v>0.04166666667</v>
      </c>
      <c r="D14041" s="8">
        <f>IFERROR(__xludf.DUMMYFUNCTION("""COMPUTED_VALUE"""),0.143)</f>
        <v>0.143</v>
      </c>
      <c r="E14041" s="8" t="str">
        <f>IFERROR(__xludf.DUMMYFUNCTION("""COMPUTED_VALUE"""),"Real")</f>
        <v>Real</v>
      </c>
      <c r="G14041" s="8">
        <f t="shared" si="1"/>
        <v>6</v>
      </c>
      <c r="H14041" s="14">
        <f t="shared" si="2"/>
        <v>8</v>
      </c>
      <c r="I14041" s="15">
        <f t="shared" si="3"/>
        <v>1</v>
      </c>
    </row>
    <row r="14042">
      <c r="A14042" s="8" t="str">
        <f>IFERROR(__xludf.DUMMYFUNCTION("IF('(INGESTA)Datos_consumo_datadis'!A14042&lt;&gt;"""",SPLIT('(INGESTA)Datos_consumo_datadis'!A:A,"",""),"""")"),"ES0031408323131005HX0F")</f>
        <v>ES0031408323131005HX0F</v>
      </c>
      <c r="B14042" s="12">
        <f>IFERROR(__xludf.DUMMYFUNCTION("""COMPUTED_VALUE"""),45451.0)</f>
        <v>45451</v>
      </c>
      <c r="C14042" s="13">
        <f>IFERROR(__xludf.DUMMYFUNCTION("""COMPUTED_VALUE"""),0.08333333333333333)</f>
        <v>0.08333333333</v>
      </c>
      <c r="D14042" s="8">
        <f>IFERROR(__xludf.DUMMYFUNCTION("""COMPUTED_VALUE"""),0.131)</f>
        <v>0.131</v>
      </c>
      <c r="E14042" s="8" t="str">
        <f>IFERROR(__xludf.DUMMYFUNCTION("""COMPUTED_VALUE"""),"Real")</f>
        <v>Real</v>
      </c>
      <c r="G14042" s="8">
        <f t="shared" si="1"/>
        <v>6</v>
      </c>
      <c r="H14042" s="14">
        <f t="shared" si="2"/>
        <v>8</v>
      </c>
      <c r="I14042" s="15">
        <f t="shared" si="3"/>
        <v>2</v>
      </c>
    </row>
    <row r="14043">
      <c r="A14043" s="8" t="str">
        <f>IFERROR(__xludf.DUMMYFUNCTION("IF('(INGESTA)Datos_consumo_datadis'!A14043&lt;&gt;"""",SPLIT('(INGESTA)Datos_consumo_datadis'!A:A,"",""),"""")"),"ES0031408323131005HX0F")</f>
        <v>ES0031408323131005HX0F</v>
      </c>
      <c r="B14043" s="12">
        <f>IFERROR(__xludf.DUMMYFUNCTION("""COMPUTED_VALUE"""),45451.0)</f>
        <v>45451</v>
      </c>
      <c r="C14043" s="13">
        <f>IFERROR(__xludf.DUMMYFUNCTION("""COMPUTED_VALUE"""),0.125)</f>
        <v>0.125</v>
      </c>
      <c r="D14043" s="8">
        <f>IFERROR(__xludf.DUMMYFUNCTION("""COMPUTED_VALUE"""),0.442)</f>
        <v>0.442</v>
      </c>
      <c r="E14043" s="8" t="str">
        <f>IFERROR(__xludf.DUMMYFUNCTION("""COMPUTED_VALUE"""),"Real")</f>
        <v>Real</v>
      </c>
      <c r="G14043" s="8">
        <f t="shared" si="1"/>
        <v>6</v>
      </c>
      <c r="H14043" s="14">
        <f t="shared" si="2"/>
        <v>8</v>
      </c>
      <c r="I14043" s="15">
        <f t="shared" si="3"/>
        <v>3</v>
      </c>
    </row>
    <row r="14044">
      <c r="A14044" s="8" t="str">
        <f>IFERROR(__xludf.DUMMYFUNCTION("IF('(INGESTA)Datos_consumo_datadis'!A14044&lt;&gt;"""",SPLIT('(INGESTA)Datos_consumo_datadis'!A:A,"",""),"""")"),"ES0031408323131005HX0F")</f>
        <v>ES0031408323131005HX0F</v>
      </c>
      <c r="B14044" s="12">
        <f>IFERROR(__xludf.DUMMYFUNCTION("""COMPUTED_VALUE"""),45451.0)</f>
        <v>45451</v>
      </c>
      <c r="C14044" s="13">
        <f>IFERROR(__xludf.DUMMYFUNCTION("""COMPUTED_VALUE"""),0.16666666666666666)</f>
        <v>0.1666666667</v>
      </c>
      <c r="D14044" s="8">
        <f>IFERROR(__xludf.DUMMYFUNCTION("""COMPUTED_VALUE"""),0.135)</f>
        <v>0.135</v>
      </c>
      <c r="E14044" s="8" t="str">
        <f>IFERROR(__xludf.DUMMYFUNCTION("""COMPUTED_VALUE"""),"Real")</f>
        <v>Real</v>
      </c>
      <c r="G14044" s="8">
        <f t="shared" si="1"/>
        <v>6</v>
      </c>
      <c r="H14044" s="14">
        <f t="shared" si="2"/>
        <v>8</v>
      </c>
      <c r="I14044" s="15">
        <f t="shared" si="3"/>
        <v>4</v>
      </c>
    </row>
    <row r="14045">
      <c r="A14045" s="8" t="str">
        <f>IFERROR(__xludf.DUMMYFUNCTION("IF('(INGESTA)Datos_consumo_datadis'!A14045&lt;&gt;"""",SPLIT('(INGESTA)Datos_consumo_datadis'!A:A,"",""),"""")"),"ES0031408323131005HX0F")</f>
        <v>ES0031408323131005HX0F</v>
      </c>
      <c r="B14045" s="12">
        <f>IFERROR(__xludf.DUMMYFUNCTION("""COMPUTED_VALUE"""),45451.0)</f>
        <v>45451</v>
      </c>
      <c r="C14045" s="13">
        <f>IFERROR(__xludf.DUMMYFUNCTION("""COMPUTED_VALUE"""),0.20833333333333334)</f>
        <v>0.2083333333</v>
      </c>
      <c r="D14045" s="8">
        <f>IFERROR(__xludf.DUMMYFUNCTION("""COMPUTED_VALUE"""),0.117)</f>
        <v>0.117</v>
      </c>
      <c r="E14045" s="8" t="str">
        <f>IFERROR(__xludf.DUMMYFUNCTION("""COMPUTED_VALUE"""),"Real")</f>
        <v>Real</v>
      </c>
      <c r="G14045" s="8">
        <f t="shared" si="1"/>
        <v>6</v>
      </c>
      <c r="H14045" s="14">
        <f t="shared" si="2"/>
        <v>8</v>
      </c>
      <c r="I14045" s="15">
        <f t="shared" si="3"/>
        <v>5</v>
      </c>
    </row>
    <row r="14046">
      <c r="A14046" s="8" t="str">
        <f>IFERROR(__xludf.DUMMYFUNCTION("IF('(INGESTA)Datos_consumo_datadis'!A14046&lt;&gt;"""",SPLIT('(INGESTA)Datos_consumo_datadis'!A:A,"",""),"""")"),"ES0031408323131005HX0F")</f>
        <v>ES0031408323131005HX0F</v>
      </c>
      <c r="B14046" s="12">
        <f>IFERROR(__xludf.DUMMYFUNCTION("""COMPUTED_VALUE"""),45451.0)</f>
        <v>45451</v>
      </c>
      <c r="C14046" s="13">
        <f>IFERROR(__xludf.DUMMYFUNCTION("""COMPUTED_VALUE"""),0.25)</f>
        <v>0.25</v>
      </c>
      <c r="D14046" s="8">
        <f>IFERROR(__xludf.DUMMYFUNCTION("""COMPUTED_VALUE"""),0.09)</f>
        <v>0.09</v>
      </c>
      <c r="E14046" s="8" t="str">
        <f>IFERROR(__xludf.DUMMYFUNCTION("""COMPUTED_VALUE"""),"Real")</f>
        <v>Real</v>
      </c>
      <c r="G14046" s="8">
        <f t="shared" si="1"/>
        <v>6</v>
      </c>
      <c r="H14046" s="14">
        <f t="shared" si="2"/>
        <v>8</v>
      </c>
      <c r="I14046" s="15">
        <f t="shared" si="3"/>
        <v>6</v>
      </c>
    </row>
    <row r="14047">
      <c r="A14047" s="8" t="str">
        <f>IFERROR(__xludf.DUMMYFUNCTION("IF('(INGESTA)Datos_consumo_datadis'!A14047&lt;&gt;"""",SPLIT('(INGESTA)Datos_consumo_datadis'!A:A,"",""),"""")"),"ES0031408323131005HX0F")</f>
        <v>ES0031408323131005HX0F</v>
      </c>
      <c r="B14047" s="12">
        <f>IFERROR(__xludf.DUMMYFUNCTION("""COMPUTED_VALUE"""),45451.0)</f>
        <v>45451</v>
      </c>
      <c r="C14047" s="13">
        <f>IFERROR(__xludf.DUMMYFUNCTION("""COMPUTED_VALUE"""),0.2916666666666667)</f>
        <v>0.2916666667</v>
      </c>
      <c r="D14047" s="8">
        <f>IFERROR(__xludf.DUMMYFUNCTION("""COMPUTED_VALUE"""),0.055)</f>
        <v>0.055</v>
      </c>
      <c r="E14047" s="8" t="str">
        <f>IFERROR(__xludf.DUMMYFUNCTION("""COMPUTED_VALUE"""),"Real")</f>
        <v>Real</v>
      </c>
      <c r="G14047" s="8">
        <f t="shared" si="1"/>
        <v>6</v>
      </c>
      <c r="H14047" s="14">
        <f t="shared" si="2"/>
        <v>8</v>
      </c>
      <c r="I14047" s="15">
        <f t="shared" si="3"/>
        <v>7</v>
      </c>
    </row>
    <row r="14048">
      <c r="A14048" s="8" t="str">
        <f>IFERROR(__xludf.DUMMYFUNCTION("IF('(INGESTA)Datos_consumo_datadis'!A14048&lt;&gt;"""",SPLIT('(INGESTA)Datos_consumo_datadis'!A:A,"",""),"""")"),"ES0031408323131005HX0F")</f>
        <v>ES0031408323131005HX0F</v>
      </c>
      <c r="B14048" s="12">
        <f>IFERROR(__xludf.DUMMYFUNCTION("""COMPUTED_VALUE"""),45451.0)</f>
        <v>45451</v>
      </c>
      <c r="C14048" s="13">
        <f>IFERROR(__xludf.DUMMYFUNCTION("""COMPUTED_VALUE"""),0.3333333333333333)</f>
        <v>0.3333333333</v>
      </c>
      <c r="D14048" s="8">
        <f>IFERROR(__xludf.DUMMYFUNCTION("""COMPUTED_VALUE"""),0.116)</f>
        <v>0.116</v>
      </c>
      <c r="E14048" s="8" t="str">
        <f>IFERROR(__xludf.DUMMYFUNCTION("""COMPUTED_VALUE"""),"Real")</f>
        <v>Real</v>
      </c>
      <c r="G14048" s="8">
        <f t="shared" si="1"/>
        <v>6</v>
      </c>
      <c r="H14048" s="14">
        <f t="shared" si="2"/>
        <v>8</v>
      </c>
      <c r="I14048" s="15">
        <f t="shared" si="3"/>
        <v>8</v>
      </c>
    </row>
    <row r="14049">
      <c r="A14049" s="8" t="str">
        <f>IFERROR(__xludf.DUMMYFUNCTION("IF('(INGESTA)Datos_consumo_datadis'!A14049&lt;&gt;"""",SPLIT('(INGESTA)Datos_consumo_datadis'!A:A,"",""),"""")"),"ES0031408323131005HX0F")</f>
        <v>ES0031408323131005HX0F</v>
      </c>
      <c r="B14049" s="12">
        <f>IFERROR(__xludf.DUMMYFUNCTION("""COMPUTED_VALUE"""),45451.0)</f>
        <v>45451</v>
      </c>
      <c r="C14049" s="13">
        <f>IFERROR(__xludf.DUMMYFUNCTION("""COMPUTED_VALUE"""),0.375)</f>
        <v>0.375</v>
      </c>
      <c r="D14049" s="8">
        <f>IFERROR(__xludf.DUMMYFUNCTION("""COMPUTED_VALUE"""),0.763)</f>
        <v>0.763</v>
      </c>
      <c r="E14049" s="8" t="str">
        <f>IFERROR(__xludf.DUMMYFUNCTION("""COMPUTED_VALUE"""),"Real")</f>
        <v>Real</v>
      </c>
      <c r="G14049" s="8">
        <f t="shared" si="1"/>
        <v>6</v>
      </c>
      <c r="H14049" s="14">
        <f t="shared" si="2"/>
        <v>8</v>
      </c>
      <c r="I14049" s="15">
        <f t="shared" si="3"/>
        <v>9</v>
      </c>
    </row>
    <row r="14050">
      <c r="A14050" s="8" t="str">
        <f>IFERROR(__xludf.DUMMYFUNCTION("IF('(INGESTA)Datos_consumo_datadis'!A14050&lt;&gt;"""",SPLIT('(INGESTA)Datos_consumo_datadis'!A:A,"",""),"""")"),"ES0031408323131005HX0F")</f>
        <v>ES0031408323131005HX0F</v>
      </c>
      <c r="B14050" s="12">
        <f>IFERROR(__xludf.DUMMYFUNCTION("""COMPUTED_VALUE"""),45451.0)</f>
        <v>45451</v>
      </c>
      <c r="C14050" s="13">
        <f>IFERROR(__xludf.DUMMYFUNCTION("""COMPUTED_VALUE"""),0.4166666666666667)</f>
        <v>0.4166666667</v>
      </c>
      <c r="D14050" s="8">
        <f>IFERROR(__xludf.DUMMYFUNCTION("""COMPUTED_VALUE"""),0.138)</f>
        <v>0.138</v>
      </c>
      <c r="E14050" s="8" t="str">
        <f>IFERROR(__xludf.DUMMYFUNCTION("""COMPUTED_VALUE"""),"Real")</f>
        <v>Real</v>
      </c>
      <c r="G14050" s="8">
        <f t="shared" si="1"/>
        <v>6</v>
      </c>
      <c r="H14050" s="14">
        <f t="shared" si="2"/>
        <v>8</v>
      </c>
      <c r="I14050" s="15">
        <f t="shared" si="3"/>
        <v>10</v>
      </c>
    </row>
    <row r="14051">
      <c r="A14051" s="8" t="str">
        <f>IFERROR(__xludf.DUMMYFUNCTION("IF('(INGESTA)Datos_consumo_datadis'!A14051&lt;&gt;"""",SPLIT('(INGESTA)Datos_consumo_datadis'!A:A,"",""),"""")"),"ES0031408323131005HX0F")</f>
        <v>ES0031408323131005HX0F</v>
      </c>
      <c r="B14051" s="12">
        <f>IFERROR(__xludf.DUMMYFUNCTION("""COMPUTED_VALUE"""),45451.0)</f>
        <v>45451</v>
      </c>
      <c r="C14051" s="13">
        <f>IFERROR(__xludf.DUMMYFUNCTION("""COMPUTED_VALUE"""),0.4583333333333333)</f>
        <v>0.4583333333</v>
      </c>
      <c r="D14051" s="8">
        <f>IFERROR(__xludf.DUMMYFUNCTION("""COMPUTED_VALUE"""),0.2)</f>
        <v>0.2</v>
      </c>
      <c r="E14051" s="8" t="str">
        <f>IFERROR(__xludf.DUMMYFUNCTION("""COMPUTED_VALUE"""),"Real")</f>
        <v>Real</v>
      </c>
      <c r="G14051" s="8">
        <f t="shared" si="1"/>
        <v>6</v>
      </c>
      <c r="H14051" s="14">
        <f t="shared" si="2"/>
        <v>8</v>
      </c>
      <c r="I14051" s="15">
        <f t="shared" si="3"/>
        <v>11</v>
      </c>
    </row>
    <row r="14052">
      <c r="A14052" s="8" t="str">
        <f>IFERROR(__xludf.DUMMYFUNCTION("IF('(INGESTA)Datos_consumo_datadis'!A14052&lt;&gt;"""",SPLIT('(INGESTA)Datos_consumo_datadis'!A:A,"",""),"""")"),"ES0031408323131005HX0F")</f>
        <v>ES0031408323131005HX0F</v>
      </c>
      <c r="B14052" s="12">
        <f>IFERROR(__xludf.DUMMYFUNCTION("""COMPUTED_VALUE"""),45451.0)</f>
        <v>45451</v>
      </c>
      <c r="C14052" s="13">
        <f>IFERROR(__xludf.DUMMYFUNCTION("""COMPUTED_VALUE"""),0.5)</f>
        <v>0.5</v>
      </c>
      <c r="D14052" s="8">
        <f>IFERROR(__xludf.DUMMYFUNCTION("""COMPUTED_VALUE"""),0.795)</f>
        <v>0.795</v>
      </c>
      <c r="E14052" s="8" t="str">
        <f>IFERROR(__xludf.DUMMYFUNCTION("""COMPUTED_VALUE"""),"Real")</f>
        <v>Real</v>
      </c>
      <c r="G14052" s="8">
        <f t="shared" si="1"/>
        <v>6</v>
      </c>
      <c r="H14052" s="14">
        <f t="shared" si="2"/>
        <v>8</v>
      </c>
      <c r="I14052" s="15">
        <f t="shared" si="3"/>
        <v>12</v>
      </c>
    </row>
    <row r="14053">
      <c r="A14053" s="8" t="str">
        <f>IFERROR(__xludf.DUMMYFUNCTION("IF('(INGESTA)Datos_consumo_datadis'!A14053&lt;&gt;"""",SPLIT('(INGESTA)Datos_consumo_datadis'!A:A,"",""),"""")"),"ES0031408323131005HX0F")</f>
        <v>ES0031408323131005HX0F</v>
      </c>
      <c r="B14053" s="12">
        <f>IFERROR(__xludf.DUMMYFUNCTION("""COMPUTED_VALUE"""),45451.0)</f>
        <v>45451</v>
      </c>
      <c r="C14053" s="13">
        <f>IFERROR(__xludf.DUMMYFUNCTION("""COMPUTED_VALUE"""),0.5416666666666666)</f>
        <v>0.5416666667</v>
      </c>
      <c r="D14053" s="8">
        <f>IFERROR(__xludf.DUMMYFUNCTION("""COMPUTED_VALUE"""),0.27)</f>
        <v>0.27</v>
      </c>
      <c r="E14053" s="8" t="str">
        <f>IFERROR(__xludf.DUMMYFUNCTION("""COMPUTED_VALUE"""),"Real")</f>
        <v>Real</v>
      </c>
      <c r="G14053" s="8">
        <f t="shared" si="1"/>
        <v>6</v>
      </c>
      <c r="H14053" s="14">
        <f t="shared" si="2"/>
        <v>8</v>
      </c>
      <c r="I14053" s="15">
        <f t="shared" si="3"/>
        <v>13</v>
      </c>
    </row>
    <row r="14054">
      <c r="A14054" s="8" t="str">
        <f>IFERROR(__xludf.DUMMYFUNCTION("IF('(INGESTA)Datos_consumo_datadis'!A14054&lt;&gt;"""",SPLIT('(INGESTA)Datos_consumo_datadis'!A:A,"",""),"""")"),"ES0031408323131005HX0F")</f>
        <v>ES0031408323131005HX0F</v>
      </c>
      <c r="B14054" s="12">
        <f>IFERROR(__xludf.DUMMYFUNCTION("""COMPUTED_VALUE"""),45451.0)</f>
        <v>45451</v>
      </c>
      <c r="C14054" s="13">
        <f>IFERROR(__xludf.DUMMYFUNCTION("""COMPUTED_VALUE"""),0.5833333333333334)</f>
        <v>0.5833333333</v>
      </c>
      <c r="D14054" s="8">
        <f>IFERROR(__xludf.DUMMYFUNCTION("""COMPUTED_VALUE"""),0.132)</f>
        <v>0.132</v>
      </c>
      <c r="E14054" s="8" t="str">
        <f>IFERROR(__xludf.DUMMYFUNCTION("""COMPUTED_VALUE"""),"Real")</f>
        <v>Real</v>
      </c>
      <c r="G14054" s="8">
        <f t="shared" si="1"/>
        <v>6</v>
      </c>
      <c r="H14054" s="14">
        <f t="shared" si="2"/>
        <v>8</v>
      </c>
      <c r="I14054" s="15">
        <f t="shared" si="3"/>
        <v>14</v>
      </c>
    </row>
    <row r="14055">
      <c r="A14055" s="8" t="str">
        <f>IFERROR(__xludf.DUMMYFUNCTION("IF('(INGESTA)Datos_consumo_datadis'!A14055&lt;&gt;"""",SPLIT('(INGESTA)Datos_consumo_datadis'!A:A,"",""),"""")"),"ES0031408323131005HX0F")</f>
        <v>ES0031408323131005HX0F</v>
      </c>
      <c r="B14055" s="12">
        <f>IFERROR(__xludf.DUMMYFUNCTION("""COMPUTED_VALUE"""),45451.0)</f>
        <v>45451</v>
      </c>
      <c r="C14055" s="13">
        <f>IFERROR(__xludf.DUMMYFUNCTION("""COMPUTED_VALUE"""),0.625)</f>
        <v>0.625</v>
      </c>
      <c r="D14055" s="8">
        <f>IFERROR(__xludf.DUMMYFUNCTION("""COMPUTED_VALUE"""),0.207)</f>
        <v>0.207</v>
      </c>
      <c r="E14055" s="8" t="str">
        <f>IFERROR(__xludf.DUMMYFUNCTION("""COMPUTED_VALUE"""),"Real")</f>
        <v>Real</v>
      </c>
      <c r="G14055" s="8">
        <f t="shared" si="1"/>
        <v>6</v>
      </c>
      <c r="H14055" s="14">
        <f t="shared" si="2"/>
        <v>8</v>
      </c>
      <c r="I14055" s="15">
        <f t="shared" si="3"/>
        <v>15</v>
      </c>
    </row>
    <row r="14056">
      <c r="A14056" s="8" t="str">
        <f>IFERROR(__xludf.DUMMYFUNCTION("IF('(INGESTA)Datos_consumo_datadis'!A14056&lt;&gt;"""",SPLIT('(INGESTA)Datos_consumo_datadis'!A:A,"",""),"""")"),"ES0031408323131005HX0F")</f>
        <v>ES0031408323131005HX0F</v>
      </c>
      <c r="B14056" s="12">
        <f>IFERROR(__xludf.DUMMYFUNCTION("""COMPUTED_VALUE"""),45451.0)</f>
        <v>45451</v>
      </c>
      <c r="C14056" s="13">
        <f>IFERROR(__xludf.DUMMYFUNCTION("""COMPUTED_VALUE"""),0.6666666666666666)</f>
        <v>0.6666666667</v>
      </c>
      <c r="D14056" s="8">
        <f>IFERROR(__xludf.DUMMYFUNCTION("""COMPUTED_VALUE"""),0.166)</f>
        <v>0.166</v>
      </c>
      <c r="E14056" s="8" t="str">
        <f>IFERROR(__xludf.DUMMYFUNCTION("""COMPUTED_VALUE"""),"Real")</f>
        <v>Real</v>
      </c>
      <c r="G14056" s="8">
        <f t="shared" si="1"/>
        <v>6</v>
      </c>
      <c r="H14056" s="14">
        <f t="shared" si="2"/>
        <v>8</v>
      </c>
      <c r="I14056" s="15">
        <f t="shared" si="3"/>
        <v>16</v>
      </c>
    </row>
    <row r="14057">
      <c r="A14057" s="8" t="str">
        <f>IFERROR(__xludf.DUMMYFUNCTION("IF('(INGESTA)Datos_consumo_datadis'!A14057&lt;&gt;"""",SPLIT('(INGESTA)Datos_consumo_datadis'!A:A,"",""),"""")"),"ES0031408323131005HX0F")</f>
        <v>ES0031408323131005HX0F</v>
      </c>
      <c r="B14057" s="12">
        <f>IFERROR(__xludf.DUMMYFUNCTION("""COMPUTED_VALUE"""),45451.0)</f>
        <v>45451</v>
      </c>
      <c r="C14057" s="13">
        <f>IFERROR(__xludf.DUMMYFUNCTION("""COMPUTED_VALUE"""),0.7083333333333334)</f>
        <v>0.7083333333</v>
      </c>
      <c r="D14057" s="8">
        <f>IFERROR(__xludf.DUMMYFUNCTION("""COMPUTED_VALUE"""),0.239)</f>
        <v>0.239</v>
      </c>
      <c r="E14057" s="8" t="str">
        <f>IFERROR(__xludf.DUMMYFUNCTION("""COMPUTED_VALUE"""),"Real")</f>
        <v>Real</v>
      </c>
      <c r="G14057" s="8">
        <f t="shared" si="1"/>
        <v>6</v>
      </c>
      <c r="H14057" s="14">
        <f t="shared" si="2"/>
        <v>8</v>
      </c>
      <c r="I14057" s="15">
        <f t="shared" si="3"/>
        <v>17</v>
      </c>
    </row>
    <row r="14058">
      <c r="A14058" s="8" t="str">
        <f>IFERROR(__xludf.DUMMYFUNCTION("IF('(INGESTA)Datos_consumo_datadis'!A14058&lt;&gt;"""",SPLIT('(INGESTA)Datos_consumo_datadis'!A:A,"",""),"""")"),"ES0031408323131005HX0F")</f>
        <v>ES0031408323131005HX0F</v>
      </c>
      <c r="B14058" s="12">
        <f>IFERROR(__xludf.DUMMYFUNCTION("""COMPUTED_VALUE"""),45451.0)</f>
        <v>45451</v>
      </c>
      <c r="C14058" s="13">
        <f>IFERROR(__xludf.DUMMYFUNCTION("""COMPUTED_VALUE"""),0.75)</f>
        <v>0.75</v>
      </c>
      <c r="D14058" s="8">
        <f>IFERROR(__xludf.DUMMYFUNCTION("""COMPUTED_VALUE"""),0.095)</f>
        <v>0.095</v>
      </c>
      <c r="E14058" s="8" t="str">
        <f>IFERROR(__xludf.DUMMYFUNCTION("""COMPUTED_VALUE"""),"Real")</f>
        <v>Real</v>
      </c>
      <c r="G14058" s="8">
        <f t="shared" si="1"/>
        <v>6</v>
      </c>
      <c r="H14058" s="14">
        <f t="shared" si="2"/>
        <v>8</v>
      </c>
      <c r="I14058" s="15">
        <f t="shared" si="3"/>
        <v>18</v>
      </c>
    </row>
    <row r="14059">
      <c r="A14059" s="8" t="str">
        <f>IFERROR(__xludf.DUMMYFUNCTION("IF('(INGESTA)Datos_consumo_datadis'!A14059&lt;&gt;"""",SPLIT('(INGESTA)Datos_consumo_datadis'!A:A,"",""),"""")"),"ES0031408323131005HX0F")</f>
        <v>ES0031408323131005HX0F</v>
      </c>
      <c r="B14059" s="12">
        <f>IFERROR(__xludf.DUMMYFUNCTION("""COMPUTED_VALUE"""),45451.0)</f>
        <v>45451</v>
      </c>
      <c r="C14059" s="13">
        <f>IFERROR(__xludf.DUMMYFUNCTION("""COMPUTED_VALUE"""),0.7916666666666666)</f>
        <v>0.7916666667</v>
      </c>
      <c r="D14059" s="8">
        <f>IFERROR(__xludf.DUMMYFUNCTION("""COMPUTED_VALUE"""),0.052)</f>
        <v>0.052</v>
      </c>
      <c r="E14059" s="8" t="str">
        <f>IFERROR(__xludf.DUMMYFUNCTION("""COMPUTED_VALUE"""),"Real")</f>
        <v>Real</v>
      </c>
      <c r="G14059" s="8">
        <f t="shared" si="1"/>
        <v>6</v>
      </c>
      <c r="H14059" s="14">
        <f t="shared" si="2"/>
        <v>8</v>
      </c>
      <c r="I14059" s="15">
        <f t="shared" si="3"/>
        <v>19</v>
      </c>
    </row>
    <row r="14060">
      <c r="A14060" s="8" t="str">
        <f>IFERROR(__xludf.DUMMYFUNCTION("IF('(INGESTA)Datos_consumo_datadis'!A14060&lt;&gt;"""",SPLIT('(INGESTA)Datos_consumo_datadis'!A:A,"",""),"""")"),"ES0031408323131005HX0F")</f>
        <v>ES0031408323131005HX0F</v>
      </c>
      <c r="B14060" s="12">
        <f>IFERROR(__xludf.DUMMYFUNCTION("""COMPUTED_VALUE"""),45451.0)</f>
        <v>45451</v>
      </c>
      <c r="C14060" s="13">
        <f>IFERROR(__xludf.DUMMYFUNCTION("""COMPUTED_VALUE"""),0.8333333333333334)</f>
        <v>0.8333333333</v>
      </c>
      <c r="D14060" s="8">
        <f>IFERROR(__xludf.DUMMYFUNCTION("""COMPUTED_VALUE"""),0.433)</f>
        <v>0.433</v>
      </c>
      <c r="E14060" s="8" t="str">
        <f>IFERROR(__xludf.DUMMYFUNCTION("""COMPUTED_VALUE"""),"Real")</f>
        <v>Real</v>
      </c>
      <c r="G14060" s="8">
        <f t="shared" si="1"/>
        <v>6</v>
      </c>
      <c r="H14060" s="14">
        <f t="shared" si="2"/>
        <v>8</v>
      </c>
      <c r="I14060" s="15">
        <f t="shared" si="3"/>
        <v>20</v>
      </c>
    </row>
    <row r="14061">
      <c r="A14061" s="8" t="str">
        <f>IFERROR(__xludf.DUMMYFUNCTION("IF('(INGESTA)Datos_consumo_datadis'!A14061&lt;&gt;"""",SPLIT('(INGESTA)Datos_consumo_datadis'!A:A,"",""),"""")"),"ES0031408323131005HX0F")</f>
        <v>ES0031408323131005HX0F</v>
      </c>
      <c r="B14061" s="12">
        <f>IFERROR(__xludf.DUMMYFUNCTION("""COMPUTED_VALUE"""),45451.0)</f>
        <v>45451</v>
      </c>
      <c r="C14061" s="13">
        <f>IFERROR(__xludf.DUMMYFUNCTION("""COMPUTED_VALUE"""),0.875)</f>
        <v>0.875</v>
      </c>
      <c r="D14061" s="8">
        <f>IFERROR(__xludf.DUMMYFUNCTION("""COMPUTED_VALUE"""),0.414)</f>
        <v>0.414</v>
      </c>
      <c r="E14061" s="8" t="str">
        <f>IFERROR(__xludf.DUMMYFUNCTION("""COMPUTED_VALUE"""),"Real")</f>
        <v>Real</v>
      </c>
      <c r="G14061" s="8">
        <f t="shared" si="1"/>
        <v>6</v>
      </c>
      <c r="H14061" s="14">
        <f t="shared" si="2"/>
        <v>8</v>
      </c>
      <c r="I14061" s="15">
        <f t="shared" si="3"/>
        <v>21</v>
      </c>
    </row>
    <row r="14062">
      <c r="A14062" s="8" t="str">
        <f>IFERROR(__xludf.DUMMYFUNCTION("IF('(INGESTA)Datos_consumo_datadis'!A14062&lt;&gt;"""",SPLIT('(INGESTA)Datos_consumo_datadis'!A:A,"",""),"""")"),"ES0031408323131005HX0F")</f>
        <v>ES0031408323131005HX0F</v>
      </c>
      <c r="B14062" s="12">
        <f>IFERROR(__xludf.DUMMYFUNCTION("""COMPUTED_VALUE"""),45451.0)</f>
        <v>45451</v>
      </c>
      <c r="C14062" s="13">
        <f>IFERROR(__xludf.DUMMYFUNCTION("""COMPUTED_VALUE"""),0.9166666666666666)</f>
        <v>0.9166666667</v>
      </c>
      <c r="D14062" s="8">
        <f>IFERROR(__xludf.DUMMYFUNCTION("""COMPUTED_VALUE"""),0.12)</f>
        <v>0.12</v>
      </c>
      <c r="E14062" s="8" t="str">
        <f>IFERROR(__xludf.DUMMYFUNCTION("""COMPUTED_VALUE"""),"Real")</f>
        <v>Real</v>
      </c>
      <c r="G14062" s="8">
        <f t="shared" si="1"/>
        <v>6</v>
      </c>
      <c r="H14062" s="14">
        <f t="shared" si="2"/>
        <v>8</v>
      </c>
      <c r="I14062" s="15">
        <f t="shared" si="3"/>
        <v>22</v>
      </c>
    </row>
    <row r="14063">
      <c r="A14063" s="8" t="str">
        <f>IFERROR(__xludf.DUMMYFUNCTION("IF('(INGESTA)Datos_consumo_datadis'!A14063&lt;&gt;"""",SPLIT('(INGESTA)Datos_consumo_datadis'!A:A,"",""),"""")"),"ES0031408323131005HX0F")</f>
        <v>ES0031408323131005HX0F</v>
      </c>
      <c r="B14063" s="12">
        <f>IFERROR(__xludf.DUMMYFUNCTION("""COMPUTED_VALUE"""),45451.0)</f>
        <v>45451</v>
      </c>
      <c r="C14063" s="13">
        <f>IFERROR(__xludf.DUMMYFUNCTION("""COMPUTED_VALUE"""),0.9583333333333334)</f>
        <v>0.9583333333</v>
      </c>
      <c r="D14063" s="8">
        <f>IFERROR(__xludf.DUMMYFUNCTION("""COMPUTED_VALUE"""),0.116)</f>
        <v>0.116</v>
      </c>
      <c r="E14063" s="8" t="str">
        <f>IFERROR(__xludf.DUMMYFUNCTION("""COMPUTED_VALUE"""),"Real")</f>
        <v>Real</v>
      </c>
      <c r="G14063" s="8">
        <f t="shared" si="1"/>
        <v>6</v>
      </c>
      <c r="H14063" s="14">
        <f t="shared" si="2"/>
        <v>8</v>
      </c>
      <c r="I14063" s="15">
        <f t="shared" si="3"/>
        <v>23</v>
      </c>
    </row>
    <row r="14064">
      <c r="A14064" s="8" t="str">
        <f>IFERROR(__xludf.DUMMYFUNCTION("IF('(INGESTA)Datos_consumo_datadis'!A14064&lt;&gt;"""",SPLIT('(INGESTA)Datos_consumo_datadis'!A:A,"",""),"""")"),"ES0031408323131005HX0F")</f>
        <v>ES0031408323131005HX0F</v>
      </c>
      <c r="B14064" s="12">
        <f>IFERROR(__xludf.DUMMYFUNCTION("""COMPUTED_VALUE"""),45451.0)</f>
        <v>45451</v>
      </c>
      <c r="C14064" s="16">
        <f>IFERROR(__xludf.DUMMYFUNCTION("""COMPUTED_VALUE"""),1.0)</f>
        <v>1</v>
      </c>
      <c r="D14064" s="8">
        <f>IFERROR(__xludf.DUMMYFUNCTION("""COMPUTED_VALUE"""),0.088)</f>
        <v>0.088</v>
      </c>
      <c r="E14064" s="8" t="str">
        <f>IFERROR(__xludf.DUMMYFUNCTION("""COMPUTED_VALUE"""),"Real")</f>
        <v>Real</v>
      </c>
      <c r="G14064" s="8">
        <f t="shared" si="1"/>
        <v>6</v>
      </c>
      <c r="H14064" s="14">
        <f t="shared" si="2"/>
        <v>8</v>
      </c>
      <c r="I14064" s="15">
        <f t="shared" si="3"/>
        <v>0</v>
      </c>
    </row>
    <row r="14065">
      <c r="A14065" s="8" t="str">
        <f>IFERROR(__xludf.DUMMYFUNCTION("IF('(INGESTA)Datos_consumo_datadis'!A14065&lt;&gt;"""",SPLIT('(INGESTA)Datos_consumo_datadis'!A:A,"",""),"""")"),"ES0031408323131005HX0F")</f>
        <v>ES0031408323131005HX0F</v>
      </c>
      <c r="B14065" s="12">
        <f>IFERROR(__xludf.DUMMYFUNCTION("""COMPUTED_VALUE"""),45452.0)</f>
        <v>45452</v>
      </c>
      <c r="C14065" s="13">
        <f>IFERROR(__xludf.DUMMYFUNCTION("""COMPUTED_VALUE"""),0.041666666666666664)</f>
        <v>0.04166666667</v>
      </c>
      <c r="D14065" s="8">
        <f>IFERROR(__xludf.DUMMYFUNCTION("""COMPUTED_VALUE"""),0.105)</f>
        <v>0.105</v>
      </c>
      <c r="E14065" s="8" t="str">
        <f>IFERROR(__xludf.DUMMYFUNCTION("""COMPUTED_VALUE"""),"Real")</f>
        <v>Real</v>
      </c>
      <c r="G14065" s="8">
        <f t="shared" si="1"/>
        <v>6</v>
      </c>
      <c r="H14065" s="14">
        <f t="shared" si="2"/>
        <v>9</v>
      </c>
      <c r="I14065" s="15">
        <f t="shared" si="3"/>
        <v>1</v>
      </c>
    </row>
    <row r="14066">
      <c r="A14066" s="8" t="str">
        <f>IFERROR(__xludf.DUMMYFUNCTION("IF('(INGESTA)Datos_consumo_datadis'!A14066&lt;&gt;"""",SPLIT('(INGESTA)Datos_consumo_datadis'!A:A,"",""),"""")"),"ES0031408323131005HX0F")</f>
        <v>ES0031408323131005HX0F</v>
      </c>
      <c r="B14066" s="12">
        <f>IFERROR(__xludf.DUMMYFUNCTION("""COMPUTED_VALUE"""),45452.0)</f>
        <v>45452</v>
      </c>
      <c r="C14066" s="13">
        <f>IFERROR(__xludf.DUMMYFUNCTION("""COMPUTED_VALUE"""),0.08333333333333333)</f>
        <v>0.08333333333</v>
      </c>
      <c r="D14066" s="8">
        <f>IFERROR(__xludf.DUMMYFUNCTION("""COMPUTED_VALUE"""),0.092)</f>
        <v>0.092</v>
      </c>
      <c r="E14066" s="8" t="str">
        <f>IFERROR(__xludf.DUMMYFUNCTION("""COMPUTED_VALUE"""),"Real")</f>
        <v>Real</v>
      </c>
      <c r="G14066" s="8">
        <f t="shared" si="1"/>
        <v>6</v>
      </c>
      <c r="H14066" s="14">
        <f t="shared" si="2"/>
        <v>9</v>
      </c>
      <c r="I14066" s="15">
        <f t="shared" si="3"/>
        <v>2</v>
      </c>
    </row>
    <row r="14067">
      <c r="A14067" s="8" t="str">
        <f>IFERROR(__xludf.DUMMYFUNCTION("IF('(INGESTA)Datos_consumo_datadis'!A14067&lt;&gt;"""",SPLIT('(INGESTA)Datos_consumo_datadis'!A:A,"",""),"""")"),"ES0031408323131005HX0F")</f>
        <v>ES0031408323131005HX0F</v>
      </c>
      <c r="B14067" s="12">
        <f>IFERROR(__xludf.DUMMYFUNCTION("""COMPUTED_VALUE"""),45452.0)</f>
        <v>45452</v>
      </c>
      <c r="C14067" s="13">
        <f>IFERROR(__xludf.DUMMYFUNCTION("""COMPUTED_VALUE"""),0.125)</f>
        <v>0.125</v>
      </c>
      <c r="D14067" s="8">
        <f>IFERROR(__xludf.DUMMYFUNCTION("""COMPUTED_VALUE"""),0.069)</f>
        <v>0.069</v>
      </c>
      <c r="E14067" s="8" t="str">
        <f>IFERROR(__xludf.DUMMYFUNCTION("""COMPUTED_VALUE"""),"Real")</f>
        <v>Real</v>
      </c>
      <c r="G14067" s="8">
        <f t="shared" si="1"/>
        <v>6</v>
      </c>
      <c r="H14067" s="14">
        <f t="shared" si="2"/>
        <v>9</v>
      </c>
      <c r="I14067" s="15">
        <f t="shared" si="3"/>
        <v>3</v>
      </c>
    </row>
    <row r="14068">
      <c r="A14068" s="8" t="str">
        <f>IFERROR(__xludf.DUMMYFUNCTION("IF('(INGESTA)Datos_consumo_datadis'!A14068&lt;&gt;"""",SPLIT('(INGESTA)Datos_consumo_datadis'!A:A,"",""),"""")"),"ES0031408323131005HX0F")</f>
        <v>ES0031408323131005HX0F</v>
      </c>
      <c r="B14068" s="12">
        <f>IFERROR(__xludf.DUMMYFUNCTION("""COMPUTED_VALUE"""),45452.0)</f>
        <v>45452</v>
      </c>
      <c r="C14068" s="13">
        <f>IFERROR(__xludf.DUMMYFUNCTION("""COMPUTED_VALUE"""),0.16666666666666666)</f>
        <v>0.1666666667</v>
      </c>
      <c r="D14068" s="8">
        <f>IFERROR(__xludf.DUMMYFUNCTION("""COMPUTED_VALUE"""),0.101)</f>
        <v>0.101</v>
      </c>
      <c r="E14068" s="8" t="str">
        <f>IFERROR(__xludf.DUMMYFUNCTION("""COMPUTED_VALUE"""),"Real")</f>
        <v>Real</v>
      </c>
      <c r="G14068" s="8">
        <f t="shared" si="1"/>
        <v>6</v>
      </c>
      <c r="H14068" s="14">
        <f t="shared" si="2"/>
        <v>9</v>
      </c>
      <c r="I14068" s="15">
        <f t="shared" si="3"/>
        <v>4</v>
      </c>
    </row>
    <row r="14069">
      <c r="A14069" s="8" t="str">
        <f>IFERROR(__xludf.DUMMYFUNCTION("IF('(INGESTA)Datos_consumo_datadis'!A14069&lt;&gt;"""",SPLIT('(INGESTA)Datos_consumo_datadis'!A:A,"",""),"""")"),"ES0031408323131005HX0F")</f>
        <v>ES0031408323131005HX0F</v>
      </c>
      <c r="B14069" s="12">
        <f>IFERROR(__xludf.DUMMYFUNCTION("""COMPUTED_VALUE"""),45452.0)</f>
        <v>45452</v>
      </c>
      <c r="C14069" s="13">
        <f>IFERROR(__xludf.DUMMYFUNCTION("""COMPUTED_VALUE"""),0.20833333333333334)</f>
        <v>0.2083333333</v>
      </c>
      <c r="D14069" s="8">
        <f>IFERROR(__xludf.DUMMYFUNCTION("""COMPUTED_VALUE"""),0.335)</f>
        <v>0.335</v>
      </c>
      <c r="E14069" s="8" t="str">
        <f>IFERROR(__xludf.DUMMYFUNCTION("""COMPUTED_VALUE"""),"Real")</f>
        <v>Real</v>
      </c>
      <c r="G14069" s="8">
        <f t="shared" si="1"/>
        <v>6</v>
      </c>
      <c r="H14069" s="14">
        <f t="shared" si="2"/>
        <v>9</v>
      </c>
      <c r="I14069" s="15">
        <f t="shared" si="3"/>
        <v>5</v>
      </c>
    </row>
    <row r="14070">
      <c r="A14070" s="8" t="str">
        <f>IFERROR(__xludf.DUMMYFUNCTION("IF('(INGESTA)Datos_consumo_datadis'!A14070&lt;&gt;"""",SPLIT('(INGESTA)Datos_consumo_datadis'!A:A,"",""),"""")"),"ES0031408323131005HX0F")</f>
        <v>ES0031408323131005HX0F</v>
      </c>
      <c r="B14070" s="12">
        <f>IFERROR(__xludf.DUMMYFUNCTION("""COMPUTED_VALUE"""),45452.0)</f>
        <v>45452</v>
      </c>
      <c r="C14070" s="13">
        <f>IFERROR(__xludf.DUMMYFUNCTION("""COMPUTED_VALUE"""),0.25)</f>
        <v>0.25</v>
      </c>
      <c r="D14070" s="8">
        <f>IFERROR(__xludf.DUMMYFUNCTION("""COMPUTED_VALUE"""),0.1)</f>
        <v>0.1</v>
      </c>
      <c r="E14070" s="8" t="str">
        <f>IFERROR(__xludf.DUMMYFUNCTION("""COMPUTED_VALUE"""),"Real")</f>
        <v>Real</v>
      </c>
      <c r="G14070" s="8">
        <f t="shared" si="1"/>
        <v>6</v>
      </c>
      <c r="H14070" s="14">
        <f t="shared" si="2"/>
        <v>9</v>
      </c>
      <c r="I14070" s="15">
        <f t="shared" si="3"/>
        <v>6</v>
      </c>
    </row>
    <row r="14071">
      <c r="A14071" s="8" t="str">
        <f>IFERROR(__xludf.DUMMYFUNCTION("IF('(INGESTA)Datos_consumo_datadis'!A14071&lt;&gt;"""",SPLIT('(INGESTA)Datos_consumo_datadis'!A:A,"",""),"""")"),"ES0031408323131005HX0F")</f>
        <v>ES0031408323131005HX0F</v>
      </c>
      <c r="B14071" s="12">
        <f>IFERROR(__xludf.DUMMYFUNCTION("""COMPUTED_VALUE"""),45452.0)</f>
        <v>45452</v>
      </c>
      <c r="C14071" s="13">
        <f>IFERROR(__xludf.DUMMYFUNCTION("""COMPUTED_VALUE"""),0.2916666666666667)</f>
        <v>0.2916666667</v>
      </c>
      <c r="D14071" s="8">
        <f>IFERROR(__xludf.DUMMYFUNCTION("""COMPUTED_VALUE"""),0.083)</f>
        <v>0.083</v>
      </c>
      <c r="E14071" s="8" t="str">
        <f>IFERROR(__xludf.DUMMYFUNCTION("""COMPUTED_VALUE"""),"Real")</f>
        <v>Real</v>
      </c>
      <c r="G14071" s="8">
        <f t="shared" si="1"/>
        <v>6</v>
      </c>
      <c r="H14071" s="14">
        <f t="shared" si="2"/>
        <v>9</v>
      </c>
      <c r="I14071" s="15">
        <f t="shared" si="3"/>
        <v>7</v>
      </c>
    </row>
    <row r="14072">
      <c r="A14072" s="8" t="str">
        <f>IFERROR(__xludf.DUMMYFUNCTION("IF('(INGESTA)Datos_consumo_datadis'!A14072&lt;&gt;"""",SPLIT('(INGESTA)Datos_consumo_datadis'!A:A,"",""),"""")"),"ES0031408323131005HX0F")</f>
        <v>ES0031408323131005HX0F</v>
      </c>
      <c r="B14072" s="12">
        <f>IFERROR(__xludf.DUMMYFUNCTION("""COMPUTED_VALUE"""),45452.0)</f>
        <v>45452</v>
      </c>
      <c r="C14072" s="13">
        <f>IFERROR(__xludf.DUMMYFUNCTION("""COMPUTED_VALUE"""),0.3333333333333333)</f>
        <v>0.3333333333</v>
      </c>
      <c r="D14072" s="8">
        <f>IFERROR(__xludf.DUMMYFUNCTION("""COMPUTED_VALUE"""),0.078)</f>
        <v>0.078</v>
      </c>
      <c r="E14072" s="8" t="str">
        <f>IFERROR(__xludf.DUMMYFUNCTION("""COMPUTED_VALUE"""),"Real")</f>
        <v>Real</v>
      </c>
      <c r="G14072" s="8">
        <f t="shared" si="1"/>
        <v>6</v>
      </c>
      <c r="H14072" s="14">
        <f t="shared" si="2"/>
        <v>9</v>
      </c>
      <c r="I14072" s="15">
        <f t="shared" si="3"/>
        <v>8</v>
      </c>
    </row>
    <row r="14073">
      <c r="A14073" s="8" t="str">
        <f>IFERROR(__xludf.DUMMYFUNCTION("IF('(INGESTA)Datos_consumo_datadis'!A14073&lt;&gt;"""",SPLIT('(INGESTA)Datos_consumo_datadis'!A:A,"",""),"""")"),"ES0031408323131005HX0F")</f>
        <v>ES0031408323131005HX0F</v>
      </c>
      <c r="B14073" s="12">
        <f>IFERROR(__xludf.DUMMYFUNCTION("""COMPUTED_VALUE"""),45452.0)</f>
        <v>45452</v>
      </c>
      <c r="C14073" s="13">
        <f>IFERROR(__xludf.DUMMYFUNCTION("""COMPUTED_VALUE"""),0.375)</f>
        <v>0.375</v>
      </c>
      <c r="D14073" s="8">
        <f>IFERROR(__xludf.DUMMYFUNCTION("""COMPUTED_VALUE"""),0.141)</f>
        <v>0.141</v>
      </c>
      <c r="E14073" s="8" t="str">
        <f>IFERROR(__xludf.DUMMYFUNCTION("""COMPUTED_VALUE"""),"Real")</f>
        <v>Real</v>
      </c>
      <c r="G14073" s="8">
        <f t="shared" si="1"/>
        <v>6</v>
      </c>
      <c r="H14073" s="14">
        <f t="shared" si="2"/>
        <v>9</v>
      </c>
      <c r="I14073" s="15">
        <f t="shared" si="3"/>
        <v>9</v>
      </c>
    </row>
    <row r="14074">
      <c r="A14074" s="8" t="str">
        <f>IFERROR(__xludf.DUMMYFUNCTION("IF('(INGESTA)Datos_consumo_datadis'!A14074&lt;&gt;"""",SPLIT('(INGESTA)Datos_consumo_datadis'!A:A,"",""),"""")"),"ES0031408323131005HX0F")</f>
        <v>ES0031408323131005HX0F</v>
      </c>
      <c r="B14074" s="12">
        <f>IFERROR(__xludf.DUMMYFUNCTION("""COMPUTED_VALUE"""),45452.0)</f>
        <v>45452</v>
      </c>
      <c r="C14074" s="13">
        <f>IFERROR(__xludf.DUMMYFUNCTION("""COMPUTED_VALUE"""),0.4166666666666667)</f>
        <v>0.4166666667</v>
      </c>
      <c r="D14074" s="8">
        <f>IFERROR(__xludf.DUMMYFUNCTION("""COMPUTED_VALUE"""),0.73)</f>
        <v>0.73</v>
      </c>
      <c r="E14074" s="8" t="str">
        <f>IFERROR(__xludf.DUMMYFUNCTION("""COMPUTED_VALUE"""),"Real")</f>
        <v>Real</v>
      </c>
      <c r="G14074" s="8">
        <f t="shared" si="1"/>
        <v>6</v>
      </c>
      <c r="H14074" s="14">
        <f t="shared" si="2"/>
        <v>9</v>
      </c>
      <c r="I14074" s="15">
        <f t="shared" si="3"/>
        <v>10</v>
      </c>
    </row>
    <row r="14075">
      <c r="A14075" s="8" t="str">
        <f>IFERROR(__xludf.DUMMYFUNCTION("IF('(INGESTA)Datos_consumo_datadis'!A14075&lt;&gt;"""",SPLIT('(INGESTA)Datos_consumo_datadis'!A:A,"",""),"""")"),"ES0031408323131005HX0F")</f>
        <v>ES0031408323131005HX0F</v>
      </c>
      <c r="B14075" s="12">
        <f>IFERROR(__xludf.DUMMYFUNCTION("""COMPUTED_VALUE"""),45452.0)</f>
        <v>45452</v>
      </c>
      <c r="C14075" s="13">
        <f>IFERROR(__xludf.DUMMYFUNCTION("""COMPUTED_VALUE"""),0.4583333333333333)</f>
        <v>0.4583333333</v>
      </c>
      <c r="D14075" s="8">
        <f>IFERROR(__xludf.DUMMYFUNCTION("""COMPUTED_VALUE"""),0.874)</f>
        <v>0.874</v>
      </c>
      <c r="E14075" s="8" t="str">
        <f>IFERROR(__xludf.DUMMYFUNCTION("""COMPUTED_VALUE"""),"Real")</f>
        <v>Real</v>
      </c>
      <c r="G14075" s="8">
        <f t="shared" si="1"/>
        <v>6</v>
      </c>
      <c r="H14075" s="14">
        <f t="shared" si="2"/>
        <v>9</v>
      </c>
      <c r="I14075" s="15">
        <f t="shared" si="3"/>
        <v>11</v>
      </c>
    </row>
    <row r="14076">
      <c r="A14076" s="8" t="str">
        <f>IFERROR(__xludf.DUMMYFUNCTION("IF('(INGESTA)Datos_consumo_datadis'!A14076&lt;&gt;"""",SPLIT('(INGESTA)Datos_consumo_datadis'!A:A,"",""),"""")"),"ES0031408323131005HX0F")</f>
        <v>ES0031408323131005HX0F</v>
      </c>
      <c r="B14076" s="12">
        <f>IFERROR(__xludf.DUMMYFUNCTION("""COMPUTED_VALUE"""),45452.0)</f>
        <v>45452</v>
      </c>
      <c r="C14076" s="13">
        <f>IFERROR(__xludf.DUMMYFUNCTION("""COMPUTED_VALUE"""),0.5)</f>
        <v>0.5</v>
      </c>
      <c r="D14076" s="8">
        <f>IFERROR(__xludf.DUMMYFUNCTION("""COMPUTED_VALUE"""),0.284)</f>
        <v>0.284</v>
      </c>
      <c r="E14076" s="8" t="str">
        <f>IFERROR(__xludf.DUMMYFUNCTION("""COMPUTED_VALUE"""),"Real")</f>
        <v>Real</v>
      </c>
      <c r="G14076" s="8">
        <f t="shared" si="1"/>
        <v>6</v>
      </c>
      <c r="H14076" s="14">
        <f t="shared" si="2"/>
        <v>9</v>
      </c>
      <c r="I14076" s="15">
        <f t="shared" si="3"/>
        <v>12</v>
      </c>
    </row>
    <row r="14077">
      <c r="A14077" s="8" t="str">
        <f>IFERROR(__xludf.DUMMYFUNCTION("IF('(INGESTA)Datos_consumo_datadis'!A14077&lt;&gt;"""",SPLIT('(INGESTA)Datos_consumo_datadis'!A:A,"",""),"""")"),"ES0031408323131005HX0F")</f>
        <v>ES0031408323131005HX0F</v>
      </c>
      <c r="B14077" s="12">
        <f>IFERROR(__xludf.DUMMYFUNCTION("""COMPUTED_VALUE"""),45452.0)</f>
        <v>45452</v>
      </c>
      <c r="C14077" s="13">
        <f>IFERROR(__xludf.DUMMYFUNCTION("""COMPUTED_VALUE"""),0.5416666666666666)</f>
        <v>0.5416666667</v>
      </c>
      <c r="D14077" s="8">
        <f>IFERROR(__xludf.DUMMYFUNCTION("""COMPUTED_VALUE"""),0.075)</f>
        <v>0.075</v>
      </c>
      <c r="E14077" s="8" t="str">
        <f>IFERROR(__xludf.DUMMYFUNCTION("""COMPUTED_VALUE"""),"Real")</f>
        <v>Real</v>
      </c>
      <c r="G14077" s="8">
        <f t="shared" si="1"/>
        <v>6</v>
      </c>
      <c r="H14077" s="14">
        <f t="shared" si="2"/>
        <v>9</v>
      </c>
      <c r="I14077" s="15">
        <f t="shared" si="3"/>
        <v>13</v>
      </c>
    </row>
    <row r="14078">
      <c r="A14078" s="8" t="str">
        <f>IFERROR(__xludf.DUMMYFUNCTION("IF('(INGESTA)Datos_consumo_datadis'!A14078&lt;&gt;"""",SPLIT('(INGESTA)Datos_consumo_datadis'!A:A,"",""),"""")"),"ES0031408323131005HX0F")</f>
        <v>ES0031408323131005HX0F</v>
      </c>
      <c r="B14078" s="12">
        <f>IFERROR(__xludf.DUMMYFUNCTION("""COMPUTED_VALUE"""),45452.0)</f>
        <v>45452</v>
      </c>
      <c r="C14078" s="13">
        <f>IFERROR(__xludf.DUMMYFUNCTION("""COMPUTED_VALUE"""),0.5833333333333334)</f>
        <v>0.5833333333</v>
      </c>
      <c r="D14078" s="8">
        <f>IFERROR(__xludf.DUMMYFUNCTION("""COMPUTED_VALUE"""),0.07)</f>
        <v>0.07</v>
      </c>
      <c r="E14078" s="8" t="str">
        <f>IFERROR(__xludf.DUMMYFUNCTION("""COMPUTED_VALUE"""),"Real")</f>
        <v>Real</v>
      </c>
      <c r="G14078" s="8">
        <f t="shared" si="1"/>
        <v>6</v>
      </c>
      <c r="H14078" s="14">
        <f t="shared" si="2"/>
        <v>9</v>
      </c>
      <c r="I14078" s="15">
        <f t="shared" si="3"/>
        <v>14</v>
      </c>
    </row>
    <row r="14079">
      <c r="A14079" s="8" t="str">
        <f>IFERROR(__xludf.DUMMYFUNCTION("IF('(INGESTA)Datos_consumo_datadis'!A14079&lt;&gt;"""",SPLIT('(INGESTA)Datos_consumo_datadis'!A:A,"",""),"""")"),"ES0031408323131005HX0F")</f>
        <v>ES0031408323131005HX0F</v>
      </c>
      <c r="B14079" s="12">
        <f>IFERROR(__xludf.DUMMYFUNCTION("""COMPUTED_VALUE"""),45452.0)</f>
        <v>45452</v>
      </c>
      <c r="C14079" s="13">
        <f>IFERROR(__xludf.DUMMYFUNCTION("""COMPUTED_VALUE"""),0.625)</f>
        <v>0.625</v>
      </c>
      <c r="D14079" s="8">
        <f>IFERROR(__xludf.DUMMYFUNCTION("""COMPUTED_VALUE"""),0.035)</f>
        <v>0.035</v>
      </c>
      <c r="E14079" s="8" t="str">
        <f>IFERROR(__xludf.DUMMYFUNCTION("""COMPUTED_VALUE"""),"Real")</f>
        <v>Real</v>
      </c>
      <c r="G14079" s="8">
        <f t="shared" si="1"/>
        <v>6</v>
      </c>
      <c r="H14079" s="14">
        <f t="shared" si="2"/>
        <v>9</v>
      </c>
      <c r="I14079" s="15">
        <f t="shared" si="3"/>
        <v>15</v>
      </c>
    </row>
    <row r="14080">
      <c r="A14080" s="8" t="str">
        <f>IFERROR(__xludf.DUMMYFUNCTION("IF('(INGESTA)Datos_consumo_datadis'!A14080&lt;&gt;"""",SPLIT('(INGESTA)Datos_consumo_datadis'!A:A,"",""),"""")"),"ES0031408323131005HX0F")</f>
        <v>ES0031408323131005HX0F</v>
      </c>
      <c r="B14080" s="12">
        <f>IFERROR(__xludf.DUMMYFUNCTION("""COMPUTED_VALUE"""),45452.0)</f>
        <v>45452</v>
      </c>
      <c r="C14080" s="13">
        <f>IFERROR(__xludf.DUMMYFUNCTION("""COMPUTED_VALUE"""),0.6666666666666666)</f>
        <v>0.6666666667</v>
      </c>
      <c r="D14080" s="8">
        <f>IFERROR(__xludf.DUMMYFUNCTION("""COMPUTED_VALUE"""),0.073)</f>
        <v>0.073</v>
      </c>
      <c r="E14080" s="8" t="str">
        <f>IFERROR(__xludf.DUMMYFUNCTION("""COMPUTED_VALUE"""),"Real")</f>
        <v>Real</v>
      </c>
      <c r="G14080" s="8">
        <f t="shared" si="1"/>
        <v>6</v>
      </c>
      <c r="H14080" s="14">
        <f t="shared" si="2"/>
        <v>9</v>
      </c>
      <c r="I14080" s="15">
        <f t="shared" si="3"/>
        <v>16</v>
      </c>
    </row>
    <row r="14081">
      <c r="A14081" s="8" t="str">
        <f>IFERROR(__xludf.DUMMYFUNCTION("IF('(INGESTA)Datos_consumo_datadis'!A14081&lt;&gt;"""",SPLIT('(INGESTA)Datos_consumo_datadis'!A:A,"",""),"""")"),"ES0031408323131005HX0F")</f>
        <v>ES0031408323131005HX0F</v>
      </c>
      <c r="B14081" s="12">
        <f>IFERROR(__xludf.DUMMYFUNCTION("""COMPUTED_VALUE"""),45452.0)</f>
        <v>45452</v>
      </c>
      <c r="C14081" s="13">
        <f>IFERROR(__xludf.DUMMYFUNCTION("""COMPUTED_VALUE"""),0.7083333333333334)</f>
        <v>0.7083333333</v>
      </c>
      <c r="D14081" s="8">
        <f>IFERROR(__xludf.DUMMYFUNCTION("""COMPUTED_VALUE"""),0.095)</f>
        <v>0.095</v>
      </c>
      <c r="E14081" s="8" t="str">
        <f>IFERROR(__xludf.DUMMYFUNCTION("""COMPUTED_VALUE"""),"Real")</f>
        <v>Real</v>
      </c>
      <c r="G14081" s="8">
        <f t="shared" si="1"/>
        <v>6</v>
      </c>
      <c r="H14081" s="14">
        <f t="shared" si="2"/>
        <v>9</v>
      </c>
      <c r="I14081" s="15">
        <f t="shared" si="3"/>
        <v>17</v>
      </c>
    </row>
    <row r="14082">
      <c r="A14082" s="8" t="str">
        <f>IFERROR(__xludf.DUMMYFUNCTION("IF('(INGESTA)Datos_consumo_datadis'!A14082&lt;&gt;"""",SPLIT('(INGESTA)Datos_consumo_datadis'!A:A,"",""),"""")"),"ES0031408323131005HX0F")</f>
        <v>ES0031408323131005HX0F</v>
      </c>
      <c r="B14082" s="12">
        <f>IFERROR(__xludf.DUMMYFUNCTION("""COMPUTED_VALUE"""),45452.0)</f>
        <v>45452</v>
      </c>
      <c r="C14082" s="13">
        <f>IFERROR(__xludf.DUMMYFUNCTION("""COMPUTED_VALUE"""),0.75)</f>
        <v>0.75</v>
      </c>
      <c r="D14082" s="8">
        <f>IFERROR(__xludf.DUMMYFUNCTION("""COMPUTED_VALUE"""),0.109)</f>
        <v>0.109</v>
      </c>
      <c r="E14082" s="8" t="str">
        <f>IFERROR(__xludf.DUMMYFUNCTION("""COMPUTED_VALUE"""),"Real")</f>
        <v>Real</v>
      </c>
      <c r="G14082" s="8">
        <f t="shared" si="1"/>
        <v>6</v>
      </c>
      <c r="H14082" s="14">
        <f t="shared" si="2"/>
        <v>9</v>
      </c>
      <c r="I14082" s="15">
        <f t="shared" si="3"/>
        <v>18</v>
      </c>
    </row>
    <row r="14083">
      <c r="A14083" s="8" t="str">
        <f>IFERROR(__xludf.DUMMYFUNCTION("IF('(INGESTA)Datos_consumo_datadis'!A14083&lt;&gt;"""",SPLIT('(INGESTA)Datos_consumo_datadis'!A:A,"",""),"""")"),"ES0031408323131005HX0F")</f>
        <v>ES0031408323131005HX0F</v>
      </c>
      <c r="B14083" s="12">
        <f>IFERROR(__xludf.DUMMYFUNCTION("""COMPUTED_VALUE"""),45452.0)</f>
        <v>45452</v>
      </c>
      <c r="C14083" s="13">
        <f>IFERROR(__xludf.DUMMYFUNCTION("""COMPUTED_VALUE"""),0.7916666666666666)</f>
        <v>0.7916666667</v>
      </c>
      <c r="D14083" s="8">
        <f>IFERROR(__xludf.DUMMYFUNCTION("""COMPUTED_VALUE"""),0.073)</f>
        <v>0.073</v>
      </c>
      <c r="E14083" s="8" t="str">
        <f>IFERROR(__xludf.DUMMYFUNCTION("""COMPUTED_VALUE"""),"Real")</f>
        <v>Real</v>
      </c>
      <c r="G14083" s="8">
        <f t="shared" si="1"/>
        <v>6</v>
      </c>
      <c r="H14083" s="14">
        <f t="shared" si="2"/>
        <v>9</v>
      </c>
      <c r="I14083" s="15">
        <f t="shared" si="3"/>
        <v>19</v>
      </c>
    </row>
    <row r="14084">
      <c r="A14084" s="8" t="str">
        <f>IFERROR(__xludf.DUMMYFUNCTION("IF('(INGESTA)Datos_consumo_datadis'!A14084&lt;&gt;"""",SPLIT('(INGESTA)Datos_consumo_datadis'!A:A,"",""),"""")"),"ES0031408323131005HX0F")</f>
        <v>ES0031408323131005HX0F</v>
      </c>
      <c r="B14084" s="12">
        <f>IFERROR(__xludf.DUMMYFUNCTION("""COMPUTED_VALUE"""),45452.0)</f>
        <v>45452</v>
      </c>
      <c r="C14084" s="13">
        <f>IFERROR(__xludf.DUMMYFUNCTION("""COMPUTED_VALUE"""),0.8333333333333334)</f>
        <v>0.8333333333</v>
      </c>
      <c r="D14084" s="8">
        <f>IFERROR(__xludf.DUMMYFUNCTION("""COMPUTED_VALUE"""),0.31)</f>
        <v>0.31</v>
      </c>
      <c r="E14084" s="8" t="str">
        <f>IFERROR(__xludf.DUMMYFUNCTION("""COMPUTED_VALUE"""),"Real")</f>
        <v>Real</v>
      </c>
      <c r="G14084" s="8">
        <f t="shared" si="1"/>
        <v>6</v>
      </c>
      <c r="H14084" s="14">
        <f t="shared" si="2"/>
        <v>9</v>
      </c>
      <c r="I14084" s="15">
        <f t="shared" si="3"/>
        <v>20</v>
      </c>
    </row>
    <row r="14085">
      <c r="A14085" s="8" t="str">
        <f>IFERROR(__xludf.DUMMYFUNCTION("IF('(INGESTA)Datos_consumo_datadis'!A14085&lt;&gt;"""",SPLIT('(INGESTA)Datos_consumo_datadis'!A:A,"",""),"""")"),"ES0031408323131005HX0F")</f>
        <v>ES0031408323131005HX0F</v>
      </c>
      <c r="B14085" s="12">
        <f>IFERROR(__xludf.DUMMYFUNCTION("""COMPUTED_VALUE"""),45452.0)</f>
        <v>45452</v>
      </c>
      <c r="C14085" s="13">
        <f>IFERROR(__xludf.DUMMYFUNCTION("""COMPUTED_VALUE"""),0.875)</f>
        <v>0.875</v>
      </c>
      <c r="D14085" s="8">
        <f>IFERROR(__xludf.DUMMYFUNCTION("""COMPUTED_VALUE"""),0.094)</f>
        <v>0.094</v>
      </c>
      <c r="E14085" s="8" t="str">
        <f>IFERROR(__xludf.DUMMYFUNCTION("""COMPUTED_VALUE"""),"Real")</f>
        <v>Real</v>
      </c>
      <c r="G14085" s="8">
        <f t="shared" si="1"/>
        <v>6</v>
      </c>
      <c r="H14085" s="14">
        <f t="shared" si="2"/>
        <v>9</v>
      </c>
      <c r="I14085" s="15">
        <f t="shared" si="3"/>
        <v>21</v>
      </c>
    </row>
    <row r="14086">
      <c r="A14086" s="8" t="str">
        <f>IFERROR(__xludf.DUMMYFUNCTION("IF('(INGESTA)Datos_consumo_datadis'!A14086&lt;&gt;"""",SPLIT('(INGESTA)Datos_consumo_datadis'!A:A,"",""),"""")"),"ES0031408323131005HX0F")</f>
        <v>ES0031408323131005HX0F</v>
      </c>
      <c r="B14086" s="12">
        <f>IFERROR(__xludf.DUMMYFUNCTION("""COMPUTED_VALUE"""),45452.0)</f>
        <v>45452</v>
      </c>
      <c r="C14086" s="13">
        <f>IFERROR(__xludf.DUMMYFUNCTION("""COMPUTED_VALUE"""),0.9166666666666666)</f>
        <v>0.9166666667</v>
      </c>
      <c r="D14086" s="8">
        <f>IFERROR(__xludf.DUMMYFUNCTION("""COMPUTED_VALUE"""),0.049)</f>
        <v>0.049</v>
      </c>
      <c r="E14086" s="8" t="str">
        <f>IFERROR(__xludf.DUMMYFUNCTION("""COMPUTED_VALUE"""),"Real")</f>
        <v>Real</v>
      </c>
      <c r="G14086" s="8">
        <f t="shared" si="1"/>
        <v>6</v>
      </c>
      <c r="H14086" s="14">
        <f t="shared" si="2"/>
        <v>9</v>
      </c>
      <c r="I14086" s="15">
        <f t="shared" si="3"/>
        <v>22</v>
      </c>
    </row>
    <row r="14087">
      <c r="A14087" s="8" t="str">
        <f>IFERROR(__xludf.DUMMYFUNCTION("IF('(INGESTA)Datos_consumo_datadis'!A14087&lt;&gt;"""",SPLIT('(INGESTA)Datos_consumo_datadis'!A:A,"",""),"""")"),"ES0031408323131005HX0F")</f>
        <v>ES0031408323131005HX0F</v>
      </c>
      <c r="B14087" s="12">
        <f>IFERROR(__xludf.DUMMYFUNCTION("""COMPUTED_VALUE"""),45452.0)</f>
        <v>45452</v>
      </c>
      <c r="C14087" s="13">
        <f>IFERROR(__xludf.DUMMYFUNCTION("""COMPUTED_VALUE"""),0.9583333333333334)</f>
        <v>0.9583333333</v>
      </c>
      <c r="D14087" s="8">
        <f>IFERROR(__xludf.DUMMYFUNCTION("""COMPUTED_VALUE"""),0.067)</f>
        <v>0.067</v>
      </c>
      <c r="E14087" s="8" t="str">
        <f>IFERROR(__xludf.DUMMYFUNCTION("""COMPUTED_VALUE"""),"Real")</f>
        <v>Real</v>
      </c>
      <c r="G14087" s="8">
        <f t="shared" si="1"/>
        <v>6</v>
      </c>
      <c r="H14087" s="14">
        <f t="shared" si="2"/>
        <v>9</v>
      </c>
      <c r="I14087" s="15">
        <f t="shared" si="3"/>
        <v>23</v>
      </c>
    </row>
    <row r="14088">
      <c r="A14088" s="8" t="str">
        <f>IFERROR(__xludf.DUMMYFUNCTION("IF('(INGESTA)Datos_consumo_datadis'!A14088&lt;&gt;"""",SPLIT('(INGESTA)Datos_consumo_datadis'!A:A,"",""),"""")"),"ES0031408323131005HX0F")</f>
        <v>ES0031408323131005HX0F</v>
      </c>
      <c r="B14088" s="12">
        <f>IFERROR(__xludf.DUMMYFUNCTION("""COMPUTED_VALUE"""),45452.0)</f>
        <v>45452</v>
      </c>
      <c r="C14088" s="16">
        <f>IFERROR(__xludf.DUMMYFUNCTION("""COMPUTED_VALUE"""),1.0)</f>
        <v>1</v>
      </c>
      <c r="D14088" s="8">
        <f>IFERROR(__xludf.DUMMYFUNCTION("""COMPUTED_VALUE"""),0.071)</f>
        <v>0.071</v>
      </c>
      <c r="E14088" s="8" t="str">
        <f>IFERROR(__xludf.DUMMYFUNCTION("""COMPUTED_VALUE"""),"Real")</f>
        <v>Real</v>
      </c>
      <c r="G14088" s="8">
        <f t="shared" si="1"/>
        <v>6</v>
      </c>
      <c r="H14088" s="14">
        <f t="shared" si="2"/>
        <v>9</v>
      </c>
      <c r="I14088" s="15">
        <f t="shared" si="3"/>
        <v>0</v>
      </c>
    </row>
    <row r="14089">
      <c r="A14089" s="8" t="str">
        <f>IFERROR(__xludf.DUMMYFUNCTION("IF('(INGESTA)Datos_consumo_datadis'!A14089&lt;&gt;"""",SPLIT('(INGESTA)Datos_consumo_datadis'!A:A,"",""),"""")"),"ES0031408323131005HX0F")</f>
        <v>ES0031408323131005HX0F</v>
      </c>
      <c r="B14089" s="12">
        <f>IFERROR(__xludf.DUMMYFUNCTION("""COMPUTED_VALUE"""),45453.0)</f>
        <v>45453</v>
      </c>
      <c r="C14089" s="13">
        <f>IFERROR(__xludf.DUMMYFUNCTION("""COMPUTED_VALUE"""),0.041666666666666664)</f>
        <v>0.04166666667</v>
      </c>
      <c r="D14089" s="8">
        <f>IFERROR(__xludf.DUMMYFUNCTION("""COMPUTED_VALUE"""),0.035)</f>
        <v>0.035</v>
      </c>
      <c r="E14089" s="8" t="str">
        <f>IFERROR(__xludf.DUMMYFUNCTION("""COMPUTED_VALUE"""),"Real")</f>
        <v>Real</v>
      </c>
      <c r="G14089" s="8">
        <f t="shared" si="1"/>
        <v>6</v>
      </c>
      <c r="H14089" s="14">
        <f t="shared" si="2"/>
        <v>10</v>
      </c>
      <c r="I14089" s="15">
        <f t="shared" si="3"/>
        <v>1</v>
      </c>
    </row>
    <row r="14090">
      <c r="A14090" s="8" t="str">
        <f>IFERROR(__xludf.DUMMYFUNCTION("IF('(INGESTA)Datos_consumo_datadis'!A14090&lt;&gt;"""",SPLIT('(INGESTA)Datos_consumo_datadis'!A:A,"",""),"""")"),"ES0031408323131005HX0F")</f>
        <v>ES0031408323131005HX0F</v>
      </c>
      <c r="B14090" s="12">
        <f>IFERROR(__xludf.DUMMYFUNCTION("""COMPUTED_VALUE"""),45453.0)</f>
        <v>45453</v>
      </c>
      <c r="C14090" s="13">
        <f>IFERROR(__xludf.DUMMYFUNCTION("""COMPUTED_VALUE"""),0.08333333333333333)</f>
        <v>0.08333333333</v>
      </c>
      <c r="D14090" s="8">
        <f>IFERROR(__xludf.DUMMYFUNCTION("""COMPUTED_VALUE"""),0.073)</f>
        <v>0.073</v>
      </c>
      <c r="E14090" s="8" t="str">
        <f>IFERROR(__xludf.DUMMYFUNCTION("""COMPUTED_VALUE"""),"Real")</f>
        <v>Real</v>
      </c>
      <c r="G14090" s="8">
        <f t="shared" si="1"/>
        <v>6</v>
      </c>
      <c r="H14090" s="14">
        <f t="shared" si="2"/>
        <v>10</v>
      </c>
      <c r="I14090" s="15">
        <f t="shared" si="3"/>
        <v>2</v>
      </c>
    </row>
    <row r="14091">
      <c r="A14091" s="8" t="str">
        <f>IFERROR(__xludf.DUMMYFUNCTION("IF('(INGESTA)Datos_consumo_datadis'!A14091&lt;&gt;"""",SPLIT('(INGESTA)Datos_consumo_datadis'!A:A,"",""),"""")"),"ES0031408323131005HX0F")</f>
        <v>ES0031408323131005HX0F</v>
      </c>
      <c r="B14091" s="12">
        <f>IFERROR(__xludf.DUMMYFUNCTION("""COMPUTED_VALUE"""),45453.0)</f>
        <v>45453</v>
      </c>
      <c r="C14091" s="13">
        <f>IFERROR(__xludf.DUMMYFUNCTION("""COMPUTED_VALUE"""),0.125)</f>
        <v>0.125</v>
      </c>
      <c r="D14091" s="8">
        <f>IFERROR(__xludf.DUMMYFUNCTION("""COMPUTED_VALUE"""),0.047)</f>
        <v>0.047</v>
      </c>
      <c r="E14091" s="8" t="str">
        <f>IFERROR(__xludf.DUMMYFUNCTION("""COMPUTED_VALUE"""),"Real")</f>
        <v>Real</v>
      </c>
      <c r="G14091" s="8">
        <f t="shared" si="1"/>
        <v>6</v>
      </c>
      <c r="H14091" s="14">
        <f t="shared" si="2"/>
        <v>10</v>
      </c>
      <c r="I14091" s="15">
        <f t="shared" si="3"/>
        <v>3</v>
      </c>
    </row>
    <row r="14092">
      <c r="A14092" s="8" t="str">
        <f>IFERROR(__xludf.DUMMYFUNCTION("IF('(INGESTA)Datos_consumo_datadis'!A14092&lt;&gt;"""",SPLIT('(INGESTA)Datos_consumo_datadis'!A:A,"",""),"""")"),"ES0031408323131005HX0F")</f>
        <v>ES0031408323131005HX0F</v>
      </c>
      <c r="B14092" s="12">
        <f>IFERROR(__xludf.DUMMYFUNCTION("""COMPUTED_VALUE"""),45453.0)</f>
        <v>45453</v>
      </c>
      <c r="C14092" s="13">
        <f>IFERROR(__xludf.DUMMYFUNCTION("""COMPUTED_VALUE"""),0.16666666666666666)</f>
        <v>0.1666666667</v>
      </c>
      <c r="D14092" s="8">
        <f>IFERROR(__xludf.DUMMYFUNCTION("""COMPUTED_VALUE"""),0.371)</f>
        <v>0.371</v>
      </c>
      <c r="E14092" s="8" t="str">
        <f>IFERROR(__xludf.DUMMYFUNCTION("""COMPUTED_VALUE"""),"Real")</f>
        <v>Real</v>
      </c>
      <c r="G14092" s="8">
        <f t="shared" si="1"/>
        <v>6</v>
      </c>
      <c r="H14092" s="14">
        <f t="shared" si="2"/>
        <v>10</v>
      </c>
      <c r="I14092" s="15">
        <f t="shared" si="3"/>
        <v>4</v>
      </c>
    </row>
    <row r="14093">
      <c r="A14093" s="8" t="str">
        <f>IFERROR(__xludf.DUMMYFUNCTION("IF('(INGESTA)Datos_consumo_datadis'!A14093&lt;&gt;"""",SPLIT('(INGESTA)Datos_consumo_datadis'!A:A,"",""),"""")"),"ES0031408323131005HX0F")</f>
        <v>ES0031408323131005HX0F</v>
      </c>
      <c r="B14093" s="12">
        <f>IFERROR(__xludf.DUMMYFUNCTION("""COMPUTED_VALUE"""),45453.0)</f>
        <v>45453</v>
      </c>
      <c r="C14093" s="13">
        <f>IFERROR(__xludf.DUMMYFUNCTION("""COMPUTED_VALUE"""),0.20833333333333334)</f>
        <v>0.2083333333</v>
      </c>
      <c r="D14093" s="8">
        <f>IFERROR(__xludf.DUMMYFUNCTION("""COMPUTED_VALUE"""),0.048)</f>
        <v>0.048</v>
      </c>
      <c r="E14093" s="8" t="str">
        <f>IFERROR(__xludf.DUMMYFUNCTION("""COMPUTED_VALUE"""),"Real")</f>
        <v>Real</v>
      </c>
      <c r="G14093" s="8">
        <f t="shared" si="1"/>
        <v>6</v>
      </c>
      <c r="H14093" s="14">
        <f t="shared" si="2"/>
        <v>10</v>
      </c>
      <c r="I14093" s="15">
        <f t="shared" si="3"/>
        <v>5</v>
      </c>
    </row>
    <row r="14094">
      <c r="A14094" s="8" t="str">
        <f>IFERROR(__xludf.DUMMYFUNCTION("IF('(INGESTA)Datos_consumo_datadis'!A14094&lt;&gt;"""",SPLIT('(INGESTA)Datos_consumo_datadis'!A:A,"",""),"""")"),"ES0031408323131005HX0F")</f>
        <v>ES0031408323131005HX0F</v>
      </c>
      <c r="B14094" s="12">
        <f>IFERROR(__xludf.DUMMYFUNCTION("""COMPUTED_VALUE"""),45453.0)</f>
        <v>45453</v>
      </c>
      <c r="C14094" s="13">
        <f>IFERROR(__xludf.DUMMYFUNCTION("""COMPUTED_VALUE"""),0.25)</f>
        <v>0.25</v>
      </c>
      <c r="D14094" s="8">
        <f>IFERROR(__xludf.DUMMYFUNCTION("""COMPUTED_VALUE"""),0.06)</f>
        <v>0.06</v>
      </c>
      <c r="E14094" s="8" t="str">
        <f>IFERROR(__xludf.DUMMYFUNCTION("""COMPUTED_VALUE"""),"Real")</f>
        <v>Real</v>
      </c>
      <c r="G14094" s="8">
        <f t="shared" si="1"/>
        <v>6</v>
      </c>
      <c r="H14094" s="14">
        <f t="shared" si="2"/>
        <v>10</v>
      </c>
      <c r="I14094" s="15">
        <f t="shared" si="3"/>
        <v>6</v>
      </c>
    </row>
    <row r="14095">
      <c r="A14095" s="8" t="str">
        <f>IFERROR(__xludf.DUMMYFUNCTION("IF('(INGESTA)Datos_consumo_datadis'!A14095&lt;&gt;"""",SPLIT('(INGESTA)Datos_consumo_datadis'!A:A,"",""),"""")"),"ES0031408323131005HX0F")</f>
        <v>ES0031408323131005HX0F</v>
      </c>
      <c r="B14095" s="12">
        <f>IFERROR(__xludf.DUMMYFUNCTION("""COMPUTED_VALUE"""),45453.0)</f>
        <v>45453</v>
      </c>
      <c r="C14095" s="13">
        <f>IFERROR(__xludf.DUMMYFUNCTION("""COMPUTED_VALUE"""),0.2916666666666667)</f>
        <v>0.2916666667</v>
      </c>
      <c r="D14095" s="8">
        <f>IFERROR(__xludf.DUMMYFUNCTION("""COMPUTED_VALUE"""),0.07)</f>
        <v>0.07</v>
      </c>
      <c r="E14095" s="8" t="str">
        <f>IFERROR(__xludf.DUMMYFUNCTION("""COMPUTED_VALUE"""),"Real")</f>
        <v>Real</v>
      </c>
      <c r="G14095" s="8">
        <f t="shared" si="1"/>
        <v>6</v>
      </c>
      <c r="H14095" s="14">
        <f t="shared" si="2"/>
        <v>10</v>
      </c>
      <c r="I14095" s="15">
        <f t="shared" si="3"/>
        <v>7</v>
      </c>
    </row>
    <row r="14096">
      <c r="A14096" s="8" t="str">
        <f>IFERROR(__xludf.DUMMYFUNCTION("IF('(INGESTA)Datos_consumo_datadis'!A14096&lt;&gt;"""",SPLIT('(INGESTA)Datos_consumo_datadis'!A:A,"",""),"""")"),"ES0031408323131005HX0F")</f>
        <v>ES0031408323131005HX0F</v>
      </c>
      <c r="B14096" s="12">
        <f>IFERROR(__xludf.DUMMYFUNCTION("""COMPUTED_VALUE"""),45453.0)</f>
        <v>45453</v>
      </c>
      <c r="C14096" s="13">
        <f>IFERROR(__xludf.DUMMYFUNCTION("""COMPUTED_VALUE"""),0.3333333333333333)</f>
        <v>0.3333333333</v>
      </c>
      <c r="D14096" s="8">
        <f>IFERROR(__xludf.DUMMYFUNCTION("""COMPUTED_VALUE"""),0.035)</f>
        <v>0.035</v>
      </c>
      <c r="E14096" s="8" t="str">
        <f>IFERROR(__xludf.DUMMYFUNCTION("""COMPUTED_VALUE"""),"Real")</f>
        <v>Real</v>
      </c>
      <c r="G14096" s="8">
        <f t="shared" si="1"/>
        <v>6</v>
      </c>
      <c r="H14096" s="14">
        <f t="shared" si="2"/>
        <v>10</v>
      </c>
      <c r="I14096" s="15">
        <f t="shared" si="3"/>
        <v>8</v>
      </c>
    </row>
    <row r="14097">
      <c r="A14097" s="8" t="str">
        <f>IFERROR(__xludf.DUMMYFUNCTION("IF('(INGESTA)Datos_consumo_datadis'!A14097&lt;&gt;"""",SPLIT('(INGESTA)Datos_consumo_datadis'!A:A,"",""),"""")"),"ES0031408323131005HX0F")</f>
        <v>ES0031408323131005HX0F</v>
      </c>
      <c r="B14097" s="12">
        <f>IFERROR(__xludf.DUMMYFUNCTION("""COMPUTED_VALUE"""),45453.0)</f>
        <v>45453</v>
      </c>
      <c r="C14097" s="13">
        <f>IFERROR(__xludf.DUMMYFUNCTION("""COMPUTED_VALUE"""),0.375)</f>
        <v>0.375</v>
      </c>
      <c r="D14097" s="8">
        <f>IFERROR(__xludf.DUMMYFUNCTION("""COMPUTED_VALUE"""),0.073)</f>
        <v>0.073</v>
      </c>
      <c r="E14097" s="8" t="str">
        <f>IFERROR(__xludf.DUMMYFUNCTION("""COMPUTED_VALUE"""),"Real")</f>
        <v>Real</v>
      </c>
      <c r="G14097" s="8">
        <f t="shared" si="1"/>
        <v>6</v>
      </c>
      <c r="H14097" s="14">
        <f t="shared" si="2"/>
        <v>10</v>
      </c>
      <c r="I14097" s="15">
        <f t="shared" si="3"/>
        <v>9</v>
      </c>
    </row>
    <row r="14098">
      <c r="A14098" s="8" t="str">
        <f>IFERROR(__xludf.DUMMYFUNCTION("IF('(INGESTA)Datos_consumo_datadis'!A14098&lt;&gt;"""",SPLIT('(INGESTA)Datos_consumo_datadis'!A:A,"",""),"""")"),"ES0031408323131005HX0F")</f>
        <v>ES0031408323131005HX0F</v>
      </c>
      <c r="B14098" s="12">
        <f>IFERROR(__xludf.DUMMYFUNCTION("""COMPUTED_VALUE"""),45453.0)</f>
        <v>45453</v>
      </c>
      <c r="C14098" s="13">
        <f>IFERROR(__xludf.DUMMYFUNCTION("""COMPUTED_VALUE"""),0.4166666666666667)</f>
        <v>0.4166666667</v>
      </c>
      <c r="D14098" s="8">
        <f>IFERROR(__xludf.DUMMYFUNCTION("""COMPUTED_VALUE"""),0.044)</f>
        <v>0.044</v>
      </c>
      <c r="E14098" s="8" t="str">
        <f>IFERROR(__xludf.DUMMYFUNCTION("""COMPUTED_VALUE"""),"Real")</f>
        <v>Real</v>
      </c>
      <c r="G14098" s="8">
        <f t="shared" si="1"/>
        <v>6</v>
      </c>
      <c r="H14098" s="14">
        <f t="shared" si="2"/>
        <v>10</v>
      </c>
      <c r="I14098" s="15">
        <f t="shared" si="3"/>
        <v>10</v>
      </c>
    </row>
    <row r="14099">
      <c r="A14099" s="8" t="str">
        <f>IFERROR(__xludf.DUMMYFUNCTION("IF('(INGESTA)Datos_consumo_datadis'!A14099&lt;&gt;"""",SPLIT('(INGESTA)Datos_consumo_datadis'!A:A,"",""),"""")"),"ES0031408323131005HX0F")</f>
        <v>ES0031408323131005HX0F</v>
      </c>
      <c r="B14099" s="12">
        <f>IFERROR(__xludf.DUMMYFUNCTION("""COMPUTED_VALUE"""),45453.0)</f>
        <v>45453</v>
      </c>
      <c r="C14099" s="13">
        <f>IFERROR(__xludf.DUMMYFUNCTION("""COMPUTED_VALUE"""),0.4583333333333333)</f>
        <v>0.4583333333</v>
      </c>
      <c r="D14099" s="8">
        <f>IFERROR(__xludf.DUMMYFUNCTION("""COMPUTED_VALUE"""),0.365)</f>
        <v>0.365</v>
      </c>
      <c r="E14099" s="8" t="str">
        <f>IFERROR(__xludf.DUMMYFUNCTION("""COMPUTED_VALUE"""),"Real")</f>
        <v>Real</v>
      </c>
      <c r="G14099" s="8">
        <f t="shared" si="1"/>
        <v>6</v>
      </c>
      <c r="H14099" s="14">
        <f t="shared" si="2"/>
        <v>10</v>
      </c>
      <c r="I14099" s="15">
        <f t="shared" si="3"/>
        <v>11</v>
      </c>
    </row>
    <row r="14100">
      <c r="A14100" s="8" t="str">
        <f>IFERROR(__xludf.DUMMYFUNCTION("IF('(INGESTA)Datos_consumo_datadis'!A14100&lt;&gt;"""",SPLIT('(INGESTA)Datos_consumo_datadis'!A:A,"",""),"""")"),"ES0031408323131005HX0F")</f>
        <v>ES0031408323131005HX0F</v>
      </c>
      <c r="B14100" s="12">
        <f>IFERROR(__xludf.DUMMYFUNCTION("""COMPUTED_VALUE"""),45453.0)</f>
        <v>45453</v>
      </c>
      <c r="C14100" s="13">
        <f>IFERROR(__xludf.DUMMYFUNCTION("""COMPUTED_VALUE"""),0.5)</f>
        <v>0.5</v>
      </c>
      <c r="D14100" s="8">
        <f>IFERROR(__xludf.DUMMYFUNCTION("""COMPUTED_VALUE"""),0.047)</f>
        <v>0.047</v>
      </c>
      <c r="E14100" s="8" t="str">
        <f>IFERROR(__xludf.DUMMYFUNCTION("""COMPUTED_VALUE"""),"Real")</f>
        <v>Real</v>
      </c>
      <c r="G14100" s="8">
        <f t="shared" si="1"/>
        <v>6</v>
      </c>
      <c r="H14100" s="14">
        <f t="shared" si="2"/>
        <v>10</v>
      </c>
      <c r="I14100" s="15">
        <f t="shared" si="3"/>
        <v>12</v>
      </c>
    </row>
    <row r="14101">
      <c r="A14101" s="8" t="str">
        <f>IFERROR(__xludf.DUMMYFUNCTION("IF('(INGESTA)Datos_consumo_datadis'!A14101&lt;&gt;"""",SPLIT('(INGESTA)Datos_consumo_datadis'!A:A,"",""),"""")"),"ES0031408323131005HX0F")</f>
        <v>ES0031408323131005HX0F</v>
      </c>
      <c r="B14101" s="12">
        <f>IFERROR(__xludf.DUMMYFUNCTION("""COMPUTED_VALUE"""),45453.0)</f>
        <v>45453</v>
      </c>
      <c r="C14101" s="13">
        <f>IFERROR(__xludf.DUMMYFUNCTION("""COMPUTED_VALUE"""),0.5416666666666666)</f>
        <v>0.5416666667</v>
      </c>
      <c r="D14101" s="8">
        <f>IFERROR(__xludf.DUMMYFUNCTION("""COMPUTED_VALUE"""),0.068)</f>
        <v>0.068</v>
      </c>
      <c r="E14101" s="8" t="str">
        <f>IFERROR(__xludf.DUMMYFUNCTION("""COMPUTED_VALUE"""),"Real")</f>
        <v>Real</v>
      </c>
      <c r="G14101" s="8">
        <f t="shared" si="1"/>
        <v>6</v>
      </c>
      <c r="H14101" s="14">
        <f t="shared" si="2"/>
        <v>10</v>
      </c>
      <c r="I14101" s="15">
        <f t="shared" si="3"/>
        <v>13</v>
      </c>
    </row>
    <row r="14102">
      <c r="A14102" s="8" t="str">
        <f>IFERROR(__xludf.DUMMYFUNCTION("IF('(INGESTA)Datos_consumo_datadis'!A14102&lt;&gt;"""",SPLIT('(INGESTA)Datos_consumo_datadis'!A:A,"",""),"""")"),"ES0031408323131005HX0F")</f>
        <v>ES0031408323131005HX0F</v>
      </c>
      <c r="B14102" s="12">
        <f>IFERROR(__xludf.DUMMYFUNCTION("""COMPUTED_VALUE"""),45453.0)</f>
        <v>45453</v>
      </c>
      <c r="C14102" s="13">
        <f>IFERROR(__xludf.DUMMYFUNCTION("""COMPUTED_VALUE"""),0.5833333333333334)</f>
        <v>0.5833333333</v>
      </c>
      <c r="D14102" s="8">
        <f>IFERROR(__xludf.DUMMYFUNCTION("""COMPUTED_VALUE"""),0.08)</f>
        <v>0.08</v>
      </c>
      <c r="E14102" s="8" t="str">
        <f>IFERROR(__xludf.DUMMYFUNCTION("""COMPUTED_VALUE"""),"Real")</f>
        <v>Real</v>
      </c>
      <c r="G14102" s="8">
        <f t="shared" si="1"/>
        <v>6</v>
      </c>
      <c r="H14102" s="14">
        <f t="shared" si="2"/>
        <v>10</v>
      </c>
      <c r="I14102" s="15">
        <f t="shared" si="3"/>
        <v>14</v>
      </c>
    </row>
    <row r="14103">
      <c r="A14103" s="8" t="str">
        <f>IFERROR(__xludf.DUMMYFUNCTION("IF('(INGESTA)Datos_consumo_datadis'!A14103&lt;&gt;"""",SPLIT('(INGESTA)Datos_consumo_datadis'!A:A,"",""),"""")"),"ES0031408323131005HX0F")</f>
        <v>ES0031408323131005HX0F</v>
      </c>
      <c r="B14103" s="12">
        <f>IFERROR(__xludf.DUMMYFUNCTION("""COMPUTED_VALUE"""),45453.0)</f>
        <v>45453</v>
      </c>
      <c r="C14103" s="13">
        <f>IFERROR(__xludf.DUMMYFUNCTION("""COMPUTED_VALUE"""),0.625)</f>
        <v>0.625</v>
      </c>
      <c r="D14103" s="8">
        <f>IFERROR(__xludf.DUMMYFUNCTION("""COMPUTED_VALUE"""),0.088)</f>
        <v>0.088</v>
      </c>
      <c r="E14103" s="8" t="str">
        <f>IFERROR(__xludf.DUMMYFUNCTION("""COMPUTED_VALUE"""),"Real")</f>
        <v>Real</v>
      </c>
      <c r="G14103" s="8">
        <f t="shared" si="1"/>
        <v>6</v>
      </c>
      <c r="H14103" s="14">
        <f t="shared" si="2"/>
        <v>10</v>
      </c>
      <c r="I14103" s="15">
        <f t="shared" si="3"/>
        <v>15</v>
      </c>
    </row>
    <row r="14104">
      <c r="A14104" s="8" t="str">
        <f>IFERROR(__xludf.DUMMYFUNCTION("IF('(INGESTA)Datos_consumo_datadis'!A14104&lt;&gt;"""",SPLIT('(INGESTA)Datos_consumo_datadis'!A:A,"",""),"""")"),"ES0031408323131005HX0F")</f>
        <v>ES0031408323131005HX0F</v>
      </c>
      <c r="B14104" s="12">
        <f>IFERROR(__xludf.DUMMYFUNCTION("""COMPUTED_VALUE"""),45453.0)</f>
        <v>45453</v>
      </c>
      <c r="C14104" s="13">
        <f>IFERROR(__xludf.DUMMYFUNCTION("""COMPUTED_VALUE"""),0.6666666666666666)</f>
        <v>0.6666666667</v>
      </c>
      <c r="D14104" s="8">
        <f>IFERROR(__xludf.DUMMYFUNCTION("""COMPUTED_VALUE"""),0.097)</f>
        <v>0.097</v>
      </c>
      <c r="E14104" s="8" t="str">
        <f>IFERROR(__xludf.DUMMYFUNCTION("""COMPUTED_VALUE"""),"Real")</f>
        <v>Real</v>
      </c>
      <c r="G14104" s="8">
        <f t="shared" si="1"/>
        <v>6</v>
      </c>
      <c r="H14104" s="14">
        <f t="shared" si="2"/>
        <v>10</v>
      </c>
      <c r="I14104" s="15">
        <f t="shared" si="3"/>
        <v>16</v>
      </c>
    </row>
    <row r="14105">
      <c r="A14105" s="8" t="str">
        <f>IFERROR(__xludf.DUMMYFUNCTION("IF('(INGESTA)Datos_consumo_datadis'!A14105&lt;&gt;"""",SPLIT('(INGESTA)Datos_consumo_datadis'!A:A,"",""),"""")"),"ES0031408323131005HX0F")</f>
        <v>ES0031408323131005HX0F</v>
      </c>
      <c r="B14105" s="12">
        <f>IFERROR(__xludf.DUMMYFUNCTION("""COMPUTED_VALUE"""),45453.0)</f>
        <v>45453</v>
      </c>
      <c r="C14105" s="13">
        <f>IFERROR(__xludf.DUMMYFUNCTION("""COMPUTED_VALUE"""),0.7083333333333334)</f>
        <v>0.7083333333</v>
      </c>
      <c r="D14105" s="8">
        <f>IFERROR(__xludf.DUMMYFUNCTION("""COMPUTED_VALUE"""),0.049)</f>
        <v>0.049</v>
      </c>
      <c r="E14105" s="8" t="str">
        <f>IFERROR(__xludf.DUMMYFUNCTION("""COMPUTED_VALUE"""),"Real")</f>
        <v>Real</v>
      </c>
      <c r="G14105" s="8">
        <f t="shared" si="1"/>
        <v>6</v>
      </c>
      <c r="H14105" s="14">
        <f t="shared" si="2"/>
        <v>10</v>
      </c>
      <c r="I14105" s="15">
        <f t="shared" si="3"/>
        <v>17</v>
      </c>
    </row>
    <row r="14106">
      <c r="A14106" s="8" t="str">
        <f>IFERROR(__xludf.DUMMYFUNCTION("IF('(INGESTA)Datos_consumo_datadis'!A14106&lt;&gt;"""",SPLIT('(INGESTA)Datos_consumo_datadis'!A:A,"",""),"""")"),"ES0031408323131005HX0F")</f>
        <v>ES0031408323131005HX0F</v>
      </c>
      <c r="B14106" s="12">
        <f>IFERROR(__xludf.DUMMYFUNCTION("""COMPUTED_VALUE"""),45453.0)</f>
        <v>45453</v>
      </c>
      <c r="C14106" s="13">
        <f>IFERROR(__xludf.DUMMYFUNCTION("""COMPUTED_VALUE"""),0.75)</f>
        <v>0.75</v>
      </c>
      <c r="D14106" s="8">
        <f>IFERROR(__xludf.DUMMYFUNCTION("""COMPUTED_VALUE"""),0.258)</f>
        <v>0.258</v>
      </c>
      <c r="E14106" s="8" t="str">
        <f>IFERROR(__xludf.DUMMYFUNCTION("""COMPUTED_VALUE"""),"Real")</f>
        <v>Real</v>
      </c>
      <c r="G14106" s="8">
        <f t="shared" si="1"/>
        <v>6</v>
      </c>
      <c r="H14106" s="14">
        <f t="shared" si="2"/>
        <v>10</v>
      </c>
      <c r="I14106" s="15">
        <f t="shared" si="3"/>
        <v>18</v>
      </c>
    </row>
    <row r="14107">
      <c r="A14107" s="8" t="str">
        <f>IFERROR(__xludf.DUMMYFUNCTION("IF('(INGESTA)Datos_consumo_datadis'!A14107&lt;&gt;"""",SPLIT('(INGESTA)Datos_consumo_datadis'!A:A,"",""),"""")"),"ES0031408323131005HX0F")</f>
        <v>ES0031408323131005HX0F</v>
      </c>
      <c r="B14107" s="12">
        <f>IFERROR(__xludf.DUMMYFUNCTION("""COMPUTED_VALUE"""),45453.0)</f>
        <v>45453</v>
      </c>
      <c r="C14107" s="13">
        <f>IFERROR(__xludf.DUMMYFUNCTION("""COMPUTED_VALUE"""),0.7916666666666666)</f>
        <v>0.7916666667</v>
      </c>
      <c r="D14107" s="8">
        <f>IFERROR(__xludf.DUMMYFUNCTION("""COMPUTED_VALUE"""),0.068)</f>
        <v>0.068</v>
      </c>
      <c r="E14107" s="8" t="str">
        <f>IFERROR(__xludf.DUMMYFUNCTION("""COMPUTED_VALUE"""),"Real")</f>
        <v>Real</v>
      </c>
      <c r="G14107" s="8">
        <f t="shared" si="1"/>
        <v>6</v>
      </c>
      <c r="H14107" s="14">
        <f t="shared" si="2"/>
        <v>10</v>
      </c>
      <c r="I14107" s="15">
        <f t="shared" si="3"/>
        <v>19</v>
      </c>
    </row>
    <row r="14108">
      <c r="A14108" s="8" t="str">
        <f>IFERROR(__xludf.DUMMYFUNCTION("IF('(INGESTA)Datos_consumo_datadis'!A14108&lt;&gt;"""",SPLIT('(INGESTA)Datos_consumo_datadis'!A:A,"",""),"""")"),"ES0031408323131005HX0F")</f>
        <v>ES0031408323131005HX0F</v>
      </c>
      <c r="B14108" s="12">
        <f>IFERROR(__xludf.DUMMYFUNCTION("""COMPUTED_VALUE"""),45453.0)</f>
        <v>45453</v>
      </c>
      <c r="C14108" s="13">
        <f>IFERROR(__xludf.DUMMYFUNCTION("""COMPUTED_VALUE"""),0.8333333333333334)</f>
        <v>0.8333333333</v>
      </c>
      <c r="D14108" s="8">
        <f>IFERROR(__xludf.DUMMYFUNCTION("""COMPUTED_VALUE"""),0.108)</f>
        <v>0.108</v>
      </c>
      <c r="E14108" s="8" t="str">
        <f>IFERROR(__xludf.DUMMYFUNCTION("""COMPUTED_VALUE"""),"Real")</f>
        <v>Real</v>
      </c>
      <c r="G14108" s="8">
        <f t="shared" si="1"/>
        <v>6</v>
      </c>
      <c r="H14108" s="14">
        <f t="shared" si="2"/>
        <v>10</v>
      </c>
      <c r="I14108" s="15">
        <f t="shared" si="3"/>
        <v>20</v>
      </c>
    </row>
    <row r="14109">
      <c r="A14109" s="8" t="str">
        <f>IFERROR(__xludf.DUMMYFUNCTION("IF('(INGESTA)Datos_consumo_datadis'!A14109&lt;&gt;"""",SPLIT('(INGESTA)Datos_consumo_datadis'!A:A,"",""),"""")"),"ES0031408323131005HX0F")</f>
        <v>ES0031408323131005HX0F</v>
      </c>
      <c r="B14109" s="12">
        <f>IFERROR(__xludf.DUMMYFUNCTION("""COMPUTED_VALUE"""),45453.0)</f>
        <v>45453</v>
      </c>
      <c r="C14109" s="13">
        <f>IFERROR(__xludf.DUMMYFUNCTION("""COMPUTED_VALUE"""),0.875)</f>
        <v>0.875</v>
      </c>
      <c r="D14109" s="8">
        <f>IFERROR(__xludf.DUMMYFUNCTION("""COMPUTED_VALUE"""),0.057)</f>
        <v>0.057</v>
      </c>
      <c r="E14109" s="8" t="str">
        <f>IFERROR(__xludf.DUMMYFUNCTION("""COMPUTED_VALUE"""),"Real")</f>
        <v>Real</v>
      </c>
      <c r="G14109" s="8">
        <f t="shared" si="1"/>
        <v>6</v>
      </c>
      <c r="H14109" s="14">
        <f t="shared" si="2"/>
        <v>10</v>
      </c>
      <c r="I14109" s="15">
        <f t="shared" si="3"/>
        <v>21</v>
      </c>
    </row>
    <row r="14110">
      <c r="A14110" s="8" t="str">
        <f>IFERROR(__xludf.DUMMYFUNCTION("IF('(INGESTA)Datos_consumo_datadis'!A14110&lt;&gt;"""",SPLIT('(INGESTA)Datos_consumo_datadis'!A:A,"",""),"""")"),"ES0031408323131005HX0F")</f>
        <v>ES0031408323131005HX0F</v>
      </c>
      <c r="B14110" s="12">
        <f>IFERROR(__xludf.DUMMYFUNCTION("""COMPUTED_VALUE"""),45453.0)</f>
        <v>45453</v>
      </c>
      <c r="C14110" s="13">
        <f>IFERROR(__xludf.DUMMYFUNCTION("""COMPUTED_VALUE"""),0.9166666666666666)</f>
        <v>0.9166666667</v>
      </c>
      <c r="D14110" s="8">
        <f>IFERROR(__xludf.DUMMYFUNCTION("""COMPUTED_VALUE"""),0.042)</f>
        <v>0.042</v>
      </c>
      <c r="E14110" s="8" t="str">
        <f>IFERROR(__xludf.DUMMYFUNCTION("""COMPUTED_VALUE"""),"Real")</f>
        <v>Real</v>
      </c>
      <c r="G14110" s="8">
        <f t="shared" si="1"/>
        <v>6</v>
      </c>
      <c r="H14110" s="14">
        <f t="shared" si="2"/>
        <v>10</v>
      </c>
      <c r="I14110" s="15">
        <f t="shared" si="3"/>
        <v>22</v>
      </c>
    </row>
    <row r="14111">
      <c r="A14111" s="8" t="str">
        <f>IFERROR(__xludf.DUMMYFUNCTION("IF('(INGESTA)Datos_consumo_datadis'!A14111&lt;&gt;"""",SPLIT('(INGESTA)Datos_consumo_datadis'!A:A,"",""),"""")"),"ES0031408323131005HX0F")</f>
        <v>ES0031408323131005HX0F</v>
      </c>
      <c r="B14111" s="12">
        <f>IFERROR(__xludf.DUMMYFUNCTION("""COMPUTED_VALUE"""),45453.0)</f>
        <v>45453</v>
      </c>
      <c r="C14111" s="13">
        <f>IFERROR(__xludf.DUMMYFUNCTION("""COMPUTED_VALUE"""),0.9583333333333334)</f>
        <v>0.9583333333</v>
      </c>
      <c r="D14111" s="8">
        <f>IFERROR(__xludf.DUMMYFUNCTION("""COMPUTED_VALUE"""),0.006)</f>
        <v>0.006</v>
      </c>
      <c r="E14111" s="8" t="str">
        <f>IFERROR(__xludf.DUMMYFUNCTION("""COMPUTED_VALUE"""),"Real")</f>
        <v>Real</v>
      </c>
      <c r="G14111" s="8">
        <f t="shared" si="1"/>
        <v>6</v>
      </c>
      <c r="H14111" s="14">
        <f t="shared" si="2"/>
        <v>10</v>
      </c>
      <c r="I14111" s="15">
        <f t="shared" si="3"/>
        <v>23</v>
      </c>
    </row>
    <row r="14112">
      <c r="A14112" s="8" t="str">
        <f>IFERROR(__xludf.DUMMYFUNCTION("IF('(INGESTA)Datos_consumo_datadis'!A14112&lt;&gt;"""",SPLIT('(INGESTA)Datos_consumo_datadis'!A:A,"",""),"""")"),"ES0031408323131005HX0F")</f>
        <v>ES0031408323131005HX0F</v>
      </c>
      <c r="B14112" s="12">
        <f>IFERROR(__xludf.DUMMYFUNCTION("""COMPUTED_VALUE"""),45453.0)</f>
        <v>45453</v>
      </c>
      <c r="C14112" s="16">
        <f>IFERROR(__xludf.DUMMYFUNCTION("""COMPUTED_VALUE"""),1.0)</f>
        <v>1</v>
      </c>
      <c r="D14112" s="8">
        <f>IFERROR(__xludf.DUMMYFUNCTION("""COMPUTED_VALUE"""),0.096)</f>
        <v>0.096</v>
      </c>
      <c r="E14112" s="8" t="str">
        <f>IFERROR(__xludf.DUMMYFUNCTION("""COMPUTED_VALUE"""),"Real")</f>
        <v>Real</v>
      </c>
      <c r="G14112" s="8">
        <f t="shared" si="1"/>
        <v>6</v>
      </c>
      <c r="H14112" s="14">
        <f t="shared" si="2"/>
        <v>10</v>
      </c>
      <c r="I14112" s="15">
        <f t="shared" si="3"/>
        <v>0</v>
      </c>
    </row>
    <row r="14113">
      <c r="A14113" s="8" t="str">
        <f>IFERROR(__xludf.DUMMYFUNCTION("IF('(INGESTA)Datos_consumo_datadis'!A14113&lt;&gt;"""",SPLIT('(INGESTA)Datos_consumo_datadis'!A:A,"",""),"""")"),"ES0031408323131005HX0F")</f>
        <v>ES0031408323131005HX0F</v>
      </c>
      <c r="B14113" s="12">
        <f>IFERROR(__xludf.DUMMYFUNCTION("""COMPUTED_VALUE"""),45454.0)</f>
        <v>45454</v>
      </c>
      <c r="C14113" s="13">
        <f>IFERROR(__xludf.DUMMYFUNCTION("""COMPUTED_VALUE"""),0.041666666666666664)</f>
        <v>0.04166666667</v>
      </c>
      <c r="D14113" s="8">
        <f>IFERROR(__xludf.DUMMYFUNCTION("""COMPUTED_VALUE"""),0.07)</f>
        <v>0.07</v>
      </c>
      <c r="E14113" s="8" t="str">
        <f>IFERROR(__xludf.DUMMYFUNCTION("""COMPUTED_VALUE"""),"Real")</f>
        <v>Real</v>
      </c>
      <c r="G14113" s="8">
        <f t="shared" si="1"/>
        <v>6</v>
      </c>
      <c r="H14113" s="14">
        <f t="shared" si="2"/>
        <v>11</v>
      </c>
      <c r="I14113" s="15">
        <f t="shared" si="3"/>
        <v>1</v>
      </c>
    </row>
    <row r="14114">
      <c r="A14114" s="8" t="str">
        <f>IFERROR(__xludf.DUMMYFUNCTION("IF('(INGESTA)Datos_consumo_datadis'!A14114&lt;&gt;"""",SPLIT('(INGESTA)Datos_consumo_datadis'!A:A,"",""),"""")"),"ES0031408323131005HX0F")</f>
        <v>ES0031408323131005HX0F</v>
      </c>
      <c r="B14114" s="12">
        <f>IFERROR(__xludf.DUMMYFUNCTION("""COMPUTED_VALUE"""),45454.0)</f>
        <v>45454</v>
      </c>
      <c r="C14114" s="13">
        <f>IFERROR(__xludf.DUMMYFUNCTION("""COMPUTED_VALUE"""),0.08333333333333333)</f>
        <v>0.08333333333</v>
      </c>
      <c r="D14114" s="8">
        <f>IFERROR(__xludf.DUMMYFUNCTION("""COMPUTED_VALUE"""),0.337)</f>
        <v>0.337</v>
      </c>
      <c r="E14114" s="8" t="str">
        <f>IFERROR(__xludf.DUMMYFUNCTION("""COMPUTED_VALUE"""),"Real")</f>
        <v>Real</v>
      </c>
      <c r="G14114" s="8">
        <f t="shared" si="1"/>
        <v>6</v>
      </c>
      <c r="H14114" s="14">
        <f t="shared" si="2"/>
        <v>11</v>
      </c>
      <c r="I14114" s="15">
        <f t="shared" si="3"/>
        <v>2</v>
      </c>
    </row>
    <row r="14115">
      <c r="A14115" s="8" t="str">
        <f>IFERROR(__xludf.DUMMYFUNCTION("IF('(INGESTA)Datos_consumo_datadis'!A14115&lt;&gt;"""",SPLIT('(INGESTA)Datos_consumo_datadis'!A:A,"",""),"""")"),"ES0031408323131005HX0F")</f>
        <v>ES0031408323131005HX0F</v>
      </c>
      <c r="B14115" s="12">
        <f>IFERROR(__xludf.DUMMYFUNCTION("""COMPUTED_VALUE"""),45454.0)</f>
        <v>45454</v>
      </c>
      <c r="C14115" s="13">
        <f>IFERROR(__xludf.DUMMYFUNCTION("""COMPUTED_VALUE"""),0.125)</f>
        <v>0.125</v>
      </c>
      <c r="D14115" s="8">
        <f>IFERROR(__xludf.DUMMYFUNCTION("""COMPUTED_VALUE"""),0.006)</f>
        <v>0.006</v>
      </c>
      <c r="E14115" s="8" t="str">
        <f>IFERROR(__xludf.DUMMYFUNCTION("""COMPUTED_VALUE"""),"Real")</f>
        <v>Real</v>
      </c>
      <c r="G14115" s="8">
        <f t="shared" si="1"/>
        <v>6</v>
      </c>
      <c r="H14115" s="14">
        <f t="shared" si="2"/>
        <v>11</v>
      </c>
      <c r="I14115" s="15">
        <f t="shared" si="3"/>
        <v>3</v>
      </c>
    </row>
    <row r="14116">
      <c r="A14116" s="8" t="str">
        <f>IFERROR(__xludf.DUMMYFUNCTION("IF('(INGESTA)Datos_consumo_datadis'!A14116&lt;&gt;"""",SPLIT('(INGESTA)Datos_consumo_datadis'!A:A,"",""),"""")"),"ES0031408323131005HX0F")</f>
        <v>ES0031408323131005HX0F</v>
      </c>
      <c r="B14116" s="12">
        <f>IFERROR(__xludf.DUMMYFUNCTION("""COMPUTED_VALUE"""),45454.0)</f>
        <v>45454</v>
      </c>
      <c r="C14116" s="13">
        <f>IFERROR(__xludf.DUMMYFUNCTION("""COMPUTED_VALUE"""),0.16666666666666666)</f>
        <v>0.1666666667</v>
      </c>
      <c r="D14116" s="8">
        <f>IFERROR(__xludf.DUMMYFUNCTION("""COMPUTED_VALUE"""),0.078)</f>
        <v>0.078</v>
      </c>
      <c r="E14116" s="8" t="str">
        <f>IFERROR(__xludf.DUMMYFUNCTION("""COMPUTED_VALUE"""),"Real")</f>
        <v>Real</v>
      </c>
      <c r="G14116" s="8">
        <f t="shared" si="1"/>
        <v>6</v>
      </c>
      <c r="H14116" s="14">
        <f t="shared" si="2"/>
        <v>11</v>
      </c>
      <c r="I14116" s="15">
        <f t="shared" si="3"/>
        <v>4</v>
      </c>
    </row>
    <row r="14117">
      <c r="A14117" s="8" t="str">
        <f>IFERROR(__xludf.DUMMYFUNCTION("IF('(INGESTA)Datos_consumo_datadis'!A14117&lt;&gt;"""",SPLIT('(INGESTA)Datos_consumo_datadis'!A:A,"",""),"""")"),"ES0031408323131005HX0F")</f>
        <v>ES0031408323131005HX0F</v>
      </c>
      <c r="B14117" s="12">
        <f>IFERROR(__xludf.DUMMYFUNCTION("""COMPUTED_VALUE"""),45454.0)</f>
        <v>45454</v>
      </c>
      <c r="C14117" s="13">
        <f>IFERROR(__xludf.DUMMYFUNCTION("""COMPUTED_VALUE"""),0.20833333333333334)</f>
        <v>0.2083333333</v>
      </c>
      <c r="D14117" s="8">
        <f>IFERROR(__xludf.DUMMYFUNCTION("""COMPUTED_VALUE"""),0.071)</f>
        <v>0.071</v>
      </c>
      <c r="E14117" s="8" t="str">
        <f>IFERROR(__xludf.DUMMYFUNCTION("""COMPUTED_VALUE"""),"Real")</f>
        <v>Real</v>
      </c>
      <c r="G14117" s="8">
        <f t="shared" si="1"/>
        <v>6</v>
      </c>
      <c r="H14117" s="14">
        <f t="shared" si="2"/>
        <v>11</v>
      </c>
      <c r="I14117" s="15">
        <f t="shared" si="3"/>
        <v>5</v>
      </c>
    </row>
    <row r="14118">
      <c r="A14118" s="8" t="str">
        <f>IFERROR(__xludf.DUMMYFUNCTION("IF('(INGESTA)Datos_consumo_datadis'!A14118&lt;&gt;"""",SPLIT('(INGESTA)Datos_consumo_datadis'!A:A,"",""),"""")"),"ES0031408323131005HX0F")</f>
        <v>ES0031408323131005HX0F</v>
      </c>
      <c r="B14118" s="12">
        <f>IFERROR(__xludf.DUMMYFUNCTION("""COMPUTED_VALUE"""),45454.0)</f>
        <v>45454</v>
      </c>
      <c r="C14118" s="13">
        <f>IFERROR(__xludf.DUMMYFUNCTION("""COMPUTED_VALUE"""),0.25)</f>
        <v>0.25</v>
      </c>
      <c r="D14118" s="8">
        <f>IFERROR(__xludf.DUMMYFUNCTION("""COMPUTED_VALUE"""),0.059)</f>
        <v>0.059</v>
      </c>
      <c r="E14118" s="8" t="str">
        <f>IFERROR(__xludf.DUMMYFUNCTION("""COMPUTED_VALUE"""),"Real")</f>
        <v>Real</v>
      </c>
      <c r="G14118" s="8">
        <f t="shared" si="1"/>
        <v>6</v>
      </c>
      <c r="H14118" s="14">
        <f t="shared" si="2"/>
        <v>11</v>
      </c>
      <c r="I14118" s="15">
        <f t="shared" si="3"/>
        <v>6</v>
      </c>
    </row>
    <row r="14119">
      <c r="A14119" s="8" t="str">
        <f>IFERROR(__xludf.DUMMYFUNCTION("IF('(INGESTA)Datos_consumo_datadis'!A14119&lt;&gt;"""",SPLIT('(INGESTA)Datos_consumo_datadis'!A:A,"",""),"""")"),"ES0031408323131005HX0F")</f>
        <v>ES0031408323131005HX0F</v>
      </c>
      <c r="B14119" s="12">
        <f>IFERROR(__xludf.DUMMYFUNCTION("""COMPUTED_VALUE"""),45454.0)</f>
        <v>45454</v>
      </c>
      <c r="C14119" s="13">
        <f>IFERROR(__xludf.DUMMYFUNCTION("""COMPUTED_VALUE"""),0.2916666666666667)</f>
        <v>0.2916666667</v>
      </c>
      <c r="D14119" s="8">
        <f>IFERROR(__xludf.DUMMYFUNCTION("""COMPUTED_VALUE"""),0.006)</f>
        <v>0.006</v>
      </c>
      <c r="E14119" s="8" t="str">
        <f>IFERROR(__xludf.DUMMYFUNCTION("""COMPUTED_VALUE"""),"Real")</f>
        <v>Real</v>
      </c>
      <c r="G14119" s="8">
        <f t="shared" si="1"/>
        <v>6</v>
      </c>
      <c r="H14119" s="14">
        <f t="shared" si="2"/>
        <v>11</v>
      </c>
      <c r="I14119" s="15">
        <f t="shared" si="3"/>
        <v>7</v>
      </c>
    </row>
    <row r="14120">
      <c r="A14120" s="8" t="str">
        <f>IFERROR(__xludf.DUMMYFUNCTION("IF('(INGESTA)Datos_consumo_datadis'!A14120&lt;&gt;"""",SPLIT('(INGESTA)Datos_consumo_datadis'!A:A,"",""),"""")"),"ES0031408323131005HX0F")</f>
        <v>ES0031408323131005HX0F</v>
      </c>
      <c r="B14120" s="12">
        <f>IFERROR(__xludf.DUMMYFUNCTION("""COMPUTED_VALUE"""),45454.0)</f>
        <v>45454</v>
      </c>
      <c r="C14120" s="13">
        <f>IFERROR(__xludf.DUMMYFUNCTION("""COMPUTED_VALUE"""),0.3333333333333333)</f>
        <v>0.3333333333</v>
      </c>
      <c r="D14120" s="8">
        <f>IFERROR(__xludf.DUMMYFUNCTION("""COMPUTED_VALUE"""),0.064)</f>
        <v>0.064</v>
      </c>
      <c r="E14120" s="8" t="str">
        <f>IFERROR(__xludf.DUMMYFUNCTION("""COMPUTED_VALUE"""),"Real")</f>
        <v>Real</v>
      </c>
      <c r="G14120" s="8">
        <f t="shared" si="1"/>
        <v>6</v>
      </c>
      <c r="H14120" s="14">
        <f t="shared" si="2"/>
        <v>11</v>
      </c>
      <c r="I14120" s="15">
        <f t="shared" si="3"/>
        <v>8</v>
      </c>
    </row>
    <row r="14121">
      <c r="A14121" s="8" t="str">
        <f>IFERROR(__xludf.DUMMYFUNCTION("IF('(INGESTA)Datos_consumo_datadis'!A14121&lt;&gt;"""",SPLIT('(INGESTA)Datos_consumo_datadis'!A:A,"",""),"""")"),"ES0031408323131005HX0F")</f>
        <v>ES0031408323131005HX0F</v>
      </c>
      <c r="B14121" s="12">
        <f>IFERROR(__xludf.DUMMYFUNCTION("""COMPUTED_VALUE"""),45454.0)</f>
        <v>45454</v>
      </c>
      <c r="C14121" s="13">
        <f>IFERROR(__xludf.DUMMYFUNCTION("""COMPUTED_VALUE"""),0.375)</f>
        <v>0.375</v>
      </c>
      <c r="D14121" s="8">
        <f>IFERROR(__xludf.DUMMYFUNCTION("""COMPUTED_VALUE"""),0.362)</f>
        <v>0.362</v>
      </c>
      <c r="E14121" s="8" t="str">
        <f>IFERROR(__xludf.DUMMYFUNCTION("""COMPUTED_VALUE"""),"Real")</f>
        <v>Real</v>
      </c>
      <c r="G14121" s="8">
        <f t="shared" si="1"/>
        <v>6</v>
      </c>
      <c r="H14121" s="14">
        <f t="shared" si="2"/>
        <v>11</v>
      </c>
      <c r="I14121" s="15">
        <f t="shared" si="3"/>
        <v>9</v>
      </c>
    </row>
    <row r="14122">
      <c r="A14122" s="8" t="str">
        <f>IFERROR(__xludf.DUMMYFUNCTION("IF('(INGESTA)Datos_consumo_datadis'!A14122&lt;&gt;"""",SPLIT('(INGESTA)Datos_consumo_datadis'!A:A,"",""),"""")"),"ES0031408323131005HX0F")</f>
        <v>ES0031408323131005HX0F</v>
      </c>
      <c r="B14122" s="12">
        <f>IFERROR(__xludf.DUMMYFUNCTION("""COMPUTED_VALUE"""),45454.0)</f>
        <v>45454</v>
      </c>
      <c r="C14122" s="13">
        <f>IFERROR(__xludf.DUMMYFUNCTION("""COMPUTED_VALUE"""),0.4166666666666667)</f>
        <v>0.4166666667</v>
      </c>
      <c r="D14122" s="8">
        <f>IFERROR(__xludf.DUMMYFUNCTION("""COMPUTED_VALUE"""),0.067)</f>
        <v>0.067</v>
      </c>
      <c r="E14122" s="8" t="str">
        <f>IFERROR(__xludf.DUMMYFUNCTION("""COMPUTED_VALUE"""),"Real")</f>
        <v>Real</v>
      </c>
      <c r="G14122" s="8">
        <f t="shared" si="1"/>
        <v>6</v>
      </c>
      <c r="H14122" s="14">
        <f t="shared" si="2"/>
        <v>11</v>
      </c>
      <c r="I14122" s="15">
        <f t="shared" si="3"/>
        <v>10</v>
      </c>
    </row>
    <row r="14123">
      <c r="A14123" s="8" t="str">
        <f>IFERROR(__xludf.DUMMYFUNCTION("IF('(INGESTA)Datos_consumo_datadis'!A14123&lt;&gt;"""",SPLIT('(INGESTA)Datos_consumo_datadis'!A:A,"",""),"""")"),"ES0031408323131005HX0F")</f>
        <v>ES0031408323131005HX0F</v>
      </c>
      <c r="B14123" s="12">
        <f>IFERROR(__xludf.DUMMYFUNCTION("""COMPUTED_VALUE"""),45454.0)</f>
        <v>45454</v>
      </c>
      <c r="C14123" s="13">
        <f>IFERROR(__xludf.DUMMYFUNCTION("""COMPUTED_VALUE"""),0.4583333333333333)</f>
        <v>0.4583333333</v>
      </c>
      <c r="D14123" s="8">
        <f>IFERROR(__xludf.DUMMYFUNCTION("""COMPUTED_VALUE"""),0.007)</f>
        <v>0.007</v>
      </c>
      <c r="E14123" s="8" t="str">
        <f>IFERROR(__xludf.DUMMYFUNCTION("""COMPUTED_VALUE"""),"Real")</f>
        <v>Real</v>
      </c>
      <c r="G14123" s="8">
        <f t="shared" si="1"/>
        <v>6</v>
      </c>
      <c r="H14123" s="14">
        <f t="shared" si="2"/>
        <v>11</v>
      </c>
      <c r="I14123" s="15">
        <f t="shared" si="3"/>
        <v>11</v>
      </c>
    </row>
    <row r="14124">
      <c r="A14124" s="8" t="str">
        <f>IFERROR(__xludf.DUMMYFUNCTION("IF('(INGESTA)Datos_consumo_datadis'!A14124&lt;&gt;"""",SPLIT('(INGESTA)Datos_consumo_datadis'!A:A,"",""),"""")"),"ES0031408323131005HX0F")</f>
        <v>ES0031408323131005HX0F</v>
      </c>
      <c r="B14124" s="12">
        <f>IFERROR(__xludf.DUMMYFUNCTION("""COMPUTED_VALUE"""),45454.0)</f>
        <v>45454</v>
      </c>
      <c r="C14124" s="13">
        <f>IFERROR(__xludf.DUMMYFUNCTION("""COMPUTED_VALUE"""),0.5)</f>
        <v>0.5</v>
      </c>
      <c r="D14124" s="8">
        <f>IFERROR(__xludf.DUMMYFUNCTION("""COMPUTED_VALUE"""),0.054)</f>
        <v>0.054</v>
      </c>
      <c r="E14124" s="8" t="str">
        <f>IFERROR(__xludf.DUMMYFUNCTION("""COMPUTED_VALUE"""),"Real")</f>
        <v>Real</v>
      </c>
      <c r="G14124" s="8">
        <f t="shared" si="1"/>
        <v>6</v>
      </c>
      <c r="H14124" s="14">
        <f t="shared" si="2"/>
        <v>11</v>
      </c>
      <c r="I14124" s="15">
        <f t="shared" si="3"/>
        <v>12</v>
      </c>
    </row>
    <row r="14125">
      <c r="A14125" s="8" t="str">
        <f>IFERROR(__xludf.DUMMYFUNCTION("IF('(INGESTA)Datos_consumo_datadis'!A14125&lt;&gt;"""",SPLIT('(INGESTA)Datos_consumo_datadis'!A:A,"",""),"""")"),"ES0031408323131005HX0F")</f>
        <v>ES0031408323131005HX0F</v>
      </c>
      <c r="B14125" s="12">
        <f>IFERROR(__xludf.DUMMYFUNCTION("""COMPUTED_VALUE"""),45454.0)</f>
        <v>45454</v>
      </c>
      <c r="C14125" s="13">
        <f>IFERROR(__xludf.DUMMYFUNCTION("""COMPUTED_VALUE"""),0.5416666666666666)</f>
        <v>0.5416666667</v>
      </c>
      <c r="D14125" s="8">
        <f>IFERROR(__xludf.DUMMYFUNCTION("""COMPUTED_VALUE"""),0.072)</f>
        <v>0.072</v>
      </c>
      <c r="E14125" s="8" t="str">
        <f>IFERROR(__xludf.DUMMYFUNCTION("""COMPUTED_VALUE"""),"Real")</f>
        <v>Real</v>
      </c>
      <c r="G14125" s="8">
        <f t="shared" si="1"/>
        <v>6</v>
      </c>
      <c r="H14125" s="14">
        <f t="shared" si="2"/>
        <v>11</v>
      </c>
      <c r="I14125" s="15">
        <f t="shared" si="3"/>
        <v>13</v>
      </c>
    </row>
    <row r="14126">
      <c r="A14126" s="8" t="str">
        <f>IFERROR(__xludf.DUMMYFUNCTION("IF('(INGESTA)Datos_consumo_datadis'!A14126&lt;&gt;"""",SPLIT('(INGESTA)Datos_consumo_datadis'!A:A,"",""),"""")"),"ES0031408323131005HX0F")</f>
        <v>ES0031408323131005HX0F</v>
      </c>
      <c r="B14126" s="12">
        <f>IFERROR(__xludf.DUMMYFUNCTION("""COMPUTED_VALUE"""),45454.0)</f>
        <v>45454</v>
      </c>
      <c r="C14126" s="13">
        <f>IFERROR(__xludf.DUMMYFUNCTION("""COMPUTED_VALUE"""),0.5833333333333334)</f>
        <v>0.5833333333</v>
      </c>
      <c r="D14126" s="8">
        <f>IFERROR(__xludf.DUMMYFUNCTION("""COMPUTED_VALUE"""),0.067)</f>
        <v>0.067</v>
      </c>
      <c r="E14126" s="8" t="str">
        <f>IFERROR(__xludf.DUMMYFUNCTION("""COMPUTED_VALUE"""),"Real")</f>
        <v>Real</v>
      </c>
      <c r="G14126" s="8">
        <f t="shared" si="1"/>
        <v>6</v>
      </c>
      <c r="H14126" s="14">
        <f t="shared" si="2"/>
        <v>11</v>
      </c>
      <c r="I14126" s="15">
        <f t="shared" si="3"/>
        <v>14</v>
      </c>
    </row>
    <row r="14127">
      <c r="A14127" s="8" t="str">
        <f>IFERROR(__xludf.DUMMYFUNCTION("IF('(INGESTA)Datos_consumo_datadis'!A14127&lt;&gt;"""",SPLIT('(INGESTA)Datos_consumo_datadis'!A:A,"",""),"""")"),"ES0031408323131005HX0F")</f>
        <v>ES0031408323131005HX0F</v>
      </c>
      <c r="B14127" s="12">
        <f>IFERROR(__xludf.DUMMYFUNCTION("""COMPUTED_VALUE"""),45454.0)</f>
        <v>45454</v>
      </c>
      <c r="C14127" s="13">
        <f>IFERROR(__xludf.DUMMYFUNCTION("""COMPUTED_VALUE"""),0.625)</f>
        <v>0.625</v>
      </c>
      <c r="D14127" s="8">
        <f>IFERROR(__xludf.DUMMYFUNCTION("""COMPUTED_VALUE"""),0.016)</f>
        <v>0.016</v>
      </c>
      <c r="E14127" s="8" t="str">
        <f>IFERROR(__xludf.DUMMYFUNCTION("""COMPUTED_VALUE"""),"Real")</f>
        <v>Real</v>
      </c>
      <c r="G14127" s="8">
        <f t="shared" si="1"/>
        <v>6</v>
      </c>
      <c r="H14127" s="14">
        <f t="shared" si="2"/>
        <v>11</v>
      </c>
      <c r="I14127" s="15">
        <f t="shared" si="3"/>
        <v>15</v>
      </c>
    </row>
    <row r="14128">
      <c r="A14128" s="8" t="str">
        <f>IFERROR(__xludf.DUMMYFUNCTION("IF('(INGESTA)Datos_consumo_datadis'!A14128&lt;&gt;"""",SPLIT('(INGESTA)Datos_consumo_datadis'!A:A,"",""),"""")"),"ES0031408323131005HX0F")</f>
        <v>ES0031408323131005HX0F</v>
      </c>
      <c r="B14128" s="12">
        <f>IFERROR(__xludf.DUMMYFUNCTION("""COMPUTED_VALUE"""),45454.0)</f>
        <v>45454</v>
      </c>
      <c r="C14128" s="13">
        <f>IFERROR(__xludf.DUMMYFUNCTION("""COMPUTED_VALUE"""),0.6666666666666666)</f>
        <v>0.6666666667</v>
      </c>
      <c r="D14128" s="8">
        <f>IFERROR(__xludf.DUMMYFUNCTION("""COMPUTED_VALUE"""),0.177)</f>
        <v>0.177</v>
      </c>
      <c r="E14128" s="8" t="str">
        <f>IFERROR(__xludf.DUMMYFUNCTION("""COMPUTED_VALUE"""),"Real")</f>
        <v>Real</v>
      </c>
      <c r="G14128" s="8">
        <f t="shared" si="1"/>
        <v>6</v>
      </c>
      <c r="H14128" s="14">
        <f t="shared" si="2"/>
        <v>11</v>
      </c>
      <c r="I14128" s="15">
        <f t="shared" si="3"/>
        <v>16</v>
      </c>
    </row>
    <row r="14129">
      <c r="A14129" s="8" t="str">
        <f>IFERROR(__xludf.DUMMYFUNCTION("IF('(INGESTA)Datos_consumo_datadis'!A14129&lt;&gt;"""",SPLIT('(INGESTA)Datos_consumo_datadis'!A:A,"",""),"""")"),"ES0031408323131005HX0F")</f>
        <v>ES0031408323131005HX0F</v>
      </c>
      <c r="B14129" s="12">
        <f>IFERROR(__xludf.DUMMYFUNCTION("""COMPUTED_VALUE"""),45454.0)</f>
        <v>45454</v>
      </c>
      <c r="C14129" s="13">
        <f>IFERROR(__xludf.DUMMYFUNCTION("""COMPUTED_VALUE"""),0.7083333333333334)</f>
        <v>0.7083333333</v>
      </c>
      <c r="D14129" s="8">
        <f>IFERROR(__xludf.DUMMYFUNCTION("""COMPUTED_VALUE"""),0.213)</f>
        <v>0.213</v>
      </c>
      <c r="E14129" s="8" t="str">
        <f>IFERROR(__xludf.DUMMYFUNCTION("""COMPUTED_VALUE"""),"Real")</f>
        <v>Real</v>
      </c>
      <c r="G14129" s="8">
        <f t="shared" si="1"/>
        <v>6</v>
      </c>
      <c r="H14129" s="14">
        <f t="shared" si="2"/>
        <v>11</v>
      </c>
      <c r="I14129" s="15">
        <f t="shared" si="3"/>
        <v>17</v>
      </c>
    </row>
    <row r="14130">
      <c r="A14130" s="8" t="str">
        <f>IFERROR(__xludf.DUMMYFUNCTION("IF('(INGESTA)Datos_consumo_datadis'!A14130&lt;&gt;"""",SPLIT('(INGESTA)Datos_consumo_datadis'!A:A,"",""),"""")"),"ES0031408323131005HX0F")</f>
        <v>ES0031408323131005HX0F</v>
      </c>
      <c r="B14130" s="12">
        <f>IFERROR(__xludf.DUMMYFUNCTION("""COMPUTED_VALUE"""),45454.0)</f>
        <v>45454</v>
      </c>
      <c r="C14130" s="13">
        <f>IFERROR(__xludf.DUMMYFUNCTION("""COMPUTED_VALUE"""),0.75)</f>
        <v>0.75</v>
      </c>
      <c r="D14130" s="8">
        <f>IFERROR(__xludf.DUMMYFUNCTION("""COMPUTED_VALUE"""),0.057)</f>
        <v>0.057</v>
      </c>
      <c r="E14130" s="8" t="str">
        <f>IFERROR(__xludf.DUMMYFUNCTION("""COMPUTED_VALUE"""),"Real")</f>
        <v>Real</v>
      </c>
      <c r="G14130" s="8">
        <f t="shared" si="1"/>
        <v>6</v>
      </c>
      <c r="H14130" s="14">
        <f t="shared" si="2"/>
        <v>11</v>
      </c>
      <c r="I14130" s="15">
        <f t="shared" si="3"/>
        <v>18</v>
      </c>
    </row>
    <row r="14131">
      <c r="A14131" s="8" t="str">
        <f>IFERROR(__xludf.DUMMYFUNCTION("IF('(INGESTA)Datos_consumo_datadis'!A14131&lt;&gt;"""",SPLIT('(INGESTA)Datos_consumo_datadis'!A:A,"",""),"""")"),"ES0031408323131005HX0F")</f>
        <v>ES0031408323131005HX0F</v>
      </c>
      <c r="B14131" s="12">
        <f>IFERROR(__xludf.DUMMYFUNCTION("""COMPUTED_VALUE"""),45454.0)</f>
        <v>45454</v>
      </c>
      <c r="C14131" s="13">
        <f>IFERROR(__xludf.DUMMYFUNCTION("""COMPUTED_VALUE"""),0.7916666666666666)</f>
        <v>0.7916666667</v>
      </c>
      <c r="D14131" s="8">
        <f>IFERROR(__xludf.DUMMYFUNCTION("""COMPUTED_VALUE"""),0.024)</f>
        <v>0.024</v>
      </c>
      <c r="E14131" s="8" t="str">
        <f>IFERROR(__xludf.DUMMYFUNCTION("""COMPUTED_VALUE"""),"Real")</f>
        <v>Real</v>
      </c>
      <c r="G14131" s="8">
        <f t="shared" si="1"/>
        <v>6</v>
      </c>
      <c r="H14131" s="14">
        <f t="shared" si="2"/>
        <v>11</v>
      </c>
      <c r="I14131" s="15">
        <f t="shared" si="3"/>
        <v>19</v>
      </c>
    </row>
    <row r="14132">
      <c r="A14132" s="8" t="str">
        <f>IFERROR(__xludf.DUMMYFUNCTION("IF('(INGESTA)Datos_consumo_datadis'!A14132&lt;&gt;"""",SPLIT('(INGESTA)Datos_consumo_datadis'!A:A,"",""),"""")"),"ES0031408323131005HX0F")</f>
        <v>ES0031408323131005HX0F</v>
      </c>
      <c r="B14132" s="12">
        <f>IFERROR(__xludf.DUMMYFUNCTION("""COMPUTED_VALUE"""),45454.0)</f>
        <v>45454</v>
      </c>
      <c r="C14132" s="13">
        <f>IFERROR(__xludf.DUMMYFUNCTION("""COMPUTED_VALUE"""),0.8333333333333334)</f>
        <v>0.8333333333</v>
      </c>
      <c r="D14132" s="8">
        <f>IFERROR(__xludf.DUMMYFUNCTION("""COMPUTED_VALUE"""),0.029)</f>
        <v>0.029</v>
      </c>
      <c r="E14132" s="8" t="str">
        <f>IFERROR(__xludf.DUMMYFUNCTION("""COMPUTED_VALUE"""),"Real")</f>
        <v>Real</v>
      </c>
      <c r="G14132" s="8">
        <f t="shared" si="1"/>
        <v>6</v>
      </c>
      <c r="H14132" s="14">
        <f t="shared" si="2"/>
        <v>11</v>
      </c>
      <c r="I14132" s="15">
        <f t="shared" si="3"/>
        <v>20</v>
      </c>
    </row>
    <row r="14133">
      <c r="A14133" s="8" t="str">
        <f>IFERROR(__xludf.DUMMYFUNCTION("IF('(INGESTA)Datos_consumo_datadis'!A14133&lt;&gt;"""",SPLIT('(INGESTA)Datos_consumo_datadis'!A:A,"",""),"""")"),"ES0031408323131005HX0F")</f>
        <v>ES0031408323131005HX0F</v>
      </c>
      <c r="B14133" s="12">
        <f>IFERROR(__xludf.DUMMYFUNCTION("""COMPUTED_VALUE"""),45454.0)</f>
        <v>45454</v>
      </c>
      <c r="C14133" s="13">
        <f>IFERROR(__xludf.DUMMYFUNCTION("""COMPUTED_VALUE"""),0.875)</f>
        <v>0.875</v>
      </c>
      <c r="D14133" s="8">
        <f>IFERROR(__xludf.DUMMYFUNCTION("""COMPUTED_VALUE"""),0.093)</f>
        <v>0.093</v>
      </c>
      <c r="E14133" s="8" t="str">
        <f>IFERROR(__xludf.DUMMYFUNCTION("""COMPUTED_VALUE"""),"Real")</f>
        <v>Real</v>
      </c>
      <c r="G14133" s="8">
        <f t="shared" si="1"/>
        <v>6</v>
      </c>
      <c r="H14133" s="14">
        <f t="shared" si="2"/>
        <v>11</v>
      </c>
      <c r="I14133" s="15">
        <f t="shared" si="3"/>
        <v>21</v>
      </c>
    </row>
    <row r="14134">
      <c r="A14134" s="8" t="str">
        <f>IFERROR(__xludf.DUMMYFUNCTION("IF('(INGESTA)Datos_consumo_datadis'!A14134&lt;&gt;"""",SPLIT('(INGESTA)Datos_consumo_datadis'!A:A,"",""),"""")"),"ES0031408323131005HX0F")</f>
        <v>ES0031408323131005HX0F</v>
      </c>
      <c r="B14134" s="12">
        <f>IFERROR(__xludf.DUMMYFUNCTION("""COMPUTED_VALUE"""),45454.0)</f>
        <v>45454</v>
      </c>
      <c r="C14134" s="13">
        <f>IFERROR(__xludf.DUMMYFUNCTION("""COMPUTED_VALUE"""),0.9166666666666666)</f>
        <v>0.9166666667</v>
      </c>
      <c r="D14134" s="8">
        <f>IFERROR(__xludf.DUMMYFUNCTION("""COMPUTED_VALUE"""),0.047)</f>
        <v>0.047</v>
      </c>
      <c r="E14134" s="8" t="str">
        <f>IFERROR(__xludf.DUMMYFUNCTION("""COMPUTED_VALUE"""),"Real")</f>
        <v>Real</v>
      </c>
      <c r="G14134" s="8">
        <f t="shared" si="1"/>
        <v>6</v>
      </c>
      <c r="H14134" s="14">
        <f t="shared" si="2"/>
        <v>11</v>
      </c>
      <c r="I14134" s="15">
        <f t="shared" si="3"/>
        <v>22</v>
      </c>
    </row>
    <row r="14135">
      <c r="A14135" s="8" t="str">
        <f>IFERROR(__xludf.DUMMYFUNCTION("IF('(INGESTA)Datos_consumo_datadis'!A14135&lt;&gt;"""",SPLIT('(INGESTA)Datos_consumo_datadis'!A:A,"",""),"""")"),"ES0031408323131005HX0F")</f>
        <v>ES0031408323131005HX0F</v>
      </c>
      <c r="B14135" s="12">
        <f>IFERROR(__xludf.DUMMYFUNCTION("""COMPUTED_VALUE"""),45454.0)</f>
        <v>45454</v>
      </c>
      <c r="C14135" s="13">
        <f>IFERROR(__xludf.DUMMYFUNCTION("""COMPUTED_VALUE"""),0.9583333333333334)</f>
        <v>0.9583333333</v>
      </c>
      <c r="D14135" s="8">
        <f>IFERROR(__xludf.DUMMYFUNCTION("""COMPUTED_VALUE"""),0.312)</f>
        <v>0.312</v>
      </c>
      <c r="E14135" s="8" t="str">
        <f>IFERROR(__xludf.DUMMYFUNCTION("""COMPUTED_VALUE"""),"Real")</f>
        <v>Real</v>
      </c>
      <c r="G14135" s="8">
        <f t="shared" si="1"/>
        <v>6</v>
      </c>
      <c r="H14135" s="14">
        <f t="shared" si="2"/>
        <v>11</v>
      </c>
      <c r="I14135" s="15">
        <f t="shared" si="3"/>
        <v>23</v>
      </c>
    </row>
    <row r="14136">
      <c r="A14136" s="8" t="str">
        <f>IFERROR(__xludf.DUMMYFUNCTION("IF('(INGESTA)Datos_consumo_datadis'!A14136&lt;&gt;"""",SPLIT('(INGESTA)Datos_consumo_datadis'!A:A,"",""),"""")"),"ES0031408323131005HX0F")</f>
        <v>ES0031408323131005HX0F</v>
      </c>
      <c r="B14136" s="12">
        <f>IFERROR(__xludf.DUMMYFUNCTION("""COMPUTED_VALUE"""),45454.0)</f>
        <v>45454</v>
      </c>
      <c r="C14136" s="16">
        <f>IFERROR(__xludf.DUMMYFUNCTION("""COMPUTED_VALUE"""),1.0)</f>
        <v>1</v>
      </c>
      <c r="D14136" s="8">
        <f>IFERROR(__xludf.DUMMYFUNCTION("""COMPUTED_VALUE"""),0.016)</f>
        <v>0.016</v>
      </c>
      <c r="E14136" s="8" t="str">
        <f>IFERROR(__xludf.DUMMYFUNCTION("""COMPUTED_VALUE"""),"Real")</f>
        <v>Real</v>
      </c>
      <c r="G14136" s="8">
        <f t="shared" si="1"/>
        <v>6</v>
      </c>
      <c r="H14136" s="14">
        <f t="shared" si="2"/>
        <v>11</v>
      </c>
      <c r="I14136" s="15">
        <f t="shared" si="3"/>
        <v>0</v>
      </c>
    </row>
    <row r="14137">
      <c r="A14137" s="8" t="str">
        <f>IFERROR(__xludf.DUMMYFUNCTION("IF('(INGESTA)Datos_consumo_datadis'!A14137&lt;&gt;"""",SPLIT('(INGESTA)Datos_consumo_datadis'!A:A,"",""),"""")"),"ES0031408323131005HX0F")</f>
        <v>ES0031408323131005HX0F</v>
      </c>
      <c r="B14137" s="12">
        <f>IFERROR(__xludf.DUMMYFUNCTION("""COMPUTED_VALUE"""),45455.0)</f>
        <v>45455</v>
      </c>
      <c r="C14137" s="13">
        <f>IFERROR(__xludf.DUMMYFUNCTION("""COMPUTED_VALUE"""),0.041666666666666664)</f>
        <v>0.04166666667</v>
      </c>
      <c r="D14137" s="8">
        <f>IFERROR(__xludf.DUMMYFUNCTION("""COMPUTED_VALUE"""),0.105)</f>
        <v>0.105</v>
      </c>
      <c r="E14137" s="8" t="str">
        <f>IFERROR(__xludf.DUMMYFUNCTION("""COMPUTED_VALUE"""),"Real")</f>
        <v>Real</v>
      </c>
      <c r="G14137" s="8">
        <f t="shared" si="1"/>
        <v>6</v>
      </c>
      <c r="H14137" s="14">
        <f t="shared" si="2"/>
        <v>12</v>
      </c>
      <c r="I14137" s="15">
        <f t="shared" si="3"/>
        <v>1</v>
      </c>
    </row>
    <row r="14138">
      <c r="A14138" s="8" t="str">
        <f>IFERROR(__xludf.DUMMYFUNCTION("IF('(INGESTA)Datos_consumo_datadis'!A14138&lt;&gt;"""",SPLIT('(INGESTA)Datos_consumo_datadis'!A:A,"",""),"""")"),"ES0031408323131005HX0F")</f>
        <v>ES0031408323131005HX0F</v>
      </c>
      <c r="B14138" s="12">
        <f>IFERROR(__xludf.DUMMYFUNCTION("""COMPUTED_VALUE"""),45455.0)</f>
        <v>45455</v>
      </c>
      <c r="C14138" s="13">
        <f>IFERROR(__xludf.DUMMYFUNCTION("""COMPUTED_VALUE"""),0.08333333333333333)</f>
        <v>0.08333333333</v>
      </c>
      <c r="D14138" s="8">
        <f>IFERROR(__xludf.DUMMYFUNCTION("""COMPUTED_VALUE"""),0.04)</f>
        <v>0.04</v>
      </c>
      <c r="E14138" s="8" t="str">
        <f>IFERROR(__xludf.DUMMYFUNCTION("""COMPUTED_VALUE"""),"Real")</f>
        <v>Real</v>
      </c>
      <c r="G14138" s="8">
        <f t="shared" si="1"/>
        <v>6</v>
      </c>
      <c r="H14138" s="14">
        <f t="shared" si="2"/>
        <v>12</v>
      </c>
      <c r="I14138" s="15">
        <f t="shared" si="3"/>
        <v>2</v>
      </c>
    </row>
    <row r="14139">
      <c r="A14139" s="8" t="str">
        <f>IFERROR(__xludf.DUMMYFUNCTION("IF('(INGESTA)Datos_consumo_datadis'!A14139&lt;&gt;"""",SPLIT('(INGESTA)Datos_consumo_datadis'!A:A,"",""),"""")"),"ES0031408323131005HX0F")</f>
        <v>ES0031408323131005HX0F</v>
      </c>
      <c r="B14139" s="12">
        <f>IFERROR(__xludf.DUMMYFUNCTION("""COMPUTED_VALUE"""),45455.0)</f>
        <v>45455</v>
      </c>
      <c r="C14139" s="13">
        <f>IFERROR(__xludf.DUMMYFUNCTION("""COMPUTED_VALUE"""),0.125)</f>
        <v>0.125</v>
      </c>
      <c r="D14139" s="8">
        <f>IFERROR(__xludf.DUMMYFUNCTION("""COMPUTED_VALUE"""),0.04)</f>
        <v>0.04</v>
      </c>
      <c r="E14139" s="8" t="str">
        <f>IFERROR(__xludf.DUMMYFUNCTION("""COMPUTED_VALUE"""),"Real")</f>
        <v>Real</v>
      </c>
      <c r="G14139" s="8">
        <f t="shared" si="1"/>
        <v>6</v>
      </c>
      <c r="H14139" s="14">
        <f t="shared" si="2"/>
        <v>12</v>
      </c>
      <c r="I14139" s="15">
        <f t="shared" si="3"/>
        <v>3</v>
      </c>
    </row>
    <row r="14140">
      <c r="A14140" s="8" t="str">
        <f>IFERROR(__xludf.DUMMYFUNCTION("IF('(INGESTA)Datos_consumo_datadis'!A14140&lt;&gt;"""",SPLIT('(INGESTA)Datos_consumo_datadis'!A:A,"",""),"""")"),"ES0031408323131005HX0F")</f>
        <v>ES0031408323131005HX0F</v>
      </c>
      <c r="B14140" s="12">
        <f>IFERROR(__xludf.DUMMYFUNCTION("""COMPUTED_VALUE"""),45455.0)</f>
        <v>45455</v>
      </c>
      <c r="C14140" s="13">
        <f>IFERROR(__xludf.DUMMYFUNCTION("""COMPUTED_VALUE"""),0.16666666666666666)</f>
        <v>0.1666666667</v>
      </c>
      <c r="D14140" s="8">
        <f>IFERROR(__xludf.DUMMYFUNCTION("""COMPUTED_VALUE"""),0.006)</f>
        <v>0.006</v>
      </c>
      <c r="E14140" s="8" t="str">
        <f>IFERROR(__xludf.DUMMYFUNCTION("""COMPUTED_VALUE"""),"Real")</f>
        <v>Real</v>
      </c>
      <c r="G14140" s="8">
        <f t="shared" si="1"/>
        <v>6</v>
      </c>
      <c r="H14140" s="14">
        <f t="shared" si="2"/>
        <v>12</v>
      </c>
      <c r="I14140" s="15">
        <f t="shared" si="3"/>
        <v>4</v>
      </c>
    </row>
    <row r="14141">
      <c r="A14141" s="8" t="str">
        <f>IFERROR(__xludf.DUMMYFUNCTION("IF('(INGESTA)Datos_consumo_datadis'!A14141&lt;&gt;"""",SPLIT('(INGESTA)Datos_consumo_datadis'!A:A,"",""),"""")"),"ES0031408323131005HX0F")</f>
        <v>ES0031408323131005HX0F</v>
      </c>
      <c r="B14141" s="12">
        <f>IFERROR(__xludf.DUMMYFUNCTION("""COMPUTED_VALUE"""),45455.0)</f>
        <v>45455</v>
      </c>
      <c r="C14141" s="13">
        <f>IFERROR(__xludf.DUMMYFUNCTION("""COMPUTED_VALUE"""),0.20833333333333334)</f>
        <v>0.2083333333</v>
      </c>
      <c r="D14141" s="8">
        <f>IFERROR(__xludf.DUMMYFUNCTION("""COMPUTED_VALUE"""),0.106)</f>
        <v>0.106</v>
      </c>
      <c r="E14141" s="8" t="str">
        <f>IFERROR(__xludf.DUMMYFUNCTION("""COMPUTED_VALUE"""),"Real")</f>
        <v>Real</v>
      </c>
      <c r="G14141" s="8">
        <f t="shared" si="1"/>
        <v>6</v>
      </c>
      <c r="H14141" s="14">
        <f t="shared" si="2"/>
        <v>12</v>
      </c>
      <c r="I14141" s="15">
        <f t="shared" si="3"/>
        <v>5</v>
      </c>
    </row>
    <row r="14142">
      <c r="A14142" s="8" t="str">
        <f>IFERROR(__xludf.DUMMYFUNCTION("IF('(INGESTA)Datos_consumo_datadis'!A14142&lt;&gt;"""",SPLIT('(INGESTA)Datos_consumo_datadis'!A:A,"",""),"""")"),"ES0031408323131005HX0F")</f>
        <v>ES0031408323131005HX0F</v>
      </c>
      <c r="B14142" s="12">
        <f>IFERROR(__xludf.DUMMYFUNCTION("""COMPUTED_VALUE"""),45455.0)</f>
        <v>45455</v>
      </c>
      <c r="C14142" s="13">
        <f>IFERROR(__xludf.DUMMYFUNCTION("""COMPUTED_VALUE"""),0.25)</f>
        <v>0.25</v>
      </c>
      <c r="D14142" s="8">
        <f>IFERROR(__xludf.DUMMYFUNCTION("""COMPUTED_VALUE"""),0.327)</f>
        <v>0.327</v>
      </c>
      <c r="E14142" s="8" t="str">
        <f>IFERROR(__xludf.DUMMYFUNCTION("""COMPUTED_VALUE"""),"Real")</f>
        <v>Real</v>
      </c>
      <c r="G14142" s="8">
        <f t="shared" si="1"/>
        <v>6</v>
      </c>
      <c r="H14142" s="14">
        <f t="shared" si="2"/>
        <v>12</v>
      </c>
      <c r="I14142" s="15">
        <f t="shared" si="3"/>
        <v>6</v>
      </c>
    </row>
    <row r="14143">
      <c r="A14143" s="8" t="str">
        <f>IFERROR(__xludf.DUMMYFUNCTION("IF('(INGESTA)Datos_consumo_datadis'!A14143&lt;&gt;"""",SPLIT('(INGESTA)Datos_consumo_datadis'!A:A,"",""),"""")"),"ES0031408323131005HX0F")</f>
        <v>ES0031408323131005HX0F</v>
      </c>
      <c r="B14143" s="12">
        <f>IFERROR(__xludf.DUMMYFUNCTION("""COMPUTED_VALUE"""),45455.0)</f>
        <v>45455</v>
      </c>
      <c r="C14143" s="13">
        <f>IFERROR(__xludf.DUMMYFUNCTION("""COMPUTED_VALUE"""),0.2916666666666667)</f>
        <v>0.2916666667</v>
      </c>
      <c r="D14143" s="8">
        <f>IFERROR(__xludf.DUMMYFUNCTION("""COMPUTED_VALUE"""),0.039)</f>
        <v>0.039</v>
      </c>
      <c r="E14143" s="8" t="str">
        <f>IFERROR(__xludf.DUMMYFUNCTION("""COMPUTED_VALUE"""),"Real")</f>
        <v>Real</v>
      </c>
      <c r="G14143" s="8">
        <f t="shared" si="1"/>
        <v>6</v>
      </c>
      <c r="H14143" s="14">
        <f t="shared" si="2"/>
        <v>12</v>
      </c>
      <c r="I14143" s="15">
        <f t="shared" si="3"/>
        <v>7</v>
      </c>
    </row>
    <row r="14144">
      <c r="A14144" s="8" t="str">
        <f>IFERROR(__xludf.DUMMYFUNCTION("IF('(INGESTA)Datos_consumo_datadis'!A14144&lt;&gt;"""",SPLIT('(INGESTA)Datos_consumo_datadis'!A:A,"",""),"""")"),"ES0031408323131005HX0F")</f>
        <v>ES0031408323131005HX0F</v>
      </c>
      <c r="B14144" s="12">
        <f>IFERROR(__xludf.DUMMYFUNCTION("""COMPUTED_VALUE"""),45455.0)</f>
        <v>45455</v>
      </c>
      <c r="C14144" s="13">
        <f>IFERROR(__xludf.DUMMYFUNCTION("""COMPUTED_VALUE"""),0.3333333333333333)</f>
        <v>0.3333333333</v>
      </c>
      <c r="D14144" s="8">
        <f>IFERROR(__xludf.DUMMYFUNCTION("""COMPUTED_VALUE"""),0.006)</f>
        <v>0.006</v>
      </c>
      <c r="E14144" s="8" t="str">
        <f>IFERROR(__xludf.DUMMYFUNCTION("""COMPUTED_VALUE"""),"Real")</f>
        <v>Real</v>
      </c>
      <c r="G14144" s="8">
        <f t="shared" si="1"/>
        <v>6</v>
      </c>
      <c r="H14144" s="14">
        <f t="shared" si="2"/>
        <v>12</v>
      </c>
      <c r="I14144" s="15">
        <f t="shared" si="3"/>
        <v>8</v>
      </c>
    </row>
    <row r="14145">
      <c r="A14145" s="8" t="str">
        <f>IFERROR(__xludf.DUMMYFUNCTION("IF('(INGESTA)Datos_consumo_datadis'!A14145&lt;&gt;"""",SPLIT('(INGESTA)Datos_consumo_datadis'!A:A,"",""),"""")"),"ES0031408323131005HX0F")</f>
        <v>ES0031408323131005HX0F</v>
      </c>
      <c r="B14145" s="12">
        <f>IFERROR(__xludf.DUMMYFUNCTION("""COMPUTED_VALUE"""),45455.0)</f>
        <v>45455</v>
      </c>
      <c r="C14145" s="13">
        <f>IFERROR(__xludf.DUMMYFUNCTION("""COMPUTED_VALUE"""),0.375)</f>
        <v>0.375</v>
      </c>
      <c r="D14145" s="8">
        <f>IFERROR(__xludf.DUMMYFUNCTION("""COMPUTED_VALUE"""),0.093)</f>
        <v>0.093</v>
      </c>
      <c r="E14145" s="8" t="str">
        <f>IFERROR(__xludf.DUMMYFUNCTION("""COMPUTED_VALUE"""),"Real")</f>
        <v>Real</v>
      </c>
      <c r="G14145" s="8">
        <f t="shared" si="1"/>
        <v>6</v>
      </c>
      <c r="H14145" s="14">
        <f t="shared" si="2"/>
        <v>12</v>
      </c>
      <c r="I14145" s="15">
        <f t="shared" si="3"/>
        <v>9</v>
      </c>
    </row>
    <row r="14146">
      <c r="A14146" s="8" t="str">
        <f>IFERROR(__xludf.DUMMYFUNCTION("IF('(INGESTA)Datos_consumo_datadis'!A14146&lt;&gt;"""",SPLIT('(INGESTA)Datos_consumo_datadis'!A:A,"",""),"""")"),"ES0031408323131005HX0F")</f>
        <v>ES0031408323131005HX0F</v>
      </c>
      <c r="B14146" s="12">
        <f>IFERROR(__xludf.DUMMYFUNCTION("""COMPUTED_VALUE"""),45455.0)</f>
        <v>45455</v>
      </c>
      <c r="C14146" s="13">
        <f>IFERROR(__xludf.DUMMYFUNCTION("""COMPUTED_VALUE"""),0.4166666666666667)</f>
        <v>0.4166666667</v>
      </c>
      <c r="D14146" s="8">
        <f>IFERROR(__xludf.DUMMYFUNCTION("""COMPUTED_VALUE"""),0.06)</f>
        <v>0.06</v>
      </c>
      <c r="E14146" s="8" t="str">
        <f>IFERROR(__xludf.DUMMYFUNCTION("""COMPUTED_VALUE"""),"Real")</f>
        <v>Real</v>
      </c>
      <c r="G14146" s="8">
        <f t="shared" si="1"/>
        <v>6</v>
      </c>
      <c r="H14146" s="14">
        <f t="shared" si="2"/>
        <v>12</v>
      </c>
      <c r="I14146" s="15">
        <f t="shared" si="3"/>
        <v>10</v>
      </c>
    </row>
    <row r="14147">
      <c r="A14147" s="8" t="str">
        <f>IFERROR(__xludf.DUMMYFUNCTION("IF('(INGESTA)Datos_consumo_datadis'!A14147&lt;&gt;"""",SPLIT('(INGESTA)Datos_consumo_datadis'!A:A,"",""),"""")"),"ES0031408323131005HX0F")</f>
        <v>ES0031408323131005HX0F</v>
      </c>
      <c r="B14147" s="12">
        <f>IFERROR(__xludf.DUMMYFUNCTION("""COMPUTED_VALUE"""),45455.0)</f>
        <v>45455</v>
      </c>
      <c r="C14147" s="13">
        <f>IFERROR(__xludf.DUMMYFUNCTION("""COMPUTED_VALUE"""),0.4583333333333333)</f>
        <v>0.4583333333</v>
      </c>
      <c r="D14147" s="8">
        <f>IFERROR(__xludf.DUMMYFUNCTION("""COMPUTED_VALUE"""),0.039)</f>
        <v>0.039</v>
      </c>
      <c r="E14147" s="8" t="str">
        <f>IFERROR(__xludf.DUMMYFUNCTION("""COMPUTED_VALUE"""),"Real")</f>
        <v>Real</v>
      </c>
      <c r="G14147" s="8">
        <f t="shared" si="1"/>
        <v>6</v>
      </c>
      <c r="H14147" s="14">
        <f t="shared" si="2"/>
        <v>12</v>
      </c>
      <c r="I14147" s="15">
        <f t="shared" si="3"/>
        <v>11</v>
      </c>
    </row>
    <row r="14148">
      <c r="A14148" s="8" t="str">
        <f>IFERROR(__xludf.DUMMYFUNCTION("IF('(INGESTA)Datos_consumo_datadis'!A14148&lt;&gt;"""",SPLIT('(INGESTA)Datos_consumo_datadis'!A:A,"",""),"""")"),"ES0031408323131005HX0F")</f>
        <v>ES0031408323131005HX0F</v>
      </c>
      <c r="B14148" s="12">
        <f>IFERROR(__xludf.DUMMYFUNCTION("""COMPUTED_VALUE"""),45455.0)</f>
        <v>45455</v>
      </c>
      <c r="C14148" s="13">
        <f>IFERROR(__xludf.DUMMYFUNCTION("""COMPUTED_VALUE"""),0.5)</f>
        <v>0.5</v>
      </c>
      <c r="D14148" s="8">
        <f>IFERROR(__xludf.DUMMYFUNCTION("""COMPUTED_VALUE"""),0.006)</f>
        <v>0.006</v>
      </c>
      <c r="E14148" s="8" t="str">
        <f>IFERROR(__xludf.DUMMYFUNCTION("""COMPUTED_VALUE"""),"Real")</f>
        <v>Real</v>
      </c>
      <c r="G14148" s="8">
        <f t="shared" si="1"/>
        <v>6</v>
      </c>
      <c r="H14148" s="14">
        <f t="shared" si="2"/>
        <v>12</v>
      </c>
      <c r="I14148" s="15">
        <f t="shared" si="3"/>
        <v>12</v>
      </c>
    </row>
    <row r="14149">
      <c r="A14149" s="8" t="str">
        <f>IFERROR(__xludf.DUMMYFUNCTION("IF('(INGESTA)Datos_consumo_datadis'!A14149&lt;&gt;"""",SPLIT('(INGESTA)Datos_consumo_datadis'!A:A,"",""),"""")"),"ES0031408323131005HX0F")</f>
        <v>ES0031408323131005HX0F</v>
      </c>
      <c r="B14149" s="12">
        <f>IFERROR(__xludf.DUMMYFUNCTION("""COMPUTED_VALUE"""),45455.0)</f>
        <v>45455</v>
      </c>
      <c r="C14149" s="13">
        <f>IFERROR(__xludf.DUMMYFUNCTION("""COMPUTED_VALUE"""),0.5416666666666666)</f>
        <v>0.5416666667</v>
      </c>
      <c r="D14149" s="8">
        <f>IFERROR(__xludf.DUMMYFUNCTION("""COMPUTED_VALUE"""),0.355)</f>
        <v>0.355</v>
      </c>
      <c r="E14149" s="8" t="str">
        <f>IFERROR(__xludf.DUMMYFUNCTION("""COMPUTED_VALUE"""),"Real")</f>
        <v>Real</v>
      </c>
      <c r="G14149" s="8">
        <f t="shared" si="1"/>
        <v>6</v>
      </c>
      <c r="H14149" s="14">
        <f t="shared" si="2"/>
        <v>12</v>
      </c>
      <c r="I14149" s="15">
        <f t="shared" si="3"/>
        <v>13</v>
      </c>
    </row>
    <row r="14150">
      <c r="A14150" s="8" t="str">
        <f>IFERROR(__xludf.DUMMYFUNCTION("IF('(INGESTA)Datos_consumo_datadis'!A14150&lt;&gt;"""",SPLIT('(INGESTA)Datos_consumo_datadis'!A:A,"",""),"""")"),"ES0031408323131005HX0F")</f>
        <v>ES0031408323131005HX0F</v>
      </c>
      <c r="B14150" s="12">
        <f>IFERROR(__xludf.DUMMYFUNCTION("""COMPUTED_VALUE"""),45455.0)</f>
        <v>45455</v>
      </c>
      <c r="C14150" s="13">
        <f>IFERROR(__xludf.DUMMYFUNCTION("""COMPUTED_VALUE"""),0.5833333333333334)</f>
        <v>0.5833333333</v>
      </c>
      <c r="D14150" s="8">
        <f>IFERROR(__xludf.DUMMYFUNCTION("""COMPUTED_VALUE"""),0.067)</f>
        <v>0.067</v>
      </c>
      <c r="E14150" s="8" t="str">
        <f>IFERROR(__xludf.DUMMYFUNCTION("""COMPUTED_VALUE"""),"Real")</f>
        <v>Real</v>
      </c>
      <c r="G14150" s="8">
        <f t="shared" si="1"/>
        <v>6</v>
      </c>
      <c r="H14150" s="14">
        <f t="shared" si="2"/>
        <v>12</v>
      </c>
      <c r="I14150" s="15">
        <f t="shared" si="3"/>
        <v>14</v>
      </c>
    </row>
    <row r="14151">
      <c r="A14151" s="8" t="str">
        <f>IFERROR(__xludf.DUMMYFUNCTION("IF('(INGESTA)Datos_consumo_datadis'!A14151&lt;&gt;"""",SPLIT('(INGESTA)Datos_consumo_datadis'!A:A,"",""),"""")"),"ES0031408323131005HX0F")</f>
        <v>ES0031408323131005HX0F</v>
      </c>
      <c r="B14151" s="12">
        <f>IFERROR(__xludf.DUMMYFUNCTION("""COMPUTED_VALUE"""),45455.0)</f>
        <v>45455</v>
      </c>
      <c r="C14151" s="13">
        <f>IFERROR(__xludf.DUMMYFUNCTION("""COMPUTED_VALUE"""),0.625)</f>
        <v>0.625</v>
      </c>
      <c r="D14151" s="8">
        <f>IFERROR(__xludf.DUMMYFUNCTION("""COMPUTED_VALUE"""),0.043)</f>
        <v>0.043</v>
      </c>
      <c r="E14151" s="8" t="str">
        <f>IFERROR(__xludf.DUMMYFUNCTION("""COMPUTED_VALUE"""),"Real")</f>
        <v>Real</v>
      </c>
      <c r="G14151" s="8">
        <f t="shared" si="1"/>
        <v>6</v>
      </c>
      <c r="H14151" s="14">
        <f t="shared" si="2"/>
        <v>12</v>
      </c>
      <c r="I14151" s="15">
        <f t="shared" si="3"/>
        <v>15</v>
      </c>
    </row>
    <row r="14152">
      <c r="A14152" s="8" t="str">
        <f>IFERROR(__xludf.DUMMYFUNCTION("IF('(INGESTA)Datos_consumo_datadis'!A14152&lt;&gt;"""",SPLIT('(INGESTA)Datos_consumo_datadis'!A:A,"",""),"""")"),"ES0031408323131005HX0F")</f>
        <v>ES0031408323131005HX0F</v>
      </c>
      <c r="B14152" s="12">
        <f>IFERROR(__xludf.DUMMYFUNCTION("""COMPUTED_VALUE"""),45455.0)</f>
        <v>45455</v>
      </c>
      <c r="C14152" s="13">
        <f>IFERROR(__xludf.DUMMYFUNCTION("""COMPUTED_VALUE"""),0.6666666666666666)</f>
        <v>0.6666666667</v>
      </c>
      <c r="D14152" s="8">
        <f>IFERROR(__xludf.DUMMYFUNCTION("""COMPUTED_VALUE"""),0.007)</f>
        <v>0.007</v>
      </c>
      <c r="E14152" s="8" t="str">
        <f>IFERROR(__xludf.DUMMYFUNCTION("""COMPUTED_VALUE"""),"Real")</f>
        <v>Real</v>
      </c>
      <c r="G14152" s="8">
        <f t="shared" si="1"/>
        <v>6</v>
      </c>
      <c r="H14152" s="14">
        <f t="shared" si="2"/>
        <v>12</v>
      </c>
      <c r="I14152" s="15">
        <f t="shared" si="3"/>
        <v>16</v>
      </c>
    </row>
    <row r="14153">
      <c r="A14153" s="8" t="str">
        <f>IFERROR(__xludf.DUMMYFUNCTION("IF('(INGESTA)Datos_consumo_datadis'!A14153&lt;&gt;"""",SPLIT('(INGESTA)Datos_consumo_datadis'!A:A,"",""),"""")"),"ES0031408323131005HX0F")</f>
        <v>ES0031408323131005HX0F</v>
      </c>
      <c r="B14153" s="12">
        <f>IFERROR(__xludf.DUMMYFUNCTION("""COMPUTED_VALUE"""),45455.0)</f>
        <v>45455</v>
      </c>
      <c r="C14153" s="13">
        <f>IFERROR(__xludf.DUMMYFUNCTION("""COMPUTED_VALUE"""),0.7083333333333334)</f>
        <v>0.7083333333</v>
      </c>
      <c r="D14153" s="8">
        <f>IFERROR(__xludf.DUMMYFUNCTION("""COMPUTED_VALUE"""),0.069)</f>
        <v>0.069</v>
      </c>
      <c r="E14153" s="8" t="str">
        <f>IFERROR(__xludf.DUMMYFUNCTION("""COMPUTED_VALUE"""),"Real")</f>
        <v>Real</v>
      </c>
      <c r="G14153" s="8">
        <f t="shared" si="1"/>
        <v>6</v>
      </c>
      <c r="H14153" s="14">
        <f t="shared" si="2"/>
        <v>12</v>
      </c>
      <c r="I14153" s="15">
        <f t="shared" si="3"/>
        <v>17</v>
      </c>
    </row>
    <row r="14154">
      <c r="A14154" s="8" t="str">
        <f>IFERROR(__xludf.DUMMYFUNCTION("IF('(INGESTA)Datos_consumo_datadis'!A14154&lt;&gt;"""",SPLIT('(INGESTA)Datos_consumo_datadis'!A:A,"",""),"""")"),"ES0031408323131005HX0F")</f>
        <v>ES0031408323131005HX0F</v>
      </c>
      <c r="B14154" s="12">
        <f>IFERROR(__xludf.DUMMYFUNCTION("""COMPUTED_VALUE"""),45455.0)</f>
        <v>45455</v>
      </c>
      <c r="C14154" s="13">
        <f>IFERROR(__xludf.DUMMYFUNCTION("""COMPUTED_VALUE"""),0.75)</f>
        <v>0.75</v>
      </c>
      <c r="D14154" s="8">
        <f>IFERROR(__xludf.DUMMYFUNCTION("""COMPUTED_VALUE"""),0.068)</f>
        <v>0.068</v>
      </c>
      <c r="E14154" s="8" t="str">
        <f>IFERROR(__xludf.DUMMYFUNCTION("""COMPUTED_VALUE"""),"Real")</f>
        <v>Real</v>
      </c>
      <c r="G14154" s="8">
        <f t="shared" si="1"/>
        <v>6</v>
      </c>
      <c r="H14154" s="14">
        <f t="shared" si="2"/>
        <v>12</v>
      </c>
      <c r="I14154" s="15">
        <f t="shared" si="3"/>
        <v>18</v>
      </c>
    </row>
    <row r="14155">
      <c r="A14155" s="8" t="str">
        <f>IFERROR(__xludf.DUMMYFUNCTION("IF('(INGESTA)Datos_consumo_datadis'!A14155&lt;&gt;"""",SPLIT('(INGESTA)Datos_consumo_datadis'!A:A,"",""),"""")"),"ES0031408323131005HX0F")</f>
        <v>ES0031408323131005HX0F</v>
      </c>
      <c r="B14155" s="12">
        <f>IFERROR(__xludf.DUMMYFUNCTION("""COMPUTED_VALUE"""),45455.0)</f>
        <v>45455</v>
      </c>
      <c r="C14155" s="13">
        <f>IFERROR(__xludf.DUMMYFUNCTION("""COMPUTED_VALUE"""),0.7916666666666666)</f>
        <v>0.7916666667</v>
      </c>
      <c r="D14155" s="8">
        <f>IFERROR(__xludf.DUMMYFUNCTION("""COMPUTED_VALUE"""),0.055)</f>
        <v>0.055</v>
      </c>
      <c r="E14155" s="8" t="str">
        <f>IFERROR(__xludf.DUMMYFUNCTION("""COMPUTED_VALUE"""),"Real")</f>
        <v>Real</v>
      </c>
      <c r="G14155" s="8">
        <f t="shared" si="1"/>
        <v>6</v>
      </c>
      <c r="H14155" s="14">
        <f t="shared" si="2"/>
        <v>12</v>
      </c>
      <c r="I14155" s="15">
        <f t="shared" si="3"/>
        <v>19</v>
      </c>
    </row>
    <row r="14156">
      <c r="A14156" s="8" t="str">
        <f>IFERROR(__xludf.DUMMYFUNCTION("IF('(INGESTA)Datos_consumo_datadis'!A14156&lt;&gt;"""",SPLIT('(INGESTA)Datos_consumo_datadis'!A:A,"",""),"""")"),"ES0031408323131005HX0F")</f>
        <v>ES0031408323131005HX0F</v>
      </c>
      <c r="B14156" s="12">
        <f>IFERROR(__xludf.DUMMYFUNCTION("""COMPUTED_VALUE"""),45455.0)</f>
        <v>45455</v>
      </c>
      <c r="C14156" s="13">
        <f>IFERROR(__xludf.DUMMYFUNCTION("""COMPUTED_VALUE"""),0.8333333333333334)</f>
        <v>0.8333333333</v>
      </c>
      <c r="D14156" s="8">
        <f>IFERROR(__xludf.DUMMYFUNCTION("""COMPUTED_VALUE"""),0.29)</f>
        <v>0.29</v>
      </c>
      <c r="E14156" s="8" t="str">
        <f>IFERROR(__xludf.DUMMYFUNCTION("""COMPUTED_VALUE"""),"Real")</f>
        <v>Real</v>
      </c>
      <c r="G14156" s="8">
        <f t="shared" si="1"/>
        <v>6</v>
      </c>
      <c r="H14156" s="14">
        <f t="shared" si="2"/>
        <v>12</v>
      </c>
      <c r="I14156" s="15">
        <f t="shared" si="3"/>
        <v>20</v>
      </c>
    </row>
    <row r="14157">
      <c r="A14157" s="8" t="str">
        <f>IFERROR(__xludf.DUMMYFUNCTION("IF('(INGESTA)Datos_consumo_datadis'!A14157&lt;&gt;"""",SPLIT('(INGESTA)Datos_consumo_datadis'!A:A,"",""),"""")"),"ES0031408323131005HX0F")</f>
        <v>ES0031408323131005HX0F</v>
      </c>
      <c r="B14157" s="12">
        <f>IFERROR(__xludf.DUMMYFUNCTION("""COMPUTED_VALUE"""),45455.0)</f>
        <v>45455</v>
      </c>
      <c r="C14157" s="13">
        <f>IFERROR(__xludf.DUMMYFUNCTION("""COMPUTED_VALUE"""),0.875)</f>
        <v>0.875</v>
      </c>
      <c r="D14157" s="8">
        <f>IFERROR(__xludf.DUMMYFUNCTION("""COMPUTED_VALUE"""),0.071)</f>
        <v>0.071</v>
      </c>
      <c r="E14157" s="8" t="str">
        <f>IFERROR(__xludf.DUMMYFUNCTION("""COMPUTED_VALUE"""),"Real")</f>
        <v>Real</v>
      </c>
      <c r="G14157" s="8">
        <f t="shared" si="1"/>
        <v>6</v>
      </c>
      <c r="H14157" s="14">
        <f t="shared" si="2"/>
        <v>12</v>
      </c>
      <c r="I14157" s="15">
        <f t="shared" si="3"/>
        <v>21</v>
      </c>
    </row>
    <row r="14158">
      <c r="A14158" s="8" t="str">
        <f>IFERROR(__xludf.DUMMYFUNCTION("IF('(INGESTA)Datos_consumo_datadis'!A14158&lt;&gt;"""",SPLIT('(INGESTA)Datos_consumo_datadis'!A:A,"",""),"""")"),"ES0031408323131005HX0F")</f>
        <v>ES0031408323131005HX0F</v>
      </c>
      <c r="B14158" s="12">
        <f>IFERROR(__xludf.DUMMYFUNCTION("""COMPUTED_VALUE"""),45455.0)</f>
        <v>45455</v>
      </c>
      <c r="C14158" s="13">
        <f>IFERROR(__xludf.DUMMYFUNCTION("""COMPUTED_VALUE"""),0.9166666666666666)</f>
        <v>0.9166666667</v>
      </c>
      <c r="D14158" s="8">
        <f>IFERROR(__xludf.DUMMYFUNCTION("""COMPUTED_VALUE"""),0.069)</f>
        <v>0.069</v>
      </c>
      <c r="E14158" s="8" t="str">
        <f>IFERROR(__xludf.DUMMYFUNCTION("""COMPUTED_VALUE"""),"Real")</f>
        <v>Real</v>
      </c>
      <c r="G14158" s="8">
        <f t="shared" si="1"/>
        <v>6</v>
      </c>
      <c r="H14158" s="14">
        <f t="shared" si="2"/>
        <v>12</v>
      </c>
      <c r="I14158" s="15">
        <f t="shared" si="3"/>
        <v>22</v>
      </c>
    </row>
    <row r="14159">
      <c r="A14159" s="8" t="str">
        <f>IFERROR(__xludf.DUMMYFUNCTION("IF('(INGESTA)Datos_consumo_datadis'!A14159&lt;&gt;"""",SPLIT('(INGESTA)Datos_consumo_datadis'!A:A,"",""),"""")"),"ES0031408323131005HX0F")</f>
        <v>ES0031408323131005HX0F</v>
      </c>
      <c r="B14159" s="12">
        <f>IFERROR(__xludf.DUMMYFUNCTION("""COMPUTED_VALUE"""),45455.0)</f>
        <v>45455</v>
      </c>
      <c r="C14159" s="13">
        <f>IFERROR(__xludf.DUMMYFUNCTION("""COMPUTED_VALUE"""),0.9583333333333334)</f>
        <v>0.9583333333</v>
      </c>
      <c r="D14159" s="8">
        <f>IFERROR(__xludf.DUMMYFUNCTION("""COMPUTED_VALUE"""),0.065)</f>
        <v>0.065</v>
      </c>
      <c r="E14159" s="8" t="str">
        <f>IFERROR(__xludf.DUMMYFUNCTION("""COMPUTED_VALUE"""),"Real")</f>
        <v>Real</v>
      </c>
      <c r="G14159" s="8">
        <f t="shared" si="1"/>
        <v>6</v>
      </c>
      <c r="H14159" s="14">
        <f t="shared" si="2"/>
        <v>12</v>
      </c>
      <c r="I14159" s="15">
        <f t="shared" si="3"/>
        <v>23</v>
      </c>
    </row>
    <row r="14160">
      <c r="A14160" s="8" t="str">
        <f>IFERROR(__xludf.DUMMYFUNCTION("IF('(INGESTA)Datos_consumo_datadis'!A14160&lt;&gt;"""",SPLIT('(INGESTA)Datos_consumo_datadis'!A:A,"",""),"""")"),"ES0031408323131005HX0F")</f>
        <v>ES0031408323131005HX0F</v>
      </c>
      <c r="B14160" s="12">
        <f>IFERROR(__xludf.DUMMYFUNCTION("""COMPUTED_VALUE"""),45455.0)</f>
        <v>45455</v>
      </c>
      <c r="C14160" s="16">
        <f>IFERROR(__xludf.DUMMYFUNCTION("""COMPUTED_VALUE"""),1.0)</f>
        <v>1</v>
      </c>
      <c r="D14160" s="8">
        <f>IFERROR(__xludf.DUMMYFUNCTION("""COMPUTED_VALUE"""),0.006)</f>
        <v>0.006</v>
      </c>
      <c r="E14160" s="8" t="str">
        <f>IFERROR(__xludf.DUMMYFUNCTION("""COMPUTED_VALUE"""),"Real")</f>
        <v>Real</v>
      </c>
      <c r="G14160" s="8">
        <f t="shared" si="1"/>
        <v>6</v>
      </c>
      <c r="H14160" s="14">
        <f t="shared" si="2"/>
        <v>12</v>
      </c>
      <c r="I14160" s="15">
        <f t="shared" si="3"/>
        <v>0</v>
      </c>
    </row>
    <row r="14161">
      <c r="A14161" s="8" t="str">
        <f>IFERROR(__xludf.DUMMYFUNCTION("IF('(INGESTA)Datos_consumo_datadis'!A14161&lt;&gt;"""",SPLIT('(INGESTA)Datos_consumo_datadis'!A:A,"",""),"""")"),"ES0031408323131005HX0F")</f>
        <v>ES0031408323131005HX0F</v>
      </c>
      <c r="B14161" s="12">
        <f>IFERROR(__xludf.DUMMYFUNCTION("""COMPUTED_VALUE"""),45456.0)</f>
        <v>45456</v>
      </c>
      <c r="C14161" s="13">
        <f>IFERROR(__xludf.DUMMYFUNCTION("""COMPUTED_VALUE"""),0.041666666666666664)</f>
        <v>0.04166666667</v>
      </c>
      <c r="D14161" s="8">
        <f>IFERROR(__xludf.DUMMYFUNCTION("""COMPUTED_VALUE"""),0.047)</f>
        <v>0.047</v>
      </c>
      <c r="E14161" s="8" t="str">
        <f>IFERROR(__xludf.DUMMYFUNCTION("""COMPUTED_VALUE"""),"Real")</f>
        <v>Real</v>
      </c>
      <c r="G14161" s="8">
        <f t="shared" si="1"/>
        <v>6</v>
      </c>
      <c r="H14161" s="14">
        <f t="shared" si="2"/>
        <v>13</v>
      </c>
      <c r="I14161" s="15">
        <f t="shared" si="3"/>
        <v>1</v>
      </c>
    </row>
    <row r="14162">
      <c r="A14162" s="8" t="str">
        <f>IFERROR(__xludf.DUMMYFUNCTION("IF('(INGESTA)Datos_consumo_datadis'!A14162&lt;&gt;"""",SPLIT('(INGESTA)Datos_consumo_datadis'!A:A,"",""),"""")"),"ES0031408323131005HX0F")</f>
        <v>ES0031408323131005HX0F</v>
      </c>
      <c r="B14162" s="12">
        <f>IFERROR(__xludf.DUMMYFUNCTION("""COMPUTED_VALUE"""),45456.0)</f>
        <v>45456</v>
      </c>
      <c r="C14162" s="13">
        <f>IFERROR(__xludf.DUMMYFUNCTION("""COMPUTED_VALUE"""),0.08333333333333333)</f>
        <v>0.08333333333</v>
      </c>
      <c r="D14162" s="8">
        <f>IFERROR(__xludf.DUMMYFUNCTION("""COMPUTED_VALUE"""),0.115)</f>
        <v>0.115</v>
      </c>
      <c r="E14162" s="8" t="str">
        <f>IFERROR(__xludf.DUMMYFUNCTION("""COMPUTED_VALUE"""),"Real")</f>
        <v>Real</v>
      </c>
      <c r="G14162" s="8">
        <f t="shared" si="1"/>
        <v>6</v>
      </c>
      <c r="H14162" s="14">
        <f t="shared" si="2"/>
        <v>13</v>
      </c>
      <c r="I14162" s="15">
        <f t="shared" si="3"/>
        <v>2</v>
      </c>
    </row>
    <row r="14163">
      <c r="A14163" s="8" t="str">
        <f>IFERROR(__xludf.DUMMYFUNCTION("IF('(INGESTA)Datos_consumo_datadis'!A14163&lt;&gt;"""",SPLIT('(INGESTA)Datos_consumo_datadis'!A:A,"",""),"""")"),"ES0031408323131005HX0F")</f>
        <v>ES0031408323131005HX0F</v>
      </c>
      <c r="B14163" s="12">
        <f>IFERROR(__xludf.DUMMYFUNCTION("""COMPUTED_VALUE"""),45456.0)</f>
        <v>45456</v>
      </c>
      <c r="C14163" s="13">
        <f>IFERROR(__xludf.DUMMYFUNCTION("""COMPUTED_VALUE"""),0.125)</f>
        <v>0.125</v>
      </c>
      <c r="D14163" s="8">
        <f>IFERROR(__xludf.DUMMYFUNCTION("""COMPUTED_VALUE"""),0.295)</f>
        <v>0.295</v>
      </c>
      <c r="E14163" s="8" t="str">
        <f>IFERROR(__xludf.DUMMYFUNCTION("""COMPUTED_VALUE"""),"Real")</f>
        <v>Real</v>
      </c>
      <c r="G14163" s="8">
        <f t="shared" si="1"/>
        <v>6</v>
      </c>
      <c r="H14163" s="14">
        <f t="shared" si="2"/>
        <v>13</v>
      </c>
      <c r="I14163" s="15">
        <f t="shared" si="3"/>
        <v>3</v>
      </c>
    </row>
    <row r="14164">
      <c r="A14164" s="8" t="str">
        <f>IFERROR(__xludf.DUMMYFUNCTION("IF('(INGESTA)Datos_consumo_datadis'!A14164&lt;&gt;"""",SPLIT('(INGESTA)Datos_consumo_datadis'!A:A,"",""),"""")"),"ES0031408323131005HX0F")</f>
        <v>ES0031408323131005HX0F</v>
      </c>
      <c r="B14164" s="12">
        <f>IFERROR(__xludf.DUMMYFUNCTION("""COMPUTED_VALUE"""),45456.0)</f>
        <v>45456</v>
      </c>
      <c r="C14164" s="13">
        <f>IFERROR(__xludf.DUMMYFUNCTION("""COMPUTED_VALUE"""),0.16666666666666666)</f>
        <v>0.1666666667</v>
      </c>
      <c r="D14164" s="8">
        <f>IFERROR(__xludf.DUMMYFUNCTION("""COMPUTED_VALUE"""),0.015)</f>
        <v>0.015</v>
      </c>
      <c r="E14164" s="8" t="str">
        <f>IFERROR(__xludf.DUMMYFUNCTION("""COMPUTED_VALUE"""),"Real")</f>
        <v>Real</v>
      </c>
      <c r="G14164" s="8">
        <f t="shared" si="1"/>
        <v>6</v>
      </c>
      <c r="H14164" s="14">
        <f t="shared" si="2"/>
        <v>13</v>
      </c>
      <c r="I14164" s="15">
        <f t="shared" si="3"/>
        <v>4</v>
      </c>
    </row>
    <row r="14165">
      <c r="A14165" s="8" t="str">
        <f>IFERROR(__xludf.DUMMYFUNCTION("IF('(INGESTA)Datos_consumo_datadis'!A14165&lt;&gt;"""",SPLIT('(INGESTA)Datos_consumo_datadis'!A:A,"",""),"""")"),"ES0031408323131005HX0F")</f>
        <v>ES0031408323131005HX0F</v>
      </c>
      <c r="B14165" s="12">
        <f>IFERROR(__xludf.DUMMYFUNCTION("""COMPUTED_VALUE"""),45456.0)</f>
        <v>45456</v>
      </c>
      <c r="C14165" s="13">
        <f>IFERROR(__xludf.DUMMYFUNCTION("""COMPUTED_VALUE"""),0.20833333333333334)</f>
        <v>0.2083333333</v>
      </c>
      <c r="D14165" s="8">
        <f>IFERROR(__xludf.DUMMYFUNCTION("""COMPUTED_VALUE"""),0.034)</f>
        <v>0.034</v>
      </c>
      <c r="E14165" s="8" t="str">
        <f>IFERROR(__xludf.DUMMYFUNCTION("""COMPUTED_VALUE"""),"Real")</f>
        <v>Real</v>
      </c>
      <c r="G14165" s="8">
        <f t="shared" si="1"/>
        <v>6</v>
      </c>
      <c r="H14165" s="14">
        <f t="shared" si="2"/>
        <v>13</v>
      </c>
      <c r="I14165" s="15">
        <f t="shared" si="3"/>
        <v>5</v>
      </c>
    </row>
    <row r="14166">
      <c r="A14166" s="8" t="str">
        <f>IFERROR(__xludf.DUMMYFUNCTION("IF('(INGESTA)Datos_consumo_datadis'!A14166&lt;&gt;"""",SPLIT('(INGESTA)Datos_consumo_datadis'!A:A,"",""),"""")"),"ES0031408323131005HX0F")</f>
        <v>ES0031408323131005HX0F</v>
      </c>
      <c r="B14166" s="12">
        <f>IFERROR(__xludf.DUMMYFUNCTION("""COMPUTED_VALUE"""),45456.0)</f>
        <v>45456</v>
      </c>
      <c r="C14166" s="13">
        <f>IFERROR(__xludf.DUMMYFUNCTION("""COMPUTED_VALUE"""),0.25)</f>
        <v>0.25</v>
      </c>
      <c r="D14166" s="8">
        <f>IFERROR(__xludf.DUMMYFUNCTION("""COMPUTED_VALUE"""),0.085)</f>
        <v>0.085</v>
      </c>
      <c r="E14166" s="8" t="str">
        <f>IFERROR(__xludf.DUMMYFUNCTION("""COMPUTED_VALUE"""),"Real")</f>
        <v>Real</v>
      </c>
      <c r="G14166" s="8">
        <f t="shared" si="1"/>
        <v>6</v>
      </c>
      <c r="H14166" s="14">
        <f t="shared" si="2"/>
        <v>13</v>
      </c>
      <c r="I14166" s="15">
        <f t="shared" si="3"/>
        <v>6</v>
      </c>
    </row>
    <row r="14167">
      <c r="A14167" s="8" t="str">
        <f>IFERROR(__xludf.DUMMYFUNCTION("IF('(INGESTA)Datos_consumo_datadis'!A14167&lt;&gt;"""",SPLIT('(INGESTA)Datos_consumo_datadis'!A:A,"",""),"""")"),"ES0031408323131005HX0F")</f>
        <v>ES0031408323131005HX0F</v>
      </c>
      <c r="B14167" s="12">
        <f>IFERROR(__xludf.DUMMYFUNCTION("""COMPUTED_VALUE"""),45456.0)</f>
        <v>45456</v>
      </c>
      <c r="C14167" s="13">
        <f>IFERROR(__xludf.DUMMYFUNCTION("""COMPUTED_VALUE"""),0.2916666666666667)</f>
        <v>0.2916666667</v>
      </c>
      <c r="D14167" s="8">
        <f>IFERROR(__xludf.DUMMYFUNCTION("""COMPUTED_VALUE"""),0.053)</f>
        <v>0.053</v>
      </c>
      <c r="E14167" s="8" t="str">
        <f>IFERROR(__xludf.DUMMYFUNCTION("""COMPUTED_VALUE"""),"Real")</f>
        <v>Real</v>
      </c>
      <c r="G14167" s="8">
        <f t="shared" si="1"/>
        <v>6</v>
      </c>
      <c r="H14167" s="14">
        <f t="shared" si="2"/>
        <v>13</v>
      </c>
      <c r="I14167" s="15">
        <f t="shared" si="3"/>
        <v>7</v>
      </c>
    </row>
    <row r="14168">
      <c r="A14168" s="8" t="str">
        <f>IFERROR(__xludf.DUMMYFUNCTION("IF('(INGESTA)Datos_consumo_datadis'!A14168&lt;&gt;"""",SPLIT('(INGESTA)Datos_consumo_datadis'!A:A,"",""),"""")"),"ES0031408323131005HX0F")</f>
        <v>ES0031408323131005HX0F</v>
      </c>
      <c r="B14168" s="12">
        <f>IFERROR(__xludf.DUMMYFUNCTION("""COMPUTED_VALUE"""),45456.0)</f>
        <v>45456</v>
      </c>
      <c r="C14168" s="13">
        <f>IFERROR(__xludf.DUMMYFUNCTION("""COMPUTED_VALUE"""),0.3333333333333333)</f>
        <v>0.3333333333</v>
      </c>
      <c r="D14168" s="8">
        <f>IFERROR(__xludf.DUMMYFUNCTION("""COMPUTED_VALUE"""),0.026)</f>
        <v>0.026</v>
      </c>
      <c r="E14168" s="8" t="str">
        <f>IFERROR(__xludf.DUMMYFUNCTION("""COMPUTED_VALUE"""),"Real")</f>
        <v>Real</v>
      </c>
      <c r="G14168" s="8">
        <f t="shared" si="1"/>
        <v>6</v>
      </c>
      <c r="H14168" s="14">
        <f t="shared" si="2"/>
        <v>13</v>
      </c>
      <c r="I14168" s="15">
        <f t="shared" si="3"/>
        <v>8</v>
      </c>
    </row>
    <row r="14169">
      <c r="A14169" s="8" t="str">
        <f>IFERROR(__xludf.DUMMYFUNCTION("IF('(INGESTA)Datos_consumo_datadis'!A14169&lt;&gt;"""",SPLIT('(INGESTA)Datos_consumo_datadis'!A:A,"",""),"""")"),"ES0031408323131005HX0F")</f>
        <v>ES0031408323131005HX0F</v>
      </c>
      <c r="B14169" s="12">
        <f>IFERROR(__xludf.DUMMYFUNCTION("""COMPUTED_VALUE"""),45456.0)</f>
        <v>45456</v>
      </c>
      <c r="C14169" s="13">
        <f>IFERROR(__xludf.DUMMYFUNCTION("""COMPUTED_VALUE"""),0.375)</f>
        <v>0.375</v>
      </c>
      <c r="D14169" s="8">
        <f>IFERROR(__xludf.DUMMYFUNCTION("""COMPUTED_VALUE"""),0.312)</f>
        <v>0.312</v>
      </c>
      <c r="E14169" s="8" t="str">
        <f>IFERROR(__xludf.DUMMYFUNCTION("""COMPUTED_VALUE"""),"Real")</f>
        <v>Real</v>
      </c>
      <c r="G14169" s="8">
        <f t="shared" si="1"/>
        <v>6</v>
      </c>
      <c r="H14169" s="14">
        <f t="shared" si="2"/>
        <v>13</v>
      </c>
      <c r="I14169" s="15">
        <f t="shared" si="3"/>
        <v>9</v>
      </c>
    </row>
    <row r="14170">
      <c r="A14170" s="8" t="str">
        <f>IFERROR(__xludf.DUMMYFUNCTION("IF('(INGESTA)Datos_consumo_datadis'!A14170&lt;&gt;"""",SPLIT('(INGESTA)Datos_consumo_datadis'!A:A,"",""),"""")"),"ES0031408323131005HX0F")</f>
        <v>ES0031408323131005HX0F</v>
      </c>
      <c r="B14170" s="12">
        <f>IFERROR(__xludf.DUMMYFUNCTION("""COMPUTED_VALUE"""),45456.0)</f>
        <v>45456</v>
      </c>
      <c r="C14170" s="13">
        <f>IFERROR(__xludf.DUMMYFUNCTION("""COMPUTED_VALUE"""),0.4166666666666667)</f>
        <v>0.4166666667</v>
      </c>
      <c r="D14170" s="8">
        <f>IFERROR(__xludf.DUMMYFUNCTION("""COMPUTED_VALUE"""),0.095)</f>
        <v>0.095</v>
      </c>
      <c r="E14170" s="8" t="str">
        <f>IFERROR(__xludf.DUMMYFUNCTION("""COMPUTED_VALUE"""),"Real")</f>
        <v>Real</v>
      </c>
      <c r="G14170" s="8">
        <f t="shared" si="1"/>
        <v>6</v>
      </c>
      <c r="H14170" s="14">
        <f t="shared" si="2"/>
        <v>13</v>
      </c>
      <c r="I14170" s="15">
        <f t="shared" si="3"/>
        <v>10</v>
      </c>
    </row>
    <row r="14171">
      <c r="A14171" s="8" t="str">
        <f>IFERROR(__xludf.DUMMYFUNCTION("IF('(INGESTA)Datos_consumo_datadis'!A14171&lt;&gt;"""",SPLIT('(INGESTA)Datos_consumo_datadis'!A:A,"",""),"""")"),"ES0031408323131005HX0F")</f>
        <v>ES0031408323131005HX0F</v>
      </c>
      <c r="B14171" s="12">
        <f>IFERROR(__xludf.DUMMYFUNCTION("""COMPUTED_VALUE"""),45456.0)</f>
        <v>45456</v>
      </c>
      <c r="C14171" s="13">
        <f>IFERROR(__xludf.DUMMYFUNCTION("""COMPUTED_VALUE"""),0.4583333333333333)</f>
        <v>0.4583333333</v>
      </c>
      <c r="D14171" s="8">
        <f>IFERROR(__xludf.DUMMYFUNCTION("""COMPUTED_VALUE"""),0.043)</f>
        <v>0.043</v>
      </c>
      <c r="E14171" s="8" t="str">
        <f>IFERROR(__xludf.DUMMYFUNCTION("""COMPUTED_VALUE"""),"Real")</f>
        <v>Real</v>
      </c>
      <c r="G14171" s="8">
        <f t="shared" si="1"/>
        <v>6</v>
      </c>
      <c r="H14171" s="14">
        <f t="shared" si="2"/>
        <v>13</v>
      </c>
      <c r="I14171" s="15">
        <f t="shared" si="3"/>
        <v>11</v>
      </c>
    </row>
    <row r="14172">
      <c r="A14172" s="8" t="str">
        <f>IFERROR(__xludf.DUMMYFUNCTION("IF('(INGESTA)Datos_consumo_datadis'!A14172&lt;&gt;"""",SPLIT('(INGESTA)Datos_consumo_datadis'!A:A,"",""),"""")"),"ES0031408323131005HX0F")</f>
        <v>ES0031408323131005HX0F</v>
      </c>
      <c r="B14172" s="12">
        <f>IFERROR(__xludf.DUMMYFUNCTION("""COMPUTED_VALUE"""),45456.0)</f>
        <v>45456</v>
      </c>
      <c r="C14172" s="13">
        <f>IFERROR(__xludf.DUMMYFUNCTION("""COMPUTED_VALUE"""),0.5)</f>
        <v>0.5</v>
      </c>
      <c r="D14172" s="8">
        <f>IFERROR(__xludf.DUMMYFUNCTION("""COMPUTED_VALUE"""),0.036)</f>
        <v>0.036</v>
      </c>
      <c r="E14172" s="8" t="str">
        <f>IFERROR(__xludf.DUMMYFUNCTION("""COMPUTED_VALUE"""),"Real")</f>
        <v>Real</v>
      </c>
      <c r="G14172" s="8">
        <f t="shared" si="1"/>
        <v>6</v>
      </c>
      <c r="H14172" s="14">
        <f t="shared" si="2"/>
        <v>13</v>
      </c>
      <c r="I14172" s="15">
        <f t="shared" si="3"/>
        <v>12</v>
      </c>
    </row>
    <row r="14173">
      <c r="A14173" s="8" t="str">
        <f>IFERROR(__xludf.DUMMYFUNCTION("IF('(INGESTA)Datos_consumo_datadis'!A14173&lt;&gt;"""",SPLIT('(INGESTA)Datos_consumo_datadis'!A:A,"",""),"""")"),"ES0031408323131005HX0F")</f>
        <v>ES0031408323131005HX0F</v>
      </c>
      <c r="B14173" s="12">
        <f>IFERROR(__xludf.DUMMYFUNCTION("""COMPUTED_VALUE"""),45456.0)</f>
        <v>45456</v>
      </c>
      <c r="C14173" s="13">
        <f>IFERROR(__xludf.DUMMYFUNCTION("""COMPUTED_VALUE"""),0.5416666666666666)</f>
        <v>0.5416666667</v>
      </c>
      <c r="D14173" s="8">
        <f>IFERROR(__xludf.DUMMYFUNCTION("""COMPUTED_VALUE"""),0.008)</f>
        <v>0.008</v>
      </c>
      <c r="E14173" s="8" t="str">
        <f>IFERROR(__xludf.DUMMYFUNCTION("""COMPUTED_VALUE"""),"Real")</f>
        <v>Real</v>
      </c>
      <c r="G14173" s="8">
        <f t="shared" si="1"/>
        <v>6</v>
      </c>
      <c r="H14173" s="14">
        <f t="shared" si="2"/>
        <v>13</v>
      </c>
      <c r="I14173" s="15">
        <f t="shared" si="3"/>
        <v>13</v>
      </c>
    </row>
    <row r="14174">
      <c r="A14174" s="8" t="str">
        <f>IFERROR(__xludf.DUMMYFUNCTION("IF('(INGESTA)Datos_consumo_datadis'!A14174&lt;&gt;"""",SPLIT('(INGESTA)Datos_consumo_datadis'!A:A,"",""),"""")"),"ES0031408323131005HX0F")</f>
        <v>ES0031408323131005HX0F</v>
      </c>
      <c r="B14174" s="12">
        <f>IFERROR(__xludf.DUMMYFUNCTION("""COMPUTED_VALUE"""),45456.0)</f>
        <v>45456</v>
      </c>
      <c r="C14174" s="13">
        <f>IFERROR(__xludf.DUMMYFUNCTION("""COMPUTED_VALUE"""),0.5833333333333334)</f>
        <v>0.5833333333</v>
      </c>
      <c r="D14174" s="8">
        <f>IFERROR(__xludf.DUMMYFUNCTION("""COMPUTED_VALUE"""),0.107)</f>
        <v>0.107</v>
      </c>
      <c r="E14174" s="8" t="str">
        <f>IFERROR(__xludf.DUMMYFUNCTION("""COMPUTED_VALUE"""),"Real")</f>
        <v>Real</v>
      </c>
      <c r="G14174" s="8">
        <f t="shared" si="1"/>
        <v>6</v>
      </c>
      <c r="H14174" s="14">
        <f t="shared" si="2"/>
        <v>13</v>
      </c>
      <c r="I14174" s="15">
        <f t="shared" si="3"/>
        <v>14</v>
      </c>
    </row>
    <row r="14175">
      <c r="A14175" s="8" t="str">
        <f>IFERROR(__xludf.DUMMYFUNCTION("IF('(INGESTA)Datos_consumo_datadis'!A14175&lt;&gt;"""",SPLIT('(INGESTA)Datos_consumo_datadis'!A:A,"",""),"""")"),"ES0031408323131005HX0F")</f>
        <v>ES0031408323131005HX0F</v>
      </c>
      <c r="B14175" s="12">
        <f>IFERROR(__xludf.DUMMYFUNCTION("""COMPUTED_VALUE"""),45456.0)</f>
        <v>45456</v>
      </c>
      <c r="C14175" s="13">
        <f>IFERROR(__xludf.DUMMYFUNCTION("""COMPUTED_VALUE"""),0.625)</f>
        <v>0.625</v>
      </c>
      <c r="D14175" s="8">
        <f>IFERROR(__xludf.DUMMYFUNCTION("""COMPUTED_VALUE"""),0.042)</f>
        <v>0.042</v>
      </c>
      <c r="E14175" s="8" t="str">
        <f>IFERROR(__xludf.DUMMYFUNCTION("""COMPUTED_VALUE"""),"Real")</f>
        <v>Real</v>
      </c>
      <c r="G14175" s="8">
        <f t="shared" si="1"/>
        <v>6</v>
      </c>
      <c r="H14175" s="14">
        <f t="shared" si="2"/>
        <v>13</v>
      </c>
      <c r="I14175" s="15">
        <f t="shared" si="3"/>
        <v>15</v>
      </c>
    </row>
    <row r="14176">
      <c r="A14176" s="8" t="str">
        <f>IFERROR(__xludf.DUMMYFUNCTION("IF('(INGESTA)Datos_consumo_datadis'!A14176&lt;&gt;"""",SPLIT('(INGESTA)Datos_consumo_datadis'!A:A,"",""),"""")"),"ES0031408323131005HX0F")</f>
        <v>ES0031408323131005HX0F</v>
      </c>
      <c r="B14176" s="12">
        <f>IFERROR(__xludf.DUMMYFUNCTION("""COMPUTED_VALUE"""),45456.0)</f>
        <v>45456</v>
      </c>
      <c r="C14176" s="13">
        <f>IFERROR(__xludf.DUMMYFUNCTION("""COMPUTED_VALUE"""),0.6666666666666666)</f>
        <v>0.6666666667</v>
      </c>
      <c r="D14176" s="8">
        <f>IFERROR(__xludf.DUMMYFUNCTION("""COMPUTED_VALUE"""),0.323)</f>
        <v>0.323</v>
      </c>
      <c r="E14176" s="8" t="str">
        <f>IFERROR(__xludf.DUMMYFUNCTION("""COMPUTED_VALUE"""),"Real")</f>
        <v>Real</v>
      </c>
      <c r="G14176" s="8">
        <f t="shared" si="1"/>
        <v>6</v>
      </c>
      <c r="H14176" s="14">
        <f t="shared" si="2"/>
        <v>13</v>
      </c>
      <c r="I14176" s="15">
        <f t="shared" si="3"/>
        <v>16</v>
      </c>
    </row>
    <row r="14177">
      <c r="A14177" s="8" t="str">
        <f>IFERROR(__xludf.DUMMYFUNCTION("IF('(INGESTA)Datos_consumo_datadis'!A14177&lt;&gt;"""",SPLIT('(INGESTA)Datos_consumo_datadis'!A:A,"",""),"""")"),"ES0031408323131005HX0F")</f>
        <v>ES0031408323131005HX0F</v>
      </c>
      <c r="B14177" s="12">
        <f>IFERROR(__xludf.DUMMYFUNCTION("""COMPUTED_VALUE"""),45456.0)</f>
        <v>45456</v>
      </c>
      <c r="C14177" s="13">
        <f>IFERROR(__xludf.DUMMYFUNCTION("""COMPUTED_VALUE"""),0.7083333333333334)</f>
        <v>0.7083333333</v>
      </c>
      <c r="D14177" s="8">
        <f>IFERROR(__xludf.DUMMYFUNCTION("""COMPUTED_VALUE"""),0.007)</f>
        <v>0.007</v>
      </c>
      <c r="E14177" s="8" t="str">
        <f>IFERROR(__xludf.DUMMYFUNCTION("""COMPUTED_VALUE"""),"Real")</f>
        <v>Real</v>
      </c>
      <c r="G14177" s="8">
        <f t="shared" si="1"/>
        <v>6</v>
      </c>
      <c r="H14177" s="14">
        <f t="shared" si="2"/>
        <v>13</v>
      </c>
      <c r="I14177" s="15">
        <f t="shared" si="3"/>
        <v>17</v>
      </c>
    </row>
    <row r="14178">
      <c r="A14178" s="8" t="str">
        <f>IFERROR(__xludf.DUMMYFUNCTION("IF('(INGESTA)Datos_consumo_datadis'!A14178&lt;&gt;"""",SPLIT('(INGESTA)Datos_consumo_datadis'!A:A,"",""),"""")"),"ES0031408323131005HX0F")</f>
        <v>ES0031408323131005HX0F</v>
      </c>
      <c r="B14178" s="12">
        <f>IFERROR(__xludf.DUMMYFUNCTION("""COMPUTED_VALUE"""),45456.0)</f>
        <v>45456</v>
      </c>
      <c r="C14178" s="13">
        <f>IFERROR(__xludf.DUMMYFUNCTION("""COMPUTED_VALUE"""),0.75)</f>
        <v>0.75</v>
      </c>
      <c r="D14178" s="8">
        <f>IFERROR(__xludf.DUMMYFUNCTION("""COMPUTED_VALUE"""),0.099)</f>
        <v>0.099</v>
      </c>
      <c r="E14178" s="8" t="str">
        <f>IFERROR(__xludf.DUMMYFUNCTION("""COMPUTED_VALUE"""),"Real")</f>
        <v>Real</v>
      </c>
      <c r="G14178" s="8">
        <f t="shared" si="1"/>
        <v>6</v>
      </c>
      <c r="H14178" s="14">
        <f t="shared" si="2"/>
        <v>13</v>
      </c>
      <c r="I14178" s="15">
        <f t="shared" si="3"/>
        <v>18</v>
      </c>
    </row>
    <row r="14179">
      <c r="A14179" s="8" t="str">
        <f>IFERROR(__xludf.DUMMYFUNCTION("IF('(INGESTA)Datos_consumo_datadis'!A14179&lt;&gt;"""",SPLIT('(INGESTA)Datos_consumo_datadis'!A:A,"",""),"""")"),"ES0031408323131005HX0F")</f>
        <v>ES0031408323131005HX0F</v>
      </c>
      <c r="B14179" s="12">
        <f>IFERROR(__xludf.DUMMYFUNCTION("""COMPUTED_VALUE"""),45456.0)</f>
        <v>45456</v>
      </c>
      <c r="C14179" s="13">
        <f>IFERROR(__xludf.DUMMYFUNCTION("""COMPUTED_VALUE"""),0.7916666666666666)</f>
        <v>0.7916666667</v>
      </c>
      <c r="D14179" s="8">
        <f>IFERROR(__xludf.DUMMYFUNCTION("""COMPUTED_VALUE"""),0.053)</f>
        <v>0.053</v>
      </c>
      <c r="E14179" s="8" t="str">
        <f>IFERROR(__xludf.DUMMYFUNCTION("""COMPUTED_VALUE"""),"Real")</f>
        <v>Real</v>
      </c>
      <c r="G14179" s="8">
        <f t="shared" si="1"/>
        <v>6</v>
      </c>
      <c r="H14179" s="14">
        <f t="shared" si="2"/>
        <v>13</v>
      </c>
      <c r="I14179" s="15">
        <f t="shared" si="3"/>
        <v>19</v>
      </c>
    </row>
    <row r="14180">
      <c r="A14180" s="8" t="str">
        <f>IFERROR(__xludf.DUMMYFUNCTION("IF('(INGESTA)Datos_consumo_datadis'!A14180&lt;&gt;"""",SPLIT('(INGESTA)Datos_consumo_datadis'!A:A,"",""),"""")"),"ES0031408323131005HX0F")</f>
        <v>ES0031408323131005HX0F</v>
      </c>
      <c r="B14180" s="12">
        <f>IFERROR(__xludf.DUMMYFUNCTION("""COMPUTED_VALUE"""),45456.0)</f>
        <v>45456</v>
      </c>
      <c r="C14180" s="13">
        <f>IFERROR(__xludf.DUMMYFUNCTION("""COMPUTED_VALUE"""),0.8333333333333334)</f>
        <v>0.8333333333</v>
      </c>
      <c r="D14180" s="8">
        <f>IFERROR(__xludf.DUMMYFUNCTION("""COMPUTED_VALUE"""),0.04)</f>
        <v>0.04</v>
      </c>
      <c r="E14180" s="8" t="str">
        <f>IFERROR(__xludf.DUMMYFUNCTION("""COMPUTED_VALUE"""),"Real")</f>
        <v>Real</v>
      </c>
      <c r="G14180" s="8">
        <f t="shared" si="1"/>
        <v>6</v>
      </c>
      <c r="H14180" s="14">
        <f t="shared" si="2"/>
        <v>13</v>
      </c>
      <c r="I14180" s="15">
        <f t="shared" si="3"/>
        <v>20</v>
      </c>
    </row>
    <row r="14181">
      <c r="A14181" s="8" t="str">
        <f>IFERROR(__xludf.DUMMYFUNCTION("IF('(INGESTA)Datos_consumo_datadis'!A14181&lt;&gt;"""",SPLIT('(INGESTA)Datos_consumo_datadis'!A:A,"",""),"""")"),"ES0031408323131005HX0F")</f>
        <v>ES0031408323131005HX0F</v>
      </c>
      <c r="B14181" s="12">
        <f>IFERROR(__xludf.DUMMYFUNCTION("""COMPUTED_VALUE"""),45456.0)</f>
        <v>45456</v>
      </c>
      <c r="C14181" s="13">
        <f>IFERROR(__xludf.DUMMYFUNCTION("""COMPUTED_VALUE"""),0.875)</f>
        <v>0.875</v>
      </c>
      <c r="D14181" s="8">
        <f>IFERROR(__xludf.DUMMYFUNCTION("""COMPUTED_VALUE"""),0.006)</f>
        <v>0.006</v>
      </c>
      <c r="E14181" s="8" t="str">
        <f>IFERROR(__xludf.DUMMYFUNCTION("""COMPUTED_VALUE"""),"Real")</f>
        <v>Real</v>
      </c>
      <c r="G14181" s="8">
        <f t="shared" si="1"/>
        <v>6</v>
      </c>
      <c r="H14181" s="14">
        <f t="shared" si="2"/>
        <v>13</v>
      </c>
      <c r="I14181" s="15">
        <f t="shared" si="3"/>
        <v>21</v>
      </c>
    </row>
    <row r="14182">
      <c r="A14182" s="8" t="str">
        <f>IFERROR(__xludf.DUMMYFUNCTION("IF('(INGESTA)Datos_consumo_datadis'!A14182&lt;&gt;"""",SPLIT('(INGESTA)Datos_consumo_datadis'!A:A,"",""),"""")"),"ES0031408323131005HX0F")</f>
        <v>ES0031408323131005HX0F</v>
      </c>
      <c r="B14182" s="12">
        <f>IFERROR(__xludf.DUMMYFUNCTION("""COMPUTED_VALUE"""),45456.0)</f>
        <v>45456</v>
      </c>
      <c r="C14182" s="13">
        <f>IFERROR(__xludf.DUMMYFUNCTION("""COMPUTED_VALUE"""),0.9166666666666666)</f>
        <v>0.9166666667</v>
      </c>
      <c r="D14182" s="8">
        <f>IFERROR(__xludf.DUMMYFUNCTION("""COMPUTED_VALUE"""),0.087)</f>
        <v>0.087</v>
      </c>
      <c r="E14182" s="8" t="str">
        <f>IFERROR(__xludf.DUMMYFUNCTION("""COMPUTED_VALUE"""),"Real")</f>
        <v>Real</v>
      </c>
      <c r="G14182" s="8">
        <f t="shared" si="1"/>
        <v>6</v>
      </c>
      <c r="H14182" s="14">
        <f t="shared" si="2"/>
        <v>13</v>
      </c>
      <c r="I14182" s="15">
        <f t="shared" si="3"/>
        <v>22</v>
      </c>
    </row>
    <row r="14183">
      <c r="A14183" s="8" t="str">
        <f>IFERROR(__xludf.DUMMYFUNCTION("IF('(INGESTA)Datos_consumo_datadis'!A14183&lt;&gt;"""",SPLIT('(INGESTA)Datos_consumo_datadis'!A:A,"",""),"""")"),"ES0031408323131005HX0F")</f>
        <v>ES0031408323131005HX0F</v>
      </c>
      <c r="B14183" s="12">
        <f>IFERROR(__xludf.DUMMYFUNCTION("""COMPUTED_VALUE"""),45456.0)</f>
        <v>45456</v>
      </c>
      <c r="C14183" s="13">
        <f>IFERROR(__xludf.DUMMYFUNCTION("""COMPUTED_VALUE"""),0.9583333333333334)</f>
        <v>0.9583333333</v>
      </c>
      <c r="D14183" s="8">
        <f>IFERROR(__xludf.DUMMYFUNCTION("""COMPUTED_VALUE"""),0.334)</f>
        <v>0.334</v>
      </c>
      <c r="E14183" s="8" t="str">
        <f>IFERROR(__xludf.DUMMYFUNCTION("""COMPUTED_VALUE"""),"Real")</f>
        <v>Real</v>
      </c>
      <c r="G14183" s="8">
        <f t="shared" si="1"/>
        <v>6</v>
      </c>
      <c r="H14183" s="14">
        <f t="shared" si="2"/>
        <v>13</v>
      </c>
      <c r="I14183" s="15">
        <f t="shared" si="3"/>
        <v>23</v>
      </c>
    </row>
    <row r="14184">
      <c r="A14184" s="8" t="str">
        <f>IFERROR(__xludf.DUMMYFUNCTION("IF('(INGESTA)Datos_consumo_datadis'!A14184&lt;&gt;"""",SPLIT('(INGESTA)Datos_consumo_datadis'!A:A,"",""),"""")"),"ES0031408323131005HX0F")</f>
        <v>ES0031408323131005HX0F</v>
      </c>
      <c r="B14184" s="12">
        <f>IFERROR(__xludf.DUMMYFUNCTION("""COMPUTED_VALUE"""),45456.0)</f>
        <v>45456</v>
      </c>
      <c r="C14184" s="16">
        <f>IFERROR(__xludf.DUMMYFUNCTION("""COMPUTED_VALUE"""),1.0)</f>
        <v>1</v>
      </c>
      <c r="D14184" s="8">
        <f>IFERROR(__xludf.DUMMYFUNCTION("""COMPUTED_VALUE"""),0.039)</f>
        <v>0.039</v>
      </c>
      <c r="E14184" s="8" t="str">
        <f>IFERROR(__xludf.DUMMYFUNCTION("""COMPUTED_VALUE"""),"Real")</f>
        <v>Real</v>
      </c>
      <c r="G14184" s="8">
        <f t="shared" si="1"/>
        <v>6</v>
      </c>
      <c r="H14184" s="14">
        <f t="shared" si="2"/>
        <v>13</v>
      </c>
      <c r="I14184" s="15">
        <f t="shared" si="3"/>
        <v>0</v>
      </c>
    </row>
    <row r="14185">
      <c r="A14185" s="8" t="str">
        <f>IFERROR(__xludf.DUMMYFUNCTION("IF('(INGESTA)Datos_consumo_datadis'!A14185&lt;&gt;"""",SPLIT('(INGESTA)Datos_consumo_datadis'!A:A,"",""),"""")"),"ES0031408323131005HX0F")</f>
        <v>ES0031408323131005HX0F</v>
      </c>
      <c r="B14185" s="12">
        <f>IFERROR(__xludf.DUMMYFUNCTION("""COMPUTED_VALUE"""),45457.0)</f>
        <v>45457</v>
      </c>
      <c r="C14185" s="13">
        <f>IFERROR(__xludf.DUMMYFUNCTION("""COMPUTED_VALUE"""),0.041666666666666664)</f>
        <v>0.04166666667</v>
      </c>
      <c r="D14185" s="8">
        <f>IFERROR(__xludf.DUMMYFUNCTION("""COMPUTED_VALUE"""),0.006)</f>
        <v>0.006</v>
      </c>
      <c r="E14185" s="8" t="str">
        <f>IFERROR(__xludf.DUMMYFUNCTION("""COMPUTED_VALUE"""),"Real")</f>
        <v>Real</v>
      </c>
      <c r="G14185" s="8">
        <f t="shared" si="1"/>
        <v>6</v>
      </c>
      <c r="H14185" s="14">
        <f t="shared" si="2"/>
        <v>14</v>
      </c>
      <c r="I14185" s="15">
        <f t="shared" si="3"/>
        <v>1</v>
      </c>
    </row>
    <row r="14186">
      <c r="A14186" s="8" t="str">
        <f>IFERROR(__xludf.DUMMYFUNCTION("IF('(INGESTA)Datos_consumo_datadis'!A14186&lt;&gt;"""",SPLIT('(INGESTA)Datos_consumo_datadis'!A:A,"",""),"""")"),"ES0031408323131005HX0F")</f>
        <v>ES0031408323131005HX0F</v>
      </c>
      <c r="B14186" s="12">
        <f>IFERROR(__xludf.DUMMYFUNCTION("""COMPUTED_VALUE"""),45457.0)</f>
        <v>45457</v>
      </c>
      <c r="C14186" s="13">
        <f>IFERROR(__xludf.DUMMYFUNCTION("""COMPUTED_VALUE"""),0.08333333333333333)</f>
        <v>0.08333333333</v>
      </c>
      <c r="D14186" s="8">
        <f>IFERROR(__xludf.DUMMYFUNCTION("""COMPUTED_VALUE"""),0.075)</f>
        <v>0.075</v>
      </c>
      <c r="E14186" s="8" t="str">
        <f>IFERROR(__xludf.DUMMYFUNCTION("""COMPUTED_VALUE"""),"Real")</f>
        <v>Real</v>
      </c>
      <c r="G14186" s="8">
        <f t="shared" si="1"/>
        <v>6</v>
      </c>
      <c r="H14186" s="14">
        <f t="shared" si="2"/>
        <v>14</v>
      </c>
      <c r="I14186" s="15">
        <f t="shared" si="3"/>
        <v>2</v>
      </c>
    </row>
    <row r="14187">
      <c r="A14187" s="8" t="str">
        <f>IFERROR(__xludf.DUMMYFUNCTION("IF('(INGESTA)Datos_consumo_datadis'!A14187&lt;&gt;"""",SPLIT('(INGESTA)Datos_consumo_datadis'!A:A,"",""),"""")"),"ES0031408323131005HX0F")</f>
        <v>ES0031408323131005HX0F</v>
      </c>
      <c r="B14187" s="12">
        <f>IFERROR(__xludf.DUMMYFUNCTION("""COMPUTED_VALUE"""),45457.0)</f>
        <v>45457</v>
      </c>
      <c r="C14187" s="13">
        <f>IFERROR(__xludf.DUMMYFUNCTION("""COMPUTED_VALUE"""),0.125)</f>
        <v>0.125</v>
      </c>
      <c r="D14187" s="8">
        <f>IFERROR(__xludf.DUMMYFUNCTION("""COMPUTED_VALUE"""),0.068)</f>
        <v>0.068</v>
      </c>
      <c r="E14187" s="8" t="str">
        <f>IFERROR(__xludf.DUMMYFUNCTION("""COMPUTED_VALUE"""),"Real")</f>
        <v>Real</v>
      </c>
      <c r="G14187" s="8">
        <f t="shared" si="1"/>
        <v>6</v>
      </c>
      <c r="H14187" s="14">
        <f t="shared" si="2"/>
        <v>14</v>
      </c>
      <c r="I14187" s="15">
        <f t="shared" si="3"/>
        <v>3</v>
      </c>
    </row>
    <row r="14188">
      <c r="A14188" s="8" t="str">
        <f>IFERROR(__xludf.DUMMYFUNCTION("IF('(INGESTA)Datos_consumo_datadis'!A14188&lt;&gt;"""",SPLIT('(INGESTA)Datos_consumo_datadis'!A:A,"",""),"""")"),"ES0031408323131005HX0F")</f>
        <v>ES0031408323131005HX0F</v>
      </c>
      <c r="B14188" s="12">
        <f>IFERROR(__xludf.DUMMYFUNCTION("""COMPUTED_VALUE"""),45457.0)</f>
        <v>45457</v>
      </c>
      <c r="C14188" s="13">
        <f>IFERROR(__xludf.DUMMYFUNCTION("""COMPUTED_VALUE"""),0.16666666666666666)</f>
        <v>0.1666666667</v>
      </c>
      <c r="D14188" s="8">
        <f>IFERROR(__xludf.DUMMYFUNCTION("""COMPUTED_VALUE"""),0.051)</f>
        <v>0.051</v>
      </c>
      <c r="E14188" s="8" t="str">
        <f>IFERROR(__xludf.DUMMYFUNCTION("""COMPUTED_VALUE"""),"Real")</f>
        <v>Real</v>
      </c>
      <c r="G14188" s="8">
        <f t="shared" si="1"/>
        <v>6</v>
      </c>
      <c r="H14188" s="14">
        <f t="shared" si="2"/>
        <v>14</v>
      </c>
      <c r="I14188" s="15">
        <f t="shared" si="3"/>
        <v>4</v>
      </c>
    </row>
    <row r="14189">
      <c r="A14189" s="8" t="str">
        <f>IFERROR(__xludf.DUMMYFUNCTION("IF('(INGESTA)Datos_consumo_datadis'!A14189&lt;&gt;"""",SPLIT('(INGESTA)Datos_consumo_datadis'!A:A,"",""),"""")"),"ES0031408323131005HX0F")</f>
        <v>ES0031408323131005HX0F</v>
      </c>
      <c r="B14189" s="12">
        <f>IFERROR(__xludf.DUMMYFUNCTION("""COMPUTED_VALUE"""),45457.0)</f>
        <v>45457</v>
      </c>
      <c r="C14189" s="13">
        <f>IFERROR(__xludf.DUMMYFUNCTION("""COMPUTED_VALUE"""),0.20833333333333334)</f>
        <v>0.2083333333</v>
      </c>
      <c r="D14189" s="8">
        <f>IFERROR(__xludf.DUMMYFUNCTION("""COMPUTED_VALUE"""),0.006)</f>
        <v>0.006</v>
      </c>
      <c r="E14189" s="8" t="str">
        <f>IFERROR(__xludf.DUMMYFUNCTION("""COMPUTED_VALUE"""),"Real")</f>
        <v>Real</v>
      </c>
      <c r="G14189" s="8">
        <f t="shared" si="1"/>
        <v>6</v>
      </c>
      <c r="H14189" s="14">
        <f t="shared" si="2"/>
        <v>14</v>
      </c>
      <c r="I14189" s="15">
        <f t="shared" si="3"/>
        <v>5</v>
      </c>
    </row>
    <row r="14190">
      <c r="A14190" s="8" t="str">
        <f>IFERROR(__xludf.DUMMYFUNCTION("IF('(INGESTA)Datos_consumo_datadis'!A14190&lt;&gt;"""",SPLIT('(INGESTA)Datos_consumo_datadis'!A:A,"",""),"""")"),"ES0031408323131005HX0F")</f>
        <v>ES0031408323131005HX0F</v>
      </c>
      <c r="B14190" s="12">
        <f>IFERROR(__xludf.DUMMYFUNCTION("""COMPUTED_VALUE"""),45457.0)</f>
        <v>45457</v>
      </c>
      <c r="C14190" s="13">
        <f>IFERROR(__xludf.DUMMYFUNCTION("""COMPUTED_VALUE"""),0.25)</f>
        <v>0.25</v>
      </c>
      <c r="D14190" s="8">
        <f>IFERROR(__xludf.DUMMYFUNCTION("""COMPUTED_VALUE"""),0.356)</f>
        <v>0.356</v>
      </c>
      <c r="E14190" s="8" t="str">
        <f>IFERROR(__xludf.DUMMYFUNCTION("""COMPUTED_VALUE"""),"Real")</f>
        <v>Real</v>
      </c>
      <c r="G14190" s="8">
        <f t="shared" si="1"/>
        <v>6</v>
      </c>
      <c r="H14190" s="14">
        <f t="shared" si="2"/>
        <v>14</v>
      </c>
      <c r="I14190" s="15">
        <f t="shared" si="3"/>
        <v>6</v>
      </c>
    </row>
    <row r="14191">
      <c r="A14191" s="8" t="str">
        <f>IFERROR(__xludf.DUMMYFUNCTION("IF('(INGESTA)Datos_consumo_datadis'!A14191&lt;&gt;"""",SPLIT('(INGESTA)Datos_consumo_datadis'!A:A,"",""),"""")"),"ES0031408323131005HX0F")</f>
        <v>ES0031408323131005HX0F</v>
      </c>
      <c r="B14191" s="12">
        <f>IFERROR(__xludf.DUMMYFUNCTION("""COMPUTED_VALUE"""),45457.0)</f>
        <v>45457</v>
      </c>
      <c r="C14191" s="13">
        <f>IFERROR(__xludf.DUMMYFUNCTION("""COMPUTED_VALUE"""),0.2916666666666667)</f>
        <v>0.2916666667</v>
      </c>
      <c r="D14191" s="8">
        <f>IFERROR(__xludf.DUMMYFUNCTION("""COMPUTED_VALUE"""),0.069)</f>
        <v>0.069</v>
      </c>
      <c r="E14191" s="8" t="str">
        <f>IFERROR(__xludf.DUMMYFUNCTION("""COMPUTED_VALUE"""),"Real")</f>
        <v>Real</v>
      </c>
      <c r="G14191" s="8">
        <f t="shared" si="1"/>
        <v>6</v>
      </c>
      <c r="H14191" s="14">
        <f t="shared" si="2"/>
        <v>14</v>
      </c>
      <c r="I14191" s="15">
        <f t="shared" si="3"/>
        <v>7</v>
      </c>
    </row>
    <row r="14192">
      <c r="A14192" s="8" t="str">
        <f>IFERROR(__xludf.DUMMYFUNCTION("IF('(INGESTA)Datos_consumo_datadis'!A14192&lt;&gt;"""",SPLIT('(INGESTA)Datos_consumo_datadis'!A:A,"",""),"""")"),"ES0031408323131005HX0F")</f>
        <v>ES0031408323131005HX0F</v>
      </c>
      <c r="B14192" s="12">
        <f>IFERROR(__xludf.DUMMYFUNCTION("""COMPUTED_VALUE"""),45457.0)</f>
        <v>45457</v>
      </c>
      <c r="C14192" s="13">
        <f>IFERROR(__xludf.DUMMYFUNCTION("""COMPUTED_VALUE"""),0.3333333333333333)</f>
        <v>0.3333333333</v>
      </c>
      <c r="D14192" s="8">
        <f>IFERROR(__xludf.DUMMYFUNCTION("""COMPUTED_VALUE"""),0.061)</f>
        <v>0.061</v>
      </c>
      <c r="E14192" s="8" t="str">
        <f>IFERROR(__xludf.DUMMYFUNCTION("""COMPUTED_VALUE"""),"Real")</f>
        <v>Real</v>
      </c>
      <c r="G14192" s="8">
        <f t="shared" si="1"/>
        <v>6</v>
      </c>
      <c r="H14192" s="14">
        <f t="shared" si="2"/>
        <v>14</v>
      </c>
      <c r="I14192" s="15">
        <f t="shared" si="3"/>
        <v>8</v>
      </c>
    </row>
    <row r="14193">
      <c r="A14193" s="8" t="str">
        <f>IFERROR(__xludf.DUMMYFUNCTION("IF('(INGESTA)Datos_consumo_datadis'!A14193&lt;&gt;"""",SPLIT('(INGESTA)Datos_consumo_datadis'!A:A,"",""),"""")"),"ES0031408323131005HX0F")</f>
        <v>ES0031408323131005HX0F</v>
      </c>
      <c r="B14193" s="12">
        <f>IFERROR(__xludf.DUMMYFUNCTION("""COMPUTED_VALUE"""),45457.0)</f>
        <v>45457</v>
      </c>
      <c r="C14193" s="13">
        <f>IFERROR(__xludf.DUMMYFUNCTION("""COMPUTED_VALUE"""),0.375)</f>
        <v>0.375</v>
      </c>
      <c r="D14193" s="8">
        <f>IFERROR(__xludf.DUMMYFUNCTION("""COMPUTED_VALUE"""),0.006)</f>
        <v>0.006</v>
      </c>
      <c r="E14193" s="8" t="str">
        <f>IFERROR(__xludf.DUMMYFUNCTION("""COMPUTED_VALUE"""),"Real")</f>
        <v>Real</v>
      </c>
      <c r="G14193" s="8">
        <f t="shared" si="1"/>
        <v>6</v>
      </c>
      <c r="H14193" s="14">
        <f t="shared" si="2"/>
        <v>14</v>
      </c>
      <c r="I14193" s="15">
        <f t="shared" si="3"/>
        <v>9</v>
      </c>
    </row>
    <row r="14194">
      <c r="A14194" s="8" t="str">
        <f>IFERROR(__xludf.DUMMYFUNCTION("IF('(INGESTA)Datos_consumo_datadis'!A14194&lt;&gt;"""",SPLIT('(INGESTA)Datos_consumo_datadis'!A:A,"",""),"""")"),"ES0031408323131005HX0F")</f>
        <v>ES0031408323131005HX0F</v>
      </c>
      <c r="B14194" s="12">
        <f>IFERROR(__xludf.DUMMYFUNCTION("""COMPUTED_VALUE"""),45457.0)</f>
        <v>45457</v>
      </c>
      <c r="C14194" s="13">
        <f>IFERROR(__xludf.DUMMYFUNCTION("""COMPUTED_VALUE"""),0.4166666666666667)</f>
        <v>0.4166666667</v>
      </c>
      <c r="D14194" s="8">
        <f>IFERROR(__xludf.DUMMYFUNCTION("""COMPUTED_VALUE"""),0.05)</f>
        <v>0.05</v>
      </c>
      <c r="E14194" s="8" t="str">
        <f>IFERROR(__xludf.DUMMYFUNCTION("""COMPUTED_VALUE"""),"Real")</f>
        <v>Real</v>
      </c>
      <c r="G14194" s="8">
        <f t="shared" si="1"/>
        <v>6</v>
      </c>
      <c r="H14194" s="14">
        <f t="shared" si="2"/>
        <v>14</v>
      </c>
      <c r="I14194" s="15">
        <f t="shared" si="3"/>
        <v>10</v>
      </c>
    </row>
    <row r="14195">
      <c r="A14195" s="8" t="str">
        <f>IFERROR(__xludf.DUMMYFUNCTION("IF('(INGESTA)Datos_consumo_datadis'!A14195&lt;&gt;"""",SPLIT('(INGESTA)Datos_consumo_datadis'!A:A,"",""),"""")"),"ES0031408323131005HX0F")</f>
        <v>ES0031408323131005HX0F</v>
      </c>
      <c r="B14195" s="12">
        <f>IFERROR(__xludf.DUMMYFUNCTION("""COMPUTED_VALUE"""),45457.0)</f>
        <v>45457</v>
      </c>
      <c r="C14195" s="13">
        <f>IFERROR(__xludf.DUMMYFUNCTION("""COMPUTED_VALUE"""),0.4583333333333333)</f>
        <v>0.4583333333</v>
      </c>
      <c r="D14195" s="8">
        <f>IFERROR(__xludf.DUMMYFUNCTION("""COMPUTED_VALUE"""),0.07)</f>
        <v>0.07</v>
      </c>
      <c r="E14195" s="8" t="str">
        <f>IFERROR(__xludf.DUMMYFUNCTION("""COMPUTED_VALUE"""),"Real")</f>
        <v>Real</v>
      </c>
      <c r="G14195" s="8">
        <f t="shared" si="1"/>
        <v>6</v>
      </c>
      <c r="H14195" s="14">
        <f t="shared" si="2"/>
        <v>14</v>
      </c>
      <c r="I14195" s="15">
        <f t="shared" si="3"/>
        <v>11</v>
      </c>
    </row>
    <row r="14196">
      <c r="A14196" s="8" t="str">
        <f>IFERROR(__xludf.DUMMYFUNCTION("IF('(INGESTA)Datos_consumo_datadis'!A14196&lt;&gt;"""",SPLIT('(INGESTA)Datos_consumo_datadis'!A:A,"",""),"""")"),"ES0031408323131005HX0F")</f>
        <v>ES0031408323131005HX0F</v>
      </c>
      <c r="B14196" s="12">
        <f>IFERROR(__xludf.DUMMYFUNCTION("""COMPUTED_VALUE"""),45457.0)</f>
        <v>45457</v>
      </c>
      <c r="C14196" s="13">
        <f>IFERROR(__xludf.DUMMYFUNCTION("""COMPUTED_VALUE"""),0.5)</f>
        <v>0.5</v>
      </c>
      <c r="D14196" s="8">
        <f>IFERROR(__xludf.DUMMYFUNCTION("""COMPUTED_VALUE"""),0.066)</f>
        <v>0.066</v>
      </c>
      <c r="E14196" s="8" t="str">
        <f>IFERROR(__xludf.DUMMYFUNCTION("""COMPUTED_VALUE"""),"Real")</f>
        <v>Real</v>
      </c>
      <c r="G14196" s="8">
        <f t="shared" si="1"/>
        <v>6</v>
      </c>
      <c r="H14196" s="14">
        <f t="shared" si="2"/>
        <v>14</v>
      </c>
      <c r="I14196" s="15">
        <f t="shared" si="3"/>
        <v>12</v>
      </c>
    </row>
    <row r="14197">
      <c r="A14197" s="8" t="str">
        <f>IFERROR(__xludf.DUMMYFUNCTION("IF('(INGESTA)Datos_consumo_datadis'!A14197&lt;&gt;"""",SPLIT('(INGESTA)Datos_consumo_datadis'!A:A,"",""),"""")"),"ES0031408323131005HX0F")</f>
        <v>ES0031408323131005HX0F</v>
      </c>
      <c r="B14197" s="12">
        <f>IFERROR(__xludf.DUMMYFUNCTION("""COMPUTED_VALUE"""),45457.0)</f>
        <v>45457</v>
      </c>
      <c r="C14197" s="13">
        <f>IFERROR(__xludf.DUMMYFUNCTION("""COMPUTED_VALUE"""),0.5416666666666666)</f>
        <v>0.5416666667</v>
      </c>
      <c r="D14197" s="8">
        <f>IFERROR(__xludf.DUMMYFUNCTION("""COMPUTED_VALUE"""),0.276)</f>
        <v>0.276</v>
      </c>
      <c r="E14197" s="8" t="str">
        <f>IFERROR(__xludf.DUMMYFUNCTION("""COMPUTED_VALUE"""),"Real")</f>
        <v>Real</v>
      </c>
      <c r="G14197" s="8">
        <f t="shared" si="1"/>
        <v>6</v>
      </c>
      <c r="H14197" s="14">
        <f t="shared" si="2"/>
        <v>14</v>
      </c>
      <c r="I14197" s="15">
        <f t="shared" si="3"/>
        <v>13</v>
      </c>
    </row>
    <row r="14198">
      <c r="A14198" s="8" t="str">
        <f>IFERROR(__xludf.DUMMYFUNCTION("IF('(INGESTA)Datos_consumo_datadis'!A14198&lt;&gt;"""",SPLIT('(INGESTA)Datos_consumo_datadis'!A:A,"",""),"""")"),"ES0031408323131005HX0F")</f>
        <v>ES0031408323131005HX0F</v>
      </c>
      <c r="B14198" s="12">
        <f>IFERROR(__xludf.DUMMYFUNCTION("""COMPUTED_VALUE"""),45457.0)</f>
        <v>45457</v>
      </c>
      <c r="C14198" s="13">
        <f>IFERROR(__xludf.DUMMYFUNCTION("""COMPUTED_VALUE"""),0.5833333333333334)</f>
        <v>0.5833333333</v>
      </c>
      <c r="D14198" s="8">
        <f>IFERROR(__xludf.DUMMYFUNCTION("""COMPUTED_VALUE"""),0.038)</f>
        <v>0.038</v>
      </c>
      <c r="E14198" s="8" t="str">
        <f>IFERROR(__xludf.DUMMYFUNCTION("""COMPUTED_VALUE"""),"Real")</f>
        <v>Real</v>
      </c>
      <c r="G14198" s="8">
        <f t="shared" si="1"/>
        <v>6</v>
      </c>
      <c r="H14198" s="14">
        <f t="shared" si="2"/>
        <v>14</v>
      </c>
      <c r="I14198" s="15">
        <f t="shared" si="3"/>
        <v>14</v>
      </c>
    </row>
    <row r="14199">
      <c r="A14199" s="8" t="str">
        <f>IFERROR(__xludf.DUMMYFUNCTION("IF('(INGESTA)Datos_consumo_datadis'!A14199&lt;&gt;"""",SPLIT('(INGESTA)Datos_consumo_datadis'!A:A,"",""),"""")"),"ES0031408323131005HX0F")</f>
        <v>ES0031408323131005HX0F</v>
      </c>
      <c r="B14199" s="12">
        <f>IFERROR(__xludf.DUMMYFUNCTION("""COMPUTED_VALUE"""),45457.0)</f>
        <v>45457</v>
      </c>
      <c r="C14199" s="13">
        <f>IFERROR(__xludf.DUMMYFUNCTION("""COMPUTED_VALUE"""),0.625)</f>
        <v>0.625</v>
      </c>
      <c r="D14199" s="8">
        <f>IFERROR(__xludf.DUMMYFUNCTION("""COMPUTED_VALUE"""),0.081)</f>
        <v>0.081</v>
      </c>
      <c r="E14199" s="8" t="str">
        <f>IFERROR(__xludf.DUMMYFUNCTION("""COMPUTED_VALUE"""),"Real")</f>
        <v>Real</v>
      </c>
      <c r="G14199" s="8">
        <f t="shared" si="1"/>
        <v>6</v>
      </c>
      <c r="H14199" s="14">
        <f t="shared" si="2"/>
        <v>14</v>
      </c>
      <c r="I14199" s="15">
        <f t="shared" si="3"/>
        <v>15</v>
      </c>
    </row>
    <row r="14200">
      <c r="A14200" s="8" t="str">
        <f>IFERROR(__xludf.DUMMYFUNCTION("IF('(INGESTA)Datos_consumo_datadis'!A14200&lt;&gt;"""",SPLIT('(INGESTA)Datos_consumo_datadis'!A:A,"",""),"""")"),"ES0031408323131005HX0F")</f>
        <v>ES0031408323131005HX0F</v>
      </c>
      <c r="B14200" s="12">
        <f>IFERROR(__xludf.DUMMYFUNCTION("""COMPUTED_VALUE"""),45457.0)</f>
        <v>45457</v>
      </c>
      <c r="C14200" s="13">
        <f>IFERROR(__xludf.DUMMYFUNCTION("""COMPUTED_VALUE"""),0.6666666666666666)</f>
        <v>0.6666666667</v>
      </c>
      <c r="D14200" s="8">
        <f>IFERROR(__xludf.DUMMYFUNCTION("""COMPUTED_VALUE"""),0.057)</f>
        <v>0.057</v>
      </c>
      <c r="E14200" s="8" t="str">
        <f>IFERROR(__xludf.DUMMYFUNCTION("""COMPUTED_VALUE"""),"Real")</f>
        <v>Real</v>
      </c>
      <c r="G14200" s="8">
        <f t="shared" si="1"/>
        <v>6</v>
      </c>
      <c r="H14200" s="14">
        <f t="shared" si="2"/>
        <v>14</v>
      </c>
      <c r="I14200" s="15">
        <f t="shared" si="3"/>
        <v>16</v>
      </c>
    </row>
    <row r="14201">
      <c r="A14201" s="8" t="str">
        <f>IFERROR(__xludf.DUMMYFUNCTION("IF('(INGESTA)Datos_consumo_datadis'!A14201&lt;&gt;"""",SPLIT('(INGESTA)Datos_consumo_datadis'!A:A,"",""),"""")"),"ES0031408323131005HX0F")</f>
        <v>ES0031408323131005HX0F</v>
      </c>
      <c r="B14201" s="12">
        <f>IFERROR(__xludf.DUMMYFUNCTION("""COMPUTED_VALUE"""),45457.0)</f>
        <v>45457</v>
      </c>
      <c r="C14201" s="13">
        <f>IFERROR(__xludf.DUMMYFUNCTION("""COMPUTED_VALUE"""),0.7083333333333334)</f>
        <v>0.7083333333</v>
      </c>
      <c r="D14201" s="8">
        <f>IFERROR(__xludf.DUMMYFUNCTION("""COMPUTED_VALUE"""),0.023)</f>
        <v>0.023</v>
      </c>
      <c r="E14201" s="8" t="str">
        <f>IFERROR(__xludf.DUMMYFUNCTION("""COMPUTED_VALUE"""),"Real")</f>
        <v>Real</v>
      </c>
      <c r="G14201" s="8">
        <f t="shared" si="1"/>
        <v>6</v>
      </c>
      <c r="H14201" s="14">
        <f t="shared" si="2"/>
        <v>14</v>
      </c>
      <c r="I14201" s="15">
        <f t="shared" si="3"/>
        <v>17</v>
      </c>
    </row>
    <row r="14202">
      <c r="A14202" s="8" t="str">
        <f>IFERROR(__xludf.DUMMYFUNCTION("IF('(INGESTA)Datos_consumo_datadis'!A14202&lt;&gt;"""",SPLIT('(INGESTA)Datos_consumo_datadis'!A:A,"",""),"""")"),"ES0031408323131005HX0F")</f>
        <v>ES0031408323131005HX0F</v>
      </c>
      <c r="B14202" s="12">
        <f>IFERROR(__xludf.DUMMYFUNCTION("""COMPUTED_VALUE"""),45457.0)</f>
        <v>45457</v>
      </c>
      <c r="C14202" s="13">
        <f>IFERROR(__xludf.DUMMYFUNCTION("""COMPUTED_VALUE"""),0.75)</f>
        <v>0.75</v>
      </c>
      <c r="D14202" s="8">
        <f>IFERROR(__xludf.DUMMYFUNCTION("""COMPUTED_VALUE"""),0.027)</f>
        <v>0.027</v>
      </c>
      <c r="E14202" s="8" t="str">
        <f>IFERROR(__xludf.DUMMYFUNCTION("""COMPUTED_VALUE"""),"Real")</f>
        <v>Real</v>
      </c>
      <c r="G14202" s="8">
        <f t="shared" si="1"/>
        <v>6</v>
      </c>
      <c r="H14202" s="14">
        <f t="shared" si="2"/>
        <v>14</v>
      </c>
      <c r="I14202" s="15">
        <f t="shared" si="3"/>
        <v>18</v>
      </c>
    </row>
    <row r="14203">
      <c r="A14203" s="8" t="str">
        <f>IFERROR(__xludf.DUMMYFUNCTION("IF('(INGESTA)Datos_consumo_datadis'!A14203&lt;&gt;"""",SPLIT('(INGESTA)Datos_consumo_datadis'!A:A,"",""),"""")"),"ES0031408323131005HX0F")</f>
        <v>ES0031408323131005HX0F</v>
      </c>
      <c r="B14203" s="12">
        <f>IFERROR(__xludf.DUMMYFUNCTION("""COMPUTED_VALUE"""),45457.0)</f>
        <v>45457</v>
      </c>
      <c r="C14203" s="13">
        <f>IFERROR(__xludf.DUMMYFUNCTION("""COMPUTED_VALUE"""),0.7916666666666666)</f>
        <v>0.7916666667</v>
      </c>
      <c r="D14203" s="8">
        <f>IFERROR(__xludf.DUMMYFUNCTION("""COMPUTED_VALUE"""),0.093)</f>
        <v>0.093</v>
      </c>
      <c r="E14203" s="8" t="str">
        <f>IFERROR(__xludf.DUMMYFUNCTION("""COMPUTED_VALUE"""),"Real")</f>
        <v>Real</v>
      </c>
      <c r="G14203" s="8">
        <f t="shared" si="1"/>
        <v>6</v>
      </c>
      <c r="H14203" s="14">
        <f t="shared" si="2"/>
        <v>14</v>
      </c>
      <c r="I14203" s="15">
        <f t="shared" si="3"/>
        <v>19</v>
      </c>
    </row>
    <row r="14204">
      <c r="A14204" s="8" t="str">
        <f>IFERROR(__xludf.DUMMYFUNCTION("IF('(INGESTA)Datos_consumo_datadis'!A14204&lt;&gt;"""",SPLIT('(INGESTA)Datos_consumo_datadis'!A:A,"",""),"""")"),"ES0031408323131005HX0F")</f>
        <v>ES0031408323131005HX0F</v>
      </c>
      <c r="B14204" s="12">
        <f>IFERROR(__xludf.DUMMYFUNCTION("""COMPUTED_VALUE"""),45457.0)</f>
        <v>45457</v>
      </c>
      <c r="C14204" s="13">
        <f>IFERROR(__xludf.DUMMYFUNCTION("""COMPUTED_VALUE"""),0.8333333333333334)</f>
        <v>0.8333333333</v>
      </c>
      <c r="D14204" s="8">
        <f>IFERROR(__xludf.DUMMYFUNCTION("""COMPUTED_VALUE"""),0.334)</f>
        <v>0.334</v>
      </c>
      <c r="E14204" s="8" t="str">
        <f>IFERROR(__xludf.DUMMYFUNCTION("""COMPUTED_VALUE"""),"Real")</f>
        <v>Real</v>
      </c>
      <c r="G14204" s="8">
        <f t="shared" si="1"/>
        <v>6</v>
      </c>
      <c r="H14204" s="14">
        <f t="shared" si="2"/>
        <v>14</v>
      </c>
      <c r="I14204" s="15">
        <f t="shared" si="3"/>
        <v>20</v>
      </c>
    </row>
    <row r="14205">
      <c r="A14205" s="8" t="str">
        <f>IFERROR(__xludf.DUMMYFUNCTION("IF('(INGESTA)Datos_consumo_datadis'!A14205&lt;&gt;"""",SPLIT('(INGESTA)Datos_consumo_datadis'!A:A,"",""),"""")"),"ES0031408323131005HX0F")</f>
        <v>ES0031408323131005HX0F</v>
      </c>
      <c r="B14205" s="12">
        <f>IFERROR(__xludf.DUMMYFUNCTION("""COMPUTED_VALUE"""),45457.0)</f>
        <v>45457</v>
      </c>
      <c r="C14205" s="13">
        <f>IFERROR(__xludf.DUMMYFUNCTION("""COMPUTED_VALUE"""),0.875)</f>
        <v>0.875</v>
      </c>
      <c r="D14205" s="8">
        <f>IFERROR(__xludf.DUMMYFUNCTION("""COMPUTED_VALUE"""),0.033)</f>
        <v>0.033</v>
      </c>
      <c r="E14205" s="8" t="str">
        <f>IFERROR(__xludf.DUMMYFUNCTION("""COMPUTED_VALUE"""),"Real")</f>
        <v>Real</v>
      </c>
      <c r="G14205" s="8">
        <f t="shared" si="1"/>
        <v>6</v>
      </c>
      <c r="H14205" s="14">
        <f t="shared" si="2"/>
        <v>14</v>
      </c>
      <c r="I14205" s="15">
        <f t="shared" si="3"/>
        <v>21</v>
      </c>
    </row>
    <row r="14206">
      <c r="A14206" s="8" t="str">
        <f>IFERROR(__xludf.DUMMYFUNCTION("IF('(INGESTA)Datos_consumo_datadis'!A14206&lt;&gt;"""",SPLIT('(INGESTA)Datos_consumo_datadis'!A:A,"",""),"""")"),"ES0031408323131005HX0F")</f>
        <v>ES0031408323131005HX0F</v>
      </c>
      <c r="B14206" s="12">
        <f>IFERROR(__xludf.DUMMYFUNCTION("""COMPUTED_VALUE"""),45457.0)</f>
        <v>45457</v>
      </c>
      <c r="C14206" s="13">
        <f>IFERROR(__xludf.DUMMYFUNCTION("""COMPUTED_VALUE"""),0.9166666666666666)</f>
        <v>0.9166666667</v>
      </c>
      <c r="D14206" s="8">
        <f>IFERROR(__xludf.DUMMYFUNCTION("""COMPUTED_VALUE"""),0.017)</f>
        <v>0.017</v>
      </c>
      <c r="E14206" s="8" t="str">
        <f>IFERROR(__xludf.DUMMYFUNCTION("""COMPUTED_VALUE"""),"Real")</f>
        <v>Real</v>
      </c>
      <c r="G14206" s="8">
        <f t="shared" si="1"/>
        <v>6</v>
      </c>
      <c r="H14206" s="14">
        <f t="shared" si="2"/>
        <v>14</v>
      </c>
      <c r="I14206" s="15">
        <f t="shared" si="3"/>
        <v>22</v>
      </c>
    </row>
    <row r="14207">
      <c r="A14207" s="8" t="str">
        <f>IFERROR(__xludf.DUMMYFUNCTION("IF('(INGESTA)Datos_consumo_datadis'!A14207&lt;&gt;"""",SPLIT('(INGESTA)Datos_consumo_datadis'!A:A,"",""),"""")"),"ES0031408323131005HX0F")</f>
        <v>ES0031408323131005HX0F</v>
      </c>
      <c r="B14207" s="12">
        <f>IFERROR(__xludf.DUMMYFUNCTION("""COMPUTED_VALUE"""),45457.0)</f>
        <v>45457</v>
      </c>
      <c r="C14207" s="13">
        <f>IFERROR(__xludf.DUMMYFUNCTION("""COMPUTED_VALUE"""),0.9583333333333334)</f>
        <v>0.9583333333</v>
      </c>
      <c r="D14207" s="8">
        <f>IFERROR(__xludf.DUMMYFUNCTION("""COMPUTED_VALUE"""),0.104)</f>
        <v>0.104</v>
      </c>
      <c r="E14207" s="8" t="str">
        <f>IFERROR(__xludf.DUMMYFUNCTION("""COMPUTED_VALUE"""),"Real")</f>
        <v>Real</v>
      </c>
      <c r="G14207" s="8">
        <f t="shared" si="1"/>
        <v>6</v>
      </c>
      <c r="H14207" s="14">
        <f t="shared" si="2"/>
        <v>14</v>
      </c>
      <c r="I14207" s="15">
        <f t="shared" si="3"/>
        <v>23</v>
      </c>
    </row>
    <row r="14208">
      <c r="A14208" s="8" t="str">
        <f>IFERROR(__xludf.DUMMYFUNCTION("IF('(INGESTA)Datos_consumo_datadis'!A14208&lt;&gt;"""",SPLIT('(INGESTA)Datos_consumo_datadis'!A:A,"",""),"""")"),"ES0031408323131005HX0F")</f>
        <v>ES0031408323131005HX0F</v>
      </c>
      <c r="B14208" s="12">
        <f>IFERROR(__xludf.DUMMYFUNCTION("""COMPUTED_VALUE"""),45457.0)</f>
        <v>45457</v>
      </c>
      <c r="C14208" s="16">
        <f>IFERROR(__xludf.DUMMYFUNCTION("""COMPUTED_VALUE"""),1.0)</f>
        <v>1</v>
      </c>
      <c r="D14208" s="8">
        <f>IFERROR(__xludf.DUMMYFUNCTION("""COMPUTED_VALUE"""),0.094)</f>
        <v>0.094</v>
      </c>
      <c r="E14208" s="8" t="str">
        <f>IFERROR(__xludf.DUMMYFUNCTION("""COMPUTED_VALUE"""),"Real")</f>
        <v>Real</v>
      </c>
      <c r="G14208" s="8">
        <f t="shared" si="1"/>
        <v>6</v>
      </c>
      <c r="H14208" s="14">
        <f t="shared" si="2"/>
        <v>14</v>
      </c>
      <c r="I14208" s="15">
        <f t="shared" si="3"/>
        <v>0</v>
      </c>
    </row>
    <row r="14209">
      <c r="A14209" s="8" t="str">
        <f>IFERROR(__xludf.DUMMYFUNCTION("IF('(INGESTA)Datos_consumo_datadis'!A14209&lt;&gt;"""",SPLIT('(INGESTA)Datos_consumo_datadis'!A:A,"",""),"""")"),"ES0031408323131005HX0F")</f>
        <v>ES0031408323131005HX0F</v>
      </c>
      <c r="B14209" s="12">
        <f>IFERROR(__xludf.DUMMYFUNCTION("""COMPUTED_VALUE"""),45458.0)</f>
        <v>45458</v>
      </c>
      <c r="C14209" s="13">
        <f>IFERROR(__xludf.DUMMYFUNCTION("""COMPUTED_VALUE"""),0.041666666666666664)</f>
        <v>0.04166666667</v>
      </c>
      <c r="D14209" s="8">
        <f>IFERROR(__xludf.DUMMYFUNCTION("""COMPUTED_VALUE"""),0.118)</f>
        <v>0.118</v>
      </c>
      <c r="E14209" s="8" t="str">
        <f>IFERROR(__xludf.DUMMYFUNCTION("""COMPUTED_VALUE"""),"Real")</f>
        <v>Real</v>
      </c>
      <c r="G14209" s="8">
        <f t="shared" si="1"/>
        <v>6</v>
      </c>
      <c r="H14209" s="14">
        <f t="shared" si="2"/>
        <v>15</v>
      </c>
      <c r="I14209" s="15">
        <f t="shared" si="3"/>
        <v>1</v>
      </c>
    </row>
    <row r="14210">
      <c r="A14210" s="8" t="str">
        <f>IFERROR(__xludf.DUMMYFUNCTION("IF('(INGESTA)Datos_consumo_datadis'!A14210&lt;&gt;"""",SPLIT('(INGESTA)Datos_consumo_datadis'!A:A,"",""),"""")"),"ES0031408323131005HX0F")</f>
        <v>ES0031408323131005HX0F</v>
      </c>
      <c r="B14210" s="12">
        <f>IFERROR(__xludf.DUMMYFUNCTION("""COMPUTED_VALUE"""),45458.0)</f>
        <v>45458</v>
      </c>
      <c r="C14210" s="13">
        <f>IFERROR(__xludf.DUMMYFUNCTION("""COMPUTED_VALUE"""),0.08333333333333333)</f>
        <v>0.08333333333</v>
      </c>
      <c r="D14210" s="8">
        <f>IFERROR(__xludf.DUMMYFUNCTION("""COMPUTED_VALUE"""),0.109)</f>
        <v>0.109</v>
      </c>
      <c r="E14210" s="8" t="str">
        <f>IFERROR(__xludf.DUMMYFUNCTION("""COMPUTED_VALUE"""),"Real")</f>
        <v>Real</v>
      </c>
      <c r="G14210" s="8">
        <f t="shared" si="1"/>
        <v>6</v>
      </c>
      <c r="H14210" s="14">
        <f t="shared" si="2"/>
        <v>15</v>
      </c>
      <c r="I14210" s="15">
        <f t="shared" si="3"/>
        <v>2</v>
      </c>
    </row>
    <row r="14211">
      <c r="A14211" s="8" t="str">
        <f>IFERROR(__xludf.DUMMYFUNCTION("IF('(INGESTA)Datos_consumo_datadis'!A14211&lt;&gt;"""",SPLIT('(INGESTA)Datos_consumo_datadis'!A:A,"",""),"""")"),"ES0031408323131005HX0F")</f>
        <v>ES0031408323131005HX0F</v>
      </c>
      <c r="B14211" s="12">
        <f>IFERROR(__xludf.DUMMYFUNCTION("""COMPUTED_VALUE"""),45458.0)</f>
        <v>45458</v>
      </c>
      <c r="C14211" s="13">
        <f>IFERROR(__xludf.DUMMYFUNCTION("""COMPUTED_VALUE"""),0.125)</f>
        <v>0.125</v>
      </c>
      <c r="D14211" s="8">
        <f>IFERROR(__xludf.DUMMYFUNCTION("""COMPUTED_VALUE"""),0.381)</f>
        <v>0.381</v>
      </c>
      <c r="E14211" s="8" t="str">
        <f>IFERROR(__xludf.DUMMYFUNCTION("""COMPUTED_VALUE"""),"Real")</f>
        <v>Real</v>
      </c>
      <c r="G14211" s="8">
        <f t="shared" si="1"/>
        <v>6</v>
      </c>
      <c r="H14211" s="14">
        <f t="shared" si="2"/>
        <v>15</v>
      </c>
      <c r="I14211" s="15">
        <f t="shared" si="3"/>
        <v>3</v>
      </c>
    </row>
    <row r="14212">
      <c r="A14212" s="8" t="str">
        <f>IFERROR(__xludf.DUMMYFUNCTION("IF('(INGESTA)Datos_consumo_datadis'!A14212&lt;&gt;"""",SPLIT('(INGESTA)Datos_consumo_datadis'!A:A,"",""),"""")"),"ES0031408323131005HX0F")</f>
        <v>ES0031408323131005HX0F</v>
      </c>
      <c r="B14212" s="12">
        <f>IFERROR(__xludf.DUMMYFUNCTION("""COMPUTED_VALUE"""),45458.0)</f>
        <v>45458</v>
      </c>
      <c r="C14212" s="13">
        <f>IFERROR(__xludf.DUMMYFUNCTION("""COMPUTED_VALUE"""),0.16666666666666666)</f>
        <v>0.1666666667</v>
      </c>
      <c r="D14212" s="8">
        <f>IFERROR(__xludf.DUMMYFUNCTION("""COMPUTED_VALUE"""),0.08)</f>
        <v>0.08</v>
      </c>
      <c r="E14212" s="8" t="str">
        <f>IFERROR(__xludf.DUMMYFUNCTION("""COMPUTED_VALUE"""),"Real")</f>
        <v>Real</v>
      </c>
      <c r="G14212" s="8">
        <f t="shared" si="1"/>
        <v>6</v>
      </c>
      <c r="H14212" s="14">
        <f t="shared" si="2"/>
        <v>15</v>
      </c>
      <c r="I14212" s="15">
        <f t="shared" si="3"/>
        <v>4</v>
      </c>
    </row>
    <row r="14213">
      <c r="A14213" s="8" t="str">
        <f>IFERROR(__xludf.DUMMYFUNCTION("IF('(INGESTA)Datos_consumo_datadis'!A14213&lt;&gt;"""",SPLIT('(INGESTA)Datos_consumo_datadis'!A:A,"",""),"""")"),"ES0031408323131005HX0F")</f>
        <v>ES0031408323131005HX0F</v>
      </c>
      <c r="B14213" s="12">
        <f>IFERROR(__xludf.DUMMYFUNCTION("""COMPUTED_VALUE"""),45458.0)</f>
        <v>45458</v>
      </c>
      <c r="C14213" s="13">
        <f>IFERROR(__xludf.DUMMYFUNCTION("""COMPUTED_VALUE"""),0.20833333333333334)</f>
        <v>0.2083333333</v>
      </c>
      <c r="D14213" s="8">
        <f>IFERROR(__xludf.DUMMYFUNCTION("""COMPUTED_VALUE"""),0.047)</f>
        <v>0.047</v>
      </c>
      <c r="E14213" s="8" t="str">
        <f>IFERROR(__xludf.DUMMYFUNCTION("""COMPUTED_VALUE"""),"Real")</f>
        <v>Real</v>
      </c>
      <c r="G14213" s="8">
        <f t="shared" si="1"/>
        <v>6</v>
      </c>
      <c r="H14213" s="14">
        <f t="shared" si="2"/>
        <v>15</v>
      </c>
      <c r="I14213" s="15">
        <f t="shared" si="3"/>
        <v>5</v>
      </c>
    </row>
    <row r="14214">
      <c r="A14214" s="8" t="str">
        <f>IFERROR(__xludf.DUMMYFUNCTION("IF('(INGESTA)Datos_consumo_datadis'!A14214&lt;&gt;"""",SPLIT('(INGESTA)Datos_consumo_datadis'!A:A,"",""),"""")"),"ES0031408323131005HX0F")</f>
        <v>ES0031408323131005HX0F</v>
      </c>
      <c r="B14214" s="12">
        <f>IFERROR(__xludf.DUMMYFUNCTION("""COMPUTED_VALUE"""),45458.0)</f>
        <v>45458</v>
      </c>
      <c r="C14214" s="13">
        <f>IFERROR(__xludf.DUMMYFUNCTION("""COMPUTED_VALUE"""),0.25)</f>
        <v>0.25</v>
      </c>
      <c r="D14214" s="8">
        <f>IFERROR(__xludf.DUMMYFUNCTION("""COMPUTED_VALUE"""),0.062)</f>
        <v>0.062</v>
      </c>
      <c r="E14214" s="8" t="str">
        <f>IFERROR(__xludf.DUMMYFUNCTION("""COMPUTED_VALUE"""),"Real")</f>
        <v>Real</v>
      </c>
      <c r="G14214" s="8">
        <f t="shared" si="1"/>
        <v>6</v>
      </c>
      <c r="H14214" s="14">
        <f t="shared" si="2"/>
        <v>15</v>
      </c>
      <c r="I14214" s="15">
        <f t="shared" si="3"/>
        <v>6</v>
      </c>
    </row>
    <row r="14215">
      <c r="A14215" s="8" t="str">
        <f>IFERROR(__xludf.DUMMYFUNCTION("IF('(INGESTA)Datos_consumo_datadis'!A14215&lt;&gt;"""",SPLIT('(INGESTA)Datos_consumo_datadis'!A:A,"",""),"""")"),"ES0031408323131005HX0F")</f>
        <v>ES0031408323131005HX0F</v>
      </c>
      <c r="B14215" s="12">
        <f>IFERROR(__xludf.DUMMYFUNCTION("""COMPUTED_VALUE"""),45458.0)</f>
        <v>45458</v>
      </c>
      <c r="C14215" s="13">
        <f>IFERROR(__xludf.DUMMYFUNCTION("""COMPUTED_VALUE"""),0.2916666666666667)</f>
        <v>0.2916666667</v>
      </c>
      <c r="D14215" s="8">
        <f>IFERROR(__xludf.DUMMYFUNCTION("""COMPUTED_VALUE"""),0.053)</f>
        <v>0.053</v>
      </c>
      <c r="E14215" s="8" t="str">
        <f>IFERROR(__xludf.DUMMYFUNCTION("""COMPUTED_VALUE"""),"Real")</f>
        <v>Real</v>
      </c>
      <c r="G14215" s="8">
        <f t="shared" si="1"/>
        <v>6</v>
      </c>
      <c r="H14215" s="14">
        <f t="shared" si="2"/>
        <v>15</v>
      </c>
      <c r="I14215" s="15">
        <f t="shared" si="3"/>
        <v>7</v>
      </c>
    </row>
    <row r="14216">
      <c r="A14216" s="8" t="str">
        <f>IFERROR(__xludf.DUMMYFUNCTION("IF('(INGESTA)Datos_consumo_datadis'!A14216&lt;&gt;"""",SPLIT('(INGESTA)Datos_consumo_datadis'!A:A,"",""),"""")"),"ES0031408323131005HX0F")</f>
        <v>ES0031408323131005HX0F</v>
      </c>
      <c r="B14216" s="12">
        <f>IFERROR(__xludf.DUMMYFUNCTION("""COMPUTED_VALUE"""),45458.0)</f>
        <v>45458</v>
      </c>
      <c r="C14216" s="13">
        <f>IFERROR(__xludf.DUMMYFUNCTION("""COMPUTED_VALUE"""),0.3333333333333333)</f>
        <v>0.3333333333</v>
      </c>
      <c r="D14216" s="8">
        <f>IFERROR(__xludf.DUMMYFUNCTION("""COMPUTED_VALUE"""),0.088)</f>
        <v>0.088</v>
      </c>
      <c r="E14216" s="8" t="str">
        <f>IFERROR(__xludf.DUMMYFUNCTION("""COMPUTED_VALUE"""),"Real")</f>
        <v>Real</v>
      </c>
      <c r="G14216" s="8">
        <f t="shared" si="1"/>
        <v>6</v>
      </c>
      <c r="H14216" s="14">
        <f t="shared" si="2"/>
        <v>15</v>
      </c>
      <c r="I14216" s="15">
        <f t="shared" si="3"/>
        <v>8</v>
      </c>
    </row>
    <row r="14217">
      <c r="A14217" s="8" t="str">
        <f>IFERROR(__xludf.DUMMYFUNCTION("IF('(INGESTA)Datos_consumo_datadis'!A14217&lt;&gt;"""",SPLIT('(INGESTA)Datos_consumo_datadis'!A:A,"",""),"""")"),"ES0031408323131005HX0F")</f>
        <v>ES0031408323131005HX0F</v>
      </c>
      <c r="B14217" s="12">
        <f>IFERROR(__xludf.DUMMYFUNCTION("""COMPUTED_VALUE"""),45458.0)</f>
        <v>45458</v>
      </c>
      <c r="C14217" s="13">
        <f>IFERROR(__xludf.DUMMYFUNCTION("""COMPUTED_VALUE"""),0.375)</f>
        <v>0.375</v>
      </c>
      <c r="D14217" s="8">
        <f>IFERROR(__xludf.DUMMYFUNCTION("""COMPUTED_VALUE"""),0.057)</f>
        <v>0.057</v>
      </c>
      <c r="E14217" s="8" t="str">
        <f>IFERROR(__xludf.DUMMYFUNCTION("""COMPUTED_VALUE"""),"Real")</f>
        <v>Real</v>
      </c>
      <c r="G14217" s="8">
        <f t="shared" si="1"/>
        <v>6</v>
      </c>
      <c r="H14217" s="14">
        <f t="shared" si="2"/>
        <v>15</v>
      </c>
      <c r="I14217" s="15">
        <f t="shared" si="3"/>
        <v>9</v>
      </c>
    </row>
    <row r="14218">
      <c r="A14218" s="8" t="str">
        <f>IFERROR(__xludf.DUMMYFUNCTION("IF('(INGESTA)Datos_consumo_datadis'!A14218&lt;&gt;"""",SPLIT('(INGESTA)Datos_consumo_datadis'!A:A,"",""),"""")"),"ES0031408323131005HX0F")</f>
        <v>ES0031408323131005HX0F</v>
      </c>
      <c r="B14218" s="12">
        <f>IFERROR(__xludf.DUMMYFUNCTION("""COMPUTED_VALUE"""),45458.0)</f>
        <v>45458</v>
      </c>
      <c r="C14218" s="13">
        <f>IFERROR(__xludf.DUMMYFUNCTION("""COMPUTED_VALUE"""),0.4166666666666667)</f>
        <v>0.4166666667</v>
      </c>
      <c r="D14218" s="8">
        <f>IFERROR(__xludf.DUMMYFUNCTION("""COMPUTED_VALUE"""),0.546)</f>
        <v>0.546</v>
      </c>
      <c r="E14218" s="8" t="str">
        <f>IFERROR(__xludf.DUMMYFUNCTION("""COMPUTED_VALUE"""),"Real")</f>
        <v>Real</v>
      </c>
      <c r="G14218" s="8">
        <f t="shared" si="1"/>
        <v>6</v>
      </c>
      <c r="H14218" s="14">
        <f t="shared" si="2"/>
        <v>15</v>
      </c>
      <c r="I14218" s="15">
        <f t="shared" si="3"/>
        <v>10</v>
      </c>
    </row>
    <row r="14219">
      <c r="A14219" s="8" t="str">
        <f>IFERROR(__xludf.DUMMYFUNCTION("IF('(INGESTA)Datos_consumo_datadis'!A14219&lt;&gt;"""",SPLIT('(INGESTA)Datos_consumo_datadis'!A:A,"",""),"""")"),"ES0031408323131005HX0F")</f>
        <v>ES0031408323131005HX0F</v>
      </c>
      <c r="B14219" s="12">
        <f>IFERROR(__xludf.DUMMYFUNCTION("""COMPUTED_VALUE"""),45458.0)</f>
        <v>45458</v>
      </c>
      <c r="C14219" s="13">
        <f>IFERROR(__xludf.DUMMYFUNCTION("""COMPUTED_VALUE"""),0.4583333333333333)</f>
        <v>0.4583333333</v>
      </c>
      <c r="D14219" s="8">
        <f>IFERROR(__xludf.DUMMYFUNCTION("""COMPUTED_VALUE"""),0.086)</f>
        <v>0.086</v>
      </c>
      <c r="E14219" s="8" t="str">
        <f>IFERROR(__xludf.DUMMYFUNCTION("""COMPUTED_VALUE"""),"Real")</f>
        <v>Real</v>
      </c>
      <c r="G14219" s="8">
        <f t="shared" si="1"/>
        <v>6</v>
      </c>
      <c r="H14219" s="14">
        <f t="shared" si="2"/>
        <v>15</v>
      </c>
      <c r="I14219" s="15">
        <f t="shared" si="3"/>
        <v>11</v>
      </c>
    </row>
    <row r="14220">
      <c r="A14220" s="8" t="str">
        <f>IFERROR(__xludf.DUMMYFUNCTION("IF('(INGESTA)Datos_consumo_datadis'!A14220&lt;&gt;"""",SPLIT('(INGESTA)Datos_consumo_datadis'!A:A,"",""),"""")"),"ES0031408323131005HX0F")</f>
        <v>ES0031408323131005HX0F</v>
      </c>
      <c r="B14220" s="12">
        <f>IFERROR(__xludf.DUMMYFUNCTION("""COMPUTED_VALUE"""),45458.0)</f>
        <v>45458</v>
      </c>
      <c r="C14220" s="13">
        <f>IFERROR(__xludf.DUMMYFUNCTION("""COMPUTED_VALUE"""),0.5)</f>
        <v>0.5</v>
      </c>
      <c r="D14220" s="8">
        <f>IFERROR(__xludf.DUMMYFUNCTION("""COMPUTED_VALUE"""),0.075)</f>
        <v>0.075</v>
      </c>
      <c r="E14220" s="8" t="str">
        <f>IFERROR(__xludf.DUMMYFUNCTION("""COMPUTED_VALUE"""),"Real")</f>
        <v>Real</v>
      </c>
      <c r="G14220" s="8">
        <f t="shared" si="1"/>
        <v>6</v>
      </c>
      <c r="H14220" s="14">
        <f t="shared" si="2"/>
        <v>15</v>
      </c>
      <c r="I14220" s="15">
        <f t="shared" si="3"/>
        <v>12</v>
      </c>
    </row>
    <row r="14221">
      <c r="A14221" s="8" t="str">
        <f>IFERROR(__xludf.DUMMYFUNCTION("IF('(INGESTA)Datos_consumo_datadis'!A14221&lt;&gt;"""",SPLIT('(INGESTA)Datos_consumo_datadis'!A:A,"",""),"""")"),"ES0031408323131005HX0F")</f>
        <v>ES0031408323131005HX0F</v>
      </c>
      <c r="B14221" s="12">
        <f>IFERROR(__xludf.DUMMYFUNCTION("""COMPUTED_VALUE"""),45458.0)</f>
        <v>45458</v>
      </c>
      <c r="C14221" s="13">
        <f>IFERROR(__xludf.DUMMYFUNCTION("""COMPUTED_VALUE"""),0.5416666666666666)</f>
        <v>0.5416666667</v>
      </c>
      <c r="D14221" s="8">
        <f>IFERROR(__xludf.DUMMYFUNCTION("""COMPUTED_VALUE"""),0.073)</f>
        <v>0.073</v>
      </c>
      <c r="E14221" s="8" t="str">
        <f>IFERROR(__xludf.DUMMYFUNCTION("""COMPUTED_VALUE"""),"Real")</f>
        <v>Real</v>
      </c>
      <c r="G14221" s="8">
        <f t="shared" si="1"/>
        <v>6</v>
      </c>
      <c r="H14221" s="14">
        <f t="shared" si="2"/>
        <v>15</v>
      </c>
      <c r="I14221" s="15">
        <f t="shared" si="3"/>
        <v>13</v>
      </c>
    </row>
    <row r="14222">
      <c r="A14222" s="8" t="str">
        <f>IFERROR(__xludf.DUMMYFUNCTION("IF('(INGESTA)Datos_consumo_datadis'!A14222&lt;&gt;"""",SPLIT('(INGESTA)Datos_consumo_datadis'!A:A,"",""),"""")"),"ES0031408323131005HX0F")</f>
        <v>ES0031408323131005HX0F</v>
      </c>
      <c r="B14222" s="12">
        <f>IFERROR(__xludf.DUMMYFUNCTION("""COMPUTED_VALUE"""),45458.0)</f>
        <v>45458</v>
      </c>
      <c r="C14222" s="13">
        <f>IFERROR(__xludf.DUMMYFUNCTION("""COMPUTED_VALUE"""),0.5833333333333334)</f>
        <v>0.5833333333</v>
      </c>
      <c r="D14222" s="8">
        <f>IFERROR(__xludf.DUMMYFUNCTION("""COMPUTED_VALUE"""),0.063)</f>
        <v>0.063</v>
      </c>
      <c r="E14222" s="8" t="str">
        <f>IFERROR(__xludf.DUMMYFUNCTION("""COMPUTED_VALUE"""),"Real")</f>
        <v>Real</v>
      </c>
      <c r="G14222" s="8">
        <f t="shared" si="1"/>
        <v>6</v>
      </c>
      <c r="H14222" s="14">
        <f t="shared" si="2"/>
        <v>15</v>
      </c>
      <c r="I14222" s="15">
        <f t="shared" si="3"/>
        <v>14</v>
      </c>
    </row>
    <row r="14223">
      <c r="A14223" s="8" t="str">
        <f>IFERROR(__xludf.DUMMYFUNCTION("IF('(INGESTA)Datos_consumo_datadis'!A14223&lt;&gt;"""",SPLIT('(INGESTA)Datos_consumo_datadis'!A:A,"",""),"""")"),"ES0031408323131005HX0F")</f>
        <v>ES0031408323131005HX0F</v>
      </c>
      <c r="B14223" s="12">
        <f>IFERROR(__xludf.DUMMYFUNCTION("""COMPUTED_VALUE"""),45458.0)</f>
        <v>45458</v>
      </c>
      <c r="C14223" s="13">
        <f>IFERROR(__xludf.DUMMYFUNCTION("""COMPUTED_VALUE"""),0.625)</f>
        <v>0.625</v>
      </c>
      <c r="D14223" s="8">
        <f>IFERROR(__xludf.DUMMYFUNCTION("""COMPUTED_VALUE"""),0.042)</f>
        <v>0.042</v>
      </c>
      <c r="E14223" s="8" t="str">
        <f>IFERROR(__xludf.DUMMYFUNCTION("""COMPUTED_VALUE"""),"Real")</f>
        <v>Real</v>
      </c>
      <c r="G14223" s="8">
        <f t="shared" si="1"/>
        <v>6</v>
      </c>
      <c r="H14223" s="14">
        <f t="shared" si="2"/>
        <v>15</v>
      </c>
      <c r="I14223" s="15">
        <f t="shared" si="3"/>
        <v>15</v>
      </c>
    </row>
    <row r="14224">
      <c r="A14224" s="8" t="str">
        <f>IFERROR(__xludf.DUMMYFUNCTION("IF('(INGESTA)Datos_consumo_datadis'!A14224&lt;&gt;"""",SPLIT('(INGESTA)Datos_consumo_datadis'!A:A,"",""),"""")"),"ES0031408323131005HX0F")</f>
        <v>ES0031408323131005HX0F</v>
      </c>
      <c r="B14224" s="12">
        <f>IFERROR(__xludf.DUMMYFUNCTION("""COMPUTED_VALUE"""),45458.0)</f>
        <v>45458</v>
      </c>
      <c r="C14224" s="13">
        <f>IFERROR(__xludf.DUMMYFUNCTION("""COMPUTED_VALUE"""),0.6666666666666666)</f>
        <v>0.6666666667</v>
      </c>
      <c r="D14224" s="8">
        <f>IFERROR(__xludf.DUMMYFUNCTION("""COMPUTED_VALUE"""),0.078)</f>
        <v>0.078</v>
      </c>
      <c r="E14224" s="8" t="str">
        <f>IFERROR(__xludf.DUMMYFUNCTION("""COMPUTED_VALUE"""),"Real")</f>
        <v>Real</v>
      </c>
      <c r="G14224" s="8">
        <f t="shared" si="1"/>
        <v>6</v>
      </c>
      <c r="H14224" s="14">
        <f t="shared" si="2"/>
        <v>15</v>
      </c>
      <c r="I14224" s="15">
        <f t="shared" si="3"/>
        <v>16</v>
      </c>
    </row>
    <row r="14225">
      <c r="A14225" s="8" t="str">
        <f>IFERROR(__xludf.DUMMYFUNCTION("IF('(INGESTA)Datos_consumo_datadis'!A14225&lt;&gt;"""",SPLIT('(INGESTA)Datos_consumo_datadis'!A:A,"",""),"""")"),"ES0031408323131005HX0F")</f>
        <v>ES0031408323131005HX0F</v>
      </c>
      <c r="B14225" s="12">
        <f>IFERROR(__xludf.DUMMYFUNCTION("""COMPUTED_VALUE"""),45458.0)</f>
        <v>45458</v>
      </c>
      <c r="C14225" s="13">
        <f>IFERROR(__xludf.DUMMYFUNCTION("""COMPUTED_VALUE"""),0.7083333333333334)</f>
        <v>0.7083333333</v>
      </c>
      <c r="D14225" s="8">
        <f>IFERROR(__xludf.DUMMYFUNCTION("""COMPUTED_VALUE"""),0.33)</f>
        <v>0.33</v>
      </c>
      <c r="E14225" s="8" t="str">
        <f>IFERROR(__xludf.DUMMYFUNCTION("""COMPUTED_VALUE"""),"Real")</f>
        <v>Real</v>
      </c>
      <c r="G14225" s="8">
        <f t="shared" si="1"/>
        <v>6</v>
      </c>
      <c r="H14225" s="14">
        <f t="shared" si="2"/>
        <v>15</v>
      </c>
      <c r="I14225" s="15">
        <f t="shared" si="3"/>
        <v>17</v>
      </c>
    </row>
    <row r="14226">
      <c r="A14226" s="8" t="str">
        <f>IFERROR(__xludf.DUMMYFUNCTION("IF('(INGESTA)Datos_consumo_datadis'!A14226&lt;&gt;"""",SPLIT('(INGESTA)Datos_consumo_datadis'!A:A,"",""),"""")"),"ES0031408323131005HX0F")</f>
        <v>ES0031408323131005HX0F</v>
      </c>
      <c r="B14226" s="12">
        <f>IFERROR(__xludf.DUMMYFUNCTION("""COMPUTED_VALUE"""),45458.0)</f>
        <v>45458</v>
      </c>
      <c r="C14226" s="13">
        <f>IFERROR(__xludf.DUMMYFUNCTION("""COMPUTED_VALUE"""),0.75)</f>
        <v>0.75</v>
      </c>
      <c r="D14226" s="8">
        <f>IFERROR(__xludf.DUMMYFUNCTION("""COMPUTED_VALUE"""),0.075)</f>
        <v>0.075</v>
      </c>
      <c r="E14226" s="8" t="str">
        <f>IFERROR(__xludf.DUMMYFUNCTION("""COMPUTED_VALUE"""),"Real")</f>
        <v>Real</v>
      </c>
      <c r="G14226" s="8">
        <f t="shared" si="1"/>
        <v>6</v>
      </c>
      <c r="H14226" s="14">
        <f t="shared" si="2"/>
        <v>15</v>
      </c>
      <c r="I14226" s="15">
        <f t="shared" si="3"/>
        <v>18</v>
      </c>
    </row>
    <row r="14227">
      <c r="A14227" s="8" t="str">
        <f>IFERROR(__xludf.DUMMYFUNCTION("IF('(INGESTA)Datos_consumo_datadis'!A14227&lt;&gt;"""",SPLIT('(INGESTA)Datos_consumo_datadis'!A:A,"",""),"""")"),"ES0031408323131005HX0F")</f>
        <v>ES0031408323131005HX0F</v>
      </c>
      <c r="B14227" s="12">
        <f>IFERROR(__xludf.DUMMYFUNCTION("""COMPUTED_VALUE"""),45458.0)</f>
        <v>45458</v>
      </c>
      <c r="C14227" s="13">
        <f>IFERROR(__xludf.DUMMYFUNCTION("""COMPUTED_VALUE"""),0.7916666666666666)</f>
        <v>0.7916666667</v>
      </c>
      <c r="D14227" s="8">
        <f>IFERROR(__xludf.DUMMYFUNCTION("""COMPUTED_VALUE"""),0.067)</f>
        <v>0.067</v>
      </c>
      <c r="E14227" s="8" t="str">
        <f>IFERROR(__xludf.DUMMYFUNCTION("""COMPUTED_VALUE"""),"Real")</f>
        <v>Real</v>
      </c>
      <c r="G14227" s="8">
        <f t="shared" si="1"/>
        <v>6</v>
      </c>
      <c r="H14227" s="14">
        <f t="shared" si="2"/>
        <v>15</v>
      </c>
      <c r="I14227" s="15">
        <f t="shared" si="3"/>
        <v>19</v>
      </c>
    </row>
    <row r="14228">
      <c r="A14228" s="8" t="str">
        <f>IFERROR(__xludf.DUMMYFUNCTION("IF('(INGESTA)Datos_consumo_datadis'!A14228&lt;&gt;"""",SPLIT('(INGESTA)Datos_consumo_datadis'!A:A,"",""),"""")"),"ES0031408323131005HX0F")</f>
        <v>ES0031408323131005HX0F</v>
      </c>
      <c r="B14228" s="12">
        <f>IFERROR(__xludf.DUMMYFUNCTION("""COMPUTED_VALUE"""),45458.0)</f>
        <v>45458</v>
      </c>
      <c r="C14228" s="13">
        <f>IFERROR(__xludf.DUMMYFUNCTION("""COMPUTED_VALUE"""),0.8333333333333334)</f>
        <v>0.8333333333</v>
      </c>
      <c r="D14228" s="8">
        <f>IFERROR(__xludf.DUMMYFUNCTION("""COMPUTED_VALUE"""),0.092)</f>
        <v>0.092</v>
      </c>
      <c r="E14228" s="8" t="str">
        <f>IFERROR(__xludf.DUMMYFUNCTION("""COMPUTED_VALUE"""),"Real")</f>
        <v>Real</v>
      </c>
      <c r="G14228" s="8">
        <f t="shared" si="1"/>
        <v>6</v>
      </c>
      <c r="H14228" s="14">
        <f t="shared" si="2"/>
        <v>15</v>
      </c>
      <c r="I14228" s="15">
        <f t="shared" si="3"/>
        <v>20</v>
      </c>
    </row>
    <row r="14229">
      <c r="A14229" s="8" t="str">
        <f>IFERROR(__xludf.DUMMYFUNCTION("IF('(INGESTA)Datos_consumo_datadis'!A14229&lt;&gt;"""",SPLIT('(INGESTA)Datos_consumo_datadis'!A:A,"",""),"""")"),"ES0031408323131005HX0F")</f>
        <v>ES0031408323131005HX0F</v>
      </c>
      <c r="B14229" s="12">
        <f>IFERROR(__xludf.DUMMYFUNCTION("""COMPUTED_VALUE"""),45458.0)</f>
        <v>45458</v>
      </c>
      <c r="C14229" s="13">
        <f>IFERROR(__xludf.DUMMYFUNCTION("""COMPUTED_VALUE"""),0.875)</f>
        <v>0.875</v>
      </c>
      <c r="D14229" s="8">
        <f>IFERROR(__xludf.DUMMYFUNCTION("""COMPUTED_VALUE"""),0.122)</f>
        <v>0.122</v>
      </c>
      <c r="E14229" s="8" t="str">
        <f>IFERROR(__xludf.DUMMYFUNCTION("""COMPUTED_VALUE"""),"Real")</f>
        <v>Real</v>
      </c>
      <c r="G14229" s="8">
        <f t="shared" si="1"/>
        <v>6</v>
      </c>
      <c r="H14229" s="14">
        <f t="shared" si="2"/>
        <v>15</v>
      </c>
      <c r="I14229" s="15">
        <f t="shared" si="3"/>
        <v>21</v>
      </c>
    </row>
    <row r="14230">
      <c r="A14230" s="8" t="str">
        <f>IFERROR(__xludf.DUMMYFUNCTION("IF('(INGESTA)Datos_consumo_datadis'!A14230&lt;&gt;"""",SPLIT('(INGESTA)Datos_consumo_datadis'!A:A,"",""),"""")"),"ES0031408323131005HX0F")</f>
        <v>ES0031408323131005HX0F</v>
      </c>
      <c r="B14230" s="12">
        <f>IFERROR(__xludf.DUMMYFUNCTION("""COMPUTED_VALUE"""),45458.0)</f>
        <v>45458</v>
      </c>
      <c r="C14230" s="13">
        <f>IFERROR(__xludf.DUMMYFUNCTION("""COMPUTED_VALUE"""),0.9166666666666666)</f>
        <v>0.9166666667</v>
      </c>
      <c r="D14230" s="8">
        <f>IFERROR(__xludf.DUMMYFUNCTION("""COMPUTED_VALUE"""),1.573)</f>
        <v>1.573</v>
      </c>
      <c r="E14230" s="8" t="str">
        <f>IFERROR(__xludf.DUMMYFUNCTION("""COMPUTED_VALUE"""),"Real")</f>
        <v>Real</v>
      </c>
      <c r="G14230" s="8">
        <f t="shared" si="1"/>
        <v>6</v>
      </c>
      <c r="H14230" s="14">
        <f t="shared" si="2"/>
        <v>15</v>
      </c>
      <c r="I14230" s="15">
        <f t="shared" si="3"/>
        <v>22</v>
      </c>
    </row>
    <row r="14231">
      <c r="A14231" s="8" t="str">
        <f>IFERROR(__xludf.DUMMYFUNCTION("IF('(INGESTA)Datos_consumo_datadis'!A14231&lt;&gt;"""",SPLIT('(INGESTA)Datos_consumo_datadis'!A:A,"",""),"""")"),"ES0031408323131005HX0F")</f>
        <v>ES0031408323131005HX0F</v>
      </c>
      <c r="B14231" s="12">
        <f>IFERROR(__xludf.DUMMYFUNCTION("""COMPUTED_VALUE"""),45458.0)</f>
        <v>45458</v>
      </c>
      <c r="C14231" s="13">
        <f>IFERROR(__xludf.DUMMYFUNCTION("""COMPUTED_VALUE"""),0.9583333333333334)</f>
        <v>0.9583333333</v>
      </c>
      <c r="D14231" s="8">
        <f>IFERROR(__xludf.DUMMYFUNCTION("""COMPUTED_VALUE"""),0.455)</f>
        <v>0.455</v>
      </c>
      <c r="E14231" s="8" t="str">
        <f>IFERROR(__xludf.DUMMYFUNCTION("""COMPUTED_VALUE"""),"Real")</f>
        <v>Real</v>
      </c>
      <c r="G14231" s="8">
        <f t="shared" si="1"/>
        <v>6</v>
      </c>
      <c r="H14231" s="14">
        <f t="shared" si="2"/>
        <v>15</v>
      </c>
      <c r="I14231" s="15">
        <f t="shared" si="3"/>
        <v>23</v>
      </c>
    </row>
    <row r="14232">
      <c r="A14232" s="8" t="str">
        <f>IFERROR(__xludf.DUMMYFUNCTION("IF('(INGESTA)Datos_consumo_datadis'!A14232&lt;&gt;"""",SPLIT('(INGESTA)Datos_consumo_datadis'!A:A,"",""),"""")"),"ES0031408323131005HX0F")</f>
        <v>ES0031408323131005HX0F</v>
      </c>
      <c r="B14232" s="12">
        <f>IFERROR(__xludf.DUMMYFUNCTION("""COMPUTED_VALUE"""),45458.0)</f>
        <v>45458</v>
      </c>
      <c r="C14232" s="16">
        <f>IFERROR(__xludf.DUMMYFUNCTION("""COMPUTED_VALUE"""),1.0)</f>
        <v>1</v>
      </c>
      <c r="D14232" s="8">
        <f>IFERROR(__xludf.DUMMYFUNCTION("""COMPUTED_VALUE"""),0.068)</f>
        <v>0.068</v>
      </c>
      <c r="E14232" s="8" t="str">
        <f>IFERROR(__xludf.DUMMYFUNCTION("""COMPUTED_VALUE"""),"Real")</f>
        <v>Real</v>
      </c>
      <c r="G14232" s="8">
        <f t="shared" si="1"/>
        <v>6</v>
      </c>
      <c r="H14232" s="14">
        <f t="shared" si="2"/>
        <v>15</v>
      </c>
      <c r="I14232" s="15">
        <f t="shared" si="3"/>
        <v>0</v>
      </c>
    </row>
    <row r="14233">
      <c r="A14233" s="8" t="str">
        <f>IFERROR(__xludf.DUMMYFUNCTION("IF('(INGESTA)Datos_consumo_datadis'!A14233&lt;&gt;"""",SPLIT('(INGESTA)Datos_consumo_datadis'!A:A,"",""),"""")"),"ES0031408323131005HX0F")</f>
        <v>ES0031408323131005HX0F</v>
      </c>
      <c r="B14233" s="12">
        <f>IFERROR(__xludf.DUMMYFUNCTION("""COMPUTED_VALUE"""),45459.0)</f>
        <v>45459</v>
      </c>
      <c r="C14233" s="13">
        <f>IFERROR(__xludf.DUMMYFUNCTION("""COMPUTED_VALUE"""),0.041666666666666664)</f>
        <v>0.04166666667</v>
      </c>
      <c r="D14233" s="8">
        <f>IFERROR(__xludf.DUMMYFUNCTION("""COMPUTED_VALUE"""),0.061)</f>
        <v>0.061</v>
      </c>
      <c r="E14233" s="8" t="str">
        <f>IFERROR(__xludf.DUMMYFUNCTION("""COMPUTED_VALUE"""),"Real")</f>
        <v>Real</v>
      </c>
      <c r="G14233" s="8">
        <f t="shared" si="1"/>
        <v>6</v>
      </c>
      <c r="H14233" s="14">
        <f t="shared" si="2"/>
        <v>16</v>
      </c>
      <c r="I14233" s="15">
        <f t="shared" si="3"/>
        <v>1</v>
      </c>
    </row>
    <row r="14234">
      <c r="A14234" s="8" t="str">
        <f>IFERROR(__xludf.DUMMYFUNCTION("IF('(INGESTA)Datos_consumo_datadis'!A14234&lt;&gt;"""",SPLIT('(INGESTA)Datos_consumo_datadis'!A:A,"",""),"""")"),"ES0031408323131005HX0F")</f>
        <v>ES0031408323131005HX0F</v>
      </c>
      <c r="B14234" s="12">
        <f>IFERROR(__xludf.DUMMYFUNCTION("""COMPUTED_VALUE"""),45459.0)</f>
        <v>45459</v>
      </c>
      <c r="C14234" s="13">
        <f>IFERROR(__xludf.DUMMYFUNCTION("""COMPUTED_VALUE"""),0.08333333333333333)</f>
        <v>0.08333333333</v>
      </c>
      <c r="D14234" s="8">
        <f>IFERROR(__xludf.DUMMYFUNCTION("""COMPUTED_VALUE"""),0.085)</f>
        <v>0.085</v>
      </c>
      <c r="E14234" s="8" t="str">
        <f>IFERROR(__xludf.DUMMYFUNCTION("""COMPUTED_VALUE"""),"Real")</f>
        <v>Real</v>
      </c>
      <c r="G14234" s="8">
        <f t="shared" si="1"/>
        <v>6</v>
      </c>
      <c r="H14234" s="14">
        <f t="shared" si="2"/>
        <v>16</v>
      </c>
      <c r="I14234" s="15">
        <f t="shared" si="3"/>
        <v>2</v>
      </c>
    </row>
    <row r="14235">
      <c r="A14235" s="8" t="str">
        <f>IFERROR(__xludf.DUMMYFUNCTION("IF('(INGESTA)Datos_consumo_datadis'!A14235&lt;&gt;"""",SPLIT('(INGESTA)Datos_consumo_datadis'!A:A,"",""),"""")"),"ES0031408323131005HX0F")</f>
        <v>ES0031408323131005HX0F</v>
      </c>
      <c r="B14235" s="12">
        <f>IFERROR(__xludf.DUMMYFUNCTION("""COMPUTED_VALUE"""),45459.0)</f>
        <v>45459</v>
      </c>
      <c r="C14235" s="13">
        <f>IFERROR(__xludf.DUMMYFUNCTION("""COMPUTED_VALUE"""),0.125)</f>
        <v>0.125</v>
      </c>
      <c r="D14235" s="8">
        <f>IFERROR(__xludf.DUMMYFUNCTION("""COMPUTED_VALUE"""),0.062)</f>
        <v>0.062</v>
      </c>
      <c r="E14235" s="8" t="str">
        <f>IFERROR(__xludf.DUMMYFUNCTION("""COMPUTED_VALUE"""),"Real")</f>
        <v>Real</v>
      </c>
      <c r="G14235" s="8">
        <f t="shared" si="1"/>
        <v>6</v>
      </c>
      <c r="H14235" s="14">
        <f t="shared" si="2"/>
        <v>16</v>
      </c>
      <c r="I14235" s="15">
        <f t="shared" si="3"/>
        <v>3</v>
      </c>
    </row>
    <row r="14236">
      <c r="A14236" s="8" t="str">
        <f>IFERROR(__xludf.DUMMYFUNCTION("IF('(INGESTA)Datos_consumo_datadis'!A14236&lt;&gt;"""",SPLIT('(INGESTA)Datos_consumo_datadis'!A:A,"",""),"""")"),"ES0031408323131005HX0F")</f>
        <v>ES0031408323131005HX0F</v>
      </c>
      <c r="B14236" s="12">
        <f>IFERROR(__xludf.DUMMYFUNCTION("""COMPUTED_VALUE"""),45459.0)</f>
        <v>45459</v>
      </c>
      <c r="C14236" s="13">
        <f>IFERROR(__xludf.DUMMYFUNCTION("""COMPUTED_VALUE"""),0.16666666666666666)</f>
        <v>0.1666666667</v>
      </c>
      <c r="D14236" s="8">
        <f>IFERROR(__xludf.DUMMYFUNCTION("""COMPUTED_VALUE"""),0.323)</f>
        <v>0.323</v>
      </c>
      <c r="E14236" s="8" t="str">
        <f>IFERROR(__xludf.DUMMYFUNCTION("""COMPUTED_VALUE"""),"Real")</f>
        <v>Real</v>
      </c>
      <c r="G14236" s="8">
        <f t="shared" si="1"/>
        <v>6</v>
      </c>
      <c r="H14236" s="14">
        <f t="shared" si="2"/>
        <v>16</v>
      </c>
      <c r="I14236" s="15">
        <f t="shared" si="3"/>
        <v>4</v>
      </c>
    </row>
    <row r="14237">
      <c r="A14237" s="8" t="str">
        <f>IFERROR(__xludf.DUMMYFUNCTION("IF('(INGESTA)Datos_consumo_datadis'!A14237&lt;&gt;"""",SPLIT('(INGESTA)Datos_consumo_datadis'!A:A,"",""),"""")"),"ES0031408323131005HX0F")</f>
        <v>ES0031408323131005HX0F</v>
      </c>
      <c r="B14237" s="12">
        <f>IFERROR(__xludf.DUMMYFUNCTION("""COMPUTED_VALUE"""),45459.0)</f>
        <v>45459</v>
      </c>
      <c r="C14237" s="13">
        <f>IFERROR(__xludf.DUMMYFUNCTION("""COMPUTED_VALUE"""),0.20833333333333334)</f>
        <v>0.2083333333</v>
      </c>
      <c r="D14237" s="8">
        <f>IFERROR(__xludf.DUMMYFUNCTION("""COMPUTED_VALUE"""),0.065)</f>
        <v>0.065</v>
      </c>
      <c r="E14237" s="8" t="str">
        <f>IFERROR(__xludf.DUMMYFUNCTION("""COMPUTED_VALUE"""),"Real")</f>
        <v>Real</v>
      </c>
      <c r="G14237" s="8">
        <f t="shared" si="1"/>
        <v>6</v>
      </c>
      <c r="H14237" s="14">
        <f t="shared" si="2"/>
        <v>16</v>
      </c>
      <c r="I14237" s="15">
        <f t="shared" si="3"/>
        <v>5</v>
      </c>
    </row>
    <row r="14238">
      <c r="A14238" s="8" t="str">
        <f>IFERROR(__xludf.DUMMYFUNCTION("IF('(INGESTA)Datos_consumo_datadis'!A14238&lt;&gt;"""",SPLIT('(INGESTA)Datos_consumo_datadis'!A:A,"",""),"""")"),"ES0031408323131005HX0F")</f>
        <v>ES0031408323131005HX0F</v>
      </c>
      <c r="B14238" s="12">
        <f>IFERROR(__xludf.DUMMYFUNCTION("""COMPUTED_VALUE"""),45459.0)</f>
        <v>45459</v>
      </c>
      <c r="C14238" s="13">
        <f>IFERROR(__xludf.DUMMYFUNCTION("""COMPUTED_VALUE"""),0.25)</f>
        <v>0.25</v>
      </c>
      <c r="D14238" s="8">
        <f>IFERROR(__xludf.DUMMYFUNCTION("""COMPUTED_VALUE"""),0.055)</f>
        <v>0.055</v>
      </c>
      <c r="E14238" s="8" t="str">
        <f>IFERROR(__xludf.DUMMYFUNCTION("""COMPUTED_VALUE"""),"Real")</f>
        <v>Real</v>
      </c>
      <c r="G14238" s="8">
        <f t="shared" si="1"/>
        <v>6</v>
      </c>
      <c r="H14238" s="14">
        <f t="shared" si="2"/>
        <v>16</v>
      </c>
      <c r="I14238" s="15">
        <f t="shared" si="3"/>
        <v>6</v>
      </c>
    </row>
    <row r="14239">
      <c r="A14239" s="8" t="str">
        <f>IFERROR(__xludf.DUMMYFUNCTION("IF('(INGESTA)Datos_consumo_datadis'!A14239&lt;&gt;"""",SPLIT('(INGESTA)Datos_consumo_datadis'!A:A,"",""),"""")"),"ES0031408323131005HX0F")</f>
        <v>ES0031408323131005HX0F</v>
      </c>
      <c r="B14239" s="12">
        <f>IFERROR(__xludf.DUMMYFUNCTION("""COMPUTED_VALUE"""),45459.0)</f>
        <v>45459</v>
      </c>
      <c r="C14239" s="13">
        <f>IFERROR(__xludf.DUMMYFUNCTION("""COMPUTED_VALUE"""),0.2916666666666667)</f>
        <v>0.2916666667</v>
      </c>
      <c r="D14239" s="8">
        <f>IFERROR(__xludf.DUMMYFUNCTION("""COMPUTED_VALUE"""),0.081)</f>
        <v>0.081</v>
      </c>
      <c r="E14239" s="8" t="str">
        <f>IFERROR(__xludf.DUMMYFUNCTION("""COMPUTED_VALUE"""),"Real")</f>
        <v>Real</v>
      </c>
      <c r="G14239" s="8">
        <f t="shared" si="1"/>
        <v>6</v>
      </c>
      <c r="H14239" s="14">
        <f t="shared" si="2"/>
        <v>16</v>
      </c>
      <c r="I14239" s="15">
        <f t="shared" si="3"/>
        <v>7</v>
      </c>
    </row>
    <row r="14240">
      <c r="A14240" s="8" t="str">
        <f>IFERROR(__xludf.DUMMYFUNCTION("IF('(INGESTA)Datos_consumo_datadis'!A14240&lt;&gt;"""",SPLIT('(INGESTA)Datos_consumo_datadis'!A:A,"",""),"""")"),"ES0031408323131005HX0F")</f>
        <v>ES0031408323131005HX0F</v>
      </c>
      <c r="B14240" s="12">
        <f>IFERROR(__xludf.DUMMYFUNCTION("""COMPUTED_VALUE"""),45459.0)</f>
        <v>45459</v>
      </c>
      <c r="C14240" s="13">
        <f>IFERROR(__xludf.DUMMYFUNCTION("""COMPUTED_VALUE"""),0.3333333333333333)</f>
        <v>0.3333333333</v>
      </c>
      <c r="D14240" s="8">
        <f>IFERROR(__xludf.DUMMYFUNCTION("""COMPUTED_VALUE"""),0.061)</f>
        <v>0.061</v>
      </c>
      <c r="E14240" s="8" t="str">
        <f>IFERROR(__xludf.DUMMYFUNCTION("""COMPUTED_VALUE"""),"Real")</f>
        <v>Real</v>
      </c>
      <c r="G14240" s="8">
        <f t="shared" si="1"/>
        <v>6</v>
      </c>
      <c r="H14240" s="14">
        <f t="shared" si="2"/>
        <v>16</v>
      </c>
      <c r="I14240" s="15">
        <f t="shared" si="3"/>
        <v>8</v>
      </c>
    </row>
    <row r="14241">
      <c r="A14241" s="8" t="str">
        <f>IFERROR(__xludf.DUMMYFUNCTION("IF('(INGESTA)Datos_consumo_datadis'!A14241&lt;&gt;"""",SPLIT('(INGESTA)Datos_consumo_datadis'!A:A,"",""),"""")"),"ES0031408323131005HX0F")</f>
        <v>ES0031408323131005HX0F</v>
      </c>
      <c r="B14241" s="12">
        <f>IFERROR(__xludf.DUMMYFUNCTION("""COMPUTED_VALUE"""),45459.0)</f>
        <v>45459</v>
      </c>
      <c r="C14241" s="13">
        <f>IFERROR(__xludf.DUMMYFUNCTION("""COMPUTED_VALUE"""),0.375)</f>
        <v>0.375</v>
      </c>
      <c r="D14241" s="8">
        <f>IFERROR(__xludf.DUMMYFUNCTION("""COMPUTED_VALUE"""),0.035)</f>
        <v>0.035</v>
      </c>
      <c r="E14241" s="8" t="str">
        <f>IFERROR(__xludf.DUMMYFUNCTION("""COMPUTED_VALUE"""),"Real")</f>
        <v>Real</v>
      </c>
      <c r="G14241" s="8">
        <f t="shared" si="1"/>
        <v>6</v>
      </c>
      <c r="H14241" s="14">
        <f t="shared" si="2"/>
        <v>16</v>
      </c>
      <c r="I14241" s="15">
        <f t="shared" si="3"/>
        <v>9</v>
      </c>
    </row>
    <row r="14242">
      <c r="A14242" s="8" t="str">
        <f>IFERROR(__xludf.DUMMYFUNCTION("IF('(INGESTA)Datos_consumo_datadis'!A14242&lt;&gt;"""",SPLIT('(INGESTA)Datos_consumo_datadis'!A:A,"",""),"""")"),"ES0031408323131005HX0F")</f>
        <v>ES0031408323131005HX0F</v>
      </c>
      <c r="B14242" s="12">
        <f>IFERROR(__xludf.DUMMYFUNCTION("""COMPUTED_VALUE"""),45459.0)</f>
        <v>45459</v>
      </c>
      <c r="C14242" s="13">
        <f>IFERROR(__xludf.DUMMYFUNCTION("""COMPUTED_VALUE"""),0.4166666666666667)</f>
        <v>0.4166666667</v>
      </c>
      <c r="D14242" s="8">
        <f>IFERROR(__xludf.DUMMYFUNCTION("""COMPUTED_VALUE"""),0.175)</f>
        <v>0.175</v>
      </c>
      <c r="E14242" s="8" t="str">
        <f>IFERROR(__xludf.DUMMYFUNCTION("""COMPUTED_VALUE"""),"Real")</f>
        <v>Real</v>
      </c>
      <c r="G14242" s="8">
        <f t="shared" si="1"/>
        <v>6</v>
      </c>
      <c r="H14242" s="14">
        <f t="shared" si="2"/>
        <v>16</v>
      </c>
      <c r="I14242" s="15">
        <f t="shared" si="3"/>
        <v>10</v>
      </c>
    </row>
    <row r="14243">
      <c r="A14243" s="8" t="str">
        <f>IFERROR(__xludf.DUMMYFUNCTION("IF('(INGESTA)Datos_consumo_datadis'!A14243&lt;&gt;"""",SPLIT('(INGESTA)Datos_consumo_datadis'!A:A,"",""),"""")"),"ES0031408323131005HX0F")</f>
        <v>ES0031408323131005HX0F</v>
      </c>
      <c r="B14243" s="12">
        <f>IFERROR(__xludf.DUMMYFUNCTION("""COMPUTED_VALUE"""),45459.0)</f>
        <v>45459</v>
      </c>
      <c r="C14243" s="13">
        <f>IFERROR(__xludf.DUMMYFUNCTION("""COMPUTED_VALUE"""),0.4583333333333333)</f>
        <v>0.4583333333</v>
      </c>
      <c r="D14243" s="8">
        <f>IFERROR(__xludf.DUMMYFUNCTION("""COMPUTED_VALUE"""),0.093)</f>
        <v>0.093</v>
      </c>
      <c r="E14243" s="8" t="str">
        <f>IFERROR(__xludf.DUMMYFUNCTION("""COMPUTED_VALUE"""),"Real")</f>
        <v>Real</v>
      </c>
      <c r="G14243" s="8">
        <f t="shared" si="1"/>
        <v>6</v>
      </c>
      <c r="H14243" s="14">
        <f t="shared" si="2"/>
        <v>16</v>
      </c>
      <c r="I14243" s="15">
        <f t="shared" si="3"/>
        <v>11</v>
      </c>
    </row>
    <row r="14244">
      <c r="A14244" s="8" t="str">
        <f>IFERROR(__xludf.DUMMYFUNCTION("IF('(INGESTA)Datos_consumo_datadis'!A14244&lt;&gt;"""",SPLIT('(INGESTA)Datos_consumo_datadis'!A:A,"",""),"""")"),"ES0031408323131005HX0F")</f>
        <v>ES0031408323131005HX0F</v>
      </c>
      <c r="B14244" s="12">
        <f>IFERROR(__xludf.DUMMYFUNCTION("""COMPUTED_VALUE"""),45459.0)</f>
        <v>45459</v>
      </c>
      <c r="C14244" s="13">
        <f>IFERROR(__xludf.DUMMYFUNCTION("""COMPUTED_VALUE"""),0.5)</f>
        <v>0.5</v>
      </c>
      <c r="D14244" s="8">
        <f>IFERROR(__xludf.DUMMYFUNCTION("""COMPUTED_VALUE"""),0.365)</f>
        <v>0.365</v>
      </c>
      <c r="E14244" s="8" t="str">
        <f>IFERROR(__xludf.DUMMYFUNCTION("""COMPUTED_VALUE"""),"Real")</f>
        <v>Real</v>
      </c>
      <c r="G14244" s="8">
        <f t="shared" si="1"/>
        <v>6</v>
      </c>
      <c r="H14244" s="14">
        <f t="shared" si="2"/>
        <v>16</v>
      </c>
      <c r="I14244" s="15">
        <f t="shared" si="3"/>
        <v>12</v>
      </c>
    </row>
    <row r="14245">
      <c r="A14245" s="8" t="str">
        <f>IFERROR(__xludf.DUMMYFUNCTION("IF('(INGESTA)Datos_consumo_datadis'!A14245&lt;&gt;"""",SPLIT('(INGESTA)Datos_consumo_datadis'!A:A,"",""),"""")"),"ES0031408323131005HX0F")</f>
        <v>ES0031408323131005HX0F</v>
      </c>
      <c r="B14245" s="12">
        <f>IFERROR(__xludf.DUMMYFUNCTION("""COMPUTED_VALUE"""),45459.0)</f>
        <v>45459</v>
      </c>
      <c r="C14245" s="13">
        <f>IFERROR(__xludf.DUMMYFUNCTION("""COMPUTED_VALUE"""),0.5416666666666666)</f>
        <v>0.5416666667</v>
      </c>
      <c r="D14245" s="8">
        <f>IFERROR(__xludf.DUMMYFUNCTION("""COMPUTED_VALUE"""),0.063)</f>
        <v>0.063</v>
      </c>
      <c r="E14245" s="8" t="str">
        <f>IFERROR(__xludf.DUMMYFUNCTION("""COMPUTED_VALUE"""),"Real")</f>
        <v>Real</v>
      </c>
      <c r="G14245" s="8">
        <f t="shared" si="1"/>
        <v>6</v>
      </c>
      <c r="H14245" s="14">
        <f t="shared" si="2"/>
        <v>16</v>
      </c>
      <c r="I14245" s="15">
        <f t="shared" si="3"/>
        <v>13</v>
      </c>
    </row>
    <row r="14246">
      <c r="A14246" s="8" t="str">
        <f>IFERROR(__xludf.DUMMYFUNCTION("IF('(INGESTA)Datos_consumo_datadis'!A14246&lt;&gt;"""",SPLIT('(INGESTA)Datos_consumo_datadis'!A:A,"",""),"""")"),"ES0031408323131005HX0F")</f>
        <v>ES0031408323131005HX0F</v>
      </c>
      <c r="B14246" s="12">
        <f>IFERROR(__xludf.DUMMYFUNCTION("""COMPUTED_VALUE"""),45459.0)</f>
        <v>45459</v>
      </c>
      <c r="C14246" s="13">
        <f>IFERROR(__xludf.DUMMYFUNCTION("""COMPUTED_VALUE"""),0.5833333333333334)</f>
        <v>0.5833333333</v>
      </c>
      <c r="D14246" s="8">
        <f>IFERROR(__xludf.DUMMYFUNCTION("""COMPUTED_VALUE"""),0.045)</f>
        <v>0.045</v>
      </c>
      <c r="E14246" s="8" t="str">
        <f>IFERROR(__xludf.DUMMYFUNCTION("""COMPUTED_VALUE"""),"Real")</f>
        <v>Real</v>
      </c>
      <c r="G14246" s="8">
        <f t="shared" si="1"/>
        <v>6</v>
      </c>
      <c r="H14246" s="14">
        <f t="shared" si="2"/>
        <v>16</v>
      </c>
      <c r="I14246" s="15">
        <f t="shared" si="3"/>
        <v>14</v>
      </c>
    </row>
    <row r="14247">
      <c r="A14247" s="8" t="str">
        <f>IFERROR(__xludf.DUMMYFUNCTION("IF('(INGESTA)Datos_consumo_datadis'!A14247&lt;&gt;"""",SPLIT('(INGESTA)Datos_consumo_datadis'!A:A,"",""),"""")"),"ES0031408323131005HX0F")</f>
        <v>ES0031408323131005HX0F</v>
      </c>
      <c r="B14247" s="12">
        <f>IFERROR(__xludf.DUMMYFUNCTION("""COMPUTED_VALUE"""),45459.0)</f>
        <v>45459</v>
      </c>
      <c r="C14247" s="13">
        <f>IFERROR(__xludf.DUMMYFUNCTION("""COMPUTED_VALUE"""),0.625)</f>
        <v>0.625</v>
      </c>
      <c r="D14247" s="8">
        <f>IFERROR(__xludf.DUMMYFUNCTION("""COMPUTED_VALUE"""),0.069)</f>
        <v>0.069</v>
      </c>
      <c r="E14247" s="8" t="str">
        <f>IFERROR(__xludf.DUMMYFUNCTION("""COMPUTED_VALUE"""),"Real")</f>
        <v>Real</v>
      </c>
      <c r="G14247" s="8">
        <f t="shared" si="1"/>
        <v>6</v>
      </c>
      <c r="H14247" s="14">
        <f t="shared" si="2"/>
        <v>16</v>
      </c>
      <c r="I14247" s="15">
        <f t="shared" si="3"/>
        <v>15</v>
      </c>
    </row>
    <row r="14248">
      <c r="A14248" s="8" t="str">
        <f>IFERROR(__xludf.DUMMYFUNCTION("IF('(INGESTA)Datos_consumo_datadis'!A14248&lt;&gt;"""",SPLIT('(INGESTA)Datos_consumo_datadis'!A:A,"",""),"""")"),"ES0031408323131005HX0F")</f>
        <v>ES0031408323131005HX0F</v>
      </c>
      <c r="B14248" s="12">
        <f>IFERROR(__xludf.DUMMYFUNCTION("""COMPUTED_VALUE"""),45459.0)</f>
        <v>45459</v>
      </c>
      <c r="C14248" s="13">
        <f>IFERROR(__xludf.DUMMYFUNCTION("""COMPUTED_VALUE"""),0.6666666666666666)</f>
        <v>0.6666666667</v>
      </c>
      <c r="D14248" s="8">
        <f>IFERROR(__xludf.DUMMYFUNCTION("""COMPUTED_VALUE"""),0.089)</f>
        <v>0.089</v>
      </c>
      <c r="E14248" s="8" t="str">
        <f>IFERROR(__xludf.DUMMYFUNCTION("""COMPUTED_VALUE"""),"Real")</f>
        <v>Real</v>
      </c>
      <c r="G14248" s="8">
        <f t="shared" si="1"/>
        <v>6</v>
      </c>
      <c r="H14248" s="14">
        <f t="shared" si="2"/>
        <v>16</v>
      </c>
      <c r="I14248" s="15">
        <f t="shared" si="3"/>
        <v>16</v>
      </c>
    </row>
    <row r="14249">
      <c r="A14249" s="8" t="str">
        <f>IFERROR(__xludf.DUMMYFUNCTION("IF('(INGESTA)Datos_consumo_datadis'!A14249&lt;&gt;"""",SPLIT('(INGESTA)Datos_consumo_datadis'!A:A,"",""),"""")"),"ES0031408323131005HX0F")</f>
        <v>ES0031408323131005HX0F</v>
      </c>
      <c r="B14249" s="12">
        <f>IFERROR(__xludf.DUMMYFUNCTION("""COMPUTED_VALUE"""),45459.0)</f>
        <v>45459</v>
      </c>
      <c r="C14249" s="13">
        <f>IFERROR(__xludf.DUMMYFUNCTION("""COMPUTED_VALUE"""),0.7083333333333334)</f>
        <v>0.7083333333</v>
      </c>
      <c r="D14249" s="8">
        <f>IFERROR(__xludf.DUMMYFUNCTION("""COMPUTED_VALUE"""),0.115)</f>
        <v>0.115</v>
      </c>
      <c r="E14249" s="8" t="str">
        <f>IFERROR(__xludf.DUMMYFUNCTION("""COMPUTED_VALUE"""),"Real")</f>
        <v>Real</v>
      </c>
      <c r="G14249" s="8">
        <f t="shared" si="1"/>
        <v>6</v>
      </c>
      <c r="H14249" s="14">
        <f t="shared" si="2"/>
        <v>16</v>
      </c>
      <c r="I14249" s="15">
        <f t="shared" si="3"/>
        <v>17</v>
      </c>
    </row>
    <row r="14250">
      <c r="A14250" s="8" t="str">
        <f>IFERROR(__xludf.DUMMYFUNCTION("IF('(INGESTA)Datos_consumo_datadis'!A14250&lt;&gt;"""",SPLIT('(INGESTA)Datos_consumo_datadis'!A:A,"",""),"""")"),"ES0031408323131005HX0F")</f>
        <v>ES0031408323131005HX0F</v>
      </c>
      <c r="B14250" s="12">
        <f>IFERROR(__xludf.DUMMYFUNCTION("""COMPUTED_VALUE"""),45459.0)</f>
        <v>45459</v>
      </c>
      <c r="C14250" s="13">
        <f>IFERROR(__xludf.DUMMYFUNCTION("""COMPUTED_VALUE"""),0.75)</f>
        <v>0.75</v>
      </c>
      <c r="D14250" s="8">
        <f>IFERROR(__xludf.DUMMYFUNCTION("""COMPUTED_VALUE"""),0.099)</f>
        <v>0.099</v>
      </c>
      <c r="E14250" s="8" t="str">
        <f>IFERROR(__xludf.DUMMYFUNCTION("""COMPUTED_VALUE"""),"Real")</f>
        <v>Real</v>
      </c>
      <c r="G14250" s="8">
        <f t="shared" si="1"/>
        <v>6</v>
      </c>
      <c r="H14250" s="14">
        <f t="shared" si="2"/>
        <v>16</v>
      </c>
      <c r="I14250" s="15">
        <f t="shared" si="3"/>
        <v>18</v>
      </c>
    </row>
    <row r="14251">
      <c r="A14251" s="8" t="str">
        <f>IFERROR(__xludf.DUMMYFUNCTION("IF('(INGESTA)Datos_consumo_datadis'!A14251&lt;&gt;"""",SPLIT('(INGESTA)Datos_consumo_datadis'!A:A,"",""),"""")"),"ES0031408323131005HX0F")</f>
        <v>ES0031408323131005HX0F</v>
      </c>
      <c r="B14251" s="12">
        <f>IFERROR(__xludf.DUMMYFUNCTION("""COMPUTED_VALUE"""),45459.0)</f>
        <v>45459</v>
      </c>
      <c r="C14251" s="13">
        <f>IFERROR(__xludf.DUMMYFUNCTION("""COMPUTED_VALUE"""),0.7916666666666666)</f>
        <v>0.7916666667</v>
      </c>
      <c r="D14251" s="8">
        <f>IFERROR(__xludf.DUMMYFUNCTION("""COMPUTED_VALUE"""),0.363)</f>
        <v>0.363</v>
      </c>
      <c r="E14251" s="8" t="str">
        <f>IFERROR(__xludf.DUMMYFUNCTION("""COMPUTED_VALUE"""),"Real")</f>
        <v>Real</v>
      </c>
      <c r="G14251" s="8">
        <f t="shared" si="1"/>
        <v>6</v>
      </c>
      <c r="H14251" s="14">
        <f t="shared" si="2"/>
        <v>16</v>
      </c>
      <c r="I14251" s="15">
        <f t="shared" si="3"/>
        <v>19</v>
      </c>
    </row>
    <row r="14252">
      <c r="A14252" s="8" t="str">
        <f>IFERROR(__xludf.DUMMYFUNCTION("IF('(INGESTA)Datos_consumo_datadis'!A14252&lt;&gt;"""",SPLIT('(INGESTA)Datos_consumo_datadis'!A:A,"",""),"""")"),"ES0031408323131005HX0F")</f>
        <v>ES0031408323131005HX0F</v>
      </c>
      <c r="B14252" s="12">
        <f>IFERROR(__xludf.DUMMYFUNCTION("""COMPUTED_VALUE"""),45459.0)</f>
        <v>45459</v>
      </c>
      <c r="C14252" s="13">
        <f>IFERROR(__xludf.DUMMYFUNCTION("""COMPUTED_VALUE"""),0.8333333333333334)</f>
        <v>0.8333333333</v>
      </c>
      <c r="D14252" s="8">
        <f>IFERROR(__xludf.DUMMYFUNCTION("""COMPUTED_VALUE"""),0.104)</f>
        <v>0.104</v>
      </c>
      <c r="E14252" s="8" t="str">
        <f>IFERROR(__xludf.DUMMYFUNCTION("""COMPUTED_VALUE"""),"Real")</f>
        <v>Real</v>
      </c>
      <c r="G14252" s="8">
        <f t="shared" si="1"/>
        <v>6</v>
      </c>
      <c r="H14252" s="14">
        <f t="shared" si="2"/>
        <v>16</v>
      </c>
      <c r="I14252" s="15">
        <f t="shared" si="3"/>
        <v>20</v>
      </c>
    </row>
    <row r="14253">
      <c r="A14253" s="8" t="str">
        <f>IFERROR(__xludf.DUMMYFUNCTION("IF('(INGESTA)Datos_consumo_datadis'!A14253&lt;&gt;"""",SPLIT('(INGESTA)Datos_consumo_datadis'!A:A,"",""),"""")"),"ES0031408323131005HX0F")</f>
        <v>ES0031408323131005HX0F</v>
      </c>
      <c r="B14253" s="12">
        <f>IFERROR(__xludf.DUMMYFUNCTION("""COMPUTED_VALUE"""),45459.0)</f>
        <v>45459</v>
      </c>
      <c r="C14253" s="13">
        <f>IFERROR(__xludf.DUMMYFUNCTION("""COMPUTED_VALUE"""),0.875)</f>
        <v>0.875</v>
      </c>
      <c r="D14253" s="8">
        <f>IFERROR(__xludf.DUMMYFUNCTION("""COMPUTED_VALUE"""),0.09)</f>
        <v>0.09</v>
      </c>
      <c r="E14253" s="8" t="str">
        <f>IFERROR(__xludf.DUMMYFUNCTION("""COMPUTED_VALUE"""),"Real")</f>
        <v>Real</v>
      </c>
      <c r="G14253" s="8">
        <f t="shared" si="1"/>
        <v>6</v>
      </c>
      <c r="H14253" s="14">
        <f t="shared" si="2"/>
        <v>16</v>
      </c>
      <c r="I14253" s="15">
        <f t="shared" si="3"/>
        <v>21</v>
      </c>
    </row>
    <row r="14254">
      <c r="A14254" s="8" t="str">
        <f>IFERROR(__xludf.DUMMYFUNCTION("IF('(INGESTA)Datos_consumo_datadis'!A14254&lt;&gt;"""",SPLIT('(INGESTA)Datos_consumo_datadis'!A:A,"",""),"""")"),"ES0031408323131005HX0F")</f>
        <v>ES0031408323131005HX0F</v>
      </c>
      <c r="B14254" s="12">
        <f>IFERROR(__xludf.DUMMYFUNCTION("""COMPUTED_VALUE"""),45459.0)</f>
        <v>45459</v>
      </c>
      <c r="C14254" s="13">
        <f>IFERROR(__xludf.DUMMYFUNCTION("""COMPUTED_VALUE"""),0.9166666666666666)</f>
        <v>0.9166666667</v>
      </c>
      <c r="D14254" s="8">
        <f>IFERROR(__xludf.DUMMYFUNCTION("""COMPUTED_VALUE"""),0.825)</f>
        <v>0.825</v>
      </c>
      <c r="E14254" s="8" t="str">
        <f>IFERROR(__xludf.DUMMYFUNCTION("""COMPUTED_VALUE"""),"Real")</f>
        <v>Real</v>
      </c>
      <c r="G14254" s="8">
        <f t="shared" si="1"/>
        <v>6</v>
      </c>
      <c r="H14254" s="14">
        <f t="shared" si="2"/>
        <v>16</v>
      </c>
      <c r="I14254" s="15">
        <f t="shared" si="3"/>
        <v>22</v>
      </c>
    </row>
    <row r="14255">
      <c r="A14255" s="8" t="str">
        <f>IFERROR(__xludf.DUMMYFUNCTION("IF('(INGESTA)Datos_consumo_datadis'!A14255&lt;&gt;"""",SPLIT('(INGESTA)Datos_consumo_datadis'!A:A,"",""),"""")"),"ES0031408323131005HX0F")</f>
        <v>ES0031408323131005HX0F</v>
      </c>
      <c r="B14255" s="12">
        <f>IFERROR(__xludf.DUMMYFUNCTION("""COMPUTED_VALUE"""),45459.0)</f>
        <v>45459</v>
      </c>
      <c r="C14255" s="13">
        <f>IFERROR(__xludf.DUMMYFUNCTION("""COMPUTED_VALUE"""),0.9583333333333334)</f>
        <v>0.9583333333</v>
      </c>
      <c r="D14255" s="8">
        <f>IFERROR(__xludf.DUMMYFUNCTION("""COMPUTED_VALUE"""),0.264)</f>
        <v>0.264</v>
      </c>
      <c r="E14255" s="8" t="str">
        <f>IFERROR(__xludf.DUMMYFUNCTION("""COMPUTED_VALUE"""),"Real")</f>
        <v>Real</v>
      </c>
      <c r="G14255" s="8">
        <f t="shared" si="1"/>
        <v>6</v>
      </c>
      <c r="H14255" s="14">
        <f t="shared" si="2"/>
        <v>16</v>
      </c>
      <c r="I14255" s="15">
        <f t="shared" si="3"/>
        <v>23</v>
      </c>
    </row>
    <row r="14256">
      <c r="A14256" s="8" t="str">
        <f>IFERROR(__xludf.DUMMYFUNCTION("IF('(INGESTA)Datos_consumo_datadis'!A14256&lt;&gt;"""",SPLIT('(INGESTA)Datos_consumo_datadis'!A:A,"",""),"""")"),"ES0031408323131005HX0F")</f>
        <v>ES0031408323131005HX0F</v>
      </c>
      <c r="B14256" s="12">
        <f>IFERROR(__xludf.DUMMYFUNCTION("""COMPUTED_VALUE"""),45459.0)</f>
        <v>45459</v>
      </c>
      <c r="C14256" s="16">
        <f>IFERROR(__xludf.DUMMYFUNCTION("""COMPUTED_VALUE"""),1.0)</f>
        <v>1</v>
      </c>
      <c r="D14256" s="8">
        <f>IFERROR(__xludf.DUMMYFUNCTION("""COMPUTED_VALUE"""),0.191)</f>
        <v>0.191</v>
      </c>
      <c r="E14256" s="8" t="str">
        <f>IFERROR(__xludf.DUMMYFUNCTION("""COMPUTED_VALUE"""),"Real")</f>
        <v>Real</v>
      </c>
      <c r="G14256" s="8">
        <f t="shared" si="1"/>
        <v>6</v>
      </c>
      <c r="H14256" s="14">
        <f t="shared" si="2"/>
        <v>16</v>
      </c>
      <c r="I14256" s="15">
        <f t="shared" si="3"/>
        <v>0</v>
      </c>
    </row>
    <row r="14257">
      <c r="A14257" s="8" t="str">
        <f>IFERROR(__xludf.DUMMYFUNCTION("IF('(INGESTA)Datos_consumo_datadis'!A14257&lt;&gt;"""",SPLIT('(INGESTA)Datos_consumo_datadis'!A:A,"",""),"""")"),"ES0031408323131005HX0F")</f>
        <v>ES0031408323131005HX0F</v>
      </c>
      <c r="B14257" s="12">
        <f>IFERROR(__xludf.DUMMYFUNCTION("""COMPUTED_VALUE"""),45460.0)</f>
        <v>45460</v>
      </c>
      <c r="C14257" s="13">
        <f>IFERROR(__xludf.DUMMYFUNCTION("""COMPUTED_VALUE"""),0.041666666666666664)</f>
        <v>0.04166666667</v>
      </c>
      <c r="D14257" s="8">
        <f>IFERROR(__xludf.DUMMYFUNCTION("""COMPUTED_VALUE"""),0.1)</f>
        <v>0.1</v>
      </c>
      <c r="E14257" s="8" t="str">
        <f>IFERROR(__xludf.DUMMYFUNCTION("""COMPUTED_VALUE"""),"Real")</f>
        <v>Real</v>
      </c>
      <c r="G14257" s="8">
        <f t="shared" si="1"/>
        <v>6</v>
      </c>
      <c r="H14257" s="14">
        <f t="shared" si="2"/>
        <v>17</v>
      </c>
      <c r="I14257" s="15">
        <f t="shared" si="3"/>
        <v>1</v>
      </c>
    </row>
    <row r="14258">
      <c r="A14258" s="8" t="str">
        <f>IFERROR(__xludf.DUMMYFUNCTION("IF('(INGESTA)Datos_consumo_datadis'!A14258&lt;&gt;"""",SPLIT('(INGESTA)Datos_consumo_datadis'!A:A,"",""),"""")"),"ES0031408323131005HX0F")</f>
        <v>ES0031408323131005HX0F</v>
      </c>
      <c r="B14258" s="12">
        <f>IFERROR(__xludf.DUMMYFUNCTION("""COMPUTED_VALUE"""),45460.0)</f>
        <v>45460</v>
      </c>
      <c r="C14258" s="13">
        <f>IFERROR(__xludf.DUMMYFUNCTION("""COMPUTED_VALUE"""),0.08333333333333333)</f>
        <v>0.08333333333</v>
      </c>
      <c r="D14258" s="8">
        <f>IFERROR(__xludf.DUMMYFUNCTION("""COMPUTED_VALUE"""),0.061)</f>
        <v>0.061</v>
      </c>
      <c r="E14258" s="8" t="str">
        <f>IFERROR(__xludf.DUMMYFUNCTION("""COMPUTED_VALUE"""),"Real")</f>
        <v>Real</v>
      </c>
      <c r="G14258" s="8">
        <f t="shared" si="1"/>
        <v>6</v>
      </c>
      <c r="H14258" s="14">
        <f t="shared" si="2"/>
        <v>17</v>
      </c>
      <c r="I14258" s="15">
        <f t="shared" si="3"/>
        <v>2</v>
      </c>
    </row>
    <row r="14259">
      <c r="A14259" s="8" t="str">
        <f>IFERROR(__xludf.DUMMYFUNCTION("IF('(INGESTA)Datos_consumo_datadis'!A14259&lt;&gt;"""",SPLIT('(INGESTA)Datos_consumo_datadis'!A:A,"",""),"""")"),"ES0031408323131005HX0F")</f>
        <v>ES0031408323131005HX0F</v>
      </c>
      <c r="B14259" s="12">
        <f>IFERROR(__xludf.DUMMYFUNCTION("""COMPUTED_VALUE"""),45460.0)</f>
        <v>45460</v>
      </c>
      <c r="C14259" s="13">
        <f>IFERROR(__xludf.DUMMYFUNCTION("""COMPUTED_VALUE"""),0.125)</f>
        <v>0.125</v>
      </c>
      <c r="D14259" s="8">
        <f>IFERROR(__xludf.DUMMYFUNCTION("""COMPUTED_VALUE"""),0.38)</f>
        <v>0.38</v>
      </c>
      <c r="E14259" s="8" t="str">
        <f>IFERROR(__xludf.DUMMYFUNCTION("""COMPUTED_VALUE"""),"Real")</f>
        <v>Real</v>
      </c>
      <c r="G14259" s="8">
        <f t="shared" si="1"/>
        <v>6</v>
      </c>
      <c r="H14259" s="14">
        <f t="shared" si="2"/>
        <v>17</v>
      </c>
      <c r="I14259" s="15">
        <f t="shared" si="3"/>
        <v>3</v>
      </c>
    </row>
    <row r="14260">
      <c r="A14260" s="8" t="str">
        <f>IFERROR(__xludf.DUMMYFUNCTION("IF('(INGESTA)Datos_consumo_datadis'!A14260&lt;&gt;"""",SPLIT('(INGESTA)Datos_consumo_datadis'!A:A,"",""),"""")"),"ES0031408323131005HX0F")</f>
        <v>ES0031408323131005HX0F</v>
      </c>
      <c r="B14260" s="12">
        <f>IFERROR(__xludf.DUMMYFUNCTION("""COMPUTED_VALUE"""),45460.0)</f>
        <v>45460</v>
      </c>
      <c r="C14260" s="13">
        <f>IFERROR(__xludf.DUMMYFUNCTION("""COMPUTED_VALUE"""),0.16666666666666666)</f>
        <v>0.1666666667</v>
      </c>
      <c r="D14260" s="8">
        <f>IFERROR(__xludf.DUMMYFUNCTION("""COMPUTED_VALUE"""),0.059)</f>
        <v>0.059</v>
      </c>
      <c r="E14260" s="8" t="str">
        <f>IFERROR(__xludf.DUMMYFUNCTION("""COMPUTED_VALUE"""),"Real")</f>
        <v>Real</v>
      </c>
      <c r="G14260" s="8">
        <f t="shared" si="1"/>
        <v>6</v>
      </c>
      <c r="H14260" s="14">
        <f t="shared" si="2"/>
        <v>17</v>
      </c>
      <c r="I14260" s="15">
        <f t="shared" si="3"/>
        <v>4</v>
      </c>
    </row>
    <row r="14261">
      <c r="A14261" s="8" t="str">
        <f>IFERROR(__xludf.DUMMYFUNCTION("IF('(INGESTA)Datos_consumo_datadis'!A14261&lt;&gt;"""",SPLIT('(INGESTA)Datos_consumo_datadis'!A:A,"",""),"""")"),"ES0031408323131005HX0F")</f>
        <v>ES0031408323131005HX0F</v>
      </c>
      <c r="B14261" s="12">
        <f>IFERROR(__xludf.DUMMYFUNCTION("""COMPUTED_VALUE"""),45460.0)</f>
        <v>45460</v>
      </c>
      <c r="C14261" s="13">
        <f>IFERROR(__xludf.DUMMYFUNCTION("""COMPUTED_VALUE"""),0.20833333333333334)</f>
        <v>0.2083333333</v>
      </c>
      <c r="D14261" s="8">
        <f>IFERROR(__xludf.DUMMYFUNCTION("""COMPUTED_VALUE"""),0.052)</f>
        <v>0.052</v>
      </c>
      <c r="E14261" s="8" t="str">
        <f>IFERROR(__xludf.DUMMYFUNCTION("""COMPUTED_VALUE"""),"Real")</f>
        <v>Real</v>
      </c>
      <c r="G14261" s="8">
        <f t="shared" si="1"/>
        <v>6</v>
      </c>
      <c r="H14261" s="14">
        <f t="shared" si="2"/>
        <v>17</v>
      </c>
      <c r="I14261" s="15">
        <f t="shared" si="3"/>
        <v>5</v>
      </c>
    </row>
    <row r="14262">
      <c r="A14262" s="8" t="str">
        <f>IFERROR(__xludf.DUMMYFUNCTION("IF('(INGESTA)Datos_consumo_datadis'!A14262&lt;&gt;"""",SPLIT('(INGESTA)Datos_consumo_datadis'!A:A,"",""),"""")"),"ES0031408323131005HX0F")</f>
        <v>ES0031408323131005HX0F</v>
      </c>
      <c r="B14262" s="12">
        <f>IFERROR(__xludf.DUMMYFUNCTION("""COMPUTED_VALUE"""),45460.0)</f>
        <v>45460</v>
      </c>
      <c r="C14262" s="13">
        <f>IFERROR(__xludf.DUMMYFUNCTION("""COMPUTED_VALUE"""),0.25)</f>
        <v>0.25</v>
      </c>
      <c r="D14262" s="8">
        <f>IFERROR(__xludf.DUMMYFUNCTION("""COMPUTED_VALUE"""),0.071)</f>
        <v>0.071</v>
      </c>
      <c r="E14262" s="8" t="str">
        <f>IFERROR(__xludf.DUMMYFUNCTION("""COMPUTED_VALUE"""),"Real")</f>
        <v>Real</v>
      </c>
      <c r="G14262" s="8">
        <f t="shared" si="1"/>
        <v>6</v>
      </c>
      <c r="H14262" s="14">
        <f t="shared" si="2"/>
        <v>17</v>
      </c>
      <c r="I14262" s="15">
        <f t="shared" si="3"/>
        <v>6</v>
      </c>
    </row>
    <row r="14263">
      <c r="A14263" s="8" t="str">
        <f>IFERROR(__xludf.DUMMYFUNCTION("IF('(INGESTA)Datos_consumo_datadis'!A14263&lt;&gt;"""",SPLIT('(INGESTA)Datos_consumo_datadis'!A:A,"",""),"""")"),"ES0031408323131005HX0F")</f>
        <v>ES0031408323131005HX0F</v>
      </c>
      <c r="B14263" s="12">
        <f>IFERROR(__xludf.DUMMYFUNCTION("""COMPUTED_VALUE"""),45460.0)</f>
        <v>45460</v>
      </c>
      <c r="C14263" s="13">
        <f>IFERROR(__xludf.DUMMYFUNCTION("""COMPUTED_VALUE"""),0.2916666666666667)</f>
        <v>0.2916666667</v>
      </c>
      <c r="D14263" s="8">
        <f>IFERROR(__xludf.DUMMYFUNCTION("""COMPUTED_VALUE"""),0.041)</f>
        <v>0.041</v>
      </c>
      <c r="E14263" s="8" t="str">
        <f>IFERROR(__xludf.DUMMYFUNCTION("""COMPUTED_VALUE"""),"Real")</f>
        <v>Real</v>
      </c>
      <c r="G14263" s="8">
        <f t="shared" si="1"/>
        <v>6</v>
      </c>
      <c r="H14263" s="14">
        <f t="shared" si="2"/>
        <v>17</v>
      </c>
      <c r="I14263" s="15">
        <f t="shared" si="3"/>
        <v>7</v>
      </c>
    </row>
    <row r="14264">
      <c r="A14264" s="8" t="str">
        <f>IFERROR(__xludf.DUMMYFUNCTION("IF('(INGESTA)Datos_consumo_datadis'!A14264&lt;&gt;"""",SPLIT('(INGESTA)Datos_consumo_datadis'!A:A,"",""),"""")"),"ES0031408323131005HX0F")</f>
        <v>ES0031408323131005HX0F</v>
      </c>
      <c r="B14264" s="12">
        <f>IFERROR(__xludf.DUMMYFUNCTION("""COMPUTED_VALUE"""),45460.0)</f>
        <v>45460</v>
      </c>
      <c r="C14264" s="13">
        <f>IFERROR(__xludf.DUMMYFUNCTION("""COMPUTED_VALUE"""),0.3333333333333333)</f>
        <v>0.3333333333</v>
      </c>
      <c r="D14264" s="8">
        <f>IFERROR(__xludf.DUMMYFUNCTION("""COMPUTED_VALUE"""),0.093)</f>
        <v>0.093</v>
      </c>
      <c r="E14264" s="8" t="str">
        <f>IFERROR(__xludf.DUMMYFUNCTION("""COMPUTED_VALUE"""),"Real")</f>
        <v>Real</v>
      </c>
      <c r="G14264" s="8">
        <f t="shared" si="1"/>
        <v>6</v>
      </c>
      <c r="H14264" s="14">
        <f t="shared" si="2"/>
        <v>17</v>
      </c>
      <c r="I14264" s="15">
        <f t="shared" si="3"/>
        <v>8</v>
      </c>
    </row>
    <row r="14265">
      <c r="A14265" s="8" t="str">
        <f>IFERROR(__xludf.DUMMYFUNCTION("IF('(INGESTA)Datos_consumo_datadis'!A14265&lt;&gt;"""",SPLIT('(INGESTA)Datos_consumo_datadis'!A:A,"",""),"""")"),"ES0031408323131005HX0F")</f>
        <v>ES0031408323131005HX0F</v>
      </c>
      <c r="B14265" s="12">
        <f>IFERROR(__xludf.DUMMYFUNCTION("""COMPUTED_VALUE"""),45460.0)</f>
        <v>45460</v>
      </c>
      <c r="C14265" s="13">
        <f>IFERROR(__xludf.DUMMYFUNCTION("""COMPUTED_VALUE"""),0.375)</f>
        <v>0.375</v>
      </c>
      <c r="D14265" s="8">
        <f>IFERROR(__xludf.DUMMYFUNCTION("""COMPUTED_VALUE"""),0.054)</f>
        <v>0.054</v>
      </c>
      <c r="E14265" s="8" t="str">
        <f>IFERROR(__xludf.DUMMYFUNCTION("""COMPUTED_VALUE"""),"Real")</f>
        <v>Real</v>
      </c>
      <c r="G14265" s="8">
        <f t="shared" si="1"/>
        <v>6</v>
      </c>
      <c r="H14265" s="14">
        <f t="shared" si="2"/>
        <v>17</v>
      </c>
      <c r="I14265" s="15">
        <f t="shared" si="3"/>
        <v>9</v>
      </c>
    </row>
    <row r="14266">
      <c r="A14266" s="8" t="str">
        <f>IFERROR(__xludf.DUMMYFUNCTION("IF('(INGESTA)Datos_consumo_datadis'!A14266&lt;&gt;"""",SPLIT('(INGESTA)Datos_consumo_datadis'!A:A,"",""),"""")"),"ES0031408323131005HX0F")</f>
        <v>ES0031408323131005HX0F</v>
      </c>
      <c r="B14266" s="12">
        <f>IFERROR(__xludf.DUMMYFUNCTION("""COMPUTED_VALUE"""),45460.0)</f>
        <v>45460</v>
      </c>
      <c r="C14266" s="13">
        <f>IFERROR(__xludf.DUMMYFUNCTION("""COMPUTED_VALUE"""),0.4166666666666667)</f>
        <v>0.4166666667</v>
      </c>
      <c r="D14266" s="8">
        <f>IFERROR(__xludf.DUMMYFUNCTION("""COMPUTED_VALUE"""),0.204)</f>
        <v>0.204</v>
      </c>
      <c r="E14266" s="8" t="str">
        <f>IFERROR(__xludf.DUMMYFUNCTION("""COMPUTED_VALUE"""),"Real")</f>
        <v>Real</v>
      </c>
      <c r="G14266" s="8">
        <f t="shared" si="1"/>
        <v>6</v>
      </c>
      <c r="H14266" s="14">
        <f t="shared" si="2"/>
        <v>17</v>
      </c>
      <c r="I14266" s="15">
        <f t="shared" si="3"/>
        <v>10</v>
      </c>
    </row>
    <row r="14267">
      <c r="A14267" s="8" t="str">
        <f>IFERROR(__xludf.DUMMYFUNCTION("IF('(INGESTA)Datos_consumo_datadis'!A14267&lt;&gt;"""",SPLIT('(INGESTA)Datos_consumo_datadis'!A:A,"",""),"""")"),"ES0031408323131005HX0F")</f>
        <v>ES0031408323131005HX0F</v>
      </c>
      <c r="B14267" s="12">
        <f>IFERROR(__xludf.DUMMYFUNCTION("""COMPUTED_VALUE"""),45460.0)</f>
        <v>45460</v>
      </c>
      <c r="C14267" s="13">
        <f>IFERROR(__xludf.DUMMYFUNCTION("""COMPUTED_VALUE"""),0.4583333333333333)</f>
        <v>0.4583333333</v>
      </c>
      <c r="D14267" s="8">
        <f>IFERROR(__xludf.DUMMYFUNCTION("""COMPUTED_VALUE"""),0.589)</f>
        <v>0.589</v>
      </c>
      <c r="E14267" s="8" t="str">
        <f>IFERROR(__xludf.DUMMYFUNCTION("""COMPUTED_VALUE"""),"Real")</f>
        <v>Real</v>
      </c>
      <c r="G14267" s="8">
        <f t="shared" si="1"/>
        <v>6</v>
      </c>
      <c r="H14267" s="14">
        <f t="shared" si="2"/>
        <v>17</v>
      </c>
      <c r="I14267" s="15">
        <f t="shared" si="3"/>
        <v>11</v>
      </c>
    </row>
    <row r="14268">
      <c r="A14268" s="8" t="str">
        <f>IFERROR(__xludf.DUMMYFUNCTION("IF('(INGESTA)Datos_consumo_datadis'!A14268&lt;&gt;"""",SPLIT('(INGESTA)Datos_consumo_datadis'!A:A,"",""),"""")"),"ES0031408323131005HX0F")</f>
        <v>ES0031408323131005HX0F</v>
      </c>
      <c r="B14268" s="12">
        <f>IFERROR(__xludf.DUMMYFUNCTION("""COMPUTED_VALUE"""),45460.0)</f>
        <v>45460</v>
      </c>
      <c r="C14268" s="13">
        <f>IFERROR(__xludf.DUMMYFUNCTION("""COMPUTED_VALUE"""),0.5)</f>
        <v>0.5</v>
      </c>
      <c r="D14268" s="8">
        <f>IFERROR(__xludf.DUMMYFUNCTION("""COMPUTED_VALUE"""),0.149)</f>
        <v>0.149</v>
      </c>
      <c r="E14268" s="8" t="str">
        <f>IFERROR(__xludf.DUMMYFUNCTION("""COMPUTED_VALUE"""),"Real")</f>
        <v>Real</v>
      </c>
      <c r="G14268" s="8">
        <f t="shared" si="1"/>
        <v>6</v>
      </c>
      <c r="H14268" s="14">
        <f t="shared" si="2"/>
        <v>17</v>
      </c>
      <c r="I14268" s="15">
        <f t="shared" si="3"/>
        <v>12</v>
      </c>
    </row>
    <row r="14269">
      <c r="A14269" s="8" t="str">
        <f>IFERROR(__xludf.DUMMYFUNCTION("IF('(INGESTA)Datos_consumo_datadis'!A14269&lt;&gt;"""",SPLIT('(INGESTA)Datos_consumo_datadis'!A:A,"",""),"""")"),"ES0031408323131005HX0F")</f>
        <v>ES0031408323131005HX0F</v>
      </c>
      <c r="B14269" s="12">
        <f>IFERROR(__xludf.DUMMYFUNCTION("""COMPUTED_VALUE"""),45460.0)</f>
        <v>45460</v>
      </c>
      <c r="C14269" s="13">
        <f>IFERROR(__xludf.DUMMYFUNCTION("""COMPUTED_VALUE"""),0.5416666666666666)</f>
        <v>0.5416666667</v>
      </c>
      <c r="D14269" s="8">
        <f>IFERROR(__xludf.DUMMYFUNCTION("""COMPUTED_VALUE"""),0.122)</f>
        <v>0.122</v>
      </c>
      <c r="E14269" s="8" t="str">
        <f>IFERROR(__xludf.DUMMYFUNCTION("""COMPUTED_VALUE"""),"Real")</f>
        <v>Real</v>
      </c>
      <c r="G14269" s="8">
        <f t="shared" si="1"/>
        <v>6</v>
      </c>
      <c r="H14269" s="14">
        <f t="shared" si="2"/>
        <v>17</v>
      </c>
      <c r="I14269" s="15">
        <f t="shared" si="3"/>
        <v>13</v>
      </c>
    </row>
    <row r="14270">
      <c r="A14270" s="8" t="str">
        <f>IFERROR(__xludf.DUMMYFUNCTION("IF('(INGESTA)Datos_consumo_datadis'!A14270&lt;&gt;"""",SPLIT('(INGESTA)Datos_consumo_datadis'!A:A,"",""),"""")"),"ES0031408323131005HX0F")</f>
        <v>ES0031408323131005HX0F</v>
      </c>
      <c r="B14270" s="12">
        <f>IFERROR(__xludf.DUMMYFUNCTION("""COMPUTED_VALUE"""),45460.0)</f>
        <v>45460</v>
      </c>
      <c r="C14270" s="13">
        <f>IFERROR(__xludf.DUMMYFUNCTION("""COMPUTED_VALUE"""),0.5833333333333334)</f>
        <v>0.5833333333</v>
      </c>
      <c r="D14270" s="8">
        <f>IFERROR(__xludf.DUMMYFUNCTION("""COMPUTED_VALUE"""),0.079)</f>
        <v>0.079</v>
      </c>
      <c r="E14270" s="8" t="str">
        <f>IFERROR(__xludf.DUMMYFUNCTION("""COMPUTED_VALUE"""),"Real")</f>
        <v>Real</v>
      </c>
      <c r="G14270" s="8">
        <f t="shared" si="1"/>
        <v>6</v>
      </c>
      <c r="H14270" s="14">
        <f t="shared" si="2"/>
        <v>17</v>
      </c>
      <c r="I14270" s="15">
        <f t="shared" si="3"/>
        <v>14</v>
      </c>
    </row>
    <row r="14271">
      <c r="A14271" s="8" t="str">
        <f>IFERROR(__xludf.DUMMYFUNCTION("IF('(INGESTA)Datos_consumo_datadis'!A14271&lt;&gt;"""",SPLIT('(INGESTA)Datos_consumo_datadis'!A:A,"",""),"""")"),"ES0031408323131005HX0F")</f>
        <v>ES0031408323131005HX0F</v>
      </c>
      <c r="B14271" s="12">
        <f>IFERROR(__xludf.DUMMYFUNCTION("""COMPUTED_VALUE"""),45460.0)</f>
        <v>45460</v>
      </c>
      <c r="C14271" s="13">
        <f>IFERROR(__xludf.DUMMYFUNCTION("""COMPUTED_VALUE"""),0.625)</f>
        <v>0.625</v>
      </c>
      <c r="D14271" s="8">
        <f>IFERROR(__xludf.DUMMYFUNCTION("""COMPUTED_VALUE"""),1.651)</f>
        <v>1.651</v>
      </c>
      <c r="E14271" s="8" t="str">
        <f>IFERROR(__xludf.DUMMYFUNCTION("""COMPUTED_VALUE"""),"Real")</f>
        <v>Real</v>
      </c>
      <c r="G14271" s="8">
        <f t="shared" si="1"/>
        <v>6</v>
      </c>
      <c r="H14271" s="14">
        <f t="shared" si="2"/>
        <v>17</v>
      </c>
      <c r="I14271" s="15">
        <f t="shared" si="3"/>
        <v>15</v>
      </c>
    </row>
    <row r="14272">
      <c r="A14272" s="8" t="str">
        <f>IFERROR(__xludf.DUMMYFUNCTION("IF('(INGESTA)Datos_consumo_datadis'!A14272&lt;&gt;"""",SPLIT('(INGESTA)Datos_consumo_datadis'!A:A,"",""),"""")"),"ES0031408323131005HX0F")</f>
        <v>ES0031408323131005HX0F</v>
      </c>
      <c r="B14272" s="12">
        <f>IFERROR(__xludf.DUMMYFUNCTION("""COMPUTED_VALUE"""),45460.0)</f>
        <v>45460</v>
      </c>
      <c r="C14272" s="13">
        <f>IFERROR(__xludf.DUMMYFUNCTION("""COMPUTED_VALUE"""),0.6666666666666666)</f>
        <v>0.6666666667</v>
      </c>
      <c r="D14272" s="8">
        <f>IFERROR(__xludf.DUMMYFUNCTION("""COMPUTED_VALUE"""),0.107)</f>
        <v>0.107</v>
      </c>
      <c r="E14272" s="8" t="str">
        <f>IFERROR(__xludf.DUMMYFUNCTION("""COMPUTED_VALUE"""),"Real")</f>
        <v>Real</v>
      </c>
      <c r="G14272" s="8">
        <f t="shared" si="1"/>
        <v>6</v>
      </c>
      <c r="H14272" s="14">
        <f t="shared" si="2"/>
        <v>17</v>
      </c>
      <c r="I14272" s="15">
        <f t="shared" si="3"/>
        <v>16</v>
      </c>
    </row>
    <row r="14273">
      <c r="A14273" s="8" t="str">
        <f>IFERROR(__xludf.DUMMYFUNCTION("IF('(INGESTA)Datos_consumo_datadis'!A14273&lt;&gt;"""",SPLIT('(INGESTA)Datos_consumo_datadis'!A:A,"",""),"""")"),"ES0031408323131005HX0F")</f>
        <v>ES0031408323131005HX0F</v>
      </c>
      <c r="B14273" s="12">
        <f>IFERROR(__xludf.DUMMYFUNCTION("""COMPUTED_VALUE"""),45460.0)</f>
        <v>45460</v>
      </c>
      <c r="C14273" s="13">
        <f>IFERROR(__xludf.DUMMYFUNCTION("""COMPUTED_VALUE"""),0.7083333333333334)</f>
        <v>0.7083333333</v>
      </c>
      <c r="D14273" s="8">
        <f>IFERROR(__xludf.DUMMYFUNCTION("""COMPUTED_VALUE"""),0.15)</f>
        <v>0.15</v>
      </c>
      <c r="E14273" s="8" t="str">
        <f>IFERROR(__xludf.DUMMYFUNCTION("""COMPUTED_VALUE"""),"Real")</f>
        <v>Real</v>
      </c>
      <c r="G14273" s="8">
        <f t="shared" si="1"/>
        <v>6</v>
      </c>
      <c r="H14273" s="14">
        <f t="shared" si="2"/>
        <v>17</v>
      </c>
      <c r="I14273" s="15">
        <f t="shared" si="3"/>
        <v>17</v>
      </c>
    </row>
    <row r="14274">
      <c r="A14274" s="8" t="str">
        <f>IFERROR(__xludf.DUMMYFUNCTION("IF('(INGESTA)Datos_consumo_datadis'!A14274&lt;&gt;"""",SPLIT('(INGESTA)Datos_consumo_datadis'!A:A,"",""),"""")"),"ES0031408323131005HX0F")</f>
        <v>ES0031408323131005HX0F</v>
      </c>
      <c r="B14274" s="12">
        <f>IFERROR(__xludf.DUMMYFUNCTION("""COMPUTED_VALUE"""),45460.0)</f>
        <v>45460</v>
      </c>
      <c r="C14274" s="13">
        <f>IFERROR(__xludf.DUMMYFUNCTION("""COMPUTED_VALUE"""),0.75)</f>
        <v>0.75</v>
      </c>
      <c r="D14274" s="8">
        <f>IFERROR(__xludf.DUMMYFUNCTION("""COMPUTED_VALUE"""),0.152)</f>
        <v>0.152</v>
      </c>
      <c r="E14274" s="8" t="str">
        <f>IFERROR(__xludf.DUMMYFUNCTION("""COMPUTED_VALUE"""),"Real")</f>
        <v>Real</v>
      </c>
      <c r="G14274" s="8">
        <f t="shared" si="1"/>
        <v>6</v>
      </c>
      <c r="H14274" s="14">
        <f t="shared" si="2"/>
        <v>17</v>
      </c>
      <c r="I14274" s="15">
        <f t="shared" si="3"/>
        <v>18</v>
      </c>
    </row>
    <row r="14275">
      <c r="A14275" s="8" t="str">
        <f>IFERROR(__xludf.DUMMYFUNCTION("IF('(INGESTA)Datos_consumo_datadis'!A14275&lt;&gt;"""",SPLIT('(INGESTA)Datos_consumo_datadis'!A:A,"",""),"""")"),"ES0031408323131005HX0F")</f>
        <v>ES0031408323131005HX0F</v>
      </c>
      <c r="B14275" s="12">
        <f>IFERROR(__xludf.DUMMYFUNCTION("""COMPUTED_VALUE"""),45460.0)</f>
        <v>45460</v>
      </c>
      <c r="C14275" s="13">
        <f>IFERROR(__xludf.DUMMYFUNCTION("""COMPUTED_VALUE"""),0.7916666666666666)</f>
        <v>0.7916666667</v>
      </c>
      <c r="D14275" s="8">
        <f>IFERROR(__xludf.DUMMYFUNCTION("""COMPUTED_VALUE"""),0.075)</f>
        <v>0.075</v>
      </c>
      <c r="E14275" s="8" t="str">
        <f>IFERROR(__xludf.DUMMYFUNCTION("""COMPUTED_VALUE"""),"Real")</f>
        <v>Real</v>
      </c>
      <c r="G14275" s="8">
        <f t="shared" si="1"/>
        <v>6</v>
      </c>
      <c r="H14275" s="14">
        <f t="shared" si="2"/>
        <v>17</v>
      </c>
      <c r="I14275" s="15">
        <f t="shared" si="3"/>
        <v>19</v>
      </c>
    </row>
    <row r="14276">
      <c r="A14276" s="8" t="str">
        <f>IFERROR(__xludf.DUMMYFUNCTION("IF('(INGESTA)Datos_consumo_datadis'!A14276&lt;&gt;"""",SPLIT('(INGESTA)Datos_consumo_datadis'!A:A,"",""),"""")"),"ES0031408323131005HX0F")</f>
        <v>ES0031408323131005HX0F</v>
      </c>
      <c r="B14276" s="12">
        <f>IFERROR(__xludf.DUMMYFUNCTION("""COMPUTED_VALUE"""),45460.0)</f>
        <v>45460</v>
      </c>
      <c r="C14276" s="13">
        <f>IFERROR(__xludf.DUMMYFUNCTION("""COMPUTED_VALUE"""),0.8333333333333334)</f>
        <v>0.8333333333</v>
      </c>
      <c r="D14276" s="8">
        <f>IFERROR(__xludf.DUMMYFUNCTION("""COMPUTED_VALUE"""),0.053)</f>
        <v>0.053</v>
      </c>
      <c r="E14276" s="8" t="str">
        <f>IFERROR(__xludf.DUMMYFUNCTION("""COMPUTED_VALUE"""),"Real")</f>
        <v>Real</v>
      </c>
      <c r="G14276" s="8">
        <f t="shared" si="1"/>
        <v>6</v>
      </c>
      <c r="H14276" s="14">
        <f t="shared" si="2"/>
        <v>17</v>
      </c>
      <c r="I14276" s="15">
        <f t="shared" si="3"/>
        <v>20</v>
      </c>
    </row>
    <row r="14277">
      <c r="A14277" s="8" t="str">
        <f>IFERROR(__xludf.DUMMYFUNCTION("IF('(INGESTA)Datos_consumo_datadis'!A14277&lt;&gt;"""",SPLIT('(INGESTA)Datos_consumo_datadis'!A:A,"",""),"""")"),"ES0031408323131005HX0F")</f>
        <v>ES0031408323131005HX0F</v>
      </c>
      <c r="B14277" s="12">
        <f>IFERROR(__xludf.DUMMYFUNCTION("""COMPUTED_VALUE"""),45460.0)</f>
        <v>45460</v>
      </c>
      <c r="C14277" s="13">
        <f>IFERROR(__xludf.DUMMYFUNCTION("""COMPUTED_VALUE"""),0.875)</f>
        <v>0.875</v>
      </c>
      <c r="D14277" s="8">
        <f>IFERROR(__xludf.DUMMYFUNCTION("""COMPUTED_VALUE"""),0.355)</f>
        <v>0.355</v>
      </c>
      <c r="E14277" s="8" t="str">
        <f>IFERROR(__xludf.DUMMYFUNCTION("""COMPUTED_VALUE"""),"Real")</f>
        <v>Real</v>
      </c>
      <c r="G14277" s="8">
        <f t="shared" si="1"/>
        <v>6</v>
      </c>
      <c r="H14277" s="14">
        <f t="shared" si="2"/>
        <v>17</v>
      </c>
      <c r="I14277" s="15">
        <f t="shared" si="3"/>
        <v>21</v>
      </c>
    </row>
    <row r="14278">
      <c r="A14278" s="8" t="str">
        <f>IFERROR(__xludf.DUMMYFUNCTION("IF('(INGESTA)Datos_consumo_datadis'!A14278&lt;&gt;"""",SPLIT('(INGESTA)Datos_consumo_datadis'!A:A,"",""),"""")"),"ES0031408323131005HX0F")</f>
        <v>ES0031408323131005HX0F</v>
      </c>
      <c r="B14278" s="12">
        <f>IFERROR(__xludf.DUMMYFUNCTION("""COMPUTED_VALUE"""),45460.0)</f>
        <v>45460</v>
      </c>
      <c r="C14278" s="13">
        <f>IFERROR(__xludf.DUMMYFUNCTION("""COMPUTED_VALUE"""),0.9166666666666666)</f>
        <v>0.9166666667</v>
      </c>
      <c r="D14278" s="8">
        <f>IFERROR(__xludf.DUMMYFUNCTION("""COMPUTED_VALUE"""),0.045)</f>
        <v>0.045</v>
      </c>
      <c r="E14278" s="8" t="str">
        <f>IFERROR(__xludf.DUMMYFUNCTION("""COMPUTED_VALUE"""),"Real")</f>
        <v>Real</v>
      </c>
      <c r="G14278" s="8">
        <f t="shared" si="1"/>
        <v>6</v>
      </c>
      <c r="H14278" s="14">
        <f t="shared" si="2"/>
        <v>17</v>
      </c>
      <c r="I14278" s="15">
        <f t="shared" si="3"/>
        <v>22</v>
      </c>
    </row>
    <row r="14279">
      <c r="A14279" s="8" t="str">
        <f>IFERROR(__xludf.DUMMYFUNCTION("IF('(INGESTA)Datos_consumo_datadis'!A14279&lt;&gt;"""",SPLIT('(INGESTA)Datos_consumo_datadis'!A:A,"",""),"""")"),"ES0031408323131005HX0F")</f>
        <v>ES0031408323131005HX0F</v>
      </c>
      <c r="B14279" s="12">
        <f>IFERROR(__xludf.DUMMYFUNCTION("""COMPUTED_VALUE"""),45460.0)</f>
        <v>45460</v>
      </c>
      <c r="C14279" s="13">
        <f>IFERROR(__xludf.DUMMYFUNCTION("""COMPUTED_VALUE"""),0.9583333333333334)</f>
        <v>0.9583333333</v>
      </c>
      <c r="D14279" s="8">
        <f>IFERROR(__xludf.DUMMYFUNCTION("""COMPUTED_VALUE"""),0.09)</f>
        <v>0.09</v>
      </c>
      <c r="E14279" s="8" t="str">
        <f>IFERROR(__xludf.DUMMYFUNCTION("""COMPUTED_VALUE"""),"Real")</f>
        <v>Real</v>
      </c>
      <c r="G14279" s="8">
        <f t="shared" si="1"/>
        <v>6</v>
      </c>
      <c r="H14279" s="14">
        <f t="shared" si="2"/>
        <v>17</v>
      </c>
      <c r="I14279" s="15">
        <f t="shared" si="3"/>
        <v>23</v>
      </c>
    </row>
    <row r="14280">
      <c r="A14280" s="8" t="str">
        <f>IFERROR(__xludf.DUMMYFUNCTION("IF('(INGESTA)Datos_consumo_datadis'!A14280&lt;&gt;"""",SPLIT('(INGESTA)Datos_consumo_datadis'!A:A,"",""),"""")"),"ES0031408323131005HX0F")</f>
        <v>ES0031408323131005HX0F</v>
      </c>
      <c r="B14280" s="12">
        <f>IFERROR(__xludf.DUMMYFUNCTION("""COMPUTED_VALUE"""),45460.0)</f>
        <v>45460</v>
      </c>
      <c r="C14280" s="16">
        <f>IFERROR(__xludf.DUMMYFUNCTION("""COMPUTED_VALUE"""),1.0)</f>
        <v>1</v>
      </c>
      <c r="D14280" s="8">
        <f>IFERROR(__xludf.DUMMYFUNCTION("""COMPUTED_VALUE"""),0.053)</f>
        <v>0.053</v>
      </c>
      <c r="E14280" s="8" t="str">
        <f>IFERROR(__xludf.DUMMYFUNCTION("""COMPUTED_VALUE"""),"Real")</f>
        <v>Real</v>
      </c>
      <c r="G14280" s="8">
        <f t="shared" si="1"/>
        <v>6</v>
      </c>
      <c r="H14280" s="14">
        <f t="shared" si="2"/>
        <v>17</v>
      </c>
      <c r="I14280" s="15">
        <f t="shared" si="3"/>
        <v>0</v>
      </c>
    </row>
    <row r="14281">
      <c r="A14281" s="8" t="str">
        <f>IFERROR(__xludf.DUMMYFUNCTION("IF('(INGESTA)Datos_consumo_datadis'!A14281&lt;&gt;"""",SPLIT('(INGESTA)Datos_consumo_datadis'!A:A,"",""),"""")"),"ES0031408323131005HX0F")</f>
        <v>ES0031408323131005HX0F</v>
      </c>
      <c r="B14281" s="12">
        <f>IFERROR(__xludf.DUMMYFUNCTION("""COMPUTED_VALUE"""),45461.0)</f>
        <v>45461</v>
      </c>
      <c r="C14281" s="13">
        <f>IFERROR(__xludf.DUMMYFUNCTION("""COMPUTED_VALUE"""),0.041666666666666664)</f>
        <v>0.04166666667</v>
      </c>
      <c r="D14281" s="8">
        <f>IFERROR(__xludf.DUMMYFUNCTION("""COMPUTED_VALUE"""),0.089)</f>
        <v>0.089</v>
      </c>
      <c r="E14281" s="8" t="str">
        <f>IFERROR(__xludf.DUMMYFUNCTION("""COMPUTED_VALUE"""),"Real")</f>
        <v>Real</v>
      </c>
      <c r="G14281" s="8">
        <f t="shared" si="1"/>
        <v>6</v>
      </c>
      <c r="H14281" s="14">
        <f t="shared" si="2"/>
        <v>18</v>
      </c>
      <c r="I14281" s="15">
        <f t="shared" si="3"/>
        <v>1</v>
      </c>
    </row>
    <row r="14282">
      <c r="A14282" s="8" t="str">
        <f>IFERROR(__xludf.DUMMYFUNCTION("IF('(INGESTA)Datos_consumo_datadis'!A14282&lt;&gt;"""",SPLIT('(INGESTA)Datos_consumo_datadis'!A:A,"",""),"""")"),"ES0031408323131005HX0F")</f>
        <v>ES0031408323131005HX0F</v>
      </c>
      <c r="B14282" s="12">
        <f>IFERROR(__xludf.DUMMYFUNCTION("""COMPUTED_VALUE"""),45461.0)</f>
        <v>45461</v>
      </c>
      <c r="C14282" s="13">
        <f>IFERROR(__xludf.DUMMYFUNCTION("""COMPUTED_VALUE"""),0.08333333333333333)</f>
        <v>0.08333333333</v>
      </c>
      <c r="D14282" s="8">
        <f>IFERROR(__xludf.DUMMYFUNCTION("""COMPUTED_VALUE"""),0.06)</f>
        <v>0.06</v>
      </c>
      <c r="E14282" s="8" t="str">
        <f>IFERROR(__xludf.DUMMYFUNCTION("""COMPUTED_VALUE"""),"Real")</f>
        <v>Real</v>
      </c>
      <c r="G14282" s="8">
        <f t="shared" si="1"/>
        <v>6</v>
      </c>
      <c r="H14282" s="14">
        <f t="shared" si="2"/>
        <v>18</v>
      </c>
      <c r="I14282" s="15">
        <f t="shared" si="3"/>
        <v>2</v>
      </c>
    </row>
    <row r="14283">
      <c r="A14283" s="8" t="str">
        <f>IFERROR(__xludf.DUMMYFUNCTION("IF('(INGESTA)Datos_consumo_datadis'!A14283&lt;&gt;"""",SPLIT('(INGESTA)Datos_consumo_datadis'!A:A,"",""),"""")"),"ES0031408323131005HX0F")</f>
        <v>ES0031408323131005HX0F</v>
      </c>
      <c r="B14283" s="12">
        <f>IFERROR(__xludf.DUMMYFUNCTION("""COMPUTED_VALUE"""),45461.0)</f>
        <v>45461</v>
      </c>
      <c r="C14283" s="13">
        <f>IFERROR(__xludf.DUMMYFUNCTION("""COMPUTED_VALUE"""),0.125)</f>
        <v>0.125</v>
      </c>
      <c r="D14283" s="8">
        <f>IFERROR(__xludf.DUMMYFUNCTION("""COMPUTED_VALUE"""),0.06)</f>
        <v>0.06</v>
      </c>
      <c r="E14283" s="8" t="str">
        <f>IFERROR(__xludf.DUMMYFUNCTION("""COMPUTED_VALUE"""),"Real")</f>
        <v>Real</v>
      </c>
      <c r="G14283" s="8">
        <f t="shared" si="1"/>
        <v>6</v>
      </c>
      <c r="H14283" s="14">
        <f t="shared" si="2"/>
        <v>18</v>
      </c>
      <c r="I14283" s="15">
        <f t="shared" si="3"/>
        <v>3</v>
      </c>
    </row>
    <row r="14284">
      <c r="A14284" s="8" t="str">
        <f>IFERROR(__xludf.DUMMYFUNCTION("IF('(INGESTA)Datos_consumo_datadis'!A14284&lt;&gt;"""",SPLIT('(INGESTA)Datos_consumo_datadis'!A:A,"",""),"""")"),"ES0031408323131005HX0F")</f>
        <v>ES0031408323131005HX0F</v>
      </c>
      <c r="B14284" s="12">
        <f>IFERROR(__xludf.DUMMYFUNCTION("""COMPUTED_VALUE"""),45461.0)</f>
        <v>45461</v>
      </c>
      <c r="C14284" s="13">
        <f>IFERROR(__xludf.DUMMYFUNCTION("""COMPUTED_VALUE"""),0.16666666666666666)</f>
        <v>0.1666666667</v>
      </c>
      <c r="D14284" s="8">
        <f>IFERROR(__xludf.DUMMYFUNCTION("""COMPUTED_VALUE"""),0.357)</f>
        <v>0.357</v>
      </c>
      <c r="E14284" s="8" t="str">
        <f>IFERROR(__xludf.DUMMYFUNCTION("""COMPUTED_VALUE"""),"Real")</f>
        <v>Real</v>
      </c>
      <c r="G14284" s="8">
        <f t="shared" si="1"/>
        <v>6</v>
      </c>
      <c r="H14284" s="14">
        <f t="shared" si="2"/>
        <v>18</v>
      </c>
      <c r="I14284" s="15">
        <f t="shared" si="3"/>
        <v>4</v>
      </c>
    </row>
    <row r="14285">
      <c r="A14285" s="8" t="str">
        <f>IFERROR(__xludf.DUMMYFUNCTION("IF('(INGESTA)Datos_consumo_datadis'!A14285&lt;&gt;"""",SPLIT('(INGESTA)Datos_consumo_datadis'!A:A,"",""),"""")"),"ES0031408323131005HX0F")</f>
        <v>ES0031408323131005HX0F</v>
      </c>
      <c r="B14285" s="12">
        <f>IFERROR(__xludf.DUMMYFUNCTION("""COMPUTED_VALUE"""),45461.0)</f>
        <v>45461</v>
      </c>
      <c r="C14285" s="13">
        <f>IFERROR(__xludf.DUMMYFUNCTION("""COMPUTED_VALUE"""),0.20833333333333334)</f>
        <v>0.2083333333</v>
      </c>
      <c r="D14285" s="8">
        <f>IFERROR(__xludf.DUMMYFUNCTION("""COMPUTED_VALUE"""),0.042)</f>
        <v>0.042</v>
      </c>
      <c r="E14285" s="8" t="str">
        <f>IFERROR(__xludf.DUMMYFUNCTION("""COMPUTED_VALUE"""),"Real")</f>
        <v>Real</v>
      </c>
      <c r="G14285" s="8">
        <f t="shared" si="1"/>
        <v>6</v>
      </c>
      <c r="H14285" s="14">
        <f t="shared" si="2"/>
        <v>18</v>
      </c>
      <c r="I14285" s="15">
        <f t="shared" si="3"/>
        <v>5</v>
      </c>
    </row>
    <row r="14286">
      <c r="A14286" s="8" t="str">
        <f>IFERROR(__xludf.DUMMYFUNCTION("IF('(INGESTA)Datos_consumo_datadis'!A14286&lt;&gt;"""",SPLIT('(INGESTA)Datos_consumo_datadis'!A:A,"",""),"""")"),"ES0031408323131005HX0F")</f>
        <v>ES0031408323131005HX0F</v>
      </c>
      <c r="B14286" s="12">
        <f>IFERROR(__xludf.DUMMYFUNCTION("""COMPUTED_VALUE"""),45461.0)</f>
        <v>45461</v>
      </c>
      <c r="C14286" s="13">
        <f>IFERROR(__xludf.DUMMYFUNCTION("""COMPUTED_VALUE"""),0.25)</f>
        <v>0.25</v>
      </c>
      <c r="D14286" s="8">
        <f>IFERROR(__xludf.DUMMYFUNCTION("""COMPUTED_VALUE"""),0.082)</f>
        <v>0.082</v>
      </c>
      <c r="E14286" s="8" t="str">
        <f>IFERROR(__xludf.DUMMYFUNCTION("""COMPUTED_VALUE"""),"Real")</f>
        <v>Real</v>
      </c>
      <c r="G14286" s="8">
        <f t="shared" si="1"/>
        <v>6</v>
      </c>
      <c r="H14286" s="14">
        <f t="shared" si="2"/>
        <v>18</v>
      </c>
      <c r="I14286" s="15">
        <f t="shared" si="3"/>
        <v>6</v>
      </c>
    </row>
    <row r="14287">
      <c r="A14287" s="8" t="str">
        <f>IFERROR(__xludf.DUMMYFUNCTION("IF('(INGESTA)Datos_consumo_datadis'!A14287&lt;&gt;"""",SPLIT('(INGESTA)Datos_consumo_datadis'!A:A,"",""),"""")"),"ES0031408323131005HX0F")</f>
        <v>ES0031408323131005HX0F</v>
      </c>
      <c r="B14287" s="12">
        <f>IFERROR(__xludf.DUMMYFUNCTION("""COMPUTED_VALUE"""),45461.0)</f>
        <v>45461</v>
      </c>
      <c r="C14287" s="13">
        <f>IFERROR(__xludf.DUMMYFUNCTION("""COMPUTED_VALUE"""),0.2916666666666667)</f>
        <v>0.2916666667</v>
      </c>
      <c r="D14287" s="8">
        <f>IFERROR(__xludf.DUMMYFUNCTION("""COMPUTED_VALUE"""),0.054)</f>
        <v>0.054</v>
      </c>
      <c r="E14287" s="8" t="str">
        <f>IFERROR(__xludf.DUMMYFUNCTION("""COMPUTED_VALUE"""),"Real")</f>
        <v>Real</v>
      </c>
      <c r="G14287" s="8">
        <f t="shared" si="1"/>
        <v>6</v>
      </c>
      <c r="H14287" s="14">
        <f t="shared" si="2"/>
        <v>18</v>
      </c>
      <c r="I14287" s="15">
        <f t="shared" si="3"/>
        <v>7</v>
      </c>
    </row>
    <row r="14288">
      <c r="A14288" s="8" t="str">
        <f>IFERROR(__xludf.DUMMYFUNCTION("IF('(INGESTA)Datos_consumo_datadis'!A14288&lt;&gt;"""",SPLIT('(INGESTA)Datos_consumo_datadis'!A:A,"",""),"""")"),"ES0031408323131005HX0F")</f>
        <v>ES0031408323131005HX0F</v>
      </c>
      <c r="B14288" s="12">
        <f>IFERROR(__xludf.DUMMYFUNCTION("""COMPUTED_VALUE"""),45461.0)</f>
        <v>45461</v>
      </c>
      <c r="C14288" s="13">
        <f>IFERROR(__xludf.DUMMYFUNCTION("""COMPUTED_VALUE"""),0.3333333333333333)</f>
        <v>0.3333333333</v>
      </c>
      <c r="D14288" s="8">
        <f>IFERROR(__xludf.DUMMYFUNCTION("""COMPUTED_VALUE"""),0.103)</f>
        <v>0.103</v>
      </c>
      <c r="E14288" s="8" t="str">
        <f>IFERROR(__xludf.DUMMYFUNCTION("""COMPUTED_VALUE"""),"Real")</f>
        <v>Real</v>
      </c>
      <c r="G14288" s="8">
        <f t="shared" si="1"/>
        <v>6</v>
      </c>
      <c r="H14288" s="14">
        <f t="shared" si="2"/>
        <v>18</v>
      </c>
      <c r="I14288" s="15">
        <f t="shared" si="3"/>
        <v>8</v>
      </c>
    </row>
    <row r="14289">
      <c r="A14289" s="8" t="str">
        <f>IFERROR(__xludf.DUMMYFUNCTION("IF('(INGESTA)Datos_consumo_datadis'!A14289&lt;&gt;"""",SPLIT('(INGESTA)Datos_consumo_datadis'!A:A,"",""),"""")"),"ES0031408323131005HX0F")</f>
        <v>ES0031408323131005HX0F</v>
      </c>
      <c r="B14289" s="12">
        <f>IFERROR(__xludf.DUMMYFUNCTION("""COMPUTED_VALUE"""),45461.0)</f>
        <v>45461</v>
      </c>
      <c r="C14289" s="13">
        <f>IFERROR(__xludf.DUMMYFUNCTION("""COMPUTED_VALUE"""),0.375)</f>
        <v>0.375</v>
      </c>
      <c r="D14289" s="8">
        <f>IFERROR(__xludf.DUMMYFUNCTION("""COMPUTED_VALUE"""),0.117)</f>
        <v>0.117</v>
      </c>
      <c r="E14289" s="8" t="str">
        <f>IFERROR(__xludf.DUMMYFUNCTION("""COMPUTED_VALUE"""),"Real")</f>
        <v>Real</v>
      </c>
      <c r="G14289" s="8">
        <f t="shared" si="1"/>
        <v>6</v>
      </c>
      <c r="H14289" s="14">
        <f t="shared" si="2"/>
        <v>18</v>
      </c>
      <c r="I14289" s="15">
        <f t="shared" si="3"/>
        <v>9</v>
      </c>
    </row>
    <row r="14290">
      <c r="A14290" s="8" t="str">
        <f>IFERROR(__xludf.DUMMYFUNCTION("IF('(INGESTA)Datos_consumo_datadis'!A14290&lt;&gt;"""",SPLIT('(INGESTA)Datos_consumo_datadis'!A:A,"",""),"""")"),"ES0031408323131005HX0F")</f>
        <v>ES0031408323131005HX0F</v>
      </c>
      <c r="B14290" s="12">
        <f>IFERROR(__xludf.DUMMYFUNCTION("""COMPUTED_VALUE"""),45461.0)</f>
        <v>45461</v>
      </c>
      <c r="C14290" s="13">
        <f>IFERROR(__xludf.DUMMYFUNCTION("""COMPUTED_VALUE"""),0.4166666666666667)</f>
        <v>0.4166666667</v>
      </c>
      <c r="D14290" s="8">
        <f>IFERROR(__xludf.DUMMYFUNCTION("""COMPUTED_VALUE"""),0.076)</f>
        <v>0.076</v>
      </c>
      <c r="E14290" s="8" t="str">
        <f>IFERROR(__xludf.DUMMYFUNCTION("""COMPUTED_VALUE"""),"Real")</f>
        <v>Real</v>
      </c>
      <c r="G14290" s="8">
        <f t="shared" si="1"/>
        <v>6</v>
      </c>
      <c r="H14290" s="14">
        <f t="shared" si="2"/>
        <v>18</v>
      </c>
      <c r="I14290" s="15">
        <f t="shared" si="3"/>
        <v>10</v>
      </c>
    </row>
    <row r="14291">
      <c r="A14291" s="8" t="str">
        <f>IFERROR(__xludf.DUMMYFUNCTION("IF('(INGESTA)Datos_consumo_datadis'!A14291&lt;&gt;"""",SPLIT('(INGESTA)Datos_consumo_datadis'!A:A,"",""),"""")"),"ES0031408323131005HX0F")</f>
        <v>ES0031408323131005HX0F</v>
      </c>
      <c r="B14291" s="12">
        <f>IFERROR(__xludf.DUMMYFUNCTION("""COMPUTED_VALUE"""),45461.0)</f>
        <v>45461</v>
      </c>
      <c r="C14291" s="13">
        <f>IFERROR(__xludf.DUMMYFUNCTION("""COMPUTED_VALUE"""),0.4583333333333333)</f>
        <v>0.4583333333</v>
      </c>
      <c r="D14291" s="8">
        <f>IFERROR(__xludf.DUMMYFUNCTION("""COMPUTED_VALUE"""),0.052)</f>
        <v>0.052</v>
      </c>
      <c r="E14291" s="8" t="str">
        <f>IFERROR(__xludf.DUMMYFUNCTION("""COMPUTED_VALUE"""),"Real")</f>
        <v>Real</v>
      </c>
      <c r="G14291" s="8">
        <f t="shared" si="1"/>
        <v>6</v>
      </c>
      <c r="H14291" s="14">
        <f t="shared" si="2"/>
        <v>18</v>
      </c>
      <c r="I14291" s="15">
        <f t="shared" si="3"/>
        <v>11</v>
      </c>
    </row>
    <row r="14292">
      <c r="A14292" s="8" t="str">
        <f>IFERROR(__xludf.DUMMYFUNCTION("IF('(INGESTA)Datos_consumo_datadis'!A14292&lt;&gt;"""",SPLIT('(INGESTA)Datos_consumo_datadis'!A:A,"",""),"""")"),"ES0031408323131005HX0F")</f>
        <v>ES0031408323131005HX0F</v>
      </c>
      <c r="B14292" s="12">
        <f>IFERROR(__xludf.DUMMYFUNCTION("""COMPUTED_VALUE"""),45461.0)</f>
        <v>45461</v>
      </c>
      <c r="C14292" s="13">
        <f>IFERROR(__xludf.DUMMYFUNCTION("""COMPUTED_VALUE"""),0.5)</f>
        <v>0.5</v>
      </c>
      <c r="D14292" s="8">
        <f>IFERROR(__xludf.DUMMYFUNCTION("""COMPUTED_VALUE"""),0.375)</f>
        <v>0.375</v>
      </c>
      <c r="E14292" s="8" t="str">
        <f>IFERROR(__xludf.DUMMYFUNCTION("""COMPUTED_VALUE"""),"Real")</f>
        <v>Real</v>
      </c>
      <c r="G14292" s="8">
        <f t="shared" si="1"/>
        <v>6</v>
      </c>
      <c r="H14292" s="14">
        <f t="shared" si="2"/>
        <v>18</v>
      </c>
      <c r="I14292" s="15">
        <f t="shared" si="3"/>
        <v>12</v>
      </c>
    </row>
    <row r="14293">
      <c r="A14293" s="8" t="str">
        <f>IFERROR(__xludf.DUMMYFUNCTION("IF('(INGESTA)Datos_consumo_datadis'!A14293&lt;&gt;"""",SPLIT('(INGESTA)Datos_consumo_datadis'!A:A,"",""),"""")"),"ES0031408323131005HX0F")</f>
        <v>ES0031408323131005HX0F</v>
      </c>
      <c r="B14293" s="12">
        <f>IFERROR(__xludf.DUMMYFUNCTION("""COMPUTED_VALUE"""),45461.0)</f>
        <v>45461</v>
      </c>
      <c r="C14293" s="13">
        <f>IFERROR(__xludf.DUMMYFUNCTION("""COMPUTED_VALUE"""),0.5416666666666666)</f>
        <v>0.5416666667</v>
      </c>
      <c r="D14293" s="8">
        <f>IFERROR(__xludf.DUMMYFUNCTION("""COMPUTED_VALUE"""),0.056)</f>
        <v>0.056</v>
      </c>
      <c r="E14293" s="8" t="str">
        <f>IFERROR(__xludf.DUMMYFUNCTION("""COMPUTED_VALUE"""),"Real")</f>
        <v>Real</v>
      </c>
      <c r="G14293" s="8">
        <f t="shared" si="1"/>
        <v>6</v>
      </c>
      <c r="H14293" s="14">
        <f t="shared" si="2"/>
        <v>18</v>
      </c>
      <c r="I14293" s="15">
        <f t="shared" si="3"/>
        <v>13</v>
      </c>
    </row>
    <row r="14294">
      <c r="A14294" s="8" t="str">
        <f>IFERROR(__xludf.DUMMYFUNCTION("IF('(INGESTA)Datos_consumo_datadis'!A14294&lt;&gt;"""",SPLIT('(INGESTA)Datos_consumo_datadis'!A:A,"",""),"""")"),"ES0031408323131005HX0F")</f>
        <v>ES0031408323131005HX0F</v>
      </c>
      <c r="B14294" s="12">
        <f>IFERROR(__xludf.DUMMYFUNCTION("""COMPUTED_VALUE"""),45461.0)</f>
        <v>45461</v>
      </c>
      <c r="C14294" s="13">
        <f>IFERROR(__xludf.DUMMYFUNCTION("""COMPUTED_VALUE"""),0.5833333333333334)</f>
        <v>0.5833333333</v>
      </c>
      <c r="D14294" s="8">
        <f>IFERROR(__xludf.DUMMYFUNCTION("""COMPUTED_VALUE"""),0.062)</f>
        <v>0.062</v>
      </c>
      <c r="E14294" s="8" t="str">
        <f>IFERROR(__xludf.DUMMYFUNCTION("""COMPUTED_VALUE"""),"Real")</f>
        <v>Real</v>
      </c>
      <c r="G14294" s="8">
        <f t="shared" si="1"/>
        <v>6</v>
      </c>
      <c r="H14294" s="14">
        <f t="shared" si="2"/>
        <v>18</v>
      </c>
      <c r="I14294" s="15">
        <f t="shared" si="3"/>
        <v>14</v>
      </c>
    </row>
    <row r="14295">
      <c r="A14295" s="8" t="str">
        <f>IFERROR(__xludf.DUMMYFUNCTION("IF('(INGESTA)Datos_consumo_datadis'!A14295&lt;&gt;"""",SPLIT('(INGESTA)Datos_consumo_datadis'!A:A,"",""),"""")"),"ES0031408323131005HX0F")</f>
        <v>ES0031408323131005HX0F</v>
      </c>
      <c r="B14295" s="12">
        <f>IFERROR(__xludf.DUMMYFUNCTION("""COMPUTED_VALUE"""),45461.0)</f>
        <v>45461</v>
      </c>
      <c r="C14295" s="13">
        <f>IFERROR(__xludf.DUMMYFUNCTION("""COMPUTED_VALUE"""),0.625)</f>
        <v>0.625</v>
      </c>
      <c r="D14295" s="8">
        <f>IFERROR(__xludf.DUMMYFUNCTION("""COMPUTED_VALUE"""),0.074)</f>
        <v>0.074</v>
      </c>
      <c r="E14295" s="8" t="str">
        <f>IFERROR(__xludf.DUMMYFUNCTION("""COMPUTED_VALUE"""),"Real")</f>
        <v>Real</v>
      </c>
      <c r="G14295" s="8">
        <f t="shared" si="1"/>
        <v>6</v>
      </c>
      <c r="H14295" s="14">
        <f t="shared" si="2"/>
        <v>18</v>
      </c>
      <c r="I14295" s="15">
        <f t="shared" si="3"/>
        <v>15</v>
      </c>
    </row>
    <row r="14296">
      <c r="A14296" s="8" t="str">
        <f>IFERROR(__xludf.DUMMYFUNCTION("IF('(INGESTA)Datos_consumo_datadis'!A14296&lt;&gt;"""",SPLIT('(INGESTA)Datos_consumo_datadis'!A:A,"",""),"""")"),"ES0031408323131005HX0F")</f>
        <v>ES0031408323131005HX0F</v>
      </c>
      <c r="B14296" s="12">
        <f>IFERROR(__xludf.DUMMYFUNCTION("""COMPUTED_VALUE"""),45461.0)</f>
        <v>45461</v>
      </c>
      <c r="C14296" s="13">
        <f>IFERROR(__xludf.DUMMYFUNCTION("""COMPUTED_VALUE"""),0.6666666666666666)</f>
        <v>0.6666666667</v>
      </c>
      <c r="D14296" s="8">
        <f>IFERROR(__xludf.DUMMYFUNCTION("""COMPUTED_VALUE"""),0.039)</f>
        <v>0.039</v>
      </c>
      <c r="E14296" s="8" t="str">
        <f>IFERROR(__xludf.DUMMYFUNCTION("""COMPUTED_VALUE"""),"Real")</f>
        <v>Real</v>
      </c>
      <c r="G14296" s="8">
        <f t="shared" si="1"/>
        <v>6</v>
      </c>
      <c r="H14296" s="14">
        <f t="shared" si="2"/>
        <v>18</v>
      </c>
      <c r="I14296" s="15">
        <f t="shared" si="3"/>
        <v>16</v>
      </c>
    </row>
    <row r="14297">
      <c r="A14297" s="8" t="str">
        <f>IFERROR(__xludf.DUMMYFUNCTION("IF('(INGESTA)Datos_consumo_datadis'!A14297&lt;&gt;"""",SPLIT('(INGESTA)Datos_consumo_datadis'!A:A,"",""),"""")"),"ES0031408323131005HX0F")</f>
        <v>ES0031408323131005HX0F</v>
      </c>
      <c r="B14297" s="12">
        <f>IFERROR(__xludf.DUMMYFUNCTION("""COMPUTED_VALUE"""),45461.0)</f>
        <v>45461</v>
      </c>
      <c r="C14297" s="13">
        <f>IFERROR(__xludf.DUMMYFUNCTION("""COMPUTED_VALUE"""),0.7083333333333334)</f>
        <v>0.7083333333</v>
      </c>
      <c r="D14297" s="8">
        <f>IFERROR(__xludf.DUMMYFUNCTION("""COMPUTED_VALUE"""),0.089)</f>
        <v>0.089</v>
      </c>
      <c r="E14297" s="8" t="str">
        <f>IFERROR(__xludf.DUMMYFUNCTION("""COMPUTED_VALUE"""),"Real")</f>
        <v>Real</v>
      </c>
      <c r="G14297" s="8">
        <f t="shared" si="1"/>
        <v>6</v>
      </c>
      <c r="H14297" s="14">
        <f t="shared" si="2"/>
        <v>18</v>
      </c>
      <c r="I14297" s="15">
        <f t="shared" si="3"/>
        <v>17</v>
      </c>
    </row>
    <row r="14298">
      <c r="A14298" s="8" t="str">
        <f>IFERROR(__xludf.DUMMYFUNCTION("IF('(INGESTA)Datos_consumo_datadis'!A14298&lt;&gt;"""",SPLIT('(INGESTA)Datos_consumo_datadis'!A:A,"",""),"""")"),"ES0031408323131005HX0F")</f>
        <v>ES0031408323131005HX0F</v>
      </c>
      <c r="B14298" s="12">
        <f>IFERROR(__xludf.DUMMYFUNCTION("""COMPUTED_VALUE"""),45461.0)</f>
        <v>45461</v>
      </c>
      <c r="C14298" s="13">
        <f>IFERROR(__xludf.DUMMYFUNCTION("""COMPUTED_VALUE"""),0.75)</f>
        <v>0.75</v>
      </c>
      <c r="D14298" s="8">
        <f>IFERROR(__xludf.DUMMYFUNCTION("""COMPUTED_VALUE"""),0.054)</f>
        <v>0.054</v>
      </c>
      <c r="E14298" s="8" t="str">
        <f>IFERROR(__xludf.DUMMYFUNCTION("""COMPUTED_VALUE"""),"Real")</f>
        <v>Real</v>
      </c>
      <c r="G14298" s="8">
        <f t="shared" si="1"/>
        <v>6</v>
      </c>
      <c r="H14298" s="14">
        <f t="shared" si="2"/>
        <v>18</v>
      </c>
      <c r="I14298" s="15">
        <f t="shared" si="3"/>
        <v>18</v>
      </c>
    </row>
    <row r="14299">
      <c r="A14299" s="8" t="str">
        <f>IFERROR(__xludf.DUMMYFUNCTION("IF('(INGESTA)Datos_consumo_datadis'!A14299&lt;&gt;"""",SPLIT('(INGESTA)Datos_consumo_datadis'!A:A,"",""),"""")"),"ES0031408323131005HX0F")</f>
        <v>ES0031408323131005HX0F</v>
      </c>
      <c r="B14299" s="12">
        <f>IFERROR(__xludf.DUMMYFUNCTION("""COMPUTED_VALUE"""),45461.0)</f>
        <v>45461</v>
      </c>
      <c r="C14299" s="13">
        <f>IFERROR(__xludf.DUMMYFUNCTION("""COMPUTED_VALUE"""),0.7916666666666666)</f>
        <v>0.7916666667</v>
      </c>
      <c r="D14299" s="8">
        <f>IFERROR(__xludf.DUMMYFUNCTION("""COMPUTED_VALUE"""),0.364)</f>
        <v>0.364</v>
      </c>
      <c r="E14299" s="8" t="str">
        <f>IFERROR(__xludf.DUMMYFUNCTION("""COMPUTED_VALUE"""),"Real")</f>
        <v>Real</v>
      </c>
      <c r="G14299" s="8">
        <f t="shared" si="1"/>
        <v>6</v>
      </c>
      <c r="H14299" s="14">
        <f t="shared" si="2"/>
        <v>18</v>
      </c>
      <c r="I14299" s="15">
        <f t="shared" si="3"/>
        <v>19</v>
      </c>
    </row>
    <row r="14300">
      <c r="A14300" s="8" t="str">
        <f>IFERROR(__xludf.DUMMYFUNCTION("IF('(INGESTA)Datos_consumo_datadis'!A14300&lt;&gt;"""",SPLIT('(INGESTA)Datos_consumo_datadis'!A:A,"",""),"""")"),"ES0031408323131005HX0F")</f>
        <v>ES0031408323131005HX0F</v>
      </c>
      <c r="B14300" s="12">
        <f>IFERROR(__xludf.DUMMYFUNCTION("""COMPUTED_VALUE"""),45461.0)</f>
        <v>45461</v>
      </c>
      <c r="C14300" s="13">
        <f>IFERROR(__xludf.DUMMYFUNCTION("""COMPUTED_VALUE"""),0.8333333333333334)</f>
        <v>0.8333333333</v>
      </c>
      <c r="D14300" s="8">
        <f>IFERROR(__xludf.DUMMYFUNCTION("""COMPUTED_VALUE"""),0.066)</f>
        <v>0.066</v>
      </c>
      <c r="E14300" s="8" t="str">
        <f>IFERROR(__xludf.DUMMYFUNCTION("""COMPUTED_VALUE"""),"Real")</f>
        <v>Real</v>
      </c>
      <c r="G14300" s="8">
        <f t="shared" si="1"/>
        <v>6</v>
      </c>
      <c r="H14300" s="14">
        <f t="shared" si="2"/>
        <v>18</v>
      </c>
      <c r="I14300" s="15">
        <f t="shared" si="3"/>
        <v>20</v>
      </c>
    </row>
    <row r="14301">
      <c r="A14301" s="8" t="str">
        <f>IFERROR(__xludf.DUMMYFUNCTION("IF('(INGESTA)Datos_consumo_datadis'!A14301&lt;&gt;"""",SPLIT('(INGESTA)Datos_consumo_datadis'!A:A,"",""),"""")"),"ES0031408323131005HX0F")</f>
        <v>ES0031408323131005HX0F</v>
      </c>
      <c r="B14301" s="12">
        <f>IFERROR(__xludf.DUMMYFUNCTION("""COMPUTED_VALUE"""),45461.0)</f>
        <v>45461</v>
      </c>
      <c r="C14301" s="13">
        <f>IFERROR(__xludf.DUMMYFUNCTION("""COMPUTED_VALUE"""),0.875)</f>
        <v>0.875</v>
      </c>
      <c r="D14301" s="8">
        <f>IFERROR(__xludf.DUMMYFUNCTION("""COMPUTED_VALUE"""),0.051)</f>
        <v>0.051</v>
      </c>
      <c r="E14301" s="8" t="str">
        <f>IFERROR(__xludf.DUMMYFUNCTION("""COMPUTED_VALUE"""),"Real")</f>
        <v>Real</v>
      </c>
      <c r="G14301" s="8">
        <f t="shared" si="1"/>
        <v>6</v>
      </c>
      <c r="H14301" s="14">
        <f t="shared" si="2"/>
        <v>18</v>
      </c>
      <c r="I14301" s="15">
        <f t="shared" si="3"/>
        <v>21</v>
      </c>
    </row>
    <row r="14302">
      <c r="A14302" s="8" t="str">
        <f>IFERROR(__xludf.DUMMYFUNCTION("IF('(INGESTA)Datos_consumo_datadis'!A14302&lt;&gt;"""",SPLIT('(INGESTA)Datos_consumo_datadis'!A:A,"",""),"""")"),"ES0031408323131005HX0F")</f>
        <v>ES0031408323131005HX0F</v>
      </c>
      <c r="B14302" s="12">
        <f>IFERROR(__xludf.DUMMYFUNCTION("""COMPUTED_VALUE"""),45461.0)</f>
        <v>45461</v>
      </c>
      <c r="C14302" s="13">
        <f>IFERROR(__xludf.DUMMYFUNCTION("""COMPUTED_VALUE"""),0.9166666666666666)</f>
        <v>0.9166666667</v>
      </c>
      <c r="D14302" s="8">
        <f>IFERROR(__xludf.DUMMYFUNCTION("""COMPUTED_VALUE"""),0.074)</f>
        <v>0.074</v>
      </c>
      <c r="E14302" s="8" t="str">
        <f>IFERROR(__xludf.DUMMYFUNCTION("""COMPUTED_VALUE"""),"Real")</f>
        <v>Real</v>
      </c>
      <c r="G14302" s="8">
        <f t="shared" si="1"/>
        <v>6</v>
      </c>
      <c r="H14302" s="14">
        <f t="shared" si="2"/>
        <v>18</v>
      </c>
      <c r="I14302" s="15">
        <f t="shared" si="3"/>
        <v>22</v>
      </c>
    </row>
    <row r="14303">
      <c r="A14303" s="8" t="str">
        <f>IFERROR(__xludf.DUMMYFUNCTION("IF('(INGESTA)Datos_consumo_datadis'!A14303&lt;&gt;"""",SPLIT('(INGESTA)Datos_consumo_datadis'!A:A,"",""),"""")"),"ES0031408323131005HX0F")</f>
        <v>ES0031408323131005HX0F</v>
      </c>
      <c r="B14303" s="12">
        <f>IFERROR(__xludf.DUMMYFUNCTION("""COMPUTED_VALUE"""),45461.0)</f>
        <v>45461</v>
      </c>
      <c r="C14303" s="13">
        <f>IFERROR(__xludf.DUMMYFUNCTION("""COMPUTED_VALUE"""),0.9583333333333334)</f>
        <v>0.9583333333</v>
      </c>
      <c r="D14303" s="8">
        <f>IFERROR(__xludf.DUMMYFUNCTION("""COMPUTED_VALUE"""),0.07)</f>
        <v>0.07</v>
      </c>
      <c r="E14303" s="8" t="str">
        <f>IFERROR(__xludf.DUMMYFUNCTION("""COMPUTED_VALUE"""),"Real")</f>
        <v>Real</v>
      </c>
      <c r="G14303" s="8">
        <f t="shared" si="1"/>
        <v>6</v>
      </c>
      <c r="H14303" s="14">
        <f t="shared" si="2"/>
        <v>18</v>
      </c>
      <c r="I14303" s="15">
        <f t="shared" si="3"/>
        <v>23</v>
      </c>
    </row>
    <row r="14304">
      <c r="A14304" s="8" t="str">
        <f>IFERROR(__xludf.DUMMYFUNCTION("IF('(INGESTA)Datos_consumo_datadis'!A14304&lt;&gt;"""",SPLIT('(INGESTA)Datos_consumo_datadis'!A:A,"",""),"""")"),"ES0031408323131005HX0F")</f>
        <v>ES0031408323131005HX0F</v>
      </c>
      <c r="B14304" s="12">
        <f>IFERROR(__xludf.DUMMYFUNCTION("""COMPUTED_VALUE"""),45461.0)</f>
        <v>45461</v>
      </c>
      <c r="C14304" s="16">
        <f>IFERROR(__xludf.DUMMYFUNCTION("""COMPUTED_VALUE"""),1.0)</f>
        <v>1</v>
      </c>
      <c r="D14304" s="8">
        <f>IFERROR(__xludf.DUMMYFUNCTION("""COMPUTED_VALUE"""),0.011)</f>
        <v>0.011</v>
      </c>
      <c r="E14304" s="8" t="str">
        <f>IFERROR(__xludf.DUMMYFUNCTION("""COMPUTED_VALUE"""),"Real")</f>
        <v>Real</v>
      </c>
      <c r="G14304" s="8">
        <f t="shared" si="1"/>
        <v>6</v>
      </c>
      <c r="H14304" s="14">
        <f t="shared" si="2"/>
        <v>18</v>
      </c>
      <c r="I14304" s="15">
        <f t="shared" si="3"/>
        <v>0</v>
      </c>
    </row>
    <row r="14305">
      <c r="A14305" s="8" t="str">
        <f>IFERROR(__xludf.DUMMYFUNCTION("IF('(INGESTA)Datos_consumo_datadis'!A14305&lt;&gt;"""",SPLIT('(INGESTA)Datos_consumo_datadis'!A:A,"",""),"""")"),"ES0031408323131005HX0F")</f>
        <v>ES0031408323131005HX0F</v>
      </c>
      <c r="B14305" s="12">
        <f>IFERROR(__xludf.DUMMYFUNCTION("""COMPUTED_VALUE"""),45462.0)</f>
        <v>45462</v>
      </c>
      <c r="C14305" s="13">
        <f>IFERROR(__xludf.DUMMYFUNCTION("""COMPUTED_VALUE"""),0.041666666666666664)</f>
        <v>0.04166666667</v>
      </c>
      <c r="D14305" s="8">
        <f>IFERROR(__xludf.DUMMYFUNCTION("""COMPUTED_VALUE"""),0.058)</f>
        <v>0.058</v>
      </c>
      <c r="E14305" s="8" t="str">
        <f>IFERROR(__xludf.DUMMYFUNCTION("""COMPUTED_VALUE"""),"Real")</f>
        <v>Real</v>
      </c>
      <c r="G14305" s="8">
        <f t="shared" si="1"/>
        <v>6</v>
      </c>
      <c r="H14305" s="14">
        <f t="shared" si="2"/>
        <v>19</v>
      </c>
      <c r="I14305" s="15">
        <f t="shared" si="3"/>
        <v>1</v>
      </c>
    </row>
    <row r="14306">
      <c r="A14306" s="8" t="str">
        <f>IFERROR(__xludf.DUMMYFUNCTION("IF('(INGESTA)Datos_consumo_datadis'!A14306&lt;&gt;"""",SPLIT('(INGESTA)Datos_consumo_datadis'!A:A,"",""),"""")"),"ES0031408323131005HX0F")</f>
        <v>ES0031408323131005HX0F</v>
      </c>
      <c r="B14306" s="12">
        <f>IFERROR(__xludf.DUMMYFUNCTION("""COMPUTED_VALUE"""),45462.0)</f>
        <v>45462</v>
      </c>
      <c r="C14306" s="13">
        <f>IFERROR(__xludf.DUMMYFUNCTION("""COMPUTED_VALUE"""),0.08333333333333333)</f>
        <v>0.08333333333</v>
      </c>
      <c r="D14306" s="8">
        <f>IFERROR(__xludf.DUMMYFUNCTION("""COMPUTED_VALUE"""),0.087)</f>
        <v>0.087</v>
      </c>
      <c r="E14306" s="8" t="str">
        <f>IFERROR(__xludf.DUMMYFUNCTION("""COMPUTED_VALUE"""),"Real")</f>
        <v>Real</v>
      </c>
      <c r="G14306" s="8">
        <f t="shared" si="1"/>
        <v>6</v>
      </c>
      <c r="H14306" s="14">
        <f t="shared" si="2"/>
        <v>19</v>
      </c>
      <c r="I14306" s="15">
        <f t="shared" si="3"/>
        <v>2</v>
      </c>
    </row>
    <row r="14307">
      <c r="A14307" s="8" t="str">
        <f>IFERROR(__xludf.DUMMYFUNCTION("IF('(INGESTA)Datos_consumo_datadis'!A14307&lt;&gt;"""",SPLIT('(INGESTA)Datos_consumo_datadis'!A:A,"",""),"""")"),"ES0031408323131005HX0F")</f>
        <v>ES0031408323131005HX0F</v>
      </c>
      <c r="B14307" s="12">
        <f>IFERROR(__xludf.DUMMYFUNCTION("""COMPUTED_VALUE"""),45462.0)</f>
        <v>45462</v>
      </c>
      <c r="C14307" s="13">
        <f>IFERROR(__xludf.DUMMYFUNCTION("""COMPUTED_VALUE"""),0.125)</f>
        <v>0.125</v>
      </c>
      <c r="D14307" s="8">
        <f>IFERROR(__xludf.DUMMYFUNCTION("""COMPUTED_VALUE"""),0.343)</f>
        <v>0.343</v>
      </c>
      <c r="E14307" s="8" t="str">
        <f>IFERROR(__xludf.DUMMYFUNCTION("""COMPUTED_VALUE"""),"Real")</f>
        <v>Real</v>
      </c>
      <c r="G14307" s="8">
        <f t="shared" si="1"/>
        <v>6</v>
      </c>
      <c r="H14307" s="14">
        <f t="shared" si="2"/>
        <v>19</v>
      </c>
      <c r="I14307" s="15">
        <f t="shared" si="3"/>
        <v>3</v>
      </c>
    </row>
    <row r="14308">
      <c r="A14308" s="8" t="str">
        <f>IFERROR(__xludf.DUMMYFUNCTION("IF('(INGESTA)Datos_consumo_datadis'!A14308&lt;&gt;"""",SPLIT('(INGESTA)Datos_consumo_datadis'!A:A,"",""),"""")"),"ES0031408323131005HX0F")</f>
        <v>ES0031408323131005HX0F</v>
      </c>
      <c r="B14308" s="12">
        <f>IFERROR(__xludf.DUMMYFUNCTION("""COMPUTED_VALUE"""),45462.0)</f>
        <v>45462</v>
      </c>
      <c r="C14308" s="13">
        <f>IFERROR(__xludf.DUMMYFUNCTION("""COMPUTED_VALUE"""),0.16666666666666666)</f>
        <v>0.1666666667</v>
      </c>
      <c r="D14308" s="8">
        <f>IFERROR(__xludf.DUMMYFUNCTION("""COMPUTED_VALUE"""),0.034)</f>
        <v>0.034</v>
      </c>
      <c r="E14308" s="8" t="str">
        <f>IFERROR(__xludf.DUMMYFUNCTION("""COMPUTED_VALUE"""),"Real")</f>
        <v>Real</v>
      </c>
      <c r="G14308" s="8">
        <f t="shared" si="1"/>
        <v>6</v>
      </c>
      <c r="H14308" s="14">
        <f t="shared" si="2"/>
        <v>19</v>
      </c>
      <c r="I14308" s="15">
        <f t="shared" si="3"/>
        <v>4</v>
      </c>
    </row>
    <row r="14309">
      <c r="A14309" s="8" t="str">
        <f>IFERROR(__xludf.DUMMYFUNCTION("IF('(INGESTA)Datos_consumo_datadis'!A14309&lt;&gt;"""",SPLIT('(INGESTA)Datos_consumo_datadis'!A:A,"",""),"""")"),"ES0031408323131005HX0F")</f>
        <v>ES0031408323131005HX0F</v>
      </c>
      <c r="B14309" s="12">
        <f>IFERROR(__xludf.DUMMYFUNCTION("""COMPUTED_VALUE"""),45462.0)</f>
        <v>45462</v>
      </c>
      <c r="C14309" s="13">
        <f>IFERROR(__xludf.DUMMYFUNCTION("""COMPUTED_VALUE"""),0.20833333333333334)</f>
        <v>0.2083333333</v>
      </c>
      <c r="D14309" s="8">
        <f>IFERROR(__xludf.DUMMYFUNCTION("""COMPUTED_VALUE"""),0.035)</f>
        <v>0.035</v>
      </c>
      <c r="E14309" s="8" t="str">
        <f>IFERROR(__xludf.DUMMYFUNCTION("""COMPUTED_VALUE"""),"Real")</f>
        <v>Real</v>
      </c>
      <c r="G14309" s="8">
        <f t="shared" si="1"/>
        <v>6</v>
      </c>
      <c r="H14309" s="14">
        <f t="shared" si="2"/>
        <v>19</v>
      </c>
      <c r="I14309" s="15">
        <f t="shared" si="3"/>
        <v>5</v>
      </c>
    </row>
    <row r="14310">
      <c r="A14310" s="8" t="str">
        <f>IFERROR(__xludf.DUMMYFUNCTION("IF('(INGESTA)Datos_consumo_datadis'!A14310&lt;&gt;"""",SPLIT('(INGESTA)Datos_consumo_datadis'!A:A,"",""),"""")"),"ES0031408323131005HX0F")</f>
        <v>ES0031408323131005HX0F</v>
      </c>
      <c r="B14310" s="12">
        <f>IFERROR(__xludf.DUMMYFUNCTION("""COMPUTED_VALUE"""),45462.0)</f>
        <v>45462</v>
      </c>
      <c r="C14310" s="13">
        <f>IFERROR(__xludf.DUMMYFUNCTION("""COMPUTED_VALUE"""),0.25)</f>
        <v>0.25</v>
      </c>
      <c r="D14310" s="8">
        <f>IFERROR(__xludf.DUMMYFUNCTION("""COMPUTED_VALUE"""),0.11)</f>
        <v>0.11</v>
      </c>
      <c r="E14310" s="8" t="str">
        <f>IFERROR(__xludf.DUMMYFUNCTION("""COMPUTED_VALUE"""),"Real")</f>
        <v>Real</v>
      </c>
      <c r="G14310" s="8">
        <f t="shared" si="1"/>
        <v>6</v>
      </c>
      <c r="H14310" s="14">
        <f t="shared" si="2"/>
        <v>19</v>
      </c>
      <c r="I14310" s="15">
        <f t="shared" si="3"/>
        <v>6</v>
      </c>
    </row>
    <row r="14311">
      <c r="A14311" s="8" t="str">
        <f>IFERROR(__xludf.DUMMYFUNCTION("IF('(INGESTA)Datos_consumo_datadis'!A14311&lt;&gt;"""",SPLIT('(INGESTA)Datos_consumo_datadis'!A:A,"",""),"""")"),"ES0031408323131005HX0F")</f>
        <v>ES0031408323131005HX0F</v>
      </c>
      <c r="B14311" s="12">
        <f>IFERROR(__xludf.DUMMYFUNCTION("""COMPUTED_VALUE"""),45462.0)</f>
        <v>45462</v>
      </c>
      <c r="C14311" s="13">
        <f>IFERROR(__xludf.DUMMYFUNCTION("""COMPUTED_VALUE"""),0.2916666666666667)</f>
        <v>0.2916666667</v>
      </c>
      <c r="D14311" s="8">
        <f>IFERROR(__xludf.DUMMYFUNCTION("""COMPUTED_VALUE"""),0.05)</f>
        <v>0.05</v>
      </c>
      <c r="E14311" s="8" t="str">
        <f>IFERROR(__xludf.DUMMYFUNCTION("""COMPUTED_VALUE"""),"Real")</f>
        <v>Real</v>
      </c>
      <c r="G14311" s="8">
        <f t="shared" si="1"/>
        <v>6</v>
      </c>
      <c r="H14311" s="14">
        <f t="shared" si="2"/>
        <v>19</v>
      </c>
      <c r="I14311" s="15">
        <f t="shared" si="3"/>
        <v>7</v>
      </c>
    </row>
    <row r="14312">
      <c r="A14312" s="8" t="str">
        <f>IFERROR(__xludf.DUMMYFUNCTION("IF('(INGESTA)Datos_consumo_datadis'!A14312&lt;&gt;"""",SPLIT('(INGESTA)Datos_consumo_datadis'!A:A,"",""),"""")"),"ES0031408323131005HX0F")</f>
        <v>ES0031408323131005HX0F</v>
      </c>
      <c r="B14312" s="12">
        <f>IFERROR(__xludf.DUMMYFUNCTION("""COMPUTED_VALUE"""),45462.0)</f>
        <v>45462</v>
      </c>
      <c r="C14312" s="13">
        <f>IFERROR(__xludf.DUMMYFUNCTION("""COMPUTED_VALUE"""),0.3333333333333333)</f>
        <v>0.3333333333</v>
      </c>
      <c r="D14312" s="8">
        <f>IFERROR(__xludf.DUMMYFUNCTION("""COMPUTED_VALUE"""),0.048)</f>
        <v>0.048</v>
      </c>
      <c r="E14312" s="8" t="str">
        <f>IFERROR(__xludf.DUMMYFUNCTION("""COMPUTED_VALUE"""),"Real")</f>
        <v>Real</v>
      </c>
      <c r="G14312" s="8">
        <f t="shared" si="1"/>
        <v>6</v>
      </c>
      <c r="H14312" s="14">
        <f t="shared" si="2"/>
        <v>19</v>
      </c>
      <c r="I14312" s="15">
        <f t="shared" si="3"/>
        <v>8</v>
      </c>
    </row>
    <row r="14313">
      <c r="A14313" s="8" t="str">
        <f>IFERROR(__xludf.DUMMYFUNCTION("IF('(INGESTA)Datos_consumo_datadis'!A14313&lt;&gt;"""",SPLIT('(INGESTA)Datos_consumo_datadis'!A:A,"",""),"""")"),"ES0031408323131005HX0F")</f>
        <v>ES0031408323131005HX0F</v>
      </c>
      <c r="B14313" s="12">
        <f>IFERROR(__xludf.DUMMYFUNCTION("""COMPUTED_VALUE"""),45462.0)</f>
        <v>45462</v>
      </c>
      <c r="C14313" s="13">
        <f>IFERROR(__xludf.DUMMYFUNCTION("""COMPUTED_VALUE"""),0.375)</f>
        <v>0.375</v>
      </c>
      <c r="D14313" s="8">
        <f>IFERROR(__xludf.DUMMYFUNCTION("""COMPUTED_VALUE"""),0.011)</f>
        <v>0.011</v>
      </c>
      <c r="E14313" s="8" t="str">
        <f>IFERROR(__xludf.DUMMYFUNCTION("""COMPUTED_VALUE"""),"Real")</f>
        <v>Real</v>
      </c>
      <c r="G14313" s="8">
        <f t="shared" si="1"/>
        <v>6</v>
      </c>
      <c r="H14313" s="14">
        <f t="shared" si="2"/>
        <v>19</v>
      </c>
      <c r="I14313" s="15">
        <f t="shared" si="3"/>
        <v>9</v>
      </c>
    </row>
    <row r="14314">
      <c r="A14314" s="8" t="str">
        <f>IFERROR(__xludf.DUMMYFUNCTION("IF('(INGESTA)Datos_consumo_datadis'!A14314&lt;&gt;"""",SPLIT('(INGESTA)Datos_consumo_datadis'!A:A,"",""),"""")"),"ES0031408323131005HX0F")</f>
        <v>ES0031408323131005HX0F</v>
      </c>
      <c r="B14314" s="12">
        <f>IFERROR(__xludf.DUMMYFUNCTION("""COMPUTED_VALUE"""),45462.0)</f>
        <v>45462</v>
      </c>
      <c r="C14314" s="13">
        <f>IFERROR(__xludf.DUMMYFUNCTION("""COMPUTED_VALUE"""),0.4166666666666667)</f>
        <v>0.4166666667</v>
      </c>
      <c r="D14314" s="8">
        <f>IFERROR(__xludf.DUMMYFUNCTION("""COMPUTED_VALUE"""),0.407)</f>
        <v>0.407</v>
      </c>
      <c r="E14314" s="8" t="str">
        <f>IFERROR(__xludf.DUMMYFUNCTION("""COMPUTED_VALUE"""),"Real")</f>
        <v>Real</v>
      </c>
      <c r="G14314" s="8">
        <f t="shared" si="1"/>
        <v>6</v>
      </c>
      <c r="H14314" s="14">
        <f t="shared" si="2"/>
        <v>19</v>
      </c>
      <c r="I14314" s="15">
        <f t="shared" si="3"/>
        <v>10</v>
      </c>
    </row>
    <row r="14315">
      <c r="A14315" s="8" t="str">
        <f>IFERROR(__xludf.DUMMYFUNCTION("IF('(INGESTA)Datos_consumo_datadis'!A14315&lt;&gt;"""",SPLIT('(INGESTA)Datos_consumo_datadis'!A:A,"",""),"""")"),"ES0031408323131005HX0F")</f>
        <v>ES0031408323131005HX0F</v>
      </c>
      <c r="B14315" s="12">
        <f>IFERROR(__xludf.DUMMYFUNCTION("""COMPUTED_VALUE"""),45462.0)</f>
        <v>45462</v>
      </c>
      <c r="C14315" s="13">
        <f>IFERROR(__xludf.DUMMYFUNCTION("""COMPUTED_VALUE"""),0.4583333333333333)</f>
        <v>0.4583333333</v>
      </c>
      <c r="D14315" s="8">
        <f>IFERROR(__xludf.DUMMYFUNCTION("""COMPUTED_VALUE"""),0.071)</f>
        <v>0.071</v>
      </c>
      <c r="E14315" s="8" t="str">
        <f>IFERROR(__xludf.DUMMYFUNCTION("""COMPUTED_VALUE"""),"Real")</f>
        <v>Real</v>
      </c>
      <c r="G14315" s="8">
        <f t="shared" si="1"/>
        <v>6</v>
      </c>
      <c r="H14315" s="14">
        <f t="shared" si="2"/>
        <v>19</v>
      </c>
      <c r="I14315" s="15">
        <f t="shared" si="3"/>
        <v>11</v>
      </c>
    </row>
    <row r="14316">
      <c r="A14316" s="8" t="str">
        <f>IFERROR(__xludf.DUMMYFUNCTION("IF('(INGESTA)Datos_consumo_datadis'!A14316&lt;&gt;"""",SPLIT('(INGESTA)Datos_consumo_datadis'!A:A,"",""),"""")"),"ES0031408323131005HX0F")</f>
        <v>ES0031408323131005HX0F</v>
      </c>
      <c r="B14316" s="12">
        <f>IFERROR(__xludf.DUMMYFUNCTION("""COMPUTED_VALUE"""),45462.0)</f>
        <v>45462</v>
      </c>
      <c r="C14316" s="13">
        <f>IFERROR(__xludf.DUMMYFUNCTION("""COMPUTED_VALUE"""),0.5)</f>
        <v>0.5</v>
      </c>
      <c r="D14316" s="8">
        <f>IFERROR(__xludf.DUMMYFUNCTION("""COMPUTED_VALUE"""),0.048)</f>
        <v>0.048</v>
      </c>
      <c r="E14316" s="8" t="str">
        <f>IFERROR(__xludf.DUMMYFUNCTION("""COMPUTED_VALUE"""),"Real")</f>
        <v>Real</v>
      </c>
      <c r="G14316" s="8">
        <f t="shared" si="1"/>
        <v>6</v>
      </c>
      <c r="H14316" s="14">
        <f t="shared" si="2"/>
        <v>19</v>
      </c>
      <c r="I14316" s="15">
        <f t="shared" si="3"/>
        <v>12</v>
      </c>
    </row>
    <row r="14317">
      <c r="A14317" s="8" t="str">
        <f>IFERROR(__xludf.DUMMYFUNCTION("IF('(INGESTA)Datos_consumo_datadis'!A14317&lt;&gt;"""",SPLIT('(INGESTA)Datos_consumo_datadis'!A:A,"",""),"""")"),"ES0031408323131005HX0F")</f>
        <v>ES0031408323131005HX0F</v>
      </c>
      <c r="B14317" s="12">
        <f>IFERROR(__xludf.DUMMYFUNCTION("""COMPUTED_VALUE"""),45462.0)</f>
        <v>45462</v>
      </c>
      <c r="C14317" s="13">
        <f>IFERROR(__xludf.DUMMYFUNCTION("""COMPUTED_VALUE"""),0.5416666666666666)</f>
        <v>0.5416666667</v>
      </c>
      <c r="D14317" s="8">
        <f>IFERROR(__xludf.DUMMYFUNCTION("""COMPUTED_VALUE"""),0.011)</f>
        <v>0.011</v>
      </c>
      <c r="E14317" s="8" t="str">
        <f>IFERROR(__xludf.DUMMYFUNCTION("""COMPUTED_VALUE"""),"Real")</f>
        <v>Real</v>
      </c>
      <c r="G14317" s="8">
        <f t="shared" si="1"/>
        <v>6</v>
      </c>
      <c r="H14317" s="14">
        <f t="shared" si="2"/>
        <v>19</v>
      </c>
      <c r="I14317" s="15">
        <f t="shared" si="3"/>
        <v>13</v>
      </c>
    </row>
    <row r="14318">
      <c r="A14318" s="8" t="str">
        <f>IFERROR(__xludf.DUMMYFUNCTION("IF('(INGESTA)Datos_consumo_datadis'!A14318&lt;&gt;"""",SPLIT('(INGESTA)Datos_consumo_datadis'!A:A,"",""),"""")"),"ES0031408323131005HX0F")</f>
        <v>ES0031408323131005HX0F</v>
      </c>
      <c r="B14318" s="12">
        <f>IFERROR(__xludf.DUMMYFUNCTION("""COMPUTED_VALUE"""),45462.0)</f>
        <v>45462</v>
      </c>
      <c r="C14318" s="13">
        <f>IFERROR(__xludf.DUMMYFUNCTION("""COMPUTED_VALUE"""),0.5833333333333334)</f>
        <v>0.5833333333</v>
      </c>
      <c r="D14318" s="8">
        <f>IFERROR(__xludf.DUMMYFUNCTION("""COMPUTED_VALUE"""),0.094)</f>
        <v>0.094</v>
      </c>
      <c r="E14318" s="8" t="str">
        <f>IFERROR(__xludf.DUMMYFUNCTION("""COMPUTED_VALUE"""),"Real")</f>
        <v>Real</v>
      </c>
      <c r="G14318" s="8">
        <f t="shared" si="1"/>
        <v>6</v>
      </c>
      <c r="H14318" s="14">
        <f t="shared" si="2"/>
        <v>19</v>
      </c>
      <c r="I14318" s="15">
        <f t="shared" si="3"/>
        <v>14</v>
      </c>
    </row>
    <row r="14319">
      <c r="A14319" s="8" t="str">
        <f>IFERROR(__xludf.DUMMYFUNCTION("IF('(INGESTA)Datos_consumo_datadis'!A14319&lt;&gt;"""",SPLIT('(INGESTA)Datos_consumo_datadis'!A:A,"",""),"""")"),"ES0031408323131005HX0F")</f>
        <v>ES0031408323131005HX0F</v>
      </c>
      <c r="B14319" s="12">
        <f>IFERROR(__xludf.DUMMYFUNCTION("""COMPUTED_VALUE"""),45462.0)</f>
        <v>45462</v>
      </c>
      <c r="C14319" s="13">
        <f>IFERROR(__xludf.DUMMYFUNCTION("""COMPUTED_VALUE"""),0.625)</f>
        <v>0.625</v>
      </c>
      <c r="D14319" s="8">
        <f>IFERROR(__xludf.DUMMYFUNCTION("""COMPUTED_VALUE"""),0.075)</f>
        <v>0.075</v>
      </c>
      <c r="E14319" s="8" t="str">
        <f>IFERROR(__xludf.DUMMYFUNCTION("""COMPUTED_VALUE"""),"Real")</f>
        <v>Real</v>
      </c>
      <c r="G14319" s="8">
        <f t="shared" si="1"/>
        <v>6</v>
      </c>
      <c r="H14319" s="14">
        <f t="shared" si="2"/>
        <v>19</v>
      </c>
      <c r="I14319" s="15">
        <f t="shared" si="3"/>
        <v>15</v>
      </c>
    </row>
    <row r="14320">
      <c r="A14320" s="8" t="str">
        <f>IFERROR(__xludf.DUMMYFUNCTION("IF('(INGESTA)Datos_consumo_datadis'!A14320&lt;&gt;"""",SPLIT('(INGESTA)Datos_consumo_datadis'!A:A,"",""),"""")"),"ES0031408323131005HX0F")</f>
        <v>ES0031408323131005HX0F</v>
      </c>
      <c r="B14320" s="12">
        <f>IFERROR(__xludf.DUMMYFUNCTION("""COMPUTED_VALUE"""),45462.0)</f>
        <v>45462</v>
      </c>
      <c r="C14320" s="13">
        <f>IFERROR(__xludf.DUMMYFUNCTION("""COMPUTED_VALUE"""),0.6666666666666666)</f>
        <v>0.6666666667</v>
      </c>
      <c r="D14320" s="8">
        <f>IFERROR(__xludf.DUMMYFUNCTION("""COMPUTED_VALUE"""),0.065)</f>
        <v>0.065</v>
      </c>
      <c r="E14320" s="8" t="str">
        <f>IFERROR(__xludf.DUMMYFUNCTION("""COMPUTED_VALUE"""),"Real")</f>
        <v>Real</v>
      </c>
      <c r="G14320" s="8">
        <f t="shared" si="1"/>
        <v>6</v>
      </c>
      <c r="H14320" s="14">
        <f t="shared" si="2"/>
        <v>19</v>
      </c>
      <c r="I14320" s="15">
        <f t="shared" si="3"/>
        <v>16</v>
      </c>
    </row>
    <row r="14321">
      <c r="A14321" s="8" t="str">
        <f>IFERROR(__xludf.DUMMYFUNCTION("IF('(INGESTA)Datos_consumo_datadis'!A14321&lt;&gt;"""",SPLIT('(INGESTA)Datos_consumo_datadis'!A:A,"",""),"""")"),"ES0031408323131005HX0F")</f>
        <v>ES0031408323131005HX0F</v>
      </c>
      <c r="B14321" s="12">
        <f>IFERROR(__xludf.DUMMYFUNCTION("""COMPUTED_VALUE"""),45462.0)</f>
        <v>45462</v>
      </c>
      <c r="C14321" s="13">
        <f>IFERROR(__xludf.DUMMYFUNCTION("""COMPUTED_VALUE"""),0.7083333333333334)</f>
        <v>0.7083333333</v>
      </c>
      <c r="D14321" s="8">
        <f>IFERROR(__xludf.DUMMYFUNCTION("""COMPUTED_VALUE"""),0.011)</f>
        <v>0.011</v>
      </c>
      <c r="E14321" s="8" t="str">
        <f>IFERROR(__xludf.DUMMYFUNCTION("""COMPUTED_VALUE"""),"Real")</f>
        <v>Real</v>
      </c>
      <c r="G14321" s="8">
        <f t="shared" si="1"/>
        <v>6</v>
      </c>
      <c r="H14321" s="14">
        <f t="shared" si="2"/>
        <v>19</v>
      </c>
      <c r="I14321" s="15">
        <f t="shared" si="3"/>
        <v>17</v>
      </c>
    </row>
    <row r="14322">
      <c r="A14322" s="8" t="str">
        <f>IFERROR(__xludf.DUMMYFUNCTION("IF('(INGESTA)Datos_consumo_datadis'!A14322&lt;&gt;"""",SPLIT('(INGESTA)Datos_consumo_datadis'!A:A,"",""),"""")"),"ES0031408323131005HX0F")</f>
        <v>ES0031408323131005HX0F</v>
      </c>
      <c r="B14322" s="12">
        <f>IFERROR(__xludf.DUMMYFUNCTION("""COMPUTED_VALUE"""),45462.0)</f>
        <v>45462</v>
      </c>
      <c r="C14322" s="13">
        <f>IFERROR(__xludf.DUMMYFUNCTION("""COMPUTED_VALUE"""),0.75)</f>
        <v>0.75</v>
      </c>
      <c r="D14322" s="8">
        <f>IFERROR(__xludf.DUMMYFUNCTION("""COMPUTED_VALUE"""),0.369)</f>
        <v>0.369</v>
      </c>
      <c r="E14322" s="8" t="str">
        <f>IFERROR(__xludf.DUMMYFUNCTION("""COMPUTED_VALUE"""),"Real")</f>
        <v>Real</v>
      </c>
      <c r="G14322" s="8">
        <f t="shared" si="1"/>
        <v>6</v>
      </c>
      <c r="H14322" s="14">
        <f t="shared" si="2"/>
        <v>19</v>
      </c>
      <c r="I14322" s="15">
        <f t="shared" si="3"/>
        <v>18</v>
      </c>
    </row>
    <row r="14323">
      <c r="A14323" s="8" t="str">
        <f>IFERROR(__xludf.DUMMYFUNCTION("IF('(INGESTA)Datos_consumo_datadis'!A14323&lt;&gt;"""",SPLIT('(INGESTA)Datos_consumo_datadis'!A:A,"",""),"""")"),"ES0031408323131005HX0F")</f>
        <v>ES0031408323131005HX0F</v>
      </c>
      <c r="B14323" s="12">
        <f>IFERROR(__xludf.DUMMYFUNCTION("""COMPUTED_VALUE"""),45462.0)</f>
        <v>45462</v>
      </c>
      <c r="C14323" s="13">
        <f>IFERROR(__xludf.DUMMYFUNCTION("""COMPUTED_VALUE"""),0.7916666666666666)</f>
        <v>0.7916666667</v>
      </c>
      <c r="D14323" s="8">
        <f>IFERROR(__xludf.DUMMYFUNCTION("""COMPUTED_VALUE"""),0.077)</f>
        <v>0.077</v>
      </c>
      <c r="E14323" s="8" t="str">
        <f>IFERROR(__xludf.DUMMYFUNCTION("""COMPUTED_VALUE"""),"Real")</f>
        <v>Real</v>
      </c>
      <c r="G14323" s="8">
        <f t="shared" si="1"/>
        <v>6</v>
      </c>
      <c r="H14323" s="14">
        <f t="shared" si="2"/>
        <v>19</v>
      </c>
      <c r="I14323" s="15">
        <f t="shared" si="3"/>
        <v>19</v>
      </c>
    </row>
    <row r="14324">
      <c r="A14324" s="8" t="str">
        <f>IFERROR(__xludf.DUMMYFUNCTION("IF('(INGESTA)Datos_consumo_datadis'!A14324&lt;&gt;"""",SPLIT('(INGESTA)Datos_consumo_datadis'!A:A,"",""),"""")"),"ES0031408323131005HX0F")</f>
        <v>ES0031408323131005HX0F</v>
      </c>
      <c r="B14324" s="12">
        <f>IFERROR(__xludf.DUMMYFUNCTION("""COMPUTED_VALUE"""),45462.0)</f>
        <v>45462</v>
      </c>
      <c r="C14324" s="13">
        <f>IFERROR(__xludf.DUMMYFUNCTION("""COMPUTED_VALUE"""),0.8333333333333334)</f>
        <v>0.8333333333</v>
      </c>
      <c r="D14324" s="8">
        <f>IFERROR(__xludf.DUMMYFUNCTION("""COMPUTED_VALUE"""),0.073)</f>
        <v>0.073</v>
      </c>
      <c r="E14324" s="8" t="str">
        <f>IFERROR(__xludf.DUMMYFUNCTION("""COMPUTED_VALUE"""),"Real")</f>
        <v>Real</v>
      </c>
      <c r="G14324" s="8">
        <f t="shared" si="1"/>
        <v>6</v>
      </c>
      <c r="H14324" s="14">
        <f t="shared" si="2"/>
        <v>19</v>
      </c>
      <c r="I14324" s="15">
        <f t="shared" si="3"/>
        <v>20</v>
      </c>
    </row>
    <row r="14325">
      <c r="A14325" s="8" t="str">
        <f>IFERROR(__xludf.DUMMYFUNCTION("IF('(INGESTA)Datos_consumo_datadis'!A14325&lt;&gt;"""",SPLIT('(INGESTA)Datos_consumo_datadis'!A:A,"",""),"""")"),"ES0031408323131005HX0F")</f>
        <v>ES0031408323131005HX0F</v>
      </c>
      <c r="B14325" s="12">
        <f>IFERROR(__xludf.DUMMYFUNCTION("""COMPUTED_VALUE"""),45462.0)</f>
        <v>45462</v>
      </c>
      <c r="C14325" s="13">
        <f>IFERROR(__xludf.DUMMYFUNCTION("""COMPUTED_VALUE"""),0.875)</f>
        <v>0.875</v>
      </c>
      <c r="D14325" s="8">
        <f>IFERROR(__xludf.DUMMYFUNCTION("""COMPUTED_VALUE"""),0.02)</f>
        <v>0.02</v>
      </c>
      <c r="E14325" s="8" t="str">
        <f>IFERROR(__xludf.DUMMYFUNCTION("""COMPUTED_VALUE"""),"Real")</f>
        <v>Real</v>
      </c>
      <c r="G14325" s="8">
        <f t="shared" si="1"/>
        <v>6</v>
      </c>
      <c r="H14325" s="14">
        <f t="shared" si="2"/>
        <v>19</v>
      </c>
      <c r="I14325" s="15">
        <f t="shared" si="3"/>
        <v>21</v>
      </c>
    </row>
    <row r="14326">
      <c r="A14326" s="8" t="str">
        <f>IFERROR(__xludf.DUMMYFUNCTION("IF('(INGESTA)Datos_consumo_datadis'!A14326&lt;&gt;"""",SPLIT('(INGESTA)Datos_consumo_datadis'!A:A,"",""),"""")"),"ES0031408323131005HX0F")</f>
        <v>ES0031408323131005HX0F</v>
      </c>
      <c r="B14326" s="12">
        <f>IFERROR(__xludf.DUMMYFUNCTION("""COMPUTED_VALUE"""),45462.0)</f>
        <v>45462</v>
      </c>
      <c r="C14326" s="13">
        <f>IFERROR(__xludf.DUMMYFUNCTION("""COMPUTED_VALUE"""),0.9166666666666666)</f>
        <v>0.9166666667</v>
      </c>
      <c r="D14326" s="8">
        <f>IFERROR(__xludf.DUMMYFUNCTION("""COMPUTED_VALUE"""),0.057)</f>
        <v>0.057</v>
      </c>
      <c r="E14326" s="8" t="str">
        <f>IFERROR(__xludf.DUMMYFUNCTION("""COMPUTED_VALUE"""),"Real")</f>
        <v>Real</v>
      </c>
      <c r="G14326" s="8">
        <f t="shared" si="1"/>
        <v>6</v>
      </c>
      <c r="H14326" s="14">
        <f t="shared" si="2"/>
        <v>19</v>
      </c>
      <c r="I14326" s="15">
        <f t="shared" si="3"/>
        <v>22</v>
      </c>
    </row>
    <row r="14327">
      <c r="A14327" s="8" t="str">
        <f>IFERROR(__xludf.DUMMYFUNCTION("IF('(INGESTA)Datos_consumo_datadis'!A14327&lt;&gt;"""",SPLIT('(INGESTA)Datos_consumo_datadis'!A:A,"",""),"""")"),"ES0031408323131005HX0F")</f>
        <v>ES0031408323131005HX0F</v>
      </c>
      <c r="B14327" s="12">
        <f>IFERROR(__xludf.DUMMYFUNCTION("""COMPUTED_VALUE"""),45462.0)</f>
        <v>45462</v>
      </c>
      <c r="C14327" s="13">
        <f>IFERROR(__xludf.DUMMYFUNCTION("""COMPUTED_VALUE"""),0.9583333333333334)</f>
        <v>0.9583333333</v>
      </c>
      <c r="D14327" s="8">
        <f>IFERROR(__xludf.DUMMYFUNCTION("""COMPUTED_VALUE"""),0.091)</f>
        <v>0.091</v>
      </c>
      <c r="E14327" s="8" t="str">
        <f>IFERROR(__xludf.DUMMYFUNCTION("""COMPUTED_VALUE"""),"Real")</f>
        <v>Real</v>
      </c>
      <c r="G14327" s="8">
        <f t="shared" si="1"/>
        <v>6</v>
      </c>
      <c r="H14327" s="14">
        <f t="shared" si="2"/>
        <v>19</v>
      </c>
      <c r="I14327" s="15">
        <f t="shared" si="3"/>
        <v>23</v>
      </c>
    </row>
    <row r="14328">
      <c r="A14328" s="8" t="str">
        <f>IFERROR(__xludf.DUMMYFUNCTION("IF('(INGESTA)Datos_consumo_datadis'!A14328&lt;&gt;"""",SPLIT('(INGESTA)Datos_consumo_datadis'!A:A,"",""),"""")"),"ES0031408323131005HX0F")</f>
        <v>ES0031408323131005HX0F</v>
      </c>
      <c r="B14328" s="12">
        <f>IFERROR(__xludf.DUMMYFUNCTION("""COMPUTED_VALUE"""),45462.0)</f>
        <v>45462</v>
      </c>
      <c r="C14328" s="16">
        <f>IFERROR(__xludf.DUMMYFUNCTION("""COMPUTED_VALUE"""),1.0)</f>
        <v>1</v>
      </c>
      <c r="D14328" s="8">
        <f>IFERROR(__xludf.DUMMYFUNCTION("""COMPUTED_VALUE"""),0.06)</f>
        <v>0.06</v>
      </c>
      <c r="E14328" s="8" t="str">
        <f>IFERROR(__xludf.DUMMYFUNCTION("""COMPUTED_VALUE"""),"Real")</f>
        <v>Real</v>
      </c>
      <c r="G14328" s="8">
        <f t="shared" si="1"/>
        <v>6</v>
      </c>
      <c r="H14328" s="14">
        <f t="shared" si="2"/>
        <v>19</v>
      </c>
      <c r="I14328" s="15">
        <f t="shared" si="3"/>
        <v>0</v>
      </c>
    </row>
    <row r="14329">
      <c r="A14329" s="8" t="str">
        <f>IFERROR(__xludf.DUMMYFUNCTION("IF('(INGESTA)Datos_consumo_datadis'!A14329&lt;&gt;"""",SPLIT('(INGESTA)Datos_consumo_datadis'!A:A,"",""),"""")"),"ES0031408323131005HX0F")</f>
        <v>ES0031408323131005HX0F</v>
      </c>
      <c r="B14329" s="12">
        <f>IFERROR(__xludf.DUMMYFUNCTION("""COMPUTED_VALUE"""),45463.0)</f>
        <v>45463</v>
      </c>
      <c r="C14329" s="13">
        <f>IFERROR(__xludf.DUMMYFUNCTION("""COMPUTED_VALUE"""),0.041666666666666664)</f>
        <v>0.04166666667</v>
      </c>
      <c r="D14329" s="8">
        <f>IFERROR(__xludf.DUMMYFUNCTION("""COMPUTED_VALUE"""),0.039)</f>
        <v>0.039</v>
      </c>
      <c r="E14329" s="8" t="str">
        <f>IFERROR(__xludf.DUMMYFUNCTION("""COMPUTED_VALUE"""),"Real")</f>
        <v>Real</v>
      </c>
      <c r="G14329" s="8">
        <f t="shared" si="1"/>
        <v>6</v>
      </c>
      <c r="H14329" s="14">
        <f t="shared" si="2"/>
        <v>20</v>
      </c>
      <c r="I14329" s="15">
        <f t="shared" si="3"/>
        <v>1</v>
      </c>
    </row>
    <row r="14330">
      <c r="A14330" s="8" t="str">
        <f>IFERROR(__xludf.DUMMYFUNCTION("IF('(INGESTA)Datos_consumo_datadis'!A14330&lt;&gt;"""",SPLIT('(INGESTA)Datos_consumo_datadis'!A:A,"",""),"""")"),"ES0031408323131005HX0F")</f>
        <v>ES0031408323131005HX0F</v>
      </c>
      <c r="B14330" s="12">
        <f>IFERROR(__xludf.DUMMYFUNCTION("""COMPUTED_VALUE"""),45463.0)</f>
        <v>45463</v>
      </c>
      <c r="C14330" s="13">
        <f>IFERROR(__xludf.DUMMYFUNCTION("""COMPUTED_VALUE"""),0.08333333333333333)</f>
        <v>0.08333333333</v>
      </c>
      <c r="D14330" s="8">
        <f>IFERROR(__xludf.DUMMYFUNCTION("""COMPUTED_VALUE"""),0.323)</f>
        <v>0.323</v>
      </c>
      <c r="E14330" s="8" t="str">
        <f>IFERROR(__xludf.DUMMYFUNCTION("""COMPUTED_VALUE"""),"Real")</f>
        <v>Real</v>
      </c>
      <c r="G14330" s="8">
        <f t="shared" si="1"/>
        <v>6</v>
      </c>
      <c r="H14330" s="14">
        <f t="shared" si="2"/>
        <v>20</v>
      </c>
      <c r="I14330" s="15">
        <f t="shared" si="3"/>
        <v>2</v>
      </c>
    </row>
    <row r="14331">
      <c r="A14331" s="8" t="str">
        <f>IFERROR(__xludf.DUMMYFUNCTION("IF('(INGESTA)Datos_consumo_datadis'!A14331&lt;&gt;"""",SPLIT('(INGESTA)Datos_consumo_datadis'!A:A,"",""),"""")"),"ES0031408323131005HX0F")</f>
        <v>ES0031408323131005HX0F</v>
      </c>
      <c r="B14331" s="12">
        <f>IFERROR(__xludf.DUMMYFUNCTION("""COMPUTED_VALUE"""),45463.0)</f>
        <v>45463</v>
      </c>
      <c r="C14331" s="13">
        <f>IFERROR(__xludf.DUMMYFUNCTION("""COMPUTED_VALUE"""),0.125)</f>
        <v>0.125</v>
      </c>
      <c r="D14331" s="8">
        <f>IFERROR(__xludf.DUMMYFUNCTION("""COMPUTED_VALUE"""),0.111)</f>
        <v>0.111</v>
      </c>
      <c r="E14331" s="8" t="str">
        <f>IFERROR(__xludf.DUMMYFUNCTION("""COMPUTED_VALUE"""),"Real")</f>
        <v>Real</v>
      </c>
      <c r="G14331" s="8">
        <f t="shared" si="1"/>
        <v>6</v>
      </c>
      <c r="H14331" s="14">
        <f t="shared" si="2"/>
        <v>20</v>
      </c>
      <c r="I14331" s="15">
        <f t="shared" si="3"/>
        <v>3</v>
      </c>
    </row>
    <row r="14332">
      <c r="A14332" s="8" t="str">
        <f>IFERROR(__xludf.DUMMYFUNCTION("IF('(INGESTA)Datos_consumo_datadis'!A14332&lt;&gt;"""",SPLIT('(INGESTA)Datos_consumo_datadis'!A:A,"",""),"""")"),"ES0031408323131005HX0F")</f>
        <v>ES0031408323131005HX0F</v>
      </c>
      <c r="B14332" s="12">
        <f>IFERROR(__xludf.DUMMYFUNCTION("""COMPUTED_VALUE"""),45463.0)</f>
        <v>45463</v>
      </c>
      <c r="C14332" s="13">
        <f>IFERROR(__xludf.DUMMYFUNCTION("""COMPUTED_VALUE"""),0.16666666666666666)</f>
        <v>0.1666666667</v>
      </c>
      <c r="D14332" s="8">
        <f>IFERROR(__xludf.DUMMYFUNCTION("""COMPUTED_VALUE"""),0.05)</f>
        <v>0.05</v>
      </c>
      <c r="E14332" s="8" t="str">
        <f>IFERROR(__xludf.DUMMYFUNCTION("""COMPUTED_VALUE"""),"Real")</f>
        <v>Real</v>
      </c>
      <c r="G14332" s="8">
        <f t="shared" si="1"/>
        <v>6</v>
      </c>
      <c r="H14332" s="14">
        <f t="shared" si="2"/>
        <v>20</v>
      </c>
      <c r="I14332" s="15">
        <f t="shared" si="3"/>
        <v>4</v>
      </c>
    </row>
    <row r="14333">
      <c r="A14333" s="8" t="str">
        <f>IFERROR(__xludf.DUMMYFUNCTION("IF('(INGESTA)Datos_consumo_datadis'!A14333&lt;&gt;"""",SPLIT('(INGESTA)Datos_consumo_datadis'!A:A,"",""),"""")"),"ES0031408323131005HX0F")</f>
        <v>ES0031408323131005HX0F</v>
      </c>
      <c r="B14333" s="12">
        <f>IFERROR(__xludf.DUMMYFUNCTION("""COMPUTED_VALUE"""),45463.0)</f>
        <v>45463</v>
      </c>
      <c r="C14333" s="13">
        <f>IFERROR(__xludf.DUMMYFUNCTION("""COMPUTED_VALUE"""),0.20833333333333334)</f>
        <v>0.2083333333</v>
      </c>
      <c r="D14333" s="8">
        <f>IFERROR(__xludf.DUMMYFUNCTION("""COMPUTED_VALUE"""),0.048)</f>
        <v>0.048</v>
      </c>
      <c r="E14333" s="8" t="str">
        <f>IFERROR(__xludf.DUMMYFUNCTION("""COMPUTED_VALUE"""),"Real")</f>
        <v>Real</v>
      </c>
      <c r="G14333" s="8">
        <f t="shared" si="1"/>
        <v>6</v>
      </c>
      <c r="H14333" s="14">
        <f t="shared" si="2"/>
        <v>20</v>
      </c>
      <c r="I14333" s="15">
        <f t="shared" si="3"/>
        <v>5</v>
      </c>
    </row>
    <row r="14334">
      <c r="A14334" s="8" t="str">
        <f>IFERROR(__xludf.DUMMYFUNCTION("IF('(INGESTA)Datos_consumo_datadis'!A14334&lt;&gt;"""",SPLIT('(INGESTA)Datos_consumo_datadis'!A:A,"",""),"""")"),"ES0031408323131005HX0F")</f>
        <v>ES0031408323131005HX0F</v>
      </c>
      <c r="B14334" s="12">
        <f>IFERROR(__xludf.DUMMYFUNCTION("""COMPUTED_VALUE"""),45463.0)</f>
        <v>45463</v>
      </c>
      <c r="C14334" s="13">
        <f>IFERROR(__xludf.DUMMYFUNCTION("""COMPUTED_VALUE"""),0.25)</f>
        <v>0.25</v>
      </c>
      <c r="D14334" s="8">
        <f>IFERROR(__xludf.DUMMYFUNCTION("""COMPUTED_VALUE"""),0.017)</f>
        <v>0.017</v>
      </c>
      <c r="E14334" s="8" t="str">
        <f>IFERROR(__xludf.DUMMYFUNCTION("""COMPUTED_VALUE"""),"Real")</f>
        <v>Real</v>
      </c>
      <c r="G14334" s="8">
        <f t="shared" si="1"/>
        <v>6</v>
      </c>
      <c r="H14334" s="14">
        <f t="shared" si="2"/>
        <v>20</v>
      </c>
      <c r="I14334" s="15">
        <f t="shared" si="3"/>
        <v>6</v>
      </c>
    </row>
    <row r="14335">
      <c r="A14335" s="8" t="str">
        <f>IFERROR(__xludf.DUMMYFUNCTION("IF('(INGESTA)Datos_consumo_datadis'!A14335&lt;&gt;"""",SPLIT('(INGESTA)Datos_consumo_datadis'!A:A,"",""),"""")"),"ES0031408323131005HX0F")</f>
        <v>ES0031408323131005HX0F</v>
      </c>
      <c r="B14335" s="12">
        <f>IFERROR(__xludf.DUMMYFUNCTION("""COMPUTED_VALUE"""),45463.0)</f>
        <v>45463</v>
      </c>
      <c r="C14335" s="13">
        <f>IFERROR(__xludf.DUMMYFUNCTION("""COMPUTED_VALUE"""),0.2916666666666667)</f>
        <v>0.2916666667</v>
      </c>
      <c r="D14335" s="8">
        <f>IFERROR(__xludf.DUMMYFUNCTION("""COMPUTED_VALUE"""),0.114)</f>
        <v>0.114</v>
      </c>
      <c r="E14335" s="8" t="str">
        <f>IFERROR(__xludf.DUMMYFUNCTION("""COMPUTED_VALUE"""),"Real")</f>
        <v>Real</v>
      </c>
      <c r="G14335" s="8">
        <f t="shared" si="1"/>
        <v>6</v>
      </c>
      <c r="H14335" s="14">
        <f t="shared" si="2"/>
        <v>20</v>
      </c>
      <c r="I14335" s="15">
        <f t="shared" si="3"/>
        <v>7</v>
      </c>
    </row>
    <row r="14336">
      <c r="A14336" s="8" t="str">
        <f>IFERROR(__xludf.DUMMYFUNCTION("IF('(INGESTA)Datos_consumo_datadis'!A14336&lt;&gt;"""",SPLIT('(INGESTA)Datos_consumo_datadis'!A:A,"",""),"""")"),"ES0031408323131005HX0F")</f>
        <v>ES0031408323131005HX0F</v>
      </c>
      <c r="B14336" s="12">
        <f>IFERROR(__xludf.DUMMYFUNCTION("""COMPUTED_VALUE"""),45463.0)</f>
        <v>45463</v>
      </c>
      <c r="C14336" s="13">
        <f>IFERROR(__xludf.DUMMYFUNCTION("""COMPUTED_VALUE"""),0.3333333333333333)</f>
        <v>0.3333333333</v>
      </c>
      <c r="D14336" s="8">
        <f>IFERROR(__xludf.DUMMYFUNCTION("""COMPUTED_VALUE"""),0.067)</f>
        <v>0.067</v>
      </c>
      <c r="E14336" s="8" t="str">
        <f>IFERROR(__xludf.DUMMYFUNCTION("""COMPUTED_VALUE"""),"Real")</f>
        <v>Real</v>
      </c>
      <c r="G14336" s="8">
        <f t="shared" si="1"/>
        <v>6</v>
      </c>
      <c r="H14336" s="14">
        <f t="shared" si="2"/>
        <v>20</v>
      </c>
      <c r="I14336" s="15">
        <f t="shared" si="3"/>
        <v>8</v>
      </c>
    </row>
    <row r="14337">
      <c r="A14337" s="8" t="str">
        <f>IFERROR(__xludf.DUMMYFUNCTION("IF('(INGESTA)Datos_consumo_datadis'!A14337&lt;&gt;"""",SPLIT('(INGESTA)Datos_consumo_datadis'!A:A,"",""),"""")"),"ES0031408323131005HX0F")</f>
        <v>ES0031408323131005HX0F</v>
      </c>
      <c r="B14337" s="12">
        <f>IFERROR(__xludf.DUMMYFUNCTION("""COMPUTED_VALUE"""),45463.0)</f>
        <v>45463</v>
      </c>
      <c r="C14337" s="13">
        <f>IFERROR(__xludf.DUMMYFUNCTION("""COMPUTED_VALUE"""),0.375)</f>
        <v>0.375</v>
      </c>
      <c r="D14337" s="8">
        <f>IFERROR(__xludf.DUMMYFUNCTION("""COMPUTED_VALUE"""),0.34)</f>
        <v>0.34</v>
      </c>
      <c r="E14337" s="8" t="str">
        <f>IFERROR(__xludf.DUMMYFUNCTION("""COMPUTED_VALUE"""),"Real")</f>
        <v>Real</v>
      </c>
      <c r="G14337" s="8">
        <f t="shared" si="1"/>
        <v>6</v>
      </c>
      <c r="H14337" s="14">
        <f t="shared" si="2"/>
        <v>20</v>
      </c>
      <c r="I14337" s="15">
        <f t="shared" si="3"/>
        <v>9</v>
      </c>
    </row>
    <row r="14338">
      <c r="A14338" s="8" t="str">
        <f>IFERROR(__xludf.DUMMYFUNCTION("IF('(INGESTA)Datos_consumo_datadis'!A14338&lt;&gt;"""",SPLIT('(INGESTA)Datos_consumo_datadis'!A:A,"",""),"""")"),"ES0031408323131005HX0F")</f>
        <v>ES0031408323131005HX0F</v>
      </c>
      <c r="B14338" s="12">
        <f>IFERROR(__xludf.DUMMYFUNCTION("""COMPUTED_VALUE"""),45463.0)</f>
        <v>45463</v>
      </c>
      <c r="C14338" s="13">
        <f>IFERROR(__xludf.DUMMYFUNCTION("""COMPUTED_VALUE"""),0.4166666666666667)</f>
        <v>0.4166666667</v>
      </c>
      <c r="D14338" s="8">
        <f>IFERROR(__xludf.DUMMYFUNCTION("""COMPUTED_VALUE"""),0.011)</f>
        <v>0.011</v>
      </c>
      <c r="E14338" s="8" t="str">
        <f>IFERROR(__xludf.DUMMYFUNCTION("""COMPUTED_VALUE"""),"Real")</f>
        <v>Real</v>
      </c>
      <c r="G14338" s="8">
        <f t="shared" si="1"/>
        <v>6</v>
      </c>
      <c r="H14338" s="14">
        <f t="shared" si="2"/>
        <v>20</v>
      </c>
      <c r="I14338" s="15">
        <f t="shared" si="3"/>
        <v>10</v>
      </c>
    </row>
    <row r="14339">
      <c r="A14339" s="8" t="str">
        <f>IFERROR(__xludf.DUMMYFUNCTION("IF('(INGESTA)Datos_consumo_datadis'!A14339&lt;&gt;"""",SPLIT('(INGESTA)Datos_consumo_datadis'!A:A,"",""),"""")"),"ES0031408323131005HX0F")</f>
        <v>ES0031408323131005HX0F</v>
      </c>
      <c r="B14339" s="12">
        <f>IFERROR(__xludf.DUMMYFUNCTION("""COMPUTED_VALUE"""),45463.0)</f>
        <v>45463</v>
      </c>
      <c r="C14339" s="13">
        <f>IFERROR(__xludf.DUMMYFUNCTION("""COMPUTED_VALUE"""),0.4583333333333333)</f>
        <v>0.4583333333</v>
      </c>
      <c r="D14339" s="8">
        <f>IFERROR(__xludf.DUMMYFUNCTION("""COMPUTED_VALUE"""),0.102)</f>
        <v>0.102</v>
      </c>
      <c r="E14339" s="8" t="str">
        <f>IFERROR(__xludf.DUMMYFUNCTION("""COMPUTED_VALUE"""),"Real")</f>
        <v>Real</v>
      </c>
      <c r="G14339" s="8">
        <f t="shared" si="1"/>
        <v>6</v>
      </c>
      <c r="H14339" s="14">
        <f t="shared" si="2"/>
        <v>20</v>
      </c>
      <c r="I14339" s="15">
        <f t="shared" si="3"/>
        <v>11</v>
      </c>
    </row>
    <row r="14340">
      <c r="A14340" s="8" t="str">
        <f>IFERROR(__xludf.DUMMYFUNCTION("IF('(INGESTA)Datos_consumo_datadis'!A14340&lt;&gt;"""",SPLIT('(INGESTA)Datos_consumo_datadis'!A:A,"",""),"""")"),"ES0031408323131005HX0F")</f>
        <v>ES0031408323131005HX0F</v>
      </c>
      <c r="B14340" s="12">
        <f>IFERROR(__xludf.DUMMYFUNCTION("""COMPUTED_VALUE"""),45463.0)</f>
        <v>45463</v>
      </c>
      <c r="C14340" s="13">
        <f>IFERROR(__xludf.DUMMYFUNCTION("""COMPUTED_VALUE"""),0.5)</f>
        <v>0.5</v>
      </c>
      <c r="D14340" s="8">
        <f>IFERROR(__xludf.DUMMYFUNCTION("""COMPUTED_VALUE"""),0.074)</f>
        <v>0.074</v>
      </c>
      <c r="E14340" s="8" t="str">
        <f>IFERROR(__xludf.DUMMYFUNCTION("""COMPUTED_VALUE"""),"Real")</f>
        <v>Real</v>
      </c>
      <c r="G14340" s="8">
        <f t="shared" si="1"/>
        <v>6</v>
      </c>
      <c r="H14340" s="14">
        <f t="shared" si="2"/>
        <v>20</v>
      </c>
      <c r="I14340" s="15">
        <f t="shared" si="3"/>
        <v>12</v>
      </c>
    </row>
    <row r="14341">
      <c r="A14341" s="8" t="str">
        <f>IFERROR(__xludf.DUMMYFUNCTION("IF('(INGESTA)Datos_consumo_datadis'!A14341&lt;&gt;"""",SPLIT('(INGESTA)Datos_consumo_datadis'!A:A,"",""),"""")"),"ES0031408323131005HX0F")</f>
        <v>ES0031408323131005HX0F</v>
      </c>
      <c r="B14341" s="12">
        <f>IFERROR(__xludf.DUMMYFUNCTION("""COMPUTED_VALUE"""),45463.0)</f>
        <v>45463</v>
      </c>
      <c r="C14341" s="13">
        <f>IFERROR(__xludf.DUMMYFUNCTION("""COMPUTED_VALUE"""),0.5416666666666666)</f>
        <v>0.5416666667</v>
      </c>
      <c r="D14341" s="8">
        <f>IFERROR(__xludf.DUMMYFUNCTION("""COMPUTED_VALUE"""),0.058)</f>
        <v>0.058</v>
      </c>
      <c r="E14341" s="8" t="str">
        <f>IFERROR(__xludf.DUMMYFUNCTION("""COMPUTED_VALUE"""),"Real")</f>
        <v>Real</v>
      </c>
      <c r="G14341" s="8">
        <f t="shared" si="1"/>
        <v>6</v>
      </c>
      <c r="H14341" s="14">
        <f t="shared" si="2"/>
        <v>20</v>
      </c>
      <c r="I14341" s="15">
        <f t="shared" si="3"/>
        <v>13</v>
      </c>
    </row>
    <row r="14342">
      <c r="A14342" s="8" t="str">
        <f>IFERROR(__xludf.DUMMYFUNCTION("IF('(INGESTA)Datos_consumo_datadis'!A14342&lt;&gt;"""",SPLIT('(INGESTA)Datos_consumo_datadis'!A:A,"",""),"""")"),"ES0031408323131005HX0F")</f>
        <v>ES0031408323131005HX0F</v>
      </c>
      <c r="B14342" s="12">
        <f>IFERROR(__xludf.DUMMYFUNCTION("""COMPUTED_VALUE"""),45463.0)</f>
        <v>45463</v>
      </c>
      <c r="C14342" s="13">
        <f>IFERROR(__xludf.DUMMYFUNCTION("""COMPUTED_VALUE"""),0.5833333333333334)</f>
        <v>0.5833333333</v>
      </c>
      <c r="D14342" s="8">
        <f>IFERROR(__xludf.DUMMYFUNCTION("""COMPUTED_VALUE"""),0.024)</f>
        <v>0.024</v>
      </c>
      <c r="E14342" s="8" t="str">
        <f>IFERROR(__xludf.DUMMYFUNCTION("""COMPUTED_VALUE"""),"Real")</f>
        <v>Real</v>
      </c>
      <c r="G14342" s="8">
        <f t="shared" si="1"/>
        <v>6</v>
      </c>
      <c r="H14342" s="14">
        <f t="shared" si="2"/>
        <v>20</v>
      </c>
      <c r="I14342" s="15">
        <f t="shared" si="3"/>
        <v>14</v>
      </c>
    </row>
    <row r="14343">
      <c r="A14343" s="8" t="str">
        <f>IFERROR(__xludf.DUMMYFUNCTION("IF('(INGESTA)Datos_consumo_datadis'!A14343&lt;&gt;"""",SPLIT('(INGESTA)Datos_consumo_datadis'!A:A,"",""),"""")"),"ES0031408323131005HX0F")</f>
        <v>ES0031408323131005HX0F</v>
      </c>
      <c r="B14343" s="12">
        <f>IFERROR(__xludf.DUMMYFUNCTION("""COMPUTED_VALUE"""),45463.0)</f>
        <v>45463</v>
      </c>
      <c r="C14343" s="13">
        <f>IFERROR(__xludf.DUMMYFUNCTION("""COMPUTED_VALUE"""),0.625)</f>
        <v>0.625</v>
      </c>
      <c r="D14343" s="8">
        <f>IFERROR(__xludf.DUMMYFUNCTION("""COMPUTED_VALUE"""),0.1)</f>
        <v>0.1</v>
      </c>
      <c r="E14343" s="8" t="str">
        <f>IFERROR(__xludf.DUMMYFUNCTION("""COMPUTED_VALUE"""),"Real")</f>
        <v>Real</v>
      </c>
      <c r="G14343" s="8">
        <f t="shared" si="1"/>
        <v>6</v>
      </c>
      <c r="H14343" s="14">
        <f t="shared" si="2"/>
        <v>20</v>
      </c>
      <c r="I14343" s="15">
        <f t="shared" si="3"/>
        <v>15</v>
      </c>
    </row>
    <row r="14344">
      <c r="A14344" s="8" t="str">
        <f>IFERROR(__xludf.DUMMYFUNCTION("IF('(INGESTA)Datos_consumo_datadis'!A14344&lt;&gt;"""",SPLIT('(INGESTA)Datos_consumo_datadis'!A:A,"",""),"""")"),"ES0031408323131005HX0F")</f>
        <v>ES0031408323131005HX0F</v>
      </c>
      <c r="B14344" s="12">
        <f>IFERROR(__xludf.DUMMYFUNCTION("""COMPUTED_VALUE"""),45463.0)</f>
        <v>45463</v>
      </c>
      <c r="C14344" s="13">
        <f>IFERROR(__xludf.DUMMYFUNCTION("""COMPUTED_VALUE"""),0.6666666666666666)</f>
        <v>0.6666666667</v>
      </c>
      <c r="D14344" s="8">
        <f>IFERROR(__xludf.DUMMYFUNCTION("""COMPUTED_VALUE"""),0.076)</f>
        <v>0.076</v>
      </c>
      <c r="E14344" s="8" t="str">
        <f>IFERROR(__xludf.DUMMYFUNCTION("""COMPUTED_VALUE"""),"Real")</f>
        <v>Real</v>
      </c>
      <c r="G14344" s="8">
        <f t="shared" si="1"/>
        <v>6</v>
      </c>
      <c r="H14344" s="14">
        <f t="shared" si="2"/>
        <v>20</v>
      </c>
      <c r="I14344" s="15">
        <f t="shared" si="3"/>
        <v>16</v>
      </c>
    </row>
    <row r="14345">
      <c r="A14345" s="8" t="str">
        <f>IFERROR(__xludf.DUMMYFUNCTION("IF('(INGESTA)Datos_consumo_datadis'!A14345&lt;&gt;"""",SPLIT('(INGESTA)Datos_consumo_datadis'!A:A,"",""),"""")"),"ES0031408323131005HX0F")</f>
        <v>ES0031408323131005HX0F</v>
      </c>
      <c r="B14345" s="12">
        <f>IFERROR(__xludf.DUMMYFUNCTION("""COMPUTED_VALUE"""),45463.0)</f>
        <v>45463</v>
      </c>
      <c r="C14345" s="13">
        <f>IFERROR(__xludf.DUMMYFUNCTION("""COMPUTED_VALUE"""),0.7083333333333334)</f>
        <v>0.7083333333</v>
      </c>
      <c r="D14345" s="8">
        <f>IFERROR(__xludf.DUMMYFUNCTION("""COMPUTED_VALUE"""),0.354)</f>
        <v>0.354</v>
      </c>
      <c r="E14345" s="8" t="str">
        <f>IFERROR(__xludf.DUMMYFUNCTION("""COMPUTED_VALUE"""),"Real")</f>
        <v>Real</v>
      </c>
      <c r="G14345" s="8">
        <f t="shared" si="1"/>
        <v>6</v>
      </c>
      <c r="H14345" s="14">
        <f t="shared" si="2"/>
        <v>20</v>
      </c>
      <c r="I14345" s="15">
        <f t="shared" si="3"/>
        <v>17</v>
      </c>
    </row>
    <row r="14346">
      <c r="A14346" s="8" t="str">
        <f>IFERROR(__xludf.DUMMYFUNCTION("IF('(INGESTA)Datos_consumo_datadis'!A14346&lt;&gt;"""",SPLIT('(INGESTA)Datos_consumo_datadis'!A:A,"",""),"""")"),"ES0031408323131005HX0F")</f>
        <v>ES0031408323131005HX0F</v>
      </c>
      <c r="B14346" s="12">
        <f>IFERROR(__xludf.DUMMYFUNCTION("""COMPUTED_VALUE"""),45463.0)</f>
        <v>45463</v>
      </c>
      <c r="C14346" s="13">
        <f>IFERROR(__xludf.DUMMYFUNCTION("""COMPUTED_VALUE"""),0.75)</f>
        <v>0.75</v>
      </c>
      <c r="D14346" s="8">
        <f>IFERROR(__xludf.DUMMYFUNCTION("""COMPUTED_VALUE"""),0.011)</f>
        <v>0.011</v>
      </c>
      <c r="E14346" s="8" t="str">
        <f>IFERROR(__xludf.DUMMYFUNCTION("""COMPUTED_VALUE"""),"Real")</f>
        <v>Real</v>
      </c>
      <c r="G14346" s="8">
        <f t="shared" si="1"/>
        <v>6</v>
      </c>
      <c r="H14346" s="14">
        <f t="shared" si="2"/>
        <v>20</v>
      </c>
      <c r="I14346" s="15">
        <f t="shared" si="3"/>
        <v>18</v>
      </c>
    </row>
    <row r="14347">
      <c r="A14347" s="8" t="str">
        <f>IFERROR(__xludf.DUMMYFUNCTION("IF('(INGESTA)Datos_consumo_datadis'!A14347&lt;&gt;"""",SPLIT('(INGESTA)Datos_consumo_datadis'!A:A,"",""),"""")"),"ES0031408323131005HX0F")</f>
        <v>ES0031408323131005HX0F</v>
      </c>
      <c r="B14347" s="12">
        <f>IFERROR(__xludf.DUMMYFUNCTION("""COMPUTED_VALUE"""),45463.0)</f>
        <v>45463</v>
      </c>
      <c r="C14347" s="13">
        <f>IFERROR(__xludf.DUMMYFUNCTION("""COMPUTED_VALUE"""),0.7916666666666666)</f>
        <v>0.7916666667</v>
      </c>
      <c r="D14347" s="8">
        <f>IFERROR(__xludf.DUMMYFUNCTION("""COMPUTED_VALUE"""),0.069)</f>
        <v>0.069</v>
      </c>
      <c r="E14347" s="8" t="str">
        <f>IFERROR(__xludf.DUMMYFUNCTION("""COMPUTED_VALUE"""),"Real")</f>
        <v>Real</v>
      </c>
      <c r="G14347" s="8">
        <f t="shared" si="1"/>
        <v>6</v>
      </c>
      <c r="H14347" s="14">
        <f t="shared" si="2"/>
        <v>20</v>
      </c>
      <c r="I14347" s="15">
        <f t="shared" si="3"/>
        <v>19</v>
      </c>
    </row>
    <row r="14348">
      <c r="A14348" s="8" t="str">
        <f>IFERROR(__xludf.DUMMYFUNCTION("IF('(INGESTA)Datos_consumo_datadis'!A14348&lt;&gt;"""",SPLIT('(INGESTA)Datos_consumo_datadis'!A:A,"",""),"""")"),"ES0031408323131005HX0F")</f>
        <v>ES0031408323131005HX0F</v>
      </c>
      <c r="B14348" s="12">
        <f>IFERROR(__xludf.DUMMYFUNCTION("""COMPUTED_VALUE"""),45463.0)</f>
        <v>45463</v>
      </c>
      <c r="C14348" s="13">
        <f>IFERROR(__xludf.DUMMYFUNCTION("""COMPUTED_VALUE"""),0.8333333333333334)</f>
        <v>0.8333333333</v>
      </c>
      <c r="D14348" s="8">
        <f>IFERROR(__xludf.DUMMYFUNCTION("""COMPUTED_VALUE"""),0.082)</f>
        <v>0.082</v>
      </c>
      <c r="E14348" s="8" t="str">
        <f>IFERROR(__xludf.DUMMYFUNCTION("""COMPUTED_VALUE"""),"Real")</f>
        <v>Real</v>
      </c>
      <c r="G14348" s="8">
        <f t="shared" si="1"/>
        <v>6</v>
      </c>
      <c r="H14348" s="14">
        <f t="shared" si="2"/>
        <v>20</v>
      </c>
      <c r="I14348" s="15">
        <f t="shared" si="3"/>
        <v>20</v>
      </c>
    </row>
    <row r="14349">
      <c r="A14349" s="8" t="str">
        <f>IFERROR(__xludf.DUMMYFUNCTION("IF('(INGESTA)Datos_consumo_datadis'!A14349&lt;&gt;"""",SPLIT('(INGESTA)Datos_consumo_datadis'!A:A,"",""),"""")"),"ES0031408323131005HX0F")</f>
        <v>ES0031408323131005HX0F</v>
      </c>
      <c r="B14349" s="12">
        <f>IFERROR(__xludf.DUMMYFUNCTION("""COMPUTED_VALUE"""),45463.0)</f>
        <v>45463</v>
      </c>
      <c r="C14349" s="13">
        <f>IFERROR(__xludf.DUMMYFUNCTION("""COMPUTED_VALUE"""),0.875)</f>
        <v>0.875</v>
      </c>
      <c r="D14349" s="8">
        <f>IFERROR(__xludf.DUMMYFUNCTION("""COMPUTED_VALUE"""),0.07)</f>
        <v>0.07</v>
      </c>
      <c r="E14349" s="8" t="str">
        <f>IFERROR(__xludf.DUMMYFUNCTION("""COMPUTED_VALUE"""),"Real")</f>
        <v>Real</v>
      </c>
      <c r="G14349" s="8">
        <f t="shared" si="1"/>
        <v>6</v>
      </c>
      <c r="H14349" s="14">
        <f t="shared" si="2"/>
        <v>20</v>
      </c>
      <c r="I14349" s="15">
        <f t="shared" si="3"/>
        <v>21</v>
      </c>
    </row>
    <row r="14350">
      <c r="A14350" s="8" t="str">
        <f>IFERROR(__xludf.DUMMYFUNCTION("IF('(INGESTA)Datos_consumo_datadis'!A14350&lt;&gt;"""",SPLIT('(INGESTA)Datos_consumo_datadis'!A:A,"",""),"""")"),"ES0031408323131005HX0F")</f>
        <v>ES0031408323131005HX0F</v>
      </c>
      <c r="B14350" s="12">
        <f>IFERROR(__xludf.DUMMYFUNCTION("""COMPUTED_VALUE"""),45463.0)</f>
        <v>45463</v>
      </c>
      <c r="C14350" s="13">
        <f>IFERROR(__xludf.DUMMYFUNCTION("""COMPUTED_VALUE"""),0.9166666666666666)</f>
        <v>0.9166666667</v>
      </c>
      <c r="D14350" s="8">
        <f>IFERROR(__xludf.DUMMYFUNCTION("""COMPUTED_VALUE"""),0.03)</f>
        <v>0.03</v>
      </c>
      <c r="E14350" s="8" t="str">
        <f>IFERROR(__xludf.DUMMYFUNCTION("""COMPUTED_VALUE"""),"Real")</f>
        <v>Real</v>
      </c>
      <c r="G14350" s="8">
        <f t="shared" si="1"/>
        <v>6</v>
      </c>
      <c r="H14350" s="14">
        <f t="shared" si="2"/>
        <v>20</v>
      </c>
      <c r="I14350" s="15">
        <f t="shared" si="3"/>
        <v>22</v>
      </c>
    </row>
    <row r="14351">
      <c r="A14351" s="8" t="str">
        <f>IFERROR(__xludf.DUMMYFUNCTION("IF('(INGESTA)Datos_consumo_datadis'!A14351&lt;&gt;"""",SPLIT('(INGESTA)Datos_consumo_datadis'!A:A,"",""),"""")"),"ES0031408323131005HX0F")</f>
        <v>ES0031408323131005HX0F</v>
      </c>
      <c r="B14351" s="12">
        <f>IFERROR(__xludf.DUMMYFUNCTION("""COMPUTED_VALUE"""),45463.0)</f>
        <v>45463</v>
      </c>
      <c r="C14351" s="13">
        <f>IFERROR(__xludf.DUMMYFUNCTION("""COMPUTED_VALUE"""),0.9583333333333334)</f>
        <v>0.9583333333</v>
      </c>
      <c r="D14351" s="8">
        <f>IFERROR(__xludf.DUMMYFUNCTION("""COMPUTED_VALUE"""),0.046)</f>
        <v>0.046</v>
      </c>
      <c r="E14351" s="8" t="str">
        <f>IFERROR(__xludf.DUMMYFUNCTION("""COMPUTED_VALUE"""),"Real")</f>
        <v>Real</v>
      </c>
      <c r="G14351" s="8">
        <f t="shared" si="1"/>
        <v>6</v>
      </c>
      <c r="H14351" s="14">
        <f t="shared" si="2"/>
        <v>20</v>
      </c>
      <c r="I14351" s="15">
        <f t="shared" si="3"/>
        <v>23</v>
      </c>
    </row>
    <row r="14352">
      <c r="A14352" s="8" t="str">
        <f>IFERROR(__xludf.DUMMYFUNCTION("IF('(INGESTA)Datos_consumo_datadis'!A14352&lt;&gt;"""",SPLIT('(INGESTA)Datos_consumo_datadis'!A:A,"",""),"""")"),"ES0031408323131005HX0F")</f>
        <v>ES0031408323131005HX0F</v>
      </c>
      <c r="B14352" s="12">
        <f>IFERROR(__xludf.DUMMYFUNCTION("""COMPUTED_VALUE"""),45463.0)</f>
        <v>45463</v>
      </c>
      <c r="C14352" s="16">
        <f>IFERROR(__xludf.DUMMYFUNCTION("""COMPUTED_VALUE"""),1.0)</f>
        <v>1</v>
      </c>
      <c r="D14352" s="8">
        <f>IFERROR(__xludf.DUMMYFUNCTION("""COMPUTED_VALUE"""),0.104)</f>
        <v>0.104</v>
      </c>
      <c r="E14352" s="8" t="str">
        <f>IFERROR(__xludf.DUMMYFUNCTION("""COMPUTED_VALUE"""),"Real")</f>
        <v>Real</v>
      </c>
      <c r="G14352" s="8">
        <f t="shared" si="1"/>
        <v>6</v>
      </c>
      <c r="H14352" s="14">
        <f t="shared" si="2"/>
        <v>20</v>
      </c>
      <c r="I14352" s="15">
        <f t="shared" si="3"/>
        <v>0</v>
      </c>
    </row>
    <row r="14353">
      <c r="A14353" s="8" t="str">
        <f>IFERROR(__xludf.DUMMYFUNCTION("IF('(INGESTA)Datos_consumo_datadis'!A14353&lt;&gt;"""",SPLIT('(INGESTA)Datos_consumo_datadis'!A:A,"",""),"""")"),"ES0031408323131005HX0F")</f>
        <v>ES0031408323131005HX0F</v>
      </c>
      <c r="B14353" s="12">
        <f>IFERROR(__xludf.DUMMYFUNCTION("""COMPUTED_VALUE"""),45464.0)</f>
        <v>45464</v>
      </c>
      <c r="C14353" s="13">
        <f>IFERROR(__xludf.DUMMYFUNCTION("""COMPUTED_VALUE"""),0.041666666666666664)</f>
        <v>0.04166666667</v>
      </c>
      <c r="D14353" s="8">
        <f>IFERROR(__xludf.DUMMYFUNCTION("""COMPUTED_VALUE"""),0.354)</f>
        <v>0.354</v>
      </c>
      <c r="E14353" s="8" t="str">
        <f>IFERROR(__xludf.DUMMYFUNCTION("""COMPUTED_VALUE"""),"Real")</f>
        <v>Real</v>
      </c>
      <c r="G14353" s="8">
        <f t="shared" si="1"/>
        <v>6</v>
      </c>
      <c r="H14353" s="14">
        <f t="shared" si="2"/>
        <v>21</v>
      </c>
      <c r="I14353" s="15">
        <f t="shared" si="3"/>
        <v>1</v>
      </c>
    </row>
    <row r="14354">
      <c r="A14354" s="8" t="str">
        <f>IFERROR(__xludf.DUMMYFUNCTION("IF('(INGESTA)Datos_consumo_datadis'!A14354&lt;&gt;"""",SPLIT('(INGESTA)Datos_consumo_datadis'!A:A,"",""),"""")"),"ES0031408323131005HX0F")</f>
        <v>ES0031408323131005HX0F</v>
      </c>
      <c r="B14354" s="12">
        <f>IFERROR(__xludf.DUMMYFUNCTION("""COMPUTED_VALUE"""),45464.0)</f>
        <v>45464</v>
      </c>
      <c r="C14354" s="13">
        <f>IFERROR(__xludf.DUMMYFUNCTION("""COMPUTED_VALUE"""),0.08333333333333333)</f>
        <v>0.08333333333</v>
      </c>
      <c r="D14354" s="8">
        <f>IFERROR(__xludf.DUMMYFUNCTION("""COMPUTED_VALUE"""),0.048)</f>
        <v>0.048</v>
      </c>
      <c r="E14354" s="8" t="str">
        <f>IFERROR(__xludf.DUMMYFUNCTION("""COMPUTED_VALUE"""),"Real")</f>
        <v>Real</v>
      </c>
      <c r="G14354" s="8">
        <f t="shared" si="1"/>
        <v>6</v>
      </c>
      <c r="H14354" s="14">
        <f t="shared" si="2"/>
        <v>21</v>
      </c>
      <c r="I14354" s="15">
        <f t="shared" si="3"/>
        <v>2</v>
      </c>
    </row>
    <row r="14355">
      <c r="A14355" s="8" t="str">
        <f>IFERROR(__xludf.DUMMYFUNCTION("IF('(INGESTA)Datos_consumo_datadis'!A14355&lt;&gt;"""",SPLIT('(INGESTA)Datos_consumo_datadis'!A:A,"",""),"""")"),"ES0031408323131005HX0F")</f>
        <v>ES0031408323131005HX0F</v>
      </c>
      <c r="B14355" s="12">
        <f>IFERROR(__xludf.DUMMYFUNCTION("""COMPUTED_VALUE"""),45464.0)</f>
        <v>45464</v>
      </c>
      <c r="C14355" s="13">
        <f>IFERROR(__xludf.DUMMYFUNCTION("""COMPUTED_VALUE"""),0.125)</f>
        <v>0.125</v>
      </c>
      <c r="D14355" s="8">
        <f>IFERROR(__xludf.DUMMYFUNCTION("""COMPUTED_VALUE"""),0.025)</f>
        <v>0.025</v>
      </c>
      <c r="E14355" s="8" t="str">
        <f>IFERROR(__xludf.DUMMYFUNCTION("""COMPUTED_VALUE"""),"Real")</f>
        <v>Real</v>
      </c>
      <c r="G14355" s="8">
        <f t="shared" si="1"/>
        <v>6</v>
      </c>
      <c r="H14355" s="14">
        <f t="shared" si="2"/>
        <v>21</v>
      </c>
      <c r="I14355" s="15">
        <f t="shared" si="3"/>
        <v>3</v>
      </c>
    </row>
    <row r="14356">
      <c r="A14356" s="8" t="str">
        <f>IFERROR(__xludf.DUMMYFUNCTION("IF('(INGESTA)Datos_consumo_datadis'!A14356&lt;&gt;"""",SPLIT('(INGESTA)Datos_consumo_datadis'!A:A,"",""),"""")"),"ES0031408323131005HX0F")</f>
        <v>ES0031408323131005HX0F</v>
      </c>
      <c r="B14356" s="12">
        <f>IFERROR(__xludf.DUMMYFUNCTION("""COMPUTED_VALUE"""),45464.0)</f>
        <v>45464</v>
      </c>
      <c r="C14356" s="13">
        <f>IFERROR(__xludf.DUMMYFUNCTION("""COMPUTED_VALUE"""),0.16666666666666666)</f>
        <v>0.1666666667</v>
      </c>
      <c r="D14356" s="8">
        <f>IFERROR(__xludf.DUMMYFUNCTION("""COMPUTED_VALUE"""),0.113)</f>
        <v>0.113</v>
      </c>
      <c r="E14356" s="8" t="str">
        <f>IFERROR(__xludf.DUMMYFUNCTION("""COMPUTED_VALUE"""),"Real")</f>
        <v>Real</v>
      </c>
      <c r="G14356" s="8">
        <f t="shared" si="1"/>
        <v>6</v>
      </c>
      <c r="H14356" s="14">
        <f t="shared" si="2"/>
        <v>21</v>
      </c>
      <c r="I14356" s="15">
        <f t="shared" si="3"/>
        <v>4</v>
      </c>
    </row>
    <row r="14357">
      <c r="A14357" s="8" t="str">
        <f>IFERROR(__xludf.DUMMYFUNCTION("IF('(INGESTA)Datos_consumo_datadis'!A14357&lt;&gt;"""",SPLIT('(INGESTA)Datos_consumo_datadis'!A:A,"",""),"""")"),"ES0031408323131005HX0F")</f>
        <v>ES0031408323131005HX0F</v>
      </c>
      <c r="B14357" s="12">
        <f>IFERROR(__xludf.DUMMYFUNCTION("""COMPUTED_VALUE"""),45464.0)</f>
        <v>45464</v>
      </c>
      <c r="C14357" s="13">
        <f>IFERROR(__xludf.DUMMYFUNCTION("""COMPUTED_VALUE"""),0.20833333333333334)</f>
        <v>0.2083333333</v>
      </c>
      <c r="D14357" s="8">
        <f>IFERROR(__xludf.DUMMYFUNCTION("""COMPUTED_VALUE"""),0.058)</f>
        <v>0.058</v>
      </c>
      <c r="E14357" s="8" t="str">
        <f>IFERROR(__xludf.DUMMYFUNCTION("""COMPUTED_VALUE"""),"Real")</f>
        <v>Real</v>
      </c>
      <c r="G14357" s="8">
        <f t="shared" si="1"/>
        <v>6</v>
      </c>
      <c r="H14357" s="14">
        <f t="shared" si="2"/>
        <v>21</v>
      </c>
      <c r="I14357" s="15">
        <f t="shared" si="3"/>
        <v>5</v>
      </c>
    </row>
    <row r="14358">
      <c r="A14358" s="8" t="str">
        <f>IFERROR(__xludf.DUMMYFUNCTION("IF('(INGESTA)Datos_consumo_datadis'!A14358&lt;&gt;"""",SPLIT('(INGESTA)Datos_consumo_datadis'!A:A,"",""),"""")"),"ES0031408323131005HX0F")</f>
        <v>ES0031408323131005HX0F</v>
      </c>
      <c r="B14358" s="12">
        <f>IFERROR(__xludf.DUMMYFUNCTION("""COMPUTED_VALUE"""),45464.0)</f>
        <v>45464</v>
      </c>
      <c r="C14358" s="13">
        <f>IFERROR(__xludf.DUMMYFUNCTION("""COMPUTED_VALUE"""),0.25)</f>
        <v>0.25</v>
      </c>
      <c r="D14358" s="8">
        <f>IFERROR(__xludf.DUMMYFUNCTION("""COMPUTED_VALUE"""),0.048)</f>
        <v>0.048</v>
      </c>
      <c r="E14358" s="8" t="str">
        <f>IFERROR(__xludf.DUMMYFUNCTION("""COMPUTED_VALUE"""),"Real")</f>
        <v>Real</v>
      </c>
      <c r="G14358" s="8">
        <f t="shared" si="1"/>
        <v>6</v>
      </c>
      <c r="H14358" s="14">
        <f t="shared" si="2"/>
        <v>21</v>
      </c>
      <c r="I14358" s="15">
        <f t="shared" si="3"/>
        <v>6</v>
      </c>
    </row>
    <row r="14359">
      <c r="A14359" s="8" t="str">
        <f>IFERROR(__xludf.DUMMYFUNCTION("IF('(INGESTA)Datos_consumo_datadis'!A14359&lt;&gt;"""",SPLIT('(INGESTA)Datos_consumo_datadis'!A:A,"",""),"""")"),"ES0031408323131005HX0F")</f>
        <v>ES0031408323131005HX0F</v>
      </c>
      <c r="B14359" s="12">
        <f>IFERROR(__xludf.DUMMYFUNCTION("""COMPUTED_VALUE"""),45464.0)</f>
        <v>45464</v>
      </c>
      <c r="C14359" s="13">
        <f>IFERROR(__xludf.DUMMYFUNCTION("""COMPUTED_VALUE"""),0.2916666666666667)</f>
        <v>0.2916666667</v>
      </c>
      <c r="D14359" s="8">
        <f>IFERROR(__xludf.DUMMYFUNCTION("""COMPUTED_VALUE"""),0.011)</f>
        <v>0.011</v>
      </c>
      <c r="E14359" s="8" t="str">
        <f>IFERROR(__xludf.DUMMYFUNCTION("""COMPUTED_VALUE"""),"Real")</f>
        <v>Real</v>
      </c>
      <c r="G14359" s="8">
        <f t="shared" si="1"/>
        <v>6</v>
      </c>
      <c r="H14359" s="14">
        <f t="shared" si="2"/>
        <v>21</v>
      </c>
      <c r="I14359" s="15">
        <f t="shared" si="3"/>
        <v>7</v>
      </c>
    </row>
    <row r="14360">
      <c r="A14360" s="8" t="str">
        <f>IFERROR(__xludf.DUMMYFUNCTION("IF('(INGESTA)Datos_consumo_datadis'!A14360&lt;&gt;"""",SPLIT('(INGESTA)Datos_consumo_datadis'!A:A,"",""),"""")"),"ES0031408323131005HX0F")</f>
        <v>ES0031408323131005HX0F</v>
      </c>
      <c r="B14360" s="12">
        <f>IFERROR(__xludf.DUMMYFUNCTION("""COMPUTED_VALUE"""),45464.0)</f>
        <v>45464</v>
      </c>
      <c r="C14360" s="13">
        <f>IFERROR(__xludf.DUMMYFUNCTION("""COMPUTED_VALUE"""),0.3333333333333333)</f>
        <v>0.3333333333</v>
      </c>
      <c r="D14360" s="8">
        <f>IFERROR(__xludf.DUMMYFUNCTION("""COMPUTED_VALUE"""),0.175)</f>
        <v>0.175</v>
      </c>
      <c r="E14360" s="8" t="str">
        <f>IFERROR(__xludf.DUMMYFUNCTION("""COMPUTED_VALUE"""),"Real")</f>
        <v>Real</v>
      </c>
      <c r="G14360" s="8">
        <f t="shared" si="1"/>
        <v>6</v>
      </c>
      <c r="H14360" s="14">
        <f t="shared" si="2"/>
        <v>21</v>
      </c>
      <c r="I14360" s="15">
        <f t="shared" si="3"/>
        <v>8</v>
      </c>
    </row>
    <row r="14361">
      <c r="A14361" s="8" t="str">
        <f>IFERROR(__xludf.DUMMYFUNCTION("IF('(INGESTA)Datos_consumo_datadis'!A14361&lt;&gt;"""",SPLIT('(INGESTA)Datos_consumo_datadis'!A:A,"",""),"""")"),"ES0031408323131005HX0F")</f>
        <v>ES0031408323131005HX0F</v>
      </c>
      <c r="B14361" s="12">
        <f>IFERROR(__xludf.DUMMYFUNCTION("""COMPUTED_VALUE"""),45464.0)</f>
        <v>45464</v>
      </c>
      <c r="C14361" s="13">
        <f>IFERROR(__xludf.DUMMYFUNCTION("""COMPUTED_VALUE"""),0.375)</f>
        <v>0.375</v>
      </c>
      <c r="D14361" s="8">
        <f>IFERROR(__xludf.DUMMYFUNCTION("""COMPUTED_VALUE"""),0.299)</f>
        <v>0.299</v>
      </c>
      <c r="E14361" s="8" t="str">
        <f>IFERROR(__xludf.DUMMYFUNCTION("""COMPUTED_VALUE"""),"Real")</f>
        <v>Real</v>
      </c>
      <c r="G14361" s="8">
        <f t="shared" si="1"/>
        <v>6</v>
      </c>
      <c r="H14361" s="14">
        <f t="shared" si="2"/>
        <v>21</v>
      </c>
      <c r="I14361" s="15">
        <f t="shared" si="3"/>
        <v>9</v>
      </c>
    </row>
    <row r="14362">
      <c r="A14362" s="8" t="str">
        <f>IFERROR(__xludf.DUMMYFUNCTION("IF('(INGESTA)Datos_consumo_datadis'!A14362&lt;&gt;"""",SPLIT('(INGESTA)Datos_consumo_datadis'!A:A,"",""),"""")"),"ES0031408323131005HX0F")</f>
        <v>ES0031408323131005HX0F</v>
      </c>
      <c r="B14362" s="12">
        <f>IFERROR(__xludf.DUMMYFUNCTION("""COMPUTED_VALUE"""),45464.0)</f>
        <v>45464</v>
      </c>
      <c r="C14362" s="13">
        <f>IFERROR(__xludf.DUMMYFUNCTION("""COMPUTED_VALUE"""),0.4166666666666667)</f>
        <v>0.4166666667</v>
      </c>
      <c r="D14362" s="8">
        <f>IFERROR(__xludf.DUMMYFUNCTION("""COMPUTED_VALUE"""),0.048)</f>
        <v>0.048</v>
      </c>
      <c r="E14362" s="8" t="str">
        <f>IFERROR(__xludf.DUMMYFUNCTION("""COMPUTED_VALUE"""),"Real")</f>
        <v>Real</v>
      </c>
      <c r="G14362" s="8">
        <f t="shared" si="1"/>
        <v>6</v>
      </c>
      <c r="H14362" s="14">
        <f t="shared" si="2"/>
        <v>21</v>
      </c>
      <c r="I14362" s="15">
        <f t="shared" si="3"/>
        <v>10</v>
      </c>
    </row>
    <row r="14363">
      <c r="A14363" s="8" t="str">
        <f>IFERROR(__xludf.DUMMYFUNCTION("IF('(INGESTA)Datos_consumo_datadis'!A14363&lt;&gt;"""",SPLIT('(INGESTA)Datos_consumo_datadis'!A:A,"",""),"""")"),"ES0031408323131005HX0F")</f>
        <v>ES0031408323131005HX0F</v>
      </c>
      <c r="B14363" s="12">
        <f>IFERROR(__xludf.DUMMYFUNCTION("""COMPUTED_VALUE"""),45464.0)</f>
        <v>45464</v>
      </c>
      <c r="C14363" s="13">
        <f>IFERROR(__xludf.DUMMYFUNCTION("""COMPUTED_VALUE"""),0.4583333333333333)</f>
        <v>0.4583333333</v>
      </c>
      <c r="D14363" s="8">
        <f>IFERROR(__xludf.DUMMYFUNCTION("""COMPUTED_VALUE"""),0.011)</f>
        <v>0.011</v>
      </c>
      <c r="E14363" s="8" t="str">
        <f>IFERROR(__xludf.DUMMYFUNCTION("""COMPUTED_VALUE"""),"Real")</f>
        <v>Real</v>
      </c>
      <c r="G14363" s="8">
        <f t="shared" si="1"/>
        <v>6</v>
      </c>
      <c r="H14363" s="14">
        <f t="shared" si="2"/>
        <v>21</v>
      </c>
      <c r="I14363" s="15">
        <f t="shared" si="3"/>
        <v>11</v>
      </c>
    </row>
    <row r="14364">
      <c r="A14364" s="8" t="str">
        <f>IFERROR(__xludf.DUMMYFUNCTION("IF('(INGESTA)Datos_consumo_datadis'!A14364&lt;&gt;"""",SPLIT('(INGESTA)Datos_consumo_datadis'!A:A,"",""),"""")"),"ES0031408323131005HX0F")</f>
        <v>ES0031408323131005HX0F</v>
      </c>
      <c r="B14364" s="12">
        <f>IFERROR(__xludf.DUMMYFUNCTION("""COMPUTED_VALUE"""),45464.0)</f>
        <v>45464</v>
      </c>
      <c r="C14364" s="13">
        <f>IFERROR(__xludf.DUMMYFUNCTION("""COMPUTED_VALUE"""),0.5)</f>
        <v>0.5</v>
      </c>
      <c r="D14364" s="8">
        <f>IFERROR(__xludf.DUMMYFUNCTION("""COMPUTED_VALUE"""),0.096)</f>
        <v>0.096</v>
      </c>
      <c r="E14364" s="8" t="str">
        <f>IFERROR(__xludf.DUMMYFUNCTION("""COMPUTED_VALUE"""),"Real")</f>
        <v>Real</v>
      </c>
      <c r="G14364" s="8">
        <f t="shared" si="1"/>
        <v>6</v>
      </c>
      <c r="H14364" s="14">
        <f t="shared" si="2"/>
        <v>21</v>
      </c>
      <c r="I14364" s="15">
        <f t="shared" si="3"/>
        <v>12</v>
      </c>
    </row>
    <row r="14365">
      <c r="A14365" s="8" t="str">
        <f>IFERROR(__xludf.DUMMYFUNCTION("IF('(INGESTA)Datos_consumo_datadis'!A14365&lt;&gt;"""",SPLIT('(INGESTA)Datos_consumo_datadis'!A:A,"",""),"""")"),"ES0031408323131005HX0F")</f>
        <v>ES0031408323131005HX0F</v>
      </c>
      <c r="B14365" s="12">
        <f>IFERROR(__xludf.DUMMYFUNCTION("""COMPUTED_VALUE"""),45464.0)</f>
        <v>45464</v>
      </c>
      <c r="C14365" s="13">
        <f>IFERROR(__xludf.DUMMYFUNCTION("""COMPUTED_VALUE"""),0.5416666666666666)</f>
        <v>0.5416666667</v>
      </c>
      <c r="D14365" s="8">
        <f>IFERROR(__xludf.DUMMYFUNCTION("""COMPUTED_VALUE"""),0.074)</f>
        <v>0.074</v>
      </c>
      <c r="E14365" s="8" t="str">
        <f>IFERROR(__xludf.DUMMYFUNCTION("""COMPUTED_VALUE"""),"Real")</f>
        <v>Real</v>
      </c>
      <c r="G14365" s="8">
        <f t="shared" si="1"/>
        <v>6</v>
      </c>
      <c r="H14365" s="14">
        <f t="shared" si="2"/>
        <v>21</v>
      </c>
      <c r="I14365" s="15">
        <f t="shared" si="3"/>
        <v>13</v>
      </c>
    </row>
    <row r="14366">
      <c r="A14366" s="8" t="str">
        <f>IFERROR(__xludf.DUMMYFUNCTION("IF('(INGESTA)Datos_consumo_datadis'!A14366&lt;&gt;"""",SPLIT('(INGESTA)Datos_consumo_datadis'!A:A,"",""),"""")"),"ES0031408323131005HX0F")</f>
        <v>ES0031408323131005HX0F</v>
      </c>
      <c r="B14366" s="12">
        <f>IFERROR(__xludf.DUMMYFUNCTION("""COMPUTED_VALUE"""),45464.0)</f>
        <v>45464</v>
      </c>
      <c r="C14366" s="13">
        <f>IFERROR(__xludf.DUMMYFUNCTION("""COMPUTED_VALUE"""),0.5833333333333334)</f>
        <v>0.5833333333</v>
      </c>
      <c r="D14366" s="8">
        <f>IFERROR(__xludf.DUMMYFUNCTION("""COMPUTED_VALUE"""),0.055)</f>
        <v>0.055</v>
      </c>
      <c r="E14366" s="8" t="str">
        <f>IFERROR(__xludf.DUMMYFUNCTION("""COMPUTED_VALUE"""),"Real")</f>
        <v>Real</v>
      </c>
      <c r="G14366" s="8">
        <f t="shared" si="1"/>
        <v>6</v>
      </c>
      <c r="H14366" s="14">
        <f t="shared" si="2"/>
        <v>21</v>
      </c>
      <c r="I14366" s="15">
        <f t="shared" si="3"/>
        <v>14</v>
      </c>
    </row>
    <row r="14367">
      <c r="A14367" s="8" t="str">
        <f>IFERROR(__xludf.DUMMYFUNCTION("IF('(INGESTA)Datos_consumo_datadis'!A14367&lt;&gt;"""",SPLIT('(INGESTA)Datos_consumo_datadis'!A:A,"",""),"""")"),"ES0031408323131005HX0F")</f>
        <v>ES0031408323131005HX0F</v>
      </c>
      <c r="B14367" s="12">
        <f>IFERROR(__xludf.DUMMYFUNCTION("""COMPUTED_VALUE"""),45464.0)</f>
        <v>45464</v>
      </c>
      <c r="C14367" s="13">
        <f>IFERROR(__xludf.DUMMYFUNCTION("""COMPUTED_VALUE"""),0.625)</f>
        <v>0.625</v>
      </c>
      <c r="D14367" s="8">
        <f>IFERROR(__xludf.DUMMYFUNCTION("""COMPUTED_VALUE"""),0.011)</f>
        <v>0.011</v>
      </c>
      <c r="E14367" s="8" t="str">
        <f>IFERROR(__xludf.DUMMYFUNCTION("""COMPUTED_VALUE"""),"Real")</f>
        <v>Real</v>
      </c>
      <c r="G14367" s="8">
        <f t="shared" si="1"/>
        <v>6</v>
      </c>
      <c r="H14367" s="14">
        <f t="shared" si="2"/>
        <v>21</v>
      </c>
      <c r="I14367" s="15">
        <f t="shared" si="3"/>
        <v>15</v>
      </c>
    </row>
    <row r="14368">
      <c r="A14368" s="8" t="str">
        <f>IFERROR(__xludf.DUMMYFUNCTION("IF('(INGESTA)Datos_consumo_datadis'!A14368&lt;&gt;"""",SPLIT('(INGESTA)Datos_consumo_datadis'!A:A,"",""),"""")"),"ES0031408323131005HX0F")</f>
        <v>ES0031408323131005HX0F</v>
      </c>
      <c r="B14368" s="12">
        <f>IFERROR(__xludf.DUMMYFUNCTION("""COMPUTED_VALUE"""),45464.0)</f>
        <v>45464</v>
      </c>
      <c r="C14368" s="13">
        <f>IFERROR(__xludf.DUMMYFUNCTION("""COMPUTED_VALUE"""),0.6666666666666666)</f>
        <v>0.6666666667</v>
      </c>
      <c r="D14368" s="8">
        <f>IFERROR(__xludf.DUMMYFUNCTION("""COMPUTED_VALUE"""),0.381)</f>
        <v>0.381</v>
      </c>
      <c r="E14368" s="8" t="str">
        <f>IFERROR(__xludf.DUMMYFUNCTION("""COMPUTED_VALUE"""),"Real")</f>
        <v>Real</v>
      </c>
      <c r="G14368" s="8">
        <f t="shared" si="1"/>
        <v>6</v>
      </c>
      <c r="H14368" s="14">
        <f t="shared" si="2"/>
        <v>21</v>
      </c>
      <c r="I14368" s="15">
        <f t="shared" si="3"/>
        <v>16</v>
      </c>
    </row>
    <row r="14369">
      <c r="A14369" s="8" t="str">
        <f>IFERROR(__xludf.DUMMYFUNCTION("IF('(INGESTA)Datos_consumo_datadis'!A14369&lt;&gt;"""",SPLIT('(INGESTA)Datos_consumo_datadis'!A:A,"",""),"""")"),"ES0031408323131005HX0F")</f>
        <v>ES0031408323131005HX0F</v>
      </c>
      <c r="B14369" s="12">
        <f>IFERROR(__xludf.DUMMYFUNCTION("""COMPUTED_VALUE"""),45464.0)</f>
        <v>45464</v>
      </c>
      <c r="C14369" s="13">
        <f>IFERROR(__xludf.DUMMYFUNCTION("""COMPUTED_VALUE"""),0.7083333333333334)</f>
        <v>0.7083333333</v>
      </c>
      <c r="D14369" s="8">
        <f>IFERROR(__xludf.DUMMYFUNCTION("""COMPUTED_VALUE"""),0.076)</f>
        <v>0.076</v>
      </c>
      <c r="E14369" s="8" t="str">
        <f>IFERROR(__xludf.DUMMYFUNCTION("""COMPUTED_VALUE"""),"Real")</f>
        <v>Real</v>
      </c>
      <c r="G14369" s="8">
        <f t="shared" si="1"/>
        <v>6</v>
      </c>
      <c r="H14369" s="14">
        <f t="shared" si="2"/>
        <v>21</v>
      </c>
      <c r="I14369" s="15">
        <f t="shared" si="3"/>
        <v>17</v>
      </c>
    </row>
    <row r="14370">
      <c r="A14370" s="8" t="str">
        <f>IFERROR(__xludf.DUMMYFUNCTION("IF('(INGESTA)Datos_consumo_datadis'!A14370&lt;&gt;"""",SPLIT('(INGESTA)Datos_consumo_datadis'!A:A,"",""),"""")"),"ES0031408323131005HX0F")</f>
        <v>ES0031408323131005HX0F</v>
      </c>
      <c r="B14370" s="12">
        <f>IFERROR(__xludf.DUMMYFUNCTION("""COMPUTED_VALUE"""),45464.0)</f>
        <v>45464</v>
      </c>
      <c r="C14370" s="13">
        <f>IFERROR(__xludf.DUMMYFUNCTION("""COMPUTED_VALUE"""),0.75)</f>
        <v>0.75</v>
      </c>
      <c r="D14370" s="8">
        <f>IFERROR(__xludf.DUMMYFUNCTION("""COMPUTED_VALUE"""),0.065)</f>
        <v>0.065</v>
      </c>
      <c r="E14370" s="8" t="str">
        <f>IFERROR(__xludf.DUMMYFUNCTION("""COMPUTED_VALUE"""),"Real")</f>
        <v>Real</v>
      </c>
      <c r="G14370" s="8">
        <f t="shared" si="1"/>
        <v>6</v>
      </c>
      <c r="H14370" s="14">
        <f t="shared" si="2"/>
        <v>21</v>
      </c>
      <c r="I14370" s="15">
        <f t="shared" si="3"/>
        <v>18</v>
      </c>
    </row>
    <row r="14371">
      <c r="A14371" s="8" t="str">
        <f>IFERROR(__xludf.DUMMYFUNCTION("IF('(INGESTA)Datos_consumo_datadis'!A14371&lt;&gt;"""",SPLIT('(INGESTA)Datos_consumo_datadis'!A:A,"",""),"""")"),"ES0031408323131005HX0F")</f>
        <v>ES0031408323131005HX0F</v>
      </c>
      <c r="B14371" s="12">
        <f>IFERROR(__xludf.DUMMYFUNCTION("""COMPUTED_VALUE"""),45464.0)</f>
        <v>45464</v>
      </c>
      <c r="C14371" s="13">
        <f>IFERROR(__xludf.DUMMYFUNCTION("""COMPUTED_VALUE"""),0.7916666666666666)</f>
        <v>0.7916666667</v>
      </c>
      <c r="D14371" s="8">
        <f>IFERROR(__xludf.DUMMYFUNCTION("""COMPUTED_VALUE"""),0.011)</f>
        <v>0.011</v>
      </c>
      <c r="E14371" s="8" t="str">
        <f>IFERROR(__xludf.DUMMYFUNCTION("""COMPUTED_VALUE"""),"Real")</f>
        <v>Real</v>
      </c>
      <c r="G14371" s="8">
        <f t="shared" si="1"/>
        <v>6</v>
      </c>
      <c r="H14371" s="14">
        <f t="shared" si="2"/>
        <v>21</v>
      </c>
      <c r="I14371" s="15">
        <f t="shared" si="3"/>
        <v>19</v>
      </c>
    </row>
    <row r="14372">
      <c r="A14372" s="8" t="str">
        <f>IFERROR(__xludf.DUMMYFUNCTION("IF('(INGESTA)Datos_consumo_datadis'!A14372&lt;&gt;"""",SPLIT('(INGESTA)Datos_consumo_datadis'!A:A,"",""),"""")"),"ES0031408323131005HX0F")</f>
        <v>ES0031408323131005HX0F</v>
      </c>
      <c r="B14372" s="12">
        <f>IFERROR(__xludf.DUMMYFUNCTION("""COMPUTED_VALUE"""),45464.0)</f>
        <v>45464</v>
      </c>
      <c r="C14372" s="13">
        <f>IFERROR(__xludf.DUMMYFUNCTION("""COMPUTED_VALUE"""),0.8333333333333334)</f>
        <v>0.8333333333</v>
      </c>
      <c r="D14372" s="8">
        <f>IFERROR(__xludf.DUMMYFUNCTION("""COMPUTED_VALUE"""),0.074)</f>
        <v>0.074</v>
      </c>
      <c r="E14372" s="8" t="str">
        <f>IFERROR(__xludf.DUMMYFUNCTION("""COMPUTED_VALUE"""),"Real")</f>
        <v>Real</v>
      </c>
      <c r="G14372" s="8">
        <f t="shared" si="1"/>
        <v>6</v>
      </c>
      <c r="H14372" s="14">
        <f t="shared" si="2"/>
        <v>21</v>
      </c>
      <c r="I14372" s="15">
        <f t="shared" si="3"/>
        <v>20</v>
      </c>
    </row>
    <row r="14373">
      <c r="A14373" s="8" t="str">
        <f>IFERROR(__xludf.DUMMYFUNCTION("IF('(INGESTA)Datos_consumo_datadis'!A14373&lt;&gt;"""",SPLIT('(INGESTA)Datos_consumo_datadis'!A:A,"",""),"""")"),"ES0031408323131005HX0F")</f>
        <v>ES0031408323131005HX0F</v>
      </c>
      <c r="B14373" s="12">
        <f>IFERROR(__xludf.DUMMYFUNCTION("""COMPUTED_VALUE"""),45464.0)</f>
        <v>45464</v>
      </c>
      <c r="C14373" s="13">
        <f>IFERROR(__xludf.DUMMYFUNCTION("""COMPUTED_VALUE"""),0.875)</f>
        <v>0.875</v>
      </c>
      <c r="D14373" s="8">
        <f>IFERROR(__xludf.DUMMYFUNCTION("""COMPUTED_VALUE"""),0.077)</f>
        <v>0.077</v>
      </c>
      <c r="E14373" s="8" t="str">
        <f>IFERROR(__xludf.DUMMYFUNCTION("""COMPUTED_VALUE"""),"Real")</f>
        <v>Real</v>
      </c>
      <c r="G14373" s="8">
        <f t="shared" si="1"/>
        <v>6</v>
      </c>
      <c r="H14373" s="14">
        <f t="shared" si="2"/>
        <v>21</v>
      </c>
      <c r="I14373" s="15">
        <f t="shared" si="3"/>
        <v>21</v>
      </c>
    </row>
    <row r="14374">
      <c r="A14374" s="8" t="str">
        <f>IFERROR(__xludf.DUMMYFUNCTION("IF('(INGESTA)Datos_consumo_datadis'!A14374&lt;&gt;"""",SPLIT('(INGESTA)Datos_consumo_datadis'!A:A,"",""),"""")"),"ES0031408323131005HX0F")</f>
        <v>ES0031408323131005HX0F</v>
      </c>
      <c r="B14374" s="12">
        <f>IFERROR(__xludf.DUMMYFUNCTION("""COMPUTED_VALUE"""),45464.0)</f>
        <v>45464</v>
      </c>
      <c r="C14374" s="13">
        <f>IFERROR(__xludf.DUMMYFUNCTION("""COMPUTED_VALUE"""),0.9166666666666666)</f>
        <v>0.9166666667</v>
      </c>
      <c r="D14374" s="8">
        <f>IFERROR(__xludf.DUMMYFUNCTION("""COMPUTED_VALUE"""),0.073)</f>
        <v>0.073</v>
      </c>
      <c r="E14374" s="8" t="str">
        <f>IFERROR(__xludf.DUMMYFUNCTION("""COMPUTED_VALUE"""),"Real")</f>
        <v>Real</v>
      </c>
      <c r="G14374" s="8">
        <f t="shared" si="1"/>
        <v>6</v>
      </c>
      <c r="H14374" s="14">
        <f t="shared" si="2"/>
        <v>21</v>
      </c>
      <c r="I14374" s="15">
        <f t="shared" si="3"/>
        <v>22</v>
      </c>
    </row>
    <row r="14375">
      <c r="A14375" s="8" t="str">
        <f>IFERROR(__xludf.DUMMYFUNCTION("IF('(INGESTA)Datos_consumo_datadis'!A14375&lt;&gt;"""",SPLIT('(INGESTA)Datos_consumo_datadis'!A:A,"",""),"""")"),"ES0031408323131005HX0F")</f>
        <v>ES0031408323131005HX0F</v>
      </c>
      <c r="B14375" s="12">
        <f>IFERROR(__xludf.DUMMYFUNCTION("""COMPUTED_VALUE"""),45464.0)</f>
        <v>45464</v>
      </c>
      <c r="C14375" s="13">
        <f>IFERROR(__xludf.DUMMYFUNCTION("""COMPUTED_VALUE"""),0.9583333333333334)</f>
        <v>0.9583333333</v>
      </c>
      <c r="D14375" s="8">
        <f>IFERROR(__xludf.DUMMYFUNCTION("""COMPUTED_VALUE"""),0.016)</f>
        <v>0.016</v>
      </c>
      <c r="E14375" s="8" t="str">
        <f>IFERROR(__xludf.DUMMYFUNCTION("""COMPUTED_VALUE"""),"Real")</f>
        <v>Real</v>
      </c>
      <c r="G14375" s="8">
        <f t="shared" si="1"/>
        <v>6</v>
      </c>
      <c r="H14375" s="14">
        <f t="shared" si="2"/>
        <v>21</v>
      </c>
      <c r="I14375" s="15">
        <f t="shared" si="3"/>
        <v>23</v>
      </c>
    </row>
    <row r="14376">
      <c r="A14376" s="8" t="str">
        <f>IFERROR(__xludf.DUMMYFUNCTION("IF('(INGESTA)Datos_consumo_datadis'!A14376&lt;&gt;"""",SPLIT('(INGESTA)Datos_consumo_datadis'!A:A,"",""),"""")"),"ES0031408323131005HX0F")</f>
        <v>ES0031408323131005HX0F</v>
      </c>
      <c r="B14376" s="12">
        <f>IFERROR(__xludf.DUMMYFUNCTION("""COMPUTED_VALUE"""),45464.0)</f>
        <v>45464</v>
      </c>
      <c r="C14376" s="16">
        <f>IFERROR(__xludf.DUMMYFUNCTION("""COMPUTED_VALUE"""),1.0)</f>
        <v>1</v>
      </c>
      <c r="D14376" s="8">
        <f>IFERROR(__xludf.DUMMYFUNCTION("""COMPUTED_VALUE"""),0.347)</f>
        <v>0.347</v>
      </c>
      <c r="E14376" s="8" t="str">
        <f>IFERROR(__xludf.DUMMYFUNCTION("""COMPUTED_VALUE"""),"Real")</f>
        <v>Real</v>
      </c>
      <c r="G14376" s="8">
        <f t="shared" si="1"/>
        <v>6</v>
      </c>
      <c r="H14376" s="14">
        <f t="shared" si="2"/>
        <v>21</v>
      </c>
      <c r="I14376" s="15">
        <f t="shared" si="3"/>
        <v>0</v>
      </c>
    </row>
    <row r="14377">
      <c r="A14377" s="8" t="str">
        <f>IFERROR(__xludf.DUMMYFUNCTION("IF('(INGESTA)Datos_consumo_datadis'!A14377&lt;&gt;"""",SPLIT('(INGESTA)Datos_consumo_datadis'!A:A,"",""),"""")"),"ES0031408323131005HX0F")</f>
        <v>ES0031408323131005HX0F</v>
      </c>
      <c r="B14377" s="12">
        <f>IFERROR(__xludf.DUMMYFUNCTION("""COMPUTED_VALUE"""),45465.0)</f>
        <v>45465</v>
      </c>
      <c r="C14377" s="13">
        <f>IFERROR(__xludf.DUMMYFUNCTION("""COMPUTED_VALUE"""),0.041666666666666664)</f>
        <v>0.04166666667</v>
      </c>
      <c r="D14377" s="8">
        <f>IFERROR(__xludf.DUMMYFUNCTION("""COMPUTED_VALUE"""),0.082)</f>
        <v>0.082</v>
      </c>
      <c r="E14377" s="8" t="str">
        <f>IFERROR(__xludf.DUMMYFUNCTION("""COMPUTED_VALUE"""),"Real")</f>
        <v>Real</v>
      </c>
      <c r="G14377" s="8">
        <f t="shared" si="1"/>
        <v>6</v>
      </c>
      <c r="H14377" s="14">
        <f t="shared" si="2"/>
        <v>22</v>
      </c>
      <c r="I14377" s="15">
        <f t="shared" si="3"/>
        <v>1</v>
      </c>
    </row>
    <row r="14378">
      <c r="A14378" s="8" t="str">
        <f>IFERROR(__xludf.DUMMYFUNCTION("IF('(INGESTA)Datos_consumo_datadis'!A14378&lt;&gt;"""",SPLIT('(INGESTA)Datos_consumo_datadis'!A:A,"",""),"""")"),"ES0031408323131005HX0F")</f>
        <v>ES0031408323131005HX0F</v>
      </c>
      <c r="B14378" s="12">
        <f>IFERROR(__xludf.DUMMYFUNCTION("""COMPUTED_VALUE"""),45465.0)</f>
        <v>45465</v>
      </c>
      <c r="C14378" s="13">
        <f>IFERROR(__xludf.DUMMYFUNCTION("""COMPUTED_VALUE"""),0.08333333333333333)</f>
        <v>0.08333333333</v>
      </c>
      <c r="D14378" s="8">
        <f>IFERROR(__xludf.DUMMYFUNCTION("""COMPUTED_VALUE"""),0.069)</f>
        <v>0.069</v>
      </c>
      <c r="E14378" s="8" t="str">
        <f>IFERROR(__xludf.DUMMYFUNCTION("""COMPUTED_VALUE"""),"Real")</f>
        <v>Real</v>
      </c>
      <c r="G14378" s="8">
        <f t="shared" si="1"/>
        <v>6</v>
      </c>
      <c r="H14378" s="14">
        <f t="shared" si="2"/>
        <v>22</v>
      </c>
      <c r="I14378" s="15">
        <f t="shared" si="3"/>
        <v>2</v>
      </c>
    </row>
    <row r="14379">
      <c r="A14379" s="8" t="str">
        <f>IFERROR(__xludf.DUMMYFUNCTION("IF('(INGESTA)Datos_consumo_datadis'!A14379&lt;&gt;"""",SPLIT('(INGESTA)Datos_consumo_datadis'!A:A,"",""),"""")"),"ES0031408323131005HX0F")</f>
        <v>ES0031408323131005HX0F</v>
      </c>
      <c r="B14379" s="12">
        <f>IFERROR(__xludf.DUMMYFUNCTION("""COMPUTED_VALUE"""),45465.0)</f>
        <v>45465</v>
      </c>
      <c r="C14379" s="13">
        <f>IFERROR(__xludf.DUMMYFUNCTION("""COMPUTED_VALUE"""),0.125)</f>
        <v>0.125</v>
      </c>
      <c r="D14379" s="8">
        <f>IFERROR(__xludf.DUMMYFUNCTION("""COMPUTED_VALUE"""),0.027)</f>
        <v>0.027</v>
      </c>
      <c r="E14379" s="8" t="str">
        <f>IFERROR(__xludf.DUMMYFUNCTION("""COMPUTED_VALUE"""),"Real")</f>
        <v>Real</v>
      </c>
      <c r="G14379" s="8">
        <f t="shared" si="1"/>
        <v>6</v>
      </c>
      <c r="H14379" s="14">
        <f t="shared" si="2"/>
        <v>22</v>
      </c>
      <c r="I14379" s="15">
        <f t="shared" si="3"/>
        <v>3</v>
      </c>
    </row>
    <row r="14380">
      <c r="A14380" s="8" t="str">
        <f>IFERROR(__xludf.DUMMYFUNCTION("IF('(INGESTA)Datos_consumo_datadis'!A14380&lt;&gt;"""",SPLIT('(INGESTA)Datos_consumo_datadis'!A:A,"",""),"""")"),"ES0031408323131005HX0F")</f>
        <v>ES0031408323131005HX0F</v>
      </c>
      <c r="B14380" s="12">
        <f>IFERROR(__xludf.DUMMYFUNCTION("""COMPUTED_VALUE"""),45465.0)</f>
        <v>45465</v>
      </c>
      <c r="C14380" s="13">
        <f>IFERROR(__xludf.DUMMYFUNCTION("""COMPUTED_VALUE"""),0.16666666666666666)</f>
        <v>0.1666666667</v>
      </c>
      <c r="D14380" s="8">
        <f>IFERROR(__xludf.DUMMYFUNCTION("""COMPUTED_VALUE"""),0.049)</f>
        <v>0.049</v>
      </c>
      <c r="E14380" s="8" t="str">
        <f>IFERROR(__xludf.DUMMYFUNCTION("""COMPUTED_VALUE"""),"Real")</f>
        <v>Real</v>
      </c>
      <c r="G14380" s="8">
        <f t="shared" si="1"/>
        <v>6</v>
      </c>
      <c r="H14380" s="14">
        <f t="shared" si="2"/>
        <v>22</v>
      </c>
      <c r="I14380" s="15">
        <f t="shared" si="3"/>
        <v>4</v>
      </c>
    </row>
    <row r="14381">
      <c r="A14381" s="8" t="str">
        <f>IFERROR(__xludf.DUMMYFUNCTION("IF('(INGESTA)Datos_consumo_datadis'!A14381&lt;&gt;"""",SPLIT('(INGESTA)Datos_consumo_datadis'!A:A,"",""),"""")"),"ES0031408323131005HX0F")</f>
        <v>ES0031408323131005HX0F</v>
      </c>
      <c r="B14381" s="12">
        <f>IFERROR(__xludf.DUMMYFUNCTION("""COMPUTED_VALUE"""),45465.0)</f>
        <v>45465</v>
      </c>
      <c r="C14381" s="13">
        <f>IFERROR(__xludf.DUMMYFUNCTION("""COMPUTED_VALUE"""),0.20833333333333334)</f>
        <v>0.2083333333</v>
      </c>
      <c r="D14381" s="8">
        <f>IFERROR(__xludf.DUMMYFUNCTION("""COMPUTED_VALUE"""),0.094)</f>
        <v>0.094</v>
      </c>
      <c r="E14381" s="8" t="str">
        <f>IFERROR(__xludf.DUMMYFUNCTION("""COMPUTED_VALUE"""),"Real")</f>
        <v>Real</v>
      </c>
      <c r="G14381" s="8">
        <f t="shared" si="1"/>
        <v>6</v>
      </c>
      <c r="H14381" s="14">
        <f t="shared" si="2"/>
        <v>22</v>
      </c>
      <c r="I14381" s="15">
        <f t="shared" si="3"/>
        <v>5</v>
      </c>
    </row>
    <row r="14382">
      <c r="A14382" s="8" t="str">
        <f>IFERROR(__xludf.DUMMYFUNCTION("IF('(INGESTA)Datos_consumo_datadis'!A14382&lt;&gt;"""",SPLIT('(INGESTA)Datos_consumo_datadis'!A:A,"",""),"""")"),"ES0031408323131005HX0F")</f>
        <v>ES0031408323131005HX0F</v>
      </c>
      <c r="B14382" s="12">
        <f>IFERROR(__xludf.DUMMYFUNCTION("""COMPUTED_VALUE"""),45465.0)</f>
        <v>45465</v>
      </c>
      <c r="C14382" s="13">
        <f>IFERROR(__xludf.DUMMYFUNCTION("""COMPUTED_VALUE"""),0.25)</f>
        <v>0.25</v>
      </c>
      <c r="D14382" s="8">
        <f>IFERROR(__xludf.DUMMYFUNCTION("""COMPUTED_VALUE"""),0.059)</f>
        <v>0.059</v>
      </c>
      <c r="E14382" s="8" t="str">
        <f>IFERROR(__xludf.DUMMYFUNCTION("""COMPUTED_VALUE"""),"Real")</f>
        <v>Real</v>
      </c>
      <c r="G14382" s="8">
        <f t="shared" si="1"/>
        <v>6</v>
      </c>
      <c r="H14382" s="14">
        <f t="shared" si="2"/>
        <v>22</v>
      </c>
      <c r="I14382" s="15">
        <f t="shared" si="3"/>
        <v>6</v>
      </c>
    </row>
    <row r="14383">
      <c r="A14383" s="8" t="str">
        <f>IFERROR(__xludf.DUMMYFUNCTION("IF('(INGESTA)Datos_consumo_datadis'!A14383&lt;&gt;"""",SPLIT('(INGESTA)Datos_consumo_datadis'!A:A,"",""),"""")"),"ES0031408323131005HX0F")</f>
        <v>ES0031408323131005HX0F</v>
      </c>
      <c r="B14383" s="12">
        <f>IFERROR(__xludf.DUMMYFUNCTION("""COMPUTED_VALUE"""),45465.0)</f>
        <v>45465</v>
      </c>
      <c r="C14383" s="13">
        <f>IFERROR(__xludf.DUMMYFUNCTION("""COMPUTED_VALUE"""),0.2916666666666667)</f>
        <v>0.2916666667</v>
      </c>
      <c r="D14383" s="8">
        <f>IFERROR(__xludf.DUMMYFUNCTION("""COMPUTED_VALUE"""),0.096)</f>
        <v>0.096</v>
      </c>
      <c r="E14383" s="8" t="str">
        <f>IFERROR(__xludf.DUMMYFUNCTION("""COMPUTED_VALUE"""),"Real")</f>
        <v>Real</v>
      </c>
      <c r="G14383" s="8">
        <f t="shared" si="1"/>
        <v>6</v>
      </c>
      <c r="H14383" s="14">
        <f t="shared" si="2"/>
        <v>22</v>
      </c>
      <c r="I14383" s="15">
        <f t="shared" si="3"/>
        <v>7</v>
      </c>
    </row>
    <row r="14384">
      <c r="A14384" s="8" t="str">
        <f>IFERROR(__xludf.DUMMYFUNCTION("IF('(INGESTA)Datos_consumo_datadis'!A14384&lt;&gt;"""",SPLIT('(INGESTA)Datos_consumo_datadis'!A:A,"",""),"""")"),"ES0031408323131005HX0F")</f>
        <v>ES0031408323131005HX0F</v>
      </c>
      <c r="B14384" s="12">
        <f>IFERROR(__xludf.DUMMYFUNCTION("""COMPUTED_VALUE"""),45465.0)</f>
        <v>45465</v>
      </c>
      <c r="C14384" s="13">
        <f>IFERROR(__xludf.DUMMYFUNCTION("""COMPUTED_VALUE"""),0.3333333333333333)</f>
        <v>0.3333333333</v>
      </c>
      <c r="D14384" s="8">
        <f>IFERROR(__xludf.DUMMYFUNCTION("""COMPUTED_VALUE"""),0.238)</f>
        <v>0.238</v>
      </c>
      <c r="E14384" s="8" t="str">
        <f>IFERROR(__xludf.DUMMYFUNCTION("""COMPUTED_VALUE"""),"Real")</f>
        <v>Real</v>
      </c>
      <c r="G14384" s="8">
        <f t="shared" si="1"/>
        <v>6</v>
      </c>
      <c r="H14384" s="14">
        <f t="shared" si="2"/>
        <v>22</v>
      </c>
      <c r="I14384" s="15">
        <f t="shared" si="3"/>
        <v>8</v>
      </c>
    </row>
    <row r="14385">
      <c r="A14385" s="8" t="str">
        <f>IFERROR(__xludf.DUMMYFUNCTION("IF('(INGESTA)Datos_consumo_datadis'!A14385&lt;&gt;"""",SPLIT('(INGESTA)Datos_consumo_datadis'!A:A,"",""),"""")"),"ES0031408323131005HX0F")</f>
        <v>ES0031408323131005HX0F</v>
      </c>
      <c r="B14385" s="12">
        <f>IFERROR(__xludf.DUMMYFUNCTION("""COMPUTED_VALUE"""),45465.0)</f>
        <v>45465</v>
      </c>
      <c r="C14385" s="13">
        <f>IFERROR(__xludf.DUMMYFUNCTION("""COMPUTED_VALUE"""),0.375)</f>
        <v>0.375</v>
      </c>
      <c r="D14385" s="8">
        <f>IFERROR(__xludf.DUMMYFUNCTION("""COMPUTED_VALUE"""),0.105)</f>
        <v>0.105</v>
      </c>
      <c r="E14385" s="8" t="str">
        <f>IFERROR(__xludf.DUMMYFUNCTION("""COMPUTED_VALUE"""),"Real")</f>
        <v>Real</v>
      </c>
      <c r="G14385" s="8">
        <f t="shared" si="1"/>
        <v>6</v>
      </c>
      <c r="H14385" s="14">
        <f t="shared" si="2"/>
        <v>22</v>
      </c>
      <c r="I14385" s="15">
        <f t="shared" si="3"/>
        <v>9</v>
      </c>
    </row>
    <row r="14386">
      <c r="A14386" s="8" t="str">
        <f>IFERROR(__xludf.DUMMYFUNCTION("IF('(INGESTA)Datos_consumo_datadis'!A14386&lt;&gt;"""",SPLIT('(INGESTA)Datos_consumo_datadis'!A:A,"",""),"""")"),"ES0031408323131005HX0F")</f>
        <v>ES0031408323131005HX0F</v>
      </c>
      <c r="B14386" s="12">
        <f>IFERROR(__xludf.DUMMYFUNCTION("""COMPUTED_VALUE"""),45465.0)</f>
        <v>45465</v>
      </c>
      <c r="C14386" s="13">
        <f>IFERROR(__xludf.DUMMYFUNCTION("""COMPUTED_VALUE"""),0.4166666666666667)</f>
        <v>0.4166666667</v>
      </c>
      <c r="D14386" s="8">
        <f>IFERROR(__xludf.DUMMYFUNCTION("""COMPUTED_VALUE"""),0.048)</f>
        <v>0.048</v>
      </c>
      <c r="E14386" s="8" t="str">
        <f>IFERROR(__xludf.DUMMYFUNCTION("""COMPUTED_VALUE"""),"Real")</f>
        <v>Real</v>
      </c>
      <c r="G14386" s="8">
        <f t="shared" si="1"/>
        <v>6</v>
      </c>
      <c r="H14386" s="14">
        <f t="shared" si="2"/>
        <v>22</v>
      </c>
      <c r="I14386" s="15">
        <f t="shared" si="3"/>
        <v>10</v>
      </c>
    </row>
    <row r="14387">
      <c r="A14387" s="8" t="str">
        <f>IFERROR(__xludf.DUMMYFUNCTION("IF('(INGESTA)Datos_consumo_datadis'!A14387&lt;&gt;"""",SPLIT('(INGESTA)Datos_consumo_datadis'!A:A,"",""),"""")"),"ES0031408323131005HX0F")</f>
        <v>ES0031408323131005HX0F</v>
      </c>
      <c r="B14387" s="12">
        <f>IFERROR(__xludf.DUMMYFUNCTION("""COMPUTED_VALUE"""),45465.0)</f>
        <v>45465</v>
      </c>
      <c r="C14387" s="13">
        <f>IFERROR(__xludf.DUMMYFUNCTION("""COMPUTED_VALUE"""),0.4583333333333333)</f>
        <v>0.4583333333</v>
      </c>
      <c r="D14387" s="8">
        <f>IFERROR(__xludf.DUMMYFUNCTION("""COMPUTED_VALUE"""),0.046)</f>
        <v>0.046</v>
      </c>
      <c r="E14387" s="8" t="str">
        <f>IFERROR(__xludf.DUMMYFUNCTION("""COMPUTED_VALUE"""),"Real")</f>
        <v>Real</v>
      </c>
      <c r="G14387" s="8">
        <f t="shared" si="1"/>
        <v>6</v>
      </c>
      <c r="H14387" s="14">
        <f t="shared" si="2"/>
        <v>22</v>
      </c>
      <c r="I14387" s="15">
        <f t="shared" si="3"/>
        <v>11</v>
      </c>
    </row>
    <row r="14388">
      <c r="A14388" s="8" t="str">
        <f>IFERROR(__xludf.DUMMYFUNCTION("IF('(INGESTA)Datos_consumo_datadis'!A14388&lt;&gt;"""",SPLIT('(INGESTA)Datos_consumo_datadis'!A:A,"",""),"""")"),"ES0031408323131005HX0F")</f>
        <v>ES0031408323131005HX0F</v>
      </c>
      <c r="B14388" s="12">
        <f>IFERROR(__xludf.DUMMYFUNCTION("""COMPUTED_VALUE"""),45465.0)</f>
        <v>45465</v>
      </c>
      <c r="C14388" s="13">
        <f>IFERROR(__xludf.DUMMYFUNCTION("""COMPUTED_VALUE"""),0.5)</f>
        <v>0.5</v>
      </c>
      <c r="D14388" s="8">
        <f>IFERROR(__xludf.DUMMYFUNCTION("""COMPUTED_VALUE"""),0.027)</f>
        <v>0.027</v>
      </c>
      <c r="E14388" s="8" t="str">
        <f>IFERROR(__xludf.DUMMYFUNCTION("""COMPUTED_VALUE"""),"Real")</f>
        <v>Real</v>
      </c>
      <c r="G14388" s="8">
        <f t="shared" si="1"/>
        <v>6</v>
      </c>
      <c r="H14388" s="14">
        <f t="shared" si="2"/>
        <v>22</v>
      </c>
      <c r="I14388" s="15">
        <f t="shared" si="3"/>
        <v>12</v>
      </c>
    </row>
    <row r="14389">
      <c r="A14389" s="8" t="str">
        <f>IFERROR(__xludf.DUMMYFUNCTION("IF('(INGESTA)Datos_consumo_datadis'!A14389&lt;&gt;"""",SPLIT('(INGESTA)Datos_consumo_datadis'!A:A,"",""),"""")"),"ES0031408323131005HX0F")</f>
        <v>ES0031408323131005HX0F</v>
      </c>
      <c r="B14389" s="12">
        <f>IFERROR(__xludf.DUMMYFUNCTION("""COMPUTED_VALUE"""),45465.0)</f>
        <v>45465</v>
      </c>
      <c r="C14389" s="13">
        <f>IFERROR(__xludf.DUMMYFUNCTION("""COMPUTED_VALUE"""),0.5416666666666666)</f>
        <v>0.5416666667</v>
      </c>
      <c r="D14389" s="8">
        <f>IFERROR(__xludf.DUMMYFUNCTION("""COMPUTED_VALUE"""),0.112)</f>
        <v>0.112</v>
      </c>
      <c r="E14389" s="8" t="str">
        <f>IFERROR(__xludf.DUMMYFUNCTION("""COMPUTED_VALUE"""),"Real")</f>
        <v>Real</v>
      </c>
      <c r="G14389" s="8">
        <f t="shared" si="1"/>
        <v>6</v>
      </c>
      <c r="H14389" s="14">
        <f t="shared" si="2"/>
        <v>22</v>
      </c>
      <c r="I14389" s="15">
        <f t="shared" si="3"/>
        <v>13</v>
      </c>
    </row>
    <row r="14390">
      <c r="A14390" s="8" t="str">
        <f>IFERROR(__xludf.DUMMYFUNCTION("IF('(INGESTA)Datos_consumo_datadis'!A14390&lt;&gt;"""",SPLIT('(INGESTA)Datos_consumo_datadis'!A:A,"",""),"""")"),"ES0031408323131005HX0F")</f>
        <v>ES0031408323131005HX0F</v>
      </c>
      <c r="B14390" s="12">
        <f>IFERROR(__xludf.DUMMYFUNCTION("""COMPUTED_VALUE"""),45465.0)</f>
        <v>45465</v>
      </c>
      <c r="C14390" s="13">
        <f>IFERROR(__xludf.DUMMYFUNCTION("""COMPUTED_VALUE"""),0.5833333333333334)</f>
        <v>0.5833333333</v>
      </c>
      <c r="D14390" s="8">
        <f>IFERROR(__xludf.DUMMYFUNCTION("""COMPUTED_VALUE"""),0.072)</f>
        <v>0.072</v>
      </c>
      <c r="E14390" s="8" t="str">
        <f>IFERROR(__xludf.DUMMYFUNCTION("""COMPUTED_VALUE"""),"Real")</f>
        <v>Real</v>
      </c>
      <c r="G14390" s="8">
        <f t="shared" si="1"/>
        <v>6</v>
      </c>
      <c r="H14390" s="14">
        <f t="shared" si="2"/>
        <v>22</v>
      </c>
      <c r="I14390" s="15">
        <f t="shared" si="3"/>
        <v>14</v>
      </c>
    </row>
    <row r="14391">
      <c r="A14391" s="8" t="str">
        <f>IFERROR(__xludf.DUMMYFUNCTION("IF('(INGESTA)Datos_consumo_datadis'!A14391&lt;&gt;"""",SPLIT('(INGESTA)Datos_consumo_datadis'!A:A,"",""),"""")"),"ES0031408323131005HX0F")</f>
        <v>ES0031408323131005HX0F</v>
      </c>
      <c r="B14391" s="12">
        <f>IFERROR(__xludf.DUMMYFUNCTION("""COMPUTED_VALUE"""),45465.0)</f>
        <v>45465</v>
      </c>
      <c r="C14391" s="13">
        <f>IFERROR(__xludf.DUMMYFUNCTION("""COMPUTED_VALUE"""),0.625)</f>
        <v>0.625</v>
      </c>
      <c r="D14391" s="8">
        <f>IFERROR(__xludf.DUMMYFUNCTION("""COMPUTED_VALUE"""),0.299)</f>
        <v>0.299</v>
      </c>
      <c r="E14391" s="8" t="str">
        <f>IFERROR(__xludf.DUMMYFUNCTION("""COMPUTED_VALUE"""),"Real")</f>
        <v>Real</v>
      </c>
      <c r="G14391" s="8">
        <f t="shared" si="1"/>
        <v>6</v>
      </c>
      <c r="H14391" s="14">
        <f t="shared" si="2"/>
        <v>22</v>
      </c>
      <c r="I14391" s="15">
        <f t="shared" si="3"/>
        <v>15</v>
      </c>
    </row>
    <row r="14392">
      <c r="A14392" s="8" t="str">
        <f>IFERROR(__xludf.DUMMYFUNCTION("IF('(INGESTA)Datos_consumo_datadis'!A14392&lt;&gt;"""",SPLIT('(INGESTA)Datos_consumo_datadis'!A:A,"",""),"""")"),"ES0031408323131005HX0F")</f>
        <v>ES0031408323131005HX0F</v>
      </c>
      <c r="B14392" s="12">
        <f>IFERROR(__xludf.DUMMYFUNCTION("""COMPUTED_VALUE"""),45465.0)</f>
        <v>45465</v>
      </c>
      <c r="C14392" s="13">
        <f>IFERROR(__xludf.DUMMYFUNCTION("""COMPUTED_VALUE"""),0.6666666666666666)</f>
        <v>0.6666666667</v>
      </c>
      <c r="D14392" s="8">
        <f>IFERROR(__xludf.DUMMYFUNCTION("""COMPUTED_VALUE"""),0.012)</f>
        <v>0.012</v>
      </c>
      <c r="E14392" s="8" t="str">
        <f>IFERROR(__xludf.DUMMYFUNCTION("""COMPUTED_VALUE"""),"Real")</f>
        <v>Real</v>
      </c>
      <c r="G14392" s="8">
        <f t="shared" si="1"/>
        <v>6</v>
      </c>
      <c r="H14392" s="14">
        <f t="shared" si="2"/>
        <v>22</v>
      </c>
      <c r="I14392" s="15">
        <f t="shared" si="3"/>
        <v>16</v>
      </c>
    </row>
    <row r="14393">
      <c r="A14393" s="8" t="str">
        <f>IFERROR(__xludf.DUMMYFUNCTION("IF('(INGESTA)Datos_consumo_datadis'!A14393&lt;&gt;"""",SPLIT('(INGESTA)Datos_consumo_datadis'!A:A,"",""),"""")"),"ES0031408323131005HX0F")</f>
        <v>ES0031408323131005HX0F</v>
      </c>
      <c r="B14393" s="12">
        <f>IFERROR(__xludf.DUMMYFUNCTION("""COMPUTED_VALUE"""),45465.0)</f>
        <v>45465</v>
      </c>
      <c r="C14393" s="13">
        <f>IFERROR(__xludf.DUMMYFUNCTION("""COMPUTED_VALUE"""),0.7083333333333334)</f>
        <v>0.7083333333</v>
      </c>
      <c r="D14393" s="8">
        <f>IFERROR(__xludf.DUMMYFUNCTION("""COMPUTED_VALUE"""),0.114)</f>
        <v>0.114</v>
      </c>
      <c r="E14393" s="8" t="str">
        <f>IFERROR(__xludf.DUMMYFUNCTION("""COMPUTED_VALUE"""),"Real")</f>
        <v>Real</v>
      </c>
      <c r="G14393" s="8">
        <f t="shared" si="1"/>
        <v>6</v>
      </c>
      <c r="H14393" s="14">
        <f t="shared" si="2"/>
        <v>22</v>
      </c>
      <c r="I14393" s="15">
        <f t="shared" si="3"/>
        <v>17</v>
      </c>
    </row>
    <row r="14394">
      <c r="A14394" s="8" t="str">
        <f>IFERROR(__xludf.DUMMYFUNCTION("IF('(INGESTA)Datos_consumo_datadis'!A14394&lt;&gt;"""",SPLIT('(INGESTA)Datos_consumo_datadis'!A:A,"",""),"""")"),"ES0031408323131005HX0F")</f>
        <v>ES0031408323131005HX0F</v>
      </c>
      <c r="B14394" s="12">
        <f>IFERROR(__xludf.DUMMYFUNCTION("""COMPUTED_VALUE"""),45465.0)</f>
        <v>45465</v>
      </c>
      <c r="C14394" s="13">
        <f>IFERROR(__xludf.DUMMYFUNCTION("""COMPUTED_VALUE"""),0.75)</f>
        <v>0.75</v>
      </c>
      <c r="D14394" s="8">
        <f>IFERROR(__xludf.DUMMYFUNCTION("""COMPUTED_VALUE"""),0.067)</f>
        <v>0.067</v>
      </c>
      <c r="E14394" s="8" t="str">
        <f>IFERROR(__xludf.DUMMYFUNCTION("""COMPUTED_VALUE"""),"Real")</f>
        <v>Real</v>
      </c>
      <c r="G14394" s="8">
        <f t="shared" si="1"/>
        <v>6</v>
      </c>
      <c r="H14394" s="14">
        <f t="shared" si="2"/>
        <v>22</v>
      </c>
      <c r="I14394" s="15">
        <f t="shared" si="3"/>
        <v>18</v>
      </c>
    </row>
    <row r="14395">
      <c r="A14395" s="8" t="str">
        <f>IFERROR(__xludf.DUMMYFUNCTION("IF('(INGESTA)Datos_consumo_datadis'!A14395&lt;&gt;"""",SPLIT('(INGESTA)Datos_consumo_datadis'!A:A,"",""),"""")"),"ES0031408323131005HX0F")</f>
        <v>ES0031408323131005HX0F</v>
      </c>
      <c r="B14395" s="12">
        <f>IFERROR(__xludf.DUMMYFUNCTION("""COMPUTED_VALUE"""),45465.0)</f>
        <v>45465</v>
      </c>
      <c r="C14395" s="13">
        <f>IFERROR(__xludf.DUMMYFUNCTION("""COMPUTED_VALUE"""),0.7916666666666666)</f>
        <v>0.7916666667</v>
      </c>
      <c r="D14395" s="8">
        <f>IFERROR(__xludf.DUMMYFUNCTION("""COMPUTED_VALUE"""),0.096)</f>
        <v>0.096</v>
      </c>
      <c r="E14395" s="8" t="str">
        <f>IFERROR(__xludf.DUMMYFUNCTION("""COMPUTED_VALUE"""),"Real")</f>
        <v>Real</v>
      </c>
      <c r="G14395" s="8">
        <f t="shared" si="1"/>
        <v>6</v>
      </c>
      <c r="H14395" s="14">
        <f t="shared" si="2"/>
        <v>22</v>
      </c>
      <c r="I14395" s="15">
        <f t="shared" si="3"/>
        <v>19</v>
      </c>
    </row>
    <row r="14396">
      <c r="A14396" s="8" t="str">
        <f>IFERROR(__xludf.DUMMYFUNCTION("IF('(INGESTA)Datos_consumo_datadis'!A14396&lt;&gt;"""",SPLIT('(INGESTA)Datos_consumo_datadis'!A:A,"",""),"""")"),"ES0031408323131005HX0F")</f>
        <v>ES0031408323131005HX0F</v>
      </c>
      <c r="B14396" s="12">
        <f>IFERROR(__xludf.DUMMYFUNCTION("""COMPUTED_VALUE"""),45465.0)</f>
        <v>45465</v>
      </c>
      <c r="C14396" s="13">
        <f>IFERROR(__xludf.DUMMYFUNCTION("""COMPUTED_VALUE"""),0.8333333333333334)</f>
        <v>0.8333333333</v>
      </c>
      <c r="D14396" s="8">
        <f>IFERROR(__xludf.DUMMYFUNCTION("""COMPUTED_VALUE"""),0.048)</f>
        <v>0.048</v>
      </c>
      <c r="E14396" s="8" t="str">
        <f>IFERROR(__xludf.DUMMYFUNCTION("""COMPUTED_VALUE"""),"Real")</f>
        <v>Real</v>
      </c>
      <c r="G14396" s="8">
        <f t="shared" si="1"/>
        <v>6</v>
      </c>
      <c r="H14396" s="14">
        <f t="shared" si="2"/>
        <v>22</v>
      </c>
      <c r="I14396" s="15">
        <f t="shared" si="3"/>
        <v>20</v>
      </c>
    </row>
    <row r="14397">
      <c r="A14397" s="8" t="str">
        <f>IFERROR(__xludf.DUMMYFUNCTION("IF('(INGESTA)Datos_consumo_datadis'!A14397&lt;&gt;"""",SPLIT('(INGESTA)Datos_consumo_datadis'!A:A,"",""),"""")"),"ES0031408323131005HX0F")</f>
        <v>ES0031408323131005HX0F</v>
      </c>
      <c r="B14397" s="12">
        <f>IFERROR(__xludf.DUMMYFUNCTION("""COMPUTED_VALUE"""),45465.0)</f>
        <v>45465</v>
      </c>
      <c r="C14397" s="13">
        <f>IFERROR(__xludf.DUMMYFUNCTION("""COMPUTED_VALUE"""),0.875)</f>
        <v>0.875</v>
      </c>
      <c r="D14397" s="8">
        <f>IFERROR(__xludf.DUMMYFUNCTION("""COMPUTED_VALUE"""),0.047)</f>
        <v>0.047</v>
      </c>
      <c r="E14397" s="8" t="str">
        <f>IFERROR(__xludf.DUMMYFUNCTION("""COMPUTED_VALUE"""),"Real")</f>
        <v>Real</v>
      </c>
      <c r="G14397" s="8">
        <f t="shared" si="1"/>
        <v>6</v>
      </c>
      <c r="H14397" s="14">
        <f t="shared" si="2"/>
        <v>22</v>
      </c>
      <c r="I14397" s="15">
        <f t="shared" si="3"/>
        <v>21</v>
      </c>
    </row>
    <row r="14398">
      <c r="A14398" s="8" t="str">
        <f>IFERROR(__xludf.DUMMYFUNCTION("IF('(INGESTA)Datos_consumo_datadis'!A14398&lt;&gt;"""",SPLIT('(INGESTA)Datos_consumo_datadis'!A:A,"",""),"""")"),"ES0031408323131005HX0F")</f>
        <v>ES0031408323131005HX0F</v>
      </c>
      <c r="B14398" s="12">
        <f>IFERROR(__xludf.DUMMYFUNCTION("""COMPUTED_VALUE"""),45465.0)</f>
        <v>45465</v>
      </c>
      <c r="C14398" s="13">
        <f>IFERROR(__xludf.DUMMYFUNCTION("""COMPUTED_VALUE"""),0.9166666666666666)</f>
        <v>0.9166666667</v>
      </c>
      <c r="D14398" s="8">
        <f>IFERROR(__xludf.DUMMYFUNCTION("""COMPUTED_VALUE"""),0.306)</f>
        <v>0.306</v>
      </c>
      <c r="E14398" s="8" t="str">
        <f>IFERROR(__xludf.DUMMYFUNCTION("""COMPUTED_VALUE"""),"Real")</f>
        <v>Real</v>
      </c>
      <c r="G14398" s="8">
        <f t="shared" si="1"/>
        <v>6</v>
      </c>
      <c r="H14398" s="14">
        <f t="shared" si="2"/>
        <v>22</v>
      </c>
      <c r="I14398" s="15">
        <f t="shared" si="3"/>
        <v>22</v>
      </c>
    </row>
    <row r="14399">
      <c r="A14399" s="8" t="str">
        <f>IFERROR(__xludf.DUMMYFUNCTION("IF('(INGESTA)Datos_consumo_datadis'!A14399&lt;&gt;"""",SPLIT('(INGESTA)Datos_consumo_datadis'!A:A,"",""),"""")"),"ES0031408323131005HX0F")</f>
        <v>ES0031408323131005HX0F</v>
      </c>
      <c r="B14399" s="12">
        <f>IFERROR(__xludf.DUMMYFUNCTION("""COMPUTED_VALUE"""),45465.0)</f>
        <v>45465</v>
      </c>
      <c r="C14399" s="13">
        <f>IFERROR(__xludf.DUMMYFUNCTION("""COMPUTED_VALUE"""),0.9583333333333334)</f>
        <v>0.9583333333</v>
      </c>
      <c r="D14399" s="8">
        <f>IFERROR(__xludf.DUMMYFUNCTION("""COMPUTED_VALUE"""),0.114)</f>
        <v>0.114</v>
      </c>
      <c r="E14399" s="8" t="str">
        <f>IFERROR(__xludf.DUMMYFUNCTION("""COMPUTED_VALUE"""),"Real")</f>
        <v>Real</v>
      </c>
      <c r="G14399" s="8">
        <f t="shared" si="1"/>
        <v>6</v>
      </c>
      <c r="H14399" s="14">
        <f t="shared" si="2"/>
        <v>22</v>
      </c>
      <c r="I14399" s="15">
        <f t="shared" si="3"/>
        <v>23</v>
      </c>
    </row>
    <row r="14400">
      <c r="A14400" s="8" t="str">
        <f>IFERROR(__xludf.DUMMYFUNCTION("IF('(INGESTA)Datos_consumo_datadis'!A14400&lt;&gt;"""",SPLIT('(INGESTA)Datos_consumo_datadis'!A:A,"",""),"""")"),"ES0031408323131005HX0F")</f>
        <v>ES0031408323131005HX0F</v>
      </c>
      <c r="B14400" s="12">
        <f>IFERROR(__xludf.DUMMYFUNCTION("""COMPUTED_VALUE"""),45465.0)</f>
        <v>45465</v>
      </c>
      <c r="C14400" s="16">
        <f>IFERROR(__xludf.DUMMYFUNCTION("""COMPUTED_VALUE"""),1.0)</f>
        <v>1</v>
      </c>
      <c r="D14400" s="8">
        <f>IFERROR(__xludf.DUMMYFUNCTION("""COMPUTED_VALUE"""),0.059)</f>
        <v>0.059</v>
      </c>
      <c r="E14400" s="8" t="str">
        <f>IFERROR(__xludf.DUMMYFUNCTION("""COMPUTED_VALUE"""),"Real")</f>
        <v>Real</v>
      </c>
      <c r="G14400" s="8">
        <f t="shared" si="1"/>
        <v>6</v>
      </c>
      <c r="H14400" s="14">
        <f t="shared" si="2"/>
        <v>22</v>
      </c>
      <c r="I14400" s="15">
        <f t="shared" si="3"/>
        <v>0</v>
      </c>
    </row>
    <row r="14401">
      <c r="A14401" s="8" t="str">
        <f>IFERROR(__xludf.DUMMYFUNCTION("IF('(INGESTA)Datos_consumo_datadis'!A14401&lt;&gt;"""",SPLIT('(INGESTA)Datos_consumo_datadis'!A:A,"",""),"""")"),"ES0031408323131005HX0F")</f>
        <v>ES0031408323131005HX0F</v>
      </c>
      <c r="B14401" s="12">
        <f>IFERROR(__xludf.DUMMYFUNCTION("""COMPUTED_VALUE"""),45466.0)</f>
        <v>45466</v>
      </c>
      <c r="C14401" s="13">
        <f>IFERROR(__xludf.DUMMYFUNCTION("""COMPUTED_VALUE"""),0.041666666666666664)</f>
        <v>0.04166666667</v>
      </c>
      <c r="D14401" s="8">
        <f>IFERROR(__xludf.DUMMYFUNCTION("""COMPUTED_VALUE"""),0.049)</f>
        <v>0.049</v>
      </c>
      <c r="E14401" s="8" t="str">
        <f>IFERROR(__xludf.DUMMYFUNCTION("""COMPUTED_VALUE"""),"Real")</f>
        <v>Real</v>
      </c>
      <c r="G14401" s="8">
        <f t="shared" si="1"/>
        <v>6</v>
      </c>
      <c r="H14401" s="14">
        <f t="shared" si="2"/>
        <v>23</v>
      </c>
      <c r="I14401" s="15">
        <f t="shared" si="3"/>
        <v>1</v>
      </c>
    </row>
    <row r="14402">
      <c r="A14402" s="8" t="str">
        <f>IFERROR(__xludf.DUMMYFUNCTION("IF('(INGESTA)Datos_consumo_datadis'!A14402&lt;&gt;"""",SPLIT('(INGESTA)Datos_consumo_datadis'!A:A,"",""),"""")"),"ES0031408323131005HX0F")</f>
        <v>ES0031408323131005HX0F</v>
      </c>
      <c r="B14402" s="12">
        <f>IFERROR(__xludf.DUMMYFUNCTION("""COMPUTED_VALUE"""),45466.0)</f>
        <v>45466</v>
      </c>
      <c r="C14402" s="13">
        <f>IFERROR(__xludf.DUMMYFUNCTION("""COMPUTED_VALUE"""),0.08333333333333333)</f>
        <v>0.08333333333</v>
      </c>
      <c r="D14402" s="8">
        <f>IFERROR(__xludf.DUMMYFUNCTION("""COMPUTED_VALUE"""),0.011)</f>
        <v>0.011</v>
      </c>
      <c r="E14402" s="8" t="str">
        <f>IFERROR(__xludf.DUMMYFUNCTION("""COMPUTED_VALUE"""),"Real")</f>
        <v>Real</v>
      </c>
      <c r="G14402" s="8">
        <f t="shared" si="1"/>
        <v>6</v>
      </c>
      <c r="H14402" s="14">
        <f t="shared" si="2"/>
        <v>23</v>
      </c>
      <c r="I14402" s="15">
        <f t="shared" si="3"/>
        <v>2</v>
      </c>
    </row>
    <row r="14403">
      <c r="A14403" s="8" t="str">
        <f>IFERROR(__xludf.DUMMYFUNCTION("IF('(INGESTA)Datos_consumo_datadis'!A14403&lt;&gt;"""",SPLIT('(INGESTA)Datos_consumo_datadis'!A:A,"",""),"""")"),"ES0031408323131005HX0F")</f>
        <v>ES0031408323131005HX0F</v>
      </c>
      <c r="B14403" s="12">
        <f>IFERROR(__xludf.DUMMYFUNCTION("""COMPUTED_VALUE"""),45466.0)</f>
        <v>45466</v>
      </c>
      <c r="C14403" s="13">
        <f>IFERROR(__xludf.DUMMYFUNCTION("""COMPUTED_VALUE"""),0.125)</f>
        <v>0.125</v>
      </c>
      <c r="D14403" s="8">
        <f>IFERROR(__xludf.DUMMYFUNCTION("""COMPUTED_VALUE"""),0.112)</f>
        <v>0.112</v>
      </c>
      <c r="E14403" s="8" t="str">
        <f>IFERROR(__xludf.DUMMYFUNCTION("""COMPUTED_VALUE"""),"Real")</f>
        <v>Real</v>
      </c>
      <c r="G14403" s="8">
        <f t="shared" si="1"/>
        <v>6</v>
      </c>
      <c r="H14403" s="14">
        <f t="shared" si="2"/>
        <v>23</v>
      </c>
      <c r="I14403" s="15">
        <f t="shared" si="3"/>
        <v>3</v>
      </c>
    </row>
    <row r="14404">
      <c r="A14404" s="8" t="str">
        <f>IFERROR(__xludf.DUMMYFUNCTION("IF('(INGESTA)Datos_consumo_datadis'!A14404&lt;&gt;"""",SPLIT('(INGESTA)Datos_consumo_datadis'!A:A,"",""),"""")"),"ES0031408323131005HX0F")</f>
        <v>ES0031408323131005HX0F</v>
      </c>
      <c r="B14404" s="12">
        <f>IFERROR(__xludf.DUMMYFUNCTION("""COMPUTED_VALUE"""),45466.0)</f>
        <v>45466</v>
      </c>
      <c r="C14404" s="13">
        <f>IFERROR(__xludf.DUMMYFUNCTION("""COMPUTED_VALUE"""),0.16666666666666666)</f>
        <v>0.1666666667</v>
      </c>
      <c r="D14404" s="8">
        <f>IFERROR(__xludf.DUMMYFUNCTION("""COMPUTED_VALUE"""),0.073)</f>
        <v>0.073</v>
      </c>
      <c r="E14404" s="8" t="str">
        <f>IFERROR(__xludf.DUMMYFUNCTION("""COMPUTED_VALUE"""),"Real")</f>
        <v>Real</v>
      </c>
      <c r="G14404" s="8">
        <f t="shared" si="1"/>
        <v>6</v>
      </c>
      <c r="H14404" s="14">
        <f t="shared" si="2"/>
        <v>23</v>
      </c>
      <c r="I14404" s="15">
        <f t="shared" si="3"/>
        <v>4</v>
      </c>
    </row>
    <row r="14405">
      <c r="A14405" s="8" t="str">
        <f>IFERROR(__xludf.DUMMYFUNCTION("IF('(INGESTA)Datos_consumo_datadis'!A14405&lt;&gt;"""",SPLIT('(INGESTA)Datos_consumo_datadis'!A:A,"",""),"""")"),"ES0031408323131005HX0F")</f>
        <v>ES0031408323131005HX0F</v>
      </c>
      <c r="B14405" s="12">
        <f>IFERROR(__xludf.DUMMYFUNCTION("""COMPUTED_VALUE"""),45466.0)</f>
        <v>45466</v>
      </c>
      <c r="C14405" s="13">
        <f>IFERROR(__xludf.DUMMYFUNCTION("""COMPUTED_VALUE"""),0.20833333333333334)</f>
        <v>0.2083333333</v>
      </c>
      <c r="D14405" s="8">
        <f>IFERROR(__xludf.DUMMYFUNCTION("""COMPUTED_VALUE"""),0.345)</f>
        <v>0.345</v>
      </c>
      <c r="E14405" s="8" t="str">
        <f>IFERROR(__xludf.DUMMYFUNCTION("""COMPUTED_VALUE"""),"Real")</f>
        <v>Real</v>
      </c>
      <c r="G14405" s="8">
        <f t="shared" si="1"/>
        <v>6</v>
      </c>
      <c r="H14405" s="14">
        <f t="shared" si="2"/>
        <v>23</v>
      </c>
      <c r="I14405" s="15">
        <f t="shared" si="3"/>
        <v>5</v>
      </c>
    </row>
    <row r="14406">
      <c r="A14406" s="8" t="str">
        <f>IFERROR(__xludf.DUMMYFUNCTION("IF('(INGESTA)Datos_consumo_datadis'!A14406&lt;&gt;"""",SPLIT('(INGESTA)Datos_consumo_datadis'!A:A,"",""),"""")"),"ES0031408323131005HX0F")</f>
        <v>ES0031408323131005HX0F</v>
      </c>
      <c r="B14406" s="12">
        <f>IFERROR(__xludf.DUMMYFUNCTION("""COMPUTED_VALUE"""),45466.0)</f>
        <v>45466</v>
      </c>
      <c r="C14406" s="13">
        <f>IFERROR(__xludf.DUMMYFUNCTION("""COMPUTED_VALUE"""),0.25)</f>
        <v>0.25</v>
      </c>
      <c r="D14406" s="8">
        <f>IFERROR(__xludf.DUMMYFUNCTION("""COMPUTED_VALUE"""),0.011)</f>
        <v>0.011</v>
      </c>
      <c r="E14406" s="8" t="str">
        <f>IFERROR(__xludf.DUMMYFUNCTION("""COMPUTED_VALUE"""),"Real")</f>
        <v>Real</v>
      </c>
      <c r="G14406" s="8">
        <f t="shared" si="1"/>
        <v>6</v>
      </c>
      <c r="H14406" s="14">
        <f t="shared" si="2"/>
        <v>23</v>
      </c>
      <c r="I14406" s="15">
        <f t="shared" si="3"/>
        <v>6</v>
      </c>
    </row>
    <row r="14407">
      <c r="A14407" s="8" t="str">
        <f>IFERROR(__xludf.DUMMYFUNCTION("IF('(INGESTA)Datos_consumo_datadis'!A14407&lt;&gt;"""",SPLIT('(INGESTA)Datos_consumo_datadis'!A:A,"",""),"""")"),"ES0031408323131005HX0F")</f>
        <v>ES0031408323131005HX0F</v>
      </c>
      <c r="B14407" s="12">
        <f>IFERROR(__xludf.DUMMYFUNCTION("""COMPUTED_VALUE"""),45466.0)</f>
        <v>45466</v>
      </c>
      <c r="C14407" s="13">
        <f>IFERROR(__xludf.DUMMYFUNCTION("""COMPUTED_VALUE"""),0.2916666666666667)</f>
        <v>0.2916666667</v>
      </c>
      <c r="D14407" s="8">
        <f>IFERROR(__xludf.DUMMYFUNCTION("""COMPUTED_VALUE"""),0.097)</f>
        <v>0.097</v>
      </c>
      <c r="E14407" s="8" t="str">
        <f>IFERROR(__xludf.DUMMYFUNCTION("""COMPUTED_VALUE"""),"Real")</f>
        <v>Real</v>
      </c>
      <c r="G14407" s="8">
        <f t="shared" si="1"/>
        <v>6</v>
      </c>
      <c r="H14407" s="14">
        <f t="shared" si="2"/>
        <v>23</v>
      </c>
      <c r="I14407" s="15">
        <f t="shared" si="3"/>
        <v>7</v>
      </c>
    </row>
    <row r="14408">
      <c r="A14408" s="8" t="str">
        <f>IFERROR(__xludf.DUMMYFUNCTION("IF('(INGESTA)Datos_consumo_datadis'!A14408&lt;&gt;"""",SPLIT('(INGESTA)Datos_consumo_datadis'!A:A,"",""),"""")"),"ES0031408323131005HX0F")</f>
        <v>ES0031408323131005HX0F</v>
      </c>
      <c r="B14408" s="12">
        <f>IFERROR(__xludf.DUMMYFUNCTION("""COMPUTED_VALUE"""),45466.0)</f>
        <v>45466</v>
      </c>
      <c r="C14408" s="13">
        <f>IFERROR(__xludf.DUMMYFUNCTION("""COMPUTED_VALUE"""),0.3333333333333333)</f>
        <v>0.3333333333</v>
      </c>
      <c r="D14408" s="8">
        <f>IFERROR(__xludf.DUMMYFUNCTION("""COMPUTED_VALUE"""),0.076)</f>
        <v>0.076</v>
      </c>
      <c r="E14408" s="8" t="str">
        <f>IFERROR(__xludf.DUMMYFUNCTION("""COMPUTED_VALUE"""),"Real")</f>
        <v>Real</v>
      </c>
      <c r="G14408" s="8">
        <f t="shared" si="1"/>
        <v>6</v>
      </c>
      <c r="H14408" s="14">
        <f t="shared" si="2"/>
        <v>23</v>
      </c>
      <c r="I14408" s="15">
        <f t="shared" si="3"/>
        <v>8</v>
      </c>
    </row>
    <row r="14409">
      <c r="A14409" s="8" t="str">
        <f>IFERROR(__xludf.DUMMYFUNCTION("IF('(INGESTA)Datos_consumo_datadis'!A14409&lt;&gt;"""",SPLIT('(INGESTA)Datos_consumo_datadis'!A:A,"",""),"""")"),"ES0031408323131005HX0F")</f>
        <v>ES0031408323131005HX0F</v>
      </c>
      <c r="B14409" s="12">
        <f>IFERROR(__xludf.DUMMYFUNCTION("""COMPUTED_VALUE"""),45466.0)</f>
        <v>45466</v>
      </c>
      <c r="C14409" s="13">
        <f>IFERROR(__xludf.DUMMYFUNCTION("""COMPUTED_VALUE"""),0.375)</f>
        <v>0.375</v>
      </c>
      <c r="D14409" s="8">
        <f>IFERROR(__xludf.DUMMYFUNCTION("""COMPUTED_VALUE"""),0.059)</f>
        <v>0.059</v>
      </c>
      <c r="E14409" s="8" t="str">
        <f>IFERROR(__xludf.DUMMYFUNCTION("""COMPUTED_VALUE"""),"Real")</f>
        <v>Real</v>
      </c>
      <c r="G14409" s="8">
        <f t="shared" si="1"/>
        <v>6</v>
      </c>
      <c r="H14409" s="14">
        <f t="shared" si="2"/>
        <v>23</v>
      </c>
      <c r="I14409" s="15">
        <f t="shared" si="3"/>
        <v>9</v>
      </c>
    </row>
    <row r="14410">
      <c r="A14410" s="8" t="str">
        <f>IFERROR(__xludf.DUMMYFUNCTION("IF('(INGESTA)Datos_consumo_datadis'!A14410&lt;&gt;"""",SPLIT('(INGESTA)Datos_consumo_datadis'!A:A,"",""),"""")"),"ES0031408323131005HX0F")</f>
        <v>ES0031408323131005HX0F</v>
      </c>
      <c r="B14410" s="12">
        <f>IFERROR(__xludf.DUMMYFUNCTION("""COMPUTED_VALUE"""),45466.0)</f>
        <v>45466</v>
      </c>
      <c r="C14410" s="13">
        <f>IFERROR(__xludf.DUMMYFUNCTION("""COMPUTED_VALUE"""),0.4166666666666667)</f>
        <v>0.4166666667</v>
      </c>
      <c r="D14410" s="8">
        <f>IFERROR(__xludf.DUMMYFUNCTION("""COMPUTED_VALUE"""),0.011)</f>
        <v>0.011</v>
      </c>
      <c r="E14410" s="8" t="str">
        <f>IFERROR(__xludf.DUMMYFUNCTION("""COMPUTED_VALUE"""),"Real")</f>
        <v>Real</v>
      </c>
      <c r="G14410" s="8">
        <f t="shared" si="1"/>
        <v>6</v>
      </c>
      <c r="H14410" s="14">
        <f t="shared" si="2"/>
        <v>23</v>
      </c>
      <c r="I14410" s="15">
        <f t="shared" si="3"/>
        <v>10</v>
      </c>
    </row>
    <row r="14411">
      <c r="A14411" s="8" t="str">
        <f>IFERROR(__xludf.DUMMYFUNCTION("IF('(INGESTA)Datos_consumo_datadis'!A14411&lt;&gt;"""",SPLIT('(INGESTA)Datos_consumo_datadis'!A:A,"",""),"""")"),"ES0031408323131005HX0F")</f>
        <v>ES0031408323131005HX0F</v>
      </c>
      <c r="B14411" s="12">
        <f>IFERROR(__xludf.DUMMYFUNCTION("""COMPUTED_VALUE"""),45466.0)</f>
        <v>45466</v>
      </c>
      <c r="C14411" s="13">
        <f>IFERROR(__xludf.DUMMYFUNCTION("""COMPUTED_VALUE"""),0.4583333333333333)</f>
        <v>0.4583333333</v>
      </c>
      <c r="D14411" s="8">
        <f>IFERROR(__xludf.DUMMYFUNCTION("""COMPUTED_VALUE"""),0.083)</f>
        <v>0.083</v>
      </c>
      <c r="E14411" s="8" t="str">
        <f>IFERROR(__xludf.DUMMYFUNCTION("""COMPUTED_VALUE"""),"Real")</f>
        <v>Real</v>
      </c>
      <c r="G14411" s="8">
        <f t="shared" si="1"/>
        <v>6</v>
      </c>
      <c r="H14411" s="14">
        <f t="shared" si="2"/>
        <v>23</v>
      </c>
      <c r="I14411" s="15">
        <f t="shared" si="3"/>
        <v>11</v>
      </c>
    </row>
    <row r="14412">
      <c r="A14412" s="8" t="str">
        <f>IFERROR(__xludf.DUMMYFUNCTION("IF('(INGESTA)Datos_consumo_datadis'!A14412&lt;&gt;"""",SPLIT('(INGESTA)Datos_consumo_datadis'!A:A,"",""),"""")"),"ES0031408323131005HX0F")</f>
        <v>ES0031408323131005HX0F</v>
      </c>
      <c r="B14412" s="12">
        <f>IFERROR(__xludf.DUMMYFUNCTION("""COMPUTED_VALUE"""),45466.0)</f>
        <v>45466</v>
      </c>
      <c r="C14412" s="13">
        <f>IFERROR(__xludf.DUMMYFUNCTION("""COMPUTED_VALUE"""),0.5)</f>
        <v>0.5</v>
      </c>
      <c r="D14412" s="8">
        <f>IFERROR(__xludf.DUMMYFUNCTION("""COMPUTED_VALUE"""),0.077)</f>
        <v>0.077</v>
      </c>
      <c r="E14412" s="8" t="str">
        <f>IFERROR(__xludf.DUMMYFUNCTION("""COMPUTED_VALUE"""),"Real")</f>
        <v>Real</v>
      </c>
      <c r="G14412" s="8">
        <f t="shared" si="1"/>
        <v>6</v>
      </c>
      <c r="H14412" s="14">
        <f t="shared" si="2"/>
        <v>23</v>
      </c>
      <c r="I14412" s="15">
        <f t="shared" si="3"/>
        <v>12</v>
      </c>
    </row>
    <row r="14413">
      <c r="A14413" s="8" t="str">
        <f>IFERROR(__xludf.DUMMYFUNCTION("IF('(INGESTA)Datos_consumo_datadis'!A14413&lt;&gt;"""",SPLIT('(INGESTA)Datos_consumo_datadis'!A:A,"",""),"""")"),"ES0031408323131005HX0F")</f>
        <v>ES0031408323131005HX0F</v>
      </c>
      <c r="B14413" s="12">
        <f>IFERROR(__xludf.DUMMYFUNCTION("""COMPUTED_VALUE"""),45466.0)</f>
        <v>45466</v>
      </c>
      <c r="C14413" s="13">
        <f>IFERROR(__xludf.DUMMYFUNCTION("""COMPUTED_VALUE"""),0.5416666666666666)</f>
        <v>0.5416666667</v>
      </c>
      <c r="D14413" s="8">
        <f>IFERROR(__xludf.DUMMYFUNCTION("""COMPUTED_VALUE"""),0.376)</f>
        <v>0.376</v>
      </c>
      <c r="E14413" s="8" t="str">
        <f>IFERROR(__xludf.DUMMYFUNCTION("""COMPUTED_VALUE"""),"Real")</f>
        <v>Real</v>
      </c>
      <c r="G14413" s="8">
        <f t="shared" si="1"/>
        <v>6</v>
      </c>
      <c r="H14413" s="14">
        <f t="shared" si="2"/>
        <v>23</v>
      </c>
      <c r="I14413" s="15">
        <f t="shared" si="3"/>
        <v>13</v>
      </c>
    </row>
    <row r="14414">
      <c r="A14414" s="8" t="str">
        <f>IFERROR(__xludf.DUMMYFUNCTION("IF('(INGESTA)Datos_consumo_datadis'!A14414&lt;&gt;"""",SPLIT('(INGESTA)Datos_consumo_datadis'!A:A,"",""),"""")"),"ES0031408323131005HX0F")</f>
        <v>ES0031408323131005HX0F</v>
      </c>
      <c r="B14414" s="12">
        <f>IFERROR(__xludf.DUMMYFUNCTION("""COMPUTED_VALUE"""),45466.0)</f>
        <v>45466</v>
      </c>
      <c r="C14414" s="13">
        <f>IFERROR(__xludf.DUMMYFUNCTION("""COMPUTED_VALUE"""),0.5833333333333334)</f>
        <v>0.5833333333</v>
      </c>
      <c r="D14414" s="8">
        <f>IFERROR(__xludf.DUMMYFUNCTION("""COMPUTED_VALUE"""),0.011)</f>
        <v>0.011</v>
      </c>
      <c r="E14414" s="8" t="str">
        <f>IFERROR(__xludf.DUMMYFUNCTION("""COMPUTED_VALUE"""),"Real")</f>
        <v>Real</v>
      </c>
      <c r="G14414" s="8">
        <f t="shared" si="1"/>
        <v>6</v>
      </c>
      <c r="H14414" s="14">
        <f t="shared" si="2"/>
        <v>23</v>
      </c>
      <c r="I14414" s="15">
        <f t="shared" si="3"/>
        <v>14</v>
      </c>
    </row>
    <row r="14415">
      <c r="A14415" s="8" t="str">
        <f>IFERROR(__xludf.DUMMYFUNCTION("IF('(INGESTA)Datos_consumo_datadis'!A14415&lt;&gt;"""",SPLIT('(INGESTA)Datos_consumo_datadis'!A:A,"",""),"""")"),"ES0031408323131005HX0F")</f>
        <v>ES0031408323131005HX0F</v>
      </c>
      <c r="B14415" s="12">
        <f>IFERROR(__xludf.DUMMYFUNCTION("""COMPUTED_VALUE"""),45466.0)</f>
        <v>45466</v>
      </c>
      <c r="C14415" s="13">
        <f>IFERROR(__xludf.DUMMYFUNCTION("""COMPUTED_VALUE"""),0.625)</f>
        <v>0.625</v>
      </c>
      <c r="D14415" s="8">
        <f>IFERROR(__xludf.DUMMYFUNCTION("""COMPUTED_VALUE"""),0.071)</f>
        <v>0.071</v>
      </c>
      <c r="E14415" s="8" t="str">
        <f>IFERROR(__xludf.DUMMYFUNCTION("""COMPUTED_VALUE"""),"Real")</f>
        <v>Real</v>
      </c>
      <c r="G14415" s="8">
        <f t="shared" si="1"/>
        <v>6</v>
      </c>
      <c r="H14415" s="14">
        <f t="shared" si="2"/>
        <v>23</v>
      </c>
      <c r="I14415" s="15">
        <f t="shared" si="3"/>
        <v>15</v>
      </c>
    </row>
    <row r="14416">
      <c r="A14416" s="8" t="str">
        <f>IFERROR(__xludf.DUMMYFUNCTION("IF('(INGESTA)Datos_consumo_datadis'!A14416&lt;&gt;"""",SPLIT('(INGESTA)Datos_consumo_datadis'!A:A,"",""),"""")"),"ES0031408323131005HX0F")</f>
        <v>ES0031408323131005HX0F</v>
      </c>
      <c r="B14416" s="12">
        <f>IFERROR(__xludf.DUMMYFUNCTION("""COMPUTED_VALUE"""),45466.0)</f>
        <v>45466</v>
      </c>
      <c r="C14416" s="13">
        <f>IFERROR(__xludf.DUMMYFUNCTION("""COMPUTED_VALUE"""),0.6666666666666666)</f>
        <v>0.6666666667</v>
      </c>
      <c r="D14416" s="8">
        <f>IFERROR(__xludf.DUMMYFUNCTION("""COMPUTED_VALUE"""),0.078)</f>
        <v>0.078</v>
      </c>
      <c r="E14416" s="8" t="str">
        <f>IFERROR(__xludf.DUMMYFUNCTION("""COMPUTED_VALUE"""),"Real")</f>
        <v>Real</v>
      </c>
      <c r="G14416" s="8">
        <f t="shared" si="1"/>
        <v>6</v>
      </c>
      <c r="H14416" s="14">
        <f t="shared" si="2"/>
        <v>23</v>
      </c>
      <c r="I14416" s="15">
        <f t="shared" si="3"/>
        <v>16</v>
      </c>
    </row>
    <row r="14417">
      <c r="A14417" s="8" t="str">
        <f>IFERROR(__xludf.DUMMYFUNCTION("IF('(INGESTA)Datos_consumo_datadis'!A14417&lt;&gt;"""",SPLIT('(INGESTA)Datos_consumo_datadis'!A:A,"",""),"""")"),"ES0031408323131005HX0F")</f>
        <v>ES0031408323131005HX0F</v>
      </c>
      <c r="B14417" s="12">
        <f>IFERROR(__xludf.DUMMYFUNCTION("""COMPUTED_VALUE"""),45466.0)</f>
        <v>45466</v>
      </c>
      <c r="C14417" s="13">
        <f>IFERROR(__xludf.DUMMYFUNCTION("""COMPUTED_VALUE"""),0.7083333333333334)</f>
        <v>0.7083333333</v>
      </c>
      <c r="D14417" s="8">
        <f>IFERROR(__xludf.DUMMYFUNCTION("""COMPUTED_VALUE"""),0.074)</f>
        <v>0.074</v>
      </c>
      <c r="E14417" s="8" t="str">
        <f>IFERROR(__xludf.DUMMYFUNCTION("""COMPUTED_VALUE"""),"Real")</f>
        <v>Real</v>
      </c>
      <c r="G14417" s="8">
        <f t="shared" si="1"/>
        <v>6</v>
      </c>
      <c r="H14417" s="14">
        <f t="shared" si="2"/>
        <v>23</v>
      </c>
      <c r="I14417" s="15">
        <f t="shared" si="3"/>
        <v>17</v>
      </c>
    </row>
    <row r="14418">
      <c r="A14418" s="8" t="str">
        <f>IFERROR(__xludf.DUMMYFUNCTION("IF('(INGESTA)Datos_consumo_datadis'!A14418&lt;&gt;"""",SPLIT('(INGESTA)Datos_consumo_datadis'!A:A,"",""),"""")"),"ES0031408323131005HX0F")</f>
        <v>ES0031408323131005HX0F</v>
      </c>
      <c r="B14418" s="12">
        <f>IFERROR(__xludf.DUMMYFUNCTION("""COMPUTED_VALUE"""),45466.0)</f>
        <v>45466</v>
      </c>
      <c r="C14418" s="13">
        <f>IFERROR(__xludf.DUMMYFUNCTION("""COMPUTED_VALUE"""),0.75)</f>
        <v>0.75</v>
      </c>
      <c r="D14418" s="8">
        <f>IFERROR(__xludf.DUMMYFUNCTION("""COMPUTED_VALUE"""),0.016)</f>
        <v>0.016</v>
      </c>
      <c r="E14418" s="8" t="str">
        <f>IFERROR(__xludf.DUMMYFUNCTION("""COMPUTED_VALUE"""),"Real")</f>
        <v>Real</v>
      </c>
      <c r="G14418" s="8">
        <f t="shared" si="1"/>
        <v>6</v>
      </c>
      <c r="H14418" s="14">
        <f t="shared" si="2"/>
        <v>23</v>
      </c>
      <c r="I14418" s="15">
        <f t="shared" si="3"/>
        <v>18</v>
      </c>
    </row>
    <row r="14419">
      <c r="A14419" s="8" t="str">
        <f>IFERROR(__xludf.DUMMYFUNCTION("IF('(INGESTA)Datos_consumo_datadis'!A14419&lt;&gt;"""",SPLIT('(INGESTA)Datos_consumo_datadis'!A:A,"",""),"""")"),"ES0031408323131005HX0F")</f>
        <v>ES0031408323131005HX0F</v>
      </c>
      <c r="B14419" s="12">
        <f>IFERROR(__xludf.DUMMYFUNCTION("""COMPUTED_VALUE"""),45466.0)</f>
        <v>45466</v>
      </c>
      <c r="C14419" s="13">
        <f>IFERROR(__xludf.DUMMYFUNCTION("""COMPUTED_VALUE"""),0.7916666666666666)</f>
        <v>0.7916666667</v>
      </c>
      <c r="D14419" s="8">
        <f>IFERROR(__xludf.DUMMYFUNCTION("""COMPUTED_VALUE"""),0.062)</f>
        <v>0.062</v>
      </c>
      <c r="E14419" s="8" t="str">
        <f>IFERROR(__xludf.DUMMYFUNCTION("""COMPUTED_VALUE"""),"Real")</f>
        <v>Real</v>
      </c>
      <c r="G14419" s="8">
        <f t="shared" si="1"/>
        <v>6</v>
      </c>
      <c r="H14419" s="14">
        <f t="shared" si="2"/>
        <v>23</v>
      </c>
      <c r="I14419" s="15">
        <f t="shared" si="3"/>
        <v>19</v>
      </c>
    </row>
    <row r="14420">
      <c r="A14420" s="8" t="str">
        <f>IFERROR(__xludf.DUMMYFUNCTION("IF('(INGESTA)Datos_consumo_datadis'!A14420&lt;&gt;"""",SPLIT('(INGESTA)Datos_consumo_datadis'!A:A,"",""),"""")"),"ES0031408323131005HX0F")</f>
        <v>ES0031408323131005HX0F</v>
      </c>
      <c r="B14420" s="12">
        <f>IFERROR(__xludf.DUMMYFUNCTION("""COMPUTED_VALUE"""),45466.0)</f>
        <v>45466</v>
      </c>
      <c r="C14420" s="13">
        <f>IFERROR(__xludf.DUMMYFUNCTION("""COMPUTED_VALUE"""),0.8333333333333334)</f>
        <v>0.8333333333</v>
      </c>
      <c r="D14420" s="8">
        <f>IFERROR(__xludf.DUMMYFUNCTION("""COMPUTED_VALUE"""),0.084)</f>
        <v>0.084</v>
      </c>
      <c r="E14420" s="8" t="str">
        <f>IFERROR(__xludf.DUMMYFUNCTION("""COMPUTED_VALUE"""),"Real")</f>
        <v>Real</v>
      </c>
      <c r="G14420" s="8">
        <f t="shared" si="1"/>
        <v>6</v>
      </c>
      <c r="H14420" s="14">
        <f t="shared" si="2"/>
        <v>23</v>
      </c>
      <c r="I14420" s="15">
        <f t="shared" si="3"/>
        <v>20</v>
      </c>
    </row>
    <row r="14421">
      <c r="A14421" s="8" t="str">
        <f>IFERROR(__xludf.DUMMYFUNCTION("IF('(INGESTA)Datos_consumo_datadis'!A14421&lt;&gt;"""",SPLIT('(INGESTA)Datos_consumo_datadis'!A:A,"",""),"""")"),"ES0031408323131005HX0F")</f>
        <v>ES0031408323131005HX0F</v>
      </c>
      <c r="B14421" s="12">
        <f>IFERROR(__xludf.DUMMYFUNCTION("""COMPUTED_VALUE"""),45466.0)</f>
        <v>45466</v>
      </c>
      <c r="C14421" s="13">
        <f>IFERROR(__xludf.DUMMYFUNCTION("""COMPUTED_VALUE"""),0.875)</f>
        <v>0.875</v>
      </c>
      <c r="D14421" s="8">
        <f>IFERROR(__xludf.DUMMYFUNCTION("""COMPUTED_VALUE"""),0.349)</f>
        <v>0.349</v>
      </c>
      <c r="E14421" s="8" t="str">
        <f>IFERROR(__xludf.DUMMYFUNCTION("""COMPUTED_VALUE"""),"Real")</f>
        <v>Real</v>
      </c>
      <c r="G14421" s="8">
        <f t="shared" si="1"/>
        <v>6</v>
      </c>
      <c r="H14421" s="14">
        <f t="shared" si="2"/>
        <v>23</v>
      </c>
      <c r="I14421" s="15">
        <f t="shared" si="3"/>
        <v>21</v>
      </c>
    </row>
    <row r="14422">
      <c r="A14422" s="8" t="str">
        <f>IFERROR(__xludf.DUMMYFUNCTION("IF('(INGESTA)Datos_consumo_datadis'!A14422&lt;&gt;"""",SPLIT('(INGESTA)Datos_consumo_datadis'!A:A,"",""),"""")"),"ES0031408323131005HX0F")</f>
        <v>ES0031408323131005HX0F</v>
      </c>
      <c r="B14422" s="12">
        <f>IFERROR(__xludf.DUMMYFUNCTION("""COMPUTED_VALUE"""),45466.0)</f>
        <v>45466</v>
      </c>
      <c r="C14422" s="13">
        <f>IFERROR(__xludf.DUMMYFUNCTION("""COMPUTED_VALUE"""),0.9166666666666666)</f>
        <v>0.9166666667</v>
      </c>
      <c r="D14422" s="8">
        <f>IFERROR(__xludf.DUMMYFUNCTION("""COMPUTED_VALUE"""),0.025)</f>
        <v>0.025</v>
      </c>
      <c r="E14422" s="8" t="str">
        <f>IFERROR(__xludf.DUMMYFUNCTION("""COMPUTED_VALUE"""),"Real")</f>
        <v>Real</v>
      </c>
      <c r="G14422" s="8">
        <f t="shared" si="1"/>
        <v>6</v>
      </c>
      <c r="H14422" s="14">
        <f t="shared" si="2"/>
        <v>23</v>
      </c>
      <c r="I14422" s="15">
        <f t="shared" si="3"/>
        <v>22</v>
      </c>
    </row>
    <row r="14423">
      <c r="A14423" s="8" t="str">
        <f>IFERROR(__xludf.DUMMYFUNCTION("IF('(INGESTA)Datos_consumo_datadis'!A14423&lt;&gt;"""",SPLIT('(INGESTA)Datos_consumo_datadis'!A:A,"",""),"""")"),"ES0031408323131005HX0F")</f>
        <v>ES0031408323131005HX0F</v>
      </c>
      <c r="B14423" s="12">
        <f>IFERROR(__xludf.DUMMYFUNCTION("""COMPUTED_VALUE"""),45466.0)</f>
        <v>45466</v>
      </c>
      <c r="C14423" s="13">
        <f>IFERROR(__xludf.DUMMYFUNCTION("""COMPUTED_VALUE"""),0.9583333333333334)</f>
        <v>0.9583333333</v>
      </c>
      <c r="D14423" s="8">
        <f>IFERROR(__xludf.DUMMYFUNCTION("""COMPUTED_VALUE"""),0.052)</f>
        <v>0.052</v>
      </c>
      <c r="E14423" s="8" t="str">
        <f>IFERROR(__xludf.DUMMYFUNCTION("""COMPUTED_VALUE"""),"Real")</f>
        <v>Real</v>
      </c>
      <c r="G14423" s="8">
        <f t="shared" si="1"/>
        <v>6</v>
      </c>
      <c r="H14423" s="14">
        <f t="shared" si="2"/>
        <v>23</v>
      </c>
      <c r="I14423" s="15">
        <f t="shared" si="3"/>
        <v>23</v>
      </c>
    </row>
    <row r="14424">
      <c r="A14424" s="8" t="str">
        <f>IFERROR(__xludf.DUMMYFUNCTION("IF('(INGESTA)Datos_consumo_datadis'!A14424&lt;&gt;"""",SPLIT('(INGESTA)Datos_consumo_datadis'!A:A,"",""),"""")"),"ES0031408323131005HX0F")</f>
        <v>ES0031408323131005HX0F</v>
      </c>
      <c r="B14424" s="12">
        <f>IFERROR(__xludf.DUMMYFUNCTION("""COMPUTED_VALUE"""),45466.0)</f>
        <v>45466</v>
      </c>
      <c r="C14424" s="16">
        <f>IFERROR(__xludf.DUMMYFUNCTION("""COMPUTED_VALUE"""),1.0)</f>
        <v>1</v>
      </c>
      <c r="D14424" s="8">
        <f>IFERROR(__xludf.DUMMYFUNCTION("""COMPUTED_VALUE"""),0.093)</f>
        <v>0.093</v>
      </c>
      <c r="E14424" s="8" t="str">
        <f>IFERROR(__xludf.DUMMYFUNCTION("""COMPUTED_VALUE"""),"Real")</f>
        <v>Real</v>
      </c>
      <c r="G14424" s="8">
        <f t="shared" si="1"/>
        <v>6</v>
      </c>
      <c r="H14424" s="14">
        <f t="shared" si="2"/>
        <v>23</v>
      </c>
      <c r="I14424" s="15">
        <f t="shared" si="3"/>
        <v>0</v>
      </c>
    </row>
    <row r="14425">
      <c r="A14425" s="8" t="str">
        <f>IFERROR(__xludf.DUMMYFUNCTION("IF('(INGESTA)Datos_consumo_datadis'!A14425&lt;&gt;"""",SPLIT('(INGESTA)Datos_consumo_datadis'!A:A,"",""),"""")"),"ES0031408323131005HX0F")</f>
        <v>ES0031408323131005HX0F</v>
      </c>
      <c r="B14425" s="12">
        <f>IFERROR(__xludf.DUMMYFUNCTION("""COMPUTED_VALUE"""),45467.0)</f>
        <v>45467</v>
      </c>
      <c r="C14425" s="13">
        <f>IFERROR(__xludf.DUMMYFUNCTION("""COMPUTED_VALUE"""),0.041666666666666664)</f>
        <v>0.04166666667</v>
      </c>
      <c r="D14425" s="8">
        <f>IFERROR(__xludf.DUMMYFUNCTION("""COMPUTED_VALUE"""),0.062)</f>
        <v>0.062</v>
      </c>
      <c r="E14425" s="8" t="str">
        <f>IFERROR(__xludf.DUMMYFUNCTION("""COMPUTED_VALUE"""),"Real")</f>
        <v>Real</v>
      </c>
      <c r="G14425" s="8">
        <f t="shared" si="1"/>
        <v>6</v>
      </c>
      <c r="H14425" s="14">
        <f t="shared" si="2"/>
        <v>24</v>
      </c>
      <c r="I14425" s="15">
        <f t="shared" si="3"/>
        <v>1</v>
      </c>
    </row>
    <row r="14426">
      <c r="A14426" s="8" t="str">
        <f>IFERROR(__xludf.DUMMYFUNCTION("IF('(INGESTA)Datos_consumo_datadis'!A14426&lt;&gt;"""",SPLIT('(INGESTA)Datos_consumo_datadis'!A:A,"",""),"""")"),"ES0031408323131005HX0F")</f>
        <v>ES0031408323131005HX0F</v>
      </c>
      <c r="B14426" s="12">
        <f>IFERROR(__xludf.DUMMYFUNCTION("""COMPUTED_VALUE"""),45467.0)</f>
        <v>45467</v>
      </c>
      <c r="C14426" s="13">
        <f>IFERROR(__xludf.DUMMYFUNCTION("""COMPUTED_VALUE"""),0.08333333333333333)</f>
        <v>0.08333333333</v>
      </c>
      <c r="D14426" s="8">
        <f>IFERROR(__xludf.DUMMYFUNCTION("""COMPUTED_VALUE"""),0.033)</f>
        <v>0.033</v>
      </c>
      <c r="E14426" s="8" t="str">
        <f>IFERROR(__xludf.DUMMYFUNCTION("""COMPUTED_VALUE"""),"Real")</f>
        <v>Real</v>
      </c>
      <c r="G14426" s="8">
        <f t="shared" si="1"/>
        <v>6</v>
      </c>
      <c r="H14426" s="14">
        <f t="shared" si="2"/>
        <v>24</v>
      </c>
      <c r="I14426" s="15">
        <f t="shared" si="3"/>
        <v>2</v>
      </c>
    </row>
    <row r="14427">
      <c r="A14427" s="8" t="str">
        <f>IFERROR(__xludf.DUMMYFUNCTION("IF('(INGESTA)Datos_consumo_datadis'!A14427&lt;&gt;"""",SPLIT('(INGESTA)Datos_consumo_datadis'!A:A,"",""),"""")"),"ES0031408323131005HX0F")</f>
        <v>ES0031408323131005HX0F</v>
      </c>
      <c r="B14427" s="12">
        <f>IFERROR(__xludf.DUMMYFUNCTION("""COMPUTED_VALUE"""),45467.0)</f>
        <v>45467</v>
      </c>
      <c r="C14427" s="13">
        <f>IFERROR(__xludf.DUMMYFUNCTION("""COMPUTED_VALUE"""),0.125)</f>
        <v>0.125</v>
      </c>
      <c r="D14427" s="8">
        <f>IFERROR(__xludf.DUMMYFUNCTION("""COMPUTED_VALUE"""),0.043)</f>
        <v>0.043</v>
      </c>
      <c r="E14427" s="8" t="str">
        <f>IFERROR(__xludf.DUMMYFUNCTION("""COMPUTED_VALUE"""),"Real")</f>
        <v>Real</v>
      </c>
      <c r="G14427" s="8">
        <f t="shared" si="1"/>
        <v>6</v>
      </c>
      <c r="H14427" s="14">
        <f t="shared" si="2"/>
        <v>24</v>
      </c>
      <c r="I14427" s="15">
        <f t="shared" si="3"/>
        <v>3</v>
      </c>
    </row>
    <row r="14428">
      <c r="A14428" s="8" t="str">
        <f>IFERROR(__xludf.DUMMYFUNCTION("IF('(INGESTA)Datos_consumo_datadis'!A14428&lt;&gt;"""",SPLIT('(INGESTA)Datos_consumo_datadis'!A:A,"",""),"""")"),"ES0031408323131005HX0F")</f>
        <v>ES0031408323131005HX0F</v>
      </c>
      <c r="B14428" s="12">
        <f>IFERROR(__xludf.DUMMYFUNCTION("""COMPUTED_VALUE"""),45467.0)</f>
        <v>45467</v>
      </c>
      <c r="C14428" s="13">
        <f>IFERROR(__xludf.DUMMYFUNCTION("""COMPUTED_VALUE"""),0.16666666666666666)</f>
        <v>0.1666666667</v>
      </c>
      <c r="D14428" s="8">
        <f>IFERROR(__xludf.DUMMYFUNCTION("""COMPUTED_VALUE"""),0.102)</f>
        <v>0.102</v>
      </c>
      <c r="E14428" s="8" t="str">
        <f>IFERROR(__xludf.DUMMYFUNCTION("""COMPUTED_VALUE"""),"Real")</f>
        <v>Real</v>
      </c>
      <c r="G14428" s="8">
        <f t="shared" si="1"/>
        <v>6</v>
      </c>
      <c r="H14428" s="14">
        <f t="shared" si="2"/>
        <v>24</v>
      </c>
      <c r="I14428" s="15">
        <f t="shared" si="3"/>
        <v>4</v>
      </c>
    </row>
    <row r="14429">
      <c r="A14429" s="8" t="str">
        <f>IFERROR(__xludf.DUMMYFUNCTION("IF('(INGESTA)Datos_consumo_datadis'!A14429&lt;&gt;"""",SPLIT('(INGESTA)Datos_consumo_datadis'!A:A,"",""),"""")"),"ES0031408323131005HX0F")</f>
        <v>ES0031408323131005HX0F</v>
      </c>
      <c r="B14429" s="12">
        <f>IFERROR(__xludf.DUMMYFUNCTION("""COMPUTED_VALUE"""),45467.0)</f>
        <v>45467</v>
      </c>
      <c r="C14429" s="13">
        <f>IFERROR(__xludf.DUMMYFUNCTION("""COMPUTED_VALUE"""),0.20833333333333334)</f>
        <v>0.2083333333</v>
      </c>
      <c r="D14429" s="8">
        <f>IFERROR(__xludf.DUMMYFUNCTION("""COMPUTED_VALUE"""),0.328)</f>
        <v>0.328</v>
      </c>
      <c r="E14429" s="8" t="str">
        <f>IFERROR(__xludf.DUMMYFUNCTION("""COMPUTED_VALUE"""),"Real")</f>
        <v>Real</v>
      </c>
      <c r="G14429" s="8">
        <f t="shared" si="1"/>
        <v>6</v>
      </c>
      <c r="H14429" s="14">
        <f t="shared" si="2"/>
        <v>24</v>
      </c>
      <c r="I14429" s="15">
        <f t="shared" si="3"/>
        <v>5</v>
      </c>
    </row>
    <row r="14430">
      <c r="A14430" s="8" t="str">
        <f>IFERROR(__xludf.DUMMYFUNCTION("IF('(INGESTA)Datos_consumo_datadis'!A14430&lt;&gt;"""",SPLIT('(INGESTA)Datos_consumo_datadis'!A:A,"",""),"""")"),"ES0031408323131005HX0F")</f>
        <v>ES0031408323131005HX0F</v>
      </c>
      <c r="B14430" s="12">
        <f>IFERROR(__xludf.DUMMYFUNCTION("""COMPUTED_VALUE"""),45467.0)</f>
        <v>45467</v>
      </c>
      <c r="C14430" s="13">
        <f>IFERROR(__xludf.DUMMYFUNCTION("""COMPUTED_VALUE"""),0.25)</f>
        <v>0.25</v>
      </c>
      <c r="D14430" s="8">
        <f>IFERROR(__xludf.DUMMYFUNCTION("""COMPUTED_VALUE"""),0.042)</f>
        <v>0.042</v>
      </c>
      <c r="E14430" s="8" t="str">
        <f>IFERROR(__xludf.DUMMYFUNCTION("""COMPUTED_VALUE"""),"Real")</f>
        <v>Real</v>
      </c>
      <c r="G14430" s="8">
        <f t="shared" si="1"/>
        <v>6</v>
      </c>
      <c r="H14430" s="14">
        <f t="shared" si="2"/>
        <v>24</v>
      </c>
      <c r="I14430" s="15">
        <f t="shared" si="3"/>
        <v>6</v>
      </c>
    </row>
    <row r="14431">
      <c r="A14431" s="8" t="str">
        <f>IFERROR(__xludf.DUMMYFUNCTION("IF('(INGESTA)Datos_consumo_datadis'!A14431&lt;&gt;"""",SPLIT('(INGESTA)Datos_consumo_datadis'!A:A,"",""),"""")"),"ES0031408323131005HX0F")</f>
        <v>ES0031408323131005HX0F</v>
      </c>
      <c r="B14431" s="12">
        <f>IFERROR(__xludf.DUMMYFUNCTION("""COMPUTED_VALUE"""),45467.0)</f>
        <v>45467</v>
      </c>
      <c r="C14431" s="13">
        <f>IFERROR(__xludf.DUMMYFUNCTION("""COMPUTED_VALUE"""),0.2916666666666667)</f>
        <v>0.2916666667</v>
      </c>
      <c r="D14431" s="8">
        <f>IFERROR(__xludf.DUMMYFUNCTION("""COMPUTED_VALUE"""),0.033)</f>
        <v>0.033</v>
      </c>
      <c r="E14431" s="8" t="str">
        <f>IFERROR(__xludf.DUMMYFUNCTION("""COMPUTED_VALUE"""),"Real")</f>
        <v>Real</v>
      </c>
      <c r="G14431" s="8">
        <f t="shared" si="1"/>
        <v>6</v>
      </c>
      <c r="H14431" s="14">
        <f t="shared" si="2"/>
        <v>24</v>
      </c>
      <c r="I14431" s="15">
        <f t="shared" si="3"/>
        <v>7</v>
      </c>
    </row>
    <row r="14432">
      <c r="A14432" s="8" t="str">
        <f>IFERROR(__xludf.DUMMYFUNCTION("IF('(INGESTA)Datos_consumo_datadis'!A14432&lt;&gt;"""",SPLIT('(INGESTA)Datos_consumo_datadis'!A:A,"",""),"""")"),"ES0031408323131005HX0F")</f>
        <v>ES0031408323131005HX0F</v>
      </c>
      <c r="B14432" s="12">
        <f>IFERROR(__xludf.DUMMYFUNCTION("""COMPUTED_VALUE"""),45467.0)</f>
        <v>45467</v>
      </c>
      <c r="C14432" s="13">
        <f>IFERROR(__xludf.DUMMYFUNCTION("""COMPUTED_VALUE"""),0.3333333333333333)</f>
        <v>0.3333333333</v>
      </c>
      <c r="D14432" s="8">
        <f>IFERROR(__xludf.DUMMYFUNCTION("""COMPUTED_VALUE"""),0.112)</f>
        <v>0.112</v>
      </c>
      <c r="E14432" s="8" t="str">
        <f>IFERROR(__xludf.DUMMYFUNCTION("""COMPUTED_VALUE"""),"Real")</f>
        <v>Real</v>
      </c>
      <c r="G14432" s="8">
        <f t="shared" si="1"/>
        <v>6</v>
      </c>
      <c r="H14432" s="14">
        <f t="shared" si="2"/>
        <v>24</v>
      </c>
      <c r="I14432" s="15">
        <f t="shared" si="3"/>
        <v>8</v>
      </c>
    </row>
    <row r="14433">
      <c r="A14433" s="8" t="str">
        <f>IFERROR(__xludf.DUMMYFUNCTION("IF('(INGESTA)Datos_consumo_datadis'!A14433&lt;&gt;"""",SPLIT('(INGESTA)Datos_consumo_datadis'!A:A,"",""),"""")"),"ES0031408323131005HX0F")</f>
        <v>ES0031408323131005HX0F</v>
      </c>
      <c r="B14433" s="12">
        <f>IFERROR(__xludf.DUMMYFUNCTION("""COMPUTED_VALUE"""),45467.0)</f>
        <v>45467</v>
      </c>
      <c r="C14433" s="13">
        <f>IFERROR(__xludf.DUMMYFUNCTION("""COMPUTED_VALUE"""),0.375)</f>
        <v>0.375</v>
      </c>
      <c r="D14433" s="8">
        <f>IFERROR(__xludf.DUMMYFUNCTION("""COMPUTED_VALUE"""),0.048)</f>
        <v>0.048</v>
      </c>
      <c r="E14433" s="8" t="str">
        <f>IFERROR(__xludf.DUMMYFUNCTION("""COMPUTED_VALUE"""),"Real")</f>
        <v>Real</v>
      </c>
      <c r="G14433" s="8">
        <f t="shared" si="1"/>
        <v>6</v>
      </c>
      <c r="H14433" s="14">
        <f t="shared" si="2"/>
        <v>24</v>
      </c>
      <c r="I14433" s="15">
        <f t="shared" si="3"/>
        <v>9</v>
      </c>
    </row>
    <row r="14434">
      <c r="A14434" s="8" t="str">
        <f>IFERROR(__xludf.DUMMYFUNCTION("IF('(INGESTA)Datos_consumo_datadis'!A14434&lt;&gt;"""",SPLIT('(INGESTA)Datos_consumo_datadis'!A:A,"",""),"""")"),"ES0031408323131005HX0F")</f>
        <v>ES0031408323131005HX0F</v>
      </c>
      <c r="B14434" s="12">
        <f>IFERROR(__xludf.DUMMYFUNCTION("""COMPUTED_VALUE"""),45467.0)</f>
        <v>45467</v>
      </c>
      <c r="C14434" s="13">
        <f>IFERROR(__xludf.DUMMYFUNCTION("""COMPUTED_VALUE"""),0.4166666666666667)</f>
        <v>0.4166666667</v>
      </c>
      <c r="D14434" s="8">
        <f>IFERROR(__xludf.DUMMYFUNCTION("""COMPUTED_VALUE"""),0.046)</f>
        <v>0.046</v>
      </c>
      <c r="E14434" s="8" t="str">
        <f>IFERROR(__xludf.DUMMYFUNCTION("""COMPUTED_VALUE"""),"Real")</f>
        <v>Real</v>
      </c>
      <c r="G14434" s="8">
        <f t="shared" si="1"/>
        <v>6</v>
      </c>
      <c r="H14434" s="14">
        <f t="shared" si="2"/>
        <v>24</v>
      </c>
      <c r="I14434" s="15">
        <f t="shared" si="3"/>
        <v>10</v>
      </c>
    </row>
    <row r="14435">
      <c r="A14435" s="8" t="str">
        <f>IFERROR(__xludf.DUMMYFUNCTION("IF('(INGESTA)Datos_consumo_datadis'!A14435&lt;&gt;"""",SPLIT('(INGESTA)Datos_consumo_datadis'!A:A,"",""),"""")"),"ES0031408323131005HX0F")</f>
        <v>ES0031408323131005HX0F</v>
      </c>
      <c r="B14435" s="12">
        <f>IFERROR(__xludf.DUMMYFUNCTION("""COMPUTED_VALUE"""),45467.0)</f>
        <v>45467</v>
      </c>
      <c r="C14435" s="13">
        <f>IFERROR(__xludf.DUMMYFUNCTION("""COMPUTED_VALUE"""),0.4583333333333333)</f>
        <v>0.4583333333</v>
      </c>
      <c r="D14435" s="8">
        <f>IFERROR(__xludf.DUMMYFUNCTION("""COMPUTED_VALUE"""),0.024)</f>
        <v>0.024</v>
      </c>
      <c r="E14435" s="8" t="str">
        <f>IFERROR(__xludf.DUMMYFUNCTION("""COMPUTED_VALUE"""),"Real")</f>
        <v>Real</v>
      </c>
      <c r="G14435" s="8">
        <f t="shared" si="1"/>
        <v>6</v>
      </c>
      <c r="H14435" s="14">
        <f t="shared" si="2"/>
        <v>24</v>
      </c>
      <c r="I14435" s="15">
        <f t="shared" si="3"/>
        <v>11</v>
      </c>
    </row>
    <row r="14436">
      <c r="A14436" s="8" t="str">
        <f>IFERROR(__xludf.DUMMYFUNCTION("IF('(INGESTA)Datos_consumo_datadis'!A14436&lt;&gt;"""",SPLIT('(INGESTA)Datos_consumo_datadis'!A:A,"",""),"""")"),"ES0031408323131005HX0F")</f>
        <v>ES0031408323131005HX0F</v>
      </c>
      <c r="B14436" s="12">
        <f>IFERROR(__xludf.DUMMYFUNCTION("""COMPUTED_VALUE"""),45467.0)</f>
        <v>45467</v>
      </c>
      <c r="C14436" s="13">
        <f>IFERROR(__xludf.DUMMYFUNCTION("""COMPUTED_VALUE"""),0.5)</f>
        <v>0.5</v>
      </c>
      <c r="D14436" s="8">
        <f>IFERROR(__xludf.DUMMYFUNCTION("""COMPUTED_VALUE"""),0.402)</f>
        <v>0.402</v>
      </c>
      <c r="E14436" s="8" t="str">
        <f>IFERROR(__xludf.DUMMYFUNCTION("""COMPUTED_VALUE"""),"Real")</f>
        <v>Real</v>
      </c>
      <c r="G14436" s="8">
        <f t="shared" si="1"/>
        <v>6</v>
      </c>
      <c r="H14436" s="14">
        <f t="shared" si="2"/>
        <v>24</v>
      </c>
      <c r="I14436" s="15">
        <f t="shared" si="3"/>
        <v>12</v>
      </c>
    </row>
    <row r="14437">
      <c r="A14437" s="8" t="str">
        <f>IFERROR(__xludf.DUMMYFUNCTION("IF('(INGESTA)Datos_consumo_datadis'!A14437&lt;&gt;"""",SPLIT('(INGESTA)Datos_consumo_datadis'!A:A,"",""),"""")"),"ES0031408323131005HX0F")</f>
        <v>ES0031408323131005HX0F</v>
      </c>
      <c r="B14437" s="12">
        <f>IFERROR(__xludf.DUMMYFUNCTION("""COMPUTED_VALUE"""),45467.0)</f>
        <v>45467</v>
      </c>
      <c r="C14437" s="13">
        <f>IFERROR(__xludf.DUMMYFUNCTION("""COMPUTED_VALUE"""),0.5416666666666666)</f>
        <v>0.5416666667</v>
      </c>
      <c r="D14437" s="8">
        <f>IFERROR(__xludf.DUMMYFUNCTION("""COMPUTED_VALUE"""),0.055)</f>
        <v>0.055</v>
      </c>
      <c r="E14437" s="8" t="str">
        <f>IFERROR(__xludf.DUMMYFUNCTION("""COMPUTED_VALUE"""),"Real")</f>
        <v>Real</v>
      </c>
      <c r="G14437" s="8">
        <f t="shared" si="1"/>
        <v>6</v>
      </c>
      <c r="H14437" s="14">
        <f t="shared" si="2"/>
        <v>24</v>
      </c>
      <c r="I14437" s="15">
        <f t="shared" si="3"/>
        <v>13</v>
      </c>
    </row>
    <row r="14438">
      <c r="A14438" s="8" t="str">
        <f>IFERROR(__xludf.DUMMYFUNCTION("IF('(INGESTA)Datos_consumo_datadis'!A14438&lt;&gt;"""",SPLIT('(INGESTA)Datos_consumo_datadis'!A:A,"",""),"""")"),"ES0031408323131005HX0F")</f>
        <v>ES0031408323131005HX0F</v>
      </c>
      <c r="B14438" s="12">
        <f>IFERROR(__xludf.DUMMYFUNCTION("""COMPUTED_VALUE"""),45467.0)</f>
        <v>45467</v>
      </c>
      <c r="C14438" s="13">
        <f>IFERROR(__xludf.DUMMYFUNCTION("""COMPUTED_VALUE"""),0.5833333333333334)</f>
        <v>0.5833333333</v>
      </c>
      <c r="D14438" s="8">
        <f>IFERROR(__xludf.DUMMYFUNCTION("""COMPUTED_VALUE"""),0.047)</f>
        <v>0.047</v>
      </c>
      <c r="E14438" s="8" t="str">
        <f>IFERROR(__xludf.DUMMYFUNCTION("""COMPUTED_VALUE"""),"Real")</f>
        <v>Real</v>
      </c>
      <c r="G14438" s="8">
        <f t="shared" si="1"/>
        <v>6</v>
      </c>
      <c r="H14438" s="14">
        <f t="shared" si="2"/>
        <v>24</v>
      </c>
      <c r="I14438" s="15">
        <f t="shared" si="3"/>
        <v>14</v>
      </c>
    </row>
    <row r="14439">
      <c r="A14439" s="8" t="str">
        <f>IFERROR(__xludf.DUMMYFUNCTION("IF('(INGESTA)Datos_consumo_datadis'!A14439&lt;&gt;"""",SPLIT('(INGESTA)Datos_consumo_datadis'!A:A,"",""),"""")"),"ES0031408323131005HX0F")</f>
        <v>ES0031408323131005HX0F</v>
      </c>
      <c r="B14439" s="12">
        <f>IFERROR(__xludf.DUMMYFUNCTION("""COMPUTED_VALUE"""),45467.0)</f>
        <v>45467</v>
      </c>
      <c r="C14439" s="13">
        <f>IFERROR(__xludf.DUMMYFUNCTION("""COMPUTED_VALUE"""),0.625)</f>
        <v>0.625</v>
      </c>
      <c r="D14439" s="8">
        <f>IFERROR(__xludf.DUMMYFUNCTION("""COMPUTED_VALUE"""),0.015)</f>
        <v>0.015</v>
      </c>
      <c r="E14439" s="8" t="str">
        <f>IFERROR(__xludf.DUMMYFUNCTION("""COMPUTED_VALUE"""),"Real")</f>
        <v>Real</v>
      </c>
      <c r="G14439" s="8">
        <f t="shared" si="1"/>
        <v>6</v>
      </c>
      <c r="H14439" s="14">
        <f t="shared" si="2"/>
        <v>24</v>
      </c>
      <c r="I14439" s="15">
        <f t="shared" si="3"/>
        <v>15</v>
      </c>
    </row>
    <row r="14440">
      <c r="A14440" s="8" t="str">
        <f>IFERROR(__xludf.DUMMYFUNCTION("IF('(INGESTA)Datos_consumo_datadis'!A14440&lt;&gt;"""",SPLIT('(INGESTA)Datos_consumo_datadis'!A:A,"",""),"""")"),"ES0031408323131005HX0F")</f>
        <v>ES0031408323131005HX0F</v>
      </c>
      <c r="B14440" s="12">
        <f>IFERROR(__xludf.DUMMYFUNCTION("""COMPUTED_VALUE"""),45467.0)</f>
        <v>45467</v>
      </c>
      <c r="C14440" s="13">
        <f>IFERROR(__xludf.DUMMYFUNCTION("""COMPUTED_VALUE"""),0.6666666666666666)</f>
        <v>0.6666666667</v>
      </c>
      <c r="D14440" s="8">
        <f>IFERROR(__xludf.DUMMYFUNCTION("""COMPUTED_VALUE"""),0.114)</f>
        <v>0.114</v>
      </c>
      <c r="E14440" s="8" t="str">
        <f>IFERROR(__xludf.DUMMYFUNCTION("""COMPUTED_VALUE"""),"Real")</f>
        <v>Real</v>
      </c>
      <c r="G14440" s="8">
        <f t="shared" si="1"/>
        <v>6</v>
      </c>
      <c r="H14440" s="14">
        <f t="shared" si="2"/>
        <v>24</v>
      </c>
      <c r="I14440" s="15">
        <f t="shared" si="3"/>
        <v>16</v>
      </c>
    </row>
    <row r="14441">
      <c r="A14441" s="8" t="str">
        <f>IFERROR(__xludf.DUMMYFUNCTION("IF('(INGESTA)Datos_consumo_datadis'!A14441&lt;&gt;"""",SPLIT('(INGESTA)Datos_consumo_datadis'!A:A,"",""),"""")"),"ES0031408323131005HX0F")</f>
        <v>ES0031408323131005HX0F</v>
      </c>
      <c r="B14441" s="12">
        <f>IFERROR(__xludf.DUMMYFUNCTION("""COMPUTED_VALUE"""),45467.0)</f>
        <v>45467</v>
      </c>
      <c r="C14441" s="13">
        <f>IFERROR(__xludf.DUMMYFUNCTION("""COMPUTED_VALUE"""),0.7083333333333334)</f>
        <v>0.7083333333</v>
      </c>
      <c r="D14441" s="8">
        <f>IFERROR(__xludf.DUMMYFUNCTION("""COMPUTED_VALUE"""),0.063)</f>
        <v>0.063</v>
      </c>
      <c r="E14441" s="8" t="str">
        <f>IFERROR(__xludf.DUMMYFUNCTION("""COMPUTED_VALUE"""),"Real")</f>
        <v>Real</v>
      </c>
      <c r="G14441" s="8">
        <f t="shared" si="1"/>
        <v>6</v>
      </c>
      <c r="H14441" s="14">
        <f t="shared" si="2"/>
        <v>24</v>
      </c>
      <c r="I14441" s="15">
        <f t="shared" si="3"/>
        <v>17</v>
      </c>
    </row>
    <row r="14442">
      <c r="A14442" s="8" t="str">
        <f>IFERROR(__xludf.DUMMYFUNCTION("IF('(INGESTA)Datos_consumo_datadis'!A14442&lt;&gt;"""",SPLIT('(INGESTA)Datos_consumo_datadis'!A:A,"",""),"""")"),"ES0031408323131005HX0F")</f>
        <v>ES0031408323131005HX0F</v>
      </c>
      <c r="B14442" s="12">
        <f>IFERROR(__xludf.DUMMYFUNCTION("""COMPUTED_VALUE"""),45467.0)</f>
        <v>45467</v>
      </c>
      <c r="C14442" s="13">
        <f>IFERROR(__xludf.DUMMYFUNCTION("""COMPUTED_VALUE"""),0.75)</f>
        <v>0.75</v>
      </c>
      <c r="D14442" s="8">
        <f>IFERROR(__xludf.DUMMYFUNCTION("""COMPUTED_VALUE"""),0.047)</f>
        <v>0.047</v>
      </c>
      <c r="E14442" s="8" t="str">
        <f>IFERROR(__xludf.DUMMYFUNCTION("""COMPUTED_VALUE"""),"Real")</f>
        <v>Real</v>
      </c>
      <c r="G14442" s="8">
        <f t="shared" si="1"/>
        <v>6</v>
      </c>
      <c r="H14442" s="14">
        <f t="shared" si="2"/>
        <v>24</v>
      </c>
      <c r="I14442" s="15">
        <f t="shared" si="3"/>
        <v>18</v>
      </c>
    </row>
    <row r="14443">
      <c r="A14443" s="8" t="str">
        <f>IFERROR(__xludf.DUMMYFUNCTION("IF('(INGESTA)Datos_consumo_datadis'!A14443&lt;&gt;"""",SPLIT('(INGESTA)Datos_consumo_datadis'!A:A,"",""),"""")"),"ES0031408323131005HX0F")</f>
        <v>ES0031408323131005HX0F</v>
      </c>
      <c r="B14443" s="12">
        <f>IFERROR(__xludf.DUMMYFUNCTION("""COMPUTED_VALUE"""),45467.0)</f>
        <v>45467</v>
      </c>
      <c r="C14443" s="13">
        <f>IFERROR(__xludf.DUMMYFUNCTION("""COMPUTED_VALUE"""),0.7916666666666666)</f>
        <v>0.7916666667</v>
      </c>
      <c r="D14443" s="8">
        <f>IFERROR(__xludf.DUMMYFUNCTION("""COMPUTED_VALUE"""),0.011)</f>
        <v>0.011</v>
      </c>
      <c r="E14443" s="8" t="str">
        <f>IFERROR(__xludf.DUMMYFUNCTION("""COMPUTED_VALUE"""),"Real")</f>
        <v>Real</v>
      </c>
      <c r="G14443" s="8">
        <f t="shared" si="1"/>
        <v>6</v>
      </c>
      <c r="H14443" s="14">
        <f t="shared" si="2"/>
        <v>24</v>
      </c>
      <c r="I14443" s="15">
        <f t="shared" si="3"/>
        <v>19</v>
      </c>
    </row>
    <row r="14444">
      <c r="A14444" s="8" t="str">
        <f>IFERROR(__xludf.DUMMYFUNCTION("IF('(INGESTA)Datos_consumo_datadis'!A14444&lt;&gt;"""",SPLIT('(INGESTA)Datos_consumo_datadis'!A:A,"",""),"""")"),"ES0031408323131005HX0F")</f>
        <v>ES0031408323131005HX0F</v>
      </c>
      <c r="B14444" s="12">
        <f>IFERROR(__xludf.DUMMYFUNCTION("""COMPUTED_VALUE"""),45467.0)</f>
        <v>45467</v>
      </c>
      <c r="C14444" s="13">
        <f>IFERROR(__xludf.DUMMYFUNCTION("""COMPUTED_VALUE"""),0.8333333333333334)</f>
        <v>0.8333333333</v>
      </c>
      <c r="D14444" s="8">
        <f>IFERROR(__xludf.DUMMYFUNCTION("""COMPUTED_VALUE"""),0.389)</f>
        <v>0.389</v>
      </c>
      <c r="E14444" s="8" t="str">
        <f>IFERROR(__xludf.DUMMYFUNCTION("""COMPUTED_VALUE"""),"Real")</f>
        <v>Real</v>
      </c>
      <c r="G14444" s="8">
        <f t="shared" si="1"/>
        <v>6</v>
      </c>
      <c r="H14444" s="14">
        <f t="shared" si="2"/>
        <v>24</v>
      </c>
      <c r="I14444" s="15">
        <f t="shared" si="3"/>
        <v>20</v>
      </c>
    </row>
    <row r="14445">
      <c r="A14445" s="8" t="str">
        <f>IFERROR(__xludf.DUMMYFUNCTION("IF('(INGESTA)Datos_consumo_datadis'!A14445&lt;&gt;"""",SPLIT('(INGESTA)Datos_consumo_datadis'!A:A,"",""),"""")"),"ES0031408323131005HX0F")</f>
        <v>ES0031408323131005HX0F</v>
      </c>
      <c r="B14445" s="12">
        <f>IFERROR(__xludf.DUMMYFUNCTION("""COMPUTED_VALUE"""),45467.0)</f>
        <v>45467</v>
      </c>
      <c r="C14445" s="13">
        <f>IFERROR(__xludf.DUMMYFUNCTION("""COMPUTED_VALUE"""),0.875)</f>
        <v>0.875</v>
      </c>
      <c r="D14445" s="8">
        <f>IFERROR(__xludf.DUMMYFUNCTION("""COMPUTED_VALUE"""),0.07)</f>
        <v>0.07</v>
      </c>
      <c r="E14445" s="8" t="str">
        <f>IFERROR(__xludf.DUMMYFUNCTION("""COMPUTED_VALUE"""),"Real")</f>
        <v>Real</v>
      </c>
      <c r="G14445" s="8">
        <f t="shared" si="1"/>
        <v>6</v>
      </c>
      <c r="H14445" s="14">
        <f t="shared" si="2"/>
        <v>24</v>
      </c>
      <c r="I14445" s="15">
        <f t="shared" si="3"/>
        <v>21</v>
      </c>
    </row>
    <row r="14446">
      <c r="A14446" s="8" t="str">
        <f>IFERROR(__xludf.DUMMYFUNCTION("IF('(INGESTA)Datos_consumo_datadis'!A14446&lt;&gt;"""",SPLIT('(INGESTA)Datos_consumo_datadis'!A:A,"",""),"""")"),"ES0031408323131005HX0F")</f>
        <v>ES0031408323131005HX0F</v>
      </c>
      <c r="B14446" s="12">
        <f>IFERROR(__xludf.DUMMYFUNCTION("""COMPUTED_VALUE"""),45467.0)</f>
        <v>45467</v>
      </c>
      <c r="C14446" s="13">
        <f>IFERROR(__xludf.DUMMYFUNCTION("""COMPUTED_VALUE"""),0.9166666666666666)</f>
        <v>0.9166666667</v>
      </c>
      <c r="D14446" s="8">
        <f>IFERROR(__xludf.DUMMYFUNCTION("""COMPUTED_VALUE"""),0.057)</f>
        <v>0.057</v>
      </c>
      <c r="E14446" s="8" t="str">
        <f>IFERROR(__xludf.DUMMYFUNCTION("""COMPUTED_VALUE"""),"Real")</f>
        <v>Real</v>
      </c>
      <c r="G14446" s="8">
        <f t="shared" si="1"/>
        <v>6</v>
      </c>
      <c r="H14446" s="14">
        <f t="shared" si="2"/>
        <v>24</v>
      </c>
      <c r="I14446" s="15">
        <f t="shared" si="3"/>
        <v>22</v>
      </c>
    </row>
    <row r="14447">
      <c r="A14447" s="8" t="str">
        <f>IFERROR(__xludf.DUMMYFUNCTION("IF('(INGESTA)Datos_consumo_datadis'!A14447&lt;&gt;"""",SPLIT('(INGESTA)Datos_consumo_datadis'!A:A,"",""),"""")"),"ES0031408323131005HX0F")</f>
        <v>ES0031408323131005HX0F</v>
      </c>
      <c r="B14447" s="12">
        <f>IFERROR(__xludf.DUMMYFUNCTION("""COMPUTED_VALUE"""),45467.0)</f>
        <v>45467</v>
      </c>
      <c r="C14447" s="13">
        <f>IFERROR(__xludf.DUMMYFUNCTION("""COMPUTED_VALUE"""),0.9583333333333334)</f>
        <v>0.9583333333</v>
      </c>
      <c r="D14447" s="8">
        <f>IFERROR(__xludf.DUMMYFUNCTION("""COMPUTED_VALUE"""),0.012)</f>
        <v>0.012</v>
      </c>
      <c r="E14447" s="8" t="str">
        <f>IFERROR(__xludf.DUMMYFUNCTION("""COMPUTED_VALUE"""),"Real")</f>
        <v>Real</v>
      </c>
      <c r="G14447" s="8">
        <f t="shared" si="1"/>
        <v>6</v>
      </c>
      <c r="H14447" s="14">
        <f t="shared" si="2"/>
        <v>24</v>
      </c>
      <c r="I14447" s="15">
        <f t="shared" si="3"/>
        <v>23</v>
      </c>
    </row>
    <row r="14448">
      <c r="A14448" s="8" t="str">
        <f>IFERROR(__xludf.DUMMYFUNCTION("IF('(INGESTA)Datos_consumo_datadis'!A14448&lt;&gt;"""",SPLIT('(INGESTA)Datos_consumo_datadis'!A:A,"",""),"""")"),"ES0031408323131005HX0F")</f>
        <v>ES0031408323131005HX0F</v>
      </c>
      <c r="B14448" s="12">
        <f>IFERROR(__xludf.DUMMYFUNCTION("""COMPUTED_VALUE"""),45467.0)</f>
        <v>45467</v>
      </c>
      <c r="C14448" s="16">
        <f>IFERROR(__xludf.DUMMYFUNCTION("""COMPUTED_VALUE"""),1.0)</f>
        <v>1</v>
      </c>
      <c r="D14448" s="8">
        <f>IFERROR(__xludf.DUMMYFUNCTION("""COMPUTED_VALUE"""),0.104)</f>
        <v>0.104</v>
      </c>
      <c r="E14448" s="8" t="str">
        <f>IFERROR(__xludf.DUMMYFUNCTION("""COMPUTED_VALUE"""),"Real")</f>
        <v>Real</v>
      </c>
      <c r="G14448" s="8">
        <f t="shared" si="1"/>
        <v>6</v>
      </c>
      <c r="H14448" s="14">
        <f t="shared" si="2"/>
        <v>24</v>
      </c>
      <c r="I14448" s="15">
        <f t="shared" si="3"/>
        <v>0</v>
      </c>
    </row>
    <row r="14449">
      <c r="A14449" s="8" t="str">
        <f>IFERROR(__xludf.DUMMYFUNCTION("IF('(INGESTA)Datos_consumo_datadis'!A14449&lt;&gt;"""",SPLIT('(INGESTA)Datos_consumo_datadis'!A:A,"",""),"""")"),"ES0031408323131005HX0F")</f>
        <v>ES0031408323131005HX0F</v>
      </c>
      <c r="B14449" s="12">
        <f>IFERROR(__xludf.DUMMYFUNCTION("""COMPUTED_VALUE"""),45468.0)</f>
        <v>45468</v>
      </c>
      <c r="C14449" s="13">
        <f>IFERROR(__xludf.DUMMYFUNCTION("""COMPUTED_VALUE"""),0.041666666666666664)</f>
        <v>0.04166666667</v>
      </c>
      <c r="D14449" s="8">
        <f>IFERROR(__xludf.DUMMYFUNCTION("""COMPUTED_VALUE"""),0.079)</f>
        <v>0.079</v>
      </c>
      <c r="E14449" s="8" t="str">
        <f>IFERROR(__xludf.DUMMYFUNCTION("""COMPUTED_VALUE"""),"Real")</f>
        <v>Real</v>
      </c>
      <c r="G14449" s="8">
        <f t="shared" si="1"/>
        <v>6</v>
      </c>
      <c r="H14449" s="14">
        <f t="shared" si="2"/>
        <v>25</v>
      </c>
      <c r="I14449" s="15">
        <f t="shared" si="3"/>
        <v>1</v>
      </c>
    </row>
    <row r="14450">
      <c r="A14450" s="8" t="str">
        <f>IFERROR(__xludf.DUMMYFUNCTION("IF('(INGESTA)Datos_consumo_datadis'!A14450&lt;&gt;"""",SPLIT('(INGESTA)Datos_consumo_datadis'!A:A,"",""),"""")"),"ES0031408323131005HX0F")</f>
        <v>ES0031408323131005HX0F</v>
      </c>
      <c r="B14450" s="12">
        <f>IFERROR(__xludf.DUMMYFUNCTION("""COMPUTED_VALUE"""),45468.0)</f>
        <v>45468</v>
      </c>
      <c r="C14450" s="13">
        <f>IFERROR(__xludf.DUMMYFUNCTION("""COMPUTED_VALUE"""),0.08333333333333333)</f>
        <v>0.08333333333</v>
      </c>
      <c r="D14450" s="8">
        <f>IFERROR(__xludf.DUMMYFUNCTION("""COMPUTED_VALUE"""),0.076)</f>
        <v>0.076</v>
      </c>
      <c r="E14450" s="8" t="str">
        <f>IFERROR(__xludf.DUMMYFUNCTION("""COMPUTED_VALUE"""),"Real")</f>
        <v>Real</v>
      </c>
      <c r="G14450" s="8">
        <f t="shared" si="1"/>
        <v>6</v>
      </c>
      <c r="H14450" s="14">
        <f t="shared" si="2"/>
        <v>25</v>
      </c>
      <c r="I14450" s="15">
        <f t="shared" si="3"/>
        <v>2</v>
      </c>
    </row>
    <row r="14451">
      <c r="A14451" s="8" t="str">
        <f>IFERROR(__xludf.DUMMYFUNCTION("IF('(INGESTA)Datos_consumo_datadis'!A14451&lt;&gt;"""",SPLIT('(INGESTA)Datos_consumo_datadis'!A:A,"",""),"""")"),"ES0031408323131005HX0F")</f>
        <v>ES0031408323131005HX0F</v>
      </c>
      <c r="B14451" s="12">
        <f>IFERROR(__xludf.DUMMYFUNCTION("""COMPUTED_VALUE"""),45468.0)</f>
        <v>45468</v>
      </c>
      <c r="C14451" s="13">
        <f>IFERROR(__xludf.DUMMYFUNCTION("""COMPUTED_VALUE"""),0.125)</f>
        <v>0.125</v>
      </c>
      <c r="D14451" s="8">
        <f>IFERROR(__xludf.DUMMYFUNCTION("""COMPUTED_VALUE"""),0.305)</f>
        <v>0.305</v>
      </c>
      <c r="E14451" s="8" t="str">
        <f>IFERROR(__xludf.DUMMYFUNCTION("""COMPUTED_VALUE"""),"Real")</f>
        <v>Real</v>
      </c>
      <c r="G14451" s="8">
        <f t="shared" si="1"/>
        <v>6</v>
      </c>
      <c r="H14451" s="14">
        <f t="shared" si="2"/>
        <v>25</v>
      </c>
      <c r="I14451" s="15">
        <f t="shared" si="3"/>
        <v>3</v>
      </c>
    </row>
    <row r="14452">
      <c r="A14452" s="8" t="str">
        <f>IFERROR(__xludf.DUMMYFUNCTION("IF('(INGESTA)Datos_consumo_datadis'!A14452&lt;&gt;"""",SPLIT('(INGESTA)Datos_consumo_datadis'!A:A,"",""),"""")"),"ES0031408323131005HX0F")</f>
        <v>ES0031408323131005HX0F</v>
      </c>
      <c r="B14452" s="12">
        <f>IFERROR(__xludf.DUMMYFUNCTION("""COMPUTED_VALUE"""),45468.0)</f>
        <v>45468</v>
      </c>
      <c r="C14452" s="13">
        <f>IFERROR(__xludf.DUMMYFUNCTION("""COMPUTED_VALUE"""),0.16666666666666666)</f>
        <v>0.1666666667</v>
      </c>
      <c r="D14452" s="8">
        <f>IFERROR(__xludf.DUMMYFUNCTION("""COMPUTED_VALUE"""),0.062)</f>
        <v>0.062</v>
      </c>
      <c r="E14452" s="8" t="str">
        <f>IFERROR(__xludf.DUMMYFUNCTION("""COMPUTED_VALUE"""),"Real")</f>
        <v>Real</v>
      </c>
      <c r="G14452" s="8">
        <f t="shared" si="1"/>
        <v>6</v>
      </c>
      <c r="H14452" s="14">
        <f t="shared" si="2"/>
        <v>25</v>
      </c>
      <c r="I14452" s="15">
        <f t="shared" si="3"/>
        <v>4</v>
      </c>
    </row>
    <row r="14453">
      <c r="A14453" s="8" t="str">
        <f>IFERROR(__xludf.DUMMYFUNCTION("IF('(INGESTA)Datos_consumo_datadis'!A14453&lt;&gt;"""",SPLIT('(INGESTA)Datos_consumo_datadis'!A:A,"",""),"""")"),"ES0031408323131005HX0F")</f>
        <v>ES0031408323131005HX0F</v>
      </c>
      <c r="B14453" s="12">
        <f>IFERROR(__xludf.DUMMYFUNCTION("""COMPUTED_VALUE"""),45468.0)</f>
        <v>45468</v>
      </c>
      <c r="C14453" s="13">
        <f>IFERROR(__xludf.DUMMYFUNCTION("""COMPUTED_VALUE"""),0.20833333333333334)</f>
        <v>0.2083333333</v>
      </c>
      <c r="D14453" s="8">
        <f>IFERROR(__xludf.DUMMYFUNCTION("""COMPUTED_VALUE"""),0.087)</f>
        <v>0.087</v>
      </c>
      <c r="E14453" s="8" t="str">
        <f>IFERROR(__xludf.DUMMYFUNCTION("""COMPUTED_VALUE"""),"Real")</f>
        <v>Real</v>
      </c>
      <c r="G14453" s="8">
        <f t="shared" si="1"/>
        <v>6</v>
      </c>
      <c r="H14453" s="14">
        <f t="shared" si="2"/>
        <v>25</v>
      </c>
      <c r="I14453" s="15">
        <f t="shared" si="3"/>
        <v>5</v>
      </c>
    </row>
    <row r="14454">
      <c r="A14454" s="8" t="str">
        <f>IFERROR(__xludf.DUMMYFUNCTION("IF('(INGESTA)Datos_consumo_datadis'!A14454&lt;&gt;"""",SPLIT('(INGESTA)Datos_consumo_datadis'!A:A,"",""),"""")"),"ES0031408323131005HX0F")</f>
        <v>ES0031408323131005HX0F</v>
      </c>
      <c r="B14454" s="12">
        <f>IFERROR(__xludf.DUMMYFUNCTION("""COMPUTED_VALUE"""),45468.0)</f>
        <v>45468</v>
      </c>
      <c r="C14454" s="13">
        <f>IFERROR(__xludf.DUMMYFUNCTION("""COMPUTED_VALUE"""),0.25)</f>
        <v>0.25</v>
      </c>
      <c r="D14454" s="8">
        <f>IFERROR(__xludf.DUMMYFUNCTION("""COMPUTED_VALUE"""),0.069)</f>
        <v>0.069</v>
      </c>
      <c r="E14454" s="8" t="str">
        <f>IFERROR(__xludf.DUMMYFUNCTION("""COMPUTED_VALUE"""),"Real")</f>
        <v>Real</v>
      </c>
      <c r="G14454" s="8">
        <f t="shared" si="1"/>
        <v>6</v>
      </c>
      <c r="H14454" s="14">
        <f t="shared" si="2"/>
        <v>25</v>
      </c>
      <c r="I14454" s="15">
        <f t="shared" si="3"/>
        <v>6</v>
      </c>
    </row>
    <row r="14455">
      <c r="A14455" s="8" t="str">
        <f>IFERROR(__xludf.DUMMYFUNCTION("IF('(INGESTA)Datos_consumo_datadis'!A14455&lt;&gt;"""",SPLIT('(INGESTA)Datos_consumo_datadis'!A:A,"",""),"""")"),"ES0031408323131005HX0F")</f>
        <v>ES0031408323131005HX0F</v>
      </c>
      <c r="B14455" s="12">
        <f>IFERROR(__xludf.DUMMYFUNCTION("""COMPUTED_VALUE"""),45468.0)</f>
        <v>45468</v>
      </c>
      <c r="C14455" s="13">
        <f>IFERROR(__xludf.DUMMYFUNCTION("""COMPUTED_VALUE"""),0.2916666666666667)</f>
        <v>0.2916666667</v>
      </c>
      <c r="D14455" s="8">
        <f>IFERROR(__xludf.DUMMYFUNCTION("""COMPUTED_VALUE"""),0.026)</f>
        <v>0.026</v>
      </c>
      <c r="E14455" s="8" t="str">
        <f>IFERROR(__xludf.DUMMYFUNCTION("""COMPUTED_VALUE"""),"Real")</f>
        <v>Real</v>
      </c>
      <c r="G14455" s="8">
        <f t="shared" si="1"/>
        <v>6</v>
      </c>
      <c r="H14455" s="14">
        <f t="shared" si="2"/>
        <v>25</v>
      </c>
      <c r="I14455" s="15">
        <f t="shared" si="3"/>
        <v>7</v>
      </c>
    </row>
    <row r="14456">
      <c r="A14456" s="8" t="str">
        <f>IFERROR(__xludf.DUMMYFUNCTION("IF('(INGESTA)Datos_consumo_datadis'!A14456&lt;&gt;"""",SPLIT('(INGESTA)Datos_consumo_datadis'!A:A,"",""),"""")"),"ES0031408323131005HX0F")</f>
        <v>ES0031408323131005HX0F</v>
      </c>
      <c r="B14456" s="12">
        <f>IFERROR(__xludf.DUMMYFUNCTION("""COMPUTED_VALUE"""),45468.0)</f>
        <v>45468</v>
      </c>
      <c r="C14456" s="13">
        <f>IFERROR(__xludf.DUMMYFUNCTION("""COMPUTED_VALUE"""),0.3333333333333333)</f>
        <v>0.3333333333</v>
      </c>
      <c r="D14456" s="8">
        <f>IFERROR(__xludf.DUMMYFUNCTION("""COMPUTED_VALUE"""),0.053)</f>
        <v>0.053</v>
      </c>
      <c r="E14456" s="8" t="str">
        <f>IFERROR(__xludf.DUMMYFUNCTION("""COMPUTED_VALUE"""),"Real")</f>
        <v>Real</v>
      </c>
      <c r="G14456" s="8">
        <f t="shared" si="1"/>
        <v>6</v>
      </c>
      <c r="H14456" s="14">
        <f t="shared" si="2"/>
        <v>25</v>
      </c>
      <c r="I14456" s="15">
        <f t="shared" si="3"/>
        <v>8</v>
      </c>
    </row>
    <row r="14457">
      <c r="A14457" s="8" t="str">
        <f>IFERROR(__xludf.DUMMYFUNCTION("IF('(INGESTA)Datos_consumo_datadis'!A14457&lt;&gt;"""",SPLIT('(INGESTA)Datos_consumo_datadis'!A:A,"",""),"""")"),"ES0031408323131005HX0F")</f>
        <v>ES0031408323131005HX0F</v>
      </c>
      <c r="B14457" s="12">
        <f>IFERROR(__xludf.DUMMYFUNCTION("""COMPUTED_VALUE"""),45468.0)</f>
        <v>45468</v>
      </c>
      <c r="C14457" s="13">
        <f>IFERROR(__xludf.DUMMYFUNCTION("""COMPUTED_VALUE"""),0.375)</f>
        <v>0.375</v>
      </c>
      <c r="D14457" s="8">
        <f>IFERROR(__xludf.DUMMYFUNCTION("""COMPUTED_VALUE"""),0.095)</f>
        <v>0.095</v>
      </c>
      <c r="E14457" s="8" t="str">
        <f>IFERROR(__xludf.DUMMYFUNCTION("""COMPUTED_VALUE"""),"Real")</f>
        <v>Real</v>
      </c>
      <c r="G14457" s="8">
        <f t="shared" si="1"/>
        <v>6</v>
      </c>
      <c r="H14457" s="14">
        <f t="shared" si="2"/>
        <v>25</v>
      </c>
      <c r="I14457" s="15">
        <f t="shared" si="3"/>
        <v>9</v>
      </c>
    </row>
    <row r="14458">
      <c r="A14458" s="8" t="str">
        <f>IFERROR(__xludf.DUMMYFUNCTION("IF('(INGESTA)Datos_consumo_datadis'!A14458&lt;&gt;"""",SPLIT('(INGESTA)Datos_consumo_datadis'!A:A,"",""),"""")"),"ES0031408323131005HX0F")</f>
        <v>ES0031408323131005HX0F</v>
      </c>
      <c r="B14458" s="12">
        <f>IFERROR(__xludf.DUMMYFUNCTION("""COMPUTED_VALUE"""),45468.0)</f>
        <v>45468</v>
      </c>
      <c r="C14458" s="13">
        <f>IFERROR(__xludf.DUMMYFUNCTION("""COMPUTED_VALUE"""),0.4166666666666667)</f>
        <v>0.4166666667</v>
      </c>
      <c r="D14458" s="8">
        <f>IFERROR(__xludf.DUMMYFUNCTION("""COMPUTED_VALUE"""),0.06)</f>
        <v>0.06</v>
      </c>
      <c r="E14458" s="8" t="str">
        <f>IFERROR(__xludf.DUMMYFUNCTION("""COMPUTED_VALUE"""),"Real")</f>
        <v>Real</v>
      </c>
      <c r="G14458" s="8">
        <f t="shared" si="1"/>
        <v>6</v>
      </c>
      <c r="H14458" s="14">
        <f t="shared" si="2"/>
        <v>25</v>
      </c>
      <c r="I14458" s="15">
        <f t="shared" si="3"/>
        <v>10</v>
      </c>
    </row>
    <row r="14459">
      <c r="A14459" s="8" t="str">
        <f>IFERROR(__xludf.DUMMYFUNCTION("IF('(INGESTA)Datos_consumo_datadis'!A14459&lt;&gt;"""",SPLIT('(INGESTA)Datos_consumo_datadis'!A:A,"",""),"""")"),"ES0031408323131005HX0F")</f>
        <v>ES0031408323131005HX0F</v>
      </c>
      <c r="B14459" s="12">
        <f>IFERROR(__xludf.DUMMYFUNCTION("""COMPUTED_VALUE"""),45468.0)</f>
        <v>45468</v>
      </c>
      <c r="C14459" s="13">
        <f>IFERROR(__xludf.DUMMYFUNCTION("""COMPUTED_VALUE"""),0.4583333333333333)</f>
        <v>0.4583333333</v>
      </c>
      <c r="D14459" s="8">
        <f>IFERROR(__xludf.DUMMYFUNCTION("""COMPUTED_VALUE"""),0.335)</f>
        <v>0.335</v>
      </c>
      <c r="E14459" s="8" t="str">
        <f>IFERROR(__xludf.DUMMYFUNCTION("""COMPUTED_VALUE"""),"Real")</f>
        <v>Real</v>
      </c>
      <c r="G14459" s="8">
        <f t="shared" si="1"/>
        <v>6</v>
      </c>
      <c r="H14459" s="14">
        <f t="shared" si="2"/>
        <v>25</v>
      </c>
      <c r="I14459" s="15">
        <f t="shared" si="3"/>
        <v>11</v>
      </c>
    </row>
    <row r="14460">
      <c r="A14460" s="8" t="str">
        <f>IFERROR(__xludf.DUMMYFUNCTION("IF('(INGESTA)Datos_consumo_datadis'!A14460&lt;&gt;"""",SPLIT('(INGESTA)Datos_consumo_datadis'!A:A,"",""),"""")"),"ES0031408323131005HX0F")</f>
        <v>ES0031408323131005HX0F</v>
      </c>
      <c r="B14460" s="12">
        <f>IFERROR(__xludf.DUMMYFUNCTION("""COMPUTED_VALUE"""),45468.0)</f>
        <v>45468</v>
      </c>
      <c r="C14460" s="13">
        <f>IFERROR(__xludf.DUMMYFUNCTION("""COMPUTED_VALUE"""),0.5)</f>
        <v>0.5</v>
      </c>
      <c r="D14460" s="8">
        <f>IFERROR(__xludf.DUMMYFUNCTION("""COMPUTED_VALUE"""),0.042)</f>
        <v>0.042</v>
      </c>
      <c r="E14460" s="8" t="str">
        <f>IFERROR(__xludf.DUMMYFUNCTION("""COMPUTED_VALUE"""),"Real")</f>
        <v>Real</v>
      </c>
      <c r="G14460" s="8">
        <f t="shared" si="1"/>
        <v>6</v>
      </c>
      <c r="H14460" s="14">
        <f t="shared" si="2"/>
        <v>25</v>
      </c>
      <c r="I14460" s="15">
        <f t="shared" si="3"/>
        <v>12</v>
      </c>
    </row>
    <row r="14461">
      <c r="A14461" s="8" t="str">
        <f>IFERROR(__xludf.DUMMYFUNCTION("IF('(INGESTA)Datos_consumo_datadis'!A14461&lt;&gt;"""",SPLIT('(INGESTA)Datos_consumo_datadis'!A:A,"",""),"""")"),"ES0031408323131005HX0F")</f>
        <v>ES0031408323131005HX0F</v>
      </c>
      <c r="B14461" s="12">
        <f>IFERROR(__xludf.DUMMYFUNCTION("""COMPUTED_VALUE"""),45468.0)</f>
        <v>45468</v>
      </c>
      <c r="C14461" s="13">
        <f>IFERROR(__xludf.DUMMYFUNCTION("""COMPUTED_VALUE"""),0.5416666666666666)</f>
        <v>0.5416666667</v>
      </c>
      <c r="D14461" s="8">
        <f>IFERROR(__xludf.DUMMYFUNCTION("""COMPUTED_VALUE"""),0.105)</f>
        <v>0.105</v>
      </c>
      <c r="E14461" s="8" t="str">
        <f>IFERROR(__xludf.DUMMYFUNCTION("""COMPUTED_VALUE"""),"Real")</f>
        <v>Real</v>
      </c>
      <c r="G14461" s="8">
        <f t="shared" si="1"/>
        <v>6</v>
      </c>
      <c r="H14461" s="14">
        <f t="shared" si="2"/>
        <v>25</v>
      </c>
      <c r="I14461" s="15">
        <f t="shared" si="3"/>
        <v>13</v>
      </c>
    </row>
    <row r="14462">
      <c r="A14462" s="8" t="str">
        <f>IFERROR(__xludf.DUMMYFUNCTION("IF('(INGESTA)Datos_consumo_datadis'!A14462&lt;&gt;"""",SPLIT('(INGESTA)Datos_consumo_datadis'!A:A,"",""),"""")"),"ES0031408323131005HX0F")</f>
        <v>ES0031408323131005HX0F</v>
      </c>
      <c r="B14462" s="12">
        <f>IFERROR(__xludf.DUMMYFUNCTION("""COMPUTED_VALUE"""),45468.0)</f>
        <v>45468</v>
      </c>
      <c r="C14462" s="13">
        <f>IFERROR(__xludf.DUMMYFUNCTION("""COMPUTED_VALUE"""),0.5833333333333334)</f>
        <v>0.5833333333</v>
      </c>
      <c r="D14462" s="8">
        <f>IFERROR(__xludf.DUMMYFUNCTION("""COMPUTED_VALUE"""),0.054)</f>
        <v>0.054</v>
      </c>
      <c r="E14462" s="8" t="str">
        <f>IFERROR(__xludf.DUMMYFUNCTION("""COMPUTED_VALUE"""),"Real")</f>
        <v>Real</v>
      </c>
      <c r="G14462" s="8">
        <f t="shared" si="1"/>
        <v>6</v>
      </c>
      <c r="H14462" s="14">
        <f t="shared" si="2"/>
        <v>25</v>
      </c>
      <c r="I14462" s="15">
        <f t="shared" si="3"/>
        <v>14</v>
      </c>
    </row>
    <row r="14463">
      <c r="A14463" s="8" t="str">
        <f>IFERROR(__xludf.DUMMYFUNCTION("IF('(INGESTA)Datos_consumo_datadis'!A14463&lt;&gt;"""",SPLIT('(INGESTA)Datos_consumo_datadis'!A:A,"",""),"""")"),"ES0031408323131005HX0F")</f>
        <v>ES0031408323131005HX0F</v>
      </c>
      <c r="B14463" s="12">
        <f>IFERROR(__xludf.DUMMYFUNCTION("""COMPUTED_VALUE"""),45468.0)</f>
        <v>45468</v>
      </c>
      <c r="C14463" s="13">
        <f>IFERROR(__xludf.DUMMYFUNCTION("""COMPUTED_VALUE"""),0.625)</f>
        <v>0.625</v>
      </c>
      <c r="D14463" s="8">
        <f>IFERROR(__xludf.DUMMYFUNCTION("""COMPUTED_VALUE"""),0.051)</f>
        <v>0.051</v>
      </c>
      <c r="E14463" s="8" t="str">
        <f>IFERROR(__xludf.DUMMYFUNCTION("""COMPUTED_VALUE"""),"Real")</f>
        <v>Real</v>
      </c>
      <c r="G14463" s="8">
        <f t="shared" si="1"/>
        <v>6</v>
      </c>
      <c r="H14463" s="14">
        <f t="shared" si="2"/>
        <v>25</v>
      </c>
      <c r="I14463" s="15">
        <f t="shared" si="3"/>
        <v>15</v>
      </c>
    </row>
    <row r="14464">
      <c r="A14464" s="8" t="str">
        <f>IFERROR(__xludf.DUMMYFUNCTION("IF('(INGESTA)Datos_consumo_datadis'!A14464&lt;&gt;"""",SPLIT('(INGESTA)Datos_consumo_datadis'!A:A,"",""),"""")"),"ES0031408323131005HX0F")</f>
        <v>ES0031408323131005HX0F</v>
      </c>
      <c r="B14464" s="12">
        <f>IFERROR(__xludf.DUMMYFUNCTION("""COMPUTED_VALUE"""),45468.0)</f>
        <v>45468</v>
      </c>
      <c r="C14464" s="13">
        <f>IFERROR(__xludf.DUMMYFUNCTION("""COMPUTED_VALUE"""),0.6666666666666666)</f>
        <v>0.6666666667</v>
      </c>
      <c r="D14464" s="8">
        <f>IFERROR(__xludf.DUMMYFUNCTION("""COMPUTED_VALUE"""),0.014)</f>
        <v>0.014</v>
      </c>
      <c r="E14464" s="8" t="str">
        <f>IFERROR(__xludf.DUMMYFUNCTION("""COMPUTED_VALUE"""),"Real")</f>
        <v>Real</v>
      </c>
      <c r="G14464" s="8">
        <f t="shared" si="1"/>
        <v>6</v>
      </c>
      <c r="H14464" s="14">
        <f t="shared" si="2"/>
        <v>25</v>
      </c>
      <c r="I14464" s="15">
        <f t="shared" si="3"/>
        <v>16</v>
      </c>
    </row>
    <row r="14465">
      <c r="A14465" s="8" t="str">
        <f>IFERROR(__xludf.DUMMYFUNCTION("IF('(INGESTA)Datos_consumo_datadis'!A14465&lt;&gt;"""",SPLIT('(INGESTA)Datos_consumo_datadis'!A:A,"",""),"""")"),"ES0031408323131005HX0F")</f>
        <v>ES0031408323131005HX0F</v>
      </c>
      <c r="B14465" s="12">
        <f>IFERROR(__xludf.DUMMYFUNCTION("""COMPUTED_VALUE"""),45468.0)</f>
        <v>45468</v>
      </c>
      <c r="C14465" s="13">
        <f>IFERROR(__xludf.DUMMYFUNCTION("""COMPUTED_VALUE"""),0.7083333333333334)</f>
        <v>0.7083333333</v>
      </c>
      <c r="D14465" s="8">
        <f>IFERROR(__xludf.DUMMYFUNCTION("""COMPUTED_VALUE"""),0.116)</f>
        <v>0.116</v>
      </c>
      <c r="E14465" s="8" t="str">
        <f>IFERROR(__xludf.DUMMYFUNCTION("""COMPUTED_VALUE"""),"Real")</f>
        <v>Real</v>
      </c>
      <c r="G14465" s="8">
        <f t="shared" si="1"/>
        <v>6</v>
      </c>
      <c r="H14465" s="14">
        <f t="shared" si="2"/>
        <v>25</v>
      </c>
      <c r="I14465" s="15">
        <f t="shared" si="3"/>
        <v>17</v>
      </c>
    </row>
    <row r="14466">
      <c r="A14466" s="8" t="str">
        <f>IFERROR(__xludf.DUMMYFUNCTION("IF('(INGESTA)Datos_consumo_datadis'!A14466&lt;&gt;"""",SPLIT('(INGESTA)Datos_consumo_datadis'!A:A,"",""),"""")"),"ES0031408323131005HX0F")</f>
        <v>ES0031408323131005HX0F</v>
      </c>
      <c r="B14466" s="12">
        <f>IFERROR(__xludf.DUMMYFUNCTION("""COMPUTED_VALUE"""),45468.0)</f>
        <v>45468</v>
      </c>
      <c r="C14466" s="13">
        <f>IFERROR(__xludf.DUMMYFUNCTION("""COMPUTED_VALUE"""),0.75)</f>
        <v>0.75</v>
      </c>
      <c r="D14466" s="8">
        <f>IFERROR(__xludf.DUMMYFUNCTION("""COMPUTED_VALUE"""),0.07)</f>
        <v>0.07</v>
      </c>
      <c r="E14466" s="8" t="str">
        <f>IFERROR(__xludf.DUMMYFUNCTION("""COMPUTED_VALUE"""),"Real")</f>
        <v>Real</v>
      </c>
      <c r="G14466" s="8">
        <f t="shared" si="1"/>
        <v>6</v>
      </c>
      <c r="H14466" s="14">
        <f t="shared" si="2"/>
        <v>25</v>
      </c>
      <c r="I14466" s="15">
        <f t="shared" si="3"/>
        <v>18</v>
      </c>
    </row>
    <row r="14467">
      <c r="A14467" s="8" t="str">
        <f>IFERROR(__xludf.DUMMYFUNCTION("IF('(INGESTA)Datos_consumo_datadis'!A14467&lt;&gt;"""",SPLIT('(INGESTA)Datos_consumo_datadis'!A:A,"",""),"""")"),"ES0031408323131005HX0F")</f>
        <v>ES0031408323131005HX0F</v>
      </c>
      <c r="B14467" s="12">
        <f>IFERROR(__xludf.DUMMYFUNCTION("""COMPUTED_VALUE"""),45468.0)</f>
        <v>45468</v>
      </c>
      <c r="C14467" s="13">
        <f>IFERROR(__xludf.DUMMYFUNCTION("""COMPUTED_VALUE"""),0.7916666666666666)</f>
        <v>0.7916666667</v>
      </c>
      <c r="D14467" s="8">
        <f>IFERROR(__xludf.DUMMYFUNCTION("""COMPUTED_VALUE"""),0.34)</f>
        <v>0.34</v>
      </c>
      <c r="E14467" s="8" t="str">
        <f>IFERROR(__xludf.DUMMYFUNCTION("""COMPUTED_VALUE"""),"Real")</f>
        <v>Real</v>
      </c>
      <c r="G14467" s="8">
        <f t="shared" si="1"/>
        <v>6</v>
      </c>
      <c r="H14467" s="14">
        <f t="shared" si="2"/>
        <v>25</v>
      </c>
      <c r="I14467" s="15">
        <f t="shared" si="3"/>
        <v>19</v>
      </c>
    </row>
    <row r="14468">
      <c r="A14468" s="8" t="str">
        <f>IFERROR(__xludf.DUMMYFUNCTION("IF('(INGESTA)Datos_consumo_datadis'!A14468&lt;&gt;"""",SPLIT('(INGESTA)Datos_consumo_datadis'!A:A,"",""),"""")"),"ES0031408323131005HX0F")</f>
        <v>ES0031408323131005HX0F</v>
      </c>
      <c r="B14468" s="12">
        <f>IFERROR(__xludf.DUMMYFUNCTION("""COMPUTED_VALUE"""),45468.0)</f>
        <v>45468</v>
      </c>
      <c r="C14468" s="13">
        <f>IFERROR(__xludf.DUMMYFUNCTION("""COMPUTED_VALUE"""),0.8333333333333334)</f>
        <v>0.8333333333</v>
      </c>
      <c r="D14468" s="8">
        <f>IFERROR(__xludf.DUMMYFUNCTION("""COMPUTED_VALUE"""),0.011)</f>
        <v>0.011</v>
      </c>
      <c r="E14468" s="8" t="str">
        <f>IFERROR(__xludf.DUMMYFUNCTION("""COMPUTED_VALUE"""),"Real")</f>
        <v>Real</v>
      </c>
      <c r="G14468" s="8">
        <f t="shared" si="1"/>
        <v>6</v>
      </c>
      <c r="H14468" s="14">
        <f t="shared" si="2"/>
        <v>25</v>
      </c>
      <c r="I14468" s="15">
        <f t="shared" si="3"/>
        <v>20</v>
      </c>
    </row>
    <row r="14469">
      <c r="A14469" s="8" t="str">
        <f>IFERROR(__xludf.DUMMYFUNCTION("IF('(INGESTA)Datos_consumo_datadis'!A14469&lt;&gt;"""",SPLIT('(INGESTA)Datos_consumo_datadis'!A:A,"",""),"""")"),"ES0031408323131005HX0F")</f>
        <v>ES0031408323131005HX0F</v>
      </c>
      <c r="B14469" s="12">
        <f>IFERROR(__xludf.DUMMYFUNCTION("""COMPUTED_VALUE"""),45468.0)</f>
        <v>45468</v>
      </c>
      <c r="C14469" s="13">
        <f>IFERROR(__xludf.DUMMYFUNCTION("""COMPUTED_VALUE"""),0.875)</f>
        <v>0.875</v>
      </c>
      <c r="D14469" s="8">
        <f>IFERROR(__xludf.DUMMYFUNCTION("""COMPUTED_VALUE"""),0.108)</f>
        <v>0.108</v>
      </c>
      <c r="E14469" s="8" t="str">
        <f>IFERROR(__xludf.DUMMYFUNCTION("""COMPUTED_VALUE"""),"Real")</f>
        <v>Real</v>
      </c>
      <c r="G14469" s="8">
        <f t="shared" si="1"/>
        <v>6</v>
      </c>
      <c r="H14469" s="14">
        <f t="shared" si="2"/>
        <v>25</v>
      </c>
      <c r="I14469" s="15">
        <f t="shared" si="3"/>
        <v>21</v>
      </c>
    </row>
    <row r="14470">
      <c r="A14470" s="8" t="str">
        <f>IFERROR(__xludf.DUMMYFUNCTION("IF('(INGESTA)Datos_consumo_datadis'!A14470&lt;&gt;"""",SPLIT('(INGESTA)Datos_consumo_datadis'!A:A,"",""),"""")"),"ES0031408323131005HX0F")</f>
        <v>ES0031408323131005HX0F</v>
      </c>
      <c r="B14470" s="12">
        <f>IFERROR(__xludf.DUMMYFUNCTION("""COMPUTED_VALUE"""),45468.0)</f>
        <v>45468</v>
      </c>
      <c r="C14470" s="13">
        <f>IFERROR(__xludf.DUMMYFUNCTION("""COMPUTED_VALUE"""),0.9166666666666666)</f>
        <v>0.9166666667</v>
      </c>
      <c r="D14470" s="8">
        <f>IFERROR(__xludf.DUMMYFUNCTION("""COMPUTED_VALUE"""),0.076)</f>
        <v>0.076</v>
      </c>
      <c r="E14470" s="8" t="str">
        <f>IFERROR(__xludf.DUMMYFUNCTION("""COMPUTED_VALUE"""),"Real")</f>
        <v>Real</v>
      </c>
      <c r="G14470" s="8">
        <f t="shared" si="1"/>
        <v>6</v>
      </c>
      <c r="H14470" s="14">
        <f t="shared" si="2"/>
        <v>25</v>
      </c>
      <c r="I14470" s="15">
        <f t="shared" si="3"/>
        <v>22</v>
      </c>
    </row>
    <row r="14471">
      <c r="A14471" s="8" t="str">
        <f>IFERROR(__xludf.DUMMYFUNCTION("IF('(INGESTA)Datos_consumo_datadis'!A14471&lt;&gt;"""",SPLIT('(INGESTA)Datos_consumo_datadis'!A:A,"",""),"""")"),"ES0031408323131005HX0F")</f>
        <v>ES0031408323131005HX0F</v>
      </c>
      <c r="B14471" s="12">
        <f>IFERROR(__xludf.DUMMYFUNCTION("""COMPUTED_VALUE"""),45468.0)</f>
        <v>45468</v>
      </c>
      <c r="C14471" s="13">
        <f>IFERROR(__xludf.DUMMYFUNCTION("""COMPUTED_VALUE"""),0.9583333333333334)</f>
        <v>0.9583333333</v>
      </c>
      <c r="D14471" s="8">
        <f>IFERROR(__xludf.DUMMYFUNCTION("""COMPUTED_VALUE"""),0.065)</f>
        <v>0.065</v>
      </c>
      <c r="E14471" s="8" t="str">
        <f>IFERROR(__xludf.DUMMYFUNCTION("""COMPUTED_VALUE"""),"Real")</f>
        <v>Real</v>
      </c>
      <c r="G14471" s="8">
        <f t="shared" si="1"/>
        <v>6</v>
      </c>
      <c r="H14471" s="14">
        <f t="shared" si="2"/>
        <v>25</v>
      </c>
      <c r="I14471" s="15">
        <f t="shared" si="3"/>
        <v>23</v>
      </c>
    </row>
    <row r="14472">
      <c r="A14472" s="8" t="str">
        <f>IFERROR(__xludf.DUMMYFUNCTION("IF('(INGESTA)Datos_consumo_datadis'!A14472&lt;&gt;"""",SPLIT('(INGESTA)Datos_consumo_datadis'!A:A,"",""),"""")"),"ES0031408323131005HX0F")</f>
        <v>ES0031408323131005HX0F</v>
      </c>
      <c r="B14472" s="12">
        <f>IFERROR(__xludf.DUMMYFUNCTION("""COMPUTED_VALUE"""),45468.0)</f>
        <v>45468</v>
      </c>
      <c r="C14472" s="16">
        <f>IFERROR(__xludf.DUMMYFUNCTION("""COMPUTED_VALUE"""),1.0)</f>
        <v>1</v>
      </c>
      <c r="D14472" s="8">
        <f>IFERROR(__xludf.DUMMYFUNCTION("""COMPUTED_VALUE"""),0.011)</f>
        <v>0.011</v>
      </c>
      <c r="E14472" s="8" t="str">
        <f>IFERROR(__xludf.DUMMYFUNCTION("""COMPUTED_VALUE"""),"Real")</f>
        <v>Real</v>
      </c>
      <c r="G14472" s="8">
        <f t="shared" si="1"/>
        <v>6</v>
      </c>
      <c r="H14472" s="14">
        <f t="shared" si="2"/>
        <v>25</v>
      </c>
      <c r="I14472" s="15">
        <f t="shared" si="3"/>
        <v>0</v>
      </c>
    </row>
    <row r="14473">
      <c r="A14473" s="8" t="str">
        <f>IFERROR(__xludf.DUMMYFUNCTION("IF('(INGESTA)Datos_consumo_datadis'!A14473&lt;&gt;"""",SPLIT('(INGESTA)Datos_consumo_datadis'!A:A,"",""),"""")"),"ES0031408323131005HX0F")</f>
        <v>ES0031408323131005HX0F</v>
      </c>
      <c r="B14473" s="12">
        <f>IFERROR(__xludf.DUMMYFUNCTION("""COMPUTED_VALUE"""),45469.0)</f>
        <v>45469</v>
      </c>
      <c r="C14473" s="13">
        <f>IFERROR(__xludf.DUMMYFUNCTION("""COMPUTED_VALUE"""),0.041666666666666664)</f>
        <v>0.04166666667</v>
      </c>
      <c r="D14473" s="8">
        <f>IFERROR(__xludf.DUMMYFUNCTION("""COMPUTED_VALUE"""),0.074)</f>
        <v>0.074</v>
      </c>
      <c r="E14473" s="8" t="str">
        <f>IFERROR(__xludf.DUMMYFUNCTION("""COMPUTED_VALUE"""),"Real")</f>
        <v>Real</v>
      </c>
      <c r="G14473" s="8">
        <f t="shared" si="1"/>
        <v>6</v>
      </c>
      <c r="H14473" s="14">
        <f t="shared" si="2"/>
        <v>26</v>
      </c>
      <c r="I14473" s="15">
        <f t="shared" si="3"/>
        <v>1</v>
      </c>
    </row>
    <row r="14474">
      <c r="A14474" s="8" t="str">
        <f>IFERROR(__xludf.DUMMYFUNCTION("IF('(INGESTA)Datos_consumo_datadis'!A14474&lt;&gt;"""",SPLIT('(INGESTA)Datos_consumo_datadis'!A:A,"",""),"""")"),"ES0031408323131005HX0F")</f>
        <v>ES0031408323131005HX0F</v>
      </c>
      <c r="B14474" s="12">
        <f>IFERROR(__xludf.DUMMYFUNCTION("""COMPUTED_VALUE"""),45469.0)</f>
        <v>45469</v>
      </c>
      <c r="C14474" s="13">
        <f>IFERROR(__xludf.DUMMYFUNCTION("""COMPUTED_VALUE"""),0.08333333333333333)</f>
        <v>0.08333333333</v>
      </c>
      <c r="D14474" s="8">
        <f>IFERROR(__xludf.DUMMYFUNCTION("""COMPUTED_VALUE"""),0.081)</f>
        <v>0.081</v>
      </c>
      <c r="E14474" s="8" t="str">
        <f>IFERROR(__xludf.DUMMYFUNCTION("""COMPUTED_VALUE"""),"Real")</f>
        <v>Real</v>
      </c>
      <c r="G14474" s="8">
        <f t="shared" si="1"/>
        <v>6</v>
      </c>
      <c r="H14474" s="14">
        <f t="shared" si="2"/>
        <v>26</v>
      </c>
      <c r="I14474" s="15">
        <f t="shared" si="3"/>
        <v>2</v>
      </c>
    </row>
    <row r="14475">
      <c r="A14475" s="8" t="str">
        <f>IFERROR(__xludf.DUMMYFUNCTION("IF('(INGESTA)Datos_consumo_datadis'!A14475&lt;&gt;"""",SPLIT('(INGESTA)Datos_consumo_datadis'!A:A,"",""),"""")"),"ES0031408323131005HX0F")</f>
        <v>ES0031408323131005HX0F</v>
      </c>
      <c r="B14475" s="12">
        <f>IFERROR(__xludf.DUMMYFUNCTION("""COMPUTED_VALUE"""),45469.0)</f>
        <v>45469</v>
      </c>
      <c r="C14475" s="13">
        <f>IFERROR(__xludf.DUMMYFUNCTION("""COMPUTED_VALUE"""),0.125)</f>
        <v>0.125</v>
      </c>
      <c r="D14475" s="8">
        <f>IFERROR(__xludf.DUMMYFUNCTION("""COMPUTED_VALUE"""),0.384)</f>
        <v>0.384</v>
      </c>
      <c r="E14475" s="8" t="str">
        <f>IFERROR(__xludf.DUMMYFUNCTION("""COMPUTED_VALUE"""),"Real")</f>
        <v>Real</v>
      </c>
      <c r="G14475" s="8">
        <f t="shared" si="1"/>
        <v>6</v>
      </c>
      <c r="H14475" s="14">
        <f t="shared" si="2"/>
        <v>26</v>
      </c>
      <c r="I14475" s="15">
        <f t="shared" si="3"/>
        <v>3</v>
      </c>
    </row>
    <row r="14476">
      <c r="A14476" s="8" t="str">
        <f>IFERROR(__xludf.DUMMYFUNCTION("IF('(INGESTA)Datos_consumo_datadis'!A14476&lt;&gt;"""",SPLIT('(INGESTA)Datos_consumo_datadis'!A:A,"",""),"""")"),"ES0031408323131005HX0F")</f>
        <v>ES0031408323131005HX0F</v>
      </c>
      <c r="B14476" s="12">
        <f>IFERROR(__xludf.DUMMYFUNCTION("""COMPUTED_VALUE"""),45469.0)</f>
        <v>45469</v>
      </c>
      <c r="C14476" s="13">
        <f>IFERROR(__xludf.DUMMYFUNCTION("""COMPUTED_VALUE"""),0.16666666666666666)</f>
        <v>0.1666666667</v>
      </c>
      <c r="D14476" s="8">
        <f>IFERROR(__xludf.DUMMYFUNCTION("""COMPUTED_VALUE"""),0.028)</f>
        <v>0.028</v>
      </c>
      <c r="E14476" s="8" t="str">
        <f>IFERROR(__xludf.DUMMYFUNCTION("""COMPUTED_VALUE"""),"Real")</f>
        <v>Real</v>
      </c>
      <c r="G14476" s="8">
        <f t="shared" si="1"/>
        <v>6</v>
      </c>
      <c r="H14476" s="14">
        <f t="shared" si="2"/>
        <v>26</v>
      </c>
      <c r="I14476" s="15">
        <f t="shared" si="3"/>
        <v>4</v>
      </c>
    </row>
    <row r="14477">
      <c r="A14477" s="8" t="str">
        <f>IFERROR(__xludf.DUMMYFUNCTION("IF('(INGESTA)Datos_consumo_datadis'!A14477&lt;&gt;"""",SPLIT('(INGESTA)Datos_consumo_datadis'!A:A,"",""),"""")"),"ES0031408323131005HX0F")</f>
        <v>ES0031408323131005HX0F</v>
      </c>
      <c r="B14477" s="12">
        <f>IFERROR(__xludf.DUMMYFUNCTION("""COMPUTED_VALUE"""),45469.0)</f>
        <v>45469</v>
      </c>
      <c r="C14477" s="13">
        <f>IFERROR(__xludf.DUMMYFUNCTION("""COMPUTED_VALUE"""),0.20833333333333334)</f>
        <v>0.2083333333</v>
      </c>
      <c r="D14477" s="8">
        <f>IFERROR(__xludf.DUMMYFUNCTION("""COMPUTED_VALUE"""),0.041)</f>
        <v>0.041</v>
      </c>
      <c r="E14477" s="8" t="str">
        <f>IFERROR(__xludf.DUMMYFUNCTION("""COMPUTED_VALUE"""),"Real")</f>
        <v>Real</v>
      </c>
      <c r="G14477" s="8">
        <f t="shared" si="1"/>
        <v>6</v>
      </c>
      <c r="H14477" s="14">
        <f t="shared" si="2"/>
        <v>26</v>
      </c>
      <c r="I14477" s="15">
        <f t="shared" si="3"/>
        <v>5</v>
      </c>
    </row>
    <row r="14478">
      <c r="A14478" s="8" t="str">
        <f>IFERROR(__xludf.DUMMYFUNCTION("IF('(INGESTA)Datos_consumo_datadis'!A14478&lt;&gt;"""",SPLIT('(INGESTA)Datos_consumo_datadis'!A:A,"",""),"""")"),"ES0031408323131005HX0F")</f>
        <v>ES0031408323131005HX0F</v>
      </c>
      <c r="B14478" s="12">
        <f>IFERROR(__xludf.DUMMYFUNCTION("""COMPUTED_VALUE"""),45469.0)</f>
        <v>45469</v>
      </c>
      <c r="C14478" s="13">
        <f>IFERROR(__xludf.DUMMYFUNCTION("""COMPUTED_VALUE"""),0.25)</f>
        <v>0.25</v>
      </c>
      <c r="D14478" s="8">
        <f>IFERROR(__xludf.DUMMYFUNCTION("""COMPUTED_VALUE"""),0.112)</f>
        <v>0.112</v>
      </c>
      <c r="E14478" s="8" t="str">
        <f>IFERROR(__xludf.DUMMYFUNCTION("""COMPUTED_VALUE"""),"Real")</f>
        <v>Real</v>
      </c>
      <c r="G14478" s="8">
        <f t="shared" si="1"/>
        <v>6</v>
      </c>
      <c r="H14478" s="14">
        <f t="shared" si="2"/>
        <v>26</v>
      </c>
      <c r="I14478" s="15">
        <f t="shared" si="3"/>
        <v>6</v>
      </c>
    </row>
    <row r="14479">
      <c r="A14479" s="8" t="str">
        <f>IFERROR(__xludf.DUMMYFUNCTION("IF('(INGESTA)Datos_consumo_datadis'!A14479&lt;&gt;"""",SPLIT('(INGESTA)Datos_consumo_datadis'!A:A,"",""),"""")"),"ES0031408323131005HX0F")</f>
        <v>ES0031408323131005HX0F</v>
      </c>
      <c r="B14479" s="12">
        <f>IFERROR(__xludf.DUMMYFUNCTION("""COMPUTED_VALUE"""),45469.0)</f>
        <v>45469</v>
      </c>
      <c r="C14479" s="13">
        <f>IFERROR(__xludf.DUMMYFUNCTION("""COMPUTED_VALUE"""),0.2916666666666667)</f>
        <v>0.2916666667</v>
      </c>
      <c r="D14479" s="8">
        <f>IFERROR(__xludf.DUMMYFUNCTION("""COMPUTED_VALUE"""),0.049)</f>
        <v>0.049</v>
      </c>
      <c r="E14479" s="8" t="str">
        <f>IFERROR(__xludf.DUMMYFUNCTION("""COMPUTED_VALUE"""),"Real")</f>
        <v>Real</v>
      </c>
      <c r="G14479" s="8">
        <f t="shared" si="1"/>
        <v>6</v>
      </c>
      <c r="H14479" s="14">
        <f t="shared" si="2"/>
        <v>26</v>
      </c>
      <c r="I14479" s="15">
        <f t="shared" si="3"/>
        <v>7</v>
      </c>
    </row>
    <row r="14480">
      <c r="A14480" s="8" t="str">
        <f>IFERROR(__xludf.DUMMYFUNCTION("IF('(INGESTA)Datos_consumo_datadis'!A14480&lt;&gt;"""",SPLIT('(INGESTA)Datos_consumo_datadis'!A:A,"",""),"""")"),"ES0031408323131005HX0F")</f>
        <v>ES0031408323131005HX0F</v>
      </c>
      <c r="B14480" s="12">
        <f>IFERROR(__xludf.DUMMYFUNCTION("""COMPUTED_VALUE"""),45469.0)</f>
        <v>45469</v>
      </c>
      <c r="C14480" s="13">
        <f>IFERROR(__xludf.DUMMYFUNCTION("""COMPUTED_VALUE"""),0.3333333333333333)</f>
        <v>0.3333333333</v>
      </c>
      <c r="D14480" s="8">
        <f>IFERROR(__xludf.DUMMYFUNCTION("""COMPUTED_VALUE"""),0.047)</f>
        <v>0.047</v>
      </c>
      <c r="E14480" s="8" t="str">
        <f>IFERROR(__xludf.DUMMYFUNCTION("""COMPUTED_VALUE"""),"Real")</f>
        <v>Real</v>
      </c>
      <c r="G14480" s="8">
        <f t="shared" si="1"/>
        <v>6</v>
      </c>
      <c r="H14480" s="14">
        <f t="shared" si="2"/>
        <v>26</v>
      </c>
      <c r="I14480" s="15">
        <f t="shared" si="3"/>
        <v>8</v>
      </c>
    </row>
    <row r="14481">
      <c r="A14481" s="8" t="str">
        <f>IFERROR(__xludf.DUMMYFUNCTION("IF('(INGESTA)Datos_consumo_datadis'!A14481&lt;&gt;"""",SPLIT('(INGESTA)Datos_consumo_datadis'!A:A,"",""),"""")"),"ES0031408323131005HX0F")</f>
        <v>ES0031408323131005HX0F</v>
      </c>
      <c r="B14481" s="12">
        <f>IFERROR(__xludf.DUMMYFUNCTION("""COMPUTED_VALUE"""),45469.0)</f>
        <v>45469</v>
      </c>
      <c r="C14481" s="13">
        <f>IFERROR(__xludf.DUMMYFUNCTION("""COMPUTED_VALUE"""),0.375)</f>
        <v>0.375</v>
      </c>
      <c r="D14481" s="8">
        <f>IFERROR(__xludf.DUMMYFUNCTION("""COMPUTED_VALUE"""),0.027)</f>
        <v>0.027</v>
      </c>
      <c r="E14481" s="8" t="str">
        <f>IFERROR(__xludf.DUMMYFUNCTION("""COMPUTED_VALUE"""),"Real")</f>
        <v>Real</v>
      </c>
      <c r="G14481" s="8">
        <f t="shared" si="1"/>
        <v>6</v>
      </c>
      <c r="H14481" s="14">
        <f t="shared" si="2"/>
        <v>26</v>
      </c>
      <c r="I14481" s="15">
        <f t="shared" si="3"/>
        <v>9</v>
      </c>
    </row>
    <row r="14482">
      <c r="A14482" s="8" t="str">
        <f>IFERROR(__xludf.DUMMYFUNCTION("IF('(INGESTA)Datos_consumo_datadis'!A14482&lt;&gt;"""",SPLIT('(INGESTA)Datos_consumo_datadis'!A:A,"",""),"""")"),"ES0031408323131005HX0F")</f>
        <v>ES0031408323131005HX0F</v>
      </c>
      <c r="B14482" s="12">
        <f>IFERROR(__xludf.DUMMYFUNCTION("""COMPUTED_VALUE"""),45469.0)</f>
        <v>45469</v>
      </c>
      <c r="C14482" s="13">
        <f>IFERROR(__xludf.DUMMYFUNCTION("""COMPUTED_VALUE"""),0.4166666666666667)</f>
        <v>0.4166666667</v>
      </c>
      <c r="D14482" s="8">
        <f>IFERROR(__xludf.DUMMYFUNCTION("""COMPUTED_VALUE"""),0.113)</f>
        <v>0.113</v>
      </c>
      <c r="E14482" s="8" t="str">
        <f>IFERROR(__xludf.DUMMYFUNCTION("""COMPUTED_VALUE"""),"Real")</f>
        <v>Real</v>
      </c>
      <c r="G14482" s="8">
        <f t="shared" si="1"/>
        <v>6</v>
      </c>
      <c r="H14482" s="14">
        <f t="shared" si="2"/>
        <v>26</v>
      </c>
      <c r="I14482" s="15">
        <f t="shared" si="3"/>
        <v>10</v>
      </c>
    </row>
    <row r="14483">
      <c r="A14483" s="8" t="str">
        <f>IFERROR(__xludf.DUMMYFUNCTION("IF('(INGESTA)Datos_consumo_datadis'!A14483&lt;&gt;"""",SPLIT('(INGESTA)Datos_consumo_datadis'!A:A,"",""),"""")"),"ES0031408323131005HX0F")</f>
        <v>ES0031408323131005HX0F</v>
      </c>
      <c r="B14483" s="12">
        <f>IFERROR(__xludf.DUMMYFUNCTION("""COMPUTED_VALUE"""),45469.0)</f>
        <v>45469</v>
      </c>
      <c r="C14483" s="13">
        <f>IFERROR(__xludf.DUMMYFUNCTION("""COMPUTED_VALUE"""),0.4583333333333333)</f>
        <v>0.4583333333</v>
      </c>
      <c r="D14483" s="8">
        <f>IFERROR(__xludf.DUMMYFUNCTION("""COMPUTED_VALUE"""),0.329)</f>
        <v>0.329</v>
      </c>
      <c r="E14483" s="8" t="str">
        <f>IFERROR(__xludf.DUMMYFUNCTION("""COMPUTED_VALUE"""),"Real")</f>
        <v>Real</v>
      </c>
      <c r="G14483" s="8">
        <f t="shared" si="1"/>
        <v>6</v>
      </c>
      <c r="H14483" s="14">
        <f t="shared" si="2"/>
        <v>26</v>
      </c>
      <c r="I14483" s="15">
        <f t="shared" si="3"/>
        <v>11</v>
      </c>
    </row>
    <row r="14484">
      <c r="A14484" s="8" t="str">
        <f>IFERROR(__xludf.DUMMYFUNCTION("IF('(INGESTA)Datos_consumo_datadis'!A14484&lt;&gt;"""",SPLIT('(INGESTA)Datos_consumo_datadis'!A:A,"",""),"""")"),"ES0031408323131005HX0F")</f>
        <v>ES0031408323131005HX0F</v>
      </c>
      <c r="B14484" s="12">
        <f>IFERROR(__xludf.DUMMYFUNCTION("""COMPUTED_VALUE"""),45469.0)</f>
        <v>45469</v>
      </c>
      <c r="C14484" s="13">
        <f>IFERROR(__xludf.DUMMYFUNCTION("""COMPUTED_VALUE"""),0.5)</f>
        <v>0.5</v>
      </c>
      <c r="D14484" s="8">
        <f>IFERROR(__xludf.DUMMYFUNCTION("""COMPUTED_VALUE"""),0.057)</f>
        <v>0.057</v>
      </c>
      <c r="E14484" s="8" t="str">
        <f>IFERROR(__xludf.DUMMYFUNCTION("""COMPUTED_VALUE"""),"Real")</f>
        <v>Real</v>
      </c>
      <c r="G14484" s="8">
        <f t="shared" si="1"/>
        <v>6</v>
      </c>
      <c r="H14484" s="14">
        <f t="shared" si="2"/>
        <v>26</v>
      </c>
      <c r="I14484" s="15">
        <f t="shared" si="3"/>
        <v>12</v>
      </c>
    </row>
    <row r="14485">
      <c r="A14485" s="8" t="str">
        <f>IFERROR(__xludf.DUMMYFUNCTION("IF('(INGESTA)Datos_consumo_datadis'!A14485&lt;&gt;"""",SPLIT('(INGESTA)Datos_consumo_datadis'!A:A,"",""),"""")"),"ES0031408323131005HX0F")</f>
        <v>ES0031408323131005HX0F</v>
      </c>
      <c r="B14485" s="12">
        <f>IFERROR(__xludf.DUMMYFUNCTION("""COMPUTED_VALUE"""),45469.0)</f>
        <v>45469</v>
      </c>
      <c r="C14485" s="13">
        <f>IFERROR(__xludf.DUMMYFUNCTION("""COMPUTED_VALUE"""),0.5416666666666666)</f>
        <v>0.5416666667</v>
      </c>
      <c r="D14485" s="8">
        <f>IFERROR(__xludf.DUMMYFUNCTION("""COMPUTED_VALUE"""),0.011)</f>
        <v>0.011</v>
      </c>
      <c r="E14485" s="8" t="str">
        <f>IFERROR(__xludf.DUMMYFUNCTION("""COMPUTED_VALUE"""),"Real")</f>
        <v>Real</v>
      </c>
      <c r="G14485" s="8">
        <f t="shared" si="1"/>
        <v>6</v>
      </c>
      <c r="H14485" s="14">
        <f t="shared" si="2"/>
        <v>26</v>
      </c>
      <c r="I14485" s="15">
        <f t="shared" si="3"/>
        <v>13</v>
      </c>
    </row>
    <row r="14486">
      <c r="A14486" s="8" t="str">
        <f>IFERROR(__xludf.DUMMYFUNCTION("IF('(INGESTA)Datos_consumo_datadis'!A14486&lt;&gt;"""",SPLIT('(INGESTA)Datos_consumo_datadis'!A:A,"",""),"""")"),"ES0031408323131005HX0F")</f>
        <v>ES0031408323131005HX0F</v>
      </c>
      <c r="B14486" s="12">
        <f>IFERROR(__xludf.DUMMYFUNCTION("""COMPUTED_VALUE"""),45469.0)</f>
        <v>45469</v>
      </c>
      <c r="C14486" s="13">
        <f>IFERROR(__xludf.DUMMYFUNCTION("""COMPUTED_VALUE"""),0.5833333333333334)</f>
        <v>0.5833333333</v>
      </c>
      <c r="D14486" s="8">
        <f>IFERROR(__xludf.DUMMYFUNCTION("""COMPUTED_VALUE"""),0.105)</f>
        <v>0.105</v>
      </c>
      <c r="E14486" s="8" t="str">
        <f>IFERROR(__xludf.DUMMYFUNCTION("""COMPUTED_VALUE"""),"Real")</f>
        <v>Real</v>
      </c>
      <c r="G14486" s="8">
        <f t="shared" si="1"/>
        <v>6</v>
      </c>
      <c r="H14486" s="14">
        <f t="shared" si="2"/>
        <v>26</v>
      </c>
      <c r="I14486" s="15">
        <f t="shared" si="3"/>
        <v>14</v>
      </c>
    </row>
    <row r="14487">
      <c r="A14487" s="8" t="str">
        <f>IFERROR(__xludf.DUMMYFUNCTION("IF('(INGESTA)Datos_consumo_datadis'!A14487&lt;&gt;"""",SPLIT('(INGESTA)Datos_consumo_datadis'!A:A,"",""),"""")"),"ES0031408323131005HX0F")</f>
        <v>ES0031408323131005HX0F</v>
      </c>
      <c r="B14487" s="12">
        <f>IFERROR(__xludf.DUMMYFUNCTION("""COMPUTED_VALUE"""),45469.0)</f>
        <v>45469</v>
      </c>
      <c r="C14487" s="13">
        <f>IFERROR(__xludf.DUMMYFUNCTION("""COMPUTED_VALUE"""),0.625)</f>
        <v>0.625</v>
      </c>
      <c r="D14487" s="8">
        <f>IFERROR(__xludf.DUMMYFUNCTION("""COMPUTED_VALUE"""),0.077)</f>
        <v>0.077</v>
      </c>
      <c r="E14487" s="8" t="str">
        <f>IFERROR(__xludf.DUMMYFUNCTION("""COMPUTED_VALUE"""),"Real")</f>
        <v>Real</v>
      </c>
      <c r="G14487" s="8">
        <f t="shared" si="1"/>
        <v>6</v>
      </c>
      <c r="H14487" s="14">
        <f t="shared" si="2"/>
        <v>26</v>
      </c>
      <c r="I14487" s="15">
        <f t="shared" si="3"/>
        <v>15</v>
      </c>
    </row>
    <row r="14488">
      <c r="A14488" s="8" t="str">
        <f>IFERROR(__xludf.DUMMYFUNCTION("IF('(INGESTA)Datos_consumo_datadis'!A14488&lt;&gt;"""",SPLIT('(INGESTA)Datos_consumo_datadis'!A:A,"",""),"""")"),"ES0031408323131005HX0F")</f>
        <v>ES0031408323131005HX0F</v>
      </c>
      <c r="B14488" s="12">
        <f>IFERROR(__xludf.DUMMYFUNCTION("""COMPUTED_VALUE"""),45469.0)</f>
        <v>45469</v>
      </c>
      <c r="C14488" s="13">
        <f>IFERROR(__xludf.DUMMYFUNCTION("""COMPUTED_VALUE"""),0.6666666666666666)</f>
        <v>0.6666666667</v>
      </c>
      <c r="D14488" s="8">
        <f>IFERROR(__xludf.DUMMYFUNCTION("""COMPUTED_VALUE"""),0.063)</f>
        <v>0.063</v>
      </c>
      <c r="E14488" s="8" t="str">
        <f>IFERROR(__xludf.DUMMYFUNCTION("""COMPUTED_VALUE"""),"Real")</f>
        <v>Real</v>
      </c>
      <c r="G14488" s="8">
        <f t="shared" si="1"/>
        <v>6</v>
      </c>
      <c r="H14488" s="14">
        <f t="shared" si="2"/>
        <v>26</v>
      </c>
      <c r="I14488" s="15">
        <f t="shared" si="3"/>
        <v>16</v>
      </c>
    </row>
    <row r="14489">
      <c r="A14489" s="8" t="str">
        <f>IFERROR(__xludf.DUMMYFUNCTION("IF('(INGESTA)Datos_consumo_datadis'!A14489&lt;&gt;"""",SPLIT('(INGESTA)Datos_consumo_datadis'!A:A,"",""),"""")"),"ES0031408323131005HX0F")</f>
        <v>ES0031408323131005HX0F</v>
      </c>
      <c r="B14489" s="12">
        <f>IFERROR(__xludf.DUMMYFUNCTION("""COMPUTED_VALUE"""),45469.0)</f>
        <v>45469</v>
      </c>
      <c r="C14489" s="13">
        <f>IFERROR(__xludf.DUMMYFUNCTION("""COMPUTED_VALUE"""),0.7083333333333334)</f>
        <v>0.7083333333</v>
      </c>
      <c r="D14489" s="8">
        <f>IFERROR(__xludf.DUMMYFUNCTION("""COMPUTED_VALUE"""),0.011)</f>
        <v>0.011</v>
      </c>
      <c r="E14489" s="8" t="str">
        <f>IFERROR(__xludf.DUMMYFUNCTION("""COMPUTED_VALUE"""),"Real")</f>
        <v>Real</v>
      </c>
      <c r="G14489" s="8">
        <f t="shared" si="1"/>
        <v>6</v>
      </c>
      <c r="H14489" s="14">
        <f t="shared" si="2"/>
        <v>26</v>
      </c>
      <c r="I14489" s="15">
        <f t="shared" si="3"/>
        <v>17</v>
      </c>
    </row>
    <row r="14490">
      <c r="A14490" s="8" t="str">
        <f>IFERROR(__xludf.DUMMYFUNCTION("IF('(INGESTA)Datos_consumo_datadis'!A14490&lt;&gt;"""",SPLIT('(INGESTA)Datos_consumo_datadis'!A:A,"",""),"""")"),"ES0031408323131005HX0F")</f>
        <v>ES0031408323131005HX0F</v>
      </c>
      <c r="B14490" s="12">
        <f>IFERROR(__xludf.DUMMYFUNCTION("""COMPUTED_VALUE"""),45469.0)</f>
        <v>45469</v>
      </c>
      <c r="C14490" s="13">
        <f>IFERROR(__xludf.DUMMYFUNCTION("""COMPUTED_VALUE"""),0.75)</f>
        <v>0.75</v>
      </c>
      <c r="D14490" s="8">
        <f>IFERROR(__xludf.DUMMYFUNCTION("""COMPUTED_VALUE"""),0.077)</f>
        <v>0.077</v>
      </c>
      <c r="E14490" s="8" t="str">
        <f>IFERROR(__xludf.DUMMYFUNCTION("""COMPUTED_VALUE"""),"Real")</f>
        <v>Real</v>
      </c>
      <c r="G14490" s="8">
        <f t="shared" si="1"/>
        <v>6</v>
      </c>
      <c r="H14490" s="14">
        <f t="shared" si="2"/>
        <v>26</v>
      </c>
      <c r="I14490" s="15">
        <f t="shared" si="3"/>
        <v>18</v>
      </c>
    </row>
    <row r="14491">
      <c r="A14491" s="8" t="str">
        <f>IFERROR(__xludf.DUMMYFUNCTION("IF('(INGESTA)Datos_consumo_datadis'!A14491&lt;&gt;"""",SPLIT('(INGESTA)Datos_consumo_datadis'!A:A,"",""),"""")"),"ES0031408323131005HX0F")</f>
        <v>ES0031408323131005HX0F</v>
      </c>
      <c r="B14491" s="12">
        <f>IFERROR(__xludf.DUMMYFUNCTION("""COMPUTED_VALUE"""),45469.0)</f>
        <v>45469</v>
      </c>
      <c r="C14491" s="13">
        <f>IFERROR(__xludf.DUMMYFUNCTION("""COMPUTED_VALUE"""),0.7916666666666666)</f>
        <v>0.7916666667</v>
      </c>
      <c r="D14491" s="8">
        <f>IFERROR(__xludf.DUMMYFUNCTION("""COMPUTED_VALUE"""),0.384)</f>
        <v>0.384</v>
      </c>
      <c r="E14491" s="8" t="str">
        <f>IFERROR(__xludf.DUMMYFUNCTION("""COMPUTED_VALUE"""),"Real")</f>
        <v>Real</v>
      </c>
      <c r="G14491" s="8">
        <f t="shared" si="1"/>
        <v>6</v>
      </c>
      <c r="H14491" s="14">
        <f t="shared" si="2"/>
        <v>26</v>
      </c>
      <c r="I14491" s="15">
        <f t="shared" si="3"/>
        <v>19</v>
      </c>
    </row>
    <row r="14492">
      <c r="A14492" s="8" t="str">
        <f>IFERROR(__xludf.DUMMYFUNCTION("IF('(INGESTA)Datos_consumo_datadis'!A14492&lt;&gt;"""",SPLIT('(INGESTA)Datos_consumo_datadis'!A:A,"",""),"""")"),"ES0031408323131005HX0F")</f>
        <v>ES0031408323131005HX0F</v>
      </c>
      <c r="B14492" s="12">
        <f>IFERROR(__xludf.DUMMYFUNCTION("""COMPUTED_VALUE"""),45469.0)</f>
        <v>45469</v>
      </c>
      <c r="C14492" s="13">
        <f>IFERROR(__xludf.DUMMYFUNCTION("""COMPUTED_VALUE"""),0.8333333333333334)</f>
        <v>0.8333333333</v>
      </c>
      <c r="D14492" s="8">
        <f>IFERROR(__xludf.DUMMYFUNCTION("""COMPUTED_VALUE"""),0.078)</f>
        <v>0.078</v>
      </c>
      <c r="E14492" s="8" t="str">
        <f>IFERROR(__xludf.DUMMYFUNCTION("""COMPUTED_VALUE"""),"Real")</f>
        <v>Real</v>
      </c>
      <c r="G14492" s="8">
        <f t="shared" si="1"/>
        <v>6</v>
      </c>
      <c r="H14492" s="14">
        <f t="shared" si="2"/>
        <v>26</v>
      </c>
      <c r="I14492" s="15">
        <f t="shared" si="3"/>
        <v>20</v>
      </c>
    </row>
    <row r="14493">
      <c r="A14493" s="8" t="str">
        <f>IFERROR(__xludf.DUMMYFUNCTION("IF('(INGESTA)Datos_consumo_datadis'!A14493&lt;&gt;"""",SPLIT('(INGESTA)Datos_consumo_datadis'!A:A,"",""),"""")"),"ES0031408323131005HX0F")</f>
        <v>ES0031408323131005HX0F</v>
      </c>
      <c r="B14493" s="12">
        <f>IFERROR(__xludf.DUMMYFUNCTION("""COMPUTED_VALUE"""),45469.0)</f>
        <v>45469</v>
      </c>
      <c r="C14493" s="13">
        <f>IFERROR(__xludf.DUMMYFUNCTION("""COMPUTED_VALUE"""),0.875)</f>
        <v>0.875</v>
      </c>
      <c r="D14493" s="8">
        <f>IFERROR(__xludf.DUMMYFUNCTION("""COMPUTED_VALUE"""),0.023)</f>
        <v>0.023</v>
      </c>
      <c r="E14493" s="8" t="str">
        <f>IFERROR(__xludf.DUMMYFUNCTION("""COMPUTED_VALUE"""),"Real")</f>
        <v>Real</v>
      </c>
      <c r="G14493" s="8">
        <f t="shared" si="1"/>
        <v>6</v>
      </c>
      <c r="H14493" s="14">
        <f t="shared" si="2"/>
        <v>26</v>
      </c>
      <c r="I14493" s="15">
        <f t="shared" si="3"/>
        <v>21</v>
      </c>
    </row>
    <row r="14494">
      <c r="A14494" s="8" t="str">
        <f>IFERROR(__xludf.DUMMYFUNCTION("IF('(INGESTA)Datos_consumo_datadis'!A14494&lt;&gt;"""",SPLIT('(INGESTA)Datos_consumo_datadis'!A:A,"",""),"""")"),"ES0031408323131005HX0F")</f>
        <v>ES0031408323131005HX0F</v>
      </c>
      <c r="B14494" s="12">
        <f>IFERROR(__xludf.DUMMYFUNCTION("""COMPUTED_VALUE"""),45469.0)</f>
        <v>45469</v>
      </c>
      <c r="C14494" s="13">
        <f>IFERROR(__xludf.DUMMYFUNCTION("""COMPUTED_VALUE"""),0.9166666666666666)</f>
        <v>0.9166666667</v>
      </c>
      <c r="D14494" s="8">
        <f>IFERROR(__xludf.DUMMYFUNCTION("""COMPUTED_VALUE"""),0.047)</f>
        <v>0.047</v>
      </c>
      <c r="E14494" s="8" t="str">
        <f>IFERROR(__xludf.DUMMYFUNCTION("""COMPUTED_VALUE"""),"Real")</f>
        <v>Real</v>
      </c>
      <c r="G14494" s="8">
        <f t="shared" si="1"/>
        <v>6</v>
      </c>
      <c r="H14494" s="14">
        <f t="shared" si="2"/>
        <v>26</v>
      </c>
      <c r="I14494" s="15">
        <f t="shared" si="3"/>
        <v>22</v>
      </c>
    </row>
    <row r="14495">
      <c r="A14495" s="8" t="str">
        <f>IFERROR(__xludf.DUMMYFUNCTION("IF('(INGESTA)Datos_consumo_datadis'!A14495&lt;&gt;"""",SPLIT('(INGESTA)Datos_consumo_datadis'!A:A,"",""),"""")"),"ES0031408323131005HX0F")</f>
        <v>ES0031408323131005HX0F</v>
      </c>
      <c r="B14495" s="12">
        <f>IFERROR(__xludf.DUMMYFUNCTION("""COMPUTED_VALUE"""),45469.0)</f>
        <v>45469</v>
      </c>
      <c r="C14495" s="13">
        <f>IFERROR(__xludf.DUMMYFUNCTION("""COMPUTED_VALUE"""),0.9583333333333334)</f>
        <v>0.9583333333</v>
      </c>
      <c r="D14495" s="8">
        <f>IFERROR(__xludf.DUMMYFUNCTION("""COMPUTED_VALUE"""),0.106)</f>
        <v>0.106</v>
      </c>
      <c r="E14495" s="8" t="str">
        <f>IFERROR(__xludf.DUMMYFUNCTION("""COMPUTED_VALUE"""),"Real")</f>
        <v>Real</v>
      </c>
      <c r="G14495" s="8">
        <f t="shared" si="1"/>
        <v>6</v>
      </c>
      <c r="H14495" s="14">
        <f t="shared" si="2"/>
        <v>26</v>
      </c>
      <c r="I14495" s="15">
        <f t="shared" si="3"/>
        <v>23</v>
      </c>
    </row>
    <row r="14496">
      <c r="A14496" s="8" t="str">
        <f>IFERROR(__xludf.DUMMYFUNCTION("IF('(INGESTA)Datos_consumo_datadis'!A14496&lt;&gt;"""",SPLIT('(INGESTA)Datos_consumo_datadis'!A:A,"",""),"""")"),"ES0031408323131005HX0F")</f>
        <v>ES0031408323131005HX0F</v>
      </c>
      <c r="B14496" s="12">
        <f>IFERROR(__xludf.DUMMYFUNCTION("""COMPUTED_VALUE"""),45469.0)</f>
        <v>45469</v>
      </c>
      <c r="C14496" s="16">
        <f>IFERROR(__xludf.DUMMYFUNCTION("""COMPUTED_VALUE"""),1.0)</f>
        <v>1</v>
      </c>
      <c r="D14496" s="8">
        <f>IFERROR(__xludf.DUMMYFUNCTION("""COMPUTED_VALUE"""),0.054)</f>
        <v>0.054</v>
      </c>
      <c r="E14496" s="8" t="str">
        <f>IFERROR(__xludf.DUMMYFUNCTION("""COMPUTED_VALUE"""),"Real")</f>
        <v>Real</v>
      </c>
      <c r="G14496" s="8">
        <f t="shared" si="1"/>
        <v>6</v>
      </c>
      <c r="H14496" s="14">
        <f t="shared" si="2"/>
        <v>26</v>
      </c>
      <c r="I14496" s="15">
        <f t="shared" si="3"/>
        <v>0</v>
      </c>
    </row>
    <row r="14497">
      <c r="A14497" s="8" t="str">
        <f>IFERROR(__xludf.DUMMYFUNCTION("IF('(INGESTA)Datos_consumo_datadis'!A14497&lt;&gt;"""",SPLIT('(INGESTA)Datos_consumo_datadis'!A:A,"",""),"""")"),"ES0031408323131005HX0F")</f>
        <v>ES0031408323131005HX0F</v>
      </c>
      <c r="B14497" s="12">
        <f>IFERROR(__xludf.DUMMYFUNCTION("""COMPUTED_VALUE"""),45470.0)</f>
        <v>45470</v>
      </c>
      <c r="C14497" s="13">
        <f>IFERROR(__xludf.DUMMYFUNCTION("""COMPUTED_VALUE"""),0.041666666666666664)</f>
        <v>0.04166666667</v>
      </c>
      <c r="D14497" s="8">
        <f>IFERROR(__xludf.DUMMYFUNCTION("""COMPUTED_VALUE"""),0.054)</f>
        <v>0.054</v>
      </c>
      <c r="E14497" s="8" t="str">
        <f>IFERROR(__xludf.DUMMYFUNCTION("""COMPUTED_VALUE"""),"Real")</f>
        <v>Real</v>
      </c>
      <c r="G14497" s="8">
        <f t="shared" si="1"/>
        <v>6</v>
      </c>
      <c r="H14497" s="14">
        <f t="shared" si="2"/>
        <v>27</v>
      </c>
      <c r="I14497" s="15">
        <f t="shared" si="3"/>
        <v>1</v>
      </c>
    </row>
    <row r="14498">
      <c r="A14498" s="8" t="str">
        <f>IFERROR(__xludf.DUMMYFUNCTION("IF('(INGESTA)Datos_consumo_datadis'!A14498&lt;&gt;"""",SPLIT('(INGESTA)Datos_consumo_datadis'!A:A,"",""),"""")"),"ES0031408323131005HX0F")</f>
        <v>ES0031408323131005HX0F</v>
      </c>
      <c r="B14498" s="12">
        <f>IFERROR(__xludf.DUMMYFUNCTION("""COMPUTED_VALUE"""),45470.0)</f>
        <v>45470</v>
      </c>
      <c r="C14498" s="13">
        <f>IFERROR(__xludf.DUMMYFUNCTION("""COMPUTED_VALUE"""),0.08333333333333333)</f>
        <v>0.08333333333</v>
      </c>
      <c r="D14498" s="8">
        <f>IFERROR(__xludf.DUMMYFUNCTION("""COMPUTED_VALUE"""),0.015)</f>
        <v>0.015</v>
      </c>
      <c r="E14498" s="8" t="str">
        <f>IFERROR(__xludf.DUMMYFUNCTION("""COMPUTED_VALUE"""),"Real")</f>
        <v>Real</v>
      </c>
      <c r="G14498" s="8">
        <f t="shared" si="1"/>
        <v>6</v>
      </c>
      <c r="H14498" s="14">
        <f t="shared" si="2"/>
        <v>27</v>
      </c>
      <c r="I14498" s="15">
        <f t="shared" si="3"/>
        <v>2</v>
      </c>
    </row>
    <row r="14499">
      <c r="A14499" s="8" t="str">
        <f>IFERROR(__xludf.DUMMYFUNCTION("IF('(INGESTA)Datos_consumo_datadis'!A14499&lt;&gt;"""",SPLIT('(INGESTA)Datos_consumo_datadis'!A:A,"",""),"""")"),"ES0031408323131005HX0F")</f>
        <v>ES0031408323131005HX0F</v>
      </c>
      <c r="B14499" s="12">
        <f>IFERROR(__xludf.DUMMYFUNCTION("""COMPUTED_VALUE"""),45470.0)</f>
        <v>45470</v>
      </c>
      <c r="C14499" s="13">
        <f>IFERROR(__xludf.DUMMYFUNCTION("""COMPUTED_VALUE"""),0.125)</f>
        <v>0.125</v>
      </c>
      <c r="D14499" s="8">
        <f>IFERROR(__xludf.DUMMYFUNCTION("""COMPUTED_VALUE"""),0.383)</f>
        <v>0.383</v>
      </c>
      <c r="E14499" s="8" t="str">
        <f>IFERROR(__xludf.DUMMYFUNCTION("""COMPUTED_VALUE"""),"Real")</f>
        <v>Real</v>
      </c>
      <c r="G14499" s="8">
        <f t="shared" si="1"/>
        <v>6</v>
      </c>
      <c r="H14499" s="14">
        <f t="shared" si="2"/>
        <v>27</v>
      </c>
      <c r="I14499" s="15">
        <f t="shared" si="3"/>
        <v>3</v>
      </c>
    </row>
    <row r="14500">
      <c r="A14500" s="8" t="str">
        <f>IFERROR(__xludf.DUMMYFUNCTION("IF('(INGESTA)Datos_consumo_datadis'!A14500&lt;&gt;"""",SPLIT('(INGESTA)Datos_consumo_datadis'!A:A,"",""),"""")"),"ES0031408323131005HX0F")</f>
        <v>ES0031408323131005HX0F</v>
      </c>
      <c r="B14500" s="12">
        <f>IFERROR(__xludf.DUMMYFUNCTION("""COMPUTED_VALUE"""),45470.0)</f>
        <v>45470</v>
      </c>
      <c r="C14500" s="13">
        <f>IFERROR(__xludf.DUMMYFUNCTION("""COMPUTED_VALUE"""),0.16666666666666666)</f>
        <v>0.1666666667</v>
      </c>
      <c r="D14500" s="8">
        <f>IFERROR(__xludf.DUMMYFUNCTION("""COMPUTED_VALUE"""),0.07)</f>
        <v>0.07</v>
      </c>
      <c r="E14500" s="8" t="str">
        <f>IFERROR(__xludf.DUMMYFUNCTION("""COMPUTED_VALUE"""),"Real")</f>
        <v>Real</v>
      </c>
      <c r="G14500" s="8">
        <f t="shared" si="1"/>
        <v>6</v>
      </c>
      <c r="H14500" s="14">
        <f t="shared" si="2"/>
        <v>27</v>
      </c>
      <c r="I14500" s="15">
        <f t="shared" si="3"/>
        <v>4</v>
      </c>
    </row>
    <row r="14501">
      <c r="A14501" s="8" t="str">
        <f>IFERROR(__xludf.DUMMYFUNCTION("IF('(INGESTA)Datos_consumo_datadis'!A14501&lt;&gt;"""",SPLIT('(INGESTA)Datos_consumo_datadis'!A:A,"",""),"""")"),"ES0031408323131005HX0F")</f>
        <v>ES0031408323131005HX0F</v>
      </c>
      <c r="B14501" s="12">
        <f>IFERROR(__xludf.DUMMYFUNCTION("""COMPUTED_VALUE"""),45470.0)</f>
        <v>45470</v>
      </c>
      <c r="C14501" s="13">
        <f>IFERROR(__xludf.DUMMYFUNCTION("""COMPUTED_VALUE"""),0.20833333333333334)</f>
        <v>0.2083333333</v>
      </c>
      <c r="D14501" s="8">
        <f>IFERROR(__xludf.DUMMYFUNCTION("""COMPUTED_VALUE"""),0.1)</f>
        <v>0.1</v>
      </c>
      <c r="E14501" s="8" t="str">
        <f>IFERROR(__xludf.DUMMYFUNCTION("""COMPUTED_VALUE"""),"Real")</f>
        <v>Real</v>
      </c>
      <c r="G14501" s="8">
        <f t="shared" si="1"/>
        <v>6</v>
      </c>
      <c r="H14501" s="14">
        <f t="shared" si="2"/>
        <v>27</v>
      </c>
      <c r="I14501" s="15">
        <f t="shared" si="3"/>
        <v>5</v>
      </c>
    </row>
    <row r="14502">
      <c r="A14502" s="8" t="str">
        <f>IFERROR(__xludf.DUMMYFUNCTION("IF('(INGESTA)Datos_consumo_datadis'!A14502&lt;&gt;"""",SPLIT('(INGESTA)Datos_consumo_datadis'!A:A,"",""),"""")"),"ES0031408323131005HX0F")</f>
        <v>ES0031408323131005HX0F</v>
      </c>
      <c r="B14502" s="12">
        <f>IFERROR(__xludf.DUMMYFUNCTION("""COMPUTED_VALUE"""),45470.0)</f>
        <v>45470</v>
      </c>
      <c r="C14502" s="13">
        <f>IFERROR(__xludf.DUMMYFUNCTION("""COMPUTED_VALUE"""),0.25)</f>
        <v>0.25</v>
      </c>
      <c r="D14502" s="8">
        <f>IFERROR(__xludf.DUMMYFUNCTION("""COMPUTED_VALUE"""),0.047)</f>
        <v>0.047</v>
      </c>
      <c r="E14502" s="8" t="str">
        <f>IFERROR(__xludf.DUMMYFUNCTION("""COMPUTED_VALUE"""),"Real")</f>
        <v>Real</v>
      </c>
      <c r="G14502" s="8">
        <f t="shared" si="1"/>
        <v>6</v>
      </c>
      <c r="H14502" s="14">
        <f t="shared" si="2"/>
        <v>27</v>
      </c>
      <c r="I14502" s="15">
        <f t="shared" si="3"/>
        <v>6</v>
      </c>
    </row>
    <row r="14503">
      <c r="A14503" s="8" t="str">
        <f>IFERROR(__xludf.DUMMYFUNCTION("IF('(INGESTA)Datos_consumo_datadis'!A14503&lt;&gt;"""",SPLIT('(INGESTA)Datos_consumo_datadis'!A:A,"",""),"""")"),"ES0031408323131005HX0F")</f>
        <v>ES0031408323131005HX0F</v>
      </c>
      <c r="B14503" s="12">
        <f>IFERROR(__xludf.DUMMYFUNCTION("""COMPUTED_VALUE"""),45470.0)</f>
        <v>45470</v>
      </c>
      <c r="C14503" s="13">
        <f>IFERROR(__xludf.DUMMYFUNCTION("""COMPUTED_VALUE"""),0.2916666666666667)</f>
        <v>0.2916666667</v>
      </c>
      <c r="D14503" s="8">
        <f>IFERROR(__xludf.DUMMYFUNCTION("""COMPUTED_VALUE"""),0.059)</f>
        <v>0.059</v>
      </c>
      <c r="E14503" s="8" t="str">
        <f>IFERROR(__xludf.DUMMYFUNCTION("""COMPUTED_VALUE"""),"Real")</f>
        <v>Real</v>
      </c>
      <c r="G14503" s="8">
        <f t="shared" si="1"/>
        <v>6</v>
      </c>
      <c r="H14503" s="14">
        <f t="shared" si="2"/>
        <v>27</v>
      </c>
      <c r="I14503" s="15">
        <f t="shared" si="3"/>
        <v>7</v>
      </c>
    </row>
    <row r="14504">
      <c r="A14504" s="8" t="str">
        <f>IFERROR(__xludf.DUMMYFUNCTION("IF('(INGESTA)Datos_consumo_datadis'!A14504&lt;&gt;"""",SPLIT('(INGESTA)Datos_consumo_datadis'!A:A,"",""),"""")"),"ES0031408323131005HX0F")</f>
        <v>ES0031408323131005HX0F</v>
      </c>
      <c r="B14504" s="12">
        <f>IFERROR(__xludf.DUMMYFUNCTION("""COMPUTED_VALUE"""),45470.0)</f>
        <v>45470</v>
      </c>
      <c r="C14504" s="13">
        <f>IFERROR(__xludf.DUMMYFUNCTION("""COMPUTED_VALUE"""),0.3333333333333333)</f>
        <v>0.3333333333</v>
      </c>
      <c r="D14504" s="8">
        <f>IFERROR(__xludf.DUMMYFUNCTION("""COMPUTED_VALUE"""),0.011)</f>
        <v>0.011</v>
      </c>
      <c r="E14504" s="8" t="str">
        <f>IFERROR(__xludf.DUMMYFUNCTION("""COMPUTED_VALUE"""),"Real")</f>
        <v>Real</v>
      </c>
      <c r="G14504" s="8">
        <f t="shared" si="1"/>
        <v>6</v>
      </c>
      <c r="H14504" s="14">
        <f t="shared" si="2"/>
        <v>27</v>
      </c>
      <c r="I14504" s="15">
        <f t="shared" si="3"/>
        <v>8</v>
      </c>
    </row>
    <row r="14505">
      <c r="A14505" s="8" t="str">
        <f>IFERROR(__xludf.DUMMYFUNCTION("IF('(INGESTA)Datos_consumo_datadis'!A14505&lt;&gt;"""",SPLIT('(INGESTA)Datos_consumo_datadis'!A:A,"",""),"""")"),"ES0031408323131005HX0F")</f>
        <v>ES0031408323131005HX0F</v>
      </c>
      <c r="B14505" s="12">
        <f>IFERROR(__xludf.DUMMYFUNCTION("""COMPUTED_VALUE"""),45470.0)</f>
        <v>45470</v>
      </c>
      <c r="C14505" s="13">
        <f>IFERROR(__xludf.DUMMYFUNCTION("""COMPUTED_VALUE"""),0.375)</f>
        <v>0.375</v>
      </c>
      <c r="D14505" s="8">
        <f>IFERROR(__xludf.DUMMYFUNCTION("""COMPUTED_VALUE"""),0.113)</f>
        <v>0.113</v>
      </c>
      <c r="E14505" s="8" t="str">
        <f>IFERROR(__xludf.DUMMYFUNCTION("""COMPUTED_VALUE"""),"Real")</f>
        <v>Real</v>
      </c>
      <c r="G14505" s="8">
        <f t="shared" si="1"/>
        <v>6</v>
      </c>
      <c r="H14505" s="14">
        <f t="shared" si="2"/>
        <v>27</v>
      </c>
      <c r="I14505" s="15">
        <f t="shared" si="3"/>
        <v>9</v>
      </c>
    </row>
    <row r="14506">
      <c r="A14506" s="8" t="str">
        <f>IFERROR(__xludf.DUMMYFUNCTION("IF('(INGESTA)Datos_consumo_datadis'!A14506&lt;&gt;"""",SPLIT('(INGESTA)Datos_consumo_datadis'!A:A,"",""),"""")"),"ES0031408323131005HX0F")</f>
        <v>ES0031408323131005HX0F</v>
      </c>
      <c r="B14506" s="12">
        <f>IFERROR(__xludf.DUMMYFUNCTION("""COMPUTED_VALUE"""),45470.0)</f>
        <v>45470</v>
      </c>
      <c r="C14506" s="13">
        <f>IFERROR(__xludf.DUMMYFUNCTION("""COMPUTED_VALUE"""),0.4166666666666667)</f>
        <v>0.4166666667</v>
      </c>
      <c r="D14506" s="8">
        <f>IFERROR(__xludf.DUMMYFUNCTION("""COMPUTED_VALUE"""),0.191)</f>
        <v>0.191</v>
      </c>
      <c r="E14506" s="8" t="str">
        <f>IFERROR(__xludf.DUMMYFUNCTION("""COMPUTED_VALUE"""),"Real")</f>
        <v>Real</v>
      </c>
      <c r="G14506" s="8">
        <f t="shared" si="1"/>
        <v>6</v>
      </c>
      <c r="H14506" s="14">
        <f t="shared" si="2"/>
        <v>27</v>
      </c>
      <c r="I14506" s="15">
        <f t="shared" si="3"/>
        <v>10</v>
      </c>
    </row>
    <row r="14507">
      <c r="A14507" s="8" t="str">
        <f>IFERROR(__xludf.DUMMYFUNCTION("IF('(INGESTA)Datos_consumo_datadis'!A14507&lt;&gt;"""",SPLIT('(INGESTA)Datos_consumo_datadis'!A:A,"",""),"""")"),"ES0031408323131005HX0F")</f>
        <v>ES0031408323131005HX0F</v>
      </c>
      <c r="B14507" s="12">
        <f>IFERROR(__xludf.DUMMYFUNCTION("""COMPUTED_VALUE"""),45470.0)</f>
        <v>45470</v>
      </c>
      <c r="C14507" s="13">
        <f>IFERROR(__xludf.DUMMYFUNCTION("""COMPUTED_VALUE"""),0.4583333333333333)</f>
        <v>0.4583333333</v>
      </c>
      <c r="D14507" s="8">
        <f>IFERROR(__xludf.DUMMYFUNCTION("""COMPUTED_VALUE"""),0.218)</f>
        <v>0.218</v>
      </c>
      <c r="E14507" s="8" t="str">
        <f>IFERROR(__xludf.DUMMYFUNCTION("""COMPUTED_VALUE"""),"Real")</f>
        <v>Real</v>
      </c>
      <c r="G14507" s="8">
        <f t="shared" si="1"/>
        <v>6</v>
      </c>
      <c r="H14507" s="14">
        <f t="shared" si="2"/>
        <v>27</v>
      </c>
      <c r="I14507" s="15">
        <f t="shared" si="3"/>
        <v>11</v>
      </c>
    </row>
    <row r="14508">
      <c r="A14508" s="8" t="str">
        <f>IFERROR(__xludf.DUMMYFUNCTION("IF('(INGESTA)Datos_consumo_datadis'!A14508&lt;&gt;"""",SPLIT('(INGESTA)Datos_consumo_datadis'!A:A,"",""),"""")"),"ES0031408323131005HX0F")</f>
        <v>ES0031408323131005HX0F</v>
      </c>
      <c r="B14508" s="12">
        <f>IFERROR(__xludf.DUMMYFUNCTION("""COMPUTED_VALUE"""),45470.0)</f>
        <v>45470</v>
      </c>
      <c r="C14508" s="13">
        <f>IFERROR(__xludf.DUMMYFUNCTION("""COMPUTED_VALUE"""),0.5)</f>
        <v>0.5</v>
      </c>
      <c r="D14508" s="8">
        <f>IFERROR(__xludf.DUMMYFUNCTION("""COMPUTED_VALUE"""),0.011)</f>
        <v>0.011</v>
      </c>
      <c r="E14508" s="8" t="str">
        <f>IFERROR(__xludf.DUMMYFUNCTION("""COMPUTED_VALUE"""),"Real")</f>
        <v>Real</v>
      </c>
      <c r="G14508" s="8">
        <f t="shared" si="1"/>
        <v>6</v>
      </c>
      <c r="H14508" s="14">
        <f t="shared" si="2"/>
        <v>27</v>
      </c>
      <c r="I14508" s="15">
        <f t="shared" si="3"/>
        <v>12</v>
      </c>
    </row>
    <row r="14509">
      <c r="A14509" s="8" t="str">
        <f>IFERROR(__xludf.DUMMYFUNCTION("IF('(INGESTA)Datos_consumo_datadis'!A14509&lt;&gt;"""",SPLIT('(INGESTA)Datos_consumo_datadis'!A:A,"",""),"""")"),"ES0031408323131005HX0F")</f>
        <v>ES0031408323131005HX0F</v>
      </c>
      <c r="B14509" s="12">
        <f>IFERROR(__xludf.DUMMYFUNCTION("""COMPUTED_VALUE"""),45470.0)</f>
        <v>45470</v>
      </c>
      <c r="C14509" s="13">
        <f>IFERROR(__xludf.DUMMYFUNCTION("""COMPUTED_VALUE"""),0.5416666666666666)</f>
        <v>0.5416666667</v>
      </c>
      <c r="D14509" s="8">
        <f>IFERROR(__xludf.DUMMYFUNCTION("""COMPUTED_VALUE"""),0.105)</f>
        <v>0.105</v>
      </c>
      <c r="E14509" s="8" t="str">
        <f>IFERROR(__xludf.DUMMYFUNCTION("""COMPUTED_VALUE"""),"Real")</f>
        <v>Real</v>
      </c>
      <c r="G14509" s="8">
        <f t="shared" si="1"/>
        <v>6</v>
      </c>
      <c r="H14509" s="14">
        <f t="shared" si="2"/>
        <v>27</v>
      </c>
      <c r="I14509" s="15">
        <f t="shared" si="3"/>
        <v>13</v>
      </c>
    </row>
    <row r="14510">
      <c r="A14510" s="8" t="str">
        <f>IFERROR(__xludf.DUMMYFUNCTION("IF('(INGESTA)Datos_consumo_datadis'!A14510&lt;&gt;"""",SPLIT('(INGESTA)Datos_consumo_datadis'!A:A,"",""),"""")"),"ES0031408323131005HX0F")</f>
        <v>ES0031408323131005HX0F</v>
      </c>
      <c r="B14510" s="12">
        <f>IFERROR(__xludf.DUMMYFUNCTION("""COMPUTED_VALUE"""),45470.0)</f>
        <v>45470</v>
      </c>
      <c r="C14510" s="13">
        <f>IFERROR(__xludf.DUMMYFUNCTION("""COMPUTED_VALUE"""),0.5833333333333334)</f>
        <v>0.5833333333</v>
      </c>
      <c r="D14510" s="8">
        <f>IFERROR(__xludf.DUMMYFUNCTION("""COMPUTED_VALUE"""),0.078)</f>
        <v>0.078</v>
      </c>
      <c r="E14510" s="8" t="str">
        <f>IFERROR(__xludf.DUMMYFUNCTION("""COMPUTED_VALUE"""),"Real")</f>
        <v>Real</v>
      </c>
      <c r="G14510" s="8">
        <f t="shared" si="1"/>
        <v>6</v>
      </c>
      <c r="H14510" s="14">
        <f t="shared" si="2"/>
        <v>27</v>
      </c>
      <c r="I14510" s="15">
        <f t="shared" si="3"/>
        <v>14</v>
      </c>
    </row>
    <row r="14511">
      <c r="A14511" s="8" t="str">
        <f>IFERROR(__xludf.DUMMYFUNCTION("IF('(INGESTA)Datos_consumo_datadis'!A14511&lt;&gt;"""",SPLIT('(INGESTA)Datos_consumo_datadis'!A:A,"",""),"""")"),"ES0031408323131005HX0F")</f>
        <v>ES0031408323131005HX0F</v>
      </c>
      <c r="B14511" s="12">
        <f>IFERROR(__xludf.DUMMYFUNCTION("""COMPUTED_VALUE"""),45470.0)</f>
        <v>45470</v>
      </c>
      <c r="C14511" s="13">
        <f>IFERROR(__xludf.DUMMYFUNCTION("""COMPUTED_VALUE"""),0.625)</f>
        <v>0.625</v>
      </c>
      <c r="D14511" s="8">
        <f>IFERROR(__xludf.DUMMYFUNCTION("""COMPUTED_VALUE"""),0.061)</f>
        <v>0.061</v>
      </c>
      <c r="E14511" s="8" t="str">
        <f>IFERROR(__xludf.DUMMYFUNCTION("""COMPUTED_VALUE"""),"Real")</f>
        <v>Real</v>
      </c>
      <c r="G14511" s="8">
        <f t="shared" si="1"/>
        <v>6</v>
      </c>
      <c r="H14511" s="14">
        <f t="shared" si="2"/>
        <v>27</v>
      </c>
      <c r="I14511" s="15">
        <f t="shared" si="3"/>
        <v>15</v>
      </c>
    </row>
    <row r="14512">
      <c r="A14512" s="8" t="str">
        <f>IFERROR(__xludf.DUMMYFUNCTION("IF('(INGESTA)Datos_consumo_datadis'!A14512&lt;&gt;"""",SPLIT('(INGESTA)Datos_consumo_datadis'!A:A,"",""),"""")"),"ES0031408323131005HX0F")</f>
        <v>ES0031408323131005HX0F</v>
      </c>
      <c r="B14512" s="12">
        <f>IFERROR(__xludf.DUMMYFUNCTION("""COMPUTED_VALUE"""),45470.0)</f>
        <v>45470</v>
      </c>
      <c r="C14512" s="13">
        <f>IFERROR(__xludf.DUMMYFUNCTION("""COMPUTED_VALUE"""),0.6666666666666666)</f>
        <v>0.6666666667</v>
      </c>
      <c r="D14512" s="8">
        <f>IFERROR(__xludf.DUMMYFUNCTION("""COMPUTED_VALUE"""),0.011)</f>
        <v>0.011</v>
      </c>
      <c r="E14512" s="8" t="str">
        <f>IFERROR(__xludf.DUMMYFUNCTION("""COMPUTED_VALUE"""),"Real")</f>
        <v>Real</v>
      </c>
      <c r="G14512" s="8">
        <f t="shared" si="1"/>
        <v>6</v>
      </c>
      <c r="H14512" s="14">
        <f t="shared" si="2"/>
        <v>27</v>
      </c>
      <c r="I14512" s="15">
        <f t="shared" si="3"/>
        <v>16</v>
      </c>
    </row>
    <row r="14513">
      <c r="A14513" s="8" t="str">
        <f>IFERROR(__xludf.DUMMYFUNCTION("IF('(INGESTA)Datos_consumo_datadis'!A14513&lt;&gt;"""",SPLIT('(INGESTA)Datos_consumo_datadis'!A:A,"",""),"""")"),"ES0031408323131005HX0F")</f>
        <v>ES0031408323131005HX0F</v>
      </c>
      <c r="B14513" s="12">
        <f>IFERROR(__xludf.DUMMYFUNCTION("""COMPUTED_VALUE"""),45470.0)</f>
        <v>45470</v>
      </c>
      <c r="C14513" s="13">
        <f>IFERROR(__xludf.DUMMYFUNCTION("""COMPUTED_VALUE"""),0.7083333333333334)</f>
        <v>0.7083333333</v>
      </c>
      <c r="D14513" s="8">
        <f>IFERROR(__xludf.DUMMYFUNCTION("""COMPUTED_VALUE"""),0.079)</f>
        <v>0.079</v>
      </c>
      <c r="E14513" s="8" t="str">
        <f>IFERROR(__xludf.DUMMYFUNCTION("""COMPUTED_VALUE"""),"Real")</f>
        <v>Real</v>
      </c>
      <c r="G14513" s="8">
        <f t="shared" si="1"/>
        <v>6</v>
      </c>
      <c r="H14513" s="14">
        <f t="shared" si="2"/>
        <v>27</v>
      </c>
      <c r="I14513" s="15">
        <f t="shared" si="3"/>
        <v>17</v>
      </c>
    </row>
    <row r="14514">
      <c r="A14514" s="8" t="str">
        <f>IFERROR(__xludf.DUMMYFUNCTION("IF('(INGESTA)Datos_consumo_datadis'!A14514&lt;&gt;"""",SPLIT('(INGESTA)Datos_consumo_datadis'!A:A,"",""),"""")"),"ES0031408323131005HX0F")</f>
        <v>ES0031408323131005HX0F</v>
      </c>
      <c r="B14514" s="12">
        <f>IFERROR(__xludf.DUMMYFUNCTION("""COMPUTED_VALUE"""),45470.0)</f>
        <v>45470</v>
      </c>
      <c r="C14514" s="13">
        <f>IFERROR(__xludf.DUMMYFUNCTION("""COMPUTED_VALUE"""),0.75)</f>
        <v>0.75</v>
      </c>
      <c r="D14514" s="8">
        <f>IFERROR(__xludf.DUMMYFUNCTION("""COMPUTED_VALUE"""),0.361)</f>
        <v>0.361</v>
      </c>
      <c r="E14514" s="8" t="str">
        <f>IFERROR(__xludf.DUMMYFUNCTION("""COMPUTED_VALUE"""),"Real")</f>
        <v>Real</v>
      </c>
      <c r="G14514" s="8">
        <f t="shared" si="1"/>
        <v>6</v>
      </c>
      <c r="H14514" s="14">
        <f t="shared" si="2"/>
        <v>27</v>
      </c>
      <c r="I14514" s="15">
        <f t="shared" si="3"/>
        <v>18</v>
      </c>
    </row>
    <row r="14515">
      <c r="A14515" s="8" t="str">
        <f>IFERROR(__xludf.DUMMYFUNCTION("IF('(INGESTA)Datos_consumo_datadis'!A14515&lt;&gt;"""",SPLIT('(INGESTA)Datos_consumo_datadis'!A:A,"",""),"""")"),"ES0031408323131005HX0F")</f>
        <v>ES0031408323131005HX0F</v>
      </c>
      <c r="B14515" s="12">
        <f>IFERROR(__xludf.DUMMYFUNCTION("""COMPUTED_VALUE"""),45470.0)</f>
        <v>45470</v>
      </c>
      <c r="C14515" s="13">
        <f>IFERROR(__xludf.DUMMYFUNCTION("""COMPUTED_VALUE"""),0.7916666666666666)</f>
        <v>0.7916666667</v>
      </c>
      <c r="D14515" s="8">
        <f>IFERROR(__xludf.DUMMYFUNCTION("""COMPUTED_VALUE"""),0.078)</f>
        <v>0.078</v>
      </c>
      <c r="E14515" s="8" t="str">
        <f>IFERROR(__xludf.DUMMYFUNCTION("""COMPUTED_VALUE"""),"Real")</f>
        <v>Real</v>
      </c>
      <c r="G14515" s="8">
        <f t="shared" si="1"/>
        <v>6</v>
      </c>
      <c r="H14515" s="14">
        <f t="shared" si="2"/>
        <v>27</v>
      </c>
      <c r="I14515" s="15">
        <f t="shared" si="3"/>
        <v>19</v>
      </c>
    </row>
    <row r="14516">
      <c r="A14516" s="8" t="str">
        <f>IFERROR(__xludf.DUMMYFUNCTION("IF('(INGESTA)Datos_consumo_datadis'!A14516&lt;&gt;"""",SPLIT('(INGESTA)Datos_consumo_datadis'!A:A,"",""),"""")"),"ES0031408323131005HX0F")</f>
        <v>ES0031408323131005HX0F</v>
      </c>
      <c r="B14516" s="12">
        <f>IFERROR(__xludf.DUMMYFUNCTION("""COMPUTED_VALUE"""),45470.0)</f>
        <v>45470</v>
      </c>
      <c r="C14516" s="13">
        <f>IFERROR(__xludf.DUMMYFUNCTION("""COMPUTED_VALUE"""),0.8333333333333334)</f>
        <v>0.8333333333</v>
      </c>
      <c r="D14516" s="8">
        <f>IFERROR(__xludf.DUMMYFUNCTION("""COMPUTED_VALUE"""),0.021)</f>
        <v>0.021</v>
      </c>
      <c r="E14516" s="8" t="str">
        <f>IFERROR(__xludf.DUMMYFUNCTION("""COMPUTED_VALUE"""),"Real")</f>
        <v>Real</v>
      </c>
      <c r="G14516" s="8">
        <f t="shared" si="1"/>
        <v>6</v>
      </c>
      <c r="H14516" s="14">
        <f t="shared" si="2"/>
        <v>27</v>
      </c>
      <c r="I14516" s="15">
        <f t="shared" si="3"/>
        <v>20</v>
      </c>
    </row>
    <row r="14517">
      <c r="A14517" s="8" t="str">
        <f>IFERROR(__xludf.DUMMYFUNCTION("IF('(INGESTA)Datos_consumo_datadis'!A14517&lt;&gt;"""",SPLIT('(INGESTA)Datos_consumo_datadis'!A:A,"",""),"""")"),"ES0031408323131005HX0F")</f>
        <v>ES0031408323131005HX0F</v>
      </c>
      <c r="B14517" s="12">
        <f>IFERROR(__xludf.DUMMYFUNCTION("""COMPUTED_VALUE"""),45470.0)</f>
        <v>45470</v>
      </c>
      <c r="C14517" s="13">
        <f>IFERROR(__xludf.DUMMYFUNCTION("""COMPUTED_VALUE"""),0.875)</f>
        <v>0.875</v>
      </c>
      <c r="D14517" s="8">
        <f>IFERROR(__xludf.DUMMYFUNCTION("""COMPUTED_VALUE"""),0.05)</f>
        <v>0.05</v>
      </c>
      <c r="E14517" s="8" t="str">
        <f>IFERROR(__xludf.DUMMYFUNCTION("""COMPUTED_VALUE"""),"Real")</f>
        <v>Real</v>
      </c>
      <c r="G14517" s="8">
        <f t="shared" si="1"/>
        <v>6</v>
      </c>
      <c r="H14517" s="14">
        <f t="shared" si="2"/>
        <v>27</v>
      </c>
      <c r="I14517" s="15">
        <f t="shared" si="3"/>
        <v>21</v>
      </c>
    </row>
    <row r="14518">
      <c r="A14518" s="8" t="str">
        <f>IFERROR(__xludf.DUMMYFUNCTION("IF('(INGESTA)Datos_consumo_datadis'!A14518&lt;&gt;"""",SPLIT('(INGESTA)Datos_consumo_datadis'!A:A,"",""),"""")"),"ES0031408323131005HX0F")</f>
        <v>ES0031408323131005HX0F</v>
      </c>
      <c r="B14518" s="12">
        <f>IFERROR(__xludf.DUMMYFUNCTION("""COMPUTED_VALUE"""),45470.0)</f>
        <v>45470</v>
      </c>
      <c r="C14518" s="13">
        <f>IFERROR(__xludf.DUMMYFUNCTION("""COMPUTED_VALUE"""),0.9166666666666666)</f>
        <v>0.9166666667</v>
      </c>
      <c r="D14518" s="8">
        <f>IFERROR(__xludf.DUMMYFUNCTION("""COMPUTED_VALUE"""),0.105)</f>
        <v>0.105</v>
      </c>
      <c r="E14518" s="8" t="str">
        <f>IFERROR(__xludf.DUMMYFUNCTION("""COMPUTED_VALUE"""),"Real")</f>
        <v>Real</v>
      </c>
      <c r="G14518" s="8">
        <f t="shared" si="1"/>
        <v>6</v>
      </c>
      <c r="H14518" s="14">
        <f t="shared" si="2"/>
        <v>27</v>
      </c>
      <c r="I14518" s="15">
        <f t="shared" si="3"/>
        <v>22</v>
      </c>
    </row>
    <row r="14519">
      <c r="A14519" s="8" t="str">
        <f>IFERROR(__xludf.DUMMYFUNCTION("IF('(INGESTA)Datos_consumo_datadis'!A14519&lt;&gt;"""",SPLIT('(INGESTA)Datos_consumo_datadis'!A:A,"",""),"""")"),"ES0031408323131005HX0F")</f>
        <v>ES0031408323131005HX0F</v>
      </c>
      <c r="B14519" s="12">
        <f>IFERROR(__xludf.DUMMYFUNCTION("""COMPUTED_VALUE"""),45470.0)</f>
        <v>45470</v>
      </c>
      <c r="C14519" s="13">
        <f>IFERROR(__xludf.DUMMYFUNCTION("""COMPUTED_VALUE"""),0.9583333333333334)</f>
        <v>0.9583333333</v>
      </c>
      <c r="D14519" s="8">
        <f>IFERROR(__xludf.DUMMYFUNCTION("""COMPUTED_VALUE"""),0.056)</f>
        <v>0.056</v>
      </c>
      <c r="E14519" s="8" t="str">
        <f>IFERROR(__xludf.DUMMYFUNCTION("""COMPUTED_VALUE"""),"Real")</f>
        <v>Real</v>
      </c>
      <c r="G14519" s="8">
        <f t="shared" si="1"/>
        <v>6</v>
      </c>
      <c r="H14519" s="14">
        <f t="shared" si="2"/>
        <v>27</v>
      </c>
      <c r="I14519" s="15">
        <f t="shared" si="3"/>
        <v>23</v>
      </c>
    </row>
    <row r="14520">
      <c r="A14520" s="8" t="str">
        <f>IFERROR(__xludf.DUMMYFUNCTION("IF('(INGESTA)Datos_consumo_datadis'!A14520&lt;&gt;"""",SPLIT('(INGESTA)Datos_consumo_datadis'!A:A,"",""),"""")"),"ES0031408323131005HX0F")</f>
        <v>ES0031408323131005HX0F</v>
      </c>
      <c r="B14520" s="12">
        <f>IFERROR(__xludf.DUMMYFUNCTION("""COMPUTED_VALUE"""),45470.0)</f>
        <v>45470</v>
      </c>
      <c r="C14520" s="16">
        <f>IFERROR(__xludf.DUMMYFUNCTION("""COMPUTED_VALUE"""),1.0)</f>
        <v>1</v>
      </c>
      <c r="D14520" s="8">
        <f>IFERROR(__xludf.DUMMYFUNCTION("""COMPUTED_VALUE"""),0.052)</f>
        <v>0.052</v>
      </c>
      <c r="E14520" s="8" t="str">
        <f>IFERROR(__xludf.DUMMYFUNCTION("""COMPUTED_VALUE"""),"Real")</f>
        <v>Real</v>
      </c>
      <c r="G14520" s="8">
        <f t="shared" si="1"/>
        <v>6</v>
      </c>
      <c r="H14520" s="14">
        <f t="shared" si="2"/>
        <v>27</v>
      </c>
      <c r="I14520" s="15">
        <f t="shared" si="3"/>
        <v>0</v>
      </c>
    </row>
    <row r="14521">
      <c r="A14521" s="8" t="str">
        <f>IFERROR(__xludf.DUMMYFUNCTION("IF('(INGESTA)Datos_consumo_datadis'!A14521&lt;&gt;"""",SPLIT('(INGESTA)Datos_consumo_datadis'!A:A,"",""),"""")"),"ES0031408323131005HX0F")</f>
        <v>ES0031408323131005HX0F</v>
      </c>
      <c r="B14521" s="12">
        <f>IFERROR(__xludf.DUMMYFUNCTION("""COMPUTED_VALUE"""),45471.0)</f>
        <v>45471</v>
      </c>
      <c r="C14521" s="13">
        <f>IFERROR(__xludf.DUMMYFUNCTION("""COMPUTED_VALUE"""),0.041666666666666664)</f>
        <v>0.04166666667</v>
      </c>
      <c r="D14521" s="8">
        <f>IFERROR(__xludf.DUMMYFUNCTION("""COMPUTED_VALUE"""),0.017)</f>
        <v>0.017</v>
      </c>
      <c r="E14521" s="8" t="str">
        <f>IFERROR(__xludf.DUMMYFUNCTION("""COMPUTED_VALUE"""),"Real")</f>
        <v>Real</v>
      </c>
      <c r="G14521" s="8">
        <f t="shared" si="1"/>
        <v>6</v>
      </c>
      <c r="H14521" s="14">
        <f t="shared" si="2"/>
        <v>28</v>
      </c>
      <c r="I14521" s="15">
        <f t="shared" si="3"/>
        <v>1</v>
      </c>
    </row>
    <row r="14522">
      <c r="A14522" s="8" t="str">
        <f>IFERROR(__xludf.DUMMYFUNCTION("IF('(INGESTA)Datos_consumo_datadis'!A14522&lt;&gt;"""",SPLIT('(INGESTA)Datos_consumo_datadis'!A:A,"",""),"""")"),"ES0031408323131005HX0F")</f>
        <v>ES0031408323131005HX0F</v>
      </c>
      <c r="B14522" s="12">
        <f>IFERROR(__xludf.DUMMYFUNCTION("""COMPUTED_VALUE"""),45471.0)</f>
        <v>45471</v>
      </c>
      <c r="C14522" s="13">
        <f>IFERROR(__xludf.DUMMYFUNCTION("""COMPUTED_VALUE"""),0.08333333333333333)</f>
        <v>0.08333333333</v>
      </c>
      <c r="D14522" s="8">
        <f>IFERROR(__xludf.DUMMYFUNCTION("""COMPUTED_VALUE"""),0.404)</f>
        <v>0.404</v>
      </c>
      <c r="E14522" s="8" t="str">
        <f>IFERROR(__xludf.DUMMYFUNCTION("""COMPUTED_VALUE"""),"Real")</f>
        <v>Real</v>
      </c>
      <c r="G14522" s="8">
        <f t="shared" si="1"/>
        <v>6</v>
      </c>
      <c r="H14522" s="14">
        <f t="shared" si="2"/>
        <v>28</v>
      </c>
      <c r="I14522" s="15">
        <f t="shared" si="3"/>
        <v>2</v>
      </c>
    </row>
    <row r="14523">
      <c r="A14523" s="8" t="str">
        <f>IFERROR(__xludf.DUMMYFUNCTION("IF('(INGESTA)Datos_consumo_datadis'!A14523&lt;&gt;"""",SPLIT('(INGESTA)Datos_consumo_datadis'!A:A,"",""),"""")"),"ES0031408323131005HX0F")</f>
        <v>ES0031408323131005HX0F</v>
      </c>
      <c r="B14523" s="12">
        <f>IFERROR(__xludf.DUMMYFUNCTION("""COMPUTED_VALUE"""),45471.0)</f>
        <v>45471</v>
      </c>
      <c r="C14523" s="13">
        <f>IFERROR(__xludf.DUMMYFUNCTION("""COMPUTED_VALUE"""),0.125)</f>
        <v>0.125</v>
      </c>
      <c r="D14523" s="8">
        <f>IFERROR(__xludf.DUMMYFUNCTION("""COMPUTED_VALUE"""),0.071)</f>
        <v>0.071</v>
      </c>
      <c r="E14523" s="8" t="str">
        <f>IFERROR(__xludf.DUMMYFUNCTION("""COMPUTED_VALUE"""),"Real")</f>
        <v>Real</v>
      </c>
      <c r="G14523" s="8">
        <f t="shared" si="1"/>
        <v>6</v>
      </c>
      <c r="H14523" s="14">
        <f t="shared" si="2"/>
        <v>28</v>
      </c>
      <c r="I14523" s="15">
        <f t="shared" si="3"/>
        <v>3</v>
      </c>
    </row>
    <row r="14524">
      <c r="A14524" s="8" t="str">
        <f>IFERROR(__xludf.DUMMYFUNCTION("IF('(INGESTA)Datos_consumo_datadis'!A14524&lt;&gt;"""",SPLIT('(INGESTA)Datos_consumo_datadis'!A:A,"",""),"""")"),"ES0031408323131005HX0F")</f>
        <v>ES0031408323131005HX0F</v>
      </c>
      <c r="B14524" s="12">
        <f>IFERROR(__xludf.DUMMYFUNCTION("""COMPUTED_VALUE"""),45471.0)</f>
        <v>45471</v>
      </c>
      <c r="C14524" s="13">
        <f>IFERROR(__xludf.DUMMYFUNCTION("""COMPUTED_VALUE"""),0.16666666666666666)</f>
        <v>0.1666666667</v>
      </c>
      <c r="D14524" s="8">
        <f>IFERROR(__xludf.DUMMYFUNCTION("""COMPUTED_VALUE"""),0.059)</f>
        <v>0.059</v>
      </c>
      <c r="E14524" s="8" t="str">
        <f>IFERROR(__xludf.DUMMYFUNCTION("""COMPUTED_VALUE"""),"Real")</f>
        <v>Real</v>
      </c>
      <c r="G14524" s="8">
        <f t="shared" si="1"/>
        <v>6</v>
      </c>
      <c r="H14524" s="14">
        <f t="shared" si="2"/>
        <v>28</v>
      </c>
      <c r="I14524" s="15">
        <f t="shared" si="3"/>
        <v>4</v>
      </c>
    </row>
    <row r="14525">
      <c r="A14525" s="8" t="str">
        <f>IFERROR(__xludf.DUMMYFUNCTION("IF('(INGESTA)Datos_consumo_datadis'!A14525&lt;&gt;"""",SPLIT('(INGESTA)Datos_consumo_datadis'!A:A,"",""),"""")"),"ES0031408323131005HX0F")</f>
        <v>ES0031408323131005HX0F</v>
      </c>
      <c r="B14525" s="12">
        <f>IFERROR(__xludf.DUMMYFUNCTION("""COMPUTED_VALUE"""),45471.0)</f>
        <v>45471</v>
      </c>
      <c r="C14525" s="13">
        <f>IFERROR(__xludf.DUMMYFUNCTION("""COMPUTED_VALUE"""),0.20833333333333334)</f>
        <v>0.2083333333</v>
      </c>
      <c r="D14525" s="8">
        <f>IFERROR(__xludf.DUMMYFUNCTION("""COMPUTED_VALUE"""),0.011)</f>
        <v>0.011</v>
      </c>
      <c r="E14525" s="8" t="str">
        <f>IFERROR(__xludf.DUMMYFUNCTION("""COMPUTED_VALUE"""),"Real")</f>
        <v>Real</v>
      </c>
      <c r="G14525" s="8">
        <f t="shared" si="1"/>
        <v>6</v>
      </c>
      <c r="H14525" s="14">
        <f t="shared" si="2"/>
        <v>28</v>
      </c>
      <c r="I14525" s="15">
        <f t="shared" si="3"/>
        <v>5</v>
      </c>
    </row>
    <row r="14526">
      <c r="A14526" s="8" t="str">
        <f>IFERROR(__xludf.DUMMYFUNCTION("IF('(INGESTA)Datos_consumo_datadis'!A14526&lt;&gt;"""",SPLIT('(INGESTA)Datos_consumo_datadis'!A:A,"",""),"""")"),"ES0031408323131005HX0F")</f>
        <v>ES0031408323131005HX0F</v>
      </c>
      <c r="B14526" s="12">
        <f>IFERROR(__xludf.DUMMYFUNCTION("""COMPUTED_VALUE"""),45471.0)</f>
        <v>45471</v>
      </c>
      <c r="C14526" s="13">
        <f>IFERROR(__xludf.DUMMYFUNCTION("""COMPUTED_VALUE"""),0.25)</f>
        <v>0.25</v>
      </c>
      <c r="D14526" s="8">
        <f>IFERROR(__xludf.DUMMYFUNCTION("""COMPUTED_VALUE"""),0.093)</f>
        <v>0.093</v>
      </c>
      <c r="E14526" s="8" t="str">
        <f>IFERROR(__xludf.DUMMYFUNCTION("""COMPUTED_VALUE"""),"Real")</f>
        <v>Real</v>
      </c>
      <c r="G14526" s="8">
        <f t="shared" si="1"/>
        <v>6</v>
      </c>
      <c r="H14526" s="14">
        <f t="shared" si="2"/>
        <v>28</v>
      </c>
      <c r="I14526" s="15">
        <f t="shared" si="3"/>
        <v>6</v>
      </c>
    </row>
    <row r="14527">
      <c r="A14527" s="8" t="str">
        <f>IFERROR(__xludf.DUMMYFUNCTION("IF('(INGESTA)Datos_consumo_datadis'!A14527&lt;&gt;"""",SPLIT('(INGESTA)Datos_consumo_datadis'!A:A,"",""),"""")"),"ES0031408323131005HX0F")</f>
        <v>ES0031408323131005HX0F</v>
      </c>
      <c r="B14527" s="12">
        <f>IFERROR(__xludf.DUMMYFUNCTION("""COMPUTED_VALUE"""),45471.0)</f>
        <v>45471</v>
      </c>
      <c r="C14527" s="13">
        <f>IFERROR(__xludf.DUMMYFUNCTION("""COMPUTED_VALUE"""),0.2916666666666667)</f>
        <v>0.2916666667</v>
      </c>
      <c r="D14527" s="8">
        <f>IFERROR(__xludf.DUMMYFUNCTION("""COMPUTED_VALUE"""),0.079)</f>
        <v>0.079</v>
      </c>
      <c r="E14527" s="8" t="str">
        <f>IFERROR(__xludf.DUMMYFUNCTION("""COMPUTED_VALUE"""),"Real")</f>
        <v>Real</v>
      </c>
      <c r="G14527" s="8">
        <f t="shared" si="1"/>
        <v>6</v>
      </c>
      <c r="H14527" s="14">
        <f t="shared" si="2"/>
        <v>28</v>
      </c>
      <c r="I14527" s="15">
        <f t="shared" si="3"/>
        <v>7</v>
      </c>
    </row>
    <row r="14528">
      <c r="A14528" s="8" t="str">
        <f>IFERROR(__xludf.DUMMYFUNCTION("IF('(INGESTA)Datos_consumo_datadis'!A14528&lt;&gt;"""",SPLIT('(INGESTA)Datos_consumo_datadis'!A:A,"",""),"""")"),"ES0031408323131005HX0F")</f>
        <v>ES0031408323131005HX0F</v>
      </c>
      <c r="B14528" s="12">
        <f>IFERROR(__xludf.DUMMYFUNCTION("""COMPUTED_VALUE"""),45471.0)</f>
        <v>45471</v>
      </c>
      <c r="C14528" s="13">
        <f>IFERROR(__xludf.DUMMYFUNCTION("""COMPUTED_VALUE"""),0.3333333333333333)</f>
        <v>0.3333333333</v>
      </c>
      <c r="D14528" s="8">
        <f>IFERROR(__xludf.DUMMYFUNCTION("""COMPUTED_VALUE"""),0.078)</f>
        <v>0.078</v>
      </c>
      <c r="E14528" s="8" t="str">
        <f>IFERROR(__xludf.DUMMYFUNCTION("""COMPUTED_VALUE"""),"Real")</f>
        <v>Real</v>
      </c>
      <c r="G14528" s="8">
        <f t="shared" si="1"/>
        <v>6</v>
      </c>
      <c r="H14528" s="14">
        <f t="shared" si="2"/>
        <v>28</v>
      </c>
      <c r="I14528" s="15">
        <f t="shared" si="3"/>
        <v>8</v>
      </c>
    </row>
    <row r="14529">
      <c r="A14529" s="8" t="str">
        <f>IFERROR(__xludf.DUMMYFUNCTION("IF('(INGESTA)Datos_consumo_datadis'!A14529&lt;&gt;"""",SPLIT('(INGESTA)Datos_consumo_datadis'!A:A,"",""),"""")"),"ES0031408323131005HX0F")</f>
        <v>ES0031408323131005HX0F</v>
      </c>
      <c r="B14529" s="12">
        <f>IFERROR(__xludf.DUMMYFUNCTION("""COMPUTED_VALUE"""),45471.0)</f>
        <v>45471</v>
      </c>
      <c r="C14529" s="13">
        <f>IFERROR(__xludf.DUMMYFUNCTION("""COMPUTED_VALUE"""),0.375)</f>
        <v>0.375</v>
      </c>
      <c r="D14529" s="8">
        <f>IFERROR(__xludf.DUMMYFUNCTION("""COMPUTED_VALUE"""),0.011)</f>
        <v>0.011</v>
      </c>
      <c r="E14529" s="8" t="str">
        <f>IFERROR(__xludf.DUMMYFUNCTION("""COMPUTED_VALUE"""),"Real")</f>
        <v>Real</v>
      </c>
      <c r="G14529" s="8">
        <f t="shared" si="1"/>
        <v>6</v>
      </c>
      <c r="H14529" s="14">
        <f t="shared" si="2"/>
        <v>28</v>
      </c>
      <c r="I14529" s="15">
        <f t="shared" si="3"/>
        <v>9</v>
      </c>
    </row>
    <row r="14530">
      <c r="A14530" s="8" t="str">
        <f>IFERROR(__xludf.DUMMYFUNCTION("IF('(INGESTA)Datos_consumo_datadis'!A14530&lt;&gt;"""",SPLIT('(INGESTA)Datos_consumo_datadis'!A:A,"",""),"""")"),"ES0031408323131005HX0F")</f>
        <v>ES0031408323131005HX0F</v>
      </c>
      <c r="B14530" s="12">
        <f>IFERROR(__xludf.DUMMYFUNCTION("""COMPUTED_VALUE"""),45471.0)</f>
        <v>45471</v>
      </c>
      <c r="C14530" s="13">
        <f>IFERROR(__xludf.DUMMYFUNCTION("""COMPUTED_VALUE"""),0.4166666666666667)</f>
        <v>0.4166666667</v>
      </c>
      <c r="D14530" s="8">
        <f>IFERROR(__xludf.DUMMYFUNCTION("""COMPUTED_VALUE"""),0.362)</f>
        <v>0.362</v>
      </c>
      <c r="E14530" s="8" t="str">
        <f>IFERROR(__xludf.DUMMYFUNCTION("""COMPUTED_VALUE"""),"Real")</f>
        <v>Real</v>
      </c>
      <c r="G14530" s="8">
        <f t="shared" si="1"/>
        <v>6</v>
      </c>
      <c r="H14530" s="14">
        <f t="shared" si="2"/>
        <v>28</v>
      </c>
      <c r="I14530" s="15">
        <f t="shared" si="3"/>
        <v>10</v>
      </c>
    </row>
    <row r="14531">
      <c r="A14531" s="8" t="str">
        <f>IFERROR(__xludf.DUMMYFUNCTION("IF('(INGESTA)Datos_consumo_datadis'!A14531&lt;&gt;"""",SPLIT('(INGESTA)Datos_consumo_datadis'!A:A,"",""),"""")"),"ES0031408323131005HX0F")</f>
        <v>ES0031408323131005HX0F</v>
      </c>
      <c r="B14531" s="12">
        <f>IFERROR(__xludf.DUMMYFUNCTION("""COMPUTED_VALUE"""),45471.0)</f>
        <v>45471</v>
      </c>
      <c r="C14531" s="13">
        <f>IFERROR(__xludf.DUMMYFUNCTION("""COMPUTED_VALUE"""),0.4583333333333333)</f>
        <v>0.4583333333</v>
      </c>
      <c r="D14531" s="8">
        <f>IFERROR(__xludf.DUMMYFUNCTION("""COMPUTED_VALUE"""),0.09)</f>
        <v>0.09</v>
      </c>
      <c r="E14531" s="8" t="str">
        <f>IFERROR(__xludf.DUMMYFUNCTION("""COMPUTED_VALUE"""),"Real")</f>
        <v>Real</v>
      </c>
      <c r="G14531" s="8">
        <f t="shared" si="1"/>
        <v>6</v>
      </c>
      <c r="H14531" s="14">
        <f t="shared" si="2"/>
        <v>28</v>
      </c>
      <c r="I14531" s="15">
        <f t="shared" si="3"/>
        <v>11</v>
      </c>
    </row>
    <row r="14532">
      <c r="A14532" s="8" t="str">
        <f>IFERROR(__xludf.DUMMYFUNCTION("IF('(INGESTA)Datos_consumo_datadis'!A14532&lt;&gt;"""",SPLIT('(INGESTA)Datos_consumo_datadis'!A:A,"",""),"""")"),"ES0031408323131005HX0F")</f>
        <v>ES0031408323131005HX0F</v>
      </c>
      <c r="B14532" s="12">
        <f>IFERROR(__xludf.DUMMYFUNCTION("""COMPUTED_VALUE"""),45471.0)</f>
        <v>45471</v>
      </c>
      <c r="C14532" s="13">
        <f>IFERROR(__xludf.DUMMYFUNCTION("""COMPUTED_VALUE"""),0.5)</f>
        <v>0.5</v>
      </c>
      <c r="D14532" s="8">
        <f>IFERROR(__xludf.DUMMYFUNCTION("""COMPUTED_VALUE"""),0.069)</f>
        <v>0.069</v>
      </c>
      <c r="E14532" s="8" t="str">
        <f>IFERROR(__xludf.DUMMYFUNCTION("""COMPUTED_VALUE"""),"Real")</f>
        <v>Real</v>
      </c>
      <c r="G14532" s="8">
        <f t="shared" si="1"/>
        <v>6</v>
      </c>
      <c r="H14532" s="14">
        <f t="shared" si="2"/>
        <v>28</v>
      </c>
      <c r="I14532" s="15">
        <f t="shared" si="3"/>
        <v>12</v>
      </c>
    </row>
    <row r="14533">
      <c r="A14533" s="8" t="str">
        <f>IFERROR(__xludf.DUMMYFUNCTION("IF('(INGESTA)Datos_consumo_datadis'!A14533&lt;&gt;"""",SPLIT('(INGESTA)Datos_consumo_datadis'!A:A,"",""),"""")"),"ES0031408323131005HX0F")</f>
        <v>ES0031408323131005HX0F</v>
      </c>
      <c r="B14533" s="12">
        <f>IFERROR(__xludf.DUMMYFUNCTION("""COMPUTED_VALUE"""),45471.0)</f>
        <v>45471</v>
      </c>
      <c r="C14533" s="13">
        <f>IFERROR(__xludf.DUMMYFUNCTION("""COMPUTED_VALUE"""),0.5416666666666666)</f>
        <v>0.5416666667</v>
      </c>
      <c r="D14533" s="8">
        <f>IFERROR(__xludf.DUMMYFUNCTION("""COMPUTED_VALUE"""),0.039)</f>
        <v>0.039</v>
      </c>
      <c r="E14533" s="8" t="str">
        <f>IFERROR(__xludf.DUMMYFUNCTION("""COMPUTED_VALUE"""),"Real")</f>
        <v>Real</v>
      </c>
      <c r="G14533" s="8">
        <f t="shared" si="1"/>
        <v>6</v>
      </c>
      <c r="H14533" s="14">
        <f t="shared" si="2"/>
        <v>28</v>
      </c>
      <c r="I14533" s="15">
        <f t="shared" si="3"/>
        <v>13</v>
      </c>
    </row>
    <row r="14534">
      <c r="A14534" s="8" t="str">
        <f>IFERROR(__xludf.DUMMYFUNCTION("IF('(INGESTA)Datos_consumo_datadis'!A14534&lt;&gt;"""",SPLIT('(INGESTA)Datos_consumo_datadis'!A:A,"",""),"""")"),"ES0031408323131005HX0F")</f>
        <v>ES0031408323131005HX0F</v>
      </c>
      <c r="B14534" s="12">
        <f>IFERROR(__xludf.DUMMYFUNCTION("""COMPUTED_VALUE"""),45471.0)</f>
        <v>45471</v>
      </c>
      <c r="C14534" s="13">
        <f>IFERROR(__xludf.DUMMYFUNCTION("""COMPUTED_VALUE"""),0.5833333333333334)</f>
        <v>0.5833333333</v>
      </c>
      <c r="D14534" s="8">
        <f>IFERROR(__xludf.DUMMYFUNCTION("""COMPUTED_VALUE"""),0.029)</f>
        <v>0.029</v>
      </c>
      <c r="E14534" s="8" t="str">
        <f>IFERROR(__xludf.DUMMYFUNCTION("""COMPUTED_VALUE"""),"Real")</f>
        <v>Real</v>
      </c>
      <c r="G14534" s="8">
        <f t="shared" si="1"/>
        <v>6</v>
      </c>
      <c r="H14534" s="14">
        <f t="shared" si="2"/>
        <v>28</v>
      </c>
      <c r="I14534" s="15">
        <f t="shared" si="3"/>
        <v>14</v>
      </c>
    </row>
    <row r="14535">
      <c r="A14535" s="8" t="str">
        <f>IFERROR(__xludf.DUMMYFUNCTION("IF('(INGESTA)Datos_consumo_datadis'!A14535&lt;&gt;"""",SPLIT('(INGESTA)Datos_consumo_datadis'!A:A,"",""),"""")"),"ES0031408323131005HX0F")</f>
        <v>ES0031408323131005HX0F</v>
      </c>
      <c r="B14535" s="12">
        <f>IFERROR(__xludf.DUMMYFUNCTION("""COMPUTED_VALUE"""),45471.0)</f>
        <v>45471</v>
      </c>
      <c r="C14535" s="13">
        <f>IFERROR(__xludf.DUMMYFUNCTION("""COMPUTED_VALUE"""),0.625)</f>
        <v>0.625</v>
      </c>
      <c r="D14535" s="8">
        <f>IFERROR(__xludf.DUMMYFUNCTION("""COMPUTED_VALUE"""),0.114)</f>
        <v>0.114</v>
      </c>
      <c r="E14535" s="8" t="str">
        <f>IFERROR(__xludf.DUMMYFUNCTION("""COMPUTED_VALUE"""),"Real")</f>
        <v>Real</v>
      </c>
      <c r="G14535" s="8">
        <f t="shared" si="1"/>
        <v>6</v>
      </c>
      <c r="H14535" s="14">
        <f t="shared" si="2"/>
        <v>28</v>
      </c>
      <c r="I14535" s="15">
        <f t="shared" si="3"/>
        <v>15</v>
      </c>
    </row>
    <row r="14536">
      <c r="A14536" s="8" t="str">
        <f>IFERROR(__xludf.DUMMYFUNCTION("IF('(INGESTA)Datos_consumo_datadis'!A14536&lt;&gt;"""",SPLIT('(INGESTA)Datos_consumo_datadis'!A:A,"",""),"""")"),"ES0031408323131005HX0F")</f>
        <v>ES0031408323131005HX0F</v>
      </c>
      <c r="B14536" s="12">
        <f>IFERROR(__xludf.DUMMYFUNCTION("""COMPUTED_VALUE"""),45471.0)</f>
        <v>45471</v>
      </c>
      <c r="C14536" s="13">
        <f>IFERROR(__xludf.DUMMYFUNCTION("""COMPUTED_VALUE"""),0.6666666666666666)</f>
        <v>0.6666666667</v>
      </c>
      <c r="D14536" s="8">
        <f>IFERROR(__xludf.DUMMYFUNCTION("""COMPUTED_VALUE"""),0.058)</f>
        <v>0.058</v>
      </c>
      <c r="E14536" s="8" t="str">
        <f>IFERROR(__xludf.DUMMYFUNCTION("""COMPUTED_VALUE"""),"Real")</f>
        <v>Real</v>
      </c>
      <c r="G14536" s="8">
        <f t="shared" si="1"/>
        <v>6</v>
      </c>
      <c r="H14536" s="14">
        <f t="shared" si="2"/>
        <v>28</v>
      </c>
      <c r="I14536" s="15">
        <f t="shared" si="3"/>
        <v>16</v>
      </c>
    </row>
    <row r="14537">
      <c r="A14537" s="8" t="str">
        <f>IFERROR(__xludf.DUMMYFUNCTION("IF('(INGESTA)Datos_consumo_datadis'!A14537&lt;&gt;"""",SPLIT('(INGESTA)Datos_consumo_datadis'!A:A,"",""),"""")"),"ES0031408323131005HX0F")</f>
        <v>ES0031408323131005HX0F</v>
      </c>
      <c r="B14537" s="12">
        <f>IFERROR(__xludf.DUMMYFUNCTION("""COMPUTED_VALUE"""),45471.0)</f>
        <v>45471</v>
      </c>
      <c r="C14537" s="13">
        <f>IFERROR(__xludf.DUMMYFUNCTION("""COMPUTED_VALUE"""),0.7083333333333334)</f>
        <v>0.7083333333</v>
      </c>
      <c r="D14537" s="8">
        <f>IFERROR(__xludf.DUMMYFUNCTION("""COMPUTED_VALUE"""),0.059)</f>
        <v>0.059</v>
      </c>
      <c r="E14537" s="8" t="str">
        <f>IFERROR(__xludf.DUMMYFUNCTION("""COMPUTED_VALUE"""),"Real")</f>
        <v>Real</v>
      </c>
      <c r="G14537" s="8">
        <f t="shared" si="1"/>
        <v>6</v>
      </c>
      <c r="H14537" s="14">
        <f t="shared" si="2"/>
        <v>28</v>
      </c>
      <c r="I14537" s="15">
        <f t="shared" si="3"/>
        <v>17</v>
      </c>
    </row>
    <row r="14538">
      <c r="A14538" s="8" t="str">
        <f>IFERROR(__xludf.DUMMYFUNCTION("IF('(INGESTA)Datos_consumo_datadis'!A14538&lt;&gt;"""",SPLIT('(INGESTA)Datos_consumo_datadis'!A:A,"",""),"""")"),"ES0031408323131005HX0F")</f>
        <v>ES0031408323131005HX0F</v>
      </c>
      <c r="B14538" s="12">
        <f>IFERROR(__xludf.DUMMYFUNCTION("""COMPUTED_VALUE"""),45471.0)</f>
        <v>45471</v>
      </c>
      <c r="C14538" s="13">
        <f>IFERROR(__xludf.DUMMYFUNCTION("""COMPUTED_VALUE"""),0.75)</f>
        <v>0.75</v>
      </c>
      <c r="D14538" s="8">
        <f>IFERROR(__xludf.DUMMYFUNCTION("""COMPUTED_VALUE"""),0.691)</f>
        <v>0.691</v>
      </c>
      <c r="E14538" s="8" t="str">
        <f>IFERROR(__xludf.DUMMYFUNCTION("""COMPUTED_VALUE"""),"Real")</f>
        <v>Real</v>
      </c>
      <c r="G14538" s="8">
        <f t="shared" si="1"/>
        <v>6</v>
      </c>
      <c r="H14538" s="14">
        <f t="shared" si="2"/>
        <v>28</v>
      </c>
      <c r="I14538" s="15">
        <f t="shared" si="3"/>
        <v>18</v>
      </c>
    </row>
    <row r="14539">
      <c r="A14539" s="8" t="str">
        <f>IFERROR(__xludf.DUMMYFUNCTION("IF('(INGESTA)Datos_consumo_datadis'!A14539&lt;&gt;"""",SPLIT('(INGESTA)Datos_consumo_datadis'!A:A,"",""),"""")"),"ES0031408323131005HX0F")</f>
        <v>ES0031408323131005HX0F</v>
      </c>
      <c r="B14539" s="12">
        <f>IFERROR(__xludf.DUMMYFUNCTION("""COMPUTED_VALUE"""),45471.0)</f>
        <v>45471</v>
      </c>
      <c r="C14539" s="13">
        <f>IFERROR(__xludf.DUMMYFUNCTION("""COMPUTED_VALUE"""),0.7916666666666666)</f>
        <v>0.7916666667</v>
      </c>
      <c r="D14539" s="8">
        <f>IFERROR(__xludf.DUMMYFUNCTION("""COMPUTED_VALUE"""),0.24)</f>
        <v>0.24</v>
      </c>
      <c r="E14539" s="8" t="str">
        <f>IFERROR(__xludf.DUMMYFUNCTION("""COMPUTED_VALUE"""),"Real")</f>
        <v>Real</v>
      </c>
      <c r="G14539" s="8">
        <f t="shared" si="1"/>
        <v>6</v>
      </c>
      <c r="H14539" s="14">
        <f t="shared" si="2"/>
        <v>28</v>
      </c>
      <c r="I14539" s="15">
        <f t="shared" si="3"/>
        <v>19</v>
      </c>
    </row>
    <row r="14540">
      <c r="A14540" s="8" t="str">
        <f>IFERROR(__xludf.DUMMYFUNCTION("IF('(INGESTA)Datos_consumo_datadis'!A14540&lt;&gt;"""",SPLIT('(INGESTA)Datos_consumo_datadis'!A:A,"",""),"""")"),"ES0031408323131005HX0F")</f>
        <v>ES0031408323131005HX0F</v>
      </c>
      <c r="B14540" s="12">
        <f>IFERROR(__xludf.DUMMYFUNCTION("""COMPUTED_VALUE"""),45471.0)</f>
        <v>45471</v>
      </c>
      <c r="C14540" s="13">
        <f>IFERROR(__xludf.DUMMYFUNCTION("""COMPUTED_VALUE"""),0.8333333333333334)</f>
        <v>0.8333333333</v>
      </c>
      <c r="D14540" s="8">
        <f>IFERROR(__xludf.DUMMYFUNCTION("""COMPUTED_VALUE"""),0.142)</f>
        <v>0.142</v>
      </c>
      <c r="E14540" s="8" t="str">
        <f>IFERROR(__xludf.DUMMYFUNCTION("""COMPUTED_VALUE"""),"Real")</f>
        <v>Real</v>
      </c>
      <c r="G14540" s="8">
        <f t="shared" si="1"/>
        <v>6</v>
      </c>
      <c r="H14540" s="14">
        <f t="shared" si="2"/>
        <v>28</v>
      </c>
      <c r="I14540" s="15">
        <f t="shared" si="3"/>
        <v>20</v>
      </c>
    </row>
    <row r="14541">
      <c r="A14541" s="8" t="str">
        <f>IFERROR(__xludf.DUMMYFUNCTION("IF('(INGESTA)Datos_consumo_datadis'!A14541&lt;&gt;"""",SPLIT('(INGESTA)Datos_consumo_datadis'!A:A,"",""),"""")"),"ES0031408323131005HX0F")</f>
        <v>ES0031408323131005HX0F</v>
      </c>
      <c r="B14541" s="12">
        <f>IFERROR(__xludf.DUMMYFUNCTION("""COMPUTED_VALUE"""),45471.0)</f>
        <v>45471</v>
      </c>
      <c r="C14541" s="13">
        <f>IFERROR(__xludf.DUMMYFUNCTION("""COMPUTED_VALUE"""),0.875)</f>
        <v>0.875</v>
      </c>
      <c r="D14541" s="8">
        <f>IFERROR(__xludf.DUMMYFUNCTION("""COMPUTED_VALUE"""),0.199)</f>
        <v>0.199</v>
      </c>
      <c r="E14541" s="8" t="str">
        <f>IFERROR(__xludf.DUMMYFUNCTION("""COMPUTED_VALUE"""),"Real")</f>
        <v>Real</v>
      </c>
      <c r="G14541" s="8">
        <f t="shared" si="1"/>
        <v>6</v>
      </c>
      <c r="H14541" s="14">
        <f t="shared" si="2"/>
        <v>28</v>
      </c>
      <c r="I14541" s="15">
        <f t="shared" si="3"/>
        <v>21</v>
      </c>
    </row>
    <row r="14542">
      <c r="A14542" s="8" t="str">
        <f>IFERROR(__xludf.DUMMYFUNCTION("IF('(INGESTA)Datos_consumo_datadis'!A14542&lt;&gt;"""",SPLIT('(INGESTA)Datos_consumo_datadis'!A:A,"",""),"""")"),"ES0031408323131005HX0F")</f>
        <v>ES0031408323131005HX0F</v>
      </c>
      <c r="B14542" s="12">
        <f>IFERROR(__xludf.DUMMYFUNCTION("""COMPUTED_VALUE"""),45471.0)</f>
        <v>45471</v>
      </c>
      <c r="C14542" s="13">
        <f>IFERROR(__xludf.DUMMYFUNCTION("""COMPUTED_VALUE"""),0.9166666666666666)</f>
        <v>0.9166666667</v>
      </c>
      <c r="D14542" s="8">
        <f>IFERROR(__xludf.DUMMYFUNCTION("""COMPUTED_VALUE"""),0.089)</f>
        <v>0.089</v>
      </c>
      <c r="E14542" s="8" t="str">
        <f>IFERROR(__xludf.DUMMYFUNCTION("""COMPUTED_VALUE"""),"Real")</f>
        <v>Real</v>
      </c>
      <c r="G14542" s="8">
        <f t="shared" si="1"/>
        <v>6</v>
      </c>
      <c r="H14542" s="14">
        <f t="shared" si="2"/>
        <v>28</v>
      </c>
      <c r="I14542" s="15">
        <f t="shared" si="3"/>
        <v>22</v>
      </c>
    </row>
    <row r="14543">
      <c r="A14543" s="8" t="str">
        <f>IFERROR(__xludf.DUMMYFUNCTION("IF('(INGESTA)Datos_consumo_datadis'!A14543&lt;&gt;"""",SPLIT('(INGESTA)Datos_consumo_datadis'!A:A,"",""),"""")"),"ES0031408323131005HX0F")</f>
        <v>ES0031408323131005HX0F</v>
      </c>
      <c r="B14543" s="12">
        <f>IFERROR(__xludf.DUMMYFUNCTION("""COMPUTED_VALUE"""),45471.0)</f>
        <v>45471</v>
      </c>
      <c r="C14543" s="13">
        <f>IFERROR(__xludf.DUMMYFUNCTION("""COMPUTED_VALUE"""),0.9583333333333334)</f>
        <v>0.9583333333</v>
      </c>
      <c r="D14543" s="8">
        <f>IFERROR(__xludf.DUMMYFUNCTION("""COMPUTED_VALUE"""),0.173)</f>
        <v>0.173</v>
      </c>
      <c r="E14543" s="8" t="str">
        <f>IFERROR(__xludf.DUMMYFUNCTION("""COMPUTED_VALUE"""),"Real")</f>
        <v>Real</v>
      </c>
      <c r="G14543" s="8">
        <f t="shared" si="1"/>
        <v>6</v>
      </c>
      <c r="H14543" s="14">
        <f t="shared" si="2"/>
        <v>28</v>
      </c>
      <c r="I14543" s="15">
        <f t="shared" si="3"/>
        <v>23</v>
      </c>
    </row>
    <row r="14544">
      <c r="A14544" s="8" t="str">
        <f>IFERROR(__xludf.DUMMYFUNCTION("IF('(INGESTA)Datos_consumo_datadis'!A14544&lt;&gt;"""",SPLIT('(INGESTA)Datos_consumo_datadis'!A:A,"",""),"""")"),"ES0031408323131005HX0F")</f>
        <v>ES0031408323131005HX0F</v>
      </c>
      <c r="B14544" s="12">
        <f>IFERROR(__xludf.DUMMYFUNCTION("""COMPUTED_VALUE"""),45471.0)</f>
        <v>45471</v>
      </c>
      <c r="C14544" s="16">
        <f>IFERROR(__xludf.DUMMYFUNCTION("""COMPUTED_VALUE"""),1.0)</f>
        <v>1</v>
      </c>
      <c r="D14544" s="8">
        <f>IFERROR(__xludf.DUMMYFUNCTION("""COMPUTED_VALUE"""),0.112)</f>
        <v>0.112</v>
      </c>
      <c r="E14544" s="8" t="str">
        <f>IFERROR(__xludf.DUMMYFUNCTION("""COMPUTED_VALUE"""),"Real")</f>
        <v>Real</v>
      </c>
      <c r="G14544" s="8">
        <f t="shared" si="1"/>
        <v>6</v>
      </c>
      <c r="H14544" s="14">
        <f t="shared" si="2"/>
        <v>28</v>
      </c>
      <c r="I14544" s="15">
        <f t="shared" si="3"/>
        <v>0</v>
      </c>
    </row>
    <row r="14545">
      <c r="A14545" s="8" t="str">
        <f>IFERROR(__xludf.DUMMYFUNCTION("IF('(INGESTA)Datos_consumo_datadis'!A14545&lt;&gt;"""",SPLIT('(INGESTA)Datos_consumo_datadis'!A:A,"",""),"""")"),"ES0031408323131005HX0F")</f>
        <v>ES0031408323131005HX0F</v>
      </c>
      <c r="B14545" s="12">
        <f>IFERROR(__xludf.DUMMYFUNCTION("""COMPUTED_VALUE"""),45472.0)</f>
        <v>45472</v>
      </c>
      <c r="C14545" s="13">
        <f>IFERROR(__xludf.DUMMYFUNCTION("""COMPUTED_VALUE"""),0.041666666666666664)</f>
        <v>0.04166666667</v>
      </c>
      <c r="D14545" s="8">
        <f>IFERROR(__xludf.DUMMYFUNCTION("""COMPUTED_VALUE"""),0.067)</f>
        <v>0.067</v>
      </c>
      <c r="E14545" s="8" t="str">
        <f>IFERROR(__xludf.DUMMYFUNCTION("""COMPUTED_VALUE"""),"Real")</f>
        <v>Real</v>
      </c>
      <c r="G14545" s="8">
        <f t="shared" si="1"/>
        <v>6</v>
      </c>
      <c r="H14545" s="14">
        <f t="shared" si="2"/>
        <v>29</v>
      </c>
      <c r="I14545" s="15">
        <f t="shared" si="3"/>
        <v>1</v>
      </c>
    </row>
    <row r="14546">
      <c r="A14546" s="8" t="str">
        <f>IFERROR(__xludf.DUMMYFUNCTION("IF('(INGESTA)Datos_consumo_datadis'!A14546&lt;&gt;"""",SPLIT('(INGESTA)Datos_consumo_datadis'!A:A,"",""),"""")"),"ES0031408323131005HX0F")</f>
        <v>ES0031408323131005HX0F</v>
      </c>
      <c r="B14546" s="12">
        <f>IFERROR(__xludf.DUMMYFUNCTION("""COMPUTED_VALUE"""),45472.0)</f>
        <v>45472</v>
      </c>
      <c r="C14546" s="13">
        <f>IFERROR(__xludf.DUMMYFUNCTION("""COMPUTED_VALUE"""),0.08333333333333333)</f>
        <v>0.08333333333</v>
      </c>
      <c r="D14546" s="8">
        <f>IFERROR(__xludf.DUMMYFUNCTION("""COMPUTED_VALUE"""),0.199)</f>
        <v>0.199</v>
      </c>
      <c r="E14546" s="8" t="str">
        <f>IFERROR(__xludf.DUMMYFUNCTION("""COMPUTED_VALUE"""),"Real")</f>
        <v>Real</v>
      </c>
      <c r="G14546" s="8">
        <f t="shared" si="1"/>
        <v>6</v>
      </c>
      <c r="H14546" s="14">
        <f t="shared" si="2"/>
        <v>29</v>
      </c>
      <c r="I14546" s="15">
        <f t="shared" si="3"/>
        <v>2</v>
      </c>
    </row>
    <row r="14547">
      <c r="A14547" s="8" t="str">
        <f>IFERROR(__xludf.DUMMYFUNCTION("IF('(INGESTA)Datos_consumo_datadis'!A14547&lt;&gt;"""",SPLIT('(INGESTA)Datos_consumo_datadis'!A:A,"",""),"""")"),"ES0031408323131005HX0F")</f>
        <v>ES0031408323131005HX0F</v>
      </c>
      <c r="B14547" s="12">
        <f>IFERROR(__xludf.DUMMYFUNCTION("""COMPUTED_VALUE"""),45472.0)</f>
        <v>45472</v>
      </c>
      <c r="C14547" s="13">
        <f>IFERROR(__xludf.DUMMYFUNCTION("""COMPUTED_VALUE"""),0.125)</f>
        <v>0.125</v>
      </c>
      <c r="D14547" s="8">
        <f>IFERROR(__xludf.DUMMYFUNCTION("""COMPUTED_VALUE"""),0.263)</f>
        <v>0.263</v>
      </c>
      <c r="E14547" s="8" t="str">
        <f>IFERROR(__xludf.DUMMYFUNCTION("""COMPUTED_VALUE"""),"Real")</f>
        <v>Real</v>
      </c>
      <c r="G14547" s="8">
        <f t="shared" si="1"/>
        <v>6</v>
      </c>
      <c r="H14547" s="14">
        <f t="shared" si="2"/>
        <v>29</v>
      </c>
      <c r="I14547" s="15">
        <f t="shared" si="3"/>
        <v>3</v>
      </c>
    </row>
    <row r="14548">
      <c r="A14548" s="8" t="str">
        <f>IFERROR(__xludf.DUMMYFUNCTION("IF('(INGESTA)Datos_consumo_datadis'!A14548&lt;&gt;"""",SPLIT('(INGESTA)Datos_consumo_datadis'!A:A,"",""),"""")"),"ES0031408323131005HX0F")</f>
        <v>ES0031408323131005HX0F</v>
      </c>
      <c r="B14548" s="12">
        <f>IFERROR(__xludf.DUMMYFUNCTION("""COMPUTED_VALUE"""),45472.0)</f>
        <v>45472</v>
      </c>
      <c r="C14548" s="13">
        <f>IFERROR(__xludf.DUMMYFUNCTION("""COMPUTED_VALUE"""),0.16666666666666666)</f>
        <v>0.1666666667</v>
      </c>
      <c r="D14548" s="8">
        <f>IFERROR(__xludf.DUMMYFUNCTION("""COMPUTED_VALUE"""),0.122)</f>
        <v>0.122</v>
      </c>
      <c r="E14548" s="8" t="str">
        <f>IFERROR(__xludf.DUMMYFUNCTION("""COMPUTED_VALUE"""),"Real")</f>
        <v>Real</v>
      </c>
      <c r="G14548" s="8">
        <f t="shared" si="1"/>
        <v>6</v>
      </c>
      <c r="H14548" s="14">
        <f t="shared" si="2"/>
        <v>29</v>
      </c>
      <c r="I14548" s="15">
        <f t="shared" si="3"/>
        <v>4</v>
      </c>
    </row>
    <row r="14549">
      <c r="A14549" s="8" t="str">
        <f>IFERROR(__xludf.DUMMYFUNCTION("IF('(INGESTA)Datos_consumo_datadis'!A14549&lt;&gt;"""",SPLIT('(INGESTA)Datos_consumo_datadis'!A:A,"",""),"""")"),"ES0031408323131005HX0F")</f>
        <v>ES0031408323131005HX0F</v>
      </c>
      <c r="B14549" s="12">
        <f>IFERROR(__xludf.DUMMYFUNCTION("""COMPUTED_VALUE"""),45472.0)</f>
        <v>45472</v>
      </c>
      <c r="C14549" s="13">
        <f>IFERROR(__xludf.DUMMYFUNCTION("""COMPUTED_VALUE"""),0.20833333333333334)</f>
        <v>0.2083333333</v>
      </c>
      <c r="D14549" s="8">
        <f>IFERROR(__xludf.DUMMYFUNCTION("""COMPUTED_VALUE"""),0.084)</f>
        <v>0.084</v>
      </c>
      <c r="E14549" s="8" t="str">
        <f>IFERROR(__xludf.DUMMYFUNCTION("""COMPUTED_VALUE"""),"Real")</f>
        <v>Real</v>
      </c>
      <c r="G14549" s="8">
        <f t="shared" si="1"/>
        <v>6</v>
      </c>
      <c r="H14549" s="14">
        <f t="shared" si="2"/>
        <v>29</v>
      </c>
      <c r="I14549" s="15">
        <f t="shared" si="3"/>
        <v>5</v>
      </c>
    </row>
    <row r="14550">
      <c r="A14550" s="8" t="str">
        <f>IFERROR(__xludf.DUMMYFUNCTION("IF('(INGESTA)Datos_consumo_datadis'!A14550&lt;&gt;"""",SPLIT('(INGESTA)Datos_consumo_datadis'!A:A,"",""),"""")"),"ES0031408323131005HX0F")</f>
        <v>ES0031408323131005HX0F</v>
      </c>
      <c r="B14550" s="12">
        <f>IFERROR(__xludf.DUMMYFUNCTION("""COMPUTED_VALUE"""),45472.0)</f>
        <v>45472</v>
      </c>
      <c r="C14550" s="13">
        <f>IFERROR(__xludf.DUMMYFUNCTION("""COMPUTED_VALUE"""),0.25)</f>
        <v>0.25</v>
      </c>
      <c r="D14550" s="8">
        <f>IFERROR(__xludf.DUMMYFUNCTION("""COMPUTED_VALUE"""),0.102)</f>
        <v>0.102</v>
      </c>
      <c r="E14550" s="8" t="str">
        <f>IFERROR(__xludf.DUMMYFUNCTION("""COMPUTED_VALUE"""),"Real")</f>
        <v>Real</v>
      </c>
      <c r="G14550" s="8">
        <f t="shared" si="1"/>
        <v>6</v>
      </c>
      <c r="H14550" s="14">
        <f t="shared" si="2"/>
        <v>29</v>
      </c>
      <c r="I14550" s="15">
        <f t="shared" si="3"/>
        <v>6</v>
      </c>
    </row>
    <row r="14551">
      <c r="A14551" s="8" t="str">
        <f>IFERROR(__xludf.DUMMYFUNCTION("IF('(INGESTA)Datos_consumo_datadis'!A14551&lt;&gt;"""",SPLIT('(INGESTA)Datos_consumo_datadis'!A:A,"",""),"""")"),"ES0031408323131005HX0F")</f>
        <v>ES0031408323131005HX0F</v>
      </c>
      <c r="B14551" s="12">
        <f>IFERROR(__xludf.DUMMYFUNCTION("""COMPUTED_VALUE"""),45472.0)</f>
        <v>45472</v>
      </c>
      <c r="C14551" s="13">
        <f>IFERROR(__xludf.DUMMYFUNCTION("""COMPUTED_VALUE"""),0.2916666666666667)</f>
        <v>0.2916666667</v>
      </c>
      <c r="D14551" s="8">
        <f>IFERROR(__xludf.DUMMYFUNCTION("""COMPUTED_VALUE"""),0.092)</f>
        <v>0.092</v>
      </c>
      <c r="E14551" s="8" t="str">
        <f>IFERROR(__xludf.DUMMYFUNCTION("""COMPUTED_VALUE"""),"Real")</f>
        <v>Real</v>
      </c>
      <c r="G14551" s="8">
        <f t="shared" si="1"/>
        <v>6</v>
      </c>
      <c r="H14551" s="14">
        <f t="shared" si="2"/>
        <v>29</v>
      </c>
      <c r="I14551" s="15">
        <f t="shared" si="3"/>
        <v>7</v>
      </c>
    </row>
    <row r="14552">
      <c r="A14552" s="8" t="str">
        <f>IFERROR(__xludf.DUMMYFUNCTION("IF('(INGESTA)Datos_consumo_datadis'!A14552&lt;&gt;"""",SPLIT('(INGESTA)Datos_consumo_datadis'!A:A,"",""),"""")"),"ES0031408323131005HX0F")</f>
        <v>ES0031408323131005HX0F</v>
      </c>
      <c r="B14552" s="12">
        <f>IFERROR(__xludf.DUMMYFUNCTION("""COMPUTED_VALUE"""),45472.0)</f>
        <v>45472</v>
      </c>
      <c r="C14552" s="13">
        <f>IFERROR(__xludf.DUMMYFUNCTION("""COMPUTED_VALUE"""),0.3333333333333333)</f>
        <v>0.3333333333</v>
      </c>
      <c r="D14552" s="8">
        <f>IFERROR(__xludf.DUMMYFUNCTION("""COMPUTED_VALUE"""),0.126)</f>
        <v>0.126</v>
      </c>
      <c r="E14552" s="8" t="str">
        <f>IFERROR(__xludf.DUMMYFUNCTION("""COMPUTED_VALUE"""),"Real")</f>
        <v>Real</v>
      </c>
      <c r="G14552" s="8">
        <f t="shared" si="1"/>
        <v>6</v>
      </c>
      <c r="H14552" s="14">
        <f t="shared" si="2"/>
        <v>29</v>
      </c>
      <c r="I14552" s="15">
        <f t="shared" si="3"/>
        <v>8</v>
      </c>
    </row>
    <row r="14553">
      <c r="A14553" s="8" t="str">
        <f>IFERROR(__xludf.DUMMYFUNCTION("IF('(INGESTA)Datos_consumo_datadis'!A14553&lt;&gt;"""",SPLIT('(INGESTA)Datos_consumo_datadis'!A:A,"",""),"""")"),"ES0031408323131005HX0F")</f>
        <v>ES0031408323131005HX0F</v>
      </c>
      <c r="B14553" s="12">
        <f>IFERROR(__xludf.DUMMYFUNCTION("""COMPUTED_VALUE"""),45472.0)</f>
        <v>45472</v>
      </c>
      <c r="C14553" s="13">
        <f>IFERROR(__xludf.DUMMYFUNCTION("""COMPUTED_VALUE"""),0.375)</f>
        <v>0.375</v>
      </c>
      <c r="D14553" s="8">
        <f>IFERROR(__xludf.DUMMYFUNCTION("""COMPUTED_VALUE"""),0.444)</f>
        <v>0.444</v>
      </c>
      <c r="E14553" s="8" t="str">
        <f>IFERROR(__xludf.DUMMYFUNCTION("""COMPUTED_VALUE"""),"Real")</f>
        <v>Real</v>
      </c>
      <c r="G14553" s="8">
        <f t="shared" si="1"/>
        <v>6</v>
      </c>
      <c r="H14553" s="14">
        <f t="shared" si="2"/>
        <v>29</v>
      </c>
      <c r="I14553" s="15">
        <f t="shared" si="3"/>
        <v>9</v>
      </c>
    </row>
    <row r="14554">
      <c r="A14554" s="8" t="str">
        <f>IFERROR(__xludf.DUMMYFUNCTION("IF('(INGESTA)Datos_consumo_datadis'!A14554&lt;&gt;"""",SPLIT('(INGESTA)Datos_consumo_datadis'!A:A,"",""),"""")"),"ES0031408323131005HX0F")</f>
        <v>ES0031408323131005HX0F</v>
      </c>
      <c r="B14554" s="12">
        <f>IFERROR(__xludf.DUMMYFUNCTION("""COMPUTED_VALUE"""),45472.0)</f>
        <v>45472</v>
      </c>
      <c r="C14554" s="13">
        <f>IFERROR(__xludf.DUMMYFUNCTION("""COMPUTED_VALUE"""),0.4166666666666667)</f>
        <v>0.4166666667</v>
      </c>
      <c r="D14554" s="8">
        <f>IFERROR(__xludf.DUMMYFUNCTION("""COMPUTED_VALUE"""),0.48)</f>
        <v>0.48</v>
      </c>
      <c r="E14554" s="8" t="str">
        <f>IFERROR(__xludf.DUMMYFUNCTION("""COMPUTED_VALUE"""),"Real")</f>
        <v>Real</v>
      </c>
      <c r="G14554" s="8">
        <f t="shared" si="1"/>
        <v>6</v>
      </c>
      <c r="H14554" s="14">
        <f t="shared" si="2"/>
        <v>29</v>
      </c>
      <c r="I14554" s="15">
        <f t="shared" si="3"/>
        <v>10</v>
      </c>
    </row>
    <row r="14555">
      <c r="A14555" s="8" t="str">
        <f>IFERROR(__xludf.DUMMYFUNCTION("IF('(INGESTA)Datos_consumo_datadis'!A14555&lt;&gt;"""",SPLIT('(INGESTA)Datos_consumo_datadis'!A:A,"",""),"""")"),"ES0031408323131005HX0F")</f>
        <v>ES0031408323131005HX0F</v>
      </c>
      <c r="B14555" s="12">
        <f>IFERROR(__xludf.DUMMYFUNCTION("""COMPUTED_VALUE"""),45472.0)</f>
        <v>45472</v>
      </c>
      <c r="C14555" s="13">
        <f>IFERROR(__xludf.DUMMYFUNCTION("""COMPUTED_VALUE"""),0.4583333333333333)</f>
        <v>0.4583333333</v>
      </c>
      <c r="D14555" s="8">
        <f>IFERROR(__xludf.DUMMYFUNCTION("""COMPUTED_VALUE"""),0.568)</f>
        <v>0.568</v>
      </c>
      <c r="E14555" s="8" t="str">
        <f>IFERROR(__xludf.DUMMYFUNCTION("""COMPUTED_VALUE"""),"Real")</f>
        <v>Real</v>
      </c>
      <c r="G14555" s="8">
        <f t="shared" si="1"/>
        <v>6</v>
      </c>
      <c r="H14555" s="14">
        <f t="shared" si="2"/>
        <v>29</v>
      </c>
      <c r="I14555" s="15">
        <f t="shared" si="3"/>
        <v>11</v>
      </c>
    </row>
    <row r="14556">
      <c r="A14556" s="8" t="str">
        <f>IFERROR(__xludf.DUMMYFUNCTION("IF('(INGESTA)Datos_consumo_datadis'!A14556&lt;&gt;"""",SPLIT('(INGESTA)Datos_consumo_datadis'!A:A,"",""),"""")"),"ES0031408323131005HX0F")</f>
        <v>ES0031408323131005HX0F</v>
      </c>
      <c r="B14556" s="12">
        <f>IFERROR(__xludf.DUMMYFUNCTION("""COMPUTED_VALUE"""),45472.0)</f>
        <v>45472</v>
      </c>
      <c r="C14556" s="13">
        <f>IFERROR(__xludf.DUMMYFUNCTION("""COMPUTED_VALUE"""),0.5)</f>
        <v>0.5</v>
      </c>
      <c r="D14556" s="8">
        <f>IFERROR(__xludf.DUMMYFUNCTION("""COMPUTED_VALUE"""),0.267)</f>
        <v>0.267</v>
      </c>
      <c r="E14556" s="8" t="str">
        <f>IFERROR(__xludf.DUMMYFUNCTION("""COMPUTED_VALUE"""),"Real")</f>
        <v>Real</v>
      </c>
      <c r="G14556" s="8">
        <f t="shared" si="1"/>
        <v>6</v>
      </c>
      <c r="H14556" s="14">
        <f t="shared" si="2"/>
        <v>29</v>
      </c>
      <c r="I14556" s="15">
        <f t="shared" si="3"/>
        <v>12</v>
      </c>
    </row>
    <row r="14557">
      <c r="A14557" s="8" t="str">
        <f>IFERROR(__xludf.DUMMYFUNCTION("IF('(INGESTA)Datos_consumo_datadis'!A14557&lt;&gt;"""",SPLIT('(INGESTA)Datos_consumo_datadis'!A:A,"",""),"""")"),"ES0031408323131005HX0F")</f>
        <v>ES0031408323131005HX0F</v>
      </c>
      <c r="B14557" s="12">
        <f>IFERROR(__xludf.DUMMYFUNCTION("""COMPUTED_VALUE"""),45472.0)</f>
        <v>45472</v>
      </c>
      <c r="C14557" s="13">
        <f>IFERROR(__xludf.DUMMYFUNCTION("""COMPUTED_VALUE"""),0.5416666666666666)</f>
        <v>0.5416666667</v>
      </c>
      <c r="D14557" s="8">
        <f>IFERROR(__xludf.DUMMYFUNCTION("""COMPUTED_VALUE"""),0.151)</f>
        <v>0.151</v>
      </c>
      <c r="E14557" s="8" t="str">
        <f>IFERROR(__xludf.DUMMYFUNCTION("""COMPUTED_VALUE"""),"Real")</f>
        <v>Real</v>
      </c>
      <c r="G14557" s="8">
        <f t="shared" si="1"/>
        <v>6</v>
      </c>
      <c r="H14557" s="14">
        <f t="shared" si="2"/>
        <v>29</v>
      </c>
      <c r="I14557" s="15">
        <f t="shared" si="3"/>
        <v>13</v>
      </c>
    </row>
    <row r="14558">
      <c r="A14558" s="8" t="str">
        <f>IFERROR(__xludf.DUMMYFUNCTION("IF('(INGESTA)Datos_consumo_datadis'!A14558&lt;&gt;"""",SPLIT('(INGESTA)Datos_consumo_datadis'!A:A,"",""),"""")"),"ES0031408323131005HX0F")</f>
        <v>ES0031408323131005HX0F</v>
      </c>
      <c r="B14558" s="12">
        <f>IFERROR(__xludf.DUMMYFUNCTION("""COMPUTED_VALUE"""),45472.0)</f>
        <v>45472</v>
      </c>
      <c r="C14558" s="13">
        <f>IFERROR(__xludf.DUMMYFUNCTION("""COMPUTED_VALUE"""),0.5833333333333334)</f>
        <v>0.5833333333</v>
      </c>
      <c r="D14558" s="8">
        <f>IFERROR(__xludf.DUMMYFUNCTION("""COMPUTED_VALUE"""),0.161)</f>
        <v>0.161</v>
      </c>
      <c r="E14558" s="8" t="str">
        <f>IFERROR(__xludf.DUMMYFUNCTION("""COMPUTED_VALUE"""),"Real")</f>
        <v>Real</v>
      </c>
      <c r="G14558" s="8">
        <f t="shared" si="1"/>
        <v>6</v>
      </c>
      <c r="H14558" s="14">
        <f t="shared" si="2"/>
        <v>29</v>
      </c>
      <c r="I14558" s="15">
        <f t="shared" si="3"/>
        <v>14</v>
      </c>
    </row>
    <row r="14559">
      <c r="A14559" s="8" t="str">
        <f>IFERROR(__xludf.DUMMYFUNCTION("IF('(INGESTA)Datos_consumo_datadis'!A14559&lt;&gt;"""",SPLIT('(INGESTA)Datos_consumo_datadis'!A:A,"",""),"""")"),"ES0031408323131005HX0F")</f>
        <v>ES0031408323131005HX0F</v>
      </c>
      <c r="B14559" s="12">
        <f>IFERROR(__xludf.DUMMYFUNCTION("""COMPUTED_VALUE"""),45472.0)</f>
        <v>45472</v>
      </c>
      <c r="C14559" s="13">
        <f>IFERROR(__xludf.DUMMYFUNCTION("""COMPUTED_VALUE"""),0.625)</f>
        <v>0.625</v>
      </c>
      <c r="D14559" s="8">
        <f>IFERROR(__xludf.DUMMYFUNCTION("""COMPUTED_VALUE"""),0.306)</f>
        <v>0.306</v>
      </c>
      <c r="E14559" s="8" t="str">
        <f>IFERROR(__xludf.DUMMYFUNCTION("""COMPUTED_VALUE"""),"Real")</f>
        <v>Real</v>
      </c>
      <c r="G14559" s="8">
        <f t="shared" si="1"/>
        <v>6</v>
      </c>
      <c r="H14559" s="14">
        <f t="shared" si="2"/>
        <v>29</v>
      </c>
      <c r="I14559" s="15">
        <f t="shared" si="3"/>
        <v>15</v>
      </c>
    </row>
    <row r="14560">
      <c r="A14560" s="8" t="str">
        <f>IFERROR(__xludf.DUMMYFUNCTION("IF('(INGESTA)Datos_consumo_datadis'!A14560&lt;&gt;"""",SPLIT('(INGESTA)Datos_consumo_datadis'!A:A,"",""),"""")"),"ES0031408323131005HX0F")</f>
        <v>ES0031408323131005HX0F</v>
      </c>
      <c r="B14560" s="12">
        <f>IFERROR(__xludf.DUMMYFUNCTION("""COMPUTED_VALUE"""),45472.0)</f>
        <v>45472</v>
      </c>
      <c r="C14560" s="13">
        <f>IFERROR(__xludf.DUMMYFUNCTION("""COMPUTED_VALUE"""),0.6666666666666666)</f>
        <v>0.6666666667</v>
      </c>
      <c r="D14560" s="8">
        <f>IFERROR(__xludf.DUMMYFUNCTION("""COMPUTED_VALUE"""),0.425)</f>
        <v>0.425</v>
      </c>
      <c r="E14560" s="8" t="str">
        <f>IFERROR(__xludf.DUMMYFUNCTION("""COMPUTED_VALUE"""),"Real")</f>
        <v>Real</v>
      </c>
      <c r="G14560" s="8">
        <f t="shared" si="1"/>
        <v>6</v>
      </c>
      <c r="H14560" s="14">
        <f t="shared" si="2"/>
        <v>29</v>
      </c>
      <c r="I14560" s="15">
        <f t="shared" si="3"/>
        <v>16</v>
      </c>
    </row>
    <row r="14561">
      <c r="A14561" s="8" t="str">
        <f>IFERROR(__xludf.DUMMYFUNCTION("IF('(INGESTA)Datos_consumo_datadis'!A14561&lt;&gt;"""",SPLIT('(INGESTA)Datos_consumo_datadis'!A:A,"",""),"""")"),"ES0031408323131005HX0F")</f>
        <v>ES0031408323131005HX0F</v>
      </c>
      <c r="B14561" s="12">
        <f>IFERROR(__xludf.DUMMYFUNCTION("""COMPUTED_VALUE"""),45472.0)</f>
        <v>45472</v>
      </c>
      <c r="C14561" s="13">
        <f>IFERROR(__xludf.DUMMYFUNCTION("""COMPUTED_VALUE"""),0.7083333333333334)</f>
        <v>0.7083333333</v>
      </c>
      <c r="D14561" s="8">
        <f>IFERROR(__xludf.DUMMYFUNCTION("""COMPUTED_VALUE"""),0.37)</f>
        <v>0.37</v>
      </c>
      <c r="E14561" s="8" t="str">
        <f>IFERROR(__xludf.DUMMYFUNCTION("""COMPUTED_VALUE"""),"Real")</f>
        <v>Real</v>
      </c>
      <c r="G14561" s="8">
        <f t="shared" si="1"/>
        <v>6</v>
      </c>
      <c r="H14561" s="14">
        <f t="shared" si="2"/>
        <v>29</v>
      </c>
      <c r="I14561" s="15">
        <f t="shared" si="3"/>
        <v>17</v>
      </c>
    </row>
    <row r="14562">
      <c r="A14562" s="8" t="str">
        <f>IFERROR(__xludf.DUMMYFUNCTION("IF('(INGESTA)Datos_consumo_datadis'!A14562&lt;&gt;"""",SPLIT('(INGESTA)Datos_consumo_datadis'!A:A,"",""),"""")"),"ES0031408323131005HX0F")</f>
        <v>ES0031408323131005HX0F</v>
      </c>
      <c r="B14562" s="12">
        <f>IFERROR(__xludf.DUMMYFUNCTION("""COMPUTED_VALUE"""),45472.0)</f>
        <v>45472</v>
      </c>
      <c r="C14562" s="13">
        <f>IFERROR(__xludf.DUMMYFUNCTION("""COMPUTED_VALUE"""),0.75)</f>
        <v>0.75</v>
      </c>
      <c r="D14562" s="8">
        <f>IFERROR(__xludf.DUMMYFUNCTION("""COMPUTED_VALUE"""),0.428)</f>
        <v>0.428</v>
      </c>
      <c r="E14562" s="8" t="str">
        <f>IFERROR(__xludf.DUMMYFUNCTION("""COMPUTED_VALUE"""),"Real")</f>
        <v>Real</v>
      </c>
      <c r="G14562" s="8">
        <f t="shared" si="1"/>
        <v>6</v>
      </c>
      <c r="H14562" s="14">
        <f t="shared" si="2"/>
        <v>29</v>
      </c>
      <c r="I14562" s="15">
        <f t="shared" si="3"/>
        <v>18</v>
      </c>
    </row>
    <row r="14563">
      <c r="A14563" s="8" t="str">
        <f>IFERROR(__xludf.DUMMYFUNCTION("IF('(INGESTA)Datos_consumo_datadis'!A14563&lt;&gt;"""",SPLIT('(INGESTA)Datos_consumo_datadis'!A:A,"",""),"""")"),"ES0031408323131005HX0F")</f>
        <v>ES0031408323131005HX0F</v>
      </c>
      <c r="B14563" s="12">
        <f>IFERROR(__xludf.DUMMYFUNCTION("""COMPUTED_VALUE"""),45472.0)</f>
        <v>45472</v>
      </c>
      <c r="C14563" s="13">
        <f>IFERROR(__xludf.DUMMYFUNCTION("""COMPUTED_VALUE"""),0.7916666666666666)</f>
        <v>0.7916666667</v>
      </c>
      <c r="D14563" s="8">
        <f>IFERROR(__xludf.DUMMYFUNCTION("""COMPUTED_VALUE"""),1.177)</f>
        <v>1.177</v>
      </c>
      <c r="E14563" s="8" t="str">
        <f>IFERROR(__xludf.DUMMYFUNCTION("""COMPUTED_VALUE"""),"Real")</f>
        <v>Real</v>
      </c>
      <c r="G14563" s="8">
        <f t="shared" si="1"/>
        <v>6</v>
      </c>
      <c r="H14563" s="14">
        <f t="shared" si="2"/>
        <v>29</v>
      </c>
      <c r="I14563" s="15">
        <f t="shared" si="3"/>
        <v>19</v>
      </c>
    </row>
    <row r="14564">
      <c r="A14564" s="8" t="str">
        <f>IFERROR(__xludf.DUMMYFUNCTION("IF('(INGESTA)Datos_consumo_datadis'!A14564&lt;&gt;"""",SPLIT('(INGESTA)Datos_consumo_datadis'!A:A,"",""),"""")"),"ES0031408323131005HX0F")</f>
        <v>ES0031408323131005HX0F</v>
      </c>
      <c r="B14564" s="12">
        <f>IFERROR(__xludf.DUMMYFUNCTION("""COMPUTED_VALUE"""),45472.0)</f>
        <v>45472</v>
      </c>
      <c r="C14564" s="13">
        <f>IFERROR(__xludf.DUMMYFUNCTION("""COMPUTED_VALUE"""),0.8333333333333334)</f>
        <v>0.8333333333</v>
      </c>
      <c r="D14564" s="8">
        <f>IFERROR(__xludf.DUMMYFUNCTION("""COMPUTED_VALUE"""),0.216)</f>
        <v>0.216</v>
      </c>
      <c r="E14564" s="8" t="str">
        <f>IFERROR(__xludf.DUMMYFUNCTION("""COMPUTED_VALUE"""),"Real")</f>
        <v>Real</v>
      </c>
      <c r="G14564" s="8">
        <f t="shared" si="1"/>
        <v>6</v>
      </c>
      <c r="H14564" s="14">
        <f t="shared" si="2"/>
        <v>29</v>
      </c>
      <c r="I14564" s="15">
        <f t="shared" si="3"/>
        <v>20</v>
      </c>
    </row>
    <row r="14565">
      <c r="A14565" s="8" t="str">
        <f>IFERROR(__xludf.DUMMYFUNCTION("IF('(INGESTA)Datos_consumo_datadis'!A14565&lt;&gt;"""",SPLIT('(INGESTA)Datos_consumo_datadis'!A:A,"",""),"""")"),"ES0031408323131005HX0F")</f>
        <v>ES0031408323131005HX0F</v>
      </c>
      <c r="B14565" s="12">
        <f>IFERROR(__xludf.DUMMYFUNCTION("""COMPUTED_VALUE"""),45472.0)</f>
        <v>45472</v>
      </c>
      <c r="C14565" s="13">
        <f>IFERROR(__xludf.DUMMYFUNCTION("""COMPUTED_VALUE"""),0.875)</f>
        <v>0.875</v>
      </c>
      <c r="D14565" s="8">
        <f>IFERROR(__xludf.DUMMYFUNCTION("""COMPUTED_VALUE"""),1.291)</f>
        <v>1.291</v>
      </c>
      <c r="E14565" s="8" t="str">
        <f>IFERROR(__xludf.DUMMYFUNCTION("""COMPUTED_VALUE"""),"Real")</f>
        <v>Real</v>
      </c>
      <c r="G14565" s="8">
        <f t="shared" si="1"/>
        <v>6</v>
      </c>
      <c r="H14565" s="14">
        <f t="shared" si="2"/>
        <v>29</v>
      </c>
      <c r="I14565" s="15">
        <f t="shared" si="3"/>
        <v>21</v>
      </c>
    </row>
    <row r="14566">
      <c r="A14566" s="8" t="str">
        <f>IFERROR(__xludf.DUMMYFUNCTION("IF('(INGESTA)Datos_consumo_datadis'!A14566&lt;&gt;"""",SPLIT('(INGESTA)Datos_consumo_datadis'!A:A,"",""),"""")"),"ES0031408323131005HX0F")</f>
        <v>ES0031408323131005HX0F</v>
      </c>
      <c r="B14566" s="12">
        <f>IFERROR(__xludf.DUMMYFUNCTION("""COMPUTED_VALUE"""),45472.0)</f>
        <v>45472</v>
      </c>
      <c r="C14566" s="13">
        <f>IFERROR(__xludf.DUMMYFUNCTION("""COMPUTED_VALUE"""),0.9166666666666666)</f>
        <v>0.9166666667</v>
      </c>
      <c r="D14566" s="8">
        <f>IFERROR(__xludf.DUMMYFUNCTION("""COMPUTED_VALUE"""),0.1)</f>
        <v>0.1</v>
      </c>
      <c r="E14566" s="8" t="str">
        <f>IFERROR(__xludf.DUMMYFUNCTION("""COMPUTED_VALUE"""),"Real")</f>
        <v>Real</v>
      </c>
      <c r="G14566" s="8">
        <f t="shared" si="1"/>
        <v>6</v>
      </c>
      <c r="H14566" s="14">
        <f t="shared" si="2"/>
        <v>29</v>
      </c>
      <c r="I14566" s="15">
        <f t="shared" si="3"/>
        <v>22</v>
      </c>
    </row>
    <row r="14567">
      <c r="A14567" s="8" t="str">
        <f>IFERROR(__xludf.DUMMYFUNCTION("IF('(INGESTA)Datos_consumo_datadis'!A14567&lt;&gt;"""",SPLIT('(INGESTA)Datos_consumo_datadis'!A:A,"",""),"""")"),"ES0031408323131005HX0F")</f>
        <v>ES0031408323131005HX0F</v>
      </c>
      <c r="B14567" s="12">
        <f>IFERROR(__xludf.DUMMYFUNCTION("""COMPUTED_VALUE"""),45472.0)</f>
        <v>45472</v>
      </c>
      <c r="C14567" s="13">
        <f>IFERROR(__xludf.DUMMYFUNCTION("""COMPUTED_VALUE"""),0.9583333333333334)</f>
        <v>0.9583333333</v>
      </c>
      <c r="D14567" s="8">
        <f>IFERROR(__xludf.DUMMYFUNCTION("""COMPUTED_VALUE"""),0.064)</f>
        <v>0.064</v>
      </c>
      <c r="E14567" s="8" t="str">
        <f>IFERROR(__xludf.DUMMYFUNCTION("""COMPUTED_VALUE"""),"Real")</f>
        <v>Real</v>
      </c>
      <c r="G14567" s="8">
        <f t="shared" si="1"/>
        <v>6</v>
      </c>
      <c r="H14567" s="14">
        <f t="shared" si="2"/>
        <v>29</v>
      </c>
      <c r="I14567" s="15">
        <f t="shared" si="3"/>
        <v>23</v>
      </c>
    </row>
    <row r="14568">
      <c r="A14568" s="8" t="str">
        <f>IFERROR(__xludf.DUMMYFUNCTION("IF('(INGESTA)Datos_consumo_datadis'!A14568&lt;&gt;"""",SPLIT('(INGESTA)Datos_consumo_datadis'!A:A,"",""),"""")"),"ES0031408323131005HX0F")</f>
        <v>ES0031408323131005HX0F</v>
      </c>
      <c r="B14568" s="12">
        <f>IFERROR(__xludf.DUMMYFUNCTION("""COMPUTED_VALUE"""),45472.0)</f>
        <v>45472</v>
      </c>
      <c r="C14568" s="16">
        <f>IFERROR(__xludf.DUMMYFUNCTION("""COMPUTED_VALUE"""),1.0)</f>
        <v>1</v>
      </c>
      <c r="D14568" s="8">
        <f>IFERROR(__xludf.DUMMYFUNCTION("""COMPUTED_VALUE"""),0.115)</f>
        <v>0.115</v>
      </c>
      <c r="E14568" s="8" t="str">
        <f>IFERROR(__xludf.DUMMYFUNCTION("""COMPUTED_VALUE"""),"Real")</f>
        <v>Real</v>
      </c>
      <c r="G14568" s="8">
        <f t="shared" si="1"/>
        <v>6</v>
      </c>
      <c r="H14568" s="14">
        <f t="shared" si="2"/>
        <v>29</v>
      </c>
      <c r="I14568" s="15">
        <f t="shared" si="3"/>
        <v>0</v>
      </c>
    </row>
    <row r="14569">
      <c r="A14569" s="8" t="str">
        <f>IFERROR(__xludf.DUMMYFUNCTION("IF('(INGESTA)Datos_consumo_datadis'!A14569&lt;&gt;"""",SPLIT('(INGESTA)Datos_consumo_datadis'!A:A,"",""),"""")"),"ES0031408323131005HX0F")</f>
        <v>ES0031408323131005HX0F</v>
      </c>
      <c r="B14569" s="12">
        <f>IFERROR(__xludf.DUMMYFUNCTION("""COMPUTED_VALUE"""),45473.0)</f>
        <v>45473</v>
      </c>
      <c r="C14569" s="13">
        <f>IFERROR(__xludf.DUMMYFUNCTION("""COMPUTED_VALUE"""),0.041666666666666664)</f>
        <v>0.04166666667</v>
      </c>
      <c r="D14569" s="8">
        <f>IFERROR(__xludf.DUMMYFUNCTION("""COMPUTED_VALUE"""),0.076)</f>
        <v>0.076</v>
      </c>
      <c r="E14569" s="8" t="str">
        <f>IFERROR(__xludf.DUMMYFUNCTION("""COMPUTED_VALUE"""),"Real")</f>
        <v>Real</v>
      </c>
      <c r="G14569" s="8">
        <f t="shared" si="1"/>
        <v>6</v>
      </c>
      <c r="H14569" s="14">
        <f t="shared" si="2"/>
        <v>30</v>
      </c>
      <c r="I14569" s="15">
        <f t="shared" si="3"/>
        <v>1</v>
      </c>
    </row>
    <row r="14570">
      <c r="A14570" s="8" t="str">
        <f>IFERROR(__xludf.DUMMYFUNCTION("IF('(INGESTA)Datos_consumo_datadis'!A14570&lt;&gt;"""",SPLIT('(INGESTA)Datos_consumo_datadis'!A:A,"",""),"""")"),"ES0031408323131005HX0F")</f>
        <v>ES0031408323131005HX0F</v>
      </c>
      <c r="B14570" s="12">
        <f>IFERROR(__xludf.DUMMYFUNCTION("""COMPUTED_VALUE"""),45473.0)</f>
        <v>45473</v>
      </c>
      <c r="C14570" s="13">
        <f>IFERROR(__xludf.DUMMYFUNCTION("""COMPUTED_VALUE"""),0.08333333333333333)</f>
        <v>0.08333333333</v>
      </c>
      <c r="D14570" s="8">
        <f>IFERROR(__xludf.DUMMYFUNCTION("""COMPUTED_VALUE"""),0.107)</f>
        <v>0.107</v>
      </c>
      <c r="E14570" s="8" t="str">
        <f>IFERROR(__xludf.DUMMYFUNCTION("""COMPUTED_VALUE"""),"Real")</f>
        <v>Real</v>
      </c>
      <c r="G14570" s="8">
        <f t="shared" si="1"/>
        <v>6</v>
      </c>
      <c r="H14570" s="14">
        <f t="shared" si="2"/>
        <v>30</v>
      </c>
      <c r="I14570" s="15">
        <f t="shared" si="3"/>
        <v>2</v>
      </c>
    </row>
    <row r="14571">
      <c r="A14571" s="8" t="str">
        <f>IFERROR(__xludf.DUMMYFUNCTION("IF('(INGESTA)Datos_consumo_datadis'!A14571&lt;&gt;"""",SPLIT('(INGESTA)Datos_consumo_datadis'!A:A,"",""),"""")"),"ES0031408323131005HX0F")</f>
        <v>ES0031408323131005HX0F</v>
      </c>
      <c r="B14571" s="12">
        <f>IFERROR(__xludf.DUMMYFUNCTION("""COMPUTED_VALUE"""),45473.0)</f>
        <v>45473</v>
      </c>
      <c r="C14571" s="13">
        <f>IFERROR(__xludf.DUMMYFUNCTION("""COMPUTED_VALUE"""),0.125)</f>
        <v>0.125</v>
      </c>
      <c r="D14571" s="8">
        <f>IFERROR(__xludf.DUMMYFUNCTION("""COMPUTED_VALUE"""),0.375)</f>
        <v>0.375</v>
      </c>
      <c r="E14571" s="8" t="str">
        <f>IFERROR(__xludf.DUMMYFUNCTION("""COMPUTED_VALUE"""),"Real")</f>
        <v>Real</v>
      </c>
      <c r="G14571" s="8">
        <f t="shared" si="1"/>
        <v>6</v>
      </c>
      <c r="H14571" s="14">
        <f t="shared" si="2"/>
        <v>30</v>
      </c>
      <c r="I14571" s="15">
        <f t="shared" si="3"/>
        <v>3</v>
      </c>
    </row>
    <row r="14572">
      <c r="A14572" s="8" t="str">
        <f>IFERROR(__xludf.DUMMYFUNCTION("IF('(INGESTA)Datos_consumo_datadis'!A14572&lt;&gt;"""",SPLIT('(INGESTA)Datos_consumo_datadis'!A:A,"",""),"""")"),"ES0031408323131005HX0F")</f>
        <v>ES0031408323131005HX0F</v>
      </c>
      <c r="B14572" s="12">
        <f>IFERROR(__xludf.DUMMYFUNCTION("""COMPUTED_VALUE"""),45473.0)</f>
        <v>45473</v>
      </c>
      <c r="C14572" s="13">
        <f>IFERROR(__xludf.DUMMYFUNCTION("""COMPUTED_VALUE"""),0.16666666666666666)</f>
        <v>0.1666666667</v>
      </c>
      <c r="D14572" s="8">
        <f>IFERROR(__xludf.DUMMYFUNCTION("""COMPUTED_VALUE"""),0.068)</f>
        <v>0.068</v>
      </c>
      <c r="E14572" s="8" t="str">
        <f>IFERROR(__xludf.DUMMYFUNCTION("""COMPUTED_VALUE"""),"Real")</f>
        <v>Real</v>
      </c>
      <c r="G14572" s="8">
        <f t="shared" si="1"/>
        <v>6</v>
      </c>
      <c r="H14572" s="14">
        <f t="shared" si="2"/>
        <v>30</v>
      </c>
      <c r="I14572" s="15">
        <f t="shared" si="3"/>
        <v>4</v>
      </c>
    </row>
    <row r="14573">
      <c r="A14573" s="8" t="str">
        <f>IFERROR(__xludf.DUMMYFUNCTION("IF('(INGESTA)Datos_consumo_datadis'!A14573&lt;&gt;"""",SPLIT('(INGESTA)Datos_consumo_datadis'!A:A,"",""),"""")"),"ES0031408323131005HX0F")</f>
        <v>ES0031408323131005HX0F</v>
      </c>
      <c r="B14573" s="12">
        <f>IFERROR(__xludf.DUMMYFUNCTION("""COMPUTED_VALUE"""),45473.0)</f>
        <v>45473</v>
      </c>
      <c r="C14573" s="13">
        <f>IFERROR(__xludf.DUMMYFUNCTION("""COMPUTED_VALUE"""),0.20833333333333334)</f>
        <v>0.2083333333</v>
      </c>
      <c r="D14573" s="8">
        <f>IFERROR(__xludf.DUMMYFUNCTION("""COMPUTED_VALUE"""),0.098)</f>
        <v>0.098</v>
      </c>
      <c r="E14573" s="8" t="str">
        <f>IFERROR(__xludf.DUMMYFUNCTION("""COMPUTED_VALUE"""),"Real")</f>
        <v>Real</v>
      </c>
      <c r="G14573" s="8">
        <f t="shared" si="1"/>
        <v>6</v>
      </c>
      <c r="H14573" s="14">
        <f t="shared" si="2"/>
        <v>30</v>
      </c>
      <c r="I14573" s="15">
        <f t="shared" si="3"/>
        <v>5</v>
      </c>
    </row>
    <row r="14574">
      <c r="A14574" s="8" t="str">
        <f>IFERROR(__xludf.DUMMYFUNCTION("IF('(INGESTA)Datos_consumo_datadis'!A14574&lt;&gt;"""",SPLIT('(INGESTA)Datos_consumo_datadis'!A:A,"",""),"""")"),"ES0031408323131005HX0F")</f>
        <v>ES0031408323131005HX0F</v>
      </c>
      <c r="B14574" s="12">
        <f>IFERROR(__xludf.DUMMYFUNCTION("""COMPUTED_VALUE"""),45473.0)</f>
        <v>45473</v>
      </c>
      <c r="C14574" s="13">
        <f>IFERROR(__xludf.DUMMYFUNCTION("""COMPUTED_VALUE"""),0.25)</f>
        <v>0.25</v>
      </c>
      <c r="D14574" s="8">
        <f>IFERROR(__xludf.DUMMYFUNCTION("""COMPUTED_VALUE"""),0.071)</f>
        <v>0.071</v>
      </c>
      <c r="E14574" s="8" t="str">
        <f>IFERROR(__xludf.DUMMYFUNCTION("""COMPUTED_VALUE"""),"Real")</f>
        <v>Real</v>
      </c>
      <c r="G14574" s="8">
        <f t="shared" si="1"/>
        <v>6</v>
      </c>
      <c r="H14574" s="14">
        <f t="shared" si="2"/>
        <v>30</v>
      </c>
      <c r="I14574" s="15">
        <f t="shared" si="3"/>
        <v>6</v>
      </c>
    </row>
    <row r="14575">
      <c r="A14575" s="8" t="str">
        <f>IFERROR(__xludf.DUMMYFUNCTION("IF('(INGESTA)Datos_consumo_datadis'!A14575&lt;&gt;"""",SPLIT('(INGESTA)Datos_consumo_datadis'!A:A,"",""),"""")"),"ES0031408323131005HX0F")</f>
        <v>ES0031408323131005HX0F</v>
      </c>
      <c r="B14575" s="12">
        <f>IFERROR(__xludf.DUMMYFUNCTION("""COMPUTED_VALUE"""),45473.0)</f>
        <v>45473</v>
      </c>
      <c r="C14575" s="13">
        <f>IFERROR(__xludf.DUMMYFUNCTION("""COMPUTED_VALUE"""),0.2916666666666667)</f>
        <v>0.2916666667</v>
      </c>
      <c r="D14575" s="8">
        <f>IFERROR(__xludf.DUMMYFUNCTION("""COMPUTED_VALUE"""),0.136)</f>
        <v>0.136</v>
      </c>
      <c r="E14575" s="8" t="str">
        <f>IFERROR(__xludf.DUMMYFUNCTION("""COMPUTED_VALUE"""),"Real")</f>
        <v>Real</v>
      </c>
      <c r="G14575" s="8">
        <f t="shared" si="1"/>
        <v>6</v>
      </c>
      <c r="H14575" s="14">
        <f t="shared" si="2"/>
        <v>30</v>
      </c>
      <c r="I14575" s="15">
        <f t="shared" si="3"/>
        <v>7</v>
      </c>
    </row>
    <row r="14576">
      <c r="A14576" s="8" t="str">
        <f>IFERROR(__xludf.DUMMYFUNCTION("IF('(INGESTA)Datos_consumo_datadis'!A14576&lt;&gt;"""",SPLIT('(INGESTA)Datos_consumo_datadis'!A:A,"",""),"""")"),"ES0031408323131005HX0F")</f>
        <v>ES0031408323131005HX0F</v>
      </c>
      <c r="B14576" s="12">
        <f>IFERROR(__xludf.DUMMYFUNCTION("""COMPUTED_VALUE"""),45473.0)</f>
        <v>45473</v>
      </c>
      <c r="C14576" s="13">
        <f>IFERROR(__xludf.DUMMYFUNCTION("""COMPUTED_VALUE"""),0.3333333333333333)</f>
        <v>0.3333333333</v>
      </c>
      <c r="D14576" s="8">
        <f>IFERROR(__xludf.DUMMYFUNCTION("""COMPUTED_VALUE"""),0.136)</f>
        <v>0.136</v>
      </c>
      <c r="E14576" s="8" t="str">
        <f>IFERROR(__xludf.DUMMYFUNCTION("""COMPUTED_VALUE"""),"Real")</f>
        <v>Real</v>
      </c>
      <c r="G14576" s="8">
        <f t="shared" si="1"/>
        <v>6</v>
      </c>
      <c r="H14576" s="14">
        <f t="shared" si="2"/>
        <v>30</v>
      </c>
      <c r="I14576" s="15">
        <f t="shared" si="3"/>
        <v>8</v>
      </c>
    </row>
    <row r="14577">
      <c r="A14577" s="8" t="str">
        <f>IFERROR(__xludf.DUMMYFUNCTION("IF('(INGESTA)Datos_consumo_datadis'!A14577&lt;&gt;"""",SPLIT('(INGESTA)Datos_consumo_datadis'!A:A,"",""),"""")"),"ES0031408323131005HX0F")</f>
        <v>ES0031408323131005HX0F</v>
      </c>
      <c r="B14577" s="12">
        <f>IFERROR(__xludf.DUMMYFUNCTION("""COMPUTED_VALUE"""),45473.0)</f>
        <v>45473</v>
      </c>
      <c r="C14577" s="13">
        <f>IFERROR(__xludf.DUMMYFUNCTION("""COMPUTED_VALUE"""),0.375)</f>
        <v>0.375</v>
      </c>
      <c r="D14577" s="8">
        <f>IFERROR(__xludf.DUMMYFUNCTION("""COMPUTED_VALUE"""),0.172)</f>
        <v>0.172</v>
      </c>
      <c r="E14577" s="8" t="str">
        <f>IFERROR(__xludf.DUMMYFUNCTION("""COMPUTED_VALUE"""),"Real")</f>
        <v>Real</v>
      </c>
      <c r="G14577" s="8">
        <f t="shared" si="1"/>
        <v>6</v>
      </c>
      <c r="H14577" s="14">
        <f t="shared" si="2"/>
        <v>30</v>
      </c>
      <c r="I14577" s="15">
        <f t="shared" si="3"/>
        <v>9</v>
      </c>
    </row>
    <row r="14578">
      <c r="A14578" s="8" t="str">
        <f>IFERROR(__xludf.DUMMYFUNCTION("IF('(INGESTA)Datos_consumo_datadis'!A14578&lt;&gt;"""",SPLIT('(INGESTA)Datos_consumo_datadis'!A:A,"",""),"""")"),"ES0031408323131005HX0F")</f>
        <v>ES0031408323131005HX0F</v>
      </c>
      <c r="B14578" s="12">
        <f>IFERROR(__xludf.DUMMYFUNCTION("""COMPUTED_VALUE"""),45473.0)</f>
        <v>45473</v>
      </c>
      <c r="C14578" s="13">
        <f>IFERROR(__xludf.DUMMYFUNCTION("""COMPUTED_VALUE"""),0.4166666666666667)</f>
        <v>0.4166666667</v>
      </c>
      <c r="D14578" s="8">
        <f>IFERROR(__xludf.DUMMYFUNCTION("""COMPUTED_VALUE"""),0.557)</f>
        <v>0.557</v>
      </c>
      <c r="E14578" s="8" t="str">
        <f>IFERROR(__xludf.DUMMYFUNCTION("""COMPUTED_VALUE"""),"Real")</f>
        <v>Real</v>
      </c>
      <c r="G14578" s="8">
        <f t="shared" si="1"/>
        <v>6</v>
      </c>
      <c r="H14578" s="14">
        <f t="shared" si="2"/>
        <v>30</v>
      </c>
      <c r="I14578" s="15">
        <f t="shared" si="3"/>
        <v>10</v>
      </c>
    </row>
    <row r="14579">
      <c r="A14579" s="8" t="str">
        <f>IFERROR(__xludf.DUMMYFUNCTION("IF('(INGESTA)Datos_consumo_datadis'!A14579&lt;&gt;"""",SPLIT('(INGESTA)Datos_consumo_datadis'!A:A,"",""),"""")"),"ES0031408323131005HX0F")</f>
        <v>ES0031408323131005HX0F</v>
      </c>
      <c r="B14579" s="12">
        <f>IFERROR(__xludf.DUMMYFUNCTION("""COMPUTED_VALUE"""),45473.0)</f>
        <v>45473</v>
      </c>
      <c r="C14579" s="13">
        <f>IFERROR(__xludf.DUMMYFUNCTION("""COMPUTED_VALUE"""),0.4583333333333333)</f>
        <v>0.4583333333</v>
      </c>
      <c r="D14579" s="8">
        <f>IFERROR(__xludf.DUMMYFUNCTION("""COMPUTED_VALUE"""),0.36)</f>
        <v>0.36</v>
      </c>
      <c r="E14579" s="8" t="str">
        <f>IFERROR(__xludf.DUMMYFUNCTION("""COMPUTED_VALUE"""),"Real")</f>
        <v>Real</v>
      </c>
      <c r="G14579" s="8">
        <f t="shared" si="1"/>
        <v>6</v>
      </c>
      <c r="H14579" s="14">
        <f t="shared" si="2"/>
        <v>30</v>
      </c>
      <c r="I14579" s="15">
        <f t="shared" si="3"/>
        <v>11</v>
      </c>
    </row>
    <row r="14580">
      <c r="A14580" s="8" t="str">
        <f>IFERROR(__xludf.DUMMYFUNCTION("IF('(INGESTA)Datos_consumo_datadis'!A14580&lt;&gt;"""",SPLIT('(INGESTA)Datos_consumo_datadis'!A:A,"",""),"""")"),"ES0031408323131005HX0F")</f>
        <v>ES0031408323131005HX0F</v>
      </c>
      <c r="B14580" s="12">
        <f>IFERROR(__xludf.DUMMYFUNCTION("""COMPUTED_VALUE"""),45473.0)</f>
        <v>45473</v>
      </c>
      <c r="C14580" s="13">
        <f>IFERROR(__xludf.DUMMYFUNCTION("""COMPUTED_VALUE"""),0.5)</f>
        <v>0.5</v>
      </c>
      <c r="D14580" s="8">
        <f>IFERROR(__xludf.DUMMYFUNCTION("""COMPUTED_VALUE"""),0.148)</f>
        <v>0.148</v>
      </c>
      <c r="E14580" s="8" t="str">
        <f>IFERROR(__xludf.DUMMYFUNCTION("""COMPUTED_VALUE"""),"Real")</f>
        <v>Real</v>
      </c>
      <c r="G14580" s="8">
        <f t="shared" si="1"/>
        <v>6</v>
      </c>
      <c r="H14580" s="14">
        <f t="shared" si="2"/>
        <v>30</v>
      </c>
      <c r="I14580" s="15">
        <f t="shared" si="3"/>
        <v>12</v>
      </c>
    </row>
    <row r="14581">
      <c r="A14581" s="8" t="str">
        <f>IFERROR(__xludf.DUMMYFUNCTION("IF('(INGESTA)Datos_consumo_datadis'!A14581&lt;&gt;"""",SPLIT('(INGESTA)Datos_consumo_datadis'!A:A,"",""),"""")"),"ES0031408323131005HX0F")</f>
        <v>ES0031408323131005HX0F</v>
      </c>
      <c r="B14581" s="12">
        <f>IFERROR(__xludf.DUMMYFUNCTION("""COMPUTED_VALUE"""),45473.0)</f>
        <v>45473</v>
      </c>
      <c r="C14581" s="13">
        <f>IFERROR(__xludf.DUMMYFUNCTION("""COMPUTED_VALUE"""),0.5416666666666666)</f>
        <v>0.5416666667</v>
      </c>
      <c r="D14581" s="8">
        <f>IFERROR(__xludf.DUMMYFUNCTION("""COMPUTED_VALUE"""),0.12)</f>
        <v>0.12</v>
      </c>
      <c r="E14581" s="8" t="str">
        <f>IFERROR(__xludf.DUMMYFUNCTION("""COMPUTED_VALUE"""),"Real")</f>
        <v>Real</v>
      </c>
      <c r="G14581" s="8">
        <f t="shared" si="1"/>
        <v>6</v>
      </c>
      <c r="H14581" s="14">
        <f t="shared" si="2"/>
        <v>30</v>
      </c>
      <c r="I14581" s="15">
        <f t="shared" si="3"/>
        <v>13</v>
      </c>
    </row>
    <row r="14582">
      <c r="A14582" s="8" t="str">
        <f>IFERROR(__xludf.DUMMYFUNCTION("IF('(INGESTA)Datos_consumo_datadis'!A14582&lt;&gt;"""",SPLIT('(INGESTA)Datos_consumo_datadis'!A:A,"",""),"""")"),"ES0031408323131005HX0F")</f>
        <v>ES0031408323131005HX0F</v>
      </c>
      <c r="B14582" s="12">
        <f>IFERROR(__xludf.DUMMYFUNCTION("""COMPUTED_VALUE"""),45473.0)</f>
        <v>45473</v>
      </c>
      <c r="C14582" s="13">
        <f>IFERROR(__xludf.DUMMYFUNCTION("""COMPUTED_VALUE"""),0.5833333333333334)</f>
        <v>0.5833333333</v>
      </c>
      <c r="D14582" s="8">
        <f>IFERROR(__xludf.DUMMYFUNCTION("""COMPUTED_VALUE"""),0.098)</f>
        <v>0.098</v>
      </c>
      <c r="E14582" s="8" t="str">
        <f>IFERROR(__xludf.DUMMYFUNCTION("""COMPUTED_VALUE"""),"Real")</f>
        <v>Real</v>
      </c>
      <c r="G14582" s="8">
        <f t="shared" si="1"/>
        <v>6</v>
      </c>
      <c r="H14582" s="14">
        <f t="shared" si="2"/>
        <v>30</v>
      </c>
      <c r="I14582" s="15">
        <f t="shared" si="3"/>
        <v>14</v>
      </c>
    </row>
    <row r="14583">
      <c r="A14583" s="8" t="str">
        <f>IFERROR(__xludf.DUMMYFUNCTION("IF('(INGESTA)Datos_consumo_datadis'!A14583&lt;&gt;"""",SPLIT('(INGESTA)Datos_consumo_datadis'!A:A,"",""),"""")"),"ES0031408323131005HX0F")</f>
        <v>ES0031408323131005HX0F</v>
      </c>
      <c r="B14583" s="12">
        <f>IFERROR(__xludf.DUMMYFUNCTION("""COMPUTED_VALUE"""),45473.0)</f>
        <v>45473</v>
      </c>
      <c r="C14583" s="13">
        <f>IFERROR(__xludf.DUMMYFUNCTION("""COMPUTED_VALUE"""),0.625)</f>
        <v>0.625</v>
      </c>
      <c r="D14583" s="8">
        <f>IFERROR(__xludf.DUMMYFUNCTION("""COMPUTED_VALUE"""),0.395)</f>
        <v>0.395</v>
      </c>
      <c r="E14583" s="8" t="str">
        <f>IFERROR(__xludf.DUMMYFUNCTION("""COMPUTED_VALUE"""),"Real")</f>
        <v>Real</v>
      </c>
      <c r="G14583" s="8">
        <f t="shared" si="1"/>
        <v>6</v>
      </c>
      <c r="H14583" s="14">
        <f t="shared" si="2"/>
        <v>30</v>
      </c>
      <c r="I14583" s="15">
        <f t="shared" si="3"/>
        <v>15</v>
      </c>
    </row>
    <row r="14584">
      <c r="A14584" s="8" t="str">
        <f>IFERROR(__xludf.DUMMYFUNCTION("IF('(INGESTA)Datos_consumo_datadis'!A14584&lt;&gt;"""",SPLIT('(INGESTA)Datos_consumo_datadis'!A:A,"",""),"""")"),"ES0031408323131005HX0F")</f>
        <v>ES0031408323131005HX0F</v>
      </c>
      <c r="B14584" s="12">
        <f>IFERROR(__xludf.DUMMYFUNCTION("""COMPUTED_VALUE"""),45473.0)</f>
        <v>45473</v>
      </c>
      <c r="C14584" s="13">
        <f>IFERROR(__xludf.DUMMYFUNCTION("""COMPUTED_VALUE"""),0.6666666666666666)</f>
        <v>0.6666666667</v>
      </c>
      <c r="D14584" s="8">
        <f>IFERROR(__xludf.DUMMYFUNCTION("""COMPUTED_VALUE"""),0.962)</f>
        <v>0.962</v>
      </c>
      <c r="E14584" s="8" t="str">
        <f>IFERROR(__xludf.DUMMYFUNCTION("""COMPUTED_VALUE"""),"Real")</f>
        <v>Real</v>
      </c>
      <c r="G14584" s="8">
        <f t="shared" si="1"/>
        <v>6</v>
      </c>
      <c r="H14584" s="14">
        <f t="shared" si="2"/>
        <v>30</v>
      </c>
      <c r="I14584" s="15">
        <f t="shared" si="3"/>
        <v>16</v>
      </c>
    </row>
    <row r="14585">
      <c r="A14585" s="8" t="str">
        <f>IFERROR(__xludf.DUMMYFUNCTION("IF('(INGESTA)Datos_consumo_datadis'!A14585&lt;&gt;"""",SPLIT('(INGESTA)Datos_consumo_datadis'!A:A,"",""),"""")"),"ES0031408323131005HX0F")</f>
        <v>ES0031408323131005HX0F</v>
      </c>
      <c r="B14585" s="12">
        <f>IFERROR(__xludf.DUMMYFUNCTION("""COMPUTED_VALUE"""),45473.0)</f>
        <v>45473</v>
      </c>
      <c r="C14585" s="13">
        <f>IFERROR(__xludf.DUMMYFUNCTION("""COMPUTED_VALUE"""),0.7083333333333334)</f>
        <v>0.7083333333</v>
      </c>
      <c r="D14585" s="8">
        <f>IFERROR(__xludf.DUMMYFUNCTION("""COMPUTED_VALUE"""),0.119)</f>
        <v>0.119</v>
      </c>
      <c r="E14585" s="8" t="str">
        <f>IFERROR(__xludf.DUMMYFUNCTION("""COMPUTED_VALUE"""),"Real")</f>
        <v>Real</v>
      </c>
      <c r="G14585" s="8">
        <f t="shared" si="1"/>
        <v>6</v>
      </c>
      <c r="H14585" s="14">
        <f t="shared" si="2"/>
        <v>30</v>
      </c>
      <c r="I14585" s="15">
        <f t="shared" si="3"/>
        <v>17</v>
      </c>
    </row>
    <row r="14586">
      <c r="A14586" s="8" t="str">
        <f>IFERROR(__xludf.DUMMYFUNCTION("IF('(INGESTA)Datos_consumo_datadis'!A14586&lt;&gt;"""",SPLIT('(INGESTA)Datos_consumo_datadis'!A:A,"",""),"""")"),"ES0031408323131005HX0F")</f>
        <v>ES0031408323131005HX0F</v>
      </c>
      <c r="B14586" s="12">
        <f>IFERROR(__xludf.DUMMYFUNCTION("""COMPUTED_VALUE"""),45473.0)</f>
        <v>45473</v>
      </c>
      <c r="C14586" s="13">
        <f>IFERROR(__xludf.DUMMYFUNCTION("""COMPUTED_VALUE"""),0.75)</f>
        <v>0.75</v>
      </c>
      <c r="D14586" s="8">
        <f>IFERROR(__xludf.DUMMYFUNCTION("""COMPUTED_VALUE"""),0.086)</f>
        <v>0.086</v>
      </c>
      <c r="E14586" s="8" t="str">
        <f>IFERROR(__xludf.DUMMYFUNCTION("""COMPUTED_VALUE"""),"Real")</f>
        <v>Real</v>
      </c>
      <c r="G14586" s="8">
        <f t="shared" si="1"/>
        <v>6</v>
      </c>
      <c r="H14586" s="14">
        <f t="shared" si="2"/>
        <v>30</v>
      </c>
      <c r="I14586" s="15">
        <f t="shared" si="3"/>
        <v>18</v>
      </c>
    </row>
    <row r="14587">
      <c r="A14587" s="8" t="str">
        <f>IFERROR(__xludf.DUMMYFUNCTION("IF('(INGESTA)Datos_consumo_datadis'!A14587&lt;&gt;"""",SPLIT('(INGESTA)Datos_consumo_datadis'!A:A,"",""),"""")"),"ES0031408323131005HX0F")</f>
        <v>ES0031408323131005HX0F</v>
      </c>
      <c r="B14587" s="12">
        <f>IFERROR(__xludf.DUMMYFUNCTION("""COMPUTED_VALUE"""),45473.0)</f>
        <v>45473</v>
      </c>
      <c r="C14587" s="13">
        <f>IFERROR(__xludf.DUMMYFUNCTION("""COMPUTED_VALUE"""),0.7916666666666666)</f>
        <v>0.7916666667</v>
      </c>
      <c r="D14587" s="8">
        <f>IFERROR(__xludf.DUMMYFUNCTION("""COMPUTED_VALUE"""),0.054)</f>
        <v>0.054</v>
      </c>
      <c r="E14587" s="8" t="str">
        <f>IFERROR(__xludf.DUMMYFUNCTION("""COMPUTED_VALUE"""),"Real")</f>
        <v>Real</v>
      </c>
      <c r="G14587" s="8">
        <f t="shared" si="1"/>
        <v>6</v>
      </c>
      <c r="H14587" s="14">
        <f t="shared" si="2"/>
        <v>30</v>
      </c>
      <c r="I14587" s="15">
        <f t="shared" si="3"/>
        <v>19</v>
      </c>
    </row>
    <row r="14588">
      <c r="A14588" s="8" t="str">
        <f>IFERROR(__xludf.DUMMYFUNCTION("IF('(INGESTA)Datos_consumo_datadis'!A14588&lt;&gt;"""",SPLIT('(INGESTA)Datos_consumo_datadis'!A:A,"",""),"""")"),"ES0031408323131005HX0F")</f>
        <v>ES0031408323131005HX0F</v>
      </c>
      <c r="B14588" s="12">
        <f>IFERROR(__xludf.DUMMYFUNCTION("""COMPUTED_VALUE"""),45473.0)</f>
        <v>45473</v>
      </c>
      <c r="C14588" s="13">
        <f>IFERROR(__xludf.DUMMYFUNCTION("""COMPUTED_VALUE"""),0.8333333333333334)</f>
        <v>0.8333333333</v>
      </c>
      <c r="D14588" s="8">
        <f>IFERROR(__xludf.DUMMYFUNCTION("""COMPUTED_VALUE"""),0.103)</f>
        <v>0.103</v>
      </c>
      <c r="E14588" s="8" t="str">
        <f>IFERROR(__xludf.DUMMYFUNCTION("""COMPUTED_VALUE"""),"Real")</f>
        <v>Real</v>
      </c>
      <c r="G14588" s="8">
        <f t="shared" si="1"/>
        <v>6</v>
      </c>
      <c r="H14588" s="14">
        <f t="shared" si="2"/>
        <v>30</v>
      </c>
      <c r="I14588" s="15">
        <f t="shared" si="3"/>
        <v>20</v>
      </c>
    </row>
    <row r="14589">
      <c r="A14589" s="8" t="str">
        <f>IFERROR(__xludf.DUMMYFUNCTION("IF('(INGESTA)Datos_consumo_datadis'!A14589&lt;&gt;"""",SPLIT('(INGESTA)Datos_consumo_datadis'!A:A,"",""),"""")"),"ES0031408323131005HX0F")</f>
        <v>ES0031408323131005HX0F</v>
      </c>
      <c r="B14589" s="12">
        <f>IFERROR(__xludf.DUMMYFUNCTION("""COMPUTED_VALUE"""),45473.0)</f>
        <v>45473</v>
      </c>
      <c r="C14589" s="13">
        <f>IFERROR(__xludf.DUMMYFUNCTION("""COMPUTED_VALUE"""),0.875)</f>
        <v>0.875</v>
      </c>
      <c r="D14589" s="8">
        <f>IFERROR(__xludf.DUMMYFUNCTION("""COMPUTED_VALUE"""),0.081)</f>
        <v>0.081</v>
      </c>
      <c r="E14589" s="8" t="str">
        <f>IFERROR(__xludf.DUMMYFUNCTION("""COMPUTED_VALUE"""),"Real")</f>
        <v>Real</v>
      </c>
      <c r="G14589" s="8">
        <f t="shared" si="1"/>
        <v>6</v>
      </c>
      <c r="H14589" s="14">
        <f t="shared" si="2"/>
        <v>30</v>
      </c>
      <c r="I14589" s="15">
        <f t="shared" si="3"/>
        <v>21</v>
      </c>
    </row>
    <row r="14590">
      <c r="A14590" s="8" t="str">
        <f>IFERROR(__xludf.DUMMYFUNCTION("IF('(INGESTA)Datos_consumo_datadis'!A14590&lt;&gt;"""",SPLIT('(INGESTA)Datos_consumo_datadis'!A:A,"",""),"""")"),"ES0031408323131005HX0F")</f>
        <v>ES0031408323131005HX0F</v>
      </c>
      <c r="B14590" s="12">
        <f>IFERROR(__xludf.DUMMYFUNCTION("""COMPUTED_VALUE"""),45473.0)</f>
        <v>45473</v>
      </c>
      <c r="C14590" s="13">
        <f>IFERROR(__xludf.DUMMYFUNCTION("""COMPUTED_VALUE"""),0.9166666666666666)</f>
        <v>0.9166666667</v>
      </c>
      <c r="D14590" s="8">
        <f>IFERROR(__xludf.DUMMYFUNCTION("""COMPUTED_VALUE"""),0.051)</f>
        <v>0.051</v>
      </c>
      <c r="E14590" s="8" t="str">
        <f>IFERROR(__xludf.DUMMYFUNCTION("""COMPUTED_VALUE"""),"Real")</f>
        <v>Real</v>
      </c>
      <c r="G14590" s="8">
        <f t="shared" si="1"/>
        <v>6</v>
      </c>
      <c r="H14590" s="14">
        <f t="shared" si="2"/>
        <v>30</v>
      </c>
      <c r="I14590" s="15">
        <f t="shared" si="3"/>
        <v>22</v>
      </c>
    </row>
    <row r="14591">
      <c r="A14591" s="8" t="str">
        <f>IFERROR(__xludf.DUMMYFUNCTION("IF('(INGESTA)Datos_consumo_datadis'!A14591&lt;&gt;"""",SPLIT('(INGESTA)Datos_consumo_datadis'!A:A,"",""),"""")"),"ES0031408323131005HX0F")</f>
        <v>ES0031408323131005HX0F</v>
      </c>
      <c r="B14591" s="12">
        <f>IFERROR(__xludf.DUMMYFUNCTION("""COMPUTED_VALUE"""),45473.0)</f>
        <v>45473</v>
      </c>
      <c r="C14591" s="13">
        <f>IFERROR(__xludf.DUMMYFUNCTION("""COMPUTED_VALUE"""),0.9583333333333334)</f>
        <v>0.9583333333</v>
      </c>
      <c r="D14591" s="8">
        <f>IFERROR(__xludf.DUMMYFUNCTION("""COMPUTED_VALUE"""),0.4)</f>
        <v>0.4</v>
      </c>
      <c r="E14591" s="8" t="str">
        <f>IFERROR(__xludf.DUMMYFUNCTION("""COMPUTED_VALUE"""),"Real")</f>
        <v>Real</v>
      </c>
      <c r="G14591" s="8">
        <f t="shared" si="1"/>
        <v>6</v>
      </c>
      <c r="H14591" s="14">
        <f t="shared" si="2"/>
        <v>30</v>
      </c>
      <c r="I14591" s="15">
        <f t="shared" si="3"/>
        <v>23</v>
      </c>
    </row>
    <row r="14592">
      <c r="A14592" s="8" t="str">
        <f>IFERROR(__xludf.DUMMYFUNCTION("IF('(INGESTA)Datos_consumo_datadis'!A14592&lt;&gt;"""",SPLIT('(INGESTA)Datos_consumo_datadis'!A:A,"",""),"""")"),"ES0031408323131005HX0F")</f>
        <v>ES0031408323131005HX0F</v>
      </c>
      <c r="B14592" s="12">
        <f>IFERROR(__xludf.DUMMYFUNCTION("""COMPUTED_VALUE"""),45473.0)</f>
        <v>45473</v>
      </c>
      <c r="C14592" s="16">
        <f>IFERROR(__xludf.DUMMYFUNCTION("""COMPUTED_VALUE"""),1.0)</f>
        <v>1</v>
      </c>
      <c r="D14592" s="8">
        <f>IFERROR(__xludf.DUMMYFUNCTION("""COMPUTED_VALUE"""),0.121)</f>
        <v>0.121</v>
      </c>
      <c r="E14592" s="8" t="str">
        <f>IFERROR(__xludf.DUMMYFUNCTION("""COMPUTED_VALUE"""),"Real")</f>
        <v>Real</v>
      </c>
      <c r="G14592" s="8">
        <f t="shared" si="1"/>
        <v>6</v>
      </c>
      <c r="H14592" s="14">
        <f t="shared" si="2"/>
        <v>30</v>
      </c>
      <c r="I14592" s="15">
        <f t="shared" si="3"/>
        <v>0</v>
      </c>
    </row>
    <row r="14593">
      <c r="A14593" s="8" t="str">
        <f>IFERROR(__xludf.DUMMYFUNCTION("IF('(INGESTA)Datos_consumo_datadis'!A14593&lt;&gt;"""",SPLIT('(INGESTA)Datos_consumo_datadis'!A:A,"",""),"""")"),"ES0031408323131005HX0F")</f>
        <v>ES0031408323131005HX0F</v>
      </c>
      <c r="B14593" s="12">
        <f>IFERROR(__xludf.DUMMYFUNCTION("""COMPUTED_VALUE"""),45474.0)</f>
        <v>45474</v>
      </c>
      <c r="C14593" s="13">
        <f>IFERROR(__xludf.DUMMYFUNCTION("""COMPUTED_VALUE"""),0.041666666666666664)</f>
        <v>0.04166666667</v>
      </c>
      <c r="D14593" s="8">
        <f>IFERROR(__xludf.DUMMYFUNCTION("""COMPUTED_VALUE"""),0.082)</f>
        <v>0.082</v>
      </c>
      <c r="E14593" s="8" t="str">
        <f>IFERROR(__xludf.DUMMYFUNCTION("""COMPUTED_VALUE"""),"Real")</f>
        <v>Real</v>
      </c>
      <c r="G14593" s="8">
        <f t="shared" si="1"/>
        <v>7</v>
      </c>
      <c r="H14593" s="14">
        <f t="shared" si="2"/>
        <v>1</v>
      </c>
      <c r="I14593" s="15">
        <f t="shared" si="3"/>
        <v>1</v>
      </c>
    </row>
    <row r="14594">
      <c r="A14594" s="8" t="str">
        <f>IFERROR(__xludf.DUMMYFUNCTION("IF('(INGESTA)Datos_consumo_datadis'!A14594&lt;&gt;"""",SPLIT('(INGESTA)Datos_consumo_datadis'!A:A,"",""),"""")"),"ES0031408323131005HX0F")</f>
        <v>ES0031408323131005HX0F</v>
      </c>
      <c r="B14594" s="12">
        <f>IFERROR(__xludf.DUMMYFUNCTION("""COMPUTED_VALUE"""),45474.0)</f>
        <v>45474</v>
      </c>
      <c r="C14594" s="13">
        <f>IFERROR(__xludf.DUMMYFUNCTION("""COMPUTED_VALUE"""),0.08333333333333333)</f>
        <v>0.08333333333</v>
      </c>
      <c r="D14594" s="8">
        <f>IFERROR(__xludf.DUMMYFUNCTION("""COMPUTED_VALUE"""),0.049)</f>
        <v>0.049</v>
      </c>
      <c r="E14594" s="8" t="str">
        <f>IFERROR(__xludf.DUMMYFUNCTION("""COMPUTED_VALUE"""),"Real")</f>
        <v>Real</v>
      </c>
      <c r="G14594" s="8">
        <f t="shared" si="1"/>
        <v>7</v>
      </c>
      <c r="H14594" s="14">
        <f t="shared" si="2"/>
        <v>1</v>
      </c>
      <c r="I14594" s="15">
        <f t="shared" si="3"/>
        <v>2</v>
      </c>
    </row>
    <row r="14595">
      <c r="A14595" s="8" t="str">
        <f>IFERROR(__xludf.DUMMYFUNCTION("IF('(INGESTA)Datos_consumo_datadis'!A14595&lt;&gt;"""",SPLIT('(INGESTA)Datos_consumo_datadis'!A:A,"",""),"""")"),"ES0031408323131005HX0F")</f>
        <v>ES0031408323131005HX0F</v>
      </c>
      <c r="B14595" s="12">
        <f>IFERROR(__xludf.DUMMYFUNCTION("""COMPUTED_VALUE"""),45474.0)</f>
        <v>45474</v>
      </c>
      <c r="C14595" s="13">
        <f>IFERROR(__xludf.DUMMYFUNCTION("""COMPUTED_VALUE"""),0.125)</f>
        <v>0.125</v>
      </c>
      <c r="D14595" s="8">
        <f>IFERROR(__xludf.DUMMYFUNCTION("""COMPUTED_VALUE"""),0.116)</f>
        <v>0.116</v>
      </c>
      <c r="E14595" s="8" t="str">
        <f>IFERROR(__xludf.DUMMYFUNCTION("""COMPUTED_VALUE"""),"Real")</f>
        <v>Real</v>
      </c>
      <c r="G14595" s="8">
        <f t="shared" si="1"/>
        <v>7</v>
      </c>
      <c r="H14595" s="14">
        <f t="shared" si="2"/>
        <v>1</v>
      </c>
      <c r="I14595" s="15">
        <f t="shared" si="3"/>
        <v>3</v>
      </c>
    </row>
    <row r="14596">
      <c r="A14596" s="8" t="str">
        <f>IFERROR(__xludf.DUMMYFUNCTION("IF('(INGESTA)Datos_consumo_datadis'!A14596&lt;&gt;"""",SPLIT('(INGESTA)Datos_consumo_datadis'!A:A,"",""),"""")"),"ES0031408323131005HX0F")</f>
        <v>ES0031408323131005HX0F</v>
      </c>
      <c r="B14596" s="12">
        <f>IFERROR(__xludf.DUMMYFUNCTION("""COMPUTED_VALUE"""),45474.0)</f>
        <v>45474</v>
      </c>
      <c r="C14596" s="13">
        <f>IFERROR(__xludf.DUMMYFUNCTION("""COMPUTED_VALUE"""),0.16666666666666666)</f>
        <v>0.1666666667</v>
      </c>
      <c r="D14596" s="8">
        <f>IFERROR(__xludf.DUMMYFUNCTION("""COMPUTED_VALUE"""),0.065)</f>
        <v>0.065</v>
      </c>
      <c r="E14596" s="8" t="str">
        <f>IFERROR(__xludf.DUMMYFUNCTION("""COMPUTED_VALUE"""),"Real")</f>
        <v>Real</v>
      </c>
      <c r="G14596" s="8">
        <f t="shared" si="1"/>
        <v>7</v>
      </c>
      <c r="H14596" s="14">
        <f t="shared" si="2"/>
        <v>1</v>
      </c>
      <c r="I14596" s="15">
        <f t="shared" si="3"/>
        <v>4</v>
      </c>
    </row>
    <row r="14597">
      <c r="A14597" s="8" t="str">
        <f>IFERROR(__xludf.DUMMYFUNCTION("IF('(INGESTA)Datos_consumo_datadis'!A14597&lt;&gt;"""",SPLIT('(INGESTA)Datos_consumo_datadis'!A:A,"",""),"""")"),"ES0031408323131005HX0F")</f>
        <v>ES0031408323131005HX0F</v>
      </c>
      <c r="B14597" s="12">
        <f>IFERROR(__xludf.DUMMYFUNCTION("""COMPUTED_VALUE"""),45474.0)</f>
        <v>45474</v>
      </c>
      <c r="C14597" s="13">
        <f>IFERROR(__xludf.DUMMYFUNCTION("""COMPUTED_VALUE"""),0.20833333333333334)</f>
        <v>0.2083333333</v>
      </c>
      <c r="D14597" s="8">
        <f>IFERROR(__xludf.DUMMYFUNCTION("""COMPUTED_VALUE"""),0.068)</f>
        <v>0.068</v>
      </c>
      <c r="E14597" s="8" t="str">
        <f>IFERROR(__xludf.DUMMYFUNCTION("""COMPUTED_VALUE"""),"Real")</f>
        <v>Real</v>
      </c>
      <c r="G14597" s="8">
        <f t="shared" si="1"/>
        <v>7</v>
      </c>
      <c r="H14597" s="14">
        <f t="shared" si="2"/>
        <v>1</v>
      </c>
      <c r="I14597" s="15">
        <f t="shared" si="3"/>
        <v>5</v>
      </c>
    </row>
    <row r="14598">
      <c r="A14598" s="8" t="str">
        <f>IFERROR(__xludf.DUMMYFUNCTION("IF('(INGESTA)Datos_consumo_datadis'!A14598&lt;&gt;"""",SPLIT('(INGESTA)Datos_consumo_datadis'!A:A,"",""),"""")"),"ES0031408323131005HX0F")</f>
        <v>ES0031408323131005HX0F</v>
      </c>
      <c r="B14598" s="12">
        <f>IFERROR(__xludf.DUMMYFUNCTION("""COMPUTED_VALUE"""),45474.0)</f>
        <v>45474</v>
      </c>
      <c r="C14598" s="13">
        <f>IFERROR(__xludf.DUMMYFUNCTION("""COMPUTED_VALUE"""),0.25)</f>
        <v>0.25</v>
      </c>
      <c r="D14598" s="8">
        <f>IFERROR(__xludf.DUMMYFUNCTION("""COMPUTED_VALUE"""),0.082)</f>
        <v>0.082</v>
      </c>
      <c r="E14598" s="8" t="str">
        <f>IFERROR(__xludf.DUMMYFUNCTION("""COMPUTED_VALUE"""),"Real")</f>
        <v>Real</v>
      </c>
      <c r="G14598" s="8">
        <f t="shared" si="1"/>
        <v>7</v>
      </c>
      <c r="H14598" s="14">
        <f t="shared" si="2"/>
        <v>1</v>
      </c>
      <c r="I14598" s="15">
        <f t="shared" si="3"/>
        <v>6</v>
      </c>
    </row>
    <row r="14599">
      <c r="A14599" s="8" t="str">
        <f>IFERROR(__xludf.DUMMYFUNCTION("IF('(INGESTA)Datos_consumo_datadis'!A14599&lt;&gt;"""",SPLIT('(INGESTA)Datos_consumo_datadis'!A:A,"",""),"""")"),"ES0031408323131005HX0F")</f>
        <v>ES0031408323131005HX0F</v>
      </c>
      <c r="B14599" s="12">
        <f>IFERROR(__xludf.DUMMYFUNCTION("""COMPUTED_VALUE"""),45474.0)</f>
        <v>45474</v>
      </c>
      <c r="C14599" s="13">
        <f>IFERROR(__xludf.DUMMYFUNCTION("""COMPUTED_VALUE"""),0.2916666666666667)</f>
        <v>0.2916666667</v>
      </c>
      <c r="D14599" s="8">
        <f>IFERROR(__xludf.DUMMYFUNCTION("""COMPUTED_VALUE"""),0.333)</f>
        <v>0.333</v>
      </c>
      <c r="E14599" s="8" t="str">
        <f>IFERROR(__xludf.DUMMYFUNCTION("""COMPUTED_VALUE"""),"Real")</f>
        <v>Real</v>
      </c>
      <c r="G14599" s="8">
        <f t="shared" si="1"/>
        <v>7</v>
      </c>
      <c r="H14599" s="14">
        <f t="shared" si="2"/>
        <v>1</v>
      </c>
      <c r="I14599" s="15">
        <f t="shared" si="3"/>
        <v>7</v>
      </c>
    </row>
    <row r="14600">
      <c r="A14600" s="8" t="str">
        <f>IFERROR(__xludf.DUMMYFUNCTION("IF('(INGESTA)Datos_consumo_datadis'!A14600&lt;&gt;"""",SPLIT('(INGESTA)Datos_consumo_datadis'!A:A,"",""),"""")"),"ES0031408323131005HX0F")</f>
        <v>ES0031408323131005HX0F</v>
      </c>
      <c r="B14600" s="12">
        <f>IFERROR(__xludf.DUMMYFUNCTION("""COMPUTED_VALUE"""),45474.0)</f>
        <v>45474</v>
      </c>
      <c r="C14600" s="13">
        <f>IFERROR(__xludf.DUMMYFUNCTION("""COMPUTED_VALUE"""),0.3333333333333333)</f>
        <v>0.3333333333</v>
      </c>
      <c r="D14600" s="8">
        <f>IFERROR(__xludf.DUMMYFUNCTION("""COMPUTED_VALUE"""),0.112)</f>
        <v>0.112</v>
      </c>
      <c r="E14600" s="8" t="str">
        <f>IFERROR(__xludf.DUMMYFUNCTION("""COMPUTED_VALUE"""),"Real")</f>
        <v>Real</v>
      </c>
      <c r="G14600" s="8">
        <f t="shared" si="1"/>
        <v>7</v>
      </c>
      <c r="H14600" s="14">
        <f t="shared" si="2"/>
        <v>1</v>
      </c>
      <c r="I14600" s="15">
        <f t="shared" si="3"/>
        <v>8</v>
      </c>
    </row>
    <row r="14601">
      <c r="A14601" s="8" t="str">
        <f>IFERROR(__xludf.DUMMYFUNCTION("IF('(INGESTA)Datos_consumo_datadis'!A14601&lt;&gt;"""",SPLIT('(INGESTA)Datos_consumo_datadis'!A:A,"",""),"""")"),"ES0031408323131005HX0F")</f>
        <v>ES0031408323131005HX0F</v>
      </c>
      <c r="B14601" s="12">
        <f>IFERROR(__xludf.DUMMYFUNCTION("""COMPUTED_VALUE"""),45474.0)</f>
        <v>45474</v>
      </c>
      <c r="C14601" s="13">
        <f>IFERROR(__xludf.DUMMYFUNCTION("""COMPUTED_VALUE"""),0.375)</f>
        <v>0.375</v>
      </c>
      <c r="D14601" s="8">
        <f>IFERROR(__xludf.DUMMYFUNCTION("""COMPUTED_VALUE"""),0.062)</f>
        <v>0.062</v>
      </c>
      <c r="E14601" s="8" t="str">
        <f>IFERROR(__xludf.DUMMYFUNCTION("""COMPUTED_VALUE"""),"Real")</f>
        <v>Real</v>
      </c>
      <c r="G14601" s="8">
        <f t="shared" si="1"/>
        <v>7</v>
      </c>
      <c r="H14601" s="14">
        <f t="shared" si="2"/>
        <v>1</v>
      </c>
      <c r="I14601" s="15">
        <f t="shared" si="3"/>
        <v>9</v>
      </c>
    </row>
    <row r="14602">
      <c r="A14602" s="8" t="str">
        <f>IFERROR(__xludf.DUMMYFUNCTION("IF('(INGESTA)Datos_consumo_datadis'!A14602&lt;&gt;"""",SPLIT('(INGESTA)Datos_consumo_datadis'!A:A,"",""),"""")"),"ES0031408323131005HX0F")</f>
        <v>ES0031408323131005HX0F</v>
      </c>
      <c r="B14602" s="12">
        <f>IFERROR(__xludf.DUMMYFUNCTION("""COMPUTED_VALUE"""),45474.0)</f>
        <v>45474</v>
      </c>
      <c r="C14602" s="13">
        <f>IFERROR(__xludf.DUMMYFUNCTION("""COMPUTED_VALUE"""),0.4166666666666667)</f>
        <v>0.4166666667</v>
      </c>
      <c r="D14602" s="8">
        <f>IFERROR(__xludf.DUMMYFUNCTION("""COMPUTED_VALUE"""),0.07)</f>
        <v>0.07</v>
      </c>
      <c r="E14602" s="8" t="str">
        <f>IFERROR(__xludf.DUMMYFUNCTION("""COMPUTED_VALUE"""),"Real")</f>
        <v>Real</v>
      </c>
      <c r="G14602" s="8">
        <f t="shared" si="1"/>
        <v>7</v>
      </c>
      <c r="H14602" s="14">
        <f t="shared" si="2"/>
        <v>1</v>
      </c>
      <c r="I14602" s="15">
        <f t="shared" si="3"/>
        <v>10</v>
      </c>
    </row>
    <row r="14603">
      <c r="A14603" s="8" t="str">
        <f>IFERROR(__xludf.DUMMYFUNCTION("IF('(INGESTA)Datos_consumo_datadis'!A14603&lt;&gt;"""",SPLIT('(INGESTA)Datos_consumo_datadis'!A:A,"",""),"""")"),"ES0031408323131005HX0F")</f>
        <v>ES0031408323131005HX0F</v>
      </c>
      <c r="B14603" s="12">
        <f>IFERROR(__xludf.DUMMYFUNCTION("""COMPUTED_VALUE"""),45474.0)</f>
        <v>45474</v>
      </c>
      <c r="C14603" s="13">
        <f>IFERROR(__xludf.DUMMYFUNCTION("""COMPUTED_VALUE"""),0.4583333333333333)</f>
        <v>0.4583333333</v>
      </c>
      <c r="D14603" s="8">
        <f>IFERROR(__xludf.DUMMYFUNCTION("""COMPUTED_VALUE"""),0.082)</f>
        <v>0.082</v>
      </c>
      <c r="E14603" s="8" t="str">
        <f>IFERROR(__xludf.DUMMYFUNCTION("""COMPUTED_VALUE"""),"Real")</f>
        <v>Real</v>
      </c>
      <c r="G14603" s="8">
        <f t="shared" si="1"/>
        <v>7</v>
      </c>
      <c r="H14603" s="14">
        <f t="shared" si="2"/>
        <v>1</v>
      </c>
      <c r="I14603" s="15">
        <f t="shared" si="3"/>
        <v>11</v>
      </c>
    </row>
    <row r="14604">
      <c r="A14604" s="8" t="str">
        <f>IFERROR(__xludf.DUMMYFUNCTION("IF('(INGESTA)Datos_consumo_datadis'!A14604&lt;&gt;"""",SPLIT('(INGESTA)Datos_consumo_datadis'!A:A,"",""),"""")"),"ES0031408323131005HX0F")</f>
        <v>ES0031408323131005HX0F</v>
      </c>
      <c r="B14604" s="12">
        <f>IFERROR(__xludf.DUMMYFUNCTION("""COMPUTED_VALUE"""),45474.0)</f>
        <v>45474</v>
      </c>
      <c r="C14604" s="13">
        <f>IFERROR(__xludf.DUMMYFUNCTION("""COMPUTED_VALUE"""),0.5)</f>
        <v>0.5</v>
      </c>
      <c r="D14604" s="8">
        <f>IFERROR(__xludf.DUMMYFUNCTION("""COMPUTED_VALUE"""),0.047)</f>
        <v>0.047</v>
      </c>
      <c r="E14604" s="8" t="str">
        <f>IFERROR(__xludf.DUMMYFUNCTION("""COMPUTED_VALUE"""),"Real")</f>
        <v>Real</v>
      </c>
      <c r="G14604" s="8">
        <f t="shared" si="1"/>
        <v>7</v>
      </c>
      <c r="H14604" s="14">
        <f t="shared" si="2"/>
        <v>1</v>
      </c>
      <c r="I14604" s="15">
        <f t="shared" si="3"/>
        <v>12</v>
      </c>
    </row>
    <row r="14605">
      <c r="A14605" s="8" t="str">
        <f>IFERROR(__xludf.DUMMYFUNCTION("IF('(INGESTA)Datos_consumo_datadis'!A14605&lt;&gt;"""",SPLIT('(INGESTA)Datos_consumo_datadis'!A:A,"",""),"""")"),"ES0031408323131005HX0F")</f>
        <v>ES0031408323131005HX0F</v>
      </c>
      <c r="B14605" s="12">
        <f>IFERROR(__xludf.DUMMYFUNCTION("""COMPUTED_VALUE"""),45474.0)</f>
        <v>45474</v>
      </c>
      <c r="C14605" s="13">
        <f>IFERROR(__xludf.DUMMYFUNCTION("""COMPUTED_VALUE"""),0.5416666666666666)</f>
        <v>0.5416666667</v>
      </c>
      <c r="D14605" s="8">
        <f>IFERROR(__xludf.DUMMYFUNCTION("""COMPUTED_VALUE"""),0.113)</f>
        <v>0.113</v>
      </c>
      <c r="E14605" s="8" t="str">
        <f>IFERROR(__xludf.DUMMYFUNCTION("""COMPUTED_VALUE"""),"Real")</f>
        <v>Real</v>
      </c>
      <c r="G14605" s="8">
        <f t="shared" si="1"/>
        <v>7</v>
      </c>
      <c r="H14605" s="14">
        <f t="shared" si="2"/>
        <v>1</v>
      </c>
      <c r="I14605" s="15">
        <f t="shared" si="3"/>
        <v>13</v>
      </c>
    </row>
    <row r="14606">
      <c r="A14606" s="8" t="str">
        <f>IFERROR(__xludf.DUMMYFUNCTION("IF('(INGESTA)Datos_consumo_datadis'!A14606&lt;&gt;"""",SPLIT('(INGESTA)Datos_consumo_datadis'!A:A,"",""),"""")"),"ES0031408323131005HX0F")</f>
        <v>ES0031408323131005HX0F</v>
      </c>
      <c r="B14606" s="12">
        <f>IFERROR(__xludf.DUMMYFUNCTION("""COMPUTED_VALUE"""),45474.0)</f>
        <v>45474</v>
      </c>
      <c r="C14606" s="13">
        <f>IFERROR(__xludf.DUMMYFUNCTION("""COMPUTED_VALUE"""),0.5833333333333334)</f>
        <v>0.5833333333</v>
      </c>
      <c r="D14606" s="8">
        <f>IFERROR(__xludf.DUMMYFUNCTION("""COMPUTED_VALUE"""),0.072)</f>
        <v>0.072</v>
      </c>
      <c r="E14606" s="8" t="str">
        <f>IFERROR(__xludf.DUMMYFUNCTION("""COMPUTED_VALUE"""),"Real")</f>
        <v>Real</v>
      </c>
      <c r="G14606" s="8">
        <f t="shared" si="1"/>
        <v>7</v>
      </c>
      <c r="H14606" s="14">
        <f t="shared" si="2"/>
        <v>1</v>
      </c>
      <c r="I14606" s="15">
        <f t="shared" si="3"/>
        <v>14</v>
      </c>
    </row>
    <row r="14607">
      <c r="A14607" s="8" t="str">
        <f>IFERROR(__xludf.DUMMYFUNCTION("IF('(INGESTA)Datos_consumo_datadis'!A14607&lt;&gt;"""",SPLIT('(INGESTA)Datos_consumo_datadis'!A:A,"",""),"""")"),"ES0031408323131005HX0F")</f>
        <v>ES0031408323131005HX0F</v>
      </c>
      <c r="B14607" s="12">
        <f>IFERROR(__xludf.DUMMYFUNCTION("""COMPUTED_VALUE"""),45474.0)</f>
        <v>45474</v>
      </c>
      <c r="C14607" s="13">
        <f>IFERROR(__xludf.DUMMYFUNCTION("""COMPUTED_VALUE"""),0.625)</f>
        <v>0.625</v>
      </c>
      <c r="D14607" s="8">
        <f>IFERROR(__xludf.DUMMYFUNCTION("""COMPUTED_VALUE"""),0.358)</f>
        <v>0.358</v>
      </c>
      <c r="E14607" s="8" t="str">
        <f>IFERROR(__xludf.DUMMYFUNCTION("""COMPUTED_VALUE"""),"Real")</f>
        <v>Real</v>
      </c>
      <c r="G14607" s="8">
        <f t="shared" si="1"/>
        <v>7</v>
      </c>
      <c r="H14607" s="14">
        <f t="shared" si="2"/>
        <v>1</v>
      </c>
      <c r="I14607" s="15">
        <f t="shared" si="3"/>
        <v>15</v>
      </c>
    </row>
    <row r="14608">
      <c r="A14608" s="8" t="str">
        <f>IFERROR(__xludf.DUMMYFUNCTION("IF('(INGESTA)Datos_consumo_datadis'!A14608&lt;&gt;"""",SPLIT('(INGESTA)Datos_consumo_datadis'!A:A,"",""),"""")"),"ES0031408323131005HX0F")</f>
        <v>ES0031408323131005HX0F</v>
      </c>
      <c r="B14608" s="12">
        <f>IFERROR(__xludf.DUMMYFUNCTION("""COMPUTED_VALUE"""),45474.0)</f>
        <v>45474</v>
      </c>
      <c r="C14608" s="13">
        <f>IFERROR(__xludf.DUMMYFUNCTION("""COMPUTED_VALUE"""),0.6666666666666666)</f>
        <v>0.6666666667</v>
      </c>
      <c r="D14608" s="8">
        <f>IFERROR(__xludf.DUMMYFUNCTION("""COMPUTED_VALUE"""),0.079)</f>
        <v>0.079</v>
      </c>
      <c r="E14608" s="8" t="str">
        <f>IFERROR(__xludf.DUMMYFUNCTION("""COMPUTED_VALUE"""),"Real")</f>
        <v>Real</v>
      </c>
      <c r="G14608" s="8">
        <f t="shared" si="1"/>
        <v>7</v>
      </c>
      <c r="H14608" s="14">
        <f t="shared" si="2"/>
        <v>1</v>
      </c>
      <c r="I14608" s="15">
        <f t="shared" si="3"/>
        <v>16</v>
      </c>
    </row>
    <row r="14609">
      <c r="A14609" s="8" t="str">
        <f>IFERROR(__xludf.DUMMYFUNCTION("IF('(INGESTA)Datos_consumo_datadis'!A14609&lt;&gt;"""",SPLIT('(INGESTA)Datos_consumo_datadis'!A:A,"",""),"""")"),"ES0031408323131005HX0F")</f>
        <v>ES0031408323131005HX0F</v>
      </c>
      <c r="B14609" s="12">
        <f>IFERROR(__xludf.DUMMYFUNCTION("""COMPUTED_VALUE"""),45474.0)</f>
        <v>45474</v>
      </c>
      <c r="C14609" s="13">
        <f>IFERROR(__xludf.DUMMYFUNCTION("""COMPUTED_VALUE"""),0.7083333333333334)</f>
        <v>0.7083333333</v>
      </c>
      <c r="D14609" s="8">
        <f>IFERROR(__xludf.DUMMYFUNCTION("""COMPUTED_VALUE"""),0.048)</f>
        <v>0.048</v>
      </c>
      <c r="E14609" s="8" t="str">
        <f>IFERROR(__xludf.DUMMYFUNCTION("""COMPUTED_VALUE"""),"Real")</f>
        <v>Real</v>
      </c>
      <c r="G14609" s="8">
        <f t="shared" si="1"/>
        <v>7</v>
      </c>
      <c r="H14609" s="14">
        <f t="shared" si="2"/>
        <v>1</v>
      </c>
      <c r="I14609" s="15">
        <f t="shared" si="3"/>
        <v>17</v>
      </c>
    </row>
    <row r="14610">
      <c r="A14610" s="8" t="str">
        <f>IFERROR(__xludf.DUMMYFUNCTION("IF('(INGESTA)Datos_consumo_datadis'!A14610&lt;&gt;"""",SPLIT('(INGESTA)Datos_consumo_datadis'!A:A,"",""),"""")"),"ES0031408323131005HX0F")</f>
        <v>ES0031408323131005HX0F</v>
      </c>
      <c r="B14610" s="12">
        <f>IFERROR(__xludf.DUMMYFUNCTION("""COMPUTED_VALUE"""),45474.0)</f>
        <v>45474</v>
      </c>
      <c r="C14610" s="13">
        <f>IFERROR(__xludf.DUMMYFUNCTION("""COMPUTED_VALUE"""),0.75)</f>
        <v>0.75</v>
      </c>
      <c r="D14610" s="8">
        <f>IFERROR(__xludf.DUMMYFUNCTION("""COMPUTED_VALUE"""),0.085)</f>
        <v>0.085</v>
      </c>
      <c r="E14610" s="8" t="str">
        <f>IFERROR(__xludf.DUMMYFUNCTION("""COMPUTED_VALUE"""),"Real")</f>
        <v>Real</v>
      </c>
      <c r="G14610" s="8">
        <f t="shared" si="1"/>
        <v>7</v>
      </c>
      <c r="H14610" s="14">
        <f t="shared" si="2"/>
        <v>1</v>
      </c>
      <c r="I14610" s="15">
        <f t="shared" si="3"/>
        <v>18</v>
      </c>
    </row>
    <row r="14611">
      <c r="A14611" s="8" t="str">
        <f>IFERROR(__xludf.DUMMYFUNCTION("IF('(INGESTA)Datos_consumo_datadis'!A14611&lt;&gt;"""",SPLIT('(INGESTA)Datos_consumo_datadis'!A:A,"",""),"""")"),"ES0031408323131005HX0F")</f>
        <v>ES0031408323131005HX0F</v>
      </c>
      <c r="B14611" s="12">
        <f>IFERROR(__xludf.DUMMYFUNCTION("""COMPUTED_VALUE"""),45474.0)</f>
        <v>45474</v>
      </c>
      <c r="C14611" s="13">
        <f>IFERROR(__xludf.DUMMYFUNCTION("""COMPUTED_VALUE"""),0.7916666666666666)</f>
        <v>0.7916666667</v>
      </c>
      <c r="D14611" s="8">
        <f>IFERROR(__xludf.DUMMYFUNCTION("""COMPUTED_VALUE"""),0.096)</f>
        <v>0.096</v>
      </c>
      <c r="E14611" s="8" t="str">
        <f>IFERROR(__xludf.DUMMYFUNCTION("""COMPUTED_VALUE"""),"Real")</f>
        <v>Real</v>
      </c>
      <c r="G14611" s="8">
        <f t="shared" si="1"/>
        <v>7</v>
      </c>
      <c r="H14611" s="14">
        <f t="shared" si="2"/>
        <v>1</v>
      </c>
      <c r="I14611" s="15">
        <f t="shared" si="3"/>
        <v>19</v>
      </c>
    </row>
    <row r="14612">
      <c r="A14612" s="8" t="str">
        <f>IFERROR(__xludf.DUMMYFUNCTION("IF('(INGESTA)Datos_consumo_datadis'!A14612&lt;&gt;"""",SPLIT('(INGESTA)Datos_consumo_datadis'!A:A,"",""),"""")"),"ES0031408323131005HX0F")</f>
        <v>ES0031408323131005HX0F</v>
      </c>
      <c r="B14612" s="12">
        <f>IFERROR(__xludf.DUMMYFUNCTION("""COMPUTED_VALUE"""),45474.0)</f>
        <v>45474</v>
      </c>
      <c r="C14612" s="13">
        <f>IFERROR(__xludf.DUMMYFUNCTION("""COMPUTED_VALUE"""),0.8333333333333334)</f>
        <v>0.8333333333</v>
      </c>
      <c r="D14612" s="8">
        <f>IFERROR(__xludf.DUMMYFUNCTION("""COMPUTED_VALUE"""),0.126)</f>
        <v>0.126</v>
      </c>
      <c r="E14612" s="8" t="str">
        <f>IFERROR(__xludf.DUMMYFUNCTION("""COMPUTED_VALUE"""),"Real")</f>
        <v>Real</v>
      </c>
      <c r="G14612" s="8">
        <f t="shared" si="1"/>
        <v>7</v>
      </c>
      <c r="H14612" s="14">
        <f t="shared" si="2"/>
        <v>1</v>
      </c>
      <c r="I14612" s="15">
        <f t="shared" si="3"/>
        <v>20</v>
      </c>
    </row>
    <row r="14613">
      <c r="A14613" s="8" t="str">
        <f>IFERROR(__xludf.DUMMYFUNCTION("IF('(INGESTA)Datos_consumo_datadis'!A14613&lt;&gt;"""",SPLIT('(INGESTA)Datos_consumo_datadis'!A:A,"",""),"""")"),"ES0031408323131005HX0F")</f>
        <v>ES0031408323131005HX0F</v>
      </c>
      <c r="B14613" s="12">
        <f>IFERROR(__xludf.DUMMYFUNCTION("""COMPUTED_VALUE"""),45474.0)</f>
        <v>45474</v>
      </c>
      <c r="C14613" s="13">
        <f>IFERROR(__xludf.DUMMYFUNCTION("""COMPUTED_VALUE"""),0.875)</f>
        <v>0.875</v>
      </c>
      <c r="D14613" s="8">
        <f>IFERROR(__xludf.DUMMYFUNCTION("""COMPUTED_VALUE"""),0.08)</f>
        <v>0.08</v>
      </c>
      <c r="E14613" s="8" t="str">
        <f>IFERROR(__xludf.DUMMYFUNCTION("""COMPUTED_VALUE"""),"Real")</f>
        <v>Real</v>
      </c>
      <c r="G14613" s="8">
        <f t="shared" si="1"/>
        <v>7</v>
      </c>
      <c r="H14613" s="14">
        <f t="shared" si="2"/>
        <v>1</v>
      </c>
      <c r="I14613" s="15">
        <f t="shared" si="3"/>
        <v>21</v>
      </c>
    </row>
    <row r="14614">
      <c r="A14614" s="8" t="str">
        <f>IFERROR(__xludf.DUMMYFUNCTION("IF('(INGESTA)Datos_consumo_datadis'!A14614&lt;&gt;"""",SPLIT('(INGESTA)Datos_consumo_datadis'!A:A,"",""),"""")"),"ES0031408323131005HX0F")</f>
        <v>ES0031408323131005HX0F</v>
      </c>
      <c r="B14614" s="12">
        <f>IFERROR(__xludf.DUMMYFUNCTION("""COMPUTED_VALUE"""),45474.0)</f>
        <v>45474</v>
      </c>
      <c r="C14614" s="13">
        <f>IFERROR(__xludf.DUMMYFUNCTION("""COMPUTED_VALUE"""),0.9166666666666666)</f>
        <v>0.9166666667</v>
      </c>
      <c r="D14614" s="8">
        <f>IFERROR(__xludf.DUMMYFUNCTION("""COMPUTED_VALUE"""),0.363)</f>
        <v>0.363</v>
      </c>
      <c r="E14614" s="8" t="str">
        <f>IFERROR(__xludf.DUMMYFUNCTION("""COMPUTED_VALUE"""),"Real")</f>
        <v>Real</v>
      </c>
      <c r="G14614" s="8">
        <f t="shared" si="1"/>
        <v>7</v>
      </c>
      <c r="H14614" s="14">
        <f t="shared" si="2"/>
        <v>1</v>
      </c>
      <c r="I14614" s="15">
        <f t="shared" si="3"/>
        <v>22</v>
      </c>
    </row>
    <row r="14615">
      <c r="A14615" s="8" t="str">
        <f>IFERROR(__xludf.DUMMYFUNCTION("IF('(INGESTA)Datos_consumo_datadis'!A14615&lt;&gt;"""",SPLIT('(INGESTA)Datos_consumo_datadis'!A:A,"",""),"""")"),"ES0031408323131005HX0F")</f>
        <v>ES0031408323131005HX0F</v>
      </c>
      <c r="B14615" s="12">
        <f>IFERROR(__xludf.DUMMYFUNCTION("""COMPUTED_VALUE"""),45474.0)</f>
        <v>45474</v>
      </c>
      <c r="C14615" s="13">
        <f>IFERROR(__xludf.DUMMYFUNCTION("""COMPUTED_VALUE"""),0.9583333333333334)</f>
        <v>0.9583333333</v>
      </c>
      <c r="D14615" s="8">
        <f>IFERROR(__xludf.DUMMYFUNCTION("""COMPUTED_VALUE"""),0.032)</f>
        <v>0.032</v>
      </c>
      <c r="E14615" s="8" t="str">
        <f>IFERROR(__xludf.DUMMYFUNCTION("""COMPUTED_VALUE"""),"Real")</f>
        <v>Real</v>
      </c>
      <c r="G14615" s="8">
        <f t="shared" si="1"/>
        <v>7</v>
      </c>
      <c r="H14615" s="14">
        <f t="shared" si="2"/>
        <v>1</v>
      </c>
      <c r="I14615" s="15">
        <f t="shared" si="3"/>
        <v>23</v>
      </c>
    </row>
    <row r="14616">
      <c r="A14616" s="8" t="str">
        <f>IFERROR(__xludf.DUMMYFUNCTION("IF('(INGESTA)Datos_consumo_datadis'!A14616&lt;&gt;"""",SPLIT('(INGESTA)Datos_consumo_datadis'!A:A,"",""),"""")"),"ES0031408323131005HX0F")</f>
        <v>ES0031408323131005HX0F</v>
      </c>
      <c r="B14616" s="12">
        <f>IFERROR(__xludf.DUMMYFUNCTION("""COMPUTED_VALUE"""),45474.0)</f>
        <v>45474</v>
      </c>
      <c r="C14616" s="16">
        <f>IFERROR(__xludf.DUMMYFUNCTION("""COMPUTED_VALUE"""),1.0)</f>
        <v>1</v>
      </c>
      <c r="D14616" s="8">
        <f>IFERROR(__xludf.DUMMYFUNCTION("""COMPUTED_VALUE"""),0.053)</f>
        <v>0.053</v>
      </c>
      <c r="E14616" s="8" t="str">
        <f>IFERROR(__xludf.DUMMYFUNCTION("""COMPUTED_VALUE"""),"Real")</f>
        <v>Real</v>
      </c>
      <c r="G14616" s="8">
        <f t="shared" si="1"/>
        <v>7</v>
      </c>
      <c r="H14616" s="14">
        <f t="shared" si="2"/>
        <v>1</v>
      </c>
      <c r="I14616" s="15">
        <f t="shared" si="3"/>
        <v>0</v>
      </c>
    </row>
    <row r="14617">
      <c r="A14617" s="8" t="str">
        <f>IFERROR(__xludf.DUMMYFUNCTION("IF('(INGESTA)Datos_consumo_datadis'!A14617&lt;&gt;"""",SPLIT('(INGESTA)Datos_consumo_datadis'!A:A,"",""),"""")"),"ES0031408323131005HX0F")</f>
        <v>ES0031408323131005HX0F</v>
      </c>
      <c r="B14617" s="12">
        <f>IFERROR(__xludf.DUMMYFUNCTION("""COMPUTED_VALUE"""),45475.0)</f>
        <v>45475</v>
      </c>
      <c r="C14617" s="13">
        <f>IFERROR(__xludf.DUMMYFUNCTION("""COMPUTED_VALUE"""),0.041666666666666664)</f>
        <v>0.04166666667</v>
      </c>
      <c r="D14617" s="8">
        <f>IFERROR(__xludf.DUMMYFUNCTION("""COMPUTED_VALUE"""),0.114)</f>
        <v>0.114</v>
      </c>
      <c r="E14617" s="8" t="str">
        <f>IFERROR(__xludf.DUMMYFUNCTION("""COMPUTED_VALUE"""),"Real")</f>
        <v>Real</v>
      </c>
      <c r="G14617" s="8">
        <f t="shared" si="1"/>
        <v>7</v>
      </c>
      <c r="H14617" s="14">
        <f t="shared" si="2"/>
        <v>2</v>
      </c>
      <c r="I14617" s="15">
        <f t="shared" si="3"/>
        <v>1</v>
      </c>
    </row>
    <row r="14618">
      <c r="A14618" s="8" t="str">
        <f>IFERROR(__xludf.DUMMYFUNCTION("IF('(INGESTA)Datos_consumo_datadis'!A14618&lt;&gt;"""",SPLIT('(INGESTA)Datos_consumo_datadis'!A:A,"",""),"""")"),"ES0031408323131005HX0F")</f>
        <v>ES0031408323131005HX0F</v>
      </c>
      <c r="B14618" s="12">
        <f>IFERROR(__xludf.DUMMYFUNCTION("""COMPUTED_VALUE"""),45475.0)</f>
        <v>45475</v>
      </c>
      <c r="C14618" s="13">
        <f>IFERROR(__xludf.DUMMYFUNCTION("""COMPUTED_VALUE"""),0.08333333333333333)</f>
        <v>0.08333333333</v>
      </c>
      <c r="D14618" s="8">
        <f>IFERROR(__xludf.DUMMYFUNCTION("""COMPUTED_VALUE"""),0.057)</f>
        <v>0.057</v>
      </c>
      <c r="E14618" s="8" t="str">
        <f>IFERROR(__xludf.DUMMYFUNCTION("""COMPUTED_VALUE"""),"Real")</f>
        <v>Real</v>
      </c>
      <c r="G14618" s="8">
        <f t="shared" si="1"/>
        <v>7</v>
      </c>
      <c r="H14618" s="14">
        <f t="shared" si="2"/>
        <v>2</v>
      </c>
      <c r="I14618" s="15">
        <f t="shared" si="3"/>
        <v>2</v>
      </c>
    </row>
    <row r="14619">
      <c r="A14619" s="8" t="str">
        <f>IFERROR(__xludf.DUMMYFUNCTION("IF('(INGESTA)Datos_consumo_datadis'!A14619&lt;&gt;"""",SPLIT('(INGESTA)Datos_consumo_datadis'!A:A,"",""),"""")"),"ES0031408323131005HX0F")</f>
        <v>ES0031408323131005HX0F</v>
      </c>
      <c r="B14619" s="12">
        <f>IFERROR(__xludf.DUMMYFUNCTION("""COMPUTED_VALUE"""),45475.0)</f>
        <v>45475</v>
      </c>
      <c r="C14619" s="13">
        <f>IFERROR(__xludf.DUMMYFUNCTION("""COMPUTED_VALUE"""),0.125)</f>
        <v>0.125</v>
      </c>
      <c r="D14619" s="8">
        <f>IFERROR(__xludf.DUMMYFUNCTION("""COMPUTED_VALUE"""),0.065)</f>
        <v>0.065</v>
      </c>
      <c r="E14619" s="8" t="str">
        <f>IFERROR(__xludf.DUMMYFUNCTION("""COMPUTED_VALUE"""),"Real")</f>
        <v>Real</v>
      </c>
      <c r="G14619" s="8">
        <f t="shared" si="1"/>
        <v>7</v>
      </c>
      <c r="H14619" s="14">
        <f t="shared" si="2"/>
        <v>2</v>
      </c>
      <c r="I14619" s="15">
        <f t="shared" si="3"/>
        <v>3</v>
      </c>
    </row>
    <row r="14620">
      <c r="A14620" s="8" t="str">
        <f>IFERROR(__xludf.DUMMYFUNCTION("IF('(INGESTA)Datos_consumo_datadis'!A14620&lt;&gt;"""",SPLIT('(INGESTA)Datos_consumo_datadis'!A:A,"",""),"""")"),"ES0031408323131005HX0F")</f>
        <v>ES0031408323131005HX0F</v>
      </c>
      <c r="B14620" s="12">
        <f>IFERROR(__xludf.DUMMYFUNCTION("""COMPUTED_VALUE"""),45475.0)</f>
        <v>45475</v>
      </c>
      <c r="C14620" s="13">
        <f>IFERROR(__xludf.DUMMYFUNCTION("""COMPUTED_VALUE"""),0.16666666666666666)</f>
        <v>0.1666666667</v>
      </c>
      <c r="D14620" s="8">
        <f>IFERROR(__xludf.DUMMYFUNCTION("""COMPUTED_VALUE"""),0.015)</f>
        <v>0.015</v>
      </c>
      <c r="E14620" s="8" t="str">
        <f>IFERROR(__xludf.DUMMYFUNCTION("""COMPUTED_VALUE"""),"Real")</f>
        <v>Real</v>
      </c>
      <c r="G14620" s="8">
        <f t="shared" si="1"/>
        <v>7</v>
      </c>
      <c r="H14620" s="14">
        <f t="shared" si="2"/>
        <v>2</v>
      </c>
      <c r="I14620" s="15">
        <f t="shared" si="3"/>
        <v>4</v>
      </c>
    </row>
    <row r="14621">
      <c r="A14621" s="8" t="str">
        <f>IFERROR(__xludf.DUMMYFUNCTION("IF('(INGESTA)Datos_consumo_datadis'!A14621&lt;&gt;"""",SPLIT('(INGESTA)Datos_consumo_datadis'!A:A,"",""),"""")"),"ES0031408323131005HX0F")</f>
        <v>ES0031408323131005HX0F</v>
      </c>
      <c r="B14621" s="12">
        <f>IFERROR(__xludf.DUMMYFUNCTION("""COMPUTED_VALUE"""),45475.0)</f>
        <v>45475</v>
      </c>
      <c r="C14621" s="13">
        <f>IFERROR(__xludf.DUMMYFUNCTION("""COMPUTED_VALUE"""),0.20833333333333334)</f>
        <v>0.2083333333</v>
      </c>
      <c r="D14621" s="8">
        <f>IFERROR(__xludf.DUMMYFUNCTION("""COMPUTED_VALUE"""),0.106)</f>
        <v>0.106</v>
      </c>
      <c r="E14621" s="8" t="str">
        <f>IFERROR(__xludf.DUMMYFUNCTION("""COMPUTED_VALUE"""),"Real")</f>
        <v>Real</v>
      </c>
      <c r="G14621" s="8">
        <f t="shared" si="1"/>
        <v>7</v>
      </c>
      <c r="H14621" s="14">
        <f t="shared" si="2"/>
        <v>2</v>
      </c>
      <c r="I14621" s="15">
        <f t="shared" si="3"/>
        <v>5</v>
      </c>
    </row>
    <row r="14622">
      <c r="A14622" s="8" t="str">
        <f>IFERROR(__xludf.DUMMYFUNCTION("IF('(INGESTA)Datos_consumo_datadis'!A14622&lt;&gt;"""",SPLIT('(INGESTA)Datos_consumo_datadis'!A:A,"",""),"""")"),"ES0031408323131005HX0F")</f>
        <v>ES0031408323131005HX0F</v>
      </c>
      <c r="B14622" s="12">
        <f>IFERROR(__xludf.DUMMYFUNCTION("""COMPUTED_VALUE"""),45475.0)</f>
        <v>45475</v>
      </c>
      <c r="C14622" s="13">
        <f>IFERROR(__xludf.DUMMYFUNCTION("""COMPUTED_VALUE"""),0.25)</f>
        <v>0.25</v>
      </c>
      <c r="D14622" s="8">
        <f>IFERROR(__xludf.DUMMYFUNCTION("""COMPUTED_VALUE"""),0.369)</f>
        <v>0.369</v>
      </c>
      <c r="E14622" s="8" t="str">
        <f>IFERROR(__xludf.DUMMYFUNCTION("""COMPUTED_VALUE"""),"Real")</f>
        <v>Real</v>
      </c>
      <c r="G14622" s="8">
        <f t="shared" si="1"/>
        <v>7</v>
      </c>
      <c r="H14622" s="14">
        <f t="shared" si="2"/>
        <v>2</v>
      </c>
      <c r="I14622" s="15">
        <f t="shared" si="3"/>
        <v>6</v>
      </c>
    </row>
    <row r="14623">
      <c r="A14623" s="8" t="str">
        <f>IFERROR(__xludf.DUMMYFUNCTION("IF('(INGESTA)Datos_consumo_datadis'!A14623&lt;&gt;"""",SPLIT('(INGESTA)Datos_consumo_datadis'!A:A,"",""),"""")"),"ES0031408323131005HX0F")</f>
        <v>ES0031408323131005HX0F</v>
      </c>
      <c r="B14623" s="12">
        <f>IFERROR(__xludf.DUMMYFUNCTION("""COMPUTED_VALUE"""),45475.0)</f>
        <v>45475</v>
      </c>
      <c r="C14623" s="13">
        <f>IFERROR(__xludf.DUMMYFUNCTION("""COMPUTED_VALUE"""),0.2916666666666667)</f>
        <v>0.2916666667</v>
      </c>
      <c r="D14623" s="8">
        <f>IFERROR(__xludf.DUMMYFUNCTION("""COMPUTED_VALUE"""),0.077)</f>
        <v>0.077</v>
      </c>
      <c r="E14623" s="8" t="str">
        <f>IFERROR(__xludf.DUMMYFUNCTION("""COMPUTED_VALUE"""),"Real")</f>
        <v>Real</v>
      </c>
      <c r="G14623" s="8">
        <f t="shared" si="1"/>
        <v>7</v>
      </c>
      <c r="H14623" s="14">
        <f t="shared" si="2"/>
        <v>2</v>
      </c>
      <c r="I14623" s="15">
        <f t="shared" si="3"/>
        <v>7</v>
      </c>
    </row>
    <row r="14624">
      <c r="A14624" s="8" t="str">
        <f>IFERROR(__xludf.DUMMYFUNCTION("IF('(INGESTA)Datos_consumo_datadis'!A14624&lt;&gt;"""",SPLIT('(INGESTA)Datos_consumo_datadis'!A:A,"",""),"""")"),"ES0031408323131005HX0F")</f>
        <v>ES0031408323131005HX0F</v>
      </c>
      <c r="B14624" s="12">
        <f>IFERROR(__xludf.DUMMYFUNCTION("""COMPUTED_VALUE"""),45475.0)</f>
        <v>45475</v>
      </c>
      <c r="C14624" s="13">
        <f>IFERROR(__xludf.DUMMYFUNCTION("""COMPUTED_VALUE"""),0.3333333333333333)</f>
        <v>0.3333333333</v>
      </c>
      <c r="D14624" s="8">
        <f>IFERROR(__xludf.DUMMYFUNCTION("""COMPUTED_VALUE"""),0.024)</f>
        <v>0.024</v>
      </c>
      <c r="E14624" s="8" t="str">
        <f>IFERROR(__xludf.DUMMYFUNCTION("""COMPUTED_VALUE"""),"Real")</f>
        <v>Real</v>
      </c>
      <c r="G14624" s="8">
        <f t="shared" si="1"/>
        <v>7</v>
      </c>
      <c r="H14624" s="14">
        <f t="shared" si="2"/>
        <v>2</v>
      </c>
      <c r="I14624" s="15">
        <f t="shared" si="3"/>
        <v>8</v>
      </c>
    </row>
    <row r="14625">
      <c r="A14625" s="8" t="str">
        <f>IFERROR(__xludf.DUMMYFUNCTION("IF('(INGESTA)Datos_consumo_datadis'!A14625&lt;&gt;"""",SPLIT('(INGESTA)Datos_consumo_datadis'!A:A,"",""),"""")"),"ES0031408323131005HX0F")</f>
        <v>ES0031408323131005HX0F</v>
      </c>
      <c r="B14625" s="12">
        <f>IFERROR(__xludf.DUMMYFUNCTION("""COMPUTED_VALUE"""),45475.0)</f>
        <v>45475</v>
      </c>
      <c r="C14625" s="13">
        <f>IFERROR(__xludf.DUMMYFUNCTION("""COMPUTED_VALUE"""),0.375)</f>
        <v>0.375</v>
      </c>
      <c r="D14625" s="8">
        <f>IFERROR(__xludf.DUMMYFUNCTION("""COMPUTED_VALUE"""),0.053)</f>
        <v>0.053</v>
      </c>
      <c r="E14625" s="8" t="str">
        <f>IFERROR(__xludf.DUMMYFUNCTION("""COMPUTED_VALUE"""),"Real")</f>
        <v>Real</v>
      </c>
      <c r="G14625" s="8">
        <f t="shared" si="1"/>
        <v>7</v>
      </c>
      <c r="H14625" s="14">
        <f t="shared" si="2"/>
        <v>2</v>
      </c>
      <c r="I14625" s="15">
        <f t="shared" si="3"/>
        <v>9</v>
      </c>
    </row>
    <row r="14626">
      <c r="A14626" s="8" t="str">
        <f>IFERROR(__xludf.DUMMYFUNCTION("IF('(INGESTA)Datos_consumo_datadis'!A14626&lt;&gt;"""",SPLIT('(INGESTA)Datos_consumo_datadis'!A:A,"",""),"""")"),"ES0031408323131005HX0F")</f>
        <v>ES0031408323131005HX0F</v>
      </c>
      <c r="B14626" s="12">
        <f>IFERROR(__xludf.DUMMYFUNCTION("""COMPUTED_VALUE"""),45475.0)</f>
        <v>45475</v>
      </c>
      <c r="C14626" s="13">
        <f>IFERROR(__xludf.DUMMYFUNCTION("""COMPUTED_VALUE"""),0.4166666666666667)</f>
        <v>0.4166666667</v>
      </c>
      <c r="D14626" s="8">
        <f>IFERROR(__xludf.DUMMYFUNCTION("""COMPUTED_VALUE"""),0.109)</f>
        <v>0.109</v>
      </c>
      <c r="E14626" s="8" t="str">
        <f>IFERROR(__xludf.DUMMYFUNCTION("""COMPUTED_VALUE"""),"Real")</f>
        <v>Real</v>
      </c>
      <c r="G14626" s="8">
        <f t="shared" si="1"/>
        <v>7</v>
      </c>
      <c r="H14626" s="14">
        <f t="shared" si="2"/>
        <v>2</v>
      </c>
      <c r="I14626" s="15">
        <f t="shared" si="3"/>
        <v>10</v>
      </c>
    </row>
    <row r="14627">
      <c r="A14627" s="8" t="str">
        <f>IFERROR(__xludf.DUMMYFUNCTION("IF('(INGESTA)Datos_consumo_datadis'!A14627&lt;&gt;"""",SPLIT('(INGESTA)Datos_consumo_datadis'!A:A,"",""),"""")"),"ES0031408323131005HX0F")</f>
        <v>ES0031408323131005HX0F</v>
      </c>
      <c r="B14627" s="12">
        <f>IFERROR(__xludf.DUMMYFUNCTION("""COMPUTED_VALUE"""),45475.0)</f>
        <v>45475</v>
      </c>
      <c r="C14627" s="13">
        <f>IFERROR(__xludf.DUMMYFUNCTION("""COMPUTED_VALUE"""),0.4583333333333333)</f>
        <v>0.4583333333</v>
      </c>
      <c r="D14627" s="8">
        <f>IFERROR(__xludf.DUMMYFUNCTION("""COMPUTED_VALUE"""),0.055)</f>
        <v>0.055</v>
      </c>
      <c r="E14627" s="8" t="str">
        <f>IFERROR(__xludf.DUMMYFUNCTION("""COMPUTED_VALUE"""),"Real")</f>
        <v>Real</v>
      </c>
      <c r="G14627" s="8">
        <f t="shared" si="1"/>
        <v>7</v>
      </c>
      <c r="H14627" s="14">
        <f t="shared" si="2"/>
        <v>2</v>
      </c>
      <c r="I14627" s="15">
        <f t="shared" si="3"/>
        <v>11</v>
      </c>
    </row>
    <row r="14628">
      <c r="A14628" s="8" t="str">
        <f>IFERROR(__xludf.DUMMYFUNCTION("IF('(INGESTA)Datos_consumo_datadis'!A14628&lt;&gt;"""",SPLIT('(INGESTA)Datos_consumo_datadis'!A:A,"",""),"""")"),"ES0031408323131005HX0F")</f>
        <v>ES0031408323131005HX0F</v>
      </c>
      <c r="B14628" s="12">
        <f>IFERROR(__xludf.DUMMYFUNCTION("""COMPUTED_VALUE"""),45475.0)</f>
        <v>45475</v>
      </c>
      <c r="C14628" s="13">
        <f>IFERROR(__xludf.DUMMYFUNCTION("""COMPUTED_VALUE"""),0.5)</f>
        <v>0.5</v>
      </c>
      <c r="D14628" s="8">
        <f>IFERROR(__xludf.DUMMYFUNCTION("""COMPUTED_VALUE"""),0.054)</f>
        <v>0.054</v>
      </c>
      <c r="E14628" s="8" t="str">
        <f>IFERROR(__xludf.DUMMYFUNCTION("""COMPUTED_VALUE"""),"Real")</f>
        <v>Real</v>
      </c>
      <c r="G14628" s="8">
        <f t="shared" si="1"/>
        <v>7</v>
      </c>
      <c r="H14628" s="14">
        <f t="shared" si="2"/>
        <v>2</v>
      </c>
      <c r="I14628" s="15">
        <f t="shared" si="3"/>
        <v>12</v>
      </c>
    </row>
    <row r="14629">
      <c r="A14629" s="8" t="str">
        <f>IFERROR(__xludf.DUMMYFUNCTION("IF('(INGESTA)Datos_consumo_datadis'!A14629&lt;&gt;"""",SPLIT('(INGESTA)Datos_consumo_datadis'!A:A,"",""),"""")"),"ES0031408323131005HX0F")</f>
        <v>ES0031408323131005HX0F</v>
      </c>
      <c r="B14629" s="12">
        <f>IFERROR(__xludf.DUMMYFUNCTION("""COMPUTED_VALUE"""),45475.0)</f>
        <v>45475</v>
      </c>
      <c r="C14629" s="13">
        <f>IFERROR(__xludf.DUMMYFUNCTION("""COMPUTED_VALUE"""),0.5416666666666666)</f>
        <v>0.5416666667</v>
      </c>
      <c r="D14629" s="8">
        <f>IFERROR(__xludf.DUMMYFUNCTION("""COMPUTED_VALUE"""),0.036)</f>
        <v>0.036</v>
      </c>
      <c r="E14629" s="8" t="str">
        <f>IFERROR(__xludf.DUMMYFUNCTION("""COMPUTED_VALUE"""),"Real")</f>
        <v>Real</v>
      </c>
      <c r="G14629" s="8">
        <f t="shared" si="1"/>
        <v>7</v>
      </c>
      <c r="H14629" s="14">
        <f t="shared" si="2"/>
        <v>2</v>
      </c>
      <c r="I14629" s="15">
        <f t="shared" si="3"/>
        <v>13</v>
      </c>
    </row>
    <row r="14630">
      <c r="A14630" s="8" t="str">
        <f>IFERROR(__xludf.DUMMYFUNCTION("IF('(INGESTA)Datos_consumo_datadis'!A14630&lt;&gt;"""",SPLIT('(INGESTA)Datos_consumo_datadis'!A:A,"",""),"""")"),"ES0031408323131005HX0F")</f>
        <v>ES0031408323131005HX0F</v>
      </c>
      <c r="B14630" s="12">
        <f>IFERROR(__xludf.DUMMYFUNCTION("""COMPUTED_VALUE"""),45475.0)</f>
        <v>45475</v>
      </c>
      <c r="C14630" s="13">
        <f>IFERROR(__xludf.DUMMYFUNCTION("""COMPUTED_VALUE"""),0.5833333333333334)</f>
        <v>0.5833333333</v>
      </c>
      <c r="D14630" s="8">
        <f>IFERROR(__xludf.DUMMYFUNCTION("""COMPUTED_VALUE"""),0.39)</f>
        <v>0.39</v>
      </c>
      <c r="E14630" s="8" t="str">
        <f>IFERROR(__xludf.DUMMYFUNCTION("""COMPUTED_VALUE"""),"Real")</f>
        <v>Real</v>
      </c>
      <c r="G14630" s="8">
        <f t="shared" si="1"/>
        <v>7</v>
      </c>
      <c r="H14630" s="14">
        <f t="shared" si="2"/>
        <v>2</v>
      </c>
      <c r="I14630" s="15">
        <f t="shared" si="3"/>
        <v>14</v>
      </c>
    </row>
    <row r="14631">
      <c r="A14631" s="8" t="str">
        <f>IFERROR(__xludf.DUMMYFUNCTION("IF('(INGESTA)Datos_consumo_datadis'!A14631&lt;&gt;"""",SPLIT('(INGESTA)Datos_consumo_datadis'!A:A,"",""),"""")"),"ES0031408323131005HX0F")</f>
        <v>ES0031408323131005HX0F</v>
      </c>
      <c r="B14631" s="12">
        <f>IFERROR(__xludf.DUMMYFUNCTION("""COMPUTED_VALUE"""),45475.0)</f>
        <v>45475</v>
      </c>
      <c r="C14631" s="13">
        <f>IFERROR(__xludf.DUMMYFUNCTION("""COMPUTED_VALUE"""),0.625)</f>
        <v>0.625</v>
      </c>
      <c r="D14631" s="8">
        <f>IFERROR(__xludf.DUMMYFUNCTION("""COMPUTED_VALUE"""),0.069)</f>
        <v>0.069</v>
      </c>
      <c r="E14631" s="8" t="str">
        <f>IFERROR(__xludf.DUMMYFUNCTION("""COMPUTED_VALUE"""),"Real")</f>
        <v>Real</v>
      </c>
      <c r="G14631" s="8">
        <f t="shared" si="1"/>
        <v>7</v>
      </c>
      <c r="H14631" s="14">
        <f t="shared" si="2"/>
        <v>2</v>
      </c>
      <c r="I14631" s="15">
        <f t="shared" si="3"/>
        <v>15</v>
      </c>
    </row>
    <row r="14632">
      <c r="A14632" s="8" t="str">
        <f>IFERROR(__xludf.DUMMYFUNCTION("IF('(INGESTA)Datos_consumo_datadis'!A14632&lt;&gt;"""",SPLIT('(INGESTA)Datos_consumo_datadis'!A:A,"",""),"""")"),"ES0031408323131005HX0F")</f>
        <v>ES0031408323131005HX0F</v>
      </c>
      <c r="B14632" s="12">
        <f>IFERROR(__xludf.DUMMYFUNCTION("""COMPUTED_VALUE"""),45475.0)</f>
        <v>45475</v>
      </c>
      <c r="C14632" s="13">
        <f>IFERROR(__xludf.DUMMYFUNCTION("""COMPUTED_VALUE"""),0.6666666666666666)</f>
        <v>0.6666666667</v>
      </c>
      <c r="D14632" s="8">
        <f>IFERROR(__xludf.DUMMYFUNCTION("""COMPUTED_VALUE"""),0.065)</f>
        <v>0.065</v>
      </c>
      <c r="E14632" s="8" t="str">
        <f>IFERROR(__xludf.DUMMYFUNCTION("""COMPUTED_VALUE"""),"Real")</f>
        <v>Real</v>
      </c>
      <c r="G14632" s="8">
        <f t="shared" si="1"/>
        <v>7</v>
      </c>
      <c r="H14632" s="14">
        <f t="shared" si="2"/>
        <v>2</v>
      </c>
      <c r="I14632" s="15">
        <f t="shared" si="3"/>
        <v>16</v>
      </c>
    </row>
    <row r="14633">
      <c r="A14633" s="8" t="str">
        <f>IFERROR(__xludf.DUMMYFUNCTION("IF('(INGESTA)Datos_consumo_datadis'!A14633&lt;&gt;"""",SPLIT('(INGESTA)Datos_consumo_datadis'!A:A,"",""),"""")"),"ES0031408323131005HX0F")</f>
        <v>ES0031408323131005HX0F</v>
      </c>
      <c r="B14633" s="12">
        <f>IFERROR(__xludf.DUMMYFUNCTION("""COMPUTED_VALUE"""),45475.0)</f>
        <v>45475</v>
      </c>
      <c r="C14633" s="13">
        <f>IFERROR(__xludf.DUMMYFUNCTION("""COMPUTED_VALUE"""),0.7083333333333334)</f>
        <v>0.7083333333</v>
      </c>
      <c r="D14633" s="8">
        <f>IFERROR(__xludf.DUMMYFUNCTION("""COMPUTED_VALUE"""),0.015)</f>
        <v>0.015</v>
      </c>
      <c r="E14633" s="8" t="str">
        <f>IFERROR(__xludf.DUMMYFUNCTION("""COMPUTED_VALUE"""),"Real")</f>
        <v>Real</v>
      </c>
      <c r="G14633" s="8">
        <f t="shared" si="1"/>
        <v>7</v>
      </c>
      <c r="H14633" s="14">
        <f t="shared" si="2"/>
        <v>2</v>
      </c>
      <c r="I14633" s="15">
        <f t="shared" si="3"/>
        <v>17</v>
      </c>
    </row>
    <row r="14634">
      <c r="A14634" s="8" t="str">
        <f>IFERROR(__xludf.DUMMYFUNCTION("IF('(INGESTA)Datos_consumo_datadis'!A14634&lt;&gt;"""",SPLIT('(INGESTA)Datos_consumo_datadis'!A:A,"",""),"""")"),"ES0031408323131005HX0F")</f>
        <v>ES0031408323131005HX0F</v>
      </c>
      <c r="B14634" s="12">
        <f>IFERROR(__xludf.DUMMYFUNCTION("""COMPUTED_VALUE"""),45475.0)</f>
        <v>45475</v>
      </c>
      <c r="C14634" s="13">
        <f>IFERROR(__xludf.DUMMYFUNCTION("""COMPUTED_VALUE"""),0.75)</f>
        <v>0.75</v>
      </c>
      <c r="D14634" s="8">
        <f>IFERROR(__xludf.DUMMYFUNCTION("""COMPUTED_VALUE"""),0.088)</f>
        <v>0.088</v>
      </c>
      <c r="E14634" s="8" t="str">
        <f>IFERROR(__xludf.DUMMYFUNCTION("""COMPUTED_VALUE"""),"Real")</f>
        <v>Real</v>
      </c>
      <c r="G14634" s="8">
        <f t="shared" si="1"/>
        <v>7</v>
      </c>
      <c r="H14634" s="14">
        <f t="shared" si="2"/>
        <v>2</v>
      </c>
      <c r="I14634" s="15">
        <f t="shared" si="3"/>
        <v>18</v>
      </c>
    </row>
    <row r="14635">
      <c r="A14635" s="8" t="str">
        <f>IFERROR(__xludf.DUMMYFUNCTION("IF('(INGESTA)Datos_consumo_datadis'!A14635&lt;&gt;"""",SPLIT('(INGESTA)Datos_consumo_datadis'!A:A,"",""),"""")"),"ES0031408323131005HX0F")</f>
        <v>ES0031408323131005HX0F</v>
      </c>
      <c r="B14635" s="12">
        <f>IFERROR(__xludf.DUMMYFUNCTION("""COMPUTED_VALUE"""),45475.0)</f>
        <v>45475</v>
      </c>
      <c r="C14635" s="13">
        <f>IFERROR(__xludf.DUMMYFUNCTION("""COMPUTED_VALUE"""),0.7916666666666666)</f>
        <v>0.7916666667</v>
      </c>
      <c r="D14635" s="8">
        <f>IFERROR(__xludf.DUMMYFUNCTION("""COMPUTED_VALUE"""),0.08)</f>
        <v>0.08</v>
      </c>
      <c r="E14635" s="8" t="str">
        <f>IFERROR(__xludf.DUMMYFUNCTION("""COMPUTED_VALUE"""),"Real")</f>
        <v>Real</v>
      </c>
      <c r="G14635" s="8">
        <f t="shared" si="1"/>
        <v>7</v>
      </c>
      <c r="H14635" s="14">
        <f t="shared" si="2"/>
        <v>2</v>
      </c>
      <c r="I14635" s="15">
        <f t="shared" si="3"/>
        <v>19</v>
      </c>
    </row>
    <row r="14636">
      <c r="A14636" s="8" t="str">
        <f>IFERROR(__xludf.DUMMYFUNCTION("IF('(INGESTA)Datos_consumo_datadis'!A14636&lt;&gt;"""",SPLIT('(INGESTA)Datos_consumo_datadis'!A:A,"",""),"""")"),"ES0031408323131005HX0F")</f>
        <v>ES0031408323131005HX0F</v>
      </c>
      <c r="B14636" s="12">
        <f>IFERROR(__xludf.DUMMYFUNCTION("""COMPUTED_VALUE"""),45475.0)</f>
        <v>45475</v>
      </c>
      <c r="C14636" s="13">
        <f>IFERROR(__xludf.DUMMYFUNCTION("""COMPUTED_VALUE"""),0.8333333333333334)</f>
        <v>0.8333333333</v>
      </c>
      <c r="D14636" s="8">
        <f>IFERROR(__xludf.DUMMYFUNCTION("""COMPUTED_VALUE"""),0.078)</f>
        <v>0.078</v>
      </c>
      <c r="E14636" s="8" t="str">
        <f>IFERROR(__xludf.DUMMYFUNCTION("""COMPUTED_VALUE"""),"Real")</f>
        <v>Real</v>
      </c>
      <c r="G14636" s="8">
        <f t="shared" si="1"/>
        <v>7</v>
      </c>
      <c r="H14636" s="14">
        <f t="shared" si="2"/>
        <v>2</v>
      </c>
      <c r="I14636" s="15">
        <f t="shared" si="3"/>
        <v>20</v>
      </c>
    </row>
    <row r="14637">
      <c r="A14637" s="8" t="str">
        <f>IFERROR(__xludf.DUMMYFUNCTION("IF('(INGESTA)Datos_consumo_datadis'!A14637&lt;&gt;"""",SPLIT('(INGESTA)Datos_consumo_datadis'!A:A,"",""),"""")"),"ES0031408323131005HX0F")</f>
        <v>ES0031408323131005HX0F</v>
      </c>
      <c r="B14637" s="12">
        <f>IFERROR(__xludf.DUMMYFUNCTION("""COMPUTED_VALUE"""),45475.0)</f>
        <v>45475</v>
      </c>
      <c r="C14637" s="13">
        <f>IFERROR(__xludf.DUMMYFUNCTION("""COMPUTED_VALUE"""),0.875)</f>
        <v>0.875</v>
      </c>
      <c r="D14637" s="8">
        <f>IFERROR(__xludf.DUMMYFUNCTION("""COMPUTED_VALUE"""),0.326)</f>
        <v>0.326</v>
      </c>
      <c r="E14637" s="8" t="str">
        <f>IFERROR(__xludf.DUMMYFUNCTION("""COMPUTED_VALUE"""),"Real")</f>
        <v>Real</v>
      </c>
      <c r="G14637" s="8">
        <f t="shared" si="1"/>
        <v>7</v>
      </c>
      <c r="H14637" s="14">
        <f t="shared" si="2"/>
        <v>2</v>
      </c>
      <c r="I14637" s="15">
        <f t="shared" si="3"/>
        <v>21</v>
      </c>
    </row>
    <row r="14638">
      <c r="A14638" s="8" t="str">
        <f>IFERROR(__xludf.DUMMYFUNCTION("IF('(INGESTA)Datos_consumo_datadis'!A14638&lt;&gt;"""",SPLIT('(INGESTA)Datos_consumo_datadis'!A:A,"",""),"""")"),"ES0031408323131005HX0F")</f>
        <v>ES0031408323131005HX0F</v>
      </c>
      <c r="B14638" s="12">
        <f>IFERROR(__xludf.DUMMYFUNCTION("""COMPUTED_VALUE"""),45475.0)</f>
        <v>45475</v>
      </c>
      <c r="C14638" s="13">
        <f>IFERROR(__xludf.DUMMYFUNCTION("""COMPUTED_VALUE"""),0.9166666666666666)</f>
        <v>0.9166666667</v>
      </c>
      <c r="D14638" s="8">
        <f>IFERROR(__xludf.DUMMYFUNCTION("""COMPUTED_VALUE"""),0.04)</f>
        <v>0.04</v>
      </c>
      <c r="E14638" s="8" t="str">
        <f>IFERROR(__xludf.DUMMYFUNCTION("""COMPUTED_VALUE"""),"Real")</f>
        <v>Real</v>
      </c>
      <c r="G14638" s="8">
        <f t="shared" si="1"/>
        <v>7</v>
      </c>
      <c r="H14638" s="14">
        <f t="shared" si="2"/>
        <v>2</v>
      </c>
      <c r="I14638" s="15">
        <f t="shared" si="3"/>
        <v>22</v>
      </c>
    </row>
    <row r="14639">
      <c r="A14639" s="8" t="str">
        <f>IFERROR(__xludf.DUMMYFUNCTION("IF('(INGESTA)Datos_consumo_datadis'!A14639&lt;&gt;"""",SPLIT('(INGESTA)Datos_consumo_datadis'!A:A,"",""),"""")"),"ES0031408323131005HX0F")</f>
        <v>ES0031408323131005HX0F</v>
      </c>
      <c r="B14639" s="12">
        <f>IFERROR(__xludf.DUMMYFUNCTION("""COMPUTED_VALUE"""),45475.0)</f>
        <v>45475</v>
      </c>
      <c r="C14639" s="13">
        <f>IFERROR(__xludf.DUMMYFUNCTION("""COMPUTED_VALUE"""),0.9583333333333334)</f>
        <v>0.9583333333</v>
      </c>
      <c r="D14639" s="8">
        <f>IFERROR(__xludf.DUMMYFUNCTION("""COMPUTED_VALUE"""),0.117)</f>
        <v>0.117</v>
      </c>
      <c r="E14639" s="8" t="str">
        <f>IFERROR(__xludf.DUMMYFUNCTION("""COMPUTED_VALUE"""),"Real")</f>
        <v>Real</v>
      </c>
      <c r="G14639" s="8">
        <f t="shared" si="1"/>
        <v>7</v>
      </c>
      <c r="H14639" s="14">
        <f t="shared" si="2"/>
        <v>2</v>
      </c>
      <c r="I14639" s="15">
        <f t="shared" si="3"/>
        <v>23</v>
      </c>
    </row>
    <row r="14640">
      <c r="A14640" s="8" t="str">
        <f>IFERROR(__xludf.DUMMYFUNCTION("IF('(INGESTA)Datos_consumo_datadis'!A14640&lt;&gt;"""",SPLIT('(INGESTA)Datos_consumo_datadis'!A:A,"",""),"""")"),"ES0031408323131005HX0F")</f>
        <v>ES0031408323131005HX0F</v>
      </c>
      <c r="B14640" s="12">
        <f>IFERROR(__xludf.DUMMYFUNCTION("""COMPUTED_VALUE"""),45475.0)</f>
        <v>45475</v>
      </c>
      <c r="C14640" s="16">
        <f>IFERROR(__xludf.DUMMYFUNCTION("""COMPUTED_VALUE"""),1.0)</f>
        <v>1</v>
      </c>
      <c r="D14640" s="8">
        <f>IFERROR(__xludf.DUMMYFUNCTION("""COMPUTED_VALUE"""),0.061)</f>
        <v>0.061</v>
      </c>
      <c r="E14640" s="8" t="str">
        <f>IFERROR(__xludf.DUMMYFUNCTION("""COMPUTED_VALUE"""),"Real")</f>
        <v>Real</v>
      </c>
      <c r="G14640" s="8">
        <f t="shared" si="1"/>
        <v>7</v>
      </c>
      <c r="H14640" s="14">
        <f t="shared" si="2"/>
        <v>2</v>
      </c>
      <c r="I14640" s="15">
        <f t="shared" si="3"/>
        <v>0</v>
      </c>
    </row>
    <row r="14641">
      <c r="A14641" s="8" t="str">
        <f>IFERROR(__xludf.DUMMYFUNCTION("IF('(INGESTA)Datos_consumo_datadis'!A14641&lt;&gt;"""",SPLIT('(INGESTA)Datos_consumo_datadis'!A:A,"",""),"""")"),"ES0031408323131005HX0F")</f>
        <v>ES0031408323131005HX0F</v>
      </c>
      <c r="B14641" s="12">
        <f>IFERROR(__xludf.DUMMYFUNCTION("""COMPUTED_VALUE"""),45476.0)</f>
        <v>45476</v>
      </c>
      <c r="C14641" s="13">
        <f>IFERROR(__xludf.DUMMYFUNCTION("""COMPUTED_VALUE"""),0.041666666666666664)</f>
        <v>0.04166666667</v>
      </c>
      <c r="D14641" s="8">
        <f>IFERROR(__xludf.DUMMYFUNCTION("""COMPUTED_VALUE"""),0.065)</f>
        <v>0.065</v>
      </c>
      <c r="E14641" s="8" t="str">
        <f>IFERROR(__xludf.DUMMYFUNCTION("""COMPUTED_VALUE"""),"Real")</f>
        <v>Real</v>
      </c>
      <c r="G14641" s="8">
        <f t="shared" si="1"/>
        <v>7</v>
      </c>
      <c r="H14641" s="14">
        <f t="shared" si="2"/>
        <v>3</v>
      </c>
      <c r="I14641" s="15">
        <f t="shared" si="3"/>
        <v>1</v>
      </c>
    </row>
    <row r="14642">
      <c r="A14642" s="8" t="str">
        <f>IFERROR(__xludf.DUMMYFUNCTION("IF('(INGESTA)Datos_consumo_datadis'!A14642&lt;&gt;"""",SPLIT('(INGESTA)Datos_consumo_datadis'!A:A,"",""),"""")"),"ES0031408323131005HX0F")</f>
        <v>ES0031408323131005HX0F</v>
      </c>
      <c r="B14642" s="12">
        <f>IFERROR(__xludf.DUMMYFUNCTION("""COMPUTED_VALUE"""),45476.0)</f>
        <v>45476</v>
      </c>
      <c r="C14642" s="13">
        <f>IFERROR(__xludf.DUMMYFUNCTION("""COMPUTED_VALUE"""),0.08333333333333333)</f>
        <v>0.08333333333</v>
      </c>
      <c r="D14642" s="8">
        <f>IFERROR(__xludf.DUMMYFUNCTION("""COMPUTED_VALUE"""),0.015)</f>
        <v>0.015</v>
      </c>
      <c r="E14642" s="8" t="str">
        <f>IFERROR(__xludf.DUMMYFUNCTION("""COMPUTED_VALUE"""),"Real")</f>
        <v>Real</v>
      </c>
      <c r="G14642" s="8">
        <f t="shared" si="1"/>
        <v>7</v>
      </c>
      <c r="H14642" s="14">
        <f t="shared" si="2"/>
        <v>3</v>
      </c>
      <c r="I14642" s="15">
        <f t="shared" si="3"/>
        <v>2</v>
      </c>
    </row>
    <row r="14643">
      <c r="A14643" s="8" t="str">
        <f>IFERROR(__xludf.DUMMYFUNCTION("IF('(INGESTA)Datos_consumo_datadis'!A14643&lt;&gt;"""",SPLIT('(INGESTA)Datos_consumo_datadis'!A:A,"",""),"""")"),"ES0031408323131005HX0F")</f>
        <v>ES0031408323131005HX0F</v>
      </c>
      <c r="B14643" s="12">
        <f>IFERROR(__xludf.DUMMYFUNCTION("""COMPUTED_VALUE"""),45476.0)</f>
        <v>45476</v>
      </c>
      <c r="C14643" s="13">
        <f>IFERROR(__xludf.DUMMYFUNCTION("""COMPUTED_VALUE"""),0.125)</f>
        <v>0.125</v>
      </c>
      <c r="D14643" s="8">
        <f>IFERROR(__xludf.DUMMYFUNCTION("""COMPUTED_VALUE"""),0.099)</f>
        <v>0.099</v>
      </c>
      <c r="E14643" s="8" t="str">
        <f>IFERROR(__xludf.DUMMYFUNCTION("""COMPUTED_VALUE"""),"Real")</f>
        <v>Real</v>
      </c>
      <c r="G14643" s="8">
        <f t="shared" si="1"/>
        <v>7</v>
      </c>
      <c r="H14643" s="14">
        <f t="shared" si="2"/>
        <v>3</v>
      </c>
      <c r="I14643" s="15">
        <f t="shared" si="3"/>
        <v>3</v>
      </c>
    </row>
    <row r="14644">
      <c r="A14644" s="8" t="str">
        <f>IFERROR(__xludf.DUMMYFUNCTION("IF('(INGESTA)Datos_consumo_datadis'!A14644&lt;&gt;"""",SPLIT('(INGESTA)Datos_consumo_datadis'!A:A,"",""),"""")"),"ES0031408323131005HX0F")</f>
        <v>ES0031408323131005HX0F</v>
      </c>
      <c r="B14644" s="12">
        <f>IFERROR(__xludf.DUMMYFUNCTION("""COMPUTED_VALUE"""),45476.0)</f>
        <v>45476</v>
      </c>
      <c r="C14644" s="13">
        <f>IFERROR(__xludf.DUMMYFUNCTION("""COMPUTED_VALUE"""),0.16666666666666666)</f>
        <v>0.1666666667</v>
      </c>
      <c r="D14644" s="8">
        <f>IFERROR(__xludf.DUMMYFUNCTION("""COMPUTED_VALUE"""),0.08)</f>
        <v>0.08</v>
      </c>
      <c r="E14644" s="8" t="str">
        <f>IFERROR(__xludf.DUMMYFUNCTION("""COMPUTED_VALUE"""),"Real")</f>
        <v>Real</v>
      </c>
      <c r="G14644" s="8">
        <f t="shared" si="1"/>
        <v>7</v>
      </c>
      <c r="H14644" s="14">
        <f t="shared" si="2"/>
        <v>3</v>
      </c>
      <c r="I14644" s="15">
        <f t="shared" si="3"/>
        <v>4</v>
      </c>
    </row>
    <row r="14645">
      <c r="A14645" s="8" t="str">
        <f>IFERROR(__xludf.DUMMYFUNCTION("IF('(INGESTA)Datos_consumo_datadis'!A14645&lt;&gt;"""",SPLIT('(INGESTA)Datos_consumo_datadis'!A:A,"",""),"""")"),"ES0031408323131005HX0F")</f>
        <v>ES0031408323131005HX0F</v>
      </c>
      <c r="B14645" s="12">
        <f>IFERROR(__xludf.DUMMYFUNCTION("""COMPUTED_VALUE"""),45476.0)</f>
        <v>45476</v>
      </c>
      <c r="C14645" s="13">
        <f>IFERROR(__xludf.DUMMYFUNCTION("""COMPUTED_VALUE"""),0.20833333333333334)</f>
        <v>0.2083333333</v>
      </c>
      <c r="D14645" s="8">
        <f>IFERROR(__xludf.DUMMYFUNCTION("""COMPUTED_VALUE"""),0.356)</f>
        <v>0.356</v>
      </c>
      <c r="E14645" s="8" t="str">
        <f>IFERROR(__xludf.DUMMYFUNCTION("""COMPUTED_VALUE"""),"Real")</f>
        <v>Real</v>
      </c>
      <c r="G14645" s="8">
        <f t="shared" si="1"/>
        <v>7</v>
      </c>
      <c r="H14645" s="14">
        <f t="shared" si="2"/>
        <v>3</v>
      </c>
      <c r="I14645" s="15">
        <f t="shared" si="3"/>
        <v>5</v>
      </c>
    </row>
    <row r="14646">
      <c r="A14646" s="8" t="str">
        <f>IFERROR(__xludf.DUMMYFUNCTION("IF('(INGESTA)Datos_consumo_datadis'!A14646&lt;&gt;"""",SPLIT('(INGESTA)Datos_consumo_datadis'!A:A,"",""),"""")"),"ES0031408323131005HX0F")</f>
        <v>ES0031408323131005HX0F</v>
      </c>
      <c r="B14646" s="12">
        <f>IFERROR(__xludf.DUMMYFUNCTION("""COMPUTED_VALUE"""),45476.0)</f>
        <v>45476</v>
      </c>
      <c r="C14646" s="13">
        <f>IFERROR(__xludf.DUMMYFUNCTION("""COMPUTED_VALUE"""),0.25)</f>
        <v>0.25</v>
      </c>
      <c r="D14646" s="8">
        <f>IFERROR(__xludf.DUMMYFUNCTION("""COMPUTED_VALUE"""),0.026)</f>
        <v>0.026</v>
      </c>
      <c r="E14646" s="8" t="str">
        <f>IFERROR(__xludf.DUMMYFUNCTION("""COMPUTED_VALUE"""),"Real")</f>
        <v>Real</v>
      </c>
      <c r="G14646" s="8">
        <f t="shared" si="1"/>
        <v>7</v>
      </c>
      <c r="H14646" s="14">
        <f t="shared" si="2"/>
        <v>3</v>
      </c>
      <c r="I14646" s="15">
        <f t="shared" si="3"/>
        <v>6</v>
      </c>
    </row>
    <row r="14647">
      <c r="A14647" s="8" t="str">
        <f>IFERROR(__xludf.DUMMYFUNCTION("IF('(INGESTA)Datos_consumo_datadis'!A14647&lt;&gt;"""",SPLIT('(INGESTA)Datos_consumo_datadis'!A:A,"",""),"""")"),"ES0031408323131005HX0F")</f>
        <v>ES0031408323131005HX0F</v>
      </c>
      <c r="B14647" s="12">
        <f>IFERROR(__xludf.DUMMYFUNCTION("""COMPUTED_VALUE"""),45476.0)</f>
        <v>45476</v>
      </c>
      <c r="C14647" s="13">
        <f>IFERROR(__xludf.DUMMYFUNCTION("""COMPUTED_VALUE"""),0.2916666666666667)</f>
        <v>0.2916666667</v>
      </c>
      <c r="D14647" s="8">
        <f>IFERROR(__xludf.DUMMYFUNCTION("""COMPUTED_VALUE"""),0.05)</f>
        <v>0.05</v>
      </c>
      <c r="E14647" s="8" t="str">
        <f>IFERROR(__xludf.DUMMYFUNCTION("""COMPUTED_VALUE"""),"Real")</f>
        <v>Real</v>
      </c>
      <c r="G14647" s="8">
        <f t="shared" si="1"/>
        <v>7</v>
      </c>
      <c r="H14647" s="14">
        <f t="shared" si="2"/>
        <v>3</v>
      </c>
      <c r="I14647" s="15">
        <f t="shared" si="3"/>
        <v>7</v>
      </c>
    </row>
    <row r="14648">
      <c r="A14648" s="8" t="str">
        <f>IFERROR(__xludf.DUMMYFUNCTION("IF('(INGESTA)Datos_consumo_datadis'!A14648&lt;&gt;"""",SPLIT('(INGESTA)Datos_consumo_datadis'!A:A,"",""),"""")"),"ES0031408323131005HX0F")</f>
        <v>ES0031408323131005HX0F</v>
      </c>
      <c r="B14648" s="12">
        <f>IFERROR(__xludf.DUMMYFUNCTION("""COMPUTED_VALUE"""),45476.0)</f>
        <v>45476</v>
      </c>
      <c r="C14648" s="13">
        <f>IFERROR(__xludf.DUMMYFUNCTION("""COMPUTED_VALUE"""),0.3333333333333333)</f>
        <v>0.3333333333</v>
      </c>
      <c r="D14648" s="8">
        <f>IFERROR(__xludf.DUMMYFUNCTION("""COMPUTED_VALUE"""),0.111)</f>
        <v>0.111</v>
      </c>
      <c r="E14648" s="8" t="str">
        <f>IFERROR(__xludf.DUMMYFUNCTION("""COMPUTED_VALUE"""),"Real")</f>
        <v>Real</v>
      </c>
      <c r="G14648" s="8">
        <f t="shared" si="1"/>
        <v>7</v>
      </c>
      <c r="H14648" s="14">
        <f t="shared" si="2"/>
        <v>3</v>
      </c>
      <c r="I14648" s="15">
        <f t="shared" si="3"/>
        <v>8</v>
      </c>
    </row>
    <row r="14649">
      <c r="A14649" s="8" t="str">
        <f>IFERROR(__xludf.DUMMYFUNCTION("IF('(INGESTA)Datos_consumo_datadis'!A14649&lt;&gt;"""",SPLIT('(INGESTA)Datos_consumo_datadis'!A:A,"",""),"""")"),"ES0031408323131005HX0F")</f>
        <v>ES0031408323131005HX0F</v>
      </c>
      <c r="B14649" s="12">
        <f>IFERROR(__xludf.DUMMYFUNCTION("""COMPUTED_VALUE"""),45476.0)</f>
        <v>45476</v>
      </c>
      <c r="C14649" s="13">
        <f>IFERROR(__xludf.DUMMYFUNCTION("""COMPUTED_VALUE"""),0.375)</f>
        <v>0.375</v>
      </c>
      <c r="D14649" s="8">
        <f>IFERROR(__xludf.DUMMYFUNCTION("""COMPUTED_VALUE"""),0.055)</f>
        <v>0.055</v>
      </c>
      <c r="E14649" s="8" t="str">
        <f>IFERROR(__xludf.DUMMYFUNCTION("""COMPUTED_VALUE"""),"Real")</f>
        <v>Real</v>
      </c>
      <c r="G14649" s="8">
        <f t="shared" si="1"/>
        <v>7</v>
      </c>
      <c r="H14649" s="14">
        <f t="shared" si="2"/>
        <v>3</v>
      </c>
      <c r="I14649" s="15">
        <f t="shared" si="3"/>
        <v>9</v>
      </c>
    </row>
    <row r="14650">
      <c r="A14650" s="8" t="str">
        <f>IFERROR(__xludf.DUMMYFUNCTION("IF('(INGESTA)Datos_consumo_datadis'!A14650&lt;&gt;"""",SPLIT('(INGESTA)Datos_consumo_datadis'!A:A,"",""),"""")"),"ES0031408323131005HX0F")</f>
        <v>ES0031408323131005HX0F</v>
      </c>
      <c r="B14650" s="12">
        <f>IFERROR(__xludf.DUMMYFUNCTION("""COMPUTED_VALUE"""),45476.0)</f>
        <v>45476</v>
      </c>
      <c r="C14650" s="13">
        <f>IFERROR(__xludf.DUMMYFUNCTION("""COMPUTED_VALUE"""),0.4166666666666667)</f>
        <v>0.4166666667</v>
      </c>
      <c r="D14650" s="8">
        <f>IFERROR(__xludf.DUMMYFUNCTION("""COMPUTED_VALUE"""),0.053)</f>
        <v>0.053</v>
      </c>
      <c r="E14650" s="8" t="str">
        <f>IFERROR(__xludf.DUMMYFUNCTION("""COMPUTED_VALUE"""),"Real")</f>
        <v>Real</v>
      </c>
      <c r="G14650" s="8">
        <f t="shared" si="1"/>
        <v>7</v>
      </c>
      <c r="H14650" s="14">
        <f t="shared" si="2"/>
        <v>3</v>
      </c>
      <c r="I14650" s="15">
        <f t="shared" si="3"/>
        <v>10</v>
      </c>
    </row>
    <row r="14651">
      <c r="A14651" s="8" t="str">
        <f>IFERROR(__xludf.DUMMYFUNCTION("IF('(INGESTA)Datos_consumo_datadis'!A14651&lt;&gt;"""",SPLIT('(INGESTA)Datos_consumo_datadis'!A:A,"",""),"""")"),"ES0031408323131005HX0F")</f>
        <v>ES0031408323131005HX0F</v>
      </c>
      <c r="B14651" s="12">
        <f>IFERROR(__xludf.DUMMYFUNCTION("""COMPUTED_VALUE"""),45476.0)</f>
        <v>45476</v>
      </c>
      <c r="C14651" s="13">
        <f>IFERROR(__xludf.DUMMYFUNCTION("""COMPUTED_VALUE"""),0.4583333333333333)</f>
        <v>0.4583333333</v>
      </c>
      <c r="D14651" s="8">
        <f>IFERROR(__xludf.DUMMYFUNCTION("""COMPUTED_VALUE"""),0.025)</f>
        <v>0.025</v>
      </c>
      <c r="E14651" s="8" t="str">
        <f>IFERROR(__xludf.DUMMYFUNCTION("""COMPUTED_VALUE"""),"Real")</f>
        <v>Real</v>
      </c>
      <c r="G14651" s="8">
        <f t="shared" si="1"/>
        <v>7</v>
      </c>
      <c r="H14651" s="14">
        <f t="shared" si="2"/>
        <v>3</v>
      </c>
      <c r="I14651" s="15">
        <f t="shared" si="3"/>
        <v>11</v>
      </c>
    </row>
    <row r="14652">
      <c r="A14652" s="8" t="str">
        <f>IFERROR(__xludf.DUMMYFUNCTION("IF('(INGESTA)Datos_consumo_datadis'!A14652&lt;&gt;"""",SPLIT('(INGESTA)Datos_consumo_datadis'!A:A,"",""),"""")"),"ES0031408323131005HX0F")</f>
        <v>ES0031408323131005HX0F</v>
      </c>
      <c r="B14652" s="12">
        <f>IFERROR(__xludf.DUMMYFUNCTION("""COMPUTED_VALUE"""),45476.0)</f>
        <v>45476</v>
      </c>
      <c r="C14652" s="13">
        <f>IFERROR(__xludf.DUMMYFUNCTION("""COMPUTED_VALUE"""),0.5)</f>
        <v>0.5</v>
      </c>
      <c r="D14652" s="8">
        <f>IFERROR(__xludf.DUMMYFUNCTION("""COMPUTED_VALUE"""),0.395)</f>
        <v>0.395</v>
      </c>
      <c r="E14652" s="8" t="str">
        <f>IFERROR(__xludf.DUMMYFUNCTION("""COMPUTED_VALUE"""),"Real")</f>
        <v>Real</v>
      </c>
      <c r="G14652" s="8">
        <f t="shared" si="1"/>
        <v>7</v>
      </c>
      <c r="H14652" s="14">
        <f t="shared" si="2"/>
        <v>3</v>
      </c>
      <c r="I14652" s="15">
        <f t="shared" si="3"/>
        <v>12</v>
      </c>
    </row>
    <row r="14653">
      <c r="A14653" s="8" t="str">
        <f>IFERROR(__xludf.DUMMYFUNCTION("IF('(INGESTA)Datos_consumo_datadis'!A14653&lt;&gt;"""",SPLIT('(INGESTA)Datos_consumo_datadis'!A:A,"",""),"""")"),"ES0031408323131005HX0F")</f>
        <v>ES0031408323131005HX0F</v>
      </c>
      <c r="B14653" s="12">
        <f>IFERROR(__xludf.DUMMYFUNCTION("""COMPUTED_VALUE"""),45476.0)</f>
        <v>45476</v>
      </c>
      <c r="C14653" s="13">
        <f>IFERROR(__xludf.DUMMYFUNCTION("""COMPUTED_VALUE"""),0.5416666666666666)</f>
        <v>0.5416666667</v>
      </c>
      <c r="D14653" s="8">
        <f>IFERROR(__xludf.DUMMYFUNCTION("""COMPUTED_VALUE"""),0.079)</f>
        <v>0.079</v>
      </c>
      <c r="E14653" s="8" t="str">
        <f>IFERROR(__xludf.DUMMYFUNCTION("""COMPUTED_VALUE"""),"Real")</f>
        <v>Real</v>
      </c>
      <c r="G14653" s="8">
        <f t="shared" si="1"/>
        <v>7</v>
      </c>
      <c r="H14653" s="14">
        <f t="shared" si="2"/>
        <v>3</v>
      </c>
      <c r="I14653" s="15">
        <f t="shared" si="3"/>
        <v>13</v>
      </c>
    </row>
    <row r="14654">
      <c r="A14654" s="8" t="str">
        <f>IFERROR(__xludf.DUMMYFUNCTION("IF('(INGESTA)Datos_consumo_datadis'!A14654&lt;&gt;"""",SPLIT('(INGESTA)Datos_consumo_datadis'!A:A,"",""),"""")"),"ES0031408323131005HX0F")</f>
        <v>ES0031408323131005HX0F</v>
      </c>
      <c r="B14654" s="12">
        <f>IFERROR(__xludf.DUMMYFUNCTION("""COMPUTED_VALUE"""),45476.0)</f>
        <v>45476</v>
      </c>
      <c r="C14654" s="13">
        <f>IFERROR(__xludf.DUMMYFUNCTION("""COMPUTED_VALUE"""),0.5833333333333334)</f>
        <v>0.5833333333</v>
      </c>
      <c r="D14654" s="8">
        <f>IFERROR(__xludf.DUMMYFUNCTION("""COMPUTED_VALUE"""),0.064)</f>
        <v>0.064</v>
      </c>
      <c r="E14654" s="8" t="str">
        <f>IFERROR(__xludf.DUMMYFUNCTION("""COMPUTED_VALUE"""),"Real")</f>
        <v>Real</v>
      </c>
      <c r="G14654" s="8">
        <f t="shared" si="1"/>
        <v>7</v>
      </c>
      <c r="H14654" s="14">
        <f t="shared" si="2"/>
        <v>3</v>
      </c>
      <c r="I14654" s="15">
        <f t="shared" si="3"/>
        <v>14</v>
      </c>
    </row>
    <row r="14655">
      <c r="A14655" s="8" t="str">
        <f>IFERROR(__xludf.DUMMYFUNCTION("IF('(INGESTA)Datos_consumo_datadis'!A14655&lt;&gt;"""",SPLIT('(INGESTA)Datos_consumo_datadis'!A:A,"",""),"""")"),"ES0031408323131005HX0F")</f>
        <v>ES0031408323131005HX0F</v>
      </c>
      <c r="B14655" s="12">
        <f>IFERROR(__xludf.DUMMYFUNCTION("""COMPUTED_VALUE"""),45476.0)</f>
        <v>45476</v>
      </c>
      <c r="C14655" s="13">
        <f>IFERROR(__xludf.DUMMYFUNCTION("""COMPUTED_VALUE"""),0.625)</f>
        <v>0.625</v>
      </c>
      <c r="D14655" s="8">
        <f>IFERROR(__xludf.DUMMYFUNCTION("""COMPUTED_VALUE"""),0.015)</f>
        <v>0.015</v>
      </c>
      <c r="E14655" s="8" t="str">
        <f>IFERROR(__xludf.DUMMYFUNCTION("""COMPUTED_VALUE"""),"Real")</f>
        <v>Real</v>
      </c>
      <c r="G14655" s="8">
        <f t="shared" si="1"/>
        <v>7</v>
      </c>
      <c r="H14655" s="14">
        <f t="shared" si="2"/>
        <v>3</v>
      </c>
      <c r="I14655" s="15">
        <f t="shared" si="3"/>
        <v>15</v>
      </c>
    </row>
    <row r="14656">
      <c r="A14656" s="8" t="str">
        <f>IFERROR(__xludf.DUMMYFUNCTION("IF('(INGESTA)Datos_consumo_datadis'!A14656&lt;&gt;"""",SPLIT('(INGESTA)Datos_consumo_datadis'!A:A,"",""),"""")"),"ES0031408323131005HX0F")</f>
        <v>ES0031408323131005HX0F</v>
      </c>
      <c r="B14656" s="12">
        <f>IFERROR(__xludf.DUMMYFUNCTION("""COMPUTED_VALUE"""),45476.0)</f>
        <v>45476</v>
      </c>
      <c r="C14656" s="13">
        <f>IFERROR(__xludf.DUMMYFUNCTION("""COMPUTED_VALUE"""),0.6666666666666666)</f>
        <v>0.6666666667</v>
      </c>
      <c r="D14656" s="8">
        <f>IFERROR(__xludf.DUMMYFUNCTION("""COMPUTED_VALUE"""),0.111)</f>
        <v>0.111</v>
      </c>
      <c r="E14656" s="8" t="str">
        <f>IFERROR(__xludf.DUMMYFUNCTION("""COMPUTED_VALUE"""),"Real")</f>
        <v>Real</v>
      </c>
      <c r="G14656" s="8">
        <f t="shared" si="1"/>
        <v>7</v>
      </c>
      <c r="H14656" s="14">
        <f t="shared" si="2"/>
        <v>3</v>
      </c>
      <c r="I14656" s="15">
        <f t="shared" si="3"/>
        <v>16</v>
      </c>
    </row>
    <row r="14657">
      <c r="A14657" s="8" t="str">
        <f>IFERROR(__xludf.DUMMYFUNCTION("IF('(INGESTA)Datos_consumo_datadis'!A14657&lt;&gt;"""",SPLIT('(INGESTA)Datos_consumo_datadis'!A:A,"",""),"""")"),"ES0031408323131005HX0F")</f>
        <v>ES0031408323131005HX0F</v>
      </c>
      <c r="B14657" s="12">
        <f>IFERROR(__xludf.DUMMYFUNCTION("""COMPUTED_VALUE"""),45476.0)</f>
        <v>45476</v>
      </c>
      <c r="C14657" s="13">
        <f>IFERROR(__xludf.DUMMYFUNCTION("""COMPUTED_VALUE"""),0.7083333333333334)</f>
        <v>0.7083333333</v>
      </c>
      <c r="D14657" s="8">
        <f>IFERROR(__xludf.DUMMYFUNCTION("""COMPUTED_VALUE"""),0.078)</f>
        <v>0.078</v>
      </c>
      <c r="E14657" s="8" t="str">
        <f>IFERROR(__xludf.DUMMYFUNCTION("""COMPUTED_VALUE"""),"Real")</f>
        <v>Real</v>
      </c>
      <c r="G14657" s="8">
        <f t="shared" si="1"/>
        <v>7</v>
      </c>
      <c r="H14657" s="14">
        <f t="shared" si="2"/>
        <v>3</v>
      </c>
      <c r="I14657" s="15">
        <f t="shared" si="3"/>
        <v>17</v>
      </c>
    </row>
    <row r="14658">
      <c r="A14658" s="8" t="str">
        <f>IFERROR(__xludf.DUMMYFUNCTION("IF('(INGESTA)Datos_consumo_datadis'!A14658&lt;&gt;"""",SPLIT('(INGESTA)Datos_consumo_datadis'!A:A,"",""),"""")"),"ES0031408323131005HX0F")</f>
        <v>ES0031408323131005HX0F</v>
      </c>
      <c r="B14658" s="12">
        <f>IFERROR(__xludf.DUMMYFUNCTION("""COMPUTED_VALUE"""),45476.0)</f>
        <v>45476</v>
      </c>
      <c r="C14658" s="13">
        <f>IFERROR(__xludf.DUMMYFUNCTION("""COMPUTED_VALUE"""),0.75)</f>
        <v>0.75</v>
      </c>
      <c r="D14658" s="8">
        <f>IFERROR(__xludf.DUMMYFUNCTION("""COMPUTED_VALUE"""),0.071)</f>
        <v>0.071</v>
      </c>
      <c r="E14658" s="8" t="str">
        <f>IFERROR(__xludf.DUMMYFUNCTION("""COMPUTED_VALUE"""),"Real")</f>
        <v>Real</v>
      </c>
      <c r="G14658" s="8">
        <f t="shared" si="1"/>
        <v>7</v>
      </c>
      <c r="H14658" s="14">
        <f t="shared" si="2"/>
        <v>3</v>
      </c>
      <c r="I14658" s="15">
        <f t="shared" si="3"/>
        <v>18</v>
      </c>
    </row>
    <row r="14659">
      <c r="A14659" s="8" t="str">
        <f>IFERROR(__xludf.DUMMYFUNCTION("IF('(INGESTA)Datos_consumo_datadis'!A14659&lt;&gt;"""",SPLIT('(INGESTA)Datos_consumo_datadis'!A:A,"",""),"""")"),"ES0031408323131005HX0F")</f>
        <v>ES0031408323131005HX0F</v>
      </c>
      <c r="B14659" s="12">
        <f>IFERROR(__xludf.DUMMYFUNCTION("""COMPUTED_VALUE"""),45476.0)</f>
        <v>45476</v>
      </c>
      <c r="C14659" s="13">
        <f>IFERROR(__xludf.DUMMYFUNCTION("""COMPUTED_VALUE"""),0.7916666666666666)</f>
        <v>0.7916666667</v>
      </c>
      <c r="D14659" s="8">
        <f>IFERROR(__xludf.DUMMYFUNCTION("""COMPUTED_VALUE"""),0.015)</f>
        <v>0.015</v>
      </c>
      <c r="E14659" s="8" t="str">
        <f>IFERROR(__xludf.DUMMYFUNCTION("""COMPUTED_VALUE"""),"Real")</f>
        <v>Real</v>
      </c>
      <c r="G14659" s="8">
        <f t="shared" si="1"/>
        <v>7</v>
      </c>
      <c r="H14659" s="14">
        <f t="shared" si="2"/>
        <v>3</v>
      </c>
      <c r="I14659" s="15">
        <f t="shared" si="3"/>
        <v>19</v>
      </c>
    </row>
    <row r="14660">
      <c r="A14660" s="8" t="str">
        <f>IFERROR(__xludf.DUMMYFUNCTION("IF('(INGESTA)Datos_consumo_datadis'!A14660&lt;&gt;"""",SPLIT('(INGESTA)Datos_consumo_datadis'!A:A,"",""),"""")"),"ES0031408323131005HX0F")</f>
        <v>ES0031408323131005HX0F</v>
      </c>
      <c r="B14660" s="12">
        <f>IFERROR(__xludf.DUMMYFUNCTION("""COMPUTED_VALUE"""),45476.0)</f>
        <v>45476</v>
      </c>
      <c r="C14660" s="13">
        <f>IFERROR(__xludf.DUMMYFUNCTION("""COMPUTED_VALUE"""),0.8333333333333334)</f>
        <v>0.8333333333</v>
      </c>
      <c r="D14660" s="8">
        <f>IFERROR(__xludf.DUMMYFUNCTION("""COMPUTED_VALUE"""),0.339)</f>
        <v>0.339</v>
      </c>
      <c r="E14660" s="8" t="str">
        <f>IFERROR(__xludf.DUMMYFUNCTION("""COMPUTED_VALUE"""),"Real")</f>
        <v>Real</v>
      </c>
      <c r="G14660" s="8">
        <f t="shared" si="1"/>
        <v>7</v>
      </c>
      <c r="H14660" s="14">
        <f t="shared" si="2"/>
        <v>3</v>
      </c>
      <c r="I14660" s="15">
        <f t="shared" si="3"/>
        <v>20</v>
      </c>
    </row>
    <row r="14661">
      <c r="A14661" s="8" t="str">
        <f>IFERROR(__xludf.DUMMYFUNCTION("IF('(INGESTA)Datos_consumo_datadis'!A14661&lt;&gt;"""",SPLIT('(INGESTA)Datos_consumo_datadis'!A:A,"",""),"""")"),"ES0031408323131005HX0F")</f>
        <v>ES0031408323131005HX0F</v>
      </c>
      <c r="B14661" s="12">
        <f>IFERROR(__xludf.DUMMYFUNCTION("""COMPUTED_VALUE"""),45476.0)</f>
        <v>45476</v>
      </c>
      <c r="C14661" s="13">
        <f>IFERROR(__xludf.DUMMYFUNCTION("""COMPUTED_VALUE"""),0.875)</f>
        <v>0.875</v>
      </c>
      <c r="D14661" s="8">
        <f>IFERROR(__xludf.DUMMYFUNCTION("""COMPUTED_VALUE"""),0.092)</f>
        <v>0.092</v>
      </c>
      <c r="E14661" s="8" t="str">
        <f>IFERROR(__xludf.DUMMYFUNCTION("""COMPUTED_VALUE"""),"Real")</f>
        <v>Real</v>
      </c>
      <c r="G14661" s="8">
        <f t="shared" si="1"/>
        <v>7</v>
      </c>
      <c r="H14661" s="14">
        <f t="shared" si="2"/>
        <v>3</v>
      </c>
      <c r="I14661" s="15">
        <f t="shared" si="3"/>
        <v>21</v>
      </c>
    </row>
    <row r="14662">
      <c r="A14662" s="8" t="str">
        <f>IFERROR(__xludf.DUMMYFUNCTION("IF('(INGESTA)Datos_consumo_datadis'!A14662&lt;&gt;"""",SPLIT('(INGESTA)Datos_consumo_datadis'!A:A,"",""),"""")"),"ES0031408323131005HX0F")</f>
        <v>ES0031408323131005HX0F</v>
      </c>
      <c r="B14662" s="12">
        <f>IFERROR(__xludf.DUMMYFUNCTION("""COMPUTED_VALUE"""),45476.0)</f>
        <v>45476</v>
      </c>
      <c r="C14662" s="13">
        <f>IFERROR(__xludf.DUMMYFUNCTION("""COMPUTED_VALUE"""),0.9166666666666666)</f>
        <v>0.9166666667</v>
      </c>
      <c r="D14662" s="8">
        <f>IFERROR(__xludf.DUMMYFUNCTION("""COMPUTED_VALUE"""),0.067)</f>
        <v>0.067</v>
      </c>
      <c r="E14662" s="8" t="str">
        <f>IFERROR(__xludf.DUMMYFUNCTION("""COMPUTED_VALUE"""),"Real")</f>
        <v>Real</v>
      </c>
      <c r="G14662" s="8">
        <f t="shared" si="1"/>
        <v>7</v>
      </c>
      <c r="H14662" s="14">
        <f t="shared" si="2"/>
        <v>3</v>
      </c>
      <c r="I14662" s="15">
        <f t="shared" si="3"/>
        <v>22</v>
      </c>
    </row>
    <row r="14663">
      <c r="A14663" s="8" t="str">
        <f>IFERROR(__xludf.DUMMYFUNCTION("IF('(INGESTA)Datos_consumo_datadis'!A14663&lt;&gt;"""",SPLIT('(INGESTA)Datos_consumo_datadis'!A:A,"",""),"""")"),"ES0031408323131005HX0F")</f>
        <v>ES0031408323131005HX0F</v>
      </c>
      <c r="B14663" s="12">
        <f>IFERROR(__xludf.DUMMYFUNCTION("""COMPUTED_VALUE"""),45476.0)</f>
        <v>45476</v>
      </c>
      <c r="C14663" s="13">
        <f>IFERROR(__xludf.DUMMYFUNCTION("""COMPUTED_VALUE"""),0.9583333333333334)</f>
        <v>0.9583333333</v>
      </c>
      <c r="D14663" s="8">
        <f>IFERROR(__xludf.DUMMYFUNCTION("""COMPUTED_VALUE"""),0.04)</f>
        <v>0.04</v>
      </c>
      <c r="E14663" s="8" t="str">
        <f>IFERROR(__xludf.DUMMYFUNCTION("""COMPUTED_VALUE"""),"Real")</f>
        <v>Real</v>
      </c>
      <c r="G14663" s="8">
        <f t="shared" si="1"/>
        <v>7</v>
      </c>
      <c r="H14663" s="14">
        <f t="shared" si="2"/>
        <v>3</v>
      </c>
      <c r="I14663" s="15">
        <f t="shared" si="3"/>
        <v>23</v>
      </c>
    </row>
    <row r="14664">
      <c r="A14664" s="8" t="str">
        <f>IFERROR(__xludf.DUMMYFUNCTION("IF('(INGESTA)Datos_consumo_datadis'!A14664&lt;&gt;"""",SPLIT('(INGESTA)Datos_consumo_datadis'!A:A,"",""),"""")"),"ES0031408323131005HX0F")</f>
        <v>ES0031408323131005HX0F</v>
      </c>
      <c r="B14664" s="12">
        <f>IFERROR(__xludf.DUMMYFUNCTION("""COMPUTED_VALUE"""),45476.0)</f>
        <v>45476</v>
      </c>
      <c r="C14664" s="16">
        <f>IFERROR(__xludf.DUMMYFUNCTION("""COMPUTED_VALUE"""),1.0)</f>
        <v>1</v>
      </c>
      <c r="D14664" s="8">
        <f>IFERROR(__xludf.DUMMYFUNCTION("""COMPUTED_VALUE"""),0.063)</f>
        <v>0.063</v>
      </c>
      <c r="E14664" s="8" t="str">
        <f>IFERROR(__xludf.DUMMYFUNCTION("""COMPUTED_VALUE"""),"Real")</f>
        <v>Real</v>
      </c>
      <c r="G14664" s="8">
        <f t="shared" si="1"/>
        <v>7</v>
      </c>
      <c r="H14664" s="14">
        <f t="shared" si="2"/>
        <v>3</v>
      </c>
      <c r="I14664" s="15">
        <f t="shared" si="3"/>
        <v>0</v>
      </c>
    </row>
    <row r="14665">
      <c r="A14665" s="8" t="str">
        <f>IFERROR(__xludf.DUMMYFUNCTION("IF('(INGESTA)Datos_consumo_datadis'!A14665&lt;&gt;"""",SPLIT('(INGESTA)Datos_consumo_datadis'!A:A,"",""),"""")"),"ES0031408323131005HX0F")</f>
        <v>ES0031408323131005HX0F</v>
      </c>
      <c r="B14665" s="12">
        <f>IFERROR(__xludf.DUMMYFUNCTION("""COMPUTED_VALUE"""),45477.0)</f>
        <v>45477</v>
      </c>
      <c r="C14665" s="13">
        <f>IFERROR(__xludf.DUMMYFUNCTION("""COMPUTED_VALUE"""),0.041666666666666664)</f>
        <v>0.04166666667</v>
      </c>
      <c r="D14665" s="8">
        <f>IFERROR(__xludf.DUMMYFUNCTION("""COMPUTED_VALUE"""),0.118)</f>
        <v>0.118</v>
      </c>
      <c r="E14665" s="8" t="str">
        <f>IFERROR(__xludf.DUMMYFUNCTION("""COMPUTED_VALUE"""),"Real")</f>
        <v>Real</v>
      </c>
      <c r="G14665" s="8">
        <f t="shared" si="1"/>
        <v>7</v>
      </c>
      <c r="H14665" s="14">
        <f t="shared" si="2"/>
        <v>4</v>
      </c>
      <c r="I14665" s="15">
        <f t="shared" si="3"/>
        <v>1</v>
      </c>
    </row>
    <row r="14666">
      <c r="A14666" s="8" t="str">
        <f>IFERROR(__xludf.DUMMYFUNCTION("IF('(INGESTA)Datos_consumo_datadis'!A14666&lt;&gt;"""",SPLIT('(INGESTA)Datos_consumo_datadis'!A:A,"",""),"""")"),"ES0031408323131005HX0F")</f>
        <v>ES0031408323131005HX0F</v>
      </c>
      <c r="B14666" s="12">
        <f>IFERROR(__xludf.DUMMYFUNCTION("""COMPUTED_VALUE"""),45477.0)</f>
        <v>45477</v>
      </c>
      <c r="C14666" s="13">
        <f>IFERROR(__xludf.DUMMYFUNCTION("""COMPUTED_VALUE"""),0.08333333333333333)</f>
        <v>0.08333333333</v>
      </c>
      <c r="D14666" s="8">
        <f>IFERROR(__xludf.DUMMYFUNCTION("""COMPUTED_VALUE"""),0.066)</f>
        <v>0.066</v>
      </c>
      <c r="E14666" s="8" t="str">
        <f>IFERROR(__xludf.DUMMYFUNCTION("""COMPUTED_VALUE"""),"Real")</f>
        <v>Real</v>
      </c>
      <c r="G14666" s="8">
        <f t="shared" si="1"/>
        <v>7</v>
      </c>
      <c r="H14666" s="14">
        <f t="shared" si="2"/>
        <v>4</v>
      </c>
      <c r="I14666" s="15">
        <f t="shared" si="3"/>
        <v>2</v>
      </c>
    </row>
    <row r="14667">
      <c r="A14667" s="8" t="str">
        <f>IFERROR(__xludf.DUMMYFUNCTION("IF('(INGESTA)Datos_consumo_datadis'!A14667&lt;&gt;"""",SPLIT('(INGESTA)Datos_consumo_datadis'!A:A,"",""),"""")"),"ES0031408323131005HX0F")</f>
        <v>ES0031408323131005HX0F</v>
      </c>
      <c r="B14667" s="12">
        <f>IFERROR(__xludf.DUMMYFUNCTION("""COMPUTED_VALUE"""),45477.0)</f>
        <v>45477</v>
      </c>
      <c r="C14667" s="13">
        <f>IFERROR(__xludf.DUMMYFUNCTION("""COMPUTED_VALUE"""),0.125)</f>
        <v>0.125</v>
      </c>
      <c r="D14667" s="8">
        <f>IFERROR(__xludf.DUMMYFUNCTION("""COMPUTED_VALUE"""),0.348)</f>
        <v>0.348</v>
      </c>
      <c r="E14667" s="8" t="str">
        <f>IFERROR(__xludf.DUMMYFUNCTION("""COMPUTED_VALUE"""),"Real")</f>
        <v>Real</v>
      </c>
      <c r="G14667" s="8">
        <f t="shared" si="1"/>
        <v>7</v>
      </c>
      <c r="H14667" s="14">
        <f t="shared" si="2"/>
        <v>4</v>
      </c>
      <c r="I14667" s="15">
        <f t="shared" si="3"/>
        <v>3</v>
      </c>
    </row>
    <row r="14668">
      <c r="A14668" s="8" t="str">
        <f>IFERROR(__xludf.DUMMYFUNCTION("IF('(INGESTA)Datos_consumo_datadis'!A14668&lt;&gt;"""",SPLIT('(INGESTA)Datos_consumo_datadis'!A:A,"",""),"""")"),"ES0031408323131005HX0F")</f>
        <v>ES0031408323131005HX0F</v>
      </c>
      <c r="B14668" s="12">
        <f>IFERROR(__xludf.DUMMYFUNCTION("""COMPUTED_VALUE"""),45477.0)</f>
        <v>45477</v>
      </c>
      <c r="C14668" s="13">
        <f>IFERROR(__xludf.DUMMYFUNCTION("""COMPUTED_VALUE"""),0.16666666666666666)</f>
        <v>0.1666666667</v>
      </c>
      <c r="D14668" s="8">
        <f>IFERROR(__xludf.DUMMYFUNCTION("""COMPUTED_VALUE"""),0.016)</f>
        <v>0.016</v>
      </c>
      <c r="E14668" s="8" t="str">
        <f>IFERROR(__xludf.DUMMYFUNCTION("""COMPUTED_VALUE"""),"Real")</f>
        <v>Real</v>
      </c>
      <c r="G14668" s="8">
        <f t="shared" si="1"/>
        <v>7</v>
      </c>
      <c r="H14668" s="14">
        <f t="shared" si="2"/>
        <v>4</v>
      </c>
      <c r="I14668" s="15">
        <f t="shared" si="3"/>
        <v>4</v>
      </c>
    </row>
    <row r="14669">
      <c r="A14669" s="8" t="str">
        <f>IFERROR(__xludf.DUMMYFUNCTION("IF('(INGESTA)Datos_consumo_datadis'!A14669&lt;&gt;"""",SPLIT('(INGESTA)Datos_consumo_datadis'!A:A,"",""),"""")"),"ES0031408323131005HX0F")</f>
        <v>ES0031408323131005HX0F</v>
      </c>
      <c r="B14669" s="12">
        <f>IFERROR(__xludf.DUMMYFUNCTION("""COMPUTED_VALUE"""),45477.0)</f>
        <v>45477</v>
      </c>
      <c r="C14669" s="13">
        <f>IFERROR(__xludf.DUMMYFUNCTION("""COMPUTED_VALUE"""),0.20833333333333334)</f>
        <v>0.2083333333</v>
      </c>
      <c r="D14669" s="8">
        <f>IFERROR(__xludf.DUMMYFUNCTION("""COMPUTED_VALUE"""),0.093)</f>
        <v>0.093</v>
      </c>
      <c r="E14669" s="8" t="str">
        <f>IFERROR(__xludf.DUMMYFUNCTION("""COMPUTED_VALUE"""),"Real")</f>
        <v>Real</v>
      </c>
      <c r="G14669" s="8">
        <f t="shared" si="1"/>
        <v>7</v>
      </c>
      <c r="H14669" s="14">
        <f t="shared" si="2"/>
        <v>4</v>
      </c>
      <c r="I14669" s="15">
        <f t="shared" si="3"/>
        <v>5</v>
      </c>
    </row>
    <row r="14670">
      <c r="A14670" s="8" t="str">
        <f>IFERROR(__xludf.DUMMYFUNCTION("IF('(INGESTA)Datos_consumo_datadis'!A14670&lt;&gt;"""",SPLIT('(INGESTA)Datos_consumo_datadis'!A:A,"",""),"""")"),"ES0031408323131005HX0F")</f>
        <v>ES0031408323131005HX0F</v>
      </c>
      <c r="B14670" s="12">
        <f>IFERROR(__xludf.DUMMYFUNCTION("""COMPUTED_VALUE"""),45477.0)</f>
        <v>45477</v>
      </c>
      <c r="C14670" s="13">
        <f>IFERROR(__xludf.DUMMYFUNCTION("""COMPUTED_VALUE"""),0.25)</f>
        <v>0.25</v>
      </c>
      <c r="D14670" s="8">
        <f>IFERROR(__xludf.DUMMYFUNCTION("""COMPUTED_VALUE"""),0.08)</f>
        <v>0.08</v>
      </c>
      <c r="E14670" s="8" t="str">
        <f>IFERROR(__xludf.DUMMYFUNCTION("""COMPUTED_VALUE"""),"Real")</f>
        <v>Real</v>
      </c>
      <c r="G14670" s="8">
        <f t="shared" si="1"/>
        <v>7</v>
      </c>
      <c r="H14670" s="14">
        <f t="shared" si="2"/>
        <v>4</v>
      </c>
      <c r="I14670" s="15">
        <f t="shared" si="3"/>
        <v>6</v>
      </c>
    </row>
    <row r="14671">
      <c r="A14671" s="8" t="str">
        <f>IFERROR(__xludf.DUMMYFUNCTION("IF('(INGESTA)Datos_consumo_datadis'!A14671&lt;&gt;"""",SPLIT('(INGESTA)Datos_consumo_datadis'!A:A,"",""),"""")"),"ES0031408323131005HX0F")</f>
        <v>ES0031408323131005HX0F</v>
      </c>
      <c r="B14671" s="12">
        <f>IFERROR(__xludf.DUMMYFUNCTION("""COMPUTED_VALUE"""),45477.0)</f>
        <v>45477</v>
      </c>
      <c r="C14671" s="13">
        <f>IFERROR(__xludf.DUMMYFUNCTION("""COMPUTED_VALUE"""),0.2916666666666667)</f>
        <v>0.2916666667</v>
      </c>
      <c r="D14671" s="8">
        <f>IFERROR(__xludf.DUMMYFUNCTION("""COMPUTED_VALUE"""),0.076)</f>
        <v>0.076</v>
      </c>
      <c r="E14671" s="8" t="str">
        <f>IFERROR(__xludf.DUMMYFUNCTION("""COMPUTED_VALUE"""),"Real")</f>
        <v>Real</v>
      </c>
      <c r="G14671" s="8">
        <f t="shared" si="1"/>
        <v>7</v>
      </c>
      <c r="H14671" s="14">
        <f t="shared" si="2"/>
        <v>4</v>
      </c>
      <c r="I14671" s="15">
        <f t="shared" si="3"/>
        <v>7</v>
      </c>
    </row>
    <row r="14672">
      <c r="A14672" s="8" t="str">
        <f>IFERROR(__xludf.DUMMYFUNCTION("IF('(INGESTA)Datos_consumo_datadis'!A14672&lt;&gt;"""",SPLIT('(INGESTA)Datos_consumo_datadis'!A:A,"",""),"""")"),"ES0031408323131005HX0F")</f>
        <v>ES0031408323131005HX0F</v>
      </c>
      <c r="B14672" s="12">
        <f>IFERROR(__xludf.DUMMYFUNCTION("""COMPUTED_VALUE"""),45477.0)</f>
        <v>45477</v>
      </c>
      <c r="C14672" s="13">
        <f>IFERROR(__xludf.DUMMYFUNCTION("""COMPUTED_VALUE"""),0.3333333333333333)</f>
        <v>0.3333333333</v>
      </c>
      <c r="D14672" s="8">
        <f>IFERROR(__xludf.DUMMYFUNCTION("""COMPUTED_VALUE"""),0.02)</f>
        <v>0.02</v>
      </c>
      <c r="E14672" s="8" t="str">
        <f>IFERROR(__xludf.DUMMYFUNCTION("""COMPUTED_VALUE"""),"Real")</f>
        <v>Real</v>
      </c>
      <c r="G14672" s="8">
        <f t="shared" si="1"/>
        <v>7</v>
      </c>
      <c r="H14672" s="14">
        <f t="shared" si="2"/>
        <v>4</v>
      </c>
      <c r="I14672" s="15">
        <f t="shared" si="3"/>
        <v>8</v>
      </c>
    </row>
    <row r="14673">
      <c r="A14673" s="8" t="str">
        <f>IFERROR(__xludf.DUMMYFUNCTION("IF('(INGESTA)Datos_consumo_datadis'!A14673&lt;&gt;"""",SPLIT('(INGESTA)Datos_consumo_datadis'!A:A,"",""),"""")"),"ES0031408323131005HX0F")</f>
        <v>ES0031408323131005HX0F</v>
      </c>
      <c r="B14673" s="12">
        <f>IFERROR(__xludf.DUMMYFUNCTION("""COMPUTED_VALUE"""),45477.0)</f>
        <v>45477</v>
      </c>
      <c r="C14673" s="13">
        <f>IFERROR(__xludf.DUMMYFUNCTION("""COMPUTED_VALUE"""),0.375)</f>
        <v>0.375</v>
      </c>
      <c r="D14673" s="8">
        <f>IFERROR(__xludf.DUMMYFUNCTION("""COMPUTED_VALUE"""),0.068)</f>
        <v>0.068</v>
      </c>
      <c r="E14673" s="8" t="str">
        <f>IFERROR(__xludf.DUMMYFUNCTION("""COMPUTED_VALUE"""),"Real")</f>
        <v>Real</v>
      </c>
      <c r="G14673" s="8">
        <f t="shared" si="1"/>
        <v>7</v>
      </c>
      <c r="H14673" s="14">
        <f t="shared" si="2"/>
        <v>4</v>
      </c>
      <c r="I14673" s="15">
        <f t="shared" si="3"/>
        <v>9</v>
      </c>
    </row>
    <row r="14674">
      <c r="A14674" s="8" t="str">
        <f>IFERROR(__xludf.DUMMYFUNCTION("IF('(INGESTA)Datos_consumo_datadis'!A14674&lt;&gt;"""",SPLIT('(INGESTA)Datos_consumo_datadis'!A:A,"",""),"""")"),"ES0031408323131005HX0F")</f>
        <v>ES0031408323131005HX0F</v>
      </c>
      <c r="B14674" s="12">
        <f>IFERROR(__xludf.DUMMYFUNCTION("""COMPUTED_VALUE"""),45477.0)</f>
        <v>45477</v>
      </c>
      <c r="C14674" s="13">
        <f>IFERROR(__xludf.DUMMYFUNCTION("""COMPUTED_VALUE"""),0.4166666666666667)</f>
        <v>0.4166666667</v>
      </c>
      <c r="D14674" s="8">
        <f>IFERROR(__xludf.DUMMYFUNCTION("""COMPUTED_VALUE"""),0.356)</f>
        <v>0.356</v>
      </c>
      <c r="E14674" s="8" t="str">
        <f>IFERROR(__xludf.DUMMYFUNCTION("""COMPUTED_VALUE"""),"Real")</f>
        <v>Real</v>
      </c>
      <c r="G14674" s="8">
        <f t="shared" si="1"/>
        <v>7</v>
      </c>
      <c r="H14674" s="14">
        <f t="shared" si="2"/>
        <v>4</v>
      </c>
      <c r="I14674" s="15">
        <f t="shared" si="3"/>
        <v>10</v>
      </c>
    </row>
    <row r="14675">
      <c r="A14675" s="8" t="str">
        <f>IFERROR(__xludf.DUMMYFUNCTION("IF('(INGESTA)Datos_consumo_datadis'!A14675&lt;&gt;"""",SPLIT('(INGESTA)Datos_consumo_datadis'!A:A,"",""),"""")"),"ES0031408323131005HX0F")</f>
        <v>ES0031408323131005HX0F</v>
      </c>
      <c r="B14675" s="12">
        <f>IFERROR(__xludf.DUMMYFUNCTION("""COMPUTED_VALUE"""),45477.0)</f>
        <v>45477</v>
      </c>
      <c r="C14675" s="13">
        <f>IFERROR(__xludf.DUMMYFUNCTION("""COMPUTED_VALUE"""),0.4583333333333333)</f>
        <v>0.4583333333</v>
      </c>
      <c r="D14675" s="8">
        <f>IFERROR(__xludf.DUMMYFUNCTION("""COMPUTED_VALUE"""),0.066)</f>
        <v>0.066</v>
      </c>
      <c r="E14675" s="8" t="str">
        <f>IFERROR(__xludf.DUMMYFUNCTION("""COMPUTED_VALUE"""),"Real")</f>
        <v>Real</v>
      </c>
      <c r="G14675" s="8">
        <f t="shared" si="1"/>
        <v>7</v>
      </c>
      <c r="H14675" s="14">
        <f t="shared" si="2"/>
        <v>4</v>
      </c>
      <c r="I14675" s="15">
        <f t="shared" si="3"/>
        <v>11</v>
      </c>
    </row>
    <row r="14676">
      <c r="A14676" s="8" t="str">
        <f>IFERROR(__xludf.DUMMYFUNCTION("IF('(INGESTA)Datos_consumo_datadis'!A14676&lt;&gt;"""",SPLIT('(INGESTA)Datos_consumo_datadis'!A:A,"",""),"""")"),"ES0031408323131005HX0F")</f>
        <v>ES0031408323131005HX0F</v>
      </c>
      <c r="B14676" s="12">
        <f>IFERROR(__xludf.DUMMYFUNCTION("""COMPUTED_VALUE"""),45477.0)</f>
        <v>45477</v>
      </c>
      <c r="C14676" s="13">
        <f>IFERROR(__xludf.DUMMYFUNCTION("""COMPUTED_VALUE"""),0.5)</f>
        <v>0.5</v>
      </c>
      <c r="D14676" s="8">
        <f>IFERROR(__xludf.DUMMYFUNCTION("""COMPUTED_VALUE"""),0.041)</f>
        <v>0.041</v>
      </c>
      <c r="E14676" s="8" t="str">
        <f>IFERROR(__xludf.DUMMYFUNCTION("""COMPUTED_VALUE"""),"Real")</f>
        <v>Real</v>
      </c>
      <c r="G14676" s="8">
        <f t="shared" si="1"/>
        <v>7</v>
      </c>
      <c r="H14676" s="14">
        <f t="shared" si="2"/>
        <v>4</v>
      </c>
      <c r="I14676" s="15">
        <f t="shared" si="3"/>
        <v>12</v>
      </c>
    </row>
    <row r="14677">
      <c r="A14677" s="8" t="str">
        <f>IFERROR(__xludf.DUMMYFUNCTION("IF('(INGESTA)Datos_consumo_datadis'!A14677&lt;&gt;"""",SPLIT('(INGESTA)Datos_consumo_datadis'!A:A,"",""),"""")"),"ES0031408323131005HX0F")</f>
        <v>ES0031408323131005HX0F</v>
      </c>
      <c r="B14677" s="12">
        <f>IFERROR(__xludf.DUMMYFUNCTION("""COMPUTED_VALUE"""),45477.0)</f>
        <v>45477</v>
      </c>
      <c r="C14677" s="13">
        <f>IFERROR(__xludf.DUMMYFUNCTION("""COMPUTED_VALUE"""),0.5416666666666666)</f>
        <v>0.5416666667</v>
      </c>
      <c r="D14677" s="8">
        <f>IFERROR(__xludf.DUMMYFUNCTION("""COMPUTED_VALUE"""),0.055)</f>
        <v>0.055</v>
      </c>
      <c r="E14677" s="8" t="str">
        <f>IFERROR(__xludf.DUMMYFUNCTION("""COMPUTED_VALUE"""),"Real")</f>
        <v>Real</v>
      </c>
      <c r="G14677" s="8">
        <f t="shared" si="1"/>
        <v>7</v>
      </c>
      <c r="H14677" s="14">
        <f t="shared" si="2"/>
        <v>4</v>
      </c>
      <c r="I14677" s="15">
        <f t="shared" si="3"/>
        <v>13</v>
      </c>
    </row>
    <row r="14678">
      <c r="A14678" s="8" t="str">
        <f>IFERROR(__xludf.DUMMYFUNCTION("IF('(INGESTA)Datos_consumo_datadis'!A14678&lt;&gt;"""",SPLIT('(INGESTA)Datos_consumo_datadis'!A:A,"",""),"""")"),"ES0031408323131005HX0F")</f>
        <v>ES0031408323131005HX0F</v>
      </c>
      <c r="B14678" s="12">
        <f>IFERROR(__xludf.DUMMYFUNCTION("""COMPUTED_VALUE"""),45477.0)</f>
        <v>45477</v>
      </c>
      <c r="C14678" s="13">
        <f>IFERROR(__xludf.DUMMYFUNCTION("""COMPUTED_VALUE"""),0.5833333333333334)</f>
        <v>0.5833333333</v>
      </c>
      <c r="D14678" s="8">
        <f>IFERROR(__xludf.DUMMYFUNCTION("""COMPUTED_VALUE"""),0.125)</f>
        <v>0.125</v>
      </c>
      <c r="E14678" s="8" t="str">
        <f>IFERROR(__xludf.DUMMYFUNCTION("""COMPUTED_VALUE"""),"Real")</f>
        <v>Real</v>
      </c>
      <c r="G14678" s="8">
        <f t="shared" si="1"/>
        <v>7</v>
      </c>
      <c r="H14678" s="14">
        <f t="shared" si="2"/>
        <v>4</v>
      </c>
      <c r="I14678" s="15">
        <f t="shared" si="3"/>
        <v>14</v>
      </c>
    </row>
    <row r="14679">
      <c r="A14679" s="8" t="str">
        <f>IFERROR(__xludf.DUMMYFUNCTION("IF('(INGESTA)Datos_consumo_datadis'!A14679&lt;&gt;"""",SPLIT('(INGESTA)Datos_consumo_datadis'!A:A,"",""),"""")"),"ES0031408323131005HX0F")</f>
        <v>ES0031408323131005HX0F</v>
      </c>
      <c r="B14679" s="12">
        <f>IFERROR(__xludf.DUMMYFUNCTION("""COMPUTED_VALUE"""),45477.0)</f>
        <v>45477</v>
      </c>
      <c r="C14679" s="13">
        <f>IFERROR(__xludf.DUMMYFUNCTION("""COMPUTED_VALUE"""),0.625)</f>
        <v>0.625</v>
      </c>
      <c r="D14679" s="8">
        <f>IFERROR(__xludf.DUMMYFUNCTION("""COMPUTED_VALUE"""),0.055)</f>
        <v>0.055</v>
      </c>
      <c r="E14679" s="8" t="str">
        <f>IFERROR(__xludf.DUMMYFUNCTION("""COMPUTED_VALUE"""),"Real")</f>
        <v>Real</v>
      </c>
      <c r="G14679" s="8">
        <f t="shared" si="1"/>
        <v>7</v>
      </c>
      <c r="H14679" s="14">
        <f t="shared" si="2"/>
        <v>4</v>
      </c>
      <c r="I14679" s="15">
        <f t="shared" si="3"/>
        <v>15</v>
      </c>
    </row>
    <row r="14680">
      <c r="A14680" s="8" t="str">
        <f>IFERROR(__xludf.DUMMYFUNCTION("IF('(INGESTA)Datos_consumo_datadis'!A14680&lt;&gt;"""",SPLIT('(INGESTA)Datos_consumo_datadis'!A:A,"",""),"""")"),"ES0031408323131005HX0F")</f>
        <v>ES0031408323131005HX0F</v>
      </c>
      <c r="B14680" s="12">
        <f>IFERROR(__xludf.DUMMYFUNCTION("""COMPUTED_VALUE"""),45477.0)</f>
        <v>45477</v>
      </c>
      <c r="C14680" s="13">
        <f>IFERROR(__xludf.DUMMYFUNCTION("""COMPUTED_VALUE"""),0.6666666666666666)</f>
        <v>0.6666666667</v>
      </c>
      <c r="D14680" s="8">
        <f>IFERROR(__xludf.DUMMYFUNCTION("""COMPUTED_VALUE"""),0.063)</f>
        <v>0.063</v>
      </c>
      <c r="E14680" s="8" t="str">
        <f>IFERROR(__xludf.DUMMYFUNCTION("""COMPUTED_VALUE"""),"Real")</f>
        <v>Real</v>
      </c>
      <c r="G14680" s="8">
        <f t="shared" si="1"/>
        <v>7</v>
      </c>
      <c r="H14680" s="14">
        <f t="shared" si="2"/>
        <v>4</v>
      </c>
      <c r="I14680" s="15">
        <f t="shared" si="3"/>
        <v>16</v>
      </c>
    </row>
    <row r="14681">
      <c r="A14681" s="8" t="str">
        <f>IFERROR(__xludf.DUMMYFUNCTION("IF('(INGESTA)Datos_consumo_datadis'!A14681&lt;&gt;"""",SPLIT('(INGESTA)Datos_consumo_datadis'!A:A,"",""),"""")"),"ES0031408323131005HX0F")</f>
        <v>ES0031408323131005HX0F</v>
      </c>
      <c r="B14681" s="12">
        <f>IFERROR(__xludf.DUMMYFUNCTION("""COMPUTED_VALUE"""),45477.0)</f>
        <v>45477</v>
      </c>
      <c r="C14681" s="13">
        <f>IFERROR(__xludf.DUMMYFUNCTION("""COMPUTED_VALUE"""),0.7083333333333334)</f>
        <v>0.7083333333</v>
      </c>
      <c r="D14681" s="8">
        <f>IFERROR(__xludf.DUMMYFUNCTION("""COMPUTED_VALUE"""),0.015)</f>
        <v>0.015</v>
      </c>
      <c r="E14681" s="8" t="str">
        <f>IFERROR(__xludf.DUMMYFUNCTION("""COMPUTED_VALUE"""),"Real")</f>
        <v>Real</v>
      </c>
      <c r="G14681" s="8">
        <f t="shared" si="1"/>
        <v>7</v>
      </c>
      <c r="H14681" s="14">
        <f t="shared" si="2"/>
        <v>4</v>
      </c>
      <c r="I14681" s="15">
        <f t="shared" si="3"/>
        <v>17</v>
      </c>
    </row>
    <row r="14682">
      <c r="A14682" s="8" t="str">
        <f>IFERROR(__xludf.DUMMYFUNCTION("IF('(INGESTA)Datos_consumo_datadis'!A14682&lt;&gt;"""",SPLIT('(INGESTA)Datos_consumo_datadis'!A:A,"",""),"""")"),"ES0031408323131005HX0F")</f>
        <v>ES0031408323131005HX0F</v>
      </c>
      <c r="B14682" s="12">
        <f>IFERROR(__xludf.DUMMYFUNCTION("""COMPUTED_VALUE"""),45477.0)</f>
        <v>45477</v>
      </c>
      <c r="C14682" s="13">
        <f>IFERROR(__xludf.DUMMYFUNCTION("""COMPUTED_VALUE"""),0.75)</f>
        <v>0.75</v>
      </c>
      <c r="D14682" s="8">
        <f>IFERROR(__xludf.DUMMYFUNCTION("""COMPUTED_VALUE"""),0.373)</f>
        <v>0.373</v>
      </c>
      <c r="E14682" s="8" t="str">
        <f>IFERROR(__xludf.DUMMYFUNCTION("""COMPUTED_VALUE"""),"Real")</f>
        <v>Real</v>
      </c>
      <c r="G14682" s="8">
        <f t="shared" si="1"/>
        <v>7</v>
      </c>
      <c r="H14682" s="14">
        <f t="shared" si="2"/>
        <v>4</v>
      </c>
      <c r="I14682" s="15">
        <f t="shared" si="3"/>
        <v>18</v>
      </c>
    </row>
    <row r="14683">
      <c r="A14683" s="8" t="str">
        <f>IFERROR(__xludf.DUMMYFUNCTION("IF('(INGESTA)Datos_consumo_datadis'!A14683&lt;&gt;"""",SPLIT('(INGESTA)Datos_consumo_datadis'!A:A,"",""),"""")"),"ES0031408323131005HX0F")</f>
        <v>ES0031408323131005HX0F</v>
      </c>
      <c r="B14683" s="12">
        <f>IFERROR(__xludf.DUMMYFUNCTION("""COMPUTED_VALUE"""),45477.0)</f>
        <v>45477</v>
      </c>
      <c r="C14683" s="13">
        <f>IFERROR(__xludf.DUMMYFUNCTION("""COMPUTED_VALUE"""),0.7916666666666666)</f>
        <v>0.7916666667</v>
      </c>
      <c r="D14683" s="8">
        <f>IFERROR(__xludf.DUMMYFUNCTION("""COMPUTED_VALUE"""),0.08)</f>
        <v>0.08</v>
      </c>
      <c r="E14683" s="8" t="str">
        <f>IFERROR(__xludf.DUMMYFUNCTION("""COMPUTED_VALUE"""),"Real")</f>
        <v>Real</v>
      </c>
      <c r="G14683" s="8">
        <f t="shared" si="1"/>
        <v>7</v>
      </c>
      <c r="H14683" s="14">
        <f t="shared" si="2"/>
        <v>4</v>
      </c>
      <c r="I14683" s="15">
        <f t="shared" si="3"/>
        <v>19</v>
      </c>
    </row>
    <row r="14684">
      <c r="A14684" s="8" t="str">
        <f>IFERROR(__xludf.DUMMYFUNCTION("IF('(INGESTA)Datos_consumo_datadis'!A14684&lt;&gt;"""",SPLIT('(INGESTA)Datos_consumo_datadis'!A:A,"",""),"""")"),"ES0031408323131005HX0F")</f>
        <v>ES0031408323131005HX0F</v>
      </c>
      <c r="B14684" s="12">
        <f>IFERROR(__xludf.DUMMYFUNCTION("""COMPUTED_VALUE"""),45477.0)</f>
        <v>45477</v>
      </c>
      <c r="C14684" s="13">
        <f>IFERROR(__xludf.DUMMYFUNCTION("""COMPUTED_VALUE"""),0.8333333333333334)</f>
        <v>0.8333333333</v>
      </c>
      <c r="D14684" s="8">
        <f>IFERROR(__xludf.DUMMYFUNCTION("""COMPUTED_VALUE"""),0.065)</f>
        <v>0.065</v>
      </c>
      <c r="E14684" s="8" t="str">
        <f>IFERROR(__xludf.DUMMYFUNCTION("""COMPUTED_VALUE"""),"Real")</f>
        <v>Real</v>
      </c>
      <c r="G14684" s="8">
        <f t="shared" si="1"/>
        <v>7</v>
      </c>
      <c r="H14684" s="14">
        <f t="shared" si="2"/>
        <v>4</v>
      </c>
      <c r="I14684" s="15">
        <f t="shared" si="3"/>
        <v>20</v>
      </c>
    </row>
    <row r="14685">
      <c r="A14685" s="8" t="str">
        <f>IFERROR(__xludf.DUMMYFUNCTION("IF('(INGESTA)Datos_consumo_datadis'!A14685&lt;&gt;"""",SPLIT('(INGESTA)Datos_consumo_datadis'!A:A,"",""),"""")"),"ES0031408323131005HX0F")</f>
        <v>ES0031408323131005HX0F</v>
      </c>
      <c r="B14685" s="12">
        <f>IFERROR(__xludf.DUMMYFUNCTION("""COMPUTED_VALUE"""),45477.0)</f>
        <v>45477</v>
      </c>
      <c r="C14685" s="13">
        <f>IFERROR(__xludf.DUMMYFUNCTION("""COMPUTED_VALUE"""),0.875)</f>
        <v>0.875</v>
      </c>
      <c r="D14685" s="8">
        <f>IFERROR(__xludf.DUMMYFUNCTION("""COMPUTED_VALUE"""),0.015)</f>
        <v>0.015</v>
      </c>
      <c r="E14685" s="8" t="str">
        <f>IFERROR(__xludf.DUMMYFUNCTION("""COMPUTED_VALUE"""),"Real")</f>
        <v>Real</v>
      </c>
      <c r="G14685" s="8">
        <f t="shared" si="1"/>
        <v>7</v>
      </c>
      <c r="H14685" s="14">
        <f t="shared" si="2"/>
        <v>4</v>
      </c>
      <c r="I14685" s="15">
        <f t="shared" si="3"/>
        <v>21</v>
      </c>
    </row>
    <row r="14686">
      <c r="A14686" s="8" t="str">
        <f>IFERROR(__xludf.DUMMYFUNCTION("IF('(INGESTA)Datos_consumo_datadis'!A14686&lt;&gt;"""",SPLIT('(INGESTA)Datos_consumo_datadis'!A:A,"",""),"""")"),"ES0031408323131005HX0F")</f>
        <v>ES0031408323131005HX0F</v>
      </c>
      <c r="B14686" s="12">
        <f>IFERROR(__xludf.DUMMYFUNCTION("""COMPUTED_VALUE"""),45477.0)</f>
        <v>45477</v>
      </c>
      <c r="C14686" s="13">
        <f>IFERROR(__xludf.DUMMYFUNCTION("""COMPUTED_VALUE"""),0.9166666666666666)</f>
        <v>0.9166666667</v>
      </c>
      <c r="D14686" s="8">
        <f>IFERROR(__xludf.DUMMYFUNCTION("""COMPUTED_VALUE"""),0.087)</f>
        <v>0.087</v>
      </c>
      <c r="E14686" s="8" t="str">
        <f>IFERROR(__xludf.DUMMYFUNCTION("""COMPUTED_VALUE"""),"Real")</f>
        <v>Real</v>
      </c>
      <c r="G14686" s="8">
        <f t="shared" si="1"/>
        <v>7</v>
      </c>
      <c r="H14686" s="14">
        <f t="shared" si="2"/>
        <v>4</v>
      </c>
      <c r="I14686" s="15">
        <f t="shared" si="3"/>
        <v>22</v>
      </c>
    </row>
    <row r="14687">
      <c r="A14687" s="8" t="str">
        <f>IFERROR(__xludf.DUMMYFUNCTION("IF('(INGESTA)Datos_consumo_datadis'!A14687&lt;&gt;"""",SPLIT('(INGESTA)Datos_consumo_datadis'!A:A,"",""),"""")"),"ES0031408323131005HX0F")</f>
        <v>ES0031408323131005HX0F</v>
      </c>
      <c r="B14687" s="12">
        <f>IFERROR(__xludf.DUMMYFUNCTION("""COMPUTED_VALUE"""),45477.0)</f>
        <v>45477</v>
      </c>
      <c r="C14687" s="13">
        <f>IFERROR(__xludf.DUMMYFUNCTION("""COMPUTED_VALUE"""),0.9583333333333334)</f>
        <v>0.9583333333</v>
      </c>
      <c r="D14687" s="8">
        <f>IFERROR(__xludf.DUMMYFUNCTION("""COMPUTED_VALUE"""),0.08)</f>
        <v>0.08</v>
      </c>
      <c r="E14687" s="8" t="str">
        <f>IFERROR(__xludf.DUMMYFUNCTION("""COMPUTED_VALUE"""),"Real")</f>
        <v>Real</v>
      </c>
      <c r="G14687" s="8">
        <f t="shared" si="1"/>
        <v>7</v>
      </c>
      <c r="H14687" s="14">
        <f t="shared" si="2"/>
        <v>4</v>
      </c>
      <c r="I14687" s="15">
        <f t="shared" si="3"/>
        <v>23</v>
      </c>
    </row>
    <row r="14688">
      <c r="A14688" s="8" t="str">
        <f>IFERROR(__xludf.DUMMYFUNCTION("IF('(INGESTA)Datos_consumo_datadis'!A14688&lt;&gt;"""",SPLIT('(INGESTA)Datos_consumo_datadis'!A:A,"",""),"""")"),"ES0031408323131005HX0F")</f>
        <v>ES0031408323131005HX0F</v>
      </c>
      <c r="B14688" s="12">
        <f>IFERROR(__xludf.DUMMYFUNCTION("""COMPUTED_VALUE"""),45477.0)</f>
        <v>45477</v>
      </c>
      <c r="C14688" s="16">
        <f>IFERROR(__xludf.DUMMYFUNCTION("""COMPUTED_VALUE"""),1.0)</f>
        <v>1</v>
      </c>
      <c r="D14688" s="8">
        <f>IFERROR(__xludf.DUMMYFUNCTION("""COMPUTED_VALUE"""),0.079)</f>
        <v>0.079</v>
      </c>
      <c r="E14688" s="8" t="str">
        <f>IFERROR(__xludf.DUMMYFUNCTION("""COMPUTED_VALUE"""),"Real")</f>
        <v>Real</v>
      </c>
      <c r="G14688" s="8">
        <f t="shared" si="1"/>
        <v>7</v>
      </c>
      <c r="H14688" s="14">
        <f t="shared" si="2"/>
        <v>4</v>
      </c>
      <c r="I14688" s="15">
        <f t="shared" si="3"/>
        <v>0</v>
      </c>
    </row>
    <row r="14689">
      <c r="A14689" s="8" t="str">
        <f>IFERROR(__xludf.DUMMYFUNCTION("IF('(INGESTA)Datos_consumo_datadis'!A14689&lt;&gt;"""",SPLIT('(INGESTA)Datos_consumo_datadis'!A:A,"",""),"""")"),"ES0031408323131005HX0F")</f>
        <v>ES0031408323131005HX0F</v>
      </c>
      <c r="B14689" s="12">
        <f>IFERROR(__xludf.DUMMYFUNCTION("""COMPUTED_VALUE"""),45478.0)</f>
        <v>45478</v>
      </c>
      <c r="C14689" s="13">
        <f>IFERROR(__xludf.DUMMYFUNCTION("""COMPUTED_VALUE"""),0.041666666666666664)</f>
        <v>0.04166666667</v>
      </c>
      <c r="D14689" s="8">
        <f>IFERROR(__xludf.DUMMYFUNCTION("""COMPUTED_VALUE"""),0.293)</f>
        <v>0.293</v>
      </c>
      <c r="E14689" s="8" t="str">
        <f>IFERROR(__xludf.DUMMYFUNCTION("""COMPUTED_VALUE"""),"Real")</f>
        <v>Real</v>
      </c>
      <c r="G14689" s="8">
        <f t="shared" si="1"/>
        <v>7</v>
      </c>
      <c r="H14689" s="14">
        <f t="shared" si="2"/>
        <v>5</v>
      </c>
      <c r="I14689" s="15">
        <f t="shared" si="3"/>
        <v>1</v>
      </c>
    </row>
    <row r="14690">
      <c r="A14690" s="8" t="str">
        <f>IFERROR(__xludf.DUMMYFUNCTION("IF('(INGESTA)Datos_consumo_datadis'!A14690&lt;&gt;"""",SPLIT('(INGESTA)Datos_consumo_datadis'!A:A,"",""),"""")"),"ES0031408323131005HX0F")</f>
        <v>ES0031408323131005HX0F</v>
      </c>
      <c r="B14690" s="12">
        <f>IFERROR(__xludf.DUMMYFUNCTION("""COMPUTED_VALUE"""),45478.0)</f>
        <v>45478</v>
      </c>
      <c r="C14690" s="13">
        <f>IFERROR(__xludf.DUMMYFUNCTION("""COMPUTED_VALUE"""),0.08333333333333333)</f>
        <v>0.08333333333</v>
      </c>
      <c r="D14690" s="8">
        <f>IFERROR(__xludf.DUMMYFUNCTION("""COMPUTED_VALUE"""),0.049)</f>
        <v>0.049</v>
      </c>
      <c r="E14690" s="8" t="str">
        <f>IFERROR(__xludf.DUMMYFUNCTION("""COMPUTED_VALUE"""),"Real")</f>
        <v>Real</v>
      </c>
      <c r="G14690" s="8">
        <f t="shared" si="1"/>
        <v>7</v>
      </c>
      <c r="H14690" s="14">
        <f t="shared" si="2"/>
        <v>5</v>
      </c>
      <c r="I14690" s="15">
        <f t="shared" si="3"/>
        <v>2</v>
      </c>
    </row>
    <row r="14691">
      <c r="A14691" s="8" t="str">
        <f>IFERROR(__xludf.DUMMYFUNCTION("IF('(INGESTA)Datos_consumo_datadis'!A14691&lt;&gt;"""",SPLIT('(INGESTA)Datos_consumo_datadis'!A:A,"",""),"""")"),"ES0031408323131005HX0F")</f>
        <v>ES0031408323131005HX0F</v>
      </c>
      <c r="B14691" s="12">
        <f>IFERROR(__xludf.DUMMYFUNCTION("""COMPUTED_VALUE"""),45478.0)</f>
        <v>45478</v>
      </c>
      <c r="C14691" s="13">
        <f>IFERROR(__xludf.DUMMYFUNCTION("""COMPUTED_VALUE"""),0.125)</f>
        <v>0.125</v>
      </c>
      <c r="D14691" s="8">
        <f>IFERROR(__xludf.DUMMYFUNCTION("""COMPUTED_VALUE"""),0.112)</f>
        <v>0.112</v>
      </c>
      <c r="E14691" s="8" t="str">
        <f>IFERROR(__xludf.DUMMYFUNCTION("""COMPUTED_VALUE"""),"Real")</f>
        <v>Real</v>
      </c>
      <c r="G14691" s="8">
        <f t="shared" si="1"/>
        <v>7</v>
      </c>
      <c r="H14691" s="14">
        <f t="shared" si="2"/>
        <v>5</v>
      </c>
      <c r="I14691" s="15">
        <f t="shared" si="3"/>
        <v>3</v>
      </c>
    </row>
    <row r="14692">
      <c r="A14692" s="8" t="str">
        <f>IFERROR(__xludf.DUMMYFUNCTION("IF('(INGESTA)Datos_consumo_datadis'!A14692&lt;&gt;"""",SPLIT('(INGESTA)Datos_consumo_datadis'!A:A,"",""),"""")"),"ES0031408323131005HX0F")</f>
        <v>ES0031408323131005HX0F</v>
      </c>
      <c r="B14692" s="12">
        <f>IFERROR(__xludf.DUMMYFUNCTION("""COMPUTED_VALUE"""),45478.0)</f>
        <v>45478</v>
      </c>
      <c r="C14692" s="13">
        <f>IFERROR(__xludf.DUMMYFUNCTION("""COMPUTED_VALUE"""),0.16666666666666666)</f>
        <v>0.1666666667</v>
      </c>
      <c r="D14692" s="8">
        <f>IFERROR(__xludf.DUMMYFUNCTION("""COMPUTED_VALUE"""),0.054)</f>
        <v>0.054</v>
      </c>
      <c r="E14692" s="8" t="str">
        <f>IFERROR(__xludf.DUMMYFUNCTION("""COMPUTED_VALUE"""),"Real")</f>
        <v>Real</v>
      </c>
      <c r="G14692" s="8">
        <f t="shared" si="1"/>
        <v>7</v>
      </c>
      <c r="H14692" s="14">
        <f t="shared" si="2"/>
        <v>5</v>
      </c>
      <c r="I14692" s="15">
        <f t="shared" si="3"/>
        <v>4</v>
      </c>
    </row>
    <row r="14693">
      <c r="A14693" s="8" t="str">
        <f>IFERROR(__xludf.DUMMYFUNCTION("IF('(INGESTA)Datos_consumo_datadis'!A14693&lt;&gt;"""",SPLIT('(INGESTA)Datos_consumo_datadis'!A:A,"",""),"""")"),"ES0031408323131005HX0F")</f>
        <v>ES0031408323131005HX0F</v>
      </c>
      <c r="B14693" s="12">
        <f>IFERROR(__xludf.DUMMYFUNCTION("""COMPUTED_VALUE"""),45478.0)</f>
        <v>45478</v>
      </c>
      <c r="C14693" s="13">
        <f>IFERROR(__xludf.DUMMYFUNCTION("""COMPUTED_VALUE"""),0.20833333333333334)</f>
        <v>0.2083333333</v>
      </c>
      <c r="D14693" s="8">
        <f>IFERROR(__xludf.DUMMYFUNCTION("""COMPUTED_VALUE"""),0.053)</f>
        <v>0.053</v>
      </c>
      <c r="E14693" s="8" t="str">
        <f>IFERROR(__xludf.DUMMYFUNCTION("""COMPUTED_VALUE"""),"Real")</f>
        <v>Real</v>
      </c>
      <c r="G14693" s="8">
        <f t="shared" si="1"/>
        <v>7</v>
      </c>
      <c r="H14693" s="14">
        <f t="shared" si="2"/>
        <v>5</v>
      </c>
      <c r="I14693" s="15">
        <f t="shared" si="3"/>
        <v>5</v>
      </c>
    </row>
    <row r="14694">
      <c r="A14694" s="8" t="str">
        <f>IFERROR(__xludf.DUMMYFUNCTION("IF('(INGESTA)Datos_consumo_datadis'!A14694&lt;&gt;"""",SPLIT('(INGESTA)Datos_consumo_datadis'!A:A,"",""),"""")"),"ES0031408323131005HX0F")</f>
        <v>ES0031408323131005HX0F</v>
      </c>
      <c r="B14694" s="12">
        <f>IFERROR(__xludf.DUMMYFUNCTION("""COMPUTED_VALUE"""),45478.0)</f>
        <v>45478</v>
      </c>
      <c r="C14694" s="13">
        <f>IFERROR(__xludf.DUMMYFUNCTION("""COMPUTED_VALUE"""),0.25)</f>
        <v>0.25</v>
      </c>
      <c r="D14694" s="8">
        <f>IFERROR(__xludf.DUMMYFUNCTION("""COMPUTED_VALUE"""),0.026)</f>
        <v>0.026</v>
      </c>
      <c r="E14694" s="8" t="str">
        <f>IFERROR(__xludf.DUMMYFUNCTION("""COMPUTED_VALUE"""),"Real")</f>
        <v>Real</v>
      </c>
      <c r="G14694" s="8">
        <f t="shared" si="1"/>
        <v>7</v>
      </c>
      <c r="H14694" s="14">
        <f t="shared" si="2"/>
        <v>5</v>
      </c>
      <c r="I14694" s="15">
        <f t="shared" si="3"/>
        <v>6</v>
      </c>
    </row>
    <row r="14695">
      <c r="A14695" s="8" t="str">
        <f>IFERROR(__xludf.DUMMYFUNCTION("IF('(INGESTA)Datos_consumo_datadis'!A14695&lt;&gt;"""",SPLIT('(INGESTA)Datos_consumo_datadis'!A:A,"",""),"""")"),"ES0031408323131005HX0F")</f>
        <v>ES0031408323131005HX0F</v>
      </c>
      <c r="B14695" s="12">
        <f>IFERROR(__xludf.DUMMYFUNCTION("""COMPUTED_VALUE"""),45478.0)</f>
        <v>45478</v>
      </c>
      <c r="C14695" s="13">
        <f>IFERROR(__xludf.DUMMYFUNCTION("""COMPUTED_VALUE"""),0.2916666666666667)</f>
        <v>0.2916666667</v>
      </c>
      <c r="D14695" s="8">
        <f>IFERROR(__xludf.DUMMYFUNCTION("""COMPUTED_VALUE"""),0.119)</f>
        <v>0.119</v>
      </c>
      <c r="E14695" s="8" t="str">
        <f>IFERROR(__xludf.DUMMYFUNCTION("""COMPUTED_VALUE"""),"Real")</f>
        <v>Real</v>
      </c>
      <c r="G14695" s="8">
        <f t="shared" si="1"/>
        <v>7</v>
      </c>
      <c r="H14695" s="14">
        <f t="shared" si="2"/>
        <v>5</v>
      </c>
      <c r="I14695" s="15">
        <f t="shared" si="3"/>
        <v>7</v>
      </c>
    </row>
    <row r="14696">
      <c r="A14696" s="8" t="str">
        <f>IFERROR(__xludf.DUMMYFUNCTION("IF('(INGESTA)Datos_consumo_datadis'!A14696&lt;&gt;"""",SPLIT('(INGESTA)Datos_consumo_datadis'!A:A,"",""),"""")"),"ES0031408323131005HX0F")</f>
        <v>ES0031408323131005HX0F</v>
      </c>
      <c r="B14696" s="12">
        <f>IFERROR(__xludf.DUMMYFUNCTION("""COMPUTED_VALUE"""),45478.0)</f>
        <v>45478</v>
      </c>
      <c r="C14696" s="13">
        <f>IFERROR(__xludf.DUMMYFUNCTION("""COMPUTED_VALUE"""),0.3333333333333333)</f>
        <v>0.3333333333</v>
      </c>
      <c r="D14696" s="8">
        <f>IFERROR(__xludf.DUMMYFUNCTION("""COMPUTED_VALUE"""),0.341)</f>
        <v>0.341</v>
      </c>
      <c r="E14696" s="8" t="str">
        <f>IFERROR(__xludf.DUMMYFUNCTION("""COMPUTED_VALUE"""),"Real")</f>
        <v>Real</v>
      </c>
      <c r="G14696" s="8">
        <f t="shared" si="1"/>
        <v>7</v>
      </c>
      <c r="H14696" s="14">
        <f t="shared" si="2"/>
        <v>5</v>
      </c>
      <c r="I14696" s="15">
        <f t="shared" si="3"/>
        <v>8</v>
      </c>
    </row>
    <row r="14697">
      <c r="A14697" s="8" t="str">
        <f>IFERROR(__xludf.DUMMYFUNCTION("IF('(INGESTA)Datos_consumo_datadis'!A14697&lt;&gt;"""",SPLIT('(INGESTA)Datos_consumo_datadis'!A:A,"",""),"""")"),"ES0031408323131005HX0F")</f>
        <v>ES0031408323131005HX0F</v>
      </c>
      <c r="B14697" s="12">
        <f>IFERROR(__xludf.DUMMYFUNCTION("""COMPUTED_VALUE"""),45478.0)</f>
        <v>45478</v>
      </c>
      <c r="C14697" s="13">
        <f>IFERROR(__xludf.DUMMYFUNCTION("""COMPUTED_VALUE"""),0.375)</f>
        <v>0.375</v>
      </c>
      <c r="D14697" s="8">
        <f>IFERROR(__xludf.DUMMYFUNCTION("""COMPUTED_VALUE"""),0.063)</f>
        <v>0.063</v>
      </c>
      <c r="E14697" s="8" t="str">
        <f>IFERROR(__xludf.DUMMYFUNCTION("""COMPUTED_VALUE"""),"Real")</f>
        <v>Real</v>
      </c>
      <c r="G14697" s="8">
        <f t="shared" si="1"/>
        <v>7</v>
      </c>
      <c r="H14697" s="14">
        <f t="shared" si="2"/>
        <v>5</v>
      </c>
      <c r="I14697" s="15">
        <f t="shared" si="3"/>
        <v>9</v>
      </c>
    </row>
    <row r="14698">
      <c r="A14698" s="8" t="str">
        <f>IFERROR(__xludf.DUMMYFUNCTION("IF('(INGESTA)Datos_consumo_datadis'!A14698&lt;&gt;"""",SPLIT('(INGESTA)Datos_consumo_datadis'!A:A,"",""),"""")"),"ES0031408323131005HX0F")</f>
        <v>ES0031408323131005HX0F</v>
      </c>
      <c r="B14698" s="12">
        <f>IFERROR(__xludf.DUMMYFUNCTION("""COMPUTED_VALUE"""),45478.0)</f>
        <v>45478</v>
      </c>
      <c r="C14698" s="13">
        <f>IFERROR(__xludf.DUMMYFUNCTION("""COMPUTED_VALUE"""),0.4166666666666667)</f>
        <v>0.4166666667</v>
      </c>
      <c r="D14698" s="8">
        <f>IFERROR(__xludf.DUMMYFUNCTION("""COMPUTED_VALUE"""),0.015)</f>
        <v>0.015</v>
      </c>
      <c r="E14698" s="8" t="str">
        <f>IFERROR(__xludf.DUMMYFUNCTION("""COMPUTED_VALUE"""),"Real")</f>
        <v>Real</v>
      </c>
      <c r="G14698" s="8">
        <f t="shared" si="1"/>
        <v>7</v>
      </c>
      <c r="H14698" s="14">
        <f t="shared" si="2"/>
        <v>5</v>
      </c>
      <c r="I14698" s="15">
        <f t="shared" si="3"/>
        <v>10</v>
      </c>
    </row>
    <row r="14699">
      <c r="A14699" s="8" t="str">
        <f>IFERROR(__xludf.DUMMYFUNCTION("IF('(INGESTA)Datos_consumo_datadis'!A14699&lt;&gt;"""",SPLIT('(INGESTA)Datos_consumo_datadis'!A:A,"",""),"""")"),"ES0031408323131005HX0F")</f>
        <v>ES0031408323131005HX0F</v>
      </c>
      <c r="B14699" s="12">
        <f>IFERROR(__xludf.DUMMYFUNCTION("""COMPUTED_VALUE"""),45478.0)</f>
        <v>45478</v>
      </c>
      <c r="C14699" s="13">
        <f>IFERROR(__xludf.DUMMYFUNCTION("""COMPUTED_VALUE"""),0.4583333333333333)</f>
        <v>0.4583333333</v>
      </c>
      <c r="D14699" s="8">
        <f>IFERROR(__xludf.DUMMYFUNCTION("""COMPUTED_VALUE"""),0.09)</f>
        <v>0.09</v>
      </c>
      <c r="E14699" s="8" t="str">
        <f>IFERROR(__xludf.DUMMYFUNCTION("""COMPUTED_VALUE"""),"Real")</f>
        <v>Real</v>
      </c>
      <c r="G14699" s="8">
        <f t="shared" si="1"/>
        <v>7</v>
      </c>
      <c r="H14699" s="14">
        <f t="shared" si="2"/>
        <v>5</v>
      </c>
      <c r="I14699" s="15">
        <f t="shared" si="3"/>
        <v>11</v>
      </c>
    </row>
    <row r="14700">
      <c r="A14700" s="8" t="str">
        <f>IFERROR(__xludf.DUMMYFUNCTION("IF('(INGESTA)Datos_consumo_datadis'!A14700&lt;&gt;"""",SPLIT('(INGESTA)Datos_consumo_datadis'!A:A,"",""),"""")"),"ES0031408323131005HX0F")</f>
        <v>ES0031408323131005HX0F</v>
      </c>
      <c r="B14700" s="12">
        <f>IFERROR(__xludf.DUMMYFUNCTION("""COMPUTED_VALUE"""),45478.0)</f>
        <v>45478</v>
      </c>
      <c r="C14700" s="13">
        <f>IFERROR(__xludf.DUMMYFUNCTION("""COMPUTED_VALUE"""),0.5)</f>
        <v>0.5</v>
      </c>
      <c r="D14700" s="8">
        <f>IFERROR(__xludf.DUMMYFUNCTION("""COMPUTED_VALUE"""),0.08)</f>
        <v>0.08</v>
      </c>
      <c r="E14700" s="8" t="str">
        <f>IFERROR(__xludf.DUMMYFUNCTION("""COMPUTED_VALUE"""),"Real")</f>
        <v>Real</v>
      </c>
      <c r="G14700" s="8">
        <f t="shared" si="1"/>
        <v>7</v>
      </c>
      <c r="H14700" s="14">
        <f t="shared" si="2"/>
        <v>5</v>
      </c>
      <c r="I14700" s="15">
        <f t="shared" si="3"/>
        <v>12</v>
      </c>
    </row>
    <row r="14701">
      <c r="A14701" s="8" t="str">
        <f>IFERROR(__xludf.DUMMYFUNCTION("IF('(INGESTA)Datos_consumo_datadis'!A14701&lt;&gt;"""",SPLIT('(INGESTA)Datos_consumo_datadis'!A:A,"",""),"""")"),"ES0031408323131005HX0F")</f>
        <v>ES0031408323131005HX0F</v>
      </c>
      <c r="B14701" s="12">
        <f>IFERROR(__xludf.DUMMYFUNCTION("""COMPUTED_VALUE"""),45478.0)</f>
        <v>45478</v>
      </c>
      <c r="C14701" s="13">
        <f>IFERROR(__xludf.DUMMYFUNCTION("""COMPUTED_VALUE"""),0.5416666666666666)</f>
        <v>0.5416666667</v>
      </c>
      <c r="D14701" s="8">
        <f>IFERROR(__xludf.DUMMYFUNCTION("""COMPUTED_VALUE"""),0.086)</f>
        <v>0.086</v>
      </c>
      <c r="E14701" s="8" t="str">
        <f>IFERROR(__xludf.DUMMYFUNCTION("""COMPUTED_VALUE"""),"Real")</f>
        <v>Real</v>
      </c>
      <c r="G14701" s="8">
        <f t="shared" si="1"/>
        <v>7</v>
      </c>
      <c r="H14701" s="14">
        <f t="shared" si="2"/>
        <v>5</v>
      </c>
      <c r="I14701" s="15">
        <f t="shared" si="3"/>
        <v>13</v>
      </c>
    </row>
    <row r="14702">
      <c r="A14702" s="8" t="str">
        <f>IFERROR(__xludf.DUMMYFUNCTION("IF('(INGESTA)Datos_consumo_datadis'!A14702&lt;&gt;"""",SPLIT('(INGESTA)Datos_consumo_datadis'!A:A,"",""),"""")"),"ES0031408323131005HX0F")</f>
        <v>ES0031408323131005HX0F</v>
      </c>
      <c r="B14702" s="12">
        <f>IFERROR(__xludf.DUMMYFUNCTION("""COMPUTED_VALUE"""),45478.0)</f>
        <v>45478</v>
      </c>
      <c r="C14702" s="13">
        <f>IFERROR(__xludf.DUMMYFUNCTION("""COMPUTED_VALUE"""),0.5833333333333334)</f>
        <v>0.5833333333</v>
      </c>
      <c r="D14702" s="8">
        <f>IFERROR(__xludf.DUMMYFUNCTION("""COMPUTED_VALUE"""),0.033)</f>
        <v>0.033</v>
      </c>
      <c r="E14702" s="8" t="str">
        <f>IFERROR(__xludf.DUMMYFUNCTION("""COMPUTED_VALUE"""),"Real")</f>
        <v>Real</v>
      </c>
      <c r="G14702" s="8">
        <f t="shared" si="1"/>
        <v>7</v>
      </c>
      <c r="H14702" s="14">
        <f t="shared" si="2"/>
        <v>5</v>
      </c>
      <c r="I14702" s="15">
        <f t="shared" si="3"/>
        <v>14</v>
      </c>
    </row>
    <row r="14703">
      <c r="A14703" s="8" t="str">
        <f>IFERROR(__xludf.DUMMYFUNCTION("IF('(INGESTA)Datos_consumo_datadis'!A14703&lt;&gt;"""",SPLIT('(INGESTA)Datos_consumo_datadis'!A:A,"",""),"""")"),"ES0031408323131005HX0F")</f>
        <v>ES0031408323131005HX0F</v>
      </c>
      <c r="B14703" s="12">
        <f>IFERROR(__xludf.DUMMYFUNCTION("""COMPUTED_VALUE"""),45478.0)</f>
        <v>45478</v>
      </c>
      <c r="C14703" s="13">
        <f>IFERROR(__xludf.DUMMYFUNCTION("""COMPUTED_VALUE"""),0.625)</f>
        <v>0.625</v>
      </c>
      <c r="D14703" s="8">
        <f>IFERROR(__xludf.DUMMYFUNCTION("""COMPUTED_VALUE"""),0.354)</f>
        <v>0.354</v>
      </c>
      <c r="E14703" s="8" t="str">
        <f>IFERROR(__xludf.DUMMYFUNCTION("""COMPUTED_VALUE"""),"Real")</f>
        <v>Real</v>
      </c>
      <c r="G14703" s="8">
        <f t="shared" si="1"/>
        <v>7</v>
      </c>
      <c r="H14703" s="14">
        <f t="shared" si="2"/>
        <v>5</v>
      </c>
      <c r="I14703" s="15">
        <f t="shared" si="3"/>
        <v>15</v>
      </c>
    </row>
    <row r="14704">
      <c r="A14704" s="8" t="str">
        <f>IFERROR(__xludf.DUMMYFUNCTION("IF('(INGESTA)Datos_consumo_datadis'!A14704&lt;&gt;"""",SPLIT('(INGESTA)Datos_consumo_datadis'!A:A,"",""),"""")"),"ES0031408323131005HX0F")</f>
        <v>ES0031408323131005HX0F</v>
      </c>
      <c r="B14704" s="12">
        <f>IFERROR(__xludf.DUMMYFUNCTION("""COMPUTED_VALUE"""),45478.0)</f>
        <v>45478</v>
      </c>
      <c r="C14704" s="13">
        <f>IFERROR(__xludf.DUMMYFUNCTION("""COMPUTED_VALUE"""),0.6666666666666666)</f>
        <v>0.6666666667</v>
      </c>
      <c r="D14704" s="8">
        <f>IFERROR(__xludf.DUMMYFUNCTION("""COMPUTED_VALUE"""),0.091)</f>
        <v>0.091</v>
      </c>
      <c r="E14704" s="8" t="str">
        <f>IFERROR(__xludf.DUMMYFUNCTION("""COMPUTED_VALUE"""),"Real")</f>
        <v>Real</v>
      </c>
      <c r="G14704" s="8">
        <f t="shared" si="1"/>
        <v>7</v>
      </c>
      <c r="H14704" s="14">
        <f t="shared" si="2"/>
        <v>5</v>
      </c>
      <c r="I14704" s="15">
        <f t="shared" si="3"/>
        <v>16</v>
      </c>
    </row>
    <row r="14705">
      <c r="A14705" s="8" t="str">
        <f>IFERROR(__xludf.DUMMYFUNCTION("IF('(INGESTA)Datos_consumo_datadis'!A14705&lt;&gt;"""",SPLIT('(INGESTA)Datos_consumo_datadis'!A:A,"",""),"""")"),"ES0031408323131005HX0F")</f>
        <v>ES0031408323131005HX0F</v>
      </c>
      <c r="B14705" s="12">
        <f>IFERROR(__xludf.DUMMYFUNCTION("""COMPUTED_VALUE"""),45478.0)</f>
        <v>45478</v>
      </c>
      <c r="C14705" s="13">
        <f>IFERROR(__xludf.DUMMYFUNCTION("""COMPUTED_VALUE"""),0.7083333333333334)</f>
        <v>0.7083333333</v>
      </c>
      <c r="D14705" s="8">
        <f>IFERROR(__xludf.DUMMYFUNCTION("""COMPUTED_VALUE"""),0.067)</f>
        <v>0.067</v>
      </c>
      <c r="E14705" s="8" t="str">
        <f>IFERROR(__xludf.DUMMYFUNCTION("""COMPUTED_VALUE"""),"Real")</f>
        <v>Real</v>
      </c>
      <c r="G14705" s="8">
        <f t="shared" si="1"/>
        <v>7</v>
      </c>
      <c r="H14705" s="14">
        <f t="shared" si="2"/>
        <v>5</v>
      </c>
      <c r="I14705" s="15">
        <f t="shared" si="3"/>
        <v>17</v>
      </c>
    </row>
    <row r="14706">
      <c r="A14706" s="8" t="str">
        <f>IFERROR(__xludf.DUMMYFUNCTION("IF('(INGESTA)Datos_consumo_datadis'!A14706&lt;&gt;"""",SPLIT('(INGESTA)Datos_consumo_datadis'!A:A,"",""),"""")"),"ES0031408323131005HX0F")</f>
        <v>ES0031408323131005HX0F</v>
      </c>
      <c r="B14706" s="12">
        <f>IFERROR(__xludf.DUMMYFUNCTION("""COMPUTED_VALUE"""),45478.0)</f>
        <v>45478</v>
      </c>
      <c r="C14706" s="13">
        <f>IFERROR(__xludf.DUMMYFUNCTION("""COMPUTED_VALUE"""),0.75)</f>
        <v>0.75</v>
      </c>
      <c r="D14706" s="8">
        <f>IFERROR(__xludf.DUMMYFUNCTION("""COMPUTED_VALUE"""),0.051)</f>
        <v>0.051</v>
      </c>
      <c r="E14706" s="8" t="str">
        <f>IFERROR(__xludf.DUMMYFUNCTION("""COMPUTED_VALUE"""),"Real")</f>
        <v>Real</v>
      </c>
      <c r="G14706" s="8">
        <f t="shared" si="1"/>
        <v>7</v>
      </c>
      <c r="H14706" s="14">
        <f t="shared" si="2"/>
        <v>5</v>
      </c>
      <c r="I14706" s="15">
        <f t="shared" si="3"/>
        <v>18</v>
      </c>
    </row>
    <row r="14707">
      <c r="A14707" s="8" t="str">
        <f>IFERROR(__xludf.DUMMYFUNCTION("IF('(INGESTA)Datos_consumo_datadis'!A14707&lt;&gt;"""",SPLIT('(INGESTA)Datos_consumo_datadis'!A:A,"",""),"""")"),"ES0031408323131005HX0F")</f>
        <v>ES0031408323131005HX0F</v>
      </c>
      <c r="B14707" s="12">
        <f>IFERROR(__xludf.DUMMYFUNCTION("""COMPUTED_VALUE"""),45478.0)</f>
        <v>45478</v>
      </c>
      <c r="C14707" s="13">
        <f>IFERROR(__xludf.DUMMYFUNCTION("""COMPUTED_VALUE"""),0.7916666666666666)</f>
        <v>0.7916666667</v>
      </c>
      <c r="D14707" s="8">
        <f>IFERROR(__xludf.DUMMYFUNCTION("""COMPUTED_VALUE"""),0.024)</f>
        <v>0.024</v>
      </c>
      <c r="E14707" s="8" t="str">
        <f>IFERROR(__xludf.DUMMYFUNCTION("""COMPUTED_VALUE"""),"Real")</f>
        <v>Real</v>
      </c>
      <c r="G14707" s="8">
        <f t="shared" si="1"/>
        <v>7</v>
      </c>
      <c r="H14707" s="14">
        <f t="shared" si="2"/>
        <v>5</v>
      </c>
      <c r="I14707" s="15">
        <f t="shared" si="3"/>
        <v>19</v>
      </c>
    </row>
    <row r="14708">
      <c r="A14708" s="8" t="str">
        <f>IFERROR(__xludf.DUMMYFUNCTION("IF('(INGESTA)Datos_consumo_datadis'!A14708&lt;&gt;"""",SPLIT('(INGESTA)Datos_consumo_datadis'!A:A,"",""),"""")"),"ES0031408323131005HX0F")</f>
        <v>ES0031408323131005HX0F</v>
      </c>
      <c r="B14708" s="12">
        <f>IFERROR(__xludf.DUMMYFUNCTION("""COMPUTED_VALUE"""),45478.0)</f>
        <v>45478</v>
      </c>
      <c r="C14708" s="13">
        <f>IFERROR(__xludf.DUMMYFUNCTION("""COMPUTED_VALUE"""),0.8333333333333334)</f>
        <v>0.8333333333</v>
      </c>
      <c r="D14708" s="8">
        <f>IFERROR(__xludf.DUMMYFUNCTION("""COMPUTED_VALUE"""),0.119)</f>
        <v>0.119</v>
      </c>
      <c r="E14708" s="8" t="str">
        <f>IFERROR(__xludf.DUMMYFUNCTION("""COMPUTED_VALUE"""),"Real")</f>
        <v>Real</v>
      </c>
      <c r="G14708" s="8">
        <f t="shared" si="1"/>
        <v>7</v>
      </c>
      <c r="H14708" s="14">
        <f t="shared" si="2"/>
        <v>5</v>
      </c>
      <c r="I14708" s="15">
        <f t="shared" si="3"/>
        <v>20</v>
      </c>
    </row>
    <row r="14709">
      <c r="A14709" s="8" t="str">
        <f>IFERROR(__xludf.DUMMYFUNCTION("IF('(INGESTA)Datos_consumo_datadis'!A14709&lt;&gt;"""",SPLIT('(INGESTA)Datos_consumo_datadis'!A:A,"",""),"""")"),"ES0031408323131005HX0F")</f>
        <v>ES0031408323131005HX0F</v>
      </c>
      <c r="B14709" s="12">
        <f>IFERROR(__xludf.DUMMYFUNCTION("""COMPUTED_VALUE"""),45478.0)</f>
        <v>45478</v>
      </c>
      <c r="C14709" s="13">
        <f>IFERROR(__xludf.DUMMYFUNCTION("""COMPUTED_VALUE"""),0.875)</f>
        <v>0.875</v>
      </c>
      <c r="D14709" s="8">
        <f>IFERROR(__xludf.DUMMYFUNCTION("""COMPUTED_VALUE"""),0.074)</f>
        <v>0.074</v>
      </c>
      <c r="E14709" s="8" t="str">
        <f>IFERROR(__xludf.DUMMYFUNCTION("""COMPUTED_VALUE"""),"Real")</f>
        <v>Real</v>
      </c>
      <c r="G14709" s="8">
        <f t="shared" si="1"/>
        <v>7</v>
      </c>
      <c r="H14709" s="14">
        <f t="shared" si="2"/>
        <v>5</v>
      </c>
      <c r="I14709" s="15">
        <f t="shared" si="3"/>
        <v>21</v>
      </c>
    </row>
    <row r="14710">
      <c r="A14710" s="8" t="str">
        <f>IFERROR(__xludf.DUMMYFUNCTION("IF('(INGESTA)Datos_consumo_datadis'!A14710&lt;&gt;"""",SPLIT('(INGESTA)Datos_consumo_datadis'!A:A,"",""),"""")"),"ES0031408323131005HX0F")</f>
        <v>ES0031408323131005HX0F</v>
      </c>
      <c r="B14710" s="12">
        <f>IFERROR(__xludf.DUMMYFUNCTION("""COMPUTED_VALUE"""),45478.0)</f>
        <v>45478</v>
      </c>
      <c r="C14710" s="13">
        <f>IFERROR(__xludf.DUMMYFUNCTION("""COMPUTED_VALUE"""),0.9166666666666666)</f>
        <v>0.9166666667</v>
      </c>
      <c r="D14710" s="8">
        <f>IFERROR(__xludf.DUMMYFUNCTION("""COMPUTED_VALUE"""),0.063)</f>
        <v>0.063</v>
      </c>
      <c r="E14710" s="8" t="str">
        <f>IFERROR(__xludf.DUMMYFUNCTION("""COMPUTED_VALUE"""),"Real")</f>
        <v>Real</v>
      </c>
      <c r="G14710" s="8">
        <f t="shared" si="1"/>
        <v>7</v>
      </c>
      <c r="H14710" s="14">
        <f t="shared" si="2"/>
        <v>5</v>
      </c>
      <c r="I14710" s="15">
        <f t="shared" si="3"/>
        <v>22</v>
      </c>
    </row>
    <row r="14711">
      <c r="A14711" s="8" t="str">
        <f>IFERROR(__xludf.DUMMYFUNCTION("IF('(INGESTA)Datos_consumo_datadis'!A14711&lt;&gt;"""",SPLIT('(INGESTA)Datos_consumo_datadis'!A:A,"",""),"""")"),"ES0031408323131005HX0F")</f>
        <v>ES0031408323131005HX0F</v>
      </c>
      <c r="B14711" s="12">
        <f>IFERROR(__xludf.DUMMYFUNCTION("""COMPUTED_VALUE"""),45478.0)</f>
        <v>45478</v>
      </c>
      <c r="C14711" s="13">
        <f>IFERROR(__xludf.DUMMYFUNCTION("""COMPUTED_VALUE"""),0.9583333333333334)</f>
        <v>0.9583333333</v>
      </c>
      <c r="D14711" s="8">
        <f>IFERROR(__xludf.DUMMYFUNCTION("""COMPUTED_VALUE"""),0.283)</f>
        <v>0.283</v>
      </c>
      <c r="E14711" s="8" t="str">
        <f>IFERROR(__xludf.DUMMYFUNCTION("""COMPUTED_VALUE"""),"Real")</f>
        <v>Real</v>
      </c>
      <c r="G14711" s="8">
        <f t="shared" si="1"/>
        <v>7</v>
      </c>
      <c r="H14711" s="14">
        <f t="shared" si="2"/>
        <v>5</v>
      </c>
      <c r="I14711" s="15">
        <f t="shared" si="3"/>
        <v>23</v>
      </c>
    </row>
    <row r="14712">
      <c r="A14712" s="8" t="str">
        <f>IFERROR(__xludf.DUMMYFUNCTION("IF('(INGESTA)Datos_consumo_datadis'!A14712&lt;&gt;"""",SPLIT('(INGESTA)Datos_consumo_datadis'!A:A,"",""),"""")"),"ES0031408323131005HX0F")</f>
        <v>ES0031408323131005HX0F</v>
      </c>
      <c r="B14712" s="12">
        <f>IFERROR(__xludf.DUMMYFUNCTION("""COMPUTED_VALUE"""),45478.0)</f>
        <v>45478</v>
      </c>
      <c r="C14712" s="16">
        <f>IFERROR(__xludf.DUMMYFUNCTION("""COMPUTED_VALUE"""),1.0)</f>
        <v>1</v>
      </c>
      <c r="D14712" s="8">
        <f>IFERROR(__xludf.DUMMYFUNCTION("""COMPUTED_VALUE"""),0.088)</f>
        <v>0.088</v>
      </c>
      <c r="E14712" s="8" t="str">
        <f>IFERROR(__xludf.DUMMYFUNCTION("""COMPUTED_VALUE"""),"Real")</f>
        <v>Real</v>
      </c>
      <c r="G14712" s="8">
        <f t="shared" si="1"/>
        <v>7</v>
      </c>
      <c r="H14712" s="14">
        <f t="shared" si="2"/>
        <v>5</v>
      </c>
      <c r="I14712" s="15">
        <f t="shared" si="3"/>
        <v>0</v>
      </c>
    </row>
    <row r="14713">
      <c r="A14713" s="8" t="str">
        <f>IFERROR(__xludf.DUMMYFUNCTION("IF('(INGESTA)Datos_consumo_datadis'!A14713&lt;&gt;"""",SPLIT('(INGESTA)Datos_consumo_datadis'!A:A,"",""),"""")"),"ES0031408323131005HX0F")</f>
        <v>ES0031408323131005HX0F</v>
      </c>
      <c r="B14713" s="12">
        <f>IFERROR(__xludf.DUMMYFUNCTION("""COMPUTED_VALUE"""),45479.0)</f>
        <v>45479</v>
      </c>
      <c r="C14713" s="13">
        <f>IFERROR(__xludf.DUMMYFUNCTION("""COMPUTED_VALUE"""),0.041666666666666664)</f>
        <v>0.04166666667</v>
      </c>
      <c r="D14713" s="8">
        <f>IFERROR(__xludf.DUMMYFUNCTION("""COMPUTED_VALUE"""),0.082)</f>
        <v>0.082</v>
      </c>
      <c r="E14713" s="8" t="str">
        <f>IFERROR(__xludf.DUMMYFUNCTION("""COMPUTED_VALUE"""),"Real")</f>
        <v>Real</v>
      </c>
      <c r="G14713" s="8">
        <f t="shared" si="1"/>
        <v>7</v>
      </c>
      <c r="H14713" s="14">
        <f t="shared" si="2"/>
        <v>6</v>
      </c>
      <c r="I14713" s="15">
        <f t="shared" si="3"/>
        <v>1</v>
      </c>
    </row>
    <row r="14714">
      <c r="A14714" s="8" t="str">
        <f>IFERROR(__xludf.DUMMYFUNCTION("IF('(INGESTA)Datos_consumo_datadis'!A14714&lt;&gt;"""",SPLIT('(INGESTA)Datos_consumo_datadis'!A:A,"",""),"""")"),"ES0031408323131005HX0F")</f>
        <v>ES0031408323131005HX0F</v>
      </c>
      <c r="B14714" s="12">
        <f>IFERROR(__xludf.DUMMYFUNCTION("""COMPUTED_VALUE"""),45479.0)</f>
        <v>45479</v>
      </c>
      <c r="C14714" s="13">
        <f>IFERROR(__xludf.DUMMYFUNCTION("""COMPUTED_VALUE"""),0.08333333333333333)</f>
        <v>0.08333333333</v>
      </c>
      <c r="D14714" s="8">
        <f>IFERROR(__xludf.DUMMYFUNCTION("""COMPUTED_VALUE"""),0.079)</f>
        <v>0.079</v>
      </c>
      <c r="E14714" s="8" t="str">
        <f>IFERROR(__xludf.DUMMYFUNCTION("""COMPUTED_VALUE"""),"Real")</f>
        <v>Real</v>
      </c>
      <c r="G14714" s="8">
        <f t="shared" si="1"/>
        <v>7</v>
      </c>
      <c r="H14714" s="14">
        <f t="shared" si="2"/>
        <v>6</v>
      </c>
      <c r="I14714" s="15">
        <f t="shared" si="3"/>
        <v>2</v>
      </c>
    </row>
    <row r="14715">
      <c r="A14715" s="8" t="str">
        <f>IFERROR(__xludf.DUMMYFUNCTION("IF('(INGESTA)Datos_consumo_datadis'!A14715&lt;&gt;"""",SPLIT('(INGESTA)Datos_consumo_datadis'!A:A,"",""),"""")"),"ES0031408323131005HX0F")</f>
        <v>ES0031408323131005HX0F</v>
      </c>
      <c r="B14715" s="12">
        <f>IFERROR(__xludf.DUMMYFUNCTION("""COMPUTED_VALUE"""),45479.0)</f>
        <v>45479</v>
      </c>
      <c r="C14715" s="13">
        <f>IFERROR(__xludf.DUMMYFUNCTION("""COMPUTED_VALUE"""),0.125)</f>
        <v>0.125</v>
      </c>
      <c r="D14715" s="8">
        <f>IFERROR(__xludf.DUMMYFUNCTION("""COMPUTED_VALUE"""),0.033)</f>
        <v>0.033</v>
      </c>
      <c r="E14715" s="8" t="str">
        <f>IFERROR(__xludf.DUMMYFUNCTION("""COMPUTED_VALUE"""),"Real")</f>
        <v>Real</v>
      </c>
      <c r="G14715" s="8">
        <f t="shared" si="1"/>
        <v>7</v>
      </c>
      <c r="H14715" s="14">
        <f t="shared" si="2"/>
        <v>6</v>
      </c>
      <c r="I14715" s="15">
        <f t="shared" si="3"/>
        <v>3</v>
      </c>
    </row>
    <row r="14716">
      <c r="A14716" s="8" t="str">
        <f>IFERROR(__xludf.DUMMYFUNCTION("IF('(INGESTA)Datos_consumo_datadis'!A14716&lt;&gt;"""",SPLIT('(INGESTA)Datos_consumo_datadis'!A:A,"",""),"""")"),"ES0031408323131005HX0F")</f>
        <v>ES0031408323131005HX0F</v>
      </c>
      <c r="B14716" s="12">
        <f>IFERROR(__xludf.DUMMYFUNCTION("""COMPUTED_VALUE"""),45479.0)</f>
        <v>45479</v>
      </c>
      <c r="C14716" s="13">
        <f>IFERROR(__xludf.DUMMYFUNCTION("""COMPUTED_VALUE"""),0.16666666666666666)</f>
        <v>0.1666666667</v>
      </c>
      <c r="D14716" s="8">
        <f>IFERROR(__xludf.DUMMYFUNCTION("""COMPUTED_VALUE"""),0.045)</f>
        <v>0.045</v>
      </c>
      <c r="E14716" s="8" t="str">
        <f>IFERROR(__xludf.DUMMYFUNCTION("""COMPUTED_VALUE"""),"Real")</f>
        <v>Real</v>
      </c>
      <c r="G14716" s="8">
        <f t="shared" si="1"/>
        <v>7</v>
      </c>
      <c r="H14716" s="14">
        <f t="shared" si="2"/>
        <v>6</v>
      </c>
      <c r="I14716" s="15">
        <f t="shared" si="3"/>
        <v>4</v>
      </c>
    </row>
    <row r="14717">
      <c r="A14717" s="8" t="str">
        <f>IFERROR(__xludf.DUMMYFUNCTION("IF('(INGESTA)Datos_consumo_datadis'!A14717&lt;&gt;"""",SPLIT('(INGESTA)Datos_consumo_datadis'!A:A,"",""),"""")"),"ES0031408323131005HX0F")</f>
        <v>ES0031408323131005HX0F</v>
      </c>
      <c r="B14717" s="12">
        <f>IFERROR(__xludf.DUMMYFUNCTION("""COMPUTED_VALUE"""),45479.0)</f>
        <v>45479</v>
      </c>
      <c r="C14717" s="13">
        <f>IFERROR(__xludf.DUMMYFUNCTION("""COMPUTED_VALUE"""),0.20833333333333334)</f>
        <v>0.2083333333</v>
      </c>
      <c r="D14717" s="8">
        <f>IFERROR(__xludf.DUMMYFUNCTION("""COMPUTED_VALUE"""),0.115)</f>
        <v>0.115</v>
      </c>
      <c r="E14717" s="8" t="str">
        <f>IFERROR(__xludf.DUMMYFUNCTION("""COMPUTED_VALUE"""),"Real")</f>
        <v>Real</v>
      </c>
      <c r="G14717" s="8">
        <f t="shared" si="1"/>
        <v>7</v>
      </c>
      <c r="H14717" s="14">
        <f t="shared" si="2"/>
        <v>6</v>
      </c>
      <c r="I14717" s="15">
        <f t="shared" si="3"/>
        <v>5</v>
      </c>
    </row>
    <row r="14718">
      <c r="A14718" s="8" t="str">
        <f>IFERROR(__xludf.DUMMYFUNCTION("IF('(INGESTA)Datos_consumo_datadis'!A14718&lt;&gt;"""",SPLIT('(INGESTA)Datos_consumo_datadis'!A:A,"",""),"""")"),"ES0031408323131005HX0F")</f>
        <v>ES0031408323131005HX0F</v>
      </c>
      <c r="B14718" s="12">
        <f>IFERROR(__xludf.DUMMYFUNCTION("""COMPUTED_VALUE"""),45479.0)</f>
        <v>45479</v>
      </c>
      <c r="C14718" s="13">
        <f>IFERROR(__xludf.DUMMYFUNCTION("""COMPUTED_VALUE"""),0.25)</f>
        <v>0.25</v>
      </c>
      <c r="D14718" s="8">
        <f>IFERROR(__xludf.DUMMYFUNCTION("""COMPUTED_VALUE"""),0.346)</f>
        <v>0.346</v>
      </c>
      <c r="E14718" s="8" t="str">
        <f>IFERROR(__xludf.DUMMYFUNCTION("""COMPUTED_VALUE"""),"Real")</f>
        <v>Real</v>
      </c>
      <c r="G14718" s="8">
        <f t="shared" si="1"/>
        <v>7</v>
      </c>
      <c r="H14718" s="14">
        <f t="shared" si="2"/>
        <v>6</v>
      </c>
      <c r="I14718" s="15">
        <f t="shared" si="3"/>
        <v>6</v>
      </c>
    </row>
    <row r="14719">
      <c r="A14719" s="8" t="str">
        <f>IFERROR(__xludf.DUMMYFUNCTION("IF('(INGESTA)Datos_consumo_datadis'!A14719&lt;&gt;"""",SPLIT('(INGESTA)Datos_consumo_datadis'!A:A,"",""),"""")"),"ES0031408323131005HX0F")</f>
        <v>ES0031408323131005HX0F</v>
      </c>
      <c r="B14719" s="12">
        <f>IFERROR(__xludf.DUMMYFUNCTION("""COMPUTED_VALUE"""),45479.0)</f>
        <v>45479</v>
      </c>
      <c r="C14719" s="13">
        <f>IFERROR(__xludf.DUMMYFUNCTION("""COMPUTED_VALUE"""),0.2916666666666667)</f>
        <v>0.2916666667</v>
      </c>
      <c r="D14719" s="8">
        <f>IFERROR(__xludf.DUMMYFUNCTION("""COMPUTED_VALUE"""),0.079)</f>
        <v>0.079</v>
      </c>
      <c r="E14719" s="8" t="str">
        <f>IFERROR(__xludf.DUMMYFUNCTION("""COMPUTED_VALUE"""),"Real")</f>
        <v>Real</v>
      </c>
      <c r="G14719" s="8">
        <f t="shared" si="1"/>
        <v>7</v>
      </c>
      <c r="H14719" s="14">
        <f t="shared" si="2"/>
        <v>6</v>
      </c>
      <c r="I14719" s="15">
        <f t="shared" si="3"/>
        <v>7</v>
      </c>
    </row>
    <row r="14720">
      <c r="A14720" s="8" t="str">
        <f>IFERROR(__xludf.DUMMYFUNCTION("IF('(INGESTA)Datos_consumo_datadis'!A14720&lt;&gt;"""",SPLIT('(INGESTA)Datos_consumo_datadis'!A:A,"",""),"""")"),"ES0031408323131005HX0F")</f>
        <v>ES0031408323131005HX0F</v>
      </c>
      <c r="B14720" s="12">
        <f>IFERROR(__xludf.DUMMYFUNCTION("""COMPUTED_VALUE"""),45479.0)</f>
        <v>45479</v>
      </c>
      <c r="C14720" s="13">
        <f>IFERROR(__xludf.DUMMYFUNCTION("""COMPUTED_VALUE"""),0.3333333333333333)</f>
        <v>0.3333333333</v>
      </c>
      <c r="D14720" s="8">
        <f>IFERROR(__xludf.DUMMYFUNCTION("""COMPUTED_VALUE"""),0.035)</f>
        <v>0.035</v>
      </c>
      <c r="E14720" s="8" t="str">
        <f>IFERROR(__xludf.DUMMYFUNCTION("""COMPUTED_VALUE"""),"Real")</f>
        <v>Real</v>
      </c>
      <c r="G14720" s="8">
        <f t="shared" si="1"/>
        <v>7</v>
      </c>
      <c r="H14720" s="14">
        <f t="shared" si="2"/>
        <v>6</v>
      </c>
      <c r="I14720" s="15">
        <f t="shared" si="3"/>
        <v>8</v>
      </c>
    </row>
    <row r="14721">
      <c r="A14721" s="8" t="str">
        <f>IFERROR(__xludf.DUMMYFUNCTION("IF('(INGESTA)Datos_consumo_datadis'!A14721&lt;&gt;"""",SPLIT('(INGESTA)Datos_consumo_datadis'!A:A,"",""),"""")"),"ES0031408323131005HX0F")</f>
        <v>ES0031408323131005HX0F</v>
      </c>
      <c r="B14721" s="12">
        <f>IFERROR(__xludf.DUMMYFUNCTION("""COMPUTED_VALUE"""),45479.0)</f>
        <v>45479</v>
      </c>
      <c r="C14721" s="13">
        <f>IFERROR(__xludf.DUMMYFUNCTION("""COMPUTED_VALUE"""),0.375)</f>
        <v>0.375</v>
      </c>
      <c r="D14721" s="8">
        <f>IFERROR(__xludf.DUMMYFUNCTION("""COMPUTED_VALUE"""),0.043)</f>
        <v>0.043</v>
      </c>
      <c r="E14721" s="8" t="str">
        <f>IFERROR(__xludf.DUMMYFUNCTION("""COMPUTED_VALUE"""),"Real")</f>
        <v>Real</v>
      </c>
      <c r="G14721" s="8">
        <f t="shared" si="1"/>
        <v>7</v>
      </c>
      <c r="H14721" s="14">
        <f t="shared" si="2"/>
        <v>6</v>
      </c>
      <c r="I14721" s="15">
        <f t="shared" si="3"/>
        <v>9</v>
      </c>
    </row>
    <row r="14722">
      <c r="A14722" s="8" t="str">
        <f>IFERROR(__xludf.DUMMYFUNCTION("IF('(INGESTA)Datos_consumo_datadis'!A14722&lt;&gt;"""",SPLIT('(INGESTA)Datos_consumo_datadis'!A:A,"",""),"""")"),"ES0031408323131005HX0F")</f>
        <v>ES0031408323131005HX0F</v>
      </c>
      <c r="B14722" s="12">
        <f>IFERROR(__xludf.DUMMYFUNCTION("""COMPUTED_VALUE"""),45479.0)</f>
        <v>45479</v>
      </c>
      <c r="C14722" s="13">
        <f>IFERROR(__xludf.DUMMYFUNCTION("""COMPUTED_VALUE"""),0.4166666666666667)</f>
        <v>0.4166666667</v>
      </c>
      <c r="D14722" s="8">
        <f>IFERROR(__xludf.DUMMYFUNCTION("""COMPUTED_VALUE"""),0.117)</f>
        <v>0.117</v>
      </c>
      <c r="E14722" s="8" t="str">
        <f>IFERROR(__xludf.DUMMYFUNCTION("""COMPUTED_VALUE"""),"Real")</f>
        <v>Real</v>
      </c>
      <c r="G14722" s="8">
        <f t="shared" si="1"/>
        <v>7</v>
      </c>
      <c r="H14722" s="14">
        <f t="shared" si="2"/>
        <v>6</v>
      </c>
      <c r="I14722" s="15">
        <f t="shared" si="3"/>
        <v>10</v>
      </c>
    </row>
    <row r="14723">
      <c r="A14723" s="8" t="str">
        <f>IFERROR(__xludf.DUMMYFUNCTION("IF('(INGESTA)Datos_consumo_datadis'!A14723&lt;&gt;"""",SPLIT('(INGESTA)Datos_consumo_datadis'!A:A,"",""),"""")"),"ES0031408323131005HX0F")</f>
        <v>ES0031408323131005HX0F</v>
      </c>
      <c r="B14723" s="12">
        <f>IFERROR(__xludf.DUMMYFUNCTION("""COMPUTED_VALUE"""),45479.0)</f>
        <v>45479</v>
      </c>
      <c r="C14723" s="13">
        <f>IFERROR(__xludf.DUMMYFUNCTION("""COMPUTED_VALUE"""),0.4583333333333333)</f>
        <v>0.4583333333</v>
      </c>
      <c r="D14723" s="8">
        <f>IFERROR(__xludf.DUMMYFUNCTION("""COMPUTED_VALUE"""),0.061)</f>
        <v>0.061</v>
      </c>
      <c r="E14723" s="8" t="str">
        <f>IFERROR(__xludf.DUMMYFUNCTION("""COMPUTED_VALUE"""),"Real")</f>
        <v>Real</v>
      </c>
      <c r="G14723" s="8">
        <f t="shared" si="1"/>
        <v>7</v>
      </c>
      <c r="H14723" s="14">
        <f t="shared" si="2"/>
        <v>6</v>
      </c>
      <c r="I14723" s="15">
        <f t="shared" si="3"/>
        <v>11</v>
      </c>
    </row>
    <row r="14724">
      <c r="A14724" s="8" t="str">
        <f>IFERROR(__xludf.DUMMYFUNCTION("IF('(INGESTA)Datos_consumo_datadis'!A14724&lt;&gt;"""",SPLIT('(INGESTA)Datos_consumo_datadis'!A:A,"",""),"""")"),"ES0031408323131005HX0F")</f>
        <v>ES0031408323131005HX0F</v>
      </c>
      <c r="B14724" s="12">
        <f>IFERROR(__xludf.DUMMYFUNCTION("""COMPUTED_VALUE"""),45479.0)</f>
        <v>45479</v>
      </c>
      <c r="C14724" s="13">
        <f>IFERROR(__xludf.DUMMYFUNCTION("""COMPUTED_VALUE"""),0.5)</f>
        <v>0.5</v>
      </c>
      <c r="D14724" s="8">
        <f>IFERROR(__xludf.DUMMYFUNCTION("""COMPUTED_VALUE"""),0.064)</f>
        <v>0.064</v>
      </c>
      <c r="E14724" s="8" t="str">
        <f>IFERROR(__xludf.DUMMYFUNCTION("""COMPUTED_VALUE"""),"Real")</f>
        <v>Real</v>
      </c>
      <c r="G14724" s="8">
        <f t="shared" si="1"/>
        <v>7</v>
      </c>
      <c r="H14724" s="14">
        <f t="shared" si="2"/>
        <v>6</v>
      </c>
      <c r="I14724" s="15">
        <f t="shared" si="3"/>
        <v>12</v>
      </c>
    </row>
    <row r="14725">
      <c r="A14725" s="8" t="str">
        <f>IFERROR(__xludf.DUMMYFUNCTION("IF('(INGESTA)Datos_consumo_datadis'!A14725&lt;&gt;"""",SPLIT('(INGESTA)Datos_consumo_datadis'!A:A,"",""),"""")"),"ES0031408323131005HX0F")</f>
        <v>ES0031408323131005HX0F</v>
      </c>
      <c r="B14725" s="12">
        <f>IFERROR(__xludf.DUMMYFUNCTION("""COMPUTED_VALUE"""),45479.0)</f>
        <v>45479</v>
      </c>
      <c r="C14725" s="13">
        <f>IFERROR(__xludf.DUMMYFUNCTION("""COMPUTED_VALUE"""),0.5416666666666666)</f>
        <v>0.5416666667</v>
      </c>
      <c r="D14725" s="8">
        <f>IFERROR(__xludf.DUMMYFUNCTION("""COMPUTED_VALUE"""),0.305)</f>
        <v>0.305</v>
      </c>
      <c r="E14725" s="8" t="str">
        <f>IFERROR(__xludf.DUMMYFUNCTION("""COMPUTED_VALUE"""),"Real")</f>
        <v>Real</v>
      </c>
      <c r="G14725" s="8">
        <f t="shared" si="1"/>
        <v>7</v>
      </c>
      <c r="H14725" s="14">
        <f t="shared" si="2"/>
        <v>6</v>
      </c>
      <c r="I14725" s="15">
        <f t="shared" si="3"/>
        <v>13</v>
      </c>
    </row>
    <row r="14726">
      <c r="A14726" s="8" t="str">
        <f>IFERROR(__xludf.DUMMYFUNCTION("IF('(INGESTA)Datos_consumo_datadis'!A14726&lt;&gt;"""",SPLIT('(INGESTA)Datos_consumo_datadis'!A:A,"",""),"""")"),"ES0031408323131005HX0F")</f>
        <v>ES0031408323131005HX0F</v>
      </c>
      <c r="B14726" s="12">
        <f>IFERROR(__xludf.DUMMYFUNCTION("""COMPUTED_VALUE"""),45479.0)</f>
        <v>45479</v>
      </c>
      <c r="C14726" s="13">
        <f>IFERROR(__xludf.DUMMYFUNCTION("""COMPUTED_VALUE"""),0.5833333333333334)</f>
        <v>0.5833333333</v>
      </c>
      <c r="D14726" s="8">
        <f>IFERROR(__xludf.DUMMYFUNCTION("""COMPUTED_VALUE"""),0.112)</f>
        <v>0.112</v>
      </c>
      <c r="E14726" s="8" t="str">
        <f>IFERROR(__xludf.DUMMYFUNCTION("""COMPUTED_VALUE"""),"Real")</f>
        <v>Real</v>
      </c>
      <c r="G14726" s="8">
        <f t="shared" si="1"/>
        <v>7</v>
      </c>
      <c r="H14726" s="14">
        <f t="shared" si="2"/>
        <v>6</v>
      </c>
      <c r="I14726" s="15">
        <f t="shared" si="3"/>
        <v>14</v>
      </c>
    </row>
    <row r="14727">
      <c r="A14727" s="8" t="str">
        <f>IFERROR(__xludf.DUMMYFUNCTION("IF('(INGESTA)Datos_consumo_datadis'!A14727&lt;&gt;"""",SPLIT('(INGESTA)Datos_consumo_datadis'!A:A,"",""),"""")"),"ES0031408323131005HX0F")</f>
        <v>ES0031408323131005HX0F</v>
      </c>
      <c r="B14727" s="12">
        <f>IFERROR(__xludf.DUMMYFUNCTION("""COMPUTED_VALUE"""),45479.0)</f>
        <v>45479</v>
      </c>
      <c r="C14727" s="13">
        <f>IFERROR(__xludf.DUMMYFUNCTION("""COMPUTED_VALUE"""),0.625)</f>
        <v>0.625</v>
      </c>
      <c r="D14727" s="8">
        <f>IFERROR(__xludf.DUMMYFUNCTION("""COMPUTED_VALUE"""),0.082)</f>
        <v>0.082</v>
      </c>
      <c r="E14727" s="8" t="str">
        <f>IFERROR(__xludf.DUMMYFUNCTION("""COMPUTED_VALUE"""),"Real")</f>
        <v>Real</v>
      </c>
      <c r="G14727" s="8">
        <f t="shared" si="1"/>
        <v>7</v>
      </c>
      <c r="H14727" s="14">
        <f t="shared" si="2"/>
        <v>6</v>
      </c>
      <c r="I14727" s="15">
        <f t="shared" si="3"/>
        <v>15</v>
      </c>
    </row>
    <row r="14728">
      <c r="A14728" s="8" t="str">
        <f>IFERROR(__xludf.DUMMYFUNCTION("IF('(INGESTA)Datos_consumo_datadis'!A14728&lt;&gt;"""",SPLIT('(INGESTA)Datos_consumo_datadis'!A:A,"",""),"""")"),"ES0031408323131005HX0F")</f>
        <v>ES0031408323131005HX0F</v>
      </c>
      <c r="B14728" s="12">
        <f>IFERROR(__xludf.DUMMYFUNCTION("""COMPUTED_VALUE"""),45479.0)</f>
        <v>45479</v>
      </c>
      <c r="C14728" s="13">
        <f>IFERROR(__xludf.DUMMYFUNCTION("""COMPUTED_VALUE"""),0.6666666666666666)</f>
        <v>0.6666666667</v>
      </c>
      <c r="D14728" s="8">
        <f>IFERROR(__xludf.DUMMYFUNCTION("""COMPUTED_VALUE"""),0.079)</f>
        <v>0.079</v>
      </c>
      <c r="E14728" s="8" t="str">
        <f>IFERROR(__xludf.DUMMYFUNCTION("""COMPUTED_VALUE"""),"Real")</f>
        <v>Real</v>
      </c>
      <c r="G14728" s="8">
        <f t="shared" si="1"/>
        <v>7</v>
      </c>
      <c r="H14728" s="14">
        <f t="shared" si="2"/>
        <v>6</v>
      </c>
      <c r="I14728" s="15">
        <f t="shared" si="3"/>
        <v>16</v>
      </c>
    </row>
    <row r="14729">
      <c r="A14729" s="8" t="str">
        <f>IFERROR(__xludf.DUMMYFUNCTION("IF('(INGESTA)Datos_consumo_datadis'!A14729&lt;&gt;"""",SPLIT('(INGESTA)Datos_consumo_datadis'!A:A,"",""),"""")"),"ES0031408323131005HX0F")</f>
        <v>ES0031408323131005HX0F</v>
      </c>
      <c r="B14729" s="12">
        <f>IFERROR(__xludf.DUMMYFUNCTION("""COMPUTED_VALUE"""),45479.0)</f>
        <v>45479</v>
      </c>
      <c r="C14729" s="13">
        <f>IFERROR(__xludf.DUMMYFUNCTION("""COMPUTED_VALUE"""),0.7083333333333334)</f>
        <v>0.7083333333</v>
      </c>
      <c r="D14729" s="8">
        <f>IFERROR(__xludf.DUMMYFUNCTION("""COMPUTED_VALUE"""),0.026)</f>
        <v>0.026</v>
      </c>
      <c r="E14729" s="8" t="str">
        <f>IFERROR(__xludf.DUMMYFUNCTION("""COMPUTED_VALUE"""),"Real")</f>
        <v>Real</v>
      </c>
      <c r="G14729" s="8">
        <f t="shared" si="1"/>
        <v>7</v>
      </c>
      <c r="H14729" s="14">
        <f t="shared" si="2"/>
        <v>6</v>
      </c>
      <c r="I14729" s="15">
        <f t="shared" si="3"/>
        <v>17</v>
      </c>
    </row>
    <row r="14730">
      <c r="A14730" s="8" t="str">
        <f>IFERROR(__xludf.DUMMYFUNCTION("IF('(INGESTA)Datos_consumo_datadis'!A14730&lt;&gt;"""",SPLIT('(INGESTA)Datos_consumo_datadis'!A:A,"",""),"""")"),"ES0031408323131005HX0F")</f>
        <v>ES0031408323131005HX0F</v>
      </c>
      <c r="B14730" s="12">
        <f>IFERROR(__xludf.DUMMYFUNCTION("""COMPUTED_VALUE"""),45479.0)</f>
        <v>45479</v>
      </c>
      <c r="C14730" s="13">
        <f>IFERROR(__xludf.DUMMYFUNCTION("""COMPUTED_VALUE"""),0.75)</f>
        <v>0.75</v>
      </c>
      <c r="D14730" s="8">
        <f>IFERROR(__xludf.DUMMYFUNCTION("""COMPUTED_VALUE"""),0.057)</f>
        <v>0.057</v>
      </c>
      <c r="E14730" s="8" t="str">
        <f>IFERROR(__xludf.DUMMYFUNCTION("""COMPUTED_VALUE"""),"Real")</f>
        <v>Real</v>
      </c>
      <c r="G14730" s="8">
        <f t="shared" si="1"/>
        <v>7</v>
      </c>
      <c r="H14730" s="14">
        <f t="shared" si="2"/>
        <v>6</v>
      </c>
      <c r="I14730" s="15">
        <f t="shared" si="3"/>
        <v>18</v>
      </c>
    </row>
    <row r="14731">
      <c r="A14731" s="8" t="str">
        <f>IFERROR(__xludf.DUMMYFUNCTION("IF('(INGESTA)Datos_consumo_datadis'!A14731&lt;&gt;"""",SPLIT('(INGESTA)Datos_consumo_datadis'!A:A,"",""),"""")"),"ES0031408323131005HX0F")</f>
        <v>ES0031408323131005HX0F</v>
      </c>
      <c r="B14731" s="12">
        <f>IFERROR(__xludf.DUMMYFUNCTION("""COMPUTED_VALUE"""),45479.0)</f>
        <v>45479</v>
      </c>
      <c r="C14731" s="13">
        <f>IFERROR(__xludf.DUMMYFUNCTION("""COMPUTED_VALUE"""),0.7916666666666666)</f>
        <v>0.7916666667</v>
      </c>
      <c r="D14731" s="8">
        <f>IFERROR(__xludf.DUMMYFUNCTION("""COMPUTED_VALUE"""),0.113)</f>
        <v>0.113</v>
      </c>
      <c r="E14731" s="8" t="str">
        <f>IFERROR(__xludf.DUMMYFUNCTION("""COMPUTED_VALUE"""),"Real")</f>
        <v>Real</v>
      </c>
      <c r="G14731" s="8">
        <f t="shared" si="1"/>
        <v>7</v>
      </c>
      <c r="H14731" s="14">
        <f t="shared" si="2"/>
        <v>6</v>
      </c>
      <c r="I14731" s="15">
        <f t="shared" si="3"/>
        <v>19</v>
      </c>
    </row>
    <row r="14732">
      <c r="A14732" s="8" t="str">
        <f>IFERROR(__xludf.DUMMYFUNCTION("IF('(INGESTA)Datos_consumo_datadis'!A14732&lt;&gt;"""",SPLIT('(INGESTA)Datos_consumo_datadis'!A:A,"",""),"""")"),"ES0031408323131005HX0F")</f>
        <v>ES0031408323131005HX0F</v>
      </c>
      <c r="B14732" s="12">
        <f>IFERROR(__xludf.DUMMYFUNCTION("""COMPUTED_VALUE"""),45479.0)</f>
        <v>45479</v>
      </c>
      <c r="C14732" s="13">
        <f>IFERROR(__xludf.DUMMYFUNCTION("""COMPUTED_VALUE"""),0.8333333333333334)</f>
        <v>0.8333333333</v>
      </c>
      <c r="D14732" s="8">
        <f>IFERROR(__xludf.DUMMYFUNCTION("""COMPUTED_VALUE"""),0.056)</f>
        <v>0.056</v>
      </c>
      <c r="E14732" s="8" t="str">
        <f>IFERROR(__xludf.DUMMYFUNCTION("""COMPUTED_VALUE"""),"Real")</f>
        <v>Real</v>
      </c>
      <c r="G14732" s="8">
        <f t="shared" si="1"/>
        <v>7</v>
      </c>
      <c r="H14732" s="14">
        <f t="shared" si="2"/>
        <v>6</v>
      </c>
      <c r="I14732" s="15">
        <f t="shared" si="3"/>
        <v>20</v>
      </c>
    </row>
    <row r="14733">
      <c r="A14733" s="8" t="str">
        <f>IFERROR(__xludf.DUMMYFUNCTION("IF('(INGESTA)Datos_consumo_datadis'!A14733&lt;&gt;"""",SPLIT('(INGESTA)Datos_consumo_datadis'!A:A,"",""),"""")"),"ES0031408323131005HX0F")</f>
        <v>ES0031408323131005HX0F</v>
      </c>
      <c r="B14733" s="12">
        <f>IFERROR(__xludf.DUMMYFUNCTION("""COMPUTED_VALUE"""),45479.0)</f>
        <v>45479</v>
      </c>
      <c r="C14733" s="13">
        <f>IFERROR(__xludf.DUMMYFUNCTION("""COMPUTED_VALUE"""),0.875)</f>
        <v>0.875</v>
      </c>
      <c r="D14733" s="8">
        <f>IFERROR(__xludf.DUMMYFUNCTION("""COMPUTED_VALUE"""),0.345)</f>
        <v>0.345</v>
      </c>
      <c r="E14733" s="8" t="str">
        <f>IFERROR(__xludf.DUMMYFUNCTION("""COMPUTED_VALUE"""),"Real")</f>
        <v>Real</v>
      </c>
      <c r="G14733" s="8">
        <f t="shared" si="1"/>
        <v>7</v>
      </c>
      <c r="H14733" s="14">
        <f t="shared" si="2"/>
        <v>6</v>
      </c>
      <c r="I14733" s="15">
        <f t="shared" si="3"/>
        <v>21</v>
      </c>
    </row>
    <row r="14734">
      <c r="A14734" s="8" t="str">
        <f>IFERROR(__xludf.DUMMYFUNCTION("IF('(INGESTA)Datos_consumo_datadis'!A14734&lt;&gt;"""",SPLIT('(INGESTA)Datos_consumo_datadis'!A:A,"",""),"""")"),"ES0031408323131005HX0F")</f>
        <v>ES0031408323131005HX0F</v>
      </c>
      <c r="B14734" s="12">
        <f>IFERROR(__xludf.DUMMYFUNCTION("""COMPUTED_VALUE"""),45479.0)</f>
        <v>45479</v>
      </c>
      <c r="C14734" s="13">
        <f>IFERROR(__xludf.DUMMYFUNCTION("""COMPUTED_VALUE"""),0.9166666666666666)</f>
        <v>0.9166666667</v>
      </c>
      <c r="D14734" s="8">
        <f>IFERROR(__xludf.DUMMYFUNCTION("""COMPUTED_VALUE"""),0.015)</f>
        <v>0.015</v>
      </c>
      <c r="E14734" s="8" t="str">
        <f>IFERROR(__xludf.DUMMYFUNCTION("""COMPUTED_VALUE"""),"Real")</f>
        <v>Real</v>
      </c>
      <c r="G14734" s="8">
        <f t="shared" si="1"/>
        <v>7</v>
      </c>
      <c r="H14734" s="14">
        <f t="shared" si="2"/>
        <v>6</v>
      </c>
      <c r="I14734" s="15">
        <f t="shared" si="3"/>
        <v>22</v>
      </c>
    </row>
    <row r="14735">
      <c r="A14735" s="8" t="str">
        <f>IFERROR(__xludf.DUMMYFUNCTION("IF('(INGESTA)Datos_consumo_datadis'!A14735&lt;&gt;"""",SPLIT('(INGESTA)Datos_consumo_datadis'!A:A,"",""),"""")"),"ES0031408323131005HX0F")</f>
        <v>ES0031408323131005HX0F</v>
      </c>
      <c r="B14735" s="12">
        <f>IFERROR(__xludf.DUMMYFUNCTION("""COMPUTED_VALUE"""),45479.0)</f>
        <v>45479</v>
      </c>
      <c r="C14735" s="13">
        <f>IFERROR(__xludf.DUMMYFUNCTION("""COMPUTED_VALUE"""),0.9583333333333334)</f>
        <v>0.9583333333</v>
      </c>
      <c r="D14735" s="8">
        <f>IFERROR(__xludf.DUMMYFUNCTION("""COMPUTED_VALUE"""),0.112)</f>
        <v>0.112</v>
      </c>
      <c r="E14735" s="8" t="str">
        <f>IFERROR(__xludf.DUMMYFUNCTION("""COMPUTED_VALUE"""),"Real")</f>
        <v>Real</v>
      </c>
      <c r="G14735" s="8">
        <f t="shared" si="1"/>
        <v>7</v>
      </c>
      <c r="H14735" s="14">
        <f t="shared" si="2"/>
        <v>6</v>
      </c>
      <c r="I14735" s="15">
        <f t="shared" si="3"/>
        <v>23</v>
      </c>
    </row>
    <row r="14736">
      <c r="A14736" s="8" t="str">
        <f>IFERROR(__xludf.DUMMYFUNCTION("IF('(INGESTA)Datos_consumo_datadis'!A14736&lt;&gt;"""",SPLIT('(INGESTA)Datos_consumo_datadis'!A:A,"",""),"""")"),"ES0031408323131005HX0F")</f>
        <v>ES0031408323131005HX0F</v>
      </c>
      <c r="B14736" s="12">
        <f>IFERROR(__xludf.DUMMYFUNCTION("""COMPUTED_VALUE"""),45479.0)</f>
        <v>45479</v>
      </c>
      <c r="C14736" s="16">
        <f>IFERROR(__xludf.DUMMYFUNCTION("""COMPUTED_VALUE"""),1.0)</f>
        <v>1</v>
      </c>
      <c r="D14736" s="8">
        <f>IFERROR(__xludf.DUMMYFUNCTION("""COMPUTED_VALUE"""),0.081)</f>
        <v>0.081</v>
      </c>
      <c r="E14736" s="8" t="str">
        <f>IFERROR(__xludf.DUMMYFUNCTION("""COMPUTED_VALUE"""),"Real")</f>
        <v>Real</v>
      </c>
      <c r="G14736" s="8">
        <f t="shared" si="1"/>
        <v>7</v>
      </c>
      <c r="H14736" s="14">
        <f t="shared" si="2"/>
        <v>6</v>
      </c>
      <c r="I14736" s="15">
        <f t="shared" si="3"/>
        <v>0</v>
      </c>
    </row>
    <row r="14737">
      <c r="A14737" s="8" t="str">
        <f>IFERROR(__xludf.DUMMYFUNCTION("IF('(INGESTA)Datos_consumo_datadis'!A14737&lt;&gt;"""",SPLIT('(INGESTA)Datos_consumo_datadis'!A:A,"",""),"""")"),"ES0031408323131005HX0F")</f>
        <v>ES0031408323131005HX0F</v>
      </c>
      <c r="B14737" s="12">
        <f>IFERROR(__xludf.DUMMYFUNCTION("""COMPUTED_VALUE"""),45480.0)</f>
        <v>45480</v>
      </c>
      <c r="C14737" s="13">
        <f>IFERROR(__xludf.DUMMYFUNCTION("""COMPUTED_VALUE"""),0.041666666666666664)</f>
        <v>0.04166666667</v>
      </c>
      <c r="D14737" s="8">
        <f>IFERROR(__xludf.DUMMYFUNCTION("""COMPUTED_VALUE"""),0.08)</f>
        <v>0.08</v>
      </c>
      <c r="E14737" s="8" t="str">
        <f>IFERROR(__xludf.DUMMYFUNCTION("""COMPUTED_VALUE"""),"Real")</f>
        <v>Real</v>
      </c>
      <c r="G14737" s="8">
        <f t="shared" si="1"/>
        <v>7</v>
      </c>
      <c r="H14737" s="14">
        <f t="shared" si="2"/>
        <v>7</v>
      </c>
      <c r="I14737" s="15">
        <f t="shared" si="3"/>
        <v>1</v>
      </c>
    </row>
    <row r="14738">
      <c r="A14738" s="8" t="str">
        <f>IFERROR(__xludf.DUMMYFUNCTION("IF('(INGESTA)Datos_consumo_datadis'!A14738&lt;&gt;"""",SPLIT('(INGESTA)Datos_consumo_datadis'!A:A,"",""),"""")"),"ES0031408323131005HX0F")</f>
        <v>ES0031408323131005HX0F</v>
      </c>
      <c r="B14738" s="12">
        <f>IFERROR(__xludf.DUMMYFUNCTION("""COMPUTED_VALUE"""),45480.0)</f>
        <v>45480</v>
      </c>
      <c r="C14738" s="13">
        <f>IFERROR(__xludf.DUMMYFUNCTION("""COMPUTED_VALUE"""),0.08333333333333333)</f>
        <v>0.08333333333</v>
      </c>
      <c r="D14738" s="8">
        <f>IFERROR(__xludf.DUMMYFUNCTION("""COMPUTED_VALUE"""),0.018)</f>
        <v>0.018</v>
      </c>
      <c r="E14738" s="8" t="str">
        <f>IFERROR(__xludf.DUMMYFUNCTION("""COMPUTED_VALUE"""),"Real")</f>
        <v>Real</v>
      </c>
      <c r="G14738" s="8">
        <f t="shared" si="1"/>
        <v>7</v>
      </c>
      <c r="H14738" s="14">
        <f t="shared" si="2"/>
        <v>7</v>
      </c>
      <c r="I14738" s="15">
        <f t="shared" si="3"/>
        <v>2</v>
      </c>
    </row>
    <row r="14739">
      <c r="A14739" s="8" t="str">
        <f>IFERROR(__xludf.DUMMYFUNCTION("IF('(INGESTA)Datos_consumo_datadis'!A14739&lt;&gt;"""",SPLIT('(INGESTA)Datos_consumo_datadis'!A:A,"",""),"""")"),"ES0031408323131005HX0F")</f>
        <v>ES0031408323131005HX0F</v>
      </c>
      <c r="B14739" s="12">
        <f>IFERROR(__xludf.DUMMYFUNCTION("""COMPUTED_VALUE"""),45480.0)</f>
        <v>45480</v>
      </c>
      <c r="C14739" s="13">
        <f>IFERROR(__xludf.DUMMYFUNCTION("""COMPUTED_VALUE"""),0.125)</f>
        <v>0.125</v>
      </c>
      <c r="D14739" s="8">
        <f>IFERROR(__xludf.DUMMYFUNCTION("""COMPUTED_VALUE"""),0.065)</f>
        <v>0.065</v>
      </c>
      <c r="E14739" s="8" t="str">
        <f>IFERROR(__xludf.DUMMYFUNCTION("""COMPUTED_VALUE"""),"Real")</f>
        <v>Real</v>
      </c>
      <c r="G14739" s="8">
        <f t="shared" si="1"/>
        <v>7</v>
      </c>
      <c r="H14739" s="14">
        <f t="shared" si="2"/>
        <v>7</v>
      </c>
      <c r="I14739" s="15">
        <f t="shared" si="3"/>
        <v>3</v>
      </c>
    </row>
    <row r="14740">
      <c r="A14740" s="8" t="str">
        <f>IFERROR(__xludf.DUMMYFUNCTION("IF('(INGESTA)Datos_consumo_datadis'!A14740&lt;&gt;"""",SPLIT('(INGESTA)Datos_consumo_datadis'!A:A,"",""),"""")"),"ES0031408323131005HX0F")</f>
        <v>ES0031408323131005HX0F</v>
      </c>
      <c r="B14740" s="12">
        <f>IFERROR(__xludf.DUMMYFUNCTION("""COMPUTED_VALUE"""),45480.0)</f>
        <v>45480</v>
      </c>
      <c r="C14740" s="13">
        <f>IFERROR(__xludf.DUMMYFUNCTION("""COMPUTED_VALUE"""),0.16666666666666666)</f>
        <v>0.1666666667</v>
      </c>
      <c r="D14740" s="8">
        <f>IFERROR(__xludf.DUMMYFUNCTION("""COMPUTED_VALUE"""),0.106)</f>
        <v>0.106</v>
      </c>
      <c r="E14740" s="8" t="str">
        <f>IFERROR(__xludf.DUMMYFUNCTION("""COMPUTED_VALUE"""),"Real")</f>
        <v>Real</v>
      </c>
      <c r="G14740" s="8">
        <f t="shared" si="1"/>
        <v>7</v>
      </c>
      <c r="H14740" s="14">
        <f t="shared" si="2"/>
        <v>7</v>
      </c>
      <c r="I14740" s="15">
        <f t="shared" si="3"/>
        <v>4</v>
      </c>
    </row>
    <row r="14741">
      <c r="A14741" s="8" t="str">
        <f>IFERROR(__xludf.DUMMYFUNCTION("IF('(INGESTA)Datos_consumo_datadis'!A14741&lt;&gt;"""",SPLIT('(INGESTA)Datos_consumo_datadis'!A:A,"",""),"""")"),"ES0031408323131005HX0F")</f>
        <v>ES0031408323131005HX0F</v>
      </c>
      <c r="B14741" s="12">
        <f>IFERROR(__xludf.DUMMYFUNCTION("""COMPUTED_VALUE"""),45480.0)</f>
        <v>45480</v>
      </c>
      <c r="C14741" s="13">
        <f>IFERROR(__xludf.DUMMYFUNCTION("""COMPUTED_VALUE"""),0.20833333333333334)</f>
        <v>0.2083333333</v>
      </c>
      <c r="D14741" s="8">
        <f>IFERROR(__xludf.DUMMYFUNCTION("""COMPUTED_VALUE"""),0.338)</f>
        <v>0.338</v>
      </c>
      <c r="E14741" s="8" t="str">
        <f>IFERROR(__xludf.DUMMYFUNCTION("""COMPUTED_VALUE"""),"Real")</f>
        <v>Real</v>
      </c>
      <c r="G14741" s="8">
        <f t="shared" si="1"/>
        <v>7</v>
      </c>
      <c r="H14741" s="14">
        <f t="shared" si="2"/>
        <v>7</v>
      </c>
      <c r="I14741" s="15">
        <f t="shared" si="3"/>
        <v>5</v>
      </c>
    </row>
    <row r="14742">
      <c r="A14742" s="8" t="str">
        <f>IFERROR(__xludf.DUMMYFUNCTION("IF('(INGESTA)Datos_consumo_datadis'!A14742&lt;&gt;"""",SPLIT('(INGESTA)Datos_consumo_datadis'!A:A,"",""),"""")"),"ES0031408323131005HX0F")</f>
        <v>ES0031408323131005HX0F</v>
      </c>
      <c r="B14742" s="12">
        <f>IFERROR(__xludf.DUMMYFUNCTION("""COMPUTED_VALUE"""),45480.0)</f>
        <v>45480</v>
      </c>
      <c r="C14742" s="13">
        <f>IFERROR(__xludf.DUMMYFUNCTION("""COMPUTED_VALUE"""),0.25)</f>
        <v>0.25</v>
      </c>
      <c r="D14742" s="8">
        <f>IFERROR(__xludf.DUMMYFUNCTION("""COMPUTED_VALUE"""),0.061)</f>
        <v>0.061</v>
      </c>
      <c r="E14742" s="8" t="str">
        <f>IFERROR(__xludf.DUMMYFUNCTION("""COMPUTED_VALUE"""),"Real")</f>
        <v>Real</v>
      </c>
      <c r="G14742" s="8">
        <f t="shared" si="1"/>
        <v>7</v>
      </c>
      <c r="H14742" s="14">
        <f t="shared" si="2"/>
        <v>7</v>
      </c>
      <c r="I14742" s="15">
        <f t="shared" si="3"/>
        <v>6</v>
      </c>
    </row>
    <row r="14743">
      <c r="A14743" s="8" t="str">
        <f>IFERROR(__xludf.DUMMYFUNCTION("IF('(INGESTA)Datos_consumo_datadis'!A14743&lt;&gt;"""",SPLIT('(INGESTA)Datos_consumo_datadis'!A:A,"",""),"""")"),"ES0031408323131005HX0F")</f>
        <v>ES0031408323131005HX0F</v>
      </c>
      <c r="B14743" s="12">
        <f>IFERROR(__xludf.DUMMYFUNCTION("""COMPUTED_VALUE"""),45480.0)</f>
        <v>45480</v>
      </c>
      <c r="C14743" s="13">
        <f>IFERROR(__xludf.DUMMYFUNCTION("""COMPUTED_VALUE"""),0.2916666666666667)</f>
        <v>0.2916666667</v>
      </c>
      <c r="D14743" s="8">
        <f>IFERROR(__xludf.DUMMYFUNCTION("""COMPUTED_VALUE"""),0.016)</f>
        <v>0.016</v>
      </c>
      <c r="E14743" s="8" t="str">
        <f>IFERROR(__xludf.DUMMYFUNCTION("""COMPUTED_VALUE"""),"Real")</f>
        <v>Real</v>
      </c>
      <c r="G14743" s="8">
        <f t="shared" si="1"/>
        <v>7</v>
      </c>
      <c r="H14743" s="14">
        <f t="shared" si="2"/>
        <v>7</v>
      </c>
      <c r="I14743" s="15">
        <f t="shared" si="3"/>
        <v>7</v>
      </c>
    </row>
    <row r="14744">
      <c r="A14744" s="8" t="str">
        <f>IFERROR(__xludf.DUMMYFUNCTION("IF('(INGESTA)Datos_consumo_datadis'!A14744&lt;&gt;"""",SPLIT('(INGESTA)Datos_consumo_datadis'!A:A,"",""),"""")"),"ES0031408323131005HX0F")</f>
        <v>ES0031408323131005HX0F</v>
      </c>
      <c r="B14744" s="12">
        <f>IFERROR(__xludf.DUMMYFUNCTION("""COMPUTED_VALUE"""),45480.0)</f>
        <v>45480</v>
      </c>
      <c r="C14744" s="13">
        <f>IFERROR(__xludf.DUMMYFUNCTION("""COMPUTED_VALUE"""),0.3333333333333333)</f>
        <v>0.3333333333</v>
      </c>
      <c r="D14744" s="8">
        <f>IFERROR(__xludf.DUMMYFUNCTION("""COMPUTED_VALUE"""),0.121)</f>
        <v>0.121</v>
      </c>
      <c r="E14744" s="8" t="str">
        <f>IFERROR(__xludf.DUMMYFUNCTION("""COMPUTED_VALUE"""),"Real")</f>
        <v>Real</v>
      </c>
      <c r="G14744" s="8">
        <f t="shared" si="1"/>
        <v>7</v>
      </c>
      <c r="H14744" s="14">
        <f t="shared" si="2"/>
        <v>7</v>
      </c>
      <c r="I14744" s="15">
        <f t="shared" si="3"/>
        <v>8</v>
      </c>
    </row>
    <row r="14745">
      <c r="A14745" s="8" t="str">
        <f>IFERROR(__xludf.DUMMYFUNCTION("IF('(INGESTA)Datos_consumo_datadis'!A14745&lt;&gt;"""",SPLIT('(INGESTA)Datos_consumo_datadis'!A:A,"",""),"""")"),"ES0031408323131005HX0F")</f>
        <v>ES0031408323131005HX0F</v>
      </c>
      <c r="B14745" s="12">
        <f>IFERROR(__xludf.DUMMYFUNCTION("""COMPUTED_VALUE"""),45480.0)</f>
        <v>45480</v>
      </c>
      <c r="C14745" s="13">
        <f>IFERROR(__xludf.DUMMYFUNCTION("""COMPUTED_VALUE"""),0.375)</f>
        <v>0.375</v>
      </c>
      <c r="D14745" s="8">
        <f>IFERROR(__xludf.DUMMYFUNCTION("""COMPUTED_VALUE"""),0.078)</f>
        <v>0.078</v>
      </c>
      <c r="E14745" s="8" t="str">
        <f>IFERROR(__xludf.DUMMYFUNCTION("""COMPUTED_VALUE"""),"Real")</f>
        <v>Real</v>
      </c>
      <c r="G14745" s="8">
        <f t="shared" si="1"/>
        <v>7</v>
      </c>
      <c r="H14745" s="14">
        <f t="shared" si="2"/>
        <v>7</v>
      </c>
      <c r="I14745" s="15">
        <f t="shared" si="3"/>
        <v>9</v>
      </c>
    </row>
    <row r="14746">
      <c r="A14746" s="8" t="str">
        <f>IFERROR(__xludf.DUMMYFUNCTION("IF('(INGESTA)Datos_consumo_datadis'!A14746&lt;&gt;"""",SPLIT('(INGESTA)Datos_consumo_datadis'!A:A,"",""),"""")"),"ES0031408323131005HX0F")</f>
        <v>ES0031408323131005HX0F</v>
      </c>
      <c r="B14746" s="12">
        <f>IFERROR(__xludf.DUMMYFUNCTION("""COMPUTED_VALUE"""),45480.0)</f>
        <v>45480</v>
      </c>
      <c r="C14746" s="13">
        <f>IFERROR(__xludf.DUMMYFUNCTION("""COMPUTED_VALUE"""),0.4166666666666667)</f>
        <v>0.4166666667</v>
      </c>
      <c r="D14746" s="8">
        <f>IFERROR(__xludf.DUMMYFUNCTION("""COMPUTED_VALUE"""),0.068)</f>
        <v>0.068</v>
      </c>
      <c r="E14746" s="8" t="str">
        <f>IFERROR(__xludf.DUMMYFUNCTION("""COMPUTED_VALUE"""),"Real")</f>
        <v>Real</v>
      </c>
      <c r="G14746" s="8">
        <f t="shared" si="1"/>
        <v>7</v>
      </c>
      <c r="H14746" s="14">
        <f t="shared" si="2"/>
        <v>7</v>
      </c>
      <c r="I14746" s="15">
        <f t="shared" si="3"/>
        <v>10</v>
      </c>
    </row>
    <row r="14747">
      <c r="A14747" s="8" t="str">
        <f>IFERROR(__xludf.DUMMYFUNCTION("IF('(INGESTA)Datos_consumo_datadis'!A14747&lt;&gt;"""",SPLIT('(INGESTA)Datos_consumo_datadis'!A:A,"",""),"""")"),"ES0031408323131005HX0F")</f>
        <v>ES0031408323131005HX0F</v>
      </c>
      <c r="B14747" s="12">
        <f>IFERROR(__xludf.DUMMYFUNCTION("""COMPUTED_VALUE"""),45480.0)</f>
        <v>45480</v>
      </c>
      <c r="C14747" s="13">
        <f>IFERROR(__xludf.DUMMYFUNCTION("""COMPUTED_VALUE"""),0.4583333333333333)</f>
        <v>0.4583333333</v>
      </c>
      <c r="D14747" s="8">
        <f>IFERROR(__xludf.DUMMYFUNCTION("""COMPUTED_VALUE"""),0.015)</f>
        <v>0.015</v>
      </c>
      <c r="E14747" s="8" t="str">
        <f>IFERROR(__xludf.DUMMYFUNCTION("""COMPUTED_VALUE"""),"Real")</f>
        <v>Real</v>
      </c>
      <c r="G14747" s="8">
        <f t="shared" si="1"/>
        <v>7</v>
      </c>
      <c r="H14747" s="14">
        <f t="shared" si="2"/>
        <v>7</v>
      </c>
      <c r="I14747" s="15">
        <f t="shared" si="3"/>
        <v>11</v>
      </c>
    </row>
    <row r="14748">
      <c r="A14748" s="8" t="str">
        <f>IFERROR(__xludf.DUMMYFUNCTION("IF('(INGESTA)Datos_consumo_datadis'!A14748&lt;&gt;"""",SPLIT('(INGESTA)Datos_consumo_datadis'!A:A,"",""),"""")"),"ES0031408323131005HX0F")</f>
        <v>ES0031408323131005HX0F</v>
      </c>
      <c r="B14748" s="12">
        <f>IFERROR(__xludf.DUMMYFUNCTION("""COMPUTED_VALUE"""),45480.0)</f>
        <v>45480</v>
      </c>
      <c r="C14748" s="13">
        <f>IFERROR(__xludf.DUMMYFUNCTION("""COMPUTED_VALUE"""),0.5)</f>
        <v>0.5</v>
      </c>
      <c r="D14748" s="8">
        <f>IFERROR(__xludf.DUMMYFUNCTION("""COMPUTED_VALUE"""),0.376)</f>
        <v>0.376</v>
      </c>
      <c r="E14748" s="8" t="str">
        <f>IFERROR(__xludf.DUMMYFUNCTION("""COMPUTED_VALUE"""),"Real")</f>
        <v>Real</v>
      </c>
      <c r="G14748" s="8">
        <f t="shared" si="1"/>
        <v>7</v>
      </c>
      <c r="H14748" s="14">
        <f t="shared" si="2"/>
        <v>7</v>
      </c>
      <c r="I14748" s="15">
        <f t="shared" si="3"/>
        <v>12</v>
      </c>
    </row>
    <row r="14749">
      <c r="A14749" s="8" t="str">
        <f>IFERROR(__xludf.DUMMYFUNCTION("IF('(INGESTA)Datos_consumo_datadis'!A14749&lt;&gt;"""",SPLIT('(INGESTA)Datos_consumo_datadis'!A:A,"",""),"""")"),"ES0031408323131005HX0F")</f>
        <v>ES0031408323131005HX0F</v>
      </c>
      <c r="B14749" s="12">
        <f>IFERROR(__xludf.DUMMYFUNCTION("""COMPUTED_VALUE"""),45480.0)</f>
        <v>45480</v>
      </c>
      <c r="C14749" s="13">
        <f>IFERROR(__xludf.DUMMYFUNCTION("""COMPUTED_VALUE"""),0.5416666666666666)</f>
        <v>0.5416666667</v>
      </c>
      <c r="D14749" s="8">
        <f>IFERROR(__xludf.DUMMYFUNCTION("""COMPUTED_VALUE"""),0.092)</f>
        <v>0.092</v>
      </c>
      <c r="E14749" s="8" t="str">
        <f>IFERROR(__xludf.DUMMYFUNCTION("""COMPUTED_VALUE"""),"Real")</f>
        <v>Real</v>
      </c>
      <c r="G14749" s="8">
        <f t="shared" si="1"/>
        <v>7</v>
      </c>
      <c r="H14749" s="14">
        <f t="shared" si="2"/>
        <v>7</v>
      </c>
      <c r="I14749" s="15">
        <f t="shared" si="3"/>
        <v>13</v>
      </c>
    </row>
    <row r="14750">
      <c r="A14750" s="8" t="str">
        <f>IFERROR(__xludf.DUMMYFUNCTION("IF('(INGESTA)Datos_consumo_datadis'!A14750&lt;&gt;"""",SPLIT('(INGESTA)Datos_consumo_datadis'!A:A,"",""),"""")"),"ES0031408323131005HX0F")</f>
        <v>ES0031408323131005HX0F</v>
      </c>
      <c r="B14750" s="12">
        <f>IFERROR(__xludf.DUMMYFUNCTION("""COMPUTED_VALUE"""),45480.0)</f>
        <v>45480</v>
      </c>
      <c r="C14750" s="13">
        <f>IFERROR(__xludf.DUMMYFUNCTION("""COMPUTED_VALUE"""),0.5833333333333334)</f>
        <v>0.5833333333</v>
      </c>
      <c r="D14750" s="8">
        <f>IFERROR(__xludf.DUMMYFUNCTION("""COMPUTED_VALUE"""),0.09)</f>
        <v>0.09</v>
      </c>
      <c r="E14750" s="8" t="str">
        <f>IFERROR(__xludf.DUMMYFUNCTION("""COMPUTED_VALUE"""),"Real")</f>
        <v>Real</v>
      </c>
      <c r="G14750" s="8">
        <f t="shared" si="1"/>
        <v>7</v>
      </c>
      <c r="H14750" s="14">
        <f t="shared" si="2"/>
        <v>7</v>
      </c>
      <c r="I14750" s="15">
        <f t="shared" si="3"/>
        <v>14</v>
      </c>
    </row>
    <row r="14751">
      <c r="A14751" s="8" t="str">
        <f>IFERROR(__xludf.DUMMYFUNCTION("IF('(INGESTA)Datos_consumo_datadis'!A14751&lt;&gt;"""",SPLIT('(INGESTA)Datos_consumo_datadis'!A:A,"",""),"""")"),"ES0031408323131005HX0F")</f>
        <v>ES0031408323131005HX0F</v>
      </c>
      <c r="B14751" s="12">
        <f>IFERROR(__xludf.DUMMYFUNCTION("""COMPUTED_VALUE"""),45480.0)</f>
        <v>45480</v>
      </c>
      <c r="C14751" s="13">
        <f>IFERROR(__xludf.DUMMYFUNCTION("""COMPUTED_VALUE"""),0.625)</f>
        <v>0.625</v>
      </c>
      <c r="D14751" s="8">
        <f>IFERROR(__xludf.DUMMYFUNCTION("""COMPUTED_VALUE"""),0.039)</f>
        <v>0.039</v>
      </c>
      <c r="E14751" s="8" t="str">
        <f>IFERROR(__xludf.DUMMYFUNCTION("""COMPUTED_VALUE"""),"Real")</f>
        <v>Real</v>
      </c>
      <c r="G14751" s="8">
        <f t="shared" si="1"/>
        <v>7</v>
      </c>
      <c r="H14751" s="14">
        <f t="shared" si="2"/>
        <v>7</v>
      </c>
      <c r="I14751" s="15">
        <f t="shared" si="3"/>
        <v>15</v>
      </c>
    </row>
    <row r="14752">
      <c r="A14752" s="8" t="str">
        <f>IFERROR(__xludf.DUMMYFUNCTION("IF('(INGESTA)Datos_consumo_datadis'!A14752&lt;&gt;"""",SPLIT('(INGESTA)Datos_consumo_datadis'!A:A,"",""),"""")"),"ES0031408323131005HX0F")</f>
        <v>ES0031408323131005HX0F</v>
      </c>
      <c r="B14752" s="12">
        <f>IFERROR(__xludf.DUMMYFUNCTION("""COMPUTED_VALUE"""),45480.0)</f>
        <v>45480</v>
      </c>
      <c r="C14752" s="13">
        <f>IFERROR(__xludf.DUMMYFUNCTION("""COMPUTED_VALUE"""),0.6666666666666666)</f>
        <v>0.6666666667</v>
      </c>
      <c r="D14752" s="8">
        <f>IFERROR(__xludf.DUMMYFUNCTION("""COMPUTED_VALUE"""),0.039)</f>
        <v>0.039</v>
      </c>
      <c r="E14752" s="8" t="str">
        <f>IFERROR(__xludf.DUMMYFUNCTION("""COMPUTED_VALUE"""),"Real")</f>
        <v>Real</v>
      </c>
      <c r="G14752" s="8">
        <f t="shared" si="1"/>
        <v>7</v>
      </c>
      <c r="H14752" s="14">
        <f t="shared" si="2"/>
        <v>7</v>
      </c>
      <c r="I14752" s="15">
        <f t="shared" si="3"/>
        <v>16</v>
      </c>
    </row>
    <row r="14753">
      <c r="A14753" s="8" t="str">
        <f>IFERROR(__xludf.DUMMYFUNCTION("IF('(INGESTA)Datos_consumo_datadis'!A14753&lt;&gt;"""",SPLIT('(INGESTA)Datos_consumo_datadis'!A:A,"",""),"""")"),"ES0031408323131005HX0F")</f>
        <v>ES0031408323131005HX0F</v>
      </c>
      <c r="B14753" s="12">
        <f>IFERROR(__xludf.DUMMYFUNCTION("""COMPUTED_VALUE"""),45480.0)</f>
        <v>45480</v>
      </c>
      <c r="C14753" s="13">
        <f>IFERROR(__xludf.DUMMYFUNCTION("""COMPUTED_VALUE"""),0.7083333333333334)</f>
        <v>0.7083333333</v>
      </c>
      <c r="D14753" s="8">
        <f>IFERROR(__xludf.DUMMYFUNCTION("""COMPUTED_VALUE"""),0.117)</f>
        <v>0.117</v>
      </c>
      <c r="E14753" s="8" t="str">
        <f>IFERROR(__xludf.DUMMYFUNCTION("""COMPUTED_VALUE"""),"Real")</f>
        <v>Real</v>
      </c>
      <c r="G14753" s="8">
        <f t="shared" si="1"/>
        <v>7</v>
      </c>
      <c r="H14753" s="14">
        <f t="shared" si="2"/>
        <v>7</v>
      </c>
      <c r="I14753" s="15">
        <f t="shared" si="3"/>
        <v>17</v>
      </c>
    </row>
    <row r="14754">
      <c r="A14754" s="8" t="str">
        <f>IFERROR(__xludf.DUMMYFUNCTION("IF('(INGESTA)Datos_consumo_datadis'!A14754&lt;&gt;"""",SPLIT('(INGESTA)Datos_consumo_datadis'!A:A,"",""),"""")"),"ES0031408323131005HX0F")</f>
        <v>ES0031408323131005HX0F</v>
      </c>
      <c r="B14754" s="12">
        <f>IFERROR(__xludf.DUMMYFUNCTION("""COMPUTED_VALUE"""),45480.0)</f>
        <v>45480</v>
      </c>
      <c r="C14754" s="13">
        <f>IFERROR(__xludf.DUMMYFUNCTION("""COMPUTED_VALUE"""),0.75)</f>
        <v>0.75</v>
      </c>
      <c r="D14754" s="8">
        <f>IFERROR(__xludf.DUMMYFUNCTION("""COMPUTED_VALUE"""),0.062)</f>
        <v>0.062</v>
      </c>
      <c r="E14754" s="8" t="str">
        <f>IFERROR(__xludf.DUMMYFUNCTION("""COMPUTED_VALUE"""),"Real")</f>
        <v>Real</v>
      </c>
      <c r="G14754" s="8">
        <f t="shared" si="1"/>
        <v>7</v>
      </c>
      <c r="H14754" s="14">
        <f t="shared" si="2"/>
        <v>7</v>
      </c>
      <c r="I14754" s="15">
        <f t="shared" si="3"/>
        <v>18</v>
      </c>
    </row>
    <row r="14755">
      <c r="A14755" s="8" t="str">
        <f>IFERROR(__xludf.DUMMYFUNCTION("IF('(INGESTA)Datos_consumo_datadis'!A14755&lt;&gt;"""",SPLIT('(INGESTA)Datos_consumo_datadis'!A:A,"",""),"""")"),"ES0031408323131005HX0F")</f>
        <v>ES0031408323131005HX0F</v>
      </c>
      <c r="B14755" s="12">
        <f>IFERROR(__xludf.DUMMYFUNCTION("""COMPUTED_VALUE"""),45480.0)</f>
        <v>45480</v>
      </c>
      <c r="C14755" s="13">
        <f>IFERROR(__xludf.DUMMYFUNCTION("""COMPUTED_VALUE"""),0.7916666666666666)</f>
        <v>0.7916666667</v>
      </c>
      <c r="D14755" s="8">
        <f>IFERROR(__xludf.DUMMYFUNCTION("""COMPUTED_VALUE"""),0.064)</f>
        <v>0.064</v>
      </c>
      <c r="E14755" s="8" t="str">
        <f>IFERROR(__xludf.DUMMYFUNCTION("""COMPUTED_VALUE"""),"Real")</f>
        <v>Real</v>
      </c>
      <c r="G14755" s="8">
        <f t="shared" si="1"/>
        <v>7</v>
      </c>
      <c r="H14755" s="14">
        <f t="shared" si="2"/>
        <v>7</v>
      </c>
      <c r="I14755" s="15">
        <f t="shared" si="3"/>
        <v>19</v>
      </c>
    </row>
    <row r="14756">
      <c r="A14756" s="8" t="str">
        <f>IFERROR(__xludf.DUMMYFUNCTION("IF('(INGESTA)Datos_consumo_datadis'!A14756&lt;&gt;"""",SPLIT('(INGESTA)Datos_consumo_datadis'!A:A,"",""),"""")"),"ES0031408323131005HX0F")</f>
        <v>ES0031408323131005HX0F</v>
      </c>
      <c r="B14756" s="12">
        <f>IFERROR(__xludf.DUMMYFUNCTION("""COMPUTED_VALUE"""),45480.0)</f>
        <v>45480</v>
      </c>
      <c r="C14756" s="13">
        <f>IFERROR(__xludf.DUMMYFUNCTION("""COMPUTED_VALUE"""),0.8333333333333334)</f>
        <v>0.8333333333</v>
      </c>
      <c r="D14756" s="8">
        <f>IFERROR(__xludf.DUMMYFUNCTION("""COMPUTED_VALUE"""),0.288)</f>
        <v>0.288</v>
      </c>
      <c r="E14756" s="8" t="str">
        <f>IFERROR(__xludf.DUMMYFUNCTION("""COMPUTED_VALUE"""),"Real")</f>
        <v>Real</v>
      </c>
      <c r="G14756" s="8">
        <f t="shared" si="1"/>
        <v>7</v>
      </c>
      <c r="H14756" s="14">
        <f t="shared" si="2"/>
        <v>7</v>
      </c>
      <c r="I14756" s="15">
        <f t="shared" si="3"/>
        <v>20</v>
      </c>
    </row>
    <row r="14757">
      <c r="A14757" s="8" t="str">
        <f>IFERROR(__xludf.DUMMYFUNCTION("IF('(INGESTA)Datos_consumo_datadis'!A14757&lt;&gt;"""",SPLIT('(INGESTA)Datos_consumo_datadis'!A:A,"",""),"""")"),"ES0031408323131005HX0F")</f>
        <v>ES0031408323131005HX0F</v>
      </c>
      <c r="B14757" s="12">
        <f>IFERROR(__xludf.DUMMYFUNCTION("""COMPUTED_VALUE"""),45480.0)</f>
        <v>45480</v>
      </c>
      <c r="C14757" s="13">
        <f>IFERROR(__xludf.DUMMYFUNCTION("""COMPUTED_VALUE"""),0.875)</f>
        <v>0.875</v>
      </c>
      <c r="D14757" s="8">
        <f>IFERROR(__xludf.DUMMYFUNCTION("""COMPUTED_VALUE"""),0.1)</f>
        <v>0.1</v>
      </c>
      <c r="E14757" s="8" t="str">
        <f>IFERROR(__xludf.DUMMYFUNCTION("""COMPUTED_VALUE"""),"Real")</f>
        <v>Real</v>
      </c>
      <c r="G14757" s="8">
        <f t="shared" si="1"/>
        <v>7</v>
      </c>
      <c r="H14757" s="14">
        <f t="shared" si="2"/>
        <v>7</v>
      </c>
      <c r="I14757" s="15">
        <f t="shared" si="3"/>
        <v>21</v>
      </c>
    </row>
    <row r="14758">
      <c r="A14758" s="8" t="str">
        <f>IFERROR(__xludf.DUMMYFUNCTION("IF('(INGESTA)Datos_consumo_datadis'!A14758&lt;&gt;"""",SPLIT('(INGESTA)Datos_consumo_datadis'!A:A,"",""),"""")"),"ES0031408323131005HX0F")</f>
        <v>ES0031408323131005HX0F</v>
      </c>
      <c r="B14758" s="12">
        <f>IFERROR(__xludf.DUMMYFUNCTION("""COMPUTED_VALUE"""),45480.0)</f>
        <v>45480</v>
      </c>
      <c r="C14758" s="13">
        <f>IFERROR(__xludf.DUMMYFUNCTION("""COMPUTED_VALUE"""),0.9166666666666666)</f>
        <v>0.9166666667</v>
      </c>
      <c r="D14758" s="8">
        <f>IFERROR(__xludf.DUMMYFUNCTION("""COMPUTED_VALUE"""),0.08)</f>
        <v>0.08</v>
      </c>
      <c r="E14758" s="8" t="str">
        <f>IFERROR(__xludf.DUMMYFUNCTION("""COMPUTED_VALUE"""),"Real")</f>
        <v>Real</v>
      </c>
      <c r="G14758" s="8">
        <f t="shared" si="1"/>
        <v>7</v>
      </c>
      <c r="H14758" s="14">
        <f t="shared" si="2"/>
        <v>7</v>
      </c>
      <c r="I14758" s="15">
        <f t="shared" si="3"/>
        <v>22</v>
      </c>
    </row>
    <row r="14759">
      <c r="A14759" s="8" t="str">
        <f>IFERROR(__xludf.DUMMYFUNCTION("IF('(INGESTA)Datos_consumo_datadis'!A14759&lt;&gt;"""",SPLIT('(INGESTA)Datos_consumo_datadis'!A:A,"",""),"""")"),"ES0031408323131005HX0F")</f>
        <v>ES0031408323131005HX0F</v>
      </c>
      <c r="B14759" s="12">
        <f>IFERROR(__xludf.DUMMYFUNCTION("""COMPUTED_VALUE"""),45480.0)</f>
        <v>45480</v>
      </c>
      <c r="C14759" s="13">
        <f>IFERROR(__xludf.DUMMYFUNCTION("""COMPUTED_VALUE"""),0.9583333333333334)</f>
        <v>0.9583333333</v>
      </c>
      <c r="D14759" s="8">
        <f>IFERROR(__xludf.DUMMYFUNCTION("""COMPUTED_VALUE"""),0.078)</f>
        <v>0.078</v>
      </c>
      <c r="E14759" s="8" t="str">
        <f>IFERROR(__xludf.DUMMYFUNCTION("""COMPUTED_VALUE"""),"Real")</f>
        <v>Real</v>
      </c>
      <c r="G14759" s="8">
        <f t="shared" si="1"/>
        <v>7</v>
      </c>
      <c r="H14759" s="14">
        <f t="shared" si="2"/>
        <v>7</v>
      </c>
      <c r="I14759" s="15">
        <f t="shared" si="3"/>
        <v>23</v>
      </c>
    </row>
    <row r="14760">
      <c r="A14760" s="8" t="str">
        <f>IFERROR(__xludf.DUMMYFUNCTION("IF('(INGESTA)Datos_consumo_datadis'!A14760&lt;&gt;"""",SPLIT('(INGESTA)Datos_consumo_datadis'!A:A,"",""),"""")"),"ES0031408323131005HX0F")</f>
        <v>ES0031408323131005HX0F</v>
      </c>
      <c r="B14760" s="12">
        <f>IFERROR(__xludf.DUMMYFUNCTION("""COMPUTED_VALUE"""),45480.0)</f>
        <v>45480</v>
      </c>
      <c r="C14760" s="16">
        <f>IFERROR(__xludf.DUMMYFUNCTION("""COMPUTED_VALUE"""),1.0)</f>
        <v>1</v>
      </c>
      <c r="D14760" s="8">
        <f>IFERROR(__xludf.DUMMYFUNCTION("""COMPUTED_VALUE"""),0.024)</f>
        <v>0.024</v>
      </c>
      <c r="E14760" s="8" t="str">
        <f>IFERROR(__xludf.DUMMYFUNCTION("""COMPUTED_VALUE"""),"Real")</f>
        <v>Real</v>
      </c>
      <c r="G14760" s="8">
        <f t="shared" si="1"/>
        <v>7</v>
      </c>
      <c r="H14760" s="14">
        <f t="shared" si="2"/>
        <v>7</v>
      </c>
      <c r="I14760" s="15">
        <f t="shared" si="3"/>
        <v>0</v>
      </c>
    </row>
    <row r="14761">
      <c r="A14761" s="8" t="str">
        <f>IFERROR(__xludf.DUMMYFUNCTION("IF('(INGESTA)Datos_consumo_datadis'!A14761&lt;&gt;"""",SPLIT('(INGESTA)Datos_consumo_datadis'!A:A,"",""),"""")"),"ES0031408323131005HX0F")</f>
        <v>ES0031408323131005HX0F</v>
      </c>
      <c r="B14761" s="12">
        <f>IFERROR(__xludf.DUMMYFUNCTION("""COMPUTED_VALUE"""),45481.0)</f>
        <v>45481</v>
      </c>
      <c r="C14761" s="13">
        <f>IFERROR(__xludf.DUMMYFUNCTION("""COMPUTED_VALUE"""),0.041666666666666664)</f>
        <v>0.04166666667</v>
      </c>
      <c r="D14761" s="8">
        <f>IFERROR(__xludf.DUMMYFUNCTION("""COMPUTED_VALUE"""),0.057)</f>
        <v>0.057</v>
      </c>
      <c r="E14761" s="8" t="str">
        <f>IFERROR(__xludf.DUMMYFUNCTION("""COMPUTED_VALUE"""),"Real")</f>
        <v>Real</v>
      </c>
      <c r="G14761" s="8">
        <f t="shared" si="1"/>
        <v>7</v>
      </c>
      <c r="H14761" s="14">
        <f t="shared" si="2"/>
        <v>8</v>
      </c>
      <c r="I14761" s="15">
        <f t="shared" si="3"/>
        <v>1</v>
      </c>
    </row>
    <row r="14762">
      <c r="A14762" s="8" t="str">
        <f>IFERROR(__xludf.DUMMYFUNCTION("IF('(INGESTA)Datos_consumo_datadis'!A14762&lt;&gt;"""",SPLIT('(INGESTA)Datos_consumo_datadis'!A:A,"",""),"""")"),"ES0031408323131005HX0F")</f>
        <v>ES0031408323131005HX0F</v>
      </c>
      <c r="B14762" s="12">
        <f>IFERROR(__xludf.DUMMYFUNCTION("""COMPUTED_VALUE"""),45481.0)</f>
        <v>45481</v>
      </c>
      <c r="C14762" s="13">
        <f>IFERROR(__xludf.DUMMYFUNCTION("""COMPUTED_VALUE"""),0.08333333333333333)</f>
        <v>0.08333333333</v>
      </c>
      <c r="D14762" s="8">
        <f>IFERROR(__xludf.DUMMYFUNCTION("""COMPUTED_VALUE"""),0.107)</f>
        <v>0.107</v>
      </c>
      <c r="E14762" s="8" t="str">
        <f>IFERROR(__xludf.DUMMYFUNCTION("""COMPUTED_VALUE"""),"Real")</f>
        <v>Real</v>
      </c>
      <c r="G14762" s="8">
        <f t="shared" si="1"/>
        <v>7</v>
      </c>
      <c r="H14762" s="14">
        <f t="shared" si="2"/>
        <v>8</v>
      </c>
      <c r="I14762" s="15">
        <f t="shared" si="3"/>
        <v>2</v>
      </c>
    </row>
    <row r="14763">
      <c r="A14763" s="8" t="str">
        <f>IFERROR(__xludf.DUMMYFUNCTION("IF('(INGESTA)Datos_consumo_datadis'!A14763&lt;&gt;"""",SPLIT('(INGESTA)Datos_consumo_datadis'!A:A,"",""),"""")"),"ES0031408323131005HX0F")</f>
        <v>ES0031408323131005HX0F</v>
      </c>
      <c r="B14763" s="12">
        <f>IFERROR(__xludf.DUMMYFUNCTION("""COMPUTED_VALUE"""),45481.0)</f>
        <v>45481</v>
      </c>
      <c r="C14763" s="13">
        <f>IFERROR(__xludf.DUMMYFUNCTION("""COMPUTED_VALUE"""),0.125)</f>
        <v>0.125</v>
      </c>
      <c r="D14763" s="8">
        <f>IFERROR(__xludf.DUMMYFUNCTION("""COMPUTED_VALUE"""),0.055)</f>
        <v>0.055</v>
      </c>
      <c r="E14763" s="8" t="str">
        <f>IFERROR(__xludf.DUMMYFUNCTION("""COMPUTED_VALUE"""),"Real")</f>
        <v>Real</v>
      </c>
      <c r="G14763" s="8">
        <f t="shared" si="1"/>
        <v>7</v>
      </c>
      <c r="H14763" s="14">
        <f t="shared" si="2"/>
        <v>8</v>
      </c>
      <c r="I14763" s="15">
        <f t="shared" si="3"/>
        <v>3</v>
      </c>
    </row>
    <row r="14764">
      <c r="A14764" s="8" t="str">
        <f>IFERROR(__xludf.DUMMYFUNCTION("IF('(INGESTA)Datos_consumo_datadis'!A14764&lt;&gt;"""",SPLIT('(INGESTA)Datos_consumo_datadis'!A:A,"",""),"""")"),"ES0031408323131005HX0F")</f>
        <v>ES0031408323131005HX0F</v>
      </c>
      <c r="B14764" s="12">
        <f>IFERROR(__xludf.DUMMYFUNCTION("""COMPUTED_VALUE"""),45481.0)</f>
        <v>45481</v>
      </c>
      <c r="C14764" s="13">
        <f>IFERROR(__xludf.DUMMYFUNCTION("""COMPUTED_VALUE"""),0.16666666666666666)</f>
        <v>0.1666666667</v>
      </c>
      <c r="D14764" s="8">
        <f>IFERROR(__xludf.DUMMYFUNCTION("""COMPUTED_VALUE"""),0.351)</f>
        <v>0.351</v>
      </c>
      <c r="E14764" s="8" t="str">
        <f>IFERROR(__xludf.DUMMYFUNCTION("""COMPUTED_VALUE"""),"Real")</f>
        <v>Real</v>
      </c>
      <c r="G14764" s="8">
        <f t="shared" si="1"/>
        <v>7</v>
      </c>
      <c r="H14764" s="14">
        <f t="shared" si="2"/>
        <v>8</v>
      </c>
      <c r="I14764" s="15">
        <f t="shared" si="3"/>
        <v>4</v>
      </c>
    </row>
    <row r="14765">
      <c r="A14765" s="8" t="str">
        <f>IFERROR(__xludf.DUMMYFUNCTION("IF('(INGESTA)Datos_consumo_datadis'!A14765&lt;&gt;"""",SPLIT('(INGESTA)Datos_consumo_datadis'!A:A,"",""),"""")"),"ES0031408323131005HX0F")</f>
        <v>ES0031408323131005HX0F</v>
      </c>
      <c r="B14765" s="12">
        <f>IFERROR(__xludf.DUMMYFUNCTION("""COMPUTED_VALUE"""),45481.0)</f>
        <v>45481</v>
      </c>
      <c r="C14765" s="13">
        <f>IFERROR(__xludf.DUMMYFUNCTION("""COMPUTED_VALUE"""),0.20833333333333334)</f>
        <v>0.2083333333</v>
      </c>
      <c r="D14765" s="8">
        <f>IFERROR(__xludf.DUMMYFUNCTION("""COMPUTED_VALUE"""),0.015)</f>
        <v>0.015</v>
      </c>
      <c r="E14765" s="8" t="str">
        <f>IFERROR(__xludf.DUMMYFUNCTION("""COMPUTED_VALUE"""),"Real")</f>
        <v>Real</v>
      </c>
      <c r="G14765" s="8">
        <f t="shared" si="1"/>
        <v>7</v>
      </c>
      <c r="H14765" s="14">
        <f t="shared" si="2"/>
        <v>8</v>
      </c>
      <c r="I14765" s="15">
        <f t="shared" si="3"/>
        <v>5</v>
      </c>
    </row>
    <row r="14766">
      <c r="A14766" s="8" t="str">
        <f>IFERROR(__xludf.DUMMYFUNCTION("IF('(INGESTA)Datos_consumo_datadis'!A14766&lt;&gt;"""",SPLIT('(INGESTA)Datos_consumo_datadis'!A:A,"",""),"""")"),"ES0031408323131005HX0F")</f>
        <v>ES0031408323131005HX0F</v>
      </c>
      <c r="B14766" s="12">
        <f>IFERROR(__xludf.DUMMYFUNCTION("""COMPUTED_VALUE"""),45481.0)</f>
        <v>45481</v>
      </c>
      <c r="C14766" s="13">
        <f>IFERROR(__xludf.DUMMYFUNCTION("""COMPUTED_VALUE"""),0.25)</f>
        <v>0.25</v>
      </c>
      <c r="D14766" s="8">
        <f>IFERROR(__xludf.DUMMYFUNCTION("""COMPUTED_VALUE"""),0.12)</f>
        <v>0.12</v>
      </c>
      <c r="E14766" s="8" t="str">
        <f>IFERROR(__xludf.DUMMYFUNCTION("""COMPUTED_VALUE"""),"Real")</f>
        <v>Real</v>
      </c>
      <c r="G14766" s="8">
        <f t="shared" si="1"/>
        <v>7</v>
      </c>
      <c r="H14766" s="14">
        <f t="shared" si="2"/>
        <v>8</v>
      </c>
      <c r="I14766" s="15">
        <f t="shared" si="3"/>
        <v>6</v>
      </c>
    </row>
    <row r="14767">
      <c r="A14767" s="8" t="str">
        <f>IFERROR(__xludf.DUMMYFUNCTION("IF('(INGESTA)Datos_consumo_datadis'!A14767&lt;&gt;"""",SPLIT('(INGESTA)Datos_consumo_datadis'!A:A,"",""),"""")"),"ES0031408323131005HX0F")</f>
        <v>ES0031408323131005HX0F</v>
      </c>
      <c r="B14767" s="12">
        <f>IFERROR(__xludf.DUMMYFUNCTION("""COMPUTED_VALUE"""),45481.0)</f>
        <v>45481</v>
      </c>
      <c r="C14767" s="13">
        <f>IFERROR(__xludf.DUMMYFUNCTION("""COMPUTED_VALUE"""),0.2916666666666667)</f>
        <v>0.2916666667</v>
      </c>
      <c r="D14767" s="8">
        <f>IFERROR(__xludf.DUMMYFUNCTION("""COMPUTED_VALUE"""),0.078)</f>
        <v>0.078</v>
      </c>
      <c r="E14767" s="8" t="str">
        <f>IFERROR(__xludf.DUMMYFUNCTION("""COMPUTED_VALUE"""),"Real")</f>
        <v>Real</v>
      </c>
      <c r="G14767" s="8">
        <f t="shared" si="1"/>
        <v>7</v>
      </c>
      <c r="H14767" s="14">
        <f t="shared" si="2"/>
        <v>8</v>
      </c>
      <c r="I14767" s="15">
        <f t="shared" si="3"/>
        <v>7</v>
      </c>
    </row>
    <row r="14768">
      <c r="A14768" s="8" t="str">
        <f>IFERROR(__xludf.DUMMYFUNCTION("IF('(INGESTA)Datos_consumo_datadis'!A14768&lt;&gt;"""",SPLIT('(INGESTA)Datos_consumo_datadis'!A:A,"",""),"""")"),"ES0031408323131005HX0F")</f>
        <v>ES0031408323131005HX0F</v>
      </c>
      <c r="B14768" s="12">
        <f>IFERROR(__xludf.DUMMYFUNCTION("""COMPUTED_VALUE"""),45481.0)</f>
        <v>45481</v>
      </c>
      <c r="C14768" s="13">
        <f>IFERROR(__xludf.DUMMYFUNCTION("""COMPUTED_VALUE"""),0.3333333333333333)</f>
        <v>0.3333333333</v>
      </c>
      <c r="D14768" s="8">
        <f>IFERROR(__xludf.DUMMYFUNCTION("""COMPUTED_VALUE"""),0.069)</f>
        <v>0.069</v>
      </c>
      <c r="E14768" s="8" t="str">
        <f>IFERROR(__xludf.DUMMYFUNCTION("""COMPUTED_VALUE"""),"Real")</f>
        <v>Real</v>
      </c>
      <c r="G14768" s="8">
        <f t="shared" si="1"/>
        <v>7</v>
      </c>
      <c r="H14768" s="14">
        <f t="shared" si="2"/>
        <v>8</v>
      </c>
      <c r="I14768" s="15">
        <f t="shared" si="3"/>
        <v>8</v>
      </c>
    </row>
    <row r="14769">
      <c r="A14769" s="8" t="str">
        <f>IFERROR(__xludf.DUMMYFUNCTION("IF('(INGESTA)Datos_consumo_datadis'!A14769&lt;&gt;"""",SPLIT('(INGESTA)Datos_consumo_datadis'!A:A,"",""),"""")"),"ES0031408323131005HX0F")</f>
        <v>ES0031408323131005HX0F</v>
      </c>
      <c r="B14769" s="12">
        <f>IFERROR(__xludf.DUMMYFUNCTION("""COMPUTED_VALUE"""),45481.0)</f>
        <v>45481</v>
      </c>
      <c r="C14769" s="13">
        <f>IFERROR(__xludf.DUMMYFUNCTION("""COMPUTED_VALUE"""),0.375)</f>
        <v>0.375</v>
      </c>
      <c r="D14769" s="8">
        <f>IFERROR(__xludf.DUMMYFUNCTION("""COMPUTED_VALUE"""),0.015)</f>
        <v>0.015</v>
      </c>
      <c r="E14769" s="8" t="str">
        <f>IFERROR(__xludf.DUMMYFUNCTION("""COMPUTED_VALUE"""),"Real")</f>
        <v>Real</v>
      </c>
      <c r="G14769" s="8">
        <f t="shared" si="1"/>
        <v>7</v>
      </c>
      <c r="H14769" s="14">
        <f t="shared" si="2"/>
        <v>8</v>
      </c>
      <c r="I14769" s="15">
        <f t="shared" si="3"/>
        <v>9</v>
      </c>
    </row>
    <row r="14770">
      <c r="A14770" s="8" t="str">
        <f>IFERROR(__xludf.DUMMYFUNCTION("IF('(INGESTA)Datos_consumo_datadis'!A14770&lt;&gt;"""",SPLIT('(INGESTA)Datos_consumo_datadis'!A:A,"",""),"""")"),"ES0031408323131005HX0F")</f>
        <v>ES0031408323131005HX0F</v>
      </c>
      <c r="B14770" s="12">
        <f>IFERROR(__xludf.DUMMYFUNCTION("""COMPUTED_VALUE"""),45481.0)</f>
        <v>45481</v>
      </c>
      <c r="C14770" s="13">
        <f>IFERROR(__xludf.DUMMYFUNCTION("""COMPUTED_VALUE"""),0.4166666666666667)</f>
        <v>0.4166666667</v>
      </c>
      <c r="D14770" s="8">
        <f>IFERROR(__xludf.DUMMYFUNCTION("""COMPUTED_VALUE"""),0.072)</f>
        <v>0.072</v>
      </c>
      <c r="E14770" s="8" t="str">
        <f>IFERROR(__xludf.DUMMYFUNCTION("""COMPUTED_VALUE"""),"Real")</f>
        <v>Real</v>
      </c>
      <c r="G14770" s="8">
        <f t="shared" si="1"/>
        <v>7</v>
      </c>
      <c r="H14770" s="14">
        <f t="shared" si="2"/>
        <v>8</v>
      </c>
      <c r="I14770" s="15">
        <f t="shared" si="3"/>
        <v>10</v>
      </c>
    </row>
    <row r="14771">
      <c r="A14771" s="8" t="str">
        <f>IFERROR(__xludf.DUMMYFUNCTION("IF('(INGESTA)Datos_consumo_datadis'!A14771&lt;&gt;"""",SPLIT('(INGESTA)Datos_consumo_datadis'!A:A,"",""),"""")"),"ES0031408323131005HX0F")</f>
        <v>ES0031408323131005HX0F</v>
      </c>
      <c r="B14771" s="12">
        <f>IFERROR(__xludf.DUMMYFUNCTION("""COMPUTED_VALUE"""),45481.0)</f>
        <v>45481</v>
      </c>
      <c r="C14771" s="13">
        <f>IFERROR(__xludf.DUMMYFUNCTION("""COMPUTED_VALUE"""),0.4583333333333333)</f>
        <v>0.4583333333</v>
      </c>
      <c r="D14771" s="8">
        <f>IFERROR(__xludf.DUMMYFUNCTION("""COMPUTED_VALUE"""),0.378)</f>
        <v>0.378</v>
      </c>
      <c r="E14771" s="8" t="str">
        <f>IFERROR(__xludf.DUMMYFUNCTION("""COMPUTED_VALUE"""),"Real")</f>
        <v>Real</v>
      </c>
      <c r="G14771" s="8">
        <f t="shared" si="1"/>
        <v>7</v>
      </c>
      <c r="H14771" s="14">
        <f t="shared" si="2"/>
        <v>8</v>
      </c>
      <c r="I14771" s="15">
        <f t="shared" si="3"/>
        <v>11</v>
      </c>
    </row>
    <row r="14772">
      <c r="A14772" s="8" t="str">
        <f>IFERROR(__xludf.DUMMYFUNCTION("IF('(INGESTA)Datos_consumo_datadis'!A14772&lt;&gt;"""",SPLIT('(INGESTA)Datos_consumo_datadis'!A:A,"",""),"""")"),"ES0031408323131005HX0F")</f>
        <v>ES0031408323131005HX0F</v>
      </c>
      <c r="B14772" s="12">
        <f>IFERROR(__xludf.DUMMYFUNCTION("""COMPUTED_VALUE"""),45481.0)</f>
        <v>45481</v>
      </c>
      <c r="C14772" s="13">
        <f>IFERROR(__xludf.DUMMYFUNCTION("""COMPUTED_VALUE"""),0.5)</f>
        <v>0.5</v>
      </c>
      <c r="D14772" s="8">
        <f>IFERROR(__xludf.DUMMYFUNCTION("""COMPUTED_VALUE"""),0.103)</f>
        <v>0.103</v>
      </c>
      <c r="E14772" s="8" t="str">
        <f>IFERROR(__xludf.DUMMYFUNCTION("""COMPUTED_VALUE"""),"Real")</f>
        <v>Real</v>
      </c>
      <c r="G14772" s="8">
        <f t="shared" si="1"/>
        <v>7</v>
      </c>
      <c r="H14772" s="14">
        <f t="shared" si="2"/>
        <v>8</v>
      </c>
      <c r="I14772" s="15">
        <f t="shared" si="3"/>
        <v>12</v>
      </c>
    </row>
    <row r="14773">
      <c r="A14773" s="8" t="str">
        <f>IFERROR(__xludf.DUMMYFUNCTION("IF('(INGESTA)Datos_consumo_datadis'!A14773&lt;&gt;"""",SPLIT('(INGESTA)Datos_consumo_datadis'!A:A,"",""),"""")"),"ES0031408323131005HX0F")</f>
        <v>ES0031408323131005HX0F</v>
      </c>
      <c r="B14773" s="12">
        <f>IFERROR(__xludf.DUMMYFUNCTION("""COMPUTED_VALUE"""),45481.0)</f>
        <v>45481</v>
      </c>
      <c r="C14773" s="13">
        <f>IFERROR(__xludf.DUMMYFUNCTION("""COMPUTED_VALUE"""),0.5416666666666666)</f>
        <v>0.5416666667</v>
      </c>
      <c r="D14773" s="8">
        <f>IFERROR(__xludf.DUMMYFUNCTION("""COMPUTED_VALUE"""),0.076)</f>
        <v>0.076</v>
      </c>
      <c r="E14773" s="8" t="str">
        <f>IFERROR(__xludf.DUMMYFUNCTION("""COMPUTED_VALUE"""),"Real")</f>
        <v>Real</v>
      </c>
      <c r="G14773" s="8">
        <f t="shared" si="1"/>
        <v>7</v>
      </c>
      <c r="H14773" s="14">
        <f t="shared" si="2"/>
        <v>8</v>
      </c>
      <c r="I14773" s="15">
        <f t="shared" si="3"/>
        <v>13</v>
      </c>
    </row>
    <row r="14774">
      <c r="A14774" s="8" t="str">
        <f>IFERROR(__xludf.DUMMYFUNCTION("IF('(INGESTA)Datos_consumo_datadis'!A14774&lt;&gt;"""",SPLIT('(INGESTA)Datos_consumo_datadis'!A:A,"",""),"""")"),"ES0031408323131005HX0F")</f>
        <v>ES0031408323131005HX0F</v>
      </c>
      <c r="B14774" s="12">
        <f>IFERROR(__xludf.DUMMYFUNCTION("""COMPUTED_VALUE"""),45481.0)</f>
        <v>45481</v>
      </c>
      <c r="C14774" s="13">
        <f>IFERROR(__xludf.DUMMYFUNCTION("""COMPUTED_VALUE"""),0.5833333333333334)</f>
        <v>0.5833333333</v>
      </c>
      <c r="D14774" s="8">
        <f>IFERROR(__xludf.DUMMYFUNCTION("""COMPUTED_VALUE"""),0.026)</f>
        <v>0.026</v>
      </c>
      <c r="E14774" s="8" t="str">
        <f>IFERROR(__xludf.DUMMYFUNCTION("""COMPUTED_VALUE"""),"Real")</f>
        <v>Real</v>
      </c>
      <c r="G14774" s="8">
        <f t="shared" si="1"/>
        <v>7</v>
      </c>
      <c r="H14774" s="14">
        <f t="shared" si="2"/>
        <v>8</v>
      </c>
      <c r="I14774" s="15">
        <f t="shared" si="3"/>
        <v>14</v>
      </c>
    </row>
    <row r="14775">
      <c r="A14775" s="8" t="str">
        <f>IFERROR(__xludf.DUMMYFUNCTION("IF('(INGESTA)Datos_consumo_datadis'!A14775&lt;&gt;"""",SPLIT('(INGESTA)Datos_consumo_datadis'!A:A,"",""),"""")"),"ES0031408323131005HX0F")</f>
        <v>ES0031408323131005HX0F</v>
      </c>
      <c r="B14775" s="12">
        <f>IFERROR(__xludf.DUMMYFUNCTION("""COMPUTED_VALUE"""),45481.0)</f>
        <v>45481</v>
      </c>
      <c r="C14775" s="13">
        <f>IFERROR(__xludf.DUMMYFUNCTION("""COMPUTED_VALUE"""),0.625)</f>
        <v>0.625</v>
      </c>
      <c r="D14775" s="8">
        <f>IFERROR(__xludf.DUMMYFUNCTION("""COMPUTED_VALUE"""),0.088)</f>
        <v>0.088</v>
      </c>
      <c r="E14775" s="8" t="str">
        <f>IFERROR(__xludf.DUMMYFUNCTION("""COMPUTED_VALUE"""),"Real")</f>
        <v>Real</v>
      </c>
      <c r="G14775" s="8">
        <f t="shared" si="1"/>
        <v>7</v>
      </c>
      <c r="H14775" s="14">
        <f t="shared" si="2"/>
        <v>8</v>
      </c>
      <c r="I14775" s="15">
        <f t="shared" si="3"/>
        <v>15</v>
      </c>
    </row>
    <row r="14776">
      <c r="A14776" s="8" t="str">
        <f>IFERROR(__xludf.DUMMYFUNCTION("IF('(INGESTA)Datos_consumo_datadis'!A14776&lt;&gt;"""",SPLIT('(INGESTA)Datos_consumo_datadis'!A:A,"",""),"""")"),"ES0031408323131005HX0F")</f>
        <v>ES0031408323131005HX0F</v>
      </c>
      <c r="B14776" s="12">
        <f>IFERROR(__xludf.DUMMYFUNCTION("""COMPUTED_VALUE"""),45481.0)</f>
        <v>45481</v>
      </c>
      <c r="C14776" s="13">
        <f>IFERROR(__xludf.DUMMYFUNCTION("""COMPUTED_VALUE"""),0.6666666666666666)</f>
        <v>0.6666666667</v>
      </c>
      <c r="D14776" s="8">
        <f>IFERROR(__xludf.DUMMYFUNCTION("""COMPUTED_VALUE"""),0.083)</f>
        <v>0.083</v>
      </c>
      <c r="E14776" s="8" t="str">
        <f>IFERROR(__xludf.DUMMYFUNCTION("""COMPUTED_VALUE"""),"Real")</f>
        <v>Real</v>
      </c>
      <c r="G14776" s="8">
        <f t="shared" si="1"/>
        <v>7</v>
      </c>
      <c r="H14776" s="14">
        <f t="shared" si="2"/>
        <v>8</v>
      </c>
      <c r="I14776" s="15">
        <f t="shared" si="3"/>
        <v>16</v>
      </c>
    </row>
    <row r="14777">
      <c r="A14777" s="8" t="str">
        <f>IFERROR(__xludf.DUMMYFUNCTION("IF('(INGESTA)Datos_consumo_datadis'!A14777&lt;&gt;"""",SPLIT('(INGESTA)Datos_consumo_datadis'!A:A,"",""),"""")"),"ES0031408323131005HX0F")</f>
        <v>ES0031408323131005HX0F</v>
      </c>
      <c r="B14777" s="12">
        <f>IFERROR(__xludf.DUMMYFUNCTION("""COMPUTED_VALUE"""),45481.0)</f>
        <v>45481</v>
      </c>
      <c r="C14777" s="13">
        <f>IFERROR(__xludf.DUMMYFUNCTION("""COMPUTED_VALUE"""),0.7083333333333334)</f>
        <v>0.7083333333</v>
      </c>
      <c r="D14777" s="8">
        <f>IFERROR(__xludf.DUMMYFUNCTION("""COMPUTED_VALUE"""),0.079)</f>
        <v>0.079</v>
      </c>
      <c r="E14777" s="8" t="str">
        <f>IFERROR(__xludf.DUMMYFUNCTION("""COMPUTED_VALUE"""),"Real")</f>
        <v>Real</v>
      </c>
      <c r="G14777" s="8">
        <f t="shared" si="1"/>
        <v>7</v>
      </c>
      <c r="H14777" s="14">
        <f t="shared" si="2"/>
        <v>8</v>
      </c>
      <c r="I14777" s="15">
        <f t="shared" si="3"/>
        <v>17</v>
      </c>
    </row>
    <row r="14778">
      <c r="A14778" s="8" t="str">
        <f>IFERROR(__xludf.DUMMYFUNCTION("IF('(INGESTA)Datos_consumo_datadis'!A14778&lt;&gt;"""",SPLIT('(INGESTA)Datos_consumo_datadis'!A:A,"",""),"""")"),"ES0031408323131005HX0F")</f>
        <v>ES0031408323131005HX0F</v>
      </c>
      <c r="B14778" s="12">
        <f>IFERROR(__xludf.DUMMYFUNCTION("""COMPUTED_VALUE"""),45481.0)</f>
        <v>45481</v>
      </c>
      <c r="C14778" s="13">
        <f>IFERROR(__xludf.DUMMYFUNCTION("""COMPUTED_VALUE"""),0.75)</f>
        <v>0.75</v>
      </c>
      <c r="D14778" s="8">
        <f>IFERROR(__xludf.DUMMYFUNCTION("""COMPUTED_VALUE"""),0.038)</f>
        <v>0.038</v>
      </c>
      <c r="E14778" s="8" t="str">
        <f>IFERROR(__xludf.DUMMYFUNCTION("""COMPUTED_VALUE"""),"Real")</f>
        <v>Real</v>
      </c>
      <c r="G14778" s="8">
        <f t="shared" si="1"/>
        <v>7</v>
      </c>
      <c r="H14778" s="14">
        <f t="shared" si="2"/>
        <v>8</v>
      </c>
      <c r="I14778" s="15">
        <f t="shared" si="3"/>
        <v>18</v>
      </c>
    </row>
    <row r="14779">
      <c r="A14779" s="8" t="str">
        <f>IFERROR(__xludf.DUMMYFUNCTION("IF('(INGESTA)Datos_consumo_datadis'!A14779&lt;&gt;"""",SPLIT('(INGESTA)Datos_consumo_datadis'!A:A,"",""),"""")"),"ES0031408323131005HX0F")</f>
        <v>ES0031408323131005HX0F</v>
      </c>
      <c r="B14779" s="12">
        <f>IFERROR(__xludf.DUMMYFUNCTION("""COMPUTED_VALUE"""),45481.0)</f>
        <v>45481</v>
      </c>
      <c r="C14779" s="13">
        <f>IFERROR(__xludf.DUMMYFUNCTION("""COMPUTED_VALUE"""),0.7916666666666666)</f>
        <v>0.7916666667</v>
      </c>
      <c r="D14779" s="8">
        <f>IFERROR(__xludf.DUMMYFUNCTION("""COMPUTED_VALUE"""),0.336)</f>
        <v>0.336</v>
      </c>
      <c r="E14779" s="8" t="str">
        <f>IFERROR(__xludf.DUMMYFUNCTION("""COMPUTED_VALUE"""),"Real")</f>
        <v>Real</v>
      </c>
      <c r="G14779" s="8">
        <f t="shared" si="1"/>
        <v>7</v>
      </c>
      <c r="H14779" s="14">
        <f t="shared" si="2"/>
        <v>8</v>
      </c>
      <c r="I14779" s="15">
        <f t="shared" si="3"/>
        <v>19</v>
      </c>
    </row>
    <row r="14780">
      <c r="A14780" s="8" t="str">
        <f>IFERROR(__xludf.DUMMYFUNCTION("IF('(INGESTA)Datos_consumo_datadis'!A14780&lt;&gt;"""",SPLIT('(INGESTA)Datos_consumo_datadis'!A:A,"",""),"""")"),"ES0031408323131005HX0F")</f>
        <v>ES0031408323131005HX0F</v>
      </c>
      <c r="B14780" s="12">
        <f>IFERROR(__xludf.DUMMYFUNCTION("""COMPUTED_VALUE"""),45481.0)</f>
        <v>45481</v>
      </c>
      <c r="C14780" s="13">
        <f>IFERROR(__xludf.DUMMYFUNCTION("""COMPUTED_VALUE"""),0.8333333333333334)</f>
        <v>0.8333333333</v>
      </c>
      <c r="D14780" s="8">
        <f>IFERROR(__xludf.DUMMYFUNCTION("""COMPUTED_VALUE"""),0.117)</f>
        <v>0.117</v>
      </c>
      <c r="E14780" s="8" t="str">
        <f>IFERROR(__xludf.DUMMYFUNCTION("""COMPUTED_VALUE"""),"Real")</f>
        <v>Real</v>
      </c>
      <c r="G14780" s="8">
        <f t="shared" si="1"/>
        <v>7</v>
      </c>
      <c r="H14780" s="14">
        <f t="shared" si="2"/>
        <v>8</v>
      </c>
      <c r="I14780" s="15">
        <f t="shared" si="3"/>
        <v>20</v>
      </c>
    </row>
    <row r="14781">
      <c r="A14781" s="8" t="str">
        <f>IFERROR(__xludf.DUMMYFUNCTION("IF('(INGESTA)Datos_consumo_datadis'!A14781&lt;&gt;"""",SPLIT('(INGESTA)Datos_consumo_datadis'!A:A,"",""),"""")"),"ES0031408323131005HX0F")</f>
        <v>ES0031408323131005HX0F</v>
      </c>
      <c r="B14781" s="12">
        <f>IFERROR(__xludf.DUMMYFUNCTION("""COMPUTED_VALUE"""),45481.0)</f>
        <v>45481</v>
      </c>
      <c r="C14781" s="13">
        <f>IFERROR(__xludf.DUMMYFUNCTION("""COMPUTED_VALUE"""),0.875)</f>
        <v>0.875</v>
      </c>
      <c r="D14781" s="8">
        <f>IFERROR(__xludf.DUMMYFUNCTION("""COMPUTED_VALUE"""),0.066)</f>
        <v>0.066</v>
      </c>
      <c r="E14781" s="8" t="str">
        <f>IFERROR(__xludf.DUMMYFUNCTION("""COMPUTED_VALUE"""),"Real")</f>
        <v>Real</v>
      </c>
      <c r="G14781" s="8">
        <f t="shared" si="1"/>
        <v>7</v>
      </c>
      <c r="H14781" s="14">
        <f t="shared" si="2"/>
        <v>8</v>
      </c>
      <c r="I14781" s="15">
        <f t="shared" si="3"/>
        <v>21</v>
      </c>
    </row>
    <row r="14782">
      <c r="A14782" s="8" t="str">
        <f>IFERROR(__xludf.DUMMYFUNCTION("IF('(INGESTA)Datos_consumo_datadis'!A14782&lt;&gt;"""",SPLIT('(INGESTA)Datos_consumo_datadis'!A:A,"",""),"""")"),"ES0031408323131005HX0F")</f>
        <v>ES0031408323131005HX0F</v>
      </c>
      <c r="B14782" s="12">
        <f>IFERROR(__xludf.DUMMYFUNCTION("""COMPUTED_VALUE"""),45481.0)</f>
        <v>45481</v>
      </c>
      <c r="C14782" s="13">
        <f>IFERROR(__xludf.DUMMYFUNCTION("""COMPUTED_VALUE"""),0.9166666666666666)</f>
        <v>0.9166666667</v>
      </c>
      <c r="D14782" s="8">
        <f>IFERROR(__xludf.DUMMYFUNCTION("""COMPUTED_VALUE"""),0.067)</f>
        <v>0.067</v>
      </c>
      <c r="E14782" s="8" t="str">
        <f>IFERROR(__xludf.DUMMYFUNCTION("""COMPUTED_VALUE"""),"Real")</f>
        <v>Real</v>
      </c>
      <c r="G14782" s="8">
        <f t="shared" si="1"/>
        <v>7</v>
      </c>
      <c r="H14782" s="14">
        <f t="shared" si="2"/>
        <v>8</v>
      </c>
      <c r="I14782" s="15">
        <f t="shared" si="3"/>
        <v>22</v>
      </c>
    </row>
    <row r="14783">
      <c r="A14783" s="8" t="str">
        <f>IFERROR(__xludf.DUMMYFUNCTION("IF('(INGESTA)Datos_consumo_datadis'!A14783&lt;&gt;"""",SPLIT('(INGESTA)Datos_consumo_datadis'!A:A,"",""),"""")"),"ES0031408323131005HX0F")</f>
        <v>ES0031408323131005HX0F</v>
      </c>
      <c r="B14783" s="12">
        <f>IFERROR(__xludf.DUMMYFUNCTION("""COMPUTED_VALUE"""),45481.0)</f>
        <v>45481</v>
      </c>
      <c r="C14783" s="13">
        <f>IFERROR(__xludf.DUMMYFUNCTION("""COMPUTED_VALUE"""),0.9583333333333334)</f>
        <v>0.9583333333</v>
      </c>
      <c r="D14783" s="8">
        <f>IFERROR(__xludf.DUMMYFUNCTION("""COMPUTED_VALUE"""),0.015)</f>
        <v>0.015</v>
      </c>
      <c r="E14783" s="8" t="str">
        <f>IFERROR(__xludf.DUMMYFUNCTION("""COMPUTED_VALUE"""),"Real")</f>
        <v>Real</v>
      </c>
      <c r="G14783" s="8">
        <f t="shared" si="1"/>
        <v>7</v>
      </c>
      <c r="H14783" s="14">
        <f t="shared" si="2"/>
        <v>8</v>
      </c>
      <c r="I14783" s="15">
        <f t="shared" si="3"/>
        <v>23</v>
      </c>
    </row>
    <row r="14784">
      <c r="A14784" s="8" t="str">
        <f>IFERROR(__xludf.DUMMYFUNCTION("IF('(INGESTA)Datos_consumo_datadis'!A14784&lt;&gt;"""",SPLIT('(INGESTA)Datos_consumo_datadis'!A:A,"",""),"""")"),"ES0031408323131005HX0F")</f>
        <v>ES0031408323131005HX0F</v>
      </c>
      <c r="B14784" s="12">
        <f>IFERROR(__xludf.DUMMYFUNCTION("""COMPUTED_VALUE"""),45481.0)</f>
        <v>45481</v>
      </c>
      <c r="C14784" s="16">
        <f>IFERROR(__xludf.DUMMYFUNCTION("""COMPUTED_VALUE"""),1.0)</f>
        <v>1</v>
      </c>
      <c r="D14784" s="8">
        <f>IFERROR(__xludf.DUMMYFUNCTION("""COMPUTED_VALUE"""),0.097)</f>
        <v>0.097</v>
      </c>
      <c r="E14784" s="8" t="str">
        <f>IFERROR(__xludf.DUMMYFUNCTION("""COMPUTED_VALUE"""),"Real")</f>
        <v>Real</v>
      </c>
      <c r="G14784" s="8">
        <f t="shared" si="1"/>
        <v>7</v>
      </c>
      <c r="H14784" s="14">
        <f t="shared" si="2"/>
        <v>8</v>
      </c>
      <c r="I14784" s="15">
        <f t="shared" si="3"/>
        <v>0</v>
      </c>
    </row>
    <row r="14785">
      <c r="A14785" s="8" t="str">
        <f>IFERROR(__xludf.DUMMYFUNCTION("IF('(INGESTA)Datos_consumo_datadis'!A14785&lt;&gt;"""",SPLIT('(INGESTA)Datos_consumo_datadis'!A:A,"",""),"""")"),"ES0031408323131005HX0F")</f>
        <v>ES0031408323131005HX0F</v>
      </c>
      <c r="B14785" s="12">
        <f>IFERROR(__xludf.DUMMYFUNCTION("""COMPUTED_VALUE"""),45482.0)</f>
        <v>45482</v>
      </c>
      <c r="C14785" s="13">
        <f>IFERROR(__xludf.DUMMYFUNCTION("""COMPUTED_VALUE"""),0.041666666666666664)</f>
        <v>0.04166666667</v>
      </c>
      <c r="D14785" s="8">
        <f>IFERROR(__xludf.DUMMYFUNCTION("""COMPUTED_VALUE"""),0.082)</f>
        <v>0.082</v>
      </c>
      <c r="E14785" s="8" t="str">
        <f>IFERROR(__xludf.DUMMYFUNCTION("""COMPUTED_VALUE"""),"Real")</f>
        <v>Real</v>
      </c>
      <c r="G14785" s="8">
        <f t="shared" si="1"/>
        <v>7</v>
      </c>
      <c r="H14785" s="14">
        <f t="shared" si="2"/>
        <v>9</v>
      </c>
      <c r="I14785" s="15">
        <f t="shared" si="3"/>
        <v>1</v>
      </c>
    </row>
    <row r="14786">
      <c r="A14786" s="8" t="str">
        <f>IFERROR(__xludf.DUMMYFUNCTION("IF('(INGESTA)Datos_consumo_datadis'!A14786&lt;&gt;"""",SPLIT('(INGESTA)Datos_consumo_datadis'!A:A,"",""),"""")"),"ES0031408323131005HX0F")</f>
        <v>ES0031408323131005HX0F</v>
      </c>
      <c r="B14786" s="12">
        <f>IFERROR(__xludf.DUMMYFUNCTION("""COMPUTED_VALUE"""),45482.0)</f>
        <v>45482</v>
      </c>
      <c r="C14786" s="13">
        <f>IFERROR(__xludf.DUMMYFUNCTION("""COMPUTED_VALUE"""),0.08333333333333333)</f>
        <v>0.08333333333</v>
      </c>
      <c r="D14786" s="8">
        <f>IFERROR(__xludf.DUMMYFUNCTION("""COMPUTED_VALUE"""),0.08)</f>
        <v>0.08</v>
      </c>
      <c r="E14786" s="8" t="str">
        <f>IFERROR(__xludf.DUMMYFUNCTION("""COMPUTED_VALUE"""),"Real")</f>
        <v>Real</v>
      </c>
      <c r="G14786" s="8">
        <f t="shared" si="1"/>
        <v>7</v>
      </c>
      <c r="H14786" s="14">
        <f t="shared" si="2"/>
        <v>9</v>
      </c>
      <c r="I14786" s="15">
        <f t="shared" si="3"/>
        <v>2</v>
      </c>
    </row>
    <row r="14787">
      <c r="A14787" s="8" t="str">
        <f>IFERROR(__xludf.DUMMYFUNCTION("IF('(INGESTA)Datos_consumo_datadis'!A14787&lt;&gt;"""",SPLIT('(INGESTA)Datos_consumo_datadis'!A:A,"",""),"""")"),"ES0031408323131005HX0F")</f>
        <v>ES0031408323131005HX0F</v>
      </c>
      <c r="B14787" s="12">
        <f>IFERROR(__xludf.DUMMYFUNCTION("""COMPUTED_VALUE"""),45482.0)</f>
        <v>45482</v>
      </c>
      <c r="C14787" s="13">
        <f>IFERROR(__xludf.DUMMYFUNCTION("""COMPUTED_VALUE"""),0.125)</f>
        <v>0.125</v>
      </c>
      <c r="D14787" s="8">
        <f>IFERROR(__xludf.DUMMYFUNCTION("""COMPUTED_VALUE"""),0.338)</f>
        <v>0.338</v>
      </c>
      <c r="E14787" s="8" t="str">
        <f>IFERROR(__xludf.DUMMYFUNCTION("""COMPUTED_VALUE"""),"Real")</f>
        <v>Real</v>
      </c>
      <c r="G14787" s="8">
        <f t="shared" si="1"/>
        <v>7</v>
      </c>
      <c r="H14787" s="14">
        <f t="shared" si="2"/>
        <v>9</v>
      </c>
      <c r="I14787" s="15">
        <f t="shared" si="3"/>
        <v>3</v>
      </c>
    </row>
    <row r="14788">
      <c r="A14788" s="8" t="str">
        <f>IFERROR(__xludf.DUMMYFUNCTION("IF('(INGESTA)Datos_consumo_datadis'!A14788&lt;&gt;"""",SPLIT('(INGESTA)Datos_consumo_datadis'!A:A,"",""),"""")"),"ES0031408323131005HX0F")</f>
        <v>ES0031408323131005HX0F</v>
      </c>
      <c r="B14788" s="12">
        <f>IFERROR(__xludf.DUMMYFUNCTION("""COMPUTED_VALUE"""),45482.0)</f>
        <v>45482</v>
      </c>
      <c r="C14788" s="13">
        <f>IFERROR(__xludf.DUMMYFUNCTION("""COMPUTED_VALUE"""),0.16666666666666666)</f>
        <v>0.1666666667</v>
      </c>
      <c r="D14788" s="8">
        <f>IFERROR(__xludf.DUMMYFUNCTION("""COMPUTED_VALUE"""),0.047)</f>
        <v>0.047</v>
      </c>
      <c r="E14788" s="8" t="str">
        <f>IFERROR(__xludf.DUMMYFUNCTION("""COMPUTED_VALUE"""),"Real")</f>
        <v>Real</v>
      </c>
      <c r="G14788" s="8">
        <f t="shared" si="1"/>
        <v>7</v>
      </c>
      <c r="H14788" s="14">
        <f t="shared" si="2"/>
        <v>9</v>
      </c>
      <c r="I14788" s="15">
        <f t="shared" si="3"/>
        <v>4</v>
      </c>
    </row>
    <row r="14789">
      <c r="A14789" s="8" t="str">
        <f>IFERROR(__xludf.DUMMYFUNCTION("IF('(INGESTA)Datos_consumo_datadis'!A14789&lt;&gt;"""",SPLIT('(INGESTA)Datos_consumo_datadis'!A:A,"",""),"""")"),"ES0031408323131005HX0F")</f>
        <v>ES0031408323131005HX0F</v>
      </c>
      <c r="B14789" s="12">
        <f>IFERROR(__xludf.DUMMYFUNCTION("""COMPUTED_VALUE"""),45482.0)</f>
        <v>45482</v>
      </c>
      <c r="C14789" s="13">
        <f>IFERROR(__xludf.DUMMYFUNCTION("""COMPUTED_VALUE"""),0.20833333333333334)</f>
        <v>0.2083333333</v>
      </c>
      <c r="D14789" s="8">
        <f>IFERROR(__xludf.DUMMYFUNCTION("""COMPUTED_VALUE"""),0.117)</f>
        <v>0.117</v>
      </c>
      <c r="E14789" s="8" t="str">
        <f>IFERROR(__xludf.DUMMYFUNCTION("""COMPUTED_VALUE"""),"Real")</f>
        <v>Real</v>
      </c>
      <c r="G14789" s="8">
        <f t="shared" si="1"/>
        <v>7</v>
      </c>
      <c r="H14789" s="14">
        <f t="shared" si="2"/>
        <v>9</v>
      </c>
      <c r="I14789" s="15">
        <f t="shared" si="3"/>
        <v>5</v>
      </c>
    </row>
    <row r="14790">
      <c r="A14790" s="8" t="str">
        <f>IFERROR(__xludf.DUMMYFUNCTION("IF('(INGESTA)Datos_consumo_datadis'!A14790&lt;&gt;"""",SPLIT('(INGESTA)Datos_consumo_datadis'!A:A,"",""),"""")"),"ES0031408323131005HX0F")</f>
        <v>ES0031408323131005HX0F</v>
      </c>
      <c r="B14790" s="12">
        <f>IFERROR(__xludf.DUMMYFUNCTION("""COMPUTED_VALUE"""),45482.0)</f>
        <v>45482</v>
      </c>
      <c r="C14790" s="13">
        <f>IFERROR(__xludf.DUMMYFUNCTION("""COMPUTED_VALUE"""),0.25)</f>
        <v>0.25</v>
      </c>
      <c r="D14790" s="8">
        <f>IFERROR(__xludf.DUMMYFUNCTION("""COMPUTED_VALUE"""),0.062)</f>
        <v>0.062</v>
      </c>
      <c r="E14790" s="8" t="str">
        <f>IFERROR(__xludf.DUMMYFUNCTION("""COMPUTED_VALUE"""),"Real")</f>
        <v>Real</v>
      </c>
      <c r="G14790" s="8">
        <f t="shared" si="1"/>
        <v>7</v>
      </c>
      <c r="H14790" s="14">
        <f t="shared" si="2"/>
        <v>9</v>
      </c>
      <c r="I14790" s="15">
        <f t="shared" si="3"/>
        <v>6</v>
      </c>
    </row>
    <row r="14791">
      <c r="A14791" s="8" t="str">
        <f>IFERROR(__xludf.DUMMYFUNCTION("IF('(INGESTA)Datos_consumo_datadis'!A14791&lt;&gt;"""",SPLIT('(INGESTA)Datos_consumo_datadis'!A:A,"",""),"""")"),"ES0031408323131005HX0F")</f>
        <v>ES0031408323131005HX0F</v>
      </c>
      <c r="B14791" s="12">
        <f>IFERROR(__xludf.DUMMYFUNCTION("""COMPUTED_VALUE"""),45482.0)</f>
        <v>45482</v>
      </c>
      <c r="C14791" s="13">
        <f>IFERROR(__xludf.DUMMYFUNCTION("""COMPUTED_VALUE"""),0.2916666666666667)</f>
        <v>0.2916666667</v>
      </c>
      <c r="D14791" s="8">
        <f>IFERROR(__xludf.DUMMYFUNCTION("""COMPUTED_VALUE"""),0.065)</f>
        <v>0.065</v>
      </c>
      <c r="E14791" s="8" t="str">
        <f>IFERROR(__xludf.DUMMYFUNCTION("""COMPUTED_VALUE"""),"Real")</f>
        <v>Real</v>
      </c>
      <c r="G14791" s="8">
        <f t="shared" si="1"/>
        <v>7</v>
      </c>
      <c r="H14791" s="14">
        <f t="shared" si="2"/>
        <v>9</v>
      </c>
      <c r="I14791" s="15">
        <f t="shared" si="3"/>
        <v>7</v>
      </c>
    </row>
    <row r="14792">
      <c r="A14792" s="8" t="str">
        <f>IFERROR(__xludf.DUMMYFUNCTION("IF('(INGESTA)Datos_consumo_datadis'!A14792&lt;&gt;"""",SPLIT('(INGESTA)Datos_consumo_datadis'!A:A,"",""),"""")"),"ES0031408323131005HX0F")</f>
        <v>ES0031408323131005HX0F</v>
      </c>
      <c r="B14792" s="12">
        <f>IFERROR(__xludf.DUMMYFUNCTION("""COMPUTED_VALUE"""),45482.0)</f>
        <v>45482</v>
      </c>
      <c r="C14792" s="13">
        <f>IFERROR(__xludf.DUMMYFUNCTION("""COMPUTED_VALUE"""),0.3333333333333333)</f>
        <v>0.3333333333</v>
      </c>
      <c r="D14792" s="8">
        <f>IFERROR(__xludf.DUMMYFUNCTION("""COMPUTED_VALUE"""),0.015)</f>
        <v>0.015</v>
      </c>
      <c r="E14792" s="8" t="str">
        <f>IFERROR(__xludf.DUMMYFUNCTION("""COMPUTED_VALUE"""),"Real")</f>
        <v>Real</v>
      </c>
      <c r="G14792" s="8">
        <f t="shared" si="1"/>
        <v>7</v>
      </c>
      <c r="H14792" s="14">
        <f t="shared" si="2"/>
        <v>9</v>
      </c>
      <c r="I14792" s="15">
        <f t="shared" si="3"/>
        <v>8</v>
      </c>
    </row>
    <row r="14793">
      <c r="A14793" s="8" t="str">
        <f>IFERROR(__xludf.DUMMYFUNCTION("IF('(INGESTA)Datos_consumo_datadis'!A14793&lt;&gt;"""",SPLIT('(INGESTA)Datos_consumo_datadis'!A:A,"",""),"""")"),"ES0031408323131005HX0F")</f>
        <v>ES0031408323131005HX0F</v>
      </c>
      <c r="B14793" s="12">
        <f>IFERROR(__xludf.DUMMYFUNCTION("""COMPUTED_VALUE"""),45482.0)</f>
        <v>45482</v>
      </c>
      <c r="C14793" s="13">
        <f>IFERROR(__xludf.DUMMYFUNCTION("""COMPUTED_VALUE"""),0.375)</f>
        <v>0.375</v>
      </c>
      <c r="D14793" s="8">
        <f>IFERROR(__xludf.DUMMYFUNCTION("""COMPUTED_VALUE"""),0.104)</f>
        <v>0.104</v>
      </c>
      <c r="E14793" s="8" t="str">
        <f>IFERROR(__xludf.DUMMYFUNCTION("""COMPUTED_VALUE"""),"Real")</f>
        <v>Real</v>
      </c>
      <c r="G14793" s="8">
        <f t="shared" si="1"/>
        <v>7</v>
      </c>
      <c r="H14793" s="14">
        <f t="shared" si="2"/>
        <v>9</v>
      </c>
      <c r="I14793" s="15">
        <f t="shared" si="3"/>
        <v>9</v>
      </c>
    </row>
    <row r="14794">
      <c r="A14794" s="8" t="str">
        <f>IFERROR(__xludf.DUMMYFUNCTION("IF('(INGESTA)Datos_consumo_datadis'!A14794&lt;&gt;"""",SPLIT('(INGESTA)Datos_consumo_datadis'!A:A,"",""),"""")"),"ES0031408323131005HX0F")</f>
        <v>ES0031408323131005HX0F</v>
      </c>
      <c r="B14794" s="12">
        <f>IFERROR(__xludf.DUMMYFUNCTION("""COMPUTED_VALUE"""),45482.0)</f>
        <v>45482</v>
      </c>
      <c r="C14794" s="13">
        <f>IFERROR(__xludf.DUMMYFUNCTION("""COMPUTED_VALUE"""),0.4166666666666667)</f>
        <v>0.4166666667</v>
      </c>
      <c r="D14794" s="8">
        <f>IFERROR(__xludf.DUMMYFUNCTION("""COMPUTED_VALUE"""),0.08)</f>
        <v>0.08</v>
      </c>
      <c r="E14794" s="8" t="str">
        <f>IFERROR(__xludf.DUMMYFUNCTION("""COMPUTED_VALUE"""),"Real")</f>
        <v>Real</v>
      </c>
      <c r="G14794" s="8">
        <f t="shared" si="1"/>
        <v>7</v>
      </c>
      <c r="H14794" s="14">
        <f t="shared" si="2"/>
        <v>9</v>
      </c>
      <c r="I14794" s="15">
        <f t="shared" si="3"/>
        <v>10</v>
      </c>
    </row>
    <row r="14795">
      <c r="A14795" s="8" t="str">
        <f>IFERROR(__xludf.DUMMYFUNCTION("IF('(INGESTA)Datos_consumo_datadis'!A14795&lt;&gt;"""",SPLIT('(INGESTA)Datos_consumo_datadis'!A:A,"",""),"""")"),"ES0031408323131005HX0F")</f>
        <v>ES0031408323131005HX0F</v>
      </c>
      <c r="B14795" s="12">
        <f>IFERROR(__xludf.DUMMYFUNCTION("""COMPUTED_VALUE"""),45482.0)</f>
        <v>45482</v>
      </c>
      <c r="C14795" s="13">
        <f>IFERROR(__xludf.DUMMYFUNCTION("""COMPUTED_VALUE"""),0.4583333333333333)</f>
        <v>0.4583333333</v>
      </c>
      <c r="D14795" s="8">
        <f>IFERROR(__xludf.DUMMYFUNCTION("""COMPUTED_VALUE"""),0.079)</f>
        <v>0.079</v>
      </c>
      <c r="E14795" s="8" t="str">
        <f>IFERROR(__xludf.DUMMYFUNCTION("""COMPUTED_VALUE"""),"Real")</f>
        <v>Real</v>
      </c>
      <c r="G14795" s="8">
        <f t="shared" si="1"/>
        <v>7</v>
      </c>
      <c r="H14795" s="14">
        <f t="shared" si="2"/>
        <v>9</v>
      </c>
      <c r="I14795" s="15">
        <f t="shared" si="3"/>
        <v>11</v>
      </c>
    </row>
    <row r="14796">
      <c r="A14796" s="8" t="str">
        <f>IFERROR(__xludf.DUMMYFUNCTION("IF('(INGESTA)Datos_consumo_datadis'!A14796&lt;&gt;"""",SPLIT('(INGESTA)Datos_consumo_datadis'!A:A,"",""),"""")"),"ES0031408323131005HX0F")</f>
        <v>ES0031408323131005HX0F</v>
      </c>
      <c r="B14796" s="12">
        <f>IFERROR(__xludf.DUMMYFUNCTION("""COMPUTED_VALUE"""),45482.0)</f>
        <v>45482</v>
      </c>
      <c r="C14796" s="13">
        <f>IFERROR(__xludf.DUMMYFUNCTION("""COMPUTED_VALUE"""),0.5)</f>
        <v>0.5</v>
      </c>
      <c r="D14796" s="8">
        <f>IFERROR(__xludf.DUMMYFUNCTION("""COMPUTED_VALUE"""),0.301)</f>
        <v>0.301</v>
      </c>
      <c r="E14796" s="8" t="str">
        <f>IFERROR(__xludf.DUMMYFUNCTION("""COMPUTED_VALUE"""),"Real")</f>
        <v>Real</v>
      </c>
      <c r="G14796" s="8">
        <f t="shared" si="1"/>
        <v>7</v>
      </c>
      <c r="H14796" s="14">
        <f t="shared" si="2"/>
        <v>9</v>
      </c>
      <c r="I14796" s="15">
        <f t="shared" si="3"/>
        <v>12</v>
      </c>
    </row>
    <row r="14797">
      <c r="A14797" s="8" t="str">
        <f>IFERROR(__xludf.DUMMYFUNCTION("IF('(INGESTA)Datos_consumo_datadis'!A14797&lt;&gt;"""",SPLIT('(INGESTA)Datos_consumo_datadis'!A:A,"",""),"""")"),"ES0031408323131005HX0F")</f>
        <v>ES0031408323131005HX0F</v>
      </c>
      <c r="B14797" s="12">
        <f>IFERROR(__xludf.DUMMYFUNCTION("""COMPUTED_VALUE"""),45482.0)</f>
        <v>45482</v>
      </c>
      <c r="C14797" s="13">
        <f>IFERROR(__xludf.DUMMYFUNCTION("""COMPUTED_VALUE"""),0.5416666666666666)</f>
        <v>0.5416666667</v>
      </c>
      <c r="D14797" s="8">
        <f>IFERROR(__xludf.DUMMYFUNCTION("""COMPUTED_VALUE"""),0.07)</f>
        <v>0.07</v>
      </c>
      <c r="E14797" s="8" t="str">
        <f>IFERROR(__xludf.DUMMYFUNCTION("""COMPUTED_VALUE"""),"Real")</f>
        <v>Real</v>
      </c>
      <c r="G14797" s="8">
        <f t="shared" si="1"/>
        <v>7</v>
      </c>
      <c r="H14797" s="14">
        <f t="shared" si="2"/>
        <v>9</v>
      </c>
      <c r="I14797" s="15">
        <f t="shared" si="3"/>
        <v>13</v>
      </c>
    </row>
    <row r="14798">
      <c r="A14798" s="8" t="str">
        <f>IFERROR(__xludf.DUMMYFUNCTION("IF('(INGESTA)Datos_consumo_datadis'!A14798&lt;&gt;"""",SPLIT('(INGESTA)Datos_consumo_datadis'!A:A,"",""),"""")"),"ES0031408323131005HX0F")</f>
        <v>ES0031408323131005HX0F</v>
      </c>
      <c r="B14798" s="12">
        <f>IFERROR(__xludf.DUMMYFUNCTION("""COMPUTED_VALUE"""),45482.0)</f>
        <v>45482</v>
      </c>
      <c r="C14798" s="13">
        <f>IFERROR(__xludf.DUMMYFUNCTION("""COMPUTED_VALUE"""),0.5833333333333334)</f>
        <v>0.5833333333</v>
      </c>
      <c r="D14798" s="8">
        <f>IFERROR(__xludf.DUMMYFUNCTION("""COMPUTED_VALUE"""),0.12)</f>
        <v>0.12</v>
      </c>
      <c r="E14798" s="8" t="str">
        <f>IFERROR(__xludf.DUMMYFUNCTION("""COMPUTED_VALUE"""),"Real")</f>
        <v>Real</v>
      </c>
      <c r="G14798" s="8">
        <f t="shared" si="1"/>
        <v>7</v>
      </c>
      <c r="H14798" s="14">
        <f t="shared" si="2"/>
        <v>9</v>
      </c>
      <c r="I14798" s="15">
        <f t="shared" si="3"/>
        <v>14</v>
      </c>
    </row>
    <row r="14799">
      <c r="A14799" s="8" t="str">
        <f>IFERROR(__xludf.DUMMYFUNCTION("IF('(INGESTA)Datos_consumo_datadis'!A14799&lt;&gt;"""",SPLIT('(INGESTA)Datos_consumo_datadis'!A:A,"",""),"""")"),"ES0031408323131005HX0F")</f>
        <v>ES0031408323131005HX0F</v>
      </c>
      <c r="B14799" s="12">
        <f>IFERROR(__xludf.DUMMYFUNCTION("""COMPUTED_VALUE"""),45482.0)</f>
        <v>45482</v>
      </c>
      <c r="C14799" s="13">
        <f>IFERROR(__xludf.DUMMYFUNCTION("""COMPUTED_VALUE"""),0.625)</f>
        <v>0.625</v>
      </c>
      <c r="D14799" s="8">
        <f>IFERROR(__xludf.DUMMYFUNCTION("""COMPUTED_VALUE"""),0.482)</f>
        <v>0.482</v>
      </c>
      <c r="E14799" s="8" t="str">
        <f>IFERROR(__xludf.DUMMYFUNCTION("""COMPUTED_VALUE"""),"Real")</f>
        <v>Real</v>
      </c>
      <c r="G14799" s="8">
        <f t="shared" si="1"/>
        <v>7</v>
      </c>
      <c r="H14799" s="14">
        <f t="shared" si="2"/>
        <v>9</v>
      </c>
      <c r="I14799" s="15">
        <f t="shared" si="3"/>
        <v>15</v>
      </c>
    </row>
    <row r="14800">
      <c r="A14800" s="8" t="str">
        <f>IFERROR(__xludf.DUMMYFUNCTION("IF('(INGESTA)Datos_consumo_datadis'!A14800&lt;&gt;"""",SPLIT('(INGESTA)Datos_consumo_datadis'!A:A,"",""),"""")"),"ES0031408323131005HX0F")</f>
        <v>ES0031408323131005HX0F</v>
      </c>
      <c r="B14800" s="12">
        <f>IFERROR(__xludf.DUMMYFUNCTION("""COMPUTED_VALUE"""),45482.0)</f>
        <v>45482</v>
      </c>
      <c r="C14800" s="13">
        <f>IFERROR(__xludf.DUMMYFUNCTION("""COMPUTED_VALUE"""),0.6666666666666666)</f>
        <v>0.6666666667</v>
      </c>
      <c r="D14800" s="8">
        <f>IFERROR(__xludf.DUMMYFUNCTION("""COMPUTED_VALUE"""),0.312)</f>
        <v>0.312</v>
      </c>
      <c r="E14800" s="8" t="str">
        <f>IFERROR(__xludf.DUMMYFUNCTION("""COMPUTED_VALUE"""),"Real")</f>
        <v>Real</v>
      </c>
      <c r="G14800" s="8">
        <f t="shared" si="1"/>
        <v>7</v>
      </c>
      <c r="H14800" s="14">
        <f t="shared" si="2"/>
        <v>9</v>
      </c>
      <c r="I14800" s="15">
        <f t="shared" si="3"/>
        <v>16</v>
      </c>
    </row>
    <row r="14801">
      <c r="A14801" s="8" t="str">
        <f>IFERROR(__xludf.DUMMYFUNCTION("IF('(INGESTA)Datos_consumo_datadis'!A14801&lt;&gt;"""",SPLIT('(INGESTA)Datos_consumo_datadis'!A:A,"",""),"""")"),"ES0031408323131005HX0F")</f>
        <v>ES0031408323131005HX0F</v>
      </c>
      <c r="B14801" s="12">
        <f>IFERROR(__xludf.DUMMYFUNCTION("""COMPUTED_VALUE"""),45482.0)</f>
        <v>45482</v>
      </c>
      <c r="C14801" s="13">
        <f>IFERROR(__xludf.DUMMYFUNCTION("""COMPUTED_VALUE"""),0.7083333333333334)</f>
        <v>0.7083333333</v>
      </c>
      <c r="D14801" s="8">
        <f>IFERROR(__xludf.DUMMYFUNCTION("""COMPUTED_VALUE"""),0.147)</f>
        <v>0.147</v>
      </c>
      <c r="E14801" s="8" t="str">
        <f>IFERROR(__xludf.DUMMYFUNCTION("""COMPUTED_VALUE"""),"Real")</f>
        <v>Real</v>
      </c>
      <c r="G14801" s="8">
        <f t="shared" si="1"/>
        <v>7</v>
      </c>
      <c r="H14801" s="14">
        <f t="shared" si="2"/>
        <v>9</v>
      </c>
      <c r="I14801" s="15">
        <f t="shared" si="3"/>
        <v>17</v>
      </c>
    </row>
    <row r="14802">
      <c r="A14802" s="8" t="str">
        <f>IFERROR(__xludf.DUMMYFUNCTION("IF('(INGESTA)Datos_consumo_datadis'!A14802&lt;&gt;"""",SPLIT('(INGESTA)Datos_consumo_datadis'!A:A,"",""),"""")"),"ES0031408323131005HX0F")</f>
        <v>ES0031408323131005HX0F</v>
      </c>
      <c r="B14802" s="12">
        <f>IFERROR(__xludf.DUMMYFUNCTION("""COMPUTED_VALUE"""),45482.0)</f>
        <v>45482</v>
      </c>
      <c r="C14802" s="13">
        <f>IFERROR(__xludf.DUMMYFUNCTION("""COMPUTED_VALUE"""),0.75)</f>
        <v>0.75</v>
      </c>
      <c r="D14802" s="8">
        <f>IFERROR(__xludf.DUMMYFUNCTION("""COMPUTED_VALUE"""),0.201)</f>
        <v>0.201</v>
      </c>
      <c r="E14802" s="8" t="str">
        <f>IFERROR(__xludf.DUMMYFUNCTION("""COMPUTED_VALUE"""),"Real")</f>
        <v>Real</v>
      </c>
      <c r="G14802" s="8">
        <f t="shared" si="1"/>
        <v>7</v>
      </c>
      <c r="H14802" s="14">
        <f t="shared" si="2"/>
        <v>9</v>
      </c>
      <c r="I14802" s="15">
        <f t="shared" si="3"/>
        <v>18</v>
      </c>
    </row>
    <row r="14803">
      <c r="A14803" s="8" t="str">
        <f>IFERROR(__xludf.DUMMYFUNCTION("IF('(INGESTA)Datos_consumo_datadis'!A14803&lt;&gt;"""",SPLIT('(INGESTA)Datos_consumo_datadis'!A:A,"",""),"""")"),"ES0031408323131005HX0F")</f>
        <v>ES0031408323131005HX0F</v>
      </c>
      <c r="B14803" s="12">
        <f>IFERROR(__xludf.DUMMYFUNCTION("""COMPUTED_VALUE"""),45482.0)</f>
        <v>45482</v>
      </c>
      <c r="C14803" s="13">
        <f>IFERROR(__xludf.DUMMYFUNCTION("""COMPUTED_VALUE"""),0.7916666666666666)</f>
        <v>0.7916666667</v>
      </c>
      <c r="D14803" s="8">
        <f>IFERROR(__xludf.DUMMYFUNCTION("""COMPUTED_VALUE"""),0.427)</f>
        <v>0.427</v>
      </c>
      <c r="E14803" s="8" t="str">
        <f>IFERROR(__xludf.DUMMYFUNCTION("""COMPUTED_VALUE"""),"Real")</f>
        <v>Real</v>
      </c>
      <c r="G14803" s="8">
        <f t="shared" si="1"/>
        <v>7</v>
      </c>
      <c r="H14803" s="14">
        <f t="shared" si="2"/>
        <v>9</v>
      </c>
      <c r="I14803" s="15">
        <f t="shared" si="3"/>
        <v>19</v>
      </c>
    </row>
    <row r="14804">
      <c r="A14804" s="8" t="str">
        <f>IFERROR(__xludf.DUMMYFUNCTION("IF('(INGESTA)Datos_consumo_datadis'!A14804&lt;&gt;"""",SPLIT('(INGESTA)Datos_consumo_datadis'!A:A,"",""),"""")"),"ES0031408323131005HX0F")</f>
        <v>ES0031408323131005HX0F</v>
      </c>
      <c r="B14804" s="12">
        <f>IFERROR(__xludf.DUMMYFUNCTION("""COMPUTED_VALUE"""),45482.0)</f>
        <v>45482</v>
      </c>
      <c r="C14804" s="13">
        <f>IFERROR(__xludf.DUMMYFUNCTION("""COMPUTED_VALUE"""),0.8333333333333334)</f>
        <v>0.8333333333</v>
      </c>
      <c r="D14804" s="8">
        <f>IFERROR(__xludf.DUMMYFUNCTION("""COMPUTED_VALUE"""),0.101)</f>
        <v>0.101</v>
      </c>
      <c r="E14804" s="8" t="str">
        <f>IFERROR(__xludf.DUMMYFUNCTION("""COMPUTED_VALUE"""),"Real")</f>
        <v>Real</v>
      </c>
      <c r="G14804" s="8">
        <f t="shared" si="1"/>
        <v>7</v>
      </c>
      <c r="H14804" s="14">
        <f t="shared" si="2"/>
        <v>9</v>
      </c>
      <c r="I14804" s="15">
        <f t="shared" si="3"/>
        <v>20</v>
      </c>
    </row>
    <row r="14805">
      <c r="A14805" s="8" t="str">
        <f>IFERROR(__xludf.DUMMYFUNCTION("IF('(INGESTA)Datos_consumo_datadis'!A14805&lt;&gt;"""",SPLIT('(INGESTA)Datos_consumo_datadis'!A:A,"",""),"""")"),"ES0031408323131005HX0F")</f>
        <v>ES0031408323131005HX0F</v>
      </c>
      <c r="B14805" s="12">
        <f>IFERROR(__xludf.DUMMYFUNCTION("""COMPUTED_VALUE"""),45482.0)</f>
        <v>45482</v>
      </c>
      <c r="C14805" s="13">
        <f>IFERROR(__xludf.DUMMYFUNCTION("""COMPUTED_VALUE"""),0.875)</f>
        <v>0.875</v>
      </c>
      <c r="D14805" s="8">
        <f>IFERROR(__xludf.DUMMYFUNCTION("""COMPUTED_VALUE"""),0.062)</f>
        <v>0.062</v>
      </c>
      <c r="E14805" s="8" t="str">
        <f>IFERROR(__xludf.DUMMYFUNCTION("""COMPUTED_VALUE"""),"Real")</f>
        <v>Real</v>
      </c>
      <c r="G14805" s="8">
        <f t="shared" si="1"/>
        <v>7</v>
      </c>
      <c r="H14805" s="14">
        <f t="shared" si="2"/>
        <v>9</v>
      </c>
      <c r="I14805" s="15">
        <f t="shared" si="3"/>
        <v>21</v>
      </c>
    </row>
    <row r="14806">
      <c r="A14806" s="8" t="str">
        <f>IFERROR(__xludf.DUMMYFUNCTION("IF('(INGESTA)Datos_consumo_datadis'!A14806&lt;&gt;"""",SPLIT('(INGESTA)Datos_consumo_datadis'!A:A,"",""),"""")"),"ES0031408323131005HX0F")</f>
        <v>ES0031408323131005HX0F</v>
      </c>
      <c r="B14806" s="12">
        <f>IFERROR(__xludf.DUMMYFUNCTION("""COMPUTED_VALUE"""),45482.0)</f>
        <v>45482</v>
      </c>
      <c r="C14806" s="13">
        <f>IFERROR(__xludf.DUMMYFUNCTION("""COMPUTED_VALUE"""),0.9166666666666666)</f>
        <v>0.9166666667</v>
      </c>
      <c r="D14806" s="8">
        <f>IFERROR(__xludf.DUMMYFUNCTION("""COMPUTED_VALUE"""),0.297)</f>
        <v>0.297</v>
      </c>
      <c r="E14806" s="8" t="str">
        <f>IFERROR(__xludf.DUMMYFUNCTION("""COMPUTED_VALUE"""),"Real")</f>
        <v>Real</v>
      </c>
      <c r="G14806" s="8">
        <f t="shared" si="1"/>
        <v>7</v>
      </c>
      <c r="H14806" s="14">
        <f t="shared" si="2"/>
        <v>9</v>
      </c>
      <c r="I14806" s="15">
        <f t="shared" si="3"/>
        <v>22</v>
      </c>
    </row>
    <row r="14807">
      <c r="A14807" s="8" t="str">
        <f>IFERROR(__xludf.DUMMYFUNCTION("IF('(INGESTA)Datos_consumo_datadis'!A14807&lt;&gt;"""",SPLIT('(INGESTA)Datos_consumo_datadis'!A:A,"",""),"""")"),"ES0031408323131005HX0F")</f>
        <v>ES0031408323131005HX0F</v>
      </c>
      <c r="B14807" s="12">
        <f>IFERROR(__xludf.DUMMYFUNCTION("""COMPUTED_VALUE"""),45482.0)</f>
        <v>45482</v>
      </c>
      <c r="C14807" s="13">
        <f>IFERROR(__xludf.DUMMYFUNCTION("""COMPUTED_VALUE"""),0.9583333333333334)</f>
        <v>0.9583333333</v>
      </c>
      <c r="D14807" s="8">
        <f>IFERROR(__xludf.DUMMYFUNCTION("""COMPUTED_VALUE"""),0.402)</f>
        <v>0.402</v>
      </c>
      <c r="E14807" s="8" t="str">
        <f>IFERROR(__xludf.DUMMYFUNCTION("""COMPUTED_VALUE"""),"Real")</f>
        <v>Real</v>
      </c>
      <c r="G14807" s="8">
        <f t="shared" si="1"/>
        <v>7</v>
      </c>
      <c r="H14807" s="14">
        <f t="shared" si="2"/>
        <v>9</v>
      </c>
      <c r="I14807" s="15">
        <f t="shared" si="3"/>
        <v>23</v>
      </c>
    </row>
    <row r="14808">
      <c r="A14808" s="8" t="str">
        <f>IFERROR(__xludf.DUMMYFUNCTION("IF('(INGESTA)Datos_consumo_datadis'!A14808&lt;&gt;"""",SPLIT('(INGESTA)Datos_consumo_datadis'!A:A,"",""),"""")"),"ES0031408323131005HX0F")</f>
        <v>ES0031408323131005HX0F</v>
      </c>
      <c r="B14808" s="12">
        <f>IFERROR(__xludf.DUMMYFUNCTION("""COMPUTED_VALUE"""),45482.0)</f>
        <v>45482</v>
      </c>
      <c r="C14808" s="16">
        <f>IFERROR(__xludf.DUMMYFUNCTION("""COMPUTED_VALUE"""),1.0)</f>
        <v>1</v>
      </c>
      <c r="D14808" s="8">
        <f>IFERROR(__xludf.DUMMYFUNCTION("""COMPUTED_VALUE"""),0.279)</f>
        <v>0.279</v>
      </c>
      <c r="E14808" s="8" t="str">
        <f>IFERROR(__xludf.DUMMYFUNCTION("""COMPUTED_VALUE"""),"Real")</f>
        <v>Real</v>
      </c>
      <c r="G14808" s="8">
        <f t="shared" si="1"/>
        <v>7</v>
      </c>
      <c r="H14808" s="14">
        <f t="shared" si="2"/>
        <v>9</v>
      </c>
      <c r="I14808" s="15">
        <f t="shared" si="3"/>
        <v>0</v>
      </c>
    </row>
    <row r="14809">
      <c r="A14809" s="8" t="str">
        <f>IFERROR(__xludf.DUMMYFUNCTION("IF('(INGESTA)Datos_consumo_datadis'!A14809&lt;&gt;"""",SPLIT('(INGESTA)Datos_consumo_datadis'!A:A,"",""),"""")"),"ES0031408323131005HX0F")</f>
        <v>ES0031408323131005HX0F</v>
      </c>
      <c r="B14809" s="12">
        <f>IFERROR(__xludf.DUMMYFUNCTION("""COMPUTED_VALUE"""),45483.0)</f>
        <v>45483</v>
      </c>
      <c r="C14809" s="13">
        <f>IFERROR(__xludf.DUMMYFUNCTION("""COMPUTED_VALUE"""),0.041666666666666664)</f>
        <v>0.04166666667</v>
      </c>
      <c r="D14809" s="8">
        <f>IFERROR(__xludf.DUMMYFUNCTION("""COMPUTED_VALUE"""),0.057)</f>
        <v>0.057</v>
      </c>
      <c r="E14809" s="8" t="str">
        <f>IFERROR(__xludf.DUMMYFUNCTION("""COMPUTED_VALUE"""),"Real")</f>
        <v>Real</v>
      </c>
      <c r="G14809" s="8">
        <f t="shared" si="1"/>
        <v>7</v>
      </c>
      <c r="H14809" s="14">
        <f t="shared" si="2"/>
        <v>10</v>
      </c>
      <c r="I14809" s="15">
        <f t="shared" si="3"/>
        <v>1</v>
      </c>
    </row>
    <row r="14810">
      <c r="A14810" s="8" t="str">
        <f>IFERROR(__xludf.DUMMYFUNCTION("IF('(INGESTA)Datos_consumo_datadis'!A14810&lt;&gt;"""",SPLIT('(INGESTA)Datos_consumo_datadis'!A:A,"",""),"""")"),"ES0031408323131005HX0F")</f>
        <v>ES0031408323131005HX0F</v>
      </c>
      <c r="B14810" s="12">
        <f>IFERROR(__xludf.DUMMYFUNCTION("""COMPUTED_VALUE"""),45483.0)</f>
        <v>45483</v>
      </c>
      <c r="C14810" s="13">
        <f>IFERROR(__xludf.DUMMYFUNCTION("""COMPUTED_VALUE"""),0.08333333333333333)</f>
        <v>0.08333333333</v>
      </c>
      <c r="D14810" s="8">
        <f>IFERROR(__xludf.DUMMYFUNCTION("""COMPUTED_VALUE"""),0.122)</f>
        <v>0.122</v>
      </c>
      <c r="E14810" s="8" t="str">
        <f>IFERROR(__xludf.DUMMYFUNCTION("""COMPUTED_VALUE"""),"Real")</f>
        <v>Real</v>
      </c>
      <c r="G14810" s="8">
        <f t="shared" si="1"/>
        <v>7</v>
      </c>
      <c r="H14810" s="14">
        <f t="shared" si="2"/>
        <v>10</v>
      </c>
      <c r="I14810" s="15">
        <f t="shared" si="3"/>
        <v>2</v>
      </c>
    </row>
    <row r="14811">
      <c r="A14811" s="8" t="str">
        <f>IFERROR(__xludf.DUMMYFUNCTION("IF('(INGESTA)Datos_consumo_datadis'!A14811&lt;&gt;"""",SPLIT('(INGESTA)Datos_consumo_datadis'!A:A,"",""),"""")"),"ES0031408323131005HX0F")</f>
        <v>ES0031408323131005HX0F</v>
      </c>
      <c r="B14811" s="12">
        <f>IFERROR(__xludf.DUMMYFUNCTION("""COMPUTED_VALUE"""),45483.0)</f>
        <v>45483</v>
      </c>
      <c r="C14811" s="13">
        <f>IFERROR(__xludf.DUMMYFUNCTION("""COMPUTED_VALUE"""),0.125)</f>
        <v>0.125</v>
      </c>
      <c r="D14811" s="8">
        <f>IFERROR(__xludf.DUMMYFUNCTION("""COMPUTED_VALUE"""),0.093)</f>
        <v>0.093</v>
      </c>
      <c r="E14811" s="8" t="str">
        <f>IFERROR(__xludf.DUMMYFUNCTION("""COMPUTED_VALUE"""),"Real")</f>
        <v>Real</v>
      </c>
      <c r="G14811" s="8">
        <f t="shared" si="1"/>
        <v>7</v>
      </c>
      <c r="H14811" s="14">
        <f t="shared" si="2"/>
        <v>10</v>
      </c>
      <c r="I14811" s="15">
        <f t="shared" si="3"/>
        <v>3</v>
      </c>
    </row>
    <row r="14812">
      <c r="A14812" s="8" t="str">
        <f>IFERROR(__xludf.DUMMYFUNCTION("IF('(INGESTA)Datos_consumo_datadis'!A14812&lt;&gt;"""",SPLIT('(INGESTA)Datos_consumo_datadis'!A:A,"",""),"""")"),"ES0031408323131005HX0F")</f>
        <v>ES0031408323131005HX0F</v>
      </c>
      <c r="B14812" s="12">
        <f>IFERROR(__xludf.DUMMYFUNCTION("""COMPUTED_VALUE"""),45483.0)</f>
        <v>45483</v>
      </c>
      <c r="C14812" s="13">
        <f>IFERROR(__xludf.DUMMYFUNCTION("""COMPUTED_VALUE"""),0.16666666666666666)</f>
        <v>0.1666666667</v>
      </c>
      <c r="D14812" s="8">
        <f>IFERROR(__xludf.DUMMYFUNCTION("""COMPUTED_VALUE"""),0.354)</f>
        <v>0.354</v>
      </c>
      <c r="E14812" s="8" t="str">
        <f>IFERROR(__xludf.DUMMYFUNCTION("""COMPUTED_VALUE"""),"Real")</f>
        <v>Real</v>
      </c>
      <c r="G14812" s="8">
        <f t="shared" si="1"/>
        <v>7</v>
      </c>
      <c r="H14812" s="14">
        <f t="shared" si="2"/>
        <v>10</v>
      </c>
      <c r="I14812" s="15">
        <f t="shared" si="3"/>
        <v>4</v>
      </c>
    </row>
    <row r="14813">
      <c r="A14813" s="8" t="str">
        <f>IFERROR(__xludf.DUMMYFUNCTION("IF('(INGESTA)Datos_consumo_datadis'!A14813&lt;&gt;"""",SPLIT('(INGESTA)Datos_consumo_datadis'!A:A,"",""),"""")"),"ES0031408323131005HX0F")</f>
        <v>ES0031408323131005HX0F</v>
      </c>
      <c r="B14813" s="12">
        <f>IFERROR(__xludf.DUMMYFUNCTION("""COMPUTED_VALUE"""),45483.0)</f>
        <v>45483</v>
      </c>
      <c r="C14813" s="13">
        <f>IFERROR(__xludf.DUMMYFUNCTION("""COMPUTED_VALUE"""),0.20833333333333334)</f>
        <v>0.2083333333</v>
      </c>
      <c r="D14813" s="8">
        <f>IFERROR(__xludf.DUMMYFUNCTION("""COMPUTED_VALUE"""),0.103)</f>
        <v>0.103</v>
      </c>
      <c r="E14813" s="8" t="str">
        <f>IFERROR(__xludf.DUMMYFUNCTION("""COMPUTED_VALUE"""),"Real")</f>
        <v>Real</v>
      </c>
      <c r="G14813" s="8">
        <f t="shared" si="1"/>
        <v>7</v>
      </c>
      <c r="H14813" s="14">
        <f t="shared" si="2"/>
        <v>10</v>
      </c>
      <c r="I14813" s="15">
        <f t="shared" si="3"/>
        <v>5</v>
      </c>
    </row>
    <row r="14814">
      <c r="A14814" s="8" t="str">
        <f>IFERROR(__xludf.DUMMYFUNCTION("IF('(INGESTA)Datos_consumo_datadis'!A14814&lt;&gt;"""",SPLIT('(INGESTA)Datos_consumo_datadis'!A:A,"",""),"""")"),"ES0031408323131005HX0F")</f>
        <v>ES0031408323131005HX0F</v>
      </c>
      <c r="B14814" s="12">
        <f>IFERROR(__xludf.DUMMYFUNCTION("""COMPUTED_VALUE"""),45483.0)</f>
        <v>45483</v>
      </c>
      <c r="C14814" s="13">
        <f>IFERROR(__xludf.DUMMYFUNCTION("""COMPUTED_VALUE"""),0.25)</f>
        <v>0.25</v>
      </c>
      <c r="D14814" s="8">
        <f>IFERROR(__xludf.DUMMYFUNCTION("""COMPUTED_VALUE"""),0.092)</f>
        <v>0.092</v>
      </c>
      <c r="E14814" s="8" t="str">
        <f>IFERROR(__xludf.DUMMYFUNCTION("""COMPUTED_VALUE"""),"Real")</f>
        <v>Real</v>
      </c>
      <c r="G14814" s="8">
        <f t="shared" si="1"/>
        <v>7</v>
      </c>
      <c r="H14814" s="14">
        <f t="shared" si="2"/>
        <v>10</v>
      </c>
      <c r="I14814" s="15">
        <f t="shared" si="3"/>
        <v>6</v>
      </c>
    </row>
    <row r="14815">
      <c r="A14815" s="8" t="str">
        <f>IFERROR(__xludf.DUMMYFUNCTION("IF('(INGESTA)Datos_consumo_datadis'!A14815&lt;&gt;"""",SPLIT('(INGESTA)Datos_consumo_datadis'!A:A,"",""),"""")"),"ES0031408323131005HX0F")</f>
        <v>ES0031408323131005HX0F</v>
      </c>
      <c r="B14815" s="12">
        <f>IFERROR(__xludf.DUMMYFUNCTION("""COMPUTED_VALUE"""),45483.0)</f>
        <v>45483</v>
      </c>
      <c r="C14815" s="13">
        <f>IFERROR(__xludf.DUMMYFUNCTION("""COMPUTED_VALUE"""),0.2916666666666667)</f>
        <v>0.2916666667</v>
      </c>
      <c r="D14815" s="8">
        <f>IFERROR(__xludf.DUMMYFUNCTION("""COMPUTED_VALUE"""),0.109)</f>
        <v>0.109</v>
      </c>
      <c r="E14815" s="8" t="str">
        <f>IFERROR(__xludf.DUMMYFUNCTION("""COMPUTED_VALUE"""),"Real")</f>
        <v>Real</v>
      </c>
      <c r="G14815" s="8">
        <f t="shared" si="1"/>
        <v>7</v>
      </c>
      <c r="H14815" s="14">
        <f t="shared" si="2"/>
        <v>10</v>
      </c>
      <c r="I14815" s="15">
        <f t="shared" si="3"/>
        <v>7</v>
      </c>
    </row>
    <row r="14816">
      <c r="A14816" s="8" t="str">
        <f>IFERROR(__xludf.DUMMYFUNCTION("IF('(INGESTA)Datos_consumo_datadis'!A14816&lt;&gt;"""",SPLIT('(INGESTA)Datos_consumo_datadis'!A:A,"",""),"""")"),"ES0031408323131005HX0F")</f>
        <v>ES0031408323131005HX0F</v>
      </c>
      <c r="B14816" s="12">
        <f>IFERROR(__xludf.DUMMYFUNCTION("""COMPUTED_VALUE"""),45483.0)</f>
        <v>45483</v>
      </c>
      <c r="C14816" s="13">
        <f>IFERROR(__xludf.DUMMYFUNCTION("""COMPUTED_VALUE"""),0.3333333333333333)</f>
        <v>0.3333333333</v>
      </c>
      <c r="D14816" s="8">
        <f>IFERROR(__xludf.DUMMYFUNCTION("""COMPUTED_VALUE"""),0.129)</f>
        <v>0.129</v>
      </c>
      <c r="E14816" s="8" t="str">
        <f>IFERROR(__xludf.DUMMYFUNCTION("""COMPUTED_VALUE"""),"Real")</f>
        <v>Real</v>
      </c>
      <c r="G14816" s="8">
        <f t="shared" si="1"/>
        <v>7</v>
      </c>
      <c r="H14816" s="14">
        <f t="shared" si="2"/>
        <v>10</v>
      </c>
      <c r="I14816" s="15">
        <f t="shared" si="3"/>
        <v>8</v>
      </c>
    </row>
    <row r="14817">
      <c r="A14817" s="8" t="str">
        <f>IFERROR(__xludf.DUMMYFUNCTION("IF('(INGESTA)Datos_consumo_datadis'!A14817&lt;&gt;"""",SPLIT('(INGESTA)Datos_consumo_datadis'!A:A,"",""),"""")"),"ES0031408323131005HX0F")</f>
        <v>ES0031408323131005HX0F</v>
      </c>
      <c r="B14817" s="12">
        <f>IFERROR(__xludf.DUMMYFUNCTION("""COMPUTED_VALUE"""),45483.0)</f>
        <v>45483</v>
      </c>
      <c r="C14817" s="13">
        <f>IFERROR(__xludf.DUMMYFUNCTION("""COMPUTED_VALUE"""),0.375)</f>
        <v>0.375</v>
      </c>
      <c r="D14817" s="8">
        <f>IFERROR(__xludf.DUMMYFUNCTION("""COMPUTED_VALUE"""),0.192)</f>
        <v>0.192</v>
      </c>
      <c r="E14817" s="8" t="str">
        <f>IFERROR(__xludf.DUMMYFUNCTION("""COMPUTED_VALUE"""),"Real")</f>
        <v>Real</v>
      </c>
      <c r="G14817" s="8">
        <f t="shared" si="1"/>
        <v>7</v>
      </c>
      <c r="H14817" s="14">
        <f t="shared" si="2"/>
        <v>10</v>
      </c>
      <c r="I14817" s="15">
        <f t="shared" si="3"/>
        <v>9</v>
      </c>
    </row>
    <row r="14818">
      <c r="A14818" s="8" t="str">
        <f>IFERROR(__xludf.DUMMYFUNCTION("IF('(INGESTA)Datos_consumo_datadis'!A14818&lt;&gt;"""",SPLIT('(INGESTA)Datos_consumo_datadis'!A:A,"",""),"""")"),"ES0031408323131005HX0F")</f>
        <v>ES0031408323131005HX0F</v>
      </c>
      <c r="B14818" s="12">
        <f>IFERROR(__xludf.DUMMYFUNCTION("""COMPUTED_VALUE"""),45483.0)</f>
        <v>45483</v>
      </c>
      <c r="C14818" s="13">
        <f>IFERROR(__xludf.DUMMYFUNCTION("""COMPUTED_VALUE"""),0.4166666666666667)</f>
        <v>0.4166666667</v>
      </c>
      <c r="D14818" s="8">
        <f>IFERROR(__xludf.DUMMYFUNCTION("""COMPUTED_VALUE"""),0.25)</f>
        <v>0.25</v>
      </c>
      <c r="E14818" s="8" t="str">
        <f>IFERROR(__xludf.DUMMYFUNCTION("""COMPUTED_VALUE"""),"Real")</f>
        <v>Real</v>
      </c>
      <c r="G14818" s="8">
        <f t="shared" si="1"/>
        <v>7</v>
      </c>
      <c r="H14818" s="14">
        <f t="shared" si="2"/>
        <v>10</v>
      </c>
      <c r="I14818" s="15">
        <f t="shared" si="3"/>
        <v>10</v>
      </c>
    </row>
    <row r="14819">
      <c r="A14819" s="8" t="str">
        <f>IFERROR(__xludf.DUMMYFUNCTION("IF('(INGESTA)Datos_consumo_datadis'!A14819&lt;&gt;"""",SPLIT('(INGESTA)Datos_consumo_datadis'!A:A,"",""),"""")"),"ES0031408323131005HX0F")</f>
        <v>ES0031408323131005HX0F</v>
      </c>
      <c r="B14819" s="12">
        <f>IFERROR(__xludf.DUMMYFUNCTION("""COMPUTED_VALUE"""),45483.0)</f>
        <v>45483</v>
      </c>
      <c r="C14819" s="13">
        <f>IFERROR(__xludf.DUMMYFUNCTION("""COMPUTED_VALUE"""),0.4583333333333333)</f>
        <v>0.4583333333</v>
      </c>
      <c r="D14819" s="8">
        <f>IFERROR(__xludf.DUMMYFUNCTION("""COMPUTED_VALUE"""),0.628)</f>
        <v>0.628</v>
      </c>
      <c r="E14819" s="8" t="str">
        <f>IFERROR(__xludf.DUMMYFUNCTION("""COMPUTED_VALUE"""),"Real")</f>
        <v>Real</v>
      </c>
      <c r="G14819" s="8">
        <f t="shared" si="1"/>
        <v>7</v>
      </c>
      <c r="H14819" s="14">
        <f t="shared" si="2"/>
        <v>10</v>
      </c>
      <c r="I14819" s="15">
        <f t="shared" si="3"/>
        <v>11</v>
      </c>
    </row>
    <row r="14820">
      <c r="A14820" s="8" t="str">
        <f>IFERROR(__xludf.DUMMYFUNCTION("IF('(INGESTA)Datos_consumo_datadis'!A14820&lt;&gt;"""",SPLIT('(INGESTA)Datos_consumo_datadis'!A:A,"",""),"""")"),"ES0031408323131005HX0F")</f>
        <v>ES0031408323131005HX0F</v>
      </c>
      <c r="B14820" s="12">
        <f>IFERROR(__xludf.DUMMYFUNCTION("""COMPUTED_VALUE"""),45483.0)</f>
        <v>45483</v>
      </c>
      <c r="C14820" s="13">
        <f>IFERROR(__xludf.DUMMYFUNCTION("""COMPUTED_VALUE"""),0.5)</f>
        <v>0.5</v>
      </c>
      <c r="D14820" s="8">
        <f>IFERROR(__xludf.DUMMYFUNCTION("""COMPUTED_VALUE"""),0.149)</f>
        <v>0.149</v>
      </c>
      <c r="E14820" s="8" t="str">
        <f>IFERROR(__xludf.DUMMYFUNCTION("""COMPUTED_VALUE"""),"Real")</f>
        <v>Real</v>
      </c>
      <c r="G14820" s="8">
        <f t="shared" si="1"/>
        <v>7</v>
      </c>
      <c r="H14820" s="14">
        <f t="shared" si="2"/>
        <v>10</v>
      </c>
      <c r="I14820" s="15">
        <f t="shared" si="3"/>
        <v>12</v>
      </c>
    </row>
    <row r="14821">
      <c r="A14821" s="8" t="str">
        <f>IFERROR(__xludf.DUMMYFUNCTION("IF('(INGESTA)Datos_consumo_datadis'!A14821&lt;&gt;"""",SPLIT('(INGESTA)Datos_consumo_datadis'!A:A,"",""),"""")"),"ES0031408323131005HX0F")</f>
        <v>ES0031408323131005HX0F</v>
      </c>
      <c r="B14821" s="12">
        <f>IFERROR(__xludf.DUMMYFUNCTION("""COMPUTED_VALUE"""),45483.0)</f>
        <v>45483</v>
      </c>
      <c r="C14821" s="13">
        <f>IFERROR(__xludf.DUMMYFUNCTION("""COMPUTED_VALUE"""),0.5416666666666666)</f>
        <v>0.5416666667</v>
      </c>
      <c r="D14821" s="8">
        <f>IFERROR(__xludf.DUMMYFUNCTION("""COMPUTED_VALUE"""),0.175)</f>
        <v>0.175</v>
      </c>
      <c r="E14821" s="8" t="str">
        <f>IFERROR(__xludf.DUMMYFUNCTION("""COMPUTED_VALUE"""),"Real")</f>
        <v>Real</v>
      </c>
      <c r="G14821" s="8">
        <f t="shared" si="1"/>
        <v>7</v>
      </c>
      <c r="H14821" s="14">
        <f t="shared" si="2"/>
        <v>10</v>
      </c>
      <c r="I14821" s="15">
        <f t="shared" si="3"/>
        <v>13</v>
      </c>
    </row>
    <row r="14822">
      <c r="A14822" s="8" t="str">
        <f>IFERROR(__xludf.DUMMYFUNCTION("IF('(INGESTA)Datos_consumo_datadis'!A14822&lt;&gt;"""",SPLIT('(INGESTA)Datos_consumo_datadis'!A:A,"",""),"""")"),"ES0031408323131005HX0F")</f>
        <v>ES0031408323131005HX0F</v>
      </c>
      <c r="B14822" s="12">
        <f>IFERROR(__xludf.DUMMYFUNCTION("""COMPUTED_VALUE"""),45483.0)</f>
        <v>45483</v>
      </c>
      <c r="C14822" s="13">
        <f>IFERROR(__xludf.DUMMYFUNCTION("""COMPUTED_VALUE"""),0.5833333333333334)</f>
        <v>0.5833333333</v>
      </c>
      <c r="D14822" s="8">
        <f>IFERROR(__xludf.DUMMYFUNCTION("""COMPUTED_VALUE"""),0.127)</f>
        <v>0.127</v>
      </c>
      <c r="E14822" s="8" t="str">
        <f>IFERROR(__xludf.DUMMYFUNCTION("""COMPUTED_VALUE"""),"Real")</f>
        <v>Real</v>
      </c>
      <c r="G14822" s="8">
        <f t="shared" si="1"/>
        <v>7</v>
      </c>
      <c r="H14822" s="14">
        <f t="shared" si="2"/>
        <v>10</v>
      </c>
      <c r="I14822" s="15">
        <f t="shared" si="3"/>
        <v>14</v>
      </c>
    </row>
    <row r="14823">
      <c r="A14823" s="8" t="str">
        <f>IFERROR(__xludf.DUMMYFUNCTION("IF('(INGESTA)Datos_consumo_datadis'!A14823&lt;&gt;"""",SPLIT('(INGESTA)Datos_consumo_datadis'!A:A,"",""),"""")"),"ES0031408323131005HX0F")</f>
        <v>ES0031408323131005HX0F</v>
      </c>
      <c r="B14823" s="12">
        <f>IFERROR(__xludf.DUMMYFUNCTION("""COMPUTED_VALUE"""),45483.0)</f>
        <v>45483</v>
      </c>
      <c r="C14823" s="13">
        <f>IFERROR(__xludf.DUMMYFUNCTION("""COMPUTED_VALUE"""),0.625)</f>
        <v>0.625</v>
      </c>
      <c r="D14823" s="8">
        <f>IFERROR(__xludf.DUMMYFUNCTION("""COMPUTED_VALUE"""),0.119)</f>
        <v>0.119</v>
      </c>
      <c r="E14823" s="8" t="str">
        <f>IFERROR(__xludf.DUMMYFUNCTION("""COMPUTED_VALUE"""),"Real")</f>
        <v>Real</v>
      </c>
      <c r="G14823" s="8">
        <f t="shared" si="1"/>
        <v>7</v>
      </c>
      <c r="H14823" s="14">
        <f t="shared" si="2"/>
        <v>10</v>
      </c>
      <c r="I14823" s="15">
        <f t="shared" si="3"/>
        <v>15</v>
      </c>
    </row>
    <row r="14824">
      <c r="A14824" s="8" t="str">
        <f>IFERROR(__xludf.DUMMYFUNCTION("IF('(INGESTA)Datos_consumo_datadis'!A14824&lt;&gt;"""",SPLIT('(INGESTA)Datos_consumo_datadis'!A:A,"",""),"""")"),"ES0031408323131005HX0F")</f>
        <v>ES0031408323131005HX0F</v>
      </c>
      <c r="B14824" s="12">
        <f>IFERROR(__xludf.DUMMYFUNCTION("""COMPUTED_VALUE"""),45483.0)</f>
        <v>45483</v>
      </c>
      <c r="C14824" s="13">
        <f>IFERROR(__xludf.DUMMYFUNCTION("""COMPUTED_VALUE"""),0.6666666666666666)</f>
        <v>0.6666666667</v>
      </c>
      <c r="D14824" s="8">
        <f>IFERROR(__xludf.DUMMYFUNCTION("""COMPUTED_VALUE"""),0.079)</f>
        <v>0.079</v>
      </c>
      <c r="E14824" s="8" t="str">
        <f>IFERROR(__xludf.DUMMYFUNCTION("""COMPUTED_VALUE"""),"Real")</f>
        <v>Real</v>
      </c>
      <c r="G14824" s="8">
        <f t="shared" si="1"/>
        <v>7</v>
      </c>
      <c r="H14824" s="14">
        <f t="shared" si="2"/>
        <v>10</v>
      </c>
      <c r="I14824" s="15">
        <f t="shared" si="3"/>
        <v>16</v>
      </c>
    </row>
    <row r="14825">
      <c r="A14825" s="8" t="str">
        <f>IFERROR(__xludf.DUMMYFUNCTION("IF('(INGESTA)Datos_consumo_datadis'!A14825&lt;&gt;"""",SPLIT('(INGESTA)Datos_consumo_datadis'!A:A,"",""),"""")"),"ES0031408323131005HX0F")</f>
        <v>ES0031408323131005HX0F</v>
      </c>
      <c r="B14825" s="12">
        <f>IFERROR(__xludf.DUMMYFUNCTION("""COMPUTED_VALUE"""),45483.0)</f>
        <v>45483</v>
      </c>
      <c r="C14825" s="13">
        <f>IFERROR(__xludf.DUMMYFUNCTION("""COMPUTED_VALUE"""),0.7083333333333334)</f>
        <v>0.7083333333</v>
      </c>
      <c r="D14825" s="8">
        <f>IFERROR(__xludf.DUMMYFUNCTION("""COMPUTED_VALUE"""),0.949)</f>
        <v>0.949</v>
      </c>
      <c r="E14825" s="8" t="str">
        <f>IFERROR(__xludf.DUMMYFUNCTION("""COMPUTED_VALUE"""),"Real")</f>
        <v>Real</v>
      </c>
      <c r="G14825" s="8">
        <f t="shared" si="1"/>
        <v>7</v>
      </c>
      <c r="H14825" s="14">
        <f t="shared" si="2"/>
        <v>10</v>
      </c>
      <c r="I14825" s="15">
        <f t="shared" si="3"/>
        <v>17</v>
      </c>
    </row>
    <row r="14826">
      <c r="A14826" s="8" t="str">
        <f>IFERROR(__xludf.DUMMYFUNCTION("IF('(INGESTA)Datos_consumo_datadis'!A14826&lt;&gt;"""",SPLIT('(INGESTA)Datos_consumo_datadis'!A:A,"",""),"""")"),"ES0031408323131005HX0F")</f>
        <v>ES0031408323131005HX0F</v>
      </c>
      <c r="B14826" s="12">
        <f>IFERROR(__xludf.DUMMYFUNCTION("""COMPUTED_VALUE"""),45483.0)</f>
        <v>45483</v>
      </c>
      <c r="C14826" s="13">
        <f>IFERROR(__xludf.DUMMYFUNCTION("""COMPUTED_VALUE"""),0.75)</f>
        <v>0.75</v>
      </c>
      <c r="D14826" s="8">
        <f>IFERROR(__xludf.DUMMYFUNCTION("""COMPUTED_VALUE"""),0.4)</f>
        <v>0.4</v>
      </c>
      <c r="E14826" s="8" t="str">
        <f>IFERROR(__xludf.DUMMYFUNCTION("""COMPUTED_VALUE"""),"Real")</f>
        <v>Real</v>
      </c>
      <c r="G14826" s="8">
        <f t="shared" si="1"/>
        <v>7</v>
      </c>
      <c r="H14826" s="14">
        <f t="shared" si="2"/>
        <v>10</v>
      </c>
      <c r="I14826" s="15">
        <f t="shared" si="3"/>
        <v>18</v>
      </c>
    </row>
    <row r="14827">
      <c r="A14827" s="8" t="str">
        <f>IFERROR(__xludf.DUMMYFUNCTION("IF('(INGESTA)Datos_consumo_datadis'!A14827&lt;&gt;"""",SPLIT('(INGESTA)Datos_consumo_datadis'!A:A,"",""),"""")"),"ES0031408323131005HX0F")</f>
        <v>ES0031408323131005HX0F</v>
      </c>
      <c r="B14827" s="12">
        <f>IFERROR(__xludf.DUMMYFUNCTION("""COMPUTED_VALUE"""),45483.0)</f>
        <v>45483</v>
      </c>
      <c r="C14827" s="13">
        <f>IFERROR(__xludf.DUMMYFUNCTION("""COMPUTED_VALUE"""),0.7916666666666666)</f>
        <v>0.7916666667</v>
      </c>
      <c r="D14827" s="8">
        <f>IFERROR(__xludf.DUMMYFUNCTION("""COMPUTED_VALUE"""),0.055)</f>
        <v>0.055</v>
      </c>
      <c r="E14827" s="8" t="str">
        <f>IFERROR(__xludf.DUMMYFUNCTION("""COMPUTED_VALUE"""),"Real")</f>
        <v>Real</v>
      </c>
      <c r="G14827" s="8">
        <f t="shared" si="1"/>
        <v>7</v>
      </c>
      <c r="H14827" s="14">
        <f t="shared" si="2"/>
        <v>10</v>
      </c>
      <c r="I14827" s="15">
        <f t="shared" si="3"/>
        <v>19</v>
      </c>
    </row>
    <row r="14828">
      <c r="A14828" s="8" t="str">
        <f>IFERROR(__xludf.DUMMYFUNCTION("IF('(INGESTA)Datos_consumo_datadis'!A14828&lt;&gt;"""",SPLIT('(INGESTA)Datos_consumo_datadis'!A:A,"",""),"""")"),"ES0031408323131005HX0F")</f>
        <v>ES0031408323131005HX0F</v>
      </c>
      <c r="B14828" s="12">
        <f>IFERROR(__xludf.DUMMYFUNCTION("""COMPUTED_VALUE"""),45483.0)</f>
        <v>45483</v>
      </c>
      <c r="C14828" s="13">
        <f>IFERROR(__xludf.DUMMYFUNCTION("""COMPUTED_VALUE"""),0.8333333333333334)</f>
        <v>0.8333333333</v>
      </c>
      <c r="D14828" s="8">
        <f>IFERROR(__xludf.DUMMYFUNCTION("""COMPUTED_VALUE"""),0.13)</f>
        <v>0.13</v>
      </c>
      <c r="E14828" s="8" t="str">
        <f>IFERROR(__xludf.DUMMYFUNCTION("""COMPUTED_VALUE"""),"Real")</f>
        <v>Real</v>
      </c>
      <c r="G14828" s="8">
        <f t="shared" si="1"/>
        <v>7</v>
      </c>
      <c r="H14828" s="14">
        <f t="shared" si="2"/>
        <v>10</v>
      </c>
      <c r="I14828" s="15">
        <f t="shared" si="3"/>
        <v>20</v>
      </c>
    </row>
    <row r="14829">
      <c r="A14829" s="8" t="str">
        <f>IFERROR(__xludf.DUMMYFUNCTION("IF('(INGESTA)Datos_consumo_datadis'!A14829&lt;&gt;"""",SPLIT('(INGESTA)Datos_consumo_datadis'!A:A,"",""),"""")"),"ES0031408323131005HX0F")</f>
        <v>ES0031408323131005HX0F</v>
      </c>
      <c r="B14829" s="12">
        <f>IFERROR(__xludf.DUMMYFUNCTION("""COMPUTED_VALUE"""),45483.0)</f>
        <v>45483</v>
      </c>
      <c r="C14829" s="13">
        <f>IFERROR(__xludf.DUMMYFUNCTION("""COMPUTED_VALUE"""),0.875)</f>
        <v>0.875</v>
      </c>
      <c r="D14829" s="8">
        <f>IFERROR(__xludf.DUMMYFUNCTION("""COMPUTED_VALUE"""),0.09)</f>
        <v>0.09</v>
      </c>
      <c r="E14829" s="8" t="str">
        <f>IFERROR(__xludf.DUMMYFUNCTION("""COMPUTED_VALUE"""),"Real")</f>
        <v>Real</v>
      </c>
      <c r="G14829" s="8">
        <f t="shared" si="1"/>
        <v>7</v>
      </c>
      <c r="H14829" s="14">
        <f t="shared" si="2"/>
        <v>10</v>
      </c>
      <c r="I14829" s="15">
        <f t="shared" si="3"/>
        <v>21</v>
      </c>
    </row>
    <row r="14830">
      <c r="A14830" s="8" t="str">
        <f>IFERROR(__xludf.DUMMYFUNCTION("IF('(INGESTA)Datos_consumo_datadis'!A14830&lt;&gt;"""",SPLIT('(INGESTA)Datos_consumo_datadis'!A:A,"",""),"""")"),"ES0031408323131005HX0F")</f>
        <v>ES0031408323131005HX0F</v>
      </c>
      <c r="B14830" s="12">
        <f>IFERROR(__xludf.DUMMYFUNCTION("""COMPUTED_VALUE"""),45483.0)</f>
        <v>45483</v>
      </c>
      <c r="C14830" s="13">
        <f>IFERROR(__xludf.DUMMYFUNCTION("""COMPUTED_VALUE"""),0.9166666666666666)</f>
        <v>0.9166666667</v>
      </c>
      <c r="D14830" s="8">
        <f>IFERROR(__xludf.DUMMYFUNCTION("""COMPUTED_VALUE"""),1.145)</f>
        <v>1.145</v>
      </c>
      <c r="E14830" s="8" t="str">
        <f>IFERROR(__xludf.DUMMYFUNCTION("""COMPUTED_VALUE"""),"Real")</f>
        <v>Real</v>
      </c>
      <c r="G14830" s="8">
        <f t="shared" si="1"/>
        <v>7</v>
      </c>
      <c r="H14830" s="14">
        <f t="shared" si="2"/>
        <v>10</v>
      </c>
      <c r="I14830" s="15">
        <f t="shared" si="3"/>
        <v>22</v>
      </c>
    </row>
    <row r="14831">
      <c r="A14831" s="8" t="str">
        <f>IFERROR(__xludf.DUMMYFUNCTION("IF('(INGESTA)Datos_consumo_datadis'!A14831&lt;&gt;"""",SPLIT('(INGESTA)Datos_consumo_datadis'!A:A,"",""),"""")"),"ES0031408323131005HX0F")</f>
        <v>ES0031408323131005HX0F</v>
      </c>
      <c r="B14831" s="12">
        <f>IFERROR(__xludf.DUMMYFUNCTION("""COMPUTED_VALUE"""),45483.0)</f>
        <v>45483</v>
      </c>
      <c r="C14831" s="13">
        <f>IFERROR(__xludf.DUMMYFUNCTION("""COMPUTED_VALUE"""),0.9583333333333334)</f>
        <v>0.9583333333</v>
      </c>
      <c r="D14831" s="8">
        <f>IFERROR(__xludf.DUMMYFUNCTION("""COMPUTED_VALUE"""),0.534)</f>
        <v>0.534</v>
      </c>
      <c r="E14831" s="8" t="str">
        <f>IFERROR(__xludf.DUMMYFUNCTION("""COMPUTED_VALUE"""),"Real")</f>
        <v>Real</v>
      </c>
      <c r="G14831" s="8">
        <f t="shared" si="1"/>
        <v>7</v>
      </c>
      <c r="H14831" s="14">
        <f t="shared" si="2"/>
        <v>10</v>
      </c>
      <c r="I14831" s="15">
        <f t="shared" si="3"/>
        <v>23</v>
      </c>
    </row>
    <row r="14832">
      <c r="A14832" s="8" t="str">
        <f>IFERROR(__xludf.DUMMYFUNCTION("IF('(INGESTA)Datos_consumo_datadis'!A14832&lt;&gt;"""",SPLIT('(INGESTA)Datos_consumo_datadis'!A:A,"",""),"""")"),"ES0031408323131005HX0F")</f>
        <v>ES0031408323131005HX0F</v>
      </c>
      <c r="B14832" s="12">
        <f>IFERROR(__xludf.DUMMYFUNCTION("""COMPUTED_VALUE"""),45483.0)</f>
        <v>45483</v>
      </c>
      <c r="C14832" s="16">
        <f>IFERROR(__xludf.DUMMYFUNCTION("""COMPUTED_VALUE"""),1.0)</f>
        <v>1</v>
      </c>
      <c r="D14832" s="8">
        <f>IFERROR(__xludf.DUMMYFUNCTION("""COMPUTED_VALUE"""),0.226)</f>
        <v>0.226</v>
      </c>
      <c r="E14832" s="8" t="str">
        <f>IFERROR(__xludf.DUMMYFUNCTION("""COMPUTED_VALUE"""),"Real")</f>
        <v>Real</v>
      </c>
      <c r="G14832" s="8">
        <f t="shared" si="1"/>
        <v>7</v>
      </c>
      <c r="H14832" s="14">
        <f t="shared" si="2"/>
        <v>10</v>
      </c>
      <c r="I14832" s="15">
        <f t="shared" si="3"/>
        <v>0</v>
      </c>
    </row>
    <row r="14833">
      <c r="A14833" s="8" t="str">
        <f>IFERROR(__xludf.DUMMYFUNCTION("IF('(INGESTA)Datos_consumo_datadis'!A14833&lt;&gt;"""",SPLIT('(INGESTA)Datos_consumo_datadis'!A:A,"",""),"""")"),"ES0031408323131005HX0F")</f>
        <v>ES0031408323131005HX0F</v>
      </c>
      <c r="B14833" s="12">
        <f>IFERROR(__xludf.DUMMYFUNCTION("""COMPUTED_VALUE"""),45484.0)</f>
        <v>45484</v>
      </c>
      <c r="C14833" s="13">
        <f>IFERROR(__xludf.DUMMYFUNCTION("""COMPUTED_VALUE"""),0.041666666666666664)</f>
        <v>0.04166666667</v>
      </c>
      <c r="D14833" s="8">
        <f>IFERROR(__xludf.DUMMYFUNCTION("""COMPUTED_VALUE"""),0.352)</f>
        <v>0.352</v>
      </c>
      <c r="E14833" s="8" t="str">
        <f>IFERROR(__xludf.DUMMYFUNCTION("""COMPUTED_VALUE"""),"Real")</f>
        <v>Real</v>
      </c>
      <c r="G14833" s="8">
        <f t="shared" si="1"/>
        <v>7</v>
      </c>
      <c r="H14833" s="14">
        <f t="shared" si="2"/>
        <v>11</v>
      </c>
      <c r="I14833" s="15">
        <f t="shared" si="3"/>
        <v>1</v>
      </c>
    </row>
    <row r="14834">
      <c r="A14834" s="8" t="str">
        <f>IFERROR(__xludf.DUMMYFUNCTION("IF('(INGESTA)Datos_consumo_datadis'!A14834&lt;&gt;"""",SPLIT('(INGESTA)Datos_consumo_datadis'!A:A,"",""),"""")"),"ES0031408323131005HX0F")</f>
        <v>ES0031408323131005HX0F</v>
      </c>
      <c r="B14834" s="12">
        <f>IFERROR(__xludf.DUMMYFUNCTION("""COMPUTED_VALUE"""),45484.0)</f>
        <v>45484</v>
      </c>
      <c r="C14834" s="13">
        <f>IFERROR(__xludf.DUMMYFUNCTION("""COMPUTED_VALUE"""),0.08333333333333333)</f>
        <v>0.08333333333</v>
      </c>
      <c r="D14834" s="8">
        <f>IFERROR(__xludf.DUMMYFUNCTION("""COMPUTED_VALUE"""),0.069)</f>
        <v>0.069</v>
      </c>
      <c r="E14834" s="8" t="str">
        <f>IFERROR(__xludf.DUMMYFUNCTION("""COMPUTED_VALUE"""),"Real")</f>
        <v>Real</v>
      </c>
      <c r="G14834" s="8">
        <f t="shared" si="1"/>
        <v>7</v>
      </c>
      <c r="H14834" s="14">
        <f t="shared" si="2"/>
        <v>11</v>
      </c>
      <c r="I14834" s="15">
        <f t="shared" si="3"/>
        <v>2</v>
      </c>
    </row>
    <row r="14835">
      <c r="A14835" s="8" t="str">
        <f>IFERROR(__xludf.DUMMYFUNCTION("IF('(INGESTA)Datos_consumo_datadis'!A14835&lt;&gt;"""",SPLIT('(INGESTA)Datos_consumo_datadis'!A:A,"",""),"""")"),"ES0031408323131005HX0F")</f>
        <v>ES0031408323131005HX0F</v>
      </c>
      <c r="B14835" s="12">
        <f>IFERROR(__xludf.DUMMYFUNCTION("""COMPUTED_VALUE"""),45484.0)</f>
        <v>45484</v>
      </c>
      <c r="C14835" s="13">
        <f>IFERROR(__xludf.DUMMYFUNCTION("""COMPUTED_VALUE"""),0.125)</f>
        <v>0.125</v>
      </c>
      <c r="D14835" s="8">
        <f>IFERROR(__xludf.DUMMYFUNCTION("""COMPUTED_VALUE"""),0.136)</f>
        <v>0.136</v>
      </c>
      <c r="E14835" s="8" t="str">
        <f>IFERROR(__xludf.DUMMYFUNCTION("""COMPUTED_VALUE"""),"Real")</f>
        <v>Real</v>
      </c>
      <c r="G14835" s="8">
        <f t="shared" si="1"/>
        <v>7</v>
      </c>
      <c r="H14835" s="14">
        <f t="shared" si="2"/>
        <v>11</v>
      </c>
      <c r="I14835" s="15">
        <f t="shared" si="3"/>
        <v>3</v>
      </c>
    </row>
    <row r="14836">
      <c r="A14836" s="8" t="str">
        <f>IFERROR(__xludf.DUMMYFUNCTION("IF('(INGESTA)Datos_consumo_datadis'!A14836&lt;&gt;"""",SPLIT('(INGESTA)Datos_consumo_datadis'!A:A,"",""),"""")"),"ES0031408323131005HX0F")</f>
        <v>ES0031408323131005HX0F</v>
      </c>
      <c r="B14836" s="12">
        <f>IFERROR(__xludf.DUMMYFUNCTION("""COMPUTED_VALUE"""),45484.0)</f>
        <v>45484</v>
      </c>
      <c r="C14836" s="13">
        <f>IFERROR(__xludf.DUMMYFUNCTION("""COMPUTED_VALUE"""),0.16666666666666666)</f>
        <v>0.1666666667</v>
      </c>
      <c r="D14836" s="8">
        <f>IFERROR(__xludf.DUMMYFUNCTION("""COMPUTED_VALUE"""),0.066)</f>
        <v>0.066</v>
      </c>
      <c r="E14836" s="8" t="str">
        <f>IFERROR(__xludf.DUMMYFUNCTION("""COMPUTED_VALUE"""),"Real")</f>
        <v>Real</v>
      </c>
      <c r="G14836" s="8">
        <f t="shared" si="1"/>
        <v>7</v>
      </c>
      <c r="H14836" s="14">
        <f t="shared" si="2"/>
        <v>11</v>
      </c>
      <c r="I14836" s="15">
        <f t="shared" si="3"/>
        <v>4</v>
      </c>
    </row>
    <row r="14837">
      <c r="A14837" s="8" t="str">
        <f>IFERROR(__xludf.DUMMYFUNCTION("IF('(INGESTA)Datos_consumo_datadis'!A14837&lt;&gt;"""",SPLIT('(INGESTA)Datos_consumo_datadis'!A:A,"",""),"""")"),"ES0031408323131005HX0F")</f>
        <v>ES0031408323131005HX0F</v>
      </c>
      <c r="B14837" s="12">
        <f>IFERROR(__xludf.DUMMYFUNCTION("""COMPUTED_VALUE"""),45484.0)</f>
        <v>45484</v>
      </c>
      <c r="C14837" s="13">
        <f>IFERROR(__xludf.DUMMYFUNCTION("""COMPUTED_VALUE"""),0.20833333333333334)</f>
        <v>0.2083333333</v>
      </c>
      <c r="D14837" s="8">
        <f>IFERROR(__xludf.DUMMYFUNCTION("""COMPUTED_VALUE"""),0.084)</f>
        <v>0.084</v>
      </c>
      <c r="E14837" s="8" t="str">
        <f>IFERROR(__xludf.DUMMYFUNCTION("""COMPUTED_VALUE"""),"Real")</f>
        <v>Real</v>
      </c>
      <c r="G14837" s="8">
        <f t="shared" si="1"/>
        <v>7</v>
      </c>
      <c r="H14837" s="14">
        <f t="shared" si="2"/>
        <v>11</v>
      </c>
      <c r="I14837" s="15">
        <f t="shared" si="3"/>
        <v>5</v>
      </c>
    </row>
    <row r="14838">
      <c r="A14838" s="8" t="str">
        <f>IFERROR(__xludf.DUMMYFUNCTION("IF('(INGESTA)Datos_consumo_datadis'!A14838&lt;&gt;"""",SPLIT('(INGESTA)Datos_consumo_datadis'!A:A,"",""),"""")"),"ES0031408323131005HX0F")</f>
        <v>ES0031408323131005HX0F</v>
      </c>
      <c r="B14838" s="12">
        <f>IFERROR(__xludf.DUMMYFUNCTION("""COMPUTED_VALUE"""),45484.0)</f>
        <v>45484</v>
      </c>
      <c r="C14838" s="13">
        <f>IFERROR(__xludf.DUMMYFUNCTION("""COMPUTED_VALUE"""),0.25)</f>
        <v>0.25</v>
      </c>
      <c r="D14838" s="8">
        <f>IFERROR(__xludf.DUMMYFUNCTION("""COMPUTED_VALUE"""),0.088)</f>
        <v>0.088</v>
      </c>
      <c r="E14838" s="8" t="str">
        <f>IFERROR(__xludf.DUMMYFUNCTION("""COMPUTED_VALUE"""),"Real")</f>
        <v>Real</v>
      </c>
      <c r="G14838" s="8">
        <f t="shared" si="1"/>
        <v>7</v>
      </c>
      <c r="H14838" s="14">
        <f t="shared" si="2"/>
        <v>11</v>
      </c>
      <c r="I14838" s="15">
        <f t="shared" si="3"/>
        <v>6</v>
      </c>
    </row>
    <row r="14839">
      <c r="A14839" s="8" t="str">
        <f>IFERROR(__xludf.DUMMYFUNCTION("IF('(INGESTA)Datos_consumo_datadis'!A14839&lt;&gt;"""",SPLIT('(INGESTA)Datos_consumo_datadis'!A:A,"",""),"""")"),"ES0031408323131005HX0F")</f>
        <v>ES0031408323131005HX0F</v>
      </c>
      <c r="B14839" s="12">
        <f>IFERROR(__xludf.DUMMYFUNCTION("""COMPUTED_VALUE"""),45484.0)</f>
        <v>45484</v>
      </c>
      <c r="C14839" s="13">
        <f>IFERROR(__xludf.DUMMYFUNCTION("""COMPUTED_VALUE"""),0.2916666666666667)</f>
        <v>0.2916666667</v>
      </c>
      <c r="D14839" s="8">
        <f>IFERROR(__xludf.DUMMYFUNCTION("""COMPUTED_VALUE"""),0.053)</f>
        <v>0.053</v>
      </c>
      <c r="E14839" s="8" t="str">
        <f>IFERROR(__xludf.DUMMYFUNCTION("""COMPUTED_VALUE"""),"Real")</f>
        <v>Real</v>
      </c>
      <c r="G14839" s="8">
        <f t="shared" si="1"/>
        <v>7</v>
      </c>
      <c r="H14839" s="14">
        <f t="shared" si="2"/>
        <v>11</v>
      </c>
      <c r="I14839" s="15">
        <f t="shared" si="3"/>
        <v>7</v>
      </c>
    </row>
    <row r="14840">
      <c r="A14840" s="8" t="str">
        <f>IFERROR(__xludf.DUMMYFUNCTION("IF('(INGESTA)Datos_consumo_datadis'!A14840&lt;&gt;"""",SPLIT('(INGESTA)Datos_consumo_datadis'!A:A,"",""),"""")"),"ES0031408323131005HX0F")</f>
        <v>ES0031408323131005HX0F</v>
      </c>
      <c r="B14840" s="12">
        <f>IFERROR(__xludf.DUMMYFUNCTION("""COMPUTED_VALUE"""),45484.0)</f>
        <v>45484</v>
      </c>
      <c r="C14840" s="13">
        <f>IFERROR(__xludf.DUMMYFUNCTION("""COMPUTED_VALUE"""),0.3333333333333333)</f>
        <v>0.3333333333</v>
      </c>
      <c r="D14840" s="8">
        <f>IFERROR(__xludf.DUMMYFUNCTION("""COMPUTED_VALUE"""),0.112)</f>
        <v>0.112</v>
      </c>
      <c r="E14840" s="8" t="str">
        <f>IFERROR(__xludf.DUMMYFUNCTION("""COMPUTED_VALUE"""),"Real")</f>
        <v>Real</v>
      </c>
      <c r="G14840" s="8">
        <f t="shared" si="1"/>
        <v>7</v>
      </c>
      <c r="H14840" s="14">
        <f t="shared" si="2"/>
        <v>11</v>
      </c>
      <c r="I14840" s="15">
        <f t="shared" si="3"/>
        <v>8</v>
      </c>
    </row>
    <row r="14841">
      <c r="A14841" s="8" t="str">
        <f>IFERROR(__xludf.DUMMYFUNCTION("IF('(INGESTA)Datos_consumo_datadis'!A14841&lt;&gt;"""",SPLIT('(INGESTA)Datos_consumo_datadis'!A:A,"",""),"""")"),"ES0031408323131005HX0F")</f>
        <v>ES0031408323131005HX0F</v>
      </c>
      <c r="B14841" s="12">
        <f>IFERROR(__xludf.DUMMYFUNCTION("""COMPUTED_VALUE"""),45484.0)</f>
        <v>45484</v>
      </c>
      <c r="C14841" s="13">
        <f>IFERROR(__xludf.DUMMYFUNCTION("""COMPUTED_VALUE"""),0.375)</f>
        <v>0.375</v>
      </c>
      <c r="D14841" s="8">
        <f>IFERROR(__xludf.DUMMYFUNCTION("""COMPUTED_VALUE"""),0.296)</f>
        <v>0.296</v>
      </c>
      <c r="E14841" s="8" t="str">
        <f>IFERROR(__xludf.DUMMYFUNCTION("""COMPUTED_VALUE"""),"Real")</f>
        <v>Real</v>
      </c>
      <c r="G14841" s="8">
        <f t="shared" si="1"/>
        <v>7</v>
      </c>
      <c r="H14841" s="14">
        <f t="shared" si="2"/>
        <v>11</v>
      </c>
      <c r="I14841" s="15">
        <f t="shared" si="3"/>
        <v>9</v>
      </c>
    </row>
    <row r="14842">
      <c r="A14842" s="8" t="str">
        <f>IFERROR(__xludf.DUMMYFUNCTION("IF('(INGESTA)Datos_consumo_datadis'!A14842&lt;&gt;"""",SPLIT('(INGESTA)Datos_consumo_datadis'!A:A,"",""),"""")"),"ES0031408323131005HX0F")</f>
        <v>ES0031408323131005HX0F</v>
      </c>
      <c r="B14842" s="12">
        <f>IFERROR(__xludf.DUMMYFUNCTION("""COMPUTED_VALUE"""),45484.0)</f>
        <v>45484</v>
      </c>
      <c r="C14842" s="13">
        <f>IFERROR(__xludf.DUMMYFUNCTION("""COMPUTED_VALUE"""),0.4166666666666667)</f>
        <v>0.4166666667</v>
      </c>
      <c r="D14842" s="8">
        <f>IFERROR(__xludf.DUMMYFUNCTION("""COMPUTED_VALUE"""),0.505)</f>
        <v>0.505</v>
      </c>
      <c r="E14842" s="8" t="str">
        <f>IFERROR(__xludf.DUMMYFUNCTION("""COMPUTED_VALUE"""),"Real")</f>
        <v>Real</v>
      </c>
      <c r="G14842" s="8">
        <f t="shared" si="1"/>
        <v>7</v>
      </c>
      <c r="H14842" s="14">
        <f t="shared" si="2"/>
        <v>11</v>
      </c>
      <c r="I14842" s="15">
        <f t="shared" si="3"/>
        <v>10</v>
      </c>
    </row>
    <row r="14843">
      <c r="A14843" s="8" t="str">
        <f>IFERROR(__xludf.DUMMYFUNCTION("IF('(INGESTA)Datos_consumo_datadis'!A14843&lt;&gt;"""",SPLIT('(INGESTA)Datos_consumo_datadis'!A:A,"",""),"""")"),"ES0031408323131005HX0F")</f>
        <v>ES0031408323131005HX0F</v>
      </c>
      <c r="B14843" s="12">
        <f>IFERROR(__xludf.DUMMYFUNCTION("""COMPUTED_VALUE"""),45484.0)</f>
        <v>45484</v>
      </c>
      <c r="C14843" s="13">
        <f>IFERROR(__xludf.DUMMYFUNCTION("""COMPUTED_VALUE"""),0.4583333333333333)</f>
        <v>0.4583333333</v>
      </c>
      <c r="D14843" s="8">
        <f>IFERROR(__xludf.DUMMYFUNCTION("""COMPUTED_VALUE"""),0.484)</f>
        <v>0.484</v>
      </c>
      <c r="E14843" s="8" t="str">
        <f>IFERROR(__xludf.DUMMYFUNCTION("""COMPUTED_VALUE"""),"Real")</f>
        <v>Real</v>
      </c>
      <c r="G14843" s="8">
        <f t="shared" si="1"/>
        <v>7</v>
      </c>
      <c r="H14843" s="14">
        <f t="shared" si="2"/>
        <v>11</v>
      </c>
      <c r="I14843" s="15">
        <f t="shared" si="3"/>
        <v>11</v>
      </c>
    </row>
    <row r="14844">
      <c r="A14844" s="8" t="str">
        <f>IFERROR(__xludf.DUMMYFUNCTION("IF('(INGESTA)Datos_consumo_datadis'!A14844&lt;&gt;"""",SPLIT('(INGESTA)Datos_consumo_datadis'!A:A,"",""),"""")"),"ES0031408323131005HX0F")</f>
        <v>ES0031408323131005HX0F</v>
      </c>
      <c r="B14844" s="12">
        <f>IFERROR(__xludf.DUMMYFUNCTION("""COMPUTED_VALUE"""),45484.0)</f>
        <v>45484</v>
      </c>
      <c r="C14844" s="13">
        <f>IFERROR(__xludf.DUMMYFUNCTION("""COMPUTED_VALUE"""),0.5)</f>
        <v>0.5</v>
      </c>
      <c r="D14844" s="8">
        <f>IFERROR(__xludf.DUMMYFUNCTION("""COMPUTED_VALUE"""),0.804)</f>
        <v>0.804</v>
      </c>
      <c r="E14844" s="8" t="str">
        <f>IFERROR(__xludf.DUMMYFUNCTION("""COMPUTED_VALUE"""),"Real")</f>
        <v>Real</v>
      </c>
      <c r="G14844" s="8">
        <f t="shared" si="1"/>
        <v>7</v>
      </c>
      <c r="H14844" s="14">
        <f t="shared" si="2"/>
        <v>11</v>
      </c>
      <c r="I14844" s="15">
        <f t="shared" si="3"/>
        <v>12</v>
      </c>
    </row>
    <row r="14845">
      <c r="A14845" s="8" t="str">
        <f>IFERROR(__xludf.DUMMYFUNCTION("IF('(INGESTA)Datos_consumo_datadis'!A14845&lt;&gt;"""",SPLIT('(INGESTA)Datos_consumo_datadis'!A:A,"",""),"""")"),"ES0031408323131005HX0F")</f>
        <v>ES0031408323131005HX0F</v>
      </c>
      <c r="B14845" s="12">
        <f>IFERROR(__xludf.DUMMYFUNCTION("""COMPUTED_VALUE"""),45484.0)</f>
        <v>45484</v>
      </c>
      <c r="C14845" s="13">
        <f>IFERROR(__xludf.DUMMYFUNCTION("""COMPUTED_VALUE"""),0.5416666666666666)</f>
        <v>0.5416666667</v>
      </c>
      <c r="D14845" s="8">
        <f>IFERROR(__xludf.DUMMYFUNCTION("""COMPUTED_VALUE"""),0.349)</f>
        <v>0.349</v>
      </c>
      <c r="E14845" s="8" t="str">
        <f>IFERROR(__xludf.DUMMYFUNCTION("""COMPUTED_VALUE"""),"Real")</f>
        <v>Real</v>
      </c>
      <c r="G14845" s="8">
        <f t="shared" si="1"/>
        <v>7</v>
      </c>
      <c r="H14845" s="14">
        <f t="shared" si="2"/>
        <v>11</v>
      </c>
      <c r="I14845" s="15">
        <f t="shared" si="3"/>
        <v>13</v>
      </c>
    </row>
    <row r="14846">
      <c r="A14846" s="8" t="str">
        <f>IFERROR(__xludf.DUMMYFUNCTION("IF('(INGESTA)Datos_consumo_datadis'!A14846&lt;&gt;"""",SPLIT('(INGESTA)Datos_consumo_datadis'!A:A,"",""),"""")"),"ES0031408323131005HX0F")</f>
        <v>ES0031408323131005HX0F</v>
      </c>
      <c r="B14846" s="12">
        <f>IFERROR(__xludf.DUMMYFUNCTION("""COMPUTED_VALUE"""),45484.0)</f>
        <v>45484</v>
      </c>
      <c r="C14846" s="13">
        <f>IFERROR(__xludf.DUMMYFUNCTION("""COMPUTED_VALUE"""),0.5833333333333334)</f>
        <v>0.5833333333</v>
      </c>
      <c r="D14846" s="8">
        <f>IFERROR(__xludf.DUMMYFUNCTION("""COMPUTED_VALUE"""),0.763)</f>
        <v>0.763</v>
      </c>
      <c r="E14846" s="8" t="str">
        <f>IFERROR(__xludf.DUMMYFUNCTION("""COMPUTED_VALUE"""),"Real")</f>
        <v>Real</v>
      </c>
      <c r="G14846" s="8">
        <f t="shared" si="1"/>
        <v>7</v>
      </c>
      <c r="H14846" s="14">
        <f t="shared" si="2"/>
        <v>11</v>
      </c>
      <c r="I14846" s="15">
        <f t="shared" si="3"/>
        <v>14</v>
      </c>
    </row>
    <row r="14847">
      <c r="A14847" s="8" t="str">
        <f>IFERROR(__xludf.DUMMYFUNCTION("IF('(INGESTA)Datos_consumo_datadis'!A14847&lt;&gt;"""",SPLIT('(INGESTA)Datos_consumo_datadis'!A:A,"",""),"""")"),"ES0031408323131005HX0F")</f>
        <v>ES0031408323131005HX0F</v>
      </c>
      <c r="B14847" s="12">
        <f>IFERROR(__xludf.DUMMYFUNCTION("""COMPUTED_VALUE"""),45484.0)</f>
        <v>45484</v>
      </c>
      <c r="C14847" s="13">
        <f>IFERROR(__xludf.DUMMYFUNCTION("""COMPUTED_VALUE"""),0.625)</f>
        <v>0.625</v>
      </c>
      <c r="D14847" s="8">
        <f>IFERROR(__xludf.DUMMYFUNCTION("""COMPUTED_VALUE"""),0.672)</f>
        <v>0.672</v>
      </c>
      <c r="E14847" s="8" t="str">
        <f>IFERROR(__xludf.DUMMYFUNCTION("""COMPUTED_VALUE"""),"Real")</f>
        <v>Real</v>
      </c>
      <c r="G14847" s="8">
        <f t="shared" si="1"/>
        <v>7</v>
      </c>
      <c r="H14847" s="14">
        <f t="shared" si="2"/>
        <v>11</v>
      </c>
      <c r="I14847" s="15">
        <f t="shared" si="3"/>
        <v>15</v>
      </c>
    </row>
    <row r="14848">
      <c r="A14848" s="8" t="str">
        <f>IFERROR(__xludf.DUMMYFUNCTION("IF('(INGESTA)Datos_consumo_datadis'!A14848&lt;&gt;"""",SPLIT('(INGESTA)Datos_consumo_datadis'!A:A,"",""),"""")"),"ES0031408323131005HX0F")</f>
        <v>ES0031408323131005HX0F</v>
      </c>
      <c r="B14848" s="12">
        <f>IFERROR(__xludf.DUMMYFUNCTION("""COMPUTED_VALUE"""),45484.0)</f>
        <v>45484</v>
      </c>
      <c r="C14848" s="13">
        <f>IFERROR(__xludf.DUMMYFUNCTION("""COMPUTED_VALUE"""),0.6666666666666666)</f>
        <v>0.6666666667</v>
      </c>
      <c r="D14848" s="8">
        <f>IFERROR(__xludf.DUMMYFUNCTION("""COMPUTED_VALUE"""),0.114)</f>
        <v>0.114</v>
      </c>
      <c r="E14848" s="8" t="str">
        <f>IFERROR(__xludf.DUMMYFUNCTION("""COMPUTED_VALUE"""),"Real")</f>
        <v>Real</v>
      </c>
      <c r="G14848" s="8">
        <f t="shared" si="1"/>
        <v>7</v>
      </c>
      <c r="H14848" s="14">
        <f t="shared" si="2"/>
        <v>11</v>
      </c>
      <c r="I14848" s="15">
        <f t="shared" si="3"/>
        <v>16</v>
      </c>
    </row>
    <row r="14849">
      <c r="A14849" s="8" t="str">
        <f>IFERROR(__xludf.DUMMYFUNCTION("IF('(INGESTA)Datos_consumo_datadis'!A14849&lt;&gt;"""",SPLIT('(INGESTA)Datos_consumo_datadis'!A:A,"",""),"""")"),"ES0031408323131005HX0F")</f>
        <v>ES0031408323131005HX0F</v>
      </c>
      <c r="B14849" s="12">
        <f>IFERROR(__xludf.DUMMYFUNCTION("""COMPUTED_VALUE"""),45484.0)</f>
        <v>45484</v>
      </c>
      <c r="C14849" s="13">
        <f>IFERROR(__xludf.DUMMYFUNCTION("""COMPUTED_VALUE"""),0.7083333333333334)</f>
        <v>0.7083333333</v>
      </c>
      <c r="D14849" s="8">
        <f>IFERROR(__xludf.DUMMYFUNCTION("""COMPUTED_VALUE"""),0.344)</f>
        <v>0.344</v>
      </c>
      <c r="E14849" s="8" t="str">
        <f>IFERROR(__xludf.DUMMYFUNCTION("""COMPUTED_VALUE"""),"Real")</f>
        <v>Real</v>
      </c>
      <c r="G14849" s="8">
        <f t="shared" si="1"/>
        <v>7</v>
      </c>
      <c r="H14849" s="14">
        <f t="shared" si="2"/>
        <v>11</v>
      </c>
      <c r="I14849" s="15">
        <f t="shared" si="3"/>
        <v>17</v>
      </c>
    </row>
    <row r="14850">
      <c r="A14850" s="8" t="str">
        <f>IFERROR(__xludf.DUMMYFUNCTION("IF('(INGESTA)Datos_consumo_datadis'!A14850&lt;&gt;"""",SPLIT('(INGESTA)Datos_consumo_datadis'!A:A,"",""),"""")"),"ES0031408323131005HX0F")</f>
        <v>ES0031408323131005HX0F</v>
      </c>
      <c r="B14850" s="12">
        <f>IFERROR(__xludf.DUMMYFUNCTION("""COMPUTED_VALUE"""),45484.0)</f>
        <v>45484</v>
      </c>
      <c r="C14850" s="13">
        <f>IFERROR(__xludf.DUMMYFUNCTION("""COMPUTED_VALUE"""),0.75)</f>
        <v>0.75</v>
      </c>
      <c r="D14850" s="8">
        <f>IFERROR(__xludf.DUMMYFUNCTION("""COMPUTED_VALUE"""),0.042)</f>
        <v>0.042</v>
      </c>
      <c r="E14850" s="8" t="str">
        <f>IFERROR(__xludf.DUMMYFUNCTION("""COMPUTED_VALUE"""),"Real")</f>
        <v>Real</v>
      </c>
      <c r="G14850" s="8">
        <f t="shared" si="1"/>
        <v>7</v>
      </c>
      <c r="H14850" s="14">
        <f t="shared" si="2"/>
        <v>11</v>
      </c>
      <c r="I14850" s="15">
        <f t="shared" si="3"/>
        <v>18</v>
      </c>
    </row>
    <row r="14851">
      <c r="A14851" s="8" t="str">
        <f>IFERROR(__xludf.DUMMYFUNCTION("IF('(INGESTA)Datos_consumo_datadis'!A14851&lt;&gt;"""",SPLIT('(INGESTA)Datos_consumo_datadis'!A:A,"",""),"""")"),"ES0031408323131005HX0F")</f>
        <v>ES0031408323131005HX0F</v>
      </c>
      <c r="B14851" s="12">
        <f>IFERROR(__xludf.DUMMYFUNCTION("""COMPUTED_VALUE"""),45484.0)</f>
        <v>45484</v>
      </c>
      <c r="C14851" s="13">
        <f>IFERROR(__xludf.DUMMYFUNCTION("""COMPUTED_VALUE"""),0.7916666666666666)</f>
        <v>0.7916666667</v>
      </c>
      <c r="D14851" s="8">
        <f>IFERROR(__xludf.DUMMYFUNCTION("""COMPUTED_VALUE"""),0.106)</f>
        <v>0.106</v>
      </c>
      <c r="E14851" s="8" t="str">
        <f>IFERROR(__xludf.DUMMYFUNCTION("""COMPUTED_VALUE"""),"Real")</f>
        <v>Real</v>
      </c>
      <c r="G14851" s="8">
        <f t="shared" si="1"/>
        <v>7</v>
      </c>
      <c r="H14851" s="14">
        <f t="shared" si="2"/>
        <v>11</v>
      </c>
      <c r="I14851" s="15">
        <f t="shared" si="3"/>
        <v>19</v>
      </c>
    </row>
    <row r="14852">
      <c r="A14852" s="8" t="str">
        <f>IFERROR(__xludf.DUMMYFUNCTION("IF('(INGESTA)Datos_consumo_datadis'!A14852&lt;&gt;"""",SPLIT('(INGESTA)Datos_consumo_datadis'!A:A,"",""),"""")"),"ES0031408323131005HX0F")</f>
        <v>ES0031408323131005HX0F</v>
      </c>
      <c r="B14852" s="12">
        <f>IFERROR(__xludf.DUMMYFUNCTION("""COMPUTED_VALUE"""),45484.0)</f>
        <v>45484</v>
      </c>
      <c r="C14852" s="13">
        <f>IFERROR(__xludf.DUMMYFUNCTION("""COMPUTED_VALUE"""),0.8333333333333334)</f>
        <v>0.8333333333</v>
      </c>
      <c r="D14852" s="8">
        <f>IFERROR(__xludf.DUMMYFUNCTION("""COMPUTED_VALUE"""),0.056)</f>
        <v>0.056</v>
      </c>
      <c r="E14852" s="8" t="str">
        <f>IFERROR(__xludf.DUMMYFUNCTION("""COMPUTED_VALUE"""),"Real")</f>
        <v>Real</v>
      </c>
      <c r="G14852" s="8">
        <f t="shared" si="1"/>
        <v>7</v>
      </c>
      <c r="H14852" s="14">
        <f t="shared" si="2"/>
        <v>11</v>
      </c>
      <c r="I14852" s="15">
        <f t="shared" si="3"/>
        <v>20</v>
      </c>
    </row>
    <row r="14853">
      <c r="A14853" s="8" t="str">
        <f>IFERROR(__xludf.DUMMYFUNCTION("IF('(INGESTA)Datos_consumo_datadis'!A14853&lt;&gt;"""",SPLIT('(INGESTA)Datos_consumo_datadis'!A:A,"",""),"""")"),"ES0031408323131005HX0F")</f>
        <v>ES0031408323131005HX0F</v>
      </c>
      <c r="B14853" s="12">
        <f>IFERROR(__xludf.DUMMYFUNCTION("""COMPUTED_VALUE"""),45484.0)</f>
        <v>45484</v>
      </c>
      <c r="C14853" s="13">
        <f>IFERROR(__xludf.DUMMYFUNCTION("""COMPUTED_VALUE"""),0.875)</f>
        <v>0.875</v>
      </c>
      <c r="D14853" s="8">
        <f>IFERROR(__xludf.DUMMYFUNCTION("""COMPUTED_VALUE"""),0.087)</f>
        <v>0.087</v>
      </c>
      <c r="E14853" s="8" t="str">
        <f>IFERROR(__xludf.DUMMYFUNCTION("""COMPUTED_VALUE"""),"Real")</f>
        <v>Real</v>
      </c>
      <c r="G14853" s="8">
        <f t="shared" si="1"/>
        <v>7</v>
      </c>
      <c r="H14853" s="14">
        <f t="shared" si="2"/>
        <v>11</v>
      </c>
      <c r="I14853" s="15">
        <f t="shared" si="3"/>
        <v>21</v>
      </c>
    </row>
    <row r="14854">
      <c r="A14854" s="8" t="str">
        <f>IFERROR(__xludf.DUMMYFUNCTION("IF('(INGESTA)Datos_consumo_datadis'!A14854&lt;&gt;"""",SPLIT('(INGESTA)Datos_consumo_datadis'!A:A,"",""),"""")"),"ES0031408323131005HX0F")</f>
        <v>ES0031408323131005HX0F</v>
      </c>
      <c r="B14854" s="12">
        <f>IFERROR(__xludf.DUMMYFUNCTION("""COMPUTED_VALUE"""),45484.0)</f>
        <v>45484</v>
      </c>
      <c r="C14854" s="13">
        <f>IFERROR(__xludf.DUMMYFUNCTION("""COMPUTED_VALUE"""),0.9166666666666666)</f>
        <v>0.9166666667</v>
      </c>
      <c r="D14854" s="8">
        <f>IFERROR(__xludf.DUMMYFUNCTION("""COMPUTED_VALUE"""),0.08)</f>
        <v>0.08</v>
      </c>
      <c r="E14854" s="8" t="str">
        <f>IFERROR(__xludf.DUMMYFUNCTION("""COMPUTED_VALUE"""),"Real")</f>
        <v>Real</v>
      </c>
      <c r="G14854" s="8">
        <f t="shared" si="1"/>
        <v>7</v>
      </c>
      <c r="H14854" s="14">
        <f t="shared" si="2"/>
        <v>11</v>
      </c>
      <c r="I14854" s="15">
        <f t="shared" si="3"/>
        <v>22</v>
      </c>
    </row>
    <row r="14855">
      <c r="A14855" s="8" t="str">
        <f>IFERROR(__xludf.DUMMYFUNCTION("IF('(INGESTA)Datos_consumo_datadis'!A14855&lt;&gt;"""",SPLIT('(INGESTA)Datos_consumo_datadis'!A:A,"",""),"""")"),"ES0031408323131005HX0F")</f>
        <v>ES0031408323131005HX0F</v>
      </c>
      <c r="B14855" s="12">
        <f>IFERROR(__xludf.DUMMYFUNCTION("""COMPUTED_VALUE"""),45484.0)</f>
        <v>45484</v>
      </c>
      <c r="C14855" s="13">
        <f>IFERROR(__xludf.DUMMYFUNCTION("""COMPUTED_VALUE"""),0.9583333333333334)</f>
        <v>0.9583333333</v>
      </c>
      <c r="D14855" s="8">
        <f>IFERROR(__xludf.DUMMYFUNCTION("""COMPUTED_VALUE"""),0.052)</f>
        <v>0.052</v>
      </c>
      <c r="E14855" s="8" t="str">
        <f>IFERROR(__xludf.DUMMYFUNCTION("""COMPUTED_VALUE"""),"Real")</f>
        <v>Real</v>
      </c>
      <c r="G14855" s="8">
        <f t="shared" si="1"/>
        <v>7</v>
      </c>
      <c r="H14855" s="14">
        <f t="shared" si="2"/>
        <v>11</v>
      </c>
      <c r="I14855" s="15">
        <f t="shared" si="3"/>
        <v>23</v>
      </c>
    </row>
    <row r="14856">
      <c r="A14856" s="8" t="str">
        <f>IFERROR(__xludf.DUMMYFUNCTION("IF('(INGESTA)Datos_consumo_datadis'!A14856&lt;&gt;"""",SPLIT('(INGESTA)Datos_consumo_datadis'!A:A,"",""),"""")"),"ES0031408323131005HX0F")</f>
        <v>ES0031408323131005HX0F</v>
      </c>
      <c r="B14856" s="12">
        <f>IFERROR(__xludf.DUMMYFUNCTION("""COMPUTED_VALUE"""),45484.0)</f>
        <v>45484</v>
      </c>
      <c r="C14856" s="16">
        <f>IFERROR(__xludf.DUMMYFUNCTION("""COMPUTED_VALUE"""),1.0)</f>
        <v>1</v>
      </c>
      <c r="D14856" s="8">
        <f>IFERROR(__xludf.DUMMYFUNCTION("""COMPUTED_VALUE"""),0.085)</f>
        <v>0.085</v>
      </c>
      <c r="E14856" s="8" t="str">
        <f>IFERROR(__xludf.DUMMYFUNCTION("""COMPUTED_VALUE"""),"Real")</f>
        <v>Real</v>
      </c>
      <c r="G14856" s="8">
        <f t="shared" si="1"/>
        <v>7</v>
      </c>
      <c r="H14856" s="14">
        <f t="shared" si="2"/>
        <v>11</v>
      </c>
      <c r="I14856" s="15">
        <f t="shared" si="3"/>
        <v>0</v>
      </c>
    </row>
    <row r="14857">
      <c r="A14857" s="8" t="str">
        <f>IFERROR(__xludf.DUMMYFUNCTION("IF('(INGESTA)Datos_consumo_datadis'!A14857&lt;&gt;"""",SPLIT('(INGESTA)Datos_consumo_datadis'!A:A,"",""),"""")"),"ES0031408323131005HX0F")</f>
        <v>ES0031408323131005HX0F</v>
      </c>
      <c r="B14857" s="12">
        <f>IFERROR(__xludf.DUMMYFUNCTION("""COMPUTED_VALUE"""),45485.0)</f>
        <v>45485</v>
      </c>
      <c r="C14857" s="13">
        <f>IFERROR(__xludf.DUMMYFUNCTION("""COMPUTED_VALUE"""),0.041666666666666664)</f>
        <v>0.04166666667</v>
      </c>
      <c r="D14857" s="8">
        <f>IFERROR(__xludf.DUMMYFUNCTION("""COMPUTED_VALUE"""),0.272)</f>
        <v>0.272</v>
      </c>
      <c r="E14857" s="8" t="str">
        <f>IFERROR(__xludf.DUMMYFUNCTION("""COMPUTED_VALUE"""),"Real")</f>
        <v>Real</v>
      </c>
      <c r="G14857" s="8">
        <f t="shared" si="1"/>
        <v>7</v>
      </c>
      <c r="H14857" s="14">
        <f t="shared" si="2"/>
        <v>12</v>
      </c>
      <c r="I14857" s="15">
        <f t="shared" si="3"/>
        <v>1</v>
      </c>
    </row>
    <row r="14858">
      <c r="A14858" s="8" t="str">
        <f>IFERROR(__xludf.DUMMYFUNCTION("IF('(INGESTA)Datos_consumo_datadis'!A14858&lt;&gt;"""",SPLIT('(INGESTA)Datos_consumo_datadis'!A:A,"",""),"""")"),"ES0031408323131005HX0F")</f>
        <v>ES0031408323131005HX0F</v>
      </c>
      <c r="B14858" s="12">
        <f>IFERROR(__xludf.DUMMYFUNCTION("""COMPUTED_VALUE"""),45485.0)</f>
        <v>45485</v>
      </c>
      <c r="C14858" s="13">
        <f>IFERROR(__xludf.DUMMYFUNCTION("""COMPUTED_VALUE"""),0.08333333333333333)</f>
        <v>0.08333333333</v>
      </c>
      <c r="D14858" s="8">
        <f>IFERROR(__xludf.DUMMYFUNCTION("""COMPUTED_VALUE"""),0.168)</f>
        <v>0.168</v>
      </c>
      <c r="E14858" s="8" t="str">
        <f>IFERROR(__xludf.DUMMYFUNCTION("""COMPUTED_VALUE"""),"Real")</f>
        <v>Real</v>
      </c>
      <c r="G14858" s="8">
        <f t="shared" si="1"/>
        <v>7</v>
      </c>
      <c r="H14858" s="14">
        <f t="shared" si="2"/>
        <v>12</v>
      </c>
      <c r="I14858" s="15">
        <f t="shared" si="3"/>
        <v>2</v>
      </c>
    </row>
    <row r="14859">
      <c r="A14859" s="8" t="str">
        <f>IFERROR(__xludf.DUMMYFUNCTION("IF('(INGESTA)Datos_consumo_datadis'!A14859&lt;&gt;"""",SPLIT('(INGESTA)Datos_consumo_datadis'!A:A,"",""),"""")"),"ES0031408323131005HX0F")</f>
        <v>ES0031408323131005HX0F</v>
      </c>
      <c r="B14859" s="12">
        <f>IFERROR(__xludf.DUMMYFUNCTION("""COMPUTED_VALUE"""),45485.0)</f>
        <v>45485</v>
      </c>
      <c r="C14859" s="13">
        <f>IFERROR(__xludf.DUMMYFUNCTION("""COMPUTED_VALUE"""),0.125)</f>
        <v>0.125</v>
      </c>
      <c r="D14859" s="8">
        <f>IFERROR(__xludf.DUMMYFUNCTION("""COMPUTED_VALUE"""),0.054)</f>
        <v>0.054</v>
      </c>
      <c r="E14859" s="8" t="str">
        <f>IFERROR(__xludf.DUMMYFUNCTION("""COMPUTED_VALUE"""),"Real")</f>
        <v>Real</v>
      </c>
      <c r="G14859" s="8">
        <f t="shared" si="1"/>
        <v>7</v>
      </c>
      <c r="H14859" s="14">
        <f t="shared" si="2"/>
        <v>12</v>
      </c>
      <c r="I14859" s="15">
        <f t="shared" si="3"/>
        <v>3</v>
      </c>
    </row>
    <row r="14860">
      <c r="A14860" s="8" t="str">
        <f>IFERROR(__xludf.DUMMYFUNCTION("IF('(INGESTA)Datos_consumo_datadis'!A14860&lt;&gt;"""",SPLIT('(INGESTA)Datos_consumo_datadis'!A:A,"",""),"""")"),"ES0031408323131005HX0F")</f>
        <v>ES0031408323131005HX0F</v>
      </c>
      <c r="B14860" s="12">
        <f>IFERROR(__xludf.DUMMYFUNCTION("""COMPUTED_VALUE"""),45485.0)</f>
        <v>45485</v>
      </c>
      <c r="C14860" s="13">
        <f>IFERROR(__xludf.DUMMYFUNCTION("""COMPUTED_VALUE"""),0.16666666666666666)</f>
        <v>0.1666666667</v>
      </c>
      <c r="D14860" s="8">
        <f>IFERROR(__xludf.DUMMYFUNCTION("""COMPUTED_VALUE"""),0.082)</f>
        <v>0.082</v>
      </c>
      <c r="E14860" s="8" t="str">
        <f>IFERROR(__xludf.DUMMYFUNCTION("""COMPUTED_VALUE"""),"Real")</f>
        <v>Real</v>
      </c>
      <c r="G14860" s="8">
        <f t="shared" si="1"/>
        <v>7</v>
      </c>
      <c r="H14860" s="14">
        <f t="shared" si="2"/>
        <v>12</v>
      </c>
      <c r="I14860" s="15">
        <f t="shared" si="3"/>
        <v>4</v>
      </c>
    </row>
    <row r="14861">
      <c r="A14861" s="8" t="str">
        <f>IFERROR(__xludf.DUMMYFUNCTION("IF('(INGESTA)Datos_consumo_datadis'!A14861&lt;&gt;"""",SPLIT('(INGESTA)Datos_consumo_datadis'!A:A,"",""),"""")"),"ES0031408323131005HX0F")</f>
        <v>ES0031408323131005HX0F</v>
      </c>
      <c r="B14861" s="12">
        <f>IFERROR(__xludf.DUMMYFUNCTION("""COMPUTED_VALUE"""),45485.0)</f>
        <v>45485</v>
      </c>
      <c r="C14861" s="13">
        <f>IFERROR(__xludf.DUMMYFUNCTION("""COMPUTED_VALUE"""),0.20833333333333334)</f>
        <v>0.2083333333</v>
      </c>
      <c r="D14861" s="8">
        <f>IFERROR(__xludf.DUMMYFUNCTION("""COMPUTED_VALUE"""),0.082)</f>
        <v>0.082</v>
      </c>
      <c r="E14861" s="8" t="str">
        <f>IFERROR(__xludf.DUMMYFUNCTION("""COMPUTED_VALUE"""),"Real")</f>
        <v>Real</v>
      </c>
      <c r="G14861" s="8">
        <f t="shared" si="1"/>
        <v>7</v>
      </c>
      <c r="H14861" s="14">
        <f t="shared" si="2"/>
        <v>12</v>
      </c>
      <c r="I14861" s="15">
        <f t="shared" si="3"/>
        <v>5</v>
      </c>
    </row>
    <row r="14862">
      <c r="A14862" s="8" t="str">
        <f>IFERROR(__xludf.DUMMYFUNCTION("IF('(INGESTA)Datos_consumo_datadis'!A14862&lt;&gt;"""",SPLIT('(INGESTA)Datos_consumo_datadis'!A:A,"",""),"""")"),"ES0031408323131005HX0F")</f>
        <v>ES0031408323131005HX0F</v>
      </c>
      <c r="B14862" s="12">
        <f>IFERROR(__xludf.DUMMYFUNCTION("""COMPUTED_VALUE"""),45485.0)</f>
        <v>45485</v>
      </c>
      <c r="C14862" s="13">
        <f>IFERROR(__xludf.DUMMYFUNCTION("""COMPUTED_VALUE"""),0.25)</f>
        <v>0.25</v>
      </c>
      <c r="D14862" s="8">
        <f>IFERROR(__xludf.DUMMYFUNCTION("""COMPUTED_VALUE"""),0.05)</f>
        <v>0.05</v>
      </c>
      <c r="E14862" s="8" t="str">
        <f>IFERROR(__xludf.DUMMYFUNCTION("""COMPUTED_VALUE"""),"Real")</f>
        <v>Real</v>
      </c>
      <c r="G14862" s="8">
        <f t="shared" si="1"/>
        <v>7</v>
      </c>
      <c r="H14862" s="14">
        <f t="shared" si="2"/>
        <v>12</v>
      </c>
      <c r="I14862" s="15">
        <f t="shared" si="3"/>
        <v>6</v>
      </c>
    </row>
    <row r="14863">
      <c r="A14863" s="8" t="str">
        <f>IFERROR(__xludf.DUMMYFUNCTION("IF('(INGESTA)Datos_consumo_datadis'!A14863&lt;&gt;"""",SPLIT('(INGESTA)Datos_consumo_datadis'!A:A,"",""),"""")"),"ES0031408323131005HX0F")</f>
        <v>ES0031408323131005HX0F</v>
      </c>
      <c r="B14863" s="12">
        <f>IFERROR(__xludf.DUMMYFUNCTION("""COMPUTED_VALUE"""),45485.0)</f>
        <v>45485</v>
      </c>
      <c r="C14863" s="13">
        <f>IFERROR(__xludf.DUMMYFUNCTION("""COMPUTED_VALUE"""),0.2916666666666667)</f>
        <v>0.2916666667</v>
      </c>
      <c r="D14863" s="8">
        <f>IFERROR(__xludf.DUMMYFUNCTION("""COMPUTED_VALUE"""),0.084)</f>
        <v>0.084</v>
      </c>
      <c r="E14863" s="8" t="str">
        <f>IFERROR(__xludf.DUMMYFUNCTION("""COMPUTED_VALUE"""),"Real")</f>
        <v>Real</v>
      </c>
      <c r="G14863" s="8">
        <f t="shared" si="1"/>
        <v>7</v>
      </c>
      <c r="H14863" s="14">
        <f t="shared" si="2"/>
        <v>12</v>
      </c>
      <c r="I14863" s="15">
        <f t="shared" si="3"/>
        <v>7</v>
      </c>
    </row>
    <row r="14864">
      <c r="A14864" s="8" t="str">
        <f>IFERROR(__xludf.DUMMYFUNCTION("IF('(INGESTA)Datos_consumo_datadis'!A14864&lt;&gt;"""",SPLIT('(INGESTA)Datos_consumo_datadis'!A:A,"",""),"""")"),"ES0031408323131005HX0F")</f>
        <v>ES0031408323131005HX0F</v>
      </c>
      <c r="B14864" s="12">
        <f>IFERROR(__xludf.DUMMYFUNCTION("""COMPUTED_VALUE"""),45485.0)</f>
        <v>45485</v>
      </c>
      <c r="C14864" s="13">
        <f>IFERROR(__xludf.DUMMYFUNCTION("""COMPUTED_VALUE"""),0.3333333333333333)</f>
        <v>0.3333333333</v>
      </c>
      <c r="D14864" s="8">
        <f>IFERROR(__xludf.DUMMYFUNCTION("""COMPUTED_VALUE"""),0.051)</f>
        <v>0.051</v>
      </c>
      <c r="E14864" s="8" t="str">
        <f>IFERROR(__xludf.DUMMYFUNCTION("""COMPUTED_VALUE"""),"Real")</f>
        <v>Real</v>
      </c>
      <c r="G14864" s="8">
        <f t="shared" si="1"/>
        <v>7</v>
      </c>
      <c r="H14864" s="14">
        <f t="shared" si="2"/>
        <v>12</v>
      </c>
      <c r="I14864" s="15">
        <f t="shared" si="3"/>
        <v>8</v>
      </c>
    </row>
    <row r="14865">
      <c r="A14865" s="8" t="str">
        <f>IFERROR(__xludf.DUMMYFUNCTION("IF('(INGESTA)Datos_consumo_datadis'!A14865&lt;&gt;"""",SPLIT('(INGESTA)Datos_consumo_datadis'!A:A,"",""),"""")"),"ES0031408323131005HX0F")</f>
        <v>ES0031408323131005HX0F</v>
      </c>
      <c r="B14865" s="12">
        <f>IFERROR(__xludf.DUMMYFUNCTION("""COMPUTED_VALUE"""),45485.0)</f>
        <v>45485</v>
      </c>
      <c r="C14865" s="13">
        <f>IFERROR(__xludf.DUMMYFUNCTION("""COMPUTED_VALUE"""),0.375)</f>
        <v>0.375</v>
      </c>
      <c r="D14865" s="8">
        <f>IFERROR(__xludf.DUMMYFUNCTION("""COMPUTED_VALUE"""),0.122)</f>
        <v>0.122</v>
      </c>
      <c r="E14865" s="8" t="str">
        <f>IFERROR(__xludf.DUMMYFUNCTION("""COMPUTED_VALUE"""),"Real")</f>
        <v>Real</v>
      </c>
      <c r="G14865" s="8">
        <f t="shared" si="1"/>
        <v>7</v>
      </c>
      <c r="H14865" s="14">
        <f t="shared" si="2"/>
        <v>12</v>
      </c>
      <c r="I14865" s="15">
        <f t="shared" si="3"/>
        <v>9</v>
      </c>
    </row>
    <row r="14866">
      <c r="A14866" s="8" t="str">
        <f>IFERROR(__xludf.DUMMYFUNCTION("IF('(INGESTA)Datos_consumo_datadis'!A14866&lt;&gt;"""",SPLIT('(INGESTA)Datos_consumo_datadis'!A:A,"",""),"""")"),"ES0031408323131005HX0F")</f>
        <v>ES0031408323131005HX0F</v>
      </c>
      <c r="B14866" s="12">
        <f>IFERROR(__xludf.DUMMYFUNCTION("""COMPUTED_VALUE"""),45485.0)</f>
        <v>45485</v>
      </c>
      <c r="C14866" s="13">
        <f>IFERROR(__xludf.DUMMYFUNCTION("""COMPUTED_VALUE"""),0.4166666666666667)</f>
        <v>0.4166666667</v>
      </c>
      <c r="D14866" s="8">
        <f>IFERROR(__xludf.DUMMYFUNCTION("""COMPUTED_VALUE"""),0.405)</f>
        <v>0.405</v>
      </c>
      <c r="E14866" s="8" t="str">
        <f>IFERROR(__xludf.DUMMYFUNCTION("""COMPUTED_VALUE"""),"Real")</f>
        <v>Real</v>
      </c>
      <c r="G14866" s="8">
        <f t="shared" si="1"/>
        <v>7</v>
      </c>
      <c r="H14866" s="14">
        <f t="shared" si="2"/>
        <v>12</v>
      </c>
      <c r="I14866" s="15">
        <f t="shared" si="3"/>
        <v>10</v>
      </c>
    </row>
    <row r="14867">
      <c r="A14867" s="8" t="str">
        <f>IFERROR(__xludf.DUMMYFUNCTION("IF('(INGESTA)Datos_consumo_datadis'!A14867&lt;&gt;"""",SPLIT('(INGESTA)Datos_consumo_datadis'!A:A,"",""),"""")"),"ES0031408323131005HX0F")</f>
        <v>ES0031408323131005HX0F</v>
      </c>
      <c r="B14867" s="12">
        <f>IFERROR(__xludf.DUMMYFUNCTION("""COMPUTED_VALUE"""),45485.0)</f>
        <v>45485</v>
      </c>
      <c r="C14867" s="13">
        <f>IFERROR(__xludf.DUMMYFUNCTION("""COMPUTED_VALUE"""),0.4583333333333333)</f>
        <v>0.4583333333</v>
      </c>
      <c r="D14867" s="8">
        <f>IFERROR(__xludf.DUMMYFUNCTION("""COMPUTED_VALUE"""),0.083)</f>
        <v>0.083</v>
      </c>
      <c r="E14867" s="8" t="str">
        <f>IFERROR(__xludf.DUMMYFUNCTION("""COMPUTED_VALUE"""),"Real")</f>
        <v>Real</v>
      </c>
      <c r="G14867" s="8">
        <f t="shared" si="1"/>
        <v>7</v>
      </c>
      <c r="H14867" s="14">
        <f t="shared" si="2"/>
        <v>12</v>
      </c>
      <c r="I14867" s="15">
        <f t="shared" si="3"/>
        <v>11</v>
      </c>
    </row>
    <row r="14868">
      <c r="A14868" s="8" t="str">
        <f>IFERROR(__xludf.DUMMYFUNCTION("IF('(INGESTA)Datos_consumo_datadis'!A14868&lt;&gt;"""",SPLIT('(INGESTA)Datos_consumo_datadis'!A:A,"",""),"""")"),"ES0031408323131005HX0F")</f>
        <v>ES0031408323131005HX0F</v>
      </c>
      <c r="B14868" s="12">
        <f>IFERROR(__xludf.DUMMYFUNCTION("""COMPUTED_VALUE"""),45485.0)</f>
        <v>45485</v>
      </c>
      <c r="C14868" s="13">
        <f>IFERROR(__xludf.DUMMYFUNCTION("""COMPUTED_VALUE"""),0.5)</f>
        <v>0.5</v>
      </c>
      <c r="D14868" s="8">
        <f>IFERROR(__xludf.DUMMYFUNCTION("""COMPUTED_VALUE"""),0.051)</f>
        <v>0.051</v>
      </c>
      <c r="E14868" s="8" t="str">
        <f>IFERROR(__xludf.DUMMYFUNCTION("""COMPUTED_VALUE"""),"Real")</f>
        <v>Real</v>
      </c>
      <c r="G14868" s="8">
        <f t="shared" si="1"/>
        <v>7</v>
      </c>
      <c r="H14868" s="14">
        <f t="shared" si="2"/>
        <v>12</v>
      </c>
      <c r="I14868" s="15">
        <f t="shared" si="3"/>
        <v>12</v>
      </c>
    </row>
    <row r="14869">
      <c r="A14869" s="8" t="str">
        <f>IFERROR(__xludf.DUMMYFUNCTION("IF('(INGESTA)Datos_consumo_datadis'!A14869&lt;&gt;"""",SPLIT('(INGESTA)Datos_consumo_datadis'!A:A,"",""),"""")"),"ES0031408323131005HX0F")</f>
        <v>ES0031408323131005HX0F</v>
      </c>
      <c r="B14869" s="12">
        <f>IFERROR(__xludf.DUMMYFUNCTION("""COMPUTED_VALUE"""),45485.0)</f>
        <v>45485</v>
      </c>
      <c r="C14869" s="13">
        <f>IFERROR(__xludf.DUMMYFUNCTION("""COMPUTED_VALUE"""),0.5416666666666666)</f>
        <v>0.5416666667</v>
      </c>
      <c r="D14869" s="8">
        <f>IFERROR(__xludf.DUMMYFUNCTION("""COMPUTED_VALUE"""),0.103)</f>
        <v>0.103</v>
      </c>
      <c r="E14869" s="8" t="str">
        <f>IFERROR(__xludf.DUMMYFUNCTION("""COMPUTED_VALUE"""),"Real")</f>
        <v>Real</v>
      </c>
      <c r="G14869" s="8">
        <f t="shared" si="1"/>
        <v>7</v>
      </c>
      <c r="H14869" s="14">
        <f t="shared" si="2"/>
        <v>12</v>
      </c>
      <c r="I14869" s="15">
        <f t="shared" si="3"/>
        <v>13</v>
      </c>
    </row>
    <row r="14870">
      <c r="A14870" s="8" t="str">
        <f>IFERROR(__xludf.DUMMYFUNCTION("IF('(INGESTA)Datos_consumo_datadis'!A14870&lt;&gt;"""",SPLIT('(INGESTA)Datos_consumo_datadis'!A:A,"",""),"""")"),"ES0031408323131005HX0F")</f>
        <v>ES0031408323131005HX0F</v>
      </c>
      <c r="B14870" s="12">
        <f>IFERROR(__xludf.DUMMYFUNCTION("""COMPUTED_VALUE"""),45485.0)</f>
        <v>45485</v>
      </c>
      <c r="C14870" s="13">
        <f>IFERROR(__xludf.DUMMYFUNCTION("""COMPUTED_VALUE"""),0.5833333333333334)</f>
        <v>0.5833333333</v>
      </c>
      <c r="D14870" s="8">
        <f>IFERROR(__xludf.DUMMYFUNCTION("""COMPUTED_VALUE"""),0.065)</f>
        <v>0.065</v>
      </c>
      <c r="E14870" s="8" t="str">
        <f>IFERROR(__xludf.DUMMYFUNCTION("""COMPUTED_VALUE"""),"Real")</f>
        <v>Real</v>
      </c>
      <c r="G14870" s="8">
        <f t="shared" si="1"/>
        <v>7</v>
      </c>
      <c r="H14870" s="14">
        <f t="shared" si="2"/>
        <v>12</v>
      </c>
      <c r="I14870" s="15">
        <f t="shared" si="3"/>
        <v>14</v>
      </c>
    </row>
    <row r="14871">
      <c r="A14871" s="8" t="str">
        <f>IFERROR(__xludf.DUMMYFUNCTION("IF('(INGESTA)Datos_consumo_datadis'!A14871&lt;&gt;"""",SPLIT('(INGESTA)Datos_consumo_datadis'!A:A,"",""),"""")"),"ES0031408323131005HX0F")</f>
        <v>ES0031408323131005HX0F</v>
      </c>
      <c r="B14871" s="12">
        <f>IFERROR(__xludf.DUMMYFUNCTION("""COMPUTED_VALUE"""),45485.0)</f>
        <v>45485</v>
      </c>
      <c r="C14871" s="13">
        <f>IFERROR(__xludf.DUMMYFUNCTION("""COMPUTED_VALUE"""),0.625)</f>
        <v>0.625</v>
      </c>
      <c r="D14871" s="8">
        <f>IFERROR(__xludf.DUMMYFUNCTION("""COMPUTED_VALUE"""),0.1)</f>
        <v>0.1</v>
      </c>
      <c r="E14871" s="8" t="str">
        <f>IFERROR(__xludf.DUMMYFUNCTION("""COMPUTED_VALUE"""),"Real")</f>
        <v>Real</v>
      </c>
      <c r="G14871" s="8">
        <f t="shared" si="1"/>
        <v>7</v>
      </c>
      <c r="H14871" s="14">
        <f t="shared" si="2"/>
        <v>12</v>
      </c>
      <c r="I14871" s="15">
        <f t="shared" si="3"/>
        <v>15</v>
      </c>
    </row>
    <row r="14872">
      <c r="A14872" s="8" t="str">
        <f>IFERROR(__xludf.DUMMYFUNCTION("IF('(INGESTA)Datos_consumo_datadis'!A14872&lt;&gt;"""",SPLIT('(INGESTA)Datos_consumo_datadis'!A:A,"",""),"""")"),"ES0031408323131005HX0F")</f>
        <v>ES0031408323131005HX0F</v>
      </c>
      <c r="B14872" s="12">
        <f>IFERROR(__xludf.DUMMYFUNCTION("""COMPUTED_VALUE"""),45485.0)</f>
        <v>45485</v>
      </c>
      <c r="C14872" s="13">
        <f>IFERROR(__xludf.DUMMYFUNCTION("""COMPUTED_VALUE"""),0.6666666666666666)</f>
        <v>0.6666666667</v>
      </c>
      <c r="D14872" s="8">
        <f>IFERROR(__xludf.DUMMYFUNCTION("""COMPUTED_VALUE"""),0.066)</f>
        <v>0.066</v>
      </c>
      <c r="E14872" s="8" t="str">
        <f>IFERROR(__xludf.DUMMYFUNCTION("""COMPUTED_VALUE"""),"Real")</f>
        <v>Real</v>
      </c>
      <c r="G14872" s="8">
        <f t="shared" si="1"/>
        <v>7</v>
      </c>
      <c r="H14872" s="14">
        <f t="shared" si="2"/>
        <v>12</v>
      </c>
      <c r="I14872" s="15">
        <f t="shared" si="3"/>
        <v>16</v>
      </c>
    </row>
    <row r="14873">
      <c r="A14873" s="8" t="str">
        <f>IFERROR(__xludf.DUMMYFUNCTION("IF('(INGESTA)Datos_consumo_datadis'!A14873&lt;&gt;"""",SPLIT('(INGESTA)Datos_consumo_datadis'!A:A,"",""),"""")"),"ES0031408323131005HX0F")</f>
        <v>ES0031408323131005HX0F</v>
      </c>
      <c r="B14873" s="12">
        <f>IFERROR(__xludf.DUMMYFUNCTION("""COMPUTED_VALUE"""),45485.0)</f>
        <v>45485</v>
      </c>
      <c r="C14873" s="13">
        <f>IFERROR(__xludf.DUMMYFUNCTION("""COMPUTED_VALUE"""),0.7083333333333334)</f>
        <v>0.7083333333</v>
      </c>
      <c r="D14873" s="8">
        <f>IFERROR(__xludf.DUMMYFUNCTION("""COMPUTED_VALUE"""),0.066)</f>
        <v>0.066</v>
      </c>
      <c r="E14873" s="8" t="str">
        <f>IFERROR(__xludf.DUMMYFUNCTION("""COMPUTED_VALUE"""),"Real")</f>
        <v>Real</v>
      </c>
      <c r="G14873" s="8">
        <f t="shared" si="1"/>
        <v>7</v>
      </c>
      <c r="H14873" s="14">
        <f t="shared" si="2"/>
        <v>12</v>
      </c>
      <c r="I14873" s="15">
        <f t="shared" si="3"/>
        <v>17</v>
      </c>
    </row>
    <row r="14874">
      <c r="A14874" s="8" t="str">
        <f>IFERROR(__xludf.DUMMYFUNCTION("IF('(INGESTA)Datos_consumo_datadis'!A14874&lt;&gt;"""",SPLIT('(INGESTA)Datos_consumo_datadis'!A:A,"",""),"""")"),"ES0031408323131005HX0F")</f>
        <v>ES0031408323131005HX0F</v>
      </c>
      <c r="B14874" s="12">
        <f>IFERROR(__xludf.DUMMYFUNCTION("""COMPUTED_VALUE"""),45485.0)</f>
        <v>45485</v>
      </c>
      <c r="C14874" s="13">
        <f>IFERROR(__xludf.DUMMYFUNCTION("""COMPUTED_VALUE"""),0.75)</f>
        <v>0.75</v>
      </c>
      <c r="D14874" s="8">
        <f>IFERROR(__xludf.DUMMYFUNCTION("""COMPUTED_VALUE"""),0.367)</f>
        <v>0.367</v>
      </c>
      <c r="E14874" s="8" t="str">
        <f>IFERROR(__xludf.DUMMYFUNCTION("""COMPUTED_VALUE"""),"Real")</f>
        <v>Real</v>
      </c>
      <c r="G14874" s="8">
        <f t="shared" si="1"/>
        <v>7</v>
      </c>
      <c r="H14874" s="14">
        <f t="shared" si="2"/>
        <v>12</v>
      </c>
      <c r="I14874" s="15">
        <f t="shared" si="3"/>
        <v>18</v>
      </c>
    </row>
    <row r="14875">
      <c r="A14875" s="8" t="str">
        <f>IFERROR(__xludf.DUMMYFUNCTION("IF('(INGESTA)Datos_consumo_datadis'!A14875&lt;&gt;"""",SPLIT('(INGESTA)Datos_consumo_datadis'!A:A,"",""),"""")"),"ES0031408323131005HX0F")</f>
        <v>ES0031408323131005HX0F</v>
      </c>
      <c r="B14875" s="12">
        <f>IFERROR(__xludf.DUMMYFUNCTION("""COMPUTED_VALUE"""),45485.0)</f>
        <v>45485</v>
      </c>
      <c r="C14875" s="13">
        <f>IFERROR(__xludf.DUMMYFUNCTION("""COMPUTED_VALUE"""),0.7916666666666666)</f>
        <v>0.7916666667</v>
      </c>
      <c r="D14875" s="8">
        <f>IFERROR(__xludf.DUMMYFUNCTION("""COMPUTED_VALUE"""),0.081)</f>
        <v>0.081</v>
      </c>
      <c r="E14875" s="8" t="str">
        <f>IFERROR(__xludf.DUMMYFUNCTION("""COMPUTED_VALUE"""),"Real")</f>
        <v>Real</v>
      </c>
      <c r="G14875" s="8">
        <f t="shared" si="1"/>
        <v>7</v>
      </c>
      <c r="H14875" s="14">
        <f t="shared" si="2"/>
        <v>12</v>
      </c>
      <c r="I14875" s="15">
        <f t="shared" si="3"/>
        <v>19</v>
      </c>
    </row>
    <row r="14876">
      <c r="A14876" s="8" t="str">
        <f>IFERROR(__xludf.DUMMYFUNCTION("IF('(INGESTA)Datos_consumo_datadis'!A14876&lt;&gt;"""",SPLIT('(INGESTA)Datos_consumo_datadis'!A:A,"",""),"""")"),"ES0031408323131005HX0F")</f>
        <v>ES0031408323131005HX0F</v>
      </c>
      <c r="B14876" s="12">
        <f>IFERROR(__xludf.DUMMYFUNCTION("""COMPUTED_VALUE"""),45485.0)</f>
        <v>45485</v>
      </c>
      <c r="C14876" s="13">
        <f>IFERROR(__xludf.DUMMYFUNCTION("""COMPUTED_VALUE"""),0.8333333333333334)</f>
        <v>0.8333333333</v>
      </c>
      <c r="D14876" s="8">
        <f>IFERROR(__xludf.DUMMYFUNCTION("""COMPUTED_VALUE"""),0.011)</f>
        <v>0.011</v>
      </c>
      <c r="E14876" s="8" t="str">
        <f>IFERROR(__xludf.DUMMYFUNCTION("""COMPUTED_VALUE"""),"Real")</f>
        <v>Real</v>
      </c>
      <c r="G14876" s="8">
        <f t="shared" si="1"/>
        <v>7</v>
      </c>
      <c r="H14876" s="14">
        <f t="shared" si="2"/>
        <v>12</v>
      </c>
      <c r="I14876" s="15">
        <f t="shared" si="3"/>
        <v>20</v>
      </c>
    </row>
    <row r="14877">
      <c r="A14877" s="8" t="str">
        <f>IFERROR(__xludf.DUMMYFUNCTION("IF('(INGESTA)Datos_consumo_datadis'!A14877&lt;&gt;"""",SPLIT('(INGESTA)Datos_consumo_datadis'!A:A,"",""),"""")"),"ES0031408323131005HX0F")</f>
        <v>ES0031408323131005HX0F</v>
      </c>
      <c r="B14877" s="12">
        <f>IFERROR(__xludf.DUMMYFUNCTION("""COMPUTED_VALUE"""),45485.0)</f>
        <v>45485</v>
      </c>
      <c r="C14877" s="13">
        <f>IFERROR(__xludf.DUMMYFUNCTION("""COMPUTED_VALUE"""),0.875)</f>
        <v>0.875</v>
      </c>
      <c r="D14877" s="8">
        <f>IFERROR(__xludf.DUMMYFUNCTION("""COMPUTED_VALUE"""),0.072)</f>
        <v>0.072</v>
      </c>
      <c r="E14877" s="8" t="str">
        <f>IFERROR(__xludf.DUMMYFUNCTION("""COMPUTED_VALUE"""),"Real")</f>
        <v>Real</v>
      </c>
      <c r="G14877" s="8">
        <f t="shared" si="1"/>
        <v>7</v>
      </c>
      <c r="H14877" s="14">
        <f t="shared" si="2"/>
        <v>12</v>
      </c>
      <c r="I14877" s="15">
        <f t="shared" si="3"/>
        <v>21</v>
      </c>
    </row>
    <row r="14878">
      <c r="A14878" s="8" t="str">
        <f>IFERROR(__xludf.DUMMYFUNCTION("IF('(INGESTA)Datos_consumo_datadis'!A14878&lt;&gt;"""",SPLIT('(INGESTA)Datos_consumo_datadis'!A:A,"",""),"""")"),"ES0031408323131005HX0F")</f>
        <v>ES0031408323131005HX0F</v>
      </c>
      <c r="B14878" s="12">
        <f>IFERROR(__xludf.DUMMYFUNCTION("""COMPUTED_VALUE"""),45485.0)</f>
        <v>45485</v>
      </c>
      <c r="C14878" s="13">
        <f>IFERROR(__xludf.DUMMYFUNCTION("""COMPUTED_VALUE"""),0.9166666666666666)</f>
        <v>0.9166666667</v>
      </c>
      <c r="D14878" s="8">
        <f>IFERROR(__xludf.DUMMYFUNCTION("""COMPUTED_VALUE"""),0.1)</f>
        <v>0.1</v>
      </c>
      <c r="E14878" s="8" t="str">
        <f>IFERROR(__xludf.DUMMYFUNCTION("""COMPUTED_VALUE"""),"Real")</f>
        <v>Real</v>
      </c>
      <c r="G14878" s="8">
        <f t="shared" si="1"/>
        <v>7</v>
      </c>
      <c r="H14878" s="14">
        <f t="shared" si="2"/>
        <v>12</v>
      </c>
      <c r="I14878" s="15">
        <f t="shared" si="3"/>
        <v>22</v>
      </c>
    </row>
    <row r="14879">
      <c r="A14879" s="8" t="str">
        <f>IFERROR(__xludf.DUMMYFUNCTION("IF('(INGESTA)Datos_consumo_datadis'!A14879&lt;&gt;"""",SPLIT('(INGESTA)Datos_consumo_datadis'!A:A,"",""),"""")"),"ES0031408323131005HX0F")</f>
        <v>ES0031408323131005HX0F</v>
      </c>
      <c r="B14879" s="12">
        <f>IFERROR(__xludf.DUMMYFUNCTION("""COMPUTED_VALUE"""),45485.0)</f>
        <v>45485</v>
      </c>
      <c r="C14879" s="13">
        <f>IFERROR(__xludf.DUMMYFUNCTION("""COMPUTED_VALUE"""),0.9583333333333334)</f>
        <v>0.9583333333</v>
      </c>
      <c r="D14879" s="8">
        <f>IFERROR(__xludf.DUMMYFUNCTION("""COMPUTED_VALUE"""),0.068)</f>
        <v>0.068</v>
      </c>
      <c r="E14879" s="8" t="str">
        <f>IFERROR(__xludf.DUMMYFUNCTION("""COMPUTED_VALUE"""),"Real")</f>
        <v>Real</v>
      </c>
      <c r="G14879" s="8">
        <f t="shared" si="1"/>
        <v>7</v>
      </c>
      <c r="H14879" s="14">
        <f t="shared" si="2"/>
        <v>12</v>
      </c>
      <c r="I14879" s="15">
        <f t="shared" si="3"/>
        <v>23</v>
      </c>
    </row>
    <row r="14880">
      <c r="A14880" s="8" t="str">
        <f>IFERROR(__xludf.DUMMYFUNCTION("IF('(INGESTA)Datos_consumo_datadis'!A14880&lt;&gt;"""",SPLIT('(INGESTA)Datos_consumo_datadis'!A:A,"",""),"""")"),"ES0031408323131005HX0F")</f>
        <v>ES0031408323131005HX0F</v>
      </c>
      <c r="B14880" s="12">
        <f>IFERROR(__xludf.DUMMYFUNCTION("""COMPUTED_VALUE"""),45485.0)</f>
        <v>45485</v>
      </c>
      <c r="C14880" s="16">
        <f>IFERROR(__xludf.DUMMYFUNCTION("""COMPUTED_VALUE"""),1.0)</f>
        <v>1</v>
      </c>
      <c r="D14880" s="8">
        <f>IFERROR(__xludf.DUMMYFUNCTION("""COMPUTED_VALUE"""),0.042)</f>
        <v>0.042</v>
      </c>
      <c r="E14880" s="8" t="str">
        <f>IFERROR(__xludf.DUMMYFUNCTION("""COMPUTED_VALUE"""),"Real")</f>
        <v>Real</v>
      </c>
      <c r="G14880" s="8">
        <f t="shared" si="1"/>
        <v>7</v>
      </c>
      <c r="H14880" s="14">
        <f t="shared" si="2"/>
        <v>12</v>
      </c>
      <c r="I14880" s="15">
        <f t="shared" si="3"/>
        <v>0</v>
      </c>
    </row>
    <row r="14881">
      <c r="A14881" s="8" t="str">
        <f>IFERROR(__xludf.DUMMYFUNCTION("IF('(INGESTA)Datos_consumo_datadis'!A14881&lt;&gt;"""",SPLIT('(INGESTA)Datos_consumo_datadis'!A:A,"",""),"""")"),"ES0031408323131005HX0F")</f>
        <v>ES0031408323131005HX0F</v>
      </c>
      <c r="B14881" s="12">
        <f>IFERROR(__xludf.DUMMYFUNCTION("""COMPUTED_VALUE"""),45486.0)</f>
        <v>45486</v>
      </c>
      <c r="C14881" s="13">
        <f>IFERROR(__xludf.DUMMYFUNCTION("""COMPUTED_VALUE"""),0.041666666666666664)</f>
        <v>0.04166666667</v>
      </c>
      <c r="D14881" s="8">
        <f>IFERROR(__xludf.DUMMYFUNCTION("""COMPUTED_VALUE"""),0.04)</f>
        <v>0.04</v>
      </c>
      <c r="E14881" s="8" t="str">
        <f>IFERROR(__xludf.DUMMYFUNCTION("""COMPUTED_VALUE"""),"Real")</f>
        <v>Real</v>
      </c>
      <c r="G14881" s="8">
        <f t="shared" si="1"/>
        <v>7</v>
      </c>
      <c r="H14881" s="14">
        <f t="shared" si="2"/>
        <v>13</v>
      </c>
      <c r="I14881" s="15">
        <f t="shared" si="3"/>
        <v>1</v>
      </c>
    </row>
    <row r="14882">
      <c r="A14882" s="8" t="str">
        <f>IFERROR(__xludf.DUMMYFUNCTION("IF('(INGESTA)Datos_consumo_datadis'!A14882&lt;&gt;"""",SPLIT('(INGESTA)Datos_consumo_datadis'!A:A,"",""),"""")"),"ES0031408323131005HX0F")</f>
        <v>ES0031408323131005HX0F</v>
      </c>
      <c r="B14882" s="12">
        <f>IFERROR(__xludf.DUMMYFUNCTION("""COMPUTED_VALUE"""),45486.0)</f>
        <v>45486</v>
      </c>
      <c r="C14882" s="13">
        <f>IFERROR(__xludf.DUMMYFUNCTION("""COMPUTED_VALUE"""),0.08333333333333333)</f>
        <v>0.08333333333</v>
      </c>
      <c r="D14882" s="8">
        <f>IFERROR(__xludf.DUMMYFUNCTION("""COMPUTED_VALUE"""),0.412)</f>
        <v>0.412</v>
      </c>
      <c r="E14882" s="8" t="str">
        <f>IFERROR(__xludf.DUMMYFUNCTION("""COMPUTED_VALUE"""),"Real")</f>
        <v>Real</v>
      </c>
      <c r="G14882" s="8">
        <f t="shared" si="1"/>
        <v>7</v>
      </c>
      <c r="H14882" s="14">
        <f t="shared" si="2"/>
        <v>13</v>
      </c>
      <c r="I14882" s="15">
        <f t="shared" si="3"/>
        <v>2</v>
      </c>
    </row>
    <row r="14883">
      <c r="A14883" s="8" t="str">
        <f>IFERROR(__xludf.DUMMYFUNCTION("IF('(INGESTA)Datos_consumo_datadis'!A14883&lt;&gt;"""",SPLIT('(INGESTA)Datos_consumo_datadis'!A:A,"",""),"""")"),"ES0031408323131005HX0F")</f>
        <v>ES0031408323131005HX0F</v>
      </c>
      <c r="B14883" s="12">
        <f>IFERROR(__xludf.DUMMYFUNCTION("""COMPUTED_VALUE"""),45486.0)</f>
        <v>45486</v>
      </c>
      <c r="C14883" s="13">
        <f>IFERROR(__xludf.DUMMYFUNCTION("""COMPUTED_VALUE"""),0.125)</f>
        <v>0.125</v>
      </c>
      <c r="D14883" s="8">
        <f>IFERROR(__xludf.DUMMYFUNCTION("""COMPUTED_VALUE"""),0.063)</f>
        <v>0.063</v>
      </c>
      <c r="E14883" s="8" t="str">
        <f>IFERROR(__xludf.DUMMYFUNCTION("""COMPUTED_VALUE"""),"Real")</f>
        <v>Real</v>
      </c>
      <c r="G14883" s="8">
        <f t="shared" si="1"/>
        <v>7</v>
      </c>
      <c r="H14883" s="14">
        <f t="shared" si="2"/>
        <v>13</v>
      </c>
      <c r="I14883" s="15">
        <f t="shared" si="3"/>
        <v>3</v>
      </c>
    </row>
    <row r="14884">
      <c r="A14884" s="8" t="str">
        <f>IFERROR(__xludf.DUMMYFUNCTION("IF('(INGESTA)Datos_consumo_datadis'!A14884&lt;&gt;"""",SPLIT('(INGESTA)Datos_consumo_datadis'!A:A,"",""),"""")"),"ES0031408323131005HX0F")</f>
        <v>ES0031408323131005HX0F</v>
      </c>
      <c r="B14884" s="12">
        <f>IFERROR(__xludf.DUMMYFUNCTION("""COMPUTED_VALUE"""),45486.0)</f>
        <v>45486</v>
      </c>
      <c r="C14884" s="13">
        <f>IFERROR(__xludf.DUMMYFUNCTION("""COMPUTED_VALUE"""),0.16666666666666666)</f>
        <v>0.1666666667</v>
      </c>
      <c r="D14884" s="8">
        <f>IFERROR(__xludf.DUMMYFUNCTION("""COMPUTED_VALUE"""),0.059)</f>
        <v>0.059</v>
      </c>
      <c r="E14884" s="8" t="str">
        <f>IFERROR(__xludf.DUMMYFUNCTION("""COMPUTED_VALUE"""),"Real")</f>
        <v>Real</v>
      </c>
      <c r="G14884" s="8">
        <f t="shared" si="1"/>
        <v>7</v>
      </c>
      <c r="H14884" s="14">
        <f t="shared" si="2"/>
        <v>13</v>
      </c>
      <c r="I14884" s="15">
        <f t="shared" si="3"/>
        <v>4</v>
      </c>
    </row>
    <row r="14885">
      <c r="A14885" s="8" t="str">
        <f>IFERROR(__xludf.DUMMYFUNCTION("IF('(INGESTA)Datos_consumo_datadis'!A14885&lt;&gt;"""",SPLIT('(INGESTA)Datos_consumo_datadis'!A:A,"",""),"""")"),"ES0031408323131005HX0F")</f>
        <v>ES0031408323131005HX0F</v>
      </c>
      <c r="B14885" s="12">
        <f>IFERROR(__xludf.DUMMYFUNCTION("""COMPUTED_VALUE"""),45486.0)</f>
        <v>45486</v>
      </c>
      <c r="C14885" s="13">
        <f>IFERROR(__xludf.DUMMYFUNCTION("""COMPUTED_VALUE"""),0.20833333333333334)</f>
        <v>0.2083333333</v>
      </c>
      <c r="D14885" s="8">
        <f>IFERROR(__xludf.DUMMYFUNCTION("""COMPUTED_VALUE"""),0.013)</f>
        <v>0.013</v>
      </c>
      <c r="E14885" s="8" t="str">
        <f>IFERROR(__xludf.DUMMYFUNCTION("""COMPUTED_VALUE"""),"Real")</f>
        <v>Real</v>
      </c>
      <c r="G14885" s="8">
        <f t="shared" si="1"/>
        <v>7</v>
      </c>
      <c r="H14885" s="14">
        <f t="shared" si="2"/>
        <v>13</v>
      </c>
      <c r="I14885" s="15">
        <f t="shared" si="3"/>
        <v>5</v>
      </c>
    </row>
    <row r="14886">
      <c r="A14886" s="8" t="str">
        <f>IFERROR(__xludf.DUMMYFUNCTION("IF('(INGESTA)Datos_consumo_datadis'!A14886&lt;&gt;"""",SPLIT('(INGESTA)Datos_consumo_datadis'!A:A,"",""),"""")"),"ES0031408323131005HX0F")</f>
        <v>ES0031408323131005HX0F</v>
      </c>
      <c r="B14886" s="12">
        <f>IFERROR(__xludf.DUMMYFUNCTION("""COMPUTED_VALUE"""),45486.0)</f>
        <v>45486</v>
      </c>
      <c r="C14886" s="13">
        <f>IFERROR(__xludf.DUMMYFUNCTION("""COMPUTED_VALUE"""),0.25)</f>
        <v>0.25</v>
      </c>
      <c r="D14886" s="8">
        <f>IFERROR(__xludf.DUMMYFUNCTION("""COMPUTED_VALUE"""),0.118)</f>
        <v>0.118</v>
      </c>
      <c r="E14886" s="8" t="str">
        <f>IFERROR(__xludf.DUMMYFUNCTION("""COMPUTED_VALUE"""),"Real")</f>
        <v>Real</v>
      </c>
      <c r="G14886" s="8">
        <f t="shared" si="1"/>
        <v>7</v>
      </c>
      <c r="H14886" s="14">
        <f t="shared" si="2"/>
        <v>13</v>
      </c>
      <c r="I14886" s="15">
        <f t="shared" si="3"/>
        <v>6</v>
      </c>
    </row>
    <row r="14887">
      <c r="A14887" s="8" t="str">
        <f>IFERROR(__xludf.DUMMYFUNCTION("IF('(INGESTA)Datos_consumo_datadis'!A14887&lt;&gt;"""",SPLIT('(INGESTA)Datos_consumo_datadis'!A:A,"",""),"""")"),"ES0031408323131005HX0F")</f>
        <v>ES0031408323131005HX0F</v>
      </c>
      <c r="B14887" s="12">
        <f>IFERROR(__xludf.DUMMYFUNCTION("""COMPUTED_VALUE"""),45486.0)</f>
        <v>45486</v>
      </c>
      <c r="C14887" s="13">
        <f>IFERROR(__xludf.DUMMYFUNCTION("""COMPUTED_VALUE"""),0.2916666666666667)</f>
        <v>0.2916666667</v>
      </c>
      <c r="D14887" s="8">
        <f>IFERROR(__xludf.DUMMYFUNCTION("""COMPUTED_VALUE"""),0.082)</f>
        <v>0.082</v>
      </c>
      <c r="E14887" s="8" t="str">
        <f>IFERROR(__xludf.DUMMYFUNCTION("""COMPUTED_VALUE"""),"Real")</f>
        <v>Real</v>
      </c>
      <c r="G14887" s="8">
        <f t="shared" si="1"/>
        <v>7</v>
      </c>
      <c r="H14887" s="14">
        <f t="shared" si="2"/>
        <v>13</v>
      </c>
      <c r="I14887" s="15">
        <f t="shared" si="3"/>
        <v>7</v>
      </c>
    </row>
    <row r="14888">
      <c r="A14888" s="8" t="str">
        <f>IFERROR(__xludf.DUMMYFUNCTION("IF('(INGESTA)Datos_consumo_datadis'!A14888&lt;&gt;"""",SPLIT('(INGESTA)Datos_consumo_datadis'!A:A,"",""),"""")"),"ES0031408323131005HX0F")</f>
        <v>ES0031408323131005HX0F</v>
      </c>
      <c r="B14888" s="12">
        <f>IFERROR(__xludf.DUMMYFUNCTION("""COMPUTED_VALUE"""),45486.0)</f>
        <v>45486</v>
      </c>
      <c r="C14888" s="13">
        <f>IFERROR(__xludf.DUMMYFUNCTION("""COMPUTED_VALUE"""),0.3333333333333333)</f>
        <v>0.3333333333</v>
      </c>
      <c r="D14888" s="8">
        <f>IFERROR(__xludf.DUMMYFUNCTION("""COMPUTED_VALUE"""),0.063)</f>
        <v>0.063</v>
      </c>
      <c r="E14888" s="8" t="str">
        <f>IFERROR(__xludf.DUMMYFUNCTION("""COMPUTED_VALUE"""),"Real")</f>
        <v>Real</v>
      </c>
      <c r="G14888" s="8">
        <f t="shared" si="1"/>
        <v>7</v>
      </c>
      <c r="H14888" s="14">
        <f t="shared" si="2"/>
        <v>13</v>
      </c>
      <c r="I14888" s="15">
        <f t="shared" si="3"/>
        <v>8</v>
      </c>
    </row>
    <row r="14889">
      <c r="A14889" s="8" t="str">
        <f>IFERROR(__xludf.DUMMYFUNCTION("IF('(INGESTA)Datos_consumo_datadis'!A14889&lt;&gt;"""",SPLIT('(INGESTA)Datos_consumo_datadis'!A:A,"",""),"""")"),"ES0031408323131005HX0F")</f>
        <v>ES0031408323131005HX0F</v>
      </c>
      <c r="B14889" s="12">
        <f>IFERROR(__xludf.DUMMYFUNCTION("""COMPUTED_VALUE"""),45486.0)</f>
        <v>45486</v>
      </c>
      <c r="C14889" s="13">
        <f>IFERROR(__xludf.DUMMYFUNCTION("""COMPUTED_VALUE"""),0.375)</f>
        <v>0.375</v>
      </c>
      <c r="D14889" s="8">
        <f>IFERROR(__xludf.DUMMYFUNCTION("""COMPUTED_VALUE"""),0.011)</f>
        <v>0.011</v>
      </c>
      <c r="E14889" s="8" t="str">
        <f>IFERROR(__xludf.DUMMYFUNCTION("""COMPUTED_VALUE"""),"Real")</f>
        <v>Real</v>
      </c>
      <c r="G14889" s="8">
        <f t="shared" si="1"/>
        <v>7</v>
      </c>
      <c r="H14889" s="14">
        <f t="shared" si="2"/>
        <v>13</v>
      </c>
      <c r="I14889" s="15">
        <f t="shared" si="3"/>
        <v>9</v>
      </c>
    </row>
    <row r="14890">
      <c r="A14890" s="8" t="str">
        <f>IFERROR(__xludf.DUMMYFUNCTION("IF('(INGESTA)Datos_consumo_datadis'!A14890&lt;&gt;"""",SPLIT('(INGESTA)Datos_consumo_datadis'!A:A,"",""),"""")"),"ES0031408323131005HX0F")</f>
        <v>ES0031408323131005HX0F</v>
      </c>
      <c r="B14890" s="12">
        <f>IFERROR(__xludf.DUMMYFUNCTION("""COMPUTED_VALUE"""),45486.0)</f>
        <v>45486</v>
      </c>
      <c r="C14890" s="13">
        <f>IFERROR(__xludf.DUMMYFUNCTION("""COMPUTED_VALUE"""),0.4166666666666667)</f>
        <v>0.4166666667</v>
      </c>
      <c r="D14890" s="8">
        <f>IFERROR(__xludf.DUMMYFUNCTION("""COMPUTED_VALUE"""),0.093)</f>
        <v>0.093</v>
      </c>
      <c r="E14890" s="8" t="str">
        <f>IFERROR(__xludf.DUMMYFUNCTION("""COMPUTED_VALUE"""),"Real")</f>
        <v>Real</v>
      </c>
      <c r="G14890" s="8">
        <f t="shared" si="1"/>
        <v>7</v>
      </c>
      <c r="H14890" s="14">
        <f t="shared" si="2"/>
        <v>13</v>
      </c>
      <c r="I14890" s="15">
        <f t="shared" si="3"/>
        <v>10</v>
      </c>
    </row>
    <row r="14891">
      <c r="A14891" s="8" t="str">
        <f>IFERROR(__xludf.DUMMYFUNCTION("IF('(INGESTA)Datos_consumo_datadis'!A14891&lt;&gt;"""",SPLIT('(INGESTA)Datos_consumo_datadis'!A:A,"",""),"""")"),"ES0031408323131005HX0F")</f>
        <v>ES0031408323131005HX0F</v>
      </c>
      <c r="B14891" s="12">
        <f>IFERROR(__xludf.DUMMYFUNCTION("""COMPUTED_VALUE"""),45486.0)</f>
        <v>45486</v>
      </c>
      <c r="C14891" s="13">
        <f>IFERROR(__xludf.DUMMYFUNCTION("""COMPUTED_VALUE"""),0.4583333333333333)</f>
        <v>0.4583333333</v>
      </c>
      <c r="D14891" s="8">
        <f>IFERROR(__xludf.DUMMYFUNCTION("""COMPUTED_VALUE"""),0.396)</f>
        <v>0.396</v>
      </c>
      <c r="E14891" s="8" t="str">
        <f>IFERROR(__xludf.DUMMYFUNCTION("""COMPUTED_VALUE"""),"Real")</f>
        <v>Real</v>
      </c>
      <c r="G14891" s="8">
        <f t="shared" si="1"/>
        <v>7</v>
      </c>
      <c r="H14891" s="14">
        <f t="shared" si="2"/>
        <v>13</v>
      </c>
      <c r="I14891" s="15">
        <f t="shared" si="3"/>
        <v>11</v>
      </c>
    </row>
    <row r="14892">
      <c r="A14892" s="8" t="str">
        <f>IFERROR(__xludf.DUMMYFUNCTION("IF('(INGESTA)Datos_consumo_datadis'!A14892&lt;&gt;"""",SPLIT('(INGESTA)Datos_consumo_datadis'!A:A,"",""),"""")"),"ES0031408323131005HX0F")</f>
        <v>ES0031408323131005HX0F</v>
      </c>
      <c r="B14892" s="12">
        <f>IFERROR(__xludf.DUMMYFUNCTION("""COMPUTED_VALUE"""),45486.0)</f>
        <v>45486</v>
      </c>
      <c r="C14892" s="13">
        <f>IFERROR(__xludf.DUMMYFUNCTION("""COMPUTED_VALUE"""),0.5)</f>
        <v>0.5</v>
      </c>
      <c r="D14892" s="8">
        <f>IFERROR(__xludf.DUMMYFUNCTION("""COMPUTED_VALUE"""),0.08)</f>
        <v>0.08</v>
      </c>
      <c r="E14892" s="8" t="str">
        <f>IFERROR(__xludf.DUMMYFUNCTION("""COMPUTED_VALUE"""),"Real")</f>
        <v>Real</v>
      </c>
      <c r="G14892" s="8">
        <f t="shared" si="1"/>
        <v>7</v>
      </c>
      <c r="H14892" s="14">
        <f t="shared" si="2"/>
        <v>13</v>
      </c>
      <c r="I14892" s="15">
        <f t="shared" si="3"/>
        <v>12</v>
      </c>
    </row>
    <row r="14893">
      <c r="A14893" s="8" t="str">
        <f>IFERROR(__xludf.DUMMYFUNCTION("IF('(INGESTA)Datos_consumo_datadis'!A14893&lt;&gt;"""",SPLIT('(INGESTA)Datos_consumo_datadis'!A:A,"",""),"""")"),"ES0031408323131005HX0F")</f>
        <v>ES0031408323131005HX0F</v>
      </c>
      <c r="B14893" s="12">
        <f>IFERROR(__xludf.DUMMYFUNCTION("""COMPUTED_VALUE"""),45486.0)</f>
        <v>45486</v>
      </c>
      <c r="C14893" s="13">
        <f>IFERROR(__xludf.DUMMYFUNCTION("""COMPUTED_VALUE"""),0.5416666666666666)</f>
        <v>0.5416666667</v>
      </c>
      <c r="D14893" s="8">
        <f>IFERROR(__xludf.DUMMYFUNCTION("""COMPUTED_VALUE"""),0.027)</f>
        <v>0.027</v>
      </c>
      <c r="E14893" s="8" t="str">
        <f>IFERROR(__xludf.DUMMYFUNCTION("""COMPUTED_VALUE"""),"Real")</f>
        <v>Real</v>
      </c>
      <c r="G14893" s="8">
        <f t="shared" si="1"/>
        <v>7</v>
      </c>
      <c r="H14893" s="14">
        <f t="shared" si="2"/>
        <v>13</v>
      </c>
      <c r="I14893" s="15">
        <f t="shared" si="3"/>
        <v>13</v>
      </c>
    </row>
    <row r="14894">
      <c r="A14894" s="8" t="str">
        <f>IFERROR(__xludf.DUMMYFUNCTION("IF('(INGESTA)Datos_consumo_datadis'!A14894&lt;&gt;"""",SPLIT('(INGESTA)Datos_consumo_datadis'!A:A,"",""),"""")"),"ES0031408323131005HX0F")</f>
        <v>ES0031408323131005HX0F</v>
      </c>
      <c r="B14894" s="12">
        <f>IFERROR(__xludf.DUMMYFUNCTION("""COMPUTED_VALUE"""),45486.0)</f>
        <v>45486</v>
      </c>
      <c r="C14894" s="13">
        <f>IFERROR(__xludf.DUMMYFUNCTION("""COMPUTED_VALUE"""),0.5833333333333334)</f>
        <v>0.5833333333</v>
      </c>
      <c r="D14894" s="8">
        <f>IFERROR(__xludf.DUMMYFUNCTION("""COMPUTED_VALUE"""),0.081)</f>
        <v>0.081</v>
      </c>
      <c r="E14894" s="8" t="str">
        <f>IFERROR(__xludf.DUMMYFUNCTION("""COMPUTED_VALUE"""),"Real")</f>
        <v>Real</v>
      </c>
      <c r="G14894" s="8">
        <f t="shared" si="1"/>
        <v>7</v>
      </c>
      <c r="H14894" s="14">
        <f t="shared" si="2"/>
        <v>13</v>
      </c>
      <c r="I14894" s="15">
        <f t="shared" si="3"/>
        <v>14</v>
      </c>
    </row>
    <row r="14895">
      <c r="A14895" s="8" t="str">
        <f>IFERROR(__xludf.DUMMYFUNCTION("IF('(INGESTA)Datos_consumo_datadis'!A14895&lt;&gt;"""",SPLIT('(INGESTA)Datos_consumo_datadis'!A:A,"",""),"""")"),"ES0031408323131005HX0F")</f>
        <v>ES0031408323131005HX0F</v>
      </c>
      <c r="B14895" s="12">
        <f>IFERROR(__xludf.DUMMYFUNCTION("""COMPUTED_VALUE"""),45486.0)</f>
        <v>45486</v>
      </c>
      <c r="C14895" s="13">
        <f>IFERROR(__xludf.DUMMYFUNCTION("""COMPUTED_VALUE"""),0.625)</f>
        <v>0.625</v>
      </c>
      <c r="D14895" s="8">
        <f>IFERROR(__xludf.DUMMYFUNCTION("""COMPUTED_VALUE"""),0.095)</f>
        <v>0.095</v>
      </c>
      <c r="E14895" s="8" t="str">
        <f>IFERROR(__xludf.DUMMYFUNCTION("""COMPUTED_VALUE"""),"Real")</f>
        <v>Real</v>
      </c>
      <c r="G14895" s="8">
        <f t="shared" si="1"/>
        <v>7</v>
      </c>
      <c r="H14895" s="14">
        <f t="shared" si="2"/>
        <v>13</v>
      </c>
      <c r="I14895" s="15">
        <f t="shared" si="3"/>
        <v>15</v>
      </c>
    </row>
    <row r="14896">
      <c r="A14896" s="8" t="str">
        <f>IFERROR(__xludf.DUMMYFUNCTION("IF('(INGESTA)Datos_consumo_datadis'!A14896&lt;&gt;"""",SPLIT('(INGESTA)Datos_consumo_datadis'!A:A,"",""),"""")"),"ES0031408323131005HX0F")</f>
        <v>ES0031408323131005HX0F</v>
      </c>
      <c r="B14896" s="12">
        <f>IFERROR(__xludf.DUMMYFUNCTION("""COMPUTED_VALUE"""),45486.0)</f>
        <v>45486</v>
      </c>
      <c r="C14896" s="13">
        <f>IFERROR(__xludf.DUMMYFUNCTION("""COMPUTED_VALUE"""),0.6666666666666666)</f>
        <v>0.6666666667</v>
      </c>
      <c r="D14896" s="8">
        <f>IFERROR(__xludf.DUMMYFUNCTION("""COMPUTED_VALUE"""),0.07)</f>
        <v>0.07</v>
      </c>
      <c r="E14896" s="8" t="str">
        <f>IFERROR(__xludf.DUMMYFUNCTION("""COMPUTED_VALUE"""),"Real")</f>
        <v>Real</v>
      </c>
      <c r="G14896" s="8">
        <f t="shared" si="1"/>
        <v>7</v>
      </c>
      <c r="H14896" s="14">
        <f t="shared" si="2"/>
        <v>13</v>
      </c>
      <c r="I14896" s="15">
        <f t="shared" si="3"/>
        <v>16</v>
      </c>
    </row>
    <row r="14897">
      <c r="A14897" s="8" t="str">
        <f>IFERROR(__xludf.DUMMYFUNCTION("IF('(INGESTA)Datos_consumo_datadis'!A14897&lt;&gt;"""",SPLIT('(INGESTA)Datos_consumo_datadis'!A:A,"",""),"""")"),"ES0031408323131005HX0F")</f>
        <v>ES0031408323131005HX0F</v>
      </c>
      <c r="B14897" s="12">
        <f>IFERROR(__xludf.DUMMYFUNCTION("""COMPUTED_VALUE"""),45486.0)</f>
        <v>45486</v>
      </c>
      <c r="C14897" s="13">
        <f>IFERROR(__xludf.DUMMYFUNCTION("""COMPUTED_VALUE"""),0.7083333333333334)</f>
        <v>0.7083333333</v>
      </c>
      <c r="D14897" s="8">
        <f>IFERROR(__xludf.DUMMYFUNCTION("""COMPUTED_VALUE"""),0.034)</f>
        <v>0.034</v>
      </c>
      <c r="E14897" s="8" t="str">
        <f>IFERROR(__xludf.DUMMYFUNCTION("""COMPUTED_VALUE"""),"Real")</f>
        <v>Real</v>
      </c>
      <c r="G14897" s="8">
        <f t="shared" si="1"/>
        <v>7</v>
      </c>
      <c r="H14897" s="14">
        <f t="shared" si="2"/>
        <v>13</v>
      </c>
      <c r="I14897" s="15">
        <f t="shared" si="3"/>
        <v>17</v>
      </c>
    </row>
    <row r="14898">
      <c r="A14898" s="8" t="str">
        <f>IFERROR(__xludf.DUMMYFUNCTION("IF('(INGESTA)Datos_consumo_datadis'!A14898&lt;&gt;"""",SPLIT('(INGESTA)Datos_consumo_datadis'!A:A,"",""),"""")"),"ES0031408323131005HX0F")</f>
        <v>ES0031408323131005HX0F</v>
      </c>
      <c r="B14898" s="12">
        <f>IFERROR(__xludf.DUMMYFUNCTION("""COMPUTED_VALUE"""),45486.0)</f>
        <v>45486</v>
      </c>
      <c r="C14898" s="13">
        <f>IFERROR(__xludf.DUMMYFUNCTION("""COMPUTED_VALUE"""),0.75)</f>
        <v>0.75</v>
      </c>
      <c r="D14898" s="8">
        <f>IFERROR(__xludf.DUMMYFUNCTION("""COMPUTED_VALUE"""),0.049)</f>
        <v>0.049</v>
      </c>
      <c r="E14898" s="8" t="str">
        <f>IFERROR(__xludf.DUMMYFUNCTION("""COMPUTED_VALUE"""),"Real")</f>
        <v>Real</v>
      </c>
      <c r="G14898" s="8">
        <f t="shared" si="1"/>
        <v>7</v>
      </c>
      <c r="H14898" s="14">
        <f t="shared" si="2"/>
        <v>13</v>
      </c>
      <c r="I14898" s="15">
        <f t="shared" si="3"/>
        <v>18</v>
      </c>
    </row>
    <row r="14899">
      <c r="A14899" s="8" t="str">
        <f>IFERROR(__xludf.DUMMYFUNCTION("IF('(INGESTA)Datos_consumo_datadis'!A14899&lt;&gt;"""",SPLIT('(INGESTA)Datos_consumo_datadis'!A:A,"",""),"""")"),"ES0031408323131005HX0F")</f>
        <v>ES0031408323131005HX0F</v>
      </c>
      <c r="B14899" s="12">
        <f>IFERROR(__xludf.DUMMYFUNCTION("""COMPUTED_VALUE"""),45486.0)</f>
        <v>45486</v>
      </c>
      <c r="C14899" s="13">
        <f>IFERROR(__xludf.DUMMYFUNCTION("""COMPUTED_VALUE"""),0.7916666666666666)</f>
        <v>0.7916666667</v>
      </c>
      <c r="D14899" s="8">
        <f>IFERROR(__xludf.DUMMYFUNCTION("""COMPUTED_VALUE"""),0.113)</f>
        <v>0.113</v>
      </c>
      <c r="E14899" s="8" t="str">
        <f>IFERROR(__xludf.DUMMYFUNCTION("""COMPUTED_VALUE"""),"Real")</f>
        <v>Real</v>
      </c>
      <c r="G14899" s="8">
        <f t="shared" si="1"/>
        <v>7</v>
      </c>
      <c r="H14899" s="14">
        <f t="shared" si="2"/>
        <v>13</v>
      </c>
      <c r="I14899" s="15">
        <f t="shared" si="3"/>
        <v>19</v>
      </c>
    </row>
    <row r="14900">
      <c r="A14900" s="8" t="str">
        <f>IFERROR(__xludf.DUMMYFUNCTION("IF('(INGESTA)Datos_consumo_datadis'!A14900&lt;&gt;"""",SPLIT('(INGESTA)Datos_consumo_datadis'!A:A,"",""),"""")"),"ES0031408323131005HX0F")</f>
        <v>ES0031408323131005HX0F</v>
      </c>
      <c r="B14900" s="12">
        <f>IFERROR(__xludf.DUMMYFUNCTION("""COMPUTED_VALUE"""),45486.0)</f>
        <v>45486</v>
      </c>
      <c r="C14900" s="13">
        <f>IFERROR(__xludf.DUMMYFUNCTION("""COMPUTED_VALUE"""),0.8333333333333334)</f>
        <v>0.8333333333</v>
      </c>
      <c r="D14900" s="8">
        <f>IFERROR(__xludf.DUMMYFUNCTION("""COMPUTED_VALUE"""),0.363)</f>
        <v>0.363</v>
      </c>
      <c r="E14900" s="8" t="str">
        <f>IFERROR(__xludf.DUMMYFUNCTION("""COMPUTED_VALUE"""),"Real")</f>
        <v>Real</v>
      </c>
      <c r="G14900" s="8">
        <f t="shared" si="1"/>
        <v>7</v>
      </c>
      <c r="H14900" s="14">
        <f t="shared" si="2"/>
        <v>13</v>
      </c>
      <c r="I14900" s="15">
        <f t="shared" si="3"/>
        <v>20</v>
      </c>
    </row>
    <row r="14901">
      <c r="A14901" s="8" t="str">
        <f>IFERROR(__xludf.DUMMYFUNCTION("IF('(INGESTA)Datos_consumo_datadis'!A14901&lt;&gt;"""",SPLIT('(INGESTA)Datos_consumo_datadis'!A:A,"",""),"""")"),"ES0031408323131005HX0F")</f>
        <v>ES0031408323131005HX0F</v>
      </c>
      <c r="B14901" s="12">
        <f>IFERROR(__xludf.DUMMYFUNCTION("""COMPUTED_VALUE"""),45486.0)</f>
        <v>45486</v>
      </c>
      <c r="C14901" s="13">
        <f>IFERROR(__xludf.DUMMYFUNCTION("""COMPUTED_VALUE"""),0.875)</f>
        <v>0.875</v>
      </c>
      <c r="D14901" s="8">
        <f>IFERROR(__xludf.DUMMYFUNCTION("""COMPUTED_VALUE"""),0.059)</f>
        <v>0.059</v>
      </c>
      <c r="E14901" s="8" t="str">
        <f>IFERROR(__xludf.DUMMYFUNCTION("""COMPUTED_VALUE"""),"Real")</f>
        <v>Real</v>
      </c>
      <c r="G14901" s="8">
        <f t="shared" si="1"/>
        <v>7</v>
      </c>
      <c r="H14901" s="14">
        <f t="shared" si="2"/>
        <v>13</v>
      </c>
      <c r="I14901" s="15">
        <f t="shared" si="3"/>
        <v>21</v>
      </c>
    </row>
    <row r="14902">
      <c r="A14902" s="8" t="str">
        <f>IFERROR(__xludf.DUMMYFUNCTION("IF('(INGESTA)Datos_consumo_datadis'!A14902&lt;&gt;"""",SPLIT('(INGESTA)Datos_consumo_datadis'!A:A,"",""),"""")"),"ES0031408323131005HX0F")</f>
        <v>ES0031408323131005HX0F</v>
      </c>
      <c r="B14902" s="12">
        <f>IFERROR(__xludf.DUMMYFUNCTION("""COMPUTED_VALUE"""),45486.0)</f>
        <v>45486</v>
      </c>
      <c r="C14902" s="13">
        <f>IFERROR(__xludf.DUMMYFUNCTION("""COMPUTED_VALUE"""),0.9166666666666666)</f>
        <v>0.9166666667</v>
      </c>
      <c r="D14902" s="8">
        <f>IFERROR(__xludf.DUMMYFUNCTION("""COMPUTED_VALUE"""),0.022)</f>
        <v>0.022</v>
      </c>
      <c r="E14902" s="8" t="str">
        <f>IFERROR(__xludf.DUMMYFUNCTION("""COMPUTED_VALUE"""),"Real")</f>
        <v>Real</v>
      </c>
      <c r="G14902" s="8">
        <f t="shared" si="1"/>
        <v>7</v>
      </c>
      <c r="H14902" s="14">
        <f t="shared" si="2"/>
        <v>13</v>
      </c>
      <c r="I14902" s="15">
        <f t="shared" si="3"/>
        <v>22</v>
      </c>
    </row>
    <row r="14903">
      <c r="A14903" s="8" t="str">
        <f>IFERROR(__xludf.DUMMYFUNCTION("IF('(INGESTA)Datos_consumo_datadis'!A14903&lt;&gt;"""",SPLIT('(INGESTA)Datos_consumo_datadis'!A:A,"",""),"""")"),"ES0031408323131005HX0F")</f>
        <v>ES0031408323131005HX0F</v>
      </c>
      <c r="B14903" s="12">
        <f>IFERROR(__xludf.DUMMYFUNCTION("""COMPUTED_VALUE"""),45486.0)</f>
        <v>45486</v>
      </c>
      <c r="C14903" s="13">
        <f>IFERROR(__xludf.DUMMYFUNCTION("""COMPUTED_VALUE"""),0.9583333333333334)</f>
        <v>0.9583333333</v>
      </c>
      <c r="D14903" s="8">
        <f>IFERROR(__xludf.DUMMYFUNCTION("""COMPUTED_VALUE"""),0.117)</f>
        <v>0.117</v>
      </c>
      <c r="E14903" s="8" t="str">
        <f>IFERROR(__xludf.DUMMYFUNCTION("""COMPUTED_VALUE"""),"Real")</f>
        <v>Real</v>
      </c>
      <c r="G14903" s="8">
        <f t="shared" si="1"/>
        <v>7</v>
      </c>
      <c r="H14903" s="14">
        <f t="shared" si="2"/>
        <v>13</v>
      </c>
      <c r="I14903" s="15">
        <f t="shared" si="3"/>
        <v>23</v>
      </c>
    </row>
    <row r="14904">
      <c r="A14904" s="8" t="str">
        <f>IFERROR(__xludf.DUMMYFUNCTION("IF('(INGESTA)Datos_consumo_datadis'!A14904&lt;&gt;"""",SPLIT('(INGESTA)Datos_consumo_datadis'!A:A,"",""),"""")"),"ES0031408323131005HX0F")</f>
        <v>ES0031408323131005HX0F</v>
      </c>
      <c r="B14904" s="12">
        <f>IFERROR(__xludf.DUMMYFUNCTION("""COMPUTED_VALUE"""),45486.0)</f>
        <v>45486</v>
      </c>
      <c r="C14904" s="16">
        <f>IFERROR(__xludf.DUMMYFUNCTION("""COMPUTED_VALUE"""),1.0)</f>
        <v>1</v>
      </c>
      <c r="D14904" s="8">
        <f>IFERROR(__xludf.DUMMYFUNCTION("""COMPUTED_VALUE"""),0.075)</f>
        <v>0.075</v>
      </c>
      <c r="E14904" s="8" t="str">
        <f>IFERROR(__xludf.DUMMYFUNCTION("""COMPUTED_VALUE"""),"Real")</f>
        <v>Real</v>
      </c>
      <c r="G14904" s="8">
        <f t="shared" si="1"/>
        <v>7</v>
      </c>
      <c r="H14904" s="14">
        <f t="shared" si="2"/>
        <v>13</v>
      </c>
      <c r="I14904" s="15">
        <f t="shared" si="3"/>
        <v>0</v>
      </c>
    </row>
    <row r="14905">
      <c r="A14905" s="8" t="str">
        <f>IFERROR(__xludf.DUMMYFUNCTION("IF('(INGESTA)Datos_consumo_datadis'!A14905&lt;&gt;"""",SPLIT('(INGESTA)Datos_consumo_datadis'!A:A,"",""),"""")"),"ES0031408323131005HX0F")</f>
        <v>ES0031408323131005HX0F</v>
      </c>
      <c r="B14905" s="12">
        <f>IFERROR(__xludf.DUMMYFUNCTION("""COMPUTED_VALUE"""),45487.0)</f>
        <v>45487</v>
      </c>
      <c r="C14905" s="13">
        <f>IFERROR(__xludf.DUMMYFUNCTION("""COMPUTED_VALUE"""),0.041666666666666664)</f>
        <v>0.04166666667</v>
      </c>
      <c r="D14905" s="8">
        <f>IFERROR(__xludf.DUMMYFUNCTION("""COMPUTED_VALUE"""),0.059)</f>
        <v>0.059</v>
      </c>
      <c r="E14905" s="8" t="str">
        <f>IFERROR(__xludf.DUMMYFUNCTION("""COMPUTED_VALUE"""),"Real")</f>
        <v>Real</v>
      </c>
      <c r="G14905" s="8">
        <f t="shared" si="1"/>
        <v>7</v>
      </c>
      <c r="H14905" s="14">
        <f t="shared" si="2"/>
        <v>14</v>
      </c>
      <c r="I14905" s="15">
        <f t="shared" si="3"/>
        <v>1</v>
      </c>
    </row>
    <row r="14906">
      <c r="A14906" s="8" t="str">
        <f>IFERROR(__xludf.DUMMYFUNCTION("IF('(INGESTA)Datos_consumo_datadis'!A14906&lt;&gt;"""",SPLIT('(INGESTA)Datos_consumo_datadis'!A:A,"",""),"""")"),"ES0031408323131005HX0F")</f>
        <v>ES0031408323131005HX0F</v>
      </c>
      <c r="B14906" s="12">
        <f>IFERROR(__xludf.DUMMYFUNCTION("""COMPUTED_VALUE"""),45487.0)</f>
        <v>45487</v>
      </c>
      <c r="C14906" s="13">
        <f>IFERROR(__xludf.DUMMYFUNCTION("""COMPUTED_VALUE"""),0.08333333333333333)</f>
        <v>0.08333333333</v>
      </c>
      <c r="D14906" s="8">
        <f>IFERROR(__xludf.DUMMYFUNCTION("""COMPUTED_VALUE"""),0.01)</f>
        <v>0.01</v>
      </c>
      <c r="E14906" s="8" t="str">
        <f>IFERROR(__xludf.DUMMYFUNCTION("""COMPUTED_VALUE"""),"Real")</f>
        <v>Real</v>
      </c>
      <c r="G14906" s="8">
        <f t="shared" si="1"/>
        <v>7</v>
      </c>
      <c r="H14906" s="14">
        <f t="shared" si="2"/>
        <v>14</v>
      </c>
      <c r="I14906" s="15">
        <f t="shared" si="3"/>
        <v>2</v>
      </c>
    </row>
    <row r="14907">
      <c r="A14907" s="8" t="str">
        <f>IFERROR(__xludf.DUMMYFUNCTION("IF('(INGESTA)Datos_consumo_datadis'!A14907&lt;&gt;"""",SPLIT('(INGESTA)Datos_consumo_datadis'!A:A,"",""),"""")"),"ES0031408323131005HX0F")</f>
        <v>ES0031408323131005HX0F</v>
      </c>
      <c r="B14907" s="12">
        <f>IFERROR(__xludf.DUMMYFUNCTION("""COMPUTED_VALUE"""),45487.0)</f>
        <v>45487</v>
      </c>
      <c r="C14907" s="13">
        <f>IFERROR(__xludf.DUMMYFUNCTION("""COMPUTED_VALUE"""),0.125)</f>
        <v>0.125</v>
      </c>
      <c r="D14907" s="8">
        <f>IFERROR(__xludf.DUMMYFUNCTION("""COMPUTED_VALUE"""),0.106)</f>
        <v>0.106</v>
      </c>
      <c r="E14907" s="8" t="str">
        <f>IFERROR(__xludf.DUMMYFUNCTION("""COMPUTED_VALUE"""),"Real")</f>
        <v>Real</v>
      </c>
      <c r="G14907" s="8">
        <f t="shared" si="1"/>
        <v>7</v>
      </c>
      <c r="H14907" s="14">
        <f t="shared" si="2"/>
        <v>14</v>
      </c>
      <c r="I14907" s="15">
        <f t="shared" si="3"/>
        <v>3</v>
      </c>
    </row>
    <row r="14908">
      <c r="A14908" s="8" t="str">
        <f>IFERROR(__xludf.DUMMYFUNCTION("IF('(INGESTA)Datos_consumo_datadis'!A14908&lt;&gt;"""",SPLIT('(INGESTA)Datos_consumo_datadis'!A:A,"",""),"""")"),"ES0031408323131005HX0F")</f>
        <v>ES0031408323131005HX0F</v>
      </c>
      <c r="B14908" s="12">
        <f>IFERROR(__xludf.DUMMYFUNCTION("""COMPUTED_VALUE"""),45487.0)</f>
        <v>45487</v>
      </c>
      <c r="C14908" s="13">
        <f>IFERROR(__xludf.DUMMYFUNCTION("""COMPUTED_VALUE"""),0.16666666666666666)</f>
        <v>0.1666666667</v>
      </c>
      <c r="D14908" s="8">
        <f>IFERROR(__xludf.DUMMYFUNCTION("""COMPUTED_VALUE"""),0.082)</f>
        <v>0.082</v>
      </c>
      <c r="E14908" s="8" t="str">
        <f>IFERROR(__xludf.DUMMYFUNCTION("""COMPUTED_VALUE"""),"Real")</f>
        <v>Real</v>
      </c>
      <c r="G14908" s="8">
        <f t="shared" si="1"/>
        <v>7</v>
      </c>
      <c r="H14908" s="14">
        <f t="shared" si="2"/>
        <v>14</v>
      </c>
      <c r="I14908" s="15">
        <f t="shared" si="3"/>
        <v>4</v>
      </c>
    </row>
    <row r="14909">
      <c r="A14909" s="8" t="str">
        <f>IFERROR(__xludf.DUMMYFUNCTION("IF('(INGESTA)Datos_consumo_datadis'!A14909&lt;&gt;"""",SPLIT('(INGESTA)Datos_consumo_datadis'!A:A,"",""),"""")"),"ES0031408323131005HX0F")</f>
        <v>ES0031408323131005HX0F</v>
      </c>
      <c r="B14909" s="12">
        <f>IFERROR(__xludf.DUMMYFUNCTION("""COMPUTED_VALUE"""),45487.0)</f>
        <v>45487</v>
      </c>
      <c r="C14909" s="13">
        <f>IFERROR(__xludf.DUMMYFUNCTION("""COMPUTED_VALUE"""),0.20833333333333334)</f>
        <v>0.2083333333</v>
      </c>
      <c r="D14909" s="8">
        <f>IFERROR(__xludf.DUMMYFUNCTION("""COMPUTED_VALUE"""),0.374)</f>
        <v>0.374</v>
      </c>
      <c r="E14909" s="8" t="str">
        <f>IFERROR(__xludf.DUMMYFUNCTION("""COMPUTED_VALUE"""),"Real")</f>
        <v>Real</v>
      </c>
      <c r="G14909" s="8">
        <f t="shared" si="1"/>
        <v>7</v>
      </c>
      <c r="H14909" s="14">
        <f t="shared" si="2"/>
        <v>14</v>
      </c>
      <c r="I14909" s="15">
        <f t="shared" si="3"/>
        <v>5</v>
      </c>
    </row>
    <row r="14910">
      <c r="A14910" s="8" t="str">
        <f>IFERROR(__xludf.DUMMYFUNCTION("IF('(INGESTA)Datos_consumo_datadis'!A14910&lt;&gt;"""",SPLIT('(INGESTA)Datos_consumo_datadis'!A:A,"",""),"""")"),"ES0031408323131005HX0F")</f>
        <v>ES0031408323131005HX0F</v>
      </c>
      <c r="B14910" s="12">
        <f>IFERROR(__xludf.DUMMYFUNCTION("""COMPUTED_VALUE"""),45487.0)</f>
        <v>45487</v>
      </c>
      <c r="C14910" s="13">
        <f>IFERROR(__xludf.DUMMYFUNCTION("""COMPUTED_VALUE"""),0.25)</f>
        <v>0.25</v>
      </c>
      <c r="D14910" s="8">
        <f>IFERROR(__xludf.DUMMYFUNCTION("""COMPUTED_VALUE"""),0.011)</f>
        <v>0.011</v>
      </c>
      <c r="E14910" s="8" t="str">
        <f>IFERROR(__xludf.DUMMYFUNCTION("""COMPUTED_VALUE"""),"Real")</f>
        <v>Real</v>
      </c>
      <c r="G14910" s="8">
        <f t="shared" si="1"/>
        <v>7</v>
      </c>
      <c r="H14910" s="14">
        <f t="shared" si="2"/>
        <v>14</v>
      </c>
      <c r="I14910" s="15">
        <f t="shared" si="3"/>
        <v>6</v>
      </c>
    </row>
    <row r="14911">
      <c r="A14911" s="8" t="str">
        <f>IFERROR(__xludf.DUMMYFUNCTION("IF('(INGESTA)Datos_consumo_datadis'!A14911&lt;&gt;"""",SPLIT('(INGESTA)Datos_consumo_datadis'!A:A,"",""),"""")"),"ES0031408323131005HX0F")</f>
        <v>ES0031408323131005HX0F</v>
      </c>
      <c r="B14911" s="12">
        <f>IFERROR(__xludf.DUMMYFUNCTION("""COMPUTED_VALUE"""),45487.0)</f>
        <v>45487</v>
      </c>
      <c r="C14911" s="13">
        <f>IFERROR(__xludf.DUMMYFUNCTION("""COMPUTED_VALUE"""),0.2916666666666667)</f>
        <v>0.2916666667</v>
      </c>
      <c r="D14911" s="8">
        <f>IFERROR(__xludf.DUMMYFUNCTION("""COMPUTED_VALUE"""),0.084)</f>
        <v>0.084</v>
      </c>
      <c r="E14911" s="8" t="str">
        <f>IFERROR(__xludf.DUMMYFUNCTION("""COMPUTED_VALUE"""),"Real")</f>
        <v>Real</v>
      </c>
      <c r="G14911" s="8">
        <f t="shared" si="1"/>
        <v>7</v>
      </c>
      <c r="H14911" s="14">
        <f t="shared" si="2"/>
        <v>14</v>
      </c>
      <c r="I14911" s="15">
        <f t="shared" si="3"/>
        <v>7</v>
      </c>
    </row>
    <row r="14912">
      <c r="A14912" s="8" t="str">
        <f>IFERROR(__xludf.DUMMYFUNCTION("IF('(INGESTA)Datos_consumo_datadis'!A14912&lt;&gt;"""",SPLIT('(INGESTA)Datos_consumo_datadis'!A:A,"",""),"""")"),"ES0031408323131005HX0F")</f>
        <v>ES0031408323131005HX0F</v>
      </c>
      <c r="B14912" s="12">
        <f>IFERROR(__xludf.DUMMYFUNCTION("""COMPUTED_VALUE"""),45487.0)</f>
        <v>45487</v>
      </c>
      <c r="C14912" s="13">
        <f>IFERROR(__xludf.DUMMYFUNCTION("""COMPUTED_VALUE"""),0.3333333333333333)</f>
        <v>0.3333333333</v>
      </c>
      <c r="D14912" s="8">
        <f>IFERROR(__xludf.DUMMYFUNCTION("""COMPUTED_VALUE"""),0.085)</f>
        <v>0.085</v>
      </c>
      <c r="E14912" s="8" t="str">
        <f>IFERROR(__xludf.DUMMYFUNCTION("""COMPUTED_VALUE"""),"Real")</f>
        <v>Real</v>
      </c>
      <c r="G14912" s="8">
        <f t="shared" si="1"/>
        <v>7</v>
      </c>
      <c r="H14912" s="14">
        <f t="shared" si="2"/>
        <v>14</v>
      </c>
      <c r="I14912" s="15">
        <f t="shared" si="3"/>
        <v>8</v>
      </c>
    </row>
    <row r="14913">
      <c r="A14913" s="8" t="str">
        <f>IFERROR(__xludf.DUMMYFUNCTION("IF('(INGESTA)Datos_consumo_datadis'!A14913&lt;&gt;"""",SPLIT('(INGESTA)Datos_consumo_datadis'!A:A,"",""),"""")"),"ES0031408323131005HX0F")</f>
        <v>ES0031408323131005HX0F</v>
      </c>
      <c r="B14913" s="12">
        <f>IFERROR(__xludf.DUMMYFUNCTION("""COMPUTED_VALUE"""),45487.0)</f>
        <v>45487</v>
      </c>
      <c r="C14913" s="13">
        <f>IFERROR(__xludf.DUMMYFUNCTION("""COMPUTED_VALUE"""),0.375)</f>
        <v>0.375</v>
      </c>
      <c r="D14913" s="8">
        <f>IFERROR(__xludf.DUMMYFUNCTION("""COMPUTED_VALUE"""),0.081)</f>
        <v>0.081</v>
      </c>
      <c r="E14913" s="8" t="str">
        <f>IFERROR(__xludf.DUMMYFUNCTION("""COMPUTED_VALUE"""),"Real")</f>
        <v>Real</v>
      </c>
      <c r="G14913" s="8">
        <f t="shared" si="1"/>
        <v>7</v>
      </c>
      <c r="H14913" s="14">
        <f t="shared" si="2"/>
        <v>14</v>
      </c>
      <c r="I14913" s="15">
        <f t="shared" si="3"/>
        <v>9</v>
      </c>
    </row>
    <row r="14914">
      <c r="A14914" s="8" t="str">
        <f>IFERROR(__xludf.DUMMYFUNCTION("IF('(INGESTA)Datos_consumo_datadis'!A14914&lt;&gt;"""",SPLIT('(INGESTA)Datos_consumo_datadis'!A:A,"",""),"""")"),"ES0031408323131005HX0F")</f>
        <v>ES0031408323131005HX0F</v>
      </c>
      <c r="B14914" s="12">
        <f>IFERROR(__xludf.DUMMYFUNCTION("""COMPUTED_VALUE"""),45487.0)</f>
        <v>45487</v>
      </c>
      <c r="C14914" s="13">
        <f>IFERROR(__xludf.DUMMYFUNCTION("""COMPUTED_VALUE"""),0.4166666666666667)</f>
        <v>0.4166666667</v>
      </c>
      <c r="D14914" s="8">
        <f>IFERROR(__xludf.DUMMYFUNCTION("""COMPUTED_VALUE"""),0.019)</f>
        <v>0.019</v>
      </c>
      <c r="E14914" s="8" t="str">
        <f>IFERROR(__xludf.DUMMYFUNCTION("""COMPUTED_VALUE"""),"Real")</f>
        <v>Real</v>
      </c>
      <c r="G14914" s="8">
        <f t="shared" si="1"/>
        <v>7</v>
      </c>
      <c r="H14914" s="14">
        <f t="shared" si="2"/>
        <v>14</v>
      </c>
      <c r="I14914" s="15">
        <f t="shared" si="3"/>
        <v>10</v>
      </c>
    </row>
    <row r="14915">
      <c r="A14915" s="8" t="str">
        <f>IFERROR(__xludf.DUMMYFUNCTION("IF('(INGESTA)Datos_consumo_datadis'!A14915&lt;&gt;"""",SPLIT('(INGESTA)Datos_consumo_datadis'!A:A,"",""),"""")"),"ES0031408323131005HX0F")</f>
        <v>ES0031408323131005HX0F</v>
      </c>
      <c r="B14915" s="12">
        <f>IFERROR(__xludf.DUMMYFUNCTION("""COMPUTED_VALUE"""),45487.0)</f>
        <v>45487</v>
      </c>
      <c r="C14915" s="13">
        <f>IFERROR(__xludf.DUMMYFUNCTION("""COMPUTED_VALUE"""),0.4583333333333333)</f>
        <v>0.4583333333</v>
      </c>
      <c r="D14915" s="8">
        <f>IFERROR(__xludf.DUMMYFUNCTION("""COMPUTED_VALUE"""),0.064)</f>
        <v>0.064</v>
      </c>
      <c r="E14915" s="8" t="str">
        <f>IFERROR(__xludf.DUMMYFUNCTION("""COMPUTED_VALUE"""),"Real")</f>
        <v>Real</v>
      </c>
      <c r="G14915" s="8">
        <f t="shared" si="1"/>
        <v>7</v>
      </c>
      <c r="H14915" s="14">
        <f t="shared" si="2"/>
        <v>14</v>
      </c>
      <c r="I14915" s="15">
        <f t="shared" si="3"/>
        <v>11</v>
      </c>
    </row>
    <row r="14916">
      <c r="A14916" s="8" t="str">
        <f>IFERROR(__xludf.DUMMYFUNCTION("IF('(INGESTA)Datos_consumo_datadis'!A14916&lt;&gt;"""",SPLIT('(INGESTA)Datos_consumo_datadis'!A:A,"",""),"""")"),"ES0031408323131005HX0F")</f>
        <v>ES0031408323131005HX0F</v>
      </c>
      <c r="B14916" s="12">
        <f>IFERROR(__xludf.DUMMYFUNCTION("""COMPUTED_VALUE"""),45487.0)</f>
        <v>45487</v>
      </c>
      <c r="C14916" s="13">
        <f>IFERROR(__xludf.DUMMYFUNCTION("""COMPUTED_VALUE"""),0.5)</f>
        <v>0.5</v>
      </c>
      <c r="D14916" s="8">
        <f>IFERROR(__xludf.DUMMYFUNCTION("""COMPUTED_VALUE"""),0.1)</f>
        <v>0.1</v>
      </c>
      <c r="E14916" s="8" t="str">
        <f>IFERROR(__xludf.DUMMYFUNCTION("""COMPUTED_VALUE"""),"Real")</f>
        <v>Real</v>
      </c>
      <c r="G14916" s="8">
        <f t="shared" si="1"/>
        <v>7</v>
      </c>
      <c r="H14916" s="14">
        <f t="shared" si="2"/>
        <v>14</v>
      </c>
      <c r="I14916" s="15">
        <f t="shared" si="3"/>
        <v>12</v>
      </c>
    </row>
    <row r="14917">
      <c r="A14917" s="8" t="str">
        <f>IFERROR(__xludf.DUMMYFUNCTION("IF('(INGESTA)Datos_consumo_datadis'!A14917&lt;&gt;"""",SPLIT('(INGESTA)Datos_consumo_datadis'!A:A,"",""),"""")"),"ES0031408323131005HX0F")</f>
        <v>ES0031408323131005HX0F</v>
      </c>
      <c r="B14917" s="12">
        <f>IFERROR(__xludf.DUMMYFUNCTION("""COMPUTED_VALUE"""),45487.0)</f>
        <v>45487</v>
      </c>
      <c r="C14917" s="13">
        <f>IFERROR(__xludf.DUMMYFUNCTION("""COMPUTED_VALUE"""),0.5416666666666666)</f>
        <v>0.5416666667</v>
      </c>
      <c r="D14917" s="8">
        <f>IFERROR(__xludf.DUMMYFUNCTION("""COMPUTED_VALUE"""),0.079)</f>
        <v>0.079</v>
      </c>
      <c r="E14917" s="8" t="str">
        <f>IFERROR(__xludf.DUMMYFUNCTION("""COMPUTED_VALUE"""),"Real")</f>
        <v>Real</v>
      </c>
      <c r="G14917" s="8">
        <f t="shared" si="1"/>
        <v>7</v>
      </c>
      <c r="H14917" s="14">
        <f t="shared" si="2"/>
        <v>14</v>
      </c>
      <c r="I14917" s="15">
        <f t="shared" si="3"/>
        <v>13</v>
      </c>
    </row>
    <row r="14918">
      <c r="A14918" s="8" t="str">
        <f>IFERROR(__xludf.DUMMYFUNCTION("IF('(INGESTA)Datos_consumo_datadis'!A14918&lt;&gt;"""",SPLIT('(INGESTA)Datos_consumo_datadis'!A:A,"",""),"""")"),"ES0031408323131005HX0F")</f>
        <v>ES0031408323131005HX0F</v>
      </c>
      <c r="B14918" s="12">
        <f>IFERROR(__xludf.DUMMYFUNCTION("""COMPUTED_VALUE"""),45487.0)</f>
        <v>45487</v>
      </c>
      <c r="C14918" s="13">
        <f>IFERROR(__xludf.DUMMYFUNCTION("""COMPUTED_VALUE"""),0.5833333333333334)</f>
        <v>0.5833333333</v>
      </c>
      <c r="D14918" s="8">
        <f>IFERROR(__xludf.DUMMYFUNCTION("""COMPUTED_VALUE"""),0.358)</f>
        <v>0.358</v>
      </c>
      <c r="E14918" s="8" t="str">
        <f>IFERROR(__xludf.DUMMYFUNCTION("""COMPUTED_VALUE"""),"Real")</f>
        <v>Real</v>
      </c>
      <c r="G14918" s="8">
        <f t="shared" si="1"/>
        <v>7</v>
      </c>
      <c r="H14918" s="14">
        <f t="shared" si="2"/>
        <v>14</v>
      </c>
      <c r="I14918" s="15">
        <f t="shared" si="3"/>
        <v>14</v>
      </c>
    </row>
    <row r="14919">
      <c r="A14919" s="8" t="str">
        <f>IFERROR(__xludf.DUMMYFUNCTION("IF('(INGESTA)Datos_consumo_datadis'!A14919&lt;&gt;"""",SPLIT('(INGESTA)Datos_consumo_datadis'!A:A,"",""),"""")"),"ES0031408323131005HX0F")</f>
        <v>ES0031408323131005HX0F</v>
      </c>
      <c r="B14919" s="12">
        <f>IFERROR(__xludf.DUMMYFUNCTION("""COMPUTED_VALUE"""),45487.0)</f>
        <v>45487</v>
      </c>
      <c r="C14919" s="13">
        <f>IFERROR(__xludf.DUMMYFUNCTION("""COMPUTED_VALUE"""),0.625)</f>
        <v>0.625</v>
      </c>
      <c r="D14919" s="8">
        <f>IFERROR(__xludf.DUMMYFUNCTION("""COMPUTED_VALUE"""),0.058)</f>
        <v>0.058</v>
      </c>
      <c r="E14919" s="8" t="str">
        <f>IFERROR(__xludf.DUMMYFUNCTION("""COMPUTED_VALUE"""),"Real")</f>
        <v>Real</v>
      </c>
      <c r="G14919" s="8">
        <f t="shared" si="1"/>
        <v>7</v>
      </c>
      <c r="H14919" s="14">
        <f t="shared" si="2"/>
        <v>14</v>
      </c>
      <c r="I14919" s="15">
        <f t="shared" si="3"/>
        <v>15</v>
      </c>
    </row>
    <row r="14920">
      <c r="A14920" s="8" t="str">
        <f>IFERROR(__xludf.DUMMYFUNCTION("IF('(INGESTA)Datos_consumo_datadis'!A14920&lt;&gt;"""",SPLIT('(INGESTA)Datos_consumo_datadis'!A:A,"",""),"""")"),"ES0031408323131005HX0F")</f>
        <v>ES0031408323131005HX0F</v>
      </c>
      <c r="B14920" s="12">
        <f>IFERROR(__xludf.DUMMYFUNCTION("""COMPUTED_VALUE"""),45487.0)</f>
        <v>45487</v>
      </c>
      <c r="C14920" s="13">
        <f>IFERROR(__xludf.DUMMYFUNCTION("""COMPUTED_VALUE"""),0.6666666666666666)</f>
        <v>0.6666666667</v>
      </c>
      <c r="D14920" s="8">
        <f>IFERROR(__xludf.DUMMYFUNCTION("""COMPUTED_VALUE"""),0.214)</f>
        <v>0.214</v>
      </c>
      <c r="E14920" s="8" t="str">
        <f>IFERROR(__xludf.DUMMYFUNCTION("""COMPUTED_VALUE"""),"Real")</f>
        <v>Real</v>
      </c>
      <c r="G14920" s="8">
        <f t="shared" si="1"/>
        <v>7</v>
      </c>
      <c r="H14920" s="14">
        <f t="shared" si="2"/>
        <v>14</v>
      </c>
      <c r="I14920" s="15">
        <f t="shared" si="3"/>
        <v>16</v>
      </c>
    </row>
    <row r="14921">
      <c r="A14921" s="8" t="str">
        <f>IFERROR(__xludf.DUMMYFUNCTION("IF('(INGESTA)Datos_consumo_datadis'!A14921&lt;&gt;"""",SPLIT('(INGESTA)Datos_consumo_datadis'!A:A,"",""),"""")"),"ES0031408323131005HX0F")</f>
        <v>ES0031408323131005HX0F</v>
      </c>
      <c r="B14921" s="12">
        <f>IFERROR(__xludf.DUMMYFUNCTION("""COMPUTED_VALUE"""),45487.0)</f>
        <v>45487</v>
      </c>
      <c r="C14921" s="13">
        <f>IFERROR(__xludf.DUMMYFUNCTION("""COMPUTED_VALUE"""),0.7083333333333334)</f>
        <v>0.7083333333</v>
      </c>
      <c r="D14921" s="8">
        <f>IFERROR(__xludf.DUMMYFUNCTION("""COMPUTED_VALUE"""),0.354)</f>
        <v>0.354</v>
      </c>
      <c r="E14921" s="8" t="str">
        <f>IFERROR(__xludf.DUMMYFUNCTION("""COMPUTED_VALUE"""),"Real")</f>
        <v>Real</v>
      </c>
      <c r="G14921" s="8">
        <f t="shared" si="1"/>
        <v>7</v>
      </c>
      <c r="H14921" s="14">
        <f t="shared" si="2"/>
        <v>14</v>
      </c>
      <c r="I14921" s="15">
        <f t="shared" si="3"/>
        <v>17</v>
      </c>
    </row>
    <row r="14922">
      <c r="A14922" s="8" t="str">
        <f>IFERROR(__xludf.DUMMYFUNCTION("IF('(INGESTA)Datos_consumo_datadis'!A14922&lt;&gt;"""",SPLIT('(INGESTA)Datos_consumo_datadis'!A:A,"",""),"""")"),"ES0031408323131005HX0F")</f>
        <v>ES0031408323131005HX0F</v>
      </c>
      <c r="B14922" s="12">
        <f>IFERROR(__xludf.DUMMYFUNCTION("""COMPUTED_VALUE"""),45487.0)</f>
        <v>45487</v>
      </c>
      <c r="C14922" s="13">
        <f>IFERROR(__xludf.DUMMYFUNCTION("""COMPUTED_VALUE"""),0.75)</f>
        <v>0.75</v>
      </c>
      <c r="D14922" s="8">
        <f>IFERROR(__xludf.DUMMYFUNCTION("""COMPUTED_VALUE"""),0.214)</f>
        <v>0.214</v>
      </c>
      <c r="E14922" s="8" t="str">
        <f>IFERROR(__xludf.DUMMYFUNCTION("""COMPUTED_VALUE"""),"Real")</f>
        <v>Real</v>
      </c>
      <c r="G14922" s="8">
        <f t="shared" si="1"/>
        <v>7</v>
      </c>
      <c r="H14922" s="14">
        <f t="shared" si="2"/>
        <v>14</v>
      </c>
      <c r="I14922" s="15">
        <f t="shared" si="3"/>
        <v>18</v>
      </c>
    </row>
    <row r="14923">
      <c r="A14923" s="8" t="str">
        <f>IFERROR(__xludf.DUMMYFUNCTION("IF('(INGESTA)Datos_consumo_datadis'!A14923&lt;&gt;"""",SPLIT('(INGESTA)Datos_consumo_datadis'!A:A,"",""),"""")"),"ES0031408323131005HX0F")</f>
        <v>ES0031408323131005HX0F</v>
      </c>
      <c r="B14923" s="12">
        <f>IFERROR(__xludf.DUMMYFUNCTION("""COMPUTED_VALUE"""),45487.0)</f>
        <v>45487</v>
      </c>
      <c r="C14923" s="13">
        <f>IFERROR(__xludf.DUMMYFUNCTION("""COMPUTED_VALUE"""),0.7916666666666666)</f>
        <v>0.7916666667</v>
      </c>
      <c r="D14923" s="8">
        <f>IFERROR(__xludf.DUMMYFUNCTION("""COMPUTED_VALUE"""),0.665)</f>
        <v>0.665</v>
      </c>
      <c r="E14923" s="8" t="str">
        <f>IFERROR(__xludf.DUMMYFUNCTION("""COMPUTED_VALUE"""),"Real")</f>
        <v>Real</v>
      </c>
      <c r="G14923" s="8">
        <f t="shared" si="1"/>
        <v>7</v>
      </c>
      <c r="H14923" s="14">
        <f t="shared" si="2"/>
        <v>14</v>
      </c>
      <c r="I14923" s="15">
        <f t="shared" si="3"/>
        <v>19</v>
      </c>
    </row>
    <row r="14924">
      <c r="A14924" s="8" t="str">
        <f>IFERROR(__xludf.DUMMYFUNCTION("IF('(INGESTA)Datos_consumo_datadis'!A14924&lt;&gt;"""",SPLIT('(INGESTA)Datos_consumo_datadis'!A:A,"",""),"""")"),"ES0031408323131005HX0F")</f>
        <v>ES0031408323131005HX0F</v>
      </c>
      <c r="B14924" s="12">
        <f>IFERROR(__xludf.DUMMYFUNCTION("""COMPUTED_VALUE"""),45487.0)</f>
        <v>45487</v>
      </c>
      <c r="C14924" s="13">
        <f>IFERROR(__xludf.DUMMYFUNCTION("""COMPUTED_VALUE"""),0.8333333333333334)</f>
        <v>0.8333333333</v>
      </c>
      <c r="D14924" s="8">
        <f>IFERROR(__xludf.DUMMYFUNCTION("""COMPUTED_VALUE"""),1.885)</f>
        <v>1.885</v>
      </c>
      <c r="E14924" s="8" t="str">
        <f>IFERROR(__xludf.DUMMYFUNCTION("""COMPUTED_VALUE"""),"Real")</f>
        <v>Real</v>
      </c>
      <c r="G14924" s="8">
        <f t="shared" si="1"/>
        <v>7</v>
      </c>
      <c r="H14924" s="14">
        <f t="shared" si="2"/>
        <v>14</v>
      </c>
      <c r="I14924" s="15">
        <f t="shared" si="3"/>
        <v>20</v>
      </c>
    </row>
    <row r="14925">
      <c r="A14925" s="8" t="str">
        <f>IFERROR(__xludf.DUMMYFUNCTION("IF('(INGESTA)Datos_consumo_datadis'!A14925&lt;&gt;"""",SPLIT('(INGESTA)Datos_consumo_datadis'!A:A,"",""),"""")"),"ES0031408323131005HX0F")</f>
        <v>ES0031408323131005HX0F</v>
      </c>
      <c r="B14925" s="12">
        <f>IFERROR(__xludf.DUMMYFUNCTION("""COMPUTED_VALUE"""),45487.0)</f>
        <v>45487</v>
      </c>
      <c r="C14925" s="13">
        <f>IFERROR(__xludf.DUMMYFUNCTION("""COMPUTED_VALUE"""),0.875)</f>
        <v>0.875</v>
      </c>
      <c r="D14925" s="8">
        <f>IFERROR(__xludf.DUMMYFUNCTION("""COMPUTED_VALUE"""),0.53)</f>
        <v>0.53</v>
      </c>
      <c r="E14925" s="8" t="str">
        <f>IFERROR(__xludf.DUMMYFUNCTION("""COMPUTED_VALUE"""),"Real")</f>
        <v>Real</v>
      </c>
      <c r="G14925" s="8">
        <f t="shared" si="1"/>
        <v>7</v>
      </c>
      <c r="H14925" s="14">
        <f t="shared" si="2"/>
        <v>14</v>
      </c>
      <c r="I14925" s="15">
        <f t="shared" si="3"/>
        <v>21</v>
      </c>
    </row>
    <row r="14926">
      <c r="A14926" s="8" t="str">
        <f>IFERROR(__xludf.DUMMYFUNCTION("IF('(INGESTA)Datos_consumo_datadis'!A14926&lt;&gt;"""",SPLIT('(INGESTA)Datos_consumo_datadis'!A:A,"",""),"""")"),"ES0031408323131005HX0F")</f>
        <v>ES0031408323131005HX0F</v>
      </c>
      <c r="B14926" s="12">
        <f>IFERROR(__xludf.DUMMYFUNCTION("""COMPUTED_VALUE"""),45487.0)</f>
        <v>45487</v>
      </c>
      <c r="C14926" s="13">
        <f>IFERROR(__xludf.DUMMYFUNCTION("""COMPUTED_VALUE"""),0.9166666666666666)</f>
        <v>0.9166666667</v>
      </c>
      <c r="D14926" s="8">
        <f>IFERROR(__xludf.DUMMYFUNCTION("""COMPUTED_VALUE"""),0.53)</f>
        <v>0.53</v>
      </c>
      <c r="E14926" s="8" t="str">
        <f>IFERROR(__xludf.DUMMYFUNCTION("""COMPUTED_VALUE"""),"Real")</f>
        <v>Real</v>
      </c>
      <c r="G14926" s="8">
        <f t="shared" si="1"/>
        <v>7</v>
      </c>
      <c r="H14926" s="14">
        <f t="shared" si="2"/>
        <v>14</v>
      </c>
      <c r="I14926" s="15">
        <f t="shared" si="3"/>
        <v>22</v>
      </c>
    </row>
    <row r="14927">
      <c r="A14927" s="8" t="str">
        <f>IFERROR(__xludf.DUMMYFUNCTION("IF('(INGESTA)Datos_consumo_datadis'!A14927&lt;&gt;"""",SPLIT('(INGESTA)Datos_consumo_datadis'!A:A,"",""),"""")"),"ES0031408323131005HX0F")</f>
        <v>ES0031408323131005HX0F</v>
      </c>
      <c r="B14927" s="12">
        <f>IFERROR(__xludf.DUMMYFUNCTION("""COMPUTED_VALUE"""),45487.0)</f>
        <v>45487</v>
      </c>
      <c r="C14927" s="13">
        <f>IFERROR(__xludf.DUMMYFUNCTION("""COMPUTED_VALUE"""),0.9583333333333334)</f>
        <v>0.9583333333</v>
      </c>
      <c r="D14927" s="8">
        <f>IFERROR(__xludf.DUMMYFUNCTION("""COMPUTED_VALUE"""),0.52)</f>
        <v>0.52</v>
      </c>
      <c r="E14927" s="8" t="str">
        <f>IFERROR(__xludf.DUMMYFUNCTION("""COMPUTED_VALUE"""),"Real")</f>
        <v>Real</v>
      </c>
      <c r="G14927" s="8">
        <f t="shared" si="1"/>
        <v>7</v>
      </c>
      <c r="H14927" s="14">
        <f t="shared" si="2"/>
        <v>14</v>
      </c>
      <c r="I14927" s="15">
        <f t="shared" si="3"/>
        <v>23</v>
      </c>
    </row>
    <row r="14928">
      <c r="A14928" s="8" t="str">
        <f>IFERROR(__xludf.DUMMYFUNCTION("IF('(INGESTA)Datos_consumo_datadis'!A14928&lt;&gt;"""",SPLIT('(INGESTA)Datos_consumo_datadis'!A:A,"",""),"""")"),"ES0031408323131005HX0F")</f>
        <v>ES0031408323131005HX0F</v>
      </c>
      <c r="B14928" s="12">
        <f>IFERROR(__xludf.DUMMYFUNCTION("""COMPUTED_VALUE"""),45487.0)</f>
        <v>45487</v>
      </c>
      <c r="C14928" s="16">
        <f>IFERROR(__xludf.DUMMYFUNCTION("""COMPUTED_VALUE"""),1.0)</f>
        <v>1</v>
      </c>
      <c r="D14928" s="8">
        <f>IFERROR(__xludf.DUMMYFUNCTION("""COMPUTED_VALUE"""),0.261)</f>
        <v>0.261</v>
      </c>
      <c r="E14928" s="8" t="str">
        <f>IFERROR(__xludf.DUMMYFUNCTION("""COMPUTED_VALUE"""),"Real")</f>
        <v>Real</v>
      </c>
      <c r="G14928" s="8">
        <f t="shared" si="1"/>
        <v>7</v>
      </c>
      <c r="H14928" s="14">
        <f t="shared" si="2"/>
        <v>14</v>
      </c>
      <c r="I14928" s="15">
        <f t="shared" si="3"/>
        <v>0</v>
      </c>
    </row>
    <row r="14929">
      <c r="A14929" s="8" t="str">
        <f>IFERROR(__xludf.DUMMYFUNCTION("IF('(INGESTA)Datos_consumo_datadis'!A14929&lt;&gt;"""",SPLIT('(INGESTA)Datos_consumo_datadis'!A:A,"",""),"""")"),"ES0031408323131005HX0F")</f>
        <v>ES0031408323131005HX0F</v>
      </c>
      <c r="B14929" s="12">
        <f>IFERROR(__xludf.DUMMYFUNCTION("""COMPUTED_VALUE"""),45488.0)</f>
        <v>45488</v>
      </c>
      <c r="C14929" s="13">
        <f>IFERROR(__xludf.DUMMYFUNCTION("""COMPUTED_VALUE"""),0.041666666666666664)</f>
        <v>0.04166666667</v>
      </c>
      <c r="D14929" s="8">
        <f>IFERROR(__xludf.DUMMYFUNCTION("""COMPUTED_VALUE"""),0.238)</f>
        <v>0.238</v>
      </c>
      <c r="E14929" s="8" t="str">
        <f>IFERROR(__xludf.DUMMYFUNCTION("""COMPUTED_VALUE"""),"Real")</f>
        <v>Real</v>
      </c>
      <c r="G14929" s="8">
        <f t="shared" si="1"/>
        <v>7</v>
      </c>
      <c r="H14929" s="14">
        <f t="shared" si="2"/>
        <v>15</v>
      </c>
      <c r="I14929" s="15">
        <f t="shared" si="3"/>
        <v>1</v>
      </c>
    </row>
    <row r="14930">
      <c r="A14930" s="8" t="str">
        <f>IFERROR(__xludf.DUMMYFUNCTION("IF('(INGESTA)Datos_consumo_datadis'!A14930&lt;&gt;"""",SPLIT('(INGESTA)Datos_consumo_datadis'!A:A,"",""),"""")"),"ES0031408323131005HX0F")</f>
        <v>ES0031408323131005HX0F</v>
      </c>
      <c r="B14930" s="12">
        <f>IFERROR(__xludf.DUMMYFUNCTION("""COMPUTED_VALUE"""),45488.0)</f>
        <v>45488</v>
      </c>
      <c r="C14930" s="13">
        <f>IFERROR(__xludf.DUMMYFUNCTION("""COMPUTED_VALUE"""),0.08333333333333333)</f>
        <v>0.08333333333</v>
      </c>
      <c r="D14930" s="8">
        <f>IFERROR(__xludf.DUMMYFUNCTION("""COMPUTED_VALUE"""),0.531)</f>
        <v>0.531</v>
      </c>
      <c r="E14930" s="8" t="str">
        <f>IFERROR(__xludf.DUMMYFUNCTION("""COMPUTED_VALUE"""),"Real")</f>
        <v>Real</v>
      </c>
      <c r="G14930" s="8">
        <f t="shared" si="1"/>
        <v>7</v>
      </c>
      <c r="H14930" s="14">
        <f t="shared" si="2"/>
        <v>15</v>
      </c>
      <c r="I14930" s="15">
        <f t="shared" si="3"/>
        <v>2</v>
      </c>
    </row>
    <row r="14931">
      <c r="A14931" s="8" t="str">
        <f>IFERROR(__xludf.DUMMYFUNCTION("IF('(INGESTA)Datos_consumo_datadis'!A14931&lt;&gt;"""",SPLIT('(INGESTA)Datos_consumo_datadis'!A:A,"",""),"""")"),"ES0031408323131005HX0F")</f>
        <v>ES0031408323131005HX0F</v>
      </c>
      <c r="B14931" s="12">
        <f>IFERROR(__xludf.DUMMYFUNCTION("""COMPUTED_VALUE"""),45488.0)</f>
        <v>45488</v>
      </c>
      <c r="C14931" s="13">
        <f>IFERROR(__xludf.DUMMYFUNCTION("""COMPUTED_VALUE"""),0.125)</f>
        <v>0.125</v>
      </c>
      <c r="D14931" s="8">
        <f>IFERROR(__xludf.DUMMYFUNCTION("""COMPUTED_VALUE"""),0.249)</f>
        <v>0.249</v>
      </c>
      <c r="E14931" s="8" t="str">
        <f>IFERROR(__xludf.DUMMYFUNCTION("""COMPUTED_VALUE"""),"Real")</f>
        <v>Real</v>
      </c>
      <c r="G14931" s="8">
        <f t="shared" si="1"/>
        <v>7</v>
      </c>
      <c r="H14931" s="14">
        <f t="shared" si="2"/>
        <v>15</v>
      </c>
      <c r="I14931" s="15">
        <f t="shared" si="3"/>
        <v>3</v>
      </c>
    </row>
    <row r="14932">
      <c r="A14932" s="8" t="str">
        <f>IFERROR(__xludf.DUMMYFUNCTION("IF('(INGESTA)Datos_consumo_datadis'!A14932&lt;&gt;"""",SPLIT('(INGESTA)Datos_consumo_datadis'!A:A,"",""),"""")"),"ES0031408323131005HX0F")</f>
        <v>ES0031408323131005HX0F</v>
      </c>
      <c r="B14932" s="12">
        <f>IFERROR(__xludf.DUMMYFUNCTION("""COMPUTED_VALUE"""),45488.0)</f>
        <v>45488</v>
      </c>
      <c r="C14932" s="13">
        <f>IFERROR(__xludf.DUMMYFUNCTION("""COMPUTED_VALUE"""),0.16666666666666666)</f>
        <v>0.1666666667</v>
      </c>
      <c r="D14932" s="8">
        <f>IFERROR(__xludf.DUMMYFUNCTION("""COMPUTED_VALUE"""),0.237)</f>
        <v>0.237</v>
      </c>
      <c r="E14932" s="8" t="str">
        <f>IFERROR(__xludf.DUMMYFUNCTION("""COMPUTED_VALUE"""),"Real")</f>
        <v>Real</v>
      </c>
      <c r="G14932" s="8">
        <f t="shared" si="1"/>
        <v>7</v>
      </c>
      <c r="H14932" s="14">
        <f t="shared" si="2"/>
        <v>15</v>
      </c>
      <c r="I14932" s="15">
        <f t="shared" si="3"/>
        <v>4</v>
      </c>
    </row>
    <row r="14933">
      <c r="A14933" s="8" t="str">
        <f>IFERROR(__xludf.DUMMYFUNCTION("IF('(INGESTA)Datos_consumo_datadis'!A14933&lt;&gt;"""",SPLIT('(INGESTA)Datos_consumo_datadis'!A:A,"",""),"""")"),"ES0031408323131005HX0F")</f>
        <v>ES0031408323131005HX0F</v>
      </c>
      <c r="B14933" s="12">
        <f>IFERROR(__xludf.DUMMYFUNCTION("""COMPUTED_VALUE"""),45488.0)</f>
        <v>45488</v>
      </c>
      <c r="C14933" s="13">
        <f>IFERROR(__xludf.DUMMYFUNCTION("""COMPUTED_VALUE"""),0.20833333333333334)</f>
        <v>0.2083333333</v>
      </c>
      <c r="D14933" s="8">
        <f>IFERROR(__xludf.DUMMYFUNCTION("""COMPUTED_VALUE"""),0.232)</f>
        <v>0.232</v>
      </c>
      <c r="E14933" s="8" t="str">
        <f>IFERROR(__xludf.DUMMYFUNCTION("""COMPUTED_VALUE"""),"Real")</f>
        <v>Real</v>
      </c>
      <c r="G14933" s="8">
        <f t="shared" si="1"/>
        <v>7</v>
      </c>
      <c r="H14933" s="14">
        <f t="shared" si="2"/>
        <v>15</v>
      </c>
      <c r="I14933" s="15">
        <f t="shared" si="3"/>
        <v>5</v>
      </c>
    </row>
    <row r="14934">
      <c r="A14934" s="8" t="str">
        <f>IFERROR(__xludf.DUMMYFUNCTION("IF('(INGESTA)Datos_consumo_datadis'!A14934&lt;&gt;"""",SPLIT('(INGESTA)Datos_consumo_datadis'!A:A,"",""),"""")"),"ES0031408323131005HX0F")</f>
        <v>ES0031408323131005HX0F</v>
      </c>
      <c r="B14934" s="12">
        <f>IFERROR(__xludf.DUMMYFUNCTION("""COMPUTED_VALUE"""),45488.0)</f>
        <v>45488</v>
      </c>
      <c r="C14934" s="13">
        <f>IFERROR(__xludf.DUMMYFUNCTION("""COMPUTED_VALUE"""),0.25)</f>
        <v>0.25</v>
      </c>
      <c r="D14934" s="8">
        <f>IFERROR(__xludf.DUMMYFUNCTION("""COMPUTED_VALUE"""),0.229)</f>
        <v>0.229</v>
      </c>
      <c r="E14934" s="8" t="str">
        <f>IFERROR(__xludf.DUMMYFUNCTION("""COMPUTED_VALUE"""),"Real")</f>
        <v>Real</v>
      </c>
      <c r="G14934" s="8">
        <f t="shared" si="1"/>
        <v>7</v>
      </c>
      <c r="H14934" s="14">
        <f t="shared" si="2"/>
        <v>15</v>
      </c>
      <c r="I14934" s="15">
        <f t="shared" si="3"/>
        <v>6</v>
      </c>
    </row>
    <row r="14935">
      <c r="A14935" s="8" t="str">
        <f>IFERROR(__xludf.DUMMYFUNCTION("IF('(INGESTA)Datos_consumo_datadis'!A14935&lt;&gt;"""",SPLIT('(INGESTA)Datos_consumo_datadis'!A:A,"",""),"""")"),"ES0031408323131005HX0F")</f>
        <v>ES0031408323131005HX0F</v>
      </c>
      <c r="B14935" s="12">
        <f>IFERROR(__xludf.DUMMYFUNCTION("""COMPUTED_VALUE"""),45488.0)</f>
        <v>45488</v>
      </c>
      <c r="C14935" s="13">
        <f>IFERROR(__xludf.DUMMYFUNCTION("""COMPUTED_VALUE"""),0.2916666666666667)</f>
        <v>0.2916666667</v>
      </c>
      <c r="D14935" s="8">
        <f>IFERROR(__xludf.DUMMYFUNCTION("""COMPUTED_VALUE"""),0.228)</f>
        <v>0.228</v>
      </c>
      <c r="E14935" s="8" t="str">
        <f>IFERROR(__xludf.DUMMYFUNCTION("""COMPUTED_VALUE"""),"Real")</f>
        <v>Real</v>
      </c>
      <c r="G14935" s="8">
        <f t="shared" si="1"/>
        <v>7</v>
      </c>
      <c r="H14935" s="14">
        <f t="shared" si="2"/>
        <v>15</v>
      </c>
      <c r="I14935" s="15">
        <f t="shared" si="3"/>
        <v>7</v>
      </c>
    </row>
    <row r="14936">
      <c r="A14936" s="8" t="str">
        <f>IFERROR(__xludf.DUMMYFUNCTION("IF('(INGESTA)Datos_consumo_datadis'!A14936&lt;&gt;"""",SPLIT('(INGESTA)Datos_consumo_datadis'!A:A,"",""),"""")"),"ES0031408323131005HX0F")</f>
        <v>ES0031408323131005HX0F</v>
      </c>
      <c r="B14936" s="12">
        <f>IFERROR(__xludf.DUMMYFUNCTION("""COMPUTED_VALUE"""),45488.0)</f>
        <v>45488</v>
      </c>
      <c r="C14936" s="13">
        <f>IFERROR(__xludf.DUMMYFUNCTION("""COMPUTED_VALUE"""),0.3333333333333333)</f>
        <v>0.3333333333</v>
      </c>
      <c r="D14936" s="8">
        <f>IFERROR(__xludf.DUMMYFUNCTION("""COMPUTED_VALUE"""),0.226)</f>
        <v>0.226</v>
      </c>
      <c r="E14936" s="8" t="str">
        <f>IFERROR(__xludf.DUMMYFUNCTION("""COMPUTED_VALUE"""),"Real")</f>
        <v>Real</v>
      </c>
      <c r="G14936" s="8">
        <f t="shared" si="1"/>
        <v>7</v>
      </c>
      <c r="H14936" s="14">
        <f t="shared" si="2"/>
        <v>15</v>
      </c>
      <c r="I14936" s="15">
        <f t="shared" si="3"/>
        <v>8</v>
      </c>
    </row>
    <row r="14937">
      <c r="A14937" s="8" t="str">
        <f>IFERROR(__xludf.DUMMYFUNCTION("IF('(INGESTA)Datos_consumo_datadis'!A14937&lt;&gt;"""",SPLIT('(INGESTA)Datos_consumo_datadis'!A:A,"",""),"""")"),"ES0031408323131005HX0F")</f>
        <v>ES0031408323131005HX0F</v>
      </c>
      <c r="B14937" s="12">
        <f>IFERROR(__xludf.DUMMYFUNCTION("""COMPUTED_VALUE"""),45488.0)</f>
        <v>45488</v>
      </c>
      <c r="C14937" s="13">
        <f>IFERROR(__xludf.DUMMYFUNCTION("""COMPUTED_VALUE"""),0.375)</f>
        <v>0.375</v>
      </c>
      <c r="D14937" s="8">
        <f>IFERROR(__xludf.DUMMYFUNCTION("""COMPUTED_VALUE"""),0.229)</f>
        <v>0.229</v>
      </c>
      <c r="E14937" s="8" t="str">
        <f>IFERROR(__xludf.DUMMYFUNCTION("""COMPUTED_VALUE"""),"Real")</f>
        <v>Real</v>
      </c>
      <c r="G14937" s="8">
        <f t="shared" si="1"/>
        <v>7</v>
      </c>
      <c r="H14937" s="14">
        <f t="shared" si="2"/>
        <v>15</v>
      </c>
      <c r="I14937" s="15">
        <f t="shared" si="3"/>
        <v>9</v>
      </c>
    </row>
    <row r="14938">
      <c r="A14938" s="8" t="str">
        <f>IFERROR(__xludf.DUMMYFUNCTION("IF('(INGESTA)Datos_consumo_datadis'!A14938&lt;&gt;"""",SPLIT('(INGESTA)Datos_consumo_datadis'!A:A,"",""),"""")"),"ES0031408323131005HX0F")</f>
        <v>ES0031408323131005HX0F</v>
      </c>
      <c r="B14938" s="12">
        <f>IFERROR(__xludf.DUMMYFUNCTION("""COMPUTED_VALUE"""),45488.0)</f>
        <v>45488</v>
      </c>
      <c r="C14938" s="13">
        <f>IFERROR(__xludf.DUMMYFUNCTION("""COMPUTED_VALUE"""),0.4166666666666667)</f>
        <v>0.4166666667</v>
      </c>
      <c r="D14938" s="8">
        <f>IFERROR(__xludf.DUMMYFUNCTION("""COMPUTED_VALUE"""),0.231)</f>
        <v>0.231</v>
      </c>
      <c r="E14938" s="8" t="str">
        <f>IFERROR(__xludf.DUMMYFUNCTION("""COMPUTED_VALUE"""),"Real")</f>
        <v>Real</v>
      </c>
      <c r="G14938" s="8">
        <f t="shared" si="1"/>
        <v>7</v>
      </c>
      <c r="H14938" s="14">
        <f t="shared" si="2"/>
        <v>15</v>
      </c>
      <c r="I14938" s="15">
        <f t="shared" si="3"/>
        <v>10</v>
      </c>
    </row>
    <row r="14939">
      <c r="A14939" s="8" t="str">
        <f>IFERROR(__xludf.DUMMYFUNCTION("IF('(INGESTA)Datos_consumo_datadis'!A14939&lt;&gt;"""",SPLIT('(INGESTA)Datos_consumo_datadis'!A:A,"",""),"""")"),"ES0031408323131005HX0F")</f>
        <v>ES0031408323131005HX0F</v>
      </c>
      <c r="B14939" s="12">
        <f>IFERROR(__xludf.DUMMYFUNCTION("""COMPUTED_VALUE"""),45488.0)</f>
        <v>45488</v>
      </c>
      <c r="C14939" s="13">
        <f>IFERROR(__xludf.DUMMYFUNCTION("""COMPUTED_VALUE"""),0.4583333333333333)</f>
        <v>0.4583333333</v>
      </c>
      <c r="D14939" s="8">
        <f>IFERROR(__xludf.DUMMYFUNCTION("""COMPUTED_VALUE"""),0.504)</f>
        <v>0.504</v>
      </c>
      <c r="E14939" s="8" t="str">
        <f>IFERROR(__xludf.DUMMYFUNCTION("""COMPUTED_VALUE"""),"Real")</f>
        <v>Real</v>
      </c>
      <c r="G14939" s="8">
        <f t="shared" si="1"/>
        <v>7</v>
      </c>
      <c r="H14939" s="14">
        <f t="shared" si="2"/>
        <v>15</v>
      </c>
      <c r="I14939" s="15">
        <f t="shared" si="3"/>
        <v>11</v>
      </c>
    </row>
    <row r="14940">
      <c r="A14940" s="8" t="str">
        <f>IFERROR(__xludf.DUMMYFUNCTION("IF('(INGESTA)Datos_consumo_datadis'!A14940&lt;&gt;"""",SPLIT('(INGESTA)Datos_consumo_datadis'!A:A,"",""),"""")"),"ES0031408323131005HX0F")</f>
        <v>ES0031408323131005HX0F</v>
      </c>
      <c r="B14940" s="12">
        <f>IFERROR(__xludf.DUMMYFUNCTION("""COMPUTED_VALUE"""),45488.0)</f>
        <v>45488</v>
      </c>
      <c r="C14940" s="13">
        <f>IFERROR(__xludf.DUMMYFUNCTION("""COMPUTED_VALUE"""),0.5)</f>
        <v>0.5</v>
      </c>
      <c r="D14940" s="8">
        <f>IFERROR(__xludf.DUMMYFUNCTION("""COMPUTED_VALUE"""),0.256)</f>
        <v>0.256</v>
      </c>
      <c r="E14940" s="8" t="str">
        <f>IFERROR(__xludf.DUMMYFUNCTION("""COMPUTED_VALUE"""),"Real")</f>
        <v>Real</v>
      </c>
      <c r="G14940" s="8">
        <f t="shared" si="1"/>
        <v>7</v>
      </c>
      <c r="H14940" s="14">
        <f t="shared" si="2"/>
        <v>15</v>
      </c>
      <c r="I14940" s="15">
        <f t="shared" si="3"/>
        <v>12</v>
      </c>
    </row>
    <row r="14941">
      <c r="A14941" s="8" t="str">
        <f>IFERROR(__xludf.DUMMYFUNCTION("IF('(INGESTA)Datos_consumo_datadis'!A14941&lt;&gt;"""",SPLIT('(INGESTA)Datos_consumo_datadis'!A:A,"",""),"""")"),"ES0031408323131005HX0F")</f>
        <v>ES0031408323131005HX0F</v>
      </c>
      <c r="B14941" s="12">
        <f>IFERROR(__xludf.DUMMYFUNCTION("""COMPUTED_VALUE"""),45488.0)</f>
        <v>45488</v>
      </c>
      <c r="C14941" s="13">
        <f>IFERROR(__xludf.DUMMYFUNCTION("""COMPUTED_VALUE"""),0.5416666666666666)</f>
        <v>0.5416666667</v>
      </c>
      <c r="D14941" s="8">
        <f>IFERROR(__xludf.DUMMYFUNCTION("""COMPUTED_VALUE"""),0.061)</f>
        <v>0.061</v>
      </c>
      <c r="E14941" s="8" t="str">
        <f>IFERROR(__xludf.DUMMYFUNCTION("""COMPUTED_VALUE"""),"Real")</f>
        <v>Real</v>
      </c>
      <c r="G14941" s="8">
        <f t="shared" si="1"/>
        <v>7</v>
      </c>
      <c r="H14941" s="14">
        <f t="shared" si="2"/>
        <v>15</v>
      </c>
      <c r="I14941" s="15">
        <f t="shared" si="3"/>
        <v>13</v>
      </c>
    </row>
    <row r="14942">
      <c r="A14942" s="8" t="str">
        <f>IFERROR(__xludf.DUMMYFUNCTION("IF('(INGESTA)Datos_consumo_datadis'!A14942&lt;&gt;"""",SPLIT('(INGESTA)Datos_consumo_datadis'!A:A,"",""),"""")"),"ES0031408323131005HX0F")</f>
        <v>ES0031408323131005HX0F</v>
      </c>
      <c r="B14942" s="12">
        <f>IFERROR(__xludf.DUMMYFUNCTION("""COMPUTED_VALUE"""),45488.0)</f>
        <v>45488</v>
      </c>
      <c r="C14942" s="13">
        <f>IFERROR(__xludf.DUMMYFUNCTION("""COMPUTED_VALUE"""),0.5833333333333334)</f>
        <v>0.5833333333</v>
      </c>
      <c r="D14942" s="8">
        <f>IFERROR(__xludf.DUMMYFUNCTION("""COMPUTED_VALUE"""),1.108)</f>
        <v>1.108</v>
      </c>
      <c r="E14942" s="8" t="str">
        <f>IFERROR(__xludf.DUMMYFUNCTION("""COMPUTED_VALUE"""),"Real")</f>
        <v>Real</v>
      </c>
      <c r="G14942" s="8">
        <f t="shared" si="1"/>
        <v>7</v>
      </c>
      <c r="H14942" s="14">
        <f t="shared" si="2"/>
        <v>15</v>
      </c>
      <c r="I14942" s="15">
        <f t="shared" si="3"/>
        <v>14</v>
      </c>
    </row>
    <row r="14943">
      <c r="A14943" s="8" t="str">
        <f>IFERROR(__xludf.DUMMYFUNCTION("IF('(INGESTA)Datos_consumo_datadis'!A14943&lt;&gt;"""",SPLIT('(INGESTA)Datos_consumo_datadis'!A:A,"",""),"""")"),"ES0031408323131005HX0F")</f>
        <v>ES0031408323131005HX0F</v>
      </c>
      <c r="B14943" s="12">
        <f>IFERROR(__xludf.DUMMYFUNCTION("""COMPUTED_VALUE"""),45488.0)</f>
        <v>45488</v>
      </c>
      <c r="C14943" s="13">
        <f>IFERROR(__xludf.DUMMYFUNCTION("""COMPUTED_VALUE"""),0.625)</f>
        <v>0.625</v>
      </c>
      <c r="D14943" s="8">
        <f>IFERROR(__xludf.DUMMYFUNCTION("""COMPUTED_VALUE"""),0.23)</f>
        <v>0.23</v>
      </c>
      <c r="E14943" s="8" t="str">
        <f>IFERROR(__xludf.DUMMYFUNCTION("""COMPUTED_VALUE"""),"Real")</f>
        <v>Real</v>
      </c>
      <c r="G14943" s="8">
        <f t="shared" si="1"/>
        <v>7</v>
      </c>
      <c r="H14943" s="14">
        <f t="shared" si="2"/>
        <v>15</v>
      </c>
      <c r="I14943" s="15">
        <f t="shared" si="3"/>
        <v>15</v>
      </c>
    </row>
    <row r="14944">
      <c r="A14944" s="8" t="str">
        <f>IFERROR(__xludf.DUMMYFUNCTION("IF('(INGESTA)Datos_consumo_datadis'!A14944&lt;&gt;"""",SPLIT('(INGESTA)Datos_consumo_datadis'!A:A,"",""),"""")"),"ES0031408323131005HX0F")</f>
        <v>ES0031408323131005HX0F</v>
      </c>
      <c r="B14944" s="12">
        <f>IFERROR(__xludf.DUMMYFUNCTION("""COMPUTED_VALUE"""),45488.0)</f>
        <v>45488</v>
      </c>
      <c r="C14944" s="13">
        <f>IFERROR(__xludf.DUMMYFUNCTION("""COMPUTED_VALUE"""),0.6666666666666666)</f>
        <v>0.6666666667</v>
      </c>
      <c r="D14944" s="8">
        <f>IFERROR(__xludf.DUMMYFUNCTION("""COMPUTED_VALUE"""),0.452)</f>
        <v>0.452</v>
      </c>
      <c r="E14944" s="8" t="str">
        <f>IFERROR(__xludf.DUMMYFUNCTION("""COMPUTED_VALUE"""),"Real")</f>
        <v>Real</v>
      </c>
      <c r="G14944" s="8">
        <f t="shared" si="1"/>
        <v>7</v>
      </c>
      <c r="H14944" s="14">
        <f t="shared" si="2"/>
        <v>15</v>
      </c>
      <c r="I14944" s="15">
        <f t="shared" si="3"/>
        <v>16</v>
      </c>
    </row>
    <row r="14945">
      <c r="A14945" s="8" t="str">
        <f>IFERROR(__xludf.DUMMYFUNCTION("IF('(INGESTA)Datos_consumo_datadis'!A14945&lt;&gt;"""",SPLIT('(INGESTA)Datos_consumo_datadis'!A:A,"",""),"""")"),"ES0031408323131005HX0F")</f>
        <v>ES0031408323131005HX0F</v>
      </c>
      <c r="B14945" s="12">
        <f>IFERROR(__xludf.DUMMYFUNCTION("""COMPUTED_VALUE"""),45488.0)</f>
        <v>45488</v>
      </c>
      <c r="C14945" s="13">
        <f>IFERROR(__xludf.DUMMYFUNCTION("""COMPUTED_VALUE"""),0.7083333333333334)</f>
        <v>0.7083333333</v>
      </c>
      <c r="D14945" s="8">
        <f>IFERROR(__xludf.DUMMYFUNCTION("""COMPUTED_VALUE"""),0.347)</f>
        <v>0.347</v>
      </c>
      <c r="E14945" s="8" t="str">
        <f>IFERROR(__xludf.DUMMYFUNCTION("""COMPUTED_VALUE"""),"Real")</f>
        <v>Real</v>
      </c>
      <c r="G14945" s="8">
        <f t="shared" si="1"/>
        <v>7</v>
      </c>
      <c r="H14945" s="14">
        <f t="shared" si="2"/>
        <v>15</v>
      </c>
      <c r="I14945" s="15">
        <f t="shared" si="3"/>
        <v>17</v>
      </c>
    </row>
    <row r="14946">
      <c r="A14946" s="8" t="str">
        <f>IFERROR(__xludf.DUMMYFUNCTION("IF('(INGESTA)Datos_consumo_datadis'!A14946&lt;&gt;"""",SPLIT('(INGESTA)Datos_consumo_datadis'!A:A,"",""),"""")"),"ES0031408323131005HX0F")</f>
        <v>ES0031408323131005HX0F</v>
      </c>
      <c r="B14946" s="12">
        <f>IFERROR(__xludf.DUMMYFUNCTION("""COMPUTED_VALUE"""),45488.0)</f>
        <v>45488</v>
      </c>
      <c r="C14946" s="13">
        <f>IFERROR(__xludf.DUMMYFUNCTION("""COMPUTED_VALUE"""),0.75)</f>
        <v>0.75</v>
      </c>
      <c r="D14946" s="8">
        <f>IFERROR(__xludf.DUMMYFUNCTION("""COMPUTED_VALUE"""),0.12)</f>
        <v>0.12</v>
      </c>
      <c r="E14946" s="8" t="str">
        <f>IFERROR(__xludf.DUMMYFUNCTION("""COMPUTED_VALUE"""),"Real")</f>
        <v>Real</v>
      </c>
      <c r="G14946" s="8">
        <f t="shared" si="1"/>
        <v>7</v>
      </c>
      <c r="H14946" s="14">
        <f t="shared" si="2"/>
        <v>15</v>
      </c>
      <c r="I14946" s="15">
        <f t="shared" si="3"/>
        <v>18</v>
      </c>
    </row>
    <row r="14947">
      <c r="A14947" s="8" t="str">
        <f>IFERROR(__xludf.DUMMYFUNCTION("IF('(INGESTA)Datos_consumo_datadis'!A14947&lt;&gt;"""",SPLIT('(INGESTA)Datos_consumo_datadis'!A:A,"",""),"""")"),"ES0031408323131005HX0F")</f>
        <v>ES0031408323131005HX0F</v>
      </c>
      <c r="B14947" s="12">
        <f>IFERROR(__xludf.DUMMYFUNCTION("""COMPUTED_VALUE"""),45488.0)</f>
        <v>45488</v>
      </c>
      <c r="C14947" s="13">
        <f>IFERROR(__xludf.DUMMYFUNCTION("""COMPUTED_VALUE"""),0.7916666666666666)</f>
        <v>0.7916666667</v>
      </c>
      <c r="D14947" s="8">
        <f>IFERROR(__xludf.DUMMYFUNCTION("""COMPUTED_VALUE"""),0.379)</f>
        <v>0.379</v>
      </c>
      <c r="E14947" s="8" t="str">
        <f>IFERROR(__xludf.DUMMYFUNCTION("""COMPUTED_VALUE"""),"Real")</f>
        <v>Real</v>
      </c>
      <c r="G14947" s="8">
        <f t="shared" si="1"/>
        <v>7</v>
      </c>
      <c r="H14947" s="14">
        <f t="shared" si="2"/>
        <v>15</v>
      </c>
      <c r="I14947" s="15">
        <f t="shared" si="3"/>
        <v>19</v>
      </c>
    </row>
    <row r="14948">
      <c r="A14948" s="8" t="str">
        <f>IFERROR(__xludf.DUMMYFUNCTION("IF('(INGESTA)Datos_consumo_datadis'!A14948&lt;&gt;"""",SPLIT('(INGESTA)Datos_consumo_datadis'!A:A,"",""),"""")"),"ES0031408323131005HX0F")</f>
        <v>ES0031408323131005HX0F</v>
      </c>
      <c r="B14948" s="12">
        <f>IFERROR(__xludf.DUMMYFUNCTION("""COMPUTED_VALUE"""),45488.0)</f>
        <v>45488</v>
      </c>
      <c r="C14948" s="13">
        <f>IFERROR(__xludf.DUMMYFUNCTION("""COMPUTED_VALUE"""),0.8333333333333334)</f>
        <v>0.8333333333</v>
      </c>
      <c r="D14948" s="8">
        <f>IFERROR(__xludf.DUMMYFUNCTION("""COMPUTED_VALUE"""),2.219)</f>
        <v>2.219</v>
      </c>
      <c r="E14948" s="8" t="str">
        <f>IFERROR(__xludf.DUMMYFUNCTION("""COMPUTED_VALUE"""),"Real")</f>
        <v>Real</v>
      </c>
      <c r="G14948" s="8">
        <f t="shared" si="1"/>
        <v>7</v>
      </c>
      <c r="H14948" s="14">
        <f t="shared" si="2"/>
        <v>15</v>
      </c>
      <c r="I14948" s="15">
        <f t="shared" si="3"/>
        <v>20</v>
      </c>
    </row>
    <row r="14949">
      <c r="A14949" s="8" t="str">
        <f>IFERROR(__xludf.DUMMYFUNCTION("IF('(INGESTA)Datos_consumo_datadis'!A14949&lt;&gt;"""",SPLIT('(INGESTA)Datos_consumo_datadis'!A:A,"",""),"""")"),"ES0031408323131005HX0F")</f>
        <v>ES0031408323131005HX0F</v>
      </c>
      <c r="B14949" s="12">
        <f>IFERROR(__xludf.DUMMYFUNCTION("""COMPUTED_VALUE"""),45488.0)</f>
        <v>45488</v>
      </c>
      <c r="C14949" s="13">
        <f>IFERROR(__xludf.DUMMYFUNCTION("""COMPUTED_VALUE"""),0.875)</f>
        <v>0.875</v>
      </c>
      <c r="D14949" s="8">
        <f>IFERROR(__xludf.DUMMYFUNCTION("""COMPUTED_VALUE"""),2.293)</f>
        <v>2.293</v>
      </c>
      <c r="E14949" s="8" t="str">
        <f>IFERROR(__xludf.DUMMYFUNCTION("""COMPUTED_VALUE"""),"Real")</f>
        <v>Real</v>
      </c>
      <c r="G14949" s="8">
        <f t="shared" si="1"/>
        <v>7</v>
      </c>
      <c r="H14949" s="14">
        <f t="shared" si="2"/>
        <v>15</v>
      </c>
      <c r="I14949" s="15">
        <f t="shared" si="3"/>
        <v>21</v>
      </c>
    </row>
    <row r="14950">
      <c r="A14950" s="8" t="str">
        <f>IFERROR(__xludf.DUMMYFUNCTION("IF('(INGESTA)Datos_consumo_datadis'!A14950&lt;&gt;"""",SPLIT('(INGESTA)Datos_consumo_datadis'!A:A,"",""),"""")"),"ES0031408323131005HX0F")</f>
        <v>ES0031408323131005HX0F</v>
      </c>
      <c r="B14950" s="12">
        <f>IFERROR(__xludf.DUMMYFUNCTION("""COMPUTED_VALUE"""),45488.0)</f>
        <v>45488</v>
      </c>
      <c r="C14950" s="13">
        <f>IFERROR(__xludf.DUMMYFUNCTION("""COMPUTED_VALUE"""),0.9166666666666666)</f>
        <v>0.9166666667</v>
      </c>
      <c r="D14950" s="8">
        <f>IFERROR(__xludf.DUMMYFUNCTION("""COMPUTED_VALUE"""),0.517)</f>
        <v>0.517</v>
      </c>
      <c r="E14950" s="8" t="str">
        <f>IFERROR(__xludf.DUMMYFUNCTION("""COMPUTED_VALUE"""),"Real")</f>
        <v>Real</v>
      </c>
      <c r="G14950" s="8">
        <f t="shared" si="1"/>
        <v>7</v>
      </c>
      <c r="H14950" s="14">
        <f t="shared" si="2"/>
        <v>15</v>
      </c>
      <c r="I14950" s="15">
        <f t="shared" si="3"/>
        <v>22</v>
      </c>
    </row>
    <row r="14951">
      <c r="A14951" s="8" t="str">
        <f>IFERROR(__xludf.DUMMYFUNCTION("IF('(INGESTA)Datos_consumo_datadis'!A14951&lt;&gt;"""",SPLIT('(INGESTA)Datos_consumo_datadis'!A:A,"",""),"""")"),"ES0031408323131005HX0F")</f>
        <v>ES0031408323131005HX0F</v>
      </c>
      <c r="B14951" s="12">
        <f>IFERROR(__xludf.DUMMYFUNCTION("""COMPUTED_VALUE"""),45488.0)</f>
        <v>45488</v>
      </c>
      <c r="C14951" s="13">
        <f>IFERROR(__xludf.DUMMYFUNCTION("""COMPUTED_VALUE"""),0.9583333333333334)</f>
        <v>0.9583333333</v>
      </c>
      <c r="D14951" s="8">
        <f>IFERROR(__xludf.DUMMYFUNCTION("""COMPUTED_VALUE"""),0.129)</f>
        <v>0.129</v>
      </c>
      <c r="E14951" s="8" t="str">
        <f>IFERROR(__xludf.DUMMYFUNCTION("""COMPUTED_VALUE"""),"Real")</f>
        <v>Real</v>
      </c>
      <c r="G14951" s="8">
        <f t="shared" si="1"/>
        <v>7</v>
      </c>
      <c r="H14951" s="14">
        <f t="shared" si="2"/>
        <v>15</v>
      </c>
      <c r="I14951" s="15">
        <f t="shared" si="3"/>
        <v>23</v>
      </c>
    </row>
    <row r="14952">
      <c r="A14952" s="8" t="str">
        <f>IFERROR(__xludf.DUMMYFUNCTION("IF('(INGESTA)Datos_consumo_datadis'!A14952&lt;&gt;"""",SPLIT('(INGESTA)Datos_consumo_datadis'!A:A,"",""),"""")"),"ES0031408323131005HX0F")</f>
        <v>ES0031408323131005HX0F</v>
      </c>
      <c r="B14952" s="12">
        <f>IFERROR(__xludf.DUMMYFUNCTION("""COMPUTED_VALUE"""),45488.0)</f>
        <v>45488</v>
      </c>
      <c r="C14952" s="16">
        <f>IFERROR(__xludf.DUMMYFUNCTION("""COMPUTED_VALUE"""),1.0)</f>
        <v>1</v>
      </c>
      <c r="D14952" s="8">
        <f>IFERROR(__xludf.DUMMYFUNCTION("""COMPUTED_VALUE"""),0.56)</f>
        <v>0.56</v>
      </c>
      <c r="E14952" s="8" t="str">
        <f>IFERROR(__xludf.DUMMYFUNCTION("""COMPUTED_VALUE"""),"Real")</f>
        <v>Real</v>
      </c>
      <c r="G14952" s="8">
        <f t="shared" si="1"/>
        <v>7</v>
      </c>
      <c r="H14952" s="14">
        <f t="shared" si="2"/>
        <v>15</v>
      </c>
      <c r="I14952" s="15">
        <f t="shared" si="3"/>
        <v>0</v>
      </c>
    </row>
    <row r="14953">
      <c r="A14953" s="8" t="str">
        <f>IFERROR(__xludf.DUMMYFUNCTION("IF('(INGESTA)Datos_consumo_datadis'!A14953&lt;&gt;"""",SPLIT('(INGESTA)Datos_consumo_datadis'!A:A,"",""),"""")"),"ES0031408323131005HX0F")</f>
        <v>ES0031408323131005HX0F</v>
      </c>
      <c r="B14953" s="12">
        <f>IFERROR(__xludf.DUMMYFUNCTION("""COMPUTED_VALUE"""),45489.0)</f>
        <v>45489</v>
      </c>
      <c r="C14953" s="13">
        <f>IFERROR(__xludf.DUMMYFUNCTION("""COMPUTED_VALUE"""),0.041666666666666664)</f>
        <v>0.04166666667</v>
      </c>
      <c r="D14953" s="8">
        <f>IFERROR(__xludf.DUMMYFUNCTION("""COMPUTED_VALUE"""),0.338)</f>
        <v>0.338</v>
      </c>
      <c r="E14953" s="8" t="str">
        <f>IFERROR(__xludf.DUMMYFUNCTION("""COMPUTED_VALUE"""),"Real")</f>
        <v>Real</v>
      </c>
      <c r="G14953" s="8">
        <f t="shared" si="1"/>
        <v>7</v>
      </c>
      <c r="H14953" s="14">
        <f t="shared" si="2"/>
        <v>16</v>
      </c>
      <c r="I14953" s="15">
        <f t="shared" si="3"/>
        <v>1</v>
      </c>
    </row>
    <row r="14954">
      <c r="A14954" s="8" t="str">
        <f>IFERROR(__xludf.DUMMYFUNCTION("IF('(INGESTA)Datos_consumo_datadis'!A14954&lt;&gt;"""",SPLIT('(INGESTA)Datos_consumo_datadis'!A:A,"",""),"""")"),"ES0031408323131005HX0F")</f>
        <v>ES0031408323131005HX0F</v>
      </c>
      <c r="B14954" s="12">
        <f>IFERROR(__xludf.DUMMYFUNCTION("""COMPUTED_VALUE"""),45489.0)</f>
        <v>45489</v>
      </c>
      <c r="C14954" s="13">
        <f>IFERROR(__xludf.DUMMYFUNCTION("""COMPUTED_VALUE"""),0.08333333333333333)</f>
        <v>0.08333333333</v>
      </c>
      <c r="D14954" s="8">
        <f>IFERROR(__xludf.DUMMYFUNCTION("""COMPUTED_VALUE"""),0.139)</f>
        <v>0.139</v>
      </c>
      <c r="E14954" s="8" t="str">
        <f>IFERROR(__xludf.DUMMYFUNCTION("""COMPUTED_VALUE"""),"Real")</f>
        <v>Real</v>
      </c>
      <c r="G14954" s="8">
        <f t="shared" si="1"/>
        <v>7</v>
      </c>
      <c r="H14954" s="14">
        <f t="shared" si="2"/>
        <v>16</v>
      </c>
      <c r="I14954" s="15">
        <f t="shared" si="3"/>
        <v>2</v>
      </c>
    </row>
    <row r="14955">
      <c r="A14955" s="8" t="str">
        <f>IFERROR(__xludf.DUMMYFUNCTION("IF('(INGESTA)Datos_consumo_datadis'!A14955&lt;&gt;"""",SPLIT('(INGESTA)Datos_consumo_datadis'!A:A,"",""),"""")"),"ES0031408323131005HX0F")</f>
        <v>ES0031408323131005HX0F</v>
      </c>
      <c r="B14955" s="12">
        <f>IFERROR(__xludf.DUMMYFUNCTION("""COMPUTED_VALUE"""),45489.0)</f>
        <v>45489</v>
      </c>
      <c r="C14955" s="13">
        <f>IFERROR(__xludf.DUMMYFUNCTION("""COMPUTED_VALUE"""),0.125)</f>
        <v>0.125</v>
      </c>
      <c r="D14955" s="8">
        <f>IFERROR(__xludf.DUMMYFUNCTION("""COMPUTED_VALUE"""),0.394)</f>
        <v>0.394</v>
      </c>
      <c r="E14955" s="8" t="str">
        <f>IFERROR(__xludf.DUMMYFUNCTION("""COMPUTED_VALUE"""),"Real")</f>
        <v>Real</v>
      </c>
      <c r="G14955" s="8">
        <f t="shared" si="1"/>
        <v>7</v>
      </c>
      <c r="H14955" s="14">
        <f t="shared" si="2"/>
        <v>16</v>
      </c>
      <c r="I14955" s="15">
        <f t="shared" si="3"/>
        <v>3</v>
      </c>
    </row>
    <row r="14956">
      <c r="A14956" s="8" t="str">
        <f>IFERROR(__xludf.DUMMYFUNCTION("IF('(INGESTA)Datos_consumo_datadis'!A14956&lt;&gt;"""",SPLIT('(INGESTA)Datos_consumo_datadis'!A:A,"",""),"""")"),"ES0031408323131005HX0F")</f>
        <v>ES0031408323131005HX0F</v>
      </c>
      <c r="B14956" s="12">
        <f>IFERROR(__xludf.DUMMYFUNCTION("""COMPUTED_VALUE"""),45489.0)</f>
        <v>45489</v>
      </c>
      <c r="C14956" s="13">
        <f>IFERROR(__xludf.DUMMYFUNCTION("""COMPUTED_VALUE"""),0.16666666666666666)</f>
        <v>0.1666666667</v>
      </c>
      <c r="D14956" s="8">
        <f>IFERROR(__xludf.DUMMYFUNCTION("""COMPUTED_VALUE"""),0.123)</f>
        <v>0.123</v>
      </c>
      <c r="E14956" s="8" t="str">
        <f>IFERROR(__xludf.DUMMYFUNCTION("""COMPUTED_VALUE"""),"Real")</f>
        <v>Real</v>
      </c>
      <c r="G14956" s="8">
        <f t="shared" si="1"/>
        <v>7</v>
      </c>
      <c r="H14956" s="14">
        <f t="shared" si="2"/>
        <v>16</v>
      </c>
      <c r="I14956" s="15">
        <f t="shared" si="3"/>
        <v>4</v>
      </c>
    </row>
    <row r="14957">
      <c r="A14957" s="8" t="str">
        <f>IFERROR(__xludf.DUMMYFUNCTION("IF('(INGESTA)Datos_consumo_datadis'!A14957&lt;&gt;"""",SPLIT('(INGESTA)Datos_consumo_datadis'!A:A,"",""),"""")"),"ES0031408323131005HX0F")</f>
        <v>ES0031408323131005HX0F</v>
      </c>
      <c r="B14957" s="12">
        <f>IFERROR(__xludf.DUMMYFUNCTION("""COMPUTED_VALUE"""),45489.0)</f>
        <v>45489</v>
      </c>
      <c r="C14957" s="13">
        <f>IFERROR(__xludf.DUMMYFUNCTION("""COMPUTED_VALUE"""),0.20833333333333334)</f>
        <v>0.2083333333</v>
      </c>
      <c r="D14957" s="8">
        <f>IFERROR(__xludf.DUMMYFUNCTION("""COMPUTED_VALUE"""),0.133)</f>
        <v>0.133</v>
      </c>
      <c r="E14957" s="8" t="str">
        <f>IFERROR(__xludf.DUMMYFUNCTION("""COMPUTED_VALUE"""),"Real")</f>
        <v>Real</v>
      </c>
      <c r="G14957" s="8">
        <f t="shared" si="1"/>
        <v>7</v>
      </c>
      <c r="H14957" s="14">
        <f t="shared" si="2"/>
        <v>16</v>
      </c>
      <c r="I14957" s="15">
        <f t="shared" si="3"/>
        <v>5</v>
      </c>
    </row>
    <row r="14958">
      <c r="A14958" s="8" t="str">
        <f>IFERROR(__xludf.DUMMYFUNCTION("IF('(INGESTA)Datos_consumo_datadis'!A14958&lt;&gt;"""",SPLIT('(INGESTA)Datos_consumo_datadis'!A:A,"",""),"""")"),"ES0031408323131005HX0F")</f>
        <v>ES0031408323131005HX0F</v>
      </c>
      <c r="B14958" s="12">
        <f>IFERROR(__xludf.DUMMYFUNCTION("""COMPUTED_VALUE"""),45489.0)</f>
        <v>45489</v>
      </c>
      <c r="C14958" s="13">
        <f>IFERROR(__xludf.DUMMYFUNCTION("""COMPUTED_VALUE"""),0.25)</f>
        <v>0.25</v>
      </c>
      <c r="D14958" s="8">
        <f>IFERROR(__xludf.DUMMYFUNCTION("""COMPUTED_VALUE"""),0.056)</f>
        <v>0.056</v>
      </c>
      <c r="E14958" s="8" t="str">
        <f>IFERROR(__xludf.DUMMYFUNCTION("""COMPUTED_VALUE"""),"Real")</f>
        <v>Real</v>
      </c>
      <c r="G14958" s="8">
        <f t="shared" si="1"/>
        <v>7</v>
      </c>
      <c r="H14958" s="14">
        <f t="shared" si="2"/>
        <v>16</v>
      </c>
      <c r="I14958" s="15">
        <f t="shared" si="3"/>
        <v>6</v>
      </c>
    </row>
    <row r="14959">
      <c r="A14959" s="8" t="str">
        <f>IFERROR(__xludf.DUMMYFUNCTION("IF('(INGESTA)Datos_consumo_datadis'!A14959&lt;&gt;"""",SPLIT('(INGESTA)Datos_consumo_datadis'!A:A,"",""),"""")"),"ES0031408323131005HX0F")</f>
        <v>ES0031408323131005HX0F</v>
      </c>
      <c r="B14959" s="12">
        <f>IFERROR(__xludf.DUMMYFUNCTION("""COMPUTED_VALUE"""),45489.0)</f>
        <v>45489</v>
      </c>
      <c r="C14959" s="13">
        <f>IFERROR(__xludf.DUMMYFUNCTION("""COMPUTED_VALUE"""),0.2916666666666667)</f>
        <v>0.2916666667</v>
      </c>
      <c r="D14959" s="8">
        <f>IFERROR(__xludf.DUMMYFUNCTION("""COMPUTED_VALUE"""),0.092)</f>
        <v>0.092</v>
      </c>
      <c r="E14959" s="8" t="str">
        <f>IFERROR(__xludf.DUMMYFUNCTION("""COMPUTED_VALUE"""),"Real")</f>
        <v>Real</v>
      </c>
      <c r="G14959" s="8">
        <f t="shared" si="1"/>
        <v>7</v>
      </c>
      <c r="H14959" s="14">
        <f t="shared" si="2"/>
        <v>16</v>
      </c>
      <c r="I14959" s="15">
        <f t="shared" si="3"/>
        <v>7</v>
      </c>
    </row>
    <row r="14960">
      <c r="A14960" s="8" t="str">
        <f>IFERROR(__xludf.DUMMYFUNCTION("IF('(INGESTA)Datos_consumo_datadis'!A14960&lt;&gt;"""",SPLIT('(INGESTA)Datos_consumo_datadis'!A:A,"",""),"""")"),"ES0031408323131005HX0F")</f>
        <v>ES0031408323131005HX0F</v>
      </c>
      <c r="B14960" s="12">
        <f>IFERROR(__xludf.DUMMYFUNCTION("""COMPUTED_VALUE"""),45489.0)</f>
        <v>45489</v>
      </c>
      <c r="C14960" s="13">
        <f>IFERROR(__xludf.DUMMYFUNCTION("""COMPUTED_VALUE"""),0.3333333333333333)</f>
        <v>0.3333333333</v>
      </c>
      <c r="D14960" s="8">
        <f>IFERROR(__xludf.DUMMYFUNCTION("""COMPUTED_VALUE"""),0.123)</f>
        <v>0.123</v>
      </c>
      <c r="E14960" s="8" t="str">
        <f>IFERROR(__xludf.DUMMYFUNCTION("""COMPUTED_VALUE"""),"Real")</f>
        <v>Real</v>
      </c>
      <c r="G14960" s="8">
        <f t="shared" si="1"/>
        <v>7</v>
      </c>
      <c r="H14960" s="14">
        <f t="shared" si="2"/>
        <v>16</v>
      </c>
      <c r="I14960" s="15">
        <f t="shared" si="3"/>
        <v>8</v>
      </c>
    </row>
    <row r="14961">
      <c r="A14961" s="8" t="str">
        <f>IFERROR(__xludf.DUMMYFUNCTION("IF('(INGESTA)Datos_consumo_datadis'!A14961&lt;&gt;"""",SPLIT('(INGESTA)Datos_consumo_datadis'!A:A,"",""),"""")"),"ES0031408323131005HX0F")</f>
        <v>ES0031408323131005HX0F</v>
      </c>
      <c r="B14961" s="12">
        <f>IFERROR(__xludf.DUMMYFUNCTION("""COMPUTED_VALUE"""),45489.0)</f>
        <v>45489</v>
      </c>
      <c r="C14961" s="13">
        <f>IFERROR(__xludf.DUMMYFUNCTION("""COMPUTED_VALUE"""),0.375)</f>
        <v>0.375</v>
      </c>
      <c r="D14961" s="8">
        <f>IFERROR(__xludf.DUMMYFUNCTION("""COMPUTED_VALUE"""),0.134)</f>
        <v>0.134</v>
      </c>
      <c r="E14961" s="8" t="str">
        <f>IFERROR(__xludf.DUMMYFUNCTION("""COMPUTED_VALUE"""),"Real")</f>
        <v>Real</v>
      </c>
      <c r="G14961" s="8">
        <f t="shared" si="1"/>
        <v>7</v>
      </c>
      <c r="H14961" s="14">
        <f t="shared" si="2"/>
        <v>16</v>
      </c>
      <c r="I14961" s="15">
        <f t="shared" si="3"/>
        <v>9</v>
      </c>
    </row>
    <row r="14962">
      <c r="A14962" s="8" t="str">
        <f>IFERROR(__xludf.DUMMYFUNCTION("IF('(INGESTA)Datos_consumo_datadis'!A14962&lt;&gt;"""",SPLIT('(INGESTA)Datos_consumo_datadis'!A:A,"",""),"""")"),"ES0031408323131005HX0F")</f>
        <v>ES0031408323131005HX0F</v>
      </c>
      <c r="B14962" s="12">
        <f>IFERROR(__xludf.DUMMYFUNCTION("""COMPUTED_VALUE"""),45489.0)</f>
        <v>45489</v>
      </c>
      <c r="C14962" s="13">
        <f>IFERROR(__xludf.DUMMYFUNCTION("""COMPUTED_VALUE"""),0.4166666666666667)</f>
        <v>0.4166666667</v>
      </c>
      <c r="D14962" s="8">
        <f>IFERROR(__xludf.DUMMYFUNCTION("""COMPUTED_VALUE"""),0.181)</f>
        <v>0.181</v>
      </c>
      <c r="E14962" s="8" t="str">
        <f>IFERROR(__xludf.DUMMYFUNCTION("""COMPUTED_VALUE"""),"Real")</f>
        <v>Real</v>
      </c>
      <c r="G14962" s="8">
        <f t="shared" si="1"/>
        <v>7</v>
      </c>
      <c r="H14962" s="14">
        <f t="shared" si="2"/>
        <v>16</v>
      </c>
      <c r="I14962" s="15">
        <f t="shared" si="3"/>
        <v>10</v>
      </c>
    </row>
    <row r="14963">
      <c r="A14963" s="8" t="str">
        <f>IFERROR(__xludf.DUMMYFUNCTION("IF('(INGESTA)Datos_consumo_datadis'!A14963&lt;&gt;"""",SPLIT('(INGESTA)Datos_consumo_datadis'!A:A,"",""),"""")"),"ES0031408323131005HX0F")</f>
        <v>ES0031408323131005HX0F</v>
      </c>
      <c r="B14963" s="12">
        <f>IFERROR(__xludf.DUMMYFUNCTION("""COMPUTED_VALUE"""),45489.0)</f>
        <v>45489</v>
      </c>
      <c r="C14963" s="13">
        <f>IFERROR(__xludf.DUMMYFUNCTION("""COMPUTED_VALUE"""),0.4583333333333333)</f>
        <v>0.4583333333</v>
      </c>
      <c r="D14963" s="8">
        <f>IFERROR(__xludf.DUMMYFUNCTION("""COMPUTED_VALUE"""),0.466)</f>
        <v>0.466</v>
      </c>
      <c r="E14963" s="8" t="str">
        <f>IFERROR(__xludf.DUMMYFUNCTION("""COMPUTED_VALUE"""),"Real")</f>
        <v>Real</v>
      </c>
      <c r="G14963" s="8">
        <f t="shared" si="1"/>
        <v>7</v>
      </c>
      <c r="H14963" s="14">
        <f t="shared" si="2"/>
        <v>16</v>
      </c>
      <c r="I14963" s="15">
        <f t="shared" si="3"/>
        <v>11</v>
      </c>
    </row>
    <row r="14964">
      <c r="A14964" s="8" t="str">
        <f>IFERROR(__xludf.DUMMYFUNCTION("IF('(INGESTA)Datos_consumo_datadis'!A14964&lt;&gt;"""",SPLIT('(INGESTA)Datos_consumo_datadis'!A:A,"",""),"""")"),"ES0031408323131005HX0F")</f>
        <v>ES0031408323131005HX0F</v>
      </c>
      <c r="B14964" s="12">
        <f>IFERROR(__xludf.DUMMYFUNCTION("""COMPUTED_VALUE"""),45489.0)</f>
        <v>45489</v>
      </c>
      <c r="C14964" s="13">
        <f>IFERROR(__xludf.DUMMYFUNCTION("""COMPUTED_VALUE"""),0.5)</f>
        <v>0.5</v>
      </c>
      <c r="D14964" s="8">
        <f>IFERROR(__xludf.DUMMYFUNCTION("""COMPUTED_VALUE"""),0.293)</f>
        <v>0.293</v>
      </c>
      <c r="E14964" s="8" t="str">
        <f>IFERROR(__xludf.DUMMYFUNCTION("""COMPUTED_VALUE"""),"Real")</f>
        <v>Real</v>
      </c>
      <c r="G14964" s="8">
        <f t="shared" si="1"/>
        <v>7</v>
      </c>
      <c r="H14964" s="14">
        <f t="shared" si="2"/>
        <v>16</v>
      </c>
      <c r="I14964" s="15">
        <f t="shared" si="3"/>
        <v>12</v>
      </c>
    </row>
    <row r="14965">
      <c r="A14965" s="8" t="str">
        <f>IFERROR(__xludf.DUMMYFUNCTION("IF('(INGESTA)Datos_consumo_datadis'!A14965&lt;&gt;"""",SPLIT('(INGESTA)Datos_consumo_datadis'!A:A,"",""),"""")"),"ES0031408323131005HX0F")</f>
        <v>ES0031408323131005HX0F</v>
      </c>
      <c r="B14965" s="12">
        <f>IFERROR(__xludf.DUMMYFUNCTION("""COMPUTED_VALUE"""),45489.0)</f>
        <v>45489</v>
      </c>
      <c r="C14965" s="13">
        <f>IFERROR(__xludf.DUMMYFUNCTION("""COMPUTED_VALUE"""),0.5416666666666666)</f>
        <v>0.5416666667</v>
      </c>
      <c r="D14965" s="8">
        <f>IFERROR(__xludf.DUMMYFUNCTION("""COMPUTED_VALUE"""),0.894)</f>
        <v>0.894</v>
      </c>
      <c r="E14965" s="8" t="str">
        <f>IFERROR(__xludf.DUMMYFUNCTION("""COMPUTED_VALUE"""),"Real")</f>
        <v>Real</v>
      </c>
      <c r="G14965" s="8">
        <f t="shared" si="1"/>
        <v>7</v>
      </c>
      <c r="H14965" s="14">
        <f t="shared" si="2"/>
        <v>16</v>
      </c>
      <c r="I14965" s="15">
        <f t="shared" si="3"/>
        <v>13</v>
      </c>
    </row>
    <row r="14966">
      <c r="A14966" s="8" t="str">
        <f>IFERROR(__xludf.DUMMYFUNCTION("IF('(INGESTA)Datos_consumo_datadis'!A14966&lt;&gt;"""",SPLIT('(INGESTA)Datos_consumo_datadis'!A:A,"",""),"""")"),"ES0031408323131005HX0F")</f>
        <v>ES0031408323131005HX0F</v>
      </c>
      <c r="B14966" s="12">
        <f>IFERROR(__xludf.DUMMYFUNCTION("""COMPUTED_VALUE"""),45489.0)</f>
        <v>45489</v>
      </c>
      <c r="C14966" s="13">
        <f>IFERROR(__xludf.DUMMYFUNCTION("""COMPUTED_VALUE"""),0.5833333333333334)</f>
        <v>0.5833333333</v>
      </c>
      <c r="D14966" s="8">
        <f>IFERROR(__xludf.DUMMYFUNCTION("""COMPUTED_VALUE"""),1.223)</f>
        <v>1.223</v>
      </c>
      <c r="E14966" s="8" t="str">
        <f>IFERROR(__xludf.DUMMYFUNCTION("""COMPUTED_VALUE"""),"Real")</f>
        <v>Real</v>
      </c>
      <c r="G14966" s="8">
        <f t="shared" si="1"/>
        <v>7</v>
      </c>
      <c r="H14966" s="14">
        <f t="shared" si="2"/>
        <v>16</v>
      </c>
      <c r="I14966" s="15">
        <f t="shared" si="3"/>
        <v>14</v>
      </c>
    </row>
    <row r="14967">
      <c r="A14967" s="8" t="str">
        <f>IFERROR(__xludf.DUMMYFUNCTION("IF('(INGESTA)Datos_consumo_datadis'!A14967&lt;&gt;"""",SPLIT('(INGESTA)Datos_consumo_datadis'!A:A,"",""),"""")"),"ES0031408323131005HX0F")</f>
        <v>ES0031408323131005HX0F</v>
      </c>
      <c r="B14967" s="12">
        <f>IFERROR(__xludf.DUMMYFUNCTION("""COMPUTED_VALUE"""),45489.0)</f>
        <v>45489</v>
      </c>
      <c r="C14967" s="13">
        <f>IFERROR(__xludf.DUMMYFUNCTION("""COMPUTED_VALUE"""),0.625)</f>
        <v>0.625</v>
      </c>
      <c r="D14967" s="8">
        <f>IFERROR(__xludf.DUMMYFUNCTION("""COMPUTED_VALUE"""),0.883)</f>
        <v>0.883</v>
      </c>
      <c r="E14967" s="8" t="str">
        <f>IFERROR(__xludf.DUMMYFUNCTION("""COMPUTED_VALUE"""),"Real")</f>
        <v>Real</v>
      </c>
      <c r="G14967" s="8">
        <f t="shared" si="1"/>
        <v>7</v>
      </c>
      <c r="H14967" s="14">
        <f t="shared" si="2"/>
        <v>16</v>
      </c>
      <c r="I14967" s="15">
        <f t="shared" si="3"/>
        <v>15</v>
      </c>
    </row>
    <row r="14968">
      <c r="A14968" s="8" t="str">
        <f>IFERROR(__xludf.DUMMYFUNCTION("IF('(INGESTA)Datos_consumo_datadis'!A14968&lt;&gt;"""",SPLIT('(INGESTA)Datos_consumo_datadis'!A:A,"",""),"""")"),"ES0031408323131005HX0F")</f>
        <v>ES0031408323131005HX0F</v>
      </c>
      <c r="B14968" s="12">
        <f>IFERROR(__xludf.DUMMYFUNCTION("""COMPUTED_VALUE"""),45489.0)</f>
        <v>45489</v>
      </c>
      <c r="C14968" s="13">
        <f>IFERROR(__xludf.DUMMYFUNCTION("""COMPUTED_VALUE"""),0.6666666666666666)</f>
        <v>0.6666666667</v>
      </c>
      <c r="D14968" s="8">
        <f>IFERROR(__xludf.DUMMYFUNCTION("""COMPUTED_VALUE"""),0.688)</f>
        <v>0.688</v>
      </c>
      <c r="E14968" s="8" t="str">
        <f>IFERROR(__xludf.DUMMYFUNCTION("""COMPUTED_VALUE"""),"Real")</f>
        <v>Real</v>
      </c>
      <c r="G14968" s="8">
        <f t="shared" si="1"/>
        <v>7</v>
      </c>
      <c r="H14968" s="14">
        <f t="shared" si="2"/>
        <v>16</v>
      </c>
      <c r="I14968" s="15">
        <f t="shared" si="3"/>
        <v>16</v>
      </c>
    </row>
    <row r="14969">
      <c r="A14969" s="8" t="str">
        <f>IFERROR(__xludf.DUMMYFUNCTION("IF('(INGESTA)Datos_consumo_datadis'!A14969&lt;&gt;"""",SPLIT('(INGESTA)Datos_consumo_datadis'!A:A,"",""),"""")"),"ES0031408323131005HX0F")</f>
        <v>ES0031408323131005HX0F</v>
      </c>
      <c r="B14969" s="12">
        <f>IFERROR(__xludf.DUMMYFUNCTION("""COMPUTED_VALUE"""),45489.0)</f>
        <v>45489</v>
      </c>
      <c r="C14969" s="13">
        <f>IFERROR(__xludf.DUMMYFUNCTION("""COMPUTED_VALUE"""),0.7083333333333334)</f>
        <v>0.7083333333</v>
      </c>
      <c r="D14969" s="8">
        <f>IFERROR(__xludf.DUMMYFUNCTION("""COMPUTED_VALUE"""),0.272)</f>
        <v>0.272</v>
      </c>
      <c r="E14969" s="8" t="str">
        <f>IFERROR(__xludf.DUMMYFUNCTION("""COMPUTED_VALUE"""),"Real")</f>
        <v>Real</v>
      </c>
      <c r="G14969" s="8">
        <f t="shared" si="1"/>
        <v>7</v>
      </c>
      <c r="H14969" s="14">
        <f t="shared" si="2"/>
        <v>16</v>
      </c>
      <c r="I14969" s="15">
        <f t="shared" si="3"/>
        <v>17</v>
      </c>
    </row>
    <row r="14970">
      <c r="A14970" s="8" t="str">
        <f>IFERROR(__xludf.DUMMYFUNCTION("IF('(INGESTA)Datos_consumo_datadis'!A14970&lt;&gt;"""",SPLIT('(INGESTA)Datos_consumo_datadis'!A:A,"",""),"""")"),"ES0031408323131005HX0F")</f>
        <v>ES0031408323131005HX0F</v>
      </c>
      <c r="B14970" s="12">
        <f>IFERROR(__xludf.DUMMYFUNCTION("""COMPUTED_VALUE"""),45489.0)</f>
        <v>45489</v>
      </c>
      <c r="C14970" s="13">
        <f>IFERROR(__xludf.DUMMYFUNCTION("""COMPUTED_VALUE"""),0.75)</f>
        <v>0.75</v>
      </c>
      <c r="D14970" s="8">
        <f>IFERROR(__xludf.DUMMYFUNCTION("""COMPUTED_VALUE"""),0.078)</f>
        <v>0.078</v>
      </c>
      <c r="E14970" s="8" t="str">
        <f>IFERROR(__xludf.DUMMYFUNCTION("""COMPUTED_VALUE"""),"Real")</f>
        <v>Real</v>
      </c>
      <c r="G14970" s="8">
        <f t="shared" si="1"/>
        <v>7</v>
      </c>
      <c r="H14970" s="14">
        <f t="shared" si="2"/>
        <v>16</v>
      </c>
      <c r="I14970" s="15">
        <f t="shared" si="3"/>
        <v>18</v>
      </c>
    </row>
    <row r="14971">
      <c r="A14971" s="8" t="str">
        <f>IFERROR(__xludf.DUMMYFUNCTION("IF('(INGESTA)Datos_consumo_datadis'!A14971&lt;&gt;"""",SPLIT('(INGESTA)Datos_consumo_datadis'!A:A,"",""),"""")"),"ES0031408323131005HX0F")</f>
        <v>ES0031408323131005HX0F</v>
      </c>
      <c r="B14971" s="12">
        <f>IFERROR(__xludf.DUMMYFUNCTION("""COMPUTED_VALUE"""),45489.0)</f>
        <v>45489</v>
      </c>
      <c r="C14971" s="13">
        <f>IFERROR(__xludf.DUMMYFUNCTION("""COMPUTED_VALUE"""),0.7916666666666666)</f>
        <v>0.7916666667</v>
      </c>
      <c r="D14971" s="8">
        <f>IFERROR(__xludf.DUMMYFUNCTION("""COMPUTED_VALUE"""),0.118)</f>
        <v>0.118</v>
      </c>
      <c r="E14971" s="8" t="str">
        <f>IFERROR(__xludf.DUMMYFUNCTION("""COMPUTED_VALUE"""),"Real")</f>
        <v>Real</v>
      </c>
      <c r="G14971" s="8">
        <f t="shared" si="1"/>
        <v>7</v>
      </c>
      <c r="H14971" s="14">
        <f t="shared" si="2"/>
        <v>16</v>
      </c>
      <c r="I14971" s="15">
        <f t="shared" si="3"/>
        <v>19</v>
      </c>
    </row>
    <row r="14972">
      <c r="A14972" s="8" t="str">
        <f>IFERROR(__xludf.DUMMYFUNCTION("IF('(INGESTA)Datos_consumo_datadis'!A14972&lt;&gt;"""",SPLIT('(INGESTA)Datos_consumo_datadis'!A:A,"",""),"""")"),"ES0031408323131005HX0F")</f>
        <v>ES0031408323131005HX0F</v>
      </c>
      <c r="B14972" s="12">
        <f>IFERROR(__xludf.DUMMYFUNCTION("""COMPUTED_VALUE"""),45489.0)</f>
        <v>45489</v>
      </c>
      <c r="C14972" s="13">
        <f>IFERROR(__xludf.DUMMYFUNCTION("""COMPUTED_VALUE"""),0.8333333333333334)</f>
        <v>0.8333333333</v>
      </c>
      <c r="D14972" s="8">
        <f>IFERROR(__xludf.DUMMYFUNCTION("""COMPUTED_VALUE"""),0.86)</f>
        <v>0.86</v>
      </c>
      <c r="E14972" s="8" t="str">
        <f>IFERROR(__xludf.DUMMYFUNCTION("""COMPUTED_VALUE"""),"Real")</f>
        <v>Real</v>
      </c>
      <c r="G14972" s="8">
        <f t="shared" si="1"/>
        <v>7</v>
      </c>
      <c r="H14972" s="14">
        <f t="shared" si="2"/>
        <v>16</v>
      </c>
      <c r="I14972" s="15">
        <f t="shared" si="3"/>
        <v>20</v>
      </c>
    </row>
    <row r="14973">
      <c r="A14973" s="8" t="str">
        <f>IFERROR(__xludf.DUMMYFUNCTION("IF('(INGESTA)Datos_consumo_datadis'!A14973&lt;&gt;"""",SPLIT('(INGESTA)Datos_consumo_datadis'!A:A,"",""),"""")"),"ES0031408323131005HX0F")</f>
        <v>ES0031408323131005HX0F</v>
      </c>
      <c r="B14973" s="12">
        <f>IFERROR(__xludf.DUMMYFUNCTION("""COMPUTED_VALUE"""),45489.0)</f>
        <v>45489</v>
      </c>
      <c r="C14973" s="13">
        <f>IFERROR(__xludf.DUMMYFUNCTION("""COMPUTED_VALUE"""),0.875)</f>
        <v>0.875</v>
      </c>
      <c r="D14973" s="8">
        <f>IFERROR(__xludf.DUMMYFUNCTION("""COMPUTED_VALUE"""),2.052)</f>
        <v>2.052</v>
      </c>
      <c r="E14973" s="8" t="str">
        <f>IFERROR(__xludf.DUMMYFUNCTION("""COMPUTED_VALUE"""),"Real")</f>
        <v>Real</v>
      </c>
      <c r="G14973" s="8">
        <f t="shared" si="1"/>
        <v>7</v>
      </c>
      <c r="H14973" s="14">
        <f t="shared" si="2"/>
        <v>16</v>
      </c>
      <c r="I14973" s="15">
        <f t="shared" si="3"/>
        <v>21</v>
      </c>
    </row>
    <row r="14974">
      <c r="A14974" s="8" t="str">
        <f>IFERROR(__xludf.DUMMYFUNCTION("IF('(INGESTA)Datos_consumo_datadis'!A14974&lt;&gt;"""",SPLIT('(INGESTA)Datos_consumo_datadis'!A:A,"",""),"""")"),"ES0031408323131005HX0F")</f>
        <v>ES0031408323131005HX0F</v>
      </c>
      <c r="B14974" s="12">
        <f>IFERROR(__xludf.DUMMYFUNCTION("""COMPUTED_VALUE"""),45489.0)</f>
        <v>45489</v>
      </c>
      <c r="C14974" s="13">
        <f>IFERROR(__xludf.DUMMYFUNCTION("""COMPUTED_VALUE"""),0.9166666666666666)</f>
        <v>0.9166666667</v>
      </c>
      <c r="D14974" s="8">
        <f>IFERROR(__xludf.DUMMYFUNCTION("""COMPUTED_VALUE"""),0.574)</f>
        <v>0.574</v>
      </c>
      <c r="E14974" s="8" t="str">
        <f>IFERROR(__xludf.DUMMYFUNCTION("""COMPUTED_VALUE"""),"Real")</f>
        <v>Real</v>
      </c>
      <c r="G14974" s="8">
        <f t="shared" si="1"/>
        <v>7</v>
      </c>
      <c r="H14974" s="14">
        <f t="shared" si="2"/>
        <v>16</v>
      </c>
      <c r="I14974" s="15">
        <f t="shared" si="3"/>
        <v>22</v>
      </c>
    </row>
    <row r="14975">
      <c r="A14975" s="8" t="str">
        <f>IFERROR(__xludf.DUMMYFUNCTION("IF('(INGESTA)Datos_consumo_datadis'!A14975&lt;&gt;"""",SPLIT('(INGESTA)Datos_consumo_datadis'!A:A,"",""),"""")"),"ES0031408323131005HX0F")</f>
        <v>ES0031408323131005HX0F</v>
      </c>
      <c r="B14975" s="12">
        <f>IFERROR(__xludf.DUMMYFUNCTION("""COMPUTED_VALUE"""),45489.0)</f>
        <v>45489</v>
      </c>
      <c r="C14975" s="13">
        <f>IFERROR(__xludf.DUMMYFUNCTION("""COMPUTED_VALUE"""),0.9583333333333334)</f>
        <v>0.9583333333</v>
      </c>
      <c r="D14975" s="8">
        <f>IFERROR(__xludf.DUMMYFUNCTION("""COMPUTED_VALUE"""),0.535)</f>
        <v>0.535</v>
      </c>
      <c r="E14975" s="8" t="str">
        <f>IFERROR(__xludf.DUMMYFUNCTION("""COMPUTED_VALUE"""),"Real")</f>
        <v>Real</v>
      </c>
      <c r="G14975" s="8">
        <f t="shared" si="1"/>
        <v>7</v>
      </c>
      <c r="H14975" s="14">
        <f t="shared" si="2"/>
        <v>16</v>
      </c>
      <c r="I14975" s="15">
        <f t="shared" si="3"/>
        <v>23</v>
      </c>
    </row>
    <row r="14976">
      <c r="A14976" s="8" t="str">
        <f>IFERROR(__xludf.DUMMYFUNCTION("IF('(INGESTA)Datos_consumo_datadis'!A14976&lt;&gt;"""",SPLIT('(INGESTA)Datos_consumo_datadis'!A:A,"",""),"""")"),"ES0031408323131005HX0F")</f>
        <v>ES0031408323131005HX0F</v>
      </c>
      <c r="B14976" s="12">
        <f>IFERROR(__xludf.DUMMYFUNCTION("""COMPUTED_VALUE"""),45489.0)</f>
        <v>45489</v>
      </c>
      <c r="C14976" s="16">
        <f>IFERROR(__xludf.DUMMYFUNCTION("""COMPUTED_VALUE"""),1.0)</f>
        <v>1</v>
      </c>
      <c r="D14976" s="8">
        <f>IFERROR(__xludf.DUMMYFUNCTION("""COMPUTED_VALUE"""),0.616)</f>
        <v>0.616</v>
      </c>
      <c r="E14976" s="8" t="str">
        <f>IFERROR(__xludf.DUMMYFUNCTION("""COMPUTED_VALUE"""),"Real")</f>
        <v>Real</v>
      </c>
      <c r="G14976" s="8">
        <f t="shared" si="1"/>
        <v>7</v>
      </c>
      <c r="H14976" s="14">
        <f t="shared" si="2"/>
        <v>16</v>
      </c>
      <c r="I14976" s="15">
        <f t="shared" si="3"/>
        <v>0</v>
      </c>
    </row>
    <row r="14977">
      <c r="A14977" s="8" t="str">
        <f>IFERROR(__xludf.DUMMYFUNCTION("IF('(INGESTA)Datos_consumo_datadis'!A14977&lt;&gt;"""",SPLIT('(INGESTA)Datos_consumo_datadis'!A:A,"",""),"""")"),"ES0031408323131005HX0F")</f>
        <v>ES0031408323131005HX0F</v>
      </c>
      <c r="B14977" s="12">
        <f>IFERROR(__xludf.DUMMYFUNCTION("""COMPUTED_VALUE"""),45490.0)</f>
        <v>45490</v>
      </c>
      <c r="C14977" s="13">
        <f>IFERROR(__xludf.DUMMYFUNCTION("""COMPUTED_VALUE"""),0.041666666666666664)</f>
        <v>0.04166666667</v>
      </c>
      <c r="D14977" s="8">
        <f>IFERROR(__xludf.DUMMYFUNCTION("""COMPUTED_VALUE"""),0.375)</f>
        <v>0.375</v>
      </c>
      <c r="E14977" s="8" t="str">
        <f>IFERROR(__xludf.DUMMYFUNCTION("""COMPUTED_VALUE"""),"Real")</f>
        <v>Real</v>
      </c>
      <c r="G14977" s="8">
        <f t="shared" si="1"/>
        <v>7</v>
      </c>
      <c r="H14977" s="14">
        <f t="shared" si="2"/>
        <v>17</v>
      </c>
      <c r="I14977" s="15">
        <f t="shared" si="3"/>
        <v>1</v>
      </c>
    </row>
    <row r="14978">
      <c r="A14978" s="8" t="str">
        <f>IFERROR(__xludf.DUMMYFUNCTION("IF('(INGESTA)Datos_consumo_datadis'!A14978&lt;&gt;"""",SPLIT('(INGESTA)Datos_consumo_datadis'!A:A,"",""),"""")"),"ES0031408323131005HX0F")</f>
        <v>ES0031408323131005HX0F</v>
      </c>
      <c r="B14978" s="12">
        <f>IFERROR(__xludf.DUMMYFUNCTION("""COMPUTED_VALUE"""),45490.0)</f>
        <v>45490</v>
      </c>
      <c r="C14978" s="13">
        <f>IFERROR(__xludf.DUMMYFUNCTION("""COMPUTED_VALUE"""),0.08333333333333333)</f>
        <v>0.08333333333</v>
      </c>
      <c r="D14978" s="8">
        <f>IFERROR(__xludf.DUMMYFUNCTION("""COMPUTED_VALUE"""),0.411)</f>
        <v>0.411</v>
      </c>
      <c r="E14978" s="8" t="str">
        <f>IFERROR(__xludf.DUMMYFUNCTION("""COMPUTED_VALUE"""),"Real")</f>
        <v>Real</v>
      </c>
      <c r="G14978" s="8">
        <f t="shared" si="1"/>
        <v>7</v>
      </c>
      <c r="H14978" s="14">
        <f t="shared" si="2"/>
        <v>17</v>
      </c>
      <c r="I14978" s="15">
        <f t="shared" si="3"/>
        <v>2</v>
      </c>
    </row>
    <row r="14979">
      <c r="A14979" s="8" t="str">
        <f>IFERROR(__xludf.DUMMYFUNCTION("IF('(INGESTA)Datos_consumo_datadis'!A14979&lt;&gt;"""",SPLIT('(INGESTA)Datos_consumo_datadis'!A:A,"",""),"""")"),"ES0031408323131005HX0F")</f>
        <v>ES0031408323131005HX0F</v>
      </c>
      <c r="B14979" s="12">
        <f>IFERROR(__xludf.DUMMYFUNCTION("""COMPUTED_VALUE"""),45490.0)</f>
        <v>45490</v>
      </c>
      <c r="C14979" s="13">
        <f>IFERROR(__xludf.DUMMYFUNCTION("""COMPUTED_VALUE"""),0.125)</f>
        <v>0.125</v>
      </c>
      <c r="D14979" s="8">
        <f>IFERROR(__xludf.DUMMYFUNCTION("""COMPUTED_VALUE"""),0.139)</f>
        <v>0.139</v>
      </c>
      <c r="E14979" s="8" t="str">
        <f>IFERROR(__xludf.DUMMYFUNCTION("""COMPUTED_VALUE"""),"Real")</f>
        <v>Real</v>
      </c>
      <c r="G14979" s="8">
        <f t="shared" si="1"/>
        <v>7</v>
      </c>
      <c r="H14979" s="14">
        <f t="shared" si="2"/>
        <v>17</v>
      </c>
      <c r="I14979" s="15">
        <f t="shared" si="3"/>
        <v>3</v>
      </c>
    </row>
    <row r="14980">
      <c r="A14980" s="8" t="str">
        <f>IFERROR(__xludf.DUMMYFUNCTION("IF('(INGESTA)Datos_consumo_datadis'!A14980&lt;&gt;"""",SPLIT('(INGESTA)Datos_consumo_datadis'!A:A,"",""),"""")"),"ES0031408323131005HX0F")</f>
        <v>ES0031408323131005HX0F</v>
      </c>
      <c r="B14980" s="12">
        <f>IFERROR(__xludf.DUMMYFUNCTION("""COMPUTED_VALUE"""),45490.0)</f>
        <v>45490</v>
      </c>
      <c r="C14980" s="13">
        <f>IFERROR(__xludf.DUMMYFUNCTION("""COMPUTED_VALUE"""),0.16666666666666666)</f>
        <v>0.1666666667</v>
      </c>
      <c r="D14980" s="8">
        <f>IFERROR(__xludf.DUMMYFUNCTION("""COMPUTED_VALUE"""),0.096)</f>
        <v>0.096</v>
      </c>
      <c r="E14980" s="8" t="str">
        <f>IFERROR(__xludf.DUMMYFUNCTION("""COMPUTED_VALUE"""),"Real")</f>
        <v>Real</v>
      </c>
      <c r="G14980" s="8">
        <f t="shared" si="1"/>
        <v>7</v>
      </c>
      <c r="H14980" s="14">
        <f t="shared" si="2"/>
        <v>17</v>
      </c>
      <c r="I14980" s="15">
        <f t="shared" si="3"/>
        <v>4</v>
      </c>
    </row>
    <row r="14981">
      <c r="A14981" s="8" t="str">
        <f>IFERROR(__xludf.DUMMYFUNCTION("IF('(INGESTA)Datos_consumo_datadis'!A14981&lt;&gt;"""",SPLIT('(INGESTA)Datos_consumo_datadis'!A:A,"",""),"""")"),"ES0031408323131005HX0F")</f>
        <v>ES0031408323131005HX0F</v>
      </c>
      <c r="B14981" s="12">
        <f>IFERROR(__xludf.DUMMYFUNCTION("""COMPUTED_VALUE"""),45490.0)</f>
        <v>45490</v>
      </c>
      <c r="C14981" s="13">
        <f>IFERROR(__xludf.DUMMYFUNCTION("""COMPUTED_VALUE"""),0.20833333333333334)</f>
        <v>0.2083333333</v>
      </c>
      <c r="D14981" s="8">
        <f>IFERROR(__xludf.DUMMYFUNCTION("""COMPUTED_VALUE"""),0.044)</f>
        <v>0.044</v>
      </c>
      <c r="E14981" s="8" t="str">
        <f>IFERROR(__xludf.DUMMYFUNCTION("""COMPUTED_VALUE"""),"Real")</f>
        <v>Real</v>
      </c>
      <c r="G14981" s="8">
        <f t="shared" si="1"/>
        <v>7</v>
      </c>
      <c r="H14981" s="14">
        <f t="shared" si="2"/>
        <v>17</v>
      </c>
      <c r="I14981" s="15">
        <f t="shared" si="3"/>
        <v>5</v>
      </c>
    </row>
    <row r="14982">
      <c r="A14982" s="8" t="str">
        <f>IFERROR(__xludf.DUMMYFUNCTION("IF('(INGESTA)Datos_consumo_datadis'!A14982&lt;&gt;"""",SPLIT('(INGESTA)Datos_consumo_datadis'!A:A,"",""),"""")"),"ES0031408323131005HX0F")</f>
        <v>ES0031408323131005HX0F</v>
      </c>
      <c r="B14982" s="12">
        <f>IFERROR(__xludf.DUMMYFUNCTION("""COMPUTED_VALUE"""),45490.0)</f>
        <v>45490</v>
      </c>
      <c r="C14982" s="13">
        <f>IFERROR(__xludf.DUMMYFUNCTION("""COMPUTED_VALUE"""),0.25)</f>
        <v>0.25</v>
      </c>
      <c r="D14982" s="8">
        <f>IFERROR(__xludf.DUMMYFUNCTION("""COMPUTED_VALUE"""),0.117)</f>
        <v>0.117</v>
      </c>
      <c r="E14982" s="8" t="str">
        <f>IFERROR(__xludf.DUMMYFUNCTION("""COMPUTED_VALUE"""),"Real")</f>
        <v>Real</v>
      </c>
      <c r="G14982" s="8">
        <f t="shared" si="1"/>
        <v>7</v>
      </c>
      <c r="H14982" s="14">
        <f t="shared" si="2"/>
        <v>17</v>
      </c>
      <c r="I14982" s="15">
        <f t="shared" si="3"/>
        <v>6</v>
      </c>
    </row>
    <row r="14983">
      <c r="A14983" s="8" t="str">
        <f>IFERROR(__xludf.DUMMYFUNCTION("IF('(INGESTA)Datos_consumo_datadis'!A14983&lt;&gt;"""",SPLIT('(INGESTA)Datos_consumo_datadis'!A:A,"",""),"""")"),"ES0031408323131005HX0F")</f>
        <v>ES0031408323131005HX0F</v>
      </c>
      <c r="B14983" s="12">
        <f>IFERROR(__xludf.DUMMYFUNCTION("""COMPUTED_VALUE"""),45490.0)</f>
        <v>45490</v>
      </c>
      <c r="C14983" s="13">
        <f>IFERROR(__xludf.DUMMYFUNCTION("""COMPUTED_VALUE"""),0.2916666666666667)</f>
        <v>0.2916666667</v>
      </c>
      <c r="D14983" s="8">
        <f>IFERROR(__xludf.DUMMYFUNCTION("""COMPUTED_VALUE"""),0.086)</f>
        <v>0.086</v>
      </c>
      <c r="E14983" s="8" t="str">
        <f>IFERROR(__xludf.DUMMYFUNCTION("""COMPUTED_VALUE"""),"Real")</f>
        <v>Real</v>
      </c>
      <c r="G14983" s="8">
        <f t="shared" si="1"/>
        <v>7</v>
      </c>
      <c r="H14983" s="14">
        <f t="shared" si="2"/>
        <v>17</v>
      </c>
      <c r="I14983" s="15">
        <f t="shared" si="3"/>
        <v>7</v>
      </c>
    </row>
    <row r="14984">
      <c r="A14984" s="8" t="str">
        <f>IFERROR(__xludf.DUMMYFUNCTION("IF('(INGESTA)Datos_consumo_datadis'!A14984&lt;&gt;"""",SPLIT('(INGESTA)Datos_consumo_datadis'!A:A,"",""),"""")"),"ES0031408323131005HX0F")</f>
        <v>ES0031408323131005HX0F</v>
      </c>
      <c r="B14984" s="12">
        <f>IFERROR(__xludf.DUMMYFUNCTION("""COMPUTED_VALUE"""),45490.0)</f>
        <v>45490</v>
      </c>
      <c r="C14984" s="13">
        <f>IFERROR(__xludf.DUMMYFUNCTION("""COMPUTED_VALUE"""),0.3333333333333333)</f>
        <v>0.3333333333</v>
      </c>
      <c r="D14984" s="8">
        <f>IFERROR(__xludf.DUMMYFUNCTION("""COMPUTED_VALUE"""),0.077)</f>
        <v>0.077</v>
      </c>
      <c r="E14984" s="8" t="str">
        <f>IFERROR(__xludf.DUMMYFUNCTION("""COMPUTED_VALUE"""),"Real")</f>
        <v>Real</v>
      </c>
      <c r="G14984" s="8">
        <f t="shared" si="1"/>
        <v>7</v>
      </c>
      <c r="H14984" s="14">
        <f t="shared" si="2"/>
        <v>17</v>
      </c>
      <c r="I14984" s="15">
        <f t="shared" si="3"/>
        <v>8</v>
      </c>
    </row>
    <row r="14985">
      <c r="A14985" s="8" t="str">
        <f>IFERROR(__xludf.DUMMYFUNCTION("IF('(INGESTA)Datos_consumo_datadis'!A14985&lt;&gt;"""",SPLIT('(INGESTA)Datos_consumo_datadis'!A:A,"",""),"""")"),"ES0031408323131005HX0F")</f>
        <v>ES0031408323131005HX0F</v>
      </c>
      <c r="B14985" s="12">
        <f>IFERROR(__xludf.DUMMYFUNCTION("""COMPUTED_VALUE"""),45490.0)</f>
        <v>45490</v>
      </c>
      <c r="C14985" s="13">
        <f>IFERROR(__xludf.DUMMYFUNCTION("""COMPUTED_VALUE"""),0.375)</f>
        <v>0.375</v>
      </c>
      <c r="D14985" s="8">
        <f>IFERROR(__xludf.DUMMYFUNCTION("""COMPUTED_VALUE"""),0.103)</f>
        <v>0.103</v>
      </c>
      <c r="E14985" s="8" t="str">
        <f>IFERROR(__xludf.DUMMYFUNCTION("""COMPUTED_VALUE"""),"Real")</f>
        <v>Real</v>
      </c>
      <c r="G14985" s="8">
        <f t="shared" si="1"/>
        <v>7</v>
      </c>
      <c r="H14985" s="14">
        <f t="shared" si="2"/>
        <v>17</v>
      </c>
      <c r="I14985" s="15">
        <f t="shared" si="3"/>
        <v>9</v>
      </c>
    </row>
    <row r="14986">
      <c r="A14986" s="8" t="str">
        <f>IFERROR(__xludf.DUMMYFUNCTION("IF('(INGESTA)Datos_consumo_datadis'!A14986&lt;&gt;"""",SPLIT('(INGESTA)Datos_consumo_datadis'!A:A,"",""),"""")"),"ES0031408323131005HX0F")</f>
        <v>ES0031408323131005HX0F</v>
      </c>
      <c r="B14986" s="12">
        <f>IFERROR(__xludf.DUMMYFUNCTION("""COMPUTED_VALUE"""),45490.0)</f>
        <v>45490</v>
      </c>
      <c r="C14986" s="13">
        <f>IFERROR(__xludf.DUMMYFUNCTION("""COMPUTED_VALUE"""),0.4166666666666667)</f>
        <v>0.4166666667</v>
      </c>
      <c r="D14986" s="8">
        <f>IFERROR(__xludf.DUMMYFUNCTION("""COMPUTED_VALUE"""),0.119)</f>
        <v>0.119</v>
      </c>
      <c r="E14986" s="8" t="str">
        <f>IFERROR(__xludf.DUMMYFUNCTION("""COMPUTED_VALUE"""),"Real")</f>
        <v>Real</v>
      </c>
      <c r="G14986" s="8">
        <f t="shared" si="1"/>
        <v>7</v>
      </c>
      <c r="H14986" s="14">
        <f t="shared" si="2"/>
        <v>17</v>
      </c>
      <c r="I14986" s="15">
        <f t="shared" si="3"/>
        <v>10</v>
      </c>
    </row>
    <row r="14987">
      <c r="A14987" s="8" t="str">
        <f>IFERROR(__xludf.DUMMYFUNCTION("IF('(INGESTA)Datos_consumo_datadis'!A14987&lt;&gt;"""",SPLIT('(INGESTA)Datos_consumo_datadis'!A:A,"",""),"""")"),"ES0031408323131005HX0F")</f>
        <v>ES0031408323131005HX0F</v>
      </c>
      <c r="B14987" s="12">
        <f>IFERROR(__xludf.DUMMYFUNCTION("""COMPUTED_VALUE"""),45490.0)</f>
        <v>45490</v>
      </c>
      <c r="C14987" s="13">
        <f>IFERROR(__xludf.DUMMYFUNCTION("""COMPUTED_VALUE"""),0.4583333333333333)</f>
        <v>0.4583333333</v>
      </c>
      <c r="D14987" s="8">
        <f>IFERROR(__xludf.DUMMYFUNCTION("""COMPUTED_VALUE"""),0.445)</f>
        <v>0.445</v>
      </c>
      <c r="E14987" s="8" t="str">
        <f>IFERROR(__xludf.DUMMYFUNCTION("""COMPUTED_VALUE"""),"Real")</f>
        <v>Real</v>
      </c>
      <c r="G14987" s="8">
        <f t="shared" si="1"/>
        <v>7</v>
      </c>
      <c r="H14987" s="14">
        <f t="shared" si="2"/>
        <v>17</v>
      </c>
      <c r="I14987" s="15">
        <f t="shared" si="3"/>
        <v>11</v>
      </c>
    </row>
    <row r="14988">
      <c r="A14988" s="8" t="str">
        <f>IFERROR(__xludf.DUMMYFUNCTION("IF('(INGESTA)Datos_consumo_datadis'!A14988&lt;&gt;"""",SPLIT('(INGESTA)Datos_consumo_datadis'!A:A,"",""),"""")"),"ES0031408323131005HX0F")</f>
        <v>ES0031408323131005HX0F</v>
      </c>
      <c r="B14988" s="12">
        <f>IFERROR(__xludf.DUMMYFUNCTION("""COMPUTED_VALUE"""),45490.0)</f>
        <v>45490</v>
      </c>
      <c r="C14988" s="13">
        <f>IFERROR(__xludf.DUMMYFUNCTION("""COMPUTED_VALUE"""),0.5)</f>
        <v>0.5</v>
      </c>
      <c r="D14988" s="8">
        <f>IFERROR(__xludf.DUMMYFUNCTION("""COMPUTED_VALUE"""),0.23)</f>
        <v>0.23</v>
      </c>
      <c r="E14988" s="8" t="str">
        <f>IFERROR(__xludf.DUMMYFUNCTION("""COMPUTED_VALUE"""),"Real")</f>
        <v>Real</v>
      </c>
      <c r="G14988" s="8">
        <f t="shared" si="1"/>
        <v>7</v>
      </c>
      <c r="H14988" s="14">
        <f t="shared" si="2"/>
        <v>17</v>
      </c>
      <c r="I14988" s="15">
        <f t="shared" si="3"/>
        <v>12</v>
      </c>
    </row>
    <row r="14989">
      <c r="A14989" s="8" t="str">
        <f>IFERROR(__xludf.DUMMYFUNCTION("IF('(INGESTA)Datos_consumo_datadis'!A14989&lt;&gt;"""",SPLIT('(INGESTA)Datos_consumo_datadis'!A:A,"",""),"""")"),"ES0031408323131005HX0F")</f>
        <v>ES0031408323131005HX0F</v>
      </c>
      <c r="B14989" s="12">
        <f>IFERROR(__xludf.DUMMYFUNCTION("""COMPUTED_VALUE"""),45490.0)</f>
        <v>45490</v>
      </c>
      <c r="C14989" s="13">
        <f>IFERROR(__xludf.DUMMYFUNCTION("""COMPUTED_VALUE"""),0.5416666666666666)</f>
        <v>0.5416666667</v>
      </c>
      <c r="D14989" s="8">
        <f>IFERROR(__xludf.DUMMYFUNCTION("""COMPUTED_VALUE"""),0.239)</f>
        <v>0.239</v>
      </c>
      <c r="E14989" s="8" t="str">
        <f>IFERROR(__xludf.DUMMYFUNCTION("""COMPUTED_VALUE"""),"Real")</f>
        <v>Real</v>
      </c>
      <c r="G14989" s="8">
        <f t="shared" si="1"/>
        <v>7</v>
      </c>
      <c r="H14989" s="14">
        <f t="shared" si="2"/>
        <v>17</v>
      </c>
      <c r="I14989" s="15">
        <f t="shared" si="3"/>
        <v>13</v>
      </c>
    </row>
    <row r="14990">
      <c r="A14990" s="8" t="str">
        <f>IFERROR(__xludf.DUMMYFUNCTION("IF('(INGESTA)Datos_consumo_datadis'!A14990&lt;&gt;"""",SPLIT('(INGESTA)Datos_consumo_datadis'!A:A,"",""),"""")"),"ES0031408323131005HX0F")</f>
        <v>ES0031408323131005HX0F</v>
      </c>
      <c r="B14990" s="12">
        <f>IFERROR(__xludf.DUMMYFUNCTION("""COMPUTED_VALUE"""),45490.0)</f>
        <v>45490</v>
      </c>
      <c r="C14990" s="13">
        <f>IFERROR(__xludf.DUMMYFUNCTION("""COMPUTED_VALUE"""),0.5833333333333334)</f>
        <v>0.5833333333</v>
      </c>
      <c r="D14990" s="8">
        <f>IFERROR(__xludf.DUMMYFUNCTION("""COMPUTED_VALUE"""),0.633)</f>
        <v>0.633</v>
      </c>
      <c r="E14990" s="8" t="str">
        <f>IFERROR(__xludf.DUMMYFUNCTION("""COMPUTED_VALUE"""),"Real")</f>
        <v>Real</v>
      </c>
      <c r="G14990" s="8">
        <f t="shared" si="1"/>
        <v>7</v>
      </c>
      <c r="H14990" s="14">
        <f t="shared" si="2"/>
        <v>17</v>
      </c>
      <c r="I14990" s="15">
        <f t="shared" si="3"/>
        <v>14</v>
      </c>
    </row>
    <row r="14991">
      <c r="A14991" s="8" t="str">
        <f>IFERROR(__xludf.DUMMYFUNCTION("IF('(INGESTA)Datos_consumo_datadis'!A14991&lt;&gt;"""",SPLIT('(INGESTA)Datos_consumo_datadis'!A:A,"",""),"""")"),"ES0031408323131005HX0F")</f>
        <v>ES0031408323131005HX0F</v>
      </c>
      <c r="B14991" s="12">
        <f>IFERROR(__xludf.DUMMYFUNCTION("""COMPUTED_VALUE"""),45490.0)</f>
        <v>45490</v>
      </c>
      <c r="C14991" s="13">
        <f>IFERROR(__xludf.DUMMYFUNCTION("""COMPUTED_VALUE"""),0.625)</f>
        <v>0.625</v>
      </c>
      <c r="D14991" s="8">
        <f>IFERROR(__xludf.DUMMYFUNCTION("""COMPUTED_VALUE"""),0.649)</f>
        <v>0.649</v>
      </c>
      <c r="E14991" s="8" t="str">
        <f>IFERROR(__xludf.DUMMYFUNCTION("""COMPUTED_VALUE"""),"Real")</f>
        <v>Real</v>
      </c>
      <c r="G14991" s="8">
        <f t="shared" si="1"/>
        <v>7</v>
      </c>
      <c r="H14991" s="14">
        <f t="shared" si="2"/>
        <v>17</v>
      </c>
      <c r="I14991" s="15">
        <f t="shared" si="3"/>
        <v>15</v>
      </c>
    </row>
    <row r="14992">
      <c r="A14992" s="8" t="str">
        <f>IFERROR(__xludf.DUMMYFUNCTION("IF('(INGESTA)Datos_consumo_datadis'!A14992&lt;&gt;"""",SPLIT('(INGESTA)Datos_consumo_datadis'!A:A,"",""),"""")"),"ES0031408323131005HX0F")</f>
        <v>ES0031408323131005HX0F</v>
      </c>
      <c r="B14992" s="12">
        <f>IFERROR(__xludf.DUMMYFUNCTION("""COMPUTED_VALUE"""),45490.0)</f>
        <v>45490</v>
      </c>
      <c r="C14992" s="13">
        <f>IFERROR(__xludf.DUMMYFUNCTION("""COMPUTED_VALUE"""),0.6666666666666666)</f>
        <v>0.6666666667</v>
      </c>
      <c r="D14992" s="8">
        <f>IFERROR(__xludf.DUMMYFUNCTION("""COMPUTED_VALUE"""),0.499)</f>
        <v>0.499</v>
      </c>
      <c r="E14992" s="8" t="str">
        <f>IFERROR(__xludf.DUMMYFUNCTION("""COMPUTED_VALUE"""),"Real")</f>
        <v>Real</v>
      </c>
      <c r="G14992" s="8">
        <f t="shared" si="1"/>
        <v>7</v>
      </c>
      <c r="H14992" s="14">
        <f t="shared" si="2"/>
        <v>17</v>
      </c>
      <c r="I14992" s="15">
        <f t="shared" si="3"/>
        <v>16</v>
      </c>
    </row>
    <row r="14993">
      <c r="A14993" s="8" t="str">
        <f>IFERROR(__xludf.DUMMYFUNCTION("IF('(INGESTA)Datos_consumo_datadis'!A14993&lt;&gt;"""",SPLIT('(INGESTA)Datos_consumo_datadis'!A:A,"",""),"""")"),"ES0031408323131005HX0F")</f>
        <v>ES0031408323131005HX0F</v>
      </c>
      <c r="B14993" s="12">
        <f>IFERROR(__xludf.DUMMYFUNCTION("""COMPUTED_VALUE"""),45490.0)</f>
        <v>45490</v>
      </c>
      <c r="C14993" s="13">
        <f>IFERROR(__xludf.DUMMYFUNCTION("""COMPUTED_VALUE"""),0.7083333333333334)</f>
        <v>0.7083333333</v>
      </c>
      <c r="D14993" s="8">
        <f>IFERROR(__xludf.DUMMYFUNCTION("""COMPUTED_VALUE"""),0.497)</f>
        <v>0.497</v>
      </c>
      <c r="E14993" s="8" t="str">
        <f>IFERROR(__xludf.DUMMYFUNCTION("""COMPUTED_VALUE"""),"Real")</f>
        <v>Real</v>
      </c>
      <c r="G14993" s="8">
        <f t="shared" si="1"/>
        <v>7</v>
      </c>
      <c r="H14993" s="14">
        <f t="shared" si="2"/>
        <v>17</v>
      </c>
      <c r="I14993" s="15">
        <f t="shared" si="3"/>
        <v>17</v>
      </c>
    </row>
    <row r="14994">
      <c r="A14994" s="8" t="str">
        <f>IFERROR(__xludf.DUMMYFUNCTION("IF('(INGESTA)Datos_consumo_datadis'!A14994&lt;&gt;"""",SPLIT('(INGESTA)Datos_consumo_datadis'!A:A,"",""),"""")"),"ES0031408323131005HX0F")</f>
        <v>ES0031408323131005HX0F</v>
      </c>
      <c r="B14994" s="12">
        <f>IFERROR(__xludf.DUMMYFUNCTION("""COMPUTED_VALUE"""),45490.0)</f>
        <v>45490</v>
      </c>
      <c r="C14994" s="13">
        <f>IFERROR(__xludf.DUMMYFUNCTION("""COMPUTED_VALUE"""),0.75)</f>
        <v>0.75</v>
      </c>
      <c r="D14994" s="8">
        <f>IFERROR(__xludf.DUMMYFUNCTION("""COMPUTED_VALUE"""),0.161)</f>
        <v>0.161</v>
      </c>
      <c r="E14994" s="8" t="str">
        <f>IFERROR(__xludf.DUMMYFUNCTION("""COMPUTED_VALUE"""),"Real")</f>
        <v>Real</v>
      </c>
      <c r="G14994" s="8">
        <f t="shared" si="1"/>
        <v>7</v>
      </c>
      <c r="H14994" s="14">
        <f t="shared" si="2"/>
        <v>17</v>
      </c>
      <c r="I14994" s="15">
        <f t="shared" si="3"/>
        <v>18</v>
      </c>
    </row>
    <row r="14995">
      <c r="A14995" s="8" t="str">
        <f>IFERROR(__xludf.DUMMYFUNCTION("IF('(INGESTA)Datos_consumo_datadis'!A14995&lt;&gt;"""",SPLIT('(INGESTA)Datos_consumo_datadis'!A:A,"",""),"""")"),"ES0031408323131005HX0F")</f>
        <v>ES0031408323131005HX0F</v>
      </c>
      <c r="B14995" s="12">
        <f>IFERROR(__xludf.DUMMYFUNCTION("""COMPUTED_VALUE"""),45490.0)</f>
        <v>45490</v>
      </c>
      <c r="C14995" s="13">
        <f>IFERROR(__xludf.DUMMYFUNCTION("""COMPUTED_VALUE"""),0.7916666666666666)</f>
        <v>0.7916666667</v>
      </c>
      <c r="D14995" s="8">
        <f>IFERROR(__xludf.DUMMYFUNCTION("""COMPUTED_VALUE"""),0.21)</f>
        <v>0.21</v>
      </c>
      <c r="E14995" s="8" t="str">
        <f>IFERROR(__xludf.DUMMYFUNCTION("""COMPUTED_VALUE"""),"Real")</f>
        <v>Real</v>
      </c>
      <c r="G14995" s="8">
        <f t="shared" si="1"/>
        <v>7</v>
      </c>
      <c r="H14995" s="14">
        <f t="shared" si="2"/>
        <v>17</v>
      </c>
      <c r="I14995" s="15">
        <f t="shared" si="3"/>
        <v>19</v>
      </c>
    </row>
    <row r="14996">
      <c r="A14996" s="8" t="str">
        <f>IFERROR(__xludf.DUMMYFUNCTION("IF('(INGESTA)Datos_consumo_datadis'!A14996&lt;&gt;"""",SPLIT('(INGESTA)Datos_consumo_datadis'!A:A,"",""),"""")"),"ES0031408323131005HX0F")</f>
        <v>ES0031408323131005HX0F</v>
      </c>
      <c r="B14996" s="12">
        <f>IFERROR(__xludf.DUMMYFUNCTION("""COMPUTED_VALUE"""),45490.0)</f>
        <v>45490</v>
      </c>
      <c r="C14996" s="13">
        <f>IFERROR(__xludf.DUMMYFUNCTION("""COMPUTED_VALUE"""),0.8333333333333334)</f>
        <v>0.8333333333</v>
      </c>
      <c r="D14996" s="8">
        <f>IFERROR(__xludf.DUMMYFUNCTION("""COMPUTED_VALUE"""),0.571)</f>
        <v>0.571</v>
      </c>
      <c r="E14996" s="8" t="str">
        <f>IFERROR(__xludf.DUMMYFUNCTION("""COMPUTED_VALUE"""),"Real")</f>
        <v>Real</v>
      </c>
      <c r="G14996" s="8">
        <f t="shared" si="1"/>
        <v>7</v>
      </c>
      <c r="H14996" s="14">
        <f t="shared" si="2"/>
        <v>17</v>
      </c>
      <c r="I14996" s="15">
        <f t="shared" si="3"/>
        <v>20</v>
      </c>
    </row>
    <row r="14997">
      <c r="A14997" s="8" t="str">
        <f>IFERROR(__xludf.DUMMYFUNCTION("IF('(INGESTA)Datos_consumo_datadis'!A14997&lt;&gt;"""",SPLIT('(INGESTA)Datos_consumo_datadis'!A:A,"",""),"""")"),"ES0031408323131005HX0F")</f>
        <v>ES0031408323131005HX0F</v>
      </c>
      <c r="B14997" s="12">
        <f>IFERROR(__xludf.DUMMYFUNCTION("""COMPUTED_VALUE"""),45490.0)</f>
        <v>45490</v>
      </c>
      <c r="C14997" s="13">
        <f>IFERROR(__xludf.DUMMYFUNCTION("""COMPUTED_VALUE"""),0.875)</f>
        <v>0.875</v>
      </c>
      <c r="D14997" s="8">
        <f>IFERROR(__xludf.DUMMYFUNCTION("""COMPUTED_VALUE"""),1.888)</f>
        <v>1.888</v>
      </c>
      <c r="E14997" s="8" t="str">
        <f>IFERROR(__xludf.DUMMYFUNCTION("""COMPUTED_VALUE"""),"Real")</f>
        <v>Real</v>
      </c>
      <c r="G14997" s="8">
        <f t="shared" si="1"/>
        <v>7</v>
      </c>
      <c r="H14997" s="14">
        <f t="shared" si="2"/>
        <v>17</v>
      </c>
      <c r="I14997" s="15">
        <f t="shared" si="3"/>
        <v>21</v>
      </c>
    </row>
    <row r="14998">
      <c r="A14998" s="8" t="str">
        <f>IFERROR(__xludf.DUMMYFUNCTION("IF('(INGESTA)Datos_consumo_datadis'!A14998&lt;&gt;"""",SPLIT('(INGESTA)Datos_consumo_datadis'!A:A,"",""),"""")"),"ES0031408323131005HX0F")</f>
        <v>ES0031408323131005HX0F</v>
      </c>
      <c r="B14998" s="12">
        <f>IFERROR(__xludf.DUMMYFUNCTION("""COMPUTED_VALUE"""),45490.0)</f>
        <v>45490</v>
      </c>
      <c r="C14998" s="13">
        <f>IFERROR(__xludf.DUMMYFUNCTION("""COMPUTED_VALUE"""),0.9166666666666666)</f>
        <v>0.9166666667</v>
      </c>
      <c r="D14998" s="8">
        <f>IFERROR(__xludf.DUMMYFUNCTION("""COMPUTED_VALUE"""),0.245)</f>
        <v>0.245</v>
      </c>
      <c r="E14998" s="8" t="str">
        <f>IFERROR(__xludf.DUMMYFUNCTION("""COMPUTED_VALUE"""),"Real")</f>
        <v>Real</v>
      </c>
      <c r="G14998" s="8">
        <f t="shared" si="1"/>
        <v>7</v>
      </c>
      <c r="H14998" s="14">
        <f t="shared" si="2"/>
        <v>17</v>
      </c>
      <c r="I14998" s="15">
        <f t="shared" si="3"/>
        <v>22</v>
      </c>
    </row>
    <row r="14999">
      <c r="A14999" s="8" t="str">
        <f>IFERROR(__xludf.DUMMYFUNCTION("IF('(INGESTA)Datos_consumo_datadis'!A14999&lt;&gt;"""",SPLIT('(INGESTA)Datos_consumo_datadis'!A:A,"",""),"""")"),"ES0031408323131005HX0F")</f>
        <v>ES0031408323131005HX0F</v>
      </c>
      <c r="B14999" s="12">
        <f>IFERROR(__xludf.DUMMYFUNCTION("""COMPUTED_VALUE"""),45490.0)</f>
        <v>45490</v>
      </c>
      <c r="C14999" s="13">
        <f>IFERROR(__xludf.DUMMYFUNCTION("""COMPUTED_VALUE"""),0.9583333333333334)</f>
        <v>0.9583333333</v>
      </c>
      <c r="D14999" s="8">
        <f>IFERROR(__xludf.DUMMYFUNCTION("""COMPUTED_VALUE"""),0.511)</f>
        <v>0.511</v>
      </c>
      <c r="E14999" s="8" t="str">
        <f>IFERROR(__xludf.DUMMYFUNCTION("""COMPUTED_VALUE"""),"Real")</f>
        <v>Real</v>
      </c>
      <c r="G14999" s="8">
        <f t="shared" si="1"/>
        <v>7</v>
      </c>
      <c r="H14999" s="14">
        <f t="shared" si="2"/>
        <v>17</v>
      </c>
      <c r="I14999" s="15">
        <f t="shared" si="3"/>
        <v>23</v>
      </c>
    </row>
    <row r="15000">
      <c r="A15000" s="8" t="str">
        <f>IFERROR(__xludf.DUMMYFUNCTION("IF('(INGESTA)Datos_consumo_datadis'!A15000&lt;&gt;"""",SPLIT('(INGESTA)Datos_consumo_datadis'!A:A,"",""),"""")"),"ES0031408323131005HX0F")</f>
        <v>ES0031408323131005HX0F</v>
      </c>
      <c r="B15000" s="12">
        <f>IFERROR(__xludf.DUMMYFUNCTION("""COMPUTED_VALUE"""),45490.0)</f>
        <v>45490</v>
      </c>
      <c r="C15000" s="16">
        <f>IFERROR(__xludf.DUMMYFUNCTION("""COMPUTED_VALUE"""),1.0)</f>
        <v>1</v>
      </c>
      <c r="D15000" s="8">
        <f>IFERROR(__xludf.DUMMYFUNCTION("""COMPUTED_VALUE"""),0.615)</f>
        <v>0.615</v>
      </c>
      <c r="E15000" s="8" t="str">
        <f>IFERROR(__xludf.DUMMYFUNCTION("""COMPUTED_VALUE"""),"Real")</f>
        <v>Real</v>
      </c>
      <c r="G15000" s="8">
        <f t="shared" si="1"/>
        <v>7</v>
      </c>
      <c r="H15000" s="14">
        <f t="shared" si="2"/>
        <v>17</v>
      </c>
      <c r="I15000" s="15">
        <f t="shared" si="3"/>
        <v>0</v>
      </c>
    </row>
    <row r="15001">
      <c r="A15001" s="8" t="str">
        <f>IFERROR(__xludf.DUMMYFUNCTION("IF('(INGESTA)Datos_consumo_datadis'!A15001&lt;&gt;"""",SPLIT('(INGESTA)Datos_consumo_datadis'!A:A,"",""),"""")"),"ES0031408323131005HX0F")</f>
        <v>ES0031408323131005HX0F</v>
      </c>
      <c r="B15001" s="12">
        <f>IFERROR(__xludf.DUMMYFUNCTION("""COMPUTED_VALUE"""),45491.0)</f>
        <v>45491</v>
      </c>
      <c r="C15001" s="13">
        <f>IFERROR(__xludf.DUMMYFUNCTION("""COMPUTED_VALUE"""),0.041666666666666664)</f>
        <v>0.04166666667</v>
      </c>
      <c r="D15001" s="8">
        <f>IFERROR(__xludf.DUMMYFUNCTION("""COMPUTED_VALUE"""),0.457)</f>
        <v>0.457</v>
      </c>
      <c r="E15001" s="8" t="str">
        <f>IFERROR(__xludf.DUMMYFUNCTION("""COMPUTED_VALUE"""),"Real")</f>
        <v>Real</v>
      </c>
      <c r="G15001" s="8">
        <f t="shared" si="1"/>
        <v>7</v>
      </c>
      <c r="H15001" s="14">
        <f t="shared" si="2"/>
        <v>18</v>
      </c>
      <c r="I15001" s="15">
        <f t="shared" si="3"/>
        <v>1</v>
      </c>
    </row>
    <row r="15002">
      <c r="A15002" s="8" t="str">
        <f>IFERROR(__xludf.DUMMYFUNCTION("IF('(INGESTA)Datos_consumo_datadis'!A15002&lt;&gt;"""",SPLIT('(INGESTA)Datos_consumo_datadis'!A:A,"",""),"""")"),"ES0031408323131005HX0F")</f>
        <v>ES0031408323131005HX0F</v>
      </c>
      <c r="B15002" s="12">
        <f>IFERROR(__xludf.DUMMYFUNCTION("""COMPUTED_VALUE"""),45491.0)</f>
        <v>45491</v>
      </c>
      <c r="C15002" s="13">
        <f>IFERROR(__xludf.DUMMYFUNCTION("""COMPUTED_VALUE"""),0.08333333333333333)</f>
        <v>0.08333333333</v>
      </c>
      <c r="D15002" s="8">
        <f>IFERROR(__xludf.DUMMYFUNCTION("""COMPUTED_VALUE"""),0.469)</f>
        <v>0.469</v>
      </c>
      <c r="E15002" s="8" t="str">
        <f>IFERROR(__xludf.DUMMYFUNCTION("""COMPUTED_VALUE"""),"Real")</f>
        <v>Real</v>
      </c>
      <c r="G15002" s="8">
        <f t="shared" si="1"/>
        <v>7</v>
      </c>
      <c r="H15002" s="14">
        <f t="shared" si="2"/>
        <v>18</v>
      </c>
      <c r="I15002" s="15">
        <f t="shared" si="3"/>
        <v>2</v>
      </c>
    </row>
    <row r="15003">
      <c r="A15003" s="8" t="str">
        <f>IFERROR(__xludf.DUMMYFUNCTION("IF('(INGESTA)Datos_consumo_datadis'!A15003&lt;&gt;"""",SPLIT('(INGESTA)Datos_consumo_datadis'!A:A,"",""),"""")"),"ES0031408323131005HX0F")</f>
        <v>ES0031408323131005HX0F</v>
      </c>
      <c r="B15003" s="12">
        <f>IFERROR(__xludf.DUMMYFUNCTION("""COMPUTED_VALUE"""),45491.0)</f>
        <v>45491</v>
      </c>
      <c r="C15003" s="13">
        <f>IFERROR(__xludf.DUMMYFUNCTION("""COMPUTED_VALUE"""),0.125)</f>
        <v>0.125</v>
      </c>
      <c r="D15003" s="8">
        <f>IFERROR(__xludf.DUMMYFUNCTION("""COMPUTED_VALUE"""),0.34)</f>
        <v>0.34</v>
      </c>
      <c r="E15003" s="8" t="str">
        <f>IFERROR(__xludf.DUMMYFUNCTION("""COMPUTED_VALUE"""),"Real")</f>
        <v>Real</v>
      </c>
      <c r="G15003" s="8">
        <f t="shared" si="1"/>
        <v>7</v>
      </c>
      <c r="H15003" s="14">
        <f t="shared" si="2"/>
        <v>18</v>
      </c>
      <c r="I15003" s="15">
        <f t="shared" si="3"/>
        <v>3</v>
      </c>
    </row>
    <row r="15004">
      <c r="A15004" s="8" t="str">
        <f>IFERROR(__xludf.DUMMYFUNCTION("IF('(INGESTA)Datos_consumo_datadis'!A15004&lt;&gt;"""",SPLIT('(INGESTA)Datos_consumo_datadis'!A:A,"",""),"""")"),"ES0031408323131005HX0F")</f>
        <v>ES0031408323131005HX0F</v>
      </c>
      <c r="B15004" s="12">
        <f>IFERROR(__xludf.DUMMYFUNCTION("""COMPUTED_VALUE"""),45491.0)</f>
        <v>45491</v>
      </c>
      <c r="C15004" s="13">
        <f>IFERROR(__xludf.DUMMYFUNCTION("""COMPUTED_VALUE"""),0.16666666666666666)</f>
        <v>0.1666666667</v>
      </c>
      <c r="D15004" s="8">
        <f>IFERROR(__xludf.DUMMYFUNCTION("""COMPUTED_VALUE"""),0.388)</f>
        <v>0.388</v>
      </c>
      <c r="E15004" s="8" t="str">
        <f>IFERROR(__xludf.DUMMYFUNCTION("""COMPUTED_VALUE"""),"Real")</f>
        <v>Real</v>
      </c>
      <c r="G15004" s="8">
        <f t="shared" si="1"/>
        <v>7</v>
      </c>
      <c r="H15004" s="14">
        <f t="shared" si="2"/>
        <v>18</v>
      </c>
      <c r="I15004" s="15">
        <f t="shared" si="3"/>
        <v>4</v>
      </c>
    </row>
    <row r="15005">
      <c r="A15005" s="8" t="str">
        <f>IFERROR(__xludf.DUMMYFUNCTION("IF('(INGESTA)Datos_consumo_datadis'!A15005&lt;&gt;"""",SPLIT('(INGESTA)Datos_consumo_datadis'!A:A,"",""),"""")"),"ES0031408323131005HX0F")</f>
        <v>ES0031408323131005HX0F</v>
      </c>
      <c r="B15005" s="12">
        <f>IFERROR(__xludf.DUMMYFUNCTION("""COMPUTED_VALUE"""),45491.0)</f>
        <v>45491</v>
      </c>
      <c r="C15005" s="13">
        <f>IFERROR(__xludf.DUMMYFUNCTION("""COMPUTED_VALUE"""),0.20833333333333334)</f>
        <v>0.2083333333</v>
      </c>
      <c r="D15005" s="8">
        <f>IFERROR(__xludf.DUMMYFUNCTION("""COMPUTED_VALUE"""),0.358)</f>
        <v>0.358</v>
      </c>
      <c r="E15005" s="8" t="str">
        <f>IFERROR(__xludf.DUMMYFUNCTION("""COMPUTED_VALUE"""),"Real")</f>
        <v>Real</v>
      </c>
      <c r="G15005" s="8">
        <f t="shared" si="1"/>
        <v>7</v>
      </c>
      <c r="H15005" s="14">
        <f t="shared" si="2"/>
        <v>18</v>
      </c>
      <c r="I15005" s="15">
        <f t="shared" si="3"/>
        <v>5</v>
      </c>
    </row>
    <row r="15006">
      <c r="A15006" s="8" t="str">
        <f>IFERROR(__xludf.DUMMYFUNCTION("IF('(INGESTA)Datos_consumo_datadis'!A15006&lt;&gt;"""",SPLIT('(INGESTA)Datos_consumo_datadis'!A:A,"",""),"""")"),"ES0031408323131005HX0F")</f>
        <v>ES0031408323131005HX0F</v>
      </c>
      <c r="B15006" s="12">
        <f>IFERROR(__xludf.DUMMYFUNCTION("""COMPUTED_VALUE"""),45491.0)</f>
        <v>45491</v>
      </c>
      <c r="C15006" s="13">
        <f>IFERROR(__xludf.DUMMYFUNCTION("""COMPUTED_VALUE"""),0.25)</f>
        <v>0.25</v>
      </c>
      <c r="D15006" s="8">
        <f>IFERROR(__xludf.DUMMYFUNCTION("""COMPUTED_VALUE"""),0.338)</f>
        <v>0.338</v>
      </c>
      <c r="E15006" s="8" t="str">
        <f>IFERROR(__xludf.DUMMYFUNCTION("""COMPUTED_VALUE"""),"Real")</f>
        <v>Real</v>
      </c>
      <c r="G15006" s="8">
        <f t="shared" si="1"/>
        <v>7</v>
      </c>
      <c r="H15006" s="14">
        <f t="shared" si="2"/>
        <v>18</v>
      </c>
      <c r="I15006" s="15">
        <f t="shared" si="3"/>
        <v>6</v>
      </c>
    </row>
    <row r="15007">
      <c r="A15007" s="8" t="str">
        <f>IFERROR(__xludf.DUMMYFUNCTION("IF('(INGESTA)Datos_consumo_datadis'!A15007&lt;&gt;"""",SPLIT('(INGESTA)Datos_consumo_datadis'!A:A,"",""),"""")"),"ES0031408323131005HX0F")</f>
        <v>ES0031408323131005HX0F</v>
      </c>
      <c r="B15007" s="12">
        <f>IFERROR(__xludf.DUMMYFUNCTION("""COMPUTED_VALUE"""),45491.0)</f>
        <v>45491</v>
      </c>
      <c r="C15007" s="13">
        <f>IFERROR(__xludf.DUMMYFUNCTION("""COMPUTED_VALUE"""),0.2916666666666667)</f>
        <v>0.2916666667</v>
      </c>
      <c r="D15007" s="8">
        <f>IFERROR(__xludf.DUMMYFUNCTION("""COMPUTED_VALUE"""),0.6)</f>
        <v>0.6</v>
      </c>
      <c r="E15007" s="8" t="str">
        <f>IFERROR(__xludf.DUMMYFUNCTION("""COMPUTED_VALUE"""),"Real")</f>
        <v>Real</v>
      </c>
      <c r="G15007" s="8">
        <f t="shared" si="1"/>
        <v>7</v>
      </c>
      <c r="H15007" s="14">
        <f t="shared" si="2"/>
        <v>18</v>
      </c>
      <c r="I15007" s="15">
        <f t="shared" si="3"/>
        <v>7</v>
      </c>
    </row>
    <row r="15008">
      <c r="A15008" s="8" t="str">
        <f>IFERROR(__xludf.DUMMYFUNCTION("IF('(INGESTA)Datos_consumo_datadis'!A15008&lt;&gt;"""",SPLIT('(INGESTA)Datos_consumo_datadis'!A:A,"",""),"""")"),"ES0031408323131005HX0F")</f>
        <v>ES0031408323131005HX0F</v>
      </c>
      <c r="B15008" s="12">
        <f>IFERROR(__xludf.DUMMYFUNCTION("""COMPUTED_VALUE"""),45491.0)</f>
        <v>45491</v>
      </c>
      <c r="C15008" s="13">
        <f>IFERROR(__xludf.DUMMYFUNCTION("""COMPUTED_VALUE"""),0.3333333333333333)</f>
        <v>0.3333333333</v>
      </c>
      <c r="D15008" s="8">
        <f>IFERROR(__xludf.DUMMYFUNCTION("""COMPUTED_VALUE"""),0.285)</f>
        <v>0.285</v>
      </c>
      <c r="E15008" s="8" t="str">
        <f>IFERROR(__xludf.DUMMYFUNCTION("""COMPUTED_VALUE"""),"Real")</f>
        <v>Real</v>
      </c>
      <c r="G15008" s="8">
        <f t="shared" si="1"/>
        <v>7</v>
      </c>
      <c r="H15008" s="14">
        <f t="shared" si="2"/>
        <v>18</v>
      </c>
      <c r="I15008" s="15">
        <f t="shared" si="3"/>
        <v>8</v>
      </c>
    </row>
    <row r="15009">
      <c r="A15009" s="8" t="str">
        <f>IFERROR(__xludf.DUMMYFUNCTION("IF('(INGESTA)Datos_consumo_datadis'!A15009&lt;&gt;"""",SPLIT('(INGESTA)Datos_consumo_datadis'!A:A,"",""),"""")"),"ES0031408323131005HX0F")</f>
        <v>ES0031408323131005HX0F</v>
      </c>
      <c r="B15009" s="12">
        <f>IFERROR(__xludf.DUMMYFUNCTION("""COMPUTED_VALUE"""),45491.0)</f>
        <v>45491</v>
      </c>
      <c r="C15009" s="13">
        <f>IFERROR(__xludf.DUMMYFUNCTION("""COMPUTED_VALUE"""),0.375)</f>
        <v>0.375</v>
      </c>
      <c r="D15009" s="8">
        <f>IFERROR(__xludf.DUMMYFUNCTION("""COMPUTED_VALUE"""),0.257)</f>
        <v>0.257</v>
      </c>
      <c r="E15009" s="8" t="str">
        <f>IFERROR(__xludf.DUMMYFUNCTION("""COMPUTED_VALUE"""),"Real")</f>
        <v>Real</v>
      </c>
      <c r="G15009" s="8">
        <f t="shared" si="1"/>
        <v>7</v>
      </c>
      <c r="H15009" s="14">
        <f t="shared" si="2"/>
        <v>18</v>
      </c>
      <c r="I15009" s="15">
        <f t="shared" si="3"/>
        <v>9</v>
      </c>
    </row>
    <row r="15010">
      <c r="A15010" s="8" t="str">
        <f>IFERROR(__xludf.DUMMYFUNCTION("IF('(INGESTA)Datos_consumo_datadis'!A15010&lt;&gt;"""",SPLIT('(INGESTA)Datos_consumo_datadis'!A:A,"",""),"""")"),"ES0031408323131005HX0F")</f>
        <v>ES0031408323131005HX0F</v>
      </c>
      <c r="B15010" s="12">
        <f>IFERROR(__xludf.DUMMYFUNCTION("""COMPUTED_VALUE"""),45491.0)</f>
        <v>45491</v>
      </c>
      <c r="C15010" s="13">
        <f>IFERROR(__xludf.DUMMYFUNCTION("""COMPUTED_VALUE"""),0.4166666666666667)</f>
        <v>0.4166666667</v>
      </c>
      <c r="D15010" s="8">
        <f>IFERROR(__xludf.DUMMYFUNCTION("""COMPUTED_VALUE"""),0.817)</f>
        <v>0.817</v>
      </c>
      <c r="E15010" s="8" t="str">
        <f>IFERROR(__xludf.DUMMYFUNCTION("""COMPUTED_VALUE"""),"Real")</f>
        <v>Real</v>
      </c>
      <c r="G15010" s="8">
        <f t="shared" si="1"/>
        <v>7</v>
      </c>
      <c r="H15010" s="14">
        <f t="shared" si="2"/>
        <v>18</v>
      </c>
      <c r="I15010" s="15">
        <f t="shared" si="3"/>
        <v>10</v>
      </c>
    </row>
    <row r="15011">
      <c r="A15011" s="8" t="str">
        <f>IFERROR(__xludf.DUMMYFUNCTION("IF('(INGESTA)Datos_consumo_datadis'!A15011&lt;&gt;"""",SPLIT('(INGESTA)Datos_consumo_datadis'!A:A,"",""),"""")"),"ES0031408323131005HX0F")</f>
        <v>ES0031408323131005HX0F</v>
      </c>
      <c r="B15011" s="12">
        <f>IFERROR(__xludf.DUMMYFUNCTION("""COMPUTED_VALUE"""),45491.0)</f>
        <v>45491</v>
      </c>
      <c r="C15011" s="13">
        <f>IFERROR(__xludf.DUMMYFUNCTION("""COMPUTED_VALUE"""),0.4583333333333333)</f>
        <v>0.4583333333</v>
      </c>
      <c r="D15011" s="8">
        <f>IFERROR(__xludf.DUMMYFUNCTION("""COMPUTED_VALUE"""),0.086)</f>
        <v>0.086</v>
      </c>
      <c r="E15011" s="8" t="str">
        <f>IFERROR(__xludf.DUMMYFUNCTION("""COMPUTED_VALUE"""),"Real")</f>
        <v>Real</v>
      </c>
      <c r="G15011" s="8">
        <f t="shared" si="1"/>
        <v>7</v>
      </c>
      <c r="H15011" s="14">
        <f t="shared" si="2"/>
        <v>18</v>
      </c>
      <c r="I15011" s="15">
        <f t="shared" si="3"/>
        <v>11</v>
      </c>
    </row>
    <row r="15012">
      <c r="A15012" s="8" t="str">
        <f>IFERROR(__xludf.DUMMYFUNCTION("IF('(INGESTA)Datos_consumo_datadis'!A15012&lt;&gt;"""",SPLIT('(INGESTA)Datos_consumo_datadis'!A:A,"",""),"""")"),"ES0031408323131005HX0F")</f>
        <v>ES0031408323131005HX0F</v>
      </c>
      <c r="B15012" s="12">
        <f>IFERROR(__xludf.DUMMYFUNCTION("""COMPUTED_VALUE"""),45491.0)</f>
        <v>45491</v>
      </c>
      <c r="C15012" s="13">
        <f>IFERROR(__xludf.DUMMYFUNCTION("""COMPUTED_VALUE"""),0.5)</f>
        <v>0.5</v>
      </c>
      <c r="D15012" s="8">
        <f>IFERROR(__xludf.DUMMYFUNCTION("""COMPUTED_VALUE"""),0.103)</f>
        <v>0.103</v>
      </c>
      <c r="E15012" s="8" t="str">
        <f>IFERROR(__xludf.DUMMYFUNCTION("""COMPUTED_VALUE"""),"Real")</f>
        <v>Real</v>
      </c>
      <c r="G15012" s="8">
        <f t="shared" si="1"/>
        <v>7</v>
      </c>
      <c r="H15012" s="14">
        <f t="shared" si="2"/>
        <v>18</v>
      </c>
      <c r="I15012" s="15">
        <f t="shared" si="3"/>
        <v>12</v>
      </c>
    </row>
    <row r="15013">
      <c r="A15013" s="8" t="str">
        <f>IFERROR(__xludf.DUMMYFUNCTION("IF('(INGESTA)Datos_consumo_datadis'!A15013&lt;&gt;"""",SPLIT('(INGESTA)Datos_consumo_datadis'!A:A,"",""),"""")"),"ES0031408323131005HX0F")</f>
        <v>ES0031408323131005HX0F</v>
      </c>
      <c r="B15013" s="12">
        <f>IFERROR(__xludf.DUMMYFUNCTION("""COMPUTED_VALUE"""),45491.0)</f>
        <v>45491</v>
      </c>
      <c r="C15013" s="13">
        <f>IFERROR(__xludf.DUMMYFUNCTION("""COMPUTED_VALUE"""),0.5416666666666666)</f>
        <v>0.5416666667</v>
      </c>
      <c r="D15013" s="8">
        <f>IFERROR(__xludf.DUMMYFUNCTION("""COMPUTED_VALUE"""),0.131)</f>
        <v>0.131</v>
      </c>
      <c r="E15013" s="8" t="str">
        <f>IFERROR(__xludf.DUMMYFUNCTION("""COMPUTED_VALUE"""),"Real")</f>
        <v>Real</v>
      </c>
      <c r="G15013" s="8">
        <f t="shared" si="1"/>
        <v>7</v>
      </c>
      <c r="H15013" s="14">
        <f t="shared" si="2"/>
        <v>18</v>
      </c>
      <c r="I15013" s="15">
        <f t="shared" si="3"/>
        <v>13</v>
      </c>
    </row>
    <row r="15014">
      <c r="A15014" s="8" t="str">
        <f>IFERROR(__xludf.DUMMYFUNCTION("IF('(INGESTA)Datos_consumo_datadis'!A15014&lt;&gt;"""",SPLIT('(INGESTA)Datos_consumo_datadis'!A:A,"",""),"""")"),"ES0031408323131005HX0F")</f>
        <v>ES0031408323131005HX0F</v>
      </c>
      <c r="B15014" s="12">
        <f>IFERROR(__xludf.DUMMYFUNCTION("""COMPUTED_VALUE"""),45491.0)</f>
        <v>45491</v>
      </c>
      <c r="C15014" s="13">
        <f>IFERROR(__xludf.DUMMYFUNCTION("""COMPUTED_VALUE"""),0.5833333333333334)</f>
        <v>0.5833333333</v>
      </c>
      <c r="D15014" s="8">
        <f>IFERROR(__xludf.DUMMYFUNCTION("""COMPUTED_VALUE"""),0.099)</f>
        <v>0.099</v>
      </c>
      <c r="E15014" s="8" t="str">
        <f>IFERROR(__xludf.DUMMYFUNCTION("""COMPUTED_VALUE"""),"Real")</f>
        <v>Real</v>
      </c>
      <c r="G15014" s="8">
        <f t="shared" si="1"/>
        <v>7</v>
      </c>
      <c r="H15014" s="14">
        <f t="shared" si="2"/>
        <v>18</v>
      </c>
      <c r="I15014" s="15">
        <f t="shared" si="3"/>
        <v>14</v>
      </c>
    </row>
    <row r="15015">
      <c r="A15015" s="8" t="str">
        <f>IFERROR(__xludf.DUMMYFUNCTION("IF('(INGESTA)Datos_consumo_datadis'!A15015&lt;&gt;"""",SPLIT('(INGESTA)Datos_consumo_datadis'!A:A,"",""),"""")"),"ES0031408323131005HX0F")</f>
        <v>ES0031408323131005HX0F</v>
      </c>
      <c r="B15015" s="12">
        <f>IFERROR(__xludf.DUMMYFUNCTION("""COMPUTED_VALUE"""),45491.0)</f>
        <v>45491</v>
      </c>
      <c r="C15015" s="13">
        <f>IFERROR(__xludf.DUMMYFUNCTION("""COMPUTED_VALUE"""),0.625)</f>
        <v>0.625</v>
      </c>
      <c r="D15015" s="8">
        <f>IFERROR(__xludf.DUMMYFUNCTION("""COMPUTED_VALUE"""),0.548)</f>
        <v>0.548</v>
      </c>
      <c r="E15015" s="8" t="str">
        <f>IFERROR(__xludf.DUMMYFUNCTION("""COMPUTED_VALUE"""),"Real")</f>
        <v>Real</v>
      </c>
      <c r="G15015" s="8">
        <f t="shared" si="1"/>
        <v>7</v>
      </c>
      <c r="H15015" s="14">
        <f t="shared" si="2"/>
        <v>18</v>
      </c>
      <c r="I15015" s="15">
        <f t="shared" si="3"/>
        <v>15</v>
      </c>
    </row>
    <row r="15016">
      <c r="A15016" s="8" t="str">
        <f>IFERROR(__xludf.DUMMYFUNCTION("IF('(INGESTA)Datos_consumo_datadis'!A15016&lt;&gt;"""",SPLIT('(INGESTA)Datos_consumo_datadis'!A:A,"",""),"""")"),"ES0031408323131005HX0F")</f>
        <v>ES0031408323131005HX0F</v>
      </c>
      <c r="B15016" s="12">
        <f>IFERROR(__xludf.DUMMYFUNCTION("""COMPUTED_VALUE"""),45491.0)</f>
        <v>45491</v>
      </c>
      <c r="C15016" s="13">
        <f>IFERROR(__xludf.DUMMYFUNCTION("""COMPUTED_VALUE"""),0.6666666666666666)</f>
        <v>0.6666666667</v>
      </c>
      <c r="D15016" s="8">
        <f>IFERROR(__xludf.DUMMYFUNCTION("""COMPUTED_VALUE"""),0.668)</f>
        <v>0.668</v>
      </c>
      <c r="E15016" s="8" t="str">
        <f>IFERROR(__xludf.DUMMYFUNCTION("""COMPUTED_VALUE"""),"Real")</f>
        <v>Real</v>
      </c>
      <c r="G15016" s="8">
        <f t="shared" si="1"/>
        <v>7</v>
      </c>
      <c r="H15016" s="14">
        <f t="shared" si="2"/>
        <v>18</v>
      </c>
      <c r="I15016" s="15">
        <f t="shared" si="3"/>
        <v>16</v>
      </c>
    </row>
    <row r="15017">
      <c r="A15017" s="8" t="str">
        <f>IFERROR(__xludf.DUMMYFUNCTION("IF('(INGESTA)Datos_consumo_datadis'!A15017&lt;&gt;"""",SPLIT('(INGESTA)Datos_consumo_datadis'!A:A,"",""),"""")"),"ES0031408323131005HX0F")</f>
        <v>ES0031408323131005HX0F</v>
      </c>
      <c r="B15017" s="12">
        <f>IFERROR(__xludf.DUMMYFUNCTION("""COMPUTED_VALUE"""),45491.0)</f>
        <v>45491</v>
      </c>
      <c r="C15017" s="13">
        <f>IFERROR(__xludf.DUMMYFUNCTION("""COMPUTED_VALUE"""),0.7083333333333334)</f>
        <v>0.7083333333</v>
      </c>
      <c r="D15017" s="8">
        <f>IFERROR(__xludf.DUMMYFUNCTION("""COMPUTED_VALUE"""),0.661)</f>
        <v>0.661</v>
      </c>
      <c r="E15017" s="8" t="str">
        <f>IFERROR(__xludf.DUMMYFUNCTION("""COMPUTED_VALUE"""),"Real")</f>
        <v>Real</v>
      </c>
      <c r="G15017" s="8">
        <f t="shared" si="1"/>
        <v>7</v>
      </c>
      <c r="H15017" s="14">
        <f t="shared" si="2"/>
        <v>18</v>
      </c>
      <c r="I15017" s="15">
        <f t="shared" si="3"/>
        <v>17</v>
      </c>
    </row>
    <row r="15018">
      <c r="A15018" s="8" t="str">
        <f>IFERROR(__xludf.DUMMYFUNCTION("IF('(INGESTA)Datos_consumo_datadis'!A15018&lt;&gt;"""",SPLIT('(INGESTA)Datos_consumo_datadis'!A:A,"",""),"""")"),"ES0031408323131005HX0F")</f>
        <v>ES0031408323131005HX0F</v>
      </c>
      <c r="B15018" s="12">
        <f>IFERROR(__xludf.DUMMYFUNCTION("""COMPUTED_VALUE"""),45491.0)</f>
        <v>45491</v>
      </c>
      <c r="C15018" s="13">
        <f>IFERROR(__xludf.DUMMYFUNCTION("""COMPUTED_VALUE"""),0.75)</f>
        <v>0.75</v>
      </c>
      <c r="D15018" s="8">
        <f>IFERROR(__xludf.DUMMYFUNCTION("""COMPUTED_VALUE"""),0.118)</f>
        <v>0.118</v>
      </c>
      <c r="E15018" s="8" t="str">
        <f>IFERROR(__xludf.DUMMYFUNCTION("""COMPUTED_VALUE"""),"Real")</f>
        <v>Real</v>
      </c>
      <c r="G15018" s="8">
        <f t="shared" si="1"/>
        <v>7</v>
      </c>
      <c r="H15018" s="14">
        <f t="shared" si="2"/>
        <v>18</v>
      </c>
      <c r="I15018" s="15">
        <f t="shared" si="3"/>
        <v>18</v>
      </c>
    </row>
    <row r="15019">
      <c r="A15019" s="8" t="str">
        <f>IFERROR(__xludf.DUMMYFUNCTION("IF('(INGESTA)Datos_consumo_datadis'!A15019&lt;&gt;"""",SPLIT('(INGESTA)Datos_consumo_datadis'!A:A,"",""),"""")"),"ES0031408323131005HX0F")</f>
        <v>ES0031408323131005HX0F</v>
      </c>
      <c r="B15019" s="12">
        <f>IFERROR(__xludf.DUMMYFUNCTION("""COMPUTED_VALUE"""),45491.0)</f>
        <v>45491</v>
      </c>
      <c r="C15019" s="13">
        <f>IFERROR(__xludf.DUMMYFUNCTION("""COMPUTED_VALUE"""),0.7916666666666666)</f>
        <v>0.7916666667</v>
      </c>
      <c r="D15019" s="8">
        <f>IFERROR(__xludf.DUMMYFUNCTION("""COMPUTED_VALUE"""),0.105)</f>
        <v>0.105</v>
      </c>
      <c r="E15019" s="8" t="str">
        <f>IFERROR(__xludf.DUMMYFUNCTION("""COMPUTED_VALUE"""),"Real")</f>
        <v>Real</v>
      </c>
      <c r="G15019" s="8">
        <f t="shared" si="1"/>
        <v>7</v>
      </c>
      <c r="H15019" s="14">
        <f t="shared" si="2"/>
        <v>18</v>
      </c>
      <c r="I15019" s="15">
        <f t="shared" si="3"/>
        <v>19</v>
      </c>
    </row>
    <row r="15020">
      <c r="A15020" s="8" t="str">
        <f>IFERROR(__xludf.DUMMYFUNCTION("IF('(INGESTA)Datos_consumo_datadis'!A15020&lt;&gt;"""",SPLIT('(INGESTA)Datos_consumo_datadis'!A:A,"",""),"""")"),"ES0031408323131005HX0F")</f>
        <v>ES0031408323131005HX0F</v>
      </c>
      <c r="B15020" s="12">
        <f>IFERROR(__xludf.DUMMYFUNCTION("""COMPUTED_VALUE"""),45491.0)</f>
        <v>45491</v>
      </c>
      <c r="C15020" s="13">
        <f>IFERROR(__xludf.DUMMYFUNCTION("""COMPUTED_VALUE"""),0.8333333333333334)</f>
        <v>0.8333333333</v>
      </c>
      <c r="D15020" s="8">
        <f>IFERROR(__xludf.DUMMYFUNCTION("""COMPUTED_VALUE"""),0.429)</f>
        <v>0.429</v>
      </c>
      <c r="E15020" s="8" t="str">
        <f>IFERROR(__xludf.DUMMYFUNCTION("""COMPUTED_VALUE"""),"Real")</f>
        <v>Real</v>
      </c>
      <c r="G15020" s="8">
        <f t="shared" si="1"/>
        <v>7</v>
      </c>
      <c r="H15020" s="14">
        <f t="shared" si="2"/>
        <v>18</v>
      </c>
      <c r="I15020" s="15">
        <f t="shared" si="3"/>
        <v>20</v>
      </c>
    </row>
    <row r="15021">
      <c r="A15021" s="8" t="str">
        <f>IFERROR(__xludf.DUMMYFUNCTION("IF('(INGESTA)Datos_consumo_datadis'!A15021&lt;&gt;"""",SPLIT('(INGESTA)Datos_consumo_datadis'!A:A,"",""),"""")"),"ES0031408323131005HX0F")</f>
        <v>ES0031408323131005HX0F</v>
      </c>
      <c r="B15021" s="12">
        <f>IFERROR(__xludf.DUMMYFUNCTION("""COMPUTED_VALUE"""),45491.0)</f>
        <v>45491</v>
      </c>
      <c r="C15021" s="13">
        <f>IFERROR(__xludf.DUMMYFUNCTION("""COMPUTED_VALUE"""),0.875)</f>
        <v>0.875</v>
      </c>
      <c r="D15021" s="8">
        <f>IFERROR(__xludf.DUMMYFUNCTION("""COMPUTED_VALUE"""),2.28)</f>
        <v>2.28</v>
      </c>
      <c r="E15021" s="8" t="str">
        <f>IFERROR(__xludf.DUMMYFUNCTION("""COMPUTED_VALUE"""),"Real")</f>
        <v>Real</v>
      </c>
      <c r="G15021" s="8">
        <f t="shared" si="1"/>
        <v>7</v>
      </c>
      <c r="H15021" s="14">
        <f t="shared" si="2"/>
        <v>18</v>
      </c>
      <c r="I15021" s="15">
        <f t="shared" si="3"/>
        <v>21</v>
      </c>
    </row>
    <row r="15022">
      <c r="A15022" s="8" t="str">
        <f>IFERROR(__xludf.DUMMYFUNCTION("IF('(INGESTA)Datos_consumo_datadis'!A15022&lt;&gt;"""",SPLIT('(INGESTA)Datos_consumo_datadis'!A:A,"",""),"""")"),"ES0031408323131005HX0F")</f>
        <v>ES0031408323131005HX0F</v>
      </c>
      <c r="B15022" s="12">
        <f>IFERROR(__xludf.DUMMYFUNCTION("""COMPUTED_VALUE"""),45491.0)</f>
        <v>45491</v>
      </c>
      <c r="C15022" s="13">
        <f>IFERROR(__xludf.DUMMYFUNCTION("""COMPUTED_VALUE"""),0.9166666666666666)</f>
        <v>0.9166666667</v>
      </c>
      <c r="D15022" s="8">
        <f>IFERROR(__xludf.DUMMYFUNCTION("""COMPUTED_VALUE"""),0.451)</f>
        <v>0.451</v>
      </c>
      <c r="E15022" s="8" t="str">
        <f>IFERROR(__xludf.DUMMYFUNCTION("""COMPUTED_VALUE"""),"Real")</f>
        <v>Real</v>
      </c>
      <c r="G15022" s="8">
        <f t="shared" si="1"/>
        <v>7</v>
      </c>
      <c r="H15022" s="14">
        <f t="shared" si="2"/>
        <v>18</v>
      </c>
      <c r="I15022" s="15">
        <f t="shared" si="3"/>
        <v>22</v>
      </c>
    </row>
    <row r="15023">
      <c r="A15023" s="8" t="str">
        <f>IFERROR(__xludf.DUMMYFUNCTION("IF('(INGESTA)Datos_consumo_datadis'!A15023&lt;&gt;"""",SPLIT('(INGESTA)Datos_consumo_datadis'!A:A,"",""),"""")"),"ES0031408323131005HX0F")</f>
        <v>ES0031408323131005HX0F</v>
      </c>
      <c r="B15023" s="12">
        <f>IFERROR(__xludf.DUMMYFUNCTION("""COMPUTED_VALUE"""),45491.0)</f>
        <v>45491</v>
      </c>
      <c r="C15023" s="13">
        <f>IFERROR(__xludf.DUMMYFUNCTION("""COMPUTED_VALUE"""),0.9583333333333334)</f>
        <v>0.9583333333</v>
      </c>
      <c r="D15023" s="8">
        <f>IFERROR(__xludf.DUMMYFUNCTION("""COMPUTED_VALUE"""),0.104)</f>
        <v>0.104</v>
      </c>
      <c r="E15023" s="8" t="str">
        <f>IFERROR(__xludf.DUMMYFUNCTION("""COMPUTED_VALUE"""),"Real")</f>
        <v>Real</v>
      </c>
      <c r="G15023" s="8">
        <f t="shared" si="1"/>
        <v>7</v>
      </c>
      <c r="H15023" s="14">
        <f t="shared" si="2"/>
        <v>18</v>
      </c>
      <c r="I15023" s="15">
        <f t="shared" si="3"/>
        <v>23</v>
      </c>
    </row>
    <row r="15024">
      <c r="A15024" s="8" t="str">
        <f>IFERROR(__xludf.DUMMYFUNCTION("IF('(INGESTA)Datos_consumo_datadis'!A15024&lt;&gt;"""",SPLIT('(INGESTA)Datos_consumo_datadis'!A:A,"",""),"""")"),"ES0031408323131005HX0F")</f>
        <v>ES0031408323131005HX0F</v>
      </c>
      <c r="B15024" s="12">
        <f>IFERROR(__xludf.DUMMYFUNCTION("""COMPUTED_VALUE"""),45491.0)</f>
        <v>45491</v>
      </c>
      <c r="C15024" s="16">
        <f>IFERROR(__xludf.DUMMYFUNCTION("""COMPUTED_VALUE"""),1.0)</f>
        <v>1</v>
      </c>
      <c r="D15024" s="8">
        <f>IFERROR(__xludf.DUMMYFUNCTION("""COMPUTED_VALUE"""),1.112)</f>
        <v>1.112</v>
      </c>
      <c r="E15024" s="8" t="str">
        <f>IFERROR(__xludf.DUMMYFUNCTION("""COMPUTED_VALUE"""),"Real")</f>
        <v>Real</v>
      </c>
      <c r="G15024" s="8">
        <f t="shared" si="1"/>
        <v>7</v>
      </c>
      <c r="H15024" s="14">
        <f t="shared" si="2"/>
        <v>18</v>
      </c>
      <c r="I15024" s="15">
        <f t="shared" si="3"/>
        <v>0</v>
      </c>
    </row>
    <row r="15025">
      <c r="A15025" s="8" t="str">
        <f>IFERROR(__xludf.DUMMYFUNCTION("IF('(INGESTA)Datos_consumo_datadis'!A15025&lt;&gt;"""",SPLIT('(INGESTA)Datos_consumo_datadis'!A:A,"",""),"""")"),"ES0031408323131005HX0F")</f>
        <v>ES0031408323131005HX0F</v>
      </c>
      <c r="B15025" s="12">
        <f>IFERROR(__xludf.DUMMYFUNCTION("""COMPUTED_VALUE"""),45492.0)</f>
        <v>45492</v>
      </c>
      <c r="C15025" s="13">
        <f>IFERROR(__xludf.DUMMYFUNCTION("""COMPUTED_VALUE"""),0.041666666666666664)</f>
        <v>0.04166666667</v>
      </c>
      <c r="D15025" s="8">
        <f>IFERROR(__xludf.DUMMYFUNCTION("""COMPUTED_VALUE"""),0.44)</f>
        <v>0.44</v>
      </c>
      <c r="E15025" s="8" t="str">
        <f>IFERROR(__xludf.DUMMYFUNCTION("""COMPUTED_VALUE"""),"Real")</f>
        <v>Real</v>
      </c>
      <c r="G15025" s="8">
        <f t="shared" si="1"/>
        <v>7</v>
      </c>
      <c r="H15025" s="14">
        <f t="shared" si="2"/>
        <v>19</v>
      </c>
      <c r="I15025" s="15">
        <f t="shared" si="3"/>
        <v>1</v>
      </c>
    </row>
    <row r="15026">
      <c r="A15026" s="8" t="str">
        <f>IFERROR(__xludf.DUMMYFUNCTION("IF('(INGESTA)Datos_consumo_datadis'!A15026&lt;&gt;"""",SPLIT('(INGESTA)Datos_consumo_datadis'!A:A,"",""),"""")"),"ES0031408323131005HX0F")</f>
        <v>ES0031408323131005HX0F</v>
      </c>
      <c r="B15026" s="12">
        <f>IFERROR(__xludf.DUMMYFUNCTION("""COMPUTED_VALUE"""),45492.0)</f>
        <v>45492</v>
      </c>
      <c r="C15026" s="13">
        <f>IFERROR(__xludf.DUMMYFUNCTION("""COMPUTED_VALUE"""),0.08333333333333333)</f>
        <v>0.08333333333</v>
      </c>
      <c r="D15026" s="8">
        <f>IFERROR(__xludf.DUMMYFUNCTION("""COMPUTED_VALUE"""),0.234)</f>
        <v>0.234</v>
      </c>
      <c r="E15026" s="8" t="str">
        <f>IFERROR(__xludf.DUMMYFUNCTION("""COMPUTED_VALUE"""),"Real")</f>
        <v>Real</v>
      </c>
      <c r="G15026" s="8">
        <f t="shared" si="1"/>
        <v>7</v>
      </c>
      <c r="H15026" s="14">
        <f t="shared" si="2"/>
        <v>19</v>
      </c>
      <c r="I15026" s="15">
        <f t="shared" si="3"/>
        <v>2</v>
      </c>
    </row>
    <row r="15027">
      <c r="A15027" s="8" t="str">
        <f>IFERROR(__xludf.DUMMYFUNCTION("IF('(INGESTA)Datos_consumo_datadis'!A15027&lt;&gt;"""",SPLIT('(INGESTA)Datos_consumo_datadis'!A:A,"",""),"""")"),"ES0031408323131005HX0F")</f>
        <v>ES0031408323131005HX0F</v>
      </c>
      <c r="B15027" s="12">
        <f>IFERROR(__xludf.DUMMYFUNCTION("""COMPUTED_VALUE"""),45492.0)</f>
        <v>45492</v>
      </c>
      <c r="C15027" s="13">
        <f>IFERROR(__xludf.DUMMYFUNCTION("""COMPUTED_VALUE"""),0.125)</f>
        <v>0.125</v>
      </c>
      <c r="D15027" s="8">
        <f>IFERROR(__xludf.DUMMYFUNCTION("""COMPUTED_VALUE"""),0.369)</f>
        <v>0.369</v>
      </c>
      <c r="E15027" s="8" t="str">
        <f>IFERROR(__xludf.DUMMYFUNCTION("""COMPUTED_VALUE"""),"Real")</f>
        <v>Real</v>
      </c>
      <c r="G15027" s="8">
        <f t="shared" si="1"/>
        <v>7</v>
      </c>
      <c r="H15027" s="14">
        <f t="shared" si="2"/>
        <v>19</v>
      </c>
      <c r="I15027" s="15">
        <f t="shared" si="3"/>
        <v>3</v>
      </c>
    </row>
    <row r="15028">
      <c r="A15028" s="8" t="str">
        <f>IFERROR(__xludf.DUMMYFUNCTION("IF('(INGESTA)Datos_consumo_datadis'!A15028&lt;&gt;"""",SPLIT('(INGESTA)Datos_consumo_datadis'!A:A,"",""),"""")"),"ES0031408323131005HX0F")</f>
        <v>ES0031408323131005HX0F</v>
      </c>
      <c r="B15028" s="12">
        <f>IFERROR(__xludf.DUMMYFUNCTION("""COMPUTED_VALUE"""),45492.0)</f>
        <v>45492</v>
      </c>
      <c r="C15028" s="13">
        <f>IFERROR(__xludf.DUMMYFUNCTION("""COMPUTED_VALUE"""),0.16666666666666666)</f>
        <v>0.1666666667</v>
      </c>
      <c r="D15028" s="8">
        <f>IFERROR(__xludf.DUMMYFUNCTION("""COMPUTED_VALUE"""),0.118)</f>
        <v>0.118</v>
      </c>
      <c r="E15028" s="8" t="str">
        <f>IFERROR(__xludf.DUMMYFUNCTION("""COMPUTED_VALUE"""),"Real")</f>
        <v>Real</v>
      </c>
      <c r="G15028" s="8">
        <f t="shared" si="1"/>
        <v>7</v>
      </c>
      <c r="H15028" s="14">
        <f t="shared" si="2"/>
        <v>19</v>
      </c>
      <c r="I15028" s="15">
        <f t="shared" si="3"/>
        <v>4</v>
      </c>
    </row>
    <row r="15029">
      <c r="A15029" s="8" t="str">
        <f>IFERROR(__xludf.DUMMYFUNCTION("IF('(INGESTA)Datos_consumo_datadis'!A15029&lt;&gt;"""",SPLIT('(INGESTA)Datos_consumo_datadis'!A:A,"",""),"""")"),"ES0031408323131005HX0F")</f>
        <v>ES0031408323131005HX0F</v>
      </c>
      <c r="B15029" s="12">
        <f>IFERROR(__xludf.DUMMYFUNCTION("""COMPUTED_VALUE"""),45492.0)</f>
        <v>45492</v>
      </c>
      <c r="C15029" s="13">
        <f>IFERROR(__xludf.DUMMYFUNCTION("""COMPUTED_VALUE"""),0.20833333333333334)</f>
        <v>0.2083333333</v>
      </c>
      <c r="D15029" s="8">
        <f>IFERROR(__xludf.DUMMYFUNCTION("""COMPUTED_VALUE"""),0.081)</f>
        <v>0.081</v>
      </c>
      <c r="E15029" s="8" t="str">
        <f>IFERROR(__xludf.DUMMYFUNCTION("""COMPUTED_VALUE"""),"Real")</f>
        <v>Real</v>
      </c>
      <c r="G15029" s="8">
        <f t="shared" si="1"/>
        <v>7</v>
      </c>
      <c r="H15029" s="14">
        <f t="shared" si="2"/>
        <v>19</v>
      </c>
      <c r="I15029" s="15">
        <f t="shared" si="3"/>
        <v>5</v>
      </c>
    </row>
    <row r="15030">
      <c r="A15030" s="8" t="str">
        <f>IFERROR(__xludf.DUMMYFUNCTION("IF('(INGESTA)Datos_consumo_datadis'!A15030&lt;&gt;"""",SPLIT('(INGESTA)Datos_consumo_datadis'!A:A,"",""),"""")"),"ES0031408323131005HX0F")</f>
        <v>ES0031408323131005HX0F</v>
      </c>
      <c r="B15030" s="12">
        <f>IFERROR(__xludf.DUMMYFUNCTION("""COMPUTED_VALUE"""),45492.0)</f>
        <v>45492</v>
      </c>
      <c r="C15030" s="13">
        <f>IFERROR(__xludf.DUMMYFUNCTION("""COMPUTED_VALUE"""),0.25)</f>
        <v>0.25</v>
      </c>
      <c r="D15030" s="8">
        <f>IFERROR(__xludf.DUMMYFUNCTION("""COMPUTED_VALUE"""),0.13)</f>
        <v>0.13</v>
      </c>
      <c r="E15030" s="8" t="str">
        <f>IFERROR(__xludf.DUMMYFUNCTION("""COMPUTED_VALUE"""),"Real")</f>
        <v>Real</v>
      </c>
      <c r="G15030" s="8">
        <f t="shared" si="1"/>
        <v>7</v>
      </c>
      <c r="H15030" s="14">
        <f t="shared" si="2"/>
        <v>19</v>
      </c>
      <c r="I15030" s="15">
        <f t="shared" si="3"/>
        <v>6</v>
      </c>
    </row>
    <row r="15031">
      <c r="A15031" s="8" t="str">
        <f>IFERROR(__xludf.DUMMYFUNCTION("IF('(INGESTA)Datos_consumo_datadis'!A15031&lt;&gt;"""",SPLIT('(INGESTA)Datos_consumo_datadis'!A:A,"",""),"""")"),"ES0031408323131005HX0F")</f>
        <v>ES0031408323131005HX0F</v>
      </c>
      <c r="B15031" s="12">
        <f>IFERROR(__xludf.DUMMYFUNCTION("""COMPUTED_VALUE"""),45492.0)</f>
        <v>45492</v>
      </c>
      <c r="C15031" s="13">
        <f>IFERROR(__xludf.DUMMYFUNCTION("""COMPUTED_VALUE"""),0.2916666666666667)</f>
        <v>0.2916666667</v>
      </c>
      <c r="D15031" s="8">
        <f>IFERROR(__xludf.DUMMYFUNCTION("""COMPUTED_VALUE"""),0.138)</f>
        <v>0.138</v>
      </c>
      <c r="E15031" s="8" t="str">
        <f>IFERROR(__xludf.DUMMYFUNCTION("""COMPUTED_VALUE"""),"Real")</f>
        <v>Real</v>
      </c>
      <c r="G15031" s="8">
        <f t="shared" si="1"/>
        <v>7</v>
      </c>
      <c r="H15031" s="14">
        <f t="shared" si="2"/>
        <v>19</v>
      </c>
      <c r="I15031" s="15">
        <f t="shared" si="3"/>
        <v>7</v>
      </c>
    </row>
    <row r="15032">
      <c r="A15032" s="8" t="str">
        <f>IFERROR(__xludf.DUMMYFUNCTION("IF('(INGESTA)Datos_consumo_datadis'!A15032&lt;&gt;"""",SPLIT('(INGESTA)Datos_consumo_datadis'!A:A,"",""),"""")"),"ES0031408323131005HX0F")</f>
        <v>ES0031408323131005HX0F</v>
      </c>
      <c r="B15032" s="12">
        <f>IFERROR(__xludf.DUMMYFUNCTION("""COMPUTED_VALUE"""),45492.0)</f>
        <v>45492</v>
      </c>
      <c r="C15032" s="13">
        <f>IFERROR(__xludf.DUMMYFUNCTION("""COMPUTED_VALUE"""),0.3333333333333333)</f>
        <v>0.3333333333</v>
      </c>
      <c r="D15032" s="8">
        <f>IFERROR(__xludf.DUMMYFUNCTION("""COMPUTED_VALUE"""),0.164)</f>
        <v>0.164</v>
      </c>
      <c r="E15032" s="8" t="str">
        <f>IFERROR(__xludf.DUMMYFUNCTION("""COMPUTED_VALUE"""),"Real")</f>
        <v>Real</v>
      </c>
      <c r="G15032" s="8">
        <f t="shared" si="1"/>
        <v>7</v>
      </c>
      <c r="H15032" s="14">
        <f t="shared" si="2"/>
        <v>19</v>
      </c>
      <c r="I15032" s="15">
        <f t="shared" si="3"/>
        <v>8</v>
      </c>
    </row>
    <row r="15033">
      <c r="A15033" s="8" t="str">
        <f>IFERROR(__xludf.DUMMYFUNCTION("IF('(INGESTA)Datos_consumo_datadis'!A15033&lt;&gt;"""",SPLIT('(INGESTA)Datos_consumo_datadis'!A:A,"",""),"""")"),"ES0031408323131005HX0F")</f>
        <v>ES0031408323131005HX0F</v>
      </c>
      <c r="B15033" s="12">
        <f>IFERROR(__xludf.DUMMYFUNCTION("""COMPUTED_VALUE"""),45492.0)</f>
        <v>45492</v>
      </c>
      <c r="C15033" s="13">
        <f>IFERROR(__xludf.DUMMYFUNCTION("""COMPUTED_VALUE"""),0.375)</f>
        <v>0.375</v>
      </c>
      <c r="D15033" s="8">
        <f>IFERROR(__xludf.DUMMYFUNCTION("""COMPUTED_VALUE"""),0.123)</f>
        <v>0.123</v>
      </c>
      <c r="E15033" s="8" t="str">
        <f>IFERROR(__xludf.DUMMYFUNCTION("""COMPUTED_VALUE"""),"Real")</f>
        <v>Real</v>
      </c>
      <c r="G15033" s="8">
        <f t="shared" si="1"/>
        <v>7</v>
      </c>
      <c r="H15033" s="14">
        <f t="shared" si="2"/>
        <v>19</v>
      </c>
      <c r="I15033" s="15">
        <f t="shared" si="3"/>
        <v>9</v>
      </c>
    </row>
    <row r="15034">
      <c r="A15034" s="8" t="str">
        <f>IFERROR(__xludf.DUMMYFUNCTION("IF('(INGESTA)Datos_consumo_datadis'!A15034&lt;&gt;"""",SPLIT('(INGESTA)Datos_consumo_datadis'!A:A,"",""),"""")"),"ES0031408323131005HX0F")</f>
        <v>ES0031408323131005HX0F</v>
      </c>
      <c r="B15034" s="12">
        <f>IFERROR(__xludf.DUMMYFUNCTION("""COMPUTED_VALUE"""),45492.0)</f>
        <v>45492</v>
      </c>
      <c r="C15034" s="13">
        <f>IFERROR(__xludf.DUMMYFUNCTION("""COMPUTED_VALUE"""),0.4166666666666667)</f>
        <v>0.4166666667</v>
      </c>
      <c r="D15034" s="8">
        <f>IFERROR(__xludf.DUMMYFUNCTION("""COMPUTED_VALUE"""),0.236)</f>
        <v>0.236</v>
      </c>
      <c r="E15034" s="8" t="str">
        <f>IFERROR(__xludf.DUMMYFUNCTION("""COMPUTED_VALUE"""),"Real")</f>
        <v>Real</v>
      </c>
      <c r="G15034" s="8">
        <f t="shared" si="1"/>
        <v>7</v>
      </c>
      <c r="H15034" s="14">
        <f t="shared" si="2"/>
        <v>19</v>
      </c>
      <c r="I15034" s="15">
        <f t="shared" si="3"/>
        <v>10</v>
      </c>
    </row>
    <row r="15035">
      <c r="A15035" s="8" t="str">
        <f>IFERROR(__xludf.DUMMYFUNCTION("IF('(INGESTA)Datos_consumo_datadis'!A15035&lt;&gt;"""",SPLIT('(INGESTA)Datos_consumo_datadis'!A:A,"",""),"""")"),"ES0031408323131005HX0F")</f>
        <v>ES0031408323131005HX0F</v>
      </c>
      <c r="B15035" s="12">
        <f>IFERROR(__xludf.DUMMYFUNCTION("""COMPUTED_VALUE"""),45492.0)</f>
        <v>45492</v>
      </c>
      <c r="C15035" s="13">
        <f>IFERROR(__xludf.DUMMYFUNCTION("""COMPUTED_VALUE"""),0.4583333333333333)</f>
        <v>0.4583333333</v>
      </c>
      <c r="D15035" s="8">
        <f>IFERROR(__xludf.DUMMYFUNCTION("""COMPUTED_VALUE"""),0.627)</f>
        <v>0.627</v>
      </c>
      <c r="E15035" s="8" t="str">
        <f>IFERROR(__xludf.DUMMYFUNCTION("""COMPUTED_VALUE"""),"Real")</f>
        <v>Real</v>
      </c>
      <c r="G15035" s="8">
        <f t="shared" si="1"/>
        <v>7</v>
      </c>
      <c r="H15035" s="14">
        <f t="shared" si="2"/>
        <v>19</v>
      </c>
      <c r="I15035" s="15">
        <f t="shared" si="3"/>
        <v>11</v>
      </c>
    </row>
    <row r="15036">
      <c r="A15036" s="8" t="str">
        <f>IFERROR(__xludf.DUMMYFUNCTION("IF('(INGESTA)Datos_consumo_datadis'!A15036&lt;&gt;"""",SPLIT('(INGESTA)Datos_consumo_datadis'!A:A,"",""),"""")"),"ES0031408323131005HX0F")</f>
        <v>ES0031408323131005HX0F</v>
      </c>
      <c r="B15036" s="12">
        <f>IFERROR(__xludf.DUMMYFUNCTION("""COMPUTED_VALUE"""),45492.0)</f>
        <v>45492</v>
      </c>
      <c r="C15036" s="13">
        <f>IFERROR(__xludf.DUMMYFUNCTION("""COMPUTED_VALUE"""),0.5)</f>
        <v>0.5</v>
      </c>
      <c r="D15036" s="8">
        <f>IFERROR(__xludf.DUMMYFUNCTION("""COMPUTED_VALUE"""),0.169)</f>
        <v>0.169</v>
      </c>
      <c r="E15036" s="8" t="str">
        <f>IFERROR(__xludf.DUMMYFUNCTION("""COMPUTED_VALUE"""),"Real")</f>
        <v>Real</v>
      </c>
      <c r="G15036" s="8">
        <f t="shared" si="1"/>
        <v>7</v>
      </c>
      <c r="H15036" s="14">
        <f t="shared" si="2"/>
        <v>19</v>
      </c>
      <c r="I15036" s="15">
        <f t="shared" si="3"/>
        <v>12</v>
      </c>
    </row>
    <row r="15037">
      <c r="A15037" s="8" t="str">
        <f>IFERROR(__xludf.DUMMYFUNCTION("IF('(INGESTA)Datos_consumo_datadis'!A15037&lt;&gt;"""",SPLIT('(INGESTA)Datos_consumo_datadis'!A:A,"",""),"""")"),"ES0031408323131005HX0F")</f>
        <v>ES0031408323131005HX0F</v>
      </c>
      <c r="B15037" s="12">
        <f>IFERROR(__xludf.DUMMYFUNCTION("""COMPUTED_VALUE"""),45492.0)</f>
        <v>45492</v>
      </c>
      <c r="C15037" s="13">
        <f>IFERROR(__xludf.DUMMYFUNCTION("""COMPUTED_VALUE"""),0.5416666666666666)</f>
        <v>0.5416666667</v>
      </c>
      <c r="D15037" s="8">
        <f>IFERROR(__xludf.DUMMYFUNCTION("""COMPUTED_VALUE"""),0.116)</f>
        <v>0.116</v>
      </c>
      <c r="E15037" s="8" t="str">
        <f>IFERROR(__xludf.DUMMYFUNCTION("""COMPUTED_VALUE"""),"Real")</f>
        <v>Real</v>
      </c>
      <c r="G15037" s="8">
        <f t="shared" si="1"/>
        <v>7</v>
      </c>
      <c r="H15037" s="14">
        <f t="shared" si="2"/>
        <v>19</v>
      </c>
      <c r="I15037" s="15">
        <f t="shared" si="3"/>
        <v>13</v>
      </c>
    </row>
    <row r="15038">
      <c r="A15038" s="8" t="str">
        <f>IFERROR(__xludf.DUMMYFUNCTION("IF('(INGESTA)Datos_consumo_datadis'!A15038&lt;&gt;"""",SPLIT('(INGESTA)Datos_consumo_datadis'!A:A,"",""),"""")"),"ES0031408323131005HX0F")</f>
        <v>ES0031408323131005HX0F</v>
      </c>
      <c r="B15038" s="12">
        <f>IFERROR(__xludf.DUMMYFUNCTION("""COMPUTED_VALUE"""),45492.0)</f>
        <v>45492</v>
      </c>
      <c r="C15038" s="13">
        <f>IFERROR(__xludf.DUMMYFUNCTION("""COMPUTED_VALUE"""),0.5833333333333334)</f>
        <v>0.5833333333</v>
      </c>
      <c r="D15038" s="8">
        <f>IFERROR(__xludf.DUMMYFUNCTION("""COMPUTED_VALUE"""),0.42)</f>
        <v>0.42</v>
      </c>
      <c r="E15038" s="8" t="str">
        <f>IFERROR(__xludf.DUMMYFUNCTION("""COMPUTED_VALUE"""),"Real")</f>
        <v>Real</v>
      </c>
      <c r="G15038" s="8">
        <f t="shared" si="1"/>
        <v>7</v>
      </c>
      <c r="H15038" s="14">
        <f t="shared" si="2"/>
        <v>19</v>
      </c>
      <c r="I15038" s="15">
        <f t="shared" si="3"/>
        <v>14</v>
      </c>
    </row>
    <row r="15039">
      <c r="A15039" s="8" t="str">
        <f>IFERROR(__xludf.DUMMYFUNCTION("IF('(INGESTA)Datos_consumo_datadis'!A15039&lt;&gt;"""",SPLIT('(INGESTA)Datos_consumo_datadis'!A:A,"",""),"""")"),"ES0031408323131005HX0F")</f>
        <v>ES0031408323131005HX0F</v>
      </c>
      <c r="B15039" s="12">
        <f>IFERROR(__xludf.DUMMYFUNCTION("""COMPUTED_VALUE"""),45492.0)</f>
        <v>45492</v>
      </c>
      <c r="C15039" s="13">
        <f>IFERROR(__xludf.DUMMYFUNCTION("""COMPUTED_VALUE"""),0.625)</f>
        <v>0.625</v>
      </c>
      <c r="D15039" s="8">
        <f>IFERROR(__xludf.DUMMYFUNCTION("""COMPUTED_VALUE"""),0.305)</f>
        <v>0.305</v>
      </c>
      <c r="E15039" s="8" t="str">
        <f>IFERROR(__xludf.DUMMYFUNCTION("""COMPUTED_VALUE"""),"Real")</f>
        <v>Real</v>
      </c>
      <c r="G15039" s="8">
        <f t="shared" si="1"/>
        <v>7</v>
      </c>
      <c r="H15039" s="14">
        <f t="shared" si="2"/>
        <v>19</v>
      </c>
      <c r="I15039" s="15">
        <f t="shared" si="3"/>
        <v>15</v>
      </c>
    </row>
    <row r="15040">
      <c r="A15040" s="8" t="str">
        <f>IFERROR(__xludf.DUMMYFUNCTION("IF('(INGESTA)Datos_consumo_datadis'!A15040&lt;&gt;"""",SPLIT('(INGESTA)Datos_consumo_datadis'!A:A,"",""),"""")"),"ES0031408323131005HX0F")</f>
        <v>ES0031408323131005HX0F</v>
      </c>
      <c r="B15040" s="12">
        <f>IFERROR(__xludf.DUMMYFUNCTION("""COMPUTED_VALUE"""),45492.0)</f>
        <v>45492</v>
      </c>
      <c r="C15040" s="13">
        <f>IFERROR(__xludf.DUMMYFUNCTION("""COMPUTED_VALUE"""),0.6666666666666666)</f>
        <v>0.6666666667</v>
      </c>
      <c r="D15040" s="8">
        <f>IFERROR(__xludf.DUMMYFUNCTION("""COMPUTED_VALUE"""),0.48)</f>
        <v>0.48</v>
      </c>
      <c r="E15040" s="8" t="str">
        <f>IFERROR(__xludf.DUMMYFUNCTION("""COMPUTED_VALUE"""),"Real")</f>
        <v>Real</v>
      </c>
      <c r="G15040" s="8">
        <f t="shared" si="1"/>
        <v>7</v>
      </c>
      <c r="H15040" s="14">
        <f t="shared" si="2"/>
        <v>19</v>
      </c>
      <c r="I15040" s="15">
        <f t="shared" si="3"/>
        <v>16</v>
      </c>
    </row>
    <row r="15041">
      <c r="A15041" s="8" t="str">
        <f>IFERROR(__xludf.DUMMYFUNCTION("IF('(INGESTA)Datos_consumo_datadis'!A15041&lt;&gt;"""",SPLIT('(INGESTA)Datos_consumo_datadis'!A:A,"",""),"""")"),"ES0031408323131005HX0F")</f>
        <v>ES0031408323131005HX0F</v>
      </c>
      <c r="B15041" s="12">
        <f>IFERROR(__xludf.DUMMYFUNCTION("""COMPUTED_VALUE"""),45492.0)</f>
        <v>45492</v>
      </c>
      <c r="C15041" s="13">
        <f>IFERROR(__xludf.DUMMYFUNCTION("""COMPUTED_VALUE"""),0.7083333333333334)</f>
        <v>0.7083333333</v>
      </c>
      <c r="D15041" s="8">
        <f>IFERROR(__xludf.DUMMYFUNCTION("""COMPUTED_VALUE"""),0.337)</f>
        <v>0.337</v>
      </c>
      <c r="E15041" s="8" t="str">
        <f>IFERROR(__xludf.DUMMYFUNCTION("""COMPUTED_VALUE"""),"Real")</f>
        <v>Real</v>
      </c>
      <c r="G15041" s="8">
        <f t="shared" si="1"/>
        <v>7</v>
      </c>
      <c r="H15041" s="14">
        <f t="shared" si="2"/>
        <v>19</v>
      </c>
      <c r="I15041" s="15">
        <f t="shared" si="3"/>
        <v>17</v>
      </c>
    </row>
    <row r="15042">
      <c r="A15042" s="8" t="str">
        <f>IFERROR(__xludf.DUMMYFUNCTION("IF('(INGESTA)Datos_consumo_datadis'!A15042&lt;&gt;"""",SPLIT('(INGESTA)Datos_consumo_datadis'!A:A,"",""),"""")"),"ES0031408323131005HX0F")</f>
        <v>ES0031408323131005HX0F</v>
      </c>
      <c r="B15042" s="12">
        <f>IFERROR(__xludf.DUMMYFUNCTION("""COMPUTED_VALUE"""),45492.0)</f>
        <v>45492</v>
      </c>
      <c r="C15042" s="13">
        <f>IFERROR(__xludf.DUMMYFUNCTION("""COMPUTED_VALUE"""),0.75)</f>
        <v>0.75</v>
      </c>
      <c r="D15042" s="8">
        <f>IFERROR(__xludf.DUMMYFUNCTION("""COMPUTED_VALUE"""),0.138)</f>
        <v>0.138</v>
      </c>
      <c r="E15042" s="8" t="str">
        <f>IFERROR(__xludf.DUMMYFUNCTION("""COMPUTED_VALUE"""),"Real")</f>
        <v>Real</v>
      </c>
      <c r="G15042" s="8">
        <f t="shared" si="1"/>
        <v>7</v>
      </c>
      <c r="H15042" s="14">
        <f t="shared" si="2"/>
        <v>19</v>
      </c>
      <c r="I15042" s="15">
        <f t="shared" si="3"/>
        <v>18</v>
      </c>
    </row>
    <row r="15043">
      <c r="A15043" s="8" t="str">
        <f>IFERROR(__xludf.DUMMYFUNCTION("IF('(INGESTA)Datos_consumo_datadis'!A15043&lt;&gt;"""",SPLIT('(INGESTA)Datos_consumo_datadis'!A:A,"",""),"""")"),"ES0031408323131005HX0F")</f>
        <v>ES0031408323131005HX0F</v>
      </c>
      <c r="B15043" s="12">
        <f>IFERROR(__xludf.DUMMYFUNCTION("""COMPUTED_VALUE"""),45492.0)</f>
        <v>45492</v>
      </c>
      <c r="C15043" s="13">
        <f>IFERROR(__xludf.DUMMYFUNCTION("""COMPUTED_VALUE"""),0.7916666666666666)</f>
        <v>0.7916666667</v>
      </c>
      <c r="D15043" s="8">
        <f>IFERROR(__xludf.DUMMYFUNCTION("""COMPUTED_VALUE"""),0.362)</f>
        <v>0.362</v>
      </c>
      <c r="E15043" s="8" t="str">
        <f>IFERROR(__xludf.DUMMYFUNCTION("""COMPUTED_VALUE"""),"Real")</f>
        <v>Real</v>
      </c>
      <c r="G15043" s="8">
        <f t="shared" si="1"/>
        <v>7</v>
      </c>
      <c r="H15043" s="14">
        <f t="shared" si="2"/>
        <v>19</v>
      </c>
      <c r="I15043" s="15">
        <f t="shared" si="3"/>
        <v>19</v>
      </c>
    </row>
    <row r="15044">
      <c r="A15044" s="8" t="str">
        <f>IFERROR(__xludf.DUMMYFUNCTION("IF('(INGESTA)Datos_consumo_datadis'!A15044&lt;&gt;"""",SPLIT('(INGESTA)Datos_consumo_datadis'!A:A,"",""),"""")"),"ES0031408323131005HX0F")</f>
        <v>ES0031408323131005HX0F</v>
      </c>
      <c r="B15044" s="12">
        <f>IFERROR(__xludf.DUMMYFUNCTION("""COMPUTED_VALUE"""),45492.0)</f>
        <v>45492</v>
      </c>
      <c r="C15044" s="13">
        <f>IFERROR(__xludf.DUMMYFUNCTION("""COMPUTED_VALUE"""),0.8333333333333334)</f>
        <v>0.8333333333</v>
      </c>
      <c r="D15044" s="8">
        <f>IFERROR(__xludf.DUMMYFUNCTION("""COMPUTED_VALUE"""),1.695)</f>
        <v>1.695</v>
      </c>
      <c r="E15044" s="8" t="str">
        <f>IFERROR(__xludf.DUMMYFUNCTION("""COMPUTED_VALUE"""),"Real")</f>
        <v>Real</v>
      </c>
      <c r="G15044" s="8">
        <f t="shared" si="1"/>
        <v>7</v>
      </c>
      <c r="H15044" s="14">
        <f t="shared" si="2"/>
        <v>19</v>
      </c>
      <c r="I15044" s="15">
        <f t="shared" si="3"/>
        <v>20</v>
      </c>
    </row>
    <row r="15045">
      <c r="A15045" s="8" t="str">
        <f>IFERROR(__xludf.DUMMYFUNCTION("IF('(INGESTA)Datos_consumo_datadis'!A15045&lt;&gt;"""",SPLIT('(INGESTA)Datos_consumo_datadis'!A:A,"",""),"""")"),"ES0031408323131005HX0F")</f>
        <v>ES0031408323131005HX0F</v>
      </c>
      <c r="B15045" s="12">
        <f>IFERROR(__xludf.DUMMYFUNCTION("""COMPUTED_VALUE"""),45492.0)</f>
        <v>45492</v>
      </c>
      <c r="C15045" s="13">
        <f>IFERROR(__xludf.DUMMYFUNCTION("""COMPUTED_VALUE"""),0.875)</f>
        <v>0.875</v>
      </c>
      <c r="D15045" s="8">
        <f>IFERROR(__xludf.DUMMYFUNCTION("""COMPUTED_VALUE"""),1.541)</f>
        <v>1.541</v>
      </c>
      <c r="E15045" s="8" t="str">
        <f>IFERROR(__xludf.DUMMYFUNCTION("""COMPUTED_VALUE"""),"Real")</f>
        <v>Real</v>
      </c>
      <c r="G15045" s="8">
        <f t="shared" si="1"/>
        <v>7</v>
      </c>
      <c r="H15045" s="14">
        <f t="shared" si="2"/>
        <v>19</v>
      </c>
      <c r="I15045" s="15">
        <f t="shared" si="3"/>
        <v>21</v>
      </c>
    </row>
    <row r="15046">
      <c r="A15046" s="8" t="str">
        <f>IFERROR(__xludf.DUMMYFUNCTION("IF('(INGESTA)Datos_consumo_datadis'!A15046&lt;&gt;"""",SPLIT('(INGESTA)Datos_consumo_datadis'!A:A,"",""),"""")"),"ES0031408323131005HX0F")</f>
        <v>ES0031408323131005HX0F</v>
      </c>
      <c r="B15046" s="12">
        <f>IFERROR(__xludf.DUMMYFUNCTION("""COMPUTED_VALUE"""),45492.0)</f>
        <v>45492</v>
      </c>
      <c r="C15046" s="13">
        <f>IFERROR(__xludf.DUMMYFUNCTION("""COMPUTED_VALUE"""),0.9166666666666666)</f>
        <v>0.9166666667</v>
      </c>
      <c r="D15046" s="8">
        <f>IFERROR(__xludf.DUMMYFUNCTION("""COMPUTED_VALUE"""),0.174)</f>
        <v>0.174</v>
      </c>
      <c r="E15046" s="8" t="str">
        <f>IFERROR(__xludf.DUMMYFUNCTION("""COMPUTED_VALUE"""),"Real")</f>
        <v>Real</v>
      </c>
      <c r="G15046" s="8">
        <f t="shared" si="1"/>
        <v>7</v>
      </c>
      <c r="H15046" s="14">
        <f t="shared" si="2"/>
        <v>19</v>
      </c>
      <c r="I15046" s="15">
        <f t="shared" si="3"/>
        <v>22</v>
      </c>
    </row>
    <row r="15047">
      <c r="A15047" s="8" t="str">
        <f>IFERROR(__xludf.DUMMYFUNCTION("IF('(INGESTA)Datos_consumo_datadis'!A15047&lt;&gt;"""",SPLIT('(INGESTA)Datos_consumo_datadis'!A:A,"",""),"""")"),"ES0031408323131005HX0F")</f>
        <v>ES0031408323131005HX0F</v>
      </c>
      <c r="B15047" s="12">
        <f>IFERROR(__xludf.DUMMYFUNCTION("""COMPUTED_VALUE"""),45492.0)</f>
        <v>45492</v>
      </c>
      <c r="C15047" s="13">
        <f>IFERROR(__xludf.DUMMYFUNCTION("""COMPUTED_VALUE"""),0.9583333333333334)</f>
        <v>0.9583333333</v>
      </c>
      <c r="D15047" s="8">
        <f>IFERROR(__xludf.DUMMYFUNCTION("""COMPUTED_VALUE"""),0.176)</f>
        <v>0.176</v>
      </c>
      <c r="E15047" s="8" t="str">
        <f>IFERROR(__xludf.DUMMYFUNCTION("""COMPUTED_VALUE"""),"Real")</f>
        <v>Real</v>
      </c>
      <c r="G15047" s="8">
        <f t="shared" si="1"/>
        <v>7</v>
      </c>
      <c r="H15047" s="14">
        <f t="shared" si="2"/>
        <v>19</v>
      </c>
      <c r="I15047" s="15">
        <f t="shared" si="3"/>
        <v>23</v>
      </c>
    </row>
    <row r="15048">
      <c r="A15048" s="8" t="str">
        <f>IFERROR(__xludf.DUMMYFUNCTION("IF('(INGESTA)Datos_consumo_datadis'!A15048&lt;&gt;"""",SPLIT('(INGESTA)Datos_consumo_datadis'!A:A,"",""),"""")"),"ES0031408323131005HX0F")</f>
        <v>ES0031408323131005HX0F</v>
      </c>
      <c r="B15048" s="12">
        <f>IFERROR(__xludf.DUMMYFUNCTION("""COMPUTED_VALUE"""),45492.0)</f>
        <v>45492</v>
      </c>
      <c r="C15048" s="16">
        <f>IFERROR(__xludf.DUMMYFUNCTION("""COMPUTED_VALUE"""),1.0)</f>
        <v>1</v>
      </c>
      <c r="D15048" s="8">
        <f>IFERROR(__xludf.DUMMYFUNCTION("""COMPUTED_VALUE"""),0.93)</f>
        <v>0.93</v>
      </c>
      <c r="E15048" s="8" t="str">
        <f>IFERROR(__xludf.DUMMYFUNCTION("""COMPUTED_VALUE"""),"Real")</f>
        <v>Real</v>
      </c>
      <c r="G15048" s="8">
        <f t="shared" si="1"/>
        <v>7</v>
      </c>
      <c r="H15048" s="14">
        <f t="shared" si="2"/>
        <v>19</v>
      </c>
      <c r="I15048" s="15">
        <f t="shared" si="3"/>
        <v>0</v>
      </c>
    </row>
    <row r="15049">
      <c r="A15049" s="8" t="str">
        <f>IFERROR(__xludf.DUMMYFUNCTION("IF('(INGESTA)Datos_consumo_datadis'!A15049&lt;&gt;"""",SPLIT('(INGESTA)Datos_consumo_datadis'!A:A,"",""),"""")"),"ES0031408323131005HX0F")</f>
        <v>ES0031408323131005HX0F</v>
      </c>
      <c r="B15049" s="12">
        <f>IFERROR(__xludf.DUMMYFUNCTION("""COMPUTED_VALUE"""),45493.0)</f>
        <v>45493</v>
      </c>
      <c r="C15049" s="13">
        <f>IFERROR(__xludf.DUMMYFUNCTION("""COMPUTED_VALUE"""),0.041666666666666664)</f>
        <v>0.04166666667</v>
      </c>
      <c r="D15049" s="8">
        <f>IFERROR(__xludf.DUMMYFUNCTION("""COMPUTED_VALUE"""),0.781)</f>
        <v>0.781</v>
      </c>
      <c r="E15049" s="8" t="str">
        <f>IFERROR(__xludf.DUMMYFUNCTION("""COMPUTED_VALUE"""),"Real")</f>
        <v>Real</v>
      </c>
      <c r="G15049" s="8">
        <f t="shared" si="1"/>
        <v>7</v>
      </c>
      <c r="H15049" s="14">
        <f t="shared" si="2"/>
        <v>20</v>
      </c>
      <c r="I15049" s="15">
        <f t="shared" si="3"/>
        <v>1</v>
      </c>
    </row>
    <row r="15050">
      <c r="A15050" s="8" t="str">
        <f>IFERROR(__xludf.DUMMYFUNCTION("IF('(INGESTA)Datos_consumo_datadis'!A15050&lt;&gt;"""",SPLIT('(INGESTA)Datos_consumo_datadis'!A:A,"",""),"""")"),"ES0031408323131005HX0F")</f>
        <v>ES0031408323131005HX0F</v>
      </c>
      <c r="B15050" s="12">
        <f>IFERROR(__xludf.DUMMYFUNCTION("""COMPUTED_VALUE"""),45493.0)</f>
        <v>45493</v>
      </c>
      <c r="C15050" s="13">
        <f>IFERROR(__xludf.DUMMYFUNCTION("""COMPUTED_VALUE"""),0.08333333333333333)</f>
        <v>0.08333333333</v>
      </c>
      <c r="D15050" s="8">
        <f>IFERROR(__xludf.DUMMYFUNCTION("""COMPUTED_VALUE"""),0.891)</f>
        <v>0.891</v>
      </c>
      <c r="E15050" s="8" t="str">
        <f>IFERROR(__xludf.DUMMYFUNCTION("""COMPUTED_VALUE"""),"Real")</f>
        <v>Real</v>
      </c>
      <c r="G15050" s="8">
        <f t="shared" si="1"/>
        <v>7</v>
      </c>
      <c r="H15050" s="14">
        <f t="shared" si="2"/>
        <v>20</v>
      </c>
      <c r="I15050" s="15">
        <f t="shared" si="3"/>
        <v>2</v>
      </c>
    </row>
    <row r="15051">
      <c r="A15051" s="8" t="str">
        <f>IFERROR(__xludf.DUMMYFUNCTION("IF('(INGESTA)Datos_consumo_datadis'!A15051&lt;&gt;"""",SPLIT('(INGESTA)Datos_consumo_datadis'!A:A,"",""),"""")"),"ES0031408323131005HX0F")</f>
        <v>ES0031408323131005HX0F</v>
      </c>
      <c r="B15051" s="12">
        <f>IFERROR(__xludf.DUMMYFUNCTION("""COMPUTED_VALUE"""),45493.0)</f>
        <v>45493</v>
      </c>
      <c r="C15051" s="13">
        <f>IFERROR(__xludf.DUMMYFUNCTION("""COMPUTED_VALUE"""),0.125)</f>
        <v>0.125</v>
      </c>
      <c r="D15051" s="8">
        <f>IFERROR(__xludf.DUMMYFUNCTION("""COMPUTED_VALUE"""),0.399)</f>
        <v>0.399</v>
      </c>
      <c r="E15051" s="8" t="str">
        <f>IFERROR(__xludf.DUMMYFUNCTION("""COMPUTED_VALUE"""),"Real")</f>
        <v>Real</v>
      </c>
      <c r="G15051" s="8">
        <f t="shared" si="1"/>
        <v>7</v>
      </c>
      <c r="H15051" s="14">
        <f t="shared" si="2"/>
        <v>20</v>
      </c>
      <c r="I15051" s="15">
        <f t="shared" si="3"/>
        <v>3</v>
      </c>
    </row>
    <row r="15052">
      <c r="A15052" s="8" t="str">
        <f>IFERROR(__xludf.DUMMYFUNCTION("IF('(INGESTA)Datos_consumo_datadis'!A15052&lt;&gt;"""",SPLIT('(INGESTA)Datos_consumo_datadis'!A:A,"",""),"""")"),"ES0031408323131005HX0F")</f>
        <v>ES0031408323131005HX0F</v>
      </c>
      <c r="B15052" s="12">
        <f>IFERROR(__xludf.DUMMYFUNCTION("""COMPUTED_VALUE"""),45493.0)</f>
        <v>45493</v>
      </c>
      <c r="C15052" s="13">
        <f>IFERROR(__xludf.DUMMYFUNCTION("""COMPUTED_VALUE"""),0.16666666666666666)</f>
        <v>0.1666666667</v>
      </c>
      <c r="D15052" s="8">
        <f>IFERROR(__xludf.DUMMYFUNCTION("""COMPUTED_VALUE"""),0.294)</f>
        <v>0.294</v>
      </c>
      <c r="E15052" s="8" t="str">
        <f>IFERROR(__xludf.DUMMYFUNCTION("""COMPUTED_VALUE"""),"Real")</f>
        <v>Real</v>
      </c>
      <c r="G15052" s="8">
        <f t="shared" si="1"/>
        <v>7</v>
      </c>
      <c r="H15052" s="14">
        <f t="shared" si="2"/>
        <v>20</v>
      </c>
      <c r="I15052" s="15">
        <f t="shared" si="3"/>
        <v>4</v>
      </c>
    </row>
    <row r="15053">
      <c r="A15053" s="8" t="str">
        <f>IFERROR(__xludf.DUMMYFUNCTION("IF('(INGESTA)Datos_consumo_datadis'!A15053&lt;&gt;"""",SPLIT('(INGESTA)Datos_consumo_datadis'!A:A,"",""),"""")"),"ES0031408323131005HX0F")</f>
        <v>ES0031408323131005HX0F</v>
      </c>
      <c r="B15053" s="12">
        <f>IFERROR(__xludf.DUMMYFUNCTION("""COMPUTED_VALUE"""),45493.0)</f>
        <v>45493</v>
      </c>
      <c r="C15053" s="13">
        <f>IFERROR(__xludf.DUMMYFUNCTION("""COMPUTED_VALUE"""),0.20833333333333334)</f>
        <v>0.2083333333</v>
      </c>
      <c r="D15053" s="8">
        <f>IFERROR(__xludf.DUMMYFUNCTION("""COMPUTED_VALUE"""),0.245)</f>
        <v>0.245</v>
      </c>
      <c r="E15053" s="8" t="str">
        <f>IFERROR(__xludf.DUMMYFUNCTION("""COMPUTED_VALUE"""),"Real")</f>
        <v>Real</v>
      </c>
      <c r="G15053" s="8">
        <f t="shared" si="1"/>
        <v>7</v>
      </c>
      <c r="H15053" s="14">
        <f t="shared" si="2"/>
        <v>20</v>
      </c>
      <c r="I15053" s="15">
        <f t="shared" si="3"/>
        <v>5</v>
      </c>
    </row>
    <row r="15054">
      <c r="A15054" s="8" t="str">
        <f>IFERROR(__xludf.DUMMYFUNCTION("IF('(INGESTA)Datos_consumo_datadis'!A15054&lt;&gt;"""",SPLIT('(INGESTA)Datos_consumo_datadis'!A:A,"",""),"""")"),"ES0031408323131005HX0F")</f>
        <v>ES0031408323131005HX0F</v>
      </c>
      <c r="B15054" s="12">
        <f>IFERROR(__xludf.DUMMYFUNCTION("""COMPUTED_VALUE"""),45493.0)</f>
        <v>45493</v>
      </c>
      <c r="C15054" s="13">
        <f>IFERROR(__xludf.DUMMYFUNCTION("""COMPUTED_VALUE"""),0.25)</f>
        <v>0.25</v>
      </c>
      <c r="D15054" s="8">
        <f>IFERROR(__xludf.DUMMYFUNCTION("""COMPUTED_VALUE"""),0.16)</f>
        <v>0.16</v>
      </c>
      <c r="E15054" s="8" t="str">
        <f>IFERROR(__xludf.DUMMYFUNCTION("""COMPUTED_VALUE"""),"Real")</f>
        <v>Real</v>
      </c>
      <c r="G15054" s="8">
        <f t="shared" si="1"/>
        <v>7</v>
      </c>
      <c r="H15054" s="14">
        <f t="shared" si="2"/>
        <v>20</v>
      </c>
      <c r="I15054" s="15">
        <f t="shared" si="3"/>
        <v>6</v>
      </c>
    </row>
    <row r="15055">
      <c r="A15055" s="8" t="str">
        <f>IFERROR(__xludf.DUMMYFUNCTION("IF('(INGESTA)Datos_consumo_datadis'!A15055&lt;&gt;"""",SPLIT('(INGESTA)Datos_consumo_datadis'!A:A,"",""),"""")"),"ES0031408323131005HX0F")</f>
        <v>ES0031408323131005HX0F</v>
      </c>
      <c r="B15055" s="12">
        <f>IFERROR(__xludf.DUMMYFUNCTION("""COMPUTED_VALUE"""),45493.0)</f>
        <v>45493</v>
      </c>
      <c r="C15055" s="13">
        <f>IFERROR(__xludf.DUMMYFUNCTION("""COMPUTED_VALUE"""),0.2916666666666667)</f>
        <v>0.2916666667</v>
      </c>
      <c r="D15055" s="8">
        <f>IFERROR(__xludf.DUMMYFUNCTION("""COMPUTED_VALUE"""),0.167)</f>
        <v>0.167</v>
      </c>
      <c r="E15055" s="8" t="str">
        <f>IFERROR(__xludf.DUMMYFUNCTION("""COMPUTED_VALUE"""),"Real")</f>
        <v>Real</v>
      </c>
      <c r="G15055" s="8">
        <f t="shared" si="1"/>
        <v>7</v>
      </c>
      <c r="H15055" s="14">
        <f t="shared" si="2"/>
        <v>20</v>
      </c>
      <c r="I15055" s="15">
        <f t="shared" si="3"/>
        <v>7</v>
      </c>
    </row>
    <row r="15056">
      <c r="A15056" s="8" t="str">
        <f>IFERROR(__xludf.DUMMYFUNCTION("IF('(INGESTA)Datos_consumo_datadis'!A15056&lt;&gt;"""",SPLIT('(INGESTA)Datos_consumo_datadis'!A:A,"",""),"""")"),"ES0031408323131005HX0F")</f>
        <v>ES0031408323131005HX0F</v>
      </c>
      <c r="B15056" s="12">
        <f>IFERROR(__xludf.DUMMYFUNCTION("""COMPUTED_VALUE"""),45493.0)</f>
        <v>45493</v>
      </c>
      <c r="C15056" s="13">
        <f>IFERROR(__xludf.DUMMYFUNCTION("""COMPUTED_VALUE"""),0.3333333333333333)</f>
        <v>0.3333333333</v>
      </c>
      <c r="D15056" s="8">
        <f>IFERROR(__xludf.DUMMYFUNCTION("""COMPUTED_VALUE"""),0.2)</f>
        <v>0.2</v>
      </c>
      <c r="E15056" s="8" t="str">
        <f>IFERROR(__xludf.DUMMYFUNCTION("""COMPUTED_VALUE"""),"Real")</f>
        <v>Real</v>
      </c>
      <c r="G15056" s="8">
        <f t="shared" si="1"/>
        <v>7</v>
      </c>
      <c r="H15056" s="14">
        <f t="shared" si="2"/>
        <v>20</v>
      </c>
      <c r="I15056" s="15">
        <f t="shared" si="3"/>
        <v>8</v>
      </c>
    </row>
    <row r="15057">
      <c r="A15057" s="8" t="str">
        <f>IFERROR(__xludf.DUMMYFUNCTION("IF('(INGESTA)Datos_consumo_datadis'!A15057&lt;&gt;"""",SPLIT('(INGESTA)Datos_consumo_datadis'!A:A,"",""),"""")"),"ES0031408323131005HX0F")</f>
        <v>ES0031408323131005HX0F</v>
      </c>
      <c r="B15057" s="12">
        <f>IFERROR(__xludf.DUMMYFUNCTION("""COMPUTED_VALUE"""),45493.0)</f>
        <v>45493</v>
      </c>
      <c r="C15057" s="13">
        <f>IFERROR(__xludf.DUMMYFUNCTION("""COMPUTED_VALUE"""),0.375)</f>
        <v>0.375</v>
      </c>
      <c r="D15057" s="8">
        <f>IFERROR(__xludf.DUMMYFUNCTION("""COMPUTED_VALUE"""),0.185)</f>
        <v>0.185</v>
      </c>
      <c r="E15057" s="8" t="str">
        <f>IFERROR(__xludf.DUMMYFUNCTION("""COMPUTED_VALUE"""),"Real")</f>
        <v>Real</v>
      </c>
      <c r="G15057" s="8">
        <f t="shared" si="1"/>
        <v>7</v>
      </c>
      <c r="H15057" s="14">
        <f t="shared" si="2"/>
        <v>20</v>
      </c>
      <c r="I15057" s="15">
        <f t="shared" si="3"/>
        <v>9</v>
      </c>
    </row>
    <row r="15058">
      <c r="A15058" s="8" t="str">
        <f>IFERROR(__xludf.DUMMYFUNCTION("IF('(INGESTA)Datos_consumo_datadis'!A15058&lt;&gt;"""",SPLIT('(INGESTA)Datos_consumo_datadis'!A:A,"",""),"""")"),"ES0031408323131005HX0F")</f>
        <v>ES0031408323131005HX0F</v>
      </c>
      <c r="B15058" s="12">
        <f>IFERROR(__xludf.DUMMYFUNCTION("""COMPUTED_VALUE"""),45493.0)</f>
        <v>45493</v>
      </c>
      <c r="C15058" s="13">
        <f>IFERROR(__xludf.DUMMYFUNCTION("""COMPUTED_VALUE"""),0.4166666666666667)</f>
        <v>0.4166666667</v>
      </c>
      <c r="D15058" s="8">
        <f>IFERROR(__xludf.DUMMYFUNCTION("""COMPUTED_VALUE"""),0.491)</f>
        <v>0.491</v>
      </c>
      <c r="E15058" s="8" t="str">
        <f>IFERROR(__xludf.DUMMYFUNCTION("""COMPUTED_VALUE"""),"Real")</f>
        <v>Real</v>
      </c>
      <c r="G15058" s="8">
        <f t="shared" si="1"/>
        <v>7</v>
      </c>
      <c r="H15058" s="14">
        <f t="shared" si="2"/>
        <v>20</v>
      </c>
      <c r="I15058" s="15">
        <f t="shared" si="3"/>
        <v>10</v>
      </c>
    </row>
    <row r="15059">
      <c r="A15059" s="8" t="str">
        <f>IFERROR(__xludf.DUMMYFUNCTION("IF('(INGESTA)Datos_consumo_datadis'!A15059&lt;&gt;"""",SPLIT('(INGESTA)Datos_consumo_datadis'!A:A,"",""),"""")"),"ES0031408323131005HX0F")</f>
        <v>ES0031408323131005HX0F</v>
      </c>
      <c r="B15059" s="12">
        <f>IFERROR(__xludf.DUMMYFUNCTION("""COMPUTED_VALUE"""),45493.0)</f>
        <v>45493</v>
      </c>
      <c r="C15059" s="13">
        <f>IFERROR(__xludf.DUMMYFUNCTION("""COMPUTED_VALUE"""),0.4583333333333333)</f>
        <v>0.4583333333</v>
      </c>
      <c r="D15059" s="8">
        <f>IFERROR(__xludf.DUMMYFUNCTION("""COMPUTED_VALUE"""),0.272)</f>
        <v>0.272</v>
      </c>
      <c r="E15059" s="8" t="str">
        <f>IFERROR(__xludf.DUMMYFUNCTION("""COMPUTED_VALUE"""),"Real")</f>
        <v>Real</v>
      </c>
      <c r="G15059" s="8">
        <f t="shared" si="1"/>
        <v>7</v>
      </c>
      <c r="H15059" s="14">
        <f t="shared" si="2"/>
        <v>20</v>
      </c>
      <c r="I15059" s="15">
        <f t="shared" si="3"/>
        <v>11</v>
      </c>
    </row>
    <row r="15060">
      <c r="A15060" s="8" t="str">
        <f>IFERROR(__xludf.DUMMYFUNCTION("IF('(INGESTA)Datos_consumo_datadis'!A15060&lt;&gt;"""",SPLIT('(INGESTA)Datos_consumo_datadis'!A:A,"",""),"""")"),"ES0031408323131005HX0F")</f>
        <v>ES0031408323131005HX0F</v>
      </c>
      <c r="B15060" s="12">
        <f>IFERROR(__xludf.DUMMYFUNCTION("""COMPUTED_VALUE"""),45493.0)</f>
        <v>45493</v>
      </c>
      <c r="C15060" s="13">
        <f>IFERROR(__xludf.DUMMYFUNCTION("""COMPUTED_VALUE"""),0.5)</f>
        <v>0.5</v>
      </c>
      <c r="D15060" s="8">
        <f>IFERROR(__xludf.DUMMYFUNCTION("""COMPUTED_VALUE"""),0.132)</f>
        <v>0.132</v>
      </c>
      <c r="E15060" s="8" t="str">
        <f>IFERROR(__xludf.DUMMYFUNCTION("""COMPUTED_VALUE"""),"Real")</f>
        <v>Real</v>
      </c>
      <c r="G15060" s="8">
        <f t="shared" si="1"/>
        <v>7</v>
      </c>
      <c r="H15060" s="14">
        <f t="shared" si="2"/>
        <v>20</v>
      </c>
      <c r="I15060" s="15">
        <f t="shared" si="3"/>
        <v>12</v>
      </c>
    </row>
    <row r="15061">
      <c r="A15061" s="8" t="str">
        <f>IFERROR(__xludf.DUMMYFUNCTION("IF('(INGESTA)Datos_consumo_datadis'!A15061&lt;&gt;"""",SPLIT('(INGESTA)Datos_consumo_datadis'!A:A,"",""),"""")"),"ES0031408323131005HX0F")</f>
        <v>ES0031408323131005HX0F</v>
      </c>
      <c r="B15061" s="12">
        <f>IFERROR(__xludf.DUMMYFUNCTION("""COMPUTED_VALUE"""),45493.0)</f>
        <v>45493</v>
      </c>
      <c r="C15061" s="13">
        <f>IFERROR(__xludf.DUMMYFUNCTION("""COMPUTED_VALUE"""),0.5416666666666666)</f>
        <v>0.5416666667</v>
      </c>
      <c r="D15061" s="8">
        <f>IFERROR(__xludf.DUMMYFUNCTION("""COMPUTED_VALUE"""),0.121)</f>
        <v>0.121</v>
      </c>
      <c r="E15061" s="8" t="str">
        <f>IFERROR(__xludf.DUMMYFUNCTION("""COMPUTED_VALUE"""),"Real")</f>
        <v>Real</v>
      </c>
      <c r="G15061" s="8">
        <f t="shared" si="1"/>
        <v>7</v>
      </c>
      <c r="H15061" s="14">
        <f t="shared" si="2"/>
        <v>20</v>
      </c>
      <c r="I15061" s="15">
        <f t="shared" si="3"/>
        <v>13</v>
      </c>
    </row>
    <row r="15062">
      <c r="A15062" s="8" t="str">
        <f>IFERROR(__xludf.DUMMYFUNCTION("IF('(INGESTA)Datos_consumo_datadis'!A15062&lt;&gt;"""",SPLIT('(INGESTA)Datos_consumo_datadis'!A:A,"",""),"""")"),"ES0031408323131005HX0F")</f>
        <v>ES0031408323131005HX0F</v>
      </c>
      <c r="B15062" s="12">
        <f>IFERROR(__xludf.DUMMYFUNCTION("""COMPUTED_VALUE"""),45493.0)</f>
        <v>45493</v>
      </c>
      <c r="C15062" s="13">
        <f>IFERROR(__xludf.DUMMYFUNCTION("""COMPUTED_VALUE"""),0.5833333333333334)</f>
        <v>0.5833333333</v>
      </c>
      <c r="D15062" s="8">
        <f>IFERROR(__xludf.DUMMYFUNCTION("""COMPUTED_VALUE"""),2.181)</f>
        <v>2.181</v>
      </c>
      <c r="E15062" s="8" t="str">
        <f>IFERROR(__xludf.DUMMYFUNCTION("""COMPUTED_VALUE"""),"Real")</f>
        <v>Real</v>
      </c>
      <c r="G15062" s="8">
        <f t="shared" si="1"/>
        <v>7</v>
      </c>
      <c r="H15062" s="14">
        <f t="shared" si="2"/>
        <v>20</v>
      </c>
      <c r="I15062" s="15">
        <f t="shared" si="3"/>
        <v>14</v>
      </c>
    </row>
    <row r="15063">
      <c r="A15063" s="8" t="str">
        <f>IFERROR(__xludf.DUMMYFUNCTION("IF('(INGESTA)Datos_consumo_datadis'!A15063&lt;&gt;"""",SPLIT('(INGESTA)Datos_consumo_datadis'!A:A,"",""),"""")"),"ES0031408323131005HX0F")</f>
        <v>ES0031408323131005HX0F</v>
      </c>
      <c r="B15063" s="12">
        <f>IFERROR(__xludf.DUMMYFUNCTION("""COMPUTED_VALUE"""),45493.0)</f>
        <v>45493</v>
      </c>
      <c r="C15063" s="13">
        <f>IFERROR(__xludf.DUMMYFUNCTION("""COMPUTED_VALUE"""),0.625)</f>
        <v>0.625</v>
      </c>
      <c r="D15063" s="8">
        <f>IFERROR(__xludf.DUMMYFUNCTION("""COMPUTED_VALUE"""),1.064)</f>
        <v>1.064</v>
      </c>
      <c r="E15063" s="8" t="str">
        <f>IFERROR(__xludf.DUMMYFUNCTION("""COMPUTED_VALUE"""),"Real")</f>
        <v>Real</v>
      </c>
      <c r="G15063" s="8">
        <f t="shared" si="1"/>
        <v>7</v>
      </c>
      <c r="H15063" s="14">
        <f t="shared" si="2"/>
        <v>20</v>
      </c>
      <c r="I15063" s="15">
        <f t="shared" si="3"/>
        <v>15</v>
      </c>
    </row>
    <row r="15064">
      <c r="A15064" s="8" t="str">
        <f>IFERROR(__xludf.DUMMYFUNCTION("IF('(INGESTA)Datos_consumo_datadis'!A15064&lt;&gt;"""",SPLIT('(INGESTA)Datos_consumo_datadis'!A:A,"",""),"""")"),"ES0031408323131005HX0F")</f>
        <v>ES0031408323131005HX0F</v>
      </c>
      <c r="B15064" s="12">
        <f>IFERROR(__xludf.DUMMYFUNCTION("""COMPUTED_VALUE"""),45493.0)</f>
        <v>45493</v>
      </c>
      <c r="C15064" s="13">
        <f>IFERROR(__xludf.DUMMYFUNCTION("""COMPUTED_VALUE"""),0.6666666666666666)</f>
        <v>0.6666666667</v>
      </c>
      <c r="D15064" s="8">
        <f>IFERROR(__xludf.DUMMYFUNCTION("""COMPUTED_VALUE"""),0.484)</f>
        <v>0.484</v>
      </c>
      <c r="E15064" s="8" t="str">
        <f>IFERROR(__xludf.DUMMYFUNCTION("""COMPUTED_VALUE"""),"Real")</f>
        <v>Real</v>
      </c>
      <c r="G15064" s="8">
        <f t="shared" si="1"/>
        <v>7</v>
      </c>
      <c r="H15064" s="14">
        <f t="shared" si="2"/>
        <v>20</v>
      </c>
      <c r="I15064" s="15">
        <f t="shared" si="3"/>
        <v>16</v>
      </c>
    </row>
    <row r="15065">
      <c r="A15065" s="8" t="str">
        <f>IFERROR(__xludf.DUMMYFUNCTION("IF('(INGESTA)Datos_consumo_datadis'!A15065&lt;&gt;"""",SPLIT('(INGESTA)Datos_consumo_datadis'!A:A,"",""),"""")"),"ES0031408323131005HX0F")</f>
        <v>ES0031408323131005HX0F</v>
      </c>
      <c r="B15065" s="12">
        <f>IFERROR(__xludf.DUMMYFUNCTION("""COMPUTED_VALUE"""),45493.0)</f>
        <v>45493</v>
      </c>
      <c r="C15065" s="13">
        <f>IFERROR(__xludf.DUMMYFUNCTION("""COMPUTED_VALUE"""),0.7083333333333334)</f>
        <v>0.7083333333</v>
      </c>
      <c r="D15065" s="8">
        <f>IFERROR(__xludf.DUMMYFUNCTION("""COMPUTED_VALUE"""),0.509)</f>
        <v>0.509</v>
      </c>
      <c r="E15065" s="8" t="str">
        <f>IFERROR(__xludf.DUMMYFUNCTION("""COMPUTED_VALUE"""),"Real")</f>
        <v>Real</v>
      </c>
      <c r="G15065" s="8">
        <f t="shared" si="1"/>
        <v>7</v>
      </c>
      <c r="H15065" s="14">
        <f t="shared" si="2"/>
        <v>20</v>
      </c>
      <c r="I15065" s="15">
        <f t="shared" si="3"/>
        <v>17</v>
      </c>
    </row>
    <row r="15066">
      <c r="A15066" s="8" t="str">
        <f>IFERROR(__xludf.DUMMYFUNCTION("IF('(INGESTA)Datos_consumo_datadis'!A15066&lt;&gt;"""",SPLIT('(INGESTA)Datos_consumo_datadis'!A:A,"",""),"""")"),"ES0031408323131005HX0F")</f>
        <v>ES0031408323131005HX0F</v>
      </c>
      <c r="B15066" s="12">
        <f>IFERROR(__xludf.DUMMYFUNCTION("""COMPUTED_VALUE"""),45493.0)</f>
        <v>45493</v>
      </c>
      <c r="C15066" s="13">
        <f>IFERROR(__xludf.DUMMYFUNCTION("""COMPUTED_VALUE"""),0.75)</f>
        <v>0.75</v>
      </c>
      <c r="D15066" s="8">
        <f>IFERROR(__xludf.DUMMYFUNCTION("""COMPUTED_VALUE"""),0.351)</f>
        <v>0.351</v>
      </c>
      <c r="E15066" s="8" t="str">
        <f>IFERROR(__xludf.DUMMYFUNCTION("""COMPUTED_VALUE"""),"Real")</f>
        <v>Real</v>
      </c>
      <c r="G15066" s="8">
        <f t="shared" si="1"/>
        <v>7</v>
      </c>
      <c r="H15066" s="14">
        <f t="shared" si="2"/>
        <v>20</v>
      </c>
      <c r="I15066" s="15">
        <f t="shared" si="3"/>
        <v>18</v>
      </c>
    </row>
    <row r="15067">
      <c r="A15067" s="8" t="str">
        <f>IFERROR(__xludf.DUMMYFUNCTION("IF('(INGESTA)Datos_consumo_datadis'!A15067&lt;&gt;"""",SPLIT('(INGESTA)Datos_consumo_datadis'!A:A,"",""),"""")"),"ES0031408323131005HX0F")</f>
        <v>ES0031408323131005HX0F</v>
      </c>
      <c r="B15067" s="12">
        <f>IFERROR(__xludf.DUMMYFUNCTION("""COMPUTED_VALUE"""),45493.0)</f>
        <v>45493</v>
      </c>
      <c r="C15067" s="13">
        <f>IFERROR(__xludf.DUMMYFUNCTION("""COMPUTED_VALUE"""),0.7916666666666666)</f>
        <v>0.7916666667</v>
      </c>
      <c r="D15067" s="8">
        <f>IFERROR(__xludf.DUMMYFUNCTION("""COMPUTED_VALUE"""),0.109)</f>
        <v>0.109</v>
      </c>
      <c r="E15067" s="8" t="str">
        <f>IFERROR(__xludf.DUMMYFUNCTION("""COMPUTED_VALUE"""),"Real")</f>
        <v>Real</v>
      </c>
      <c r="G15067" s="8">
        <f t="shared" si="1"/>
        <v>7</v>
      </c>
      <c r="H15067" s="14">
        <f t="shared" si="2"/>
        <v>20</v>
      </c>
      <c r="I15067" s="15">
        <f t="shared" si="3"/>
        <v>19</v>
      </c>
    </row>
    <row r="15068">
      <c r="A15068" s="8" t="str">
        <f>IFERROR(__xludf.DUMMYFUNCTION("IF('(INGESTA)Datos_consumo_datadis'!A15068&lt;&gt;"""",SPLIT('(INGESTA)Datos_consumo_datadis'!A:A,"",""),"""")"),"ES0031408323131005HX0F")</f>
        <v>ES0031408323131005HX0F</v>
      </c>
      <c r="B15068" s="12">
        <f>IFERROR(__xludf.DUMMYFUNCTION("""COMPUTED_VALUE"""),45493.0)</f>
        <v>45493</v>
      </c>
      <c r="C15068" s="13">
        <f>IFERROR(__xludf.DUMMYFUNCTION("""COMPUTED_VALUE"""),0.8333333333333334)</f>
        <v>0.8333333333</v>
      </c>
      <c r="D15068" s="8">
        <f>IFERROR(__xludf.DUMMYFUNCTION("""COMPUTED_VALUE"""),0.952)</f>
        <v>0.952</v>
      </c>
      <c r="E15068" s="8" t="str">
        <f>IFERROR(__xludf.DUMMYFUNCTION("""COMPUTED_VALUE"""),"Real")</f>
        <v>Real</v>
      </c>
      <c r="G15068" s="8">
        <f t="shared" si="1"/>
        <v>7</v>
      </c>
      <c r="H15068" s="14">
        <f t="shared" si="2"/>
        <v>20</v>
      </c>
      <c r="I15068" s="15">
        <f t="shared" si="3"/>
        <v>20</v>
      </c>
    </row>
    <row r="15069">
      <c r="A15069" s="8" t="str">
        <f>IFERROR(__xludf.DUMMYFUNCTION("IF('(INGESTA)Datos_consumo_datadis'!A15069&lt;&gt;"""",SPLIT('(INGESTA)Datos_consumo_datadis'!A:A,"",""),"""")"),"ES0031408323131005HX0F")</f>
        <v>ES0031408323131005HX0F</v>
      </c>
      <c r="B15069" s="12">
        <f>IFERROR(__xludf.DUMMYFUNCTION("""COMPUTED_VALUE"""),45493.0)</f>
        <v>45493</v>
      </c>
      <c r="C15069" s="13">
        <f>IFERROR(__xludf.DUMMYFUNCTION("""COMPUTED_VALUE"""),0.875)</f>
        <v>0.875</v>
      </c>
      <c r="D15069" s="8">
        <f>IFERROR(__xludf.DUMMYFUNCTION("""COMPUTED_VALUE"""),2.106)</f>
        <v>2.106</v>
      </c>
      <c r="E15069" s="8" t="str">
        <f>IFERROR(__xludf.DUMMYFUNCTION("""COMPUTED_VALUE"""),"Real")</f>
        <v>Real</v>
      </c>
      <c r="G15069" s="8">
        <f t="shared" si="1"/>
        <v>7</v>
      </c>
      <c r="H15069" s="14">
        <f t="shared" si="2"/>
        <v>20</v>
      </c>
      <c r="I15069" s="15">
        <f t="shared" si="3"/>
        <v>21</v>
      </c>
    </row>
    <row r="15070">
      <c r="A15070" s="8" t="str">
        <f>IFERROR(__xludf.DUMMYFUNCTION("IF('(INGESTA)Datos_consumo_datadis'!A15070&lt;&gt;"""",SPLIT('(INGESTA)Datos_consumo_datadis'!A:A,"",""),"""")"),"ES0031408323131005HX0F")</f>
        <v>ES0031408323131005HX0F</v>
      </c>
      <c r="B15070" s="12">
        <f>IFERROR(__xludf.DUMMYFUNCTION("""COMPUTED_VALUE"""),45493.0)</f>
        <v>45493</v>
      </c>
      <c r="C15070" s="13">
        <f>IFERROR(__xludf.DUMMYFUNCTION("""COMPUTED_VALUE"""),0.9166666666666666)</f>
        <v>0.9166666667</v>
      </c>
      <c r="D15070" s="8">
        <f>IFERROR(__xludf.DUMMYFUNCTION("""COMPUTED_VALUE"""),0.331)</f>
        <v>0.331</v>
      </c>
      <c r="E15070" s="8" t="str">
        <f>IFERROR(__xludf.DUMMYFUNCTION("""COMPUTED_VALUE"""),"Real")</f>
        <v>Real</v>
      </c>
      <c r="G15070" s="8">
        <f t="shared" si="1"/>
        <v>7</v>
      </c>
      <c r="H15070" s="14">
        <f t="shared" si="2"/>
        <v>20</v>
      </c>
      <c r="I15070" s="15">
        <f t="shared" si="3"/>
        <v>22</v>
      </c>
    </row>
    <row r="15071">
      <c r="A15071" s="8" t="str">
        <f>IFERROR(__xludf.DUMMYFUNCTION("IF('(INGESTA)Datos_consumo_datadis'!A15071&lt;&gt;"""",SPLIT('(INGESTA)Datos_consumo_datadis'!A:A,"",""),"""")"),"ES0031408323131005HX0F")</f>
        <v>ES0031408323131005HX0F</v>
      </c>
      <c r="B15071" s="12">
        <f>IFERROR(__xludf.DUMMYFUNCTION("""COMPUTED_VALUE"""),45493.0)</f>
        <v>45493</v>
      </c>
      <c r="C15071" s="13">
        <f>IFERROR(__xludf.DUMMYFUNCTION("""COMPUTED_VALUE"""),0.9583333333333334)</f>
        <v>0.9583333333</v>
      </c>
      <c r="D15071" s="8">
        <f>IFERROR(__xludf.DUMMYFUNCTION("""COMPUTED_VALUE"""),0.106)</f>
        <v>0.106</v>
      </c>
      <c r="E15071" s="8" t="str">
        <f>IFERROR(__xludf.DUMMYFUNCTION("""COMPUTED_VALUE"""),"Real")</f>
        <v>Real</v>
      </c>
      <c r="G15071" s="8">
        <f t="shared" si="1"/>
        <v>7</v>
      </c>
      <c r="H15071" s="14">
        <f t="shared" si="2"/>
        <v>20</v>
      </c>
      <c r="I15071" s="15">
        <f t="shared" si="3"/>
        <v>23</v>
      </c>
    </row>
    <row r="15072">
      <c r="A15072" s="8" t="str">
        <f>IFERROR(__xludf.DUMMYFUNCTION("IF('(INGESTA)Datos_consumo_datadis'!A15072&lt;&gt;"""",SPLIT('(INGESTA)Datos_consumo_datadis'!A:A,"",""),"""")"),"ES0031408323131005HX0F")</f>
        <v>ES0031408323131005HX0F</v>
      </c>
      <c r="B15072" s="12">
        <f>IFERROR(__xludf.DUMMYFUNCTION("""COMPUTED_VALUE"""),45493.0)</f>
        <v>45493</v>
      </c>
      <c r="C15072" s="16">
        <f>IFERROR(__xludf.DUMMYFUNCTION("""COMPUTED_VALUE"""),1.0)</f>
        <v>1</v>
      </c>
      <c r="D15072" s="8">
        <f>IFERROR(__xludf.DUMMYFUNCTION("""COMPUTED_VALUE"""),0.222)</f>
        <v>0.222</v>
      </c>
      <c r="E15072" s="8" t="str">
        <f>IFERROR(__xludf.DUMMYFUNCTION("""COMPUTED_VALUE"""),"Real")</f>
        <v>Real</v>
      </c>
      <c r="G15072" s="8">
        <f t="shared" si="1"/>
        <v>7</v>
      </c>
      <c r="H15072" s="14">
        <f t="shared" si="2"/>
        <v>20</v>
      </c>
      <c r="I15072" s="15">
        <f t="shared" si="3"/>
        <v>0</v>
      </c>
    </row>
    <row r="15073">
      <c r="A15073" s="8" t="str">
        <f>IFERROR(__xludf.DUMMYFUNCTION("IF('(INGESTA)Datos_consumo_datadis'!A15073&lt;&gt;"""",SPLIT('(INGESTA)Datos_consumo_datadis'!A:A,"",""),"""")"),"ES0031408323131005HX0F")</f>
        <v>ES0031408323131005HX0F</v>
      </c>
      <c r="B15073" s="12">
        <f>IFERROR(__xludf.DUMMYFUNCTION("""COMPUTED_VALUE"""),45494.0)</f>
        <v>45494</v>
      </c>
      <c r="C15073" s="13">
        <f>IFERROR(__xludf.DUMMYFUNCTION("""COMPUTED_VALUE"""),0.041666666666666664)</f>
        <v>0.04166666667</v>
      </c>
      <c r="D15073" s="8">
        <f>IFERROR(__xludf.DUMMYFUNCTION("""COMPUTED_VALUE"""),0.425)</f>
        <v>0.425</v>
      </c>
      <c r="E15073" s="8" t="str">
        <f>IFERROR(__xludf.DUMMYFUNCTION("""COMPUTED_VALUE"""),"Real")</f>
        <v>Real</v>
      </c>
      <c r="G15073" s="8">
        <f t="shared" si="1"/>
        <v>7</v>
      </c>
      <c r="H15073" s="14">
        <f t="shared" si="2"/>
        <v>21</v>
      </c>
      <c r="I15073" s="15">
        <f t="shared" si="3"/>
        <v>1</v>
      </c>
    </row>
    <row r="15074">
      <c r="A15074" s="8" t="str">
        <f>IFERROR(__xludf.DUMMYFUNCTION("IF('(INGESTA)Datos_consumo_datadis'!A15074&lt;&gt;"""",SPLIT('(INGESTA)Datos_consumo_datadis'!A:A,"",""),"""")"),"ES0031408323131005HX0F")</f>
        <v>ES0031408323131005HX0F</v>
      </c>
      <c r="B15074" s="12">
        <f>IFERROR(__xludf.DUMMYFUNCTION("""COMPUTED_VALUE"""),45494.0)</f>
        <v>45494</v>
      </c>
      <c r="C15074" s="13">
        <f>IFERROR(__xludf.DUMMYFUNCTION("""COMPUTED_VALUE"""),0.08333333333333333)</f>
        <v>0.08333333333</v>
      </c>
      <c r="D15074" s="8">
        <f>IFERROR(__xludf.DUMMYFUNCTION("""COMPUTED_VALUE"""),0.159)</f>
        <v>0.159</v>
      </c>
      <c r="E15074" s="8" t="str">
        <f>IFERROR(__xludf.DUMMYFUNCTION("""COMPUTED_VALUE"""),"Real")</f>
        <v>Real</v>
      </c>
      <c r="G15074" s="8">
        <f t="shared" si="1"/>
        <v>7</v>
      </c>
      <c r="H15074" s="14">
        <f t="shared" si="2"/>
        <v>21</v>
      </c>
      <c r="I15074" s="15">
        <f t="shared" si="3"/>
        <v>2</v>
      </c>
    </row>
    <row r="15075">
      <c r="A15075" s="8" t="str">
        <f>IFERROR(__xludf.DUMMYFUNCTION("IF('(INGESTA)Datos_consumo_datadis'!A15075&lt;&gt;"""",SPLIT('(INGESTA)Datos_consumo_datadis'!A:A,"",""),"""")"),"ES0031408323131005HX0F")</f>
        <v>ES0031408323131005HX0F</v>
      </c>
      <c r="B15075" s="12">
        <f>IFERROR(__xludf.DUMMYFUNCTION("""COMPUTED_VALUE"""),45494.0)</f>
        <v>45494</v>
      </c>
      <c r="C15075" s="13">
        <f>IFERROR(__xludf.DUMMYFUNCTION("""COMPUTED_VALUE"""),0.125)</f>
        <v>0.125</v>
      </c>
      <c r="D15075" s="8">
        <f>IFERROR(__xludf.DUMMYFUNCTION("""COMPUTED_VALUE"""),0.302)</f>
        <v>0.302</v>
      </c>
      <c r="E15075" s="8" t="str">
        <f>IFERROR(__xludf.DUMMYFUNCTION("""COMPUTED_VALUE"""),"Real")</f>
        <v>Real</v>
      </c>
      <c r="G15075" s="8">
        <f t="shared" si="1"/>
        <v>7</v>
      </c>
      <c r="H15075" s="14">
        <f t="shared" si="2"/>
        <v>21</v>
      </c>
      <c r="I15075" s="15">
        <f t="shared" si="3"/>
        <v>3</v>
      </c>
    </row>
    <row r="15076">
      <c r="A15076" s="8" t="str">
        <f>IFERROR(__xludf.DUMMYFUNCTION("IF('(INGESTA)Datos_consumo_datadis'!A15076&lt;&gt;"""",SPLIT('(INGESTA)Datos_consumo_datadis'!A:A,"",""),"""")"),"ES0031408323131005HX0F")</f>
        <v>ES0031408323131005HX0F</v>
      </c>
      <c r="B15076" s="12">
        <f>IFERROR(__xludf.DUMMYFUNCTION("""COMPUTED_VALUE"""),45494.0)</f>
        <v>45494</v>
      </c>
      <c r="C15076" s="13">
        <f>IFERROR(__xludf.DUMMYFUNCTION("""COMPUTED_VALUE"""),0.16666666666666666)</f>
        <v>0.1666666667</v>
      </c>
      <c r="D15076" s="8">
        <f>IFERROR(__xludf.DUMMYFUNCTION("""COMPUTED_VALUE"""),0.205)</f>
        <v>0.205</v>
      </c>
      <c r="E15076" s="8" t="str">
        <f>IFERROR(__xludf.DUMMYFUNCTION("""COMPUTED_VALUE"""),"Real")</f>
        <v>Real</v>
      </c>
      <c r="G15076" s="8">
        <f t="shared" si="1"/>
        <v>7</v>
      </c>
      <c r="H15076" s="14">
        <f t="shared" si="2"/>
        <v>21</v>
      </c>
      <c r="I15076" s="15">
        <f t="shared" si="3"/>
        <v>4</v>
      </c>
    </row>
    <row r="15077">
      <c r="A15077" s="8" t="str">
        <f>IFERROR(__xludf.DUMMYFUNCTION("IF('(INGESTA)Datos_consumo_datadis'!A15077&lt;&gt;"""",SPLIT('(INGESTA)Datos_consumo_datadis'!A:A,"",""),"""")"),"ES0031408323131005HX0F")</f>
        <v>ES0031408323131005HX0F</v>
      </c>
      <c r="B15077" s="12">
        <f>IFERROR(__xludf.DUMMYFUNCTION("""COMPUTED_VALUE"""),45494.0)</f>
        <v>45494</v>
      </c>
      <c r="C15077" s="13">
        <f>IFERROR(__xludf.DUMMYFUNCTION("""COMPUTED_VALUE"""),0.20833333333333334)</f>
        <v>0.2083333333</v>
      </c>
      <c r="D15077" s="8">
        <f>IFERROR(__xludf.DUMMYFUNCTION("""COMPUTED_VALUE"""),0.116)</f>
        <v>0.116</v>
      </c>
      <c r="E15077" s="8" t="str">
        <f>IFERROR(__xludf.DUMMYFUNCTION("""COMPUTED_VALUE"""),"Real")</f>
        <v>Real</v>
      </c>
      <c r="G15077" s="8">
        <f t="shared" si="1"/>
        <v>7</v>
      </c>
      <c r="H15077" s="14">
        <f t="shared" si="2"/>
        <v>21</v>
      </c>
      <c r="I15077" s="15">
        <f t="shared" si="3"/>
        <v>5</v>
      </c>
    </row>
    <row r="15078">
      <c r="A15078" s="8" t="str">
        <f>IFERROR(__xludf.DUMMYFUNCTION("IF('(INGESTA)Datos_consumo_datadis'!A15078&lt;&gt;"""",SPLIT('(INGESTA)Datos_consumo_datadis'!A:A,"",""),"""")"),"ES0031408323131005HX0F")</f>
        <v>ES0031408323131005HX0F</v>
      </c>
      <c r="B15078" s="12">
        <f>IFERROR(__xludf.DUMMYFUNCTION("""COMPUTED_VALUE"""),45494.0)</f>
        <v>45494</v>
      </c>
      <c r="C15078" s="13">
        <f>IFERROR(__xludf.DUMMYFUNCTION("""COMPUTED_VALUE"""),0.25)</f>
        <v>0.25</v>
      </c>
      <c r="D15078" s="8">
        <f>IFERROR(__xludf.DUMMYFUNCTION("""COMPUTED_VALUE"""),0.04)</f>
        <v>0.04</v>
      </c>
      <c r="E15078" s="8" t="str">
        <f>IFERROR(__xludf.DUMMYFUNCTION("""COMPUTED_VALUE"""),"Real")</f>
        <v>Real</v>
      </c>
      <c r="G15078" s="8">
        <f t="shared" si="1"/>
        <v>7</v>
      </c>
      <c r="H15078" s="14">
        <f t="shared" si="2"/>
        <v>21</v>
      </c>
      <c r="I15078" s="15">
        <f t="shared" si="3"/>
        <v>6</v>
      </c>
    </row>
    <row r="15079">
      <c r="A15079" s="8" t="str">
        <f>IFERROR(__xludf.DUMMYFUNCTION("IF('(INGESTA)Datos_consumo_datadis'!A15079&lt;&gt;"""",SPLIT('(INGESTA)Datos_consumo_datadis'!A:A,"",""),"""")"),"ES0031408323131005HX0F")</f>
        <v>ES0031408323131005HX0F</v>
      </c>
      <c r="B15079" s="12">
        <f>IFERROR(__xludf.DUMMYFUNCTION("""COMPUTED_VALUE"""),45494.0)</f>
        <v>45494</v>
      </c>
      <c r="C15079" s="13">
        <f>IFERROR(__xludf.DUMMYFUNCTION("""COMPUTED_VALUE"""),0.2916666666666667)</f>
        <v>0.2916666667</v>
      </c>
      <c r="D15079" s="8">
        <f>IFERROR(__xludf.DUMMYFUNCTION("""COMPUTED_VALUE"""),0.129)</f>
        <v>0.129</v>
      </c>
      <c r="E15079" s="8" t="str">
        <f>IFERROR(__xludf.DUMMYFUNCTION("""COMPUTED_VALUE"""),"Real")</f>
        <v>Real</v>
      </c>
      <c r="G15079" s="8">
        <f t="shared" si="1"/>
        <v>7</v>
      </c>
      <c r="H15079" s="14">
        <f t="shared" si="2"/>
        <v>21</v>
      </c>
      <c r="I15079" s="15">
        <f t="shared" si="3"/>
        <v>7</v>
      </c>
    </row>
    <row r="15080">
      <c r="A15080" s="8" t="str">
        <f>IFERROR(__xludf.DUMMYFUNCTION("IF('(INGESTA)Datos_consumo_datadis'!A15080&lt;&gt;"""",SPLIT('(INGESTA)Datos_consumo_datadis'!A:A,"",""),"""")"),"ES0031408323131005HX0F")</f>
        <v>ES0031408323131005HX0F</v>
      </c>
      <c r="B15080" s="12">
        <f>IFERROR(__xludf.DUMMYFUNCTION("""COMPUTED_VALUE"""),45494.0)</f>
        <v>45494</v>
      </c>
      <c r="C15080" s="13">
        <f>IFERROR(__xludf.DUMMYFUNCTION("""COMPUTED_VALUE"""),0.3333333333333333)</f>
        <v>0.3333333333</v>
      </c>
      <c r="D15080" s="8">
        <f>IFERROR(__xludf.DUMMYFUNCTION("""COMPUTED_VALUE"""),0.1)</f>
        <v>0.1</v>
      </c>
      <c r="E15080" s="8" t="str">
        <f>IFERROR(__xludf.DUMMYFUNCTION("""COMPUTED_VALUE"""),"Real")</f>
        <v>Real</v>
      </c>
      <c r="G15080" s="8">
        <f t="shared" si="1"/>
        <v>7</v>
      </c>
      <c r="H15080" s="14">
        <f t="shared" si="2"/>
        <v>21</v>
      </c>
      <c r="I15080" s="15">
        <f t="shared" si="3"/>
        <v>8</v>
      </c>
    </row>
    <row r="15081">
      <c r="A15081" s="8" t="str">
        <f>IFERROR(__xludf.DUMMYFUNCTION("IF('(INGESTA)Datos_consumo_datadis'!A15081&lt;&gt;"""",SPLIT('(INGESTA)Datos_consumo_datadis'!A:A,"",""),"""")"),"ES0031408323131005HX0F")</f>
        <v>ES0031408323131005HX0F</v>
      </c>
      <c r="B15081" s="12">
        <f>IFERROR(__xludf.DUMMYFUNCTION("""COMPUTED_VALUE"""),45494.0)</f>
        <v>45494</v>
      </c>
      <c r="C15081" s="13">
        <f>IFERROR(__xludf.DUMMYFUNCTION("""COMPUTED_VALUE"""),0.375)</f>
        <v>0.375</v>
      </c>
      <c r="D15081" s="8">
        <f>IFERROR(__xludf.DUMMYFUNCTION("""COMPUTED_VALUE"""),0.081)</f>
        <v>0.081</v>
      </c>
      <c r="E15081" s="8" t="str">
        <f>IFERROR(__xludf.DUMMYFUNCTION("""COMPUTED_VALUE"""),"Real")</f>
        <v>Real</v>
      </c>
      <c r="G15081" s="8">
        <f t="shared" si="1"/>
        <v>7</v>
      </c>
      <c r="H15081" s="14">
        <f t="shared" si="2"/>
        <v>21</v>
      </c>
      <c r="I15081" s="15">
        <f t="shared" si="3"/>
        <v>9</v>
      </c>
    </row>
    <row r="15082">
      <c r="A15082" s="8" t="str">
        <f>IFERROR(__xludf.DUMMYFUNCTION("IF('(INGESTA)Datos_consumo_datadis'!A15082&lt;&gt;"""",SPLIT('(INGESTA)Datos_consumo_datadis'!A:A,"",""),"""")"),"ES0031408323131005HX0F")</f>
        <v>ES0031408323131005HX0F</v>
      </c>
      <c r="B15082" s="12">
        <f>IFERROR(__xludf.DUMMYFUNCTION("""COMPUTED_VALUE"""),45494.0)</f>
        <v>45494</v>
      </c>
      <c r="C15082" s="13">
        <f>IFERROR(__xludf.DUMMYFUNCTION("""COMPUTED_VALUE"""),0.4166666666666667)</f>
        <v>0.4166666667</v>
      </c>
      <c r="D15082" s="8">
        <f>IFERROR(__xludf.DUMMYFUNCTION("""COMPUTED_VALUE"""),0.103)</f>
        <v>0.103</v>
      </c>
      <c r="E15082" s="8" t="str">
        <f>IFERROR(__xludf.DUMMYFUNCTION("""COMPUTED_VALUE"""),"Real")</f>
        <v>Real</v>
      </c>
      <c r="G15082" s="8">
        <f t="shared" si="1"/>
        <v>7</v>
      </c>
      <c r="H15082" s="14">
        <f t="shared" si="2"/>
        <v>21</v>
      </c>
      <c r="I15082" s="15">
        <f t="shared" si="3"/>
        <v>10</v>
      </c>
    </row>
    <row r="15083">
      <c r="A15083" s="8" t="str">
        <f>IFERROR(__xludf.DUMMYFUNCTION("IF('(INGESTA)Datos_consumo_datadis'!A15083&lt;&gt;"""",SPLIT('(INGESTA)Datos_consumo_datadis'!A:A,"",""),"""")"),"ES0031408323131005HX0F")</f>
        <v>ES0031408323131005HX0F</v>
      </c>
      <c r="B15083" s="12">
        <f>IFERROR(__xludf.DUMMYFUNCTION("""COMPUTED_VALUE"""),45494.0)</f>
        <v>45494</v>
      </c>
      <c r="C15083" s="13">
        <f>IFERROR(__xludf.DUMMYFUNCTION("""COMPUTED_VALUE"""),0.4583333333333333)</f>
        <v>0.4583333333</v>
      </c>
      <c r="D15083" s="8">
        <f>IFERROR(__xludf.DUMMYFUNCTION("""COMPUTED_VALUE"""),0.139)</f>
        <v>0.139</v>
      </c>
      <c r="E15083" s="8" t="str">
        <f>IFERROR(__xludf.DUMMYFUNCTION("""COMPUTED_VALUE"""),"Real")</f>
        <v>Real</v>
      </c>
      <c r="G15083" s="8">
        <f t="shared" si="1"/>
        <v>7</v>
      </c>
      <c r="H15083" s="14">
        <f t="shared" si="2"/>
        <v>21</v>
      </c>
      <c r="I15083" s="15">
        <f t="shared" si="3"/>
        <v>11</v>
      </c>
    </row>
    <row r="15084">
      <c r="A15084" s="8" t="str">
        <f>IFERROR(__xludf.DUMMYFUNCTION("IF('(INGESTA)Datos_consumo_datadis'!A15084&lt;&gt;"""",SPLIT('(INGESTA)Datos_consumo_datadis'!A:A,"",""),"""")"),"ES0031408323131005HX0F")</f>
        <v>ES0031408323131005HX0F</v>
      </c>
      <c r="B15084" s="12">
        <f>IFERROR(__xludf.DUMMYFUNCTION("""COMPUTED_VALUE"""),45494.0)</f>
        <v>45494</v>
      </c>
      <c r="C15084" s="13">
        <f>IFERROR(__xludf.DUMMYFUNCTION("""COMPUTED_VALUE"""),0.5)</f>
        <v>0.5</v>
      </c>
      <c r="D15084" s="8">
        <f>IFERROR(__xludf.DUMMYFUNCTION("""COMPUTED_VALUE"""),0.546)</f>
        <v>0.546</v>
      </c>
      <c r="E15084" s="8" t="str">
        <f>IFERROR(__xludf.DUMMYFUNCTION("""COMPUTED_VALUE"""),"Real")</f>
        <v>Real</v>
      </c>
      <c r="G15084" s="8">
        <f t="shared" si="1"/>
        <v>7</v>
      </c>
      <c r="H15084" s="14">
        <f t="shared" si="2"/>
        <v>21</v>
      </c>
      <c r="I15084" s="15">
        <f t="shared" si="3"/>
        <v>12</v>
      </c>
    </row>
    <row r="15085">
      <c r="A15085" s="8" t="str">
        <f>IFERROR(__xludf.DUMMYFUNCTION("IF('(INGESTA)Datos_consumo_datadis'!A15085&lt;&gt;"""",SPLIT('(INGESTA)Datos_consumo_datadis'!A:A,"",""),"""")"),"ES0031408323131005HX0F")</f>
        <v>ES0031408323131005HX0F</v>
      </c>
      <c r="B15085" s="12">
        <f>IFERROR(__xludf.DUMMYFUNCTION("""COMPUTED_VALUE"""),45494.0)</f>
        <v>45494</v>
      </c>
      <c r="C15085" s="13">
        <f>IFERROR(__xludf.DUMMYFUNCTION("""COMPUTED_VALUE"""),0.5416666666666666)</f>
        <v>0.5416666667</v>
      </c>
      <c r="D15085" s="8">
        <f>IFERROR(__xludf.DUMMYFUNCTION("""COMPUTED_VALUE"""),0.361)</f>
        <v>0.361</v>
      </c>
      <c r="E15085" s="8" t="str">
        <f>IFERROR(__xludf.DUMMYFUNCTION("""COMPUTED_VALUE"""),"Real")</f>
        <v>Real</v>
      </c>
      <c r="G15085" s="8">
        <f t="shared" si="1"/>
        <v>7</v>
      </c>
      <c r="H15085" s="14">
        <f t="shared" si="2"/>
        <v>21</v>
      </c>
      <c r="I15085" s="15">
        <f t="shared" si="3"/>
        <v>13</v>
      </c>
    </row>
    <row r="15086">
      <c r="A15086" s="8" t="str">
        <f>IFERROR(__xludf.DUMMYFUNCTION("IF('(INGESTA)Datos_consumo_datadis'!A15086&lt;&gt;"""",SPLIT('(INGESTA)Datos_consumo_datadis'!A:A,"",""),"""")"),"ES0031408323131005HX0F")</f>
        <v>ES0031408323131005HX0F</v>
      </c>
      <c r="B15086" s="12">
        <f>IFERROR(__xludf.DUMMYFUNCTION("""COMPUTED_VALUE"""),45494.0)</f>
        <v>45494</v>
      </c>
      <c r="C15086" s="13">
        <f>IFERROR(__xludf.DUMMYFUNCTION("""COMPUTED_VALUE"""),0.5833333333333334)</f>
        <v>0.5833333333</v>
      </c>
      <c r="D15086" s="8">
        <f>IFERROR(__xludf.DUMMYFUNCTION("""COMPUTED_VALUE"""),0.146)</f>
        <v>0.146</v>
      </c>
      <c r="E15086" s="8" t="str">
        <f>IFERROR(__xludf.DUMMYFUNCTION("""COMPUTED_VALUE"""),"Real")</f>
        <v>Real</v>
      </c>
      <c r="G15086" s="8">
        <f t="shared" si="1"/>
        <v>7</v>
      </c>
      <c r="H15086" s="14">
        <f t="shared" si="2"/>
        <v>21</v>
      </c>
      <c r="I15086" s="15">
        <f t="shared" si="3"/>
        <v>14</v>
      </c>
    </row>
    <row r="15087">
      <c r="A15087" s="8" t="str">
        <f>IFERROR(__xludf.DUMMYFUNCTION("IF('(INGESTA)Datos_consumo_datadis'!A15087&lt;&gt;"""",SPLIT('(INGESTA)Datos_consumo_datadis'!A:A,"",""),"""")"),"ES0031408323131005HX0F")</f>
        <v>ES0031408323131005HX0F</v>
      </c>
      <c r="B15087" s="12">
        <f>IFERROR(__xludf.DUMMYFUNCTION("""COMPUTED_VALUE"""),45494.0)</f>
        <v>45494</v>
      </c>
      <c r="C15087" s="13">
        <f>IFERROR(__xludf.DUMMYFUNCTION("""COMPUTED_VALUE"""),0.625)</f>
        <v>0.625</v>
      </c>
      <c r="D15087" s="8">
        <f>IFERROR(__xludf.DUMMYFUNCTION("""COMPUTED_VALUE"""),0.114)</f>
        <v>0.114</v>
      </c>
      <c r="E15087" s="8" t="str">
        <f>IFERROR(__xludf.DUMMYFUNCTION("""COMPUTED_VALUE"""),"Real")</f>
        <v>Real</v>
      </c>
      <c r="G15087" s="8">
        <f t="shared" si="1"/>
        <v>7</v>
      </c>
      <c r="H15087" s="14">
        <f t="shared" si="2"/>
        <v>21</v>
      </c>
      <c r="I15087" s="15">
        <f t="shared" si="3"/>
        <v>15</v>
      </c>
    </row>
    <row r="15088">
      <c r="A15088" s="8" t="str">
        <f>IFERROR(__xludf.DUMMYFUNCTION("IF('(INGESTA)Datos_consumo_datadis'!A15088&lt;&gt;"""",SPLIT('(INGESTA)Datos_consumo_datadis'!A:A,"",""),"""")"),"ES0031408323131005HX0F")</f>
        <v>ES0031408323131005HX0F</v>
      </c>
      <c r="B15088" s="12">
        <f>IFERROR(__xludf.DUMMYFUNCTION("""COMPUTED_VALUE"""),45494.0)</f>
        <v>45494</v>
      </c>
      <c r="C15088" s="13">
        <f>IFERROR(__xludf.DUMMYFUNCTION("""COMPUTED_VALUE"""),0.6666666666666666)</f>
        <v>0.6666666667</v>
      </c>
      <c r="D15088" s="8">
        <f>IFERROR(__xludf.DUMMYFUNCTION("""COMPUTED_VALUE"""),0.317)</f>
        <v>0.317</v>
      </c>
      <c r="E15088" s="8" t="str">
        <f>IFERROR(__xludf.DUMMYFUNCTION("""COMPUTED_VALUE"""),"Real")</f>
        <v>Real</v>
      </c>
      <c r="G15088" s="8">
        <f t="shared" si="1"/>
        <v>7</v>
      </c>
      <c r="H15088" s="14">
        <f t="shared" si="2"/>
        <v>21</v>
      </c>
      <c r="I15088" s="15">
        <f t="shared" si="3"/>
        <v>16</v>
      </c>
    </row>
    <row r="15089">
      <c r="A15089" s="8" t="str">
        <f>IFERROR(__xludf.DUMMYFUNCTION("IF('(INGESTA)Datos_consumo_datadis'!A15089&lt;&gt;"""",SPLIT('(INGESTA)Datos_consumo_datadis'!A:A,"",""),"""")"),"ES0031408323131005HX0F")</f>
        <v>ES0031408323131005HX0F</v>
      </c>
      <c r="B15089" s="12">
        <f>IFERROR(__xludf.DUMMYFUNCTION("""COMPUTED_VALUE"""),45494.0)</f>
        <v>45494</v>
      </c>
      <c r="C15089" s="13">
        <f>IFERROR(__xludf.DUMMYFUNCTION("""COMPUTED_VALUE"""),0.7083333333333334)</f>
        <v>0.7083333333</v>
      </c>
      <c r="D15089" s="8">
        <f>IFERROR(__xludf.DUMMYFUNCTION("""COMPUTED_VALUE"""),0.293)</f>
        <v>0.293</v>
      </c>
      <c r="E15089" s="8" t="str">
        <f>IFERROR(__xludf.DUMMYFUNCTION("""COMPUTED_VALUE"""),"Real")</f>
        <v>Real</v>
      </c>
      <c r="G15089" s="8">
        <f t="shared" si="1"/>
        <v>7</v>
      </c>
      <c r="H15089" s="14">
        <f t="shared" si="2"/>
        <v>21</v>
      </c>
      <c r="I15089" s="15">
        <f t="shared" si="3"/>
        <v>17</v>
      </c>
    </row>
    <row r="15090">
      <c r="A15090" s="8" t="str">
        <f>IFERROR(__xludf.DUMMYFUNCTION("IF('(INGESTA)Datos_consumo_datadis'!A15090&lt;&gt;"""",SPLIT('(INGESTA)Datos_consumo_datadis'!A:A,"",""),"""")"),"ES0031408323131005HX0F")</f>
        <v>ES0031408323131005HX0F</v>
      </c>
      <c r="B15090" s="12">
        <f>IFERROR(__xludf.DUMMYFUNCTION("""COMPUTED_VALUE"""),45494.0)</f>
        <v>45494</v>
      </c>
      <c r="C15090" s="13">
        <f>IFERROR(__xludf.DUMMYFUNCTION("""COMPUTED_VALUE"""),0.75)</f>
        <v>0.75</v>
      </c>
      <c r="D15090" s="8">
        <f>IFERROR(__xludf.DUMMYFUNCTION("""COMPUTED_VALUE"""),0.137)</f>
        <v>0.137</v>
      </c>
      <c r="E15090" s="8" t="str">
        <f>IFERROR(__xludf.DUMMYFUNCTION("""COMPUTED_VALUE"""),"Real")</f>
        <v>Real</v>
      </c>
      <c r="G15090" s="8">
        <f t="shared" si="1"/>
        <v>7</v>
      </c>
      <c r="H15090" s="14">
        <f t="shared" si="2"/>
        <v>21</v>
      </c>
      <c r="I15090" s="15">
        <f t="shared" si="3"/>
        <v>18</v>
      </c>
    </row>
    <row r="15091">
      <c r="A15091" s="8" t="str">
        <f>IFERROR(__xludf.DUMMYFUNCTION("IF('(INGESTA)Datos_consumo_datadis'!A15091&lt;&gt;"""",SPLIT('(INGESTA)Datos_consumo_datadis'!A:A,"",""),"""")"),"ES0031408323131005HX0F")</f>
        <v>ES0031408323131005HX0F</v>
      </c>
      <c r="B15091" s="12">
        <f>IFERROR(__xludf.DUMMYFUNCTION("""COMPUTED_VALUE"""),45494.0)</f>
        <v>45494</v>
      </c>
      <c r="C15091" s="13">
        <f>IFERROR(__xludf.DUMMYFUNCTION("""COMPUTED_VALUE"""),0.7916666666666666)</f>
        <v>0.7916666667</v>
      </c>
      <c r="D15091" s="8">
        <f>IFERROR(__xludf.DUMMYFUNCTION("""COMPUTED_VALUE"""),0.11)</f>
        <v>0.11</v>
      </c>
      <c r="E15091" s="8" t="str">
        <f>IFERROR(__xludf.DUMMYFUNCTION("""COMPUTED_VALUE"""),"Real")</f>
        <v>Real</v>
      </c>
      <c r="G15091" s="8">
        <f t="shared" si="1"/>
        <v>7</v>
      </c>
      <c r="H15091" s="14">
        <f t="shared" si="2"/>
        <v>21</v>
      </c>
      <c r="I15091" s="15">
        <f t="shared" si="3"/>
        <v>19</v>
      </c>
    </row>
    <row r="15092">
      <c r="A15092" s="8" t="str">
        <f>IFERROR(__xludf.DUMMYFUNCTION("IF('(INGESTA)Datos_consumo_datadis'!A16657&lt;&gt;"""",SPLIT('(INGESTA)Datos_consumo_datadis'!A:A,"",""),"""")"),"")</f>
        <v/>
      </c>
      <c r="G15092" s="8" t="str">
        <f t="shared" si="1"/>
        <v/>
      </c>
      <c r="H15092" s="14" t="str">
        <f t="shared" si="2"/>
        <v/>
      </c>
      <c r="I15092" s="15" t="str">
        <f t="shared" si="3"/>
        <v/>
      </c>
    </row>
    <row r="15093">
      <c r="A15093" s="8" t="str">
        <f>IFERROR(__xludf.DUMMYFUNCTION("IF('(INGESTA)Datos_consumo_datadis'!A16658&lt;&gt;"""",SPLIT('(INGESTA)Datos_consumo_datadis'!A:A,"",""),"""")"),"")</f>
        <v/>
      </c>
      <c r="G15093" s="8" t="str">
        <f t="shared" si="1"/>
        <v/>
      </c>
      <c r="H15093" s="14" t="str">
        <f t="shared" si="2"/>
        <v/>
      </c>
      <c r="I15093" s="15" t="str">
        <f t="shared" si="3"/>
        <v/>
      </c>
    </row>
    <row r="15094">
      <c r="A15094" s="8" t="str">
        <f>IFERROR(__xludf.DUMMYFUNCTION("IF('(INGESTA)Datos_consumo_datadis'!A16659&lt;&gt;"""",SPLIT('(INGESTA)Datos_consumo_datadis'!A:A,"",""),"""")"),"")</f>
        <v/>
      </c>
      <c r="G15094" s="8" t="str">
        <f t="shared" si="1"/>
        <v/>
      </c>
      <c r="H15094" s="14" t="str">
        <f t="shared" si="2"/>
        <v/>
      </c>
      <c r="I15094" s="15" t="str">
        <f t="shared" si="3"/>
        <v/>
      </c>
    </row>
    <row r="15095">
      <c r="A15095" s="8" t="str">
        <f>IFERROR(__xludf.DUMMYFUNCTION("IF('(INGESTA)Datos_consumo_datadis'!A16660&lt;&gt;"""",SPLIT('(INGESTA)Datos_consumo_datadis'!A:A,"",""),"""")"),"")</f>
        <v/>
      </c>
      <c r="G15095" s="8" t="str">
        <f t="shared" si="1"/>
        <v/>
      </c>
      <c r="H15095" s="14" t="str">
        <f t="shared" si="2"/>
        <v/>
      </c>
      <c r="I15095" s="15" t="str">
        <f t="shared" si="3"/>
        <v/>
      </c>
    </row>
    <row r="15096">
      <c r="A15096" s="8" t="str">
        <f>IFERROR(__xludf.DUMMYFUNCTION("IF('(INGESTA)Datos_consumo_datadis'!A16661&lt;&gt;"""",SPLIT('(INGESTA)Datos_consumo_datadis'!A:A,"",""),"""")"),"")</f>
        <v/>
      </c>
      <c r="G15096" s="8" t="str">
        <f t="shared" si="1"/>
        <v/>
      </c>
      <c r="H15096" s="14" t="str">
        <f t="shared" si="2"/>
        <v/>
      </c>
      <c r="I15096" s="15" t="str">
        <f t="shared" si="3"/>
        <v/>
      </c>
    </row>
    <row r="15097">
      <c r="A15097" s="8" t="str">
        <f>IFERROR(__xludf.DUMMYFUNCTION("IF('(INGESTA)Datos_consumo_datadis'!A16662&lt;&gt;"""",SPLIT('(INGESTA)Datos_consumo_datadis'!A:A,"",""),"""")"),"")</f>
        <v/>
      </c>
      <c r="G15097" s="8" t="str">
        <f t="shared" si="1"/>
        <v/>
      </c>
      <c r="H15097" s="14" t="str">
        <f t="shared" si="2"/>
        <v/>
      </c>
      <c r="I15097" s="15" t="str">
        <f t="shared" si="3"/>
        <v/>
      </c>
    </row>
    <row r="15098">
      <c r="A15098" s="8" t="str">
        <f>IFERROR(__xludf.DUMMYFUNCTION("IF('(INGESTA)Datos_consumo_datadis'!A16663&lt;&gt;"""",SPLIT('(INGESTA)Datos_consumo_datadis'!A:A,"",""),"""")"),"")</f>
        <v/>
      </c>
      <c r="G15098" s="8" t="str">
        <f t="shared" si="1"/>
        <v/>
      </c>
      <c r="H15098" s="14" t="str">
        <f t="shared" si="2"/>
        <v/>
      </c>
      <c r="I15098" s="15" t="str">
        <f t="shared" si="3"/>
        <v/>
      </c>
    </row>
    <row r="15099">
      <c r="A15099" s="8" t="str">
        <f>IFERROR(__xludf.DUMMYFUNCTION("IF('(INGESTA)Datos_consumo_datadis'!A16664&lt;&gt;"""",SPLIT('(INGESTA)Datos_consumo_datadis'!A:A,"",""),"""")"),"")</f>
        <v/>
      </c>
      <c r="G15099" s="8" t="str">
        <f t="shared" si="1"/>
        <v/>
      </c>
      <c r="H15099" s="14" t="str">
        <f t="shared" si="2"/>
        <v/>
      </c>
      <c r="I15099" s="15" t="str">
        <f t="shared" si="3"/>
        <v/>
      </c>
    </row>
    <row r="15100">
      <c r="A15100" s="8" t="str">
        <f>IFERROR(__xludf.DUMMYFUNCTION("IF('(INGESTA)Datos_consumo_datadis'!A16665&lt;&gt;"""",SPLIT('(INGESTA)Datos_consumo_datadis'!A:A,"",""),"""")"),"")</f>
        <v/>
      </c>
      <c r="G15100" s="8" t="str">
        <f t="shared" si="1"/>
        <v/>
      </c>
      <c r="H15100" s="14" t="str">
        <f t="shared" si="2"/>
        <v/>
      </c>
      <c r="I15100" s="15" t="str">
        <f t="shared" si="3"/>
        <v/>
      </c>
    </row>
    <row r="15101">
      <c r="A15101" s="8" t="str">
        <f>IFERROR(__xludf.DUMMYFUNCTION("IF('(INGESTA)Datos_consumo_datadis'!A16666&lt;&gt;"""",SPLIT('(INGESTA)Datos_consumo_datadis'!A:A,"",""),"""")"),"")</f>
        <v/>
      </c>
      <c r="G15101" s="8" t="str">
        <f t="shared" si="1"/>
        <v/>
      </c>
      <c r="H15101" s="14" t="str">
        <f t="shared" si="2"/>
        <v/>
      </c>
      <c r="I15101" s="15" t="str">
        <f t="shared" si="3"/>
        <v/>
      </c>
    </row>
    <row r="15102">
      <c r="A15102" s="8" t="str">
        <f>IFERROR(__xludf.DUMMYFUNCTION("IF('(INGESTA)Datos_consumo_datadis'!A16667&lt;&gt;"""",SPLIT('(INGESTA)Datos_consumo_datadis'!A:A,"",""),"""")"),"")</f>
        <v/>
      </c>
      <c r="G15102" s="8" t="str">
        <f t="shared" si="1"/>
        <v/>
      </c>
      <c r="H15102" s="14" t="str">
        <f t="shared" si="2"/>
        <v/>
      </c>
      <c r="I15102" s="15" t="str">
        <f t="shared" si="3"/>
        <v/>
      </c>
    </row>
    <row r="15103">
      <c r="A15103" s="8" t="str">
        <f>IFERROR(__xludf.DUMMYFUNCTION("IF('(INGESTA)Datos_consumo_datadis'!A16668&lt;&gt;"""",SPLIT('(INGESTA)Datos_consumo_datadis'!A:A,"",""),"""")"),"")</f>
        <v/>
      </c>
      <c r="G15103" s="8" t="str">
        <f t="shared" si="1"/>
        <v/>
      </c>
      <c r="H15103" s="14" t="str">
        <f t="shared" si="2"/>
        <v/>
      </c>
      <c r="I15103" s="15" t="str">
        <f t="shared" si="3"/>
        <v/>
      </c>
    </row>
    <row r="15104">
      <c r="A15104" s="8" t="str">
        <f>IFERROR(__xludf.DUMMYFUNCTION("IF('(INGESTA)Datos_consumo_datadis'!A16669&lt;&gt;"""",SPLIT('(INGESTA)Datos_consumo_datadis'!A:A,"",""),"""")"),"")</f>
        <v/>
      </c>
      <c r="G15104" s="8" t="str">
        <f t="shared" si="1"/>
        <v/>
      </c>
      <c r="H15104" s="14" t="str">
        <f t="shared" si="2"/>
        <v/>
      </c>
      <c r="I15104" s="15" t="str">
        <f t="shared" si="3"/>
        <v/>
      </c>
    </row>
    <row r="15105">
      <c r="A15105" s="8" t="str">
        <f>IFERROR(__xludf.DUMMYFUNCTION("IF('(INGESTA)Datos_consumo_datadis'!A16670&lt;&gt;"""",SPLIT('(INGESTA)Datos_consumo_datadis'!A:A,"",""),"""")"),"")</f>
        <v/>
      </c>
      <c r="G15105" s="8" t="str">
        <f t="shared" si="1"/>
        <v/>
      </c>
      <c r="H15105" s="14" t="str">
        <f t="shared" si="2"/>
        <v/>
      </c>
      <c r="I15105" s="15" t="str">
        <f t="shared" si="3"/>
        <v/>
      </c>
    </row>
    <row r="15106">
      <c r="A15106" s="8" t="str">
        <f>IFERROR(__xludf.DUMMYFUNCTION("IF('(INGESTA)Datos_consumo_datadis'!A16671&lt;&gt;"""",SPLIT('(INGESTA)Datos_consumo_datadis'!A:A,"",""),"""")"),"")</f>
        <v/>
      </c>
      <c r="G15106" s="8" t="str">
        <f t="shared" si="1"/>
        <v/>
      </c>
      <c r="H15106" s="14" t="str">
        <f t="shared" si="2"/>
        <v/>
      </c>
      <c r="I15106" s="15" t="str">
        <f t="shared" si="3"/>
        <v/>
      </c>
    </row>
    <row r="15107">
      <c r="A15107" s="8" t="str">
        <f>IFERROR(__xludf.DUMMYFUNCTION("IF('(INGESTA)Datos_consumo_datadis'!A16672&lt;&gt;"""",SPLIT('(INGESTA)Datos_consumo_datadis'!A:A,"",""),"""")"),"")</f>
        <v/>
      </c>
      <c r="G15107" s="8" t="str">
        <f t="shared" si="1"/>
        <v/>
      </c>
      <c r="H15107" s="14" t="str">
        <f t="shared" si="2"/>
        <v/>
      </c>
      <c r="I15107" s="15" t="str">
        <f t="shared" si="3"/>
        <v/>
      </c>
    </row>
    <row r="15108">
      <c r="A15108" s="8" t="str">
        <f>IFERROR(__xludf.DUMMYFUNCTION("IF('(INGESTA)Datos_consumo_datadis'!A16673&lt;&gt;"""",SPLIT('(INGESTA)Datos_consumo_datadis'!A:A,"",""),"""")"),"")</f>
        <v/>
      </c>
      <c r="G15108" s="8" t="str">
        <f t="shared" si="1"/>
        <v/>
      </c>
      <c r="H15108" s="14" t="str">
        <f t="shared" si="2"/>
        <v/>
      </c>
      <c r="I15108" s="15" t="str">
        <f t="shared" si="3"/>
        <v/>
      </c>
    </row>
    <row r="15109">
      <c r="A15109" s="8" t="str">
        <f>IFERROR(__xludf.DUMMYFUNCTION("IF('(INGESTA)Datos_consumo_datadis'!A16674&lt;&gt;"""",SPLIT('(INGESTA)Datos_consumo_datadis'!A:A,"",""),"""")"),"")</f>
        <v/>
      </c>
      <c r="G15109" s="8" t="str">
        <f t="shared" si="1"/>
        <v/>
      </c>
      <c r="H15109" s="14" t="str">
        <f t="shared" si="2"/>
        <v/>
      </c>
      <c r="I15109" s="15" t="str">
        <f t="shared" si="3"/>
        <v/>
      </c>
    </row>
    <row r="15110">
      <c r="A15110" s="8" t="str">
        <f>IFERROR(__xludf.DUMMYFUNCTION("IF('(INGESTA)Datos_consumo_datadis'!A16675&lt;&gt;"""",SPLIT('(INGESTA)Datos_consumo_datadis'!A:A,"",""),"""")"),"")</f>
        <v/>
      </c>
      <c r="G15110" s="8" t="str">
        <f t="shared" si="1"/>
        <v/>
      </c>
      <c r="H15110" s="14" t="str">
        <f t="shared" si="2"/>
        <v/>
      </c>
      <c r="I15110" s="15" t="str">
        <f t="shared" si="3"/>
        <v/>
      </c>
    </row>
    <row r="15111">
      <c r="A15111" s="8" t="str">
        <f>IFERROR(__xludf.DUMMYFUNCTION("IF('(INGESTA)Datos_consumo_datadis'!A16676&lt;&gt;"""",SPLIT('(INGESTA)Datos_consumo_datadis'!A:A,"",""),"""")"),"")</f>
        <v/>
      </c>
      <c r="G15111" s="8" t="str">
        <f t="shared" si="1"/>
        <v/>
      </c>
      <c r="H15111" s="14" t="str">
        <f t="shared" si="2"/>
        <v/>
      </c>
      <c r="I15111" s="15" t="str">
        <f t="shared" si="3"/>
        <v/>
      </c>
    </row>
    <row r="15112">
      <c r="A15112" s="8" t="str">
        <f>IFERROR(__xludf.DUMMYFUNCTION("IF('(INGESTA)Datos_consumo_datadis'!A16677&lt;&gt;"""",SPLIT('(INGESTA)Datos_consumo_datadis'!A:A,"",""),"""")"),"")</f>
        <v/>
      </c>
      <c r="G15112" s="8" t="str">
        <f t="shared" si="1"/>
        <v/>
      </c>
      <c r="H15112" s="14" t="str">
        <f t="shared" si="2"/>
        <v/>
      </c>
      <c r="I15112" s="15" t="str">
        <f t="shared" si="3"/>
        <v/>
      </c>
    </row>
    <row r="15113">
      <c r="A15113" s="8" t="str">
        <f>IFERROR(__xludf.DUMMYFUNCTION("IF('(INGESTA)Datos_consumo_datadis'!A16678&lt;&gt;"""",SPLIT('(INGESTA)Datos_consumo_datadis'!A:A,"",""),"""")"),"")</f>
        <v/>
      </c>
      <c r="G15113" s="8" t="str">
        <f t="shared" si="1"/>
        <v/>
      </c>
      <c r="H15113" s="14" t="str">
        <f t="shared" si="2"/>
        <v/>
      </c>
      <c r="I15113" s="15" t="str">
        <f t="shared" si="3"/>
        <v/>
      </c>
    </row>
    <row r="15114">
      <c r="A15114" s="8" t="str">
        <f>IFERROR(__xludf.DUMMYFUNCTION("IF('(INGESTA)Datos_consumo_datadis'!A16679&lt;&gt;"""",SPLIT('(INGESTA)Datos_consumo_datadis'!A:A,"",""),"""")"),"")</f>
        <v/>
      </c>
      <c r="G15114" s="8" t="str">
        <f t="shared" si="1"/>
        <v/>
      </c>
      <c r="H15114" s="14" t="str">
        <f t="shared" si="2"/>
        <v/>
      </c>
      <c r="I15114" s="15" t="str">
        <f t="shared" si="3"/>
        <v/>
      </c>
    </row>
    <row r="15115">
      <c r="A15115" s="8" t="str">
        <f>IFERROR(__xludf.DUMMYFUNCTION("IF('(INGESTA)Datos_consumo_datadis'!A16680&lt;&gt;"""",SPLIT('(INGESTA)Datos_consumo_datadis'!A:A,"",""),"""")"),"")</f>
        <v/>
      </c>
      <c r="G15115" s="8" t="str">
        <f t="shared" si="1"/>
        <v/>
      </c>
      <c r="H15115" s="14" t="str">
        <f t="shared" si="2"/>
        <v/>
      </c>
      <c r="I15115" s="15" t="str">
        <f t="shared" si="3"/>
        <v/>
      </c>
    </row>
    <row r="15116">
      <c r="A15116" s="8" t="str">
        <f>IFERROR(__xludf.DUMMYFUNCTION("IF('(INGESTA)Datos_consumo_datadis'!A16681&lt;&gt;"""",SPLIT('(INGESTA)Datos_consumo_datadis'!A:A,"",""),"""")"),"")</f>
        <v/>
      </c>
      <c r="G15116" s="8" t="str">
        <f t="shared" si="1"/>
        <v/>
      </c>
      <c r="H15116" s="14" t="str">
        <f t="shared" si="2"/>
        <v/>
      </c>
      <c r="I15116" s="15" t="str">
        <f t="shared" si="3"/>
        <v/>
      </c>
    </row>
    <row r="15117">
      <c r="A15117" s="8" t="str">
        <f>IFERROR(__xludf.DUMMYFUNCTION("IF('(INGESTA)Datos_consumo_datadis'!A16682&lt;&gt;"""",SPLIT('(INGESTA)Datos_consumo_datadis'!A:A,"",""),"""")"),"")</f>
        <v/>
      </c>
      <c r="G15117" s="8" t="str">
        <f t="shared" si="1"/>
        <v/>
      </c>
      <c r="H15117" s="14" t="str">
        <f t="shared" si="2"/>
        <v/>
      </c>
      <c r="I15117" s="15" t="str">
        <f t="shared" si="3"/>
        <v/>
      </c>
    </row>
    <row r="15118">
      <c r="A15118" s="8" t="str">
        <f>IFERROR(__xludf.DUMMYFUNCTION("IF('(INGESTA)Datos_consumo_datadis'!A16683&lt;&gt;"""",SPLIT('(INGESTA)Datos_consumo_datadis'!A:A,"",""),"""")"),"")</f>
        <v/>
      </c>
      <c r="G15118" s="8" t="str">
        <f t="shared" si="1"/>
        <v/>
      </c>
      <c r="H15118" s="14" t="str">
        <f t="shared" si="2"/>
        <v/>
      </c>
      <c r="I15118" s="15" t="str">
        <f t="shared" si="3"/>
        <v/>
      </c>
    </row>
    <row r="15119">
      <c r="A15119" s="8" t="str">
        <f>IFERROR(__xludf.DUMMYFUNCTION("IF('(INGESTA)Datos_consumo_datadis'!A16684&lt;&gt;"""",SPLIT('(INGESTA)Datos_consumo_datadis'!A:A,"",""),"""")"),"")</f>
        <v/>
      </c>
      <c r="G15119" s="8" t="str">
        <f t="shared" si="1"/>
        <v/>
      </c>
      <c r="H15119" s="14" t="str">
        <f t="shared" si="2"/>
        <v/>
      </c>
      <c r="I15119" s="15" t="str">
        <f t="shared" si="3"/>
        <v/>
      </c>
    </row>
    <row r="15120">
      <c r="A15120" s="8" t="str">
        <f>IFERROR(__xludf.DUMMYFUNCTION("IF('(INGESTA)Datos_consumo_datadis'!A16685&lt;&gt;"""",SPLIT('(INGESTA)Datos_consumo_datadis'!A:A,"",""),"""")"),"")</f>
        <v/>
      </c>
      <c r="G15120" s="8" t="str">
        <f t="shared" si="1"/>
        <v/>
      </c>
      <c r="H15120" s="14" t="str">
        <f t="shared" si="2"/>
        <v/>
      </c>
      <c r="I15120" s="15" t="str">
        <f t="shared" si="3"/>
        <v/>
      </c>
    </row>
    <row r="15121">
      <c r="A15121" s="8" t="str">
        <f>IFERROR(__xludf.DUMMYFUNCTION("IF('(INGESTA)Datos_consumo_datadis'!A16686&lt;&gt;"""",SPLIT('(INGESTA)Datos_consumo_datadis'!A:A,"",""),"""")"),"")</f>
        <v/>
      </c>
      <c r="G15121" s="8" t="str">
        <f t="shared" si="1"/>
        <v/>
      </c>
      <c r="H15121" s="14" t="str">
        <f t="shared" si="2"/>
        <v/>
      </c>
      <c r="I15121" s="15" t="str">
        <f t="shared" si="3"/>
        <v/>
      </c>
    </row>
    <row r="15122">
      <c r="A15122" s="8" t="str">
        <f>IFERROR(__xludf.DUMMYFUNCTION("IF('(INGESTA)Datos_consumo_datadis'!A16687&lt;&gt;"""",SPLIT('(INGESTA)Datos_consumo_datadis'!A:A,"",""),"""")"),"")</f>
        <v/>
      </c>
      <c r="G15122" s="8" t="str">
        <f t="shared" si="1"/>
        <v/>
      </c>
      <c r="H15122" s="14" t="str">
        <f t="shared" si="2"/>
        <v/>
      </c>
      <c r="I15122" s="15" t="str">
        <f t="shared" si="3"/>
        <v/>
      </c>
    </row>
    <row r="15123">
      <c r="A15123" s="8" t="str">
        <f>IFERROR(__xludf.DUMMYFUNCTION("IF('(INGESTA)Datos_consumo_datadis'!A16688&lt;&gt;"""",SPLIT('(INGESTA)Datos_consumo_datadis'!A:A,"",""),"""")"),"")</f>
        <v/>
      </c>
      <c r="G15123" s="8" t="str">
        <f t="shared" si="1"/>
        <v/>
      </c>
      <c r="H15123" s="14" t="str">
        <f t="shared" si="2"/>
        <v/>
      </c>
      <c r="I15123" s="15" t="str">
        <f t="shared" si="3"/>
        <v/>
      </c>
    </row>
    <row r="15124">
      <c r="A15124" s="8" t="str">
        <f>IFERROR(__xludf.DUMMYFUNCTION("IF('(INGESTA)Datos_consumo_datadis'!A16689&lt;&gt;"""",SPLIT('(INGESTA)Datos_consumo_datadis'!A:A,"",""),"""")"),"")</f>
        <v/>
      </c>
      <c r="G15124" s="8" t="str">
        <f t="shared" si="1"/>
        <v/>
      </c>
      <c r="H15124" s="14" t="str">
        <f t="shared" si="2"/>
        <v/>
      </c>
      <c r="I15124" s="15" t="str">
        <f t="shared" si="3"/>
        <v/>
      </c>
    </row>
    <row r="15125">
      <c r="A15125" s="8" t="str">
        <f>IFERROR(__xludf.DUMMYFUNCTION("IF('(INGESTA)Datos_consumo_datadis'!A16690&lt;&gt;"""",SPLIT('(INGESTA)Datos_consumo_datadis'!A:A,"",""),"""")"),"")</f>
        <v/>
      </c>
      <c r="G15125" s="8" t="str">
        <f t="shared" si="1"/>
        <v/>
      </c>
      <c r="H15125" s="14" t="str">
        <f t="shared" si="2"/>
        <v/>
      </c>
      <c r="I15125" s="15" t="str">
        <f t="shared" si="3"/>
        <v/>
      </c>
    </row>
    <row r="15126">
      <c r="A15126" s="8" t="str">
        <f>IFERROR(__xludf.DUMMYFUNCTION("IF('(INGESTA)Datos_consumo_datadis'!A16691&lt;&gt;"""",SPLIT('(INGESTA)Datos_consumo_datadis'!A:A,"",""),"""")"),"")</f>
        <v/>
      </c>
      <c r="G15126" s="8" t="str">
        <f t="shared" si="1"/>
        <v/>
      </c>
      <c r="H15126" s="14" t="str">
        <f t="shared" si="2"/>
        <v/>
      </c>
      <c r="I15126" s="15" t="str">
        <f t="shared" si="3"/>
        <v/>
      </c>
    </row>
    <row r="15127">
      <c r="A15127" s="8" t="str">
        <f>IFERROR(__xludf.DUMMYFUNCTION("IF('(INGESTA)Datos_consumo_datadis'!A16692&lt;&gt;"""",SPLIT('(INGESTA)Datos_consumo_datadis'!A:A,"",""),"""")"),"")</f>
        <v/>
      </c>
      <c r="G15127" s="8" t="str">
        <f t="shared" si="1"/>
        <v/>
      </c>
      <c r="H15127" s="14" t="str">
        <f t="shared" si="2"/>
        <v/>
      </c>
      <c r="I15127" s="15" t="str">
        <f t="shared" si="3"/>
        <v/>
      </c>
    </row>
    <row r="15128">
      <c r="A15128" s="8" t="str">
        <f>IFERROR(__xludf.DUMMYFUNCTION("IF('(INGESTA)Datos_consumo_datadis'!A16693&lt;&gt;"""",SPLIT('(INGESTA)Datos_consumo_datadis'!A:A,"",""),"""")"),"")</f>
        <v/>
      </c>
      <c r="G15128" s="8" t="str">
        <f t="shared" si="1"/>
        <v/>
      </c>
      <c r="H15128" s="14" t="str">
        <f t="shared" si="2"/>
        <v/>
      </c>
      <c r="I15128" s="15" t="str">
        <f t="shared" si="3"/>
        <v/>
      </c>
    </row>
    <row r="15129">
      <c r="A15129" s="8" t="str">
        <f>IFERROR(__xludf.DUMMYFUNCTION("IF('(INGESTA)Datos_consumo_datadis'!A16694&lt;&gt;"""",SPLIT('(INGESTA)Datos_consumo_datadis'!A:A,"",""),"""")"),"")</f>
        <v/>
      </c>
      <c r="G15129" s="8" t="str">
        <f t="shared" si="1"/>
        <v/>
      </c>
      <c r="H15129" s="14" t="str">
        <f t="shared" si="2"/>
        <v/>
      </c>
      <c r="I15129" s="15" t="str">
        <f t="shared" si="3"/>
        <v/>
      </c>
    </row>
    <row r="15130">
      <c r="A15130" s="8" t="str">
        <f>IFERROR(__xludf.DUMMYFUNCTION("IF('(INGESTA)Datos_consumo_datadis'!A16695&lt;&gt;"""",SPLIT('(INGESTA)Datos_consumo_datadis'!A:A,"",""),"""")"),"")</f>
        <v/>
      </c>
      <c r="G15130" s="8" t="str">
        <f t="shared" si="1"/>
        <v/>
      </c>
      <c r="H15130" s="14" t="str">
        <f t="shared" si="2"/>
        <v/>
      </c>
      <c r="I15130" s="15" t="str">
        <f t="shared" si="3"/>
        <v/>
      </c>
    </row>
    <row r="15131">
      <c r="A15131" s="8" t="str">
        <f>IFERROR(__xludf.DUMMYFUNCTION("IF('(INGESTA)Datos_consumo_datadis'!A16696&lt;&gt;"""",SPLIT('(INGESTA)Datos_consumo_datadis'!A:A,"",""),"""")"),"")</f>
        <v/>
      </c>
      <c r="G15131" s="8" t="str">
        <f t="shared" si="1"/>
        <v/>
      </c>
      <c r="H15131" s="14" t="str">
        <f t="shared" si="2"/>
        <v/>
      </c>
      <c r="I15131" s="15" t="str">
        <f t="shared" si="3"/>
        <v/>
      </c>
    </row>
    <row r="15132">
      <c r="A15132" s="8" t="str">
        <f>IFERROR(__xludf.DUMMYFUNCTION("IF('(INGESTA)Datos_consumo_datadis'!A16697&lt;&gt;"""",SPLIT('(INGESTA)Datos_consumo_datadis'!A:A,"",""),"""")"),"")</f>
        <v/>
      </c>
      <c r="G15132" s="8" t="str">
        <f t="shared" si="1"/>
        <v/>
      </c>
      <c r="H15132" s="14" t="str">
        <f t="shared" si="2"/>
        <v/>
      </c>
      <c r="I15132" s="15" t="str">
        <f t="shared" si="3"/>
        <v/>
      </c>
    </row>
    <row r="15133">
      <c r="A15133" s="8" t="str">
        <f>IFERROR(__xludf.DUMMYFUNCTION("IF('(INGESTA)Datos_consumo_datadis'!A16698&lt;&gt;"""",SPLIT('(INGESTA)Datos_consumo_datadis'!A:A,"",""),"""")"),"")</f>
        <v/>
      </c>
      <c r="G15133" s="8" t="str">
        <f t="shared" si="1"/>
        <v/>
      </c>
      <c r="H15133" s="14" t="str">
        <f t="shared" si="2"/>
        <v/>
      </c>
      <c r="I15133" s="15" t="str">
        <f t="shared" si="3"/>
        <v/>
      </c>
    </row>
    <row r="15134">
      <c r="A15134" s="8" t="str">
        <f>IFERROR(__xludf.DUMMYFUNCTION("IF('(INGESTA)Datos_consumo_datadis'!A16699&lt;&gt;"""",SPLIT('(INGESTA)Datos_consumo_datadis'!A:A,"",""),"""")"),"")</f>
        <v/>
      </c>
      <c r="G15134" s="8" t="str">
        <f t="shared" si="1"/>
        <v/>
      </c>
      <c r="H15134" s="14" t="str">
        <f t="shared" si="2"/>
        <v/>
      </c>
      <c r="I15134" s="15" t="str">
        <f t="shared" si="3"/>
        <v/>
      </c>
    </row>
    <row r="15135">
      <c r="A15135" s="8" t="str">
        <f>IFERROR(__xludf.DUMMYFUNCTION("IF('(INGESTA)Datos_consumo_datadis'!A16700&lt;&gt;"""",SPLIT('(INGESTA)Datos_consumo_datadis'!A:A,"",""),"""")"),"")</f>
        <v/>
      </c>
      <c r="G15135" s="8" t="str">
        <f t="shared" si="1"/>
        <v/>
      </c>
      <c r="H15135" s="14" t="str">
        <f t="shared" si="2"/>
        <v/>
      </c>
      <c r="I15135" s="15" t="str">
        <f t="shared" si="3"/>
        <v/>
      </c>
    </row>
    <row r="15136">
      <c r="A15136" s="8" t="str">
        <f>IFERROR(__xludf.DUMMYFUNCTION("IF('(INGESTA)Datos_consumo_datadis'!A16701&lt;&gt;"""",SPLIT('(INGESTA)Datos_consumo_datadis'!A:A,"",""),"""")"),"")</f>
        <v/>
      </c>
      <c r="G15136" s="8" t="str">
        <f t="shared" si="1"/>
        <v/>
      </c>
      <c r="H15136" s="14" t="str">
        <f t="shared" si="2"/>
        <v/>
      </c>
      <c r="I15136" s="15" t="str">
        <f t="shared" si="3"/>
        <v/>
      </c>
    </row>
    <row r="15137">
      <c r="A15137" s="8" t="str">
        <f>IFERROR(__xludf.DUMMYFUNCTION("IF('(INGESTA)Datos_consumo_datadis'!A16702&lt;&gt;"""",SPLIT('(INGESTA)Datos_consumo_datadis'!A:A,"",""),"""")"),"")</f>
        <v/>
      </c>
      <c r="G15137" s="8" t="str">
        <f t="shared" si="1"/>
        <v/>
      </c>
      <c r="H15137" s="14" t="str">
        <f t="shared" si="2"/>
        <v/>
      </c>
      <c r="I15137" s="15" t="str">
        <f t="shared" si="3"/>
        <v/>
      </c>
    </row>
    <row r="15138">
      <c r="A15138" s="8" t="str">
        <f>IFERROR(__xludf.DUMMYFUNCTION("IF('(INGESTA)Datos_consumo_datadis'!A16703&lt;&gt;"""",SPLIT('(INGESTA)Datos_consumo_datadis'!A:A,"",""),"""")"),"")</f>
        <v/>
      </c>
      <c r="G15138" s="8" t="str">
        <f t="shared" si="1"/>
        <v/>
      </c>
      <c r="H15138" s="14" t="str">
        <f t="shared" si="2"/>
        <v/>
      </c>
      <c r="I15138" s="15" t="str">
        <f t="shared" si="3"/>
        <v/>
      </c>
    </row>
    <row r="15139">
      <c r="A15139" s="8" t="str">
        <f>IFERROR(__xludf.DUMMYFUNCTION("IF('(INGESTA)Datos_consumo_datadis'!A16704&lt;&gt;"""",SPLIT('(INGESTA)Datos_consumo_datadis'!A:A,"",""),"""")"),"")</f>
        <v/>
      </c>
      <c r="G15139" s="8" t="str">
        <f t="shared" si="1"/>
        <v/>
      </c>
      <c r="H15139" s="14" t="str">
        <f t="shared" si="2"/>
        <v/>
      </c>
      <c r="I15139" s="15" t="str">
        <f t="shared" si="3"/>
        <v/>
      </c>
    </row>
    <row r="15140">
      <c r="A15140" s="8" t="str">
        <f>IFERROR(__xludf.DUMMYFUNCTION("IF('(INGESTA)Datos_consumo_datadis'!A16705&lt;&gt;"""",SPLIT('(INGESTA)Datos_consumo_datadis'!A:A,"",""),"""")"),"")</f>
        <v/>
      </c>
      <c r="G15140" s="8" t="str">
        <f t="shared" si="1"/>
        <v/>
      </c>
      <c r="H15140" s="14" t="str">
        <f t="shared" si="2"/>
        <v/>
      </c>
      <c r="I15140" s="15" t="str">
        <f t="shared" si="3"/>
        <v/>
      </c>
    </row>
    <row r="15141">
      <c r="A15141" s="8" t="str">
        <f>IFERROR(__xludf.DUMMYFUNCTION("IF('(INGESTA)Datos_consumo_datadis'!A16706&lt;&gt;"""",SPLIT('(INGESTA)Datos_consumo_datadis'!A:A,"",""),"""")"),"")</f>
        <v/>
      </c>
      <c r="G15141" s="8" t="str">
        <f t="shared" si="1"/>
        <v/>
      </c>
      <c r="H15141" s="14" t="str">
        <f t="shared" si="2"/>
        <v/>
      </c>
      <c r="I15141" s="15" t="str">
        <f t="shared" si="3"/>
        <v/>
      </c>
    </row>
    <row r="15142">
      <c r="A15142" s="8" t="str">
        <f>IFERROR(__xludf.DUMMYFUNCTION("IF('(INGESTA)Datos_consumo_datadis'!A16707&lt;&gt;"""",SPLIT('(INGESTA)Datos_consumo_datadis'!A:A,"",""),"""")"),"")</f>
        <v/>
      </c>
      <c r="G15142" s="8" t="str">
        <f t="shared" si="1"/>
        <v/>
      </c>
      <c r="H15142" s="14" t="str">
        <f t="shared" si="2"/>
        <v/>
      </c>
      <c r="I15142" s="15" t="str">
        <f t="shared" si="3"/>
        <v/>
      </c>
    </row>
    <row r="15143">
      <c r="A15143" s="8" t="str">
        <f>IFERROR(__xludf.DUMMYFUNCTION("IF('(INGESTA)Datos_consumo_datadis'!A16708&lt;&gt;"""",SPLIT('(INGESTA)Datos_consumo_datadis'!A:A,"",""),"""")"),"")</f>
        <v/>
      </c>
      <c r="G15143" s="8" t="str">
        <f t="shared" si="1"/>
        <v/>
      </c>
      <c r="H15143" s="14" t="str">
        <f t="shared" si="2"/>
        <v/>
      </c>
      <c r="I15143" s="15" t="str">
        <f t="shared" si="3"/>
        <v/>
      </c>
    </row>
    <row r="15144">
      <c r="A15144" s="8" t="str">
        <f>IFERROR(__xludf.DUMMYFUNCTION("IF('(INGESTA)Datos_consumo_datadis'!A16709&lt;&gt;"""",SPLIT('(INGESTA)Datos_consumo_datadis'!A:A,"",""),"""")"),"")</f>
        <v/>
      </c>
      <c r="G15144" s="8" t="str">
        <f t="shared" si="1"/>
        <v/>
      </c>
      <c r="H15144" s="14" t="str">
        <f t="shared" si="2"/>
        <v/>
      </c>
      <c r="I15144" s="15" t="str">
        <f t="shared" si="3"/>
        <v/>
      </c>
    </row>
    <row r="15145">
      <c r="A15145" s="8" t="str">
        <f>IFERROR(__xludf.DUMMYFUNCTION("IF('(INGESTA)Datos_consumo_datadis'!A16710&lt;&gt;"""",SPLIT('(INGESTA)Datos_consumo_datadis'!A:A,"",""),"""")"),"")</f>
        <v/>
      </c>
      <c r="G15145" s="8" t="str">
        <f t="shared" si="1"/>
        <v/>
      </c>
      <c r="H15145" s="14" t="str">
        <f t="shared" si="2"/>
        <v/>
      </c>
      <c r="I15145" s="15" t="str">
        <f t="shared" si="3"/>
        <v/>
      </c>
    </row>
    <row r="15146">
      <c r="A15146" s="8" t="str">
        <f>IFERROR(__xludf.DUMMYFUNCTION("IF('(INGESTA)Datos_consumo_datadis'!A16711&lt;&gt;"""",SPLIT('(INGESTA)Datos_consumo_datadis'!A:A,"",""),"""")"),"")</f>
        <v/>
      </c>
      <c r="G15146" s="8" t="str">
        <f t="shared" si="1"/>
        <v/>
      </c>
      <c r="H15146" s="14" t="str">
        <f t="shared" si="2"/>
        <v/>
      </c>
      <c r="I15146" s="15" t="str">
        <f t="shared" si="3"/>
        <v/>
      </c>
    </row>
    <row r="15147">
      <c r="A15147" s="8" t="str">
        <f>IFERROR(__xludf.DUMMYFUNCTION("IF('(INGESTA)Datos_consumo_datadis'!A16712&lt;&gt;"""",SPLIT('(INGESTA)Datos_consumo_datadis'!A:A,"",""),"""")"),"")</f>
        <v/>
      </c>
      <c r="G15147" s="8" t="str">
        <f t="shared" si="1"/>
        <v/>
      </c>
      <c r="H15147" s="14" t="str">
        <f t="shared" si="2"/>
        <v/>
      </c>
      <c r="I15147" s="15" t="str">
        <f t="shared" si="3"/>
        <v/>
      </c>
    </row>
    <row r="15148">
      <c r="A15148" s="8" t="str">
        <f>IFERROR(__xludf.DUMMYFUNCTION("IF('(INGESTA)Datos_consumo_datadis'!A16713&lt;&gt;"""",SPLIT('(INGESTA)Datos_consumo_datadis'!A:A,"",""),"""")"),"")</f>
        <v/>
      </c>
      <c r="G15148" s="8" t="str">
        <f t="shared" si="1"/>
        <v/>
      </c>
      <c r="H15148" s="14" t="str">
        <f t="shared" si="2"/>
        <v/>
      </c>
      <c r="I15148" s="15" t="str">
        <f t="shared" si="3"/>
        <v/>
      </c>
    </row>
    <row r="15149">
      <c r="A15149" s="8" t="str">
        <f>IFERROR(__xludf.DUMMYFUNCTION("IF('(INGESTA)Datos_consumo_datadis'!A16714&lt;&gt;"""",SPLIT('(INGESTA)Datos_consumo_datadis'!A:A,"",""),"""")"),"")</f>
        <v/>
      </c>
      <c r="G15149" s="8" t="str">
        <f t="shared" si="1"/>
        <v/>
      </c>
      <c r="H15149" s="14" t="str">
        <f t="shared" si="2"/>
        <v/>
      </c>
      <c r="I15149" s="15" t="str">
        <f t="shared" si="3"/>
        <v/>
      </c>
    </row>
    <row r="15150">
      <c r="A15150" s="8" t="str">
        <f>IFERROR(__xludf.DUMMYFUNCTION("IF('(INGESTA)Datos_consumo_datadis'!A16715&lt;&gt;"""",SPLIT('(INGESTA)Datos_consumo_datadis'!A:A,"",""),"""")"),"")</f>
        <v/>
      </c>
      <c r="G15150" s="8" t="str">
        <f t="shared" si="1"/>
        <v/>
      </c>
      <c r="H15150" s="14" t="str">
        <f t="shared" si="2"/>
        <v/>
      </c>
      <c r="I15150" s="15" t="str">
        <f t="shared" si="3"/>
        <v/>
      </c>
    </row>
    <row r="15151">
      <c r="A15151" s="8" t="str">
        <f>IFERROR(__xludf.DUMMYFUNCTION("IF('(INGESTA)Datos_consumo_datadis'!A16716&lt;&gt;"""",SPLIT('(INGESTA)Datos_consumo_datadis'!A:A,"",""),"""")"),"")</f>
        <v/>
      </c>
      <c r="G15151" s="8" t="str">
        <f t="shared" si="1"/>
        <v/>
      </c>
      <c r="H15151" s="14" t="str">
        <f t="shared" si="2"/>
        <v/>
      </c>
      <c r="I15151" s="15" t="str">
        <f t="shared" si="3"/>
        <v/>
      </c>
    </row>
    <row r="15152">
      <c r="A15152" s="8" t="str">
        <f>IFERROR(__xludf.DUMMYFUNCTION("IF('(INGESTA)Datos_consumo_datadis'!A16717&lt;&gt;"""",SPLIT('(INGESTA)Datos_consumo_datadis'!A:A,"",""),"""")"),"")</f>
        <v/>
      </c>
      <c r="G15152" s="8" t="str">
        <f t="shared" si="1"/>
        <v/>
      </c>
      <c r="H15152" s="14" t="str">
        <f t="shared" si="2"/>
        <v/>
      </c>
      <c r="I15152" s="15" t="str">
        <f t="shared" si="3"/>
        <v/>
      </c>
    </row>
    <row r="15153">
      <c r="A15153" s="8" t="str">
        <f>IFERROR(__xludf.DUMMYFUNCTION("IF('(INGESTA)Datos_consumo_datadis'!A16718&lt;&gt;"""",SPLIT('(INGESTA)Datos_consumo_datadis'!A:A,"",""),"""")"),"")</f>
        <v/>
      </c>
      <c r="G15153" s="8" t="str">
        <f t="shared" si="1"/>
        <v/>
      </c>
      <c r="H15153" s="14" t="str">
        <f t="shared" si="2"/>
        <v/>
      </c>
      <c r="I15153" s="15" t="str">
        <f t="shared" si="3"/>
        <v/>
      </c>
    </row>
    <row r="15154">
      <c r="A15154" s="8" t="str">
        <f>IFERROR(__xludf.DUMMYFUNCTION("IF('(INGESTA)Datos_consumo_datadis'!A16719&lt;&gt;"""",SPLIT('(INGESTA)Datos_consumo_datadis'!A:A,"",""),"""")"),"")</f>
        <v/>
      </c>
      <c r="G15154" s="8" t="str">
        <f t="shared" si="1"/>
        <v/>
      </c>
      <c r="H15154" s="14" t="str">
        <f t="shared" si="2"/>
        <v/>
      </c>
      <c r="I15154" s="15" t="str">
        <f t="shared" si="3"/>
        <v/>
      </c>
    </row>
    <row r="15155">
      <c r="A15155" s="8" t="str">
        <f>IFERROR(__xludf.DUMMYFUNCTION("IF('(INGESTA)Datos_consumo_datadis'!A16720&lt;&gt;"""",SPLIT('(INGESTA)Datos_consumo_datadis'!A:A,"",""),"""")"),"")</f>
        <v/>
      </c>
      <c r="G15155" s="8" t="str">
        <f t="shared" si="1"/>
        <v/>
      </c>
      <c r="H15155" s="14" t="str">
        <f t="shared" si="2"/>
        <v/>
      </c>
      <c r="I15155" s="15" t="str">
        <f t="shared" si="3"/>
        <v/>
      </c>
    </row>
    <row r="15156">
      <c r="A15156" s="8" t="str">
        <f>IFERROR(__xludf.DUMMYFUNCTION("IF('(INGESTA)Datos_consumo_datadis'!A16721&lt;&gt;"""",SPLIT('(INGESTA)Datos_consumo_datadis'!A:A,"",""),"""")"),"")</f>
        <v/>
      </c>
      <c r="G15156" s="8" t="str">
        <f t="shared" si="1"/>
        <v/>
      </c>
      <c r="H15156" s="14" t="str">
        <f t="shared" si="2"/>
        <v/>
      </c>
      <c r="I15156" s="15" t="str">
        <f t="shared" si="3"/>
        <v/>
      </c>
    </row>
    <row r="15157">
      <c r="A15157" s="8" t="str">
        <f>IFERROR(__xludf.DUMMYFUNCTION("IF('(INGESTA)Datos_consumo_datadis'!A16722&lt;&gt;"""",SPLIT('(INGESTA)Datos_consumo_datadis'!A:A,"",""),"""")"),"")</f>
        <v/>
      </c>
      <c r="G15157" s="8" t="str">
        <f t="shared" si="1"/>
        <v/>
      </c>
      <c r="H15157" s="14" t="str">
        <f t="shared" si="2"/>
        <v/>
      </c>
      <c r="I15157" s="15" t="str">
        <f t="shared" si="3"/>
        <v/>
      </c>
    </row>
    <row r="15158">
      <c r="A15158" s="8" t="str">
        <f>IFERROR(__xludf.DUMMYFUNCTION("IF('(INGESTA)Datos_consumo_datadis'!A16723&lt;&gt;"""",SPLIT('(INGESTA)Datos_consumo_datadis'!A:A,"",""),"""")"),"")</f>
        <v/>
      </c>
      <c r="G15158" s="8" t="str">
        <f t="shared" si="1"/>
        <v/>
      </c>
      <c r="H15158" s="14" t="str">
        <f t="shared" si="2"/>
        <v/>
      </c>
      <c r="I15158" s="15" t="str">
        <f t="shared" si="3"/>
        <v/>
      </c>
    </row>
    <row r="15159">
      <c r="A15159" s="8" t="str">
        <f>IFERROR(__xludf.DUMMYFUNCTION("IF('(INGESTA)Datos_consumo_datadis'!A16724&lt;&gt;"""",SPLIT('(INGESTA)Datos_consumo_datadis'!A:A,"",""),"""")"),"")</f>
        <v/>
      </c>
      <c r="G15159" s="8" t="str">
        <f t="shared" si="1"/>
        <v/>
      </c>
      <c r="H15159" s="14" t="str">
        <f t="shared" si="2"/>
        <v/>
      </c>
      <c r="I15159" s="15" t="str">
        <f t="shared" si="3"/>
        <v/>
      </c>
    </row>
    <row r="15160">
      <c r="A15160" s="8" t="str">
        <f>IFERROR(__xludf.DUMMYFUNCTION("IF('(INGESTA)Datos_consumo_datadis'!A16725&lt;&gt;"""",SPLIT('(INGESTA)Datos_consumo_datadis'!A:A,"",""),"""")"),"")</f>
        <v/>
      </c>
      <c r="G15160" s="8" t="str">
        <f t="shared" si="1"/>
        <v/>
      </c>
      <c r="H15160" s="14" t="str">
        <f t="shared" si="2"/>
        <v/>
      </c>
      <c r="I15160" s="15" t="str">
        <f t="shared" si="3"/>
        <v/>
      </c>
    </row>
    <row r="15161">
      <c r="A15161" s="8" t="str">
        <f>IFERROR(__xludf.DUMMYFUNCTION("IF('(INGESTA)Datos_consumo_datadis'!A16726&lt;&gt;"""",SPLIT('(INGESTA)Datos_consumo_datadis'!A:A,"",""),"""")"),"")</f>
        <v/>
      </c>
      <c r="G15161" s="8" t="str">
        <f t="shared" si="1"/>
        <v/>
      </c>
      <c r="H15161" s="14" t="str">
        <f t="shared" si="2"/>
        <v/>
      </c>
      <c r="I15161" s="15" t="str">
        <f t="shared" si="3"/>
        <v/>
      </c>
    </row>
    <row r="15162">
      <c r="A15162" s="8" t="str">
        <f>IFERROR(__xludf.DUMMYFUNCTION("IF('(INGESTA)Datos_consumo_datadis'!A16727&lt;&gt;"""",SPLIT('(INGESTA)Datos_consumo_datadis'!A:A,"",""),"""")"),"")</f>
        <v/>
      </c>
      <c r="G15162" s="8" t="str">
        <f t="shared" si="1"/>
        <v/>
      </c>
      <c r="H15162" s="14" t="str">
        <f t="shared" si="2"/>
        <v/>
      </c>
      <c r="I15162" s="15" t="str">
        <f t="shared" si="3"/>
        <v/>
      </c>
    </row>
    <row r="15163">
      <c r="A15163" s="8" t="str">
        <f>IFERROR(__xludf.DUMMYFUNCTION("IF('(INGESTA)Datos_consumo_datadis'!A16728&lt;&gt;"""",SPLIT('(INGESTA)Datos_consumo_datadis'!A:A,"",""),"""")"),"")</f>
        <v/>
      </c>
      <c r="G15163" s="8" t="str">
        <f t="shared" si="1"/>
        <v/>
      </c>
      <c r="H15163" s="14" t="str">
        <f t="shared" si="2"/>
        <v/>
      </c>
      <c r="I15163" s="15" t="str">
        <f t="shared" si="3"/>
        <v/>
      </c>
    </row>
    <row r="15164">
      <c r="A15164" s="8" t="str">
        <f>IFERROR(__xludf.DUMMYFUNCTION("IF('(INGESTA)Datos_consumo_datadis'!A16729&lt;&gt;"""",SPLIT('(INGESTA)Datos_consumo_datadis'!A:A,"",""),"""")"),"")</f>
        <v/>
      </c>
      <c r="G15164" s="8" t="str">
        <f t="shared" si="1"/>
        <v/>
      </c>
      <c r="H15164" s="14" t="str">
        <f t="shared" si="2"/>
        <v/>
      </c>
      <c r="I15164" s="15" t="str">
        <f t="shared" si="3"/>
        <v/>
      </c>
    </row>
    <row r="15165">
      <c r="A15165" s="8" t="str">
        <f>IFERROR(__xludf.DUMMYFUNCTION("IF('(INGESTA)Datos_consumo_datadis'!A16730&lt;&gt;"""",SPLIT('(INGESTA)Datos_consumo_datadis'!A:A,"",""),"""")"),"")</f>
        <v/>
      </c>
      <c r="G15165" s="8" t="str">
        <f t="shared" si="1"/>
        <v/>
      </c>
      <c r="H15165" s="14" t="str">
        <f t="shared" si="2"/>
        <v/>
      </c>
      <c r="I15165" s="15" t="str">
        <f t="shared" si="3"/>
        <v/>
      </c>
    </row>
    <row r="15166">
      <c r="A15166" s="8" t="str">
        <f>IFERROR(__xludf.DUMMYFUNCTION("IF('(INGESTA)Datos_consumo_datadis'!A16731&lt;&gt;"""",SPLIT('(INGESTA)Datos_consumo_datadis'!A:A,"",""),"""")"),"")</f>
        <v/>
      </c>
      <c r="G15166" s="8" t="str">
        <f t="shared" si="1"/>
        <v/>
      </c>
      <c r="H15166" s="14" t="str">
        <f t="shared" si="2"/>
        <v/>
      </c>
      <c r="I15166" s="15" t="str">
        <f t="shared" si="3"/>
        <v/>
      </c>
    </row>
    <row r="15167">
      <c r="A15167" s="8" t="str">
        <f>IFERROR(__xludf.DUMMYFUNCTION("IF('(INGESTA)Datos_consumo_datadis'!A16732&lt;&gt;"""",SPLIT('(INGESTA)Datos_consumo_datadis'!A:A,"",""),"""")"),"")</f>
        <v/>
      </c>
      <c r="G15167" s="8" t="str">
        <f t="shared" si="1"/>
        <v/>
      </c>
      <c r="H15167" s="14" t="str">
        <f t="shared" si="2"/>
        <v/>
      </c>
      <c r="I15167" s="15" t="str">
        <f t="shared" si="3"/>
        <v/>
      </c>
    </row>
    <row r="15168">
      <c r="A15168" s="8" t="str">
        <f>IFERROR(__xludf.DUMMYFUNCTION("IF('(INGESTA)Datos_consumo_datadis'!A16733&lt;&gt;"""",SPLIT('(INGESTA)Datos_consumo_datadis'!A:A,"",""),"""")"),"")</f>
        <v/>
      </c>
      <c r="G15168" s="8" t="str">
        <f t="shared" si="1"/>
        <v/>
      </c>
      <c r="H15168" s="14" t="str">
        <f t="shared" si="2"/>
        <v/>
      </c>
      <c r="I15168" s="15" t="str">
        <f t="shared" si="3"/>
        <v/>
      </c>
    </row>
    <row r="15169">
      <c r="A15169" s="8" t="str">
        <f>IFERROR(__xludf.DUMMYFUNCTION("IF('(INGESTA)Datos_consumo_datadis'!A16734&lt;&gt;"""",SPLIT('(INGESTA)Datos_consumo_datadis'!A:A,"",""),"""")"),"")</f>
        <v/>
      </c>
      <c r="G15169" s="8" t="str">
        <f t="shared" si="1"/>
        <v/>
      </c>
      <c r="H15169" s="14" t="str">
        <f t="shared" si="2"/>
        <v/>
      </c>
      <c r="I15169" s="15" t="str">
        <f t="shared" si="3"/>
        <v/>
      </c>
    </row>
    <row r="15170">
      <c r="A15170" s="8" t="str">
        <f>IFERROR(__xludf.DUMMYFUNCTION("IF('(INGESTA)Datos_consumo_datadis'!A16735&lt;&gt;"""",SPLIT('(INGESTA)Datos_consumo_datadis'!A:A,"",""),"""")"),"")</f>
        <v/>
      </c>
      <c r="G15170" s="8" t="str">
        <f t="shared" si="1"/>
        <v/>
      </c>
      <c r="H15170" s="14" t="str">
        <f t="shared" si="2"/>
        <v/>
      </c>
      <c r="I15170" s="15" t="str">
        <f t="shared" si="3"/>
        <v/>
      </c>
    </row>
    <row r="15171">
      <c r="A15171" s="8" t="str">
        <f>IFERROR(__xludf.DUMMYFUNCTION("IF('(INGESTA)Datos_consumo_datadis'!A16736&lt;&gt;"""",SPLIT('(INGESTA)Datos_consumo_datadis'!A:A,"",""),"""")"),"")</f>
        <v/>
      </c>
      <c r="G15171" s="8" t="str">
        <f t="shared" si="1"/>
        <v/>
      </c>
      <c r="H15171" s="14" t="str">
        <f t="shared" si="2"/>
        <v/>
      </c>
      <c r="I15171" s="15" t="str">
        <f t="shared" si="3"/>
        <v/>
      </c>
    </row>
    <row r="15172">
      <c r="A15172" s="8" t="str">
        <f>IFERROR(__xludf.DUMMYFUNCTION("IF('(INGESTA)Datos_consumo_datadis'!A16737&lt;&gt;"""",SPLIT('(INGESTA)Datos_consumo_datadis'!A:A,"",""),"""")"),"")</f>
        <v/>
      </c>
      <c r="G15172" s="8" t="str">
        <f t="shared" si="1"/>
        <v/>
      </c>
      <c r="H15172" s="14" t="str">
        <f t="shared" si="2"/>
        <v/>
      </c>
      <c r="I15172" s="15" t="str">
        <f t="shared" si="3"/>
        <v/>
      </c>
    </row>
    <row r="15173">
      <c r="A15173" s="8" t="str">
        <f>IFERROR(__xludf.DUMMYFUNCTION("IF('(INGESTA)Datos_consumo_datadis'!A16738&lt;&gt;"""",SPLIT('(INGESTA)Datos_consumo_datadis'!A:A,"",""),"""")"),"")</f>
        <v/>
      </c>
      <c r="G15173" s="8" t="str">
        <f t="shared" si="1"/>
        <v/>
      </c>
      <c r="H15173" s="14" t="str">
        <f t="shared" si="2"/>
        <v/>
      </c>
      <c r="I15173" s="15" t="str">
        <f t="shared" si="3"/>
        <v/>
      </c>
    </row>
    <row r="15174">
      <c r="A15174" s="8" t="str">
        <f>IFERROR(__xludf.DUMMYFUNCTION("IF('(INGESTA)Datos_consumo_datadis'!A16739&lt;&gt;"""",SPLIT('(INGESTA)Datos_consumo_datadis'!A:A,"",""),"""")"),"")</f>
        <v/>
      </c>
      <c r="G15174" s="8" t="str">
        <f t="shared" si="1"/>
        <v/>
      </c>
      <c r="H15174" s="14" t="str">
        <f t="shared" si="2"/>
        <v/>
      </c>
      <c r="I15174" s="15" t="str">
        <f t="shared" si="3"/>
        <v/>
      </c>
    </row>
    <row r="15175">
      <c r="A15175" s="8" t="str">
        <f>IFERROR(__xludf.DUMMYFUNCTION("IF('(INGESTA)Datos_consumo_datadis'!A16740&lt;&gt;"""",SPLIT('(INGESTA)Datos_consumo_datadis'!A:A,"",""),"""")"),"")</f>
        <v/>
      </c>
      <c r="G15175" s="8" t="str">
        <f t="shared" si="1"/>
        <v/>
      </c>
      <c r="H15175" s="14" t="str">
        <f t="shared" si="2"/>
        <v/>
      </c>
      <c r="I15175" s="15" t="str">
        <f t="shared" si="3"/>
        <v/>
      </c>
    </row>
    <row r="15176">
      <c r="A15176" s="8" t="str">
        <f>IFERROR(__xludf.DUMMYFUNCTION("IF('(INGESTA)Datos_consumo_datadis'!A16741&lt;&gt;"""",SPLIT('(INGESTA)Datos_consumo_datadis'!A:A,"",""),"""")"),"")</f>
        <v/>
      </c>
      <c r="G15176" s="8" t="str">
        <f t="shared" si="1"/>
        <v/>
      </c>
      <c r="H15176" s="14" t="str">
        <f t="shared" si="2"/>
        <v/>
      </c>
      <c r="I15176" s="15" t="str">
        <f t="shared" si="3"/>
        <v/>
      </c>
    </row>
    <row r="15177">
      <c r="A15177" s="8" t="str">
        <f>IFERROR(__xludf.DUMMYFUNCTION("IF('(INGESTA)Datos_consumo_datadis'!A16742&lt;&gt;"""",SPLIT('(INGESTA)Datos_consumo_datadis'!A:A,"",""),"""")"),"")</f>
        <v/>
      </c>
      <c r="G15177" s="8" t="str">
        <f t="shared" si="1"/>
        <v/>
      </c>
      <c r="H15177" s="14" t="str">
        <f t="shared" si="2"/>
        <v/>
      </c>
      <c r="I15177" s="15" t="str">
        <f t="shared" si="3"/>
        <v/>
      </c>
    </row>
    <row r="15178">
      <c r="A15178" s="8" t="str">
        <f>IFERROR(__xludf.DUMMYFUNCTION("IF('(INGESTA)Datos_consumo_datadis'!A16743&lt;&gt;"""",SPLIT('(INGESTA)Datos_consumo_datadis'!A:A,"",""),"""")"),"")</f>
        <v/>
      </c>
      <c r="G15178" s="8" t="str">
        <f t="shared" si="1"/>
        <v/>
      </c>
      <c r="H15178" s="14" t="str">
        <f t="shared" si="2"/>
        <v/>
      </c>
      <c r="I15178" s="15" t="str">
        <f t="shared" si="3"/>
        <v/>
      </c>
    </row>
    <row r="15179">
      <c r="A15179" s="8" t="str">
        <f>IFERROR(__xludf.DUMMYFUNCTION("IF('(INGESTA)Datos_consumo_datadis'!A16744&lt;&gt;"""",SPLIT('(INGESTA)Datos_consumo_datadis'!A:A,"",""),"""")"),"")</f>
        <v/>
      </c>
      <c r="G15179" s="8" t="str">
        <f t="shared" si="1"/>
        <v/>
      </c>
      <c r="H15179" s="14" t="str">
        <f t="shared" si="2"/>
        <v/>
      </c>
      <c r="I15179" s="15" t="str">
        <f t="shared" si="3"/>
        <v/>
      </c>
    </row>
    <row r="15180">
      <c r="A15180" s="8" t="str">
        <f>IFERROR(__xludf.DUMMYFUNCTION("IF('(INGESTA)Datos_consumo_datadis'!A16745&lt;&gt;"""",SPLIT('(INGESTA)Datos_consumo_datadis'!A:A,"",""),"""")"),"")</f>
        <v/>
      </c>
      <c r="G15180" s="8" t="str">
        <f t="shared" si="1"/>
        <v/>
      </c>
      <c r="H15180" s="14" t="str">
        <f t="shared" si="2"/>
        <v/>
      </c>
      <c r="I15180" s="15" t="str">
        <f t="shared" si="3"/>
        <v/>
      </c>
    </row>
    <row r="15181">
      <c r="A15181" s="8" t="str">
        <f>IFERROR(__xludf.DUMMYFUNCTION("IF('(INGESTA)Datos_consumo_datadis'!A16746&lt;&gt;"""",SPLIT('(INGESTA)Datos_consumo_datadis'!A:A,"",""),"""")"),"")</f>
        <v/>
      </c>
      <c r="G15181" s="8" t="str">
        <f t="shared" si="1"/>
        <v/>
      </c>
      <c r="H15181" s="14" t="str">
        <f t="shared" si="2"/>
        <v/>
      </c>
      <c r="I15181" s="15" t="str">
        <f t="shared" si="3"/>
        <v/>
      </c>
    </row>
    <row r="15182">
      <c r="A15182" s="8" t="str">
        <f>IFERROR(__xludf.DUMMYFUNCTION("IF('(INGESTA)Datos_consumo_datadis'!A16747&lt;&gt;"""",SPLIT('(INGESTA)Datos_consumo_datadis'!A:A,"",""),"""")"),"")</f>
        <v/>
      </c>
      <c r="G15182" s="8" t="str">
        <f t="shared" si="1"/>
        <v/>
      </c>
      <c r="H15182" s="14" t="str">
        <f t="shared" si="2"/>
        <v/>
      </c>
      <c r="I15182" s="15" t="str">
        <f t="shared" si="3"/>
        <v/>
      </c>
    </row>
    <row r="15183">
      <c r="A15183" s="8" t="str">
        <f>IFERROR(__xludf.DUMMYFUNCTION("IF('(INGESTA)Datos_consumo_datadis'!A16748&lt;&gt;"""",SPLIT('(INGESTA)Datos_consumo_datadis'!A:A,"",""),"""")"),"")</f>
        <v/>
      </c>
      <c r="G15183" s="8" t="str">
        <f t="shared" si="1"/>
        <v/>
      </c>
      <c r="H15183" s="14" t="str">
        <f t="shared" si="2"/>
        <v/>
      </c>
      <c r="I15183" s="15" t="str">
        <f t="shared" si="3"/>
        <v/>
      </c>
    </row>
    <row r="15184">
      <c r="A15184" s="8" t="str">
        <f>IFERROR(__xludf.DUMMYFUNCTION("IF('(INGESTA)Datos_consumo_datadis'!A16749&lt;&gt;"""",SPLIT('(INGESTA)Datos_consumo_datadis'!A:A,"",""),"""")"),"")</f>
        <v/>
      </c>
      <c r="G15184" s="8" t="str">
        <f t="shared" si="1"/>
        <v/>
      </c>
      <c r="H15184" s="14" t="str">
        <f t="shared" si="2"/>
        <v/>
      </c>
      <c r="I15184" s="15" t="str">
        <f t="shared" si="3"/>
        <v/>
      </c>
    </row>
    <row r="15185">
      <c r="A15185" s="8" t="str">
        <f>IFERROR(__xludf.DUMMYFUNCTION("IF('(INGESTA)Datos_consumo_datadis'!A16750&lt;&gt;"""",SPLIT('(INGESTA)Datos_consumo_datadis'!A:A,"",""),"""")"),"")</f>
        <v/>
      </c>
      <c r="G15185" s="8" t="str">
        <f t="shared" si="1"/>
        <v/>
      </c>
      <c r="H15185" s="14" t="str">
        <f t="shared" si="2"/>
        <v/>
      </c>
      <c r="I15185" s="15" t="str">
        <f t="shared" si="3"/>
        <v/>
      </c>
    </row>
    <row r="15186">
      <c r="A15186" s="8" t="str">
        <f>IFERROR(__xludf.DUMMYFUNCTION("IF('(INGESTA)Datos_consumo_datadis'!A16751&lt;&gt;"""",SPLIT('(INGESTA)Datos_consumo_datadis'!A:A,"",""),"""")"),"")</f>
        <v/>
      </c>
      <c r="G15186" s="8" t="str">
        <f t="shared" si="1"/>
        <v/>
      </c>
      <c r="H15186" s="14" t="str">
        <f t="shared" si="2"/>
        <v/>
      </c>
      <c r="I15186" s="15" t="str">
        <f t="shared" si="3"/>
        <v/>
      </c>
    </row>
    <row r="15187">
      <c r="A15187" s="8" t="str">
        <f>IFERROR(__xludf.DUMMYFUNCTION("IF('(INGESTA)Datos_consumo_datadis'!A16752&lt;&gt;"""",SPLIT('(INGESTA)Datos_consumo_datadis'!A:A,"",""),"""")"),"")</f>
        <v/>
      </c>
      <c r="G15187" s="8" t="str">
        <f t="shared" si="1"/>
        <v/>
      </c>
      <c r="H15187" s="14" t="str">
        <f t="shared" si="2"/>
        <v/>
      </c>
      <c r="I15187" s="15" t="str">
        <f t="shared" si="3"/>
        <v/>
      </c>
    </row>
    <row r="15188">
      <c r="A15188" s="8" t="str">
        <f>IFERROR(__xludf.DUMMYFUNCTION("IF('(INGESTA)Datos_consumo_datadis'!A16753&lt;&gt;"""",SPLIT('(INGESTA)Datos_consumo_datadis'!A:A,"",""),"""")"),"")</f>
        <v/>
      </c>
      <c r="G15188" s="8" t="str">
        <f t="shared" si="1"/>
        <v/>
      </c>
      <c r="H15188" s="14" t="str">
        <f t="shared" si="2"/>
        <v/>
      </c>
      <c r="I15188" s="15" t="str">
        <f t="shared" si="3"/>
        <v/>
      </c>
    </row>
    <row r="15189">
      <c r="A15189" s="8" t="str">
        <f>IFERROR(__xludf.DUMMYFUNCTION("IF('(INGESTA)Datos_consumo_datadis'!A16754&lt;&gt;"""",SPLIT('(INGESTA)Datos_consumo_datadis'!A:A,"",""),"""")"),"")</f>
        <v/>
      </c>
      <c r="G15189" s="8" t="str">
        <f t="shared" si="1"/>
        <v/>
      </c>
      <c r="H15189" s="14" t="str">
        <f t="shared" si="2"/>
        <v/>
      </c>
      <c r="I15189" s="15" t="str">
        <f t="shared" si="3"/>
        <v/>
      </c>
    </row>
    <row r="15190">
      <c r="A15190" s="8" t="str">
        <f>IFERROR(__xludf.DUMMYFUNCTION("IF('(INGESTA)Datos_consumo_datadis'!A16755&lt;&gt;"""",SPLIT('(INGESTA)Datos_consumo_datadis'!A:A,"",""),"""")"),"")</f>
        <v/>
      </c>
      <c r="G15190" s="8" t="str">
        <f t="shared" si="1"/>
        <v/>
      </c>
      <c r="H15190" s="14" t="str">
        <f t="shared" si="2"/>
        <v/>
      </c>
      <c r="I15190" s="15" t="str">
        <f t="shared" si="3"/>
        <v/>
      </c>
    </row>
    <row r="15191">
      <c r="A15191" s="8" t="str">
        <f>IFERROR(__xludf.DUMMYFUNCTION("IF('(INGESTA)Datos_consumo_datadis'!A16756&lt;&gt;"""",SPLIT('(INGESTA)Datos_consumo_datadis'!A:A,"",""),"""")"),"")</f>
        <v/>
      </c>
      <c r="G15191" s="8" t="str">
        <f t="shared" si="1"/>
        <v/>
      </c>
      <c r="H15191" s="14" t="str">
        <f t="shared" si="2"/>
        <v/>
      </c>
      <c r="I15191" s="15" t="str">
        <f t="shared" si="3"/>
        <v/>
      </c>
    </row>
    <row r="15192">
      <c r="A15192" s="8" t="str">
        <f>IFERROR(__xludf.DUMMYFUNCTION("IF('(INGESTA)Datos_consumo_datadis'!A16757&lt;&gt;"""",SPLIT('(INGESTA)Datos_consumo_datadis'!A:A,"",""),"""")"),"")</f>
        <v/>
      </c>
      <c r="G15192" s="8" t="str">
        <f t="shared" si="1"/>
        <v/>
      </c>
      <c r="H15192" s="14" t="str">
        <f t="shared" si="2"/>
        <v/>
      </c>
      <c r="I15192" s="15" t="str">
        <f t="shared" si="3"/>
        <v/>
      </c>
    </row>
    <row r="15193">
      <c r="A15193" s="8" t="str">
        <f>IFERROR(__xludf.DUMMYFUNCTION("IF('(INGESTA)Datos_consumo_datadis'!A16758&lt;&gt;"""",SPLIT('(INGESTA)Datos_consumo_datadis'!A:A,"",""),"""")"),"")</f>
        <v/>
      </c>
      <c r="G15193" s="8" t="str">
        <f t="shared" si="1"/>
        <v/>
      </c>
      <c r="H15193" s="14" t="str">
        <f t="shared" si="2"/>
        <v/>
      </c>
      <c r="I15193" s="15" t="str">
        <f t="shared" si="3"/>
        <v/>
      </c>
    </row>
    <row r="15194">
      <c r="A15194" s="8" t="str">
        <f>IFERROR(__xludf.DUMMYFUNCTION("IF('(INGESTA)Datos_consumo_datadis'!A16759&lt;&gt;"""",SPLIT('(INGESTA)Datos_consumo_datadis'!A:A,"",""),"""")"),"")</f>
        <v/>
      </c>
      <c r="G15194" s="8" t="str">
        <f t="shared" si="1"/>
        <v/>
      </c>
      <c r="H15194" s="14" t="str">
        <f t="shared" si="2"/>
        <v/>
      </c>
      <c r="I15194" s="15" t="str">
        <f t="shared" si="3"/>
        <v/>
      </c>
    </row>
    <row r="15195">
      <c r="A15195" s="8" t="str">
        <f>IFERROR(__xludf.DUMMYFUNCTION("IF('(INGESTA)Datos_consumo_datadis'!A16760&lt;&gt;"""",SPLIT('(INGESTA)Datos_consumo_datadis'!A:A,"",""),"""")"),"")</f>
        <v/>
      </c>
      <c r="G15195" s="8" t="str">
        <f t="shared" si="1"/>
        <v/>
      </c>
      <c r="H15195" s="14" t="str">
        <f t="shared" si="2"/>
        <v/>
      </c>
      <c r="I15195" s="15" t="str">
        <f t="shared" si="3"/>
        <v/>
      </c>
    </row>
    <row r="15196">
      <c r="A15196" s="8" t="str">
        <f>IFERROR(__xludf.DUMMYFUNCTION("IF('(INGESTA)Datos_consumo_datadis'!A16761&lt;&gt;"""",SPLIT('(INGESTA)Datos_consumo_datadis'!A:A,"",""),"""")"),"")</f>
        <v/>
      </c>
      <c r="G15196" s="8" t="str">
        <f t="shared" si="1"/>
        <v/>
      </c>
      <c r="H15196" s="14" t="str">
        <f t="shared" si="2"/>
        <v/>
      </c>
      <c r="I15196" s="15" t="str">
        <f t="shared" si="3"/>
        <v/>
      </c>
    </row>
    <row r="15197">
      <c r="A15197" s="8" t="str">
        <f>IFERROR(__xludf.DUMMYFUNCTION("IF('(INGESTA)Datos_consumo_datadis'!A16762&lt;&gt;"""",SPLIT('(INGESTA)Datos_consumo_datadis'!A:A,"",""),"""")"),"")</f>
        <v/>
      </c>
      <c r="G15197" s="8" t="str">
        <f t="shared" si="1"/>
        <v/>
      </c>
      <c r="H15197" s="14" t="str">
        <f t="shared" si="2"/>
        <v/>
      </c>
      <c r="I15197" s="15" t="str">
        <f t="shared" si="3"/>
        <v/>
      </c>
    </row>
    <row r="15198">
      <c r="A15198" s="8" t="str">
        <f>IFERROR(__xludf.DUMMYFUNCTION("IF('(INGESTA)Datos_consumo_datadis'!A16763&lt;&gt;"""",SPLIT('(INGESTA)Datos_consumo_datadis'!A:A,"",""),"""")"),"")</f>
        <v/>
      </c>
      <c r="G15198" s="8" t="str">
        <f t="shared" si="1"/>
        <v/>
      </c>
      <c r="H15198" s="14" t="str">
        <f t="shared" si="2"/>
        <v/>
      </c>
      <c r="I15198" s="15" t="str">
        <f t="shared" si="3"/>
        <v/>
      </c>
    </row>
    <row r="15199">
      <c r="A15199" s="8" t="str">
        <f>IFERROR(__xludf.DUMMYFUNCTION("IF('(INGESTA)Datos_consumo_datadis'!A16764&lt;&gt;"""",SPLIT('(INGESTA)Datos_consumo_datadis'!A:A,"",""),"""")"),"")</f>
        <v/>
      </c>
      <c r="G15199" s="8" t="str">
        <f t="shared" si="1"/>
        <v/>
      </c>
      <c r="H15199" s="14" t="str">
        <f t="shared" si="2"/>
        <v/>
      </c>
      <c r="I15199" s="15" t="str">
        <f t="shared" si="3"/>
        <v/>
      </c>
    </row>
    <row r="15200">
      <c r="A15200" s="8" t="str">
        <f>IFERROR(__xludf.DUMMYFUNCTION("IF('(INGESTA)Datos_consumo_datadis'!A16765&lt;&gt;"""",SPLIT('(INGESTA)Datos_consumo_datadis'!A:A,"",""),"""")"),"")</f>
        <v/>
      </c>
      <c r="G15200" s="8" t="str">
        <f t="shared" si="1"/>
        <v/>
      </c>
      <c r="H15200" s="14" t="str">
        <f t="shared" si="2"/>
        <v/>
      </c>
      <c r="I15200" s="15" t="str">
        <f t="shared" si="3"/>
        <v/>
      </c>
    </row>
    <row r="15201">
      <c r="A15201" s="8" t="str">
        <f>IFERROR(__xludf.DUMMYFUNCTION("IF('(INGESTA)Datos_consumo_datadis'!A16766&lt;&gt;"""",SPLIT('(INGESTA)Datos_consumo_datadis'!A:A,"",""),"""")"),"")</f>
        <v/>
      </c>
      <c r="G15201" s="8" t="str">
        <f t="shared" si="1"/>
        <v/>
      </c>
      <c r="H15201" s="14" t="str">
        <f t="shared" si="2"/>
        <v/>
      </c>
      <c r="I15201" s="15" t="str">
        <f t="shared" si="3"/>
        <v/>
      </c>
    </row>
    <row r="15202">
      <c r="A15202" s="8" t="str">
        <f>IFERROR(__xludf.DUMMYFUNCTION("IF('(INGESTA)Datos_consumo_datadis'!A16767&lt;&gt;"""",SPLIT('(INGESTA)Datos_consumo_datadis'!A:A,"",""),"""")"),"")</f>
        <v/>
      </c>
      <c r="G15202" s="8" t="str">
        <f t="shared" si="1"/>
        <v/>
      </c>
      <c r="H15202" s="14" t="str">
        <f t="shared" si="2"/>
        <v/>
      </c>
      <c r="I15202" s="15" t="str">
        <f t="shared" si="3"/>
        <v/>
      </c>
    </row>
    <row r="15203">
      <c r="A15203" s="8" t="str">
        <f>IFERROR(__xludf.DUMMYFUNCTION("IF('(INGESTA)Datos_consumo_datadis'!A16768&lt;&gt;"""",SPLIT('(INGESTA)Datos_consumo_datadis'!A:A,"",""),"""")"),"")</f>
        <v/>
      </c>
      <c r="G15203" s="8" t="str">
        <f t="shared" si="1"/>
        <v/>
      </c>
      <c r="H15203" s="14" t="str">
        <f t="shared" si="2"/>
        <v/>
      </c>
      <c r="I15203" s="15" t="str">
        <f t="shared" si="3"/>
        <v/>
      </c>
    </row>
    <row r="15204">
      <c r="A15204" s="8" t="str">
        <f>IFERROR(__xludf.DUMMYFUNCTION("IF('(INGESTA)Datos_consumo_datadis'!A16769&lt;&gt;"""",SPLIT('(INGESTA)Datos_consumo_datadis'!A:A,"",""),"""")"),"")</f>
        <v/>
      </c>
      <c r="G15204" s="8" t="str">
        <f t="shared" si="1"/>
        <v/>
      </c>
      <c r="H15204" s="14" t="str">
        <f t="shared" si="2"/>
        <v/>
      </c>
      <c r="I15204" s="15" t="str">
        <f t="shared" si="3"/>
        <v/>
      </c>
    </row>
    <row r="15205">
      <c r="A15205" s="8" t="str">
        <f>IFERROR(__xludf.DUMMYFUNCTION("IF('(INGESTA)Datos_consumo_datadis'!A16770&lt;&gt;"""",SPLIT('(INGESTA)Datos_consumo_datadis'!A:A,"",""),"""")"),"")</f>
        <v/>
      </c>
      <c r="G15205" s="8" t="str">
        <f t="shared" si="1"/>
        <v/>
      </c>
      <c r="H15205" s="14" t="str">
        <f t="shared" si="2"/>
        <v/>
      </c>
      <c r="I15205" s="15" t="str">
        <f t="shared" si="3"/>
        <v/>
      </c>
    </row>
    <row r="15206">
      <c r="A15206" s="8" t="str">
        <f>IFERROR(__xludf.DUMMYFUNCTION("IF('(INGESTA)Datos_consumo_datadis'!A16771&lt;&gt;"""",SPLIT('(INGESTA)Datos_consumo_datadis'!A:A,"",""),"""")"),"")</f>
        <v/>
      </c>
      <c r="G15206" s="8" t="str">
        <f t="shared" si="1"/>
        <v/>
      </c>
      <c r="H15206" s="14" t="str">
        <f t="shared" si="2"/>
        <v/>
      </c>
      <c r="I15206" s="15" t="str">
        <f t="shared" si="3"/>
        <v/>
      </c>
    </row>
    <row r="15207">
      <c r="A15207" s="8" t="str">
        <f>IFERROR(__xludf.DUMMYFUNCTION("IF('(INGESTA)Datos_consumo_datadis'!A16772&lt;&gt;"""",SPLIT('(INGESTA)Datos_consumo_datadis'!A:A,"",""),"""")"),"")</f>
        <v/>
      </c>
      <c r="G15207" s="8" t="str">
        <f t="shared" si="1"/>
        <v/>
      </c>
      <c r="H15207" s="14" t="str">
        <f t="shared" si="2"/>
        <v/>
      </c>
      <c r="I15207" s="15" t="str">
        <f t="shared" si="3"/>
        <v/>
      </c>
    </row>
    <row r="15208">
      <c r="A15208" s="8" t="str">
        <f>IFERROR(__xludf.DUMMYFUNCTION("IF('(INGESTA)Datos_consumo_datadis'!A16773&lt;&gt;"""",SPLIT('(INGESTA)Datos_consumo_datadis'!A:A,"",""),"""")"),"")</f>
        <v/>
      </c>
      <c r="G15208" s="8" t="str">
        <f t="shared" si="1"/>
        <v/>
      </c>
      <c r="H15208" s="14" t="str">
        <f t="shared" si="2"/>
        <v/>
      </c>
      <c r="I15208" s="15" t="str">
        <f t="shared" si="3"/>
        <v/>
      </c>
    </row>
    <row r="15209">
      <c r="A15209" s="8" t="str">
        <f>IFERROR(__xludf.DUMMYFUNCTION("IF('(INGESTA)Datos_consumo_datadis'!A16774&lt;&gt;"""",SPLIT('(INGESTA)Datos_consumo_datadis'!A:A,"",""),"""")"),"")</f>
        <v/>
      </c>
      <c r="G15209" s="8" t="str">
        <f t="shared" si="1"/>
        <v/>
      </c>
      <c r="H15209" s="14" t="str">
        <f t="shared" si="2"/>
        <v/>
      </c>
      <c r="I15209" s="15" t="str">
        <f t="shared" si="3"/>
        <v/>
      </c>
    </row>
    <row r="15210">
      <c r="A15210" s="8" t="str">
        <f>IFERROR(__xludf.DUMMYFUNCTION("IF('(INGESTA)Datos_consumo_datadis'!A16775&lt;&gt;"""",SPLIT('(INGESTA)Datos_consumo_datadis'!A:A,"",""),"""")"),"")</f>
        <v/>
      </c>
      <c r="G15210" s="8" t="str">
        <f t="shared" si="1"/>
        <v/>
      </c>
      <c r="H15210" s="14" t="str">
        <f t="shared" si="2"/>
        <v/>
      </c>
      <c r="I15210" s="15" t="str">
        <f t="shared" si="3"/>
        <v/>
      </c>
    </row>
    <row r="15211">
      <c r="A15211" s="8" t="str">
        <f>IFERROR(__xludf.DUMMYFUNCTION("IF('(INGESTA)Datos_consumo_datadis'!A16776&lt;&gt;"""",SPLIT('(INGESTA)Datos_consumo_datadis'!A:A,"",""),"""")"),"")</f>
        <v/>
      </c>
      <c r="G15211" s="8" t="str">
        <f t="shared" si="1"/>
        <v/>
      </c>
      <c r="H15211" s="14" t="str">
        <f t="shared" si="2"/>
        <v/>
      </c>
      <c r="I15211" s="15" t="str">
        <f t="shared" si="3"/>
        <v/>
      </c>
    </row>
    <row r="15212">
      <c r="A15212" s="8" t="str">
        <f>IFERROR(__xludf.DUMMYFUNCTION("IF('(INGESTA)Datos_consumo_datadis'!A16777&lt;&gt;"""",SPLIT('(INGESTA)Datos_consumo_datadis'!A:A,"",""),"""")"),"")</f>
        <v/>
      </c>
      <c r="G15212" s="8" t="str">
        <f t="shared" si="1"/>
        <v/>
      </c>
      <c r="H15212" s="14" t="str">
        <f t="shared" si="2"/>
        <v/>
      </c>
      <c r="I15212" s="15" t="str">
        <f t="shared" si="3"/>
        <v/>
      </c>
    </row>
    <row r="15213">
      <c r="A15213" s="8" t="str">
        <f>IFERROR(__xludf.DUMMYFUNCTION("IF('(INGESTA)Datos_consumo_datadis'!A16778&lt;&gt;"""",SPLIT('(INGESTA)Datos_consumo_datadis'!A:A,"",""),"""")"),"")</f>
        <v/>
      </c>
      <c r="G15213" s="8" t="str">
        <f t="shared" si="1"/>
        <v/>
      </c>
      <c r="H15213" s="14" t="str">
        <f t="shared" si="2"/>
        <v/>
      </c>
      <c r="I15213" s="15" t="str">
        <f t="shared" si="3"/>
        <v/>
      </c>
    </row>
    <row r="15214">
      <c r="A15214" s="8" t="str">
        <f>IFERROR(__xludf.DUMMYFUNCTION("IF('(INGESTA)Datos_consumo_datadis'!A16779&lt;&gt;"""",SPLIT('(INGESTA)Datos_consumo_datadis'!A:A,"",""),"""")"),"")</f>
        <v/>
      </c>
      <c r="G15214" s="8" t="str">
        <f t="shared" si="1"/>
        <v/>
      </c>
      <c r="H15214" s="14" t="str">
        <f t="shared" si="2"/>
        <v/>
      </c>
      <c r="I15214" s="15" t="str">
        <f t="shared" si="3"/>
        <v/>
      </c>
    </row>
    <row r="15215">
      <c r="A15215" s="8" t="str">
        <f>IFERROR(__xludf.DUMMYFUNCTION("IF('(INGESTA)Datos_consumo_datadis'!A16780&lt;&gt;"""",SPLIT('(INGESTA)Datos_consumo_datadis'!A:A,"",""),"""")"),"")</f>
        <v/>
      </c>
      <c r="G15215" s="8" t="str">
        <f t="shared" si="1"/>
        <v/>
      </c>
      <c r="H15215" s="14" t="str">
        <f t="shared" si="2"/>
        <v/>
      </c>
      <c r="I15215" s="15" t="str">
        <f t="shared" si="3"/>
        <v/>
      </c>
    </row>
    <row r="15216">
      <c r="A15216" s="8" t="str">
        <f>IFERROR(__xludf.DUMMYFUNCTION("IF('(INGESTA)Datos_consumo_datadis'!A16781&lt;&gt;"""",SPLIT('(INGESTA)Datos_consumo_datadis'!A:A,"",""),"""")"),"")</f>
        <v/>
      </c>
      <c r="G15216" s="8" t="str">
        <f t="shared" si="1"/>
        <v/>
      </c>
      <c r="H15216" s="14" t="str">
        <f t="shared" si="2"/>
        <v/>
      </c>
      <c r="I15216" s="15" t="str">
        <f t="shared" si="3"/>
        <v/>
      </c>
    </row>
    <row r="15217">
      <c r="A15217" s="8" t="str">
        <f>IFERROR(__xludf.DUMMYFUNCTION("IF('(INGESTA)Datos_consumo_datadis'!A16782&lt;&gt;"""",SPLIT('(INGESTA)Datos_consumo_datadis'!A:A,"",""),"""")"),"")</f>
        <v/>
      </c>
      <c r="G15217" s="8" t="str">
        <f t="shared" si="1"/>
        <v/>
      </c>
      <c r="H15217" s="14" t="str">
        <f t="shared" si="2"/>
        <v/>
      </c>
      <c r="I15217" s="15" t="str">
        <f t="shared" si="3"/>
        <v/>
      </c>
    </row>
    <row r="15218">
      <c r="A15218" s="8" t="str">
        <f>IFERROR(__xludf.DUMMYFUNCTION("IF('(INGESTA)Datos_consumo_datadis'!A16783&lt;&gt;"""",SPLIT('(INGESTA)Datos_consumo_datadis'!A:A,"",""),"""")"),"")</f>
        <v/>
      </c>
      <c r="G15218" s="8" t="str">
        <f t="shared" si="1"/>
        <v/>
      </c>
      <c r="H15218" s="14" t="str">
        <f t="shared" si="2"/>
        <v/>
      </c>
      <c r="I15218" s="15" t="str">
        <f t="shared" si="3"/>
        <v/>
      </c>
    </row>
    <row r="15219">
      <c r="A15219" s="8" t="str">
        <f>IFERROR(__xludf.DUMMYFUNCTION("IF('(INGESTA)Datos_consumo_datadis'!A16784&lt;&gt;"""",SPLIT('(INGESTA)Datos_consumo_datadis'!A:A,"",""),"""")"),"")</f>
        <v/>
      </c>
      <c r="G15219" s="8" t="str">
        <f t="shared" si="1"/>
        <v/>
      </c>
      <c r="H15219" s="14" t="str">
        <f t="shared" si="2"/>
        <v/>
      </c>
      <c r="I15219" s="15" t="str">
        <f t="shared" si="3"/>
        <v/>
      </c>
    </row>
    <row r="15220">
      <c r="A15220" s="8" t="str">
        <f>IFERROR(__xludf.DUMMYFUNCTION("IF('(INGESTA)Datos_consumo_datadis'!A16785&lt;&gt;"""",SPLIT('(INGESTA)Datos_consumo_datadis'!A:A,"",""),"""")"),"")</f>
        <v/>
      </c>
      <c r="G15220" s="8" t="str">
        <f t="shared" si="1"/>
        <v/>
      </c>
      <c r="H15220" s="14" t="str">
        <f t="shared" si="2"/>
        <v/>
      </c>
      <c r="I15220" s="15" t="str">
        <f t="shared" si="3"/>
        <v/>
      </c>
    </row>
    <row r="15221">
      <c r="A15221" s="8" t="str">
        <f>IFERROR(__xludf.DUMMYFUNCTION("IF('(INGESTA)Datos_consumo_datadis'!A16786&lt;&gt;"""",SPLIT('(INGESTA)Datos_consumo_datadis'!A:A,"",""),"""")"),"")</f>
        <v/>
      </c>
      <c r="G15221" s="8" t="str">
        <f t="shared" si="1"/>
        <v/>
      </c>
      <c r="H15221" s="14" t="str">
        <f t="shared" si="2"/>
        <v/>
      </c>
      <c r="I15221" s="15" t="str">
        <f t="shared" si="3"/>
        <v/>
      </c>
    </row>
    <row r="15222">
      <c r="A15222" s="8" t="str">
        <f>IFERROR(__xludf.DUMMYFUNCTION("IF('(INGESTA)Datos_consumo_datadis'!A16787&lt;&gt;"""",SPLIT('(INGESTA)Datos_consumo_datadis'!A:A,"",""),"""")"),"")</f>
        <v/>
      </c>
      <c r="G15222" s="8" t="str">
        <f t="shared" si="1"/>
        <v/>
      </c>
      <c r="H15222" s="14" t="str">
        <f t="shared" si="2"/>
        <v/>
      </c>
      <c r="I15222" s="15" t="str">
        <f t="shared" si="3"/>
        <v/>
      </c>
    </row>
    <row r="15223">
      <c r="A15223" s="8" t="str">
        <f>IFERROR(__xludf.DUMMYFUNCTION("IF('(INGESTA)Datos_consumo_datadis'!A16788&lt;&gt;"""",SPLIT('(INGESTA)Datos_consumo_datadis'!A:A,"",""),"""")"),"")</f>
        <v/>
      </c>
      <c r="G15223" s="8" t="str">
        <f t="shared" si="1"/>
        <v/>
      </c>
      <c r="H15223" s="14" t="str">
        <f t="shared" si="2"/>
        <v/>
      </c>
      <c r="I15223" s="15" t="str">
        <f t="shared" si="3"/>
        <v/>
      </c>
    </row>
    <row r="15224">
      <c r="A15224" s="8" t="str">
        <f>IFERROR(__xludf.DUMMYFUNCTION("IF('(INGESTA)Datos_consumo_datadis'!A16789&lt;&gt;"""",SPLIT('(INGESTA)Datos_consumo_datadis'!A:A,"",""),"""")"),"")</f>
        <v/>
      </c>
      <c r="G15224" s="8" t="str">
        <f t="shared" si="1"/>
        <v/>
      </c>
      <c r="H15224" s="14" t="str">
        <f t="shared" si="2"/>
        <v/>
      </c>
      <c r="I15224" s="15" t="str">
        <f t="shared" si="3"/>
        <v/>
      </c>
    </row>
    <row r="15225">
      <c r="A15225" s="8" t="str">
        <f>IFERROR(__xludf.DUMMYFUNCTION("IF('(INGESTA)Datos_consumo_datadis'!A16790&lt;&gt;"""",SPLIT('(INGESTA)Datos_consumo_datadis'!A:A,"",""),"""")"),"")</f>
        <v/>
      </c>
      <c r="G15225" s="8" t="str">
        <f t="shared" si="1"/>
        <v/>
      </c>
      <c r="H15225" s="14" t="str">
        <f t="shared" si="2"/>
        <v/>
      </c>
      <c r="I15225" s="15" t="str">
        <f t="shared" si="3"/>
        <v/>
      </c>
    </row>
    <row r="15226">
      <c r="A15226" s="8" t="str">
        <f>IFERROR(__xludf.DUMMYFUNCTION("IF('(INGESTA)Datos_consumo_datadis'!A16791&lt;&gt;"""",SPLIT('(INGESTA)Datos_consumo_datadis'!A:A,"",""),"""")"),"")</f>
        <v/>
      </c>
      <c r="G15226" s="8" t="str">
        <f t="shared" si="1"/>
        <v/>
      </c>
      <c r="H15226" s="14" t="str">
        <f t="shared" si="2"/>
        <v/>
      </c>
      <c r="I15226" s="15" t="str">
        <f t="shared" si="3"/>
        <v/>
      </c>
    </row>
    <row r="15227">
      <c r="A15227" s="8" t="str">
        <f>IFERROR(__xludf.DUMMYFUNCTION("IF('(INGESTA)Datos_consumo_datadis'!A16792&lt;&gt;"""",SPLIT('(INGESTA)Datos_consumo_datadis'!A:A,"",""),"""")"),"")</f>
        <v/>
      </c>
      <c r="G15227" s="8" t="str">
        <f t="shared" si="1"/>
        <v/>
      </c>
      <c r="H15227" s="14" t="str">
        <f t="shared" si="2"/>
        <v/>
      </c>
      <c r="I15227" s="15" t="str">
        <f t="shared" si="3"/>
        <v/>
      </c>
    </row>
    <row r="15228">
      <c r="A15228" s="8" t="str">
        <f>IFERROR(__xludf.DUMMYFUNCTION("IF('(INGESTA)Datos_consumo_datadis'!A16793&lt;&gt;"""",SPLIT('(INGESTA)Datos_consumo_datadis'!A:A,"",""),"""")"),"")</f>
        <v/>
      </c>
      <c r="G15228" s="8" t="str">
        <f t="shared" si="1"/>
        <v/>
      </c>
      <c r="H15228" s="14" t="str">
        <f t="shared" si="2"/>
        <v/>
      </c>
      <c r="I15228" s="15" t="str">
        <f t="shared" si="3"/>
        <v/>
      </c>
    </row>
    <row r="15229">
      <c r="A15229" s="8" t="str">
        <f>IFERROR(__xludf.DUMMYFUNCTION("IF('(INGESTA)Datos_consumo_datadis'!A16794&lt;&gt;"""",SPLIT('(INGESTA)Datos_consumo_datadis'!A:A,"",""),"""")"),"")</f>
        <v/>
      </c>
      <c r="G15229" s="8" t="str">
        <f t="shared" si="1"/>
        <v/>
      </c>
      <c r="H15229" s="14" t="str">
        <f t="shared" si="2"/>
        <v/>
      </c>
      <c r="I15229" s="15" t="str">
        <f t="shared" si="3"/>
        <v/>
      </c>
    </row>
    <row r="15230">
      <c r="A15230" s="8" t="str">
        <f>IFERROR(__xludf.DUMMYFUNCTION("IF('(INGESTA)Datos_consumo_datadis'!A16795&lt;&gt;"""",SPLIT('(INGESTA)Datos_consumo_datadis'!A:A,"",""),"""")"),"")</f>
        <v/>
      </c>
      <c r="G15230" s="8" t="str">
        <f t="shared" si="1"/>
        <v/>
      </c>
      <c r="H15230" s="14" t="str">
        <f t="shared" si="2"/>
        <v/>
      </c>
      <c r="I15230" s="15" t="str">
        <f t="shared" si="3"/>
        <v/>
      </c>
    </row>
    <row r="15231">
      <c r="A15231" s="8" t="str">
        <f>IFERROR(__xludf.DUMMYFUNCTION("IF('(INGESTA)Datos_consumo_datadis'!A16796&lt;&gt;"""",SPLIT('(INGESTA)Datos_consumo_datadis'!A:A,"",""),"""")"),"")</f>
        <v/>
      </c>
      <c r="G15231" s="8" t="str">
        <f t="shared" si="1"/>
        <v/>
      </c>
      <c r="H15231" s="14" t="str">
        <f t="shared" si="2"/>
        <v/>
      </c>
      <c r="I15231" s="15" t="str">
        <f t="shared" si="3"/>
        <v/>
      </c>
    </row>
    <row r="15232">
      <c r="A15232" s="8" t="str">
        <f>IFERROR(__xludf.DUMMYFUNCTION("IF('(INGESTA)Datos_consumo_datadis'!A16797&lt;&gt;"""",SPLIT('(INGESTA)Datos_consumo_datadis'!A:A,"",""),"""")"),"")</f>
        <v/>
      </c>
      <c r="G15232" s="8" t="str">
        <f t="shared" si="1"/>
        <v/>
      </c>
      <c r="H15232" s="14" t="str">
        <f t="shared" si="2"/>
        <v/>
      </c>
      <c r="I15232" s="15" t="str">
        <f t="shared" si="3"/>
        <v/>
      </c>
    </row>
    <row r="15233">
      <c r="A15233" s="8" t="str">
        <f>IFERROR(__xludf.DUMMYFUNCTION("IF('(INGESTA)Datos_consumo_datadis'!A16798&lt;&gt;"""",SPLIT('(INGESTA)Datos_consumo_datadis'!A:A,"",""),"""")"),"")</f>
        <v/>
      </c>
      <c r="G15233" s="8" t="str">
        <f t="shared" si="1"/>
        <v/>
      </c>
      <c r="H15233" s="14" t="str">
        <f t="shared" si="2"/>
        <v/>
      </c>
      <c r="I15233" s="15" t="str">
        <f t="shared" si="3"/>
        <v/>
      </c>
    </row>
    <row r="15234">
      <c r="A15234" s="8" t="str">
        <f>IFERROR(__xludf.DUMMYFUNCTION("IF('(INGESTA)Datos_consumo_datadis'!A16799&lt;&gt;"""",SPLIT('(INGESTA)Datos_consumo_datadis'!A:A,"",""),"""")"),"")</f>
        <v/>
      </c>
      <c r="G15234" s="8" t="str">
        <f t="shared" si="1"/>
        <v/>
      </c>
      <c r="H15234" s="14" t="str">
        <f t="shared" si="2"/>
        <v/>
      </c>
      <c r="I15234" s="15" t="str">
        <f t="shared" si="3"/>
        <v/>
      </c>
    </row>
    <row r="15235">
      <c r="A15235" s="8" t="str">
        <f>IFERROR(__xludf.DUMMYFUNCTION("IF('(INGESTA)Datos_consumo_datadis'!A16800&lt;&gt;"""",SPLIT('(INGESTA)Datos_consumo_datadis'!A:A,"",""),"""")"),"")</f>
        <v/>
      </c>
      <c r="G15235" s="8" t="str">
        <f t="shared" si="1"/>
        <v/>
      </c>
      <c r="H15235" s="14" t="str">
        <f t="shared" si="2"/>
        <v/>
      </c>
      <c r="I15235" s="15" t="str">
        <f t="shared" si="3"/>
        <v/>
      </c>
    </row>
    <row r="15236">
      <c r="A15236" s="8" t="str">
        <f>IFERROR(__xludf.DUMMYFUNCTION("IF('(INGESTA)Datos_consumo_datadis'!A16801&lt;&gt;"""",SPLIT('(INGESTA)Datos_consumo_datadis'!A:A,"",""),"""")"),"")</f>
        <v/>
      </c>
      <c r="G15236" s="8" t="str">
        <f t="shared" si="1"/>
        <v/>
      </c>
      <c r="H15236" s="14" t="str">
        <f t="shared" si="2"/>
        <v/>
      </c>
      <c r="I15236" s="15" t="str">
        <f t="shared" si="3"/>
        <v/>
      </c>
    </row>
    <row r="15237">
      <c r="A15237" s="8" t="str">
        <f>IFERROR(__xludf.DUMMYFUNCTION("IF('(INGESTA)Datos_consumo_datadis'!A16802&lt;&gt;"""",SPLIT('(INGESTA)Datos_consumo_datadis'!A:A,"",""),"""")"),"")</f>
        <v/>
      </c>
      <c r="G15237" s="8" t="str">
        <f t="shared" si="1"/>
        <v/>
      </c>
      <c r="H15237" s="14" t="str">
        <f t="shared" si="2"/>
        <v/>
      </c>
      <c r="I15237" s="15" t="str">
        <f t="shared" si="3"/>
        <v/>
      </c>
    </row>
    <row r="15238">
      <c r="A15238" s="8" t="str">
        <f>IFERROR(__xludf.DUMMYFUNCTION("IF('(INGESTA)Datos_consumo_datadis'!A16803&lt;&gt;"""",SPLIT('(INGESTA)Datos_consumo_datadis'!A:A,"",""),"""")"),"")</f>
        <v/>
      </c>
      <c r="G15238" s="8" t="str">
        <f t="shared" si="1"/>
        <v/>
      </c>
      <c r="H15238" s="14" t="str">
        <f t="shared" si="2"/>
        <v/>
      </c>
      <c r="I15238" s="15" t="str">
        <f t="shared" si="3"/>
        <v/>
      </c>
    </row>
    <row r="15239">
      <c r="A15239" s="8" t="str">
        <f>IFERROR(__xludf.DUMMYFUNCTION("IF('(INGESTA)Datos_consumo_datadis'!A16804&lt;&gt;"""",SPLIT('(INGESTA)Datos_consumo_datadis'!A:A,"",""),"""")"),"")</f>
        <v/>
      </c>
      <c r="G15239" s="8" t="str">
        <f t="shared" si="1"/>
        <v/>
      </c>
      <c r="H15239" s="14" t="str">
        <f t="shared" si="2"/>
        <v/>
      </c>
      <c r="I15239" s="15" t="str">
        <f t="shared" si="3"/>
        <v/>
      </c>
    </row>
    <row r="15240">
      <c r="A15240" s="8" t="str">
        <f>IFERROR(__xludf.DUMMYFUNCTION("IF('(INGESTA)Datos_consumo_datadis'!A16805&lt;&gt;"""",SPLIT('(INGESTA)Datos_consumo_datadis'!A:A,"",""),"""")"),"")</f>
        <v/>
      </c>
      <c r="G15240" s="8" t="str">
        <f t="shared" si="1"/>
        <v/>
      </c>
      <c r="H15240" s="14" t="str">
        <f t="shared" si="2"/>
        <v/>
      </c>
      <c r="I15240" s="15" t="str">
        <f t="shared" si="3"/>
        <v/>
      </c>
    </row>
    <row r="15241">
      <c r="A15241" s="8" t="str">
        <f>IFERROR(__xludf.DUMMYFUNCTION("IF('(INGESTA)Datos_consumo_datadis'!A16806&lt;&gt;"""",SPLIT('(INGESTA)Datos_consumo_datadis'!A:A,"",""),"""")"),"")</f>
        <v/>
      </c>
      <c r="G15241" s="8" t="str">
        <f t="shared" si="1"/>
        <v/>
      </c>
      <c r="H15241" s="14" t="str">
        <f t="shared" si="2"/>
        <v/>
      </c>
      <c r="I15241" s="15" t="str">
        <f t="shared" si="3"/>
        <v/>
      </c>
    </row>
    <row r="15242">
      <c r="A15242" s="8" t="str">
        <f>IFERROR(__xludf.DUMMYFUNCTION("IF('(INGESTA)Datos_consumo_datadis'!A16807&lt;&gt;"""",SPLIT('(INGESTA)Datos_consumo_datadis'!A:A,"",""),"""")"),"")</f>
        <v/>
      </c>
      <c r="G15242" s="8" t="str">
        <f t="shared" si="1"/>
        <v/>
      </c>
      <c r="H15242" s="14" t="str">
        <f t="shared" si="2"/>
        <v/>
      </c>
      <c r="I15242" s="15" t="str">
        <f t="shared" si="3"/>
        <v/>
      </c>
    </row>
    <row r="15243">
      <c r="A15243" s="8" t="str">
        <f>IFERROR(__xludf.DUMMYFUNCTION("IF('(INGESTA)Datos_consumo_datadis'!A16808&lt;&gt;"""",SPLIT('(INGESTA)Datos_consumo_datadis'!A:A,"",""),"""")"),"")</f>
        <v/>
      </c>
      <c r="G15243" s="8" t="str">
        <f t="shared" si="1"/>
        <v/>
      </c>
      <c r="H15243" s="14" t="str">
        <f t="shared" si="2"/>
        <v/>
      </c>
      <c r="I15243" s="15" t="str">
        <f t="shared" si="3"/>
        <v/>
      </c>
    </row>
    <row r="15244">
      <c r="A15244" s="8" t="str">
        <f>IFERROR(__xludf.DUMMYFUNCTION("IF('(INGESTA)Datos_consumo_datadis'!A16809&lt;&gt;"""",SPLIT('(INGESTA)Datos_consumo_datadis'!A:A,"",""),"""")"),"")</f>
        <v/>
      </c>
      <c r="G15244" s="8" t="str">
        <f t="shared" si="1"/>
        <v/>
      </c>
      <c r="H15244" s="14" t="str">
        <f t="shared" si="2"/>
        <v/>
      </c>
      <c r="I15244" s="15" t="str">
        <f t="shared" si="3"/>
        <v/>
      </c>
    </row>
    <row r="15245">
      <c r="A15245" s="8" t="str">
        <f>IFERROR(__xludf.DUMMYFUNCTION("IF('(INGESTA)Datos_consumo_datadis'!A16810&lt;&gt;"""",SPLIT('(INGESTA)Datos_consumo_datadis'!A:A,"",""),"""")"),"")</f>
        <v/>
      </c>
      <c r="G15245" s="8" t="str">
        <f t="shared" si="1"/>
        <v/>
      </c>
      <c r="H15245" s="14" t="str">
        <f t="shared" si="2"/>
        <v/>
      </c>
      <c r="I15245" s="15" t="str">
        <f t="shared" si="3"/>
        <v/>
      </c>
    </row>
    <row r="15246">
      <c r="A15246" s="8" t="str">
        <f>IFERROR(__xludf.DUMMYFUNCTION("IF('(INGESTA)Datos_consumo_datadis'!A16811&lt;&gt;"""",SPLIT('(INGESTA)Datos_consumo_datadis'!A:A,"",""),"""")"),"")</f>
        <v/>
      </c>
      <c r="G15246" s="8" t="str">
        <f t="shared" si="1"/>
        <v/>
      </c>
      <c r="H15246" s="14" t="str">
        <f t="shared" si="2"/>
        <v/>
      </c>
      <c r="I15246" s="15" t="str">
        <f t="shared" si="3"/>
        <v/>
      </c>
    </row>
    <row r="15247">
      <c r="A15247" s="8" t="str">
        <f>IFERROR(__xludf.DUMMYFUNCTION("IF('(INGESTA)Datos_consumo_datadis'!A16812&lt;&gt;"""",SPLIT('(INGESTA)Datos_consumo_datadis'!A:A,"",""),"""")"),"")</f>
        <v/>
      </c>
      <c r="G15247" s="8" t="str">
        <f t="shared" si="1"/>
        <v/>
      </c>
      <c r="H15247" s="14" t="str">
        <f t="shared" si="2"/>
        <v/>
      </c>
      <c r="I15247" s="15" t="str">
        <f t="shared" si="3"/>
        <v/>
      </c>
    </row>
    <row r="15248">
      <c r="A15248" s="8" t="str">
        <f>IFERROR(__xludf.DUMMYFUNCTION("IF('(INGESTA)Datos_consumo_datadis'!A16813&lt;&gt;"""",SPLIT('(INGESTA)Datos_consumo_datadis'!A:A,"",""),"""")"),"")</f>
        <v/>
      </c>
      <c r="G15248" s="8" t="str">
        <f t="shared" si="1"/>
        <v/>
      </c>
      <c r="H15248" s="14" t="str">
        <f t="shared" si="2"/>
        <v/>
      </c>
      <c r="I15248" s="15" t="str">
        <f t="shared" si="3"/>
        <v/>
      </c>
    </row>
    <row r="15249">
      <c r="A15249" s="8" t="str">
        <f>IFERROR(__xludf.DUMMYFUNCTION("IF('(INGESTA)Datos_consumo_datadis'!A16814&lt;&gt;"""",SPLIT('(INGESTA)Datos_consumo_datadis'!A:A,"",""),"""")"),"")</f>
        <v/>
      </c>
      <c r="G15249" s="8" t="str">
        <f t="shared" si="1"/>
        <v/>
      </c>
      <c r="H15249" s="14" t="str">
        <f t="shared" si="2"/>
        <v/>
      </c>
      <c r="I15249" s="15" t="str">
        <f t="shared" si="3"/>
        <v/>
      </c>
    </row>
    <row r="15250">
      <c r="A15250" s="8" t="str">
        <f>IFERROR(__xludf.DUMMYFUNCTION("IF('(INGESTA)Datos_consumo_datadis'!A16815&lt;&gt;"""",SPLIT('(INGESTA)Datos_consumo_datadis'!A:A,"",""),"""")"),"")</f>
        <v/>
      </c>
      <c r="G15250" s="8" t="str">
        <f t="shared" si="1"/>
        <v/>
      </c>
      <c r="H15250" s="14" t="str">
        <f t="shared" si="2"/>
        <v/>
      </c>
      <c r="I15250" s="15" t="str">
        <f t="shared" si="3"/>
        <v/>
      </c>
    </row>
    <row r="15251">
      <c r="A15251" s="8" t="str">
        <f>IFERROR(__xludf.DUMMYFUNCTION("IF('(INGESTA)Datos_consumo_datadis'!A16816&lt;&gt;"""",SPLIT('(INGESTA)Datos_consumo_datadis'!A:A,"",""),"""")"),"")</f>
        <v/>
      </c>
      <c r="G15251" s="8" t="str">
        <f t="shared" si="1"/>
        <v/>
      </c>
      <c r="H15251" s="14" t="str">
        <f t="shared" si="2"/>
        <v/>
      </c>
      <c r="I15251" s="15" t="str">
        <f t="shared" si="3"/>
        <v/>
      </c>
    </row>
    <row r="15252">
      <c r="A15252" s="8" t="str">
        <f>IFERROR(__xludf.DUMMYFUNCTION("IF('(INGESTA)Datos_consumo_datadis'!A16817&lt;&gt;"""",SPLIT('(INGESTA)Datos_consumo_datadis'!A:A,"",""),"""")"),"")</f>
        <v/>
      </c>
      <c r="G15252" s="8" t="str">
        <f t="shared" si="1"/>
        <v/>
      </c>
      <c r="H15252" s="14" t="str">
        <f t="shared" si="2"/>
        <v/>
      </c>
      <c r="I15252" s="15" t="str">
        <f t="shared" si="3"/>
        <v/>
      </c>
    </row>
    <row r="15253">
      <c r="A15253" s="8" t="str">
        <f>IFERROR(__xludf.DUMMYFUNCTION("IF('(INGESTA)Datos_consumo_datadis'!A16818&lt;&gt;"""",SPLIT('(INGESTA)Datos_consumo_datadis'!A:A,"",""),"""")"),"")</f>
        <v/>
      </c>
      <c r="G15253" s="8" t="str">
        <f t="shared" si="1"/>
        <v/>
      </c>
      <c r="H15253" s="14" t="str">
        <f t="shared" si="2"/>
        <v/>
      </c>
      <c r="I15253" s="15" t="str">
        <f t="shared" si="3"/>
        <v/>
      </c>
    </row>
    <row r="15254">
      <c r="A15254" s="8" t="str">
        <f>IFERROR(__xludf.DUMMYFUNCTION("IF('(INGESTA)Datos_consumo_datadis'!A16819&lt;&gt;"""",SPLIT('(INGESTA)Datos_consumo_datadis'!A:A,"",""),"""")"),"")</f>
        <v/>
      </c>
      <c r="G15254" s="8" t="str">
        <f t="shared" si="1"/>
        <v/>
      </c>
      <c r="H15254" s="14" t="str">
        <f t="shared" si="2"/>
        <v/>
      </c>
      <c r="I15254" s="15" t="str">
        <f t="shared" si="3"/>
        <v/>
      </c>
    </row>
    <row r="15255">
      <c r="A15255" s="8" t="str">
        <f>IFERROR(__xludf.DUMMYFUNCTION("IF('(INGESTA)Datos_consumo_datadis'!A16820&lt;&gt;"""",SPLIT('(INGESTA)Datos_consumo_datadis'!A:A,"",""),"""")"),"")</f>
        <v/>
      </c>
      <c r="G15255" s="8" t="str">
        <f t="shared" si="1"/>
        <v/>
      </c>
      <c r="H15255" s="14" t="str">
        <f t="shared" si="2"/>
        <v/>
      </c>
      <c r="I15255" s="15" t="str">
        <f t="shared" si="3"/>
        <v/>
      </c>
    </row>
    <row r="15256">
      <c r="A15256" s="8" t="str">
        <f>IFERROR(__xludf.DUMMYFUNCTION("IF('(INGESTA)Datos_consumo_datadis'!A16821&lt;&gt;"""",SPLIT('(INGESTA)Datos_consumo_datadis'!A:A,"",""),"""")"),"")</f>
        <v/>
      </c>
      <c r="G15256" s="8" t="str">
        <f t="shared" si="1"/>
        <v/>
      </c>
      <c r="H15256" s="14" t="str">
        <f t="shared" si="2"/>
        <v/>
      </c>
      <c r="I15256" s="15" t="str">
        <f t="shared" si="3"/>
        <v/>
      </c>
    </row>
    <row r="15257">
      <c r="A15257" s="8" t="str">
        <f>IFERROR(__xludf.DUMMYFUNCTION("IF('(INGESTA)Datos_consumo_datadis'!A16822&lt;&gt;"""",SPLIT('(INGESTA)Datos_consumo_datadis'!A:A,"",""),"""")"),"")</f>
        <v/>
      </c>
      <c r="G15257" s="8" t="str">
        <f t="shared" si="1"/>
        <v/>
      </c>
      <c r="H15257" s="14" t="str">
        <f t="shared" si="2"/>
        <v/>
      </c>
      <c r="I15257" s="15" t="str">
        <f t="shared" si="3"/>
        <v/>
      </c>
    </row>
    <row r="15258">
      <c r="A15258" s="8" t="str">
        <f>IFERROR(__xludf.DUMMYFUNCTION("IF('(INGESTA)Datos_consumo_datadis'!A16823&lt;&gt;"""",SPLIT('(INGESTA)Datos_consumo_datadis'!A:A,"",""),"""")"),"")</f>
        <v/>
      </c>
      <c r="G15258" s="8" t="str">
        <f t="shared" si="1"/>
        <v/>
      </c>
      <c r="H15258" s="14" t="str">
        <f t="shared" si="2"/>
        <v/>
      </c>
      <c r="I15258" s="15" t="str">
        <f t="shared" si="3"/>
        <v/>
      </c>
    </row>
    <row r="15259">
      <c r="A15259" s="8" t="str">
        <f>IFERROR(__xludf.DUMMYFUNCTION("IF('(INGESTA)Datos_consumo_datadis'!A16824&lt;&gt;"""",SPLIT('(INGESTA)Datos_consumo_datadis'!A:A,"",""),"""")"),"")</f>
        <v/>
      </c>
      <c r="G15259" s="8" t="str">
        <f t="shared" si="1"/>
        <v/>
      </c>
      <c r="H15259" s="14" t="str">
        <f t="shared" si="2"/>
        <v/>
      </c>
      <c r="I15259" s="15" t="str">
        <f t="shared" si="3"/>
        <v/>
      </c>
    </row>
    <row r="15260">
      <c r="A15260" s="8" t="str">
        <f>IFERROR(__xludf.DUMMYFUNCTION("IF('(INGESTA)Datos_consumo_datadis'!A16825&lt;&gt;"""",SPLIT('(INGESTA)Datos_consumo_datadis'!A:A,"",""),"""")"),"")</f>
        <v/>
      </c>
      <c r="G15260" s="8" t="str">
        <f t="shared" si="1"/>
        <v/>
      </c>
      <c r="H15260" s="14" t="str">
        <f t="shared" si="2"/>
        <v/>
      </c>
      <c r="I15260" s="15" t="str">
        <f t="shared" si="3"/>
        <v/>
      </c>
    </row>
    <row r="15261">
      <c r="A15261" s="8" t="str">
        <f>IFERROR(__xludf.DUMMYFUNCTION("IF('(INGESTA)Datos_consumo_datadis'!A16826&lt;&gt;"""",SPLIT('(INGESTA)Datos_consumo_datadis'!A:A,"",""),"""")"),"")</f>
        <v/>
      </c>
      <c r="G15261" s="8" t="str">
        <f t="shared" si="1"/>
        <v/>
      </c>
      <c r="H15261" s="14" t="str">
        <f t="shared" si="2"/>
        <v/>
      </c>
      <c r="I15261" s="15" t="str">
        <f t="shared" si="3"/>
        <v/>
      </c>
    </row>
    <row r="15262">
      <c r="A15262" s="8" t="str">
        <f>IFERROR(__xludf.DUMMYFUNCTION("IF('(INGESTA)Datos_consumo_datadis'!A16827&lt;&gt;"""",SPLIT('(INGESTA)Datos_consumo_datadis'!A:A,"",""),"""")"),"")</f>
        <v/>
      </c>
      <c r="G15262" s="8" t="str">
        <f t="shared" si="1"/>
        <v/>
      </c>
      <c r="H15262" s="14" t="str">
        <f t="shared" si="2"/>
        <v/>
      </c>
      <c r="I15262" s="15" t="str">
        <f t="shared" si="3"/>
        <v/>
      </c>
    </row>
    <row r="15263">
      <c r="A15263" s="8" t="str">
        <f>IFERROR(__xludf.DUMMYFUNCTION("IF('(INGESTA)Datos_consumo_datadis'!A16828&lt;&gt;"""",SPLIT('(INGESTA)Datos_consumo_datadis'!A:A,"",""),"""")"),"")</f>
        <v/>
      </c>
      <c r="G15263" s="8" t="str">
        <f t="shared" si="1"/>
        <v/>
      </c>
      <c r="H15263" s="14" t="str">
        <f t="shared" si="2"/>
        <v/>
      </c>
      <c r="I15263" s="15" t="str">
        <f t="shared" si="3"/>
        <v/>
      </c>
    </row>
    <row r="15264">
      <c r="A15264" s="8" t="str">
        <f>IFERROR(__xludf.DUMMYFUNCTION("IF('(INGESTA)Datos_consumo_datadis'!A16829&lt;&gt;"""",SPLIT('(INGESTA)Datos_consumo_datadis'!A:A,"",""),"""")"),"")</f>
        <v/>
      </c>
      <c r="G15264" s="8" t="str">
        <f t="shared" si="1"/>
        <v/>
      </c>
      <c r="H15264" s="14" t="str">
        <f t="shared" si="2"/>
        <v/>
      </c>
      <c r="I15264" s="15" t="str">
        <f t="shared" si="3"/>
        <v/>
      </c>
    </row>
    <row r="15265">
      <c r="A15265" s="8" t="str">
        <f>IFERROR(__xludf.DUMMYFUNCTION("IF('(INGESTA)Datos_consumo_datadis'!A16830&lt;&gt;"""",SPLIT('(INGESTA)Datos_consumo_datadis'!A:A,"",""),"""")"),"")</f>
        <v/>
      </c>
      <c r="G15265" s="8" t="str">
        <f t="shared" si="1"/>
        <v/>
      </c>
      <c r="H15265" s="14" t="str">
        <f t="shared" si="2"/>
        <v/>
      </c>
      <c r="I15265" s="15" t="str">
        <f t="shared" si="3"/>
        <v/>
      </c>
    </row>
    <row r="15266">
      <c r="A15266" s="8" t="str">
        <f>IFERROR(__xludf.DUMMYFUNCTION("IF('(INGESTA)Datos_consumo_datadis'!A16831&lt;&gt;"""",SPLIT('(INGESTA)Datos_consumo_datadis'!A:A,"",""),"""")"),"")</f>
        <v/>
      </c>
      <c r="G15266" s="8" t="str">
        <f t="shared" si="1"/>
        <v/>
      </c>
      <c r="H15266" s="14" t="str">
        <f t="shared" si="2"/>
        <v/>
      </c>
      <c r="I15266" s="15" t="str">
        <f t="shared" si="3"/>
        <v/>
      </c>
    </row>
    <row r="15267">
      <c r="A15267" s="8" t="str">
        <f>IFERROR(__xludf.DUMMYFUNCTION("IF('(INGESTA)Datos_consumo_datadis'!A16832&lt;&gt;"""",SPLIT('(INGESTA)Datos_consumo_datadis'!A:A,"",""),"""")"),"")</f>
        <v/>
      </c>
      <c r="G15267" s="8" t="str">
        <f t="shared" si="1"/>
        <v/>
      </c>
      <c r="H15267" s="14" t="str">
        <f t="shared" si="2"/>
        <v/>
      </c>
      <c r="I15267" s="15" t="str">
        <f t="shared" si="3"/>
        <v/>
      </c>
    </row>
    <row r="15268">
      <c r="A15268" s="8" t="str">
        <f>IFERROR(__xludf.DUMMYFUNCTION("IF('(INGESTA)Datos_consumo_datadis'!A16833&lt;&gt;"""",SPLIT('(INGESTA)Datos_consumo_datadis'!A:A,"",""),"""")"),"")</f>
        <v/>
      </c>
      <c r="G15268" s="8" t="str">
        <f t="shared" si="1"/>
        <v/>
      </c>
      <c r="H15268" s="14" t="str">
        <f t="shared" si="2"/>
        <v/>
      </c>
      <c r="I15268" s="15" t="str">
        <f t="shared" si="3"/>
        <v/>
      </c>
    </row>
    <row r="15269">
      <c r="A15269" s="8" t="str">
        <f>IFERROR(__xludf.DUMMYFUNCTION("IF('(INGESTA)Datos_consumo_datadis'!A16834&lt;&gt;"""",SPLIT('(INGESTA)Datos_consumo_datadis'!A:A,"",""),"""")"),"")</f>
        <v/>
      </c>
      <c r="G15269" s="8" t="str">
        <f t="shared" si="1"/>
        <v/>
      </c>
      <c r="H15269" s="14" t="str">
        <f t="shared" si="2"/>
        <v/>
      </c>
      <c r="I15269" s="15" t="str">
        <f t="shared" si="3"/>
        <v/>
      </c>
    </row>
    <row r="15270">
      <c r="A15270" s="8" t="str">
        <f>IFERROR(__xludf.DUMMYFUNCTION("IF('(INGESTA)Datos_consumo_datadis'!A16835&lt;&gt;"""",SPLIT('(INGESTA)Datos_consumo_datadis'!A:A,"",""),"""")"),"")</f>
        <v/>
      </c>
      <c r="G15270" s="8" t="str">
        <f t="shared" si="1"/>
        <v/>
      </c>
      <c r="H15270" s="14" t="str">
        <f t="shared" si="2"/>
        <v/>
      </c>
      <c r="I15270" s="15" t="str">
        <f t="shared" si="3"/>
        <v/>
      </c>
    </row>
    <row r="15271">
      <c r="A15271" s="8" t="str">
        <f>IFERROR(__xludf.DUMMYFUNCTION("IF('(INGESTA)Datos_consumo_datadis'!A16836&lt;&gt;"""",SPLIT('(INGESTA)Datos_consumo_datadis'!A:A,"",""),"""")"),"")</f>
        <v/>
      </c>
      <c r="G15271" s="8" t="str">
        <f t="shared" si="1"/>
        <v/>
      </c>
      <c r="H15271" s="14" t="str">
        <f t="shared" si="2"/>
        <v/>
      </c>
      <c r="I15271" s="15" t="str">
        <f t="shared" si="3"/>
        <v/>
      </c>
    </row>
    <row r="15272">
      <c r="A15272" s="8" t="str">
        <f>IFERROR(__xludf.DUMMYFUNCTION("IF('(INGESTA)Datos_consumo_datadis'!A16837&lt;&gt;"""",SPLIT('(INGESTA)Datos_consumo_datadis'!A:A,"",""),"""")"),"")</f>
        <v/>
      </c>
      <c r="G15272" s="8" t="str">
        <f t="shared" si="1"/>
        <v/>
      </c>
      <c r="H15272" s="14" t="str">
        <f t="shared" si="2"/>
        <v/>
      </c>
      <c r="I15272" s="15" t="str">
        <f t="shared" si="3"/>
        <v/>
      </c>
    </row>
    <row r="15273">
      <c r="A15273" s="8" t="str">
        <f>IFERROR(__xludf.DUMMYFUNCTION("IF('(INGESTA)Datos_consumo_datadis'!A16838&lt;&gt;"""",SPLIT('(INGESTA)Datos_consumo_datadis'!A:A,"",""),"""")"),"")</f>
        <v/>
      </c>
      <c r="G15273" s="8" t="str">
        <f t="shared" si="1"/>
        <v/>
      </c>
      <c r="H15273" s="14" t="str">
        <f t="shared" si="2"/>
        <v/>
      </c>
      <c r="I15273" s="15" t="str">
        <f t="shared" si="3"/>
        <v/>
      </c>
    </row>
    <row r="15274">
      <c r="A15274" s="8" t="str">
        <f>IFERROR(__xludf.DUMMYFUNCTION("IF('(INGESTA)Datos_consumo_datadis'!A16839&lt;&gt;"""",SPLIT('(INGESTA)Datos_consumo_datadis'!A:A,"",""),"""")"),"")</f>
        <v/>
      </c>
      <c r="G15274" s="8" t="str">
        <f t="shared" si="1"/>
        <v/>
      </c>
      <c r="H15274" s="14" t="str">
        <f t="shared" si="2"/>
        <v/>
      </c>
      <c r="I15274" s="15" t="str">
        <f t="shared" si="3"/>
        <v/>
      </c>
    </row>
    <row r="15275">
      <c r="A15275" s="8" t="str">
        <f>IFERROR(__xludf.DUMMYFUNCTION("IF('(INGESTA)Datos_consumo_datadis'!A16840&lt;&gt;"""",SPLIT('(INGESTA)Datos_consumo_datadis'!A:A,"",""),"""")"),"")</f>
        <v/>
      </c>
      <c r="G15275" s="8" t="str">
        <f t="shared" si="1"/>
        <v/>
      </c>
      <c r="H15275" s="14" t="str">
        <f t="shared" si="2"/>
        <v/>
      </c>
      <c r="I15275" s="15" t="str">
        <f t="shared" si="3"/>
        <v/>
      </c>
    </row>
    <row r="15276">
      <c r="A15276" s="8" t="str">
        <f>IFERROR(__xludf.DUMMYFUNCTION("IF('(INGESTA)Datos_consumo_datadis'!A16841&lt;&gt;"""",SPLIT('(INGESTA)Datos_consumo_datadis'!A:A,"",""),"""")"),"")</f>
        <v/>
      </c>
      <c r="G15276" s="8" t="str">
        <f t="shared" si="1"/>
        <v/>
      </c>
      <c r="H15276" s="14" t="str">
        <f t="shared" si="2"/>
        <v/>
      </c>
      <c r="I15276" s="15" t="str">
        <f t="shared" si="3"/>
        <v/>
      </c>
    </row>
    <row r="15277">
      <c r="A15277" s="8" t="str">
        <f>IFERROR(__xludf.DUMMYFUNCTION("IF('(INGESTA)Datos_consumo_datadis'!A16842&lt;&gt;"""",SPLIT('(INGESTA)Datos_consumo_datadis'!A:A,"",""),"""")"),"")</f>
        <v/>
      </c>
      <c r="G15277" s="8" t="str">
        <f t="shared" si="1"/>
        <v/>
      </c>
      <c r="H15277" s="14" t="str">
        <f t="shared" si="2"/>
        <v/>
      </c>
      <c r="I15277" s="15" t="str">
        <f t="shared" si="3"/>
        <v/>
      </c>
    </row>
    <row r="15278">
      <c r="A15278" s="8" t="str">
        <f>IFERROR(__xludf.DUMMYFUNCTION("IF('(INGESTA)Datos_consumo_datadis'!A16843&lt;&gt;"""",SPLIT('(INGESTA)Datos_consumo_datadis'!A:A,"",""),"""")"),"")</f>
        <v/>
      </c>
      <c r="G15278" s="8" t="str">
        <f t="shared" si="1"/>
        <v/>
      </c>
      <c r="H15278" s="14" t="str">
        <f t="shared" si="2"/>
        <v/>
      </c>
      <c r="I15278" s="15" t="str">
        <f t="shared" si="3"/>
        <v/>
      </c>
    </row>
    <row r="15279">
      <c r="A15279" s="8" t="str">
        <f>IFERROR(__xludf.DUMMYFUNCTION("IF('(INGESTA)Datos_consumo_datadis'!A16844&lt;&gt;"""",SPLIT('(INGESTA)Datos_consumo_datadis'!A:A,"",""),"""")"),"")</f>
        <v/>
      </c>
      <c r="G15279" s="8" t="str">
        <f t="shared" si="1"/>
        <v/>
      </c>
      <c r="H15279" s="14" t="str">
        <f t="shared" si="2"/>
        <v/>
      </c>
      <c r="I15279" s="15" t="str">
        <f t="shared" si="3"/>
        <v/>
      </c>
    </row>
    <row r="15280">
      <c r="A15280" s="8" t="str">
        <f>IFERROR(__xludf.DUMMYFUNCTION("IF('(INGESTA)Datos_consumo_datadis'!A16845&lt;&gt;"""",SPLIT('(INGESTA)Datos_consumo_datadis'!A:A,"",""),"""")"),"")</f>
        <v/>
      </c>
      <c r="G15280" s="8" t="str">
        <f t="shared" si="1"/>
        <v/>
      </c>
      <c r="H15280" s="14" t="str">
        <f t="shared" si="2"/>
        <v/>
      </c>
      <c r="I15280" s="15" t="str">
        <f t="shared" si="3"/>
        <v/>
      </c>
    </row>
    <row r="15281">
      <c r="A15281" s="8" t="str">
        <f>IFERROR(__xludf.DUMMYFUNCTION("IF('(INGESTA)Datos_consumo_datadis'!A16846&lt;&gt;"""",SPLIT('(INGESTA)Datos_consumo_datadis'!A:A,"",""),"""")"),"")</f>
        <v/>
      </c>
      <c r="G15281" s="8" t="str">
        <f t="shared" si="1"/>
        <v/>
      </c>
      <c r="H15281" s="14" t="str">
        <f t="shared" si="2"/>
        <v/>
      </c>
      <c r="I15281" s="15" t="str">
        <f t="shared" si="3"/>
        <v/>
      </c>
    </row>
    <row r="15282">
      <c r="A15282" s="8" t="str">
        <f>IFERROR(__xludf.DUMMYFUNCTION("IF('(INGESTA)Datos_consumo_datadis'!A16847&lt;&gt;"""",SPLIT('(INGESTA)Datos_consumo_datadis'!A:A,"",""),"""")"),"")</f>
        <v/>
      </c>
      <c r="G15282" s="8" t="str">
        <f t="shared" si="1"/>
        <v/>
      </c>
      <c r="H15282" s="14" t="str">
        <f t="shared" si="2"/>
        <v/>
      </c>
      <c r="I15282" s="15" t="str">
        <f t="shared" si="3"/>
        <v/>
      </c>
    </row>
    <row r="15283">
      <c r="A15283" s="8" t="str">
        <f>IFERROR(__xludf.DUMMYFUNCTION("IF('(INGESTA)Datos_consumo_datadis'!A16848&lt;&gt;"""",SPLIT('(INGESTA)Datos_consumo_datadis'!A:A,"",""),"""")"),"")</f>
        <v/>
      </c>
      <c r="G15283" s="8" t="str">
        <f t="shared" si="1"/>
        <v/>
      </c>
      <c r="H15283" s="14" t="str">
        <f t="shared" si="2"/>
        <v/>
      </c>
      <c r="I15283" s="15" t="str">
        <f t="shared" si="3"/>
        <v/>
      </c>
    </row>
    <row r="15284">
      <c r="A15284" s="8" t="str">
        <f>IFERROR(__xludf.DUMMYFUNCTION("IF('(INGESTA)Datos_consumo_datadis'!A16849&lt;&gt;"""",SPLIT('(INGESTA)Datos_consumo_datadis'!A:A,"",""),"""")"),"")</f>
        <v/>
      </c>
      <c r="G15284" s="8" t="str">
        <f t="shared" si="1"/>
        <v/>
      </c>
      <c r="H15284" s="14" t="str">
        <f t="shared" si="2"/>
        <v/>
      </c>
      <c r="I15284" s="15" t="str">
        <f t="shared" si="3"/>
        <v/>
      </c>
    </row>
    <row r="15285">
      <c r="A15285" s="8" t="str">
        <f>IFERROR(__xludf.DUMMYFUNCTION("IF('(INGESTA)Datos_consumo_datadis'!A16850&lt;&gt;"""",SPLIT('(INGESTA)Datos_consumo_datadis'!A:A,"",""),"""")"),"")</f>
        <v/>
      </c>
      <c r="G15285" s="8" t="str">
        <f t="shared" si="1"/>
        <v/>
      </c>
      <c r="H15285" s="14" t="str">
        <f t="shared" si="2"/>
        <v/>
      </c>
      <c r="I15285" s="15" t="str">
        <f t="shared" si="3"/>
        <v/>
      </c>
    </row>
    <row r="15286">
      <c r="A15286" s="8" t="str">
        <f>IFERROR(__xludf.DUMMYFUNCTION("IF('(INGESTA)Datos_consumo_datadis'!A16851&lt;&gt;"""",SPLIT('(INGESTA)Datos_consumo_datadis'!A:A,"",""),"""")"),"")</f>
        <v/>
      </c>
      <c r="G15286" s="8" t="str">
        <f t="shared" si="1"/>
        <v/>
      </c>
      <c r="H15286" s="14" t="str">
        <f t="shared" si="2"/>
        <v/>
      </c>
      <c r="I15286" s="15" t="str">
        <f t="shared" si="3"/>
        <v/>
      </c>
    </row>
    <row r="15287">
      <c r="A15287" s="8" t="str">
        <f>IFERROR(__xludf.DUMMYFUNCTION("IF('(INGESTA)Datos_consumo_datadis'!A16852&lt;&gt;"""",SPLIT('(INGESTA)Datos_consumo_datadis'!A:A,"",""),"""")"),"")</f>
        <v/>
      </c>
      <c r="G15287" s="8" t="str">
        <f t="shared" si="1"/>
        <v/>
      </c>
      <c r="H15287" s="14" t="str">
        <f t="shared" si="2"/>
        <v/>
      </c>
      <c r="I15287" s="15" t="str">
        <f t="shared" si="3"/>
        <v/>
      </c>
    </row>
    <row r="15288">
      <c r="A15288" s="8" t="str">
        <f>IFERROR(__xludf.DUMMYFUNCTION("IF('(INGESTA)Datos_consumo_datadis'!A16853&lt;&gt;"""",SPLIT('(INGESTA)Datos_consumo_datadis'!A:A,"",""),"""")"),"")</f>
        <v/>
      </c>
      <c r="G15288" s="8" t="str">
        <f t="shared" si="1"/>
        <v/>
      </c>
      <c r="H15288" s="14" t="str">
        <f t="shared" si="2"/>
        <v/>
      </c>
      <c r="I15288" s="15" t="str">
        <f t="shared" si="3"/>
        <v/>
      </c>
    </row>
    <row r="15289">
      <c r="A15289" s="8" t="str">
        <f>IFERROR(__xludf.DUMMYFUNCTION("IF('(INGESTA)Datos_consumo_datadis'!A16854&lt;&gt;"""",SPLIT('(INGESTA)Datos_consumo_datadis'!A:A,"",""),"""")"),"")</f>
        <v/>
      </c>
      <c r="G15289" s="8" t="str">
        <f t="shared" si="1"/>
        <v/>
      </c>
      <c r="H15289" s="14" t="str">
        <f t="shared" si="2"/>
        <v/>
      </c>
      <c r="I15289" s="15" t="str">
        <f t="shared" si="3"/>
        <v/>
      </c>
    </row>
    <row r="15290">
      <c r="A15290" s="8" t="str">
        <f>IFERROR(__xludf.DUMMYFUNCTION("IF('(INGESTA)Datos_consumo_datadis'!A16855&lt;&gt;"""",SPLIT('(INGESTA)Datos_consumo_datadis'!A:A,"",""),"""")"),"")</f>
        <v/>
      </c>
      <c r="G15290" s="8" t="str">
        <f t="shared" si="1"/>
        <v/>
      </c>
      <c r="H15290" s="14" t="str">
        <f t="shared" si="2"/>
        <v/>
      </c>
      <c r="I15290" s="15" t="str">
        <f t="shared" si="3"/>
        <v/>
      </c>
    </row>
    <row r="15291">
      <c r="A15291" s="8" t="str">
        <f>IFERROR(__xludf.DUMMYFUNCTION("IF('(INGESTA)Datos_consumo_datadis'!A16856&lt;&gt;"""",SPLIT('(INGESTA)Datos_consumo_datadis'!A:A,"",""),"""")"),"")</f>
        <v/>
      </c>
      <c r="G15291" s="8" t="str">
        <f t="shared" si="1"/>
        <v/>
      </c>
      <c r="H15291" s="14" t="str">
        <f t="shared" si="2"/>
        <v/>
      </c>
      <c r="I15291" s="15" t="str">
        <f t="shared" si="3"/>
        <v/>
      </c>
    </row>
    <row r="15292">
      <c r="A15292" s="8" t="str">
        <f>IFERROR(__xludf.DUMMYFUNCTION("IF('(INGESTA)Datos_consumo_datadis'!A16857&lt;&gt;"""",SPLIT('(INGESTA)Datos_consumo_datadis'!A:A,"",""),"""")"),"")</f>
        <v/>
      </c>
      <c r="G15292" s="8" t="str">
        <f t="shared" si="1"/>
        <v/>
      </c>
      <c r="H15292" s="14" t="str">
        <f t="shared" si="2"/>
        <v/>
      </c>
      <c r="I15292" s="15" t="str">
        <f t="shared" si="3"/>
        <v/>
      </c>
    </row>
    <row r="15293">
      <c r="A15293" s="8" t="str">
        <f>IFERROR(__xludf.DUMMYFUNCTION("IF('(INGESTA)Datos_consumo_datadis'!A16858&lt;&gt;"""",SPLIT('(INGESTA)Datos_consumo_datadis'!A:A,"",""),"""")"),"")</f>
        <v/>
      </c>
      <c r="G15293" s="8" t="str">
        <f t="shared" si="1"/>
        <v/>
      </c>
      <c r="H15293" s="14" t="str">
        <f t="shared" si="2"/>
        <v/>
      </c>
      <c r="I15293" s="15" t="str">
        <f t="shared" si="3"/>
        <v/>
      </c>
    </row>
    <row r="15294">
      <c r="A15294" s="8" t="str">
        <f>IFERROR(__xludf.DUMMYFUNCTION("IF('(INGESTA)Datos_consumo_datadis'!A16859&lt;&gt;"""",SPLIT('(INGESTA)Datos_consumo_datadis'!A:A,"",""),"""")"),"")</f>
        <v/>
      </c>
      <c r="G15294" s="8" t="str">
        <f t="shared" si="1"/>
        <v/>
      </c>
      <c r="H15294" s="14" t="str">
        <f t="shared" si="2"/>
        <v/>
      </c>
      <c r="I15294" s="15" t="str">
        <f t="shared" si="3"/>
        <v/>
      </c>
    </row>
    <row r="15295">
      <c r="A15295" s="8" t="str">
        <f>IFERROR(__xludf.DUMMYFUNCTION("IF('(INGESTA)Datos_consumo_datadis'!A16860&lt;&gt;"""",SPLIT('(INGESTA)Datos_consumo_datadis'!A:A,"",""),"""")"),"")</f>
        <v/>
      </c>
      <c r="G15295" s="8" t="str">
        <f t="shared" si="1"/>
        <v/>
      </c>
      <c r="H15295" s="14" t="str">
        <f t="shared" si="2"/>
        <v/>
      </c>
      <c r="I15295" s="15" t="str">
        <f t="shared" si="3"/>
        <v/>
      </c>
    </row>
    <row r="15296">
      <c r="A15296" s="8" t="str">
        <f>IFERROR(__xludf.DUMMYFUNCTION("IF('(INGESTA)Datos_consumo_datadis'!A16861&lt;&gt;"""",SPLIT('(INGESTA)Datos_consumo_datadis'!A:A,"",""),"""")"),"")</f>
        <v/>
      </c>
      <c r="G15296" s="8" t="str">
        <f t="shared" si="1"/>
        <v/>
      </c>
      <c r="H15296" s="14" t="str">
        <f t="shared" si="2"/>
        <v/>
      </c>
      <c r="I15296" s="15" t="str">
        <f t="shared" si="3"/>
        <v/>
      </c>
    </row>
    <row r="15297">
      <c r="A15297" s="8" t="str">
        <f>IFERROR(__xludf.DUMMYFUNCTION("IF('(INGESTA)Datos_consumo_datadis'!A16862&lt;&gt;"""",SPLIT('(INGESTA)Datos_consumo_datadis'!A:A,"",""),"""")"),"")</f>
        <v/>
      </c>
      <c r="G15297" s="8" t="str">
        <f t="shared" si="1"/>
        <v/>
      </c>
      <c r="H15297" s="14" t="str">
        <f t="shared" si="2"/>
        <v/>
      </c>
      <c r="I15297" s="15" t="str">
        <f t="shared" si="3"/>
        <v/>
      </c>
    </row>
    <row r="15298">
      <c r="A15298" s="8" t="str">
        <f>IFERROR(__xludf.DUMMYFUNCTION("IF('(INGESTA)Datos_consumo_datadis'!A16863&lt;&gt;"""",SPLIT('(INGESTA)Datos_consumo_datadis'!A:A,"",""),"""")"),"")</f>
        <v/>
      </c>
      <c r="G15298" s="8" t="str">
        <f t="shared" si="1"/>
        <v/>
      </c>
      <c r="H15298" s="14" t="str">
        <f t="shared" si="2"/>
        <v/>
      </c>
      <c r="I15298" s="15" t="str">
        <f t="shared" si="3"/>
        <v/>
      </c>
    </row>
    <row r="15299">
      <c r="A15299" s="8" t="str">
        <f>IFERROR(__xludf.DUMMYFUNCTION("IF('(INGESTA)Datos_consumo_datadis'!A16864&lt;&gt;"""",SPLIT('(INGESTA)Datos_consumo_datadis'!A:A,"",""),"""")"),"")</f>
        <v/>
      </c>
      <c r="G15299" s="8" t="str">
        <f t="shared" si="1"/>
        <v/>
      </c>
      <c r="H15299" s="14" t="str">
        <f t="shared" si="2"/>
        <v/>
      </c>
      <c r="I15299" s="15" t="str">
        <f t="shared" si="3"/>
        <v/>
      </c>
    </row>
    <row r="15300">
      <c r="A15300" s="8" t="str">
        <f>IFERROR(__xludf.DUMMYFUNCTION("IF('(INGESTA)Datos_consumo_datadis'!A16865&lt;&gt;"""",SPLIT('(INGESTA)Datos_consumo_datadis'!A:A,"",""),"""")"),"")</f>
        <v/>
      </c>
      <c r="G15300" s="8" t="str">
        <f t="shared" si="1"/>
        <v/>
      </c>
      <c r="H15300" s="14" t="str">
        <f t="shared" si="2"/>
        <v/>
      </c>
      <c r="I15300" s="15" t="str">
        <f t="shared" si="3"/>
        <v/>
      </c>
    </row>
    <row r="15301">
      <c r="A15301" s="8" t="str">
        <f>IFERROR(__xludf.DUMMYFUNCTION("IF('(INGESTA)Datos_consumo_datadis'!A16866&lt;&gt;"""",SPLIT('(INGESTA)Datos_consumo_datadis'!A:A,"",""),"""")"),"")</f>
        <v/>
      </c>
      <c r="G15301" s="8" t="str">
        <f t="shared" si="1"/>
        <v/>
      </c>
      <c r="H15301" s="14" t="str">
        <f t="shared" si="2"/>
        <v/>
      </c>
      <c r="I15301" s="15" t="str">
        <f t="shared" si="3"/>
        <v/>
      </c>
    </row>
    <row r="15302">
      <c r="A15302" s="8" t="str">
        <f>IFERROR(__xludf.DUMMYFUNCTION("IF('(INGESTA)Datos_consumo_datadis'!A16867&lt;&gt;"""",SPLIT('(INGESTA)Datos_consumo_datadis'!A:A,"",""),"""")"),"")</f>
        <v/>
      </c>
      <c r="G15302" s="8" t="str">
        <f t="shared" si="1"/>
        <v/>
      </c>
      <c r="H15302" s="14" t="str">
        <f t="shared" si="2"/>
        <v/>
      </c>
      <c r="I15302" s="15" t="str">
        <f t="shared" si="3"/>
        <v/>
      </c>
    </row>
    <row r="15303">
      <c r="A15303" s="8" t="str">
        <f>IFERROR(__xludf.DUMMYFUNCTION("IF('(INGESTA)Datos_consumo_datadis'!A16868&lt;&gt;"""",SPLIT('(INGESTA)Datos_consumo_datadis'!A:A,"",""),"""")"),"")</f>
        <v/>
      </c>
      <c r="G15303" s="8" t="str">
        <f t="shared" si="1"/>
        <v/>
      </c>
      <c r="H15303" s="14" t="str">
        <f t="shared" si="2"/>
        <v/>
      </c>
      <c r="I15303" s="15" t="str">
        <f t="shared" si="3"/>
        <v/>
      </c>
    </row>
    <row r="15304">
      <c r="A15304" s="8" t="str">
        <f>IFERROR(__xludf.DUMMYFUNCTION("IF('(INGESTA)Datos_consumo_datadis'!A16869&lt;&gt;"""",SPLIT('(INGESTA)Datos_consumo_datadis'!A:A,"",""),"""")"),"")</f>
        <v/>
      </c>
      <c r="G15304" s="8" t="str">
        <f t="shared" si="1"/>
        <v/>
      </c>
      <c r="H15304" s="14" t="str">
        <f t="shared" si="2"/>
        <v/>
      </c>
      <c r="I15304" s="15" t="str">
        <f t="shared" si="3"/>
        <v/>
      </c>
    </row>
    <row r="15305">
      <c r="A15305" s="8" t="str">
        <f>IFERROR(__xludf.DUMMYFUNCTION("IF('(INGESTA)Datos_consumo_datadis'!A16870&lt;&gt;"""",SPLIT('(INGESTA)Datos_consumo_datadis'!A:A,"",""),"""")"),"")</f>
        <v/>
      </c>
      <c r="G15305" s="8" t="str">
        <f t="shared" si="1"/>
        <v/>
      </c>
      <c r="H15305" s="14" t="str">
        <f t="shared" si="2"/>
        <v/>
      </c>
      <c r="I15305" s="15" t="str">
        <f t="shared" si="3"/>
        <v/>
      </c>
    </row>
    <row r="15306">
      <c r="A15306" s="8" t="str">
        <f>IFERROR(__xludf.DUMMYFUNCTION("IF('(INGESTA)Datos_consumo_datadis'!A16871&lt;&gt;"""",SPLIT('(INGESTA)Datos_consumo_datadis'!A:A,"",""),"""")"),"")</f>
        <v/>
      </c>
      <c r="G15306" s="8" t="str">
        <f t="shared" si="1"/>
        <v/>
      </c>
      <c r="H15306" s="14" t="str">
        <f t="shared" si="2"/>
        <v/>
      </c>
      <c r="I15306" s="15" t="str">
        <f t="shared" si="3"/>
        <v/>
      </c>
    </row>
    <row r="15307">
      <c r="A15307" s="8" t="str">
        <f>IFERROR(__xludf.DUMMYFUNCTION("IF('(INGESTA)Datos_consumo_datadis'!A16872&lt;&gt;"""",SPLIT('(INGESTA)Datos_consumo_datadis'!A:A,"",""),"""")"),"")</f>
        <v/>
      </c>
      <c r="G15307" s="8" t="str">
        <f t="shared" si="1"/>
        <v/>
      </c>
      <c r="H15307" s="14" t="str">
        <f t="shared" si="2"/>
        <v/>
      </c>
      <c r="I15307" s="15" t="str">
        <f t="shared" si="3"/>
        <v/>
      </c>
    </row>
    <row r="15308">
      <c r="A15308" s="8" t="str">
        <f>IFERROR(__xludf.DUMMYFUNCTION("IF('(INGESTA)Datos_consumo_datadis'!A16873&lt;&gt;"""",SPLIT('(INGESTA)Datos_consumo_datadis'!A:A,"",""),"""")"),"")</f>
        <v/>
      </c>
      <c r="G15308" s="8" t="str">
        <f t="shared" si="1"/>
        <v/>
      </c>
      <c r="H15308" s="14" t="str">
        <f t="shared" si="2"/>
        <v/>
      </c>
      <c r="I15308" s="15" t="str">
        <f t="shared" si="3"/>
        <v/>
      </c>
    </row>
    <row r="15309">
      <c r="A15309" s="8" t="str">
        <f>IFERROR(__xludf.DUMMYFUNCTION("IF('(INGESTA)Datos_consumo_datadis'!A16874&lt;&gt;"""",SPLIT('(INGESTA)Datos_consumo_datadis'!A:A,"",""),"""")"),"")</f>
        <v/>
      </c>
      <c r="G15309" s="8" t="str">
        <f t="shared" si="1"/>
        <v/>
      </c>
      <c r="H15309" s="14" t="str">
        <f t="shared" si="2"/>
        <v/>
      </c>
      <c r="I15309" s="15" t="str">
        <f t="shared" si="3"/>
        <v/>
      </c>
    </row>
    <row r="15310">
      <c r="A15310" s="8" t="str">
        <f>IFERROR(__xludf.DUMMYFUNCTION("IF('(INGESTA)Datos_consumo_datadis'!A16875&lt;&gt;"""",SPLIT('(INGESTA)Datos_consumo_datadis'!A:A,"",""),"""")"),"")</f>
        <v/>
      </c>
      <c r="G15310" s="8" t="str">
        <f t="shared" si="1"/>
        <v/>
      </c>
      <c r="H15310" s="14" t="str">
        <f t="shared" si="2"/>
        <v/>
      </c>
      <c r="I15310" s="15" t="str">
        <f t="shared" si="3"/>
        <v/>
      </c>
    </row>
    <row r="15311">
      <c r="A15311" s="8" t="str">
        <f>IFERROR(__xludf.DUMMYFUNCTION("IF('(INGESTA)Datos_consumo_datadis'!A16876&lt;&gt;"""",SPLIT('(INGESTA)Datos_consumo_datadis'!A:A,"",""),"""")"),"")</f>
        <v/>
      </c>
      <c r="G15311" s="8" t="str">
        <f t="shared" si="1"/>
        <v/>
      </c>
      <c r="H15311" s="14" t="str">
        <f t="shared" si="2"/>
        <v/>
      </c>
      <c r="I15311" s="15" t="str">
        <f t="shared" si="3"/>
        <v/>
      </c>
    </row>
    <row r="15312">
      <c r="A15312" s="8" t="str">
        <f>IFERROR(__xludf.DUMMYFUNCTION("IF('(INGESTA)Datos_consumo_datadis'!A16877&lt;&gt;"""",SPLIT('(INGESTA)Datos_consumo_datadis'!A:A,"",""),"""")"),"")</f>
        <v/>
      </c>
      <c r="G15312" s="8" t="str">
        <f t="shared" si="1"/>
        <v/>
      </c>
      <c r="H15312" s="14" t="str">
        <f t="shared" si="2"/>
        <v/>
      </c>
      <c r="I15312" s="15" t="str">
        <f t="shared" si="3"/>
        <v/>
      </c>
    </row>
    <row r="15313">
      <c r="A15313" s="8" t="str">
        <f>IFERROR(__xludf.DUMMYFUNCTION("IF('(INGESTA)Datos_consumo_datadis'!A16878&lt;&gt;"""",SPLIT('(INGESTA)Datos_consumo_datadis'!A:A,"",""),"""")"),"")</f>
        <v/>
      </c>
      <c r="G15313" s="8" t="str">
        <f t="shared" si="1"/>
        <v/>
      </c>
      <c r="H15313" s="14" t="str">
        <f t="shared" si="2"/>
        <v/>
      </c>
      <c r="I15313" s="15" t="str">
        <f t="shared" si="3"/>
        <v/>
      </c>
    </row>
    <row r="15314">
      <c r="A15314" s="8" t="str">
        <f>IFERROR(__xludf.DUMMYFUNCTION("IF('(INGESTA)Datos_consumo_datadis'!A16879&lt;&gt;"""",SPLIT('(INGESTA)Datos_consumo_datadis'!A:A,"",""),"""")"),"")</f>
        <v/>
      </c>
      <c r="G15314" s="8" t="str">
        <f t="shared" si="1"/>
        <v/>
      </c>
      <c r="H15314" s="14" t="str">
        <f t="shared" si="2"/>
        <v/>
      </c>
      <c r="I15314" s="15" t="str">
        <f t="shared" si="3"/>
        <v/>
      </c>
    </row>
    <row r="15315">
      <c r="A15315" s="8" t="str">
        <f>IFERROR(__xludf.DUMMYFUNCTION("IF('(INGESTA)Datos_consumo_datadis'!A16880&lt;&gt;"""",SPLIT('(INGESTA)Datos_consumo_datadis'!A:A,"",""),"""")"),"")</f>
        <v/>
      </c>
      <c r="G15315" s="8" t="str">
        <f t="shared" si="1"/>
        <v/>
      </c>
      <c r="H15315" s="14" t="str">
        <f t="shared" si="2"/>
        <v/>
      </c>
      <c r="I15315" s="15" t="str">
        <f t="shared" si="3"/>
        <v/>
      </c>
    </row>
    <row r="15316">
      <c r="A15316" s="8" t="str">
        <f>IFERROR(__xludf.DUMMYFUNCTION("IF('(INGESTA)Datos_consumo_datadis'!A16881&lt;&gt;"""",SPLIT('(INGESTA)Datos_consumo_datadis'!A:A,"",""),"""")"),"")</f>
        <v/>
      </c>
      <c r="G15316" s="8" t="str">
        <f t="shared" si="1"/>
        <v/>
      </c>
      <c r="H15316" s="14" t="str">
        <f t="shared" si="2"/>
        <v/>
      </c>
      <c r="I15316" s="15" t="str">
        <f t="shared" si="3"/>
        <v/>
      </c>
    </row>
    <row r="15317">
      <c r="A15317" s="8" t="str">
        <f>IFERROR(__xludf.DUMMYFUNCTION("IF('(INGESTA)Datos_consumo_datadis'!A16882&lt;&gt;"""",SPLIT('(INGESTA)Datos_consumo_datadis'!A:A,"",""),"""")"),"")</f>
        <v/>
      </c>
      <c r="G15317" s="8" t="str">
        <f t="shared" si="1"/>
        <v/>
      </c>
      <c r="H15317" s="14" t="str">
        <f t="shared" si="2"/>
        <v/>
      </c>
      <c r="I15317" s="15" t="str">
        <f t="shared" si="3"/>
        <v/>
      </c>
    </row>
    <row r="15318">
      <c r="A15318" s="8" t="str">
        <f>IFERROR(__xludf.DUMMYFUNCTION("IF('(INGESTA)Datos_consumo_datadis'!A16883&lt;&gt;"""",SPLIT('(INGESTA)Datos_consumo_datadis'!A:A,"",""),"""")"),"")</f>
        <v/>
      </c>
      <c r="G15318" s="8" t="str">
        <f t="shared" si="1"/>
        <v/>
      </c>
      <c r="H15318" s="14" t="str">
        <f t="shared" si="2"/>
        <v/>
      </c>
      <c r="I15318" s="15" t="str">
        <f t="shared" si="3"/>
        <v/>
      </c>
    </row>
    <row r="15319">
      <c r="A15319" s="8" t="str">
        <f>IFERROR(__xludf.DUMMYFUNCTION("IF('(INGESTA)Datos_consumo_datadis'!A16884&lt;&gt;"""",SPLIT('(INGESTA)Datos_consumo_datadis'!A:A,"",""),"""")"),"")</f>
        <v/>
      </c>
      <c r="G15319" s="8" t="str">
        <f t="shared" si="1"/>
        <v/>
      </c>
      <c r="H15319" s="14" t="str">
        <f t="shared" si="2"/>
        <v/>
      </c>
      <c r="I15319" s="15" t="str">
        <f t="shared" si="3"/>
        <v/>
      </c>
    </row>
    <row r="15320">
      <c r="A15320" s="8" t="str">
        <f>IFERROR(__xludf.DUMMYFUNCTION("IF('(INGESTA)Datos_consumo_datadis'!A16885&lt;&gt;"""",SPLIT('(INGESTA)Datos_consumo_datadis'!A:A,"",""),"""")"),"")</f>
        <v/>
      </c>
      <c r="G15320" s="8" t="str">
        <f t="shared" si="1"/>
        <v/>
      </c>
      <c r="H15320" s="14" t="str">
        <f t="shared" si="2"/>
        <v/>
      </c>
      <c r="I15320" s="15" t="str">
        <f t="shared" si="3"/>
        <v/>
      </c>
    </row>
    <row r="15321">
      <c r="A15321" s="8" t="str">
        <f>IFERROR(__xludf.DUMMYFUNCTION("IF('(INGESTA)Datos_consumo_datadis'!A16886&lt;&gt;"""",SPLIT('(INGESTA)Datos_consumo_datadis'!A:A,"",""),"""")"),"")</f>
        <v/>
      </c>
      <c r="G15321" s="8" t="str">
        <f t="shared" si="1"/>
        <v/>
      </c>
      <c r="H15321" s="14" t="str">
        <f t="shared" si="2"/>
        <v/>
      </c>
      <c r="I15321" s="15" t="str">
        <f t="shared" si="3"/>
        <v/>
      </c>
    </row>
    <row r="15322">
      <c r="A15322" s="8" t="str">
        <f>IFERROR(__xludf.DUMMYFUNCTION("IF('(INGESTA)Datos_consumo_datadis'!A16887&lt;&gt;"""",SPLIT('(INGESTA)Datos_consumo_datadis'!A:A,"",""),"""")"),"")</f>
        <v/>
      </c>
      <c r="G15322" s="8" t="str">
        <f t="shared" si="1"/>
        <v/>
      </c>
      <c r="H15322" s="14" t="str">
        <f t="shared" si="2"/>
        <v/>
      </c>
      <c r="I15322" s="15" t="str">
        <f t="shared" si="3"/>
        <v/>
      </c>
    </row>
    <row r="15323">
      <c r="A15323" s="8" t="str">
        <f>IFERROR(__xludf.DUMMYFUNCTION("IF('(INGESTA)Datos_consumo_datadis'!A16888&lt;&gt;"""",SPLIT('(INGESTA)Datos_consumo_datadis'!A:A,"",""),"""")"),"")</f>
        <v/>
      </c>
      <c r="G15323" s="8" t="str">
        <f t="shared" si="1"/>
        <v/>
      </c>
      <c r="H15323" s="14" t="str">
        <f t="shared" si="2"/>
        <v/>
      </c>
      <c r="I15323" s="15" t="str">
        <f t="shared" si="3"/>
        <v/>
      </c>
    </row>
    <row r="15324">
      <c r="A15324" s="8" t="str">
        <f>IFERROR(__xludf.DUMMYFUNCTION("IF('(INGESTA)Datos_consumo_datadis'!A16889&lt;&gt;"""",SPLIT('(INGESTA)Datos_consumo_datadis'!A:A,"",""),"""")"),"")</f>
        <v/>
      </c>
      <c r="G15324" s="8" t="str">
        <f t="shared" si="1"/>
        <v/>
      </c>
      <c r="H15324" s="14" t="str">
        <f t="shared" si="2"/>
        <v/>
      </c>
      <c r="I15324" s="15" t="str">
        <f t="shared" si="3"/>
        <v/>
      </c>
    </row>
    <row r="15325">
      <c r="A15325" s="8" t="str">
        <f>IFERROR(__xludf.DUMMYFUNCTION("IF('(INGESTA)Datos_consumo_datadis'!A16890&lt;&gt;"""",SPLIT('(INGESTA)Datos_consumo_datadis'!A:A,"",""),"""")"),"")</f>
        <v/>
      </c>
      <c r="G15325" s="8" t="str">
        <f t="shared" si="1"/>
        <v/>
      </c>
      <c r="H15325" s="14" t="str">
        <f t="shared" si="2"/>
        <v/>
      </c>
      <c r="I15325" s="15" t="str">
        <f t="shared" si="3"/>
        <v/>
      </c>
    </row>
    <row r="15326">
      <c r="A15326" s="8" t="str">
        <f>IFERROR(__xludf.DUMMYFUNCTION("IF('(INGESTA)Datos_consumo_datadis'!A16891&lt;&gt;"""",SPLIT('(INGESTA)Datos_consumo_datadis'!A:A,"",""),"""")"),"")</f>
        <v/>
      </c>
      <c r="G15326" s="8" t="str">
        <f t="shared" si="1"/>
        <v/>
      </c>
      <c r="H15326" s="14" t="str">
        <f t="shared" si="2"/>
        <v/>
      </c>
      <c r="I15326" s="15" t="str">
        <f t="shared" si="3"/>
        <v/>
      </c>
    </row>
    <row r="15327">
      <c r="A15327" s="8" t="str">
        <f>IFERROR(__xludf.DUMMYFUNCTION("IF('(INGESTA)Datos_consumo_datadis'!A16892&lt;&gt;"""",SPLIT('(INGESTA)Datos_consumo_datadis'!A:A,"",""),"""")"),"")</f>
        <v/>
      </c>
      <c r="G15327" s="8" t="str">
        <f t="shared" si="1"/>
        <v/>
      </c>
      <c r="H15327" s="14" t="str">
        <f t="shared" si="2"/>
        <v/>
      </c>
      <c r="I15327" s="15" t="str">
        <f t="shared" si="3"/>
        <v/>
      </c>
    </row>
    <row r="15328">
      <c r="A15328" s="8" t="str">
        <f>IFERROR(__xludf.DUMMYFUNCTION("IF('(INGESTA)Datos_consumo_datadis'!A16893&lt;&gt;"""",SPLIT('(INGESTA)Datos_consumo_datadis'!A:A,"",""),"""")"),"")</f>
        <v/>
      </c>
      <c r="G15328" s="8" t="str">
        <f t="shared" si="1"/>
        <v/>
      </c>
      <c r="H15328" s="14" t="str">
        <f t="shared" si="2"/>
        <v/>
      </c>
      <c r="I15328" s="15" t="str">
        <f t="shared" si="3"/>
        <v/>
      </c>
    </row>
    <row r="15329">
      <c r="A15329" s="8" t="str">
        <f>IFERROR(__xludf.DUMMYFUNCTION("IF('(INGESTA)Datos_consumo_datadis'!A16894&lt;&gt;"""",SPLIT('(INGESTA)Datos_consumo_datadis'!A:A,"",""),"""")"),"")</f>
        <v/>
      </c>
      <c r="G15329" s="8" t="str">
        <f t="shared" si="1"/>
        <v/>
      </c>
      <c r="H15329" s="14" t="str">
        <f t="shared" si="2"/>
        <v/>
      </c>
      <c r="I15329" s="15" t="str">
        <f t="shared" si="3"/>
        <v/>
      </c>
    </row>
    <row r="15330">
      <c r="A15330" s="8" t="str">
        <f>IFERROR(__xludf.DUMMYFUNCTION("IF('(INGESTA)Datos_consumo_datadis'!A16895&lt;&gt;"""",SPLIT('(INGESTA)Datos_consumo_datadis'!A:A,"",""),"""")"),"")</f>
        <v/>
      </c>
      <c r="G15330" s="8" t="str">
        <f t="shared" si="1"/>
        <v/>
      </c>
      <c r="H15330" s="14" t="str">
        <f t="shared" si="2"/>
        <v/>
      </c>
      <c r="I15330" s="15" t="str">
        <f t="shared" si="3"/>
        <v/>
      </c>
    </row>
    <row r="15331">
      <c r="A15331" s="8" t="str">
        <f>IFERROR(__xludf.DUMMYFUNCTION("IF('(INGESTA)Datos_consumo_datadis'!A16896&lt;&gt;"""",SPLIT('(INGESTA)Datos_consumo_datadis'!A:A,"",""),"""")"),"")</f>
        <v/>
      </c>
      <c r="G15331" s="8" t="str">
        <f t="shared" si="1"/>
        <v/>
      </c>
      <c r="H15331" s="14" t="str">
        <f t="shared" si="2"/>
        <v/>
      </c>
      <c r="I15331" s="15" t="str">
        <f t="shared" si="3"/>
        <v/>
      </c>
    </row>
    <row r="15332">
      <c r="A15332" s="8" t="str">
        <f>IFERROR(__xludf.DUMMYFUNCTION("IF('(INGESTA)Datos_consumo_datadis'!A16897&lt;&gt;"""",SPLIT('(INGESTA)Datos_consumo_datadis'!A:A,"",""),"""")"),"")</f>
        <v/>
      </c>
      <c r="G15332" s="8" t="str">
        <f t="shared" si="1"/>
        <v/>
      </c>
      <c r="H15332" s="14" t="str">
        <f t="shared" si="2"/>
        <v/>
      </c>
      <c r="I15332" s="15" t="str">
        <f t="shared" si="3"/>
        <v/>
      </c>
    </row>
    <row r="15333">
      <c r="A15333" s="8" t="str">
        <f>IFERROR(__xludf.DUMMYFUNCTION("IF('(INGESTA)Datos_consumo_datadis'!A16898&lt;&gt;"""",SPLIT('(INGESTA)Datos_consumo_datadis'!A:A,"",""),"""")"),"")</f>
        <v/>
      </c>
      <c r="G15333" s="8" t="str">
        <f t="shared" si="1"/>
        <v/>
      </c>
      <c r="H15333" s="14" t="str">
        <f t="shared" si="2"/>
        <v/>
      </c>
      <c r="I15333" s="15" t="str">
        <f t="shared" si="3"/>
        <v/>
      </c>
    </row>
    <row r="15334">
      <c r="A15334" s="8" t="str">
        <f>IFERROR(__xludf.DUMMYFUNCTION("IF('(INGESTA)Datos_consumo_datadis'!A16899&lt;&gt;"""",SPLIT('(INGESTA)Datos_consumo_datadis'!A:A,"",""),"""")"),"")</f>
        <v/>
      </c>
      <c r="G15334" s="8" t="str">
        <f t="shared" si="1"/>
        <v/>
      </c>
      <c r="H15334" s="14" t="str">
        <f t="shared" si="2"/>
        <v/>
      </c>
      <c r="I15334" s="15" t="str">
        <f t="shared" si="3"/>
        <v/>
      </c>
    </row>
    <row r="15335">
      <c r="A15335" s="8" t="str">
        <f>IFERROR(__xludf.DUMMYFUNCTION("IF('(INGESTA)Datos_consumo_datadis'!A16900&lt;&gt;"""",SPLIT('(INGESTA)Datos_consumo_datadis'!A:A,"",""),"""")"),"")</f>
        <v/>
      </c>
      <c r="G15335" s="8" t="str">
        <f t="shared" si="1"/>
        <v/>
      </c>
      <c r="H15335" s="14" t="str">
        <f t="shared" si="2"/>
        <v/>
      </c>
      <c r="I15335" s="15" t="str">
        <f t="shared" si="3"/>
        <v/>
      </c>
    </row>
    <row r="15336">
      <c r="A15336" s="8" t="str">
        <f>IFERROR(__xludf.DUMMYFUNCTION("IF('(INGESTA)Datos_consumo_datadis'!A16901&lt;&gt;"""",SPLIT('(INGESTA)Datos_consumo_datadis'!A:A,"",""),"""")"),"")</f>
        <v/>
      </c>
      <c r="G15336" s="8" t="str">
        <f t="shared" si="1"/>
        <v/>
      </c>
      <c r="H15336" s="14" t="str">
        <f t="shared" si="2"/>
        <v/>
      </c>
      <c r="I15336" s="15" t="str">
        <f t="shared" si="3"/>
        <v/>
      </c>
    </row>
    <row r="15337">
      <c r="A15337" s="8" t="str">
        <f>IFERROR(__xludf.DUMMYFUNCTION("IF('(INGESTA)Datos_consumo_datadis'!A16902&lt;&gt;"""",SPLIT('(INGESTA)Datos_consumo_datadis'!A:A,"",""),"""")"),"")</f>
        <v/>
      </c>
      <c r="G15337" s="8" t="str">
        <f t="shared" si="1"/>
        <v/>
      </c>
      <c r="H15337" s="14" t="str">
        <f t="shared" si="2"/>
        <v/>
      </c>
      <c r="I15337" s="15" t="str">
        <f t="shared" si="3"/>
        <v/>
      </c>
    </row>
    <row r="15338">
      <c r="A15338" s="8" t="str">
        <f>IFERROR(__xludf.DUMMYFUNCTION("IF('(INGESTA)Datos_consumo_datadis'!A16903&lt;&gt;"""",SPLIT('(INGESTA)Datos_consumo_datadis'!A:A,"",""),"""")"),"")</f>
        <v/>
      </c>
      <c r="G15338" s="8" t="str">
        <f t="shared" si="1"/>
        <v/>
      </c>
      <c r="H15338" s="14" t="str">
        <f t="shared" si="2"/>
        <v/>
      </c>
      <c r="I15338" s="15" t="str">
        <f t="shared" si="3"/>
        <v/>
      </c>
    </row>
    <row r="15339">
      <c r="A15339" s="8" t="str">
        <f>IFERROR(__xludf.DUMMYFUNCTION("IF('(INGESTA)Datos_consumo_datadis'!A16904&lt;&gt;"""",SPLIT('(INGESTA)Datos_consumo_datadis'!A:A,"",""),"""")"),"")</f>
        <v/>
      </c>
      <c r="G15339" s="8" t="str">
        <f t="shared" si="1"/>
        <v/>
      </c>
      <c r="H15339" s="14" t="str">
        <f t="shared" si="2"/>
        <v/>
      </c>
      <c r="I15339" s="15" t="str">
        <f t="shared" si="3"/>
        <v/>
      </c>
    </row>
    <row r="15340">
      <c r="A15340" s="8" t="str">
        <f>IFERROR(__xludf.DUMMYFUNCTION("IF('(INGESTA)Datos_consumo_datadis'!A16905&lt;&gt;"""",SPLIT('(INGESTA)Datos_consumo_datadis'!A:A,"",""),"""")"),"")</f>
        <v/>
      </c>
      <c r="G15340" s="8" t="str">
        <f t="shared" si="1"/>
        <v/>
      </c>
      <c r="H15340" s="14" t="str">
        <f t="shared" si="2"/>
        <v/>
      </c>
      <c r="I15340" s="15" t="str">
        <f t="shared" si="3"/>
        <v/>
      </c>
    </row>
    <row r="15341">
      <c r="A15341" s="8" t="str">
        <f>IFERROR(__xludf.DUMMYFUNCTION("IF('(INGESTA)Datos_consumo_datadis'!A16906&lt;&gt;"""",SPLIT('(INGESTA)Datos_consumo_datadis'!A:A,"",""),"""")"),"")</f>
        <v/>
      </c>
      <c r="G15341" s="8" t="str">
        <f t="shared" si="1"/>
        <v/>
      </c>
      <c r="H15341" s="14" t="str">
        <f t="shared" si="2"/>
        <v/>
      </c>
      <c r="I15341" s="15" t="str">
        <f t="shared" si="3"/>
        <v/>
      </c>
    </row>
    <row r="15342">
      <c r="A15342" s="8" t="str">
        <f>IFERROR(__xludf.DUMMYFUNCTION("IF('(INGESTA)Datos_consumo_datadis'!A16907&lt;&gt;"""",SPLIT('(INGESTA)Datos_consumo_datadis'!A:A,"",""),"""")"),"")</f>
        <v/>
      </c>
      <c r="G15342" s="8" t="str">
        <f t="shared" si="1"/>
        <v/>
      </c>
      <c r="H15342" s="14" t="str">
        <f t="shared" si="2"/>
        <v/>
      </c>
      <c r="I15342" s="15" t="str">
        <f t="shared" si="3"/>
        <v/>
      </c>
    </row>
    <row r="15343">
      <c r="A15343" s="8" t="str">
        <f>IFERROR(__xludf.DUMMYFUNCTION("IF('(INGESTA)Datos_consumo_datadis'!A16908&lt;&gt;"""",SPLIT('(INGESTA)Datos_consumo_datadis'!A:A,"",""),"""")"),"")</f>
        <v/>
      </c>
      <c r="G15343" s="8" t="str">
        <f t="shared" si="1"/>
        <v/>
      </c>
      <c r="H15343" s="14" t="str">
        <f t="shared" si="2"/>
        <v/>
      </c>
      <c r="I15343" s="15" t="str">
        <f t="shared" si="3"/>
        <v/>
      </c>
    </row>
    <row r="15344">
      <c r="A15344" s="8" t="str">
        <f>IFERROR(__xludf.DUMMYFUNCTION("IF('(INGESTA)Datos_consumo_datadis'!A16909&lt;&gt;"""",SPLIT('(INGESTA)Datos_consumo_datadis'!A:A,"",""),"""")"),"")</f>
        <v/>
      </c>
      <c r="G15344" s="8" t="str">
        <f t="shared" si="1"/>
        <v/>
      </c>
      <c r="H15344" s="14" t="str">
        <f t="shared" si="2"/>
        <v/>
      </c>
      <c r="I15344" s="15" t="str">
        <f t="shared" si="3"/>
        <v/>
      </c>
    </row>
    <row r="15345">
      <c r="A15345" s="8" t="str">
        <f>IFERROR(__xludf.DUMMYFUNCTION("IF('(INGESTA)Datos_consumo_datadis'!A16910&lt;&gt;"""",SPLIT('(INGESTA)Datos_consumo_datadis'!A:A,"",""),"""")"),"")</f>
        <v/>
      </c>
      <c r="G15345" s="8" t="str">
        <f t="shared" si="1"/>
        <v/>
      </c>
      <c r="H15345" s="14" t="str">
        <f t="shared" si="2"/>
        <v/>
      </c>
      <c r="I15345" s="15" t="str">
        <f t="shared" si="3"/>
        <v/>
      </c>
    </row>
    <row r="15346">
      <c r="A15346" s="8" t="str">
        <f>IFERROR(__xludf.DUMMYFUNCTION("IF('(INGESTA)Datos_consumo_datadis'!A16911&lt;&gt;"""",SPLIT('(INGESTA)Datos_consumo_datadis'!A:A,"",""),"""")"),"")</f>
        <v/>
      </c>
      <c r="G15346" s="8" t="str">
        <f t="shared" si="1"/>
        <v/>
      </c>
      <c r="H15346" s="14" t="str">
        <f t="shared" si="2"/>
        <v/>
      </c>
      <c r="I15346" s="15" t="str">
        <f t="shared" si="3"/>
        <v/>
      </c>
    </row>
    <row r="15347">
      <c r="A15347" s="8" t="str">
        <f>IFERROR(__xludf.DUMMYFUNCTION("IF('(INGESTA)Datos_consumo_datadis'!A16912&lt;&gt;"""",SPLIT('(INGESTA)Datos_consumo_datadis'!A:A,"",""),"""")"),"")</f>
        <v/>
      </c>
      <c r="G15347" s="8" t="str">
        <f t="shared" si="1"/>
        <v/>
      </c>
      <c r="H15347" s="14" t="str">
        <f t="shared" si="2"/>
        <v/>
      </c>
      <c r="I15347" s="15" t="str">
        <f t="shared" si="3"/>
        <v/>
      </c>
    </row>
    <row r="15348">
      <c r="A15348" s="8" t="str">
        <f>IFERROR(__xludf.DUMMYFUNCTION("IF('(INGESTA)Datos_consumo_datadis'!A16913&lt;&gt;"""",SPLIT('(INGESTA)Datos_consumo_datadis'!A:A,"",""),"""")"),"")</f>
        <v/>
      </c>
      <c r="G15348" s="8" t="str">
        <f t="shared" si="1"/>
        <v/>
      </c>
      <c r="H15348" s="14" t="str">
        <f t="shared" si="2"/>
        <v/>
      </c>
      <c r="I15348" s="15" t="str">
        <f t="shared" si="3"/>
        <v/>
      </c>
    </row>
    <row r="15349">
      <c r="A15349" s="8" t="str">
        <f>IFERROR(__xludf.DUMMYFUNCTION("IF('(INGESTA)Datos_consumo_datadis'!A16914&lt;&gt;"""",SPLIT('(INGESTA)Datos_consumo_datadis'!A:A,"",""),"""")"),"")</f>
        <v/>
      </c>
      <c r="G15349" s="8" t="str">
        <f t="shared" si="1"/>
        <v/>
      </c>
      <c r="H15349" s="14" t="str">
        <f t="shared" si="2"/>
        <v/>
      </c>
      <c r="I15349" s="15" t="str">
        <f t="shared" si="3"/>
        <v/>
      </c>
    </row>
    <row r="15350">
      <c r="A15350" s="8" t="str">
        <f>IFERROR(__xludf.DUMMYFUNCTION("IF('(INGESTA)Datos_consumo_datadis'!A16915&lt;&gt;"""",SPLIT('(INGESTA)Datos_consumo_datadis'!A:A,"",""),"""")"),"")</f>
        <v/>
      </c>
      <c r="G15350" s="8" t="str">
        <f t="shared" si="1"/>
        <v/>
      </c>
      <c r="H15350" s="14" t="str">
        <f t="shared" si="2"/>
        <v/>
      </c>
      <c r="I15350" s="15" t="str">
        <f t="shared" si="3"/>
        <v/>
      </c>
    </row>
    <row r="15351">
      <c r="A15351" s="8" t="str">
        <f>IFERROR(__xludf.DUMMYFUNCTION("IF('(INGESTA)Datos_consumo_datadis'!A16916&lt;&gt;"""",SPLIT('(INGESTA)Datos_consumo_datadis'!A:A,"",""),"""")"),"")</f>
        <v/>
      </c>
      <c r="G15351" s="8" t="str">
        <f t="shared" si="1"/>
        <v/>
      </c>
      <c r="H15351" s="14" t="str">
        <f t="shared" si="2"/>
        <v/>
      </c>
      <c r="I15351" s="15" t="str">
        <f t="shared" si="3"/>
        <v/>
      </c>
    </row>
    <row r="15352">
      <c r="A15352" s="8" t="str">
        <f>IFERROR(__xludf.DUMMYFUNCTION("IF('(INGESTA)Datos_consumo_datadis'!A16917&lt;&gt;"""",SPLIT('(INGESTA)Datos_consumo_datadis'!A:A,"",""),"""")"),"")</f>
        <v/>
      </c>
      <c r="G15352" s="8" t="str">
        <f t="shared" si="1"/>
        <v/>
      </c>
      <c r="H15352" s="14" t="str">
        <f t="shared" si="2"/>
        <v/>
      </c>
      <c r="I15352" s="15" t="str">
        <f t="shared" si="3"/>
        <v/>
      </c>
    </row>
    <row r="15353">
      <c r="A15353" s="8" t="str">
        <f>IFERROR(__xludf.DUMMYFUNCTION("IF('(INGESTA)Datos_consumo_datadis'!A16918&lt;&gt;"""",SPLIT('(INGESTA)Datos_consumo_datadis'!A:A,"",""),"""")"),"")</f>
        <v/>
      </c>
      <c r="G15353" s="8" t="str">
        <f t="shared" si="1"/>
        <v/>
      </c>
      <c r="H15353" s="14" t="str">
        <f t="shared" si="2"/>
        <v/>
      </c>
      <c r="I15353" s="15" t="str">
        <f t="shared" si="3"/>
        <v/>
      </c>
    </row>
    <row r="15354">
      <c r="A15354" s="8" t="str">
        <f>IFERROR(__xludf.DUMMYFUNCTION("IF('(INGESTA)Datos_consumo_datadis'!A16919&lt;&gt;"""",SPLIT('(INGESTA)Datos_consumo_datadis'!A:A,"",""),"""")"),"")</f>
        <v/>
      </c>
      <c r="G15354" s="8" t="str">
        <f t="shared" si="1"/>
        <v/>
      </c>
      <c r="H15354" s="14" t="str">
        <f t="shared" si="2"/>
        <v/>
      </c>
      <c r="I15354" s="15" t="str">
        <f t="shared" si="3"/>
        <v/>
      </c>
    </row>
    <row r="15355">
      <c r="A15355" s="8" t="str">
        <f>IFERROR(__xludf.DUMMYFUNCTION("IF('(INGESTA)Datos_consumo_datadis'!A16920&lt;&gt;"""",SPLIT('(INGESTA)Datos_consumo_datadis'!A:A,"",""),"""")"),"")</f>
        <v/>
      </c>
      <c r="G15355" s="8" t="str">
        <f t="shared" si="1"/>
        <v/>
      </c>
      <c r="H15355" s="14" t="str">
        <f t="shared" si="2"/>
        <v/>
      </c>
      <c r="I15355" s="15" t="str">
        <f t="shared" si="3"/>
        <v/>
      </c>
    </row>
    <row r="15356">
      <c r="A15356" s="8" t="str">
        <f>IFERROR(__xludf.DUMMYFUNCTION("IF('(INGESTA)Datos_consumo_datadis'!A16921&lt;&gt;"""",SPLIT('(INGESTA)Datos_consumo_datadis'!A:A,"",""),"""")"),"")</f>
        <v/>
      </c>
      <c r="G15356" s="8" t="str">
        <f t="shared" si="1"/>
        <v/>
      </c>
      <c r="H15356" s="14" t="str">
        <f t="shared" si="2"/>
        <v/>
      </c>
      <c r="I15356" s="15" t="str">
        <f t="shared" si="3"/>
        <v/>
      </c>
    </row>
    <row r="15357">
      <c r="A15357" s="8" t="str">
        <f>IFERROR(__xludf.DUMMYFUNCTION("IF('(INGESTA)Datos_consumo_datadis'!A16922&lt;&gt;"""",SPLIT('(INGESTA)Datos_consumo_datadis'!A:A,"",""),"""")"),"")</f>
        <v/>
      </c>
      <c r="G15357" s="8" t="str">
        <f t="shared" si="1"/>
        <v/>
      </c>
      <c r="H15357" s="14" t="str">
        <f t="shared" si="2"/>
        <v/>
      </c>
      <c r="I15357" s="15" t="str">
        <f t="shared" si="3"/>
        <v/>
      </c>
    </row>
    <row r="15358">
      <c r="A15358" s="8" t="str">
        <f>IFERROR(__xludf.DUMMYFUNCTION("IF('(INGESTA)Datos_consumo_datadis'!A16923&lt;&gt;"""",SPLIT('(INGESTA)Datos_consumo_datadis'!A:A,"",""),"""")"),"")</f>
        <v/>
      </c>
      <c r="G15358" s="8" t="str">
        <f t="shared" si="1"/>
        <v/>
      </c>
      <c r="H15358" s="14" t="str">
        <f t="shared" si="2"/>
        <v/>
      </c>
      <c r="I15358" s="15" t="str">
        <f t="shared" si="3"/>
        <v/>
      </c>
    </row>
    <row r="15359">
      <c r="A15359" s="8" t="str">
        <f>IFERROR(__xludf.DUMMYFUNCTION("IF('(INGESTA)Datos_consumo_datadis'!A16924&lt;&gt;"""",SPLIT('(INGESTA)Datos_consumo_datadis'!A:A,"",""),"""")"),"")</f>
        <v/>
      </c>
      <c r="G15359" s="8" t="str">
        <f t="shared" si="1"/>
        <v/>
      </c>
      <c r="H15359" s="14" t="str">
        <f t="shared" si="2"/>
        <v/>
      </c>
      <c r="I15359" s="15" t="str">
        <f t="shared" si="3"/>
        <v/>
      </c>
    </row>
    <row r="15360">
      <c r="A15360" s="8" t="str">
        <f>IFERROR(__xludf.DUMMYFUNCTION("IF('(INGESTA)Datos_consumo_datadis'!A16925&lt;&gt;"""",SPLIT('(INGESTA)Datos_consumo_datadis'!A:A,"",""),"""")"),"")</f>
        <v/>
      </c>
      <c r="G15360" s="8" t="str">
        <f t="shared" si="1"/>
        <v/>
      </c>
      <c r="H15360" s="14" t="str">
        <f t="shared" si="2"/>
        <v/>
      </c>
      <c r="I15360" s="15" t="str">
        <f t="shared" si="3"/>
        <v/>
      </c>
    </row>
    <row r="15361">
      <c r="A15361" s="8" t="str">
        <f>IFERROR(__xludf.DUMMYFUNCTION("IF('(INGESTA)Datos_consumo_datadis'!A16926&lt;&gt;"""",SPLIT('(INGESTA)Datos_consumo_datadis'!A:A,"",""),"""")"),"")</f>
        <v/>
      </c>
      <c r="G15361" s="8" t="str">
        <f t="shared" si="1"/>
        <v/>
      </c>
      <c r="H15361" s="14" t="str">
        <f t="shared" si="2"/>
        <v/>
      </c>
      <c r="I15361" s="15" t="str">
        <f t="shared" si="3"/>
        <v/>
      </c>
    </row>
    <row r="15362">
      <c r="A15362" s="8" t="str">
        <f>IFERROR(__xludf.DUMMYFUNCTION("IF('(INGESTA)Datos_consumo_datadis'!A16927&lt;&gt;"""",SPLIT('(INGESTA)Datos_consumo_datadis'!A:A,"",""),"""")"),"")</f>
        <v/>
      </c>
      <c r="G15362" s="8" t="str">
        <f t="shared" si="1"/>
        <v/>
      </c>
      <c r="H15362" s="14" t="str">
        <f t="shared" si="2"/>
        <v/>
      </c>
      <c r="I15362" s="15" t="str">
        <f t="shared" si="3"/>
        <v/>
      </c>
    </row>
    <row r="15363">
      <c r="A15363" s="8" t="str">
        <f>IFERROR(__xludf.DUMMYFUNCTION("IF('(INGESTA)Datos_consumo_datadis'!A16928&lt;&gt;"""",SPLIT('(INGESTA)Datos_consumo_datadis'!A:A,"",""),"""")"),"")</f>
        <v/>
      </c>
      <c r="G15363" s="8" t="str">
        <f t="shared" si="1"/>
        <v/>
      </c>
      <c r="H15363" s="14" t="str">
        <f t="shared" si="2"/>
        <v/>
      </c>
      <c r="I15363" s="15" t="str">
        <f t="shared" si="3"/>
        <v/>
      </c>
    </row>
    <row r="15364">
      <c r="A15364" s="8" t="str">
        <f>IFERROR(__xludf.DUMMYFUNCTION("IF('(INGESTA)Datos_consumo_datadis'!A16929&lt;&gt;"""",SPLIT('(INGESTA)Datos_consumo_datadis'!A:A,"",""),"""")"),"")</f>
        <v/>
      </c>
      <c r="G15364" s="8" t="str">
        <f t="shared" si="1"/>
        <v/>
      </c>
      <c r="H15364" s="14" t="str">
        <f t="shared" si="2"/>
        <v/>
      </c>
      <c r="I15364" s="15" t="str">
        <f t="shared" si="3"/>
        <v/>
      </c>
    </row>
    <row r="15365">
      <c r="A15365" s="8" t="str">
        <f>IFERROR(__xludf.DUMMYFUNCTION("IF('(INGESTA)Datos_consumo_datadis'!A16930&lt;&gt;"""",SPLIT('(INGESTA)Datos_consumo_datadis'!A:A,"",""),"""")"),"")</f>
        <v/>
      </c>
      <c r="G15365" s="8" t="str">
        <f t="shared" si="1"/>
        <v/>
      </c>
      <c r="H15365" s="14" t="str">
        <f t="shared" si="2"/>
        <v/>
      </c>
      <c r="I15365" s="15" t="str">
        <f t="shared" si="3"/>
        <v/>
      </c>
    </row>
    <row r="15366">
      <c r="A15366" s="8" t="str">
        <f>IFERROR(__xludf.DUMMYFUNCTION("IF('(INGESTA)Datos_consumo_datadis'!A16931&lt;&gt;"""",SPLIT('(INGESTA)Datos_consumo_datadis'!A:A,"",""),"""")"),"")</f>
        <v/>
      </c>
      <c r="G15366" s="8" t="str">
        <f t="shared" si="1"/>
        <v/>
      </c>
      <c r="H15366" s="14" t="str">
        <f t="shared" si="2"/>
        <v/>
      </c>
      <c r="I15366" s="15" t="str">
        <f t="shared" si="3"/>
        <v/>
      </c>
    </row>
    <row r="15367">
      <c r="A15367" s="8" t="str">
        <f>IFERROR(__xludf.DUMMYFUNCTION("IF('(INGESTA)Datos_consumo_datadis'!A16932&lt;&gt;"""",SPLIT('(INGESTA)Datos_consumo_datadis'!A:A,"",""),"""")"),"")</f>
        <v/>
      </c>
      <c r="G15367" s="8" t="str">
        <f t="shared" si="1"/>
        <v/>
      </c>
      <c r="H15367" s="14" t="str">
        <f t="shared" si="2"/>
        <v/>
      </c>
      <c r="I15367" s="15" t="str">
        <f t="shared" si="3"/>
        <v/>
      </c>
    </row>
    <row r="15368">
      <c r="A15368" s="8" t="str">
        <f>IFERROR(__xludf.DUMMYFUNCTION("IF('(INGESTA)Datos_consumo_datadis'!A16933&lt;&gt;"""",SPLIT('(INGESTA)Datos_consumo_datadis'!A:A,"",""),"""")"),"")</f>
        <v/>
      </c>
      <c r="G15368" s="8" t="str">
        <f t="shared" si="1"/>
        <v/>
      </c>
      <c r="H15368" s="14" t="str">
        <f t="shared" si="2"/>
        <v/>
      </c>
      <c r="I15368" s="15" t="str">
        <f t="shared" si="3"/>
        <v/>
      </c>
    </row>
    <row r="15369">
      <c r="A15369" s="8" t="str">
        <f>IFERROR(__xludf.DUMMYFUNCTION("IF('(INGESTA)Datos_consumo_datadis'!A16934&lt;&gt;"""",SPLIT('(INGESTA)Datos_consumo_datadis'!A:A,"",""),"""")"),"")</f>
        <v/>
      </c>
      <c r="G15369" s="8" t="str">
        <f t="shared" si="1"/>
        <v/>
      </c>
      <c r="H15369" s="14" t="str">
        <f t="shared" si="2"/>
        <v/>
      </c>
      <c r="I15369" s="15" t="str">
        <f t="shared" si="3"/>
        <v/>
      </c>
    </row>
    <row r="15370">
      <c r="A15370" s="8" t="str">
        <f>IFERROR(__xludf.DUMMYFUNCTION("IF('(INGESTA)Datos_consumo_datadis'!A16935&lt;&gt;"""",SPLIT('(INGESTA)Datos_consumo_datadis'!A:A,"",""),"""")"),"")</f>
        <v/>
      </c>
      <c r="G15370" s="8" t="str">
        <f t="shared" si="1"/>
        <v/>
      </c>
      <c r="H15370" s="14" t="str">
        <f t="shared" si="2"/>
        <v/>
      </c>
      <c r="I15370" s="15" t="str">
        <f t="shared" si="3"/>
        <v/>
      </c>
    </row>
    <row r="15371">
      <c r="A15371" s="8" t="str">
        <f>IFERROR(__xludf.DUMMYFUNCTION("IF('(INGESTA)Datos_consumo_datadis'!A16936&lt;&gt;"""",SPLIT('(INGESTA)Datos_consumo_datadis'!A:A,"",""),"""")"),"")</f>
        <v/>
      </c>
      <c r="G15371" s="8" t="str">
        <f t="shared" si="1"/>
        <v/>
      </c>
      <c r="H15371" s="14" t="str">
        <f t="shared" si="2"/>
        <v/>
      </c>
      <c r="I15371" s="15" t="str">
        <f t="shared" si="3"/>
        <v/>
      </c>
    </row>
    <row r="15372">
      <c r="A15372" s="8" t="str">
        <f>IFERROR(__xludf.DUMMYFUNCTION("IF('(INGESTA)Datos_consumo_datadis'!A16937&lt;&gt;"""",SPLIT('(INGESTA)Datos_consumo_datadis'!A:A,"",""),"""")"),"")</f>
        <v/>
      </c>
      <c r="G15372" s="8" t="str">
        <f t="shared" si="1"/>
        <v/>
      </c>
      <c r="H15372" s="14" t="str">
        <f t="shared" si="2"/>
        <v/>
      </c>
      <c r="I15372" s="15" t="str">
        <f t="shared" si="3"/>
        <v/>
      </c>
    </row>
    <row r="15373">
      <c r="A15373" s="8" t="str">
        <f>IFERROR(__xludf.DUMMYFUNCTION("IF('(INGESTA)Datos_consumo_datadis'!A16938&lt;&gt;"""",SPLIT('(INGESTA)Datos_consumo_datadis'!A:A,"",""),"""")"),"")</f>
        <v/>
      </c>
      <c r="G15373" s="8" t="str">
        <f t="shared" si="1"/>
        <v/>
      </c>
      <c r="H15373" s="14" t="str">
        <f t="shared" si="2"/>
        <v/>
      </c>
      <c r="I15373" s="15" t="str">
        <f t="shared" si="3"/>
        <v/>
      </c>
    </row>
    <row r="15374">
      <c r="A15374" s="8" t="str">
        <f>IFERROR(__xludf.DUMMYFUNCTION("IF('(INGESTA)Datos_consumo_datadis'!A16939&lt;&gt;"""",SPLIT('(INGESTA)Datos_consumo_datadis'!A:A,"",""),"""")"),"")</f>
        <v/>
      </c>
      <c r="G15374" s="8" t="str">
        <f t="shared" si="1"/>
        <v/>
      </c>
      <c r="H15374" s="14" t="str">
        <f t="shared" si="2"/>
        <v/>
      </c>
      <c r="I15374" s="15" t="str">
        <f t="shared" si="3"/>
        <v/>
      </c>
    </row>
    <row r="15375">
      <c r="A15375" s="8" t="str">
        <f>IFERROR(__xludf.DUMMYFUNCTION("IF('(INGESTA)Datos_consumo_datadis'!A16940&lt;&gt;"""",SPLIT('(INGESTA)Datos_consumo_datadis'!A:A,"",""),"""")"),"")</f>
        <v/>
      </c>
      <c r="G15375" s="8" t="str">
        <f t="shared" si="1"/>
        <v/>
      </c>
      <c r="H15375" s="14" t="str">
        <f t="shared" si="2"/>
        <v/>
      </c>
      <c r="I15375" s="15" t="str">
        <f t="shared" si="3"/>
        <v/>
      </c>
    </row>
    <row r="15376">
      <c r="A15376" s="8" t="str">
        <f>IFERROR(__xludf.DUMMYFUNCTION("IF('(INGESTA)Datos_consumo_datadis'!A16941&lt;&gt;"""",SPLIT('(INGESTA)Datos_consumo_datadis'!A:A,"",""),"""")"),"")</f>
        <v/>
      </c>
      <c r="G15376" s="8" t="str">
        <f t="shared" si="1"/>
        <v/>
      </c>
      <c r="H15376" s="14" t="str">
        <f t="shared" si="2"/>
        <v/>
      </c>
      <c r="I15376" s="15" t="str">
        <f t="shared" si="3"/>
        <v/>
      </c>
    </row>
    <row r="15377">
      <c r="A15377" s="8" t="str">
        <f>IFERROR(__xludf.DUMMYFUNCTION("IF('(INGESTA)Datos_consumo_datadis'!A16942&lt;&gt;"""",SPLIT('(INGESTA)Datos_consumo_datadis'!A:A,"",""),"""")"),"")</f>
        <v/>
      </c>
      <c r="G15377" s="8" t="str">
        <f t="shared" si="1"/>
        <v/>
      </c>
      <c r="H15377" s="14" t="str">
        <f t="shared" si="2"/>
        <v/>
      </c>
      <c r="I15377" s="15" t="str">
        <f t="shared" si="3"/>
        <v/>
      </c>
    </row>
    <row r="15378">
      <c r="A15378" s="8" t="str">
        <f>IFERROR(__xludf.DUMMYFUNCTION("IF('(INGESTA)Datos_consumo_datadis'!A16943&lt;&gt;"""",SPLIT('(INGESTA)Datos_consumo_datadis'!A:A,"",""),"""")"),"")</f>
        <v/>
      </c>
      <c r="G15378" s="8" t="str">
        <f t="shared" si="1"/>
        <v/>
      </c>
      <c r="H15378" s="14" t="str">
        <f t="shared" si="2"/>
        <v/>
      </c>
      <c r="I15378" s="15" t="str">
        <f t="shared" si="3"/>
        <v/>
      </c>
    </row>
    <row r="15379">
      <c r="A15379" s="8" t="str">
        <f>IFERROR(__xludf.DUMMYFUNCTION("IF('(INGESTA)Datos_consumo_datadis'!A16944&lt;&gt;"""",SPLIT('(INGESTA)Datos_consumo_datadis'!A:A,"",""),"""")"),"")</f>
        <v/>
      </c>
      <c r="G15379" s="8" t="str">
        <f t="shared" si="1"/>
        <v/>
      </c>
      <c r="H15379" s="14" t="str">
        <f t="shared" si="2"/>
        <v/>
      </c>
      <c r="I15379" s="15" t="str">
        <f t="shared" si="3"/>
        <v/>
      </c>
    </row>
    <row r="15380">
      <c r="A15380" s="8" t="str">
        <f>IFERROR(__xludf.DUMMYFUNCTION("IF('(INGESTA)Datos_consumo_datadis'!A16945&lt;&gt;"""",SPLIT('(INGESTA)Datos_consumo_datadis'!A:A,"",""),"""")"),"")</f>
        <v/>
      </c>
      <c r="G15380" s="8" t="str">
        <f t="shared" si="1"/>
        <v/>
      </c>
      <c r="H15380" s="14" t="str">
        <f t="shared" si="2"/>
        <v/>
      </c>
      <c r="I15380" s="15" t="str">
        <f t="shared" si="3"/>
        <v/>
      </c>
    </row>
    <row r="15381">
      <c r="A15381" s="8" t="str">
        <f>IFERROR(__xludf.DUMMYFUNCTION("IF('(INGESTA)Datos_consumo_datadis'!A16946&lt;&gt;"""",SPLIT('(INGESTA)Datos_consumo_datadis'!A:A,"",""),"""")"),"")</f>
        <v/>
      </c>
      <c r="G15381" s="8" t="str">
        <f t="shared" si="1"/>
        <v/>
      </c>
      <c r="H15381" s="14" t="str">
        <f t="shared" si="2"/>
        <v/>
      </c>
      <c r="I15381" s="15" t="str">
        <f t="shared" si="3"/>
        <v/>
      </c>
    </row>
    <row r="15382">
      <c r="A15382" s="8" t="str">
        <f>IFERROR(__xludf.DUMMYFUNCTION("IF('(INGESTA)Datos_consumo_datadis'!A16947&lt;&gt;"""",SPLIT('(INGESTA)Datos_consumo_datadis'!A:A,"",""),"""")"),"")</f>
        <v/>
      </c>
      <c r="G15382" s="8" t="str">
        <f t="shared" si="1"/>
        <v/>
      </c>
      <c r="H15382" s="14" t="str">
        <f t="shared" si="2"/>
        <v/>
      </c>
      <c r="I15382" s="15" t="str">
        <f t="shared" si="3"/>
        <v/>
      </c>
    </row>
    <row r="15383">
      <c r="A15383" s="8" t="str">
        <f>IFERROR(__xludf.DUMMYFUNCTION("IF('(INGESTA)Datos_consumo_datadis'!A16948&lt;&gt;"""",SPLIT('(INGESTA)Datos_consumo_datadis'!A:A,"",""),"""")"),"")</f>
        <v/>
      </c>
      <c r="G15383" s="8" t="str">
        <f t="shared" si="1"/>
        <v/>
      </c>
      <c r="H15383" s="14" t="str">
        <f t="shared" si="2"/>
        <v/>
      </c>
      <c r="I15383" s="15" t="str">
        <f t="shared" si="3"/>
        <v/>
      </c>
    </row>
    <row r="15384">
      <c r="A15384" s="8" t="str">
        <f>IFERROR(__xludf.DUMMYFUNCTION("IF('(INGESTA)Datos_consumo_datadis'!A16949&lt;&gt;"""",SPLIT('(INGESTA)Datos_consumo_datadis'!A:A,"",""),"""")"),"")</f>
        <v/>
      </c>
      <c r="G15384" s="8" t="str">
        <f t="shared" si="1"/>
        <v/>
      </c>
      <c r="H15384" s="14" t="str">
        <f t="shared" si="2"/>
        <v/>
      </c>
      <c r="I15384" s="15" t="str">
        <f t="shared" si="3"/>
        <v/>
      </c>
    </row>
    <row r="15385">
      <c r="A15385" s="8" t="str">
        <f>IFERROR(__xludf.DUMMYFUNCTION("IF('(INGESTA)Datos_consumo_datadis'!A16950&lt;&gt;"""",SPLIT('(INGESTA)Datos_consumo_datadis'!A:A,"",""),"""")"),"")</f>
        <v/>
      </c>
      <c r="G15385" s="8" t="str">
        <f t="shared" si="1"/>
        <v/>
      </c>
      <c r="H15385" s="14" t="str">
        <f t="shared" si="2"/>
        <v/>
      </c>
      <c r="I15385" s="15" t="str">
        <f t="shared" si="3"/>
        <v/>
      </c>
    </row>
    <row r="15386">
      <c r="A15386" s="8" t="str">
        <f>IFERROR(__xludf.DUMMYFUNCTION("IF('(INGESTA)Datos_consumo_datadis'!A16951&lt;&gt;"""",SPLIT('(INGESTA)Datos_consumo_datadis'!A:A,"",""),"""")"),"")</f>
        <v/>
      </c>
      <c r="G15386" s="8" t="str">
        <f t="shared" si="1"/>
        <v/>
      </c>
      <c r="H15386" s="14" t="str">
        <f t="shared" si="2"/>
        <v/>
      </c>
      <c r="I15386" s="15" t="str">
        <f t="shared" si="3"/>
        <v/>
      </c>
    </row>
    <row r="15387">
      <c r="A15387" s="8" t="str">
        <f>IFERROR(__xludf.DUMMYFUNCTION("IF('(INGESTA)Datos_consumo_datadis'!A16952&lt;&gt;"""",SPLIT('(INGESTA)Datos_consumo_datadis'!A:A,"",""),"""")"),"")</f>
        <v/>
      </c>
      <c r="G15387" s="8" t="str">
        <f t="shared" si="1"/>
        <v/>
      </c>
      <c r="H15387" s="14" t="str">
        <f t="shared" si="2"/>
        <v/>
      </c>
      <c r="I15387" s="15" t="str">
        <f t="shared" si="3"/>
        <v/>
      </c>
    </row>
    <row r="15388">
      <c r="A15388" s="8" t="str">
        <f>IFERROR(__xludf.DUMMYFUNCTION("IF('(INGESTA)Datos_consumo_datadis'!A16953&lt;&gt;"""",SPLIT('(INGESTA)Datos_consumo_datadis'!A:A,"",""),"""")"),"")</f>
        <v/>
      </c>
      <c r="G15388" s="8" t="str">
        <f t="shared" si="1"/>
        <v/>
      </c>
      <c r="H15388" s="14" t="str">
        <f t="shared" si="2"/>
        <v/>
      </c>
      <c r="I15388" s="15" t="str">
        <f t="shared" si="3"/>
        <v/>
      </c>
    </row>
    <row r="15389">
      <c r="A15389" s="8" t="str">
        <f>IFERROR(__xludf.DUMMYFUNCTION("IF('(INGESTA)Datos_consumo_datadis'!A16954&lt;&gt;"""",SPLIT('(INGESTA)Datos_consumo_datadis'!A:A,"",""),"""")"),"")</f>
        <v/>
      </c>
      <c r="G15389" s="8" t="str">
        <f t="shared" si="1"/>
        <v/>
      </c>
      <c r="H15389" s="14" t="str">
        <f t="shared" si="2"/>
        <v/>
      </c>
      <c r="I15389" s="15" t="str">
        <f t="shared" si="3"/>
        <v/>
      </c>
    </row>
    <row r="15390">
      <c r="A15390" s="8" t="str">
        <f>IFERROR(__xludf.DUMMYFUNCTION("IF('(INGESTA)Datos_consumo_datadis'!A16955&lt;&gt;"""",SPLIT('(INGESTA)Datos_consumo_datadis'!A:A,"",""),"""")"),"")</f>
        <v/>
      </c>
      <c r="G15390" s="8" t="str">
        <f t="shared" si="1"/>
        <v/>
      </c>
      <c r="H15390" s="14" t="str">
        <f t="shared" si="2"/>
        <v/>
      </c>
      <c r="I15390" s="15" t="str">
        <f t="shared" si="3"/>
        <v/>
      </c>
    </row>
    <row r="15391">
      <c r="A15391" s="8" t="str">
        <f>IFERROR(__xludf.DUMMYFUNCTION("IF('(INGESTA)Datos_consumo_datadis'!A16956&lt;&gt;"""",SPLIT('(INGESTA)Datos_consumo_datadis'!A:A,"",""),"""")"),"")</f>
        <v/>
      </c>
      <c r="G15391" s="8" t="str">
        <f t="shared" si="1"/>
        <v/>
      </c>
      <c r="H15391" s="14" t="str">
        <f t="shared" si="2"/>
        <v/>
      </c>
      <c r="I15391" s="15" t="str">
        <f t="shared" si="3"/>
        <v/>
      </c>
    </row>
    <row r="15392">
      <c r="A15392" s="8" t="str">
        <f>IFERROR(__xludf.DUMMYFUNCTION("IF('(INGESTA)Datos_consumo_datadis'!A16957&lt;&gt;"""",SPLIT('(INGESTA)Datos_consumo_datadis'!A:A,"",""),"""")"),"")</f>
        <v/>
      </c>
      <c r="G15392" s="8" t="str">
        <f t="shared" si="1"/>
        <v/>
      </c>
      <c r="H15392" s="14" t="str">
        <f t="shared" si="2"/>
        <v/>
      </c>
      <c r="I15392" s="15" t="str">
        <f t="shared" si="3"/>
        <v/>
      </c>
    </row>
    <row r="15393">
      <c r="A15393" s="8" t="str">
        <f>IFERROR(__xludf.DUMMYFUNCTION("IF('(INGESTA)Datos_consumo_datadis'!A16958&lt;&gt;"""",SPLIT('(INGESTA)Datos_consumo_datadis'!A:A,"",""),"""")"),"")</f>
        <v/>
      </c>
      <c r="G15393" s="8" t="str">
        <f t="shared" si="1"/>
        <v/>
      </c>
      <c r="H15393" s="14" t="str">
        <f t="shared" si="2"/>
        <v/>
      </c>
      <c r="I15393" s="15" t="str">
        <f t="shared" si="3"/>
        <v/>
      </c>
    </row>
    <row r="15394">
      <c r="A15394" s="8" t="str">
        <f>IFERROR(__xludf.DUMMYFUNCTION("IF('(INGESTA)Datos_consumo_datadis'!A16959&lt;&gt;"""",SPLIT('(INGESTA)Datos_consumo_datadis'!A:A,"",""),"""")"),"")</f>
        <v/>
      </c>
      <c r="G15394" s="8" t="str">
        <f t="shared" si="1"/>
        <v/>
      </c>
      <c r="H15394" s="14" t="str">
        <f t="shared" si="2"/>
        <v/>
      </c>
      <c r="I15394" s="15" t="str">
        <f t="shared" si="3"/>
        <v/>
      </c>
    </row>
    <row r="15395">
      <c r="A15395" s="8" t="str">
        <f>IFERROR(__xludf.DUMMYFUNCTION("IF('(INGESTA)Datos_consumo_datadis'!A16960&lt;&gt;"""",SPLIT('(INGESTA)Datos_consumo_datadis'!A:A,"",""),"""")"),"")</f>
        <v/>
      </c>
      <c r="G15395" s="8" t="str">
        <f t="shared" si="1"/>
        <v/>
      </c>
      <c r="H15395" s="14" t="str">
        <f t="shared" si="2"/>
        <v/>
      </c>
      <c r="I15395" s="15" t="str">
        <f t="shared" si="3"/>
        <v/>
      </c>
    </row>
    <row r="15396">
      <c r="A15396" s="8" t="str">
        <f>IFERROR(__xludf.DUMMYFUNCTION("IF('(INGESTA)Datos_consumo_datadis'!A16961&lt;&gt;"""",SPLIT('(INGESTA)Datos_consumo_datadis'!A:A,"",""),"""")"),"")</f>
        <v/>
      </c>
      <c r="G15396" s="8" t="str">
        <f t="shared" si="1"/>
        <v/>
      </c>
      <c r="H15396" s="14" t="str">
        <f t="shared" si="2"/>
        <v/>
      </c>
      <c r="I15396" s="15" t="str">
        <f t="shared" si="3"/>
        <v/>
      </c>
    </row>
    <row r="15397">
      <c r="A15397" s="8" t="str">
        <f>IFERROR(__xludf.DUMMYFUNCTION("IF('(INGESTA)Datos_consumo_datadis'!A16962&lt;&gt;"""",SPLIT('(INGESTA)Datos_consumo_datadis'!A:A,"",""),"""")"),"")</f>
        <v/>
      </c>
      <c r="G15397" s="8" t="str">
        <f t="shared" si="1"/>
        <v/>
      </c>
      <c r="H15397" s="14" t="str">
        <f t="shared" si="2"/>
        <v/>
      </c>
      <c r="I15397" s="15" t="str">
        <f t="shared" si="3"/>
        <v/>
      </c>
    </row>
    <row r="15398">
      <c r="A15398" s="8" t="str">
        <f>IFERROR(__xludf.DUMMYFUNCTION("IF('(INGESTA)Datos_consumo_datadis'!A16963&lt;&gt;"""",SPLIT('(INGESTA)Datos_consumo_datadis'!A:A,"",""),"""")"),"")</f>
        <v/>
      </c>
      <c r="G15398" s="8" t="str">
        <f t="shared" si="1"/>
        <v/>
      </c>
      <c r="H15398" s="14" t="str">
        <f t="shared" si="2"/>
        <v/>
      </c>
      <c r="I15398" s="15" t="str">
        <f t="shared" si="3"/>
        <v/>
      </c>
    </row>
    <row r="15399">
      <c r="A15399" s="8" t="str">
        <f>IFERROR(__xludf.DUMMYFUNCTION("IF('(INGESTA)Datos_consumo_datadis'!A16964&lt;&gt;"""",SPLIT('(INGESTA)Datos_consumo_datadis'!A:A,"",""),"""")"),"")</f>
        <v/>
      </c>
      <c r="G15399" s="8" t="str">
        <f t="shared" si="1"/>
        <v/>
      </c>
      <c r="H15399" s="14" t="str">
        <f t="shared" si="2"/>
        <v/>
      </c>
      <c r="I15399" s="15" t="str">
        <f t="shared" si="3"/>
        <v/>
      </c>
    </row>
    <row r="15400">
      <c r="A15400" s="8" t="str">
        <f>IFERROR(__xludf.DUMMYFUNCTION("IF('(INGESTA)Datos_consumo_datadis'!A16965&lt;&gt;"""",SPLIT('(INGESTA)Datos_consumo_datadis'!A:A,"",""),"""")"),"")</f>
        <v/>
      </c>
      <c r="G15400" s="8" t="str">
        <f t="shared" si="1"/>
        <v/>
      </c>
      <c r="H15400" s="14" t="str">
        <f t="shared" si="2"/>
        <v/>
      </c>
      <c r="I15400" s="15" t="str">
        <f t="shared" si="3"/>
        <v/>
      </c>
    </row>
    <row r="15401">
      <c r="A15401" s="8" t="str">
        <f>IFERROR(__xludf.DUMMYFUNCTION("IF('(INGESTA)Datos_consumo_datadis'!A16966&lt;&gt;"""",SPLIT('(INGESTA)Datos_consumo_datadis'!A:A,"",""),"""")"),"")</f>
        <v/>
      </c>
      <c r="G15401" s="8" t="str">
        <f t="shared" si="1"/>
        <v/>
      </c>
      <c r="H15401" s="14" t="str">
        <f t="shared" si="2"/>
        <v/>
      </c>
      <c r="I15401" s="15" t="str">
        <f t="shared" si="3"/>
        <v/>
      </c>
    </row>
    <row r="15402">
      <c r="A15402" s="8" t="str">
        <f>IFERROR(__xludf.DUMMYFUNCTION("IF('(INGESTA)Datos_consumo_datadis'!A16967&lt;&gt;"""",SPLIT('(INGESTA)Datos_consumo_datadis'!A:A,"",""),"""")"),"")</f>
        <v/>
      </c>
      <c r="G15402" s="8" t="str">
        <f t="shared" si="1"/>
        <v/>
      </c>
      <c r="H15402" s="14" t="str">
        <f t="shared" si="2"/>
        <v/>
      </c>
      <c r="I15402" s="15" t="str">
        <f t="shared" si="3"/>
        <v/>
      </c>
    </row>
    <row r="15403">
      <c r="A15403" s="8" t="str">
        <f>IFERROR(__xludf.DUMMYFUNCTION("IF('(INGESTA)Datos_consumo_datadis'!A16968&lt;&gt;"""",SPLIT('(INGESTA)Datos_consumo_datadis'!A:A,"",""),"""")"),"")</f>
        <v/>
      </c>
      <c r="G15403" s="8" t="str">
        <f t="shared" si="1"/>
        <v/>
      </c>
      <c r="H15403" s="14" t="str">
        <f t="shared" si="2"/>
        <v/>
      </c>
      <c r="I15403" s="15" t="str">
        <f t="shared" si="3"/>
        <v/>
      </c>
    </row>
    <row r="15404">
      <c r="A15404" s="8" t="str">
        <f>IFERROR(__xludf.DUMMYFUNCTION("IF('(INGESTA)Datos_consumo_datadis'!A16969&lt;&gt;"""",SPLIT('(INGESTA)Datos_consumo_datadis'!A:A,"",""),"""")"),"")</f>
        <v/>
      </c>
      <c r="G15404" s="8" t="str">
        <f t="shared" si="1"/>
        <v/>
      </c>
      <c r="H15404" s="14" t="str">
        <f t="shared" si="2"/>
        <v/>
      </c>
      <c r="I15404" s="15" t="str">
        <f t="shared" si="3"/>
        <v/>
      </c>
    </row>
    <row r="15405">
      <c r="A15405" s="8" t="str">
        <f>IFERROR(__xludf.DUMMYFUNCTION("IF('(INGESTA)Datos_consumo_datadis'!A16970&lt;&gt;"""",SPLIT('(INGESTA)Datos_consumo_datadis'!A:A,"",""),"""")"),"")</f>
        <v/>
      </c>
      <c r="G15405" s="8" t="str">
        <f t="shared" si="1"/>
        <v/>
      </c>
      <c r="H15405" s="14" t="str">
        <f t="shared" si="2"/>
        <v/>
      </c>
      <c r="I15405" s="15" t="str">
        <f t="shared" si="3"/>
        <v/>
      </c>
    </row>
    <row r="15406">
      <c r="A15406" s="8" t="str">
        <f>IFERROR(__xludf.DUMMYFUNCTION("IF('(INGESTA)Datos_consumo_datadis'!A16971&lt;&gt;"""",SPLIT('(INGESTA)Datos_consumo_datadis'!A:A,"",""),"""")"),"")</f>
        <v/>
      </c>
      <c r="G15406" s="8" t="str">
        <f t="shared" si="1"/>
        <v/>
      </c>
      <c r="H15406" s="14" t="str">
        <f t="shared" si="2"/>
        <v/>
      </c>
      <c r="I15406" s="15" t="str">
        <f t="shared" si="3"/>
        <v/>
      </c>
    </row>
    <row r="15407">
      <c r="A15407" s="8" t="str">
        <f>IFERROR(__xludf.DUMMYFUNCTION("IF('(INGESTA)Datos_consumo_datadis'!A16972&lt;&gt;"""",SPLIT('(INGESTA)Datos_consumo_datadis'!A:A,"",""),"""")"),"")</f>
        <v/>
      </c>
      <c r="G15407" s="8" t="str">
        <f t="shared" si="1"/>
        <v/>
      </c>
      <c r="H15407" s="14" t="str">
        <f t="shared" si="2"/>
        <v/>
      </c>
      <c r="I15407" s="15" t="str">
        <f t="shared" si="3"/>
        <v/>
      </c>
    </row>
    <row r="15408">
      <c r="A15408" s="8" t="str">
        <f>IFERROR(__xludf.DUMMYFUNCTION("IF('(INGESTA)Datos_consumo_datadis'!A16973&lt;&gt;"""",SPLIT('(INGESTA)Datos_consumo_datadis'!A:A,"",""),"""")"),"")</f>
        <v/>
      </c>
      <c r="G15408" s="8" t="str">
        <f t="shared" si="1"/>
        <v/>
      </c>
      <c r="H15408" s="14" t="str">
        <f t="shared" si="2"/>
        <v/>
      </c>
      <c r="I15408" s="15" t="str">
        <f t="shared" si="3"/>
        <v/>
      </c>
    </row>
    <row r="15409">
      <c r="A15409" s="8" t="str">
        <f>IFERROR(__xludf.DUMMYFUNCTION("IF('(INGESTA)Datos_consumo_datadis'!A16974&lt;&gt;"""",SPLIT('(INGESTA)Datos_consumo_datadis'!A:A,"",""),"""")"),"")</f>
        <v/>
      </c>
      <c r="G15409" s="8" t="str">
        <f t="shared" si="1"/>
        <v/>
      </c>
      <c r="H15409" s="14" t="str">
        <f t="shared" si="2"/>
        <v/>
      </c>
      <c r="I15409" s="15" t="str">
        <f t="shared" si="3"/>
        <v/>
      </c>
    </row>
    <row r="15410">
      <c r="A15410" s="8" t="str">
        <f>IFERROR(__xludf.DUMMYFUNCTION("IF('(INGESTA)Datos_consumo_datadis'!A16975&lt;&gt;"""",SPLIT('(INGESTA)Datos_consumo_datadis'!A:A,"",""),"""")"),"")</f>
        <v/>
      </c>
      <c r="G15410" s="8" t="str">
        <f t="shared" si="1"/>
        <v/>
      </c>
      <c r="H15410" s="14" t="str">
        <f t="shared" si="2"/>
        <v/>
      </c>
      <c r="I15410" s="15" t="str">
        <f t="shared" si="3"/>
        <v/>
      </c>
    </row>
    <row r="15411">
      <c r="A15411" s="8" t="str">
        <f>IFERROR(__xludf.DUMMYFUNCTION("IF('(INGESTA)Datos_consumo_datadis'!A16976&lt;&gt;"""",SPLIT('(INGESTA)Datos_consumo_datadis'!A:A,"",""),"""")"),"")</f>
        <v/>
      </c>
      <c r="G15411" s="8" t="str">
        <f t="shared" si="1"/>
        <v/>
      </c>
      <c r="H15411" s="14" t="str">
        <f t="shared" si="2"/>
        <v/>
      </c>
      <c r="I15411" s="15" t="str">
        <f t="shared" si="3"/>
        <v/>
      </c>
    </row>
    <row r="15412">
      <c r="A15412" s="8" t="str">
        <f>IFERROR(__xludf.DUMMYFUNCTION("IF('(INGESTA)Datos_consumo_datadis'!A16977&lt;&gt;"""",SPLIT('(INGESTA)Datos_consumo_datadis'!A:A,"",""),"""")"),"")</f>
        <v/>
      </c>
      <c r="G15412" s="8" t="str">
        <f t="shared" si="1"/>
        <v/>
      </c>
      <c r="H15412" s="14" t="str">
        <f t="shared" si="2"/>
        <v/>
      </c>
      <c r="I15412" s="15" t="str">
        <f t="shared" si="3"/>
        <v/>
      </c>
    </row>
    <row r="15413">
      <c r="A15413" s="8" t="str">
        <f>IFERROR(__xludf.DUMMYFUNCTION("IF('(INGESTA)Datos_consumo_datadis'!A16978&lt;&gt;"""",SPLIT('(INGESTA)Datos_consumo_datadis'!A:A,"",""),"""")"),"")</f>
        <v/>
      </c>
      <c r="G15413" s="8" t="str">
        <f t="shared" si="1"/>
        <v/>
      </c>
      <c r="H15413" s="14" t="str">
        <f t="shared" si="2"/>
        <v/>
      </c>
      <c r="I15413" s="15" t="str">
        <f t="shared" si="3"/>
        <v/>
      </c>
    </row>
    <row r="15414">
      <c r="A15414" s="8" t="str">
        <f>IFERROR(__xludf.DUMMYFUNCTION("IF('(INGESTA)Datos_consumo_datadis'!A16979&lt;&gt;"""",SPLIT('(INGESTA)Datos_consumo_datadis'!A:A,"",""),"""")"),"")</f>
        <v/>
      </c>
      <c r="G15414" s="8" t="str">
        <f t="shared" si="1"/>
        <v/>
      </c>
      <c r="H15414" s="14" t="str">
        <f t="shared" si="2"/>
        <v/>
      </c>
      <c r="I15414" s="15" t="str">
        <f t="shared" si="3"/>
        <v/>
      </c>
    </row>
    <row r="15415">
      <c r="A15415" s="8" t="str">
        <f>IFERROR(__xludf.DUMMYFUNCTION("IF('(INGESTA)Datos_consumo_datadis'!A16980&lt;&gt;"""",SPLIT('(INGESTA)Datos_consumo_datadis'!A:A,"",""),"""")"),"")</f>
        <v/>
      </c>
      <c r="G15415" s="8" t="str">
        <f t="shared" si="1"/>
        <v/>
      </c>
      <c r="H15415" s="14" t="str">
        <f t="shared" si="2"/>
        <v/>
      </c>
      <c r="I15415" s="15" t="str">
        <f t="shared" si="3"/>
        <v/>
      </c>
    </row>
    <row r="15416">
      <c r="A15416" s="8" t="str">
        <f>IFERROR(__xludf.DUMMYFUNCTION("IF('(INGESTA)Datos_consumo_datadis'!A16981&lt;&gt;"""",SPLIT('(INGESTA)Datos_consumo_datadis'!A:A,"",""),"""")"),"")</f>
        <v/>
      </c>
      <c r="G15416" s="8" t="str">
        <f t="shared" si="1"/>
        <v/>
      </c>
      <c r="H15416" s="14" t="str">
        <f t="shared" si="2"/>
        <v/>
      </c>
      <c r="I15416" s="15" t="str">
        <f t="shared" si="3"/>
        <v/>
      </c>
    </row>
    <row r="15417">
      <c r="A15417" s="8" t="str">
        <f>IFERROR(__xludf.DUMMYFUNCTION("IF('(INGESTA)Datos_consumo_datadis'!A16982&lt;&gt;"""",SPLIT('(INGESTA)Datos_consumo_datadis'!A:A,"",""),"""")"),"")</f>
        <v/>
      </c>
      <c r="G15417" s="8" t="str">
        <f t="shared" si="1"/>
        <v/>
      </c>
      <c r="H15417" s="14" t="str">
        <f t="shared" si="2"/>
        <v/>
      </c>
      <c r="I15417" s="15" t="str">
        <f t="shared" si="3"/>
        <v/>
      </c>
    </row>
    <row r="15418">
      <c r="A15418" s="8" t="str">
        <f>IFERROR(__xludf.DUMMYFUNCTION("IF('(INGESTA)Datos_consumo_datadis'!A16983&lt;&gt;"""",SPLIT('(INGESTA)Datos_consumo_datadis'!A:A,"",""),"""")"),"")</f>
        <v/>
      </c>
      <c r="G15418" s="8" t="str">
        <f t="shared" si="1"/>
        <v/>
      </c>
      <c r="H15418" s="14" t="str">
        <f t="shared" si="2"/>
        <v/>
      </c>
      <c r="I15418" s="15" t="str">
        <f t="shared" si="3"/>
        <v/>
      </c>
    </row>
    <row r="15419">
      <c r="A15419" s="8" t="str">
        <f>IFERROR(__xludf.DUMMYFUNCTION("IF('(INGESTA)Datos_consumo_datadis'!A16984&lt;&gt;"""",SPLIT('(INGESTA)Datos_consumo_datadis'!A:A,"",""),"""")"),"")</f>
        <v/>
      </c>
      <c r="G15419" s="8" t="str">
        <f t="shared" si="1"/>
        <v/>
      </c>
      <c r="H15419" s="14" t="str">
        <f t="shared" si="2"/>
        <v/>
      </c>
      <c r="I15419" s="15" t="str">
        <f t="shared" si="3"/>
        <v/>
      </c>
    </row>
    <row r="15420">
      <c r="A15420" s="8" t="str">
        <f>IFERROR(__xludf.DUMMYFUNCTION("IF('(INGESTA)Datos_consumo_datadis'!A16985&lt;&gt;"""",SPLIT('(INGESTA)Datos_consumo_datadis'!A:A,"",""),"""")"),"")</f>
        <v/>
      </c>
      <c r="G15420" s="8" t="str">
        <f t="shared" si="1"/>
        <v/>
      </c>
      <c r="H15420" s="14" t="str">
        <f t="shared" si="2"/>
        <v/>
      </c>
      <c r="I15420" s="15" t="str">
        <f t="shared" si="3"/>
        <v/>
      </c>
    </row>
    <row r="15421">
      <c r="A15421" s="8" t="str">
        <f>IFERROR(__xludf.DUMMYFUNCTION("IF('(INGESTA)Datos_consumo_datadis'!A16986&lt;&gt;"""",SPLIT('(INGESTA)Datos_consumo_datadis'!A:A,"",""),"""")"),"")</f>
        <v/>
      </c>
      <c r="G15421" s="8" t="str">
        <f t="shared" si="1"/>
        <v/>
      </c>
      <c r="H15421" s="14" t="str">
        <f t="shared" si="2"/>
        <v/>
      </c>
      <c r="I15421" s="15" t="str">
        <f t="shared" si="3"/>
        <v/>
      </c>
    </row>
    <row r="15422">
      <c r="A15422" s="8" t="str">
        <f>IFERROR(__xludf.DUMMYFUNCTION("IF('(INGESTA)Datos_consumo_datadis'!A16987&lt;&gt;"""",SPLIT('(INGESTA)Datos_consumo_datadis'!A:A,"",""),"""")"),"")</f>
        <v/>
      </c>
      <c r="G15422" s="8" t="str">
        <f t="shared" si="1"/>
        <v/>
      </c>
      <c r="H15422" s="14" t="str">
        <f t="shared" si="2"/>
        <v/>
      </c>
      <c r="I15422" s="15" t="str">
        <f t="shared" si="3"/>
        <v/>
      </c>
    </row>
    <row r="15423">
      <c r="A15423" s="8" t="str">
        <f>IFERROR(__xludf.DUMMYFUNCTION("IF('(INGESTA)Datos_consumo_datadis'!A16988&lt;&gt;"""",SPLIT('(INGESTA)Datos_consumo_datadis'!A:A,"",""),"""")"),"")</f>
        <v/>
      </c>
      <c r="G15423" s="8" t="str">
        <f t="shared" si="1"/>
        <v/>
      </c>
      <c r="H15423" s="14" t="str">
        <f t="shared" si="2"/>
        <v/>
      </c>
      <c r="I15423" s="15" t="str">
        <f t="shared" si="3"/>
        <v/>
      </c>
    </row>
    <row r="15424">
      <c r="A15424" s="8" t="str">
        <f>IFERROR(__xludf.DUMMYFUNCTION("IF('(INGESTA)Datos_consumo_datadis'!A16989&lt;&gt;"""",SPLIT('(INGESTA)Datos_consumo_datadis'!A:A,"",""),"""")"),"")</f>
        <v/>
      </c>
      <c r="G15424" s="8" t="str">
        <f t="shared" si="1"/>
        <v/>
      </c>
      <c r="H15424" s="14" t="str">
        <f t="shared" si="2"/>
        <v/>
      </c>
      <c r="I15424" s="15" t="str">
        <f t="shared" si="3"/>
        <v/>
      </c>
    </row>
    <row r="15425">
      <c r="A15425" s="8" t="str">
        <f>IFERROR(__xludf.DUMMYFUNCTION("IF('(INGESTA)Datos_consumo_datadis'!A16990&lt;&gt;"""",SPLIT('(INGESTA)Datos_consumo_datadis'!A:A,"",""),"""")"),"")</f>
        <v/>
      </c>
      <c r="G15425" s="8" t="str">
        <f t="shared" si="1"/>
        <v/>
      </c>
      <c r="H15425" s="14" t="str">
        <f t="shared" si="2"/>
        <v/>
      </c>
      <c r="I15425" s="15" t="str">
        <f t="shared" si="3"/>
        <v/>
      </c>
    </row>
    <row r="15426">
      <c r="A15426" s="8" t="str">
        <f>IFERROR(__xludf.DUMMYFUNCTION("IF('(INGESTA)Datos_consumo_datadis'!A16991&lt;&gt;"""",SPLIT('(INGESTA)Datos_consumo_datadis'!A:A,"",""),"""")"),"")</f>
        <v/>
      </c>
      <c r="G15426" s="8" t="str">
        <f t="shared" si="1"/>
        <v/>
      </c>
      <c r="H15426" s="14" t="str">
        <f t="shared" si="2"/>
        <v/>
      </c>
      <c r="I15426" s="15" t="str">
        <f t="shared" si="3"/>
        <v/>
      </c>
    </row>
    <row r="15427">
      <c r="A15427" s="8" t="str">
        <f>IFERROR(__xludf.DUMMYFUNCTION("IF('(INGESTA)Datos_consumo_datadis'!A16992&lt;&gt;"""",SPLIT('(INGESTA)Datos_consumo_datadis'!A:A,"",""),"""")"),"")</f>
        <v/>
      </c>
      <c r="G15427" s="8" t="str">
        <f t="shared" si="1"/>
        <v/>
      </c>
      <c r="H15427" s="14" t="str">
        <f t="shared" si="2"/>
        <v/>
      </c>
      <c r="I15427" s="15" t="str">
        <f t="shared" si="3"/>
        <v/>
      </c>
    </row>
    <row r="15428">
      <c r="A15428" s="8" t="str">
        <f>IFERROR(__xludf.DUMMYFUNCTION("IF('(INGESTA)Datos_consumo_datadis'!A16993&lt;&gt;"""",SPLIT('(INGESTA)Datos_consumo_datadis'!A:A,"",""),"""")"),"")</f>
        <v/>
      </c>
      <c r="G15428" s="8" t="str">
        <f t="shared" si="1"/>
        <v/>
      </c>
      <c r="H15428" s="14" t="str">
        <f t="shared" si="2"/>
        <v/>
      </c>
      <c r="I15428" s="15" t="str">
        <f t="shared" si="3"/>
        <v/>
      </c>
    </row>
    <row r="15429">
      <c r="A15429" s="8" t="str">
        <f>IFERROR(__xludf.DUMMYFUNCTION("IF('(INGESTA)Datos_consumo_datadis'!A16994&lt;&gt;"""",SPLIT('(INGESTA)Datos_consumo_datadis'!A:A,"",""),"""")"),"")</f>
        <v/>
      </c>
      <c r="G15429" s="8" t="str">
        <f t="shared" si="1"/>
        <v/>
      </c>
      <c r="H15429" s="14" t="str">
        <f t="shared" si="2"/>
        <v/>
      </c>
      <c r="I15429" s="15" t="str">
        <f t="shared" si="3"/>
        <v/>
      </c>
    </row>
    <row r="15430">
      <c r="A15430" s="8" t="str">
        <f>IFERROR(__xludf.DUMMYFUNCTION("IF('(INGESTA)Datos_consumo_datadis'!A16995&lt;&gt;"""",SPLIT('(INGESTA)Datos_consumo_datadis'!A:A,"",""),"""")"),"")</f>
        <v/>
      </c>
      <c r="G15430" s="8" t="str">
        <f t="shared" si="1"/>
        <v/>
      </c>
      <c r="H15430" s="14" t="str">
        <f t="shared" si="2"/>
        <v/>
      </c>
      <c r="I15430" s="15" t="str">
        <f t="shared" si="3"/>
        <v/>
      </c>
    </row>
    <row r="15431">
      <c r="A15431" s="8" t="str">
        <f>IFERROR(__xludf.DUMMYFUNCTION("IF('(INGESTA)Datos_consumo_datadis'!A16996&lt;&gt;"""",SPLIT('(INGESTA)Datos_consumo_datadis'!A:A,"",""),"""")"),"")</f>
        <v/>
      </c>
      <c r="G15431" s="8" t="str">
        <f t="shared" si="1"/>
        <v/>
      </c>
      <c r="H15431" s="14" t="str">
        <f t="shared" si="2"/>
        <v/>
      </c>
      <c r="I15431" s="15" t="str">
        <f t="shared" si="3"/>
        <v/>
      </c>
    </row>
    <row r="15432">
      <c r="A15432" s="8" t="str">
        <f>IFERROR(__xludf.DUMMYFUNCTION("IF('(INGESTA)Datos_consumo_datadis'!A16997&lt;&gt;"""",SPLIT('(INGESTA)Datos_consumo_datadis'!A:A,"",""),"""")"),"")</f>
        <v/>
      </c>
      <c r="G15432" s="8" t="str">
        <f t="shared" si="1"/>
        <v/>
      </c>
      <c r="H15432" s="14" t="str">
        <f t="shared" si="2"/>
        <v/>
      </c>
      <c r="I15432" s="15" t="str">
        <f t="shared" si="3"/>
        <v/>
      </c>
    </row>
    <row r="15433">
      <c r="A15433" s="8" t="str">
        <f>IFERROR(__xludf.DUMMYFUNCTION("IF('(INGESTA)Datos_consumo_datadis'!A16998&lt;&gt;"""",SPLIT('(INGESTA)Datos_consumo_datadis'!A:A,"",""),"""")"),"")</f>
        <v/>
      </c>
      <c r="G15433" s="8" t="str">
        <f t="shared" si="1"/>
        <v/>
      </c>
      <c r="H15433" s="14" t="str">
        <f t="shared" si="2"/>
        <v/>
      </c>
      <c r="I15433" s="15" t="str">
        <f t="shared" si="3"/>
        <v/>
      </c>
    </row>
    <row r="15434">
      <c r="A15434" s="8" t="str">
        <f>IFERROR(__xludf.DUMMYFUNCTION("IF('(INGESTA)Datos_consumo_datadis'!A16999&lt;&gt;"""",SPLIT('(INGESTA)Datos_consumo_datadis'!A:A,"",""),"""")"),"")</f>
        <v/>
      </c>
      <c r="G15434" s="8" t="str">
        <f t="shared" si="1"/>
        <v/>
      </c>
      <c r="H15434" s="14" t="str">
        <f t="shared" si="2"/>
        <v/>
      </c>
      <c r="I15434" s="15" t="str">
        <f t="shared" si="3"/>
        <v/>
      </c>
    </row>
    <row r="15435">
      <c r="A15435" s="8" t="str">
        <f>IFERROR(__xludf.DUMMYFUNCTION("IF('(INGESTA)Datos_consumo_datadis'!A17000&lt;&gt;"""",SPLIT('(INGESTA)Datos_consumo_datadis'!A:A,"",""),"""")"),"")</f>
        <v/>
      </c>
      <c r="G15435" s="8" t="str">
        <f t="shared" si="1"/>
        <v/>
      </c>
      <c r="H15435" s="14" t="str">
        <f t="shared" si="2"/>
        <v/>
      </c>
      <c r="I15435" s="15" t="str">
        <f t="shared" si="3"/>
        <v/>
      </c>
    </row>
    <row r="15436">
      <c r="A15436" s="8" t="str">
        <f>IFERROR(__xludf.DUMMYFUNCTION("IF('(INGESTA)Datos_consumo_datadis'!A17001&lt;&gt;"""",SPLIT('(INGESTA)Datos_consumo_datadis'!A:A,"",""),"""")"),"")</f>
        <v/>
      </c>
      <c r="G15436" s="8" t="str">
        <f t="shared" si="1"/>
        <v/>
      </c>
      <c r="H15436" s="14" t="str">
        <f t="shared" si="2"/>
        <v/>
      </c>
      <c r="I15436" s="15" t="str">
        <f t="shared" si="3"/>
        <v/>
      </c>
    </row>
    <row r="15437">
      <c r="A15437" s="8" t="str">
        <f>IFERROR(__xludf.DUMMYFUNCTION("IF('(INGESTA)Datos_consumo_datadis'!A17002&lt;&gt;"""",SPLIT('(INGESTA)Datos_consumo_datadis'!A:A,"",""),"""")"),"")</f>
        <v/>
      </c>
      <c r="G15437" s="8" t="str">
        <f t="shared" si="1"/>
        <v/>
      </c>
      <c r="H15437" s="14" t="str">
        <f t="shared" si="2"/>
        <v/>
      </c>
      <c r="I15437" s="15" t="str">
        <f t="shared" si="3"/>
        <v/>
      </c>
    </row>
    <row r="15438">
      <c r="A15438" s="8" t="str">
        <f>IFERROR(__xludf.DUMMYFUNCTION("IF('(INGESTA)Datos_consumo_datadis'!A17003&lt;&gt;"""",SPLIT('(INGESTA)Datos_consumo_datadis'!A:A,"",""),"""")"),"")</f>
        <v/>
      </c>
      <c r="G15438" s="8" t="str">
        <f t="shared" si="1"/>
        <v/>
      </c>
      <c r="H15438" s="14" t="str">
        <f t="shared" si="2"/>
        <v/>
      </c>
      <c r="I15438" s="15" t="str">
        <f t="shared" si="3"/>
        <v/>
      </c>
    </row>
    <row r="15439">
      <c r="A15439" s="8" t="str">
        <f>IFERROR(__xludf.DUMMYFUNCTION("IF('(INGESTA)Datos_consumo_datadis'!A17004&lt;&gt;"""",SPLIT('(INGESTA)Datos_consumo_datadis'!A:A,"",""),"""")"),"")</f>
        <v/>
      </c>
      <c r="G15439" s="8" t="str">
        <f t="shared" si="1"/>
        <v/>
      </c>
      <c r="H15439" s="14" t="str">
        <f t="shared" si="2"/>
        <v/>
      </c>
      <c r="I15439" s="15" t="str">
        <f t="shared" si="3"/>
        <v/>
      </c>
    </row>
    <row r="15440">
      <c r="A15440" s="8" t="str">
        <f>IFERROR(__xludf.DUMMYFUNCTION("IF('(INGESTA)Datos_consumo_datadis'!A17005&lt;&gt;"""",SPLIT('(INGESTA)Datos_consumo_datadis'!A:A,"",""),"""")"),"")</f>
        <v/>
      </c>
      <c r="G15440" s="8" t="str">
        <f t="shared" si="1"/>
        <v/>
      </c>
      <c r="H15440" s="14" t="str">
        <f t="shared" si="2"/>
        <v/>
      </c>
      <c r="I15440" s="15" t="str">
        <f t="shared" si="3"/>
        <v/>
      </c>
    </row>
    <row r="15441">
      <c r="A15441" s="8" t="str">
        <f>IFERROR(__xludf.DUMMYFUNCTION("IF('(INGESTA)Datos_consumo_datadis'!A17006&lt;&gt;"""",SPLIT('(INGESTA)Datos_consumo_datadis'!A:A,"",""),"""")"),"")</f>
        <v/>
      </c>
      <c r="G15441" s="8" t="str">
        <f t="shared" si="1"/>
        <v/>
      </c>
      <c r="H15441" s="14" t="str">
        <f t="shared" si="2"/>
        <v/>
      </c>
      <c r="I15441" s="15" t="str">
        <f t="shared" si="3"/>
        <v/>
      </c>
    </row>
    <row r="15442">
      <c r="A15442" s="8" t="str">
        <f>IFERROR(__xludf.DUMMYFUNCTION("IF('(INGESTA)Datos_consumo_datadis'!A17007&lt;&gt;"""",SPLIT('(INGESTA)Datos_consumo_datadis'!A:A,"",""),"""")"),"")</f>
        <v/>
      </c>
      <c r="G15442" s="8" t="str">
        <f t="shared" si="1"/>
        <v/>
      </c>
      <c r="H15442" s="14" t="str">
        <f t="shared" si="2"/>
        <v/>
      </c>
      <c r="I15442" s="15" t="str">
        <f t="shared" si="3"/>
        <v/>
      </c>
    </row>
    <row r="15443">
      <c r="A15443" s="8" t="str">
        <f>IFERROR(__xludf.DUMMYFUNCTION("IF('(INGESTA)Datos_consumo_datadis'!A17008&lt;&gt;"""",SPLIT('(INGESTA)Datos_consumo_datadis'!A:A,"",""),"""")"),"")</f>
        <v/>
      </c>
      <c r="G15443" s="8" t="str">
        <f t="shared" si="1"/>
        <v/>
      </c>
      <c r="H15443" s="14" t="str">
        <f t="shared" si="2"/>
        <v/>
      </c>
      <c r="I15443" s="15" t="str">
        <f t="shared" si="3"/>
        <v/>
      </c>
    </row>
    <row r="15444">
      <c r="A15444" s="8" t="str">
        <f>IFERROR(__xludf.DUMMYFUNCTION("IF('(INGESTA)Datos_consumo_datadis'!A17009&lt;&gt;"""",SPLIT('(INGESTA)Datos_consumo_datadis'!A:A,"",""),"""")"),"")</f>
        <v/>
      </c>
      <c r="G15444" s="8" t="str">
        <f t="shared" si="1"/>
        <v/>
      </c>
      <c r="H15444" s="14" t="str">
        <f t="shared" si="2"/>
        <v/>
      </c>
      <c r="I15444" s="15" t="str">
        <f t="shared" si="3"/>
        <v/>
      </c>
    </row>
    <row r="15445">
      <c r="A15445" s="8" t="str">
        <f>IFERROR(__xludf.DUMMYFUNCTION("IF('(INGESTA)Datos_consumo_datadis'!A17010&lt;&gt;"""",SPLIT('(INGESTA)Datos_consumo_datadis'!A:A,"",""),"""")"),"")</f>
        <v/>
      </c>
      <c r="G15445" s="8" t="str">
        <f t="shared" si="1"/>
        <v/>
      </c>
      <c r="H15445" s="14" t="str">
        <f t="shared" si="2"/>
        <v/>
      </c>
      <c r="I15445" s="15" t="str">
        <f t="shared" si="3"/>
        <v/>
      </c>
    </row>
    <row r="15446">
      <c r="A15446" s="8" t="str">
        <f>IFERROR(__xludf.DUMMYFUNCTION("IF('(INGESTA)Datos_consumo_datadis'!A17011&lt;&gt;"""",SPLIT('(INGESTA)Datos_consumo_datadis'!A:A,"",""),"""")"),"")</f>
        <v/>
      </c>
      <c r="G15446" s="8" t="str">
        <f t="shared" si="1"/>
        <v/>
      </c>
      <c r="H15446" s="14" t="str">
        <f t="shared" si="2"/>
        <v/>
      </c>
      <c r="I15446" s="15" t="str">
        <f t="shared" si="3"/>
        <v/>
      </c>
    </row>
    <row r="15447">
      <c r="A15447" s="8" t="str">
        <f>IFERROR(__xludf.DUMMYFUNCTION("IF('(INGESTA)Datos_consumo_datadis'!A17012&lt;&gt;"""",SPLIT('(INGESTA)Datos_consumo_datadis'!A:A,"",""),"""")"),"")</f>
        <v/>
      </c>
      <c r="G15447" s="8" t="str">
        <f t="shared" si="1"/>
        <v/>
      </c>
      <c r="H15447" s="14" t="str">
        <f t="shared" si="2"/>
        <v/>
      </c>
      <c r="I15447" s="15" t="str">
        <f t="shared" si="3"/>
        <v/>
      </c>
    </row>
    <row r="15448">
      <c r="A15448" s="8" t="str">
        <f>IFERROR(__xludf.DUMMYFUNCTION("IF('(INGESTA)Datos_consumo_datadis'!A17013&lt;&gt;"""",SPLIT('(INGESTA)Datos_consumo_datadis'!A:A,"",""),"""")"),"")</f>
        <v/>
      </c>
      <c r="G15448" s="8" t="str">
        <f t="shared" si="1"/>
        <v/>
      </c>
      <c r="H15448" s="14" t="str">
        <f t="shared" si="2"/>
        <v/>
      </c>
      <c r="I15448" s="15" t="str">
        <f t="shared" si="3"/>
        <v/>
      </c>
    </row>
    <row r="15449">
      <c r="A15449" s="8" t="str">
        <f>IFERROR(__xludf.DUMMYFUNCTION("IF('(INGESTA)Datos_consumo_datadis'!A17014&lt;&gt;"""",SPLIT('(INGESTA)Datos_consumo_datadis'!A:A,"",""),"""")"),"")</f>
        <v/>
      </c>
      <c r="G15449" s="8" t="str">
        <f t="shared" si="1"/>
        <v/>
      </c>
      <c r="H15449" s="14" t="str">
        <f t="shared" si="2"/>
        <v/>
      </c>
      <c r="I15449" s="15" t="str">
        <f t="shared" si="3"/>
        <v/>
      </c>
    </row>
    <row r="15450">
      <c r="A15450" s="8" t="str">
        <f>IFERROR(__xludf.DUMMYFUNCTION("IF('(INGESTA)Datos_consumo_datadis'!A17015&lt;&gt;"""",SPLIT('(INGESTA)Datos_consumo_datadis'!A:A,"",""),"""")"),"")</f>
        <v/>
      </c>
      <c r="G15450" s="8" t="str">
        <f t="shared" si="1"/>
        <v/>
      </c>
      <c r="H15450" s="14" t="str">
        <f t="shared" si="2"/>
        <v/>
      </c>
      <c r="I15450" s="15" t="str">
        <f t="shared" si="3"/>
        <v/>
      </c>
    </row>
    <row r="15451">
      <c r="A15451" s="8" t="str">
        <f>IFERROR(__xludf.DUMMYFUNCTION("IF('(INGESTA)Datos_consumo_datadis'!A17016&lt;&gt;"""",SPLIT('(INGESTA)Datos_consumo_datadis'!A:A,"",""),"""")"),"")</f>
        <v/>
      </c>
      <c r="G15451" s="8" t="str">
        <f t="shared" si="1"/>
        <v/>
      </c>
      <c r="H15451" s="14" t="str">
        <f t="shared" si="2"/>
        <v/>
      </c>
      <c r="I15451" s="15" t="str">
        <f t="shared" si="3"/>
        <v/>
      </c>
    </row>
    <row r="15452">
      <c r="A15452" s="8" t="str">
        <f>IFERROR(__xludf.DUMMYFUNCTION("IF('(INGESTA)Datos_consumo_datadis'!A17017&lt;&gt;"""",SPLIT('(INGESTA)Datos_consumo_datadis'!A:A,"",""),"""")"),"")</f>
        <v/>
      </c>
      <c r="G15452" s="8" t="str">
        <f t="shared" si="1"/>
        <v/>
      </c>
      <c r="H15452" s="14" t="str">
        <f t="shared" si="2"/>
        <v/>
      </c>
      <c r="I15452" s="15" t="str">
        <f t="shared" si="3"/>
        <v/>
      </c>
    </row>
    <row r="15453">
      <c r="A15453" s="8" t="str">
        <f>IFERROR(__xludf.DUMMYFUNCTION("IF('(INGESTA)Datos_consumo_datadis'!A17018&lt;&gt;"""",SPLIT('(INGESTA)Datos_consumo_datadis'!A:A,"",""),"""")"),"")</f>
        <v/>
      </c>
      <c r="G15453" s="8" t="str">
        <f t="shared" si="1"/>
        <v/>
      </c>
      <c r="H15453" s="14" t="str">
        <f t="shared" si="2"/>
        <v/>
      </c>
      <c r="I15453" s="15" t="str">
        <f t="shared" si="3"/>
        <v/>
      </c>
    </row>
    <row r="15454">
      <c r="A15454" s="8" t="str">
        <f>IFERROR(__xludf.DUMMYFUNCTION("IF('(INGESTA)Datos_consumo_datadis'!A17019&lt;&gt;"""",SPLIT('(INGESTA)Datos_consumo_datadis'!A:A,"",""),"""")"),"")</f>
        <v/>
      </c>
      <c r="G15454" s="8" t="str">
        <f t="shared" si="1"/>
        <v/>
      </c>
      <c r="H15454" s="14" t="str">
        <f t="shared" si="2"/>
        <v/>
      </c>
      <c r="I15454" s="15" t="str">
        <f t="shared" si="3"/>
        <v/>
      </c>
    </row>
    <row r="15455">
      <c r="A15455" s="8" t="str">
        <f>IFERROR(__xludf.DUMMYFUNCTION("IF('(INGESTA)Datos_consumo_datadis'!A17020&lt;&gt;"""",SPLIT('(INGESTA)Datos_consumo_datadis'!A:A,"",""),"""")"),"")</f>
        <v/>
      </c>
      <c r="G15455" s="8" t="str">
        <f t="shared" si="1"/>
        <v/>
      </c>
      <c r="H15455" s="14" t="str">
        <f t="shared" si="2"/>
        <v/>
      </c>
      <c r="I15455" s="15" t="str">
        <f t="shared" si="3"/>
        <v/>
      </c>
    </row>
    <row r="15456">
      <c r="A15456" s="8" t="str">
        <f>IFERROR(__xludf.DUMMYFUNCTION("IF('(INGESTA)Datos_consumo_datadis'!A17021&lt;&gt;"""",SPLIT('(INGESTA)Datos_consumo_datadis'!A:A,"",""),"""")"),"")</f>
        <v/>
      </c>
      <c r="G15456" s="8" t="str">
        <f t="shared" si="1"/>
        <v/>
      </c>
      <c r="H15456" s="14" t="str">
        <f t="shared" si="2"/>
        <v/>
      </c>
      <c r="I15456" s="15" t="str">
        <f t="shared" si="3"/>
        <v/>
      </c>
    </row>
    <row r="15457">
      <c r="A15457" s="8" t="str">
        <f>IFERROR(__xludf.DUMMYFUNCTION("IF('(INGESTA)Datos_consumo_datadis'!A17022&lt;&gt;"""",SPLIT('(INGESTA)Datos_consumo_datadis'!A:A,"",""),"""")"),"")</f>
        <v/>
      </c>
      <c r="G15457" s="8" t="str">
        <f t="shared" si="1"/>
        <v/>
      </c>
      <c r="H15457" s="14" t="str">
        <f t="shared" si="2"/>
        <v/>
      </c>
      <c r="I15457" s="15" t="str">
        <f t="shared" si="3"/>
        <v/>
      </c>
    </row>
    <row r="15458">
      <c r="A15458" s="8" t="str">
        <f>IFERROR(__xludf.DUMMYFUNCTION("IF('(INGESTA)Datos_consumo_datadis'!A17023&lt;&gt;"""",SPLIT('(INGESTA)Datos_consumo_datadis'!A:A,"",""),"""")"),"")</f>
        <v/>
      </c>
      <c r="G15458" s="8" t="str">
        <f t="shared" si="1"/>
        <v/>
      </c>
      <c r="H15458" s="14" t="str">
        <f t="shared" si="2"/>
        <v/>
      </c>
      <c r="I15458" s="15" t="str">
        <f t="shared" si="3"/>
        <v/>
      </c>
    </row>
    <row r="15459">
      <c r="A15459" s="8" t="str">
        <f>IFERROR(__xludf.DUMMYFUNCTION("IF('(INGESTA)Datos_consumo_datadis'!A17024&lt;&gt;"""",SPLIT('(INGESTA)Datos_consumo_datadis'!A:A,"",""),"""")"),"")</f>
        <v/>
      </c>
      <c r="G15459" s="8" t="str">
        <f t="shared" si="1"/>
        <v/>
      </c>
      <c r="H15459" s="14" t="str">
        <f t="shared" si="2"/>
        <v/>
      </c>
      <c r="I15459" s="15" t="str">
        <f t="shared" si="3"/>
        <v/>
      </c>
    </row>
    <row r="15460">
      <c r="A15460" s="8" t="str">
        <f>IFERROR(__xludf.DUMMYFUNCTION("IF('(INGESTA)Datos_consumo_datadis'!A17025&lt;&gt;"""",SPLIT('(INGESTA)Datos_consumo_datadis'!A:A,"",""),"""")"),"")</f>
        <v/>
      </c>
      <c r="G15460" s="8" t="str">
        <f t="shared" si="1"/>
        <v/>
      </c>
      <c r="H15460" s="14" t="str">
        <f t="shared" si="2"/>
        <v/>
      </c>
      <c r="I15460" s="15" t="str">
        <f t="shared" si="3"/>
        <v/>
      </c>
    </row>
    <row r="15461">
      <c r="A15461" s="8" t="str">
        <f>IFERROR(__xludf.DUMMYFUNCTION("IF('(INGESTA)Datos_consumo_datadis'!A17026&lt;&gt;"""",SPLIT('(INGESTA)Datos_consumo_datadis'!A:A,"",""),"""")"),"")</f>
        <v/>
      </c>
      <c r="G15461" s="8" t="str">
        <f t="shared" si="1"/>
        <v/>
      </c>
      <c r="H15461" s="14" t="str">
        <f t="shared" si="2"/>
        <v/>
      </c>
      <c r="I15461" s="15" t="str">
        <f t="shared" si="3"/>
        <v/>
      </c>
    </row>
    <row r="15462">
      <c r="A15462" s="8" t="str">
        <f>IFERROR(__xludf.DUMMYFUNCTION("IF('(INGESTA)Datos_consumo_datadis'!A17027&lt;&gt;"""",SPLIT('(INGESTA)Datos_consumo_datadis'!A:A,"",""),"""")"),"")</f>
        <v/>
      </c>
      <c r="G15462" s="8" t="str">
        <f t="shared" si="1"/>
        <v/>
      </c>
      <c r="H15462" s="14" t="str">
        <f t="shared" si="2"/>
        <v/>
      </c>
      <c r="I15462" s="15" t="str">
        <f t="shared" si="3"/>
        <v/>
      </c>
    </row>
    <row r="15463">
      <c r="A15463" s="8" t="str">
        <f>IFERROR(__xludf.DUMMYFUNCTION("IF('(INGESTA)Datos_consumo_datadis'!A17028&lt;&gt;"""",SPLIT('(INGESTA)Datos_consumo_datadis'!A:A,"",""),"""")"),"")</f>
        <v/>
      </c>
      <c r="G15463" s="8" t="str">
        <f t="shared" si="1"/>
        <v/>
      </c>
      <c r="H15463" s="14" t="str">
        <f t="shared" si="2"/>
        <v/>
      </c>
      <c r="I15463" s="15" t="str">
        <f t="shared" si="3"/>
        <v/>
      </c>
    </row>
    <row r="15464">
      <c r="A15464" s="8" t="str">
        <f>IFERROR(__xludf.DUMMYFUNCTION("IF('(INGESTA)Datos_consumo_datadis'!A17029&lt;&gt;"""",SPLIT('(INGESTA)Datos_consumo_datadis'!A:A,"",""),"""")"),"")</f>
        <v/>
      </c>
      <c r="G15464" s="8" t="str">
        <f t="shared" si="1"/>
        <v/>
      </c>
      <c r="H15464" s="14" t="str">
        <f t="shared" si="2"/>
        <v/>
      </c>
      <c r="I15464" s="15" t="str">
        <f t="shared" si="3"/>
        <v/>
      </c>
    </row>
    <row r="15465">
      <c r="A15465" s="8" t="str">
        <f>IFERROR(__xludf.DUMMYFUNCTION("IF('(INGESTA)Datos_consumo_datadis'!A17030&lt;&gt;"""",SPLIT('(INGESTA)Datos_consumo_datadis'!A:A,"",""),"""")"),"")</f>
        <v/>
      </c>
      <c r="G15465" s="8" t="str">
        <f t="shared" si="1"/>
        <v/>
      </c>
      <c r="H15465" s="14" t="str">
        <f t="shared" si="2"/>
        <v/>
      </c>
      <c r="I15465" s="15" t="str">
        <f t="shared" si="3"/>
        <v/>
      </c>
    </row>
    <row r="15466">
      <c r="A15466" s="8" t="str">
        <f>IFERROR(__xludf.DUMMYFUNCTION("IF('(INGESTA)Datos_consumo_datadis'!A17031&lt;&gt;"""",SPLIT('(INGESTA)Datos_consumo_datadis'!A:A,"",""),"""")"),"")</f>
        <v/>
      </c>
      <c r="G15466" s="8" t="str">
        <f t="shared" si="1"/>
        <v/>
      </c>
      <c r="H15466" s="14" t="str">
        <f t="shared" si="2"/>
        <v/>
      </c>
      <c r="I15466" s="15" t="str">
        <f t="shared" si="3"/>
        <v/>
      </c>
    </row>
    <row r="15467">
      <c r="A15467" s="8" t="str">
        <f>IFERROR(__xludf.DUMMYFUNCTION("IF('(INGESTA)Datos_consumo_datadis'!A17032&lt;&gt;"""",SPLIT('(INGESTA)Datos_consumo_datadis'!A:A,"",""),"""")"),"")</f>
        <v/>
      </c>
      <c r="G15467" s="8" t="str">
        <f t="shared" si="1"/>
        <v/>
      </c>
      <c r="H15467" s="14" t="str">
        <f t="shared" si="2"/>
        <v/>
      </c>
      <c r="I15467" s="15" t="str">
        <f t="shared" si="3"/>
        <v/>
      </c>
    </row>
    <row r="15468">
      <c r="A15468" s="8" t="str">
        <f>IFERROR(__xludf.DUMMYFUNCTION("IF('(INGESTA)Datos_consumo_datadis'!A17033&lt;&gt;"""",SPLIT('(INGESTA)Datos_consumo_datadis'!A:A,"",""),"""")"),"")</f>
        <v/>
      </c>
      <c r="G15468" s="8" t="str">
        <f t="shared" si="1"/>
        <v/>
      </c>
      <c r="H15468" s="14" t="str">
        <f t="shared" si="2"/>
        <v/>
      </c>
      <c r="I15468" s="15" t="str">
        <f t="shared" si="3"/>
        <v/>
      </c>
    </row>
    <row r="15469">
      <c r="A15469" s="8" t="str">
        <f>IFERROR(__xludf.DUMMYFUNCTION("IF('(INGESTA)Datos_consumo_datadis'!A17034&lt;&gt;"""",SPLIT('(INGESTA)Datos_consumo_datadis'!A:A,"",""),"""")"),"")</f>
        <v/>
      </c>
      <c r="G15469" s="8" t="str">
        <f t="shared" si="1"/>
        <v/>
      </c>
      <c r="H15469" s="14" t="str">
        <f t="shared" si="2"/>
        <v/>
      </c>
      <c r="I15469" s="15" t="str">
        <f t="shared" si="3"/>
        <v/>
      </c>
    </row>
    <row r="15470">
      <c r="A15470" s="8" t="str">
        <f>IFERROR(__xludf.DUMMYFUNCTION("IF('(INGESTA)Datos_consumo_datadis'!A17035&lt;&gt;"""",SPLIT('(INGESTA)Datos_consumo_datadis'!A:A,"",""),"""")"),"")</f>
        <v/>
      </c>
      <c r="G15470" s="8" t="str">
        <f t="shared" si="1"/>
        <v/>
      </c>
      <c r="H15470" s="14" t="str">
        <f t="shared" si="2"/>
        <v/>
      </c>
      <c r="I15470" s="15" t="str">
        <f t="shared" si="3"/>
        <v/>
      </c>
    </row>
    <row r="15471">
      <c r="A15471" s="8" t="str">
        <f>IFERROR(__xludf.DUMMYFUNCTION("IF('(INGESTA)Datos_consumo_datadis'!A17036&lt;&gt;"""",SPLIT('(INGESTA)Datos_consumo_datadis'!A:A,"",""),"""")"),"")</f>
        <v/>
      </c>
      <c r="G15471" s="8" t="str">
        <f t="shared" si="1"/>
        <v/>
      </c>
      <c r="H15471" s="14" t="str">
        <f t="shared" si="2"/>
        <v/>
      </c>
      <c r="I15471" s="15" t="str">
        <f t="shared" si="3"/>
        <v/>
      </c>
    </row>
    <row r="15472">
      <c r="A15472" s="8" t="str">
        <f>IFERROR(__xludf.DUMMYFUNCTION("IF('(INGESTA)Datos_consumo_datadis'!A17037&lt;&gt;"""",SPLIT('(INGESTA)Datos_consumo_datadis'!A:A,"",""),"""")"),"")</f>
        <v/>
      </c>
      <c r="G15472" s="8" t="str">
        <f t="shared" si="1"/>
        <v/>
      </c>
      <c r="H15472" s="14" t="str">
        <f t="shared" si="2"/>
        <v/>
      </c>
      <c r="I15472" s="15" t="str">
        <f t="shared" si="3"/>
        <v/>
      </c>
    </row>
    <row r="15473">
      <c r="A15473" s="8" t="str">
        <f>IFERROR(__xludf.DUMMYFUNCTION("IF('(INGESTA)Datos_consumo_datadis'!A17038&lt;&gt;"""",SPLIT('(INGESTA)Datos_consumo_datadis'!A:A,"",""),"""")"),"")</f>
        <v/>
      </c>
      <c r="G15473" s="8" t="str">
        <f t="shared" si="1"/>
        <v/>
      </c>
      <c r="H15473" s="14" t="str">
        <f t="shared" si="2"/>
        <v/>
      </c>
      <c r="I15473" s="15" t="str">
        <f t="shared" si="3"/>
        <v/>
      </c>
    </row>
    <row r="15474">
      <c r="A15474" s="8" t="str">
        <f>IFERROR(__xludf.DUMMYFUNCTION("IF('(INGESTA)Datos_consumo_datadis'!A17039&lt;&gt;"""",SPLIT('(INGESTA)Datos_consumo_datadis'!A:A,"",""),"""")"),"")</f>
        <v/>
      </c>
      <c r="G15474" s="8" t="str">
        <f t="shared" si="1"/>
        <v/>
      </c>
      <c r="H15474" s="14" t="str">
        <f t="shared" si="2"/>
        <v/>
      </c>
      <c r="I15474" s="15" t="str">
        <f t="shared" si="3"/>
        <v/>
      </c>
    </row>
    <row r="15475">
      <c r="A15475" s="8" t="str">
        <f>IFERROR(__xludf.DUMMYFUNCTION("IF('(INGESTA)Datos_consumo_datadis'!A17040&lt;&gt;"""",SPLIT('(INGESTA)Datos_consumo_datadis'!A:A,"",""),"""")"),"")</f>
        <v/>
      </c>
      <c r="G15475" s="8" t="str">
        <f t="shared" si="1"/>
        <v/>
      </c>
      <c r="H15475" s="14" t="str">
        <f t="shared" si="2"/>
        <v/>
      </c>
      <c r="I15475" s="15" t="str">
        <f t="shared" si="3"/>
        <v/>
      </c>
    </row>
    <row r="15476">
      <c r="A15476" s="8" t="str">
        <f>IFERROR(__xludf.DUMMYFUNCTION("IF('(INGESTA)Datos_consumo_datadis'!A17041&lt;&gt;"""",SPLIT('(INGESTA)Datos_consumo_datadis'!A:A,"",""),"""")"),"")</f>
        <v/>
      </c>
      <c r="G15476" s="8" t="str">
        <f t="shared" si="1"/>
        <v/>
      </c>
      <c r="H15476" s="14" t="str">
        <f t="shared" si="2"/>
        <v/>
      </c>
      <c r="I15476" s="15" t="str">
        <f t="shared" si="3"/>
        <v/>
      </c>
    </row>
    <row r="15477">
      <c r="A15477" s="8" t="str">
        <f>IFERROR(__xludf.DUMMYFUNCTION("IF('(INGESTA)Datos_consumo_datadis'!A17042&lt;&gt;"""",SPLIT('(INGESTA)Datos_consumo_datadis'!A:A,"",""),"""")"),"")</f>
        <v/>
      </c>
      <c r="G15477" s="8" t="str">
        <f t="shared" si="1"/>
        <v/>
      </c>
      <c r="H15477" s="14" t="str">
        <f t="shared" si="2"/>
        <v/>
      </c>
      <c r="I15477" s="15" t="str">
        <f t="shared" si="3"/>
        <v/>
      </c>
    </row>
    <row r="15478">
      <c r="A15478" s="8" t="str">
        <f>IFERROR(__xludf.DUMMYFUNCTION("IF('(INGESTA)Datos_consumo_datadis'!A17043&lt;&gt;"""",SPLIT('(INGESTA)Datos_consumo_datadis'!A:A,"",""),"""")"),"")</f>
        <v/>
      </c>
      <c r="G15478" s="8" t="str">
        <f t="shared" si="1"/>
        <v/>
      </c>
      <c r="H15478" s="14" t="str">
        <f t="shared" si="2"/>
        <v/>
      </c>
      <c r="I15478" s="15" t="str">
        <f t="shared" si="3"/>
        <v/>
      </c>
    </row>
    <row r="15479">
      <c r="A15479" s="8" t="str">
        <f>IFERROR(__xludf.DUMMYFUNCTION("IF('(INGESTA)Datos_consumo_datadis'!A17044&lt;&gt;"""",SPLIT('(INGESTA)Datos_consumo_datadis'!A:A,"",""),"""")"),"")</f>
        <v/>
      </c>
      <c r="G15479" s="8" t="str">
        <f t="shared" si="1"/>
        <v/>
      </c>
      <c r="H15479" s="14" t="str">
        <f t="shared" si="2"/>
        <v/>
      </c>
      <c r="I15479" s="15" t="str">
        <f t="shared" si="3"/>
        <v/>
      </c>
    </row>
    <row r="15480">
      <c r="A15480" s="8" t="str">
        <f>IFERROR(__xludf.DUMMYFUNCTION("IF('(INGESTA)Datos_consumo_datadis'!A17045&lt;&gt;"""",SPLIT('(INGESTA)Datos_consumo_datadis'!A:A,"",""),"""")"),"")</f>
        <v/>
      </c>
      <c r="G15480" s="8" t="str">
        <f t="shared" si="1"/>
        <v/>
      </c>
      <c r="H15480" s="14" t="str">
        <f t="shared" si="2"/>
        <v/>
      </c>
      <c r="I15480" s="15" t="str">
        <f t="shared" si="3"/>
        <v/>
      </c>
    </row>
    <row r="15481">
      <c r="A15481" s="8" t="str">
        <f>IFERROR(__xludf.DUMMYFUNCTION("IF('(INGESTA)Datos_consumo_datadis'!A17046&lt;&gt;"""",SPLIT('(INGESTA)Datos_consumo_datadis'!A:A,"",""),"""")"),"")</f>
        <v/>
      </c>
      <c r="G15481" s="8" t="str">
        <f t="shared" si="1"/>
        <v/>
      </c>
      <c r="H15481" s="14" t="str">
        <f t="shared" si="2"/>
        <v/>
      </c>
      <c r="I15481" s="15" t="str">
        <f t="shared" si="3"/>
        <v/>
      </c>
    </row>
    <row r="15482">
      <c r="A15482" s="8" t="str">
        <f>IFERROR(__xludf.DUMMYFUNCTION("IF('(INGESTA)Datos_consumo_datadis'!A17047&lt;&gt;"""",SPLIT('(INGESTA)Datos_consumo_datadis'!A:A,"",""),"""")"),"")</f>
        <v/>
      </c>
      <c r="G15482" s="8" t="str">
        <f t="shared" si="1"/>
        <v/>
      </c>
      <c r="H15482" s="14" t="str">
        <f t="shared" si="2"/>
        <v/>
      </c>
      <c r="I15482" s="15" t="str">
        <f t="shared" si="3"/>
        <v/>
      </c>
    </row>
    <row r="15483">
      <c r="A15483" s="8" t="str">
        <f>IFERROR(__xludf.DUMMYFUNCTION("IF('(INGESTA)Datos_consumo_datadis'!A17048&lt;&gt;"""",SPLIT('(INGESTA)Datos_consumo_datadis'!A:A,"",""),"""")"),"")</f>
        <v/>
      </c>
      <c r="G15483" s="8" t="str">
        <f t="shared" si="1"/>
        <v/>
      </c>
      <c r="H15483" s="14" t="str">
        <f t="shared" si="2"/>
        <v/>
      </c>
      <c r="I15483" s="15" t="str">
        <f t="shared" si="3"/>
        <v/>
      </c>
    </row>
    <row r="15484">
      <c r="A15484" s="8" t="str">
        <f>IFERROR(__xludf.DUMMYFUNCTION("IF('(INGESTA)Datos_consumo_datadis'!A17049&lt;&gt;"""",SPLIT('(INGESTA)Datos_consumo_datadis'!A:A,"",""),"""")"),"")</f>
        <v/>
      </c>
      <c r="G15484" s="8" t="str">
        <f t="shared" si="1"/>
        <v/>
      </c>
      <c r="H15484" s="14" t="str">
        <f t="shared" si="2"/>
        <v/>
      </c>
      <c r="I15484" s="15" t="str">
        <f t="shared" si="3"/>
        <v/>
      </c>
    </row>
    <row r="15485">
      <c r="A15485" s="8" t="str">
        <f>IFERROR(__xludf.DUMMYFUNCTION("IF('(INGESTA)Datos_consumo_datadis'!A17050&lt;&gt;"""",SPLIT('(INGESTA)Datos_consumo_datadis'!A:A,"",""),"""")"),"")</f>
        <v/>
      </c>
      <c r="G15485" s="8" t="str">
        <f t="shared" si="1"/>
        <v/>
      </c>
      <c r="H15485" s="14" t="str">
        <f t="shared" si="2"/>
        <v/>
      </c>
      <c r="I15485" s="15" t="str">
        <f t="shared" si="3"/>
        <v/>
      </c>
    </row>
    <row r="15486">
      <c r="A15486" s="8" t="str">
        <f>IFERROR(__xludf.DUMMYFUNCTION("IF('(INGESTA)Datos_consumo_datadis'!A17051&lt;&gt;"""",SPLIT('(INGESTA)Datos_consumo_datadis'!A:A,"",""),"""")"),"")</f>
        <v/>
      </c>
      <c r="G15486" s="8" t="str">
        <f t="shared" si="1"/>
        <v/>
      </c>
      <c r="H15486" s="14" t="str">
        <f t="shared" si="2"/>
        <v/>
      </c>
      <c r="I15486" s="15" t="str">
        <f t="shared" si="3"/>
        <v/>
      </c>
    </row>
    <row r="15487">
      <c r="A15487" s="8" t="str">
        <f>IFERROR(__xludf.DUMMYFUNCTION("IF('(INGESTA)Datos_consumo_datadis'!A17052&lt;&gt;"""",SPLIT('(INGESTA)Datos_consumo_datadis'!A:A,"",""),"""")"),"")</f>
        <v/>
      </c>
      <c r="G15487" s="8" t="str">
        <f t="shared" si="1"/>
        <v/>
      </c>
      <c r="H15487" s="14" t="str">
        <f t="shared" si="2"/>
        <v/>
      </c>
      <c r="I15487" s="15" t="str">
        <f t="shared" si="3"/>
        <v/>
      </c>
    </row>
    <row r="15488">
      <c r="A15488" s="8" t="str">
        <f>IFERROR(__xludf.DUMMYFUNCTION("IF('(INGESTA)Datos_consumo_datadis'!A17053&lt;&gt;"""",SPLIT('(INGESTA)Datos_consumo_datadis'!A:A,"",""),"""")"),"")</f>
        <v/>
      </c>
      <c r="G15488" s="8" t="str">
        <f t="shared" si="1"/>
        <v/>
      </c>
      <c r="H15488" s="14" t="str">
        <f t="shared" si="2"/>
        <v/>
      </c>
      <c r="I15488" s="15" t="str">
        <f t="shared" si="3"/>
        <v/>
      </c>
    </row>
    <row r="15489">
      <c r="A15489" s="8" t="str">
        <f>IFERROR(__xludf.DUMMYFUNCTION("IF('(INGESTA)Datos_consumo_datadis'!A17054&lt;&gt;"""",SPLIT('(INGESTA)Datos_consumo_datadis'!A:A,"",""),"""")"),"")</f>
        <v/>
      </c>
      <c r="G15489" s="8" t="str">
        <f t="shared" si="1"/>
        <v/>
      </c>
      <c r="H15489" s="14" t="str">
        <f t="shared" si="2"/>
        <v/>
      </c>
      <c r="I15489" s="15" t="str">
        <f t="shared" si="3"/>
        <v/>
      </c>
    </row>
    <row r="15490">
      <c r="A15490" s="8" t="str">
        <f>IFERROR(__xludf.DUMMYFUNCTION("IF('(INGESTA)Datos_consumo_datadis'!A17055&lt;&gt;"""",SPLIT('(INGESTA)Datos_consumo_datadis'!A:A,"",""),"""")"),"")</f>
        <v/>
      </c>
      <c r="G15490" s="8" t="str">
        <f t="shared" si="1"/>
        <v/>
      </c>
      <c r="H15490" s="14" t="str">
        <f t="shared" si="2"/>
        <v/>
      </c>
      <c r="I15490" s="15" t="str">
        <f t="shared" si="3"/>
        <v/>
      </c>
    </row>
    <row r="15491">
      <c r="A15491" s="8" t="str">
        <f>IFERROR(__xludf.DUMMYFUNCTION("IF('(INGESTA)Datos_consumo_datadis'!A17056&lt;&gt;"""",SPLIT('(INGESTA)Datos_consumo_datadis'!A:A,"",""),"""")"),"")</f>
        <v/>
      </c>
      <c r="G15491" s="8" t="str">
        <f t="shared" si="1"/>
        <v/>
      </c>
      <c r="H15491" s="14" t="str">
        <f t="shared" si="2"/>
        <v/>
      </c>
      <c r="I15491" s="15" t="str">
        <f t="shared" si="3"/>
        <v/>
      </c>
    </row>
    <row r="15492">
      <c r="A15492" s="8" t="str">
        <f>IFERROR(__xludf.DUMMYFUNCTION("IF('(INGESTA)Datos_consumo_datadis'!A17057&lt;&gt;"""",SPLIT('(INGESTA)Datos_consumo_datadis'!A:A,"",""),"""")"),"")</f>
        <v/>
      </c>
      <c r="G15492" s="8" t="str">
        <f t="shared" si="1"/>
        <v/>
      </c>
      <c r="H15492" s="14" t="str">
        <f t="shared" si="2"/>
        <v/>
      </c>
      <c r="I15492" s="15" t="str">
        <f t="shared" si="3"/>
        <v/>
      </c>
    </row>
    <row r="15493">
      <c r="A15493" s="8" t="str">
        <f>IFERROR(__xludf.DUMMYFUNCTION("IF('(INGESTA)Datos_consumo_datadis'!A17058&lt;&gt;"""",SPLIT('(INGESTA)Datos_consumo_datadis'!A:A,"",""),"""")"),"")</f>
        <v/>
      </c>
      <c r="G15493" s="8" t="str">
        <f t="shared" si="1"/>
        <v/>
      </c>
      <c r="H15493" s="14" t="str">
        <f t="shared" si="2"/>
        <v/>
      </c>
      <c r="I15493" s="15" t="str">
        <f t="shared" si="3"/>
        <v/>
      </c>
    </row>
    <row r="15494">
      <c r="A15494" s="8" t="str">
        <f>IFERROR(__xludf.DUMMYFUNCTION("IF('(INGESTA)Datos_consumo_datadis'!A17059&lt;&gt;"""",SPLIT('(INGESTA)Datos_consumo_datadis'!A:A,"",""),"""")"),"")</f>
        <v/>
      </c>
      <c r="G15494" s="8" t="str">
        <f t="shared" si="1"/>
        <v/>
      </c>
      <c r="H15494" s="14" t="str">
        <f t="shared" si="2"/>
        <v/>
      </c>
      <c r="I15494" s="15" t="str">
        <f t="shared" si="3"/>
        <v/>
      </c>
    </row>
    <row r="15495">
      <c r="A15495" s="8" t="str">
        <f>IFERROR(__xludf.DUMMYFUNCTION("IF('(INGESTA)Datos_consumo_datadis'!A17060&lt;&gt;"""",SPLIT('(INGESTA)Datos_consumo_datadis'!A:A,"",""),"""")"),"")</f>
        <v/>
      </c>
      <c r="G15495" s="8" t="str">
        <f t="shared" si="1"/>
        <v/>
      </c>
      <c r="H15495" s="14" t="str">
        <f t="shared" si="2"/>
        <v/>
      </c>
      <c r="I15495" s="15" t="str">
        <f t="shared" si="3"/>
        <v/>
      </c>
    </row>
    <row r="15496">
      <c r="A15496" s="8" t="str">
        <f>IFERROR(__xludf.DUMMYFUNCTION("IF('(INGESTA)Datos_consumo_datadis'!A17061&lt;&gt;"""",SPLIT('(INGESTA)Datos_consumo_datadis'!A:A,"",""),"""")"),"")</f>
        <v/>
      </c>
      <c r="G15496" s="8" t="str">
        <f t="shared" si="1"/>
        <v/>
      </c>
      <c r="H15496" s="14" t="str">
        <f t="shared" si="2"/>
        <v/>
      </c>
      <c r="I15496" s="15" t="str">
        <f t="shared" si="3"/>
        <v/>
      </c>
    </row>
    <row r="15497">
      <c r="A15497" s="8" t="str">
        <f>IFERROR(__xludf.DUMMYFUNCTION("IF('(INGESTA)Datos_consumo_datadis'!A17062&lt;&gt;"""",SPLIT('(INGESTA)Datos_consumo_datadis'!A:A,"",""),"""")"),"")</f>
        <v/>
      </c>
      <c r="G15497" s="8" t="str">
        <f t="shared" si="1"/>
        <v/>
      </c>
      <c r="H15497" s="14" t="str">
        <f t="shared" si="2"/>
        <v/>
      </c>
      <c r="I15497" s="15" t="str">
        <f t="shared" si="3"/>
        <v/>
      </c>
    </row>
    <row r="15498">
      <c r="A15498" s="8" t="str">
        <f>IFERROR(__xludf.DUMMYFUNCTION("IF('(INGESTA)Datos_consumo_datadis'!A17063&lt;&gt;"""",SPLIT('(INGESTA)Datos_consumo_datadis'!A:A,"",""),"""")"),"")</f>
        <v/>
      </c>
      <c r="G15498" s="8" t="str">
        <f t="shared" si="1"/>
        <v/>
      </c>
      <c r="H15498" s="14" t="str">
        <f t="shared" si="2"/>
        <v/>
      </c>
      <c r="I15498" s="15" t="str">
        <f t="shared" si="3"/>
        <v/>
      </c>
    </row>
    <row r="15499">
      <c r="A15499" s="8" t="str">
        <f>IFERROR(__xludf.DUMMYFUNCTION("IF('(INGESTA)Datos_consumo_datadis'!A17064&lt;&gt;"""",SPLIT('(INGESTA)Datos_consumo_datadis'!A:A,"",""),"""")"),"")</f>
        <v/>
      </c>
      <c r="G15499" s="8" t="str">
        <f t="shared" si="1"/>
        <v/>
      </c>
      <c r="H15499" s="14" t="str">
        <f t="shared" si="2"/>
        <v/>
      </c>
      <c r="I15499" s="15" t="str">
        <f t="shared" si="3"/>
        <v/>
      </c>
    </row>
    <row r="15500">
      <c r="A15500" s="8" t="str">
        <f>IFERROR(__xludf.DUMMYFUNCTION("IF('(INGESTA)Datos_consumo_datadis'!A17065&lt;&gt;"""",SPLIT('(INGESTA)Datos_consumo_datadis'!A:A,"",""),"""")"),"")</f>
        <v/>
      </c>
      <c r="G15500" s="8" t="str">
        <f t="shared" si="1"/>
        <v/>
      </c>
      <c r="H15500" s="14" t="str">
        <f t="shared" si="2"/>
        <v/>
      </c>
      <c r="I15500" s="15" t="str">
        <f t="shared" si="3"/>
        <v/>
      </c>
    </row>
    <row r="15501">
      <c r="A15501" s="8" t="str">
        <f>IFERROR(__xludf.DUMMYFUNCTION("IF('(INGESTA)Datos_consumo_datadis'!A17066&lt;&gt;"""",SPLIT('(INGESTA)Datos_consumo_datadis'!A:A,"",""),"""")"),"")</f>
        <v/>
      </c>
      <c r="G15501" s="8" t="str">
        <f t="shared" si="1"/>
        <v/>
      </c>
      <c r="H15501" s="14" t="str">
        <f t="shared" si="2"/>
        <v/>
      </c>
      <c r="I15501" s="15" t="str">
        <f t="shared" si="3"/>
        <v/>
      </c>
    </row>
    <row r="15502">
      <c r="A15502" s="8" t="str">
        <f>IFERROR(__xludf.DUMMYFUNCTION("IF('(INGESTA)Datos_consumo_datadis'!A17067&lt;&gt;"""",SPLIT('(INGESTA)Datos_consumo_datadis'!A:A,"",""),"""")"),"")</f>
        <v/>
      </c>
      <c r="G15502" s="8" t="str">
        <f t="shared" si="1"/>
        <v/>
      </c>
      <c r="H15502" s="14" t="str">
        <f t="shared" si="2"/>
        <v/>
      </c>
      <c r="I15502" s="15" t="str">
        <f t="shared" si="3"/>
        <v/>
      </c>
    </row>
    <row r="15503">
      <c r="A15503" s="8" t="str">
        <f>IFERROR(__xludf.DUMMYFUNCTION("IF('(INGESTA)Datos_consumo_datadis'!A17068&lt;&gt;"""",SPLIT('(INGESTA)Datos_consumo_datadis'!A:A,"",""),"""")"),"")</f>
        <v/>
      </c>
      <c r="G15503" s="8" t="str">
        <f t="shared" si="1"/>
        <v/>
      </c>
      <c r="H15503" s="14" t="str">
        <f t="shared" si="2"/>
        <v/>
      </c>
      <c r="I15503" s="15" t="str">
        <f t="shared" si="3"/>
        <v/>
      </c>
    </row>
    <row r="15504">
      <c r="A15504" s="8" t="str">
        <f>IFERROR(__xludf.DUMMYFUNCTION("IF('(INGESTA)Datos_consumo_datadis'!A17069&lt;&gt;"""",SPLIT('(INGESTA)Datos_consumo_datadis'!A:A,"",""),"""")"),"")</f>
        <v/>
      </c>
      <c r="G15504" s="8" t="str">
        <f t="shared" si="1"/>
        <v/>
      </c>
      <c r="H15504" s="14" t="str">
        <f t="shared" si="2"/>
        <v/>
      </c>
      <c r="I15504" s="15" t="str">
        <f t="shared" si="3"/>
        <v/>
      </c>
    </row>
    <row r="15505">
      <c r="A15505" s="8" t="str">
        <f>IFERROR(__xludf.DUMMYFUNCTION("IF('(INGESTA)Datos_consumo_datadis'!A17070&lt;&gt;"""",SPLIT('(INGESTA)Datos_consumo_datadis'!A:A,"",""),"""")"),"")</f>
        <v/>
      </c>
      <c r="G15505" s="8" t="str">
        <f t="shared" si="1"/>
        <v/>
      </c>
      <c r="H15505" s="14" t="str">
        <f t="shared" si="2"/>
        <v/>
      </c>
      <c r="I15505" s="15" t="str">
        <f t="shared" si="3"/>
        <v/>
      </c>
    </row>
    <row r="15506">
      <c r="A15506" s="8" t="str">
        <f>IFERROR(__xludf.DUMMYFUNCTION("IF('(INGESTA)Datos_consumo_datadis'!A17071&lt;&gt;"""",SPLIT('(INGESTA)Datos_consumo_datadis'!A:A,"",""),"""")"),"")</f>
        <v/>
      </c>
      <c r="G15506" s="8" t="str">
        <f t="shared" si="1"/>
        <v/>
      </c>
      <c r="H15506" s="14" t="str">
        <f t="shared" si="2"/>
        <v/>
      </c>
      <c r="I15506" s="15" t="str">
        <f t="shared" si="3"/>
        <v/>
      </c>
    </row>
    <row r="15507">
      <c r="A15507" s="8" t="str">
        <f>IFERROR(__xludf.DUMMYFUNCTION("IF('(INGESTA)Datos_consumo_datadis'!A17072&lt;&gt;"""",SPLIT('(INGESTA)Datos_consumo_datadis'!A:A,"",""),"""")"),"")</f>
        <v/>
      </c>
      <c r="G15507" s="8" t="str">
        <f t="shared" si="1"/>
        <v/>
      </c>
      <c r="H15507" s="14" t="str">
        <f t="shared" si="2"/>
        <v/>
      </c>
      <c r="I15507" s="15" t="str">
        <f t="shared" si="3"/>
        <v/>
      </c>
    </row>
    <row r="15508">
      <c r="A15508" s="8" t="str">
        <f>IFERROR(__xludf.DUMMYFUNCTION("IF('(INGESTA)Datos_consumo_datadis'!A17073&lt;&gt;"""",SPLIT('(INGESTA)Datos_consumo_datadis'!A:A,"",""),"""")"),"")</f>
        <v/>
      </c>
      <c r="G15508" s="8" t="str">
        <f t="shared" si="1"/>
        <v/>
      </c>
      <c r="H15508" s="14" t="str">
        <f t="shared" si="2"/>
        <v/>
      </c>
      <c r="I15508" s="15" t="str">
        <f t="shared" si="3"/>
        <v/>
      </c>
    </row>
    <row r="15509">
      <c r="A15509" s="8" t="str">
        <f>IFERROR(__xludf.DUMMYFUNCTION("IF('(INGESTA)Datos_consumo_datadis'!A17074&lt;&gt;"""",SPLIT('(INGESTA)Datos_consumo_datadis'!A:A,"",""),"""")"),"")</f>
        <v/>
      </c>
      <c r="G15509" s="8" t="str">
        <f t="shared" si="1"/>
        <v/>
      </c>
      <c r="H15509" s="14" t="str">
        <f t="shared" si="2"/>
        <v/>
      </c>
      <c r="I15509" s="15" t="str">
        <f t="shared" si="3"/>
        <v/>
      </c>
    </row>
    <row r="15510">
      <c r="A15510" s="8" t="str">
        <f>IFERROR(__xludf.DUMMYFUNCTION("IF('(INGESTA)Datos_consumo_datadis'!A17075&lt;&gt;"""",SPLIT('(INGESTA)Datos_consumo_datadis'!A:A,"",""),"""")"),"")</f>
        <v/>
      </c>
      <c r="G15510" s="8" t="str">
        <f t="shared" si="1"/>
        <v/>
      </c>
      <c r="H15510" s="14" t="str">
        <f t="shared" si="2"/>
        <v/>
      </c>
      <c r="I15510" s="15" t="str">
        <f t="shared" si="3"/>
        <v/>
      </c>
    </row>
    <row r="15511">
      <c r="A15511" s="8" t="str">
        <f>IFERROR(__xludf.DUMMYFUNCTION("IF('(INGESTA)Datos_consumo_datadis'!A17076&lt;&gt;"""",SPLIT('(INGESTA)Datos_consumo_datadis'!A:A,"",""),"""")"),"")</f>
        <v/>
      </c>
      <c r="G15511" s="8" t="str">
        <f t="shared" si="1"/>
        <v/>
      </c>
      <c r="H15511" s="14" t="str">
        <f t="shared" si="2"/>
        <v/>
      </c>
      <c r="I15511" s="15" t="str">
        <f t="shared" si="3"/>
        <v/>
      </c>
    </row>
    <row r="15512">
      <c r="A15512" s="8" t="str">
        <f>IFERROR(__xludf.DUMMYFUNCTION("IF('(INGESTA)Datos_consumo_datadis'!A17077&lt;&gt;"""",SPLIT('(INGESTA)Datos_consumo_datadis'!A:A,"",""),"""")"),"")</f>
        <v/>
      </c>
      <c r="G15512" s="8" t="str">
        <f t="shared" si="1"/>
        <v/>
      </c>
      <c r="H15512" s="14" t="str">
        <f t="shared" si="2"/>
        <v/>
      </c>
      <c r="I15512" s="15" t="str">
        <f t="shared" si="3"/>
        <v/>
      </c>
    </row>
    <row r="15513">
      <c r="A15513" s="8" t="str">
        <f>IFERROR(__xludf.DUMMYFUNCTION("IF('(INGESTA)Datos_consumo_datadis'!A17078&lt;&gt;"""",SPLIT('(INGESTA)Datos_consumo_datadis'!A:A,"",""),"""")"),"")</f>
        <v/>
      </c>
      <c r="G15513" s="8" t="str">
        <f t="shared" si="1"/>
        <v/>
      </c>
      <c r="H15513" s="14" t="str">
        <f t="shared" si="2"/>
        <v/>
      </c>
      <c r="I15513" s="15" t="str">
        <f t="shared" si="3"/>
        <v/>
      </c>
    </row>
    <row r="15514">
      <c r="A15514" s="8" t="str">
        <f>IFERROR(__xludf.DUMMYFUNCTION("IF('(INGESTA)Datos_consumo_datadis'!A17079&lt;&gt;"""",SPLIT('(INGESTA)Datos_consumo_datadis'!A:A,"",""),"""")"),"")</f>
        <v/>
      </c>
      <c r="G15514" s="8" t="str">
        <f t="shared" si="1"/>
        <v/>
      </c>
      <c r="H15514" s="14" t="str">
        <f t="shared" si="2"/>
        <v/>
      </c>
      <c r="I15514" s="15" t="str">
        <f t="shared" si="3"/>
        <v/>
      </c>
    </row>
    <row r="15515">
      <c r="A15515" s="8" t="str">
        <f>IFERROR(__xludf.DUMMYFUNCTION("IF('(INGESTA)Datos_consumo_datadis'!A17080&lt;&gt;"""",SPLIT('(INGESTA)Datos_consumo_datadis'!A:A,"",""),"""")"),"")</f>
        <v/>
      </c>
      <c r="G15515" s="8" t="str">
        <f t="shared" si="1"/>
        <v/>
      </c>
      <c r="H15515" s="14" t="str">
        <f t="shared" si="2"/>
        <v/>
      </c>
      <c r="I15515" s="15" t="str">
        <f t="shared" si="3"/>
        <v/>
      </c>
    </row>
    <row r="15516">
      <c r="A15516" s="8" t="str">
        <f>IFERROR(__xludf.DUMMYFUNCTION("IF('(INGESTA)Datos_consumo_datadis'!A17081&lt;&gt;"""",SPLIT('(INGESTA)Datos_consumo_datadis'!A:A,"",""),"""")"),"")</f>
        <v/>
      </c>
      <c r="G15516" s="8" t="str">
        <f t="shared" si="1"/>
        <v/>
      </c>
      <c r="H15516" s="14" t="str">
        <f t="shared" si="2"/>
        <v/>
      </c>
      <c r="I15516" s="15" t="str">
        <f t="shared" si="3"/>
        <v/>
      </c>
    </row>
    <row r="15517">
      <c r="A15517" s="8" t="str">
        <f>IFERROR(__xludf.DUMMYFUNCTION("IF('(INGESTA)Datos_consumo_datadis'!A17082&lt;&gt;"""",SPLIT('(INGESTA)Datos_consumo_datadis'!A:A,"",""),"""")"),"")</f>
        <v/>
      </c>
      <c r="G15517" s="8" t="str">
        <f t="shared" si="1"/>
        <v/>
      </c>
      <c r="H15517" s="14" t="str">
        <f t="shared" si="2"/>
        <v/>
      </c>
      <c r="I15517" s="15" t="str">
        <f t="shared" si="3"/>
        <v/>
      </c>
    </row>
    <row r="15518">
      <c r="A15518" s="8" t="str">
        <f>IFERROR(__xludf.DUMMYFUNCTION("IF('(INGESTA)Datos_consumo_datadis'!A17083&lt;&gt;"""",SPLIT('(INGESTA)Datos_consumo_datadis'!A:A,"",""),"""")"),"")</f>
        <v/>
      </c>
      <c r="G15518" s="8" t="str">
        <f t="shared" si="1"/>
        <v/>
      </c>
      <c r="H15518" s="14" t="str">
        <f t="shared" si="2"/>
        <v/>
      </c>
      <c r="I15518" s="15" t="str">
        <f t="shared" si="3"/>
        <v/>
      </c>
    </row>
    <row r="15519">
      <c r="A15519" s="8" t="str">
        <f>IFERROR(__xludf.DUMMYFUNCTION("IF('(INGESTA)Datos_consumo_datadis'!A17084&lt;&gt;"""",SPLIT('(INGESTA)Datos_consumo_datadis'!A:A,"",""),"""")"),"")</f>
        <v/>
      </c>
      <c r="G15519" s="8" t="str">
        <f t="shared" si="1"/>
        <v/>
      </c>
      <c r="H15519" s="14" t="str">
        <f t="shared" si="2"/>
        <v/>
      </c>
      <c r="I15519" s="15" t="str">
        <f t="shared" si="3"/>
        <v/>
      </c>
    </row>
    <row r="15520">
      <c r="A15520" s="8" t="str">
        <f>IFERROR(__xludf.DUMMYFUNCTION("IF('(INGESTA)Datos_consumo_datadis'!A17085&lt;&gt;"""",SPLIT('(INGESTA)Datos_consumo_datadis'!A:A,"",""),"""")"),"")</f>
        <v/>
      </c>
      <c r="G15520" s="8" t="str">
        <f t="shared" si="1"/>
        <v/>
      </c>
      <c r="H15520" s="14" t="str">
        <f t="shared" si="2"/>
        <v/>
      </c>
      <c r="I15520" s="15" t="str">
        <f t="shared" si="3"/>
        <v/>
      </c>
    </row>
    <row r="15521">
      <c r="A15521" s="8" t="str">
        <f>IFERROR(__xludf.DUMMYFUNCTION("IF('(INGESTA)Datos_consumo_datadis'!A17086&lt;&gt;"""",SPLIT('(INGESTA)Datos_consumo_datadis'!A:A,"",""),"""")"),"")</f>
        <v/>
      </c>
      <c r="G15521" s="8" t="str">
        <f t="shared" si="1"/>
        <v/>
      </c>
      <c r="H15521" s="14" t="str">
        <f t="shared" si="2"/>
        <v/>
      </c>
      <c r="I15521" s="15" t="str">
        <f t="shared" si="3"/>
        <v/>
      </c>
    </row>
    <row r="15522">
      <c r="A15522" s="8" t="str">
        <f>IFERROR(__xludf.DUMMYFUNCTION("IF('(INGESTA)Datos_consumo_datadis'!A17087&lt;&gt;"""",SPLIT('(INGESTA)Datos_consumo_datadis'!A:A,"",""),"""")"),"")</f>
        <v/>
      </c>
      <c r="G15522" s="8" t="str">
        <f t="shared" si="1"/>
        <v/>
      </c>
      <c r="H15522" s="14" t="str">
        <f t="shared" si="2"/>
        <v/>
      </c>
      <c r="I15522" s="15" t="str">
        <f t="shared" si="3"/>
        <v/>
      </c>
    </row>
    <row r="15523">
      <c r="A15523" s="8" t="str">
        <f>IFERROR(__xludf.DUMMYFUNCTION("IF('(INGESTA)Datos_consumo_datadis'!A17088&lt;&gt;"""",SPLIT('(INGESTA)Datos_consumo_datadis'!A:A,"",""),"""")"),"")</f>
        <v/>
      </c>
      <c r="G15523" s="8" t="str">
        <f t="shared" si="1"/>
        <v/>
      </c>
      <c r="H15523" s="14" t="str">
        <f t="shared" si="2"/>
        <v/>
      </c>
      <c r="I15523" s="15" t="str">
        <f t="shared" si="3"/>
        <v/>
      </c>
    </row>
    <row r="15524">
      <c r="A15524" s="8" t="str">
        <f>IFERROR(__xludf.DUMMYFUNCTION("IF('(INGESTA)Datos_consumo_datadis'!A17089&lt;&gt;"""",SPLIT('(INGESTA)Datos_consumo_datadis'!A:A,"",""),"""")"),"")</f>
        <v/>
      </c>
      <c r="G15524" s="8" t="str">
        <f t="shared" si="1"/>
        <v/>
      </c>
      <c r="H15524" s="14" t="str">
        <f t="shared" si="2"/>
        <v/>
      </c>
      <c r="I15524" s="15" t="str">
        <f t="shared" si="3"/>
        <v/>
      </c>
    </row>
    <row r="15525">
      <c r="A15525" s="8" t="str">
        <f>IFERROR(__xludf.DUMMYFUNCTION("IF('(INGESTA)Datos_consumo_datadis'!A17090&lt;&gt;"""",SPLIT('(INGESTA)Datos_consumo_datadis'!A:A,"",""),"""")"),"")</f>
        <v/>
      </c>
      <c r="G15525" s="8" t="str">
        <f t="shared" si="1"/>
        <v/>
      </c>
      <c r="H15525" s="14" t="str">
        <f t="shared" si="2"/>
        <v/>
      </c>
      <c r="I15525" s="15" t="str">
        <f t="shared" si="3"/>
        <v/>
      </c>
    </row>
    <row r="15526">
      <c r="A15526" s="8" t="str">
        <f>IFERROR(__xludf.DUMMYFUNCTION("IF('(INGESTA)Datos_consumo_datadis'!A17091&lt;&gt;"""",SPLIT('(INGESTA)Datos_consumo_datadis'!A:A,"",""),"""")"),"")</f>
        <v/>
      </c>
      <c r="G15526" s="8" t="str">
        <f t="shared" si="1"/>
        <v/>
      </c>
      <c r="H15526" s="14" t="str">
        <f t="shared" si="2"/>
        <v/>
      </c>
      <c r="I15526" s="15" t="str">
        <f t="shared" si="3"/>
        <v/>
      </c>
    </row>
    <row r="15527">
      <c r="A15527" s="8" t="str">
        <f>IFERROR(__xludf.DUMMYFUNCTION("IF('(INGESTA)Datos_consumo_datadis'!A17092&lt;&gt;"""",SPLIT('(INGESTA)Datos_consumo_datadis'!A:A,"",""),"""")"),"")</f>
        <v/>
      </c>
      <c r="G15527" s="8" t="str">
        <f t="shared" si="1"/>
        <v/>
      </c>
      <c r="H15527" s="14" t="str">
        <f t="shared" si="2"/>
        <v/>
      </c>
      <c r="I15527" s="15" t="str">
        <f t="shared" si="3"/>
        <v/>
      </c>
    </row>
    <row r="15528">
      <c r="A15528" s="8" t="str">
        <f>IFERROR(__xludf.DUMMYFUNCTION("IF('(INGESTA)Datos_consumo_datadis'!A17093&lt;&gt;"""",SPLIT('(INGESTA)Datos_consumo_datadis'!A:A,"",""),"""")"),"")</f>
        <v/>
      </c>
      <c r="G15528" s="8" t="str">
        <f t="shared" si="1"/>
        <v/>
      </c>
      <c r="H15528" s="14" t="str">
        <f t="shared" si="2"/>
        <v/>
      </c>
      <c r="I15528" s="15" t="str">
        <f t="shared" si="3"/>
        <v/>
      </c>
    </row>
    <row r="15529">
      <c r="A15529" s="8" t="str">
        <f>IFERROR(__xludf.DUMMYFUNCTION("IF('(INGESTA)Datos_consumo_datadis'!A17094&lt;&gt;"""",SPLIT('(INGESTA)Datos_consumo_datadis'!A:A,"",""),"""")"),"")</f>
        <v/>
      </c>
      <c r="G15529" s="8" t="str">
        <f t="shared" si="1"/>
        <v/>
      </c>
      <c r="H15529" s="14" t="str">
        <f t="shared" si="2"/>
        <v/>
      </c>
      <c r="I15529" s="15" t="str">
        <f t="shared" si="3"/>
        <v/>
      </c>
    </row>
    <row r="15530">
      <c r="A15530" s="8" t="str">
        <f>IFERROR(__xludf.DUMMYFUNCTION("IF('(INGESTA)Datos_consumo_datadis'!A17095&lt;&gt;"""",SPLIT('(INGESTA)Datos_consumo_datadis'!A:A,"",""),"""")"),"")</f>
        <v/>
      </c>
      <c r="G15530" s="8" t="str">
        <f t="shared" si="1"/>
        <v/>
      </c>
      <c r="H15530" s="14" t="str">
        <f t="shared" si="2"/>
        <v/>
      </c>
      <c r="I15530" s="15" t="str">
        <f t="shared" si="3"/>
        <v/>
      </c>
    </row>
    <row r="15531">
      <c r="A15531" s="8" t="str">
        <f>IFERROR(__xludf.DUMMYFUNCTION("IF('(INGESTA)Datos_consumo_datadis'!A17096&lt;&gt;"""",SPLIT('(INGESTA)Datos_consumo_datadis'!A:A,"",""),"""")"),"")</f>
        <v/>
      </c>
      <c r="G15531" s="8" t="str">
        <f t="shared" si="1"/>
        <v/>
      </c>
      <c r="H15531" s="14" t="str">
        <f t="shared" si="2"/>
        <v/>
      </c>
      <c r="I15531" s="15" t="str">
        <f t="shared" si="3"/>
        <v/>
      </c>
    </row>
    <row r="15532">
      <c r="A15532" s="8" t="str">
        <f>IFERROR(__xludf.DUMMYFUNCTION("IF('(INGESTA)Datos_consumo_datadis'!A17097&lt;&gt;"""",SPLIT('(INGESTA)Datos_consumo_datadis'!A:A,"",""),"""")"),"")</f>
        <v/>
      </c>
      <c r="G15532" s="8" t="str">
        <f t="shared" si="1"/>
        <v/>
      </c>
      <c r="H15532" s="14" t="str">
        <f t="shared" si="2"/>
        <v/>
      </c>
      <c r="I15532" s="15" t="str">
        <f t="shared" si="3"/>
        <v/>
      </c>
    </row>
    <row r="15533">
      <c r="A15533" s="8" t="str">
        <f>IFERROR(__xludf.DUMMYFUNCTION("IF('(INGESTA)Datos_consumo_datadis'!A17098&lt;&gt;"""",SPLIT('(INGESTA)Datos_consumo_datadis'!A:A,"",""),"""")"),"")</f>
        <v/>
      </c>
      <c r="G15533" s="8" t="str">
        <f t="shared" si="1"/>
        <v/>
      </c>
      <c r="H15533" s="14" t="str">
        <f t="shared" si="2"/>
        <v/>
      </c>
      <c r="I15533" s="15" t="str">
        <f t="shared" si="3"/>
        <v/>
      </c>
    </row>
    <row r="15534">
      <c r="A15534" s="8" t="str">
        <f>IFERROR(__xludf.DUMMYFUNCTION("IF('(INGESTA)Datos_consumo_datadis'!A17099&lt;&gt;"""",SPLIT('(INGESTA)Datos_consumo_datadis'!A:A,"",""),"""")"),"")</f>
        <v/>
      </c>
      <c r="G15534" s="8" t="str">
        <f t="shared" si="1"/>
        <v/>
      </c>
      <c r="H15534" s="14" t="str">
        <f t="shared" si="2"/>
        <v/>
      </c>
      <c r="I15534" s="15" t="str">
        <f t="shared" si="3"/>
        <v/>
      </c>
    </row>
    <row r="15535">
      <c r="A15535" s="8" t="str">
        <f>IFERROR(__xludf.DUMMYFUNCTION("IF('(INGESTA)Datos_consumo_datadis'!A17100&lt;&gt;"""",SPLIT('(INGESTA)Datos_consumo_datadis'!A:A,"",""),"""")"),"")</f>
        <v/>
      </c>
      <c r="G15535" s="8" t="str">
        <f t="shared" si="1"/>
        <v/>
      </c>
      <c r="H15535" s="14" t="str">
        <f t="shared" si="2"/>
        <v/>
      </c>
      <c r="I15535" s="15" t="str">
        <f t="shared" si="3"/>
        <v/>
      </c>
    </row>
    <row r="15536">
      <c r="A15536" s="8" t="str">
        <f>IFERROR(__xludf.DUMMYFUNCTION("IF('(INGESTA)Datos_consumo_datadis'!A17101&lt;&gt;"""",SPLIT('(INGESTA)Datos_consumo_datadis'!A:A,"",""),"""")"),"")</f>
        <v/>
      </c>
      <c r="G15536" s="8" t="str">
        <f t="shared" si="1"/>
        <v/>
      </c>
      <c r="H15536" s="14" t="str">
        <f t="shared" si="2"/>
        <v/>
      </c>
      <c r="I15536" s="15" t="str">
        <f t="shared" si="3"/>
        <v/>
      </c>
    </row>
    <row r="15537">
      <c r="A15537" s="8" t="str">
        <f>IFERROR(__xludf.DUMMYFUNCTION("IF('(INGESTA)Datos_consumo_datadis'!A17102&lt;&gt;"""",SPLIT('(INGESTA)Datos_consumo_datadis'!A:A,"",""),"""")"),"")</f>
        <v/>
      </c>
      <c r="G15537" s="8" t="str">
        <f t="shared" si="1"/>
        <v/>
      </c>
      <c r="H15537" s="14" t="str">
        <f t="shared" si="2"/>
        <v/>
      </c>
      <c r="I15537" s="15" t="str">
        <f t="shared" si="3"/>
        <v/>
      </c>
    </row>
    <row r="15538">
      <c r="A15538" s="8" t="str">
        <f>IFERROR(__xludf.DUMMYFUNCTION("IF('(INGESTA)Datos_consumo_datadis'!A17103&lt;&gt;"""",SPLIT('(INGESTA)Datos_consumo_datadis'!A:A,"",""),"""")"),"")</f>
        <v/>
      </c>
      <c r="G15538" s="8" t="str">
        <f t="shared" si="1"/>
        <v/>
      </c>
      <c r="H15538" s="14" t="str">
        <f t="shared" si="2"/>
        <v/>
      </c>
      <c r="I15538" s="15" t="str">
        <f t="shared" si="3"/>
        <v/>
      </c>
    </row>
    <row r="15539">
      <c r="A15539" s="8" t="str">
        <f>IFERROR(__xludf.DUMMYFUNCTION("IF('(INGESTA)Datos_consumo_datadis'!A17104&lt;&gt;"""",SPLIT('(INGESTA)Datos_consumo_datadis'!A:A,"",""),"""")"),"")</f>
        <v/>
      </c>
      <c r="G15539" s="8" t="str">
        <f t="shared" si="1"/>
        <v/>
      </c>
      <c r="H15539" s="14" t="str">
        <f t="shared" si="2"/>
        <v/>
      </c>
      <c r="I15539" s="15" t="str">
        <f t="shared" si="3"/>
        <v/>
      </c>
    </row>
    <row r="15540">
      <c r="A15540" s="8" t="str">
        <f>IFERROR(__xludf.DUMMYFUNCTION("IF('(INGESTA)Datos_consumo_datadis'!A17105&lt;&gt;"""",SPLIT('(INGESTA)Datos_consumo_datadis'!A:A,"",""),"""")"),"")</f>
        <v/>
      </c>
      <c r="G15540" s="8" t="str">
        <f t="shared" si="1"/>
        <v/>
      </c>
      <c r="H15540" s="14" t="str">
        <f t="shared" si="2"/>
        <v/>
      </c>
      <c r="I15540" s="15" t="str">
        <f t="shared" si="3"/>
        <v/>
      </c>
    </row>
    <row r="15541">
      <c r="A15541" s="8" t="str">
        <f>IFERROR(__xludf.DUMMYFUNCTION("IF('(INGESTA)Datos_consumo_datadis'!A17106&lt;&gt;"""",SPLIT('(INGESTA)Datos_consumo_datadis'!A:A,"",""),"""")"),"")</f>
        <v/>
      </c>
      <c r="G15541" s="8" t="str">
        <f t="shared" si="1"/>
        <v/>
      </c>
      <c r="H15541" s="14" t="str">
        <f t="shared" si="2"/>
        <v/>
      </c>
      <c r="I15541" s="15" t="str">
        <f t="shared" si="3"/>
        <v/>
      </c>
    </row>
    <row r="15542">
      <c r="A15542" s="8" t="str">
        <f>IFERROR(__xludf.DUMMYFUNCTION("IF('(INGESTA)Datos_consumo_datadis'!A17107&lt;&gt;"""",SPLIT('(INGESTA)Datos_consumo_datadis'!A:A,"",""),"""")"),"")</f>
        <v/>
      </c>
      <c r="G15542" s="8" t="str">
        <f t="shared" si="1"/>
        <v/>
      </c>
      <c r="H15542" s="14" t="str">
        <f t="shared" si="2"/>
        <v/>
      </c>
      <c r="I15542" s="15" t="str">
        <f t="shared" si="3"/>
        <v/>
      </c>
    </row>
    <row r="15543">
      <c r="A15543" s="8" t="str">
        <f>IFERROR(__xludf.DUMMYFUNCTION("IF('(INGESTA)Datos_consumo_datadis'!A17108&lt;&gt;"""",SPLIT('(INGESTA)Datos_consumo_datadis'!A:A,"",""),"""")"),"")</f>
        <v/>
      </c>
      <c r="G15543" s="8" t="str">
        <f t="shared" si="1"/>
        <v/>
      </c>
      <c r="H15543" s="14" t="str">
        <f t="shared" si="2"/>
        <v/>
      </c>
      <c r="I15543" s="15" t="str">
        <f t="shared" si="3"/>
        <v/>
      </c>
    </row>
    <row r="15544">
      <c r="A15544" s="8" t="str">
        <f>IFERROR(__xludf.DUMMYFUNCTION("IF('(INGESTA)Datos_consumo_datadis'!A17109&lt;&gt;"""",SPLIT('(INGESTA)Datos_consumo_datadis'!A:A,"",""),"""")"),"")</f>
        <v/>
      </c>
      <c r="G15544" s="8" t="str">
        <f t="shared" si="1"/>
        <v/>
      </c>
      <c r="H15544" s="14" t="str">
        <f t="shared" si="2"/>
        <v/>
      </c>
      <c r="I15544" s="15" t="str">
        <f t="shared" si="3"/>
        <v/>
      </c>
    </row>
    <row r="15545">
      <c r="A15545" s="8" t="str">
        <f>IFERROR(__xludf.DUMMYFUNCTION("IF('(INGESTA)Datos_consumo_datadis'!A17110&lt;&gt;"""",SPLIT('(INGESTA)Datos_consumo_datadis'!A:A,"",""),"""")"),"")</f>
        <v/>
      </c>
      <c r="G15545" s="8" t="str">
        <f t="shared" si="1"/>
        <v/>
      </c>
      <c r="H15545" s="14" t="str">
        <f t="shared" si="2"/>
        <v/>
      </c>
      <c r="I15545" s="15" t="str">
        <f t="shared" si="3"/>
        <v/>
      </c>
    </row>
    <row r="15546">
      <c r="A15546" s="8" t="str">
        <f>IFERROR(__xludf.DUMMYFUNCTION("IF('(INGESTA)Datos_consumo_datadis'!A17111&lt;&gt;"""",SPLIT('(INGESTA)Datos_consumo_datadis'!A:A,"",""),"""")"),"")</f>
        <v/>
      </c>
      <c r="G15546" s="8" t="str">
        <f t="shared" si="1"/>
        <v/>
      </c>
      <c r="H15546" s="14" t="str">
        <f t="shared" si="2"/>
        <v/>
      </c>
      <c r="I15546" s="15" t="str">
        <f t="shared" si="3"/>
        <v/>
      </c>
    </row>
    <row r="15547">
      <c r="A15547" s="8" t="str">
        <f>IFERROR(__xludf.DUMMYFUNCTION("IF('(INGESTA)Datos_consumo_datadis'!A17112&lt;&gt;"""",SPLIT('(INGESTA)Datos_consumo_datadis'!A:A,"",""),"""")"),"")</f>
        <v/>
      </c>
      <c r="G15547" s="8" t="str">
        <f t="shared" si="1"/>
        <v/>
      </c>
      <c r="H15547" s="14" t="str">
        <f t="shared" si="2"/>
        <v/>
      </c>
      <c r="I15547" s="15" t="str">
        <f t="shared" si="3"/>
        <v/>
      </c>
    </row>
    <row r="15548">
      <c r="A15548" s="8" t="str">
        <f>IFERROR(__xludf.DUMMYFUNCTION("IF('(INGESTA)Datos_consumo_datadis'!A17113&lt;&gt;"""",SPLIT('(INGESTA)Datos_consumo_datadis'!A:A,"",""),"""")"),"")</f>
        <v/>
      </c>
      <c r="G15548" s="8" t="str">
        <f t="shared" si="1"/>
        <v/>
      </c>
      <c r="H15548" s="14" t="str">
        <f t="shared" si="2"/>
        <v/>
      </c>
      <c r="I15548" s="15" t="str">
        <f t="shared" si="3"/>
        <v/>
      </c>
    </row>
    <row r="15549">
      <c r="A15549" s="8" t="str">
        <f>IFERROR(__xludf.DUMMYFUNCTION("IF('(INGESTA)Datos_consumo_datadis'!A17114&lt;&gt;"""",SPLIT('(INGESTA)Datos_consumo_datadis'!A:A,"",""),"""")"),"")</f>
        <v/>
      </c>
      <c r="G15549" s="8" t="str">
        <f t="shared" si="1"/>
        <v/>
      </c>
      <c r="H15549" s="14" t="str">
        <f t="shared" si="2"/>
        <v/>
      </c>
      <c r="I15549" s="15" t="str">
        <f t="shared" si="3"/>
        <v/>
      </c>
    </row>
    <row r="15550">
      <c r="A15550" s="8" t="str">
        <f>IFERROR(__xludf.DUMMYFUNCTION("IF('(INGESTA)Datos_consumo_datadis'!A17115&lt;&gt;"""",SPLIT('(INGESTA)Datos_consumo_datadis'!A:A,"",""),"""")"),"")</f>
        <v/>
      </c>
      <c r="G15550" s="8" t="str">
        <f t="shared" si="1"/>
        <v/>
      </c>
      <c r="H15550" s="14" t="str">
        <f t="shared" si="2"/>
        <v/>
      </c>
      <c r="I15550" s="15" t="str">
        <f t="shared" si="3"/>
        <v/>
      </c>
    </row>
    <row r="15551">
      <c r="A15551" s="8" t="str">
        <f>IFERROR(__xludf.DUMMYFUNCTION("IF('(INGESTA)Datos_consumo_datadis'!A17116&lt;&gt;"""",SPLIT('(INGESTA)Datos_consumo_datadis'!A:A,"",""),"""")"),"")</f>
        <v/>
      </c>
      <c r="G15551" s="8" t="str">
        <f t="shared" si="1"/>
        <v/>
      </c>
      <c r="H15551" s="14" t="str">
        <f t="shared" si="2"/>
        <v/>
      </c>
      <c r="I15551" s="15" t="str">
        <f t="shared" si="3"/>
        <v/>
      </c>
    </row>
    <row r="15552">
      <c r="A15552" s="8" t="str">
        <f>IFERROR(__xludf.DUMMYFUNCTION("IF('(INGESTA)Datos_consumo_datadis'!A17117&lt;&gt;"""",SPLIT('(INGESTA)Datos_consumo_datadis'!A:A,"",""),"""")"),"")</f>
        <v/>
      </c>
      <c r="G15552" s="8" t="str">
        <f t="shared" si="1"/>
        <v/>
      </c>
      <c r="H15552" s="14" t="str">
        <f t="shared" si="2"/>
        <v/>
      </c>
      <c r="I15552" s="15" t="str">
        <f t="shared" si="3"/>
        <v/>
      </c>
    </row>
    <row r="15553">
      <c r="A15553" s="8" t="str">
        <f>IFERROR(__xludf.DUMMYFUNCTION("IF('(INGESTA)Datos_consumo_datadis'!A17118&lt;&gt;"""",SPLIT('(INGESTA)Datos_consumo_datadis'!A:A,"",""),"""")"),"")</f>
        <v/>
      </c>
      <c r="G15553" s="8" t="str">
        <f t="shared" si="1"/>
        <v/>
      </c>
      <c r="H15553" s="14" t="str">
        <f t="shared" si="2"/>
        <v/>
      </c>
      <c r="I15553" s="15" t="str">
        <f t="shared" si="3"/>
        <v/>
      </c>
    </row>
    <row r="15554">
      <c r="A15554" s="8" t="str">
        <f>IFERROR(__xludf.DUMMYFUNCTION("IF('(INGESTA)Datos_consumo_datadis'!A17119&lt;&gt;"""",SPLIT('(INGESTA)Datos_consumo_datadis'!A:A,"",""),"""")"),"")</f>
        <v/>
      </c>
      <c r="G15554" s="8" t="str">
        <f t="shared" si="1"/>
        <v/>
      </c>
      <c r="H15554" s="14" t="str">
        <f t="shared" si="2"/>
        <v/>
      </c>
      <c r="I15554" s="15" t="str">
        <f t="shared" si="3"/>
        <v/>
      </c>
    </row>
    <row r="15555">
      <c r="A15555" s="8" t="str">
        <f>IFERROR(__xludf.DUMMYFUNCTION("IF('(INGESTA)Datos_consumo_datadis'!A17120&lt;&gt;"""",SPLIT('(INGESTA)Datos_consumo_datadis'!A:A,"",""),"""")"),"")</f>
        <v/>
      </c>
      <c r="G15555" s="8" t="str">
        <f t="shared" si="1"/>
        <v/>
      </c>
      <c r="H15555" s="14" t="str">
        <f t="shared" si="2"/>
        <v/>
      </c>
      <c r="I15555" s="15" t="str">
        <f t="shared" si="3"/>
        <v/>
      </c>
    </row>
    <row r="15556">
      <c r="A15556" s="8" t="str">
        <f>IFERROR(__xludf.DUMMYFUNCTION("IF('(INGESTA)Datos_consumo_datadis'!A17121&lt;&gt;"""",SPLIT('(INGESTA)Datos_consumo_datadis'!A:A,"",""),"""")"),"")</f>
        <v/>
      </c>
      <c r="G15556" s="8" t="str">
        <f t="shared" si="1"/>
        <v/>
      </c>
      <c r="H15556" s="14" t="str">
        <f t="shared" si="2"/>
        <v/>
      </c>
      <c r="I15556" s="15" t="str">
        <f t="shared" si="3"/>
        <v/>
      </c>
    </row>
    <row r="15557">
      <c r="A15557" s="8" t="str">
        <f>IFERROR(__xludf.DUMMYFUNCTION("IF('(INGESTA)Datos_consumo_datadis'!A17122&lt;&gt;"""",SPLIT('(INGESTA)Datos_consumo_datadis'!A:A,"",""),"""")"),"")</f>
        <v/>
      </c>
      <c r="G15557" s="8" t="str">
        <f t="shared" si="1"/>
        <v/>
      </c>
      <c r="H15557" s="14" t="str">
        <f t="shared" si="2"/>
        <v/>
      </c>
      <c r="I15557" s="15" t="str">
        <f t="shared" si="3"/>
        <v/>
      </c>
    </row>
    <row r="15558">
      <c r="A15558" s="8" t="str">
        <f>IFERROR(__xludf.DUMMYFUNCTION("IF('(INGESTA)Datos_consumo_datadis'!A17123&lt;&gt;"""",SPLIT('(INGESTA)Datos_consumo_datadis'!A:A,"",""),"""")"),"")</f>
        <v/>
      </c>
      <c r="G15558" s="8" t="str">
        <f t="shared" si="1"/>
        <v/>
      </c>
      <c r="H15558" s="14" t="str">
        <f t="shared" si="2"/>
        <v/>
      </c>
      <c r="I15558" s="15" t="str">
        <f t="shared" si="3"/>
        <v/>
      </c>
    </row>
    <row r="15559">
      <c r="A15559" s="8" t="str">
        <f>IFERROR(__xludf.DUMMYFUNCTION("IF('(INGESTA)Datos_consumo_datadis'!A17124&lt;&gt;"""",SPLIT('(INGESTA)Datos_consumo_datadis'!A:A,"",""),"""")"),"")</f>
        <v/>
      </c>
      <c r="G15559" s="8" t="str">
        <f t="shared" si="1"/>
        <v/>
      </c>
      <c r="H15559" s="14" t="str">
        <f t="shared" si="2"/>
        <v/>
      </c>
      <c r="I15559" s="15" t="str">
        <f t="shared" si="3"/>
        <v/>
      </c>
    </row>
    <row r="15560">
      <c r="A15560" s="8" t="str">
        <f>IFERROR(__xludf.DUMMYFUNCTION("IF('(INGESTA)Datos_consumo_datadis'!A17125&lt;&gt;"""",SPLIT('(INGESTA)Datos_consumo_datadis'!A:A,"",""),"""")"),"")</f>
        <v/>
      </c>
      <c r="G15560" s="8" t="str">
        <f t="shared" si="1"/>
        <v/>
      </c>
      <c r="H15560" s="14" t="str">
        <f t="shared" si="2"/>
        <v/>
      </c>
      <c r="I15560" s="15" t="str">
        <f t="shared" si="3"/>
        <v/>
      </c>
    </row>
    <row r="15561">
      <c r="A15561" s="8" t="str">
        <f>IFERROR(__xludf.DUMMYFUNCTION("IF('(INGESTA)Datos_consumo_datadis'!A17126&lt;&gt;"""",SPLIT('(INGESTA)Datos_consumo_datadis'!A:A,"",""),"""")"),"")</f>
        <v/>
      </c>
      <c r="G15561" s="8" t="str">
        <f t="shared" si="1"/>
        <v/>
      </c>
      <c r="H15561" s="14" t="str">
        <f t="shared" si="2"/>
        <v/>
      </c>
      <c r="I15561" s="15" t="str">
        <f t="shared" si="3"/>
        <v/>
      </c>
    </row>
    <row r="15562">
      <c r="A15562" s="8" t="str">
        <f>IFERROR(__xludf.DUMMYFUNCTION("IF('(INGESTA)Datos_consumo_datadis'!A17127&lt;&gt;"""",SPLIT('(INGESTA)Datos_consumo_datadis'!A:A,"",""),"""")"),"")</f>
        <v/>
      </c>
      <c r="G15562" s="8" t="str">
        <f t="shared" si="1"/>
        <v/>
      </c>
      <c r="H15562" s="14" t="str">
        <f t="shared" si="2"/>
        <v/>
      </c>
      <c r="I15562" s="15" t="str">
        <f t="shared" si="3"/>
        <v/>
      </c>
    </row>
    <row r="15563">
      <c r="A15563" s="8" t="str">
        <f>IFERROR(__xludf.DUMMYFUNCTION("IF('(INGESTA)Datos_consumo_datadis'!A17128&lt;&gt;"""",SPLIT('(INGESTA)Datos_consumo_datadis'!A:A,"",""),"""")"),"")</f>
        <v/>
      </c>
      <c r="G15563" s="8" t="str">
        <f t="shared" si="1"/>
        <v/>
      </c>
      <c r="H15563" s="14" t="str">
        <f t="shared" si="2"/>
        <v/>
      </c>
      <c r="I15563" s="15" t="str">
        <f t="shared" si="3"/>
        <v/>
      </c>
    </row>
    <row r="15564">
      <c r="A15564" s="8" t="str">
        <f>IFERROR(__xludf.DUMMYFUNCTION("IF('(INGESTA)Datos_consumo_datadis'!A17129&lt;&gt;"""",SPLIT('(INGESTA)Datos_consumo_datadis'!A:A,"",""),"""")"),"")</f>
        <v/>
      </c>
      <c r="G15564" s="8" t="str">
        <f t="shared" si="1"/>
        <v/>
      </c>
      <c r="H15564" s="14" t="str">
        <f t="shared" si="2"/>
        <v/>
      </c>
      <c r="I15564" s="15" t="str">
        <f t="shared" si="3"/>
        <v/>
      </c>
    </row>
    <row r="15565">
      <c r="A15565" s="8" t="str">
        <f>IFERROR(__xludf.DUMMYFUNCTION("IF('(INGESTA)Datos_consumo_datadis'!A17130&lt;&gt;"""",SPLIT('(INGESTA)Datos_consumo_datadis'!A:A,"",""),"""")"),"")</f>
        <v/>
      </c>
      <c r="G15565" s="8" t="str">
        <f t="shared" si="1"/>
        <v/>
      </c>
      <c r="H15565" s="14" t="str">
        <f t="shared" si="2"/>
        <v/>
      </c>
      <c r="I15565" s="15" t="str">
        <f t="shared" si="3"/>
        <v/>
      </c>
    </row>
    <row r="15566">
      <c r="A15566" s="8" t="str">
        <f>IFERROR(__xludf.DUMMYFUNCTION("IF('(INGESTA)Datos_consumo_datadis'!A17131&lt;&gt;"""",SPLIT('(INGESTA)Datos_consumo_datadis'!A:A,"",""),"""")"),"")</f>
        <v/>
      </c>
      <c r="G15566" s="8" t="str">
        <f t="shared" si="1"/>
        <v/>
      </c>
      <c r="H15566" s="14" t="str">
        <f t="shared" si="2"/>
        <v/>
      </c>
      <c r="I15566" s="15" t="str">
        <f t="shared" si="3"/>
        <v/>
      </c>
    </row>
    <row r="15567">
      <c r="A15567" s="8" t="str">
        <f>IFERROR(__xludf.DUMMYFUNCTION("IF('(INGESTA)Datos_consumo_datadis'!A17132&lt;&gt;"""",SPLIT('(INGESTA)Datos_consumo_datadis'!A:A,"",""),"""")"),"")</f>
        <v/>
      </c>
      <c r="G15567" s="8" t="str">
        <f t="shared" si="1"/>
        <v/>
      </c>
      <c r="H15567" s="14" t="str">
        <f t="shared" si="2"/>
        <v/>
      </c>
      <c r="I15567" s="15" t="str">
        <f t="shared" si="3"/>
        <v/>
      </c>
    </row>
    <row r="15568">
      <c r="A15568" s="8" t="str">
        <f>IFERROR(__xludf.DUMMYFUNCTION("IF('(INGESTA)Datos_consumo_datadis'!A17133&lt;&gt;"""",SPLIT('(INGESTA)Datos_consumo_datadis'!A:A,"",""),"""")"),"")</f>
        <v/>
      </c>
      <c r="G15568" s="8" t="str">
        <f t="shared" si="1"/>
        <v/>
      </c>
      <c r="H15568" s="14" t="str">
        <f t="shared" si="2"/>
        <v/>
      </c>
      <c r="I15568" s="15" t="str">
        <f t="shared" si="3"/>
        <v/>
      </c>
    </row>
    <row r="15569">
      <c r="A15569" s="8" t="str">
        <f>IFERROR(__xludf.DUMMYFUNCTION("IF('(INGESTA)Datos_consumo_datadis'!A17134&lt;&gt;"""",SPLIT('(INGESTA)Datos_consumo_datadis'!A:A,"",""),"""")"),"")</f>
        <v/>
      </c>
      <c r="G15569" s="8" t="str">
        <f t="shared" si="1"/>
        <v/>
      </c>
      <c r="H15569" s="14" t="str">
        <f t="shared" si="2"/>
        <v/>
      </c>
      <c r="I15569" s="15" t="str">
        <f t="shared" si="3"/>
        <v/>
      </c>
    </row>
    <row r="15570">
      <c r="A15570" s="8" t="str">
        <f>IFERROR(__xludf.DUMMYFUNCTION("IF('(INGESTA)Datos_consumo_datadis'!A17135&lt;&gt;"""",SPLIT('(INGESTA)Datos_consumo_datadis'!A:A,"",""),"""")"),"")</f>
        <v/>
      </c>
      <c r="G15570" s="8" t="str">
        <f t="shared" si="1"/>
        <v/>
      </c>
      <c r="H15570" s="14" t="str">
        <f t="shared" si="2"/>
        <v/>
      </c>
      <c r="I15570" s="15" t="str">
        <f t="shared" si="3"/>
        <v/>
      </c>
    </row>
    <row r="15571">
      <c r="A15571" s="8" t="str">
        <f>IFERROR(__xludf.DUMMYFUNCTION("IF('(INGESTA)Datos_consumo_datadis'!A17136&lt;&gt;"""",SPLIT('(INGESTA)Datos_consumo_datadis'!A:A,"",""),"""")"),"")</f>
        <v/>
      </c>
      <c r="G15571" s="8" t="str">
        <f t="shared" si="1"/>
        <v/>
      </c>
      <c r="H15571" s="14" t="str">
        <f t="shared" si="2"/>
        <v/>
      </c>
      <c r="I15571" s="15" t="str">
        <f t="shared" si="3"/>
        <v/>
      </c>
    </row>
    <row r="15572">
      <c r="A15572" s="8" t="str">
        <f>IFERROR(__xludf.DUMMYFUNCTION("IF('(INGESTA)Datos_consumo_datadis'!A17137&lt;&gt;"""",SPLIT('(INGESTA)Datos_consumo_datadis'!A:A,"",""),"""")"),"")</f>
        <v/>
      </c>
      <c r="G15572" s="8" t="str">
        <f t="shared" si="1"/>
        <v/>
      </c>
      <c r="H15572" s="14" t="str">
        <f t="shared" si="2"/>
        <v/>
      </c>
      <c r="I15572" s="15" t="str">
        <f t="shared" si="3"/>
        <v/>
      </c>
    </row>
    <row r="15573">
      <c r="A15573" s="8" t="str">
        <f>IFERROR(__xludf.DUMMYFUNCTION("IF('(INGESTA)Datos_consumo_datadis'!A17138&lt;&gt;"""",SPLIT('(INGESTA)Datos_consumo_datadis'!A:A,"",""),"""")"),"")</f>
        <v/>
      </c>
      <c r="G15573" s="8" t="str">
        <f t="shared" si="1"/>
        <v/>
      </c>
      <c r="H15573" s="14" t="str">
        <f t="shared" si="2"/>
        <v/>
      </c>
      <c r="I15573" s="15" t="str">
        <f t="shared" si="3"/>
        <v/>
      </c>
    </row>
    <row r="15574">
      <c r="A15574" s="8" t="str">
        <f>IFERROR(__xludf.DUMMYFUNCTION("IF('(INGESTA)Datos_consumo_datadis'!A17139&lt;&gt;"""",SPLIT('(INGESTA)Datos_consumo_datadis'!A:A,"",""),"""")"),"")</f>
        <v/>
      </c>
      <c r="G15574" s="8" t="str">
        <f t="shared" si="1"/>
        <v/>
      </c>
      <c r="H15574" s="14" t="str">
        <f t="shared" si="2"/>
        <v/>
      </c>
      <c r="I15574" s="15" t="str">
        <f t="shared" si="3"/>
        <v/>
      </c>
    </row>
    <row r="15575">
      <c r="A15575" s="8" t="str">
        <f>IFERROR(__xludf.DUMMYFUNCTION("IF('(INGESTA)Datos_consumo_datadis'!A17140&lt;&gt;"""",SPLIT('(INGESTA)Datos_consumo_datadis'!A:A,"",""),"""")"),"")</f>
        <v/>
      </c>
      <c r="G15575" s="8" t="str">
        <f t="shared" si="1"/>
        <v/>
      </c>
      <c r="H15575" s="14" t="str">
        <f t="shared" si="2"/>
        <v/>
      </c>
      <c r="I15575" s="15" t="str">
        <f t="shared" si="3"/>
        <v/>
      </c>
    </row>
    <row r="15576">
      <c r="A15576" s="8" t="str">
        <f>IFERROR(__xludf.DUMMYFUNCTION("IF('(INGESTA)Datos_consumo_datadis'!A17141&lt;&gt;"""",SPLIT('(INGESTA)Datos_consumo_datadis'!A:A,"",""),"""")"),"")</f>
        <v/>
      </c>
      <c r="G15576" s="8" t="str">
        <f t="shared" si="1"/>
        <v/>
      </c>
      <c r="H15576" s="14" t="str">
        <f t="shared" si="2"/>
        <v/>
      </c>
      <c r="I15576" s="15" t="str">
        <f t="shared" si="3"/>
        <v/>
      </c>
    </row>
    <row r="15577">
      <c r="A15577" s="8" t="str">
        <f>IFERROR(__xludf.DUMMYFUNCTION("IF('(INGESTA)Datos_consumo_datadis'!A17142&lt;&gt;"""",SPLIT('(INGESTA)Datos_consumo_datadis'!A:A,"",""),"""")"),"")</f>
        <v/>
      </c>
      <c r="G15577" s="8" t="str">
        <f t="shared" si="1"/>
        <v/>
      </c>
      <c r="H15577" s="14" t="str">
        <f t="shared" si="2"/>
        <v/>
      </c>
      <c r="I15577" s="15" t="str">
        <f t="shared" si="3"/>
        <v/>
      </c>
    </row>
    <row r="15578">
      <c r="A15578" s="8" t="str">
        <f>IFERROR(__xludf.DUMMYFUNCTION("IF('(INGESTA)Datos_consumo_datadis'!A17143&lt;&gt;"""",SPLIT('(INGESTA)Datos_consumo_datadis'!A:A,"",""),"""")"),"")</f>
        <v/>
      </c>
      <c r="G15578" s="8" t="str">
        <f t="shared" si="1"/>
        <v/>
      </c>
      <c r="H15578" s="14" t="str">
        <f t="shared" si="2"/>
        <v/>
      </c>
      <c r="I15578" s="15" t="str">
        <f t="shared" si="3"/>
        <v/>
      </c>
    </row>
    <row r="15579">
      <c r="A15579" s="8" t="str">
        <f>IFERROR(__xludf.DUMMYFUNCTION("IF('(INGESTA)Datos_consumo_datadis'!A17144&lt;&gt;"""",SPLIT('(INGESTA)Datos_consumo_datadis'!A:A,"",""),"""")"),"")</f>
        <v/>
      </c>
      <c r="G15579" s="8" t="str">
        <f t="shared" si="1"/>
        <v/>
      </c>
      <c r="H15579" s="14" t="str">
        <f t="shared" si="2"/>
        <v/>
      </c>
      <c r="I15579" s="15" t="str">
        <f t="shared" si="3"/>
        <v/>
      </c>
    </row>
    <row r="15580">
      <c r="A15580" s="8" t="str">
        <f>IFERROR(__xludf.DUMMYFUNCTION("IF('(INGESTA)Datos_consumo_datadis'!A17145&lt;&gt;"""",SPLIT('(INGESTA)Datos_consumo_datadis'!A:A,"",""),"""")"),"")</f>
        <v/>
      </c>
      <c r="G15580" s="8" t="str">
        <f t="shared" si="1"/>
        <v/>
      </c>
      <c r="H15580" s="14" t="str">
        <f t="shared" si="2"/>
        <v/>
      </c>
      <c r="I15580" s="15" t="str">
        <f t="shared" si="3"/>
        <v/>
      </c>
    </row>
    <row r="15581">
      <c r="A15581" s="8" t="str">
        <f>IFERROR(__xludf.DUMMYFUNCTION("IF('(INGESTA)Datos_consumo_datadis'!A17146&lt;&gt;"""",SPLIT('(INGESTA)Datos_consumo_datadis'!A:A,"",""),"""")"),"")</f>
        <v/>
      </c>
      <c r="G15581" s="8" t="str">
        <f t="shared" si="1"/>
        <v/>
      </c>
      <c r="H15581" s="14" t="str">
        <f t="shared" si="2"/>
        <v/>
      </c>
      <c r="I15581" s="15" t="str">
        <f t="shared" si="3"/>
        <v/>
      </c>
    </row>
    <row r="15582">
      <c r="A15582" s="8" t="str">
        <f>IFERROR(__xludf.DUMMYFUNCTION("IF('(INGESTA)Datos_consumo_datadis'!A17147&lt;&gt;"""",SPLIT('(INGESTA)Datos_consumo_datadis'!A:A,"",""),"""")"),"")</f>
        <v/>
      </c>
      <c r="G15582" s="8" t="str">
        <f t="shared" si="1"/>
        <v/>
      </c>
      <c r="H15582" s="14" t="str">
        <f t="shared" si="2"/>
        <v/>
      </c>
      <c r="I15582" s="15" t="str">
        <f t="shared" si="3"/>
        <v/>
      </c>
    </row>
    <row r="15583">
      <c r="A15583" s="8" t="str">
        <f>IFERROR(__xludf.DUMMYFUNCTION("IF('(INGESTA)Datos_consumo_datadis'!A17148&lt;&gt;"""",SPLIT('(INGESTA)Datos_consumo_datadis'!A:A,"",""),"""")"),"")</f>
        <v/>
      </c>
      <c r="G15583" s="8" t="str">
        <f t="shared" si="1"/>
        <v/>
      </c>
      <c r="H15583" s="14" t="str">
        <f t="shared" si="2"/>
        <v/>
      </c>
      <c r="I15583" s="15" t="str">
        <f t="shared" si="3"/>
        <v/>
      </c>
    </row>
    <row r="15584">
      <c r="A15584" s="8" t="str">
        <f>IFERROR(__xludf.DUMMYFUNCTION("IF('(INGESTA)Datos_consumo_datadis'!A17149&lt;&gt;"""",SPLIT('(INGESTA)Datos_consumo_datadis'!A:A,"",""),"""")"),"")</f>
        <v/>
      </c>
      <c r="G15584" s="8" t="str">
        <f t="shared" si="1"/>
        <v/>
      </c>
      <c r="H15584" s="14" t="str">
        <f t="shared" si="2"/>
        <v/>
      </c>
      <c r="I15584" s="15" t="str">
        <f t="shared" si="3"/>
        <v/>
      </c>
    </row>
    <row r="15585">
      <c r="A15585" s="8" t="str">
        <f>IFERROR(__xludf.DUMMYFUNCTION("IF('(INGESTA)Datos_consumo_datadis'!A17150&lt;&gt;"""",SPLIT('(INGESTA)Datos_consumo_datadis'!A:A,"",""),"""")"),"")</f>
        <v/>
      </c>
      <c r="G15585" s="8" t="str">
        <f t="shared" si="1"/>
        <v/>
      </c>
      <c r="H15585" s="14" t="str">
        <f t="shared" si="2"/>
        <v/>
      </c>
      <c r="I15585" s="15" t="str">
        <f t="shared" si="3"/>
        <v/>
      </c>
    </row>
    <row r="15586">
      <c r="A15586" s="8" t="str">
        <f>IFERROR(__xludf.DUMMYFUNCTION("IF('(INGESTA)Datos_consumo_datadis'!A17151&lt;&gt;"""",SPLIT('(INGESTA)Datos_consumo_datadis'!A:A,"",""),"""")"),"")</f>
        <v/>
      </c>
      <c r="G15586" s="8" t="str">
        <f t="shared" si="1"/>
        <v/>
      </c>
      <c r="H15586" s="14" t="str">
        <f t="shared" si="2"/>
        <v/>
      </c>
      <c r="I15586" s="15" t="str">
        <f t="shared" si="3"/>
        <v/>
      </c>
    </row>
    <row r="15587">
      <c r="A15587" s="8" t="str">
        <f>IFERROR(__xludf.DUMMYFUNCTION("IF('(INGESTA)Datos_consumo_datadis'!A17152&lt;&gt;"""",SPLIT('(INGESTA)Datos_consumo_datadis'!A:A,"",""),"""")"),"")</f>
        <v/>
      </c>
      <c r="G15587" s="8" t="str">
        <f t="shared" si="1"/>
        <v/>
      </c>
      <c r="H15587" s="14" t="str">
        <f t="shared" si="2"/>
        <v/>
      </c>
      <c r="I15587" s="15" t="str">
        <f t="shared" si="3"/>
        <v/>
      </c>
    </row>
    <row r="15588">
      <c r="A15588" s="8" t="str">
        <f>IFERROR(__xludf.DUMMYFUNCTION("IF('(INGESTA)Datos_consumo_datadis'!A17153&lt;&gt;"""",SPLIT('(INGESTA)Datos_consumo_datadis'!A:A,"",""),"""")"),"")</f>
        <v/>
      </c>
      <c r="G15588" s="8" t="str">
        <f t="shared" si="1"/>
        <v/>
      </c>
      <c r="H15588" s="14" t="str">
        <f t="shared" si="2"/>
        <v/>
      </c>
      <c r="I15588" s="15" t="str">
        <f t="shared" si="3"/>
        <v/>
      </c>
    </row>
    <row r="15589">
      <c r="A15589" s="8" t="str">
        <f>IFERROR(__xludf.DUMMYFUNCTION("IF('(INGESTA)Datos_consumo_datadis'!A17154&lt;&gt;"""",SPLIT('(INGESTA)Datos_consumo_datadis'!A:A,"",""),"""")"),"")</f>
        <v/>
      </c>
      <c r="G15589" s="8" t="str">
        <f t="shared" si="1"/>
        <v/>
      </c>
      <c r="H15589" s="14" t="str">
        <f t="shared" si="2"/>
        <v/>
      </c>
      <c r="I15589" s="15" t="str">
        <f t="shared" si="3"/>
        <v/>
      </c>
    </row>
    <row r="15590">
      <c r="A15590" s="8" t="str">
        <f>IFERROR(__xludf.DUMMYFUNCTION("IF('(INGESTA)Datos_consumo_datadis'!A17155&lt;&gt;"""",SPLIT('(INGESTA)Datos_consumo_datadis'!A:A,"",""),"""")"),"")</f>
        <v/>
      </c>
      <c r="G15590" s="8" t="str">
        <f t="shared" si="1"/>
        <v/>
      </c>
      <c r="H15590" s="14" t="str">
        <f t="shared" si="2"/>
        <v/>
      </c>
      <c r="I15590" s="15" t="str">
        <f t="shared" si="3"/>
        <v/>
      </c>
    </row>
    <row r="15591">
      <c r="A15591" s="8" t="str">
        <f>IFERROR(__xludf.DUMMYFUNCTION("IF('(INGESTA)Datos_consumo_datadis'!A17156&lt;&gt;"""",SPLIT('(INGESTA)Datos_consumo_datadis'!A:A,"",""),"""")"),"")</f>
        <v/>
      </c>
      <c r="G15591" s="8" t="str">
        <f t="shared" si="1"/>
        <v/>
      </c>
      <c r="H15591" s="14" t="str">
        <f t="shared" si="2"/>
        <v/>
      </c>
      <c r="I15591" s="15" t="str">
        <f t="shared" si="3"/>
        <v/>
      </c>
    </row>
    <row r="15592">
      <c r="A15592" s="8" t="str">
        <f>IFERROR(__xludf.DUMMYFUNCTION("IF('(INGESTA)Datos_consumo_datadis'!A17157&lt;&gt;"""",SPLIT('(INGESTA)Datos_consumo_datadis'!A:A,"",""),"""")"),"")</f>
        <v/>
      </c>
      <c r="G15592" s="8" t="str">
        <f t="shared" si="1"/>
        <v/>
      </c>
      <c r="H15592" s="14" t="str">
        <f t="shared" si="2"/>
        <v/>
      </c>
      <c r="I15592" s="15" t="str">
        <f t="shared" si="3"/>
        <v/>
      </c>
    </row>
    <row r="15593">
      <c r="A15593" s="8" t="str">
        <f>IFERROR(__xludf.DUMMYFUNCTION("IF('(INGESTA)Datos_consumo_datadis'!A17158&lt;&gt;"""",SPLIT('(INGESTA)Datos_consumo_datadis'!A:A,"",""),"""")"),"")</f>
        <v/>
      </c>
      <c r="G15593" s="8" t="str">
        <f t="shared" si="1"/>
        <v/>
      </c>
      <c r="H15593" s="14" t="str">
        <f t="shared" si="2"/>
        <v/>
      </c>
      <c r="I15593" s="15" t="str">
        <f t="shared" si="3"/>
        <v/>
      </c>
    </row>
    <row r="15594">
      <c r="A15594" s="8" t="str">
        <f>IFERROR(__xludf.DUMMYFUNCTION("IF('(INGESTA)Datos_consumo_datadis'!A17159&lt;&gt;"""",SPLIT('(INGESTA)Datos_consumo_datadis'!A:A,"",""),"""")"),"")</f>
        <v/>
      </c>
      <c r="G15594" s="8" t="str">
        <f t="shared" si="1"/>
        <v/>
      </c>
      <c r="H15594" s="14" t="str">
        <f t="shared" si="2"/>
        <v/>
      </c>
      <c r="I15594" s="15" t="str">
        <f t="shared" si="3"/>
        <v/>
      </c>
    </row>
    <row r="15595">
      <c r="A15595" s="8" t="str">
        <f>IFERROR(__xludf.DUMMYFUNCTION("IF('(INGESTA)Datos_consumo_datadis'!A17160&lt;&gt;"""",SPLIT('(INGESTA)Datos_consumo_datadis'!A:A,"",""),"""")"),"")</f>
        <v/>
      </c>
      <c r="G15595" s="8" t="str">
        <f t="shared" si="1"/>
        <v/>
      </c>
      <c r="H15595" s="14" t="str">
        <f t="shared" si="2"/>
        <v/>
      </c>
      <c r="I15595" s="15" t="str">
        <f t="shared" si="3"/>
        <v/>
      </c>
    </row>
    <row r="15596">
      <c r="A15596" s="8" t="str">
        <f>IFERROR(__xludf.DUMMYFUNCTION("IF('(INGESTA)Datos_consumo_datadis'!A17161&lt;&gt;"""",SPLIT('(INGESTA)Datos_consumo_datadis'!A:A,"",""),"""")"),"")</f>
        <v/>
      </c>
      <c r="G15596" s="8" t="str">
        <f t="shared" si="1"/>
        <v/>
      </c>
      <c r="H15596" s="14" t="str">
        <f t="shared" si="2"/>
        <v/>
      </c>
      <c r="I15596" s="15" t="str">
        <f t="shared" si="3"/>
        <v/>
      </c>
    </row>
    <row r="15597">
      <c r="A15597" s="8" t="str">
        <f>IFERROR(__xludf.DUMMYFUNCTION("IF('(INGESTA)Datos_consumo_datadis'!A17162&lt;&gt;"""",SPLIT('(INGESTA)Datos_consumo_datadis'!A:A,"",""),"""")"),"")</f>
        <v/>
      </c>
      <c r="G15597" s="8" t="str">
        <f t="shared" si="1"/>
        <v/>
      </c>
      <c r="H15597" s="14" t="str">
        <f t="shared" si="2"/>
        <v/>
      </c>
      <c r="I15597" s="15" t="str">
        <f t="shared" si="3"/>
        <v/>
      </c>
    </row>
    <row r="15598">
      <c r="A15598" s="8" t="str">
        <f>IFERROR(__xludf.DUMMYFUNCTION("IF('(INGESTA)Datos_consumo_datadis'!A17163&lt;&gt;"""",SPLIT('(INGESTA)Datos_consumo_datadis'!A:A,"",""),"""")"),"")</f>
        <v/>
      </c>
      <c r="G15598" s="8" t="str">
        <f t="shared" si="1"/>
        <v/>
      </c>
      <c r="H15598" s="14" t="str">
        <f t="shared" si="2"/>
        <v/>
      </c>
      <c r="I15598" s="15" t="str">
        <f t="shared" si="3"/>
        <v/>
      </c>
    </row>
    <row r="15599">
      <c r="A15599" s="8" t="str">
        <f>IFERROR(__xludf.DUMMYFUNCTION("IF('(INGESTA)Datos_consumo_datadis'!A17164&lt;&gt;"""",SPLIT('(INGESTA)Datos_consumo_datadis'!A:A,"",""),"""")"),"")</f>
        <v/>
      </c>
      <c r="G15599" s="8" t="str">
        <f t="shared" si="1"/>
        <v/>
      </c>
      <c r="H15599" s="14" t="str">
        <f t="shared" si="2"/>
        <v/>
      </c>
      <c r="I15599" s="15" t="str">
        <f t="shared" si="3"/>
        <v/>
      </c>
    </row>
    <row r="15600">
      <c r="A15600" s="8" t="str">
        <f>IFERROR(__xludf.DUMMYFUNCTION("IF('(INGESTA)Datos_consumo_datadis'!A17165&lt;&gt;"""",SPLIT('(INGESTA)Datos_consumo_datadis'!A:A,"",""),"""")"),"")</f>
        <v/>
      </c>
      <c r="G15600" s="8" t="str">
        <f t="shared" si="1"/>
        <v/>
      </c>
      <c r="H15600" s="14" t="str">
        <f t="shared" si="2"/>
        <v/>
      </c>
      <c r="I15600" s="15" t="str">
        <f t="shared" si="3"/>
        <v/>
      </c>
    </row>
    <row r="15601">
      <c r="A15601" s="8" t="str">
        <f>IFERROR(__xludf.DUMMYFUNCTION("IF('(INGESTA)Datos_consumo_datadis'!A17166&lt;&gt;"""",SPLIT('(INGESTA)Datos_consumo_datadis'!A:A,"",""),"""")"),"")</f>
        <v/>
      </c>
      <c r="G15601" s="8" t="str">
        <f t="shared" si="1"/>
        <v/>
      </c>
      <c r="H15601" s="14" t="str">
        <f t="shared" si="2"/>
        <v/>
      </c>
      <c r="I15601" s="15" t="str">
        <f t="shared" si="3"/>
        <v/>
      </c>
    </row>
    <row r="15602">
      <c r="A15602" s="8" t="str">
        <f>IFERROR(__xludf.DUMMYFUNCTION("IF('(INGESTA)Datos_consumo_datadis'!A17167&lt;&gt;"""",SPLIT('(INGESTA)Datos_consumo_datadis'!A:A,"",""),"""")"),"")</f>
        <v/>
      </c>
      <c r="G15602" s="8" t="str">
        <f t="shared" si="1"/>
        <v/>
      </c>
      <c r="H15602" s="14" t="str">
        <f t="shared" si="2"/>
        <v/>
      </c>
      <c r="I15602" s="15" t="str">
        <f t="shared" si="3"/>
        <v/>
      </c>
    </row>
    <row r="15603">
      <c r="A15603" s="8" t="str">
        <f>IFERROR(__xludf.DUMMYFUNCTION("IF('(INGESTA)Datos_consumo_datadis'!A17168&lt;&gt;"""",SPLIT('(INGESTA)Datos_consumo_datadis'!A:A,"",""),"""")"),"")</f>
        <v/>
      </c>
      <c r="G15603" s="8" t="str">
        <f t="shared" si="1"/>
        <v/>
      </c>
      <c r="H15603" s="14" t="str">
        <f t="shared" si="2"/>
        <v/>
      </c>
      <c r="I15603" s="15" t="str">
        <f t="shared" si="3"/>
        <v/>
      </c>
    </row>
    <row r="15604">
      <c r="A15604" s="8" t="str">
        <f>IFERROR(__xludf.DUMMYFUNCTION("IF('(INGESTA)Datos_consumo_datadis'!A17169&lt;&gt;"""",SPLIT('(INGESTA)Datos_consumo_datadis'!A:A,"",""),"""")"),"")</f>
        <v/>
      </c>
      <c r="G15604" s="8" t="str">
        <f t="shared" si="1"/>
        <v/>
      </c>
      <c r="H15604" s="14" t="str">
        <f t="shared" si="2"/>
        <v/>
      </c>
      <c r="I15604" s="15" t="str">
        <f t="shared" si="3"/>
        <v/>
      </c>
    </row>
    <row r="15605">
      <c r="A15605" s="8" t="str">
        <f>IFERROR(__xludf.DUMMYFUNCTION("IF('(INGESTA)Datos_consumo_datadis'!A17170&lt;&gt;"""",SPLIT('(INGESTA)Datos_consumo_datadis'!A:A,"",""),"""")"),"")</f>
        <v/>
      </c>
      <c r="G15605" s="8" t="str">
        <f t="shared" si="1"/>
        <v/>
      </c>
      <c r="H15605" s="14" t="str">
        <f t="shared" si="2"/>
        <v/>
      </c>
      <c r="I15605" s="15" t="str">
        <f t="shared" si="3"/>
        <v/>
      </c>
    </row>
    <row r="15606">
      <c r="A15606" s="8" t="str">
        <f>IFERROR(__xludf.DUMMYFUNCTION("IF('(INGESTA)Datos_consumo_datadis'!A17171&lt;&gt;"""",SPLIT('(INGESTA)Datos_consumo_datadis'!A:A,"",""),"""")"),"")</f>
        <v/>
      </c>
      <c r="G15606" s="8" t="str">
        <f t="shared" si="1"/>
        <v/>
      </c>
      <c r="H15606" s="14" t="str">
        <f t="shared" si="2"/>
        <v/>
      </c>
      <c r="I15606" s="15" t="str">
        <f t="shared" si="3"/>
        <v/>
      </c>
    </row>
    <row r="15607">
      <c r="A15607" s="8" t="str">
        <f>IFERROR(__xludf.DUMMYFUNCTION("IF('(INGESTA)Datos_consumo_datadis'!A17172&lt;&gt;"""",SPLIT('(INGESTA)Datos_consumo_datadis'!A:A,"",""),"""")"),"")</f>
        <v/>
      </c>
      <c r="G15607" s="8" t="str">
        <f t="shared" si="1"/>
        <v/>
      </c>
      <c r="H15607" s="14" t="str">
        <f t="shared" si="2"/>
        <v/>
      </c>
      <c r="I15607" s="15" t="str">
        <f t="shared" si="3"/>
        <v/>
      </c>
    </row>
    <row r="15608">
      <c r="A15608" s="8" t="str">
        <f>IFERROR(__xludf.DUMMYFUNCTION("IF('(INGESTA)Datos_consumo_datadis'!A17173&lt;&gt;"""",SPLIT('(INGESTA)Datos_consumo_datadis'!A:A,"",""),"""")"),"")</f>
        <v/>
      </c>
      <c r="G15608" s="8" t="str">
        <f t="shared" si="1"/>
        <v/>
      </c>
      <c r="H15608" s="14" t="str">
        <f t="shared" si="2"/>
        <v/>
      </c>
      <c r="I15608" s="15" t="str">
        <f t="shared" si="3"/>
        <v/>
      </c>
    </row>
    <row r="15609">
      <c r="A15609" s="8" t="str">
        <f>IFERROR(__xludf.DUMMYFUNCTION("IF('(INGESTA)Datos_consumo_datadis'!A17174&lt;&gt;"""",SPLIT('(INGESTA)Datos_consumo_datadis'!A:A,"",""),"""")"),"")</f>
        <v/>
      </c>
      <c r="G15609" s="8" t="str">
        <f t="shared" si="1"/>
        <v/>
      </c>
      <c r="H15609" s="14" t="str">
        <f t="shared" si="2"/>
        <v/>
      </c>
      <c r="I15609" s="15" t="str">
        <f t="shared" si="3"/>
        <v/>
      </c>
    </row>
    <row r="15610">
      <c r="A15610" s="8" t="str">
        <f>IFERROR(__xludf.DUMMYFUNCTION("IF('(INGESTA)Datos_consumo_datadis'!A17175&lt;&gt;"""",SPLIT('(INGESTA)Datos_consumo_datadis'!A:A,"",""),"""")"),"")</f>
        <v/>
      </c>
      <c r="G15610" s="8" t="str">
        <f t="shared" si="1"/>
        <v/>
      </c>
      <c r="H15610" s="14" t="str">
        <f t="shared" si="2"/>
        <v/>
      </c>
      <c r="I15610" s="15" t="str">
        <f t="shared" si="3"/>
        <v/>
      </c>
    </row>
    <row r="15611">
      <c r="A15611" s="8" t="str">
        <f>IFERROR(__xludf.DUMMYFUNCTION("IF('(INGESTA)Datos_consumo_datadis'!A17176&lt;&gt;"""",SPLIT('(INGESTA)Datos_consumo_datadis'!A:A,"",""),"""")"),"")</f>
        <v/>
      </c>
      <c r="G15611" s="8" t="str">
        <f t="shared" si="1"/>
        <v/>
      </c>
      <c r="H15611" s="14" t="str">
        <f t="shared" si="2"/>
        <v/>
      </c>
      <c r="I15611" s="15" t="str">
        <f t="shared" si="3"/>
        <v/>
      </c>
    </row>
    <row r="15612">
      <c r="A15612" s="8" t="str">
        <f>IFERROR(__xludf.DUMMYFUNCTION("IF('(INGESTA)Datos_consumo_datadis'!A17177&lt;&gt;"""",SPLIT('(INGESTA)Datos_consumo_datadis'!A:A,"",""),"""")"),"")</f>
        <v/>
      </c>
      <c r="G15612" s="8" t="str">
        <f t="shared" si="1"/>
        <v/>
      </c>
      <c r="H15612" s="14" t="str">
        <f t="shared" si="2"/>
        <v/>
      </c>
      <c r="I15612" s="15" t="str">
        <f t="shared" si="3"/>
        <v/>
      </c>
    </row>
    <row r="15613">
      <c r="A15613" s="8" t="str">
        <f>IFERROR(__xludf.DUMMYFUNCTION("IF('(INGESTA)Datos_consumo_datadis'!A17178&lt;&gt;"""",SPLIT('(INGESTA)Datos_consumo_datadis'!A:A,"",""),"""")"),"")</f>
        <v/>
      </c>
      <c r="G15613" s="8" t="str">
        <f t="shared" si="1"/>
        <v/>
      </c>
      <c r="H15613" s="14" t="str">
        <f t="shared" si="2"/>
        <v/>
      </c>
      <c r="I15613" s="15" t="str">
        <f t="shared" si="3"/>
        <v/>
      </c>
    </row>
    <row r="15614">
      <c r="A15614" s="8" t="str">
        <f>IFERROR(__xludf.DUMMYFUNCTION("IF('(INGESTA)Datos_consumo_datadis'!A17179&lt;&gt;"""",SPLIT('(INGESTA)Datos_consumo_datadis'!A:A,"",""),"""")"),"")</f>
        <v/>
      </c>
      <c r="G15614" s="8" t="str">
        <f t="shared" si="1"/>
        <v/>
      </c>
      <c r="H15614" s="14" t="str">
        <f t="shared" si="2"/>
        <v/>
      </c>
      <c r="I15614" s="15" t="str">
        <f t="shared" si="3"/>
        <v/>
      </c>
    </row>
    <row r="15615">
      <c r="A15615" s="8" t="str">
        <f>IFERROR(__xludf.DUMMYFUNCTION("IF('(INGESTA)Datos_consumo_datadis'!A17180&lt;&gt;"""",SPLIT('(INGESTA)Datos_consumo_datadis'!A:A,"",""),"""")"),"")</f>
        <v/>
      </c>
      <c r="G15615" s="8" t="str">
        <f t="shared" si="1"/>
        <v/>
      </c>
      <c r="H15615" s="14" t="str">
        <f t="shared" si="2"/>
        <v/>
      </c>
      <c r="I15615" s="15" t="str">
        <f t="shared" si="3"/>
        <v/>
      </c>
    </row>
    <row r="15616">
      <c r="A15616" s="8" t="str">
        <f>IFERROR(__xludf.DUMMYFUNCTION("IF('(INGESTA)Datos_consumo_datadis'!A17181&lt;&gt;"""",SPLIT('(INGESTA)Datos_consumo_datadis'!A:A,"",""),"""")"),"")</f>
        <v/>
      </c>
      <c r="G15616" s="8" t="str">
        <f t="shared" si="1"/>
        <v/>
      </c>
      <c r="H15616" s="14" t="str">
        <f t="shared" si="2"/>
        <v/>
      </c>
      <c r="I15616" s="15" t="str">
        <f t="shared" si="3"/>
        <v/>
      </c>
    </row>
    <row r="15617">
      <c r="A15617" s="8" t="str">
        <f>IFERROR(__xludf.DUMMYFUNCTION("IF('(INGESTA)Datos_consumo_datadis'!A17182&lt;&gt;"""",SPLIT('(INGESTA)Datos_consumo_datadis'!A:A,"",""),"""")"),"")</f>
        <v/>
      </c>
      <c r="G15617" s="8" t="str">
        <f t="shared" si="1"/>
        <v/>
      </c>
      <c r="H15617" s="14" t="str">
        <f t="shared" si="2"/>
        <v/>
      </c>
      <c r="I15617" s="15" t="str">
        <f t="shared" si="3"/>
        <v/>
      </c>
    </row>
    <row r="15618">
      <c r="A15618" s="8" t="str">
        <f>IFERROR(__xludf.DUMMYFUNCTION("IF('(INGESTA)Datos_consumo_datadis'!A17183&lt;&gt;"""",SPLIT('(INGESTA)Datos_consumo_datadis'!A:A,"",""),"""")"),"")</f>
        <v/>
      </c>
      <c r="G15618" s="8" t="str">
        <f t="shared" si="1"/>
        <v/>
      </c>
      <c r="H15618" s="14" t="str">
        <f t="shared" si="2"/>
        <v/>
      </c>
      <c r="I15618" s="15" t="str">
        <f t="shared" si="3"/>
        <v/>
      </c>
    </row>
    <row r="15619">
      <c r="A15619" s="8" t="str">
        <f>IFERROR(__xludf.DUMMYFUNCTION("IF('(INGESTA)Datos_consumo_datadis'!A17184&lt;&gt;"""",SPLIT('(INGESTA)Datos_consumo_datadis'!A:A,"",""),"""")"),"")</f>
        <v/>
      </c>
      <c r="G15619" s="8" t="str">
        <f t="shared" si="1"/>
        <v/>
      </c>
      <c r="H15619" s="14" t="str">
        <f t="shared" si="2"/>
        <v/>
      </c>
      <c r="I15619" s="15" t="str">
        <f t="shared" si="3"/>
        <v/>
      </c>
    </row>
    <row r="15620">
      <c r="A15620" s="8" t="str">
        <f>IFERROR(__xludf.DUMMYFUNCTION("IF('(INGESTA)Datos_consumo_datadis'!A17185&lt;&gt;"""",SPLIT('(INGESTA)Datos_consumo_datadis'!A:A,"",""),"""")"),"")</f>
        <v/>
      </c>
      <c r="G15620" s="8" t="str">
        <f t="shared" si="1"/>
        <v/>
      </c>
      <c r="H15620" s="14" t="str">
        <f t="shared" si="2"/>
        <v/>
      </c>
      <c r="I15620" s="15" t="str">
        <f t="shared" si="3"/>
        <v/>
      </c>
    </row>
    <row r="15621">
      <c r="A15621" s="8" t="str">
        <f>IFERROR(__xludf.DUMMYFUNCTION("IF('(INGESTA)Datos_consumo_datadis'!A17186&lt;&gt;"""",SPLIT('(INGESTA)Datos_consumo_datadis'!A:A,"",""),"""")"),"")</f>
        <v/>
      </c>
      <c r="G15621" s="8" t="str">
        <f t="shared" si="1"/>
        <v/>
      </c>
      <c r="H15621" s="14" t="str">
        <f t="shared" si="2"/>
        <v/>
      </c>
      <c r="I15621" s="15" t="str">
        <f t="shared" si="3"/>
        <v/>
      </c>
    </row>
    <row r="15622">
      <c r="A15622" s="8" t="str">
        <f>IFERROR(__xludf.DUMMYFUNCTION("IF('(INGESTA)Datos_consumo_datadis'!A17187&lt;&gt;"""",SPLIT('(INGESTA)Datos_consumo_datadis'!A:A,"",""),"""")"),"")</f>
        <v/>
      </c>
      <c r="G15622" s="8" t="str">
        <f t="shared" si="1"/>
        <v/>
      </c>
      <c r="H15622" s="14" t="str">
        <f t="shared" si="2"/>
        <v/>
      </c>
      <c r="I15622" s="15" t="str">
        <f t="shared" si="3"/>
        <v/>
      </c>
    </row>
    <row r="15623">
      <c r="A15623" s="8" t="str">
        <f>IFERROR(__xludf.DUMMYFUNCTION("IF('(INGESTA)Datos_consumo_datadis'!A17188&lt;&gt;"""",SPLIT('(INGESTA)Datos_consumo_datadis'!A:A,"",""),"""")"),"")</f>
        <v/>
      </c>
      <c r="G15623" s="8" t="str">
        <f t="shared" si="1"/>
        <v/>
      </c>
      <c r="H15623" s="14" t="str">
        <f t="shared" si="2"/>
        <v/>
      </c>
      <c r="I15623" s="15" t="str">
        <f t="shared" si="3"/>
        <v/>
      </c>
    </row>
    <row r="15624">
      <c r="A15624" s="8" t="str">
        <f>IFERROR(__xludf.DUMMYFUNCTION("IF('(INGESTA)Datos_consumo_datadis'!A17189&lt;&gt;"""",SPLIT('(INGESTA)Datos_consumo_datadis'!A:A,"",""),"""")"),"")</f>
        <v/>
      </c>
      <c r="G15624" s="8" t="str">
        <f t="shared" si="1"/>
        <v/>
      </c>
      <c r="H15624" s="14" t="str">
        <f t="shared" si="2"/>
        <v/>
      </c>
      <c r="I15624" s="15" t="str">
        <f t="shared" si="3"/>
        <v/>
      </c>
    </row>
    <row r="15625">
      <c r="A15625" s="8" t="str">
        <f>IFERROR(__xludf.DUMMYFUNCTION("IF('(INGESTA)Datos_consumo_datadis'!A17190&lt;&gt;"""",SPLIT('(INGESTA)Datos_consumo_datadis'!A:A,"",""),"""")"),"")</f>
        <v/>
      </c>
      <c r="G15625" s="8" t="str">
        <f t="shared" si="1"/>
        <v/>
      </c>
      <c r="H15625" s="14" t="str">
        <f t="shared" si="2"/>
        <v/>
      </c>
      <c r="I15625" s="15" t="str">
        <f t="shared" si="3"/>
        <v/>
      </c>
    </row>
    <row r="15626">
      <c r="A15626" s="8" t="str">
        <f>IFERROR(__xludf.DUMMYFUNCTION("IF('(INGESTA)Datos_consumo_datadis'!A17191&lt;&gt;"""",SPLIT('(INGESTA)Datos_consumo_datadis'!A:A,"",""),"""")"),"")</f>
        <v/>
      </c>
      <c r="G15626" s="8" t="str">
        <f t="shared" si="1"/>
        <v/>
      </c>
      <c r="H15626" s="14" t="str">
        <f t="shared" si="2"/>
        <v/>
      </c>
      <c r="I15626" s="15" t="str">
        <f t="shared" si="3"/>
        <v/>
      </c>
    </row>
    <row r="15627">
      <c r="A15627" s="8" t="str">
        <f>IFERROR(__xludf.DUMMYFUNCTION("IF('(INGESTA)Datos_consumo_datadis'!A17192&lt;&gt;"""",SPLIT('(INGESTA)Datos_consumo_datadis'!A:A,"",""),"""")"),"")</f>
        <v/>
      </c>
      <c r="G15627" s="8" t="str">
        <f t="shared" si="1"/>
        <v/>
      </c>
      <c r="H15627" s="14" t="str">
        <f t="shared" si="2"/>
        <v/>
      </c>
      <c r="I15627" s="15" t="str">
        <f t="shared" si="3"/>
        <v/>
      </c>
    </row>
    <row r="15628">
      <c r="A15628" s="8" t="str">
        <f>IFERROR(__xludf.DUMMYFUNCTION("IF('(INGESTA)Datos_consumo_datadis'!A17193&lt;&gt;"""",SPLIT('(INGESTA)Datos_consumo_datadis'!A:A,"",""),"""")"),"")</f>
        <v/>
      </c>
      <c r="G15628" s="8" t="str">
        <f t="shared" si="1"/>
        <v/>
      </c>
      <c r="H15628" s="14" t="str">
        <f t="shared" si="2"/>
        <v/>
      </c>
      <c r="I15628" s="15" t="str">
        <f t="shared" si="3"/>
        <v/>
      </c>
    </row>
    <row r="15629">
      <c r="A15629" s="8" t="str">
        <f>IFERROR(__xludf.DUMMYFUNCTION("IF('(INGESTA)Datos_consumo_datadis'!A17194&lt;&gt;"""",SPLIT('(INGESTA)Datos_consumo_datadis'!A:A,"",""),"""")"),"")</f>
        <v/>
      </c>
      <c r="G15629" s="8" t="str">
        <f t="shared" si="1"/>
        <v/>
      </c>
      <c r="H15629" s="14" t="str">
        <f t="shared" si="2"/>
        <v/>
      </c>
      <c r="I15629" s="15" t="str">
        <f t="shared" si="3"/>
        <v/>
      </c>
    </row>
    <row r="15630">
      <c r="A15630" s="8" t="str">
        <f>IFERROR(__xludf.DUMMYFUNCTION("IF('(INGESTA)Datos_consumo_datadis'!A17195&lt;&gt;"""",SPLIT('(INGESTA)Datos_consumo_datadis'!A:A,"",""),"""")"),"")</f>
        <v/>
      </c>
      <c r="G15630" s="8" t="str">
        <f t="shared" si="1"/>
        <v/>
      </c>
      <c r="H15630" s="14" t="str">
        <f t="shared" si="2"/>
        <v/>
      </c>
      <c r="I15630" s="15" t="str">
        <f t="shared" si="3"/>
        <v/>
      </c>
    </row>
    <row r="15631">
      <c r="A15631" s="8" t="str">
        <f>IFERROR(__xludf.DUMMYFUNCTION("IF('(INGESTA)Datos_consumo_datadis'!A17196&lt;&gt;"""",SPLIT('(INGESTA)Datos_consumo_datadis'!A:A,"",""),"""")"),"")</f>
        <v/>
      </c>
      <c r="G15631" s="8" t="str">
        <f t="shared" si="1"/>
        <v/>
      </c>
      <c r="H15631" s="14" t="str">
        <f t="shared" si="2"/>
        <v/>
      </c>
      <c r="I15631" s="15" t="str">
        <f t="shared" si="3"/>
        <v/>
      </c>
    </row>
    <row r="15632">
      <c r="A15632" s="8" t="str">
        <f>IFERROR(__xludf.DUMMYFUNCTION("IF('(INGESTA)Datos_consumo_datadis'!A17197&lt;&gt;"""",SPLIT('(INGESTA)Datos_consumo_datadis'!A:A,"",""),"""")"),"")</f>
        <v/>
      </c>
      <c r="G15632" s="8" t="str">
        <f t="shared" si="1"/>
        <v/>
      </c>
      <c r="H15632" s="14" t="str">
        <f t="shared" si="2"/>
        <v/>
      </c>
      <c r="I15632" s="15" t="str">
        <f t="shared" si="3"/>
        <v/>
      </c>
    </row>
    <row r="15633">
      <c r="A15633" s="8" t="str">
        <f>IFERROR(__xludf.DUMMYFUNCTION("IF('(INGESTA)Datos_consumo_datadis'!A17198&lt;&gt;"""",SPLIT('(INGESTA)Datos_consumo_datadis'!A:A,"",""),"""")"),"")</f>
        <v/>
      </c>
      <c r="G15633" s="8" t="str">
        <f t="shared" si="1"/>
        <v/>
      </c>
      <c r="H15633" s="14" t="str">
        <f t="shared" si="2"/>
        <v/>
      </c>
      <c r="I15633" s="15" t="str">
        <f t="shared" si="3"/>
        <v/>
      </c>
    </row>
    <row r="15634">
      <c r="A15634" s="8" t="str">
        <f>IFERROR(__xludf.DUMMYFUNCTION("IF('(INGESTA)Datos_consumo_datadis'!A17199&lt;&gt;"""",SPLIT('(INGESTA)Datos_consumo_datadis'!A:A,"",""),"""")"),"")</f>
        <v/>
      </c>
      <c r="G15634" s="8" t="str">
        <f t="shared" si="1"/>
        <v/>
      </c>
      <c r="H15634" s="14" t="str">
        <f t="shared" si="2"/>
        <v/>
      </c>
      <c r="I15634" s="15" t="str">
        <f t="shared" si="3"/>
        <v/>
      </c>
    </row>
    <row r="15635">
      <c r="A15635" s="8" t="str">
        <f>IFERROR(__xludf.DUMMYFUNCTION("IF('(INGESTA)Datos_consumo_datadis'!A17200&lt;&gt;"""",SPLIT('(INGESTA)Datos_consumo_datadis'!A:A,"",""),"""")"),"")</f>
        <v/>
      </c>
      <c r="G15635" s="8" t="str">
        <f t="shared" si="1"/>
        <v/>
      </c>
      <c r="H15635" s="14" t="str">
        <f t="shared" si="2"/>
        <v/>
      </c>
      <c r="I15635" s="15" t="str">
        <f t="shared" si="3"/>
        <v/>
      </c>
    </row>
    <row r="15636">
      <c r="A15636" s="8" t="str">
        <f>IFERROR(__xludf.DUMMYFUNCTION("IF('(INGESTA)Datos_consumo_datadis'!A17201&lt;&gt;"""",SPLIT('(INGESTA)Datos_consumo_datadis'!A:A,"",""),"""")"),"")</f>
        <v/>
      </c>
      <c r="G15636" s="8" t="str">
        <f t="shared" si="1"/>
        <v/>
      </c>
      <c r="H15636" s="14" t="str">
        <f t="shared" si="2"/>
        <v/>
      </c>
      <c r="I15636" s="15" t="str">
        <f t="shared" si="3"/>
        <v/>
      </c>
    </row>
    <row r="15637">
      <c r="A15637" s="8" t="str">
        <f>IFERROR(__xludf.DUMMYFUNCTION("IF('(INGESTA)Datos_consumo_datadis'!A17202&lt;&gt;"""",SPLIT('(INGESTA)Datos_consumo_datadis'!A:A,"",""),"""")"),"")</f>
        <v/>
      </c>
      <c r="G15637" s="8" t="str">
        <f t="shared" si="1"/>
        <v/>
      </c>
      <c r="H15637" s="14" t="str">
        <f t="shared" si="2"/>
        <v/>
      </c>
      <c r="I15637" s="15" t="str">
        <f t="shared" si="3"/>
        <v/>
      </c>
    </row>
    <row r="15638">
      <c r="A15638" s="8" t="str">
        <f>IFERROR(__xludf.DUMMYFUNCTION("IF('(INGESTA)Datos_consumo_datadis'!A17203&lt;&gt;"""",SPLIT('(INGESTA)Datos_consumo_datadis'!A:A,"",""),"""")"),"")</f>
        <v/>
      </c>
      <c r="G15638" s="8" t="str">
        <f t="shared" si="1"/>
        <v/>
      </c>
      <c r="H15638" s="14" t="str">
        <f t="shared" si="2"/>
        <v/>
      </c>
      <c r="I15638" s="15" t="str">
        <f t="shared" si="3"/>
        <v/>
      </c>
    </row>
    <row r="15639">
      <c r="A15639" s="8" t="str">
        <f>IFERROR(__xludf.DUMMYFUNCTION("IF('(INGESTA)Datos_consumo_datadis'!A17204&lt;&gt;"""",SPLIT('(INGESTA)Datos_consumo_datadis'!A:A,"",""),"""")"),"")</f>
        <v/>
      </c>
      <c r="G15639" s="8" t="str">
        <f t="shared" si="1"/>
        <v/>
      </c>
      <c r="H15639" s="14" t="str">
        <f t="shared" si="2"/>
        <v/>
      </c>
      <c r="I15639" s="15" t="str">
        <f t="shared" si="3"/>
        <v/>
      </c>
    </row>
    <row r="15640">
      <c r="A15640" s="8" t="str">
        <f>IFERROR(__xludf.DUMMYFUNCTION("IF('(INGESTA)Datos_consumo_datadis'!A17205&lt;&gt;"""",SPLIT('(INGESTA)Datos_consumo_datadis'!A:A,"",""),"""")"),"")</f>
        <v/>
      </c>
      <c r="G15640" s="8" t="str">
        <f t="shared" si="1"/>
        <v/>
      </c>
      <c r="H15640" s="14" t="str">
        <f t="shared" si="2"/>
        <v/>
      </c>
      <c r="I15640" s="15" t="str">
        <f t="shared" si="3"/>
        <v/>
      </c>
    </row>
    <row r="15641">
      <c r="A15641" s="8" t="str">
        <f>IFERROR(__xludf.DUMMYFUNCTION("IF('(INGESTA)Datos_consumo_datadis'!A17206&lt;&gt;"""",SPLIT('(INGESTA)Datos_consumo_datadis'!A:A,"",""),"""")"),"")</f>
        <v/>
      </c>
      <c r="G15641" s="8" t="str">
        <f t="shared" si="1"/>
        <v/>
      </c>
      <c r="H15641" s="14" t="str">
        <f t="shared" si="2"/>
        <v/>
      </c>
      <c r="I15641" s="15" t="str">
        <f t="shared" si="3"/>
        <v/>
      </c>
    </row>
    <row r="15642">
      <c r="A15642" s="8" t="str">
        <f>IFERROR(__xludf.DUMMYFUNCTION("IF('(INGESTA)Datos_consumo_datadis'!A17207&lt;&gt;"""",SPLIT('(INGESTA)Datos_consumo_datadis'!A:A,"",""),"""")"),"")</f>
        <v/>
      </c>
      <c r="G15642" s="8" t="str">
        <f t="shared" si="1"/>
        <v/>
      </c>
      <c r="H15642" s="14" t="str">
        <f t="shared" si="2"/>
        <v/>
      </c>
      <c r="I15642" s="15" t="str">
        <f t="shared" si="3"/>
        <v/>
      </c>
    </row>
    <row r="15643">
      <c r="A15643" s="8" t="str">
        <f>IFERROR(__xludf.DUMMYFUNCTION("IF('(INGESTA)Datos_consumo_datadis'!A17208&lt;&gt;"""",SPLIT('(INGESTA)Datos_consumo_datadis'!A:A,"",""),"""")"),"")</f>
        <v/>
      </c>
      <c r="G15643" s="8" t="str">
        <f t="shared" si="1"/>
        <v/>
      </c>
      <c r="H15643" s="14" t="str">
        <f t="shared" si="2"/>
        <v/>
      </c>
      <c r="I15643" s="15" t="str">
        <f t="shared" si="3"/>
        <v/>
      </c>
    </row>
    <row r="15644">
      <c r="A15644" s="8" t="str">
        <f>IFERROR(__xludf.DUMMYFUNCTION("IF('(INGESTA)Datos_consumo_datadis'!A17209&lt;&gt;"""",SPLIT('(INGESTA)Datos_consumo_datadis'!A:A,"",""),"""")"),"")</f>
        <v/>
      </c>
      <c r="G15644" s="8" t="str">
        <f t="shared" si="1"/>
        <v/>
      </c>
      <c r="H15644" s="14" t="str">
        <f t="shared" si="2"/>
        <v/>
      </c>
      <c r="I15644" s="15" t="str">
        <f t="shared" si="3"/>
        <v/>
      </c>
    </row>
    <row r="15645">
      <c r="A15645" s="8" t="str">
        <f>IFERROR(__xludf.DUMMYFUNCTION("IF('(INGESTA)Datos_consumo_datadis'!A17210&lt;&gt;"""",SPLIT('(INGESTA)Datos_consumo_datadis'!A:A,"",""),"""")"),"")</f>
        <v/>
      </c>
      <c r="G15645" s="8" t="str">
        <f t="shared" si="1"/>
        <v/>
      </c>
      <c r="H15645" s="14" t="str">
        <f t="shared" si="2"/>
        <v/>
      </c>
      <c r="I15645" s="15" t="str">
        <f t="shared" si="3"/>
        <v/>
      </c>
    </row>
    <row r="15646">
      <c r="A15646" s="8" t="str">
        <f>IFERROR(__xludf.DUMMYFUNCTION("IF('(INGESTA)Datos_consumo_datadis'!A17211&lt;&gt;"""",SPLIT('(INGESTA)Datos_consumo_datadis'!A:A,"",""),"""")"),"")</f>
        <v/>
      </c>
      <c r="G15646" s="8" t="str">
        <f t="shared" si="1"/>
        <v/>
      </c>
      <c r="H15646" s="14" t="str">
        <f t="shared" si="2"/>
        <v/>
      </c>
      <c r="I15646" s="15" t="str">
        <f t="shared" si="3"/>
        <v/>
      </c>
    </row>
    <row r="15647">
      <c r="A15647" s="8" t="str">
        <f>IFERROR(__xludf.DUMMYFUNCTION("IF('(INGESTA)Datos_consumo_datadis'!A17212&lt;&gt;"""",SPLIT('(INGESTA)Datos_consumo_datadis'!A:A,"",""),"""")"),"")</f>
        <v/>
      </c>
      <c r="G15647" s="8" t="str">
        <f t="shared" si="1"/>
        <v/>
      </c>
      <c r="H15647" s="14" t="str">
        <f t="shared" si="2"/>
        <v/>
      </c>
      <c r="I15647" s="15" t="str">
        <f t="shared" si="3"/>
        <v/>
      </c>
    </row>
    <row r="15648">
      <c r="A15648" s="8" t="str">
        <f>IFERROR(__xludf.DUMMYFUNCTION("IF('(INGESTA)Datos_consumo_datadis'!A17213&lt;&gt;"""",SPLIT('(INGESTA)Datos_consumo_datadis'!A:A,"",""),"""")"),"")</f>
        <v/>
      </c>
      <c r="G15648" s="8" t="str">
        <f t="shared" si="1"/>
        <v/>
      </c>
      <c r="H15648" s="14" t="str">
        <f t="shared" si="2"/>
        <v/>
      </c>
      <c r="I15648" s="15" t="str">
        <f t="shared" si="3"/>
        <v/>
      </c>
    </row>
    <row r="15649">
      <c r="A15649" s="8" t="str">
        <f>IFERROR(__xludf.DUMMYFUNCTION("IF('(INGESTA)Datos_consumo_datadis'!A17214&lt;&gt;"""",SPLIT('(INGESTA)Datos_consumo_datadis'!A:A,"",""),"""")"),"")</f>
        <v/>
      </c>
      <c r="G15649" s="8" t="str">
        <f t="shared" si="1"/>
        <v/>
      </c>
      <c r="H15649" s="14" t="str">
        <f t="shared" si="2"/>
        <v/>
      </c>
      <c r="I15649" s="15" t="str">
        <f t="shared" si="3"/>
        <v/>
      </c>
    </row>
    <row r="15650">
      <c r="A15650" s="8" t="str">
        <f>IFERROR(__xludf.DUMMYFUNCTION("IF('(INGESTA)Datos_consumo_datadis'!A17215&lt;&gt;"""",SPLIT('(INGESTA)Datos_consumo_datadis'!A:A,"",""),"""")"),"")</f>
        <v/>
      </c>
      <c r="G15650" s="8" t="str">
        <f t="shared" si="1"/>
        <v/>
      </c>
      <c r="H15650" s="14" t="str">
        <f t="shared" si="2"/>
        <v/>
      </c>
      <c r="I15650" s="15" t="str">
        <f t="shared" si="3"/>
        <v/>
      </c>
    </row>
    <row r="15651">
      <c r="A15651" s="8" t="str">
        <f>IFERROR(__xludf.DUMMYFUNCTION("IF('(INGESTA)Datos_consumo_datadis'!A17216&lt;&gt;"""",SPLIT('(INGESTA)Datos_consumo_datadis'!A:A,"",""),"""")"),"")</f>
        <v/>
      </c>
      <c r="G15651" s="8" t="str">
        <f t="shared" si="1"/>
        <v/>
      </c>
      <c r="H15651" s="14" t="str">
        <f t="shared" si="2"/>
        <v/>
      </c>
      <c r="I15651" s="15" t="str">
        <f t="shared" si="3"/>
        <v/>
      </c>
    </row>
    <row r="15652">
      <c r="A15652" s="8" t="str">
        <f>IFERROR(__xludf.DUMMYFUNCTION("IF('(INGESTA)Datos_consumo_datadis'!A17217&lt;&gt;"""",SPLIT('(INGESTA)Datos_consumo_datadis'!A:A,"",""),"""")"),"")</f>
        <v/>
      </c>
      <c r="G15652" s="8" t="str">
        <f t="shared" si="1"/>
        <v/>
      </c>
      <c r="H15652" s="14" t="str">
        <f t="shared" si="2"/>
        <v/>
      </c>
      <c r="I15652" s="15" t="str">
        <f t="shared" si="3"/>
        <v/>
      </c>
    </row>
    <row r="15653">
      <c r="A15653" s="8" t="str">
        <f>IFERROR(__xludf.DUMMYFUNCTION("IF('(INGESTA)Datos_consumo_datadis'!A17218&lt;&gt;"""",SPLIT('(INGESTA)Datos_consumo_datadis'!A:A,"",""),"""")"),"")</f>
        <v/>
      </c>
      <c r="G15653" s="8" t="str">
        <f t="shared" si="1"/>
        <v/>
      </c>
      <c r="H15653" s="14" t="str">
        <f t="shared" si="2"/>
        <v/>
      </c>
      <c r="I15653" s="15" t="str">
        <f t="shared" si="3"/>
        <v/>
      </c>
    </row>
    <row r="15654">
      <c r="A15654" s="8" t="str">
        <f>IFERROR(__xludf.DUMMYFUNCTION("IF('(INGESTA)Datos_consumo_datadis'!A17219&lt;&gt;"""",SPLIT('(INGESTA)Datos_consumo_datadis'!A:A,"",""),"""")"),"")</f>
        <v/>
      </c>
      <c r="G15654" s="8" t="str">
        <f t="shared" si="1"/>
        <v/>
      </c>
      <c r="H15654" s="14" t="str">
        <f t="shared" si="2"/>
        <v/>
      </c>
      <c r="I15654" s="15" t="str">
        <f t="shared" si="3"/>
        <v/>
      </c>
    </row>
    <row r="15655">
      <c r="A15655" s="8" t="str">
        <f>IFERROR(__xludf.DUMMYFUNCTION("IF('(INGESTA)Datos_consumo_datadis'!A17220&lt;&gt;"""",SPLIT('(INGESTA)Datos_consumo_datadis'!A:A,"",""),"""")"),"")</f>
        <v/>
      </c>
      <c r="G15655" s="8" t="str">
        <f t="shared" si="1"/>
        <v/>
      </c>
      <c r="H15655" s="14" t="str">
        <f t="shared" si="2"/>
        <v/>
      </c>
      <c r="I15655" s="15" t="str">
        <f t="shared" si="3"/>
        <v/>
      </c>
    </row>
    <row r="15656">
      <c r="A15656" s="8" t="str">
        <f>IFERROR(__xludf.DUMMYFUNCTION("IF('(INGESTA)Datos_consumo_datadis'!A17221&lt;&gt;"""",SPLIT('(INGESTA)Datos_consumo_datadis'!A:A,"",""),"""")"),"")</f>
        <v/>
      </c>
      <c r="G15656" s="8" t="str">
        <f t="shared" si="1"/>
        <v/>
      </c>
      <c r="H15656" s="14" t="str">
        <f t="shared" si="2"/>
        <v/>
      </c>
      <c r="I15656" s="15" t="str">
        <f t="shared" si="3"/>
        <v/>
      </c>
    </row>
    <row r="15657">
      <c r="A15657" s="8" t="str">
        <f>IFERROR(__xludf.DUMMYFUNCTION("IF('(INGESTA)Datos_consumo_datadis'!A17222&lt;&gt;"""",SPLIT('(INGESTA)Datos_consumo_datadis'!A:A,"",""),"""")"),"")</f>
        <v/>
      </c>
      <c r="G15657" s="8" t="str">
        <f t="shared" si="1"/>
        <v/>
      </c>
      <c r="H15657" s="14" t="str">
        <f t="shared" si="2"/>
        <v/>
      </c>
      <c r="I15657" s="15" t="str">
        <f t="shared" si="3"/>
        <v/>
      </c>
    </row>
    <row r="15658">
      <c r="A15658" s="8" t="str">
        <f>IFERROR(__xludf.DUMMYFUNCTION("IF('(INGESTA)Datos_consumo_datadis'!A17223&lt;&gt;"""",SPLIT('(INGESTA)Datos_consumo_datadis'!A:A,"",""),"""")"),"")</f>
        <v/>
      </c>
      <c r="G15658" s="8" t="str">
        <f t="shared" si="1"/>
        <v/>
      </c>
      <c r="H15658" s="14" t="str">
        <f t="shared" si="2"/>
        <v/>
      </c>
      <c r="I15658" s="15" t="str">
        <f t="shared" si="3"/>
        <v/>
      </c>
    </row>
    <row r="15659">
      <c r="A15659" s="8" t="str">
        <f>IFERROR(__xludf.DUMMYFUNCTION("IF('(INGESTA)Datos_consumo_datadis'!A17224&lt;&gt;"""",SPLIT('(INGESTA)Datos_consumo_datadis'!A:A,"",""),"""")"),"")</f>
        <v/>
      </c>
      <c r="G15659" s="8" t="str">
        <f t="shared" si="1"/>
        <v/>
      </c>
      <c r="H15659" s="14" t="str">
        <f t="shared" si="2"/>
        <v/>
      </c>
      <c r="I15659" s="15" t="str">
        <f t="shared" si="3"/>
        <v/>
      </c>
    </row>
    <row r="15660">
      <c r="A15660" s="8" t="str">
        <f>IFERROR(__xludf.DUMMYFUNCTION("IF('(INGESTA)Datos_consumo_datadis'!A17225&lt;&gt;"""",SPLIT('(INGESTA)Datos_consumo_datadis'!A:A,"",""),"""")"),"")</f>
        <v/>
      </c>
      <c r="G15660" s="8" t="str">
        <f t="shared" si="1"/>
        <v/>
      </c>
      <c r="H15660" s="14" t="str">
        <f t="shared" si="2"/>
        <v/>
      </c>
      <c r="I15660" s="15" t="str">
        <f t="shared" si="3"/>
        <v/>
      </c>
    </row>
    <row r="15661">
      <c r="A15661" s="8" t="str">
        <f>IFERROR(__xludf.DUMMYFUNCTION("IF('(INGESTA)Datos_consumo_datadis'!A17226&lt;&gt;"""",SPLIT('(INGESTA)Datos_consumo_datadis'!A:A,"",""),"""")"),"")</f>
        <v/>
      </c>
      <c r="G15661" s="8" t="str">
        <f t="shared" si="1"/>
        <v/>
      </c>
      <c r="H15661" s="14" t="str">
        <f t="shared" si="2"/>
        <v/>
      </c>
      <c r="I15661" s="15" t="str">
        <f t="shared" si="3"/>
        <v/>
      </c>
    </row>
    <row r="15662">
      <c r="A15662" s="8" t="str">
        <f>IFERROR(__xludf.DUMMYFUNCTION("IF('(INGESTA)Datos_consumo_datadis'!A17227&lt;&gt;"""",SPLIT('(INGESTA)Datos_consumo_datadis'!A:A,"",""),"""")"),"")</f>
        <v/>
      </c>
      <c r="G15662" s="8" t="str">
        <f t="shared" si="1"/>
        <v/>
      </c>
      <c r="H15662" s="14" t="str">
        <f t="shared" si="2"/>
        <v/>
      </c>
      <c r="I15662" s="15" t="str">
        <f t="shared" si="3"/>
        <v/>
      </c>
    </row>
    <row r="15663">
      <c r="A15663" s="8" t="str">
        <f>IFERROR(__xludf.DUMMYFUNCTION("IF('(INGESTA)Datos_consumo_datadis'!A17228&lt;&gt;"""",SPLIT('(INGESTA)Datos_consumo_datadis'!A:A,"",""),"""")"),"")</f>
        <v/>
      </c>
      <c r="G15663" s="8" t="str">
        <f t="shared" si="1"/>
        <v/>
      </c>
      <c r="H15663" s="14" t="str">
        <f t="shared" si="2"/>
        <v/>
      </c>
      <c r="I15663" s="15" t="str">
        <f t="shared" si="3"/>
        <v/>
      </c>
    </row>
    <row r="15664">
      <c r="A15664" s="8" t="str">
        <f>IFERROR(__xludf.DUMMYFUNCTION("IF('(INGESTA)Datos_consumo_datadis'!A17229&lt;&gt;"""",SPLIT('(INGESTA)Datos_consumo_datadis'!A:A,"",""),"""")"),"")</f>
        <v/>
      </c>
      <c r="G15664" s="8" t="str">
        <f t="shared" si="1"/>
        <v/>
      </c>
      <c r="H15664" s="14" t="str">
        <f t="shared" si="2"/>
        <v/>
      </c>
      <c r="I15664" s="15" t="str">
        <f t="shared" si="3"/>
        <v/>
      </c>
    </row>
    <row r="15665">
      <c r="A15665" s="8" t="str">
        <f>IFERROR(__xludf.DUMMYFUNCTION("IF('(INGESTA)Datos_consumo_datadis'!A17230&lt;&gt;"""",SPLIT('(INGESTA)Datos_consumo_datadis'!A:A,"",""),"""")"),"")</f>
        <v/>
      </c>
      <c r="G15665" s="8" t="str">
        <f t="shared" si="1"/>
        <v/>
      </c>
      <c r="H15665" s="14" t="str">
        <f t="shared" si="2"/>
        <v/>
      </c>
      <c r="I15665" s="15" t="str">
        <f t="shared" si="3"/>
        <v/>
      </c>
    </row>
    <row r="15666">
      <c r="A15666" s="8" t="str">
        <f>IFERROR(__xludf.DUMMYFUNCTION("IF('(INGESTA)Datos_consumo_datadis'!A17231&lt;&gt;"""",SPLIT('(INGESTA)Datos_consumo_datadis'!A:A,"",""),"""")"),"")</f>
        <v/>
      </c>
      <c r="G15666" s="8" t="str">
        <f t="shared" si="1"/>
        <v/>
      </c>
      <c r="H15666" s="14" t="str">
        <f t="shared" si="2"/>
        <v/>
      </c>
      <c r="I15666" s="15" t="str">
        <f t="shared" si="3"/>
        <v/>
      </c>
    </row>
    <row r="15667">
      <c r="A15667" s="8" t="str">
        <f>IFERROR(__xludf.DUMMYFUNCTION("IF('(INGESTA)Datos_consumo_datadis'!A17232&lt;&gt;"""",SPLIT('(INGESTA)Datos_consumo_datadis'!A:A,"",""),"""")"),"")</f>
        <v/>
      </c>
      <c r="G15667" s="8" t="str">
        <f t="shared" si="1"/>
        <v/>
      </c>
      <c r="H15667" s="14" t="str">
        <f t="shared" si="2"/>
        <v/>
      </c>
      <c r="I15667" s="15" t="str">
        <f t="shared" si="3"/>
        <v/>
      </c>
    </row>
    <row r="15668">
      <c r="A15668" s="8" t="str">
        <f>IFERROR(__xludf.DUMMYFUNCTION("IF('(INGESTA)Datos_consumo_datadis'!A17233&lt;&gt;"""",SPLIT('(INGESTA)Datos_consumo_datadis'!A:A,"",""),"""")"),"")</f>
        <v/>
      </c>
      <c r="G15668" s="8" t="str">
        <f t="shared" si="1"/>
        <v/>
      </c>
      <c r="H15668" s="14" t="str">
        <f t="shared" si="2"/>
        <v/>
      </c>
      <c r="I15668" s="15" t="str">
        <f t="shared" si="3"/>
        <v/>
      </c>
    </row>
    <row r="15669">
      <c r="A15669" s="8" t="str">
        <f>IFERROR(__xludf.DUMMYFUNCTION("IF('(INGESTA)Datos_consumo_datadis'!A17234&lt;&gt;"""",SPLIT('(INGESTA)Datos_consumo_datadis'!A:A,"",""),"""")"),"")</f>
        <v/>
      </c>
      <c r="G15669" s="8" t="str">
        <f t="shared" si="1"/>
        <v/>
      </c>
      <c r="H15669" s="14" t="str">
        <f t="shared" si="2"/>
        <v/>
      </c>
      <c r="I15669" s="15" t="str">
        <f t="shared" si="3"/>
        <v/>
      </c>
    </row>
    <row r="15670">
      <c r="A15670" s="8" t="str">
        <f>IFERROR(__xludf.DUMMYFUNCTION("IF('(INGESTA)Datos_consumo_datadis'!A17235&lt;&gt;"""",SPLIT('(INGESTA)Datos_consumo_datadis'!A:A,"",""),"""")"),"")</f>
        <v/>
      </c>
      <c r="G15670" s="8" t="str">
        <f t="shared" si="1"/>
        <v/>
      </c>
      <c r="H15670" s="14" t="str">
        <f t="shared" si="2"/>
        <v/>
      </c>
      <c r="I15670" s="15" t="str">
        <f t="shared" si="3"/>
        <v/>
      </c>
    </row>
    <row r="15671">
      <c r="A15671" s="8" t="str">
        <f>IFERROR(__xludf.DUMMYFUNCTION("IF('(INGESTA)Datos_consumo_datadis'!A17236&lt;&gt;"""",SPLIT('(INGESTA)Datos_consumo_datadis'!A:A,"",""),"""")"),"")</f>
        <v/>
      </c>
      <c r="G15671" s="8" t="str">
        <f t="shared" si="1"/>
        <v/>
      </c>
      <c r="H15671" s="14" t="str">
        <f t="shared" si="2"/>
        <v/>
      </c>
      <c r="I15671" s="15" t="str">
        <f t="shared" si="3"/>
        <v/>
      </c>
    </row>
    <row r="15672">
      <c r="A15672" s="8" t="str">
        <f>IFERROR(__xludf.DUMMYFUNCTION("IF('(INGESTA)Datos_consumo_datadis'!A17237&lt;&gt;"""",SPLIT('(INGESTA)Datos_consumo_datadis'!A:A,"",""),"""")"),"")</f>
        <v/>
      </c>
      <c r="G15672" s="8" t="str">
        <f t="shared" si="1"/>
        <v/>
      </c>
      <c r="H15672" s="14" t="str">
        <f t="shared" si="2"/>
        <v/>
      </c>
      <c r="I15672" s="15" t="str">
        <f t="shared" si="3"/>
        <v/>
      </c>
    </row>
    <row r="15673">
      <c r="A15673" s="8" t="str">
        <f>IFERROR(__xludf.DUMMYFUNCTION("IF('(INGESTA)Datos_consumo_datadis'!A17238&lt;&gt;"""",SPLIT('(INGESTA)Datos_consumo_datadis'!A:A,"",""),"""")"),"")</f>
        <v/>
      </c>
      <c r="G15673" s="8" t="str">
        <f t="shared" si="1"/>
        <v/>
      </c>
      <c r="H15673" s="14" t="str">
        <f t="shared" si="2"/>
        <v/>
      </c>
      <c r="I15673" s="15" t="str">
        <f t="shared" si="3"/>
        <v/>
      </c>
    </row>
    <row r="15674">
      <c r="A15674" s="8" t="str">
        <f>IFERROR(__xludf.DUMMYFUNCTION("IF('(INGESTA)Datos_consumo_datadis'!A17239&lt;&gt;"""",SPLIT('(INGESTA)Datos_consumo_datadis'!A:A,"",""),"""")"),"")</f>
        <v/>
      </c>
      <c r="G15674" s="8" t="str">
        <f t="shared" si="1"/>
        <v/>
      </c>
      <c r="H15674" s="14" t="str">
        <f t="shared" si="2"/>
        <v/>
      </c>
      <c r="I15674" s="15" t="str">
        <f t="shared" si="3"/>
        <v/>
      </c>
    </row>
    <row r="15675">
      <c r="A15675" s="8" t="str">
        <f>IFERROR(__xludf.DUMMYFUNCTION("IF('(INGESTA)Datos_consumo_datadis'!A17240&lt;&gt;"""",SPLIT('(INGESTA)Datos_consumo_datadis'!A:A,"",""),"""")"),"")</f>
        <v/>
      </c>
      <c r="G15675" s="8" t="str">
        <f t="shared" si="1"/>
        <v/>
      </c>
      <c r="H15675" s="14" t="str">
        <f t="shared" si="2"/>
        <v/>
      </c>
      <c r="I15675" s="15" t="str">
        <f t="shared" si="3"/>
        <v/>
      </c>
    </row>
    <row r="15676">
      <c r="A15676" s="8" t="str">
        <f>IFERROR(__xludf.DUMMYFUNCTION("IF('(INGESTA)Datos_consumo_datadis'!A17241&lt;&gt;"""",SPLIT('(INGESTA)Datos_consumo_datadis'!A:A,"",""),"""")"),"")</f>
        <v/>
      </c>
      <c r="G15676" s="8" t="str">
        <f t="shared" si="1"/>
        <v/>
      </c>
      <c r="H15676" s="14" t="str">
        <f t="shared" si="2"/>
        <v/>
      </c>
      <c r="I15676" s="15" t="str">
        <f t="shared" si="3"/>
        <v/>
      </c>
    </row>
    <row r="15677">
      <c r="A15677" s="8" t="str">
        <f>IFERROR(__xludf.DUMMYFUNCTION("IF('(INGESTA)Datos_consumo_datadis'!A17242&lt;&gt;"""",SPLIT('(INGESTA)Datos_consumo_datadis'!A:A,"",""),"""")"),"")</f>
        <v/>
      </c>
      <c r="G15677" s="8" t="str">
        <f t="shared" si="1"/>
        <v/>
      </c>
      <c r="H15677" s="14" t="str">
        <f t="shared" si="2"/>
        <v/>
      </c>
      <c r="I15677" s="15" t="str">
        <f t="shared" si="3"/>
        <v/>
      </c>
    </row>
    <row r="15678">
      <c r="A15678" s="8" t="str">
        <f>IFERROR(__xludf.DUMMYFUNCTION("IF('(INGESTA)Datos_consumo_datadis'!A17243&lt;&gt;"""",SPLIT('(INGESTA)Datos_consumo_datadis'!A:A,"",""),"""")"),"")</f>
        <v/>
      </c>
      <c r="G15678" s="8" t="str">
        <f t="shared" si="1"/>
        <v/>
      </c>
      <c r="H15678" s="14" t="str">
        <f t="shared" si="2"/>
        <v/>
      </c>
      <c r="I15678" s="15" t="str">
        <f t="shared" si="3"/>
        <v/>
      </c>
    </row>
    <row r="15679">
      <c r="A15679" s="8" t="str">
        <f>IFERROR(__xludf.DUMMYFUNCTION("IF('(INGESTA)Datos_consumo_datadis'!A17244&lt;&gt;"""",SPLIT('(INGESTA)Datos_consumo_datadis'!A:A,"",""),"""")"),"")</f>
        <v/>
      </c>
      <c r="G15679" s="8" t="str">
        <f t="shared" si="1"/>
        <v/>
      </c>
      <c r="H15679" s="14" t="str">
        <f t="shared" si="2"/>
        <v/>
      </c>
      <c r="I15679" s="15" t="str">
        <f t="shared" si="3"/>
        <v/>
      </c>
    </row>
    <row r="15680">
      <c r="A15680" s="8" t="str">
        <f>IFERROR(__xludf.DUMMYFUNCTION("IF('(INGESTA)Datos_consumo_datadis'!A17245&lt;&gt;"""",SPLIT('(INGESTA)Datos_consumo_datadis'!A:A,"",""),"""")"),"")</f>
        <v/>
      </c>
      <c r="G15680" s="8" t="str">
        <f t="shared" si="1"/>
        <v/>
      </c>
      <c r="H15680" s="14" t="str">
        <f t="shared" si="2"/>
        <v/>
      </c>
      <c r="I15680" s="15" t="str">
        <f t="shared" si="3"/>
        <v/>
      </c>
    </row>
    <row r="15681">
      <c r="A15681" s="8" t="str">
        <f>IFERROR(__xludf.DUMMYFUNCTION("IF('(INGESTA)Datos_consumo_datadis'!A17246&lt;&gt;"""",SPLIT('(INGESTA)Datos_consumo_datadis'!A:A,"",""),"""")"),"")</f>
        <v/>
      </c>
      <c r="G15681" s="8" t="str">
        <f t="shared" si="1"/>
        <v/>
      </c>
      <c r="H15681" s="14" t="str">
        <f t="shared" si="2"/>
        <v/>
      </c>
      <c r="I15681" s="15" t="str">
        <f t="shared" si="3"/>
        <v/>
      </c>
    </row>
    <row r="15682">
      <c r="A15682" s="8" t="str">
        <f>IFERROR(__xludf.DUMMYFUNCTION("IF('(INGESTA)Datos_consumo_datadis'!A17247&lt;&gt;"""",SPLIT('(INGESTA)Datos_consumo_datadis'!A:A,"",""),"""")"),"")</f>
        <v/>
      </c>
      <c r="G15682" s="8" t="str">
        <f t="shared" si="1"/>
        <v/>
      </c>
      <c r="H15682" s="14" t="str">
        <f t="shared" si="2"/>
        <v/>
      </c>
      <c r="I15682" s="15" t="str">
        <f t="shared" si="3"/>
        <v/>
      </c>
    </row>
    <row r="15683">
      <c r="A15683" s="8" t="str">
        <f>IFERROR(__xludf.DUMMYFUNCTION("IF('(INGESTA)Datos_consumo_datadis'!A17248&lt;&gt;"""",SPLIT('(INGESTA)Datos_consumo_datadis'!A:A,"",""),"""")"),"")</f>
        <v/>
      </c>
      <c r="G15683" s="8" t="str">
        <f t="shared" si="1"/>
        <v/>
      </c>
      <c r="H15683" s="14" t="str">
        <f t="shared" si="2"/>
        <v/>
      </c>
      <c r="I15683" s="15" t="str">
        <f t="shared" si="3"/>
        <v/>
      </c>
    </row>
    <row r="15684">
      <c r="A15684" s="8" t="str">
        <f>IFERROR(__xludf.DUMMYFUNCTION("IF('(INGESTA)Datos_consumo_datadis'!A17249&lt;&gt;"""",SPLIT('(INGESTA)Datos_consumo_datadis'!A:A,"",""),"""")"),"")</f>
        <v/>
      </c>
      <c r="G15684" s="8" t="str">
        <f t="shared" si="1"/>
        <v/>
      </c>
      <c r="H15684" s="14" t="str">
        <f t="shared" si="2"/>
        <v/>
      </c>
      <c r="I15684" s="15" t="str">
        <f t="shared" si="3"/>
        <v/>
      </c>
    </row>
    <row r="15685">
      <c r="A15685" s="8" t="str">
        <f>IFERROR(__xludf.DUMMYFUNCTION("IF('(INGESTA)Datos_consumo_datadis'!A17250&lt;&gt;"""",SPLIT('(INGESTA)Datos_consumo_datadis'!A:A,"",""),"""")"),"")</f>
        <v/>
      </c>
      <c r="G15685" s="8" t="str">
        <f t="shared" si="1"/>
        <v/>
      </c>
      <c r="H15685" s="14" t="str">
        <f t="shared" si="2"/>
        <v/>
      </c>
      <c r="I15685" s="15" t="str">
        <f t="shared" si="3"/>
        <v/>
      </c>
    </row>
    <row r="15686">
      <c r="A15686" s="8" t="str">
        <f>IFERROR(__xludf.DUMMYFUNCTION("IF('(INGESTA)Datos_consumo_datadis'!A17251&lt;&gt;"""",SPLIT('(INGESTA)Datos_consumo_datadis'!A:A,"",""),"""")"),"")</f>
        <v/>
      </c>
      <c r="G15686" s="8" t="str">
        <f t="shared" si="1"/>
        <v/>
      </c>
      <c r="H15686" s="14" t="str">
        <f t="shared" si="2"/>
        <v/>
      </c>
      <c r="I15686" s="15" t="str">
        <f t="shared" si="3"/>
        <v/>
      </c>
    </row>
    <row r="15687">
      <c r="A15687" s="8" t="str">
        <f>IFERROR(__xludf.DUMMYFUNCTION("IF('(INGESTA)Datos_consumo_datadis'!A17252&lt;&gt;"""",SPLIT('(INGESTA)Datos_consumo_datadis'!A:A,"",""),"""")"),"")</f>
        <v/>
      </c>
      <c r="G15687" s="8" t="str">
        <f t="shared" si="1"/>
        <v/>
      </c>
      <c r="H15687" s="14" t="str">
        <f t="shared" si="2"/>
        <v/>
      </c>
      <c r="I15687" s="15" t="str">
        <f t="shared" si="3"/>
        <v/>
      </c>
    </row>
    <row r="15688">
      <c r="A15688" s="8" t="str">
        <f>IFERROR(__xludf.DUMMYFUNCTION("IF('(INGESTA)Datos_consumo_datadis'!A17253&lt;&gt;"""",SPLIT('(INGESTA)Datos_consumo_datadis'!A:A,"",""),"""")"),"")</f>
        <v/>
      </c>
      <c r="G15688" s="8" t="str">
        <f t="shared" si="1"/>
        <v/>
      </c>
      <c r="H15688" s="14" t="str">
        <f t="shared" si="2"/>
        <v/>
      </c>
      <c r="I15688" s="15" t="str">
        <f t="shared" si="3"/>
        <v/>
      </c>
    </row>
    <row r="15689">
      <c r="A15689" s="8" t="str">
        <f>IFERROR(__xludf.DUMMYFUNCTION("IF('(INGESTA)Datos_consumo_datadis'!A17254&lt;&gt;"""",SPLIT('(INGESTA)Datos_consumo_datadis'!A:A,"",""),"""")"),"")</f>
        <v/>
      </c>
      <c r="G15689" s="8" t="str">
        <f t="shared" si="1"/>
        <v/>
      </c>
      <c r="H15689" s="14" t="str">
        <f t="shared" si="2"/>
        <v/>
      </c>
      <c r="I15689" s="15" t="str">
        <f t="shared" si="3"/>
        <v/>
      </c>
    </row>
    <row r="15690">
      <c r="A15690" s="8" t="str">
        <f>IFERROR(__xludf.DUMMYFUNCTION("IF('(INGESTA)Datos_consumo_datadis'!A17255&lt;&gt;"""",SPLIT('(INGESTA)Datos_consumo_datadis'!A:A,"",""),"""")"),"")</f>
        <v/>
      </c>
      <c r="G15690" s="8" t="str">
        <f t="shared" si="1"/>
        <v/>
      </c>
      <c r="H15690" s="14" t="str">
        <f t="shared" si="2"/>
        <v/>
      </c>
      <c r="I15690" s="15" t="str">
        <f t="shared" si="3"/>
        <v/>
      </c>
    </row>
    <row r="15691">
      <c r="A15691" s="8" t="str">
        <f>IFERROR(__xludf.DUMMYFUNCTION("IF('(INGESTA)Datos_consumo_datadis'!A17256&lt;&gt;"""",SPLIT('(INGESTA)Datos_consumo_datadis'!A:A,"",""),"""")"),"")</f>
        <v/>
      </c>
      <c r="G15691" s="8" t="str">
        <f t="shared" si="1"/>
        <v/>
      </c>
      <c r="H15691" s="14" t="str">
        <f t="shared" si="2"/>
        <v/>
      </c>
      <c r="I15691" s="15" t="str">
        <f t="shared" si="3"/>
        <v/>
      </c>
    </row>
    <row r="15692">
      <c r="A15692" s="8" t="str">
        <f>IFERROR(__xludf.DUMMYFUNCTION("IF('(INGESTA)Datos_consumo_datadis'!A17257&lt;&gt;"""",SPLIT('(INGESTA)Datos_consumo_datadis'!A:A,"",""),"""")"),"")</f>
        <v/>
      </c>
      <c r="G15692" s="8" t="str">
        <f t="shared" si="1"/>
        <v/>
      </c>
      <c r="H15692" s="14" t="str">
        <f t="shared" si="2"/>
        <v/>
      </c>
      <c r="I15692" s="15" t="str">
        <f t="shared" si="3"/>
        <v/>
      </c>
    </row>
    <row r="15693">
      <c r="A15693" s="8" t="str">
        <f>IFERROR(__xludf.DUMMYFUNCTION("IF('(INGESTA)Datos_consumo_datadis'!A17258&lt;&gt;"""",SPLIT('(INGESTA)Datos_consumo_datadis'!A:A,"",""),"""")"),"")</f>
        <v/>
      </c>
      <c r="G15693" s="8" t="str">
        <f t="shared" si="1"/>
        <v/>
      </c>
      <c r="H15693" s="14" t="str">
        <f t="shared" si="2"/>
        <v/>
      </c>
      <c r="I15693" s="15" t="str">
        <f t="shared" si="3"/>
        <v/>
      </c>
    </row>
    <row r="15694">
      <c r="A15694" s="8" t="str">
        <f>IFERROR(__xludf.DUMMYFUNCTION("IF('(INGESTA)Datos_consumo_datadis'!A17259&lt;&gt;"""",SPLIT('(INGESTA)Datos_consumo_datadis'!A:A,"",""),"""")"),"")</f>
        <v/>
      </c>
      <c r="G15694" s="8" t="str">
        <f t="shared" si="1"/>
        <v/>
      </c>
      <c r="H15694" s="14" t="str">
        <f t="shared" si="2"/>
        <v/>
      </c>
      <c r="I15694" s="15" t="str">
        <f t="shared" si="3"/>
        <v/>
      </c>
    </row>
    <row r="15695">
      <c r="A15695" s="8" t="str">
        <f>IFERROR(__xludf.DUMMYFUNCTION("IF('(INGESTA)Datos_consumo_datadis'!A17260&lt;&gt;"""",SPLIT('(INGESTA)Datos_consumo_datadis'!A:A,"",""),"""")"),"")</f>
        <v/>
      </c>
      <c r="G15695" s="8" t="str">
        <f t="shared" si="1"/>
        <v/>
      </c>
      <c r="H15695" s="14" t="str">
        <f t="shared" si="2"/>
        <v/>
      </c>
      <c r="I15695" s="15" t="str">
        <f t="shared" si="3"/>
        <v/>
      </c>
    </row>
    <row r="15696">
      <c r="A15696" s="8" t="str">
        <f>IFERROR(__xludf.DUMMYFUNCTION("IF('(INGESTA)Datos_consumo_datadis'!A17261&lt;&gt;"""",SPLIT('(INGESTA)Datos_consumo_datadis'!A:A,"",""),"""")"),"")</f>
        <v/>
      </c>
      <c r="G15696" s="8" t="str">
        <f t="shared" si="1"/>
        <v/>
      </c>
      <c r="H15696" s="14" t="str">
        <f t="shared" si="2"/>
        <v/>
      </c>
      <c r="I15696" s="15" t="str">
        <f t="shared" si="3"/>
        <v/>
      </c>
    </row>
    <row r="15697">
      <c r="A15697" s="8" t="str">
        <f>IFERROR(__xludf.DUMMYFUNCTION("IF('(INGESTA)Datos_consumo_datadis'!A17262&lt;&gt;"""",SPLIT('(INGESTA)Datos_consumo_datadis'!A:A,"",""),"""")"),"")</f>
        <v/>
      </c>
      <c r="G15697" s="8" t="str">
        <f t="shared" si="1"/>
        <v/>
      </c>
      <c r="H15697" s="14" t="str">
        <f t="shared" si="2"/>
        <v/>
      </c>
      <c r="I15697" s="15" t="str">
        <f t="shared" si="3"/>
        <v/>
      </c>
    </row>
    <row r="15698">
      <c r="A15698" s="8" t="str">
        <f>IFERROR(__xludf.DUMMYFUNCTION("IF('(INGESTA)Datos_consumo_datadis'!A17263&lt;&gt;"""",SPLIT('(INGESTA)Datos_consumo_datadis'!A:A,"",""),"""")"),"")</f>
        <v/>
      </c>
      <c r="G15698" s="8" t="str">
        <f t="shared" si="1"/>
        <v/>
      </c>
      <c r="H15698" s="14" t="str">
        <f t="shared" si="2"/>
        <v/>
      </c>
      <c r="I15698" s="15" t="str">
        <f t="shared" si="3"/>
        <v/>
      </c>
    </row>
    <row r="15699">
      <c r="A15699" s="8" t="str">
        <f>IFERROR(__xludf.DUMMYFUNCTION("IF('(INGESTA)Datos_consumo_datadis'!A17264&lt;&gt;"""",SPLIT('(INGESTA)Datos_consumo_datadis'!A:A,"",""),"""")"),"")</f>
        <v/>
      </c>
      <c r="G15699" s="8" t="str">
        <f t="shared" si="1"/>
        <v/>
      </c>
      <c r="H15699" s="14" t="str">
        <f t="shared" si="2"/>
        <v/>
      </c>
      <c r="I15699" s="15" t="str">
        <f t="shared" si="3"/>
        <v/>
      </c>
    </row>
    <row r="15700">
      <c r="A15700" s="8" t="str">
        <f>IFERROR(__xludf.DUMMYFUNCTION("IF('(INGESTA)Datos_consumo_datadis'!A17265&lt;&gt;"""",SPLIT('(INGESTA)Datos_consumo_datadis'!A:A,"",""),"""")"),"")</f>
        <v/>
      </c>
      <c r="G15700" s="8" t="str">
        <f t="shared" si="1"/>
        <v/>
      </c>
      <c r="H15700" s="14" t="str">
        <f t="shared" si="2"/>
        <v/>
      </c>
      <c r="I15700" s="15" t="str">
        <f t="shared" si="3"/>
        <v/>
      </c>
    </row>
    <row r="15701">
      <c r="A15701" s="8" t="str">
        <f>IFERROR(__xludf.DUMMYFUNCTION("IF('(INGESTA)Datos_consumo_datadis'!A17266&lt;&gt;"""",SPLIT('(INGESTA)Datos_consumo_datadis'!A:A,"",""),"""")"),"")</f>
        <v/>
      </c>
      <c r="G15701" s="8" t="str">
        <f t="shared" si="1"/>
        <v/>
      </c>
      <c r="H15701" s="14" t="str">
        <f t="shared" si="2"/>
        <v/>
      </c>
      <c r="I15701" s="15" t="str">
        <f t="shared" si="3"/>
        <v/>
      </c>
    </row>
    <row r="15702">
      <c r="A15702" s="8" t="str">
        <f>IFERROR(__xludf.DUMMYFUNCTION("IF('(INGESTA)Datos_consumo_datadis'!A17267&lt;&gt;"""",SPLIT('(INGESTA)Datos_consumo_datadis'!A:A,"",""),"""")"),"")</f>
        <v/>
      </c>
      <c r="G15702" s="8" t="str">
        <f t="shared" si="1"/>
        <v/>
      </c>
      <c r="H15702" s="14" t="str">
        <f t="shared" si="2"/>
        <v/>
      </c>
      <c r="I15702" s="15" t="str">
        <f t="shared" si="3"/>
        <v/>
      </c>
    </row>
    <row r="15703">
      <c r="A15703" s="8" t="str">
        <f>IFERROR(__xludf.DUMMYFUNCTION("IF('(INGESTA)Datos_consumo_datadis'!A17268&lt;&gt;"""",SPLIT('(INGESTA)Datos_consumo_datadis'!A:A,"",""),"""")"),"")</f>
        <v/>
      </c>
      <c r="G15703" s="8" t="str">
        <f t="shared" si="1"/>
        <v/>
      </c>
      <c r="H15703" s="14" t="str">
        <f t="shared" si="2"/>
        <v/>
      </c>
      <c r="I15703" s="15" t="str">
        <f t="shared" si="3"/>
        <v/>
      </c>
    </row>
    <row r="15704">
      <c r="A15704" s="8" t="str">
        <f>IFERROR(__xludf.DUMMYFUNCTION("IF('(INGESTA)Datos_consumo_datadis'!A17269&lt;&gt;"""",SPLIT('(INGESTA)Datos_consumo_datadis'!A:A,"",""),"""")"),"")</f>
        <v/>
      </c>
      <c r="G15704" s="8" t="str">
        <f t="shared" si="1"/>
        <v/>
      </c>
      <c r="H15704" s="14" t="str">
        <f t="shared" si="2"/>
        <v/>
      </c>
      <c r="I15704" s="15" t="str">
        <f t="shared" si="3"/>
        <v/>
      </c>
    </row>
    <row r="15705">
      <c r="A15705" s="8" t="str">
        <f>IFERROR(__xludf.DUMMYFUNCTION("IF('(INGESTA)Datos_consumo_datadis'!A17270&lt;&gt;"""",SPLIT('(INGESTA)Datos_consumo_datadis'!A:A,"",""),"""")"),"")</f>
        <v/>
      </c>
      <c r="G15705" s="8" t="str">
        <f t="shared" si="1"/>
        <v/>
      </c>
      <c r="H15705" s="14" t="str">
        <f t="shared" si="2"/>
        <v/>
      </c>
      <c r="I15705" s="15" t="str">
        <f t="shared" si="3"/>
        <v/>
      </c>
    </row>
    <row r="15706">
      <c r="A15706" s="8" t="str">
        <f>IFERROR(__xludf.DUMMYFUNCTION("IF('(INGESTA)Datos_consumo_datadis'!A17271&lt;&gt;"""",SPLIT('(INGESTA)Datos_consumo_datadis'!A:A,"",""),"""")"),"")</f>
        <v/>
      </c>
      <c r="G15706" s="8" t="str">
        <f t="shared" si="1"/>
        <v/>
      </c>
      <c r="H15706" s="14" t="str">
        <f t="shared" si="2"/>
        <v/>
      </c>
      <c r="I15706" s="15" t="str">
        <f t="shared" si="3"/>
        <v/>
      </c>
    </row>
    <row r="15707">
      <c r="A15707" s="8" t="str">
        <f>IFERROR(__xludf.DUMMYFUNCTION("IF('(INGESTA)Datos_consumo_datadis'!A17272&lt;&gt;"""",SPLIT('(INGESTA)Datos_consumo_datadis'!A:A,"",""),"""")"),"")</f>
        <v/>
      </c>
      <c r="G15707" s="8" t="str">
        <f t="shared" si="1"/>
        <v/>
      </c>
      <c r="H15707" s="14" t="str">
        <f t="shared" si="2"/>
        <v/>
      </c>
      <c r="I15707" s="15" t="str">
        <f t="shared" si="3"/>
        <v/>
      </c>
    </row>
    <row r="15708">
      <c r="A15708" s="8" t="str">
        <f>IFERROR(__xludf.DUMMYFUNCTION("IF('(INGESTA)Datos_consumo_datadis'!A17273&lt;&gt;"""",SPLIT('(INGESTA)Datos_consumo_datadis'!A:A,"",""),"""")"),"")</f>
        <v/>
      </c>
      <c r="G15708" s="8" t="str">
        <f t="shared" si="1"/>
        <v/>
      </c>
      <c r="H15708" s="14" t="str">
        <f t="shared" si="2"/>
        <v/>
      </c>
      <c r="I15708" s="15" t="str">
        <f t="shared" si="3"/>
        <v/>
      </c>
    </row>
    <row r="15709">
      <c r="A15709" s="8" t="str">
        <f>IFERROR(__xludf.DUMMYFUNCTION("IF('(INGESTA)Datos_consumo_datadis'!A17274&lt;&gt;"""",SPLIT('(INGESTA)Datos_consumo_datadis'!A:A,"",""),"""")"),"")</f>
        <v/>
      </c>
      <c r="G15709" s="8" t="str">
        <f t="shared" si="1"/>
        <v/>
      </c>
      <c r="H15709" s="14" t="str">
        <f t="shared" si="2"/>
        <v/>
      </c>
      <c r="I15709" s="15" t="str">
        <f t="shared" si="3"/>
        <v/>
      </c>
    </row>
    <row r="15710">
      <c r="A15710" s="8" t="str">
        <f>IFERROR(__xludf.DUMMYFUNCTION("IF('(INGESTA)Datos_consumo_datadis'!A17275&lt;&gt;"""",SPLIT('(INGESTA)Datos_consumo_datadis'!A:A,"",""),"""")"),"")</f>
        <v/>
      </c>
      <c r="G15710" s="8" t="str">
        <f t="shared" si="1"/>
        <v/>
      </c>
      <c r="H15710" s="14" t="str">
        <f t="shared" si="2"/>
        <v/>
      </c>
      <c r="I15710" s="15" t="str">
        <f t="shared" si="3"/>
        <v/>
      </c>
    </row>
    <row r="15711">
      <c r="A15711" s="8" t="str">
        <f>IFERROR(__xludf.DUMMYFUNCTION("IF('(INGESTA)Datos_consumo_datadis'!A17276&lt;&gt;"""",SPLIT('(INGESTA)Datos_consumo_datadis'!A:A,"",""),"""")"),"")</f>
        <v/>
      </c>
      <c r="G15711" s="8" t="str">
        <f t="shared" si="1"/>
        <v/>
      </c>
      <c r="H15711" s="14" t="str">
        <f t="shared" si="2"/>
        <v/>
      </c>
      <c r="I15711" s="15" t="str">
        <f t="shared" si="3"/>
        <v/>
      </c>
    </row>
    <row r="15712">
      <c r="A15712" s="8" t="str">
        <f>IFERROR(__xludf.DUMMYFUNCTION("IF('(INGESTA)Datos_consumo_datadis'!A17277&lt;&gt;"""",SPLIT('(INGESTA)Datos_consumo_datadis'!A:A,"",""),"""")"),"")</f>
        <v/>
      </c>
      <c r="G15712" s="8" t="str">
        <f t="shared" si="1"/>
        <v/>
      </c>
      <c r="H15712" s="14" t="str">
        <f t="shared" si="2"/>
        <v/>
      </c>
      <c r="I15712" s="15" t="str">
        <f t="shared" si="3"/>
        <v/>
      </c>
    </row>
    <row r="15713">
      <c r="A15713" s="8" t="str">
        <f>IFERROR(__xludf.DUMMYFUNCTION("IF('(INGESTA)Datos_consumo_datadis'!A17278&lt;&gt;"""",SPLIT('(INGESTA)Datos_consumo_datadis'!A:A,"",""),"""")"),"")</f>
        <v/>
      </c>
      <c r="G15713" s="8" t="str">
        <f t="shared" si="1"/>
        <v/>
      </c>
      <c r="H15713" s="14" t="str">
        <f t="shared" si="2"/>
        <v/>
      </c>
      <c r="I15713" s="15" t="str">
        <f t="shared" si="3"/>
        <v/>
      </c>
    </row>
    <row r="15714">
      <c r="A15714" s="8" t="str">
        <f>IFERROR(__xludf.DUMMYFUNCTION("IF('(INGESTA)Datos_consumo_datadis'!A17279&lt;&gt;"""",SPLIT('(INGESTA)Datos_consumo_datadis'!A:A,"",""),"""")"),"")</f>
        <v/>
      </c>
      <c r="G15714" s="8" t="str">
        <f t="shared" si="1"/>
        <v/>
      </c>
      <c r="H15714" s="14" t="str">
        <f t="shared" si="2"/>
        <v/>
      </c>
      <c r="I15714" s="15" t="str">
        <f t="shared" si="3"/>
        <v/>
      </c>
    </row>
    <row r="15715">
      <c r="A15715" s="8" t="str">
        <f>IFERROR(__xludf.DUMMYFUNCTION("IF('(INGESTA)Datos_consumo_datadis'!A17280&lt;&gt;"""",SPLIT('(INGESTA)Datos_consumo_datadis'!A:A,"",""),"""")"),"")</f>
        <v/>
      </c>
      <c r="G15715" s="8" t="str">
        <f t="shared" si="1"/>
        <v/>
      </c>
      <c r="H15715" s="14" t="str">
        <f t="shared" si="2"/>
        <v/>
      </c>
      <c r="I15715" s="15" t="str">
        <f t="shared" si="3"/>
        <v/>
      </c>
    </row>
    <row r="15716">
      <c r="A15716" s="8" t="str">
        <f>IFERROR(__xludf.DUMMYFUNCTION("IF('(INGESTA)Datos_consumo_datadis'!A17281&lt;&gt;"""",SPLIT('(INGESTA)Datos_consumo_datadis'!A:A,"",""),"""")"),"")</f>
        <v/>
      </c>
      <c r="G15716" s="8" t="str">
        <f t="shared" si="1"/>
        <v/>
      </c>
      <c r="H15716" s="14" t="str">
        <f t="shared" si="2"/>
        <v/>
      </c>
      <c r="I15716" s="15" t="str">
        <f t="shared" si="3"/>
        <v/>
      </c>
    </row>
    <row r="15717">
      <c r="A15717" s="8" t="str">
        <f>IFERROR(__xludf.DUMMYFUNCTION("IF('(INGESTA)Datos_consumo_datadis'!A17282&lt;&gt;"""",SPLIT('(INGESTA)Datos_consumo_datadis'!A:A,"",""),"""")"),"")</f>
        <v/>
      </c>
      <c r="G15717" s="8" t="str">
        <f t="shared" si="1"/>
        <v/>
      </c>
      <c r="H15717" s="14" t="str">
        <f t="shared" si="2"/>
        <v/>
      </c>
      <c r="I15717" s="15" t="str">
        <f t="shared" si="3"/>
        <v/>
      </c>
    </row>
    <row r="15718">
      <c r="A15718" s="8" t="str">
        <f>IFERROR(__xludf.DUMMYFUNCTION("IF('(INGESTA)Datos_consumo_datadis'!A17283&lt;&gt;"""",SPLIT('(INGESTA)Datos_consumo_datadis'!A:A,"",""),"""")"),"")</f>
        <v/>
      </c>
      <c r="G15718" s="8" t="str">
        <f t="shared" si="1"/>
        <v/>
      </c>
      <c r="H15718" s="14" t="str">
        <f t="shared" si="2"/>
        <v/>
      </c>
      <c r="I15718" s="15" t="str">
        <f t="shared" si="3"/>
        <v/>
      </c>
    </row>
    <row r="15719">
      <c r="A15719" s="8" t="str">
        <f>IFERROR(__xludf.DUMMYFUNCTION("IF('(INGESTA)Datos_consumo_datadis'!A17284&lt;&gt;"""",SPLIT('(INGESTA)Datos_consumo_datadis'!A:A,"",""),"""")"),"")</f>
        <v/>
      </c>
      <c r="G15719" s="8" t="str">
        <f t="shared" si="1"/>
        <v/>
      </c>
      <c r="H15719" s="14" t="str">
        <f t="shared" si="2"/>
        <v/>
      </c>
      <c r="I15719" s="15" t="str">
        <f t="shared" si="3"/>
        <v/>
      </c>
    </row>
    <row r="15720">
      <c r="A15720" s="8" t="str">
        <f>IFERROR(__xludf.DUMMYFUNCTION("IF('(INGESTA)Datos_consumo_datadis'!A17285&lt;&gt;"""",SPLIT('(INGESTA)Datos_consumo_datadis'!A:A,"",""),"""")"),"")</f>
        <v/>
      </c>
      <c r="G15720" s="8" t="str">
        <f t="shared" si="1"/>
        <v/>
      </c>
      <c r="H15720" s="14" t="str">
        <f t="shared" si="2"/>
        <v/>
      </c>
      <c r="I15720" s="15" t="str">
        <f t="shared" si="3"/>
        <v/>
      </c>
    </row>
    <row r="15721">
      <c r="A15721" s="8" t="str">
        <f>IFERROR(__xludf.DUMMYFUNCTION("IF('(INGESTA)Datos_consumo_datadis'!A17286&lt;&gt;"""",SPLIT('(INGESTA)Datos_consumo_datadis'!A:A,"",""),"""")"),"")</f>
        <v/>
      </c>
      <c r="G15721" s="8" t="str">
        <f t="shared" si="1"/>
        <v/>
      </c>
      <c r="H15721" s="14" t="str">
        <f t="shared" si="2"/>
        <v/>
      </c>
      <c r="I15721" s="15" t="str">
        <f t="shared" si="3"/>
        <v/>
      </c>
    </row>
    <row r="15722">
      <c r="A15722" s="8" t="str">
        <f>IFERROR(__xludf.DUMMYFUNCTION("IF('(INGESTA)Datos_consumo_datadis'!A17287&lt;&gt;"""",SPLIT('(INGESTA)Datos_consumo_datadis'!A:A,"",""),"""")"),"")</f>
        <v/>
      </c>
      <c r="G15722" s="8" t="str">
        <f t="shared" si="1"/>
        <v/>
      </c>
      <c r="H15722" s="14" t="str">
        <f t="shared" si="2"/>
        <v/>
      </c>
      <c r="I15722" s="15" t="str">
        <f t="shared" si="3"/>
        <v/>
      </c>
    </row>
    <row r="15723">
      <c r="A15723" s="8" t="str">
        <f>IFERROR(__xludf.DUMMYFUNCTION("IF('(INGESTA)Datos_consumo_datadis'!A17288&lt;&gt;"""",SPLIT('(INGESTA)Datos_consumo_datadis'!A:A,"",""),"""")"),"")</f>
        <v/>
      </c>
      <c r="G15723" s="8" t="str">
        <f t="shared" si="1"/>
        <v/>
      </c>
      <c r="H15723" s="14" t="str">
        <f t="shared" si="2"/>
        <v/>
      </c>
      <c r="I15723" s="15" t="str">
        <f t="shared" si="3"/>
        <v/>
      </c>
    </row>
    <row r="15724">
      <c r="A15724" s="8" t="str">
        <f>IFERROR(__xludf.DUMMYFUNCTION("IF('(INGESTA)Datos_consumo_datadis'!A17289&lt;&gt;"""",SPLIT('(INGESTA)Datos_consumo_datadis'!A:A,"",""),"""")"),"")</f>
        <v/>
      </c>
      <c r="G15724" s="8" t="str">
        <f t="shared" si="1"/>
        <v/>
      </c>
      <c r="H15724" s="14" t="str">
        <f t="shared" si="2"/>
        <v/>
      </c>
      <c r="I15724" s="15" t="str">
        <f t="shared" si="3"/>
        <v/>
      </c>
    </row>
    <row r="15725">
      <c r="A15725" s="8" t="str">
        <f>IFERROR(__xludf.DUMMYFUNCTION("IF('(INGESTA)Datos_consumo_datadis'!A17290&lt;&gt;"""",SPLIT('(INGESTA)Datos_consumo_datadis'!A:A,"",""),"""")"),"")</f>
        <v/>
      </c>
      <c r="G15725" s="8" t="str">
        <f t="shared" si="1"/>
        <v/>
      </c>
      <c r="H15725" s="14" t="str">
        <f t="shared" si="2"/>
        <v/>
      </c>
      <c r="I15725" s="15" t="str">
        <f t="shared" si="3"/>
        <v/>
      </c>
    </row>
    <row r="15726">
      <c r="A15726" s="8" t="str">
        <f>IFERROR(__xludf.DUMMYFUNCTION("IF('(INGESTA)Datos_consumo_datadis'!A17291&lt;&gt;"""",SPLIT('(INGESTA)Datos_consumo_datadis'!A:A,"",""),"""")"),"")</f>
        <v/>
      </c>
      <c r="G15726" s="8" t="str">
        <f t="shared" si="1"/>
        <v/>
      </c>
      <c r="H15726" s="14" t="str">
        <f t="shared" si="2"/>
        <v/>
      </c>
      <c r="I15726" s="15" t="str">
        <f t="shared" si="3"/>
        <v/>
      </c>
    </row>
    <row r="15727">
      <c r="A15727" s="8" t="str">
        <f>IFERROR(__xludf.DUMMYFUNCTION("IF('(INGESTA)Datos_consumo_datadis'!A17292&lt;&gt;"""",SPLIT('(INGESTA)Datos_consumo_datadis'!A:A,"",""),"""")"),"")</f>
        <v/>
      </c>
      <c r="G15727" s="8" t="str">
        <f t="shared" si="1"/>
        <v/>
      </c>
      <c r="H15727" s="14" t="str">
        <f t="shared" si="2"/>
        <v/>
      </c>
      <c r="I15727" s="15" t="str">
        <f t="shared" si="3"/>
        <v/>
      </c>
    </row>
    <row r="15728">
      <c r="A15728" s="8" t="str">
        <f>IFERROR(__xludf.DUMMYFUNCTION("IF('(INGESTA)Datos_consumo_datadis'!A17293&lt;&gt;"""",SPLIT('(INGESTA)Datos_consumo_datadis'!A:A,"",""),"""")"),"")</f>
        <v/>
      </c>
      <c r="G15728" s="8" t="str">
        <f t="shared" si="1"/>
        <v/>
      </c>
      <c r="H15728" s="14" t="str">
        <f t="shared" si="2"/>
        <v/>
      </c>
      <c r="I15728" s="15" t="str">
        <f t="shared" si="3"/>
        <v/>
      </c>
    </row>
    <row r="15729">
      <c r="A15729" s="8" t="str">
        <f>IFERROR(__xludf.DUMMYFUNCTION("IF('(INGESTA)Datos_consumo_datadis'!A17294&lt;&gt;"""",SPLIT('(INGESTA)Datos_consumo_datadis'!A:A,"",""),"""")"),"")</f>
        <v/>
      </c>
      <c r="G15729" s="8" t="str">
        <f t="shared" si="1"/>
        <v/>
      </c>
      <c r="H15729" s="14" t="str">
        <f t="shared" si="2"/>
        <v/>
      </c>
      <c r="I15729" s="15" t="str">
        <f t="shared" si="3"/>
        <v/>
      </c>
    </row>
    <row r="15730">
      <c r="A15730" s="8" t="str">
        <f>IFERROR(__xludf.DUMMYFUNCTION("IF('(INGESTA)Datos_consumo_datadis'!A17295&lt;&gt;"""",SPLIT('(INGESTA)Datos_consumo_datadis'!A:A,"",""),"""")"),"")</f>
        <v/>
      </c>
      <c r="G15730" s="8" t="str">
        <f t="shared" si="1"/>
        <v/>
      </c>
      <c r="H15730" s="14" t="str">
        <f t="shared" si="2"/>
        <v/>
      </c>
      <c r="I15730" s="15" t="str">
        <f t="shared" si="3"/>
        <v/>
      </c>
    </row>
    <row r="15731">
      <c r="A15731" s="8" t="str">
        <f>IFERROR(__xludf.DUMMYFUNCTION("IF('(INGESTA)Datos_consumo_datadis'!A17296&lt;&gt;"""",SPLIT('(INGESTA)Datos_consumo_datadis'!A:A,"",""),"""")"),"")</f>
        <v/>
      </c>
      <c r="G15731" s="8" t="str">
        <f t="shared" si="1"/>
        <v/>
      </c>
      <c r="H15731" s="14" t="str">
        <f t="shared" si="2"/>
        <v/>
      </c>
      <c r="I15731" s="15" t="str">
        <f t="shared" si="3"/>
        <v/>
      </c>
    </row>
    <row r="15732">
      <c r="A15732" s="8" t="str">
        <f>IFERROR(__xludf.DUMMYFUNCTION("IF('(INGESTA)Datos_consumo_datadis'!A17297&lt;&gt;"""",SPLIT('(INGESTA)Datos_consumo_datadis'!A:A,"",""),"""")"),"")</f>
        <v/>
      </c>
      <c r="G15732" s="8" t="str">
        <f t="shared" si="1"/>
        <v/>
      </c>
      <c r="H15732" s="14" t="str">
        <f t="shared" si="2"/>
        <v/>
      </c>
      <c r="I15732" s="15" t="str">
        <f t="shared" si="3"/>
        <v/>
      </c>
    </row>
    <row r="15733">
      <c r="A15733" s="8" t="str">
        <f>IFERROR(__xludf.DUMMYFUNCTION("IF('(INGESTA)Datos_consumo_datadis'!A17298&lt;&gt;"""",SPLIT('(INGESTA)Datos_consumo_datadis'!A:A,"",""),"""")"),"")</f>
        <v/>
      </c>
      <c r="G15733" s="8" t="str">
        <f t="shared" si="1"/>
        <v/>
      </c>
      <c r="H15733" s="14" t="str">
        <f t="shared" si="2"/>
        <v/>
      </c>
      <c r="I15733" s="15" t="str">
        <f t="shared" si="3"/>
        <v/>
      </c>
    </row>
    <row r="15734">
      <c r="A15734" s="8" t="str">
        <f>IFERROR(__xludf.DUMMYFUNCTION("IF('(INGESTA)Datos_consumo_datadis'!A17299&lt;&gt;"""",SPLIT('(INGESTA)Datos_consumo_datadis'!A:A,"",""),"""")"),"")</f>
        <v/>
      </c>
      <c r="G15734" s="8" t="str">
        <f t="shared" si="1"/>
        <v/>
      </c>
      <c r="H15734" s="14" t="str">
        <f t="shared" si="2"/>
        <v/>
      </c>
      <c r="I15734" s="15" t="str">
        <f t="shared" si="3"/>
        <v/>
      </c>
    </row>
    <row r="15735">
      <c r="A15735" s="8" t="str">
        <f>IFERROR(__xludf.DUMMYFUNCTION("IF('(INGESTA)Datos_consumo_datadis'!A17300&lt;&gt;"""",SPLIT('(INGESTA)Datos_consumo_datadis'!A:A,"",""),"""")"),"")</f>
        <v/>
      </c>
      <c r="G15735" s="8" t="str">
        <f t="shared" si="1"/>
        <v/>
      </c>
      <c r="H15735" s="14" t="str">
        <f t="shared" si="2"/>
        <v/>
      </c>
      <c r="I15735" s="15" t="str">
        <f t="shared" si="3"/>
        <v/>
      </c>
    </row>
    <row r="15736">
      <c r="A15736" s="8" t="str">
        <f>IFERROR(__xludf.DUMMYFUNCTION("IF('(INGESTA)Datos_consumo_datadis'!A17301&lt;&gt;"""",SPLIT('(INGESTA)Datos_consumo_datadis'!A:A,"",""),"""")"),"")</f>
        <v/>
      </c>
      <c r="G15736" s="8" t="str">
        <f t="shared" si="1"/>
        <v/>
      </c>
      <c r="H15736" s="14" t="str">
        <f t="shared" si="2"/>
        <v/>
      </c>
      <c r="I15736" s="15" t="str">
        <f t="shared" si="3"/>
        <v/>
      </c>
    </row>
    <row r="15737">
      <c r="A15737" s="8" t="str">
        <f>IFERROR(__xludf.DUMMYFUNCTION("IF('(INGESTA)Datos_consumo_datadis'!A17302&lt;&gt;"""",SPLIT('(INGESTA)Datos_consumo_datadis'!A:A,"",""),"""")"),"")</f>
        <v/>
      </c>
      <c r="G15737" s="8" t="str">
        <f t="shared" si="1"/>
        <v/>
      </c>
      <c r="H15737" s="14" t="str">
        <f t="shared" si="2"/>
        <v/>
      </c>
      <c r="I15737" s="15" t="str">
        <f t="shared" si="3"/>
        <v/>
      </c>
    </row>
    <row r="15738">
      <c r="A15738" s="8" t="str">
        <f>IFERROR(__xludf.DUMMYFUNCTION("IF('(INGESTA)Datos_consumo_datadis'!A17303&lt;&gt;"""",SPLIT('(INGESTA)Datos_consumo_datadis'!A:A,"",""),"""")"),"")</f>
        <v/>
      </c>
      <c r="G15738" s="8" t="str">
        <f t="shared" si="1"/>
        <v/>
      </c>
      <c r="H15738" s="14" t="str">
        <f t="shared" si="2"/>
        <v/>
      </c>
      <c r="I15738" s="15" t="str">
        <f t="shared" si="3"/>
        <v/>
      </c>
    </row>
    <row r="15739">
      <c r="A15739" s="8" t="str">
        <f>IFERROR(__xludf.DUMMYFUNCTION("IF('(INGESTA)Datos_consumo_datadis'!A17304&lt;&gt;"""",SPLIT('(INGESTA)Datos_consumo_datadis'!A:A,"",""),"""")"),"")</f>
        <v/>
      </c>
      <c r="G15739" s="8" t="str">
        <f t="shared" si="1"/>
        <v/>
      </c>
      <c r="H15739" s="14" t="str">
        <f t="shared" si="2"/>
        <v/>
      </c>
      <c r="I15739" s="15" t="str">
        <f t="shared" si="3"/>
        <v/>
      </c>
    </row>
    <row r="15740">
      <c r="A15740" s="8" t="str">
        <f>IFERROR(__xludf.DUMMYFUNCTION("IF('(INGESTA)Datos_consumo_datadis'!A17305&lt;&gt;"""",SPLIT('(INGESTA)Datos_consumo_datadis'!A:A,"",""),"""")"),"")</f>
        <v/>
      </c>
      <c r="G15740" s="8" t="str">
        <f t="shared" si="1"/>
        <v/>
      </c>
      <c r="H15740" s="14" t="str">
        <f t="shared" si="2"/>
        <v/>
      </c>
      <c r="I15740" s="15" t="str">
        <f t="shared" si="3"/>
        <v/>
      </c>
    </row>
    <row r="15741">
      <c r="A15741" s="8" t="str">
        <f>IFERROR(__xludf.DUMMYFUNCTION("IF('(INGESTA)Datos_consumo_datadis'!A17306&lt;&gt;"""",SPLIT('(INGESTA)Datos_consumo_datadis'!A:A,"",""),"""")"),"")</f>
        <v/>
      </c>
      <c r="G15741" s="8" t="str">
        <f t="shared" si="1"/>
        <v/>
      </c>
      <c r="H15741" s="14" t="str">
        <f t="shared" si="2"/>
        <v/>
      </c>
      <c r="I15741" s="15" t="str">
        <f t="shared" si="3"/>
        <v/>
      </c>
    </row>
    <row r="15742">
      <c r="A15742" s="8" t="str">
        <f>IFERROR(__xludf.DUMMYFUNCTION("IF('(INGESTA)Datos_consumo_datadis'!A17307&lt;&gt;"""",SPLIT('(INGESTA)Datos_consumo_datadis'!A:A,"",""),"""")"),"")</f>
        <v/>
      </c>
      <c r="G15742" s="8" t="str">
        <f t="shared" si="1"/>
        <v/>
      </c>
      <c r="H15742" s="14" t="str">
        <f t="shared" si="2"/>
        <v/>
      </c>
      <c r="I15742" s="15" t="str">
        <f t="shared" si="3"/>
        <v/>
      </c>
    </row>
    <row r="15743">
      <c r="A15743" s="8" t="str">
        <f>IFERROR(__xludf.DUMMYFUNCTION("IF('(INGESTA)Datos_consumo_datadis'!A17308&lt;&gt;"""",SPLIT('(INGESTA)Datos_consumo_datadis'!A:A,"",""),"""")"),"")</f>
        <v/>
      </c>
      <c r="G15743" s="8" t="str">
        <f t="shared" si="1"/>
        <v/>
      </c>
      <c r="H15743" s="14" t="str">
        <f t="shared" si="2"/>
        <v/>
      </c>
      <c r="I15743" s="15" t="str">
        <f t="shared" si="3"/>
        <v/>
      </c>
    </row>
    <row r="15744">
      <c r="A15744" s="8" t="str">
        <f>IFERROR(__xludf.DUMMYFUNCTION("IF('(INGESTA)Datos_consumo_datadis'!A17309&lt;&gt;"""",SPLIT('(INGESTA)Datos_consumo_datadis'!A:A,"",""),"""")"),"")</f>
        <v/>
      </c>
      <c r="G15744" s="8" t="str">
        <f t="shared" si="1"/>
        <v/>
      </c>
      <c r="H15744" s="14" t="str">
        <f t="shared" si="2"/>
        <v/>
      </c>
      <c r="I15744" s="15" t="str">
        <f t="shared" si="3"/>
        <v/>
      </c>
    </row>
    <row r="15745">
      <c r="A15745" s="8" t="str">
        <f>IFERROR(__xludf.DUMMYFUNCTION("IF('(INGESTA)Datos_consumo_datadis'!A17310&lt;&gt;"""",SPLIT('(INGESTA)Datos_consumo_datadis'!A:A,"",""),"""")"),"")</f>
        <v/>
      </c>
      <c r="G15745" s="8" t="str">
        <f t="shared" si="1"/>
        <v/>
      </c>
      <c r="H15745" s="14" t="str">
        <f t="shared" si="2"/>
        <v/>
      </c>
      <c r="I15745" s="15" t="str">
        <f t="shared" si="3"/>
        <v/>
      </c>
    </row>
    <row r="15746">
      <c r="A15746" s="8" t="str">
        <f>IFERROR(__xludf.DUMMYFUNCTION("IF('(INGESTA)Datos_consumo_datadis'!A17311&lt;&gt;"""",SPLIT('(INGESTA)Datos_consumo_datadis'!A:A,"",""),"""")"),"")</f>
        <v/>
      </c>
      <c r="G15746" s="8" t="str">
        <f t="shared" si="1"/>
        <v/>
      </c>
      <c r="H15746" s="14" t="str">
        <f t="shared" si="2"/>
        <v/>
      </c>
      <c r="I15746" s="15" t="str">
        <f t="shared" si="3"/>
        <v/>
      </c>
    </row>
    <row r="15747">
      <c r="A15747" s="8" t="str">
        <f>IFERROR(__xludf.DUMMYFUNCTION("IF('(INGESTA)Datos_consumo_datadis'!A17312&lt;&gt;"""",SPLIT('(INGESTA)Datos_consumo_datadis'!A:A,"",""),"""")"),"")</f>
        <v/>
      </c>
      <c r="G15747" s="8" t="str">
        <f t="shared" si="1"/>
        <v/>
      </c>
      <c r="H15747" s="14" t="str">
        <f t="shared" si="2"/>
        <v/>
      </c>
      <c r="I15747" s="15" t="str">
        <f t="shared" si="3"/>
        <v/>
      </c>
    </row>
    <row r="15748">
      <c r="A15748" s="8" t="str">
        <f>IFERROR(__xludf.DUMMYFUNCTION("IF('(INGESTA)Datos_consumo_datadis'!A17313&lt;&gt;"""",SPLIT('(INGESTA)Datos_consumo_datadis'!A:A,"",""),"""")"),"")</f>
        <v/>
      </c>
      <c r="G15748" s="8" t="str">
        <f t="shared" si="1"/>
        <v/>
      </c>
      <c r="H15748" s="14" t="str">
        <f t="shared" si="2"/>
        <v/>
      </c>
      <c r="I15748" s="15" t="str">
        <f t="shared" si="3"/>
        <v/>
      </c>
    </row>
    <row r="15749">
      <c r="A15749" s="8" t="str">
        <f>IFERROR(__xludf.DUMMYFUNCTION("IF('(INGESTA)Datos_consumo_datadis'!A17314&lt;&gt;"""",SPLIT('(INGESTA)Datos_consumo_datadis'!A:A,"",""),"""")"),"")</f>
        <v/>
      </c>
      <c r="G15749" s="8" t="str">
        <f t="shared" si="1"/>
        <v/>
      </c>
      <c r="H15749" s="14" t="str">
        <f t="shared" si="2"/>
        <v/>
      </c>
      <c r="I15749" s="15" t="str">
        <f t="shared" si="3"/>
        <v/>
      </c>
    </row>
    <row r="15750">
      <c r="A15750" s="8" t="str">
        <f>IFERROR(__xludf.DUMMYFUNCTION("IF('(INGESTA)Datos_consumo_datadis'!A17315&lt;&gt;"""",SPLIT('(INGESTA)Datos_consumo_datadis'!A:A,"",""),"""")"),"")</f>
        <v/>
      </c>
      <c r="G15750" s="8" t="str">
        <f t="shared" si="1"/>
        <v/>
      </c>
      <c r="H15750" s="14" t="str">
        <f t="shared" si="2"/>
        <v/>
      </c>
      <c r="I15750" s="15" t="str">
        <f t="shared" si="3"/>
        <v/>
      </c>
    </row>
    <row r="15751">
      <c r="A15751" s="8" t="str">
        <f>IFERROR(__xludf.DUMMYFUNCTION("IF('(INGESTA)Datos_consumo_datadis'!A17316&lt;&gt;"""",SPLIT('(INGESTA)Datos_consumo_datadis'!A:A,"",""),"""")"),"")</f>
        <v/>
      </c>
      <c r="G15751" s="8" t="str">
        <f t="shared" si="1"/>
        <v/>
      </c>
      <c r="H15751" s="14" t="str">
        <f t="shared" si="2"/>
        <v/>
      </c>
      <c r="I15751" s="15" t="str">
        <f t="shared" si="3"/>
        <v/>
      </c>
    </row>
    <row r="15752">
      <c r="A15752" s="8" t="str">
        <f>IFERROR(__xludf.DUMMYFUNCTION("IF('(INGESTA)Datos_consumo_datadis'!A17317&lt;&gt;"""",SPLIT('(INGESTA)Datos_consumo_datadis'!A:A,"",""),"""")"),"")</f>
        <v/>
      </c>
      <c r="G15752" s="8" t="str">
        <f t="shared" si="1"/>
        <v/>
      </c>
      <c r="H15752" s="14" t="str">
        <f t="shared" si="2"/>
        <v/>
      </c>
      <c r="I15752" s="15" t="str">
        <f t="shared" si="3"/>
        <v/>
      </c>
    </row>
    <row r="15753">
      <c r="A15753" s="8" t="str">
        <f>IFERROR(__xludf.DUMMYFUNCTION("IF('(INGESTA)Datos_consumo_datadis'!A17318&lt;&gt;"""",SPLIT('(INGESTA)Datos_consumo_datadis'!A:A,"",""),"""")"),"")</f>
        <v/>
      </c>
      <c r="G15753" s="8" t="str">
        <f t="shared" si="1"/>
        <v/>
      </c>
      <c r="H15753" s="14" t="str">
        <f t="shared" si="2"/>
        <v/>
      </c>
      <c r="I15753" s="15" t="str">
        <f t="shared" si="3"/>
        <v/>
      </c>
    </row>
    <row r="15754">
      <c r="A15754" s="8" t="str">
        <f>IFERROR(__xludf.DUMMYFUNCTION("IF('(INGESTA)Datos_consumo_datadis'!A17319&lt;&gt;"""",SPLIT('(INGESTA)Datos_consumo_datadis'!A:A,"",""),"""")"),"")</f>
        <v/>
      </c>
      <c r="G15754" s="8" t="str">
        <f t="shared" si="1"/>
        <v/>
      </c>
      <c r="H15754" s="14" t="str">
        <f t="shared" si="2"/>
        <v/>
      </c>
      <c r="I15754" s="15" t="str">
        <f t="shared" si="3"/>
        <v/>
      </c>
    </row>
    <row r="15755">
      <c r="A15755" s="8" t="str">
        <f>IFERROR(__xludf.DUMMYFUNCTION("IF('(INGESTA)Datos_consumo_datadis'!A17320&lt;&gt;"""",SPLIT('(INGESTA)Datos_consumo_datadis'!A:A,"",""),"""")"),"")</f>
        <v/>
      </c>
      <c r="G15755" s="8" t="str">
        <f t="shared" si="1"/>
        <v/>
      </c>
      <c r="H15755" s="14" t="str">
        <f t="shared" si="2"/>
        <v/>
      </c>
      <c r="I15755" s="15" t="str">
        <f t="shared" si="3"/>
        <v/>
      </c>
    </row>
    <row r="15756">
      <c r="A15756" s="8" t="str">
        <f>IFERROR(__xludf.DUMMYFUNCTION("IF('(INGESTA)Datos_consumo_datadis'!A17321&lt;&gt;"""",SPLIT('(INGESTA)Datos_consumo_datadis'!A:A,"",""),"""")"),"")</f>
        <v/>
      </c>
      <c r="G15756" s="8" t="str">
        <f t="shared" si="1"/>
        <v/>
      </c>
      <c r="H15756" s="14" t="str">
        <f t="shared" si="2"/>
        <v/>
      </c>
      <c r="I15756" s="15" t="str">
        <f t="shared" si="3"/>
        <v/>
      </c>
    </row>
    <row r="15757">
      <c r="A15757" s="8" t="str">
        <f>IFERROR(__xludf.DUMMYFUNCTION("IF('(INGESTA)Datos_consumo_datadis'!A17322&lt;&gt;"""",SPLIT('(INGESTA)Datos_consumo_datadis'!A:A,"",""),"""")"),"")</f>
        <v/>
      </c>
      <c r="G15757" s="8" t="str">
        <f t="shared" si="1"/>
        <v/>
      </c>
      <c r="H15757" s="14" t="str">
        <f t="shared" si="2"/>
        <v/>
      </c>
      <c r="I15757" s="15" t="str">
        <f t="shared" si="3"/>
        <v/>
      </c>
    </row>
    <row r="15758">
      <c r="A15758" s="8" t="str">
        <f>IFERROR(__xludf.DUMMYFUNCTION("IF('(INGESTA)Datos_consumo_datadis'!A17323&lt;&gt;"""",SPLIT('(INGESTA)Datos_consumo_datadis'!A:A,"",""),"""")"),"")</f>
        <v/>
      </c>
      <c r="G15758" s="8" t="str">
        <f t="shared" si="1"/>
        <v/>
      </c>
      <c r="H15758" s="14" t="str">
        <f t="shared" si="2"/>
        <v/>
      </c>
      <c r="I15758" s="15" t="str">
        <f t="shared" si="3"/>
        <v/>
      </c>
    </row>
    <row r="15759">
      <c r="A15759" s="8" t="str">
        <f>IFERROR(__xludf.DUMMYFUNCTION("IF('(INGESTA)Datos_consumo_datadis'!A17324&lt;&gt;"""",SPLIT('(INGESTA)Datos_consumo_datadis'!A:A,"",""),"""")"),"")</f>
        <v/>
      </c>
      <c r="G15759" s="8" t="str">
        <f t="shared" si="1"/>
        <v/>
      </c>
      <c r="H15759" s="14" t="str">
        <f t="shared" si="2"/>
        <v/>
      </c>
      <c r="I15759" s="15" t="str">
        <f t="shared" si="3"/>
        <v/>
      </c>
    </row>
    <row r="15760">
      <c r="A15760" s="8" t="str">
        <f>IFERROR(__xludf.DUMMYFUNCTION("IF('(INGESTA)Datos_consumo_datadis'!A17325&lt;&gt;"""",SPLIT('(INGESTA)Datos_consumo_datadis'!A:A,"",""),"""")"),"")</f>
        <v/>
      </c>
      <c r="G15760" s="8" t="str">
        <f t="shared" si="1"/>
        <v/>
      </c>
      <c r="H15760" s="14" t="str">
        <f t="shared" si="2"/>
        <v/>
      </c>
      <c r="I15760" s="15" t="str">
        <f t="shared" si="3"/>
        <v/>
      </c>
    </row>
    <row r="15761">
      <c r="A15761" s="8" t="str">
        <f>IFERROR(__xludf.DUMMYFUNCTION("IF('(INGESTA)Datos_consumo_datadis'!A17326&lt;&gt;"""",SPLIT('(INGESTA)Datos_consumo_datadis'!A:A,"",""),"""")"),"")</f>
        <v/>
      </c>
      <c r="G15761" s="8" t="str">
        <f t="shared" si="1"/>
        <v/>
      </c>
      <c r="H15761" s="14" t="str">
        <f t="shared" si="2"/>
        <v/>
      </c>
      <c r="I15761" s="15" t="str">
        <f t="shared" si="3"/>
        <v/>
      </c>
    </row>
    <row r="15762">
      <c r="A15762" s="8" t="str">
        <f>IFERROR(__xludf.DUMMYFUNCTION("IF('(INGESTA)Datos_consumo_datadis'!A17327&lt;&gt;"""",SPLIT('(INGESTA)Datos_consumo_datadis'!A:A,"",""),"""")"),"")</f>
        <v/>
      </c>
      <c r="G15762" s="8" t="str">
        <f t="shared" si="1"/>
        <v/>
      </c>
      <c r="H15762" s="14" t="str">
        <f t="shared" si="2"/>
        <v/>
      </c>
      <c r="I15762" s="15" t="str">
        <f t="shared" si="3"/>
        <v/>
      </c>
    </row>
    <row r="15763">
      <c r="A15763" s="8" t="str">
        <f>IFERROR(__xludf.DUMMYFUNCTION("IF('(INGESTA)Datos_consumo_datadis'!A17328&lt;&gt;"""",SPLIT('(INGESTA)Datos_consumo_datadis'!A:A,"",""),"""")"),"")</f>
        <v/>
      </c>
      <c r="G15763" s="8" t="str">
        <f t="shared" si="1"/>
        <v/>
      </c>
      <c r="H15763" s="14" t="str">
        <f t="shared" si="2"/>
        <v/>
      </c>
      <c r="I15763" s="15" t="str">
        <f t="shared" si="3"/>
        <v/>
      </c>
    </row>
    <row r="15764">
      <c r="A15764" s="8" t="str">
        <f>IFERROR(__xludf.DUMMYFUNCTION("IF('(INGESTA)Datos_consumo_datadis'!A17329&lt;&gt;"""",SPLIT('(INGESTA)Datos_consumo_datadis'!A:A,"",""),"""")"),"")</f>
        <v/>
      </c>
      <c r="G15764" s="8" t="str">
        <f t="shared" si="1"/>
        <v/>
      </c>
      <c r="H15764" s="14" t="str">
        <f t="shared" si="2"/>
        <v/>
      </c>
      <c r="I15764" s="15" t="str">
        <f t="shared" si="3"/>
        <v/>
      </c>
    </row>
    <row r="15765">
      <c r="A15765" s="8" t="str">
        <f>IFERROR(__xludf.DUMMYFUNCTION("IF('(INGESTA)Datos_consumo_datadis'!A17330&lt;&gt;"""",SPLIT('(INGESTA)Datos_consumo_datadis'!A:A,"",""),"""")"),"")</f>
        <v/>
      </c>
      <c r="G15765" s="8" t="str">
        <f t="shared" si="1"/>
        <v/>
      </c>
      <c r="H15765" s="14" t="str">
        <f t="shared" si="2"/>
        <v/>
      </c>
      <c r="I15765" s="15" t="str">
        <f t="shared" si="3"/>
        <v/>
      </c>
    </row>
    <row r="15766">
      <c r="A15766" s="8" t="str">
        <f>IFERROR(__xludf.DUMMYFUNCTION("IF('(INGESTA)Datos_consumo_datadis'!A17331&lt;&gt;"""",SPLIT('(INGESTA)Datos_consumo_datadis'!A:A,"",""),"""")"),"")</f>
        <v/>
      </c>
      <c r="G15766" s="8" t="str">
        <f t="shared" si="1"/>
        <v/>
      </c>
      <c r="H15766" s="14" t="str">
        <f t="shared" si="2"/>
        <v/>
      </c>
      <c r="I15766" s="15" t="str">
        <f t="shared" si="3"/>
        <v/>
      </c>
    </row>
    <row r="15767">
      <c r="A15767" s="8" t="str">
        <f>IFERROR(__xludf.DUMMYFUNCTION("IF('(INGESTA)Datos_consumo_datadis'!A17332&lt;&gt;"""",SPLIT('(INGESTA)Datos_consumo_datadis'!A:A,"",""),"""")"),"")</f>
        <v/>
      </c>
      <c r="G15767" s="8" t="str">
        <f t="shared" si="1"/>
        <v/>
      </c>
      <c r="H15767" s="14" t="str">
        <f t="shared" si="2"/>
        <v/>
      </c>
      <c r="I15767" s="15" t="str">
        <f t="shared" si="3"/>
        <v/>
      </c>
    </row>
    <row r="15768">
      <c r="A15768" s="8" t="str">
        <f>IFERROR(__xludf.DUMMYFUNCTION("IF('(INGESTA)Datos_consumo_datadis'!A17333&lt;&gt;"""",SPLIT('(INGESTA)Datos_consumo_datadis'!A:A,"",""),"""")"),"")</f>
        <v/>
      </c>
      <c r="G15768" s="8" t="str">
        <f t="shared" si="1"/>
        <v/>
      </c>
      <c r="H15768" s="14" t="str">
        <f t="shared" si="2"/>
        <v/>
      </c>
      <c r="I15768" s="15" t="str">
        <f t="shared" si="3"/>
        <v/>
      </c>
    </row>
    <row r="15769">
      <c r="A15769" s="8" t="str">
        <f>IFERROR(__xludf.DUMMYFUNCTION("IF('(INGESTA)Datos_consumo_datadis'!A17334&lt;&gt;"""",SPLIT('(INGESTA)Datos_consumo_datadis'!A:A,"",""),"""")"),"")</f>
        <v/>
      </c>
      <c r="G15769" s="8" t="str">
        <f t="shared" si="1"/>
        <v/>
      </c>
      <c r="H15769" s="14" t="str">
        <f t="shared" si="2"/>
        <v/>
      </c>
      <c r="I15769" s="15" t="str">
        <f t="shared" si="3"/>
        <v/>
      </c>
    </row>
    <row r="15770">
      <c r="A15770" s="8" t="str">
        <f>IFERROR(__xludf.DUMMYFUNCTION("IF('(INGESTA)Datos_consumo_datadis'!A17335&lt;&gt;"""",SPLIT('(INGESTA)Datos_consumo_datadis'!A:A,"",""),"""")"),"")</f>
        <v/>
      </c>
      <c r="G15770" s="8" t="str">
        <f t="shared" si="1"/>
        <v/>
      </c>
      <c r="H15770" s="14" t="str">
        <f t="shared" si="2"/>
        <v/>
      </c>
      <c r="I15770" s="15" t="str">
        <f t="shared" si="3"/>
        <v/>
      </c>
    </row>
    <row r="15771">
      <c r="A15771" s="8" t="str">
        <f>IFERROR(__xludf.DUMMYFUNCTION("IF('(INGESTA)Datos_consumo_datadis'!A17336&lt;&gt;"""",SPLIT('(INGESTA)Datos_consumo_datadis'!A:A,"",""),"""")"),"")</f>
        <v/>
      </c>
      <c r="G15771" s="8" t="str">
        <f t="shared" si="1"/>
        <v/>
      </c>
      <c r="H15771" s="14" t="str">
        <f t="shared" si="2"/>
        <v/>
      </c>
      <c r="I15771" s="15" t="str">
        <f t="shared" si="3"/>
        <v/>
      </c>
    </row>
    <row r="15772">
      <c r="A15772" s="8" t="str">
        <f>IFERROR(__xludf.DUMMYFUNCTION("IF('(INGESTA)Datos_consumo_datadis'!A17337&lt;&gt;"""",SPLIT('(INGESTA)Datos_consumo_datadis'!A:A,"",""),"""")"),"")</f>
        <v/>
      </c>
      <c r="G15772" s="8" t="str">
        <f t="shared" si="1"/>
        <v/>
      </c>
      <c r="H15772" s="14" t="str">
        <f t="shared" si="2"/>
        <v/>
      </c>
      <c r="I15772" s="15" t="str">
        <f t="shared" si="3"/>
        <v/>
      </c>
    </row>
    <row r="15773">
      <c r="A15773" s="8" t="str">
        <f>IFERROR(__xludf.DUMMYFUNCTION("IF('(INGESTA)Datos_consumo_datadis'!A17338&lt;&gt;"""",SPLIT('(INGESTA)Datos_consumo_datadis'!A:A,"",""),"""")"),"")</f>
        <v/>
      </c>
      <c r="G15773" s="8" t="str">
        <f t="shared" si="1"/>
        <v/>
      </c>
      <c r="H15773" s="14" t="str">
        <f t="shared" si="2"/>
        <v/>
      </c>
      <c r="I15773" s="15" t="str">
        <f t="shared" si="3"/>
        <v/>
      </c>
    </row>
    <row r="15774">
      <c r="A15774" s="8" t="str">
        <f>IFERROR(__xludf.DUMMYFUNCTION("IF('(INGESTA)Datos_consumo_datadis'!A17339&lt;&gt;"""",SPLIT('(INGESTA)Datos_consumo_datadis'!A:A,"",""),"""")"),"")</f>
        <v/>
      </c>
      <c r="G15774" s="8" t="str">
        <f t="shared" si="1"/>
        <v/>
      </c>
      <c r="H15774" s="14" t="str">
        <f t="shared" si="2"/>
        <v/>
      </c>
      <c r="I15774" s="15" t="str">
        <f t="shared" si="3"/>
        <v/>
      </c>
    </row>
    <row r="15775">
      <c r="A15775" s="8" t="str">
        <f>IFERROR(__xludf.DUMMYFUNCTION("IF('(INGESTA)Datos_consumo_datadis'!A17340&lt;&gt;"""",SPLIT('(INGESTA)Datos_consumo_datadis'!A:A,"",""),"""")"),"")</f>
        <v/>
      </c>
      <c r="G15775" s="8" t="str">
        <f t="shared" si="1"/>
        <v/>
      </c>
      <c r="H15775" s="14" t="str">
        <f t="shared" si="2"/>
        <v/>
      </c>
      <c r="I15775" s="15" t="str">
        <f t="shared" si="3"/>
        <v/>
      </c>
    </row>
    <row r="15776">
      <c r="A15776" s="8" t="str">
        <f>IFERROR(__xludf.DUMMYFUNCTION("IF('(INGESTA)Datos_consumo_datadis'!A17341&lt;&gt;"""",SPLIT('(INGESTA)Datos_consumo_datadis'!A:A,"",""),"""")"),"")</f>
        <v/>
      </c>
      <c r="G15776" s="8" t="str">
        <f t="shared" si="1"/>
        <v/>
      </c>
      <c r="H15776" s="14" t="str">
        <f t="shared" si="2"/>
        <v/>
      </c>
      <c r="I15776" s="15" t="str">
        <f t="shared" si="3"/>
        <v/>
      </c>
    </row>
    <row r="15777">
      <c r="A15777" s="8" t="str">
        <f>IFERROR(__xludf.DUMMYFUNCTION("IF('(INGESTA)Datos_consumo_datadis'!A17342&lt;&gt;"""",SPLIT('(INGESTA)Datos_consumo_datadis'!A:A,"",""),"""")"),"")</f>
        <v/>
      </c>
      <c r="G15777" s="8" t="str">
        <f t="shared" si="1"/>
        <v/>
      </c>
      <c r="H15777" s="14" t="str">
        <f t="shared" si="2"/>
        <v/>
      </c>
      <c r="I15777" s="15" t="str">
        <f t="shared" si="3"/>
        <v/>
      </c>
    </row>
    <row r="15778">
      <c r="A15778" s="8" t="str">
        <f>IFERROR(__xludf.DUMMYFUNCTION("IF('(INGESTA)Datos_consumo_datadis'!A17343&lt;&gt;"""",SPLIT('(INGESTA)Datos_consumo_datadis'!A:A,"",""),"""")"),"")</f>
        <v/>
      </c>
      <c r="G15778" s="8" t="str">
        <f t="shared" si="1"/>
        <v/>
      </c>
      <c r="H15778" s="14" t="str">
        <f t="shared" si="2"/>
        <v/>
      </c>
      <c r="I15778" s="15" t="str">
        <f t="shared" si="3"/>
        <v/>
      </c>
    </row>
    <row r="15779">
      <c r="A15779" s="8" t="str">
        <f>IFERROR(__xludf.DUMMYFUNCTION("IF('(INGESTA)Datos_consumo_datadis'!A17344&lt;&gt;"""",SPLIT('(INGESTA)Datos_consumo_datadis'!A:A,"",""),"""")"),"")</f>
        <v/>
      </c>
      <c r="G15779" s="8" t="str">
        <f t="shared" si="1"/>
        <v/>
      </c>
      <c r="H15779" s="14" t="str">
        <f t="shared" si="2"/>
        <v/>
      </c>
      <c r="I15779" s="15" t="str">
        <f t="shared" si="3"/>
        <v/>
      </c>
    </row>
    <row r="15780">
      <c r="A15780" s="8" t="str">
        <f>IFERROR(__xludf.DUMMYFUNCTION("IF('(INGESTA)Datos_consumo_datadis'!A17345&lt;&gt;"""",SPLIT('(INGESTA)Datos_consumo_datadis'!A:A,"",""),"""")"),"")</f>
        <v/>
      </c>
      <c r="G15780" s="8" t="str">
        <f t="shared" si="1"/>
        <v/>
      </c>
      <c r="H15780" s="14" t="str">
        <f t="shared" si="2"/>
        <v/>
      </c>
      <c r="I15780" s="15" t="str">
        <f t="shared" si="3"/>
        <v/>
      </c>
    </row>
    <row r="15781">
      <c r="A15781" s="8" t="str">
        <f>IFERROR(__xludf.DUMMYFUNCTION("IF('(INGESTA)Datos_consumo_datadis'!A17346&lt;&gt;"""",SPLIT('(INGESTA)Datos_consumo_datadis'!A:A,"",""),"""")"),"")</f>
        <v/>
      </c>
      <c r="G15781" s="8" t="str">
        <f t="shared" si="1"/>
        <v/>
      </c>
      <c r="H15781" s="14" t="str">
        <f t="shared" si="2"/>
        <v/>
      </c>
      <c r="I15781" s="15" t="str">
        <f t="shared" si="3"/>
        <v/>
      </c>
    </row>
    <row r="15782">
      <c r="A15782" s="8" t="str">
        <f>IFERROR(__xludf.DUMMYFUNCTION("IF('(INGESTA)Datos_consumo_datadis'!A17347&lt;&gt;"""",SPLIT('(INGESTA)Datos_consumo_datadis'!A:A,"",""),"""")"),"")</f>
        <v/>
      </c>
      <c r="G15782" s="8" t="str">
        <f t="shared" si="1"/>
        <v/>
      </c>
      <c r="H15782" s="14" t="str">
        <f t="shared" si="2"/>
        <v/>
      </c>
      <c r="I15782" s="15" t="str">
        <f t="shared" si="3"/>
        <v/>
      </c>
    </row>
    <row r="15783">
      <c r="A15783" s="8" t="str">
        <f>IFERROR(__xludf.DUMMYFUNCTION("IF('(INGESTA)Datos_consumo_datadis'!A17348&lt;&gt;"""",SPLIT('(INGESTA)Datos_consumo_datadis'!A:A,"",""),"""")"),"")</f>
        <v/>
      </c>
      <c r="G15783" s="8" t="str">
        <f t="shared" si="1"/>
        <v/>
      </c>
      <c r="H15783" s="14" t="str">
        <f t="shared" si="2"/>
        <v/>
      </c>
      <c r="I15783" s="15" t="str">
        <f t="shared" si="3"/>
        <v/>
      </c>
    </row>
    <row r="15784">
      <c r="A15784" s="8" t="str">
        <f>IFERROR(__xludf.DUMMYFUNCTION("IF('(INGESTA)Datos_consumo_datadis'!A17349&lt;&gt;"""",SPLIT('(INGESTA)Datos_consumo_datadis'!A:A,"",""),"""")"),"")</f>
        <v/>
      </c>
      <c r="G15784" s="8" t="str">
        <f t="shared" si="1"/>
        <v/>
      </c>
      <c r="H15784" s="14" t="str">
        <f t="shared" si="2"/>
        <v/>
      </c>
      <c r="I15784" s="15" t="str">
        <f t="shared" si="3"/>
        <v/>
      </c>
    </row>
    <row r="15785">
      <c r="A15785" s="8" t="str">
        <f>IFERROR(__xludf.DUMMYFUNCTION("IF('(INGESTA)Datos_consumo_datadis'!A17350&lt;&gt;"""",SPLIT('(INGESTA)Datos_consumo_datadis'!A:A,"",""),"""")"),"")</f>
        <v/>
      </c>
      <c r="G15785" s="8" t="str">
        <f t="shared" si="1"/>
        <v/>
      </c>
      <c r="H15785" s="14" t="str">
        <f t="shared" si="2"/>
        <v/>
      </c>
      <c r="I15785" s="15" t="str">
        <f t="shared" si="3"/>
        <v/>
      </c>
    </row>
    <row r="15786">
      <c r="A15786" s="8" t="str">
        <f>IFERROR(__xludf.DUMMYFUNCTION("IF('(INGESTA)Datos_consumo_datadis'!A17351&lt;&gt;"""",SPLIT('(INGESTA)Datos_consumo_datadis'!A:A,"",""),"""")"),"")</f>
        <v/>
      </c>
      <c r="G15786" s="8" t="str">
        <f t="shared" si="1"/>
        <v/>
      </c>
      <c r="H15786" s="14" t="str">
        <f t="shared" si="2"/>
        <v/>
      </c>
      <c r="I15786" s="15" t="str">
        <f t="shared" si="3"/>
        <v/>
      </c>
    </row>
    <row r="15787">
      <c r="A15787" s="8" t="str">
        <f>IFERROR(__xludf.DUMMYFUNCTION("IF('(INGESTA)Datos_consumo_datadis'!A17352&lt;&gt;"""",SPLIT('(INGESTA)Datos_consumo_datadis'!A:A,"",""),"""")"),"")</f>
        <v/>
      </c>
      <c r="G15787" s="8" t="str">
        <f t="shared" si="1"/>
        <v/>
      </c>
      <c r="H15787" s="14" t="str">
        <f t="shared" si="2"/>
        <v/>
      </c>
      <c r="I15787" s="15" t="str">
        <f t="shared" si="3"/>
        <v/>
      </c>
    </row>
    <row r="15788">
      <c r="A15788" s="8" t="str">
        <f>IFERROR(__xludf.DUMMYFUNCTION("IF('(INGESTA)Datos_consumo_datadis'!A17353&lt;&gt;"""",SPLIT('(INGESTA)Datos_consumo_datadis'!A:A,"",""),"""")"),"")</f>
        <v/>
      </c>
      <c r="G15788" s="8" t="str">
        <f t="shared" si="1"/>
        <v/>
      </c>
      <c r="H15788" s="14" t="str">
        <f t="shared" si="2"/>
        <v/>
      </c>
      <c r="I15788" s="15" t="str">
        <f t="shared" si="3"/>
        <v/>
      </c>
    </row>
    <row r="15789">
      <c r="A15789" s="8" t="str">
        <f>IFERROR(__xludf.DUMMYFUNCTION("IF('(INGESTA)Datos_consumo_datadis'!A17354&lt;&gt;"""",SPLIT('(INGESTA)Datos_consumo_datadis'!A:A,"",""),"""")"),"")</f>
        <v/>
      </c>
      <c r="G15789" s="8" t="str">
        <f t="shared" si="1"/>
        <v/>
      </c>
      <c r="H15789" s="14" t="str">
        <f t="shared" si="2"/>
        <v/>
      </c>
      <c r="I15789" s="15" t="str">
        <f t="shared" si="3"/>
        <v/>
      </c>
    </row>
    <row r="15790">
      <c r="A15790" s="8" t="str">
        <f>IFERROR(__xludf.DUMMYFUNCTION("IF('(INGESTA)Datos_consumo_datadis'!A17355&lt;&gt;"""",SPLIT('(INGESTA)Datos_consumo_datadis'!A:A,"",""),"""")"),"")</f>
        <v/>
      </c>
      <c r="G15790" s="8" t="str">
        <f t="shared" si="1"/>
        <v/>
      </c>
      <c r="H15790" s="14" t="str">
        <f t="shared" si="2"/>
        <v/>
      </c>
      <c r="I15790" s="15" t="str">
        <f t="shared" si="3"/>
        <v/>
      </c>
    </row>
    <row r="15791">
      <c r="A15791" s="8" t="str">
        <f>IFERROR(__xludf.DUMMYFUNCTION("IF('(INGESTA)Datos_consumo_datadis'!A17356&lt;&gt;"""",SPLIT('(INGESTA)Datos_consumo_datadis'!A:A,"",""),"""")"),"")</f>
        <v/>
      </c>
      <c r="G15791" s="8" t="str">
        <f t="shared" si="1"/>
        <v/>
      </c>
      <c r="H15791" s="14" t="str">
        <f t="shared" si="2"/>
        <v/>
      </c>
      <c r="I15791" s="15" t="str">
        <f t="shared" si="3"/>
        <v/>
      </c>
    </row>
    <row r="15792">
      <c r="A15792" s="8" t="str">
        <f>IFERROR(__xludf.DUMMYFUNCTION("IF('(INGESTA)Datos_consumo_datadis'!A17357&lt;&gt;"""",SPLIT('(INGESTA)Datos_consumo_datadis'!A:A,"",""),"""")"),"")</f>
        <v/>
      </c>
      <c r="G15792" s="8" t="str">
        <f t="shared" si="1"/>
        <v/>
      </c>
      <c r="H15792" s="14" t="str">
        <f t="shared" si="2"/>
        <v/>
      </c>
      <c r="I15792" s="15" t="str">
        <f t="shared" si="3"/>
        <v/>
      </c>
    </row>
    <row r="15793">
      <c r="A15793" s="8" t="str">
        <f>IFERROR(__xludf.DUMMYFUNCTION("IF('(INGESTA)Datos_consumo_datadis'!A17358&lt;&gt;"""",SPLIT('(INGESTA)Datos_consumo_datadis'!A:A,"",""),"""")"),"")</f>
        <v/>
      </c>
      <c r="G15793" s="8" t="str">
        <f t="shared" si="1"/>
        <v/>
      </c>
      <c r="H15793" s="14" t="str">
        <f t="shared" si="2"/>
        <v/>
      </c>
      <c r="I15793" s="15" t="str">
        <f t="shared" si="3"/>
        <v/>
      </c>
    </row>
    <row r="15794">
      <c r="A15794" s="8" t="str">
        <f>IFERROR(__xludf.DUMMYFUNCTION("IF('(INGESTA)Datos_consumo_datadis'!A17359&lt;&gt;"""",SPLIT('(INGESTA)Datos_consumo_datadis'!A:A,"",""),"""")"),"")</f>
        <v/>
      </c>
      <c r="G15794" s="8" t="str">
        <f t="shared" si="1"/>
        <v/>
      </c>
      <c r="H15794" s="14" t="str">
        <f t="shared" si="2"/>
        <v/>
      </c>
      <c r="I15794" s="15" t="str">
        <f t="shared" si="3"/>
        <v/>
      </c>
    </row>
    <row r="15795">
      <c r="A15795" s="8" t="str">
        <f>IFERROR(__xludf.DUMMYFUNCTION("IF('(INGESTA)Datos_consumo_datadis'!A17360&lt;&gt;"""",SPLIT('(INGESTA)Datos_consumo_datadis'!A:A,"",""),"""")"),"")</f>
        <v/>
      </c>
      <c r="G15795" s="8" t="str">
        <f t="shared" si="1"/>
        <v/>
      </c>
      <c r="H15795" s="14" t="str">
        <f t="shared" si="2"/>
        <v/>
      </c>
      <c r="I15795" s="15" t="str">
        <f t="shared" si="3"/>
        <v/>
      </c>
    </row>
    <row r="15796">
      <c r="A15796" s="8" t="str">
        <f>IFERROR(__xludf.DUMMYFUNCTION("IF('(INGESTA)Datos_consumo_datadis'!A17361&lt;&gt;"""",SPLIT('(INGESTA)Datos_consumo_datadis'!A:A,"",""),"""")"),"")</f>
        <v/>
      </c>
      <c r="G15796" s="8" t="str">
        <f t="shared" si="1"/>
        <v/>
      </c>
      <c r="H15796" s="14" t="str">
        <f t="shared" si="2"/>
        <v/>
      </c>
      <c r="I15796" s="15" t="str">
        <f t="shared" si="3"/>
        <v/>
      </c>
    </row>
    <row r="15797">
      <c r="A15797" s="8" t="str">
        <f>IFERROR(__xludf.DUMMYFUNCTION("IF('(INGESTA)Datos_consumo_datadis'!A17362&lt;&gt;"""",SPLIT('(INGESTA)Datos_consumo_datadis'!A:A,"",""),"""")"),"")</f>
        <v/>
      </c>
      <c r="G15797" s="8" t="str">
        <f t="shared" si="1"/>
        <v/>
      </c>
      <c r="H15797" s="14" t="str">
        <f t="shared" si="2"/>
        <v/>
      </c>
      <c r="I15797" s="15" t="str">
        <f t="shared" si="3"/>
        <v/>
      </c>
    </row>
    <row r="15798">
      <c r="A15798" s="8" t="str">
        <f>IFERROR(__xludf.DUMMYFUNCTION("IF('(INGESTA)Datos_consumo_datadis'!A17363&lt;&gt;"""",SPLIT('(INGESTA)Datos_consumo_datadis'!A:A,"",""),"""")"),"")</f>
        <v/>
      </c>
      <c r="G15798" s="8" t="str">
        <f t="shared" si="1"/>
        <v/>
      </c>
      <c r="H15798" s="14" t="str">
        <f t="shared" si="2"/>
        <v/>
      </c>
      <c r="I15798" s="15" t="str">
        <f t="shared" si="3"/>
        <v/>
      </c>
    </row>
    <row r="15799">
      <c r="A15799" s="8" t="str">
        <f>IFERROR(__xludf.DUMMYFUNCTION("IF('(INGESTA)Datos_consumo_datadis'!A17364&lt;&gt;"""",SPLIT('(INGESTA)Datos_consumo_datadis'!A:A,"",""),"""")"),"")</f>
        <v/>
      </c>
      <c r="G15799" s="8" t="str">
        <f t="shared" si="1"/>
        <v/>
      </c>
      <c r="H15799" s="14" t="str">
        <f t="shared" si="2"/>
        <v/>
      </c>
      <c r="I15799" s="15" t="str">
        <f t="shared" si="3"/>
        <v/>
      </c>
    </row>
    <row r="15800">
      <c r="A15800" s="8" t="str">
        <f>IFERROR(__xludf.DUMMYFUNCTION("IF('(INGESTA)Datos_consumo_datadis'!A17365&lt;&gt;"""",SPLIT('(INGESTA)Datos_consumo_datadis'!A:A,"",""),"""")"),"")</f>
        <v/>
      </c>
      <c r="G15800" s="8" t="str">
        <f t="shared" si="1"/>
        <v/>
      </c>
      <c r="H15800" s="14" t="str">
        <f t="shared" si="2"/>
        <v/>
      </c>
      <c r="I15800" s="15" t="str">
        <f t="shared" si="3"/>
        <v/>
      </c>
    </row>
    <row r="15801">
      <c r="A15801" s="8" t="str">
        <f>IFERROR(__xludf.DUMMYFUNCTION("IF('(INGESTA)Datos_consumo_datadis'!A17366&lt;&gt;"""",SPLIT('(INGESTA)Datos_consumo_datadis'!A:A,"",""),"""")"),"")</f>
        <v/>
      </c>
      <c r="G15801" s="8" t="str">
        <f t="shared" si="1"/>
        <v/>
      </c>
      <c r="H15801" s="14" t="str">
        <f t="shared" si="2"/>
        <v/>
      </c>
      <c r="I15801" s="15" t="str">
        <f t="shared" si="3"/>
        <v/>
      </c>
    </row>
    <row r="15802">
      <c r="A15802" s="8" t="str">
        <f>IFERROR(__xludf.DUMMYFUNCTION("IF('(INGESTA)Datos_consumo_datadis'!A17367&lt;&gt;"""",SPLIT('(INGESTA)Datos_consumo_datadis'!A:A,"",""),"""")"),"")</f>
        <v/>
      </c>
      <c r="G15802" s="8" t="str">
        <f t="shared" si="1"/>
        <v/>
      </c>
      <c r="H15802" s="14" t="str">
        <f t="shared" si="2"/>
        <v/>
      </c>
      <c r="I15802" s="15" t="str">
        <f t="shared" si="3"/>
        <v/>
      </c>
    </row>
    <row r="15803">
      <c r="A15803" s="8" t="str">
        <f>IFERROR(__xludf.DUMMYFUNCTION("IF('(INGESTA)Datos_consumo_datadis'!A17368&lt;&gt;"""",SPLIT('(INGESTA)Datos_consumo_datadis'!A:A,"",""),"""")"),"")</f>
        <v/>
      </c>
      <c r="G15803" s="8" t="str">
        <f t="shared" si="1"/>
        <v/>
      </c>
      <c r="H15803" s="14" t="str">
        <f t="shared" si="2"/>
        <v/>
      </c>
      <c r="I15803" s="15" t="str">
        <f t="shared" si="3"/>
        <v/>
      </c>
    </row>
    <row r="15804">
      <c r="A15804" s="8" t="str">
        <f>IFERROR(__xludf.DUMMYFUNCTION("IF('(INGESTA)Datos_consumo_datadis'!A17369&lt;&gt;"""",SPLIT('(INGESTA)Datos_consumo_datadis'!A:A,"",""),"""")"),"")</f>
        <v/>
      </c>
      <c r="G15804" s="8" t="str">
        <f t="shared" si="1"/>
        <v/>
      </c>
      <c r="H15804" s="14" t="str">
        <f t="shared" si="2"/>
        <v/>
      </c>
      <c r="I15804" s="15" t="str">
        <f t="shared" si="3"/>
        <v/>
      </c>
    </row>
    <row r="15805">
      <c r="A15805" s="8" t="str">
        <f>IFERROR(__xludf.DUMMYFUNCTION("IF('(INGESTA)Datos_consumo_datadis'!A17370&lt;&gt;"""",SPLIT('(INGESTA)Datos_consumo_datadis'!A:A,"",""),"""")"),"")</f>
        <v/>
      </c>
      <c r="G15805" s="8" t="str">
        <f t="shared" si="1"/>
        <v/>
      </c>
      <c r="H15805" s="14" t="str">
        <f t="shared" si="2"/>
        <v/>
      </c>
      <c r="I15805" s="15" t="str">
        <f t="shared" si="3"/>
        <v/>
      </c>
    </row>
    <row r="15806">
      <c r="A15806" s="8" t="str">
        <f>IFERROR(__xludf.DUMMYFUNCTION("IF('(INGESTA)Datos_consumo_datadis'!A17371&lt;&gt;"""",SPLIT('(INGESTA)Datos_consumo_datadis'!A:A,"",""),"""")"),"")</f>
        <v/>
      </c>
      <c r="G15806" s="8" t="str">
        <f t="shared" si="1"/>
        <v/>
      </c>
      <c r="H15806" s="14" t="str">
        <f t="shared" si="2"/>
        <v/>
      </c>
      <c r="I15806" s="15" t="str">
        <f t="shared" si="3"/>
        <v/>
      </c>
    </row>
    <row r="15807">
      <c r="A15807" s="8" t="str">
        <f>IFERROR(__xludf.DUMMYFUNCTION("IF('(INGESTA)Datos_consumo_datadis'!A17372&lt;&gt;"""",SPLIT('(INGESTA)Datos_consumo_datadis'!A:A,"",""),"""")"),"")</f>
        <v/>
      </c>
      <c r="G15807" s="8" t="str">
        <f t="shared" si="1"/>
        <v/>
      </c>
      <c r="H15807" s="14" t="str">
        <f t="shared" si="2"/>
        <v/>
      </c>
      <c r="I15807" s="15" t="str">
        <f t="shared" si="3"/>
        <v/>
      </c>
    </row>
    <row r="15808">
      <c r="A15808" s="8" t="str">
        <f>IFERROR(__xludf.DUMMYFUNCTION("IF('(INGESTA)Datos_consumo_datadis'!A17373&lt;&gt;"""",SPLIT('(INGESTA)Datos_consumo_datadis'!A:A,"",""),"""")"),"")</f>
        <v/>
      </c>
      <c r="G15808" s="8" t="str">
        <f t="shared" si="1"/>
        <v/>
      </c>
      <c r="H15808" s="14" t="str">
        <f t="shared" si="2"/>
        <v/>
      </c>
      <c r="I15808" s="15" t="str">
        <f t="shared" si="3"/>
        <v/>
      </c>
    </row>
    <row r="15809">
      <c r="A15809" s="8" t="str">
        <f>IFERROR(__xludf.DUMMYFUNCTION("IF('(INGESTA)Datos_consumo_datadis'!A17374&lt;&gt;"""",SPLIT('(INGESTA)Datos_consumo_datadis'!A:A,"",""),"""")"),"")</f>
        <v/>
      </c>
      <c r="G15809" s="8" t="str">
        <f t="shared" si="1"/>
        <v/>
      </c>
      <c r="H15809" s="14" t="str">
        <f t="shared" si="2"/>
        <v/>
      </c>
      <c r="I15809" s="15" t="str">
        <f t="shared" si="3"/>
        <v/>
      </c>
    </row>
    <row r="15810">
      <c r="A15810" s="8" t="str">
        <f>IFERROR(__xludf.DUMMYFUNCTION("IF('(INGESTA)Datos_consumo_datadis'!A17375&lt;&gt;"""",SPLIT('(INGESTA)Datos_consumo_datadis'!A:A,"",""),"""")"),"")</f>
        <v/>
      </c>
      <c r="G15810" s="8" t="str">
        <f t="shared" si="1"/>
        <v/>
      </c>
      <c r="H15810" s="14" t="str">
        <f t="shared" si="2"/>
        <v/>
      </c>
      <c r="I15810" s="15" t="str">
        <f t="shared" si="3"/>
        <v/>
      </c>
    </row>
    <row r="15811">
      <c r="A15811" s="8" t="str">
        <f>IFERROR(__xludf.DUMMYFUNCTION("IF('(INGESTA)Datos_consumo_datadis'!A17376&lt;&gt;"""",SPLIT('(INGESTA)Datos_consumo_datadis'!A:A,"",""),"""")"),"")</f>
        <v/>
      </c>
      <c r="G15811" s="8" t="str">
        <f t="shared" si="1"/>
        <v/>
      </c>
      <c r="H15811" s="14" t="str">
        <f t="shared" si="2"/>
        <v/>
      </c>
      <c r="I15811" s="15" t="str">
        <f t="shared" si="3"/>
        <v/>
      </c>
    </row>
    <row r="15812">
      <c r="A15812" s="8" t="str">
        <f>IFERROR(__xludf.DUMMYFUNCTION("IF('(INGESTA)Datos_consumo_datadis'!A17377&lt;&gt;"""",SPLIT('(INGESTA)Datos_consumo_datadis'!A:A,"",""),"""")"),"")</f>
        <v/>
      </c>
      <c r="G15812" s="8" t="str">
        <f t="shared" si="1"/>
        <v/>
      </c>
      <c r="H15812" s="14" t="str">
        <f t="shared" si="2"/>
        <v/>
      </c>
      <c r="I15812" s="15" t="str">
        <f t="shared" si="3"/>
        <v/>
      </c>
    </row>
    <row r="15813">
      <c r="A15813" s="8" t="str">
        <f>IFERROR(__xludf.DUMMYFUNCTION("IF('(INGESTA)Datos_consumo_datadis'!A17378&lt;&gt;"""",SPLIT('(INGESTA)Datos_consumo_datadis'!A:A,"",""),"""")"),"")</f>
        <v/>
      </c>
      <c r="G15813" s="8" t="str">
        <f t="shared" si="1"/>
        <v/>
      </c>
      <c r="H15813" s="14" t="str">
        <f t="shared" si="2"/>
        <v/>
      </c>
      <c r="I15813" s="15" t="str">
        <f t="shared" si="3"/>
        <v/>
      </c>
    </row>
    <row r="15814">
      <c r="A15814" s="8" t="str">
        <f>IFERROR(__xludf.DUMMYFUNCTION("IF('(INGESTA)Datos_consumo_datadis'!A17379&lt;&gt;"""",SPLIT('(INGESTA)Datos_consumo_datadis'!A:A,"",""),"""")"),"")</f>
        <v/>
      </c>
      <c r="G15814" s="8" t="str">
        <f t="shared" si="1"/>
        <v/>
      </c>
      <c r="H15814" s="14" t="str">
        <f t="shared" si="2"/>
        <v/>
      </c>
      <c r="I15814" s="15" t="str">
        <f t="shared" si="3"/>
        <v/>
      </c>
    </row>
    <row r="15815">
      <c r="A15815" s="8" t="str">
        <f>IFERROR(__xludf.DUMMYFUNCTION("IF('(INGESTA)Datos_consumo_datadis'!A17380&lt;&gt;"""",SPLIT('(INGESTA)Datos_consumo_datadis'!A:A,"",""),"""")"),"")</f>
        <v/>
      </c>
      <c r="G15815" s="8" t="str">
        <f t="shared" si="1"/>
        <v/>
      </c>
      <c r="H15815" s="14" t="str">
        <f t="shared" si="2"/>
        <v/>
      </c>
      <c r="I15815" s="15" t="str">
        <f t="shared" si="3"/>
        <v/>
      </c>
    </row>
    <row r="15816">
      <c r="A15816" s="8" t="str">
        <f>IFERROR(__xludf.DUMMYFUNCTION("IF('(INGESTA)Datos_consumo_datadis'!A17381&lt;&gt;"""",SPLIT('(INGESTA)Datos_consumo_datadis'!A:A,"",""),"""")"),"")</f>
        <v/>
      </c>
      <c r="G15816" s="8" t="str">
        <f t="shared" si="1"/>
        <v/>
      </c>
      <c r="H15816" s="14" t="str">
        <f t="shared" si="2"/>
        <v/>
      </c>
      <c r="I15816" s="15" t="str">
        <f t="shared" si="3"/>
        <v/>
      </c>
    </row>
    <row r="15817">
      <c r="A15817" s="8" t="str">
        <f>IFERROR(__xludf.DUMMYFUNCTION("IF('(INGESTA)Datos_consumo_datadis'!A17382&lt;&gt;"""",SPLIT('(INGESTA)Datos_consumo_datadis'!A:A,"",""),"""")"),"")</f>
        <v/>
      </c>
      <c r="G15817" s="8" t="str">
        <f t="shared" si="1"/>
        <v/>
      </c>
      <c r="H15817" s="14" t="str">
        <f t="shared" si="2"/>
        <v/>
      </c>
      <c r="I15817" s="15" t="str">
        <f t="shared" si="3"/>
        <v/>
      </c>
    </row>
    <row r="15818">
      <c r="A15818" s="8" t="str">
        <f>IFERROR(__xludf.DUMMYFUNCTION("IF('(INGESTA)Datos_consumo_datadis'!A17383&lt;&gt;"""",SPLIT('(INGESTA)Datos_consumo_datadis'!A:A,"",""),"""")"),"")</f>
        <v/>
      </c>
      <c r="G15818" s="8" t="str">
        <f t="shared" si="1"/>
        <v/>
      </c>
      <c r="H15818" s="14" t="str">
        <f t="shared" si="2"/>
        <v/>
      </c>
      <c r="I15818" s="15" t="str">
        <f t="shared" si="3"/>
        <v/>
      </c>
    </row>
    <row r="15819">
      <c r="A15819" s="8" t="str">
        <f>IFERROR(__xludf.DUMMYFUNCTION("IF('(INGESTA)Datos_consumo_datadis'!A17384&lt;&gt;"""",SPLIT('(INGESTA)Datos_consumo_datadis'!A:A,"",""),"""")"),"")</f>
        <v/>
      </c>
      <c r="G15819" s="8" t="str">
        <f t="shared" si="1"/>
        <v/>
      </c>
      <c r="H15819" s="14" t="str">
        <f t="shared" si="2"/>
        <v/>
      </c>
      <c r="I15819" s="15" t="str">
        <f t="shared" si="3"/>
        <v/>
      </c>
    </row>
    <row r="15820">
      <c r="A15820" s="8" t="str">
        <f>IFERROR(__xludf.DUMMYFUNCTION("IF('(INGESTA)Datos_consumo_datadis'!A17385&lt;&gt;"""",SPLIT('(INGESTA)Datos_consumo_datadis'!A:A,"",""),"""")"),"")</f>
        <v/>
      </c>
      <c r="G15820" s="8" t="str">
        <f t="shared" si="1"/>
        <v/>
      </c>
      <c r="H15820" s="14" t="str">
        <f t="shared" si="2"/>
        <v/>
      </c>
      <c r="I15820" s="15" t="str">
        <f t="shared" si="3"/>
        <v/>
      </c>
    </row>
    <row r="15821">
      <c r="A15821" s="8" t="str">
        <f>IFERROR(__xludf.DUMMYFUNCTION("IF('(INGESTA)Datos_consumo_datadis'!A17386&lt;&gt;"""",SPLIT('(INGESTA)Datos_consumo_datadis'!A:A,"",""),"""")"),"")</f>
        <v/>
      </c>
      <c r="G15821" s="8" t="str">
        <f t="shared" si="1"/>
        <v/>
      </c>
      <c r="H15821" s="14" t="str">
        <f t="shared" si="2"/>
        <v/>
      </c>
      <c r="I15821" s="15" t="str">
        <f t="shared" si="3"/>
        <v/>
      </c>
    </row>
    <row r="15822">
      <c r="A15822" s="8" t="str">
        <f>IFERROR(__xludf.DUMMYFUNCTION("IF('(INGESTA)Datos_consumo_datadis'!A17387&lt;&gt;"""",SPLIT('(INGESTA)Datos_consumo_datadis'!A:A,"",""),"""")"),"")</f>
        <v/>
      </c>
      <c r="G15822" s="8" t="str">
        <f t="shared" si="1"/>
        <v/>
      </c>
      <c r="H15822" s="14" t="str">
        <f t="shared" si="2"/>
        <v/>
      </c>
      <c r="I15822" s="15" t="str">
        <f t="shared" si="3"/>
        <v/>
      </c>
    </row>
    <row r="15823">
      <c r="A15823" s="8" t="str">
        <f>IFERROR(__xludf.DUMMYFUNCTION("IF('(INGESTA)Datos_consumo_datadis'!A17388&lt;&gt;"""",SPLIT('(INGESTA)Datos_consumo_datadis'!A:A,"",""),"""")"),"")</f>
        <v/>
      </c>
      <c r="G15823" s="8" t="str">
        <f t="shared" si="1"/>
        <v/>
      </c>
      <c r="H15823" s="14" t="str">
        <f t="shared" si="2"/>
        <v/>
      </c>
      <c r="I15823" s="15" t="str">
        <f t="shared" si="3"/>
        <v/>
      </c>
    </row>
    <row r="15824">
      <c r="A15824" s="8" t="str">
        <f>IFERROR(__xludf.DUMMYFUNCTION("IF('(INGESTA)Datos_consumo_datadis'!A17389&lt;&gt;"""",SPLIT('(INGESTA)Datos_consumo_datadis'!A:A,"",""),"""")"),"")</f>
        <v/>
      </c>
      <c r="G15824" s="8" t="str">
        <f t="shared" si="1"/>
        <v/>
      </c>
      <c r="H15824" s="14" t="str">
        <f t="shared" si="2"/>
        <v/>
      </c>
      <c r="I15824" s="15" t="str">
        <f t="shared" si="3"/>
        <v/>
      </c>
    </row>
    <row r="15825">
      <c r="A15825" s="8" t="str">
        <f>IFERROR(__xludf.DUMMYFUNCTION("IF('(INGESTA)Datos_consumo_datadis'!A17390&lt;&gt;"""",SPLIT('(INGESTA)Datos_consumo_datadis'!A:A,"",""),"""")"),"")</f>
        <v/>
      </c>
      <c r="G15825" s="8" t="str">
        <f t="shared" si="1"/>
        <v/>
      </c>
      <c r="H15825" s="14" t="str">
        <f t="shared" si="2"/>
        <v/>
      </c>
      <c r="I15825" s="15" t="str">
        <f t="shared" si="3"/>
        <v/>
      </c>
    </row>
    <row r="15826">
      <c r="A15826" s="8" t="str">
        <f>IFERROR(__xludf.DUMMYFUNCTION("IF('(INGESTA)Datos_consumo_datadis'!A17391&lt;&gt;"""",SPLIT('(INGESTA)Datos_consumo_datadis'!A:A,"",""),"""")"),"")</f>
        <v/>
      </c>
      <c r="G15826" s="8" t="str">
        <f t="shared" si="1"/>
        <v/>
      </c>
      <c r="H15826" s="14" t="str">
        <f t="shared" si="2"/>
        <v/>
      </c>
      <c r="I15826" s="15" t="str">
        <f t="shared" si="3"/>
        <v/>
      </c>
    </row>
    <row r="15827">
      <c r="A15827" s="8" t="str">
        <f>IFERROR(__xludf.DUMMYFUNCTION("IF('(INGESTA)Datos_consumo_datadis'!A17392&lt;&gt;"""",SPLIT('(INGESTA)Datos_consumo_datadis'!A:A,"",""),"""")"),"")</f>
        <v/>
      </c>
      <c r="G15827" s="8" t="str">
        <f t="shared" si="1"/>
        <v/>
      </c>
      <c r="H15827" s="14" t="str">
        <f t="shared" si="2"/>
        <v/>
      </c>
      <c r="I15827" s="15" t="str">
        <f t="shared" si="3"/>
        <v/>
      </c>
    </row>
    <row r="15828">
      <c r="A15828" s="8" t="str">
        <f>IFERROR(__xludf.DUMMYFUNCTION("IF('(INGESTA)Datos_consumo_datadis'!A17393&lt;&gt;"""",SPLIT('(INGESTA)Datos_consumo_datadis'!A:A,"",""),"""")"),"")</f>
        <v/>
      </c>
      <c r="G15828" s="8" t="str">
        <f t="shared" si="1"/>
        <v/>
      </c>
      <c r="H15828" s="14" t="str">
        <f t="shared" si="2"/>
        <v/>
      </c>
      <c r="I15828" s="15" t="str">
        <f t="shared" si="3"/>
        <v/>
      </c>
    </row>
    <row r="15829">
      <c r="A15829" s="8" t="str">
        <f>IFERROR(__xludf.DUMMYFUNCTION("IF('(INGESTA)Datos_consumo_datadis'!A17394&lt;&gt;"""",SPLIT('(INGESTA)Datos_consumo_datadis'!A:A,"",""),"""")"),"")</f>
        <v/>
      </c>
      <c r="G15829" s="8" t="str">
        <f t="shared" si="1"/>
        <v/>
      </c>
      <c r="H15829" s="14" t="str">
        <f t="shared" si="2"/>
        <v/>
      </c>
      <c r="I15829" s="15" t="str">
        <f t="shared" si="3"/>
        <v/>
      </c>
    </row>
    <row r="15830">
      <c r="A15830" s="8" t="str">
        <f>IFERROR(__xludf.DUMMYFUNCTION("IF('(INGESTA)Datos_consumo_datadis'!A17395&lt;&gt;"""",SPLIT('(INGESTA)Datos_consumo_datadis'!A:A,"",""),"""")"),"")</f>
        <v/>
      </c>
      <c r="G15830" s="8" t="str">
        <f t="shared" si="1"/>
        <v/>
      </c>
      <c r="H15830" s="14" t="str">
        <f t="shared" si="2"/>
        <v/>
      </c>
      <c r="I15830" s="15" t="str">
        <f t="shared" si="3"/>
        <v/>
      </c>
    </row>
    <row r="15831">
      <c r="A15831" s="8" t="str">
        <f>IFERROR(__xludf.DUMMYFUNCTION("IF('(INGESTA)Datos_consumo_datadis'!A17396&lt;&gt;"""",SPLIT('(INGESTA)Datos_consumo_datadis'!A:A,"",""),"""")"),"")</f>
        <v/>
      </c>
      <c r="G15831" s="8" t="str">
        <f t="shared" si="1"/>
        <v/>
      </c>
      <c r="H15831" s="14" t="str">
        <f t="shared" si="2"/>
        <v/>
      </c>
      <c r="I15831" s="15" t="str">
        <f t="shared" si="3"/>
        <v/>
      </c>
    </row>
    <row r="15832">
      <c r="A15832" s="8" t="str">
        <f>IFERROR(__xludf.DUMMYFUNCTION("IF('(INGESTA)Datos_consumo_datadis'!A17397&lt;&gt;"""",SPLIT('(INGESTA)Datos_consumo_datadis'!A:A,"",""),"""")"),"")</f>
        <v/>
      </c>
      <c r="G15832" s="8" t="str">
        <f t="shared" si="1"/>
        <v/>
      </c>
      <c r="H15832" s="14" t="str">
        <f t="shared" si="2"/>
        <v/>
      </c>
      <c r="I15832" s="15" t="str">
        <f t="shared" si="3"/>
        <v/>
      </c>
    </row>
    <row r="15833">
      <c r="A15833" s="8" t="str">
        <f>IFERROR(__xludf.DUMMYFUNCTION("IF('(INGESTA)Datos_consumo_datadis'!A17398&lt;&gt;"""",SPLIT('(INGESTA)Datos_consumo_datadis'!A:A,"",""),"""")"),"")</f>
        <v/>
      </c>
      <c r="G15833" s="8" t="str">
        <f t="shared" si="1"/>
        <v/>
      </c>
      <c r="H15833" s="14" t="str">
        <f t="shared" si="2"/>
        <v/>
      </c>
      <c r="I15833" s="15" t="str">
        <f t="shared" si="3"/>
        <v/>
      </c>
    </row>
    <row r="15834">
      <c r="A15834" s="8" t="str">
        <f>IFERROR(__xludf.DUMMYFUNCTION("IF('(INGESTA)Datos_consumo_datadis'!A17399&lt;&gt;"""",SPLIT('(INGESTA)Datos_consumo_datadis'!A:A,"",""),"""")"),"")</f>
        <v/>
      </c>
      <c r="G15834" s="8" t="str">
        <f t="shared" si="1"/>
        <v/>
      </c>
      <c r="H15834" s="14" t="str">
        <f t="shared" si="2"/>
        <v/>
      </c>
      <c r="I15834" s="15" t="str">
        <f t="shared" si="3"/>
        <v/>
      </c>
    </row>
    <row r="15835">
      <c r="A15835" s="8" t="str">
        <f>IFERROR(__xludf.DUMMYFUNCTION("IF('(INGESTA)Datos_consumo_datadis'!A17400&lt;&gt;"""",SPLIT('(INGESTA)Datos_consumo_datadis'!A:A,"",""),"""")"),"")</f>
        <v/>
      </c>
      <c r="G15835" s="8" t="str">
        <f t="shared" si="1"/>
        <v/>
      </c>
      <c r="H15835" s="14" t="str">
        <f t="shared" si="2"/>
        <v/>
      </c>
      <c r="I15835" s="15" t="str">
        <f t="shared" si="3"/>
        <v/>
      </c>
    </row>
    <row r="15836">
      <c r="A15836" s="8" t="str">
        <f>IFERROR(__xludf.DUMMYFUNCTION("IF('(INGESTA)Datos_consumo_datadis'!A17401&lt;&gt;"""",SPLIT('(INGESTA)Datos_consumo_datadis'!A:A,"",""),"""")"),"")</f>
        <v/>
      </c>
      <c r="G15836" s="8" t="str">
        <f t="shared" si="1"/>
        <v/>
      </c>
      <c r="H15836" s="14" t="str">
        <f t="shared" si="2"/>
        <v/>
      </c>
      <c r="I15836" s="15" t="str">
        <f t="shared" si="3"/>
        <v/>
      </c>
    </row>
    <row r="15837">
      <c r="A15837" s="8" t="str">
        <f>IFERROR(__xludf.DUMMYFUNCTION("IF('(INGESTA)Datos_consumo_datadis'!A17402&lt;&gt;"""",SPLIT('(INGESTA)Datos_consumo_datadis'!A:A,"",""),"""")"),"")</f>
        <v/>
      </c>
      <c r="G15837" s="8" t="str">
        <f t="shared" si="1"/>
        <v/>
      </c>
      <c r="H15837" s="14" t="str">
        <f t="shared" si="2"/>
        <v/>
      </c>
      <c r="I15837" s="15" t="str">
        <f t="shared" si="3"/>
        <v/>
      </c>
    </row>
    <row r="15838">
      <c r="A15838" s="8" t="str">
        <f>IFERROR(__xludf.DUMMYFUNCTION("IF('(INGESTA)Datos_consumo_datadis'!A17403&lt;&gt;"""",SPLIT('(INGESTA)Datos_consumo_datadis'!A:A,"",""),"""")"),"")</f>
        <v/>
      </c>
      <c r="G15838" s="8" t="str">
        <f t="shared" si="1"/>
        <v/>
      </c>
      <c r="H15838" s="14" t="str">
        <f t="shared" si="2"/>
        <v/>
      </c>
      <c r="I15838" s="15" t="str">
        <f t="shared" si="3"/>
        <v/>
      </c>
    </row>
    <row r="15839">
      <c r="A15839" s="8" t="str">
        <f>IFERROR(__xludf.DUMMYFUNCTION("IF('(INGESTA)Datos_consumo_datadis'!A17404&lt;&gt;"""",SPLIT('(INGESTA)Datos_consumo_datadis'!A:A,"",""),"""")"),"")</f>
        <v/>
      </c>
      <c r="G15839" s="8" t="str">
        <f t="shared" si="1"/>
        <v/>
      </c>
      <c r="H15839" s="14" t="str">
        <f t="shared" si="2"/>
        <v/>
      </c>
      <c r="I15839" s="15" t="str">
        <f t="shared" si="3"/>
        <v/>
      </c>
    </row>
    <row r="15840">
      <c r="A15840" s="8" t="str">
        <f>IFERROR(__xludf.DUMMYFUNCTION("IF('(INGESTA)Datos_consumo_datadis'!A17405&lt;&gt;"""",SPLIT('(INGESTA)Datos_consumo_datadis'!A:A,"",""),"""")"),"")</f>
        <v/>
      </c>
      <c r="G15840" s="8" t="str">
        <f t="shared" si="1"/>
        <v/>
      </c>
      <c r="H15840" s="14" t="str">
        <f t="shared" si="2"/>
        <v/>
      </c>
      <c r="I15840" s="15" t="str">
        <f t="shared" si="3"/>
        <v/>
      </c>
    </row>
    <row r="15841">
      <c r="A15841" s="8" t="str">
        <f>IFERROR(__xludf.DUMMYFUNCTION("IF('(INGESTA)Datos_consumo_datadis'!A17406&lt;&gt;"""",SPLIT('(INGESTA)Datos_consumo_datadis'!A:A,"",""),"""")"),"")</f>
        <v/>
      </c>
      <c r="G15841" s="8" t="str">
        <f t="shared" si="1"/>
        <v/>
      </c>
      <c r="H15841" s="14" t="str">
        <f t="shared" si="2"/>
        <v/>
      </c>
      <c r="I15841" s="15" t="str">
        <f t="shared" si="3"/>
        <v/>
      </c>
    </row>
    <row r="15842">
      <c r="A15842" s="8" t="str">
        <f>IFERROR(__xludf.DUMMYFUNCTION("IF('(INGESTA)Datos_consumo_datadis'!A17407&lt;&gt;"""",SPLIT('(INGESTA)Datos_consumo_datadis'!A:A,"",""),"""")"),"")</f>
        <v/>
      </c>
      <c r="G15842" s="8" t="str">
        <f t="shared" si="1"/>
        <v/>
      </c>
      <c r="H15842" s="14" t="str">
        <f t="shared" si="2"/>
        <v/>
      </c>
      <c r="I15842" s="15" t="str">
        <f t="shared" si="3"/>
        <v/>
      </c>
    </row>
    <row r="15843">
      <c r="A15843" s="8" t="str">
        <f>IFERROR(__xludf.DUMMYFUNCTION("IF('(INGESTA)Datos_consumo_datadis'!A17408&lt;&gt;"""",SPLIT('(INGESTA)Datos_consumo_datadis'!A:A,"",""),"""")"),"")</f>
        <v/>
      </c>
      <c r="G15843" s="8" t="str">
        <f t="shared" si="1"/>
        <v/>
      </c>
      <c r="H15843" s="14" t="str">
        <f t="shared" si="2"/>
        <v/>
      </c>
      <c r="I15843" s="15" t="str">
        <f t="shared" si="3"/>
        <v/>
      </c>
    </row>
    <row r="15844">
      <c r="A15844" s="8" t="str">
        <f>IFERROR(__xludf.DUMMYFUNCTION("IF('(INGESTA)Datos_consumo_datadis'!A17409&lt;&gt;"""",SPLIT('(INGESTA)Datos_consumo_datadis'!A:A,"",""),"""")"),"")</f>
        <v/>
      </c>
      <c r="G15844" s="8" t="str">
        <f t="shared" si="1"/>
        <v/>
      </c>
      <c r="H15844" s="14" t="str">
        <f t="shared" si="2"/>
        <v/>
      </c>
      <c r="I15844" s="15" t="str">
        <f t="shared" si="3"/>
        <v/>
      </c>
    </row>
    <row r="15845">
      <c r="A15845" s="8" t="str">
        <f>IFERROR(__xludf.DUMMYFUNCTION("IF('(INGESTA)Datos_consumo_datadis'!A17410&lt;&gt;"""",SPLIT('(INGESTA)Datos_consumo_datadis'!A:A,"",""),"""")"),"")</f>
        <v/>
      </c>
      <c r="G15845" s="8" t="str">
        <f t="shared" si="1"/>
        <v/>
      </c>
      <c r="H15845" s="14" t="str">
        <f t="shared" si="2"/>
        <v/>
      </c>
      <c r="I15845" s="15" t="str">
        <f t="shared" si="3"/>
        <v/>
      </c>
    </row>
    <row r="15846">
      <c r="A15846" s="8" t="str">
        <f>IFERROR(__xludf.DUMMYFUNCTION("IF('(INGESTA)Datos_consumo_datadis'!A17411&lt;&gt;"""",SPLIT('(INGESTA)Datos_consumo_datadis'!A:A,"",""),"""")"),"")</f>
        <v/>
      </c>
      <c r="G15846" s="8" t="str">
        <f t="shared" si="1"/>
        <v/>
      </c>
      <c r="H15846" s="14" t="str">
        <f t="shared" si="2"/>
        <v/>
      </c>
      <c r="I15846" s="15" t="str">
        <f t="shared" si="3"/>
        <v/>
      </c>
    </row>
    <row r="15847">
      <c r="A15847" s="8" t="str">
        <f>IFERROR(__xludf.DUMMYFUNCTION("IF('(INGESTA)Datos_consumo_datadis'!A17412&lt;&gt;"""",SPLIT('(INGESTA)Datos_consumo_datadis'!A:A,"",""),"""")"),"")</f>
        <v/>
      </c>
      <c r="G15847" s="8" t="str">
        <f t="shared" si="1"/>
        <v/>
      </c>
      <c r="H15847" s="14" t="str">
        <f t="shared" si="2"/>
        <v/>
      </c>
      <c r="I15847" s="15" t="str">
        <f t="shared" si="3"/>
        <v/>
      </c>
    </row>
    <row r="15848">
      <c r="A15848" s="8" t="str">
        <f>IFERROR(__xludf.DUMMYFUNCTION("IF('(INGESTA)Datos_consumo_datadis'!A17413&lt;&gt;"""",SPLIT('(INGESTA)Datos_consumo_datadis'!A:A,"",""),"""")"),"")</f>
        <v/>
      </c>
      <c r="G15848" s="8" t="str">
        <f t="shared" si="1"/>
        <v/>
      </c>
      <c r="H15848" s="14" t="str">
        <f t="shared" si="2"/>
        <v/>
      </c>
      <c r="I15848" s="15" t="str">
        <f t="shared" si="3"/>
        <v/>
      </c>
    </row>
    <row r="15849">
      <c r="A15849" s="8" t="str">
        <f>IFERROR(__xludf.DUMMYFUNCTION("IF('(INGESTA)Datos_consumo_datadis'!A17414&lt;&gt;"""",SPLIT('(INGESTA)Datos_consumo_datadis'!A:A,"",""),"""")"),"")</f>
        <v/>
      </c>
      <c r="G15849" s="8" t="str">
        <f t="shared" si="1"/>
        <v/>
      </c>
      <c r="H15849" s="14" t="str">
        <f t="shared" si="2"/>
        <v/>
      </c>
      <c r="I15849" s="15" t="str">
        <f t="shared" si="3"/>
        <v/>
      </c>
    </row>
    <row r="15850">
      <c r="A15850" s="8" t="str">
        <f>IFERROR(__xludf.DUMMYFUNCTION("IF('(INGESTA)Datos_consumo_datadis'!A17415&lt;&gt;"""",SPLIT('(INGESTA)Datos_consumo_datadis'!A:A,"",""),"""")"),"")</f>
        <v/>
      </c>
      <c r="G15850" s="8" t="str">
        <f t="shared" si="1"/>
        <v/>
      </c>
      <c r="H15850" s="14" t="str">
        <f t="shared" si="2"/>
        <v/>
      </c>
      <c r="I15850" s="15" t="str">
        <f t="shared" si="3"/>
        <v/>
      </c>
    </row>
    <row r="15851">
      <c r="A15851" s="8" t="str">
        <f>IFERROR(__xludf.DUMMYFUNCTION("IF('(INGESTA)Datos_consumo_datadis'!A17416&lt;&gt;"""",SPLIT('(INGESTA)Datos_consumo_datadis'!A:A,"",""),"""")"),"")</f>
        <v/>
      </c>
      <c r="G15851" s="8" t="str">
        <f t="shared" si="1"/>
        <v/>
      </c>
      <c r="H15851" s="14" t="str">
        <f t="shared" si="2"/>
        <v/>
      </c>
      <c r="I15851" s="15" t="str">
        <f t="shared" si="3"/>
        <v/>
      </c>
    </row>
    <row r="15852">
      <c r="A15852" s="8" t="str">
        <f>IFERROR(__xludf.DUMMYFUNCTION("IF('(INGESTA)Datos_consumo_datadis'!A17417&lt;&gt;"""",SPLIT('(INGESTA)Datos_consumo_datadis'!A:A,"",""),"""")"),"")</f>
        <v/>
      </c>
      <c r="G15852" s="8" t="str">
        <f t="shared" si="1"/>
        <v/>
      </c>
      <c r="H15852" s="14" t="str">
        <f t="shared" si="2"/>
        <v/>
      </c>
      <c r="I15852" s="15" t="str">
        <f t="shared" si="3"/>
        <v/>
      </c>
    </row>
    <row r="15853">
      <c r="A15853" s="8" t="str">
        <f>IFERROR(__xludf.DUMMYFUNCTION("IF('(INGESTA)Datos_consumo_datadis'!A17418&lt;&gt;"""",SPLIT('(INGESTA)Datos_consumo_datadis'!A:A,"",""),"""")"),"")</f>
        <v/>
      </c>
      <c r="G15853" s="8" t="str">
        <f t="shared" si="1"/>
        <v/>
      </c>
      <c r="H15853" s="14" t="str">
        <f t="shared" si="2"/>
        <v/>
      </c>
      <c r="I15853" s="15" t="str">
        <f t="shared" si="3"/>
        <v/>
      </c>
    </row>
    <row r="15854">
      <c r="A15854" s="8" t="str">
        <f>IFERROR(__xludf.DUMMYFUNCTION("IF('(INGESTA)Datos_consumo_datadis'!A17419&lt;&gt;"""",SPLIT('(INGESTA)Datos_consumo_datadis'!A:A,"",""),"""")"),"")</f>
        <v/>
      </c>
      <c r="G15854" s="8" t="str">
        <f t="shared" si="1"/>
        <v/>
      </c>
      <c r="H15854" s="14" t="str">
        <f t="shared" si="2"/>
        <v/>
      </c>
      <c r="I15854" s="15" t="str">
        <f t="shared" si="3"/>
        <v/>
      </c>
    </row>
    <row r="15855">
      <c r="A15855" s="8" t="str">
        <f>IFERROR(__xludf.DUMMYFUNCTION("IF('(INGESTA)Datos_consumo_datadis'!A17420&lt;&gt;"""",SPLIT('(INGESTA)Datos_consumo_datadis'!A:A,"",""),"""")"),"")</f>
        <v/>
      </c>
      <c r="G15855" s="8" t="str">
        <f t="shared" si="1"/>
        <v/>
      </c>
      <c r="H15855" s="14" t="str">
        <f t="shared" si="2"/>
        <v/>
      </c>
      <c r="I15855" s="15" t="str">
        <f t="shared" si="3"/>
        <v/>
      </c>
    </row>
    <row r="15856">
      <c r="A15856" s="8" t="str">
        <f>IFERROR(__xludf.DUMMYFUNCTION("IF('(INGESTA)Datos_consumo_datadis'!A17421&lt;&gt;"""",SPLIT('(INGESTA)Datos_consumo_datadis'!A:A,"",""),"""")"),"")</f>
        <v/>
      </c>
      <c r="G15856" s="8" t="str">
        <f t="shared" si="1"/>
        <v/>
      </c>
      <c r="H15856" s="14" t="str">
        <f t="shared" si="2"/>
        <v/>
      </c>
      <c r="I15856" s="15" t="str">
        <f t="shared" si="3"/>
        <v/>
      </c>
    </row>
    <row r="15857">
      <c r="A15857" s="8" t="str">
        <f>IFERROR(__xludf.DUMMYFUNCTION("IF('(INGESTA)Datos_consumo_datadis'!A17422&lt;&gt;"""",SPLIT('(INGESTA)Datos_consumo_datadis'!A:A,"",""),"""")"),"")</f>
        <v/>
      </c>
      <c r="G15857" s="8" t="str">
        <f t="shared" si="1"/>
        <v/>
      </c>
      <c r="H15857" s="14" t="str">
        <f t="shared" si="2"/>
        <v/>
      </c>
      <c r="I15857" s="15" t="str">
        <f t="shared" si="3"/>
        <v/>
      </c>
    </row>
    <row r="15858">
      <c r="A15858" s="8" t="str">
        <f>IFERROR(__xludf.DUMMYFUNCTION("IF('(INGESTA)Datos_consumo_datadis'!A17423&lt;&gt;"""",SPLIT('(INGESTA)Datos_consumo_datadis'!A:A,"",""),"""")"),"")</f>
        <v/>
      </c>
      <c r="G15858" s="8" t="str">
        <f t="shared" si="1"/>
        <v/>
      </c>
      <c r="H15858" s="14" t="str">
        <f t="shared" si="2"/>
        <v/>
      </c>
      <c r="I15858" s="15" t="str">
        <f t="shared" si="3"/>
        <v/>
      </c>
    </row>
    <row r="15859">
      <c r="A15859" s="8" t="str">
        <f>IFERROR(__xludf.DUMMYFUNCTION("IF('(INGESTA)Datos_consumo_datadis'!A17424&lt;&gt;"""",SPLIT('(INGESTA)Datos_consumo_datadis'!A:A,"",""),"""")"),"")</f>
        <v/>
      </c>
      <c r="G15859" s="8" t="str">
        <f t="shared" si="1"/>
        <v/>
      </c>
      <c r="H15859" s="14" t="str">
        <f t="shared" si="2"/>
        <v/>
      </c>
      <c r="I15859" s="15" t="str">
        <f t="shared" si="3"/>
        <v/>
      </c>
    </row>
    <row r="15860">
      <c r="A15860" s="8" t="str">
        <f>IFERROR(__xludf.DUMMYFUNCTION("IF('(INGESTA)Datos_consumo_datadis'!A17425&lt;&gt;"""",SPLIT('(INGESTA)Datos_consumo_datadis'!A:A,"",""),"""")"),"")</f>
        <v/>
      </c>
      <c r="G15860" s="8" t="str">
        <f t="shared" si="1"/>
        <v/>
      </c>
      <c r="H15860" s="14" t="str">
        <f t="shared" si="2"/>
        <v/>
      </c>
      <c r="I15860" s="15" t="str">
        <f t="shared" si="3"/>
        <v/>
      </c>
    </row>
    <row r="15861">
      <c r="A15861" s="8" t="str">
        <f>IFERROR(__xludf.DUMMYFUNCTION("IF('(INGESTA)Datos_consumo_datadis'!A17426&lt;&gt;"""",SPLIT('(INGESTA)Datos_consumo_datadis'!A:A,"",""),"""")"),"")</f>
        <v/>
      </c>
      <c r="G15861" s="8" t="str">
        <f t="shared" si="1"/>
        <v/>
      </c>
      <c r="H15861" s="14" t="str">
        <f t="shared" si="2"/>
        <v/>
      </c>
      <c r="I15861" s="15" t="str">
        <f t="shared" si="3"/>
        <v/>
      </c>
    </row>
    <row r="15862">
      <c r="A15862" s="8" t="str">
        <f>IFERROR(__xludf.DUMMYFUNCTION("IF('(INGESTA)Datos_consumo_datadis'!A17427&lt;&gt;"""",SPLIT('(INGESTA)Datos_consumo_datadis'!A:A,"",""),"""")"),"")</f>
        <v/>
      </c>
      <c r="G15862" s="8" t="str">
        <f t="shared" si="1"/>
        <v/>
      </c>
      <c r="H15862" s="14" t="str">
        <f t="shared" si="2"/>
        <v/>
      </c>
      <c r="I15862" s="15" t="str">
        <f t="shared" si="3"/>
        <v/>
      </c>
    </row>
    <row r="15863">
      <c r="A15863" s="8" t="str">
        <f>IFERROR(__xludf.DUMMYFUNCTION("IF('(INGESTA)Datos_consumo_datadis'!A17428&lt;&gt;"""",SPLIT('(INGESTA)Datos_consumo_datadis'!A:A,"",""),"""")"),"")</f>
        <v/>
      </c>
      <c r="G15863" s="8" t="str">
        <f t="shared" si="1"/>
        <v/>
      </c>
      <c r="H15863" s="14" t="str">
        <f t="shared" si="2"/>
        <v/>
      </c>
      <c r="I15863" s="15" t="str">
        <f t="shared" si="3"/>
        <v/>
      </c>
    </row>
    <row r="15864">
      <c r="A15864" s="8" t="str">
        <f>IFERROR(__xludf.DUMMYFUNCTION("IF('(INGESTA)Datos_consumo_datadis'!A17429&lt;&gt;"""",SPLIT('(INGESTA)Datos_consumo_datadis'!A:A,"",""),"""")"),"")</f>
        <v/>
      </c>
      <c r="G15864" s="8" t="str">
        <f t="shared" si="1"/>
        <v/>
      </c>
      <c r="H15864" s="14" t="str">
        <f t="shared" si="2"/>
        <v/>
      </c>
      <c r="I15864" s="15" t="str">
        <f t="shared" si="3"/>
        <v/>
      </c>
    </row>
    <row r="15865">
      <c r="A15865" s="8" t="str">
        <f>IFERROR(__xludf.DUMMYFUNCTION("IF('(INGESTA)Datos_consumo_datadis'!A17430&lt;&gt;"""",SPLIT('(INGESTA)Datos_consumo_datadis'!A:A,"",""),"""")"),"")</f>
        <v/>
      </c>
      <c r="G15865" s="8" t="str">
        <f t="shared" si="1"/>
        <v/>
      </c>
      <c r="H15865" s="14" t="str">
        <f t="shared" si="2"/>
        <v/>
      </c>
      <c r="I15865" s="15" t="str">
        <f t="shared" si="3"/>
        <v/>
      </c>
    </row>
    <row r="15866">
      <c r="A15866" s="8" t="str">
        <f>IFERROR(__xludf.DUMMYFUNCTION("IF('(INGESTA)Datos_consumo_datadis'!A17431&lt;&gt;"""",SPLIT('(INGESTA)Datos_consumo_datadis'!A:A,"",""),"""")"),"")</f>
        <v/>
      </c>
      <c r="G15866" s="8" t="str">
        <f t="shared" si="1"/>
        <v/>
      </c>
      <c r="H15866" s="14" t="str">
        <f t="shared" si="2"/>
        <v/>
      </c>
      <c r="I15866" s="15" t="str">
        <f t="shared" si="3"/>
        <v/>
      </c>
    </row>
    <row r="15867">
      <c r="A15867" s="8" t="str">
        <f>IFERROR(__xludf.DUMMYFUNCTION("IF('(INGESTA)Datos_consumo_datadis'!A17432&lt;&gt;"""",SPLIT('(INGESTA)Datos_consumo_datadis'!A:A,"",""),"""")"),"")</f>
        <v/>
      </c>
      <c r="G15867" s="8" t="str">
        <f t="shared" si="1"/>
        <v/>
      </c>
      <c r="H15867" s="14" t="str">
        <f t="shared" si="2"/>
        <v/>
      </c>
      <c r="I15867" s="15" t="str">
        <f t="shared" si="3"/>
        <v/>
      </c>
    </row>
    <row r="15868">
      <c r="A15868" s="8" t="str">
        <f>IFERROR(__xludf.DUMMYFUNCTION("IF('(INGESTA)Datos_consumo_datadis'!A17433&lt;&gt;"""",SPLIT('(INGESTA)Datos_consumo_datadis'!A:A,"",""),"""")"),"")</f>
        <v/>
      </c>
      <c r="G15868" s="8" t="str">
        <f t="shared" si="1"/>
        <v/>
      </c>
      <c r="H15868" s="14" t="str">
        <f t="shared" si="2"/>
        <v/>
      </c>
      <c r="I15868" s="15" t="str">
        <f t="shared" si="3"/>
        <v/>
      </c>
    </row>
    <row r="15869">
      <c r="A15869" s="8" t="str">
        <f>IFERROR(__xludf.DUMMYFUNCTION("IF('(INGESTA)Datos_consumo_datadis'!A17434&lt;&gt;"""",SPLIT('(INGESTA)Datos_consumo_datadis'!A:A,"",""),"""")"),"")</f>
        <v/>
      </c>
      <c r="G15869" s="8" t="str">
        <f t="shared" si="1"/>
        <v/>
      </c>
      <c r="H15869" s="14" t="str">
        <f t="shared" si="2"/>
        <v/>
      </c>
      <c r="I15869" s="15" t="str">
        <f t="shared" si="3"/>
        <v/>
      </c>
    </row>
    <row r="15870">
      <c r="A15870" s="8" t="str">
        <f>IFERROR(__xludf.DUMMYFUNCTION("IF('(INGESTA)Datos_consumo_datadis'!A17435&lt;&gt;"""",SPLIT('(INGESTA)Datos_consumo_datadis'!A:A,"",""),"""")"),"")</f>
        <v/>
      </c>
      <c r="G15870" s="8" t="str">
        <f t="shared" si="1"/>
        <v/>
      </c>
      <c r="H15870" s="14" t="str">
        <f t="shared" si="2"/>
        <v/>
      </c>
      <c r="I15870" s="15" t="str">
        <f t="shared" si="3"/>
        <v/>
      </c>
    </row>
    <row r="15871">
      <c r="A15871" s="8" t="str">
        <f>IFERROR(__xludf.DUMMYFUNCTION("IF('(INGESTA)Datos_consumo_datadis'!A17436&lt;&gt;"""",SPLIT('(INGESTA)Datos_consumo_datadis'!A:A,"",""),"""")"),"")</f>
        <v/>
      </c>
      <c r="G15871" s="8" t="str">
        <f t="shared" si="1"/>
        <v/>
      </c>
      <c r="H15871" s="14" t="str">
        <f t="shared" si="2"/>
        <v/>
      </c>
      <c r="I15871" s="15" t="str">
        <f t="shared" si="3"/>
        <v/>
      </c>
    </row>
    <row r="15872">
      <c r="A15872" s="8" t="str">
        <f>IFERROR(__xludf.DUMMYFUNCTION("IF('(INGESTA)Datos_consumo_datadis'!A17437&lt;&gt;"""",SPLIT('(INGESTA)Datos_consumo_datadis'!A:A,"",""),"""")"),"")</f>
        <v/>
      </c>
      <c r="G15872" s="8" t="str">
        <f t="shared" si="1"/>
        <v/>
      </c>
      <c r="H15872" s="14" t="str">
        <f t="shared" si="2"/>
        <v/>
      </c>
      <c r="I15872" s="15" t="str">
        <f t="shared" si="3"/>
        <v/>
      </c>
    </row>
    <row r="15873">
      <c r="A15873" s="8" t="str">
        <f>IFERROR(__xludf.DUMMYFUNCTION("IF('(INGESTA)Datos_consumo_datadis'!A17438&lt;&gt;"""",SPLIT('(INGESTA)Datos_consumo_datadis'!A:A,"",""),"""")"),"")</f>
        <v/>
      </c>
      <c r="G15873" s="8" t="str">
        <f t="shared" si="1"/>
        <v/>
      </c>
      <c r="H15873" s="14" t="str">
        <f t="shared" si="2"/>
        <v/>
      </c>
      <c r="I15873" s="15" t="str">
        <f t="shared" si="3"/>
        <v/>
      </c>
    </row>
    <row r="15874">
      <c r="A15874" s="8" t="str">
        <f>IFERROR(__xludf.DUMMYFUNCTION("IF('(INGESTA)Datos_consumo_datadis'!A17439&lt;&gt;"""",SPLIT('(INGESTA)Datos_consumo_datadis'!A:A,"",""),"""")"),"")</f>
        <v/>
      </c>
      <c r="G15874" s="8" t="str">
        <f t="shared" si="1"/>
        <v/>
      </c>
      <c r="H15874" s="14" t="str">
        <f t="shared" si="2"/>
        <v/>
      </c>
      <c r="I15874" s="15" t="str">
        <f t="shared" si="3"/>
        <v/>
      </c>
    </row>
    <row r="15875">
      <c r="A15875" s="8" t="str">
        <f>IFERROR(__xludf.DUMMYFUNCTION("IF('(INGESTA)Datos_consumo_datadis'!A17440&lt;&gt;"""",SPLIT('(INGESTA)Datos_consumo_datadis'!A:A,"",""),"""")"),"")</f>
        <v/>
      </c>
      <c r="G15875" s="8" t="str">
        <f t="shared" si="1"/>
        <v/>
      </c>
      <c r="H15875" s="14" t="str">
        <f t="shared" si="2"/>
        <v/>
      </c>
      <c r="I15875" s="15" t="str">
        <f t="shared" si="3"/>
        <v/>
      </c>
    </row>
    <row r="15876">
      <c r="A15876" s="8" t="str">
        <f>IFERROR(__xludf.DUMMYFUNCTION("IF('(INGESTA)Datos_consumo_datadis'!A17441&lt;&gt;"""",SPLIT('(INGESTA)Datos_consumo_datadis'!A:A,"",""),"""")"),"")</f>
        <v/>
      </c>
      <c r="G15876" s="8" t="str">
        <f t="shared" si="1"/>
        <v/>
      </c>
      <c r="H15876" s="14" t="str">
        <f t="shared" si="2"/>
        <v/>
      </c>
      <c r="I15876" s="15" t="str">
        <f t="shared" si="3"/>
        <v/>
      </c>
    </row>
    <row r="15877">
      <c r="A15877" s="8" t="str">
        <f>IFERROR(__xludf.DUMMYFUNCTION("IF('(INGESTA)Datos_consumo_datadis'!A17442&lt;&gt;"""",SPLIT('(INGESTA)Datos_consumo_datadis'!A:A,"",""),"""")"),"")</f>
        <v/>
      </c>
      <c r="G15877" s="8" t="str">
        <f t="shared" si="1"/>
        <v/>
      </c>
      <c r="H15877" s="14" t="str">
        <f t="shared" si="2"/>
        <v/>
      </c>
      <c r="I15877" s="15" t="str">
        <f t="shared" si="3"/>
        <v/>
      </c>
    </row>
    <row r="15878">
      <c r="A15878" s="8" t="str">
        <f>IFERROR(__xludf.DUMMYFUNCTION("IF('(INGESTA)Datos_consumo_datadis'!A17443&lt;&gt;"""",SPLIT('(INGESTA)Datos_consumo_datadis'!A:A,"",""),"""")"),"")</f>
        <v/>
      </c>
      <c r="G15878" s="8" t="str">
        <f t="shared" si="1"/>
        <v/>
      </c>
      <c r="H15878" s="14" t="str">
        <f t="shared" si="2"/>
        <v/>
      </c>
      <c r="I15878" s="15" t="str">
        <f t="shared" si="3"/>
        <v/>
      </c>
    </row>
    <row r="15879">
      <c r="A15879" s="8" t="str">
        <f>IFERROR(__xludf.DUMMYFUNCTION("IF('(INGESTA)Datos_consumo_datadis'!A17444&lt;&gt;"""",SPLIT('(INGESTA)Datos_consumo_datadis'!A:A,"",""),"""")"),"")</f>
        <v/>
      </c>
      <c r="G15879" s="8" t="str">
        <f t="shared" si="1"/>
        <v/>
      </c>
      <c r="H15879" s="14" t="str">
        <f t="shared" si="2"/>
        <v/>
      </c>
      <c r="I15879" s="15" t="str">
        <f t="shared" si="3"/>
        <v/>
      </c>
    </row>
    <row r="15880">
      <c r="A15880" s="8" t="str">
        <f>IFERROR(__xludf.DUMMYFUNCTION("IF('(INGESTA)Datos_consumo_datadis'!A17445&lt;&gt;"""",SPLIT('(INGESTA)Datos_consumo_datadis'!A:A,"",""),"""")"),"")</f>
        <v/>
      </c>
      <c r="G15880" s="8" t="str">
        <f t="shared" si="1"/>
        <v/>
      </c>
      <c r="H15880" s="14" t="str">
        <f t="shared" si="2"/>
        <v/>
      </c>
      <c r="I15880" s="15" t="str">
        <f t="shared" si="3"/>
        <v/>
      </c>
    </row>
    <row r="15881">
      <c r="A15881" s="8" t="str">
        <f>IFERROR(__xludf.DUMMYFUNCTION("IF('(INGESTA)Datos_consumo_datadis'!A17446&lt;&gt;"""",SPLIT('(INGESTA)Datos_consumo_datadis'!A:A,"",""),"""")"),"")</f>
        <v/>
      </c>
      <c r="G15881" s="8" t="str">
        <f t="shared" si="1"/>
        <v/>
      </c>
      <c r="H15881" s="14" t="str">
        <f t="shared" si="2"/>
        <v/>
      </c>
      <c r="I15881" s="15" t="str">
        <f t="shared" si="3"/>
        <v/>
      </c>
    </row>
    <row r="15882">
      <c r="A15882" s="8" t="str">
        <f>IFERROR(__xludf.DUMMYFUNCTION("IF('(INGESTA)Datos_consumo_datadis'!A17447&lt;&gt;"""",SPLIT('(INGESTA)Datos_consumo_datadis'!A:A,"",""),"""")"),"")</f>
        <v/>
      </c>
      <c r="G15882" s="8" t="str">
        <f t="shared" si="1"/>
        <v/>
      </c>
      <c r="H15882" s="14" t="str">
        <f t="shared" si="2"/>
        <v/>
      </c>
      <c r="I15882" s="15" t="str">
        <f t="shared" si="3"/>
        <v/>
      </c>
    </row>
    <row r="15883">
      <c r="A15883" s="8" t="str">
        <f>IFERROR(__xludf.DUMMYFUNCTION("IF('(INGESTA)Datos_consumo_datadis'!A17448&lt;&gt;"""",SPLIT('(INGESTA)Datos_consumo_datadis'!A:A,"",""),"""")"),"")</f>
        <v/>
      </c>
      <c r="G15883" s="8" t="str">
        <f t="shared" si="1"/>
        <v/>
      </c>
      <c r="H15883" s="14" t="str">
        <f t="shared" si="2"/>
        <v/>
      </c>
      <c r="I15883" s="15" t="str">
        <f t="shared" si="3"/>
        <v/>
      </c>
    </row>
    <row r="15884">
      <c r="A15884" s="8" t="str">
        <f>IFERROR(__xludf.DUMMYFUNCTION("IF('(INGESTA)Datos_consumo_datadis'!A17449&lt;&gt;"""",SPLIT('(INGESTA)Datos_consumo_datadis'!A:A,"",""),"""")"),"")</f>
        <v/>
      </c>
      <c r="G15884" s="8" t="str">
        <f t="shared" si="1"/>
        <v/>
      </c>
      <c r="H15884" s="14" t="str">
        <f t="shared" si="2"/>
        <v/>
      </c>
      <c r="I15884" s="15" t="str">
        <f t="shared" si="3"/>
        <v/>
      </c>
    </row>
    <row r="15885">
      <c r="A15885" s="8" t="str">
        <f>IFERROR(__xludf.DUMMYFUNCTION("IF('(INGESTA)Datos_consumo_datadis'!A17450&lt;&gt;"""",SPLIT('(INGESTA)Datos_consumo_datadis'!A:A,"",""),"""")"),"")</f>
        <v/>
      </c>
      <c r="G15885" s="8" t="str">
        <f t="shared" si="1"/>
        <v/>
      </c>
      <c r="H15885" s="14" t="str">
        <f t="shared" si="2"/>
        <v/>
      </c>
      <c r="I15885" s="15" t="str">
        <f t="shared" si="3"/>
        <v/>
      </c>
    </row>
    <row r="15886">
      <c r="A15886" s="8" t="str">
        <f>IFERROR(__xludf.DUMMYFUNCTION("IF('(INGESTA)Datos_consumo_datadis'!A17451&lt;&gt;"""",SPLIT('(INGESTA)Datos_consumo_datadis'!A:A,"",""),"""")"),"")</f>
        <v/>
      </c>
      <c r="G15886" s="8" t="str">
        <f t="shared" si="1"/>
        <v/>
      </c>
      <c r="H15886" s="14" t="str">
        <f t="shared" si="2"/>
        <v/>
      </c>
      <c r="I15886" s="15" t="str">
        <f t="shared" si="3"/>
        <v/>
      </c>
    </row>
    <row r="15887">
      <c r="A15887" s="8" t="str">
        <f>IFERROR(__xludf.DUMMYFUNCTION("IF('(INGESTA)Datos_consumo_datadis'!A17452&lt;&gt;"""",SPLIT('(INGESTA)Datos_consumo_datadis'!A:A,"",""),"""")"),"")</f>
        <v/>
      </c>
      <c r="G15887" s="8" t="str">
        <f t="shared" si="1"/>
        <v/>
      </c>
      <c r="H15887" s="14" t="str">
        <f t="shared" si="2"/>
        <v/>
      </c>
      <c r="I15887" s="15" t="str">
        <f t="shared" si="3"/>
        <v/>
      </c>
    </row>
    <row r="15888">
      <c r="A15888" s="8" t="str">
        <f>IFERROR(__xludf.DUMMYFUNCTION("IF('(INGESTA)Datos_consumo_datadis'!A17453&lt;&gt;"""",SPLIT('(INGESTA)Datos_consumo_datadis'!A:A,"",""),"""")"),"")</f>
        <v/>
      </c>
      <c r="G15888" s="8" t="str">
        <f t="shared" si="1"/>
        <v/>
      </c>
      <c r="H15888" s="14" t="str">
        <f t="shared" si="2"/>
        <v/>
      </c>
      <c r="I15888" s="15" t="str">
        <f t="shared" si="3"/>
        <v/>
      </c>
    </row>
    <row r="15889">
      <c r="A15889" s="8" t="str">
        <f>IFERROR(__xludf.DUMMYFUNCTION("IF('(INGESTA)Datos_consumo_datadis'!A17454&lt;&gt;"""",SPLIT('(INGESTA)Datos_consumo_datadis'!A:A,"",""),"""")"),"")</f>
        <v/>
      </c>
      <c r="G15889" s="8" t="str">
        <f t="shared" si="1"/>
        <v/>
      </c>
      <c r="H15889" s="14" t="str">
        <f t="shared" si="2"/>
        <v/>
      </c>
      <c r="I15889" s="15" t="str">
        <f t="shared" si="3"/>
        <v/>
      </c>
    </row>
    <row r="15890">
      <c r="A15890" s="8" t="str">
        <f>IFERROR(__xludf.DUMMYFUNCTION("IF('(INGESTA)Datos_consumo_datadis'!A17455&lt;&gt;"""",SPLIT('(INGESTA)Datos_consumo_datadis'!A:A,"",""),"""")"),"")</f>
        <v/>
      </c>
      <c r="G15890" s="8" t="str">
        <f t="shared" si="1"/>
        <v/>
      </c>
      <c r="H15890" s="14" t="str">
        <f t="shared" si="2"/>
        <v/>
      </c>
      <c r="I15890" s="15" t="str">
        <f t="shared" si="3"/>
        <v/>
      </c>
    </row>
    <row r="15891">
      <c r="A15891" s="8" t="str">
        <f>IFERROR(__xludf.DUMMYFUNCTION("IF('(INGESTA)Datos_consumo_datadis'!A17456&lt;&gt;"""",SPLIT('(INGESTA)Datos_consumo_datadis'!A:A,"",""),"""")"),"")</f>
        <v/>
      </c>
      <c r="G15891" s="8" t="str">
        <f t="shared" si="1"/>
        <v/>
      </c>
      <c r="H15891" s="14" t="str">
        <f t="shared" si="2"/>
        <v/>
      </c>
      <c r="I15891" s="15" t="str">
        <f t="shared" si="3"/>
        <v/>
      </c>
    </row>
    <row r="15892">
      <c r="A15892" s="8" t="str">
        <f>IFERROR(__xludf.DUMMYFUNCTION("IF('(INGESTA)Datos_consumo_datadis'!A17457&lt;&gt;"""",SPLIT('(INGESTA)Datos_consumo_datadis'!A:A,"",""),"""")"),"")</f>
        <v/>
      </c>
      <c r="G15892" s="8" t="str">
        <f t="shared" si="1"/>
        <v/>
      </c>
      <c r="H15892" s="14" t="str">
        <f t="shared" si="2"/>
        <v/>
      </c>
      <c r="I15892" s="15" t="str">
        <f t="shared" si="3"/>
        <v/>
      </c>
    </row>
    <row r="15893">
      <c r="A15893" s="8" t="str">
        <f>IFERROR(__xludf.DUMMYFUNCTION("IF('(INGESTA)Datos_consumo_datadis'!A17458&lt;&gt;"""",SPLIT('(INGESTA)Datos_consumo_datadis'!A:A,"",""),"""")"),"")</f>
        <v/>
      </c>
      <c r="G15893" s="8" t="str">
        <f t="shared" si="1"/>
        <v/>
      </c>
      <c r="H15893" s="14" t="str">
        <f t="shared" si="2"/>
        <v/>
      </c>
      <c r="I15893" s="15" t="str">
        <f t="shared" si="3"/>
        <v/>
      </c>
    </row>
    <row r="15894">
      <c r="A15894" s="8" t="str">
        <f>IFERROR(__xludf.DUMMYFUNCTION("IF('(INGESTA)Datos_consumo_datadis'!A17459&lt;&gt;"""",SPLIT('(INGESTA)Datos_consumo_datadis'!A:A,"",""),"""")"),"")</f>
        <v/>
      </c>
      <c r="G15894" s="8" t="str">
        <f t="shared" si="1"/>
        <v/>
      </c>
      <c r="H15894" s="14" t="str">
        <f t="shared" si="2"/>
        <v/>
      </c>
      <c r="I15894" s="15" t="str">
        <f t="shared" si="3"/>
        <v/>
      </c>
    </row>
    <row r="15895">
      <c r="A15895" s="8" t="str">
        <f>IFERROR(__xludf.DUMMYFUNCTION("IF('(INGESTA)Datos_consumo_datadis'!A17460&lt;&gt;"""",SPLIT('(INGESTA)Datos_consumo_datadis'!A:A,"",""),"""")"),"")</f>
        <v/>
      </c>
      <c r="G15895" s="8" t="str">
        <f t="shared" si="1"/>
        <v/>
      </c>
      <c r="H15895" s="14" t="str">
        <f t="shared" si="2"/>
        <v/>
      </c>
      <c r="I15895" s="15" t="str">
        <f t="shared" si="3"/>
        <v/>
      </c>
    </row>
    <row r="15896">
      <c r="A15896" s="8" t="str">
        <f>IFERROR(__xludf.DUMMYFUNCTION("IF('(INGESTA)Datos_consumo_datadis'!A17461&lt;&gt;"""",SPLIT('(INGESTA)Datos_consumo_datadis'!A:A,"",""),"""")"),"")</f>
        <v/>
      </c>
      <c r="G15896" s="8" t="str">
        <f t="shared" si="1"/>
        <v/>
      </c>
      <c r="H15896" s="14" t="str">
        <f t="shared" si="2"/>
        <v/>
      </c>
      <c r="I15896" s="15" t="str">
        <f t="shared" si="3"/>
        <v/>
      </c>
    </row>
    <row r="15897">
      <c r="A15897" s="8" t="str">
        <f>IFERROR(__xludf.DUMMYFUNCTION("IF('(INGESTA)Datos_consumo_datadis'!A17462&lt;&gt;"""",SPLIT('(INGESTA)Datos_consumo_datadis'!A:A,"",""),"""")"),"")</f>
        <v/>
      </c>
      <c r="G15897" s="8" t="str">
        <f t="shared" si="1"/>
        <v/>
      </c>
      <c r="H15897" s="14" t="str">
        <f t="shared" si="2"/>
        <v/>
      </c>
      <c r="I15897" s="15" t="str">
        <f t="shared" si="3"/>
        <v/>
      </c>
    </row>
    <row r="15898">
      <c r="A15898" s="8" t="str">
        <f>IFERROR(__xludf.DUMMYFUNCTION("IF('(INGESTA)Datos_consumo_datadis'!A17463&lt;&gt;"""",SPLIT('(INGESTA)Datos_consumo_datadis'!A:A,"",""),"""")"),"")</f>
        <v/>
      </c>
      <c r="G15898" s="8" t="str">
        <f t="shared" si="1"/>
        <v/>
      </c>
      <c r="H15898" s="14" t="str">
        <f t="shared" si="2"/>
        <v/>
      </c>
      <c r="I15898" s="15" t="str">
        <f t="shared" si="3"/>
        <v/>
      </c>
    </row>
    <row r="15899">
      <c r="A15899" s="8" t="str">
        <f>IFERROR(__xludf.DUMMYFUNCTION("IF('(INGESTA)Datos_consumo_datadis'!A17464&lt;&gt;"""",SPLIT('(INGESTA)Datos_consumo_datadis'!A:A,"",""),"""")"),"")</f>
        <v/>
      </c>
      <c r="G15899" s="8" t="str">
        <f t="shared" si="1"/>
        <v/>
      </c>
      <c r="H15899" s="14" t="str">
        <f t="shared" si="2"/>
        <v/>
      </c>
      <c r="I15899" s="15" t="str">
        <f t="shared" si="3"/>
        <v/>
      </c>
    </row>
    <row r="15900">
      <c r="A15900" s="8" t="str">
        <f>IFERROR(__xludf.DUMMYFUNCTION("IF('(INGESTA)Datos_consumo_datadis'!A17465&lt;&gt;"""",SPLIT('(INGESTA)Datos_consumo_datadis'!A:A,"",""),"""")"),"")</f>
        <v/>
      </c>
      <c r="G15900" s="8" t="str">
        <f t="shared" si="1"/>
        <v/>
      </c>
      <c r="H15900" s="14" t="str">
        <f t="shared" si="2"/>
        <v/>
      </c>
      <c r="I15900" s="15" t="str">
        <f t="shared" si="3"/>
        <v/>
      </c>
    </row>
    <row r="15901">
      <c r="A15901" s="8" t="str">
        <f>IFERROR(__xludf.DUMMYFUNCTION("IF('(INGESTA)Datos_consumo_datadis'!A17466&lt;&gt;"""",SPLIT('(INGESTA)Datos_consumo_datadis'!A:A,"",""),"""")"),"")</f>
        <v/>
      </c>
      <c r="G15901" s="8" t="str">
        <f t="shared" si="1"/>
        <v/>
      </c>
      <c r="H15901" s="14" t="str">
        <f t="shared" si="2"/>
        <v/>
      </c>
      <c r="I15901" s="15" t="str">
        <f t="shared" si="3"/>
        <v/>
      </c>
    </row>
    <row r="15902">
      <c r="A15902" s="8" t="str">
        <f>IFERROR(__xludf.DUMMYFUNCTION("IF('(INGESTA)Datos_consumo_datadis'!A17467&lt;&gt;"""",SPLIT('(INGESTA)Datos_consumo_datadis'!A:A,"",""),"""")"),"")</f>
        <v/>
      </c>
      <c r="G15902" s="8" t="str">
        <f t="shared" si="1"/>
        <v/>
      </c>
      <c r="H15902" s="14" t="str">
        <f t="shared" si="2"/>
        <v/>
      </c>
      <c r="I15902" s="15" t="str">
        <f t="shared" si="3"/>
        <v/>
      </c>
    </row>
    <row r="15903">
      <c r="A15903" s="8" t="str">
        <f>IFERROR(__xludf.DUMMYFUNCTION("IF('(INGESTA)Datos_consumo_datadis'!A17468&lt;&gt;"""",SPLIT('(INGESTA)Datos_consumo_datadis'!A:A,"",""),"""")"),"")</f>
        <v/>
      </c>
      <c r="G15903" s="8" t="str">
        <f t="shared" si="1"/>
        <v/>
      </c>
      <c r="H15903" s="14" t="str">
        <f t="shared" si="2"/>
        <v/>
      </c>
      <c r="I15903" s="15" t="str">
        <f t="shared" si="3"/>
        <v/>
      </c>
    </row>
    <row r="15904">
      <c r="A15904" s="8" t="str">
        <f>IFERROR(__xludf.DUMMYFUNCTION("IF('(INGESTA)Datos_consumo_datadis'!A17469&lt;&gt;"""",SPLIT('(INGESTA)Datos_consumo_datadis'!A:A,"",""),"""")"),"")</f>
        <v/>
      </c>
      <c r="G15904" s="8" t="str">
        <f t="shared" si="1"/>
        <v/>
      </c>
      <c r="H15904" s="14" t="str">
        <f t="shared" si="2"/>
        <v/>
      </c>
      <c r="I15904" s="15" t="str">
        <f t="shared" si="3"/>
        <v/>
      </c>
    </row>
    <row r="15905">
      <c r="A15905" s="8" t="str">
        <f>IFERROR(__xludf.DUMMYFUNCTION("IF('(INGESTA)Datos_consumo_datadis'!A17470&lt;&gt;"""",SPLIT('(INGESTA)Datos_consumo_datadis'!A:A,"",""),"""")"),"")</f>
        <v/>
      </c>
      <c r="G15905" s="8" t="str">
        <f t="shared" si="1"/>
        <v/>
      </c>
      <c r="H15905" s="14" t="str">
        <f t="shared" si="2"/>
        <v/>
      </c>
      <c r="I15905" s="15" t="str">
        <f t="shared" si="3"/>
        <v/>
      </c>
    </row>
    <row r="15906">
      <c r="A15906" s="8" t="str">
        <f>IFERROR(__xludf.DUMMYFUNCTION("IF('(INGESTA)Datos_consumo_datadis'!A17471&lt;&gt;"""",SPLIT('(INGESTA)Datos_consumo_datadis'!A:A,"",""),"""")"),"")</f>
        <v/>
      </c>
      <c r="G15906" s="8" t="str">
        <f t="shared" si="1"/>
        <v/>
      </c>
      <c r="H15906" s="14" t="str">
        <f t="shared" si="2"/>
        <v/>
      </c>
      <c r="I15906" s="15" t="str">
        <f t="shared" si="3"/>
        <v/>
      </c>
    </row>
    <row r="15907">
      <c r="A15907" s="8" t="str">
        <f>IFERROR(__xludf.DUMMYFUNCTION("IF('(INGESTA)Datos_consumo_datadis'!A17472&lt;&gt;"""",SPLIT('(INGESTA)Datos_consumo_datadis'!A:A,"",""),"""")"),"")</f>
        <v/>
      </c>
      <c r="G15907" s="8" t="str">
        <f t="shared" si="1"/>
        <v/>
      </c>
      <c r="H15907" s="14" t="str">
        <f t="shared" si="2"/>
        <v/>
      </c>
      <c r="I15907" s="15" t="str">
        <f t="shared" si="3"/>
        <v/>
      </c>
    </row>
    <row r="15908">
      <c r="A15908" s="8" t="str">
        <f>IFERROR(__xludf.DUMMYFUNCTION("IF('(INGESTA)Datos_consumo_datadis'!A17473&lt;&gt;"""",SPLIT('(INGESTA)Datos_consumo_datadis'!A:A,"",""),"""")"),"")</f>
        <v/>
      </c>
      <c r="G15908" s="8" t="str">
        <f t="shared" si="1"/>
        <v/>
      </c>
      <c r="H15908" s="14" t="str">
        <f t="shared" si="2"/>
        <v/>
      </c>
      <c r="I15908" s="15" t="str">
        <f t="shared" si="3"/>
        <v/>
      </c>
    </row>
    <row r="15909">
      <c r="A15909" s="8" t="str">
        <f>IFERROR(__xludf.DUMMYFUNCTION("IF('(INGESTA)Datos_consumo_datadis'!A17474&lt;&gt;"""",SPLIT('(INGESTA)Datos_consumo_datadis'!A:A,"",""),"""")"),"")</f>
        <v/>
      </c>
      <c r="G15909" s="8" t="str">
        <f t="shared" si="1"/>
        <v/>
      </c>
      <c r="H15909" s="14" t="str">
        <f t="shared" si="2"/>
        <v/>
      </c>
      <c r="I15909" s="15" t="str">
        <f t="shared" si="3"/>
        <v/>
      </c>
    </row>
    <row r="15910">
      <c r="A15910" s="8" t="str">
        <f>IFERROR(__xludf.DUMMYFUNCTION("IF('(INGESTA)Datos_consumo_datadis'!A17475&lt;&gt;"""",SPLIT('(INGESTA)Datos_consumo_datadis'!A:A,"",""),"""")"),"")</f>
        <v/>
      </c>
      <c r="G15910" s="8" t="str">
        <f t="shared" si="1"/>
        <v/>
      </c>
      <c r="H15910" s="14" t="str">
        <f t="shared" si="2"/>
        <v/>
      </c>
      <c r="I15910" s="15" t="str">
        <f t="shared" si="3"/>
        <v/>
      </c>
    </row>
    <row r="15911">
      <c r="A15911" s="8" t="str">
        <f>IFERROR(__xludf.DUMMYFUNCTION("IF('(INGESTA)Datos_consumo_datadis'!A17476&lt;&gt;"""",SPLIT('(INGESTA)Datos_consumo_datadis'!A:A,"",""),"""")"),"")</f>
        <v/>
      </c>
      <c r="G15911" s="8" t="str">
        <f t="shared" si="1"/>
        <v/>
      </c>
      <c r="H15911" s="14" t="str">
        <f t="shared" si="2"/>
        <v/>
      </c>
      <c r="I15911" s="15" t="str">
        <f t="shared" si="3"/>
        <v/>
      </c>
    </row>
    <row r="15912">
      <c r="A15912" s="8" t="str">
        <f>IFERROR(__xludf.DUMMYFUNCTION("IF('(INGESTA)Datos_consumo_datadis'!A17477&lt;&gt;"""",SPLIT('(INGESTA)Datos_consumo_datadis'!A:A,"",""),"""")"),"")</f>
        <v/>
      </c>
      <c r="G15912" s="8" t="str">
        <f t="shared" si="1"/>
        <v/>
      </c>
      <c r="H15912" s="14" t="str">
        <f t="shared" si="2"/>
        <v/>
      </c>
      <c r="I15912" s="15" t="str">
        <f t="shared" si="3"/>
        <v/>
      </c>
    </row>
    <row r="15913">
      <c r="A15913" s="8" t="str">
        <f>IFERROR(__xludf.DUMMYFUNCTION("IF('(INGESTA)Datos_consumo_datadis'!A17478&lt;&gt;"""",SPLIT('(INGESTA)Datos_consumo_datadis'!A:A,"",""),"""")"),"")</f>
        <v/>
      </c>
      <c r="G15913" s="8" t="str">
        <f t="shared" si="1"/>
        <v/>
      </c>
      <c r="H15913" s="14" t="str">
        <f t="shared" si="2"/>
        <v/>
      </c>
      <c r="I15913" s="15" t="str">
        <f t="shared" si="3"/>
        <v/>
      </c>
    </row>
    <row r="15914">
      <c r="A15914" s="8" t="str">
        <f>IFERROR(__xludf.DUMMYFUNCTION("IF('(INGESTA)Datos_consumo_datadis'!A17479&lt;&gt;"""",SPLIT('(INGESTA)Datos_consumo_datadis'!A:A,"",""),"""")"),"")</f>
        <v/>
      </c>
      <c r="G15914" s="8" t="str">
        <f t="shared" si="1"/>
        <v/>
      </c>
      <c r="H15914" s="14" t="str">
        <f t="shared" si="2"/>
        <v/>
      </c>
      <c r="I15914" s="15" t="str">
        <f t="shared" si="3"/>
        <v/>
      </c>
    </row>
    <row r="15915">
      <c r="A15915" s="8" t="str">
        <f>IFERROR(__xludf.DUMMYFUNCTION("IF('(INGESTA)Datos_consumo_datadis'!A17480&lt;&gt;"""",SPLIT('(INGESTA)Datos_consumo_datadis'!A:A,"",""),"""")"),"")</f>
        <v/>
      </c>
      <c r="G15915" s="8" t="str">
        <f t="shared" si="1"/>
        <v/>
      </c>
      <c r="H15915" s="14" t="str">
        <f t="shared" si="2"/>
        <v/>
      </c>
      <c r="I15915" s="15" t="str">
        <f t="shared" si="3"/>
        <v/>
      </c>
    </row>
    <row r="15916">
      <c r="A15916" s="8" t="str">
        <f>IFERROR(__xludf.DUMMYFUNCTION("IF('(INGESTA)Datos_consumo_datadis'!A17481&lt;&gt;"""",SPLIT('(INGESTA)Datos_consumo_datadis'!A:A,"",""),"""")"),"")</f>
        <v/>
      </c>
      <c r="G15916" s="8" t="str">
        <f t="shared" si="1"/>
        <v/>
      </c>
      <c r="H15916" s="14" t="str">
        <f t="shared" si="2"/>
        <v/>
      </c>
      <c r="I15916" s="15" t="str">
        <f t="shared" si="3"/>
        <v/>
      </c>
    </row>
    <row r="15917">
      <c r="A15917" s="8" t="str">
        <f>IFERROR(__xludf.DUMMYFUNCTION("IF('(INGESTA)Datos_consumo_datadis'!A17482&lt;&gt;"""",SPLIT('(INGESTA)Datos_consumo_datadis'!A:A,"",""),"""")"),"")</f>
        <v/>
      </c>
      <c r="G15917" s="8" t="str">
        <f t="shared" si="1"/>
        <v/>
      </c>
      <c r="H15917" s="14" t="str">
        <f t="shared" si="2"/>
        <v/>
      </c>
      <c r="I15917" s="15" t="str">
        <f t="shared" si="3"/>
        <v/>
      </c>
    </row>
    <row r="15918">
      <c r="A15918" s="8" t="str">
        <f>IFERROR(__xludf.DUMMYFUNCTION("IF('(INGESTA)Datos_consumo_datadis'!A17483&lt;&gt;"""",SPLIT('(INGESTA)Datos_consumo_datadis'!A:A,"",""),"""")"),"")</f>
        <v/>
      </c>
      <c r="G15918" s="8" t="str">
        <f t="shared" si="1"/>
        <v/>
      </c>
      <c r="H15918" s="14" t="str">
        <f t="shared" si="2"/>
        <v/>
      </c>
      <c r="I15918" s="15" t="str">
        <f t="shared" si="3"/>
        <v/>
      </c>
    </row>
    <row r="15919">
      <c r="A15919" s="8" t="str">
        <f>IFERROR(__xludf.DUMMYFUNCTION("IF('(INGESTA)Datos_consumo_datadis'!A17484&lt;&gt;"""",SPLIT('(INGESTA)Datos_consumo_datadis'!A:A,"",""),"""")"),"")</f>
        <v/>
      </c>
      <c r="G15919" s="8" t="str">
        <f t="shared" si="1"/>
        <v/>
      </c>
      <c r="H15919" s="14" t="str">
        <f t="shared" si="2"/>
        <v/>
      </c>
      <c r="I15919" s="15" t="str">
        <f t="shared" si="3"/>
        <v/>
      </c>
    </row>
    <row r="15920">
      <c r="A15920" s="8" t="str">
        <f>IFERROR(__xludf.DUMMYFUNCTION("IF('(INGESTA)Datos_consumo_datadis'!A17485&lt;&gt;"""",SPLIT('(INGESTA)Datos_consumo_datadis'!A:A,"",""),"""")"),"")</f>
        <v/>
      </c>
      <c r="G15920" s="8" t="str">
        <f t="shared" si="1"/>
        <v/>
      </c>
      <c r="H15920" s="14" t="str">
        <f t="shared" si="2"/>
        <v/>
      </c>
      <c r="I15920" s="15" t="str">
        <f t="shared" si="3"/>
        <v/>
      </c>
    </row>
    <row r="15921">
      <c r="A15921" s="8" t="str">
        <f>IFERROR(__xludf.DUMMYFUNCTION("IF('(INGESTA)Datos_consumo_datadis'!A17486&lt;&gt;"""",SPLIT('(INGESTA)Datos_consumo_datadis'!A:A,"",""),"""")"),"")</f>
        <v/>
      </c>
      <c r="G15921" s="8" t="str">
        <f t="shared" si="1"/>
        <v/>
      </c>
      <c r="H15921" s="14" t="str">
        <f t="shared" si="2"/>
        <v/>
      </c>
      <c r="I15921" s="15" t="str">
        <f t="shared" si="3"/>
        <v/>
      </c>
    </row>
    <row r="15922">
      <c r="A15922" s="8" t="str">
        <f>IFERROR(__xludf.DUMMYFUNCTION("IF('(INGESTA)Datos_consumo_datadis'!A17487&lt;&gt;"""",SPLIT('(INGESTA)Datos_consumo_datadis'!A:A,"",""),"""")"),"")</f>
        <v/>
      </c>
      <c r="G15922" s="8" t="str">
        <f t="shared" si="1"/>
        <v/>
      </c>
      <c r="H15922" s="14" t="str">
        <f t="shared" si="2"/>
        <v/>
      </c>
      <c r="I15922" s="15" t="str">
        <f t="shared" si="3"/>
        <v/>
      </c>
    </row>
    <row r="15923">
      <c r="A15923" s="8" t="str">
        <f>IFERROR(__xludf.DUMMYFUNCTION("IF('(INGESTA)Datos_consumo_datadis'!A17488&lt;&gt;"""",SPLIT('(INGESTA)Datos_consumo_datadis'!A:A,"",""),"""")"),"")</f>
        <v/>
      </c>
      <c r="G15923" s="8" t="str">
        <f t="shared" si="1"/>
        <v/>
      </c>
      <c r="H15923" s="14" t="str">
        <f t="shared" si="2"/>
        <v/>
      </c>
      <c r="I15923" s="15" t="str">
        <f t="shared" si="3"/>
        <v/>
      </c>
    </row>
    <row r="15924">
      <c r="A15924" s="8" t="str">
        <f>IFERROR(__xludf.DUMMYFUNCTION("IF('(INGESTA)Datos_consumo_datadis'!A17489&lt;&gt;"""",SPLIT('(INGESTA)Datos_consumo_datadis'!A:A,"",""),"""")"),"")</f>
        <v/>
      </c>
      <c r="G15924" s="8" t="str">
        <f t="shared" si="1"/>
        <v/>
      </c>
      <c r="H15924" s="14" t="str">
        <f t="shared" si="2"/>
        <v/>
      </c>
      <c r="I15924" s="15" t="str">
        <f t="shared" si="3"/>
        <v/>
      </c>
    </row>
    <row r="15925">
      <c r="A15925" s="8" t="str">
        <f>IFERROR(__xludf.DUMMYFUNCTION("IF('(INGESTA)Datos_consumo_datadis'!A17490&lt;&gt;"""",SPLIT('(INGESTA)Datos_consumo_datadis'!A:A,"",""),"""")"),"")</f>
        <v/>
      </c>
      <c r="G15925" s="8" t="str">
        <f t="shared" si="1"/>
        <v/>
      </c>
      <c r="H15925" s="14" t="str">
        <f t="shared" si="2"/>
        <v/>
      </c>
      <c r="I15925" s="15" t="str">
        <f t="shared" si="3"/>
        <v/>
      </c>
    </row>
    <row r="15926">
      <c r="A15926" s="8" t="str">
        <f>IFERROR(__xludf.DUMMYFUNCTION("IF('(INGESTA)Datos_consumo_datadis'!A17491&lt;&gt;"""",SPLIT('(INGESTA)Datos_consumo_datadis'!A:A,"",""),"""")"),"")</f>
        <v/>
      </c>
      <c r="G15926" s="8" t="str">
        <f t="shared" si="1"/>
        <v/>
      </c>
      <c r="H15926" s="14" t="str">
        <f t="shared" si="2"/>
        <v/>
      </c>
      <c r="I15926" s="15" t="str">
        <f t="shared" si="3"/>
        <v/>
      </c>
    </row>
    <row r="15927">
      <c r="A15927" s="8" t="str">
        <f>IFERROR(__xludf.DUMMYFUNCTION("IF('(INGESTA)Datos_consumo_datadis'!A17492&lt;&gt;"""",SPLIT('(INGESTA)Datos_consumo_datadis'!A:A,"",""),"""")"),"")</f>
        <v/>
      </c>
      <c r="G15927" s="8" t="str">
        <f t="shared" si="1"/>
        <v/>
      </c>
      <c r="H15927" s="14" t="str">
        <f t="shared" si="2"/>
        <v/>
      </c>
      <c r="I15927" s="15" t="str">
        <f t="shared" si="3"/>
        <v/>
      </c>
    </row>
    <row r="15928">
      <c r="A15928" s="8" t="str">
        <f>IFERROR(__xludf.DUMMYFUNCTION("IF('(INGESTA)Datos_consumo_datadis'!A17493&lt;&gt;"""",SPLIT('(INGESTA)Datos_consumo_datadis'!A:A,"",""),"""")"),"")</f>
        <v/>
      </c>
      <c r="G15928" s="8" t="str">
        <f t="shared" si="1"/>
        <v/>
      </c>
      <c r="H15928" s="14" t="str">
        <f t="shared" si="2"/>
        <v/>
      </c>
      <c r="I15928" s="15" t="str">
        <f t="shared" si="3"/>
        <v/>
      </c>
    </row>
    <row r="15929">
      <c r="A15929" s="8" t="str">
        <f>IFERROR(__xludf.DUMMYFUNCTION("IF('(INGESTA)Datos_consumo_datadis'!A17494&lt;&gt;"""",SPLIT('(INGESTA)Datos_consumo_datadis'!A:A,"",""),"""")"),"")</f>
        <v/>
      </c>
      <c r="G15929" s="8" t="str">
        <f t="shared" si="1"/>
        <v/>
      </c>
      <c r="H15929" s="14" t="str">
        <f t="shared" si="2"/>
        <v/>
      </c>
      <c r="I15929" s="15" t="str">
        <f t="shared" si="3"/>
        <v/>
      </c>
    </row>
    <row r="15930">
      <c r="A15930" s="8" t="str">
        <f>IFERROR(__xludf.DUMMYFUNCTION("IF('(INGESTA)Datos_consumo_datadis'!A17495&lt;&gt;"""",SPLIT('(INGESTA)Datos_consumo_datadis'!A:A,"",""),"""")"),"")</f>
        <v/>
      </c>
      <c r="G15930" s="8" t="str">
        <f t="shared" si="1"/>
        <v/>
      </c>
      <c r="H15930" s="14" t="str">
        <f t="shared" si="2"/>
        <v/>
      </c>
      <c r="I15930" s="15" t="str">
        <f t="shared" si="3"/>
        <v/>
      </c>
    </row>
    <row r="15931">
      <c r="A15931" s="8" t="str">
        <f>IFERROR(__xludf.DUMMYFUNCTION("IF('(INGESTA)Datos_consumo_datadis'!A17496&lt;&gt;"""",SPLIT('(INGESTA)Datos_consumo_datadis'!A:A,"",""),"""")"),"")</f>
        <v/>
      </c>
      <c r="G15931" s="8" t="str">
        <f t="shared" si="1"/>
        <v/>
      </c>
      <c r="H15931" s="14" t="str">
        <f t="shared" si="2"/>
        <v/>
      </c>
      <c r="I15931" s="15" t="str">
        <f t="shared" si="3"/>
        <v/>
      </c>
    </row>
    <row r="15932">
      <c r="A15932" s="8" t="str">
        <f>IFERROR(__xludf.DUMMYFUNCTION("IF('(INGESTA)Datos_consumo_datadis'!A17497&lt;&gt;"""",SPLIT('(INGESTA)Datos_consumo_datadis'!A:A,"",""),"""")"),"")</f>
        <v/>
      </c>
      <c r="G15932" s="8" t="str">
        <f t="shared" si="1"/>
        <v/>
      </c>
      <c r="H15932" s="14" t="str">
        <f t="shared" si="2"/>
        <v/>
      </c>
      <c r="I15932" s="15" t="str">
        <f t="shared" si="3"/>
        <v/>
      </c>
    </row>
    <row r="15933">
      <c r="A15933" s="8" t="str">
        <f>IFERROR(__xludf.DUMMYFUNCTION("IF('(INGESTA)Datos_consumo_datadis'!A17498&lt;&gt;"""",SPLIT('(INGESTA)Datos_consumo_datadis'!A:A,"",""),"""")"),"")</f>
        <v/>
      </c>
      <c r="G15933" s="8" t="str">
        <f t="shared" si="1"/>
        <v/>
      </c>
      <c r="H15933" s="14" t="str">
        <f t="shared" si="2"/>
        <v/>
      </c>
      <c r="I15933" s="15" t="str">
        <f t="shared" si="3"/>
        <v/>
      </c>
    </row>
    <row r="15934">
      <c r="A15934" s="8" t="str">
        <f>IFERROR(__xludf.DUMMYFUNCTION("IF('(INGESTA)Datos_consumo_datadis'!A17499&lt;&gt;"""",SPLIT('(INGESTA)Datos_consumo_datadis'!A:A,"",""),"""")"),"")</f>
        <v/>
      </c>
      <c r="G15934" s="8" t="str">
        <f t="shared" si="1"/>
        <v/>
      </c>
      <c r="H15934" s="14" t="str">
        <f t="shared" si="2"/>
        <v/>
      </c>
      <c r="I15934" s="15" t="str">
        <f t="shared" si="3"/>
        <v/>
      </c>
    </row>
    <row r="15935">
      <c r="A15935" s="8" t="str">
        <f>IFERROR(__xludf.DUMMYFUNCTION("IF('(INGESTA)Datos_consumo_datadis'!A17500&lt;&gt;"""",SPLIT('(INGESTA)Datos_consumo_datadis'!A:A,"",""),"""")"),"")</f>
        <v/>
      </c>
      <c r="G15935" s="8" t="str">
        <f t="shared" si="1"/>
        <v/>
      </c>
      <c r="H15935" s="14" t="str">
        <f t="shared" si="2"/>
        <v/>
      </c>
      <c r="I15935" s="15" t="str">
        <f t="shared" si="3"/>
        <v/>
      </c>
    </row>
    <row r="15936">
      <c r="A15936" s="8" t="str">
        <f>IFERROR(__xludf.DUMMYFUNCTION("IF('(INGESTA)Datos_consumo_datadis'!A17501&lt;&gt;"""",SPLIT('(INGESTA)Datos_consumo_datadis'!A:A,"",""),"""")"),"")</f>
        <v/>
      </c>
      <c r="G15936" s="8" t="str">
        <f t="shared" si="1"/>
        <v/>
      </c>
      <c r="H15936" s="14" t="str">
        <f t="shared" si="2"/>
        <v/>
      </c>
      <c r="I15936" s="15" t="str">
        <f t="shared" si="3"/>
        <v/>
      </c>
    </row>
    <row r="15937">
      <c r="A15937" s="8" t="str">
        <f>IFERROR(__xludf.DUMMYFUNCTION("IF('(INGESTA)Datos_consumo_datadis'!A17502&lt;&gt;"""",SPLIT('(INGESTA)Datos_consumo_datadis'!A:A,"",""),"""")"),"")</f>
        <v/>
      </c>
      <c r="G15937" s="8" t="str">
        <f t="shared" si="1"/>
        <v/>
      </c>
      <c r="H15937" s="14" t="str">
        <f t="shared" si="2"/>
        <v/>
      </c>
      <c r="I15937" s="15" t="str">
        <f t="shared" si="3"/>
        <v/>
      </c>
    </row>
    <row r="15938">
      <c r="A15938" s="8" t="str">
        <f>IFERROR(__xludf.DUMMYFUNCTION("IF('(INGESTA)Datos_consumo_datadis'!A17503&lt;&gt;"""",SPLIT('(INGESTA)Datos_consumo_datadis'!A:A,"",""),"""")"),"")</f>
        <v/>
      </c>
      <c r="G15938" s="8" t="str">
        <f t="shared" si="1"/>
        <v/>
      </c>
      <c r="H15938" s="14" t="str">
        <f t="shared" si="2"/>
        <v/>
      </c>
      <c r="I15938" s="15" t="str">
        <f t="shared" si="3"/>
        <v/>
      </c>
    </row>
    <row r="15939">
      <c r="A15939" s="8" t="str">
        <f>IFERROR(__xludf.DUMMYFUNCTION("IF('(INGESTA)Datos_consumo_datadis'!A17504&lt;&gt;"""",SPLIT('(INGESTA)Datos_consumo_datadis'!A:A,"",""),"""")"),"")</f>
        <v/>
      </c>
      <c r="G15939" s="8" t="str">
        <f t="shared" si="1"/>
        <v/>
      </c>
      <c r="H15939" s="14" t="str">
        <f t="shared" si="2"/>
        <v/>
      </c>
      <c r="I15939" s="15" t="str">
        <f t="shared" si="3"/>
        <v/>
      </c>
    </row>
    <row r="15940">
      <c r="A15940" s="8" t="str">
        <f>IFERROR(__xludf.DUMMYFUNCTION("IF('(INGESTA)Datos_consumo_datadis'!A17505&lt;&gt;"""",SPLIT('(INGESTA)Datos_consumo_datadis'!A:A,"",""),"""")"),"")</f>
        <v/>
      </c>
      <c r="G15940" s="8" t="str">
        <f t="shared" si="1"/>
        <v/>
      </c>
      <c r="H15940" s="14" t="str">
        <f t="shared" si="2"/>
        <v/>
      </c>
      <c r="I15940" s="15" t="str">
        <f t="shared" si="3"/>
        <v/>
      </c>
    </row>
    <row r="15941">
      <c r="A15941" s="8" t="str">
        <f>IFERROR(__xludf.DUMMYFUNCTION("IF('(INGESTA)Datos_consumo_datadis'!A17506&lt;&gt;"""",SPLIT('(INGESTA)Datos_consumo_datadis'!A:A,"",""),"""")"),"")</f>
        <v/>
      </c>
      <c r="G15941" s="8" t="str">
        <f t="shared" si="1"/>
        <v/>
      </c>
      <c r="H15941" s="14" t="str">
        <f t="shared" si="2"/>
        <v/>
      </c>
      <c r="I15941" s="15" t="str">
        <f t="shared" si="3"/>
        <v/>
      </c>
    </row>
    <row r="15942">
      <c r="A15942" s="8" t="str">
        <f>IFERROR(__xludf.DUMMYFUNCTION("IF('(INGESTA)Datos_consumo_datadis'!A17507&lt;&gt;"""",SPLIT('(INGESTA)Datos_consumo_datadis'!A:A,"",""),"""")"),"")</f>
        <v/>
      </c>
      <c r="G15942" s="8" t="str">
        <f t="shared" si="1"/>
        <v/>
      </c>
      <c r="H15942" s="14" t="str">
        <f t="shared" si="2"/>
        <v/>
      </c>
      <c r="I15942" s="15" t="str">
        <f t="shared" si="3"/>
        <v/>
      </c>
    </row>
    <row r="15943">
      <c r="A15943" s="8" t="str">
        <f>IFERROR(__xludf.DUMMYFUNCTION("IF('(INGESTA)Datos_consumo_datadis'!A17508&lt;&gt;"""",SPLIT('(INGESTA)Datos_consumo_datadis'!A:A,"",""),"""")"),"")</f>
        <v/>
      </c>
      <c r="G15943" s="8" t="str">
        <f t="shared" si="1"/>
        <v/>
      </c>
      <c r="H15943" s="14" t="str">
        <f t="shared" si="2"/>
        <v/>
      </c>
      <c r="I15943" s="15" t="str">
        <f t="shared" si="3"/>
        <v/>
      </c>
    </row>
    <row r="15944">
      <c r="A15944" s="8" t="str">
        <f>IFERROR(__xludf.DUMMYFUNCTION("IF('(INGESTA)Datos_consumo_datadis'!A17509&lt;&gt;"""",SPLIT('(INGESTA)Datos_consumo_datadis'!A:A,"",""),"""")"),"")</f>
        <v/>
      </c>
      <c r="G15944" s="8" t="str">
        <f t="shared" si="1"/>
        <v/>
      </c>
      <c r="H15944" s="14" t="str">
        <f t="shared" si="2"/>
        <v/>
      </c>
      <c r="I15944" s="15" t="str">
        <f t="shared" si="3"/>
        <v/>
      </c>
    </row>
    <row r="15945">
      <c r="A15945" s="8" t="str">
        <f>IFERROR(__xludf.DUMMYFUNCTION("IF('(INGESTA)Datos_consumo_datadis'!A17510&lt;&gt;"""",SPLIT('(INGESTA)Datos_consumo_datadis'!A:A,"",""),"""")"),"")</f>
        <v/>
      </c>
      <c r="G15945" s="8" t="str">
        <f t="shared" si="1"/>
        <v/>
      </c>
      <c r="H15945" s="14" t="str">
        <f t="shared" si="2"/>
        <v/>
      </c>
      <c r="I15945" s="15" t="str">
        <f t="shared" si="3"/>
        <v/>
      </c>
    </row>
    <row r="15946">
      <c r="A15946" s="8" t="str">
        <f>IFERROR(__xludf.DUMMYFUNCTION("IF('(INGESTA)Datos_consumo_datadis'!A17511&lt;&gt;"""",SPLIT('(INGESTA)Datos_consumo_datadis'!A:A,"",""),"""")"),"")</f>
        <v/>
      </c>
      <c r="G15946" s="8" t="str">
        <f t="shared" si="1"/>
        <v/>
      </c>
      <c r="H15946" s="14" t="str">
        <f t="shared" si="2"/>
        <v/>
      </c>
      <c r="I15946" s="15" t="str">
        <f t="shared" si="3"/>
        <v/>
      </c>
    </row>
    <row r="15947">
      <c r="A15947" s="8" t="str">
        <f>IFERROR(__xludf.DUMMYFUNCTION("IF('(INGESTA)Datos_consumo_datadis'!A17512&lt;&gt;"""",SPLIT('(INGESTA)Datos_consumo_datadis'!A:A,"",""),"""")"),"")</f>
        <v/>
      </c>
      <c r="G15947" s="8" t="str">
        <f t="shared" si="1"/>
        <v/>
      </c>
      <c r="H15947" s="14" t="str">
        <f t="shared" si="2"/>
        <v/>
      </c>
      <c r="I15947" s="15" t="str">
        <f t="shared" si="3"/>
        <v/>
      </c>
    </row>
    <row r="15948">
      <c r="A15948" s="8" t="str">
        <f>IFERROR(__xludf.DUMMYFUNCTION("IF('(INGESTA)Datos_consumo_datadis'!A17513&lt;&gt;"""",SPLIT('(INGESTA)Datos_consumo_datadis'!A:A,"",""),"""")"),"")</f>
        <v/>
      </c>
      <c r="G15948" s="8" t="str">
        <f t="shared" si="1"/>
        <v/>
      </c>
      <c r="H15948" s="14" t="str">
        <f t="shared" si="2"/>
        <v/>
      </c>
      <c r="I15948" s="15" t="str">
        <f t="shared" si="3"/>
        <v/>
      </c>
    </row>
    <row r="15949">
      <c r="A15949" s="8" t="str">
        <f>IFERROR(__xludf.DUMMYFUNCTION("IF('(INGESTA)Datos_consumo_datadis'!A17514&lt;&gt;"""",SPLIT('(INGESTA)Datos_consumo_datadis'!A:A,"",""),"""")"),"")</f>
        <v/>
      </c>
      <c r="G15949" s="8" t="str">
        <f t="shared" si="1"/>
        <v/>
      </c>
      <c r="H15949" s="14" t="str">
        <f t="shared" si="2"/>
        <v/>
      </c>
      <c r="I15949" s="15" t="str">
        <f t="shared" si="3"/>
        <v/>
      </c>
    </row>
    <row r="15950">
      <c r="A15950" s="8" t="str">
        <f>IFERROR(__xludf.DUMMYFUNCTION("IF('(INGESTA)Datos_consumo_datadis'!A17515&lt;&gt;"""",SPLIT('(INGESTA)Datos_consumo_datadis'!A:A,"",""),"""")"),"")</f>
        <v/>
      </c>
      <c r="G15950" s="8" t="str">
        <f t="shared" si="1"/>
        <v/>
      </c>
      <c r="H15950" s="14" t="str">
        <f t="shared" si="2"/>
        <v/>
      </c>
      <c r="I15950" s="15" t="str">
        <f t="shared" si="3"/>
        <v/>
      </c>
    </row>
    <row r="15951">
      <c r="A15951" s="8" t="str">
        <f>IFERROR(__xludf.DUMMYFUNCTION("IF('(INGESTA)Datos_consumo_datadis'!A17516&lt;&gt;"""",SPLIT('(INGESTA)Datos_consumo_datadis'!A:A,"",""),"""")"),"")</f>
        <v/>
      </c>
      <c r="G15951" s="8" t="str">
        <f t="shared" si="1"/>
        <v/>
      </c>
      <c r="H15951" s="14" t="str">
        <f t="shared" si="2"/>
        <v/>
      </c>
      <c r="I15951" s="15" t="str">
        <f t="shared" si="3"/>
        <v/>
      </c>
    </row>
    <row r="15952">
      <c r="A15952" s="8" t="str">
        <f>IFERROR(__xludf.DUMMYFUNCTION("IF('(INGESTA)Datos_consumo_datadis'!A17517&lt;&gt;"""",SPLIT('(INGESTA)Datos_consumo_datadis'!A:A,"",""),"""")"),"")</f>
        <v/>
      </c>
      <c r="G15952" s="8" t="str">
        <f t="shared" si="1"/>
        <v/>
      </c>
      <c r="H15952" s="14" t="str">
        <f t="shared" si="2"/>
        <v/>
      </c>
      <c r="I15952" s="15" t="str">
        <f t="shared" si="3"/>
        <v/>
      </c>
    </row>
    <row r="15953">
      <c r="A15953" s="8" t="str">
        <f>IFERROR(__xludf.DUMMYFUNCTION("IF('(INGESTA)Datos_consumo_datadis'!A17518&lt;&gt;"""",SPLIT('(INGESTA)Datos_consumo_datadis'!A:A,"",""),"""")"),"")</f>
        <v/>
      </c>
      <c r="G15953" s="8" t="str">
        <f t="shared" si="1"/>
        <v/>
      </c>
      <c r="H15953" s="14" t="str">
        <f t="shared" si="2"/>
        <v/>
      </c>
      <c r="I15953" s="15" t="str">
        <f t="shared" si="3"/>
        <v/>
      </c>
    </row>
    <row r="15954">
      <c r="A15954" s="8" t="str">
        <f>IFERROR(__xludf.DUMMYFUNCTION("IF('(INGESTA)Datos_consumo_datadis'!A17519&lt;&gt;"""",SPLIT('(INGESTA)Datos_consumo_datadis'!A:A,"",""),"""")"),"")</f>
        <v/>
      </c>
      <c r="G15954" s="8" t="str">
        <f t="shared" si="1"/>
        <v/>
      </c>
      <c r="H15954" s="14" t="str">
        <f t="shared" si="2"/>
        <v/>
      </c>
      <c r="I15954" s="15" t="str">
        <f t="shared" si="3"/>
        <v/>
      </c>
    </row>
    <row r="15955">
      <c r="A15955" s="8" t="str">
        <f>IFERROR(__xludf.DUMMYFUNCTION("IF('(INGESTA)Datos_consumo_datadis'!A17520&lt;&gt;"""",SPLIT('(INGESTA)Datos_consumo_datadis'!A:A,"",""),"""")"),"")</f>
        <v/>
      </c>
      <c r="G15955" s="8" t="str">
        <f t="shared" si="1"/>
        <v/>
      </c>
      <c r="H15955" s="14" t="str">
        <f t="shared" si="2"/>
        <v/>
      </c>
      <c r="I15955" s="15" t="str">
        <f t="shared" si="3"/>
        <v/>
      </c>
    </row>
    <row r="15956">
      <c r="A15956" s="8" t="str">
        <f>IFERROR(__xludf.DUMMYFUNCTION("IF('(INGESTA)Datos_consumo_datadis'!A17521&lt;&gt;"""",SPLIT('(INGESTA)Datos_consumo_datadis'!A:A,"",""),"""")"),"")</f>
        <v/>
      </c>
      <c r="G15956" s="8" t="str">
        <f t="shared" si="1"/>
        <v/>
      </c>
      <c r="H15956" s="14" t="str">
        <f t="shared" si="2"/>
        <v/>
      </c>
      <c r="I15956" s="15" t="str">
        <f t="shared" si="3"/>
        <v/>
      </c>
    </row>
    <row r="15957">
      <c r="A15957" s="8" t="str">
        <f>IFERROR(__xludf.DUMMYFUNCTION("IF('(INGESTA)Datos_consumo_datadis'!A17522&lt;&gt;"""",SPLIT('(INGESTA)Datos_consumo_datadis'!A:A,"",""),"""")"),"")</f>
        <v/>
      </c>
      <c r="G15957" s="8" t="str">
        <f t="shared" si="1"/>
        <v/>
      </c>
      <c r="H15957" s="14" t="str">
        <f t="shared" si="2"/>
        <v/>
      </c>
      <c r="I15957" s="15" t="str">
        <f t="shared" si="3"/>
        <v/>
      </c>
    </row>
    <row r="15958">
      <c r="A15958" s="8" t="str">
        <f>IFERROR(__xludf.DUMMYFUNCTION("IF('(INGESTA)Datos_consumo_datadis'!A17523&lt;&gt;"""",SPLIT('(INGESTA)Datos_consumo_datadis'!A:A,"",""),"""")"),"")</f>
        <v/>
      </c>
      <c r="G15958" s="8" t="str">
        <f t="shared" si="1"/>
        <v/>
      </c>
      <c r="H15958" s="14" t="str">
        <f t="shared" si="2"/>
        <v/>
      </c>
      <c r="I15958" s="15" t="str">
        <f t="shared" si="3"/>
        <v/>
      </c>
    </row>
    <row r="15959">
      <c r="A15959" s="8" t="str">
        <f>IFERROR(__xludf.DUMMYFUNCTION("IF('(INGESTA)Datos_consumo_datadis'!A17524&lt;&gt;"""",SPLIT('(INGESTA)Datos_consumo_datadis'!A:A,"",""),"""")"),"")</f>
        <v/>
      </c>
      <c r="G15959" s="8" t="str">
        <f t="shared" si="1"/>
        <v/>
      </c>
      <c r="H15959" s="14" t="str">
        <f t="shared" si="2"/>
        <v/>
      </c>
      <c r="I15959" s="15" t="str">
        <f t="shared" si="3"/>
        <v/>
      </c>
    </row>
    <row r="15960">
      <c r="A15960" s="8" t="str">
        <f>IFERROR(__xludf.DUMMYFUNCTION("IF('(INGESTA)Datos_consumo_datadis'!A17525&lt;&gt;"""",SPLIT('(INGESTA)Datos_consumo_datadis'!A:A,"",""),"""")"),"")</f>
        <v/>
      </c>
      <c r="G15960" s="8" t="str">
        <f t="shared" si="1"/>
        <v/>
      </c>
      <c r="H15960" s="14" t="str">
        <f t="shared" si="2"/>
        <v/>
      </c>
      <c r="I15960" s="15" t="str">
        <f t="shared" si="3"/>
        <v/>
      </c>
    </row>
    <row r="15961">
      <c r="A15961" s="8" t="str">
        <f>IFERROR(__xludf.DUMMYFUNCTION("IF('(INGESTA)Datos_consumo_datadis'!A17526&lt;&gt;"""",SPLIT('(INGESTA)Datos_consumo_datadis'!A:A,"",""),"""")"),"")</f>
        <v/>
      </c>
      <c r="G15961" s="8" t="str">
        <f t="shared" si="1"/>
        <v/>
      </c>
      <c r="H15961" s="14" t="str">
        <f t="shared" si="2"/>
        <v/>
      </c>
      <c r="I15961" s="15" t="str">
        <f t="shared" si="3"/>
        <v/>
      </c>
    </row>
    <row r="15962">
      <c r="A15962" s="8" t="str">
        <f>IFERROR(__xludf.DUMMYFUNCTION("IF('(INGESTA)Datos_consumo_datadis'!A17527&lt;&gt;"""",SPLIT('(INGESTA)Datos_consumo_datadis'!A:A,"",""),"""")"),"")</f>
        <v/>
      </c>
      <c r="G15962" s="8" t="str">
        <f t="shared" si="1"/>
        <v/>
      </c>
      <c r="H15962" s="14" t="str">
        <f t="shared" si="2"/>
        <v/>
      </c>
      <c r="I15962" s="15" t="str">
        <f t="shared" si="3"/>
        <v/>
      </c>
    </row>
    <row r="15963">
      <c r="A15963" s="8" t="str">
        <f>IFERROR(__xludf.DUMMYFUNCTION("IF('(INGESTA)Datos_consumo_datadis'!A17528&lt;&gt;"""",SPLIT('(INGESTA)Datos_consumo_datadis'!A:A,"",""),"""")"),"")</f>
        <v/>
      </c>
      <c r="G15963" s="8" t="str">
        <f t="shared" si="1"/>
        <v/>
      </c>
      <c r="H15963" s="14" t="str">
        <f t="shared" si="2"/>
        <v/>
      </c>
      <c r="I15963" s="15" t="str">
        <f t="shared" si="3"/>
        <v/>
      </c>
    </row>
    <row r="15964">
      <c r="A15964" s="8" t="str">
        <f>IFERROR(__xludf.DUMMYFUNCTION("IF('(INGESTA)Datos_consumo_datadis'!A17529&lt;&gt;"""",SPLIT('(INGESTA)Datos_consumo_datadis'!A:A,"",""),"""")"),"")</f>
        <v/>
      </c>
      <c r="G15964" s="8" t="str">
        <f t="shared" si="1"/>
        <v/>
      </c>
      <c r="H15964" s="14" t="str">
        <f t="shared" si="2"/>
        <v/>
      </c>
      <c r="I15964" s="15" t="str">
        <f t="shared" si="3"/>
        <v/>
      </c>
    </row>
    <row r="15965">
      <c r="A15965" s="8" t="str">
        <f>IFERROR(__xludf.DUMMYFUNCTION("IF('(INGESTA)Datos_consumo_datadis'!A17530&lt;&gt;"""",SPLIT('(INGESTA)Datos_consumo_datadis'!A:A,"",""),"""")"),"")</f>
        <v/>
      </c>
      <c r="G15965" s="8" t="str">
        <f t="shared" si="1"/>
        <v/>
      </c>
      <c r="H15965" s="14" t="str">
        <f t="shared" si="2"/>
        <v/>
      </c>
      <c r="I15965" s="15" t="str">
        <f t="shared" si="3"/>
        <v/>
      </c>
    </row>
    <row r="15966">
      <c r="A15966" s="8" t="str">
        <f>IFERROR(__xludf.DUMMYFUNCTION("IF('(INGESTA)Datos_consumo_datadis'!A17531&lt;&gt;"""",SPLIT('(INGESTA)Datos_consumo_datadis'!A:A,"",""),"""")"),"")</f>
        <v/>
      </c>
      <c r="G15966" s="8" t="str">
        <f t="shared" si="1"/>
        <v/>
      </c>
      <c r="H15966" s="14" t="str">
        <f t="shared" si="2"/>
        <v/>
      </c>
      <c r="I15966" s="15" t="str">
        <f t="shared" si="3"/>
        <v/>
      </c>
    </row>
    <row r="15967">
      <c r="A15967" s="8" t="str">
        <f>IFERROR(__xludf.DUMMYFUNCTION("IF('(INGESTA)Datos_consumo_datadis'!A17532&lt;&gt;"""",SPLIT('(INGESTA)Datos_consumo_datadis'!A:A,"",""),"""")"),"")</f>
        <v/>
      </c>
      <c r="G15967" s="8" t="str">
        <f t="shared" si="1"/>
        <v/>
      </c>
      <c r="H15967" s="14" t="str">
        <f t="shared" si="2"/>
        <v/>
      </c>
      <c r="I15967" s="15" t="str">
        <f t="shared" si="3"/>
        <v/>
      </c>
    </row>
    <row r="15968">
      <c r="A15968" s="8" t="str">
        <f>IFERROR(__xludf.DUMMYFUNCTION("IF('(INGESTA)Datos_consumo_datadis'!A17533&lt;&gt;"""",SPLIT('(INGESTA)Datos_consumo_datadis'!A:A,"",""),"""")"),"")</f>
        <v/>
      </c>
      <c r="G15968" s="8" t="str">
        <f t="shared" si="1"/>
        <v/>
      </c>
      <c r="H15968" s="14" t="str">
        <f t="shared" si="2"/>
        <v/>
      </c>
      <c r="I15968" s="15" t="str">
        <f t="shared" si="3"/>
        <v/>
      </c>
    </row>
    <row r="15969">
      <c r="A15969" s="8" t="str">
        <f>IFERROR(__xludf.DUMMYFUNCTION("IF('(INGESTA)Datos_consumo_datadis'!A17534&lt;&gt;"""",SPLIT('(INGESTA)Datos_consumo_datadis'!A:A,"",""),"""")"),"")</f>
        <v/>
      </c>
      <c r="G15969" s="8" t="str">
        <f t="shared" si="1"/>
        <v/>
      </c>
      <c r="H15969" s="14" t="str">
        <f t="shared" si="2"/>
        <v/>
      </c>
      <c r="I15969" s="15" t="str">
        <f t="shared" si="3"/>
        <v/>
      </c>
    </row>
    <row r="15970">
      <c r="A15970" s="8" t="str">
        <f>IFERROR(__xludf.DUMMYFUNCTION("IF('(INGESTA)Datos_consumo_datadis'!A17535&lt;&gt;"""",SPLIT('(INGESTA)Datos_consumo_datadis'!A:A,"",""),"""")"),"")</f>
        <v/>
      </c>
      <c r="G15970" s="8" t="str">
        <f t="shared" si="1"/>
        <v/>
      </c>
      <c r="H15970" s="14" t="str">
        <f t="shared" si="2"/>
        <v/>
      </c>
      <c r="I15970" s="15" t="str">
        <f t="shared" si="3"/>
        <v/>
      </c>
    </row>
    <row r="15971">
      <c r="A15971" s="8" t="str">
        <f>IFERROR(__xludf.DUMMYFUNCTION("IF('(INGESTA)Datos_consumo_datadis'!A17536&lt;&gt;"""",SPLIT('(INGESTA)Datos_consumo_datadis'!A:A,"",""),"""")"),"")</f>
        <v/>
      </c>
      <c r="G15971" s="8" t="str">
        <f t="shared" si="1"/>
        <v/>
      </c>
      <c r="H15971" s="14" t="str">
        <f t="shared" si="2"/>
        <v/>
      </c>
      <c r="I15971" s="15" t="str">
        <f t="shared" si="3"/>
        <v/>
      </c>
    </row>
    <row r="15972">
      <c r="A15972" s="8" t="str">
        <f>IFERROR(__xludf.DUMMYFUNCTION("IF('(INGESTA)Datos_consumo_datadis'!A17537&lt;&gt;"""",SPLIT('(INGESTA)Datos_consumo_datadis'!A:A,"",""),"""")"),"")</f>
        <v/>
      </c>
      <c r="G15972" s="8" t="str">
        <f t="shared" si="1"/>
        <v/>
      </c>
      <c r="H15972" s="14" t="str">
        <f t="shared" si="2"/>
        <v/>
      </c>
      <c r="I15972" s="15" t="str">
        <f t="shared" si="3"/>
        <v/>
      </c>
    </row>
    <row r="15973">
      <c r="A15973" s="8" t="str">
        <f>IFERROR(__xludf.DUMMYFUNCTION("IF('(INGESTA)Datos_consumo_datadis'!A17538&lt;&gt;"""",SPLIT('(INGESTA)Datos_consumo_datadis'!A:A,"",""),"""")"),"")</f>
        <v/>
      </c>
      <c r="G15973" s="8" t="str">
        <f t="shared" si="1"/>
        <v/>
      </c>
      <c r="H15973" s="14" t="str">
        <f t="shared" si="2"/>
        <v/>
      </c>
      <c r="I15973" s="15" t="str">
        <f t="shared" si="3"/>
        <v/>
      </c>
    </row>
    <row r="15974">
      <c r="A15974" s="8" t="str">
        <f>IFERROR(__xludf.DUMMYFUNCTION("IF('(INGESTA)Datos_consumo_datadis'!A17539&lt;&gt;"""",SPLIT('(INGESTA)Datos_consumo_datadis'!A:A,"",""),"""")"),"")</f>
        <v/>
      </c>
      <c r="G15974" s="8" t="str">
        <f t="shared" si="1"/>
        <v/>
      </c>
      <c r="H15974" s="14" t="str">
        <f t="shared" si="2"/>
        <v/>
      </c>
      <c r="I15974" s="15" t="str">
        <f t="shared" si="3"/>
        <v/>
      </c>
    </row>
    <row r="15975">
      <c r="A15975" s="8" t="str">
        <f>IFERROR(__xludf.DUMMYFUNCTION("IF('(INGESTA)Datos_consumo_datadis'!A17540&lt;&gt;"""",SPLIT('(INGESTA)Datos_consumo_datadis'!A:A,"",""),"""")"),"")</f>
        <v/>
      </c>
      <c r="G15975" s="8" t="str">
        <f t="shared" si="1"/>
        <v/>
      </c>
      <c r="H15975" s="14" t="str">
        <f t="shared" si="2"/>
        <v/>
      </c>
      <c r="I15975" s="15" t="str">
        <f t="shared" si="3"/>
        <v/>
      </c>
    </row>
    <row r="15976">
      <c r="A15976" s="8" t="str">
        <f>IFERROR(__xludf.DUMMYFUNCTION("IF('(INGESTA)Datos_consumo_datadis'!A17541&lt;&gt;"""",SPLIT('(INGESTA)Datos_consumo_datadis'!A:A,"",""),"""")"),"")</f>
        <v/>
      </c>
      <c r="G15976" s="8" t="str">
        <f t="shared" si="1"/>
        <v/>
      </c>
      <c r="H15976" s="14" t="str">
        <f t="shared" si="2"/>
        <v/>
      </c>
      <c r="I15976" s="15" t="str">
        <f t="shared" si="3"/>
        <v/>
      </c>
    </row>
    <row r="15977">
      <c r="A15977" s="8" t="str">
        <f>IFERROR(__xludf.DUMMYFUNCTION("IF('(INGESTA)Datos_consumo_datadis'!A17542&lt;&gt;"""",SPLIT('(INGESTA)Datos_consumo_datadis'!A:A,"",""),"""")"),"")</f>
        <v/>
      </c>
      <c r="G15977" s="8" t="str">
        <f t="shared" si="1"/>
        <v/>
      </c>
      <c r="H15977" s="14" t="str">
        <f t="shared" si="2"/>
        <v/>
      </c>
      <c r="I15977" s="15" t="str">
        <f t="shared" si="3"/>
        <v/>
      </c>
    </row>
    <row r="15978">
      <c r="A15978" s="8" t="str">
        <f>IFERROR(__xludf.DUMMYFUNCTION("IF('(INGESTA)Datos_consumo_datadis'!A17543&lt;&gt;"""",SPLIT('(INGESTA)Datos_consumo_datadis'!A:A,"",""),"""")"),"")</f>
        <v/>
      </c>
      <c r="G15978" s="8" t="str">
        <f t="shared" si="1"/>
        <v/>
      </c>
      <c r="H15978" s="14" t="str">
        <f t="shared" si="2"/>
        <v/>
      </c>
      <c r="I15978" s="15" t="str">
        <f t="shared" si="3"/>
        <v/>
      </c>
    </row>
    <row r="15979">
      <c r="A15979" s="8" t="str">
        <f>IFERROR(__xludf.DUMMYFUNCTION("IF('(INGESTA)Datos_consumo_datadis'!A17544&lt;&gt;"""",SPLIT('(INGESTA)Datos_consumo_datadis'!A:A,"",""),"""")"),"")</f>
        <v/>
      </c>
      <c r="G15979" s="8" t="str">
        <f t="shared" si="1"/>
        <v/>
      </c>
      <c r="H15979" s="14" t="str">
        <f t="shared" si="2"/>
        <v/>
      </c>
      <c r="I15979" s="15" t="str">
        <f t="shared" si="3"/>
        <v/>
      </c>
    </row>
    <row r="15980">
      <c r="A15980" s="8" t="str">
        <f>IFERROR(__xludf.DUMMYFUNCTION("IF('(INGESTA)Datos_consumo_datadis'!A17545&lt;&gt;"""",SPLIT('(INGESTA)Datos_consumo_datadis'!A:A,"",""),"""")"),"")</f>
        <v/>
      </c>
      <c r="G15980" s="8" t="str">
        <f t="shared" si="1"/>
        <v/>
      </c>
      <c r="H15980" s="14" t="str">
        <f t="shared" si="2"/>
        <v/>
      </c>
      <c r="I15980" s="15" t="str">
        <f t="shared" si="3"/>
        <v/>
      </c>
    </row>
    <row r="15981">
      <c r="A15981" s="8" t="str">
        <f>IFERROR(__xludf.DUMMYFUNCTION("IF('(INGESTA)Datos_consumo_datadis'!A17546&lt;&gt;"""",SPLIT('(INGESTA)Datos_consumo_datadis'!A:A,"",""),"""")"),"")</f>
        <v/>
      </c>
      <c r="G15981" s="8" t="str">
        <f t="shared" si="1"/>
        <v/>
      </c>
      <c r="H15981" s="14" t="str">
        <f t="shared" si="2"/>
        <v/>
      </c>
      <c r="I15981" s="15" t="str">
        <f t="shared" si="3"/>
        <v/>
      </c>
    </row>
    <row r="15982">
      <c r="A15982" s="8" t="str">
        <f>IFERROR(__xludf.DUMMYFUNCTION("IF('(INGESTA)Datos_consumo_datadis'!A17547&lt;&gt;"""",SPLIT('(INGESTA)Datos_consumo_datadis'!A:A,"",""),"""")"),"")</f>
        <v/>
      </c>
      <c r="G15982" s="8" t="str">
        <f t="shared" si="1"/>
        <v/>
      </c>
      <c r="H15982" s="14" t="str">
        <f t="shared" si="2"/>
        <v/>
      </c>
      <c r="I15982" s="15" t="str">
        <f t="shared" si="3"/>
        <v/>
      </c>
    </row>
    <row r="15983">
      <c r="A15983" s="8" t="str">
        <f>IFERROR(__xludf.DUMMYFUNCTION("IF('(INGESTA)Datos_consumo_datadis'!A17548&lt;&gt;"""",SPLIT('(INGESTA)Datos_consumo_datadis'!A:A,"",""),"""")"),"")</f>
        <v/>
      </c>
      <c r="G15983" s="8" t="str">
        <f t="shared" si="1"/>
        <v/>
      </c>
      <c r="H15983" s="14" t="str">
        <f t="shared" si="2"/>
        <v/>
      </c>
      <c r="I15983" s="15" t="str">
        <f t="shared" si="3"/>
        <v/>
      </c>
    </row>
    <row r="15984">
      <c r="A15984" s="8" t="str">
        <f>IFERROR(__xludf.DUMMYFUNCTION("IF('(INGESTA)Datos_consumo_datadis'!A17549&lt;&gt;"""",SPLIT('(INGESTA)Datos_consumo_datadis'!A:A,"",""),"""")"),"")</f>
        <v/>
      </c>
      <c r="G15984" s="8" t="str">
        <f t="shared" si="1"/>
        <v/>
      </c>
      <c r="H15984" s="14" t="str">
        <f t="shared" si="2"/>
        <v/>
      </c>
      <c r="I15984" s="15" t="str">
        <f t="shared" si="3"/>
        <v/>
      </c>
    </row>
    <row r="15985">
      <c r="A15985" s="8" t="str">
        <f>IFERROR(__xludf.DUMMYFUNCTION("IF('(INGESTA)Datos_consumo_datadis'!A17550&lt;&gt;"""",SPLIT('(INGESTA)Datos_consumo_datadis'!A:A,"",""),"""")"),"")</f>
        <v/>
      </c>
      <c r="G15985" s="8" t="str">
        <f t="shared" si="1"/>
        <v/>
      </c>
      <c r="H15985" s="14" t="str">
        <f t="shared" si="2"/>
        <v/>
      </c>
      <c r="I15985" s="15" t="str">
        <f t="shared" si="3"/>
        <v/>
      </c>
    </row>
    <row r="15986">
      <c r="A15986" s="8" t="str">
        <f>IFERROR(__xludf.DUMMYFUNCTION("IF('(INGESTA)Datos_consumo_datadis'!A17551&lt;&gt;"""",SPLIT('(INGESTA)Datos_consumo_datadis'!A:A,"",""),"""")"),"")</f>
        <v/>
      </c>
      <c r="G15986" s="8" t="str">
        <f t="shared" si="1"/>
        <v/>
      </c>
      <c r="H15986" s="14" t="str">
        <f t="shared" si="2"/>
        <v/>
      </c>
      <c r="I15986" s="15" t="str">
        <f t="shared" si="3"/>
        <v/>
      </c>
    </row>
    <row r="15987">
      <c r="A15987" s="8" t="str">
        <f>IFERROR(__xludf.DUMMYFUNCTION("IF('(INGESTA)Datos_consumo_datadis'!A17552&lt;&gt;"""",SPLIT('(INGESTA)Datos_consumo_datadis'!A:A,"",""),"""")"),"")</f>
        <v/>
      </c>
      <c r="G15987" s="8" t="str">
        <f t="shared" si="1"/>
        <v/>
      </c>
      <c r="H15987" s="14" t="str">
        <f t="shared" si="2"/>
        <v/>
      </c>
      <c r="I15987" s="15" t="str">
        <f t="shared" si="3"/>
        <v/>
      </c>
    </row>
    <row r="15988">
      <c r="A15988" s="8" t="str">
        <f>IFERROR(__xludf.DUMMYFUNCTION("IF('(INGESTA)Datos_consumo_datadis'!A17553&lt;&gt;"""",SPLIT('(INGESTA)Datos_consumo_datadis'!A:A,"",""),"""")"),"")</f>
        <v/>
      </c>
      <c r="G15988" s="8" t="str">
        <f t="shared" si="1"/>
        <v/>
      </c>
      <c r="H15988" s="14" t="str">
        <f t="shared" si="2"/>
        <v/>
      </c>
      <c r="I15988" s="15" t="str">
        <f t="shared" si="3"/>
        <v/>
      </c>
    </row>
    <row r="15989">
      <c r="A15989" s="8" t="str">
        <f>IFERROR(__xludf.DUMMYFUNCTION("IF('(INGESTA)Datos_consumo_datadis'!A17554&lt;&gt;"""",SPLIT('(INGESTA)Datos_consumo_datadis'!A:A,"",""),"""")"),"")</f>
        <v/>
      </c>
      <c r="G15989" s="8" t="str">
        <f t="shared" si="1"/>
        <v/>
      </c>
      <c r="H15989" s="14" t="str">
        <f t="shared" si="2"/>
        <v/>
      </c>
      <c r="I15989" s="15" t="str">
        <f t="shared" si="3"/>
        <v/>
      </c>
    </row>
    <row r="15990">
      <c r="A15990" s="8" t="str">
        <f>IFERROR(__xludf.DUMMYFUNCTION("IF('(INGESTA)Datos_consumo_datadis'!A17555&lt;&gt;"""",SPLIT('(INGESTA)Datos_consumo_datadis'!A:A,"",""),"""")"),"")</f>
        <v/>
      </c>
      <c r="G15990" s="8" t="str">
        <f t="shared" si="1"/>
        <v/>
      </c>
      <c r="H15990" s="14" t="str">
        <f t="shared" si="2"/>
        <v/>
      </c>
      <c r="I15990" s="15" t="str">
        <f t="shared" si="3"/>
        <v/>
      </c>
    </row>
    <row r="15991">
      <c r="A15991" s="8" t="str">
        <f>IFERROR(__xludf.DUMMYFUNCTION("IF('(INGESTA)Datos_consumo_datadis'!A17556&lt;&gt;"""",SPLIT('(INGESTA)Datos_consumo_datadis'!A:A,"",""),"""")"),"")</f>
        <v/>
      </c>
      <c r="G15991" s="8" t="str">
        <f t="shared" si="1"/>
        <v/>
      </c>
      <c r="H15991" s="14" t="str">
        <f t="shared" si="2"/>
        <v/>
      </c>
      <c r="I15991" s="15" t="str">
        <f t="shared" si="3"/>
        <v/>
      </c>
    </row>
    <row r="15992">
      <c r="A15992" s="8" t="str">
        <f>IFERROR(__xludf.DUMMYFUNCTION("IF('(INGESTA)Datos_consumo_datadis'!A17557&lt;&gt;"""",SPLIT('(INGESTA)Datos_consumo_datadis'!A:A,"",""),"""")"),"")</f>
        <v/>
      </c>
      <c r="G15992" s="8" t="str">
        <f t="shared" si="1"/>
        <v/>
      </c>
      <c r="H15992" s="14" t="str">
        <f t="shared" si="2"/>
        <v/>
      </c>
      <c r="I15992" s="15" t="str">
        <f t="shared" si="3"/>
        <v/>
      </c>
    </row>
    <row r="15993">
      <c r="A15993" s="8" t="str">
        <f>IFERROR(__xludf.DUMMYFUNCTION("IF('(INGESTA)Datos_consumo_datadis'!A17558&lt;&gt;"""",SPLIT('(INGESTA)Datos_consumo_datadis'!A:A,"",""),"""")"),"")</f>
        <v/>
      </c>
      <c r="G15993" s="8" t="str">
        <f t="shared" si="1"/>
        <v/>
      </c>
      <c r="H15993" s="14" t="str">
        <f t="shared" si="2"/>
        <v/>
      </c>
      <c r="I15993" s="15" t="str">
        <f t="shared" si="3"/>
        <v/>
      </c>
    </row>
    <row r="15994">
      <c r="A15994" s="8" t="str">
        <f>IFERROR(__xludf.DUMMYFUNCTION("IF('(INGESTA)Datos_consumo_datadis'!A17559&lt;&gt;"""",SPLIT('(INGESTA)Datos_consumo_datadis'!A:A,"",""),"""")"),"")</f>
        <v/>
      </c>
      <c r="G15994" s="8" t="str">
        <f t="shared" si="1"/>
        <v/>
      </c>
      <c r="H15994" s="14" t="str">
        <f t="shared" si="2"/>
        <v/>
      </c>
      <c r="I15994" s="15" t="str">
        <f t="shared" si="3"/>
        <v/>
      </c>
    </row>
    <row r="15995">
      <c r="A15995" s="8" t="str">
        <f>IFERROR(__xludf.DUMMYFUNCTION("IF('(INGESTA)Datos_consumo_datadis'!A17560&lt;&gt;"""",SPLIT('(INGESTA)Datos_consumo_datadis'!A:A,"",""),"""")"),"")</f>
        <v/>
      </c>
      <c r="G15995" s="8" t="str">
        <f t="shared" si="1"/>
        <v/>
      </c>
      <c r="H15995" s="14" t="str">
        <f t="shared" si="2"/>
        <v/>
      </c>
      <c r="I15995" s="15" t="str">
        <f t="shared" si="3"/>
        <v/>
      </c>
    </row>
    <row r="15996">
      <c r="A15996" s="8" t="str">
        <f>IFERROR(__xludf.DUMMYFUNCTION("IF('(INGESTA)Datos_consumo_datadis'!A17561&lt;&gt;"""",SPLIT('(INGESTA)Datos_consumo_datadis'!A:A,"",""),"""")"),"")</f>
        <v/>
      </c>
      <c r="G15996" s="8" t="str">
        <f t="shared" si="1"/>
        <v/>
      </c>
      <c r="H15996" s="14" t="str">
        <f t="shared" si="2"/>
        <v/>
      </c>
      <c r="I15996" s="15" t="str">
        <f t="shared" si="3"/>
        <v/>
      </c>
    </row>
    <row r="15997">
      <c r="A15997" s="8" t="str">
        <f>IFERROR(__xludf.DUMMYFUNCTION("IF('(INGESTA)Datos_consumo_datadis'!A17562&lt;&gt;"""",SPLIT('(INGESTA)Datos_consumo_datadis'!A:A,"",""),"""")"),"")</f>
        <v/>
      </c>
      <c r="G15997" s="8" t="str">
        <f t="shared" si="1"/>
        <v/>
      </c>
      <c r="H15997" s="14" t="str">
        <f t="shared" si="2"/>
        <v/>
      </c>
      <c r="I15997" s="15" t="str">
        <f t="shared" si="3"/>
        <v/>
      </c>
    </row>
    <row r="15998">
      <c r="A15998" s="8" t="str">
        <f>IFERROR(__xludf.DUMMYFUNCTION("IF('(INGESTA)Datos_consumo_datadis'!A17563&lt;&gt;"""",SPLIT('(INGESTA)Datos_consumo_datadis'!A:A,"",""),"""")"),"")</f>
        <v/>
      </c>
      <c r="G15998" s="8" t="str">
        <f t="shared" si="1"/>
        <v/>
      </c>
      <c r="H15998" s="14" t="str">
        <f t="shared" si="2"/>
        <v/>
      </c>
      <c r="I15998" s="15" t="str">
        <f t="shared" si="3"/>
        <v/>
      </c>
    </row>
    <row r="15999">
      <c r="A15999" s="8" t="str">
        <f>IFERROR(__xludf.DUMMYFUNCTION("IF('(INGESTA)Datos_consumo_datadis'!A17564&lt;&gt;"""",SPLIT('(INGESTA)Datos_consumo_datadis'!A:A,"",""),"""")"),"")</f>
        <v/>
      </c>
      <c r="G15999" s="8" t="str">
        <f t="shared" si="1"/>
        <v/>
      </c>
      <c r="H15999" s="14" t="str">
        <f t="shared" si="2"/>
        <v/>
      </c>
      <c r="I15999" s="15" t="str">
        <f t="shared" si="3"/>
        <v/>
      </c>
    </row>
    <row r="16000">
      <c r="A16000" s="8" t="str">
        <f>IFERROR(__xludf.DUMMYFUNCTION("IF('(INGESTA)Datos_consumo_datadis'!A17565&lt;&gt;"""",SPLIT('(INGESTA)Datos_consumo_datadis'!A:A,"",""),"""")"),"")</f>
        <v/>
      </c>
      <c r="G16000" s="8" t="str">
        <f t="shared" si="1"/>
        <v/>
      </c>
      <c r="H16000" s="14" t="str">
        <f t="shared" si="2"/>
        <v/>
      </c>
      <c r="I16000" s="15" t="str">
        <f t="shared" si="3"/>
        <v/>
      </c>
    </row>
    <row r="16001">
      <c r="A16001" s="8" t="str">
        <f>IFERROR(__xludf.DUMMYFUNCTION("IF('(INGESTA)Datos_consumo_datadis'!A17566&lt;&gt;"""",SPLIT('(INGESTA)Datos_consumo_datadis'!A:A,"",""),"""")"),"")</f>
        <v/>
      </c>
      <c r="G16001" s="8" t="str">
        <f t="shared" si="1"/>
        <v/>
      </c>
      <c r="H16001" s="14" t="str">
        <f t="shared" si="2"/>
        <v/>
      </c>
      <c r="I16001" s="15" t="str">
        <f t="shared" si="3"/>
        <v/>
      </c>
    </row>
    <row r="16002">
      <c r="A16002" s="8" t="str">
        <f>IFERROR(__xludf.DUMMYFUNCTION("IF('(INGESTA)Datos_consumo_datadis'!A17567&lt;&gt;"""",SPLIT('(INGESTA)Datos_consumo_datadis'!A:A,"",""),"""")"),"")</f>
        <v/>
      </c>
      <c r="G16002" s="8" t="str">
        <f t="shared" si="1"/>
        <v/>
      </c>
      <c r="H16002" s="14" t="str">
        <f t="shared" si="2"/>
        <v/>
      </c>
      <c r="I16002" s="15" t="str">
        <f t="shared" si="3"/>
        <v/>
      </c>
    </row>
    <row r="16003">
      <c r="A16003" s="8" t="str">
        <f>IFERROR(__xludf.DUMMYFUNCTION("IF('(INGESTA)Datos_consumo_datadis'!A17568&lt;&gt;"""",SPLIT('(INGESTA)Datos_consumo_datadis'!A:A,"",""),"""")"),"")</f>
        <v/>
      </c>
      <c r="G16003" s="8" t="str">
        <f t="shared" si="1"/>
        <v/>
      </c>
      <c r="H16003" s="14" t="str">
        <f t="shared" si="2"/>
        <v/>
      </c>
      <c r="I16003" s="15" t="str">
        <f t="shared" si="3"/>
        <v/>
      </c>
    </row>
    <row r="16004">
      <c r="A16004" s="8" t="str">
        <f>IFERROR(__xludf.DUMMYFUNCTION("IF('(INGESTA)Datos_consumo_datadis'!A17569&lt;&gt;"""",SPLIT('(INGESTA)Datos_consumo_datadis'!A:A,"",""),"""")"),"")</f>
        <v/>
      </c>
      <c r="G16004" s="8" t="str">
        <f t="shared" si="1"/>
        <v/>
      </c>
      <c r="H16004" s="14" t="str">
        <f t="shared" si="2"/>
        <v/>
      </c>
      <c r="I16004" s="15" t="str">
        <f t="shared" si="3"/>
        <v/>
      </c>
    </row>
    <row r="16005">
      <c r="A16005" s="8" t="str">
        <f>IFERROR(__xludf.DUMMYFUNCTION("IF('(INGESTA)Datos_consumo_datadis'!A17570&lt;&gt;"""",SPLIT('(INGESTA)Datos_consumo_datadis'!A:A,"",""),"""")"),"")</f>
        <v/>
      </c>
      <c r="G16005" s="8" t="str">
        <f t="shared" si="1"/>
        <v/>
      </c>
      <c r="H16005" s="14" t="str">
        <f t="shared" si="2"/>
        <v/>
      </c>
      <c r="I16005" s="15" t="str">
        <f t="shared" si="3"/>
        <v/>
      </c>
    </row>
    <row r="16006">
      <c r="A16006" s="8" t="str">
        <f>IFERROR(__xludf.DUMMYFUNCTION("IF('(INGESTA)Datos_consumo_datadis'!A17571&lt;&gt;"""",SPLIT('(INGESTA)Datos_consumo_datadis'!A:A,"",""),"""")"),"")</f>
        <v/>
      </c>
      <c r="G16006" s="8" t="str">
        <f t="shared" si="1"/>
        <v/>
      </c>
      <c r="H16006" s="14" t="str">
        <f t="shared" si="2"/>
        <v/>
      </c>
      <c r="I16006" s="15" t="str">
        <f t="shared" si="3"/>
        <v/>
      </c>
    </row>
    <row r="16007">
      <c r="A16007" s="8" t="str">
        <f>IFERROR(__xludf.DUMMYFUNCTION("IF('(INGESTA)Datos_consumo_datadis'!A17572&lt;&gt;"""",SPLIT('(INGESTA)Datos_consumo_datadis'!A:A,"",""),"""")"),"")</f>
        <v/>
      </c>
      <c r="G16007" s="8" t="str">
        <f t="shared" si="1"/>
        <v/>
      </c>
      <c r="H16007" s="14" t="str">
        <f t="shared" si="2"/>
        <v/>
      </c>
      <c r="I16007" s="15" t="str">
        <f t="shared" si="3"/>
        <v/>
      </c>
    </row>
    <row r="16008">
      <c r="A16008" s="8" t="str">
        <f>IFERROR(__xludf.DUMMYFUNCTION("IF('(INGESTA)Datos_consumo_datadis'!A17573&lt;&gt;"""",SPLIT('(INGESTA)Datos_consumo_datadis'!A:A,"",""),"""")"),"")</f>
        <v/>
      </c>
      <c r="G16008" s="8" t="str">
        <f t="shared" si="1"/>
        <v/>
      </c>
      <c r="H16008" s="14" t="str">
        <f t="shared" si="2"/>
        <v/>
      </c>
      <c r="I16008" s="15" t="str">
        <f t="shared" si="3"/>
        <v/>
      </c>
    </row>
    <row r="16009">
      <c r="A16009" s="8" t="str">
        <f>IFERROR(__xludf.DUMMYFUNCTION("IF('(INGESTA)Datos_consumo_datadis'!A17574&lt;&gt;"""",SPLIT('(INGESTA)Datos_consumo_datadis'!A:A,"",""),"""")"),"")</f>
        <v/>
      </c>
      <c r="G16009" s="8" t="str">
        <f t="shared" si="1"/>
        <v/>
      </c>
      <c r="H16009" s="14" t="str">
        <f t="shared" si="2"/>
        <v/>
      </c>
      <c r="I16009" s="15" t="str">
        <f t="shared" si="3"/>
        <v/>
      </c>
    </row>
    <row r="16010">
      <c r="A16010" s="8" t="str">
        <f>IFERROR(__xludf.DUMMYFUNCTION("IF('(INGESTA)Datos_consumo_datadis'!A17575&lt;&gt;"""",SPLIT('(INGESTA)Datos_consumo_datadis'!A:A,"",""),"""")"),"")</f>
        <v/>
      </c>
      <c r="G16010" s="8" t="str">
        <f t="shared" si="1"/>
        <v/>
      </c>
      <c r="H16010" s="14" t="str">
        <f t="shared" si="2"/>
        <v/>
      </c>
      <c r="I16010" s="15" t="str">
        <f t="shared" si="3"/>
        <v/>
      </c>
    </row>
    <row r="16011">
      <c r="A16011" s="8" t="str">
        <f>IFERROR(__xludf.DUMMYFUNCTION("IF('(INGESTA)Datos_consumo_datadis'!A17576&lt;&gt;"""",SPLIT('(INGESTA)Datos_consumo_datadis'!A:A,"",""),"""")"),"")</f>
        <v/>
      </c>
      <c r="G16011" s="8" t="str">
        <f t="shared" si="1"/>
        <v/>
      </c>
      <c r="H16011" s="14" t="str">
        <f t="shared" si="2"/>
        <v/>
      </c>
      <c r="I16011" s="15" t="str">
        <f t="shared" si="3"/>
        <v/>
      </c>
    </row>
    <row r="16012">
      <c r="A16012" s="8" t="str">
        <f>IFERROR(__xludf.DUMMYFUNCTION("IF('(INGESTA)Datos_consumo_datadis'!A17577&lt;&gt;"""",SPLIT('(INGESTA)Datos_consumo_datadis'!A:A,"",""),"""")"),"")</f>
        <v/>
      </c>
      <c r="G16012" s="8" t="str">
        <f t="shared" si="1"/>
        <v/>
      </c>
      <c r="H16012" s="14" t="str">
        <f t="shared" si="2"/>
        <v/>
      </c>
      <c r="I16012" s="15" t="str">
        <f t="shared" si="3"/>
        <v/>
      </c>
    </row>
    <row r="16013">
      <c r="A16013" s="8" t="str">
        <f>IFERROR(__xludf.DUMMYFUNCTION("IF('(INGESTA)Datos_consumo_datadis'!A17578&lt;&gt;"""",SPLIT('(INGESTA)Datos_consumo_datadis'!A:A,"",""),"""")"),"")</f>
        <v/>
      </c>
      <c r="G16013" s="8" t="str">
        <f t="shared" si="1"/>
        <v/>
      </c>
      <c r="H16013" s="14" t="str">
        <f t="shared" si="2"/>
        <v/>
      </c>
      <c r="I16013" s="15" t="str">
        <f t="shared" si="3"/>
        <v/>
      </c>
    </row>
    <row r="16014">
      <c r="A16014" s="8" t="str">
        <f>IFERROR(__xludf.DUMMYFUNCTION("IF('(INGESTA)Datos_consumo_datadis'!A17579&lt;&gt;"""",SPLIT('(INGESTA)Datos_consumo_datadis'!A:A,"",""),"""")"),"")</f>
        <v/>
      </c>
      <c r="G16014" s="8" t="str">
        <f t="shared" si="1"/>
        <v/>
      </c>
      <c r="H16014" s="14" t="str">
        <f t="shared" si="2"/>
        <v/>
      </c>
      <c r="I16014" s="15" t="str">
        <f t="shared" si="3"/>
        <v/>
      </c>
    </row>
    <row r="16015">
      <c r="A16015" s="8" t="str">
        <f>IFERROR(__xludf.DUMMYFUNCTION("IF('(INGESTA)Datos_consumo_datadis'!A17580&lt;&gt;"""",SPLIT('(INGESTA)Datos_consumo_datadis'!A:A,"",""),"""")"),"")</f>
        <v/>
      </c>
      <c r="G16015" s="8" t="str">
        <f t="shared" si="1"/>
        <v/>
      </c>
      <c r="H16015" s="14" t="str">
        <f t="shared" si="2"/>
        <v/>
      </c>
      <c r="I16015" s="15" t="str">
        <f t="shared" si="3"/>
        <v/>
      </c>
    </row>
    <row r="16016">
      <c r="A16016" s="8" t="str">
        <f>IFERROR(__xludf.DUMMYFUNCTION("IF('(INGESTA)Datos_consumo_datadis'!A17581&lt;&gt;"""",SPLIT('(INGESTA)Datos_consumo_datadis'!A:A,"",""),"""")"),"")</f>
        <v/>
      </c>
      <c r="G16016" s="8" t="str">
        <f t="shared" si="1"/>
        <v/>
      </c>
      <c r="H16016" s="14" t="str">
        <f t="shared" si="2"/>
        <v/>
      </c>
      <c r="I16016" s="15" t="str">
        <f t="shared" si="3"/>
        <v/>
      </c>
    </row>
    <row r="16017">
      <c r="A16017" s="8" t="str">
        <f>IFERROR(__xludf.DUMMYFUNCTION("IF('(INGESTA)Datos_consumo_datadis'!A17582&lt;&gt;"""",SPLIT('(INGESTA)Datos_consumo_datadis'!A:A,"",""),"""")"),"")</f>
        <v/>
      </c>
      <c r="G16017" s="8" t="str">
        <f t="shared" si="1"/>
        <v/>
      </c>
      <c r="H16017" s="14" t="str">
        <f t="shared" si="2"/>
        <v/>
      </c>
      <c r="I16017" s="15" t="str">
        <f t="shared" si="3"/>
        <v/>
      </c>
    </row>
    <row r="16018">
      <c r="A16018" s="8" t="str">
        <f>IFERROR(__xludf.DUMMYFUNCTION("IF('(INGESTA)Datos_consumo_datadis'!A17583&lt;&gt;"""",SPLIT('(INGESTA)Datos_consumo_datadis'!A:A,"",""),"""")"),"")</f>
        <v/>
      </c>
      <c r="G16018" s="8" t="str">
        <f t="shared" si="1"/>
        <v/>
      </c>
      <c r="H16018" s="14" t="str">
        <f t="shared" si="2"/>
        <v/>
      </c>
      <c r="I16018" s="15" t="str">
        <f t="shared" si="3"/>
        <v/>
      </c>
    </row>
    <row r="16019">
      <c r="A16019" s="8" t="str">
        <f>IFERROR(__xludf.DUMMYFUNCTION("IF('(INGESTA)Datos_consumo_datadis'!A17584&lt;&gt;"""",SPLIT('(INGESTA)Datos_consumo_datadis'!A:A,"",""),"""")"),"")</f>
        <v/>
      </c>
      <c r="G16019" s="8" t="str">
        <f t="shared" si="1"/>
        <v/>
      </c>
      <c r="H16019" s="14" t="str">
        <f t="shared" si="2"/>
        <v/>
      </c>
      <c r="I16019" s="15" t="str">
        <f t="shared" si="3"/>
        <v/>
      </c>
    </row>
    <row r="16020">
      <c r="A16020" s="8" t="str">
        <f>IFERROR(__xludf.DUMMYFUNCTION("IF('(INGESTA)Datos_consumo_datadis'!A17585&lt;&gt;"""",SPLIT('(INGESTA)Datos_consumo_datadis'!A:A,"",""),"""")"),"")</f>
        <v/>
      </c>
      <c r="G16020" s="8" t="str">
        <f t="shared" si="1"/>
        <v/>
      </c>
      <c r="H16020" s="14" t="str">
        <f t="shared" si="2"/>
        <v/>
      </c>
      <c r="I16020" s="15" t="str">
        <f t="shared" si="3"/>
        <v/>
      </c>
    </row>
    <row r="16021">
      <c r="A16021" s="8" t="str">
        <f>IFERROR(__xludf.DUMMYFUNCTION("IF('(INGESTA)Datos_consumo_datadis'!A17586&lt;&gt;"""",SPLIT('(INGESTA)Datos_consumo_datadis'!A:A,"",""),"""")"),"")</f>
        <v/>
      </c>
      <c r="G16021" s="8" t="str">
        <f t="shared" si="1"/>
        <v/>
      </c>
      <c r="H16021" s="14" t="str">
        <f t="shared" si="2"/>
        <v/>
      </c>
      <c r="I16021" s="15" t="str">
        <f t="shared" si="3"/>
        <v/>
      </c>
    </row>
    <row r="16022">
      <c r="A16022" s="8" t="str">
        <f>IFERROR(__xludf.DUMMYFUNCTION("IF('(INGESTA)Datos_consumo_datadis'!A17587&lt;&gt;"""",SPLIT('(INGESTA)Datos_consumo_datadis'!A:A,"",""),"""")"),"")</f>
        <v/>
      </c>
      <c r="G16022" s="8" t="str">
        <f t="shared" si="1"/>
        <v/>
      </c>
      <c r="H16022" s="14" t="str">
        <f t="shared" si="2"/>
        <v/>
      </c>
      <c r="I16022" s="15" t="str">
        <f t="shared" si="3"/>
        <v/>
      </c>
    </row>
    <row r="16023">
      <c r="A16023" s="8" t="str">
        <f>IFERROR(__xludf.DUMMYFUNCTION("IF('(INGESTA)Datos_consumo_datadis'!A17588&lt;&gt;"""",SPLIT('(INGESTA)Datos_consumo_datadis'!A:A,"",""),"""")"),"")</f>
        <v/>
      </c>
      <c r="G16023" s="8" t="str">
        <f t="shared" si="1"/>
        <v/>
      </c>
      <c r="H16023" s="14" t="str">
        <f t="shared" si="2"/>
        <v/>
      </c>
      <c r="I16023" s="15" t="str">
        <f t="shared" si="3"/>
        <v/>
      </c>
    </row>
    <row r="16024">
      <c r="A16024" s="8" t="str">
        <f>IFERROR(__xludf.DUMMYFUNCTION("IF('(INGESTA)Datos_consumo_datadis'!A17589&lt;&gt;"""",SPLIT('(INGESTA)Datos_consumo_datadis'!A:A,"",""),"""")"),"")</f>
        <v/>
      </c>
      <c r="G16024" s="8" t="str">
        <f t="shared" si="1"/>
        <v/>
      </c>
      <c r="H16024" s="14" t="str">
        <f t="shared" si="2"/>
        <v/>
      </c>
      <c r="I16024" s="15" t="str">
        <f t="shared" si="3"/>
        <v/>
      </c>
    </row>
    <row r="16025">
      <c r="A16025" s="8" t="str">
        <f>IFERROR(__xludf.DUMMYFUNCTION("IF('(INGESTA)Datos_consumo_datadis'!A17590&lt;&gt;"""",SPLIT('(INGESTA)Datos_consumo_datadis'!A:A,"",""),"""")"),"")</f>
        <v/>
      </c>
      <c r="G16025" s="8" t="str">
        <f t="shared" si="1"/>
        <v/>
      </c>
      <c r="H16025" s="14" t="str">
        <f t="shared" si="2"/>
        <v/>
      </c>
      <c r="I16025" s="15" t="str">
        <f t="shared" si="3"/>
        <v/>
      </c>
    </row>
    <row r="16026">
      <c r="A16026" s="8" t="str">
        <f>IFERROR(__xludf.DUMMYFUNCTION("IF('(INGESTA)Datos_consumo_datadis'!A17591&lt;&gt;"""",SPLIT('(INGESTA)Datos_consumo_datadis'!A:A,"",""),"""")"),"")</f>
        <v/>
      </c>
      <c r="G16026" s="8" t="str">
        <f t="shared" si="1"/>
        <v/>
      </c>
      <c r="H16026" s="14" t="str">
        <f t="shared" si="2"/>
        <v/>
      </c>
      <c r="I16026" s="15" t="str">
        <f t="shared" si="3"/>
        <v/>
      </c>
    </row>
    <row r="16027">
      <c r="A16027" s="8" t="str">
        <f>IFERROR(__xludf.DUMMYFUNCTION("IF('(INGESTA)Datos_consumo_datadis'!A17592&lt;&gt;"""",SPLIT('(INGESTA)Datos_consumo_datadis'!A:A,"",""),"""")"),"")</f>
        <v/>
      </c>
      <c r="G16027" s="8" t="str">
        <f t="shared" si="1"/>
        <v/>
      </c>
      <c r="H16027" s="14" t="str">
        <f t="shared" si="2"/>
        <v/>
      </c>
      <c r="I16027" s="15" t="str">
        <f t="shared" si="3"/>
        <v/>
      </c>
    </row>
    <row r="16028">
      <c r="A16028" s="8" t="str">
        <f>IFERROR(__xludf.DUMMYFUNCTION("IF('(INGESTA)Datos_consumo_datadis'!A17593&lt;&gt;"""",SPLIT('(INGESTA)Datos_consumo_datadis'!A:A,"",""),"""")"),"")</f>
        <v/>
      </c>
      <c r="G16028" s="8" t="str">
        <f t="shared" si="1"/>
        <v/>
      </c>
      <c r="H16028" s="14" t="str">
        <f t="shared" si="2"/>
        <v/>
      </c>
      <c r="I16028" s="15" t="str">
        <f t="shared" si="3"/>
        <v/>
      </c>
    </row>
    <row r="16029">
      <c r="A16029" s="8" t="str">
        <f>IFERROR(__xludf.DUMMYFUNCTION("IF('(INGESTA)Datos_consumo_datadis'!A17594&lt;&gt;"""",SPLIT('(INGESTA)Datos_consumo_datadis'!A:A,"",""),"""")"),"")</f>
        <v/>
      </c>
      <c r="G16029" s="8" t="str">
        <f t="shared" si="1"/>
        <v/>
      </c>
      <c r="H16029" s="14" t="str">
        <f t="shared" si="2"/>
        <v/>
      </c>
      <c r="I16029" s="15" t="str">
        <f t="shared" si="3"/>
        <v/>
      </c>
    </row>
    <row r="16030">
      <c r="A16030" s="8" t="str">
        <f>IFERROR(__xludf.DUMMYFUNCTION("IF('(INGESTA)Datos_consumo_datadis'!A17595&lt;&gt;"""",SPLIT('(INGESTA)Datos_consumo_datadis'!A:A,"",""),"""")"),"")</f>
        <v/>
      </c>
      <c r="G16030" s="8" t="str">
        <f t="shared" si="1"/>
        <v/>
      </c>
      <c r="H16030" s="14" t="str">
        <f t="shared" si="2"/>
        <v/>
      </c>
      <c r="I16030" s="15" t="str">
        <f t="shared" si="3"/>
        <v/>
      </c>
    </row>
    <row r="16031">
      <c r="A16031" s="8" t="str">
        <f>IFERROR(__xludf.DUMMYFUNCTION("IF('(INGESTA)Datos_consumo_datadis'!A17596&lt;&gt;"""",SPLIT('(INGESTA)Datos_consumo_datadis'!A:A,"",""),"""")"),"")</f>
        <v/>
      </c>
      <c r="G16031" s="8" t="str">
        <f t="shared" si="1"/>
        <v/>
      </c>
      <c r="H16031" s="14" t="str">
        <f t="shared" si="2"/>
        <v/>
      </c>
      <c r="I16031" s="15" t="str">
        <f t="shared" si="3"/>
        <v/>
      </c>
    </row>
    <row r="16032">
      <c r="A16032" s="8" t="str">
        <f>IFERROR(__xludf.DUMMYFUNCTION("IF('(INGESTA)Datos_consumo_datadis'!A17597&lt;&gt;"""",SPLIT('(INGESTA)Datos_consumo_datadis'!A:A,"",""),"""")"),"")</f>
        <v/>
      </c>
      <c r="G16032" s="8" t="str">
        <f t="shared" si="1"/>
        <v/>
      </c>
      <c r="H16032" s="14" t="str">
        <f t="shared" si="2"/>
        <v/>
      </c>
      <c r="I16032" s="15" t="str">
        <f t="shared" si="3"/>
        <v/>
      </c>
    </row>
    <row r="16033">
      <c r="A16033" s="8" t="str">
        <f>IFERROR(__xludf.DUMMYFUNCTION("IF('(INGESTA)Datos_consumo_datadis'!A17598&lt;&gt;"""",SPLIT('(INGESTA)Datos_consumo_datadis'!A:A,"",""),"""")"),"")</f>
        <v/>
      </c>
      <c r="G16033" s="8" t="str">
        <f t="shared" si="1"/>
        <v/>
      </c>
      <c r="H16033" s="14" t="str">
        <f t="shared" si="2"/>
        <v/>
      </c>
      <c r="I16033" s="15" t="str">
        <f t="shared" si="3"/>
        <v/>
      </c>
    </row>
    <row r="16034">
      <c r="A16034" s="8" t="str">
        <f>IFERROR(__xludf.DUMMYFUNCTION("IF('(INGESTA)Datos_consumo_datadis'!A17599&lt;&gt;"""",SPLIT('(INGESTA)Datos_consumo_datadis'!A:A,"",""),"""")"),"")</f>
        <v/>
      </c>
      <c r="G16034" s="8" t="str">
        <f t="shared" si="1"/>
        <v/>
      </c>
      <c r="H16034" s="14" t="str">
        <f t="shared" si="2"/>
        <v/>
      </c>
      <c r="I16034" s="15" t="str">
        <f t="shared" si="3"/>
        <v/>
      </c>
    </row>
    <row r="16035">
      <c r="A16035" s="8" t="str">
        <f>IFERROR(__xludf.DUMMYFUNCTION("IF('(INGESTA)Datos_consumo_datadis'!A17600&lt;&gt;"""",SPLIT('(INGESTA)Datos_consumo_datadis'!A:A,"",""),"""")"),"")</f>
        <v/>
      </c>
      <c r="G16035" s="8" t="str">
        <f t="shared" si="1"/>
        <v/>
      </c>
      <c r="H16035" s="14" t="str">
        <f t="shared" si="2"/>
        <v/>
      </c>
      <c r="I16035" s="15" t="str">
        <f t="shared" si="3"/>
        <v/>
      </c>
    </row>
    <row r="16036">
      <c r="A16036" s="8" t="str">
        <f>IFERROR(__xludf.DUMMYFUNCTION("IF('(INGESTA)Datos_consumo_datadis'!A17601&lt;&gt;"""",SPLIT('(INGESTA)Datos_consumo_datadis'!A:A,"",""),"""")"),"")</f>
        <v/>
      </c>
      <c r="G16036" s="8" t="str">
        <f t="shared" si="1"/>
        <v/>
      </c>
      <c r="H16036" s="14" t="str">
        <f t="shared" si="2"/>
        <v/>
      </c>
      <c r="I16036" s="15" t="str">
        <f t="shared" si="3"/>
        <v/>
      </c>
    </row>
    <row r="16037">
      <c r="A16037" s="8" t="str">
        <f>IFERROR(__xludf.DUMMYFUNCTION("IF('(INGESTA)Datos_consumo_datadis'!A17602&lt;&gt;"""",SPLIT('(INGESTA)Datos_consumo_datadis'!A:A,"",""),"""")"),"")</f>
        <v/>
      </c>
      <c r="G16037" s="8" t="str">
        <f t="shared" si="1"/>
        <v/>
      </c>
      <c r="H16037" s="14" t="str">
        <f t="shared" si="2"/>
        <v/>
      </c>
      <c r="I16037" s="15" t="str">
        <f t="shared" si="3"/>
        <v/>
      </c>
    </row>
    <row r="16038">
      <c r="A16038" s="8" t="str">
        <f>IFERROR(__xludf.DUMMYFUNCTION("IF('(INGESTA)Datos_consumo_datadis'!A17603&lt;&gt;"""",SPLIT('(INGESTA)Datos_consumo_datadis'!A:A,"",""),"""")"),"")</f>
        <v/>
      </c>
      <c r="G16038" s="8" t="str">
        <f t="shared" si="1"/>
        <v/>
      </c>
      <c r="H16038" s="14" t="str">
        <f t="shared" si="2"/>
        <v/>
      </c>
      <c r="I16038" s="15" t="str">
        <f t="shared" si="3"/>
        <v/>
      </c>
    </row>
    <row r="16039">
      <c r="A16039" s="8" t="str">
        <f>IFERROR(__xludf.DUMMYFUNCTION("IF('(INGESTA)Datos_consumo_datadis'!A17604&lt;&gt;"""",SPLIT('(INGESTA)Datos_consumo_datadis'!A:A,"",""),"""")"),"")</f>
        <v/>
      </c>
      <c r="G16039" s="8" t="str">
        <f t="shared" si="1"/>
        <v/>
      </c>
      <c r="H16039" s="14" t="str">
        <f t="shared" si="2"/>
        <v/>
      </c>
      <c r="I16039" s="15" t="str">
        <f t="shared" si="3"/>
        <v/>
      </c>
    </row>
    <row r="16040">
      <c r="A16040" s="8" t="str">
        <f>IFERROR(__xludf.DUMMYFUNCTION("IF('(INGESTA)Datos_consumo_datadis'!A17605&lt;&gt;"""",SPLIT('(INGESTA)Datos_consumo_datadis'!A:A,"",""),"""")"),"")</f>
        <v/>
      </c>
      <c r="G16040" s="8" t="str">
        <f t="shared" si="1"/>
        <v/>
      </c>
      <c r="H16040" s="14" t="str">
        <f t="shared" si="2"/>
        <v/>
      </c>
      <c r="I16040" s="15" t="str">
        <f t="shared" si="3"/>
        <v/>
      </c>
    </row>
    <row r="16041">
      <c r="A16041" s="8" t="str">
        <f>IFERROR(__xludf.DUMMYFUNCTION("IF('(INGESTA)Datos_consumo_datadis'!A17606&lt;&gt;"""",SPLIT('(INGESTA)Datos_consumo_datadis'!A:A,"",""),"""")"),"")</f>
        <v/>
      </c>
      <c r="G16041" s="8" t="str">
        <f t="shared" si="1"/>
        <v/>
      </c>
      <c r="H16041" s="14" t="str">
        <f t="shared" si="2"/>
        <v/>
      </c>
      <c r="I16041" s="15" t="str">
        <f t="shared" si="3"/>
        <v/>
      </c>
    </row>
    <row r="16042">
      <c r="A16042" s="8" t="str">
        <f>IFERROR(__xludf.DUMMYFUNCTION("IF('(INGESTA)Datos_consumo_datadis'!A17607&lt;&gt;"""",SPLIT('(INGESTA)Datos_consumo_datadis'!A:A,"",""),"""")"),"")</f>
        <v/>
      </c>
      <c r="G16042" s="8" t="str">
        <f t="shared" si="1"/>
        <v/>
      </c>
      <c r="H16042" s="14" t="str">
        <f t="shared" si="2"/>
        <v/>
      </c>
      <c r="I16042" s="15" t="str">
        <f t="shared" si="3"/>
        <v/>
      </c>
    </row>
    <row r="16043">
      <c r="A16043" s="8" t="str">
        <f>IFERROR(__xludf.DUMMYFUNCTION("IF('(INGESTA)Datos_consumo_datadis'!A17608&lt;&gt;"""",SPLIT('(INGESTA)Datos_consumo_datadis'!A:A,"",""),"""")"),"")</f>
        <v/>
      </c>
      <c r="G16043" s="8" t="str">
        <f t="shared" si="1"/>
        <v/>
      </c>
      <c r="H16043" s="14" t="str">
        <f t="shared" si="2"/>
        <v/>
      </c>
      <c r="I16043" s="15" t="str">
        <f t="shared" si="3"/>
        <v/>
      </c>
    </row>
    <row r="16044">
      <c r="A16044" s="8" t="str">
        <f>IFERROR(__xludf.DUMMYFUNCTION("IF('(INGESTA)Datos_consumo_datadis'!A17609&lt;&gt;"""",SPLIT('(INGESTA)Datos_consumo_datadis'!A:A,"",""),"""")"),"")</f>
        <v/>
      </c>
      <c r="G16044" s="8" t="str">
        <f t="shared" si="1"/>
        <v/>
      </c>
      <c r="H16044" s="14" t="str">
        <f t="shared" si="2"/>
        <v/>
      </c>
      <c r="I16044" s="15" t="str">
        <f t="shared" si="3"/>
        <v/>
      </c>
    </row>
    <row r="16045">
      <c r="A16045" s="8" t="str">
        <f>IFERROR(__xludf.DUMMYFUNCTION("IF('(INGESTA)Datos_consumo_datadis'!A17610&lt;&gt;"""",SPLIT('(INGESTA)Datos_consumo_datadis'!A:A,"",""),"""")"),"")</f>
        <v/>
      </c>
      <c r="G16045" s="8" t="str">
        <f t="shared" si="1"/>
        <v/>
      </c>
      <c r="H16045" s="14" t="str">
        <f t="shared" si="2"/>
        <v/>
      </c>
      <c r="I16045" s="15" t="str">
        <f t="shared" si="3"/>
        <v/>
      </c>
    </row>
    <row r="16046">
      <c r="A16046" s="8" t="str">
        <f>IFERROR(__xludf.DUMMYFUNCTION("IF('(INGESTA)Datos_consumo_datadis'!A17611&lt;&gt;"""",SPLIT('(INGESTA)Datos_consumo_datadis'!A:A,"",""),"""")"),"")</f>
        <v/>
      </c>
      <c r="G16046" s="8" t="str">
        <f t="shared" si="1"/>
        <v/>
      </c>
      <c r="H16046" s="14" t="str">
        <f t="shared" si="2"/>
        <v/>
      </c>
      <c r="I16046" s="15" t="str">
        <f t="shared" si="3"/>
        <v/>
      </c>
    </row>
    <row r="16047">
      <c r="A16047" s="8" t="str">
        <f>IFERROR(__xludf.DUMMYFUNCTION("IF('(INGESTA)Datos_consumo_datadis'!A17612&lt;&gt;"""",SPLIT('(INGESTA)Datos_consumo_datadis'!A:A,"",""),"""")"),"")</f>
        <v/>
      </c>
      <c r="G16047" s="8" t="str">
        <f t="shared" si="1"/>
        <v/>
      </c>
      <c r="H16047" s="14" t="str">
        <f t="shared" si="2"/>
        <v/>
      </c>
      <c r="I16047" s="15" t="str">
        <f t="shared" si="3"/>
        <v/>
      </c>
    </row>
    <row r="16048">
      <c r="A16048" s="8" t="str">
        <f>IFERROR(__xludf.DUMMYFUNCTION("IF('(INGESTA)Datos_consumo_datadis'!A17613&lt;&gt;"""",SPLIT('(INGESTA)Datos_consumo_datadis'!A:A,"",""),"""")"),"")</f>
        <v/>
      </c>
      <c r="G16048" s="8" t="str">
        <f t="shared" si="1"/>
        <v/>
      </c>
      <c r="H16048" s="14" t="str">
        <f t="shared" si="2"/>
        <v/>
      </c>
      <c r="I16048" s="15" t="str">
        <f t="shared" si="3"/>
        <v/>
      </c>
    </row>
    <row r="16049">
      <c r="A16049" s="8" t="str">
        <f>IFERROR(__xludf.DUMMYFUNCTION("IF('(INGESTA)Datos_consumo_datadis'!A17614&lt;&gt;"""",SPLIT('(INGESTA)Datos_consumo_datadis'!A:A,"",""),"""")"),"")</f>
        <v/>
      </c>
      <c r="G16049" s="8" t="str">
        <f t="shared" si="1"/>
        <v/>
      </c>
      <c r="H16049" s="14" t="str">
        <f t="shared" si="2"/>
        <v/>
      </c>
      <c r="I16049" s="15" t="str">
        <f t="shared" si="3"/>
        <v/>
      </c>
    </row>
    <row r="16050">
      <c r="A16050" s="8" t="str">
        <f>IFERROR(__xludf.DUMMYFUNCTION("IF('(INGESTA)Datos_consumo_datadis'!A17615&lt;&gt;"""",SPLIT('(INGESTA)Datos_consumo_datadis'!A:A,"",""),"""")"),"")</f>
        <v/>
      </c>
      <c r="G16050" s="8" t="str">
        <f t="shared" si="1"/>
        <v/>
      </c>
      <c r="H16050" s="14" t="str">
        <f t="shared" si="2"/>
        <v/>
      </c>
      <c r="I16050" s="15" t="str">
        <f t="shared" si="3"/>
        <v/>
      </c>
    </row>
    <row r="16051">
      <c r="A16051" s="8" t="str">
        <f>IFERROR(__xludf.DUMMYFUNCTION("IF('(INGESTA)Datos_consumo_datadis'!A17616&lt;&gt;"""",SPLIT('(INGESTA)Datos_consumo_datadis'!A:A,"",""),"""")"),"")</f>
        <v/>
      </c>
      <c r="G16051" s="8" t="str">
        <f t="shared" si="1"/>
        <v/>
      </c>
      <c r="H16051" s="14" t="str">
        <f t="shared" si="2"/>
        <v/>
      </c>
      <c r="I16051" s="15" t="str">
        <f t="shared" si="3"/>
        <v/>
      </c>
    </row>
    <row r="16052">
      <c r="A16052" s="8" t="str">
        <f>IFERROR(__xludf.DUMMYFUNCTION("IF('(INGESTA)Datos_consumo_datadis'!A17617&lt;&gt;"""",SPLIT('(INGESTA)Datos_consumo_datadis'!A:A,"",""),"""")"),"")</f>
        <v/>
      </c>
      <c r="G16052" s="8" t="str">
        <f t="shared" si="1"/>
        <v/>
      </c>
      <c r="H16052" s="14" t="str">
        <f t="shared" si="2"/>
        <v/>
      </c>
      <c r="I16052" s="15" t="str">
        <f t="shared" si="3"/>
        <v/>
      </c>
    </row>
    <row r="16053">
      <c r="A16053" s="8" t="str">
        <f>IFERROR(__xludf.DUMMYFUNCTION("IF('(INGESTA)Datos_consumo_datadis'!A17618&lt;&gt;"""",SPLIT('(INGESTA)Datos_consumo_datadis'!A:A,"",""),"""")"),"")</f>
        <v/>
      </c>
      <c r="G16053" s="8" t="str">
        <f t="shared" si="1"/>
        <v/>
      </c>
      <c r="H16053" s="14" t="str">
        <f t="shared" si="2"/>
        <v/>
      </c>
      <c r="I16053" s="15" t="str">
        <f t="shared" si="3"/>
        <v/>
      </c>
    </row>
    <row r="16054">
      <c r="A16054" s="8" t="str">
        <f>IFERROR(__xludf.DUMMYFUNCTION("IF('(INGESTA)Datos_consumo_datadis'!A17619&lt;&gt;"""",SPLIT('(INGESTA)Datos_consumo_datadis'!A:A,"",""),"""")"),"")</f>
        <v/>
      </c>
      <c r="G16054" s="8" t="str">
        <f t="shared" si="1"/>
        <v/>
      </c>
      <c r="H16054" s="14" t="str">
        <f t="shared" si="2"/>
        <v/>
      </c>
      <c r="I16054" s="15" t="str">
        <f t="shared" si="3"/>
        <v/>
      </c>
    </row>
    <row r="16055">
      <c r="A16055" s="8" t="str">
        <f>IFERROR(__xludf.DUMMYFUNCTION("IF('(INGESTA)Datos_consumo_datadis'!A17620&lt;&gt;"""",SPLIT('(INGESTA)Datos_consumo_datadis'!A:A,"",""),"""")"),"")</f>
        <v/>
      </c>
      <c r="G16055" s="8" t="str">
        <f t="shared" si="1"/>
        <v/>
      </c>
      <c r="H16055" s="14" t="str">
        <f t="shared" si="2"/>
        <v/>
      </c>
      <c r="I16055" s="15" t="str">
        <f t="shared" si="3"/>
        <v/>
      </c>
    </row>
    <row r="16056">
      <c r="A16056" s="8" t="str">
        <f>IFERROR(__xludf.DUMMYFUNCTION("IF('(INGESTA)Datos_consumo_datadis'!A17621&lt;&gt;"""",SPLIT('(INGESTA)Datos_consumo_datadis'!A:A,"",""),"""")"),"")</f>
        <v/>
      </c>
      <c r="G16056" s="8" t="str">
        <f t="shared" si="1"/>
        <v/>
      </c>
      <c r="H16056" s="14" t="str">
        <f t="shared" si="2"/>
        <v/>
      </c>
      <c r="I16056" s="15" t="str">
        <f t="shared" si="3"/>
        <v/>
      </c>
    </row>
    <row r="16057">
      <c r="A16057" s="8" t="str">
        <f>IFERROR(__xludf.DUMMYFUNCTION("IF('(INGESTA)Datos_consumo_datadis'!A17622&lt;&gt;"""",SPLIT('(INGESTA)Datos_consumo_datadis'!A:A,"",""),"""")"),"")</f>
        <v/>
      </c>
      <c r="G16057" s="8" t="str">
        <f t="shared" si="1"/>
        <v/>
      </c>
      <c r="H16057" s="14" t="str">
        <f t="shared" si="2"/>
        <v/>
      </c>
      <c r="I16057" s="15" t="str">
        <f t="shared" si="3"/>
        <v/>
      </c>
    </row>
    <row r="16058">
      <c r="A16058" s="8" t="str">
        <f>IFERROR(__xludf.DUMMYFUNCTION("IF('(INGESTA)Datos_consumo_datadis'!A17623&lt;&gt;"""",SPLIT('(INGESTA)Datos_consumo_datadis'!A:A,"",""),"""")"),"")</f>
        <v/>
      </c>
      <c r="G16058" s="8" t="str">
        <f t="shared" si="1"/>
        <v/>
      </c>
      <c r="H16058" s="14" t="str">
        <f t="shared" si="2"/>
        <v/>
      </c>
      <c r="I16058" s="15" t="str">
        <f t="shared" si="3"/>
        <v/>
      </c>
    </row>
    <row r="16059">
      <c r="A16059" s="8" t="str">
        <f>IFERROR(__xludf.DUMMYFUNCTION("IF('(INGESTA)Datos_consumo_datadis'!A17624&lt;&gt;"""",SPLIT('(INGESTA)Datos_consumo_datadis'!A:A,"",""),"""")"),"")</f>
        <v/>
      </c>
      <c r="G16059" s="8" t="str">
        <f t="shared" si="1"/>
        <v/>
      </c>
      <c r="H16059" s="14" t="str">
        <f t="shared" si="2"/>
        <v/>
      </c>
      <c r="I16059" s="15" t="str">
        <f t="shared" si="3"/>
        <v/>
      </c>
    </row>
    <row r="16060">
      <c r="A16060" s="8" t="str">
        <f>IFERROR(__xludf.DUMMYFUNCTION("IF('(INGESTA)Datos_consumo_datadis'!A17625&lt;&gt;"""",SPLIT('(INGESTA)Datos_consumo_datadis'!A:A,"",""),"""")"),"")</f>
        <v/>
      </c>
      <c r="G16060" s="8" t="str">
        <f t="shared" si="1"/>
        <v/>
      </c>
      <c r="H16060" s="14" t="str">
        <f t="shared" si="2"/>
        <v/>
      </c>
      <c r="I16060" s="15" t="str">
        <f t="shared" si="3"/>
        <v/>
      </c>
    </row>
    <row r="16061">
      <c r="A16061" s="8" t="str">
        <f>IFERROR(__xludf.DUMMYFUNCTION("IF('(INGESTA)Datos_consumo_datadis'!A17626&lt;&gt;"""",SPLIT('(INGESTA)Datos_consumo_datadis'!A:A,"",""),"""")"),"")</f>
        <v/>
      </c>
      <c r="G16061" s="8" t="str">
        <f t="shared" si="1"/>
        <v/>
      </c>
      <c r="H16061" s="14" t="str">
        <f t="shared" si="2"/>
        <v/>
      </c>
      <c r="I16061" s="15" t="str">
        <f t="shared" si="3"/>
        <v/>
      </c>
    </row>
    <row r="16062">
      <c r="A16062" s="8" t="str">
        <f>IFERROR(__xludf.DUMMYFUNCTION("IF('(INGESTA)Datos_consumo_datadis'!A17627&lt;&gt;"""",SPLIT('(INGESTA)Datos_consumo_datadis'!A:A,"",""),"""")"),"")</f>
        <v/>
      </c>
      <c r="G16062" s="8" t="str">
        <f t="shared" si="1"/>
        <v/>
      </c>
      <c r="H16062" s="14" t="str">
        <f t="shared" si="2"/>
        <v/>
      </c>
      <c r="I16062" s="15" t="str">
        <f t="shared" si="3"/>
        <v/>
      </c>
    </row>
    <row r="16063">
      <c r="A16063" s="8" t="str">
        <f>IFERROR(__xludf.DUMMYFUNCTION("IF('(INGESTA)Datos_consumo_datadis'!A17628&lt;&gt;"""",SPLIT('(INGESTA)Datos_consumo_datadis'!A:A,"",""),"""")"),"")</f>
        <v/>
      </c>
      <c r="G16063" s="8" t="str">
        <f t="shared" si="1"/>
        <v/>
      </c>
      <c r="H16063" s="14" t="str">
        <f t="shared" si="2"/>
        <v/>
      </c>
      <c r="I16063" s="15" t="str">
        <f t="shared" si="3"/>
        <v/>
      </c>
    </row>
    <row r="16064">
      <c r="A16064" s="8" t="str">
        <f>IFERROR(__xludf.DUMMYFUNCTION("IF('(INGESTA)Datos_consumo_datadis'!A17629&lt;&gt;"""",SPLIT('(INGESTA)Datos_consumo_datadis'!A:A,"",""),"""")"),"")</f>
        <v/>
      </c>
      <c r="G16064" s="8" t="str">
        <f t="shared" si="1"/>
        <v/>
      </c>
      <c r="H16064" s="14" t="str">
        <f t="shared" si="2"/>
        <v/>
      </c>
      <c r="I16064" s="15" t="str">
        <f t="shared" si="3"/>
        <v/>
      </c>
    </row>
    <row r="16065">
      <c r="A16065" s="8" t="str">
        <f>IFERROR(__xludf.DUMMYFUNCTION("IF('(INGESTA)Datos_consumo_datadis'!A17630&lt;&gt;"""",SPLIT('(INGESTA)Datos_consumo_datadis'!A:A,"",""),"""")"),"")</f>
        <v/>
      </c>
      <c r="G16065" s="8" t="str">
        <f t="shared" si="1"/>
        <v/>
      </c>
      <c r="H16065" s="14" t="str">
        <f t="shared" si="2"/>
        <v/>
      </c>
      <c r="I16065" s="15" t="str">
        <f t="shared" si="3"/>
        <v/>
      </c>
    </row>
    <row r="16066">
      <c r="A16066" s="8" t="str">
        <f>IFERROR(__xludf.DUMMYFUNCTION("IF('(INGESTA)Datos_consumo_datadis'!A17631&lt;&gt;"""",SPLIT('(INGESTA)Datos_consumo_datadis'!A:A,"",""),"""")"),"")</f>
        <v/>
      </c>
      <c r="G16066" s="8" t="str">
        <f t="shared" si="1"/>
        <v/>
      </c>
      <c r="H16066" s="14" t="str">
        <f t="shared" si="2"/>
        <v/>
      </c>
      <c r="I16066" s="15" t="str">
        <f t="shared" si="3"/>
        <v/>
      </c>
    </row>
    <row r="16067">
      <c r="A16067" s="8" t="str">
        <f>IFERROR(__xludf.DUMMYFUNCTION("IF('(INGESTA)Datos_consumo_datadis'!A17632&lt;&gt;"""",SPLIT('(INGESTA)Datos_consumo_datadis'!A:A,"",""),"""")"),"")</f>
        <v/>
      </c>
      <c r="G16067" s="8" t="str">
        <f t="shared" si="1"/>
        <v/>
      </c>
      <c r="H16067" s="14" t="str">
        <f t="shared" si="2"/>
        <v/>
      </c>
      <c r="I16067" s="15" t="str">
        <f t="shared" si="3"/>
        <v/>
      </c>
    </row>
    <row r="16068">
      <c r="A16068" s="8" t="str">
        <f>IFERROR(__xludf.DUMMYFUNCTION("IF('(INGESTA)Datos_consumo_datadis'!A17633&lt;&gt;"""",SPLIT('(INGESTA)Datos_consumo_datadis'!A:A,"",""),"""")"),"")</f>
        <v/>
      </c>
      <c r="G16068" s="8" t="str">
        <f t="shared" si="1"/>
        <v/>
      </c>
      <c r="H16068" s="14" t="str">
        <f t="shared" si="2"/>
        <v/>
      </c>
      <c r="I16068" s="15" t="str">
        <f t="shared" si="3"/>
        <v/>
      </c>
    </row>
    <row r="16069">
      <c r="A16069" s="8" t="str">
        <f>IFERROR(__xludf.DUMMYFUNCTION("IF('(INGESTA)Datos_consumo_datadis'!A17634&lt;&gt;"""",SPLIT('(INGESTA)Datos_consumo_datadis'!A:A,"",""),"""")"),"")</f>
        <v/>
      </c>
      <c r="G16069" s="8" t="str">
        <f t="shared" si="1"/>
        <v/>
      </c>
      <c r="H16069" s="14" t="str">
        <f t="shared" si="2"/>
        <v/>
      </c>
      <c r="I16069" s="15" t="str">
        <f t="shared" si="3"/>
        <v/>
      </c>
    </row>
    <row r="16070">
      <c r="A16070" s="8" t="str">
        <f>IFERROR(__xludf.DUMMYFUNCTION("IF('(INGESTA)Datos_consumo_datadis'!A17635&lt;&gt;"""",SPLIT('(INGESTA)Datos_consumo_datadis'!A:A,"",""),"""")"),"")</f>
        <v/>
      </c>
      <c r="G16070" s="8" t="str">
        <f t="shared" si="1"/>
        <v/>
      </c>
      <c r="H16070" s="14" t="str">
        <f t="shared" si="2"/>
        <v/>
      </c>
      <c r="I16070" s="15" t="str">
        <f t="shared" si="3"/>
        <v/>
      </c>
    </row>
    <row r="16071">
      <c r="A16071" s="8" t="str">
        <f>IFERROR(__xludf.DUMMYFUNCTION("IF('(INGESTA)Datos_consumo_datadis'!A17636&lt;&gt;"""",SPLIT('(INGESTA)Datos_consumo_datadis'!A:A,"",""),"""")"),"")</f>
        <v/>
      </c>
      <c r="G16071" s="8" t="str">
        <f t="shared" si="1"/>
        <v/>
      </c>
      <c r="H16071" s="14" t="str">
        <f t="shared" si="2"/>
        <v/>
      </c>
      <c r="I16071" s="15" t="str">
        <f t="shared" si="3"/>
        <v/>
      </c>
    </row>
    <row r="16072">
      <c r="A16072" s="8" t="str">
        <f>IFERROR(__xludf.DUMMYFUNCTION("IF('(INGESTA)Datos_consumo_datadis'!A17637&lt;&gt;"""",SPLIT('(INGESTA)Datos_consumo_datadis'!A:A,"",""),"""")"),"")</f>
        <v/>
      </c>
      <c r="G16072" s="8" t="str">
        <f t="shared" si="1"/>
        <v/>
      </c>
      <c r="H16072" s="14" t="str">
        <f t="shared" si="2"/>
        <v/>
      </c>
      <c r="I16072" s="15" t="str">
        <f t="shared" si="3"/>
        <v/>
      </c>
    </row>
    <row r="16073">
      <c r="A16073" s="8" t="str">
        <f>IFERROR(__xludf.DUMMYFUNCTION("IF('(INGESTA)Datos_consumo_datadis'!A17638&lt;&gt;"""",SPLIT('(INGESTA)Datos_consumo_datadis'!A:A,"",""),"""")"),"")</f>
        <v/>
      </c>
      <c r="G16073" s="8" t="str">
        <f t="shared" si="1"/>
        <v/>
      </c>
      <c r="H16073" s="14" t="str">
        <f t="shared" si="2"/>
        <v/>
      </c>
      <c r="I16073" s="15" t="str">
        <f t="shared" si="3"/>
        <v/>
      </c>
    </row>
    <row r="16074">
      <c r="A16074" s="8" t="str">
        <f>IFERROR(__xludf.DUMMYFUNCTION("IF('(INGESTA)Datos_consumo_datadis'!A17639&lt;&gt;"""",SPLIT('(INGESTA)Datos_consumo_datadis'!A:A,"",""),"""")"),"")</f>
        <v/>
      </c>
      <c r="G16074" s="8" t="str">
        <f t="shared" si="1"/>
        <v/>
      </c>
      <c r="H16074" s="14" t="str">
        <f t="shared" si="2"/>
        <v/>
      </c>
      <c r="I16074" s="15" t="str">
        <f t="shared" si="3"/>
        <v/>
      </c>
    </row>
    <row r="16075">
      <c r="A16075" s="8" t="str">
        <f>IFERROR(__xludf.DUMMYFUNCTION("IF('(INGESTA)Datos_consumo_datadis'!A17640&lt;&gt;"""",SPLIT('(INGESTA)Datos_consumo_datadis'!A:A,"",""),"""")"),"")</f>
        <v/>
      </c>
      <c r="G16075" s="8" t="str">
        <f t="shared" si="1"/>
        <v/>
      </c>
      <c r="H16075" s="14" t="str">
        <f t="shared" si="2"/>
        <v/>
      </c>
      <c r="I16075" s="15" t="str">
        <f t="shared" si="3"/>
        <v/>
      </c>
    </row>
    <row r="16076">
      <c r="A16076" s="8" t="str">
        <f>IFERROR(__xludf.DUMMYFUNCTION("IF('(INGESTA)Datos_consumo_datadis'!A17641&lt;&gt;"""",SPLIT('(INGESTA)Datos_consumo_datadis'!A:A,"",""),"""")"),"")</f>
        <v/>
      </c>
      <c r="G16076" s="8" t="str">
        <f t="shared" si="1"/>
        <v/>
      </c>
      <c r="H16076" s="14" t="str">
        <f t="shared" si="2"/>
        <v/>
      </c>
      <c r="I16076" s="15" t="str">
        <f t="shared" si="3"/>
        <v/>
      </c>
    </row>
    <row r="16077">
      <c r="A16077" s="8" t="str">
        <f>IFERROR(__xludf.DUMMYFUNCTION("IF('(INGESTA)Datos_consumo_datadis'!A17642&lt;&gt;"""",SPLIT('(INGESTA)Datos_consumo_datadis'!A:A,"",""),"""")"),"")</f>
        <v/>
      </c>
      <c r="G16077" s="8" t="str">
        <f t="shared" si="1"/>
        <v/>
      </c>
      <c r="H16077" s="14" t="str">
        <f t="shared" si="2"/>
        <v/>
      </c>
      <c r="I16077" s="15" t="str">
        <f t="shared" si="3"/>
        <v/>
      </c>
    </row>
    <row r="16078">
      <c r="A16078" s="8" t="str">
        <f>IFERROR(__xludf.DUMMYFUNCTION("IF('(INGESTA)Datos_consumo_datadis'!A17643&lt;&gt;"""",SPLIT('(INGESTA)Datos_consumo_datadis'!A:A,"",""),"""")"),"")</f>
        <v/>
      </c>
      <c r="G16078" s="8" t="str">
        <f t="shared" si="1"/>
        <v/>
      </c>
      <c r="H16078" s="14" t="str">
        <f t="shared" si="2"/>
        <v/>
      </c>
      <c r="I16078" s="15" t="str">
        <f t="shared" si="3"/>
        <v/>
      </c>
    </row>
    <row r="16079">
      <c r="A16079" s="8" t="str">
        <f>IFERROR(__xludf.DUMMYFUNCTION("IF('(INGESTA)Datos_consumo_datadis'!A17644&lt;&gt;"""",SPLIT('(INGESTA)Datos_consumo_datadis'!A:A,"",""),"""")"),"")</f>
        <v/>
      </c>
      <c r="G16079" s="8" t="str">
        <f t="shared" si="1"/>
        <v/>
      </c>
      <c r="H16079" s="14" t="str">
        <f t="shared" si="2"/>
        <v/>
      </c>
      <c r="I16079" s="15" t="str">
        <f t="shared" si="3"/>
        <v/>
      </c>
    </row>
    <row r="16080">
      <c r="A16080" s="8" t="str">
        <f>IFERROR(__xludf.DUMMYFUNCTION("IF('(INGESTA)Datos_consumo_datadis'!A17645&lt;&gt;"""",SPLIT('(INGESTA)Datos_consumo_datadis'!A:A,"",""),"""")"),"")</f>
        <v/>
      </c>
      <c r="G16080" s="8" t="str">
        <f t="shared" si="1"/>
        <v/>
      </c>
      <c r="H16080" s="14" t="str">
        <f t="shared" si="2"/>
        <v/>
      </c>
      <c r="I16080" s="15" t="str">
        <f t="shared" si="3"/>
        <v/>
      </c>
    </row>
    <row r="16081">
      <c r="A16081" s="8" t="str">
        <f>IFERROR(__xludf.DUMMYFUNCTION("IF('(INGESTA)Datos_consumo_datadis'!A17646&lt;&gt;"""",SPLIT('(INGESTA)Datos_consumo_datadis'!A:A,"",""),"""")"),"")</f>
        <v/>
      </c>
      <c r="G16081" s="8" t="str">
        <f t="shared" si="1"/>
        <v/>
      </c>
      <c r="H16081" s="14" t="str">
        <f t="shared" si="2"/>
        <v/>
      </c>
      <c r="I16081" s="15" t="str">
        <f t="shared" si="3"/>
        <v/>
      </c>
    </row>
    <row r="16082">
      <c r="A16082" s="8" t="str">
        <f>IFERROR(__xludf.DUMMYFUNCTION("IF('(INGESTA)Datos_consumo_datadis'!A17647&lt;&gt;"""",SPLIT('(INGESTA)Datos_consumo_datadis'!A:A,"",""),"""")"),"")</f>
        <v/>
      </c>
      <c r="G16082" s="8" t="str">
        <f t="shared" si="1"/>
        <v/>
      </c>
      <c r="H16082" s="14" t="str">
        <f t="shared" si="2"/>
        <v/>
      </c>
      <c r="I16082" s="15" t="str">
        <f t="shared" si="3"/>
        <v/>
      </c>
    </row>
    <row r="16083">
      <c r="A16083" s="8" t="str">
        <f>IFERROR(__xludf.DUMMYFUNCTION("IF('(INGESTA)Datos_consumo_datadis'!A17648&lt;&gt;"""",SPLIT('(INGESTA)Datos_consumo_datadis'!A:A,"",""),"""")"),"")</f>
        <v/>
      </c>
      <c r="G16083" s="8" t="str">
        <f t="shared" si="1"/>
        <v/>
      </c>
      <c r="H16083" s="14" t="str">
        <f t="shared" si="2"/>
        <v/>
      </c>
      <c r="I16083" s="15" t="str">
        <f t="shared" si="3"/>
        <v/>
      </c>
    </row>
    <row r="16084">
      <c r="A16084" s="8" t="str">
        <f>IFERROR(__xludf.DUMMYFUNCTION("IF('(INGESTA)Datos_consumo_datadis'!A17649&lt;&gt;"""",SPLIT('(INGESTA)Datos_consumo_datadis'!A:A,"",""),"""")"),"")</f>
        <v/>
      </c>
      <c r="G16084" s="8" t="str">
        <f t="shared" si="1"/>
        <v/>
      </c>
      <c r="H16084" s="14" t="str">
        <f t="shared" si="2"/>
        <v/>
      </c>
      <c r="I16084" s="15" t="str">
        <f t="shared" si="3"/>
        <v/>
      </c>
    </row>
    <row r="16085">
      <c r="A16085" s="8" t="str">
        <f>IFERROR(__xludf.DUMMYFUNCTION("IF('(INGESTA)Datos_consumo_datadis'!A17650&lt;&gt;"""",SPLIT('(INGESTA)Datos_consumo_datadis'!A:A,"",""),"""")"),"")</f>
        <v/>
      </c>
      <c r="G16085" s="8" t="str">
        <f t="shared" si="1"/>
        <v/>
      </c>
      <c r="H16085" s="14" t="str">
        <f t="shared" si="2"/>
        <v/>
      </c>
      <c r="I16085" s="15" t="str">
        <f t="shared" si="3"/>
        <v/>
      </c>
    </row>
    <row r="16086">
      <c r="A16086" s="8" t="str">
        <f>IFERROR(__xludf.DUMMYFUNCTION("IF('(INGESTA)Datos_consumo_datadis'!A17651&lt;&gt;"""",SPLIT('(INGESTA)Datos_consumo_datadis'!A:A,"",""),"""")"),"")</f>
        <v/>
      </c>
      <c r="G16086" s="8" t="str">
        <f t="shared" si="1"/>
        <v/>
      </c>
      <c r="H16086" s="14" t="str">
        <f t="shared" si="2"/>
        <v/>
      </c>
      <c r="I16086" s="15" t="str">
        <f t="shared" si="3"/>
        <v/>
      </c>
    </row>
    <row r="16087">
      <c r="A16087" s="8" t="str">
        <f>IFERROR(__xludf.DUMMYFUNCTION("IF('(INGESTA)Datos_consumo_datadis'!A17652&lt;&gt;"""",SPLIT('(INGESTA)Datos_consumo_datadis'!A:A,"",""),"""")"),"")</f>
        <v/>
      </c>
      <c r="G16087" s="8" t="str">
        <f t="shared" si="1"/>
        <v/>
      </c>
      <c r="H16087" s="14" t="str">
        <f t="shared" si="2"/>
        <v/>
      </c>
      <c r="I16087" s="15" t="str">
        <f t="shared" si="3"/>
        <v/>
      </c>
    </row>
    <row r="16088">
      <c r="A16088" s="8" t="str">
        <f>IFERROR(__xludf.DUMMYFUNCTION("IF('(INGESTA)Datos_consumo_datadis'!A17653&lt;&gt;"""",SPLIT('(INGESTA)Datos_consumo_datadis'!A:A,"",""),"""")"),"")</f>
        <v/>
      </c>
      <c r="G16088" s="8" t="str">
        <f t="shared" si="1"/>
        <v/>
      </c>
      <c r="H16088" s="14" t="str">
        <f t="shared" si="2"/>
        <v/>
      </c>
      <c r="I16088" s="15" t="str">
        <f t="shared" si="3"/>
        <v/>
      </c>
    </row>
    <row r="16089">
      <c r="A16089" s="8" t="str">
        <f>IFERROR(__xludf.DUMMYFUNCTION("IF('(INGESTA)Datos_consumo_datadis'!A17654&lt;&gt;"""",SPLIT('(INGESTA)Datos_consumo_datadis'!A:A,"",""),"""")"),"")</f>
        <v/>
      </c>
      <c r="G16089" s="8" t="str">
        <f t="shared" si="1"/>
        <v/>
      </c>
      <c r="H16089" s="14" t="str">
        <f t="shared" si="2"/>
        <v/>
      </c>
      <c r="I16089" s="15" t="str">
        <f t="shared" si="3"/>
        <v/>
      </c>
    </row>
    <row r="16090">
      <c r="A16090" s="8" t="str">
        <f>IFERROR(__xludf.DUMMYFUNCTION("IF('(INGESTA)Datos_consumo_datadis'!A17655&lt;&gt;"""",SPLIT('(INGESTA)Datos_consumo_datadis'!A:A,"",""),"""")"),"")</f>
        <v/>
      </c>
      <c r="G16090" s="8" t="str">
        <f t="shared" si="1"/>
        <v/>
      </c>
      <c r="H16090" s="14" t="str">
        <f t="shared" si="2"/>
        <v/>
      </c>
      <c r="I16090" s="15" t="str">
        <f t="shared" si="3"/>
        <v/>
      </c>
    </row>
    <row r="16091">
      <c r="A16091" s="8" t="str">
        <f>IFERROR(__xludf.DUMMYFUNCTION("IF('(INGESTA)Datos_consumo_datadis'!A17656&lt;&gt;"""",SPLIT('(INGESTA)Datos_consumo_datadis'!A:A,"",""),"""")"),"")</f>
        <v/>
      </c>
      <c r="G16091" s="8" t="str">
        <f t="shared" si="1"/>
        <v/>
      </c>
      <c r="H16091" s="14" t="str">
        <f t="shared" si="2"/>
        <v/>
      </c>
      <c r="I16091" s="15" t="str">
        <f t="shared" si="3"/>
        <v/>
      </c>
    </row>
    <row r="16092">
      <c r="A16092" s="8" t="str">
        <f>IFERROR(__xludf.DUMMYFUNCTION("IF('(INGESTA)Datos_consumo_datadis'!A17657&lt;&gt;"""",SPLIT('(INGESTA)Datos_consumo_datadis'!A:A,"",""),"""")"),"")</f>
        <v/>
      </c>
      <c r="G16092" s="8" t="str">
        <f t="shared" si="1"/>
        <v/>
      </c>
      <c r="H16092" s="14" t="str">
        <f t="shared" si="2"/>
        <v/>
      </c>
      <c r="I16092" s="15" t="str">
        <f t="shared" si="3"/>
        <v/>
      </c>
    </row>
    <row r="16093">
      <c r="A16093" s="8" t="str">
        <f>IFERROR(__xludf.DUMMYFUNCTION("IF('(INGESTA)Datos_consumo_datadis'!A17658&lt;&gt;"""",SPLIT('(INGESTA)Datos_consumo_datadis'!A:A,"",""),"""")"),"")</f>
        <v/>
      </c>
      <c r="G16093" s="8" t="str">
        <f t="shared" si="1"/>
        <v/>
      </c>
      <c r="H16093" s="14" t="str">
        <f t="shared" si="2"/>
        <v/>
      </c>
      <c r="I16093" s="15" t="str">
        <f t="shared" si="3"/>
        <v/>
      </c>
    </row>
    <row r="16094">
      <c r="A16094" s="8" t="str">
        <f>IFERROR(__xludf.DUMMYFUNCTION("IF('(INGESTA)Datos_consumo_datadis'!A17659&lt;&gt;"""",SPLIT('(INGESTA)Datos_consumo_datadis'!A:A,"",""),"""")"),"")</f>
        <v/>
      </c>
      <c r="G16094" s="8" t="str">
        <f t="shared" si="1"/>
        <v/>
      </c>
      <c r="H16094" s="14" t="str">
        <f t="shared" si="2"/>
        <v/>
      </c>
      <c r="I16094" s="15" t="str">
        <f t="shared" si="3"/>
        <v/>
      </c>
    </row>
    <row r="16095">
      <c r="A16095" s="8" t="str">
        <f>IFERROR(__xludf.DUMMYFUNCTION("IF('(INGESTA)Datos_consumo_datadis'!A17660&lt;&gt;"""",SPLIT('(INGESTA)Datos_consumo_datadis'!A:A,"",""),"""")"),"")</f>
        <v/>
      </c>
      <c r="G16095" s="8" t="str">
        <f t="shared" si="1"/>
        <v/>
      </c>
      <c r="H16095" s="14" t="str">
        <f t="shared" si="2"/>
        <v/>
      </c>
      <c r="I16095" s="15" t="str">
        <f t="shared" si="3"/>
        <v/>
      </c>
    </row>
    <row r="16096">
      <c r="A16096" s="8" t="str">
        <f>IFERROR(__xludf.DUMMYFUNCTION("IF('(INGESTA)Datos_consumo_datadis'!A17661&lt;&gt;"""",SPLIT('(INGESTA)Datos_consumo_datadis'!A:A,"",""),"""")"),"")</f>
        <v/>
      </c>
      <c r="G16096" s="8" t="str">
        <f t="shared" si="1"/>
        <v/>
      </c>
      <c r="H16096" s="14" t="str">
        <f t="shared" si="2"/>
        <v/>
      </c>
      <c r="I16096" s="15" t="str">
        <f t="shared" si="3"/>
        <v/>
      </c>
    </row>
    <row r="16097">
      <c r="A16097" s="8" t="str">
        <f>IFERROR(__xludf.DUMMYFUNCTION("IF('(INGESTA)Datos_consumo_datadis'!A17662&lt;&gt;"""",SPLIT('(INGESTA)Datos_consumo_datadis'!A:A,"",""),"""")"),"")</f>
        <v/>
      </c>
      <c r="G16097" s="8" t="str">
        <f t="shared" si="1"/>
        <v/>
      </c>
      <c r="H16097" s="14" t="str">
        <f t="shared" si="2"/>
        <v/>
      </c>
      <c r="I16097" s="15" t="str">
        <f t="shared" si="3"/>
        <v/>
      </c>
    </row>
    <row r="16098">
      <c r="A16098" s="8" t="str">
        <f>IFERROR(__xludf.DUMMYFUNCTION("IF('(INGESTA)Datos_consumo_datadis'!A17663&lt;&gt;"""",SPLIT('(INGESTA)Datos_consumo_datadis'!A:A,"",""),"""")"),"")</f>
        <v/>
      </c>
      <c r="G16098" s="8" t="str">
        <f t="shared" si="1"/>
        <v/>
      </c>
      <c r="H16098" s="14" t="str">
        <f t="shared" si="2"/>
        <v/>
      </c>
      <c r="I16098" s="15" t="str">
        <f t="shared" si="3"/>
        <v/>
      </c>
    </row>
    <row r="16099">
      <c r="A16099" s="8" t="str">
        <f>IFERROR(__xludf.DUMMYFUNCTION("IF('(INGESTA)Datos_consumo_datadis'!A17664&lt;&gt;"""",SPLIT('(INGESTA)Datos_consumo_datadis'!A:A,"",""),"""")"),"")</f>
        <v/>
      </c>
      <c r="G16099" s="8" t="str">
        <f t="shared" si="1"/>
        <v/>
      </c>
      <c r="H16099" s="14" t="str">
        <f t="shared" si="2"/>
        <v/>
      </c>
      <c r="I16099" s="15" t="str">
        <f t="shared" si="3"/>
        <v/>
      </c>
    </row>
    <row r="16100">
      <c r="A16100" s="8" t="str">
        <f>IFERROR(__xludf.DUMMYFUNCTION("IF('(INGESTA)Datos_consumo_datadis'!A17665&lt;&gt;"""",SPLIT('(INGESTA)Datos_consumo_datadis'!A:A,"",""),"""")"),"")</f>
        <v/>
      </c>
      <c r="G16100" s="8" t="str">
        <f t="shared" si="1"/>
        <v/>
      </c>
      <c r="H16100" s="14" t="str">
        <f t="shared" si="2"/>
        <v/>
      </c>
      <c r="I16100" s="15" t="str">
        <f t="shared" si="3"/>
        <v/>
      </c>
    </row>
    <row r="16101">
      <c r="A16101" s="8" t="str">
        <f>IFERROR(__xludf.DUMMYFUNCTION("IF('(INGESTA)Datos_consumo_datadis'!A17666&lt;&gt;"""",SPLIT('(INGESTA)Datos_consumo_datadis'!A:A,"",""),"""")"),"")</f>
        <v/>
      </c>
      <c r="G16101" s="8" t="str">
        <f t="shared" si="1"/>
        <v/>
      </c>
      <c r="H16101" s="14" t="str">
        <f t="shared" si="2"/>
        <v/>
      </c>
      <c r="I16101" s="15" t="str">
        <f t="shared" si="3"/>
        <v/>
      </c>
    </row>
    <row r="16102">
      <c r="A16102" s="8" t="str">
        <f>IFERROR(__xludf.DUMMYFUNCTION("IF('(INGESTA)Datos_consumo_datadis'!A17667&lt;&gt;"""",SPLIT('(INGESTA)Datos_consumo_datadis'!A:A,"",""),"""")"),"")</f>
        <v/>
      </c>
      <c r="G16102" s="8" t="str">
        <f t="shared" si="1"/>
        <v/>
      </c>
      <c r="H16102" s="14" t="str">
        <f t="shared" si="2"/>
        <v/>
      </c>
      <c r="I16102" s="15" t="str">
        <f t="shared" si="3"/>
        <v/>
      </c>
    </row>
    <row r="16103">
      <c r="A16103" s="8" t="str">
        <f>IFERROR(__xludf.DUMMYFUNCTION("IF('(INGESTA)Datos_consumo_datadis'!A17668&lt;&gt;"""",SPLIT('(INGESTA)Datos_consumo_datadis'!A:A,"",""),"""")"),"")</f>
        <v/>
      </c>
      <c r="G16103" s="8" t="str">
        <f t="shared" si="1"/>
        <v/>
      </c>
      <c r="H16103" s="14" t="str">
        <f t="shared" si="2"/>
        <v/>
      </c>
      <c r="I16103" s="15" t="str">
        <f t="shared" si="3"/>
        <v/>
      </c>
    </row>
    <row r="16104">
      <c r="A16104" s="8" t="str">
        <f>IFERROR(__xludf.DUMMYFUNCTION("IF('(INGESTA)Datos_consumo_datadis'!A17669&lt;&gt;"""",SPLIT('(INGESTA)Datos_consumo_datadis'!A:A,"",""),"""")"),"")</f>
        <v/>
      </c>
      <c r="G16104" s="8" t="str">
        <f t="shared" si="1"/>
        <v/>
      </c>
      <c r="H16104" s="14" t="str">
        <f t="shared" si="2"/>
        <v/>
      </c>
      <c r="I16104" s="15" t="str">
        <f t="shared" si="3"/>
        <v/>
      </c>
    </row>
    <row r="16105">
      <c r="A16105" s="8" t="str">
        <f>IFERROR(__xludf.DUMMYFUNCTION("IF('(INGESTA)Datos_consumo_datadis'!A17670&lt;&gt;"""",SPLIT('(INGESTA)Datos_consumo_datadis'!A:A,"",""),"""")"),"")</f>
        <v/>
      </c>
      <c r="G16105" s="8" t="str">
        <f t="shared" si="1"/>
        <v/>
      </c>
      <c r="H16105" s="14" t="str">
        <f t="shared" si="2"/>
        <v/>
      </c>
      <c r="I16105" s="15" t="str">
        <f t="shared" si="3"/>
        <v/>
      </c>
    </row>
    <row r="16106">
      <c r="A16106" s="8" t="str">
        <f>IFERROR(__xludf.DUMMYFUNCTION("IF('(INGESTA)Datos_consumo_datadis'!A17671&lt;&gt;"""",SPLIT('(INGESTA)Datos_consumo_datadis'!A:A,"",""),"""")"),"")</f>
        <v/>
      </c>
      <c r="G16106" s="8" t="str">
        <f t="shared" si="1"/>
        <v/>
      </c>
      <c r="H16106" s="14" t="str">
        <f t="shared" si="2"/>
        <v/>
      </c>
      <c r="I16106" s="15" t="str">
        <f t="shared" si="3"/>
        <v/>
      </c>
    </row>
    <row r="16107">
      <c r="A16107" s="8" t="str">
        <f>IFERROR(__xludf.DUMMYFUNCTION("IF('(INGESTA)Datos_consumo_datadis'!A17672&lt;&gt;"""",SPLIT('(INGESTA)Datos_consumo_datadis'!A:A,"",""),"""")"),"")</f>
        <v/>
      </c>
      <c r="G16107" s="8" t="str">
        <f t="shared" si="1"/>
        <v/>
      </c>
      <c r="H16107" s="14" t="str">
        <f t="shared" si="2"/>
        <v/>
      </c>
      <c r="I16107" s="15" t="str">
        <f t="shared" si="3"/>
        <v/>
      </c>
    </row>
    <row r="16108">
      <c r="A16108" s="8" t="str">
        <f>IFERROR(__xludf.DUMMYFUNCTION("IF('(INGESTA)Datos_consumo_datadis'!A17673&lt;&gt;"""",SPLIT('(INGESTA)Datos_consumo_datadis'!A:A,"",""),"""")"),"")</f>
        <v/>
      </c>
      <c r="G16108" s="8" t="str">
        <f t="shared" si="1"/>
        <v/>
      </c>
      <c r="H16108" s="14" t="str">
        <f t="shared" si="2"/>
        <v/>
      </c>
      <c r="I16108" s="15" t="str">
        <f t="shared" si="3"/>
        <v/>
      </c>
    </row>
    <row r="16109">
      <c r="A16109" s="8" t="str">
        <f>IFERROR(__xludf.DUMMYFUNCTION("IF('(INGESTA)Datos_consumo_datadis'!A17674&lt;&gt;"""",SPLIT('(INGESTA)Datos_consumo_datadis'!A:A,"",""),"""")"),"")</f>
        <v/>
      </c>
      <c r="G16109" s="8" t="str">
        <f t="shared" si="1"/>
        <v/>
      </c>
      <c r="H16109" s="14" t="str">
        <f t="shared" si="2"/>
        <v/>
      </c>
      <c r="I16109" s="15" t="str">
        <f t="shared" si="3"/>
        <v/>
      </c>
    </row>
    <row r="16110">
      <c r="A16110" s="8" t="str">
        <f>IFERROR(__xludf.DUMMYFUNCTION("IF('(INGESTA)Datos_consumo_datadis'!A17675&lt;&gt;"""",SPLIT('(INGESTA)Datos_consumo_datadis'!A:A,"",""),"""")"),"")</f>
        <v/>
      </c>
      <c r="G16110" s="8" t="str">
        <f t="shared" si="1"/>
        <v/>
      </c>
      <c r="H16110" s="14" t="str">
        <f t="shared" si="2"/>
        <v/>
      </c>
      <c r="I16110" s="15" t="str">
        <f t="shared" si="3"/>
        <v/>
      </c>
    </row>
    <row r="16111">
      <c r="A16111" s="8" t="str">
        <f>IFERROR(__xludf.DUMMYFUNCTION("IF('(INGESTA)Datos_consumo_datadis'!A17676&lt;&gt;"""",SPLIT('(INGESTA)Datos_consumo_datadis'!A:A,"",""),"""")"),"")</f>
        <v/>
      </c>
      <c r="G16111" s="8" t="str">
        <f t="shared" si="1"/>
        <v/>
      </c>
      <c r="H16111" s="14" t="str">
        <f t="shared" si="2"/>
        <v/>
      </c>
      <c r="I16111" s="15" t="str">
        <f t="shared" si="3"/>
        <v/>
      </c>
    </row>
    <row r="16112">
      <c r="A16112" s="8" t="str">
        <f>IFERROR(__xludf.DUMMYFUNCTION("IF('(INGESTA)Datos_consumo_datadis'!A17677&lt;&gt;"""",SPLIT('(INGESTA)Datos_consumo_datadis'!A:A,"",""),"""")"),"")</f>
        <v/>
      </c>
      <c r="G16112" s="8" t="str">
        <f t="shared" si="1"/>
        <v/>
      </c>
      <c r="H16112" s="14" t="str">
        <f t="shared" si="2"/>
        <v/>
      </c>
      <c r="I16112" s="15" t="str">
        <f t="shared" si="3"/>
        <v/>
      </c>
    </row>
    <row r="16113">
      <c r="A16113" s="8" t="str">
        <f>IFERROR(__xludf.DUMMYFUNCTION("IF('(INGESTA)Datos_consumo_datadis'!A17678&lt;&gt;"""",SPLIT('(INGESTA)Datos_consumo_datadis'!A:A,"",""),"""")"),"")</f>
        <v/>
      </c>
      <c r="G16113" s="8" t="str">
        <f t="shared" si="1"/>
        <v/>
      </c>
      <c r="H16113" s="14" t="str">
        <f t="shared" si="2"/>
        <v/>
      </c>
      <c r="I16113" s="15" t="str">
        <f t="shared" si="3"/>
        <v/>
      </c>
    </row>
    <row r="16114">
      <c r="A16114" s="8" t="str">
        <f>IFERROR(__xludf.DUMMYFUNCTION("IF('(INGESTA)Datos_consumo_datadis'!A17679&lt;&gt;"""",SPLIT('(INGESTA)Datos_consumo_datadis'!A:A,"",""),"""")"),"")</f>
        <v/>
      </c>
      <c r="G16114" s="8" t="str">
        <f t="shared" si="1"/>
        <v/>
      </c>
      <c r="H16114" s="14" t="str">
        <f t="shared" si="2"/>
        <v/>
      </c>
      <c r="I16114" s="15" t="str">
        <f t="shared" si="3"/>
        <v/>
      </c>
    </row>
    <row r="16115">
      <c r="A16115" s="8" t="str">
        <f>IFERROR(__xludf.DUMMYFUNCTION("IF('(INGESTA)Datos_consumo_datadis'!A17680&lt;&gt;"""",SPLIT('(INGESTA)Datos_consumo_datadis'!A:A,"",""),"""")"),"")</f>
        <v/>
      </c>
      <c r="G16115" s="8" t="str">
        <f t="shared" si="1"/>
        <v/>
      </c>
      <c r="H16115" s="14" t="str">
        <f t="shared" si="2"/>
        <v/>
      </c>
      <c r="I16115" s="15" t="str">
        <f t="shared" si="3"/>
        <v/>
      </c>
    </row>
    <row r="16116">
      <c r="A16116" s="8" t="str">
        <f>IFERROR(__xludf.DUMMYFUNCTION("IF('(INGESTA)Datos_consumo_datadis'!A17681&lt;&gt;"""",SPLIT('(INGESTA)Datos_consumo_datadis'!A:A,"",""),"""")"),"")</f>
        <v/>
      </c>
      <c r="G16116" s="8" t="str">
        <f t="shared" si="1"/>
        <v/>
      </c>
      <c r="H16116" s="14" t="str">
        <f t="shared" si="2"/>
        <v/>
      </c>
      <c r="I16116" s="15" t="str">
        <f t="shared" si="3"/>
        <v/>
      </c>
    </row>
    <row r="16117">
      <c r="A16117" s="8" t="str">
        <f>IFERROR(__xludf.DUMMYFUNCTION("IF('(INGESTA)Datos_consumo_datadis'!A17682&lt;&gt;"""",SPLIT('(INGESTA)Datos_consumo_datadis'!A:A,"",""),"""")"),"")</f>
        <v/>
      </c>
      <c r="G16117" s="8" t="str">
        <f t="shared" si="1"/>
        <v/>
      </c>
      <c r="H16117" s="14" t="str">
        <f t="shared" si="2"/>
        <v/>
      </c>
      <c r="I16117" s="15" t="str">
        <f t="shared" si="3"/>
        <v/>
      </c>
    </row>
    <row r="16118">
      <c r="A16118" s="8" t="str">
        <f>IFERROR(__xludf.DUMMYFUNCTION("IF('(INGESTA)Datos_consumo_datadis'!A17683&lt;&gt;"""",SPLIT('(INGESTA)Datos_consumo_datadis'!A:A,"",""),"""")"),"")</f>
        <v/>
      </c>
      <c r="G16118" s="8" t="str">
        <f t="shared" si="1"/>
        <v/>
      </c>
      <c r="H16118" s="14" t="str">
        <f t="shared" si="2"/>
        <v/>
      </c>
      <c r="I16118" s="15" t="str">
        <f t="shared" si="3"/>
        <v/>
      </c>
    </row>
    <row r="16119">
      <c r="A16119" s="8" t="str">
        <f>IFERROR(__xludf.DUMMYFUNCTION("IF('(INGESTA)Datos_consumo_datadis'!A17684&lt;&gt;"""",SPLIT('(INGESTA)Datos_consumo_datadis'!A:A,"",""),"""")"),"")</f>
        <v/>
      </c>
      <c r="G16119" s="8" t="str">
        <f t="shared" si="1"/>
        <v/>
      </c>
      <c r="H16119" s="14" t="str">
        <f t="shared" si="2"/>
        <v/>
      </c>
      <c r="I16119" s="15" t="str">
        <f t="shared" si="3"/>
        <v/>
      </c>
    </row>
    <row r="16120">
      <c r="A16120" s="8" t="str">
        <f>IFERROR(__xludf.DUMMYFUNCTION("IF('(INGESTA)Datos_consumo_datadis'!A17685&lt;&gt;"""",SPLIT('(INGESTA)Datos_consumo_datadis'!A:A,"",""),"""")"),"")</f>
        <v/>
      </c>
      <c r="G16120" s="8" t="str">
        <f t="shared" si="1"/>
        <v/>
      </c>
      <c r="H16120" s="14" t="str">
        <f t="shared" si="2"/>
        <v/>
      </c>
      <c r="I16120" s="15" t="str">
        <f t="shared" si="3"/>
        <v/>
      </c>
    </row>
    <row r="16121">
      <c r="A16121" s="8" t="str">
        <f>IFERROR(__xludf.DUMMYFUNCTION("IF('(INGESTA)Datos_consumo_datadis'!A17686&lt;&gt;"""",SPLIT('(INGESTA)Datos_consumo_datadis'!A:A,"",""),"""")"),"")</f>
        <v/>
      </c>
      <c r="G16121" s="8" t="str">
        <f t="shared" si="1"/>
        <v/>
      </c>
      <c r="H16121" s="14" t="str">
        <f t="shared" si="2"/>
        <v/>
      </c>
      <c r="I16121" s="15" t="str">
        <f t="shared" si="3"/>
        <v/>
      </c>
    </row>
    <row r="16122">
      <c r="A16122" s="8" t="str">
        <f>IFERROR(__xludf.DUMMYFUNCTION("IF('(INGESTA)Datos_consumo_datadis'!A17687&lt;&gt;"""",SPLIT('(INGESTA)Datos_consumo_datadis'!A:A,"",""),"""")"),"")</f>
        <v/>
      </c>
      <c r="G16122" s="8" t="str">
        <f t="shared" si="1"/>
        <v/>
      </c>
      <c r="H16122" s="14" t="str">
        <f t="shared" si="2"/>
        <v/>
      </c>
      <c r="I16122" s="15" t="str">
        <f t="shared" si="3"/>
        <v/>
      </c>
    </row>
    <row r="16123">
      <c r="A16123" s="8" t="str">
        <f>IFERROR(__xludf.DUMMYFUNCTION("IF('(INGESTA)Datos_consumo_datadis'!A17688&lt;&gt;"""",SPLIT('(INGESTA)Datos_consumo_datadis'!A:A,"",""),"""")"),"")</f>
        <v/>
      </c>
      <c r="G16123" s="8" t="str">
        <f t="shared" si="1"/>
        <v/>
      </c>
      <c r="H16123" s="14" t="str">
        <f t="shared" si="2"/>
        <v/>
      </c>
      <c r="I16123" s="15" t="str">
        <f t="shared" si="3"/>
        <v/>
      </c>
    </row>
    <row r="16124">
      <c r="A16124" s="8" t="str">
        <f>IFERROR(__xludf.DUMMYFUNCTION("IF('(INGESTA)Datos_consumo_datadis'!A17689&lt;&gt;"""",SPLIT('(INGESTA)Datos_consumo_datadis'!A:A,"",""),"""")"),"")</f>
        <v/>
      </c>
      <c r="G16124" s="8" t="str">
        <f t="shared" si="1"/>
        <v/>
      </c>
      <c r="H16124" s="14" t="str">
        <f t="shared" si="2"/>
        <v/>
      </c>
      <c r="I16124" s="15" t="str">
        <f t="shared" si="3"/>
        <v/>
      </c>
    </row>
    <row r="16125">
      <c r="A16125" s="8" t="str">
        <f>IFERROR(__xludf.DUMMYFUNCTION("IF('(INGESTA)Datos_consumo_datadis'!A17690&lt;&gt;"""",SPLIT('(INGESTA)Datos_consumo_datadis'!A:A,"",""),"""")"),"")</f>
        <v/>
      </c>
      <c r="G16125" s="8" t="str">
        <f t="shared" si="1"/>
        <v/>
      </c>
      <c r="H16125" s="14" t="str">
        <f t="shared" si="2"/>
        <v/>
      </c>
      <c r="I16125" s="15" t="str">
        <f t="shared" si="3"/>
        <v/>
      </c>
    </row>
    <row r="16126">
      <c r="A16126" s="8" t="str">
        <f>IFERROR(__xludf.DUMMYFUNCTION("IF('(INGESTA)Datos_consumo_datadis'!A17691&lt;&gt;"""",SPLIT('(INGESTA)Datos_consumo_datadis'!A:A,"",""),"""")"),"")</f>
        <v/>
      </c>
      <c r="G16126" s="8" t="str">
        <f t="shared" si="1"/>
        <v/>
      </c>
      <c r="H16126" s="14" t="str">
        <f t="shared" si="2"/>
        <v/>
      </c>
      <c r="I16126" s="15" t="str">
        <f t="shared" si="3"/>
        <v/>
      </c>
    </row>
    <row r="16127">
      <c r="A16127" s="8" t="str">
        <f>IFERROR(__xludf.DUMMYFUNCTION("IF('(INGESTA)Datos_consumo_datadis'!A17692&lt;&gt;"""",SPLIT('(INGESTA)Datos_consumo_datadis'!A:A,"",""),"""")"),"")</f>
        <v/>
      </c>
      <c r="G16127" s="8" t="str">
        <f t="shared" si="1"/>
        <v/>
      </c>
      <c r="H16127" s="14" t="str">
        <f t="shared" si="2"/>
        <v/>
      </c>
      <c r="I16127" s="15" t="str">
        <f t="shared" si="3"/>
        <v/>
      </c>
    </row>
    <row r="16128">
      <c r="A16128" s="8" t="str">
        <f>IFERROR(__xludf.DUMMYFUNCTION("IF('(INGESTA)Datos_consumo_datadis'!A17693&lt;&gt;"""",SPLIT('(INGESTA)Datos_consumo_datadis'!A:A,"",""),"""")"),"")</f>
        <v/>
      </c>
      <c r="G16128" s="8" t="str">
        <f t="shared" si="1"/>
        <v/>
      </c>
      <c r="H16128" s="14" t="str">
        <f t="shared" si="2"/>
        <v/>
      </c>
      <c r="I16128" s="15" t="str">
        <f t="shared" si="3"/>
        <v/>
      </c>
    </row>
    <row r="16129">
      <c r="A16129" s="8" t="str">
        <f>IFERROR(__xludf.DUMMYFUNCTION("IF('(INGESTA)Datos_consumo_datadis'!A17694&lt;&gt;"""",SPLIT('(INGESTA)Datos_consumo_datadis'!A:A,"",""),"""")"),"")</f>
        <v/>
      </c>
      <c r="G16129" s="8" t="str">
        <f t="shared" si="1"/>
        <v/>
      </c>
      <c r="H16129" s="14" t="str">
        <f t="shared" si="2"/>
        <v/>
      </c>
      <c r="I16129" s="15" t="str">
        <f t="shared" si="3"/>
        <v/>
      </c>
    </row>
    <row r="16130">
      <c r="A16130" s="8" t="str">
        <f>IFERROR(__xludf.DUMMYFUNCTION("IF('(INGESTA)Datos_consumo_datadis'!A17695&lt;&gt;"""",SPLIT('(INGESTA)Datos_consumo_datadis'!A:A,"",""),"""")"),"")</f>
        <v/>
      </c>
      <c r="G16130" s="8" t="str">
        <f t="shared" si="1"/>
        <v/>
      </c>
      <c r="H16130" s="14" t="str">
        <f t="shared" si="2"/>
        <v/>
      </c>
      <c r="I16130" s="15" t="str">
        <f t="shared" si="3"/>
        <v/>
      </c>
    </row>
    <row r="16131">
      <c r="A16131" s="8" t="str">
        <f>IFERROR(__xludf.DUMMYFUNCTION("IF('(INGESTA)Datos_consumo_datadis'!A17696&lt;&gt;"""",SPLIT('(INGESTA)Datos_consumo_datadis'!A:A,"",""),"""")"),"")</f>
        <v/>
      </c>
      <c r="G16131" s="8" t="str">
        <f t="shared" si="1"/>
        <v/>
      </c>
      <c r="H16131" s="14" t="str">
        <f t="shared" si="2"/>
        <v/>
      </c>
      <c r="I16131" s="15" t="str">
        <f t="shared" si="3"/>
        <v/>
      </c>
    </row>
    <row r="16132">
      <c r="A16132" s="8" t="str">
        <f>IFERROR(__xludf.DUMMYFUNCTION("IF('(INGESTA)Datos_consumo_datadis'!A17697&lt;&gt;"""",SPLIT('(INGESTA)Datos_consumo_datadis'!A:A,"",""),"""")"),"")</f>
        <v/>
      </c>
      <c r="G16132" s="8" t="str">
        <f t="shared" si="1"/>
        <v/>
      </c>
      <c r="H16132" s="14" t="str">
        <f t="shared" si="2"/>
        <v/>
      </c>
      <c r="I16132" s="15" t="str">
        <f t="shared" si="3"/>
        <v/>
      </c>
    </row>
    <row r="16133">
      <c r="A16133" s="8" t="str">
        <f>IFERROR(__xludf.DUMMYFUNCTION("IF('(INGESTA)Datos_consumo_datadis'!A17698&lt;&gt;"""",SPLIT('(INGESTA)Datos_consumo_datadis'!A:A,"",""),"""")"),"")</f>
        <v/>
      </c>
      <c r="G16133" s="8" t="str">
        <f t="shared" si="1"/>
        <v/>
      </c>
      <c r="H16133" s="14" t="str">
        <f t="shared" si="2"/>
        <v/>
      </c>
      <c r="I16133" s="15" t="str">
        <f t="shared" si="3"/>
        <v/>
      </c>
    </row>
    <row r="16134">
      <c r="A16134" s="8" t="str">
        <f>IFERROR(__xludf.DUMMYFUNCTION("IF('(INGESTA)Datos_consumo_datadis'!A17699&lt;&gt;"""",SPLIT('(INGESTA)Datos_consumo_datadis'!A:A,"",""),"""")"),"")</f>
        <v/>
      </c>
      <c r="G16134" s="8" t="str">
        <f t="shared" si="1"/>
        <v/>
      </c>
      <c r="H16134" s="14" t="str">
        <f t="shared" si="2"/>
        <v/>
      </c>
      <c r="I16134" s="15" t="str">
        <f t="shared" si="3"/>
        <v/>
      </c>
    </row>
    <row r="16135">
      <c r="A16135" s="8" t="str">
        <f>IFERROR(__xludf.DUMMYFUNCTION("IF('(INGESTA)Datos_consumo_datadis'!A17700&lt;&gt;"""",SPLIT('(INGESTA)Datos_consumo_datadis'!A:A,"",""),"""")"),"")</f>
        <v/>
      </c>
      <c r="G16135" s="8" t="str">
        <f t="shared" si="1"/>
        <v/>
      </c>
      <c r="H16135" s="14" t="str">
        <f t="shared" si="2"/>
        <v/>
      </c>
      <c r="I16135" s="15" t="str">
        <f t="shared" si="3"/>
        <v/>
      </c>
    </row>
    <row r="16136">
      <c r="A16136" s="8" t="str">
        <f>IFERROR(__xludf.DUMMYFUNCTION("IF('(INGESTA)Datos_consumo_datadis'!A17701&lt;&gt;"""",SPLIT('(INGESTA)Datos_consumo_datadis'!A:A,"",""),"""")"),"")</f>
        <v/>
      </c>
      <c r="G16136" s="8" t="str">
        <f t="shared" si="1"/>
        <v/>
      </c>
      <c r="H16136" s="14" t="str">
        <f t="shared" si="2"/>
        <v/>
      </c>
      <c r="I16136" s="15" t="str">
        <f t="shared" si="3"/>
        <v/>
      </c>
    </row>
    <row r="16137">
      <c r="A16137" s="8" t="str">
        <f>IFERROR(__xludf.DUMMYFUNCTION("IF('(INGESTA)Datos_consumo_datadis'!A17702&lt;&gt;"""",SPLIT('(INGESTA)Datos_consumo_datadis'!A:A,"",""),"""")"),"")</f>
        <v/>
      </c>
      <c r="G16137" s="8" t="str">
        <f t="shared" si="1"/>
        <v/>
      </c>
      <c r="H16137" s="14" t="str">
        <f t="shared" si="2"/>
        <v/>
      </c>
      <c r="I16137" s="15" t="str">
        <f t="shared" si="3"/>
        <v/>
      </c>
    </row>
    <row r="16138">
      <c r="A16138" s="8" t="str">
        <f>IFERROR(__xludf.DUMMYFUNCTION("IF('(INGESTA)Datos_consumo_datadis'!A17703&lt;&gt;"""",SPLIT('(INGESTA)Datos_consumo_datadis'!A:A,"",""),"""")"),"")</f>
        <v/>
      </c>
      <c r="G16138" s="8" t="str">
        <f t="shared" si="1"/>
        <v/>
      </c>
      <c r="H16138" s="14" t="str">
        <f t="shared" si="2"/>
        <v/>
      </c>
      <c r="I16138" s="15" t="str">
        <f t="shared" si="3"/>
        <v/>
      </c>
    </row>
    <row r="16139">
      <c r="A16139" s="8" t="str">
        <f>IFERROR(__xludf.DUMMYFUNCTION("IF('(INGESTA)Datos_consumo_datadis'!A17704&lt;&gt;"""",SPLIT('(INGESTA)Datos_consumo_datadis'!A:A,"",""),"""")"),"")</f>
        <v/>
      </c>
      <c r="G16139" s="8" t="str">
        <f t="shared" si="1"/>
        <v/>
      </c>
      <c r="H16139" s="14" t="str">
        <f t="shared" si="2"/>
        <v/>
      </c>
      <c r="I16139" s="15" t="str">
        <f t="shared" si="3"/>
        <v/>
      </c>
    </row>
    <row r="16140">
      <c r="A16140" s="8" t="str">
        <f>IFERROR(__xludf.DUMMYFUNCTION("IF('(INGESTA)Datos_consumo_datadis'!A17705&lt;&gt;"""",SPLIT('(INGESTA)Datos_consumo_datadis'!A:A,"",""),"""")"),"")</f>
        <v/>
      </c>
      <c r="G16140" s="8" t="str">
        <f t="shared" si="1"/>
        <v/>
      </c>
      <c r="H16140" s="14" t="str">
        <f t="shared" si="2"/>
        <v/>
      </c>
      <c r="I16140" s="15" t="str">
        <f t="shared" si="3"/>
        <v/>
      </c>
    </row>
    <row r="16141">
      <c r="A16141" s="8" t="str">
        <f>IFERROR(__xludf.DUMMYFUNCTION("IF('(INGESTA)Datos_consumo_datadis'!A17706&lt;&gt;"""",SPLIT('(INGESTA)Datos_consumo_datadis'!A:A,"",""),"""")"),"")</f>
        <v/>
      </c>
      <c r="G16141" s="8" t="str">
        <f t="shared" si="1"/>
        <v/>
      </c>
      <c r="H16141" s="14" t="str">
        <f t="shared" si="2"/>
        <v/>
      </c>
      <c r="I16141" s="15" t="str">
        <f t="shared" si="3"/>
        <v/>
      </c>
    </row>
    <row r="16142">
      <c r="A16142" s="8" t="str">
        <f>IFERROR(__xludf.DUMMYFUNCTION("IF('(INGESTA)Datos_consumo_datadis'!A17707&lt;&gt;"""",SPLIT('(INGESTA)Datos_consumo_datadis'!A:A,"",""),"""")"),"")</f>
        <v/>
      </c>
      <c r="G16142" s="8" t="str">
        <f t="shared" si="1"/>
        <v/>
      </c>
      <c r="H16142" s="14" t="str">
        <f t="shared" si="2"/>
        <v/>
      </c>
      <c r="I16142" s="15" t="str">
        <f t="shared" si="3"/>
        <v/>
      </c>
    </row>
    <row r="16143">
      <c r="A16143" s="8" t="str">
        <f>IFERROR(__xludf.DUMMYFUNCTION("IF('(INGESTA)Datos_consumo_datadis'!A17708&lt;&gt;"""",SPLIT('(INGESTA)Datos_consumo_datadis'!A:A,"",""),"""")"),"")</f>
        <v/>
      </c>
      <c r="G16143" s="8" t="str">
        <f t="shared" si="1"/>
        <v/>
      </c>
      <c r="H16143" s="14" t="str">
        <f t="shared" si="2"/>
        <v/>
      </c>
      <c r="I16143" s="15" t="str">
        <f t="shared" si="3"/>
        <v/>
      </c>
    </row>
    <row r="16144">
      <c r="A16144" s="8" t="str">
        <f>IFERROR(__xludf.DUMMYFUNCTION("IF('(INGESTA)Datos_consumo_datadis'!A17709&lt;&gt;"""",SPLIT('(INGESTA)Datos_consumo_datadis'!A:A,"",""),"""")"),"")</f>
        <v/>
      </c>
      <c r="G16144" s="8" t="str">
        <f t="shared" si="1"/>
        <v/>
      </c>
      <c r="H16144" s="14" t="str">
        <f t="shared" si="2"/>
        <v/>
      </c>
      <c r="I16144" s="15" t="str">
        <f t="shared" si="3"/>
        <v/>
      </c>
    </row>
    <row r="16145">
      <c r="A16145" s="8" t="str">
        <f>IFERROR(__xludf.DUMMYFUNCTION("IF('(INGESTA)Datos_consumo_datadis'!A17710&lt;&gt;"""",SPLIT('(INGESTA)Datos_consumo_datadis'!A:A,"",""),"""")"),"")</f>
        <v/>
      </c>
      <c r="G16145" s="8" t="str">
        <f t="shared" si="1"/>
        <v/>
      </c>
      <c r="H16145" s="14" t="str">
        <f t="shared" si="2"/>
        <v/>
      </c>
      <c r="I16145" s="15" t="str">
        <f t="shared" si="3"/>
        <v/>
      </c>
    </row>
    <row r="16146">
      <c r="A16146" s="8" t="str">
        <f>IFERROR(__xludf.DUMMYFUNCTION("IF('(INGESTA)Datos_consumo_datadis'!A17711&lt;&gt;"""",SPLIT('(INGESTA)Datos_consumo_datadis'!A:A,"",""),"""")"),"")</f>
        <v/>
      </c>
      <c r="G16146" s="8" t="str">
        <f t="shared" si="1"/>
        <v/>
      </c>
      <c r="H16146" s="14" t="str">
        <f t="shared" si="2"/>
        <v/>
      </c>
      <c r="I16146" s="15" t="str">
        <f t="shared" si="3"/>
        <v/>
      </c>
    </row>
    <row r="16147">
      <c r="A16147" s="8" t="str">
        <f>IFERROR(__xludf.DUMMYFUNCTION("IF('(INGESTA)Datos_consumo_datadis'!A17712&lt;&gt;"""",SPLIT('(INGESTA)Datos_consumo_datadis'!A:A,"",""),"""")"),"")</f>
        <v/>
      </c>
      <c r="G16147" s="8" t="str">
        <f t="shared" si="1"/>
        <v/>
      </c>
      <c r="H16147" s="14" t="str">
        <f t="shared" si="2"/>
        <v/>
      </c>
      <c r="I16147" s="15" t="str">
        <f t="shared" si="3"/>
        <v/>
      </c>
    </row>
    <row r="16148">
      <c r="A16148" s="8" t="str">
        <f>IFERROR(__xludf.DUMMYFUNCTION("IF('(INGESTA)Datos_consumo_datadis'!A17713&lt;&gt;"""",SPLIT('(INGESTA)Datos_consumo_datadis'!A:A,"",""),"""")"),"")</f>
        <v/>
      </c>
      <c r="G16148" s="8" t="str">
        <f t="shared" si="1"/>
        <v/>
      </c>
      <c r="H16148" s="14" t="str">
        <f t="shared" si="2"/>
        <v/>
      </c>
      <c r="I16148" s="15" t="str">
        <f t="shared" si="3"/>
        <v/>
      </c>
    </row>
    <row r="16149">
      <c r="A16149" s="8" t="str">
        <f>IFERROR(__xludf.DUMMYFUNCTION("IF('(INGESTA)Datos_consumo_datadis'!A17714&lt;&gt;"""",SPLIT('(INGESTA)Datos_consumo_datadis'!A:A,"",""),"""")"),"")</f>
        <v/>
      </c>
      <c r="G16149" s="8" t="str">
        <f t="shared" si="1"/>
        <v/>
      </c>
      <c r="H16149" s="14" t="str">
        <f t="shared" si="2"/>
        <v/>
      </c>
      <c r="I16149" s="15" t="str">
        <f t="shared" si="3"/>
        <v/>
      </c>
    </row>
    <row r="16150">
      <c r="A16150" s="8" t="str">
        <f>IFERROR(__xludf.DUMMYFUNCTION("IF('(INGESTA)Datos_consumo_datadis'!A17715&lt;&gt;"""",SPLIT('(INGESTA)Datos_consumo_datadis'!A:A,"",""),"""")"),"")</f>
        <v/>
      </c>
      <c r="G16150" s="8" t="str">
        <f t="shared" si="1"/>
        <v/>
      </c>
      <c r="H16150" s="14" t="str">
        <f t="shared" si="2"/>
        <v/>
      </c>
      <c r="I16150" s="15" t="str">
        <f t="shared" si="3"/>
        <v/>
      </c>
    </row>
    <row r="16151">
      <c r="A16151" s="8" t="str">
        <f>IFERROR(__xludf.DUMMYFUNCTION("IF('(INGESTA)Datos_consumo_datadis'!A17716&lt;&gt;"""",SPLIT('(INGESTA)Datos_consumo_datadis'!A:A,"",""),"""")"),"")</f>
        <v/>
      </c>
      <c r="G16151" s="8" t="str">
        <f t="shared" si="1"/>
        <v/>
      </c>
      <c r="H16151" s="14" t="str">
        <f t="shared" si="2"/>
        <v/>
      </c>
      <c r="I16151" s="15" t="str">
        <f t="shared" si="3"/>
        <v/>
      </c>
    </row>
    <row r="16152">
      <c r="A16152" s="8" t="str">
        <f>IFERROR(__xludf.DUMMYFUNCTION("IF('(INGESTA)Datos_consumo_datadis'!A17717&lt;&gt;"""",SPLIT('(INGESTA)Datos_consumo_datadis'!A:A,"",""),"""")"),"")</f>
        <v/>
      </c>
      <c r="G16152" s="8" t="str">
        <f t="shared" si="1"/>
        <v/>
      </c>
      <c r="H16152" s="14" t="str">
        <f t="shared" si="2"/>
        <v/>
      </c>
      <c r="I16152" s="15" t="str">
        <f t="shared" si="3"/>
        <v/>
      </c>
    </row>
    <row r="16153">
      <c r="A16153" s="8" t="str">
        <f>IFERROR(__xludf.DUMMYFUNCTION("IF('(INGESTA)Datos_consumo_datadis'!A17718&lt;&gt;"""",SPLIT('(INGESTA)Datos_consumo_datadis'!A:A,"",""),"""")"),"")</f>
        <v/>
      </c>
      <c r="G16153" s="8" t="str">
        <f t="shared" si="1"/>
        <v/>
      </c>
      <c r="H16153" s="14" t="str">
        <f t="shared" si="2"/>
        <v/>
      </c>
      <c r="I16153" s="15" t="str">
        <f t="shared" si="3"/>
        <v/>
      </c>
    </row>
    <row r="16154">
      <c r="A16154" s="8" t="str">
        <f>IFERROR(__xludf.DUMMYFUNCTION("IF('(INGESTA)Datos_consumo_datadis'!A17719&lt;&gt;"""",SPLIT('(INGESTA)Datos_consumo_datadis'!A:A,"",""),"""")"),"")</f>
        <v/>
      </c>
      <c r="G16154" s="8" t="str">
        <f t="shared" si="1"/>
        <v/>
      </c>
      <c r="H16154" s="14" t="str">
        <f t="shared" si="2"/>
        <v/>
      </c>
      <c r="I16154" s="15" t="str">
        <f t="shared" si="3"/>
        <v/>
      </c>
    </row>
    <row r="16155">
      <c r="A16155" s="8" t="str">
        <f>IFERROR(__xludf.DUMMYFUNCTION("IF('(INGESTA)Datos_consumo_datadis'!A17720&lt;&gt;"""",SPLIT('(INGESTA)Datos_consumo_datadis'!A:A,"",""),"""")"),"")</f>
        <v/>
      </c>
      <c r="G16155" s="8" t="str">
        <f t="shared" si="1"/>
        <v/>
      </c>
      <c r="H16155" s="14" t="str">
        <f t="shared" si="2"/>
        <v/>
      </c>
      <c r="I16155" s="15" t="str">
        <f t="shared" si="3"/>
        <v/>
      </c>
    </row>
    <row r="16156">
      <c r="A16156" s="8" t="str">
        <f>IFERROR(__xludf.DUMMYFUNCTION("IF('(INGESTA)Datos_consumo_datadis'!A17721&lt;&gt;"""",SPLIT('(INGESTA)Datos_consumo_datadis'!A:A,"",""),"""")"),"")</f>
        <v/>
      </c>
      <c r="G16156" s="8" t="str">
        <f t="shared" si="1"/>
        <v/>
      </c>
      <c r="H16156" s="14" t="str">
        <f t="shared" si="2"/>
        <v/>
      </c>
      <c r="I16156" s="15" t="str">
        <f t="shared" si="3"/>
        <v/>
      </c>
    </row>
    <row r="16157">
      <c r="A16157" s="8" t="str">
        <f>IFERROR(__xludf.DUMMYFUNCTION("IF('(INGESTA)Datos_consumo_datadis'!A17722&lt;&gt;"""",SPLIT('(INGESTA)Datos_consumo_datadis'!A:A,"",""),"""")"),"")</f>
        <v/>
      </c>
      <c r="G16157" s="8" t="str">
        <f t="shared" si="1"/>
        <v/>
      </c>
      <c r="H16157" s="14" t="str">
        <f t="shared" si="2"/>
        <v/>
      </c>
      <c r="I16157" s="15" t="str">
        <f t="shared" si="3"/>
        <v/>
      </c>
    </row>
    <row r="16158">
      <c r="A16158" s="8" t="str">
        <f>IFERROR(__xludf.DUMMYFUNCTION("IF('(INGESTA)Datos_consumo_datadis'!A17723&lt;&gt;"""",SPLIT('(INGESTA)Datos_consumo_datadis'!A:A,"",""),"""")"),"")</f>
        <v/>
      </c>
      <c r="G16158" s="8" t="str">
        <f t="shared" si="1"/>
        <v/>
      </c>
      <c r="H16158" s="14" t="str">
        <f t="shared" si="2"/>
        <v/>
      </c>
      <c r="I16158" s="15" t="str">
        <f t="shared" si="3"/>
        <v/>
      </c>
    </row>
    <row r="16159">
      <c r="A16159" s="8" t="str">
        <f>IFERROR(__xludf.DUMMYFUNCTION("IF('(INGESTA)Datos_consumo_datadis'!A17724&lt;&gt;"""",SPLIT('(INGESTA)Datos_consumo_datadis'!A:A,"",""),"""")"),"")</f>
        <v/>
      </c>
      <c r="G16159" s="8" t="str">
        <f t="shared" si="1"/>
        <v/>
      </c>
      <c r="H16159" s="14" t="str">
        <f t="shared" si="2"/>
        <v/>
      </c>
      <c r="I16159" s="15" t="str">
        <f t="shared" si="3"/>
        <v/>
      </c>
    </row>
    <row r="16160">
      <c r="A16160" s="8" t="str">
        <f>IFERROR(__xludf.DUMMYFUNCTION("IF('(INGESTA)Datos_consumo_datadis'!A17725&lt;&gt;"""",SPLIT('(INGESTA)Datos_consumo_datadis'!A:A,"",""),"""")"),"")</f>
        <v/>
      </c>
      <c r="G16160" s="8" t="str">
        <f t="shared" si="1"/>
        <v/>
      </c>
      <c r="H16160" s="14" t="str">
        <f t="shared" si="2"/>
        <v/>
      </c>
      <c r="I16160" s="15" t="str">
        <f t="shared" si="3"/>
        <v/>
      </c>
    </row>
    <row r="16161">
      <c r="A16161" s="8" t="str">
        <f>IFERROR(__xludf.DUMMYFUNCTION("IF('(INGESTA)Datos_consumo_datadis'!A17726&lt;&gt;"""",SPLIT('(INGESTA)Datos_consumo_datadis'!A:A,"",""),"""")"),"")</f>
        <v/>
      </c>
      <c r="G16161" s="8" t="str">
        <f t="shared" si="1"/>
        <v/>
      </c>
      <c r="H16161" s="14" t="str">
        <f t="shared" si="2"/>
        <v/>
      </c>
      <c r="I16161" s="15" t="str">
        <f t="shared" si="3"/>
        <v/>
      </c>
    </row>
    <row r="16162">
      <c r="A16162" s="8" t="str">
        <f>IFERROR(__xludf.DUMMYFUNCTION("IF('(INGESTA)Datos_consumo_datadis'!A17727&lt;&gt;"""",SPLIT('(INGESTA)Datos_consumo_datadis'!A:A,"",""),"""")"),"")</f>
        <v/>
      </c>
      <c r="G16162" s="8" t="str">
        <f t="shared" si="1"/>
        <v/>
      </c>
      <c r="H16162" s="14" t="str">
        <f t="shared" si="2"/>
        <v/>
      </c>
      <c r="I16162" s="15" t="str">
        <f t="shared" si="3"/>
        <v/>
      </c>
    </row>
    <row r="16163">
      <c r="A16163" s="8" t="str">
        <f>IFERROR(__xludf.DUMMYFUNCTION("IF('(INGESTA)Datos_consumo_datadis'!A17728&lt;&gt;"""",SPLIT('(INGESTA)Datos_consumo_datadis'!A:A,"",""),"""")"),"")</f>
        <v/>
      </c>
      <c r="G16163" s="8" t="str">
        <f t="shared" si="1"/>
        <v/>
      </c>
      <c r="H16163" s="14" t="str">
        <f t="shared" si="2"/>
        <v/>
      </c>
      <c r="I16163" s="15" t="str">
        <f t="shared" si="3"/>
        <v/>
      </c>
    </row>
    <row r="16164">
      <c r="A16164" s="8" t="str">
        <f>IFERROR(__xludf.DUMMYFUNCTION("IF('(INGESTA)Datos_consumo_datadis'!A17729&lt;&gt;"""",SPLIT('(INGESTA)Datos_consumo_datadis'!A:A,"",""),"""")"),"")</f>
        <v/>
      </c>
      <c r="G16164" s="8" t="str">
        <f t="shared" si="1"/>
        <v/>
      </c>
      <c r="H16164" s="14" t="str">
        <f t="shared" si="2"/>
        <v/>
      </c>
      <c r="I16164" s="15" t="str">
        <f t="shared" si="3"/>
        <v/>
      </c>
    </row>
    <row r="16165">
      <c r="A16165" s="8" t="str">
        <f>IFERROR(__xludf.DUMMYFUNCTION("IF('(INGESTA)Datos_consumo_datadis'!A17730&lt;&gt;"""",SPLIT('(INGESTA)Datos_consumo_datadis'!A:A,"",""),"""")"),"")</f>
        <v/>
      </c>
      <c r="G16165" s="8" t="str">
        <f t="shared" si="1"/>
        <v/>
      </c>
      <c r="H16165" s="14" t="str">
        <f t="shared" si="2"/>
        <v/>
      </c>
      <c r="I16165" s="15" t="str">
        <f t="shared" si="3"/>
        <v/>
      </c>
    </row>
    <row r="16166">
      <c r="A16166" s="8" t="str">
        <f>IFERROR(__xludf.DUMMYFUNCTION("IF('(INGESTA)Datos_consumo_datadis'!A17731&lt;&gt;"""",SPLIT('(INGESTA)Datos_consumo_datadis'!A:A,"",""),"""")"),"")</f>
        <v/>
      </c>
      <c r="G16166" s="8" t="str">
        <f t="shared" si="1"/>
        <v/>
      </c>
      <c r="H16166" s="14" t="str">
        <f t="shared" si="2"/>
        <v/>
      </c>
      <c r="I16166" s="15" t="str">
        <f t="shared" si="3"/>
        <v/>
      </c>
    </row>
    <row r="16167">
      <c r="A16167" s="8" t="str">
        <f>IFERROR(__xludf.DUMMYFUNCTION("IF('(INGESTA)Datos_consumo_datadis'!A17732&lt;&gt;"""",SPLIT('(INGESTA)Datos_consumo_datadis'!A:A,"",""),"""")"),"")</f>
        <v/>
      </c>
      <c r="G16167" s="8" t="str">
        <f t="shared" si="1"/>
        <v/>
      </c>
      <c r="H16167" s="14" t="str">
        <f t="shared" si="2"/>
        <v/>
      </c>
      <c r="I16167" s="15" t="str">
        <f t="shared" si="3"/>
        <v/>
      </c>
    </row>
    <row r="16168">
      <c r="A16168" s="8" t="str">
        <f>IFERROR(__xludf.DUMMYFUNCTION("IF('(INGESTA)Datos_consumo_datadis'!A17733&lt;&gt;"""",SPLIT('(INGESTA)Datos_consumo_datadis'!A:A,"",""),"""")"),"")</f>
        <v/>
      </c>
      <c r="G16168" s="8" t="str">
        <f t="shared" si="1"/>
        <v/>
      </c>
      <c r="H16168" s="14" t="str">
        <f t="shared" si="2"/>
        <v/>
      </c>
      <c r="I16168" s="15" t="str">
        <f t="shared" si="3"/>
        <v/>
      </c>
    </row>
    <row r="16169">
      <c r="A16169" s="8" t="str">
        <f>IFERROR(__xludf.DUMMYFUNCTION("IF('(INGESTA)Datos_consumo_datadis'!A17734&lt;&gt;"""",SPLIT('(INGESTA)Datos_consumo_datadis'!A:A,"",""),"""")"),"")</f>
        <v/>
      </c>
      <c r="G16169" s="8" t="str">
        <f t="shared" si="1"/>
        <v/>
      </c>
      <c r="H16169" s="14" t="str">
        <f t="shared" si="2"/>
        <v/>
      </c>
      <c r="I16169" s="15" t="str">
        <f t="shared" si="3"/>
        <v/>
      </c>
    </row>
    <row r="16170">
      <c r="A16170" s="8" t="str">
        <f>IFERROR(__xludf.DUMMYFUNCTION("IF('(INGESTA)Datos_consumo_datadis'!A17735&lt;&gt;"""",SPLIT('(INGESTA)Datos_consumo_datadis'!A:A,"",""),"""")"),"")</f>
        <v/>
      </c>
      <c r="G16170" s="8" t="str">
        <f t="shared" si="1"/>
        <v/>
      </c>
      <c r="H16170" s="14" t="str">
        <f t="shared" si="2"/>
        <v/>
      </c>
      <c r="I16170" s="15" t="str">
        <f t="shared" si="3"/>
        <v/>
      </c>
    </row>
    <row r="16171">
      <c r="A16171" s="8" t="str">
        <f>IFERROR(__xludf.DUMMYFUNCTION("IF('(INGESTA)Datos_consumo_datadis'!A17736&lt;&gt;"""",SPLIT('(INGESTA)Datos_consumo_datadis'!A:A,"",""),"""")"),"")</f>
        <v/>
      </c>
      <c r="G16171" s="8" t="str">
        <f t="shared" si="1"/>
        <v/>
      </c>
      <c r="H16171" s="14" t="str">
        <f t="shared" si="2"/>
        <v/>
      </c>
      <c r="I16171" s="15" t="str">
        <f t="shared" si="3"/>
        <v/>
      </c>
    </row>
    <row r="16172">
      <c r="A16172" s="8" t="str">
        <f>IFERROR(__xludf.DUMMYFUNCTION("IF('(INGESTA)Datos_consumo_datadis'!A17737&lt;&gt;"""",SPLIT('(INGESTA)Datos_consumo_datadis'!A:A,"",""),"""")"),"")</f>
        <v/>
      </c>
      <c r="G16172" s="8" t="str">
        <f t="shared" si="1"/>
        <v/>
      </c>
      <c r="H16172" s="14" t="str">
        <f t="shared" si="2"/>
        <v/>
      </c>
      <c r="I16172" s="15" t="str">
        <f t="shared" si="3"/>
        <v/>
      </c>
    </row>
    <row r="16173">
      <c r="A16173" s="8" t="str">
        <f>IFERROR(__xludf.DUMMYFUNCTION("IF('(INGESTA)Datos_consumo_datadis'!A17738&lt;&gt;"""",SPLIT('(INGESTA)Datos_consumo_datadis'!A:A,"",""),"""")"),"")</f>
        <v/>
      </c>
      <c r="G16173" s="8" t="str">
        <f t="shared" si="1"/>
        <v/>
      </c>
      <c r="H16173" s="14" t="str">
        <f t="shared" si="2"/>
        <v/>
      </c>
      <c r="I16173" s="15" t="str">
        <f t="shared" si="3"/>
        <v/>
      </c>
    </row>
    <row r="16174">
      <c r="A16174" s="8" t="str">
        <f>IFERROR(__xludf.DUMMYFUNCTION("IF('(INGESTA)Datos_consumo_datadis'!A17739&lt;&gt;"""",SPLIT('(INGESTA)Datos_consumo_datadis'!A:A,"",""),"""")"),"")</f>
        <v/>
      </c>
      <c r="G16174" s="8" t="str">
        <f t="shared" si="1"/>
        <v/>
      </c>
      <c r="H16174" s="14" t="str">
        <f t="shared" si="2"/>
        <v/>
      </c>
      <c r="I16174" s="15" t="str">
        <f t="shared" si="3"/>
        <v/>
      </c>
    </row>
    <row r="16175">
      <c r="A16175" s="8" t="str">
        <f>IFERROR(__xludf.DUMMYFUNCTION("IF('(INGESTA)Datos_consumo_datadis'!A17740&lt;&gt;"""",SPLIT('(INGESTA)Datos_consumo_datadis'!A:A,"",""),"""")"),"")</f>
        <v/>
      </c>
      <c r="G16175" s="8" t="str">
        <f t="shared" si="1"/>
        <v/>
      </c>
      <c r="H16175" s="14" t="str">
        <f t="shared" si="2"/>
        <v/>
      </c>
      <c r="I16175" s="15" t="str">
        <f t="shared" si="3"/>
        <v/>
      </c>
    </row>
    <row r="16176">
      <c r="A16176" s="8" t="str">
        <f>IFERROR(__xludf.DUMMYFUNCTION("IF('(INGESTA)Datos_consumo_datadis'!A17741&lt;&gt;"""",SPLIT('(INGESTA)Datos_consumo_datadis'!A:A,"",""),"""")"),"")</f>
        <v/>
      </c>
      <c r="G16176" s="8" t="str">
        <f t="shared" si="1"/>
        <v/>
      </c>
      <c r="H16176" s="14" t="str">
        <f t="shared" si="2"/>
        <v/>
      </c>
      <c r="I16176" s="15" t="str">
        <f t="shared" si="3"/>
        <v/>
      </c>
    </row>
    <row r="16177">
      <c r="A16177" s="8" t="str">
        <f>IFERROR(__xludf.DUMMYFUNCTION("IF('(INGESTA)Datos_consumo_datadis'!A17742&lt;&gt;"""",SPLIT('(INGESTA)Datos_consumo_datadis'!A:A,"",""),"""")"),"")</f>
        <v/>
      </c>
      <c r="G16177" s="8" t="str">
        <f t="shared" si="1"/>
        <v/>
      </c>
      <c r="H16177" s="14" t="str">
        <f t="shared" si="2"/>
        <v/>
      </c>
      <c r="I16177" s="15" t="str">
        <f t="shared" si="3"/>
        <v/>
      </c>
    </row>
    <row r="16178">
      <c r="A16178" s="8" t="str">
        <f>IFERROR(__xludf.DUMMYFUNCTION("IF('(INGESTA)Datos_consumo_datadis'!A17743&lt;&gt;"""",SPLIT('(INGESTA)Datos_consumo_datadis'!A:A,"",""),"""")"),"")</f>
        <v/>
      </c>
      <c r="G16178" s="8" t="str">
        <f t="shared" si="1"/>
        <v/>
      </c>
      <c r="H16178" s="14" t="str">
        <f t="shared" si="2"/>
        <v/>
      </c>
      <c r="I16178" s="15" t="str">
        <f t="shared" si="3"/>
        <v/>
      </c>
    </row>
    <row r="16179">
      <c r="A16179" s="8" t="str">
        <f>IFERROR(__xludf.DUMMYFUNCTION("IF('(INGESTA)Datos_consumo_datadis'!A17744&lt;&gt;"""",SPLIT('(INGESTA)Datos_consumo_datadis'!A:A,"",""),"""")"),"")</f>
        <v/>
      </c>
      <c r="G16179" s="8" t="str">
        <f t="shared" si="1"/>
        <v/>
      </c>
      <c r="H16179" s="14" t="str">
        <f t="shared" si="2"/>
        <v/>
      </c>
      <c r="I16179" s="15" t="str">
        <f t="shared" si="3"/>
        <v/>
      </c>
    </row>
    <row r="16180">
      <c r="A16180" s="8" t="str">
        <f>IFERROR(__xludf.DUMMYFUNCTION("IF('(INGESTA)Datos_consumo_datadis'!A17745&lt;&gt;"""",SPLIT('(INGESTA)Datos_consumo_datadis'!A:A,"",""),"""")"),"")</f>
        <v/>
      </c>
      <c r="G16180" s="8" t="str">
        <f t="shared" si="1"/>
        <v/>
      </c>
      <c r="H16180" s="14" t="str">
        <f t="shared" si="2"/>
        <v/>
      </c>
      <c r="I16180" s="15" t="str">
        <f t="shared" si="3"/>
        <v/>
      </c>
    </row>
    <row r="16181">
      <c r="A16181" s="8" t="str">
        <f>IFERROR(__xludf.DUMMYFUNCTION("IF('(INGESTA)Datos_consumo_datadis'!A17746&lt;&gt;"""",SPLIT('(INGESTA)Datos_consumo_datadis'!A:A,"",""),"""")"),"")</f>
        <v/>
      </c>
      <c r="G16181" s="8" t="str">
        <f t="shared" si="1"/>
        <v/>
      </c>
      <c r="H16181" s="14" t="str">
        <f t="shared" si="2"/>
        <v/>
      </c>
      <c r="I16181" s="15" t="str">
        <f t="shared" si="3"/>
        <v/>
      </c>
    </row>
    <row r="16182">
      <c r="A16182" s="8" t="str">
        <f>IFERROR(__xludf.DUMMYFUNCTION("IF('(INGESTA)Datos_consumo_datadis'!A17747&lt;&gt;"""",SPLIT('(INGESTA)Datos_consumo_datadis'!A:A,"",""),"""")"),"")</f>
        <v/>
      </c>
      <c r="G16182" s="8" t="str">
        <f t="shared" si="1"/>
        <v/>
      </c>
      <c r="H16182" s="14" t="str">
        <f t="shared" si="2"/>
        <v/>
      </c>
      <c r="I16182" s="15" t="str">
        <f t="shared" si="3"/>
        <v/>
      </c>
    </row>
    <row r="16183">
      <c r="A16183" s="8" t="str">
        <f>IFERROR(__xludf.DUMMYFUNCTION("IF('(INGESTA)Datos_consumo_datadis'!A17748&lt;&gt;"""",SPLIT('(INGESTA)Datos_consumo_datadis'!A:A,"",""),"""")"),"")</f>
        <v/>
      </c>
      <c r="G16183" s="8" t="str">
        <f t="shared" si="1"/>
        <v/>
      </c>
      <c r="H16183" s="14" t="str">
        <f t="shared" si="2"/>
        <v/>
      </c>
      <c r="I16183" s="15" t="str">
        <f t="shared" si="3"/>
        <v/>
      </c>
    </row>
    <row r="16184">
      <c r="A16184" s="8" t="str">
        <f>IFERROR(__xludf.DUMMYFUNCTION("IF('(INGESTA)Datos_consumo_datadis'!A17749&lt;&gt;"""",SPLIT('(INGESTA)Datos_consumo_datadis'!A:A,"",""),"""")"),"")</f>
        <v/>
      </c>
      <c r="G16184" s="8" t="str">
        <f t="shared" si="1"/>
        <v/>
      </c>
      <c r="H16184" s="14" t="str">
        <f t="shared" si="2"/>
        <v/>
      </c>
      <c r="I16184" s="15" t="str">
        <f t="shared" si="3"/>
        <v/>
      </c>
    </row>
    <row r="16185">
      <c r="A16185" s="8" t="str">
        <f>IFERROR(__xludf.DUMMYFUNCTION("IF('(INGESTA)Datos_consumo_datadis'!A17750&lt;&gt;"""",SPLIT('(INGESTA)Datos_consumo_datadis'!A:A,"",""),"""")"),"")</f>
        <v/>
      </c>
      <c r="G16185" s="8" t="str">
        <f t="shared" si="1"/>
        <v/>
      </c>
      <c r="H16185" s="14" t="str">
        <f t="shared" si="2"/>
        <v/>
      </c>
      <c r="I16185" s="15" t="str">
        <f t="shared" si="3"/>
        <v/>
      </c>
    </row>
    <row r="16186">
      <c r="A16186" s="8" t="str">
        <f>IFERROR(__xludf.DUMMYFUNCTION("IF('(INGESTA)Datos_consumo_datadis'!A17751&lt;&gt;"""",SPLIT('(INGESTA)Datos_consumo_datadis'!A:A,"",""),"""")"),"")</f>
        <v/>
      </c>
      <c r="G16186" s="8" t="str">
        <f t="shared" si="1"/>
        <v/>
      </c>
      <c r="H16186" s="14" t="str">
        <f t="shared" si="2"/>
        <v/>
      </c>
      <c r="I16186" s="15" t="str">
        <f t="shared" si="3"/>
        <v/>
      </c>
    </row>
    <row r="16187">
      <c r="A16187" s="8" t="str">
        <f>IFERROR(__xludf.DUMMYFUNCTION("IF('(INGESTA)Datos_consumo_datadis'!A17752&lt;&gt;"""",SPLIT('(INGESTA)Datos_consumo_datadis'!A:A,"",""),"""")"),"")</f>
        <v/>
      </c>
      <c r="G16187" s="8" t="str">
        <f t="shared" si="1"/>
        <v/>
      </c>
      <c r="H16187" s="14" t="str">
        <f t="shared" si="2"/>
        <v/>
      </c>
      <c r="I16187" s="15" t="str">
        <f t="shared" si="3"/>
        <v/>
      </c>
    </row>
    <row r="16188">
      <c r="A16188" s="8" t="str">
        <f>IFERROR(__xludf.DUMMYFUNCTION("IF('(INGESTA)Datos_consumo_datadis'!A17753&lt;&gt;"""",SPLIT('(INGESTA)Datos_consumo_datadis'!A:A,"",""),"""")"),"")</f>
        <v/>
      </c>
      <c r="G16188" s="8" t="str">
        <f t="shared" si="1"/>
        <v/>
      </c>
      <c r="H16188" s="14" t="str">
        <f t="shared" si="2"/>
        <v/>
      </c>
      <c r="I16188" s="15" t="str">
        <f t="shared" si="3"/>
        <v/>
      </c>
    </row>
    <row r="16189">
      <c r="A16189" s="8" t="str">
        <f>IFERROR(__xludf.DUMMYFUNCTION("IF('(INGESTA)Datos_consumo_datadis'!A17754&lt;&gt;"""",SPLIT('(INGESTA)Datos_consumo_datadis'!A:A,"",""),"""")"),"")</f>
        <v/>
      </c>
      <c r="G16189" s="8" t="str">
        <f t="shared" si="1"/>
        <v/>
      </c>
      <c r="H16189" s="14" t="str">
        <f t="shared" si="2"/>
        <v/>
      </c>
      <c r="I16189" s="15" t="str">
        <f t="shared" si="3"/>
        <v/>
      </c>
    </row>
    <row r="16190">
      <c r="A16190" s="8" t="str">
        <f>IFERROR(__xludf.DUMMYFUNCTION("IF('(INGESTA)Datos_consumo_datadis'!A17755&lt;&gt;"""",SPLIT('(INGESTA)Datos_consumo_datadis'!A:A,"",""),"""")"),"")</f>
        <v/>
      </c>
      <c r="G16190" s="8" t="str">
        <f t="shared" si="1"/>
        <v/>
      </c>
      <c r="H16190" s="14" t="str">
        <f t="shared" si="2"/>
        <v/>
      </c>
      <c r="I16190" s="15" t="str">
        <f t="shared" si="3"/>
        <v/>
      </c>
    </row>
    <row r="16191">
      <c r="A16191" s="8" t="str">
        <f>IFERROR(__xludf.DUMMYFUNCTION("IF('(INGESTA)Datos_consumo_datadis'!A17756&lt;&gt;"""",SPLIT('(INGESTA)Datos_consumo_datadis'!A:A,"",""),"""")"),"")</f>
        <v/>
      </c>
      <c r="G16191" s="8" t="str">
        <f t="shared" si="1"/>
        <v/>
      </c>
      <c r="H16191" s="14" t="str">
        <f t="shared" si="2"/>
        <v/>
      </c>
      <c r="I16191" s="15" t="str">
        <f t="shared" si="3"/>
        <v/>
      </c>
    </row>
    <row r="16192">
      <c r="A16192" s="8" t="str">
        <f>IFERROR(__xludf.DUMMYFUNCTION("IF('(INGESTA)Datos_consumo_datadis'!A17757&lt;&gt;"""",SPLIT('(INGESTA)Datos_consumo_datadis'!A:A,"",""),"""")"),"")</f>
        <v/>
      </c>
      <c r="G16192" s="8" t="str">
        <f t="shared" si="1"/>
        <v/>
      </c>
      <c r="H16192" s="14" t="str">
        <f t="shared" si="2"/>
        <v/>
      </c>
      <c r="I16192" s="15" t="str">
        <f t="shared" si="3"/>
        <v/>
      </c>
    </row>
    <row r="16193">
      <c r="A16193" s="8" t="str">
        <f>IFERROR(__xludf.DUMMYFUNCTION("IF('(INGESTA)Datos_consumo_datadis'!A17758&lt;&gt;"""",SPLIT('(INGESTA)Datos_consumo_datadis'!A:A,"",""),"""")"),"")</f>
        <v/>
      </c>
      <c r="G16193" s="8" t="str">
        <f t="shared" si="1"/>
        <v/>
      </c>
      <c r="H16193" s="14" t="str">
        <f t="shared" si="2"/>
        <v/>
      </c>
      <c r="I16193" s="15" t="str">
        <f t="shared" si="3"/>
        <v/>
      </c>
    </row>
    <row r="16194">
      <c r="A16194" s="8" t="str">
        <f>IFERROR(__xludf.DUMMYFUNCTION("IF('(INGESTA)Datos_consumo_datadis'!A17759&lt;&gt;"""",SPLIT('(INGESTA)Datos_consumo_datadis'!A:A,"",""),"""")"),"")</f>
        <v/>
      </c>
      <c r="G16194" s="8" t="str">
        <f t="shared" si="1"/>
        <v/>
      </c>
      <c r="H16194" s="14" t="str">
        <f t="shared" si="2"/>
        <v/>
      </c>
      <c r="I16194" s="15" t="str">
        <f t="shared" si="3"/>
        <v/>
      </c>
    </row>
    <row r="16195">
      <c r="A16195" s="8" t="str">
        <f>IFERROR(__xludf.DUMMYFUNCTION("IF('(INGESTA)Datos_consumo_datadis'!A17760&lt;&gt;"""",SPLIT('(INGESTA)Datos_consumo_datadis'!A:A,"",""),"""")"),"")</f>
        <v/>
      </c>
      <c r="G16195" s="8" t="str">
        <f t="shared" si="1"/>
        <v/>
      </c>
      <c r="H16195" s="14" t="str">
        <f t="shared" si="2"/>
        <v/>
      </c>
      <c r="I16195" s="15" t="str">
        <f t="shared" si="3"/>
        <v/>
      </c>
    </row>
    <row r="16196">
      <c r="A16196" s="8" t="str">
        <f>IFERROR(__xludf.DUMMYFUNCTION("IF('(INGESTA)Datos_consumo_datadis'!A17761&lt;&gt;"""",SPLIT('(INGESTA)Datos_consumo_datadis'!A:A,"",""),"""")"),"")</f>
        <v/>
      </c>
      <c r="G16196" s="8" t="str">
        <f t="shared" si="1"/>
        <v/>
      </c>
      <c r="H16196" s="14" t="str">
        <f t="shared" si="2"/>
        <v/>
      </c>
      <c r="I16196" s="15" t="str">
        <f t="shared" si="3"/>
        <v/>
      </c>
    </row>
    <row r="16197">
      <c r="A16197" s="8" t="str">
        <f>IFERROR(__xludf.DUMMYFUNCTION("IF('(INGESTA)Datos_consumo_datadis'!A17762&lt;&gt;"""",SPLIT('(INGESTA)Datos_consumo_datadis'!A:A,"",""),"""")"),"")</f>
        <v/>
      </c>
      <c r="G16197" s="8" t="str">
        <f t="shared" si="1"/>
        <v/>
      </c>
      <c r="H16197" s="14" t="str">
        <f t="shared" si="2"/>
        <v/>
      </c>
      <c r="I16197" s="15" t="str">
        <f t="shared" si="3"/>
        <v/>
      </c>
    </row>
    <row r="16198">
      <c r="A16198" s="8" t="str">
        <f>IFERROR(__xludf.DUMMYFUNCTION("IF('(INGESTA)Datos_consumo_datadis'!A17763&lt;&gt;"""",SPLIT('(INGESTA)Datos_consumo_datadis'!A:A,"",""),"""")"),"")</f>
        <v/>
      </c>
      <c r="G16198" s="8" t="str">
        <f t="shared" si="1"/>
        <v/>
      </c>
      <c r="H16198" s="14" t="str">
        <f t="shared" si="2"/>
        <v/>
      </c>
      <c r="I16198" s="15" t="str">
        <f t="shared" si="3"/>
        <v/>
      </c>
    </row>
    <row r="16199">
      <c r="A16199" s="8" t="str">
        <f>IFERROR(__xludf.DUMMYFUNCTION("IF('(INGESTA)Datos_consumo_datadis'!A17764&lt;&gt;"""",SPLIT('(INGESTA)Datos_consumo_datadis'!A:A,"",""),"""")"),"")</f>
        <v/>
      </c>
      <c r="G16199" s="8" t="str">
        <f t="shared" si="1"/>
        <v/>
      </c>
      <c r="H16199" s="14" t="str">
        <f t="shared" si="2"/>
        <v/>
      </c>
      <c r="I16199" s="15" t="str">
        <f t="shared" si="3"/>
        <v/>
      </c>
    </row>
    <row r="16200">
      <c r="A16200" s="8" t="str">
        <f>IFERROR(__xludf.DUMMYFUNCTION("IF('(INGESTA)Datos_consumo_datadis'!A17765&lt;&gt;"""",SPLIT('(INGESTA)Datos_consumo_datadis'!A:A,"",""),"""")"),"")</f>
        <v/>
      </c>
      <c r="G16200" s="8" t="str">
        <f t="shared" si="1"/>
        <v/>
      </c>
      <c r="H16200" s="14" t="str">
        <f t="shared" si="2"/>
        <v/>
      </c>
      <c r="I16200" s="15" t="str">
        <f t="shared" si="3"/>
        <v/>
      </c>
    </row>
    <row r="16201">
      <c r="A16201" s="8" t="str">
        <f>IFERROR(__xludf.DUMMYFUNCTION("IF('(INGESTA)Datos_consumo_datadis'!A17766&lt;&gt;"""",SPLIT('(INGESTA)Datos_consumo_datadis'!A:A,"",""),"""")"),"")</f>
        <v/>
      </c>
      <c r="G16201" s="8" t="str">
        <f t="shared" si="1"/>
        <v/>
      </c>
      <c r="H16201" s="14" t="str">
        <f t="shared" si="2"/>
        <v/>
      </c>
      <c r="I16201" s="15" t="str">
        <f t="shared" si="3"/>
        <v/>
      </c>
    </row>
    <row r="16202">
      <c r="A16202" s="8" t="str">
        <f>IFERROR(__xludf.DUMMYFUNCTION("IF('(INGESTA)Datos_consumo_datadis'!A17767&lt;&gt;"""",SPLIT('(INGESTA)Datos_consumo_datadis'!A:A,"",""),"""")"),"")</f>
        <v/>
      </c>
      <c r="G16202" s="8" t="str">
        <f t="shared" si="1"/>
        <v/>
      </c>
      <c r="H16202" s="14" t="str">
        <f t="shared" si="2"/>
        <v/>
      </c>
      <c r="I16202" s="15" t="str">
        <f t="shared" si="3"/>
        <v/>
      </c>
    </row>
    <row r="16203">
      <c r="A16203" s="8" t="str">
        <f>IFERROR(__xludf.DUMMYFUNCTION("IF('(INGESTA)Datos_consumo_datadis'!A17768&lt;&gt;"""",SPLIT('(INGESTA)Datos_consumo_datadis'!A:A,"",""),"""")"),"")</f>
        <v/>
      </c>
      <c r="G16203" s="8" t="str">
        <f t="shared" si="1"/>
        <v/>
      </c>
      <c r="H16203" s="14" t="str">
        <f t="shared" si="2"/>
        <v/>
      </c>
      <c r="I16203" s="15" t="str">
        <f t="shared" si="3"/>
        <v/>
      </c>
    </row>
    <row r="16204">
      <c r="A16204" s="8" t="str">
        <f>IFERROR(__xludf.DUMMYFUNCTION("IF('(INGESTA)Datos_consumo_datadis'!A17769&lt;&gt;"""",SPLIT('(INGESTA)Datos_consumo_datadis'!A:A,"",""),"""")"),"")</f>
        <v/>
      </c>
      <c r="G16204" s="8" t="str">
        <f t="shared" si="1"/>
        <v/>
      </c>
      <c r="H16204" s="14" t="str">
        <f t="shared" si="2"/>
        <v/>
      </c>
      <c r="I16204" s="15" t="str">
        <f t="shared" si="3"/>
        <v/>
      </c>
    </row>
    <row r="16205">
      <c r="A16205" s="8" t="str">
        <f>IFERROR(__xludf.DUMMYFUNCTION("IF('(INGESTA)Datos_consumo_datadis'!A17770&lt;&gt;"""",SPLIT('(INGESTA)Datos_consumo_datadis'!A:A,"",""),"""")"),"")</f>
        <v/>
      </c>
      <c r="G16205" s="8" t="str">
        <f t="shared" si="1"/>
        <v/>
      </c>
      <c r="H16205" s="14" t="str">
        <f t="shared" si="2"/>
        <v/>
      </c>
      <c r="I16205" s="15" t="str">
        <f t="shared" si="3"/>
        <v/>
      </c>
    </row>
    <row r="16206">
      <c r="A16206" s="8" t="str">
        <f>IFERROR(__xludf.DUMMYFUNCTION("IF('(INGESTA)Datos_consumo_datadis'!A17771&lt;&gt;"""",SPLIT('(INGESTA)Datos_consumo_datadis'!A:A,"",""),"""")"),"")</f>
        <v/>
      </c>
      <c r="G16206" s="8" t="str">
        <f t="shared" si="1"/>
        <v/>
      </c>
      <c r="H16206" s="14" t="str">
        <f t="shared" si="2"/>
        <v/>
      </c>
      <c r="I16206" s="15" t="str">
        <f t="shared" si="3"/>
        <v/>
      </c>
    </row>
    <row r="16207">
      <c r="A16207" s="8" t="str">
        <f>IFERROR(__xludf.DUMMYFUNCTION("IF('(INGESTA)Datos_consumo_datadis'!A17772&lt;&gt;"""",SPLIT('(INGESTA)Datos_consumo_datadis'!A:A,"",""),"""")"),"")</f>
        <v/>
      </c>
      <c r="G16207" s="8" t="str">
        <f t="shared" si="1"/>
        <v/>
      </c>
      <c r="H16207" s="14" t="str">
        <f t="shared" si="2"/>
        <v/>
      </c>
      <c r="I16207" s="15" t="str">
        <f t="shared" si="3"/>
        <v/>
      </c>
    </row>
    <row r="16208">
      <c r="A16208" s="8" t="str">
        <f>IFERROR(__xludf.DUMMYFUNCTION("IF('(INGESTA)Datos_consumo_datadis'!A17773&lt;&gt;"""",SPLIT('(INGESTA)Datos_consumo_datadis'!A:A,"",""),"""")"),"")</f>
        <v/>
      </c>
      <c r="G16208" s="8" t="str">
        <f t="shared" si="1"/>
        <v/>
      </c>
      <c r="H16208" s="14" t="str">
        <f t="shared" si="2"/>
        <v/>
      </c>
      <c r="I16208" s="15" t="str">
        <f t="shared" si="3"/>
        <v/>
      </c>
    </row>
    <row r="16209">
      <c r="A16209" s="8" t="str">
        <f>IFERROR(__xludf.DUMMYFUNCTION("IF('(INGESTA)Datos_consumo_datadis'!A17774&lt;&gt;"""",SPLIT('(INGESTA)Datos_consumo_datadis'!A:A,"",""),"""")"),"")</f>
        <v/>
      </c>
      <c r="G16209" s="8" t="str">
        <f t="shared" si="1"/>
        <v/>
      </c>
      <c r="H16209" s="14" t="str">
        <f t="shared" si="2"/>
        <v/>
      </c>
      <c r="I16209" s="15" t="str">
        <f t="shared" si="3"/>
        <v/>
      </c>
    </row>
    <row r="16210">
      <c r="A16210" s="8" t="str">
        <f>IFERROR(__xludf.DUMMYFUNCTION("IF('(INGESTA)Datos_consumo_datadis'!A17775&lt;&gt;"""",SPLIT('(INGESTA)Datos_consumo_datadis'!A:A,"",""),"""")"),"")</f>
        <v/>
      </c>
      <c r="G16210" s="8" t="str">
        <f t="shared" si="1"/>
        <v/>
      </c>
      <c r="H16210" s="14" t="str">
        <f t="shared" si="2"/>
        <v/>
      </c>
      <c r="I16210" s="15" t="str">
        <f t="shared" si="3"/>
        <v/>
      </c>
    </row>
    <row r="16211">
      <c r="A16211" s="8" t="str">
        <f>IFERROR(__xludf.DUMMYFUNCTION("IF('(INGESTA)Datos_consumo_datadis'!A17776&lt;&gt;"""",SPLIT('(INGESTA)Datos_consumo_datadis'!A:A,"",""),"""")"),"")</f>
        <v/>
      </c>
      <c r="G16211" s="8" t="str">
        <f t="shared" si="1"/>
        <v/>
      </c>
      <c r="H16211" s="14" t="str">
        <f t="shared" si="2"/>
        <v/>
      </c>
      <c r="I16211" s="15" t="str">
        <f t="shared" si="3"/>
        <v/>
      </c>
    </row>
    <row r="16212">
      <c r="A16212" s="8" t="str">
        <f>IFERROR(__xludf.DUMMYFUNCTION("IF('(INGESTA)Datos_consumo_datadis'!A17777&lt;&gt;"""",SPLIT('(INGESTA)Datos_consumo_datadis'!A:A,"",""),"""")"),"")</f>
        <v/>
      </c>
      <c r="G16212" s="8" t="str">
        <f t="shared" si="1"/>
        <v/>
      </c>
      <c r="H16212" s="14" t="str">
        <f t="shared" si="2"/>
        <v/>
      </c>
      <c r="I16212" s="15" t="str">
        <f t="shared" si="3"/>
        <v/>
      </c>
    </row>
    <row r="16213">
      <c r="A16213" s="8" t="str">
        <f>IFERROR(__xludf.DUMMYFUNCTION("IF('(INGESTA)Datos_consumo_datadis'!A17778&lt;&gt;"""",SPLIT('(INGESTA)Datos_consumo_datadis'!A:A,"",""),"""")"),"")</f>
        <v/>
      </c>
      <c r="G16213" s="8" t="str">
        <f t="shared" si="1"/>
        <v/>
      </c>
      <c r="H16213" s="14" t="str">
        <f t="shared" si="2"/>
        <v/>
      </c>
      <c r="I16213" s="15" t="str">
        <f t="shared" si="3"/>
        <v/>
      </c>
    </row>
    <row r="16214">
      <c r="A16214" s="8" t="str">
        <f>IFERROR(__xludf.DUMMYFUNCTION("IF('(INGESTA)Datos_consumo_datadis'!A17779&lt;&gt;"""",SPLIT('(INGESTA)Datos_consumo_datadis'!A:A,"",""),"""")"),"")</f>
        <v/>
      </c>
      <c r="G16214" s="8" t="str">
        <f t="shared" si="1"/>
        <v/>
      </c>
      <c r="H16214" s="14" t="str">
        <f t="shared" si="2"/>
        <v/>
      </c>
      <c r="I16214" s="15" t="str">
        <f t="shared" si="3"/>
        <v/>
      </c>
    </row>
    <row r="16215">
      <c r="A16215" s="8" t="str">
        <f>IFERROR(__xludf.DUMMYFUNCTION("IF('(INGESTA)Datos_consumo_datadis'!A17780&lt;&gt;"""",SPLIT('(INGESTA)Datos_consumo_datadis'!A:A,"",""),"""")"),"")</f>
        <v/>
      </c>
      <c r="G16215" s="8" t="str">
        <f t="shared" si="1"/>
        <v/>
      </c>
      <c r="H16215" s="14" t="str">
        <f t="shared" si="2"/>
        <v/>
      </c>
      <c r="I16215" s="15" t="str">
        <f t="shared" si="3"/>
        <v/>
      </c>
    </row>
    <row r="16216">
      <c r="A16216" s="8" t="str">
        <f>IFERROR(__xludf.DUMMYFUNCTION("IF('(INGESTA)Datos_consumo_datadis'!A17781&lt;&gt;"""",SPLIT('(INGESTA)Datos_consumo_datadis'!A:A,"",""),"""")"),"")</f>
        <v/>
      </c>
      <c r="G16216" s="8" t="str">
        <f t="shared" si="1"/>
        <v/>
      </c>
      <c r="H16216" s="14" t="str">
        <f t="shared" si="2"/>
        <v/>
      </c>
      <c r="I16216" s="15" t="str">
        <f t="shared" si="3"/>
        <v/>
      </c>
    </row>
    <row r="16217">
      <c r="A16217" s="8" t="str">
        <f>IFERROR(__xludf.DUMMYFUNCTION("IF('(INGESTA)Datos_consumo_datadis'!A17782&lt;&gt;"""",SPLIT('(INGESTA)Datos_consumo_datadis'!A:A,"",""),"""")"),"")</f>
        <v/>
      </c>
      <c r="G16217" s="8" t="str">
        <f t="shared" si="1"/>
        <v/>
      </c>
      <c r="H16217" s="14" t="str">
        <f t="shared" si="2"/>
        <v/>
      </c>
      <c r="I16217" s="15" t="str">
        <f t="shared" si="3"/>
        <v/>
      </c>
    </row>
    <row r="16218">
      <c r="A16218" s="8" t="str">
        <f>IFERROR(__xludf.DUMMYFUNCTION("IF('(INGESTA)Datos_consumo_datadis'!A17783&lt;&gt;"""",SPLIT('(INGESTA)Datos_consumo_datadis'!A:A,"",""),"""")"),"")</f>
        <v/>
      </c>
      <c r="G16218" s="8" t="str">
        <f t="shared" si="1"/>
        <v/>
      </c>
      <c r="H16218" s="14" t="str">
        <f t="shared" si="2"/>
        <v/>
      </c>
      <c r="I16218" s="15" t="str">
        <f t="shared" si="3"/>
        <v/>
      </c>
    </row>
    <row r="16219">
      <c r="A16219" s="8" t="str">
        <f>IFERROR(__xludf.DUMMYFUNCTION("IF('(INGESTA)Datos_consumo_datadis'!A17784&lt;&gt;"""",SPLIT('(INGESTA)Datos_consumo_datadis'!A:A,"",""),"""")"),"")</f>
        <v/>
      </c>
      <c r="G16219" s="8" t="str">
        <f t="shared" si="1"/>
        <v/>
      </c>
      <c r="H16219" s="14" t="str">
        <f t="shared" si="2"/>
        <v/>
      </c>
      <c r="I16219" s="15" t="str">
        <f t="shared" si="3"/>
        <v/>
      </c>
    </row>
    <row r="16220">
      <c r="A16220" s="8" t="str">
        <f>IFERROR(__xludf.DUMMYFUNCTION("IF('(INGESTA)Datos_consumo_datadis'!A17785&lt;&gt;"""",SPLIT('(INGESTA)Datos_consumo_datadis'!A:A,"",""),"""")"),"")</f>
        <v/>
      </c>
      <c r="G16220" s="8" t="str">
        <f t="shared" si="1"/>
        <v/>
      </c>
      <c r="H16220" s="14" t="str">
        <f t="shared" si="2"/>
        <v/>
      </c>
      <c r="I16220" s="15" t="str">
        <f t="shared" si="3"/>
        <v/>
      </c>
    </row>
    <row r="16221">
      <c r="A16221" s="8" t="str">
        <f>IFERROR(__xludf.DUMMYFUNCTION("IF('(INGESTA)Datos_consumo_datadis'!A17786&lt;&gt;"""",SPLIT('(INGESTA)Datos_consumo_datadis'!A:A,"",""),"""")"),"")</f>
        <v/>
      </c>
      <c r="G16221" s="8" t="str">
        <f t="shared" si="1"/>
        <v/>
      </c>
      <c r="H16221" s="14" t="str">
        <f t="shared" si="2"/>
        <v/>
      </c>
      <c r="I16221" s="15" t="str">
        <f t="shared" si="3"/>
        <v/>
      </c>
    </row>
    <row r="16222">
      <c r="A16222" s="8" t="str">
        <f>IFERROR(__xludf.DUMMYFUNCTION("IF('(INGESTA)Datos_consumo_datadis'!A17787&lt;&gt;"""",SPLIT('(INGESTA)Datos_consumo_datadis'!A:A,"",""),"""")"),"")</f>
        <v/>
      </c>
      <c r="G16222" s="8" t="str">
        <f t="shared" si="1"/>
        <v/>
      </c>
      <c r="H16222" s="14" t="str">
        <f t="shared" si="2"/>
        <v/>
      </c>
      <c r="I16222" s="15" t="str">
        <f t="shared" si="3"/>
        <v/>
      </c>
    </row>
    <row r="16223">
      <c r="A16223" s="8" t="str">
        <f>IFERROR(__xludf.DUMMYFUNCTION("IF('(INGESTA)Datos_consumo_datadis'!A17788&lt;&gt;"""",SPLIT('(INGESTA)Datos_consumo_datadis'!A:A,"",""),"""")"),"")</f>
        <v/>
      </c>
      <c r="G16223" s="8" t="str">
        <f t="shared" si="1"/>
        <v/>
      </c>
      <c r="H16223" s="14" t="str">
        <f t="shared" si="2"/>
        <v/>
      </c>
      <c r="I16223" s="15" t="str">
        <f t="shared" si="3"/>
        <v/>
      </c>
    </row>
    <row r="16224">
      <c r="A16224" s="8" t="str">
        <f>IFERROR(__xludf.DUMMYFUNCTION("IF('(INGESTA)Datos_consumo_datadis'!A17789&lt;&gt;"""",SPLIT('(INGESTA)Datos_consumo_datadis'!A:A,"",""),"""")"),"")</f>
        <v/>
      </c>
      <c r="G16224" s="8" t="str">
        <f t="shared" si="1"/>
        <v/>
      </c>
      <c r="H16224" s="14" t="str">
        <f t="shared" si="2"/>
        <v/>
      </c>
      <c r="I16224" s="15" t="str">
        <f t="shared" si="3"/>
        <v/>
      </c>
    </row>
    <row r="16225">
      <c r="A16225" s="8" t="str">
        <f>IFERROR(__xludf.DUMMYFUNCTION("IF('(INGESTA)Datos_consumo_datadis'!A17790&lt;&gt;"""",SPLIT('(INGESTA)Datos_consumo_datadis'!A:A,"",""),"""")"),"")</f>
        <v/>
      </c>
      <c r="G16225" s="8" t="str">
        <f t="shared" si="1"/>
        <v/>
      </c>
      <c r="H16225" s="14" t="str">
        <f t="shared" si="2"/>
        <v/>
      </c>
      <c r="I16225" s="15" t="str">
        <f t="shared" si="3"/>
        <v/>
      </c>
    </row>
    <row r="16226">
      <c r="A16226" s="8" t="str">
        <f>IFERROR(__xludf.DUMMYFUNCTION("IF('(INGESTA)Datos_consumo_datadis'!A17791&lt;&gt;"""",SPLIT('(INGESTA)Datos_consumo_datadis'!A:A,"",""),"""")"),"")</f>
        <v/>
      </c>
      <c r="G16226" s="8" t="str">
        <f t="shared" si="1"/>
        <v/>
      </c>
      <c r="H16226" s="14" t="str">
        <f t="shared" si="2"/>
        <v/>
      </c>
      <c r="I16226" s="15" t="str">
        <f t="shared" si="3"/>
        <v/>
      </c>
    </row>
    <row r="16227">
      <c r="A16227" s="8" t="str">
        <f>IFERROR(__xludf.DUMMYFUNCTION("IF('(INGESTA)Datos_consumo_datadis'!A17792&lt;&gt;"""",SPLIT('(INGESTA)Datos_consumo_datadis'!A:A,"",""),"""")"),"")</f>
        <v/>
      </c>
      <c r="G16227" s="8" t="str">
        <f t="shared" si="1"/>
        <v/>
      </c>
      <c r="H16227" s="14" t="str">
        <f t="shared" si="2"/>
        <v/>
      </c>
      <c r="I16227" s="15" t="str">
        <f t="shared" si="3"/>
        <v/>
      </c>
    </row>
    <row r="16228">
      <c r="A16228" s="8" t="str">
        <f>IFERROR(__xludf.DUMMYFUNCTION("IF('(INGESTA)Datos_consumo_datadis'!A17793&lt;&gt;"""",SPLIT('(INGESTA)Datos_consumo_datadis'!A:A,"",""),"""")"),"")</f>
        <v/>
      </c>
      <c r="G16228" s="8" t="str">
        <f t="shared" si="1"/>
        <v/>
      </c>
      <c r="H16228" s="14" t="str">
        <f t="shared" si="2"/>
        <v/>
      </c>
      <c r="I16228" s="15" t="str">
        <f t="shared" si="3"/>
        <v/>
      </c>
    </row>
    <row r="16229">
      <c r="A16229" s="8" t="str">
        <f>IFERROR(__xludf.DUMMYFUNCTION("IF('(INGESTA)Datos_consumo_datadis'!A17794&lt;&gt;"""",SPLIT('(INGESTA)Datos_consumo_datadis'!A:A,"",""),"""")"),"")</f>
        <v/>
      </c>
      <c r="G16229" s="8" t="str">
        <f t="shared" si="1"/>
        <v/>
      </c>
      <c r="H16229" s="14" t="str">
        <f t="shared" si="2"/>
        <v/>
      </c>
      <c r="I16229" s="15" t="str">
        <f t="shared" si="3"/>
        <v/>
      </c>
    </row>
    <row r="16230">
      <c r="A16230" s="8" t="str">
        <f>IFERROR(__xludf.DUMMYFUNCTION("IF('(INGESTA)Datos_consumo_datadis'!A17795&lt;&gt;"""",SPLIT('(INGESTA)Datos_consumo_datadis'!A:A,"",""),"""")"),"")</f>
        <v/>
      </c>
      <c r="G16230" s="8" t="str">
        <f t="shared" si="1"/>
        <v/>
      </c>
      <c r="H16230" s="14" t="str">
        <f t="shared" si="2"/>
        <v/>
      </c>
      <c r="I16230" s="15" t="str">
        <f t="shared" si="3"/>
        <v/>
      </c>
    </row>
    <row r="16231">
      <c r="A16231" s="8" t="str">
        <f>IFERROR(__xludf.DUMMYFUNCTION("IF('(INGESTA)Datos_consumo_datadis'!A17796&lt;&gt;"""",SPLIT('(INGESTA)Datos_consumo_datadis'!A:A,"",""),"""")"),"")</f>
        <v/>
      </c>
      <c r="G16231" s="8" t="str">
        <f t="shared" si="1"/>
        <v/>
      </c>
      <c r="H16231" s="14" t="str">
        <f t="shared" si="2"/>
        <v/>
      </c>
      <c r="I16231" s="15" t="str">
        <f t="shared" si="3"/>
        <v/>
      </c>
    </row>
    <row r="16232">
      <c r="A16232" s="8" t="str">
        <f>IFERROR(__xludf.DUMMYFUNCTION("IF('(INGESTA)Datos_consumo_datadis'!A17797&lt;&gt;"""",SPLIT('(INGESTA)Datos_consumo_datadis'!A:A,"",""),"""")"),"")</f>
        <v/>
      </c>
      <c r="G16232" s="8" t="str">
        <f t="shared" si="1"/>
        <v/>
      </c>
      <c r="H16232" s="14" t="str">
        <f t="shared" si="2"/>
        <v/>
      </c>
      <c r="I16232" s="15" t="str">
        <f t="shared" si="3"/>
        <v/>
      </c>
    </row>
    <row r="16233">
      <c r="A16233" s="8" t="str">
        <f>IFERROR(__xludf.DUMMYFUNCTION("IF('(INGESTA)Datos_consumo_datadis'!A17798&lt;&gt;"""",SPLIT('(INGESTA)Datos_consumo_datadis'!A:A,"",""),"""")"),"")</f>
        <v/>
      </c>
      <c r="G16233" s="8" t="str">
        <f t="shared" si="1"/>
        <v/>
      </c>
      <c r="H16233" s="14" t="str">
        <f t="shared" si="2"/>
        <v/>
      </c>
      <c r="I16233" s="15" t="str">
        <f t="shared" si="3"/>
        <v/>
      </c>
    </row>
    <row r="16234">
      <c r="A16234" s="8" t="str">
        <f>IFERROR(__xludf.DUMMYFUNCTION("IF('(INGESTA)Datos_consumo_datadis'!A17799&lt;&gt;"""",SPLIT('(INGESTA)Datos_consumo_datadis'!A:A,"",""),"""")"),"")</f>
        <v/>
      </c>
      <c r="G16234" s="8" t="str">
        <f t="shared" si="1"/>
        <v/>
      </c>
      <c r="H16234" s="14" t="str">
        <f t="shared" si="2"/>
        <v/>
      </c>
      <c r="I16234" s="15" t="str">
        <f t="shared" si="3"/>
        <v/>
      </c>
    </row>
    <row r="16235">
      <c r="A16235" s="8" t="str">
        <f>IFERROR(__xludf.DUMMYFUNCTION("IF('(INGESTA)Datos_consumo_datadis'!A17800&lt;&gt;"""",SPLIT('(INGESTA)Datos_consumo_datadis'!A:A,"",""),"""")"),"")</f>
        <v/>
      </c>
      <c r="G16235" s="8" t="str">
        <f t="shared" si="1"/>
        <v/>
      </c>
      <c r="H16235" s="14" t="str">
        <f t="shared" si="2"/>
        <v/>
      </c>
      <c r="I16235" s="15" t="str">
        <f t="shared" si="3"/>
        <v/>
      </c>
    </row>
    <row r="16236">
      <c r="A16236" s="8" t="str">
        <f>IFERROR(__xludf.DUMMYFUNCTION("IF('(INGESTA)Datos_consumo_datadis'!A17801&lt;&gt;"""",SPLIT('(INGESTA)Datos_consumo_datadis'!A:A,"",""),"""")"),"")</f>
        <v/>
      </c>
      <c r="G16236" s="8" t="str">
        <f t="shared" si="1"/>
        <v/>
      </c>
      <c r="H16236" s="14" t="str">
        <f t="shared" si="2"/>
        <v/>
      </c>
      <c r="I16236" s="15" t="str">
        <f t="shared" si="3"/>
        <v/>
      </c>
    </row>
    <row r="16237">
      <c r="A16237" s="8" t="str">
        <f>IFERROR(__xludf.DUMMYFUNCTION("IF('(INGESTA)Datos_consumo_datadis'!A17802&lt;&gt;"""",SPLIT('(INGESTA)Datos_consumo_datadis'!A:A,"",""),"""")"),"")</f>
        <v/>
      </c>
      <c r="G16237" s="8" t="str">
        <f t="shared" si="1"/>
        <v/>
      </c>
      <c r="H16237" s="14" t="str">
        <f t="shared" si="2"/>
        <v/>
      </c>
      <c r="I16237" s="15" t="str">
        <f t="shared" si="3"/>
        <v/>
      </c>
    </row>
    <row r="16238">
      <c r="A16238" s="8" t="str">
        <f>IFERROR(__xludf.DUMMYFUNCTION("IF('(INGESTA)Datos_consumo_datadis'!A17803&lt;&gt;"""",SPLIT('(INGESTA)Datos_consumo_datadis'!A:A,"",""),"""")"),"")</f>
        <v/>
      </c>
      <c r="G16238" s="8" t="str">
        <f t="shared" si="1"/>
        <v/>
      </c>
      <c r="H16238" s="14" t="str">
        <f t="shared" si="2"/>
        <v/>
      </c>
      <c r="I16238" s="15" t="str">
        <f t="shared" si="3"/>
        <v/>
      </c>
    </row>
    <row r="16239">
      <c r="A16239" s="8" t="str">
        <f>IFERROR(__xludf.DUMMYFUNCTION("IF('(INGESTA)Datos_consumo_datadis'!A17804&lt;&gt;"""",SPLIT('(INGESTA)Datos_consumo_datadis'!A:A,"",""),"""")"),"")</f>
        <v/>
      </c>
      <c r="G16239" s="8" t="str">
        <f t="shared" si="1"/>
        <v/>
      </c>
      <c r="H16239" s="14" t="str">
        <f t="shared" si="2"/>
        <v/>
      </c>
      <c r="I16239" s="15" t="str">
        <f t="shared" si="3"/>
        <v/>
      </c>
    </row>
    <row r="16240">
      <c r="A16240" s="8" t="str">
        <f>IFERROR(__xludf.DUMMYFUNCTION("IF('(INGESTA)Datos_consumo_datadis'!A17805&lt;&gt;"""",SPLIT('(INGESTA)Datos_consumo_datadis'!A:A,"",""),"""")"),"")</f>
        <v/>
      </c>
      <c r="G16240" s="8" t="str">
        <f t="shared" si="1"/>
        <v/>
      </c>
      <c r="H16240" s="14" t="str">
        <f t="shared" si="2"/>
        <v/>
      </c>
      <c r="I16240" s="15" t="str">
        <f t="shared" si="3"/>
        <v/>
      </c>
    </row>
    <row r="16241">
      <c r="A16241" s="8" t="str">
        <f>IFERROR(__xludf.DUMMYFUNCTION("IF('(INGESTA)Datos_consumo_datadis'!A17806&lt;&gt;"""",SPLIT('(INGESTA)Datos_consumo_datadis'!A:A,"",""),"""")"),"")</f>
        <v/>
      </c>
      <c r="G16241" s="8" t="str">
        <f t="shared" si="1"/>
        <v/>
      </c>
      <c r="H16241" s="14" t="str">
        <f t="shared" si="2"/>
        <v/>
      </c>
      <c r="I16241" s="15" t="str">
        <f t="shared" si="3"/>
        <v/>
      </c>
    </row>
    <row r="16242">
      <c r="A16242" s="8" t="str">
        <f>IFERROR(__xludf.DUMMYFUNCTION("IF('(INGESTA)Datos_consumo_datadis'!A17807&lt;&gt;"""",SPLIT('(INGESTA)Datos_consumo_datadis'!A:A,"",""),"""")"),"")</f>
        <v/>
      </c>
      <c r="G16242" s="8" t="str">
        <f t="shared" si="1"/>
        <v/>
      </c>
      <c r="H16242" s="14" t="str">
        <f t="shared" si="2"/>
        <v/>
      </c>
      <c r="I16242" s="15" t="str">
        <f t="shared" si="3"/>
        <v/>
      </c>
    </row>
    <row r="16243">
      <c r="A16243" s="8" t="str">
        <f>IFERROR(__xludf.DUMMYFUNCTION("IF('(INGESTA)Datos_consumo_datadis'!A17808&lt;&gt;"""",SPLIT('(INGESTA)Datos_consumo_datadis'!A:A,"",""),"""")"),"")</f>
        <v/>
      </c>
      <c r="G16243" s="8" t="str">
        <f t="shared" si="1"/>
        <v/>
      </c>
      <c r="H16243" s="14" t="str">
        <f t="shared" si="2"/>
        <v/>
      </c>
      <c r="I16243" s="15" t="str">
        <f t="shared" si="3"/>
        <v/>
      </c>
    </row>
    <row r="16244">
      <c r="A16244" s="8" t="str">
        <f>IFERROR(__xludf.DUMMYFUNCTION("IF('(INGESTA)Datos_consumo_datadis'!A17809&lt;&gt;"""",SPLIT('(INGESTA)Datos_consumo_datadis'!A:A,"",""),"""")"),"")</f>
        <v/>
      </c>
      <c r="G16244" s="8" t="str">
        <f t="shared" si="1"/>
        <v/>
      </c>
      <c r="H16244" s="14" t="str">
        <f t="shared" si="2"/>
        <v/>
      </c>
      <c r="I16244" s="15" t="str">
        <f t="shared" si="3"/>
        <v/>
      </c>
    </row>
    <row r="16245">
      <c r="A16245" s="8" t="str">
        <f>IFERROR(__xludf.DUMMYFUNCTION("IF('(INGESTA)Datos_consumo_datadis'!A17810&lt;&gt;"""",SPLIT('(INGESTA)Datos_consumo_datadis'!A:A,"",""),"""")"),"")</f>
        <v/>
      </c>
      <c r="G16245" s="8" t="str">
        <f t="shared" si="1"/>
        <v/>
      </c>
      <c r="H16245" s="14" t="str">
        <f t="shared" si="2"/>
        <v/>
      </c>
      <c r="I16245" s="15" t="str">
        <f t="shared" si="3"/>
        <v/>
      </c>
    </row>
    <row r="16246">
      <c r="A16246" s="8" t="str">
        <f>IFERROR(__xludf.DUMMYFUNCTION("IF('(INGESTA)Datos_consumo_datadis'!A17811&lt;&gt;"""",SPLIT('(INGESTA)Datos_consumo_datadis'!A:A,"",""),"""")"),"")</f>
        <v/>
      </c>
      <c r="G16246" s="8" t="str">
        <f t="shared" si="1"/>
        <v/>
      </c>
      <c r="H16246" s="14" t="str">
        <f t="shared" si="2"/>
        <v/>
      </c>
      <c r="I16246" s="15" t="str">
        <f t="shared" si="3"/>
        <v/>
      </c>
    </row>
    <row r="16247">
      <c r="A16247" s="8" t="str">
        <f>IFERROR(__xludf.DUMMYFUNCTION("IF('(INGESTA)Datos_consumo_datadis'!A17812&lt;&gt;"""",SPLIT('(INGESTA)Datos_consumo_datadis'!A:A,"",""),"""")"),"")</f>
        <v/>
      </c>
      <c r="G16247" s="8" t="str">
        <f t="shared" si="1"/>
        <v/>
      </c>
      <c r="H16247" s="14" t="str">
        <f t="shared" si="2"/>
        <v/>
      </c>
      <c r="I16247" s="15" t="str">
        <f t="shared" si="3"/>
        <v/>
      </c>
    </row>
    <row r="16248">
      <c r="A16248" s="8" t="str">
        <f>IFERROR(__xludf.DUMMYFUNCTION("IF('(INGESTA)Datos_consumo_datadis'!A17813&lt;&gt;"""",SPLIT('(INGESTA)Datos_consumo_datadis'!A:A,"",""),"""")"),"")</f>
        <v/>
      </c>
      <c r="G16248" s="8" t="str">
        <f t="shared" si="1"/>
        <v/>
      </c>
      <c r="H16248" s="14" t="str">
        <f t="shared" si="2"/>
        <v/>
      </c>
      <c r="I16248" s="15" t="str">
        <f t="shared" si="3"/>
        <v/>
      </c>
    </row>
    <row r="16249">
      <c r="A16249" s="8" t="str">
        <f>IFERROR(__xludf.DUMMYFUNCTION("IF('(INGESTA)Datos_consumo_datadis'!A17814&lt;&gt;"""",SPLIT('(INGESTA)Datos_consumo_datadis'!A:A,"",""),"""")"),"")</f>
        <v/>
      </c>
      <c r="G16249" s="8" t="str">
        <f t="shared" si="1"/>
        <v/>
      </c>
      <c r="H16249" s="14" t="str">
        <f t="shared" si="2"/>
        <v/>
      </c>
      <c r="I16249" s="15" t="str">
        <f t="shared" si="3"/>
        <v/>
      </c>
    </row>
    <row r="16250">
      <c r="A16250" s="8" t="str">
        <f>IFERROR(__xludf.DUMMYFUNCTION("IF('(INGESTA)Datos_consumo_datadis'!A17815&lt;&gt;"""",SPLIT('(INGESTA)Datos_consumo_datadis'!A:A,"",""),"""")"),"")</f>
        <v/>
      </c>
      <c r="G16250" s="8" t="str">
        <f t="shared" si="1"/>
        <v/>
      </c>
      <c r="H16250" s="14" t="str">
        <f t="shared" si="2"/>
        <v/>
      </c>
      <c r="I16250" s="15" t="str">
        <f t="shared" si="3"/>
        <v/>
      </c>
    </row>
    <row r="16251">
      <c r="A16251" s="8" t="str">
        <f>IFERROR(__xludf.DUMMYFUNCTION("IF('(INGESTA)Datos_consumo_datadis'!A17816&lt;&gt;"""",SPLIT('(INGESTA)Datos_consumo_datadis'!A:A,"",""),"""")"),"")</f>
        <v/>
      </c>
      <c r="G16251" s="8" t="str">
        <f t="shared" si="1"/>
        <v/>
      </c>
      <c r="H16251" s="14" t="str">
        <f t="shared" si="2"/>
        <v/>
      </c>
      <c r="I16251" s="15" t="str">
        <f t="shared" si="3"/>
        <v/>
      </c>
    </row>
    <row r="16252">
      <c r="A16252" s="8" t="str">
        <f>IFERROR(__xludf.DUMMYFUNCTION("IF('(INGESTA)Datos_consumo_datadis'!A17817&lt;&gt;"""",SPLIT('(INGESTA)Datos_consumo_datadis'!A:A,"",""),"""")"),"")</f>
        <v/>
      </c>
      <c r="G16252" s="8" t="str">
        <f t="shared" si="1"/>
        <v/>
      </c>
      <c r="H16252" s="14" t="str">
        <f t="shared" si="2"/>
        <v/>
      </c>
      <c r="I16252" s="15" t="str">
        <f t="shared" si="3"/>
        <v/>
      </c>
    </row>
    <row r="16253">
      <c r="A16253" s="8" t="str">
        <f>IFERROR(__xludf.DUMMYFUNCTION("IF('(INGESTA)Datos_consumo_datadis'!A17818&lt;&gt;"""",SPLIT('(INGESTA)Datos_consumo_datadis'!A:A,"",""),"""")"),"")</f>
        <v/>
      </c>
      <c r="G16253" s="8" t="str">
        <f t="shared" si="1"/>
        <v/>
      </c>
      <c r="H16253" s="14" t="str">
        <f t="shared" si="2"/>
        <v/>
      </c>
      <c r="I16253" s="15" t="str">
        <f t="shared" si="3"/>
        <v/>
      </c>
    </row>
    <row r="16254">
      <c r="A16254" s="8" t="str">
        <f>IFERROR(__xludf.DUMMYFUNCTION("IF('(INGESTA)Datos_consumo_datadis'!A17819&lt;&gt;"""",SPLIT('(INGESTA)Datos_consumo_datadis'!A:A,"",""),"""")"),"")</f>
        <v/>
      </c>
      <c r="G16254" s="8" t="str">
        <f t="shared" si="1"/>
        <v/>
      </c>
      <c r="H16254" s="14" t="str">
        <f t="shared" si="2"/>
        <v/>
      </c>
      <c r="I16254" s="15" t="str">
        <f t="shared" si="3"/>
        <v/>
      </c>
    </row>
    <row r="16255">
      <c r="A16255" s="8" t="str">
        <f>IFERROR(__xludf.DUMMYFUNCTION("IF('(INGESTA)Datos_consumo_datadis'!A17820&lt;&gt;"""",SPLIT('(INGESTA)Datos_consumo_datadis'!A:A,"",""),"""")"),"")</f>
        <v/>
      </c>
      <c r="G16255" s="8" t="str">
        <f t="shared" si="1"/>
        <v/>
      </c>
      <c r="H16255" s="14" t="str">
        <f t="shared" si="2"/>
        <v/>
      </c>
      <c r="I16255" s="15" t="str">
        <f t="shared" si="3"/>
        <v/>
      </c>
    </row>
    <row r="16256">
      <c r="A16256" s="8" t="str">
        <f>IFERROR(__xludf.DUMMYFUNCTION("IF('(INGESTA)Datos_consumo_datadis'!A17821&lt;&gt;"""",SPLIT('(INGESTA)Datos_consumo_datadis'!A:A,"",""),"""")"),"")</f>
        <v/>
      </c>
      <c r="G16256" s="8" t="str">
        <f t="shared" si="1"/>
        <v/>
      </c>
      <c r="H16256" s="14" t="str">
        <f t="shared" si="2"/>
        <v/>
      </c>
      <c r="I16256" s="15" t="str">
        <f t="shared" si="3"/>
        <v/>
      </c>
    </row>
    <row r="16257">
      <c r="A16257" s="8" t="str">
        <f>IFERROR(__xludf.DUMMYFUNCTION("IF('(INGESTA)Datos_consumo_datadis'!A17822&lt;&gt;"""",SPLIT('(INGESTA)Datos_consumo_datadis'!A:A,"",""),"""")"),"")</f>
        <v/>
      </c>
      <c r="G16257" s="8" t="str">
        <f t="shared" si="1"/>
        <v/>
      </c>
      <c r="H16257" s="14" t="str">
        <f t="shared" si="2"/>
        <v/>
      </c>
      <c r="I16257" s="15" t="str">
        <f t="shared" si="3"/>
        <v/>
      </c>
    </row>
    <row r="16258">
      <c r="A16258" s="8" t="str">
        <f>IFERROR(__xludf.DUMMYFUNCTION("IF('(INGESTA)Datos_consumo_datadis'!A17823&lt;&gt;"""",SPLIT('(INGESTA)Datos_consumo_datadis'!A:A,"",""),"""")"),"")</f>
        <v/>
      </c>
      <c r="G16258" s="8" t="str">
        <f t="shared" si="1"/>
        <v/>
      </c>
      <c r="H16258" s="14" t="str">
        <f t="shared" si="2"/>
        <v/>
      </c>
      <c r="I16258" s="15" t="str">
        <f t="shared" si="3"/>
        <v/>
      </c>
    </row>
    <row r="16259">
      <c r="A16259" s="8" t="str">
        <f>IFERROR(__xludf.DUMMYFUNCTION("IF('(INGESTA)Datos_consumo_datadis'!A17824&lt;&gt;"""",SPLIT('(INGESTA)Datos_consumo_datadis'!A:A,"",""),"""")"),"")</f>
        <v/>
      </c>
      <c r="G16259" s="8" t="str">
        <f t="shared" si="1"/>
        <v/>
      </c>
      <c r="H16259" s="14" t="str">
        <f t="shared" si="2"/>
        <v/>
      </c>
      <c r="I16259" s="15" t="str">
        <f t="shared" si="3"/>
        <v/>
      </c>
    </row>
    <row r="16260">
      <c r="A16260" s="8" t="str">
        <f>IFERROR(__xludf.DUMMYFUNCTION("IF('(INGESTA)Datos_consumo_datadis'!A17825&lt;&gt;"""",SPLIT('(INGESTA)Datos_consumo_datadis'!A:A,"",""),"""")"),"")</f>
        <v/>
      </c>
      <c r="G16260" s="8" t="str">
        <f t="shared" si="1"/>
        <v/>
      </c>
      <c r="H16260" s="14" t="str">
        <f t="shared" si="2"/>
        <v/>
      </c>
      <c r="I16260" s="15" t="str">
        <f t="shared" si="3"/>
        <v/>
      </c>
    </row>
    <row r="16261">
      <c r="A16261" s="8" t="str">
        <f>IFERROR(__xludf.DUMMYFUNCTION("IF('(INGESTA)Datos_consumo_datadis'!A17826&lt;&gt;"""",SPLIT('(INGESTA)Datos_consumo_datadis'!A:A,"",""),"""")"),"")</f>
        <v/>
      </c>
      <c r="G16261" s="8" t="str">
        <f t="shared" si="1"/>
        <v/>
      </c>
      <c r="H16261" s="14" t="str">
        <f t="shared" si="2"/>
        <v/>
      </c>
      <c r="I16261" s="15" t="str">
        <f t="shared" si="3"/>
        <v/>
      </c>
    </row>
    <row r="16262">
      <c r="A16262" s="8" t="str">
        <f>IFERROR(__xludf.DUMMYFUNCTION("IF('(INGESTA)Datos_consumo_datadis'!A17827&lt;&gt;"""",SPLIT('(INGESTA)Datos_consumo_datadis'!A:A,"",""),"""")"),"")</f>
        <v/>
      </c>
      <c r="G16262" s="8" t="str">
        <f t="shared" si="1"/>
        <v/>
      </c>
      <c r="H16262" s="14" t="str">
        <f t="shared" si="2"/>
        <v/>
      </c>
      <c r="I16262" s="15" t="str">
        <f t="shared" si="3"/>
        <v/>
      </c>
    </row>
    <row r="16263">
      <c r="A16263" s="8" t="str">
        <f>IFERROR(__xludf.DUMMYFUNCTION("IF('(INGESTA)Datos_consumo_datadis'!A17828&lt;&gt;"""",SPLIT('(INGESTA)Datos_consumo_datadis'!A:A,"",""),"""")"),"")</f>
        <v/>
      </c>
      <c r="G16263" s="8" t="str">
        <f t="shared" si="1"/>
        <v/>
      </c>
      <c r="H16263" s="14" t="str">
        <f t="shared" si="2"/>
        <v/>
      </c>
      <c r="I16263" s="15" t="str">
        <f t="shared" si="3"/>
        <v/>
      </c>
    </row>
    <row r="16264">
      <c r="A16264" s="8" t="str">
        <f>IFERROR(__xludf.DUMMYFUNCTION("IF('(INGESTA)Datos_consumo_datadis'!A17829&lt;&gt;"""",SPLIT('(INGESTA)Datos_consumo_datadis'!A:A,"",""),"""")"),"")</f>
        <v/>
      </c>
      <c r="G16264" s="8" t="str">
        <f t="shared" si="1"/>
        <v/>
      </c>
      <c r="H16264" s="14" t="str">
        <f t="shared" si="2"/>
        <v/>
      </c>
      <c r="I16264" s="15" t="str">
        <f t="shared" si="3"/>
        <v/>
      </c>
    </row>
    <row r="16265">
      <c r="A16265" s="8" t="str">
        <f>IFERROR(__xludf.DUMMYFUNCTION("IF('(INGESTA)Datos_consumo_datadis'!A17830&lt;&gt;"""",SPLIT('(INGESTA)Datos_consumo_datadis'!A:A,"",""),"""")"),"")</f>
        <v/>
      </c>
      <c r="G16265" s="8" t="str">
        <f t="shared" si="1"/>
        <v/>
      </c>
      <c r="H16265" s="14" t="str">
        <f t="shared" si="2"/>
        <v/>
      </c>
      <c r="I16265" s="15" t="str">
        <f t="shared" si="3"/>
        <v/>
      </c>
    </row>
    <row r="16266">
      <c r="A16266" s="8" t="str">
        <f>IFERROR(__xludf.DUMMYFUNCTION("IF('(INGESTA)Datos_consumo_datadis'!A17831&lt;&gt;"""",SPLIT('(INGESTA)Datos_consumo_datadis'!A:A,"",""),"""")"),"")</f>
        <v/>
      </c>
      <c r="G16266" s="8" t="str">
        <f t="shared" si="1"/>
        <v/>
      </c>
      <c r="H16266" s="14" t="str">
        <f t="shared" si="2"/>
        <v/>
      </c>
      <c r="I16266" s="15" t="str">
        <f t="shared" si="3"/>
        <v/>
      </c>
    </row>
    <row r="16267">
      <c r="A16267" s="8" t="str">
        <f>IFERROR(__xludf.DUMMYFUNCTION("IF('(INGESTA)Datos_consumo_datadis'!A17832&lt;&gt;"""",SPLIT('(INGESTA)Datos_consumo_datadis'!A:A,"",""),"""")"),"")</f>
        <v/>
      </c>
      <c r="G16267" s="8" t="str">
        <f t="shared" si="1"/>
        <v/>
      </c>
      <c r="H16267" s="14" t="str">
        <f t="shared" si="2"/>
        <v/>
      </c>
      <c r="I16267" s="15" t="str">
        <f t="shared" si="3"/>
        <v/>
      </c>
    </row>
    <row r="16268">
      <c r="A16268" s="8" t="str">
        <f>IFERROR(__xludf.DUMMYFUNCTION("IF('(INGESTA)Datos_consumo_datadis'!A17833&lt;&gt;"""",SPLIT('(INGESTA)Datos_consumo_datadis'!A:A,"",""),"""")"),"")</f>
        <v/>
      </c>
      <c r="G16268" s="8" t="str">
        <f t="shared" si="1"/>
        <v/>
      </c>
      <c r="H16268" s="14" t="str">
        <f t="shared" si="2"/>
        <v/>
      </c>
      <c r="I16268" s="15" t="str">
        <f t="shared" si="3"/>
        <v/>
      </c>
    </row>
    <row r="16269">
      <c r="A16269" s="8" t="str">
        <f>IFERROR(__xludf.DUMMYFUNCTION("IF('(INGESTA)Datos_consumo_datadis'!A17834&lt;&gt;"""",SPLIT('(INGESTA)Datos_consumo_datadis'!A:A,"",""),"""")"),"")</f>
        <v/>
      </c>
      <c r="G16269" s="8" t="str">
        <f t="shared" si="1"/>
        <v/>
      </c>
      <c r="H16269" s="14" t="str">
        <f t="shared" si="2"/>
        <v/>
      </c>
      <c r="I16269" s="15" t="str">
        <f t="shared" si="3"/>
        <v/>
      </c>
    </row>
    <row r="16270">
      <c r="A16270" s="8" t="str">
        <f>IFERROR(__xludf.DUMMYFUNCTION("IF('(INGESTA)Datos_consumo_datadis'!A17835&lt;&gt;"""",SPLIT('(INGESTA)Datos_consumo_datadis'!A:A,"",""),"""")"),"")</f>
        <v/>
      </c>
      <c r="G16270" s="8" t="str">
        <f t="shared" si="1"/>
        <v/>
      </c>
      <c r="H16270" s="14" t="str">
        <f t="shared" si="2"/>
        <v/>
      </c>
      <c r="I16270" s="15" t="str">
        <f t="shared" si="3"/>
        <v/>
      </c>
    </row>
    <row r="16271">
      <c r="A16271" s="8" t="str">
        <f>IFERROR(__xludf.DUMMYFUNCTION("IF('(INGESTA)Datos_consumo_datadis'!A17836&lt;&gt;"""",SPLIT('(INGESTA)Datos_consumo_datadis'!A:A,"",""),"""")"),"")</f>
        <v/>
      </c>
      <c r="G16271" s="8" t="str">
        <f t="shared" si="1"/>
        <v/>
      </c>
      <c r="H16271" s="14" t="str">
        <f t="shared" si="2"/>
        <v/>
      </c>
      <c r="I16271" s="15" t="str">
        <f t="shared" si="3"/>
        <v/>
      </c>
    </row>
    <row r="16272">
      <c r="A16272" s="8" t="str">
        <f>IFERROR(__xludf.DUMMYFUNCTION("IF('(INGESTA)Datos_consumo_datadis'!A17837&lt;&gt;"""",SPLIT('(INGESTA)Datos_consumo_datadis'!A:A,"",""),"""")"),"")</f>
        <v/>
      </c>
      <c r="G16272" s="8" t="str">
        <f t="shared" si="1"/>
        <v/>
      </c>
      <c r="H16272" s="14" t="str">
        <f t="shared" si="2"/>
        <v/>
      </c>
      <c r="I16272" s="15" t="str">
        <f t="shared" si="3"/>
        <v/>
      </c>
    </row>
    <row r="16273">
      <c r="A16273" s="8" t="str">
        <f>IFERROR(__xludf.DUMMYFUNCTION("IF('(INGESTA)Datos_consumo_datadis'!A17838&lt;&gt;"""",SPLIT('(INGESTA)Datos_consumo_datadis'!A:A,"",""),"""")"),"")</f>
        <v/>
      </c>
      <c r="G16273" s="8" t="str">
        <f t="shared" si="1"/>
        <v/>
      </c>
      <c r="H16273" s="14" t="str">
        <f t="shared" si="2"/>
        <v/>
      </c>
      <c r="I16273" s="15" t="str">
        <f t="shared" si="3"/>
        <v/>
      </c>
    </row>
    <row r="16274">
      <c r="A16274" s="8" t="str">
        <f>IFERROR(__xludf.DUMMYFUNCTION("IF('(INGESTA)Datos_consumo_datadis'!A17839&lt;&gt;"""",SPLIT('(INGESTA)Datos_consumo_datadis'!A:A,"",""),"""")"),"")</f>
        <v/>
      </c>
      <c r="G16274" s="8" t="str">
        <f t="shared" si="1"/>
        <v/>
      </c>
      <c r="H16274" s="14" t="str">
        <f t="shared" si="2"/>
        <v/>
      </c>
      <c r="I16274" s="15" t="str">
        <f t="shared" si="3"/>
        <v/>
      </c>
    </row>
    <row r="16275">
      <c r="A16275" s="8" t="str">
        <f>IFERROR(__xludf.DUMMYFUNCTION("IF('(INGESTA)Datos_consumo_datadis'!A17840&lt;&gt;"""",SPLIT('(INGESTA)Datos_consumo_datadis'!A:A,"",""),"""")"),"")</f>
        <v/>
      </c>
      <c r="G16275" s="8" t="str">
        <f t="shared" si="1"/>
        <v/>
      </c>
      <c r="H16275" s="14" t="str">
        <f t="shared" si="2"/>
        <v/>
      </c>
      <c r="I16275" s="15" t="str">
        <f t="shared" si="3"/>
        <v/>
      </c>
    </row>
    <row r="16276">
      <c r="A16276" s="8" t="str">
        <f>IFERROR(__xludf.DUMMYFUNCTION("IF('(INGESTA)Datos_consumo_datadis'!A17841&lt;&gt;"""",SPLIT('(INGESTA)Datos_consumo_datadis'!A:A,"",""),"""")"),"")</f>
        <v/>
      </c>
      <c r="G16276" s="8" t="str">
        <f t="shared" si="1"/>
        <v/>
      </c>
      <c r="H16276" s="14" t="str">
        <f t="shared" si="2"/>
        <v/>
      </c>
      <c r="I16276" s="15" t="str">
        <f t="shared" si="3"/>
        <v/>
      </c>
    </row>
    <row r="16277">
      <c r="A16277" s="8" t="str">
        <f>IFERROR(__xludf.DUMMYFUNCTION("IF('(INGESTA)Datos_consumo_datadis'!A17842&lt;&gt;"""",SPLIT('(INGESTA)Datos_consumo_datadis'!A:A,"",""),"""")"),"")</f>
        <v/>
      </c>
      <c r="G16277" s="8" t="str">
        <f t="shared" si="1"/>
        <v/>
      </c>
      <c r="H16277" s="14" t="str">
        <f t="shared" si="2"/>
        <v/>
      </c>
      <c r="I16277" s="15" t="str">
        <f t="shared" si="3"/>
        <v/>
      </c>
    </row>
    <row r="16278">
      <c r="A16278" s="8" t="str">
        <f>IFERROR(__xludf.DUMMYFUNCTION("IF('(INGESTA)Datos_consumo_datadis'!A17843&lt;&gt;"""",SPLIT('(INGESTA)Datos_consumo_datadis'!A:A,"",""),"""")"),"")</f>
        <v/>
      </c>
      <c r="G16278" s="8" t="str">
        <f t="shared" si="1"/>
        <v/>
      </c>
      <c r="H16278" s="14" t="str">
        <f t="shared" si="2"/>
        <v/>
      </c>
      <c r="I16278" s="15" t="str">
        <f t="shared" si="3"/>
        <v/>
      </c>
    </row>
    <row r="16279">
      <c r="A16279" s="8" t="str">
        <f>IFERROR(__xludf.DUMMYFUNCTION("IF('(INGESTA)Datos_consumo_datadis'!A17844&lt;&gt;"""",SPLIT('(INGESTA)Datos_consumo_datadis'!A:A,"",""),"""")"),"")</f>
        <v/>
      </c>
      <c r="G16279" s="8" t="str">
        <f t="shared" si="1"/>
        <v/>
      </c>
      <c r="H16279" s="14" t="str">
        <f t="shared" si="2"/>
        <v/>
      </c>
      <c r="I16279" s="15" t="str">
        <f t="shared" si="3"/>
        <v/>
      </c>
    </row>
    <row r="16280">
      <c r="A16280" s="8" t="str">
        <f>IFERROR(__xludf.DUMMYFUNCTION("IF('(INGESTA)Datos_consumo_datadis'!A17845&lt;&gt;"""",SPLIT('(INGESTA)Datos_consumo_datadis'!A:A,"",""),"""")"),"")</f>
        <v/>
      </c>
      <c r="G16280" s="8" t="str">
        <f t="shared" si="1"/>
        <v/>
      </c>
      <c r="H16280" s="14" t="str">
        <f t="shared" si="2"/>
        <v/>
      </c>
      <c r="I16280" s="15" t="str">
        <f t="shared" si="3"/>
        <v/>
      </c>
    </row>
    <row r="16281">
      <c r="A16281" s="8" t="str">
        <f>IFERROR(__xludf.DUMMYFUNCTION("IF('(INGESTA)Datos_consumo_datadis'!A17846&lt;&gt;"""",SPLIT('(INGESTA)Datos_consumo_datadis'!A:A,"",""),"""")"),"")</f>
        <v/>
      </c>
      <c r="G16281" s="8" t="str">
        <f t="shared" si="1"/>
        <v/>
      </c>
      <c r="H16281" s="14" t="str">
        <f t="shared" si="2"/>
        <v/>
      </c>
      <c r="I16281" s="15" t="str">
        <f t="shared" si="3"/>
        <v/>
      </c>
    </row>
    <row r="16282">
      <c r="A16282" s="8" t="str">
        <f>IFERROR(__xludf.DUMMYFUNCTION("IF('(INGESTA)Datos_consumo_datadis'!A17847&lt;&gt;"""",SPLIT('(INGESTA)Datos_consumo_datadis'!A:A,"",""),"""")"),"")</f>
        <v/>
      </c>
      <c r="G16282" s="8" t="str">
        <f t="shared" si="1"/>
        <v/>
      </c>
      <c r="H16282" s="14" t="str">
        <f t="shared" si="2"/>
        <v/>
      </c>
      <c r="I16282" s="15" t="str">
        <f t="shared" si="3"/>
        <v/>
      </c>
    </row>
    <row r="16283">
      <c r="A16283" s="8" t="str">
        <f>IFERROR(__xludf.DUMMYFUNCTION("IF('(INGESTA)Datos_consumo_datadis'!A17848&lt;&gt;"""",SPLIT('(INGESTA)Datos_consumo_datadis'!A:A,"",""),"""")"),"")</f>
        <v/>
      </c>
      <c r="G16283" s="8" t="str">
        <f t="shared" si="1"/>
        <v/>
      </c>
      <c r="H16283" s="14" t="str">
        <f t="shared" si="2"/>
        <v/>
      </c>
      <c r="I16283" s="15" t="str">
        <f t="shared" si="3"/>
        <v/>
      </c>
    </row>
    <row r="16284">
      <c r="A16284" s="8" t="str">
        <f>IFERROR(__xludf.DUMMYFUNCTION("IF('(INGESTA)Datos_consumo_datadis'!A17849&lt;&gt;"""",SPLIT('(INGESTA)Datos_consumo_datadis'!A:A,"",""),"""")"),"")</f>
        <v/>
      </c>
      <c r="G16284" s="8" t="str">
        <f t="shared" si="1"/>
        <v/>
      </c>
      <c r="H16284" s="14" t="str">
        <f t="shared" si="2"/>
        <v/>
      </c>
      <c r="I16284" s="15" t="str">
        <f t="shared" si="3"/>
        <v/>
      </c>
    </row>
    <row r="16285">
      <c r="A16285" s="8" t="str">
        <f>IFERROR(__xludf.DUMMYFUNCTION("IF('(INGESTA)Datos_consumo_datadis'!A17850&lt;&gt;"""",SPLIT('(INGESTA)Datos_consumo_datadis'!A:A,"",""),"""")"),"")</f>
        <v/>
      </c>
      <c r="G16285" s="8" t="str">
        <f t="shared" si="1"/>
        <v/>
      </c>
      <c r="H16285" s="14" t="str">
        <f t="shared" si="2"/>
        <v/>
      </c>
      <c r="I16285" s="15" t="str">
        <f t="shared" si="3"/>
        <v/>
      </c>
    </row>
    <row r="16286">
      <c r="A16286" s="8" t="str">
        <f>IFERROR(__xludf.DUMMYFUNCTION("IF('(INGESTA)Datos_consumo_datadis'!A17851&lt;&gt;"""",SPLIT('(INGESTA)Datos_consumo_datadis'!A:A,"",""),"""")"),"")</f>
        <v/>
      </c>
      <c r="G16286" s="8" t="str">
        <f t="shared" si="1"/>
        <v/>
      </c>
      <c r="H16286" s="14" t="str">
        <f t="shared" si="2"/>
        <v/>
      </c>
      <c r="I16286" s="15" t="str">
        <f t="shared" si="3"/>
        <v/>
      </c>
    </row>
    <row r="16287">
      <c r="A16287" s="8" t="str">
        <f>IFERROR(__xludf.DUMMYFUNCTION("IF('(INGESTA)Datos_consumo_datadis'!A17852&lt;&gt;"""",SPLIT('(INGESTA)Datos_consumo_datadis'!A:A,"",""),"""")"),"")</f>
        <v/>
      </c>
      <c r="G16287" s="8" t="str">
        <f t="shared" si="1"/>
        <v/>
      </c>
      <c r="H16287" s="14" t="str">
        <f t="shared" si="2"/>
        <v/>
      </c>
      <c r="I16287" s="15" t="str">
        <f t="shared" si="3"/>
        <v/>
      </c>
    </row>
    <row r="16288">
      <c r="A16288" s="8" t="str">
        <f>IFERROR(__xludf.DUMMYFUNCTION("IF('(INGESTA)Datos_consumo_datadis'!A17853&lt;&gt;"""",SPLIT('(INGESTA)Datos_consumo_datadis'!A:A,"",""),"""")"),"")</f>
        <v/>
      </c>
      <c r="G16288" s="8" t="str">
        <f t="shared" si="1"/>
        <v/>
      </c>
      <c r="H16288" s="14" t="str">
        <f t="shared" si="2"/>
        <v/>
      </c>
      <c r="I16288" s="15" t="str">
        <f t="shared" si="3"/>
        <v/>
      </c>
    </row>
    <row r="16289">
      <c r="A16289" s="8" t="str">
        <f>IFERROR(__xludf.DUMMYFUNCTION("IF('(INGESTA)Datos_consumo_datadis'!A17854&lt;&gt;"""",SPLIT('(INGESTA)Datos_consumo_datadis'!A:A,"",""),"""")"),"")</f>
        <v/>
      </c>
      <c r="G16289" s="8" t="str">
        <f t="shared" si="1"/>
        <v/>
      </c>
      <c r="H16289" s="14" t="str">
        <f t="shared" si="2"/>
        <v/>
      </c>
      <c r="I16289" s="15" t="str">
        <f t="shared" si="3"/>
        <v/>
      </c>
    </row>
    <row r="16290">
      <c r="A16290" s="8" t="str">
        <f>IFERROR(__xludf.DUMMYFUNCTION("IF('(INGESTA)Datos_consumo_datadis'!A17855&lt;&gt;"""",SPLIT('(INGESTA)Datos_consumo_datadis'!A:A,"",""),"""")"),"")</f>
        <v/>
      </c>
      <c r="G16290" s="8" t="str">
        <f t="shared" si="1"/>
        <v/>
      </c>
      <c r="H16290" s="14" t="str">
        <f t="shared" si="2"/>
        <v/>
      </c>
      <c r="I16290" s="15" t="str">
        <f t="shared" si="3"/>
        <v/>
      </c>
    </row>
    <row r="16291">
      <c r="A16291" s="8" t="str">
        <f>IFERROR(__xludf.DUMMYFUNCTION("IF('(INGESTA)Datos_consumo_datadis'!A17856&lt;&gt;"""",SPLIT('(INGESTA)Datos_consumo_datadis'!A:A,"",""),"""")"),"")</f>
        <v/>
      </c>
      <c r="G16291" s="8" t="str">
        <f t="shared" si="1"/>
        <v/>
      </c>
      <c r="H16291" s="14" t="str">
        <f t="shared" si="2"/>
        <v/>
      </c>
      <c r="I16291" s="15" t="str">
        <f t="shared" si="3"/>
        <v/>
      </c>
    </row>
    <row r="16292">
      <c r="A16292" s="8" t="str">
        <f>IFERROR(__xludf.DUMMYFUNCTION("IF('(INGESTA)Datos_consumo_datadis'!A17857&lt;&gt;"""",SPLIT('(INGESTA)Datos_consumo_datadis'!A:A,"",""),"""")"),"")</f>
        <v/>
      </c>
      <c r="G16292" s="8" t="str">
        <f t="shared" si="1"/>
        <v/>
      </c>
      <c r="H16292" s="14" t="str">
        <f t="shared" si="2"/>
        <v/>
      </c>
      <c r="I16292" s="15" t="str">
        <f t="shared" si="3"/>
        <v/>
      </c>
    </row>
    <row r="16293">
      <c r="A16293" s="8" t="str">
        <f>IFERROR(__xludf.DUMMYFUNCTION("IF('(INGESTA)Datos_consumo_datadis'!A17858&lt;&gt;"""",SPLIT('(INGESTA)Datos_consumo_datadis'!A:A,"",""),"""")"),"")</f>
        <v/>
      </c>
      <c r="G16293" s="8" t="str">
        <f t="shared" si="1"/>
        <v/>
      </c>
      <c r="H16293" s="14" t="str">
        <f t="shared" si="2"/>
        <v/>
      </c>
      <c r="I16293" s="15" t="str">
        <f t="shared" si="3"/>
        <v/>
      </c>
    </row>
    <row r="16294">
      <c r="A16294" s="8" t="str">
        <f>IFERROR(__xludf.DUMMYFUNCTION("IF('(INGESTA)Datos_consumo_datadis'!A17859&lt;&gt;"""",SPLIT('(INGESTA)Datos_consumo_datadis'!A:A,"",""),"""")"),"")</f>
        <v/>
      </c>
      <c r="G16294" s="8" t="str">
        <f t="shared" si="1"/>
        <v/>
      </c>
      <c r="H16294" s="14" t="str">
        <f t="shared" si="2"/>
        <v/>
      </c>
      <c r="I16294" s="15" t="str">
        <f t="shared" si="3"/>
        <v/>
      </c>
    </row>
    <row r="16295">
      <c r="A16295" s="8" t="str">
        <f>IFERROR(__xludf.DUMMYFUNCTION("IF('(INGESTA)Datos_consumo_datadis'!A17860&lt;&gt;"""",SPLIT('(INGESTA)Datos_consumo_datadis'!A:A,"",""),"""")"),"")</f>
        <v/>
      </c>
      <c r="G16295" s="8" t="str">
        <f t="shared" si="1"/>
        <v/>
      </c>
      <c r="H16295" s="14" t="str">
        <f t="shared" si="2"/>
        <v/>
      </c>
      <c r="I16295" s="15" t="str">
        <f t="shared" si="3"/>
        <v/>
      </c>
    </row>
    <row r="16296">
      <c r="A16296" s="8" t="str">
        <f>IFERROR(__xludf.DUMMYFUNCTION("IF('(INGESTA)Datos_consumo_datadis'!A17861&lt;&gt;"""",SPLIT('(INGESTA)Datos_consumo_datadis'!A:A,"",""),"""")"),"")</f>
        <v/>
      </c>
      <c r="G16296" s="8" t="str">
        <f t="shared" si="1"/>
        <v/>
      </c>
      <c r="H16296" s="14" t="str">
        <f t="shared" si="2"/>
        <v/>
      </c>
      <c r="I16296" s="15" t="str">
        <f t="shared" si="3"/>
        <v/>
      </c>
    </row>
    <row r="16297">
      <c r="A16297" s="8" t="str">
        <f>IFERROR(__xludf.DUMMYFUNCTION("IF('(INGESTA)Datos_consumo_datadis'!A17862&lt;&gt;"""",SPLIT('(INGESTA)Datos_consumo_datadis'!A:A,"",""),"""")"),"")</f>
        <v/>
      </c>
      <c r="G16297" s="8" t="str">
        <f t="shared" si="1"/>
        <v/>
      </c>
      <c r="H16297" s="14" t="str">
        <f t="shared" si="2"/>
        <v/>
      </c>
      <c r="I16297" s="15" t="str">
        <f t="shared" si="3"/>
        <v/>
      </c>
    </row>
    <row r="16298">
      <c r="A16298" s="8" t="str">
        <f>IFERROR(__xludf.DUMMYFUNCTION("IF('(INGESTA)Datos_consumo_datadis'!A17863&lt;&gt;"""",SPLIT('(INGESTA)Datos_consumo_datadis'!A:A,"",""),"""")"),"")</f>
        <v/>
      </c>
      <c r="G16298" s="8" t="str">
        <f t="shared" si="1"/>
        <v/>
      </c>
      <c r="H16298" s="14" t="str">
        <f t="shared" si="2"/>
        <v/>
      </c>
      <c r="I16298" s="15" t="str">
        <f t="shared" si="3"/>
        <v/>
      </c>
    </row>
    <row r="16299">
      <c r="A16299" s="8" t="str">
        <f>IFERROR(__xludf.DUMMYFUNCTION("IF('(INGESTA)Datos_consumo_datadis'!A17864&lt;&gt;"""",SPLIT('(INGESTA)Datos_consumo_datadis'!A:A,"",""),"""")"),"")</f>
        <v/>
      </c>
      <c r="G16299" s="8" t="str">
        <f t="shared" si="1"/>
        <v/>
      </c>
      <c r="H16299" s="14" t="str">
        <f t="shared" si="2"/>
        <v/>
      </c>
      <c r="I16299" s="15" t="str">
        <f t="shared" si="3"/>
        <v/>
      </c>
    </row>
    <row r="16300">
      <c r="A16300" s="8" t="str">
        <f>IFERROR(__xludf.DUMMYFUNCTION("IF('(INGESTA)Datos_consumo_datadis'!A17865&lt;&gt;"""",SPLIT('(INGESTA)Datos_consumo_datadis'!A:A,"",""),"""")"),"")</f>
        <v/>
      </c>
      <c r="G16300" s="8" t="str">
        <f t="shared" si="1"/>
        <v/>
      </c>
      <c r="H16300" s="14" t="str">
        <f t="shared" si="2"/>
        <v/>
      </c>
      <c r="I16300" s="15" t="str">
        <f t="shared" si="3"/>
        <v/>
      </c>
    </row>
    <row r="16301">
      <c r="A16301" s="8" t="str">
        <f>IFERROR(__xludf.DUMMYFUNCTION("IF('(INGESTA)Datos_consumo_datadis'!A17866&lt;&gt;"""",SPLIT('(INGESTA)Datos_consumo_datadis'!A:A,"",""),"""")"),"")</f>
        <v/>
      </c>
      <c r="G16301" s="8" t="str">
        <f t="shared" si="1"/>
        <v/>
      </c>
      <c r="H16301" s="14" t="str">
        <f t="shared" si="2"/>
        <v/>
      </c>
      <c r="I16301" s="15" t="str">
        <f t="shared" si="3"/>
        <v/>
      </c>
    </row>
    <row r="16302">
      <c r="A16302" s="8" t="str">
        <f>IFERROR(__xludf.DUMMYFUNCTION("IF('(INGESTA)Datos_consumo_datadis'!A17867&lt;&gt;"""",SPLIT('(INGESTA)Datos_consumo_datadis'!A:A,"",""),"""")"),"")</f>
        <v/>
      </c>
      <c r="G16302" s="8" t="str">
        <f t="shared" si="1"/>
        <v/>
      </c>
      <c r="H16302" s="14" t="str">
        <f t="shared" si="2"/>
        <v/>
      </c>
      <c r="I16302" s="15" t="str">
        <f t="shared" si="3"/>
        <v/>
      </c>
    </row>
    <row r="16303">
      <c r="A16303" s="8" t="str">
        <f>IFERROR(__xludf.DUMMYFUNCTION("IF('(INGESTA)Datos_consumo_datadis'!A17868&lt;&gt;"""",SPLIT('(INGESTA)Datos_consumo_datadis'!A:A,"",""),"""")"),"")</f>
        <v/>
      </c>
      <c r="G16303" s="8" t="str">
        <f t="shared" si="1"/>
        <v/>
      </c>
      <c r="H16303" s="14" t="str">
        <f t="shared" si="2"/>
        <v/>
      </c>
      <c r="I16303" s="15" t="str">
        <f t="shared" si="3"/>
        <v/>
      </c>
    </row>
    <row r="16304">
      <c r="A16304" s="8" t="str">
        <f>IFERROR(__xludf.DUMMYFUNCTION("IF('(INGESTA)Datos_consumo_datadis'!A17869&lt;&gt;"""",SPLIT('(INGESTA)Datos_consumo_datadis'!A:A,"",""),"""")"),"")</f>
        <v/>
      </c>
      <c r="G16304" s="8" t="str">
        <f t="shared" si="1"/>
        <v/>
      </c>
      <c r="H16304" s="14" t="str">
        <f t="shared" si="2"/>
        <v/>
      </c>
      <c r="I16304" s="15" t="str">
        <f t="shared" si="3"/>
        <v/>
      </c>
    </row>
    <row r="16305">
      <c r="A16305" s="8" t="str">
        <f>IFERROR(__xludf.DUMMYFUNCTION("IF('(INGESTA)Datos_consumo_datadis'!A17870&lt;&gt;"""",SPLIT('(INGESTA)Datos_consumo_datadis'!A:A,"",""),"""")"),"")</f>
        <v/>
      </c>
      <c r="G16305" s="8" t="str">
        <f t="shared" si="1"/>
        <v/>
      </c>
      <c r="H16305" s="14" t="str">
        <f t="shared" si="2"/>
        <v/>
      </c>
      <c r="I16305" s="15" t="str">
        <f t="shared" si="3"/>
        <v/>
      </c>
    </row>
    <row r="16306">
      <c r="A16306" s="8" t="str">
        <f>IFERROR(__xludf.DUMMYFUNCTION("IF('(INGESTA)Datos_consumo_datadis'!A17871&lt;&gt;"""",SPLIT('(INGESTA)Datos_consumo_datadis'!A:A,"",""),"""")"),"")</f>
        <v/>
      </c>
      <c r="G16306" s="8" t="str">
        <f t="shared" si="1"/>
        <v/>
      </c>
      <c r="H16306" s="14" t="str">
        <f t="shared" si="2"/>
        <v/>
      </c>
      <c r="I16306" s="15" t="str">
        <f t="shared" si="3"/>
        <v/>
      </c>
    </row>
    <row r="16307">
      <c r="A16307" s="8" t="str">
        <f>IFERROR(__xludf.DUMMYFUNCTION("IF('(INGESTA)Datos_consumo_datadis'!A17872&lt;&gt;"""",SPLIT('(INGESTA)Datos_consumo_datadis'!A:A,"",""),"""")"),"")</f>
        <v/>
      </c>
      <c r="G16307" s="8" t="str">
        <f t="shared" si="1"/>
        <v/>
      </c>
      <c r="H16307" s="14" t="str">
        <f t="shared" si="2"/>
        <v/>
      </c>
      <c r="I16307" s="15" t="str">
        <f t="shared" si="3"/>
        <v/>
      </c>
    </row>
    <row r="16308">
      <c r="A16308" s="8" t="str">
        <f>IFERROR(__xludf.DUMMYFUNCTION("IF('(INGESTA)Datos_consumo_datadis'!A17873&lt;&gt;"""",SPLIT('(INGESTA)Datos_consumo_datadis'!A:A,"",""),"""")"),"")</f>
        <v/>
      </c>
      <c r="G16308" s="8" t="str">
        <f t="shared" si="1"/>
        <v/>
      </c>
      <c r="H16308" s="14" t="str">
        <f t="shared" si="2"/>
        <v/>
      </c>
      <c r="I16308" s="15" t="str">
        <f t="shared" si="3"/>
        <v/>
      </c>
    </row>
    <row r="16309">
      <c r="A16309" s="8" t="str">
        <f>IFERROR(__xludf.DUMMYFUNCTION("IF('(INGESTA)Datos_consumo_datadis'!A17874&lt;&gt;"""",SPLIT('(INGESTA)Datos_consumo_datadis'!A:A,"",""),"""")"),"")</f>
        <v/>
      </c>
      <c r="G16309" s="8" t="str">
        <f t="shared" si="1"/>
        <v/>
      </c>
      <c r="H16309" s="14" t="str">
        <f t="shared" si="2"/>
        <v/>
      </c>
      <c r="I16309" s="15" t="str">
        <f t="shared" si="3"/>
        <v/>
      </c>
    </row>
    <row r="16310">
      <c r="A16310" s="8" t="str">
        <f>IFERROR(__xludf.DUMMYFUNCTION("IF('(INGESTA)Datos_consumo_datadis'!A17875&lt;&gt;"""",SPLIT('(INGESTA)Datos_consumo_datadis'!A:A,"",""),"""")"),"")</f>
        <v/>
      </c>
      <c r="G16310" s="8" t="str">
        <f t="shared" si="1"/>
        <v/>
      </c>
      <c r="H16310" s="14" t="str">
        <f t="shared" si="2"/>
        <v/>
      </c>
      <c r="I16310" s="15" t="str">
        <f t="shared" si="3"/>
        <v/>
      </c>
    </row>
    <row r="16311">
      <c r="A16311" s="8" t="str">
        <f>IFERROR(__xludf.DUMMYFUNCTION("IF('(INGESTA)Datos_consumo_datadis'!A17876&lt;&gt;"""",SPLIT('(INGESTA)Datos_consumo_datadis'!A:A,"",""),"""")"),"")</f>
        <v/>
      </c>
      <c r="G16311" s="8" t="str">
        <f t="shared" si="1"/>
        <v/>
      </c>
      <c r="H16311" s="14" t="str">
        <f t="shared" si="2"/>
        <v/>
      </c>
      <c r="I16311" s="15" t="str">
        <f t="shared" si="3"/>
        <v/>
      </c>
    </row>
    <row r="16312">
      <c r="A16312" s="8" t="str">
        <f>IFERROR(__xludf.DUMMYFUNCTION("IF('(INGESTA)Datos_consumo_datadis'!A17877&lt;&gt;"""",SPLIT('(INGESTA)Datos_consumo_datadis'!A:A,"",""),"""")"),"")</f>
        <v/>
      </c>
      <c r="G16312" s="8" t="str">
        <f t="shared" si="1"/>
        <v/>
      </c>
      <c r="H16312" s="14" t="str">
        <f t="shared" si="2"/>
        <v/>
      </c>
      <c r="I16312" s="15" t="str">
        <f t="shared" si="3"/>
        <v/>
      </c>
    </row>
    <row r="16313">
      <c r="A16313" s="8" t="str">
        <f>IFERROR(__xludf.DUMMYFUNCTION("IF('(INGESTA)Datos_consumo_datadis'!A17878&lt;&gt;"""",SPLIT('(INGESTA)Datos_consumo_datadis'!A:A,"",""),"""")"),"")</f>
        <v/>
      </c>
      <c r="G16313" s="8" t="str">
        <f t="shared" si="1"/>
        <v/>
      </c>
      <c r="H16313" s="14" t="str">
        <f t="shared" si="2"/>
        <v/>
      </c>
      <c r="I16313" s="15" t="str">
        <f t="shared" si="3"/>
        <v/>
      </c>
    </row>
    <row r="16314">
      <c r="A16314" s="8" t="str">
        <f>IFERROR(__xludf.DUMMYFUNCTION("IF('(INGESTA)Datos_consumo_datadis'!A17879&lt;&gt;"""",SPLIT('(INGESTA)Datos_consumo_datadis'!A:A,"",""),"""")"),"")</f>
        <v/>
      </c>
      <c r="G16314" s="8" t="str">
        <f t="shared" si="1"/>
        <v/>
      </c>
      <c r="H16314" s="14" t="str">
        <f t="shared" si="2"/>
        <v/>
      </c>
      <c r="I16314" s="15" t="str">
        <f t="shared" si="3"/>
        <v/>
      </c>
    </row>
    <row r="16315">
      <c r="A16315" s="8" t="str">
        <f>IFERROR(__xludf.DUMMYFUNCTION("IF('(INGESTA)Datos_consumo_datadis'!A17880&lt;&gt;"""",SPLIT('(INGESTA)Datos_consumo_datadis'!A:A,"",""),"""")"),"")</f>
        <v/>
      </c>
      <c r="G16315" s="8" t="str">
        <f t="shared" si="1"/>
        <v/>
      </c>
      <c r="H16315" s="14" t="str">
        <f t="shared" si="2"/>
        <v/>
      </c>
      <c r="I16315" s="15" t="str">
        <f t="shared" si="3"/>
        <v/>
      </c>
    </row>
    <row r="16316">
      <c r="A16316" s="8" t="str">
        <f>IFERROR(__xludf.DUMMYFUNCTION("IF('(INGESTA)Datos_consumo_datadis'!A17881&lt;&gt;"""",SPLIT('(INGESTA)Datos_consumo_datadis'!A:A,"",""),"""")"),"")</f>
        <v/>
      </c>
      <c r="G16316" s="8" t="str">
        <f t="shared" si="1"/>
        <v/>
      </c>
      <c r="H16316" s="14" t="str">
        <f t="shared" si="2"/>
        <v/>
      </c>
      <c r="I16316" s="15" t="str">
        <f t="shared" si="3"/>
        <v/>
      </c>
    </row>
    <row r="16317">
      <c r="A16317" s="8" t="str">
        <f>IFERROR(__xludf.DUMMYFUNCTION("IF('(INGESTA)Datos_consumo_datadis'!A17882&lt;&gt;"""",SPLIT('(INGESTA)Datos_consumo_datadis'!A:A,"",""),"""")"),"")</f>
        <v/>
      </c>
      <c r="G16317" s="8" t="str">
        <f t="shared" si="1"/>
        <v/>
      </c>
      <c r="H16317" s="14" t="str">
        <f t="shared" si="2"/>
        <v/>
      </c>
      <c r="I16317" s="15" t="str">
        <f t="shared" si="3"/>
        <v/>
      </c>
    </row>
    <row r="16318">
      <c r="A16318" s="8" t="str">
        <f>IFERROR(__xludf.DUMMYFUNCTION("IF('(INGESTA)Datos_consumo_datadis'!A17883&lt;&gt;"""",SPLIT('(INGESTA)Datos_consumo_datadis'!A:A,"",""),"""")"),"")</f>
        <v/>
      </c>
      <c r="G16318" s="8" t="str">
        <f t="shared" si="1"/>
        <v/>
      </c>
      <c r="H16318" s="14" t="str">
        <f t="shared" si="2"/>
        <v/>
      </c>
      <c r="I16318" s="15" t="str">
        <f t="shared" si="3"/>
        <v/>
      </c>
    </row>
    <row r="16319">
      <c r="A16319" s="8" t="str">
        <f>IFERROR(__xludf.DUMMYFUNCTION("IF('(INGESTA)Datos_consumo_datadis'!A17884&lt;&gt;"""",SPLIT('(INGESTA)Datos_consumo_datadis'!A:A,"",""),"""")"),"")</f>
        <v/>
      </c>
      <c r="G16319" s="8" t="str">
        <f t="shared" si="1"/>
        <v/>
      </c>
      <c r="H16319" s="14" t="str">
        <f t="shared" si="2"/>
        <v/>
      </c>
      <c r="I16319" s="15" t="str">
        <f t="shared" si="3"/>
        <v/>
      </c>
    </row>
    <row r="16320">
      <c r="A16320" s="8" t="str">
        <f>IFERROR(__xludf.DUMMYFUNCTION("IF('(INGESTA)Datos_consumo_datadis'!A17885&lt;&gt;"""",SPLIT('(INGESTA)Datos_consumo_datadis'!A:A,"",""),"""")"),"")</f>
        <v/>
      </c>
      <c r="G16320" s="8" t="str">
        <f t="shared" si="1"/>
        <v/>
      </c>
      <c r="H16320" s="14" t="str">
        <f t="shared" si="2"/>
        <v/>
      </c>
      <c r="I16320" s="15" t="str">
        <f t="shared" si="3"/>
        <v/>
      </c>
    </row>
    <row r="16321">
      <c r="A16321" s="8" t="str">
        <f>IFERROR(__xludf.DUMMYFUNCTION("IF('(INGESTA)Datos_consumo_datadis'!A17886&lt;&gt;"""",SPLIT('(INGESTA)Datos_consumo_datadis'!A:A,"",""),"""")"),"")</f>
        <v/>
      </c>
      <c r="G16321" s="8" t="str">
        <f t="shared" si="1"/>
        <v/>
      </c>
      <c r="H16321" s="14" t="str">
        <f t="shared" si="2"/>
        <v/>
      </c>
      <c r="I16321" s="15" t="str">
        <f t="shared" si="3"/>
        <v/>
      </c>
    </row>
    <row r="16322">
      <c r="A16322" s="8" t="str">
        <f>IFERROR(__xludf.DUMMYFUNCTION("IF('(INGESTA)Datos_consumo_datadis'!A17887&lt;&gt;"""",SPLIT('(INGESTA)Datos_consumo_datadis'!A:A,"",""),"""")"),"")</f>
        <v/>
      </c>
      <c r="G16322" s="8" t="str">
        <f t="shared" si="1"/>
        <v/>
      </c>
      <c r="H16322" s="14" t="str">
        <f t="shared" si="2"/>
        <v/>
      </c>
      <c r="I16322" s="15" t="str">
        <f t="shared" si="3"/>
        <v/>
      </c>
    </row>
    <row r="16323">
      <c r="A16323" s="8" t="str">
        <f>IFERROR(__xludf.DUMMYFUNCTION("IF('(INGESTA)Datos_consumo_datadis'!A17888&lt;&gt;"""",SPLIT('(INGESTA)Datos_consumo_datadis'!A:A,"",""),"""")"),"")</f>
        <v/>
      </c>
      <c r="G16323" s="8" t="str">
        <f t="shared" si="1"/>
        <v/>
      </c>
      <c r="H16323" s="14" t="str">
        <f t="shared" si="2"/>
        <v/>
      </c>
      <c r="I16323" s="15" t="str">
        <f t="shared" si="3"/>
        <v/>
      </c>
    </row>
    <row r="16324">
      <c r="A16324" s="8" t="str">
        <f>IFERROR(__xludf.DUMMYFUNCTION("IF('(INGESTA)Datos_consumo_datadis'!A17889&lt;&gt;"""",SPLIT('(INGESTA)Datos_consumo_datadis'!A:A,"",""),"""")"),"")</f>
        <v/>
      </c>
      <c r="G16324" s="8" t="str">
        <f t="shared" si="1"/>
        <v/>
      </c>
      <c r="H16324" s="14" t="str">
        <f t="shared" si="2"/>
        <v/>
      </c>
      <c r="I16324" s="15" t="str">
        <f t="shared" si="3"/>
        <v/>
      </c>
    </row>
    <row r="16325">
      <c r="A16325" s="8" t="str">
        <f>IFERROR(__xludf.DUMMYFUNCTION("IF('(INGESTA)Datos_consumo_datadis'!A17890&lt;&gt;"""",SPLIT('(INGESTA)Datos_consumo_datadis'!A:A,"",""),"""")"),"")</f>
        <v/>
      </c>
      <c r="G16325" s="8" t="str">
        <f t="shared" si="1"/>
        <v/>
      </c>
      <c r="H16325" s="14" t="str">
        <f t="shared" si="2"/>
        <v/>
      </c>
      <c r="I16325" s="15" t="str">
        <f t="shared" si="3"/>
        <v/>
      </c>
    </row>
    <row r="16326">
      <c r="A16326" s="8" t="str">
        <f>IFERROR(__xludf.DUMMYFUNCTION("IF('(INGESTA)Datos_consumo_datadis'!A17891&lt;&gt;"""",SPLIT('(INGESTA)Datos_consumo_datadis'!A:A,"",""),"""")"),"")</f>
        <v/>
      </c>
      <c r="G16326" s="8" t="str">
        <f t="shared" si="1"/>
        <v/>
      </c>
      <c r="H16326" s="14" t="str">
        <f t="shared" si="2"/>
        <v/>
      </c>
      <c r="I16326" s="15" t="str">
        <f t="shared" si="3"/>
        <v/>
      </c>
    </row>
    <row r="16327">
      <c r="A16327" s="8" t="str">
        <f>IFERROR(__xludf.DUMMYFUNCTION("IF('(INGESTA)Datos_consumo_datadis'!A17892&lt;&gt;"""",SPLIT('(INGESTA)Datos_consumo_datadis'!A:A,"",""),"""")"),"")</f>
        <v/>
      </c>
      <c r="G16327" s="8" t="str">
        <f t="shared" si="1"/>
        <v/>
      </c>
      <c r="H16327" s="14" t="str">
        <f t="shared" si="2"/>
        <v/>
      </c>
      <c r="I16327" s="15" t="str">
        <f t="shared" si="3"/>
        <v/>
      </c>
    </row>
    <row r="16328">
      <c r="A16328" s="8" t="str">
        <f>IFERROR(__xludf.DUMMYFUNCTION("IF('(INGESTA)Datos_consumo_datadis'!A17893&lt;&gt;"""",SPLIT('(INGESTA)Datos_consumo_datadis'!A:A,"",""),"""")"),"")</f>
        <v/>
      </c>
      <c r="G16328" s="8" t="str">
        <f t="shared" si="1"/>
        <v/>
      </c>
      <c r="H16328" s="14" t="str">
        <f t="shared" si="2"/>
        <v/>
      </c>
      <c r="I16328" s="15" t="str">
        <f t="shared" si="3"/>
        <v/>
      </c>
    </row>
    <row r="16329">
      <c r="A16329" s="8" t="str">
        <f>IFERROR(__xludf.DUMMYFUNCTION("IF('(INGESTA)Datos_consumo_datadis'!A17894&lt;&gt;"""",SPLIT('(INGESTA)Datos_consumo_datadis'!A:A,"",""),"""")"),"")</f>
        <v/>
      </c>
      <c r="G16329" s="8" t="str">
        <f t="shared" si="1"/>
        <v/>
      </c>
      <c r="H16329" s="14" t="str">
        <f t="shared" si="2"/>
        <v/>
      </c>
      <c r="I16329" s="15" t="str">
        <f t="shared" si="3"/>
        <v/>
      </c>
    </row>
    <row r="16330">
      <c r="A16330" s="8" t="str">
        <f>IFERROR(__xludf.DUMMYFUNCTION("IF('(INGESTA)Datos_consumo_datadis'!A17895&lt;&gt;"""",SPLIT('(INGESTA)Datos_consumo_datadis'!A:A,"",""),"""")"),"")</f>
        <v/>
      </c>
      <c r="G16330" s="8" t="str">
        <f t="shared" si="1"/>
        <v/>
      </c>
      <c r="H16330" s="14" t="str">
        <f t="shared" si="2"/>
        <v/>
      </c>
      <c r="I16330" s="15" t="str">
        <f t="shared" si="3"/>
        <v/>
      </c>
    </row>
    <row r="16331">
      <c r="A16331" s="8" t="str">
        <f>IFERROR(__xludf.DUMMYFUNCTION("IF('(INGESTA)Datos_consumo_datadis'!A17896&lt;&gt;"""",SPLIT('(INGESTA)Datos_consumo_datadis'!A:A,"",""),"""")"),"")</f>
        <v/>
      </c>
      <c r="G16331" s="8" t="str">
        <f t="shared" si="1"/>
        <v/>
      </c>
      <c r="H16331" s="14" t="str">
        <f t="shared" si="2"/>
        <v/>
      </c>
      <c r="I16331" s="15" t="str">
        <f t="shared" si="3"/>
        <v/>
      </c>
    </row>
    <row r="16332">
      <c r="A16332" s="8" t="str">
        <f>IFERROR(__xludf.DUMMYFUNCTION("IF('(INGESTA)Datos_consumo_datadis'!A17897&lt;&gt;"""",SPLIT('(INGESTA)Datos_consumo_datadis'!A:A,"",""),"""")"),"")</f>
        <v/>
      </c>
      <c r="G16332" s="8" t="str">
        <f t="shared" si="1"/>
        <v/>
      </c>
      <c r="H16332" s="14" t="str">
        <f t="shared" si="2"/>
        <v/>
      </c>
      <c r="I16332" s="15" t="str">
        <f t="shared" si="3"/>
        <v/>
      </c>
    </row>
    <row r="16333">
      <c r="A16333" s="8" t="str">
        <f>IFERROR(__xludf.DUMMYFUNCTION("IF('(INGESTA)Datos_consumo_datadis'!A17898&lt;&gt;"""",SPLIT('(INGESTA)Datos_consumo_datadis'!A:A,"",""),"""")"),"")</f>
        <v/>
      </c>
      <c r="G16333" s="8" t="str">
        <f t="shared" si="1"/>
        <v/>
      </c>
      <c r="H16333" s="14" t="str">
        <f t="shared" si="2"/>
        <v/>
      </c>
      <c r="I16333" s="15" t="str">
        <f t="shared" si="3"/>
        <v/>
      </c>
    </row>
    <row r="16334">
      <c r="A16334" s="8" t="str">
        <f>IFERROR(__xludf.DUMMYFUNCTION("IF('(INGESTA)Datos_consumo_datadis'!A17899&lt;&gt;"""",SPLIT('(INGESTA)Datos_consumo_datadis'!A:A,"",""),"""")"),"")</f>
        <v/>
      </c>
      <c r="G16334" s="8" t="str">
        <f t="shared" si="1"/>
        <v/>
      </c>
      <c r="H16334" s="14" t="str">
        <f t="shared" si="2"/>
        <v/>
      </c>
      <c r="I16334" s="15" t="str">
        <f t="shared" si="3"/>
        <v/>
      </c>
    </row>
    <row r="16335">
      <c r="A16335" s="8" t="str">
        <f>IFERROR(__xludf.DUMMYFUNCTION("IF('(INGESTA)Datos_consumo_datadis'!A17900&lt;&gt;"""",SPLIT('(INGESTA)Datos_consumo_datadis'!A:A,"",""),"""")"),"")</f>
        <v/>
      </c>
      <c r="G16335" s="8" t="str">
        <f t="shared" si="1"/>
        <v/>
      </c>
      <c r="H16335" s="14" t="str">
        <f t="shared" si="2"/>
        <v/>
      </c>
      <c r="I16335" s="15" t="str">
        <f t="shared" si="3"/>
        <v/>
      </c>
    </row>
    <row r="16336">
      <c r="A16336" s="8" t="str">
        <f>IFERROR(__xludf.DUMMYFUNCTION("IF('(INGESTA)Datos_consumo_datadis'!A17901&lt;&gt;"""",SPLIT('(INGESTA)Datos_consumo_datadis'!A:A,"",""),"""")"),"")</f>
        <v/>
      </c>
      <c r="G16336" s="8" t="str">
        <f t="shared" si="1"/>
        <v/>
      </c>
      <c r="H16336" s="14" t="str">
        <f t="shared" si="2"/>
        <v/>
      </c>
      <c r="I16336" s="15" t="str">
        <f t="shared" si="3"/>
        <v/>
      </c>
    </row>
    <row r="16337">
      <c r="A16337" s="8" t="str">
        <f>IFERROR(__xludf.DUMMYFUNCTION("IF('(INGESTA)Datos_consumo_datadis'!A17902&lt;&gt;"""",SPLIT('(INGESTA)Datos_consumo_datadis'!A:A,"",""),"""")"),"")</f>
        <v/>
      </c>
      <c r="G16337" s="8" t="str">
        <f t="shared" si="1"/>
        <v/>
      </c>
      <c r="H16337" s="14" t="str">
        <f t="shared" si="2"/>
        <v/>
      </c>
      <c r="I16337" s="15" t="str">
        <f t="shared" si="3"/>
        <v/>
      </c>
    </row>
    <row r="16338">
      <c r="A16338" s="8" t="str">
        <f>IFERROR(__xludf.DUMMYFUNCTION("IF('(INGESTA)Datos_consumo_datadis'!A17903&lt;&gt;"""",SPLIT('(INGESTA)Datos_consumo_datadis'!A:A,"",""),"""")"),"")</f>
        <v/>
      </c>
      <c r="G16338" s="8" t="str">
        <f t="shared" si="1"/>
        <v/>
      </c>
      <c r="H16338" s="14" t="str">
        <f t="shared" si="2"/>
        <v/>
      </c>
      <c r="I16338" s="15" t="str">
        <f t="shared" si="3"/>
        <v/>
      </c>
    </row>
    <row r="16339">
      <c r="A16339" s="8" t="str">
        <f>IFERROR(__xludf.DUMMYFUNCTION("IF('(INGESTA)Datos_consumo_datadis'!A17904&lt;&gt;"""",SPLIT('(INGESTA)Datos_consumo_datadis'!A:A,"",""),"""")"),"")</f>
        <v/>
      </c>
      <c r="G16339" s="8" t="str">
        <f t="shared" si="1"/>
        <v/>
      </c>
      <c r="H16339" s="14" t="str">
        <f t="shared" si="2"/>
        <v/>
      </c>
      <c r="I16339" s="15" t="str">
        <f t="shared" si="3"/>
        <v/>
      </c>
    </row>
    <row r="16340">
      <c r="A16340" s="8" t="str">
        <f>IFERROR(__xludf.DUMMYFUNCTION("IF('(INGESTA)Datos_consumo_datadis'!A17905&lt;&gt;"""",SPLIT('(INGESTA)Datos_consumo_datadis'!A:A,"",""),"""")"),"")</f>
        <v/>
      </c>
      <c r="G16340" s="8" t="str">
        <f t="shared" si="1"/>
        <v/>
      </c>
      <c r="H16340" s="14" t="str">
        <f t="shared" si="2"/>
        <v/>
      </c>
      <c r="I16340" s="15" t="str">
        <f t="shared" si="3"/>
        <v/>
      </c>
    </row>
    <row r="16341">
      <c r="A16341" s="8" t="str">
        <f>IFERROR(__xludf.DUMMYFUNCTION("IF('(INGESTA)Datos_consumo_datadis'!A17906&lt;&gt;"""",SPLIT('(INGESTA)Datos_consumo_datadis'!A:A,"",""),"""")"),"")</f>
        <v/>
      </c>
      <c r="G16341" s="8" t="str">
        <f t="shared" si="1"/>
        <v/>
      </c>
      <c r="H16341" s="14" t="str">
        <f t="shared" si="2"/>
        <v/>
      </c>
      <c r="I16341" s="15" t="str">
        <f t="shared" si="3"/>
        <v/>
      </c>
    </row>
    <row r="16342">
      <c r="A16342" s="8" t="str">
        <f>IFERROR(__xludf.DUMMYFUNCTION("IF('(INGESTA)Datos_consumo_datadis'!A17907&lt;&gt;"""",SPLIT('(INGESTA)Datos_consumo_datadis'!A:A,"",""),"""")"),"")</f>
        <v/>
      </c>
      <c r="G16342" s="8" t="str">
        <f t="shared" si="1"/>
        <v/>
      </c>
      <c r="H16342" s="14" t="str">
        <f t="shared" si="2"/>
        <v/>
      </c>
      <c r="I16342" s="15" t="str">
        <f t="shared" si="3"/>
        <v/>
      </c>
    </row>
    <row r="16343">
      <c r="A16343" s="8" t="str">
        <f>IFERROR(__xludf.DUMMYFUNCTION("IF('(INGESTA)Datos_consumo_datadis'!A17908&lt;&gt;"""",SPLIT('(INGESTA)Datos_consumo_datadis'!A:A,"",""),"""")"),"")</f>
        <v/>
      </c>
      <c r="G16343" s="8" t="str">
        <f t="shared" si="1"/>
        <v/>
      </c>
      <c r="H16343" s="14" t="str">
        <f t="shared" si="2"/>
        <v/>
      </c>
      <c r="I16343" s="15" t="str">
        <f t="shared" si="3"/>
        <v/>
      </c>
    </row>
    <row r="16344">
      <c r="A16344" s="8" t="str">
        <f>IFERROR(__xludf.DUMMYFUNCTION("IF('(INGESTA)Datos_consumo_datadis'!A17909&lt;&gt;"""",SPLIT('(INGESTA)Datos_consumo_datadis'!A:A,"",""),"""")"),"")</f>
        <v/>
      </c>
      <c r="G16344" s="8" t="str">
        <f t="shared" si="1"/>
        <v/>
      </c>
      <c r="H16344" s="14" t="str">
        <f t="shared" si="2"/>
        <v/>
      </c>
      <c r="I16344" s="15" t="str">
        <f t="shared" si="3"/>
        <v/>
      </c>
    </row>
    <row r="16345">
      <c r="A16345" s="8" t="str">
        <f>IFERROR(__xludf.DUMMYFUNCTION("IF('(INGESTA)Datos_consumo_datadis'!A17910&lt;&gt;"""",SPLIT('(INGESTA)Datos_consumo_datadis'!A:A,"",""),"""")"),"")</f>
        <v/>
      </c>
      <c r="G16345" s="8" t="str">
        <f t="shared" si="1"/>
        <v/>
      </c>
      <c r="H16345" s="14" t="str">
        <f t="shared" si="2"/>
        <v/>
      </c>
      <c r="I16345" s="15" t="str">
        <f t="shared" si="3"/>
        <v/>
      </c>
    </row>
    <row r="16346">
      <c r="A16346" s="8" t="str">
        <f>IFERROR(__xludf.DUMMYFUNCTION("IF('(INGESTA)Datos_consumo_datadis'!A17911&lt;&gt;"""",SPLIT('(INGESTA)Datos_consumo_datadis'!A:A,"",""),"""")"),"")</f>
        <v/>
      </c>
      <c r="G16346" s="8" t="str">
        <f t="shared" si="1"/>
        <v/>
      </c>
      <c r="H16346" s="14" t="str">
        <f t="shared" si="2"/>
        <v/>
      </c>
      <c r="I16346" s="15" t="str">
        <f t="shared" si="3"/>
        <v/>
      </c>
    </row>
    <row r="16347">
      <c r="A16347" s="8" t="str">
        <f>IFERROR(__xludf.DUMMYFUNCTION("IF('(INGESTA)Datos_consumo_datadis'!A17912&lt;&gt;"""",SPLIT('(INGESTA)Datos_consumo_datadis'!A:A,"",""),"""")"),"")</f>
        <v/>
      </c>
      <c r="G16347" s="8" t="str">
        <f t="shared" si="1"/>
        <v/>
      </c>
      <c r="H16347" s="14" t="str">
        <f t="shared" si="2"/>
        <v/>
      </c>
      <c r="I16347" s="15" t="str">
        <f t="shared" si="3"/>
        <v/>
      </c>
    </row>
    <row r="16348">
      <c r="A16348" s="8" t="str">
        <f>IFERROR(__xludf.DUMMYFUNCTION("IF('(INGESTA)Datos_consumo_datadis'!A17913&lt;&gt;"""",SPLIT('(INGESTA)Datos_consumo_datadis'!A:A,"",""),"""")"),"")</f>
        <v/>
      </c>
      <c r="G16348" s="8" t="str">
        <f t="shared" si="1"/>
        <v/>
      </c>
      <c r="H16348" s="14" t="str">
        <f t="shared" si="2"/>
        <v/>
      </c>
      <c r="I16348" s="15" t="str">
        <f t="shared" si="3"/>
        <v/>
      </c>
    </row>
    <row r="16349">
      <c r="A16349" s="8" t="str">
        <f>IFERROR(__xludf.DUMMYFUNCTION("IF('(INGESTA)Datos_consumo_datadis'!A17914&lt;&gt;"""",SPLIT('(INGESTA)Datos_consumo_datadis'!A:A,"",""),"""")"),"")</f>
        <v/>
      </c>
      <c r="G16349" s="8" t="str">
        <f t="shared" si="1"/>
        <v/>
      </c>
      <c r="H16349" s="14" t="str">
        <f t="shared" si="2"/>
        <v/>
      </c>
      <c r="I16349" s="15" t="str">
        <f t="shared" si="3"/>
        <v/>
      </c>
    </row>
    <row r="16350">
      <c r="A16350" s="8" t="str">
        <f>IFERROR(__xludf.DUMMYFUNCTION("IF('(INGESTA)Datos_consumo_datadis'!A17915&lt;&gt;"""",SPLIT('(INGESTA)Datos_consumo_datadis'!A:A,"",""),"""")"),"")</f>
        <v/>
      </c>
      <c r="G16350" s="8" t="str">
        <f t="shared" si="1"/>
        <v/>
      </c>
      <c r="H16350" s="14" t="str">
        <f t="shared" si="2"/>
        <v/>
      </c>
      <c r="I16350" s="15" t="str">
        <f t="shared" si="3"/>
        <v/>
      </c>
    </row>
    <row r="16351">
      <c r="A16351" s="8" t="str">
        <f>IFERROR(__xludf.DUMMYFUNCTION("IF('(INGESTA)Datos_consumo_datadis'!A17916&lt;&gt;"""",SPLIT('(INGESTA)Datos_consumo_datadis'!A:A,"",""),"""")"),"")</f>
        <v/>
      </c>
      <c r="G16351" s="8" t="str">
        <f t="shared" si="1"/>
        <v/>
      </c>
      <c r="H16351" s="14" t="str">
        <f t="shared" si="2"/>
        <v/>
      </c>
      <c r="I16351" s="15" t="str">
        <f t="shared" si="3"/>
        <v/>
      </c>
    </row>
    <row r="16352">
      <c r="A16352" s="8" t="str">
        <f>IFERROR(__xludf.DUMMYFUNCTION("IF('(INGESTA)Datos_consumo_datadis'!A17917&lt;&gt;"""",SPLIT('(INGESTA)Datos_consumo_datadis'!A:A,"",""),"""")"),"")</f>
        <v/>
      </c>
      <c r="G16352" s="8" t="str">
        <f t="shared" si="1"/>
        <v/>
      </c>
      <c r="H16352" s="14" t="str">
        <f t="shared" si="2"/>
        <v/>
      </c>
      <c r="I16352" s="15" t="str">
        <f t="shared" si="3"/>
        <v/>
      </c>
    </row>
    <row r="16353">
      <c r="A16353" s="8" t="str">
        <f>IFERROR(__xludf.DUMMYFUNCTION("IF('(INGESTA)Datos_consumo_datadis'!A17918&lt;&gt;"""",SPLIT('(INGESTA)Datos_consumo_datadis'!A:A,"",""),"""")"),"")</f>
        <v/>
      </c>
      <c r="G16353" s="8" t="str">
        <f t="shared" si="1"/>
        <v/>
      </c>
      <c r="H16353" s="14" t="str">
        <f t="shared" si="2"/>
        <v/>
      </c>
      <c r="I16353" s="15" t="str">
        <f t="shared" si="3"/>
        <v/>
      </c>
    </row>
    <row r="16354">
      <c r="A16354" s="8" t="str">
        <f>IFERROR(__xludf.DUMMYFUNCTION("IF('(INGESTA)Datos_consumo_datadis'!A17919&lt;&gt;"""",SPLIT('(INGESTA)Datos_consumo_datadis'!A:A,"",""),"""")"),"")</f>
        <v/>
      </c>
      <c r="G16354" s="8" t="str">
        <f t="shared" si="1"/>
        <v/>
      </c>
      <c r="H16354" s="14" t="str">
        <f t="shared" si="2"/>
        <v/>
      </c>
      <c r="I16354" s="15" t="str">
        <f t="shared" si="3"/>
        <v/>
      </c>
    </row>
    <row r="16355">
      <c r="A16355" s="8" t="str">
        <f>IFERROR(__xludf.DUMMYFUNCTION("IF('(INGESTA)Datos_consumo_datadis'!A17920&lt;&gt;"""",SPLIT('(INGESTA)Datos_consumo_datadis'!A:A,"",""),"""")"),"")</f>
        <v/>
      </c>
      <c r="G16355" s="8" t="str">
        <f t="shared" si="1"/>
        <v/>
      </c>
      <c r="H16355" s="14" t="str">
        <f t="shared" si="2"/>
        <v/>
      </c>
      <c r="I16355" s="15" t="str">
        <f t="shared" si="3"/>
        <v/>
      </c>
    </row>
    <row r="16356">
      <c r="A16356" s="8" t="str">
        <f>IFERROR(__xludf.DUMMYFUNCTION("IF('(INGESTA)Datos_consumo_datadis'!A17921&lt;&gt;"""",SPLIT('(INGESTA)Datos_consumo_datadis'!A:A,"",""),"""")"),"")</f>
        <v/>
      </c>
      <c r="G16356" s="8" t="str">
        <f t="shared" si="1"/>
        <v/>
      </c>
      <c r="H16356" s="14" t="str">
        <f t="shared" si="2"/>
        <v/>
      </c>
      <c r="I16356" s="15" t="str">
        <f t="shared" si="3"/>
        <v/>
      </c>
    </row>
    <row r="16357">
      <c r="A16357" s="8" t="str">
        <f>IFERROR(__xludf.DUMMYFUNCTION("IF('(INGESTA)Datos_consumo_datadis'!A17922&lt;&gt;"""",SPLIT('(INGESTA)Datos_consumo_datadis'!A:A,"",""),"""")"),"")</f>
        <v/>
      </c>
      <c r="G16357" s="8" t="str">
        <f t="shared" si="1"/>
        <v/>
      </c>
      <c r="H16357" s="14" t="str">
        <f t="shared" si="2"/>
        <v/>
      </c>
      <c r="I16357" s="15" t="str">
        <f t="shared" si="3"/>
        <v/>
      </c>
    </row>
    <row r="16358">
      <c r="A16358" s="8" t="str">
        <f>IFERROR(__xludf.DUMMYFUNCTION("IF('(INGESTA)Datos_consumo_datadis'!A17923&lt;&gt;"""",SPLIT('(INGESTA)Datos_consumo_datadis'!A:A,"",""),"""")"),"")</f>
        <v/>
      </c>
      <c r="G16358" s="8" t="str">
        <f t="shared" si="1"/>
        <v/>
      </c>
      <c r="H16358" s="14" t="str">
        <f t="shared" si="2"/>
        <v/>
      </c>
      <c r="I16358" s="15" t="str">
        <f t="shared" si="3"/>
        <v/>
      </c>
    </row>
    <row r="16359">
      <c r="A16359" s="8" t="str">
        <f>IFERROR(__xludf.DUMMYFUNCTION("IF('(INGESTA)Datos_consumo_datadis'!A17924&lt;&gt;"""",SPLIT('(INGESTA)Datos_consumo_datadis'!A:A,"",""),"""")"),"")</f>
        <v/>
      </c>
      <c r="G16359" s="8" t="str">
        <f t="shared" si="1"/>
        <v/>
      </c>
      <c r="H16359" s="14" t="str">
        <f t="shared" si="2"/>
        <v/>
      </c>
      <c r="I16359" s="15" t="str">
        <f t="shared" si="3"/>
        <v/>
      </c>
    </row>
    <row r="16360">
      <c r="A16360" s="8" t="str">
        <f>IFERROR(__xludf.DUMMYFUNCTION("IF('(INGESTA)Datos_consumo_datadis'!A17925&lt;&gt;"""",SPLIT('(INGESTA)Datos_consumo_datadis'!A:A,"",""),"""")"),"")</f>
        <v/>
      </c>
      <c r="G16360" s="8" t="str">
        <f t="shared" si="1"/>
        <v/>
      </c>
      <c r="H16360" s="14" t="str">
        <f t="shared" si="2"/>
        <v/>
      </c>
      <c r="I16360" s="15" t="str">
        <f t="shared" si="3"/>
        <v/>
      </c>
    </row>
    <row r="16361">
      <c r="A16361" s="8" t="str">
        <f>IFERROR(__xludf.DUMMYFUNCTION("IF('(INGESTA)Datos_consumo_datadis'!A17926&lt;&gt;"""",SPLIT('(INGESTA)Datos_consumo_datadis'!A:A,"",""),"""")"),"")</f>
        <v/>
      </c>
      <c r="G16361" s="8" t="str">
        <f t="shared" si="1"/>
        <v/>
      </c>
      <c r="H16361" s="14" t="str">
        <f t="shared" si="2"/>
        <v/>
      </c>
      <c r="I16361" s="15" t="str">
        <f t="shared" si="3"/>
        <v/>
      </c>
    </row>
    <row r="16362">
      <c r="A16362" s="8" t="str">
        <f>IFERROR(__xludf.DUMMYFUNCTION("IF('(INGESTA)Datos_consumo_datadis'!A17927&lt;&gt;"""",SPLIT('(INGESTA)Datos_consumo_datadis'!A:A,"",""),"""")"),"")</f>
        <v/>
      </c>
      <c r="G16362" s="8" t="str">
        <f t="shared" si="1"/>
        <v/>
      </c>
      <c r="H16362" s="14" t="str">
        <f t="shared" si="2"/>
        <v/>
      </c>
      <c r="I16362" s="15" t="str">
        <f t="shared" si="3"/>
        <v/>
      </c>
    </row>
    <row r="16363">
      <c r="A16363" s="8" t="str">
        <f>IFERROR(__xludf.DUMMYFUNCTION("IF('(INGESTA)Datos_consumo_datadis'!A17928&lt;&gt;"""",SPLIT('(INGESTA)Datos_consumo_datadis'!A:A,"",""),"""")"),"")</f>
        <v/>
      </c>
      <c r="G16363" s="8" t="str">
        <f t="shared" si="1"/>
        <v/>
      </c>
      <c r="H16363" s="14" t="str">
        <f t="shared" si="2"/>
        <v/>
      </c>
      <c r="I16363" s="15" t="str">
        <f t="shared" si="3"/>
        <v/>
      </c>
    </row>
    <row r="16364">
      <c r="A16364" s="8" t="str">
        <f>IFERROR(__xludf.DUMMYFUNCTION("IF('(INGESTA)Datos_consumo_datadis'!A17929&lt;&gt;"""",SPLIT('(INGESTA)Datos_consumo_datadis'!A:A,"",""),"""")"),"")</f>
        <v/>
      </c>
      <c r="G16364" s="8" t="str">
        <f t="shared" si="1"/>
        <v/>
      </c>
      <c r="H16364" s="14" t="str">
        <f t="shared" si="2"/>
        <v/>
      </c>
      <c r="I16364" s="15" t="str">
        <f t="shared" si="3"/>
        <v/>
      </c>
    </row>
    <row r="16365">
      <c r="A16365" s="8" t="str">
        <f>IFERROR(__xludf.DUMMYFUNCTION("IF('(INGESTA)Datos_consumo_datadis'!A17930&lt;&gt;"""",SPLIT('(INGESTA)Datos_consumo_datadis'!A:A,"",""),"""")"),"")</f>
        <v/>
      </c>
      <c r="G16365" s="8" t="str">
        <f t="shared" si="1"/>
        <v/>
      </c>
      <c r="H16365" s="14" t="str">
        <f t="shared" si="2"/>
        <v/>
      </c>
      <c r="I16365" s="15" t="str">
        <f t="shared" si="3"/>
        <v/>
      </c>
    </row>
    <row r="16366">
      <c r="A16366" s="8" t="str">
        <f>IFERROR(__xludf.DUMMYFUNCTION("IF('(INGESTA)Datos_consumo_datadis'!A17931&lt;&gt;"""",SPLIT('(INGESTA)Datos_consumo_datadis'!A:A,"",""),"""")"),"")</f>
        <v/>
      </c>
      <c r="G16366" s="8" t="str">
        <f t="shared" si="1"/>
        <v/>
      </c>
      <c r="H16366" s="14" t="str">
        <f t="shared" si="2"/>
        <v/>
      </c>
      <c r="I16366" s="15" t="str">
        <f t="shared" si="3"/>
        <v/>
      </c>
    </row>
    <row r="16367">
      <c r="A16367" s="8" t="str">
        <f>IFERROR(__xludf.DUMMYFUNCTION("IF('(INGESTA)Datos_consumo_datadis'!A17932&lt;&gt;"""",SPLIT('(INGESTA)Datos_consumo_datadis'!A:A,"",""),"""")"),"")</f>
        <v/>
      </c>
      <c r="G16367" s="8" t="str">
        <f t="shared" si="1"/>
        <v/>
      </c>
      <c r="H16367" s="14" t="str">
        <f t="shared" si="2"/>
        <v/>
      </c>
      <c r="I16367" s="15" t="str">
        <f t="shared" si="3"/>
        <v/>
      </c>
    </row>
    <row r="16368">
      <c r="A16368" s="8" t="str">
        <f>IFERROR(__xludf.DUMMYFUNCTION("IF('(INGESTA)Datos_consumo_datadis'!A17933&lt;&gt;"""",SPLIT('(INGESTA)Datos_consumo_datadis'!A:A,"",""),"""")"),"")</f>
        <v/>
      </c>
      <c r="G16368" s="8" t="str">
        <f t="shared" si="1"/>
        <v/>
      </c>
      <c r="H16368" s="14" t="str">
        <f t="shared" si="2"/>
        <v/>
      </c>
      <c r="I16368" s="15" t="str">
        <f t="shared" si="3"/>
        <v/>
      </c>
    </row>
    <row r="16369">
      <c r="A16369" s="8" t="str">
        <f>IFERROR(__xludf.DUMMYFUNCTION("IF('(INGESTA)Datos_consumo_datadis'!A17934&lt;&gt;"""",SPLIT('(INGESTA)Datos_consumo_datadis'!A:A,"",""),"""")"),"")</f>
        <v/>
      </c>
      <c r="G16369" s="8" t="str">
        <f t="shared" si="1"/>
        <v/>
      </c>
      <c r="H16369" s="14" t="str">
        <f t="shared" si="2"/>
        <v/>
      </c>
      <c r="I16369" s="15" t="str">
        <f t="shared" si="3"/>
        <v/>
      </c>
    </row>
    <row r="16370">
      <c r="A16370" s="8" t="str">
        <f>IFERROR(__xludf.DUMMYFUNCTION("IF('(INGESTA)Datos_consumo_datadis'!A17935&lt;&gt;"""",SPLIT('(INGESTA)Datos_consumo_datadis'!A:A,"",""),"""")"),"")</f>
        <v/>
      </c>
      <c r="G16370" s="8" t="str">
        <f t="shared" si="1"/>
        <v/>
      </c>
      <c r="H16370" s="14" t="str">
        <f t="shared" si="2"/>
        <v/>
      </c>
      <c r="I16370" s="15" t="str">
        <f t="shared" si="3"/>
        <v/>
      </c>
    </row>
    <row r="16371">
      <c r="A16371" s="8" t="str">
        <f>IFERROR(__xludf.DUMMYFUNCTION("IF('(INGESTA)Datos_consumo_datadis'!A17936&lt;&gt;"""",SPLIT('(INGESTA)Datos_consumo_datadis'!A:A,"",""),"""")"),"")</f>
        <v/>
      </c>
      <c r="G16371" s="8" t="str">
        <f t="shared" si="1"/>
        <v/>
      </c>
      <c r="H16371" s="14" t="str">
        <f t="shared" si="2"/>
        <v/>
      </c>
      <c r="I16371" s="15" t="str">
        <f t="shared" si="3"/>
        <v/>
      </c>
    </row>
    <row r="16372">
      <c r="A16372" s="8" t="str">
        <f>IFERROR(__xludf.DUMMYFUNCTION("IF('(INGESTA)Datos_consumo_datadis'!A17937&lt;&gt;"""",SPLIT('(INGESTA)Datos_consumo_datadis'!A:A,"",""),"""")"),"")</f>
        <v/>
      </c>
      <c r="G16372" s="8" t="str">
        <f t="shared" si="1"/>
        <v/>
      </c>
      <c r="H16372" s="14" t="str">
        <f t="shared" si="2"/>
        <v/>
      </c>
      <c r="I16372" s="15" t="str">
        <f t="shared" si="3"/>
        <v/>
      </c>
    </row>
    <row r="16373">
      <c r="A16373" s="8" t="str">
        <f>IFERROR(__xludf.DUMMYFUNCTION("IF('(INGESTA)Datos_consumo_datadis'!A17938&lt;&gt;"""",SPLIT('(INGESTA)Datos_consumo_datadis'!A:A,"",""),"""")"),"")</f>
        <v/>
      </c>
      <c r="G16373" s="8" t="str">
        <f t="shared" si="1"/>
        <v/>
      </c>
      <c r="H16373" s="14" t="str">
        <f t="shared" si="2"/>
        <v/>
      </c>
      <c r="I16373" s="15" t="str">
        <f t="shared" si="3"/>
        <v/>
      </c>
    </row>
    <row r="16374">
      <c r="A16374" s="8" t="str">
        <f>IFERROR(__xludf.DUMMYFUNCTION("IF('(INGESTA)Datos_consumo_datadis'!A17939&lt;&gt;"""",SPLIT('(INGESTA)Datos_consumo_datadis'!A:A,"",""),"""")"),"")</f>
        <v/>
      </c>
      <c r="G16374" s="8" t="str">
        <f t="shared" si="1"/>
        <v/>
      </c>
      <c r="H16374" s="14" t="str">
        <f t="shared" si="2"/>
        <v/>
      </c>
      <c r="I16374" s="15" t="str">
        <f t="shared" si="3"/>
        <v/>
      </c>
    </row>
    <row r="16375">
      <c r="A16375" s="8" t="str">
        <f>IFERROR(__xludf.DUMMYFUNCTION("IF('(INGESTA)Datos_consumo_datadis'!A17940&lt;&gt;"""",SPLIT('(INGESTA)Datos_consumo_datadis'!A:A,"",""),"""")"),"")</f>
        <v/>
      </c>
      <c r="G16375" s="8" t="str">
        <f t="shared" si="1"/>
        <v/>
      </c>
      <c r="H16375" s="14" t="str">
        <f t="shared" si="2"/>
        <v/>
      </c>
      <c r="I16375" s="15" t="str">
        <f t="shared" si="3"/>
        <v/>
      </c>
    </row>
    <row r="16376">
      <c r="A16376" s="8" t="str">
        <f>IFERROR(__xludf.DUMMYFUNCTION("IF('(INGESTA)Datos_consumo_datadis'!A17941&lt;&gt;"""",SPLIT('(INGESTA)Datos_consumo_datadis'!A:A,"",""),"""")"),"")</f>
        <v/>
      </c>
      <c r="G16376" s="8" t="str">
        <f t="shared" si="1"/>
        <v/>
      </c>
      <c r="H16376" s="14" t="str">
        <f t="shared" si="2"/>
        <v/>
      </c>
      <c r="I16376" s="15" t="str">
        <f t="shared" si="3"/>
        <v/>
      </c>
    </row>
    <row r="16377">
      <c r="A16377" s="8" t="str">
        <f>IFERROR(__xludf.DUMMYFUNCTION("IF('(INGESTA)Datos_consumo_datadis'!A17942&lt;&gt;"""",SPLIT('(INGESTA)Datos_consumo_datadis'!A:A,"",""),"""")"),"")</f>
        <v/>
      </c>
      <c r="G16377" s="8" t="str">
        <f t="shared" si="1"/>
        <v/>
      </c>
      <c r="H16377" s="14" t="str">
        <f t="shared" si="2"/>
        <v/>
      </c>
      <c r="I16377" s="15" t="str">
        <f t="shared" si="3"/>
        <v/>
      </c>
    </row>
    <row r="16378">
      <c r="A16378" s="8" t="str">
        <f>IFERROR(__xludf.DUMMYFUNCTION("IF('(INGESTA)Datos_consumo_datadis'!A17943&lt;&gt;"""",SPLIT('(INGESTA)Datos_consumo_datadis'!A:A,"",""),"""")"),"")</f>
        <v/>
      </c>
      <c r="G16378" s="8" t="str">
        <f t="shared" si="1"/>
        <v/>
      </c>
      <c r="H16378" s="14" t="str">
        <f t="shared" si="2"/>
        <v/>
      </c>
      <c r="I16378" s="15" t="str">
        <f t="shared" si="3"/>
        <v/>
      </c>
    </row>
    <row r="16379">
      <c r="A16379" s="8" t="str">
        <f>IFERROR(__xludf.DUMMYFUNCTION("IF('(INGESTA)Datos_consumo_datadis'!A17944&lt;&gt;"""",SPLIT('(INGESTA)Datos_consumo_datadis'!A:A,"",""),"""")"),"")</f>
        <v/>
      </c>
      <c r="G16379" s="8" t="str">
        <f t="shared" si="1"/>
        <v/>
      </c>
      <c r="H16379" s="14" t="str">
        <f t="shared" si="2"/>
        <v/>
      </c>
      <c r="I16379" s="15" t="str">
        <f t="shared" si="3"/>
        <v/>
      </c>
    </row>
    <row r="16380">
      <c r="A16380" s="8" t="str">
        <f>IFERROR(__xludf.DUMMYFUNCTION("IF('(INGESTA)Datos_consumo_datadis'!A17945&lt;&gt;"""",SPLIT('(INGESTA)Datos_consumo_datadis'!A:A,"",""),"""")"),"")</f>
        <v/>
      </c>
      <c r="G16380" s="8" t="str">
        <f t="shared" si="1"/>
        <v/>
      </c>
      <c r="H16380" s="14" t="str">
        <f t="shared" si="2"/>
        <v/>
      </c>
      <c r="I16380" s="15" t="str">
        <f t="shared" si="3"/>
        <v/>
      </c>
    </row>
    <row r="16381">
      <c r="A16381" s="8" t="str">
        <f>IFERROR(__xludf.DUMMYFUNCTION("IF('(INGESTA)Datos_consumo_datadis'!A17946&lt;&gt;"""",SPLIT('(INGESTA)Datos_consumo_datadis'!A:A,"",""),"""")"),"")</f>
        <v/>
      </c>
      <c r="G16381" s="8" t="str">
        <f t="shared" si="1"/>
        <v/>
      </c>
      <c r="H16381" s="14" t="str">
        <f t="shared" si="2"/>
        <v/>
      </c>
      <c r="I16381" s="15" t="str">
        <f t="shared" si="3"/>
        <v/>
      </c>
    </row>
    <row r="16382">
      <c r="A16382" s="8" t="str">
        <f>IFERROR(__xludf.DUMMYFUNCTION("IF('(INGESTA)Datos_consumo_datadis'!A17947&lt;&gt;"""",SPLIT('(INGESTA)Datos_consumo_datadis'!A:A,"",""),"""")"),"")</f>
        <v/>
      </c>
      <c r="G16382" s="8" t="str">
        <f t="shared" si="1"/>
        <v/>
      </c>
      <c r="H16382" s="14" t="str">
        <f t="shared" si="2"/>
        <v/>
      </c>
      <c r="I16382" s="15" t="str">
        <f t="shared" si="3"/>
        <v/>
      </c>
    </row>
    <row r="16383">
      <c r="A16383" s="8" t="str">
        <f>IFERROR(__xludf.DUMMYFUNCTION("IF('(INGESTA)Datos_consumo_datadis'!A17948&lt;&gt;"""",SPLIT('(INGESTA)Datos_consumo_datadis'!A:A,"",""),"""")"),"")</f>
        <v/>
      </c>
      <c r="G16383" s="8" t="str">
        <f t="shared" si="1"/>
        <v/>
      </c>
      <c r="H16383" s="14" t="str">
        <f t="shared" si="2"/>
        <v/>
      </c>
      <c r="I16383" s="15" t="str">
        <f t="shared" si="3"/>
        <v/>
      </c>
    </row>
    <row r="16384">
      <c r="A16384" s="8" t="str">
        <f>IFERROR(__xludf.DUMMYFUNCTION("IF('(INGESTA)Datos_consumo_datadis'!A17949&lt;&gt;"""",SPLIT('(INGESTA)Datos_consumo_datadis'!A:A,"",""),"""")"),"")</f>
        <v/>
      </c>
      <c r="G16384" s="8" t="str">
        <f t="shared" si="1"/>
        <v/>
      </c>
      <c r="H16384" s="14" t="str">
        <f t="shared" si="2"/>
        <v/>
      </c>
      <c r="I16384" s="15" t="str">
        <f t="shared" si="3"/>
        <v/>
      </c>
    </row>
    <row r="16385">
      <c r="A16385" s="8" t="str">
        <f>IFERROR(__xludf.DUMMYFUNCTION("IF('(INGESTA)Datos_consumo_datadis'!A17950&lt;&gt;"""",SPLIT('(INGESTA)Datos_consumo_datadis'!A:A,"",""),"""")"),"")</f>
        <v/>
      </c>
      <c r="G16385" s="8" t="str">
        <f t="shared" si="1"/>
        <v/>
      </c>
      <c r="H16385" s="14" t="str">
        <f t="shared" si="2"/>
        <v/>
      </c>
      <c r="I16385" s="15" t="str">
        <f t="shared" si="3"/>
        <v/>
      </c>
    </row>
    <row r="16386">
      <c r="A16386" s="8" t="str">
        <f>IFERROR(__xludf.DUMMYFUNCTION("IF('(INGESTA)Datos_consumo_datadis'!A17951&lt;&gt;"""",SPLIT('(INGESTA)Datos_consumo_datadis'!A:A,"",""),"""")"),"")</f>
        <v/>
      </c>
      <c r="G16386" s="8" t="str">
        <f t="shared" si="1"/>
        <v/>
      </c>
      <c r="H16386" s="14" t="str">
        <f t="shared" si="2"/>
        <v/>
      </c>
      <c r="I16386" s="15" t="str">
        <f t="shared" si="3"/>
        <v/>
      </c>
    </row>
    <row r="16387">
      <c r="A16387" s="8" t="str">
        <f>IFERROR(__xludf.DUMMYFUNCTION("IF('(INGESTA)Datos_consumo_datadis'!A17952&lt;&gt;"""",SPLIT('(INGESTA)Datos_consumo_datadis'!A:A,"",""),"""")"),"")</f>
        <v/>
      </c>
      <c r="G16387" s="8" t="str">
        <f t="shared" si="1"/>
        <v/>
      </c>
      <c r="H16387" s="14" t="str">
        <f t="shared" si="2"/>
        <v/>
      </c>
      <c r="I16387" s="15" t="str">
        <f t="shared" si="3"/>
        <v/>
      </c>
    </row>
    <row r="16388">
      <c r="A16388" s="8" t="str">
        <f>IFERROR(__xludf.DUMMYFUNCTION("IF('(INGESTA)Datos_consumo_datadis'!A17953&lt;&gt;"""",SPLIT('(INGESTA)Datos_consumo_datadis'!A:A,"",""),"""")"),"")</f>
        <v/>
      </c>
      <c r="G16388" s="8" t="str">
        <f t="shared" si="1"/>
        <v/>
      </c>
      <c r="H16388" s="14" t="str">
        <f t="shared" si="2"/>
        <v/>
      </c>
      <c r="I16388" s="15" t="str">
        <f t="shared" si="3"/>
        <v/>
      </c>
    </row>
    <row r="16389">
      <c r="A16389" s="8" t="str">
        <f>IFERROR(__xludf.DUMMYFUNCTION("IF('(INGESTA)Datos_consumo_datadis'!A17954&lt;&gt;"""",SPLIT('(INGESTA)Datos_consumo_datadis'!A:A,"",""),"""")"),"")</f>
        <v/>
      </c>
      <c r="G16389" s="8" t="str">
        <f t="shared" si="1"/>
        <v/>
      </c>
      <c r="H16389" s="14" t="str">
        <f t="shared" si="2"/>
        <v/>
      </c>
      <c r="I16389" s="15" t="str">
        <f t="shared" si="3"/>
        <v/>
      </c>
    </row>
    <row r="16390">
      <c r="A16390" s="8" t="str">
        <f>IFERROR(__xludf.DUMMYFUNCTION("IF('(INGESTA)Datos_consumo_datadis'!A17955&lt;&gt;"""",SPLIT('(INGESTA)Datos_consumo_datadis'!A:A,"",""),"""")"),"")</f>
        <v/>
      </c>
      <c r="G16390" s="8" t="str">
        <f t="shared" si="1"/>
        <v/>
      </c>
      <c r="H16390" s="14" t="str">
        <f t="shared" si="2"/>
        <v/>
      </c>
      <c r="I16390" s="15" t="str">
        <f t="shared" si="3"/>
        <v/>
      </c>
    </row>
    <row r="16391">
      <c r="A16391" s="8" t="str">
        <f>IFERROR(__xludf.DUMMYFUNCTION("IF('(INGESTA)Datos_consumo_datadis'!A17956&lt;&gt;"""",SPLIT('(INGESTA)Datos_consumo_datadis'!A:A,"",""),"""")"),"")</f>
        <v/>
      </c>
      <c r="G16391" s="8" t="str">
        <f t="shared" si="1"/>
        <v/>
      </c>
      <c r="H16391" s="14" t="str">
        <f t="shared" si="2"/>
        <v/>
      </c>
      <c r="I16391" s="15" t="str">
        <f t="shared" si="3"/>
        <v/>
      </c>
    </row>
    <row r="16392">
      <c r="A16392" s="8" t="str">
        <f>IFERROR(__xludf.DUMMYFUNCTION("IF('(INGESTA)Datos_consumo_datadis'!A17957&lt;&gt;"""",SPLIT('(INGESTA)Datos_consumo_datadis'!A:A,"",""),"""")"),"")</f>
        <v/>
      </c>
      <c r="G16392" s="8" t="str">
        <f t="shared" si="1"/>
        <v/>
      </c>
      <c r="H16392" s="14" t="str">
        <f t="shared" si="2"/>
        <v/>
      </c>
      <c r="I16392" s="15" t="str">
        <f t="shared" si="3"/>
        <v/>
      </c>
    </row>
    <row r="16393">
      <c r="A16393" s="8" t="str">
        <f>IFERROR(__xludf.DUMMYFUNCTION("IF('(INGESTA)Datos_consumo_datadis'!A17958&lt;&gt;"""",SPLIT('(INGESTA)Datos_consumo_datadis'!A:A,"",""),"""")"),"")</f>
        <v/>
      </c>
      <c r="G16393" s="8" t="str">
        <f t="shared" si="1"/>
        <v/>
      </c>
      <c r="H16393" s="14" t="str">
        <f t="shared" si="2"/>
        <v/>
      </c>
      <c r="I16393" s="15" t="str">
        <f t="shared" si="3"/>
        <v/>
      </c>
    </row>
    <row r="16394">
      <c r="A16394" s="8" t="str">
        <f>IFERROR(__xludf.DUMMYFUNCTION("IF('(INGESTA)Datos_consumo_datadis'!A17959&lt;&gt;"""",SPLIT('(INGESTA)Datos_consumo_datadis'!A:A,"",""),"""")"),"")</f>
        <v/>
      </c>
      <c r="G16394" s="8" t="str">
        <f t="shared" si="1"/>
        <v/>
      </c>
      <c r="H16394" s="14" t="str">
        <f t="shared" si="2"/>
        <v/>
      </c>
      <c r="I16394" s="15" t="str">
        <f t="shared" si="3"/>
        <v/>
      </c>
    </row>
    <row r="16395">
      <c r="A16395" s="8" t="str">
        <f>IFERROR(__xludf.DUMMYFUNCTION("IF('(INGESTA)Datos_consumo_datadis'!A17960&lt;&gt;"""",SPLIT('(INGESTA)Datos_consumo_datadis'!A:A,"",""),"""")"),"")</f>
        <v/>
      </c>
      <c r="G16395" s="8" t="str">
        <f t="shared" si="1"/>
        <v/>
      </c>
      <c r="H16395" s="14" t="str">
        <f t="shared" si="2"/>
        <v/>
      </c>
      <c r="I16395" s="15" t="str">
        <f t="shared" si="3"/>
        <v/>
      </c>
    </row>
    <row r="16396">
      <c r="A16396" s="8" t="str">
        <f>IFERROR(__xludf.DUMMYFUNCTION("IF('(INGESTA)Datos_consumo_datadis'!A17961&lt;&gt;"""",SPLIT('(INGESTA)Datos_consumo_datadis'!A:A,"",""),"""")"),"")</f>
        <v/>
      </c>
      <c r="G16396" s="8" t="str">
        <f t="shared" si="1"/>
        <v/>
      </c>
      <c r="H16396" s="14" t="str">
        <f t="shared" si="2"/>
        <v/>
      </c>
      <c r="I16396" s="15" t="str">
        <f t="shared" si="3"/>
        <v/>
      </c>
    </row>
    <row r="16397">
      <c r="A16397" s="8" t="str">
        <f>IFERROR(__xludf.DUMMYFUNCTION("IF('(INGESTA)Datos_consumo_datadis'!A17962&lt;&gt;"""",SPLIT('(INGESTA)Datos_consumo_datadis'!A:A,"",""),"""")"),"")</f>
        <v/>
      </c>
      <c r="G16397" s="8" t="str">
        <f t="shared" si="1"/>
        <v/>
      </c>
      <c r="H16397" s="14" t="str">
        <f t="shared" si="2"/>
        <v/>
      </c>
      <c r="I16397" s="15" t="str">
        <f t="shared" si="3"/>
        <v/>
      </c>
    </row>
    <row r="16398">
      <c r="A16398" s="8" t="str">
        <f>IFERROR(__xludf.DUMMYFUNCTION("IF('(INGESTA)Datos_consumo_datadis'!A17963&lt;&gt;"""",SPLIT('(INGESTA)Datos_consumo_datadis'!A:A,"",""),"""")"),"")</f>
        <v/>
      </c>
      <c r="G16398" s="8" t="str">
        <f t="shared" si="1"/>
        <v/>
      </c>
      <c r="H16398" s="14" t="str">
        <f t="shared" si="2"/>
        <v/>
      </c>
      <c r="I16398" s="15" t="str">
        <f t="shared" si="3"/>
        <v/>
      </c>
    </row>
    <row r="16399">
      <c r="A16399" s="8" t="str">
        <f>IFERROR(__xludf.DUMMYFUNCTION("IF('(INGESTA)Datos_consumo_datadis'!A17964&lt;&gt;"""",SPLIT('(INGESTA)Datos_consumo_datadis'!A:A,"",""),"""")"),"")</f>
        <v/>
      </c>
      <c r="G16399" s="8" t="str">
        <f t="shared" si="1"/>
        <v/>
      </c>
      <c r="H16399" s="14" t="str">
        <f t="shared" si="2"/>
        <v/>
      </c>
      <c r="I16399" s="15" t="str">
        <f t="shared" si="3"/>
        <v/>
      </c>
    </row>
    <row r="16400">
      <c r="A16400" s="8" t="str">
        <f>IFERROR(__xludf.DUMMYFUNCTION("IF('(INGESTA)Datos_consumo_datadis'!A17965&lt;&gt;"""",SPLIT('(INGESTA)Datos_consumo_datadis'!A:A,"",""),"""")"),"")</f>
        <v/>
      </c>
      <c r="G16400" s="8" t="str">
        <f t="shared" si="1"/>
        <v/>
      </c>
      <c r="H16400" s="14" t="str">
        <f t="shared" si="2"/>
        <v/>
      </c>
      <c r="I16400" s="15" t="str">
        <f t="shared" si="3"/>
        <v/>
      </c>
    </row>
    <row r="16401">
      <c r="A16401" s="8" t="str">
        <f>IFERROR(__xludf.DUMMYFUNCTION("IF('(INGESTA)Datos_consumo_datadis'!A17966&lt;&gt;"""",SPLIT('(INGESTA)Datos_consumo_datadis'!A:A,"",""),"""")"),"")</f>
        <v/>
      </c>
      <c r="G16401" s="8" t="str">
        <f t="shared" si="1"/>
        <v/>
      </c>
      <c r="H16401" s="14" t="str">
        <f t="shared" si="2"/>
        <v/>
      </c>
      <c r="I16401" s="15" t="str">
        <f t="shared" si="3"/>
        <v/>
      </c>
    </row>
    <row r="16402">
      <c r="A16402" s="8" t="str">
        <f>IFERROR(__xludf.DUMMYFUNCTION("IF('(INGESTA)Datos_consumo_datadis'!A17967&lt;&gt;"""",SPLIT('(INGESTA)Datos_consumo_datadis'!A:A,"",""),"""")"),"")</f>
        <v/>
      </c>
      <c r="G16402" s="8" t="str">
        <f t="shared" si="1"/>
        <v/>
      </c>
      <c r="H16402" s="14" t="str">
        <f t="shared" si="2"/>
        <v/>
      </c>
      <c r="I16402" s="15" t="str">
        <f t="shared" si="3"/>
        <v/>
      </c>
    </row>
    <row r="16403">
      <c r="A16403" s="8" t="str">
        <f>IFERROR(__xludf.DUMMYFUNCTION("IF('(INGESTA)Datos_consumo_datadis'!A17968&lt;&gt;"""",SPLIT('(INGESTA)Datos_consumo_datadis'!A:A,"",""),"""")"),"")</f>
        <v/>
      </c>
      <c r="G16403" s="8" t="str">
        <f t="shared" si="1"/>
        <v/>
      </c>
      <c r="H16403" s="14" t="str">
        <f t="shared" si="2"/>
        <v/>
      </c>
      <c r="I16403" s="15" t="str">
        <f t="shared" si="3"/>
        <v/>
      </c>
    </row>
    <row r="16404">
      <c r="A16404" s="8" t="str">
        <f>IFERROR(__xludf.DUMMYFUNCTION("IF('(INGESTA)Datos_consumo_datadis'!A17969&lt;&gt;"""",SPLIT('(INGESTA)Datos_consumo_datadis'!A:A,"",""),"""")"),"")</f>
        <v/>
      </c>
      <c r="G16404" s="8" t="str">
        <f t="shared" si="1"/>
        <v/>
      </c>
      <c r="H16404" s="14" t="str">
        <f t="shared" si="2"/>
        <v/>
      </c>
      <c r="I16404" s="15" t="str">
        <f t="shared" si="3"/>
        <v/>
      </c>
    </row>
    <row r="16405">
      <c r="A16405" s="8" t="str">
        <f>IFERROR(__xludf.DUMMYFUNCTION("IF('(INGESTA)Datos_consumo_datadis'!A17970&lt;&gt;"""",SPLIT('(INGESTA)Datos_consumo_datadis'!A:A,"",""),"""")"),"")</f>
        <v/>
      </c>
      <c r="G16405" s="8" t="str">
        <f t="shared" si="1"/>
        <v/>
      </c>
      <c r="H16405" s="14" t="str">
        <f t="shared" si="2"/>
        <v/>
      </c>
      <c r="I16405" s="15" t="str">
        <f t="shared" si="3"/>
        <v/>
      </c>
    </row>
    <row r="16406">
      <c r="A16406" s="8" t="str">
        <f>IFERROR(__xludf.DUMMYFUNCTION("IF('(INGESTA)Datos_consumo_datadis'!A17971&lt;&gt;"""",SPLIT('(INGESTA)Datos_consumo_datadis'!A:A,"",""),"""")"),"")</f>
        <v/>
      </c>
      <c r="G16406" s="8" t="str">
        <f t="shared" si="1"/>
        <v/>
      </c>
      <c r="H16406" s="14" t="str">
        <f t="shared" si="2"/>
        <v/>
      </c>
      <c r="I16406" s="15" t="str">
        <f t="shared" si="3"/>
        <v/>
      </c>
    </row>
    <row r="16407">
      <c r="A16407" s="8" t="str">
        <f>IFERROR(__xludf.DUMMYFUNCTION("IF('(INGESTA)Datos_consumo_datadis'!A17972&lt;&gt;"""",SPLIT('(INGESTA)Datos_consumo_datadis'!A:A,"",""),"""")"),"")</f>
        <v/>
      </c>
      <c r="G16407" s="8" t="str">
        <f t="shared" si="1"/>
        <v/>
      </c>
      <c r="H16407" s="14" t="str">
        <f t="shared" si="2"/>
        <v/>
      </c>
      <c r="I16407" s="15" t="str">
        <f t="shared" si="3"/>
        <v/>
      </c>
    </row>
    <row r="16408">
      <c r="A16408" s="8" t="str">
        <f>IFERROR(__xludf.DUMMYFUNCTION("IF('(INGESTA)Datos_consumo_datadis'!A17973&lt;&gt;"""",SPLIT('(INGESTA)Datos_consumo_datadis'!A:A,"",""),"""")"),"")</f>
        <v/>
      </c>
      <c r="G16408" s="8" t="str">
        <f t="shared" si="1"/>
        <v/>
      </c>
      <c r="H16408" s="14" t="str">
        <f t="shared" si="2"/>
        <v/>
      </c>
      <c r="I16408" s="15" t="str">
        <f t="shared" si="3"/>
        <v/>
      </c>
    </row>
    <row r="16409">
      <c r="A16409" s="8" t="str">
        <f>IFERROR(__xludf.DUMMYFUNCTION("IF('(INGESTA)Datos_consumo_datadis'!A17974&lt;&gt;"""",SPLIT('(INGESTA)Datos_consumo_datadis'!A:A,"",""),"""")"),"")</f>
        <v/>
      </c>
      <c r="G16409" s="8" t="str">
        <f t="shared" si="1"/>
        <v/>
      </c>
      <c r="H16409" s="14" t="str">
        <f t="shared" si="2"/>
        <v/>
      </c>
      <c r="I16409" s="15" t="str">
        <f t="shared" si="3"/>
        <v/>
      </c>
    </row>
    <row r="16410">
      <c r="A16410" s="8" t="str">
        <f>IFERROR(__xludf.DUMMYFUNCTION("IF('(INGESTA)Datos_consumo_datadis'!A17975&lt;&gt;"""",SPLIT('(INGESTA)Datos_consumo_datadis'!A:A,"",""),"""")"),"")</f>
        <v/>
      </c>
      <c r="G16410" s="8" t="str">
        <f t="shared" si="1"/>
        <v/>
      </c>
      <c r="H16410" s="14" t="str">
        <f t="shared" si="2"/>
        <v/>
      </c>
      <c r="I16410" s="15" t="str">
        <f t="shared" si="3"/>
        <v/>
      </c>
    </row>
    <row r="16411">
      <c r="A16411" s="8" t="str">
        <f>IFERROR(__xludf.DUMMYFUNCTION("IF('(INGESTA)Datos_consumo_datadis'!A17976&lt;&gt;"""",SPLIT('(INGESTA)Datos_consumo_datadis'!A:A,"",""),"""")"),"")</f>
        <v/>
      </c>
      <c r="G16411" s="8" t="str">
        <f t="shared" si="1"/>
        <v/>
      </c>
      <c r="H16411" s="14" t="str">
        <f t="shared" si="2"/>
        <v/>
      </c>
      <c r="I16411" s="15" t="str">
        <f t="shared" si="3"/>
        <v/>
      </c>
    </row>
    <row r="16412">
      <c r="A16412" s="8" t="str">
        <f>IFERROR(__xludf.DUMMYFUNCTION("IF('(INGESTA)Datos_consumo_datadis'!A17977&lt;&gt;"""",SPLIT('(INGESTA)Datos_consumo_datadis'!A:A,"",""),"""")"),"")</f>
        <v/>
      </c>
      <c r="G16412" s="8" t="str">
        <f t="shared" si="1"/>
        <v/>
      </c>
      <c r="H16412" s="14" t="str">
        <f t="shared" si="2"/>
        <v/>
      </c>
      <c r="I16412" s="15" t="str">
        <f t="shared" si="3"/>
        <v/>
      </c>
    </row>
    <row r="16413">
      <c r="A16413" s="8" t="str">
        <f>IFERROR(__xludf.DUMMYFUNCTION("IF('(INGESTA)Datos_consumo_datadis'!A17978&lt;&gt;"""",SPLIT('(INGESTA)Datos_consumo_datadis'!A:A,"",""),"""")"),"")</f>
        <v/>
      </c>
      <c r="G16413" s="8" t="str">
        <f t="shared" si="1"/>
        <v/>
      </c>
      <c r="H16413" s="14" t="str">
        <f t="shared" si="2"/>
        <v/>
      </c>
      <c r="I16413" s="15" t="str">
        <f t="shared" si="3"/>
        <v/>
      </c>
    </row>
    <row r="16414">
      <c r="A16414" s="8" t="str">
        <f>IFERROR(__xludf.DUMMYFUNCTION("IF('(INGESTA)Datos_consumo_datadis'!A17979&lt;&gt;"""",SPLIT('(INGESTA)Datos_consumo_datadis'!A:A,"",""),"""")"),"")</f>
        <v/>
      </c>
      <c r="G16414" s="8" t="str">
        <f t="shared" si="1"/>
        <v/>
      </c>
      <c r="H16414" s="14" t="str">
        <f t="shared" si="2"/>
        <v/>
      </c>
      <c r="I16414" s="15" t="str">
        <f t="shared" si="3"/>
        <v/>
      </c>
    </row>
    <row r="16415">
      <c r="A16415" s="8" t="str">
        <f>IFERROR(__xludf.DUMMYFUNCTION("IF('(INGESTA)Datos_consumo_datadis'!A17980&lt;&gt;"""",SPLIT('(INGESTA)Datos_consumo_datadis'!A:A,"",""),"""")"),"")</f>
        <v/>
      </c>
      <c r="G16415" s="8" t="str">
        <f t="shared" si="1"/>
        <v/>
      </c>
      <c r="H16415" s="14" t="str">
        <f t="shared" si="2"/>
        <v/>
      </c>
      <c r="I16415" s="15" t="str">
        <f t="shared" si="3"/>
        <v/>
      </c>
    </row>
    <row r="16416">
      <c r="A16416" s="8" t="str">
        <f>IFERROR(__xludf.DUMMYFUNCTION("IF('(INGESTA)Datos_consumo_datadis'!A17981&lt;&gt;"""",SPLIT('(INGESTA)Datos_consumo_datadis'!A:A,"",""),"""")"),"")</f>
        <v/>
      </c>
      <c r="G16416" s="8" t="str">
        <f t="shared" si="1"/>
        <v/>
      </c>
      <c r="H16416" s="14" t="str">
        <f t="shared" si="2"/>
        <v/>
      </c>
      <c r="I16416" s="15" t="str">
        <f t="shared" si="3"/>
        <v/>
      </c>
    </row>
    <row r="16417">
      <c r="A16417" s="8" t="str">
        <f>IFERROR(__xludf.DUMMYFUNCTION("IF('(INGESTA)Datos_consumo_datadis'!A17982&lt;&gt;"""",SPLIT('(INGESTA)Datos_consumo_datadis'!A:A,"",""),"""")"),"")</f>
        <v/>
      </c>
      <c r="G16417" s="8" t="str">
        <f t="shared" si="1"/>
        <v/>
      </c>
      <c r="H16417" s="14" t="str">
        <f t="shared" si="2"/>
        <v/>
      </c>
      <c r="I16417" s="15" t="str">
        <f t="shared" si="3"/>
        <v/>
      </c>
    </row>
    <row r="16418">
      <c r="A16418" s="8" t="str">
        <f>IFERROR(__xludf.DUMMYFUNCTION("IF('(INGESTA)Datos_consumo_datadis'!A17983&lt;&gt;"""",SPLIT('(INGESTA)Datos_consumo_datadis'!A:A,"",""),"""")"),"")</f>
        <v/>
      </c>
      <c r="G16418" s="8" t="str">
        <f t="shared" si="1"/>
        <v/>
      </c>
      <c r="H16418" s="14" t="str">
        <f t="shared" si="2"/>
        <v/>
      </c>
      <c r="I16418" s="15" t="str">
        <f t="shared" si="3"/>
        <v/>
      </c>
    </row>
    <row r="16419">
      <c r="A16419" s="8" t="str">
        <f>IFERROR(__xludf.DUMMYFUNCTION("IF('(INGESTA)Datos_consumo_datadis'!A17984&lt;&gt;"""",SPLIT('(INGESTA)Datos_consumo_datadis'!A:A,"",""),"""")"),"")</f>
        <v/>
      </c>
      <c r="G16419" s="8" t="str">
        <f t="shared" si="1"/>
        <v/>
      </c>
      <c r="H16419" s="14" t="str">
        <f t="shared" si="2"/>
        <v/>
      </c>
      <c r="I16419" s="15" t="str">
        <f t="shared" si="3"/>
        <v/>
      </c>
    </row>
    <row r="16420">
      <c r="A16420" s="8" t="str">
        <f>IFERROR(__xludf.DUMMYFUNCTION("IF('(INGESTA)Datos_consumo_datadis'!A17985&lt;&gt;"""",SPLIT('(INGESTA)Datos_consumo_datadis'!A:A,"",""),"""")"),"")</f>
        <v/>
      </c>
      <c r="G16420" s="8" t="str">
        <f t="shared" si="1"/>
        <v/>
      </c>
      <c r="H16420" s="14" t="str">
        <f t="shared" si="2"/>
        <v/>
      </c>
      <c r="I16420" s="15" t="str">
        <f t="shared" si="3"/>
        <v/>
      </c>
    </row>
    <row r="16421">
      <c r="A16421" s="8" t="str">
        <f>IFERROR(__xludf.DUMMYFUNCTION("IF('(INGESTA)Datos_consumo_datadis'!A17986&lt;&gt;"""",SPLIT('(INGESTA)Datos_consumo_datadis'!A:A,"",""),"""")"),"")</f>
        <v/>
      </c>
      <c r="G16421" s="8" t="str">
        <f t="shared" si="1"/>
        <v/>
      </c>
      <c r="H16421" s="14" t="str">
        <f t="shared" si="2"/>
        <v/>
      </c>
      <c r="I16421" s="15" t="str">
        <f t="shared" si="3"/>
        <v/>
      </c>
    </row>
    <row r="16422">
      <c r="A16422" s="8" t="str">
        <f>IFERROR(__xludf.DUMMYFUNCTION("IF('(INGESTA)Datos_consumo_datadis'!A17987&lt;&gt;"""",SPLIT('(INGESTA)Datos_consumo_datadis'!A:A,"",""),"""")"),"")</f>
        <v/>
      </c>
      <c r="G16422" s="8" t="str">
        <f t="shared" si="1"/>
        <v/>
      </c>
      <c r="H16422" s="14" t="str">
        <f t="shared" si="2"/>
        <v/>
      </c>
      <c r="I16422" s="15" t="str">
        <f t="shared" si="3"/>
        <v/>
      </c>
    </row>
    <row r="16423">
      <c r="A16423" s="8" t="str">
        <f>IFERROR(__xludf.DUMMYFUNCTION("IF('(INGESTA)Datos_consumo_datadis'!A17988&lt;&gt;"""",SPLIT('(INGESTA)Datos_consumo_datadis'!A:A,"",""),"""")"),"")</f>
        <v/>
      </c>
      <c r="G16423" s="8" t="str">
        <f t="shared" si="1"/>
        <v/>
      </c>
      <c r="H16423" s="14" t="str">
        <f t="shared" si="2"/>
        <v/>
      </c>
      <c r="I16423" s="15" t="str">
        <f t="shared" si="3"/>
        <v/>
      </c>
    </row>
    <row r="16424">
      <c r="A16424" s="8" t="str">
        <f>IFERROR(__xludf.DUMMYFUNCTION("IF('(INGESTA)Datos_consumo_datadis'!A17989&lt;&gt;"""",SPLIT('(INGESTA)Datos_consumo_datadis'!A:A,"",""),"""")"),"")</f>
        <v/>
      </c>
      <c r="G16424" s="8" t="str">
        <f t="shared" si="1"/>
        <v/>
      </c>
      <c r="H16424" s="14" t="str">
        <f t="shared" si="2"/>
        <v/>
      </c>
      <c r="I16424" s="15" t="str">
        <f t="shared" si="3"/>
        <v/>
      </c>
    </row>
    <row r="16425">
      <c r="A16425" s="8" t="str">
        <f>IFERROR(__xludf.DUMMYFUNCTION("IF('(INGESTA)Datos_consumo_datadis'!A17990&lt;&gt;"""",SPLIT('(INGESTA)Datos_consumo_datadis'!A:A,"",""),"""")"),"")</f>
        <v/>
      </c>
      <c r="G16425" s="8" t="str">
        <f t="shared" si="1"/>
        <v/>
      </c>
      <c r="H16425" s="14" t="str">
        <f t="shared" si="2"/>
        <v/>
      </c>
      <c r="I16425" s="15" t="str">
        <f t="shared" si="3"/>
        <v/>
      </c>
    </row>
    <row r="16426">
      <c r="A16426" s="8" t="str">
        <f>IFERROR(__xludf.DUMMYFUNCTION("IF('(INGESTA)Datos_consumo_datadis'!A17991&lt;&gt;"""",SPLIT('(INGESTA)Datos_consumo_datadis'!A:A,"",""),"""")"),"")</f>
        <v/>
      </c>
      <c r="G16426" s="8" t="str">
        <f t="shared" si="1"/>
        <v/>
      </c>
      <c r="H16426" s="14" t="str">
        <f t="shared" si="2"/>
        <v/>
      </c>
      <c r="I16426" s="15" t="str">
        <f t="shared" si="3"/>
        <v/>
      </c>
    </row>
    <row r="16427">
      <c r="A16427" s="8" t="str">
        <f>IFERROR(__xludf.DUMMYFUNCTION("IF('(INGESTA)Datos_consumo_datadis'!A17992&lt;&gt;"""",SPLIT('(INGESTA)Datos_consumo_datadis'!A:A,"",""),"""")"),"")</f>
        <v/>
      </c>
      <c r="G16427" s="8" t="str">
        <f t="shared" si="1"/>
        <v/>
      </c>
      <c r="H16427" s="14" t="str">
        <f t="shared" si="2"/>
        <v/>
      </c>
      <c r="I16427" s="15" t="str">
        <f t="shared" si="3"/>
        <v/>
      </c>
    </row>
    <row r="16428">
      <c r="A16428" s="8" t="str">
        <f>IFERROR(__xludf.DUMMYFUNCTION("IF('(INGESTA)Datos_consumo_datadis'!A17993&lt;&gt;"""",SPLIT('(INGESTA)Datos_consumo_datadis'!A:A,"",""),"""")"),"")</f>
        <v/>
      </c>
      <c r="G16428" s="8" t="str">
        <f t="shared" si="1"/>
        <v/>
      </c>
      <c r="H16428" s="14" t="str">
        <f t="shared" si="2"/>
        <v/>
      </c>
      <c r="I16428" s="15" t="str">
        <f t="shared" si="3"/>
        <v/>
      </c>
    </row>
    <row r="16429">
      <c r="A16429" s="8" t="str">
        <f>IFERROR(__xludf.DUMMYFUNCTION("IF('(INGESTA)Datos_consumo_datadis'!A17994&lt;&gt;"""",SPLIT('(INGESTA)Datos_consumo_datadis'!A:A,"",""),"""")"),"")</f>
        <v/>
      </c>
      <c r="G16429" s="8" t="str">
        <f t="shared" si="1"/>
        <v/>
      </c>
      <c r="H16429" s="14" t="str">
        <f t="shared" si="2"/>
        <v/>
      </c>
      <c r="I16429" s="15" t="str">
        <f t="shared" si="3"/>
        <v/>
      </c>
    </row>
    <row r="16430">
      <c r="A16430" s="8" t="str">
        <f>IFERROR(__xludf.DUMMYFUNCTION("IF('(INGESTA)Datos_consumo_datadis'!A17995&lt;&gt;"""",SPLIT('(INGESTA)Datos_consumo_datadis'!A:A,"",""),"""")"),"")</f>
        <v/>
      </c>
      <c r="G16430" s="8" t="str">
        <f t="shared" si="1"/>
        <v/>
      </c>
      <c r="H16430" s="14" t="str">
        <f t="shared" si="2"/>
        <v/>
      </c>
      <c r="I16430" s="15" t="str">
        <f t="shared" si="3"/>
        <v/>
      </c>
    </row>
    <row r="16431">
      <c r="A16431" s="8" t="str">
        <f>IFERROR(__xludf.DUMMYFUNCTION("IF('(INGESTA)Datos_consumo_datadis'!A17996&lt;&gt;"""",SPLIT('(INGESTA)Datos_consumo_datadis'!A:A,"",""),"""")"),"")</f>
        <v/>
      </c>
      <c r="G16431" s="8" t="str">
        <f t="shared" si="1"/>
        <v/>
      </c>
      <c r="H16431" s="14" t="str">
        <f t="shared" si="2"/>
        <v/>
      </c>
      <c r="I16431" s="15" t="str">
        <f t="shared" si="3"/>
        <v/>
      </c>
    </row>
    <row r="16432">
      <c r="A16432" s="8" t="str">
        <f>IFERROR(__xludf.DUMMYFUNCTION("IF('(INGESTA)Datos_consumo_datadis'!A17997&lt;&gt;"""",SPLIT('(INGESTA)Datos_consumo_datadis'!A:A,"",""),"""")"),"")</f>
        <v/>
      </c>
      <c r="G16432" s="8" t="str">
        <f t="shared" si="1"/>
        <v/>
      </c>
      <c r="H16432" s="14" t="str">
        <f t="shared" si="2"/>
        <v/>
      </c>
      <c r="I16432" s="15" t="str">
        <f t="shared" si="3"/>
        <v/>
      </c>
    </row>
    <row r="16433">
      <c r="A16433" s="8" t="str">
        <f>IFERROR(__xludf.DUMMYFUNCTION("IF('(INGESTA)Datos_consumo_datadis'!A17998&lt;&gt;"""",SPLIT('(INGESTA)Datos_consumo_datadis'!A:A,"",""),"""")"),"")</f>
        <v/>
      </c>
      <c r="G16433" s="8" t="str">
        <f t="shared" si="1"/>
        <v/>
      </c>
      <c r="H16433" s="14" t="str">
        <f t="shared" si="2"/>
        <v/>
      </c>
      <c r="I16433" s="15" t="str">
        <f t="shared" si="3"/>
        <v/>
      </c>
    </row>
    <row r="16434">
      <c r="A16434" s="8" t="str">
        <f>IFERROR(__xludf.DUMMYFUNCTION("IF('(INGESTA)Datos_consumo_datadis'!A17999&lt;&gt;"""",SPLIT('(INGESTA)Datos_consumo_datadis'!A:A,"",""),"""")"),"")</f>
        <v/>
      </c>
      <c r="G16434" s="8" t="str">
        <f t="shared" si="1"/>
        <v/>
      </c>
      <c r="H16434" s="14" t="str">
        <f t="shared" si="2"/>
        <v/>
      </c>
      <c r="I16434" s="15" t="str">
        <f t="shared" si="3"/>
        <v/>
      </c>
    </row>
    <row r="16435">
      <c r="A16435" s="8" t="str">
        <f>IFERROR(__xludf.DUMMYFUNCTION("IF('(INGESTA)Datos_consumo_datadis'!A18000&lt;&gt;"""",SPLIT('(INGESTA)Datos_consumo_datadis'!A:A,"",""),"""")"),"")</f>
        <v/>
      </c>
      <c r="G16435" s="8" t="str">
        <f t="shared" si="1"/>
        <v/>
      </c>
      <c r="H16435" s="14" t="str">
        <f t="shared" si="2"/>
        <v/>
      </c>
      <c r="I16435" s="15" t="str">
        <f t="shared" si="3"/>
        <v/>
      </c>
    </row>
    <row r="16436">
      <c r="A16436" s="8" t="str">
        <f>IFERROR(__xludf.DUMMYFUNCTION("IF('(INGESTA)Datos_consumo_datadis'!A18001&lt;&gt;"""",SPLIT('(INGESTA)Datos_consumo_datadis'!A:A,"",""),"""")"),"")</f>
        <v/>
      </c>
      <c r="G16436" s="8" t="str">
        <f t="shared" si="1"/>
        <v/>
      </c>
      <c r="H16436" s="14" t="str">
        <f t="shared" si="2"/>
        <v/>
      </c>
      <c r="I16436" s="15" t="str">
        <f t="shared" si="3"/>
        <v/>
      </c>
    </row>
    <row r="16437">
      <c r="A16437" s="8" t="str">
        <f>IFERROR(__xludf.DUMMYFUNCTION("IF('(INGESTA)Datos_consumo_datadis'!A18002&lt;&gt;"""",SPLIT('(INGESTA)Datos_consumo_datadis'!A:A,"",""),"""")"),"")</f>
        <v/>
      </c>
      <c r="G16437" s="8" t="str">
        <f t="shared" si="1"/>
        <v/>
      </c>
      <c r="H16437" s="14" t="str">
        <f t="shared" si="2"/>
        <v/>
      </c>
      <c r="I16437" s="15" t="str">
        <f t="shared" si="3"/>
        <v/>
      </c>
    </row>
    <row r="16438">
      <c r="A16438" s="8" t="str">
        <f>IFERROR(__xludf.DUMMYFUNCTION("IF('(INGESTA)Datos_consumo_datadis'!A18003&lt;&gt;"""",SPLIT('(INGESTA)Datos_consumo_datadis'!A:A,"",""),"""")"),"")</f>
        <v/>
      </c>
      <c r="G16438" s="8" t="str">
        <f t="shared" si="1"/>
        <v/>
      </c>
      <c r="H16438" s="14" t="str">
        <f t="shared" si="2"/>
        <v/>
      </c>
      <c r="I16438" s="15" t="str">
        <f t="shared" si="3"/>
        <v/>
      </c>
    </row>
    <row r="16439">
      <c r="A16439" s="8" t="str">
        <f>IFERROR(__xludf.DUMMYFUNCTION("IF('(INGESTA)Datos_consumo_datadis'!A18004&lt;&gt;"""",SPLIT('(INGESTA)Datos_consumo_datadis'!A:A,"",""),"""")"),"")</f>
        <v/>
      </c>
      <c r="G16439" s="8" t="str">
        <f t="shared" si="1"/>
        <v/>
      </c>
      <c r="H16439" s="14" t="str">
        <f t="shared" si="2"/>
        <v/>
      </c>
      <c r="I16439" s="15" t="str">
        <f t="shared" si="3"/>
        <v/>
      </c>
    </row>
    <row r="16440">
      <c r="A16440" s="8" t="str">
        <f>IFERROR(__xludf.DUMMYFUNCTION("IF('(INGESTA)Datos_consumo_datadis'!A18005&lt;&gt;"""",SPLIT('(INGESTA)Datos_consumo_datadis'!A:A,"",""),"""")"),"")</f>
        <v/>
      </c>
      <c r="G16440" s="8" t="str">
        <f t="shared" si="1"/>
        <v/>
      </c>
      <c r="H16440" s="14" t="str">
        <f t="shared" si="2"/>
        <v/>
      </c>
      <c r="I16440" s="15" t="str">
        <f t="shared" si="3"/>
        <v/>
      </c>
    </row>
    <row r="16441">
      <c r="A16441" s="8" t="str">
        <f>IFERROR(__xludf.DUMMYFUNCTION("IF('(INGESTA)Datos_consumo_datadis'!A18006&lt;&gt;"""",SPLIT('(INGESTA)Datos_consumo_datadis'!A:A,"",""),"""")"),"")</f>
        <v/>
      </c>
      <c r="G16441" s="8" t="str">
        <f t="shared" si="1"/>
        <v/>
      </c>
      <c r="H16441" s="14" t="str">
        <f t="shared" si="2"/>
        <v/>
      </c>
      <c r="I16441" s="15" t="str">
        <f t="shared" si="3"/>
        <v/>
      </c>
    </row>
    <row r="16442">
      <c r="A16442" s="8" t="str">
        <f>IFERROR(__xludf.DUMMYFUNCTION("IF('(INGESTA)Datos_consumo_datadis'!A18007&lt;&gt;"""",SPLIT('(INGESTA)Datos_consumo_datadis'!A:A,"",""),"""")"),"")</f>
        <v/>
      </c>
      <c r="G16442" s="8" t="str">
        <f t="shared" si="1"/>
        <v/>
      </c>
      <c r="H16442" s="14" t="str">
        <f t="shared" si="2"/>
        <v/>
      </c>
      <c r="I16442" s="15" t="str">
        <f t="shared" si="3"/>
        <v/>
      </c>
    </row>
    <row r="16443">
      <c r="A16443" s="8" t="str">
        <f>IFERROR(__xludf.DUMMYFUNCTION("IF('(INGESTA)Datos_consumo_datadis'!A18008&lt;&gt;"""",SPLIT('(INGESTA)Datos_consumo_datadis'!A:A,"",""),"""")"),"")</f>
        <v/>
      </c>
      <c r="G16443" s="8" t="str">
        <f t="shared" si="1"/>
        <v/>
      </c>
      <c r="H16443" s="14" t="str">
        <f t="shared" si="2"/>
        <v/>
      </c>
      <c r="I16443" s="15" t="str">
        <f t="shared" si="3"/>
        <v/>
      </c>
    </row>
    <row r="16444">
      <c r="A16444" s="8" t="str">
        <f>IFERROR(__xludf.DUMMYFUNCTION("IF('(INGESTA)Datos_consumo_datadis'!A18009&lt;&gt;"""",SPLIT('(INGESTA)Datos_consumo_datadis'!A:A,"",""),"""")"),"")</f>
        <v/>
      </c>
      <c r="G16444" s="8" t="str">
        <f t="shared" si="1"/>
        <v/>
      </c>
      <c r="H16444" s="14" t="str">
        <f t="shared" si="2"/>
        <v/>
      </c>
      <c r="I16444" s="15" t="str">
        <f t="shared" si="3"/>
        <v/>
      </c>
    </row>
    <row r="16445">
      <c r="A16445" s="8" t="str">
        <f>IFERROR(__xludf.DUMMYFUNCTION("IF('(INGESTA)Datos_consumo_datadis'!A18010&lt;&gt;"""",SPLIT('(INGESTA)Datos_consumo_datadis'!A:A,"",""),"""")"),"")</f>
        <v/>
      </c>
      <c r="G16445" s="8" t="str">
        <f t="shared" si="1"/>
        <v/>
      </c>
      <c r="H16445" s="14" t="str">
        <f t="shared" si="2"/>
        <v/>
      </c>
      <c r="I16445" s="15" t="str">
        <f t="shared" si="3"/>
        <v/>
      </c>
    </row>
    <row r="16446">
      <c r="A16446" s="8" t="str">
        <f>IFERROR(__xludf.DUMMYFUNCTION("IF('(INGESTA)Datos_consumo_datadis'!A18011&lt;&gt;"""",SPLIT('(INGESTA)Datos_consumo_datadis'!A:A,"",""),"""")"),"")</f>
        <v/>
      </c>
      <c r="G16446" s="8" t="str">
        <f t="shared" si="1"/>
        <v/>
      </c>
      <c r="H16446" s="14" t="str">
        <f t="shared" si="2"/>
        <v/>
      </c>
      <c r="I16446" s="15" t="str">
        <f t="shared" si="3"/>
        <v/>
      </c>
    </row>
    <row r="16447">
      <c r="A16447" s="8" t="str">
        <f>IFERROR(__xludf.DUMMYFUNCTION("IF('(INGESTA)Datos_consumo_datadis'!A18012&lt;&gt;"""",SPLIT('(INGESTA)Datos_consumo_datadis'!A:A,"",""),"""")"),"")</f>
        <v/>
      </c>
      <c r="G16447" s="8" t="str">
        <f t="shared" si="1"/>
        <v/>
      </c>
      <c r="H16447" s="14" t="str">
        <f t="shared" si="2"/>
        <v/>
      </c>
      <c r="I16447" s="15" t="str">
        <f t="shared" si="3"/>
        <v/>
      </c>
    </row>
    <row r="16448">
      <c r="A16448" s="8" t="str">
        <f>IFERROR(__xludf.DUMMYFUNCTION("IF('(INGESTA)Datos_consumo_datadis'!A18013&lt;&gt;"""",SPLIT('(INGESTA)Datos_consumo_datadis'!A:A,"",""),"""")"),"")</f>
        <v/>
      </c>
      <c r="G16448" s="8" t="str">
        <f t="shared" si="1"/>
        <v/>
      </c>
      <c r="H16448" s="14" t="str">
        <f t="shared" si="2"/>
        <v/>
      </c>
      <c r="I16448" s="15" t="str">
        <f t="shared" si="3"/>
        <v/>
      </c>
    </row>
    <row r="16449">
      <c r="A16449" s="8" t="str">
        <f>IFERROR(__xludf.DUMMYFUNCTION("IF('(INGESTA)Datos_consumo_datadis'!A18014&lt;&gt;"""",SPLIT('(INGESTA)Datos_consumo_datadis'!A:A,"",""),"""")"),"")</f>
        <v/>
      </c>
      <c r="G16449" s="8" t="str">
        <f t="shared" si="1"/>
        <v/>
      </c>
      <c r="H16449" s="14" t="str">
        <f t="shared" si="2"/>
        <v/>
      </c>
      <c r="I16449" s="15" t="str">
        <f t="shared" si="3"/>
        <v/>
      </c>
    </row>
    <row r="16450">
      <c r="A16450" s="8" t="str">
        <f>IFERROR(__xludf.DUMMYFUNCTION("IF('(INGESTA)Datos_consumo_datadis'!A18015&lt;&gt;"""",SPLIT('(INGESTA)Datos_consumo_datadis'!A:A,"",""),"""")"),"")</f>
        <v/>
      </c>
      <c r="G16450" s="8" t="str">
        <f t="shared" si="1"/>
        <v/>
      </c>
      <c r="H16450" s="14" t="str">
        <f t="shared" si="2"/>
        <v/>
      </c>
      <c r="I16450" s="15" t="str">
        <f t="shared" si="3"/>
        <v/>
      </c>
    </row>
    <row r="16451">
      <c r="A16451" s="8" t="str">
        <f>IFERROR(__xludf.DUMMYFUNCTION("IF('(INGESTA)Datos_consumo_datadis'!A18016&lt;&gt;"""",SPLIT('(INGESTA)Datos_consumo_datadis'!A:A,"",""),"""")"),"")</f>
        <v/>
      </c>
      <c r="G16451" s="8" t="str">
        <f t="shared" si="1"/>
        <v/>
      </c>
      <c r="H16451" s="14" t="str">
        <f t="shared" si="2"/>
        <v/>
      </c>
      <c r="I16451" s="15" t="str">
        <f t="shared" si="3"/>
        <v/>
      </c>
    </row>
    <row r="16452">
      <c r="A16452" s="8" t="str">
        <f>IFERROR(__xludf.DUMMYFUNCTION("IF('(INGESTA)Datos_consumo_datadis'!A18017&lt;&gt;"""",SPLIT('(INGESTA)Datos_consumo_datadis'!A:A,"",""),"""")"),"")</f>
        <v/>
      </c>
      <c r="G16452" s="8" t="str">
        <f t="shared" si="1"/>
        <v/>
      </c>
      <c r="H16452" s="14" t="str">
        <f t="shared" si="2"/>
        <v/>
      </c>
      <c r="I16452" s="15" t="str">
        <f t="shared" si="3"/>
        <v/>
      </c>
    </row>
    <row r="16453">
      <c r="A16453" s="8" t="str">
        <f>IFERROR(__xludf.DUMMYFUNCTION("IF('(INGESTA)Datos_consumo_datadis'!A18018&lt;&gt;"""",SPLIT('(INGESTA)Datos_consumo_datadis'!A:A,"",""),"""")"),"")</f>
        <v/>
      </c>
      <c r="G16453" s="8" t="str">
        <f t="shared" si="1"/>
        <v/>
      </c>
      <c r="H16453" s="14" t="str">
        <f t="shared" si="2"/>
        <v/>
      </c>
      <c r="I16453" s="15" t="str">
        <f t="shared" si="3"/>
        <v/>
      </c>
    </row>
    <row r="16454">
      <c r="A16454" s="8" t="str">
        <f>IFERROR(__xludf.DUMMYFUNCTION("IF('(INGESTA)Datos_consumo_datadis'!A18019&lt;&gt;"""",SPLIT('(INGESTA)Datos_consumo_datadis'!A:A,"",""),"""")"),"")</f>
        <v/>
      </c>
      <c r="G16454" s="8" t="str">
        <f t="shared" si="1"/>
        <v/>
      </c>
      <c r="H16454" s="14" t="str">
        <f t="shared" si="2"/>
        <v/>
      </c>
      <c r="I16454" s="15" t="str">
        <f t="shared" si="3"/>
        <v/>
      </c>
    </row>
    <row r="16455">
      <c r="A16455" s="8" t="str">
        <f>IFERROR(__xludf.DUMMYFUNCTION("IF('(INGESTA)Datos_consumo_datadis'!A18020&lt;&gt;"""",SPLIT('(INGESTA)Datos_consumo_datadis'!A:A,"",""),"""")"),"")</f>
        <v/>
      </c>
      <c r="G16455" s="8" t="str">
        <f t="shared" si="1"/>
        <v/>
      </c>
      <c r="H16455" s="14" t="str">
        <f t="shared" si="2"/>
        <v/>
      </c>
      <c r="I16455" s="15" t="str">
        <f t="shared" si="3"/>
        <v/>
      </c>
    </row>
    <row r="16456">
      <c r="A16456" s="8" t="str">
        <f>IFERROR(__xludf.DUMMYFUNCTION("IF('(INGESTA)Datos_consumo_datadis'!A18021&lt;&gt;"""",SPLIT('(INGESTA)Datos_consumo_datadis'!A:A,"",""),"""")"),"")</f>
        <v/>
      </c>
      <c r="G16456" s="8" t="str">
        <f t="shared" si="1"/>
        <v/>
      </c>
      <c r="H16456" s="14" t="str">
        <f t="shared" si="2"/>
        <v/>
      </c>
      <c r="I16456" s="15" t="str">
        <f t="shared" si="3"/>
        <v/>
      </c>
    </row>
    <row r="16457">
      <c r="A16457" s="8" t="str">
        <f>IFERROR(__xludf.DUMMYFUNCTION("IF('(INGESTA)Datos_consumo_datadis'!A18022&lt;&gt;"""",SPLIT('(INGESTA)Datos_consumo_datadis'!A:A,"",""),"""")"),"")</f>
        <v/>
      </c>
      <c r="G16457" s="8" t="str">
        <f t="shared" si="1"/>
        <v/>
      </c>
      <c r="H16457" s="14" t="str">
        <f t="shared" si="2"/>
        <v/>
      </c>
      <c r="I16457" s="15" t="str">
        <f t="shared" si="3"/>
        <v/>
      </c>
    </row>
    <row r="16458">
      <c r="A16458" s="8" t="str">
        <f>IFERROR(__xludf.DUMMYFUNCTION("IF('(INGESTA)Datos_consumo_datadis'!A18023&lt;&gt;"""",SPLIT('(INGESTA)Datos_consumo_datadis'!A:A,"",""),"""")"),"")</f>
        <v/>
      </c>
      <c r="G16458" s="8" t="str">
        <f t="shared" si="1"/>
        <v/>
      </c>
      <c r="H16458" s="14" t="str">
        <f t="shared" si="2"/>
        <v/>
      </c>
      <c r="I16458" s="15" t="str">
        <f t="shared" si="3"/>
        <v/>
      </c>
    </row>
    <row r="16459">
      <c r="A16459" s="8" t="str">
        <f>IFERROR(__xludf.DUMMYFUNCTION("IF('(INGESTA)Datos_consumo_datadis'!A18024&lt;&gt;"""",SPLIT('(INGESTA)Datos_consumo_datadis'!A:A,"",""),"""")"),"")</f>
        <v/>
      </c>
      <c r="G16459" s="8" t="str">
        <f t="shared" si="1"/>
        <v/>
      </c>
      <c r="H16459" s="14" t="str">
        <f t="shared" si="2"/>
        <v/>
      </c>
      <c r="I16459" s="15" t="str">
        <f t="shared" si="3"/>
        <v/>
      </c>
    </row>
    <row r="16460">
      <c r="A16460" s="8" t="str">
        <f>IFERROR(__xludf.DUMMYFUNCTION("IF('(INGESTA)Datos_consumo_datadis'!A18025&lt;&gt;"""",SPLIT('(INGESTA)Datos_consumo_datadis'!A:A,"",""),"""")"),"")</f>
        <v/>
      </c>
      <c r="G16460" s="8" t="str">
        <f t="shared" si="1"/>
        <v/>
      </c>
      <c r="H16460" s="14" t="str">
        <f t="shared" si="2"/>
        <v/>
      </c>
      <c r="I16460" s="15" t="str">
        <f t="shared" si="3"/>
        <v/>
      </c>
    </row>
    <row r="16461">
      <c r="A16461" s="8" t="str">
        <f>IFERROR(__xludf.DUMMYFUNCTION("IF('(INGESTA)Datos_consumo_datadis'!A18026&lt;&gt;"""",SPLIT('(INGESTA)Datos_consumo_datadis'!A:A,"",""),"""")"),"")</f>
        <v/>
      </c>
      <c r="G16461" s="8" t="str">
        <f t="shared" si="1"/>
        <v/>
      </c>
      <c r="H16461" s="14" t="str">
        <f t="shared" si="2"/>
        <v/>
      </c>
      <c r="I16461" s="15" t="str">
        <f t="shared" si="3"/>
        <v/>
      </c>
    </row>
    <row r="16462">
      <c r="A16462" s="8" t="str">
        <f>IFERROR(__xludf.DUMMYFUNCTION("IF('(INGESTA)Datos_consumo_datadis'!A18027&lt;&gt;"""",SPLIT('(INGESTA)Datos_consumo_datadis'!A:A,"",""),"""")"),"")</f>
        <v/>
      </c>
      <c r="G16462" s="8" t="str">
        <f t="shared" si="1"/>
        <v/>
      </c>
      <c r="H16462" s="14" t="str">
        <f t="shared" si="2"/>
        <v/>
      </c>
      <c r="I16462" s="15" t="str">
        <f t="shared" si="3"/>
        <v/>
      </c>
    </row>
    <row r="16463">
      <c r="A16463" s="8" t="str">
        <f>IFERROR(__xludf.DUMMYFUNCTION("IF('(INGESTA)Datos_consumo_datadis'!A18028&lt;&gt;"""",SPLIT('(INGESTA)Datos_consumo_datadis'!A:A,"",""),"""")"),"")</f>
        <v/>
      </c>
      <c r="G16463" s="8" t="str">
        <f t="shared" si="1"/>
        <v/>
      </c>
      <c r="H16463" s="14" t="str">
        <f t="shared" si="2"/>
        <v/>
      </c>
      <c r="I16463" s="15" t="str">
        <f t="shared" si="3"/>
        <v/>
      </c>
    </row>
    <row r="16464">
      <c r="A16464" s="8" t="str">
        <f>IFERROR(__xludf.DUMMYFUNCTION("IF('(INGESTA)Datos_consumo_datadis'!A18029&lt;&gt;"""",SPLIT('(INGESTA)Datos_consumo_datadis'!A:A,"",""),"""")"),"")</f>
        <v/>
      </c>
      <c r="G16464" s="8" t="str">
        <f t="shared" si="1"/>
        <v/>
      </c>
      <c r="H16464" s="14" t="str">
        <f t="shared" si="2"/>
        <v/>
      </c>
      <c r="I16464" s="15" t="str">
        <f t="shared" si="3"/>
        <v/>
      </c>
    </row>
    <row r="16465">
      <c r="A16465" s="8" t="str">
        <f>IFERROR(__xludf.DUMMYFUNCTION("IF('(INGESTA)Datos_consumo_datadis'!A18030&lt;&gt;"""",SPLIT('(INGESTA)Datos_consumo_datadis'!A:A,"",""),"""")"),"")</f>
        <v/>
      </c>
      <c r="G16465" s="8" t="str">
        <f t="shared" si="1"/>
        <v/>
      </c>
      <c r="H16465" s="14" t="str">
        <f t="shared" si="2"/>
        <v/>
      </c>
      <c r="I16465" s="15" t="str">
        <f t="shared" si="3"/>
        <v/>
      </c>
    </row>
    <row r="16466">
      <c r="A16466" s="8" t="str">
        <f>IFERROR(__xludf.DUMMYFUNCTION("IF('(INGESTA)Datos_consumo_datadis'!A18031&lt;&gt;"""",SPLIT('(INGESTA)Datos_consumo_datadis'!A:A,"",""),"""")"),"")</f>
        <v/>
      </c>
      <c r="G16466" s="8" t="str">
        <f t="shared" si="1"/>
        <v/>
      </c>
      <c r="H16466" s="14" t="str">
        <f t="shared" si="2"/>
        <v/>
      </c>
      <c r="I16466" s="15" t="str">
        <f t="shared" si="3"/>
        <v/>
      </c>
    </row>
    <row r="16467">
      <c r="A16467" s="8" t="str">
        <f>IFERROR(__xludf.DUMMYFUNCTION("IF('(INGESTA)Datos_consumo_datadis'!A18032&lt;&gt;"""",SPLIT('(INGESTA)Datos_consumo_datadis'!A:A,"",""),"""")"),"")</f>
        <v/>
      </c>
      <c r="G16467" s="8" t="str">
        <f t="shared" si="1"/>
        <v/>
      </c>
      <c r="H16467" s="14" t="str">
        <f t="shared" si="2"/>
        <v/>
      </c>
      <c r="I16467" s="15" t="str">
        <f t="shared" si="3"/>
        <v/>
      </c>
    </row>
    <row r="16468">
      <c r="A16468" s="8" t="str">
        <f>IFERROR(__xludf.DUMMYFUNCTION("IF('(INGESTA)Datos_consumo_datadis'!A18033&lt;&gt;"""",SPLIT('(INGESTA)Datos_consumo_datadis'!A:A,"",""),"""")"),"")</f>
        <v/>
      </c>
      <c r="G16468" s="8" t="str">
        <f t="shared" si="1"/>
        <v/>
      </c>
      <c r="H16468" s="14" t="str">
        <f t="shared" si="2"/>
        <v/>
      </c>
      <c r="I16468" s="15" t="str">
        <f t="shared" si="3"/>
        <v/>
      </c>
    </row>
    <row r="16469">
      <c r="A16469" s="8" t="str">
        <f>IFERROR(__xludf.DUMMYFUNCTION("IF('(INGESTA)Datos_consumo_datadis'!A18034&lt;&gt;"""",SPLIT('(INGESTA)Datos_consumo_datadis'!A:A,"",""),"""")"),"")</f>
        <v/>
      </c>
      <c r="G16469" s="8" t="str">
        <f t="shared" si="1"/>
        <v/>
      </c>
      <c r="H16469" s="14" t="str">
        <f t="shared" si="2"/>
        <v/>
      </c>
      <c r="I16469" s="15" t="str">
        <f t="shared" si="3"/>
        <v/>
      </c>
    </row>
    <row r="16470">
      <c r="A16470" s="8" t="str">
        <f>IFERROR(__xludf.DUMMYFUNCTION("IF('(INGESTA)Datos_consumo_datadis'!A18035&lt;&gt;"""",SPLIT('(INGESTA)Datos_consumo_datadis'!A:A,"",""),"""")"),"")</f>
        <v/>
      </c>
      <c r="G16470" s="8" t="str">
        <f t="shared" si="1"/>
        <v/>
      </c>
      <c r="H16470" s="14" t="str">
        <f t="shared" si="2"/>
        <v/>
      </c>
      <c r="I16470" s="15" t="str">
        <f t="shared" si="3"/>
        <v/>
      </c>
    </row>
    <row r="16471">
      <c r="A16471" s="8" t="str">
        <f>IFERROR(__xludf.DUMMYFUNCTION("IF('(INGESTA)Datos_consumo_datadis'!A18036&lt;&gt;"""",SPLIT('(INGESTA)Datos_consumo_datadis'!A:A,"",""),"""")"),"")</f>
        <v/>
      </c>
      <c r="G16471" s="8" t="str">
        <f t="shared" si="1"/>
        <v/>
      </c>
      <c r="H16471" s="14" t="str">
        <f t="shared" si="2"/>
        <v/>
      </c>
      <c r="I16471" s="15" t="str">
        <f t="shared" si="3"/>
        <v/>
      </c>
    </row>
    <row r="16472">
      <c r="A16472" s="8" t="str">
        <f>IFERROR(__xludf.DUMMYFUNCTION("IF('(INGESTA)Datos_consumo_datadis'!A18037&lt;&gt;"""",SPLIT('(INGESTA)Datos_consumo_datadis'!A:A,"",""),"""")"),"")</f>
        <v/>
      </c>
      <c r="G16472" s="8" t="str">
        <f t="shared" si="1"/>
        <v/>
      </c>
      <c r="H16472" s="14" t="str">
        <f t="shared" si="2"/>
        <v/>
      </c>
      <c r="I16472" s="15" t="str">
        <f t="shared" si="3"/>
        <v/>
      </c>
    </row>
    <row r="16473">
      <c r="A16473" s="8" t="str">
        <f>IFERROR(__xludf.DUMMYFUNCTION("IF('(INGESTA)Datos_consumo_datadis'!A18038&lt;&gt;"""",SPLIT('(INGESTA)Datos_consumo_datadis'!A:A,"",""),"""")"),"")</f>
        <v/>
      </c>
      <c r="G16473" s="8" t="str">
        <f t="shared" si="1"/>
        <v/>
      </c>
      <c r="H16473" s="14" t="str">
        <f t="shared" si="2"/>
        <v/>
      </c>
      <c r="I16473" s="15" t="str">
        <f t="shared" si="3"/>
        <v/>
      </c>
    </row>
    <row r="16474">
      <c r="A16474" s="8" t="str">
        <f>IFERROR(__xludf.DUMMYFUNCTION("IF('(INGESTA)Datos_consumo_datadis'!A18039&lt;&gt;"""",SPLIT('(INGESTA)Datos_consumo_datadis'!A:A,"",""),"""")"),"")</f>
        <v/>
      </c>
      <c r="G16474" s="8" t="str">
        <f t="shared" si="1"/>
        <v/>
      </c>
      <c r="H16474" s="14" t="str">
        <f t="shared" si="2"/>
        <v/>
      </c>
      <c r="I16474" s="15" t="str">
        <f t="shared" si="3"/>
        <v/>
      </c>
    </row>
    <row r="16475">
      <c r="A16475" s="8" t="str">
        <f>IFERROR(__xludf.DUMMYFUNCTION("IF('(INGESTA)Datos_consumo_datadis'!A18040&lt;&gt;"""",SPLIT('(INGESTA)Datos_consumo_datadis'!A:A,"",""),"""")"),"")</f>
        <v/>
      </c>
      <c r="G16475" s="8" t="str">
        <f t="shared" si="1"/>
        <v/>
      </c>
      <c r="H16475" s="14" t="str">
        <f t="shared" si="2"/>
        <v/>
      </c>
      <c r="I16475" s="15" t="str">
        <f t="shared" si="3"/>
        <v/>
      </c>
    </row>
    <row r="16476">
      <c r="A16476" s="8" t="str">
        <f>IFERROR(__xludf.DUMMYFUNCTION("IF('(INGESTA)Datos_consumo_datadis'!A18041&lt;&gt;"""",SPLIT('(INGESTA)Datos_consumo_datadis'!A:A,"",""),"""")"),"")</f>
        <v/>
      </c>
      <c r="G16476" s="8" t="str">
        <f t="shared" si="1"/>
        <v/>
      </c>
      <c r="H16476" s="14" t="str">
        <f t="shared" si="2"/>
        <v/>
      </c>
      <c r="I16476" s="15" t="str">
        <f t="shared" si="3"/>
        <v/>
      </c>
    </row>
    <row r="16477">
      <c r="A16477" s="8" t="str">
        <f>IFERROR(__xludf.DUMMYFUNCTION("IF('(INGESTA)Datos_consumo_datadis'!A18042&lt;&gt;"""",SPLIT('(INGESTA)Datos_consumo_datadis'!A:A,"",""),"""")"),"")</f>
        <v/>
      </c>
      <c r="G16477" s="8" t="str">
        <f t="shared" si="1"/>
        <v/>
      </c>
      <c r="H16477" s="14" t="str">
        <f t="shared" si="2"/>
        <v/>
      </c>
      <c r="I16477" s="15" t="str">
        <f t="shared" si="3"/>
        <v/>
      </c>
    </row>
    <row r="16478">
      <c r="A16478" s="8" t="str">
        <f>IFERROR(__xludf.DUMMYFUNCTION("IF('(INGESTA)Datos_consumo_datadis'!A18043&lt;&gt;"""",SPLIT('(INGESTA)Datos_consumo_datadis'!A:A,"",""),"""")"),"")</f>
        <v/>
      </c>
      <c r="G16478" s="8" t="str">
        <f t="shared" si="1"/>
        <v/>
      </c>
      <c r="H16478" s="14" t="str">
        <f t="shared" si="2"/>
        <v/>
      </c>
      <c r="I16478" s="15" t="str">
        <f t="shared" si="3"/>
        <v/>
      </c>
    </row>
    <row r="16479">
      <c r="A16479" s="8" t="str">
        <f>IFERROR(__xludf.DUMMYFUNCTION("IF('(INGESTA)Datos_consumo_datadis'!A18044&lt;&gt;"""",SPLIT('(INGESTA)Datos_consumo_datadis'!A:A,"",""),"""")"),"")</f>
        <v/>
      </c>
      <c r="G16479" s="8" t="str">
        <f t="shared" si="1"/>
        <v/>
      </c>
      <c r="H16479" s="14" t="str">
        <f t="shared" si="2"/>
        <v/>
      </c>
      <c r="I16479" s="15" t="str">
        <f t="shared" si="3"/>
        <v/>
      </c>
    </row>
    <row r="16480">
      <c r="A16480" s="8" t="str">
        <f>IFERROR(__xludf.DUMMYFUNCTION("IF('(INGESTA)Datos_consumo_datadis'!A18045&lt;&gt;"""",SPLIT('(INGESTA)Datos_consumo_datadis'!A:A,"",""),"""")"),"")</f>
        <v/>
      </c>
      <c r="G16480" s="8" t="str">
        <f t="shared" si="1"/>
        <v/>
      </c>
      <c r="H16480" s="14" t="str">
        <f t="shared" si="2"/>
        <v/>
      </c>
      <c r="I16480" s="15" t="str">
        <f t="shared" si="3"/>
        <v/>
      </c>
    </row>
    <row r="16481">
      <c r="A16481" s="8" t="str">
        <f>IFERROR(__xludf.DUMMYFUNCTION("IF('(INGESTA)Datos_consumo_datadis'!A18046&lt;&gt;"""",SPLIT('(INGESTA)Datos_consumo_datadis'!A:A,"",""),"""")"),"")</f>
        <v/>
      </c>
      <c r="G16481" s="8" t="str">
        <f t="shared" si="1"/>
        <v/>
      </c>
      <c r="H16481" s="14" t="str">
        <f t="shared" si="2"/>
        <v/>
      </c>
      <c r="I16481" s="15" t="str">
        <f t="shared" si="3"/>
        <v/>
      </c>
    </row>
    <row r="16482">
      <c r="A16482" s="8" t="str">
        <f>IFERROR(__xludf.DUMMYFUNCTION("IF('(INGESTA)Datos_consumo_datadis'!A18047&lt;&gt;"""",SPLIT('(INGESTA)Datos_consumo_datadis'!A:A,"",""),"""")"),"")</f>
        <v/>
      </c>
      <c r="G16482" s="8" t="str">
        <f t="shared" si="1"/>
        <v/>
      </c>
      <c r="H16482" s="14" t="str">
        <f t="shared" si="2"/>
        <v/>
      </c>
      <c r="I16482" s="15" t="str">
        <f t="shared" si="3"/>
        <v/>
      </c>
    </row>
    <row r="16483">
      <c r="A16483" s="8" t="str">
        <f>IFERROR(__xludf.DUMMYFUNCTION("IF('(INGESTA)Datos_consumo_datadis'!A18048&lt;&gt;"""",SPLIT('(INGESTA)Datos_consumo_datadis'!A:A,"",""),"""")"),"")</f>
        <v/>
      </c>
      <c r="G16483" s="8" t="str">
        <f t="shared" si="1"/>
        <v/>
      </c>
      <c r="H16483" s="14" t="str">
        <f t="shared" si="2"/>
        <v/>
      </c>
      <c r="I16483" s="15" t="str">
        <f t="shared" si="3"/>
        <v/>
      </c>
    </row>
    <row r="16484">
      <c r="A16484" s="8" t="str">
        <f>IFERROR(__xludf.DUMMYFUNCTION("IF('(INGESTA)Datos_consumo_datadis'!A18049&lt;&gt;"""",SPLIT('(INGESTA)Datos_consumo_datadis'!A:A,"",""),"""")"),"")</f>
        <v/>
      </c>
      <c r="G16484" s="8" t="str">
        <f t="shared" si="1"/>
        <v/>
      </c>
      <c r="H16484" s="14" t="str">
        <f t="shared" si="2"/>
        <v/>
      </c>
      <c r="I16484" s="15" t="str">
        <f t="shared" si="3"/>
        <v/>
      </c>
    </row>
    <row r="16485">
      <c r="A16485" s="8" t="str">
        <f>IFERROR(__xludf.DUMMYFUNCTION("IF('(INGESTA)Datos_consumo_datadis'!A18050&lt;&gt;"""",SPLIT('(INGESTA)Datos_consumo_datadis'!A:A,"",""),"""")"),"")</f>
        <v/>
      </c>
      <c r="G16485" s="8" t="str">
        <f t="shared" si="1"/>
        <v/>
      </c>
      <c r="H16485" s="14" t="str">
        <f t="shared" si="2"/>
        <v/>
      </c>
      <c r="I16485" s="15" t="str">
        <f t="shared" si="3"/>
        <v/>
      </c>
    </row>
    <row r="16486">
      <c r="A16486" s="8" t="str">
        <f>IFERROR(__xludf.DUMMYFUNCTION("IF('(INGESTA)Datos_consumo_datadis'!A18051&lt;&gt;"""",SPLIT('(INGESTA)Datos_consumo_datadis'!A:A,"",""),"""")"),"")</f>
        <v/>
      </c>
      <c r="G16486" s="8" t="str">
        <f t="shared" si="1"/>
        <v/>
      </c>
      <c r="H16486" s="14" t="str">
        <f t="shared" si="2"/>
        <v/>
      </c>
      <c r="I16486" s="15" t="str">
        <f t="shared" si="3"/>
        <v/>
      </c>
    </row>
    <row r="16487">
      <c r="A16487" s="8" t="str">
        <f>IFERROR(__xludf.DUMMYFUNCTION("IF('(INGESTA)Datos_consumo_datadis'!A18052&lt;&gt;"""",SPLIT('(INGESTA)Datos_consumo_datadis'!A:A,"",""),"""")"),"")</f>
        <v/>
      </c>
      <c r="G16487" s="8" t="str">
        <f t="shared" si="1"/>
        <v/>
      </c>
      <c r="H16487" s="14" t="str">
        <f t="shared" si="2"/>
        <v/>
      </c>
      <c r="I16487" s="15" t="str">
        <f t="shared" si="3"/>
        <v/>
      </c>
    </row>
    <row r="16488">
      <c r="A16488" s="8" t="str">
        <f>IFERROR(__xludf.DUMMYFUNCTION("IF('(INGESTA)Datos_consumo_datadis'!A18053&lt;&gt;"""",SPLIT('(INGESTA)Datos_consumo_datadis'!A:A,"",""),"""")"),"")</f>
        <v/>
      </c>
      <c r="G16488" s="8" t="str">
        <f t="shared" si="1"/>
        <v/>
      </c>
      <c r="H16488" s="14" t="str">
        <f t="shared" si="2"/>
        <v/>
      </c>
      <c r="I16488" s="15" t="str">
        <f t="shared" si="3"/>
        <v/>
      </c>
    </row>
    <row r="16489">
      <c r="A16489" s="8" t="str">
        <f>IFERROR(__xludf.DUMMYFUNCTION("IF('(INGESTA)Datos_consumo_datadis'!A18054&lt;&gt;"""",SPLIT('(INGESTA)Datos_consumo_datadis'!A:A,"",""),"""")"),"")</f>
        <v/>
      </c>
      <c r="G16489" s="8" t="str">
        <f t="shared" si="1"/>
        <v/>
      </c>
      <c r="H16489" s="14" t="str">
        <f t="shared" si="2"/>
        <v/>
      </c>
      <c r="I16489" s="15" t="str">
        <f t="shared" si="3"/>
        <v/>
      </c>
    </row>
    <row r="16490">
      <c r="A16490" s="8" t="str">
        <f>IFERROR(__xludf.DUMMYFUNCTION("IF('(INGESTA)Datos_consumo_datadis'!A18055&lt;&gt;"""",SPLIT('(INGESTA)Datos_consumo_datadis'!A:A,"",""),"""")"),"")</f>
        <v/>
      </c>
      <c r="G16490" s="8" t="str">
        <f t="shared" si="1"/>
        <v/>
      </c>
      <c r="H16490" s="14" t="str">
        <f t="shared" si="2"/>
        <v/>
      </c>
      <c r="I16490" s="15" t="str">
        <f t="shared" si="3"/>
        <v/>
      </c>
    </row>
    <row r="16491">
      <c r="A16491" s="8" t="str">
        <f>IFERROR(__xludf.DUMMYFUNCTION("IF('(INGESTA)Datos_consumo_datadis'!A18056&lt;&gt;"""",SPLIT('(INGESTA)Datos_consumo_datadis'!A:A,"",""),"""")"),"")</f>
        <v/>
      </c>
      <c r="G16491" s="8" t="str">
        <f t="shared" si="1"/>
        <v/>
      </c>
      <c r="H16491" s="14" t="str">
        <f t="shared" si="2"/>
        <v/>
      </c>
      <c r="I16491" s="15" t="str">
        <f t="shared" si="3"/>
        <v/>
      </c>
    </row>
    <row r="16492">
      <c r="A16492" s="8" t="str">
        <f>IFERROR(__xludf.DUMMYFUNCTION("IF('(INGESTA)Datos_consumo_datadis'!A18057&lt;&gt;"""",SPLIT('(INGESTA)Datos_consumo_datadis'!A:A,"",""),"""")"),"")</f>
        <v/>
      </c>
      <c r="G16492" s="8" t="str">
        <f t="shared" si="1"/>
        <v/>
      </c>
      <c r="H16492" s="14" t="str">
        <f t="shared" si="2"/>
        <v/>
      </c>
      <c r="I16492" s="15" t="str">
        <f t="shared" si="3"/>
        <v/>
      </c>
    </row>
    <row r="16493">
      <c r="A16493" s="8" t="str">
        <f>IFERROR(__xludf.DUMMYFUNCTION("IF('(INGESTA)Datos_consumo_datadis'!A18058&lt;&gt;"""",SPLIT('(INGESTA)Datos_consumo_datadis'!A:A,"",""),"""")"),"")</f>
        <v/>
      </c>
      <c r="G16493" s="8" t="str">
        <f t="shared" si="1"/>
        <v/>
      </c>
      <c r="H16493" s="14" t="str">
        <f t="shared" si="2"/>
        <v/>
      </c>
      <c r="I16493" s="15" t="str">
        <f t="shared" si="3"/>
        <v/>
      </c>
    </row>
    <row r="16494">
      <c r="A16494" s="8" t="str">
        <f>IFERROR(__xludf.DUMMYFUNCTION("IF('(INGESTA)Datos_consumo_datadis'!A18059&lt;&gt;"""",SPLIT('(INGESTA)Datos_consumo_datadis'!A:A,"",""),"""")"),"")</f>
        <v/>
      </c>
      <c r="G16494" s="8" t="str">
        <f t="shared" si="1"/>
        <v/>
      </c>
      <c r="H16494" s="14" t="str">
        <f t="shared" si="2"/>
        <v/>
      </c>
      <c r="I16494" s="15" t="str">
        <f t="shared" si="3"/>
        <v/>
      </c>
    </row>
    <row r="16495">
      <c r="A16495" s="8" t="str">
        <f>IFERROR(__xludf.DUMMYFUNCTION("IF('(INGESTA)Datos_consumo_datadis'!A18060&lt;&gt;"""",SPLIT('(INGESTA)Datos_consumo_datadis'!A:A,"",""),"""")"),"")</f>
        <v/>
      </c>
      <c r="G16495" s="8" t="str">
        <f t="shared" si="1"/>
        <v/>
      </c>
      <c r="H16495" s="14" t="str">
        <f t="shared" si="2"/>
        <v/>
      </c>
      <c r="I16495" s="15" t="str">
        <f t="shared" si="3"/>
        <v/>
      </c>
    </row>
    <row r="16496">
      <c r="A16496" s="8" t="str">
        <f>IFERROR(__xludf.DUMMYFUNCTION("IF('(INGESTA)Datos_consumo_datadis'!A18061&lt;&gt;"""",SPLIT('(INGESTA)Datos_consumo_datadis'!A:A,"",""),"""")"),"")</f>
        <v/>
      </c>
      <c r="G16496" s="8" t="str">
        <f t="shared" si="1"/>
        <v/>
      </c>
      <c r="H16496" s="14" t="str">
        <f t="shared" si="2"/>
        <v/>
      </c>
      <c r="I16496" s="15" t="str">
        <f t="shared" si="3"/>
        <v/>
      </c>
    </row>
    <row r="16497">
      <c r="A16497" s="8" t="str">
        <f>IFERROR(__xludf.DUMMYFUNCTION("IF('(INGESTA)Datos_consumo_datadis'!A18062&lt;&gt;"""",SPLIT('(INGESTA)Datos_consumo_datadis'!A:A,"",""),"""")"),"")</f>
        <v/>
      </c>
      <c r="G16497" s="8" t="str">
        <f t="shared" si="1"/>
        <v/>
      </c>
      <c r="H16497" s="14" t="str">
        <f t="shared" si="2"/>
        <v/>
      </c>
      <c r="I16497" s="15" t="str">
        <f t="shared" si="3"/>
        <v/>
      </c>
    </row>
    <row r="16498">
      <c r="A16498" s="8" t="str">
        <f>IFERROR(__xludf.DUMMYFUNCTION("IF('(INGESTA)Datos_consumo_datadis'!A18063&lt;&gt;"""",SPLIT('(INGESTA)Datos_consumo_datadis'!A:A,"",""),"""")"),"")</f>
        <v/>
      </c>
      <c r="G16498" s="8" t="str">
        <f t="shared" si="1"/>
        <v/>
      </c>
      <c r="H16498" s="14" t="str">
        <f t="shared" si="2"/>
        <v/>
      </c>
      <c r="I16498" s="15" t="str">
        <f t="shared" si="3"/>
        <v/>
      </c>
    </row>
    <row r="16499">
      <c r="A16499" s="8" t="str">
        <f>IFERROR(__xludf.DUMMYFUNCTION("IF('(INGESTA)Datos_consumo_datadis'!A18064&lt;&gt;"""",SPLIT('(INGESTA)Datos_consumo_datadis'!A:A,"",""),"""")"),"")</f>
        <v/>
      </c>
      <c r="G16499" s="8" t="str">
        <f t="shared" si="1"/>
        <v/>
      </c>
      <c r="H16499" s="14" t="str">
        <f t="shared" si="2"/>
        <v/>
      </c>
      <c r="I16499" s="15" t="str">
        <f t="shared" si="3"/>
        <v/>
      </c>
    </row>
    <row r="16500">
      <c r="A16500" s="8" t="str">
        <f>IFERROR(__xludf.DUMMYFUNCTION("IF('(INGESTA)Datos_consumo_datadis'!A18065&lt;&gt;"""",SPLIT('(INGESTA)Datos_consumo_datadis'!A:A,"",""),"""")"),"")</f>
        <v/>
      </c>
      <c r="G16500" s="8" t="str">
        <f t="shared" si="1"/>
        <v/>
      </c>
      <c r="H16500" s="14" t="str">
        <f t="shared" si="2"/>
        <v/>
      </c>
      <c r="I16500" s="15" t="str">
        <f t="shared" si="3"/>
        <v/>
      </c>
    </row>
    <row r="16501">
      <c r="A16501" s="8" t="str">
        <f>IFERROR(__xludf.DUMMYFUNCTION("IF('(INGESTA)Datos_consumo_datadis'!A18066&lt;&gt;"""",SPLIT('(INGESTA)Datos_consumo_datadis'!A:A,"",""),"""")"),"")</f>
        <v/>
      </c>
      <c r="G16501" s="8" t="str">
        <f t="shared" si="1"/>
        <v/>
      </c>
      <c r="H16501" s="14" t="str">
        <f t="shared" si="2"/>
        <v/>
      </c>
      <c r="I16501" s="15" t="str">
        <f t="shared" si="3"/>
        <v/>
      </c>
    </row>
    <row r="16502">
      <c r="A16502" s="8" t="str">
        <f>IFERROR(__xludf.DUMMYFUNCTION("IF('(INGESTA)Datos_consumo_datadis'!A18067&lt;&gt;"""",SPLIT('(INGESTA)Datos_consumo_datadis'!A:A,"",""),"""")"),"")</f>
        <v/>
      </c>
      <c r="G16502" s="8" t="str">
        <f t="shared" si="1"/>
        <v/>
      </c>
      <c r="H16502" s="14" t="str">
        <f t="shared" si="2"/>
        <v/>
      </c>
      <c r="I16502" s="15" t="str">
        <f t="shared" si="3"/>
        <v/>
      </c>
    </row>
    <row r="16503">
      <c r="A16503" s="8" t="str">
        <f>IFERROR(__xludf.DUMMYFUNCTION("IF('(INGESTA)Datos_consumo_datadis'!A18068&lt;&gt;"""",SPLIT('(INGESTA)Datos_consumo_datadis'!A:A,"",""),"""")"),"")</f>
        <v/>
      </c>
      <c r="G16503" s="8" t="str">
        <f t="shared" si="1"/>
        <v/>
      </c>
      <c r="H16503" s="14" t="str">
        <f t="shared" si="2"/>
        <v/>
      </c>
      <c r="I16503" s="15" t="str">
        <f t="shared" si="3"/>
        <v/>
      </c>
    </row>
    <row r="16504">
      <c r="A16504" s="8" t="str">
        <f>IFERROR(__xludf.DUMMYFUNCTION("IF('(INGESTA)Datos_consumo_datadis'!A18069&lt;&gt;"""",SPLIT('(INGESTA)Datos_consumo_datadis'!A:A,"",""),"""")"),"")</f>
        <v/>
      </c>
      <c r="G16504" s="8" t="str">
        <f t="shared" si="1"/>
        <v/>
      </c>
      <c r="H16504" s="14" t="str">
        <f t="shared" si="2"/>
        <v/>
      </c>
      <c r="I16504" s="15" t="str">
        <f t="shared" si="3"/>
        <v/>
      </c>
    </row>
    <row r="16505">
      <c r="A16505" s="8" t="str">
        <f>IFERROR(__xludf.DUMMYFUNCTION("IF('(INGESTA)Datos_consumo_datadis'!A18070&lt;&gt;"""",SPLIT('(INGESTA)Datos_consumo_datadis'!A:A,"",""),"""")"),"")</f>
        <v/>
      </c>
      <c r="G16505" s="8" t="str">
        <f t="shared" si="1"/>
        <v/>
      </c>
      <c r="H16505" s="14" t="str">
        <f t="shared" si="2"/>
        <v/>
      </c>
      <c r="I16505" s="15" t="str">
        <f t="shared" si="3"/>
        <v/>
      </c>
    </row>
    <row r="16506">
      <c r="A16506" s="8" t="str">
        <f>IFERROR(__xludf.DUMMYFUNCTION("IF('(INGESTA)Datos_consumo_datadis'!A18071&lt;&gt;"""",SPLIT('(INGESTA)Datos_consumo_datadis'!A:A,"",""),"""")"),"")</f>
        <v/>
      </c>
      <c r="G16506" s="8" t="str">
        <f t="shared" si="1"/>
        <v/>
      </c>
      <c r="H16506" s="14" t="str">
        <f t="shared" si="2"/>
        <v/>
      </c>
      <c r="I16506" s="15" t="str">
        <f t="shared" si="3"/>
        <v/>
      </c>
    </row>
    <row r="16507">
      <c r="A16507" s="8" t="str">
        <f>IFERROR(__xludf.DUMMYFUNCTION("IF('(INGESTA)Datos_consumo_datadis'!A18072&lt;&gt;"""",SPLIT('(INGESTA)Datos_consumo_datadis'!A:A,"",""),"""")"),"")</f>
        <v/>
      </c>
      <c r="G16507" s="8" t="str">
        <f t="shared" si="1"/>
        <v/>
      </c>
      <c r="H16507" s="14" t="str">
        <f t="shared" si="2"/>
        <v/>
      </c>
      <c r="I16507" s="15" t="str">
        <f t="shared" si="3"/>
        <v/>
      </c>
    </row>
    <row r="16508">
      <c r="A16508" s="8" t="str">
        <f>IFERROR(__xludf.DUMMYFUNCTION("IF('(INGESTA)Datos_consumo_datadis'!A18073&lt;&gt;"""",SPLIT('(INGESTA)Datos_consumo_datadis'!A:A,"",""),"""")"),"")</f>
        <v/>
      </c>
      <c r="G16508" s="8" t="str">
        <f t="shared" si="1"/>
        <v/>
      </c>
      <c r="H16508" s="14" t="str">
        <f t="shared" si="2"/>
        <v/>
      </c>
      <c r="I16508" s="15" t="str">
        <f t="shared" si="3"/>
        <v/>
      </c>
    </row>
    <row r="16509">
      <c r="A16509" s="8" t="str">
        <f>IFERROR(__xludf.DUMMYFUNCTION("IF('(INGESTA)Datos_consumo_datadis'!A18074&lt;&gt;"""",SPLIT('(INGESTA)Datos_consumo_datadis'!A:A,"",""),"""")"),"")</f>
        <v/>
      </c>
      <c r="G16509" s="8" t="str">
        <f t="shared" si="1"/>
        <v/>
      </c>
      <c r="H16509" s="14" t="str">
        <f t="shared" si="2"/>
        <v/>
      </c>
      <c r="I16509" s="15" t="str">
        <f t="shared" si="3"/>
        <v/>
      </c>
    </row>
    <row r="16510">
      <c r="A16510" s="8" t="str">
        <f>IFERROR(__xludf.DUMMYFUNCTION("IF('(INGESTA)Datos_consumo_datadis'!A18075&lt;&gt;"""",SPLIT('(INGESTA)Datos_consumo_datadis'!A:A,"",""),"""")"),"")</f>
        <v/>
      </c>
      <c r="G16510" s="8" t="str">
        <f t="shared" si="1"/>
        <v/>
      </c>
      <c r="H16510" s="14" t="str">
        <f t="shared" si="2"/>
        <v/>
      </c>
      <c r="I16510" s="15" t="str">
        <f t="shared" si="3"/>
        <v/>
      </c>
    </row>
    <row r="16511">
      <c r="A16511" s="8" t="str">
        <f>IFERROR(__xludf.DUMMYFUNCTION("IF('(INGESTA)Datos_consumo_datadis'!A18076&lt;&gt;"""",SPLIT('(INGESTA)Datos_consumo_datadis'!A:A,"",""),"""")"),"")</f>
        <v/>
      </c>
      <c r="G16511" s="8" t="str">
        <f t="shared" si="1"/>
        <v/>
      </c>
      <c r="H16511" s="14" t="str">
        <f t="shared" si="2"/>
        <v/>
      </c>
      <c r="I16511" s="15" t="str">
        <f t="shared" si="3"/>
        <v/>
      </c>
    </row>
    <row r="16512">
      <c r="A16512" s="8" t="str">
        <f>IFERROR(__xludf.DUMMYFUNCTION("IF('(INGESTA)Datos_consumo_datadis'!A18077&lt;&gt;"""",SPLIT('(INGESTA)Datos_consumo_datadis'!A:A,"",""),"""")"),"")</f>
        <v/>
      </c>
      <c r="G16512" s="8" t="str">
        <f t="shared" si="1"/>
        <v/>
      </c>
      <c r="H16512" s="14" t="str">
        <f t="shared" si="2"/>
        <v/>
      </c>
      <c r="I16512" s="15" t="str">
        <f t="shared" si="3"/>
        <v/>
      </c>
    </row>
    <row r="16513">
      <c r="A16513" s="8" t="str">
        <f>IFERROR(__xludf.DUMMYFUNCTION("IF('(INGESTA)Datos_consumo_datadis'!A18078&lt;&gt;"""",SPLIT('(INGESTA)Datos_consumo_datadis'!A:A,"",""),"""")"),"")</f>
        <v/>
      </c>
      <c r="G16513" s="8" t="str">
        <f t="shared" si="1"/>
        <v/>
      </c>
      <c r="H16513" s="14" t="str">
        <f t="shared" si="2"/>
        <v/>
      </c>
      <c r="I16513" s="15" t="str">
        <f t="shared" si="3"/>
        <v/>
      </c>
    </row>
    <row r="16514">
      <c r="A16514" s="8" t="str">
        <f>IFERROR(__xludf.DUMMYFUNCTION("IF('(INGESTA)Datos_consumo_datadis'!A18079&lt;&gt;"""",SPLIT('(INGESTA)Datos_consumo_datadis'!A:A,"",""),"""")"),"")</f>
        <v/>
      </c>
      <c r="G16514" s="8" t="str">
        <f t="shared" si="1"/>
        <v/>
      </c>
      <c r="H16514" s="14" t="str">
        <f t="shared" si="2"/>
        <v/>
      </c>
      <c r="I16514" s="15" t="str">
        <f t="shared" si="3"/>
        <v/>
      </c>
    </row>
    <row r="16515">
      <c r="A16515" s="8" t="str">
        <f>IFERROR(__xludf.DUMMYFUNCTION("IF('(INGESTA)Datos_consumo_datadis'!A18080&lt;&gt;"""",SPLIT('(INGESTA)Datos_consumo_datadis'!A:A,"",""),"""")"),"")</f>
        <v/>
      </c>
      <c r="G16515" s="8" t="str">
        <f t="shared" si="1"/>
        <v/>
      </c>
      <c r="H16515" s="14" t="str">
        <f t="shared" si="2"/>
        <v/>
      </c>
      <c r="I16515" s="15" t="str">
        <f t="shared" si="3"/>
        <v/>
      </c>
    </row>
    <row r="16516">
      <c r="A16516" s="8" t="str">
        <f>IFERROR(__xludf.DUMMYFUNCTION("IF('(INGESTA)Datos_consumo_datadis'!A18081&lt;&gt;"""",SPLIT('(INGESTA)Datos_consumo_datadis'!A:A,"",""),"""")"),"")</f>
        <v/>
      </c>
      <c r="G16516" s="8" t="str">
        <f t="shared" si="1"/>
        <v/>
      </c>
      <c r="H16516" s="14" t="str">
        <f t="shared" si="2"/>
        <v/>
      </c>
      <c r="I16516" s="15" t="str">
        <f t="shared" si="3"/>
        <v/>
      </c>
    </row>
    <row r="16517">
      <c r="A16517" s="8" t="str">
        <f>IFERROR(__xludf.DUMMYFUNCTION("IF('(INGESTA)Datos_consumo_datadis'!A18082&lt;&gt;"""",SPLIT('(INGESTA)Datos_consumo_datadis'!A:A,"",""),"""")"),"")</f>
        <v/>
      </c>
      <c r="G16517" s="8" t="str">
        <f t="shared" si="1"/>
        <v/>
      </c>
      <c r="H16517" s="14" t="str">
        <f t="shared" si="2"/>
        <v/>
      </c>
      <c r="I16517" s="15" t="str">
        <f t="shared" si="3"/>
        <v/>
      </c>
    </row>
    <row r="16518">
      <c r="A16518" s="8" t="str">
        <f>IFERROR(__xludf.DUMMYFUNCTION("IF('(INGESTA)Datos_consumo_datadis'!A18083&lt;&gt;"""",SPLIT('(INGESTA)Datos_consumo_datadis'!A:A,"",""),"""")"),"")</f>
        <v/>
      </c>
      <c r="G16518" s="8" t="str">
        <f t="shared" si="1"/>
        <v/>
      </c>
      <c r="H16518" s="14" t="str">
        <f t="shared" si="2"/>
        <v/>
      </c>
      <c r="I16518" s="15" t="str">
        <f t="shared" si="3"/>
        <v/>
      </c>
    </row>
    <row r="16519">
      <c r="A16519" s="8" t="str">
        <f>IFERROR(__xludf.DUMMYFUNCTION("IF('(INGESTA)Datos_consumo_datadis'!A18084&lt;&gt;"""",SPLIT('(INGESTA)Datos_consumo_datadis'!A:A,"",""),"""")"),"")</f>
        <v/>
      </c>
      <c r="G16519" s="8" t="str">
        <f t="shared" si="1"/>
        <v/>
      </c>
      <c r="H16519" s="14" t="str">
        <f t="shared" si="2"/>
        <v/>
      </c>
      <c r="I16519" s="15" t="str">
        <f t="shared" si="3"/>
        <v/>
      </c>
    </row>
    <row r="16520">
      <c r="A16520" s="8" t="str">
        <f>IFERROR(__xludf.DUMMYFUNCTION("IF('(INGESTA)Datos_consumo_datadis'!A18085&lt;&gt;"""",SPLIT('(INGESTA)Datos_consumo_datadis'!A:A,"",""),"""")"),"")</f>
        <v/>
      </c>
      <c r="G16520" s="8" t="str">
        <f t="shared" si="1"/>
        <v/>
      </c>
      <c r="H16520" s="14" t="str">
        <f t="shared" si="2"/>
        <v/>
      </c>
      <c r="I16520" s="15" t="str">
        <f t="shared" si="3"/>
        <v/>
      </c>
    </row>
    <row r="16521">
      <c r="A16521" s="8" t="str">
        <f>IFERROR(__xludf.DUMMYFUNCTION("IF('(INGESTA)Datos_consumo_datadis'!A18086&lt;&gt;"""",SPLIT('(INGESTA)Datos_consumo_datadis'!A:A,"",""),"""")"),"")</f>
        <v/>
      </c>
      <c r="G16521" s="8" t="str">
        <f t="shared" si="1"/>
        <v/>
      </c>
      <c r="H16521" s="14" t="str">
        <f t="shared" si="2"/>
        <v/>
      </c>
      <c r="I16521" s="15" t="str">
        <f t="shared" si="3"/>
        <v/>
      </c>
    </row>
    <row r="16522">
      <c r="A16522" s="8" t="str">
        <f>IFERROR(__xludf.DUMMYFUNCTION("IF('(INGESTA)Datos_consumo_datadis'!A18087&lt;&gt;"""",SPLIT('(INGESTA)Datos_consumo_datadis'!A:A,"",""),"""")"),"")</f>
        <v/>
      </c>
      <c r="G16522" s="8" t="str">
        <f t="shared" si="1"/>
        <v/>
      </c>
      <c r="H16522" s="14" t="str">
        <f t="shared" si="2"/>
        <v/>
      </c>
      <c r="I16522" s="15" t="str">
        <f t="shared" si="3"/>
        <v/>
      </c>
    </row>
    <row r="16523">
      <c r="A16523" s="8" t="str">
        <f>IFERROR(__xludf.DUMMYFUNCTION("IF('(INGESTA)Datos_consumo_datadis'!A18088&lt;&gt;"""",SPLIT('(INGESTA)Datos_consumo_datadis'!A:A,"",""),"""")"),"")</f>
        <v/>
      </c>
      <c r="G16523" s="8" t="str">
        <f t="shared" si="1"/>
        <v/>
      </c>
      <c r="H16523" s="14" t="str">
        <f t="shared" si="2"/>
        <v/>
      </c>
      <c r="I16523" s="15" t="str">
        <f t="shared" si="3"/>
        <v/>
      </c>
    </row>
    <row r="16524">
      <c r="A16524" s="8" t="str">
        <f>IFERROR(__xludf.DUMMYFUNCTION("IF('(INGESTA)Datos_consumo_datadis'!A18089&lt;&gt;"""",SPLIT('(INGESTA)Datos_consumo_datadis'!A:A,"",""),"""")"),"")</f>
        <v/>
      </c>
      <c r="G16524" s="8" t="str">
        <f t="shared" si="1"/>
        <v/>
      </c>
      <c r="H16524" s="14" t="str">
        <f t="shared" si="2"/>
        <v/>
      </c>
      <c r="I16524" s="15" t="str">
        <f t="shared" si="3"/>
        <v/>
      </c>
    </row>
    <row r="16525">
      <c r="A16525" s="8" t="str">
        <f>IFERROR(__xludf.DUMMYFUNCTION("IF('(INGESTA)Datos_consumo_datadis'!A18090&lt;&gt;"""",SPLIT('(INGESTA)Datos_consumo_datadis'!A:A,"",""),"""")"),"")</f>
        <v/>
      </c>
      <c r="G16525" s="8" t="str">
        <f t="shared" si="1"/>
        <v/>
      </c>
      <c r="H16525" s="14" t="str">
        <f t="shared" si="2"/>
        <v/>
      </c>
      <c r="I16525" s="15" t="str">
        <f t="shared" si="3"/>
        <v/>
      </c>
    </row>
    <row r="16526">
      <c r="A16526" s="8" t="str">
        <f>IFERROR(__xludf.DUMMYFUNCTION("IF('(INGESTA)Datos_consumo_datadis'!A18091&lt;&gt;"""",SPLIT('(INGESTA)Datos_consumo_datadis'!A:A,"",""),"""")"),"")</f>
        <v/>
      </c>
      <c r="G16526" s="8" t="str">
        <f t="shared" si="1"/>
        <v/>
      </c>
      <c r="H16526" s="14" t="str">
        <f t="shared" si="2"/>
        <v/>
      </c>
      <c r="I16526" s="15" t="str">
        <f t="shared" si="3"/>
        <v/>
      </c>
    </row>
    <row r="16527">
      <c r="A16527" s="8" t="str">
        <f>IFERROR(__xludf.DUMMYFUNCTION("IF('(INGESTA)Datos_consumo_datadis'!A18092&lt;&gt;"""",SPLIT('(INGESTA)Datos_consumo_datadis'!A:A,"",""),"""")"),"")</f>
        <v/>
      </c>
      <c r="G16527" s="8" t="str">
        <f t="shared" si="1"/>
        <v/>
      </c>
      <c r="H16527" s="14" t="str">
        <f t="shared" si="2"/>
        <v/>
      </c>
      <c r="I16527" s="15" t="str">
        <f t="shared" si="3"/>
        <v/>
      </c>
    </row>
    <row r="16528">
      <c r="A16528" s="8" t="str">
        <f>IFERROR(__xludf.DUMMYFUNCTION("IF('(INGESTA)Datos_consumo_datadis'!A18093&lt;&gt;"""",SPLIT('(INGESTA)Datos_consumo_datadis'!A:A,"",""),"""")"),"")</f>
        <v/>
      </c>
      <c r="G16528" s="8" t="str">
        <f t="shared" si="1"/>
        <v/>
      </c>
      <c r="H16528" s="14" t="str">
        <f t="shared" si="2"/>
        <v/>
      </c>
      <c r="I16528" s="15" t="str">
        <f t="shared" si="3"/>
        <v/>
      </c>
    </row>
    <row r="16529">
      <c r="A16529" s="8" t="str">
        <f>IFERROR(__xludf.DUMMYFUNCTION("IF('(INGESTA)Datos_consumo_datadis'!A18094&lt;&gt;"""",SPLIT('(INGESTA)Datos_consumo_datadis'!A:A,"",""),"""")"),"")</f>
        <v/>
      </c>
      <c r="G16529" s="8" t="str">
        <f t="shared" si="1"/>
        <v/>
      </c>
      <c r="H16529" s="14" t="str">
        <f t="shared" si="2"/>
        <v/>
      </c>
      <c r="I16529" s="15" t="str">
        <f t="shared" si="3"/>
        <v/>
      </c>
    </row>
    <row r="16530">
      <c r="A16530" s="8" t="str">
        <f>IFERROR(__xludf.DUMMYFUNCTION("IF('(INGESTA)Datos_consumo_datadis'!A18095&lt;&gt;"""",SPLIT('(INGESTA)Datos_consumo_datadis'!A:A,"",""),"""")"),"")</f>
        <v/>
      </c>
      <c r="G16530" s="8" t="str">
        <f t="shared" si="1"/>
        <v/>
      </c>
      <c r="H16530" s="14" t="str">
        <f t="shared" si="2"/>
        <v/>
      </c>
      <c r="I16530" s="15" t="str">
        <f t="shared" si="3"/>
        <v/>
      </c>
    </row>
    <row r="16531">
      <c r="A16531" s="8" t="str">
        <f>IFERROR(__xludf.DUMMYFUNCTION("IF('(INGESTA)Datos_consumo_datadis'!A18096&lt;&gt;"""",SPLIT('(INGESTA)Datos_consumo_datadis'!A:A,"",""),"""")"),"")</f>
        <v/>
      </c>
      <c r="G16531" s="8" t="str">
        <f t="shared" si="1"/>
        <v/>
      </c>
      <c r="H16531" s="14" t="str">
        <f t="shared" si="2"/>
        <v/>
      </c>
      <c r="I16531" s="15" t="str">
        <f t="shared" si="3"/>
        <v/>
      </c>
    </row>
    <row r="16532">
      <c r="A16532" s="8" t="str">
        <f>IFERROR(__xludf.DUMMYFUNCTION("IF('(INGESTA)Datos_consumo_datadis'!A18097&lt;&gt;"""",SPLIT('(INGESTA)Datos_consumo_datadis'!A:A,"",""),"""")"),"")</f>
        <v/>
      </c>
      <c r="G16532" s="8" t="str">
        <f t="shared" si="1"/>
        <v/>
      </c>
      <c r="H16532" s="14" t="str">
        <f t="shared" si="2"/>
        <v/>
      </c>
      <c r="I16532" s="15" t="str">
        <f t="shared" si="3"/>
        <v/>
      </c>
    </row>
    <row r="16533">
      <c r="A16533" s="8" t="str">
        <f>IFERROR(__xludf.DUMMYFUNCTION("IF('(INGESTA)Datos_consumo_datadis'!A18098&lt;&gt;"""",SPLIT('(INGESTA)Datos_consumo_datadis'!A:A,"",""),"""")"),"")</f>
        <v/>
      </c>
      <c r="G16533" s="8" t="str">
        <f t="shared" si="1"/>
        <v/>
      </c>
      <c r="H16533" s="14" t="str">
        <f t="shared" si="2"/>
        <v/>
      </c>
      <c r="I16533" s="15" t="str">
        <f t="shared" si="3"/>
        <v/>
      </c>
    </row>
    <row r="16534">
      <c r="A16534" s="8" t="str">
        <f>IFERROR(__xludf.DUMMYFUNCTION("IF('(INGESTA)Datos_consumo_datadis'!A18099&lt;&gt;"""",SPLIT('(INGESTA)Datos_consumo_datadis'!A:A,"",""),"""")"),"")</f>
        <v/>
      </c>
      <c r="G16534" s="8" t="str">
        <f t="shared" si="1"/>
        <v/>
      </c>
      <c r="H16534" s="14" t="str">
        <f t="shared" si="2"/>
        <v/>
      </c>
      <c r="I16534" s="15" t="str">
        <f t="shared" si="3"/>
        <v/>
      </c>
    </row>
    <row r="16535">
      <c r="A16535" s="8" t="str">
        <f>IFERROR(__xludf.DUMMYFUNCTION("IF('(INGESTA)Datos_consumo_datadis'!A18100&lt;&gt;"""",SPLIT('(INGESTA)Datos_consumo_datadis'!A:A,"",""),"""")"),"")</f>
        <v/>
      </c>
      <c r="G16535" s="8" t="str">
        <f t="shared" si="1"/>
        <v/>
      </c>
      <c r="H16535" s="14" t="str">
        <f t="shared" si="2"/>
        <v/>
      </c>
      <c r="I16535" s="15" t="str">
        <f t="shared" si="3"/>
        <v/>
      </c>
    </row>
    <row r="16536">
      <c r="A16536" s="8" t="str">
        <f>IFERROR(__xludf.DUMMYFUNCTION("IF('(INGESTA)Datos_consumo_datadis'!A18101&lt;&gt;"""",SPLIT('(INGESTA)Datos_consumo_datadis'!A:A,"",""),"""")"),"")</f>
        <v/>
      </c>
      <c r="G16536" s="8" t="str">
        <f t="shared" si="1"/>
        <v/>
      </c>
      <c r="H16536" s="14" t="str">
        <f t="shared" si="2"/>
        <v/>
      </c>
      <c r="I16536" s="15" t="str">
        <f t="shared" si="3"/>
        <v/>
      </c>
    </row>
    <row r="16537">
      <c r="A16537" s="8" t="str">
        <f>IFERROR(__xludf.DUMMYFUNCTION("IF('(INGESTA)Datos_consumo_datadis'!A18102&lt;&gt;"""",SPLIT('(INGESTA)Datos_consumo_datadis'!A:A,"",""),"""")"),"")</f>
        <v/>
      </c>
      <c r="G16537" s="8" t="str">
        <f t="shared" si="1"/>
        <v/>
      </c>
      <c r="H16537" s="14" t="str">
        <f t="shared" si="2"/>
        <v/>
      </c>
      <c r="I16537" s="15" t="str">
        <f t="shared" si="3"/>
        <v/>
      </c>
    </row>
    <row r="16538">
      <c r="A16538" s="8" t="str">
        <f>IFERROR(__xludf.DUMMYFUNCTION("IF('(INGESTA)Datos_consumo_datadis'!A18103&lt;&gt;"""",SPLIT('(INGESTA)Datos_consumo_datadis'!A:A,"",""),"""")"),"")</f>
        <v/>
      </c>
      <c r="G16538" s="8" t="str">
        <f t="shared" si="1"/>
        <v/>
      </c>
      <c r="H16538" s="14" t="str">
        <f t="shared" si="2"/>
        <v/>
      </c>
      <c r="I16538" s="15" t="str">
        <f t="shared" si="3"/>
        <v/>
      </c>
    </row>
    <row r="16539">
      <c r="A16539" s="8" t="str">
        <f>IFERROR(__xludf.DUMMYFUNCTION("IF('(INGESTA)Datos_consumo_datadis'!A18104&lt;&gt;"""",SPLIT('(INGESTA)Datos_consumo_datadis'!A:A,"",""),"""")"),"")</f>
        <v/>
      </c>
      <c r="G16539" s="8" t="str">
        <f t="shared" si="1"/>
        <v/>
      </c>
      <c r="H16539" s="14" t="str">
        <f t="shared" si="2"/>
        <v/>
      </c>
      <c r="I16539" s="15" t="str">
        <f t="shared" si="3"/>
        <v/>
      </c>
    </row>
    <row r="16540">
      <c r="A16540" s="8" t="str">
        <f>IFERROR(__xludf.DUMMYFUNCTION("IF('(INGESTA)Datos_consumo_datadis'!A18105&lt;&gt;"""",SPLIT('(INGESTA)Datos_consumo_datadis'!A:A,"",""),"""")"),"")</f>
        <v/>
      </c>
      <c r="G16540" s="8" t="str">
        <f t="shared" si="1"/>
        <v/>
      </c>
      <c r="H16540" s="14" t="str">
        <f t="shared" si="2"/>
        <v/>
      </c>
      <c r="I16540" s="15" t="str">
        <f t="shared" si="3"/>
        <v/>
      </c>
    </row>
    <row r="16541">
      <c r="A16541" s="8" t="str">
        <f>IFERROR(__xludf.DUMMYFUNCTION("IF('(INGESTA)Datos_consumo_datadis'!A18106&lt;&gt;"""",SPLIT('(INGESTA)Datos_consumo_datadis'!A:A,"",""),"""")"),"")</f>
        <v/>
      </c>
      <c r="G16541" s="8" t="str">
        <f t="shared" si="1"/>
        <v/>
      </c>
      <c r="H16541" s="14" t="str">
        <f t="shared" si="2"/>
        <v/>
      </c>
      <c r="I16541" s="15" t="str">
        <f t="shared" si="3"/>
        <v/>
      </c>
    </row>
    <row r="16542">
      <c r="A16542" s="8" t="str">
        <f>IFERROR(__xludf.DUMMYFUNCTION("IF('(INGESTA)Datos_consumo_datadis'!A18107&lt;&gt;"""",SPLIT('(INGESTA)Datos_consumo_datadis'!A:A,"",""),"""")"),"")</f>
        <v/>
      </c>
      <c r="G16542" s="8" t="str">
        <f t="shared" si="1"/>
        <v/>
      </c>
      <c r="H16542" s="14" t="str">
        <f t="shared" si="2"/>
        <v/>
      </c>
      <c r="I16542" s="15" t="str">
        <f t="shared" si="3"/>
        <v/>
      </c>
    </row>
    <row r="16543">
      <c r="A16543" s="8" t="str">
        <f>IFERROR(__xludf.DUMMYFUNCTION("IF('(INGESTA)Datos_consumo_datadis'!A18108&lt;&gt;"""",SPLIT('(INGESTA)Datos_consumo_datadis'!A:A,"",""),"""")"),"")</f>
        <v/>
      </c>
      <c r="G16543" s="8" t="str">
        <f t="shared" si="1"/>
        <v/>
      </c>
      <c r="H16543" s="14" t="str">
        <f t="shared" si="2"/>
        <v/>
      </c>
      <c r="I16543" s="15" t="str">
        <f t="shared" si="3"/>
        <v/>
      </c>
    </row>
    <row r="16544">
      <c r="A16544" s="8" t="str">
        <f>IFERROR(__xludf.DUMMYFUNCTION("IF('(INGESTA)Datos_consumo_datadis'!A18109&lt;&gt;"""",SPLIT('(INGESTA)Datos_consumo_datadis'!A:A,"",""),"""")"),"")</f>
        <v/>
      </c>
      <c r="G16544" s="8" t="str">
        <f t="shared" si="1"/>
        <v/>
      </c>
      <c r="H16544" s="14" t="str">
        <f t="shared" si="2"/>
        <v/>
      </c>
      <c r="I16544" s="15" t="str">
        <f t="shared" si="3"/>
        <v/>
      </c>
    </row>
    <row r="16545">
      <c r="A16545" s="8" t="str">
        <f>IFERROR(__xludf.DUMMYFUNCTION("IF('(INGESTA)Datos_consumo_datadis'!A18110&lt;&gt;"""",SPLIT('(INGESTA)Datos_consumo_datadis'!A:A,"",""),"""")"),"")</f>
        <v/>
      </c>
      <c r="G16545" s="8" t="str">
        <f t="shared" si="1"/>
        <v/>
      </c>
      <c r="H16545" s="14" t="str">
        <f t="shared" si="2"/>
        <v/>
      </c>
      <c r="I16545" s="15" t="str">
        <f t="shared" si="3"/>
        <v/>
      </c>
    </row>
    <row r="16546">
      <c r="A16546" s="8" t="str">
        <f>IFERROR(__xludf.DUMMYFUNCTION("IF('(INGESTA)Datos_consumo_datadis'!A18111&lt;&gt;"""",SPLIT('(INGESTA)Datos_consumo_datadis'!A:A,"",""),"""")"),"")</f>
        <v/>
      </c>
      <c r="G16546" s="8" t="str">
        <f t="shared" si="1"/>
        <v/>
      </c>
      <c r="H16546" s="14" t="str">
        <f t="shared" si="2"/>
        <v/>
      </c>
      <c r="I16546" s="15" t="str">
        <f t="shared" si="3"/>
        <v/>
      </c>
    </row>
    <row r="16547">
      <c r="A16547" s="8" t="str">
        <f>IFERROR(__xludf.DUMMYFUNCTION("IF('(INGESTA)Datos_consumo_datadis'!A18112&lt;&gt;"""",SPLIT('(INGESTA)Datos_consumo_datadis'!A:A,"",""),"""")"),"")</f>
        <v/>
      </c>
      <c r="G16547" s="8" t="str">
        <f t="shared" si="1"/>
        <v/>
      </c>
      <c r="H16547" s="14" t="str">
        <f t="shared" si="2"/>
        <v/>
      </c>
      <c r="I16547" s="15" t="str">
        <f t="shared" si="3"/>
        <v/>
      </c>
    </row>
    <row r="16548">
      <c r="A16548" s="8" t="str">
        <f>IFERROR(__xludf.DUMMYFUNCTION("IF('(INGESTA)Datos_consumo_datadis'!A18113&lt;&gt;"""",SPLIT('(INGESTA)Datos_consumo_datadis'!A:A,"",""),"""")"),"")</f>
        <v/>
      </c>
      <c r="G16548" s="8" t="str">
        <f t="shared" si="1"/>
        <v/>
      </c>
      <c r="H16548" s="14" t="str">
        <f t="shared" si="2"/>
        <v/>
      </c>
      <c r="I16548" s="15" t="str">
        <f t="shared" si="3"/>
        <v/>
      </c>
    </row>
    <row r="16549">
      <c r="A16549" s="8" t="str">
        <f>IFERROR(__xludf.DUMMYFUNCTION("IF('(INGESTA)Datos_consumo_datadis'!A18114&lt;&gt;"""",SPLIT('(INGESTA)Datos_consumo_datadis'!A:A,"",""),"""")"),"")</f>
        <v/>
      </c>
      <c r="G16549" s="8" t="str">
        <f t="shared" si="1"/>
        <v/>
      </c>
      <c r="H16549" s="14" t="str">
        <f t="shared" si="2"/>
        <v/>
      </c>
      <c r="I16549" s="15" t="str">
        <f t="shared" si="3"/>
        <v/>
      </c>
    </row>
    <row r="16550">
      <c r="A16550" s="8" t="str">
        <f>IFERROR(__xludf.DUMMYFUNCTION("IF('(INGESTA)Datos_consumo_datadis'!A18115&lt;&gt;"""",SPLIT('(INGESTA)Datos_consumo_datadis'!A:A,"",""),"""")"),"")</f>
        <v/>
      </c>
      <c r="G16550" s="8" t="str">
        <f t="shared" si="1"/>
        <v/>
      </c>
      <c r="H16550" s="14" t="str">
        <f t="shared" si="2"/>
        <v/>
      </c>
      <c r="I16550" s="15" t="str">
        <f t="shared" si="3"/>
        <v/>
      </c>
    </row>
    <row r="16551">
      <c r="A16551" s="8" t="str">
        <f>IFERROR(__xludf.DUMMYFUNCTION("IF('(INGESTA)Datos_consumo_datadis'!A18116&lt;&gt;"""",SPLIT('(INGESTA)Datos_consumo_datadis'!A:A,"",""),"""")"),"")</f>
        <v/>
      </c>
      <c r="G16551" s="8" t="str">
        <f t="shared" si="1"/>
        <v/>
      </c>
      <c r="H16551" s="14" t="str">
        <f t="shared" si="2"/>
        <v/>
      </c>
      <c r="I16551" s="15" t="str">
        <f t="shared" si="3"/>
        <v/>
      </c>
    </row>
    <row r="16552">
      <c r="A16552" s="8" t="str">
        <f>IFERROR(__xludf.DUMMYFUNCTION("IF('(INGESTA)Datos_consumo_datadis'!A18117&lt;&gt;"""",SPLIT('(INGESTA)Datos_consumo_datadis'!A:A,"",""),"""")"),"")</f>
        <v/>
      </c>
      <c r="G16552" s="8" t="str">
        <f t="shared" si="1"/>
        <v/>
      </c>
      <c r="H16552" s="14" t="str">
        <f t="shared" si="2"/>
        <v/>
      </c>
      <c r="I16552" s="15" t="str">
        <f t="shared" si="3"/>
        <v/>
      </c>
    </row>
    <row r="16553">
      <c r="A16553" s="8" t="str">
        <f>IFERROR(__xludf.DUMMYFUNCTION("IF('(INGESTA)Datos_consumo_datadis'!A18118&lt;&gt;"""",SPLIT('(INGESTA)Datos_consumo_datadis'!A:A,"",""),"""")"),"")</f>
        <v/>
      </c>
      <c r="G16553" s="8" t="str">
        <f t="shared" si="1"/>
        <v/>
      </c>
      <c r="H16553" s="14" t="str">
        <f t="shared" si="2"/>
        <v/>
      </c>
      <c r="I16553" s="15" t="str">
        <f t="shared" si="3"/>
        <v/>
      </c>
    </row>
    <row r="16554">
      <c r="A16554" s="8" t="str">
        <f>IFERROR(__xludf.DUMMYFUNCTION("IF('(INGESTA)Datos_consumo_datadis'!A18119&lt;&gt;"""",SPLIT('(INGESTA)Datos_consumo_datadis'!A:A,"",""),"""")"),"")</f>
        <v/>
      </c>
      <c r="G16554" s="8" t="str">
        <f t="shared" si="1"/>
        <v/>
      </c>
      <c r="H16554" s="14" t="str">
        <f t="shared" si="2"/>
        <v/>
      </c>
      <c r="I16554" s="15" t="str">
        <f t="shared" si="3"/>
        <v/>
      </c>
    </row>
    <row r="16555">
      <c r="A16555" s="8" t="str">
        <f>IFERROR(__xludf.DUMMYFUNCTION("IF('(INGESTA)Datos_consumo_datadis'!A18120&lt;&gt;"""",SPLIT('(INGESTA)Datos_consumo_datadis'!A:A,"",""),"""")"),"")</f>
        <v/>
      </c>
      <c r="G16555" s="8" t="str">
        <f t="shared" si="1"/>
        <v/>
      </c>
      <c r="H16555" s="14" t="str">
        <f t="shared" si="2"/>
        <v/>
      </c>
      <c r="I16555" s="15" t="str">
        <f t="shared" si="3"/>
        <v/>
      </c>
    </row>
    <row r="16556">
      <c r="A16556" s="8" t="str">
        <f>IFERROR(__xludf.DUMMYFUNCTION("IF('(INGESTA)Datos_consumo_datadis'!A18121&lt;&gt;"""",SPLIT('(INGESTA)Datos_consumo_datadis'!A:A,"",""),"""")"),"")</f>
        <v/>
      </c>
      <c r="G16556" s="8" t="str">
        <f t="shared" si="1"/>
        <v/>
      </c>
      <c r="H16556" s="14" t="str">
        <f t="shared" si="2"/>
        <v/>
      </c>
      <c r="I16556" s="15" t="str">
        <f t="shared" si="3"/>
        <v/>
      </c>
    </row>
    <row r="16557">
      <c r="A16557" s="8" t="str">
        <f>IFERROR(__xludf.DUMMYFUNCTION("IF('(INGESTA)Datos_consumo_datadis'!A18122&lt;&gt;"""",SPLIT('(INGESTA)Datos_consumo_datadis'!A:A,"",""),"""")"),"")</f>
        <v/>
      </c>
      <c r="G16557" s="8" t="str">
        <f t="shared" si="1"/>
        <v/>
      </c>
      <c r="H16557" s="14" t="str">
        <f t="shared" si="2"/>
        <v/>
      </c>
      <c r="I16557" s="15" t="str">
        <f t="shared" si="3"/>
        <v/>
      </c>
    </row>
    <row r="16558">
      <c r="A16558" s="8" t="str">
        <f>IFERROR(__xludf.DUMMYFUNCTION("IF('(INGESTA)Datos_consumo_datadis'!A18123&lt;&gt;"""",SPLIT('(INGESTA)Datos_consumo_datadis'!A:A,"",""),"""")"),"")</f>
        <v/>
      </c>
      <c r="G16558" s="8" t="str">
        <f t="shared" si="1"/>
        <v/>
      </c>
      <c r="H16558" s="14" t="str">
        <f t="shared" si="2"/>
        <v/>
      </c>
      <c r="I16558" s="15" t="str">
        <f t="shared" si="3"/>
        <v/>
      </c>
    </row>
    <row r="16559">
      <c r="A16559" s="8" t="str">
        <f>IFERROR(__xludf.DUMMYFUNCTION("IF('(INGESTA)Datos_consumo_datadis'!A18124&lt;&gt;"""",SPLIT('(INGESTA)Datos_consumo_datadis'!A:A,"",""),"""")"),"")</f>
        <v/>
      </c>
      <c r="G16559" s="8" t="str">
        <f t="shared" si="1"/>
        <v/>
      </c>
      <c r="H16559" s="14" t="str">
        <f t="shared" si="2"/>
        <v/>
      </c>
      <c r="I16559" s="15" t="str">
        <f t="shared" si="3"/>
        <v/>
      </c>
    </row>
    <row r="16560">
      <c r="A16560" s="8" t="str">
        <f>IFERROR(__xludf.DUMMYFUNCTION("IF('(INGESTA)Datos_consumo_datadis'!A18125&lt;&gt;"""",SPLIT('(INGESTA)Datos_consumo_datadis'!A:A,"",""),"""")"),"")</f>
        <v/>
      </c>
      <c r="G16560" s="8" t="str">
        <f t="shared" si="1"/>
        <v/>
      </c>
      <c r="H16560" s="14" t="str">
        <f t="shared" si="2"/>
        <v/>
      </c>
      <c r="I16560" s="15" t="str">
        <f t="shared" si="3"/>
        <v/>
      </c>
    </row>
    <row r="16561">
      <c r="A16561" s="8" t="str">
        <f>IFERROR(__xludf.DUMMYFUNCTION("IF('(INGESTA)Datos_consumo_datadis'!A18126&lt;&gt;"""",SPLIT('(INGESTA)Datos_consumo_datadis'!A:A,"",""),"""")"),"")</f>
        <v/>
      </c>
      <c r="G16561" s="8" t="str">
        <f t="shared" si="1"/>
        <v/>
      </c>
      <c r="H16561" s="14" t="str">
        <f t="shared" si="2"/>
        <v/>
      </c>
      <c r="I16561" s="15" t="str">
        <f t="shared" si="3"/>
        <v/>
      </c>
    </row>
    <row r="16562">
      <c r="A16562" s="8" t="str">
        <f>IFERROR(__xludf.DUMMYFUNCTION("IF('(INGESTA)Datos_consumo_datadis'!A18127&lt;&gt;"""",SPLIT('(INGESTA)Datos_consumo_datadis'!A:A,"",""),"""")"),"")</f>
        <v/>
      </c>
      <c r="G16562" s="8" t="str">
        <f t="shared" si="1"/>
        <v/>
      </c>
      <c r="H16562" s="14" t="str">
        <f t="shared" si="2"/>
        <v/>
      </c>
      <c r="I16562" s="15" t="str">
        <f t="shared" si="3"/>
        <v/>
      </c>
    </row>
    <row r="16563">
      <c r="A16563" s="8" t="str">
        <f>IFERROR(__xludf.DUMMYFUNCTION("IF('(INGESTA)Datos_consumo_datadis'!A18128&lt;&gt;"""",SPLIT('(INGESTA)Datos_consumo_datadis'!A:A,"",""),"""")"),"")</f>
        <v/>
      </c>
      <c r="G16563" s="8" t="str">
        <f t="shared" si="1"/>
        <v/>
      </c>
      <c r="H16563" s="14" t="str">
        <f t="shared" si="2"/>
        <v/>
      </c>
      <c r="I16563" s="15" t="str">
        <f t="shared" si="3"/>
        <v/>
      </c>
    </row>
    <row r="16564">
      <c r="A16564" s="8" t="str">
        <f>IFERROR(__xludf.DUMMYFUNCTION("IF('(INGESTA)Datos_consumo_datadis'!A18129&lt;&gt;"""",SPLIT('(INGESTA)Datos_consumo_datadis'!A:A,"",""),"""")"),"")</f>
        <v/>
      </c>
      <c r="G16564" s="8" t="str">
        <f t="shared" si="1"/>
        <v/>
      </c>
      <c r="H16564" s="14" t="str">
        <f t="shared" si="2"/>
        <v/>
      </c>
      <c r="I16564" s="15" t="str">
        <f t="shared" si="3"/>
        <v/>
      </c>
    </row>
    <row r="16565">
      <c r="A16565" s="8" t="str">
        <f>IFERROR(__xludf.DUMMYFUNCTION("IF('(INGESTA)Datos_consumo_datadis'!A18130&lt;&gt;"""",SPLIT('(INGESTA)Datos_consumo_datadis'!A:A,"",""),"""")"),"")</f>
        <v/>
      </c>
      <c r="G16565" s="8" t="str">
        <f t="shared" si="1"/>
        <v/>
      </c>
      <c r="H16565" s="14" t="str">
        <f t="shared" si="2"/>
        <v/>
      </c>
      <c r="I16565" s="15" t="str">
        <f t="shared" si="3"/>
        <v/>
      </c>
    </row>
    <row r="16566">
      <c r="A16566" s="8" t="str">
        <f>IFERROR(__xludf.DUMMYFUNCTION("IF('(INGESTA)Datos_consumo_datadis'!A18131&lt;&gt;"""",SPLIT('(INGESTA)Datos_consumo_datadis'!A:A,"",""),"""")"),"")</f>
        <v/>
      </c>
      <c r="G16566" s="8" t="str">
        <f t="shared" si="1"/>
        <v/>
      </c>
      <c r="H16566" s="14" t="str">
        <f t="shared" si="2"/>
        <v/>
      </c>
      <c r="I16566" s="15" t="str">
        <f t="shared" si="3"/>
        <v/>
      </c>
    </row>
    <row r="16567">
      <c r="A16567" s="8" t="str">
        <f>IFERROR(__xludf.DUMMYFUNCTION("IF('(INGESTA)Datos_consumo_datadis'!A18132&lt;&gt;"""",SPLIT('(INGESTA)Datos_consumo_datadis'!A:A,"",""),"""")"),"")</f>
        <v/>
      </c>
      <c r="G16567" s="8" t="str">
        <f t="shared" si="1"/>
        <v/>
      </c>
      <c r="H16567" s="14" t="str">
        <f t="shared" si="2"/>
        <v/>
      </c>
      <c r="I16567" s="15" t="str">
        <f t="shared" si="3"/>
        <v/>
      </c>
    </row>
    <row r="16568">
      <c r="A16568" s="8" t="str">
        <f>IFERROR(__xludf.DUMMYFUNCTION("IF('(INGESTA)Datos_consumo_datadis'!A18133&lt;&gt;"""",SPLIT('(INGESTA)Datos_consumo_datadis'!A:A,"",""),"""")"),"")</f>
        <v/>
      </c>
      <c r="G16568" s="8" t="str">
        <f t="shared" si="1"/>
        <v/>
      </c>
      <c r="H16568" s="14" t="str">
        <f t="shared" si="2"/>
        <v/>
      </c>
      <c r="I16568" s="15" t="str">
        <f t="shared" si="3"/>
        <v/>
      </c>
    </row>
    <row r="16569">
      <c r="A16569" s="8" t="str">
        <f>IFERROR(__xludf.DUMMYFUNCTION("IF('(INGESTA)Datos_consumo_datadis'!A18134&lt;&gt;"""",SPLIT('(INGESTA)Datos_consumo_datadis'!A:A,"",""),"""")"),"")</f>
        <v/>
      </c>
      <c r="G16569" s="8" t="str">
        <f t="shared" si="1"/>
        <v/>
      </c>
      <c r="H16569" s="14" t="str">
        <f t="shared" si="2"/>
        <v/>
      </c>
      <c r="I16569" s="15" t="str">
        <f t="shared" si="3"/>
        <v/>
      </c>
    </row>
    <row r="16570">
      <c r="A16570" s="8" t="str">
        <f>IFERROR(__xludf.DUMMYFUNCTION("IF('(INGESTA)Datos_consumo_datadis'!A18135&lt;&gt;"""",SPLIT('(INGESTA)Datos_consumo_datadis'!A:A,"",""),"""")"),"")</f>
        <v/>
      </c>
      <c r="G16570" s="8" t="str">
        <f t="shared" si="1"/>
        <v/>
      </c>
      <c r="H16570" s="14" t="str">
        <f t="shared" si="2"/>
        <v/>
      </c>
      <c r="I16570" s="15" t="str">
        <f t="shared" si="3"/>
        <v/>
      </c>
    </row>
    <row r="16571">
      <c r="A16571" s="8" t="str">
        <f>IFERROR(__xludf.DUMMYFUNCTION("IF('(INGESTA)Datos_consumo_datadis'!A18136&lt;&gt;"""",SPLIT('(INGESTA)Datos_consumo_datadis'!A:A,"",""),"""")"),"")</f>
        <v/>
      </c>
      <c r="G16571" s="8" t="str">
        <f t="shared" si="1"/>
        <v/>
      </c>
      <c r="H16571" s="14" t="str">
        <f t="shared" si="2"/>
        <v/>
      </c>
      <c r="I16571" s="15" t="str">
        <f t="shared" si="3"/>
        <v/>
      </c>
    </row>
    <row r="16572">
      <c r="A16572" s="8" t="str">
        <f>IFERROR(__xludf.DUMMYFUNCTION("IF('(INGESTA)Datos_consumo_datadis'!A18137&lt;&gt;"""",SPLIT('(INGESTA)Datos_consumo_datadis'!A:A,"",""),"""")"),"")</f>
        <v/>
      </c>
      <c r="G16572" s="8" t="str">
        <f t="shared" si="1"/>
        <v/>
      </c>
      <c r="H16572" s="14" t="str">
        <f t="shared" si="2"/>
        <v/>
      </c>
      <c r="I16572" s="15" t="str">
        <f t="shared" si="3"/>
        <v/>
      </c>
    </row>
    <row r="16573">
      <c r="A16573" s="8" t="str">
        <f>IFERROR(__xludf.DUMMYFUNCTION("IF('(INGESTA)Datos_consumo_datadis'!A18138&lt;&gt;"""",SPLIT('(INGESTA)Datos_consumo_datadis'!A:A,"",""),"""")"),"")</f>
        <v/>
      </c>
      <c r="G16573" s="8" t="str">
        <f t="shared" si="1"/>
        <v/>
      </c>
      <c r="H16573" s="14" t="str">
        <f t="shared" si="2"/>
        <v/>
      </c>
      <c r="I16573" s="15" t="str">
        <f t="shared" si="3"/>
        <v/>
      </c>
    </row>
    <row r="16574">
      <c r="A16574" s="8" t="str">
        <f>IFERROR(__xludf.DUMMYFUNCTION("IF('(INGESTA)Datos_consumo_datadis'!A18139&lt;&gt;"""",SPLIT('(INGESTA)Datos_consumo_datadis'!A:A,"",""),"""")"),"")</f>
        <v/>
      </c>
      <c r="G16574" s="8" t="str">
        <f t="shared" si="1"/>
        <v/>
      </c>
      <c r="H16574" s="14" t="str">
        <f t="shared" si="2"/>
        <v/>
      </c>
      <c r="I16574" s="15" t="str">
        <f t="shared" si="3"/>
        <v/>
      </c>
    </row>
    <row r="16575">
      <c r="A16575" s="8" t="str">
        <f>IFERROR(__xludf.DUMMYFUNCTION("IF('(INGESTA)Datos_consumo_datadis'!A18140&lt;&gt;"""",SPLIT('(INGESTA)Datos_consumo_datadis'!A:A,"",""),"""")"),"")</f>
        <v/>
      </c>
      <c r="G16575" s="8" t="str">
        <f t="shared" si="1"/>
        <v/>
      </c>
      <c r="H16575" s="14" t="str">
        <f t="shared" si="2"/>
        <v/>
      </c>
      <c r="I16575" s="15" t="str">
        <f t="shared" si="3"/>
        <v/>
      </c>
    </row>
    <row r="16576">
      <c r="A16576" s="8" t="str">
        <f>IFERROR(__xludf.DUMMYFUNCTION("IF('(INGESTA)Datos_consumo_datadis'!A18141&lt;&gt;"""",SPLIT('(INGESTA)Datos_consumo_datadis'!A:A,"",""),"""")"),"")</f>
        <v/>
      </c>
      <c r="G16576" s="8" t="str">
        <f t="shared" si="1"/>
        <v/>
      </c>
      <c r="H16576" s="14" t="str">
        <f t="shared" si="2"/>
        <v/>
      </c>
      <c r="I16576" s="15" t="str">
        <f t="shared" si="3"/>
        <v/>
      </c>
    </row>
    <row r="16577">
      <c r="A16577" s="8" t="str">
        <f>IFERROR(__xludf.DUMMYFUNCTION("IF('(INGESTA)Datos_consumo_datadis'!A18142&lt;&gt;"""",SPLIT('(INGESTA)Datos_consumo_datadis'!A:A,"",""),"""")"),"")</f>
        <v/>
      </c>
      <c r="G16577" s="8" t="str">
        <f t="shared" si="1"/>
        <v/>
      </c>
      <c r="H16577" s="14" t="str">
        <f t="shared" si="2"/>
        <v/>
      </c>
      <c r="I16577" s="15" t="str">
        <f t="shared" si="3"/>
        <v/>
      </c>
    </row>
    <row r="16578">
      <c r="A16578" s="8" t="str">
        <f>IFERROR(__xludf.DUMMYFUNCTION("IF('(INGESTA)Datos_consumo_datadis'!A18143&lt;&gt;"""",SPLIT('(INGESTA)Datos_consumo_datadis'!A:A,"",""),"""")"),"")</f>
        <v/>
      </c>
      <c r="G16578" s="8" t="str">
        <f t="shared" si="1"/>
        <v/>
      </c>
      <c r="H16578" s="14" t="str">
        <f t="shared" si="2"/>
        <v/>
      </c>
      <c r="I16578" s="15" t="str">
        <f t="shared" si="3"/>
        <v/>
      </c>
    </row>
    <row r="16579">
      <c r="A16579" s="8" t="str">
        <f>IFERROR(__xludf.DUMMYFUNCTION("IF('(INGESTA)Datos_consumo_datadis'!A18144&lt;&gt;"""",SPLIT('(INGESTA)Datos_consumo_datadis'!A:A,"",""),"""")"),"")</f>
        <v/>
      </c>
      <c r="G16579" s="8" t="str">
        <f t="shared" si="1"/>
        <v/>
      </c>
      <c r="H16579" s="14" t="str">
        <f t="shared" si="2"/>
        <v/>
      </c>
      <c r="I16579" s="15" t="str">
        <f t="shared" si="3"/>
        <v/>
      </c>
    </row>
    <row r="16580">
      <c r="A16580" s="8" t="str">
        <f>IFERROR(__xludf.DUMMYFUNCTION("IF('(INGESTA)Datos_consumo_datadis'!A18145&lt;&gt;"""",SPLIT('(INGESTA)Datos_consumo_datadis'!A:A,"",""),"""")"),"")</f>
        <v/>
      </c>
      <c r="G16580" s="8" t="str">
        <f t="shared" si="1"/>
        <v/>
      </c>
      <c r="H16580" s="14" t="str">
        <f t="shared" si="2"/>
        <v/>
      </c>
      <c r="I16580" s="15" t="str">
        <f t="shared" si="3"/>
        <v/>
      </c>
    </row>
    <row r="16581">
      <c r="A16581" s="8" t="str">
        <f>IFERROR(__xludf.DUMMYFUNCTION("IF('(INGESTA)Datos_consumo_datadis'!A18146&lt;&gt;"""",SPLIT('(INGESTA)Datos_consumo_datadis'!A:A,"",""),"""")"),"")</f>
        <v/>
      </c>
      <c r="G16581" s="8" t="str">
        <f t="shared" si="1"/>
        <v/>
      </c>
      <c r="H16581" s="14" t="str">
        <f t="shared" si="2"/>
        <v/>
      </c>
      <c r="I16581" s="15" t="str">
        <f t="shared" si="3"/>
        <v/>
      </c>
    </row>
    <row r="16582">
      <c r="A16582" s="8" t="str">
        <f>IFERROR(__xludf.DUMMYFUNCTION("IF('(INGESTA)Datos_consumo_datadis'!A18147&lt;&gt;"""",SPLIT('(INGESTA)Datos_consumo_datadis'!A:A,"",""),"""")"),"")</f>
        <v/>
      </c>
      <c r="G16582" s="8" t="str">
        <f t="shared" si="1"/>
        <v/>
      </c>
      <c r="H16582" s="14" t="str">
        <f t="shared" si="2"/>
        <v/>
      </c>
      <c r="I16582" s="15" t="str">
        <f t="shared" si="3"/>
        <v/>
      </c>
    </row>
    <row r="16583">
      <c r="A16583" s="8" t="str">
        <f>IFERROR(__xludf.DUMMYFUNCTION("IF('(INGESTA)Datos_consumo_datadis'!A18148&lt;&gt;"""",SPLIT('(INGESTA)Datos_consumo_datadis'!A:A,"",""),"""")"),"")</f>
        <v/>
      </c>
      <c r="G16583" s="8" t="str">
        <f t="shared" si="1"/>
        <v/>
      </c>
      <c r="H16583" s="14" t="str">
        <f t="shared" si="2"/>
        <v/>
      </c>
      <c r="I16583" s="15" t="str">
        <f t="shared" si="3"/>
        <v/>
      </c>
    </row>
    <row r="16584">
      <c r="A16584" s="8" t="str">
        <f>IFERROR(__xludf.DUMMYFUNCTION("IF('(INGESTA)Datos_consumo_datadis'!A18149&lt;&gt;"""",SPLIT('(INGESTA)Datos_consumo_datadis'!A:A,"",""),"""")"),"")</f>
        <v/>
      </c>
      <c r="G16584" s="8" t="str">
        <f t="shared" si="1"/>
        <v/>
      </c>
      <c r="H16584" s="14" t="str">
        <f t="shared" si="2"/>
        <v/>
      </c>
      <c r="I16584" s="15" t="str">
        <f t="shared" si="3"/>
        <v/>
      </c>
    </row>
    <row r="16585">
      <c r="A16585" s="8" t="str">
        <f>IFERROR(__xludf.DUMMYFUNCTION("IF('(INGESTA)Datos_consumo_datadis'!A18150&lt;&gt;"""",SPLIT('(INGESTA)Datos_consumo_datadis'!A:A,"",""),"""")"),"")</f>
        <v/>
      </c>
      <c r="G16585" s="8" t="str">
        <f t="shared" si="1"/>
        <v/>
      </c>
      <c r="H16585" s="14" t="str">
        <f t="shared" si="2"/>
        <v/>
      </c>
      <c r="I16585" s="15" t="str">
        <f t="shared" si="3"/>
        <v/>
      </c>
    </row>
    <row r="16586">
      <c r="A16586" s="8" t="str">
        <f>IFERROR(__xludf.DUMMYFUNCTION("IF('(INGESTA)Datos_consumo_datadis'!A18151&lt;&gt;"""",SPLIT('(INGESTA)Datos_consumo_datadis'!A:A,"",""),"""")"),"")</f>
        <v/>
      </c>
      <c r="G16586" s="8" t="str">
        <f t="shared" si="1"/>
        <v/>
      </c>
      <c r="H16586" s="14" t="str">
        <f t="shared" si="2"/>
        <v/>
      </c>
      <c r="I16586" s="15" t="str">
        <f t="shared" si="3"/>
        <v/>
      </c>
    </row>
    <row r="16587">
      <c r="A16587" s="8" t="str">
        <f>IFERROR(__xludf.DUMMYFUNCTION("IF('(INGESTA)Datos_consumo_datadis'!A18152&lt;&gt;"""",SPLIT('(INGESTA)Datos_consumo_datadis'!A:A,"",""),"""")"),"")</f>
        <v/>
      </c>
      <c r="G16587" s="8" t="str">
        <f t="shared" si="1"/>
        <v/>
      </c>
      <c r="H16587" s="14" t="str">
        <f t="shared" si="2"/>
        <v/>
      </c>
      <c r="I16587" s="15" t="str">
        <f t="shared" si="3"/>
        <v/>
      </c>
    </row>
    <row r="16588">
      <c r="A16588" s="8" t="str">
        <f>IFERROR(__xludf.DUMMYFUNCTION("IF('(INGESTA)Datos_consumo_datadis'!A18153&lt;&gt;"""",SPLIT('(INGESTA)Datos_consumo_datadis'!A:A,"",""),"""")"),"")</f>
        <v/>
      </c>
      <c r="G16588" s="8" t="str">
        <f t="shared" si="1"/>
        <v/>
      </c>
      <c r="H16588" s="14" t="str">
        <f t="shared" si="2"/>
        <v/>
      </c>
      <c r="I16588" s="15" t="str">
        <f t="shared" si="3"/>
        <v/>
      </c>
    </row>
    <row r="16589">
      <c r="A16589" s="8" t="str">
        <f>IFERROR(__xludf.DUMMYFUNCTION("IF('(INGESTA)Datos_consumo_datadis'!A18154&lt;&gt;"""",SPLIT('(INGESTA)Datos_consumo_datadis'!A:A,"",""),"""")"),"")</f>
        <v/>
      </c>
      <c r="G16589" s="8" t="str">
        <f t="shared" si="1"/>
        <v/>
      </c>
      <c r="H16589" s="14" t="str">
        <f t="shared" si="2"/>
        <v/>
      </c>
      <c r="I16589" s="15" t="str">
        <f t="shared" si="3"/>
        <v/>
      </c>
    </row>
    <row r="16590">
      <c r="A16590" s="8" t="str">
        <f>IFERROR(__xludf.DUMMYFUNCTION("IF('(INGESTA)Datos_consumo_datadis'!A18155&lt;&gt;"""",SPLIT('(INGESTA)Datos_consumo_datadis'!A:A,"",""),"""")"),"")</f>
        <v/>
      </c>
      <c r="G16590" s="8" t="str">
        <f t="shared" si="1"/>
        <v/>
      </c>
      <c r="H16590" s="14" t="str">
        <f t="shared" si="2"/>
        <v/>
      </c>
      <c r="I16590" s="15" t="str">
        <f t="shared" si="3"/>
        <v/>
      </c>
    </row>
    <row r="16591">
      <c r="A16591" s="8" t="str">
        <f>IFERROR(__xludf.DUMMYFUNCTION("IF('(INGESTA)Datos_consumo_datadis'!A18156&lt;&gt;"""",SPLIT('(INGESTA)Datos_consumo_datadis'!A:A,"",""),"""")"),"")</f>
        <v/>
      </c>
      <c r="G16591" s="8" t="str">
        <f t="shared" si="1"/>
        <v/>
      </c>
      <c r="H16591" s="14" t="str">
        <f t="shared" si="2"/>
        <v/>
      </c>
      <c r="I16591" s="15" t="str">
        <f t="shared" si="3"/>
        <v/>
      </c>
    </row>
    <row r="16592">
      <c r="A16592" s="8" t="str">
        <f>IFERROR(__xludf.DUMMYFUNCTION("IF('(INGESTA)Datos_consumo_datadis'!A18157&lt;&gt;"""",SPLIT('(INGESTA)Datos_consumo_datadis'!A:A,"",""),"""")"),"")</f>
        <v/>
      </c>
      <c r="G16592" s="8" t="str">
        <f t="shared" si="1"/>
        <v/>
      </c>
      <c r="H16592" s="14" t="str">
        <f t="shared" si="2"/>
        <v/>
      </c>
      <c r="I16592" s="15" t="str">
        <f t="shared" si="3"/>
        <v/>
      </c>
    </row>
    <row r="16593">
      <c r="A16593" s="8" t="str">
        <f>IFERROR(__xludf.DUMMYFUNCTION("IF('(INGESTA)Datos_consumo_datadis'!A18158&lt;&gt;"""",SPLIT('(INGESTA)Datos_consumo_datadis'!A:A,"",""),"""")"),"")</f>
        <v/>
      </c>
      <c r="G16593" s="8" t="str">
        <f t="shared" si="1"/>
        <v/>
      </c>
      <c r="H16593" s="14" t="str">
        <f t="shared" si="2"/>
        <v/>
      </c>
      <c r="I16593" s="15" t="str">
        <f t="shared" si="3"/>
        <v/>
      </c>
    </row>
    <row r="16594">
      <c r="A16594" s="8" t="str">
        <f>IFERROR(__xludf.DUMMYFUNCTION("IF('(INGESTA)Datos_consumo_datadis'!A18159&lt;&gt;"""",SPLIT('(INGESTA)Datos_consumo_datadis'!A:A,"",""),"""")"),"")</f>
        <v/>
      </c>
      <c r="G16594" s="8" t="str">
        <f t="shared" si="1"/>
        <v/>
      </c>
      <c r="H16594" s="14" t="str">
        <f t="shared" si="2"/>
        <v/>
      </c>
      <c r="I16594" s="15" t="str">
        <f t="shared" si="3"/>
        <v/>
      </c>
    </row>
    <row r="16595">
      <c r="A16595" s="8" t="str">
        <f>IFERROR(__xludf.DUMMYFUNCTION("IF('(INGESTA)Datos_consumo_datadis'!A18160&lt;&gt;"""",SPLIT('(INGESTA)Datos_consumo_datadis'!A:A,"",""),"""")"),"")</f>
        <v/>
      </c>
      <c r="G16595" s="8" t="str">
        <f t="shared" si="1"/>
        <v/>
      </c>
      <c r="H16595" s="14" t="str">
        <f t="shared" si="2"/>
        <v/>
      </c>
      <c r="I16595" s="15" t="str">
        <f t="shared" si="3"/>
        <v/>
      </c>
    </row>
    <row r="16596">
      <c r="A16596" s="8" t="str">
        <f>IFERROR(__xludf.DUMMYFUNCTION("IF('(INGESTA)Datos_consumo_datadis'!A18161&lt;&gt;"""",SPLIT('(INGESTA)Datos_consumo_datadis'!A:A,"",""),"""")"),"")</f>
        <v/>
      </c>
      <c r="G16596" s="8" t="str">
        <f t="shared" si="1"/>
        <v/>
      </c>
      <c r="H16596" s="14" t="str">
        <f t="shared" si="2"/>
        <v/>
      </c>
      <c r="I16596" s="15" t="str">
        <f t="shared" si="3"/>
        <v/>
      </c>
    </row>
    <row r="16597">
      <c r="A16597" s="8" t="str">
        <f>IFERROR(__xludf.DUMMYFUNCTION("IF('(INGESTA)Datos_consumo_datadis'!A18162&lt;&gt;"""",SPLIT('(INGESTA)Datos_consumo_datadis'!A:A,"",""),"""")"),"")</f>
        <v/>
      </c>
      <c r="G16597" s="8" t="str">
        <f t="shared" si="1"/>
        <v/>
      </c>
      <c r="H16597" s="14" t="str">
        <f t="shared" si="2"/>
        <v/>
      </c>
      <c r="I16597" s="15" t="str">
        <f t="shared" si="3"/>
        <v/>
      </c>
    </row>
    <row r="16598">
      <c r="A16598" s="8" t="str">
        <f>IFERROR(__xludf.DUMMYFUNCTION("IF('(INGESTA)Datos_consumo_datadis'!A18163&lt;&gt;"""",SPLIT('(INGESTA)Datos_consumo_datadis'!A:A,"",""),"""")"),"")</f>
        <v/>
      </c>
      <c r="G16598" s="8" t="str">
        <f t="shared" si="1"/>
        <v/>
      </c>
      <c r="H16598" s="14" t="str">
        <f t="shared" si="2"/>
        <v/>
      </c>
      <c r="I16598" s="15" t="str">
        <f t="shared" si="3"/>
        <v/>
      </c>
    </row>
    <row r="16599">
      <c r="A16599" s="8" t="str">
        <f>IFERROR(__xludf.DUMMYFUNCTION("IF('(INGESTA)Datos_consumo_datadis'!A18164&lt;&gt;"""",SPLIT('(INGESTA)Datos_consumo_datadis'!A:A,"",""),"""")"),"")</f>
        <v/>
      </c>
      <c r="G16599" s="8" t="str">
        <f t="shared" si="1"/>
        <v/>
      </c>
      <c r="H16599" s="14" t="str">
        <f t="shared" si="2"/>
        <v/>
      </c>
      <c r="I16599" s="15" t="str">
        <f t="shared" si="3"/>
        <v/>
      </c>
    </row>
    <row r="16600">
      <c r="A16600" s="8" t="str">
        <f>IFERROR(__xludf.DUMMYFUNCTION("IF('(INGESTA)Datos_consumo_datadis'!A18165&lt;&gt;"""",SPLIT('(INGESTA)Datos_consumo_datadis'!A:A,"",""),"""")"),"")</f>
        <v/>
      </c>
      <c r="G16600" s="8" t="str">
        <f t="shared" si="1"/>
        <v/>
      </c>
      <c r="H16600" s="14" t="str">
        <f t="shared" si="2"/>
        <v/>
      </c>
      <c r="I16600" s="15" t="str">
        <f t="shared" si="3"/>
        <v/>
      </c>
    </row>
    <row r="16601">
      <c r="A16601" s="8" t="str">
        <f>IFERROR(__xludf.DUMMYFUNCTION("IF('(INGESTA)Datos_consumo_datadis'!A18166&lt;&gt;"""",SPLIT('(INGESTA)Datos_consumo_datadis'!A:A,"",""),"""")"),"")</f>
        <v/>
      </c>
      <c r="G16601" s="8" t="str">
        <f t="shared" si="1"/>
        <v/>
      </c>
      <c r="H16601" s="14" t="str">
        <f t="shared" si="2"/>
        <v/>
      </c>
      <c r="I16601" s="15" t="str">
        <f t="shared" si="3"/>
        <v/>
      </c>
    </row>
    <row r="16602">
      <c r="A16602" s="8" t="str">
        <f>IFERROR(__xludf.DUMMYFUNCTION("IF('(INGESTA)Datos_consumo_datadis'!A18167&lt;&gt;"""",SPLIT('(INGESTA)Datos_consumo_datadis'!A:A,"",""),"""")"),"")</f>
        <v/>
      </c>
      <c r="G16602" s="8" t="str">
        <f t="shared" si="1"/>
        <v/>
      </c>
      <c r="H16602" s="14" t="str">
        <f t="shared" si="2"/>
        <v/>
      </c>
      <c r="I16602" s="15" t="str">
        <f t="shared" si="3"/>
        <v/>
      </c>
    </row>
    <row r="16603">
      <c r="A16603" s="8" t="str">
        <f>IFERROR(__xludf.DUMMYFUNCTION("IF('(INGESTA)Datos_consumo_datadis'!A18168&lt;&gt;"""",SPLIT('(INGESTA)Datos_consumo_datadis'!A:A,"",""),"""")"),"")</f>
        <v/>
      </c>
      <c r="G16603" s="8" t="str">
        <f t="shared" si="1"/>
        <v/>
      </c>
      <c r="H16603" s="14" t="str">
        <f t="shared" si="2"/>
        <v/>
      </c>
      <c r="I16603" s="15" t="str">
        <f t="shared" si="3"/>
        <v/>
      </c>
    </row>
    <row r="16604">
      <c r="A16604" s="8" t="str">
        <f>IFERROR(__xludf.DUMMYFUNCTION("IF('(INGESTA)Datos_consumo_datadis'!A18169&lt;&gt;"""",SPLIT('(INGESTA)Datos_consumo_datadis'!A:A,"",""),"""")"),"")</f>
        <v/>
      </c>
      <c r="G16604" s="8" t="str">
        <f t="shared" si="1"/>
        <v/>
      </c>
      <c r="H16604" s="14" t="str">
        <f t="shared" si="2"/>
        <v/>
      </c>
      <c r="I16604" s="15" t="str">
        <f t="shared" si="3"/>
        <v/>
      </c>
    </row>
    <row r="16605">
      <c r="A16605" s="8" t="str">
        <f>IFERROR(__xludf.DUMMYFUNCTION("IF('(INGESTA)Datos_consumo_datadis'!A18170&lt;&gt;"""",SPLIT('(INGESTA)Datos_consumo_datadis'!A:A,"",""),"""")"),"")</f>
        <v/>
      </c>
      <c r="G16605" s="8" t="str">
        <f t="shared" si="1"/>
        <v/>
      </c>
      <c r="H16605" s="14" t="str">
        <f t="shared" si="2"/>
        <v/>
      </c>
      <c r="I16605" s="15" t="str">
        <f t="shared" si="3"/>
        <v/>
      </c>
    </row>
    <row r="16606">
      <c r="A16606" s="8" t="str">
        <f>IFERROR(__xludf.DUMMYFUNCTION("IF('(INGESTA)Datos_consumo_datadis'!A18171&lt;&gt;"""",SPLIT('(INGESTA)Datos_consumo_datadis'!A:A,"",""),"""")"),"")</f>
        <v/>
      </c>
      <c r="G16606" s="8" t="str">
        <f t="shared" si="1"/>
        <v/>
      </c>
      <c r="H16606" s="14" t="str">
        <f t="shared" si="2"/>
        <v/>
      </c>
      <c r="I16606" s="15" t="str">
        <f t="shared" si="3"/>
        <v/>
      </c>
    </row>
    <row r="16607">
      <c r="A16607" s="8" t="str">
        <f>IFERROR(__xludf.DUMMYFUNCTION("IF('(INGESTA)Datos_consumo_datadis'!A18172&lt;&gt;"""",SPLIT('(INGESTA)Datos_consumo_datadis'!A:A,"",""),"""")"),"")</f>
        <v/>
      </c>
      <c r="G16607" s="8" t="str">
        <f t="shared" si="1"/>
        <v/>
      </c>
      <c r="H16607" s="14" t="str">
        <f t="shared" si="2"/>
        <v/>
      </c>
      <c r="I16607" s="15" t="str">
        <f t="shared" si="3"/>
        <v/>
      </c>
    </row>
    <row r="16608">
      <c r="A16608" s="8" t="str">
        <f>IFERROR(__xludf.DUMMYFUNCTION("IF('(INGESTA)Datos_consumo_datadis'!A18173&lt;&gt;"""",SPLIT('(INGESTA)Datos_consumo_datadis'!A:A,"",""),"""")"),"")</f>
        <v/>
      </c>
      <c r="G16608" s="8" t="str">
        <f t="shared" si="1"/>
        <v/>
      </c>
      <c r="H16608" s="14" t="str">
        <f t="shared" si="2"/>
        <v/>
      </c>
      <c r="I16608" s="15" t="str">
        <f t="shared" si="3"/>
        <v/>
      </c>
    </row>
    <row r="16609">
      <c r="A16609" s="8" t="str">
        <f>IFERROR(__xludf.DUMMYFUNCTION("IF('(INGESTA)Datos_consumo_datadis'!A18174&lt;&gt;"""",SPLIT('(INGESTA)Datos_consumo_datadis'!A:A,"",""),"""")"),"")</f>
        <v/>
      </c>
      <c r="G16609" s="8" t="str">
        <f t="shared" si="1"/>
        <v/>
      </c>
      <c r="H16609" s="14" t="str">
        <f t="shared" si="2"/>
        <v/>
      </c>
      <c r="I16609" s="15" t="str">
        <f t="shared" si="3"/>
        <v/>
      </c>
    </row>
    <row r="16610">
      <c r="A16610" s="8" t="str">
        <f>IFERROR(__xludf.DUMMYFUNCTION("IF('(INGESTA)Datos_consumo_datadis'!A18175&lt;&gt;"""",SPLIT('(INGESTA)Datos_consumo_datadis'!A:A,"",""),"""")"),"")</f>
        <v/>
      </c>
      <c r="G16610" s="8" t="str">
        <f t="shared" si="1"/>
        <v/>
      </c>
      <c r="H16610" s="14" t="str">
        <f t="shared" si="2"/>
        <v/>
      </c>
      <c r="I16610" s="15" t="str">
        <f t="shared" si="3"/>
        <v/>
      </c>
    </row>
    <row r="16611">
      <c r="A16611" s="8" t="str">
        <f>IFERROR(__xludf.DUMMYFUNCTION("IF('(INGESTA)Datos_consumo_datadis'!A18176&lt;&gt;"""",SPLIT('(INGESTA)Datos_consumo_datadis'!A:A,"",""),"""")"),"")</f>
        <v/>
      </c>
      <c r="G16611" s="8" t="str">
        <f t="shared" si="1"/>
        <v/>
      </c>
      <c r="H16611" s="14" t="str">
        <f t="shared" si="2"/>
        <v/>
      </c>
      <c r="I16611" s="15" t="str">
        <f t="shared" si="3"/>
        <v/>
      </c>
    </row>
    <row r="16612">
      <c r="A16612" s="8" t="str">
        <f>IFERROR(__xludf.DUMMYFUNCTION("IF('(INGESTA)Datos_consumo_datadis'!A18177&lt;&gt;"""",SPLIT('(INGESTA)Datos_consumo_datadis'!A:A,"",""),"""")"),"")</f>
        <v/>
      </c>
      <c r="G16612" s="8" t="str">
        <f t="shared" si="1"/>
        <v/>
      </c>
      <c r="H16612" s="14" t="str">
        <f t="shared" si="2"/>
        <v/>
      </c>
      <c r="I16612" s="15" t="str">
        <f t="shared" si="3"/>
        <v/>
      </c>
    </row>
    <row r="16613">
      <c r="A16613" s="8" t="str">
        <f>IFERROR(__xludf.DUMMYFUNCTION("IF('(INGESTA)Datos_consumo_datadis'!A18178&lt;&gt;"""",SPLIT('(INGESTA)Datos_consumo_datadis'!A:A,"",""),"""")"),"")</f>
        <v/>
      </c>
      <c r="G16613" s="8" t="str">
        <f t="shared" si="1"/>
        <v/>
      </c>
      <c r="H16613" s="14" t="str">
        <f t="shared" si="2"/>
        <v/>
      </c>
      <c r="I16613" s="15" t="str">
        <f t="shared" si="3"/>
        <v/>
      </c>
    </row>
    <row r="16614">
      <c r="A16614" s="8" t="str">
        <f>IFERROR(__xludf.DUMMYFUNCTION("IF('(INGESTA)Datos_consumo_datadis'!A18179&lt;&gt;"""",SPLIT('(INGESTA)Datos_consumo_datadis'!A:A,"",""),"""")"),"")</f>
        <v/>
      </c>
      <c r="G16614" s="8" t="str">
        <f t="shared" si="1"/>
        <v/>
      </c>
      <c r="H16614" s="14" t="str">
        <f t="shared" si="2"/>
        <v/>
      </c>
      <c r="I16614" s="15" t="str">
        <f t="shared" si="3"/>
        <v/>
      </c>
    </row>
    <row r="16615">
      <c r="A16615" s="8" t="str">
        <f>IFERROR(__xludf.DUMMYFUNCTION("IF('(INGESTA)Datos_consumo_datadis'!A18180&lt;&gt;"""",SPLIT('(INGESTA)Datos_consumo_datadis'!A:A,"",""),"""")"),"")</f>
        <v/>
      </c>
      <c r="G16615" s="8" t="str">
        <f t="shared" si="1"/>
        <v/>
      </c>
      <c r="H16615" s="14" t="str">
        <f t="shared" si="2"/>
        <v/>
      </c>
      <c r="I16615" s="15" t="str">
        <f t="shared" si="3"/>
        <v/>
      </c>
    </row>
    <row r="16616">
      <c r="A16616" s="8" t="str">
        <f>IFERROR(__xludf.DUMMYFUNCTION("IF('(INGESTA)Datos_consumo_datadis'!A18181&lt;&gt;"""",SPLIT('(INGESTA)Datos_consumo_datadis'!A:A,"",""),"""")"),"")</f>
        <v/>
      </c>
      <c r="G16616" s="8" t="str">
        <f t="shared" si="1"/>
        <v/>
      </c>
      <c r="H16616" s="14" t="str">
        <f t="shared" si="2"/>
        <v/>
      </c>
      <c r="I16616" s="15" t="str">
        <f t="shared" si="3"/>
        <v/>
      </c>
    </row>
    <row r="16617">
      <c r="A16617" s="8" t="str">
        <f>IFERROR(__xludf.DUMMYFUNCTION("IF('(INGESTA)Datos_consumo_datadis'!A18182&lt;&gt;"""",SPLIT('(INGESTA)Datos_consumo_datadis'!A:A,"",""),"""")"),"")</f>
        <v/>
      </c>
      <c r="G16617" s="8" t="str">
        <f t="shared" si="1"/>
        <v/>
      </c>
      <c r="H16617" s="14" t="str">
        <f t="shared" si="2"/>
        <v/>
      </c>
      <c r="I16617" s="15" t="str">
        <f t="shared" si="3"/>
        <v/>
      </c>
    </row>
    <row r="16618">
      <c r="A16618" s="8" t="str">
        <f>IFERROR(__xludf.DUMMYFUNCTION("IF('(INGESTA)Datos_consumo_datadis'!A18183&lt;&gt;"""",SPLIT('(INGESTA)Datos_consumo_datadis'!A:A,"",""),"""")"),"")</f>
        <v/>
      </c>
      <c r="G16618" s="8" t="str">
        <f t="shared" si="1"/>
        <v/>
      </c>
      <c r="H16618" s="14" t="str">
        <f t="shared" si="2"/>
        <v/>
      </c>
      <c r="I16618" s="15" t="str">
        <f t="shared" si="3"/>
        <v/>
      </c>
    </row>
    <row r="16619">
      <c r="A16619" s="8" t="str">
        <f>IFERROR(__xludf.DUMMYFUNCTION("IF('(INGESTA)Datos_consumo_datadis'!A18184&lt;&gt;"""",SPLIT('(INGESTA)Datos_consumo_datadis'!A:A,"",""),"""")"),"")</f>
        <v/>
      </c>
      <c r="G16619" s="8" t="str">
        <f t="shared" si="1"/>
        <v/>
      </c>
      <c r="H16619" s="14" t="str">
        <f t="shared" si="2"/>
        <v/>
      </c>
      <c r="I16619" s="15" t="str">
        <f t="shared" si="3"/>
        <v/>
      </c>
    </row>
    <row r="16620">
      <c r="A16620" s="8" t="str">
        <f>IFERROR(__xludf.DUMMYFUNCTION("IF('(INGESTA)Datos_consumo_datadis'!A18185&lt;&gt;"""",SPLIT('(INGESTA)Datos_consumo_datadis'!A:A,"",""),"""")"),"")</f>
        <v/>
      </c>
      <c r="G16620" s="8" t="str">
        <f t="shared" si="1"/>
        <v/>
      </c>
      <c r="H16620" s="14" t="str">
        <f t="shared" si="2"/>
        <v/>
      </c>
      <c r="I16620" s="15" t="str">
        <f t="shared" si="3"/>
        <v/>
      </c>
    </row>
    <row r="16621">
      <c r="A16621" s="8" t="str">
        <f>IFERROR(__xludf.DUMMYFUNCTION("IF('(INGESTA)Datos_consumo_datadis'!A18186&lt;&gt;"""",SPLIT('(INGESTA)Datos_consumo_datadis'!A:A,"",""),"""")"),"")</f>
        <v/>
      </c>
      <c r="G16621" s="8" t="str">
        <f t="shared" si="1"/>
        <v/>
      </c>
      <c r="H16621" s="14" t="str">
        <f t="shared" si="2"/>
        <v/>
      </c>
      <c r="I16621" s="15" t="str">
        <f t="shared" si="3"/>
        <v/>
      </c>
    </row>
    <row r="16622">
      <c r="A16622" s="8" t="str">
        <f>IFERROR(__xludf.DUMMYFUNCTION("IF('(INGESTA)Datos_consumo_datadis'!A18187&lt;&gt;"""",SPLIT('(INGESTA)Datos_consumo_datadis'!A:A,"",""),"""")"),"")</f>
        <v/>
      </c>
      <c r="G16622" s="8" t="str">
        <f t="shared" si="1"/>
        <v/>
      </c>
      <c r="H16622" s="14" t="str">
        <f t="shared" si="2"/>
        <v/>
      </c>
      <c r="I16622" s="15" t="str">
        <f t="shared" si="3"/>
        <v/>
      </c>
    </row>
    <row r="16623">
      <c r="A16623" s="8" t="str">
        <f>IFERROR(__xludf.DUMMYFUNCTION("IF('(INGESTA)Datos_consumo_datadis'!A18188&lt;&gt;"""",SPLIT('(INGESTA)Datos_consumo_datadis'!A:A,"",""),"""")"),"")</f>
        <v/>
      </c>
      <c r="G16623" s="8" t="str">
        <f t="shared" si="1"/>
        <v/>
      </c>
      <c r="H16623" s="14" t="str">
        <f t="shared" si="2"/>
        <v/>
      </c>
      <c r="I16623" s="15" t="str">
        <f t="shared" si="3"/>
        <v/>
      </c>
    </row>
    <row r="16624">
      <c r="A16624" s="8" t="str">
        <f>IFERROR(__xludf.DUMMYFUNCTION("IF('(INGESTA)Datos_consumo_datadis'!A18189&lt;&gt;"""",SPLIT('(INGESTA)Datos_consumo_datadis'!A:A,"",""),"""")"),"")</f>
        <v/>
      </c>
      <c r="G16624" s="8" t="str">
        <f t="shared" si="1"/>
        <v/>
      </c>
      <c r="H16624" s="14" t="str">
        <f t="shared" si="2"/>
        <v/>
      </c>
      <c r="I16624" s="15" t="str">
        <f t="shared" si="3"/>
        <v/>
      </c>
    </row>
    <row r="16625">
      <c r="A16625" s="8" t="str">
        <f>IFERROR(__xludf.DUMMYFUNCTION("IF('(INGESTA)Datos_consumo_datadis'!A18190&lt;&gt;"""",SPLIT('(INGESTA)Datos_consumo_datadis'!A:A,"",""),"""")"),"")</f>
        <v/>
      </c>
      <c r="G16625" s="8" t="str">
        <f t="shared" si="1"/>
        <v/>
      </c>
      <c r="H16625" s="14" t="str">
        <f t="shared" si="2"/>
        <v/>
      </c>
      <c r="I16625" s="15" t="str">
        <f t="shared" si="3"/>
        <v/>
      </c>
    </row>
    <row r="16626">
      <c r="A16626" s="8" t="str">
        <f>IFERROR(__xludf.DUMMYFUNCTION("IF('(INGESTA)Datos_consumo_datadis'!A18191&lt;&gt;"""",SPLIT('(INGESTA)Datos_consumo_datadis'!A:A,"",""),"""")"),"")</f>
        <v/>
      </c>
      <c r="G16626" s="8" t="str">
        <f t="shared" si="1"/>
        <v/>
      </c>
      <c r="H16626" s="14" t="str">
        <f t="shared" si="2"/>
        <v/>
      </c>
      <c r="I16626" s="15" t="str">
        <f t="shared" si="3"/>
        <v/>
      </c>
    </row>
    <row r="16627">
      <c r="A16627" s="8" t="str">
        <f>IFERROR(__xludf.DUMMYFUNCTION("IF('(INGESTA)Datos_consumo_datadis'!A18192&lt;&gt;"""",SPLIT('(INGESTA)Datos_consumo_datadis'!A:A,"",""),"""")"),"")</f>
        <v/>
      </c>
      <c r="G16627" s="8" t="str">
        <f t="shared" si="1"/>
        <v/>
      </c>
      <c r="H16627" s="14" t="str">
        <f t="shared" si="2"/>
        <v/>
      </c>
      <c r="I16627" s="15" t="str">
        <f t="shared" si="3"/>
        <v/>
      </c>
    </row>
    <row r="16628">
      <c r="A16628" s="8" t="str">
        <f>IFERROR(__xludf.DUMMYFUNCTION("IF('(INGESTA)Datos_consumo_datadis'!A18193&lt;&gt;"""",SPLIT('(INGESTA)Datos_consumo_datadis'!A:A,"",""),"""")"),"")</f>
        <v/>
      </c>
      <c r="G16628" s="8" t="str">
        <f t="shared" si="1"/>
        <v/>
      </c>
      <c r="H16628" s="14" t="str">
        <f t="shared" si="2"/>
        <v/>
      </c>
      <c r="I16628" s="15" t="str">
        <f t="shared" si="3"/>
        <v/>
      </c>
    </row>
    <row r="16629">
      <c r="A16629" s="8" t="str">
        <f>IFERROR(__xludf.DUMMYFUNCTION("IF('(INGESTA)Datos_consumo_datadis'!A18194&lt;&gt;"""",SPLIT('(INGESTA)Datos_consumo_datadis'!A:A,"",""),"""")"),"")</f>
        <v/>
      </c>
      <c r="G16629" s="8" t="str">
        <f t="shared" si="1"/>
        <v/>
      </c>
      <c r="H16629" s="14" t="str">
        <f t="shared" si="2"/>
        <v/>
      </c>
      <c r="I16629" s="15" t="str">
        <f t="shared" si="3"/>
        <v/>
      </c>
    </row>
    <row r="16630">
      <c r="A16630" s="8" t="str">
        <f>IFERROR(__xludf.DUMMYFUNCTION("IF('(INGESTA)Datos_consumo_datadis'!A18195&lt;&gt;"""",SPLIT('(INGESTA)Datos_consumo_datadis'!A:A,"",""),"""")"),"")</f>
        <v/>
      </c>
      <c r="G16630" s="8" t="str">
        <f t="shared" si="1"/>
        <v/>
      </c>
      <c r="H16630" s="14" t="str">
        <f t="shared" si="2"/>
        <v/>
      </c>
      <c r="I16630" s="15" t="str">
        <f t="shared" si="3"/>
        <v/>
      </c>
    </row>
    <row r="16631">
      <c r="A16631" s="8" t="str">
        <f>IFERROR(__xludf.DUMMYFUNCTION("IF('(INGESTA)Datos_consumo_datadis'!A18196&lt;&gt;"""",SPLIT('(INGESTA)Datos_consumo_datadis'!A:A,"",""),"""")"),"")</f>
        <v/>
      </c>
      <c r="G16631" s="8" t="str">
        <f t="shared" si="1"/>
        <v/>
      </c>
      <c r="H16631" s="14" t="str">
        <f t="shared" si="2"/>
        <v/>
      </c>
      <c r="I16631" s="15" t="str">
        <f t="shared" si="3"/>
        <v/>
      </c>
    </row>
    <row r="16632">
      <c r="A16632" s="8" t="str">
        <f>IFERROR(__xludf.DUMMYFUNCTION("IF('(INGESTA)Datos_consumo_datadis'!A18197&lt;&gt;"""",SPLIT('(INGESTA)Datos_consumo_datadis'!A:A,"",""),"""")"),"")</f>
        <v/>
      </c>
      <c r="G16632" s="8" t="str">
        <f t="shared" si="1"/>
        <v/>
      </c>
      <c r="H16632" s="14" t="str">
        <f t="shared" si="2"/>
        <v/>
      </c>
      <c r="I16632" s="15" t="str">
        <f t="shared" si="3"/>
        <v/>
      </c>
    </row>
    <row r="16633">
      <c r="A16633" s="8" t="str">
        <f>IFERROR(__xludf.DUMMYFUNCTION("IF('(INGESTA)Datos_consumo_datadis'!A18198&lt;&gt;"""",SPLIT('(INGESTA)Datos_consumo_datadis'!A:A,"",""),"""")"),"")</f>
        <v/>
      </c>
      <c r="G16633" s="8" t="str">
        <f t="shared" si="1"/>
        <v/>
      </c>
      <c r="H16633" s="14" t="str">
        <f t="shared" si="2"/>
        <v/>
      </c>
      <c r="I16633" s="15" t="str">
        <f t="shared" si="3"/>
        <v/>
      </c>
    </row>
    <row r="16634">
      <c r="A16634" s="8" t="str">
        <f>IFERROR(__xludf.DUMMYFUNCTION("IF('(INGESTA)Datos_consumo_datadis'!A18199&lt;&gt;"""",SPLIT('(INGESTA)Datos_consumo_datadis'!A:A,"",""),"""")"),"")</f>
        <v/>
      </c>
      <c r="G16634" s="8" t="str">
        <f t="shared" si="1"/>
        <v/>
      </c>
      <c r="H16634" s="14" t="str">
        <f t="shared" si="2"/>
        <v/>
      </c>
      <c r="I16634" s="15" t="str">
        <f t="shared" si="3"/>
        <v/>
      </c>
    </row>
    <row r="16635">
      <c r="A16635" s="8" t="str">
        <f>IFERROR(__xludf.DUMMYFUNCTION("IF('(INGESTA)Datos_consumo_datadis'!A18200&lt;&gt;"""",SPLIT('(INGESTA)Datos_consumo_datadis'!A:A,"",""),"""")"),"")</f>
        <v/>
      </c>
      <c r="G16635" s="8" t="str">
        <f t="shared" si="1"/>
        <v/>
      </c>
      <c r="H16635" s="14" t="str">
        <f t="shared" si="2"/>
        <v/>
      </c>
      <c r="I16635" s="15" t="str">
        <f t="shared" si="3"/>
        <v/>
      </c>
    </row>
    <row r="16636">
      <c r="A16636" s="8" t="str">
        <f>IFERROR(__xludf.DUMMYFUNCTION("IF('(INGESTA)Datos_consumo_datadis'!A18201&lt;&gt;"""",SPLIT('(INGESTA)Datos_consumo_datadis'!A:A,"",""),"""")"),"")</f>
        <v/>
      </c>
      <c r="G16636" s="8" t="str">
        <f t="shared" si="1"/>
        <v/>
      </c>
      <c r="H16636" s="14" t="str">
        <f t="shared" si="2"/>
        <v/>
      </c>
      <c r="I16636" s="15" t="str">
        <f t="shared" si="3"/>
        <v/>
      </c>
    </row>
    <row r="16637">
      <c r="A16637" s="8" t="str">
        <f>IFERROR(__xludf.DUMMYFUNCTION("IF('(INGESTA)Datos_consumo_datadis'!A18202&lt;&gt;"""",SPLIT('(INGESTA)Datos_consumo_datadis'!A:A,"",""),"""")"),"")</f>
        <v/>
      </c>
      <c r="G16637" s="8" t="str">
        <f t="shared" si="1"/>
        <v/>
      </c>
      <c r="H16637" s="14" t="str">
        <f t="shared" si="2"/>
        <v/>
      </c>
      <c r="I16637" s="15" t="str">
        <f t="shared" si="3"/>
        <v/>
      </c>
    </row>
    <row r="16638">
      <c r="A16638" s="8" t="str">
        <f>IFERROR(__xludf.DUMMYFUNCTION("IF('(INGESTA)Datos_consumo_datadis'!A18203&lt;&gt;"""",SPLIT('(INGESTA)Datos_consumo_datadis'!A:A,"",""),"""")"),"")</f>
        <v/>
      </c>
      <c r="G16638" s="8" t="str">
        <f t="shared" si="1"/>
        <v/>
      </c>
      <c r="H16638" s="14" t="str">
        <f t="shared" si="2"/>
        <v/>
      </c>
      <c r="I16638" s="15" t="str">
        <f t="shared" si="3"/>
        <v/>
      </c>
    </row>
    <row r="16639">
      <c r="A16639" s="8" t="str">
        <f>IFERROR(__xludf.DUMMYFUNCTION("IF('(INGESTA)Datos_consumo_datadis'!A18204&lt;&gt;"""",SPLIT('(INGESTA)Datos_consumo_datadis'!A:A,"",""),"""")"),"")</f>
        <v/>
      </c>
      <c r="G16639" s="8" t="str">
        <f t="shared" si="1"/>
        <v/>
      </c>
      <c r="H16639" s="14" t="str">
        <f t="shared" si="2"/>
        <v/>
      </c>
      <c r="I16639" s="15" t="str">
        <f t="shared" si="3"/>
        <v/>
      </c>
    </row>
    <row r="16640">
      <c r="A16640" s="8" t="str">
        <f>IFERROR(__xludf.DUMMYFUNCTION("IF('(INGESTA)Datos_consumo_datadis'!A18205&lt;&gt;"""",SPLIT('(INGESTA)Datos_consumo_datadis'!A:A,"",""),"""")"),"")</f>
        <v/>
      </c>
      <c r="G16640" s="8" t="str">
        <f t="shared" si="1"/>
        <v/>
      </c>
      <c r="H16640" s="14" t="str">
        <f t="shared" si="2"/>
        <v/>
      </c>
      <c r="I16640" s="15" t="str">
        <f t="shared" si="3"/>
        <v/>
      </c>
    </row>
    <row r="16641">
      <c r="A16641" s="8" t="str">
        <f>IFERROR(__xludf.DUMMYFUNCTION("IF('(INGESTA)Datos_consumo_datadis'!A18206&lt;&gt;"""",SPLIT('(INGESTA)Datos_consumo_datadis'!A:A,"",""),"""")"),"")</f>
        <v/>
      </c>
      <c r="G16641" s="8" t="str">
        <f t="shared" si="1"/>
        <v/>
      </c>
      <c r="H16641" s="14" t="str">
        <f t="shared" si="2"/>
        <v/>
      </c>
      <c r="I16641" s="15" t="str">
        <f t="shared" si="3"/>
        <v/>
      </c>
    </row>
    <row r="16642">
      <c r="A16642" s="8" t="str">
        <f>IFERROR(__xludf.DUMMYFUNCTION("IF('(INGESTA)Datos_consumo_datadis'!A18207&lt;&gt;"""",SPLIT('(INGESTA)Datos_consumo_datadis'!A:A,"",""),"""")"),"")</f>
        <v/>
      </c>
      <c r="G16642" s="8" t="str">
        <f t="shared" si="1"/>
        <v/>
      </c>
      <c r="H16642" s="14" t="str">
        <f t="shared" si="2"/>
        <v/>
      </c>
      <c r="I16642" s="15" t="str">
        <f t="shared" si="3"/>
        <v/>
      </c>
    </row>
    <row r="16643">
      <c r="A16643" s="8" t="str">
        <f>IFERROR(__xludf.DUMMYFUNCTION("IF('(INGESTA)Datos_consumo_datadis'!A18208&lt;&gt;"""",SPLIT('(INGESTA)Datos_consumo_datadis'!A:A,"",""),"""")"),"")</f>
        <v/>
      </c>
      <c r="G16643" s="8" t="str">
        <f t="shared" si="1"/>
        <v/>
      </c>
      <c r="H16643" s="14" t="str">
        <f t="shared" si="2"/>
        <v/>
      </c>
      <c r="I16643" s="15" t="str">
        <f t="shared" si="3"/>
        <v/>
      </c>
    </row>
    <row r="16644">
      <c r="A16644" s="8" t="str">
        <f>IFERROR(__xludf.DUMMYFUNCTION("IF('(INGESTA)Datos_consumo_datadis'!A18209&lt;&gt;"""",SPLIT('(INGESTA)Datos_consumo_datadis'!A:A,"",""),"""")"),"")</f>
        <v/>
      </c>
      <c r="G16644" s="8" t="str">
        <f t="shared" si="1"/>
        <v/>
      </c>
      <c r="H16644" s="14" t="str">
        <f t="shared" si="2"/>
        <v/>
      </c>
      <c r="I16644" s="15" t="str">
        <f t="shared" si="3"/>
        <v/>
      </c>
    </row>
    <row r="16645">
      <c r="A16645" s="8" t="str">
        <f>IFERROR(__xludf.DUMMYFUNCTION("IF('(INGESTA)Datos_consumo_datadis'!A18210&lt;&gt;"""",SPLIT('(INGESTA)Datos_consumo_datadis'!A:A,"",""),"""")"),"")</f>
        <v/>
      </c>
      <c r="G16645" s="8" t="str">
        <f t="shared" si="1"/>
        <v/>
      </c>
      <c r="H16645" s="14" t="str">
        <f t="shared" si="2"/>
        <v/>
      </c>
      <c r="I16645" s="15" t="str">
        <f t="shared" si="3"/>
        <v/>
      </c>
    </row>
    <row r="16646">
      <c r="A16646" s="8" t="str">
        <f>IFERROR(__xludf.DUMMYFUNCTION("IF('(INGESTA)Datos_consumo_datadis'!A18211&lt;&gt;"""",SPLIT('(INGESTA)Datos_consumo_datadis'!A:A,"",""),"""")"),"")</f>
        <v/>
      </c>
      <c r="G16646" s="8" t="str">
        <f t="shared" si="1"/>
        <v/>
      </c>
      <c r="H16646" s="14" t="str">
        <f t="shared" si="2"/>
        <v/>
      </c>
      <c r="I16646" s="15" t="str">
        <f t="shared" si="3"/>
        <v/>
      </c>
    </row>
    <row r="16647">
      <c r="A16647" s="8" t="str">
        <f>IFERROR(__xludf.DUMMYFUNCTION("IF('(INGESTA)Datos_consumo_datadis'!A18212&lt;&gt;"""",SPLIT('(INGESTA)Datos_consumo_datadis'!A:A,"",""),"""")"),"")</f>
        <v/>
      </c>
      <c r="G16647" s="8" t="str">
        <f t="shared" si="1"/>
        <v/>
      </c>
      <c r="H16647" s="14" t="str">
        <f t="shared" si="2"/>
        <v/>
      </c>
      <c r="I16647" s="15" t="str">
        <f t="shared" si="3"/>
        <v/>
      </c>
    </row>
    <row r="16648">
      <c r="A16648" s="8" t="str">
        <f>IFERROR(__xludf.DUMMYFUNCTION("IF('(INGESTA)Datos_consumo_datadis'!A18213&lt;&gt;"""",SPLIT('(INGESTA)Datos_consumo_datadis'!A:A,"",""),"""")"),"")</f>
        <v/>
      </c>
      <c r="G16648" s="8" t="str">
        <f t="shared" si="1"/>
        <v/>
      </c>
      <c r="H16648" s="14" t="str">
        <f t="shared" si="2"/>
        <v/>
      </c>
      <c r="I16648" s="15" t="str">
        <f t="shared" si="3"/>
        <v/>
      </c>
    </row>
    <row r="16649">
      <c r="A16649" s="8" t="str">
        <f>IFERROR(__xludf.DUMMYFUNCTION("IF('(INGESTA)Datos_consumo_datadis'!A18214&lt;&gt;"""",SPLIT('(INGESTA)Datos_consumo_datadis'!A:A,"",""),"""")"),"")</f>
        <v/>
      </c>
      <c r="G16649" s="8" t="str">
        <f t="shared" si="1"/>
        <v/>
      </c>
      <c r="H16649" s="14" t="str">
        <f t="shared" si="2"/>
        <v/>
      </c>
      <c r="I16649" s="15" t="str">
        <f t="shared" si="3"/>
        <v/>
      </c>
    </row>
    <row r="16650">
      <c r="A16650" s="8" t="str">
        <f>IFERROR(__xludf.DUMMYFUNCTION("IF('(INGESTA)Datos_consumo_datadis'!A18215&lt;&gt;"""",SPLIT('(INGESTA)Datos_consumo_datadis'!A:A,"",""),"""")"),"")</f>
        <v/>
      </c>
      <c r="G16650" s="8" t="str">
        <f t="shared" si="1"/>
        <v/>
      </c>
      <c r="H16650" s="14" t="str">
        <f t="shared" si="2"/>
        <v/>
      </c>
      <c r="I16650" s="15" t="str">
        <f t="shared" si="3"/>
        <v/>
      </c>
    </row>
    <row r="16651">
      <c r="A16651" s="8" t="str">
        <f>IFERROR(__xludf.DUMMYFUNCTION("IF('(INGESTA)Datos_consumo_datadis'!A18216&lt;&gt;"""",SPLIT('(INGESTA)Datos_consumo_datadis'!A:A,"",""),"""")"),"")</f>
        <v/>
      </c>
      <c r="G16651" s="8" t="str">
        <f t="shared" si="1"/>
        <v/>
      </c>
      <c r="H16651" s="14" t="str">
        <f t="shared" si="2"/>
        <v/>
      </c>
      <c r="I16651" s="15" t="str">
        <f t="shared" si="3"/>
        <v/>
      </c>
    </row>
    <row r="16652">
      <c r="A16652" s="8" t="str">
        <f>IFERROR(__xludf.DUMMYFUNCTION("IF('(INGESTA)Datos_consumo_datadis'!A18217&lt;&gt;"""",SPLIT('(INGESTA)Datos_consumo_datadis'!A:A,"",""),"""")"),"")</f>
        <v/>
      </c>
      <c r="G16652" s="8" t="str">
        <f t="shared" si="1"/>
        <v/>
      </c>
      <c r="H16652" s="14" t="str">
        <f t="shared" si="2"/>
        <v/>
      </c>
      <c r="I16652" s="15" t="str">
        <f t="shared" si="3"/>
        <v/>
      </c>
    </row>
    <row r="16653">
      <c r="A16653" s="8" t="str">
        <f>IFERROR(__xludf.DUMMYFUNCTION("IF('(INGESTA)Datos_consumo_datadis'!A18218&lt;&gt;"""",SPLIT('(INGESTA)Datos_consumo_datadis'!A:A,"",""),"""")"),"")</f>
        <v/>
      </c>
      <c r="G16653" s="8" t="str">
        <f t="shared" si="1"/>
        <v/>
      </c>
      <c r="H16653" s="14" t="str">
        <f t="shared" si="2"/>
        <v/>
      </c>
      <c r="I16653" s="15" t="str">
        <f t="shared" si="3"/>
        <v/>
      </c>
    </row>
    <row r="16654">
      <c r="A16654" s="8" t="str">
        <f>IFERROR(__xludf.DUMMYFUNCTION("IF('(INGESTA)Datos_consumo_datadis'!A18219&lt;&gt;"""",SPLIT('(INGESTA)Datos_consumo_datadis'!A:A,"",""),"""")"),"")</f>
        <v/>
      </c>
      <c r="G16654" s="8" t="str">
        <f t="shared" si="1"/>
        <v/>
      </c>
      <c r="H16654" s="14" t="str">
        <f t="shared" si="2"/>
        <v/>
      </c>
      <c r="I16654" s="15" t="str">
        <f t="shared" si="3"/>
        <v/>
      </c>
    </row>
    <row r="16655">
      <c r="A16655" s="8" t="str">
        <f>IFERROR(__xludf.DUMMYFUNCTION("IF('(INGESTA)Datos_consumo_datadis'!A18220&lt;&gt;"""",SPLIT('(INGESTA)Datos_consumo_datadis'!A:A,"",""),"""")"),"")</f>
        <v/>
      </c>
      <c r="G16655" s="8" t="str">
        <f t="shared" si="1"/>
        <v/>
      </c>
      <c r="H16655" s="14" t="str">
        <f t="shared" si="2"/>
        <v/>
      </c>
      <c r="I16655" s="15" t="str">
        <f t="shared" si="3"/>
        <v/>
      </c>
    </row>
    <row r="16656">
      <c r="A16656" s="8" t="str">
        <f>IFERROR(__xludf.DUMMYFUNCTION("IF('(INGESTA)Datos_consumo_datadis'!A18221&lt;&gt;"""",SPLIT('(INGESTA)Datos_consumo_datadis'!A:A,"",""),"""")"),"")</f>
        <v/>
      </c>
      <c r="G16656" s="8" t="str">
        <f t="shared" si="1"/>
        <v/>
      </c>
      <c r="H16656" s="14" t="str">
        <f t="shared" si="2"/>
        <v/>
      </c>
      <c r="I16656" s="15" t="str">
        <f t="shared" si="3"/>
        <v/>
      </c>
    </row>
    <row r="16657">
      <c r="A16657" s="8" t="str">
        <f>IFERROR(__xludf.DUMMYFUNCTION("IF('(INGESTA)Datos_consumo_datadis'!A18222&lt;&gt;"""",SPLIT('(INGESTA)Datos_consumo_datadis'!A:A,"",""),"""")"),"")</f>
        <v/>
      </c>
      <c r="G16657" s="8" t="str">
        <f t="shared" si="1"/>
        <v/>
      </c>
      <c r="H16657" s="14" t="str">
        <f t="shared" si="2"/>
        <v/>
      </c>
      <c r="I16657" s="15" t="str">
        <f t="shared" si="3"/>
        <v/>
      </c>
    </row>
    <row r="16658">
      <c r="A16658" s="8" t="str">
        <f>IFERROR(__xludf.DUMMYFUNCTION("IF('(INGESTA)Datos_consumo_datadis'!A18223&lt;&gt;"""",SPLIT('(INGESTA)Datos_consumo_datadis'!A:A,"",""),"""")"),"")</f>
        <v/>
      </c>
      <c r="G16658" s="8" t="str">
        <f t="shared" si="1"/>
        <v/>
      </c>
      <c r="H16658" s="14" t="str">
        <f t="shared" si="2"/>
        <v/>
      </c>
      <c r="I16658" s="15" t="str">
        <f t="shared" si="3"/>
        <v/>
      </c>
    </row>
    <row r="16659">
      <c r="A16659" s="8" t="str">
        <f>IFERROR(__xludf.DUMMYFUNCTION("IF('(INGESTA)Datos_consumo_datadis'!A18224&lt;&gt;"""",SPLIT('(INGESTA)Datos_consumo_datadis'!A:A,"",""),"""")"),"")</f>
        <v/>
      </c>
      <c r="G16659" s="8" t="str">
        <f t="shared" si="1"/>
        <v/>
      </c>
      <c r="H16659" s="14" t="str">
        <f t="shared" si="2"/>
        <v/>
      </c>
      <c r="I16659" s="15" t="str">
        <f t="shared" si="3"/>
        <v/>
      </c>
    </row>
    <row r="16660">
      <c r="A16660" s="8" t="str">
        <f>IFERROR(__xludf.DUMMYFUNCTION("IF('(INGESTA)Datos_consumo_datadis'!A18225&lt;&gt;"""",SPLIT('(INGESTA)Datos_consumo_datadis'!A:A,"",""),"""")"),"")</f>
        <v/>
      </c>
      <c r="G16660" s="8" t="str">
        <f t="shared" si="1"/>
        <v/>
      </c>
      <c r="H16660" s="14" t="str">
        <f t="shared" si="2"/>
        <v/>
      </c>
      <c r="I16660" s="15" t="str">
        <f t="shared" si="3"/>
        <v/>
      </c>
    </row>
    <row r="16661">
      <c r="A16661" s="8" t="str">
        <f>IFERROR(__xludf.DUMMYFUNCTION("IF('(INGESTA)Datos_consumo_datadis'!A18226&lt;&gt;"""",SPLIT('(INGESTA)Datos_consumo_datadis'!A:A,"",""),"""")"),"")</f>
        <v/>
      </c>
      <c r="G16661" s="8" t="str">
        <f t="shared" si="1"/>
        <v/>
      </c>
      <c r="H16661" s="14" t="str">
        <f t="shared" si="2"/>
        <v/>
      </c>
      <c r="I16661" s="15" t="str">
        <f t="shared" si="3"/>
        <v/>
      </c>
    </row>
    <row r="16662">
      <c r="A16662" s="8" t="str">
        <f>IFERROR(__xludf.DUMMYFUNCTION("IF('(INGESTA)Datos_consumo_datadis'!A18227&lt;&gt;"""",SPLIT('(INGESTA)Datos_consumo_datadis'!A:A,"",""),"""")"),"")</f>
        <v/>
      </c>
      <c r="G16662" s="8" t="str">
        <f t="shared" si="1"/>
        <v/>
      </c>
      <c r="H16662" s="14" t="str">
        <f t="shared" si="2"/>
        <v/>
      </c>
      <c r="I16662" s="15" t="str">
        <f t="shared" si="3"/>
        <v/>
      </c>
    </row>
    <row r="16663">
      <c r="A16663" s="8" t="str">
        <f>IFERROR(__xludf.DUMMYFUNCTION("IF('(INGESTA)Datos_consumo_datadis'!A18228&lt;&gt;"""",SPLIT('(INGESTA)Datos_consumo_datadis'!A:A,"",""),"""")"),"")</f>
        <v/>
      </c>
      <c r="G16663" s="8" t="str">
        <f t="shared" si="1"/>
        <v/>
      </c>
      <c r="H16663" s="14" t="str">
        <f t="shared" si="2"/>
        <v/>
      </c>
      <c r="I16663" s="15" t="str">
        <f t="shared" si="3"/>
        <v/>
      </c>
    </row>
    <row r="16664">
      <c r="A16664" s="8" t="str">
        <f>IFERROR(__xludf.DUMMYFUNCTION("IF('(INGESTA)Datos_consumo_datadis'!A18229&lt;&gt;"""",SPLIT('(INGESTA)Datos_consumo_datadis'!A:A,"",""),"""")"),"")</f>
        <v/>
      </c>
      <c r="G16664" s="8" t="str">
        <f t="shared" si="1"/>
        <v/>
      </c>
      <c r="H16664" s="14" t="str">
        <f t="shared" si="2"/>
        <v/>
      </c>
      <c r="I16664" s="15" t="str">
        <f t="shared" si="3"/>
        <v/>
      </c>
    </row>
    <row r="16665">
      <c r="A16665" s="8" t="str">
        <f>IFERROR(__xludf.DUMMYFUNCTION("IF('(INGESTA)Datos_consumo_datadis'!A18230&lt;&gt;"""",SPLIT('(INGESTA)Datos_consumo_datadis'!A:A,"",""),"""")"),"")</f>
        <v/>
      </c>
      <c r="G16665" s="8" t="str">
        <f t="shared" si="1"/>
        <v/>
      </c>
      <c r="H16665" s="14" t="str">
        <f t="shared" si="2"/>
        <v/>
      </c>
      <c r="I16665" s="15" t="str">
        <f t="shared" si="3"/>
        <v/>
      </c>
    </row>
    <row r="16666">
      <c r="A16666" s="8" t="str">
        <f>IFERROR(__xludf.DUMMYFUNCTION("IF('(INGESTA)Datos_consumo_datadis'!A18231&lt;&gt;"""",SPLIT('(INGESTA)Datos_consumo_datadis'!A:A,"",""),"""")"),"")</f>
        <v/>
      </c>
      <c r="G16666" s="8" t="str">
        <f t="shared" si="1"/>
        <v/>
      </c>
      <c r="H16666" s="14" t="str">
        <f t="shared" si="2"/>
        <v/>
      </c>
      <c r="I16666" s="15" t="str">
        <f t="shared" si="3"/>
        <v/>
      </c>
    </row>
    <row r="16667">
      <c r="A16667" s="8" t="str">
        <f>IFERROR(__xludf.DUMMYFUNCTION("IF('(INGESTA)Datos_consumo_datadis'!A18232&lt;&gt;"""",SPLIT('(INGESTA)Datos_consumo_datadis'!A:A,"",""),"""")"),"")</f>
        <v/>
      </c>
      <c r="G16667" s="8" t="str">
        <f t="shared" si="1"/>
        <v/>
      </c>
      <c r="H16667" s="14" t="str">
        <f t="shared" si="2"/>
        <v/>
      </c>
      <c r="I16667" s="15" t="str">
        <f t="shared" si="3"/>
        <v/>
      </c>
    </row>
    <row r="16668">
      <c r="A16668" s="8" t="str">
        <f>IFERROR(__xludf.DUMMYFUNCTION("IF('(INGESTA)Datos_consumo_datadis'!A18233&lt;&gt;"""",SPLIT('(INGESTA)Datos_consumo_datadis'!A:A,"",""),"""")"),"")</f>
        <v/>
      </c>
      <c r="G16668" s="8" t="str">
        <f t="shared" si="1"/>
        <v/>
      </c>
      <c r="H16668" s="14" t="str">
        <f t="shared" si="2"/>
        <v/>
      </c>
      <c r="I16668" s="15" t="str">
        <f t="shared" si="3"/>
        <v/>
      </c>
    </row>
    <row r="16669">
      <c r="A16669" s="8" t="str">
        <f>IFERROR(__xludf.DUMMYFUNCTION("IF('(INGESTA)Datos_consumo_datadis'!A18234&lt;&gt;"""",SPLIT('(INGESTA)Datos_consumo_datadis'!A:A,"",""),"""")"),"")</f>
        <v/>
      </c>
      <c r="G16669" s="8" t="str">
        <f t="shared" si="1"/>
        <v/>
      </c>
      <c r="H16669" s="14" t="str">
        <f t="shared" si="2"/>
        <v/>
      </c>
      <c r="I16669" s="15" t="str">
        <f t="shared" si="3"/>
        <v/>
      </c>
    </row>
    <row r="16670">
      <c r="A16670" s="8" t="str">
        <f>IFERROR(__xludf.DUMMYFUNCTION("IF('(INGESTA)Datos_consumo_datadis'!A18235&lt;&gt;"""",SPLIT('(INGESTA)Datos_consumo_datadis'!A:A,"",""),"""")"),"")</f>
        <v/>
      </c>
      <c r="G16670" s="8" t="str">
        <f t="shared" si="1"/>
        <v/>
      </c>
      <c r="H16670" s="14" t="str">
        <f t="shared" si="2"/>
        <v/>
      </c>
      <c r="I16670" s="15" t="str">
        <f t="shared" si="3"/>
        <v/>
      </c>
    </row>
    <row r="16671">
      <c r="A16671" s="8" t="str">
        <f>IFERROR(__xludf.DUMMYFUNCTION("IF('(INGESTA)Datos_consumo_datadis'!A18236&lt;&gt;"""",SPLIT('(INGESTA)Datos_consumo_datadis'!A:A,"",""),"""")"),"")</f>
        <v/>
      </c>
      <c r="G16671" s="8" t="str">
        <f t="shared" si="1"/>
        <v/>
      </c>
      <c r="H16671" s="14" t="str">
        <f t="shared" si="2"/>
        <v/>
      </c>
      <c r="I16671" s="15" t="str">
        <f t="shared" si="3"/>
        <v/>
      </c>
    </row>
    <row r="16672">
      <c r="A16672" s="8" t="str">
        <f>IFERROR(__xludf.DUMMYFUNCTION("IF('(INGESTA)Datos_consumo_datadis'!A18237&lt;&gt;"""",SPLIT('(INGESTA)Datos_consumo_datadis'!A:A,"",""),"""")"),"")</f>
        <v/>
      </c>
      <c r="G16672" s="8" t="str">
        <f t="shared" si="1"/>
        <v/>
      </c>
      <c r="H16672" s="14" t="str">
        <f t="shared" si="2"/>
        <v/>
      </c>
      <c r="I16672" s="15" t="str">
        <f t="shared" si="3"/>
        <v/>
      </c>
    </row>
    <row r="16673">
      <c r="A16673" s="8" t="str">
        <f>IFERROR(__xludf.DUMMYFUNCTION("IF('(INGESTA)Datos_consumo_datadis'!A18238&lt;&gt;"""",SPLIT('(INGESTA)Datos_consumo_datadis'!A:A,"",""),"""")"),"")</f>
        <v/>
      </c>
      <c r="G16673" s="8" t="str">
        <f t="shared" si="1"/>
        <v/>
      </c>
      <c r="H16673" s="14" t="str">
        <f t="shared" si="2"/>
        <v/>
      </c>
      <c r="I16673" s="15" t="str">
        <f t="shared" si="3"/>
        <v/>
      </c>
    </row>
    <row r="16674">
      <c r="A16674" s="8" t="str">
        <f>IFERROR(__xludf.DUMMYFUNCTION("IF('(INGESTA)Datos_consumo_datadis'!A18239&lt;&gt;"""",SPLIT('(INGESTA)Datos_consumo_datadis'!A:A,"",""),"""")"),"")</f>
        <v/>
      </c>
      <c r="G16674" s="8" t="str">
        <f t="shared" si="1"/>
        <v/>
      </c>
      <c r="H16674" s="14" t="str">
        <f t="shared" si="2"/>
        <v/>
      </c>
      <c r="I16674" s="15" t="str">
        <f t="shared" si="3"/>
        <v/>
      </c>
    </row>
    <row r="16675">
      <c r="A16675" s="8" t="str">
        <f>IFERROR(__xludf.DUMMYFUNCTION("IF('(INGESTA)Datos_consumo_datadis'!A18240&lt;&gt;"""",SPLIT('(INGESTA)Datos_consumo_datadis'!A:A,"",""),"""")"),"")</f>
        <v/>
      </c>
      <c r="G16675" s="8" t="str">
        <f t="shared" si="1"/>
        <v/>
      </c>
      <c r="H16675" s="14" t="str">
        <f t="shared" si="2"/>
        <v/>
      </c>
      <c r="I16675" s="15" t="str">
        <f t="shared" si="3"/>
        <v/>
      </c>
    </row>
    <row r="16676">
      <c r="A16676" s="8" t="str">
        <f>IFERROR(__xludf.DUMMYFUNCTION("IF('(INGESTA)Datos_consumo_datadis'!A18241&lt;&gt;"""",SPLIT('(INGESTA)Datos_consumo_datadis'!A:A,"",""),"""")"),"")</f>
        <v/>
      </c>
      <c r="G16676" s="8" t="str">
        <f t="shared" si="1"/>
        <v/>
      </c>
      <c r="H16676" s="14" t="str">
        <f t="shared" si="2"/>
        <v/>
      </c>
      <c r="I16676" s="15" t="str">
        <f t="shared" si="3"/>
        <v/>
      </c>
    </row>
    <row r="16677">
      <c r="A16677" s="8" t="str">
        <f>IFERROR(__xludf.DUMMYFUNCTION("IF('(INGESTA)Datos_consumo_datadis'!A18242&lt;&gt;"""",SPLIT('(INGESTA)Datos_consumo_datadis'!A:A,"",""),"""")"),"")</f>
        <v/>
      </c>
      <c r="G16677" s="8" t="str">
        <f t="shared" si="1"/>
        <v/>
      </c>
      <c r="H16677" s="14" t="str">
        <f t="shared" si="2"/>
        <v/>
      </c>
      <c r="I16677" s="15" t="str">
        <f t="shared" si="3"/>
        <v/>
      </c>
    </row>
    <row r="16678">
      <c r="A16678" s="8" t="str">
        <f>IFERROR(__xludf.DUMMYFUNCTION("IF('(INGESTA)Datos_consumo_datadis'!A18243&lt;&gt;"""",SPLIT('(INGESTA)Datos_consumo_datadis'!A:A,"",""),"""")"),"")</f>
        <v/>
      </c>
      <c r="G16678" s="8" t="str">
        <f t="shared" si="1"/>
        <v/>
      </c>
      <c r="H16678" s="14" t="str">
        <f t="shared" si="2"/>
        <v/>
      </c>
      <c r="I16678" s="15" t="str">
        <f t="shared" si="3"/>
        <v/>
      </c>
    </row>
    <row r="16679">
      <c r="A16679" s="8" t="str">
        <f>IFERROR(__xludf.DUMMYFUNCTION("IF('(INGESTA)Datos_consumo_datadis'!A18244&lt;&gt;"""",SPLIT('(INGESTA)Datos_consumo_datadis'!A:A,"",""),"""")"),"")</f>
        <v/>
      </c>
      <c r="G16679" s="8" t="str">
        <f t="shared" si="1"/>
        <v/>
      </c>
      <c r="H16679" s="14" t="str">
        <f t="shared" si="2"/>
        <v/>
      </c>
      <c r="I16679" s="15" t="str">
        <f t="shared" si="3"/>
        <v/>
      </c>
    </row>
    <row r="16680">
      <c r="A16680" s="8" t="str">
        <f>IFERROR(__xludf.DUMMYFUNCTION("IF('(INGESTA)Datos_consumo_datadis'!A18245&lt;&gt;"""",SPLIT('(INGESTA)Datos_consumo_datadis'!A:A,"",""),"""")"),"")</f>
        <v/>
      </c>
      <c r="G16680" s="8" t="str">
        <f t="shared" si="1"/>
        <v/>
      </c>
      <c r="H16680" s="14" t="str">
        <f t="shared" si="2"/>
        <v/>
      </c>
      <c r="I16680" s="15" t="str">
        <f t="shared" si="3"/>
        <v/>
      </c>
    </row>
    <row r="16681">
      <c r="A16681" s="8" t="str">
        <f>IFERROR(__xludf.DUMMYFUNCTION("IF('(INGESTA)Datos_consumo_datadis'!A18246&lt;&gt;"""",SPLIT('(INGESTA)Datos_consumo_datadis'!A:A,"",""),"""")"),"")</f>
        <v/>
      </c>
      <c r="G16681" s="8" t="str">
        <f t="shared" si="1"/>
        <v/>
      </c>
      <c r="H16681" s="14" t="str">
        <f t="shared" si="2"/>
        <v/>
      </c>
      <c r="I16681" s="15" t="str">
        <f t="shared" si="3"/>
        <v/>
      </c>
    </row>
    <row r="16682">
      <c r="A16682" s="8" t="str">
        <f>IFERROR(__xludf.DUMMYFUNCTION("IF('(INGESTA)Datos_consumo_datadis'!A18247&lt;&gt;"""",SPLIT('(INGESTA)Datos_consumo_datadis'!A:A,"",""),"""")"),"")</f>
        <v/>
      </c>
      <c r="G16682" s="8" t="str">
        <f t="shared" si="1"/>
        <v/>
      </c>
      <c r="H16682" s="14" t="str">
        <f t="shared" si="2"/>
        <v/>
      </c>
      <c r="I16682" s="15" t="str">
        <f t="shared" si="3"/>
        <v/>
      </c>
    </row>
    <row r="16683">
      <c r="A16683" s="8" t="str">
        <f>IFERROR(__xludf.DUMMYFUNCTION("IF('(INGESTA)Datos_consumo_datadis'!A18248&lt;&gt;"""",SPLIT('(INGESTA)Datos_consumo_datadis'!A:A,"",""),"""")"),"")</f>
        <v/>
      </c>
      <c r="G16683" s="8" t="str">
        <f t="shared" si="1"/>
        <v/>
      </c>
      <c r="H16683" s="14" t="str">
        <f t="shared" si="2"/>
        <v/>
      </c>
      <c r="I16683" s="15" t="str">
        <f t="shared" si="3"/>
        <v/>
      </c>
    </row>
    <row r="16684">
      <c r="A16684" s="8" t="str">
        <f>IFERROR(__xludf.DUMMYFUNCTION("IF('(INGESTA)Datos_consumo_datadis'!A18249&lt;&gt;"""",SPLIT('(INGESTA)Datos_consumo_datadis'!A:A,"",""),"""")"),"")</f>
        <v/>
      </c>
      <c r="G16684" s="8" t="str">
        <f t="shared" si="1"/>
        <v/>
      </c>
      <c r="H16684" s="14" t="str">
        <f t="shared" si="2"/>
        <v/>
      </c>
      <c r="I16684" s="15" t="str">
        <f t="shared" si="3"/>
        <v/>
      </c>
    </row>
    <row r="16685">
      <c r="A16685" s="8" t="str">
        <f>IFERROR(__xludf.DUMMYFUNCTION("IF('(INGESTA)Datos_consumo_datadis'!A18250&lt;&gt;"""",SPLIT('(INGESTA)Datos_consumo_datadis'!A:A,"",""),"""")"),"")</f>
        <v/>
      </c>
      <c r="G16685" s="8" t="str">
        <f t="shared" si="1"/>
        <v/>
      </c>
      <c r="H16685" s="14" t="str">
        <f t="shared" si="2"/>
        <v/>
      </c>
      <c r="I16685" s="15" t="str">
        <f t="shared" si="3"/>
        <v/>
      </c>
    </row>
    <row r="16686">
      <c r="A16686" s="8" t="str">
        <f>IFERROR(__xludf.DUMMYFUNCTION("IF('(INGESTA)Datos_consumo_datadis'!A18251&lt;&gt;"""",SPLIT('(INGESTA)Datos_consumo_datadis'!A:A,"",""),"""")"),"")</f>
        <v/>
      </c>
      <c r="G16686" s="8" t="str">
        <f t="shared" si="1"/>
        <v/>
      </c>
      <c r="H16686" s="14" t="str">
        <f t="shared" si="2"/>
        <v/>
      </c>
      <c r="I16686" s="15" t="str">
        <f t="shared" si="3"/>
        <v/>
      </c>
    </row>
    <row r="16687">
      <c r="A16687" s="8" t="str">
        <f>IFERROR(__xludf.DUMMYFUNCTION("IF('(INGESTA)Datos_consumo_datadis'!A18252&lt;&gt;"""",SPLIT('(INGESTA)Datos_consumo_datadis'!A:A,"",""),"""")"),"")</f>
        <v/>
      </c>
      <c r="G16687" s="8" t="str">
        <f t="shared" si="1"/>
        <v/>
      </c>
      <c r="H16687" s="14" t="str">
        <f t="shared" si="2"/>
        <v/>
      </c>
      <c r="I16687" s="15" t="str">
        <f t="shared" si="3"/>
        <v/>
      </c>
    </row>
    <row r="16688">
      <c r="A16688" s="8" t="str">
        <f>IFERROR(__xludf.DUMMYFUNCTION("IF('(INGESTA)Datos_consumo_datadis'!A18253&lt;&gt;"""",SPLIT('(INGESTA)Datos_consumo_datadis'!A:A,"",""),"""")"),"")</f>
        <v/>
      </c>
      <c r="G16688" s="8" t="str">
        <f t="shared" si="1"/>
        <v/>
      </c>
      <c r="H16688" s="14" t="str">
        <f t="shared" si="2"/>
        <v/>
      </c>
      <c r="I16688" s="15" t="str">
        <f t="shared" si="3"/>
        <v/>
      </c>
    </row>
    <row r="16689">
      <c r="A16689" s="8" t="str">
        <f>IFERROR(__xludf.DUMMYFUNCTION("IF('(INGESTA)Datos_consumo_datadis'!A18254&lt;&gt;"""",SPLIT('(INGESTA)Datos_consumo_datadis'!A:A,"",""),"""")"),"")</f>
        <v/>
      </c>
      <c r="G16689" s="8" t="str">
        <f t="shared" si="1"/>
        <v/>
      </c>
      <c r="H16689" s="14" t="str">
        <f t="shared" si="2"/>
        <v/>
      </c>
      <c r="I16689" s="15" t="str">
        <f t="shared" si="3"/>
        <v/>
      </c>
    </row>
    <row r="16690">
      <c r="A16690" s="8" t="str">
        <f>IFERROR(__xludf.DUMMYFUNCTION("IF('(INGESTA)Datos_consumo_datadis'!A18255&lt;&gt;"""",SPLIT('(INGESTA)Datos_consumo_datadis'!A:A,"",""),"""")"),"")</f>
        <v/>
      </c>
      <c r="G16690" s="8" t="str">
        <f t="shared" si="1"/>
        <v/>
      </c>
      <c r="H16690" s="14" t="str">
        <f t="shared" si="2"/>
        <v/>
      </c>
      <c r="I16690" s="15" t="str">
        <f t="shared" si="3"/>
        <v/>
      </c>
    </row>
    <row r="16691">
      <c r="A16691" s="8" t="str">
        <f>IFERROR(__xludf.DUMMYFUNCTION("IF('(INGESTA)Datos_consumo_datadis'!A18256&lt;&gt;"""",SPLIT('(INGESTA)Datos_consumo_datadis'!A:A,"",""),"""")"),"")</f>
        <v/>
      </c>
      <c r="G16691" s="8" t="str">
        <f t="shared" si="1"/>
        <v/>
      </c>
      <c r="H16691" s="14" t="str">
        <f t="shared" si="2"/>
        <v/>
      </c>
      <c r="I16691" s="15" t="str">
        <f t="shared" si="3"/>
        <v/>
      </c>
    </row>
    <row r="16692">
      <c r="A16692" s="8" t="str">
        <f>IFERROR(__xludf.DUMMYFUNCTION("IF('(INGESTA)Datos_consumo_datadis'!A18257&lt;&gt;"""",SPLIT('(INGESTA)Datos_consumo_datadis'!A:A,"",""),"""")"),"")</f>
        <v/>
      </c>
      <c r="G16692" s="8" t="str">
        <f t="shared" si="1"/>
        <v/>
      </c>
      <c r="H16692" s="14" t="str">
        <f t="shared" si="2"/>
        <v/>
      </c>
      <c r="I16692" s="15" t="str">
        <f t="shared" si="3"/>
        <v/>
      </c>
    </row>
    <row r="16693">
      <c r="A16693" s="8" t="str">
        <f>IFERROR(__xludf.DUMMYFUNCTION("IF('(INGESTA)Datos_consumo_datadis'!A18258&lt;&gt;"""",SPLIT('(INGESTA)Datos_consumo_datadis'!A:A,"",""),"""")"),"")</f>
        <v/>
      </c>
      <c r="G16693" s="8" t="str">
        <f t="shared" si="1"/>
        <v/>
      </c>
      <c r="H16693" s="14" t="str">
        <f t="shared" si="2"/>
        <v/>
      </c>
      <c r="I16693" s="15" t="str">
        <f t="shared" si="3"/>
        <v/>
      </c>
    </row>
    <row r="16694">
      <c r="A16694" s="8" t="str">
        <f>IFERROR(__xludf.DUMMYFUNCTION("IF('(INGESTA)Datos_consumo_datadis'!A18259&lt;&gt;"""",SPLIT('(INGESTA)Datos_consumo_datadis'!A:A,"",""),"""")"),"")</f>
        <v/>
      </c>
      <c r="G16694" s="8" t="str">
        <f t="shared" si="1"/>
        <v/>
      </c>
      <c r="H16694" s="14" t="str">
        <f t="shared" si="2"/>
        <v/>
      </c>
      <c r="I16694" s="15" t="str">
        <f t="shared" si="3"/>
        <v/>
      </c>
    </row>
    <row r="16695">
      <c r="A16695" s="8" t="str">
        <f>IFERROR(__xludf.DUMMYFUNCTION("IF('(INGESTA)Datos_consumo_datadis'!A18260&lt;&gt;"""",SPLIT('(INGESTA)Datos_consumo_datadis'!A:A,"",""),"""")"),"")</f>
        <v/>
      </c>
      <c r="G16695" s="8" t="str">
        <f t="shared" si="1"/>
        <v/>
      </c>
      <c r="H16695" s="14" t="str">
        <f t="shared" si="2"/>
        <v/>
      </c>
      <c r="I16695" s="15" t="str">
        <f t="shared" si="3"/>
        <v/>
      </c>
    </row>
    <row r="16696">
      <c r="A16696" s="8" t="str">
        <f>IFERROR(__xludf.DUMMYFUNCTION("IF('(INGESTA)Datos_consumo_datadis'!A18261&lt;&gt;"""",SPLIT('(INGESTA)Datos_consumo_datadis'!A:A,"",""),"""")"),"")</f>
        <v/>
      </c>
      <c r="G16696" s="8" t="str">
        <f t="shared" si="1"/>
        <v/>
      </c>
      <c r="H16696" s="14" t="str">
        <f t="shared" si="2"/>
        <v/>
      </c>
      <c r="I16696" s="15" t="str">
        <f t="shared" si="3"/>
        <v/>
      </c>
    </row>
    <row r="16697">
      <c r="A16697" s="8" t="str">
        <f>IFERROR(__xludf.DUMMYFUNCTION("IF('(INGESTA)Datos_consumo_datadis'!A18262&lt;&gt;"""",SPLIT('(INGESTA)Datos_consumo_datadis'!A:A,"",""),"""")"),"")</f>
        <v/>
      </c>
      <c r="G16697" s="8" t="str">
        <f t="shared" si="1"/>
        <v/>
      </c>
      <c r="H16697" s="14" t="str">
        <f t="shared" si="2"/>
        <v/>
      </c>
      <c r="I16697" s="15" t="str">
        <f t="shared" si="3"/>
        <v/>
      </c>
    </row>
    <row r="16698">
      <c r="A16698" s="8" t="str">
        <f>IFERROR(__xludf.DUMMYFUNCTION("IF('(INGESTA)Datos_consumo_datadis'!A18263&lt;&gt;"""",SPLIT('(INGESTA)Datos_consumo_datadis'!A:A,"",""),"""")"),"")</f>
        <v/>
      </c>
      <c r="G16698" s="8" t="str">
        <f t="shared" si="1"/>
        <v/>
      </c>
      <c r="H16698" s="14" t="str">
        <f t="shared" si="2"/>
        <v/>
      </c>
      <c r="I16698" s="15" t="str">
        <f t="shared" si="3"/>
        <v/>
      </c>
    </row>
    <row r="16699">
      <c r="A16699" s="8" t="str">
        <f>IFERROR(__xludf.DUMMYFUNCTION("IF('(INGESTA)Datos_consumo_datadis'!A18264&lt;&gt;"""",SPLIT('(INGESTA)Datos_consumo_datadis'!A:A,"",""),"""")"),"")</f>
        <v/>
      </c>
      <c r="G16699" s="8" t="str">
        <f t="shared" si="1"/>
        <v/>
      </c>
      <c r="H16699" s="14" t="str">
        <f t="shared" si="2"/>
        <v/>
      </c>
      <c r="I16699" s="15" t="str">
        <f t="shared" si="3"/>
        <v/>
      </c>
    </row>
    <row r="16700">
      <c r="A16700" s="8" t="str">
        <f>IFERROR(__xludf.DUMMYFUNCTION("IF('(INGESTA)Datos_consumo_datadis'!A18265&lt;&gt;"""",SPLIT('(INGESTA)Datos_consumo_datadis'!A:A,"",""),"""")"),"")</f>
        <v/>
      </c>
      <c r="G16700" s="8" t="str">
        <f t="shared" si="1"/>
        <v/>
      </c>
      <c r="H16700" s="14" t="str">
        <f t="shared" si="2"/>
        <v/>
      </c>
      <c r="I16700" s="15" t="str">
        <f t="shared" si="3"/>
        <v/>
      </c>
    </row>
    <row r="16701">
      <c r="A16701" s="8" t="str">
        <f>IFERROR(__xludf.DUMMYFUNCTION("IF('(INGESTA)Datos_consumo_datadis'!A18266&lt;&gt;"""",SPLIT('(INGESTA)Datos_consumo_datadis'!A:A,"",""),"""")"),"")</f>
        <v/>
      </c>
      <c r="G16701" s="8" t="str">
        <f t="shared" si="1"/>
        <v/>
      </c>
      <c r="H16701" s="14" t="str">
        <f t="shared" si="2"/>
        <v/>
      </c>
      <c r="I16701" s="15" t="str">
        <f t="shared" si="3"/>
        <v/>
      </c>
    </row>
    <row r="16702">
      <c r="A16702" s="8" t="str">
        <f>IFERROR(__xludf.DUMMYFUNCTION("IF('(INGESTA)Datos_consumo_datadis'!A18267&lt;&gt;"""",SPLIT('(INGESTA)Datos_consumo_datadis'!A:A,"",""),"""")"),"")</f>
        <v/>
      </c>
      <c r="G16702" s="8" t="str">
        <f t="shared" si="1"/>
        <v/>
      </c>
      <c r="H16702" s="14" t="str">
        <f t="shared" si="2"/>
        <v/>
      </c>
      <c r="I16702" s="15" t="str">
        <f t="shared" si="3"/>
        <v/>
      </c>
    </row>
    <row r="16703">
      <c r="A16703" s="8" t="str">
        <f>IFERROR(__xludf.DUMMYFUNCTION("IF('(INGESTA)Datos_consumo_datadis'!A18268&lt;&gt;"""",SPLIT('(INGESTA)Datos_consumo_datadis'!A:A,"",""),"""")"),"")</f>
        <v/>
      </c>
      <c r="G16703" s="8" t="str">
        <f t="shared" si="1"/>
        <v/>
      </c>
      <c r="H16703" s="14" t="str">
        <f t="shared" si="2"/>
        <v/>
      </c>
      <c r="I16703" s="15" t="str">
        <f t="shared" si="3"/>
        <v/>
      </c>
    </row>
    <row r="16704">
      <c r="A16704" s="8" t="str">
        <f>IFERROR(__xludf.DUMMYFUNCTION("IF('(INGESTA)Datos_consumo_datadis'!A18269&lt;&gt;"""",SPLIT('(INGESTA)Datos_consumo_datadis'!A:A,"",""),"""")"),"")</f>
        <v/>
      </c>
      <c r="G16704" s="8" t="str">
        <f t="shared" si="1"/>
        <v/>
      </c>
      <c r="H16704" s="14" t="str">
        <f t="shared" si="2"/>
        <v/>
      </c>
      <c r="I16704" s="15" t="str">
        <f t="shared" si="3"/>
        <v/>
      </c>
    </row>
    <row r="16705">
      <c r="A16705" s="8" t="str">
        <f>IFERROR(__xludf.DUMMYFUNCTION("IF('(INGESTA)Datos_consumo_datadis'!A18270&lt;&gt;"""",SPLIT('(INGESTA)Datos_consumo_datadis'!A:A,"",""),"""")"),"")</f>
        <v/>
      </c>
      <c r="G16705" s="8" t="str">
        <f t="shared" si="1"/>
        <v/>
      </c>
      <c r="H16705" s="14" t="str">
        <f t="shared" si="2"/>
        <v/>
      </c>
      <c r="I16705" s="15" t="str">
        <f t="shared" si="3"/>
        <v/>
      </c>
    </row>
    <row r="16706">
      <c r="A16706" s="8" t="str">
        <f>IFERROR(__xludf.DUMMYFUNCTION("IF('(INGESTA)Datos_consumo_datadis'!A18271&lt;&gt;"""",SPLIT('(INGESTA)Datos_consumo_datadis'!A:A,"",""),"""")"),"")</f>
        <v/>
      </c>
      <c r="G16706" s="8" t="str">
        <f t="shared" si="1"/>
        <v/>
      </c>
      <c r="H16706" s="14" t="str">
        <f t="shared" si="2"/>
        <v/>
      </c>
      <c r="I16706" s="15" t="str">
        <f t="shared" si="3"/>
        <v/>
      </c>
    </row>
    <row r="16707">
      <c r="A16707" s="8" t="str">
        <f>IFERROR(__xludf.DUMMYFUNCTION("IF('(INGESTA)Datos_consumo_datadis'!A18272&lt;&gt;"""",SPLIT('(INGESTA)Datos_consumo_datadis'!A:A,"",""),"""")"),"")</f>
        <v/>
      </c>
      <c r="G16707" s="8" t="str">
        <f t="shared" si="1"/>
        <v/>
      </c>
      <c r="H16707" s="14" t="str">
        <f t="shared" si="2"/>
        <v/>
      </c>
      <c r="I16707" s="15" t="str">
        <f t="shared" si="3"/>
        <v/>
      </c>
    </row>
    <row r="16708">
      <c r="A16708" s="8" t="str">
        <f>IFERROR(__xludf.DUMMYFUNCTION("IF('(INGESTA)Datos_consumo_datadis'!A18273&lt;&gt;"""",SPLIT('(INGESTA)Datos_consumo_datadis'!A:A,"",""),"""")"),"")</f>
        <v/>
      </c>
      <c r="G16708" s="8" t="str">
        <f t="shared" si="1"/>
        <v/>
      </c>
      <c r="H16708" s="14" t="str">
        <f t="shared" si="2"/>
        <v/>
      </c>
      <c r="I16708" s="15" t="str">
        <f t="shared" si="3"/>
        <v/>
      </c>
    </row>
    <row r="16709">
      <c r="A16709" s="8" t="str">
        <f>IFERROR(__xludf.DUMMYFUNCTION("IF('(INGESTA)Datos_consumo_datadis'!A18274&lt;&gt;"""",SPLIT('(INGESTA)Datos_consumo_datadis'!A:A,"",""),"""")"),"")</f>
        <v/>
      </c>
      <c r="G16709" s="8" t="str">
        <f t="shared" si="1"/>
        <v/>
      </c>
      <c r="H16709" s="14" t="str">
        <f t="shared" si="2"/>
        <v/>
      </c>
      <c r="I16709" s="15" t="str">
        <f t="shared" si="3"/>
        <v/>
      </c>
    </row>
    <row r="16710">
      <c r="A16710" s="8" t="str">
        <f>IFERROR(__xludf.DUMMYFUNCTION("IF('(INGESTA)Datos_consumo_datadis'!A18275&lt;&gt;"""",SPLIT('(INGESTA)Datos_consumo_datadis'!A:A,"",""),"""")"),"")</f>
        <v/>
      </c>
      <c r="G16710" s="8" t="str">
        <f t="shared" si="1"/>
        <v/>
      </c>
      <c r="H16710" s="14" t="str">
        <f t="shared" si="2"/>
        <v/>
      </c>
      <c r="I16710" s="15" t="str">
        <f t="shared" si="3"/>
        <v/>
      </c>
    </row>
    <row r="16711">
      <c r="A16711" s="8" t="str">
        <f>IFERROR(__xludf.DUMMYFUNCTION("IF('(INGESTA)Datos_consumo_datadis'!A18276&lt;&gt;"""",SPLIT('(INGESTA)Datos_consumo_datadis'!A:A,"",""),"""")"),"")</f>
        <v/>
      </c>
      <c r="G16711" s="8" t="str">
        <f t="shared" si="1"/>
        <v/>
      </c>
      <c r="H16711" s="14" t="str">
        <f t="shared" si="2"/>
        <v/>
      </c>
      <c r="I16711" s="15" t="str">
        <f t="shared" si="3"/>
        <v/>
      </c>
    </row>
    <row r="16712">
      <c r="A16712" s="8" t="str">
        <f>IFERROR(__xludf.DUMMYFUNCTION("IF('(INGESTA)Datos_consumo_datadis'!A18277&lt;&gt;"""",SPLIT('(INGESTA)Datos_consumo_datadis'!A:A,"",""),"""")"),"")</f>
        <v/>
      </c>
      <c r="G16712" s="8" t="str">
        <f t="shared" si="1"/>
        <v/>
      </c>
      <c r="H16712" s="14" t="str">
        <f t="shared" si="2"/>
        <v/>
      </c>
      <c r="I16712" s="15" t="str">
        <f t="shared" si="3"/>
        <v/>
      </c>
    </row>
    <row r="16713">
      <c r="A16713" s="8" t="str">
        <f>IFERROR(__xludf.DUMMYFUNCTION("IF('(INGESTA)Datos_consumo_datadis'!A18278&lt;&gt;"""",SPLIT('(INGESTA)Datos_consumo_datadis'!A:A,"",""),"""")"),"")</f>
        <v/>
      </c>
      <c r="G16713" s="8" t="str">
        <f t="shared" si="1"/>
        <v/>
      </c>
      <c r="H16713" s="14" t="str">
        <f t="shared" si="2"/>
        <v/>
      </c>
      <c r="I16713" s="15" t="str">
        <f t="shared" si="3"/>
        <v/>
      </c>
    </row>
    <row r="16714">
      <c r="A16714" s="8" t="str">
        <f>IFERROR(__xludf.DUMMYFUNCTION("IF('(INGESTA)Datos_consumo_datadis'!A18279&lt;&gt;"""",SPLIT('(INGESTA)Datos_consumo_datadis'!A:A,"",""),"""")"),"")</f>
        <v/>
      </c>
      <c r="G16714" s="8" t="str">
        <f t="shared" si="1"/>
        <v/>
      </c>
      <c r="H16714" s="14" t="str">
        <f t="shared" si="2"/>
        <v/>
      </c>
      <c r="I16714" s="15" t="str">
        <f t="shared" si="3"/>
        <v/>
      </c>
    </row>
    <row r="16715">
      <c r="A16715" s="8" t="str">
        <f>IFERROR(__xludf.DUMMYFUNCTION("IF('(INGESTA)Datos_consumo_datadis'!A18280&lt;&gt;"""",SPLIT('(INGESTA)Datos_consumo_datadis'!A:A,"",""),"""")"),"")</f>
        <v/>
      </c>
      <c r="G16715" s="8" t="str">
        <f t="shared" si="1"/>
        <v/>
      </c>
      <c r="H16715" s="14" t="str">
        <f t="shared" si="2"/>
        <v/>
      </c>
      <c r="I16715" s="15" t="str">
        <f t="shared" si="3"/>
        <v/>
      </c>
    </row>
    <row r="16716">
      <c r="A16716" s="8" t="str">
        <f>IFERROR(__xludf.DUMMYFUNCTION("IF('(INGESTA)Datos_consumo_datadis'!A18281&lt;&gt;"""",SPLIT('(INGESTA)Datos_consumo_datadis'!A:A,"",""),"""")"),"")</f>
        <v/>
      </c>
      <c r="G16716" s="8" t="str">
        <f t="shared" si="1"/>
        <v/>
      </c>
      <c r="H16716" s="14" t="str">
        <f t="shared" si="2"/>
        <v/>
      </c>
      <c r="I16716" s="15" t="str">
        <f t="shared" si="3"/>
        <v/>
      </c>
    </row>
    <row r="16717">
      <c r="A16717" s="8" t="str">
        <f>IFERROR(__xludf.DUMMYFUNCTION("IF('(INGESTA)Datos_consumo_datadis'!A18282&lt;&gt;"""",SPLIT('(INGESTA)Datos_consumo_datadis'!A:A,"",""),"""")"),"")</f>
        <v/>
      </c>
      <c r="G16717" s="8" t="str">
        <f t="shared" si="1"/>
        <v/>
      </c>
      <c r="H16717" s="14" t="str">
        <f t="shared" si="2"/>
        <v/>
      </c>
      <c r="I16717" s="15" t="str">
        <f t="shared" si="3"/>
        <v/>
      </c>
    </row>
    <row r="16718">
      <c r="A16718" s="8" t="str">
        <f>IFERROR(__xludf.DUMMYFUNCTION("IF('(INGESTA)Datos_consumo_datadis'!A18283&lt;&gt;"""",SPLIT('(INGESTA)Datos_consumo_datadis'!A:A,"",""),"""")"),"")</f>
        <v/>
      </c>
      <c r="G16718" s="8" t="str">
        <f t="shared" si="1"/>
        <v/>
      </c>
      <c r="H16718" s="14" t="str">
        <f t="shared" si="2"/>
        <v/>
      </c>
      <c r="I16718" s="15" t="str">
        <f t="shared" si="3"/>
        <v/>
      </c>
    </row>
    <row r="16719">
      <c r="A16719" s="8" t="str">
        <f>IFERROR(__xludf.DUMMYFUNCTION("IF('(INGESTA)Datos_consumo_datadis'!A18284&lt;&gt;"""",SPLIT('(INGESTA)Datos_consumo_datadis'!A:A,"",""),"""")"),"")</f>
        <v/>
      </c>
      <c r="G16719" s="8" t="str">
        <f t="shared" si="1"/>
        <v/>
      </c>
      <c r="H16719" s="14" t="str">
        <f t="shared" si="2"/>
        <v/>
      </c>
      <c r="I16719" s="15" t="str">
        <f t="shared" si="3"/>
        <v/>
      </c>
    </row>
    <row r="16720">
      <c r="A16720" s="8" t="str">
        <f>IFERROR(__xludf.DUMMYFUNCTION("IF('(INGESTA)Datos_consumo_datadis'!A18285&lt;&gt;"""",SPLIT('(INGESTA)Datos_consumo_datadis'!A:A,"",""),"""")"),"")</f>
        <v/>
      </c>
      <c r="G16720" s="8" t="str">
        <f t="shared" si="1"/>
        <v/>
      </c>
      <c r="H16720" s="14" t="str">
        <f t="shared" si="2"/>
        <v/>
      </c>
      <c r="I16720" s="15" t="str">
        <f t="shared" si="3"/>
        <v/>
      </c>
    </row>
    <row r="16721">
      <c r="A16721" s="8" t="str">
        <f>IFERROR(__xludf.DUMMYFUNCTION("IF('(INGESTA)Datos_consumo_datadis'!A18286&lt;&gt;"""",SPLIT('(INGESTA)Datos_consumo_datadis'!A:A,"",""),"""")"),"")</f>
        <v/>
      </c>
      <c r="G16721" s="8" t="str">
        <f t="shared" si="1"/>
        <v/>
      </c>
      <c r="H16721" s="14" t="str">
        <f t="shared" si="2"/>
        <v/>
      </c>
      <c r="I16721" s="15" t="str">
        <f t="shared" si="3"/>
        <v/>
      </c>
    </row>
    <row r="16722">
      <c r="A16722" s="8" t="str">
        <f>IFERROR(__xludf.DUMMYFUNCTION("IF('(INGESTA)Datos_consumo_datadis'!A18287&lt;&gt;"""",SPLIT('(INGESTA)Datos_consumo_datadis'!A:A,"",""),"""")"),"")</f>
        <v/>
      </c>
      <c r="G16722" s="8" t="str">
        <f t="shared" si="1"/>
        <v/>
      </c>
      <c r="H16722" s="14" t="str">
        <f t="shared" si="2"/>
        <v/>
      </c>
      <c r="I16722" s="15" t="str">
        <f t="shared" si="3"/>
        <v/>
      </c>
    </row>
    <row r="16723">
      <c r="A16723" s="8" t="str">
        <f>IFERROR(__xludf.DUMMYFUNCTION("IF('(INGESTA)Datos_consumo_datadis'!A18288&lt;&gt;"""",SPLIT('(INGESTA)Datos_consumo_datadis'!A:A,"",""),"""")"),"")</f>
        <v/>
      </c>
      <c r="G16723" s="8" t="str">
        <f t="shared" si="1"/>
        <v/>
      </c>
      <c r="H16723" s="14" t="str">
        <f t="shared" si="2"/>
        <v/>
      </c>
      <c r="I16723" s="15" t="str">
        <f t="shared" si="3"/>
        <v/>
      </c>
    </row>
    <row r="16724">
      <c r="A16724" s="8" t="str">
        <f>IFERROR(__xludf.DUMMYFUNCTION("IF('(INGESTA)Datos_consumo_datadis'!A18289&lt;&gt;"""",SPLIT('(INGESTA)Datos_consumo_datadis'!A:A,"",""),"""")"),"")</f>
        <v/>
      </c>
      <c r="G16724" s="8" t="str">
        <f t="shared" si="1"/>
        <v/>
      </c>
      <c r="H16724" s="14" t="str">
        <f t="shared" si="2"/>
        <v/>
      </c>
      <c r="I16724" s="15" t="str">
        <f t="shared" si="3"/>
        <v/>
      </c>
    </row>
    <row r="16725">
      <c r="A16725" s="8" t="str">
        <f>IFERROR(__xludf.DUMMYFUNCTION("IF('(INGESTA)Datos_consumo_datadis'!A18290&lt;&gt;"""",SPLIT('(INGESTA)Datos_consumo_datadis'!A:A,"",""),"""")"),"")</f>
        <v/>
      </c>
      <c r="G16725" s="8" t="str">
        <f t="shared" si="1"/>
        <v/>
      </c>
      <c r="H16725" s="14" t="str">
        <f t="shared" si="2"/>
        <v/>
      </c>
      <c r="I16725" s="15" t="str">
        <f t="shared" si="3"/>
        <v/>
      </c>
    </row>
    <row r="16726">
      <c r="A16726" s="8" t="str">
        <f>IFERROR(__xludf.DUMMYFUNCTION("IF('(INGESTA)Datos_consumo_datadis'!A18291&lt;&gt;"""",SPLIT('(INGESTA)Datos_consumo_datadis'!A:A,"",""),"""")"),"")</f>
        <v/>
      </c>
      <c r="G16726" s="8" t="str">
        <f t="shared" si="1"/>
        <v/>
      </c>
      <c r="H16726" s="14" t="str">
        <f t="shared" si="2"/>
        <v/>
      </c>
      <c r="I16726" s="15" t="str">
        <f t="shared" si="3"/>
        <v/>
      </c>
    </row>
    <row r="16727">
      <c r="A16727" s="8" t="str">
        <f>IFERROR(__xludf.DUMMYFUNCTION("IF('(INGESTA)Datos_consumo_datadis'!A18292&lt;&gt;"""",SPLIT('(INGESTA)Datos_consumo_datadis'!A:A,"",""),"""")"),"")</f>
        <v/>
      </c>
      <c r="G16727" s="8" t="str">
        <f t="shared" si="1"/>
        <v/>
      </c>
      <c r="H16727" s="14" t="str">
        <f t="shared" si="2"/>
        <v/>
      </c>
      <c r="I16727" s="15" t="str">
        <f t="shared" si="3"/>
        <v/>
      </c>
    </row>
    <row r="16728">
      <c r="A16728" s="8" t="str">
        <f>IFERROR(__xludf.DUMMYFUNCTION("IF('(INGESTA)Datos_consumo_datadis'!A18293&lt;&gt;"""",SPLIT('(INGESTA)Datos_consumo_datadis'!A:A,"",""),"""")"),"")</f>
        <v/>
      </c>
      <c r="G16728" s="8" t="str">
        <f t="shared" si="1"/>
        <v/>
      </c>
      <c r="H16728" s="14" t="str">
        <f t="shared" si="2"/>
        <v/>
      </c>
      <c r="I16728" s="15" t="str">
        <f t="shared" si="3"/>
        <v/>
      </c>
    </row>
    <row r="16729">
      <c r="A16729" s="8" t="str">
        <f>IFERROR(__xludf.DUMMYFUNCTION("IF('(INGESTA)Datos_consumo_datadis'!A18294&lt;&gt;"""",SPLIT('(INGESTA)Datos_consumo_datadis'!A:A,"",""),"""")"),"")</f>
        <v/>
      </c>
      <c r="G16729" s="8" t="str">
        <f t="shared" si="1"/>
        <v/>
      </c>
      <c r="H16729" s="14" t="str">
        <f t="shared" si="2"/>
        <v/>
      </c>
      <c r="I16729" s="15" t="str">
        <f t="shared" si="3"/>
        <v/>
      </c>
    </row>
    <row r="16730">
      <c r="A16730" s="8" t="str">
        <f>IFERROR(__xludf.DUMMYFUNCTION("IF('(INGESTA)Datos_consumo_datadis'!A18295&lt;&gt;"""",SPLIT('(INGESTA)Datos_consumo_datadis'!A:A,"",""),"""")"),"")</f>
        <v/>
      </c>
      <c r="G16730" s="8" t="str">
        <f t="shared" si="1"/>
        <v/>
      </c>
      <c r="H16730" s="14" t="str">
        <f t="shared" si="2"/>
        <v/>
      </c>
      <c r="I16730" s="15" t="str">
        <f t="shared" si="3"/>
        <v/>
      </c>
    </row>
    <row r="16731">
      <c r="A16731" s="8" t="str">
        <f>IFERROR(__xludf.DUMMYFUNCTION("IF('(INGESTA)Datos_consumo_datadis'!A18296&lt;&gt;"""",SPLIT('(INGESTA)Datos_consumo_datadis'!A:A,"",""),"""")"),"")</f>
        <v/>
      </c>
      <c r="G16731" s="8" t="str">
        <f t="shared" si="1"/>
        <v/>
      </c>
      <c r="H16731" s="14" t="str">
        <f t="shared" si="2"/>
        <v/>
      </c>
      <c r="I16731" s="15" t="str">
        <f t="shared" si="3"/>
        <v/>
      </c>
    </row>
    <row r="16732">
      <c r="A16732" s="8" t="str">
        <f>IFERROR(__xludf.DUMMYFUNCTION("IF('(INGESTA)Datos_consumo_datadis'!A18297&lt;&gt;"""",SPLIT('(INGESTA)Datos_consumo_datadis'!A:A,"",""),"""")"),"")</f>
        <v/>
      </c>
      <c r="G16732" s="8" t="str">
        <f t="shared" si="1"/>
        <v/>
      </c>
      <c r="H16732" s="14" t="str">
        <f t="shared" si="2"/>
        <v/>
      </c>
      <c r="I16732" s="15" t="str">
        <f t="shared" si="3"/>
        <v/>
      </c>
    </row>
    <row r="16733">
      <c r="A16733" s="8" t="str">
        <f>IFERROR(__xludf.DUMMYFUNCTION("IF('(INGESTA)Datos_consumo_datadis'!A18298&lt;&gt;"""",SPLIT('(INGESTA)Datos_consumo_datadis'!A:A,"",""),"""")"),"")</f>
        <v/>
      </c>
      <c r="G16733" s="8" t="str">
        <f t="shared" si="1"/>
        <v/>
      </c>
      <c r="H16733" s="14" t="str">
        <f t="shared" si="2"/>
        <v/>
      </c>
      <c r="I16733" s="15" t="str">
        <f t="shared" si="3"/>
        <v/>
      </c>
    </row>
    <row r="16734">
      <c r="A16734" s="8" t="str">
        <f>IFERROR(__xludf.DUMMYFUNCTION("IF('(INGESTA)Datos_consumo_datadis'!A18299&lt;&gt;"""",SPLIT('(INGESTA)Datos_consumo_datadis'!A:A,"",""),"""")"),"")</f>
        <v/>
      </c>
      <c r="G16734" s="8" t="str">
        <f t="shared" si="1"/>
        <v/>
      </c>
      <c r="H16734" s="14" t="str">
        <f t="shared" si="2"/>
        <v/>
      </c>
      <c r="I16734" s="15" t="str">
        <f t="shared" si="3"/>
        <v/>
      </c>
    </row>
    <row r="16735">
      <c r="A16735" s="8" t="str">
        <f>IFERROR(__xludf.DUMMYFUNCTION("IF('(INGESTA)Datos_consumo_datadis'!A18300&lt;&gt;"""",SPLIT('(INGESTA)Datos_consumo_datadis'!A:A,"",""),"""")"),"")</f>
        <v/>
      </c>
      <c r="G16735" s="8" t="str">
        <f t="shared" si="1"/>
        <v/>
      </c>
      <c r="H16735" s="14" t="str">
        <f t="shared" si="2"/>
        <v/>
      </c>
      <c r="I16735" s="15" t="str">
        <f t="shared" si="3"/>
        <v/>
      </c>
    </row>
    <row r="16736">
      <c r="A16736" s="8" t="str">
        <f>IFERROR(__xludf.DUMMYFUNCTION("IF('(INGESTA)Datos_consumo_datadis'!A18301&lt;&gt;"""",SPLIT('(INGESTA)Datos_consumo_datadis'!A:A,"",""),"""")"),"")</f>
        <v/>
      </c>
      <c r="G16736" s="8" t="str">
        <f t="shared" si="1"/>
        <v/>
      </c>
      <c r="H16736" s="14" t="str">
        <f t="shared" si="2"/>
        <v/>
      </c>
      <c r="I16736" s="15" t="str">
        <f t="shared" si="3"/>
        <v/>
      </c>
    </row>
    <row r="16737">
      <c r="A16737" s="8" t="str">
        <f>IFERROR(__xludf.DUMMYFUNCTION("IF('(INGESTA)Datos_consumo_datadis'!A18302&lt;&gt;"""",SPLIT('(INGESTA)Datos_consumo_datadis'!A:A,"",""),"""")"),"")</f>
        <v/>
      </c>
      <c r="G16737" s="8" t="str">
        <f t="shared" si="1"/>
        <v/>
      </c>
      <c r="H16737" s="14" t="str">
        <f t="shared" si="2"/>
        <v/>
      </c>
      <c r="I16737" s="15" t="str">
        <f t="shared" si="3"/>
        <v/>
      </c>
    </row>
    <row r="16738">
      <c r="A16738" s="8" t="str">
        <f>IFERROR(__xludf.DUMMYFUNCTION("IF('(INGESTA)Datos_consumo_datadis'!A18303&lt;&gt;"""",SPLIT('(INGESTA)Datos_consumo_datadis'!A:A,"",""),"""")"),"")</f>
        <v/>
      </c>
      <c r="G16738" s="8" t="str">
        <f t="shared" si="1"/>
        <v/>
      </c>
      <c r="H16738" s="14" t="str">
        <f t="shared" si="2"/>
        <v/>
      </c>
      <c r="I16738" s="15" t="str">
        <f t="shared" si="3"/>
        <v/>
      </c>
    </row>
    <row r="16739">
      <c r="A16739" s="8" t="str">
        <f>IFERROR(__xludf.DUMMYFUNCTION("IF('(INGESTA)Datos_consumo_datadis'!A18304&lt;&gt;"""",SPLIT('(INGESTA)Datos_consumo_datadis'!A:A,"",""),"""")"),"")</f>
        <v/>
      </c>
      <c r="G16739" s="8" t="str">
        <f t="shared" si="1"/>
        <v/>
      </c>
      <c r="H16739" s="14" t="str">
        <f t="shared" si="2"/>
        <v/>
      </c>
      <c r="I16739" s="15" t="str">
        <f t="shared" si="3"/>
        <v/>
      </c>
    </row>
    <row r="16740">
      <c r="A16740" s="8" t="str">
        <f>IFERROR(__xludf.DUMMYFUNCTION("IF('(INGESTA)Datos_consumo_datadis'!A18305&lt;&gt;"""",SPLIT('(INGESTA)Datos_consumo_datadis'!A:A,"",""),"""")"),"")</f>
        <v/>
      </c>
      <c r="G16740" s="8" t="str">
        <f t="shared" si="1"/>
        <v/>
      </c>
      <c r="H16740" s="14" t="str">
        <f t="shared" si="2"/>
        <v/>
      </c>
      <c r="I16740" s="15" t="str">
        <f t="shared" si="3"/>
        <v/>
      </c>
    </row>
    <row r="16741">
      <c r="A16741" s="8" t="str">
        <f>IFERROR(__xludf.DUMMYFUNCTION("IF('(INGESTA)Datos_consumo_datadis'!A18306&lt;&gt;"""",SPLIT('(INGESTA)Datos_consumo_datadis'!A:A,"",""),"""")"),"")</f>
        <v/>
      </c>
      <c r="G16741" s="8" t="str">
        <f t="shared" si="1"/>
        <v/>
      </c>
      <c r="H16741" s="14" t="str">
        <f t="shared" si="2"/>
        <v/>
      </c>
      <c r="I16741" s="15" t="str">
        <f t="shared" si="3"/>
        <v/>
      </c>
    </row>
    <row r="16742">
      <c r="A16742" s="8" t="str">
        <f>IFERROR(__xludf.DUMMYFUNCTION("IF('(INGESTA)Datos_consumo_datadis'!A18307&lt;&gt;"""",SPLIT('(INGESTA)Datos_consumo_datadis'!A:A,"",""),"""")"),"")</f>
        <v/>
      </c>
      <c r="G16742" s="8" t="str">
        <f t="shared" si="1"/>
        <v/>
      </c>
      <c r="H16742" s="14" t="str">
        <f t="shared" si="2"/>
        <v/>
      </c>
      <c r="I16742" s="15" t="str">
        <f t="shared" si="3"/>
        <v/>
      </c>
    </row>
    <row r="16743">
      <c r="A16743" s="8" t="str">
        <f>IFERROR(__xludf.DUMMYFUNCTION("IF('(INGESTA)Datos_consumo_datadis'!A18308&lt;&gt;"""",SPLIT('(INGESTA)Datos_consumo_datadis'!A:A,"",""),"""")"),"")</f>
        <v/>
      </c>
      <c r="G16743" s="8" t="str">
        <f t="shared" si="1"/>
        <v/>
      </c>
      <c r="H16743" s="14" t="str">
        <f t="shared" si="2"/>
        <v/>
      </c>
      <c r="I16743" s="15" t="str">
        <f t="shared" si="3"/>
        <v/>
      </c>
    </row>
    <row r="16744">
      <c r="A16744" s="8" t="str">
        <f>IFERROR(__xludf.DUMMYFUNCTION("IF('(INGESTA)Datos_consumo_datadis'!A18309&lt;&gt;"""",SPLIT('(INGESTA)Datos_consumo_datadis'!A:A,"",""),"""")"),"")</f>
        <v/>
      </c>
      <c r="G16744" s="8" t="str">
        <f t="shared" si="1"/>
        <v/>
      </c>
      <c r="H16744" s="14" t="str">
        <f t="shared" si="2"/>
        <v/>
      </c>
      <c r="I16744" s="15" t="str">
        <f t="shared" si="3"/>
        <v/>
      </c>
    </row>
    <row r="16745">
      <c r="A16745" s="8" t="str">
        <f>IFERROR(__xludf.DUMMYFUNCTION("IF('(INGESTA)Datos_consumo_datadis'!A18310&lt;&gt;"""",SPLIT('(INGESTA)Datos_consumo_datadis'!A:A,"",""),"""")"),"")</f>
        <v/>
      </c>
      <c r="G16745" s="8" t="str">
        <f t="shared" si="1"/>
        <v/>
      </c>
      <c r="H16745" s="14" t="str">
        <f t="shared" si="2"/>
        <v/>
      </c>
      <c r="I16745" s="15" t="str">
        <f t="shared" si="3"/>
        <v/>
      </c>
    </row>
    <row r="16746">
      <c r="A16746" s="8" t="str">
        <f>IFERROR(__xludf.DUMMYFUNCTION("IF('(INGESTA)Datos_consumo_datadis'!A18311&lt;&gt;"""",SPLIT('(INGESTA)Datos_consumo_datadis'!A:A,"",""),"""")"),"")</f>
        <v/>
      </c>
      <c r="G16746" s="8" t="str">
        <f t="shared" si="1"/>
        <v/>
      </c>
      <c r="H16746" s="14" t="str">
        <f t="shared" si="2"/>
        <v/>
      </c>
      <c r="I16746" s="15" t="str">
        <f t="shared" si="3"/>
        <v/>
      </c>
    </row>
    <row r="16747">
      <c r="A16747" s="8" t="str">
        <f>IFERROR(__xludf.DUMMYFUNCTION("IF('(INGESTA)Datos_consumo_datadis'!A18312&lt;&gt;"""",SPLIT('(INGESTA)Datos_consumo_datadis'!A:A,"",""),"""")"),"")</f>
        <v/>
      </c>
      <c r="G16747" s="8" t="str">
        <f t="shared" si="1"/>
        <v/>
      </c>
      <c r="H16747" s="14" t="str">
        <f t="shared" si="2"/>
        <v/>
      </c>
      <c r="I16747" s="15" t="str">
        <f t="shared" si="3"/>
        <v/>
      </c>
    </row>
    <row r="16748">
      <c r="A16748" s="8" t="str">
        <f>IFERROR(__xludf.DUMMYFUNCTION("IF('(INGESTA)Datos_consumo_datadis'!A18313&lt;&gt;"""",SPLIT('(INGESTA)Datos_consumo_datadis'!A:A,"",""),"""")"),"")</f>
        <v/>
      </c>
      <c r="G16748" s="8" t="str">
        <f t="shared" si="1"/>
        <v/>
      </c>
      <c r="H16748" s="14" t="str">
        <f t="shared" si="2"/>
        <v/>
      </c>
      <c r="I16748" s="15" t="str">
        <f t="shared" si="3"/>
        <v/>
      </c>
    </row>
    <row r="16749">
      <c r="A16749" s="8" t="str">
        <f>IFERROR(__xludf.DUMMYFUNCTION("IF('(INGESTA)Datos_consumo_datadis'!A18314&lt;&gt;"""",SPLIT('(INGESTA)Datos_consumo_datadis'!A:A,"",""),"""")"),"")</f>
        <v/>
      </c>
      <c r="G16749" s="8" t="str">
        <f t="shared" si="1"/>
        <v/>
      </c>
      <c r="H16749" s="14" t="str">
        <f t="shared" si="2"/>
        <v/>
      </c>
      <c r="I16749" s="15" t="str">
        <f t="shared" si="3"/>
        <v/>
      </c>
    </row>
    <row r="16750">
      <c r="A16750" s="8" t="str">
        <f>IFERROR(__xludf.DUMMYFUNCTION("IF('(INGESTA)Datos_consumo_datadis'!A18315&lt;&gt;"""",SPLIT('(INGESTA)Datos_consumo_datadis'!A:A,"",""),"""")"),"")</f>
        <v/>
      </c>
      <c r="G16750" s="8" t="str">
        <f t="shared" si="1"/>
        <v/>
      </c>
      <c r="H16750" s="14" t="str">
        <f t="shared" si="2"/>
        <v/>
      </c>
      <c r="I16750" s="15" t="str">
        <f t="shared" si="3"/>
        <v/>
      </c>
    </row>
    <row r="16751">
      <c r="A16751" s="8" t="str">
        <f>IFERROR(__xludf.DUMMYFUNCTION("IF('(INGESTA)Datos_consumo_datadis'!A18316&lt;&gt;"""",SPLIT('(INGESTA)Datos_consumo_datadis'!A:A,"",""),"""")"),"")</f>
        <v/>
      </c>
      <c r="G16751" s="8" t="str">
        <f t="shared" si="1"/>
        <v/>
      </c>
      <c r="H16751" s="14" t="str">
        <f t="shared" si="2"/>
        <v/>
      </c>
      <c r="I16751" s="15" t="str">
        <f t="shared" si="3"/>
        <v/>
      </c>
    </row>
    <row r="16752">
      <c r="A16752" s="8" t="str">
        <f>IFERROR(__xludf.DUMMYFUNCTION("IF('(INGESTA)Datos_consumo_datadis'!A18317&lt;&gt;"""",SPLIT('(INGESTA)Datos_consumo_datadis'!A:A,"",""),"""")"),"")</f>
        <v/>
      </c>
      <c r="G16752" s="8" t="str">
        <f t="shared" si="1"/>
        <v/>
      </c>
      <c r="H16752" s="14" t="str">
        <f t="shared" si="2"/>
        <v/>
      </c>
      <c r="I16752" s="15" t="str">
        <f t="shared" si="3"/>
        <v/>
      </c>
    </row>
    <row r="16753">
      <c r="A16753" s="8" t="str">
        <f>IFERROR(__xludf.DUMMYFUNCTION("IF('(INGESTA)Datos_consumo_datadis'!A18318&lt;&gt;"""",SPLIT('(INGESTA)Datos_consumo_datadis'!A:A,"",""),"""")"),"")</f>
        <v/>
      </c>
      <c r="G16753" s="8" t="str">
        <f t="shared" si="1"/>
        <v/>
      </c>
      <c r="H16753" s="14" t="str">
        <f t="shared" si="2"/>
        <v/>
      </c>
      <c r="I16753" s="15" t="str">
        <f t="shared" si="3"/>
        <v/>
      </c>
    </row>
    <row r="16754">
      <c r="A16754" s="8" t="str">
        <f>IFERROR(__xludf.DUMMYFUNCTION("IF('(INGESTA)Datos_consumo_datadis'!A18319&lt;&gt;"""",SPLIT('(INGESTA)Datos_consumo_datadis'!A:A,"",""),"""")"),"")</f>
        <v/>
      </c>
      <c r="G16754" s="8" t="str">
        <f t="shared" si="1"/>
        <v/>
      </c>
      <c r="H16754" s="14" t="str">
        <f t="shared" si="2"/>
        <v/>
      </c>
      <c r="I16754" s="15" t="str">
        <f t="shared" si="3"/>
        <v/>
      </c>
    </row>
    <row r="16755">
      <c r="A16755" s="8" t="str">
        <f>IFERROR(__xludf.DUMMYFUNCTION("IF('(INGESTA)Datos_consumo_datadis'!A18320&lt;&gt;"""",SPLIT('(INGESTA)Datos_consumo_datadis'!A:A,"",""),"""")"),"")</f>
        <v/>
      </c>
      <c r="G16755" s="8" t="str">
        <f t="shared" si="1"/>
        <v/>
      </c>
      <c r="H16755" s="14" t="str">
        <f t="shared" si="2"/>
        <v/>
      </c>
      <c r="I16755" s="15" t="str">
        <f t="shared" si="3"/>
        <v/>
      </c>
    </row>
    <row r="16756">
      <c r="A16756" s="8" t="str">
        <f>IFERROR(__xludf.DUMMYFUNCTION("IF('(INGESTA)Datos_consumo_datadis'!A18321&lt;&gt;"""",SPLIT('(INGESTA)Datos_consumo_datadis'!A:A,"",""),"""")"),"")</f>
        <v/>
      </c>
      <c r="G16756" s="8" t="str">
        <f t="shared" si="1"/>
        <v/>
      </c>
      <c r="H16756" s="14" t="str">
        <f t="shared" si="2"/>
        <v/>
      </c>
      <c r="I16756" s="15" t="str">
        <f t="shared" si="3"/>
        <v/>
      </c>
    </row>
    <row r="16757">
      <c r="A16757" s="8" t="str">
        <f>IFERROR(__xludf.DUMMYFUNCTION("IF('(INGESTA)Datos_consumo_datadis'!A18322&lt;&gt;"""",SPLIT('(INGESTA)Datos_consumo_datadis'!A:A,"",""),"""")"),"")</f>
        <v/>
      </c>
      <c r="G16757" s="8" t="str">
        <f t="shared" si="1"/>
        <v/>
      </c>
      <c r="H16757" s="14" t="str">
        <f t="shared" si="2"/>
        <v/>
      </c>
      <c r="I16757" s="15" t="str">
        <f t="shared" si="3"/>
        <v/>
      </c>
    </row>
    <row r="16758">
      <c r="A16758" s="8" t="str">
        <f>IFERROR(__xludf.DUMMYFUNCTION("IF('(INGESTA)Datos_consumo_datadis'!A18323&lt;&gt;"""",SPLIT('(INGESTA)Datos_consumo_datadis'!A:A,"",""),"""")"),"")</f>
        <v/>
      </c>
      <c r="G16758" s="8" t="str">
        <f t="shared" si="1"/>
        <v/>
      </c>
      <c r="H16758" s="14" t="str">
        <f t="shared" si="2"/>
        <v/>
      </c>
      <c r="I16758" s="15" t="str">
        <f t="shared" si="3"/>
        <v/>
      </c>
    </row>
    <row r="16759">
      <c r="A16759" s="8" t="str">
        <f>IFERROR(__xludf.DUMMYFUNCTION("IF('(INGESTA)Datos_consumo_datadis'!A18324&lt;&gt;"""",SPLIT('(INGESTA)Datos_consumo_datadis'!A:A,"",""),"""")"),"")</f>
        <v/>
      </c>
      <c r="G16759" s="8" t="str">
        <f t="shared" si="1"/>
        <v/>
      </c>
      <c r="H16759" s="14" t="str">
        <f t="shared" si="2"/>
        <v/>
      </c>
      <c r="I16759" s="15" t="str">
        <f t="shared" si="3"/>
        <v/>
      </c>
    </row>
    <row r="16760">
      <c r="A16760" s="8" t="str">
        <f>IFERROR(__xludf.DUMMYFUNCTION("IF('(INGESTA)Datos_consumo_datadis'!A18325&lt;&gt;"""",SPLIT('(INGESTA)Datos_consumo_datadis'!A:A,"",""),"""")"),"")</f>
        <v/>
      </c>
      <c r="G16760" s="8" t="str">
        <f t="shared" si="1"/>
        <v/>
      </c>
      <c r="H16760" s="14" t="str">
        <f t="shared" si="2"/>
        <v/>
      </c>
      <c r="I16760" s="15" t="str">
        <f t="shared" si="3"/>
        <v/>
      </c>
    </row>
    <row r="16761">
      <c r="A16761" s="8" t="str">
        <f>IFERROR(__xludf.DUMMYFUNCTION("IF('(INGESTA)Datos_consumo_datadis'!A18326&lt;&gt;"""",SPLIT('(INGESTA)Datos_consumo_datadis'!A:A,"",""),"""")"),"")</f>
        <v/>
      </c>
      <c r="G16761" s="8" t="str">
        <f t="shared" si="1"/>
        <v/>
      </c>
      <c r="H16761" s="14" t="str">
        <f t="shared" si="2"/>
        <v/>
      </c>
      <c r="I16761" s="15" t="str">
        <f t="shared" si="3"/>
        <v/>
      </c>
    </row>
    <row r="16762">
      <c r="A16762" s="8" t="str">
        <f>IFERROR(__xludf.DUMMYFUNCTION("IF('(INGESTA)Datos_consumo_datadis'!A18327&lt;&gt;"""",SPLIT('(INGESTA)Datos_consumo_datadis'!A:A,"",""),"""")"),"")</f>
        <v/>
      </c>
      <c r="G16762" s="8" t="str">
        <f t="shared" si="1"/>
        <v/>
      </c>
      <c r="H16762" s="14" t="str">
        <f t="shared" si="2"/>
        <v/>
      </c>
      <c r="I16762" s="15" t="str">
        <f t="shared" si="3"/>
        <v/>
      </c>
    </row>
    <row r="16763">
      <c r="A16763" s="8" t="str">
        <f>IFERROR(__xludf.DUMMYFUNCTION("IF('(INGESTA)Datos_consumo_datadis'!A18328&lt;&gt;"""",SPLIT('(INGESTA)Datos_consumo_datadis'!A:A,"",""),"""")"),"")</f>
        <v/>
      </c>
      <c r="G16763" s="8" t="str">
        <f t="shared" si="1"/>
        <v/>
      </c>
      <c r="H16763" s="14" t="str">
        <f t="shared" si="2"/>
        <v/>
      </c>
      <c r="I16763" s="15" t="str">
        <f t="shared" si="3"/>
        <v/>
      </c>
    </row>
    <row r="16764">
      <c r="A16764" s="8" t="str">
        <f>IFERROR(__xludf.DUMMYFUNCTION("IF('(INGESTA)Datos_consumo_datadis'!A18329&lt;&gt;"""",SPLIT('(INGESTA)Datos_consumo_datadis'!A:A,"",""),"""")"),"")</f>
        <v/>
      </c>
      <c r="G16764" s="8" t="str">
        <f t="shared" si="1"/>
        <v/>
      </c>
      <c r="H16764" s="14" t="str">
        <f t="shared" si="2"/>
        <v/>
      </c>
      <c r="I16764" s="15" t="str">
        <f t="shared" si="3"/>
        <v/>
      </c>
    </row>
    <row r="16765">
      <c r="A16765" s="8" t="str">
        <f>IFERROR(__xludf.DUMMYFUNCTION("IF('(INGESTA)Datos_consumo_datadis'!A18330&lt;&gt;"""",SPLIT('(INGESTA)Datos_consumo_datadis'!A:A,"",""),"""")"),"")</f>
        <v/>
      </c>
      <c r="G16765" s="8" t="str">
        <f t="shared" si="1"/>
        <v/>
      </c>
      <c r="H16765" s="14" t="str">
        <f t="shared" si="2"/>
        <v/>
      </c>
      <c r="I16765" s="15" t="str">
        <f t="shared" si="3"/>
        <v/>
      </c>
    </row>
    <row r="16766">
      <c r="A16766" s="8" t="str">
        <f>IFERROR(__xludf.DUMMYFUNCTION("IF('(INGESTA)Datos_consumo_datadis'!A18331&lt;&gt;"""",SPLIT('(INGESTA)Datos_consumo_datadis'!A:A,"",""),"""")"),"")</f>
        <v/>
      </c>
      <c r="G16766" s="8" t="str">
        <f t="shared" si="1"/>
        <v/>
      </c>
      <c r="H16766" s="14" t="str">
        <f t="shared" si="2"/>
        <v/>
      </c>
      <c r="I16766" s="15" t="str">
        <f t="shared" si="3"/>
        <v/>
      </c>
    </row>
    <row r="16767">
      <c r="A16767" s="8" t="str">
        <f>IFERROR(__xludf.DUMMYFUNCTION("IF('(INGESTA)Datos_consumo_datadis'!A18332&lt;&gt;"""",SPLIT('(INGESTA)Datos_consumo_datadis'!A:A,"",""),"""")"),"")</f>
        <v/>
      </c>
      <c r="G16767" s="8" t="str">
        <f t="shared" si="1"/>
        <v/>
      </c>
      <c r="H16767" s="14" t="str">
        <f t="shared" si="2"/>
        <v/>
      </c>
      <c r="I16767" s="15" t="str">
        <f t="shared" si="3"/>
        <v/>
      </c>
    </row>
    <row r="16768">
      <c r="A16768" s="8" t="str">
        <f>IFERROR(__xludf.DUMMYFUNCTION("IF('(INGESTA)Datos_consumo_datadis'!A18333&lt;&gt;"""",SPLIT('(INGESTA)Datos_consumo_datadis'!A:A,"",""),"""")"),"")</f>
        <v/>
      </c>
      <c r="G16768" s="8" t="str">
        <f t="shared" si="1"/>
        <v/>
      </c>
      <c r="H16768" s="14" t="str">
        <f t="shared" si="2"/>
        <v/>
      </c>
      <c r="I16768" s="15" t="str">
        <f t="shared" si="3"/>
        <v/>
      </c>
    </row>
    <row r="16769">
      <c r="A16769" s="8" t="str">
        <f>IFERROR(__xludf.DUMMYFUNCTION("IF('(INGESTA)Datos_consumo_datadis'!A18334&lt;&gt;"""",SPLIT('(INGESTA)Datos_consumo_datadis'!A:A,"",""),"""")"),"")</f>
        <v/>
      </c>
      <c r="G16769" s="8" t="str">
        <f t="shared" si="1"/>
        <v/>
      </c>
      <c r="H16769" s="14" t="str">
        <f t="shared" si="2"/>
        <v/>
      </c>
      <c r="I16769" s="15" t="str">
        <f t="shared" si="3"/>
        <v/>
      </c>
    </row>
    <row r="16770">
      <c r="A16770" s="8" t="str">
        <f>IFERROR(__xludf.DUMMYFUNCTION("IF('(INGESTA)Datos_consumo_datadis'!A18335&lt;&gt;"""",SPLIT('(INGESTA)Datos_consumo_datadis'!A:A,"",""),"""")"),"")</f>
        <v/>
      </c>
      <c r="G16770" s="8" t="str">
        <f t="shared" si="1"/>
        <v/>
      </c>
      <c r="H16770" s="14" t="str">
        <f t="shared" si="2"/>
        <v/>
      </c>
      <c r="I16770" s="15" t="str">
        <f t="shared" si="3"/>
        <v/>
      </c>
    </row>
    <row r="16771">
      <c r="A16771" s="8" t="str">
        <f>IFERROR(__xludf.DUMMYFUNCTION("IF('(INGESTA)Datos_consumo_datadis'!A18336&lt;&gt;"""",SPLIT('(INGESTA)Datos_consumo_datadis'!A:A,"",""),"""")"),"")</f>
        <v/>
      </c>
      <c r="G16771" s="8" t="str">
        <f t="shared" si="1"/>
        <v/>
      </c>
      <c r="H16771" s="14" t="str">
        <f t="shared" si="2"/>
        <v/>
      </c>
      <c r="I16771" s="15" t="str">
        <f t="shared" si="3"/>
        <v/>
      </c>
    </row>
    <row r="16772">
      <c r="A16772" s="8" t="str">
        <f>IFERROR(__xludf.DUMMYFUNCTION("IF('(INGESTA)Datos_consumo_datadis'!A18337&lt;&gt;"""",SPLIT('(INGESTA)Datos_consumo_datadis'!A:A,"",""),"""")"),"")</f>
        <v/>
      </c>
      <c r="G16772" s="8" t="str">
        <f t="shared" si="1"/>
        <v/>
      </c>
      <c r="H16772" s="14" t="str">
        <f t="shared" si="2"/>
        <v/>
      </c>
      <c r="I16772" s="15" t="str">
        <f t="shared" si="3"/>
        <v/>
      </c>
    </row>
    <row r="16773">
      <c r="A16773" s="8" t="str">
        <f>IFERROR(__xludf.DUMMYFUNCTION("IF('(INGESTA)Datos_consumo_datadis'!A18338&lt;&gt;"""",SPLIT('(INGESTA)Datos_consumo_datadis'!A:A,"",""),"""")"),"")</f>
        <v/>
      </c>
      <c r="G16773" s="8" t="str">
        <f t="shared" si="1"/>
        <v/>
      </c>
      <c r="H16773" s="14" t="str">
        <f t="shared" si="2"/>
        <v/>
      </c>
      <c r="I16773" s="15" t="str">
        <f t="shared" si="3"/>
        <v/>
      </c>
    </row>
    <row r="16774">
      <c r="A16774" s="8" t="str">
        <f>IFERROR(__xludf.DUMMYFUNCTION("IF('(INGESTA)Datos_consumo_datadis'!A18339&lt;&gt;"""",SPLIT('(INGESTA)Datos_consumo_datadis'!A:A,"",""),"""")"),"")</f>
        <v/>
      </c>
      <c r="G16774" s="8" t="str">
        <f t="shared" si="1"/>
        <v/>
      </c>
      <c r="H16774" s="14" t="str">
        <f t="shared" si="2"/>
        <v/>
      </c>
      <c r="I16774" s="15" t="str">
        <f t="shared" si="3"/>
        <v/>
      </c>
    </row>
    <row r="16775">
      <c r="A16775" s="8" t="str">
        <f>IFERROR(__xludf.DUMMYFUNCTION("IF('(INGESTA)Datos_consumo_datadis'!A18340&lt;&gt;"""",SPLIT('(INGESTA)Datos_consumo_datadis'!A:A,"",""),"""")"),"")</f>
        <v/>
      </c>
      <c r="G16775" s="8" t="str">
        <f t="shared" si="1"/>
        <v/>
      </c>
      <c r="H16775" s="14" t="str">
        <f t="shared" si="2"/>
        <v/>
      </c>
      <c r="I16775" s="15" t="str">
        <f t="shared" si="3"/>
        <v/>
      </c>
    </row>
    <row r="16776">
      <c r="A16776" s="8" t="str">
        <f>IFERROR(__xludf.DUMMYFUNCTION("IF('(INGESTA)Datos_consumo_datadis'!A18341&lt;&gt;"""",SPLIT('(INGESTA)Datos_consumo_datadis'!A:A,"",""),"""")"),"")</f>
        <v/>
      </c>
      <c r="G16776" s="8" t="str">
        <f t="shared" si="1"/>
        <v/>
      </c>
      <c r="H16776" s="14" t="str">
        <f t="shared" si="2"/>
        <v/>
      </c>
      <c r="I16776" s="15" t="str">
        <f t="shared" si="3"/>
        <v/>
      </c>
    </row>
    <row r="16777">
      <c r="A16777" s="8" t="str">
        <f>IFERROR(__xludf.DUMMYFUNCTION("IF('(INGESTA)Datos_consumo_datadis'!A18342&lt;&gt;"""",SPLIT('(INGESTA)Datos_consumo_datadis'!A:A,"",""),"""")"),"")</f>
        <v/>
      </c>
      <c r="G16777" s="8" t="str">
        <f t="shared" si="1"/>
        <v/>
      </c>
      <c r="H16777" s="14" t="str">
        <f t="shared" si="2"/>
        <v/>
      </c>
      <c r="I16777" s="15" t="str">
        <f t="shared" si="3"/>
        <v/>
      </c>
    </row>
    <row r="16778">
      <c r="A16778" s="8" t="str">
        <f>IFERROR(__xludf.DUMMYFUNCTION("IF('(INGESTA)Datos_consumo_datadis'!A18343&lt;&gt;"""",SPLIT('(INGESTA)Datos_consumo_datadis'!A:A,"",""),"""")"),"")</f>
        <v/>
      </c>
      <c r="G16778" s="8" t="str">
        <f t="shared" si="1"/>
        <v/>
      </c>
      <c r="H16778" s="14" t="str">
        <f t="shared" si="2"/>
        <v/>
      </c>
      <c r="I16778" s="15" t="str">
        <f t="shared" si="3"/>
        <v/>
      </c>
    </row>
    <row r="16779">
      <c r="A16779" s="8" t="str">
        <f>IFERROR(__xludf.DUMMYFUNCTION("IF('(INGESTA)Datos_consumo_datadis'!A18344&lt;&gt;"""",SPLIT('(INGESTA)Datos_consumo_datadis'!A:A,"",""),"""")"),"")</f>
        <v/>
      </c>
      <c r="G16779" s="8" t="str">
        <f t="shared" si="1"/>
        <v/>
      </c>
      <c r="H16779" s="14" t="str">
        <f t="shared" si="2"/>
        <v/>
      </c>
      <c r="I16779" s="15" t="str">
        <f t="shared" si="3"/>
        <v/>
      </c>
    </row>
    <row r="16780">
      <c r="A16780" s="8" t="str">
        <f>IFERROR(__xludf.DUMMYFUNCTION("IF('(INGESTA)Datos_consumo_datadis'!A18345&lt;&gt;"""",SPLIT('(INGESTA)Datos_consumo_datadis'!A:A,"",""),"""")"),"")</f>
        <v/>
      </c>
      <c r="G16780" s="8" t="str">
        <f t="shared" si="1"/>
        <v/>
      </c>
      <c r="H16780" s="14" t="str">
        <f t="shared" si="2"/>
        <v/>
      </c>
      <c r="I16780" s="15" t="str">
        <f t="shared" si="3"/>
        <v/>
      </c>
    </row>
    <row r="16781">
      <c r="A16781" s="8" t="str">
        <f>IFERROR(__xludf.DUMMYFUNCTION("IF('(INGESTA)Datos_consumo_datadis'!A18346&lt;&gt;"""",SPLIT('(INGESTA)Datos_consumo_datadis'!A:A,"",""),"""")"),"")</f>
        <v/>
      </c>
      <c r="G16781" s="8" t="str">
        <f t="shared" si="1"/>
        <v/>
      </c>
      <c r="H16781" s="14" t="str">
        <f t="shared" si="2"/>
        <v/>
      </c>
      <c r="I16781" s="15" t="str">
        <f t="shared" si="3"/>
        <v/>
      </c>
    </row>
    <row r="16782">
      <c r="A16782" s="8" t="str">
        <f>IFERROR(__xludf.DUMMYFUNCTION("IF('(INGESTA)Datos_consumo_datadis'!A18347&lt;&gt;"""",SPLIT('(INGESTA)Datos_consumo_datadis'!A:A,"",""),"""")"),"")</f>
        <v/>
      </c>
      <c r="G16782" s="8" t="str">
        <f t="shared" si="1"/>
        <v/>
      </c>
      <c r="H16782" s="14" t="str">
        <f t="shared" si="2"/>
        <v/>
      </c>
      <c r="I16782" s="15" t="str">
        <f t="shared" si="3"/>
        <v/>
      </c>
    </row>
    <row r="16783">
      <c r="A16783" s="8" t="str">
        <f>IFERROR(__xludf.DUMMYFUNCTION("IF('(INGESTA)Datos_consumo_datadis'!A18348&lt;&gt;"""",SPLIT('(INGESTA)Datos_consumo_datadis'!A:A,"",""),"""")"),"")</f>
        <v/>
      </c>
      <c r="G16783" s="8" t="str">
        <f t="shared" si="1"/>
        <v/>
      </c>
      <c r="H16783" s="14" t="str">
        <f t="shared" si="2"/>
        <v/>
      </c>
      <c r="I16783" s="15" t="str">
        <f t="shared" si="3"/>
        <v/>
      </c>
    </row>
    <row r="16784">
      <c r="A16784" s="8" t="str">
        <f>IFERROR(__xludf.DUMMYFUNCTION("IF('(INGESTA)Datos_consumo_datadis'!A18349&lt;&gt;"""",SPLIT('(INGESTA)Datos_consumo_datadis'!A:A,"",""),"""")"),"")</f>
        <v/>
      </c>
      <c r="G16784" s="8" t="str">
        <f t="shared" si="1"/>
        <v/>
      </c>
      <c r="H16784" s="14" t="str">
        <f t="shared" si="2"/>
        <v/>
      </c>
      <c r="I16784" s="15" t="str">
        <f t="shared" si="3"/>
        <v/>
      </c>
    </row>
    <row r="16785">
      <c r="A16785" s="8" t="str">
        <f>IFERROR(__xludf.DUMMYFUNCTION("IF('(INGESTA)Datos_consumo_datadis'!A18350&lt;&gt;"""",SPLIT('(INGESTA)Datos_consumo_datadis'!A:A,"",""),"""")"),"")</f>
        <v/>
      </c>
      <c r="G16785" s="8" t="str">
        <f t="shared" si="1"/>
        <v/>
      </c>
      <c r="H16785" s="14" t="str">
        <f t="shared" si="2"/>
        <v/>
      </c>
      <c r="I16785" s="15" t="str">
        <f t="shared" si="3"/>
        <v/>
      </c>
    </row>
    <row r="16786">
      <c r="A16786" s="8" t="str">
        <f>IFERROR(__xludf.DUMMYFUNCTION("IF('(INGESTA)Datos_consumo_datadis'!A18351&lt;&gt;"""",SPLIT('(INGESTA)Datos_consumo_datadis'!A:A,"",""),"""")"),"")</f>
        <v/>
      </c>
      <c r="G16786" s="8" t="str">
        <f t="shared" si="1"/>
        <v/>
      </c>
      <c r="H16786" s="14" t="str">
        <f t="shared" si="2"/>
        <v/>
      </c>
      <c r="I16786" s="15" t="str">
        <f t="shared" si="3"/>
        <v/>
      </c>
    </row>
    <row r="16787">
      <c r="A16787" s="8" t="str">
        <f>IFERROR(__xludf.DUMMYFUNCTION("IF('(INGESTA)Datos_consumo_datadis'!A18352&lt;&gt;"""",SPLIT('(INGESTA)Datos_consumo_datadis'!A:A,"",""),"""")"),"")</f>
        <v/>
      </c>
      <c r="G16787" s="8" t="str">
        <f t="shared" si="1"/>
        <v/>
      </c>
      <c r="H16787" s="14" t="str">
        <f t="shared" si="2"/>
        <v/>
      </c>
      <c r="I16787" s="15" t="str">
        <f t="shared" si="3"/>
        <v/>
      </c>
    </row>
    <row r="16788">
      <c r="A16788" s="8" t="str">
        <f>IFERROR(__xludf.DUMMYFUNCTION("IF('(INGESTA)Datos_consumo_datadis'!A18353&lt;&gt;"""",SPLIT('(INGESTA)Datos_consumo_datadis'!A:A,"",""),"""")"),"")</f>
        <v/>
      </c>
      <c r="G16788" s="8" t="str">
        <f t="shared" si="1"/>
        <v/>
      </c>
      <c r="H16788" s="14" t="str">
        <f t="shared" si="2"/>
        <v/>
      </c>
      <c r="I16788" s="15" t="str">
        <f t="shared" si="3"/>
        <v/>
      </c>
    </row>
    <row r="16789">
      <c r="A16789" s="8" t="str">
        <f>IFERROR(__xludf.DUMMYFUNCTION("IF('(INGESTA)Datos_consumo_datadis'!A18354&lt;&gt;"""",SPLIT('(INGESTA)Datos_consumo_datadis'!A:A,"",""),"""")"),"")</f>
        <v/>
      </c>
      <c r="G16789" s="8" t="str">
        <f t="shared" si="1"/>
        <v/>
      </c>
      <c r="H16789" s="14" t="str">
        <f t="shared" si="2"/>
        <v/>
      </c>
      <c r="I16789" s="15" t="str">
        <f t="shared" si="3"/>
        <v/>
      </c>
    </row>
    <row r="16790">
      <c r="A16790" s="8" t="str">
        <f>IFERROR(__xludf.DUMMYFUNCTION("IF('(INGESTA)Datos_consumo_datadis'!A18355&lt;&gt;"""",SPLIT('(INGESTA)Datos_consumo_datadis'!A:A,"",""),"""")"),"")</f>
        <v/>
      </c>
      <c r="G16790" s="8" t="str">
        <f t="shared" si="1"/>
        <v/>
      </c>
      <c r="H16790" s="14" t="str">
        <f t="shared" si="2"/>
        <v/>
      </c>
      <c r="I16790" s="15" t="str">
        <f t="shared" si="3"/>
        <v/>
      </c>
    </row>
    <row r="16791">
      <c r="A16791" s="8" t="str">
        <f>IFERROR(__xludf.DUMMYFUNCTION("IF('(INGESTA)Datos_consumo_datadis'!A18356&lt;&gt;"""",SPLIT('(INGESTA)Datos_consumo_datadis'!A:A,"",""),"""")"),"")</f>
        <v/>
      </c>
      <c r="G16791" s="8" t="str">
        <f t="shared" si="1"/>
        <v/>
      </c>
      <c r="H16791" s="14" t="str">
        <f t="shared" si="2"/>
        <v/>
      </c>
      <c r="I16791" s="15" t="str">
        <f t="shared" si="3"/>
        <v/>
      </c>
    </row>
    <row r="16792">
      <c r="A16792" s="8" t="str">
        <f>IFERROR(__xludf.DUMMYFUNCTION("IF('(INGESTA)Datos_consumo_datadis'!A18357&lt;&gt;"""",SPLIT('(INGESTA)Datos_consumo_datadis'!A:A,"",""),"""")"),"")</f>
        <v/>
      </c>
      <c r="G16792" s="8" t="str">
        <f t="shared" si="1"/>
        <v/>
      </c>
      <c r="H16792" s="14" t="str">
        <f t="shared" si="2"/>
        <v/>
      </c>
      <c r="I16792" s="15" t="str">
        <f t="shared" si="3"/>
        <v/>
      </c>
    </row>
    <row r="16793">
      <c r="A16793" s="8" t="str">
        <f>IFERROR(__xludf.DUMMYFUNCTION("IF('(INGESTA)Datos_consumo_datadis'!A18358&lt;&gt;"""",SPLIT('(INGESTA)Datos_consumo_datadis'!A:A,"",""),"""")"),"")</f>
        <v/>
      </c>
      <c r="G16793" s="8" t="str">
        <f t="shared" si="1"/>
        <v/>
      </c>
      <c r="H16793" s="14" t="str">
        <f t="shared" si="2"/>
        <v/>
      </c>
      <c r="I16793" s="15" t="str">
        <f t="shared" si="3"/>
        <v/>
      </c>
    </row>
    <row r="16794">
      <c r="A16794" s="8" t="str">
        <f>IFERROR(__xludf.DUMMYFUNCTION("IF('(INGESTA)Datos_consumo_datadis'!A18359&lt;&gt;"""",SPLIT('(INGESTA)Datos_consumo_datadis'!A:A,"",""),"""")"),"")</f>
        <v/>
      </c>
      <c r="G16794" s="8" t="str">
        <f t="shared" si="1"/>
        <v/>
      </c>
      <c r="H16794" s="14" t="str">
        <f t="shared" si="2"/>
        <v/>
      </c>
      <c r="I16794" s="15" t="str">
        <f t="shared" si="3"/>
        <v/>
      </c>
    </row>
    <row r="16795">
      <c r="A16795" s="8" t="str">
        <f>IFERROR(__xludf.DUMMYFUNCTION("IF('(INGESTA)Datos_consumo_datadis'!A18360&lt;&gt;"""",SPLIT('(INGESTA)Datos_consumo_datadis'!A:A,"",""),"""")"),"")</f>
        <v/>
      </c>
      <c r="G16795" s="8" t="str">
        <f t="shared" si="1"/>
        <v/>
      </c>
      <c r="H16795" s="14" t="str">
        <f t="shared" si="2"/>
        <v/>
      </c>
      <c r="I16795" s="15" t="str">
        <f t="shared" si="3"/>
        <v/>
      </c>
    </row>
    <row r="16796">
      <c r="A16796" s="8" t="str">
        <f>IFERROR(__xludf.DUMMYFUNCTION("IF('(INGESTA)Datos_consumo_datadis'!A18361&lt;&gt;"""",SPLIT('(INGESTA)Datos_consumo_datadis'!A:A,"",""),"""")"),"")</f>
        <v/>
      </c>
      <c r="G16796" s="8" t="str">
        <f t="shared" si="1"/>
        <v/>
      </c>
      <c r="H16796" s="14" t="str">
        <f t="shared" si="2"/>
        <v/>
      </c>
      <c r="I16796" s="15" t="str">
        <f t="shared" si="3"/>
        <v/>
      </c>
    </row>
    <row r="16797">
      <c r="A16797" s="8" t="str">
        <f>IFERROR(__xludf.DUMMYFUNCTION("IF('(INGESTA)Datos_consumo_datadis'!A18362&lt;&gt;"""",SPLIT('(INGESTA)Datos_consumo_datadis'!A:A,"",""),"""")"),"")</f>
        <v/>
      </c>
      <c r="G16797" s="8" t="str">
        <f t="shared" si="1"/>
        <v/>
      </c>
      <c r="H16797" s="14" t="str">
        <f t="shared" si="2"/>
        <v/>
      </c>
      <c r="I16797" s="15" t="str">
        <f t="shared" si="3"/>
        <v/>
      </c>
    </row>
    <row r="16798">
      <c r="A16798" s="8" t="str">
        <f>IFERROR(__xludf.DUMMYFUNCTION("IF('(INGESTA)Datos_consumo_datadis'!A18363&lt;&gt;"""",SPLIT('(INGESTA)Datos_consumo_datadis'!A:A,"",""),"""")"),"")</f>
        <v/>
      </c>
      <c r="G16798" s="8" t="str">
        <f t="shared" si="1"/>
        <v/>
      </c>
      <c r="H16798" s="14" t="str">
        <f t="shared" si="2"/>
        <v/>
      </c>
      <c r="I16798" s="15" t="str">
        <f t="shared" si="3"/>
        <v/>
      </c>
    </row>
    <row r="16799">
      <c r="A16799" s="8" t="str">
        <f>IFERROR(__xludf.DUMMYFUNCTION("IF('(INGESTA)Datos_consumo_datadis'!A18364&lt;&gt;"""",SPLIT('(INGESTA)Datos_consumo_datadis'!A:A,"",""),"""")"),"")</f>
        <v/>
      </c>
      <c r="G16799" s="8" t="str">
        <f t="shared" si="1"/>
        <v/>
      </c>
      <c r="H16799" s="14" t="str">
        <f t="shared" si="2"/>
        <v/>
      </c>
      <c r="I16799" s="15" t="str">
        <f t="shared" si="3"/>
        <v/>
      </c>
    </row>
    <row r="16800">
      <c r="A16800" s="8" t="str">
        <f>IFERROR(__xludf.DUMMYFUNCTION("IF('(INGESTA)Datos_consumo_datadis'!A18365&lt;&gt;"""",SPLIT('(INGESTA)Datos_consumo_datadis'!A:A,"",""),"""")"),"")</f>
        <v/>
      </c>
      <c r="G16800" s="8" t="str">
        <f t="shared" si="1"/>
        <v/>
      </c>
      <c r="H16800" s="14" t="str">
        <f t="shared" si="2"/>
        <v/>
      </c>
      <c r="I16800" s="15" t="str">
        <f t="shared" si="3"/>
        <v/>
      </c>
    </row>
    <row r="16801">
      <c r="A16801" s="8" t="str">
        <f>IFERROR(__xludf.DUMMYFUNCTION("IF('(INGESTA)Datos_consumo_datadis'!A18366&lt;&gt;"""",SPLIT('(INGESTA)Datos_consumo_datadis'!A:A,"",""),"""")"),"")</f>
        <v/>
      </c>
      <c r="G16801" s="8" t="str">
        <f t="shared" si="1"/>
        <v/>
      </c>
      <c r="H16801" s="14" t="str">
        <f t="shared" si="2"/>
        <v/>
      </c>
      <c r="I16801" s="15" t="str">
        <f t="shared" si="3"/>
        <v/>
      </c>
    </row>
    <row r="16802">
      <c r="A16802" s="8" t="str">
        <f>IFERROR(__xludf.DUMMYFUNCTION("IF('(INGESTA)Datos_consumo_datadis'!A18367&lt;&gt;"""",SPLIT('(INGESTA)Datos_consumo_datadis'!A:A,"",""),"""")"),"")</f>
        <v/>
      </c>
      <c r="G16802" s="8" t="str">
        <f t="shared" si="1"/>
        <v/>
      </c>
      <c r="H16802" s="14" t="str">
        <f t="shared" si="2"/>
        <v/>
      </c>
      <c r="I16802" s="15" t="str">
        <f t="shared" si="3"/>
        <v/>
      </c>
    </row>
    <row r="16803">
      <c r="A16803" s="8" t="str">
        <f>IFERROR(__xludf.DUMMYFUNCTION("IF('(INGESTA)Datos_consumo_datadis'!A18368&lt;&gt;"""",SPLIT('(INGESTA)Datos_consumo_datadis'!A:A,"",""),"""")"),"")</f>
        <v/>
      </c>
      <c r="G16803" s="8" t="str">
        <f t="shared" si="1"/>
        <v/>
      </c>
      <c r="H16803" s="14" t="str">
        <f t="shared" si="2"/>
        <v/>
      </c>
      <c r="I16803" s="15" t="str">
        <f t="shared" si="3"/>
        <v/>
      </c>
    </row>
    <row r="16804">
      <c r="A16804" s="8" t="str">
        <f>IFERROR(__xludf.DUMMYFUNCTION("IF('(INGESTA)Datos_consumo_datadis'!A18369&lt;&gt;"""",SPLIT('(INGESTA)Datos_consumo_datadis'!A:A,"",""),"""")"),"")</f>
        <v/>
      </c>
      <c r="G16804" s="8" t="str">
        <f t="shared" si="1"/>
        <v/>
      </c>
      <c r="H16804" s="14" t="str">
        <f t="shared" si="2"/>
        <v/>
      </c>
      <c r="I16804" s="15" t="str">
        <f t="shared" si="3"/>
        <v/>
      </c>
    </row>
    <row r="16805">
      <c r="A16805" s="8" t="str">
        <f>IFERROR(__xludf.DUMMYFUNCTION("IF('(INGESTA)Datos_consumo_datadis'!A18370&lt;&gt;"""",SPLIT('(INGESTA)Datos_consumo_datadis'!A:A,"",""),"""")"),"")</f>
        <v/>
      </c>
      <c r="G16805" s="8" t="str">
        <f t="shared" si="1"/>
        <v/>
      </c>
      <c r="H16805" s="14" t="str">
        <f t="shared" si="2"/>
        <v/>
      </c>
      <c r="I16805" s="15" t="str">
        <f t="shared" si="3"/>
        <v/>
      </c>
    </row>
    <row r="16806">
      <c r="A16806" s="8" t="str">
        <f>IFERROR(__xludf.DUMMYFUNCTION("IF('(INGESTA)Datos_consumo_datadis'!A18371&lt;&gt;"""",SPLIT('(INGESTA)Datos_consumo_datadis'!A:A,"",""),"""")"),"")</f>
        <v/>
      </c>
      <c r="G16806" s="8" t="str">
        <f t="shared" si="1"/>
        <v/>
      </c>
      <c r="H16806" s="14" t="str">
        <f t="shared" si="2"/>
        <v/>
      </c>
      <c r="I16806" s="15" t="str">
        <f t="shared" si="3"/>
        <v/>
      </c>
    </row>
    <row r="16807">
      <c r="A16807" s="8" t="str">
        <f>IFERROR(__xludf.DUMMYFUNCTION("IF('(INGESTA)Datos_consumo_datadis'!A18372&lt;&gt;"""",SPLIT('(INGESTA)Datos_consumo_datadis'!A:A,"",""),"""")"),"")</f>
        <v/>
      </c>
      <c r="G16807" s="8" t="str">
        <f t="shared" si="1"/>
        <v/>
      </c>
      <c r="H16807" s="14" t="str">
        <f t="shared" si="2"/>
        <v/>
      </c>
      <c r="I16807" s="15" t="str">
        <f t="shared" si="3"/>
        <v/>
      </c>
    </row>
    <row r="16808">
      <c r="A16808" s="8" t="str">
        <f>IFERROR(__xludf.DUMMYFUNCTION("IF('(INGESTA)Datos_consumo_datadis'!A18373&lt;&gt;"""",SPLIT('(INGESTA)Datos_consumo_datadis'!A:A,"",""),"""")"),"")</f>
        <v/>
      </c>
      <c r="G16808" s="8" t="str">
        <f t="shared" si="1"/>
        <v/>
      </c>
      <c r="H16808" s="14" t="str">
        <f t="shared" si="2"/>
        <v/>
      </c>
      <c r="I16808" s="15" t="str">
        <f t="shared" si="3"/>
        <v/>
      </c>
    </row>
    <row r="16809">
      <c r="A16809" s="8" t="str">
        <f>IFERROR(__xludf.DUMMYFUNCTION("IF('(INGESTA)Datos_consumo_datadis'!A18374&lt;&gt;"""",SPLIT('(INGESTA)Datos_consumo_datadis'!A:A,"",""),"""")"),"")</f>
        <v/>
      </c>
      <c r="G16809" s="8" t="str">
        <f t="shared" si="1"/>
        <v/>
      </c>
      <c r="H16809" s="14" t="str">
        <f t="shared" si="2"/>
        <v/>
      </c>
      <c r="I16809" s="15" t="str">
        <f t="shared" si="3"/>
        <v/>
      </c>
    </row>
    <row r="16810">
      <c r="A16810" s="8" t="str">
        <f>IFERROR(__xludf.DUMMYFUNCTION("IF('(INGESTA)Datos_consumo_datadis'!A18375&lt;&gt;"""",SPLIT('(INGESTA)Datos_consumo_datadis'!A:A,"",""),"""")"),"")</f>
        <v/>
      </c>
      <c r="G16810" s="8" t="str">
        <f t="shared" si="1"/>
        <v/>
      </c>
      <c r="H16810" s="14" t="str">
        <f t="shared" si="2"/>
        <v/>
      </c>
      <c r="I16810" s="15" t="str">
        <f t="shared" si="3"/>
        <v/>
      </c>
    </row>
    <row r="16811">
      <c r="A16811" s="8" t="str">
        <f>IFERROR(__xludf.DUMMYFUNCTION("IF('(INGESTA)Datos_consumo_datadis'!A18376&lt;&gt;"""",SPLIT('(INGESTA)Datos_consumo_datadis'!A:A,"",""),"""")"),"")</f>
        <v/>
      </c>
      <c r="G16811" s="8" t="str">
        <f t="shared" si="1"/>
        <v/>
      </c>
      <c r="H16811" s="14" t="str">
        <f t="shared" si="2"/>
        <v/>
      </c>
      <c r="I16811" s="15" t="str">
        <f t="shared" si="3"/>
        <v/>
      </c>
    </row>
    <row r="16812">
      <c r="A16812" s="8" t="str">
        <f>IFERROR(__xludf.DUMMYFUNCTION("IF('(INGESTA)Datos_consumo_datadis'!A18377&lt;&gt;"""",SPLIT('(INGESTA)Datos_consumo_datadis'!A:A,"",""),"""")"),"")</f>
        <v/>
      </c>
      <c r="G16812" s="8" t="str">
        <f t="shared" si="1"/>
        <v/>
      </c>
      <c r="H16812" s="14" t="str">
        <f t="shared" si="2"/>
        <v/>
      </c>
      <c r="I16812" s="15" t="str">
        <f t="shared" si="3"/>
        <v/>
      </c>
    </row>
    <row r="16813">
      <c r="A16813" s="8" t="str">
        <f>IFERROR(__xludf.DUMMYFUNCTION("IF('(INGESTA)Datos_consumo_datadis'!A18378&lt;&gt;"""",SPLIT('(INGESTA)Datos_consumo_datadis'!A:A,"",""),"""")"),"")</f>
        <v/>
      </c>
      <c r="G16813" s="8" t="str">
        <f t="shared" si="1"/>
        <v/>
      </c>
      <c r="H16813" s="14" t="str">
        <f t="shared" si="2"/>
        <v/>
      </c>
      <c r="I16813" s="15" t="str">
        <f t="shared" si="3"/>
        <v/>
      </c>
    </row>
    <row r="16814">
      <c r="A16814" s="8" t="str">
        <f>IFERROR(__xludf.DUMMYFUNCTION("IF('(INGESTA)Datos_consumo_datadis'!A18379&lt;&gt;"""",SPLIT('(INGESTA)Datos_consumo_datadis'!A:A,"",""),"""")"),"")</f>
        <v/>
      </c>
      <c r="G16814" s="8" t="str">
        <f t="shared" si="1"/>
        <v/>
      </c>
      <c r="H16814" s="14" t="str">
        <f t="shared" si="2"/>
        <v/>
      </c>
      <c r="I16814" s="15" t="str">
        <f t="shared" si="3"/>
        <v/>
      </c>
    </row>
    <row r="16815">
      <c r="A16815" s="8" t="str">
        <f>IFERROR(__xludf.DUMMYFUNCTION("IF('(INGESTA)Datos_consumo_datadis'!A18380&lt;&gt;"""",SPLIT('(INGESTA)Datos_consumo_datadis'!A:A,"",""),"""")"),"")</f>
        <v/>
      </c>
      <c r="G16815" s="8" t="str">
        <f t="shared" si="1"/>
        <v/>
      </c>
      <c r="H16815" s="14" t="str">
        <f t="shared" si="2"/>
        <v/>
      </c>
      <c r="I16815" s="15" t="str">
        <f t="shared" si="3"/>
        <v/>
      </c>
    </row>
    <row r="16816">
      <c r="A16816" s="8" t="str">
        <f>IFERROR(__xludf.DUMMYFUNCTION("IF('(INGESTA)Datos_consumo_datadis'!A18381&lt;&gt;"""",SPLIT('(INGESTA)Datos_consumo_datadis'!A:A,"",""),"""")"),"")</f>
        <v/>
      </c>
      <c r="G16816" s="8" t="str">
        <f t="shared" si="1"/>
        <v/>
      </c>
      <c r="H16816" s="14" t="str">
        <f t="shared" si="2"/>
        <v/>
      </c>
      <c r="I16816" s="15" t="str">
        <f t="shared" si="3"/>
        <v/>
      </c>
    </row>
    <row r="16817">
      <c r="A16817" s="8" t="str">
        <f>IFERROR(__xludf.DUMMYFUNCTION("IF('(INGESTA)Datos_consumo_datadis'!A18382&lt;&gt;"""",SPLIT('(INGESTA)Datos_consumo_datadis'!A:A,"",""),"""")"),"")</f>
        <v/>
      </c>
      <c r="G16817" s="8" t="str">
        <f t="shared" si="1"/>
        <v/>
      </c>
      <c r="H16817" s="14" t="str">
        <f t="shared" si="2"/>
        <v/>
      </c>
      <c r="I16817" s="15" t="str">
        <f t="shared" si="3"/>
        <v/>
      </c>
    </row>
    <row r="16818">
      <c r="A16818" s="8" t="str">
        <f>IFERROR(__xludf.DUMMYFUNCTION("IF('(INGESTA)Datos_consumo_datadis'!A18383&lt;&gt;"""",SPLIT('(INGESTA)Datos_consumo_datadis'!A:A,"",""),"""")"),"")</f>
        <v/>
      </c>
      <c r="G16818" s="8" t="str">
        <f t="shared" si="1"/>
        <v/>
      </c>
      <c r="H16818" s="14" t="str">
        <f t="shared" si="2"/>
        <v/>
      </c>
      <c r="I16818" s="15" t="str">
        <f t="shared" si="3"/>
        <v/>
      </c>
    </row>
    <row r="16819">
      <c r="A16819" s="8" t="str">
        <f>IFERROR(__xludf.DUMMYFUNCTION("IF('(INGESTA)Datos_consumo_datadis'!A18384&lt;&gt;"""",SPLIT('(INGESTA)Datos_consumo_datadis'!A:A,"",""),"""")"),"")</f>
        <v/>
      </c>
      <c r="G16819" s="8" t="str">
        <f t="shared" si="1"/>
        <v/>
      </c>
      <c r="H16819" s="14" t="str">
        <f t="shared" si="2"/>
        <v/>
      </c>
      <c r="I16819" s="15" t="str">
        <f t="shared" si="3"/>
        <v/>
      </c>
    </row>
    <row r="16820">
      <c r="A16820" s="8" t="str">
        <f>IFERROR(__xludf.DUMMYFUNCTION("IF('(INGESTA)Datos_consumo_datadis'!A18385&lt;&gt;"""",SPLIT('(INGESTA)Datos_consumo_datadis'!A:A,"",""),"""")"),"")</f>
        <v/>
      </c>
      <c r="G16820" s="8" t="str">
        <f t="shared" si="1"/>
        <v/>
      </c>
      <c r="H16820" s="14" t="str">
        <f t="shared" si="2"/>
        <v/>
      </c>
      <c r="I16820" s="15" t="str">
        <f t="shared" si="3"/>
        <v/>
      </c>
    </row>
    <row r="16821">
      <c r="A16821" s="8" t="str">
        <f>IFERROR(__xludf.DUMMYFUNCTION("IF('(INGESTA)Datos_consumo_datadis'!A18386&lt;&gt;"""",SPLIT('(INGESTA)Datos_consumo_datadis'!A:A,"",""),"""")"),"")</f>
        <v/>
      </c>
      <c r="G16821" s="8" t="str">
        <f t="shared" si="1"/>
        <v/>
      </c>
      <c r="H16821" s="14" t="str">
        <f t="shared" si="2"/>
        <v/>
      </c>
      <c r="I16821" s="15" t="str">
        <f t="shared" si="3"/>
        <v/>
      </c>
    </row>
    <row r="16822">
      <c r="A16822" s="8" t="str">
        <f>IFERROR(__xludf.DUMMYFUNCTION("IF('(INGESTA)Datos_consumo_datadis'!A18387&lt;&gt;"""",SPLIT('(INGESTA)Datos_consumo_datadis'!A:A,"",""),"""")"),"")</f>
        <v/>
      </c>
      <c r="G16822" s="8" t="str">
        <f t="shared" si="1"/>
        <v/>
      </c>
      <c r="H16822" s="14" t="str">
        <f t="shared" si="2"/>
        <v/>
      </c>
      <c r="I16822" s="15" t="str">
        <f t="shared" si="3"/>
        <v/>
      </c>
    </row>
    <row r="16823">
      <c r="A16823" s="8" t="str">
        <f>IFERROR(__xludf.DUMMYFUNCTION("IF('(INGESTA)Datos_consumo_datadis'!A18388&lt;&gt;"""",SPLIT('(INGESTA)Datos_consumo_datadis'!A:A,"",""),"""")"),"")</f>
        <v/>
      </c>
      <c r="G16823" s="8" t="str">
        <f t="shared" si="1"/>
        <v/>
      </c>
      <c r="H16823" s="14" t="str">
        <f t="shared" si="2"/>
        <v/>
      </c>
      <c r="I16823" s="15" t="str">
        <f t="shared" si="3"/>
        <v/>
      </c>
    </row>
    <row r="16824">
      <c r="A16824" s="8" t="str">
        <f>IFERROR(__xludf.DUMMYFUNCTION("IF('(INGESTA)Datos_consumo_datadis'!A18389&lt;&gt;"""",SPLIT('(INGESTA)Datos_consumo_datadis'!A:A,"",""),"""")"),"")</f>
        <v/>
      </c>
      <c r="G16824" s="8" t="str">
        <f t="shared" si="1"/>
        <v/>
      </c>
      <c r="H16824" s="14" t="str">
        <f t="shared" si="2"/>
        <v/>
      </c>
      <c r="I16824" s="15" t="str">
        <f t="shared" si="3"/>
        <v/>
      </c>
    </row>
    <row r="16825">
      <c r="A16825" s="8" t="str">
        <f>IFERROR(__xludf.DUMMYFUNCTION("IF('(INGESTA)Datos_consumo_datadis'!A18390&lt;&gt;"""",SPLIT('(INGESTA)Datos_consumo_datadis'!A:A,"",""),"""")"),"")</f>
        <v/>
      </c>
      <c r="G16825" s="8" t="str">
        <f t="shared" si="1"/>
        <v/>
      </c>
      <c r="H16825" s="14" t="str">
        <f t="shared" si="2"/>
        <v/>
      </c>
      <c r="I16825" s="15" t="str">
        <f t="shared" si="3"/>
        <v/>
      </c>
    </row>
    <row r="16826">
      <c r="A16826" s="8" t="str">
        <f>IFERROR(__xludf.DUMMYFUNCTION("IF('(INGESTA)Datos_consumo_datadis'!A18391&lt;&gt;"""",SPLIT('(INGESTA)Datos_consumo_datadis'!A:A,"",""),"""")"),"")</f>
        <v/>
      </c>
      <c r="G16826" s="8" t="str">
        <f t="shared" si="1"/>
        <v/>
      </c>
      <c r="H16826" s="14" t="str">
        <f t="shared" si="2"/>
        <v/>
      </c>
      <c r="I16826" s="15" t="str">
        <f t="shared" si="3"/>
        <v/>
      </c>
    </row>
    <row r="16827">
      <c r="A16827" s="8" t="str">
        <f>IFERROR(__xludf.DUMMYFUNCTION("IF('(INGESTA)Datos_consumo_datadis'!A18392&lt;&gt;"""",SPLIT('(INGESTA)Datos_consumo_datadis'!A:A,"",""),"""")"),"")</f>
        <v/>
      </c>
      <c r="G16827" s="8" t="str">
        <f t="shared" si="1"/>
        <v/>
      </c>
      <c r="H16827" s="14" t="str">
        <f t="shared" si="2"/>
        <v/>
      </c>
      <c r="I16827" s="15" t="str">
        <f t="shared" si="3"/>
        <v/>
      </c>
    </row>
    <row r="16828">
      <c r="A16828" s="8" t="str">
        <f>IFERROR(__xludf.DUMMYFUNCTION("IF('(INGESTA)Datos_consumo_datadis'!A18393&lt;&gt;"""",SPLIT('(INGESTA)Datos_consumo_datadis'!A:A,"",""),"""")"),"")</f>
        <v/>
      </c>
      <c r="G16828" s="8" t="str">
        <f t="shared" si="1"/>
        <v/>
      </c>
      <c r="H16828" s="14" t="str">
        <f t="shared" si="2"/>
        <v/>
      </c>
      <c r="I16828" s="15" t="str">
        <f t="shared" si="3"/>
        <v/>
      </c>
    </row>
    <row r="16829">
      <c r="A16829" s="8" t="str">
        <f>IFERROR(__xludf.DUMMYFUNCTION("IF('(INGESTA)Datos_consumo_datadis'!A18394&lt;&gt;"""",SPLIT('(INGESTA)Datos_consumo_datadis'!A:A,"",""),"""")"),"")</f>
        <v/>
      </c>
      <c r="G16829" s="8" t="str">
        <f t="shared" si="1"/>
        <v/>
      </c>
      <c r="H16829" s="14" t="str">
        <f t="shared" si="2"/>
        <v/>
      </c>
      <c r="I16829" s="15" t="str">
        <f t="shared" si="3"/>
        <v/>
      </c>
    </row>
    <row r="16830">
      <c r="A16830" s="8" t="str">
        <f>IFERROR(__xludf.DUMMYFUNCTION("IF('(INGESTA)Datos_consumo_datadis'!A18395&lt;&gt;"""",SPLIT('(INGESTA)Datos_consumo_datadis'!A:A,"",""),"""")"),"")</f>
        <v/>
      </c>
      <c r="G16830" s="8" t="str">
        <f t="shared" si="1"/>
        <v/>
      </c>
      <c r="H16830" s="14" t="str">
        <f t="shared" si="2"/>
        <v/>
      </c>
      <c r="I16830" s="15" t="str">
        <f t="shared" si="3"/>
        <v/>
      </c>
    </row>
    <row r="16831">
      <c r="A16831" s="8" t="str">
        <f>IFERROR(__xludf.DUMMYFUNCTION("IF('(INGESTA)Datos_consumo_datadis'!A18396&lt;&gt;"""",SPLIT('(INGESTA)Datos_consumo_datadis'!A:A,"",""),"""")"),"")</f>
        <v/>
      </c>
      <c r="G16831" s="8" t="str">
        <f t="shared" si="1"/>
        <v/>
      </c>
      <c r="H16831" s="14" t="str">
        <f t="shared" si="2"/>
        <v/>
      </c>
      <c r="I16831" s="15" t="str">
        <f t="shared" si="3"/>
        <v/>
      </c>
    </row>
    <row r="16832">
      <c r="A16832" s="8" t="str">
        <f>IFERROR(__xludf.DUMMYFUNCTION("IF('(INGESTA)Datos_consumo_datadis'!A18397&lt;&gt;"""",SPLIT('(INGESTA)Datos_consumo_datadis'!A:A,"",""),"""")"),"")</f>
        <v/>
      </c>
      <c r="G16832" s="8" t="str">
        <f t="shared" si="1"/>
        <v/>
      </c>
      <c r="H16832" s="14" t="str">
        <f t="shared" si="2"/>
        <v/>
      </c>
      <c r="I16832" s="15" t="str">
        <f t="shared" si="3"/>
        <v/>
      </c>
    </row>
    <row r="16833">
      <c r="A16833" s="8" t="str">
        <f>IFERROR(__xludf.DUMMYFUNCTION("IF('(INGESTA)Datos_consumo_datadis'!A18398&lt;&gt;"""",SPLIT('(INGESTA)Datos_consumo_datadis'!A:A,"",""),"""")"),"")</f>
        <v/>
      </c>
      <c r="G16833" s="8" t="str">
        <f t="shared" si="1"/>
        <v/>
      </c>
      <c r="H16833" s="14" t="str">
        <f t="shared" si="2"/>
        <v/>
      </c>
      <c r="I16833" s="15" t="str">
        <f t="shared" si="3"/>
        <v/>
      </c>
    </row>
    <row r="16834">
      <c r="A16834" s="8" t="str">
        <f>IFERROR(__xludf.DUMMYFUNCTION("IF('(INGESTA)Datos_consumo_datadis'!A18399&lt;&gt;"""",SPLIT('(INGESTA)Datos_consumo_datadis'!A:A,"",""),"""")"),"")</f>
        <v/>
      </c>
      <c r="G16834" s="8" t="str">
        <f t="shared" si="1"/>
        <v/>
      </c>
      <c r="H16834" s="14" t="str">
        <f t="shared" si="2"/>
        <v/>
      </c>
      <c r="I16834" s="15" t="str">
        <f t="shared" si="3"/>
        <v/>
      </c>
    </row>
    <row r="16835">
      <c r="A16835" s="8" t="str">
        <f>IFERROR(__xludf.DUMMYFUNCTION("IF('(INGESTA)Datos_consumo_datadis'!A18400&lt;&gt;"""",SPLIT('(INGESTA)Datos_consumo_datadis'!A:A,"",""),"""")"),"")</f>
        <v/>
      </c>
      <c r="G16835" s="8" t="str">
        <f t="shared" si="1"/>
        <v/>
      </c>
      <c r="H16835" s="14" t="str">
        <f t="shared" si="2"/>
        <v/>
      </c>
      <c r="I16835" s="15" t="str">
        <f t="shared" si="3"/>
        <v/>
      </c>
    </row>
    <row r="16836">
      <c r="A16836" s="8" t="str">
        <f>IFERROR(__xludf.DUMMYFUNCTION("IF('(INGESTA)Datos_consumo_datadis'!A18401&lt;&gt;"""",SPLIT('(INGESTA)Datos_consumo_datadis'!A:A,"",""),"""")"),"")</f>
        <v/>
      </c>
      <c r="G16836" s="8" t="str">
        <f t="shared" si="1"/>
        <v/>
      </c>
      <c r="H16836" s="14" t="str">
        <f t="shared" si="2"/>
        <v/>
      </c>
      <c r="I16836" s="15" t="str">
        <f t="shared" si="3"/>
        <v/>
      </c>
    </row>
    <row r="16837">
      <c r="A16837" s="8" t="str">
        <f>IFERROR(__xludf.DUMMYFUNCTION("IF('(INGESTA)Datos_consumo_datadis'!A18402&lt;&gt;"""",SPLIT('(INGESTA)Datos_consumo_datadis'!A:A,"",""),"""")"),"")</f>
        <v/>
      </c>
      <c r="G16837" s="8" t="str">
        <f t="shared" si="1"/>
        <v/>
      </c>
      <c r="H16837" s="14" t="str">
        <f t="shared" si="2"/>
        <v/>
      </c>
      <c r="I16837" s="15" t="str">
        <f t="shared" si="3"/>
        <v/>
      </c>
    </row>
    <row r="16838">
      <c r="A16838" s="8" t="str">
        <f>IFERROR(__xludf.DUMMYFUNCTION("IF('(INGESTA)Datos_consumo_datadis'!A18403&lt;&gt;"""",SPLIT('(INGESTA)Datos_consumo_datadis'!A:A,"",""),"""")"),"")</f>
        <v/>
      </c>
      <c r="G16838" s="8" t="str">
        <f t="shared" si="1"/>
        <v/>
      </c>
      <c r="H16838" s="14" t="str">
        <f t="shared" si="2"/>
        <v/>
      </c>
      <c r="I16838" s="15" t="str">
        <f t="shared" si="3"/>
        <v/>
      </c>
    </row>
    <row r="16839">
      <c r="A16839" s="8" t="str">
        <f>IFERROR(__xludf.DUMMYFUNCTION("IF('(INGESTA)Datos_consumo_datadis'!A18404&lt;&gt;"""",SPLIT('(INGESTA)Datos_consumo_datadis'!A:A,"",""),"""")"),"")</f>
        <v/>
      </c>
      <c r="G16839" s="8" t="str">
        <f t="shared" si="1"/>
        <v/>
      </c>
      <c r="H16839" s="14" t="str">
        <f t="shared" si="2"/>
        <v/>
      </c>
      <c r="I16839" s="15" t="str">
        <f t="shared" si="3"/>
        <v/>
      </c>
    </row>
    <row r="16840">
      <c r="A16840" s="8" t="str">
        <f>IFERROR(__xludf.DUMMYFUNCTION("IF('(INGESTA)Datos_consumo_datadis'!A18405&lt;&gt;"""",SPLIT('(INGESTA)Datos_consumo_datadis'!A:A,"",""),"""")"),"")</f>
        <v/>
      </c>
      <c r="G16840" s="8" t="str">
        <f t="shared" si="1"/>
        <v/>
      </c>
      <c r="H16840" s="14" t="str">
        <f t="shared" si="2"/>
        <v/>
      </c>
      <c r="I16840" s="15" t="str">
        <f t="shared" si="3"/>
        <v/>
      </c>
    </row>
    <row r="16841">
      <c r="A16841" s="8" t="str">
        <f>IFERROR(__xludf.DUMMYFUNCTION("IF('(INGESTA)Datos_consumo_datadis'!A18406&lt;&gt;"""",SPLIT('(INGESTA)Datos_consumo_datadis'!A:A,"",""),"""")"),"")</f>
        <v/>
      </c>
      <c r="G16841" s="8" t="str">
        <f t="shared" si="1"/>
        <v/>
      </c>
      <c r="H16841" s="14" t="str">
        <f t="shared" si="2"/>
        <v/>
      </c>
      <c r="I16841" s="15" t="str">
        <f t="shared" si="3"/>
        <v/>
      </c>
    </row>
    <row r="16842">
      <c r="A16842" s="8" t="str">
        <f>IFERROR(__xludf.DUMMYFUNCTION("IF('(INGESTA)Datos_consumo_datadis'!A18407&lt;&gt;"""",SPLIT('(INGESTA)Datos_consumo_datadis'!A:A,"",""),"""")"),"")</f>
        <v/>
      </c>
      <c r="G16842" s="8" t="str">
        <f t="shared" si="1"/>
        <v/>
      </c>
      <c r="H16842" s="14" t="str">
        <f t="shared" si="2"/>
        <v/>
      </c>
      <c r="I16842" s="15" t="str">
        <f t="shared" si="3"/>
        <v/>
      </c>
    </row>
    <row r="16843">
      <c r="A16843" s="8" t="str">
        <f>IFERROR(__xludf.DUMMYFUNCTION("IF('(INGESTA)Datos_consumo_datadis'!A18408&lt;&gt;"""",SPLIT('(INGESTA)Datos_consumo_datadis'!A:A,"",""),"""")"),"")</f>
        <v/>
      </c>
      <c r="G16843" s="8" t="str">
        <f t="shared" si="1"/>
        <v/>
      </c>
      <c r="H16843" s="14" t="str">
        <f t="shared" si="2"/>
        <v/>
      </c>
      <c r="I16843" s="15" t="str">
        <f t="shared" si="3"/>
        <v/>
      </c>
    </row>
    <row r="16844">
      <c r="A16844" s="8" t="str">
        <f>IFERROR(__xludf.DUMMYFUNCTION("IF('(INGESTA)Datos_consumo_datadis'!A18409&lt;&gt;"""",SPLIT('(INGESTA)Datos_consumo_datadis'!A:A,"",""),"""")"),"")</f>
        <v/>
      </c>
      <c r="G16844" s="8" t="str">
        <f t="shared" si="1"/>
        <v/>
      </c>
      <c r="H16844" s="14" t="str">
        <f t="shared" si="2"/>
        <v/>
      </c>
      <c r="I16844" s="15" t="str">
        <f t="shared" si="3"/>
        <v/>
      </c>
    </row>
    <row r="16845">
      <c r="A16845" s="8" t="str">
        <f>IFERROR(__xludf.DUMMYFUNCTION("IF('(INGESTA)Datos_consumo_datadis'!A18410&lt;&gt;"""",SPLIT('(INGESTA)Datos_consumo_datadis'!A:A,"",""),"""")"),"")</f>
        <v/>
      </c>
      <c r="G16845" s="8" t="str">
        <f t="shared" si="1"/>
        <v/>
      </c>
      <c r="H16845" s="14" t="str">
        <f t="shared" si="2"/>
        <v/>
      </c>
      <c r="I16845" s="15" t="str">
        <f t="shared" si="3"/>
        <v/>
      </c>
    </row>
    <row r="16846">
      <c r="A16846" s="8" t="str">
        <f>IFERROR(__xludf.DUMMYFUNCTION("IF('(INGESTA)Datos_consumo_datadis'!A18411&lt;&gt;"""",SPLIT('(INGESTA)Datos_consumo_datadis'!A:A,"",""),"""")"),"")</f>
        <v/>
      </c>
      <c r="G16846" s="8" t="str">
        <f t="shared" si="1"/>
        <v/>
      </c>
      <c r="H16846" s="14" t="str">
        <f t="shared" si="2"/>
        <v/>
      </c>
      <c r="I16846" s="15" t="str">
        <f t="shared" si="3"/>
        <v/>
      </c>
    </row>
    <row r="16847">
      <c r="A16847" s="8" t="str">
        <f>IFERROR(__xludf.DUMMYFUNCTION("IF('(INGESTA)Datos_consumo_datadis'!A18412&lt;&gt;"""",SPLIT('(INGESTA)Datos_consumo_datadis'!A:A,"",""),"""")"),"")</f>
        <v/>
      </c>
      <c r="G16847" s="8" t="str">
        <f t="shared" si="1"/>
        <v/>
      </c>
      <c r="H16847" s="14" t="str">
        <f t="shared" si="2"/>
        <v/>
      </c>
      <c r="I16847" s="15" t="str">
        <f t="shared" si="3"/>
        <v/>
      </c>
    </row>
    <row r="16848">
      <c r="A16848" s="8" t="str">
        <f>IFERROR(__xludf.DUMMYFUNCTION("IF('(INGESTA)Datos_consumo_datadis'!A18413&lt;&gt;"""",SPLIT('(INGESTA)Datos_consumo_datadis'!A:A,"",""),"""")"),"")</f>
        <v/>
      </c>
      <c r="G16848" s="8" t="str">
        <f t="shared" si="1"/>
        <v/>
      </c>
      <c r="H16848" s="14" t="str">
        <f t="shared" si="2"/>
        <v/>
      </c>
      <c r="I16848" s="15" t="str">
        <f t="shared" si="3"/>
        <v/>
      </c>
    </row>
    <row r="16849">
      <c r="A16849" s="8" t="str">
        <f>IFERROR(__xludf.DUMMYFUNCTION("IF('(INGESTA)Datos_consumo_datadis'!A18414&lt;&gt;"""",SPLIT('(INGESTA)Datos_consumo_datadis'!A:A,"",""),"""")"),"")</f>
        <v/>
      </c>
      <c r="G16849" s="8" t="str">
        <f t="shared" si="1"/>
        <v/>
      </c>
      <c r="H16849" s="14" t="str">
        <f t="shared" si="2"/>
        <v/>
      </c>
      <c r="I16849" s="15" t="str">
        <f t="shared" si="3"/>
        <v/>
      </c>
    </row>
    <row r="16850">
      <c r="A16850" s="8" t="str">
        <f>IFERROR(__xludf.DUMMYFUNCTION("IF('(INGESTA)Datos_consumo_datadis'!A18415&lt;&gt;"""",SPLIT('(INGESTA)Datos_consumo_datadis'!A:A,"",""),"""")"),"")</f>
        <v/>
      </c>
      <c r="G16850" s="8" t="str">
        <f t="shared" si="1"/>
        <v/>
      </c>
      <c r="H16850" s="14" t="str">
        <f t="shared" si="2"/>
        <v/>
      </c>
      <c r="I16850" s="15" t="str">
        <f t="shared" si="3"/>
        <v/>
      </c>
    </row>
    <row r="16851">
      <c r="A16851" s="8" t="str">
        <f>IFERROR(__xludf.DUMMYFUNCTION("IF('(INGESTA)Datos_consumo_datadis'!A18416&lt;&gt;"""",SPLIT('(INGESTA)Datos_consumo_datadis'!A:A,"",""),"""")"),"")</f>
        <v/>
      </c>
      <c r="G16851" s="8" t="str">
        <f t="shared" si="1"/>
        <v/>
      </c>
      <c r="H16851" s="14" t="str">
        <f t="shared" si="2"/>
        <v/>
      </c>
      <c r="I16851" s="15" t="str">
        <f t="shared" si="3"/>
        <v/>
      </c>
    </row>
    <row r="16852">
      <c r="A16852" s="8" t="str">
        <f>IFERROR(__xludf.DUMMYFUNCTION("IF('(INGESTA)Datos_consumo_datadis'!A18417&lt;&gt;"""",SPLIT('(INGESTA)Datos_consumo_datadis'!A:A,"",""),"""")"),"")</f>
        <v/>
      </c>
      <c r="G16852" s="8" t="str">
        <f t="shared" si="1"/>
        <v/>
      </c>
      <c r="H16852" s="14" t="str">
        <f t="shared" si="2"/>
        <v/>
      </c>
      <c r="I16852" s="15" t="str">
        <f t="shared" si="3"/>
        <v/>
      </c>
    </row>
    <row r="16853">
      <c r="A16853" s="8" t="str">
        <f>IFERROR(__xludf.DUMMYFUNCTION("IF('(INGESTA)Datos_consumo_datadis'!A18418&lt;&gt;"""",SPLIT('(INGESTA)Datos_consumo_datadis'!A:A,"",""),"""")"),"")</f>
        <v/>
      </c>
      <c r="G16853" s="8" t="str">
        <f t="shared" si="1"/>
        <v/>
      </c>
      <c r="H16853" s="14" t="str">
        <f t="shared" si="2"/>
        <v/>
      </c>
      <c r="I16853" s="15" t="str">
        <f t="shared" si="3"/>
        <v/>
      </c>
    </row>
    <row r="16854">
      <c r="A16854" s="8" t="str">
        <f>IFERROR(__xludf.DUMMYFUNCTION("IF('(INGESTA)Datos_consumo_datadis'!A18419&lt;&gt;"""",SPLIT('(INGESTA)Datos_consumo_datadis'!A:A,"",""),"""")"),"")</f>
        <v/>
      </c>
      <c r="G16854" s="8" t="str">
        <f t="shared" si="1"/>
        <v/>
      </c>
      <c r="H16854" s="14" t="str">
        <f t="shared" si="2"/>
        <v/>
      </c>
      <c r="I16854" s="15" t="str">
        <f t="shared" si="3"/>
        <v/>
      </c>
    </row>
    <row r="16855">
      <c r="A16855" s="8" t="str">
        <f>IFERROR(__xludf.DUMMYFUNCTION("IF('(INGESTA)Datos_consumo_datadis'!A18420&lt;&gt;"""",SPLIT('(INGESTA)Datos_consumo_datadis'!A:A,"",""),"""")"),"")</f>
        <v/>
      </c>
      <c r="G16855" s="8" t="str">
        <f t="shared" si="1"/>
        <v/>
      </c>
      <c r="H16855" s="14" t="str">
        <f t="shared" si="2"/>
        <v/>
      </c>
      <c r="I16855" s="15" t="str">
        <f t="shared" si="3"/>
        <v/>
      </c>
    </row>
    <row r="16856">
      <c r="A16856" s="8" t="str">
        <f>IFERROR(__xludf.DUMMYFUNCTION("IF('(INGESTA)Datos_consumo_datadis'!A18421&lt;&gt;"""",SPLIT('(INGESTA)Datos_consumo_datadis'!A:A,"",""),"""")"),"")</f>
        <v/>
      </c>
      <c r="G16856" s="8" t="str">
        <f t="shared" si="1"/>
        <v/>
      </c>
      <c r="H16856" s="14" t="str">
        <f t="shared" si="2"/>
        <v/>
      </c>
      <c r="I16856" s="15" t="str">
        <f t="shared" si="3"/>
        <v/>
      </c>
    </row>
    <row r="16857">
      <c r="A16857" s="8" t="str">
        <f>IFERROR(__xludf.DUMMYFUNCTION("IF('(INGESTA)Datos_consumo_datadis'!A18422&lt;&gt;"""",SPLIT('(INGESTA)Datos_consumo_datadis'!A:A,"",""),"""")"),"")</f>
        <v/>
      </c>
      <c r="G16857" s="8" t="str">
        <f t="shared" si="1"/>
        <v/>
      </c>
      <c r="H16857" s="14" t="str">
        <f t="shared" si="2"/>
        <v/>
      </c>
      <c r="I16857" s="15" t="str">
        <f t="shared" si="3"/>
        <v/>
      </c>
    </row>
    <row r="16858">
      <c r="A16858" s="8" t="str">
        <f>IFERROR(__xludf.DUMMYFUNCTION("IF('(INGESTA)Datos_consumo_datadis'!A18423&lt;&gt;"""",SPLIT('(INGESTA)Datos_consumo_datadis'!A:A,"",""),"""")"),"")</f>
        <v/>
      </c>
      <c r="G16858" s="8" t="str">
        <f t="shared" si="1"/>
        <v/>
      </c>
      <c r="H16858" s="14" t="str">
        <f t="shared" si="2"/>
        <v/>
      </c>
      <c r="I16858" s="15" t="str">
        <f t="shared" si="3"/>
        <v/>
      </c>
    </row>
    <row r="16859">
      <c r="A16859" s="8" t="str">
        <f>IFERROR(__xludf.DUMMYFUNCTION("IF('(INGESTA)Datos_consumo_datadis'!A18424&lt;&gt;"""",SPLIT('(INGESTA)Datos_consumo_datadis'!A:A,"",""),"""")"),"")</f>
        <v/>
      </c>
      <c r="G16859" s="8" t="str">
        <f t="shared" si="1"/>
        <v/>
      </c>
      <c r="H16859" s="14" t="str">
        <f t="shared" si="2"/>
        <v/>
      </c>
      <c r="I16859" s="15" t="str">
        <f t="shared" si="3"/>
        <v/>
      </c>
    </row>
    <row r="16860">
      <c r="A16860" s="8" t="str">
        <f>IFERROR(__xludf.DUMMYFUNCTION("IF('(INGESTA)Datos_consumo_datadis'!A18425&lt;&gt;"""",SPLIT('(INGESTA)Datos_consumo_datadis'!A:A,"",""),"""")"),"")</f>
        <v/>
      </c>
      <c r="G16860" s="8" t="str">
        <f t="shared" si="1"/>
        <v/>
      </c>
      <c r="H16860" s="14" t="str">
        <f t="shared" si="2"/>
        <v/>
      </c>
      <c r="I16860" s="15" t="str">
        <f t="shared" si="3"/>
        <v/>
      </c>
    </row>
    <row r="16861">
      <c r="A16861" s="8" t="str">
        <f>IFERROR(__xludf.DUMMYFUNCTION("IF('(INGESTA)Datos_consumo_datadis'!A18426&lt;&gt;"""",SPLIT('(INGESTA)Datos_consumo_datadis'!A:A,"",""),"""")"),"")</f>
        <v/>
      </c>
      <c r="G16861" s="8" t="str">
        <f t="shared" si="1"/>
        <v/>
      </c>
      <c r="H16861" s="14" t="str">
        <f t="shared" si="2"/>
        <v/>
      </c>
      <c r="I16861" s="15" t="str">
        <f t="shared" si="3"/>
        <v/>
      </c>
    </row>
    <row r="16862">
      <c r="A16862" s="8" t="str">
        <f>IFERROR(__xludf.DUMMYFUNCTION("IF('(INGESTA)Datos_consumo_datadis'!A18427&lt;&gt;"""",SPLIT('(INGESTA)Datos_consumo_datadis'!A:A,"",""),"""")"),"")</f>
        <v/>
      </c>
      <c r="G16862" s="8" t="str">
        <f t="shared" si="1"/>
        <v/>
      </c>
      <c r="H16862" s="14" t="str">
        <f t="shared" si="2"/>
        <v/>
      </c>
      <c r="I16862" s="15" t="str">
        <f t="shared" si="3"/>
        <v/>
      </c>
    </row>
    <row r="16863">
      <c r="A16863" s="8" t="str">
        <f>IFERROR(__xludf.DUMMYFUNCTION("IF('(INGESTA)Datos_consumo_datadis'!A18428&lt;&gt;"""",SPLIT('(INGESTA)Datos_consumo_datadis'!A:A,"",""),"""")"),"")</f>
        <v/>
      </c>
      <c r="G16863" s="8" t="str">
        <f t="shared" si="1"/>
        <v/>
      </c>
      <c r="H16863" s="14" t="str">
        <f t="shared" si="2"/>
        <v/>
      </c>
      <c r="I16863" s="15" t="str">
        <f t="shared" si="3"/>
        <v/>
      </c>
    </row>
    <row r="16864">
      <c r="A16864" s="8" t="str">
        <f>IFERROR(__xludf.DUMMYFUNCTION("IF('(INGESTA)Datos_consumo_datadis'!A18429&lt;&gt;"""",SPLIT('(INGESTA)Datos_consumo_datadis'!A:A,"",""),"""")"),"")</f>
        <v/>
      </c>
      <c r="G16864" s="8" t="str">
        <f t="shared" si="1"/>
        <v/>
      </c>
      <c r="H16864" s="14" t="str">
        <f t="shared" si="2"/>
        <v/>
      </c>
      <c r="I16864" s="15" t="str">
        <f t="shared" si="3"/>
        <v/>
      </c>
    </row>
    <row r="16865">
      <c r="A16865" s="8" t="str">
        <f>IFERROR(__xludf.DUMMYFUNCTION("IF('(INGESTA)Datos_consumo_datadis'!A18430&lt;&gt;"""",SPLIT('(INGESTA)Datos_consumo_datadis'!A:A,"",""),"""")"),"")</f>
        <v/>
      </c>
      <c r="G16865" s="8" t="str">
        <f t="shared" si="1"/>
        <v/>
      </c>
      <c r="H16865" s="14" t="str">
        <f t="shared" si="2"/>
        <v/>
      </c>
      <c r="I16865" s="15" t="str">
        <f t="shared" si="3"/>
        <v/>
      </c>
    </row>
    <row r="16866">
      <c r="A16866" s="8" t="str">
        <f>IFERROR(__xludf.DUMMYFUNCTION("IF('(INGESTA)Datos_consumo_datadis'!A18431&lt;&gt;"""",SPLIT('(INGESTA)Datos_consumo_datadis'!A:A,"",""),"""")"),"")</f>
        <v/>
      </c>
      <c r="G16866" s="8" t="str">
        <f t="shared" si="1"/>
        <v/>
      </c>
      <c r="H16866" s="14" t="str">
        <f t="shared" si="2"/>
        <v/>
      </c>
      <c r="I16866" s="15" t="str">
        <f t="shared" si="3"/>
        <v/>
      </c>
    </row>
    <row r="16867">
      <c r="A16867" s="8" t="str">
        <f>IFERROR(__xludf.DUMMYFUNCTION("IF('(INGESTA)Datos_consumo_datadis'!A18432&lt;&gt;"""",SPLIT('(INGESTA)Datos_consumo_datadis'!A:A,"",""),"""")"),"")</f>
        <v/>
      </c>
      <c r="G16867" s="8" t="str">
        <f t="shared" si="1"/>
        <v/>
      </c>
      <c r="H16867" s="14" t="str">
        <f t="shared" si="2"/>
        <v/>
      </c>
      <c r="I16867" s="15" t="str">
        <f t="shared" si="3"/>
        <v/>
      </c>
    </row>
    <row r="16868">
      <c r="A16868" s="8" t="str">
        <f>IFERROR(__xludf.DUMMYFUNCTION("IF('(INGESTA)Datos_consumo_datadis'!A18433&lt;&gt;"""",SPLIT('(INGESTA)Datos_consumo_datadis'!A:A,"",""),"""")"),"")</f>
        <v/>
      </c>
      <c r="G16868" s="8" t="str">
        <f t="shared" si="1"/>
        <v/>
      </c>
      <c r="H16868" s="14" t="str">
        <f t="shared" si="2"/>
        <v/>
      </c>
      <c r="I16868" s="15" t="str">
        <f t="shared" si="3"/>
        <v/>
      </c>
    </row>
    <row r="16869">
      <c r="A16869" s="8" t="str">
        <f>IFERROR(__xludf.DUMMYFUNCTION("IF('(INGESTA)Datos_consumo_datadis'!A18434&lt;&gt;"""",SPLIT('(INGESTA)Datos_consumo_datadis'!A:A,"",""),"""")"),"")</f>
        <v/>
      </c>
      <c r="G16869" s="8" t="str">
        <f t="shared" si="1"/>
        <v/>
      </c>
      <c r="H16869" s="14" t="str">
        <f t="shared" si="2"/>
        <v/>
      </c>
      <c r="I16869" s="15" t="str">
        <f t="shared" si="3"/>
        <v/>
      </c>
    </row>
    <row r="16870">
      <c r="A16870" s="8" t="str">
        <f>IFERROR(__xludf.DUMMYFUNCTION("IF('(INGESTA)Datos_consumo_datadis'!A18435&lt;&gt;"""",SPLIT('(INGESTA)Datos_consumo_datadis'!A:A,"",""),"""")"),"")</f>
        <v/>
      </c>
      <c r="G16870" s="8" t="str">
        <f t="shared" si="1"/>
        <v/>
      </c>
      <c r="H16870" s="14" t="str">
        <f t="shared" si="2"/>
        <v/>
      </c>
      <c r="I16870" s="15" t="str">
        <f t="shared" si="3"/>
        <v/>
      </c>
    </row>
    <row r="16871">
      <c r="A16871" s="8" t="str">
        <f>IFERROR(__xludf.DUMMYFUNCTION("IF('(INGESTA)Datos_consumo_datadis'!A18436&lt;&gt;"""",SPLIT('(INGESTA)Datos_consumo_datadis'!A:A,"",""),"""")"),"")</f>
        <v/>
      </c>
      <c r="G16871" s="8" t="str">
        <f t="shared" si="1"/>
        <v/>
      </c>
      <c r="H16871" s="14" t="str">
        <f t="shared" si="2"/>
        <v/>
      </c>
      <c r="I16871" s="15" t="str">
        <f t="shared" si="3"/>
        <v/>
      </c>
    </row>
    <row r="16872">
      <c r="A16872" s="8" t="str">
        <f>IFERROR(__xludf.DUMMYFUNCTION("IF('(INGESTA)Datos_consumo_datadis'!A18437&lt;&gt;"""",SPLIT('(INGESTA)Datos_consumo_datadis'!A:A,"",""),"""")"),"")</f>
        <v/>
      </c>
      <c r="G16872" s="8" t="str">
        <f t="shared" si="1"/>
        <v/>
      </c>
      <c r="H16872" s="14" t="str">
        <f t="shared" si="2"/>
        <v/>
      </c>
      <c r="I16872" s="15" t="str">
        <f t="shared" si="3"/>
        <v/>
      </c>
    </row>
    <row r="16873">
      <c r="A16873" s="8" t="str">
        <f>IFERROR(__xludf.DUMMYFUNCTION("IF('(INGESTA)Datos_consumo_datadis'!A18438&lt;&gt;"""",SPLIT('(INGESTA)Datos_consumo_datadis'!A:A,"",""),"""")"),"")</f>
        <v/>
      </c>
      <c r="G16873" s="8" t="str">
        <f t="shared" si="1"/>
        <v/>
      </c>
      <c r="H16873" s="14" t="str">
        <f t="shared" si="2"/>
        <v/>
      </c>
      <c r="I16873" s="15" t="str">
        <f t="shared" si="3"/>
        <v/>
      </c>
    </row>
    <row r="16874">
      <c r="A16874" s="8" t="str">
        <f>IFERROR(__xludf.DUMMYFUNCTION("IF('(INGESTA)Datos_consumo_datadis'!A18439&lt;&gt;"""",SPLIT('(INGESTA)Datos_consumo_datadis'!A:A,"",""),"""")"),"")</f>
        <v/>
      </c>
      <c r="G16874" s="8" t="str">
        <f t="shared" si="1"/>
        <v/>
      </c>
      <c r="H16874" s="14" t="str">
        <f t="shared" si="2"/>
        <v/>
      </c>
      <c r="I16874" s="15" t="str">
        <f t="shared" si="3"/>
        <v/>
      </c>
    </row>
    <row r="16875">
      <c r="A16875" s="8" t="str">
        <f>IFERROR(__xludf.DUMMYFUNCTION("IF('(INGESTA)Datos_consumo_datadis'!A18440&lt;&gt;"""",SPLIT('(INGESTA)Datos_consumo_datadis'!A:A,"",""),"""")"),"")</f>
        <v/>
      </c>
      <c r="G16875" s="8" t="str">
        <f t="shared" si="1"/>
        <v/>
      </c>
      <c r="H16875" s="14" t="str">
        <f t="shared" si="2"/>
        <v/>
      </c>
      <c r="I16875" s="15" t="str">
        <f t="shared" si="3"/>
        <v/>
      </c>
    </row>
    <row r="16876">
      <c r="A16876" s="8" t="str">
        <f>IFERROR(__xludf.DUMMYFUNCTION("IF('(INGESTA)Datos_consumo_datadis'!A18441&lt;&gt;"""",SPLIT('(INGESTA)Datos_consumo_datadis'!A:A,"",""),"""")"),"")</f>
        <v/>
      </c>
      <c r="G16876" s="8" t="str">
        <f t="shared" si="1"/>
        <v/>
      </c>
      <c r="H16876" s="14" t="str">
        <f t="shared" si="2"/>
        <v/>
      </c>
      <c r="I16876" s="15" t="str">
        <f t="shared" si="3"/>
        <v/>
      </c>
    </row>
    <row r="16877">
      <c r="A16877" s="8" t="str">
        <f>IFERROR(__xludf.DUMMYFUNCTION("IF('(INGESTA)Datos_consumo_datadis'!A18442&lt;&gt;"""",SPLIT('(INGESTA)Datos_consumo_datadis'!A:A,"",""),"""")"),"")</f>
        <v/>
      </c>
      <c r="G16877" s="8" t="str">
        <f t="shared" si="1"/>
        <v/>
      </c>
      <c r="H16877" s="14" t="str">
        <f t="shared" si="2"/>
        <v/>
      </c>
      <c r="I16877" s="15" t="str">
        <f t="shared" si="3"/>
        <v/>
      </c>
    </row>
    <row r="16878">
      <c r="A16878" s="8" t="str">
        <f>IFERROR(__xludf.DUMMYFUNCTION("IF('(INGESTA)Datos_consumo_datadis'!A18443&lt;&gt;"""",SPLIT('(INGESTA)Datos_consumo_datadis'!A:A,"",""),"""")"),"")</f>
        <v/>
      </c>
      <c r="G16878" s="8" t="str">
        <f t="shared" si="1"/>
        <v/>
      </c>
      <c r="H16878" s="14" t="str">
        <f t="shared" si="2"/>
        <v/>
      </c>
      <c r="I16878" s="15" t="str">
        <f t="shared" si="3"/>
        <v/>
      </c>
    </row>
    <row r="16879">
      <c r="A16879" s="8" t="str">
        <f>IFERROR(__xludf.DUMMYFUNCTION("IF('(INGESTA)Datos_consumo_datadis'!A18444&lt;&gt;"""",SPLIT('(INGESTA)Datos_consumo_datadis'!A:A,"",""),"""")"),"")</f>
        <v/>
      </c>
      <c r="G16879" s="8" t="str">
        <f t="shared" si="1"/>
        <v/>
      </c>
      <c r="H16879" s="14" t="str">
        <f t="shared" si="2"/>
        <v/>
      </c>
      <c r="I16879" s="15" t="str">
        <f t="shared" si="3"/>
        <v/>
      </c>
    </row>
    <row r="16880">
      <c r="A16880" s="8" t="str">
        <f>IFERROR(__xludf.DUMMYFUNCTION("IF('(INGESTA)Datos_consumo_datadis'!A18445&lt;&gt;"""",SPLIT('(INGESTA)Datos_consumo_datadis'!A:A,"",""),"""")"),"")</f>
        <v/>
      </c>
      <c r="G16880" s="8" t="str">
        <f t="shared" si="1"/>
        <v/>
      </c>
      <c r="H16880" s="14" t="str">
        <f t="shared" si="2"/>
        <v/>
      </c>
      <c r="I16880" s="15" t="str">
        <f t="shared" si="3"/>
        <v/>
      </c>
    </row>
    <row r="16881">
      <c r="A16881" s="8" t="str">
        <f>IFERROR(__xludf.DUMMYFUNCTION("IF('(INGESTA)Datos_consumo_datadis'!A18446&lt;&gt;"""",SPLIT('(INGESTA)Datos_consumo_datadis'!A:A,"",""),"""")"),"")</f>
        <v/>
      </c>
      <c r="G16881" s="8" t="str">
        <f t="shared" si="1"/>
        <v/>
      </c>
      <c r="H16881" s="14" t="str">
        <f t="shared" si="2"/>
        <v/>
      </c>
      <c r="I16881" s="15" t="str">
        <f t="shared" si="3"/>
        <v/>
      </c>
    </row>
    <row r="16882">
      <c r="A16882" s="8" t="str">
        <f>IFERROR(__xludf.DUMMYFUNCTION("IF('(INGESTA)Datos_consumo_datadis'!A18447&lt;&gt;"""",SPLIT('(INGESTA)Datos_consumo_datadis'!A:A,"",""),"""")"),"")</f>
        <v/>
      </c>
      <c r="G16882" s="8" t="str">
        <f t="shared" si="1"/>
        <v/>
      </c>
      <c r="H16882" s="14" t="str">
        <f t="shared" si="2"/>
        <v/>
      </c>
      <c r="I16882" s="15" t="str">
        <f t="shared" si="3"/>
        <v/>
      </c>
    </row>
    <row r="16883">
      <c r="A16883" s="8" t="str">
        <f>IFERROR(__xludf.DUMMYFUNCTION("IF('(INGESTA)Datos_consumo_datadis'!A18448&lt;&gt;"""",SPLIT('(INGESTA)Datos_consumo_datadis'!A:A,"",""),"""")"),"")</f>
        <v/>
      </c>
      <c r="G16883" s="8" t="str">
        <f t="shared" si="1"/>
        <v/>
      </c>
      <c r="H16883" s="14" t="str">
        <f t="shared" si="2"/>
        <v/>
      </c>
      <c r="I16883" s="15" t="str">
        <f t="shared" si="3"/>
        <v/>
      </c>
    </row>
    <row r="16884">
      <c r="A16884" s="8" t="str">
        <f>IFERROR(__xludf.DUMMYFUNCTION("IF('(INGESTA)Datos_consumo_datadis'!A18449&lt;&gt;"""",SPLIT('(INGESTA)Datos_consumo_datadis'!A:A,"",""),"""")"),"")</f>
        <v/>
      </c>
      <c r="G16884" s="8" t="str">
        <f t="shared" si="1"/>
        <v/>
      </c>
      <c r="H16884" s="14" t="str">
        <f t="shared" si="2"/>
        <v/>
      </c>
      <c r="I16884" s="15" t="str">
        <f t="shared" si="3"/>
        <v/>
      </c>
    </row>
    <row r="16885">
      <c r="A16885" s="8" t="str">
        <f>IFERROR(__xludf.DUMMYFUNCTION("IF('(INGESTA)Datos_consumo_datadis'!A18450&lt;&gt;"""",SPLIT('(INGESTA)Datos_consumo_datadis'!A:A,"",""),"""")"),"")</f>
        <v/>
      </c>
      <c r="G16885" s="8" t="str">
        <f t="shared" si="1"/>
        <v/>
      </c>
      <c r="H16885" s="14" t="str">
        <f t="shared" si="2"/>
        <v/>
      </c>
      <c r="I16885" s="15" t="str">
        <f t="shared" si="3"/>
        <v/>
      </c>
    </row>
    <row r="16886">
      <c r="A16886" s="8" t="str">
        <f>IFERROR(__xludf.DUMMYFUNCTION("IF('(INGESTA)Datos_consumo_datadis'!A18451&lt;&gt;"""",SPLIT('(INGESTA)Datos_consumo_datadis'!A:A,"",""),"""")"),"")</f>
        <v/>
      </c>
      <c r="G16886" s="8" t="str">
        <f t="shared" si="1"/>
        <v/>
      </c>
      <c r="H16886" s="14" t="str">
        <f t="shared" si="2"/>
        <v/>
      </c>
      <c r="I16886" s="15" t="str">
        <f t="shared" si="3"/>
        <v/>
      </c>
    </row>
    <row r="16887">
      <c r="A16887" s="8" t="str">
        <f>IFERROR(__xludf.DUMMYFUNCTION("IF('(INGESTA)Datos_consumo_datadis'!A18452&lt;&gt;"""",SPLIT('(INGESTA)Datos_consumo_datadis'!A:A,"",""),"""")"),"")</f>
        <v/>
      </c>
      <c r="G16887" s="8" t="str">
        <f t="shared" si="1"/>
        <v/>
      </c>
      <c r="H16887" s="14" t="str">
        <f t="shared" si="2"/>
        <v/>
      </c>
      <c r="I16887" s="15" t="str">
        <f t="shared" si="3"/>
        <v/>
      </c>
    </row>
    <row r="16888">
      <c r="A16888" s="8" t="str">
        <f>IFERROR(__xludf.DUMMYFUNCTION("IF('(INGESTA)Datos_consumo_datadis'!A18453&lt;&gt;"""",SPLIT('(INGESTA)Datos_consumo_datadis'!A:A,"",""),"""")"),"")</f>
        <v/>
      </c>
      <c r="G16888" s="8" t="str">
        <f t="shared" si="1"/>
        <v/>
      </c>
      <c r="H16888" s="14" t="str">
        <f t="shared" si="2"/>
        <v/>
      </c>
      <c r="I16888" s="15" t="str">
        <f t="shared" si="3"/>
        <v/>
      </c>
    </row>
    <row r="16889">
      <c r="A16889" s="8" t="str">
        <f>IFERROR(__xludf.DUMMYFUNCTION("IF('(INGESTA)Datos_consumo_datadis'!A18454&lt;&gt;"""",SPLIT('(INGESTA)Datos_consumo_datadis'!A:A,"",""),"""")"),"")</f>
        <v/>
      </c>
      <c r="G16889" s="8" t="str">
        <f t="shared" si="1"/>
        <v/>
      </c>
      <c r="H16889" s="14" t="str">
        <f t="shared" si="2"/>
        <v/>
      </c>
      <c r="I16889" s="15" t="str">
        <f t="shared" si="3"/>
        <v/>
      </c>
    </row>
    <row r="16890">
      <c r="A16890" s="8" t="str">
        <f>IFERROR(__xludf.DUMMYFUNCTION("IF('(INGESTA)Datos_consumo_datadis'!A18455&lt;&gt;"""",SPLIT('(INGESTA)Datos_consumo_datadis'!A:A,"",""),"""")"),"")</f>
        <v/>
      </c>
      <c r="G16890" s="8" t="str">
        <f t="shared" si="1"/>
        <v/>
      </c>
      <c r="H16890" s="14" t="str">
        <f t="shared" si="2"/>
        <v/>
      </c>
      <c r="I16890" s="15" t="str">
        <f t="shared" si="3"/>
        <v/>
      </c>
    </row>
    <row r="16891">
      <c r="A16891" s="8" t="str">
        <f>IFERROR(__xludf.DUMMYFUNCTION("IF('(INGESTA)Datos_consumo_datadis'!A18456&lt;&gt;"""",SPLIT('(INGESTA)Datos_consumo_datadis'!A:A,"",""),"""")"),"")</f>
        <v/>
      </c>
      <c r="G16891" s="8" t="str">
        <f t="shared" si="1"/>
        <v/>
      </c>
      <c r="H16891" s="14" t="str">
        <f t="shared" si="2"/>
        <v/>
      </c>
      <c r="I16891" s="15" t="str">
        <f t="shared" si="3"/>
        <v/>
      </c>
    </row>
    <row r="16892">
      <c r="A16892" s="8" t="str">
        <f>IFERROR(__xludf.DUMMYFUNCTION("IF('(INGESTA)Datos_consumo_datadis'!A18457&lt;&gt;"""",SPLIT('(INGESTA)Datos_consumo_datadis'!A:A,"",""),"""")"),"")</f>
        <v/>
      </c>
      <c r="G16892" s="8" t="str">
        <f t="shared" si="1"/>
        <v/>
      </c>
      <c r="H16892" s="14" t="str">
        <f t="shared" si="2"/>
        <v/>
      </c>
      <c r="I16892" s="15" t="str">
        <f t="shared" si="3"/>
        <v/>
      </c>
    </row>
    <row r="16893">
      <c r="A16893" s="8" t="str">
        <f>IFERROR(__xludf.DUMMYFUNCTION("IF('(INGESTA)Datos_consumo_datadis'!A18458&lt;&gt;"""",SPLIT('(INGESTA)Datos_consumo_datadis'!A:A,"",""),"""")"),"")</f>
        <v/>
      </c>
      <c r="G16893" s="8" t="str">
        <f t="shared" si="1"/>
        <v/>
      </c>
      <c r="H16893" s="14" t="str">
        <f t="shared" si="2"/>
        <v/>
      </c>
      <c r="I16893" s="15" t="str">
        <f t="shared" si="3"/>
        <v/>
      </c>
    </row>
    <row r="16894">
      <c r="A16894" s="8" t="str">
        <f>IFERROR(__xludf.DUMMYFUNCTION("IF('(INGESTA)Datos_consumo_datadis'!A18459&lt;&gt;"""",SPLIT('(INGESTA)Datos_consumo_datadis'!A:A,"",""),"""")"),"")</f>
        <v/>
      </c>
      <c r="G16894" s="8" t="str">
        <f t="shared" si="1"/>
        <v/>
      </c>
      <c r="H16894" s="14" t="str">
        <f t="shared" si="2"/>
        <v/>
      </c>
      <c r="I16894" s="15" t="str">
        <f t="shared" si="3"/>
        <v/>
      </c>
    </row>
    <row r="16895">
      <c r="A16895" s="8" t="str">
        <f>IFERROR(__xludf.DUMMYFUNCTION("IF('(INGESTA)Datos_consumo_datadis'!A18460&lt;&gt;"""",SPLIT('(INGESTA)Datos_consumo_datadis'!A:A,"",""),"""")"),"")</f>
        <v/>
      </c>
      <c r="G16895" s="8" t="str">
        <f t="shared" si="1"/>
        <v/>
      </c>
      <c r="H16895" s="14" t="str">
        <f t="shared" si="2"/>
        <v/>
      </c>
      <c r="I16895" s="15" t="str">
        <f t="shared" si="3"/>
        <v/>
      </c>
    </row>
    <row r="16896">
      <c r="A16896" s="8" t="str">
        <f>IFERROR(__xludf.DUMMYFUNCTION("IF('(INGESTA)Datos_consumo_datadis'!A18461&lt;&gt;"""",SPLIT('(INGESTA)Datos_consumo_datadis'!A:A,"",""),"""")"),"")</f>
        <v/>
      </c>
      <c r="G16896" s="8" t="str">
        <f t="shared" si="1"/>
        <v/>
      </c>
      <c r="H16896" s="14" t="str">
        <f t="shared" si="2"/>
        <v/>
      </c>
      <c r="I16896" s="15" t="str">
        <f t="shared" si="3"/>
        <v/>
      </c>
    </row>
    <row r="16897">
      <c r="A16897" s="8" t="str">
        <f>IFERROR(__xludf.DUMMYFUNCTION("IF('(INGESTA)Datos_consumo_datadis'!A18462&lt;&gt;"""",SPLIT('(INGESTA)Datos_consumo_datadis'!A:A,"",""),"""")"),"")</f>
        <v/>
      </c>
      <c r="G16897" s="8" t="str">
        <f t="shared" si="1"/>
        <v/>
      </c>
      <c r="H16897" s="14" t="str">
        <f t="shared" si="2"/>
        <v/>
      </c>
      <c r="I16897" s="15" t="str">
        <f t="shared" si="3"/>
        <v/>
      </c>
    </row>
    <row r="16898">
      <c r="A16898" s="8" t="str">
        <f>IFERROR(__xludf.DUMMYFUNCTION("IF('(INGESTA)Datos_consumo_datadis'!A18463&lt;&gt;"""",SPLIT('(INGESTA)Datos_consumo_datadis'!A:A,"",""),"""")"),"")</f>
        <v/>
      </c>
      <c r="G16898" s="8" t="str">
        <f t="shared" si="1"/>
        <v/>
      </c>
      <c r="H16898" s="14" t="str">
        <f t="shared" si="2"/>
        <v/>
      </c>
      <c r="I16898" s="15" t="str">
        <f t="shared" si="3"/>
        <v/>
      </c>
    </row>
    <row r="16899">
      <c r="A16899" s="8" t="str">
        <f>IFERROR(__xludf.DUMMYFUNCTION("IF('(INGESTA)Datos_consumo_datadis'!A18464&lt;&gt;"""",SPLIT('(INGESTA)Datos_consumo_datadis'!A:A,"",""),"""")"),"")</f>
        <v/>
      </c>
      <c r="G16899" s="8" t="str">
        <f t="shared" si="1"/>
        <v/>
      </c>
      <c r="H16899" s="14" t="str">
        <f t="shared" si="2"/>
        <v/>
      </c>
      <c r="I16899" s="15" t="str">
        <f t="shared" si="3"/>
        <v/>
      </c>
    </row>
    <row r="16900">
      <c r="A16900" s="8" t="str">
        <f>IFERROR(__xludf.DUMMYFUNCTION("IF('(INGESTA)Datos_consumo_datadis'!A18465&lt;&gt;"""",SPLIT('(INGESTA)Datos_consumo_datadis'!A:A,"",""),"""")"),"")</f>
        <v/>
      </c>
      <c r="G16900" s="8" t="str">
        <f t="shared" si="1"/>
        <v/>
      </c>
      <c r="H16900" s="14" t="str">
        <f t="shared" si="2"/>
        <v/>
      </c>
      <c r="I16900" s="15" t="str">
        <f t="shared" si="3"/>
        <v/>
      </c>
    </row>
    <row r="16901">
      <c r="A16901" s="8" t="str">
        <f>IFERROR(__xludf.DUMMYFUNCTION("IF('(INGESTA)Datos_consumo_datadis'!A18466&lt;&gt;"""",SPLIT('(INGESTA)Datos_consumo_datadis'!A:A,"",""),"""")"),"")</f>
        <v/>
      </c>
      <c r="G16901" s="8" t="str">
        <f t="shared" si="1"/>
        <v/>
      </c>
      <c r="H16901" s="14" t="str">
        <f t="shared" si="2"/>
        <v/>
      </c>
      <c r="I16901" s="15" t="str">
        <f t="shared" si="3"/>
        <v/>
      </c>
    </row>
    <row r="16902">
      <c r="A16902" s="8" t="str">
        <f>IFERROR(__xludf.DUMMYFUNCTION("IF('(INGESTA)Datos_consumo_datadis'!A18467&lt;&gt;"""",SPLIT('(INGESTA)Datos_consumo_datadis'!A:A,"",""),"""")"),"")</f>
        <v/>
      </c>
      <c r="G16902" s="8" t="str">
        <f t="shared" si="1"/>
        <v/>
      </c>
      <c r="H16902" s="14" t="str">
        <f t="shared" si="2"/>
        <v/>
      </c>
      <c r="I16902" s="15" t="str">
        <f t="shared" si="3"/>
        <v/>
      </c>
    </row>
    <row r="16903">
      <c r="A16903" s="8" t="str">
        <f>IFERROR(__xludf.DUMMYFUNCTION("IF('(INGESTA)Datos_consumo_datadis'!A18468&lt;&gt;"""",SPLIT('(INGESTA)Datos_consumo_datadis'!A:A,"",""),"""")"),"")</f>
        <v/>
      </c>
      <c r="G16903" s="8" t="str">
        <f t="shared" si="1"/>
        <v/>
      </c>
      <c r="H16903" s="14" t="str">
        <f t="shared" si="2"/>
        <v/>
      </c>
      <c r="I16903" s="15" t="str">
        <f t="shared" si="3"/>
        <v/>
      </c>
    </row>
    <row r="16904">
      <c r="A16904" s="8" t="str">
        <f>IFERROR(__xludf.DUMMYFUNCTION("IF('(INGESTA)Datos_consumo_datadis'!A18469&lt;&gt;"""",SPLIT('(INGESTA)Datos_consumo_datadis'!A:A,"",""),"""")"),"")</f>
        <v/>
      </c>
      <c r="G16904" s="8" t="str">
        <f t="shared" si="1"/>
        <v/>
      </c>
      <c r="H16904" s="14" t="str">
        <f t="shared" si="2"/>
        <v/>
      </c>
      <c r="I16904" s="15" t="str">
        <f t="shared" si="3"/>
        <v/>
      </c>
    </row>
    <row r="16905">
      <c r="A16905" s="8" t="str">
        <f>IFERROR(__xludf.DUMMYFUNCTION("IF('(INGESTA)Datos_consumo_datadis'!A18470&lt;&gt;"""",SPLIT('(INGESTA)Datos_consumo_datadis'!A:A,"",""),"""")"),"")</f>
        <v/>
      </c>
      <c r="G16905" s="8" t="str">
        <f t="shared" si="1"/>
        <v/>
      </c>
      <c r="H16905" s="14" t="str">
        <f t="shared" si="2"/>
        <v/>
      </c>
      <c r="I16905" s="15" t="str">
        <f t="shared" si="3"/>
        <v/>
      </c>
    </row>
    <row r="16906">
      <c r="A16906" s="8" t="str">
        <f>IFERROR(__xludf.DUMMYFUNCTION("IF('(INGESTA)Datos_consumo_datadis'!A18471&lt;&gt;"""",SPLIT('(INGESTA)Datos_consumo_datadis'!A:A,"",""),"""")"),"")</f>
        <v/>
      </c>
      <c r="G16906" s="8" t="str">
        <f t="shared" si="1"/>
        <v/>
      </c>
      <c r="H16906" s="14" t="str">
        <f t="shared" si="2"/>
        <v/>
      </c>
      <c r="I16906" s="15" t="str">
        <f t="shared" si="3"/>
        <v/>
      </c>
    </row>
    <row r="16907">
      <c r="A16907" s="8" t="str">
        <f>IFERROR(__xludf.DUMMYFUNCTION("IF('(INGESTA)Datos_consumo_datadis'!A18472&lt;&gt;"""",SPLIT('(INGESTA)Datos_consumo_datadis'!A:A,"",""),"""")"),"")</f>
        <v/>
      </c>
      <c r="G16907" s="8" t="str">
        <f t="shared" si="1"/>
        <v/>
      </c>
      <c r="H16907" s="14" t="str">
        <f t="shared" si="2"/>
        <v/>
      </c>
      <c r="I16907" s="15" t="str">
        <f t="shared" si="3"/>
        <v/>
      </c>
    </row>
    <row r="16908">
      <c r="A16908" s="8" t="str">
        <f>IFERROR(__xludf.DUMMYFUNCTION("IF('(INGESTA)Datos_consumo_datadis'!A18473&lt;&gt;"""",SPLIT('(INGESTA)Datos_consumo_datadis'!A:A,"",""),"""")"),"")</f>
        <v/>
      </c>
      <c r="G16908" s="8" t="str">
        <f t="shared" si="1"/>
        <v/>
      </c>
      <c r="H16908" s="14" t="str">
        <f t="shared" si="2"/>
        <v/>
      </c>
      <c r="I16908" s="15" t="str">
        <f t="shared" si="3"/>
        <v/>
      </c>
    </row>
    <row r="16909">
      <c r="A16909" s="8" t="str">
        <f>IFERROR(__xludf.DUMMYFUNCTION("IF('(INGESTA)Datos_consumo_datadis'!A18474&lt;&gt;"""",SPLIT('(INGESTA)Datos_consumo_datadis'!A:A,"",""),"""")"),"")</f>
        <v/>
      </c>
      <c r="G16909" s="8" t="str">
        <f t="shared" si="1"/>
        <v/>
      </c>
      <c r="H16909" s="14" t="str">
        <f t="shared" si="2"/>
        <v/>
      </c>
      <c r="I16909" s="15" t="str">
        <f t="shared" si="3"/>
        <v/>
      </c>
    </row>
    <row r="16910">
      <c r="A16910" s="8" t="str">
        <f>IFERROR(__xludf.DUMMYFUNCTION("IF('(INGESTA)Datos_consumo_datadis'!A18475&lt;&gt;"""",SPLIT('(INGESTA)Datos_consumo_datadis'!A:A,"",""),"""")"),"")</f>
        <v/>
      </c>
      <c r="G16910" s="8" t="str">
        <f t="shared" si="1"/>
        <v/>
      </c>
      <c r="H16910" s="14" t="str">
        <f t="shared" si="2"/>
        <v/>
      </c>
      <c r="I16910" s="15" t="str">
        <f t="shared" si="3"/>
        <v/>
      </c>
    </row>
    <row r="16911">
      <c r="A16911" s="8" t="str">
        <f>IFERROR(__xludf.DUMMYFUNCTION("IF('(INGESTA)Datos_consumo_datadis'!A18476&lt;&gt;"""",SPLIT('(INGESTA)Datos_consumo_datadis'!A:A,"",""),"""")"),"")</f>
        <v/>
      </c>
      <c r="G16911" s="8" t="str">
        <f t="shared" si="1"/>
        <v/>
      </c>
      <c r="H16911" s="14" t="str">
        <f t="shared" si="2"/>
        <v/>
      </c>
      <c r="I16911" s="15" t="str">
        <f t="shared" si="3"/>
        <v/>
      </c>
    </row>
    <row r="16912">
      <c r="A16912" s="8" t="str">
        <f>IFERROR(__xludf.DUMMYFUNCTION("IF('(INGESTA)Datos_consumo_datadis'!A18477&lt;&gt;"""",SPLIT('(INGESTA)Datos_consumo_datadis'!A:A,"",""),"""")"),"")</f>
        <v/>
      </c>
      <c r="G16912" s="8" t="str">
        <f t="shared" si="1"/>
        <v/>
      </c>
      <c r="H16912" s="14" t="str">
        <f t="shared" si="2"/>
        <v/>
      </c>
      <c r="I16912" s="15" t="str">
        <f t="shared" si="3"/>
        <v/>
      </c>
    </row>
    <row r="16913">
      <c r="A16913" s="8" t="str">
        <f>IFERROR(__xludf.DUMMYFUNCTION("IF('(INGESTA)Datos_consumo_datadis'!A18478&lt;&gt;"""",SPLIT('(INGESTA)Datos_consumo_datadis'!A:A,"",""),"""")"),"")</f>
        <v/>
      </c>
      <c r="G16913" s="8" t="str">
        <f t="shared" si="1"/>
        <v/>
      </c>
      <c r="H16913" s="14" t="str">
        <f t="shared" si="2"/>
        <v/>
      </c>
      <c r="I16913" s="15" t="str">
        <f t="shared" si="3"/>
        <v/>
      </c>
    </row>
    <row r="16914">
      <c r="A16914" s="8" t="str">
        <f>IFERROR(__xludf.DUMMYFUNCTION("IF('(INGESTA)Datos_consumo_datadis'!A18479&lt;&gt;"""",SPLIT('(INGESTA)Datos_consumo_datadis'!A:A,"",""),"""")"),"")</f>
        <v/>
      </c>
      <c r="G16914" s="8" t="str">
        <f t="shared" si="1"/>
        <v/>
      </c>
      <c r="H16914" s="14" t="str">
        <f t="shared" si="2"/>
        <v/>
      </c>
      <c r="I16914" s="15" t="str">
        <f t="shared" si="3"/>
        <v/>
      </c>
    </row>
    <row r="16915">
      <c r="A16915" s="8" t="str">
        <f>IFERROR(__xludf.DUMMYFUNCTION("IF('(INGESTA)Datos_consumo_datadis'!A18480&lt;&gt;"""",SPLIT('(INGESTA)Datos_consumo_datadis'!A:A,"",""),"""")"),"")</f>
        <v/>
      </c>
      <c r="G16915" s="8" t="str">
        <f t="shared" si="1"/>
        <v/>
      </c>
      <c r="H16915" s="14" t="str">
        <f t="shared" si="2"/>
        <v/>
      </c>
      <c r="I16915" s="15" t="str">
        <f t="shared" si="3"/>
        <v/>
      </c>
    </row>
    <row r="16916">
      <c r="A16916" s="8" t="str">
        <f>IFERROR(__xludf.DUMMYFUNCTION("IF('(INGESTA)Datos_consumo_datadis'!A18481&lt;&gt;"""",SPLIT('(INGESTA)Datos_consumo_datadis'!A:A,"",""),"""")"),"")</f>
        <v/>
      </c>
      <c r="G16916" s="8" t="str">
        <f t="shared" si="1"/>
        <v/>
      </c>
      <c r="H16916" s="14" t="str">
        <f t="shared" si="2"/>
        <v/>
      </c>
      <c r="I16916" s="15" t="str">
        <f t="shared" si="3"/>
        <v/>
      </c>
    </row>
    <row r="16917">
      <c r="A16917" s="8" t="str">
        <f>IFERROR(__xludf.DUMMYFUNCTION("IF('(INGESTA)Datos_consumo_datadis'!A18482&lt;&gt;"""",SPLIT('(INGESTA)Datos_consumo_datadis'!A:A,"",""),"""")"),"")</f>
        <v/>
      </c>
      <c r="G16917" s="8" t="str">
        <f t="shared" si="1"/>
        <v/>
      </c>
      <c r="H16917" s="14" t="str">
        <f t="shared" si="2"/>
        <v/>
      </c>
      <c r="I16917" s="15" t="str">
        <f t="shared" si="3"/>
        <v/>
      </c>
    </row>
    <row r="16918">
      <c r="A16918" s="8" t="str">
        <f>IFERROR(__xludf.DUMMYFUNCTION("IF('(INGESTA)Datos_consumo_datadis'!A18483&lt;&gt;"""",SPLIT('(INGESTA)Datos_consumo_datadis'!A:A,"",""),"""")"),"")</f>
        <v/>
      </c>
      <c r="G16918" s="8" t="str">
        <f t="shared" si="1"/>
        <v/>
      </c>
      <c r="H16918" s="14" t="str">
        <f t="shared" si="2"/>
        <v/>
      </c>
      <c r="I16918" s="15" t="str">
        <f t="shared" si="3"/>
        <v/>
      </c>
    </row>
    <row r="16919">
      <c r="A16919" s="8" t="str">
        <f>IFERROR(__xludf.DUMMYFUNCTION("IF('(INGESTA)Datos_consumo_datadis'!A18484&lt;&gt;"""",SPLIT('(INGESTA)Datos_consumo_datadis'!A:A,"",""),"""")"),"")</f>
        <v/>
      </c>
      <c r="G16919" s="8" t="str">
        <f t="shared" si="1"/>
        <v/>
      </c>
      <c r="H16919" s="14" t="str">
        <f t="shared" si="2"/>
        <v/>
      </c>
      <c r="I16919" s="15" t="str">
        <f t="shared" si="3"/>
        <v/>
      </c>
    </row>
    <row r="16920">
      <c r="A16920" s="8" t="str">
        <f>IFERROR(__xludf.DUMMYFUNCTION("IF('(INGESTA)Datos_consumo_datadis'!A18485&lt;&gt;"""",SPLIT('(INGESTA)Datos_consumo_datadis'!A:A,"",""),"""")"),"")</f>
        <v/>
      </c>
      <c r="G16920" s="8" t="str">
        <f t="shared" si="1"/>
        <v/>
      </c>
      <c r="H16920" s="14" t="str">
        <f t="shared" si="2"/>
        <v/>
      </c>
      <c r="I16920" s="15" t="str">
        <f t="shared" si="3"/>
        <v/>
      </c>
    </row>
    <row r="16921">
      <c r="A16921" s="8" t="str">
        <f>IFERROR(__xludf.DUMMYFUNCTION("IF('(INGESTA)Datos_consumo_datadis'!A18486&lt;&gt;"""",SPLIT('(INGESTA)Datos_consumo_datadis'!A:A,"",""),"""")"),"")</f>
        <v/>
      </c>
      <c r="G16921" s="8" t="str">
        <f t="shared" si="1"/>
        <v/>
      </c>
      <c r="H16921" s="14" t="str">
        <f t="shared" si="2"/>
        <v/>
      </c>
      <c r="I16921" s="15" t="str">
        <f t="shared" si="3"/>
        <v/>
      </c>
    </row>
    <row r="16922">
      <c r="A16922" s="8" t="str">
        <f>IFERROR(__xludf.DUMMYFUNCTION("IF('(INGESTA)Datos_consumo_datadis'!A18487&lt;&gt;"""",SPLIT('(INGESTA)Datos_consumo_datadis'!A:A,"",""),"""")"),"")</f>
        <v/>
      </c>
      <c r="G16922" s="8" t="str">
        <f t="shared" si="1"/>
        <v/>
      </c>
      <c r="H16922" s="14" t="str">
        <f t="shared" si="2"/>
        <v/>
      </c>
      <c r="I16922" s="15" t="str">
        <f t="shared" si="3"/>
        <v/>
      </c>
    </row>
    <row r="16923">
      <c r="A16923" s="8" t="str">
        <f>IFERROR(__xludf.DUMMYFUNCTION("IF('(INGESTA)Datos_consumo_datadis'!A18488&lt;&gt;"""",SPLIT('(INGESTA)Datos_consumo_datadis'!A:A,"",""),"""")"),"")</f>
        <v/>
      </c>
      <c r="G16923" s="8" t="str">
        <f t="shared" si="1"/>
        <v/>
      </c>
      <c r="H16923" s="14" t="str">
        <f t="shared" si="2"/>
        <v/>
      </c>
      <c r="I16923" s="15" t="str">
        <f t="shared" si="3"/>
        <v/>
      </c>
    </row>
    <row r="16924">
      <c r="A16924" s="8" t="str">
        <f>IFERROR(__xludf.DUMMYFUNCTION("IF('(INGESTA)Datos_consumo_datadis'!A18489&lt;&gt;"""",SPLIT('(INGESTA)Datos_consumo_datadis'!A:A,"",""),"""")"),"")</f>
        <v/>
      </c>
      <c r="G16924" s="8" t="str">
        <f t="shared" si="1"/>
        <v/>
      </c>
      <c r="H16924" s="14" t="str">
        <f t="shared" si="2"/>
        <v/>
      </c>
      <c r="I16924" s="15" t="str">
        <f t="shared" si="3"/>
        <v/>
      </c>
    </row>
    <row r="16925">
      <c r="A16925" s="8" t="str">
        <f>IFERROR(__xludf.DUMMYFUNCTION("IF('(INGESTA)Datos_consumo_datadis'!A18490&lt;&gt;"""",SPLIT('(INGESTA)Datos_consumo_datadis'!A:A,"",""),"""")"),"")</f>
        <v/>
      </c>
      <c r="G16925" s="8" t="str">
        <f t="shared" si="1"/>
        <v/>
      </c>
      <c r="H16925" s="14" t="str">
        <f t="shared" si="2"/>
        <v/>
      </c>
      <c r="I16925" s="15" t="str">
        <f t="shared" si="3"/>
        <v/>
      </c>
    </row>
    <row r="16926">
      <c r="A16926" s="8" t="str">
        <f>IFERROR(__xludf.DUMMYFUNCTION("IF('(INGESTA)Datos_consumo_datadis'!A18491&lt;&gt;"""",SPLIT('(INGESTA)Datos_consumo_datadis'!A:A,"",""),"""")"),"")</f>
        <v/>
      </c>
      <c r="G16926" s="8" t="str">
        <f t="shared" si="1"/>
        <v/>
      </c>
      <c r="H16926" s="14" t="str">
        <f t="shared" si="2"/>
        <v/>
      </c>
      <c r="I16926" s="15" t="str">
        <f t="shared" si="3"/>
        <v/>
      </c>
    </row>
    <row r="16927">
      <c r="A16927" s="8" t="str">
        <f>IFERROR(__xludf.DUMMYFUNCTION("IF('(INGESTA)Datos_consumo_datadis'!A18492&lt;&gt;"""",SPLIT('(INGESTA)Datos_consumo_datadis'!A:A,"",""),"""")"),"")</f>
        <v/>
      </c>
      <c r="G16927" s="8" t="str">
        <f t="shared" si="1"/>
        <v/>
      </c>
      <c r="H16927" s="14" t="str">
        <f t="shared" si="2"/>
        <v/>
      </c>
      <c r="I16927" s="15" t="str">
        <f t="shared" si="3"/>
        <v/>
      </c>
    </row>
    <row r="16928">
      <c r="A16928" s="8" t="str">
        <f>IFERROR(__xludf.DUMMYFUNCTION("IF('(INGESTA)Datos_consumo_datadis'!A18493&lt;&gt;"""",SPLIT('(INGESTA)Datos_consumo_datadis'!A:A,"",""),"""")"),"")</f>
        <v/>
      </c>
      <c r="G16928" s="8" t="str">
        <f t="shared" si="1"/>
        <v/>
      </c>
      <c r="H16928" s="14" t="str">
        <f t="shared" si="2"/>
        <v/>
      </c>
      <c r="I16928" s="15" t="str">
        <f t="shared" si="3"/>
        <v/>
      </c>
    </row>
    <row r="16929">
      <c r="A16929" s="8" t="str">
        <f>IFERROR(__xludf.DUMMYFUNCTION("IF('(INGESTA)Datos_consumo_datadis'!A18494&lt;&gt;"""",SPLIT('(INGESTA)Datos_consumo_datadis'!A:A,"",""),"""")"),"")</f>
        <v/>
      </c>
      <c r="G16929" s="8" t="str">
        <f t="shared" si="1"/>
        <v/>
      </c>
      <c r="H16929" s="14" t="str">
        <f t="shared" si="2"/>
        <v/>
      </c>
      <c r="I16929" s="15" t="str">
        <f t="shared" si="3"/>
        <v/>
      </c>
    </row>
    <row r="16930">
      <c r="A16930" s="8" t="str">
        <f>IFERROR(__xludf.DUMMYFUNCTION("IF('(INGESTA)Datos_consumo_datadis'!A18495&lt;&gt;"""",SPLIT('(INGESTA)Datos_consumo_datadis'!A:A,"",""),"""")"),"")</f>
        <v/>
      </c>
      <c r="G16930" s="8" t="str">
        <f t="shared" si="1"/>
        <v/>
      </c>
      <c r="H16930" s="14" t="str">
        <f t="shared" si="2"/>
        <v/>
      </c>
      <c r="I16930" s="15" t="str">
        <f t="shared" si="3"/>
        <v/>
      </c>
    </row>
    <row r="16931">
      <c r="A16931" s="8" t="str">
        <f>IFERROR(__xludf.DUMMYFUNCTION("IF('(INGESTA)Datos_consumo_datadis'!A18496&lt;&gt;"""",SPLIT('(INGESTA)Datos_consumo_datadis'!A:A,"",""),"""")"),"")</f>
        <v/>
      </c>
      <c r="G16931" s="8" t="str">
        <f t="shared" si="1"/>
        <v/>
      </c>
      <c r="H16931" s="14" t="str">
        <f t="shared" si="2"/>
        <v/>
      </c>
      <c r="I16931" s="15" t="str">
        <f t="shared" si="3"/>
        <v/>
      </c>
    </row>
    <row r="16932">
      <c r="A16932" s="8" t="str">
        <f>IFERROR(__xludf.DUMMYFUNCTION("IF('(INGESTA)Datos_consumo_datadis'!A18497&lt;&gt;"""",SPLIT('(INGESTA)Datos_consumo_datadis'!A:A,"",""),"""")"),"")</f>
        <v/>
      </c>
      <c r="G16932" s="8" t="str">
        <f t="shared" si="1"/>
        <v/>
      </c>
      <c r="H16932" s="14" t="str">
        <f t="shared" si="2"/>
        <v/>
      </c>
      <c r="I16932" s="15" t="str">
        <f t="shared" si="3"/>
        <v/>
      </c>
    </row>
    <row r="16933">
      <c r="A16933" s="8" t="str">
        <f>IFERROR(__xludf.DUMMYFUNCTION("IF('(INGESTA)Datos_consumo_datadis'!A18498&lt;&gt;"""",SPLIT('(INGESTA)Datos_consumo_datadis'!A:A,"",""),"""")"),"")</f>
        <v/>
      </c>
      <c r="G16933" s="8" t="str">
        <f t="shared" si="1"/>
        <v/>
      </c>
      <c r="H16933" s="14" t="str">
        <f t="shared" si="2"/>
        <v/>
      </c>
      <c r="I16933" s="15" t="str">
        <f t="shared" si="3"/>
        <v/>
      </c>
    </row>
    <row r="16934">
      <c r="A16934" s="8" t="str">
        <f>IFERROR(__xludf.DUMMYFUNCTION("IF('(INGESTA)Datos_consumo_datadis'!A18499&lt;&gt;"""",SPLIT('(INGESTA)Datos_consumo_datadis'!A:A,"",""),"""")"),"")</f>
        <v/>
      </c>
      <c r="G16934" s="8" t="str">
        <f t="shared" si="1"/>
        <v/>
      </c>
      <c r="H16934" s="14" t="str">
        <f t="shared" si="2"/>
        <v/>
      </c>
      <c r="I16934" s="15" t="str">
        <f t="shared" si="3"/>
        <v/>
      </c>
    </row>
    <row r="16935">
      <c r="A16935" s="8" t="str">
        <f>IFERROR(__xludf.DUMMYFUNCTION("IF('(INGESTA)Datos_consumo_datadis'!A18500&lt;&gt;"""",SPLIT('(INGESTA)Datos_consumo_datadis'!A:A,"",""),"""")"),"")</f>
        <v/>
      </c>
      <c r="G16935" s="8" t="str">
        <f t="shared" si="1"/>
        <v/>
      </c>
      <c r="H16935" s="14" t="str">
        <f t="shared" si="2"/>
        <v/>
      </c>
      <c r="I16935" s="15" t="str">
        <f t="shared" si="3"/>
        <v/>
      </c>
    </row>
    <row r="16936">
      <c r="A16936" s="8" t="str">
        <f>IFERROR(__xludf.DUMMYFUNCTION("IF('(INGESTA)Datos_consumo_datadis'!A18501&lt;&gt;"""",SPLIT('(INGESTA)Datos_consumo_datadis'!A:A,"",""),"""")"),"")</f>
        <v/>
      </c>
      <c r="G16936" s="8" t="str">
        <f t="shared" si="1"/>
        <v/>
      </c>
      <c r="H16936" s="14" t="str">
        <f t="shared" si="2"/>
        <v/>
      </c>
      <c r="I16936" s="15" t="str">
        <f t="shared" si="3"/>
        <v/>
      </c>
    </row>
    <row r="16937">
      <c r="A16937" s="8" t="str">
        <f>IFERROR(__xludf.DUMMYFUNCTION("IF('(INGESTA)Datos_consumo_datadis'!A18502&lt;&gt;"""",SPLIT('(INGESTA)Datos_consumo_datadis'!A:A,"",""),"""")"),"")</f>
        <v/>
      </c>
      <c r="G16937" s="8" t="str">
        <f t="shared" si="1"/>
        <v/>
      </c>
      <c r="H16937" s="14" t="str">
        <f t="shared" si="2"/>
        <v/>
      </c>
      <c r="I16937" s="15" t="str">
        <f t="shared" si="3"/>
        <v/>
      </c>
    </row>
    <row r="16938">
      <c r="A16938" s="8" t="str">
        <f>IFERROR(__xludf.DUMMYFUNCTION("IF('(INGESTA)Datos_consumo_datadis'!A18503&lt;&gt;"""",SPLIT('(INGESTA)Datos_consumo_datadis'!A:A,"",""),"""")"),"")</f>
        <v/>
      </c>
      <c r="G16938" s="8" t="str">
        <f t="shared" si="1"/>
        <v/>
      </c>
      <c r="H16938" s="14" t="str">
        <f t="shared" si="2"/>
        <v/>
      </c>
      <c r="I16938" s="15" t="str">
        <f t="shared" si="3"/>
        <v/>
      </c>
    </row>
    <row r="16939">
      <c r="A16939" s="8" t="str">
        <f>IFERROR(__xludf.DUMMYFUNCTION("IF('(INGESTA)Datos_consumo_datadis'!A18504&lt;&gt;"""",SPLIT('(INGESTA)Datos_consumo_datadis'!A:A,"",""),"""")"),"")</f>
        <v/>
      </c>
      <c r="G16939" s="8" t="str">
        <f t="shared" si="1"/>
        <v/>
      </c>
      <c r="H16939" s="14" t="str">
        <f t="shared" si="2"/>
        <v/>
      </c>
      <c r="I16939" s="15" t="str">
        <f t="shared" si="3"/>
        <v/>
      </c>
    </row>
    <row r="16940">
      <c r="A16940" s="8" t="str">
        <f>IFERROR(__xludf.DUMMYFUNCTION("IF('(INGESTA)Datos_consumo_datadis'!A18505&lt;&gt;"""",SPLIT('(INGESTA)Datos_consumo_datadis'!A:A,"",""),"""")"),"")</f>
        <v/>
      </c>
      <c r="G16940" s="8" t="str">
        <f t="shared" si="1"/>
        <v/>
      </c>
      <c r="H16940" s="14" t="str">
        <f t="shared" si="2"/>
        <v/>
      </c>
      <c r="I16940" s="15" t="str">
        <f t="shared" si="3"/>
        <v/>
      </c>
    </row>
    <row r="16941">
      <c r="A16941" s="8" t="str">
        <f>IFERROR(__xludf.DUMMYFUNCTION("IF('(INGESTA)Datos_consumo_datadis'!A18506&lt;&gt;"""",SPLIT('(INGESTA)Datos_consumo_datadis'!A:A,"",""),"""")"),"")</f>
        <v/>
      </c>
      <c r="G16941" s="8" t="str">
        <f t="shared" si="1"/>
        <v/>
      </c>
      <c r="H16941" s="14" t="str">
        <f t="shared" si="2"/>
        <v/>
      </c>
      <c r="I16941" s="15" t="str">
        <f t="shared" si="3"/>
        <v/>
      </c>
    </row>
    <row r="16942">
      <c r="A16942" s="8" t="str">
        <f>IFERROR(__xludf.DUMMYFUNCTION("IF('(INGESTA)Datos_consumo_datadis'!A18507&lt;&gt;"""",SPLIT('(INGESTA)Datos_consumo_datadis'!A:A,"",""),"""")"),"")</f>
        <v/>
      </c>
      <c r="G16942" s="8" t="str">
        <f t="shared" si="1"/>
        <v/>
      </c>
      <c r="H16942" s="14" t="str">
        <f t="shared" si="2"/>
        <v/>
      </c>
      <c r="I16942" s="15" t="str">
        <f t="shared" si="3"/>
        <v/>
      </c>
    </row>
    <row r="16943">
      <c r="A16943" s="8" t="str">
        <f>IFERROR(__xludf.DUMMYFUNCTION("IF('(INGESTA)Datos_consumo_datadis'!A18508&lt;&gt;"""",SPLIT('(INGESTA)Datos_consumo_datadis'!A:A,"",""),"""")"),"")</f>
        <v/>
      </c>
      <c r="G16943" s="8" t="str">
        <f t="shared" si="1"/>
        <v/>
      </c>
      <c r="H16943" s="14" t="str">
        <f t="shared" si="2"/>
        <v/>
      </c>
      <c r="I16943" s="15" t="str">
        <f t="shared" si="3"/>
        <v/>
      </c>
    </row>
    <row r="16944">
      <c r="A16944" s="8" t="str">
        <f>IFERROR(__xludf.DUMMYFUNCTION("IF('(INGESTA)Datos_consumo_datadis'!A18509&lt;&gt;"""",SPLIT('(INGESTA)Datos_consumo_datadis'!A:A,"",""),"""")"),"")</f>
        <v/>
      </c>
      <c r="G16944" s="8" t="str">
        <f t="shared" si="1"/>
        <v/>
      </c>
      <c r="H16944" s="14" t="str">
        <f t="shared" si="2"/>
        <v/>
      </c>
      <c r="I16944" s="15" t="str">
        <f t="shared" si="3"/>
        <v/>
      </c>
    </row>
    <row r="16945">
      <c r="A16945" s="8" t="str">
        <f>IFERROR(__xludf.DUMMYFUNCTION("IF('(INGESTA)Datos_consumo_datadis'!A18510&lt;&gt;"""",SPLIT('(INGESTA)Datos_consumo_datadis'!A:A,"",""),"""")"),"")</f>
        <v/>
      </c>
      <c r="G16945" s="8" t="str">
        <f t="shared" si="1"/>
        <v/>
      </c>
      <c r="H16945" s="14" t="str">
        <f t="shared" si="2"/>
        <v/>
      </c>
      <c r="I16945" s="15" t="str">
        <f t="shared" si="3"/>
        <v/>
      </c>
    </row>
    <row r="16946">
      <c r="A16946" s="8" t="str">
        <f>IFERROR(__xludf.DUMMYFUNCTION("IF('(INGESTA)Datos_consumo_datadis'!A18511&lt;&gt;"""",SPLIT('(INGESTA)Datos_consumo_datadis'!A:A,"",""),"""")"),"")</f>
        <v/>
      </c>
      <c r="G16946" s="8" t="str">
        <f t="shared" si="1"/>
        <v/>
      </c>
      <c r="H16946" s="14" t="str">
        <f t="shared" si="2"/>
        <v/>
      </c>
      <c r="I16946" s="15" t="str">
        <f t="shared" si="3"/>
        <v/>
      </c>
    </row>
    <row r="16947">
      <c r="A16947" s="8" t="str">
        <f>IFERROR(__xludf.DUMMYFUNCTION("IF('(INGESTA)Datos_consumo_datadis'!A18512&lt;&gt;"""",SPLIT('(INGESTA)Datos_consumo_datadis'!A:A,"",""),"""")"),"")</f>
        <v/>
      </c>
      <c r="G16947" s="8" t="str">
        <f t="shared" si="1"/>
        <v/>
      </c>
      <c r="H16947" s="14" t="str">
        <f t="shared" si="2"/>
        <v/>
      </c>
      <c r="I16947" s="15" t="str">
        <f t="shared" si="3"/>
        <v/>
      </c>
    </row>
    <row r="16948">
      <c r="A16948" s="8" t="str">
        <f>IFERROR(__xludf.DUMMYFUNCTION("IF('(INGESTA)Datos_consumo_datadis'!A18513&lt;&gt;"""",SPLIT('(INGESTA)Datos_consumo_datadis'!A:A,"",""),"""")"),"")</f>
        <v/>
      </c>
      <c r="G16948" s="8" t="str">
        <f t="shared" si="1"/>
        <v/>
      </c>
      <c r="H16948" s="14" t="str">
        <f t="shared" si="2"/>
        <v/>
      </c>
      <c r="I16948" s="15" t="str">
        <f t="shared" si="3"/>
        <v/>
      </c>
    </row>
    <row r="16949">
      <c r="A16949" s="8" t="str">
        <f>IFERROR(__xludf.DUMMYFUNCTION("IF('(INGESTA)Datos_consumo_datadis'!A18514&lt;&gt;"""",SPLIT('(INGESTA)Datos_consumo_datadis'!A:A,"",""),"""")"),"")</f>
        <v/>
      </c>
      <c r="G16949" s="8" t="str">
        <f t="shared" si="1"/>
        <v/>
      </c>
      <c r="H16949" s="14" t="str">
        <f t="shared" si="2"/>
        <v/>
      </c>
      <c r="I16949" s="15" t="str">
        <f t="shared" si="3"/>
        <v/>
      </c>
    </row>
    <row r="16950">
      <c r="A16950" s="8" t="str">
        <f>IFERROR(__xludf.DUMMYFUNCTION("IF('(INGESTA)Datos_consumo_datadis'!A18515&lt;&gt;"""",SPLIT('(INGESTA)Datos_consumo_datadis'!A:A,"",""),"""")"),"")</f>
        <v/>
      </c>
      <c r="G16950" s="8" t="str">
        <f t="shared" si="1"/>
        <v/>
      </c>
      <c r="H16950" s="14" t="str">
        <f t="shared" si="2"/>
        <v/>
      </c>
      <c r="I16950" s="15" t="str">
        <f t="shared" si="3"/>
        <v/>
      </c>
    </row>
    <row r="16951">
      <c r="A16951" s="8" t="str">
        <f>IFERROR(__xludf.DUMMYFUNCTION("IF('(INGESTA)Datos_consumo_datadis'!A18516&lt;&gt;"""",SPLIT('(INGESTA)Datos_consumo_datadis'!A:A,"",""),"""")"),"")</f>
        <v/>
      </c>
      <c r="G16951" s="8" t="str">
        <f t="shared" si="1"/>
        <v/>
      </c>
      <c r="H16951" s="14" t="str">
        <f t="shared" si="2"/>
        <v/>
      </c>
      <c r="I16951" s="15" t="str">
        <f t="shared" si="3"/>
        <v/>
      </c>
    </row>
    <row r="16952">
      <c r="A16952" s="8" t="str">
        <f>IFERROR(__xludf.DUMMYFUNCTION("IF('(INGESTA)Datos_consumo_datadis'!A18517&lt;&gt;"""",SPLIT('(INGESTA)Datos_consumo_datadis'!A:A,"",""),"""")"),"")</f>
        <v/>
      </c>
      <c r="G16952" s="8" t="str">
        <f t="shared" si="1"/>
        <v/>
      </c>
      <c r="H16952" s="14" t="str">
        <f t="shared" si="2"/>
        <v/>
      </c>
      <c r="I16952" s="15" t="str">
        <f t="shared" si="3"/>
        <v/>
      </c>
    </row>
    <row r="16953">
      <c r="A16953" s="8" t="str">
        <f>IFERROR(__xludf.DUMMYFUNCTION("IF('(INGESTA)Datos_consumo_datadis'!A18518&lt;&gt;"""",SPLIT('(INGESTA)Datos_consumo_datadis'!A:A,"",""),"""")"),"")</f>
        <v/>
      </c>
      <c r="G16953" s="8" t="str">
        <f t="shared" si="1"/>
        <v/>
      </c>
      <c r="H16953" s="14" t="str">
        <f t="shared" si="2"/>
        <v/>
      </c>
      <c r="I16953" s="15" t="str">
        <f t="shared" si="3"/>
        <v/>
      </c>
    </row>
    <row r="16954">
      <c r="A16954" s="8" t="str">
        <f>IFERROR(__xludf.DUMMYFUNCTION("IF('(INGESTA)Datos_consumo_datadis'!A18519&lt;&gt;"""",SPLIT('(INGESTA)Datos_consumo_datadis'!A:A,"",""),"""")"),"")</f>
        <v/>
      </c>
      <c r="G16954" s="8" t="str">
        <f t="shared" si="1"/>
        <v/>
      </c>
      <c r="H16954" s="14" t="str">
        <f t="shared" si="2"/>
        <v/>
      </c>
      <c r="I16954" s="15" t="str">
        <f t="shared" si="3"/>
        <v/>
      </c>
    </row>
    <row r="16955">
      <c r="A16955" s="8" t="str">
        <f>IFERROR(__xludf.DUMMYFUNCTION("IF('(INGESTA)Datos_consumo_datadis'!A18520&lt;&gt;"""",SPLIT('(INGESTA)Datos_consumo_datadis'!A:A,"",""),"""")"),"")</f>
        <v/>
      </c>
      <c r="G16955" s="8" t="str">
        <f t="shared" si="1"/>
        <v/>
      </c>
      <c r="H16955" s="14" t="str">
        <f t="shared" si="2"/>
        <v/>
      </c>
      <c r="I16955" s="15" t="str">
        <f t="shared" si="3"/>
        <v/>
      </c>
    </row>
    <row r="16956">
      <c r="A16956" s="8" t="str">
        <f>IFERROR(__xludf.DUMMYFUNCTION("IF('(INGESTA)Datos_consumo_datadis'!A18521&lt;&gt;"""",SPLIT('(INGESTA)Datos_consumo_datadis'!A:A,"",""),"""")"),"")</f>
        <v/>
      </c>
      <c r="G16956" s="8" t="str">
        <f t="shared" si="1"/>
        <v/>
      </c>
      <c r="H16956" s="14" t="str">
        <f t="shared" si="2"/>
        <v/>
      </c>
      <c r="I16956" s="15" t="str">
        <f t="shared" si="3"/>
        <v/>
      </c>
    </row>
    <row r="16957">
      <c r="A16957" s="8" t="str">
        <f>IFERROR(__xludf.DUMMYFUNCTION("IF('(INGESTA)Datos_consumo_datadis'!A18522&lt;&gt;"""",SPLIT('(INGESTA)Datos_consumo_datadis'!A:A,"",""),"""")"),"")</f>
        <v/>
      </c>
      <c r="G16957" s="8" t="str">
        <f t="shared" si="1"/>
        <v/>
      </c>
      <c r="H16957" s="14" t="str">
        <f t="shared" si="2"/>
        <v/>
      </c>
      <c r="I16957" s="15" t="str">
        <f t="shared" si="3"/>
        <v/>
      </c>
    </row>
    <row r="16958">
      <c r="A16958" s="8" t="str">
        <f>IFERROR(__xludf.DUMMYFUNCTION("IF('(INGESTA)Datos_consumo_datadis'!A18523&lt;&gt;"""",SPLIT('(INGESTA)Datos_consumo_datadis'!A:A,"",""),"""")"),"")</f>
        <v/>
      </c>
      <c r="G16958" s="8" t="str">
        <f t="shared" si="1"/>
        <v/>
      </c>
      <c r="H16958" s="14" t="str">
        <f t="shared" si="2"/>
        <v/>
      </c>
      <c r="I16958" s="15" t="str">
        <f t="shared" si="3"/>
        <v/>
      </c>
    </row>
    <row r="16959">
      <c r="A16959" s="8" t="str">
        <f>IFERROR(__xludf.DUMMYFUNCTION("IF('(INGESTA)Datos_consumo_datadis'!A18524&lt;&gt;"""",SPLIT('(INGESTA)Datos_consumo_datadis'!A:A,"",""),"""")"),"")</f>
        <v/>
      </c>
      <c r="G16959" s="8" t="str">
        <f t="shared" si="1"/>
        <v/>
      </c>
      <c r="H16959" s="14" t="str">
        <f t="shared" si="2"/>
        <v/>
      </c>
      <c r="I16959" s="15" t="str">
        <f t="shared" si="3"/>
        <v/>
      </c>
    </row>
    <row r="16960">
      <c r="A16960" s="8" t="str">
        <f>IFERROR(__xludf.DUMMYFUNCTION("IF('(INGESTA)Datos_consumo_datadis'!A18525&lt;&gt;"""",SPLIT('(INGESTA)Datos_consumo_datadis'!A:A,"",""),"""")"),"")</f>
        <v/>
      </c>
      <c r="G16960" s="8" t="str">
        <f t="shared" si="1"/>
        <v/>
      </c>
      <c r="H16960" s="14" t="str">
        <f t="shared" si="2"/>
        <v/>
      </c>
      <c r="I16960" s="15" t="str">
        <f t="shared" si="3"/>
        <v/>
      </c>
    </row>
    <row r="16961">
      <c r="A16961" s="8" t="str">
        <f>IFERROR(__xludf.DUMMYFUNCTION("IF('(INGESTA)Datos_consumo_datadis'!A18526&lt;&gt;"""",SPLIT('(INGESTA)Datos_consumo_datadis'!A:A,"",""),"""")"),"")</f>
        <v/>
      </c>
      <c r="G16961" s="8" t="str">
        <f t="shared" si="1"/>
        <v/>
      </c>
      <c r="H16961" s="14" t="str">
        <f t="shared" si="2"/>
        <v/>
      </c>
      <c r="I16961" s="15" t="str">
        <f t="shared" si="3"/>
        <v/>
      </c>
    </row>
    <row r="16962">
      <c r="A16962" s="8" t="str">
        <f>IFERROR(__xludf.DUMMYFUNCTION("IF('(INGESTA)Datos_consumo_datadis'!A18527&lt;&gt;"""",SPLIT('(INGESTA)Datos_consumo_datadis'!A:A,"",""),"""")"),"")</f>
        <v/>
      </c>
      <c r="G16962" s="8" t="str">
        <f t="shared" si="1"/>
        <v/>
      </c>
      <c r="H16962" s="14" t="str">
        <f t="shared" si="2"/>
        <v/>
      </c>
      <c r="I16962" s="15" t="str">
        <f t="shared" si="3"/>
        <v/>
      </c>
    </row>
    <row r="16963">
      <c r="A16963" s="8" t="str">
        <f>IFERROR(__xludf.DUMMYFUNCTION("IF('(INGESTA)Datos_consumo_datadis'!A18528&lt;&gt;"""",SPLIT('(INGESTA)Datos_consumo_datadis'!A:A,"",""),"""")"),"")</f>
        <v/>
      </c>
      <c r="G16963" s="8" t="str">
        <f t="shared" si="1"/>
        <v/>
      </c>
      <c r="H16963" s="14" t="str">
        <f t="shared" si="2"/>
        <v/>
      </c>
      <c r="I16963" s="15" t="str">
        <f t="shared" si="3"/>
        <v/>
      </c>
    </row>
    <row r="16964">
      <c r="A16964" s="8" t="str">
        <f>IFERROR(__xludf.DUMMYFUNCTION("IF('(INGESTA)Datos_consumo_datadis'!A18529&lt;&gt;"""",SPLIT('(INGESTA)Datos_consumo_datadis'!A:A,"",""),"""")"),"")</f>
        <v/>
      </c>
      <c r="G16964" s="8" t="str">
        <f t="shared" si="1"/>
        <v/>
      </c>
      <c r="H16964" s="14" t="str">
        <f t="shared" si="2"/>
        <v/>
      </c>
      <c r="I16964" s="15" t="str">
        <f t="shared" si="3"/>
        <v/>
      </c>
    </row>
    <row r="16965">
      <c r="A16965" s="8" t="str">
        <f>IFERROR(__xludf.DUMMYFUNCTION("IF('(INGESTA)Datos_consumo_datadis'!A18530&lt;&gt;"""",SPLIT('(INGESTA)Datos_consumo_datadis'!A:A,"",""),"""")"),"")</f>
        <v/>
      </c>
      <c r="G16965" s="8" t="str">
        <f t="shared" si="1"/>
        <v/>
      </c>
      <c r="H16965" s="14" t="str">
        <f t="shared" si="2"/>
        <v/>
      </c>
      <c r="I16965" s="15" t="str">
        <f t="shared" si="3"/>
        <v/>
      </c>
    </row>
    <row r="16966">
      <c r="A16966" s="8" t="str">
        <f>IFERROR(__xludf.DUMMYFUNCTION("IF('(INGESTA)Datos_consumo_datadis'!A18531&lt;&gt;"""",SPLIT('(INGESTA)Datos_consumo_datadis'!A:A,"",""),"""")"),"")</f>
        <v/>
      </c>
      <c r="G16966" s="8" t="str">
        <f t="shared" si="1"/>
        <v/>
      </c>
      <c r="H16966" s="14" t="str">
        <f t="shared" si="2"/>
        <v/>
      </c>
      <c r="I16966" s="15" t="str">
        <f t="shared" si="3"/>
        <v/>
      </c>
    </row>
    <row r="16967">
      <c r="A16967" s="8" t="str">
        <f>IFERROR(__xludf.DUMMYFUNCTION("IF('(INGESTA)Datos_consumo_datadis'!A18532&lt;&gt;"""",SPLIT('(INGESTA)Datos_consumo_datadis'!A:A,"",""),"""")"),"")</f>
        <v/>
      </c>
      <c r="G16967" s="8" t="str">
        <f t="shared" si="1"/>
        <v/>
      </c>
      <c r="H16967" s="14" t="str">
        <f t="shared" si="2"/>
        <v/>
      </c>
      <c r="I16967" s="15" t="str">
        <f t="shared" si="3"/>
        <v/>
      </c>
    </row>
    <row r="16968">
      <c r="A16968" s="8" t="str">
        <f>IFERROR(__xludf.DUMMYFUNCTION("IF('(INGESTA)Datos_consumo_datadis'!A18533&lt;&gt;"""",SPLIT('(INGESTA)Datos_consumo_datadis'!A:A,"",""),"""")"),"")</f>
        <v/>
      </c>
      <c r="G16968" s="8" t="str">
        <f t="shared" si="1"/>
        <v/>
      </c>
      <c r="H16968" s="14" t="str">
        <f t="shared" si="2"/>
        <v/>
      </c>
      <c r="I16968" s="15" t="str">
        <f t="shared" si="3"/>
        <v/>
      </c>
    </row>
    <row r="16969">
      <c r="A16969" s="8" t="str">
        <f>IFERROR(__xludf.DUMMYFUNCTION("IF('(INGESTA)Datos_consumo_datadis'!A18534&lt;&gt;"""",SPLIT('(INGESTA)Datos_consumo_datadis'!A:A,"",""),"""")"),"")</f>
        <v/>
      </c>
      <c r="G16969" s="8" t="str">
        <f t="shared" si="1"/>
        <v/>
      </c>
      <c r="H16969" s="14" t="str">
        <f t="shared" si="2"/>
        <v/>
      </c>
      <c r="I16969" s="15" t="str">
        <f t="shared" si="3"/>
        <v/>
      </c>
    </row>
    <row r="16970">
      <c r="A16970" s="8" t="str">
        <f>IFERROR(__xludf.DUMMYFUNCTION("IF('(INGESTA)Datos_consumo_datadis'!A18535&lt;&gt;"""",SPLIT('(INGESTA)Datos_consumo_datadis'!A:A,"",""),"""")"),"")</f>
        <v/>
      </c>
      <c r="G16970" s="8" t="str">
        <f t="shared" si="1"/>
        <v/>
      </c>
      <c r="H16970" s="14" t="str">
        <f t="shared" si="2"/>
        <v/>
      </c>
      <c r="I16970" s="15" t="str">
        <f t="shared" si="3"/>
        <v/>
      </c>
    </row>
    <row r="16971">
      <c r="A16971" s="8" t="str">
        <f>IFERROR(__xludf.DUMMYFUNCTION("IF('(INGESTA)Datos_consumo_datadis'!A18536&lt;&gt;"""",SPLIT('(INGESTA)Datos_consumo_datadis'!A:A,"",""),"""")"),"")</f>
        <v/>
      </c>
      <c r="G16971" s="8" t="str">
        <f t="shared" si="1"/>
        <v/>
      </c>
      <c r="H16971" s="14" t="str">
        <f t="shared" si="2"/>
        <v/>
      </c>
      <c r="I16971" s="15" t="str">
        <f t="shared" si="3"/>
        <v/>
      </c>
    </row>
    <row r="16972">
      <c r="A16972" s="8" t="str">
        <f>IFERROR(__xludf.DUMMYFUNCTION("IF('(INGESTA)Datos_consumo_datadis'!A18537&lt;&gt;"""",SPLIT('(INGESTA)Datos_consumo_datadis'!A:A,"",""),"""")"),"")</f>
        <v/>
      </c>
      <c r="G16972" s="8" t="str">
        <f t="shared" si="1"/>
        <v/>
      </c>
      <c r="H16972" s="14" t="str">
        <f t="shared" si="2"/>
        <v/>
      </c>
      <c r="I16972" s="15" t="str">
        <f t="shared" si="3"/>
        <v/>
      </c>
    </row>
    <row r="16973">
      <c r="A16973" s="8" t="str">
        <f>IFERROR(__xludf.DUMMYFUNCTION("IF('(INGESTA)Datos_consumo_datadis'!A18538&lt;&gt;"""",SPLIT('(INGESTA)Datos_consumo_datadis'!A:A,"",""),"""")"),"")</f>
        <v/>
      </c>
      <c r="G16973" s="8" t="str">
        <f t="shared" si="1"/>
        <v/>
      </c>
      <c r="H16973" s="14" t="str">
        <f t="shared" si="2"/>
        <v/>
      </c>
      <c r="I16973" s="15" t="str">
        <f t="shared" si="3"/>
        <v/>
      </c>
    </row>
    <row r="16974">
      <c r="A16974" s="8" t="str">
        <f>IFERROR(__xludf.DUMMYFUNCTION("IF('(INGESTA)Datos_consumo_datadis'!A18539&lt;&gt;"""",SPLIT('(INGESTA)Datos_consumo_datadis'!A:A,"",""),"""")"),"")</f>
        <v/>
      </c>
      <c r="G16974" s="8" t="str">
        <f t="shared" si="1"/>
        <v/>
      </c>
      <c r="H16974" s="14" t="str">
        <f t="shared" si="2"/>
        <v/>
      </c>
      <c r="I16974" s="15" t="str">
        <f t="shared" si="3"/>
        <v/>
      </c>
    </row>
    <row r="16975">
      <c r="A16975" s="8" t="str">
        <f>IFERROR(__xludf.DUMMYFUNCTION("IF('(INGESTA)Datos_consumo_datadis'!A18540&lt;&gt;"""",SPLIT('(INGESTA)Datos_consumo_datadis'!A:A,"",""),"""")"),"")</f>
        <v/>
      </c>
      <c r="G16975" s="8" t="str">
        <f t="shared" si="1"/>
        <v/>
      </c>
      <c r="H16975" s="14" t="str">
        <f t="shared" si="2"/>
        <v/>
      </c>
      <c r="I16975" s="15" t="str">
        <f t="shared" si="3"/>
        <v/>
      </c>
    </row>
    <row r="16976">
      <c r="A16976" s="8" t="str">
        <f>IFERROR(__xludf.DUMMYFUNCTION("IF('(INGESTA)Datos_consumo_datadis'!A18541&lt;&gt;"""",SPLIT('(INGESTA)Datos_consumo_datadis'!A:A,"",""),"""")"),"")</f>
        <v/>
      </c>
      <c r="G16976" s="8" t="str">
        <f t="shared" si="1"/>
        <v/>
      </c>
      <c r="H16976" s="14" t="str">
        <f t="shared" si="2"/>
        <v/>
      </c>
      <c r="I16976" s="15" t="str">
        <f t="shared" si="3"/>
        <v/>
      </c>
    </row>
    <row r="16977">
      <c r="A16977" s="8" t="str">
        <f>IFERROR(__xludf.DUMMYFUNCTION("IF('(INGESTA)Datos_consumo_datadis'!A18542&lt;&gt;"""",SPLIT('(INGESTA)Datos_consumo_datadis'!A:A,"",""),"""")"),"")</f>
        <v/>
      </c>
      <c r="G16977" s="8" t="str">
        <f t="shared" si="1"/>
        <v/>
      </c>
      <c r="H16977" s="14" t="str">
        <f t="shared" si="2"/>
        <v/>
      </c>
      <c r="I16977" s="15" t="str">
        <f t="shared" si="3"/>
        <v/>
      </c>
    </row>
    <row r="16978">
      <c r="A16978" s="8" t="str">
        <f>IFERROR(__xludf.DUMMYFUNCTION("IF('(INGESTA)Datos_consumo_datadis'!A18543&lt;&gt;"""",SPLIT('(INGESTA)Datos_consumo_datadis'!A:A,"",""),"""")"),"")</f>
        <v/>
      </c>
      <c r="G16978" s="8" t="str">
        <f t="shared" si="1"/>
        <v/>
      </c>
      <c r="H16978" s="14" t="str">
        <f t="shared" si="2"/>
        <v/>
      </c>
      <c r="I16978" s="15" t="str">
        <f t="shared" si="3"/>
        <v/>
      </c>
    </row>
    <row r="16979">
      <c r="A16979" s="8" t="str">
        <f>IFERROR(__xludf.DUMMYFUNCTION("IF('(INGESTA)Datos_consumo_datadis'!A18544&lt;&gt;"""",SPLIT('(INGESTA)Datos_consumo_datadis'!A:A,"",""),"""")"),"")</f>
        <v/>
      </c>
      <c r="G16979" s="8" t="str">
        <f t="shared" si="1"/>
        <v/>
      </c>
      <c r="H16979" s="14" t="str">
        <f t="shared" si="2"/>
        <v/>
      </c>
      <c r="I16979" s="15" t="str">
        <f t="shared" si="3"/>
        <v/>
      </c>
    </row>
    <row r="16980">
      <c r="A16980" s="8" t="str">
        <f>IFERROR(__xludf.DUMMYFUNCTION("IF('(INGESTA)Datos_consumo_datadis'!A18545&lt;&gt;"""",SPLIT('(INGESTA)Datos_consumo_datadis'!A:A,"",""),"""")"),"")</f>
        <v/>
      </c>
      <c r="G16980" s="8" t="str">
        <f t="shared" si="1"/>
        <v/>
      </c>
      <c r="H16980" s="14" t="str">
        <f t="shared" si="2"/>
        <v/>
      </c>
      <c r="I16980" s="15" t="str">
        <f t="shared" si="3"/>
        <v/>
      </c>
    </row>
    <row r="16981">
      <c r="A16981" s="8" t="str">
        <f>IFERROR(__xludf.DUMMYFUNCTION("IF('(INGESTA)Datos_consumo_datadis'!A18546&lt;&gt;"""",SPLIT('(INGESTA)Datos_consumo_datadis'!A:A,"",""),"""")"),"")</f>
        <v/>
      </c>
      <c r="G16981" s="8" t="str">
        <f t="shared" si="1"/>
        <v/>
      </c>
      <c r="H16981" s="14" t="str">
        <f t="shared" si="2"/>
        <v/>
      </c>
      <c r="I16981" s="15" t="str">
        <f t="shared" si="3"/>
        <v/>
      </c>
    </row>
    <row r="16982">
      <c r="A16982" s="8" t="str">
        <f>IFERROR(__xludf.DUMMYFUNCTION("IF('(INGESTA)Datos_consumo_datadis'!A18547&lt;&gt;"""",SPLIT('(INGESTA)Datos_consumo_datadis'!A:A,"",""),"""")"),"")</f>
        <v/>
      </c>
      <c r="G16982" s="8" t="str">
        <f t="shared" si="1"/>
        <v/>
      </c>
      <c r="H16982" s="14" t="str">
        <f t="shared" si="2"/>
        <v/>
      </c>
      <c r="I16982" s="15" t="str">
        <f t="shared" si="3"/>
        <v/>
      </c>
    </row>
    <row r="16983">
      <c r="A16983" s="8" t="str">
        <f>IFERROR(__xludf.DUMMYFUNCTION("IF('(INGESTA)Datos_consumo_datadis'!A18548&lt;&gt;"""",SPLIT('(INGESTA)Datos_consumo_datadis'!A:A,"",""),"""")"),"")</f>
        <v/>
      </c>
      <c r="G16983" s="8" t="str">
        <f t="shared" si="1"/>
        <v/>
      </c>
      <c r="H16983" s="14" t="str">
        <f t="shared" si="2"/>
        <v/>
      </c>
      <c r="I16983" s="15" t="str">
        <f t="shared" si="3"/>
        <v/>
      </c>
    </row>
    <row r="16984">
      <c r="A16984" s="8" t="str">
        <f>IFERROR(__xludf.DUMMYFUNCTION("IF('(INGESTA)Datos_consumo_datadis'!A18549&lt;&gt;"""",SPLIT('(INGESTA)Datos_consumo_datadis'!A:A,"",""),"""")"),"")</f>
        <v/>
      </c>
      <c r="G16984" s="8" t="str">
        <f t="shared" si="1"/>
        <v/>
      </c>
      <c r="H16984" s="14" t="str">
        <f t="shared" si="2"/>
        <v/>
      </c>
      <c r="I16984" s="15" t="str">
        <f t="shared" si="3"/>
        <v/>
      </c>
    </row>
    <row r="16985">
      <c r="A16985" s="8" t="str">
        <f>IFERROR(__xludf.DUMMYFUNCTION("IF('(INGESTA)Datos_consumo_datadis'!A18550&lt;&gt;"""",SPLIT('(INGESTA)Datos_consumo_datadis'!A:A,"",""),"""")"),"")</f>
        <v/>
      </c>
      <c r="G16985" s="8" t="str">
        <f t="shared" si="1"/>
        <v/>
      </c>
      <c r="H16985" s="14" t="str">
        <f t="shared" si="2"/>
        <v/>
      </c>
      <c r="I16985" s="15" t="str">
        <f t="shared" si="3"/>
        <v/>
      </c>
    </row>
    <row r="16986">
      <c r="A16986" s="8" t="str">
        <f>IFERROR(__xludf.DUMMYFUNCTION("IF('(INGESTA)Datos_consumo_datadis'!A18551&lt;&gt;"""",SPLIT('(INGESTA)Datos_consumo_datadis'!A:A,"",""),"""")"),"")</f>
        <v/>
      </c>
      <c r="G16986" s="8" t="str">
        <f t="shared" si="1"/>
        <v/>
      </c>
      <c r="H16986" s="14" t="str">
        <f t="shared" si="2"/>
        <v/>
      </c>
      <c r="I16986" s="15" t="str">
        <f t="shared" si="3"/>
        <v/>
      </c>
    </row>
    <row r="16987">
      <c r="A16987" s="8" t="str">
        <f>IFERROR(__xludf.DUMMYFUNCTION("IF('(INGESTA)Datos_consumo_datadis'!A18552&lt;&gt;"""",SPLIT('(INGESTA)Datos_consumo_datadis'!A:A,"",""),"""")"),"")</f>
        <v/>
      </c>
      <c r="G16987" s="8" t="str">
        <f t="shared" si="1"/>
        <v/>
      </c>
      <c r="H16987" s="14" t="str">
        <f t="shared" si="2"/>
        <v/>
      </c>
      <c r="I16987" s="15" t="str">
        <f t="shared" si="3"/>
        <v/>
      </c>
    </row>
    <row r="16988">
      <c r="A16988" s="8" t="str">
        <f>IFERROR(__xludf.DUMMYFUNCTION("IF('(INGESTA)Datos_consumo_datadis'!A18553&lt;&gt;"""",SPLIT('(INGESTA)Datos_consumo_datadis'!A:A,"",""),"""")"),"")</f>
        <v/>
      </c>
      <c r="G16988" s="8" t="str">
        <f t="shared" si="1"/>
        <v/>
      </c>
      <c r="H16988" s="14" t="str">
        <f t="shared" si="2"/>
        <v/>
      </c>
      <c r="I16988" s="15" t="str">
        <f t="shared" si="3"/>
        <v/>
      </c>
    </row>
    <row r="16989">
      <c r="A16989" s="8" t="str">
        <f>IFERROR(__xludf.DUMMYFUNCTION("IF('(INGESTA)Datos_consumo_datadis'!A18554&lt;&gt;"""",SPLIT('(INGESTA)Datos_consumo_datadis'!A:A,"",""),"""")"),"")</f>
        <v/>
      </c>
      <c r="G16989" s="8" t="str">
        <f t="shared" si="1"/>
        <v/>
      </c>
      <c r="H16989" s="14" t="str">
        <f t="shared" si="2"/>
        <v/>
      </c>
      <c r="I16989" s="15" t="str">
        <f t="shared" si="3"/>
        <v/>
      </c>
    </row>
    <row r="16990">
      <c r="A16990" s="8" t="str">
        <f>IFERROR(__xludf.DUMMYFUNCTION("IF('(INGESTA)Datos_consumo_datadis'!A18555&lt;&gt;"""",SPLIT('(INGESTA)Datos_consumo_datadis'!A:A,"",""),"""")"),"")</f>
        <v/>
      </c>
      <c r="G16990" s="8" t="str">
        <f t="shared" si="1"/>
        <v/>
      </c>
      <c r="H16990" s="14" t="str">
        <f t="shared" si="2"/>
        <v/>
      </c>
      <c r="I16990" s="15" t="str">
        <f t="shared" si="3"/>
        <v/>
      </c>
    </row>
    <row r="16991">
      <c r="A16991" s="8" t="str">
        <f>IFERROR(__xludf.DUMMYFUNCTION("IF('(INGESTA)Datos_consumo_datadis'!A18556&lt;&gt;"""",SPLIT('(INGESTA)Datos_consumo_datadis'!A:A,"",""),"""")"),"")</f>
        <v/>
      </c>
      <c r="G16991" s="8" t="str">
        <f t="shared" si="1"/>
        <v/>
      </c>
      <c r="H16991" s="14" t="str">
        <f t="shared" si="2"/>
        <v/>
      </c>
      <c r="I16991" s="15" t="str">
        <f t="shared" si="3"/>
        <v/>
      </c>
    </row>
    <row r="16992">
      <c r="A16992" s="8" t="str">
        <f>IFERROR(__xludf.DUMMYFUNCTION("IF('(INGESTA)Datos_consumo_datadis'!A18557&lt;&gt;"""",SPLIT('(INGESTA)Datos_consumo_datadis'!A:A,"",""),"""")"),"")</f>
        <v/>
      </c>
      <c r="G16992" s="8" t="str">
        <f t="shared" si="1"/>
        <v/>
      </c>
      <c r="H16992" s="14" t="str">
        <f t="shared" si="2"/>
        <v/>
      </c>
      <c r="I16992" s="15" t="str">
        <f t="shared" si="3"/>
        <v/>
      </c>
    </row>
    <row r="16993">
      <c r="A16993" s="8" t="str">
        <f>IFERROR(__xludf.DUMMYFUNCTION("IF('(INGESTA)Datos_consumo_datadis'!A18558&lt;&gt;"""",SPLIT('(INGESTA)Datos_consumo_datadis'!A:A,"",""),"""")"),"")</f>
        <v/>
      </c>
      <c r="G16993" s="8" t="str">
        <f t="shared" si="1"/>
        <v/>
      </c>
      <c r="H16993" s="14" t="str">
        <f t="shared" si="2"/>
        <v/>
      </c>
      <c r="I16993" s="15" t="str">
        <f t="shared" si="3"/>
        <v/>
      </c>
    </row>
    <row r="16994">
      <c r="A16994" s="8" t="str">
        <f>IFERROR(__xludf.DUMMYFUNCTION("IF('(INGESTA)Datos_consumo_datadis'!A18559&lt;&gt;"""",SPLIT('(INGESTA)Datos_consumo_datadis'!A:A,"",""),"""")"),"")</f>
        <v/>
      </c>
      <c r="G16994" s="8" t="str">
        <f t="shared" si="1"/>
        <v/>
      </c>
      <c r="H16994" s="14" t="str">
        <f t="shared" si="2"/>
        <v/>
      </c>
      <c r="I16994" s="15" t="str">
        <f t="shared" si="3"/>
        <v/>
      </c>
    </row>
    <row r="16995">
      <c r="A16995" s="8" t="str">
        <f>IFERROR(__xludf.DUMMYFUNCTION("IF('(INGESTA)Datos_consumo_datadis'!A18560&lt;&gt;"""",SPLIT('(INGESTA)Datos_consumo_datadis'!A:A,"",""),"""")"),"")</f>
        <v/>
      </c>
      <c r="G16995" s="8" t="str">
        <f t="shared" si="1"/>
        <v/>
      </c>
      <c r="H16995" s="14" t="str">
        <f t="shared" si="2"/>
        <v/>
      </c>
      <c r="I16995" s="15" t="str">
        <f t="shared" si="3"/>
        <v/>
      </c>
    </row>
    <row r="16996">
      <c r="A16996" s="8" t="str">
        <f>IFERROR(__xludf.DUMMYFUNCTION("IF('(INGESTA)Datos_consumo_datadis'!A18561&lt;&gt;"""",SPLIT('(INGESTA)Datos_consumo_datadis'!A:A,"",""),"""")"),"")</f>
        <v/>
      </c>
      <c r="G16996" s="8" t="str">
        <f t="shared" si="1"/>
        <v/>
      </c>
      <c r="H16996" s="14" t="str">
        <f t="shared" si="2"/>
        <v/>
      </c>
      <c r="I16996" s="15" t="str">
        <f t="shared" si="3"/>
        <v/>
      </c>
    </row>
    <row r="16997">
      <c r="A16997" s="8" t="str">
        <f>IFERROR(__xludf.DUMMYFUNCTION("IF('(INGESTA)Datos_consumo_datadis'!A18562&lt;&gt;"""",SPLIT('(INGESTA)Datos_consumo_datadis'!A:A,"",""),"""")"),"")</f>
        <v/>
      </c>
      <c r="G16997" s="8" t="str">
        <f t="shared" si="1"/>
        <v/>
      </c>
      <c r="H16997" s="14" t="str">
        <f t="shared" si="2"/>
        <v/>
      </c>
      <c r="I16997" s="15" t="str">
        <f t="shared" si="3"/>
        <v/>
      </c>
    </row>
    <row r="16998">
      <c r="A16998" s="8" t="str">
        <f>IFERROR(__xludf.DUMMYFUNCTION("IF('(INGESTA)Datos_consumo_datadis'!A18563&lt;&gt;"""",SPLIT('(INGESTA)Datos_consumo_datadis'!A:A,"",""),"""")"),"")</f>
        <v/>
      </c>
      <c r="G16998" s="8" t="str">
        <f t="shared" si="1"/>
        <v/>
      </c>
      <c r="H16998" s="14" t="str">
        <f t="shared" si="2"/>
        <v/>
      </c>
      <c r="I16998" s="15" t="str">
        <f t="shared" si="3"/>
        <v/>
      </c>
    </row>
    <row r="16999">
      <c r="A16999" s="8" t="str">
        <f>IFERROR(__xludf.DUMMYFUNCTION("IF('(INGESTA)Datos_consumo_datadis'!A18564&lt;&gt;"""",SPLIT('(INGESTA)Datos_consumo_datadis'!A:A,"",""),"""")"),"")</f>
        <v/>
      </c>
      <c r="G16999" s="8" t="str">
        <f t="shared" si="1"/>
        <v/>
      </c>
      <c r="H16999" s="14" t="str">
        <f t="shared" si="2"/>
        <v/>
      </c>
      <c r="I16999" s="15" t="str">
        <f t="shared" si="3"/>
        <v/>
      </c>
    </row>
    <row r="17000">
      <c r="A17000" s="8" t="str">
        <f>IFERROR(__xludf.DUMMYFUNCTION("IF('(INGESTA)Datos_consumo_datadis'!A18565&lt;&gt;"""",SPLIT('(INGESTA)Datos_consumo_datadis'!A:A,"",""),"""")"),"")</f>
        <v/>
      </c>
      <c r="G17000" s="8" t="str">
        <f t="shared" si="1"/>
        <v/>
      </c>
      <c r="H17000" s="14" t="str">
        <f t="shared" si="2"/>
        <v/>
      </c>
      <c r="I17000" s="15" t="str">
        <f t="shared" si="3"/>
        <v/>
      </c>
    </row>
    <row r="17001">
      <c r="A17001" s="8" t="str">
        <f>IFERROR(__xludf.DUMMYFUNCTION("IF('(INGESTA)Datos_consumo_datadis'!A18566&lt;&gt;"""",SPLIT('(INGESTA)Datos_consumo_datadis'!A:A,"",""),"""")"),"")</f>
        <v/>
      </c>
      <c r="G17001" s="8" t="str">
        <f t="shared" si="1"/>
        <v/>
      </c>
      <c r="H17001" s="14" t="str">
        <f t="shared" si="2"/>
        <v/>
      </c>
      <c r="I17001" s="15" t="str">
        <f t="shared" si="3"/>
        <v/>
      </c>
    </row>
    <row r="17002">
      <c r="A17002" s="8" t="str">
        <f>IFERROR(__xludf.DUMMYFUNCTION("IF('(INGESTA)Datos_consumo_datadis'!A18567&lt;&gt;"""",SPLIT('(INGESTA)Datos_consumo_datadis'!A:A,"",""),"""")"),"")</f>
        <v/>
      </c>
      <c r="G17002" s="8" t="str">
        <f t="shared" si="1"/>
        <v/>
      </c>
      <c r="H17002" s="14" t="str">
        <f t="shared" si="2"/>
        <v/>
      </c>
      <c r="I17002" s="15" t="str">
        <f t="shared" si="3"/>
        <v/>
      </c>
    </row>
    <row r="17003">
      <c r="A17003" s="8" t="str">
        <f>IFERROR(__xludf.DUMMYFUNCTION("IF('(INGESTA)Datos_consumo_datadis'!A18568&lt;&gt;"""",SPLIT('(INGESTA)Datos_consumo_datadis'!A:A,"",""),"""")"),"")</f>
        <v/>
      </c>
      <c r="G17003" s="8" t="str">
        <f t="shared" si="1"/>
        <v/>
      </c>
      <c r="H17003" s="14" t="str">
        <f t="shared" si="2"/>
        <v/>
      </c>
      <c r="I17003" s="15" t="str">
        <f t="shared" si="3"/>
        <v/>
      </c>
    </row>
    <row r="17004">
      <c r="A17004" s="8" t="str">
        <f>IFERROR(__xludf.DUMMYFUNCTION("IF('(INGESTA)Datos_consumo_datadis'!A18569&lt;&gt;"""",SPLIT('(INGESTA)Datos_consumo_datadis'!A:A,"",""),"""")"),"")</f>
        <v/>
      </c>
      <c r="G17004" s="8" t="str">
        <f t="shared" si="1"/>
        <v/>
      </c>
      <c r="H17004" s="14" t="str">
        <f t="shared" si="2"/>
        <v/>
      </c>
      <c r="I17004" s="15" t="str">
        <f t="shared" si="3"/>
        <v/>
      </c>
    </row>
    <row r="17005">
      <c r="A17005" s="8" t="str">
        <f>IFERROR(__xludf.DUMMYFUNCTION("IF('(INGESTA)Datos_consumo_datadis'!A18570&lt;&gt;"""",SPLIT('(INGESTA)Datos_consumo_datadis'!A:A,"",""),"""")"),"")</f>
        <v/>
      </c>
      <c r="G17005" s="8" t="str">
        <f t="shared" si="1"/>
        <v/>
      </c>
      <c r="H17005" s="14" t="str">
        <f t="shared" si="2"/>
        <v/>
      </c>
      <c r="I17005" s="15" t="str">
        <f t="shared" si="3"/>
        <v/>
      </c>
    </row>
    <row r="17006">
      <c r="A17006" s="8" t="str">
        <f>IFERROR(__xludf.DUMMYFUNCTION("IF('(INGESTA)Datos_consumo_datadis'!A18571&lt;&gt;"""",SPLIT('(INGESTA)Datos_consumo_datadis'!A:A,"",""),"""")"),"")</f>
        <v/>
      </c>
      <c r="G17006" s="8" t="str">
        <f t="shared" si="1"/>
        <v/>
      </c>
      <c r="H17006" s="14" t="str">
        <f t="shared" si="2"/>
        <v/>
      </c>
      <c r="I17006" s="15" t="str">
        <f t="shared" si="3"/>
        <v/>
      </c>
    </row>
    <row r="17007">
      <c r="A17007" s="8" t="str">
        <f>IFERROR(__xludf.DUMMYFUNCTION("IF('(INGESTA)Datos_consumo_datadis'!A18572&lt;&gt;"""",SPLIT('(INGESTA)Datos_consumo_datadis'!A:A,"",""),"""")"),"")</f>
        <v/>
      </c>
      <c r="G17007" s="8" t="str">
        <f t="shared" si="1"/>
        <v/>
      </c>
      <c r="H17007" s="14" t="str">
        <f t="shared" si="2"/>
        <v/>
      </c>
      <c r="I17007" s="15" t="str">
        <f t="shared" si="3"/>
        <v/>
      </c>
    </row>
    <row r="17008">
      <c r="A17008" s="8" t="str">
        <f>IFERROR(__xludf.DUMMYFUNCTION("IF('(INGESTA)Datos_consumo_datadis'!A18573&lt;&gt;"""",SPLIT('(INGESTA)Datos_consumo_datadis'!A:A,"",""),"""")"),"")</f>
        <v/>
      </c>
      <c r="G17008" s="8" t="str">
        <f t="shared" si="1"/>
        <v/>
      </c>
      <c r="H17008" s="14" t="str">
        <f t="shared" si="2"/>
        <v/>
      </c>
      <c r="I17008" s="15" t="str">
        <f t="shared" si="3"/>
        <v/>
      </c>
    </row>
    <row r="17009">
      <c r="A17009" s="8" t="str">
        <f>IFERROR(__xludf.DUMMYFUNCTION("IF('(INGESTA)Datos_consumo_datadis'!A18574&lt;&gt;"""",SPLIT('(INGESTA)Datos_consumo_datadis'!A:A,"",""),"""")"),"")</f>
        <v/>
      </c>
      <c r="G17009" s="8" t="str">
        <f t="shared" si="1"/>
        <v/>
      </c>
      <c r="H17009" s="14" t="str">
        <f t="shared" si="2"/>
        <v/>
      </c>
      <c r="I17009" s="15" t="str">
        <f t="shared" si="3"/>
        <v/>
      </c>
    </row>
    <row r="17010">
      <c r="A17010" s="8" t="str">
        <f>IFERROR(__xludf.DUMMYFUNCTION("IF('(INGESTA)Datos_consumo_datadis'!A18575&lt;&gt;"""",SPLIT('(INGESTA)Datos_consumo_datadis'!A:A,"",""),"""")"),"")</f>
        <v/>
      </c>
      <c r="G17010" s="8" t="str">
        <f t="shared" si="1"/>
        <v/>
      </c>
      <c r="H17010" s="14" t="str">
        <f t="shared" si="2"/>
        <v/>
      </c>
      <c r="I17010" s="15" t="str">
        <f t="shared" si="3"/>
        <v/>
      </c>
    </row>
    <row r="17011">
      <c r="A17011" s="8" t="str">
        <f>IFERROR(__xludf.DUMMYFUNCTION("IF('(INGESTA)Datos_consumo_datadis'!A18576&lt;&gt;"""",SPLIT('(INGESTA)Datos_consumo_datadis'!A:A,"",""),"""")"),"")</f>
        <v/>
      </c>
      <c r="G17011" s="8" t="str">
        <f t="shared" si="1"/>
        <v/>
      </c>
      <c r="H17011" s="14" t="str">
        <f t="shared" si="2"/>
        <v/>
      </c>
      <c r="I17011" s="15" t="str">
        <f t="shared" si="3"/>
        <v/>
      </c>
    </row>
    <row r="17012">
      <c r="A17012" s="8" t="str">
        <f>IFERROR(__xludf.DUMMYFUNCTION("IF('(INGESTA)Datos_consumo_datadis'!A18577&lt;&gt;"""",SPLIT('(INGESTA)Datos_consumo_datadis'!A:A,"",""),"""")"),"")</f>
        <v/>
      </c>
      <c r="G17012" s="8" t="str">
        <f t="shared" si="1"/>
        <v/>
      </c>
      <c r="H17012" s="14" t="str">
        <f t="shared" si="2"/>
        <v/>
      </c>
      <c r="I17012" s="15" t="str">
        <f t="shared" si="3"/>
        <v/>
      </c>
    </row>
    <row r="17013">
      <c r="A17013" s="8" t="str">
        <f>IFERROR(__xludf.DUMMYFUNCTION("IF('(INGESTA)Datos_consumo_datadis'!A18578&lt;&gt;"""",SPLIT('(INGESTA)Datos_consumo_datadis'!A:A,"",""),"""")"),"")</f>
        <v/>
      </c>
      <c r="G17013" s="8" t="str">
        <f t="shared" si="1"/>
        <v/>
      </c>
      <c r="H17013" s="14" t="str">
        <f t="shared" si="2"/>
        <v/>
      </c>
      <c r="I17013" s="15" t="str">
        <f t="shared" si="3"/>
        <v/>
      </c>
    </row>
    <row r="17014">
      <c r="A17014" s="8" t="str">
        <f>IFERROR(__xludf.DUMMYFUNCTION("IF('(INGESTA)Datos_consumo_datadis'!A18579&lt;&gt;"""",SPLIT('(INGESTA)Datos_consumo_datadis'!A:A,"",""),"""")"),"")</f>
        <v/>
      </c>
      <c r="G17014" s="8" t="str">
        <f t="shared" si="1"/>
        <v/>
      </c>
      <c r="H17014" s="14" t="str">
        <f t="shared" si="2"/>
        <v/>
      </c>
      <c r="I17014" s="15" t="str">
        <f t="shared" si="3"/>
        <v/>
      </c>
    </row>
    <row r="17015">
      <c r="A17015" s="8" t="str">
        <f>IFERROR(__xludf.DUMMYFUNCTION("IF('(INGESTA)Datos_consumo_datadis'!A18580&lt;&gt;"""",SPLIT('(INGESTA)Datos_consumo_datadis'!A:A,"",""),"""")"),"")</f>
        <v/>
      </c>
      <c r="G17015" s="8" t="str">
        <f t="shared" si="1"/>
        <v/>
      </c>
      <c r="H17015" s="14" t="str">
        <f t="shared" si="2"/>
        <v/>
      </c>
      <c r="I17015" s="15" t="str">
        <f t="shared" si="3"/>
        <v/>
      </c>
    </row>
    <row r="17016">
      <c r="A17016" s="8" t="str">
        <f>IFERROR(__xludf.DUMMYFUNCTION("IF('(INGESTA)Datos_consumo_datadis'!A18581&lt;&gt;"""",SPLIT('(INGESTA)Datos_consumo_datadis'!A:A,"",""),"""")"),"")</f>
        <v/>
      </c>
      <c r="G17016" s="8" t="str">
        <f t="shared" si="1"/>
        <v/>
      </c>
      <c r="H17016" s="14" t="str">
        <f t="shared" si="2"/>
        <v/>
      </c>
      <c r="I17016" s="15" t="str">
        <f t="shared" si="3"/>
        <v/>
      </c>
    </row>
    <row r="17017">
      <c r="A17017" s="8" t="str">
        <f>IFERROR(__xludf.DUMMYFUNCTION("IF('(INGESTA)Datos_consumo_datadis'!A18582&lt;&gt;"""",SPLIT('(INGESTA)Datos_consumo_datadis'!A:A,"",""),"""")"),"")</f>
        <v/>
      </c>
      <c r="G17017" s="8" t="str">
        <f t="shared" si="1"/>
        <v/>
      </c>
      <c r="H17017" s="14" t="str">
        <f t="shared" si="2"/>
        <v/>
      </c>
      <c r="I17017" s="15" t="str">
        <f t="shared" si="3"/>
        <v/>
      </c>
    </row>
    <row r="17018">
      <c r="A17018" s="8" t="str">
        <f>IFERROR(__xludf.DUMMYFUNCTION("IF('(INGESTA)Datos_consumo_datadis'!A18583&lt;&gt;"""",SPLIT('(INGESTA)Datos_consumo_datadis'!A:A,"",""),"""")"),"")</f>
        <v/>
      </c>
      <c r="G17018" s="8" t="str">
        <f t="shared" si="1"/>
        <v/>
      </c>
      <c r="H17018" s="14" t="str">
        <f t="shared" si="2"/>
        <v/>
      </c>
      <c r="I17018" s="15" t="str">
        <f t="shared" si="3"/>
        <v/>
      </c>
    </row>
    <row r="17019">
      <c r="A17019" s="8" t="str">
        <f>IFERROR(__xludf.DUMMYFUNCTION("IF('(INGESTA)Datos_consumo_datadis'!A18584&lt;&gt;"""",SPLIT('(INGESTA)Datos_consumo_datadis'!A:A,"",""),"""")"),"")</f>
        <v/>
      </c>
      <c r="G17019" s="8" t="str">
        <f t="shared" si="1"/>
        <v/>
      </c>
      <c r="H17019" s="14" t="str">
        <f t="shared" si="2"/>
        <v/>
      </c>
      <c r="I17019" s="15" t="str">
        <f t="shared" si="3"/>
        <v/>
      </c>
    </row>
    <row r="17020">
      <c r="A17020" s="8" t="str">
        <f>IFERROR(__xludf.DUMMYFUNCTION("IF('(INGESTA)Datos_consumo_datadis'!A18585&lt;&gt;"""",SPLIT('(INGESTA)Datos_consumo_datadis'!A:A,"",""),"""")"),"")</f>
        <v/>
      </c>
      <c r="G17020" s="8" t="str">
        <f t="shared" si="1"/>
        <v/>
      </c>
      <c r="H17020" s="14" t="str">
        <f t="shared" si="2"/>
        <v/>
      </c>
      <c r="I17020" s="15" t="str">
        <f t="shared" si="3"/>
        <v/>
      </c>
    </row>
    <row r="17021">
      <c r="A17021" s="8" t="str">
        <f>IFERROR(__xludf.DUMMYFUNCTION("IF('(INGESTA)Datos_consumo_datadis'!A18586&lt;&gt;"""",SPLIT('(INGESTA)Datos_consumo_datadis'!A:A,"",""),"""")"),"")</f>
        <v/>
      </c>
      <c r="G17021" s="8" t="str">
        <f t="shared" si="1"/>
        <v/>
      </c>
      <c r="H17021" s="14" t="str">
        <f t="shared" si="2"/>
        <v/>
      </c>
      <c r="I17021" s="15" t="str">
        <f t="shared" si="3"/>
        <v/>
      </c>
    </row>
    <row r="17022">
      <c r="A17022" s="8" t="str">
        <f>IFERROR(__xludf.DUMMYFUNCTION("IF('(INGESTA)Datos_consumo_datadis'!A18587&lt;&gt;"""",SPLIT('(INGESTA)Datos_consumo_datadis'!A:A,"",""),"""")"),"")</f>
        <v/>
      </c>
      <c r="G17022" s="8" t="str">
        <f t="shared" si="1"/>
        <v/>
      </c>
      <c r="H17022" s="14" t="str">
        <f t="shared" si="2"/>
        <v/>
      </c>
      <c r="I17022" s="15" t="str">
        <f t="shared" si="3"/>
        <v/>
      </c>
    </row>
    <row r="17023">
      <c r="A17023" s="8" t="str">
        <f>IFERROR(__xludf.DUMMYFUNCTION("IF('(INGESTA)Datos_consumo_datadis'!A18588&lt;&gt;"""",SPLIT('(INGESTA)Datos_consumo_datadis'!A:A,"",""),"""")"),"")</f>
        <v/>
      </c>
      <c r="G17023" s="8" t="str">
        <f t="shared" si="1"/>
        <v/>
      </c>
      <c r="H17023" s="14" t="str">
        <f t="shared" si="2"/>
        <v/>
      </c>
      <c r="I17023" s="15" t="str">
        <f t="shared" si="3"/>
        <v/>
      </c>
    </row>
    <row r="17024">
      <c r="A17024" s="8" t="str">
        <f>IFERROR(__xludf.DUMMYFUNCTION("IF('(INGESTA)Datos_consumo_datadis'!A18589&lt;&gt;"""",SPLIT('(INGESTA)Datos_consumo_datadis'!A:A,"",""),"""")"),"")</f>
        <v/>
      </c>
      <c r="G17024" s="8" t="str">
        <f t="shared" si="1"/>
        <v/>
      </c>
      <c r="H17024" s="14" t="str">
        <f t="shared" si="2"/>
        <v/>
      </c>
      <c r="I17024" s="15" t="str">
        <f t="shared" si="3"/>
        <v/>
      </c>
    </row>
    <row r="17025">
      <c r="A17025" s="8" t="str">
        <f>IFERROR(__xludf.DUMMYFUNCTION("IF('(INGESTA)Datos_consumo_datadis'!A18590&lt;&gt;"""",SPLIT('(INGESTA)Datos_consumo_datadis'!A:A,"",""),"""")"),"")</f>
        <v/>
      </c>
      <c r="G17025" s="8" t="str">
        <f t="shared" si="1"/>
        <v/>
      </c>
      <c r="H17025" s="14" t="str">
        <f t="shared" si="2"/>
        <v/>
      </c>
      <c r="I17025" s="15" t="str">
        <f t="shared" si="3"/>
        <v/>
      </c>
    </row>
    <row r="17026">
      <c r="A17026" s="8" t="str">
        <f>IFERROR(__xludf.DUMMYFUNCTION("IF('(INGESTA)Datos_consumo_datadis'!A18591&lt;&gt;"""",SPLIT('(INGESTA)Datos_consumo_datadis'!A:A,"",""),"""")"),"")</f>
        <v/>
      </c>
      <c r="G17026" s="8" t="str">
        <f t="shared" si="1"/>
        <v/>
      </c>
      <c r="H17026" s="14" t="str">
        <f t="shared" si="2"/>
        <v/>
      </c>
      <c r="I17026" s="15" t="str">
        <f t="shared" si="3"/>
        <v/>
      </c>
    </row>
    <row r="17027">
      <c r="A17027" s="8" t="str">
        <f>IFERROR(__xludf.DUMMYFUNCTION("IF('(INGESTA)Datos_consumo_datadis'!A18592&lt;&gt;"""",SPLIT('(INGESTA)Datos_consumo_datadis'!A:A,"",""),"""")"),"")</f>
        <v/>
      </c>
      <c r="G17027" s="8" t="str">
        <f t="shared" si="1"/>
        <v/>
      </c>
      <c r="H17027" s="14" t="str">
        <f t="shared" si="2"/>
        <v/>
      </c>
      <c r="I17027" s="15" t="str">
        <f t="shared" si="3"/>
        <v/>
      </c>
    </row>
    <row r="17028">
      <c r="A17028" s="8" t="str">
        <f>IFERROR(__xludf.DUMMYFUNCTION("IF('(INGESTA)Datos_consumo_datadis'!A18593&lt;&gt;"""",SPLIT('(INGESTA)Datos_consumo_datadis'!A:A,"",""),"""")"),"")</f>
        <v/>
      </c>
      <c r="G17028" s="8" t="str">
        <f t="shared" si="1"/>
        <v/>
      </c>
      <c r="H17028" s="14" t="str">
        <f t="shared" si="2"/>
        <v/>
      </c>
      <c r="I17028" s="15" t="str">
        <f t="shared" si="3"/>
        <v/>
      </c>
    </row>
    <row r="17029">
      <c r="A17029" s="8" t="str">
        <f>IFERROR(__xludf.DUMMYFUNCTION("IF('(INGESTA)Datos_consumo_datadis'!A18594&lt;&gt;"""",SPLIT('(INGESTA)Datos_consumo_datadis'!A:A,"",""),"""")"),"")</f>
        <v/>
      </c>
      <c r="G17029" s="8" t="str">
        <f t="shared" si="1"/>
        <v/>
      </c>
      <c r="H17029" s="14" t="str">
        <f t="shared" si="2"/>
        <v/>
      </c>
      <c r="I17029" s="15" t="str">
        <f t="shared" si="3"/>
        <v/>
      </c>
    </row>
    <row r="17030">
      <c r="A17030" s="8" t="str">
        <f>IFERROR(__xludf.DUMMYFUNCTION("IF('(INGESTA)Datos_consumo_datadis'!A18595&lt;&gt;"""",SPLIT('(INGESTA)Datos_consumo_datadis'!A:A,"",""),"""")"),"")</f>
        <v/>
      </c>
      <c r="G17030" s="8" t="str">
        <f t="shared" si="1"/>
        <v/>
      </c>
      <c r="H17030" s="14" t="str">
        <f t="shared" si="2"/>
        <v/>
      </c>
      <c r="I17030" s="15" t="str">
        <f t="shared" si="3"/>
        <v/>
      </c>
    </row>
    <row r="17031">
      <c r="A17031" s="8" t="str">
        <f>IFERROR(__xludf.DUMMYFUNCTION("IF('(INGESTA)Datos_consumo_datadis'!A18596&lt;&gt;"""",SPLIT('(INGESTA)Datos_consumo_datadis'!A:A,"",""),"""")"),"")</f>
        <v/>
      </c>
      <c r="G17031" s="8" t="str">
        <f t="shared" si="1"/>
        <v/>
      </c>
      <c r="H17031" s="14" t="str">
        <f t="shared" si="2"/>
        <v/>
      </c>
      <c r="I17031" s="15" t="str">
        <f t="shared" si="3"/>
        <v/>
      </c>
    </row>
    <row r="17032">
      <c r="A17032" s="8" t="str">
        <f>IFERROR(__xludf.DUMMYFUNCTION("IF('(INGESTA)Datos_consumo_datadis'!A18597&lt;&gt;"""",SPLIT('(INGESTA)Datos_consumo_datadis'!A:A,"",""),"""")"),"")</f>
        <v/>
      </c>
      <c r="G17032" s="8" t="str">
        <f t="shared" si="1"/>
        <v/>
      </c>
      <c r="H17032" s="14" t="str">
        <f t="shared" si="2"/>
        <v/>
      </c>
      <c r="I17032" s="15" t="str">
        <f t="shared" si="3"/>
        <v/>
      </c>
    </row>
    <row r="17033">
      <c r="A17033" s="8" t="str">
        <f>IFERROR(__xludf.DUMMYFUNCTION("IF('(INGESTA)Datos_consumo_datadis'!A18598&lt;&gt;"""",SPLIT('(INGESTA)Datos_consumo_datadis'!A:A,"",""),"""")"),"")</f>
        <v/>
      </c>
      <c r="G17033" s="8" t="str">
        <f t="shared" si="1"/>
        <v/>
      </c>
      <c r="H17033" s="14" t="str">
        <f t="shared" si="2"/>
        <v/>
      </c>
      <c r="I17033" s="15" t="str">
        <f t="shared" si="3"/>
        <v/>
      </c>
    </row>
    <row r="17034">
      <c r="A17034" s="8" t="str">
        <f>IFERROR(__xludf.DUMMYFUNCTION("IF('(INGESTA)Datos_consumo_datadis'!A18599&lt;&gt;"""",SPLIT('(INGESTA)Datos_consumo_datadis'!A:A,"",""),"""")"),"")</f>
        <v/>
      </c>
      <c r="G17034" s="8" t="str">
        <f t="shared" si="1"/>
        <v/>
      </c>
      <c r="H17034" s="14" t="str">
        <f t="shared" si="2"/>
        <v/>
      </c>
      <c r="I17034" s="15" t="str">
        <f t="shared" si="3"/>
        <v/>
      </c>
    </row>
    <row r="17035">
      <c r="A17035" s="8" t="str">
        <f>IFERROR(__xludf.DUMMYFUNCTION("IF('(INGESTA)Datos_consumo_datadis'!A18600&lt;&gt;"""",SPLIT('(INGESTA)Datos_consumo_datadis'!A:A,"",""),"""")"),"")</f>
        <v/>
      </c>
      <c r="G17035" s="8" t="str">
        <f t="shared" si="1"/>
        <v/>
      </c>
      <c r="H17035" s="14" t="str">
        <f t="shared" si="2"/>
        <v/>
      </c>
      <c r="I17035" s="15" t="str">
        <f t="shared" si="3"/>
        <v/>
      </c>
    </row>
    <row r="17036">
      <c r="A17036" s="8" t="str">
        <f>IFERROR(__xludf.DUMMYFUNCTION("IF('(INGESTA)Datos_consumo_datadis'!A18601&lt;&gt;"""",SPLIT('(INGESTA)Datos_consumo_datadis'!A:A,"",""),"""")"),"")</f>
        <v/>
      </c>
      <c r="G17036" s="8" t="str">
        <f t="shared" si="1"/>
        <v/>
      </c>
      <c r="H17036" s="14" t="str">
        <f t="shared" si="2"/>
        <v/>
      </c>
      <c r="I17036" s="15" t="str">
        <f t="shared" si="3"/>
        <v/>
      </c>
    </row>
    <row r="17037">
      <c r="A17037" s="8" t="str">
        <f>IFERROR(__xludf.DUMMYFUNCTION("IF('(INGESTA)Datos_consumo_datadis'!A18602&lt;&gt;"""",SPLIT('(INGESTA)Datos_consumo_datadis'!A:A,"",""),"""")"),"")</f>
        <v/>
      </c>
      <c r="G17037" s="8" t="str">
        <f t="shared" si="1"/>
        <v/>
      </c>
      <c r="H17037" s="14" t="str">
        <f t="shared" si="2"/>
        <v/>
      </c>
      <c r="I17037" s="15" t="str">
        <f t="shared" si="3"/>
        <v/>
      </c>
    </row>
    <row r="17038">
      <c r="A17038" s="8" t="str">
        <f>IFERROR(__xludf.DUMMYFUNCTION("IF('(INGESTA)Datos_consumo_datadis'!A18603&lt;&gt;"""",SPLIT('(INGESTA)Datos_consumo_datadis'!A:A,"",""),"""")"),"")</f>
        <v/>
      </c>
      <c r="G17038" s="8" t="str">
        <f t="shared" si="1"/>
        <v/>
      </c>
      <c r="H17038" s="14" t="str">
        <f t="shared" si="2"/>
        <v/>
      </c>
      <c r="I17038" s="15" t="str">
        <f t="shared" si="3"/>
        <v/>
      </c>
    </row>
    <row r="17039">
      <c r="A17039" s="8" t="str">
        <f>IFERROR(__xludf.DUMMYFUNCTION("IF('(INGESTA)Datos_consumo_datadis'!A18604&lt;&gt;"""",SPLIT('(INGESTA)Datos_consumo_datadis'!A:A,"",""),"""")"),"")</f>
        <v/>
      </c>
      <c r="G17039" s="8" t="str">
        <f t="shared" si="1"/>
        <v/>
      </c>
      <c r="H17039" s="14" t="str">
        <f t="shared" si="2"/>
        <v/>
      </c>
      <c r="I17039" s="15" t="str">
        <f t="shared" si="3"/>
        <v/>
      </c>
    </row>
    <row r="17040">
      <c r="A17040" s="8" t="str">
        <f>IFERROR(__xludf.DUMMYFUNCTION("IF('(INGESTA)Datos_consumo_datadis'!A18605&lt;&gt;"""",SPLIT('(INGESTA)Datos_consumo_datadis'!A:A,"",""),"""")"),"")</f>
        <v/>
      </c>
      <c r="G17040" s="8" t="str">
        <f t="shared" si="1"/>
        <v/>
      </c>
      <c r="H17040" s="14" t="str">
        <f t="shared" si="2"/>
        <v/>
      </c>
      <c r="I17040" s="15" t="str">
        <f t="shared" si="3"/>
        <v/>
      </c>
    </row>
    <row r="17041">
      <c r="A17041" s="8" t="str">
        <f>IFERROR(__xludf.DUMMYFUNCTION("IF('(INGESTA)Datos_consumo_datadis'!A18606&lt;&gt;"""",SPLIT('(INGESTA)Datos_consumo_datadis'!A:A,"",""),"""")"),"")</f>
        <v/>
      </c>
      <c r="G17041" s="8" t="str">
        <f t="shared" si="1"/>
        <v/>
      </c>
      <c r="H17041" s="14" t="str">
        <f t="shared" si="2"/>
        <v/>
      </c>
      <c r="I17041" s="15" t="str">
        <f t="shared" si="3"/>
        <v/>
      </c>
    </row>
    <row r="17042">
      <c r="A17042" s="8" t="str">
        <f>IFERROR(__xludf.DUMMYFUNCTION("IF('(INGESTA)Datos_consumo_datadis'!A18607&lt;&gt;"""",SPLIT('(INGESTA)Datos_consumo_datadis'!A:A,"",""),"""")"),"")</f>
        <v/>
      </c>
      <c r="G17042" s="8" t="str">
        <f t="shared" si="1"/>
        <v/>
      </c>
      <c r="H17042" s="14" t="str">
        <f t="shared" si="2"/>
        <v/>
      </c>
      <c r="I17042" s="15" t="str">
        <f t="shared" si="3"/>
        <v/>
      </c>
    </row>
    <row r="17043">
      <c r="A17043" s="8" t="str">
        <f>IFERROR(__xludf.DUMMYFUNCTION("IF('(INGESTA)Datos_consumo_datadis'!A18608&lt;&gt;"""",SPLIT('(INGESTA)Datos_consumo_datadis'!A:A,"",""),"""")"),"")</f>
        <v/>
      </c>
      <c r="G17043" s="8" t="str">
        <f t="shared" si="1"/>
        <v/>
      </c>
      <c r="H17043" s="14" t="str">
        <f t="shared" si="2"/>
        <v/>
      </c>
      <c r="I17043" s="15" t="str">
        <f t="shared" si="3"/>
        <v/>
      </c>
    </row>
    <row r="17044">
      <c r="A17044" s="8" t="str">
        <f>IFERROR(__xludf.DUMMYFUNCTION("IF('(INGESTA)Datos_consumo_datadis'!A18609&lt;&gt;"""",SPLIT('(INGESTA)Datos_consumo_datadis'!A:A,"",""),"""")"),"")</f>
        <v/>
      </c>
      <c r="G17044" s="8" t="str">
        <f t="shared" si="1"/>
        <v/>
      </c>
      <c r="H17044" s="14" t="str">
        <f t="shared" si="2"/>
        <v/>
      </c>
      <c r="I17044" s="15" t="str">
        <f t="shared" si="3"/>
        <v/>
      </c>
    </row>
    <row r="17045">
      <c r="A17045" s="8" t="str">
        <f>IFERROR(__xludf.DUMMYFUNCTION("IF('(INGESTA)Datos_consumo_datadis'!A18610&lt;&gt;"""",SPLIT('(INGESTA)Datos_consumo_datadis'!A:A,"",""),"""")"),"")</f>
        <v/>
      </c>
      <c r="G17045" s="8" t="str">
        <f t="shared" si="1"/>
        <v/>
      </c>
      <c r="H17045" s="14" t="str">
        <f t="shared" si="2"/>
        <v/>
      </c>
      <c r="I17045" s="15" t="str">
        <f t="shared" si="3"/>
        <v/>
      </c>
    </row>
    <row r="17046">
      <c r="A17046" s="8" t="str">
        <f>IFERROR(__xludf.DUMMYFUNCTION("IF('(INGESTA)Datos_consumo_datadis'!A18611&lt;&gt;"""",SPLIT('(INGESTA)Datos_consumo_datadis'!A:A,"",""),"""")"),"")</f>
        <v/>
      </c>
      <c r="G17046" s="8" t="str">
        <f t="shared" si="1"/>
        <v/>
      </c>
      <c r="H17046" s="14" t="str">
        <f t="shared" si="2"/>
        <v/>
      </c>
      <c r="I17046" s="15" t="str">
        <f t="shared" si="3"/>
        <v/>
      </c>
    </row>
    <row r="17047">
      <c r="A17047" s="8" t="str">
        <f>IFERROR(__xludf.DUMMYFUNCTION("IF('(INGESTA)Datos_consumo_datadis'!A18612&lt;&gt;"""",SPLIT('(INGESTA)Datos_consumo_datadis'!A:A,"",""),"""")"),"")</f>
        <v/>
      </c>
      <c r="G17047" s="8" t="str">
        <f t="shared" si="1"/>
        <v/>
      </c>
      <c r="H17047" s="14" t="str">
        <f t="shared" si="2"/>
        <v/>
      </c>
      <c r="I17047" s="15" t="str">
        <f t="shared" si="3"/>
        <v/>
      </c>
    </row>
    <row r="17048">
      <c r="A17048" s="8" t="str">
        <f>IFERROR(__xludf.DUMMYFUNCTION("IF('(INGESTA)Datos_consumo_datadis'!A18613&lt;&gt;"""",SPLIT('(INGESTA)Datos_consumo_datadis'!A:A,"",""),"""")"),"")</f>
        <v/>
      </c>
      <c r="G17048" s="8" t="str">
        <f t="shared" si="1"/>
        <v/>
      </c>
      <c r="H17048" s="14" t="str">
        <f t="shared" si="2"/>
        <v/>
      </c>
      <c r="I17048" s="15" t="str">
        <f t="shared" si="3"/>
        <v/>
      </c>
    </row>
    <row r="17049">
      <c r="A17049" s="8" t="str">
        <f>IFERROR(__xludf.DUMMYFUNCTION("IF('(INGESTA)Datos_consumo_datadis'!A18614&lt;&gt;"""",SPLIT('(INGESTA)Datos_consumo_datadis'!A:A,"",""),"""")"),"")</f>
        <v/>
      </c>
      <c r="G17049" s="8" t="str">
        <f t="shared" si="1"/>
        <v/>
      </c>
      <c r="H17049" s="14" t="str">
        <f t="shared" si="2"/>
        <v/>
      </c>
      <c r="I17049" s="15" t="str">
        <f t="shared" si="3"/>
        <v/>
      </c>
    </row>
    <row r="17050">
      <c r="A17050" s="8" t="str">
        <f>IFERROR(__xludf.DUMMYFUNCTION("IF('(INGESTA)Datos_consumo_datadis'!A18615&lt;&gt;"""",SPLIT('(INGESTA)Datos_consumo_datadis'!A:A,"",""),"""")"),"")</f>
        <v/>
      </c>
      <c r="G17050" s="8" t="str">
        <f t="shared" si="1"/>
        <v/>
      </c>
      <c r="H17050" s="14" t="str">
        <f t="shared" si="2"/>
        <v/>
      </c>
      <c r="I17050" s="15" t="str">
        <f t="shared" si="3"/>
        <v/>
      </c>
    </row>
    <row r="17051">
      <c r="A17051" s="8" t="str">
        <f>IFERROR(__xludf.DUMMYFUNCTION("IF('(INGESTA)Datos_consumo_datadis'!A18616&lt;&gt;"""",SPLIT('(INGESTA)Datos_consumo_datadis'!A:A,"",""),"""")"),"")</f>
        <v/>
      </c>
      <c r="G17051" s="8" t="str">
        <f t="shared" si="1"/>
        <v/>
      </c>
      <c r="H17051" s="14" t="str">
        <f t="shared" si="2"/>
        <v/>
      </c>
      <c r="I17051" s="15" t="str">
        <f t="shared" si="3"/>
        <v/>
      </c>
    </row>
    <row r="17052">
      <c r="A17052" s="8" t="str">
        <f>IFERROR(__xludf.DUMMYFUNCTION("IF('(INGESTA)Datos_consumo_datadis'!A18617&lt;&gt;"""",SPLIT('(INGESTA)Datos_consumo_datadis'!A:A,"",""),"""")"),"")</f>
        <v/>
      </c>
      <c r="G17052" s="8" t="str">
        <f t="shared" si="1"/>
        <v/>
      </c>
      <c r="H17052" s="14" t="str">
        <f t="shared" si="2"/>
        <v/>
      </c>
      <c r="I17052" s="15" t="str">
        <f t="shared" si="3"/>
        <v/>
      </c>
    </row>
    <row r="17053">
      <c r="A17053" s="8" t="str">
        <f>IFERROR(__xludf.DUMMYFUNCTION("IF('(INGESTA)Datos_consumo_datadis'!A18618&lt;&gt;"""",SPLIT('(INGESTA)Datos_consumo_datadis'!A:A,"",""),"""")"),"")</f>
        <v/>
      </c>
      <c r="G17053" s="8" t="str">
        <f t="shared" si="1"/>
        <v/>
      </c>
      <c r="H17053" s="14" t="str">
        <f t="shared" si="2"/>
        <v/>
      </c>
      <c r="I17053" s="15" t="str">
        <f t="shared" si="3"/>
        <v/>
      </c>
    </row>
    <row r="17054">
      <c r="A17054" s="8" t="str">
        <f>IFERROR(__xludf.DUMMYFUNCTION("IF('(INGESTA)Datos_consumo_datadis'!A18619&lt;&gt;"""",SPLIT('(INGESTA)Datos_consumo_datadis'!A:A,"",""),"""")"),"")</f>
        <v/>
      </c>
      <c r="G17054" s="8" t="str">
        <f t="shared" si="1"/>
        <v/>
      </c>
      <c r="H17054" s="14" t="str">
        <f t="shared" si="2"/>
        <v/>
      </c>
      <c r="I17054" s="15" t="str">
        <f t="shared" si="3"/>
        <v/>
      </c>
    </row>
    <row r="17055">
      <c r="A17055" s="8" t="str">
        <f>IFERROR(__xludf.DUMMYFUNCTION("IF('(INGESTA)Datos_consumo_datadis'!A18620&lt;&gt;"""",SPLIT('(INGESTA)Datos_consumo_datadis'!A:A,"",""),"""")"),"")</f>
        <v/>
      </c>
      <c r="G17055" s="8" t="str">
        <f t="shared" si="1"/>
        <v/>
      </c>
      <c r="H17055" s="14" t="str">
        <f t="shared" si="2"/>
        <v/>
      </c>
      <c r="I17055" s="15" t="str">
        <f t="shared" si="3"/>
        <v/>
      </c>
    </row>
    <row r="17056">
      <c r="A17056" s="8" t="str">
        <f>IFERROR(__xludf.DUMMYFUNCTION("IF('(INGESTA)Datos_consumo_datadis'!A18621&lt;&gt;"""",SPLIT('(INGESTA)Datos_consumo_datadis'!A:A,"",""),"""")"),"")</f>
        <v/>
      </c>
      <c r="G17056" s="8" t="str">
        <f t="shared" si="1"/>
        <v/>
      </c>
      <c r="H17056" s="14" t="str">
        <f t="shared" si="2"/>
        <v/>
      </c>
      <c r="I17056" s="15" t="str">
        <f t="shared" si="3"/>
        <v/>
      </c>
    </row>
    <row r="17057">
      <c r="A17057" s="8" t="str">
        <f>IFERROR(__xludf.DUMMYFUNCTION("IF('(INGESTA)Datos_consumo_datadis'!A18622&lt;&gt;"""",SPLIT('(INGESTA)Datos_consumo_datadis'!A:A,"",""),"""")"),"")</f>
        <v/>
      </c>
      <c r="G17057" s="8" t="str">
        <f t="shared" si="1"/>
        <v/>
      </c>
      <c r="H17057" s="14" t="str">
        <f t="shared" si="2"/>
        <v/>
      </c>
      <c r="I17057" s="15" t="str">
        <f t="shared" si="3"/>
        <v/>
      </c>
    </row>
    <row r="17058">
      <c r="A17058" s="8" t="str">
        <f>IFERROR(__xludf.DUMMYFUNCTION("IF('(INGESTA)Datos_consumo_datadis'!A18623&lt;&gt;"""",SPLIT('(INGESTA)Datos_consumo_datadis'!A:A,"",""),"""")"),"")</f>
        <v/>
      </c>
      <c r="G17058" s="8" t="str">
        <f t="shared" si="1"/>
        <v/>
      </c>
      <c r="H17058" s="14" t="str">
        <f t="shared" si="2"/>
        <v/>
      </c>
      <c r="I17058" s="15" t="str">
        <f t="shared" si="3"/>
        <v/>
      </c>
    </row>
    <row r="17059">
      <c r="A17059" s="8" t="str">
        <f>IFERROR(__xludf.DUMMYFUNCTION("IF('(INGESTA)Datos_consumo_datadis'!A18624&lt;&gt;"""",SPLIT('(INGESTA)Datos_consumo_datadis'!A:A,"",""),"""")"),"")</f>
        <v/>
      </c>
      <c r="G17059" s="8" t="str">
        <f t="shared" si="1"/>
        <v/>
      </c>
      <c r="H17059" s="14" t="str">
        <f t="shared" si="2"/>
        <v/>
      </c>
      <c r="I17059" s="15" t="str">
        <f t="shared" si="3"/>
        <v/>
      </c>
    </row>
    <row r="17060">
      <c r="A17060" s="8" t="str">
        <f>IFERROR(__xludf.DUMMYFUNCTION("IF('(INGESTA)Datos_consumo_datadis'!A18625&lt;&gt;"""",SPLIT('(INGESTA)Datos_consumo_datadis'!A:A,"",""),"""")"),"")</f>
        <v/>
      </c>
      <c r="G17060" s="8" t="str">
        <f t="shared" si="1"/>
        <v/>
      </c>
      <c r="H17060" s="14" t="str">
        <f t="shared" si="2"/>
        <v/>
      </c>
      <c r="I17060" s="15" t="str">
        <f t="shared" si="3"/>
        <v/>
      </c>
    </row>
    <row r="17061">
      <c r="A17061" s="8" t="str">
        <f>IFERROR(__xludf.DUMMYFUNCTION("IF('(INGESTA)Datos_consumo_datadis'!A18626&lt;&gt;"""",SPLIT('(INGESTA)Datos_consumo_datadis'!A:A,"",""),"""")"),"")</f>
        <v/>
      </c>
      <c r="G17061" s="8" t="str">
        <f t="shared" si="1"/>
        <v/>
      </c>
      <c r="H17061" s="14" t="str">
        <f t="shared" si="2"/>
        <v/>
      </c>
      <c r="I17061" s="15" t="str">
        <f t="shared" si="3"/>
        <v/>
      </c>
    </row>
    <row r="17062">
      <c r="A17062" s="8" t="str">
        <f>IFERROR(__xludf.DUMMYFUNCTION("IF('(INGESTA)Datos_consumo_datadis'!A18627&lt;&gt;"""",SPLIT('(INGESTA)Datos_consumo_datadis'!A:A,"",""),"""")"),"")</f>
        <v/>
      </c>
      <c r="G17062" s="8" t="str">
        <f t="shared" si="1"/>
        <v/>
      </c>
      <c r="H17062" s="14" t="str">
        <f t="shared" si="2"/>
        <v/>
      </c>
      <c r="I17062" s="15" t="str">
        <f t="shared" si="3"/>
        <v/>
      </c>
    </row>
    <row r="17063">
      <c r="A17063" s="8" t="str">
        <f>IFERROR(__xludf.DUMMYFUNCTION("IF('(INGESTA)Datos_consumo_datadis'!A18628&lt;&gt;"""",SPLIT('(INGESTA)Datos_consumo_datadis'!A:A,"",""),"""")"),"")</f>
        <v/>
      </c>
      <c r="G17063" s="8" t="str">
        <f t="shared" si="1"/>
        <v/>
      </c>
      <c r="H17063" s="14" t="str">
        <f t="shared" si="2"/>
        <v/>
      </c>
      <c r="I17063" s="15" t="str">
        <f t="shared" si="3"/>
        <v/>
      </c>
    </row>
    <row r="17064">
      <c r="A17064" s="8" t="str">
        <f>IFERROR(__xludf.DUMMYFUNCTION("IF('(INGESTA)Datos_consumo_datadis'!A18629&lt;&gt;"""",SPLIT('(INGESTA)Datos_consumo_datadis'!A:A,"",""),"""")"),"")</f>
        <v/>
      </c>
      <c r="G17064" s="8" t="str">
        <f t="shared" si="1"/>
        <v/>
      </c>
      <c r="H17064" s="14" t="str">
        <f t="shared" si="2"/>
        <v/>
      </c>
      <c r="I17064" s="15" t="str">
        <f t="shared" si="3"/>
        <v/>
      </c>
    </row>
    <row r="17065">
      <c r="A17065" s="8" t="str">
        <f>IFERROR(__xludf.DUMMYFUNCTION("IF('(INGESTA)Datos_consumo_datadis'!A18630&lt;&gt;"""",SPLIT('(INGESTA)Datos_consumo_datadis'!A:A,"",""),"""")"),"")</f>
        <v/>
      </c>
      <c r="G17065" s="8" t="str">
        <f t="shared" si="1"/>
        <v/>
      </c>
      <c r="H17065" s="14" t="str">
        <f t="shared" si="2"/>
        <v/>
      </c>
      <c r="I17065" s="15" t="str">
        <f t="shared" si="3"/>
        <v/>
      </c>
    </row>
    <row r="17066">
      <c r="A17066" s="8" t="str">
        <f>IFERROR(__xludf.DUMMYFUNCTION("IF('(INGESTA)Datos_consumo_datadis'!A18631&lt;&gt;"""",SPLIT('(INGESTA)Datos_consumo_datadis'!A:A,"",""),"""")"),"")</f>
        <v/>
      </c>
      <c r="G17066" s="8" t="str">
        <f t="shared" si="1"/>
        <v/>
      </c>
      <c r="H17066" s="14" t="str">
        <f t="shared" si="2"/>
        <v/>
      </c>
      <c r="I17066" s="15" t="str">
        <f t="shared" si="3"/>
        <v/>
      </c>
    </row>
    <row r="17067">
      <c r="A17067" s="8" t="str">
        <f>IFERROR(__xludf.DUMMYFUNCTION("IF('(INGESTA)Datos_consumo_datadis'!A18632&lt;&gt;"""",SPLIT('(INGESTA)Datos_consumo_datadis'!A:A,"",""),"""")"),"")</f>
        <v/>
      </c>
      <c r="G17067" s="8" t="str">
        <f t="shared" si="1"/>
        <v/>
      </c>
      <c r="H17067" s="14" t="str">
        <f t="shared" si="2"/>
        <v/>
      </c>
      <c r="I17067" s="15" t="str">
        <f t="shared" si="3"/>
        <v/>
      </c>
    </row>
    <row r="17068">
      <c r="A17068" s="8" t="str">
        <f>IFERROR(__xludf.DUMMYFUNCTION("IF('(INGESTA)Datos_consumo_datadis'!A18633&lt;&gt;"""",SPLIT('(INGESTA)Datos_consumo_datadis'!A:A,"",""),"""")"),"")</f>
        <v/>
      </c>
      <c r="G17068" s="8" t="str">
        <f t="shared" si="1"/>
        <v/>
      </c>
      <c r="H17068" s="14" t="str">
        <f t="shared" si="2"/>
        <v/>
      </c>
      <c r="I17068" s="15" t="str">
        <f t="shared" si="3"/>
        <v/>
      </c>
    </row>
    <row r="17069">
      <c r="A17069" s="8" t="str">
        <f>IFERROR(__xludf.DUMMYFUNCTION("IF('(INGESTA)Datos_consumo_datadis'!A18634&lt;&gt;"""",SPLIT('(INGESTA)Datos_consumo_datadis'!A:A,"",""),"""")"),"")</f>
        <v/>
      </c>
      <c r="G17069" s="8" t="str">
        <f t="shared" si="1"/>
        <v/>
      </c>
      <c r="H17069" s="14" t="str">
        <f t="shared" si="2"/>
        <v/>
      </c>
      <c r="I17069" s="15" t="str">
        <f t="shared" si="3"/>
        <v/>
      </c>
    </row>
    <row r="17070">
      <c r="A17070" s="8" t="str">
        <f>IFERROR(__xludf.DUMMYFUNCTION("IF('(INGESTA)Datos_consumo_datadis'!A18635&lt;&gt;"""",SPLIT('(INGESTA)Datos_consumo_datadis'!A:A,"",""),"""")"),"")</f>
        <v/>
      </c>
      <c r="G17070" s="8" t="str">
        <f t="shared" si="1"/>
        <v/>
      </c>
      <c r="H17070" s="14" t="str">
        <f t="shared" si="2"/>
        <v/>
      </c>
      <c r="I17070" s="15" t="str">
        <f t="shared" si="3"/>
        <v/>
      </c>
    </row>
    <row r="17071">
      <c r="A17071" s="8" t="str">
        <f>IFERROR(__xludf.DUMMYFUNCTION("IF('(INGESTA)Datos_consumo_datadis'!A18636&lt;&gt;"""",SPLIT('(INGESTA)Datos_consumo_datadis'!A:A,"",""),"""")"),"")</f>
        <v/>
      </c>
      <c r="G17071" s="8" t="str">
        <f t="shared" si="1"/>
        <v/>
      </c>
      <c r="H17071" s="14" t="str">
        <f t="shared" si="2"/>
        <v/>
      </c>
      <c r="I17071" s="15" t="str">
        <f t="shared" si="3"/>
        <v/>
      </c>
    </row>
    <row r="17072">
      <c r="A17072" s="8" t="str">
        <f>IFERROR(__xludf.DUMMYFUNCTION("IF('(INGESTA)Datos_consumo_datadis'!A18637&lt;&gt;"""",SPLIT('(INGESTA)Datos_consumo_datadis'!A:A,"",""),"""")"),"")</f>
        <v/>
      </c>
      <c r="G17072" s="8" t="str">
        <f t="shared" si="1"/>
        <v/>
      </c>
      <c r="H17072" s="14" t="str">
        <f t="shared" si="2"/>
        <v/>
      </c>
      <c r="I17072" s="15" t="str">
        <f t="shared" si="3"/>
        <v/>
      </c>
    </row>
    <row r="17073">
      <c r="A17073" s="8" t="str">
        <f>IFERROR(__xludf.DUMMYFUNCTION("IF('(INGESTA)Datos_consumo_datadis'!A18638&lt;&gt;"""",SPLIT('(INGESTA)Datos_consumo_datadis'!A:A,"",""),"""")"),"")</f>
        <v/>
      </c>
      <c r="G17073" s="8" t="str">
        <f t="shared" si="1"/>
        <v/>
      </c>
      <c r="H17073" s="14" t="str">
        <f t="shared" si="2"/>
        <v/>
      </c>
      <c r="I17073" s="15" t="str">
        <f t="shared" si="3"/>
        <v/>
      </c>
    </row>
    <row r="17074">
      <c r="A17074" s="8" t="str">
        <f>IFERROR(__xludf.DUMMYFUNCTION("IF('(INGESTA)Datos_consumo_datadis'!A18639&lt;&gt;"""",SPLIT('(INGESTA)Datos_consumo_datadis'!A:A,"",""),"""")"),"")</f>
        <v/>
      </c>
      <c r="G17074" s="8" t="str">
        <f t="shared" si="1"/>
        <v/>
      </c>
      <c r="H17074" s="14" t="str">
        <f t="shared" si="2"/>
        <v/>
      </c>
      <c r="I17074" s="15" t="str">
        <f t="shared" si="3"/>
        <v/>
      </c>
    </row>
    <row r="17075">
      <c r="A17075" s="8" t="str">
        <f>IFERROR(__xludf.DUMMYFUNCTION("IF('(INGESTA)Datos_consumo_datadis'!A18640&lt;&gt;"""",SPLIT('(INGESTA)Datos_consumo_datadis'!A:A,"",""),"""")"),"")</f>
        <v/>
      </c>
      <c r="G17075" s="8" t="str">
        <f t="shared" si="1"/>
        <v/>
      </c>
      <c r="H17075" s="14" t="str">
        <f t="shared" si="2"/>
        <v/>
      </c>
      <c r="I17075" s="15" t="str">
        <f t="shared" si="3"/>
        <v/>
      </c>
    </row>
    <row r="17076">
      <c r="A17076" s="8" t="str">
        <f>IFERROR(__xludf.DUMMYFUNCTION("IF('(INGESTA)Datos_consumo_datadis'!A18641&lt;&gt;"""",SPLIT('(INGESTA)Datos_consumo_datadis'!A:A,"",""),"""")"),"")</f>
        <v/>
      </c>
      <c r="G17076" s="8" t="str">
        <f t="shared" si="1"/>
        <v/>
      </c>
      <c r="H17076" s="14" t="str">
        <f t="shared" si="2"/>
        <v/>
      </c>
      <c r="I17076" s="15" t="str">
        <f t="shared" si="3"/>
        <v/>
      </c>
    </row>
    <row r="17077">
      <c r="A17077" s="8" t="str">
        <f>IFERROR(__xludf.DUMMYFUNCTION("IF('(INGESTA)Datos_consumo_datadis'!A18642&lt;&gt;"""",SPLIT('(INGESTA)Datos_consumo_datadis'!A:A,"",""),"""")"),"")</f>
        <v/>
      </c>
      <c r="G17077" s="8" t="str">
        <f t="shared" si="1"/>
        <v/>
      </c>
      <c r="H17077" s="14" t="str">
        <f t="shared" si="2"/>
        <v/>
      </c>
      <c r="I17077" s="15" t="str">
        <f t="shared" si="3"/>
        <v/>
      </c>
    </row>
    <row r="17078">
      <c r="A17078" s="8" t="str">
        <f>IFERROR(__xludf.DUMMYFUNCTION("IF('(INGESTA)Datos_consumo_datadis'!A18643&lt;&gt;"""",SPLIT('(INGESTA)Datos_consumo_datadis'!A:A,"",""),"""")"),"")</f>
        <v/>
      </c>
      <c r="G17078" s="8" t="str">
        <f t="shared" si="1"/>
        <v/>
      </c>
      <c r="H17078" s="14" t="str">
        <f t="shared" si="2"/>
        <v/>
      </c>
      <c r="I17078" s="15" t="str">
        <f t="shared" si="3"/>
        <v/>
      </c>
    </row>
    <row r="17079">
      <c r="A17079" s="8" t="str">
        <f>IFERROR(__xludf.DUMMYFUNCTION("IF('(INGESTA)Datos_consumo_datadis'!A18644&lt;&gt;"""",SPLIT('(INGESTA)Datos_consumo_datadis'!A:A,"",""),"""")"),"")</f>
        <v/>
      </c>
      <c r="G17079" s="8" t="str">
        <f t="shared" si="1"/>
        <v/>
      </c>
      <c r="H17079" s="14" t="str">
        <f t="shared" si="2"/>
        <v/>
      </c>
      <c r="I17079" s="15" t="str">
        <f t="shared" si="3"/>
        <v/>
      </c>
    </row>
    <row r="17080">
      <c r="A17080" s="8" t="str">
        <f>IFERROR(__xludf.DUMMYFUNCTION("IF('(INGESTA)Datos_consumo_datadis'!A18645&lt;&gt;"""",SPLIT('(INGESTA)Datos_consumo_datadis'!A:A,"",""),"""")"),"")</f>
        <v/>
      </c>
      <c r="G17080" s="8" t="str">
        <f t="shared" si="1"/>
        <v/>
      </c>
      <c r="H17080" s="14" t="str">
        <f t="shared" si="2"/>
        <v/>
      </c>
      <c r="I17080" s="15" t="str">
        <f t="shared" si="3"/>
        <v/>
      </c>
    </row>
    <row r="17081">
      <c r="A17081" s="8" t="str">
        <f>IFERROR(__xludf.DUMMYFUNCTION("IF('(INGESTA)Datos_consumo_datadis'!A18646&lt;&gt;"""",SPLIT('(INGESTA)Datos_consumo_datadis'!A:A,"",""),"""")"),"")</f>
        <v/>
      </c>
      <c r="G17081" s="8" t="str">
        <f t="shared" si="1"/>
        <v/>
      </c>
      <c r="H17081" s="14" t="str">
        <f t="shared" si="2"/>
        <v/>
      </c>
      <c r="I17081" s="15" t="str">
        <f t="shared" si="3"/>
        <v/>
      </c>
    </row>
    <row r="17082">
      <c r="A17082" s="8" t="str">
        <f>IFERROR(__xludf.DUMMYFUNCTION("IF('(INGESTA)Datos_consumo_datadis'!A18647&lt;&gt;"""",SPLIT('(INGESTA)Datos_consumo_datadis'!A:A,"",""),"""")"),"")</f>
        <v/>
      </c>
      <c r="G17082" s="8" t="str">
        <f t="shared" si="1"/>
        <v/>
      </c>
      <c r="H17082" s="14" t="str">
        <f t="shared" si="2"/>
        <v/>
      </c>
      <c r="I17082" s="15" t="str">
        <f t="shared" si="3"/>
        <v/>
      </c>
    </row>
    <row r="17083">
      <c r="A17083" s="8" t="str">
        <f>IFERROR(__xludf.DUMMYFUNCTION("IF('(INGESTA)Datos_consumo_datadis'!A18648&lt;&gt;"""",SPLIT('(INGESTA)Datos_consumo_datadis'!A:A,"",""),"""")"),"")</f>
        <v/>
      </c>
      <c r="G17083" s="8" t="str">
        <f t="shared" si="1"/>
        <v/>
      </c>
      <c r="H17083" s="14" t="str">
        <f t="shared" si="2"/>
        <v/>
      </c>
      <c r="I17083" s="15" t="str">
        <f t="shared" si="3"/>
        <v/>
      </c>
    </row>
    <row r="17084">
      <c r="A17084" s="8" t="str">
        <f>IFERROR(__xludf.DUMMYFUNCTION("IF('(INGESTA)Datos_consumo_datadis'!A18649&lt;&gt;"""",SPLIT('(INGESTA)Datos_consumo_datadis'!A:A,"",""),"""")"),"")</f>
        <v/>
      </c>
      <c r="G17084" s="8" t="str">
        <f t="shared" si="1"/>
        <v/>
      </c>
      <c r="H17084" s="14" t="str">
        <f t="shared" si="2"/>
        <v/>
      </c>
      <c r="I17084" s="15" t="str">
        <f t="shared" si="3"/>
        <v/>
      </c>
    </row>
    <row r="17085">
      <c r="A17085" s="8" t="str">
        <f>IFERROR(__xludf.DUMMYFUNCTION("IF('(INGESTA)Datos_consumo_datadis'!A18650&lt;&gt;"""",SPLIT('(INGESTA)Datos_consumo_datadis'!A:A,"",""),"""")"),"")</f>
        <v/>
      </c>
      <c r="G17085" s="8" t="str">
        <f t="shared" si="1"/>
        <v/>
      </c>
      <c r="H17085" s="14" t="str">
        <f t="shared" si="2"/>
        <v/>
      </c>
      <c r="I17085" s="15" t="str">
        <f t="shared" si="3"/>
        <v/>
      </c>
    </row>
    <row r="17086">
      <c r="A17086" s="8" t="str">
        <f>IFERROR(__xludf.DUMMYFUNCTION("IF('(INGESTA)Datos_consumo_datadis'!A18651&lt;&gt;"""",SPLIT('(INGESTA)Datos_consumo_datadis'!A:A,"",""),"""")"),"")</f>
        <v/>
      </c>
      <c r="G17086" s="8" t="str">
        <f t="shared" si="1"/>
        <v/>
      </c>
      <c r="H17086" s="14" t="str">
        <f t="shared" si="2"/>
        <v/>
      </c>
      <c r="I17086" s="15" t="str">
        <f t="shared" si="3"/>
        <v/>
      </c>
    </row>
    <row r="17087">
      <c r="A17087" s="8" t="str">
        <f>IFERROR(__xludf.DUMMYFUNCTION("IF('(INGESTA)Datos_consumo_datadis'!A18652&lt;&gt;"""",SPLIT('(INGESTA)Datos_consumo_datadis'!A:A,"",""),"""")"),"")</f>
        <v/>
      </c>
      <c r="G17087" s="8" t="str">
        <f t="shared" si="1"/>
        <v/>
      </c>
      <c r="H17087" s="14" t="str">
        <f t="shared" si="2"/>
        <v/>
      </c>
      <c r="I17087" s="15" t="str">
        <f t="shared" si="3"/>
        <v/>
      </c>
    </row>
    <row r="17088">
      <c r="A17088" s="8" t="str">
        <f>IFERROR(__xludf.DUMMYFUNCTION("IF('(INGESTA)Datos_consumo_datadis'!A18653&lt;&gt;"""",SPLIT('(INGESTA)Datos_consumo_datadis'!A:A,"",""),"""")"),"")</f>
        <v/>
      </c>
      <c r="G17088" s="8" t="str">
        <f t="shared" si="1"/>
        <v/>
      </c>
      <c r="H17088" s="14" t="str">
        <f t="shared" si="2"/>
        <v/>
      </c>
      <c r="I17088" s="15" t="str">
        <f t="shared" si="3"/>
        <v/>
      </c>
    </row>
    <row r="17089">
      <c r="A17089" s="8" t="str">
        <f>IFERROR(__xludf.DUMMYFUNCTION("IF('(INGESTA)Datos_consumo_datadis'!A18654&lt;&gt;"""",SPLIT('(INGESTA)Datos_consumo_datadis'!A:A,"",""),"""")"),"")</f>
        <v/>
      </c>
      <c r="G17089" s="8" t="str">
        <f t="shared" si="1"/>
        <v/>
      </c>
      <c r="H17089" s="14" t="str">
        <f t="shared" si="2"/>
        <v/>
      </c>
      <c r="I17089" s="15" t="str">
        <f t="shared" si="3"/>
        <v/>
      </c>
    </row>
    <row r="17090">
      <c r="A17090" s="8" t="str">
        <f>IFERROR(__xludf.DUMMYFUNCTION("IF('(INGESTA)Datos_consumo_datadis'!A18655&lt;&gt;"""",SPLIT('(INGESTA)Datos_consumo_datadis'!A:A,"",""),"""")"),"")</f>
        <v/>
      </c>
      <c r="G17090" s="8" t="str">
        <f t="shared" si="1"/>
        <v/>
      </c>
      <c r="H17090" s="14" t="str">
        <f t="shared" si="2"/>
        <v/>
      </c>
      <c r="I17090" s="15" t="str">
        <f t="shared" si="3"/>
        <v/>
      </c>
    </row>
    <row r="17091">
      <c r="A17091" s="8" t="str">
        <f>IFERROR(__xludf.DUMMYFUNCTION("IF('(INGESTA)Datos_consumo_datadis'!A18656&lt;&gt;"""",SPLIT('(INGESTA)Datos_consumo_datadis'!A:A,"",""),"""")"),"")</f>
        <v/>
      </c>
      <c r="G17091" s="8" t="str">
        <f t="shared" si="1"/>
        <v/>
      </c>
      <c r="H17091" s="14" t="str">
        <f t="shared" si="2"/>
        <v/>
      </c>
      <c r="I17091" s="15" t="str">
        <f t="shared" si="3"/>
        <v/>
      </c>
    </row>
    <row r="17092">
      <c r="A17092" s="8" t="str">
        <f>IFERROR(__xludf.DUMMYFUNCTION("IF('(INGESTA)Datos_consumo_datadis'!A18657&lt;&gt;"""",SPLIT('(INGESTA)Datos_consumo_datadis'!A:A,"",""),"""")"),"")</f>
        <v/>
      </c>
      <c r="G17092" s="8" t="str">
        <f t="shared" si="1"/>
        <v/>
      </c>
      <c r="H17092" s="14" t="str">
        <f t="shared" si="2"/>
        <v/>
      </c>
      <c r="I17092" s="15" t="str">
        <f t="shared" si="3"/>
        <v/>
      </c>
    </row>
    <row r="17093">
      <c r="A17093" s="8" t="str">
        <f>IFERROR(__xludf.DUMMYFUNCTION("IF('(INGESTA)Datos_consumo_datadis'!A18658&lt;&gt;"""",SPLIT('(INGESTA)Datos_consumo_datadis'!A:A,"",""),"""")"),"")</f>
        <v/>
      </c>
      <c r="G17093" s="8" t="str">
        <f t="shared" si="1"/>
        <v/>
      </c>
      <c r="H17093" s="14" t="str">
        <f t="shared" si="2"/>
        <v/>
      </c>
      <c r="I17093" s="15" t="str">
        <f t="shared" si="3"/>
        <v/>
      </c>
    </row>
    <row r="17094">
      <c r="A17094" s="8" t="str">
        <f>IFERROR(__xludf.DUMMYFUNCTION("IF('(INGESTA)Datos_consumo_datadis'!A18659&lt;&gt;"""",SPLIT('(INGESTA)Datos_consumo_datadis'!A:A,"",""),"""")"),"")</f>
        <v/>
      </c>
      <c r="G17094" s="8" t="str">
        <f t="shared" si="1"/>
        <v/>
      </c>
      <c r="H17094" s="14" t="str">
        <f t="shared" si="2"/>
        <v/>
      </c>
      <c r="I17094" s="15" t="str">
        <f t="shared" si="3"/>
        <v/>
      </c>
    </row>
    <row r="17095">
      <c r="A17095" s="8" t="str">
        <f>IFERROR(__xludf.DUMMYFUNCTION("IF('(INGESTA)Datos_consumo_datadis'!A18660&lt;&gt;"""",SPLIT('(INGESTA)Datos_consumo_datadis'!A:A,"",""),"""")"),"")</f>
        <v/>
      </c>
      <c r="G17095" s="8" t="str">
        <f t="shared" si="1"/>
        <v/>
      </c>
      <c r="H17095" s="14" t="str">
        <f t="shared" si="2"/>
        <v/>
      </c>
      <c r="I17095" s="15" t="str">
        <f t="shared" si="3"/>
        <v/>
      </c>
    </row>
    <row r="17096">
      <c r="A17096" s="8" t="str">
        <f>IFERROR(__xludf.DUMMYFUNCTION("IF('(INGESTA)Datos_consumo_datadis'!A18661&lt;&gt;"""",SPLIT('(INGESTA)Datos_consumo_datadis'!A:A,"",""),"""")"),"")</f>
        <v/>
      </c>
      <c r="G17096" s="8" t="str">
        <f t="shared" si="1"/>
        <v/>
      </c>
      <c r="H17096" s="14" t="str">
        <f t="shared" si="2"/>
        <v/>
      </c>
      <c r="I17096" s="15" t="str">
        <f t="shared" si="3"/>
        <v/>
      </c>
    </row>
    <row r="17097">
      <c r="A17097" s="8" t="str">
        <f>IFERROR(__xludf.DUMMYFUNCTION("IF('(INGESTA)Datos_consumo_datadis'!A18662&lt;&gt;"""",SPLIT('(INGESTA)Datos_consumo_datadis'!A:A,"",""),"""")"),"")</f>
        <v/>
      </c>
      <c r="G17097" s="8" t="str">
        <f t="shared" si="1"/>
        <v/>
      </c>
      <c r="H17097" s="14" t="str">
        <f t="shared" si="2"/>
        <v/>
      </c>
      <c r="I17097" s="15" t="str">
        <f t="shared" si="3"/>
        <v/>
      </c>
    </row>
    <row r="17098">
      <c r="A17098" s="8" t="str">
        <f>IFERROR(__xludf.DUMMYFUNCTION("IF('(INGESTA)Datos_consumo_datadis'!A18663&lt;&gt;"""",SPLIT('(INGESTA)Datos_consumo_datadis'!A:A,"",""),"""")"),"")</f>
        <v/>
      </c>
      <c r="G17098" s="8" t="str">
        <f t="shared" si="1"/>
        <v/>
      </c>
      <c r="H17098" s="14" t="str">
        <f t="shared" si="2"/>
        <v/>
      </c>
      <c r="I17098" s="15" t="str">
        <f t="shared" si="3"/>
        <v/>
      </c>
    </row>
    <row r="17099">
      <c r="A17099" s="8" t="str">
        <f>IFERROR(__xludf.DUMMYFUNCTION("IF('(INGESTA)Datos_consumo_datadis'!A18664&lt;&gt;"""",SPLIT('(INGESTA)Datos_consumo_datadis'!A:A,"",""),"""")"),"")</f>
        <v/>
      </c>
      <c r="G17099" s="8" t="str">
        <f t="shared" si="1"/>
        <v/>
      </c>
      <c r="H17099" s="14" t="str">
        <f t="shared" si="2"/>
        <v/>
      </c>
      <c r="I17099" s="15" t="str">
        <f t="shared" si="3"/>
        <v/>
      </c>
    </row>
    <row r="17100">
      <c r="A17100" s="8" t="str">
        <f>IFERROR(__xludf.DUMMYFUNCTION("IF('(INGESTA)Datos_consumo_datadis'!A18665&lt;&gt;"""",SPLIT('(INGESTA)Datos_consumo_datadis'!A:A,"",""),"""")"),"")</f>
        <v/>
      </c>
      <c r="G17100" s="8" t="str">
        <f t="shared" si="1"/>
        <v/>
      </c>
      <c r="H17100" s="14" t="str">
        <f t="shared" si="2"/>
        <v/>
      </c>
      <c r="I17100" s="15" t="str">
        <f t="shared" si="3"/>
        <v/>
      </c>
    </row>
    <row r="17101">
      <c r="A17101" s="8" t="str">
        <f>IFERROR(__xludf.DUMMYFUNCTION("IF('(INGESTA)Datos_consumo_datadis'!A18666&lt;&gt;"""",SPLIT('(INGESTA)Datos_consumo_datadis'!A:A,"",""),"""")"),"")</f>
        <v/>
      </c>
      <c r="G17101" s="8" t="str">
        <f t="shared" si="1"/>
        <v/>
      </c>
      <c r="H17101" s="14" t="str">
        <f t="shared" si="2"/>
        <v/>
      </c>
      <c r="I17101" s="15" t="str">
        <f t="shared" si="3"/>
        <v/>
      </c>
    </row>
    <row r="17102">
      <c r="A17102" s="8" t="str">
        <f>IFERROR(__xludf.DUMMYFUNCTION("IF('(INGESTA)Datos_consumo_datadis'!A18667&lt;&gt;"""",SPLIT('(INGESTA)Datos_consumo_datadis'!A:A,"",""),"""")"),"")</f>
        <v/>
      </c>
      <c r="G17102" s="8" t="str">
        <f t="shared" si="1"/>
        <v/>
      </c>
      <c r="H17102" s="14" t="str">
        <f t="shared" si="2"/>
        <v/>
      </c>
      <c r="I17102" s="15" t="str">
        <f t="shared" si="3"/>
        <v/>
      </c>
    </row>
    <row r="17103">
      <c r="A17103" s="8" t="str">
        <f>IFERROR(__xludf.DUMMYFUNCTION("IF('(INGESTA)Datos_consumo_datadis'!A18668&lt;&gt;"""",SPLIT('(INGESTA)Datos_consumo_datadis'!A:A,"",""),"""")"),"")</f>
        <v/>
      </c>
      <c r="G17103" s="8" t="str">
        <f t="shared" si="1"/>
        <v/>
      </c>
      <c r="H17103" s="14" t="str">
        <f t="shared" si="2"/>
        <v/>
      </c>
      <c r="I17103" s="15" t="str">
        <f t="shared" si="3"/>
        <v/>
      </c>
    </row>
    <row r="17104">
      <c r="A17104" s="8" t="str">
        <f>IFERROR(__xludf.DUMMYFUNCTION("IF('(INGESTA)Datos_consumo_datadis'!A18669&lt;&gt;"""",SPLIT('(INGESTA)Datos_consumo_datadis'!A:A,"",""),"""")"),"")</f>
        <v/>
      </c>
      <c r="G17104" s="8" t="str">
        <f t="shared" si="1"/>
        <v/>
      </c>
      <c r="H17104" s="14" t="str">
        <f t="shared" si="2"/>
        <v/>
      </c>
      <c r="I17104" s="15" t="str">
        <f t="shared" si="3"/>
        <v/>
      </c>
    </row>
    <row r="17105">
      <c r="A17105" s="8" t="str">
        <f>IFERROR(__xludf.DUMMYFUNCTION("IF('(INGESTA)Datos_consumo_datadis'!A18670&lt;&gt;"""",SPLIT('(INGESTA)Datos_consumo_datadis'!A:A,"",""),"""")"),"")</f>
        <v/>
      </c>
      <c r="G17105" s="8" t="str">
        <f t="shared" si="1"/>
        <v/>
      </c>
      <c r="H17105" s="14" t="str">
        <f t="shared" si="2"/>
        <v/>
      </c>
      <c r="I17105" s="15" t="str">
        <f t="shared" si="3"/>
        <v/>
      </c>
    </row>
    <row r="17106">
      <c r="A17106" s="8" t="str">
        <f>IFERROR(__xludf.DUMMYFUNCTION("IF('(INGESTA)Datos_consumo_datadis'!A18671&lt;&gt;"""",SPLIT('(INGESTA)Datos_consumo_datadis'!A:A,"",""),"""")"),"")</f>
        <v/>
      </c>
      <c r="G17106" s="8" t="str">
        <f t="shared" si="1"/>
        <v/>
      </c>
      <c r="H17106" s="14" t="str">
        <f t="shared" si="2"/>
        <v/>
      </c>
      <c r="I17106" s="15" t="str">
        <f t="shared" si="3"/>
        <v/>
      </c>
    </row>
    <row r="17107">
      <c r="A17107" s="8" t="str">
        <f>IFERROR(__xludf.DUMMYFUNCTION("IF('(INGESTA)Datos_consumo_datadis'!A18672&lt;&gt;"""",SPLIT('(INGESTA)Datos_consumo_datadis'!A:A,"",""),"""")"),"")</f>
        <v/>
      </c>
      <c r="G17107" s="8" t="str">
        <f t="shared" si="1"/>
        <v/>
      </c>
      <c r="H17107" s="14" t="str">
        <f t="shared" si="2"/>
        <v/>
      </c>
      <c r="I17107" s="15" t="str">
        <f t="shared" si="3"/>
        <v/>
      </c>
    </row>
    <row r="17108">
      <c r="A17108" s="8" t="str">
        <f>IFERROR(__xludf.DUMMYFUNCTION("IF('(INGESTA)Datos_consumo_datadis'!A18673&lt;&gt;"""",SPLIT('(INGESTA)Datos_consumo_datadis'!A:A,"",""),"""")"),"")</f>
        <v/>
      </c>
      <c r="G17108" s="8" t="str">
        <f t="shared" si="1"/>
        <v/>
      </c>
      <c r="H17108" s="14" t="str">
        <f t="shared" si="2"/>
        <v/>
      </c>
      <c r="I17108" s="15" t="str">
        <f t="shared" si="3"/>
        <v/>
      </c>
    </row>
    <row r="17109">
      <c r="A17109" s="8" t="str">
        <f>IFERROR(__xludf.DUMMYFUNCTION("IF('(INGESTA)Datos_consumo_datadis'!A18674&lt;&gt;"""",SPLIT('(INGESTA)Datos_consumo_datadis'!A:A,"",""),"""")"),"")</f>
        <v/>
      </c>
      <c r="G17109" s="8" t="str">
        <f t="shared" si="1"/>
        <v/>
      </c>
      <c r="H17109" s="14" t="str">
        <f t="shared" si="2"/>
        <v/>
      </c>
      <c r="I17109" s="15" t="str">
        <f t="shared" si="3"/>
        <v/>
      </c>
    </row>
    <row r="17110">
      <c r="A17110" s="8" t="str">
        <f>IFERROR(__xludf.DUMMYFUNCTION("IF('(INGESTA)Datos_consumo_datadis'!A18675&lt;&gt;"""",SPLIT('(INGESTA)Datos_consumo_datadis'!A:A,"",""),"""")"),"")</f>
        <v/>
      </c>
      <c r="G17110" s="8" t="str">
        <f t="shared" si="1"/>
        <v/>
      </c>
      <c r="H17110" s="14" t="str">
        <f t="shared" si="2"/>
        <v/>
      </c>
      <c r="I17110" s="15" t="str">
        <f t="shared" si="3"/>
        <v/>
      </c>
    </row>
    <row r="17111">
      <c r="A17111" s="8" t="str">
        <f>IFERROR(__xludf.DUMMYFUNCTION("IF('(INGESTA)Datos_consumo_datadis'!A18676&lt;&gt;"""",SPLIT('(INGESTA)Datos_consumo_datadis'!A:A,"",""),"""")"),"")</f>
        <v/>
      </c>
      <c r="G17111" s="8" t="str">
        <f t="shared" si="1"/>
        <v/>
      </c>
      <c r="H17111" s="14" t="str">
        <f t="shared" si="2"/>
        <v/>
      </c>
      <c r="I17111" s="15" t="str">
        <f t="shared" si="3"/>
        <v/>
      </c>
    </row>
    <row r="17112">
      <c r="A17112" s="8" t="str">
        <f>IFERROR(__xludf.DUMMYFUNCTION("IF('(INGESTA)Datos_consumo_datadis'!A18677&lt;&gt;"""",SPLIT('(INGESTA)Datos_consumo_datadis'!A:A,"",""),"""")"),"")</f>
        <v/>
      </c>
      <c r="G17112" s="8" t="str">
        <f t="shared" si="1"/>
        <v/>
      </c>
      <c r="H17112" s="14" t="str">
        <f t="shared" si="2"/>
        <v/>
      </c>
      <c r="I17112" s="15" t="str">
        <f t="shared" si="3"/>
        <v/>
      </c>
    </row>
    <row r="17113">
      <c r="A17113" s="8" t="str">
        <f>IFERROR(__xludf.DUMMYFUNCTION("IF('(INGESTA)Datos_consumo_datadis'!A18678&lt;&gt;"""",SPLIT('(INGESTA)Datos_consumo_datadis'!A:A,"",""),"""")"),"")</f>
        <v/>
      </c>
      <c r="G17113" s="8" t="str">
        <f t="shared" si="1"/>
        <v/>
      </c>
      <c r="H17113" s="14" t="str">
        <f t="shared" si="2"/>
        <v/>
      </c>
      <c r="I17113" s="15" t="str">
        <f t="shared" si="3"/>
        <v/>
      </c>
    </row>
    <row r="17114">
      <c r="A17114" s="8" t="str">
        <f>IFERROR(__xludf.DUMMYFUNCTION("IF('(INGESTA)Datos_consumo_datadis'!A18679&lt;&gt;"""",SPLIT('(INGESTA)Datos_consumo_datadis'!A:A,"",""),"""")"),"")</f>
        <v/>
      </c>
      <c r="G17114" s="8" t="str">
        <f t="shared" si="1"/>
        <v/>
      </c>
      <c r="H17114" s="14" t="str">
        <f t="shared" si="2"/>
        <v/>
      </c>
      <c r="I17114" s="15" t="str">
        <f t="shared" si="3"/>
        <v/>
      </c>
    </row>
    <row r="17115">
      <c r="A17115" s="8" t="str">
        <f>IFERROR(__xludf.DUMMYFUNCTION("IF('(INGESTA)Datos_consumo_datadis'!A18680&lt;&gt;"""",SPLIT('(INGESTA)Datos_consumo_datadis'!A:A,"",""),"""")"),"")</f>
        <v/>
      </c>
      <c r="G17115" s="8" t="str">
        <f t="shared" si="1"/>
        <v/>
      </c>
      <c r="H17115" s="14" t="str">
        <f t="shared" si="2"/>
        <v/>
      </c>
      <c r="I17115" s="15" t="str">
        <f t="shared" si="3"/>
        <v/>
      </c>
    </row>
    <row r="17116">
      <c r="A17116" s="8" t="str">
        <f>IFERROR(__xludf.DUMMYFUNCTION("IF('(INGESTA)Datos_consumo_datadis'!A18681&lt;&gt;"""",SPLIT('(INGESTA)Datos_consumo_datadis'!A:A,"",""),"""")"),"")</f>
        <v/>
      </c>
      <c r="G17116" s="8" t="str">
        <f t="shared" si="1"/>
        <v/>
      </c>
      <c r="H17116" s="14" t="str">
        <f t="shared" si="2"/>
        <v/>
      </c>
      <c r="I17116" s="15" t="str">
        <f t="shared" si="3"/>
        <v/>
      </c>
    </row>
    <row r="17117">
      <c r="A17117" s="8" t="str">
        <f>IFERROR(__xludf.DUMMYFUNCTION("IF('(INGESTA)Datos_consumo_datadis'!A18682&lt;&gt;"""",SPLIT('(INGESTA)Datos_consumo_datadis'!A:A,"",""),"""")"),"")</f>
        <v/>
      </c>
      <c r="G17117" s="8" t="str">
        <f t="shared" si="1"/>
        <v/>
      </c>
      <c r="H17117" s="14" t="str">
        <f t="shared" si="2"/>
        <v/>
      </c>
      <c r="I17117" s="15" t="str">
        <f t="shared" si="3"/>
        <v/>
      </c>
    </row>
    <row r="17118">
      <c r="A17118" s="8" t="str">
        <f>IFERROR(__xludf.DUMMYFUNCTION("IF('(INGESTA)Datos_consumo_datadis'!A18683&lt;&gt;"""",SPLIT('(INGESTA)Datos_consumo_datadis'!A:A,"",""),"""")"),"")</f>
        <v/>
      </c>
      <c r="G17118" s="8" t="str">
        <f t="shared" si="1"/>
        <v/>
      </c>
      <c r="H17118" s="14" t="str">
        <f t="shared" si="2"/>
        <v/>
      </c>
      <c r="I17118" s="15" t="str">
        <f t="shared" si="3"/>
        <v/>
      </c>
    </row>
    <row r="17119">
      <c r="A17119" s="8" t="str">
        <f>IFERROR(__xludf.DUMMYFUNCTION("IF('(INGESTA)Datos_consumo_datadis'!A18684&lt;&gt;"""",SPLIT('(INGESTA)Datos_consumo_datadis'!A:A,"",""),"""")"),"")</f>
        <v/>
      </c>
      <c r="G17119" s="8" t="str">
        <f t="shared" si="1"/>
        <v/>
      </c>
      <c r="H17119" s="14" t="str">
        <f t="shared" si="2"/>
        <v/>
      </c>
      <c r="I17119" s="15" t="str">
        <f t="shared" si="3"/>
        <v/>
      </c>
    </row>
    <row r="17120">
      <c r="A17120" s="8" t="str">
        <f>IFERROR(__xludf.DUMMYFUNCTION("IF('(INGESTA)Datos_consumo_datadis'!A18685&lt;&gt;"""",SPLIT('(INGESTA)Datos_consumo_datadis'!A:A,"",""),"""")"),"")</f>
        <v/>
      </c>
      <c r="G17120" s="8" t="str">
        <f t="shared" si="1"/>
        <v/>
      </c>
      <c r="H17120" s="14" t="str">
        <f t="shared" si="2"/>
        <v/>
      </c>
      <c r="I17120" s="15" t="str">
        <f t="shared" si="3"/>
        <v/>
      </c>
    </row>
    <row r="17121">
      <c r="A17121" s="8" t="str">
        <f>IFERROR(__xludf.DUMMYFUNCTION("IF('(INGESTA)Datos_consumo_datadis'!A18686&lt;&gt;"""",SPLIT('(INGESTA)Datos_consumo_datadis'!A:A,"",""),"""")"),"")</f>
        <v/>
      </c>
      <c r="G17121" s="8" t="str">
        <f t="shared" si="1"/>
        <v/>
      </c>
      <c r="H17121" s="14" t="str">
        <f t="shared" si="2"/>
        <v/>
      </c>
      <c r="I17121" s="15" t="str">
        <f t="shared" si="3"/>
        <v/>
      </c>
    </row>
    <row r="17122">
      <c r="A17122" s="8" t="str">
        <f>IFERROR(__xludf.DUMMYFUNCTION("IF('(INGESTA)Datos_consumo_datadis'!A18687&lt;&gt;"""",SPLIT('(INGESTA)Datos_consumo_datadis'!A:A,"",""),"""")"),"")</f>
        <v/>
      </c>
      <c r="G17122" s="8" t="str">
        <f t="shared" si="1"/>
        <v/>
      </c>
      <c r="H17122" s="14" t="str">
        <f t="shared" si="2"/>
        <v/>
      </c>
      <c r="I17122" s="15" t="str">
        <f t="shared" si="3"/>
        <v/>
      </c>
    </row>
    <row r="17123">
      <c r="A17123" s="8" t="str">
        <f>IFERROR(__xludf.DUMMYFUNCTION("IF('(INGESTA)Datos_consumo_datadis'!A18688&lt;&gt;"""",SPLIT('(INGESTA)Datos_consumo_datadis'!A:A,"",""),"""")"),"")</f>
        <v/>
      </c>
      <c r="G17123" s="8" t="str">
        <f t="shared" si="1"/>
        <v/>
      </c>
      <c r="H17123" s="14" t="str">
        <f t="shared" si="2"/>
        <v/>
      </c>
      <c r="I17123" s="15" t="str">
        <f t="shared" si="3"/>
        <v/>
      </c>
    </row>
    <row r="17124">
      <c r="A17124" s="8" t="str">
        <f>IFERROR(__xludf.DUMMYFUNCTION("IF('(INGESTA)Datos_consumo_datadis'!A18689&lt;&gt;"""",SPLIT('(INGESTA)Datos_consumo_datadis'!A:A,"",""),"""")"),"")</f>
        <v/>
      </c>
      <c r="G17124" s="8" t="str">
        <f t="shared" si="1"/>
        <v/>
      </c>
      <c r="H17124" s="14" t="str">
        <f t="shared" si="2"/>
        <v/>
      </c>
      <c r="I17124" s="15" t="str">
        <f t="shared" si="3"/>
        <v/>
      </c>
    </row>
    <row r="17125">
      <c r="A17125" s="8" t="str">
        <f>IFERROR(__xludf.DUMMYFUNCTION("IF('(INGESTA)Datos_consumo_datadis'!A18690&lt;&gt;"""",SPLIT('(INGESTA)Datos_consumo_datadis'!A:A,"",""),"""")"),"")</f>
        <v/>
      </c>
      <c r="G17125" s="8" t="str">
        <f t="shared" si="1"/>
        <v/>
      </c>
      <c r="H17125" s="14" t="str">
        <f t="shared" si="2"/>
        <v/>
      </c>
      <c r="I17125" s="15" t="str">
        <f t="shared" si="3"/>
        <v/>
      </c>
    </row>
    <row r="17126">
      <c r="A17126" s="8" t="str">
        <f>IFERROR(__xludf.DUMMYFUNCTION("IF('(INGESTA)Datos_consumo_datadis'!A18691&lt;&gt;"""",SPLIT('(INGESTA)Datos_consumo_datadis'!A:A,"",""),"""")"),"")</f>
        <v/>
      </c>
      <c r="G17126" s="8" t="str">
        <f t="shared" si="1"/>
        <v/>
      </c>
      <c r="H17126" s="14" t="str">
        <f t="shared" si="2"/>
        <v/>
      </c>
      <c r="I17126" s="15" t="str">
        <f t="shared" si="3"/>
        <v/>
      </c>
    </row>
    <row r="17127">
      <c r="A17127" s="8" t="str">
        <f>IFERROR(__xludf.DUMMYFUNCTION("IF('(INGESTA)Datos_consumo_datadis'!A18692&lt;&gt;"""",SPLIT('(INGESTA)Datos_consumo_datadis'!A:A,"",""),"""")"),"")</f>
        <v/>
      </c>
      <c r="G17127" s="8" t="str">
        <f t="shared" si="1"/>
        <v/>
      </c>
      <c r="H17127" s="14" t="str">
        <f t="shared" si="2"/>
        <v/>
      </c>
      <c r="I17127" s="15" t="str">
        <f t="shared" si="3"/>
        <v/>
      </c>
    </row>
    <row r="17128">
      <c r="A17128" s="8" t="str">
        <f>IFERROR(__xludf.DUMMYFUNCTION("IF('(INGESTA)Datos_consumo_datadis'!A18693&lt;&gt;"""",SPLIT('(INGESTA)Datos_consumo_datadis'!A:A,"",""),"""")"),"")</f>
        <v/>
      </c>
      <c r="G17128" s="8" t="str">
        <f t="shared" si="1"/>
        <v/>
      </c>
      <c r="H17128" s="14" t="str">
        <f t="shared" si="2"/>
        <v/>
      </c>
      <c r="I17128" s="15" t="str">
        <f t="shared" si="3"/>
        <v/>
      </c>
    </row>
    <row r="17129">
      <c r="A17129" s="8" t="str">
        <f>IFERROR(__xludf.DUMMYFUNCTION("IF('(INGESTA)Datos_consumo_datadis'!A18694&lt;&gt;"""",SPLIT('(INGESTA)Datos_consumo_datadis'!A:A,"",""),"""")"),"")</f>
        <v/>
      </c>
      <c r="G17129" s="8" t="str">
        <f t="shared" si="1"/>
        <v/>
      </c>
      <c r="H17129" s="14" t="str">
        <f t="shared" si="2"/>
        <v/>
      </c>
      <c r="I17129" s="15" t="str">
        <f t="shared" si="3"/>
        <v/>
      </c>
    </row>
    <row r="17130">
      <c r="A17130" s="8" t="str">
        <f>IFERROR(__xludf.DUMMYFUNCTION("IF('(INGESTA)Datos_consumo_datadis'!A18695&lt;&gt;"""",SPLIT('(INGESTA)Datos_consumo_datadis'!A:A,"",""),"""")"),"")</f>
        <v/>
      </c>
      <c r="G17130" s="8" t="str">
        <f t="shared" si="1"/>
        <v/>
      </c>
      <c r="H17130" s="14" t="str">
        <f t="shared" si="2"/>
        <v/>
      </c>
      <c r="I17130" s="15" t="str">
        <f t="shared" si="3"/>
        <v/>
      </c>
    </row>
    <row r="17131">
      <c r="A17131" s="8" t="str">
        <f>IFERROR(__xludf.DUMMYFUNCTION("IF('(INGESTA)Datos_consumo_datadis'!A18696&lt;&gt;"""",SPLIT('(INGESTA)Datos_consumo_datadis'!A:A,"",""),"""")"),"")</f>
        <v/>
      </c>
      <c r="G17131" s="8" t="str">
        <f t="shared" si="1"/>
        <v/>
      </c>
      <c r="H17131" s="14" t="str">
        <f t="shared" si="2"/>
        <v/>
      </c>
      <c r="I17131" s="15" t="str">
        <f t="shared" si="3"/>
        <v/>
      </c>
    </row>
    <row r="17132">
      <c r="A17132" s="8" t="str">
        <f>IFERROR(__xludf.DUMMYFUNCTION("IF('(INGESTA)Datos_consumo_datadis'!A18697&lt;&gt;"""",SPLIT('(INGESTA)Datos_consumo_datadis'!A:A,"",""),"""")"),"")</f>
        <v/>
      </c>
      <c r="G17132" s="8" t="str">
        <f t="shared" si="1"/>
        <v/>
      </c>
      <c r="H17132" s="14" t="str">
        <f t="shared" si="2"/>
        <v/>
      </c>
      <c r="I17132" s="15" t="str">
        <f t="shared" si="3"/>
        <v/>
      </c>
    </row>
    <row r="17133">
      <c r="A17133" s="8" t="str">
        <f>IFERROR(__xludf.DUMMYFUNCTION("IF('(INGESTA)Datos_consumo_datadis'!A18698&lt;&gt;"""",SPLIT('(INGESTA)Datos_consumo_datadis'!A:A,"",""),"""")"),"")</f>
        <v/>
      </c>
      <c r="G17133" s="8" t="str">
        <f t="shared" si="1"/>
        <v/>
      </c>
      <c r="H17133" s="14" t="str">
        <f t="shared" si="2"/>
        <v/>
      </c>
      <c r="I17133" s="15" t="str">
        <f t="shared" si="3"/>
        <v/>
      </c>
    </row>
    <row r="17134">
      <c r="A17134" s="8" t="str">
        <f>IFERROR(__xludf.DUMMYFUNCTION("IF('(INGESTA)Datos_consumo_datadis'!A18699&lt;&gt;"""",SPLIT('(INGESTA)Datos_consumo_datadis'!A:A,"",""),"""")"),"")</f>
        <v/>
      </c>
      <c r="G17134" s="8" t="str">
        <f t="shared" si="1"/>
        <v/>
      </c>
      <c r="H17134" s="14" t="str">
        <f t="shared" si="2"/>
        <v/>
      </c>
      <c r="I17134" s="15" t="str">
        <f t="shared" si="3"/>
        <v/>
      </c>
    </row>
    <row r="17135">
      <c r="A17135" s="8" t="str">
        <f>IFERROR(__xludf.DUMMYFUNCTION("IF('(INGESTA)Datos_consumo_datadis'!A18700&lt;&gt;"""",SPLIT('(INGESTA)Datos_consumo_datadis'!A:A,"",""),"""")"),"")</f>
        <v/>
      </c>
      <c r="G17135" s="8" t="str">
        <f t="shared" si="1"/>
        <v/>
      </c>
      <c r="H17135" s="14" t="str">
        <f t="shared" si="2"/>
        <v/>
      </c>
      <c r="I17135" s="15" t="str">
        <f t="shared" si="3"/>
        <v/>
      </c>
    </row>
    <row r="17136">
      <c r="A17136" s="8" t="str">
        <f>IFERROR(__xludf.DUMMYFUNCTION("IF('(INGESTA)Datos_consumo_datadis'!A18701&lt;&gt;"""",SPLIT('(INGESTA)Datos_consumo_datadis'!A:A,"",""),"""")"),"")</f>
        <v/>
      </c>
      <c r="G17136" s="8" t="str">
        <f t="shared" si="1"/>
        <v/>
      </c>
      <c r="H17136" s="14" t="str">
        <f t="shared" si="2"/>
        <v/>
      </c>
      <c r="I17136" s="15" t="str">
        <f t="shared" si="3"/>
        <v/>
      </c>
    </row>
    <row r="17137">
      <c r="A17137" s="8" t="str">
        <f>IFERROR(__xludf.DUMMYFUNCTION("IF('(INGESTA)Datos_consumo_datadis'!A18702&lt;&gt;"""",SPLIT('(INGESTA)Datos_consumo_datadis'!A:A,"",""),"""")"),"")</f>
        <v/>
      </c>
      <c r="G17137" s="8" t="str">
        <f t="shared" si="1"/>
        <v/>
      </c>
      <c r="H17137" s="14" t="str">
        <f t="shared" si="2"/>
        <v/>
      </c>
      <c r="I17137" s="15" t="str">
        <f t="shared" si="3"/>
        <v/>
      </c>
    </row>
    <row r="17138">
      <c r="A17138" s="8" t="str">
        <f>IFERROR(__xludf.DUMMYFUNCTION("IF('(INGESTA)Datos_consumo_datadis'!A18703&lt;&gt;"""",SPLIT('(INGESTA)Datos_consumo_datadis'!A:A,"",""),"""")"),"")</f>
        <v/>
      </c>
      <c r="G17138" s="8" t="str">
        <f t="shared" si="1"/>
        <v/>
      </c>
      <c r="H17138" s="14" t="str">
        <f t="shared" si="2"/>
        <v/>
      </c>
      <c r="I17138" s="15" t="str">
        <f t="shared" si="3"/>
        <v/>
      </c>
    </row>
    <row r="17139">
      <c r="A17139" s="8" t="str">
        <f>IFERROR(__xludf.DUMMYFUNCTION("IF('(INGESTA)Datos_consumo_datadis'!A18704&lt;&gt;"""",SPLIT('(INGESTA)Datos_consumo_datadis'!A:A,"",""),"""")"),"")</f>
        <v/>
      </c>
      <c r="G17139" s="8" t="str">
        <f t="shared" si="1"/>
        <v/>
      </c>
      <c r="H17139" s="14" t="str">
        <f t="shared" si="2"/>
        <v/>
      </c>
      <c r="I17139" s="15" t="str">
        <f t="shared" si="3"/>
        <v/>
      </c>
    </row>
    <row r="17140">
      <c r="A17140" s="8" t="str">
        <f>IFERROR(__xludf.DUMMYFUNCTION("IF('(INGESTA)Datos_consumo_datadis'!A18705&lt;&gt;"""",SPLIT('(INGESTA)Datos_consumo_datadis'!A:A,"",""),"""")"),"")</f>
        <v/>
      </c>
      <c r="G17140" s="8" t="str">
        <f t="shared" si="1"/>
        <v/>
      </c>
      <c r="H17140" s="14" t="str">
        <f t="shared" si="2"/>
        <v/>
      </c>
      <c r="I17140" s="15" t="str">
        <f t="shared" si="3"/>
        <v/>
      </c>
    </row>
    <row r="17141">
      <c r="A17141" s="8" t="str">
        <f>IFERROR(__xludf.DUMMYFUNCTION("IF('(INGESTA)Datos_consumo_datadis'!A18706&lt;&gt;"""",SPLIT('(INGESTA)Datos_consumo_datadis'!A:A,"",""),"""")"),"")</f>
        <v/>
      </c>
      <c r="G17141" s="8" t="str">
        <f t="shared" si="1"/>
        <v/>
      </c>
      <c r="H17141" s="14" t="str">
        <f t="shared" si="2"/>
        <v/>
      </c>
      <c r="I17141" s="15" t="str">
        <f t="shared" si="3"/>
        <v/>
      </c>
    </row>
    <row r="17142">
      <c r="A17142" s="8" t="str">
        <f>IFERROR(__xludf.DUMMYFUNCTION("IF('(INGESTA)Datos_consumo_datadis'!A18707&lt;&gt;"""",SPLIT('(INGESTA)Datos_consumo_datadis'!A:A,"",""),"""")"),"")</f>
        <v/>
      </c>
      <c r="G17142" s="8" t="str">
        <f t="shared" si="1"/>
        <v/>
      </c>
      <c r="H17142" s="14" t="str">
        <f t="shared" si="2"/>
        <v/>
      </c>
      <c r="I17142" s="15" t="str">
        <f t="shared" si="3"/>
        <v/>
      </c>
    </row>
    <row r="17143">
      <c r="A17143" s="8" t="str">
        <f>IFERROR(__xludf.DUMMYFUNCTION("IF('(INGESTA)Datos_consumo_datadis'!A18708&lt;&gt;"""",SPLIT('(INGESTA)Datos_consumo_datadis'!A:A,"",""),"""")"),"")</f>
        <v/>
      </c>
      <c r="G17143" s="8" t="str">
        <f t="shared" si="1"/>
        <v/>
      </c>
      <c r="H17143" s="14" t="str">
        <f t="shared" si="2"/>
        <v/>
      </c>
      <c r="I17143" s="15" t="str">
        <f t="shared" si="3"/>
        <v/>
      </c>
    </row>
    <row r="17144">
      <c r="A17144" s="8" t="str">
        <f>IFERROR(__xludf.DUMMYFUNCTION("IF('(INGESTA)Datos_consumo_datadis'!A18709&lt;&gt;"""",SPLIT('(INGESTA)Datos_consumo_datadis'!A:A,"",""),"""")"),"")</f>
        <v/>
      </c>
      <c r="G17144" s="8" t="str">
        <f t="shared" si="1"/>
        <v/>
      </c>
      <c r="H17144" s="14" t="str">
        <f t="shared" si="2"/>
        <v/>
      </c>
      <c r="I17144" s="15" t="str">
        <f t="shared" si="3"/>
        <v/>
      </c>
    </row>
    <row r="17145">
      <c r="A17145" s="8" t="str">
        <f>IFERROR(__xludf.DUMMYFUNCTION("IF('(INGESTA)Datos_consumo_datadis'!A18710&lt;&gt;"""",SPLIT('(INGESTA)Datos_consumo_datadis'!A:A,"",""),"""")"),"")</f>
        <v/>
      </c>
      <c r="G17145" s="8" t="str">
        <f t="shared" si="1"/>
        <v/>
      </c>
      <c r="H17145" s="14" t="str">
        <f t="shared" si="2"/>
        <v/>
      </c>
      <c r="I17145" s="15" t="str">
        <f t="shared" si="3"/>
        <v/>
      </c>
    </row>
    <row r="17146">
      <c r="A17146" s="8" t="str">
        <f>IFERROR(__xludf.DUMMYFUNCTION("IF('(INGESTA)Datos_consumo_datadis'!A18711&lt;&gt;"""",SPLIT('(INGESTA)Datos_consumo_datadis'!A:A,"",""),"""")"),"")</f>
        <v/>
      </c>
      <c r="G17146" s="8" t="str">
        <f t="shared" si="1"/>
        <v/>
      </c>
      <c r="H17146" s="14" t="str">
        <f t="shared" si="2"/>
        <v/>
      </c>
      <c r="I17146" s="15" t="str">
        <f t="shared" si="3"/>
        <v/>
      </c>
    </row>
    <row r="17147">
      <c r="A17147" s="8" t="str">
        <f>IFERROR(__xludf.DUMMYFUNCTION("IF('(INGESTA)Datos_consumo_datadis'!A18712&lt;&gt;"""",SPLIT('(INGESTA)Datos_consumo_datadis'!A:A,"",""),"""")"),"")</f>
        <v/>
      </c>
      <c r="G17147" s="8" t="str">
        <f t="shared" si="1"/>
        <v/>
      </c>
      <c r="H17147" s="14" t="str">
        <f t="shared" si="2"/>
        <v/>
      </c>
      <c r="I17147" s="15" t="str">
        <f t="shared" si="3"/>
        <v/>
      </c>
    </row>
    <row r="17148">
      <c r="A17148" s="8" t="str">
        <f>IFERROR(__xludf.DUMMYFUNCTION("IF('(INGESTA)Datos_consumo_datadis'!A18713&lt;&gt;"""",SPLIT('(INGESTA)Datos_consumo_datadis'!A:A,"",""),"""")"),"")</f>
        <v/>
      </c>
      <c r="G17148" s="8" t="str">
        <f t="shared" si="1"/>
        <v/>
      </c>
      <c r="H17148" s="14" t="str">
        <f t="shared" si="2"/>
        <v/>
      </c>
      <c r="I17148" s="15" t="str">
        <f t="shared" si="3"/>
        <v/>
      </c>
    </row>
    <row r="17149">
      <c r="A17149" s="8" t="str">
        <f>IFERROR(__xludf.DUMMYFUNCTION("IF('(INGESTA)Datos_consumo_datadis'!A18714&lt;&gt;"""",SPLIT('(INGESTA)Datos_consumo_datadis'!A:A,"",""),"""")"),"")</f>
        <v/>
      </c>
      <c r="G17149" s="8" t="str">
        <f t="shared" si="1"/>
        <v/>
      </c>
      <c r="H17149" s="14" t="str">
        <f t="shared" si="2"/>
        <v/>
      </c>
      <c r="I17149" s="15" t="str">
        <f t="shared" si="3"/>
        <v/>
      </c>
    </row>
    <row r="17150">
      <c r="A17150" s="8" t="str">
        <f>IFERROR(__xludf.DUMMYFUNCTION("IF('(INGESTA)Datos_consumo_datadis'!A18715&lt;&gt;"""",SPLIT('(INGESTA)Datos_consumo_datadis'!A:A,"",""),"""")"),"")</f>
        <v/>
      </c>
      <c r="G17150" s="8" t="str">
        <f t="shared" si="1"/>
        <v/>
      </c>
      <c r="H17150" s="14" t="str">
        <f t="shared" si="2"/>
        <v/>
      </c>
      <c r="I17150" s="15" t="str">
        <f t="shared" si="3"/>
        <v/>
      </c>
    </row>
    <row r="17151">
      <c r="A17151" s="8" t="str">
        <f>IFERROR(__xludf.DUMMYFUNCTION("IF('(INGESTA)Datos_consumo_datadis'!A18716&lt;&gt;"""",SPLIT('(INGESTA)Datos_consumo_datadis'!A:A,"",""),"""")"),"")</f>
        <v/>
      </c>
      <c r="G17151" s="8" t="str">
        <f t="shared" si="1"/>
        <v/>
      </c>
      <c r="H17151" s="14" t="str">
        <f t="shared" si="2"/>
        <v/>
      </c>
      <c r="I17151" s="15" t="str">
        <f t="shared" si="3"/>
        <v/>
      </c>
    </row>
    <row r="17152">
      <c r="A17152" s="8" t="str">
        <f>IFERROR(__xludf.DUMMYFUNCTION("IF('(INGESTA)Datos_consumo_datadis'!A18717&lt;&gt;"""",SPLIT('(INGESTA)Datos_consumo_datadis'!A:A,"",""),"""")"),"")</f>
        <v/>
      </c>
      <c r="G17152" s="8" t="str">
        <f t="shared" si="1"/>
        <v/>
      </c>
      <c r="H17152" s="14" t="str">
        <f t="shared" si="2"/>
        <v/>
      </c>
      <c r="I17152" s="15" t="str">
        <f t="shared" si="3"/>
        <v/>
      </c>
    </row>
    <row r="17153">
      <c r="A17153" s="8" t="str">
        <f>IFERROR(__xludf.DUMMYFUNCTION("IF('(INGESTA)Datos_consumo_datadis'!A18718&lt;&gt;"""",SPLIT('(INGESTA)Datos_consumo_datadis'!A:A,"",""),"""")"),"")</f>
        <v/>
      </c>
      <c r="G17153" s="8" t="str">
        <f t="shared" si="1"/>
        <v/>
      </c>
      <c r="H17153" s="14" t="str">
        <f t="shared" si="2"/>
        <v/>
      </c>
      <c r="I17153" s="15" t="str">
        <f t="shared" si="3"/>
        <v/>
      </c>
    </row>
    <row r="17154">
      <c r="A17154" s="8" t="str">
        <f>IFERROR(__xludf.DUMMYFUNCTION("IF('(INGESTA)Datos_consumo_datadis'!A18719&lt;&gt;"""",SPLIT('(INGESTA)Datos_consumo_datadis'!A:A,"",""),"""")"),"")</f>
        <v/>
      </c>
      <c r="G17154" s="8" t="str">
        <f t="shared" si="1"/>
        <v/>
      </c>
      <c r="H17154" s="14" t="str">
        <f t="shared" si="2"/>
        <v/>
      </c>
      <c r="I17154" s="15" t="str">
        <f t="shared" si="3"/>
        <v/>
      </c>
    </row>
    <row r="17155">
      <c r="A17155" s="8" t="str">
        <f>IFERROR(__xludf.DUMMYFUNCTION("IF('(INGESTA)Datos_consumo_datadis'!A18720&lt;&gt;"""",SPLIT('(INGESTA)Datos_consumo_datadis'!A:A,"",""),"""")"),"")</f>
        <v/>
      </c>
      <c r="G17155" s="8" t="str">
        <f t="shared" si="1"/>
        <v/>
      </c>
      <c r="H17155" s="14" t="str">
        <f t="shared" si="2"/>
        <v/>
      </c>
      <c r="I17155" s="15" t="str">
        <f t="shared" si="3"/>
        <v/>
      </c>
    </row>
    <row r="17156">
      <c r="A17156" s="8" t="str">
        <f>IFERROR(__xludf.DUMMYFUNCTION("IF('(INGESTA)Datos_consumo_datadis'!A18721&lt;&gt;"""",SPLIT('(INGESTA)Datos_consumo_datadis'!A:A,"",""),"""")"),"")</f>
        <v/>
      </c>
      <c r="G17156" s="8" t="str">
        <f t="shared" si="1"/>
        <v/>
      </c>
      <c r="H17156" s="14" t="str">
        <f t="shared" si="2"/>
        <v/>
      </c>
      <c r="I17156" s="15" t="str">
        <f t="shared" si="3"/>
        <v/>
      </c>
    </row>
    <row r="17157">
      <c r="A17157" s="8" t="str">
        <f>IFERROR(__xludf.DUMMYFUNCTION("IF('(INGESTA)Datos_consumo_datadis'!A18722&lt;&gt;"""",SPLIT('(INGESTA)Datos_consumo_datadis'!A:A,"",""),"""")"),"")</f>
        <v/>
      </c>
      <c r="G17157" s="8" t="str">
        <f t="shared" si="1"/>
        <v/>
      </c>
      <c r="H17157" s="14" t="str">
        <f t="shared" si="2"/>
        <v/>
      </c>
      <c r="I17157" s="15" t="str">
        <f t="shared" si="3"/>
        <v/>
      </c>
    </row>
    <row r="17158">
      <c r="A17158" s="8" t="str">
        <f>IFERROR(__xludf.DUMMYFUNCTION("IF('(INGESTA)Datos_consumo_datadis'!A18723&lt;&gt;"""",SPLIT('(INGESTA)Datos_consumo_datadis'!A:A,"",""),"""")"),"")</f>
        <v/>
      </c>
      <c r="G17158" s="8" t="str">
        <f t="shared" si="1"/>
        <v/>
      </c>
      <c r="H17158" s="14" t="str">
        <f t="shared" si="2"/>
        <v/>
      </c>
      <c r="I17158" s="15" t="str">
        <f t="shared" si="3"/>
        <v/>
      </c>
    </row>
    <row r="17159">
      <c r="A17159" s="8" t="str">
        <f>IFERROR(__xludf.DUMMYFUNCTION("IF('(INGESTA)Datos_consumo_datadis'!A18724&lt;&gt;"""",SPLIT('(INGESTA)Datos_consumo_datadis'!A:A,"",""),"""")"),"")</f>
        <v/>
      </c>
      <c r="G17159" s="8" t="str">
        <f t="shared" si="1"/>
        <v/>
      </c>
      <c r="H17159" s="14" t="str">
        <f t="shared" si="2"/>
        <v/>
      </c>
      <c r="I17159" s="15" t="str">
        <f t="shared" si="3"/>
        <v/>
      </c>
    </row>
    <row r="17160">
      <c r="A17160" s="8" t="str">
        <f>IFERROR(__xludf.DUMMYFUNCTION("IF('(INGESTA)Datos_consumo_datadis'!A18725&lt;&gt;"""",SPLIT('(INGESTA)Datos_consumo_datadis'!A:A,"",""),"""")"),"")</f>
        <v/>
      </c>
      <c r="G17160" s="8" t="str">
        <f t="shared" si="1"/>
        <v/>
      </c>
      <c r="H17160" s="14" t="str">
        <f t="shared" si="2"/>
        <v/>
      </c>
      <c r="I17160" s="15" t="str">
        <f t="shared" si="3"/>
        <v/>
      </c>
    </row>
    <row r="17161">
      <c r="A17161" s="8" t="str">
        <f>IFERROR(__xludf.DUMMYFUNCTION("IF('(INGESTA)Datos_consumo_datadis'!A18726&lt;&gt;"""",SPLIT('(INGESTA)Datos_consumo_datadis'!A:A,"",""),"""")"),"")</f>
        <v/>
      </c>
      <c r="G17161" s="8" t="str">
        <f t="shared" si="1"/>
        <v/>
      </c>
      <c r="H17161" s="14" t="str">
        <f t="shared" si="2"/>
        <v/>
      </c>
      <c r="I17161" s="15" t="str">
        <f t="shared" si="3"/>
        <v/>
      </c>
    </row>
    <row r="17162">
      <c r="A17162" s="8" t="str">
        <f>IFERROR(__xludf.DUMMYFUNCTION("IF('(INGESTA)Datos_consumo_datadis'!A18727&lt;&gt;"""",SPLIT('(INGESTA)Datos_consumo_datadis'!A:A,"",""),"""")"),"")</f>
        <v/>
      </c>
      <c r="G17162" s="8" t="str">
        <f t="shared" si="1"/>
        <v/>
      </c>
      <c r="H17162" s="14" t="str">
        <f t="shared" si="2"/>
        <v/>
      </c>
      <c r="I17162" s="15" t="str">
        <f t="shared" si="3"/>
        <v/>
      </c>
    </row>
    <row r="17163">
      <c r="A17163" s="8" t="str">
        <f>IFERROR(__xludf.DUMMYFUNCTION("IF('(INGESTA)Datos_consumo_datadis'!A18728&lt;&gt;"""",SPLIT('(INGESTA)Datos_consumo_datadis'!A:A,"",""),"""")"),"")</f>
        <v/>
      </c>
      <c r="G17163" s="8" t="str">
        <f t="shared" si="1"/>
        <v/>
      </c>
      <c r="H17163" s="14" t="str">
        <f t="shared" si="2"/>
        <v/>
      </c>
      <c r="I17163" s="15" t="str">
        <f t="shared" si="3"/>
        <v/>
      </c>
    </row>
    <row r="17164">
      <c r="A17164" s="8" t="str">
        <f>IFERROR(__xludf.DUMMYFUNCTION("IF('(INGESTA)Datos_consumo_datadis'!A18729&lt;&gt;"""",SPLIT('(INGESTA)Datos_consumo_datadis'!A:A,"",""),"""")"),"")</f>
        <v/>
      </c>
      <c r="G17164" s="8" t="str">
        <f t="shared" si="1"/>
        <v/>
      </c>
      <c r="H17164" s="14" t="str">
        <f t="shared" si="2"/>
        <v/>
      </c>
      <c r="I17164" s="15" t="str">
        <f t="shared" si="3"/>
        <v/>
      </c>
    </row>
    <row r="17165">
      <c r="A17165" s="8" t="str">
        <f>IFERROR(__xludf.DUMMYFUNCTION("IF('(INGESTA)Datos_consumo_datadis'!A18730&lt;&gt;"""",SPLIT('(INGESTA)Datos_consumo_datadis'!A:A,"",""),"""")"),"")</f>
        <v/>
      </c>
      <c r="G17165" s="8" t="str">
        <f t="shared" si="1"/>
        <v/>
      </c>
      <c r="H17165" s="14" t="str">
        <f t="shared" si="2"/>
        <v/>
      </c>
      <c r="I17165" s="15" t="str">
        <f t="shared" si="3"/>
        <v/>
      </c>
    </row>
    <row r="17166">
      <c r="A17166" s="8" t="str">
        <f>IFERROR(__xludf.DUMMYFUNCTION("IF('(INGESTA)Datos_consumo_datadis'!A18731&lt;&gt;"""",SPLIT('(INGESTA)Datos_consumo_datadis'!A:A,"",""),"""")"),"")</f>
        <v/>
      </c>
      <c r="G17166" s="8" t="str">
        <f t="shared" si="1"/>
        <v/>
      </c>
      <c r="H17166" s="14" t="str">
        <f t="shared" si="2"/>
        <v/>
      </c>
      <c r="I17166" s="15" t="str">
        <f t="shared" si="3"/>
        <v/>
      </c>
    </row>
    <row r="17167">
      <c r="A17167" s="8" t="str">
        <f>IFERROR(__xludf.DUMMYFUNCTION("IF('(INGESTA)Datos_consumo_datadis'!A18732&lt;&gt;"""",SPLIT('(INGESTA)Datos_consumo_datadis'!A:A,"",""),"""")"),"")</f>
        <v/>
      </c>
      <c r="G17167" s="8" t="str">
        <f t="shared" si="1"/>
        <v/>
      </c>
      <c r="H17167" s="14" t="str">
        <f t="shared" si="2"/>
        <v/>
      </c>
      <c r="I17167" s="15" t="str">
        <f t="shared" si="3"/>
        <v/>
      </c>
    </row>
    <row r="17168">
      <c r="A17168" s="8" t="str">
        <f>IFERROR(__xludf.DUMMYFUNCTION("IF('(INGESTA)Datos_consumo_datadis'!A18733&lt;&gt;"""",SPLIT('(INGESTA)Datos_consumo_datadis'!A:A,"",""),"""")"),"")</f>
        <v/>
      </c>
      <c r="G17168" s="8" t="str">
        <f t="shared" si="1"/>
        <v/>
      </c>
      <c r="H17168" s="14" t="str">
        <f t="shared" si="2"/>
        <v/>
      </c>
      <c r="I17168" s="15" t="str">
        <f t="shared" si="3"/>
        <v/>
      </c>
    </row>
    <row r="17169">
      <c r="A17169" s="8" t="str">
        <f>IFERROR(__xludf.DUMMYFUNCTION("IF('(INGESTA)Datos_consumo_datadis'!A18734&lt;&gt;"""",SPLIT('(INGESTA)Datos_consumo_datadis'!A:A,"",""),"""")"),"")</f>
        <v/>
      </c>
      <c r="G17169" s="8" t="str">
        <f t="shared" si="1"/>
        <v/>
      </c>
      <c r="H17169" s="14" t="str">
        <f t="shared" si="2"/>
        <v/>
      </c>
      <c r="I17169" s="15" t="str">
        <f t="shared" si="3"/>
        <v/>
      </c>
    </row>
    <row r="17170">
      <c r="A17170" s="8" t="str">
        <f>IFERROR(__xludf.DUMMYFUNCTION("IF('(INGESTA)Datos_consumo_datadis'!A18735&lt;&gt;"""",SPLIT('(INGESTA)Datos_consumo_datadis'!A:A,"",""),"""")"),"")</f>
        <v/>
      </c>
      <c r="G17170" s="8" t="str">
        <f t="shared" si="1"/>
        <v/>
      </c>
      <c r="H17170" s="14" t="str">
        <f t="shared" si="2"/>
        <v/>
      </c>
      <c r="I17170" s="15" t="str">
        <f t="shared" si="3"/>
        <v/>
      </c>
    </row>
    <row r="17171">
      <c r="A17171" s="8" t="str">
        <f>IFERROR(__xludf.DUMMYFUNCTION("IF('(INGESTA)Datos_consumo_datadis'!A18736&lt;&gt;"""",SPLIT('(INGESTA)Datos_consumo_datadis'!A:A,"",""),"""")"),"")</f>
        <v/>
      </c>
      <c r="G17171" s="8" t="str">
        <f t="shared" si="1"/>
        <v/>
      </c>
      <c r="H17171" s="14" t="str">
        <f t="shared" si="2"/>
        <v/>
      </c>
      <c r="I17171" s="15" t="str">
        <f t="shared" si="3"/>
        <v/>
      </c>
    </row>
    <row r="17172">
      <c r="A17172" s="8" t="str">
        <f>IFERROR(__xludf.DUMMYFUNCTION("IF('(INGESTA)Datos_consumo_datadis'!A18737&lt;&gt;"""",SPLIT('(INGESTA)Datos_consumo_datadis'!A:A,"",""),"""")"),"")</f>
        <v/>
      </c>
      <c r="G17172" s="8" t="str">
        <f t="shared" si="1"/>
        <v/>
      </c>
      <c r="H17172" s="14" t="str">
        <f t="shared" si="2"/>
        <v/>
      </c>
      <c r="I17172" s="15" t="str">
        <f t="shared" si="3"/>
        <v/>
      </c>
    </row>
    <row r="17173">
      <c r="A17173" s="8" t="str">
        <f>IFERROR(__xludf.DUMMYFUNCTION("IF('(INGESTA)Datos_consumo_datadis'!A18738&lt;&gt;"""",SPLIT('(INGESTA)Datos_consumo_datadis'!A:A,"",""),"""")"),"")</f>
        <v/>
      </c>
      <c r="G17173" s="8" t="str">
        <f t="shared" si="1"/>
        <v/>
      </c>
      <c r="H17173" s="14" t="str">
        <f t="shared" si="2"/>
        <v/>
      </c>
      <c r="I17173" s="15" t="str">
        <f t="shared" si="3"/>
        <v/>
      </c>
    </row>
    <row r="17174">
      <c r="A17174" s="8" t="str">
        <f>IFERROR(__xludf.DUMMYFUNCTION("IF('(INGESTA)Datos_consumo_datadis'!A18739&lt;&gt;"""",SPLIT('(INGESTA)Datos_consumo_datadis'!A:A,"",""),"""")"),"")</f>
        <v/>
      </c>
      <c r="G17174" s="8" t="str">
        <f t="shared" si="1"/>
        <v/>
      </c>
      <c r="H17174" s="14" t="str">
        <f t="shared" si="2"/>
        <v/>
      </c>
      <c r="I17174" s="15" t="str">
        <f t="shared" si="3"/>
        <v/>
      </c>
    </row>
    <row r="17175">
      <c r="A17175" s="8" t="str">
        <f>IFERROR(__xludf.DUMMYFUNCTION("IF('(INGESTA)Datos_consumo_datadis'!A18740&lt;&gt;"""",SPLIT('(INGESTA)Datos_consumo_datadis'!A:A,"",""),"""")"),"")</f>
        <v/>
      </c>
      <c r="G17175" s="8" t="str">
        <f t="shared" si="1"/>
        <v/>
      </c>
      <c r="H17175" s="14" t="str">
        <f t="shared" si="2"/>
        <v/>
      </c>
      <c r="I17175" s="15" t="str">
        <f t="shared" si="3"/>
        <v/>
      </c>
    </row>
    <row r="17176">
      <c r="A17176" s="8" t="str">
        <f>IFERROR(__xludf.DUMMYFUNCTION("IF('(INGESTA)Datos_consumo_datadis'!A18741&lt;&gt;"""",SPLIT('(INGESTA)Datos_consumo_datadis'!A:A,"",""),"""")"),"")</f>
        <v/>
      </c>
      <c r="G17176" s="8" t="str">
        <f t="shared" si="1"/>
        <v/>
      </c>
      <c r="H17176" s="14" t="str">
        <f t="shared" si="2"/>
        <v/>
      </c>
      <c r="I17176" s="15" t="str">
        <f t="shared" si="3"/>
        <v/>
      </c>
    </row>
    <row r="17177">
      <c r="A17177" s="8" t="str">
        <f>IFERROR(__xludf.DUMMYFUNCTION("IF('(INGESTA)Datos_consumo_datadis'!A18742&lt;&gt;"""",SPLIT('(INGESTA)Datos_consumo_datadis'!A:A,"",""),"""")"),"")</f>
        <v/>
      </c>
      <c r="G17177" s="8" t="str">
        <f t="shared" si="1"/>
        <v/>
      </c>
      <c r="H17177" s="14" t="str">
        <f t="shared" si="2"/>
        <v/>
      </c>
      <c r="I17177" s="15" t="str">
        <f t="shared" si="3"/>
        <v/>
      </c>
    </row>
    <row r="17178">
      <c r="A17178" s="8" t="str">
        <f>IFERROR(__xludf.DUMMYFUNCTION("IF('(INGESTA)Datos_consumo_datadis'!A18743&lt;&gt;"""",SPLIT('(INGESTA)Datos_consumo_datadis'!A:A,"",""),"""")"),"")</f>
        <v/>
      </c>
      <c r="G17178" s="8" t="str">
        <f t="shared" si="1"/>
        <v/>
      </c>
      <c r="H17178" s="14" t="str">
        <f t="shared" si="2"/>
        <v/>
      </c>
      <c r="I17178" s="15" t="str">
        <f t="shared" si="3"/>
        <v/>
      </c>
    </row>
    <row r="17179">
      <c r="A17179" s="8" t="str">
        <f>IFERROR(__xludf.DUMMYFUNCTION("IF('(INGESTA)Datos_consumo_datadis'!A18744&lt;&gt;"""",SPLIT('(INGESTA)Datos_consumo_datadis'!A:A,"",""),"""")"),"")</f>
        <v/>
      </c>
      <c r="G17179" s="8" t="str">
        <f t="shared" si="1"/>
        <v/>
      </c>
      <c r="H17179" s="14" t="str">
        <f t="shared" si="2"/>
        <v/>
      </c>
      <c r="I17179" s="15" t="str">
        <f t="shared" si="3"/>
        <v/>
      </c>
    </row>
    <row r="17180">
      <c r="A17180" s="8" t="str">
        <f>IFERROR(__xludf.DUMMYFUNCTION("IF('(INGESTA)Datos_consumo_datadis'!A18745&lt;&gt;"""",SPLIT('(INGESTA)Datos_consumo_datadis'!A:A,"",""),"""")"),"")</f>
        <v/>
      </c>
      <c r="G17180" s="8" t="str">
        <f t="shared" si="1"/>
        <v/>
      </c>
      <c r="H17180" s="14" t="str">
        <f t="shared" si="2"/>
        <v/>
      </c>
      <c r="I17180" s="15" t="str">
        <f t="shared" si="3"/>
        <v/>
      </c>
    </row>
    <row r="17181">
      <c r="A17181" s="8" t="str">
        <f>IFERROR(__xludf.DUMMYFUNCTION("IF('(INGESTA)Datos_consumo_datadis'!A18746&lt;&gt;"""",SPLIT('(INGESTA)Datos_consumo_datadis'!A:A,"",""),"""")"),"")</f>
        <v/>
      </c>
      <c r="G17181" s="8" t="str">
        <f t="shared" si="1"/>
        <v/>
      </c>
      <c r="H17181" s="14" t="str">
        <f t="shared" si="2"/>
        <v/>
      </c>
      <c r="I17181" s="15" t="str">
        <f t="shared" si="3"/>
        <v/>
      </c>
    </row>
    <row r="17182">
      <c r="A17182" s="8" t="str">
        <f>IFERROR(__xludf.DUMMYFUNCTION("IF('(INGESTA)Datos_consumo_datadis'!A18747&lt;&gt;"""",SPLIT('(INGESTA)Datos_consumo_datadis'!A:A,"",""),"""")"),"")</f>
        <v/>
      </c>
      <c r="G17182" s="8" t="str">
        <f t="shared" si="1"/>
        <v/>
      </c>
      <c r="H17182" s="14" t="str">
        <f t="shared" si="2"/>
        <v/>
      </c>
      <c r="I17182" s="15" t="str">
        <f t="shared" si="3"/>
        <v/>
      </c>
    </row>
    <row r="17183">
      <c r="A17183" s="8" t="str">
        <f>IFERROR(__xludf.DUMMYFUNCTION("IF('(INGESTA)Datos_consumo_datadis'!A18748&lt;&gt;"""",SPLIT('(INGESTA)Datos_consumo_datadis'!A:A,"",""),"""")"),"")</f>
        <v/>
      </c>
      <c r="G17183" s="8" t="str">
        <f t="shared" si="1"/>
        <v/>
      </c>
      <c r="H17183" s="14" t="str">
        <f t="shared" si="2"/>
        <v/>
      </c>
      <c r="I17183" s="15" t="str">
        <f t="shared" si="3"/>
        <v/>
      </c>
    </row>
    <row r="17184">
      <c r="A17184" s="8" t="str">
        <f>IFERROR(__xludf.DUMMYFUNCTION("IF('(INGESTA)Datos_consumo_datadis'!A18749&lt;&gt;"""",SPLIT('(INGESTA)Datos_consumo_datadis'!A:A,"",""),"""")"),"")</f>
        <v/>
      </c>
      <c r="G17184" s="8" t="str">
        <f t="shared" si="1"/>
        <v/>
      </c>
      <c r="H17184" s="14" t="str">
        <f t="shared" si="2"/>
        <v/>
      </c>
      <c r="I17184" s="15" t="str">
        <f t="shared" si="3"/>
        <v/>
      </c>
    </row>
    <row r="17185">
      <c r="A17185" s="8" t="str">
        <f>IFERROR(__xludf.DUMMYFUNCTION("IF('(INGESTA)Datos_consumo_datadis'!A18750&lt;&gt;"""",SPLIT('(INGESTA)Datos_consumo_datadis'!A:A,"",""),"""")"),"")</f>
        <v/>
      </c>
      <c r="G17185" s="8" t="str">
        <f t="shared" si="1"/>
        <v/>
      </c>
      <c r="H17185" s="14" t="str">
        <f t="shared" si="2"/>
        <v/>
      </c>
      <c r="I17185" s="15" t="str">
        <f t="shared" si="3"/>
        <v/>
      </c>
    </row>
    <row r="17186">
      <c r="A17186" s="8" t="str">
        <f>IFERROR(__xludf.DUMMYFUNCTION("IF('(INGESTA)Datos_consumo_datadis'!A18751&lt;&gt;"""",SPLIT('(INGESTA)Datos_consumo_datadis'!A:A,"",""),"""")"),"")</f>
        <v/>
      </c>
      <c r="G17186" s="8" t="str">
        <f t="shared" si="1"/>
        <v/>
      </c>
      <c r="H17186" s="14" t="str">
        <f t="shared" si="2"/>
        <v/>
      </c>
      <c r="I17186" s="15" t="str">
        <f t="shared" si="3"/>
        <v/>
      </c>
    </row>
    <row r="17187">
      <c r="A17187" s="8" t="str">
        <f>IFERROR(__xludf.DUMMYFUNCTION("IF('(INGESTA)Datos_consumo_datadis'!A18752&lt;&gt;"""",SPLIT('(INGESTA)Datos_consumo_datadis'!A:A,"",""),"""")"),"")</f>
        <v/>
      </c>
      <c r="G17187" s="8" t="str">
        <f t="shared" si="1"/>
        <v/>
      </c>
      <c r="H17187" s="14" t="str">
        <f t="shared" si="2"/>
        <v/>
      </c>
      <c r="I17187" s="15" t="str">
        <f t="shared" si="3"/>
        <v/>
      </c>
    </row>
    <row r="17188">
      <c r="A17188" s="8" t="str">
        <f>IFERROR(__xludf.DUMMYFUNCTION("IF('(INGESTA)Datos_consumo_datadis'!A18753&lt;&gt;"""",SPLIT('(INGESTA)Datos_consumo_datadis'!A:A,"",""),"""")"),"")</f>
        <v/>
      </c>
      <c r="G17188" s="8" t="str">
        <f t="shared" si="1"/>
        <v/>
      </c>
      <c r="H17188" s="14" t="str">
        <f t="shared" si="2"/>
        <v/>
      </c>
      <c r="I17188" s="15" t="str">
        <f t="shared" si="3"/>
        <v/>
      </c>
    </row>
    <row r="17189">
      <c r="A17189" s="8" t="str">
        <f>IFERROR(__xludf.DUMMYFUNCTION("IF('(INGESTA)Datos_consumo_datadis'!A18754&lt;&gt;"""",SPLIT('(INGESTA)Datos_consumo_datadis'!A:A,"",""),"""")"),"")</f>
        <v/>
      </c>
      <c r="G17189" s="8" t="str">
        <f t="shared" si="1"/>
        <v/>
      </c>
      <c r="H17189" s="14" t="str">
        <f t="shared" si="2"/>
        <v/>
      </c>
      <c r="I17189" s="15" t="str">
        <f t="shared" si="3"/>
        <v/>
      </c>
    </row>
    <row r="17190">
      <c r="A17190" s="8" t="str">
        <f>IFERROR(__xludf.DUMMYFUNCTION("IF('(INGESTA)Datos_consumo_datadis'!A18755&lt;&gt;"""",SPLIT('(INGESTA)Datos_consumo_datadis'!A:A,"",""),"""")"),"")</f>
        <v/>
      </c>
      <c r="G17190" s="8" t="str">
        <f t="shared" si="1"/>
        <v/>
      </c>
      <c r="H17190" s="14" t="str">
        <f t="shared" si="2"/>
        <v/>
      </c>
      <c r="I17190" s="15" t="str">
        <f t="shared" si="3"/>
        <v/>
      </c>
    </row>
    <row r="17191">
      <c r="A17191" s="8" t="str">
        <f>IFERROR(__xludf.DUMMYFUNCTION("IF('(INGESTA)Datos_consumo_datadis'!A18756&lt;&gt;"""",SPLIT('(INGESTA)Datos_consumo_datadis'!A:A,"",""),"""")"),"")</f>
        <v/>
      </c>
      <c r="G17191" s="8" t="str">
        <f t="shared" si="1"/>
        <v/>
      </c>
      <c r="H17191" s="14" t="str">
        <f t="shared" si="2"/>
        <v/>
      </c>
      <c r="I17191" s="15" t="str">
        <f t="shared" si="3"/>
        <v/>
      </c>
    </row>
    <row r="17192">
      <c r="A17192" s="8" t="str">
        <f>IFERROR(__xludf.DUMMYFUNCTION("IF('(INGESTA)Datos_consumo_datadis'!A18757&lt;&gt;"""",SPLIT('(INGESTA)Datos_consumo_datadis'!A:A,"",""),"""")"),"")</f>
        <v/>
      </c>
      <c r="G17192" s="8" t="str">
        <f t="shared" si="1"/>
        <v/>
      </c>
      <c r="H17192" s="14" t="str">
        <f t="shared" si="2"/>
        <v/>
      </c>
      <c r="I17192" s="15" t="str">
        <f t="shared" si="3"/>
        <v/>
      </c>
    </row>
    <row r="17193">
      <c r="A17193" s="8" t="str">
        <f>IFERROR(__xludf.DUMMYFUNCTION("IF('(INGESTA)Datos_consumo_datadis'!A18758&lt;&gt;"""",SPLIT('(INGESTA)Datos_consumo_datadis'!A:A,"",""),"""")"),"")</f>
        <v/>
      </c>
      <c r="G17193" s="8" t="str">
        <f t="shared" si="1"/>
        <v/>
      </c>
      <c r="H17193" s="14" t="str">
        <f t="shared" si="2"/>
        <v/>
      </c>
      <c r="I17193" s="15" t="str">
        <f t="shared" si="3"/>
        <v/>
      </c>
    </row>
    <row r="17194">
      <c r="A17194" s="8" t="str">
        <f>IFERROR(__xludf.DUMMYFUNCTION("IF('(INGESTA)Datos_consumo_datadis'!A18759&lt;&gt;"""",SPLIT('(INGESTA)Datos_consumo_datadis'!A:A,"",""),"""")"),"")</f>
        <v/>
      </c>
      <c r="G17194" s="8" t="str">
        <f t="shared" si="1"/>
        <v/>
      </c>
      <c r="H17194" s="14" t="str">
        <f t="shared" si="2"/>
        <v/>
      </c>
      <c r="I17194" s="15" t="str">
        <f t="shared" si="3"/>
        <v/>
      </c>
    </row>
    <row r="17195">
      <c r="A17195" s="8" t="str">
        <f>IFERROR(__xludf.DUMMYFUNCTION("IF('(INGESTA)Datos_consumo_datadis'!A18760&lt;&gt;"""",SPLIT('(INGESTA)Datos_consumo_datadis'!A:A,"",""),"""")"),"")</f>
        <v/>
      </c>
      <c r="G17195" s="8" t="str">
        <f t="shared" si="1"/>
        <v/>
      </c>
      <c r="H17195" s="14" t="str">
        <f t="shared" si="2"/>
        <v/>
      </c>
      <c r="I17195" s="15" t="str">
        <f t="shared" si="3"/>
        <v/>
      </c>
    </row>
    <row r="17196">
      <c r="A17196" s="8" t="str">
        <f>IFERROR(__xludf.DUMMYFUNCTION("IF('(INGESTA)Datos_consumo_datadis'!A18761&lt;&gt;"""",SPLIT('(INGESTA)Datos_consumo_datadis'!A:A,"",""),"""")"),"")</f>
        <v/>
      </c>
      <c r="G17196" s="8" t="str">
        <f t="shared" si="1"/>
        <v/>
      </c>
      <c r="H17196" s="14" t="str">
        <f t="shared" si="2"/>
        <v/>
      </c>
      <c r="I17196" s="15" t="str">
        <f t="shared" si="3"/>
        <v/>
      </c>
    </row>
    <row r="17197">
      <c r="A17197" s="8" t="str">
        <f>IFERROR(__xludf.DUMMYFUNCTION("IF('(INGESTA)Datos_consumo_datadis'!A18762&lt;&gt;"""",SPLIT('(INGESTA)Datos_consumo_datadis'!A:A,"",""),"""")"),"")</f>
        <v/>
      </c>
      <c r="G17197" s="8" t="str">
        <f t="shared" si="1"/>
        <v/>
      </c>
      <c r="H17197" s="14" t="str">
        <f t="shared" si="2"/>
        <v/>
      </c>
      <c r="I17197" s="15" t="str">
        <f t="shared" si="3"/>
        <v/>
      </c>
    </row>
    <row r="17198">
      <c r="A17198" s="8" t="str">
        <f>IFERROR(__xludf.DUMMYFUNCTION("IF('(INGESTA)Datos_consumo_datadis'!A18763&lt;&gt;"""",SPLIT('(INGESTA)Datos_consumo_datadis'!A:A,"",""),"""")"),"")</f>
        <v/>
      </c>
      <c r="G17198" s="8" t="str">
        <f t="shared" si="1"/>
        <v/>
      </c>
      <c r="H17198" s="14" t="str">
        <f t="shared" si="2"/>
        <v/>
      </c>
      <c r="I17198" s="15" t="str">
        <f t="shared" si="3"/>
        <v/>
      </c>
    </row>
    <row r="17199">
      <c r="A17199" s="8" t="str">
        <f>IFERROR(__xludf.DUMMYFUNCTION("IF('(INGESTA)Datos_consumo_datadis'!A18764&lt;&gt;"""",SPLIT('(INGESTA)Datos_consumo_datadis'!A:A,"",""),"""")"),"")</f>
        <v/>
      </c>
      <c r="G17199" s="8" t="str">
        <f t="shared" si="1"/>
        <v/>
      </c>
      <c r="H17199" s="14" t="str">
        <f t="shared" si="2"/>
        <v/>
      </c>
      <c r="I17199" s="15" t="str">
        <f t="shared" si="3"/>
        <v/>
      </c>
    </row>
    <row r="17200">
      <c r="A17200" s="8" t="str">
        <f>IFERROR(__xludf.DUMMYFUNCTION("IF('(INGESTA)Datos_consumo_datadis'!A18765&lt;&gt;"""",SPLIT('(INGESTA)Datos_consumo_datadis'!A:A,"",""),"""")"),"")</f>
        <v/>
      </c>
      <c r="G17200" s="8" t="str">
        <f t="shared" si="1"/>
        <v/>
      </c>
      <c r="H17200" s="14" t="str">
        <f t="shared" si="2"/>
        <v/>
      </c>
      <c r="I17200" s="15" t="str">
        <f t="shared" si="3"/>
        <v/>
      </c>
    </row>
    <row r="17201">
      <c r="A17201" s="8" t="str">
        <f>IFERROR(__xludf.DUMMYFUNCTION("IF('(INGESTA)Datos_consumo_datadis'!A18766&lt;&gt;"""",SPLIT('(INGESTA)Datos_consumo_datadis'!A:A,"",""),"""")"),"")</f>
        <v/>
      </c>
      <c r="G17201" s="8" t="str">
        <f t="shared" si="1"/>
        <v/>
      </c>
      <c r="H17201" s="14" t="str">
        <f t="shared" si="2"/>
        <v/>
      </c>
      <c r="I17201" s="15" t="str">
        <f t="shared" si="3"/>
        <v/>
      </c>
    </row>
    <row r="17202">
      <c r="A17202" s="8" t="str">
        <f>IFERROR(__xludf.DUMMYFUNCTION("IF('(INGESTA)Datos_consumo_datadis'!A18767&lt;&gt;"""",SPLIT('(INGESTA)Datos_consumo_datadis'!A:A,"",""),"""")"),"")</f>
        <v/>
      </c>
      <c r="G17202" s="8" t="str">
        <f t="shared" si="1"/>
        <v/>
      </c>
      <c r="H17202" s="14" t="str">
        <f t="shared" si="2"/>
        <v/>
      </c>
      <c r="I17202" s="15" t="str">
        <f t="shared" si="3"/>
        <v/>
      </c>
    </row>
    <row r="17203">
      <c r="A17203" s="8" t="str">
        <f>IFERROR(__xludf.DUMMYFUNCTION("IF('(INGESTA)Datos_consumo_datadis'!A18768&lt;&gt;"""",SPLIT('(INGESTA)Datos_consumo_datadis'!A:A,"",""),"""")"),"")</f>
        <v/>
      </c>
      <c r="G17203" s="8" t="str">
        <f t="shared" si="1"/>
        <v/>
      </c>
      <c r="H17203" s="14" t="str">
        <f t="shared" si="2"/>
        <v/>
      </c>
      <c r="I17203" s="15" t="str">
        <f t="shared" si="3"/>
        <v/>
      </c>
    </row>
    <row r="17204">
      <c r="A17204" s="8" t="str">
        <f>IFERROR(__xludf.DUMMYFUNCTION("IF('(INGESTA)Datos_consumo_datadis'!A18769&lt;&gt;"""",SPLIT('(INGESTA)Datos_consumo_datadis'!A:A,"",""),"""")"),"")</f>
        <v/>
      </c>
      <c r="G17204" s="8" t="str">
        <f t="shared" si="1"/>
        <v/>
      </c>
      <c r="H17204" s="14" t="str">
        <f t="shared" si="2"/>
        <v/>
      </c>
      <c r="I17204" s="15" t="str">
        <f t="shared" si="3"/>
        <v/>
      </c>
    </row>
    <row r="17205">
      <c r="A17205" s="8" t="str">
        <f>IFERROR(__xludf.DUMMYFUNCTION("IF('(INGESTA)Datos_consumo_datadis'!A18770&lt;&gt;"""",SPLIT('(INGESTA)Datos_consumo_datadis'!A:A,"",""),"""")"),"")</f>
        <v/>
      </c>
      <c r="G17205" s="8" t="str">
        <f t="shared" si="1"/>
        <v/>
      </c>
      <c r="H17205" s="14" t="str">
        <f t="shared" si="2"/>
        <v/>
      </c>
      <c r="I17205" s="15" t="str">
        <f t="shared" si="3"/>
        <v/>
      </c>
    </row>
    <row r="17206">
      <c r="A17206" s="8" t="str">
        <f>IFERROR(__xludf.DUMMYFUNCTION("IF('(INGESTA)Datos_consumo_datadis'!A18771&lt;&gt;"""",SPLIT('(INGESTA)Datos_consumo_datadis'!A:A,"",""),"""")"),"")</f>
        <v/>
      </c>
      <c r="G17206" s="8" t="str">
        <f t="shared" si="1"/>
        <v/>
      </c>
      <c r="H17206" s="14" t="str">
        <f t="shared" si="2"/>
        <v/>
      </c>
      <c r="I17206" s="15" t="str">
        <f t="shared" si="3"/>
        <v/>
      </c>
    </row>
    <row r="17207">
      <c r="A17207" s="8" t="str">
        <f>IFERROR(__xludf.DUMMYFUNCTION("IF('(INGESTA)Datos_consumo_datadis'!A18772&lt;&gt;"""",SPLIT('(INGESTA)Datos_consumo_datadis'!A:A,"",""),"""")"),"")</f>
        <v/>
      </c>
      <c r="G17207" s="8" t="str">
        <f t="shared" si="1"/>
        <v/>
      </c>
      <c r="H17207" s="14" t="str">
        <f t="shared" si="2"/>
        <v/>
      </c>
      <c r="I17207" s="15" t="str">
        <f t="shared" si="3"/>
        <v/>
      </c>
    </row>
    <row r="17208">
      <c r="A17208" s="8" t="str">
        <f>IFERROR(__xludf.DUMMYFUNCTION("IF('(INGESTA)Datos_consumo_datadis'!A18773&lt;&gt;"""",SPLIT('(INGESTA)Datos_consumo_datadis'!A:A,"",""),"""")"),"")</f>
        <v/>
      </c>
      <c r="G17208" s="8" t="str">
        <f t="shared" si="1"/>
        <v/>
      </c>
      <c r="H17208" s="14" t="str">
        <f t="shared" si="2"/>
        <v/>
      </c>
      <c r="I17208" s="15" t="str">
        <f t="shared" si="3"/>
        <v/>
      </c>
    </row>
    <row r="17209">
      <c r="A17209" s="8" t="str">
        <f>IFERROR(__xludf.DUMMYFUNCTION("IF('(INGESTA)Datos_consumo_datadis'!A18774&lt;&gt;"""",SPLIT('(INGESTA)Datos_consumo_datadis'!A:A,"",""),"""")"),"")</f>
        <v/>
      </c>
      <c r="G17209" s="8" t="str">
        <f t="shared" si="1"/>
        <v/>
      </c>
      <c r="H17209" s="14" t="str">
        <f t="shared" si="2"/>
        <v/>
      </c>
      <c r="I17209" s="15" t="str">
        <f t="shared" si="3"/>
        <v/>
      </c>
    </row>
    <row r="17210">
      <c r="A17210" s="8" t="str">
        <f>IFERROR(__xludf.DUMMYFUNCTION("IF('(INGESTA)Datos_consumo_datadis'!A18775&lt;&gt;"""",SPLIT('(INGESTA)Datos_consumo_datadis'!A:A,"",""),"""")"),"")</f>
        <v/>
      </c>
      <c r="G17210" s="8" t="str">
        <f t="shared" si="1"/>
        <v/>
      </c>
      <c r="H17210" s="14" t="str">
        <f t="shared" si="2"/>
        <v/>
      </c>
      <c r="I17210" s="15" t="str">
        <f t="shared" si="3"/>
        <v/>
      </c>
    </row>
    <row r="17211">
      <c r="A17211" s="8" t="str">
        <f>IFERROR(__xludf.DUMMYFUNCTION("IF('(INGESTA)Datos_consumo_datadis'!A18776&lt;&gt;"""",SPLIT('(INGESTA)Datos_consumo_datadis'!A:A,"",""),"""")"),"")</f>
        <v/>
      </c>
      <c r="G17211" s="8" t="str">
        <f t="shared" si="1"/>
        <v/>
      </c>
      <c r="H17211" s="14" t="str">
        <f t="shared" si="2"/>
        <v/>
      </c>
      <c r="I17211" s="15" t="str">
        <f t="shared" si="3"/>
        <v/>
      </c>
    </row>
    <row r="17212">
      <c r="A17212" s="8" t="str">
        <f>IFERROR(__xludf.DUMMYFUNCTION("IF('(INGESTA)Datos_consumo_datadis'!A18777&lt;&gt;"""",SPLIT('(INGESTA)Datos_consumo_datadis'!A:A,"",""),"""")"),"")</f>
        <v/>
      </c>
      <c r="G17212" s="8" t="str">
        <f t="shared" si="1"/>
        <v/>
      </c>
      <c r="H17212" s="14" t="str">
        <f t="shared" si="2"/>
        <v/>
      </c>
      <c r="I17212" s="15" t="str">
        <f t="shared" si="3"/>
        <v/>
      </c>
    </row>
    <row r="17213">
      <c r="A17213" s="8" t="str">
        <f>IFERROR(__xludf.DUMMYFUNCTION("IF('(INGESTA)Datos_consumo_datadis'!A18778&lt;&gt;"""",SPLIT('(INGESTA)Datos_consumo_datadis'!A:A,"",""),"""")"),"")</f>
        <v/>
      </c>
      <c r="G17213" s="8" t="str">
        <f t="shared" si="1"/>
        <v/>
      </c>
      <c r="H17213" s="14" t="str">
        <f t="shared" si="2"/>
        <v/>
      </c>
      <c r="I17213" s="15" t="str">
        <f t="shared" si="3"/>
        <v/>
      </c>
    </row>
    <row r="17214">
      <c r="A17214" s="8" t="str">
        <f>IFERROR(__xludf.DUMMYFUNCTION("IF('(INGESTA)Datos_consumo_datadis'!A18779&lt;&gt;"""",SPLIT('(INGESTA)Datos_consumo_datadis'!A:A,"",""),"""")"),"")</f>
        <v/>
      </c>
      <c r="G17214" s="8" t="str">
        <f t="shared" si="1"/>
        <v/>
      </c>
      <c r="H17214" s="14" t="str">
        <f t="shared" si="2"/>
        <v/>
      </c>
      <c r="I17214" s="15" t="str">
        <f t="shared" si="3"/>
        <v/>
      </c>
    </row>
    <row r="17215">
      <c r="A17215" s="8" t="str">
        <f>IFERROR(__xludf.DUMMYFUNCTION("IF('(INGESTA)Datos_consumo_datadis'!A18780&lt;&gt;"""",SPLIT('(INGESTA)Datos_consumo_datadis'!A:A,"",""),"""")"),"")</f>
        <v/>
      </c>
      <c r="G17215" s="8" t="str">
        <f t="shared" si="1"/>
        <v/>
      </c>
      <c r="H17215" s="14" t="str">
        <f t="shared" si="2"/>
        <v/>
      </c>
      <c r="I17215" s="15" t="str">
        <f t="shared" si="3"/>
        <v/>
      </c>
    </row>
    <row r="17216">
      <c r="A17216" s="8" t="str">
        <f>IFERROR(__xludf.DUMMYFUNCTION("IF('(INGESTA)Datos_consumo_datadis'!A18781&lt;&gt;"""",SPLIT('(INGESTA)Datos_consumo_datadis'!A:A,"",""),"""")"),"")</f>
        <v/>
      </c>
      <c r="G17216" s="8" t="str">
        <f t="shared" si="1"/>
        <v/>
      </c>
      <c r="H17216" s="14" t="str">
        <f t="shared" si="2"/>
        <v/>
      </c>
      <c r="I17216" s="15" t="str">
        <f t="shared" si="3"/>
        <v/>
      </c>
    </row>
    <row r="17217">
      <c r="A17217" s="8" t="str">
        <f>IFERROR(__xludf.DUMMYFUNCTION("IF('(INGESTA)Datos_consumo_datadis'!A18782&lt;&gt;"""",SPLIT('(INGESTA)Datos_consumo_datadis'!A:A,"",""),"""")"),"")</f>
        <v/>
      </c>
      <c r="G17217" s="8" t="str">
        <f t="shared" si="1"/>
        <v/>
      </c>
      <c r="H17217" s="14" t="str">
        <f t="shared" si="2"/>
        <v/>
      </c>
      <c r="I17217" s="15" t="str">
        <f t="shared" si="3"/>
        <v/>
      </c>
    </row>
    <row r="17218">
      <c r="A17218" s="8" t="str">
        <f>IFERROR(__xludf.DUMMYFUNCTION("IF('(INGESTA)Datos_consumo_datadis'!A18783&lt;&gt;"""",SPLIT('(INGESTA)Datos_consumo_datadis'!A:A,"",""),"""")"),"")</f>
        <v/>
      </c>
      <c r="G17218" s="8" t="str">
        <f t="shared" si="1"/>
        <v/>
      </c>
      <c r="H17218" s="14" t="str">
        <f t="shared" si="2"/>
        <v/>
      </c>
      <c r="I17218" s="15" t="str">
        <f t="shared" si="3"/>
        <v/>
      </c>
    </row>
    <row r="17219">
      <c r="A17219" s="8" t="str">
        <f>IFERROR(__xludf.DUMMYFUNCTION("IF('(INGESTA)Datos_consumo_datadis'!A18784&lt;&gt;"""",SPLIT('(INGESTA)Datos_consumo_datadis'!A:A,"",""),"""")"),"")</f>
        <v/>
      </c>
      <c r="G17219" s="8" t="str">
        <f t="shared" si="1"/>
        <v/>
      </c>
      <c r="H17219" s="14" t="str">
        <f t="shared" si="2"/>
        <v/>
      </c>
      <c r="I17219" s="15" t="str">
        <f t="shared" si="3"/>
        <v/>
      </c>
    </row>
    <row r="17220">
      <c r="A17220" s="8" t="str">
        <f>IFERROR(__xludf.DUMMYFUNCTION("IF('(INGESTA)Datos_consumo_datadis'!A18785&lt;&gt;"""",SPLIT('(INGESTA)Datos_consumo_datadis'!A:A,"",""),"""")"),"")</f>
        <v/>
      </c>
      <c r="G17220" s="8" t="str">
        <f t="shared" si="1"/>
        <v/>
      </c>
      <c r="H17220" s="14" t="str">
        <f t="shared" si="2"/>
        <v/>
      </c>
      <c r="I17220" s="15" t="str">
        <f t="shared" si="3"/>
        <v/>
      </c>
    </row>
    <row r="17221">
      <c r="A17221" s="8" t="str">
        <f>IFERROR(__xludf.DUMMYFUNCTION("IF('(INGESTA)Datos_consumo_datadis'!A18786&lt;&gt;"""",SPLIT('(INGESTA)Datos_consumo_datadis'!A:A,"",""),"""")"),"")</f>
        <v/>
      </c>
      <c r="G17221" s="8" t="str">
        <f t="shared" si="1"/>
        <v/>
      </c>
      <c r="H17221" s="14" t="str">
        <f t="shared" si="2"/>
        <v/>
      </c>
      <c r="I17221" s="15" t="str">
        <f t="shared" si="3"/>
        <v/>
      </c>
    </row>
    <row r="17222">
      <c r="A17222" s="8" t="str">
        <f>IFERROR(__xludf.DUMMYFUNCTION("IF('(INGESTA)Datos_consumo_datadis'!A18787&lt;&gt;"""",SPLIT('(INGESTA)Datos_consumo_datadis'!A:A,"",""),"""")"),"")</f>
        <v/>
      </c>
      <c r="G17222" s="8" t="str">
        <f t="shared" si="1"/>
        <v/>
      </c>
      <c r="H17222" s="14" t="str">
        <f t="shared" si="2"/>
        <v/>
      </c>
      <c r="I17222" s="15" t="str">
        <f t="shared" si="3"/>
        <v/>
      </c>
    </row>
    <row r="17223">
      <c r="A17223" s="8" t="str">
        <f>IFERROR(__xludf.DUMMYFUNCTION("IF('(INGESTA)Datos_consumo_datadis'!A18788&lt;&gt;"""",SPLIT('(INGESTA)Datos_consumo_datadis'!A:A,"",""),"""")"),"")</f>
        <v/>
      </c>
      <c r="G17223" s="8" t="str">
        <f t="shared" si="1"/>
        <v/>
      </c>
      <c r="H17223" s="14" t="str">
        <f t="shared" si="2"/>
        <v/>
      </c>
      <c r="I17223" s="15" t="str">
        <f t="shared" si="3"/>
        <v/>
      </c>
    </row>
    <row r="17224">
      <c r="A17224" s="8" t="str">
        <f>IFERROR(__xludf.DUMMYFUNCTION("IF('(INGESTA)Datos_consumo_datadis'!A18789&lt;&gt;"""",SPLIT('(INGESTA)Datos_consumo_datadis'!A:A,"",""),"""")"),"")</f>
        <v/>
      </c>
      <c r="G17224" s="8" t="str">
        <f t="shared" si="1"/>
        <v/>
      </c>
      <c r="H17224" s="14" t="str">
        <f t="shared" si="2"/>
        <v/>
      </c>
      <c r="I17224" s="15" t="str">
        <f t="shared" si="3"/>
        <v/>
      </c>
    </row>
    <row r="17225">
      <c r="A17225" s="8" t="str">
        <f>IFERROR(__xludf.DUMMYFUNCTION("IF('(INGESTA)Datos_consumo_datadis'!A18790&lt;&gt;"""",SPLIT('(INGESTA)Datos_consumo_datadis'!A:A,"",""),"""")"),"")</f>
        <v/>
      </c>
      <c r="G17225" s="8" t="str">
        <f t="shared" si="1"/>
        <v/>
      </c>
      <c r="H17225" s="14" t="str">
        <f t="shared" si="2"/>
        <v/>
      </c>
      <c r="I17225" s="15" t="str">
        <f t="shared" si="3"/>
        <v/>
      </c>
    </row>
    <row r="17226">
      <c r="A17226" s="8" t="str">
        <f>IFERROR(__xludf.DUMMYFUNCTION("IF('(INGESTA)Datos_consumo_datadis'!A18791&lt;&gt;"""",SPLIT('(INGESTA)Datos_consumo_datadis'!A:A,"",""),"""")"),"")</f>
        <v/>
      </c>
      <c r="G17226" s="8" t="str">
        <f t="shared" si="1"/>
        <v/>
      </c>
      <c r="H17226" s="14" t="str">
        <f t="shared" si="2"/>
        <v/>
      </c>
      <c r="I17226" s="15" t="str">
        <f t="shared" si="3"/>
        <v/>
      </c>
    </row>
    <row r="17227">
      <c r="A17227" s="8" t="str">
        <f>IFERROR(__xludf.DUMMYFUNCTION("IF('(INGESTA)Datos_consumo_datadis'!A18792&lt;&gt;"""",SPLIT('(INGESTA)Datos_consumo_datadis'!A:A,"",""),"""")"),"")</f>
        <v/>
      </c>
      <c r="G17227" s="8" t="str">
        <f t="shared" si="1"/>
        <v/>
      </c>
      <c r="H17227" s="14" t="str">
        <f t="shared" si="2"/>
        <v/>
      </c>
      <c r="I17227" s="15" t="str">
        <f t="shared" si="3"/>
        <v/>
      </c>
    </row>
    <row r="17228">
      <c r="A17228" s="8" t="str">
        <f>IFERROR(__xludf.DUMMYFUNCTION("IF('(INGESTA)Datos_consumo_datadis'!A18793&lt;&gt;"""",SPLIT('(INGESTA)Datos_consumo_datadis'!A:A,"",""),"""")"),"")</f>
        <v/>
      </c>
      <c r="G17228" s="8" t="str">
        <f t="shared" si="1"/>
        <v/>
      </c>
      <c r="H17228" s="14" t="str">
        <f t="shared" si="2"/>
        <v/>
      </c>
      <c r="I17228" s="15" t="str">
        <f t="shared" si="3"/>
        <v/>
      </c>
    </row>
    <row r="17229">
      <c r="A17229" s="8" t="str">
        <f>IFERROR(__xludf.DUMMYFUNCTION("IF('(INGESTA)Datos_consumo_datadis'!A18794&lt;&gt;"""",SPLIT('(INGESTA)Datos_consumo_datadis'!A:A,"",""),"""")"),"")</f>
        <v/>
      </c>
      <c r="G17229" s="8" t="str">
        <f t="shared" si="1"/>
        <v/>
      </c>
      <c r="H17229" s="14" t="str">
        <f t="shared" si="2"/>
        <v/>
      </c>
      <c r="I17229" s="15" t="str">
        <f t="shared" si="3"/>
        <v/>
      </c>
    </row>
    <row r="17230">
      <c r="A17230" s="8" t="str">
        <f>IFERROR(__xludf.DUMMYFUNCTION("IF('(INGESTA)Datos_consumo_datadis'!A18795&lt;&gt;"""",SPLIT('(INGESTA)Datos_consumo_datadis'!A:A,"",""),"""")"),"")</f>
        <v/>
      </c>
      <c r="G17230" s="8" t="str">
        <f t="shared" si="1"/>
        <v/>
      </c>
      <c r="H17230" s="14" t="str">
        <f t="shared" si="2"/>
        <v/>
      </c>
      <c r="I17230" s="15" t="str">
        <f t="shared" si="3"/>
        <v/>
      </c>
    </row>
    <row r="17231">
      <c r="A17231" s="8" t="str">
        <f>IFERROR(__xludf.DUMMYFUNCTION("IF('(INGESTA)Datos_consumo_datadis'!A18796&lt;&gt;"""",SPLIT('(INGESTA)Datos_consumo_datadis'!A:A,"",""),"""")"),"")</f>
        <v/>
      </c>
      <c r="G17231" s="8" t="str">
        <f t="shared" si="1"/>
        <v/>
      </c>
      <c r="H17231" s="14" t="str">
        <f t="shared" si="2"/>
        <v/>
      </c>
      <c r="I17231" s="15" t="str">
        <f t="shared" si="3"/>
        <v/>
      </c>
    </row>
    <row r="17232">
      <c r="A17232" s="8" t="str">
        <f>IFERROR(__xludf.DUMMYFUNCTION("IF('(INGESTA)Datos_consumo_datadis'!A18797&lt;&gt;"""",SPLIT('(INGESTA)Datos_consumo_datadis'!A:A,"",""),"""")"),"")</f>
        <v/>
      </c>
      <c r="G17232" s="8" t="str">
        <f t="shared" si="1"/>
        <v/>
      </c>
      <c r="H17232" s="14" t="str">
        <f t="shared" si="2"/>
        <v/>
      </c>
      <c r="I17232" s="15" t="str">
        <f t="shared" si="3"/>
        <v/>
      </c>
    </row>
    <row r="17233">
      <c r="A17233" s="8" t="str">
        <f>IFERROR(__xludf.DUMMYFUNCTION("IF('(INGESTA)Datos_consumo_datadis'!A18798&lt;&gt;"""",SPLIT('(INGESTA)Datos_consumo_datadis'!A:A,"",""),"""")"),"")</f>
        <v/>
      </c>
      <c r="G17233" s="8" t="str">
        <f t="shared" si="1"/>
        <v/>
      </c>
      <c r="H17233" s="14" t="str">
        <f t="shared" si="2"/>
        <v/>
      </c>
      <c r="I17233" s="15" t="str">
        <f t="shared" si="3"/>
        <v/>
      </c>
    </row>
    <row r="17234">
      <c r="A17234" s="8" t="str">
        <f>IFERROR(__xludf.DUMMYFUNCTION("IF('(INGESTA)Datos_consumo_datadis'!A18799&lt;&gt;"""",SPLIT('(INGESTA)Datos_consumo_datadis'!A:A,"",""),"""")"),"")</f>
        <v/>
      </c>
      <c r="G17234" s="8" t="str">
        <f t="shared" si="1"/>
        <v/>
      </c>
      <c r="H17234" s="14" t="str">
        <f t="shared" si="2"/>
        <v/>
      </c>
      <c r="I17234" s="15" t="str">
        <f t="shared" si="3"/>
        <v/>
      </c>
    </row>
    <row r="17235">
      <c r="A17235" s="8" t="str">
        <f>IFERROR(__xludf.DUMMYFUNCTION("IF('(INGESTA)Datos_consumo_datadis'!A18800&lt;&gt;"""",SPLIT('(INGESTA)Datos_consumo_datadis'!A:A,"",""),"""")"),"")</f>
        <v/>
      </c>
      <c r="G17235" s="8" t="str">
        <f t="shared" si="1"/>
        <v/>
      </c>
      <c r="H17235" s="14" t="str">
        <f t="shared" si="2"/>
        <v/>
      </c>
      <c r="I17235" s="15" t="str">
        <f t="shared" si="3"/>
        <v/>
      </c>
    </row>
    <row r="17236">
      <c r="A17236" s="8" t="str">
        <f>IFERROR(__xludf.DUMMYFUNCTION("IF('(INGESTA)Datos_consumo_datadis'!A18801&lt;&gt;"""",SPLIT('(INGESTA)Datos_consumo_datadis'!A:A,"",""),"""")"),"")</f>
        <v/>
      </c>
      <c r="G17236" s="8" t="str">
        <f t="shared" si="1"/>
        <v/>
      </c>
      <c r="H17236" s="14" t="str">
        <f t="shared" si="2"/>
        <v/>
      </c>
      <c r="I17236" s="15" t="str">
        <f t="shared" si="3"/>
        <v/>
      </c>
    </row>
    <row r="17237">
      <c r="A17237" s="8" t="str">
        <f>IFERROR(__xludf.DUMMYFUNCTION("IF('(INGESTA)Datos_consumo_datadis'!A18802&lt;&gt;"""",SPLIT('(INGESTA)Datos_consumo_datadis'!A:A,"",""),"""")"),"")</f>
        <v/>
      </c>
      <c r="G17237" s="8" t="str">
        <f t="shared" si="1"/>
        <v/>
      </c>
      <c r="H17237" s="14" t="str">
        <f t="shared" si="2"/>
        <v/>
      </c>
      <c r="I17237" s="15" t="str">
        <f t="shared" si="3"/>
        <v/>
      </c>
    </row>
    <row r="17238">
      <c r="A17238" s="8" t="str">
        <f>IFERROR(__xludf.DUMMYFUNCTION("IF('(INGESTA)Datos_consumo_datadis'!A18803&lt;&gt;"""",SPLIT('(INGESTA)Datos_consumo_datadis'!A:A,"",""),"""")"),"")</f>
        <v/>
      </c>
      <c r="G17238" s="8" t="str">
        <f t="shared" si="1"/>
        <v/>
      </c>
      <c r="H17238" s="14" t="str">
        <f t="shared" si="2"/>
        <v/>
      </c>
      <c r="I17238" s="15" t="str">
        <f t="shared" si="3"/>
        <v/>
      </c>
    </row>
    <row r="17239">
      <c r="A17239" s="8" t="str">
        <f>IFERROR(__xludf.DUMMYFUNCTION("IF('(INGESTA)Datos_consumo_datadis'!A18804&lt;&gt;"""",SPLIT('(INGESTA)Datos_consumo_datadis'!A:A,"",""),"""")"),"")</f>
        <v/>
      </c>
      <c r="G17239" s="8" t="str">
        <f t="shared" si="1"/>
        <v/>
      </c>
      <c r="H17239" s="14" t="str">
        <f t="shared" si="2"/>
        <v/>
      </c>
      <c r="I17239" s="15" t="str">
        <f t="shared" si="3"/>
        <v/>
      </c>
    </row>
    <row r="17240">
      <c r="A17240" s="8" t="str">
        <f>IFERROR(__xludf.DUMMYFUNCTION("IF('(INGESTA)Datos_consumo_datadis'!A18805&lt;&gt;"""",SPLIT('(INGESTA)Datos_consumo_datadis'!A:A,"",""),"""")"),"")</f>
        <v/>
      </c>
      <c r="G17240" s="8" t="str">
        <f t="shared" si="1"/>
        <v/>
      </c>
      <c r="H17240" s="14" t="str">
        <f t="shared" si="2"/>
        <v/>
      </c>
      <c r="I17240" s="15" t="str">
        <f t="shared" si="3"/>
        <v/>
      </c>
    </row>
    <row r="17241">
      <c r="A17241" s="8" t="str">
        <f>IFERROR(__xludf.DUMMYFUNCTION("IF('(INGESTA)Datos_consumo_datadis'!A18806&lt;&gt;"""",SPLIT('(INGESTA)Datos_consumo_datadis'!A:A,"",""),"""")"),"")</f>
        <v/>
      </c>
      <c r="G17241" s="8" t="str">
        <f t="shared" si="1"/>
        <v/>
      </c>
      <c r="H17241" s="14" t="str">
        <f t="shared" si="2"/>
        <v/>
      </c>
      <c r="I17241" s="15" t="str">
        <f t="shared" si="3"/>
        <v/>
      </c>
    </row>
    <row r="17242">
      <c r="A17242" s="8" t="str">
        <f>IFERROR(__xludf.DUMMYFUNCTION("IF('(INGESTA)Datos_consumo_datadis'!A18807&lt;&gt;"""",SPLIT('(INGESTA)Datos_consumo_datadis'!A:A,"",""),"""")"),"")</f>
        <v/>
      </c>
      <c r="G17242" s="8" t="str">
        <f t="shared" si="1"/>
        <v/>
      </c>
      <c r="H17242" s="14" t="str">
        <f t="shared" si="2"/>
        <v/>
      </c>
      <c r="I17242" s="15" t="str">
        <f t="shared" si="3"/>
        <v/>
      </c>
    </row>
    <row r="17243">
      <c r="A17243" s="8" t="str">
        <f>IFERROR(__xludf.DUMMYFUNCTION("IF('(INGESTA)Datos_consumo_datadis'!A18808&lt;&gt;"""",SPLIT('(INGESTA)Datos_consumo_datadis'!A:A,"",""),"""")"),"")</f>
        <v/>
      </c>
      <c r="G17243" s="8" t="str">
        <f t="shared" si="1"/>
        <v/>
      </c>
      <c r="H17243" s="14" t="str">
        <f t="shared" si="2"/>
        <v/>
      </c>
      <c r="I17243" s="15" t="str">
        <f t="shared" si="3"/>
        <v/>
      </c>
    </row>
    <row r="17244">
      <c r="A17244" s="8" t="str">
        <f>IFERROR(__xludf.DUMMYFUNCTION("IF('(INGESTA)Datos_consumo_datadis'!A18809&lt;&gt;"""",SPLIT('(INGESTA)Datos_consumo_datadis'!A:A,"",""),"""")"),"")</f>
        <v/>
      </c>
      <c r="G17244" s="8" t="str">
        <f t="shared" si="1"/>
        <v/>
      </c>
      <c r="H17244" s="14" t="str">
        <f t="shared" si="2"/>
        <v/>
      </c>
      <c r="I17244" s="15" t="str">
        <f t="shared" si="3"/>
        <v/>
      </c>
    </row>
    <row r="17245">
      <c r="A17245" s="8" t="str">
        <f>IFERROR(__xludf.DUMMYFUNCTION("IF('(INGESTA)Datos_consumo_datadis'!A18810&lt;&gt;"""",SPLIT('(INGESTA)Datos_consumo_datadis'!A:A,"",""),"""")"),"")</f>
        <v/>
      </c>
      <c r="G17245" s="8" t="str">
        <f t="shared" si="1"/>
        <v/>
      </c>
      <c r="H17245" s="14" t="str">
        <f t="shared" si="2"/>
        <v/>
      </c>
      <c r="I17245" s="15" t="str">
        <f t="shared" si="3"/>
        <v/>
      </c>
    </row>
    <row r="17246">
      <c r="A17246" s="8" t="str">
        <f>IFERROR(__xludf.DUMMYFUNCTION("IF('(INGESTA)Datos_consumo_datadis'!A18811&lt;&gt;"""",SPLIT('(INGESTA)Datos_consumo_datadis'!A:A,"",""),"""")"),"")</f>
        <v/>
      </c>
      <c r="G17246" s="8" t="str">
        <f t="shared" si="1"/>
        <v/>
      </c>
      <c r="H17246" s="14" t="str">
        <f t="shared" si="2"/>
        <v/>
      </c>
      <c r="I17246" s="15" t="str">
        <f t="shared" si="3"/>
        <v/>
      </c>
    </row>
    <row r="17247">
      <c r="A17247" s="8" t="str">
        <f>IFERROR(__xludf.DUMMYFUNCTION("IF('(INGESTA)Datos_consumo_datadis'!A18812&lt;&gt;"""",SPLIT('(INGESTA)Datos_consumo_datadis'!A:A,"",""),"""")"),"")</f>
        <v/>
      </c>
      <c r="G17247" s="8" t="str">
        <f t="shared" si="1"/>
        <v/>
      </c>
      <c r="H17247" s="14" t="str">
        <f t="shared" si="2"/>
        <v/>
      </c>
      <c r="I17247" s="15" t="str">
        <f t="shared" si="3"/>
        <v/>
      </c>
    </row>
    <row r="17248">
      <c r="A17248" s="8" t="str">
        <f>IFERROR(__xludf.DUMMYFUNCTION("IF('(INGESTA)Datos_consumo_datadis'!A18813&lt;&gt;"""",SPLIT('(INGESTA)Datos_consumo_datadis'!A:A,"",""),"""")"),"")</f>
        <v/>
      </c>
      <c r="G17248" s="8" t="str">
        <f t="shared" si="1"/>
        <v/>
      </c>
      <c r="H17248" s="14" t="str">
        <f t="shared" si="2"/>
        <v/>
      </c>
      <c r="I17248" s="15" t="str">
        <f t="shared" si="3"/>
        <v/>
      </c>
    </row>
    <row r="17249">
      <c r="A17249" s="8" t="str">
        <f>IFERROR(__xludf.DUMMYFUNCTION("IF('(INGESTA)Datos_consumo_datadis'!A18814&lt;&gt;"""",SPLIT('(INGESTA)Datos_consumo_datadis'!A:A,"",""),"""")"),"")</f>
        <v/>
      </c>
      <c r="G17249" s="8" t="str">
        <f t="shared" si="1"/>
        <v/>
      </c>
      <c r="H17249" s="14" t="str">
        <f t="shared" si="2"/>
        <v/>
      </c>
      <c r="I17249" s="15" t="str">
        <f t="shared" si="3"/>
        <v/>
      </c>
    </row>
    <row r="17250">
      <c r="A17250" s="8" t="str">
        <f>IFERROR(__xludf.DUMMYFUNCTION("IF('(INGESTA)Datos_consumo_datadis'!A18815&lt;&gt;"""",SPLIT('(INGESTA)Datos_consumo_datadis'!A:A,"",""),"""")"),"")</f>
        <v/>
      </c>
      <c r="G17250" s="8" t="str">
        <f t="shared" si="1"/>
        <v/>
      </c>
      <c r="H17250" s="14" t="str">
        <f t="shared" si="2"/>
        <v/>
      </c>
      <c r="I17250" s="15" t="str">
        <f t="shared" si="3"/>
        <v/>
      </c>
    </row>
    <row r="17251">
      <c r="A17251" s="8" t="str">
        <f>IFERROR(__xludf.DUMMYFUNCTION("IF('(INGESTA)Datos_consumo_datadis'!A18816&lt;&gt;"""",SPLIT('(INGESTA)Datos_consumo_datadis'!A:A,"",""),"""")"),"")</f>
        <v/>
      </c>
      <c r="G17251" s="8" t="str">
        <f t="shared" si="1"/>
        <v/>
      </c>
      <c r="H17251" s="14" t="str">
        <f t="shared" si="2"/>
        <v/>
      </c>
      <c r="I17251" s="15" t="str">
        <f t="shared" si="3"/>
        <v/>
      </c>
    </row>
    <row r="17252">
      <c r="A17252" s="8" t="str">
        <f>IFERROR(__xludf.DUMMYFUNCTION("IF('(INGESTA)Datos_consumo_datadis'!A18817&lt;&gt;"""",SPLIT('(INGESTA)Datos_consumo_datadis'!A:A,"",""),"""")"),"")</f>
        <v/>
      </c>
      <c r="G17252" s="8" t="str">
        <f t="shared" si="1"/>
        <v/>
      </c>
      <c r="H17252" s="14" t="str">
        <f t="shared" si="2"/>
        <v/>
      </c>
      <c r="I17252" s="15" t="str">
        <f t="shared" si="3"/>
        <v/>
      </c>
    </row>
    <row r="17253">
      <c r="A17253" s="8" t="str">
        <f>IFERROR(__xludf.DUMMYFUNCTION("IF('(INGESTA)Datos_consumo_datadis'!A18818&lt;&gt;"""",SPLIT('(INGESTA)Datos_consumo_datadis'!A:A,"",""),"""")"),"")</f>
        <v/>
      </c>
      <c r="G17253" s="8" t="str">
        <f t="shared" si="1"/>
        <v/>
      </c>
      <c r="H17253" s="14" t="str">
        <f t="shared" si="2"/>
        <v/>
      </c>
      <c r="I17253" s="15" t="str">
        <f t="shared" si="3"/>
        <v/>
      </c>
    </row>
    <row r="17254">
      <c r="A17254" s="8" t="str">
        <f>IFERROR(__xludf.DUMMYFUNCTION("IF('(INGESTA)Datos_consumo_datadis'!A18819&lt;&gt;"""",SPLIT('(INGESTA)Datos_consumo_datadis'!A:A,"",""),"""")"),"")</f>
        <v/>
      </c>
      <c r="G17254" s="8" t="str">
        <f t="shared" si="1"/>
        <v/>
      </c>
      <c r="H17254" s="14" t="str">
        <f t="shared" si="2"/>
        <v/>
      </c>
      <c r="I17254" s="15" t="str">
        <f t="shared" si="3"/>
        <v/>
      </c>
    </row>
    <row r="17255">
      <c r="A17255" s="8" t="str">
        <f>IFERROR(__xludf.DUMMYFUNCTION("IF('(INGESTA)Datos_consumo_datadis'!A18820&lt;&gt;"""",SPLIT('(INGESTA)Datos_consumo_datadis'!A:A,"",""),"""")"),"")</f>
        <v/>
      </c>
      <c r="G17255" s="8" t="str">
        <f t="shared" si="1"/>
        <v/>
      </c>
      <c r="H17255" s="14" t="str">
        <f t="shared" si="2"/>
        <v/>
      </c>
      <c r="I17255" s="15" t="str">
        <f t="shared" si="3"/>
        <v/>
      </c>
    </row>
    <row r="17256">
      <c r="A17256" s="8" t="str">
        <f>IFERROR(__xludf.DUMMYFUNCTION("IF('(INGESTA)Datos_consumo_datadis'!A18821&lt;&gt;"""",SPLIT('(INGESTA)Datos_consumo_datadis'!A:A,"",""),"""")"),"")</f>
        <v/>
      </c>
      <c r="G17256" s="8" t="str">
        <f t="shared" si="1"/>
        <v/>
      </c>
      <c r="H17256" s="14" t="str">
        <f t="shared" si="2"/>
        <v/>
      </c>
      <c r="I17256" s="15" t="str">
        <f t="shared" si="3"/>
        <v/>
      </c>
    </row>
    <row r="17257">
      <c r="A17257" s="8" t="str">
        <f>IFERROR(__xludf.DUMMYFUNCTION("IF('(INGESTA)Datos_consumo_datadis'!A18822&lt;&gt;"""",SPLIT('(INGESTA)Datos_consumo_datadis'!A:A,"",""),"""")"),"")</f>
        <v/>
      </c>
      <c r="G17257" s="8" t="str">
        <f t="shared" si="1"/>
        <v/>
      </c>
      <c r="H17257" s="14" t="str">
        <f t="shared" si="2"/>
        <v/>
      </c>
      <c r="I17257" s="15" t="str">
        <f t="shared" si="3"/>
        <v/>
      </c>
    </row>
    <row r="17258">
      <c r="A17258" s="8" t="str">
        <f>IFERROR(__xludf.DUMMYFUNCTION("IF('(INGESTA)Datos_consumo_datadis'!A18823&lt;&gt;"""",SPLIT('(INGESTA)Datos_consumo_datadis'!A:A,"",""),"""")"),"")</f>
        <v/>
      </c>
      <c r="G17258" s="8" t="str">
        <f t="shared" si="1"/>
        <v/>
      </c>
      <c r="H17258" s="14" t="str">
        <f t="shared" si="2"/>
        <v/>
      </c>
      <c r="I17258" s="15" t="str">
        <f t="shared" si="3"/>
        <v/>
      </c>
    </row>
    <row r="17259">
      <c r="A17259" s="8" t="str">
        <f>IFERROR(__xludf.DUMMYFUNCTION("IF('(INGESTA)Datos_consumo_datadis'!A18824&lt;&gt;"""",SPLIT('(INGESTA)Datos_consumo_datadis'!A:A,"",""),"""")"),"")</f>
        <v/>
      </c>
      <c r="G17259" s="8" t="str">
        <f t="shared" si="1"/>
        <v/>
      </c>
      <c r="H17259" s="14" t="str">
        <f t="shared" si="2"/>
        <v/>
      </c>
      <c r="I17259" s="15" t="str">
        <f t="shared" si="3"/>
        <v/>
      </c>
    </row>
    <row r="17260">
      <c r="A17260" s="8" t="str">
        <f>IFERROR(__xludf.DUMMYFUNCTION("IF('(INGESTA)Datos_consumo_datadis'!A18825&lt;&gt;"""",SPLIT('(INGESTA)Datos_consumo_datadis'!A:A,"",""),"""")"),"")</f>
        <v/>
      </c>
      <c r="G17260" s="8" t="str">
        <f t="shared" si="1"/>
        <v/>
      </c>
      <c r="H17260" s="14" t="str">
        <f t="shared" si="2"/>
        <v/>
      </c>
      <c r="I17260" s="15" t="str">
        <f t="shared" si="3"/>
        <v/>
      </c>
    </row>
    <row r="17261">
      <c r="A17261" s="8" t="str">
        <f>IFERROR(__xludf.DUMMYFUNCTION("IF('(INGESTA)Datos_consumo_datadis'!A18826&lt;&gt;"""",SPLIT('(INGESTA)Datos_consumo_datadis'!A:A,"",""),"""")"),"")</f>
        <v/>
      </c>
      <c r="G17261" s="8" t="str">
        <f t="shared" si="1"/>
        <v/>
      </c>
      <c r="H17261" s="14" t="str">
        <f t="shared" si="2"/>
        <v/>
      </c>
      <c r="I17261" s="15" t="str">
        <f t="shared" si="3"/>
        <v/>
      </c>
    </row>
    <row r="17262">
      <c r="A17262" s="8" t="str">
        <f>IFERROR(__xludf.DUMMYFUNCTION("IF('(INGESTA)Datos_consumo_datadis'!A18827&lt;&gt;"""",SPLIT('(INGESTA)Datos_consumo_datadis'!A:A,"",""),"""")"),"")</f>
        <v/>
      </c>
      <c r="G17262" s="8" t="str">
        <f t="shared" si="1"/>
        <v/>
      </c>
      <c r="H17262" s="14" t="str">
        <f t="shared" si="2"/>
        <v/>
      </c>
      <c r="I17262" s="15" t="str">
        <f t="shared" si="3"/>
        <v/>
      </c>
    </row>
    <row r="17263">
      <c r="A17263" s="8" t="str">
        <f>IFERROR(__xludf.DUMMYFUNCTION("IF('(INGESTA)Datos_consumo_datadis'!A18828&lt;&gt;"""",SPLIT('(INGESTA)Datos_consumo_datadis'!A:A,"",""),"""")"),"")</f>
        <v/>
      </c>
      <c r="G17263" s="8" t="str">
        <f t="shared" si="1"/>
        <v/>
      </c>
      <c r="H17263" s="14" t="str">
        <f t="shared" si="2"/>
        <v/>
      </c>
      <c r="I17263" s="15" t="str">
        <f t="shared" si="3"/>
        <v/>
      </c>
    </row>
    <row r="17264">
      <c r="A17264" s="8" t="str">
        <f>IFERROR(__xludf.DUMMYFUNCTION("IF('(INGESTA)Datos_consumo_datadis'!A18829&lt;&gt;"""",SPLIT('(INGESTA)Datos_consumo_datadis'!A:A,"",""),"""")"),"")</f>
        <v/>
      </c>
      <c r="G17264" s="8" t="str">
        <f t="shared" si="1"/>
        <v/>
      </c>
      <c r="H17264" s="14" t="str">
        <f t="shared" si="2"/>
        <v/>
      </c>
      <c r="I17264" s="15" t="str">
        <f t="shared" si="3"/>
        <v/>
      </c>
    </row>
    <row r="17265">
      <c r="A17265" s="8" t="str">
        <f>IFERROR(__xludf.DUMMYFUNCTION("IF('(INGESTA)Datos_consumo_datadis'!A18830&lt;&gt;"""",SPLIT('(INGESTA)Datos_consumo_datadis'!A:A,"",""),"""")"),"")</f>
        <v/>
      </c>
      <c r="G17265" s="8" t="str">
        <f t="shared" si="1"/>
        <v/>
      </c>
      <c r="H17265" s="14" t="str">
        <f t="shared" si="2"/>
        <v/>
      </c>
      <c r="I17265" s="15" t="str">
        <f t="shared" si="3"/>
        <v/>
      </c>
    </row>
    <row r="17266">
      <c r="A17266" s="8" t="str">
        <f>IFERROR(__xludf.DUMMYFUNCTION("IF('(INGESTA)Datos_consumo_datadis'!A18831&lt;&gt;"""",SPLIT('(INGESTA)Datos_consumo_datadis'!A:A,"",""),"""")"),"")</f>
        <v/>
      </c>
      <c r="G17266" s="8" t="str">
        <f t="shared" si="1"/>
        <v/>
      </c>
      <c r="H17266" s="14" t="str">
        <f t="shared" si="2"/>
        <v/>
      </c>
      <c r="I17266" s="15" t="str">
        <f t="shared" si="3"/>
        <v/>
      </c>
    </row>
    <row r="17267">
      <c r="A17267" s="8" t="str">
        <f>IFERROR(__xludf.DUMMYFUNCTION("IF('(INGESTA)Datos_consumo_datadis'!A18832&lt;&gt;"""",SPLIT('(INGESTA)Datos_consumo_datadis'!A:A,"",""),"""")"),"")</f>
        <v/>
      </c>
      <c r="G17267" s="8" t="str">
        <f t="shared" si="1"/>
        <v/>
      </c>
      <c r="H17267" s="14" t="str">
        <f t="shared" si="2"/>
        <v/>
      </c>
      <c r="I17267" s="15" t="str">
        <f t="shared" si="3"/>
        <v/>
      </c>
    </row>
    <row r="17268">
      <c r="A17268" s="8" t="str">
        <f>IFERROR(__xludf.DUMMYFUNCTION("IF('(INGESTA)Datos_consumo_datadis'!A18833&lt;&gt;"""",SPLIT('(INGESTA)Datos_consumo_datadis'!A:A,"",""),"""")"),"")</f>
        <v/>
      </c>
      <c r="G17268" s="8" t="str">
        <f t="shared" si="1"/>
        <v/>
      </c>
      <c r="H17268" s="14" t="str">
        <f t="shared" si="2"/>
        <v/>
      </c>
      <c r="I17268" s="15" t="str">
        <f t="shared" si="3"/>
        <v/>
      </c>
    </row>
    <row r="17269">
      <c r="A17269" s="8" t="str">
        <f>IFERROR(__xludf.DUMMYFUNCTION("IF('(INGESTA)Datos_consumo_datadis'!A18834&lt;&gt;"""",SPLIT('(INGESTA)Datos_consumo_datadis'!A:A,"",""),"""")"),"")</f>
        <v/>
      </c>
      <c r="G17269" s="8" t="str">
        <f t="shared" si="1"/>
        <v/>
      </c>
      <c r="H17269" s="14" t="str">
        <f t="shared" si="2"/>
        <v/>
      </c>
      <c r="I17269" s="15" t="str">
        <f t="shared" si="3"/>
        <v/>
      </c>
    </row>
    <row r="17270">
      <c r="A17270" s="8" t="str">
        <f>IFERROR(__xludf.DUMMYFUNCTION("IF('(INGESTA)Datos_consumo_datadis'!A18835&lt;&gt;"""",SPLIT('(INGESTA)Datos_consumo_datadis'!A:A,"",""),"""")"),"")</f>
        <v/>
      </c>
      <c r="G17270" s="8" t="str">
        <f t="shared" si="1"/>
        <v/>
      </c>
      <c r="H17270" s="14" t="str">
        <f t="shared" si="2"/>
        <v/>
      </c>
      <c r="I17270" s="15" t="str">
        <f t="shared" si="3"/>
        <v/>
      </c>
    </row>
    <row r="17271">
      <c r="A17271" s="8" t="str">
        <f>IFERROR(__xludf.DUMMYFUNCTION("IF('(INGESTA)Datos_consumo_datadis'!A18836&lt;&gt;"""",SPLIT('(INGESTA)Datos_consumo_datadis'!A:A,"",""),"""")"),"")</f>
        <v/>
      </c>
      <c r="G17271" s="8" t="str">
        <f t="shared" si="1"/>
        <v/>
      </c>
      <c r="H17271" s="14" t="str">
        <f t="shared" si="2"/>
        <v/>
      </c>
      <c r="I17271" s="15" t="str">
        <f t="shared" si="3"/>
        <v/>
      </c>
    </row>
    <row r="17272">
      <c r="A17272" s="8" t="str">
        <f>IFERROR(__xludf.DUMMYFUNCTION("IF('(INGESTA)Datos_consumo_datadis'!A18837&lt;&gt;"""",SPLIT('(INGESTA)Datos_consumo_datadis'!A:A,"",""),"""")"),"")</f>
        <v/>
      </c>
      <c r="G17272" s="8" t="str">
        <f t="shared" si="1"/>
        <v/>
      </c>
      <c r="H17272" s="14" t="str">
        <f t="shared" si="2"/>
        <v/>
      </c>
      <c r="I17272" s="15" t="str">
        <f t="shared" si="3"/>
        <v/>
      </c>
    </row>
    <row r="17273">
      <c r="A17273" s="8" t="str">
        <f>IFERROR(__xludf.DUMMYFUNCTION("IF('(INGESTA)Datos_consumo_datadis'!A18838&lt;&gt;"""",SPLIT('(INGESTA)Datos_consumo_datadis'!A:A,"",""),"""")"),"")</f>
        <v/>
      </c>
      <c r="G17273" s="8" t="str">
        <f t="shared" si="1"/>
        <v/>
      </c>
      <c r="H17273" s="14" t="str">
        <f t="shared" si="2"/>
        <v/>
      </c>
      <c r="I17273" s="15" t="str">
        <f t="shared" si="3"/>
        <v/>
      </c>
    </row>
    <row r="17274">
      <c r="A17274" s="8" t="str">
        <f>IFERROR(__xludf.DUMMYFUNCTION("IF('(INGESTA)Datos_consumo_datadis'!A18839&lt;&gt;"""",SPLIT('(INGESTA)Datos_consumo_datadis'!A:A,"",""),"""")"),"")</f>
        <v/>
      </c>
      <c r="G17274" s="8" t="str">
        <f t="shared" si="1"/>
        <v/>
      </c>
      <c r="H17274" s="14" t="str">
        <f t="shared" si="2"/>
        <v/>
      </c>
      <c r="I17274" s="15" t="str">
        <f t="shared" si="3"/>
        <v/>
      </c>
    </row>
    <row r="17275">
      <c r="A17275" s="8" t="str">
        <f>IFERROR(__xludf.DUMMYFUNCTION("IF('(INGESTA)Datos_consumo_datadis'!A18840&lt;&gt;"""",SPLIT('(INGESTA)Datos_consumo_datadis'!A:A,"",""),"""")"),"")</f>
        <v/>
      </c>
      <c r="G17275" s="8" t="str">
        <f t="shared" si="1"/>
        <v/>
      </c>
      <c r="H17275" s="14" t="str">
        <f t="shared" si="2"/>
        <v/>
      </c>
      <c r="I17275" s="15" t="str">
        <f t="shared" si="3"/>
        <v/>
      </c>
    </row>
    <row r="17276">
      <c r="A17276" s="8" t="str">
        <f>IFERROR(__xludf.DUMMYFUNCTION("IF('(INGESTA)Datos_consumo_datadis'!A18841&lt;&gt;"""",SPLIT('(INGESTA)Datos_consumo_datadis'!A:A,"",""),"""")"),"")</f>
        <v/>
      </c>
      <c r="G17276" s="8" t="str">
        <f t="shared" si="1"/>
        <v/>
      </c>
      <c r="H17276" s="14" t="str">
        <f t="shared" si="2"/>
        <v/>
      </c>
      <c r="I17276" s="15" t="str">
        <f t="shared" si="3"/>
        <v/>
      </c>
    </row>
    <row r="17277">
      <c r="A17277" s="8" t="str">
        <f>IFERROR(__xludf.DUMMYFUNCTION("IF('(INGESTA)Datos_consumo_datadis'!A18842&lt;&gt;"""",SPLIT('(INGESTA)Datos_consumo_datadis'!A:A,"",""),"""")"),"")</f>
        <v/>
      </c>
      <c r="G17277" s="8" t="str">
        <f t="shared" si="1"/>
        <v/>
      </c>
      <c r="H17277" s="14" t="str">
        <f t="shared" si="2"/>
        <v/>
      </c>
      <c r="I17277" s="15" t="str">
        <f t="shared" si="3"/>
        <v/>
      </c>
    </row>
    <row r="17278">
      <c r="A17278" s="8" t="str">
        <f>IFERROR(__xludf.DUMMYFUNCTION("IF('(INGESTA)Datos_consumo_datadis'!A18843&lt;&gt;"""",SPLIT('(INGESTA)Datos_consumo_datadis'!A:A,"",""),"""")"),"")</f>
        <v/>
      </c>
      <c r="G17278" s="8" t="str">
        <f t="shared" si="1"/>
        <v/>
      </c>
      <c r="H17278" s="14" t="str">
        <f t="shared" si="2"/>
        <v/>
      </c>
      <c r="I17278" s="15" t="str">
        <f t="shared" si="3"/>
        <v/>
      </c>
    </row>
    <row r="17279">
      <c r="A17279" s="8" t="str">
        <f>IFERROR(__xludf.DUMMYFUNCTION("IF('(INGESTA)Datos_consumo_datadis'!A18844&lt;&gt;"""",SPLIT('(INGESTA)Datos_consumo_datadis'!A:A,"",""),"""")"),"")</f>
        <v/>
      </c>
      <c r="G17279" s="8" t="str">
        <f t="shared" si="1"/>
        <v/>
      </c>
      <c r="H17279" s="14" t="str">
        <f t="shared" si="2"/>
        <v/>
      </c>
      <c r="I17279" s="15" t="str">
        <f t="shared" si="3"/>
        <v/>
      </c>
    </row>
    <row r="17280">
      <c r="A17280" s="8" t="str">
        <f>IFERROR(__xludf.DUMMYFUNCTION("IF('(INGESTA)Datos_consumo_datadis'!A18845&lt;&gt;"""",SPLIT('(INGESTA)Datos_consumo_datadis'!A:A,"",""),"""")"),"")</f>
        <v/>
      </c>
      <c r="G17280" s="8" t="str">
        <f t="shared" si="1"/>
        <v/>
      </c>
      <c r="H17280" s="14" t="str">
        <f t="shared" si="2"/>
        <v/>
      </c>
      <c r="I17280" s="15" t="str">
        <f t="shared" si="3"/>
        <v/>
      </c>
    </row>
    <row r="17281">
      <c r="A17281" s="8" t="str">
        <f>IFERROR(__xludf.DUMMYFUNCTION("IF('(INGESTA)Datos_consumo_datadis'!A18846&lt;&gt;"""",SPLIT('(INGESTA)Datos_consumo_datadis'!A:A,"",""),"""")"),"")</f>
        <v/>
      </c>
      <c r="G17281" s="8" t="str">
        <f t="shared" si="1"/>
        <v/>
      </c>
      <c r="H17281" s="14" t="str">
        <f t="shared" si="2"/>
        <v/>
      </c>
      <c r="I17281" s="15" t="str">
        <f t="shared" si="3"/>
        <v/>
      </c>
    </row>
    <row r="17282">
      <c r="A17282" s="8" t="str">
        <f>IFERROR(__xludf.DUMMYFUNCTION("IF('(INGESTA)Datos_consumo_datadis'!A18847&lt;&gt;"""",SPLIT('(INGESTA)Datos_consumo_datadis'!A:A,"",""),"""")"),"")</f>
        <v/>
      </c>
      <c r="G17282" s="8" t="str">
        <f t="shared" si="1"/>
        <v/>
      </c>
      <c r="H17282" s="14" t="str">
        <f t="shared" si="2"/>
        <v/>
      </c>
      <c r="I17282" s="15" t="str">
        <f t="shared" si="3"/>
        <v/>
      </c>
    </row>
    <row r="17283">
      <c r="A17283" s="8" t="str">
        <f>IFERROR(__xludf.DUMMYFUNCTION("IF('(INGESTA)Datos_consumo_datadis'!A18848&lt;&gt;"""",SPLIT('(INGESTA)Datos_consumo_datadis'!A:A,"",""),"""")"),"")</f>
        <v/>
      </c>
      <c r="G17283" s="8" t="str">
        <f t="shared" si="1"/>
        <v/>
      </c>
      <c r="H17283" s="14" t="str">
        <f t="shared" si="2"/>
        <v/>
      </c>
      <c r="I17283" s="15" t="str">
        <f t="shared" si="3"/>
        <v/>
      </c>
    </row>
    <row r="17284">
      <c r="A17284" s="8" t="str">
        <f>IFERROR(__xludf.DUMMYFUNCTION("IF('(INGESTA)Datos_consumo_datadis'!A18849&lt;&gt;"""",SPLIT('(INGESTA)Datos_consumo_datadis'!A:A,"",""),"""")"),"")</f>
        <v/>
      </c>
      <c r="G17284" s="8" t="str">
        <f t="shared" si="1"/>
        <v/>
      </c>
      <c r="H17284" s="14" t="str">
        <f t="shared" si="2"/>
        <v/>
      </c>
      <c r="I17284" s="15" t="str">
        <f t="shared" si="3"/>
        <v/>
      </c>
    </row>
    <row r="17285">
      <c r="A17285" s="8" t="str">
        <f>IFERROR(__xludf.DUMMYFUNCTION("IF('(INGESTA)Datos_consumo_datadis'!A18850&lt;&gt;"""",SPLIT('(INGESTA)Datos_consumo_datadis'!A:A,"",""),"""")"),"")</f>
        <v/>
      </c>
      <c r="G17285" s="8" t="str">
        <f t="shared" si="1"/>
        <v/>
      </c>
      <c r="H17285" s="14" t="str">
        <f t="shared" si="2"/>
        <v/>
      </c>
      <c r="I17285" s="15" t="str">
        <f t="shared" si="3"/>
        <v/>
      </c>
    </row>
    <row r="17286">
      <c r="A17286" s="8" t="str">
        <f>IFERROR(__xludf.DUMMYFUNCTION("IF('(INGESTA)Datos_consumo_datadis'!A18851&lt;&gt;"""",SPLIT('(INGESTA)Datos_consumo_datadis'!A:A,"",""),"""")"),"")</f>
        <v/>
      </c>
      <c r="G17286" s="8" t="str">
        <f t="shared" si="1"/>
        <v/>
      </c>
      <c r="H17286" s="14" t="str">
        <f t="shared" si="2"/>
        <v/>
      </c>
      <c r="I17286" s="15" t="str">
        <f t="shared" si="3"/>
        <v/>
      </c>
    </row>
    <row r="17287">
      <c r="A17287" s="8" t="str">
        <f>IFERROR(__xludf.DUMMYFUNCTION("IF('(INGESTA)Datos_consumo_datadis'!A18852&lt;&gt;"""",SPLIT('(INGESTA)Datos_consumo_datadis'!A:A,"",""),"""")"),"")</f>
        <v/>
      </c>
      <c r="G17287" s="8" t="str">
        <f t="shared" si="1"/>
        <v/>
      </c>
      <c r="H17287" s="14" t="str">
        <f t="shared" si="2"/>
        <v/>
      </c>
      <c r="I17287" s="15" t="str">
        <f t="shared" si="3"/>
        <v/>
      </c>
    </row>
    <row r="17288">
      <c r="A17288" s="8" t="str">
        <f>IFERROR(__xludf.DUMMYFUNCTION("IF('(INGESTA)Datos_consumo_datadis'!A18853&lt;&gt;"""",SPLIT('(INGESTA)Datos_consumo_datadis'!A:A,"",""),"""")"),"")</f>
        <v/>
      </c>
      <c r="G17288" s="8" t="str">
        <f t="shared" si="1"/>
        <v/>
      </c>
      <c r="H17288" s="14" t="str">
        <f t="shared" si="2"/>
        <v/>
      </c>
      <c r="I17288" s="15" t="str">
        <f t="shared" si="3"/>
        <v/>
      </c>
    </row>
    <row r="17289">
      <c r="A17289" s="8" t="str">
        <f>IFERROR(__xludf.DUMMYFUNCTION("IF('(INGESTA)Datos_consumo_datadis'!A18854&lt;&gt;"""",SPLIT('(INGESTA)Datos_consumo_datadis'!A:A,"",""),"""")"),"")</f>
        <v/>
      </c>
      <c r="G17289" s="8" t="str">
        <f t="shared" si="1"/>
        <v/>
      </c>
      <c r="H17289" s="14" t="str">
        <f t="shared" si="2"/>
        <v/>
      </c>
      <c r="I17289" s="15" t="str">
        <f t="shared" si="3"/>
        <v/>
      </c>
    </row>
    <row r="17290">
      <c r="A17290" s="8" t="str">
        <f>IFERROR(__xludf.DUMMYFUNCTION("IF('(INGESTA)Datos_consumo_datadis'!A18855&lt;&gt;"""",SPLIT('(INGESTA)Datos_consumo_datadis'!A:A,"",""),"""")"),"")</f>
        <v/>
      </c>
      <c r="G17290" s="8" t="str">
        <f t="shared" si="1"/>
        <v/>
      </c>
      <c r="H17290" s="14" t="str">
        <f t="shared" si="2"/>
        <v/>
      </c>
      <c r="I17290" s="15" t="str">
        <f t="shared" si="3"/>
        <v/>
      </c>
    </row>
    <row r="17291">
      <c r="A17291" s="8" t="str">
        <f>IFERROR(__xludf.DUMMYFUNCTION("IF('(INGESTA)Datos_consumo_datadis'!A18856&lt;&gt;"""",SPLIT('(INGESTA)Datos_consumo_datadis'!A:A,"",""),"""")"),"")</f>
        <v/>
      </c>
      <c r="G17291" s="8" t="str">
        <f t="shared" si="1"/>
        <v/>
      </c>
      <c r="H17291" s="14" t="str">
        <f t="shared" si="2"/>
        <v/>
      </c>
      <c r="I17291" s="15" t="str">
        <f t="shared" si="3"/>
        <v/>
      </c>
    </row>
    <row r="17292">
      <c r="A17292" s="8" t="str">
        <f>IFERROR(__xludf.DUMMYFUNCTION("IF('(INGESTA)Datos_consumo_datadis'!A18857&lt;&gt;"""",SPLIT('(INGESTA)Datos_consumo_datadis'!A:A,"",""),"""")"),"")</f>
        <v/>
      </c>
      <c r="G17292" s="8" t="str">
        <f t="shared" si="1"/>
        <v/>
      </c>
      <c r="H17292" s="14" t="str">
        <f t="shared" si="2"/>
        <v/>
      </c>
      <c r="I17292" s="15" t="str">
        <f t="shared" si="3"/>
        <v/>
      </c>
    </row>
    <row r="17293">
      <c r="A17293" s="8" t="str">
        <f>IFERROR(__xludf.DUMMYFUNCTION("IF('(INGESTA)Datos_consumo_datadis'!A18858&lt;&gt;"""",SPLIT('(INGESTA)Datos_consumo_datadis'!A:A,"",""),"""")"),"")</f>
        <v/>
      </c>
      <c r="G17293" s="8" t="str">
        <f t="shared" si="1"/>
        <v/>
      </c>
      <c r="H17293" s="14" t="str">
        <f t="shared" si="2"/>
        <v/>
      </c>
      <c r="I17293" s="15" t="str">
        <f t="shared" si="3"/>
        <v/>
      </c>
    </row>
    <row r="17294">
      <c r="A17294" s="8" t="str">
        <f>IFERROR(__xludf.DUMMYFUNCTION("IF('(INGESTA)Datos_consumo_datadis'!A18859&lt;&gt;"""",SPLIT('(INGESTA)Datos_consumo_datadis'!A:A,"",""),"""")"),"")</f>
        <v/>
      </c>
      <c r="G17294" s="8" t="str">
        <f t="shared" si="1"/>
        <v/>
      </c>
      <c r="H17294" s="14" t="str">
        <f t="shared" si="2"/>
        <v/>
      </c>
      <c r="I17294" s="15" t="str">
        <f t="shared" si="3"/>
        <v/>
      </c>
    </row>
    <row r="17295">
      <c r="A17295" s="8" t="str">
        <f>IFERROR(__xludf.DUMMYFUNCTION("IF('(INGESTA)Datos_consumo_datadis'!A18860&lt;&gt;"""",SPLIT('(INGESTA)Datos_consumo_datadis'!A:A,"",""),"""")"),"")</f>
        <v/>
      </c>
      <c r="G17295" s="8" t="str">
        <f t="shared" si="1"/>
        <v/>
      </c>
      <c r="H17295" s="14" t="str">
        <f t="shared" si="2"/>
        <v/>
      </c>
      <c r="I17295" s="15" t="str">
        <f t="shared" si="3"/>
        <v/>
      </c>
    </row>
    <row r="17296">
      <c r="A17296" s="8" t="str">
        <f>IFERROR(__xludf.DUMMYFUNCTION("IF('(INGESTA)Datos_consumo_datadis'!A18861&lt;&gt;"""",SPLIT('(INGESTA)Datos_consumo_datadis'!A:A,"",""),"""")"),"")</f>
        <v/>
      </c>
      <c r="G17296" s="8" t="str">
        <f t="shared" si="1"/>
        <v/>
      </c>
      <c r="H17296" s="14" t="str">
        <f t="shared" si="2"/>
        <v/>
      </c>
      <c r="I17296" s="15" t="str">
        <f t="shared" si="3"/>
        <v/>
      </c>
    </row>
    <row r="17297">
      <c r="A17297" s="8" t="str">
        <f>IFERROR(__xludf.DUMMYFUNCTION("IF('(INGESTA)Datos_consumo_datadis'!A18862&lt;&gt;"""",SPLIT('(INGESTA)Datos_consumo_datadis'!A:A,"",""),"""")"),"")</f>
        <v/>
      </c>
      <c r="G17297" s="8" t="str">
        <f t="shared" si="1"/>
        <v/>
      </c>
      <c r="H17297" s="14" t="str">
        <f t="shared" si="2"/>
        <v/>
      </c>
      <c r="I17297" s="15" t="str">
        <f t="shared" si="3"/>
        <v/>
      </c>
    </row>
    <row r="17298">
      <c r="A17298" s="8" t="str">
        <f>IFERROR(__xludf.DUMMYFUNCTION("IF('(INGESTA)Datos_consumo_datadis'!A18863&lt;&gt;"""",SPLIT('(INGESTA)Datos_consumo_datadis'!A:A,"",""),"""")"),"")</f>
        <v/>
      </c>
      <c r="G17298" s="8" t="str">
        <f t="shared" si="1"/>
        <v/>
      </c>
      <c r="H17298" s="14" t="str">
        <f t="shared" si="2"/>
        <v/>
      </c>
      <c r="I17298" s="15" t="str">
        <f t="shared" si="3"/>
        <v/>
      </c>
    </row>
    <row r="17299">
      <c r="A17299" s="8" t="str">
        <f>IFERROR(__xludf.DUMMYFUNCTION("IF('(INGESTA)Datos_consumo_datadis'!A18864&lt;&gt;"""",SPLIT('(INGESTA)Datos_consumo_datadis'!A:A,"",""),"""")"),"")</f>
        <v/>
      </c>
      <c r="G17299" s="8" t="str">
        <f t="shared" si="1"/>
        <v/>
      </c>
      <c r="H17299" s="14" t="str">
        <f t="shared" si="2"/>
        <v/>
      </c>
      <c r="I17299" s="15" t="str">
        <f t="shared" si="3"/>
        <v/>
      </c>
    </row>
    <row r="17300">
      <c r="A17300" s="8" t="str">
        <f>IFERROR(__xludf.DUMMYFUNCTION("IF('(INGESTA)Datos_consumo_datadis'!A18865&lt;&gt;"""",SPLIT('(INGESTA)Datos_consumo_datadis'!A:A,"",""),"""")"),"")</f>
        <v/>
      </c>
      <c r="G17300" s="8" t="str">
        <f t="shared" si="1"/>
        <v/>
      </c>
      <c r="H17300" s="14" t="str">
        <f t="shared" si="2"/>
        <v/>
      </c>
      <c r="I17300" s="15" t="str">
        <f t="shared" si="3"/>
        <v/>
      </c>
    </row>
    <row r="17301">
      <c r="A17301" s="8" t="str">
        <f>IFERROR(__xludf.DUMMYFUNCTION("IF('(INGESTA)Datos_consumo_datadis'!A18866&lt;&gt;"""",SPLIT('(INGESTA)Datos_consumo_datadis'!A:A,"",""),"""")"),"")</f>
        <v/>
      </c>
      <c r="G17301" s="8" t="str">
        <f t="shared" si="1"/>
        <v/>
      </c>
      <c r="H17301" s="14" t="str">
        <f t="shared" si="2"/>
        <v/>
      </c>
      <c r="I17301" s="15" t="str">
        <f t="shared" si="3"/>
        <v/>
      </c>
    </row>
    <row r="17302">
      <c r="A17302" s="8" t="str">
        <f>IFERROR(__xludf.DUMMYFUNCTION("IF('(INGESTA)Datos_consumo_datadis'!A18867&lt;&gt;"""",SPLIT('(INGESTA)Datos_consumo_datadis'!A:A,"",""),"""")"),"")</f>
        <v/>
      </c>
      <c r="G17302" s="8" t="str">
        <f t="shared" si="1"/>
        <v/>
      </c>
      <c r="H17302" s="14" t="str">
        <f t="shared" si="2"/>
        <v/>
      </c>
      <c r="I17302" s="15" t="str">
        <f t="shared" si="3"/>
        <v/>
      </c>
    </row>
    <row r="17303">
      <c r="A17303" s="8" t="str">
        <f>IFERROR(__xludf.DUMMYFUNCTION("IF('(INGESTA)Datos_consumo_datadis'!A18868&lt;&gt;"""",SPLIT('(INGESTA)Datos_consumo_datadis'!A:A,"",""),"""")"),"")</f>
        <v/>
      </c>
      <c r="G17303" s="8" t="str">
        <f t="shared" si="1"/>
        <v/>
      </c>
      <c r="H17303" s="14" t="str">
        <f t="shared" si="2"/>
        <v/>
      </c>
      <c r="I17303" s="15" t="str">
        <f t="shared" si="3"/>
        <v/>
      </c>
    </row>
    <row r="17304">
      <c r="A17304" s="8" t="str">
        <f>IFERROR(__xludf.DUMMYFUNCTION("IF('(INGESTA)Datos_consumo_datadis'!A18869&lt;&gt;"""",SPLIT('(INGESTA)Datos_consumo_datadis'!A:A,"",""),"""")"),"")</f>
        <v/>
      </c>
      <c r="G17304" s="8" t="str">
        <f t="shared" si="1"/>
        <v/>
      </c>
      <c r="H17304" s="14" t="str">
        <f t="shared" si="2"/>
        <v/>
      </c>
      <c r="I17304" s="15" t="str">
        <f t="shared" si="3"/>
        <v/>
      </c>
    </row>
    <row r="17305">
      <c r="A17305" s="8" t="str">
        <f>IFERROR(__xludf.DUMMYFUNCTION("IF('(INGESTA)Datos_consumo_datadis'!A18870&lt;&gt;"""",SPLIT('(INGESTA)Datos_consumo_datadis'!A:A,"",""),"""")"),"")</f>
        <v/>
      </c>
      <c r="G17305" s="8" t="str">
        <f t="shared" si="1"/>
        <v/>
      </c>
      <c r="H17305" s="14" t="str">
        <f t="shared" si="2"/>
        <v/>
      </c>
      <c r="I17305" s="15" t="str">
        <f t="shared" si="3"/>
        <v/>
      </c>
    </row>
    <row r="17306">
      <c r="A17306" s="8" t="str">
        <f>IFERROR(__xludf.DUMMYFUNCTION("IF('(INGESTA)Datos_consumo_datadis'!A18871&lt;&gt;"""",SPLIT('(INGESTA)Datos_consumo_datadis'!A:A,"",""),"""")"),"")</f>
        <v/>
      </c>
      <c r="G17306" s="8" t="str">
        <f t="shared" si="1"/>
        <v/>
      </c>
      <c r="H17306" s="14" t="str">
        <f t="shared" si="2"/>
        <v/>
      </c>
      <c r="I17306" s="15" t="str">
        <f t="shared" si="3"/>
        <v/>
      </c>
    </row>
    <row r="17307">
      <c r="A17307" s="8" t="str">
        <f>IFERROR(__xludf.DUMMYFUNCTION("IF('(INGESTA)Datos_consumo_datadis'!A18872&lt;&gt;"""",SPLIT('(INGESTA)Datos_consumo_datadis'!A:A,"",""),"""")"),"")</f>
        <v/>
      </c>
      <c r="G17307" s="8" t="str">
        <f t="shared" si="1"/>
        <v/>
      </c>
      <c r="H17307" s="14" t="str">
        <f t="shared" si="2"/>
        <v/>
      </c>
      <c r="I17307" s="15" t="str">
        <f t="shared" si="3"/>
        <v/>
      </c>
    </row>
    <row r="17308">
      <c r="A17308" s="8" t="str">
        <f>IFERROR(__xludf.DUMMYFUNCTION("IF('(INGESTA)Datos_consumo_datadis'!A18873&lt;&gt;"""",SPLIT('(INGESTA)Datos_consumo_datadis'!A:A,"",""),"""")"),"")</f>
        <v/>
      </c>
      <c r="G17308" s="8" t="str">
        <f t="shared" si="1"/>
        <v/>
      </c>
      <c r="H17308" s="14" t="str">
        <f t="shared" si="2"/>
        <v/>
      </c>
      <c r="I17308" s="15" t="str">
        <f t="shared" si="3"/>
        <v/>
      </c>
    </row>
    <row r="17309">
      <c r="A17309" s="8" t="str">
        <f>IFERROR(__xludf.DUMMYFUNCTION("IF('(INGESTA)Datos_consumo_datadis'!A18874&lt;&gt;"""",SPLIT('(INGESTA)Datos_consumo_datadis'!A:A,"",""),"""")"),"")</f>
        <v/>
      </c>
      <c r="G17309" s="8" t="str">
        <f t="shared" si="1"/>
        <v/>
      </c>
      <c r="H17309" s="14" t="str">
        <f t="shared" si="2"/>
        <v/>
      </c>
      <c r="I17309" s="15" t="str">
        <f t="shared" si="3"/>
        <v/>
      </c>
    </row>
    <row r="17310">
      <c r="A17310" s="8" t="str">
        <f>IFERROR(__xludf.DUMMYFUNCTION("IF('(INGESTA)Datos_consumo_datadis'!A18875&lt;&gt;"""",SPLIT('(INGESTA)Datos_consumo_datadis'!A:A,"",""),"""")"),"")</f>
        <v/>
      </c>
      <c r="G17310" s="8" t="str">
        <f t="shared" si="1"/>
        <v/>
      </c>
      <c r="H17310" s="14" t="str">
        <f t="shared" si="2"/>
        <v/>
      </c>
      <c r="I17310" s="15" t="str">
        <f t="shared" si="3"/>
        <v/>
      </c>
    </row>
    <row r="17311">
      <c r="A17311" s="8" t="str">
        <f>IFERROR(__xludf.DUMMYFUNCTION("IF('(INGESTA)Datos_consumo_datadis'!A18876&lt;&gt;"""",SPLIT('(INGESTA)Datos_consumo_datadis'!A:A,"",""),"""")"),"")</f>
        <v/>
      </c>
      <c r="G17311" s="8" t="str">
        <f t="shared" si="1"/>
        <v/>
      </c>
      <c r="H17311" s="14" t="str">
        <f t="shared" si="2"/>
        <v/>
      </c>
      <c r="I17311" s="15" t="str">
        <f t="shared" si="3"/>
        <v/>
      </c>
    </row>
    <row r="17312">
      <c r="A17312" s="8" t="str">
        <f>IFERROR(__xludf.DUMMYFUNCTION("IF('(INGESTA)Datos_consumo_datadis'!A18877&lt;&gt;"""",SPLIT('(INGESTA)Datos_consumo_datadis'!A:A,"",""),"""")"),"")</f>
        <v/>
      </c>
      <c r="G17312" s="8" t="str">
        <f t="shared" si="1"/>
        <v/>
      </c>
      <c r="H17312" s="14" t="str">
        <f t="shared" si="2"/>
        <v/>
      </c>
      <c r="I17312" s="15" t="str">
        <f t="shared" si="3"/>
        <v/>
      </c>
    </row>
    <row r="17313">
      <c r="A17313" s="8" t="str">
        <f>IFERROR(__xludf.DUMMYFUNCTION("IF('(INGESTA)Datos_consumo_datadis'!A18878&lt;&gt;"""",SPLIT('(INGESTA)Datos_consumo_datadis'!A:A,"",""),"""")"),"")</f>
        <v/>
      </c>
      <c r="G17313" s="8" t="str">
        <f t="shared" si="1"/>
        <v/>
      </c>
      <c r="H17313" s="14" t="str">
        <f t="shared" si="2"/>
        <v/>
      </c>
      <c r="I17313" s="15" t="str">
        <f t="shared" si="3"/>
        <v/>
      </c>
    </row>
    <row r="17314">
      <c r="A17314" s="8" t="str">
        <f>IFERROR(__xludf.DUMMYFUNCTION("IF('(INGESTA)Datos_consumo_datadis'!A18879&lt;&gt;"""",SPLIT('(INGESTA)Datos_consumo_datadis'!A:A,"",""),"""")"),"")</f>
        <v/>
      </c>
      <c r="G17314" s="8" t="str">
        <f t="shared" si="1"/>
        <v/>
      </c>
      <c r="H17314" s="14" t="str">
        <f t="shared" si="2"/>
        <v/>
      </c>
      <c r="I17314" s="15" t="str">
        <f t="shared" si="3"/>
        <v/>
      </c>
    </row>
    <row r="17315">
      <c r="A17315" s="8" t="str">
        <f>IFERROR(__xludf.DUMMYFUNCTION("IF('(INGESTA)Datos_consumo_datadis'!A18880&lt;&gt;"""",SPLIT('(INGESTA)Datos_consumo_datadis'!A:A,"",""),"""")"),"")</f>
        <v/>
      </c>
      <c r="G17315" s="8" t="str">
        <f t="shared" si="1"/>
        <v/>
      </c>
      <c r="H17315" s="14" t="str">
        <f t="shared" si="2"/>
        <v/>
      </c>
      <c r="I17315" s="15" t="str">
        <f t="shared" si="3"/>
        <v/>
      </c>
    </row>
    <row r="17316">
      <c r="A17316" s="8" t="str">
        <f>IFERROR(__xludf.DUMMYFUNCTION("IF('(INGESTA)Datos_consumo_datadis'!A18881&lt;&gt;"""",SPLIT('(INGESTA)Datos_consumo_datadis'!A:A,"",""),"""")"),"")</f>
        <v/>
      </c>
      <c r="G17316" s="8" t="str">
        <f t="shared" si="1"/>
        <v/>
      </c>
      <c r="H17316" s="14" t="str">
        <f t="shared" si="2"/>
        <v/>
      </c>
      <c r="I17316" s="15" t="str">
        <f t="shared" si="3"/>
        <v/>
      </c>
    </row>
    <row r="17317">
      <c r="A17317" s="8" t="str">
        <f>IFERROR(__xludf.DUMMYFUNCTION("IF('(INGESTA)Datos_consumo_datadis'!A18882&lt;&gt;"""",SPLIT('(INGESTA)Datos_consumo_datadis'!A:A,"",""),"""")"),"")</f>
        <v/>
      </c>
      <c r="G17317" s="8" t="str">
        <f t="shared" si="1"/>
        <v/>
      </c>
      <c r="H17317" s="14" t="str">
        <f t="shared" si="2"/>
        <v/>
      </c>
      <c r="I17317" s="15" t="str">
        <f t="shared" si="3"/>
        <v/>
      </c>
    </row>
    <row r="17318">
      <c r="A17318" s="8" t="str">
        <f>IFERROR(__xludf.DUMMYFUNCTION("IF('(INGESTA)Datos_consumo_datadis'!A18883&lt;&gt;"""",SPLIT('(INGESTA)Datos_consumo_datadis'!A:A,"",""),"""")"),"")</f>
        <v/>
      </c>
      <c r="G17318" s="8" t="str">
        <f t="shared" si="1"/>
        <v/>
      </c>
      <c r="H17318" s="14" t="str">
        <f t="shared" si="2"/>
        <v/>
      </c>
      <c r="I17318" s="15" t="str">
        <f t="shared" si="3"/>
        <v/>
      </c>
    </row>
    <row r="17319">
      <c r="A17319" s="8" t="str">
        <f>IFERROR(__xludf.DUMMYFUNCTION("IF('(INGESTA)Datos_consumo_datadis'!A18884&lt;&gt;"""",SPLIT('(INGESTA)Datos_consumo_datadis'!A:A,"",""),"""")"),"")</f>
        <v/>
      </c>
      <c r="G17319" s="8" t="str">
        <f t="shared" si="1"/>
        <v/>
      </c>
      <c r="H17319" s="14" t="str">
        <f t="shared" si="2"/>
        <v/>
      </c>
      <c r="I17319" s="15" t="str">
        <f t="shared" si="3"/>
        <v/>
      </c>
    </row>
    <row r="17320">
      <c r="A17320" s="8" t="str">
        <f>IFERROR(__xludf.DUMMYFUNCTION("IF('(INGESTA)Datos_consumo_datadis'!A18885&lt;&gt;"""",SPLIT('(INGESTA)Datos_consumo_datadis'!A:A,"",""),"""")"),"")</f>
        <v/>
      </c>
      <c r="G17320" s="8" t="str">
        <f t="shared" si="1"/>
        <v/>
      </c>
      <c r="H17320" s="14" t="str">
        <f t="shared" si="2"/>
        <v/>
      </c>
      <c r="I17320" s="15" t="str">
        <f t="shared" si="3"/>
        <v/>
      </c>
    </row>
    <row r="17321">
      <c r="A17321" s="8" t="str">
        <f>IFERROR(__xludf.DUMMYFUNCTION("IF('(INGESTA)Datos_consumo_datadis'!A18886&lt;&gt;"""",SPLIT('(INGESTA)Datos_consumo_datadis'!A:A,"",""),"""")"),"")</f>
        <v/>
      </c>
      <c r="G17321" s="8" t="str">
        <f t="shared" si="1"/>
        <v/>
      </c>
      <c r="H17321" s="14" t="str">
        <f t="shared" si="2"/>
        <v/>
      </c>
      <c r="I17321" s="15" t="str">
        <f t="shared" si="3"/>
        <v/>
      </c>
    </row>
    <row r="17322">
      <c r="A17322" s="8" t="str">
        <f>IFERROR(__xludf.DUMMYFUNCTION("IF('(INGESTA)Datos_consumo_datadis'!A18887&lt;&gt;"""",SPLIT('(INGESTA)Datos_consumo_datadis'!A:A,"",""),"""")"),"")</f>
        <v/>
      </c>
      <c r="G17322" s="8" t="str">
        <f t="shared" si="1"/>
        <v/>
      </c>
      <c r="H17322" s="14" t="str">
        <f t="shared" si="2"/>
        <v/>
      </c>
      <c r="I17322" s="15" t="str">
        <f t="shared" si="3"/>
        <v/>
      </c>
    </row>
    <row r="17323">
      <c r="A17323" s="8" t="str">
        <f>IFERROR(__xludf.DUMMYFUNCTION("IF('(INGESTA)Datos_consumo_datadis'!A18888&lt;&gt;"""",SPLIT('(INGESTA)Datos_consumo_datadis'!A:A,"",""),"""")"),"")</f>
        <v/>
      </c>
      <c r="G17323" s="8" t="str">
        <f t="shared" si="1"/>
        <v/>
      </c>
      <c r="H17323" s="14" t="str">
        <f t="shared" si="2"/>
        <v/>
      </c>
      <c r="I17323" s="15" t="str">
        <f t="shared" si="3"/>
        <v/>
      </c>
    </row>
    <row r="17324">
      <c r="A17324" s="8" t="str">
        <f>IFERROR(__xludf.DUMMYFUNCTION("IF('(INGESTA)Datos_consumo_datadis'!A18889&lt;&gt;"""",SPLIT('(INGESTA)Datos_consumo_datadis'!A:A,"",""),"""")"),"")</f>
        <v/>
      </c>
      <c r="G17324" s="8" t="str">
        <f t="shared" si="1"/>
        <v/>
      </c>
      <c r="H17324" s="14" t="str">
        <f t="shared" si="2"/>
        <v/>
      </c>
      <c r="I17324" s="15" t="str">
        <f t="shared" si="3"/>
        <v/>
      </c>
    </row>
    <row r="17325">
      <c r="A17325" s="8" t="str">
        <f>IFERROR(__xludf.DUMMYFUNCTION("IF('(INGESTA)Datos_consumo_datadis'!A18890&lt;&gt;"""",SPLIT('(INGESTA)Datos_consumo_datadis'!A:A,"",""),"""")"),"")</f>
        <v/>
      </c>
      <c r="G17325" s="8" t="str">
        <f t="shared" si="1"/>
        <v/>
      </c>
      <c r="H17325" s="14" t="str">
        <f t="shared" si="2"/>
        <v/>
      </c>
      <c r="I17325" s="15" t="str">
        <f t="shared" si="3"/>
        <v/>
      </c>
    </row>
    <row r="17326">
      <c r="A17326" s="8" t="str">
        <f>IFERROR(__xludf.DUMMYFUNCTION("IF('(INGESTA)Datos_consumo_datadis'!A18891&lt;&gt;"""",SPLIT('(INGESTA)Datos_consumo_datadis'!A:A,"",""),"""")"),"")</f>
        <v/>
      </c>
      <c r="G17326" s="8" t="str">
        <f t="shared" si="1"/>
        <v/>
      </c>
      <c r="H17326" s="14" t="str">
        <f t="shared" si="2"/>
        <v/>
      </c>
      <c r="I17326" s="15" t="str">
        <f t="shared" si="3"/>
        <v/>
      </c>
    </row>
    <row r="17327">
      <c r="A17327" s="8" t="str">
        <f>IFERROR(__xludf.DUMMYFUNCTION("IF('(INGESTA)Datos_consumo_datadis'!A18892&lt;&gt;"""",SPLIT('(INGESTA)Datos_consumo_datadis'!A:A,"",""),"""")"),"")</f>
        <v/>
      </c>
      <c r="G17327" s="8" t="str">
        <f t="shared" si="1"/>
        <v/>
      </c>
      <c r="H17327" s="14" t="str">
        <f t="shared" si="2"/>
        <v/>
      </c>
      <c r="I17327" s="15" t="str">
        <f t="shared" si="3"/>
        <v/>
      </c>
    </row>
    <row r="17328">
      <c r="A17328" s="8" t="str">
        <f>IFERROR(__xludf.DUMMYFUNCTION("IF('(INGESTA)Datos_consumo_datadis'!A18893&lt;&gt;"""",SPLIT('(INGESTA)Datos_consumo_datadis'!A:A,"",""),"""")"),"")</f>
        <v/>
      </c>
      <c r="G17328" s="8" t="str">
        <f t="shared" si="1"/>
        <v/>
      </c>
      <c r="H17328" s="14" t="str">
        <f t="shared" si="2"/>
        <v/>
      </c>
      <c r="I17328" s="15" t="str">
        <f t="shared" si="3"/>
        <v/>
      </c>
    </row>
    <row r="17329">
      <c r="A17329" s="8" t="str">
        <f>IFERROR(__xludf.DUMMYFUNCTION("IF('(INGESTA)Datos_consumo_datadis'!A18894&lt;&gt;"""",SPLIT('(INGESTA)Datos_consumo_datadis'!A:A,"",""),"""")"),"")</f>
        <v/>
      </c>
      <c r="G17329" s="8" t="str">
        <f t="shared" si="1"/>
        <v/>
      </c>
      <c r="H17329" s="14" t="str">
        <f t="shared" si="2"/>
        <v/>
      </c>
      <c r="I17329" s="15" t="str">
        <f t="shared" si="3"/>
        <v/>
      </c>
    </row>
    <row r="17330">
      <c r="A17330" s="8" t="str">
        <f>IFERROR(__xludf.DUMMYFUNCTION("IF('(INGESTA)Datos_consumo_datadis'!A18895&lt;&gt;"""",SPLIT('(INGESTA)Datos_consumo_datadis'!A:A,"",""),"""")"),"")</f>
        <v/>
      </c>
      <c r="G17330" s="8" t="str">
        <f t="shared" si="1"/>
        <v/>
      </c>
      <c r="H17330" s="14" t="str">
        <f t="shared" si="2"/>
        <v/>
      </c>
      <c r="I17330" s="15" t="str">
        <f t="shared" si="3"/>
        <v/>
      </c>
    </row>
    <row r="17331">
      <c r="A17331" s="8" t="str">
        <f>IFERROR(__xludf.DUMMYFUNCTION("IF('(INGESTA)Datos_consumo_datadis'!A18896&lt;&gt;"""",SPLIT('(INGESTA)Datos_consumo_datadis'!A:A,"",""),"""")"),"")</f>
        <v/>
      </c>
      <c r="G17331" s="8" t="str">
        <f t="shared" si="1"/>
        <v/>
      </c>
      <c r="H17331" s="14" t="str">
        <f t="shared" si="2"/>
        <v/>
      </c>
      <c r="I17331" s="15" t="str">
        <f t="shared" si="3"/>
        <v/>
      </c>
    </row>
    <row r="17332">
      <c r="A17332" s="8" t="str">
        <f>IFERROR(__xludf.DUMMYFUNCTION("IF('(INGESTA)Datos_consumo_datadis'!A18897&lt;&gt;"""",SPLIT('(INGESTA)Datos_consumo_datadis'!A:A,"",""),"""")"),"")</f>
        <v/>
      </c>
      <c r="G17332" s="8" t="str">
        <f t="shared" si="1"/>
        <v/>
      </c>
      <c r="H17332" s="14" t="str">
        <f t="shared" si="2"/>
        <v/>
      </c>
      <c r="I17332" s="15" t="str">
        <f t="shared" si="3"/>
        <v/>
      </c>
    </row>
    <row r="17333">
      <c r="A17333" s="8" t="str">
        <f>IFERROR(__xludf.DUMMYFUNCTION("IF('(INGESTA)Datos_consumo_datadis'!A18898&lt;&gt;"""",SPLIT('(INGESTA)Datos_consumo_datadis'!A:A,"",""),"""")"),"")</f>
        <v/>
      </c>
      <c r="G17333" s="8" t="str">
        <f t="shared" si="1"/>
        <v/>
      </c>
      <c r="H17333" s="14" t="str">
        <f t="shared" si="2"/>
        <v/>
      </c>
      <c r="I17333" s="15" t="str">
        <f t="shared" si="3"/>
        <v/>
      </c>
    </row>
    <row r="17334">
      <c r="A17334" s="8" t="str">
        <f>IFERROR(__xludf.DUMMYFUNCTION("IF('(INGESTA)Datos_consumo_datadis'!A18899&lt;&gt;"""",SPLIT('(INGESTA)Datos_consumo_datadis'!A:A,"",""),"""")"),"")</f>
        <v/>
      </c>
      <c r="G17334" s="8" t="str">
        <f t="shared" si="1"/>
        <v/>
      </c>
      <c r="H17334" s="14" t="str">
        <f t="shared" si="2"/>
        <v/>
      </c>
      <c r="I17334" s="15" t="str">
        <f t="shared" si="3"/>
        <v/>
      </c>
    </row>
    <row r="17335">
      <c r="A17335" s="8" t="str">
        <f>IFERROR(__xludf.DUMMYFUNCTION("IF('(INGESTA)Datos_consumo_datadis'!A18900&lt;&gt;"""",SPLIT('(INGESTA)Datos_consumo_datadis'!A:A,"",""),"""")"),"")</f>
        <v/>
      </c>
      <c r="G17335" s="8" t="str">
        <f t="shared" si="1"/>
        <v/>
      </c>
      <c r="H17335" s="14" t="str">
        <f t="shared" si="2"/>
        <v/>
      </c>
      <c r="I17335" s="15" t="str">
        <f t="shared" si="3"/>
        <v/>
      </c>
    </row>
    <row r="17336">
      <c r="A17336" s="8" t="str">
        <f>IFERROR(__xludf.DUMMYFUNCTION("IF('(INGESTA)Datos_consumo_datadis'!A18901&lt;&gt;"""",SPLIT('(INGESTA)Datos_consumo_datadis'!A:A,"",""),"""")"),"")</f>
        <v/>
      </c>
      <c r="G17336" s="8" t="str">
        <f t="shared" si="1"/>
        <v/>
      </c>
      <c r="H17336" s="14" t="str">
        <f t="shared" si="2"/>
        <v/>
      </c>
      <c r="I17336" s="15" t="str">
        <f t="shared" si="3"/>
        <v/>
      </c>
    </row>
    <row r="17337">
      <c r="A17337" s="8" t="str">
        <f>IFERROR(__xludf.DUMMYFUNCTION("IF('(INGESTA)Datos_consumo_datadis'!A18902&lt;&gt;"""",SPLIT('(INGESTA)Datos_consumo_datadis'!A:A,"",""),"""")"),"")</f>
        <v/>
      </c>
      <c r="G17337" s="8" t="str">
        <f t="shared" si="1"/>
        <v/>
      </c>
      <c r="H17337" s="14" t="str">
        <f t="shared" si="2"/>
        <v/>
      </c>
      <c r="I17337" s="15" t="str">
        <f t="shared" si="3"/>
        <v/>
      </c>
    </row>
    <row r="17338">
      <c r="A17338" s="8" t="str">
        <f>IFERROR(__xludf.DUMMYFUNCTION("IF('(INGESTA)Datos_consumo_datadis'!A18903&lt;&gt;"""",SPLIT('(INGESTA)Datos_consumo_datadis'!A:A,"",""),"""")"),"")</f>
        <v/>
      </c>
      <c r="G17338" s="8" t="str">
        <f t="shared" si="1"/>
        <v/>
      </c>
      <c r="H17338" s="14" t="str">
        <f t="shared" si="2"/>
        <v/>
      </c>
      <c r="I17338" s="15" t="str">
        <f t="shared" si="3"/>
        <v/>
      </c>
    </row>
    <row r="17339">
      <c r="A17339" s="8" t="str">
        <f>IFERROR(__xludf.DUMMYFUNCTION("IF('(INGESTA)Datos_consumo_datadis'!A18904&lt;&gt;"""",SPLIT('(INGESTA)Datos_consumo_datadis'!A:A,"",""),"""")"),"")</f>
        <v/>
      </c>
      <c r="G17339" s="8" t="str">
        <f t="shared" si="1"/>
        <v/>
      </c>
      <c r="H17339" s="14" t="str">
        <f t="shared" si="2"/>
        <v/>
      </c>
      <c r="I17339" s="15" t="str">
        <f t="shared" si="3"/>
        <v/>
      </c>
    </row>
    <row r="17340">
      <c r="A17340" s="8" t="str">
        <f>IFERROR(__xludf.DUMMYFUNCTION("IF('(INGESTA)Datos_consumo_datadis'!A18905&lt;&gt;"""",SPLIT('(INGESTA)Datos_consumo_datadis'!A:A,"",""),"""")"),"")</f>
        <v/>
      </c>
      <c r="G17340" s="8" t="str">
        <f t="shared" si="1"/>
        <v/>
      </c>
      <c r="H17340" s="14" t="str">
        <f t="shared" si="2"/>
        <v/>
      </c>
      <c r="I17340" s="15" t="str">
        <f t="shared" si="3"/>
        <v/>
      </c>
    </row>
    <row r="17341">
      <c r="A17341" s="8" t="str">
        <f>IFERROR(__xludf.DUMMYFUNCTION("IF('(INGESTA)Datos_consumo_datadis'!A18906&lt;&gt;"""",SPLIT('(INGESTA)Datos_consumo_datadis'!A:A,"",""),"""")"),"")</f>
        <v/>
      </c>
      <c r="G17341" s="8" t="str">
        <f t="shared" si="1"/>
        <v/>
      </c>
      <c r="H17341" s="14" t="str">
        <f t="shared" si="2"/>
        <v/>
      </c>
      <c r="I17341" s="15" t="str">
        <f t="shared" si="3"/>
        <v/>
      </c>
    </row>
    <row r="17342">
      <c r="A17342" s="8" t="str">
        <f>IFERROR(__xludf.DUMMYFUNCTION("IF('(INGESTA)Datos_consumo_datadis'!A18907&lt;&gt;"""",SPLIT('(INGESTA)Datos_consumo_datadis'!A:A,"",""),"""")"),"")</f>
        <v/>
      </c>
      <c r="G17342" s="8" t="str">
        <f t="shared" si="1"/>
        <v/>
      </c>
      <c r="H17342" s="14" t="str">
        <f t="shared" si="2"/>
        <v/>
      </c>
      <c r="I17342" s="15" t="str">
        <f t="shared" si="3"/>
        <v/>
      </c>
    </row>
    <row r="17343">
      <c r="A17343" s="8" t="str">
        <f>IFERROR(__xludf.DUMMYFUNCTION("IF('(INGESTA)Datos_consumo_datadis'!A18908&lt;&gt;"""",SPLIT('(INGESTA)Datos_consumo_datadis'!A:A,"",""),"""")"),"")</f>
        <v/>
      </c>
      <c r="G17343" s="8" t="str">
        <f t="shared" si="1"/>
        <v/>
      </c>
      <c r="H17343" s="14" t="str">
        <f t="shared" si="2"/>
        <v/>
      </c>
      <c r="I17343" s="15" t="str">
        <f t="shared" si="3"/>
        <v/>
      </c>
    </row>
    <row r="17344">
      <c r="A17344" s="8" t="str">
        <f>IFERROR(__xludf.DUMMYFUNCTION("IF('(INGESTA)Datos_consumo_datadis'!A18909&lt;&gt;"""",SPLIT('(INGESTA)Datos_consumo_datadis'!A:A,"",""),"""")"),"")</f>
        <v/>
      </c>
      <c r="G17344" s="8" t="str">
        <f t="shared" si="1"/>
        <v/>
      </c>
      <c r="H17344" s="14" t="str">
        <f t="shared" si="2"/>
        <v/>
      </c>
      <c r="I17344" s="15" t="str">
        <f t="shared" si="3"/>
        <v/>
      </c>
    </row>
    <row r="17345">
      <c r="A17345" s="8" t="str">
        <f>IFERROR(__xludf.DUMMYFUNCTION("IF('(INGESTA)Datos_consumo_datadis'!A18910&lt;&gt;"""",SPLIT('(INGESTA)Datos_consumo_datadis'!A:A,"",""),"""")"),"")</f>
        <v/>
      </c>
      <c r="G17345" s="8" t="str">
        <f t="shared" si="1"/>
        <v/>
      </c>
      <c r="H17345" s="14" t="str">
        <f t="shared" si="2"/>
        <v/>
      </c>
      <c r="I17345" s="15" t="str">
        <f t="shared" si="3"/>
        <v/>
      </c>
    </row>
    <row r="17346">
      <c r="A17346" s="8" t="str">
        <f>IFERROR(__xludf.DUMMYFUNCTION("IF('(INGESTA)Datos_consumo_datadis'!A18911&lt;&gt;"""",SPLIT('(INGESTA)Datos_consumo_datadis'!A:A,"",""),"""")"),"")</f>
        <v/>
      </c>
      <c r="G17346" s="8" t="str">
        <f t="shared" si="1"/>
        <v/>
      </c>
      <c r="H17346" s="14" t="str">
        <f t="shared" si="2"/>
        <v/>
      </c>
      <c r="I17346" s="15" t="str">
        <f t="shared" si="3"/>
        <v/>
      </c>
    </row>
    <row r="17347">
      <c r="A17347" s="8" t="str">
        <f>IFERROR(__xludf.DUMMYFUNCTION("IF('(INGESTA)Datos_consumo_datadis'!A18912&lt;&gt;"""",SPLIT('(INGESTA)Datos_consumo_datadis'!A:A,"",""),"""")"),"")</f>
        <v/>
      </c>
      <c r="G17347" s="8" t="str">
        <f t="shared" si="1"/>
        <v/>
      </c>
      <c r="H17347" s="14" t="str">
        <f t="shared" si="2"/>
        <v/>
      </c>
      <c r="I17347" s="15" t="str">
        <f t="shared" si="3"/>
        <v/>
      </c>
    </row>
    <row r="17348">
      <c r="A17348" s="8" t="str">
        <f>IFERROR(__xludf.DUMMYFUNCTION("IF('(INGESTA)Datos_consumo_datadis'!A18913&lt;&gt;"""",SPLIT('(INGESTA)Datos_consumo_datadis'!A:A,"",""),"""")"),"")</f>
        <v/>
      </c>
      <c r="G17348" s="8" t="str">
        <f t="shared" si="1"/>
        <v/>
      </c>
      <c r="H17348" s="14" t="str">
        <f t="shared" si="2"/>
        <v/>
      </c>
      <c r="I17348" s="15" t="str">
        <f t="shared" si="3"/>
        <v/>
      </c>
    </row>
    <row r="17349">
      <c r="A17349" s="8" t="str">
        <f>IFERROR(__xludf.DUMMYFUNCTION("IF('(INGESTA)Datos_consumo_datadis'!A18914&lt;&gt;"""",SPLIT('(INGESTA)Datos_consumo_datadis'!A:A,"",""),"""")"),"")</f>
        <v/>
      </c>
      <c r="G17349" s="8" t="str">
        <f t="shared" si="1"/>
        <v/>
      </c>
      <c r="H17349" s="14" t="str">
        <f t="shared" si="2"/>
        <v/>
      </c>
      <c r="I17349" s="15" t="str">
        <f t="shared" si="3"/>
        <v/>
      </c>
    </row>
    <row r="17350">
      <c r="A17350" s="8" t="str">
        <f>IFERROR(__xludf.DUMMYFUNCTION("IF('(INGESTA)Datos_consumo_datadis'!A18915&lt;&gt;"""",SPLIT('(INGESTA)Datos_consumo_datadis'!A:A,"",""),"""")"),"")</f>
        <v/>
      </c>
      <c r="G17350" s="8" t="str">
        <f t="shared" si="1"/>
        <v/>
      </c>
      <c r="H17350" s="14" t="str">
        <f t="shared" si="2"/>
        <v/>
      </c>
      <c r="I17350" s="15" t="str">
        <f t="shared" si="3"/>
        <v/>
      </c>
    </row>
    <row r="17351">
      <c r="A17351" s="8" t="str">
        <f>IFERROR(__xludf.DUMMYFUNCTION("IF('(INGESTA)Datos_consumo_datadis'!A18916&lt;&gt;"""",SPLIT('(INGESTA)Datos_consumo_datadis'!A:A,"",""),"""")"),"")</f>
        <v/>
      </c>
      <c r="G17351" s="8" t="str">
        <f t="shared" si="1"/>
        <v/>
      </c>
      <c r="H17351" s="14" t="str">
        <f t="shared" si="2"/>
        <v/>
      </c>
      <c r="I17351" s="15" t="str">
        <f t="shared" si="3"/>
        <v/>
      </c>
    </row>
    <row r="17352">
      <c r="A17352" s="8" t="str">
        <f>IFERROR(__xludf.DUMMYFUNCTION("IF('(INGESTA)Datos_consumo_datadis'!A18917&lt;&gt;"""",SPLIT('(INGESTA)Datos_consumo_datadis'!A:A,"",""),"""")"),"")</f>
        <v/>
      </c>
      <c r="G17352" s="8" t="str">
        <f t="shared" si="1"/>
        <v/>
      </c>
      <c r="H17352" s="14" t="str">
        <f t="shared" si="2"/>
        <v/>
      </c>
      <c r="I17352" s="15" t="str">
        <f t="shared" si="3"/>
        <v/>
      </c>
    </row>
    <row r="17353">
      <c r="A17353" s="8" t="str">
        <f>IFERROR(__xludf.DUMMYFUNCTION("IF('(INGESTA)Datos_consumo_datadis'!A18918&lt;&gt;"""",SPLIT('(INGESTA)Datos_consumo_datadis'!A:A,"",""),"""")"),"")</f>
        <v/>
      </c>
      <c r="G17353" s="8" t="str">
        <f t="shared" si="1"/>
        <v/>
      </c>
      <c r="H17353" s="14" t="str">
        <f t="shared" si="2"/>
        <v/>
      </c>
      <c r="I17353" s="15" t="str">
        <f t="shared" si="3"/>
        <v/>
      </c>
    </row>
    <row r="17354">
      <c r="A17354" s="8" t="str">
        <f>IFERROR(__xludf.DUMMYFUNCTION("IF('(INGESTA)Datos_consumo_datadis'!A18919&lt;&gt;"""",SPLIT('(INGESTA)Datos_consumo_datadis'!A:A,"",""),"""")"),"")</f>
        <v/>
      </c>
      <c r="G17354" s="8" t="str">
        <f t="shared" si="1"/>
        <v/>
      </c>
      <c r="H17354" s="14" t="str">
        <f t="shared" si="2"/>
        <v/>
      </c>
      <c r="I17354" s="15" t="str">
        <f t="shared" si="3"/>
        <v/>
      </c>
    </row>
    <row r="17355">
      <c r="A17355" s="8" t="str">
        <f>IFERROR(__xludf.DUMMYFUNCTION("IF('(INGESTA)Datos_consumo_datadis'!A18920&lt;&gt;"""",SPLIT('(INGESTA)Datos_consumo_datadis'!A:A,"",""),"""")"),"")</f>
        <v/>
      </c>
      <c r="G17355" s="8" t="str">
        <f t="shared" si="1"/>
        <v/>
      </c>
      <c r="H17355" s="14" t="str">
        <f t="shared" si="2"/>
        <v/>
      </c>
      <c r="I17355" s="15" t="str">
        <f t="shared" si="3"/>
        <v/>
      </c>
    </row>
    <row r="17356">
      <c r="A17356" s="8" t="str">
        <f>IFERROR(__xludf.DUMMYFUNCTION("IF('(INGESTA)Datos_consumo_datadis'!A18921&lt;&gt;"""",SPLIT('(INGESTA)Datos_consumo_datadis'!A:A,"",""),"""")"),"")</f>
        <v/>
      </c>
      <c r="G17356" s="8" t="str">
        <f t="shared" si="1"/>
        <v/>
      </c>
      <c r="H17356" s="14" t="str">
        <f t="shared" si="2"/>
        <v/>
      </c>
      <c r="I17356" s="15" t="str">
        <f t="shared" si="3"/>
        <v/>
      </c>
    </row>
    <row r="17357">
      <c r="A17357" s="8" t="str">
        <f>IFERROR(__xludf.DUMMYFUNCTION("IF('(INGESTA)Datos_consumo_datadis'!A18922&lt;&gt;"""",SPLIT('(INGESTA)Datos_consumo_datadis'!A:A,"",""),"""")"),"")</f>
        <v/>
      </c>
      <c r="G17357" s="8" t="str">
        <f t="shared" si="1"/>
        <v/>
      </c>
      <c r="H17357" s="14" t="str">
        <f t="shared" si="2"/>
        <v/>
      </c>
      <c r="I17357" s="15" t="str">
        <f t="shared" si="3"/>
        <v/>
      </c>
    </row>
    <row r="17358">
      <c r="A17358" s="8" t="str">
        <f>IFERROR(__xludf.DUMMYFUNCTION("IF('(INGESTA)Datos_consumo_datadis'!A18923&lt;&gt;"""",SPLIT('(INGESTA)Datos_consumo_datadis'!A:A,"",""),"""")"),"")</f>
        <v/>
      </c>
      <c r="G17358" s="8" t="str">
        <f t="shared" si="1"/>
        <v/>
      </c>
      <c r="H17358" s="14" t="str">
        <f t="shared" si="2"/>
        <v/>
      </c>
      <c r="I17358" s="15" t="str">
        <f t="shared" si="3"/>
        <v/>
      </c>
    </row>
    <row r="17359">
      <c r="A17359" s="8" t="str">
        <f>IFERROR(__xludf.DUMMYFUNCTION("IF('(INGESTA)Datos_consumo_datadis'!A18924&lt;&gt;"""",SPLIT('(INGESTA)Datos_consumo_datadis'!A:A,"",""),"""")"),"")</f>
        <v/>
      </c>
      <c r="G17359" s="8" t="str">
        <f t="shared" si="1"/>
        <v/>
      </c>
      <c r="H17359" s="14" t="str">
        <f t="shared" si="2"/>
        <v/>
      </c>
      <c r="I17359" s="15" t="str">
        <f t="shared" si="3"/>
        <v/>
      </c>
    </row>
    <row r="17360">
      <c r="A17360" s="8" t="str">
        <f>IFERROR(__xludf.DUMMYFUNCTION("IF('(INGESTA)Datos_consumo_datadis'!A18925&lt;&gt;"""",SPLIT('(INGESTA)Datos_consumo_datadis'!A:A,"",""),"""")"),"")</f>
        <v/>
      </c>
      <c r="G17360" s="8" t="str">
        <f t="shared" si="1"/>
        <v/>
      </c>
      <c r="H17360" s="14" t="str">
        <f t="shared" si="2"/>
        <v/>
      </c>
      <c r="I17360" s="15" t="str">
        <f t="shared" si="3"/>
        <v/>
      </c>
    </row>
    <row r="17361">
      <c r="A17361" s="8" t="str">
        <f>IFERROR(__xludf.DUMMYFUNCTION("IF('(INGESTA)Datos_consumo_datadis'!A18926&lt;&gt;"""",SPLIT('(INGESTA)Datos_consumo_datadis'!A:A,"",""),"""")"),"")</f>
        <v/>
      </c>
      <c r="G17361" s="8" t="str">
        <f t="shared" si="1"/>
        <v/>
      </c>
      <c r="H17361" s="14" t="str">
        <f t="shared" si="2"/>
        <v/>
      </c>
      <c r="I17361" s="15" t="str">
        <f t="shared" si="3"/>
        <v/>
      </c>
    </row>
    <row r="17362">
      <c r="A17362" s="8" t="str">
        <f>IFERROR(__xludf.DUMMYFUNCTION("IF('(INGESTA)Datos_consumo_datadis'!A18927&lt;&gt;"""",SPLIT('(INGESTA)Datos_consumo_datadis'!A:A,"",""),"""")"),"")</f>
        <v/>
      </c>
      <c r="G17362" s="8" t="str">
        <f t="shared" si="1"/>
        <v/>
      </c>
      <c r="H17362" s="14" t="str">
        <f t="shared" si="2"/>
        <v/>
      </c>
      <c r="I17362" s="15" t="str">
        <f t="shared" si="3"/>
        <v/>
      </c>
    </row>
    <row r="17363">
      <c r="A17363" s="8" t="str">
        <f>IFERROR(__xludf.DUMMYFUNCTION("IF('(INGESTA)Datos_consumo_datadis'!A18928&lt;&gt;"""",SPLIT('(INGESTA)Datos_consumo_datadis'!A:A,"",""),"""")"),"")</f>
        <v/>
      </c>
      <c r="G17363" s="8" t="str">
        <f t="shared" si="1"/>
        <v/>
      </c>
      <c r="H17363" s="14" t="str">
        <f t="shared" si="2"/>
        <v/>
      </c>
      <c r="I17363" s="15" t="str">
        <f t="shared" si="3"/>
        <v/>
      </c>
    </row>
    <row r="17364">
      <c r="A17364" s="8" t="str">
        <f>IFERROR(__xludf.DUMMYFUNCTION("IF('(INGESTA)Datos_consumo_datadis'!A18929&lt;&gt;"""",SPLIT('(INGESTA)Datos_consumo_datadis'!A:A,"",""),"""")"),"")</f>
        <v/>
      </c>
      <c r="G17364" s="8" t="str">
        <f t="shared" si="1"/>
        <v/>
      </c>
      <c r="H17364" s="14" t="str">
        <f t="shared" si="2"/>
        <v/>
      </c>
      <c r="I17364" s="15" t="str">
        <f t="shared" si="3"/>
        <v/>
      </c>
    </row>
    <row r="17365">
      <c r="A17365" s="8" t="str">
        <f>IFERROR(__xludf.DUMMYFUNCTION("IF('(INGESTA)Datos_consumo_datadis'!A18930&lt;&gt;"""",SPLIT('(INGESTA)Datos_consumo_datadis'!A:A,"",""),"""")"),"")</f>
        <v/>
      </c>
      <c r="G17365" s="8" t="str">
        <f t="shared" si="1"/>
        <v/>
      </c>
      <c r="H17365" s="14" t="str">
        <f t="shared" si="2"/>
        <v/>
      </c>
      <c r="I17365" s="15" t="str">
        <f t="shared" si="3"/>
        <v/>
      </c>
    </row>
    <row r="17366">
      <c r="A17366" s="8" t="str">
        <f>IFERROR(__xludf.DUMMYFUNCTION("IF('(INGESTA)Datos_consumo_datadis'!A18931&lt;&gt;"""",SPLIT('(INGESTA)Datos_consumo_datadis'!A:A,"",""),"""")"),"")</f>
        <v/>
      </c>
      <c r="G17366" s="8" t="str">
        <f t="shared" si="1"/>
        <v/>
      </c>
      <c r="H17366" s="14" t="str">
        <f t="shared" si="2"/>
        <v/>
      </c>
      <c r="I17366" s="15" t="str">
        <f t="shared" si="3"/>
        <v/>
      </c>
    </row>
    <row r="17367">
      <c r="A17367" s="8" t="str">
        <f>IFERROR(__xludf.DUMMYFUNCTION("IF('(INGESTA)Datos_consumo_datadis'!A18932&lt;&gt;"""",SPLIT('(INGESTA)Datos_consumo_datadis'!A:A,"",""),"""")"),"")</f>
        <v/>
      </c>
      <c r="G17367" s="8" t="str">
        <f t="shared" si="1"/>
        <v/>
      </c>
      <c r="H17367" s="14" t="str">
        <f t="shared" si="2"/>
        <v/>
      </c>
      <c r="I17367" s="15" t="str">
        <f t="shared" si="3"/>
        <v/>
      </c>
    </row>
    <row r="17368">
      <c r="A17368" s="8" t="str">
        <f>IFERROR(__xludf.DUMMYFUNCTION("IF('(INGESTA)Datos_consumo_datadis'!A18933&lt;&gt;"""",SPLIT('(INGESTA)Datos_consumo_datadis'!A:A,"",""),"""")"),"")</f>
        <v/>
      </c>
      <c r="G17368" s="8" t="str">
        <f t="shared" si="1"/>
        <v/>
      </c>
      <c r="H17368" s="14" t="str">
        <f t="shared" si="2"/>
        <v/>
      </c>
      <c r="I17368" s="15" t="str">
        <f t="shared" si="3"/>
        <v/>
      </c>
    </row>
    <row r="17369">
      <c r="A17369" s="8" t="str">
        <f>IFERROR(__xludf.DUMMYFUNCTION("IF('(INGESTA)Datos_consumo_datadis'!A18934&lt;&gt;"""",SPLIT('(INGESTA)Datos_consumo_datadis'!A:A,"",""),"""")"),"")</f>
        <v/>
      </c>
      <c r="G17369" s="8" t="str">
        <f t="shared" si="1"/>
        <v/>
      </c>
      <c r="H17369" s="14" t="str">
        <f t="shared" si="2"/>
        <v/>
      </c>
      <c r="I17369" s="15" t="str">
        <f t="shared" si="3"/>
        <v/>
      </c>
    </row>
    <row r="17370">
      <c r="A17370" s="8" t="str">
        <f>IFERROR(__xludf.DUMMYFUNCTION("IF('(INGESTA)Datos_consumo_datadis'!A18935&lt;&gt;"""",SPLIT('(INGESTA)Datos_consumo_datadis'!A:A,"",""),"""")"),"")</f>
        <v/>
      </c>
      <c r="G17370" s="8" t="str">
        <f t="shared" si="1"/>
        <v/>
      </c>
      <c r="H17370" s="14" t="str">
        <f t="shared" si="2"/>
        <v/>
      </c>
      <c r="I17370" s="15" t="str">
        <f t="shared" si="3"/>
        <v/>
      </c>
    </row>
    <row r="17371">
      <c r="A17371" s="8" t="str">
        <f>IFERROR(__xludf.DUMMYFUNCTION("IF('(INGESTA)Datos_consumo_datadis'!A18936&lt;&gt;"""",SPLIT('(INGESTA)Datos_consumo_datadis'!A:A,"",""),"""")"),"")</f>
        <v/>
      </c>
      <c r="G17371" s="8" t="str">
        <f t="shared" si="1"/>
        <v/>
      </c>
      <c r="H17371" s="14" t="str">
        <f t="shared" si="2"/>
        <v/>
      </c>
      <c r="I17371" s="15" t="str">
        <f t="shared" si="3"/>
        <v/>
      </c>
    </row>
    <row r="17372">
      <c r="A17372" s="8" t="str">
        <f>IFERROR(__xludf.DUMMYFUNCTION("IF('(INGESTA)Datos_consumo_datadis'!A18937&lt;&gt;"""",SPLIT('(INGESTA)Datos_consumo_datadis'!A:A,"",""),"""")"),"")</f>
        <v/>
      </c>
      <c r="G17372" s="8" t="str">
        <f t="shared" si="1"/>
        <v/>
      </c>
      <c r="H17372" s="14" t="str">
        <f t="shared" si="2"/>
        <v/>
      </c>
      <c r="I17372" s="15" t="str">
        <f t="shared" si="3"/>
        <v/>
      </c>
    </row>
    <row r="17373">
      <c r="A17373" s="8" t="str">
        <f>IFERROR(__xludf.DUMMYFUNCTION("IF('(INGESTA)Datos_consumo_datadis'!A18938&lt;&gt;"""",SPLIT('(INGESTA)Datos_consumo_datadis'!A:A,"",""),"""")"),"")</f>
        <v/>
      </c>
      <c r="G17373" s="8" t="str">
        <f t="shared" si="1"/>
        <v/>
      </c>
      <c r="H17373" s="14" t="str">
        <f t="shared" si="2"/>
        <v/>
      </c>
      <c r="I17373" s="15" t="str">
        <f t="shared" si="3"/>
        <v/>
      </c>
    </row>
    <row r="17374">
      <c r="A17374" s="8" t="str">
        <f>IFERROR(__xludf.DUMMYFUNCTION("IF('(INGESTA)Datos_consumo_datadis'!A18939&lt;&gt;"""",SPLIT('(INGESTA)Datos_consumo_datadis'!A:A,"",""),"""")"),"")</f>
        <v/>
      </c>
      <c r="G17374" s="8" t="str">
        <f t="shared" si="1"/>
        <v/>
      </c>
      <c r="H17374" s="14" t="str">
        <f t="shared" si="2"/>
        <v/>
      </c>
      <c r="I17374" s="15" t="str">
        <f t="shared" si="3"/>
        <v/>
      </c>
    </row>
    <row r="17375">
      <c r="A17375" s="8" t="str">
        <f>IFERROR(__xludf.DUMMYFUNCTION("IF('(INGESTA)Datos_consumo_datadis'!A18940&lt;&gt;"""",SPLIT('(INGESTA)Datos_consumo_datadis'!A:A,"",""),"""")"),"")</f>
        <v/>
      </c>
      <c r="G17375" s="8" t="str">
        <f t="shared" si="1"/>
        <v/>
      </c>
      <c r="H17375" s="14" t="str">
        <f t="shared" si="2"/>
        <v/>
      </c>
      <c r="I17375" s="15" t="str">
        <f t="shared" si="3"/>
        <v/>
      </c>
    </row>
    <row r="17376">
      <c r="A17376" s="8" t="str">
        <f>IFERROR(__xludf.DUMMYFUNCTION("IF('(INGESTA)Datos_consumo_datadis'!A18941&lt;&gt;"""",SPLIT('(INGESTA)Datos_consumo_datadis'!A:A,"",""),"""")"),"")</f>
        <v/>
      </c>
      <c r="G17376" s="8" t="str">
        <f t="shared" si="1"/>
        <v/>
      </c>
      <c r="H17376" s="14" t="str">
        <f t="shared" si="2"/>
        <v/>
      </c>
      <c r="I17376" s="15" t="str">
        <f t="shared" si="3"/>
        <v/>
      </c>
    </row>
    <row r="17377">
      <c r="A17377" s="8" t="str">
        <f>IFERROR(__xludf.DUMMYFUNCTION("IF('(INGESTA)Datos_consumo_datadis'!A18942&lt;&gt;"""",SPLIT('(INGESTA)Datos_consumo_datadis'!A:A,"",""),"""")"),"")</f>
        <v/>
      </c>
      <c r="G17377" s="8" t="str">
        <f t="shared" si="1"/>
        <v/>
      </c>
      <c r="H17377" s="14" t="str">
        <f t="shared" si="2"/>
        <v/>
      </c>
      <c r="I17377" s="15" t="str">
        <f t="shared" si="3"/>
        <v/>
      </c>
    </row>
    <row r="17378">
      <c r="A17378" s="8" t="str">
        <f>IFERROR(__xludf.DUMMYFUNCTION("IF('(INGESTA)Datos_consumo_datadis'!A18943&lt;&gt;"""",SPLIT('(INGESTA)Datos_consumo_datadis'!A:A,"",""),"""")"),"")</f>
        <v/>
      </c>
      <c r="G17378" s="8" t="str">
        <f t="shared" si="1"/>
        <v/>
      </c>
      <c r="H17378" s="14" t="str">
        <f t="shared" si="2"/>
        <v/>
      </c>
      <c r="I17378" s="15" t="str">
        <f t="shared" si="3"/>
        <v/>
      </c>
    </row>
    <row r="17379">
      <c r="A17379" s="8" t="str">
        <f>IFERROR(__xludf.DUMMYFUNCTION("IF('(INGESTA)Datos_consumo_datadis'!A18944&lt;&gt;"""",SPLIT('(INGESTA)Datos_consumo_datadis'!A:A,"",""),"""")"),"")</f>
        <v/>
      </c>
      <c r="G17379" s="8" t="str">
        <f t="shared" si="1"/>
        <v/>
      </c>
      <c r="H17379" s="14" t="str">
        <f t="shared" si="2"/>
        <v/>
      </c>
      <c r="I17379" s="15" t="str">
        <f t="shared" si="3"/>
        <v/>
      </c>
    </row>
    <row r="17380">
      <c r="A17380" s="8" t="str">
        <f>IFERROR(__xludf.DUMMYFUNCTION("IF('(INGESTA)Datos_consumo_datadis'!A18945&lt;&gt;"""",SPLIT('(INGESTA)Datos_consumo_datadis'!A:A,"",""),"""")"),"")</f>
        <v/>
      </c>
      <c r="G17380" s="8" t="str">
        <f t="shared" si="1"/>
        <v/>
      </c>
      <c r="H17380" s="14" t="str">
        <f t="shared" si="2"/>
        <v/>
      </c>
      <c r="I17380" s="15" t="str">
        <f t="shared" si="3"/>
        <v/>
      </c>
    </row>
    <row r="17381">
      <c r="A17381" s="8" t="str">
        <f>IFERROR(__xludf.DUMMYFUNCTION("IF('(INGESTA)Datos_consumo_datadis'!A18946&lt;&gt;"""",SPLIT('(INGESTA)Datos_consumo_datadis'!A:A,"",""),"""")"),"")</f>
        <v/>
      </c>
      <c r="G17381" s="8" t="str">
        <f t="shared" si="1"/>
        <v/>
      </c>
      <c r="H17381" s="14" t="str">
        <f t="shared" si="2"/>
        <v/>
      </c>
      <c r="I17381" s="15" t="str">
        <f t="shared" si="3"/>
        <v/>
      </c>
    </row>
    <row r="17382">
      <c r="A17382" s="8" t="str">
        <f>IFERROR(__xludf.DUMMYFUNCTION("IF('(INGESTA)Datos_consumo_datadis'!A18947&lt;&gt;"""",SPLIT('(INGESTA)Datos_consumo_datadis'!A:A,"",""),"""")"),"")</f>
        <v/>
      </c>
      <c r="G17382" s="8" t="str">
        <f t="shared" si="1"/>
        <v/>
      </c>
      <c r="H17382" s="14" t="str">
        <f t="shared" si="2"/>
        <v/>
      </c>
      <c r="I17382" s="15" t="str">
        <f t="shared" si="3"/>
        <v/>
      </c>
    </row>
    <row r="17383">
      <c r="A17383" s="8" t="str">
        <f>IFERROR(__xludf.DUMMYFUNCTION("IF('(INGESTA)Datos_consumo_datadis'!A18948&lt;&gt;"""",SPLIT('(INGESTA)Datos_consumo_datadis'!A:A,"",""),"""")"),"")</f>
        <v/>
      </c>
      <c r="G17383" s="8" t="str">
        <f t="shared" si="1"/>
        <v/>
      </c>
      <c r="H17383" s="14" t="str">
        <f t="shared" si="2"/>
        <v/>
      </c>
      <c r="I17383" s="15" t="str">
        <f t="shared" si="3"/>
        <v/>
      </c>
    </row>
    <row r="17384">
      <c r="A17384" s="8" t="str">
        <f>IFERROR(__xludf.DUMMYFUNCTION("IF('(INGESTA)Datos_consumo_datadis'!A18949&lt;&gt;"""",SPLIT('(INGESTA)Datos_consumo_datadis'!A:A,"",""),"""")"),"")</f>
        <v/>
      </c>
      <c r="G17384" s="8" t="str">
        <f t="shared" si="1"/>
        <v/>
      </c>
      <c r="H17384" s="14" t="str">
        <f t="shared" si="2"/>
        <v/>
      </c>
      <c r="I17384" s="15" t="str">
        <f t="shared" si="3"/>
        <v/>
      </c>
    </row>
    <row r="17385">
      <c r="A17385" s="8" t="str">
        <f>IFERROR(__xludf.DUMMYFUNCTION("IF('(INGESTA)Datos_consumo_datadis'!A18950&lt;&gt;"""",SPLIT('(INGESTA)Datos_consumo_datadis'!A:A,"",""),"""")"),"")</f>
        <v/>
      </c>
      <c r="G17385" s="8" t="str">
        <f t="shared" si="1"/>
        <v/>
      </c>
      <c r="H17385" s="14" t="str">
        <f t="shared" si="2"/>
        <v/>
      </c>
      <c r="I17385" s="15" t="str">
        <f t="shared" si="3"/>
        <v/>
      </c>
    </row>
    <row r="17386">
      <c r="A17386" s="8" t="str">
        <f>IFERROR(__xludf.DUMMYFUNCTION("IF('(INGESTA)Datos_consumo_datadis'!A18951&lt;&gt;"""",SPLIT('(INGESTA)Datos_consumo_datadis'!A:A,"",""),"""")"),"")</f>
        <v/>
      </c>
      <c r="G17386" s="8" t="str">
        <f t="shared" si="1"/>
        <v/>
      </c>
      <c r="H17386" s="14" t="str">
        <f t="shared" si="2"/>
        <v/>
      </c>
      <c r="I17386" s="15" t="str">
        <f t="shared" si="3"/>
        <v/>
      </c>
    </row>
    <row r="17387">
      <c r="A17387" s="8" t="str">
        <f>IFERROR(__xludf.DUMMYFUNCTION("IF('(INGESTA)Datos_consumo_datadis'!A18952&lt;&gt;"""",SPLIT('(INGESTA)Datos_consumo_datadis'!A:A,"",""),"""")"),"")</f>
        <v/>
      </c>
      <c r="G17387" s="8" t="str">
        <f t="shared" si="1"/>
        <v/>
      </c>
      <c r="H17387" s="14" t="str">
        <f t="shared" si="2"/>
        <v/>
      </c>
      <c r="I17387" s="15" t="str">
        <f t="shared" si="3"/>
        <v/>
      </c>
    </row>
    <row r="17388">
      <c r="A17388" s="8" t="str">
        <f>IFERROR(__xludf.DUMMYFUNCTION("IF('(INGESTA)Datos_consumo_datadis'!A18953&lt;&gt;"""",SPLIT('(INGESTA)Datos_consumo_datadis'!A:A,"",""),"""")"),"")</f>
        <v/>
      </c>
      <c r="G17388" s="8" t="str">
        <f t="shared" si="1"/>
        <v/>
      </c>
      <c r="H17388" s="14" t="str">
        <f t="shared" si="2"/>
        <v/>
      </c>
      <c r="I17388" s="15" t="str">
        <f t="shared" si="3"/>
        <v/>
      </c>
    </row>
    <row r="17389">
      <c r="A17389" s="8" t="str">
        <f>IFERROR(__xludf.DUMMYFUNCTION("IF('(INGESTA)Datos_consumo_datadis'!A18954&lt;&gt;"""",SPLIT('(INGESTA)Datos_consumo_datadis'!A:A,"",""),"""")"),"")</f>
        <v/>
      </c>
      <c r="G17389" s="8" t="str">
        <f t="shared" si="1"/>
        <v/>
      </c>
      <c r="H17389" s="14" t="str">
        <f t="shared" si="2"/>
        <v/>
      </c>
      <c r="I17389" s="15" t="str">
        <f t="shared" si="3"/>
        <v/>
      </c>
    </row>
    <row r="17390">
      <c r="A17390" s="8" t="str">
        <f>IFERROR(__xludf.DUMMYFUNCTION("IF('(INGESTA)Datos_consumo_datadis'!A18955&lt;&gt;"""",SPLIT('(INGESTA)Datos_consumo_datadis'!A:A,"",""),"""")"),"")</f>
        <v/>
      </c>
      <c r="G17390" s="8" t="str">
        <f t="shared" si="1"/>
        <v/>
      </c>
      <c r="H17390" s="14" t="str">
        <f t="shared" si="2"/>
        <v/>
      </c>
      <c r="I17390" s="15" t="str">
        <f t="shared" si="3"/>
        <v/>
      </c>
    </row>
    <row r="17391">
      <c r="A17391" s="8" t="str">
        <f>IFERROR(__xludf.DUMMYFUNCTION("IF('(INGESTA)Datos_consumo_datadis'!A18956&lt;&gt;"""",SPLIT('(INGESTA)Datos_consumo_datadis'!A:A,"",""),"""")"),"")</f>
        <v/>
      </c>
      <c r="G17391" s="8" t="str">
        <f t="shared" si="1"/>
        <v/>
      </c>
      <c r="H17391" s="14" t="str">
        <f t="shared" si="2"/>
        <v/>
      </c>
      <c r="I17391" s="15" t="str">
        <f t="shared" si="3"/>
        <v/>
      </c>
    </row>
    <row r="17392">
      <c r="A17392" s="8" t="str">
        <f>IFERROR(__xludf.DUMMYFUNCTION("IF('(INGESTA)Datos_consumo_datadis'!A18957&lt;&gt;"""",SPLIT('(INGESTA)Datos_consumo_datadis'!A:A,"",""),"""")"),"")</f>
        <v/>
      </c>
      <c r="G17392" s="8" t="str">
        <f t="shared" si="1"/>
        <v/>
      </c>
      <c r="H17392" s="14" t="str">
        <f t="shared" si="2"/>
        <v/>
      </c>
      <c r="I17392" s="15" t="str">
        <f t="shared" si="3"/>
        <v/>
      </c>
    </row>
    <row r="17393">
      <c r="A17393" s="8" t="str">
        <f>IFERROR(__xludf.DUMMYFUNCTION("IF('(INGESTA)Datos_consumo_datadis'!A18958&lt;&gt;"""",SPLIT('(INGESTA)Datos_consumo_datadis'!A:A,"",""),"""")"),"")</f>
        <v/>
      </c>
      <c r="G17393" s="8" t="str">
        <f t="shared" si="1"/>
        <v/>
      </c>
      <c r="H17393" s="14" t="str">
        <f t="shared" si="2"/>
        <v/>
      </c>
      <c r="I17393" s="15" t="str">
        <f t="shared" si="3"/>
        <v/>
      </c>
    </row>
    <row r="17394">
      <c r="A17394" s="8" t="str">
        <f>IFERROR(__xludf.DUMMYFUNCTION("IF('(INGESTA)Datos_consumo_datadis'!A18959&lt;&gt;"""",SPLIT('(INGESTA)Datos_consumo_datadis'!A:A,"",""),"""")"),"")</f>
        <v/>
      </c>
      <c r="G17394" s="8" t="str">
        <f t="shared" si="1"/>
        <v/>
      </c>
      <c r="H17394" s="14" t="str">
        <f t="shared" si="2"/>
        <v/>
      </c>
      <c r="I17394" s="15" t="str">
        <f t="shared" si="3"/>
        <v/>
      </c>
    </row>
    <row r="17395">
      <c r="A17395" s="8" t="str">
        <f>IFERROR(__xludf.DUMMYFUNCTION("IF('(INGESTA)Datos_consumo_datadis'!A18960&lt;&gt;"""",SPLIT('(INGESTA)Datos_consumo_datadis'!A:A,"",""),"""")"),"")</f>
        <v/>
      </c>
      <c r="G17395" s="8" t="str">
        <f t="shared" si="1"/>
        <v/>
      </c>
      <c r="H17395" s="14" t="str">
        <f t="shared" si="2"/>
        <v/>
      </c>
      <c r="I17395" s="15" t="str">
        <f t="shared" si="3"/>
        <v/>
      </c>
    </row>
    <row r="17396">
      <c r="A17396" s="8" t="str">
        <f>IFERROR(__xludf.DUMMYFUNCTION("IF('(INGESTA)Datos_consumo_datadis'!A18961&lt;&gt;"""",SPLIT('(INGESTA)Datos_consumo_datadis'!A:A,"",""),"""")"),"")</f>
        <v/>
      </c>
      <c r="G17396" s="8" t="str">
        <f t="shared" si="1"/>
        <v/>
      </c>
      <c r="H17396" s="14" t="str">
        <f t="shared" si="2"/>
        <v/>
      </c>
      <c r="I17396" s="15" t="str">
        <f t="shared" si="3"/>
        <v/>
      </c>
    </row>
    <row r="17397">
      <c r="A17397" s="8" t="str">
        <f>IFERROR(__xludf.DUMMYFUNCTION("IF('(INGESTA)Datos_consumo_datadis'!A18962&lt;&gt;"""",SPLIT('(INGESTA)Datos_consumo_datadis'!A:A,"",""),"""")"),"")</f>
        <v/>
      </c>
      <c r="G17397" s="8" t="str">
        <f t="shared" si="1"/>
        <v/>
      </c>
      <c r="H17397" s="14" t="str">
        <f t="shared" si="2"/>
        <v/>
      </c>
      <c r="I17397" s="15" t="str">
        <f t="shared" si="3"/>
        <v/>
      </c>
    </row>
    <row r="17398">
      <c r="A17398" s="8" t="str">
        <f>IFERROR(__xludf.DUMMYFUNCTION("IF('(INGESTA)Datos_consumo_datadis'!A18963&lt;&gt;"""",SPLIT('(INGESTA)Datos_consumo_datadis'!A:A,"",""),"""")"),"")</f>
        <v/>
      </c>
      <c r="G17398" s="8" t="str">
        <f t="shared" si="1"/>
        <v/>
      </c>
      <c r="H17398" s="14" t="str">
        <f t="shared" si="2"/>
        <v/>
      </c>
      <c r="I17398" s="15" t="str">
        <f t="shared" si="3"/>
        <v/>
      </c>
    </row>
    <row r="17399">
      <c r="A17399" s="8" t="str">
        <f>IFERROR(__xludf.DUMMYFUNCTION("IF('(INGESTA)Datos_consumo_datadis'!A18964&lt;&gt;"""",SPLIT('(INGESTA)Datos_consumo_datadis'!A:A,"",""),"""")"),"")</f>
        <v/>
      </c>
      <c r="G17399" s="8" t="str">
        <f t="shared" si="1"/>
        <v/>
      </c>
      <c r="H17399" s="14" t="str">
        <f t="shared" si="2"/>
        <v/>
      </c>
      <c r="I17399" s="15" t="str">
        <f t="shared" si="3"/>
        <v/>
      </c>
    </row>
    <row r="17400">
      <c r="A17400" s="8" t="str">
        <f>IFERROR(__xludf.DUMMYFUNCTION("IF('(INGESTA)Datos_consumo_datadis'!A18965&lt;&gt;"""",SPLIT('(INGESTA)Datos_consumo_datadis'!A:A,"",""),"""")"),"")</f>
        <v/>
      </c>
      <c r="G17400" s="8" t="str">
        <f t="shared" si="1"/>
        <v/>
      </c>
      <c r="H17400" s="14" t="str">
        <f t="shared" si="2"/>
        <v/>
      </c>
      <c r="I17400" s="15" t="str">
        <f t="shared" si="3"/>
        <v/>
      </c>
    </row>
    <row r="17401">
      <c r="A17401" s="8" t="str">
        <f>IFERROR(__xludf.DUMMYFUNCTION("IF('(INGESTA)Datos_consumo_datadis'!A18966&lt;&gt;"""",SPLIT('(INGESTA)Datos_consumo_datadis'!A:A,"",""),"""")"),"")</f>
        <v/>
      </c>
      <c r="G17401" s="8" t="str">
        <f t="shared" si="1"/>
        <v/>
      </c>
      <c r="H17401" s="14" t="str">
        <f t="shared" si="2"/>
        <v/>
      </c>
      <c r="I17401" s="15" t="str">
        <f t="shared" si="3"/>
        <v/>
      </c>
    </row>
    <row r="17402">
      <c r="A17402" s="8" t="str">
        <f>IFERROR(__xludf.DUMMYFUNCTION("IF('(INGESTA)Datos_consumo_datadis'!A18967&lt;&gt;"""",SPLIT('(INGESTA)Datos_consumo_datadis'!A:A,"",""),"""")"),"")</f>
        <v/>
      </c>
      <c r="G17402" s="8" t="str">
        <f t="shared" si="1"/>
        <v/>
      </c>
      <c r="H17402" s="14" t="str">
        <f t="shared" si="2"/>
        <v/>
      </c>
      <c r="I17402" s="15" t="str">
        <f t="shared" si="3"/>
        <v/>
      </c>
    </row>
    <row r="17403">
      <c r="A17403" s="8" t="str">
        <f>IFERROR(__xludf.DUMMYFUNCTION("IF('(INGESTA)Datos_consumo_datadis'!A18968&lt;&gt;"""",SPLIT('(INGESTA)Datos_consumo_datadis'!A:A,"",""),"""")"),"")</f>
        <v/>
      </c>
      <c r="G17403" s="8" t="str">
        <f t="shared" si="1"/>
        <v/>
      </c>
      <c r="H17403" s="14" t="str">
        <f t="shared" si="2"/>
        <v/>
      </c>
      <c r="I17403" s="15" t="str">
        <f t="shared" si="3"/>
        <v/>
      </c>
    </row>
    <row r="17404">
      <c r="A17404" s="8" t="str">
        <f>IFERROR(__xludf.DUMMYFUNCTION("IF('(INGESTA)Datos_consumo_datadis'!A18969&lt;&gt;"""",SPLIT('(INGESTA)Datos_consumo_datadis'!A:A,"",""),"""")"),"")</f>
        <v/>
      </c>
      <c r="G17404" s="8" t="str">
        <f t="shared" si="1"/>
        <v/>
      </c>
      <c r="H17404" s="14" t="str">
        <f t="shared" si="2"/>
        <v/>
      </c>
      <c r="I17404" s="15" t="str">
        <f t="shared" si="3"/>
        <v/>
      </c>
    </row>
    <row r="17405">
      <c r="A17405" s="8" t="str">
        <f>IFERROR(__xludf.DUMMYFUNCTION("IF('(INGESTA)Datos_consumo_datadis'!A18970&lt;&gt;"""",SPLIT('(INGESTA)Datos_consumo_datadis'!A:A,"",""),"""")"),"")</f>
        <v/>
      </c>
      <c r="G17405" s="8" t="str">
        <f t="shared" si="1"/>
        <v/>
      </c>
      <c r="H17405" s="14" t="str">
        <f t="shared" si="2"/>
        <v/>
      </c>
      <c r="I17405" s="15" t="str">
        <f t="shared" si="3"/>
        <v/>
      </c>
    </row>
    <row r="17406">
      <c r="A17406" s="8" t="str">
        <f>IFERROR(__xludf.DUMMYFUNCTION("IF('(INGESTA)Datos_consumo_datadis'!A18971&lt;&gt;"""",SPLIT('(INGESTA)Datos_consumo_datadis'!A:A,"",""),"""")"),"")</f>
        <v/>
      </c>
      <c r="G17406" s="8" t="str">
        <f t="shared" si="1"/>
        <v/>
      </c>
      <c r="H17406" s="14" t="str">
        <f t="shared" si="2"/>
        <v/>
      </c>
      <c r="I17406" s="15" t="str">
        <f t="shared" si="3"/>
        <v/>
      </c>
    </row>
    <row r="17407">
      <c r="A17407" s="8" t="str">
        <f>IFERROR(__xludf.DUMMYFUNCTION("IF('(INGESTA)Datos_consumo_datadis'!A18972&lt;&gt;"""",SPLIT('(INGESTA)Datos_consumo_datadis'!A:A,"",""),"""")"),"")</f>
        <v/>
      </c>
      <c r="G17407" s="8" t="str">
        <f t="shared" si="1"/>
        <v/>
      </c>
      <c r="H17407" s="14" t="str">
        <f t="shared" si="2"/>
        <v/>
      </c>
      <c r="I17407" s="15" t="str">
        <f t="shared" si="3"/>
        <v/>
      </c>
    </row>
    <row r="17408">
      <c r="A17408" s="8" t="str">
        <f>IFERROR(__xludf.DUMMYFUNCTION("IF('(INGESTA)Datos_consumo_datadis'!A18973&lt;&gt;"""",SPLIT('(INGESTA)Datos_consumo_datadis'!A:A,"",""),"""")"),"")</f>
        <v/>
      </c>
      <c r="G17408" s="8" t="str">
        <f t="shared" si="1"/>
        <v/>
      </c>
      <c r="H17408" s="14" t="str">
        <f t="shared" si="2"/>
        <v/>
      </c>
      <c r="I17408" s="15" t="str">
        <f t="shared" si="3"/>
        <v/>
      </c>
    </row>
    <row r="17409">
      <c r="A17409" s="8" t="str">
        <f>IFERROR(__xludf.DUMMYFUNCTION("IF('(INGESTA)Datos_consumo_datadis'!A18974&lt;&gt;"""",SPLIT('(INGESTA)Datos_consumo_datadis'!A:A,"",""),"""")"),"")</f>
        <v/>
      </c>
      <c r="G17409" s="8" t="str">
        <f t="shared" si="1"/>
        <v/>
      </c>
      <c r="H17409" s="14" t="str">
        <f t="shared" si="2"/>
        <v/>
      </c>
      <c r="I17409" s="15" t="str">
        <f t="shared" si="3"/>
        <v/>
      </c>
    </row>
    <row r="17410">
      <c r="A17410" s="8" t="str">
        <f>IFERROR(__xludf.DUMMYFUNCTION("IF('(INGESTA)Datos_consumo_datadis'!A18975&lt;&gt;"""",SPLIT('(INGESTA)Datos_consumo_datadis'!A:A,"",""),"""")"),"")</f>
        <v/>
      </c>
      <c r="G17410" s="8" t="str">
        <f t="shared" si="1"/>
        <v/>
      </c>
      <c r="H17410" s="14" t="str">
        <f t="shared" si="2"/>
        <v/>
      </c>
      <c r="I17410" s="15" t="str">
        <f t="shared" si="3"/>
        <v/>
      </c>
    </row>
    <row r="17411">
      <c r="A17411" s="8" t="str">
        <f>IFERROR(__xludf.DUMMYFUNCTION("IF('(INGESTA)Datos_consumo_datadis'!A18976&lt;&gt;"""",SPLIT('(INGESTA)Datos_consumo_datadis'!A:A,"",""),"""")"),"")</f>
        <v/>
      </c>
      <c r="G17411" s="8" t="str">
        <f t="shared" si="1"/>
        <v/>
      </c>
      <c r="H17411" s="14" t="str">
        <f t="shared" si="2"/>
        <v/>
      </c>
      <c r="I17411" s="15" t="str">
        <f t="shared" si="3"/>
        <v/>
      </c>
    </row>
    <row r="17412">
      <c r="A17412" s="8" t="str">
        <f>IFERROR(__xludf.DUMMYFUNCTION("IF('(INGESTA)Datos_consumo_datadis'!A18977&lt;&gt;"""",SPLIT('(INGESTA)Datos_consumo_datadis'!A:A,"",""),"""")"),"")</f>
        <v/>
      </c>
      <c r="G17412" s="8" t="str">
        <f t="shared" si="1"/>
        <v/>
      </c>
      <c r="H17412" s="14" t="str">
        <f t="shared" si="2"/>
        <v/>
      </c>
      <c r="I17412" s="15" t="str">
        <f t="shared" si="3"/>
        <v/>
      </c>
    </row>
    <row r="17413">
      <c r="A17413" s="8" t="str">
        <f>IFERROR(__xludf.DUMMYFUNCTION("IF('(INGESTA)Datos_consumo_datadis'!A18978&lt;&gt;"""",SPLIT('(INGESTA)Datos_consumo_datadis'!A:A,"",""),"""")"),"")</f>
        <v/>
      </c>
      <c r="G17413" s="8" t="str">
        <f t="shared" si="1"/>
        <v/>
      </c>
      <c r="H17413" s="14" t="str">
        <f t="shared" si="2"/>
        <v/>
      </c>
      <c r="I17413" s="15" t="str">
        <f t="shared" si="3"/>
        <v/>
      </c>
    </row>
    <row r="17414">
      <c r="A17414" s="8" t="str">
        <f>IFERROR(__xludf.DUMMYFUNCTION("IF('(INGESTA)Datos_consumo_datadis'!A18979&lt;&gt;"""",SPLIT('(INGESTA)Datos_consumo_datadis'!A:A,"",""),"""")"),"")</f>
        <v/>
      </c>
      <c r="G17414" s="8" t="str">
        <f t="shared" si="1"/>
        <v/>
      </c>
      <c r="H17414" s="14" t="str">
        <f t="shared" si="2"/>
        <v/>
      </c>
      <c r="I17414" s="15" t="str">
        <f t="shared" si="3"/>
        <v/>
      </c>
    </row>
    <row r="17415">
      <c r="A17415" s="8" t="str">
        <f>IFERROR(__xludf.DUMMYFUNCTION("IF('(INGESTA)Datos_consumo_datadis'!A18980&lt;&gt;"""",SPLIT('(INGESTA)Datos_consumo_datadis'!A:A,"",""),"""")"),"")</f>
        <v/>
      </c>
      <c r="G17415" s="8" t="str">
        <f t="shared" si="1"/>
        <v/>
      </c>
      <c r="H17415" s="14" t="str">
        <f t="shared" si="2"/>
        <v/>
      </c>
      <c r="I17415" s="15" t="str">
        <f t="shared" si="3"/>
        <v/>
      </c>
    </row>
    <row r="17416">
      <c r="A17416" s="8" t="str">
        <f>IFERROR(__xludf.DUMMYFUNCTION("IF('(INGESTA)Datos_consumo_datadis'!A18981&lt;&gt;"""",SPLIT('(INGESTA)Datos_consumo_datadis'!A:A,"",""),"""")"),"")</f>
        <v/>
      </c>
      <c r="G17416" s="8" t="str">
        <f t="shared" si="1"/>
        <v/>
      </c>
      <c r="H17416" s="14" t="str">
        <f t="shared" si="2"/>
        <v/>
      </c>
      <c r="I17416" s="15" t="str">
        <f t="shared" si="3"/>
        <v/>
      </c>
    </row>
    <row r="17417">
      <c r="A17417" s="8" t="str">
        <f>IFERROR(__xludf.DUMMYFUNCTION("IF('(INGESTA)Datos_consumo_datadis'!A18982&lt;&gt;"""",SPLIT('(INGESTA)Datos_consumo_datadis'!A:A,"",""),"""")"),"")</f>
        <v/>
      </c>
      <c r="G17417" s="8" t="str">
        <f t="shared" si="1"/>
        <v/>
      </c>
      <c r="H17417" s="14" t="str">
        <f t="shared" si="2"/>
        <v/>
      </c>
      <c r="I17417" s="15" t="str">
        <f t="shared" si="3"/>
        <v/>
      </c>
    </row>
    <row r="17418">
      <c r="A17418" s="8" t="str">
        <f>IFERROR(__xludf.DUMMYFUNCTION("IF('(INGESTA)Datos_consumo_datadis'!A18983&lt;&gt;"""",SPLIT('(INGESTA)Datos_consumo_datadis'!A:A,"",""),"""")"),"")</f>
        <v/>
      </c>
      <c r="G17418" s="8" t="str">
        <f t="shared" si="1"/>
        <v/>
      </c>
      <c r="H17418" s="14" t="str">
        <f t="shared" si="2"/>
        <v/>
      </c>
      <c r="I17418" s="15" t="str">
        <f t="shared" si="3"/>
        <v/>
      </c>
    </row>
    <row r="17419">
      <c r="A17419" s="8" t="str">
        <f>IFERROR(__xludf.DUMMYFUNCTION("IF('(INGESTA)Datos_consumo_datadis'!A18984&lt;&gt;"""",SPLIT('(INGESTA)Datos_consumo_datadis'!A:A,"",""),"""")"),"")</f>
        <v/>
      </c>
      <c r="G17419" s="8" t="str">
        <f t="shared" si="1"/>
        <v/>
      </c>
      <c r="H17419" s="14" t="str">
        <f t="shared" si="2"/>
        <v/>
      </c>
      <c r="I17419" s="15" t="str">
        <f t="shared" si="3"/>
        <v/>
      </c>
    </row>
    <row r="17420">
      <c r="A17420" s="8" t="str">
        <f>IFERROR(__xludf.DUMMYFUNCTION("IF('(INGESTA)Datos_consumo_datadis'!A18985&lt;&gt;"""",SPLIT('(INGESTA)Datos_consumo_datadis'!A:A,"",""),"""")"),"")</f>
        <v/>
      </c>
      <c r="G17420" s="8" t="str">
        <f t="shared" si="1"/>
        <v/>
      </c>
      <c r="H17420" s="14" t="str">
        <f t="shared" si="2"/>
        <v/>
      </c>
      <c r="I17420" s="15" t="str">
        <f t="shared" si="3"/>
        <v/>
      </c>
    </row>
    <row r="17421">
      <c r="A17421" s="8" t="str">
        <f>IFERROR(__xludf.DUMMYFUNCTION("IF('(INGESTA)Datos_consumo_datadis'!A18986&lt;&gt;"""",SPLIT('(INGESTA)Datos_consumo_datadis'!A:A,"",""),"""")"),"")</f>
        <v/>
      </c>
      <c r="G17421" s="8" t="str">
        <f t="shared" si="1"/>
        <v/>
      </c>
      <c r="H17421" s="14" t="str">
        <f t="shared" si="2"/>
        <v/>
      </c>
      <c r="I17421" s="15" t="str">
        <f t="shared" si="3"/>
        <v/>
      </c>
    </row>
    <row r="17422">
      <c r="A17422" s="8" t="str">
        <f>IFERROR(__xludf.DUMMYFUNCTION("IF('(INGESTA)Datos_consumo_datadis'!A18987&lt;&gt;"""",SPLIT('(INGESTA)Datos_consumo_datadis'!A:A,"",""),"""")"),"")</f>
        <v/>
      </c>
      <c r="G17422" s="8" t="str">
        <f t="shared" si="1"/>
        <v/>
      </c>
      <c r="H17422" s="14" t="str">
        <f t="shared" si="2"/>
        <v/>
      </c>
      <c r="I17422" s="15" t="str">
        <f t="shared" si="3"/>
        <v/>
      </c>
    </row>
    <row r="17423">
      <c r="A17423" s="8" t="str">
        <f>IFERROR(__xludf.DUMMYFUNCTION("IF('(INGESTA)Datos_consumo_datadis'!A18988&lt;&gt;"""",SPLIT('(INGESTA)Datos_consumo_datadis'!A:A,"",""),"""")"),"")</f>
        <v/>
      </c>
      <c r="G17423" s="8" t="str">
        <f t="shared" si="1"/>
        <v/>
      </c>
      <c r="H17423" s="14" t="str">
        <f t="shared" si="2"/>
        <v/>
      </c>
      <c r="I17423" s="15" t="str">
        <f t="shared" si="3"/>
        <v/>
      </c>
    </row>
    <row r="17424">
      <c r="A17424" s="8" t="str">
        <f>IFERROR(__xludf.DUMMYFUNCTION("IF('(INGESTA)Datos_consumo_datadis'!A18989&lt;&gt;"""",SPLIT('(INGESTA)Datos_consumo_datadis'!A:A,"",""),"""")"),"")</f>
        <v/>
      </c>
      <c r="G17424" s="8" t="str">
        <f t="shared" si="1"/>
        <v/>
      </c>
      <c r="H17424" s="14" t="str">
        <f t="shared" si="2"/>
        <v/>
      </c>
      <c r="I17424" s="15" t="str">
        <f t="shared" si="3"/>
        <v/>
      </c>
    </row>
    <row r="17425">
      <c r="A17425" s="8" t="str">
        <f>IFERROR(__xludf.DUMMYFUNCTION("IF('(INGESTA)Datos_consumo_datadis'!A18990&lt;&gt;"""",SPLIT('(INGESTA)Datos_consumo_datadis'!A:A,"",""),"""")"),"")</f>
        <v/>
      </c>
      <c r="G17425" s="8" t="str">
        <f t="shared" si="1"/>
        <v/>
      </c>
      <c r="H17425" s="14" t="str">
        <f t="shared" si="2"/>
        <v/>
      </c>
      <c r="I17425" s="15" t="str">
        <f t="shared" si="3"/>
        <v/>
      </c>
    </row>
    <row r="17426">
      <c r="A17426" s="8" t="str">
        <f>IFERROR(__xludf.DUMMYFUNCTION("IF('(INGESTA)Datos_consumo_datadis'!A18991&lt;&gt;"""",SPLIT('(INGESTA)Datos_consumo_datadis'!A:A,"",""),"""")"),"")</f>
        <v/>
      </c>
      <c r="G17426" s="8" t="str">
        <f t="shared" si="1"/>
        <v/>
      </c>
      <c r="H17426" s="14" t="str">
        <f t="shared" si="2"/>
        <v/>
      </c>
      <c r="I17426" s="15" t="str">
        <f t="shared" si="3"/>
        <v/>
      </c>
    </row>
    <row r="17427">
      <c r="A17427" s="8" t="str">
        <f>IFERROR(__xludf.DUMMYFUNCTION("IF('(INGESTA)Datos_consumo_datadis'!A18992&lt;&gt;"""",SPLIT('(INGESTA)Datos_consumo_datadis'!A:A,"",""),"""")"),"")</f>
        <v/>
      </c>
      <c r="G17427" s="8" t="str">
        <f t="shared" si="1"/>
        <v/>
      </c>
      <c r="H17427" s="14" t="str">
        <f t="shared" si="2"/>
        <v/>
      </c>
      <c r="I17427" s="15" t="str">
        <f t="shared" si="3"/>
        <v/>
      </c>
    </row>
    <row r="17428">
      <c r="A17428" s="8" t="str">
        <f>IFERROR(__xludf.DUMMYFUNCTION("IF('(INGESTA)Datos_consumo_datadis'!A18993&lt;&gt;"""",SPLIT('(INGESTA)Datos_consumo_datadis'!A:A,"",""),"""")"),"")</f>
        <v/>
      </c>
      <c r="G17428" s="8" t="str">
        <f t="shared" si="1"/>
        <v/>
      </c>
      <c r="H17428" s="14" t="str">
        <f t="shared" si="2"/>
        <v/>
      </c>
      <c r="I17428" s="15" t="str">
        <f t="shared" si="3"/>
        <v/>
      </c>
    </row>
    <row r="17429">
      <c r="A17429" s="8" t="str">
        <f>IFERROR(__xludf.DUMMYFUNCTION("IF('(INGESTA)Datos_consumo_datadis'!A18994&lt;&gt;"""",SPLIT('(INGESTA)Datos_consumo_datadis'!A:A,"",""),"""")"),"")</f>
        <v/>
      </c>
      <c r="G17429" s="8" t="str">
        <f t="shared" si="1"/>
        <v/>
      </c>
      <c r="H17429" s="14" t="str">
        <f t="shared" si="2"/>
        <v/>
      </c>
      <c r="I17429" s="15" t="str">
        <f t="shared" si="3"/>
        <v/>
      </c>
    </row>
    <row r="17430">
      <c r="A17430" s="8" t="str">
        <f>IFERROR(__xludf.DUMMYFUNCTION("IF('(INGESTA)Datos_consumo_datadis'!A18995&lt;&gt;"""",SPLIT('(INGESTA)Datos_consumo_datadis'!A:A,"",""),"""")"),"")</f>
        <v/>
      </c>
      <c r="G17430" s="8" t="str">
        <f t="shared" si="1"/>
        <v/>
      </c>
      <c r="H17430" s="14" t="str">
        <f t="shared" si="2"/>
        <v/>
      </c>
      <c r="I17430" s="15" t="str">
        <f t="shared" si="3"/>
        <v/>
      </c>
    </row>
    <row r="17431">
      <c r="A17431" s="8" t="str">
        <f>IFERROR(__xludf.DUMMYFUNCTION("IF('(INGESTA)Datos_consumo_datadis'!A18996&lt;&gt;"""",SPLIT('(INGESTA)Datos_consumo_datadis'!A:A,"",""),"""")"),"")</f>
        <v/>
      </c>
      <c r="G17431" s="8" t="str">
        <f t="shared" si="1"/>
        <v/>
      </c>
      <c r="H17431" s="14" t="str">
        <f t="shared" si="2"/>
        <v/>
      </c>
      <c r="I17431" s="15" t="str">
        <f t="shared" si="3"/>
        <v/>
      </c>
    </row>
    <row r="17432">
      <c r="A17432" s="8" t="str">
        <f>IFERROR(__xludf.DUMMYFUNCTION("IF('(INGESTA)Datos_consumo_datadis'!A18997&lt;&gt;"""",SPLIT('(INGESTA)Datos_consumo_datadis'!A:A,"",""),"""")"),"")</f>
        <v/>
      </c>
      <c r="G17432" s="8" t="str">
        <f t="shared" si="1"/>
        <v/>
      </c>
      <c r="H17432" s="14" t="str">
        <f t="shared" si="2"/>
        <v/>
      </c>
      <c r="I17432" s="15" t="str">
        <f t="shared" si="3"/>
        <v/>
      </c>
    </row>
    <row r="17433">
      <c r="A17433" s="8" t="str">
        <f>IFERROR(__xludf.DUMMYFUNCTION("IF('(INGESTA)Datos_consumo_datadis'!A18998&lt;&gt;"""",SPLIT('(INGESTA)Datos_consumo_datadis'!A:A,"",""),"""")"),"")</f>
        <v/>
      </c>
      <c r="G17433" s="8" t="str">
        <f t="shared" si="1"/>
        <v/>
      </c>
      <c r="H17433" s="14" t="str">
        <f t="shared" si="2"/>
        <v/>
      </c>
      <c r="I17433" s="15" t="str">
        <f t="shared" si="3"/>
        <v/>
      </c>
    </row>
    <row r="17434">
      <c r="A17434" s="8" t="str">
        <f>IFERROR(__xludf.DUMMYFUNCTION("IF('(INGESTA)Datos_consumo_datadis'!A18999&lt;&gt;"""",SPLIT('(INGESTA)Datos_consumo_datadis'!A:A,"",""),"""")"),"")</f>
        <v/>
      </c>
      <c r="G17434" s="8" t="str">
        <f t="shared" si="1"/>
        <v/>
      </c>
      <c r="H17434" s="14" t="str">
        <f t="shared" si="2"/>
        <v/>
      </c>
      <c r="I17434" s="15" t="str">
        <f t="shared" si="3"/>
        <v/>
      </c>
    </row>
    <row r="17435">
      <c r="A17435" s="8" t="str">
        <f>IFERROR(__xludf.DUMMYFUNCTION("IF('(INGESTA)Datos_consumo_datadis'!A19000&lt;&gt;"""",SPLIT('(INGESTA)Datos_consumo_datadis'!A:A,"",""),"""")"),"")</f>
        <v/>
      </c>
      <c r="G17435" s="8" t="str">
        <f t="shared" si="1"/>
        <v/>
      </c>
      <c r="H17435" s="14" t="str">
        <f t="shared" si="2"/>
        <v/>
      </c>
      <c r="I17435" s="15" t="str">
        <f t="shared" si="3"/>
        <v/>
      </c>
    </row>
    <row r="17436">
      <c r="A17436" s="8" t="str">
        <f>IFERROR(__xludf.DUMMYFUNCTION("IF('(INGESTA)Datos_consumo_datadis'!A19001&lt;&gt;"""",SPLIT('(INGESTA)Datos_consumo_datadis'!A:A,"",""),"""")"),"")</f>
        <v/>
      </c>
      <c r="G17436" s="8" t="str">
        <f t="shared" si="1"/>
        <v/>
      </c>
      <c r="H17436" s="14" t="str">
        <f t="shared" si="2"/>
        <v/>
      </c>
      <c r="I17436" s="15" t="str">
        <f t="shared" si="3"/>
        <v/>
      </c>
    </row>
    <row r="17437">
      <c r="A17437" s="8" t="str">
        <f>IFERROR(__xludf.DUMMYFUNCTION("IF('(INGESTA)Datos_consumo_datadis'!A19002&lt;&gt;"""",SPLIT('(INGESTA)Datos_consumo_datadis'!A:A,"",""),"""")"),"")</f>
        <v/>
      </c>
      <c r="G17437" s="8" t="str">
        <f t="shared" si="1"/>
        <v/>
      </c>
      <c r="H17437" s="14" t="str">
        <f t="shared" si="2"/>
        <v/>
      </c>
      <c r="I17437" s="15" t="str">
        <f t="shared" si="3"/>
        <v/>
      </c>
    </row>
    <row r="17438">
      <c r="A17438" s="8" t="str">
        <f>IFERROR(__xludf.DUMMYFUNCTION("IF('(INGESTA)Datos_consumo_datadis'!A19003&lt;&gt;"""",SPLIT('(INGESTA)Datos_consumo_datadis'!A:A,"",""),"""")"),"")</f>
        <v/>
      </c>
      <c r="G17438" s="8" t="str">
        <f t="shared" si="1"/>
        <v/>
      </c>
      <c r="H17438" s="14" t="str">
        <f t="shared" si="2"/>
        <v/>
      </c>
      <c r="I17438" s="15" t="str">
        <f t="shared" si="3"/>
        <v/>
      </c>
    </row>
    <row r="17439">
      <c r="A17439" s="8" t="str">
        <f>IFERROR(__xludf.DUMMYFUNCTION("IF('(INGESTA)Datos_consumo_datadis'!A19004&lt;&gt;"""",SPLIT('(INGESTA)Datos_consumo_datadis'!A:A,"",""),"""")"),"")</f>
        <v/>
      </c>
      <c r="G17439" s="8" t="str">
        <f t="shared" si="1"/>
        <v/>
      </c>
      <c r="H17439" s="14" t="str">
        <f t="shared" si="2"/>
        <v/>
      </c>
      <c r="I17439" s="15" t="str">
        <f t="shared" si="3"/>
        <v/>
      </c>
    </row>
    <row r="17440">
      <c r="A17440" s="8" t="str">
        <f>IFERROR(__xludf.DUMMYFUNCTION("IF('(INGESTA)Datos_consumo_datadis'!A19005&lt;&gt;"""",SPLIT('(INGESTA)Datos_consumo_datadis'!A:A,"",""),"""")"),"")</f>
        <v/>
      </c>
      <c r="G17440" s="8" t="str">
        <f t="shared" si="1"/>
        <v/>
      </c>
      <c r="H17440" s="14" t="str">
        <f t="shared" si="2"/>
        <v/>
      </c>
      <c r="I17440" s="15" t="str">
        <f t="shared" si="3"/>
        <v/>
      </c>
    </row>
    <row r="17441">
      <c r="A17441" s="8" t="str">
        <f>IFERROR(__xludf.DUMMYFUNCTION("IF('(INGESTA)Datos_consumo_datadis'!A19006&lt;&gt;"""",SPLIT('(INGESTA)Datos_consumo_datadis'!A:A,"",""),"""")"),"")</f>
        <v/>
      </c>
      <c r="G17441" s="8" t="str">
        <f t="shared" si="1"/>
        <v/>
      </c>
      <c r="H17441" s="14" t="str">
        <f t="shared" si="2"/>
        <v/>
      </c>
      <c r="I17441" s="15" t="str">
        <f t="shared" si="3"/>
        <v/>
      </c>
    </row>
    <row r="17442">
      <c r="A17442" s="8" t="str">
        <f>IFERROR(__xludf.DUMMYFUNCTION("IF('(INGESTA)Datos_consumo_datadis'!A19007&lt;&gt;"""",SPLIT('(INGESTA)Datos_consumo_datadis'!A:A,"",""),"""")"),"")</f>
        <v/>
      </c>
      <c r="G17442" s="8" t="str">
        <f t="shared" si="1"/>
        <v/>
      </c>
      <c r="H17442" s="14" t="str">
        <f t="shared" si="2"/>
        <v/>
      </c>
      <c r="I17442" s="15" t="str">
        <f t="shared" si="3"/>
        <v/>
      </c>
    </row>
    <row r="17443">
      <c r="A17443" s="8" t="str">
        <f>IFERROR(__xludf.DUMMYFUNCTION("IF('(INGESTA)Datos_consumo_datadis'!A19008&lt;&gt;"""",SPLIT('(INGESTA)Datos_consumo_datadis'!A:A,"",""),"""")"),"")</f>
        <v/>
      </c>
      <c r="G17443" s="8" t="str">
        <f t="shared" si="1"/>
        <v/>
      </c>
      <c r="H17443" s="14" t="str">
        <f t="shared" si="2"/>
        <v/>
      </c>
      <c r="I17443" s="15" t="str">
        <f t="shared" si="3"/>
        <v/>
      </c>
    </row>
    <row r="17444">
      <c r="A17444" s="8" t="str">
        <f>IFERROR(__xludf.DUMMYFUNCTION("IF('(INGESTA)Datos_consumo_datadis'!A19009&lt;&gt;"""",SPLIT('(INGESTA)Datos_consumo_datadis'!A:A,"",""),"""")"),"")</f>
        <v/>
      </c>
      <c r="G17444" s="8" t="str">
        <f t="shared" si="1"/>
        <v/>
      </c>
      <c r="H17444" s="14" t="str">
        <f t="shared" si="2"/>
        <v/>
      </c>
      <c r="I17444" s="15" t="str">
        <f t="shared" si="3"/>
        <v/>
      </c>
    </row>
    <row r="17445">
      <c r="A17445" s="8" t="str">
        <f>IFERROR(__xludf.DUMMYFUNCTION("IF('(INGESTA)Datos_consumo_datadis'!A19010&lt;&gt;"""",SPLIT('(INGESTA)Datos_consumo_datadis'!A:A,"",""),"""")"),"")</f>
        <v/>
      </c>
      <c r="G17445" s="8" t="str">
        <f t="shared" si="1"/>
        <v/>
      </c>
      <c r="H17445" s="14" t="str">
        <f t="shared" si="2"/>
        <v/>
      </c>
      <c r="I17445" s="15" t="str">
        <f t="shared" si="3"/>
        <v/>
      </c>
    </row>
    <row r="17446">
      <c r="A17446" s="8" t="str">
        <f>IFERROR(__xludf.DUMMYFUNCTION("IF('(INGESTA)Datos_consumo_datadis'!A19011&lt;&gt;"""",SPLIT('(INGESTA)Datos_consumo_datadis'!A:A,"",""),"""")"),"")</f>
        <v/>
      </c>
      <c r="G17446" s="8" t="str">
        <f t="shared" si="1"/>
        <v/>
      </c>
      <c r="H17446" s="14" t="str">
        <f t="shared" si="2"/>
        <v/>
      </c>
      <c r="I17446" s="15" t="str">
        <f t="shared" si="3"/>
        <v/>
      </c>
    </row>
    <row r="17447">
      <c r="A17447" s="8" t="str">
        <f>IFERROR(__xludf.DUMMYFUNCTION("IF('(INGESTA)Datos_consumo_datadis'!A19012&lt;&gt;"""",SPLIT('(INGESTA)Datos_consumo_datadis'!A:A,"",""),"""")"),"")</f>
        <v/>
      </c>
      <c r="G17447" s="8" t="str">
        <f t="shared" si="1"/>
        <v/>
      </c>
      <c r="H17447" s="14" t="str">
        <f t="shared" si="2"/>
        <v/>
      </c>
      <c r="I17447" s="15" t="str">
        <f t="shared" si="3"/>
        <v/>
      </c>
    </row>
    <row r="17448">
      <c r="A17448" s="8" t="str">
        <f>IFERROR(__xludf.DUMMYFUNCTION("IF('(INGESTA)Datos_consumo_datadis'!A19013&lt;&gt;"""",SPLIT('(INGESTA)Datos_consumo_datadis'!A:A,"",""),"""")"),"")</f>
        <v/>
      </c>
      <c r="G17448" s="8" t="str">
        <f t="shared" si="1"/>
        <v/>
      </c>
      <c r="H17448" s="14" t="str">
        <f t="shared" si="2"/>
        <v/>
      </c>
      <c r="I17448" s="15" t="str">
        <f t="shared" si="3"/>
        <v/>
      </c>
    </row>
    <row r="17449">
      <c r="A17449" s="8" t="str">
        <f>IFERROR(__xludf.DUMMYFUNCTION("IF('(INGESTA)Datos_consumo_datadis'!A19014&lt;&gt;"""",SPLIT('(INGESTA)Datos_consumo_datadis'!A:A,"",""),"""")"),"")</f>
        <v/>
      </c>
      <c r="G17449" s="8" t="str">
        <f t="shared" si="1"/>
        <v/>
      </c>
      <c r="H17449" s="14" t="str">
        <f t="shared" si="2"/>
        <v/>
      </c>
      <c r="I17449" s="15" t="str">
        <f t="shared" si="3"/>
        <v/>
      </c>
    </row>
    <row r="17450">
      <c r="A17450" s="8" t="str">
        <f>IFERROR(__xludf.DUMMYFUNCTION("IF('(INGESTA)Datos_consumo_datadis'!A19015&lt;&gt;"""",SPLIT('(INGESTA)Datos_consumo_datadis'!A:A,"",""),"""")"),"")</f>
        <v/>
      </c>
      <c r="G17450" s="8" t="str">
        <f t="shared" si="1"/>
        <v/>
      </c>
      <c r="H17450" s="14" t="str">
        <f t="shared" si="2"/>
        <v/>
      </c>
      <c r="I17450" s="15" t="str">
        <f t="shared" si="3"/>
        <v/>
      </c>
    </row>
    <row r="17451">
      <c r="A17451" s="8" t="str">
        <f>IFERROR(__xludf.DUMMYFUNCTION("IF('(INGESTA)Datos_consumo_datadis'!A19016&lt;&gt;"""",SPLIT('(INGESTA)Datos_consumo_datadis'!A:A,"",""),"""")"),"")</f>
        <v/>
      </c>
      <c r="G17451" s="8" t="str">
        <f t="shared" si="1"/>
        <v/>
      </c>
      <c r="H17451" s="14" t="str">
        <f t="shared" si="2"/>
        <v/>
      </c>
      <c r="I17451" s="15" t="str">
        <f t="shared" si="3"/>
        <v/>
      </c>
    </row>
    <row r="17452">
      <c r="A17452" s="8" t="str">
        <f>IFERROR(__xludf.DUMMYFUNCTION("IF('(INGESTA)Datos_consumo_datadis'!A19017&lt;&gt;"""",SPLIT('(INGESTA)Datos_consumo_datadis'!A:A,"",""),"""")"),"")</f>
        <v/>
      </c>
      <c r="G17452" s="8" t="str">
        <f t="shared" si="1"/>
        <v/>
      </c>
      <c r="H17452" s="14" t="str">
        <f t="shared" si="2"/>
        <v/>
      </c>
      <c r="I17452" s="15" t="str">
        <f t="shared" si="3"/>
        <v/>
      </c>
    </row>
    <row r="17453">
      <c r="A17453" s="8" t="str">
        <f>IFERROR(__xludf.DUMMYFUNCTION("IF('(INGESTA)Datos_consumo_datadis'!A19018&lt;&gt;"""",SPLIT('(INGESTA)Datos_consumo_datadis'!A:A,"",""),"""")"),"")</f>
        <v/>
      </c>
      <c r="G17453" s="8" t="str">
        <f t="shared" si="1"/>
        <v/>
      </c>
      <c r="H17453" s="14" t="str">
        <f t="shared" si="2"/>
        <v/>
      </c>
      <c r="I17453" s="15" t="str">
        <f t="shared" si="3"/>
        <v/>
      </c>
    </row>
    <row r="17454">
      <c r="A17454" s="8" t="str">
        <f>IFERROR(__xludf.DUMMYFUNCTION("IF('(INGESTA)Datos_consumo_datadis'!A19019&lt;&gt;"""",SPLIT('(INGESTA)Datos_consumo_datadis'!A:A,"",""),"""")"),"")</f>
        <v/>
      </c>
      <c r="G17454" s="8" t="str">
        <f t="shared" si="1"/>
        <v/>
      </c>
      <c r="H17454" s="14" t="str">
        <f t="shared" si="2"/>
        <v/>
      </c>
      <c r="I17454" s="15" t="str">
        <f t="shared" si="3"/>
        <v/>
      </c>
    </row>
    <row r="17455">
      <c r="A17455" s="8" t="str">
        <f>IFERROR(__xludf.DUMMYFUNCTION("IF('(INGESTA)Datos_consumo_datadis'!A19020&lt;&gt;"""",SPLIT('(INGESTA)Datos_consumo_datadis'!A:A,"",""),"""")"),"")</f>
        <v/>
      </c>
      <c r="G17455" s="8" t="str">
        <f t="shared" si="1"/>
        <v/>
      </c>
      <c r="H17455" s="14" t="str">
        <f t="shared" si="2"/>
        <v/>
      </c>
      <c r="I17455" s="15" t="str">
        <f t="shared" si="3"/>
        <v/>
      </c>
    </row>
    <row r="17456">
      <c r="A17456" s="8" t="str">
        <f>IFERROR(__xludf.DUMMYFUNCTION("IF('(INGESTA)Datos_consumo_datadis'!A19021&lt;&gt;"""",SPLIT('(INGESTA)Datos_consumo_datadis'!A:A,"",""),"""")"),"")</f>
        <v/>
      </c>
      <c r="G17456" s="8" t="str">
        <f t="shared" si="1"/>
        <v/>
      </c>
      <c r="H17456" s="14" t="str">
        <f t="shared" si="2"/>
        <v/>
      </c>
      <c r="I17456" s="15" t="str">
        <f t="shared" si="3"/>
        <v/>
      </c>
    </row>
    <row r="17457">
      <c r="A17457" s="8" t="str">
        <f>IFERROR(__xludf.DUMMYFUNCTION("IF('(INGESTA)Datos_consumo_datadis'!A19022&lt;&gt;"""",SPLIT('(INGESTA)Datos_consumo_datadis'!A:A,"",""),"""")"),"")</f>
        <v/>
      </c>
      <c r="G17457" s="8" t="str">
        <f t="shared" si="1"/>
        <v/>
      </c>
      <c r="H17457" s="14" t="str">
        <f t="shared" si="2"/>
        <v/>
      </c>
      <c r="I17457" s="15" t="str">
        <f t="shared" si="3"/>
        <v/>
      </c>
    </row>
    <row r="17458">
      <c r="A17458" s="8" t="str">
        <f>IFERROR(__xludf.DUMMYFUNCTION("IF('(INGESTA)Datos_consumo_datadis'!A19023&lt;&gt;"""",SPLIT('(INGESTA)Datos_consumo_datadis'!A:A,"",""),"""")"),"")</f>
        <v/>
      </c>
      <c r="G17458" s="8" t="str">
        <f t="shared" si="1"/>
        <v/>
      </c>
      <c r="H17458" s="14" t="str">
        <f t="shared" si="2"/>
        <v/>
      </c>
      <c r="I17458" s="15" t="str">
        <f t="shared" si="3"/>
        <v/>
      </c>
    </row>
    <row r="17459">
      <c r="A17459" s="8" t="str">
        <f>IFERROR(__xludf.DUMMYFUNCTION("IF('(INGESTA)Datos_consumo_datadis'!A19024&lt;&gt;"""",SPLIT('(INGESTA)Datos_consumo_datadis'!A:A,"",""),"""")"),"")</f>
        <v/>
      </c>
      <c r="G17459" s="8" t="str">
        <f t="shared" si="1"/>
        <v/>
      </c>
      <c r="H17459" s="14" t="str">
        <f t="shared" si="2"/>
        <v/>
      </c>
      <c r="I17459" s="15" t="str">
        <f t="shared" si="3"/>
        <v/>
      </c>
    </row>
    <row r="17460">
      <c r="A17460" s="8" t="str">
        <f>IFERROR(__xludf.DUMMYFUNCTION("IF('(INGESTA)Datos_consumo_datadis'!A19025&lt;&gt;"""",SPLIT('(INGESTA)Datos_consumo_datadis'!A:A,"",""),"""")"),"")</f>
        <v/>
      </c>
      <c r="G17460" s="8" t="str">
        <f t="shared" si="1"/>
        <v/>
      </c>
      <c r="H17460" s="14" t="str">
        <f t="shared" si="2"/>
        <v/>
      </c>
      <c r="I17460" s="15" t="str">
        <f t="shared" si="3"/>
        <v/>
      </c>
    </row>
    <row r="17461">
      <c r="A17461" s="8" t="str">
        <f>IFERROR(__xludf.DUMMYFUNCTION("IF('(INGESTA)Datos_consumo_datadis'!A19026&lt;&gt;"""",SPLIT('(INGESTA)Datos_consumo_datadis'!A:A,"",""),"""")"),"")</f>
        <v/>
      </c>
      <c r="G17461" s="8" t="str">
        <f t="shared" si="1"/>
        <v/>
      </c>
      <c r="H17461" s="14" t="str">
        <f t="shared" si="2"/>
        <v/>
      </c>
      <c r="I17461" s="15" t="str">
        <f t="shared" si="3"/>
        <v/>
      </c>
    </row>
    <row r="17462">
      <c r="A17462" s="8" t="str">
        <f>IFERROR(__xludf.DUMMYFUNCTION("IF('(INGESTA)Datos_consumo_datadis'!A19027&lt;&gt;"""",SPLIT('(INGESTA)Datos_consumo_datadis'!A:A,"",""),"""")"),"")</f>
        <v/>
      </c>
      <c r="G17462" s="8" t="str">
        <f t="shared" si="1"/>
        <v/>
      </c>
      <c r="H17462" s="14" t="str">
        <f t="shared" si="2"/>
        <v/>
      </c>
      <c r="I17462" s="15" t="str">
        <f t="shared" si="3"/>
        <v/>
      </c>
    </row>
    <row r="17463">
      <c r="A17463" s="8" t="str">
        <f>IFERROR(__xludf.DUMMYFUNCTION("IF('(INGESTA)Datos_consumo_datadis'!A19028&lt;&gt;"""",SPLIT('(INGESTA)Datos_consumo_datadis'!A:A,"",""),"""")"),"")</f>
        <v/>
      </c>
      <c r="G17463" s="8" t="str">
        <f t="shared" si="1"/>
        <v/>
      </c>
      <c r="H17463" s="14" t="str">
        <f t="shared" si="2"/>
        <v/>
      </c>
      <c r="I17463" s="15" t="str">
        <f t="shared" si="3"/>
        <v/>
      </c>
    </row>
    <row r="17464">
      <c r="A17464" s="8" t="str">
        <f>IFERROR(__xludf.DUMMYFUNCTION("IF('(INGESTA)Datos_consumo_datadis'!A19029&lt;&gt;"""",SPLIT('(INGESTA)Datos_consumo_datadis'!A:A,"",""),"""")"),"")</f>
        <v/>
      </c>
      <c r="G17464" s="8" t="str">
        <f t="shared" si="1"/>
        <v/>
      </c>
      <c r="H17464" s="14" t="str">
        <f t="shared" si="2"/>
        <v/>
      </c>
      <c r="I17464" s="15" t="str">
        <f t="shared" si="3"/>
        <v/>
      </c>
    </row>
    <row r="17465">
      <c r="A17465" s="8" t="str">
        <f>IFERROR(__xludf.DUMMYFUNCTION("IF('(INGESTA)Datos_consumo_datadis'!A19030&lt;&gt;"""",SPLIT('(INGESTA)Datos_consumo_datadis'!A:A,"",""),"""")"),"")</f>
        <v/>
      </c>
      <c r="G17465" s="8" t="str">
        <f t="shared" si="1"/>
        <v/>
      </c>
      <c r="H17465" s="14" t="str">
        <f t="shared" si="2"/>
        <v/>
      </c>
      <c r="I17465" s="15" t="str">
        <f t="shared" si="3"/>
        <v/>
      </c>
    </row>
    <row r="17466">
      <c r="A17466" s="8" t="str">
        <f>IFERROR(__xludf.DUMMYFUNCTION("IF('(INGESTA)Datos_consumo_datadis'!A19031&lt;&gt;"""",SPLIT('(INGESTA)Datos_consumo_datadis'!A:A,"",""),"""")"),"")</f>
        <v/>
      </c>
      <c r="G17466" s="8" t="str">
        <f t="shared" si="1"/>
        <v/>
      </c>
      <c r="H17466" s="14" t="str">
        <f t="shared" si="2"/>
        <v/>
      </c>
      <c r="I17466" s="15" t="str">
        <f t="shared" si="3"/>
        <v/>
      </c>
    </row>
    <row r="17467">
      <c r="A17467" s="8" t="str">
        <f>IFERROR(__xludf.DUMMYFUNCTION("IF('(INGESTA)Datos_consumo_datadis'!A19032&lt;&gt;"""",SPLIT('(INGESTA)Datos_consumo_datadis'!A:A,"",""),"""")"),"")</f>
        <v/>
      </c>
      <c r="G17467" s="8" t="str">
        <f t="shared" si="1"/>
        <v/>
      </c>
      <c r="H17467" s="14" t="str">
        <f t="shared" si="2"/>
        <v/>
      </c>
      <c r="I17467" s="15" t="str">
        <f t="shared" si="3"/>
        <v/>
      </c>
    </row>
    <row r="17468">
      <c r="A17468" s="8" t="str">
        <f>IFERROR(__xludf.DUMMYFUNCTION("IF('(INGESTA)Datos_consumo_datadis'!A19033&lt;&gt;"""",SPLIT('(INGESTA)Datos_consumo_datadis'!A:A,"",""),"""")"),"")</f>
        <v/>
      </c>
      <c r="G17468" s="8" t="str">
        <f t="shared" si="1"/>
        <v/>
      </c>
      <c r="H17468" s="14" t="str">
        <f t="shared" si="2"/>
        <v/>
      </c>
      <c r="I17468" s="15" t="str">
        <f t="shared" si="3"/>
        <v/>
      </c>
    </row>
    <row r="17469">
      <c r="A17469" s="8" t="str">
        <f>IFERROR(__xludf.DUMMYFUNCTION("IF('(INGESTA)Datos_consumo_datadis'!A19034&lt;&gt;"""",SPLIT('(INGESTA)Datos_consumo_datadis'!A:A,"",""),"""")"),"")</f>
        <v/>
      </c>
      <c r="G17469" s="8" t="str">
        <f t="shared" si="1"/>
        <v/>
      </c>
      <c r="H17469" s="14" t="str">
        <f t="shared" si="2"/>
        <v/>
      </c>
      <c r="I17469" s="15" t="str">
        <f t="shared" si="3"/>
        <v/>
      </c>
    </row>
    <row r="17470">
      <c r="A17470" s="8" t="str">
        <f>IFERROR(__xludf.DUMMYFUNCTION("IF('(INGESTA)Datos_consumo_datadis'!A19035&lt;&gt;"""",SPLIT('(INGESTA)Datos_consumo_datadis'!A:A,"",""),"""")"),"")</f>
        <v/>
      </c>
      <c r="G17470" s="8" t="str">
        <f t="shared" si="1"/>
        <v/>
      </c>
      <c r="H17470" s="14" t="str">
        <f t="shared" si="2"/>
        <v/>
      </c>
      <c r="I17470" s="15" t="str">
        <f t="shared" si="3"/>
        <v/>
      </c>
    </row>
    <row r="17471">
      <c r="A17471" s="8" t="str">
        <f>IFERROR(__xludf.DUMMYFUNCTION("IF('(INGESTA)Datos_consumo_datadis'!A19036&lt;&gt;"""",SPLIT('(INGESTA)Datos_consumo_datadis'!A:A,"",""),"""")"),"")</f>
        <v/>
      </c>
      <c r="G17471" s="8" t="str">
        <f t="shared" si="1"/>
        <v/>
      </c>
      <c r="H17471" s="14" t="str">
        <f t="shared" si="2"/>
        <v/>
      </c>
      <c r="I17471" s="15" t="str">
        <f t="shared" si="3"/>
        <v/>
      </c>
    </row>
    <row r="17472">
      <c r="A17472" s="8" t="str">
        <f>IFERROR(__xludf.DUMMYFUNCTION("IF('(INGESTA)Datos_consumo_datadis'!A19037&lt;&gt;"""",SPLIT('(INGESTA)Datos_consumo_datadis'!A:A,"",""),"""")"),"")</f>
        <v/>
      </c>
      <c r="G17472" s="8" t="str">
        <f t="shared" si="1"/>
        <v/>
      </c>
      <c r="H17472" s="14" t="str">
        <f t="shared" si="2"/>
        <v/>
      </c>
      <c r="I17472" s="15" t="str">
        <f t="shared" si="3"/>
        <v/>
      </c>
    </row>
    <row r="17473">
      <c r="A17473" s="8" t="str">
        <f>IFERROR(__xludf.DUMMYFUNCTION("IF('(INGESTA)Datos_consumo_datadis'!A19038&lt;&gt;"""",SPLIT('(INGESTA)Datos_consumo_datadis'!A:A,"",""),"""")"),"")</f>
        <v/>
      </c>
      <c r="G17473" s="8" t="str">
        <f t="shared" si="1"/>
        <v/>
      </c>
      <c r="H17473" s="14" t="str">
        <f t="shared" si="2"/>
        <v/>
      </c>
      <c r="I17473" s="15" t="str">
        <f t="shared" si="3"/>
        <v/>
      </c>
    </row>
    <row r="17474">
      <c r="A17474" s="8" t="str">
        <f>IFERROR(__xludf.DUMMYFUNCTION("IF('(INGESTA)Datos_consumo_datadis'!A19039&lt;&gt;"""",SPLIT('(INGESTA)Datos_consumo_datadis'!A:A,"",""),"""")"),"")</f>
        <v/>
      </c>
      <c r="G17474" s="8" t="str">
        <f t="shared" si="1"/>
        <v/>
      </c>
      <c r="H17474" s="14" t="str">
        <f t="shared" si="2"/>
        <v/>
      </c>
      <c r="I17474" s="15" t="str">
        <f t="shared" si="3"/>
        <v/>
      </c>
    </row>
    <row r="17475">
      <c r="A17475" s="8" t="str">
        <f>IFERROR(__xludf.DUMMYFUNCTION("IF('(INGESTA)Datos_consumo_datadis'!A19040&lt;&gt;"""",SPLIT('(INGESTA)Datos_consumo_datadis'!A:A,"",""),"""")"),"")</f>
        <v/>
      </c>
      <c r="G17475" s="8" t="str">
        <f t="shared" si="1"/>
        <v/>
      </c>
      <c r="H17475" s="14" t="str">
        <f t="shared" si="2"/>
        <v/>
      </c>
      <c r="I17475" s="15" t="str">
        <f t="shared" si="3"/>
        <v/>
      </c>
    </row>
    <row r="17476">
      <c r="A17476" s="8" t="str">
        <f>IFERROR(__xludf.DUMMYFUNCTION("IF('(INGESTA)Datos_consumo_datadis'!A19041&lt;&gt;"""",SPLIT('(INGESTA)Datos_consumo_datadis'!A:A,"",""),"""")"),"")</f>
        <v/>
      </c>
      <c r="G17476" s="8" t="str">
        <f t="shared" si="1"/>
        <v/>
      </c>
      <c r="H17476" s="14" t="str">
        <f t="shared" si="2"/>
        <v/>
      </c>
      <c r="I17476" s="15" t="str">
        <f t="shared" si="3"/>
        <v/>
      </c>
    </row>
    <row r="17477">
      <c r="A17477" s="8" t="str">
        <f>IFERROR(__xludf.DUMMYFUNCTION("IF('(INGESTA)Datos_consumo_datadis'!A19042&lt;&gt;"""",SPLIT('(INGESTA)Datos_consumo_datadis'!A:A,"",""),"""")"),"")</f>
        <v/>
      </c>
      <c r="G17477" s="8" t="str">
        <f t="shared" si="1"/>
        <v/>
      </c>
      <c r="H17477" s="14" t="str">
        <f t="shared" si="2"/>
        <v/>
      </c>
      <c r="I17477" s="15" t="str">
        <f t="shared" si="3"/>
        <v/>
      </c>
    </row>
    <row r="17478">
      <c r="A17478" s="8" t="str">
        <f>IFERROR(__xludf.DUMMYFUNCTION("IF('(INGESTA)Datos_consumo_datadis'!A19043&lt;&gt;"""",SPLIT('(INGESTA)Datos_consumo_datadis'!A:A,"",""),"""")"),"")</f>
        <v/>
      </c>
      <c r="G17478" s="8" t="str">
        <f t="shared" si="1"/>
        <v/>
      </c>
      <c r="H17478" s="14" t="str">
        <f t="shared" si="2"/>
        <v/>
      </c>
      <c r="I17478" s="15" t="str">
        <f t="shared" si="3"/>
        <v/>
      </c>
    </row>
    <row r="17479">
      <c r="A17479" s="8" t="str">
        <f>IFERROR(__xludf.DUMMYFUNCTION("IF('(INGESTA)Datos_consumo_datadis'!A19044&lt;&gt;"""",SPLIT('(INGESTA)Datos_consumo_datadis'!A:A,"",""),"""")"),"")</f>
        <v/>
      </c>
      <c r="G17479" s="8" t="str">
        <f t="shared" si="1"/>
        <v/>
      </c>
      <c r="H17479" s="14" t="str">
        <f t="shared" si="2"/>
        <v/>
      </c>
      <c r="I17479" s="15" t="str">
        <f t="shared" si="3"/>
        <v/>
      </c>
    </row>
    <row r="17480">
      <c r="A17480" s="8" t="str">
        <f>IFERROR(__xludf.DUMMYFUNCTION("IF('(INGESTA)Datos_consumo_datadis'!A19045&lt;&gt;"""",SPLIT('(INGESTA)Datos_consumo_datadis'!A:A,"",""),"""")"),"")</f>
        <v/>
      </c>
      <c r="G17480" s="8" t="str">
        <f t="shared" si="1"/>
        <v/>
      </c>
      <c r="H17480" s="14" t="str">
        <f t="shared" si="2"/>
        <v/>
      </c>
      <c r="I17480" s="15" t="str">
        <f t="shared" si="3"/>
        <v/>
      </c>
    </row>
    <row r="17481">
      <c r="A17481" s="8" t="str">
        <f>IFERROR(__xludf.DUMMYFUNCTION("IF('(INGESTA)Datos_consumo_datadis'!A19046&lt;&gt;"""",SPLIT('(INGESTA)Datos_consumo_datadis'!A:A,"",""),"""")"),"")</f>
        <v/>
      </c>
      <c r="G17481" s="8" t="str">
        <f t="shared" si="1"/>
        <v/>
      </c>
      <c r="H17481" s="14" t="str">
        <f t="shared" si="2"/>
        <v/>
      </c>
      <c r="I17481" s="15" t="str">
        <f t="shared" si="3"/>
        <v/>
      </c>
    </row>
    <row r="17482">
      <c r="A17482" s="8" t="str">
        <f>IFERROR(__xludf.DUMMYFUNCTION("IF('(INGESTA)Datos_consumo_datadis'!A19047&lt;&gt;"""",SPLIT('(INGESTA)Datos_consumo_datadis'!A:A,"",""),"""")"),"")</f>
        <v/>
      </c>
      <c r="G17482" s="8" t="str">
        <f t="shared" si="1"/>
        <v/>
      </c>
      <c r="H17482" s="14" t="str">
        <f t="shared" si="2"/>
        <v/>
      </c>
      <c r="I17482" s="15" t="str">
        <f t="shared" si="3"/>
        <v/>
      </c>
    </row>
    <row r="17483">
      <c r="A17483" s="8" t="str">
        <f>IFERROR(__xludf.DUMMYFUNCTION("IF('(INGESTA)Datos_consumo_datadis'!A19048&lt;&gt;"""",SPLIT('(INGESTA)Datos_consumo_datadis'!A:A,"",""),"""")"),"")</f>
        <v/>
      </c>
      <c r="G17483" s="8" t="str">
        <f t="shared" si="1"/>
        <v/>
      </c>
      <c r="H17483" s="14" t="str">
        <f t="shared" si="2"/>
        <v/>
      </c>
      <c r="I17483" s="15" t="str">
        <f t="shared" si="3"/>
        <v/>
      </c>
    </row>
    <row r="17484">
      <c r="A17484" s="8" t="str">
        <f>IFERROR(__xludf.DUMMYFUNCTION("IF('(INGESTA)Datos_consumo_datadis'!A19049&lt;&gt;"""",SPLIT('(INGESTA)Datos_consumo_datadis'!A:A,"",""),"""")"),"")</f>
        <v/>
      </c>
      <c r="G17484" s="8" t="str">
        <f t="shared" si="1"/>
        <v/>
      </c>
      <c r="H17484" s="14" t="str">
        <f t="shared" si="2"/>
        <v/>
      </c>
      <c r="I17484" s="15" t="str">
        <f t="shared" si="3"/>
        <v/>
      </c>
    </row>
    <row r="17485">
      <c r="A17485" s="8" t="str">
        <f>IFERROR(__xludf.DUMMYFUNCTION("IF('(INGESTA)Datos_consumo_datadis'!A19050&lt;&gt;"""",SPLIT('(INGESTA)Datos_consumo_datadis'!A:A,"",""),"""")"),"")</f>
        <v/>
      </c>
      <c r="G17485" s="8" t="str">
        <f t="shared" si="1"/>
        <v/>
      </c>
      <c r="H17485" s="14" t="str">
        <f t="shared" si="2"/>
        <v/>
      </c>
      <c r="I17485" s="15" t="str">
        <f t="shared" si="3"/>
        <v/>
      </c>
    </row>
    <row r="17486">
      <c r="A17486" s="8" t="str">
        <f>IFERROR(__xludf.DUMMYFUNCTION("IF('(INGESTA)Datos_consumo_datadis'!A19051&lt;&gt;"""",SPLIT('(INGESTA)Datos_consumo_datadis'!A:A,"",""),"""")"),"")</f>
        <v/>
      </c>
      <c r="G17486" s="8" t="str">
        <f t="shared" si="1"/>
        <v/>
      </c>
      <c r="H17486" s="14" t="str">
        <f t="shared" si="2"/>
        <v/>
      </c>
      <c r="I17486" s="15" t="str">
        <f t="shared" si="3"/>
        <v/>
      </c>
    </row>
    <row r="17487">
      <c r="A17487" s="8" t="str">
        <f>IFERROR(__xludf.DUMMYFUNCTION("IF('(INGESTA)Datos_consumo_datadis'!A19052&lt;&gt;"""",SPLIT('(INGESTA)Datos_consumo_datadis'!A:A,"",""),"""")"),"")</f>
        <v/>
      </c>
      <c r="G17487" s="8" t="str">
        <f t="shared" si="1"/>
        <v/>
      </c>
      <c r="H17487" s="14" t="str">
        <f t="shared" si="2"/>
        <v/>
      </c>
      <c r="I17487" s="15" t="str">
        <f t="shared" si="3"/>
        <v/>
      </c>
    </row>
    <row r="17488">
      <c r="A17488" s="8" t="str">
        <f>IFERROR(__xludf.DUMMYFUNCTION("IF('(INGESTA)Datos_consumo_datadis'!A19053&lt;&gt;"""",SPLIT('(INGESTA)Datos_consumo_datadis'!A:A,"",""),"""")"),"")</f>
        <v/>
      </c>
      <c r="G17488" s="8" t="str">
        <f t="shared" si="1"/>
        <v/>
      </c>
      <c r="H17488" s="14" t="str">
        <f t="shared" si="2"/>
        <v/>
      </c>
      <c r="I17488" s="15" t="str">
        <f t="shared" si="3"/>
        <v/>
      </c>
    </row>
    <row r="17489">
      <c r="A17489" s="8" t="str">
        <f>IFERROR(__xludf.DUMMYFUNCTION("IF('(INGESTA)Datos_consumo_datadis'!A19054&lt;&gt;"""",SPLIT('(INGESTA)Datos_consumo_datadis'!A:A,"",""),"""")"),"")</f>
        <v/>
      </c>
      <c r="G17489" s="8" t="str">
        <f t="shared" si="1"/>
        <v/>
      </c>
      <c r="H17489" s="14" t="str">
        <f t="shared" si="2"/>
        <v/>
      </c>
      <c r="I17489" s="15" t="str">
        <f t="shared" si="3"/>
        <v/>
      </c>
    </row>
    <row r="17490">
      <c r="A17490" s="8" t="str">
        <f>IFERROR(__xludf.DUMMYFUNCTION("IF('(INGESTA)Datos_consumo_datadis'!A19055&lt;&gt;"""",SPLIT('(INGESTA)Datos_consumo_datadis'!A:A,"",""),"""")"),"")</f>
        <v/>
      </c>
      <c r="G17490" s="8" t="str">
        <f t="shared" si="1"/>
        <v/>
      </c>
      <c r="H17490" s="14" t="str">
        <f t="shared" si="2"/>
        <v/>
      </c>
      <c r="I17490" s="15" t="str">
        <f t="shared" si="3"/>
        <v/>
      </c>
    </row>
    <row r="17491">
      <c r="A17491" s="8" t="str">
        <f>IFERROR(__xludf.DUMMYFUNCTION("IF('(INGESTA)Datos_consumo_datadis'!A19056&lt;&gt;"""",SPLIT('(INGESTA)Datos_consumo_datadis'!A:A,"",""),"""")"),"")</f>
        <v/>
      </c>
      <c r="G17491" s="8" t="str">
        <f t="shared" si="1"/>
        <v/>
      </c>
      <c r="H17491" s="14" t="str">
        <f t="shared" si="2"/>
        <v/>
      </c>
      <c r="I17491" s="15" t="str">
        <f t="shared" si="3"/>
        <v/>
      </c>
    </row>
    <row r="17492">
      <c r="A17492" s="8" t="str">
        <f>IFERROR(__xludf.DUMMYFUNCTION("IF('(INGESTA)Datos_consumo_datadis'!A19057&lt;&gt;"""",SPLIT('(INGESTA)Datos_consumo_datadis'!A:A,"",""),"""")"),"")</f>
        <v/>
      </c>
      <c r="G17492" s="8" t="str">
        <f t="shared" si="1"/>
        <v/>
      </c>
      <c r="H17492" s="14" t="str">
        <f t="shared" si="2"/>
        <v/>
      </c>
      <c r="I17492" s="15" t="str">
        <f t="shared" si="3"/>
        <v/>
      </c>
    </row>
    <row r="17493">
      <c r="A17493" s="8" t="str">
        <f>IFERROR(__xludf.DUMMYFUNCTION("IF('(INGESTA)Datos_consumo_datadis'!A19058&lt;&gt;"""",SPLIT('(INGESTA)Datos_consumo_datadis'!A:A,"",""),"""")"),"")</f>
        <v/>
      </c>
      <c r="G17493" s="8" t="str">
        <f t="shared" si="1"/>
        <v/>
      </c>
      <c r="H17493" s="14" t="str">
        <f t="shared" si="2"/>
        <v/>
      </c>
      <c r="I17493" s="15" t="str">
        <f t="shared" si="3"/>
        <v/>
      </c>
    </row>
    <row r="17494">
      <c r="A17494" s="8" t="str">
        <f>IFERROR(__xludf.DUMMYFUNCTION("IF('(INGESTA)Datos_consumo_datadis'!A19059&lt;&gt;"""",SPLIT('(INGESTA)Datos_consumo_datadis'!A:A,"",""),"""")"),"")</f>
        <v/>
      </c>
      <c r="G17494" s="8" t="str">
        <f t="shared" si="1"/>
        <v/>
      </c>
      <c r="H17494" s="14" t="str">
        <f t="shared" si="2"/>
        <v/>
      </c>
      <c r="I17494" s="15" t="str">
        <f t="shared" si="3"/>
        <v/>
      </c>
    </row>
    <row r="17495">
      <c r="A17495" s="8" t="str">
        <f>IFERROR(__xludf.DUMMYFUNCTION("IF('(INGESTA)Datos_consumo_datadis'!A19060&lt;&gt;"""",SPLIT('(INGESTA)Datos_consumo_datadis'!A:A,"",""),"""")"),"")</f>
        <v/>
      </c>
      <c r="G17495" s="8" t="str">
        <f t="shared" si="1"/>
        <v/>
      </c>
      <c r="H17495" s="14" t="str">
        <f t="shared" si="2"/>
        <v/>
      </c>
      <c r="I17495" s="15" t="str">
        <f t="shared" si="3"/>
        <v/>
      </c>
    </row>
    <row r="17496">
      <c r="A17496" s="8" t="str">
        <f>IFERROR(__xludf.DUMMYFUNCTION("IF('(INGESTA)Datos_consumo_datadis'!A19061&lt;&gt;"""",SPLIT('(INGESTA)Datos_consumo_datadis'!A:A,"",""),"""")"),"")</f>
        <v/>
      </c>
      <c r="G17496" s="8" t="str">
        <f t="shared" si="1"/>
        <v/>
      </c>
      <c r="H17496" s="14" t="str">
        <f t="shared" si="2"/>
        <v/>
      </c>
      <c r="I17496" s="15" t="str">
        <f t="shared" si="3"/>
        <v/>
      </c>
    </row>
    <row r="17497">
      <c r="A17497" s="8" t="str">
        <f>IFERROR(__xludf.DUMMYFUNCTION("IF('(INGESTA)Datos_consumo_datadis'!A19062&lt;&gt;"""",SPLIT('(INGESTA)Datos_consumo_datadis'!A:A,"",""),"""")"),"")</f>
        <v/>
      </c>
      <c r="G17497" s="8" t="str">
        <f t="shared" si="1"/>
        <v/>
      </c>
      <c r="H17497" s="14" t="str">
        <f t="shared" si="2"/>
        <v/>
      </c>
      <c r="I17497" s="15" t="str">
        <f t="shared" si="3"/>
        <v/>
      </c>
    </row>
    <row r="17498">
      <c r="A17498" s="8" t="str">
        <f>IFERROR(__xludf.DUMMYFUNCTION("IF('(INGESTA)Datos_consumo_datadis'!A19063&lt;&gt;"""",SPLIT('(INGESTA)Datos_consumo_datadis'!A:A,"",""),"""")"),"")</f>
        <v/>
      </c>
      <c r="G17498" s="8" t="str">
        <f t="shared" si="1"/>
        <v/>
      </c>
      <c r="H17498" s="14" t="str">
        <f t="shared" si="2"/>
        <v/>
      </c>
      <c r="I17498" s="15" t="str">
        <f t="shared" si="3"/>
        <v/>
      </c>
    </row>
    <row r="17499">
      <c r="A17499" s="8" t="str">
        <f>IFERROR(__xludf.DUMMYFUNCTION("IF('(INGESTA)Datos_consumo_datadis'!A19064&lt;&gt;"""",SPLIT('(INGESTA)Datos_consumo_datadis'!A:A,"",""),"""")"),"")</f>
        <v/>
      </c>
      <c r="G17499" s="8" t="str">
        <f t="shared" si="1"/>
        <v/>
      </c>
      <c r="H17499" s="14" t="str">
        <f t="shared" si="2"/>
        <v/>
      </c>
      <c r="I17499" s="15" t="str">
        <f t="shared" si="3"/>
        <v/>
      </c>
    </row>
    <row r="17500">
      <c r="A17500" s="8" t="str">
        <f>IFERROR(__xludf.DUMMYFUNCTION("IF('(INGESTA)Datos_consumo_datadis'!A19065&lt;&gt;"""",SPLIT('(INGESTA)Datos_consumo_datadis'!A:A,"",""),"""")"),"")</f>
        <v/>
      </c>
      <c r="G17500" s="8" t="str">
        <f t="shared" si="1"/>
        <v/>
      </c>
      <c r="H17500" s="14" t="str">
        <f t="shared" si="2"/>
        <v/>
      </c>
      <c r="I17500" s="15" t="str">
        <f t="shared" si="3"/>
        <v/>
      </c>
    </row>
    <row r="17501">
      <c r="A17501" s="8" t="str">
        <f>IFERROR(__xludf.DUMMYFUNCTION("IF('(INGESTA)Datos_consumo_datadis'!A19066&lt;&gt;"""",SPLIT('(INGESTA)Datos_consumo_datadis'!A:A,"",""),"""")"),"")</f>
        <v/>
      </c>
      <c r="G17501" s="8" t="str">
        <f t="shared" si="1"/>
        <v/>
      </c>
      <c r="H17501" s="14" t="str">
        <f t="shared" si="2"/>
        <v/>
      </c>
      <c r="I17501" s="15" t="str">
        <f t="shared" si="3"/>
        <v/>
      </c>
    </row>
    <row r="17502">
      <c r="A17502" s="8" t="str">
        <f>IFERROR(__xludf.DUMMYFUNCTION("IF('(INGESTA)Datos_consumo_datadis'!A19067&lt;&gt;"""",SPLIT('(INGESTA)Datos_consumo_datadis'!A:A,"",""),"""")"),"")</f>
        <v/>
      </c>
      <c r="G17502" s="8" t="str">
        <f t="shared" si="1"/>
        <v/>
      </c>
      <c r="H17502" s="14" t="str">
        <f t="shared" si="2"/>
        <v/>
      </c>
      <c r="I17502" s="15" t="str">
        <f t="shared" si="3"/>
        <v/>
      </c>
    </row>
    <row r="17503">
      <c r="A17503" s="8" t="str">
        <f>IFERROR(__xludf.DUMMYFUNCTION("IF('(INGESTA)Datos_consumo_datadis'!A19068&lt;&gt;"""",SPLIT('(INGESTA)Datos_consumo_datadis'!A:A,"",""),"""")"),"")</f>
        <v/>
      </c>
      <c r="G17503" s="8" t="str">
        <f t="shared" si="1"/>
        <v/>
      </c>
      <c r="H17503" s="14" t="str">
        <f t="shared" si="2"/>
        <v/>
      </c>
      <c r="I17503" s="15" t="str">
        <f t="shared" si="3"/>
        <v/>
      </c>
    </row>
    <row r="17504">
      <c r="A17504" s="8" t="str">
        <f>IFERROR(__xludf.DUMMYFUNCTION("IF('(INGESTA)Datos_consumo_datadis'!A19069&lt;&gt;"""",SPLIT('(INGESTA)Datos_consumo_datadis'!A:A,"",""),"""")"),"")</f>
        <v/>
      </c>
      <c r="G17504" s="8" t="str">
        <f t="shared" si="1"/>
        <v/>
      </c>
      <c r="H17504" s="14" t="str">
        <f t="shared" si="2"/>
        <v/>
      </c>
      <c r="I17504" s="15" t="str">
        <f t="shared" si="3"/>
        <v/>
      </c>
    </row>
    <row r="17505">
      <c r="A17505" s="8" t="str">
        <f>IFERROR(__xludf.DUMMYFUNCTION("IF('(INGESTA)Datos_consumo_datadis'!A19070&lt;&gt;"""",SPLIT('(INGESTA)Datos_consumo_datadis'!A:A,"",""),"""")"),"")</f>
        <v/>
      </c>
      <c r="G17505" s="8" t="str">
        <f t="shared" si="1"/>
        <v/>
      </c>
      <c r="H17505" s="14" t="str">
        <f t="shared" si="2"/>
        <v/>
      </c>
      <c r="I17505" s="15" t="str">
        <f t="shared" si="3"/>
        <v/>
      </c>
    </row>
    <row r="17506">
      <c r="A17506" s="8" t="str">
        <f>IFERROR(__xludf.DUMMYFUNCTION("IF('(INGESTA)Datos_consumo_datadis'!A19071&lt;&gt;"""",SPLIT('(INGESTA)Datos_consumo_datadis'!A:A,"",""),"""")"),"")</f>
        <v/>
      </c>
      <c r="G17506" s="8" t="str">
        <f t="shared" si="1"/>
        <v/>
      </c>
      <c r="H17506" s="14" t="str">
        <f t="shared" si="2"/>
        <v/>
      </c>
      <c r="I17506" s="15" t="str">
        <f t="shared" si="3"/>
        <v/>
      </c>
    </row>
    <row r="17507">
      <c r="A17507" s="8" t="str">
        <f>IFERROR(__xludf.DUMMYFUNCTION("IF('(INGESTA)Datos_consumo_datadis'!A19072&lt;&gt;"""",SPLIT('(INGESTA)Datos_consumo_datadis'!A:A,"",""),"""")"),"")</f>
        <v/>
      </c>
      <c r="G17507" s="8" t="str">
        <f t="shared" si="1"/>
        <v/>
      </c>
      <c r="H17507" s="14" t="str">
        <f t="shared" si="2"/>
        <v/>
      </c>
      <c r="I17507" s="15" t="str">
        <f t="shared" si="3"/>
        <v/>
      </c>
    </row>
    <row r="17508">
      <c r="A17508" s="8" t="str">
        <f>IFERROR(__xludf.DUMMYFUNCTION("IF('(INGESTA)Datos_consumo_datadis'!A19073&lt;&gt;"""",SPLIT('(INGESTA)Datos_consumo_datadis'!A:A,"",""),"""")"),"")</f>
        <v/>
      </c>
      <c r="G17508" s="8" t="str">
        <f t="shared" si="1"/>
        <v/>
      </c>
      <c r="H17508" s="14" t="str">
        <f t="shared" si="2"/>
        <v/>
      </c>
      <c r="I17508" s="15" t="str">
        <f t="shared" si="3"/>
        <v/>
      </c>
    </row>
    <row r="17509">
      <c r="A17509" s="8" t="str">
        <f>IFERROR(__xludf.DUMMYFUNCTION("IF('(INGESTA)Datos_consumo_datadis'!A19074&lt;&gt;"""",SPLIT('(INGESTA)Datos_consumo_datadis'!A:A,"",""),"""")"),"")</f>
        <v/>
      </c>
      <c r="G17509" s="8" t="str">
        <f t="shared" si="1"/>
        <v/>
      </c>
      <c r="H17509" s="14" t="str">
        <f t="shared" si="2"/>
        <v/>
      </c>
      <c r="I17509" s="15" t="str">
        <f t="shared" si="3"/>
        <v/>
      </c>
    </row>
    <row r="17510">
      <c r="A17510" s="8" t="str">
        <f>IFERROR(__xludf.DUMMYFUNCTION("IF('(INGESTA)Datos_consumo_datadis'!A19075&lt;&gt;"""",SPLIT('(INGESTA)Datos_consumo_datadis'!A:A,"",""),"""")"),"")</f>
        <v/>
      </c>
      <c r="G17510" s="8" t="str">
        <f t="shared" si="1"/>
        <v/>
      </c>
      <c r="H17510" s="14" t="str">
        <f t="shared" si="2"/>
        <v/>
      </c>
      <c r="I17510" s="15" t="str">
        <f t="shared" si="3"/>
        <v/>
      </c>
    </row>
    <row r="17511">
      <c r="A17511" s="8" t="str">
        <f>IFERROR(__xludf.DUMMYFUNCTION("IF('(INGESTA)Datos_consumo_datadis'!A19076&lt;&gt;"""",SPLIT('(INGESTA)Datos_consumo_datadis'!A:A,"",""),"""")"),"")</f>
        <v/>
      </c>
      <c r="G17511" s="8" t="str">
        <f t="shared" si="1"/>
        <v/>
      </c>
      <c r="H17511" s="14" t="str">
        <f t="shared" si="2"/>
        <v/>
      </c>
      <c r="I17511" s="15" t="str">
        <f t="shared" si="3"/>
        <v/>
      </c>
    </row>
    <row r="17512">
      <c r="A17512" s="8" t="str">
        <f>IFERROR(__xludf.DUMMYFUNCTION("IF('(INGESTA)Datos_consumo_datadis'!A19077&lt;&gt;"""",SPLIT('(INGESTA)Datos_consumo_datadis'!A:A,"",""),"""")"),"")</f>
        <v/>
      </c>
      <c r="G17512" s="8" t="str">
        <f t="shared" si="1"/>
        <v/>
      </c>
      <c r="H17512" s="14" t="str">
        <f t="shared" si="2"/>
        <v/>
      </c>
      <c r="I17512" s="15" t="str">
        <f t="shared" si="3"/>
        <v/>
      </c>
    </row>
    <row r="17513">
      <c r="A17513" s="8" t="str">
        <f>IFERROR(__xludf.DUMMYFUNCTION("IF('(INGESTA)Datos_consumo_datadis'!A19078&lt;&gt;"""",SPLIT('(INGESTA)Datos_consumo_datadis'!A:A,"",""),"""")"),"")</f>
        <v/>
      </c>
      <c r="G17513" s="8" t="str">
        <f t="shared" si="1"/>
        <v/>
      </c>
      <c r="H17513" s="14" t="str">
        <f t="shared" si="2"/>
        <v/>
      </c>
      <c r="I17513" s="15" t="str">
        <f t="shared" si="3"/>
        <v/>
      </c>
    </row>
    <row r="17514">
      <c r="A17514" s="8" t="str">
        <f>IFERROR(__xludf.DUMMYFUNCTION("IF('(INGESTA)Datos_consumo_datadis'!A19079&lt;&gt;"""",SPLIT('(INGESTA)Datos_consumo_datadis'!A:A,"",""),"""")"),"")</f>
        <v/>
      </c>
      <c r="G17514" s="8" t="str">
        <f t="shared" si="1"/>
        <v/>
      </c>
      <c r="H17514" s="14" t="str">
        <f t="shared" si="2"/>
        <v/>
      </c>
      <c r="I17514" s="15" t="str">
        <f t="shared" si="3"/>
        <v/>
      </c>
    </row>
    <row r="17515">
      <c r="A17515" s="8" t="str">
        <f>IFERROR(__xludf.DUMMYFUNCTION("IF('(INGESTA)Datos_consumo_datadis'!A19080&lt;&gt;"""",SPLIT('(INGESTA)Datos_consumo_datadis'!A:A,"",""),"""")"),"")</f>
        <v/>
      </c>
      <c r="G17515" s="8" t="str">
        <f t="shared" si="1"/>
        <v/>
      </c>
      <c r="H17515" s="14" t="str">
        <f t="shared" si="2"/>
        <v/>
      </c>
      <c r="I17515" s="15" t="str">
        <f t="shared" si="3"/>
        <v/>
      </c>
    </row>
    <row r="17516">
      <c r="A17516" s="8" t="str">
        <f>IFERROR(__xludf.DUMMYFUNCTION("IF('(INGESTA)Datos_consumo_datadis'!A19081&lt;&gt;"""",SPLIT('(INGESTA)Datos_consumo_datadis'!A:A,"",""),"""")"),"")</f>
        <v/>
      </c>
      <c r="G17516" s="8" t="str">
        <f t="shared" si="1"/>
        <v/>
      </c>
      <c r="H17516" s="14" t="str">
        <f t="shared" si="2"/>
        <v/>
      </c>
      <c r="I17516" s="15" t="str">
        <f t="shared" si="3"/>
        <v/>
      </c>
    </row>
    <row r="17517">
      <c r="A17517" s="8" t="str">
        <f>IFERROR(__xludf.DUMMYFUNCTION("IF('(INGESTA)Datos_consumo_datadis'!A19082&lt;&gt;"""",SPLIT('(INGESTA)Datos_consumo_datadis'!A:A,"",""),"""")"),"")</f>
        <v/>
      </c>
      <c r="G17517" s="8" t="str">
        <f t="shared" si="1"/>
        <v/>
      </c>
      <c r="H17517" s="14" t="str">
        <f t="shared" si="2"/>
        <v/>
      </c>
      <c r="I17517" s="15" t="str">
        <f t="shared" si="3"/>
        <v/>
      </c>
    </row>
    <row r="17518">
      <c r="A17518" s="8" t="str">
        <f>IFERROR(__xludf.DUMMYFUNCTION("IF('(INGESTA)Datos_consumo_datadis'!A19083&lt;&gt;"""",SPLIT('(INGESTA)Datos_consumo_datadis'!A:A,"",""),"""")"),"")</f>
        <v/>
      </c>
      <c r="G17518" s="8" t="str">
        <f t="shared" si="1"/>
        <v/>
      </c>
      <c r="H17518" s="14" t="str">
        <f t="shared" si="2"/>
        <v/>
      </c>
      <c r="I17518" s="15" t="str">
        <f t="shared" si="3"/>
        <v/>
      </c>
    </row>
    <row r="17519">
      <c r="A17519" s="8" t="str">
        <f>IFERROR(__xludf.DUMMYFUNCTION("IF('(INGESTA)Datos_consumo_datadis'!A19084&lt;&gt;"""",SPLIT('(INGESTA)Datos_consumo_datadis'!A:A,"",""),"""")"),"")</f>
        <v/>
      </c>
      <c r="G17519" s="8" t="str">
        <f t="shared" si="1"/>
        <v/>
      </c>
      <c r="H17519" s="14" t="str">
        <f t="shared" si="2"/>
        <v/>
      </c>
      <c r="I17519" s="15" t="str">
        <f t="shared" si="3"/>
        <v/>
      </c>
    </row>
    <row r="17520">
      <c r="A17520" s="8" t="str">
        <f>IFERROR(__xludf.DUMMYFUNCTION("IF('(INGESTA)Datos_consumo_datadis'!A19085&lt;&gt;"""",SPLIT('(INGESTA)Datos_consumo_datadis'!A:A,"",""),"""")"),"")</f>
        <v/>
      </c>
      <c r="G17520" s="8" t="str">
        <f t="shared" si="1"/>
        <v/>
      </c>
      <c r="H17520" s="14" t="str">
        <f t="shared" si="2"/>
        <v/>
      </c>
      <c r="I17520" s="15" t="str">
        <f t="shared" si="3"/>
        <v/>
      </c>
    </row>
    <row r="17521">
      <c r="A17521" s="8" t="str">
        <f>IFERROR(__xludf.DUMMYFUNCTION("IF('(INGESTA)Datos_consumo_datadis'!A19086&lt;&gt;"""",SPLIT('(INGESTA)Datos_consumo_datadis'!A:A,"",""),"""")"),"")</f>
        <v/>
      </c>
      <c r="G17521" s="8" t="str">
        <f t="shared" si="1"/>
        <v/>
      </c>
      <c r="H17521" s="14" t="str">
        <f t="shared" si="2"/>
        <v/>
      </c>
      <c r="I17521" s="15" t="str">
        <f t="shared" si="3"/>
        <v/>
      </c>
    </row>
    <row r="17522">
      <c r="A17522" s="8" t="str">
        <f>IFERROR(__xludf.DUMMYFUNCTION("IF('(INGESTA)Datos_consumo_datadis'!A19087&lt;&gt;"""",SPLIT('(INGESTA)Datos_consumo_datadis'!A:A,"",""),"""")"),"")</f>
        <v/>
      </c>
      <c r="G17522" s="8" t="str">
        <f t="shared" si="1"/>
        <v/>
      </c>
      <c r="H17522" s="14" t="str">
        <f t="shared" si="2"/>
        <v/>
      </c>
      <c r="I17522" s="15" t="str">
        <f t="shared" si="3"/>
        <v/>
      </c>
    </row>
    <row r="17523">
      <c r="A17523" s="8" t="str">
        <f>IFERROR(__xludf.DUMMYFUNCTION("IF('(INGESTA)Datos_consumo_datadis'!A19088&lt;&gt;"""",SPLIT('(INGESTA)Datos_consumo_datadis'!A:A,"",""),"""")"),"")</f>
        <v/>
      </c>
      <c r="G17523" s="8" t="str">
        <f t="shared" si="1"/>
        <v/>
      </c>
      <c r="H17523" s="14" t="str">
        <f t="shared" si="2"/>
        <v/>
      </c>
      <c r="I17523" s="15" t="str">
        <f t="shared" si="3"/>
        <v/>
      </c>
    </row>
    <row r="17524">
      <c r="A17524" s="8" t="str">
        <f>IFERROR(__xludf.DUMMYFUNCTION("IF('(INGESTA)Datos_consumo_datadis'!A19089&lt;&gt;"""",SPLIT('(INGESTA)Datos_consumo_datadis'!A:A,"",""),"""")"),"")</f>
        <v/>
      </c>
      <c r="G17524" s="8" t="str">
        <f t="shared" si="1"/>
        <v/>
      </c>
      <c r="H17524" s="14" t="str">
        <f t="shared" si="2"/>
        <v/>
      </c>
      <c r="I17524" s="15" t="str">
        <f t="shared" si="3"/>
        <v/>
      </c>
    </row>
    <row r="17525">
      <c r="A17525" s="8" t="str">
        <f>IFERROR(__xludf.DUMMYFUNCTION("IF('(INGESTA)Datos_consumo_datadis'!A19090&lt;&gt;"""",SPLIT('(INGESTA)Datos_consumo_datadis'!A:A,"",""),"""")"),"")</f>
        <v/>
      </c>
      <c r="G17525" s="8" t="str">
        <f t="shared" si="1"/>
        <v/>
      </c>
      <c r="H17525" s="14" t="str">
        <f t="shared" si="2"/>
        <v/>
      </c>
      <c r="I17525" s="15" t="str">
        <f t="shared" si="3"/>
        <v/>
      </c>
    </row>
    <row r="17526">
      <c r="A17526" s="8" t="str">
        <f>IFERROR(__xludf.DUMMYFUNCTION("IF('(INGESTA)Datos_consumo_datadis'!A19091&lt;&gt;"""",SPLIT('(INGESTA)Datos_consumo_datadis'!A:A,"",""),"""")"),"")</f>
        <v/>
      </c>
      <c r="G17526" s="8" t="str">
        <f t="shared" si="1"/>
        <v/>
      </c>
      <c r="H17526" s="14" t="str">
        <f t="shared" si="2"/>
        <v/>
      </c>
      <c r="I17526" s="15" t="str">
        <f t="shared" si="3"/>
        <v/>
      </c>
    </row>
    <row r="17527">
      <c r="A17527" s="8" t="str">
        <f>IFERROR(__xludf.DUMMYFUNCTION("IF('(INGESTA)Datos_consumo_datadis'!A19092&lt;&gt;"""",SPLIT('(INGESTA)Datos_consumo_datadis'!A:A,"",""),"""")"),"")</f>
        <v/>
      </c>
      <c r="G17527" s="8" t="str">
        <f t="shared" si="1"/>
        <v/>
      </c>
      <c r="H17527" s="14" t="str">
        <f t="shared" si="2"/>
        <v/>
      </c>
      <c r="I17527" s="15" t="str">
        <f t="shared" si="3"/>
        <v/>
      </c>
    </row>
    <row r="17528">
      <c r="A17528" s="8" t="str">
        <f>IFERROR(__xludf.DUMMYFUNCTION("IF('(INGESTA)Datos_consumo_datadis'!A19093&lt;&gt;"""",SPLIT('(INGESTA)Datos_consumo_datadis'!A:A,"",""),"""")"),"")</f>
        <v/>
      </c>
      <c r="G17528" s="8" t="str">
        <f t="shared" si="1"/>
        <v/>
      </c>
      <c r="H17528" s="14" t="str">
        <f t="shared" si="2"/>
        <v/>
      </c>
      <c r="I17528" s="15" t="str">
        <f t="shared" si="3"/>
        <v/>
      </c>
    </row>
    <row r="17529">
      <c r="A17529" s="8" t="str">
        <f>IFERROR(__xludf.DUMMYFUNCTION("IF('(INGESTA)Datos_consumo_datadis'!A19094&lt;&gt;"""",SPLIT('(INGESTA)Datos_consumo_datadis'!A:A,"",""),"""")"),"")</f>
        <v/>
      </c>
      <c r="G17529" s="8" t="str">
        <f t="shared" si="1"/>
        <v/>
      </c>
      <c r="H17529" s="14" t="str">
        <f t="shared" si="2"/>
        <v/>
      </c>
      <c r="I17529" s="15" t="str">
        <f t="shared" si="3"/>
        <v/>
      </c>
    </row>
    <row r="17530">
      <c r="A17530" s="8" t="str">
        <f>IFERROR(__xludf.DUMMYFUNCTION("IF('(INGESTA)Datos_consumo_datadis'!A19095&lt;&gt;"""",SPLIT('(INGESTA)Datos_consumo_datadis'!A:A,"",""),"""")"),"")</f>
        <v/>
      </c>
      <c r="G17530" s="8" t="str">
        <f t="shared" si="1"/>
        <v/>
      </c>
      <c r="H17530" s="14" t="str">
        <f t="shared" si="2"/>
        <v/>
      </c>
      <c r="I17530" s="15" t="str">
        <f t="shared" si="3"/>
        <v/>
      </c>
    </row>
    <row r="17531">
      <c r="A17531" s="8" t="str">
        <f>IFERROR(__xludf.DUMMYFUNCTION("IF('(INGESTA)Datos_consumo_datadis'!A19096&lt;&gt;"""",SPLIT('(INGESTA)Datos_consumo_datadis'!A:A,"",""),"""")"),"")</f>
        <v/>
      </c>
      <c r="G17531" s="8" t="str">
        <f t="shared" si="1"/>
        <v/>
      </c>
      <c r="H17531" s="14" t="str">
        <f t="shared" si="2"/>
        <v/>
      </c>
      <c r="I17531" s="15" t="str">
        <f t="shared" si="3"/>
        <v/>
      </c>
    </row>
    <row r="17532">
      <c r="A17532" s="8" t="str">
        <f>IFERROR(__xludf.DUMMYFUNCTION("IF('(INGESTA)Datos_consumo_datadis'!A19097&lt;&gt;"""",SPLIT('(INGESTA)Datos_consumo_datadis'!A:A,"",""),"""")"),"")</f>
        <v/>
      </c>
      <c r="G17532" s="8" t="str">
        <f t="shared" si="1"/>
        <v/>
      </c>
      <c r="H17532" s="14" t="str">
        <f t="shared" si="2"/>
        <v/>
      </c>
      <c r="I17532" s="15" t="str">
        <f t="shared" si="3"/>
        <v/>
      </c>
    </row>
    <row r="17533">
      <c r="A17533" s="8" t="str">
        <f>IFERROR(__xludf.DUMMYFUNCTION("IF('(INGESTA)Datos_consumo_datadis'!A19098&lt;&gt;"""",SPLIT('(INGESTA)Datos_consumo_datadis'!A:A,"",""),"""")"),"")</f>
        <v/>
      </c>
      <c r="G17533" s="8" t="str">
        <f t="shared" si="1"/>
        <v/>
      </c>
      <c r="H17533" s="14" t="str">
        <f t="shared" si="2"/>
        <v/>
      </c>
      <c r="I17533" s="15" t="str">
        <f t="shared" si="3"/>
        <v/>
      </c>
    </row>
    <row r="17534">
      <c r="A17534" s="8" t="str">
        <f>IFERROR(__xludf.DUMMYFUNCTION("IF('(INGESTA)Datos_consumo_datadis'!A19099&lt;&gt;"""",SPLIT('(INGESTA)Datos_consumo_datadis'!A:A,"",""),"""")"),"")</f>
        <v/>
      </c>
      <c r="G17534" s="8" t="str">
        <f t="shared" si="1"/>
        <v/>
      </c>
      <c r="H17534" s="14" t="str">
        <f t="shared" si="2"/>
        <v/>
      </c>
      <c r="I17534" s="15" t="str">
        <f t="shared" si="3"/>
        <v/>
      </c>
    </row>
    <row r="17535">
      <c r="A17535" s="8" t="str">
        <f>IFERROR(__xludf.DUMMYFUNCTION("IF('(INGESTA)Datos_consumo_datadis'!A19100&lt;&gt;"""",SPLIT('(INGESTA)Datos_consumo_datadis'!A:A,"",""),"""")"),"")</f>
        <v/>
      </c>
      <c r="G17535" s="8" t="str">
        <f t="shared" si="1"/>
        <v/>
      </c>
      <c r="H17535" s="14" t="str">
        <f t="shared" si="2"/>
        <v/>
      </c>
      <c r="I17535" s="15" t="str">
        <f t="shared" si="3"/>
        <v/>
      </c>
    </row>
    <row r="17536">
      <c r="A17536" s="8" t="str">
        <f>IFERROR(__xludf.DUMMYFUNCTION("IF('(INGESTA)Datos_consumo_datadis'!A19101&lt;&gt;"""",SPLIT('(INGESTA)Datos_consumo_datadis'!A:A,"",""),"""")"),"")</f>
        <v/>
      </c>
      <c r="G17536" s="8" t="str">
        <f t="shared" si="1"/>
        <v/>
      </c>
      <c r="H17536" s="14" t="str">
        <f t="shared" si="2"/>
        <v/>
      </c>
      <c r="I17536" s="15" t="str">
        <f t="shared" si="3"/>
        <v/>
      </c>
    </row>
    <row r="17537">
      <c r="A17537" s="8" t="str">
        <f>IFERROR(__xludf.DUMMYFUNCTION("IF('(INGESTA)Datos_consumo_datadis'!A19102&lt;&gt;"""",SPLIT('(INGESTA)Datos_consumo_datadis'!A:A,"",""),"""")"),"")</f>
        <v/>
      </c>
      <c r="G17537" s="8" t="str">
        <f t="shared" si="1"/>
        <v/>
      </c>
      <c r="H17537" s="14" t="str">
        <f t="shared" si="2"/>
        <v/>
      </c>
      <c r="I17537" s="15" t="str">
        <f t="shared" si="3"/>
        <v/>
      </c>
    </row>
    <row r="17538">
      <c r="A17538" s="8" t="str">
        <f>IFERROR(__xludf.DUMMYFUNCTION("IF('(INGESTA)Datos_consumo_datadis'!A19103&lt;&gt;"""",SPLIT('(INGESTA)Datos_consumo_datadis'!A:A,"",""),"""")"),"")</f>
        <v/>
      </c>
      <c r="G17538" s="8" t="str">
        <f t="shared" si="1"/>
        <v/>
      </c>
      <c r="H17538" s="14" t="str">
        <f t="shared" si="2"/>
        <v/>
      </c>
      <c r="I17538" s="15" t="str">
        <f t="shared" si="3"/>
        <v/>
      </c>
    </row>
    <row r="17539">
      <c r="A17539" s="8" t="str">
        <f>IFERROR(__xludf.DUMMYFUNCTION("IF('(INGESTA)Datos_consumo_datadis'!A19104&lt;&gt;"""",SPLIT('(INGESTA)Datos_consumo_datadis'!A:A,"",""),"""")"),"")</f>
        <v/>
      </c>
      <c r="G17539" s="8" t="str">
        <f t="shared" si="1"/>
        <v/>
      </c>
      <c r="H17539" s="14" t="str">
        <f t="shared" si="2"/>
        <v/>
      </c>
      <c r="I17539" s="15" t="str">
        <f t="shared" si="3"/>
        <v/>
      </c>
    </row>
    <row r="17540">
      <c r="A17540" s="8" t="str">
        <f>IFERROR(__xludf.DUMMYFUNCTION("IF('(INGESTA)Datos_consumo_datadis'!A19105&lt;&gt;"""",SPLIT('(INGESTA)Datos_consumo_datadis'!A:A,"",""),"""")"),"")</f>
        <v/>
      </c>
      <c r="G17540" s="8" t="str">
        <f t="shared" si="1"/>
        <v/>
      </c>
      <c r="H17540" s="14" t="str">
        <f t="shared" si="2"/>
        <v/>
      </c>
      <c r="I17540" s="15" t="str">
        <f t="shared" si="3"/>
        <v/>
      </c>
    </row>
    <row r="17541">
      <c r="A17541" s="8" t="str">
        <f>IFERROR(__xludf.DUMMYFUNCTION("IF('(INGESTA)Datos_consumo_datadis'!A19106&lt;&gt;"""",SPLIT('(INGESTA)Datos_consumo_datadis'!A:A,"",""),"""")"),"")</f>
        <v/>
      </c>
      <c r="G17541" s="8" t="str">
        <f t="shared" si="1"/>
        <v/>
      </c>
      <c r="H17541" s="14" t="str">
        <f t="shared" si="2"/>
        <v/>
      </c>
      <c r="I17541" s="15" t="str">
        <f t="shared" si="3"/>
        <v/>
      </c>
    </row>
    <row r="17542">
      <c r="A17542" s="8" t="str">
        <f>IFERROR(__xludf.DUMMYFUNCTION("IF('(INGESTA)Datos_consumo_datadis'!A19107&lt;&gt;"""",SPLIT('(INGESTA)Datos_consumo_datadis'!A:A,"",""),"""")"),"")</f>
        <v/>
      </c>
      <c r="G17542" s="8" t="str">
        <f t="shared" si="1"/>
        <v/>
      </c>
      <c r="H17542" s="14" t="str">
        <f t="shared" si="2"/>
        <v/>
      </c>
      <c r="I17542" s="15" t="str">
        <f t="shared" si="3"/>
        <v/>
      </c>
    </row>
    <row r="17543">
      <c r="A17543" s="8" t="str">
        <f>IFERROR(__xludf.DUMMYFUNCTION("IF('(INGESTA)Datos_consumo_datadis'!A19108&lt;&gt;"""",SPLIT('(INGESTA)Datos_consumo_datadis'!A:A,"",""),"""")"),"")</f>
        <v/>
      </c>
      <c r="G17543" s="8" t="str">
        <f t="shared" si="1"/>
        <v/>
      </c>
      <c r="H17543" s="14" t="str">
        <f t="shared" si="2"/>
        <v/>
      </c>
      <c r="I17543" s="15" t="str">
        <f t="shared" si="3"/>
        <v/>
      </c>
    </row>
    <row r="17544">
      <c r="A17544" s="8" t="str">
        <f>IFERROR(__xludf.DUMMYFUNCTION("IF('(INGESTA)Datos_consumo_datadis'!A19109&lt;&gt;"""",SPLIT('(INGESTA)Datos_consumo_datadis'!A:A,"",""),"""")"),"")</f>
        <v/>
      </c>
      <c r="G17544" s="8" t="str">
        <f t="shared" si="1"/>
        <v/>
      </c>
      <c r="H17544" s="14" t="str">
        <f t="shared" si="2"/>
        <v/>
      </c>
      <c r="I17544" s="15" t="str">
        <f t="shared" si="3"/>
        <v/>
      </c>
    </row>
    <row r="17545">
      <c r="A17545" s="8" t="str">
        <f>IFERROR(__xludf.DUMMYFUNCTION("IF('(INGESTA)Datos_consumo_datadis'!A19110&lt;&gt;"""",SPLIT('(INGESTA)Datos_consumo_datadis'!A:A,"",""),"""")"),"")</f>
        <v/>
      </c>
      <c r="G17545" s="8" t="str">
        <f t="shared" si="1"/>
        <v/>
      </c>
      <c r="H17545" s="14" t="str">
        <f t="shared" si="2"/>
        <v/>
      </c>
      <c r="I17545" s="15" t="str">
        <f t="shared" si="3"/>
        <v/>
      </c>
    </row>
    <row r="17546">
      <c r="A17546" s="8" t="str">
        <f>IFERROR(__xludf.DUMMYFUNCTION("IF('(INGESTA)Datos_consumo_datadis'!A19111&lt;&gt;"""",SPLIT('(INGESTA)Datos_consumo_datadis'!A:A,"",""),"""")"),"")</f>
        <v/>
      </c>
      <c r="G17546" s="8" t="str">
        <f t="shared" si="1"/>
        <v/>
      </c>
      <c r="H17546" s="14" t="str">
        <f t="shared" si="2"/>
        <v/>
      </c>
      <c r="I17546" s="15" t="str">
        <f t="shared" si="3"/>
        <v/>
      </c>
    </row>
    <row r="17547">
      <c r="A17547" s="8" t="str">
        <f>IFERROR(__xludf.DUMMYFUNCTION("IF('(INGESTA)Datos_consumo_datadis'!A19112&lt;&gt;"""",SPLIT('(INGESTA)Datos_consumo_datadis'!A:A,"",""),"""")"),"")</f>
        <v/>
      </c>
      <c r="G17547" s="8" t="str">
        <f t="shared" si="1"/>
        <v/>
      </c>
      <c r="H17547" s="14" t="str">
        <f t="shared" si="2"/>
        <v/>
      </c>
      <c r="I17547" s="15" t="str">
        <f t="shared" si="3"/>
        <v/>
      </c>
    </row>
    <row r="17548">
      <c r="A17548" s="8" t="str">
        <f>IFERROR(__xludf.DUMMYFUNCTION("IF('(INGESTA)Datos_consumo_datadis'!A19113&lt;&gt;"""",SPLIT('(INGESTA)Datos_consumo_datadis'!A:A,"",""),"""")"),"")</f>
        <v/>
      </c>
      <c r="G17548" s="8" t="str">
        <f t="shared" si="1"/>
        <v/>
      </c>
      <c r="H17548" s="14" t="str">
        <f t="shared" si="2"/>
        <v/>
      </c>
      <c r="I17548" s="15" t="str">
        <f t="shared" si="3"/>
        <v/>
      </c>
    </row>
    <row r="17549">
      <c r="A17549" s="8" t="str">
        <f>IFERROR(__xludf.DUMMYFUNCTION("IF('(INGESTA)Datos_consumo_datadis'!A19114&lt;&gt;"""",SPLIT('(INGESTA)Datos_consumo_datadis'!A:A,"",""),"""")"),"")</f>
        <v/>
      </c>
      <c r="G17549" s="8" t="str">
        <f t="shared" si="1"/>
        <v/>
      </c>
      <c r="H17549" s="14" t="str">
        <f t="shared" si="2"/>
        <v/>
      </c>
      <c r="I17549" s="15" t="str">
        <f t="shared" si="3"/>
        <v/>
      </c>
    </row>
    <row r="17550">
      <c r="A17550" s="8" t="str">
        <f>IFERROR(__xludf.DUMMYFUNCTION("IF('(INGESTA)Datos_consumo_datadis'!A19115&lt;&gt;"""",SPLIT('(INGESTA)Datos_consumo_datadis'!A:A,"",""),"""")"),"")</f>
        <v/>
      </c>
      <c r="G17550" s="8" t="str">
        <f t="shared" si="1"/>
        <v/>
      </c>
      <c r="H17550" s="14" t="str">
        <f t="shared" si="2"/>
        <v/>
      </c>
      <c r="I17550" s="15" t="str">
        <f t="shared" si="3"/>
        <v/>
      </c>
    </row>
    <row r="17551">
      <c r="A17551" s="8" t="str">
        <f>IFERROR(__xludf.DUMMYFUNCTION("IF('(INGESTA)Datos_consumo_datadis'!A19116&lt;&gt;"""",SPLIT('(INGESTA)Datos_consumo_datadis'!A:A,"",""),"""")"),"")</f>
        <v/>
      </c>
      <c r="G17551" s="8" t="str">
        <f t="shared" si="1"/>
        <v/>
      </c>
      <c r="H17551" s="14" t="str">
        <f t="shared" si="2"/>
        <v/>
      </c>
      <c r="I17551" s="15" t="str">
        <f t="shared" si="3"/>
        <v/>
      </c>
    </row>
    <row r="17552">
      <c r="A17552" s="8" t="str">
        <f>IFERROR(__xludf.DUMMYFUNCTION("IF('(INGESTA)Datos_consumo_datadis'!A19117&lt;&gt;"""",SPLIT('(INGESTA)Datos_consumo_datadis'!A:A,"",""),"""")"),"")</f>
        <v/>
      </c>
      <c r="G17552" s="8" t="str">
        <f t="shared" si="1"/>
        <v/>
      </c>
      <c r="H17552" s="14" t="str">
        <f t="shared" si="2"/>
        <v/>
      </c>
      <c r="I17552" s="15" t="str">
        <f t="shared" si="3"/>
        <v/>
      </c>
    </row>
    <row r="17553">
      <c r="A17553" s="8" t="str">
        <f>IFERROR(__xludf.DUMMYFUNCTION("IF('(INGESTA)Datos_consumo_datadis'!A19118&lt;&gt;"""",SPLIT('(INGESTA)Datos_consumo_datadis'!A:A,"",""),"""")"),"")</f>
        <v/>
      </c>
      <c r="G17553" s="8" t="str">
        <f t="shared" si="1"/>
        <v/>
      </c>
      <c r="H17553" s="14" t="str">
        <f t="shared" si="2"/>
        <v/>
      </c>
      <c r="I17553" s="15" t="str">
        <f t="shared" si="3"/>
        <v/>
      </c>
    </row>
    <row r="17554">
      <c r="A17554" s="8" t="str">
        <f>IFERROR(__xludf.DUMMYFUNCTION("IF('(INGESTA)Datos_consumo_datadis'!A19119&lt;&gt;"""",SPLIT('(INGESTA)Datos_consumo_datadis'!A:A,"",""),"""")"),"")</f>
        <v/>
      </c>
      <c r="G17554" s="8" t="str">
        <f t="shared" si="1"/>
        <v/>
      </c>
      <c r="H17554" s="14" t="str">
        <f t="shared" si="2"/>
        <v/>
      </c>
      <c r="I17554" s="15" t="str">
        <f t="shared" si="3"/>
        <v/>
      </c>
    </row>
    <row r="17555">
      <c r="A17555" s="8" t="str">
        <f>IFERROR(__xludf.DUMMYFUNCTION("IF('(INGESTA)Datos_consumo_datadis'!A19120&lt;&gt;"""",SPLIT('(INGESTA)Datos_consumo_datadis'!A:A,"",""),"""")"),"")</f>
        <v/>
      </c>
      <c r="G17555" s="8" t="str">
        <f t="shared" si="1"/>
        <v/>
      </c>
      <c r="H17555" s="14" t="str">
        <f t="shared" si="2"/>
        <v/>
      </c>
      <c r="I17555" s="15" t="str">
        <f t="shared" si="3"/>
        <v/>
      </c>
    </row>
    <row r="17556">
      <c r="A17556" s="8" t="str">
        <f>IFERROR(__xludf.DUMMYFUNCTION("IF('(INGESTA)Datos_consumo_datadis'!A19121&lt;&gt;"""",SPLIT('(INGESTA)Datos_consumo_datadis'!A:A,"",""),"""")"),"")</f>
        <v/>
      </c>
      <c r="G17556" s="8" t="str">
        <f t="shared" si="1"/>
        <v/>
      </c>
      <c r="H17556" s="14" t="str">
        <f t="shared" si="2"/>
        <v/>
      </c>
      <c r="I17556" s="15" t="str">
        <f t="shared" si="3"/>
        <v/>
      </c>
    </row>
    <row r="17557">
      <c r="A17557" s="8" t="str">
        <f>IFERROR(__xludf.DUMMYFUNCTION("IF('(INGESTA)Datos_consumo_datadis'!A19122&lt;&gt;"""",SPLIT('(INGESTA)Datos_consumo_datadis'!A:A,"",""),"""")"),"")</f>
        <v/>
      </c>
      <c r="G17557" s="8" t="str">
        <f t="shared" si="1"/>
        <v/>
      </c>
      <c r="H17557" s="14" t="str">
        <f t="shared" si="2"/>
        <v/>
      </c>
      <c r="I17557" s="15" t="str">
        <f t="shared" si="3"/>
        <v/>
      </c>
    </row>
    <row r="17558">
      <c r="A17558" s="8" t="str">
        <f>IFERROR(__xludf.DUMMYFUNCTION("IF('(INGESTA)Datos_consumo_datadis'!A19123&lt;&gt;"""",SPLIT('(INGESTA)Datos_consumo_datadis'!A:A,"",""),"""")"),"")</f>
        <v/>
      </c>
      <c r="G17558" s="8" t="str">
        <f t="shared" si="1"/>
        <v/>
      </c>
      <c r="H17558" s="14" t="str">
        <f t="shared" si="2"/>
        <v/>
      </c>
      <c r="I17558" s="15" t="str">
        <f t="shared" si="3"/>
        <v/>
      </c>
    </row>
    <row r="17559">
      <c r="A17559" s="8" t="str">
        <f>IFERROR(__xludf.DUMMYFUNCTION("IF('(INGESTA)Datos_consumo_datadis'!A19124&lt;&gt;"""",SPLIT('(INGESTA)Datos_consumo_datadis'!A:A,"",""),"""")"),"")</f>
        <v/>
      </c>
      <c r="G17559" s="8" t="str">
        <f t="shared" si="1"/>
        <v/>
      </c>
      <c r="H17559" s="14" t="str">
        <f t="shared" si="2"/>
        <v/>
      </c>
      <c r="I17559" s="15" t="str">
        <f t="shared" si="3"/>
        <v/>
      </c>
    </row>
    <row r="17560">
      <c r="A17560" s="8" t="str">
        <f>IFERROR(__xludf.DUMMYFUNCTION("IF('(INGESTA)Datos_consumo_datadis'!A19125&lt;&gt;"""",SPLIT('(INGESTA)Datos_consumo_datadis'!A:A,"",""),"""")"),"")</f>
        <v/>
      </c>
      <c r="G17560" s="8" t="str">
        <f t="shared" si="1"/>
        <v/>
      </c>
      <c r="H17560" s="14" t="str">
        <f t="shared" si="2"/>
        <v/>
      </c>
      <c r="I17560" s="15" t="str">
        <f t="shared" si="3"/>
        <v/>
      </c>
    </row>
    <row r="17561">
      <c r="A17561" s="8" t="str">
        <f>IFERROR(__xludf.DUMMYFUNCTION("IF('(INGESTA)Datos_consumo_datadis'!A19126&lt;&gt;"""",SPLIT('(INGESTA)Datos_consumo_datadis'!A:A,"",""),"""")"),"")</f>
        <v/>
      </c>
      <c r="G17561" s="8" t="str">
        <f t="shared" si="1"/>
        <v/>
      </c>
      <c r="H17561" s="14" t="str">
        <f t="shared" si="2"/>
        <v/>
      </c>
      <c r="I17561" s="15" t="str">
        <f t="shared" si="3"/>
        <v/>
      </c>
    </row>
    <row r="17562">
      <c r="A17562" s="8" t="str">
        <f>IFERROR(__xludf.DUMMYFUNCTION("IF('(INGESTA)Datos_consumo_datadis'!A19127&lt;&gt;"""",SPLIT('(INGESTA)Datos_consumo_datadis'!A:A,"",""),"""")"),"")</f>
        <v/>
      </c>
      <c r="G17562" s="8" t="str">
        <f t="shared" si="1"/>
        <v/>
      </c>
      <c r="H17562" s="14" t="str">
        <f t="shared" si="2"/>
        <v/>
      </c>
      <c r="I17562" s="15" t="str">
        <f t="shared" si="3"/>
        <v/>
      </c>
    </row>
    <row r="17563">
      <c r="A17563" s="8" t="str">
        <f>IFERROR(__xludf.DUMMYFUNCTION("IF('(INGESTA)Datos_consumo_datadis'!A19128&lt;&gt;"""",SPLIT('(INGESTA)Datos_consumo_datadis'!A:A,"",""),"""")"),"")</f>
        <v/>
      </c>
      <c r="G17563" s="8" t="str">
        <f t="shared" si="1"/>
        <v/>
      </c>
      <c r="H17563" s="14" t="str">
        <f t="shared" si="2"/>
        <v/>
      </c>
      <c r="I17563" s="15" t="str">
        <f t="shared" si="3"/>
        <v/>
      </c>
    </row>
    <row r="17564">
      <c r="A17564" s="8" t="str">
        <f>IFERROR(__xludf.DUMMYFUNCTION("IF('(INGESTA)Datos_consumo_datadis'!A19129&lt;&gt;"""",SPLIT('(INGESTA)Datos_consumo_datadis'!A:A,"",""),"""")"),"")</f>
        <v/>
      </c>
      <c r="G17564" s="8" t="str">
        <f t="shared" si="1"/>
        <v/>
      </c>
      <c r="H17564" s="14" t="str">
        <f t="shared" si="2"/>
        <v/>
      </c>
      <c r="I17564" s="15" t="str">
        <f t="shared" si="3"/>
        <v/>
      </c>
    </row>
    <row r="17565">
      <c r="A17565" s="8" t="str">
        <f>IFERROR(__xludf.DUMMYFUNCTION("IF('(INGESTA)Datos_consumo_datadis'!A19130&lt;&gt;"""",SPLIT('(INGESTA)Datos_consumo_datadis'!A:A,"",""),"""")"),"")</f>
        <v/>
      </c>
      <c r="G17565" s="8" t="str">
        <f t="shared" si="1"/>
        <v/>
      </c>
      <c r="H17565" s="14" t="str">
        <f t="shared" si="2"/>
        <v/>
      </c>
      <c r="I17565" s="15" t="str">
        <f t="shared" si="3"/>
        <v/>
      </c>
    </row>
    <row r="17566">
      <c r="A17566" s="8" t="str">
        <f>IFERROR(__xludf.DUMMYFUNCTION("IF('(INGESTA)Datos_consumo_datadis'!A19131&lt;&gt;"""",SPLIT('(INGESTA)Datos_consumo_datadis'!A:A,"",""),"""")"),"")</f>
        <v/>
      </c>
      <c r="G17566" s="8" t="str">
        <f t="shared" si="1"/>
        <v/>
      </c>
      <c r="H17566" s="14" t="str">
        <f t="shared" si="2"/>
        <v/>
      </c>
      <c r="I17566" s="15" t="str">
        <f t="shared" si="3"/>
        <v/>
      </c>
    </row>
    <row r="17567">
      <c r="A17567" s="8" t="str">
        <f>IFERROR(__xludf.DUMMYFUNCTION("IF('(INGESTA)Datos_consumo_datadis'!A19132&lt;&gt;"""",SPLIT('(INGESTA)Datos_consumo_datadis'!A:A,"",""),"""")"),"")</f>
        <v/>
      </c>
      <c r="G17567" s="8" t="str">
        <f t="shared" si="1"/>
        <v/>
      </c>
      <c r="H17567" s="14" t="str">
        <f t="shared" si="2"/>
        <v/>
      </c>
      <c r="I17567" s="15" t="str">
        <f t="shared" si="3"/>
        <v/>
      </c>
    </row>
    <row r="17568">
      <c r="A17568" s="8" t="str">
        <f>IFERROR(__xludf.DUMMYFUNCTION("IF('(INGESTA)Datos_consumo_datadis'!A19133&lt;&gt;"""",SPLIT('(INGESTA)Datos_consumo_datadis'!A:A,"",""),"""")"),"")</f>
        <v/>
      </c>
      <c r="G17568" s="8" t="str">
        <f t="shared" si="1"/>
        <v/>
      </c>
      <c r="H17568" s="14" t="str">
        <f t="shared" si="2"/>
        <v/>
      </c>
      <c r="I17568" s="15" t="str">
        <f t="shared" si="3"/>
        <v/>
      </c>
    </row>
    <row r="17569">
      <c r="A17569" s="8" t="str">
        <f>IFERROR(__xludf.DUMMYFUNCTION("IF('(INGESTA)Datos_consumo_datadis'!A19134&lt;&gt;"""",SPLIT('(INGESTA)Datos_consumo_datadis'!A:A,"",""),"""")"),"")</f>
        <v/>
      </c>
      <c r="G17569" s="8" t="str">
        <f t="shared" si="1"/>
        <v/>
      </c>
      <c r="H17569" s="14" t="str">
        <f t="shared" si="2"/>
        <v/>
      </c>
      <c r="I17569" s="15" t="str">
        <f t="shared" si="3"/>
        <v/>
      </c>
    </row>
    <row r="17570">
      <c r="A17570" s="8" t="str">
        <f>IFERROR(__xludf.DUMMYFUNCTION("IF('(INGESTA)Datos_consumo_datadis'!A19135&lt;&gt;"""",SPLIT('(INGESTA)Datos_consumo_datadis'!A:A,"",""),"""")"),"")</f>
        <v/>
      </c>
      <c r="G17570" s="8" t="str">
        <f t="shared" si="1"/>
        <v/>
      </c>
      <c r="H17570" s="14" t="str">
        <f t="shared" si="2"/>
        <v/>
      </c>
      <c r="I17570" s="15" t="str">
        <f t="shared" si="3"/>
        <v/>
      </c>
    </row>
    <row r="17571">
      <c r="A17571" s="8" t="str">
        <f>IFERROR(__xludf.DUMMYFUNCTION("IF('(INGESTA)Datos_consumo_datadis'!A19136&lt;&gt;"""",SPLIT('(INGESTA)Datos_consumo_datadis'!A:A,"",""),"""")"),"")</f>
        <v/>
      </c>
      <c r="G17571" s="8" t="str">
        <f t="shared" si="1"/>
        <v/>
      </c>
      <c r="H17571" s="14" t="str">
        <f t="shared" si="2"/>
        <v/>
      </c>
      <c r="I17571" s="15" t="str">
        <f t="shared" si="3"/>
        <v/>
      </c>
    </row>
    <row r="17572">
      <c r="A17572" s="8" t="str">
        <f>IFERROR(__xludf.DUMMYFUNCTION("IF('(INGESTA)Datos_consumo_datadis'!A19137&lt;&gt;"""",SPLIT('(INGESTA)Datos_consumo_datadis'!A:A,"",""),"""")"),"")</f>
        <v/>
      </c>
      <c r="G17572" s="8" t="str">
        <f t="shared" si="1"/>
        <v/>
      </c>
      <c r="H17572" s="14" t="str">
        <f t="shared" si="2"/>
        <v/>
      </c>
      <c r="I17572" s="15" t="str">
        <f t="shared" si="3"/>
        <v/>
      </c>
    </row>
    <row r="17573">
      <c r="A17573" s="8" t="str">
        <f>IFERROR(__xludf.DUMMYFUNCTION("IF('(INGESTA)Datos_consumo_datadis'!A19138&lt;&gt;"""",SPLIT('(INGESTA)Datos_consumo_datadis'!A:A,"",""),"""")"),"")</f>
        <v/>
      </c>
      <c r="G17573" s="8" t="str">
        <f t="shared" si="1"/>
        <v/>
      </c>
      <c r="H17573" s="14" t="str">
        <f t="shared" si="2"/>
        <v/>
      </c>
      <c r="I17573" s="15" t="str">
        <f t="shared" si="3"/>
        <v/>
      </c>
    </row>
    <row r="17574">
      <c r="A17574" s="8" t="str">
        <f>IFERROR(__xludf.DUMMYFUNCTION("IF('(INGESTA)Datos_consumo_datadis'!A19139&lt;&gt;"""",SPLIT('(INGESTA)Datos_consumo_datadis'!A:A,"",""),"""")"),"")</f>
        <v/>
      </c>
      <c r="G17574" s="8" t="str">
        <f t="shared" si="1"/>
        <v/>
      </c>
      <c r="H17574" s="14" t="str">
        <f t="shared" si="2"/>
        <v/>
      </c>
      <c r="I17574" s="15" t="str">
        <f t="shared" si="3"/>
        <v/>
      </c>
    </row>
    <row r="17575">
      <c r="A17575" s="8" t="str">
        <f>IFERROR(__xludf.DUMMYFUNCTION("IF('(INGESTA)Datos_consumo_datadis'!A19140&lt;&gt;"""",SPLIT('(INGESTA)Datos_consumo_datadis'!A:A,"",""),"""")"),"")</f>
        <v/>
      </c>
      <c r="G17575" s="8" t="str">
        <f t="shared" si="1"/>
        <v/>
      </c>
      <c r="H17575" s="14" t="str">
        <f t="shared" si="2"/>
        <v/>
      </c>
      <c r="I17575" s="15" t="str">
        <f t="shared" si="3"/>
        <v/>
      </c>
    </row>
    <row r="17576">
      <c r="A17576" s="8" t="str">
        <f>IFERROR(__xludf.DUMMYFUNCTION("IF('(INGESTA)Datos_consumo_datadis'!A19141&lt;&gt;"""",SPLIT('(INGESTA)Datos_consumo_datadis'!A:A,"",""),"""")"),"")</f>
        <v/>
      </c>
      <c r="G17576" s="8" t="str">
        <f t="shared" si="1"/>
        <v/>
      </c>
      <c r="H17576" s="14" t="str">
        <f t="shared" si="2"/>
        <v/>
      </c>
      <c r="I17576" s="15" t="str">
        <f t="shared" si="3"/>
        <v/>
      </c>
    </row>
    <row r="17577">
      <c r="A17577" s="8" t="str">
        <f>IFERROR(__xludf.DUMMYFUNCTION("IF('(INGESTA)Datos_consumo_datadis'!A19142&lt;&gt;"""",SPLIT('(INGESTA)Datos_consumo_datadis'!A:A,"",""),"""")"),"")</f>
        <v/>
      </c>
      <c r="G17577" s="8" t="str">
        <f t="shared" si="1"/>
        <v/>
      </c>
      <c r="H17577" s="14" t="str">
        <f t="shared" si="2"/>
        <v/>
      </c>
      <c r="I17577" s="15" t="str">
        <f t="shared" si="3"/>
        <v/>
      </c>
    </row>
    <row r="17578">
      <c r="A17578" s="8" t="str">
        <f>IFERROR(__xludf.DUMMYFUNCTION("IF('(INGESTA)Datos_consumo_datadis'!A19143&lt;&gt;"""",SPLIT('(INGESTA)Datos_consumo_datadis'!A:A,"",""),"""")"),"")</f>
        <v/>
      </c>
      <c r="G17578" s="8" t="str">
        <f t="shared" si="1"/>
        <v/>
      </c>
      <c r="H17578" s="14" t="str">
        <f t="shared" si="2"/>
        <v/>
      </c>
      <c r="I17578" s="15" t="str">
        <f t="shared" si="3"/>
        <v/>
      </c>
    </row>
    <row r="17579">
      <c r="A17579" s="8" t="str">
        <f>IFERROR(__xludf.DUMMYFUNCTION("IF('(INGESTA)Datos_consumo_datadis'!A19144&lt;&gt;"""",SPLIT('(INGESTA)Datos_consumo_datadis'!A:A,"",""),"""")"),"")</f>
        <v/>
      </c>
      <c r="G17579" s="8" t="str">
        <f t="shared" si="1"/>
        <v/>
      </c>
      <c r="H17579" s="14" t="str">
        <f t="shared" si="2"/>
        <v/>
      </c>
      <c r="I17579" s="15" t="str">
        <f t="shared" si="3"/>
        <v/>
      </c>
    </row>
    <row r="17580">
      <c r="A17580" s="8" t="str">
        <f>IFERROR(__xludf.DUMMYFUNCTION("IF('(INGESTA)Datos_consumo_datadis'!A19145&lt;&gt;"""",SPLIT('(INGESTA)Datos_consumo_datadis'!A:A,"",""),"""")"),"")</f>
        <v/>
      </c>
      <c r="G17580" s="8" t="str">
        <f t="shared" si="1"/>
        <v/>
      </c>
      <c r="H17580" s="14" t="str">
        <f t="shared" si="2"/>
        <v/>
      </c>
      <c r="I17580" s="15" t="str">
        <f t="shared" si="3"/>
        <v/>
      </c>
    </row>
    <row r="17581">
      <c r="A17581" s="8" t="str">
        <f>IFERROR(__xludf.DUMMYFUNCTION("IF('(INGESTA)Datos_consumo_datadis'!A19146&lt;&gt;"""",SPLIT('(INGESTA)Datos_consumo_datadis'!A:A,"",""),"""")"),"")</f>
        <v/>
      </c>
      <c r="G17581" s="8" t="str">
        <f t="shared" si="1"/>
        <v/>
      </c>
      <c r="H17581" s="14" t="str">
        <f t="shared" si="2"/>
        <v/>
      </c>
      <c r="I17581" s="15" t="str">
        <f t="shared" si="3"/>
        <v/>
      </c>
    </row>
    <row r="17582">
      <c r="A17582" s="8" t="str">
        <f>IFERROR(__xludf.DUMMYFUNCTION("IF('(INGESTA)Datos_consumo_datadis'!A19147&lt;&gt;"""",SPLIT('(INGESTA)Datos_consumo_datadis'!A:A,"",""),"""")"),"")</f>
        <v/>
      </c>
      <c r="G17582" s="8" t="str">
        <f t="shared" si="1"/>
        <v/>
      </c>
      <c r="H17582" s="14" t="str">
        <f t="shared" si="2"/>
        <v/>
      </c>
      <c r="I17582" s="15" t="str">
        <f t="shared" si="3"/>
        <v/>
      </c>
    </row>
    <row r="17583">
      <c r="A17583" s="8" t="str">
        <f>IFERROR(__xludf.DUMMYFUNCTION("IF('(INGESTA)Datos_consumo_datadis'!A19148&lt;&gt;"""",SPLIT('(INGESTA)Datos_consumo_datadis'!A:A,"",""),"""")"),"")</f>
        <v/>
      </c>
      <c r="G17583" s="8" t="str">
        <f t="shared" si="1"/>
        <v/>
      </c>
      <c r="H17583" s="14" t="str">
        <f t="shared" si="2"/>
        <v/>
      </c>
      <c r="I17583" s="15" t="str">
        <f t="shared" si="3"/>
        <v/>
      </c>
    </row>
    <row r="17584">
      <c r="A17584" s="8" t="str">
        <f>IFERROR(__xludf.DUMMYFUNCTION("IF('(INGESTA)Datos_consumo_datadis'!A19149&lt;&gt;"""",SPLIT('(INGESTA)Datos_consumo_datadis'!A:A,"",""),"""")"),"")</f>
        <v/>
      </c>
      <c r="G17584" s="8" t="str">
        <f t="shared" si="1"/>
        <v/>
      </c>
      <c r="H17584" s="14" t="str">
        <f t="shared" si="2"/>
        <v/>
      </c>
      <c r="I17584" s="15" t="str">
        <f t="shared" si="3"/>
        <v/>
      </c>
    </row>
    <row r="17585">
      <c r="A17585" s="8" t="str">
        <f>IFERROR(__xludf.DUMMYFUNCTION("IF('(INGESTA)Datos_consumo_datadis'!A19150&lt;&gt;"""",SPLIT('(INGESTA)Datos_consumo_datadis'!A:A,"",""),"""")"),"")</f>
        <v/>
      </c>
      <c r="G17585" s="8" t="str">
        <f t="shared" si="1"/>
        <v/>
      </c>
      <c r="H17585" s="14" t="str">
        <f t="shared" si="2"/>
        <v/>
      </c>
      <c r="I17585" s="15" t="str">
        <f t="shared" si="3"/>
        <v/>
      </c>
    </row>
    <row r="17586">
      <c r="A17586" s="8" t="str">
        <f>IFERROR(__xludf.DUMMYFUNCTION("IF('(INGESTA)Datos_consumo_datadis'!A19151&lt;&gt;"""",SPLIT('(INGESTA)Datos_consumo_datadis'!A:A,"",""),"""")"),"")</f>
        <v/>
      </c>
      <c r="G17586" s="8" t="str">
        <f t="shared" si="1"/>
        <v/>
      </c>
      <c r="H17586" s="14" t="str">
        <f t="shared" si="2"/>
        <v/>
      </c>
      <c r="I17586" s="15" t="str">
        <f t="shared" si="3"/>
        <v/>
      </c>
    </row>
    <row r="17587">
      <c r="A17587" s="8" t="str">
        <f>IFERROR(__xludf.DUMMYFUNCTION("IF('(INGESTA)Datos_consumo_datadis'!A19152&lt;&gt;"""",SPLIT('(INGESTA)Datos_consumo_datadis'!A:A,"",""),"""")"),"")</f>
        <v/>
      </c>
      <c r="G17587" s="8" t="str">
        <f t="shared" si="1"/>
        <v/>
      </c>
      <c r="H17587" s="14" t="str">
        <f t="shared" si="2"/>
        <v/>
      </c>
      <c r="I17587" s="15" t="str">
        <f t="shared" si="3"/>
        <v/>
      </c>
    </row>
    <row r="17588">
      <c r="A17588" s="8" t="str">
        <f>IFERROR(__xludf.DUMMYFUNCTION("IF('(INGESTA)Datos_consumo_datadis'!A19153&lt;&gt;"""",SPLIT('(INGESTA)Datos_consumo_datadis'!A:A,"",""),"""")"),"")</f>
        <v/>
      </c>
      <c r="G17588" s="8" t="str">
        <f t="shared" si="1"/>
        <v/>
      </c>
      <c r="H17588" s="14" t="str">
        <f t="shared" si="2"/>
        <v/>
      </c>
      <c r="I17588" s="15" t="str">
        <f t="shared" si="3"/>
        <v/>
      </c>
    </row>
    <row r="17589">
      <c r="A17589" s="8" t="str">
        <f>IFERROR(__xludf.DUMMYFUNCTION("IF('(INGESTA)Datos_consumo_datadis'!A19154&lt;&gt;"""",SPLIT('(INGESTA)Datos_consumo_datadis'!A:A,"",""),"""")"),"")</f>
        <v/>
      </c>
      <c r="G17589" s="8" t="str">
        <f t="shared" si="1"/>
        <v/>
      </c>
      <c r="H17589" s="14" t="str">
        <f t="shared" si="2"/>
        <v/>
      </c>
      <c r="I17589" s="15" t="str">
        <f t="shared" si="3"/>
        <v/>
      </c>
    </row>
    <row r="17590">
      <c r="A17590" s="8" t="str">
        <f>IFERROR(__xludf.DUMMYFUNCTION("IF('(INGESTA)Datos_consumo_datadis'!A19155&lt;&gt;"""",SPLIT('(INGESTA)Datos_consumo_datadis'!A:A,"",""),"""")"),"")</f>
        <v/>
      </c>
      <c r="G17590" s="8" t="str">
        <f t="shared" si="1"/>
        <v/>
      </c>
      <c r="H17590" s="14" t="str">
        <f t="shared" si="2"/>
        <v/>
      </c>
      <c r="I17590" s="15" t="str">
        <f t="shared" si="3"/>
        <v/>
      </c>
    </row>
    <row r="17591">
      <c r="A17591" s="8" t="str">
        <f>IFERROR(__xludf.DUMMYFUNCTION("IF('(INGESTA)Datos_consumo_datadis'!A19156&lt;&gt;"""",SPLIT('(INGESTA)Datos_consumo_datadis'!A:A,"",""),"""")"),"")</f>
        <v/>
      </c>
      <c r="G17591" s="8" t="str">
        <f t="shared" si="1"/>
        <v/>
      </c>
      <c r="H17591" s="14" t="str">
        <f t="shared" si="2"/>
        <v/>
      </c>
      <c r="I17591" s="15" t="str">
        <f t="shared" si="3"/>
        <v/>
      </c>
    </row>
    <row r="17592">
      <c r="A17592" s="8" t="str">
        <f>IFERROR(__xludf.DUMMYFUNCTION("IF('(INGESTA)Datos_consumo_datadis'!A19157&lt;&gt;"""",SPLIT('(INGESTA)Datos_consumo_datadis'!A:A,"",""),"""")"),"")</f>
        <v/>
      </c>
      <c r="G17592" s="8" t="str">
        <f t="shared" si="1"/>
        <v/>
      </c>
      <c r="H17592" s="14" t="str">
        <f t="shared" si="2"/>
        <v/>
      </c>
      <c r="I17592" s="15" t="str">
        <f t="shared" si="3"/>
        <v/>
      </c>
    </row>
    <row r="17593">
      <c r="A17593" s="8" t="str">
        <f>IFERROR(__xludf.DUMMYFUNCTION("IF('(INGESTA)Datos_consumo_datadis'!A19158&lt;&gt;"""",SPLIT('(INGESTA)Datos_consumo_datadis'!A:A,"",""),"""")"),"")</f>
        <v/>
      </c>
      <c r="G17593" s="8" t="str">
        <f t="shared" si="1"/>
        <v/>
      </c>
      <c r="H17593" s="14" t="str">
        <f t="shared" si="2"/>
        <v/>
      </c>
      <c r="I17593" s="15" t="str">
        <f t="shared" si="3"/>
        <v/>
      </c>
    </row>
    <row r="17594">
      <c r="A17594" s="8" t="str">
        <f>IFERROR(__xludf.DUMMYFUNCTION("IF('(INGESTA)Datos_consumo_datadis'!A19159&lt;&gt;"""",SPLIT('(INGESTA)Datos_consumo_datadis'!A:A,"",""),"""")"),"")</f>
        <v/>
      </c>
      <c r="G17594" s="8" t="str">
        <f t="shared" si="1"/>
        <v/>
      </c>
      <c r="H17594" s="14" t="str">
        <f t="shared" si="2"/>
        <v/>
      </c>
      <c r="I17594" s="15" t="str">
        <f t="shared" si="3"/>
        <v/>
      </c>
    </row>
    <row r="17595">
      <c r="A17595" s="8" t="str">
        <f>IFERROR(__xludf.DUMMYFUNCTION("IF('(INGESTA)Datos_consumo_datadis'!A19160&lt;&gt;"""",SPLIT('(INGESTA)Datos_consumo_datadis'!A:A,"",""),"""")"),"")</f>
        <v/>
      </c>
      <c r="G17595" s="8" t="str">
        <f t="shared" si="1"/>
        <v/>
      </c>
      <c r="H17595" s="14" t="str">
        <f t="shared" si="2"/>
        <v/>
      </c>
      <c r="I17595" s="15" t="str">
        <f t="shared" si="3"/>
        <v/>
      </c>
    </row>
    <row r="17596">
      <c r="A17596" s="8" t="str">
        <f>IFERROR(__xludf.DUMMYFUNCTION("IF('(INGESTA)Datos_consumo_datadis'!A19161&lt;&gt;"""",SPLIT('(INGESTA)Datos_consumo_datadis'!A:A,"",""),"""")"),"")</f>
        <v/>
      </c>
      <c r="G17596" s="8" t="str">
        <f t="shared" si="1"/>
        <v/>
      </c>
      <c r="H17596" s="14" t="str">
        <f t="shared" si="2"/>
        <v/>
      </c>
      <c r="I17596" s="15" t="str">
        <f t="shared" si="3"/>
        <v/>
      </c>
    </row>
    <row r="17597">
      <c r="A17597" s="8" t="str">
        <f>IFERROR(__xludf.DUMMYFUNCTION("IF('(INGESTA)Datos_consumo_datadis'!A19162&lt;&gt;"""",SPLIT('(INGESTA)Datos_consumo_datadis'!A:A,"",""),"""")"),"")</f>
        <v/>
      </c>
      <c r="G17597" s="8" t="str">
        <f t="shared" si="1"/>
        <v/>
      </c>
      <c r="H17597" s="14" t="str">
        <f t="shared" si="2"/>
        <v/>
      </c>
      <c r="I17597" s="15" t="str">
        <f t="shared" si="3"/>
        <v/>
      </c>
    </row>
    <row r="17598">
      <c r="A17598" s="8" t="str">
        <f>IFERROR(__xludf.DUMMYFUNCTION("IF('(INGESTA)Datos_consumo_datadis'!A19163&lt;&gt;"""",SPLIT('(INGESTA)Datos_consumo_datadis'!A:A,"",""),"""")"),"")</f>
        <v/>
      </c>
      <c r="G17598" s="8" t="str">
        <f t="shared" si="1"/>
        <v/>
      </c>
      <c r="H17598" s="14" t="str">
        <f t="shared" si="2"/>
        <v/>
      </c>
      <c r="I17598" s="15" t="str">
        <f t="shared" si="3"/>
        <v/>
      </c>
    </row>
    <row r="17599">
      <c r="A17599" s="8" t="str">
        <f>IFERROR(__xludf.DUMMYFUNCTION("IF('(INGESTA)Datos_consumo_datadis'!A19164&lt;&gt;"""",SPLIT('(INGESTA)Datos_consumo_datadis'!A:A,"",""),"""")"),"")</f>
        <v/>
      </c>
      <c r="G17599" s="8" t="str">
        <f t="shared" si="1"/>
        <v/>
      </c>
      <c r="H17599" s="14" t="str">
        <f t="shared" si="2"/>
        <v/>
      </c>
      <c r="I17599" s="15" t="str">
        <f t="shared" si="3"/>
        <v/>
      </c>
    </row>
    <row r="17600">
      <c r="A17600" s="8" t="str">
        <f>IFERROR(__xludf.DUMMYFUNCTION("IF('(INGESTA)Datos_consumo_datadis'!A19165&lt;&gt;"""",SPLIT('(INGESTA)Datos_consumo_datadis'!A:A,"",""),"""")"),"")</f>
        <v/>
      </c>
      <c r="G17600" s="8" t="str">
        <f t="shared" si="1"/>
        <v/>
      </c>
      <c r="H17600" s="14" t="str">
        <f t="shared" si="2"/>
        <v/>
      </c>
      <c r="I17600" s="15" t="str">
        <f t="shared" si="3"/>
        <v/>
      </c>
    </row>
    <row r="17601">
      <c r="A17601" s="8" t="str">
        <f>IFERROR(__xludf.DUMMYFUNCTION("IF('(INGESTA)Datos_consumo_datadis'!A19166&lt;&gt;"""",SPLIT('(INGESTA)Datos_consumo_datadis'!A:A,"",""),"""")"),"")</f>
        <v/>
      </c>
      <c r="G17601" s="8" t="str">
        <f t="shared" si="1"/>
        <v/>
      </c>
      <c r="H17601" s="14" t="str">
        <f t="shared" si="2"/>
        <v/>
      </c>
      <c r="I17601" s="15" t="str">
        <f t="shared" si="3"/>
        <v/>
      </c>
    </row>
    <row r="17602">
      <c r="A17602" s="8" t="str">
        <f>IFERROR(__xludf.DUMMYFUNCTION("IF('(INGESTA)Datos_consumo_datadis'!A19167&lt;&gt;"""",SPLIT('(INGESTA)Datos_consumo_datadis'!A:A,"",""),"""")"),"")</f>
        <v/>
      </c>
      <c r="G17602" s="8" t="str">
        <f t="shared" si="1"/>
        <v/>
      </c>
      <c r="H17602" s="14" t="str">
        <f t="shared" si="2"/>
        <v/>
      </c>
      <c r="I17602" s="15" t="str">
        <f t="shared" si="3"/>
        <v/>
      </c>
    </row>
    <row r="17603">
      <c r="A17603" s="8" t="str">
        <f>IFERROR(__xludf.DUMMYFUNCTION("IF('(INGESTA)Datos_consumo_datadis'!A19168&lt;&gt;"""",SPLIT('(INGESTA)Datos_consumo_datadis'!A:A,"",""),"""")"),"")</f>
        <v/>
      </c>
      <c r="G17603" s="8" t="str">
        <f t="shared" si="1"/>
        <v/>
      </c>
      <c r="H17603" s="14" t="str">
        <f t="shared" si="2"/>
        <v/>
      </c>
      <c r="I17603" s="15" t="str">
        <f t="shared" si="3"/>
        <v/>
      </c>
    </row>
    <row r="17604">
      <c r="A17604" s="8" t="str">
        <f>IFERROR(__xludf.DUMMYFUNCTION("IF('(INGESTA)Datos_consumo_datadis'!A19169&lt;&gt;"""",SPLIT('(INGESTA)Datos_consumo_datadis'!A:A,"",""),"""")"),"")</f>
        <v/>
      </c>
      <c r="G17604" s="8" t="str">
        <f t="shared" si="1"/>
        <v/>
      </c>
      <c r="H17604" s="14" t="str">
        <f t="shared" si="2"/>
        <v/>
      </c>
      <c r="I17604" s="15" t="str">
        <f t="shared" si="3"/>
        <v/>
      </c>
    </row>
    <row r="17605">
      <c r="A17605" s="8" t="str">
        <f>IFERROR(__xludf.DUMMYFUNCTION("IF('(INGESTA)Datos_consumo_datadis'!A19170&lt;&gt;"""",SPLIT('(INGESTA)Datos_consumo_datadis'!A:A,"",""),"""")"),"")</f>
        <v/>
      </c>
      <c r="G17605" s="8" t="str">
        <f t="shared" si="1"/>
        <v/>
      </c>
      <c r="H17605" s="14" t="str">
        <f t="shared" si="2"/>
        <v/>
      </c>
      <c r="I17605" s="15" t="str">
        <f t="shared" si="3"/>
        <v/>
      </c>
    </row>
    <row r="17606">
      <c r="A17606" s="8" t="str">
        <f>IFERROR(__xludf.DUMMYFUNCTION("IF('(INGESTA)Datos_consumo_datadis'!A19171&lt;&gt;"""",SPLIT('(INGESTA)Datos_consumo_datadis'!A:A,"",""),"""")"),"")</f>
        <v/>
      </c>
      <c r="G17606" s="8" t="str">
        <f t="shared" si="1"/>
        <v/>
      </c>
      <c r="H17606" s="14" t="str">
        <f t="shared" si="2"/>
        <v/>
      </c>
      <c r="I17606" s="15" t="str">
        <f t="shared" si="3"/>
        <v/>
      </c>
    </row>
    <row r="17607">
      <c r="A17607" s="8" t="str">
        <f>IFERROR(__xludf.DUMMYFUNCTION("IF('(INGESTA)Datos_consumo_datadis'!A19172&lt;&gt;"""",SPLIT('(INGESTA)Datos_consumo_datadis'!A:A,"",""),"""")"),"")</f>
        <v/>
      </c>
      <c r="G17607" s="8" t="str">
        <f t="shared" si="1"/>
        <v/>
      </c>
      <c r="H17607" s="14" t="str">
        <f t="shared" si="2"/>
        <v/>
      </c>
      <c r="I17607" s="15" t="str">
        <f t="shared" si="3"/>
        <v/>
      </c>
    </row>
    <row r="17608">
      <c r="A17608" s="8" t="str">
        <f>IFERROR(__xludf.DUMMYFUNCTION("IF('(INGESTA)Datos_consumo_datadis'!A19173&lt;&gt;"""",SPLIT('(INGESTA)Datos_consumo_datadis'!A:A,"",""),"""")"),"")</f>
        <v/>
      </c>
      <c r="G17608" s="8" t="str">
        <f t="shared" si="1"/>
        <v/>
      </c>
      <c r="H17608" s="14" t="str">
        <f t="shared" si="2"/>
        <v/>
      </c>
      <c r="I17608" s="15" t="str">
        <f t="shared" si="3"/>
        <v/>
      </c>
    </row>
    <row r="17609">
      <c r="A17609" s="8" t="str">
        <f>IFERROR(__xludf.DUMMYFUNCTION("IF('(INGESTA)Datos_consumo_datadis'!A19174&lt;&gt;"""",SPLIT('(INGESTA)Datos_consumo_datadis'!A:A,"",""),"""")"),"")</f>
        <v/>
      </c>
      <c r="G17609" s="8" t="str">
        <f t="shared" si="1"/>
        <v/>
      </c>
      <c r="H17609" s="14" t="str">
        <f t="shared" si="2"/>
        <v/>
      </c>
      <c r="I17609" s="15" t="str">
        <f t="shared" si="3"/>
        <v/>
      </c>
    </row>
    <row r="17610">
      <c r="A17610" s="8" t="str">
        <f>IFERROR(__xludf.DUMMYFUNCTION("IF('(INGESTA)Datos_consumo_datadis'!A19175&lt;&gt;"""",SPLIT('(INGESTA)Datos_consumo_datadis'!A:A,"",""),"""")"),"")</f>
        <v/>
      </c>
      <c r="G17610" s="8" t="str">
        <f t="shared" si="1"/>
        <v/>
      </c>
      <c r="H17610" s="14" t="str">
        <f t="shared" si="2"/>
        <v/>
      </c>
      <c r="I17610" s="15" t="str">
        <f t="shared" si="3"/>
        <v/>
      </c>
    </row>
    <row r="17611">
      <c r="A17611" s="8" t="str">
        <f>IFERROR(__xludf.DUMMYFUNCTION("IF('(INGESTA)Datos_consumo_datadis'!A19176&lt;&gt;"""",SPLIT('(INGESTA)Datos_consumo_datadis'!A:A,"",""),"""")"),"")</f>
        <v/>
      </c>
      <c r="G17611" s="8" t="str">
        <f t="shared" si="1"/>
        <v/>
      </c>
      <c r="H17611" s="14" t="str">
        <f t="shared" si="2"/>
        <v/>
      </c>
      <c r="I17611" s="15" t="str">
        <f t="shared" si="3"/>
        <v/>
      </c>
    </row>
    <row r="17612">
      <c r="A17612" s="8" t="str">
        <f>IFERROR(__xludf.DUMMYFUNCTION("IF('(INGESTA)Datos_consumo_datadis'!A19177&lt;&gt;"""",SPLIT('(INGESTA)Datos_consumo_datadis'!A:A,"",""),"""")"),"")</f>
        <v/>
      </c>
      <c r="G17612" s="8" t="str">
        <f t="shared" si="1"/>
        <v/>
      </c>
      <c r="H17612" s="14" t="str">
        <f t="shared" si="2"/>
        <v/>
      </c>
      <c r="I17612" s="15" t="str">
        <f t="shared" si="3"/>
        <v/>
      </c>
    </row>
    <row r="17613">
      <c r="A17613" s="8" t="str">
        <f>IFERROR(__xludf.DUMMYFUNCTION("IF('(INGESTA)Datos_consumo_datadis'!A19178&lt;&gt;"""",SPLIT('(INGESTA)Datos_consumo_datadis'!A:A,"",""),"""")"),"")</f>
        <v/>
      </c>
      <c r="G17613" s="8" t="str">
        <f t="shared" si="1"/>
        <v/>
      </c>
      <c r="H17613" s="14" t="str">
        <f t="shared" si="2"/>
        <v/>
      </c>
      <c r="I17613" s="15" t="str">
        <f t="shared" si="3"/>
        <v/>
      </c>
    </row>
    <row r="17614">
      <c r="A17614" s="8" t="str">
        <f>IFERROR(__xludf.DUMMYFUNCTION("IF('(INGESTA)Datos_consumo_datadis'!A19179&lt;&gt;"""",SPLIT('(INGESTA)Datos_consumo_datadis'!A:A,"",""),"""")"),"")</f>
        <v/>
      </c>
      <c r="G17614" s="8" t="str">
        <f t="shared" si="1"/>
        <v/>
      </c>
      <c r="H17614" s="14" t="str">
        <f t="shared" si="2"/>
        <v/>
      </c>
      <c r="I17614" s="15" t="str">
        <f t="shared" si="3"/>
        <v/>
      </c>
    </row>
    <row r="17615">
      <c r="A17615" s="8" t="str">
        <f>IFERROR(__xludf.DUMMYFUNCTION("IF('(INGESTA)Datos_consumo_datadis'!A19180&lt;&gt;"""",SPLIT('(INGESTA)Datos_consumo_datadis'!A:A,"",""),"""")"),"")</f>
        <v/>
      </c>
      <c r="G17615" s="8" t="str">
        <f t="shared" si="1"/>
        <v/>
      </c>
      <c r="H17615" s="14" t="str">
        <f t="shared" si="2"/>
        <v/>
      </c>
      <c r="I17615" s="15" t="str">
        <f t="shared" si="3"/>
        <v/>
      </c>
    </row>
    <row r="17616">
      <c r="A17616" s="8" t="str">
        <f>IFERROR(__xludf.DUMMYFUNCTION("IF('(INGESTA)Datos_consumo_datadis'!A19181&lt;&gt;"""",SPLIT('(INGESTA)Datos_consumo_datadis'!A:A,"",""),"""")"),"")</f>
        <v/>
      </c>
      <c r="G17616" s="8" t="str">
        <f t="shared" si="1"/>
        <v/>
      </c>
      <c r="H17616" s="14" t="str">
        <f t="shared" si="2"/>
        <v/>
      </c>
      <c r="I17616" s="15" t="str">
        <f t="shared" si="3"/>
        <v/>
      </c>
    </row>
    <row r="17617">
      <c r="A17617" s="8" t="str">
        <f>IFERROR(__xludf.DUMMYFUNCTION("IF('(INGESTA)Datos_consumo_datadis'!A19182&lt;&gt;"""",SPLIT('(INGESTA)Datos_consumo_datadis'!A:A,"",""),"""")"),"")</f>
        <v/>
      </c>
      <c r="G17617" s="8" t="str">
        <f t="shared" si="1"/>
        <v/>
      </c>
      <c r="H17617" s="14" t="str">
        <f t="shared" si="2"/>
        <v/>
      </c>
      <c r="I17617" s="15" t="str">
        <f t="shared" si="3"/>
        <v/>
      </c>
    </row>
    <row r="17618">
      <c r="A17618" s="8" t="str">
        <f>IFERROR(__xludf.DUMMYFUNCTION("IF('(INGESTA)Datos_consumo_datadis'!A19183&lt;&gt;"""",SPLIT('(INGESTA)Datos_consumo_datadis'!A:A,"",""),"""")"),"")</f>
        <v/>
      </c>
      <c r="G17618" s="8" t="str">
        <f t="shared" si="1"/>
        <v/>
      </c>
      <c r="H17618" s="14" t="str">
        <f t="shared" si="2"/>
        <v/>
      </c>
      <c r="I17618" s="15" t="str">
        <f t="shared" si="3"/>
        <v/>
      </c>
    </row>
    <row r="17619">
      <c r="A17619" s="8" t="str">
        <f>IFERROR(__xludf.DUMMYFUNCTION("IF('(INGESTA)Datos_consumo_datadis'!A19184&lt;&gt;"""",SPLIT('(INGESTA)Datos_consumo_datadis'!A:A,"",""),"""")"),"")</f>
        <v/>
      </c>
      <c r="G17619" s="8" t="str">
        <f t="shared" si="1"/>
        <v/>
      </c>
      <c r="H17619" s="14" t="str">
        <f t="shared" si="2"/>
        <v/>
      </c>
      <c r="I17619" s="15" t="str">
        <f t="shared" si="3"/>
        <v/>
      </c>
    </row>
    <row r="17620">
      <c r="A17620" s="8" t="str">
        <f>IFERROR(__xludf.DUMMYFUNCTION("IF('(INGESTA)Datos_consumo_datadis'!A19185&lt;&gt;"""",SPLIT('(INGESTA)Datos_consumo_datadis'!A:A,"",""),"""")"),"")</f>
        <v/>
      </c>
      <c r="G17620" s="8" t="str">
        <f t="shared" si="1"/>
        <v/>
      </c>
      <c r="H17620" s="14" t="str">
        <f t="shared" si="2"/>
        <v/>
      </c>
      <c r="I17620" s="15" t="str">
        <f t="shared" si="3"/>
        <v/>
      </c>
    </row>
    <row r="17621">
      <c r="A17621" s="8" t="str">
        <f>IFERROR(__xludf.DUMMYFUNCTION("IF('(INGESTA)Datos_consumo_datadis'!A19186&lt;&gt;"""",SPLIT('(INGESTA)Datos_consumo_datadis'!A:A,"",""),"""")"),"")</f>
        <v/>
      </c>
      <c r="G17621" s="8" t="str">
        <f t="shared" si="1"/>
        <v/>
      </c>
      <c r="H17621" s="14" t="str">
        <f t="shared" si="2"/>
        <v/>
      </c>
      <c r="I17621" s="15" t="str">
        <f t="shared" si="3"/>
        <v/>
      </c>
    </row>
    <row r="17622">
      <c r="A17622" s="8" t="str">
        <f>IFERROR(__xludf.DUMMYFUNCTION("IF('(INGESTA)Datos_consumo_datadis'!A19187&lt;&gt;"""",SPLIT('(INGESTA)Datos_consumo_datadis'!A:A,"",""),"""")"),"")</f>
        <v/>
      </c>
      <c r="G17622" s="8" t="str">
        <f t="shared" si="1"/>
        <v/>
      </c>
      <c r="H17622" s="14" t="str">
        <f t="shared" si="2"/>
        <v/>
      </c>
      <c r="I17622" s="15" t="str">
        <f t="shared" si="3"/>
        <v/>
      </c>
    </row>
    <row r="17623">
      <c r="A17623" s="8" t="str">
        <f>IFERROR(__xludf.DUMMYFUNCTION("IF('(INGESTA)Datos_consumo_datadis'!A19188&lt;&gt;"""",SPLIT('(INGESTA)Datos_consumo_datadis'!A:A,"",""),"""")"),"")</f>
        <v/>
      </c>
      <c r="G17623" s="8" t="str">
        <f t="shared" si="1"/>
        <v/>
      </c>
      <c r="H17623" s="14" t="str">
        <f t="shared" si="2"/>
        <v/>
      </c>
      <c r="I17623" s="15" t="str">
        <f t="shared" si="3"/>
        <v/>
      </c>
    </row>
    <row r="17624">
      <c r="A17624" s="8" t="str">
        <f>IFERROR(__xludf.DUMMYFUNCTION("IF('(INGESTA)Datos_consumo_datadis'!A19189&lt;&gt;"""",SPLIT('(INGESTA)Datos_consumo_datadis'!A:A,"",""),"""")"),"")</f>
        <v/>
      </c>
      <c r="G17624" s="8" t="str">
        <f t="shared" si="1"/>
        <v/>
      </c>
      <c r="H17624" s="14" t="str">
        <f t="shared" si="2"/>
        <v/>
      </c>
      <c r="I17624" s="15" t="str">
        <f t="shared" si="3"/>
        <v/>
      </c>
    </row>
    <row r="17625">
      <c r="A17625" s="8" t="str">
        <f>IFERROR(__xludf.DUMMYFUNCTION("IF('(INGESTA)Datos_consumo_datadis'!A19190&lt;&gt;"""",SPLIT('(INGESTA)Datos_consumo_datadis'!A:A,"",""),"""")"),"")</f>
        <v/>
      </c>
      <c r="G17625" s="8" t="str">
        <f t="shared" si="1"/>
        <v/>
      </c>
      <c r="H17625" s="14" t="str">
        <f t="shared" si="2"/>
        <v/>
      </c>
      <c r="I17625" s="15" t="str">
        <f t="shared" si="3"/>
        <v/>
      </c>
    </row>
    <row r="17626">
      <c r="A17626" s="8" t="str">
        <f>IFERROR(__xludf.DUMMYFUNCTION("IF('(INGESTA)Datos_consumo_datadis'!A19191&lt;&gt;"""",SPLIT('(INGESTA)Datos_consumo_datadis'!A:A,"",""),"""")"),"")</f>
        <v/>
      </c>
      <c r="G17626" s="8" t="str">
        <f t="shared" si="1"/>
        <v/>
      </c>
      <c r="H17626" s="14" t="str">
        <f t="shared" si="2"/>
        <v/>
      </c>
      <c r="I17626" s="15" t="str">
        <f t="shared" si="3"/>
        <v/>
      </c>
    </row>
    <row r="17627">
      <c r="A17627" s="8" t="str">
        <f>IFERROR(__xludf.DUMMYFUNCTION("IF('(INGESTA)Datos_consumo_datadis'!A19192&lt;&gt;"""",SPLIT('(INGESTA)Datos_consumo_datadis'!A:A,"",""),"""")"),"")</f>
        <v/>
      </c>
      <c r="G17627" s="8" t="str">
        <f t="shared" si="1"/>
        <v/>
      </c>
      <c r="H17627" s="14" t="str">
        <f t="shared" si="2"/>
        <v/>
      </c>
      <c r="I17627" s="15" t="str">
        <f t="shared" si="3"/>
        <v/>
      </c>
    </row>
    <row r="17628">
      <c r="A17628" s="8" t="str">
        <f>IFERROR(__xludf.DUMMYFUNCTION("IF('(INGESTA)Datos_consumo_datadis'!A19193&lt;&gt;"""",SPLIT('(INGESTA)Datos_consumo_datadis'!A:A,"",""),"""")"),"")</f>
        <v/>
      </c>
      <c r="G17628" s="8" t="str">
        <f t="shared" si="1"/>
        <v/>
      </c>
      <c r="H17628" s="14" t="str">
        <f t="shared" si="2"/>
        <v/>
      </c>
      <c r="I17628" s="15" t="str">
        <f t="shared" si="3"/>
        <v/>
      </c>
    </row>
    <row r="17629">
      <c r="A17629" s="8" t="str">
        <f>IFERROR(__xludf.DUMMYFUNCTION("IF('(INGESTA)Datos_consumo_datadis'!A19194&lt;&gt;"""",SPLIT('(INGESTA)Datos_consumo_datadis'!A:A,"",""),"""")"),"")</f>
        <v/>
      </c>
      <c r="G17629" s="8" t="str">
        <f t="shared" si="1"/>
        <v/>
      </c>
      <c r="H17629" s="14" t="str">
        <f t="shared" si="2"/>
        <v/>
      </c>
      <c r="I17629" s="15" t="str">
        <f t="shared" si="3"/>
        <v/>
      </c>
    </row>
    <row r="17630">
      <c r="A17630" s="8" t="str">
        <f>IFERROR(__xludf.DUMMYFUNCTION("IF('(INGESTA)Datos_consumo_datadis'!A19195&lt;&gt;"""",SPLIT('(INGESTA)Datos_consumo_datadis'!A:A,"",""),"""")"),"")</f>
        <v/>
      </c>
      <c r="G17630" s="8" t="str">
        <f t="shared" si="1"/>
        <v/>
      </c>
      <c r="H17630" s="14" t="str">
        <f t="shared" si="2"/>
        <v/>
      </c>
      <c r="I17630" s="15" t="str">
        <f t="shared" si="3"/>
        <v/>
      </c>
    </row>
    <row r="17631">
      <c r="A17631" s="8" t="str">
        <f>IFERROR(__xludf.DUMMYFUNCTION("IF('(INGESTA)Datos_consumo_datadis'!A19196&lt;&gt;"""",SPLIT('(INGESTA)Datos_consumo_datadis'!A:A,"",""),"""")"),"")</f>
        <v/>
      </c>
      <c r="G17631" s="8" t="str">
        <f t="shared" si="1"/>
        <v/>
      </c>
      <c r="H17631" s="14" t="str">
        <f t="shared" si="2"/>
        <v/>
      </c>
      <c r="I17631" s="15" t="str">
        <f t="shared" si="3"/>
        <v/>
      </c>
    </row>
    <row r="17632">
      <c r="A17632" s="8" t="str">
        <f>IFERROR(__xludf.DUMMYFUNCTION("IF('(INGESTA)Datos_consumo_datadis'!A19197&lt;&gt;"""",SPLIT('(INGESTA)Datos_consumo_datadis'!A:A,"",""),"""")"),"")</f>
        <v/>
      </c>
      <c r="G17632" s="8" t="str">
        <f t="shared" si="1"/>
        <v/>
      </c>
      <c r="H17632" s="14" t="str">
        <f t="shared" si="2"/>
        <v/>
      </c>
      <c r="I17632" s="15" t="str">
        <f t="shared" si="3"/>
        <v/>
      </c>
    </row>
    <row r="17633">
      <c r="A17633" s="8" t="str">
        <f>IFERROR(__xludf.DUMMYFUNCTION("IF('(INGESTA)Datos_consumo_datadis'!A19198&lt;&gt;"""",SPLIT('(INGESTA)Datos_consumo_datadis'!A:A,"",""),"""")"),"")</f>
        <v/>
      </c>
      <c r="G17633" s="8" t="str">
        <f t="shared" si="1"/>
        <v/>
      </c>
      <c r="H17633" s="14" t="str">
        <f t="shared" si="2"/>
        <v/>
      </c>
      <c r="I17633" s="15" t="str">
        <f t="shared" si="3"/>
        <v/>
      </c>
    </row>
    <row r="17634">
      <c r="A17634" s="8" t="str">
        <f>IFERROR(__xludf.DUMMYFUNCTION("IF('(INGESTA)Datos_consumo_datadis'!A19199&lt;&gt;"""",SPLIT('(INGESTA)Datos_consumo_datadis'!A:A,"",""),"""")"),"")</f>
        <v/>
      </c>
      <c r="G17634" s="8" t="str">
        <f t="shared" si="1"/>
        <v/>
      </c>
      <c r="H17634" s="14" t="str">
        <f t="shared" si="2"/>
        <v/>
      </c>
      <c r="I17634" s="15" t="str">
        <f t="shared" si="3"/>
        <v/>
      </c>
    </row>
    <row r="17635">
      <c r="A17635" s="8" t="str">
        <f>IFERROR(__xludf.DUMMYFUNCTION("IF('(INGESTA)Datos_consumo_datadis'!A19200&lt;&gt;"""",SPLIT('(INGESTA)Datos_consumo_datadis'!A:A,"",""),"""")"),"")</f>
        <v/>
      </c>
      <c r="G17635" s="8" t="str">
        <f t="shared" si="1"/>
        <v/>
      </c>
      <c r="H17635" s="14" t="str">
        <f t="shared" si="2"/>
        <v/>
      </c>
      <c r="I17635" s="15" t="str">
        <f t="shared" si="3"/>
        <v/>
      </c>
    </row>
    <row r="17636">
      <c r="A17636" s="8" t="str">
        <f>IFERROR(__xludf.DUMMYFUNCTION("IF('(INGESTA)Datos_consumo_datadis'!A19201&lt;&gt;"""",SPLIT('(INGESTA)Datos_consumo_datadis'!A:A,"",""),"""")"),"")</f>
        <v/>
      </c>
      <c r="G17636" s="8" t="str">
        <f t="shared" si="1"/>
        <v/>
      </c>
      <c r="H17636" s="14" t="str">
        <f t="shared" si="2"/>
        <v/>
      </c>
      <c r="I17636" s="15" t="str">
        <f t="shared" si="3"/>
        <v/>
      </c>
    </row>
    <row r="17637">
      <c r="A17637" s="8" t="str">
        <f>IFERROR(__xludf.DUMMYFUNCTION("IF('(INGESTA)Datos_consumo_datadis'!A19202&lt;&gt;"""",SPLIT('(INGESTA)Datos_consumo_datadis'!A:A,"",""),"""")"),"")</f>
        <v/>
      </c>
      <c r="G17637" s="8" t="str">
        <f t="shared" si="1"/>
        <v/>
      </c>
      <c r="H17637" s="14" t="str">
        <f t="shared" si="2"/>
        <v/>
      </c>
      <c r="I17637" s="15" t="str">
        <f t="shared" si="3"/>
        <v/>
      </c>
    </row>
    <row r="17638">
      <c r="A17638" s="8" t="str">
        <f>IFERROR(__xludf.DUMMYFUNCTION("IF('(INGESTA)Datos_consumo_datadis'!A19203&lt;&gt;"""",SPLIT('(INGESTA)Datos_consumo_datadis'!A:A,"",""),"""")"),"")</f>
        <v/>
      </c>
      <c r="G17638" s="8" t="str">
        <f t="shared" si="1"/>
        <v/>
      </c>
      <c r="H17638" s="14" t="str">
        <f t="shared" si="2"/>
        <v/>
      </c>
      <c r="I17638" s="15" t="str">
        <f t="shared" si="3"/>
        <v/>
      </c>
    </row>
    <row r="17639">
      <c r="A17639" s="8" t="str">
        <f>IFERROR(__xludf.DUMMYFUNCTION("IF('(INGESTA)Datos_consumo_datadis'!A19204&lt;&gt;"""",SPLIT('(INGESTA)Datos_consumo_datadis'!A:A,"",""),"""")"),"")</f>
        <v/>
      </c>
      <c r="G17639" s="8" t="str">
        <f t="shared" si="1"/>
        <v/>
      </c>
      <c r="H17639" s="14" t="str">
        <f t="shared" si="2"/>
        <v/>
      </c>
      <c r="I17639" s="15" t="str">
        <f t="shared" si="3"/>
        <v/>
      </c>
    </row>
    <row r="17640">
      <c r="A17640" s="8" t="str">
        <f>IFERROR(__xludf.DUMMYFUNCTION("IF('(INGESTA)Datos_consumo_datadis'!A19205&lt;&gt;"""",SPLIT('(INGESTA)Datos_consumo_datadis'!A:A,"",""),"""")"),"")</f>
        <v/>
      </c>
      <c r="G17640" s="8" t="str">
        <f t="shared" si="1"/>
        <v/>
      </c>
      <c r="H17640" s="14" t="str">
        <f t="shared" si="2"/>
        <v/>
      </c>
      <c r="I17640" s="15" t="str">
        <f t="shared" si="3"/>
        <v/>
      </c>
    </row>
    <row r="17641">
      <c r="A17641" s="8" t="str">
        <f>IFERROR(__xludf.DUMMYFUNCTION("IF('(INGESTA)Datos_consumo_datadis'!A19206&lt;&gt;"""",SPLIT('(INGESTA)Datos_consumo_datadis'!A:A,"",""),"""")"),"")</f>
        <v/>
      </c>
      <c r="G17641" s="8" t="str">
        <f t="shared" si="1"/>
        <v/>
      </c>
      <c r="H17641" s="14" t="str">
        <f t="shared" si="2"/>
        <v/>
      </c>
      <c r="I17641" s="15" t="str">
        <f t="shared" si="3"/>
        <v/>
      </c>
    </row>
    <row r="17642">
      <c r="A17642" s="8" t="str">
        <f>IFERROR(__xludf.DUMMYFUNCTION("IF('(INGESTA)Datos_consumo_datadis'!A19207&lt;&gt;"""",SPLIT('(INGESTA)Datos_consumo_datadis'!A:A,"",""),"""")"),"")</f>
        <v/>
      </c>
      <c r="G17642" s="8" t="str">
        <f t="shared" si="1"/>
        <v/>
      </c>
      <c r="H17642" s="14" t="str">
        <f t="shared" si="2"/>
        <v/>
      </c>
      <c r="I17642" s="15" t="str">
        <f t="shared" si="3"/>
        <v/>
      </c>
    </row>
    <row r="17643">
      <c r="A17643" s="8" t="str">
        <f>IFERROR(__xludf.DUMMYFUNCTION("IF('(INGESTA)Datos_consumo_datadis'!A19208&lt;&gt;"""",SPLIT('(INGESTA)Datos_consumo_datadis'!A:A,"",""),"""")"),"")</f>
        <v/>
      </c>
      <c r="G17643" s="8" t="str">
        <f t="shared" si="1"/>
        <v/>
      </c>
      <c r="H17643" s="14" t="str">
        <f t="shared" si="2"/>
        <v/>
      </c>
      <c r="I17643" s="15" t="str">
        <f t="shared" si="3"/>
        <v/>
      </c>
    </row>
    <row r="17644">
      <c r="A17644" s="8" t="str">
        <f>IFERROR(__xludf.DUMMYFUNCTION("IF('(INGESTA)Datos_consumo_datadis'!A19209&lt;&gt;"""",SPLIT('(INGESTA)Datos_consumo_datadis'!A:A,"",""),"""")"),"")</f>
        <v/>
      </c>
      <c r="G17644" s="8" t="str">
        <f t="shared" si="1"/>
        <v/>
      </c>
      <c r="H17644" s="14" t="str">
        <f t="shared" si="2"/>
        <v/>
      </c>
      <c r="I17644" s="15" t="str">
        <f t="shared" si="3"/>
        <v/>
      </c>
    </row>
    <row r="17645">
      <c r="A17645" s="8" t="str">
        <f>IFERROR(__xludf.DUMMYFUNCTION("IF('(INGESTA)Datos_consumo_datadis'!A19210&lt;&gt;"""",SPLIT('(INGESTA)Datos_consumo_datadis'!A:A,"",""),"""")"),"")</f>
        <v/>
      </c>
      <c r="G17645" s="8" t="str">
        <f t="shared" si="1"/>
        <v/>
      </c>
      <c r="H17645" s="14" t="str">
        <f t="shared" si="2"/>
        <v/>
      </c>
      <c r="I17645" s="15" t="str">
        <f t="shared" si="3"/>
        <v/>
      </c>
    </row>
    <row r="17646">
      <c r="A17646" s="8" t="str">
        <f>IFERROR(__xludf.DUMMYFUNCTION("IF('(INGESTA)Datos_consumo_datadis'!A19211&lt;&gt;"""",SPLIT('(INGESTA)Datos_consumo_datadis'!A:A,"",""),"""")"),"")</f>
        <v/>
      </c>
      <c r="G17646" s="8" t="str">
        <f t="shared" si="1"/>
        <v/>
      </c>
      <c r="H17646" s="14" t="str">
        <f t="shared" si="2"/>
        <v/>
      </c>
      <c r="I17646" s="15" t="str">
        <f t="shared" si="3"/>
        <v/>
      </c>
    </row>
    <row r="17647">
      <c r="A17647" s="8" t="str">
        <f>IFERROR(__xludf.DUMMYFUNCTION("IF('(INGESTA)Datos_consumo_datadis'!A19212&lt;&gt;"""",SPLIT('(INGESTA)Datos_consumo_datadis'!A:A,"",""),"""")"),"")</f>
        <v/>
      </c>
      <c r="G17647" s="8" t="str">
        <f t="shared" si="1"/>
        <v/>
      </c>
      <c r="H17647" s="14" t="str">
        <f t="shared" si="2"/>
        <v/>
      </c>
      <c r="I17647" s="15" t="str">
        <f t="shared" si="3"/>
        <v/>
      </c>
    </row>
    <row r="17648">
      <c r="A17648" s="8" t="str">
        <f>IFERROR(__xludf.DUMMYFUNCTION("IF('(INGESTA)Datos_consumo_datadis'!A19213&lt;&gt;"""",SPLIT('(INGESTA)Datos_consumo_datadis'!A:A,"",""),"""")"),"")</f>
        <v/>
      </c>
      <c r="G17648" s="8" t="str">
        <f t="shared" si="1"/>
        <v/>
      </c>
      <c r="H17648" s="14" t="str">
        <f t="shared" si="2"/>
        <v/>
      </c>
      <c r="I17648" s="15" t="str">
        <f t="shared" si="3"/>
        <v/>
      </c>
    </row>
    <row r="17649">
      <c r="A17649" s="8" t="str">
        <f>IFERROR(__xludf.DUMMYFUNCTION("IF('(INGESTA)Datos_consumo_datadis'!A19214&lt;&gt;"""",SPLIT('(INGESTA)Datos_consumo_datadis'!A:A,"",""),"""")"),"")</f>
        <v/>
      </c>
      <c r="G17649" s="8" t="str">
        <f t="shared" si="1"/>
        <v/>
      </c>
      <c r="H17649" s="14" t="str">
        <f t="shared" si="2"/>
        <v/>
      </c>
      <c r="I17649" s="15" t="str">
        <f t="shared" si="3"/>
        <v/>
      </c>
    </row>
    <row r="17650">
      <c r="A17650" s="8" t="str">
        <f>IFERROR(__xludf.DUMMYFUNCTION("IF('(INGESTA)Datos_consumo_datadis'!A19215&lt;&gt;"""",SPLIT('(INGESTA)Datos_consumo_datadis'!A:A,"",""),"""")"),"")</f>
        <v/>
      </c>
      <c r="G17650" s="8" t="str">
        <f t="shared" si="1"/>
        <v/>
      </c>
      <c r="H17650" s="14" t="str">
        <f t="shared" si="2"/>
        <v/>
      </c>
      <c r="I17650" s="15" t="str">
        <f t="shared" si="3"/>
        <v/>
      </c>
    </row>
    <row r="17651">
      <c r="A17651" s="8" t="str">
        <f>IFERROR(__xludf.DUMMYFUNCTION("IF('(INGESTA)Datos_consumo_datadis'!A19216&lt;&gt;"""",SPLIT('(INGESTA)Datos_consumo_datadis'!A:A,"",""),"""")"),"")</f>
        <v/>
      </c>
      <c r="G17651" s="8" t="str">
        <f t="shared" si="1"/>
        <v/>
      </c>
      <c r="H17651" s="14" t="str">
        <f t="shared" si="2"/>
        <v/>
      </c>
      <c r="I17651" s="15" t="str">
        <f t="shared" si="3"/>
        <v/>
      </c>
    </row>
    <row r="17652">
      <c r="A17652" s="8" t="str">
        <f>IFERROR(__xludf.DUMMYFUNCTION("IF('(INGESTA)Datos_consumo_datadis'!A19217&lt;&gt;"""",SPLIT('(INGESTA)Datos_consumo_datadis'!A:A,"",""),"""")"),"")</f>
        <v/>
      </c>
      <c r="G17652" s="8" t="str">
        <f t="shared" si="1"/>
        <v/>
      </c>
      <c r="H17652" s="14" t="str">
        <f t="shared" si="2"/>
        <v/>
      </c>
      <c r="I17652" s="15" t="str">
        <f t="shared" si="3"/>
        <v/>
      </c>
    </row>
    <row r="17653">
      <c r="A17653" s="8" t="str">
        <f>IFERROR(__xludf.DUMMYFUNCTION("IF('(INGESTA)Datos_consumo_datadis'!A19218&lt;&gt;"""",SPLIT('(INGESTA)Datos_consumo_datadis'!A:A,"",""),"""")"),"")</f>
        <v/>
      </c>
      <c r="G17653" s="8" t="str">
        <f t="shared" si="1"/>
        <v/>
      </c>
      <c r="H17653" s="14" t="str">
        <f t="shared" si="2"/>
        <v/>
      </c>
      <c r="I17653" s="15" t="str">
        <f t="shared" si="3"/>
        <v/>
      </c>
    </row>
    <row r="17654">
      <c r="A17654" s="8" t="str">
        <f>IFERROR(__xludf.DUMMYFUNCTION("IF('(INGESTA)Datos_consumo_datadis'!A19219&lt;&gt;"""",SPLIT('(INGESTA)Datos_consumo_datadis'!A:A,"",""),"""")"),"")</f>
        <v/>
      </c>
      <c r="G17654" s="8" t="str">
        <f t="shared" si="1"/>
        <v/>
      </c>
      <c r="H17654" s="14" t="str">
        <f t="shared" si="2"/>
        <v/>
      </c>
      <c r="I17654" s="15" t="str">
        <f t="shared" si="3"/>
        <v/>
      </c>
    </row>
    <row r="17655">
      <c r="A17655" s="8" t="str">
        <f>IFERROR(__xludf.DUMMYFUNCTION("IF('(INGESTA)Datos_consumo_datadis'!A19220&lt;&gt;"""",SPLIT('(INGESTA)Datos_consumo_datadis'!A:A,"",""),"""")"),"")</f>
        <v/>
      </c>
      <c r="G17655" s="8" t="str">
        <f t="shared" si="1"/>
        <v/>
      </c>
      <c r="H17655" s="14" t="str">
        <f t="shared" si="2"/>
        <v/>
      </c>
      <c r="I17655" s="15" t="str">
        <f t="shared" si="3"/>
        <v/>
      </c>
    </row>
    <row r="17656">
      <c r="A17656" s="8" t="str">
        <f>IFERROR(__xludf.DUMMYFUNCTION("IF('(INGESTA)Datos_consumo_datadis'!A19221&lt;&gt;"""",SPLIT('(INGESTA)Datos_consumo_datadis'!A:A,"",""),"""")"),"")</f>
        <v/>
      </c>
      <c r="G17656" s="8" t="str">
        <f t="shared" si="1"/>
        <v/>
      </c>
      <c r="H17656" s="14" t="str">
        <f t="shared" si="2"/>
        <v/>
      </c>
      <c r="I17656" s="15" t="str">
        <f t="shared" si="3"/>
        <v/>
      </c>
    </row>
    <row r="17657">
      <c r="A17657" s="8" t="str">
        <f>IFERROR(__xludf.DUMMYFUNCTION("IF('(INGESTA)Datos_consumo_datadis'!A19222&lt;&gt;"""",SPLIT('(INGESTA)Datos_consumo_datadis'!A:A,"",""),"""")"),"")</f>
        <v/>
      </c>
      <c r="G17657" s="8" t="str">
        <f t="shared" si="1"/>
        <v/>
      </c>
      <c r="H17657" s="14" t="str">
        <f t="shared" si="2"/>
        <v/>
      </c>
      <c r="I17657" s="15" t="str">
        <f t="shared" si="3"/>
        <v/>
      </c>
    </row>
    <row r="17658">
      <c r="A17658" s="8" t="str">
        <f>IFERROR(__xludf.DUMMYFUNCTION("IF('(INGESTA)Datos_consumo_datadis'!A19223&lt;&gt;"""",SPLIT('(INGESTA)Datos_consumo_datadis'!A:A,"",""),"""")"),"")</f>
        <v/>
      </c>
      <c r="G17658" s="8" t="str">
        <f t="shared" si="1"/>
        <v/>
      </c>
      <c r="H17658" s="14" t="str">
        <f t="shared" si="2"/>
        <v/>
      </c>
      <c r="I17658" s="15" t="str">
        <f t="shared" si="3"/>
        <v/>
      </c>
    </row>
    <row r="17659">
      <c r="A17659" s="8" t="str">
        <f>IFERROR(__xludf.DUMMYFUNCTION("IF('(INGESTA)Datos_consumo_datadis'!A19224&lt;&gt;"""",SPLIT('(INGESTA)Datos_consumo_datadis'!A:A,"",""),"""")"),"")</f>
        <v/>
      </c>
      <c r="G17659" s="8" t="str">
        <f t="shared" si="1"/>
        <v/>
      </c>
      <c r="H17659" s="14" t="str">
        <f t="shared" si="2"/>
        <v/>
      </c>
      <c r="I17659" s="15" t="str">
        <f t="shared" si="3"/>
        <v/>
      </c>
    </row>
    <row r="17660">
      <c r="A17660" s="8" t="str">
        <f>IFERROR(__xludf.DUMMYFUNCTION("IF('(INGESTA)Datos_consumo_datadis'!A19225&lt;&gt;"""",SPLIT('(INGESTA)Datos_consumo_datadis'!A:A,"",""),"""")"),"")</f>
        <v/>
      </c>
      <c r="G17660" s="8" t="str">
        <f t="shared" si="1"/>
        <v/>
      </c>
      <c r="H17660" s="14" t="str">
        <f t="shared" si="2"/>
        <v/>
      </c>
      <c r="I17660" s="15" t="str">
        <f t="shared" si="3"/>
        <v/>
      </c>
    </row>
    <row r="17661">
      <c r="A17661" s="8" t="str">
        <f>IFERROR(__xludf.DUMMYFUNCTION("IF('(INGESTA)Datos_consumo_datadis'!A19226&lt;&gt;"""",SPLIT('(INGESTA)Datos_consumo_datadis'!A:A,"",""),"""")"),"")</f>
        <v/>
      </c>
      <c r="G17661" s="8" t="str">
        <f t="shared" si="1"/>
        <v/>
      </c>
      <c r="H17661" s="14" t="str">
        <f t="shared" si="2"/>
        <v/>
      </c>
      <c r="I17661" s="15" t="str">
        <f t="shared" si="3"/>
        <v/>
      </c>
    </row>
    <row r="17662">
      <c r="A17662" s="8" t="str">
        <f>IFERROR(__xludf.DUMMYFUNCTION("IF('(INGESTA)Datos_consumo_datadis'!A19227&lt;&gt;"""",SPLIT('(INGESTA)Datos_consumo_datadis'!A:A,"",""),"""")"),"")</f>
        <v/>
      </c>
      <c r="G17662" s="8" t="str">
        <f t="shared" si="1"/>
        <v/>
      </c>
      <c r="H17662" s="14" t="str">
        <f t="shared" si="2"/>
        <v/>
      </c>
      <c r="I17662" s="15" t="str">
        <f t="shared" si="3"/>
        <v/>
      </c>
    </row>
    <row r="17663">
      <c r="A17663" s="8" t="str">
        <f>IFERROR(__xludf.DUMMYFUNCTION("IF('(INGESTA)Datos_consumo_datadis'!A19228&lt;&gt;"""",SPLIT('(INGESTA)Datos_consumo_datadis'!A:A,"",""),"""")"),"")</f>
        <v/>
      </c>
      <c r="G17663" s="8" t="str">
        <f t="shared" si="1"/>
        <v/>
      </c>
      <c r="H17663" s="14" t="str">
        <f t="shared" si="2"/>
        <v/>
      </c>
      <c r="I17663" s="15" t="str">
        <f t="shared" si="3"/>
        <v/>
      </c>
    </row>
    <row r="17664">
      <c r="A17664" s="8" t="str">
        <f>IFERROR(__xludf.DUMMYFUNCTION("IF('(INGESTA)Datos_consumo_datadis'!A19229&lt;&gt;"""",SPLIT('(INGESTA)Datos_consumo_datadis'!A:A,"",""),"""")"),"")</f>
        <v/>
      </c>
      <c r="G17664" s="8" t="str">
        <f t="shared" si="1"/>
        <v/>
      </c>
      <c r="H17664" s="14" t="str">
        <f t="shared" si="2"/>
        <v/>
      </c>
      <c r="I17664" s="15" t="str">
        <f t="shared" si="3"/>
        <v/>
      </c>
    </row>
    <row r="17665">
      <c r="A17665" s="8" t="str">
        <f>IFERROR(__xludf.DUMMYFUNCTION("IF('(INGESTA)Datos_consumo_datadis'!A19230&lt;&gt;"""",SPLIT('(INGESTA)Datos_consumo_datadis'!A:A,"",""),"""")"),"")</f>
        <v/>
      </c>
      <c r="G17665" s="8" t="str">
        <f t="shared" si="1"/>
        <v/>
      </c>
      <c r="H17665" s="14" t="str">
        <f t="shared" si="2"/>
        <v/>
      </c>
      <c r="I17665" s="15" t="str">
        <f t="shared" si="3"/>
        <v/>
      </c>
    </row>
    <row r="17666">
      <c r="A17666" s="8" t="str">
        <f>IFERROR(__xludf.DUMMYFUNCTION("IF('(INGESTA)Datos_consumo_datadis'!A19231&lt;&gt;"""",SPLIT('(INGESTA)Datos_consumo_datadis'!A:A,"",""),"""")"),"")</f>
        <v/>
      </c>
      <c r="G17666" s="8" t="str">
        <f t="shared" si="1"/>
        <v/>
      </c>
      <c r="H17666" s="14" t="str">
        <f t="shared" si="2"/>
        <v/>
      </c>
      <c r="I17666" s="15" t="str">
        <f t="shared" si="3"/>
        <v/>
      </c>
    </row>
    <row r="17667">
      <c r="A17667" s="8" t="str">
        <f>IFERROR(__xludf.DUMMYFUNCTION("IF('(INGESTA)Datos_consumo_datadis'!A19232&lt;&gt;"""",SPLIT('(INGESTA)Datos_consumo_datadis'!A:A,"",""),"""")"),"")</f>
        <v/>
      </c>
      <c r="G17667" s="8" t="str">
        <f t="shared" si="1"/>
        <v/>
      </c>
      <c r="H17667" s="14" t="str">
        <f t="shared" si="2"/>
        <v/>
      </c>
      <c r="I17667" s="15" t="str">
        <f t="shared" si="3"/>
        <v/>
      </c>
    </row>
    <row r="17668">
      <c r="A17668" s="8" t="str">
        <f>IFERROR(__xludf.DUMMYFUNCTION("IF('(INGESTA)Datos_consumo_datadis'!A19233&lt;&gt;"""",SPLIT('(INGESTA)Datos_consumo_datadis'!A:A,"",""),"""")"),"")</f>
        <v/>
      </c>
      <c r="G17668" s="8" t="str">
        <f t="shared" si="1"/>
        <v/>
      </c>
      <c r="H17668" s="14" t="str">
        <f t="shared" si="2"/>
        <v/>
      </c>
      <c r="I17668" s="15" t="str">
        <f t="shared" si="3"/>
        <v/>
      </c>
    </row>
    <row r="17669">
      <c r="A17669" s="8" t="str">
        <f>IFERROR(__xludf.DUMMYFUNCTION("IF('(INGESTA)Datos_consumo_datadis'!A19234&lt;&gt;"""",SPLIT('(INGESTA)Datos_consumo_datadis'!A:A,"",""),"""")"),"")</f>
        <v/>
      </c>
      <c r="G17669" s="8" t="str">
        <f t="shared" si="1"/>
        <v/>
      </c>
      <c r="H17669" s="14" t="str">
        <f t="shared" si="2"/>
        <v/>
      </c>
      <c r="I17669" s="15" t="str">
        <f t="shared" si="3"/>
        <v/>
      </c>
    </row>
    <row r="17670">
      <c r="A17670" s="8" t="str">
        <f>IFERROR(__xludf.DUMMYFUNCTION("IF('(INGESTA)Datos_consumo_datadis'!A19235&lt;&gt;"""",SPLIT('(INGESTA)Datos_consumo_datadis'!A:A,"",""),"""")"),"")</f>
        <v/>
      </c>
      <c r="G17670" s="8" t="str">
        <f t="shared" si="1"/>
        <v/>
      </c>
      <c r="H17670" s="14" t="str">
        <f t="shared" si="2"/>
        <v/>
      </c>
      <c r="I17670" s="15" t="str">
        <f t="shared" si="3"/>
        <v/>
      </c>
    </row>
    <row r="17671">
      <c r="A17671" s="8" t="str">
        <f>IFERROR(__xludf.DUMMYFUNCTION("IF('(INGESTA)Datos_consumo_datadis'!A19236&lt;&gt;"""",SPLIT('(INGESTA)Datos_consumo_datadis'!A:A,"",""),"""")"),"")</f>
        <v/>
      </c>
      <c r="G17671" s="8" t="str">
        <f t="shared" si="1"/>
        <v/>
      </c>
      <c r="H17671" s="14" t="str">
        <f t="shared" si="2"/>
        <v/>
      </c>
      <c r="I17671" s="15" t="str">
        <f t="shared" si="3"/>
        <v/>
      </c>
    </row>
    <row r="17672">
      <c r="A17672" s="8" t="str">
        <f>IFERROR(__xludf.DUMMYFUNCTION("IF('(INGESTA)Datos_consumo_datadis'!A19237&lt;&gt;"""",SPLIT('(INGESTA)Datos_consumo_datadis'!A:A,"",""),"""")"),"")</f>
        <v/>
      </c>
      <c r="G17672" s="8" t="str">
        <f t="shared" si="1"/>
        <v/>
      </c>
      <c r="H17672" s="14" t="str">
        <f t="shared" si="2"/>
        <v/>
      </c>
      <c r="I17672" s="15" t="str">
        <f t="shared" si="3"/>
        <v/>
      </c>
    </row>
    <row r="17673">
      <c r="A17673" s="8" t="str">
        <f>IFERROR(__xludf.DUMMYFUNCTION("IF('(INGESTA)Datos_consumo_datadis'!A19238&lt;&gt;"""",SPLIT('(INGESTA)Datos_consumo_datadis'!A:A,"",""),"""")"),"")</f>
        <v/>
      </c>
      <c r="G17673" s="8" t="str">
        <f t="shared" si="1"/>
        <v/>
      </c>
      <c r="H17673" s="14" t="str">
        <f t="shared" si="2"/>
        <v/>
      </c>
      <c r="I17673" s="15" t="str">
        <f t="shared" si="3"/>
        <v/>
      </c>
    </row>
    <row r="17674">
      <c r="A17674" s="8" t="str">
        <f>IFERROR(__xludf.DUMMYFUNCTION("IF('(INGESTA)Datos_consumo_datadis'!A19239&lt;&gt;"""",SPLIT('(INGESTA)Datos_consumo_datadis'!A:A,"",""),"""")"),"")</f>
        <v/>
      </c>
      <c r="G17674" s="8" t="str">
        <f t="shared" si="1"/>
        <v/>
      </c>
      <c r="H17674" s="14" t="str">
        <f t="shared" si="2"/>
        <v/>
      </c>
      <c r="I17674" s="15" t="str">
        <f t="shared" si="3"/>
        <v/>
      </c>
    </row>
    <row r="17675">
      <c r="A17675" s="8" t="str">
        <f>IFERROR(__xludf.DUMMYFUNCTION("IF('(INGESTA)Datos_consumo_datadis'!A19240&lt;&gt;"""",SPLIT('(INGESTA)Datos_consumo_datadis'!A:A,"",""),"""")"),"")</f>
        <v/>
      </c>
      <c r="G17675" s="8" t="str">
        <f t="shared" si="1"/>
        <v/>
      </c>
      <c r="H17675" s="14" t="str">
        <f t="shared" si="2"/>
        <v/>
      </c>
      <c r="I17675" s="15" t="str">
        <f t="shared" si="3"/>
        <v/>
      </c>
    </row>
    <row r="17676">
      <c r="A17676" s="8" t="str">
        <f>IFERROR(__xludf.DUMMYFUNCTION("IF('(INGESTA)Datos_consumo_datadis'!A19241&lt;&gt;"""",SPLIT('(INGESTA)Datos_consumo_datadis'!A:A,"",""),"""")"),"")</f>
        <v/>
      </c>
      <c r="G17676" s="8" t="str">
        <f t="shared" si="1"/>
        <v/>
      </c>
      <c r="H17676" s="14" t="str">
        <f t="shared" si="2"/>
        <v/>
      </c>
      <c r="I17676" s="15" t="str">
        <f t="shared" si="3"/>
        <v/>
      </c>
    </row>
    <row r="17677">
      <c r="A17677" s="8" t="str">
        <f>IFERROR(__xludf.DUMMYFUNCTION("IF('(INGESTA)Datos_consumo_datadis'!A19242&lt;&gt;"""",SPLIT('(INGESTA)Datos_consumo_datadis'!A:A,"",""),"""")"),"")</f>
        <v/>
      </c>
      <c r="G17677" s="8" t="str">
        <f t="shared" si="1"/>
        <v/>
      </c>
      <c r="H17677" s="14" t="str">
        <f t="shared" si="2"/>
        <v/>
      </c>
      <c r="I17677" s="15" t="str">
        <f t="shared" si="3"/>
        <v/>
      </c>
    </row>
    <row r="17678">
      <c r="A17678" s="8" t="str">
        <f>IFERROR(__xludf.DUMMYFUNCTION("IF('(INGESTA)Datos_consumo_datadis'!A19243&lt;&gt;"""",SPLIT('(INGESTA)Datos_consumo_datadis'!A:A,"",""),"""")"),"")</f>
        <v/>
      </c>
      <c r="G17678" s="8" t="str">
        <f t="shared" si="1"/>
        <v/>
      </c>
      <c r="H17678" s="14" t="str">
        <f t="shared" si="2"/>
        <v/>
      </c>
      <c r="I17678" s="15" t="str">
        <f t="shared" si="3"/>
        <v/>
      </c>
    </row>
    <row r="17679">
      <c r="A17679" s="8" t="str">
        <f>IFERROR(__xludf.DUMMYFUNCTION("IF('(INGESTA)Datos_consumo_datadis'!A19244&lt;&gt;"""",SPLIT('(INGESTA)Datos_consumo_datadis'!A:A,"",""),"""")"),"")</f>
        <v/>
      </c>
      <c r="G17679" s="8" t="str">
        <f t="shared" si="1"/>
        <v/>
      </c>
      <c r="H17679" s="14" t="str">
        <f t="shared" si="2"/>
        <v/>
      </c>
      <c r="I17679" s="15" t="str">
        <f t="shared" si="3"/>
        <v/>
      </c>
    </row>
    <row r="17680">
      <c r="A17680" s="8" t="str">
        <f>IFERROR(__xludf.DUMMYFUNCTION("IF('(INGESTA)Datos_consumo_datadis'!A19245&lt;&gt;"""",SPLIT('(INGESTA)Datos_consumo_datadis'!A:A,"",""),"""")"),"")</f>
        <v/>
      </c>
      <c r="G17680" s="8" t="str">
        <f t="shared" si="1"/>
        <v/>
      </c>
      <c r="H17680" s="14" t="str">
        <f t="shared" si="2"/>
        <v/>
      </c>
      <c r="I17680" s="15" t="str">
        <f t="shared" si="3"/>
        <v/>
      </c>
    </row>
    <row r="17681">
      <c r="A17681" s="8" t="str">
        <f>IFERROR(__xludf.DUMMYFUNCTION("IF('(INGESTA)Datos_consumo_datadis'!A19246&lt;&gt;"""",SPLIT('(INGESTA)Datos_consumo_datadis'!A:A,"",""),"""")"),"")</f>
        <v/>
      </c>
      <c r="G17681" s="8" t="str">
        <f t="shared" si="1"/>
        <v/>
      </c>
      <c r="H17681" s="14" t="str">
        <f t="shared" si="2"/>
        <v/>
      </c>
      <c r="I17681" s="15" t="str">
        <f t="shared" si="3"/>
        <v/>
      </c>
    </row>
    <row r="17682">
      <c r="A17682" s="8" t="str">
        <f>IFERROR(__xludf.DUMMYFUNCTION("IF('(INGESTA)Datos_consumo_datadis'!A19247&lt;&gt;"""",SPLIT('(INGESTA)Datos_consumo_datadis'!A:A,"",""),"""")"),"")</f>
        <v/>
      </c>
      <c r="G17682" s="8" t="str">
        <f t="shared" si="1"/>
        <v/>
      </c>
      <c r="H17682" s="14" t="str">
        <f t="shared" si="2"/>
        <v/>
      </c>
      <c r="I17682" s="15" t="str">
        <f t="shared" si="3"/>
        <v/>
      </c>
    </row>
    <row r="17683">
      <c r="A17683" s="8" t="str">
        <f>IFERROR(__xludf.DUMMYFUNCTION("IF('(INGESTA)Datos_consumo_datadis'!A19248&lt;&gt;"""",SPLIT('(INGESTA)Datos_consumo_datadis'!A:A,"",""),"""")"),"")</f>
        <v/>
      </c>
      <c r="G17683" s="8" t="str">
        <f t="shared" si="1"/>
        <v/>
      </c>
      <c r="H17683" s="14" t="str">
        <f t="shared" si="2"/>
        <v/>
      </c>
      <c r="I17683" s="15" t="str">
        <f t="shared" si="3"/>
        <v/>
      </c>
    </row>
    <row r="17684">
      <c r="A17684" s="8" t="str">
        <f>IFERROR(__xludf.DUMMYFUNCTION("IF('(INGESTA)Datos_consumo_datadis'!A19249&lt;&gt;"""",SPLIT('(INGESTA)Datos_consumo_datadis'!A:A,"",""),"""")"),"")</f>
        <v/>
      </c>
      <c r="G17684" s="8" t="str">
        <f t="shared" si="1"/>
        <v/>
      </c>
      <c r="H17684" s="14" t="str">
        <f t="shared" si="2"/>
        <v/>
      </c>
      <c r="I17684" s="15" t="str">
        <f t="shared" si="3"/>
        <v/>
      </c>
    </row>
    <row r="17685">
      <c r="A17685" s="8" t="str">
        <f>IFERROR(__xludf.DUMMYFUNCTION("IF('(INGESTA)Datos_consumo_datadis'!A19250&lt;&gt;"""",SPLIT('(INGESTA)Datos_consumo_datadis'!A:A,"",""),"""")"),"")</f>
        <v/>
      </c>
      <c r="G17685" s="8" t="str">
        <f t="shared" si="1"/>
        <v/>
      </c>
      <c r="H17685" s="14" t="str">
        <f t="shared" si="2"/>
        <v/>
      </c>
      <c r="I17685" s="15" t="str">
        <f t="shared" si="3"/>
        <v/>
      </c>
    </row>
    <row r="17686">
      <c r="A17686" s="8" t="str">
        <f>IFERROR(__xludf.DUMMYFUNCTION("IF('(INGESTA)Datos_consumo_datadis'!A19251&lt;&gt;"""",SPLIT('(INGESTA)Datos_consumo_datadis'!A:A,"",""),"""")"),"")</f>
        <v/>
      </c>
      <c r="G17686" s="8" t="str">
        <f t="shared" si="1"/>
        <v/>
      </c>
      <c r="H17686" s="14" t="str">
        <f t="shared" si="2"/>
        <v/>
      </c>
      <c r="I17686" s="15" t="str">
        <f t="shared" si="3"/>
        <v/>
      </c>
    </row>
    <row r="17687">
      <c r="A17687" s="8" t="str">
        <f>IFERROR(__xludf.DUMMYFUNCTION("IF('(INGESTA)Datos_consumo_datadis'!A19252&lt;&gt;"""",SPLIT('(INGESTA)Datos_consumo_datadis'!A:A,"",""),"""")"),"")</f>
        <v/>
      </c>
      <c r="G17687" s="8" t="str">
        <f t="shared" si="1"/>
        <v/>
      </c>
      <c r="H17687" s="14" t="str">
        <f t="shared" si="2"/>
        <v/>
      </c>
      <c r="I17687" s="15" t="str">
        <f t="shared" si="3"/>
        <v/>
      </c>
    </row>
    <row r="17688">
      <c r="A17688" s="8" t="str">
        <f>IFERROR(__xludf.DUMMYFUNCTION("IF('(INGESTA)Datos_consumo_datadis'!A19253&lt;&gt;"""",SPLIT('(INGESTA)Datos_consumo_datadis'!A:A,"",""),"""")"),"")</f>
        <v/>
      </c>
      <c r="G17688" s="8" t="str">
        <f t="shared" si="1"/>
        <v/>
      </c>
      <c r="H17688" s="14" t="str">
        <f t="shared" si="2"/>
        <v/>
      </c>
      <c r="I17688" s="15" t="str">
        <f t="shared" si="3"/>
        <v/>
      </c>
    </row>
    <row r="17689">
      <c r="A17689" s="8" t="str">
        <f>IFERROR(__xludf.DUMMYFUNCTION("IF('(INGESTA)Datos_consumo_datadis'!A19254&lt;&gt;"""",SPLIT('(INGESTA)Datos_consumo_datadis'!A:A,"",""),"""")"),"")</f>
        <v/>
      </c>
      <c r="G17689" s="8" t="str">
        <f t="shared" si="1"/>
        <v/>
      </c>
      <c r="H17689" s="14" t="str">
        <f t="shared" si="2"/>
        <v/>
      </c>
      <c r="I17689" s="15" t="str">
        <f t="shared" si="3"/>
        <v/>
      </c>
    </row>
    <row r="17690">
      <c r="A17690" s="8" t="str">
        <f>IFERROR(__xludf.DUMMYFUNCTION("IF('(INGESTA)Datos_consumo_datadis'!A19255&lt;&gt;"""",SPLIT('(INGESTA)Datos_consumo_datadis'!A:A,"",""),"""")"),"")</f>
        <v/>
      </c>
      <c r="G17690" s="8" t="str">
        <f t="shared" si="1"/>
        <v/>
      </c>
      <c r="H17690" s="14" t="str">
        <f t="shared" si="2"/>
        <v/>
      </c>
      <c r="I17690" s="15" t="str">
        <f t="shared" si="3"/>
        <v/>
      </c>
    </row>
    <row r="17691">
      <c r="A17691" s="8" t="str">
        <f>IFERROR(__xludf.DUMMYFUNCTION("IF('(INGESTA)Datos_consumo_datadis'!A19256&lt;&gt;"""",SPLIT('(INGESTA)Datos_consumo_datadis'!A:A,"",""),"""")"),"")</f>
        <v/>
      </c>
      <c r="G17691" s="8" t="str">
        <f t="shared" si="1"/>
        <v/>
      </c>
      <c r="H17691" s="14" t="str">
        <f t="shared" si="2"/>
        <v/>
      </c>
      <c r="I17691" s="15" t="str">
        <f t="shared" si="3"/>
        <v/>
      </c>
    </row>
    <row r="17692">
      <c r="A17692" s="8" t="str">
        <f>IFERROR(__xludf.DUMMYFUNCTION("IF('(INGESTA)Datos_consumo_datadis'!A19257&lt;&gt;"""",SPLIT('(INGESTA)Datos_consumo_datadis'!A:A,"",""),"""")"),"")</f>
        <v/>
      </c>
      <c r="G17692" s="8" t="str">
        <f t="shared" si="1"/>
        <v/>
      </c>
      <c r="H17692" s="14" t="str">
        <f t="shared" si="2"/>
        <v/>
      </c>
      <c r="I17692" s="15" t="str">
        <f t="shared" si="3"/>
        <v/>
      </c>
    </row>
    <row r="17693">
      <c r="A17693" s="8" t="str">
        <f>IFERROR(__xludf.DUMMYFUNCTION("IF('(INGESTA)Datos_consumo_datadis'!A19258&lt;&gt;"""",SPLIT('(INGESTA)Datos_consumo_datadis'!A:A,"",""),"""")"),"")</f>
        <v/>
      </c>
      <c r="G17693" s="8" t="str">
        <f t="shared" si="1"/>
        <v/>
      </c>
      <c r="H17693" s="14" t="str">
        <f t="shared" si="2"/>
        <v/>
      </c>
      <c r="I17693" s="15" t="str">
        <f t="shared" si="3"/>
        <v/>
      </c>
    </row>
    <row r="17694">
      <c r="A17694" s="8" t="str">
        <f>IFERROR(__xludf.DUMMYFUNCTION("IF('(INGESTA)Datos_consumo_datadis'!A19259&lt;&gt;"""",SPLIT('(INGESTA)Datos_consumo_datadis'!A:A,"",""),"""")"),"")</f>
        <v/>
      </c>
      <c r="G17694" s="8" t="str">
        <f t="shared" si="1"/>
        <v/>
      </c>
      <c r="H17694" s="14" t="str">
        <f t="shared" si="2"/>
        <v/>
      </c>
      <c r="I17694" s="15" t="str">
        <f t="shared" si="3"/>
        <v/>
      </c>
    </row>
    <row r="17695">
      <c r="A17695" s="8" t="str">
        <f>IFERROR(__xludf.DUMMYFUNCTION("IF('(INGESTA)Datos_consumo_datadis'!A19260&lt;&gt;"""",SPLIT('(INGESTA)Datos_consumo_datadis'!A:A,"",""),"""")"),"")</f>
        <v/>
      </c>
      <c r="G17695" s="8" t="str">
        <f t="shared" si="1"/>
        <v/>
      </c>
      <c r="H17695" s="14" t="str">
        <f t="shared" si="2"/>
        <v/>
      </c>
      <c r="I17695" s="15" t="str">
        <f t="shared" si="3"/>
        <v/>
      </c>
    </row>
    <row r="17696">
      <c r="A17696" s="8" t="str">
        <f>IFERROR(__xludf.DUMMYFUNCTION("IF('(INGESTA)Datos_consumo_datadis'!A19261&lt;&gt;"""",SPLIT('(INGESTA)Datos_consumo_datadis'!A:A,"",""),"""")"),"")</f>
        <v/>
      </c>
      <c r="G17696" s="8" t="str">
        <f t="shared" si="1"/>
        <v/>
      </c>
      <c r="H17696" s="14" t="str">
        <f t="shared" si="2"/>
        <v/>
      </c>
      <c r="I17696" s="15" t="str">
        <f t="shared" si="3"/>
        <v/>
      </c>
    </row>
    <row r="17697">
      <c r="A17697" s="8" t="str">
        <f>IFERROR(__xludf.DUMMYFUNCTION("IF('(INGESTA)Datos_consumo_datadis'!A19262&lt;&gt;"""",SPLIT('(INGESTA)Datos_consumo_datadis'!A:A,"",""),"""")"),"")</f>
        <v/>
      </c>
      <c r="G17697" s="8" t="str">
        <f t="shared" si="1"/>
        <v/>
      </c>
      <c r="H17697" s="14" t="str">
        <f t="shared" si="2"/>
        <v/>
      </c>
      <c r="I17697" s="15" t="str">
        <f t="shared" si="3"/>
        <v/>
      </c>
    </row>
    <row r="17698">
      <c r="A17698" s="8" t="str">
        <f>IFERROR(__xludf.DUMMYFUNCTION("IF('(INGESTA)Datos_consumo_datadis'!A19263&lt;&gt;"""",SPLIT('(INGESTA)Datos_consumo_datadis'!A:A,"",""),"""")"),"")</f>
        <v/>
      </c>
      <c r="G17698" s="8" t="str">
        <f t="shared" si="1"/>
        <v/>
      </c>
      <c r="H17698" s="14" t="str">
        <f t="shared" si="2"/>
        <v/>
      </c>
      <c r="I17698" s="15" t="str">
        <f t="shared" si="3"/>
        <v/>
      </c>
    </row>
    <row r="17699">
      <c r="A17699" s="8" t="str">
        <f>IFERROR(__xludf.DUMMYFUNCTION("IF('(INGESTA)Datos_consumo_datadis'!A19264&lt;&gt;"""",SPLIT('(INGESTA)Datos_consumo_datadis'!A:A,"",""),"""")"),"")</f>
        <v/>
      </c>
      <c r="G17699" s="8" t="str">
        <f t="shared" si="1"/>
        <v/>
      </c>
      <c r="H17699" s="14" t="str">
        <f t="shared" si="2"/>
        <v/>
      </c>
      <c r="I17699" s="15" t="str">
        <f t="shared" si="3"/>
        <v/>
      </c>
    </row>
    <row r="17700">
      <c r="A17700" s="8" t="str">
        <f>IFERROR(__xludf.DUMMYFUNCTION("IF('(INGESTA)Datos_consumo_datadis'!A19265&lt;&gt;"""",SPLIT('(INGESTA)Datos_consumo_datadis'!A:A,"",""),"""")"),"")</f>
        <v/>
      </c>
      <c r="G17700" s="8" t="str">
        <f t="shared" si="1"/>
        <v/>
      </c>
      <c r="H17700" s="14" t="str">
        <f t="shared" si="2"/>
        <v/>
      </c>
      <c r="I17700" s="15" t="str">
        <f t="shared" si="3"/>
        <v/>
      </c>
    </row>
    <row r="17701">
      <c r="A17701" s="8" t="str">
        <f>IFERROR(__xludf.DUMMYFUNCTION("IF('(INGESTA)Datos_consumo_datadis'!A19266&lt;&gt;"""",SPLIT('(INGESTA)Datos_consumo_datadis'!A:A,"",""),"""")"),"")</f>
        <v/>
      </c>
      <c r="G17701" s="8" t="str">
        <f t="shared" si="1"/>
        <v/>
      </c>
      <c r="H17701" s="14" t="str">
        <f t="shared" si="2"/>
        <v/>
      </c>
      <c r="I17701" s="15" t="str">
        <f t="shared" si="3"/>
        <v/>
      </c>
    </row>
    <row r="17702">
      <c r="A17702" s="8" t="str">
        <f>IFERROR(__xludf.DUMMYFUNCTION("IF('(INGESTA)Datos_consumo_datadis'!A19267&lt;&gt;"""",SPLIT('(INGESTA)Datos_consumo_datadis'!A:A,"",""),"""")"),"")</f>
        <v/>
      </c>
      <c r="G17702" s="8" t="str">
        <f t="shared" si="1"/>
        <v/>
      </c>
      <c r="H17702" s="14" t="str">
        <f t="shared" si="2"/>
        <v/>
      </c>
      <c r="I17702" s="15" t="str">
        <f t="shared" si="3"/>
        <v/>
      </c>
    </row>
    <row r="17703">
      <c r="A17703" s="8" t="str">
        <f>IFERROR(__xludf.DUMMYFUNCTION("IF('(INGESTA)Datos_consumo_datadis'!A19268&lt;&gt;"""",SPLIT('(INGESTA)Datos_consumo_datadis'!A:A,"",""),"""")"),"")</f>
        <v/>
      </c>
      <c r="G17703" s="8" t="str">
        <f t="shared" si="1"/>
        <v/>
      </c>
      <c r="H17703" s="14" t="str">
        <f t="shared" si="2"/>
        <v/>
      </c>
      <c r="I17703" s="15" t="str">
        <f t="shared" si="3"/>
        <v/>
      </c>
    </row>
    <row r="17704">
      <c r="A17704" s="8" t="str">
        <f>IFERROR(__xludf.DUMMYFUNCTION("IF('(INGESTA)Datos_consumo_datadis'!A19269&lt;&gt;"""",SPLIT('(INGESTA)Datos_consumo_datadis'!A:A,"",""),"""")"),"")</f>
        <v/>
      </c>
      <c r="G17704" s="8" t="str">
        <f t="shared" si="1"/>
        <v/>
      </c>
      <c r="H17704" s="14" t="str">
        <f t="shared" si="2"/>
        <v/>
      </c>
      <c r="I17704" s="15" t="str">
        <f t="shared" si="3"/>
        <v/>
      </c>
    </row>
    <row r="17705">
      <c r="A17705" s="8" t="str">
        <f>IFERROR(__xludf.DUMMYFUNCTION("IF('(INGESTA)Datos_consumo_datadis'!A19270&lt;&gt;"""",SPLIT('(INGESTA)Datos_consumo_datadis'!A:A,"",""),"""")"),"")</f>
        <v/>
      </c>
      <c r="G17705" s="8" t="str">
        <f t="shared" si="1"/>
        <v/>
      </c>
      <c r="H17705" s="14" t="str">
        <f t="shared" si="2"/>
        <v/>
      </c>
      <c r="I17705" s="15" t="str">
        <f t="shared" si="3"/>
        <v/>
      </c>
    </row>
    <row r="17706">
      <c r="A17706" s="8" t="str">
        <f>IFERROR(__xludf.DUMMYFUNCTION("IF('(INGESTA)Datos_consumo_datadis'!A19271&lt;&gt;"""",SPLIT('(INGESTA)Datos_consumo_datadis'!A:A,"",""),"""")"),"")</f>
        <v/>
      </c>
      <c r="G17706" s="8" t="str">
        <f t="shared" si="1"/>
        <v/>
      </c>
      <c r="H17706" s="14" t="str">
        <f t="shared" si="2"/>
        <v/>
      </c>
      <c r="I17706" s="15" t="str">
        <f t="shared" si="3"/>
        <v/>
      </c>
    </row>
    <row r="17707">
      <c r="A17707" s="8" t="str">
        <f>IFERROR(__xludf.DUMMYFUNCTION("IF('(INGESTA)Datos_consumo_datadis'!A19272&lt;&gt;"""",SPLIT('(INGESTA)Datos_consumo_datadis'!A:A,"",""),"""")"),"")</f>
        <v/>
      </c>
      <c r="G17707" s="8" t="str">
        <f t="shared" si="1"/>
        <v/>
      </c>
      <c r="H17707" s="14" t="str">
        <f t="shared" si="2"/>
        <v/>
      </c>
      <c r="I17707" s="15" t="str">
        <f t="shared" si="3"/>
        <v/>
      </c>
    </row>
    <row r="17708">
      <c r="A17708" s="8" t="str">
        <f>IFERROR(__xludf.DUMMYFUNCTION("IF('(INGESTA)Datos_consumo_datadis'!A19273&lt;&gt;"""",SPLIT('(INGESTA)Datos_consumo_datadis'!A:A,"",""),"""")"),"")</f>
        <v/>
      </c>
      <c r="G17708" s="8" t="str">
        <f t="shared" si="1"/>
        <v/>
      </c>
      <c r="H17708" s="14" t="str">
        <f t="shared" si="2"/>
        <v/>
      </c>
      <c r="I17708" s="15" t="str">
        <f t="shared" si="3"/>
        <v/>
      </c>
    </row>
    <row r="17709">
      <c r="A17709" s="8" t="str">
        <f>IFERROR(__xludf.DUMMYFUNCTION("IF('(INGESTA)Datos_consumo_datadis'!A19274&lt;&gt;"""",SPLIT('(INGESTA)Datos_consumo_datadis'!A:A,"",""),"""")"),"")</f>
        <v/>
      </c>
      <c r="G17709" s="8" t="str">
        <f t="shared" si="1"/>
        <v/>
      </c>
      <c r="H17709" s="14" t="str">
        <f t="shared" si="2"/>
        <v/>
      </c>
      <c r="I17709" s="15" t="str">
        <f t="shared" si="3"/>
        <v/>
      </c>
    </row>
    <row r="17710">
      <c r="A17710" s="8" t="str">
        <f>IFERROR(__xludf.DUMMYFUNCTION("IF('(INGESTA)Datos_consumo_datadis'!A19275&lt;&gt;"""",SPLIT('(INGESTA)Datos_consumo_datadis'!A:A,"",""),"""")"),"")</f>
        <v/>
      </c>
      <c r="G17710" s="8" t="str">
        <f t="shared" si="1"/>
        <v/>
      </c>
      <c r="H17710" s="14" t="str">
        <f t="shared" si="2"/>
        <v/>
      </c>
      <c r="I17710" s="15" t="str">
        <f t="shared" si="3"/>
        <v/>
      </c>
    </row>
    <row r="17711">
      <c r="A17711" s="8" t="str">
        <f>IFERROR(__xludf.DUMMYFUNCTION("IF('(INGESTA)Datos_consumo_datadis'!A19276&lt;&gt;"""",SPLIT('(INGESTA)Datos_consumo_datadis'!A:A,"",""),"""")"),"")</f>
        <v/>
      </c>
      <c r="G17711" s="8" t="str">
        <f t="shared" si="1"/>
        <v/>
      </c>
      <c r="H17711" s="14" t="str">
        <f t="shared" si="2"/>
        <v/>
      </c>
      <c r="I17711" s="15" t="str">
        <f t="shared" si="3"/>
        <v/>
      </c>
    </row>
    <row r="17712">
      <c r="A17712" s="8" t="str">
        <f>IFERROR(__xludf.DUMMYFUNCTION("IF('(INGESTA)Datos_consumo_datadis'!A19277&lt;&gt;"""",SPLIT('(INGESTA)Datos_consumo_datadis'!A:A,"",""),"""")"),"")</f>
        <v/>
      </c>
      <c r="G17712" s="8" t="str">
        <f t="shared" si="1"/>
        <v/>
      </c>
      <c r="H17712" s="14" t="str">
        <f t="shared" si="2"/>
        <v/>
      </c>
      <c r="I17712" s="15" t="str">
        <f t="shared" si="3"/>
        <v/>
      </c>
    </row>
    <row r="17713">
      <c r="A17713" s="8" t="str">
        <f>IFERROR(__xludf.DUMMYFUNCTION("IF('(INGESTA)Datos_consumo_datadis'!A19278&lt;&gt;"""",SPLIT('(INGESTA)Datos_consumo_datadis'!A:A,"",""),"""")"),"")</f>
        <v/>
      </c>
      <c r="G17713" s="8" t="str">
        <f t="shared" si="1"/>
        <v/>
      </c>
      <c r="H17713" s="14" t="str">
        <f t="shared" si="2"/>
        <v/>
      </c>
      <c r="I17713" s="15" t="str">
        <f t="shared" si="3"/>
        <v/>
      </c>
    </row>
    <row r="17714">
      <c r="A17714" s="8" t="str">
        <f>IFERROR(__xludf.DUMMYFUNCTION("IF('(INGESTA)Datos_consumo_datadis'!A19279&lt;&gt;"""",SPLIT('(INGESTA)Datos_consumo_datadis'!A:A,"",""),"""")"),"")</f>
        <v/>
      </c>
      <c r="G17714" s="8" t="str">
        <f t="shared" si="1"/>
        <v/>
      </c>
      <c r="H17714" s="14" t="str">
        <f t="shared" si="2"/>
        <v/>
      </c>
      <c r="I17714" s="15" t="str">
        <f t="shared" si="3"/>
        <v/>
      </c>
    </row>
    <row r="17715">
      <c r="A17715" s="8" t="str">
        <f>IFERROR(__xludf.DUMMYFUNCTION("IF('(INGESTA)Datos_consumo_datadis'!A19280&lt;&gt;"""",SPLIT('(INGESTA)Datos_consumo_datadis'!A:A,"",""),"""")"),"")</f>
        <v/>
      </c>
      <c r="G17715" s="8" t="str">
        <f t="shared" si="1"/>
        <v/>
      </c>
      <c r="H17715" s="14" t="str">
        <f t="shared" si="2"/>
        <v/>
      </c>
      <c r="I17715" s="15" t="str">
        <f t="shared" si="3"/>
        <v/>
      </c>
    </row>
    <row r="17716">
      <c r="A17716" s="8" t="str">
        <f>IFERROR(__xludf.DUMMYFUNCTION("IF('(INGESTA)Datos_consumo_datadis'!A19281&lt;&gt;"""",SPLIT('(INGESTA)Datos_consumo_datadis'!A:A,"",""),"""")"),"")</f>
        <v/>
      </c>
      <c r="G17716" s="8" t="str">
        <f t="shared" si="1"/>
        <v/>
      </c>
      <c r="H17716" s="14" t="str">
        <f t="shared" si="2"/>
        <v/>
      </c>
      <c r="I17716" s="15" t="str">
        <f t="shared" si="3"/>
        <v/>
      </c>
    </row>
    <row r="17717">
      <c r="A17717" s="8" t="str">
        <f>IFERROR(__xludf.DUMMYFUNCTION("IF('(INGESTA)Datos_consumo_datadis'!A19282&lt;&gt;"""",SPLIT('(INGESTA)Datos_consumo_datadis'!A:A,"",""),"""")"),"")</f>
        <v/>
      </c>
      <c r="G17717" s="8" t="str">
        <f t="shared" si="1"/>
        <v/>
      </c>
      <c r="H17717" s="14" t="str">
        <f t="shared" si="2"/>
        <v/>
      </c>
      <c r="I17717" s="15" t="str">
        <f t="shared" si="3"/>
        <v/>
      </c>
    </row>
    <row r="17718">
      <c r="A17718" s="8" t="str">
        <f>IFERROR(__xludf.DUMMYFUNCTION("IF('(INGESTA)Datos_consumo_datadis'!A19283&lt;&gt;"""",SPLIT('(INGESTA)Datos_consumo_datadis'!A:A,"",""),"""")"),"")</f>
        <v/>
      </c>
      <c r="G17718" s="8" t="str">
        <f t="shared" si="1"/>
        <v/>
      </c>
      <c r="H17718" s="14" t="str">
        <f t="shared" si="2"/>
        <v/>
      </c>
      <c r="I17718" s="15" t="str">
        <f t="shared" si="3"/>
        <v/>
      </c>
    </row>
    <row r="17719">
      <c r="A17719" s="8" t="str">
        <f>IFERROR(__xludf.DUMMYFUNCTION("IF('(INGESTA)Datos_consumo_datadis'!A19284&lt;&gt;"""",SPLIT('(INGESTA)Datos_consumo_datadis'!A:A,"",""),"""")"),"")</f>
        <v/>
      </c>
      <c r="G17719" s="8" t="str">
        <f t="shared" si="1"/>
        <v/>
      </c>
      <c r="H17719" s="14" t="str">
        <f t="shared" si="2"/>
        <v/>
      </c>
      <c r="I17719" s="15" t="str">
        <f t="shared" si="3"/>
        <v/>
      </c>
    </row>
    <row r="17720">
      <c r="A17720" s="8" t="str">
        <f>IFERROR(__xludf.DUMMYFUNCTION("IF('(INGESTA)Datos_consumo_datadis'!A19285&lt;&gt;"""",SPLIT('(INGESTA)Datos_consumo_datadis'!A:A,"",""),"""")"),"")</f>
        <v/>
      </c>
      <c r="G17720" s="8" t="str">
        <f t="shared" si="1"/>
        <v/>
      </c>
      <c r="H17720" s="14" t="str">
        <f t="shared" si="2"/>
        <v/>
      </c>
      <c r="I17720" s="15" t="str">
        <f t="shared" si="3"/>
        <v/>
      </c>
    </row>
    <row r="17721">
      <c r="A17721" s="8" t="str">
        <f>IFERROR(__xludf.DUMMYFUNCTION("IF('(INGESTA)Datos_consumo_datadis'!A19286&lt;&gt;"""",SPLIT('(INGESTA)Datos_consumo_datadis'!A:A,"",""),"""")"),"")</f>
        <v/>
      </c>
      <c r="G17721" s="8" t="str">
        <f t="shared" si="1"/>
        <v/>
      </c>
      <c r="H17721" s="14" t="str">
        <f t="shared" si="2"/>
        <v/>
      </c>
      <c r="I17721" s="15" t="str">
        <f t="shared" si="3"/>
        <v/>
      </c>
    </row>
    <row r="17722">
      <c r="A17722" s="8" t="str">
        <f>IFERROR(__xludf.DUMMYFUNCTION("IF('(INGESTA)Datos_consumo_datadis'!A19287&lt;&gt;"""",SPLIT('(INGESTA)Datos_consumo_datadis'!A:A,"",""),"""")"),"")</f>
        <v/>
      </c>
      <c r="G17722" s="8" t="str">
        <f t="shared" si="1"/>
        <v/>
      </c>
      <c r="H17722" s="14" t="str">
        <f t="shared" si="2"/>
        <v/>
      </c>
      <c r="I17722" s="15" t="str">
        <f t="shared" si="3"/>
        <v/>
      </c>
    </row>
    <row r="17723">
      <c r="A17723" s="8" t="str">
        <f>IFERROR(__xludf.DUMMYFUNCTION("IF('(INGESTA)Datos_consumo_datadis'!A19288&lt;&gt;"""",SPLIT('(INGESTA)Datos_consumo_datadis'!A:A,"",""),"""")"),"")</f>
        <v/>
      </c>
      <c r="G17723" s="8" t="str">
        <f t="shared" si="1"/>
        <v/>
      </c>
      <c r="H17723" s="14" t="str">
        <f t="shared" si="2"/>
        <v/>
      </c>
      <c r="I17723" s="15" t="str">
        <f t="shared" si="3"/>
        <v/>
      </c>
    </row>
    <row r="17724">
      <c r="A17724" s="8" t="str">
        <f>IFERROR(__xludf.DUMMYFUNCTION("IF('(INGESTA)Datos_consumo_datadis'!A19289&lt;&gt;"""",SPLIT('(INGESTA)Datos_consumo_datadis'!A:A,"",""),"""")"),"")</f>
        <v/>
      </c>
      <c r="G17724" s="8" t="str">
        <f t="shared" si="1"/>
        <v/>
      </c>
      <c r="H17724" s="14" t="str">
        <f t="shared" si="2"/>
        <v/>
      </c>
      <c r="I17724" s="15" t="str">
        <f t="shared" si="3"/>
        <v/>
      </c>
    </row>
    <row r="17725">
      <c r="A17725" s="8" t="str">
        <f>IFERROR(__xludf.DUMMYFUNCTION("IF('(INGESTA)Datos_consumo_datadis'!A19290&lt;&gt;"""",SPLIT('(INGESTA)Datos_consumo_datadis'!A:A,"",""),"""")"),"")</f>
        <v/>
      </c>
      <c r="G17725" s="8" t="str">
        <f t="shared" si="1"/>
        <v/>
      </c>
      <c r="H17725" s="14" t="str">
        <f t="shared" si="2"/>
        <v/>
      </c>
      <c r="I17725" s="15" t="str">
        <f t="shared" si="3"/>
        <v/>
      </c>
    </row>
    <row r="17726">
      <c r="A17726" s="8" t="str">
        <f>IFERROR(__xludf.DUMMYFUNCTION("IF('(INGESTA)Datos_consumo_datadis'!A19291&lt;&gt;"""",SPLIT('(INGESTA)Datos_consumo_datadis'!A:A,"",""),"""")"),"")</f>
        <v/>
      </c>
      <c r="G17726" s="8" t="str">
        <f t="shared" si="1"/>
        <v/>
      </c>
      <c r="H17726" s="14" t="str">
        <f t="shared" si="2"/>
        <v/>
      </c>
      <c r="I17726" s="15" t="str">
        <f t="shared" si="3"/>
        <v/>
      </c>
    </row>
    <row r="17727">
      <c r="A17727" s="8" t="str">
        <f>IFERROR(__xludf.DUMMYFUNCTION("IF('(INGESTA)Datos_consumo_datadis'!A19292&lt;&gt;"""",SPLIT('(INGESTA)Datos_consumo_datadis'!A:A,"",""),"""")"),"")</f>
        <v/>
      </c>
      <c r="G17727" s="8" t="str">
        <f t="shared" si="1"/>
        <v/>
      </c>
      <c r="H17727" s="14" t="str">
        <f t="shared" si="2"/>
        <v/>
      </c>
      <c r="I17727" s="15" t="str">
        <f t="shared" si="3"/>
        <v/>
      </c>
    </row>
    <row r="17728">
      <c r="A17728" s="8" t="str">
        <f>IFERROR(__xludf.DUMMYFUNCTION("IF('(INGESTA)Datos_consumo_datadis'!A19293&lt;&gt;"""",SPLIT('(INGESTA)Datos_consumo_datadis'!A:A,"",""),"""")"),"")</f>
        <v/>
      </c>
      <c r="G17728" s="8" t="str">
        <f t="shared" si="1"/>
        <v/>
      </c>
      <c r="H17728" s="14" t="str">
        <f t="shared" si="2"/>
        <v/>
      </c>
      <c r="I17728" s="15" t="str">
        <f t="shared" si="3"/>
        <v/>
      </c>
    </row>
    <row r="17729">
      <c r="A17729" s="8" t="str">
        <f>IFERROR(__xludf.DUMMYFUNCTION("IF('(INGESTA)Datos_consumo_datadis'!A19294&lt;&gt;"""",SPLIT('(INGESTA)Datos_consumo_datadis'!A:A,"",""),"""")"),"")</f>
        <v/>
      </c>
      <c r="G17729" s="8" t="str">
        <f t="shared" si="1"/>
        <v/>
      </c>
      <c r="H17729" s="14" t="str">
        <f t="shared" si="2"/>
        <v/>
      </c>
      <c r="I17729" s="15" t="str">
        <f t="shared" si="3"/>
        <v/>
      </c>
    </row>
    <row r="17730">
      <c r="A17730" s="8" t="str">
        <f>IFERROR(__xludf.DUMMYFUNCTION("IF('(INGESTA)Datos_consumo_datadis'!A19295&lt;&gt;"""",SPLIT('(INGESTA)Datos_consumo_datadis'!A:A,"",""),"""")"),"")</f>
        <v/>
      </c>
      <c r="G17730" s="8" t="str">
        <f t="shared" si="1"/>
        <v/>
      </c>
      <c r="H17730" s="14" t="str">
        <f t="shared" si="2"/>
        <v/>
      </c>
      <c r="I17730" s="15" t="str">
        <f t="shared" si="3"/>
        <v/>
      </c>
    </row>
    <row r="17731">
      <c r="A17731" s="8" t="str">
        <f>IFERROR(__xludf.DUMMYFUNCTION("IF('(INGESTA)Datos_consumo_datadis'!A19296&lt;&gt;"""",SPLIT('(INGESTA)Datos_consumo_datadis'!A:A,"",""),"""")"),"")</f>
        <v/>
      </c>
      <c r="G17731" s="8" t="str">
        <f t="shared" si="1"/>
        <v/>
      </c>
      <c r="H17731" s="14" t="str">
        <f t="shared" si="2"/>
        <v/>
      </c>
      <c r="I17731" s="15" t="str">
        <f t="shared" si="3"/>
        <v/>
      </c>
    </row>
    <row r="17732">
      <c r="A17732" s="8" t="str">
        <f>IFERROR(__xludf.DUMMYFUNCTION("IF('(INGESTA)Datos_consumo_datadis'!A19297&lt;&gt;"""",SPLIT('(INGESTA)Datos_consumo_datadis'!A:A,"",""),"""")"),"")</f>
        <v/>
      </c>
      <c r="G17732" s="8" t="str">
        <f t="shared" si="1"/>
        <v/>
      </c>
      <c r="H17732" s="14" t="str">
        <f t="shared" si="2"/>
        <v/>
      </c>
      <c r="I17732" s="15" t="str">
        <f t="shared" si="3"/>
        <v/>
      </c>
    </row>
    <row r="17733">
      <c r="A17733" s="8" t="str">
        <f>IFERROR(__xludf.DUMMYFUNCTION("IF('(INGESTA)Datos_consumo_datadis'!A19298&lt;&gt;"""",SPLIT('(INGESTA)Datos_consumo_datadis'!A:A,"",""),"""")"),"")</f>
        <v/>
      </c>
      <c r="G17733" s="8" t="str">
        <f t="shared" si="1"/>
        <v/>
      </c>
      <c r="H17733" s="14" t="str">
        <f t="shared" si="2"/>
        <v/>
      </c>
      <c r="I17733" s="15" t="str">
        <f t="shared" si="3"/>
        <v/>
      </c>
    </row>
    <row r="17734">
      <c r="A17734" s="8" t="str">
        <f>IFERROR(__xludf.DUMMYFUNCTION("IF('(INGESTA)Datos_consumo_datadis'!A19299&lt;&gt;"""",SPLIT('(INGESTA)Datos_consumo_datadis'!A:A,"",""),"""")"),"")</f>
        <v/>
      </c>
      <c r="G17734" s="8" t="str">
        <f t="shared" si="1"/>
        <v/>
      </c>
      <c r="H17734" s="14" t="str">
        <f t="shared" si="2"/>
        <v/>
      </c>
      <c r="I17734" s="15" t="str">
        <f t="shared" si="3"/>
        <v/>
      </c>
    </row>
    <row r="17735">
      <c r="A17735" s="8" t="str">
        <f>IFERROR(__xludf.DUMMYFUNCTION("IF('(INGESTA)Datos_consumo_datadis'!A19300&lt;&gt;"""",SPLIT('(INGESTA)Datos_consumo_datadis'!A:A,"",""),"""")"),"")</f>
        <v/>
      </c>
      <c r="G17735" s="8" t="str">
        <f t="shared" si="1"/>
        <v/>
      </c>
      <c r="H17735" s="14" t="str">
        <f t="shared" si="2"/>
        <v/>
      </c>
      <c r="I17735" s="15" t="str">
        <f t="shared" si="3"/>
        <v/>
      </c>
    </row>
    <row r="17736">
      <c r="A17736" s="8" t="str">
        <f>IFERROR(__xludf.DUMMYFUNCTION("IF('(INGESTA)Datos_consumo_datadis'!A19301&lt;&gt;"""",SPLIT('(INGESTA)Datos_consumo_datadis'!A:A,"",""),"""")"),"")</f>
        <v/>
      </c>
      <c r="G17736" s="8" t="str">
        <f t="shared" si="1"/>
        <v/>
      </c>
      <c r="H17736" s="14" t="str">
        <f t="shared" si="2"/>
        <v/>
      </c>
      <c r="I17736" s="15" t="str">
        <f t="shared" si="3"/>
        <v/>
      </c>
    </row>
    <row r="17737">
      <c r="A17737" s="8" t="str">
        <f>IFERROR(__xludf.DUMMYFUNCTION("IF('(INGESTA)Datos_consumo_datadis'!A19302&lt;&gt;"""",SPLIT('(INGESTA)Datos_consumo_datadis'!A:A,"",""),"""")"),"")</f>
        <v/>
      </c>
      <c r="G17737" s="8" t="str">
        <f t="shared" si="1"/>
        <v/>
      </c>
      <c r="H17737" s="14" t="str">
        <f t="shared" si="2"/>
        <v/>
      </c>
      <c r="I17737" s="15" t="str">
        <f t="shared" si="3"/>
        <v/>
      </c>
    </row>
    <row r="17738">
      <c r="A17738" s="8" t="str">
        <f>IFERROR(__xludf.DUMMYFUNCTION("IF('(INGESTA)Datos_consumo_datadis'!A19303&lt;&gt;"""",SPLIT('(INGESTA)Datos_consumo_datadis'!A:A,"",""),"""")"),"")</f>
        <v/>
      </c>
      <c r="G17738" s="8" t="str">
        <f t="shared" si="1"/>
        <v/>
      </c>
      <c r="H17738" s="14" t="str">
        <f t="shared" si="2"/>
        <v/>
      </c>
      <c r="I17738" s="15" t="str">
        <f t="shared" si="3"/>
        <v/>
      </c>
    </row>
    <row r="17739">
      <c r="A17739" s="8" t="str">
        <f>IFERROR(__xludf.DUMMYFUNCTION("IF('(INGESTA)Datos_consumo_datadis'!A19304&lt;&gt;"""",SPLIT('(INGESTA)Datos_consumo_datadis'!A:A,"",""),"""")"),"")</f>
        <v/>
      </c>
      <c r="G17739" s="8" t="str">
        <f t="shared" si="1"/>
        <v/>
      </c>
      <c r="H17739" s="14" t="str">
        <f t="shared" si="2"/>
        <v/>
      </c>
      <c r="I17739" s="15" t="str">
        <f t="shared" si="3"/>
        <v/>
      </c>
    </row>
    <row r="17740">
      <c r="A17740" s="8" t="str">
        <f>IFERROR(__xludf.DUMMYFUNCTION("IF('(INGESTA)Datos_consumo_datadis'!A19305&lt;&gt;"""",SPLIT('(INGESTA)Datos_consumo_datadis'!A:A,"",""),"""")"),"")</f>
        <v/>
      </c>
      <c r="G17740" s="8" t="str">
        <f t="shared" si="1"/>
        <v/>
      </c>
      <c r="H17740" s="14" t="str">
        <f t="shared" si="2"/>
        <v/>
      </c>
      <c r="I17740" s="15" t="str">
        <f t="shared" si="3"/>
        <v/>
      </c>
    </row>
    <row r="17741">
      <c r="A17741" s="8" t="str">
        <f>IFERROR(__xludf.DUMMYFUNCTION("IF('(INGESTA)Datos_consumo_datadis'!A19306&lt;&gt;"""",SPLIT('(INGESTA)Datos_consumo_datadis'!A:A,"",""),"""")"),"")</f>
        <v/>
      </c>
      <c r="G17741" s="8" t="str">
        <f t="shared" si="1"/>
        <v/>
      </c>
      <c r="H17741" s="14" t="str">
        <f t="shared" si="2"/>
        <v/>
      </c>
      <c r="I17741" s="15" t="str">
        <f t="shared" si="3"/>
        <v/>
      </c>
    </row>
    <row r="17742">
      <c r="A17742" s="8" t="str">
        <f>IFERROR(__xludf.DUMMYFUNCTION("IF('(INGESTA)Datos_consumo_datadis'!A19307&lt;&gt;"""",SPLIT('(INGESTA)Datos_consumo_datadis'!A:A,"",""),"""")"),"")</f>
        <v/>
      </c>
      <c r="G17742" s="8" t="str">
        <f t="shared" si="1"/>
        <v/>
      </c>
      <c r="H17742" s="14" t="str">
        <f t="shared" si="2"/>
        <v/>
      </c>
      <c r="I17742" s="15" t="str">
        <f t="shared" si="3"/>
        <v/>
      </c>
    </row>
    <row r="17743">
      <c r="A17743" s="8" t="str">
        <f>IFERROR(__xludf.DUMMYFUNCTION("IF('(INGESTA)Datos_consumo_datadis'!A19308&lt;&gt;"""",SPLIT('(INGESTA)Datos_consumo_datadis'!A:A,"",""),"""")"),"")</f>
        <v/>
      </c>
      <c r="G17743" s="8" t="str">
        <f t="shared" si="1"/>
        <v/>
      </c>
      <c r="H17743" s="14" t="str">
        <f t="shared" si="2"/>
        <v/>
      </c>
      <c r="I17743" s="15" t="str">
        <f t="shared" si="3"/>
        <v/>
      </c>
    </row>
    <row r="17744">
      <c r="A17744" s="8" t="str">
        <f>IFERROR(__xludf.DUMMYFUNCTION("IF('(INGESTA)Datos_consumo_datadis'!A19309&lt;&gt;"""",SPLIT('(INGESTA)Datos_consumo_datadis'!A:A,"",""),"""")"),"")</f>
        <v/>
      </c>
      <c r="G17744" s="8" t="str">
        <f t="shared" si="1"/>
        <v/>
      </c>
      <c r="H17744" s="14" t="str">
        <f t="shared" si="2"/>
        <v/>
      </c>
      <c r="I17744" s="15" t="str">
        <f t="shared" si="3"/>
        <v/>
      </c>
    </row>
    <row r="17745">
      <c r="A17745" s="8" t="str">
        <f>IFERROR(__xludf.DUMMYFUNCTION("IF('(INGESTA)Datos_consumo_datadis'!A19310&lt;&gt;"""",SPLIT('(INGESTA)Datos_consumo_datadis'!A:A,"",""),"""")"),"")</f>
        <v/>
      </c>
      <c r="G17745" s="8" t="str">
        <f t="shared" si="1"/>
        <v/>
      </c>
      <c r="H17745" s="14" t="str">
        <f t="shared" si="2"/>
        <v/>
      </c>
      <c r="I17745" s="15" t="str">
        <f t="shared" si="3"/>
        <v/>
      </c>
    </row>
    <row r="17746">
      <c r="A17746" s="8" t="str">
        <f>IFERROR(__xludf.DUMMYFUNCTION("IF('(INGESTA)Datos_consumo_datadis'!A19311&lt;&gt;"""",SPLIT('(INGESTA)Datos_consumo_datadis'!A:A,"",""),"""")"),"")</f>
        <v/>
      </c>
      <c r="G17746" s="8" t="str">
        <f t="shared" si="1"/>
        <v/>
      </c>
      <c r="H17746" s="14" t="str">
        <f t="shared" si="2"/>
        <v/>
      </c>
      <c r="I17746" s="15" t="str">
        <f t="shared" si="3"/>
        <v/>
      </c>
    </row>
    <row r="17747">
      <c r="A17747" s="8" t="str">
        <f>IFERROR(__xludf.DUMMYFUNCTION("IF('(INGESTA)Datos_consumo_datadis'!A19312&lt;&gt;"""",SPLIT('(INGESTA)Datos_consumo_datadis'!A:A,"",""),"""")"),"")</f>
        <v/>
      </c>
      <c r="G17747" s="8" t="str">
        <f t="shared" si="1"/>
        <v/>
      </c>
      <c r="H17747" s="14" t="str">
        <f t="shared" si="2"/>
        <v/>
      </c>
      <c r="I17747" s="15" t="str">
        <f t="shared" si="3"/>
        <v/>
      </c>
    </row>
    <row r="17748">
      <c r="A17748" s="8" t="str">
        <f>IFERROR(__xludf.DUMMYFUNCTION("IF('(INGESTA)Datos_consumo_datadis'!A19313&lt;&gt;"""",SPLIT('(INGESTA)Datos_consumo_datadis'!A:A,"",""),"""")"),"")</f>
        <v/>
      </c>
      <c r="G17748" s="8" t="str">
        <f t="shared" si="1"/>
        <v/>
      </c>
      <c r="H17748" s="14" t="str">
        <f t="shared" si="2"/>
        <v/>
      </c>
      <c r="I17748" s="15" t="str">
        <f t="shared" si="3"/>
        <v/>
      </c>
    </row>
    <row r="17749">
      <c r="A17749" s="8" t="str">
        <f>IFERROR(__xludf.DUMMYFUNCTION("IF('(INGESTA)Datos_consumo_datadis'!A19314&lt;&gt;"""",SPLIT('(INGESTA)Datos_consumo_datadis'!A:A,"",""),"""")"),"")</f>
        <v/>
      </c>
      <c r="G17749" s="8" t="str">
        <f t="shared" si="1"/>
        <v/>
      </c>
      <c r="H17749" s="14" t="str">
        <f t="shared" si="2"/>
        <v/>
      </c>
      <c r="I17749" s="15" t="str">
        <f t="shared" si="3"/>
        <v/>
      </c>
    </row>
    <row r="17750">
      <c r="A17750" s="8" t="str">
        <f>IFERROR(__xludf.DUMMYFUNCTION("IF('(INGESTA)Datos_consumo_datadis'!A19315&lt;&gt;"""",SPLIT('(INGESTA)Datos_consumo_datadis'!A:A,"",""),"""")"),"")</f>
        <v/>
      </c>
      <c r="G17750" s="8" t="str">
        <f t="shared" si="1"/>
        <v/>
      </c>
      <c r="H17750" s="14" t="str">
        <f t="shared" si="2"/>
        <v/>
      </c>
      <c r="I17750" s="15" t="str">
        <f t="shared" si="3"/>
        <v/>
      </c>
    </row>
    <row r="17751">
      <c r="A17751" s="8" t="str">
        <f>IFERROR(__xludf.DUMMYFUNCTION("IF('(INGESTA)Datos_consumo_datadis'!A19316&lt;&gt;"""",SPLIT('(INGESTA)Datos_consumo_datadis'!A:A,"",""),"""")"),"")</f>
        <v/>
      </c>
      <c r="G17751" s="8" t="str">
        <f t="shared" si="1"/>
        <v/>
      </c>
      <c r="H17751" s="14" t="str">
        <f t="shared" si="2"/>
        <v/>
      </c>
      <c r="I17751" s="15" t="str">
        <f t="shared" si="3"/>
        <v/>
      </c>
    </row>
    <row r="17752">
      <c r="A17752" s="8" t="str">
        <f>IFERROR(__xludf.DUMMYFUNCTION("IF('(INGESTA)Datos_consumo_datadis'!A19317&lt;&gt;"""",SPLIT('(INGESTA)Datos_consumo_datadis'!A:A,"",""),"""")"),"")</f>
        <v/>
      </c>
      <c r="G17752" s="8" t="str">
        <f t="shared" si="1"/>
        <v/>
      </c>
      <c r="H17752" s="14" t="str">
        <f t="shared" si="2"/>
        <v/>
      </c>
      <c r="I17752" s="15" t="str">
        <f t="shared" si="3"/>
        <v/>
      </c>
    </row>
    <row r="17753">
      <c r="A17753" s="8" t="str">
        <f>IFERROR(__xludf.DUMMYFUNCTION("IF('(INGESTA)Datos_consumo_datadis'!A19318&lt;&gt;"""",SPLIT('(INGESTA)Datos_consumo_datadis'!A:A,"",""),"""")"),"")</f>
        <v/>
      </c>
      <c r="G17753" s="8" t="str">
        <f t="shared" si="1"/>
        <v/>
      </c>
      <c r="H17753" s="14" t="str">
        <f t="shared" si="2"/>
        <v/>
      </c>
      <c r="I17753" s="15" t="str">
        <f t="shared" si="3"/>
        <v/>
      </c>
    </row>
    <row r="17754">
      <c r="A17754" s="8" t="str">
        <f>IFERROR(__xludf.DUMMYFUNCTION("IF('(INGESTA)Datos_consumo_datadis'!A19319&lt;&gt;"""",SPLIT('(INGESTA)Datos_consumo_datadis'!A:A,"",""),"""")"),"")</f>
        <v/>
      </c>
      <c r="G17754" s="8" t="str">
        <f t="shared" si="1"/>
        <v/>
      </c>
      <c r="H17754" s="14" t="str">
        <f t="shared" si="2"/>
        <v/>
      </c>
      <c r="I17754" s="15" t="str">
        <f t="shared" si="3"/>
        <v/>
      </c>
    </row>
    <row r="17755">
      <c r="A17755" s="8" t="str">
        <f>IFERROR(__xludf.DUMMYFUNCTION("IF('(INGESTA)Datos_consumo_datadis'!A19320&lt;&gt;"""",SPLIT('(INGESTA)Datos_consumo_datadis'!A:A,"",""),"""")"),"")</f>
        <v/>
      </c>
      <c r="G17755" s="8" t="str">
        <f t="shared" si="1"/>
        <v/>
      </c>
      <c r="H17755" s="14" t="str">
        <f t="shared" si="2"/>
        <v/>
      </c>
      <c r="I17755" s="15" t="str">
        <f t="shared" si="3"/>
        <v/>
      </c>
    </row>
    <row r="17756">
      <c r="A17756" s="8" t="str">
        <f>IFERROR(__xludf.DUMMYFUNCTION("IF('(INGESTA)Datos_consumo_datadis'!A19321&lt;&gt;"""",SPLIT('(INGESTA)Datos_consumo_datadis'!A:A,"",""),"""")"),"")</f>
        <v/>
      </c>
      <c r="G17756" s="8" t="str">
        <f t="shared" si="1"/>
        <v/>
      </c>
      <c r="H17756" s="14" t="str">
        <f t="shared" si="2"/>
        <v/>
      </c>
      <c r="I17756" s="15" t="str">
        <f t="shared" si="3"/>
        <v/>
      </c>
    </row>
    <row r="17757">
      <c r="A17757" s="8" t="str">
        <f>IFERROR(__xludf.DUMMYFUNCTION("IF('(INGESTA)Datos_consumo_datadis'!A19322&lt;&gt;"""",SPLIT('(INGESTA)Datos_consumo_datadis'!A:A,"",""),"""")"),"")</f>
        <v/>
      </c>
      <c r="G17757" s="8" t="str">
        <f t="shared" si="1"/>
        <v/>
      </c>
      <c r="H17757" s="14" t="str">
        <f t="shared" si="2"/>
        <v/>
      </c>
      <c r="I17757" s="15" t="str">
        <f t="shared" si="3"/>
        <v/>
      </c>
    </row>
    <row r="17758">
      <c r="A17758" s="8" t="str">
        <f>IFERROR(__xludf.DUMMYFUNCTION("IF('(INGESTA)Datos_consumo_datadis'!A19323&lt;&gt;"""",SPLIT('(INGESTA)Datos_consumo_datadis'!A:A,"",""),"""")"),"")</f>
        <v/>
      </c>
      <c r="G17758" s="8" t="str">
        <f t="shared" si="1"/>
        <v/>
      </c>
      <c r="H17758" s="14" t="str">
        <f t="shared" si="2"/>
        <v/>
      </c>
      <c r="I17758" s="15" t="str">
        <f t="shared" si="3"/>
        <v/>
      </c>
    </row>
    <row r="17759">
      <c r="A17759" s="8" t="str">
        <f>IFERROR(__xludf.DUMMYFUNCTION("IF('(INGESTA)Datos_consumo_datadis'!A19324&lt;&gt;"""",SPLIT('(INGESTA)Datos_consumo_datadis'!A:A,"",""),"""")"),"")</f>
        <v/>
      </c>
      <c r="G17759" s="8" t="str">
        <f t="shared" si="1"/>
        <v/>
      </c>
      <c r="H17759" s="14" t="str">
        <f t="shared" si="2"/>
        <v/>
      </c>
      <c r="I17759" s="15" t="str">
        <f t="shared" si="3"/>
        <v/>
      </c>
    </row>
    <row r="17760">
      <c r="A17760" s="8" t="str">
        <f>IFERROR(__xludf.DUMMYFUNCTION("IF('(INGESTA)Datos_consumo_datadis'!A19325&lt;&gt;"""",SPLIT('(INGESTA)Datos_consumo_datadis'!A:A,"",""),"""")"),"")</f>
        <v/>
      </c>
      <c r="G17760" s="8" t="str">
        <f t="shared" si="1"/>
        <v/>
      </c>
      <c r="H17760" s="14" t="str">
        <f t="shared" si="2"/>
        <v/>
      </c>
      <c r="I17760" s="15" t="str">
        <f t="shared" si="3"/>
        <v/>
      </c>
    </row>
    <row r="17761">
      <c r="A17761" s="8" t="str">
        <f>IFERROR(__xludf.DUMMYFUNCTION("IF('(INGESTA)Datos_consumo_datadis'!A19326&lt;&gt;"""",SPLIT('(INGESTA)Datos_consumo_datadis'!A:A,"",""),"""")"),"")</f>
        <v/>
      </c>
      <c r="G17761" s="8" t="str">
        <f t="shared" si="1"/>
        <v/>
      </c>
      <c r="H17761" s="14" t="str">
        <f t="shared" si="2"/>
        <v/>
      </c>
      <c r="I17761" s="15" t="str">
        <f t="shared" si="3"/>
        <v/>
      </c>
    </row>
    <row r="17762">
      <c r="A17762" s="8" t="str">
        <f>IFERROR(__xludf.DUMMYFUNCTION("IF('(INGESTA)Datos_consumo_datadis'!A19327&lt;&gt;"""",SPLIT('(INGESTA)Datos_consumo_datadis'!A:A,"",""),"""")"),"")</f>
        <v/>
      </c>
      <c r="G17762" s="8" t="str">
        <f t="shared" si="1"/>
        <v/>
      </c>
      <c r="H17762" s="14" t="str">
        <f t="shared" si="2"/>
        <v/>
      </c>
      <c r="I17762" s="15" t="str">
        <f t="shared" si="3"/>
        <v/>
      </c>
    </row>
    <row r="17763">
      <c r="A17763" s="8" t="str">
        <f>IFERROR(__xludf.DUMMYFUNCTION("IF('(INGESTA)Datos_consumo_datadis'!A19328&lt;&gt;"""",SPLIT('(INGESTA)Datos_consumo_datadis'!A:A,"",""),"""")"),"")</f>
        <v/>
      </c>
      <c r="G17763" s="8" t="str">
        <f t="shared" si="1"/>
        <v/>
      </c>
      <c r="H17763" s="14" t="str">
        <f t="shared" si="2"/>
        <v/>
      </c>
      <c r="I17763" s="15" t="str">
        <f t="shared" si="3"/>
        <v/>
      </c>
    </row>
    <row r="17764">
      <c r="A17764" s="8" t="str">
        <f>IFERROR(__xludf.DUMMYFUNCTION("IF('(INGESTA)Datos_consumo_datadis'!A19329&lt;&gt;"""",SPLIT('(INGESTA)Datos_consumo_datadis'!A:A,"",""),"""")"),"")</f>
        <v/>
      </c>
      <c r="G17764" s="8" t="str">
        <f t="shared" si="1"/>
        <v/>
      </c>
      <c r="H17764" s="14" t="str">
        <f t="shared" si="2"/>
        <v/>
      </c>
      <c r="I17764" s="15" t="str">
        <f t="shared" si="3"/>
        <v/>
      </c>
    </row>
    <row r="17765">
      <c r="A17765" s="8" t="str">
        <f>IFERROR(__xludf.DUMMYFUNCTION("IF('(INGESTA)Datos_consumo_datadis'!A19330&lt;&gt;"""",SPLIT('(INGESTA)Datos_consumo_datadis'!A:A,"",""),"""")"),"")</f>
        <v/>
      </c>
      <c r="G17765" s="8" t="str">
        <f t="shared" si="1"/>
        <v/>
      </c>
      <c r="H17765" s="14" t="str">
        <f t="shared" si="2"/>
        <v/>
      </c>
      <c r="I17765" s="15" t="str">
        <f t="shared" si="3"/>
        <v/>
      </c>
    </row>
    <row r="17766">
      <c r="A17766" s="8" t="str">
        <f>IFERROR(__xludf.DUMMYFUNCTION("IF('(INGESTA)Datos_consumo_datadis'!A19331&lt;&gt;"""",SPLIT('(INGESTA)Datos_consumo_datadis'!A:A,"",""),"""")"),"")</f>
        <v/>
      </c>
      <c r="G17766" s="8" t="str">
        <f t="shared" si="1"/>
        <v/>
      </c>
      <c r="H17766" s="14" t="str">
        <f t="shared" si="2"/>
        <v/>
      </c>
      <c r="I17766" s="15" t="str">
        <f t="shared" si="3"/>
        <v/>
      </c>
    </row>
    <row r="17767">
      <c r="A17767" s="8" t="str">
        <f>IFERROR(__xludf.DUMMYFUNCTION("IF('(INGESTA)Datos_consumo_datadis'!A19332&lt;&gt;"""",SPLIT('(INGESTA)Datos_consumo_datadis'!A:A,"",""),"""")"),"")</f>
        <v/>
      </c>
      <c r="G17767" s="8" t="str">
        <f t="shared" si="1"/>
        <v/>
      </c>
      <c r="H17767" s="14" t="str">
        <f t="shared" si="2"/>
        <v/>
      </c>
      <c r="I17767" s="15" t="str">
        <f t="shared" si="3"/>
        <v/>
      </c>
    </row>
    <row r="17768">
      <c r="A17768" s="8" t="str">
        <f>IFERROR(__xludf.DUMMYFUNCTION("IF('(INGESTA)Datos_consumo_datadis'!A19333&lt;&gt;"""",SPLIT('(INGESTA)Datos_consumo_datadis'!A:A,"",""),"""")"),"")</f>
        <v/>
      </c>
      <c r="G17768" s="8" t="str">
        <f t="shared" si="1"/>
        <v/>
      </c>
      <c r="H17768" s="14" t="str">
        <f t="shared" si="2"/>
        <v/>
      </c>
      <c r="I17768" s="15" t="str">
        <f t="shared" si="3"/>
        <v/>
      </c>
    </row>
    <row r="17769">
      <c r="A17769" s="8" t="str">
        <f>IFERROR(__xludf.DUMMYFUNCTION("IF('(INGESTA)Datos_consumo_datadis'!A19334&lt;&gt;"""",SPLIT('(INGESTA)Datos_consumo_datadis'!A:A,"",""),"""")"),"")</f>
        <v/>
      </c>
      <c r="G17769" s="8" t="str">
        <f t="shared" si="1"/>
        <v/>
      </c>
      <c r="H17769" s="14" t="str">
        <f t="shared" si="2"/>
        <v/>
      </c>
      <c r="I17769" s="15" t="str">
        <f t="shared" si="3"/>
        <v/>
      </c>
    </row>
    <row r="17770">
      <c r="A17770" s="8" t="str">
        <f>IFERROR(__xludf.DUMMYFUNCTION("IF('(INGESTA)Datos_consumo_datadis'!A19335&lt;&gt;"""",SPLIT('(INGESTA)Datos_consumo_datadis'!A:A,"",""),"""")"),"")</f>
        <v/>
      </c>
      <c r="G17770" s="8" t="str">
        <f t="shared" si="1"/>
        <v/>
      </c>
      <c r="H17770" s="14" t="str">
        <f t="shared" si="2"/>
        <v/>
      </c>
      <c r="I17770" s="15" t="str">
        <f t="shared" si="3"/>
        <v/>
      </c>
    </row>
    <row r="17771">
      <c r="A17771" s="8" t="str">
        <f>IFERROR(__xludf.DUMMYFUNCTION("IF('(INGESTA)Datos_consumo_datadis'!A19336&lt;&gt;"""",SPLIT('(INGESTA)Datos_consumo_datadis'!A:A,"",""),"""")"),"")</f>
        <v/>
      </c>
      <c r="G17771" s="8" t="str">
        <f t="shared" si="1"/>
        <v/>
      </c>
      <c r="H17771" s="14" t="str">
        <f t="shared" si="2"/>
        <v/>
      </c>
      <c r="I17771" s="15" t="str">
        <f t="shared" si="3"/>
        <v/>
      </c>
    </row>
    <row r="17772">
      <c r="A17772" s="8" t="str">
        <f>IFERROR(__xludf.DUMMYFUNCTION("IF('(INGESTA)Datos_consumo_datadis'!A19337&lt;&gt;"""",SPLIT('(INGESTA)Datos_consumo_datadis'!A:A,"",""),"""")"),"")</f>
        <v/>
      </c>
      <c r="G17772" s="8" t="str">
        <f t="shared" si="1"/>
        <v/>
      </c>
      <c r="H17772" s="14" t="str">
        <f t="shared" si="2"/>
        <v/>
      </c>
      <c r="I17772" s="15" t="str">
        <f t="shared" si="3"/>
        <v/>
      </c>
    </row>
    <row r="17773">
      <c r="A17773" s="8" t="str">
        <f>IFERROR(__xludf.DUMMYFUNCTION("IF('(INGESTA)Datos_consumo_datadis'!A19338&lt;&gt;"""",SPLIT('(INGESTA)Datos_consumo_datadis'!A:A,"",""),"""")"),"")</f>
        <v/>
      </c>
      <c r="G17773" s="8" t="str">
        <f t="shared" si="1"/>
        <v/>
      </c>
      <c r="H17773" s="14" t="str">
        <f t="shared" si="2"/>
        <v/>
      </c>
      <c r="I17773" s="15" t="str">
        <f t="shared" si="3"/>
        <v/>
      </c>
    </row>
    <row r="17774">
      <c r="A17774" s="8" t="str">
        <f>IFERROR(__xludf.DUMMYFUNCTION("IF('(INGESTA)Datos_consumo_datadis'!A19339&lt;&gt;"""",SPLIT('(INGESTA)Datos_consumo_datadis'!A:A,"",""),"""")"),"")</f>
        <v/>
      </c>
      <c r="G17774" s="8" t="str">
        <f t="shared" si="1"/>
        <v/>
      </c>
      <c r="H17774" s="14" t="str">
        <f t="shared" si="2"/>
        <v/>
      </c>
      <c r="I17774" s="15" t="str">
        <f t="shared" si="3"/>
        <v/>
      </c>
    </row>
    <row r="17775">
      <c r="A17775" s="8" t="str">
        <f>IFERROR(__xludf.DUMMYFUNCTION("IF('(INGESTA)Datos_consumo_datadis'!A19340&lt;&gt;"""",SPLIT('(INGESTA)Datos_consumo_datadis'!A:A,"",""),"""")"),"")</f>
        <v/>
      </c>
      <c r="G17775" s="8" t="str">
        <f t="shared" si="1"/>
        <v/>
      </c>
      <c r="H17775" s="14" t="str">
        <f t="shared" si="2"/>
        <v/>
      </c>
      <c r="I17775" s="15" t="str">
        <f t="shared" si="3"/>
        <v/>
      </c>
    </row>
    <row r="17776">
      <c r="A17776" s="8" t="str">
        <f>IFERROR(__xludf.DUMMYFUNCTION("IF('(INGESTA)Datos_consumo_datadis'!A19341&lt;&gt;"""",SPLIT('(INGESTA)Datos_consumo_datadis'!A:A,"",""),"""")"),"")</f>
        <v/>
      </c>
      <c r="G17776" s="8" t="str">
        <f t="shared" si="1"/>
        <v/>
      </c>
      <c r="H17776" s="14" t="str">
        <f t="shared" si="2"/>
        <v/>
      </c>
      <c r="I17776" s="15" t="str">
        <f t="shared" si="3"/>
        <v/>
      </c>
    </row>
    <row r="17777">
      <c r="A17777" s="8" t="str">
        <f>IFERROR(__xludf.DUMMYFUNCTION("IF('(INGESTA)Datos_consumo_datadis'!A19342&lt;&gt;"""",SPLIT('(INGESTA)Datos_consumo_datadis'!A:A,"",""),"""")"),"")</f>
        <v/>
      </c>
      <c r="G17777" s="8" t="str">
        <f t="shared" si="1"/>
        <v/>
      </c>
      <c r="H17777" s="14" t="str">
        <f t="shared" si="2"/>
        <v/>
      </c>
      <c r="I17777" s="15" t="str">
        <f t="shared" si="3"/>
        <v/>
      </c>
    </row>
    <row r="17778">
      <c r="A17778" s="8" t="str">
        <f>IFERROR(__xludf.DUMMYFUNCTION("IF('(INGESTA)Datos_consumo_datadis'!A19343&lt;&gt;"""",SPLIT('(INGESTA)Datos_consumo_datadis'!A:A,"",""),"""")"),"")</f>
        <v/>
      </c>
      <c r="G17778" s="8" t="str">
        <f t="shared" si="1"/>
        <v/>
      </c>
      <c r="H17778" s="14" t="str">
        <f t="shared" si="2"/>
        <v/>
      </c>
      <c r="I17778" s="15" t="str">
        <f t="shared" si="3"/>
        <v/>
      </c>
    </row>
    <row r="17779">
      <c r="A17779" s="8" t="str">
        <f>IFERROR(__xludf.DUMMYFUNCTION("IF('(INGESTA)Datos_consumo_datadis'!A19344&lt;&gt;"""",SPLIT('(INGESTA)Datos_consumo_datadis'!A:A,"",""),"""")"),"")</f>
        <v/>
      </c>
      <c r="G17779" s="8" t="str">
        <f t="shared" si="1"/>
        <v/>
      </c>
      <c r="H17779" s="14" t="str">
        <f t="shared" si="2"/>
        <v/>
      </c>
      <c r="I17779" s="15" t="str">
        <f t="shared" si="3"/>
        <v/>
      </c>
    </row>
    <row r="17780">
      <c r="A17780" s="8" t="str">
        <f>IFERROR(__xludf.DUMMYFUNCTION("IF('(INGESTA)Datos_consumo_datadis'!A19345&lt;&gt;"""",SPLIT('(INGESTA)Datos_consumo_datadis'!A:A,"",""),"""")"),"")</f>
        <v/>
      </c>
      <c r="G17780" s="8" t="str">
        <f t="shared" si="1"/>
        <v/>
      </c>
      <c r="H17780" s="14" t="str">
        <f t="shared" si="2"/>
        <v/>
      </c>
      <c r="I17780" s="15" t="str">
        <f t="shared" si="3"/>
        <v/>
      </c>
    </row>
    <row r="17781">
      <c r="A17781" s="8" t="str">
        <f>IFERROR(__xludf.DUMMYFUNCTION("IF('(INGESTA)Datos_consumo_datadis'!A19346&lt;&gt;"""",SPLIT('(INGESTA)Datos_consumo_datadis'!A:A,"",""),"""")"),"")</f>
        <v/>
      </c>
      <c r="G17781" s="8" t="str">
        <f t="shared" si="1"/>
        <v/>
      </c>
      <c r="H17781" s="14" t="str">
        <f t="shared" si="2"/>
        <v/>
      </c>
      <c r="I17781" s="15" t="str">
        <f t="shared" si="3"/>
        <v/>
      </c>
    </row>
    <row r="17782">
      <c r="A17782" s="8" t="str">
        <f>IFERROR(__xludf.DUMMYFUNCTION("IF('(INGESTA)Datos_consumo_datadis'!A19347&lt;&gt;"""",SPLIT('(INGESTA)Datos_consumo_datadis'!A:A,"",""),"""")"),"")</f>
        <v/>
      </c>
      <c r="G17782" s="8" t="str">
        <f t="shared" si="1"/>
        <v/>
      </c>
      <c r="H17782" s="14" t="str">
        <f t="shared" si="2"/>
        <v/>
      </c>
      <c r="I17782" s="15" t="str">
        <f t="shared" si="3"/>
        <v/>
      </c>
    </row>
    <row r="17783">
      <c r="A17783" s="8" t="str">
        <f>IFERROR(__xludf.DUMMYFUNCTION("IF('(INGESTA)Datos_consumo_datadis'!A19348&lt;&gt;"""",SPLIT('(INGESTA)Datos_consumo_datadis'!A:A,"",""),"""")"),"")</f>
        <v/>
      </c>
      <c r="G17783" s="8" t="str">
        <f t="shared" si="1"/>
        <v/>
      </c>
      <c r="H17783" s="14" t="str">
        <f t="shared" si="2"/>
        <v/>
      </c>
      <c r="I17783" s="15" t="str">
        <f t="shared" si="3"/>
        <v/>
      </c>
    </row>
    <row r="17784">
      <c r="A17784" s="8" t="str">
        <f>IFERROR(__xludf.DUMMYFUNCTION("IF('(INGESTA)Datos_consumo_datadis'!A19349&lt;&gt;"""",SPLIT('(INGESTA)Datos_consumo_datadis'!A:A,"",""),"""")"),"")</f>
        <v/>
      </c>
      <c r="G17784" s="8" t="str">
        <f t="shared" si="1"/>
        <v/>
      </c>
      <c r="H17784" s="14" t="str">
        <f t="shared" si="2"/>
        <v/>
      </c>
      <c r="I17784" s="15" t="str">
        <f t="shared" si="3"/>
        <v/>
      </c>
    </row>
    <row r="17785">
      <c r="A17785" s="8" t="str">
        <f>IFERROR(__xludf.DUMMYFUNCTION("IF('(INGESTA)Datos_consumo_datadis'!A19350&lt;&gt;"""",SPLIT('(INGESTA)Datos_consumo_datadis'!A:A,"",""),"""")"),"")</f>
        <v/>
      </c>
      <c r="G17785" s="8" t="str">
        <f t="shared" si="1"/>
        <v/>
      </c>
      <c r="H17785" s="14" t="str">
        <f t="shared" si="2"/>
        <v/>
      </c>
      <c r="I17785" s="15" t="str">
        <f t="shared" si="3"/>
        <v/>
      </c>
    </row>
    <row r="17786">
      <c r="A17786" s="8" t="str">
        <f>IFERROR(__xludf.DUMMYFUNCTION("IF('(INGESTA)Datos_consumo_datadis'!A19351&lt;&gt;"""",SPLIT('(INGESTA)Datos_consumo_datadis'!A:A,"",""),"""")"),"")</f>
        <v/>
      </c>
      <c r="G17786" s="8" t="str">
        <f t="shared" si="1"/>
        <v/>
      </c>
      <c r="H17786" s="14" t="str">
        <f t="shared" si="2"/>
        <v/>
      </c>
      <c r="I17786" s="15" t="str">
        <f t="shared" si="3"/>
        <v/>
      </c>
    </row>
    <row r="17787">
      <c r="A17787" s="8" t="str">
        <f>IFERROR(__xludf.DUMMYFUNCTION("IF('(INGESTA)Datos_consumo_datadis'!A19352&lt;&gt;"""",SPLIT('(INGESTA)Datos_consumo_datadis'!A:A,"",""),"""")"),"")</f>
        <v/>
      </c>
      <c r="G17787" s="8" t="str">
        <f t="shared" si="1"/>
        <v/>
      </c>
      <c r="H17787" s="14" t="str">
        <f t="shared" si="2"/>
        <v/>
      </c>
      <c r="I17787" s="15" t="str">
        <f t="shared" si="3"/>
        <v/>
      </c>
    </row>
    <row r="17788">
      <c r="A17788" s="8" t="str">
        <f>IFERROR(__xludf.DUMMYFUNCTION("IF('(INGESTA)Datos_consumo_datadis'!A19353&lt;&gt;"""",SPLIT('(INGESTA)Datos_consumo_datadis'!A:A,"",""),"""")"),"")</f>
        <v/>
      </c>
      <c r="G17788" s="8" t="str">
        <f t="shared" si="1"/>
        <v/>
      </c>
      <c r="H17788" s="14" t="str">
        <f t="shared" si="2"/>
        <v/>
      </c>
      <c r="I17788" s="15" t="str">
        <f t="shared" si="3"/>
        <v/>
      </c>
    </row>
    <row r="17789">
      <c r="A17789" s="8" t="str">
        <f>IFERROR(__xludf.DUMMYFUNCTION("IF('(INGESTA)Datos_consumo_datadis'!A19354&lt;&gt;"""",SPLIT('(INGESTA)Datos_consumo_datadis'!A:A,"",""),"""")"),"")</f>
        <v/>
      </c>
      <c r="G17789" s="8" t="str">
        <f t="shared" si="1"/>
        <v/>
      </c>
      <c r="H17789" s="14" t="str">
        <f t="shared" si="2"/>
        <v/>
      </c>
      <c r="I17789" s="15" t="str">
        <f t="shared" si="3"/>
        <v/>
      </c>
    </row>
    <row r="17790">
      <c r="A17790" s="8" t="str">
        <f>IFERROR(__xludf.DUMMYFUNCTION("IF('(INGESTA)Datos_consumo_datadis'!A19355&lt;&gt;"""",SPLIT('(INGESTA)Datos_consumo_datadis'!A:A,"",""),"""")"),"")</f>
        <v/>
      </c>
      <c r="G17790" s="8" t="str">
        <f t="shared" si="1"/>
        <v/>
      </c>
      <c r="H17790" s="14" t="str">
        <f t="shared" si="2"/>
        <v/>
      </c>
      <c r="I17790" s="15" t="str">
        <f t="shared" si="3"/>
        <v/>
      </c>
    </row>
    <row r="17791">
      <c r="A17791" s="8" t="str">
        <f>IFERROR(__xludf.DUMMYFUNCTION("IF('(INGESTA)Datos_consumo_datadis'!A19356&lt;&gt;"""",SPLIT('(INGESTA)Datos_consumo_datadis'!A:A,"",""),"""")"),"")</f>
        <v/>
      </c>
      <c r="G17791" s="8" t="str">
        <f t="shared" si="1"/>
        <v/>
      </c>
      <c r="H17791" s="14" t="str">
        <f t="shared" si="2"/>
        <v/>
      </c>
      <c r="I17791" s="15" t="str">
        <f t="shared" si="3"/>
        <v/>
      </c>
    </row>
    <row r="17792">
      <c r="A17792" s="8" t="str">
        <f>IFERROR(__xludf.DUMMYFUNCTION("IF('(INGESTA)Datos_consumo_datadis'!A19357&lt;&gt;"""",SPLIT('(INGESTA)Datos_consumo_datadis'!A:A,"",""),"""")"),"")</f>
        <v/>
      </c>
      <c r="G17792" s="8" t="str">
        <f t="shared" si="1"/>
        <v/>
      </c>
      <c r="H17792" s="14" t="str">
        <f t="shared" si="2"/>
        <v/>
      </c>
      <c r="I17792" s="15" t="str">
        <f t="shared" si="3"/>
        <v/>
      </c>
    </row>
    <row r="17793">
      <c r="A17793" s="8" t="str">
        <f>IFERROR(__xludf.DUMMYFUNCTION("IF('(INGESTA)Datos_consumo_datadis'!A19358&lt;&gt;"""",SPLIT('(INGESTA)Datos_consumo_datadis'!A:A,"",""),"""")"),"")</f>
        <v/>
      </c>
      <c r="G17793" s="8" t="str">
        <f t="shared" si="1"/>
        <v/>
      </c>
      <c r="H17793" s="14" t="str">
        <f t="shared" si="2"/>
        <v/>
      </c>
      <c r="I17793" s="15" t="str">
        <f t="shared" si="3"/>
        <v/>
      </c>
    </row>
    <row r="17794">
      <c r="A17794" s="8" t="str">
        <f>IFERROR(__xludf.DUMMYFUNCTION("IF('(INGESTA)Datos_consumo_datadis'!A19359&lt;&gt;"""",SPLIT('(INGESTA)Datos_consumo_datadis'!A:A,"",""),"""")"),"")</f>
        <v/>
      </c>
      <c r="G17794" s="8" t="str">
        <f t="shared" si="1"/>
        <v/>
      </c>
      <c r="H17794" s="14" t="str">
        <f t="shared" si="2"/>
        <v/>
      </c>
      <c r="I17794" s="15" t="str">
        <f t="shared" si="3"/>
        <v/>
      </c>
    </row>
    <row r="17795">
      <c r="A17795" s="8" t="str">
        <f>IFERROR(__xludf.DUMMYFUNCTION("IF('(INGESTA)Datos_consumo_datadis'!A19360&lt;&gt;"""",SPLIT('(INGESTA)Datos_consumo_datadis'!A:A,"",""),"""")"),"")</f>
        <v/>
      </c>
      <c r="G17795" s="8" t="str">
        <f t="shared" si="1"/>
        <v/>
      </c>
      <c r="H17795" s="14" t="str">
        <f t="shared" si="2"/>
        <v/>
      </c>
      <c r="I17795" s="15" t="str">
        <f t="shared" si="3"/>
        <v/>
      </c>
    </row>
    <row r="17796">
      <c r="A17796" s="8" t="str">
        <f>IFERROR(__xludf.DUMMYFUNCTION("IF('(INGESTA)Datos_consumo_datadis'!A19361&lt;&gt;"""",SPLIT('(INGESTA)Datos_consumo_datadis'!A:A,"",""),"""")"),"")</f>
        <v/>
      </c>
      <c r="G17796" s="8" t="str">
        <f t="shared" si="1"/>
        <v/>
      </c>
      <c r="H17796" s="14" t="str">
        <f t="shared" si="2"/>
        <v/>
      </c>
      <c r="I17796" s="15" t="str">
        <f t="shared" si="3"/>
        <v/>
      </c>
    </row>
    <row r="17797">
      <c r="A17797" s="8" t="str">
        <f>IFERROR(__xludf.DUMMYFUNCTION("IF('(INGESTA)Datos_consumo_datadis'!A19362&lt;&gt;"""",SPLIT('(INGESTA)Datos_consumo_datadis'!A:A,"",""),"""")"),"")</f>
        <v/>
      </c>
      <c r="G17797" s="8" t="str">
        <f t="shared" si="1"/>
        <v/>
      </c>
      <c r="H17797" s="14" t="str">
        <f t="shared" si="2"/>
        <v/>
      </c>
      <c r="I17797" s="15" t="str">
        <f t="shared" si="3"/>
        <v/>
      </c>
    </row>
    <row r="17798">
      <c r="A17798" s="8" t="str">
        <f>IFERROR(__xludf.DUMMYFUNCTION("IF('(INGESTA)Datos_consumo_datadis'!A19363&lt;&gt;"""",SPLIT('(INGESTA)Datos_consumo_datadis'!A:A,"",""),"""")"),"")</f>
        <v/>
      </c>
      <c r="G17798" s="8" t="str">
        <f t="shared" si="1"/>
        <v/>
      </c>
      <c r="H17798" s="14" t="str">
        <f t="shared" si="2"/>
        <v/>
      </c>
      <c r="I17798" s="15" t="str">
        <f t="shared" si="3"/>
        <v/>
      </c>
    </row>
    <row r="17799">
      <c r="A17799" s="8" t="str">
        <f>IFERROR(__xludf.DUMMYFUNCTION("IF('(INGESTA)Datos_consumo_datadis'!A19364&lt;&gt;"""",SPLIT('(INGESTA)Datos_consumo_datadis'!A:A,"",""),"""")"),"")</f>
        <v/>
      </c>
      <c r="G17799" s="8" t="str">
        <f t="shared" si="1"/>
        <v/>
      </c>
      <c r="H17799" s="14" t="str">
        <f t="shared" si="2"/>
        <v/>
      </c>
      <c r="I17799" s="15" t="str">
        <f t="shared" si="3"/>
        <v/>
      </c>
    </row>
    <row r="17800">
      <c r="A17800" s="8" t="str">
        <f>IFERROR(__xludf.DUMMYFUNCTION("IF('(INGESTA)Datos_consumo_datadis'!A19365&lt;&gt;"""",SPLIT('(INGESTA)Datos_consumo_datadis'!A:A,"",""),"""")"),"")</f>
        <v/>
      </c>
      <c r="G17800" s="8" t="str">
        <f t="shared" si="1"/>
        <v/>
      </c>
      <c r="H17800" s="14" t="str">
        <f t="shared" si="2"/>
        <v/>
      </c>
      <c r="I17800" s="15" t="str">
        <f t="shared" si="3"/>
        <v/>
      </c>
    </row>
    <row r="17801">
      <c r="A17801" s="8" t="str">
        <f>IFERROR(__xludf.DUMMYFUNCTION("IF('(INGESTA)Datos_consumo_datadis'!A19366&lt;&gt;"""",SPLIT('(INGESTA)Datos_consumo_datadis'!A:A,"",""),"""")"),"")</f>
        <v/>
      </c>
      <c r="G17801" s="8" t="str">
        <f t="shared" si="1"/>
        <v/>
      </c>
      <c r="H17801" s="14" t="str">
        <f t="shared" si="2"/>
        <v/>
      </c>
      <c r="I17801" s="15" t="str">
        <f t="shared" si="3"/>
        <v/>
      </c>
    </row>
    <row r="17802">
      <c r="A17802" s="8" t="str">
        <f>IFERROR(__xludf.DUMMYFUNCTION("IF('(INGESTA)Datos_consumo_datadis'!A19367&lt;&gt;"""",SPLIT('(INGESTA)Datos_consumo_datadis'!A:A,"",""),"""")"),"")</f>
        <v/>
      </c>
      <c r="G17802" s="8" t="str">
        <f t="shared" si="1"/>
        <v/>
      </c>
      <c r="H17802" s="14" t="str">
        <f t="shared" si="2"/>
        <v/>
      </c>
      <c r="I17802" s="15" t="str">
        <f t="shared" si="3"/>
        <v/>
      </c>
    </row>
    <row r="17803">
      <c r="A17803" s="8" t="str">
        <f>IFERROR(__xludf.DUMMYFUNCTION("IF('(INGESTA)Datos_consumo_datadis'!A19368&lt;&gt;"""",SPLIT('(INGESTA)Datos_consumo_datadis'!A:A,"",""),"""")"),"")</f>
        <v/>
      </c>
      <c r="G17803" s="8" t="str">
        <f t="shared" si="1"/>
        <v/>
      </c>
      <c r="H17803" s="14" t="str">
        <f t="shared" si="2"/>
        <v/>
      </c>
      <c r="I17803" s="15" t="str">
        <f t="shared" si="3"/>
        <v/>
      </c>
    </row>
    <row r="17804">
      <c r="A17804" s="8" t="str">
        <f>IFERROR(__xludf.DUMMYFUNCTION("IF('(INGESTA)Datos_consumo_datadis'!A19369&lt;&gt;"""",SPLIT('(INGESTA)Datos_consumo_datadis'!A:A,"",""),"""")"),"")</f>
        <v/>
      </c>
      <c r="G17804" s="8" t="str">
        <f t="shared" si="1"/>
        <v/>
      </c>
      <c r="H17804" s="14" t="str">
        <f t="shared" si="2"/>
        <v/>
      </c>
      <c r="I17804" s="15" t="str">
        <f t="shared" si="3"/>
        <v/>
      </c>
    </row>
    <row r="17805">
      <c r="A17805" s="8" t="str">
        <f>IFERROR(__xludf.DUMMYFUNCTION("IF('(INGESTA)Datos_consumo_datadis'!A19370&lt;&gt;"""",SPLIT('(INGESTA)Datos_consumo_datadis'!A:A,"",""),"""")"),"")</f>
        <v/>
      </c>
      <c r="G17805" s="8" t="str">
        <f t="shared" si="1"/>
        <v/>
      </c>
      <c r="H17805" s="14" t="str">
        <f t="shared" si="2"/>
        <v/>
      </c>
      <c r="I17805" s="15" t="str">
        <f t="shared" si="3"/>
        <v/>
      </c>
    </row>
    <row r="17806">
      <c r="A17806" s="8" t="str">
        <f>IFERROR(__xludf.DUMMYFUNCTION("IF('(INGESTA)Datos_consumo_datadis'!A19371&lt;&gt;"""",SPLIT('(INGESTA)Datos_consumo_datadis'!A:A,"",""),"""")"),"")</f>
        <v/>
      </c>
      <c r="G17806" s="8" t="str">
        <f t="shared" si="1"/>
        <v/>
      </c>
      <c r="H17806" s="14" t="str">
        <f t="shared" si="2"/>
        <v/>
      </c>
      <c r="I17806" s="15" t="str">
        <f t="shared" si="3"/>
        <v/>
      </c>
    </row>
    <row r="17807">
      <c r="A17807" s="8" t="str">
        <f>IFERROR(__xludf.DUMMYFUNCTION("IF('(INGESTA)Datos_consumo_datadis'!A19372&lt;&gt;"""",SPLIT('(INGESTA)Datos_consumo_datadis'!A:A,"",""),"""")"),"")</f>
        <v/>
      </c>
      <c r="G17807" s="8" t="str">
        <f t="shared" si="1"/>
        <v/>
      </c>
      <c r="H17807" s="14" t="str">
        <f t="shared" si="2"/>
        <v/>
      </c>
      <c r="I17807" s="15" t="str">
        <f t="shared" si="3"/>
        <v/>
      </c>
    </row>
    <row r="17808">
      <c r="A17808" s="8" t="str">
        <f>IFERROR(__xludf.DUMMYFUNCTION("IF('(INGESTA)Datos_consumo_datadis'!A19373&lt;&gt;"""",SPLIT('(INGESTA)Datos_consumo_datadis'!A:A,"",""),"""")"),"")</f>
        <v/>
      </c>
      <c r="G17808" s="8" t="str">
        <f t="shared" si="1"/>
        <v/>
      </c>
      <c r="H17808" s="14" t="str">
        <f t="shared" si="2"/>
        <v/>
      </c>
      <c r="I17808" s="15" t="str">
        <f t="shared" si="3"/>
        <v/>
      </c>
    </row>
    <row r="17809">
      <c r="A17809" s="8" t="str">
        <f>IFERROR(__xludf.DUMMYFUNCTION("IF('(INGESTA)Datos_consumo_datadis'!A19374&lt;&gt;"""",SPLIT('(INGESTA)Datos_consumo_datadis'!A:A,"",""),"""")"),"")</f>
        <v/>
      </c>
      <c r="G17809" s="8" t="str">
        <f t="shared" si="1"/>
        <v/>
      </c>
      <c r="H17809" s="14" t="str">
        <f t="shared" si="2"/>
        <v/>
      </c>
      <c r="I17809" s="15" t="str">
        <f t="shared" si="3"/>
        <v/>
      </c>
    </row>
    <row r="17810">
      <c r="A17810" s="8" t="str">
        <f>IFERROR(__xludf.DUMMYFUNCTION("IF('(INGESTA)Datos_consumo_datadis'!A19375&lt;&gt;"""",SPLIT('(INGESTA)Datos_consumo_datadis'!A:A,"",""),"""")"),"")</f>
        <v/>
      </c>
      <c r="G17810" s="8" t="str">
        <f t="shared" si="1"/>
        <v/>
      </c>
      <c r="H17810" s="14" t="str">
        <f t="shared" si="2"/>
        <v/>
      </c>
      <c r="I17810" s="15" t="str">
        <f t="shared" si="3"/>
        <v/>
      </c>
    </row>
    <row r="17811">
      <c r="A17811" s="8" t="str">
        <f>IFERROR(__xludf.DUMMYFUNCTION("IF('(INGESTA)Datos_consumo_datadis'!A19376&lt;&gt;"""",SPLIT('(INGESTA)Datos_consumo_datadis'!A:A,"",""),"""")"),"")</f>
        <v/>
      </c>
      <c r="G17811" s="8" t="str">
        <f t="shared" si="1"/>
        <v/>
      </c>
      <c r="H17811" s="14" t="str">
        <f t="shared" si="2"/>
        <v/>
      </c>
      <c r="I17811" s="15" t="str">
        <f t="shared" si="3"/>
        <v/>
      </c>
    </row>
    <row r="17812">
      <c r="A17812" s="8" t="str">
        <f>IFERROR(__xludf.DUMMYFUNCTION("IF('(INGESTA)Datos_consumo_datadis'!A19377&lt;&gt;"""",SPLIT('(INGESTA)Datos_consumo_datadis'!A:A,"",""),"""")"),"")</f>
        <v/>
      </c>
      <c r="G17812" s="8" t="str">
        <f t="shared" si="1"/>
        <v/>
      </c>
      <c r="H17812" s="14" t="str">
        <f t="shared" si="2"/>
        <v/>
      </c>
      <c r="I17812" s="15" t="str">
        <f t="shared" si="3"/>
        <v/>
      </c>
    </row>
    <row r="17813">
      <c r="A17813" s="8" t="str">
        <f>IFERROR(__xludf.DUMMYFUNCTION("IF('(INGESTA)Datos_consumo_datadis'!A19378&lt;&gt;"""",SPLIT('(INGESTA)Datos_consumo_datadis'!A:A,"",""),"""")"),"")</f>
        <v/>
      </c>
      <c r="G17813" s="8" t="str">
        <f t="shared" si="1"/>
        <v/>
      </c>
      <c r="H17813" s="14" t="str">
        <f t="shared" si="2"/>
        <v/>
      </c>
      <c r="I17813" s="15" t="str">
        <f t="shared" si="3"/>
        <v/>
      </c>
    </row>
    <row r="17814">
      <c r="A17814" s="8" t="str">
        <f>IFERROR(__xludf.DUMMYFUNCTION("IF('(INGESTA)Datos_consumo_datadis'!A19379&lt;&gt;"""",SPLIT('(INGESTA)Datos_consumo_datadis'!A:A,"",""),"""")"),"")</f>
        <v/>
      </c>
      <c r="G17814" s="8" t="str">
        <f t="shared" si="1"/>
        <v/>
      </c>
      <c r="H17814" s="14" t="str">
        <f t="shared" si="2"/>
        <v/>
      </c>
      <c r="I17814" s="15" t="str">
        <f t="shared" si="3"/>
        <v/>
      </c>
    </row>
    <row r="17815">
      <c r="A17815" s="8" t="str">
        <f>IFERROR(__xludf.DUMMYFUNCTION("IF('(INGESTA)Datos_consumo_datadis'!A19380&lt;&gt;"""",SPLIT('(INGESTA)Datos_consumo_datadis'!A:A,"",""),"""")"),"")</f>
        <v/>
      </c>
      <c r="G17815" s="8" t="str">
        <f t="shared" si="1"/>
        <v/>
      </c>
      <c r="H17815" s="14" t="str">
        <f t="shared" si="2"/>
        <v/>
      </c>
      <c r="I17815" s="15" t="str">
        <f t="shared" si="3"/>
        <v/>
      </c>
    </row>
    <row r="17816">
      <c r="A17816" s="8" t="str">
        <f>IFERROR(__xludf.DUMMYFUNCTION("IF('(INGESTA)Datos_consumo_datadis'!A19381&lt;&gt;"""",SPLIT('(INGESTA)Datos_consumo_datadis'!A:A,"",""),"""")"),"")</f>
        <v/>
      </c>
      <c r="G17816" s="8" t="str">
        <f t="shared" si="1"/>
        <v/>
      </c>
      <c r="H17816" s="14" t="str">
        <f t="shared" si="2"/>
        <v/>
      </c>
      <c r="I17816" s="15" t="str">
        <f t="shared" si="3"/>
        <v/>
      </c>
    </row>
    <row r="17817">
      <c r="A17817" s="8" t="str">
        <f>IFERROR(__xludf.DUMMYFUNCTION("IF('(INGESTA)Datos_consumo_datadis'!A19382&lt;&gt;"""",SPLIT('(INGESTA)Datos_consumo_datadis'!A:A,"",""),"""")"),"")</f>
        <v/>
      </c>
      <c r="G17817" s="8" t="str">
        <f t="shared" si="1"/>
        <v/>
      </c>
      <c r="H17817" s="14" t="str">
        <f t="shared" si="2"/>
        <v/>
      </c>
      <c r="I17817" s="15" t="str">
        <f t="shared" si="3"/>
        <v/>
      </c>
    </row>
    <row r="17818">
      <c r="A17818" s="8" t="str">
        <f>IFERROR(__xludf.DUMMYFUNCTION("IF('(INGESTA)Datos_consumo_datadis'!A19383&lt;&gt;"""",SPLIT('(INGESTA)Datos_consumo_datadis'!A:A,"",""),"""")"),"")</f>
        <v/>
      </c>
      <c r="G17818" s="8" t="str">
        <f t="shared" si="1"/>
        <v/>
      </c>
      <c r="H17818" s="14" t="str">
        <f t="shared" si="2"/>
        <v/>
      </c>
      <c r="I17818" s="15" t="str">
        <f t="shared" si="3"/>
        <v/>
      </c>
    </row>
    <row r="17819">
      <c r="A17819" s="8" t="str">
        <f>IFERROR(__xludf.DUMMYFUNCTION("IF('(INGESTA)Datos_consumo_datadis'!A19384&lt;&gt;"""",SPLIT('(INGESTA)Datos_consumo_datadis'!A:A,"",""),"""")"),"")</f>
        <v/>
      </c>
      <c r="G17819" s="8" t="str">
        <f t="shared" si="1"/>
        <v/>
      </c>
      <c r="H17819" s="14" t="str">
        <f t="shared" si="2"/>
        <v/>
      </c>
      <c r="I17819" s="15" t="str">
        <f t="shared" si="3"/>
        <v/>
      </c>
    </row>
    <row r="17820">
      <c r="A17820" s="8" t="str">
        <f>IFERROR(__xludf.DUMMYFUNCTION("IF('(INGESTA)Datos_consumo_datadis'!A19385&lt;&gt;"""",SPLIT('(INGESTA)Datos_consumo_datadis'!A:A,"",""),"""")"),"")</f>
        <v/>
      </c>
      <c r="G17820" s="8" t="str">
        <f t="shared" si="1"/>
        <v/>
      </c>
      <c r="H17820" s="14" t="str">
        <f t="shared" si="2"/>
        <v/>
      </c>
      <c r="I17820" s="15" t="str">
        <f t="shared" si="3"/>
        <v/>
      </c>
    </row>
    <row r="17821">
      <c r="A17821" s="8" t="str">
        <f>IFERROR(__xludf.DUMMYFUNCTION("IF('(INGESTA)Datos_consumo_datadis'!A19386&lt;&gt;"""",SPLIT('(INGESTA)Datos_consumo_datadis'!A:A,"",""),"""")"),"")</f>
        <v/>
      </c>
      <c r="G17821" s="8" t="str">
        <f t="shared" si="1"/>
        <v/>
      </c>
      <c r="H17821" s="14" t="str">
        <f t="shared" si="2"/>
        <v/>
      </c>
      <c r="I17821" s="15" t="str">
        <f t="shared" si="3"/>
        <v/>
      </c>
    </row>
    <row r="17822">
      <c r="A17822" s="8" t="str">
        <f>IFERROR(__xludf.DUMMYFUNCTION("IF('(INGESTA)Datos_consumo_datadis'!A19387&lt;&gt;"""",SPLIT('(INGESTA)Datos_consumo_datadis'!A:A,"",""),"""")"),"")</f>
        <v/>
      </c>
      <c r="G17822" s="8" t="str">
        <f t="shared" si="1"/>
        <v/>
      </c>
      <c r="H17822" s="14" t="str">
        <f t="shared" si="2"/>
        <v/>
      </c>
      <c r="I17822" s="15" t="str">
        <f t="shared" si="3"/>
        <v/>
      </c>
    </row>
    <row r="17823">
      <c r="A17823" s="8" t="str">
        <f>IFERROR(__xludf.DUMMYFUNCTION("IF('(INGESTA)Datos_consumo_datadis'!A19388&lt;&gt;"""",SPLIT('(INGESTA)Datos_consumo_datadis'!A:A,"",""),"""")"),"")</f>
        <v/>
      </c>
      <c r="G17823" s="8" t="str">
        <f t="shared" si="1"/>
        <v/>
      </c>
      <c r="H17823" s="14" t="str">
        <f t="shared" si="2"/>
        <v/>
      </c>
      <c r="I17823" s="15" t="str">
        <f t="shared" si="3"/>
        <v/>
      </c>
    </row>
    <row r="17824">
      <c r="A17824" s="8" t="str">
        <f>IFERROR(__xludf.DUMMYFUNCTION("IF('(INGESTA)Datos_consumo_datadis'!A19389&lt;&gt;"""",SPLIT('(INGESTA)Datos_consumo_datadis'!A:A,"",""),"""")"),"")</f>
        <v/>
      </c>
      <c r="G17824" s="8" t="str">
        <f t="shared" si="1"/>
        <v/>
      </c>
      <c r="H17824" s="14" t="str">
        <f t="shared" si="2"/>
        <v/>
      </c>
      <c r="I17824" s="15" t="str">
        <f t="shared" si="3"/>
        <v/>
      </c>
    </row>
    <row r="17825">
      <c r="A17825" s="8" t="str">
        <f>IFERROR(__xludf.DUMMYFUNCTION("IF('(INGESTA)Datos_consumo_datadis'!A19390&lt;&gt;"""",SPLIT('(INGESTA)Datos_consumo_datadis'!A:A,"",""),"""")"),"")</f>
        <v/>
      </c>
      <c r="G17825" s="8" t="str">
        <f t="shared" si="1"/>
        <v/>
      </c>
      <c r="H17825" s="14" t="str">
        <f t="shared" si="2"/>
        <v/>
      </c>
      <c r="I17825" s="15" t="str">
        <f t="shared" si="3"/>
        <v/>
      </c>
    </row>
    <row r="17826">
      <c r="A17826" s="8" t="str">
        <f>IFERROR(__xludf.DUMMYFUNCTION("IF('(INGESTA)Datos_consumo_datadis'!A19391&lt;&gt;"""",SPLIT('(INGESTA)Datos_consumo_datadis'!A:A,"",""),"""")"),"")</f>
        <v/>
      </c>
      <c r="G17826" s="8" t="str">
        <f t="shared" si="1"/>
        <v/>
      </c>
      <c r="H17826" s="14" t="str">
        <f t="shared" si="2"/>
        <v/>
      </c>
      <c r="I17826" s="15" t="str">
        <f t="shared" si="3"/>
        <v/>
      </c>
    </row>
    <row r="17827">
      <c r="A17827" s="8" t="str">
        <f>IFERROR(__xludf.DUMMYFUNCTION("IF('(INGESTA)Datos_consumo_datadis'!A19392&lt;&gt;"""",SPLIT('(INGESTA)Datos_consumo_datadis'!A:A,"",""),"""")"),"")</f>
        <v/>
      </c>
      <c r="G17827" s="8" t="str">
        <f t="shared" si="1"/>
        <v/>
      </c>
      <c r="H17827" s="14" t="str">
        <f t="shared" si="2"/>
        <v/>
      </c>
      <c r="I17827" s="15" t="str">
        <f t="shared" si="3"/>
        <v/>
      </c>
    </row>
    <row r="17828">
      <c r="A17828" s="8" t="str">
        <f>IFERROR(__xludf.DUMMYFUNCTION("IF('(INGESTA)Datos_consumo_datadis'!A19393&lt;&gt;"""",SPLIT('(INGESTA)Datos_consumo_datadis'!A:A,"",""),"""")"),"")</f>
        <v/>
      </c>
      <c r="G17828" s="8" t="str">
        <f t="shared" si="1"/>
        <v/>
      </c>
      <c r="H17828" s="14" t="str">
        <f t="shared" si="2"/>
        <v/>
      </c>
      <c r="I17828" s="15" t="str">
        <f t="shared" si="3"/>
        <v/>
      </c>
    </row>
    <row r="17829">
      <c r="A17829" s="8" t="str">
        <f>IFERROR(__xludf.DUMMYFUNCTION("IF('(INGESTA)Datos_consumo_datadis'!A19394&lt;&gt;"""",SPLIT('(INGESTA)Datos_consumo_datadis'!A:A,"",""),"""")"),"")</f>
        <v/>
      </c>
      <c r="G17829" s="8" t="str">
        <f t="shared" si="1"/>
        <v/>
      </c>
      <c r="H17829" s="14" t="str">
        <f t="shared" si="2"/>
        <v/>
      </c>
      <c r="I17829" s="15" t="str">
        <f t="shared" si="3"/>
        <v/>
      </c>
    </row>
    <row r="17830">
      <c r="A17830" s="8" t="str">
        <f>IFERROR(__xludf.DUMMYFUNCTION("IF('(INGESTA)Datos_consumo_datadis'!A19395&lt;&gt;"""",SPLIT('(INGESTA)Datos_consumo_datadis'!A:A,"",""),"""")"),"")</f>
        <v/>
      </c>
      <c r="G17830" s="8" t="str">
        <f t="shared" si="1"/>
        <v/>
      </c>
      <c r="H17830" s="14" t="str">
        <f t="shared" si="2"/>
        <v/>
      </c>
      <c r="I17830" s="15" t="str">
        <f t="shared" si="3"/>
        <v/>
      </c>
    </row>
    <row r="17831">
      <c r="A17831" s="8" t="str">
        <f>IFERROR(__xludf.DUMMYFUNCTION("IF('(INGESTA)Datos_consumo_datadis'!A19396&lt;&gt;"""",SPLIT('(INGESTA)Datos_consumo_datadis'!A:A,"",""),"""")"),"")</f>
        <v/>
      </c>
      <c r="G17831" s="8" t="str">
        <f t="shared" si="1"/>
        <v/>
      </c>
      <c r="H17831" s="14" t="str">
        <f t="shared" si="2"/>
        <v/>
      </c>
      <c r="I17831" s="15" t="str">
        <f t="shared" si="3"/>
        <v/>
      </c>
    </row>
    <row r="17832">
      <c r="A17832" s="8" t="str">
        <f>IFERROR(__xludf.DUMMYFUNCTION("IF('(INGESTA)Datos_consumo_datadis'!A19397&lt;&gt;"""",SPLIT('(INGESTA)Datos_consumo_datadis'!A:A,"",""),"""")"),"")</f>
        <v/>
      </c>
      <c r="G17832" s="8" t="str">
        <f t="shared" si="1"/>
        <v/>
      </c>
      <c r="H17832" s="14" t="str">
        <f t="shared" si="2"/>
        <v/>
      </c>
      <c r="I17832" s="15" t="str">
        <f t="shared" si="3"/>
        <v/>
      </c>
    </row>
    <row r="17833">
      <c r="A17833" s="8" t="str">
        <f>IFERROR(__xludf.DUMMYFUNCTION("IF('(INGESTA)Datos_consumo_datadis'!A19398&lt;&gt;"""",SPLIT('(INGESTA)Datos_consumo_datadis'!A:A,"",""),"""")"),"")</f>
        <v/>
      </c>
      <c r="G17833" s="8" t="str">
        <f t="shared" si="1"/>
        <v/>
      </c>
      <c r="H17833" s="14" t="str">
        <f t="shared" si="2"/>
        <v/>
      </c>
      <c r="I17833" s="15" t="str">
        <f t="shared" si="3"/>
        <v/>
      </c>
    </row>
    <row r="17834">
      <c r="A17834" s="8" t="str">
        <f>IFERROR(__xludf.DUMMYFUNCTION("IF('(INGESTA)Datos_consumo_datadis'!A19399&lt;&gt;"""",SPLIT('(INGESTA)Datos_consumo_datadis'!A:A,"",""),"""")"),"")</f>
        <v/>
      </c>
      <c r="G17834" s="8" t="str">
        <f t="shared" si="1"/>
        <v/>
      </c>
      <c r="H17834" s="14" t="str">
        <f t="shared" si="2"/>
        <v/>
      </c>
      <c r="I17834" s="15" t="str">
        <f t="shared" si="3"/>
        <v/>
      </c>
    </row>
    <row r="17835">
      <c r="A17835" s="8" t="str">
        <f>IFERROR(__xludf.DUMMYFUNCTION("IF('(INGESTA)Datos_consumo_datadis'!A19400&lt;&gt;"""",SPLIT('(INGESTA)Datos_consumo_datadis'!A:A,"",""),"""")"),"")</f>
        <v/>
      </c>
      <c r="G17835" s="8" t="str">
        <f t="shared" si="1"/>
        <v/>
      </c>
      <c r="H17835" s="14" t="str">
        <f t="shared" si="2"/>
        <v/>
      </c>
      <c r="I17835" s="15" t="str">
        <f t="shared" si="3"/>
        <v/>
      </c>
    </row>
    <row r="17836">
      <c r="A17836" s="8" t="str">
        <f>IFERROR(__xludf.DUMMYFUNCTION("IF('(INGESTA)Datos_consumo_datadis'!A19401&lt;&gt;"""",SPLIT('(INGESTA)Datos_consumo_datadis'!A:A,"",""),"""")"),"")</f>
        <v/>
      </c>
      <c r="G17836" s="8" t="str">
        <f t="shared" si="1"/>
        <v/>
      </c>
      <c r="H17836" s="14" t="str">
        <f t="shared" si="2"/>
        <v/>
      </c>
      <c r="I17836" s="15" t="str">
        <f t="shared" si="3"/>
        <v/>
      </c>
    </row>
    <row r="17837">
      <c r="A17837" s="8" t="str">
        <f>IFERROR(__xludf.DUMMYFUNCTION("IF('(INGESTA)Datos_consumo_datadis'!A19402&lt;&gt;"""",SPLIT('(INGESTA)Datos_consumo_datadis'!A:A,"",""),"""")"),"")</f>
        <v/>
      </c>
      <c r="G17837" s="8" t="str">
        <f t="shared" si="1"/>
        <v/>
      </c>
      <c r="H17837" s="14" t="str">
        <f t="shared" si="2"/>
        <v/>
      </c>
      <c r="I17837" s="15" t="str">
        <f t="shared" si="3"/>
        <v/>
      </c>
    </row>
    <row r="17838">
      <c r="A17838" s="8" t="str">
        <f>IFERROR(__xludf.DUMMYFUNCTION("IF('(INGESTA)Datos_consumo_datadis'!A19403&lt;&gt;"""",SPLIT('(INGESTA)Datos_consumo_datadis'!A:A,"",""),"""")"),"")</f>
        <v/>
      </c>
      <c r="G17838" s="8" t="str">
        <f t="shared" si="1"/>
        <v/>
      </c>
      <c r="H17838" s="14" t="str">
        <f t="shared" si="2"/>
        <v/>
      </c>
      <c r="I17838" s="15" t="str">
        <f t="shared" si="3"/>
        <v/>
      </c>
    </row>
    <row r="17839">
      <c r="A17839" s="8" t="str">
        <f>IFERROR(__xludf.DUMMYFUNCTION("IF('(INGESTA)Datos_consumo_datadis'!A19404&lt;&gt;"""",SPLIT('(INGESTA)Datos_consumo_datadis'!A:A,"",""),"""")"),"")</f>
        <v/>
      </c>
      <c r="G17839" s="8" t="str">
        <f t="shared" si="1"/>
        <v/>
      </c>
      <c r="H17839" s="14" t="str">
        <f t="shared" si="2"/>
        <v/>
      </c>
      <c r="I17839" s="15" t="str">
        <f t="shared" si="3"/>
        <v/>
      </c>
    </row>
    <row r="17840">
      <c r="A17840" s="8" t="str">
        <f>IFERROR(__xludf.DUMMYFUNCTION("IF('(INGESTA)Datos_consumo_datadis'!A19405&lt;&gt;"""",SPLIT('(INGESTA)Datos_consumo_datadis'!A:A,"",""),"""")"),"")</f>
        <v/>
      </c>
      <c r="G17840" s="8" t="str">
        <f t="shared" si="1"/>
        <v/>
      </c>
      <c r="H17840" s="14" t="str">
        <f t="shared" si="2"/>
        <v/>
      </c>
      <c r="I17840" s="15" t="str">
        <f t="shared" si="3"/>
        <v/>
      </c>
    </row>
    <row r="17841">
      <c r="A17841" s="8" t="str">
        <f>IFERROR(__xludf.DUMMYFUNCTION("IF('(INGESTA)Datos_consumo_datadis'!A19406&lt;&gt;"""",SPLIT('(INGESTA)Datos_consumo_datadis'!A:A,"",""),"""")"),"")</f>
        <v/>
      </c>
      <c r="G17841" s="8" t="str">
        <f t="shared" si="1"/>
        <v/>
      </c>
      <c r="H17841" s="14" t="str">
        <f t="shared" si="2"/>
        <v/>
      </c>
      <c r="I17841" s="15" t="str">
        <f t="shared" si="3"/>
        <v/>
      </c>
    </row>
    <row r="17842">
      <c r="A17842" s="8" t="str">
        <f>IFERROR(__xludf.DUMMYFUNCTION("IF('(INGESTA)Datos_consumo_datadis'!A19407&lt;&gt;"""",SPLIT('(INGESTA)Datos_consumo_datadis'!A:A,"",""),"""")"),"")</f>
        <v/>
      </c>
      <c r="G17842" s="8" t="str">
        <f t="shared" si="1"/>
        <v/>
      </c>
      <c r="H17842" s="14" t="str">
        <f t="shared" si="2"/>
        <v/>
      </c>
      <c r="I17842" s="15" t="str">
        <f t="shared" si="3"/>
        <v/>
      </c>
    </row>
    <row r="17843">
      <c r="A17843" s="8" t="str">
        <f>IFERROR(__xludf.DUMMYFUNCTION("IF('(INGESTA)Datos_consumo_datadis'!A19408&lt;&gt;"""",SPLIT('(INGESTA)Datos_consumo_datadis'!A:A,"",""),"""")"),"")</f>
        <v/>
      </c>
      <c r="G17843" s="8" t="str">
        <f t="shared" si="1"/>
        <v/>
      </c>
      <c r="H17843" s="14" t="str">
        <f t="shared" si="2"/>
        <v/>
      </c>
      <c r="I17843" s="15" t="str">
        <f t="shared" si="3"/>
        <v/>
      </c>
    </row>
    <row r="17844">
      <c r="A17844" s="8" t="str">
        <f>IFERROR(__xludf.DUMMYFUNCTION("IF('(INGESTA)Datos_consumo_datadis'!A19409&lt;&gt;"""",SPLIT('(INGESTA)Datos_consumo_datadis'!A:A,"",""),"""")"),"")</f>
        <v/>
      </c>
      <c r="G17844" s="8" t="str">
        <f t="shared" si="1"/>
        <v/>
      </c>
      <c r="H17844" s="14" t="str">
        <f t="shared" si="2"/>
        <v/>
      </c>
      <c r="I17844" s="15" t="str">
        <f t="shared" si="3"/>
        <v/>
      </c>
    </row>
    <row r="17845">
      <c r="A17845" s="8" t="str">
        <f>IFERROR(__xludf.DUMMYFUNCTION("IF('(INGESTA)Datos_consumo_datadis'!A19410&lt;&gt;"""",SPLIT('(INGESTA)Datos_consumo_datadis'!A:A,"",""),"""")"),"")</f>
        <v/>
      </c>
      <c r="G17845" s="8" t="str">
        <f t="shared" si="1"/>
        <v/>
      </c>
      <c r="H17845" s="14" t="str">
        <f t="shared" si="2"/>
        <v/>
      </c>
      <c r="I17845" s="15" t="str">
        <f t="shared" si="3"/>
        <v/>
      </c>
    </row>
    <row r="17846">
      <c r="A17846" s="8" t="str">
        <f>IFERROR(__xludf.DUMMYFUNCTION("IF('(INGESTA)Datos_consumo_datadis'!A19411&lt;&gt;"""",SPLIT('(INGESTA)Datos_consumo_datadis'!A:A,"",""),"""")"),"")</f>
        <v/>
      </c>
      <c r="G17846" s="8" t="str">
        <f t="shared" si="1"/>
        <v/>
      </c>
      <c r="H17846" s="14" t="str">
        <f t="shared" si="2"/>
        <v/>
      </c>
      <c r="I17846" s="15" t="str">
        <f t="shared" si="3"/>
        <v/>
      </c>
    </row>
    <row r="17847">
      <c r="A17847" s="8" t="str">
        <f>IFERROR(__xludf.DUMMYFUNCTION("IF('(INGESTA)Datos_consumo_datadis'!A19412&lt;&gt;"""",SPLIT('(INGESTA)Datos_consumo_datadis'!A:A,"",""),"""")"),"")</f>
        <v/>
      </c>
      <c r="G17847" s="8" t="str">
        <f t="shared" si="1"/>
        <v/>
      </c>
      <c r="H17847" s="14" t="str">
        <f t="shared" si="2"/>
        <v/>
      </c>
      <c r="I17847" s="15" t="str">
        <f t="shared" si="3"/>
        <v/>
      </c>
    </row>
    <row r="17848">
      <c r="A17848" s="8" t="str">
        <f>IFERROR(__xludf.DUMMYFUNCTION("IF('(INGESTA)Datos_consumo_datadis'!A19413&lt;&gt;"""",SPLIT('(INGESTA)Datos_consumo_datadis'!A:A,"",""),"""")"),"")</f>
        <v/>
      </c>
      <c r="G17848" s="8" t="str">
        <f t="shared" si="1"/>
        <v/>
      </c>
      <c r="H17848" s="14" t="str">
        <f t="shared" si="2"/>
        <v/>
      </c>
      <c r="I17848" s="15" t="str">
        <f t="shared" si="3"/>
        <v/>
      </c>
    </row>
    <row r="17849">
      <c r="A17849" s="8" t="str">
        <f>IFERROR(__xludf.DUMMYFUNCTION("IF('(INGESTA)Datos_consumo_datadis'!A19414&lt;&gt;"""",SPLIT('(INGESTA)Datos_consumo_datadis'!A:A,"",""),"""")"),"")</f>
        <v/>
      </c>
      <c r="G17849" s="8" t="str">
        <f t="shared" si="1"/>
        <v/>
      </c>
      <c r="H17849" s="14" t="str">
        <f t="shared" si="2"/>
        <v/>
      </c>
      <c r="I17849" s="15" t="str">
        <f t="shared" si="3"/>
        <v/>
      </c>
    </row>
    <row r="17850">
      <c r="A17850" s="8" t="str">
        <f>IFERROR(__xludf.DUMMYFUNCTION("IF('(INGESTA)Datos_consumo_datadis'!A19415&lt;&gt;"""",SPLIT('(INGESTA)Datos_consumo_datadis'!A:A,"",""),"""")"),"")</f>
        <v/>
      </c>
      <c r="G17850" s="8" t="str">
        <f t="shared" si="1"/>
        <v/>
      </c>
      <c r="H17850" s="14" t="str">
        <f t="shared" si="2"/>
        <v/>
      </c>
      <c r="I17850" s="15" t="str">
        <f t="shared" si="3"/>
        <v/>
      </c>
    </row>
    <row r="17851">
      <c r="A17851" s="8" t="str">
        <f>IFERROR(__xludf.DUMMYFUNCTION("IF('(INGESTA)Datos_consumo_datadis'!A19416&lt;&gt;"""",SPLIT('(INGESTA)Datos_consumo_datadis'!A:A,"",""),"""")"),"")</f>
        <v/>
      </c>
      <c r="G17851" s="8" t="str">
        <f t="shared" si="1"/>
        <v/>
      </c>
      <c r="H17851" s="14" t="str">
        <f t="shared" si="2"/>
        <v/>
      </c>
      <c r="I17851" s="15" t="str">
        <f t="shared" si="3"/>
        <v/>
      </c>
    </row>
    <row r="17852">
      <c r="A17852" s="8" t="str">
        <f>IFERROR(__xludf.DUMMYFUNCTION("IF('(INGESTA)Datos_consumo_datadis'!A19417&lt;&gt;"""",SPLIT('(INGESTA)Datos_consumo_datadis'!A:A,"",""),"""")"),"")</f>
        <v/>
      </c>
      <c r="G17852" s="8" t="str">
        <f t="shared" si="1"/>
        <v/>
      </c>
      <c r="H17852" s="14" t="str">
        <f t="shared" si="2"/>
        <v/>
      </c>
      <c r="I17852" s="15" t="str">
        <f t="shared" si="3"/>
        <v/>
      </c>
    </row>
    <row r="17853">
      <c r="A17853" s="8" t="str">
        <f>IFERROR(__xludf.DUMMYFUNCTION("IF('(INGESTA)Datos_consumo_datadis'!A19418&lt;&gt;"""",SPLIT('(INGESTA)Datos_consumo_datadis'!A:A,"",""),"""")"),"")</f>
        <v/>
      </c>
      <c r="G17853" s="8" t="str">
        <f t="shared" si="1"/>
        <v/>
      </c>
      <c r="H17853" s="14" t="str">
        <f t="shared" si="2"/>
        <v/>
      </c>
      <c r="I17853" s="15" t="str">
        <f t="shared" si="3"/>
        <v/>
      </c>
    </row>
    <row r="17854">
      <c r="A17854" s="8" t="str">
        <f>IFERROR(__xludf.DUMMYFUNCTION("IF('(INGESTA)Datos_consumo_datadis'!A19419&lt;&gt;"""",SPLIT('(INGESTA)Datos_consumo_datadis'!A:A,"",""),"""")"),"")</f>
        <v/>
      </c>
      <c r="G17854" s="8" t="str">
        <f t="shared" si="1"/>
        <v/>
      </c>
      <c r="H17854" s="14" t="str">
        <f t="shared" si="2"/>
        <v/>
      </c>
      <c r="I17854" s="15" t="str">
        <f t="shared" si="3"/>
        <v/>
      </c>
    </row>
    <row r="17855">
      <c r="A17855" s="8" t="str">
        <f>IFERROR(__xludf.DUMMYFUNCTION("IF('(INGESTA)Datos_consumo_datadis'!A19420&lt;&gt;"""",SPLIT('(INGESTA)Datos_consumo_datadis'!A:A,"",""),"""")"),"")</f>
        <v/>
      </c>
      <c r="G17855" s="8" t="str">
        <f t="shared" si="1"/>
        <v/>
      </c>
      <c r="H17855" s="14" t="str">
        <f t="shared" si="2"/>
        <v/>
      </c>
      <c r="I17855" s="15" t="str">
        <f t="shared" si="3"/>
        <v/>
      </c>
    </row>
    <row r="17856">
      <c r="A17856" s="8" t="str">
        <f>IFERROR(__xludf.DUMMYFUNCTION("IF('(INGESTA)Datos_consumo_datadis'!A19421&lt;&gt;"""",SPLIT('(INGESTA)Datos_consumo_datadis'!A:A,"",""),"""")"),"")</f>
        <v/>
      </c>
      <c r="G17856" s="8" t="str">
        <f t="shared" si="1"/>
        <v/>
      </c>
      <c r="H17856" s="14" t="str">
        <f t="shared" si="2"/>
        <v/>
      </c>
      <c r="I17856" s="15" t="str">
        <f t="shared" si="3"/>
        <v/>
      </c>
    </row>
    <row r="17857">
      <c r="A17857" s="8" t="str">
        <f>IFERROR(__xludf.DUMMYFUNCTION("IF('(INGESTA)Datos_consumo_datadis'!A19422&lt;&gt;"""",SPLIT('(INGESTA)Datos_consumo_datadis'!A:A,"",""),"""")"),"")</f>
        <v/>
      </c>
      <c r="G17857" s="8" t="str">
        <f t="shared" si="1"/>
        <v/>
      </c>
      <c r="H17857" s="14" t="str">
        <f t="shared" si="2"/>
        <v/>
      </c>
      <c r="I17857" s="15" t="str">
        <f t="shared" si="3"/>
        <v/>
      </c>
    </row>
    <row r="17858">
      <c r="A17858" s="8" t="str">
        <f>IFERROR(__xludf.DUMMYFUNCTION("IF('(INGESTA)Datos_consumo_datadis'!A19423&lt;&gt;"""",SPLIT('(INGESTA)Datos_consumo_datadis'!A:A,"",""),"""")"),"")</f>
        <v/>
      </c>
      <c r="G17858" s="8" t="str">
        <f t="shared" si="1"/>
        <v/>
      </c>
      <c r="H17858" s="14" t="str">
        <f t="shared" si="2"/>
        <v/>
      </c>
      <c r="I17858" s="15" t="str">
        <f t="shared" si="3"/>
        <v/>
      </c>
    </row>
    <row r="17859">
      <c r="A17859" s="8" t="str">
        <f>IFERROR(__xludf.DUMMYFUNCTION("IF('(INGESTA)Datos_consumo_datadis'!A19424&lt;&gt;"""",SPLIT('(INGESTA)Datos_consumo_datadis'!A:A,"",""),"""")"),"")</f>
        <v/>
      </c>
      <c r="G17859" s="8" t="str">
        <f t="shared" si="1"/>
        <v/>
      </c>
      <c r="H17859" s="14" t="str">
        <f t="shared" si="2"/>
        <v/>
      </c>
      <c r="I17859" s="15" t="str">
        <f t="shared" si="3"/>
        <v/>
      </c>
    </row>
    <row r="17860">
      <c r="A17860" s="8" t="str">
        <f>IFERROR(__xludf.DUMMYFUNCTION("IF('(INGESTA)Datos_consumo_datadis'!A19425&lt;&gt;"""",SPLIT('(INGESTA)Datos_consumo_datadis'!A:A,"",""),"""")"),"")</f>
        <v/>
      </c>
      <c r="G17860" s="8" t="str">
        <f t="shared" si="1"/>
        <v/>
      </c>
      <c r="H17860" s="14" t="str">
        <f t="shared" si="2"/>
        <v/>
      </c>
      <c r="I17860" s="15" t="str">
        <f t="shared" si="3"/>
        <v/>
      </c>
    </row>
    <row r="17861">
      <c r="A17861" s="8" t="str">
        <f>IFERROR(__xludf.DUMMYFUNCTION("IF('(INGESTA)Datos_consumo_datadis'!A19426&lt;&gt;"""",SPLIT('(INGESTA)Datos_consumo_datadis'!A:A,"",""),"""")"),"")</f>
        <v/>
      </c>
      <c r="G17861" s="8" t="str">
        <f t="shared" si="1"/>
        <v/>
      </c>
      <c r="H17861" s="14" t="str">
        <f t="shared" si="2"/>
        <v/>
      </c>
      <c r="I17861" s="15" t="str">
        <f t="shared" si="3"/>
        <v/>
      </c>
    </row>
    <row r="17862">
      <c r="A17862" s="8" t="str">
        <f>IFERROR(__xludf.DUMMYFUNCTION("IF('(INGESTA)Datos_consumo_datadis'!A19427&lt;&gt;"""",SPLIT('(INGESTA)Datos_consumo_datadis'!A:A,"",""),"""")"),"")</f>
        <v/>
      </c>
      <c r="G17862" s="8" t="str">
        <f t="shared" si="1"/>
        <v/>
      </c>
      <c r="H17862" s="14" t="str">
        <f t="shared" si="2"/>
        <v/>
      </c>
      <c r="I17862" s="15" t="str">
        <f t="shared" si="3"/>
        <v/>
      </c>
    </row>
    <row r="17863">
      <c r="A17863" s="8" t="str">
        <f>IFERROR(__xludf.DUMMYFUNCTION("IF('(INGESTA)Datos_consumo_datadis'!A19428&lt;&gt;"""",SPLIT('(INGESTA)Datos_consumo_datadis'!A:A,"",""),"""")"),"")</f>
        <v/>
      </c>
      <c r="G17863" s="8" t="str">
        <f t="shared" si="1"/>
        <v/>
      </c>
      <c r="H17863" s="14" t="str">
        <f t="shared" si="2"/>
        <v/>
      </c>
      <c r="I17863" s="15" t="str">
        <f t="shared" si="3"/>
        <v/>
      </c>
    </row>
    <row r="17864">
      <c r="A17864" s="8" t="str">
        <f>IFERROR(__xludf.DUMMYFUNCTION("IF('(INGESTA)Datos_consumo_datadis'!A19429&lt;&gt;"""",SPLIT('(INGESTA)Datos_consumo_datadis'!A:A,"",""),"""")"),"")</f>
        <v/>
      </c>
      <c r="G17864" s="8" t="str">
        <f t="shared" si="1"/>
        <v/>
      </c>
      <c r="H17864" s="14" t="str">
        <f t="shared" si="2"/>
        <v/>
      </c>
      <c r="I17864" s="15" t="str">
        <f t="shared" si="3"/>
        <v/>
      </c>
    </row>
    <row r="17865">
      <c r="A17865" s="8" t="str">
        <f>IFERROR(__xludf.DUMMYFUNCTION("IF('(INGESTA)Datos_consumo_datadis'!A19430&lt;&gt;"""",SPLIT('(INGESTA)Datos_consumo_datadis'!A:A,"",""),"""")"),"")</f>
        <v/>
      </c>
      <c r="G17865" s="8" t="str">
        <f t="shared" si="1"/>
        <v/>
      </c>
      <c r="H17865" s="14" t="str">
        <f t="shared" si="2"/>
        <v/>
      </c>
      <c r="I17865" s="15" t="str">
        <f t="shared" si="3"/>
        <v/>
      </c>
    </row>
    <row r="17866">
      <c r="A17866" s="8" t="str">
        <f>IFERROR(__xludf.DUMMYFUNCTION("IF('(INGESTA)Datos_consumo_datadis'!A19431&lt;&gt;"""",SPLIT('(INGESTA)Datos_consumo_datadis'!A:A,"",""),"""")"),"")</f>
        <v/>
      </c>
      <c r="G17866" s="8" t="str">
        <f t="shared" si="1"/>
        <v/>
      </c>
      <c r="H17866" s="14" t="str">
        <f t="shared" si="2"/>
        <v/>
      </c>
      <c r="I17866" s="15" t="str">
        <f t="shared" si="3"/>
        <v/>
      </c>
    </row>
    <row r="17867">
      <c r="A17867" s="8" t="str">
        <f>IFERROR(__xludf.DUMMYFUNCTION("IF('(INGESTA)Datos_consumo_datadis'!A19432&lt;&gt;"""",SPLIT('(INGESTA)Datos_consumo_datadis'!A:A,"",""),"""")"),"")</f>
        <v/>
      </c>
      <c r="G17867" s="8" t="str">
        <f t="shared" si="1"/>
        <v/>
      </c>
      <c r="H17867" s="14" t="str">
        <f t="shared" si="2"/>
        <v/>
      </c>
      <c r="I17867" s="15" t="str">
        <f t="shared" si="3"/>
        <v/>
      </c>
    </row>
    <row r="17868">
      <c r="A17868" s="8" t="str">
        <f>IFERROR(__xludf.DUMMYFUNCTION("IF('(INGESTA)Datos_consumo_datadis'!A19433&lt;&gt;"""",SPLIT('(INGESTA)Datos_consumo_datadis'!A:A,"",""),"""")"),"")</f>
        <v/>
      </c>
      <c r="G17868" s="8" t="str">
        <f t="shared" si="1"/>
        <v/>
      </c>
      <c r="H17868" s="14" t="str">
        <f t="shared" si="2"/>
        <v/>
      </c>
      <c r="I17868" s="15" t="str">
        <f t="shared" si="3"/>
        <v/>
      </c>
    </row>
    <row r="17869">
      <c r="A17869" s="8" t="str">
        <f>IFERROR(__xludf.DUMMYFUNCTION("IF('(INGESTA)Datos_consumo_datadis'!A19434&lt;&gt;"""",SPLIT('(INGESTA)Datos_consumo_datadis'!A:A,"",""),"""")"),"")</f>
        <v/>
      </c>
      <c r="G17869" s="8" t="str">
        <f t="shared" si="1"/>
        <v/>
      </c>
      <c r="H17869" s="14" t="str">
        <f t="shared" si="2"/>
        <v/>
      </c>
      <c r="I17869" s="15" t="str">
        <f t="shared" si="3"/>
        <v/>
      </c>
    </row>
    <row r="17870">
      <c r="A17870" s="8" t="str">
        <f>IFERROR(__xludf.DUMMYFUNCTION("IF('(INGESTA)Datos_consumo_datadis'!A19435&lt;&gt;"""",SPLIT('(INGESTA)Datos_consumo_datadis'!A:A,"",""),"""")"),"")</f>
        <v/>
      </c>
      <c r="G17870" s="8" t="str">
        <f t="shared" si="1"/>
        <v/>
      </c>
      <c r="H17870" s="14" t="str">
        <f t="shared" si="2"/>
        <v/>
      </c>
      <c r="I17870" s="15" t="str">
        <f t="shared" si="3"/>
        <v/>
      </c>
    </row>
    <row r="17871">
      <c r="A17871" s="8" t="str">
        <f>IFERROR(__xludf.DUMMYFUNCTION("IF('(INGESTA)Datos_consumo_datadis'!A19436&lt;&gt;"""",SPLIT('(INGESTA)Datos_consumo_datadis'!A:A,"",""),"""")"),"")</f>
        <v/>
      </c>
      <c r="G17871" s="8" t="str">
        <f t="shared" si="1"/>
        <v/>
      </c>
      <c r="H17871" s="14" t="str">
        <f t="shared" si="2"/>
        <v/>
      </c>
      <c r="I17871" s="15" t="str">
        <f t="shared" si="3"/>
        <v/>
      </c>
    </row>
    <row r="17872">
      <c r="A17872" s="8" t="str">
        <f>IFERROR(__xludf.DUMMYFUNCTION("IF('(INGESTA)Datos_consumo_datadis'!A19437&lt;&gt;"""",SPLIT('(INGESTA)Datos_consumo_datadis'!A:A,"",""),"""")"),"")</f>
        <v/>
      </c>
      <c r="G17872" s="8" t="str">
        <f t="shared" si="1"/>
        <v/>
      </c>
      <c r="H17872" s="14" t="str">
        <f t="shared" si="2"/>
        <v/>
      </c>
      <c r="I17872" s="15" t="str">
        <f t="shared" si="3"/>
        <v/>
      </c>
    </row>
    <row r="17873">
      <c r="A17873" s="8" t="str">
        <f>IFERROR(__xludf.DUMMYFUNCTION("IF('(INGESTA)Datos_consumo_datadis'!A19438&lt;&gt;"""",SPLIT('(INGESTA)Datos_consumo_datadis'!A:A,"",""),"""")"),"")</f>
        <v/>
      </c>
      <c r="G17873" s="8" t="str">
        <f t="shared" si="1"/>
        <v/>
      </c>
      <c r="H17873" s="14" t="str">
        <f t="shared" si="2"/>
        <v/>
      </c>
      <c r="I17873" s="15" t="str">
        <f t="shared" si="3"/>
        <v/>
      </c>
    </row>
    <row r="17874">
      <c r="A17874" s="8" t="str">
        <f>IFERROR(__xludf.DUMMYFUNCTION("IF('(INGESTA)Datos_consumo_datadis'!A19439&lt;&gt;"""",SPLIT('(INGESTA)Datos_consumo_datadis'!A:A,"",""),"""")"),"")</f>
        <v/>
      </c>
      <c r="G17874" s="8" t="str">
        <f t="shared" si="1"/>
        <v/>
      </c>
      <c r="H17874" s="14" t="str">
        <f t="shared" si="2"/>
        <v/>
      </c>
      <c r="I17874" s="15" t="str">
        <f t="shared" si="3"/>
        <v/>
      </c>
    </row>
    <row r="17875">
      <c r="A17875" s="8" t="str">
        <f>IFERROR(__xludf.DUMMYFUNCTION("IF('(INGESTA)Datos_consumo_datadis'!A19440&lt;&gt;"""",SPLIT('(INGESTA)Datos_consumo_datadis'!A:A,"",""),"""")"),"")</f>
        <v/>
      </c>
      <c r="G17875" s="8" t="str">
        <f t="shared" si="1"/>
        <v/>
      </c>
      <c r="H17875" s="14" t="str">
        <f t="shared" si="2"/>
        <v/>
      </c>
      <c r="I17875" s="15" t="str">
        <f t="shared" si="3"/>
        <v/>
      </c>
    </row>
    <row r="17876">
      <c r="A17876" s="8" t="str">
        <f>IFERROR(__xludf.DUMMYFUNCTION("IF('(INGESTA)Datos_consumo_datadis'!A19441&lt;&gt;"""",SPLIT('(INGESTA)Datos_consumo_datadis'!A:A,"",""),"""")"),"")</f>
        <v/>
      </c>
      <c r="G17876" s="8" t="str">
        <f t="shared" si="1"/>
        <v/>
      </c>
      <c r="H17876" s="14" t="str">
        <f t="shared" si="2"/>
        <v/>
      </c>
      <c r="I17876" s="15" t="str">
        <f t="shared" si="3"/>
        <v/>
      </c>
    </row>
    <row r="17877">
      <c r="A17877" s="8" t="str">
        <f>IFERROR(__xludf.DUMMYFUNCTION("IF('(INGESTA)Datos_consumo_datadis'!A19442&lt;&gt;"""",SPLIT('(INGESTA)Datos_consumo_datadis'!A:A,"",""),"""")"),"")</f>
        <v/>
      </c>
      <c r="G17877" s="8" t="str">
        <f t="shared" si="1"/>
        <v/>
      </c>
      <c r="H17877" s="14" t="str">
        <f t="shared" si="2"/>
        <v/>
      </c>
      <c r="I17877" s="15" t="str">
        <f t="shared" si="3"/>
        <v/>
      </c>
    </row>
    <row r="17878">
      <c r="A17878" s="8" t="str">
        <f>IFERROR(__xludf.DUMMYFUNCTION("IF('(INGESTA)Datos_consumo_datadis'!A19443&lt;&gt;"""",SPLIT('(INGESTA)Datos_consumo_datadis'!A:A,"",""),"""")"),"")</f>
        <v/>
      </c>
      <c r="G17878" s="8" t="str">
        <f t="shared" si="1"/>
        <v/>
      </c>
      <c r="H17878" s="14" t="str">
        <f t="shared" si="2"/>
        <v/>
      </c>
      <c r="I17878" s="15" t="str">
        <f t="shared" si="3"/>
        <v/>
      </c>
    </row>
    <row r="17879">
      <c r="A17879" s="8" t="str">
        <f>IFERROR(__xludf.DUMMYFUNCTION("IF('(INGESTA)Datos_consumo_datadis'!A19444&lt;&gt;"""",SPLIT('(INGESTA)Datos_consumo_datadis'!A:A,"",""),"""")"),"")</f>
        <v/>
      </c>
      <c r="G17879" s="8" t="str">
        <f t="shared" si="1"/>
        <v/>
      </c>
      <c r="H17879" s="14" t="str">
        <f t="shared" si="2"/>
        <v/>
      </c>
      <c r="I17879" s="15" t="str">
        <f t="shared" si="3"/>
        <v/>
      </c>
    </row>
    <row r="17880">
      <c r="A17880" s="8" t="str">
        <f>IFERROR(__xludf.DUMMYFUNCTION("IF('(INGESTA)Datos_consumo_datadis'!A19445&lt;&gt;"""",SPLIT('(INGESTA)Datos_consumo_datadis'!A:A,"",""),"""")"),"")</f>
        <v/>
      </c>
      <c r="G17880" s="8" t="str">
        <f t="shared" si="1"/>
        <v/>
      </c>
      <c r="H17880" s="14" t="str">
        <f t="shared" si="2"/>
        <v/>
      </c>
      <c r="I17880" s="15" t="str">
        <f t="shared" si="3"/>
        <v/>
      </c>
    </row>
    <row r="17881">
      <c r="A17881" s="8" t="str">
        <f>IFERROR(__xludf.DUMMYFUNCTION("IF('(INGESTA)Datos_consumo_datadis'!A19446&lt;&gt;"""",SPLIT('(INGESTA)Datos_consumo_datadis'!A:A,"",""),"""")"),"")</f>
        <v/>
      </c>
      <c r="G17881" s="8" t="str">
        <f t="shared" si="1"/>
        <v/>
      </c>
      <c r="H17881" s="14" t="str">
        <f t="shared" si="2"/>
        <v/>
      </c>
      <c r="I17881" s="15" t="str">
        <f t="shared" si="3"/>
        <v/>
      </c>
    </row>
    <row r="17882">
      <c r="A17882" s="8" t="str">
        <f>IFERROR(__xludf.DUMMYFUNCTION("IF('(INGESTA)Datos_consumo_datadis'!A19447&lt;&gt;"""",SPLIT('(INGESTA)Datos_consumo_datadis'!A:A,"",""),"""")"),"")</f>
        <v/>
      </c>
      <c r="G17882" s="8" t="str">
        <f t="shared" si="1"/>
        <v/>
      </c>
      <c r="H17882" s="14" t="str">
        <f t="shared" si="2"/>
        <v/>
      </c>
      <c r="I17882" s="15" t="str">
        <f t="shared" si="3"/>
        <v/>
      </c>
    </row>
    <row r="17883">
      <c r="A17883" s="8" t="str">
        <f>IFERROR(__xludf.DUMMYFUNCTION("IF('(INGESTA)Datos_consumo_datadis'!A19448&lt;&gt;"""",SPLIT('(INGESTA)Datos_consumo_datadis'!A:A,"",""),"""")"),"")</f>
        <v/>
      </c>
      <c r="G17883" s="8" t="str">
        <f t="shared" si="1"/>
        <v/>
      </c>
      <c r="H17883" s="14" t="str">
        <f t="shared" si="2"/>
        <v/>
      </c>
      <c r="I17883" s="15" t="str">
        <f t="shared" si="3"/>
        <v/>
      </c>
    </row>
    <row r="17884">
      <c r="A17884" s="8" t="str">
        <f>IFERROR(__xludf.DUMMYFUNCTION("IF('(INGESTA)Datos_consumo_datadis'!A19449&lt;&gt;"""",SPLIT('(INGESTA)Datos_consumo_datadis'!A:A,"",""),"""")"),"")</f>
        <v/>
      </c>
      <c r="G17884" s="8" t="str">
        <f t="shared" si="1"/>
        <v/>
      </c>
      <c r="H17884" s="14" t="str">
        <f t="shared" si="2"/>
        <v/>
      </c>
      <c r="I17884" s="15" t="str">
        <f t="shared" si="3"/>
        <v/>
      </c>
    </row>
    <row r="17885">
      <c r="A17885" s="8" t="str">
        <f>IFERROR(__xludf.DUMMYFUNCTION("IF('(INGESTA)Datos_consumo_datadis'!A19450&lt;&gt;"""",SPLIT('(INGESTA)Datos_consumo_datadis'!A:A,"",""),"""")"),"")</f>
        <v/>
      </c>
      <c r="G17885" s="8" t="str">
        <f t="shared" si="1"/>
        <v/>
      </c>
      <c r="H17885" s="14" t="str">
        <f t="shared" si="2"/>
        <v/>
      </c>
      <c r="I17885" s="15" t="str">
        <f t="shared" si="3"/>
        <v/>
      </c>
    </row>
    <row r="17886">
      <c r="A17886" s="8" t="str">
        <f>IFERROR(__xludf.DUMMYFUNCTION("IF('(INGESTA)Datos_consumo_datadis'!A19451&lt;&gt;"""",SPLIT('(INGESTA)Datos_consumo_datadis'!A:A,"",""),"""")"),"")</f>
        <v/>
      </c>
      <c r="G17886" s="8" t="str">
        <f t="shared" si="1"/>
        <v/>
      </c>
      <c r="H17886" s="14" t="str">
        <f t="shared" si="2"/>
        <v/>
      </c>
      <c r="I17886" s="15" t="str">
        <f t="shared" si="3"/>
        <v/>
      </c>
    </row>
    <row r="17887">
      <c r="A17887" s="8" t="str">
        <f>IFERROR(__xludf.DUMMYFUNCTION("IF('(INGESTA)Datos_consumo_datadis'!A19452&lt;&gt;"""",SPLIT('(INGESTA)Datos_consumo_datadis'!A:A,"",""),"""")"),"")</f>
        <v/>
      </c>
      <c r="G17887" s="8" t="str">
        <f t="shared" si="1"/>
        <v/>
      </c>
      <c r="H17887" s="14" t="str">
        <f t="shared" si="2"/>
        <v/>
      </c>
      <c r="I17887" s="15" t="str">
        <f t="shared" si="3"/>
        <v/>
      </c>
    </row>
    <row r="17888">
      <c r="A17888" s="8" t="str">
        <f>IFERROR(__xludf.DUMMYFUNCTION("IF('(INGESTA)Datos_consumo_datadis'!A19453&lt;&gt;"""",SPLIT('(INGESTA)Datos_consumo_datadis'!A:A,"",""),"""")"),"")</f>
        <v/>
      </c>
      <c r="G17888" s="8" t="str">
        <f t="shared" si="1"/>
        <v/>
      </c>
      <c r="H17888" s="14" t="str">
        <f t="shared" si="2"/>
        <v/>
      </c>
      <c r="I17888" s="15" t="str">
        <f t="shared" si="3"/>
        <v/>
      </c>
    </row>
    <row r="17889">
      <c r="A17889" s="8" t="str">
        <f>IFERROR(__xludf.DUMMYFUNCTION("IF('(INGESTA)Datos_consumo_datadis'!A19454&lt;&gt;"""",SPLIT('(INGESTA)Datos_consumo_datadis'!A:A,"",""),"""")"),"")</f>
        <v/>
      </c>
      <c r="G17889" s="8" t="str">
        <f t="shared" si="1"/>
        <v/>
      </c>
      <c r="H17889" s="14" t="str">
        <f t="shared" si="2"/>
        <v/>
      </c>
      <c r="I17889" s="15" t="str">
        <f t="shared" si="3"/>
        <v/>
      </c>
    </row>
    <row r="17890">
      <c r="A17890" s="8" t="str">
        <f>IFERROR(__xludf.DUMMYFUNCTION("IF('(INGESTA)Datos_consumo_datadis'!A19455&lt;&gt;"""",SPLIT('(INGESTA)Datos_consumo_datadis'!A:A,"",""),"""")"),"")</f>
        <v/>
      </c>
      <c r="G17890" s="8" t="str">
        <f t="shared" si="1"/>
        <v/>
      </c>
      <c r="H17890" s="14" t="str">
        <f t="shared" si="2"/>
        <v/>
      </c>
      <c r="I17890" s="15" t="str">
        <f t="shared" si="3"/>
        <v/>
      </c>
    </row>
    <row r="17891">
      <c r="A17891" s="8" t="str">
        <f>IFERROR(__xludf.DUMMYFUNCTION("IF('(INGESTA)Datos_consumo_datadis'!A19456&lt;&gt;"""",SPLIT('(INGESTA)Datos_consumo_datadis'!A:A,"",""),"""")"),"")</f>
        <v/>
      </c>
      <c r="G17891" s="8" t="str">
        <f t="shared" si="1"/>
        <v/>
      </c>
      <c r="H17891" s="14" t="str">
        <f t="shared" si="2"/>
        <v/>
      </c>
      <c r="I17891" s="15" t="str">
        <f t="shared" si="3"/>
        <v/>
      </c>
    </row>
    <row r="17892">
      <c r="A17892" s="8" t="str">
        <f>IFERROR(__xludf.DUMMYFUNCTION("IF('(INGESTA)Datos_consumo_datadis'!A19457&lt;&gt;"""",SPLIT('(INGESTA)Datos_consumo_datadis'!A:A,"",""),"""")"),"")</f>
        <v/>
      </c>
      <c r="G17892" s="8" t="str">
        <f t="shared" si="1"/>
        <v/>
      </c>
      <c r="H17892" s="14" t="str">
        <f t="shared" si="2"/>
        <v/>
      </c>
      <c r="I17892" s="15" t="str">
        <f t="shared" si="3"/>
        <v/>
      </c>
    </row>
    <row r="17893">
      <c r="A17893" s="8" t="str">
        <f>IFERROR(__xludf.DUMMYFUNCTION("IF('(INGESTA)Datos_consumo_datadis'!A19458&lt;&gt;"""",SPLIT('(INGESTA)Datos_consumo_datadis'!A:A,"",""),"""")"),"")</f>
        <v/>
      </c>
      <c r="G17893" s="8" t="str">
        <f t="shared" si="1"/>
        <v/>
      </c>
      <c r="H17893" s="14" t="str">
        <f t="shared" si="2"/>
        <v/>
      </c>
      <c r="I17893" s="15" t="str">
        <f t="shared" si="3"/>
        <v/>
      </c>
    </row>
    <row r="17894">
      <c r="A17894" s="8" t="str">
        <f>IFERROR(__xludf.DUMMYFUNCTION("IF('(INGESTA)Datos_consumo_datadis'!A19459&lt;&gt;"""",SPLIT('(INGESTA)Datos_consumo_datadis'!A:A,"",""),"""")"),"")</f>
        <v/>
      </c>
      <c r="G17894" s="8" t="str">
        <f t="shared" si="1"/>
        <v/>
      </c>
      <c r="H17894" s="14" t="str">
        <f t="shared" si="2"/>
        <v/>
      </c>
      <c r="I17894" s="15" t="str">
        <f t="shared" si="3"/>
        <v/>
      </c>
    </row>
    <row r="17895">
      <c r="A17895" s="8" t="str">
        <f>IFERROR(__xludf.DUMMYFUNCTION("IF('(INGESTA)Datos_consumo_datadis'!A19460&lt;&gt;"""",SPLIT('(INGESTA)Datos_consumo_datadis'!A:A,"",""),"""")"),"")</f>
        <v/>
      </c>
      <c r="G17895" s="8" t="str">
        <f t="shared" si="1"/>
        <v/>
      </c>
      <c r="H17895" s="14" t="str">
        <f t="shared" si="2"/>
        <v/>
      </c>
      <c r="I17895" s="15" t="str">
        <f t="shared" si="3"/>
        <v/>
      </c>
    </row>
    <row r="17896">
      <c r="A17896" s="8" t="str">
        <f>IFERROR(__xludf.DUMMYFUNCTION("IF('(INGESTA)Datos_consumo_datadis'!A19461&lt;&gt;"""",SPLIT('(INGESTA)Datos_consumo_datadis'!A:A,"",""),"""")"),"")</f>
        <v/>
      </c>
      <c r="G17896" s="8" t="str">
        <f t="shared" si="1"/>
        <v/>
      </c>
      <c r="H17896" s="14" t="str">
        <f t="shared" si="2"/>
        <v/>
      </c>
      <c r="I17896" s="15" t="str">
        <f t="shared" si="3"/>
        <v/>
      </c>
    </row>
    <row r="17897">
      <c r="A17897" s="8" t="str">
        <f>IFERROR(__xludf.DUMMYFUNCTION("IF('(INGESTA)Datos_consumo_datadis'!A19462&lt;&gt;"""",SPLIT('(INGESTA)Datos_consumo_datadis'!A:A,"",""),"""")"),"")</f>
        <v/>
      </c>
      <c r="G17897" s="8" t="str">
        <f t="shared" si="1"/>
        <v/>
      </c>
      <c r="H17897" s="14" t="str">
        <f t="shared" si="2"/>
        <v/>
      </c>
      <c r="I17897" s="15" t="str">
        <f t="shared" si="3"/>
        <v/>
      </c>
    </row>
    <row r="17898">
      <c r="A17898" s="8" t="str">
        <f>IFERROR(__xludf.DUMMYFUNCTION("IF('(INGESTA)Datos_consumo_datadis'!A19463&lt;&gt;"""",SPLIT('(INGESTA)Datos_consumo_datadis'!A:A,"",""),"""")"),"")</f>
        <v/>
      </c>
      <c r="G17898" s="8" t="str">
        <f t="shared" si="1"/>
        <v/>
      </c>
      <c r="H17898" s="14" t="str">
        <f t="shared" si="2"/>
        <v/>
      </c>
      <c r="I17898" s="15" t="str">
        <f t="shared" si="3"/>
        <v/>
      </c>
    </row>
    <row r="17899">
      <c r="A17899" s="8" t="str">
        <f>IFERROR(__xludf.DUMMYFUNCTION("IF('(INGESTA)Datos_consumo_datadis'!A19464&lt;&gt;"""",SPLIT('(INGESTA)Datos_consumo_datadis'!A:A,"",""),"""")"),"")</f>
        <v/>
      </c>
      <c r="G17899" s="8" t="str">
        <f t="shared" si="1"/>
        <v/>
      </c>
      <c r="H17899" s="14" t="str">
        <f t="shared" si="2"/>
        <v/>
      </c>
      <c r="I17899" s="15" t="str">
        <f t="shared" si="3"/>
        <v/>
      </c>
    </row>
    <row r="17900">
      <c r="A17900" s="8" t="str">
        <f>IFERROR(__xludf.DUMMYFUNCTION("IF('(INGESTA)Datos_consumo_datadis'!A19465&lt;&gt;"""",SPLIT('(INGESTA)Datos_consumo_datadis'!A:A,"",""),"""")"),"")</f>
        <v/>
      </c>
      <c r="G17900" s="8" t="str">
        <f t="shared" si="1"/>
        <v/>
      </c>
      <c r="H17900" s="14" t="str">
        <f t="shared" si="2"/>
        <v/>
      </c>
      <c r="I17900" s="15" t="str">
        <f t="shared" si="3"/>
        <v/>
      </c>
    </row>
    <row r="17901">
      <c r="A17901" s="8" t="str">
        <f>IFERROR(__xludf.DUMMYFUNCTION("IF('(INGESTA)Datos_consumo_datadis'!A19466&lt;&gt;"""",SPLIT('(INGESTA)Datos_consumo_datadis'!A:A,"",""),"""")"),"")</f>
        <v/>
      </c>
      <c r="G17901" s="8" t="str">
        <f t="shared" si="1"/>
        <v/>
      </c>
      <c r="H17901" s="14" t="str">
        <f t="shared" si="2"/>
        <v/>
      </c>
      <c r="I17901" s="15" t="str">
        <f t="shared" si="3"/>
        <v/>
      </c>
    </row>
    <row r="17902">
      <c r="A17902" s="8" t="str">
        <f>IFERROR(__xludf.DUMMYFUNCTION("IF('(INGESTA)Datos_consumo_datadis'!A19467&lt;&gt;"""",SPLIT('(INGESTA)Datos_consumo_datadis'!A:A,"",""),"""")"),"")</f>
        <v/>
      </c>
      <c r="G17902" s="8" t="str">
        <f t="shared" si="1"/>
        <v/>
      </c>
      <c r="H17902" s="14" t="str">
        <f t="shared" si="2"/>
        <v/>
      </c>
      <c r="I17902" s="15" t="str">
        <f t="shared" si="3"/>
        <v/>
      </c>
    </row>
    <row r="17903">
      <c r="A17903" s="8" t="str">
        <f>IFERROR(__xludf.DUMMYFUNCTION("IF('(INGESTA)Datos_consumo_datadis'!A19468&lt;&gt;"""",SPLIT('(INGESTA)Datos_consumo_datadis'!A:A,"",""),"""")"),"")</f>
        <v/>
      </c>
      <c r="G17903" s="8" t="str">
        <f t="shared" si="1"/>
        <v/>
      </c>
      <c r="H17903" s="14" t="str">
        <f t="shared" si="2"/>
        <v/>
      </c>
      <c r="I17903" s="15" t="str">
        <f t="shared" si="3"/>
        <v/>
      </c>
    </row>
    <row r="17904">
      <c r="A17904" s="8" t="str">
        <f>IFERROR(__xludf.DUMMYFUNCTION("IF('(INGESTA)Datos_consumo_datadis'!A19469&lt;&gt;"""",SPLIT('(INGESTA)Datos_consumo_datadis'!A:A,"",""),"""")"),"")</f>
        <v/>
      </c>
      <c r="G17904" s="8" t="str">
        <f t="shared" si="1"/>
        <v/>
      </c>
      <c r="H17904" s="14" t="str">
        <f t="shared" si="2"/>
        <v/>
      </c>
      <c r="I17904" s="15" t="str">
        <f t="shared" si="3"/>
        <v/>
      </c>
    </row>
    <row r="17905">
      <c r="A17905" s="8" t="str">
        <f>IFERROR(__xludf.DUMMYFUNCTION("IF('(INGESTA)Datos_consumo_datadis'!A19470&lt;&gt;"""",SPLIT('(INGESTA)Datos_consumo_datadis'!A:A,"",""),"""")"),"")</f>
        <v/>
      </c>
      <c r="G17905" s="8" t="str">
        <f t="shared" si="1"/>
        <v/>
      </c>
      <c r="H17905" s="14" t="str">
        <f t="shared" si="2"/>
        <v/>
      </c>
      <c r="I17905" s="15" t="str">
        <f t="shared" si="3"/>
        <v/>
      </c>
    </row>
    <row r="17906">
      <c r="A17906" s="8" t="str">
        <f>IFERROR(__xludf.DUMMYFUNCTION("IF('(INGESTA)Datos_consumo_datadis'!A19471&lt;&gt;"""",SPLIT('(INGESTA)Datos_consumo_datadis'!A:A,"",""),"""")"),"")</f>
        <v/>
      </c>
      <c r="G17906" s="8" t="str">
        <f t="shared" si="1"/>
        <v/>
      </c>
      <c r="H17906" s="14" t="str">
        <f t="shared" si="2"/>
        <v/>
      </c>
      <c r="I17906" s="15" t="str">
        <f t="shared" si="3"/>
        <v/>
      </c>
    </row>
    <row r="17907">
      <c r="A17907" s="8" t="str">
        <f>IFERROR(__xludf.DUMMYFUNCTION("IF('(INGESTA)Datos_consumo_datadis'!A19472&lt;&gt;"""",SPLIT('(INGESTA)Datos_consumo_datadis'!A:A,"",""),"""")"),"")</f>
        <v/>
      </c>
      <c r="G17907" s="8" t="str">
        <f t="shared" si="1"/>
        <v/>
      </c>
      <c r="H17907" s="14" t="str">
        <f t="shared" si="2"/>
        <v/>
      </c>
      <c r="I17907" s="15" t="str">
        <f t="shared" si="3"/>
        <v/>
      </c>
    </row>
    <row r="17908">
      <c r="A17908" s="8" t="str">
        <f>IFERROR(__xludf.DUMMYFUNCTION("IF('(INGESTA)Datos_consumo_datadis'!A19473&lt;&gt;"""",SPLIT('(INGESTA)Datos_consumo_datadis'!A:A,"",""),"""")"),"")</f>
        <v/>
      </c>
      <c r="G17908" s="8" t="str">
        <f t="shared" si="1"/>
        <v/>
      </c>
      <c r="H17908" s="14" t="str">
        <f t="shared" si="2"/>
        <v/>
      </c>
      <c r="I17908" s="15" t="str">
        <f t="shared" si="3"/>
        <v/>
      </c>
    </row>
    <row r="17909">
      <c r="A17909" s="8" t="str">
        <f>IFERROR(__xludf.DUMMYFUNCTION("IF('(INGESTA)Datos_consumo_datadis'!A19474&lt;&gt;"""",SPLIT('(INGESTA)Datos_consumo_datadis'!A:A,"",""),"""")"),"")</f>
        <v/>
      </c>
      <c r="G17909" s="8" t="str">
        <f t="shared" si="1"/>
        <v/>
      </c>
      <c r="H17909" s="14" t="str">
        <f t="shared" si="2"/>
        <v/>
      </c>
      <c r="I17909" s="15" t="str">
        <f t="shared" si="3"/>
        <v/>
      </c>
    </row>
    <row r="17910">
      <c r="A17910" s="8" t="str">
        <f>IFERROR(__xludf.DUMMYFUNCTION("IF('(INGESTA)Datos_consumo_datadis'!A19475&lt;&gt;"""",SPLIT('(INGESTA)Datos_consumo_datadis'!A:A,"",""),"""")"),"")</f>
        <v/>
      </c>
      <c r="G17910" s="8" t="str">
        <f t="shared" si="1"/>
        <v/>
      </c>
      <c r="H17910" s="14" t="str">
        <f t="shared" si="2"/>
        <v/>
      </c>
      <c r="I17910" s="15" t="str">
        <f t="shared" si="3"/>
        <v/>
      </c>
    </row>
    <row r="17911">
      <c r="A17911" s="8" t="str">
        <f>IFERROR(__xludf.DUMMYFUNCTION("IF('(INGESTA)Datos_consumo_datadis'!A19476&lt;&gt;"""",SPLIT('(INGESTA)Datos_consumo_datadis'!A:A,"",""),"""")"),"")</f>
        <v/>
      </c>
      <c r="G17911" s="8" t="str">
        <f t="shared" si="1"/>
        <v/>
      </c>
      <c r="H17911" s="14" t="str">
        <f t="shared" si="2"/>
        <v/>
      </c>
      <c r="I17911" s="15" t="str">
        <f t="shared" si="3"/>
        <v/>
      </c>
    </row>
    <row r="17912">
      <c r="A17912" s="8" t="str">
        <f>IFERROR(__xludf.DUMMYFUNCTION("IF('(INGESTA)Datos_consumo_datadis'!A19477&lt;&gt;"""",SPLIT('(INGESTA)Datos_consumo_datadis'!A:A,"",""),"""")"),"")</f>
        <v/>
      </c>
      <c r="G17912" s="8" t="str">
        <f t="shared" si="1"/>
        <v/>
      </c>
      <c r="H17912" s="14" t="str">
        <f t="shared" si="2"/>
        <v/>
      </c>
      <c r="I17912" s="15" t="str">
        <f t="shared" si="3"/>
        <v/>
      </c>
    </row>
    <row r="17913">
      <c r="A17913" s="8" t="str">
        <f>IFERROR(__xludf.DUMMYFUNCTION("IF('(INGESTA)Datos_consumo_datadis'!A19478&lt;&gt;"""",SPLIT('(INGESTA)Datos_consumo_datadis'!A:A,"",""),"""")"),"")</f>
        <v/>
      </c>
      <c r="G17913" s="8" t="str">
        <f t="shared" si="1"/>
        <v/>
      </c>
      <c r="H17913" s="14" t="str">
        <f t="shared" si="2"/>
        <v/>
      </c>
      <c r="I17913" s="15" t="str">
        <f t="shared" si="3"/>
        <v/>
      </c>
    </row>
    <row r="17914">
      <c r="A17914" s="8" t="str">
        <f>IFERROR(__xludf.DUMMYFUNCTION("IF('(INGESTA)Datos_consumo_datadis'!A19479&lt;&gt;"""",SPLIT('(INGESTA)Datos_consumo_datadis'!A:A,"",""),"""")"),"")</f>
        <v/>
      </c>
      <c r="G17914" s="8" t="str">
        <f t="shared" si="1"/>
        <v/>
      </c>
      <c r="H17914" s="14" t="str">
        <f t="shared" si="2"/>
        <v/>
      </c>
      <c r="I17914" s="15" t="str">
        <f t="shared" si="3"/>
        <v/>
      </c>
    </row>
    <row r="17915">
      <c r="A17915" s="8" t="str">
        <f>IFERROR(__xludf.DUMMYFUNCTION("IF('(INGESTA)Datos_consumo_datadis'!A19480&lt;&gt;"""",SPLIT('(INGESTA)Datos_consumo_datadis'!A:A,"",""),"""")"),"")</f>
        <v/>
      </c>
      <c r="G17915" s="8" t="str">
        <f t="shared" si="1"/>
        <v/>
      </c>
      <c r="H17915" s="14" t="str">
        <f t="shared" si="2"/>
        <v/>
      </c>
      <c r="I17915" s="15" t="str">
        <f t="shared" si="3"/>
        <v/>
      </c>
    </row>
    <row r="17916">
      <c r="A17916" s="8" t="str">
        <f>IFERROR(__xludf.DUMMYFUNCTION("IF('(INGESTA)Datos_consumo_datadis'!A19481&lt;&gt;"""",SPLIT('(INGESTA)Datos_consumo_datadis'!A:A,"",""),"""")"),"")</f>
        <v/>
      </c>
      <c r="G17916" s="8" t="str">
        <f t="shared" si="1"/>
        <v/>
      </c>
      <c r="H17916" s="14" t="str">
        <f t="shared" si="2"/>
        <v/>
      </c>
      <c r="I17916" s="15" t="str">
        <f t="shared" si="3"/>
        <v/>
      </c>
    </row>
    <row r="17917">
      <c r="A17917" s="8" t="str">
        <f>IFERROR(__xludf.DUMMYFUNCTION("IF('(INGESTA)Datos_consumo_datadis'!A19482&lt;&gt;"""",SPLIT('(INGESTA)Datos_consumo_datadis'!A:A,"",""),"""")"),"")</f>
        <v/>
      </c>
      <c r="G17917" s="8" t="str">
        <f t="shared" si="1"/>
        <v/>
      </c>
      <c r="H17917" s="14" t="str">
        <f t="shared" si="2"/>
        <v/>
      </c>
      <c r="I17917" s="15" t="str">
        <f t="shared" si="3"/>
        <v/>
      </c>
    </row>
    <row r="17918">
      <c r="A17918" s="8" t="str">
        <f>IFERROR(__xludf.DUMMYFUNCTION("IF('(INGESTA)Datos_consumo_datadis'!A19483&lt;&gt;"""",SPLIT('(INGESTA)Datos_consumo_datadis'!A:A,"",""),"""")"),"")</f>
        <v/>
      </c>
      <c r="G17918" s="8" t="str">
        <f t="shared" si="1"/>
        <v/>
      </c>
      <c r="H17918" s="14" t="str">
        <f t="shared" si="2"/>
        <v/>
      </c>
      <c r="I17918" s="15" t="str">
        <f t="shared" si="3"/>
        <v/>
      </c>
    </row>
    <row r="17919">
      <c r="A17919" s="8" t="str">
        <f>IFERROR(__xludf.DUMMYFUNCTION("IF('(INGESTA)Datos_consumo_datadis'!A19484&lt;&gt;"""",SPLIT('(INGESTA)Datos_consumo_datadis'!A:A,"",""),"""")"),"")</f>
        <v/>
      </c>
      <c r="G17919" s="8" t="str">
        <f t="shared" si="1"/>
        <v/>
      </c>
      <c r="H17919" s="14" t="str">
        <f t="shared" si="2"/>
        <v/>
      </c>
      <c r="I17919" s="15" t="str">
        <f t="shared" si="3"/>
        <v/>
      </c>
    </row>
    <row r="17920">
      <c r="A17920" s="8" t="str">
        <f>IFERROR(__xludf.DUMMYFUNCTION("IF('(INGESTA)Datos_consumo_datadis'!A19485&lt;&gt;"""",SPLIT('(INGESTA)Datos_consumo_datadis'!A:A,"",""),"""")"),"")</f>
        <v/>
      </c>
      <c r="G17920" s="8" t="str">
        <f t="shared" si="1"/>
        <v/>
      </c>
      <c r="H17920" s="14" t="str">
        <f t="shared" si="2"/>
        <v/>
      </c>
      <c r="I17920" s="15" t="str">
        <f t="shared" si="3"/>
        <v/>
      </c>
    </row>
    <row r="17921">
      <c r="A17921" s="8" t="str">
        <f>IFERROR(__xludf.DUMMYFUNCTION("IF('(INGESTA)Datos_consumo_datadis'!A19486&lt;&gt;"""",SPLIT('(INGESTA)Datos_consumo_datadis'!A:A,"",""),"""")"),"")</f>
        <v/>
      </c>
      <c r="G17921" s="8" t="str">
        <f t="shared" si="1"/>
        <v/>
      </c>
      <c r="H17921" s="14" t="str">
        <f t="shared" si="2"/>
        <v/>
      </c>
      <c r="I17921" s="15" t="str">
        <f t="shared" si="3"/>
        <v/>
      </c>
    </row>
    <row r="17922">
      <c r="A17922" s="8" t="str">
        <f>IFERROR(__xludf.DUMMYFUNCTION("IF('(INGESTA)Datos_consumo_datadis'!A19487&lt;&gt;"""",SPLIT('(INGESTA)Datos_consumo_datadis'!A:A,"",""),"""")"),"")</f>
        <v/>
      </c>
      <c r="G17922" s="8" t="str">
        <f t="shared" si="1"/>
        <v/>
      </c>
      <c r="H17922" s="14" t="str">
        <f t="shared" si="2"/>
        <v/>
      </c>
      <c r="I17922" s="15" t="str">
        <f t="shared" si="3"/>
        <v/>
      </c>
    </row>
    <row r="17923">
      <c r="A17923" s="8" t="str">
        <f>IFERROR(__xludf.DUMMYFUNCTION("IF('(INGESTA)Datos_consumo_datadis'!A19488&lt;&gt;"""",SPLIT('(INGESTA)Datos_consumo_datadis'!A:A,"",""),"""")"),"")</f>
        <v/>
      </c>
      <c r="G17923" s="8" t="str">
        <f t="shared" si="1"/>
        <v/>
      </c>
      <c r="H17923" s="14" t="str">
        <f t="shared" si="2"/>
        <v/>
      </c>
      <c r="I17923" s="15" t="str">
        <f t="shared" si="3"/>
        <v/>
      </c>
    </row>
    <row r="17924">
      <c r="A17924" s="8" t="str">
        <f>IFERROR(__xludf.DUMMYFUNCTION("IF('(INGESTA)Datos_consumo_datadis'!A19489&lt;&gt;"""",SPLIT('(INGESTA)Datos_consumo_datadis'!A:A,"",""),"""")"),"")</f>
        <v/>
      </c>
      <c r="G17924" s="8" t="str">
        <f t="shared" si="1"/>
        <v/>
      </c>
      <c r="H17924" s="14" t="str">
        <f t="shared" si="2"/>
        <v/>
      </c>
      <c r="I17924" s="15" t="str">
        <f t="shared" si="3"/>
        <v/>
      </c>
    </row>
    <row r="17925">
      <c r="A17925" s="8" t="str">
        <f>IFERROR(__xludf.DUMMYFUNCTION("IF('(INGESTA)Datos_consumo_datadis'!A19490&lt;&gt;"""",SPLIT('(INGESTA)Datos_consumo_datadis'!A:A,"",""),"""")"),"")</f>
        <v/>
      </c>
      <c r="G17925" s="8" t="str">
        <f t="shared" si="1"/>
        <v/>
      </c>
      <c r="H17925" s="14" t="str">
        <f t="shared" si="2"/>
        <v/>
      </c>
      <c r="I17925" s="15" t="str">
        <f t="shared" si="3"/>
        <v/>
      </c>
    </row>
    <row r="17926">
      <c r="A17926" s="8" t="str">
        <f>IFERROR(__xludf.DUMMYFUNCTION("IF('(INGESTA)Datos_consumo_datadis'!A19491&lt;&gt;"""",SPLIT('(INGESTA)Datos_consumo_datadis'!A:A,"",""),"""")"),"")</f>
        <v/>
      </c>
      <c r="G17926" s="8" t="str">
        <f t="shared" si="1"/>
        <v/>
      </c>
      <c r="H17926" s="14" t="str">
        <f t="shared" si="2"/>
        <v/>
      </c>
      <c r="I17926" s="15" t="str">
        <f t="shared" si="3"/>
        <v/>
      </c>
    </row>
    <row r="17927">
      <c r="A17927" s="8" t="str">
        <f>IFERROR(__xludf.DUMMYFUNCTION("IF('(INGESTA)Datos_consumo_datadis'!A19492&lt;&gt;"""",SPLIT('(INGESTA)Datos_consumo_datadis'!A:A,"",""),"""")"),"")</f>
        <v/>
      </c>
      <c r="G17927" s="8" t="str">
        <f t="shared" si="1"/>
        <v/>
      </c>
      <c r="H17927" s="14" t="str">
        <f t="shared" si="2"/>
        <v/>
      </c>
      <c r="I17927" s="15" t="str">
        <f t="shared" si="3"/>
        <v/>
      </c>
    </row>
    <row r="17928">
      <c r="A17928" s="8" t="str">
        <f>IFERROR(__xludf.DUMMYFUNCTION("IF('(INGESTA)Datos_consumo_datadis'!A19493&lt;&gt;"""",SPLIT('(INGESTA)Datos_consumo_datadis'!A:A,"",""),"""")"),"")</f>
        <v/>
      </c>
      <c r="G17928" s="8" t="str">
        <f t="shared" si="1"/>
        <v/>
      </c>
      <c r="H17928" s="14" t="str">
        <f t="shared" si="2"/>
        <v/>
      </c>
      <c r="I17928" s="15" t="str">
        <f t="shared" si="3"/>
        <v/>
      </c>
    </row>
    <row r="17929">
      <c r="A17929" s="8" t="str">
        <f>IFERROR(__xludf.DUMMYFUNCTION("IF('(INGESTA)Datos_consumo_datadis'!A19494&lt;&gt;"""",SPLIT('(INGESTA)Datos_consumo_datadis'!A:A,"",""),"""")"),"")</f>
        <v/>
      </c>
      <c r="G17929" s="8" t="str">
        <f t="shared" si="1"/>
        <v/>
      </c>
      <c r="H17929" s="14" t="str">
        <f t="shared" si="2"/>
        <v/>
      </c>
      <c r="I17929" s="15" t="str">
        <f t="shared" si="3"/>
        <v/>
      </c>
    </row>
    <row r="17930">
      <c r="A17930" s="8" t="str">
        <f>IFERROR(__xludf.DUMMYFUNCTION("IF('(INGESTA)Datos_consumo_datadis'!A19495&lt;&gt;"""",SPLIT('(INGESTA)Datos_consumo_datadis'!A:A,"",""),"""")"),"")</f>
        <v/>
      </c>
      <c r="G17930" s="8" t="str">
        <f t="shared" si="1"/>
        <v/>
      </c>
      <c r="H17930" s="14" t="str">
        <f t="shared" si="2"/>
        <v/>
      </c>
      <c r="I17930" s="15" t="str">
        <f t="shared" si="3"/>
        <v/>
      </c>
    </row>
    <row r="17931">
      <c r="A17931" s="8" t="str">
        <f>IFERROR(__xludf.DUMMYFUNCTION("IF('(INGESTA)Datos_consumo_datadis'!A19496&lt;&gt;"""",SPLIT('(INGESTA)Datos_consumo_datadis'!A:A,"",""),"""")"),"")</f>
        <v/>
      </c>
      <c r="G17931" s="8" t="str">
        <f t="shared" si="1"/>
        <v/>
      </c>
      <c r="H17931" s="14" t="str">
        <f t="shared" si="2"/>
        <v/>
      </c>
      <c r="I17931" s="15" t="str">
        <f t="shared" si="3"/>
        <v/>
      </c>
    </row>
    <row r="17932">
      <c r="A17932" s="8" t="str">
        <f>IFERROR(__xludf.DUMMYFUNCTION("IF('(INGESTA)Datos_consumo_datadis'!A19497&lt;&gt;"""",SPLIT('(INGESTA)Datos_consumo_datadis'!A:A,"",""),"""")"),"")</f>
        <v/>
      </c>
      <c r="G17932" s="8" t="str">
        <f t="shared" si="1"/>
        <v/>
      </c>
      <c r="H17932" s="14" t="str">
        <f t="shared" si="2"/>
        <v/>
      </c>
      <c r="I17932" s="15" t="str">
        <f t="shared" si="3"/>
        <v/>
      </c>
    </row>
    <row r="17933">
      <c r="A17933" s="8" t="str">
        <f>IFERROR(__xludf.DUMMYFUNCTION("IF('(INGESTA)Datos_consumo_datadis'!A19498&lt;&gt;"""",SPLIT('(INGESTA)Datos_consumo_datadis'!A:A,"",""),"""")"),"")</f>
        <v/>
      </c>
      <c r="G17933" s="8" t="str">
        <f t="shared" si="1"/>
        <v/>
      </c>
      <c r="H17933" s="14" t="str">
        <f t="shared" si="2"/>
        <v/>
      </c>
      <c r="I17933" s="15" t="str">
        <f t="shared" si="3"/>
        <v/>
      </c>
    </row>
    <row r="17934">
      <c r="A17934" s="8" t="str">
        <f>IFERROR(__xludf.DUMMYFUNCTION("IF('(INGESTA)Datos_consumo_datadis'!A19499&lt;&gt;"""",SPLIT('(INGESTA)Datos_consumo_datadis'!A:A,"",""),"""")"),"")</f>
        <v/>
      </c>
      <c r="G17934" s="8" t="str">
        <f t="shared" si="1"/>
        <v/>
      </c>
      <c r="H17934" s="14" t="str">
        <f t="shared" si="2"/>
        <v/>
      </c>
      <c r="I17934" s="15" t="str">
        <f t="shared" si="3"/>
        <v/>
      </c>
    </row>
    <row r="17935">
      <c r="A17935" s="8" t="str">
        <f>IFERROR(__xludf.DUMMYFUNCTION("IF('(INGESTA)Datos_consumo_datadis'!A19500&lt;&gt;"""",SPLIT('(INGESTA)Datos_consumo_datadis'!A:A,"",""),"""")"),"")</f>
        <v/>
      </c>
      <c r="G17935" s="8" t="str">
        <f t="shared" si="1"/>
        <v/>
      </c>
      <c r="H17935" s="14" t="str">
        <f t="shared" si="2"/>
        <v/>
      </c>
      <c r="I17935" s="15" t="str">
        <f t="shared" si="3"/>
        <v/>
      </c>
    </row>
    <row r="17936">
      <c r="A17936" s="8" t="str">
        <f>IFERROR(__xludf.DUMMYFUNCTION("IF('(INGESTA)Datos_consumo_datadis'!A19501&lt;&gt;"""",SPLIT('(INGESTA)Datos_consumo_datadis'!A:A,"",""),"""")"),"")</f>
        <v/>
      </c>
      <c r="G17936" s="8" t="str">
        <f t="shared" si="1"/>
        <v/>
      </c>
      <c r="H17936" s="14" t="str">
        <f t="shared" si="2"/>
        <v/>
      </c>
      <c r="I17936" s="15" t="str">
        <f t="shared" si="3"/>
        <v/>
      </c>
    </row>
    <row r="17937">
      <c r="A17937" s="8" t="str">
        <f>IFERROR(__xludf.DUMMYFUNCTION("IF('(INGESTA)Datos_consumo_datadis'!A19502&lt;&gt;"""",SPLIT('(INGESTA)Datos_consumo_datadis'!A:A,"",""),"""")"),"")</f>
        <v/>
      </c>
      <c r="G17937" s="8" t="str">
        <f t="shared" si="1"/>
        <v/>
      </c>
      <c r="H17937" s="14" t="str">
        <f t="shared" si="2"/>
        <v/>
      </c>
      <c r="I17937" s="15" t="str">
        <f t="shared" si="3"/>
        <v/>
      </c>
    </row>
    <row r="17938">
      <c r="A17938" s="8" t="str">
        <f>IFERROR(__xludf.DUMMYFUNCTION("IF('(INGESTA)Datos_consumo_datadis'!A19503&lt;&gt;"""",SPLIT('(INGESTA)Datos_consumo_datadis'!A:A,"",""),"""")"),"")</f>
        <v/>
      </c>
      <c r="G17938" s="8" t="str">
        <f t="shared" si="1"/>
        <v/>
      </c>
      <c r="H17938" s="14" t="str">
        <f t="shared" si="2"/>
        <v/>
      </c>
      <c r="I17938" s="15" t="str">
        <f t="shared" si="3"/>
        <v/>
      </c>
    </row>
    <row r="17939">
      <c r="A17939" s="8" t="str">
        <f>IFERROR(__xludf.DUMMYFUNCTION("IF('(INGESTA)Datos_consumo_datadis'!A19504&lt;&gt;"""",SPLIT('(INGESTA)Datos_consumo_datadis'!A:A,"",""),"""")"),"")</f>
        <v/>
      </c>
      <c r="G17939" s="8" t="str">
        <f t="shared" si="1"/>
        <v/>
      </c>
      <c r="H17939" s="14" t="str">
        <f t="shared" si="2"/>
        <v/>
      </c>
      <c r="I17939" s="15" t="str">
        <f t="shared" si="3"/>
        <v/>
      </c>
    </row>
    <row r="17940">
      <c r="A17940" s="8" t="str">
        <f>IFERROR(__xludf.DUMMYFUNCTION("IF('(INGESTA)Datos_consumo_datadis'!A19505&lt;&gt;"""",SPLIT('(INGESTA)Datos_consumo_datadis'!A:A,"",""),"""")"),"")</f>
        <v/>
      </c>
      <c r="G17940" s="8" t="str">
        <f t="shared" si="1"/>
        <v/>
      </c>
      <c r="H17940" s="14" t="str">
        <f t="shared" si="2"/>
        <v/>
      </c>
      <c r="I17940" s="15" t="str">
        <f t="shared" si="3"/>
        <v/>
      </c>
    </row>
    <row r="17941">
      <c r="A17941" s="8" t="str">
        <f>IFERROR(__xludf.DUMMYFUNCTION("IF('(INGESTA)Datos_consumo_datadis'!A19506&lt;&gt;"""",SPLIT('(INGESTA)Datos_consumo_datadis'!A:A,"",""),"""")"),"")</f>
        <v/>
      </c>
      <c r="G17941" s="8" t="str">
        <f t="shared" si="1"/>
        <v/>
      </c>
      <c r="H17941" s="14" t="str">
        <f t="shared" si="2"/>
        <v/>
      </c>
      <c r="I17941" s="15" t="str">
        <f t="shared" si="3"/>
        <v/>
      </c>
    </row>
    <row r="17942">
      <c r="A17942" s="8" t="str">
        <f>IFERROR(__xludf.DUMMYFUNCTION("IF('(INGESTA)Datos_consumo_datadis'!A19507&lt;&gt;"""",SPLIT('(INGESTA)Datos_consumo_datadis'!A:A,"",""),"""")"),"")</f>
        <v/>
      </c>
      <c r="G17942" s="8" t="str">
        <f t="shared" si="1"/>
        <v/>
      </c>
      <c r="H17942" s="14" t="str">
        <f t="shared" si="2"/>
        <v/>
      </c>
      <c r="I17942" s="15" t="str">
        <f t="shared" si="3"/>
        <v/>
      </c>
    </row>
    <row r="17943">
      <c r="A17943" s="8" t="str">
        <f>IFERROR(__xludf.DUMMYFUNCTION("IF('(INGESTA)Datos_consumo_datadis'!A19508&lt;&gt;"""",SPLIT('(INGESTA)Datos_consumo_datadis'!A:A,"",""),"""")"),"")</f>
        <v/>
      </c>
      <c r="G17943" s="8" t="str">
        <f t="shared" si="1"/>
        <v/>
      </c>
      <c r="H17943" s="14" t="str">
        <f t="shared" si="2"/>
        <v/>
      </c>
      <c r="I17943" s="15" t="str">
        <f t="shared" si="3"/>
        <v/>
      </c>
    </row>
    <row r="17944">
      <c r="A17944" s="8" t="str">
        <f>IFERROR(__xludf.DUMMYFUNCTION("IF('(INGESTA)Datos_consumo_datadis'!A19509&lt;&gt;"""",SPLIT('(INGESTA)Datos_consumo_datadis'!A:A,"",""),"""")"),"")</f>
        <v/>
      </c>
      <c r="G17944" s="8" t="str">
        <f t="shared" si="1"/>
        <v/>
      </c>
      <c r="H17944" s="14" t="str">
        <f t="shared" si="2"/>
        <v/>
      </c>
      <c r="I17944" s="15" t="str">
        <f t="shared" si="3"/>
        <v/>
      </c>
    </row>
    <row r="17945">
      <c r="A17945" s="8" t="str">
        <f>IFERROR(__xludf.DUMMYFUNCTION("IF('(INGESTA)Datos_consumo_datadis'!A19510&lt;&gt;"""",SPLIT('(INGESTA)Datos_consumo_datadis'!A:A,"",""),"""")"),"")</f>
        <v/>
      </c>
      <c r="G17945" s="8" t="str">
        <f t="shared" si="1"/>
        <v/>
      </c>
      <c r="H17945" s="14" t="str">
        <f t="shared" si="2"/>
        <v/>
      </c>
      <c r="I17945" s="15" t="str">
        <f t="shared" si="3"/>
        <v/>
      </c>
    </row>
    <row r="17946">
      <c r="A17946" s="8" t="str">
        <f>IFERROR(__xludf.DUMMYFUNCTION("IF('(INGESTA)Datos_consumo_datadis'!A19511&lt;&gt;"""",SPLIT('(INGESTA)Datos_consumo_datadis'!A:A,"",""),"""")"),"")</f>
        <v/>
      </c>
      <c r="G17946" s="8" t="str">
        <f t="shared" si="1"/>
        <v/>
      </c>
      <c r="H17946" s="14" t="str">
        <f t="shared" si="2"/>
        <v/>
      </c>
      <c r="I17946" s="15" t="str">
        <f t="shared" si="3"/>
        <v/>
      </c>
    </row>
    <row r="17947">
      <c r="A17947" s="8" t="str">
        <f>IFERROR(__xludf.DUMMYFUNCTION("IF('(INGESTA)Datos_consumo_datadis'!A19512&lt;&gt;"""",SPLIT('(INGESTA)Datos_consumo_datadis'!A:A,"",""),"""")"),"")</f>
        <v/>
      </c>
      <c r="G17947" s="8" t="str">
        <f t="shared" si="1"/>
        <v/>
      </c>
      <c r="H17947" s="14" t="str">
        <f t="shared" si="2"/>
        <v/>
      </c>
      <c r="I17947" s="15" t="str">
        <f t="shared" si="3"/>
        <v/>
      </c>
    </row>
    <row r="17948">
      <c r="A17948" s="8" t="str">
        <f>IFERROR(__xludf.DUMMYFUNCTION("IF('(INGESTA)Datos_consumo_datadis'!A19513&lt;&gt;"""",SPLIT('(INGESTA)Datos_consumo_datadis'!A:A,"",""),"""")"),"")</f>
        <v/>
      </c>
      <c r="G17948" s="8" t="str">
        <f t="shared" si="1"/>
        <v/>
      </c>
      <c r="H17948" s="14" t="str">
        <f t="shared" si="2"/>
        <v/>
      </c>
      <c r="I17948" s="15" t="str">
        <f t="shared" si="3"/>
        <v/>
      </c>
    </row>
    <row r="17949">
      <c r="A17949" s="8" t="str">
        <f>IFERROR(__xludf.DUMMYFUNCTION("IF('(INGESTA)Datos_consumo_datadis'!A19514&lt;&gt;"""",SPLIT('(INGESTA)Datos_consumo_datadis'!A:A,"",""),"""")"),"")</f>
        <v/>
      </c>
      <c r="G17949" s="8" t="str">
        <f t="shared" si="1"/>
        <v/>
      </c>
      <c r="H17949" s="14" t="str">
        <f t="shared" si="2"/>
        <v/>
      </c>
      <c r="I17949" s="15" t="str">
        <f t="shared" si="3"/>
        <v/>
      </c>
    </row>
    <row r="17950">
      <c r="A17950" s="8" t="str">
        <f>IFERROR(__xludf.DUMMYFUNCTION("IF('(INGESTA)Datos_consumo_datadis'!A19515&lt;&gt;"""",SPLIT('(INGESTA)Datos_consumo_datadis'!A:A,"",""),"""")"),"")</f>
        <v/>
      </c>
      <c r="G17950" s="8" t="str">
        <f t="shared" si="1"/>
        <v/>
      </c>
      <c r="H17950" s="14" t="str">
        <f t="shared" si="2"/>
        <v/>
      </c>
      <c r="I17950" s="15" t="str">
        <f t="shared" si="3"/>
        <v/>
      </c>
    </row>
    <row r="17951">
      <c r="A17951" s="8" t="str">
        <f>IFERROR(__xludf.DUMMYFUNCTION("IF('(INGESTA)Datos_consumo_datadis'!A19516&lt;&gt;"""",SPLIT('(INGESTA)Datos_consumo_datadis'!A:A,"",""),"""")"),"")</f>
        <v/>
      </c>
      <c r="G17951" s="8" t="str">
        <f t="shared" si="1"/>
        <v/>
      </c>
      <c r="H17951" s="14" t="str">
        <f t="shared" si="2"/>
        <v/>
      </c>
      <c r="I17951" s="15" t="str">
        <f t="shared" si="3"/>
        <v/>
      </c>
    </row>
    <row r="17952">
      <c r="A17952" s="8" t="str">
        <f>IFERROR(__xludf.DUMMYFUNCTION("IF('(INGESTA)Datos_consumo_datadis'!A19517&lt;&gt;"""",SPLIT('(INGESTA)Datos_consumo_datadis'!A:A,"",""),"""")"),"")</f>
        <v/>
      </c>
      <c r="G17952" s="8" t="str">
        <f t="shared" si="1"/>
        <v/>
      </c>
      <c r="H17952" s="14" t="str">
        <f t="shared" si="2"/>
        <v/>
      </c>
      <c r="I17952" s="15" t="str">
        <f t="shared" si="3"/>
        <v/>
      </c>
    </row>
    <row r="17953">
      <c r="A17953" s="8" t="str">
        <f>IFERROR(__xludf.DUMMYFUNCTION("IF('(INGESTA)Datos_consumo_datadis'!A19518&lt;&gt;"""",SPLIT('(INGESTA)Datos_consumo_datadis'!A:A,"",""),"""")"),"")</f>
        <v/>
      </c>
      <c r="G17953" s="8" t="str">
        <f t="shared" si="1"/>
        <v/>
      </c>
      <c r="H17953" s="14" t="str">
        <f t="shared" si="2"/>
        <v/>
      </c>
      <c r="I17953" s="15" t="str">
        <f t="shared" si="3"/>
        <v/>
      </c>
    </row>
    <row r="17954">
      <c r="A17954" s="8" t="str">
        <f>IFERROR(__xludf.DUMMYFUNCTION("IF('(INGESTA)Datos_consumo_datadis'!A19519&lt;&gt;"""",SPLIT('(INGESTA)Datos_consumo_datadis'!A:A,"",""),"""")"),"")</f>
        <v/>
      </c>
      <c r="G17954" s="8" t="str">
        <f t="shared" si="1"/>
        <v/>
      </c>
      <c r="H17954" s="14" t="str">
        <f t="shared" si="2"/>
        <v/>
      </c>
      <c r="I17954" s="15" t="str">
        <f t="shared" si="3"/>
        <v/>
      </c>
    </row>
    <row r="17955">
      <c r="A17955" s="8" t="str">
        <f>IFERROR(__xludf.DUMMYFUNCTION("IF('(INGESTA)Datos_consumo_datadis'!A19520&lt;&gt;"""",SPLIT('(INGESTA)Datos_consumo_datadis'!A:A,"",""),"""")"),"")</f>
        <v/>
      </c>
      <c r="G17955" s="8" t="str">
        <f t="shared" si="1"/>
        <v/>
      </c>
      <c r="H17955" s="14" t="str">
        <f t="shared" si="2"/>
        <v/>
      </c>
      <c r="I17955" s="15" t="str">
        <f t="shared" si="3"/>
        <v/>
      </c>
    </row>
    <row r="17956">
      <c r="A17956" s="8" t="str">
        <f>IFERROR(__xludf.DUMMYFUNCTION("IF('(INGESTA)Datos_consumo_datadis'!A19521&lt;&gt;"""",SPLIT('(INGESTA)Datos_consumo_datadis'!A:A,"",""),"""")"),"")</f>
        <v/>
      </c>
      <c r="G17956" s="8" t="str">
        <f t="shared" si="1"/>
        <v/>
      </c>
      <c r="H17956" s="14" t="str">
        <f t="shared" si="2"/>
        <v/>
      </c>
      <c r="I17956" s="15" t="str">
        <f t="shared" si="3"/>
        <v/>
      </c>
    </row>
    <row r="17957">
      <c r="A17957" s="8" t="str">
        <f>IFERROR(__xludf.DUMMYFUNCTION("IF('(INGESTA)Datos_consumo_datadis'!A19522&lt;&gt;"""",SPLIT('(INGESTA)Datos_consumo_datadis'!A:A,"",""),"""")"),"")</f>
        <v/>
      </c>
      <c r="G17957" s="8" t="str">
        <f t="shared" si="1"/>
        <v/>
      </c>
      <c r="H17957" s="14" t="str">
        <f t="shared" si="2"/>
        <v/>
      </c>
      <c r="I17957" s="15" t="str">
        <f t="shared" si="3"/>
        <v/>
      </c>
    </row>
    <row r="17958">
      <c r="A17958" s="8" t="str">
        <f>IFERROR(__xludf.DUMMYFUNCTION("IF('(INGESTA)Datos_consumo_datadis'!A19523&lt;&gt;"""",SPLIT('(INGESTA)Datos_consumo_datadis'!A:A,"",""),"""")"),"")</f>
        <v/>
      </c>
      <c r="G17958" s="8" t="str">
        <f t="shared" si="1"/>
        <v/>
      </c>
      <c r="H17958" s="14" t="str">
        <f t="shared" si="2"/>
        <v/>
      </c>
      <c r="I17958" s="15" t="str">
        <f t="shared" si="3"/>
        <v/>
      </c>
    </row>
    <row r="17959">
      <c r="A17959" s="8" t="str">
        <f>IFERROR(__xludf.DUMMYFUNCTION("IF('(INGESTA)Datos_consumo_datadis'!A19524&lt;&gt;"""",SPLIT('(INGESTA)Datos_consumo_datadis'!A:A,"",""),"""")"),"")</f>
        <v/>
      </c>
      <c r="G17959" s="8" t="str">
        <f t="shared" si="1"/>
        <v/>
      </c>
      <c r="H17959" s="14" t="str">
        <f t="shared" si="2"/>
        <v/>
      </c>
      <c r="I17959" s="15" t="str">
        <f t="shared" si="3"/>
        <v/>
      </c>
    </row>
    <row r="17960">
      <c r="A17960" s="8" t="str">
        <f>IFERROR(__xludf.DUMMYFUNCTION("IF('(INGESTA)Datos_consumo_datadis'!A19525&lt;&gt;"""",SPLIT('(INGESTA)Datos_consumo_datadis'!A:A,"",""),"""")"),"")</f>
        <v/>
      </c>
      <c r="G17960" s="8" t="str">
        <f t="shared" si="1"/>
        <v/>
      </c>
      <c r="H17960" s="14" t="str">
        <f t="shared" si="2"/>
        <v/>
      </c>
      <c r="I17960" s="15" t="str">
        <f t="shared" si="3"/>
        <v/>
      </c>
    </row>
    <row r="17961">
      <c r="A17961" s="8" t="str">
        <f>IFERROR(__xludf.DUMMYFUNCTION("IF('(INGESTA)Datos_consumo_datadis'!A19526&lt;&gt;"""",SPLIT('(INGESTA)Datos_consumo_datadis'!A:A,"",""),"""")"),"")</f>
        <v/>
      </c>
      <c r="G17961" s="8" t="str">
        <f t="shared" si="1"/>
        <v/>
      </c>
      <c r="H17961" s="14" t="str">
        <f t="shared" si="2"/>
        <v/>
      </c>
      <c r="I17961" s="15" t="str">
        <f t="shared" si="3"/>
        <v/>
      </c>
    </row>
    <row r="17962">
      <c r="A17962" s="8" t="str">
        <f>IFERROR(__xludf.DUMMYFUNCTION("IF('(INGESTA)Datos_consumo_datadis'!A19527&lt;&gt;"""",SPLIT('(INGESTA)Datos_consumo_datadis'!A:A,"",""),"""")"),"")</f>
        <v/>
      </c>
      <c r="G17962" s="8" t="str">
        <f t="shared" si="1"/>
        <v/>
      </c>
      <c r="H17962" s="14" t="str">
        <f t="shared" si="2"/>
        <v/>
      </c>
      <c r="I17962" s="15" t="str">
        <f t="shared" si="3"/>
        <v/>
      </c>
    </row>
    <row r="17963">
      <c r="A17963" s="8" t="str">
        <f>IFERROR(__xludf.DUMMYFUNCTION("IF('(INGESTA)Datos_consumo_datadis'!A19528&lt;&gt;"""",SPLIT('(INGESTA)Datos_consumo_datadis'!A:A,"",""),"""")"),"")</f>
        <v/>
      </c>
      <c r="G17963" s="8" t="str">
        <f t="shared" si="1"/>
        <v/>
      </c>
      <c r="H17963" s="14" t="str">
        <f t="shared" si="2"/>
        <v/>
      </c>
      <c r="I17963" s="15" t="str">
        <f t="shared" si="3"/>
        <v/>
      </c>
    </row>
    <row r="17964">
      <c r="A17964" s="8" t="str">
        <f>IFERROR(__xludf.DUMMYFUNCTION("IF('(INGESTA)Datos_consumo_datadis'!A19529&lt;&gt;"""",SPLIT('(INGESTA)Datos_consumo_datadis'!A:A,"",""),"""")"),"")</f>
        <v/>
      </c>
      <c r="G17964" s="8" t="str">
        <f t="shared" si="1"/>
        <v/>
      </c>
      <c r="H17964" s="14" t="str">
        <f t="shared" si="2"/>
        <v/>
      </c>
      <c r="I17964" s="15" t="str">
        <f t="shared" si="3"/>
        <v/>
      </c>
    </row>
    <row r="17965">
      <c r="A17965" s="8" t="str">
        <f>IFERROR(__xludf.DUMMYFUNCTION("IF('(INGESTA)Datos_consumo_datadis'!A19530&lt;&gt;"""",SPLIT('(INGESTA)Datos_consumo_datadis'!A:A,"",""),"""")"),"")</f>
        <v/>
      </c>
      <c r="G17965" s="8" t="str">
        <f t="shared" si="1"/>
        <v/>
      </c>
      <c r="H17965" s="14" t="str">
        <f t="shared" si="2"/>
        <v/>
      </c>
      <c r="I17965" s="15" t="str">
        <f t="shared" si="3"/>
        <v/>
      </c>
    </row>
    <row r="17966">
      <c r="A17966" s="8" t="str">
        <f>IFERROR(__xludf.DUMMYFUNCTION("IF('(INGESTA)Datos_consumo_datadis'!A19531&lt;&gt;"""",SPLIT('(INGESTA)Datos_consumo_datadis'!A:A,"",""),"""")"),"")</f>
        <v/>
      </c>
      <c r="G17966" s="8" t="str">
        <f t="shared" si="1"/>
        <v/>
      </c>
      <c r="H17966" s="14" t="str">
        <f t="shared" si="2"/>
        <v/>
      </c>
      <c r="I17966" s="15" t="str">
        <f t="shared" si="3"/>
        <v/>
      </c>
    </row>
    <row r="17967">
      <c r="A17967" s="8" t="str">
        <f>IFERROR(__xludf.DUMMYFUNCTION("IF('(INGESTA)Datos_consumo_datadis'!A19532&lt;&gt;"""",SPLIT('(INGESTA)Datos_consumo_datadis'!A:A,"",""),"""")"),"")</f>
        <v/>
      </c>
      <c r="G17967" s="8" t="str">
        <f t="shared" si="1"/>
        <v/>
      </c>
      <c r="H17967" s="14" t="str">
        <f t="shared" si="2"/>
        <v/>
      </c>
      <c r="I17967" s="15" t="str">
        <f t="shared" si="3"/>
        <v/>
      </c>
    </row>
    <row r="17968">
      <c r="A17968" s="8" t="str">
        <f>IFERROR(__xludf.DUMMYFUNCTION("IF('(INGESTA)Datos_consumo_datadis'!A19533&lt;&gt;"""",SPLIT('(INGESTA)Datos_consumo_datadis'!A:A,"",""),"""")"),"")</f>
        <v/>
      </c>
      <c r="G17968" s="8" t="str">
        <f t="shared" si="1"/>
        <v/>
      </c>
      <c r="H17968" s="14" t="str">
        <f t="shared" si="2"/>
        <v/>
      </c>
      <c r="I17968" s="15" t="str">
        <f t="shared" si="3"/>
        <v/>
      </c>
    </row>
    <row r="17969">
      <c r="A17969" s="8" t="str">
        <f>IFERROR(__xludf.DUMMYFUNCTION("IF('(INGESTA)Datos_consumo_datadis'!A19534&lt;&gt;"""",SPLIT('(INGESTA)Datos_consumo_datadis'!A:A,"",""),"""")"),"")</f>
        <v/>
      </c>
      <c r="G17969" s="8" t="str">
        <f t="shared" si="1"/>
        <v/>
      </c>
      <c r="H17969" s="14" t="str">
        <f t="shared" si="2"/>
        <v/>
      </c>
      <c r="I17969" s="15" t="str">
        <f t="shared" si="3"/>
        <v/>
      </c>
    </row>
    <row r="17970">
      <c r="A17970" s="8" t="str">
        <f>IFERROR(__xludf.DUMMYFUNCTION("IF('(INGESTA)Datos_consumo_datadis'!A19535&lt;&gt;"""",SPLIT('(INGESTA)Datos_consumo_datadis'!A:A,"",""),"""")"),"")</f>
        <v/>
      </c>
      <c r="G17970" s="8" t="str">
        <f t="shared" si="1"/>
        <v/>
      </c>
      <c r="H17970" s="14" t="str">
        <f t="shared" si="2"/>
        <v/>
      </c>
      <c r="I17970" s="15" t="str">
        <f t="shared" si="3"/>
        <v/>
      </c>
    </row>
    <row r="17971">
      <c r="A17971" s="8" t="str">
        <f>IFERROR(__xludf.DUMMYFUNCTION("IF('(INGESTA)Datos_consumo_datadis'!A19536&lt;&gt;"""",SPLIT('(INGESTA)Datos_consumo_datadis'!A:A,"",""),"""")"),"")</f>
        <v/>
      </c>
      <c r="G17971" s="8" t="str">
        <f t="shared" si="1"/>
        <v/>
      </c>
      <c r="H17971" s="14" t="str">
        <f t="shared" si="2"/>
        <v/>
      </c>
      <c r="I17971" s="15" t="str">
        <f t="shared" si="3"/>
        <v/>
      </c>
    </row>
    <row r="17972">
      <c r="A17972" s="8" t="str">
        <f>IFERROR(__xludf.DUMMYFUNCTION("IF('(INGESTA)Datos_consumo_datadis'!A19537&lt;&gt;"""",SPLIT('(INGESTA)Datos_consumo_datadis'!A:A,"",""),"""")"),"")</f>
        <v/>
      </c>
      <c r="G17972" s="8" t="str">
        <f t="shared" si="1"/>
        <v/>
      </c>
      <c r="H17972" s="14" t="str">
        <f t="shared" si="2"/>
        <v/>
      </c>
      <c r="I17972" s="15" t="str">
        <f t="shared" si="3"/>
        <v/>
      </c>
    </row>
    <row r="17973">
      <c r="A17973" s="8" t="str">
        <f>IFERROR(__xludf.DUMMYFUNCTION("IF('(INGESTA)Datos_consumo_datadis'!A19538&lt;&gt;"""",SPLIT('(INGESTA)Datos_consumo_datadis'!A:A,"",""),"""")"),"")</f>
        <v/>
      </c>
      <c r="G17973" s="8" t="str">
        <f t="shared" si="1"/>
        <v/>
      </c>
      <c r="H17973" s="14" t="str">
        <f t="shared" si="2"/>
        <v/>
      </c>
      <c r="I17973" s="15" t="str">
        <f t="shared" si="3"/>
        <v/>
      </c>
    </row>
    <row r="17974">
      <c r="A17974" s="8" t="str">
        <f>IFERROR(__xludf.DUMMYFUNCTION("IF('(INGESTA)Datos_consumo_datadis'!A19539&lt;&gt;"""",SPLIT('(INGESTA)Datos_consumo_datadis'!A:A,"",""),"""")"),"")</f>
        <v/>
      </c>
      <c r="G17974" s="8" t="str">
        <f t="shared" si="1"/>
        <v/>
      </c>
      <c r="H17974" s="14" t="str">
        <f t="shared" si="2"/>
        <v/>
      </c>
      <c r="I17974" s="15" t="str">
        <f t="shared" si="3"/>
        <v/>
      </c>
    </row>
    <row r="17975">
      <c r="A17975" s="8" t="str">
        <f>IFERROR(__xludf.DUMMYFUNCTION("IF('(INGESTA)Datos_consumo_datadis'!A19540&lt;&gt;"""",SPLIT('(INGESTA)Datos_consumo_datadis'!A:A,"",""),"""")"),"")</f>
        <v/>
      </c>
      <c r="G17975" s="8" t="str">
        <f t="shared" si="1"/>
        <v/>
      </c>
      <c r="H17975" s="14" t="str">
        <f t="shared" si="2"/>
        <v/>
      </c>
      <c r="I17975" s="15" t="str">
        <f t="shared" si="3"/>
        <v/>
      </c>
    </row>
    <row r="17976">
      <c r="A17976" s="8" t="str">
        <f>IFERROR(__xludf.DUMMYFUNCTION("IF('(INGESTA)Datos_consumo_datadis'!A19541&lt;&gt;"""",SPLIT('(INGESTA)Datos_consumo_datadis'!A:A,"",""),"""")"),"")</f>
        <v/>
      </c>
      <c r="G17976" s="8" t="str">
        <f t="shared" si="1"/>
        <v/>
      </c>
      <c r="H17976" s="14" t="str">
        <f t="shared" si="2"/>
        <v/>
      </c>
      <c r="I17976" s="15" t="str">
        <f t="shared" si="3"/>
        <v/>
      </c>
    </row>
    <row r="17977">
      <c r="A17977" s="8" t="str">
        <f>IFERROR(__xludf.DUMMYFUNCTION("IF('(INGESTA)Datos_consumo_datadis'!A19542&lt;&gt;"""",SPLIT('(INGESTA)Datos_consumo_datadis'!A:A,"",""),"""")"),"")</f>
        <v/>
      </c>
      <c r="G17977" s="8" t="str">
        <f t="shared" si="1"/>
        <v/>
      </c>
      <c r="H17977" s="14" t="str">
        <f t="shared" si="2"/>
        <v/>
      </c>
      <c r="I17977" s="15" t="str">
        <f t="shared" si="3"/>
        <v/>
      </c>
    </row>
    <row r="17978">
      <c r="A17978" s="8" t="str">
        <f>IFERROR(__xludf.DUMMYFUNCTION("IF('(INGESTA)Datos_consumo_datadis'!A19543&lt;&gt;"""",SPLIT('(INGESTA)Datos_consumo_datadis'!A:A,"",""),"""")"),"")</f>
        <v/>
      </c>
      <c r="G17978" s="8" t="str">
        <f t="shared" si="1"/>
        <v/>
      </c>
      <c r="H17978" s="14" t="str">
        <f t="shared" si="2"/>
        <v/>
      </c>
      <c r="I17978" s="15" t="str">
        <f t="shared" si="3"/>
        <v/>
      </c>
    </row>
    <row r="17979">
      <c r="A17979" s="8" t="str">
        <f>IFERROR(__xludf.DUMMYFUNCTION("IF('(INGESTA)Datos_consumo_datadis'!A19544&lt;&gt;"""",SPLIT('(INGESTA)Datos_consumo_datadis'!A:A,"",""),"""")"),"")</f>
        <v/>
      </c>
      <c r="G17979" s="8" t="str">
        <f t="shared" si="1"/>
        <v/>
      </c>
      <c r="H17979" s="14" t="str">
        <f t="shared" si="2"/>
        <v/>
      </c>
      <c r="I17979" s="15" t="str">
        <f t="shared" si="3"/>
        <v/>
      </c>
    </row>
    <row r="17980">
      <c r="A17980" s="8" t="str">
        <f>IFERROR(__xludf.DUMMYFUNCTION("IF('(INGESTA)Datos_consumo_datadis'!A19545&lt;&gt;"""",SPLIT('(INGESTA)Datos_consumo_datadis'!A:A,"",""),"""")"),"")</f>
        <v/>
      </c>
      <c r="G17980" s="8" t="str">
        <f t="shared" si="1"/>
        <v/>
      </c>
      <c r="H17980" s="14" t="str">
        <f t="shared" si="2"/>
        <v/>
      </c>
      <c r="I17980" s="15" t="str">
        <f t="shared" si="3"/>
        <v/>
      </c>
    </row>
    <row r="17981">
      <c r="A17981" s="8" t="str">
        <f>IFERROR(__xludf.DUMMYFUNCTION("IF('(INGESTA)Datos_consumo_datadis'!A19546&lt;&gt;"""",SPLIT('(INGESTA)Datos_consumo_datadis'!A:A,"",""),"""")"),"")</f>
        <v/>
      </c>
      <c r="G17981" s="8" t="str">
        <f t="shared" si="1"/>
        <v/>
      </c>
      <c r="H17981" s="14" t="str">
        <f t="shared" si="2"/>
        <v/>
      </c>
      <c r="I17981" s="15" t="str">
        <f t="shared" si="3"/>
        <v/>
      </c>
    </row>
    <row r="17982">
      <c r="A17982" s="8" t="str">
        <f>IFERROR(__xludf.DUMMYFUNCTION("IF('(INGESTA)Datos_consumo_datadis'!A19547&lt;&gt;"""",SPLIT('(INGESTA)Datos_consumo_datadis'!A:A,"",""),"""")"),"")</f>
        <v/>
      </c>
      <c r="G17982" s="8" t="str">
        <f t="shared" si="1"/>
        <v/>
      </c>
      <c r="H17982" s="14" t="str">
        <f t="shared" si="2"/>
        <v/>
      </c>
      <c r="I17982" s="15" t="str">
        <f t="shared" si="3"/>
        <v/>
      </c>
    </row>
    <row r="17983">
      <c r="A17983" s="8" t="str">
        <f>IFERROR(__xludf.DUMMYFUNCTION("IF('(INGESTA)Datos_consumo_datadis'!A19548&lt;&gt;"""",SPLIT('(INGESTA)Datos_consumo_datadis'!A:A,"",""),"""")"),"")</f>
        <v/>
      </c>
      <c r="G17983" s="8" t="str">
        <f t="shared" si="1"/>
        <v/>
      </c>
      <c r="H17983" s="14" t="str">
        <f t="shared" si="2"/>
        <v/>
      </c>
      <c r="I17983" s="15" t="str">
        <f t="shared" si="3"/>
        <v/>
      </c>
    </row>
    <row r="17984">
      <c r="A17984" s="8" t="str">
        <f>IFERROR(__xludf.DUMMYFUNCTION("IF('(INGESTA)Datos_consumo_datadis'!A19549&lt;&gt;"""",SPLIT('(INGESTA)Datos_consumo_datadis'!A:A,"",""),"""")"),"")</f>
        <v/>
      </c>
      <c r="G17984" s="8" t="str">
        <f t="shared" si="1"/>
        <v/>
      </c>
      <c r="H17984" s="14" t="str">
        <f t="shared" si="2"/>
        <v/>
      </c>
      <c r="I17984" s="15" t="str">
        <f t="shared" si="3"/>
        <v/>
      </c>
    </row>
    <row r="17985">
      <c r="A17985" s="8" t="str">
        <f>IFERROR(__xludf.DUMMYFUNCTION("IF('(INGESTA)Datos_consumo_datadis'!A19550&lt;&gt;"""",SPLIT('(INGESTA)Datos_consumo_datadis'!A:A,"",""),"""")"),"")</f>
        <v/>
      </c>
      <c r="G17985" s="8" t="str">
        <f t="shared" si="1"/>
        <v/>
      </c>
      <c r="H17985" s="14" t="str">
        <f t="shared" si="2"/>
        <v/>
      </c>
      <c r="I17985" s="15" t="str">
        <f t="shared" si="3"/>
        <v/>
      </c>
    </row>
    <row r="17986">
      <c r="A17986" s="8" t="str">
        <f>IFERROR(__xludf.DUMMYFUNCTION("IF('(INGESTA)Datos_consumo_datadis'!A19551&lt;&gt;"""",SPLIT('(INGESTA)Datos_consumo_datadis'!A:A,"",""),"""")"),"")</f>
        <v/>
      </c>
      <c r="G17986" s="8" t="str">
        <f t="shared" si="1"/>
        <v/>
      </c>
      <c r="H17986" s="14" t="str">
        <f t="shared" si="2"/>
        <v/>
      </c>
      <c r="I17986" s="15" t="str">
        <f t="shared" si="3"/>
        <v/>
      </c>
    </row>
    <row r="17987">
      <c r="A17987" s="8" t="str">
        <f>IFERROR(__xludf.DUMMYFUNCTION("IF('(INGESTA)Datos_consumo_datadis'!A19552&lt;&gt;"""",SPLIT('(INGESTA)Datos_consumo_datadis'!A:A,"",""),"""")"),"")</f>
        <v/>
      </c>
      <c r="G17987" s="8" t="str">
        <f t="shared" si="1"/>
        <v/>
      </c>
      <c r="H17987" s="14" t="str">
        <f t="shared" si="2"/>
        <v/>
      </c>
      <c r="I17987" s="15" t="str">
        <f t="shared" si="3"/>
        <v/>
      </c>
    </row>
    <row r="17988">
      <c r="A17988" s="8" t="str">
        <f>IFERROR(__xludf.DUMMYFUNCTION("IF('(INGESTA)Datos_consumo_datadis'!A19553&lt;&gt;"""",SPLIT('(INGESTA)Datos_consumo_datadis'!A:A,"",""),"""")"),"")</f>
        <v/>
      </c>
      <c r="G17988" s="8" t="str">
        <f t="shared" si="1"/>
        <v/>
      </c>
      <c r="H17988" s="14" t="str">
        <f t="shared" si="2"/>
        <v/>
      </c>
      <c r="I17988" s="15" t="str">
        <f t="shared" si="3"/>
        <v/>
      </c>
    </row>
    <row r="17989">
      <c r="A17989" s="8" t="str">
        <f>IFERROR(__xludf.DUMMYFUNCTION("IF('(INGESTA)Datos_consumo_datadis'!A19554&lt;&gt;"""",SPLIT('(INGESTA)Datos_consumo_datadis'!A:A,"",""),"""")"),"")</f>
        <v/>
      </c>
      <c r="G17989" s="8" t="str">
        <f t="shared" si="1"/>
        <v/>
      </c>
      <c r="H17989" s="14" t="str">
        <f t="shared" si="2"/>
        <v/>
      </c>
      <c r="I17989" s="15" t="str">
        <f t="shared" si="3"/>
        <v/>
      </c>
    </row>
    <row r="17990">
      <c r="A17990" s="8" t="str">
        <f>IFERROR(__xludf.DUMMYFUNCTION("IF('(INGESTA)Datos_consumo_datadis'!A19555&lt;&gt;"""",SPLIT('(INGESTA)Datos_consumo_datadis'!A:A,"",""),"""")"),"")</f>
        <v/>
      </c>
      <c r="G17990" s="8" t="str">
        <f t="shared" si="1"/>
        <v/>
      </c>
      <c r="H17990" s="14" t="str">
        <f t="shared" si="2"/>
        <v/>
      </c>
      <c r="I17990" s="15" t="str">
        <f t="shared" si="3"/>
        <v/>
      </c>
    </row>
    <row r="17991">
      <c r="A17991" s="8" t="str">
        <f>IFERROR(__xludf.DUMMYFUNCTION("IF('(INGESTA)Datos_consumo_datadis'!A19556&lt;&gt;"""",SPLIT('(INGESTA)Datos_consumo_datadis'!A:A,"",""),"""")"),"")</f>
        <v/>
      </c>
      <c r="G17991" s="8" t="str">
        <f t="shared" si="1"/>
        <v/>
      </c>
      <c r="H17991" s="14" t="str">
        <f t="shared" si="2"/>
        <v/>
      </c>
      <c r="I17991" s="15" t="str">
        <f t="shared" si="3"/>
        <v/>
      </c>
    </row>
    <row r="17992">
      <c r="A17992" s="8" t="str">
        <f>IFERROR(__xludf.DUMMYFUNCTION("IF('(INGESTA)Datos_consumo_datadis'!A19557&lt;&gt;"""",SPLIT('(INGESTA)Datos_consumo_datadis'!A:A,"",""),"""")"),"")</f>
        <v/>
      </c>
      <c r="G17992" s="8" t="str">
        <f t="shared" si="1"/>
        <v/>
      </c>
      <c r="H17992" s="14" t="str">
        <f t="shared" si="2"/>
        <v/>
      </c>
      <c r="I17992" s="15" t="str">
        <f t="shared" si="3"/>
        <v/>
      </c>
    </row>
    <row r="17993">
      <c r="A17993" s="8" t="str">
        <f>IFERROR(__xludf.DUMMYFUNCTION("IF('(INGESTA)Datos_consumo_datadis'!A19558&lt;&gt;"""",SPLIT('(INGESTA)Datos_consumo_datadis'!A:A,"",""),"""")"),"")</f>
        <v/>
      </c>
      <c r="G17993" s="8" t="str">
        <f t="shared" si="1"/>
        <v/>
      </c>
      <c r="H17993" s="14" t="str">
        <f t="shared" si="2"/>
        <v/>
      </c>
      <c r="I17993" s="15" t="str">
        <f t="shared" si="3"/>
        <v/>
      </c>
    </row>
    <row r="17994">
      <c r="A17994" s="8" t="str">
        <f>IFERROR(__xludf.DUMMYFUNCTION("IF('(INGESTA)Datos_consumo_datadis'!A19559&lt;&gt;"""",SPLIT('(INGESTA)Datos_consumo_datadis'!A:A,"",""),"""")"),"")</f>
        <v/>
      </c>
      <c r="G17994" s="8" t="str">
        <f t="shared" si="1"/>
        <v/>
      </c>
      <c r="H17994" s="14" t="str">
        <f t="shared" si="2"/>
        <v/>
      </c>
      <c r="I17994" s="15" t="str">
        <f t="shared" si="3"/>
        <v/>
      </c>
    </row>
    <row r="17995">
      <c r="A17995" s="8" t="str">
        <f>IFERROR(__xludf.DUMMYFUNCTION("IF('(INGESTA)Datos_consumo_datadis'!A19560&lt;&gt;"""",SPLIT('(INGESTA)Datos_consumo_datadis'!A:A,"",""),"""")"),"")</f>
        <v/>
      </c>
      <c r="G17995" s="8" t="str">
        <f t="shared" si="1"/>
        <v/>
      </c>
      <c r="H17995" s="14" t="str">
        <f t="shared" si="2"/>
        <v/>
      </c>
      <c r="I17995" s="15" t="str">
        <f t="shared" si="3"/>
        <v/>
      </c>
    </row>
    <row r="17996">
      <c r="A17996" s="8" t="str">
        <f>IFERROR(__xludf.DUMMYFUNCTION("IF('(INGESTA)Datos_consumo_datadis'!A19561&lt;&gt;"""",SPLIT('(INGESTA)Datos_consumo_datadis'!A:A,"",""),"""")"),"")</f>
        <v/>
      </c>
      <c r="G17996" s="8" t="str">
        <f t="shared" si="1"/>
        <v/>
      </c>
      <c r="H17996" s="14" t="str">
        <f t="shared" si="2"/>
        <v/>
      </c>
      <c r="I17996" s="15" t="str">
        <f t="shared" si="3"/>
        <v/>
      </c>
    </row>
    <row r="17997">
      <c r="A17997" s="8" t="str">
        <f>IFERROR(__xludf.DUMMYFUNCTION("IF('(INGESTA)Datos_consumo_datadis'!A19562&lt;&gt;"""",SPLIT('(INGESTA)Datos_consumo_datadis'!A:A,"",""),"""")"),"")</f>
        <v/>
      </c>
      <c r="G17997" s="8" t="str">
        <f t="shared" si="1"/>
        <v/>
      </c>
      <c r="H17997" s="14" t="str">
        <f t="shared" si="2"/>
        <v/>
      </c>
      <c r="I17997" s="15" t="str">
        <f t="shared" si="3"/>
        <v/>
      </c>
    </row>
    <row r="17998">
      <c r="A17998" s="8" t="str">
        <f>IFERROR(__xludf.DUMMYFUNCTION("IF('(INGESTA)Datos_consumo_datadis'!A19563&lt;&gt;"""",SPLIT('(INGESTA)Datos_consumo_datadis'!A:A,"",""),"""")"),"")</f>
        <v/>
      </c>
      <c r="G17998" s="8" t="str">
        <f t="shared" si="1"/>
        <v/>
      </c>
      <c r="H17998" s="14" t="str">
        <f t="shared" si="2"/>
        <v/>
      </c>
      <c r="I17998" s="15" t="str">
        <f t="shared" si="3"/>
        <v/>
      </c>
    </row>
    <row r="17999">
      <c r="A17999" s="8" t="str">
        <f>IFERROR(__xludf.DUMMYFUNCTION("IF('(INGESTA)Datos_consumo_datadis'!A19564&lt;&gt;"""",SPLIT('(INGESTA)Datos_consumo_datadis'!A:A,"",""),"""")"),"")</f>
        <v/>
      </c>
      <c r="G17999" s="8" t="str">
        <f t="shared" si="1"/>
        <v/>
      </c>
      <c r="H17999" s="14" t="str">
        <f t="shared" si="2"/>
        <v/>
      </c>
      <c r="I17999" s="15" t="str">
        <f t="shared" si="3"/>
        <v/>
      </c>
    </row>
    <row r="18000">
      <c r="A18000" s="8" t="str">
        <f>IFERROR(__xludf.DUMMYFUNCTION("IF('(INGESTA)Datos_consumo_datadis'!A19565&lt;&gt;"""",SPLIT('(INGESTA)Datos_consumo_datadis'!A:A,"",""),"""")"),"")</f>
        <v/>
      </c>
      <c r="G18000" s="8" t="str">
        <f t="shared" si="1"/>
        <v/>
      </c>
      <c r="H18000" s="14" t="str">
        <f t="shared" si="2"/>
        <v/>
      </c>
      <c r="I18000" s="15" t="str">
        <f t="shared" si="3"/>
        <v/>
      </c>
    </row>
    <row r="18001">
      <c r="A18001" s="8" t="str">
        <f>IFERROR(__xludf.DUMMYFUNCTION("IF('(INGESTA)Datos_consumo_datadis'!A19566&lt;&gt;"""",SPLIT('(INGESTA)Datos_consumo_datadis'!A:A,"",""),"""")"),"")</f>
        <v/>
      </c>
      <c r="G18001" s="8" t="str">
        <f t="shared" si="1"/>
        <v/>
      </c>
      <c r="H18001" s="14" t="str">
        <f t="shared" si="2"/>
        <v/>
      </c>
      <c r="I18001" s="15" t="str">
        <f t="shared" si="3"/>
        <v/>
      </c>
    </row>
    <row r="18002">
      <c r="A18002" s="8" t="str">
        <f>IFERROR(__xludf.DUMMYFUNCTION("IF('(INGESTA)Datos_consumo_datadis'!A19567&lt;&gt;"""",SPLIT('(INGESTA)Datos_consumo_datadis'!A:A,"",""),"""")"),"")</f>
        <v/>
      </c>
      <c r="G18002" s="8" t="str">
        <f t="shared" si="1"/>
        <v/>
      </c>
      <c r="H18002" s="14" t="str">
        <f t="shared" si="2"/>
        <v/>
      </c>
      <c r="I18002" s="15" t="str">
        <f t="shared" si="3"/>
        <v/>
      </c>
    </row>
    <row r="18003">
      <c r="A18003" s="8" t="str">
        <f>IFERROR(__xludf.DUMMYFUNCTION("IF('(INGESTA)Datos_consumo_datadis'!A19568&lt;&gt;"""",SPLIT('(INGESTA)Datos_consumo_datadis'!A:A,"",""),"""")"),"")</f>
        <v/>
      </c>
      <c r="G18003" s="8" t="str">
        <f t="shared" si="1"/>
        <v/>
      </c>
      <c r="H18003" s="14" t="str">
        <f t="shared" si="2"/>
        <v/>
      </c>
      <c r="I18003" s="15" t="str">
        <f t="shared" si="3"/>
        <v/>
      </c>
    </row>
    <row r="18004">
      <c r="A18004" s="8" t="str">
        <f>IFERROR(__xludf.DUMMYFUNCTION("IF('(INGESTA)Datos_consumo_datadis'!A19569&lt;&gt;"""",SPLIT('(INGESTA)Datos_consumo_datadis'!A:A,"",""),"""")"),"")</f>
        <v/>
      </c>
      <c r="G18004" s="8" t="str">
        <f t="shared" si="1"/>
        <v/>
      </c>
      <c r="H18004" s="14" t="str">
        <f t="shared" si="2"/>
        <v/>
      </c>
      <c r="I18004" s="15" t="str">
        <f t="shared" si="3"/>
        <v/>
      </c>
    </row>
    <row r="18005">
      <c r="A18005" s="8" t="str">
        <f>IFERROR(__xludf.DUMMYFUNCTION("IF('(INGESTA)Datos_consumo_datadis'!A19570&lt;&gt;"""",SPLIT('(INGESTA)Datos_consumo_datadis'!A:A,"",""),"""")"),"")</f>
        <v/>
      </c>
      <c r="G18005" s="8" t="str">
        <f t="shared" si="1"/>
        <v/>
      </c>
      <c r="H18005" s="14" t="str">
        <f t="shared" si="2"/>
        <v/>
      </c>
      <c r="I18005" s="15" t="str">
        <f t="shared" si="3"/>
        <v/>
      </c>
    </row>
    <row r="18006">
      <c r="A18006" s="8" t="str">
        <f>IFERROR(__xludf.DUMMYFUNCTION("IF('(INGESTA)Datos_consumo_datadis'!A19571&lt;&gt;"""",SPLIT('(INGESTA)Datos_consumo_datadis'!A:A,"",""),"""")"),"")</f>
        <v/>
      </c>
      <c r="G18006" s="8" t="str">
        <f t="shared" si="1"/>
        <v/>
      </c>
      <c r="H18006" s="14" t="str">
        <f t="shared" si="2"/>
        <v/>
      </c>
      <c r="I18006" s="15" t="str">
        <f t="shared" si="3"/>
        <v/>
      </c>
    </row>
    <row r="18007">
      <c r="A18007" s="8" t="str">
        <f>IFERROR(__xludf.DUMMYFUNCTION("IF('(INGESTA)Datos_consumo_datadis'!A19572&lt;&gt;"""",SPLIT('(INGESTA)Datos_consumo_datadis'!A:A,"",""),"""")"),"")</f>
        <v/>
      </c>
      <c r="G18007" s="8" t="str">
        <f t="shared" si="1"/>
        <v/>
      </c>
      <c r="H18007" s="14" t="str">
        <f t="shared" si="2"/>
        <v/>
      </c>
      <c r="I18007" s="15" t="str">
        <f t="shared" si="3"/>
        <v/>
      </c>
    </row>
    <row r="18008">
      <c r="A18008" s="8" t="str">
        <f>IFERROR(__xludf.DUMMYFUNCTION("IF('(INGESTA)Datos_consumo_datadis'!A19573&lt;&gt;"""",SPLIT('(INGESTA)Datos_consumo_datadis'!A:A,"",""),"""")"),"")</f>
        <v/>
      </c>
      <c r="G18008" s="8" t="str">
        <f t="shared" si="1"/>
        <v/>
      </c>
      <c r="H18008" s="14" t="str">
        <f t="shared" si="2"/>
        <v/>
      </c>
      <c r="I18008" s="15" t="str">
        <f t="shared" si="3"/>
        <v/>
      </c>
    </row>
    <row r="18009">
      <c r="A18009" s="8" t="str">
        <f>IFERROR(__xludf.DUMMYFUNCTION("IF('(INGESTA)Datos_consumo_datadis'!A19574&lt;&gt;"""",SPLIT('(INGESTA)Datos_consumo_datadis'!A:A,"",""),"""")"),"")</f>
        <v/>
      </c>
      <c r="G18009" s="8" t="str">
        <f t="shared" si="1"/>
        <v/>
      </c>
      <c r="H18009" s="14" t="str">
        <f t="shared" si="2"/>
        <v/>
      </c>
      <c r="I18009" s="15" t="str">
        <f t="shared" si="3"/>
        <v/>
      </c>
    </row>
    <row r="18010">
      <c r="A18010" s="8" t="str">
        <f>IFERROR(__xludf.DUMMYFUNCTION("IF('(INGESTA)Datos_consumo_datadis'!A19575&lt;&gt;"""",SPLIT('(INGESTA)Datos_consumo_datadis'!A:A,"",""),"""")"),"")</f>
        <v/>
      </c>
      <c r="G18010" s="8" t="str">
        <f t="shared" si="1"/>
        <v/>
      </c>
      <c r="H18010" s="14" t="str">
        <f t="shared" si="2"/>
        <v/>
      </c>
      <c r="I18010" s="15" t="str">
        <f t="shared" si="3"/>
        <v/>
      </c>
    </row>
    <row r="18011">
      <c r="A18011" s="8" t="str">
        <f>IFERROR(__xludf.DUMMYFUNCTION("IF('(INGESTA)Datos_consumo_datadis'!A19576&lt;&gt;"""",SPLIT('(INGESTA)Datos_consumo_datadis'!A:A,"",""),"""")"),"")</f>
        <v/>
      </c>
      <c r="G18011" s="8" t="str">
        <f t="shared" si="1"/>
        <v/>
      </c>
      <c r="H18011" s="14" t="str">
        <f t="shared" si="2"/>
        <v/>
      </c>
      <c r="I18011" s="15" t="str">
        <f t="shared" si="3"/>
        <v/>
      </c>
    </row>
    <row r="18012">
      <c r="A18012" s="8" t="str">
        <f>IFERROR(__xludf.DUMMYFUNCTION("IF('(INGESTA)Datos_consumo_datadis'!A19577&lt;&gt;"""",SPLIT('(INGESTA)Datos_consumo_datadis'!A:A,"",""),"""")"),"")</f>
        <v/>
      </c>
      <c r="G18012" s="8" t="str">
        <f t="shared" si="1"/>
        <v/>
      </c>
      <c r="H18012" s="14" t="str">
        <f t="shared" si="2"/>
        <v/>
      </c>
      <c r="I18012" s="15" t="str">
        <f t="shared" si="3"/>
        <v/>
      </c>
    </row>
    <row r="18013">
      <c r="A18013" s="8" t="str">
        <f>IFERROR(__xludf.DUMMYFUNCTION("IF('(INGESTA)Datos_consumo_datadis'!A19578&lt;&gt;"""",SPLIT('(INGESTA)Datos_consumo_datadis'!A:A,"",""),"""")"),"")</f>
        <v/>
      </c>
      <c r="G18013" s="8" t="str">
        <f t="shared" si="1"/>
        <v/>
      </c>
      <c r="H18013" s="14" t="str">
        <f t="shared" si="2"/>
        <v/>
      </c>
      <c r="I18013" s="15" t="str">
        <f t="shared" si="3"/>
        <v/>
      </c>
    </row>
    <row r="18014">
      <c r="A18014" s="8" t="str">
        <f>IFERROR(__xludf.DUMMYFUNCTION("IF('(INGESTA)Datos_consumo_datadis'!A19579&lt;&gt;"""",SPLIT('(INGESTA)Datos_consumo_datadis'!A:A,"",""),"""")"),"")</f>
        <v/>
      </c>
      <c r="G18014" s="8" t="str">
        <f t="shared" si="1"/>
        <v/>
      </c>
      <c r="H18014" s="14" t="str">
        <f t="shared" si="2"/>
        <v/>
      </c>
      <c r="I18014" s="15" t="str">
        <f t="shared" si="3"/>
        <v/>
      </c>
    </row>
    <row r="18015">
      <c r="A18015" s="8" t="str">
        <f>IFERROR(__xludf.DUMMYFUNCTION("IF('(INGESTA)Datos_consumo_datadis'!A19580&lt;&gt;"""",SPLIT('(INGESTA)Datos_consumo_datadis'!A:A,"",""),"""")"),"")</f>
        <v/>
      </c>
      <c r="G18015" s="8" t="str">
        <f t="shared" si="1"/>
        <v/>
      </c>
      <c r="H18015" s="14" t="str">
        <f t="shared" si="2"/>
        <v/>
      </c>
      <c r="I18015" s="15" t="str">
        <f t="shared" si="3"/>
        <v/>
      </c>
    </row>
    <row r="18016">
      <c r="A18016" s="8" t="str">
        <f>IFERROR(__xludf.DUMMYFUNCTION("IF('(INGESTA)Datos_consumo_datadis'!A19581&lt;&gt;"""",SPLIT('(INGESTA)Datos_consumo_datadis'!A:A,"",""),"""")"),"")</f>
        <v/>
      </c>
      <c r="G18016" s="8" t="str">
        <f t="shared" si="1"/>
        <v/>
      </c>
      <c r="H18016" s="14" t="str">
        <f t="shared" si="2"/>
        <v/>
      </c>
      <c r="I18016" s="15" t="str">
        <f t="shared" si="3"/>
        <v/>
      </c>
    </row>
    <row r="18017">
      <c r="A18017" s="8" t="str">
        <f>IFERROR(__xludf.DUMMYFUNCTION("IF('(INGESTA)Datos_consumo_datadis'!A19582&lt;&gt;"""",SPLIT('(INGESTA)Datos_consumo_datadis'!A:A,"",""),"""")"),"")</f>
        <v/>
      </c>
      <c r="G18017" s="8" t="str">
        <f t="shared" si="1"/>
        <v/>
      </c>
      <c r="H18017" s="14" t="str">
        <f t="shared" si="2"/>
        <v/>
      </c>
      <c r="I18017" s="15" t="str">
        <f t="shared" si="3"/>
        <v/>
      </c>
    </row>
    <row r="18018">
      <c r="A18018" s="8" t="str">
        <f>IFERROR(__xludf.DUMMYFUNCTION("IF('(INGESTA)Datos_consumo_datadis'!A19583&lt;&gt;"""",SPLIT('(INGESTA)Datos_consumo_datadis'!A:A,"",""),"""")"),"")</f>
        <v/>
      </c>
      <c r="G18018" s="8" t="str">
        <f t="shared" si="1"/>
        <v/>
      </c>
      <c r="H18018" s="14" t="str">
        <f t="shared" si="2"/>
        <v/>
      </c>
      <c r="I18018" s="15" t="str">
        <f t="shared" si="3"/>
        <v/>
      </c>
    </row>
    <row r="18019">
      <c r="A18019" s="8" t="str">
        <f>IFERROR(__xludf.DUMMYFUNCTION("IF('(INGESTA)Datos_consumo_datadis'!A19584&lt;&gt;"""",SPLIT('(INGESTA)Datos_consumo_datadis'!A:A,"",""),"""")"),"")</f>
        <v/>
      </c>
      <c r="G18019" s="8" t="str">
        <f t="shared" si="1"/>
        <v/>
      </c>
      <c r="H18019" s="14" t="str">
        <f t="shared" si="2"/>
        <v/>
      </c>
      <c r="I18019" s="15" t="str">
        <f t="shared" si="3"/>
        <v/>
      </c>
    </row>
    <row r="18020">
      <c r="A18020" s="8" t="str">
        <f>IFERROR(__xludf.DUMMYFUNCTION("IF('(INGESTA)Datos_consumo_datadis'!A19585&lt;&gt;"""",SPLIT('(INGESTA)Datos_consumo_datadis'!A:A,"",""),"""")"),"")</f>
        <v/>
      </c>
      <c r="G18020" s="8" t="str">
        <f t="shared" si="1"/>
        <v/>
      </c>
      <c r="H18020" s="14" t="str">
        <f t="shared" si="2"/>
        <v/>
      </c>
      <c r="I18020" s="15" t="str">
        <f t="shared" si="3"/>
        <v/>
      </c>
    </row>
    <row r="18021">
      <c r="A18021" s="8" t="str">
        <f>IFERROR(__xludf.DUMMYFUNCTION("IF('(INGESTA)Datos_consumo_datadis'!A19586&lt;&gt;"""",SPLIT('(INGESTA)Datos_consumo_datadis'!A:A,"",""),"""")"),"")</f>
        <v/>
      </c>
      <c r="G18021" s="8" t="str">
        <f t="shared" si="1"/>
        <v/>
      </c>
      <c r="H18021" s="14" t="str">
        <f t="shared" si="2"/>
        <v/>
      </c>
      <c r="I18021" s="15" t="str">
        <f t="shared" si="3"/>
        <v/>
      </c>
    </row>
    <row r="18022">
      <c r="A18022" s="8" t="str">
        <f>IFERROR(__xludf.DUMMYFUNCTION("IF('(INGESTA)Datos_consumo_datadis'!A19587&lt;&gt;"""",SPLIT('(INGESTA)Datos_consumo_datadis'!A:A,"",""),"""")"),"")</f>
        <v/>
      </c>
      <c r="G18022" s="8" t="str">
        <f t="shared" si="1"/>
        <v/>
      </c>
      <c r="H18022" s="14" t="str">
        <f t="shared" si="2"/>
        <v/>
      </c>
      <c r="I18022" s="15" t="str">
        <f t="shared" si="3"/>
        <v/>
      </c>
    </row>
    <row r="18023">
      <c r="A18023" s="8" t="str">
        <f>IFERROR(__xludf.DUMMYFUNCTION("IF('(INGESTA)Datos_consumo_datadis'!A19588&lt;&gt;"""",SPLIT('(INGESTA)Datos_consumo_datadis'!A:A,"",""),"""")"),"")</f>
        <v/>
      </c>
      <c r="G18023" s="8" t="str">
        <f t="shared" si="1"/>
        <v/>
      </c>
      <c r="H18023" s="14" t="str">
        <f t="shared" si="2"/>
        <v/>
      </c>
      <c r="I18023" s="15" t="str">
        <f t="shared" si="3"/>
        <v/>
      </c>
    </row>
    <row r="18024">
      <c r="A18024" s="8" t="str">
        <f>IFERROR(__xludf.DUMMYFUNCTION("IF('(INGESTA)Datos_consumo_datadis'!A19589&lt;&gt;"""",SPLIT('(INGESTA)Datos_consumo_datadis'!A:A,"",""),"""")"),"")</f>
        <v/>
      </c>
      <c r="G18024" s="8" t="str">
        <f t="shared" si="1"/>
        <v/>
      </c>
      <c r="H18024" s="14" t="str">
        <f t="shared" si="2"/>
        <v/>
      </c>
      <c r="I18024" s="15" t="str">
        <f t="shared" si="3"/>
        <v/>
      </c>
    </row>
    <row r="18025">
      <c r="A18025" s="8" t="str">
        <f>IFERROR(__xludf.DUMMYFUNCTION("IF('(INGESTA)Datos_consumo_datadis'!A19590&lt;&gt;"""",SPLIT('(INGESTA)Datos_consumo_datadis'!A:A,"",""),"""")"),"")</f>
        <v/>
      </c>
      <c r="G18025" s="8" t="str">
        <f t="shared" si="1"/>
        <v/>
      </c>
      <c r="H18025" s="14" t="str">
        <f t="shared" si="2"/>
        <v/>
      </c>
      <c r="I18025" s="15" t="str">
        <f t="shared" si="3"/>
        <v/>
      </c>
    </row>
    <row r="18026">
      <c r="A18026" s="8" t="str">
        <f>IFERROR(__xludf.DUMMYFUNCTION("IF('(INGESTA)Datos_consumo_datadis'!A19591&lt;&gt;"""",SPLIT('(INGESTA)Datos_consumo_datadis'!A:A,"",""),"""")"),"")</f>
        <v/>
      </c>
      <c r="G18026" s="8" t="str">
        <f t="shared" si="1"/>
        <v/>
      </c>
      <c r="H18026" s="14" t="str">
        <f t="shared" si="2"/>
        <v/>
      </c>
      <c r="I18026" s="15" t="str">
        <f t="shared" si="3"/>
        <v/>
      </c>
    </row>
    <row r="18027">
      <c r="A18027" s="8" t="str">
        <f>IFERROR(__xludf.DUMMYFUNCTION("IF('(INGESTA)Datos_consumo_datadis'!A19592&lt;&gt;"""",SPLIT('(INGESTA)Datos_consumo_datadis'!A:A,"",""),"""")"),"")</f>
        <v/>
      </c>
      <c r="G18027" s="8" t="str">
        <f t="shared" si="1"/>
        <v/>
      </c>
      <c r="H18027" s="14" t="str">
        <f t="shared" si="2"/>
        <v/>
      </c>
      <c r="I18027" s="15" t="str">
        <f t="shared" si="3"/>
        <v/>
      </c>
    </row>
    <row r="18028">
      <c r="A18028" s="8" t="str">
        <f>IFERROR(__xludf.DUMMYFUNCTION("IF('(INGESTA)Datos_consumo_datadis'!A19593&lt;&gt;"""",SPLIT('(INGESTA)Datos_consumo_datadis'!A:A,"",""),"""")"),"")</f>
        <v/>
      </c>
      <c r="G18028" s="8" t="str">
        <f t="shared" si="1"/>
        <v/>
      </c>
      <c r="H18028" s="14" t="str">
        <f t="shared" si="2"/>
        <v/>
      </c>
      <c r="I18028" s="15" t="str">
        <f t="shared" si="3"/>
        <v/>
      </c>
    </row>
    <row r="18029">
      <c r="A18029" s="8" t="str">
        <f>IFERROR(__xludf.DUMMYFUNCTION("IF('(INGESTA)Datos_consumo_datadis'!A19594&lt;&gt;"""",SPLIT('(INGESTA)Datos_consumo_datadis'!A:A,"",""),"""")"),"")</f>
        <v/>
      </c>
      <c r="G18029" s="8" t="str">
        <f t="shared" si="1"/>
        <v/>
      </c>
      <c r="H18029" s="14" t="str">
        <f t="shared" si="2"/>
        <v/>
      </c>
      <c r="I18029" s="15" t="str">
        <f t="shared" si="3"/>
        <v/>
      </c>
    </row>
    <row r="18030">
      <c r="A18030" s="8" t="str">
        <f>IFERROR(__xludf.DUMMYFUNCTION("IF('(INGESTA)Datos_consumo_datadis'!A19595&lt;&gt;"""",SPLIT('(INGESTA)Datos_consumo_datadis'!A:A,"",""),"""")"),"")</f>
        <v/>
      </c>
      <c r="G18030" s="8" t="str">
        <f t="shared" si="1"/>
        <v/>
      </c>
      <c r="H18030" s="14" t="str">
        <f t="shared" si="2"/>
        <v/>
      </c>
      <c r="I18030" s="15" t="str">
        <f t="shared" si="3"/>
        <v/>
      </c>
    </row>
    <row r="18031">
      <c r="A18031" s="8" t="str">
        <f>IFERROR(__xludf.DUMMYFUNCTION("IF('(INGESTA)Datos_consumo_datadis'!A19596&lt;&gt;"""",SPLIT('(INGESTA)Datos_consumo_datadis'!A:A,"",""),"""")"),"")</f>
        <v/>
      </c>
      <c r="G18031" s="8" t="str">
        <f t="shared" si="1"/>
        <v/>
      </c>
      <c r="H18031" s="14" t="str">
        <f t="shared" si="2"/>
        <v/>
      </c>
      <c r="I18031" s="15" t="str">
        <f t="shared" si="3"/>
        <v/>
      </c>
    </row>
    <row r="18032">
      <c r="A18032" s="8" t="str">
        <f>IFERROR(__xludf.DUMMYFUNCTION("IF('(INGESTA)Datos_consumo_datadis'!A19597&lt;&gt;"""",SPLIT('(INGESTA)Datos_consumo_datadis'!A:A,"",""),"""")"),"")</f>
        <v/>
      </c>
      <c r="G18032" s="8" t="str">
        <f t="shared" si="1"/>
        <v/>
      </c>
      <c r="H18032" s="14" t="str">
        <f t="shared" si="2"/>
        <v/>
      </c>
      <c r="I18032" s="15" t="str">
        <f t="shared" si="3"/>
        <v/>
      </c>
    </row>
    <row r="18033">
      <c r="A18033" s="8" t="str">
        <f>IFERROR(__xludf.DUMMYFUNCTION("IF('(INGESTA)Datos_consumo_datadis'!A19598&lt;&gt;"""",SPLIT('(INGESTA)Datos_consumo_datadis'!A:A,"",""),"""")"),"")</f>
        <v/>
      </c>
      <c r="G18033" s="8" t="str">
        <f t="shared" si="1"/>
        <v/>
      </c>
      <c r="H18033" s="14" t="str">
        <f t="shared" si="2"/>
        <v/>
      </c>
      <c r="I18033" s="15" t="str">
        <f t="shared" si="3"/>
        <v/>
      </c>
    </row>
    <row r="18034">
      <c r="A18034" s="8" t="str">
        <f>IFERROR(__xludf.DUMMYFUNCTION("IF('(INGESTA)Datos_consumo_datadis'!A19599&lt;&gt;"""",SPLIT('(INGESTA)Datos_consumo_datadis'!A:A,"",""),"""")"),"")</f>
        <v/>
      </c>
      <c r="G18034" s="8" t="str">
        <f t="shared" si="1"/>
        <v/>
      </c>
      <c r="H18034" s="14" t="str">
        <f t="shared" si="2"/>
        <v/>
      </c>
      <c r="I18034" s="15" t="str">
        <f t="shared" si="3"/>
        <v/>
      </c>
    </row>
    <row r="18035">
      <c r="A18035" s="8" t="str">
        <f>IFERROR(__xludf.DUMMYFUNCTION("IF('(INGESTA)Datos_consumo_datadis'!A19600&lt;&gt;"""",SPLIT('(INGESTA)Datos_consumo_datadis'!A:A,"",""),"""")"),"")</f>
        <v/>
      </c>
      <c r="G18035" s="8" t="str">
        <f t="shared" si="1"/>
        <v/>
      </c>
      <c r="H18035" s="14" t="str">
        <f t="shared" si="2"/>
        <v/>
      </c>
      <c r="I18035" s="15" t="str">
        <f t="shared" si="3"/>
        <v/>
      </c>
    </row>
    <row r="18036">
      <c r="A18036" s="8" t="str">
        <f>IFERROR(__xludf.DUMMYFUNCTION("IF('(INGESTA)Datos_consumo_datadis'!A19601&lt;&gt;"""",SPLIT('(INGESTA)Datos_consumo_datadis'!A:A,"",""),"""")"),"")</f>
        <v/>
      </c>
      <c r="G18036" s="8" t="str">
        <f t="shared" si="1"/>
        <v/>
      </c>
      <c r="H18036" s="14" t="str">
        <f t="shared" si="2"/>
        <v/>
      </c>
      <c r="I18036" s="15" t="str">
        <f t="shared" si="3"/>
        <v/>
      </c>
    </row>
    <row r="18037">
      <c r="A18037" s="8" t="str">
        <f>IFERROR(__xludf.DUMMYFUNCTION("IF('(INGESTA)Datos_consumo_datadis'!A19602&lt;&gt;"""",SPLIT('(INGESTA)Datos_consumo_datadis'!A:A,"",""),"""")"),"")</f>
        <v/>
      </c>
      <c r="G18037" s="8" t="str">
        <f t="shared" si="1"/>
        <v/>
      </c>
      <c r="H18037" s="14" t="str">
        <f t="shared" si="2"/>
        <v/>
      </c>
      <c r="I18037" s="15" t="str">
        <f t="shared" si="3"/>
        <v/>
      </c>
    </row>
    <row r="18038">
      <c r="A18038" s="8" t="str">
        <f>IFERROR(__xludf.DUMMYFUNCTION("IF('(INGESTA)Datos_consumo_datadis'!A19603&lt;&gt;"""",SPLIT('(INGESTA)Datos_consumo_datadis'!A:A,"",""),"""")"),"")</f>
        <v/>
      </c>
      <c r="G18038" s="8" t="str">
        <f t="shared" si="1"/>
        <v/>
      </c>
      <c r="H18038" s="14" t="str">
        <f t="shared" si="2"/>
        <v/>
      </c>
      <c r="I18038" s="15" t="str">
        <f t="shared" si="3"/>
        <v/>
      </c>
    </row>
    <row r="18039">
      <c r="A18039" s="8" t="str">
        <f>IFERROR(__xludf.DUMMYFUNCTION("IF('(INGESTA)Datos_consumo_datadis'!A19604&lt;&gt;"""",SPLIT('(INGESTA)Datos_consumo_datadis'!A:A,"",""),"""")"),"")</f>
        <v/>
      </c>
      <c r="G18039" s="8" t="str">
        <f t="shared" si="1"/>
        <v/>
      </c>
      <c r="H18039" s="14" t="str">
        <f t="shared" si="2"/>
        <v/>
      </c>
      <c r="I18039" s="15" t="str">
        <f t="shared" si="3"/>
        <v/>
      </c>
    </row>
    <row r="18040">
      <c r="A18040" s="8" t="str">
        <f>IFERROR(__xludf.DUMMYFUNCTION("IF('(INGESTA)Datos_consumo_datadis'!A19605&lt;&gt;"""",SPLIT('(INGESTA)Datos_consumo_datadis'!A:A,"",""),"""")"),"")</f>
        <v/>
      </c>
      <c r="G18040" s="8" t="str">
        <f t="shared" si="1"/>
        <v/>
      </c>
      <c r="H18040" s="14" t="str">
        <f t="shared" si="2"/>
        <v/>
      </c>
      <c r="I18040" s="15" t="str">
        <f t="shared" si="3"/>
        <v/>
      </c>
    </row>
    <row r="18041">
      <c r="A18041" s="8" t="str">
        <f>IFERROR(__xludf.DUMMYFUNCTION("IF('(INGESTA)Datos_consumo_datadis'!A19606&lt;&gt;"""",SPLIT('(INGESTA)Datos_consumo_datadis'!A:A,"",""),"""")"),"")</f>
        <v/>
      </c>
      <c r="G18041" s="8" t="str">
        <f t="shared" si="1"/>
        <v/>
      </c>
      <c r="H18041" s="14" t="str">
        <f t="shared" si="2"/>
        <v/>
      </c>
      <c r="I18041" s="15" t="str">
        <f t="shared" si="3"/>
        <v/>
      </c>
    </row>
    <row r="18042">
      <c r="A18042" s="8" t="str">
        <f>IFERROR(__xludf.DUMMYFUNCTION("IF('(INGESTA)Datos_consumo_datadis'!A19607&lt;&gt;"""",SPLIT('(INGESTA)Datos_consumo_datadis'!A:A,"",""),"""")"),"")</f>
        <v/>
      </c>
      <c r="G18042" s="8" t="str">
        <f t="shared" si="1"/>
        <v/>
      </c>
      <c r="H18042" s="14" t="str">
        <f t="shared" si="2"/>
        <v/>
      </c>
      <c r="I18042" s="15" t="str">
        <f t="shared" si="3"/>
        <v/>
      </c>
    </row>
    <row r="18043">
      <c r="A18043" s="8" t="str">
        <f>IFERROR(__xludf.DUMMYFUNCTION("IF('(INGESTA)Datos_consumo_datadis'!A19608&lt;&gt;"""",SPLIT('(INGESTA)Datos_consumo_datadis'!A:A,"",""),"""")"),"")</f>
        <v/>
      </c>
      <c r="G18043" s="8" t="str">
        <f t="shared" si="1"/>
        <v/>
      </c>
      <c r="H18043" s="14" t="str">
        <f t="shared" si="2"/>
        <v/>
      </c>
      <c r="I18043" s="15" t="str">
        <f t="shared" si="3"/>
        <v/>
      </c>
    </row>
    <row r="18044">
      <c r="A18044" s="8" t="str">
        <f>IFERROR(__xludf.DUMMYFUNCTION("IF('(INGESTA)Datos_consumo_datadis'!A19609&lt;&gt;"""",SPLIT('(INGESTA)Datos_consumo_datadis'!A:A,"",""),"""")"),"")</f>
        <v/>
      </c>
      <c r="G18044" s="8" t="str">
        <f t="shared" si="1"/>
        <v/>
      </c>
      <c r="H18044" s="14" t="str">
        <f t="shared" si="2"/>
        <v/>
      </c>
      <c r="I18044" s="15" t="str">
        <f t="shared" si="3"/>
        <v/>
      </c>
    </row>
    <row r="18045">
      <c r="A18045" s="8" t="str">
        <f>IFERROR(__xludf.DUMMYFUNCTION("IF('(INGESTA)Datos_consumo_datadis'!A19610&lt;&gt;"""",SPLIT('(INGESTA)Datos_consumo_datadis'!A:A,"",""),"""")"),"")</f>
        <v/>
      </c>
      <c r="G18045" s="8" t="str">
        <f t="shared" si="1"/>
        <v/>
      </c>
      <c r="H18045" s="14" t="str">
        <f t="shared" si="2"/>
        <v/>
      </c>
      <c r="I18045" s="15" t="str">
        <f t="shared" si="3"/>
        <v/>
      </c>
    </row>
    <row r="18046">
      <c r="A18046" s="8" t="str">
        <f>IFERROR(__xludf.DUMMYFUNCTION("IF('(INGESTA)Datos_consumo_datadis'!A19611&lt;&gt;"""",SPLIT('(INGESTA)Datos_consumo_datadis'!A:A,"",""),"""")"),"")</f>
        <v/>
      </c>
      <c r="G18046" s="8" t="str">
        <f t="shared" si="1"/>
        <v/>
      </c>
      <c r="H18046" s="14" t="str">
        <f t="shared" si="2"/>
        <v/>
      </c>
      <c r="I18046" s="15" t="str">
        <f t="shared" si="3"/>
        <v/>
      </c>
    </row>
    <row r="18047">
      <c r="A18047" s="8" t="str">
        <f>IFERROR(__xludf.DUMMYFUNCTION("IF('(INGESTA)Datos_consumo_datadis'!A19612&lt;&gt;"""",SPLIT('(INGESTA)Datos_consumo_datadis'!A:A,"",""),"""")"),"")</f>
        <v/>
      </c>
      <c r="G18047" s="8" t="str">
        <f t="shared" si="1"/>
        <v/>
      </c>
      <c r="H18047" s="14" t="str">
        <f t="shared" si="2"/>
        <v/>
      </c>
      <c r="I18047" s="15" t="str">
        <f t="shared" si="3"/>
        <v/>
      </c>
    </row>
    <row r="18048">
      <c r="A18048" s="8" t="str">
        <f>IFERROR(__xludf.DUMMYFUNCTION("IF('(INGESTA)Datos_consumo_datadis'!A19613&lt;&gt;"""",SPLIT('(INGESTA)Datos_consumo_datadis'!A:A,"",""),"""")"),"")</f>
        <v/>
      </c>
      <c r="G18048" s="8" t="str">
        <f t="shared" si="1"/>
        <v/>
      </c>
      <c r="H18048" s="14" t="str">
        <f t="shared" si="2"/>
        <v/>
      </c>
      <c r="I18048" s="15" t="str">
        <f t="shared" si="3"/>
        <v/>
      </c>
    </row>
    <row r="18049">
      <c r="A18049" s="8" t="str">
        <f>IFERROR(__xludf.DUMMYFUNCTION("IF('(INGESTA)Datos_consumo_datadis'!A19614&lt;&gt;"""",SPLIT('(INGESTA)Datos_consumo_datadis'!A:A,"",""),"""")"),"")</f>
        <v/>
      </c>
      <c r="G18049" s="8" t="str">
        <f t="shared" si="1"/>
        <v/>
      </c>
      <c r="H18049" s="14" t="str">
        <f t="shared" si="2"/>
        <v/>
      </c>
      <c r="I18049" s="15" t="str">
        <f t="shared" si="3"/>
        <v/>
      </c>
    </row>
    <row r="18050">
      <c r="A18050" s="8" t="str">
        <f>IFERROR(__xludf.DUMMYFUNCTION("IF('(INGESTA)Datos_consumo_datadis'!A19615&lt;&gt;"""",SPLIT('(INGESTA)Datos_consumo_datadis'!A:A,"",""),"""")"),"")</f>
        <v/>
      </c>
      <c r="G18050" s="8" t="str">
        <f t="shared" si="1"/>
        <v/>
      </c>
      <c r="H18050" s="14" t="str">
        <f t="shared" si="2"/>
        <v/>
      </c>
      <c r="I18050" s="15" t="str">
        <f t="shared" si="3"/>
        <v/>
      </c>
    </row>
    <row r="18051">
      <c r="A18051" s="8" t="str">
        <f>IFERROR(__xludf.DUMMYFUNCTION("IF('(INGESTA)Datos_consumo_datadis'!A19616&lt;&gt;"""",SPLIT('(INGESTA)Datos_consumo_datadis'!A:A,"",""),"""")"),"")</f>
        <v/>
      </c>
      <c r="G18051" s="8" t="str">
        <f t="shared" si="1"/>
        <v/>
      </c>
      <c r="H18051" s="14" t="str">
        <f t="shared" si="2"/>
        <v/>
      </c>
      <c r="I18051" s="15" t="str">
        <f t="shared" si="3"/>
        <v/>
      </c>
    </row>
    <row r="18052">
      <c r="A18052" s="8" t="str">
        <f>IFERROR(__xludf.DUMMYFUNCTION("IF('(INGESTA)Datos_consumo_datadis'!A19617&lt;&gt;"""",SPLIT('(INGESTA)Datos_consumo_datadis'!A:A,"",""),"""")"),"")</f>
        <v/>
      </c>
      <c r="G18052" s="8" t="str">
        <f t="shared" si="1"/>
        <v/>
      </c>
      <c r="H18052" s="14" t="str">
        <f t="shared" si="2"/>
        <v/>
      </c>
      <c r="I18052" s="15" t="str">
        <f t="shared" si="3"/>
        <v/>
      </c>
    </row>
    <row r="18053">
      <c r="A18053" s="8" t="str">
        <f>IFERROR(__xludf.DUMMYFUNCTION("IF('(INGESTA)Datos_consumo_datadis'!A19618&lt;&gt;"""",SPLIT('(INGESTA)Datos_consumo_datadis'!A:A,"",""),"""")"),"")</f>
        <v/>
      </c>
      <c r="G18053" s="8" t="str">
        <f t="shared" si="1"/>
        <v/>
      </c>
      <c r="H18053" s="14" t="str">
        <f t="shared" si="2"/>
        <v/>
      </c>
      <c r="I18053" s="15" t="str">
        <f t="shared" si="3"/>
        <v/>
      </c>
    </row>
    <row r="18054">
      <c r="A18054" s="8" t="str">
        <f>IFERROR(__xludf.DUMMYFUNCTION("IF('(INGESTA)Datos_consumo_datadis'!A19619&lt;&gt;"""",SPLIT('(INGESTA)Datos_consumo_datadis'!A:A,"",""),"""")"),"")</f>
        <v/>
      </c>
      <c r="G18054" s="8" t="str">
        <f t="shared" si="1"/>
        <v/>
      </c>
      <c r="H18054" s="14" t="str">
        <f t="shared" si="2"/>
        <v/>
      </c>
      <c r="I18054" s="15" t="str">
        <f t="shared" si="3"/>
        <v/>
      </c>
    </row>
    <row r="18055">
      <c r="A18055" s="8" t="str">
        <f>IFERROR(__xludf.DUMMYFUNCTION("IF('(INGESTA)Datos_consumo_datadis'!A19620&lt;&gt;"""",SPLIT('(INGESTA)Datos_consumo_datadis'!A:A,"",""),"""")"),"")</f>
        <v/>
      </c>
      <c r="G18055" s="8" t="str">
        <f t="shared" si="1"/>
        <v/>
      </c>
      <c r="H18055" s="14" t="str">
        <f t="shared" si="2"/>
        <v/>
      </c>
      <c r="I18055" s="15" t="str">
        <f t="shared" si="3"/>
        <v/>
      </c>
    </row>
    <row r="18056">
      <c r="A18056" s="8" t="str">
        <f>IFERROR(__xludf.DUMMYFUNCTION("IF('(INGESTA)Datos_consumo_datadis'!A19621&lt;&gt;"""",SPLIT('(INGESTA)Datos_consumo_datadis'!A:A,"",""),"""")"),"")</f>
        <v/>
      </c>
      <c r="G18056" s="8" t="str">
        <f t="shared" si="1"/>
        <v/>
      </c>
      <c r="H18056" s="14" t="str">
        <f t="shared" si="2"/>
        <v/>
      </c>
      <c r="I18056" s="15" t="str">
        <f t="shared" si="3"/>
        <v/>
      </c>
    </row>
    <row r="18057">
      <c r="A18057" s="8" t="str">
        <f>IFERROR(__xludf.DUMMYFUNCTION("IF('(INGESTA)Datos_consumo_datadis'!A19622&lt;&gt;"""",SPLIT('(INGESTA)Datos_consumo_datadis'!A:A,"",""),"""")"),"")</f>
        <v/>
      </c>
      <c r="G18057" s="8" t="str">
        <f t="shared" si="1"/>
        <v/>
      </c>
      <c r="H18057" s="14" t="str">
        <f t="shared" si="2"/>
        <v/>
      </c>
      <c r="I18057" s="15" t="str">
        <f t="shared" si="3"/>
        <v/>
      </c>
    </row>
    <row r="18058">
      <c r="A18058" s="8" t="str">
        <f>IFERROR(__xludf.DUMMYFUNCTION("IF('(INGESTA)Datos_consumo_datadis'!A19623&lt;&gt;"""",SPLIT('(INGESTA)Datos_consumo_datadis'!A:A,"",""),"""")"),"")</f>
        <v/>
      </c>
      <c r="G18058" s="8" t="str">
        <f t="shared" si="1"/>
        <v/>
      </c>
      <c r="H18058" s="14" t="str">
        <f t="shared" si="2"/>
        <v/>
      </c>
      <c r="I18058" s="15" t="str">
        <f t="shared" si="3"/>
        <v/>
      </c>
    </row>
    <row r="18059">
      <c r="A18059" s="8" t="str">
        <f>IFERROR(__xludf.DUMMYFUNCTION("IF('(INGESTA)Datos_consumo_datadis'!A19624&lt;&gt;"""",SPLIT('(INGESTA)Datos_consumo_datadis'!A:A,"",""),"""")"),"")</f>
        <v/>
      </c>
      <c r="G18059" s="8" t="str">
        <f t="shared" si="1"/>
        <v/>
      </c>
      <c r="H18059" s="14" t="str">
        <f t="shared" si="2"/>
        <v/>
      </c>
      <c r="I18059" s="15" t="str">
        <f t="shared" si="3"/>
        <v/>
      </c>
    </row>
    <row r="18060">
      <c r="A18060" s="8" t="str">
        <f>IFERROR(__xludf.DUMMYFUNCTION("IF('(INGESTA)Datos_consumo_datadis'!A19625&lt;&gt;"""",SPLIT('(INGESTA)Datos_consumo_datadis'!A:A,"",""),"""")"),"")</f>
        <v/>
      </c>
      <c r="G18060" s="8" t="str">
        <f t="shared" si="1"/>
        <v/>
      </c>
      <c r="H18060" s="14" t="str">
        <f t="shared" si="2"/>
        <v/>
      </c>
      <c r="I18060" s="15" t="str">
        <f t="shared" si="3"/>
        <v/>
      </c>
    </row>
    <row r="18061">
      <c r="A18061" s="8" t="str">
        <f>IFERROR(__xludf.DUMMYFUNCTION("IF('(INGESTA)Datos_consumo_datadis'!A19626&lt;&gt;"""",SPLIT('(INGESTA)Datos_consumo_datadis'!A:A,"",""),"""")"),"")</f>
        <v/>
      </c>
      <c r="G18061" s="8" t="str">
        <f t="shared" si="1"/>
        <v/>
      </c>
      <c r="H18061" s="14" t="str">
        <f t="shared" si="2"/>
        <v/>
      </c>
      <c r="I18061" s="15" t="str">
        <f t="shared" si="3"/>
        <v/>
      </c>
    </row>
    <row r="18062">
      <c r="A18062" s="8" t="str">
        <f>IFERROR(__xludf.DUMMYFUNCTION("IF('(INGESTA)Datos_consumo_datadis'!A19627&lt;&gt;"""",SPLIT('(INGESTA)Datos_consumo_datadis'!A:A,"",""),"""")"),"")</f>
        <v/>
      </c>
      <c r="G18062" s="8" t="str">
        <f t="shared" si="1"/>
        <v/>
      </c>
      <c r="H18062" s="14" t="str">
        <f t="shared" si="2"/>
        <v/>
      </c>
      <c r="I18062" s="15" t="str">
        <f t="shared" si="3"/>
        <v/>
      </c>
    </row>
    <row r="18063">
      <c r="A18063" s="8" t="str">
        <f>IFERROR(__xludf.DUMMYFUNCTION("IF('(INGESTA)Datos_consumo_datadis'!A19628&lt;&gt;"""",SPLIT('(INGESTA)Datos_consumo_datadis'!A:A,"",""),"""")"),"")</f>
        <v/>
      </c>
      <c r="G18063" s="8" t="str">
        <f t="shared" si="1"/>
        <v/>
      </c>
      <c r="H18063" s="14" t="str">
        <f t="shared" si="2"/>
        <v/>
      </c>
      <c r="I18063" s="15" t="str">
        <f t="shared" si="3"/>
        <v/>
      </c>
    </row>
    <row r="18064">
      <c r="A18064" s="8" t="str">
        <f>IFERROR(__xludf.DUMMYFUNCTION("IF('(INGESTA)Datos_consumo_datadis'!A19629&lt;&gt;"""",SPLIT('(INGESTA)Datos_consumo_datadis'!A:A,"",""),"""")"),"")</f>
        <v/>
      </c>
      <c r="G18064" s="8" t="str">
        <f t="shared" si="1"/>
        <v/>
      </c>
      <c r="H18064" s="14" t="str">
        <f t="shared" si="2"/>
        <v/>
      </c>
      <c r="I18064" s="15" t="str">
        <f t="shared" si="3"/>
        <v/>
      </c>
    </row>
    <row r="18065">
      <c r="A18065" s="8" t="str">
        <f>IFERROR(__xludf.DUMMYFUNCTION("IF('(INGESTA)Datos_consumo_datadis'!A19630&lt;&gt;"""",SPLIT('(INGESTA)Datos_consumo_datadis'!A:A,"",""),"""")"),"")</f>
        <v/>
      </c>
      <c r="G18065" s="8" t="str">
        <f t="shared" si="1"/>
        <v/>
      </c>
      <c r="H18065" s="14" t="str">
        <f t="shared" si="2"/>
        <v/>
      </c>
      <c r="I18065" s="15" t="str">
        <f t="shared" si="3"/>
        <v/>
      </c>
    </row>
    <row r="18066">
      <c r="A18066" s="8" t="str">
        <f>IFERROR(__xludf.DUMMYFUNCTION("IF('(INGESTA)Datos_consumo_datadis'!A19631&lt;&gt;"""",SPLIT('(INGESTA)Datos_consumo_datadis'!A:A,"",""),"""")"),"")</f>
        <v/>
      </c>
      <c r="G18066" s="8" t="str">
        <f t="shared" si="1"/>
        <v/>
      </c>
      <c r="H18066" s="14" t="str">
        <f t="shared" si="2"/>
        <v/>
      </c>
      <c r="I18066" s="15" t="str">
        <f t="shared" si="3"/>
        <v/>
      </c>
    </row>
    <row r="18067">
      <c r="A18067" s="8" t="str">
        <f>IFERROR(__xludf.DUMMYFUNCTION("IF('(INGESTA)Datos_consumo_datadis'!A19632&lt;&gt;"""",SPLIT('(INGESTA)Datos_consumo_datadis'!A:A,"",""),"""")"),"")</f>
        <v/>
      </c>
      <c r="G18067" s="8" t="str">
        <f t="shared" si="1"/>
        <v/>
      </c>
      <c r="H18067" s="14" t="str">
        <f t="shared" si="2"/>
        <v/>
      </c>
      <c r="I18067" s="15" t="str">
        <f t="shared" si="3"/>
        <v/>
      </c>
    </row>
    <row r="18068">
      <c r="A18068" s="8" t="str">
        <f>IFERROR(__xludf.DUMMYFUNCTION("IF('(INGESTA)Datos_consumo_datadis'!A19633&lt;&gt;"""",SPLIT('(INGESTA)Datos_consumo_datadis'!A:A,"",""),"""")"),"")</f>
        <v/>
      </c>
      <c r="G18068" s="8" t="str">
        <f t="shared" si="1"/>
        <v/>
      </c>
      <c r="H18068" s="14" t="str">
        <f t="shared" si="2"/>
        <v/>
      </c>
      <c r="I18068" s="15" t="str">
        <f t="shared" si="3"/>
        <v/>
      </c>
    </row>
    <row r="18069">
      <c r="A18069" s="8" t="str">
        <f>IFERROR(__xludf.DUMMYFUNCTION("IF('(INGESTA)Datos_consumo_datadis'!A19634&lt;&gt;"""",SPLIT('(INGESTA)Datos_consumo_datadis'!A:A,"",""),"""")"),"")</f>
        <v/>
      </c>
      <c r="G18069" s="8" t="str">
        <f t="shared" si="1"/>
        <v/>
      </c>
      <c r="H18069" s="14" t="str">
        <f t="shared" si="2"/>
        <v/>
      </c>
      <c r="I18069" s="15" t="str">
        <f t="shared" si="3"/>
        <v/>
      </c>
    </row>
    <row r="18070">
      <c r="A18070" s="8" t="str">
        <f>IFERROR(__xludf.DUMMYFUNCTION("IF('(INGESTA)Datos_consumo_datadis'!A19635&lt;&gt;"""",SPLIT('(INGESTA)Datos_consumo_datadis'!A:A,"",""),"""")"),"")</f>
        <v/>
      </c>
      <c r="G18070" s="8" t="str">
        <f t="shared" si="1"/>
        <v/>
      </c>
      <c r="H18070" s="14" t="str">
        <f t="shared" si="2"/>
        <v/>
      </c>
      <c r="I18070" s="15" t="str">
        <f t="shared" si="3"/>
        <v/>
      </c>
    </row>
    <row r="18071">
      <c r="A18071" s="8" t="str">
        <f>IFERROR(__xludf.DUMMYFUNCTION("IF('(INGESTA)Datos_consumo_datadis'!A19636&lt;&gt;"""",SPLIT('(INGESTA)Datos_consumo_datadis'!A:A,"",""),"""")"),"")</f>
        <v/>
      </c>
      <c r="G18071" s="8" t="str">
        <f t="shared" si="1"/>
        <v/>
      </c>
      <c r="H18071" s="14" t="str">
        <f t="shared" si="2"/>
        <v/>
      </c>
      <c r="I18071" s="15" t="str">
        <f t="shared" si="3"/>
        <v/>
      </c>
    </row>
    <row r="18072">
      <c r="A18072" s="8" t="str">
        <f>IFERROR(__xludf.DUMMYFUNCTION("IF('(INGESTA)Datos_consumo_datadis'!A19637&lt;&gt;"""",SPLIT('(INGESTA)Datos_consumo_datadis'!A:A,"",""),"""")"),"")</f>
        <v/>
      </c>
      <c r="G18072" s="8" t="str">
        <f t="shared" si="1"/>
        <v/>
      </c>
      <c r="H18072" s="14" t="str">
        <f t="shared" si="2"/>
        <v/>
      </c>
      <c r="I18072" s="15" t="str">
        <f t="shared" si="3"/>
        <v/>
      </c>
    </row>
    <row r="18073">
      <c r="A18073" s="8" t="str">
        <f>IFERROR(__xludf.DUMMYFUNCTION("IF('(INGESTA)Datos_consumo_datadis'!A19638&lt;&gt;"""",SPLIT('(INGESTA)Datos_consumo_datadis'!A:A,"",""),"""")"),"")</f>
        <v/>
      </c>
      <c r="G18073" s="8" t="str">
        <f t="shared" si="1"/>
        <v/>
      </c>
      <c r="H18073" s="14" t="str">
        <f t="shared" si="2"/>
        <v/>
      </c>
      <c r="I18073" s="15" t="str">
        <f t="shared" si="3"/>
        <v/>
      </c>
    </row>
    <row r="18074">
      <c r="A18074" s="8" t="str">
        <f>IFERROR(__xludf.DUMMYFUNCTION("IF('(INGESTA)Datos_consumo_datadis'!A19639&lt;&gt;"""",SPLIT('(INGESTA)Datos_consumo_datadis'!A:A,"",""),"""")"),"")</f>
        <v/>
      </c>
      <c r="G18074" s="8" t="str">
        <f t="shared" si="1"/>
        <v/>
      </c>
      <c r="H18074" s="14" t="str">
        <f t="shared" si="2"/>
        <v/>
      </c>
      <c r="I18074" s="15" t="str">
        <f t="shared" si="3"/>
        <v/>
      </c>
    </row>
    <row r="18075">
      <c r="A18075" s="8" t="str">
        <f>IFERROR(__xludf.DUMMYFUNCTION("IF('(INGESTA)Datos_consumo_datadis'!A19640&lt;&gt;"""",SPLIT('(INGESTA)Datos_consumo_datadis'!A:A,"",""),"""")"),"")</f>
        <v/>
      </c>
      <c r="G18075" s="8" t="str">
        <f t="shared" si="1"/>
        <v/>
      </c>
      <c r="H18075" s="14" t="str">
        <f t="shared" si="2"/>
        <v/>
      </c>
      <c r="I18075" s="15" t="str">
        <f t="shared" si="3"/>
        <v/>
      </c>
    </row>
    <row r="18076">
      <c r="A18076" s="8" t="str">
        <f>IFERROR(__xludf.DUMMYFUNCTION("IF('(INGESTA)Datos_consumo_datadis'!A19641&lt;&gt;"""",SPLIT('(INGESTA)Datos_consumo_datadis'!A:A,"",""),"""")"),"")</f>
        <v/>
      </c>
      <c r="G18076" s="8" t="str">
        <f t="shared" si="1"/>
        <v/>
      </c>
      <c r="H18076" s="14" t="str">
        <f t="shared" si="2"/>
        <v/>
      </c>
      <c r="I18076" s="15" t="str">
        <f t="shared" si="3"/>
        <v/>
      </c>
    </row>
    <row r="18077">
      <c r="A18077" s="8" t="str">
        <f>IFERROR(__xludf.DUMMYFUNCTION("IF('(INGESTA)Datos_consumo_datadis'!A19642&lt;&gt;"""",SPLIT('(INGESTA)Datos_consumo_datadis'!A:A,"",""),"""")"),"")</f>
        <v/>
      </c>
      <c r="G18077" s="8" t="str">
        <f t="shared" si="1"/>
        <v/>
      </c>
      <c r="H18077" s="14" t="str">
        <f t="shared" si="2"/>
        <v/>
      </c>
      <c r="I18077" s="15" t="str">
        <f t="shared" si="3"/>
        <v/>
      </c>
    </row>
    <row r="18078">
      <c r="A18078" s="8" t="str">
        <f>IFERROR(__xludf.DUMMYFUNCTION("IF('(INGESTA)Datos_consumo_datadis'!A19643&lt;&gt;"""",SPLIT('(INGESTA)Datos_consumo_datadis'!A:A,"",""),"""")"),"")</f>
        <v/>
      </c>
      <c r="G18078" s="8" t="str">
        <f t="shared" si="1"/>
        <v/>
      </c>
      <c r="H18078" s="14" t="str">
        <f t="shared" si="2"/>
        <v/>
      </c>
      <c r="I18078" s="15" t="str">
        <f t="shared" si="3"/>
        <v/>
      </c>
    </row>
    <row r="18079">
      <c r="A18079" s="8" t="str">
        <f>IFERROR(__xludf.DUMMYFUNCTION("IF('(INGESTA)Datos_consumo_datadis'!A19644&lt;&gt;"""",SPLIT('(INGESTA)Datos_consumo_datadis'!A:A,"",""),"""")"),"")</f>
        <v/>
      </c>
      <c r="G18079" s="8" t="str">
        <f t="shared" si="1"/>
        <v/>
      </c>
      <c r="H18079" s="14" t="str">
        <f t="shared" si="2"/>
        <v/>
      </c>
      <c r="I18079" s="15" t="str">
        <f t="shared" si="3"/>
        <v/>
      </c>
    </row>
    <row r="18080">
      <c r="A18080" s="8" t="str">
        <f>IFERROR(__xludf.DUMMYFUNCTION("IF('(INGESTA)Datos_consumo_datadis'!A19645&lt;&gt;"""",SPLIT('(INGESTA)Datos_consumo_datadis'!A:A,"",""),"""")"),"")</f>
        <v/>
      </c>
      <c r="G18080" s="8" t="str">
        <f t="shared" si="1"/>
        <v/>
      </c>
      <c r="H18080" s="14" t="str">
        <f t="shared" si="2"/>
        <v/>
      </c>
      <c r="I18080" s="15" t="str">
        <f t="shared" si="3"/>
        <v/>
      </c>
    </row>
    <row r="18081">
      <c r="A18081" s="8" t="str">
        <f>IFERROR(__xludf.DUMMYFUNCTION("IF('(INGESTA)Datos_consumo_datadis'!A19646&lt;&gt;"""",SPLIT('(INGESTA)Datos_consumo_datadis'!A:A,"",""),"""")"),"")</f>
        <v/>
      </c>
      <c r="G18081" s="8" t="str">
        <f t="shared" si="1"/>
        <v/>
      </c>
      <c r="H18081" s="14" t="str">
        <f t="shared" si="2"/>
        <v/>
      </c>
      <c r="I18081" s="15" t="str">
        <f t="shared" si="3"/>
        <v/>
      </c>
    </row>
    <row r="18082">
      <c r="A18082" s="8" t="str">
        <f>IFERROR(__xludf.DUMMYFUNCTION("IF('(INGESTA)Datos_consumo_datadis'!A19647&lt;&gt;"""",SPLIT('(INGESTA)Datos_consumo_datadis'!A:A,"",""),"""")"),"")</f>
        <v/>
      </c>
      <c r="G18082" s="8" t="str">
        <f t="shared" si="1"/>
        <v/>
      </c>
      <c r="H18082" s="14" t="str">
        <f t="shared" si="2"/>
        <v/>
      </c>
      <c r="I18082" s="15" t="str">
        <f t="shared" si="3"/>
        <v/>
      </c>
    </row>
    <row r="18083">
      <c r="A18083" s="8" t="str">
        <f>IFERROR(__xludf.DUMMYFUNCTION("IF('(INGESTA)Datos_consumo_datadis'!A19648&lt;&gt;"""",SPLIT('(INGESTA)Datos_consumo_datadis'!A:A,"",""),"""")"),"")</f>
        <v/>
      </c>
      <c r="G18083" s="8" t="str">
        <f t="shared" si="1"/>
        <v/>
      </c>
      <c r="H18083" s="14" t="str">
        <f t="shared" si="2"/>
        <v/>
      </c>
      <c r="I18083" s="15" t="str">
        <f t="shared" si="3"/>
        <v/>
      </c>
    </row>
    <row r="18084">
      <c r="A18084" s="8" t="str">
        <f>IFERROR(__xludf.DUMMYFUNCTION("IF('(INGESTA)Datos_consumo_datadis'!A19649&lt;&gt;"""",SPLIT('(INGESTA)Datos_consumo_datadis'!A:A,"",""),"""")"),"")</f>
        <v/>
      </c>
      <c r="G18084" s="8" t="str">
        <f t="shared" si="1"/>
        <v/>
      </c>
      <c r="H18084" s="14" t="str">
        <f t="shared" si="2"/>
        <v/>
      </c>
      <c r="I18084" s="15" t="str">
        <f t="shared" si="3"/>
        <v/>
      </c>
    </row>
    <row r="18085">
      <c r="A18085" s="8" t="str">
        <f>IFERROR(__xludf.DUMMYFUNCTION("IF('(INGESTA)Datos_consumo_datadis'!A19650&lt;&gt;"""",SPLIT('(INGESTA)Datos_consumo_datadis'!A:A,"",""),"""")"),"")</f>
        <v/>
      </c>
      <c r="G18085" s="8" t="str">
        <f t="shared" si="1"/>
        <v/>
      </c>
      <c r="H18085" s="14" t="str">
        <f t="shared" si="2"/>
        <v/>
      </c>
      <c r="I18085" s="15" t="str">
        <f t="shared" si="3"/>
        <v/>
      </c>
    </row>
    <row r="18086">
      <c r="A18086" s="8" t="str">
        <f>IFERROR(__xludf.DUMMYFUNCTION("IF('(INGESTA)Datos_consumo_datadis'!A19651&lt;&gt;"""",SPLIT('(INGESTA)Datos_consumo_datadis'!A:A,"",""),"""")"),"")</f>
        <v/>
      </c>
      <c r="G18086" s="8" t="str">
        <f t="shared" si="1"/>
        <v/>
      </c>
      <c r="H18086" s="14" t="str">
        <f t="shared" si="2"/>
        <v/>
      </c>
      <c r="I18086" s="15" t="str">
        <f t="shared" si="3"/>
        <v/>
      </c>
    </row>
    <row r="18087">
      <c r="A18087" s="8" t="str">
        <f>IFERROR(__xludf.DUMMYFUNCTION("IF('(INGESTA)Datos_consumo_datadis'!A19652&lt;&gt;"""",SPLIT('(INGESTA)Datos_consumo_datadis'!A:A,"",""),"""")"),"")</f>
        <v/>
      </c>
      <c r="G18087" s="8" t="str">
        <f t="shared" si="1"/>
        <v/>
      </c>
      <c r="H18087" s="14" t="str">
        <f t="shared" si="2"/>
        <v/>
      </c>
      <c r="I18087" s="15" t="str">
        <f t="shared" si="3"/>
        <v/>
      </c>
    </row>
    <row r="18088">
      <c r="A18088" s="8" t="str">
        <f>IFERROR(__xludf.DUMMYFUNCTION("IF('(INGESTA)Datos_consumo_datadis'!A19653&lt;&gt;"""",SPLIT('(INGESTA)Datos_consumo_datadis'!A:A,"",""),"""")"),"")</f>
        <v/>
      </c>
      <c r="G18088" s="8" t="str">
        <f t="shared" si="1"/>
        <v/>
      </c>
      <c r="H18088" s="14" t="str">
        <f t="shared" si="2"/>
        <v/>
      </c>
      <c r="I18088" s="15" t="str">
        <f t="shared" si="3"/>
        <v/>
      </c>
    </row>
    <row r="18089">
      <c r="A18089" s="8" t="str">
        <f>IFERROR(__xludf.DUMMYFUNCTION("IF('(INGESTA)Datos_consumo_datadis'!A19654&lt;&gt;"""",SPLIT('(INGESTA)Datos_consumo_datadis'!A:A,"",""),"""")"),"")</f>
        <v/>
      </c>
      <c r="G18089" s="8" t="str">
        <f t="shared" si="1"/>
        <v/>
      </c>
      <c r="H18089" s="14" t="str">
        <f t="shared" si="2"/>
        <v/>
      </c>
      <c r="I18089" s="15" t="str">
        <f t="shared" si="3"/>
        <v/>
      </c>
    </row>
    <row r="18090">
      <c r="A18090" s="8" t="str">
        <f>IFERROR(__xludf.DUMMYFUNCTION("IF('(INGESTA)Datos_consumo_datadis'!A19655&lt;&gt;"""",SPLIT('(INGESTA)Datos_consumo_datadis'!A:A,"",""),"""")"),"")</f>
        <v/>
      </c>
      <c r="G18090" s="8" t="str">
        <f t="shared" si="1"/>
        <v/>
      </c>
      <c r="H18090" s="14" t="str">
        <f t="shared" si="2"/>
        <v/>
      </c>
      <c r="I18090" s="15" t="str">
        <f t="shared" si="3"/>
        <v/>
      </c>
    </row>
    <row r="18091">
      <c r="A18091" s="8" t="str">
        <f>IFERROR(__xludf.DUMMYFUNCTION("IF('(INGESTA)Datos_consumo_datadis'!A19656&lt;&gt;"""",SPLIT('(INGESTA)Datos_consumo_datadis'!A:A,"",""),"""")"),"")</f>
        <v/>
      </c>
      <c r="G18091" s="8" t="str">
        <f t="shared" si="1"/>
        <v/>
      </c>
      <c r="H18091" s="14" t="str">
        <f t="shared" si="2"/>
        <v/>
      </c>
      <c r="I18091" s="15" t="str">
        <f t="shared" si="3"/>
        <v/>
      </c>
    </row>
    <row r="18092">
      <c r="A18092" s="8" t="str">
        <f>IFERROR(__xludf.DUMMYFUNCTION("IF('(INGESTA)Datos_consumo_datadis'!A19657&lt;&gt;"""",SPLIT('(INGESTA)Datos_consumo_datadis'!A:A,"",""),"""")"),"")</f>
        <v/>
      </c>
      <c r="G18092" s="8" t="str">
        <f t="shared" si="1"/>
        <v/>
      </c>
      <c r="H18092" s="14" t="str">
        <f t="shared" si="2"/>
        <v/>
      </c>
      <c r="I18092" s="15" t="str">
        <f t="shared" si="3"/>
        <v/>
      </c>
    </row>
    <row r="18093">
      <c r="A18093" s="8" t="str">
        <f>IFERROR(__xludf.DUMMYFUNCTION("IF('(INGESTA)Datos_consumo_datadis'!A19658&lt;&gt;"""",SPLIT('(INGESTA)Datos_consumo_datadis'!A:A,"",""),"""")"),"")</f>
        <v/>
      </c>
      <c r="G18093" s="8" t="str">
        <f t="shared" si="1"/>
        <v/>
      </c>
      <c r="H18093" s="14" t="str">
        <f t="shared" si="2"/>
        <v/>
      </c>
      <c r="I18093" s="15" t="str">
        <f t="shared" si="3"/>
        <v/>
      </c>
    </row>
    <row r="18094">
      <c r="A18094" s="8" t="str">
        <f>IFERROR(__xludf.DUMMYFUNCTION("IF('(INGESTA)Datos_consumo_datadis'!A19659&lt;&gt;"""",SPLIT('(INGESTA)Datos_consumo_datadis'!A:A,"",""),"""")"),"")</f>
        <v/>
      </c>
      <c r="G18094" s="8" t="str">
        <f t="shared" si="1"/>
        <v/>
      </c>
      <c r="H18094" s="14" t="str">
        <f t="shared" si="2"/>
        <v/>
      </c>
      <c r="I18094" s="15" t="str">
        <f t="shared" si="3"/>
        <v/>
      </c>
    </row>
    <row r="18095">
      <c r="A18095" s="8" t="str">
        <f>IFERROR(__xludf.DUMMYFUNCTION("IF('(INGESTA)Datos_consumo_datadis'!A19660&lt;&gt;"""",SPLIT('(INGESTA)Datos_consumo_datadis'!A:A,"",""),"""")"),"")</f>
        <v/>
      </c>
      <c r="G18095" s="8" t="str">
        <f t="shared" si="1"/>
        <v/>
      </c>
      <c r="H18095" s="14" t="str">
        <f t="shared" si="2"/>
        <v/>
      </c>
      <c r="I18095" s="15" t="str">
        <f t="shared" si="3"/>
        <v/>
      </c>
    </row>
    <row r="18096">
      <c r="A18096" s="8" t="str">
        <f>IFERROR(__xludf.DUMMYFUNCTION("IF('(INGESTA)Datos_consumo_datadis'!A19661&lt;&gt;"""",SPLIT('(INGESTA)Datos_consumo_datadis'!A:A,"",""),"""")"),"")</f>
        <v/>
      </c>
      <c r="G18096" s="8" t="str">
        <f t="shared" si="1"/>
        <v/>
      </c>
      <c r="H18096" s="14" t="str">
        <f t="shared" si="2"/>
        <v/>
      </c>
      <c r="I18096" s="15" t="str">
        <f t="shared" si="3"/>
        <v/>
      </c>
    </row>
    <row r="18097">
      <c r="A18097" s="8" t="str">
        <f>IFERROR(__xludf.DUMMYFUNCTION("IF('(INGESTA)Datos_consumo_datadis'!A19662&lt;&gt;"""",SPLIT('(INGESTA)Datos_consumo_datadis'!A:A,"",""),"""")"),"")</f>
        <v/>
      </c>
      <c r="G18097" s="8" t="str">
        <f t="shared" si="1"/>
        <v/>
      </c>
      <c r="H18097" s="14" t="str">
        <f t="shared" si="2"/>
        <v/>
      </c>
      <c r="I18097" s="15" t="str">
        <f t="shared" si="3"/>
        <v/>
      </c>
    </row>
    <row r="18098">
      <c r="A18098" s="8" t="str">
        <f>IFERROR(__xludf.DUMMYFUNCTION("IF('(INGESTA)Datos_consumo_datadis'!A19663&lt;&gt;"""",SPLIT('(INGESTA)Datos_consumo_datadis'!A:A,"",""),"""")"),"")</f>
        <v/>
      </c>
      <c r="G18098" s="8" t="str">
        <f t="shared" si="1"/>
        <v/>
      </c>
      <c r="H18098" s="14" t="str">
        <f t="shared" si="2"/>
        <v/>
      </c>
      <c r="I18098" s="15" t="str">
        <f t="shared" si="3"/>
        <v/>
      </c>
    </row>
    <row r="18099">
      <c r="A18099" s="8" t="str">
        <f>IFERROR(__xludf.DUMMYFUNCTION("IF('(INGESTA)Datos_consumo_datadis'!A19664&lt;&gt;"""",SPLIT('(INGESTA)Datos_consumo_datadis'!A:A,"",""),"""")"),"")</f>
        <v/>
      </c>
      <c r="G18099" s="8" t="str">
        <f t="shared" si="1"/>
        <v/>
      </c>
      <c r="H18099" s="14" t="str">
        <f t="shared" si="2"/>
        <v/>
      </c>
      <c r="I18099" s="15" t="str">
        <f t="shared" si="3"/>
        <v/>
      </c>
    </row>
    <row r="18100">
      <c r="A18100" s="8" t="str">
        <f>IFERROR(__xludf.DUMMYFUNCTION("IF('(INGESTA)Datos_consumo_datadis'!A19665&lt;&gt;"""",SPLIT('(INGESTA)Datos_consumo_datadis'!A:A,"",""),"""")"),"")</f>
        <v/>
      </c>
      <c r="G18100" s="8" t="str">
        <f t="shared" si="1"/>
        <v/>
      </c>
      <c r="H18100" s="14" t="str">
        <f t="shared" si="2"/>
        <v/>
      </c>
      <c r="I18100" s="15" t="str">
        <f t="shared" si="3"/>
        <v/>
      </c>
    </row>
    <row r="18101">
      <c r="A18101" s="8" t="str">
        <f>IFERROR(__xludf.DUMMYFUNCTION("IF('(INGESTA)Datos_consumo_datadis'!A19666&lt;&gt;"""",SPLIT('(INGESTA)Datos_consumo_datadis'!A:A,"",""),"""")"),"")</f>
        <v/>
      </c>
      <c r="G18101" s="8" t="str">
        <f t="shared" si="1"/>
        <v/>
      </c>
      <c r="H18101" s="14" t="str">
        <f t="shared" si="2"/>
        <v/>
      </c>
      <c r="I18101" s="15" t="str">
        <f t="shared" si="3"/>
        <v/>
      </c>
    </row>
    <row r="18102">
      <c r="A18102" s="8" t="str">
        <f>IFERROR(__xludf.DUMMYFUNCTION("IF('(INGESTA)Datos_consumo_datadis'!A19667&lt;&gt;"""",SPLIT('(INGESTA)Datos_consumo_datadis'!A:A,"",""),"""")"),"")</f>
        <v/>
      </c>
      <c r="G18102" s="8" t="str">
        <f t="shared" si="1"/>
        <v/>
      </c>
      <c r="H18102" s="14" t="str">
        <f t="shared" si="2"/>
        <v/>
      </c>
      <c r="I18102" s="15" t="str">
        <f t="shared" si="3"/>
        <v/>
      </c>
    </row>
    <row r="18103">
      <c r="A18103" s="8" t="str">
        <f>IFERROR(__xludf.DUMMYFUNCTION("IF('(INGESTA)Datos_consumo_datadis'!A19668&lt;&gt;"""",SPLIT('(INGESTA)Datos_consumo_datadis'!A:A,"",""),"""")"),"")</f>
        <v/>
      </c>
      <c r="G18103" s="8" t="str">
        <f t="shared" si="1"/>
        <v/>
      </c>
      <c r="H18103" s="14" t="str">
        <f t="shared" si="2"/>
        <v/>
      </c>
      <c r="I18103" s="15" t="str">
        <f t="shared" si="3"/>
        <v/>
      </c>
    </row>
    <row r="18104">
      <c r="A18104" s="8" t="str">
        <f>IFERROR(__xludf.DUMMYFUNCTION("IF('(INGESTA)Datos_consumo_datadis'!A19669&lt;&gt;"""",SPLIT('(INGESTA)Datos_consumo_datadis'!A:A,"",""),"""")"),"")</f>
        <v/>
      </c>
      <c r="G18104" s="8" t="str">
        <f t="shared" si="1"/>
        <v/>
      </c>
      <c r="H18104" s="14" t="str">
        <f t="shared" si="2"/>
        <v/>
      </c>
      <c r="I18104" s="15" t="str">
        <f t="shared" si="3"/>
        <v/>
      </c>
    </row>
    <row r="18105">
      <c r="A18105" s="8" t="str">
        <f>IFERROR(__xludf.DUMMYFUNCTION("IF('(INGESTA)Datos_consumo_datadis'!A19670&lt;&gt;"""",SPLIT('(INGESTA)Datos_consumo_datadis'!A:A,"",""),"""")"),"")</f>
        <v/>
      </c>
      <c r="G18105" s="8" t="str">
        <f t="shared" si="1"/>
        <v/>
      </c>
      <c r="H18105" s="14" t="str">
        <f t="shared" si="2"/>
        <v/>
      </c>
      <c r="I18105" s="15" t="str">
        <f t="shared" si="3"/>
        <v/>
      </c>
    </row>
    <row r="18106">
      <c r="A18106" s="8" t="str">
        <f>IFERROR(__xludf.DUMMYFUNCTION("IF('(INGESTA)Datos_consumo_datadis'!A19671&lt;&gt;"""",SPLIT('(INGESTA)Datos_consumo_datadis'!A:A,"",""),"""")"),"")</f>
        <v/>
      </c>
      <c r="G18106" s="8" t="str">
        <f t="shared" si="1"/>
        <v/>
      </c>
      <c r="H18106" s="14" t="str">
        <f t="shared" si="2"/>
        <v/>
      </c>
      <c r="I18106" s="15" t="str">
        <f t="shared" si="3"/>
        <v/>
      </c>
    </row>
    <row r="18107">
      <c r="A18107" s="8" t="str">
        <f>IFERROR(__xludf.DUMMYFUNCTION("IF('(INGESTA)Datos_consumo_datadis'!A19672&lt;&gt;"""",SPLIT('(INGESTA)Datos_consumo_datadis'!A:A,"",""),"""")"),"")</f>
        <v/>
      </c>
      <c r="G18107" s="8" t="str">
        <f t="shared" si="1"/>
        <v/>
      </c>
      <c r="H18107" s="14" t="str">
        <f t="shared" si="2"/>
        <v/>
      </c>
      <c r="I18107" s="15" t="str">
        <f t="shared" si="3"/>
        <v/>
      </c>
    </row>
    <row r="18108">
      <c r="A18108" s="8" t="str">
        <f>IFERROR(__xludf.DUMMYFUNCTION("IF('(INGESTA)Datos_consumo_datadis'!A19673&lt;&gt;"""",SPLIT('(INGESTA)Datos_consumo_datadis'!A:A,"",""),"""")"),"")</f>
        <v/>
      </c>
      <c r="G18108" s="8" t="str">
        <f t="shared" si="1"/>
        <v/>
      </c>
      <c r="H18108" s="14" t="str">
        <f t="shared" si="2"/>
        <v/>
      </c>
      <c r="I18108" s="15" t="str">
        <f t="shared" si="3"/>
        <v/>
      </c>
    </row>
    <row r="18109">
      <c r="A18109" s="8" t="str">
        <f>IFERROR(__xludf.DUMMYFUNCTION("IF('(INGESTA)Datos_consumo_datadis'!A19674&lt;&gt;"""",SPLIT('(INGESTA)Datos_consumo_datadis'!A:A,"",""),"""")"),"")</f>
        <v/>
      </c>
      <c r="G18109" s="8" t="str">
        <f t="shared" si="1"/>
        <v/>
      </c>
      <c r="H18109" s="14" t="str">
        <f t="shared" si="2"/>
        <v/>
      </c>
      <c r="I18109" s="15" t="str">
        <f t="shared" si="3"/>
        <v/>
      </c>
    </row>
    <row r="18110">
      <c r="A18110" s="8" t="str">
        <f>IFERROR(__xludf.DUMMYFUNCTION("IF('(INGESTA)Datos_consumo_datadis'!A19675&lt;&gt;"""",SPLIT('(INGESTA)Datos_consumo_datadis'!A:A,"",""),"""")"),"")</f>
        <v/>
      </c>
      <c r="G18110" s="8" t="str">
        <f t="shared" si="1"/>
        <v/>
      </c>
      <c r="H18110" s="14" t="str">
        <f t="shared" si="2"/>
        <v/>
      </c>
      <c r="I18110" s="15" t="str">
        <f t="shared" si="3"/>
        <v/>
      </c>
    </row>
    <row r="18111">
      <c r="A18111" s="8" t="str">
        <f>IFERROR(__xludf.DUMMYFUNCTION("IF('(INGESTA)Datos_consumo_datadis'!A19676&lt;&gt;"""",SPLIT('(INGESTA)Datos_consumo_datadis'!A:A,"",""),"""")"),"")</f>
        <v/>
      </c>
      <c r="G18111" s="8" t="str">
        <f t="shared" si="1"/>
        <v/>
      </c>
      <c r="H18111" s="14" t="str">
        <f t="shared" si="2"/>
        <v/>
      </c>
      <c r="I18111" s="15" t="str">
        <f t="shared" si="3"/>
        <v/>
      </c>
    </row>
    <row r="18112">
      <c r="A18112" s="8" t="str">
        <f>IFERROR(__xludf.DUMMYFUNCTION("IF('(INGESTA)Datos_consumo_datadis'!A19677&lt;&gt;"""",SPLIT('(INGESTA)Datos_consumo_datadis'!A:A,"",""),"""")"),"")</f>
        <v/>
      </c>
      <c r="G18112" s="8" t="str">
        <f t="shared" si="1"/>
        <v/>
      </c>
      <c r="H18112" s="14" t="str">
        <f t="shared" si="2"/>
        <v/>
      </c>
      <c r="I18112" s="15" t="str">
        <f t="shared" si="3"/>
        <v/>
      </c>
    </row>
    <row r="18113">
      <c r="A18113" s="8" t="str">
        <f>IFERROR(__xludf.DUMMYFUNCTION("IF('(INGESTA)Datos_consumo_datadis'!A19678&lt;&gt;"""",SPLIT('(INGESTA)Datos_consumo_datadis'!A:A,"",""),"""")"),"")</f>
        <v/>
      </c>
      <c r="G18113" s="8" t="str">
        <f t="shared" si="1"/>
        <v/>
      </c>
      <c r="H18113" s="14" t="str">
        <f t="shared" si="2"/>
        <v/>
      </c>
      <c r="I18113" s="15" t="str">
        <f t="shared" si="3"/>
        <v/>
      </c>
    </row>
    <row r="18114">
      <c r="A18114" s="8" t="str">
        <f>IFERROR(__xludf.DUMMYFUNCTION("IF('(INGESTA)Datos_consumo_datadis'!A19679&lt;&gt;"""",SPLIT('(INGESTA)Datos_consumo_datadis'!A:A,"",""),"""")"),"")</f>
        <v/>
      </c>
      <c r="G18114" s="8" t="str">
        <f t="shared" si="1"/>
        <v/>
      </c>
      <c r="H18114" s="14" t="str">
        <f t="shared" si="2"/>
        <v/>
      </c>
      <c r="I18114" s="15" t="str">
        <f t="shared" si="3"/>
        <v/>
      </c>
    </row>
    <row r="18115">
      <c r="A18115" s="8" t="str">
        <f>IFERROR(__xludf.DUMMYFUNCTION("IF('(INGESTA)Datos_consumo_datadis'!A19680&lt;&gt;"""",SPLIT('(INGESTA)Datos_consumo_datadis'!A:A,"",""),"""")"),"")</f>
        <v/>
      </c>
      <c r="G18115" s="8" t="str">
        <f t="shared" si="1"/>
        <v/>
      </c>
      <c r="H18115" s="14" t="str">
        <f t="shared" si="2"/>
        <v/>
      </c>
      <c r="I18115" s="15" t="str">
        <f t="shared" si="3"/>
        <v/>
      </c>
    </row>
    <row r="18116">
      <c r="A18116" s="8" t="str">
        <f>IFERROR(__xludf.DUMMYFUNCTION("IF('(INGESTA)Datos_consumo_datadis'!A19681&lt;&gt;"""",SPLIT('(INGESTA)Datos_consumo_datadis'!A:A,"",""),"""")"),"")</f>
        <v/>
      </c>
      <c r="G18116" s="8" t="str">
        <f t="shared" si="1"/>
        <v/>
      </c>
      <c r="H18116" s="14" t="str">
        <f t="shared" si="2"/>
        <v/>
      </c>
      <c r="I18116" s="15" t="str">
        <f t="shared" si="3"/>
        <v/>
      </c>
    </row>
    <row r="18117">
      <c r="A18117" s="8" t="str">
        <f>IFERROR(__xludf.DUMMYFUNCTION("IF('(INGESTA)Datos_consumo_datadis'!A19682&lt;&gt;"""",SPLIT('(INGESTA)Datos_consumo_datadis'!A:A,"",""),"""")"),"")</f>
        <v/>
      </c>
      <c r="G18117" s="8" t="str">
        <f t="shared" si="1"/>
        <v/>
      </c>
      <c r="H18117" s="14" t="str">
        <f t="shared" si="2"/>
        <v/>
      </c>
      <c r="I18117" s="15" t="str">
        <f t="shared" si="3"/>
        <v/>
      </c>
    </row>
    <row r="18118">
      <c r="A18118" s="8" t="str">
        <f>IFERROR(__xludf.DUMMYFUNCTION("IF('(INGESTA)Datos_consumo_datadis'!A19683&lt;&gt;"""",SPLIT('(INGESTA)Datos_consumo_datadis'!A:A,"",""),"""")"),"")</f>
        <v/>
      </c>
      <c r="G18118" s="8" t="str">
        <f t="shared" si="1"/>
        <v/>
      </c>
      <c r="H18118" s="14" t="str">
        <f t="shared" si="2"/>
        <v/>
      </c>
      <c r="I18118" s="15" t="str">
        <f t="shared" si="3"/>
        <v/>
      </c>
    </row>
    <row r="18119">
      <c r="A18119" s="8" t="str">
        <f>IFERROR(__xludf.DUMMYFUNCTION("IF('(INGESTA)Datos_consumo_datadis'!A19684&lt;&gt;"""",SPLIT('(INGESTA)Datos_consumo_datadis'!A:A,"",""),"""")"),"")</f>
        <v/>
      </c>
      <c r="G18119" s="8" t="str">
        <f t="shared" si="1"/>
        <v/>
      </c>
      <c r="H18119" s="14" t="str">
        <f t="shared" si="2"/>
        <v/>
      </c>
      <c r="I18119" s="15" t="str">
        <f t="shared" si="3"/>
        <v/>
      </c>
    </row>
    <row r="18120">
      <c r="A18120" s="8" t="str">
        <f>IFERROR(__xludf.DUMMYFUNCTION("IF('(INGESTA)Datos_consumo_datadis'!A19685&lt;&gt;"""",SPLIT('(INGESTA)Datos_consumo_datadis'!A:A,"",""),"""")"),"")</f>
        <v/>
      </c>
      <c r="G18120" s="8" t="str">
        <f t="shared" si="1"/>
        <v/>
      </c>
      <c r="H18120" s="14" t="str">
        <f t="shared" si="2"/>
        <v/>
      </c>
      <c r="I18120" s="15" t="str">
        <f t="shared" si="3"/>
        <v/>
      </c>
    </row>
    <row r="18121">
      <c r="A18121" s="8" t="str">
        <f>IFERROR(__xludf.DUMMYFUNCTION("IF('(INGESTA)Datos_consumo_datadis'!A19686&lt;&gt;"""",SPLIT('(INGESTA)Datos_consumo_datadis'!A:A,"",""),"""")"),"")</f>
        <v/>
      </c>
      <c r="G18121" s="8" t="str">
        <f t="shared" si="1"/>
        <v/>
      </c>
      <c r="H18121" s="14" t="str">
        <f t="shared" si="2"/>
        <v/>
      </c>
      <c r="I18121" s="15" t="str">
        <f t="shared" si="3"/>
        <v/>
      </c>
    </row>
    <row r="18122">
      <c r="A18122" s="8" t="str">
        <f>IFERROR(__xludf.DUMMYFUNCTION("IF('(INGESTA)Datos_consumo_datadis'!A19687&lt;&gt;"""",SPLIT('(INGESTA)Datos_consumo_datadis'!A:A,"",""),"""")"),"")</f>
        <v/>
      </c>
      <c r="G18122" s="8" t="str">
        <f t="shared" si="1"/>
        <v/>
      </c>
      <c r="H18122" s="14" t="str">
        <f t="shared" si="2"/>
        <v/>
      </c>
      <c r="I18122" s="15" t="str">
        <f t="shared" si="3"/>
        <v/>
      </c>
    </row>
    <row r="18123">
      <c r="A18123" s="8" t="str">
        <f>IFERROR(__xludf.DUMMYFUNCTION("IF('(INGESTA)Datos_consumo_datadis'!A19688&lt;&gt;"""",SPLIT('(INGESTA)Datos_consumo_datadis'!A:A,"",""),"""")"),"")</f>
        <v/>
      </c>
      <c r="G18123" s="8" t="str">
        <f t="shared" si="1"/>
        <v/>
      </c>
      <c r="H18123" s="14" t="str">
        <f t="shared" si="2"/>
        <v/>
      </c>
      <c r="I18123" s="15" t="str">
        <f t="shared" si="3"/>
        <v/>
      </c>
    </row>
    <row r="18124">
      <c r="A18124" s="8" t="str">
        <f>IFERROR(__xludf.DUMMYFUNCTION("IF('(INGESTA)Datos_consumo_datadis'!A19689&lt;&gt;"""",SPLIT('(INGESTA)Datos_consumo_datadis'!A:A,"",""),"""")"),"")</f>
        <v/>
      </c>
      <c r="G18124" s="8" t="str">
        <f t="shared" si="1"/>
        <v/>
      </c>
      <c r="H18124" s="14" t="str">
        <f t="shared" si="2"/>
        <v/>
      </c>
      <c r="I18124" s="15" t="str">
        <f t="shared" si="3"/>
        <v/>
      </c>
    </row>
    <row r="18125">
      <c r="A18125" s="8" t="str">
        <f>IFERROR(__xludf.DUMMYFUNCTION("IF('(INGESTA)Datos_consumo_datadis'!A19690&lt;&gt;"""",SPLIT('(INGESTA)Datos_consumo_datadis'!A:A,"",""),"""")"),"")</f>
        <v/>
      </c>
      <c r="G18125" s="8" t="str">
        <f t="shared" si="1"/>
        <v/>
      </c>
      <c r="H18125" s="14" t="str">
        <f t="shared" si="2"/>
        <v/>
      </c>
      <c r="I18125" s="15" t="str">
        <f t="shared" si="3"/>
        <v/>
      </c>
    </row>
    <row r="18126">
      <c r="A18126" s="8" t="str">
        <f>IFERROR(__xludf.DUMMYFUNCTION("IF('(INGESTA)Datos_consumo_datadis'!A19691&lt;&gt;"""",SPLIT('(INGESTA)Datos_consumo_datadis'!A:A,"",""),"""")"),"")</f>
        <v/>
      </c>
      <c r="G18126" s="8" t="str">
        <f t="shared" si="1"/>
        <v/>
      </c>
      <c r="H18126" s="14" t="str">
        <f t="shared" si="2"/>
        <v/>
      </c>
      <c r="I18126" s="15" t="str">
        <f t="shared" si="3"/>
        <v/>
      </c>
    </row>
    <row r="18127">
      <c r="A18127" s="8" t="str">
        <f>IFERROR(__xludf.DUMMYFUNCTION("IF('(INGESTA)Datos_consumo_datadis'!A19692&lt;&gt;"""",SPLIT('(INGESTA)Datos_consumo_datadis'!A:A,"",""),"""")"),"")</f>
        <v/>
      </c>
      <c r="G18127" s="8" t="str">
        <f t="shared" si="1"/>
        <v/>
      </c>
      <c r="H18127" s="14" t="str">
        <f t="shared" si="2"/>
        <v/>
      </c>
      <c r="I18127" s="15" t="str">
        <f t="shared" si="3"/>
        <v/>
      </c>
    </row>
    <row r="18128">
      <c r="A18128" s="8" t="str">
        <f>IFERROR(__xludf.DUMMYFUNCTION("IF('(INGESTA)Datos_consumo_datadis'!A19693&lt;&gt;"""",SPLIT('(INGESTA)Datos_consumo_datadis'!A:A,"",""),"""")"),"")</f>
        <v/>
      </c>
      <c r="G18128" s="8" t="str">
        <f t="shared" si="1"/>
        <v/>
      </c>
      <c r="H18128" s="14" t="str">
        <f t="shared" si="2"/>
        <v/>
      </c>
      <c r="I18128" s="15" t="str">
        <f t="shared" si="3"/>
        <v/>
      </c>
    </row>
    <row r="18129">
      <c r="A18129" s="8" t="str">
        <f>IFERROR(__xludf.DUMMYFUNCTION("IF('(INGESTA)Datos_consumo_datadis'!A19694&lt;&gt;"""",SPLIT('(INGESTA)Datos_consumo_datadis'!A:A,"",""),"""")"),"")</f>
        <v/>
      </c>
      <c r="G18129" s="8" t="str">
        <f t="shared" si="1"/>
        <v/>
      </c>
      <c r="H18129" s="14" t="str">
        <f t="shared" si="2"/>
        <v/>
      </c>
      <c r="I18129" s="15" t="str">
        <f t="shared" si="3"/>
        <v/>
      </c>
    </row>
    <row r="18130">
      <c r="A18130" s="8" t="str">
        <f>IFERROR(__xludf.DUMMYFUNCTION("IF('(INGESTA)Datos_consumo_datadis'!A19695&lt;&gt;"""",SPLIT('(INGESTA)Datos_consumo_datadis'!A:A,"",""),"""")"),"")</f>
        <v/>
      </c>
      <c r="G18130" s="8" t="str">
        <f t="shared" si="1"/>
        <v/>
      </c>
      <c r="H18130" s="14" t="str">
        <f t="shared" si="2"/>
        <v/>
      </c>
      <c r="I18130" s="15" t="str">
        <f t="shared" si="3"/>
        <v/>
      </c>
    </row>
    <row r="18131">
      <c r="A18131" s="8" t="str">
        <f>IFERROR(__xludf.DUMMYFUNCTION("IF('(INGESTA)Datos_consumo_datadis'!A19696&lt;&gt;"""",SPLIT('(INGESTA)Datos_consumo_datadis'!A:A,"",""),"""")"),"")</f>
        <v/>
      </c>
      <c r="G18131" s="8" t="str">
        <f t="shared" si="1"/>
        <v/>
      </c>
      <c r="H18131" s="14" t="str">
        <f t="shared" si="2"/>
        <v/>
      </c>
      <c r="I18131" s="15" t="str">
        <f t="shared" si="3"/>
        <v/>
      </c>
    </row>
    <row r="18132">
      <c r="A18132" s="8" t="str">
        <f>IFERROR(__xludf.DUMMYFUNCTION("IF('(INGESTA)Datos_consumo_datadis'!A19697&lt;&gt;"""",SPLIT('(INGESTA)Datos_consumo_datadis'!A:A,"",""),"""")"),"")</f>
        <v/>
      </c>
      <c r="G18132" s="8" t="str">
        <f t="shared" si="1"/>
        <v/>
      </c>
      <c r="H18132" s="14" t="str">
        <f t="shared" si="2"/>
        <v/>
      </c>
      <c r="I18132" s="15" t="str">
        <f t="shared" si="3"/>
        <v/>
      </c>
    </row>
    <row r="18133">
      <c r="A18133" s="8" t="str">
        <f>IFERROR(__xludf.DUMMYFUNCTION("IF('(INGESTA)Datos_consumo_datadis'!A19698&lt;&gt;"""",SPLIT('(INGESTA)Datos_consumo_datadis'!A:A,"",""),"""")"),"")</f>
        <v/>
      </c>
      <c r="G18133" s="8" t="str">
        <f t="shared" si="1"/>
        <v/>
      </c>
      <c r="H18133" s="14" t="str">
        <f t="shared" si="2"/>
        <v/>
      </c>
      <c r="I18133" s="15" t="str">
        <f t="shared" si="3"/>
        <v/>
      </c>
    </row>
    <row r="18134">
      <c r="A18134" s="8" t="str">
        <f>IFERROR(__xludf.DUMMYFUNCTION("IF('(INGESTA)Datos_consumo_datadis'!A19699&lt;&gt;"""",SPLIT('(INGESTA)Datos_consumo_datadis'!A:A,"",""),"""")"),"")</f>
        <v/>
      </c>
      <c r="G18134" s="8" t="str">
        <f t="shared" si="1"/>
        <v/>
      </c>
      <c r="H18134" s="14" t="str">
        <f t="shared" si="2"/>
        <v/>
      </c>
      <c r="I18134" s="15" t="str">
        <f t="shared" si="3"/>
        <v/>
      </c>
    </row>
    <row r="18135">
      <c r="A18135" s="8" t="str">
        <f>IFERROR(__xludf.DUMMYFUNCTION("IF('(INGESTA)Datos_consumo_datadis'!A19700&lt;&gt;"""",SPLIT('(INGESTA)Datos_consumo_datadis'!A:A,"",""),"""")"),"")</f>
        <v/>
      </c>
      <c r="G18135" s="8" t="str">
        <f t="shared" si="1"/>
        <v/>
      </c>
      <c r="H18135" s="14" t="str">
        <f t="shared" si="2"/>
        <v/>
      </c>
      <c r="I18135" s="15" t="str">
        <f t="shared" si="3"/>
        <v/>
      </c>
    </row>
    <row r="18136">
      <c r="A18136" s="8" t="str">
        <f>IFERROR(__xludf.DUMMYFUNCTION("IF('(INGESTA)Datos_consumo_datadis'!A19701&lt;&gt;"""",SPLIT('(INGESTA)Datos_consumo_datadis'!A:A,"",""),"""")"),"")</f>
        <v/>
      </c>
      <c r="G18136" s="8" t="str">
        <f t="shared" si="1"/>
        <v/>
      </c>
      <c r="H18136" s="14" t="str">
        <f t="shared" si="2"/>
        <v/>
      </c>
      <c r="I18136" s="15" t="str">
        <f t="shared" si="3"/>
        <v/>
      </c>
    </row>
    <row r="18137">
      <c r="A18137" s="8" t="str">
        <f>IFERROR(__xludf.DUMMYFUNCTION("IF('(INGESTA)Datos_consumo_datadis'!A19702&lt;&gt;"""",SPLIT('(INGESTA)Datos_consumo_datadis'!A:A,"",""),"""")"),"")</f>
        <v/>
      </c>
      <c r="G18137" s="8" t="str">
        <f t="shared" si="1"/>
        <v/>
      </c>
      <c r="H18137" s="14" t="str">
        <f t="shared" si="2"/>
        <v/>
      </c>
      <c r="I18137" s="15" t="str">
        <f t="shared" si="3"/>
        <v/>
      </c>
    </row>
    <row r="18138">
      <c r="A18138" s="8" t="str">
        <f>IFERROR(__xludf.DUMMYFUNCTION("IF('(INGESTA)Datos_consumo_datadis'!A19703&lt;&gt;"""",SPLIT('(INGESTA)Datos_consumo_datadis'!A:A,"",""),"""")"),"")</f>
        <v/>
      </c>
      <c r="G18138" s="8" t="str">
        <f t="shared" si="1"/>
        <v/>
      </c>
      <c r="H18138" s="14" t="str">
        <f t="shared" si="2"/>
        <v/>
      </c>
      <c r="I18138" s="15" t="str">
        <f t="shared" si="3"/>
        <v/>
      </c>
    </row>
    <row r="18139">
      <c r="A18139" s="8" t="str">
        <f>IFERROR(__xludf.DUMMYFUNCTION("IF('(INGESTA)Datos_consumo_datadis'!A19704&lt;&gt;"""",SPLIT('(INGESTA)Datos_consumo_datadis'!A:A,"",""),"""")"),"")</f>
        <v/>
      </c>
      <c r="G18139" s="8" t="str">
        <f t="shared" si="1"/>
        <v/>
      </c>
      <c r="H18139" s="14" t="str">
        <f t="shared" si="2"/>
        <v/>
      </c>
      <c r="I18139" s="15" t="str">
        <f t="shared" si="3"/>
        <v/>
      </c>
    </row>
    <row r="18140">
      <c r="A18140" s="8" t="str">
        <f>IFERROR(__xludf.DUMMYFUNCTION("IF('(INGESTA)Datos_consumo_datadis'!A19705&lt;&gt;"""",SPLIT('(INGESTA)Datos_consumo_datadis'!A:A,"",""),"""")"),"")</f>
        <v/>
      </c>
      <c r="G18140" s="8" t="str">
        <f t="shared" si="1"/>
        <v/>
      </c>
      <c r="H18140" s="14" t="str">
        <f t="shared" si="2"/>
        <v/>
      </c>
      <c r="I18140" s="15" t="str">
        <f t="shared" si="3"/>
        <v/>
      </c>
    </row>
    <row r="18141">
      <c r="A18141" s="8" t="str">
        <f>IFERROR(__xludf.DUMMYFUNCTION("IF('(INGESTA)Datos_consumo_datadis'!A19706&lt;&gt;"""",SPLIT('(INGESTA)Datos_consumo_datadis'!A:A,"",""),"""")"),"")</f>
        <v/>
      </c>
      <c r="G18141" s="8" t="str">
        <f t="shared" si="1"/>
        <v/>
      </c>
      <c r="H18141" s="14" t="str">
        <f t="shared" si="2"/>
        <v/>
      </c>
      <c r="I18141" s="15" t="str">
        <f t="shared" si="3"/>
        <v/>
      </c>
    </row>
    <row r="18142">
      <c r="A18142" s="8" t="str">
        <f>IFERROR(__xludf.DUMMYFUNCTION("IF('(INGESTA)Datos_consumo_datadis'!A19707&lt;&gt;"""",SPLIT('(INGESTA)Datos_consumo_datadis'!A:A,"",""),"""")"),"")</f>
        <v/>
      </c>
      <c r="G18142" s="8" t="str">
        <f t="shared" si="1"/>
        <v/>
      </c>
      <c r="H18142" s="14" t="str">
        <f t="shared" si="2"/>
        <v/>
      </c>
      <c r="I18142" s="15" t="str">
        <f t="shared" si="3"/>
        <v/>
      </c>
    </row>
    <row r="18143">
      <c r="A18143" s="8" t="str">
        <f>IFERROR(__xludf.DUMMYFUNCTION("IF('(INGESTA)Datos_consumo_datadis'!A19708&lt;&gt;"""",SPLIT('(INGESTA)Datos_consumo_datadis'!A:A,"",""),"""")"),"")</f>
        <v/>
      </c>
      <c r="G18143" s="8" t="str">
        <f t="shared" si="1"/>
        <v/>
      </c>
      <c r="H18143" s="14" t="str">
        <f t="shared" si="2"/>
        <v/>
      </c>
      <c r="I18143" s="15" t="str">
        <f t="shared" si="3"/>
        <v/>
      </c>
    </row>
    <row r="18144">
      <c r="A18144" s="8" t="str">
        <f>IFERROR(__xludf.DUMMYFUNCTION("IF('(INGESTA)Datos_consumo_datadis'!A19709&lt;&gt;"""",SPLIT('(INGESTA)Datos_consumo_datadis'!A:A,"",""),"""")"),"")</f>
        <v/>
      </c>
      <c r="G18144" s="8" t="str">
        <f t="shared" si="1"/>
        <v/>
      </c>
      <c r="H18144" s="14" t="str">
        <f t="shared" si="2"/>
        <v/>
      </c>
      <c r="I18144" s="15" t="str">
        <f t="shared" si="3"/>
        <v/>
      </c>
    </row>
    <row r="18145">
      <c r="A18145" s="8" t="str">
        <f>IFERROR(__xludf.DUMMYFUNCTION("IF('(INGESTA)Datos_consumo_datadis'!A19710&lt;&gt;"""",SPLIT('(INGESTA)Datos_consumo_datadis'!A:A,"",""),"""")"),"")</f>
        <v/>
      </c>
      <c r="G18145" s="8" t="str">
        <f t="shared" si="1"/>
        <v/>
      </c>
      <c r="H18145" s="14" t="str">
        <f t="shared" si="2"/>
        <v/>
      </c>
      <c r="I18145" s="15" t="str">
        <f t="shared" si="3"/>
        <v/>
      </c>
    </row>
    <row r="18146">
      <c r="A18146" s="8" t="str">
        <f>IFERROR(__xludf.DUMMYFUNCTION("IF('(INGESTA)Datos_consumo_datadis'!A19711&lt;&gt;"""",SPLIT('(INGESTA)Datos_consumo_datadis'!A:A,"",""),"""")"),"")</f>
        <v/>
      </c>
      <c r="G18146" s="8" t="str">
        <f t="shared" si="1"/>
        <v/>
      </c>
      <c r="H18146" s="14" t="str">
        <f t="shared" si="2"/>
        <v/>
      </c>
      <c r="I18146" s="15" t="str">
        <f t="shared" si="3"/>
        <v/>
      </c>
    </row>
    <row r="18147">
      <c r="A18147" s="8" t="str">
        <f>IFERROR(__xludf.DUMMYFUNCTION("IF('(INGESTA)Datos_consumo_datadis'!A19712&lt;&gt;"""",SPLIT('(INGESTA)Datos_consumo_datadis'!A:A,"",""),"""")"),"")</f>
        <v/>
      </c>
      <c r="G18147" s="8" t="str">
        <f t="shared" si="1"/>
        <v/>
      </c>
      <c r="H18147" s="14" t="str">
        <f t="shared" si="2"/>
        <v/>
      </c>
      <c r="I18147" s="15" t="str">
        <f t="shared" si="3"/>
        <v/>
      </c>
    </row>
    <row r="18148">
      <c r="A18148" s="8" t="str">
        <f>IFERROR(__xludf.DUMMYFUNCTION("IF('(INGESTA)Datos_consumo_datadis'!A19713&lt;&gt;"""",SPLIT('(INGESTA)Datos_consumo_datadis'!A:A,"",""),"""")"),"")</f>
        <v/>
      </c>
      <c r="G18148" s="8" t="str">
        <f t="shared" si="1"/>
        <v/>
      </c>
      <c r="H18148" s="14" t="str">
        <f t="shared" si="2"/>
        <v/>
      </c>
      <c r="I18148" s="15" t="str">
        <f t="shared" si="3"/>
        <v/>
      </c>
    </row>
    <row r="18149">
      <c r="A18149" s="8" t="str">
        <f>IFERROR(__xludf.DUMMYFUNCTION("IF('(INGESTA)Datos_consumo_datadis'!A19714&lt;&gt;"""",SPLIT('(INGESTA)Datos_consumo_datadis'!A:A,"",""),"""")"),"")</f>
        <v/>
      </c>
      <c r="G18149" s="8" t="str">
        <f t="shared" si="1"/>
        <v/>
      </c>
      <c r="H18149" s="14" t="str">
        <f t="shared" si="2"/>
        <v/>
      </c>
      <c r="I18149" s="15" t="str">
        <f t="shared" si="3"/>
        <v/>
      </c>
    </row>
    <row r="18150">
      <c r="A18150" s="8" t="str">
        <f>IFERROR(__xludf.DUMMYFUNCTION("IF('(INGESTA)Datos_consumo_datadis'!A19715&lt;&gt;"""",SPLIT('(INGESTA)Datos_consumo_datadis'!A:A,"",""),"""")"),"")</f>
        <v/>
      </c>
      <c r="G18150" s="8" t="str">
        <f t="shared" si="1"/>
        <v/>
      </c>
      <c r="H18150" s="14" t="str">
        <f t="shared" si="2"/>
        <v/>
      </c>
      <c r="I18150" s="15" t="str">
        <f t="shared" si="3"/>
        <v/>
      </c>
    </row>
    <row r="18151">
      <c r="A18151" s="8" t="str">
        <f>IFERROR(__xludf.DUMMYFUNCTION("IF('(INGESTA)Datos_consumo_datadis'!A19716&lt;&gt;"""",SPLIT('(INGESTA)Datos_consumo_datadis'!A:A,"",""),"""")"),"")</f>
        <v/>
      </c>
      <c r="G18151" s="8" t="str">
        <f t="shared" si="1"/>
        <v/>
      </c>
      <c r="H18151" s="14" t="str">
        <f t="shared" si="2"/>
        <v/>
      </c>
      <c r="I18151" s="15" t="str">
        <f t="shared" si="3"/>
        <v/>
      </c>
    </row>
    <row r="18152">
      <c r="A18152" s="8" t="str">
        <f>IFERROR(__xludf.DUMMYFUNCTION("IF('(INGESTA)Datos_consumo_datadis'!A19717&lt;&gt;"""",SPLIT('(INGESTA)Datos_consumo_datadis'!A:A,"",""),"""")"),"")</f>
        <v/>
      </c>
      <c r="G18152" s="8" t="str">
        <f t="shared" si="1"/>
        <v/>
      </c>
      <c r="H18152" s="14" t="str">
        <f t="shared" si="2"/>
        <v/>
      </c>
      <c r="I18152" s="15" t="str">
        <f t="shared" si="3"/>
        <v/>
      </c>
    </row>
    <row r="18153">
      <c r="A18153" s="8" t="str">
        <f>IFERROR(__xludf.DUMMYFUNCTION("IF('(INGESTA)Datos_consumo_datadis'!A19718&lt;&gt;"""",SPLIT('(INGESTA)Datos_consumo_datadis'!A:A,"",""),"""")"),"")</f>
        <v/>
      </c>
      <c r="G18153" s="8" t="str">
        <f t="shared" si="1"/>
        <v/>
      </c>
      <c r="H18153" s="14" t="str">
        <f t="shared" si="2"/>
        <v/>
      </c>
      <c r="I18153" s="15" t="str">
        <f t="shared" si="3"/>
        <v/>
      </c>
    </row>
    <row r="18154">
      <c r="A18154" s="8" t="str">
        <f>IFERROR(__xludf.DUMMYFUNCTION("IF('(INGESTA)Datos_consumo_datadis'!A19719&lt;&gt;"""",SPLIT('(INGESTA)Datos_consumo_datadis'!A:A,"",""),"""")"),"")</f>
        <v/>
      </c>
      <c r="G18154" s="8" t="str">
        <f t="shared" si="1"/>
        <v/>
      </c>
      <c r="H18154" s="14" t="str">
        <f t="shared" si="2"/>
        <v/>
      </c>
      <c r="I18154" s="15" t="str">
        <f t="shared" si="3"/>
        <v/>
      </c>
    </row>
    <row r="18155">
      <c r="A18155" s="8" t="str">
        <f>IFERROR(__xludf.DUMMYFUNCTION("IF('(INGESTA)Datos_consumo_datadis'!A19720&lt;&gt;"""",SPLIT('(INGESTA)Datos_consumo_datadis'!A:A,"",""),"""")"),"")</f>
        <v/>
      </c>
      <c r="G18155" s="8" t="str">
        <f t="shared" si="1"/>
        <v/>
      </c>
      <c r="H18155" s="14" t="str">
        <f t="shared" si="2"/>
        <v/>
      </c>
      <c r="I18155" s="15" t="str">
        <f t="shared" si="3"/>
        <v/>
      </c>
    </row>
    <row r="18156">
      <c r="A18156" s="8" t="str">
        <f>IFERROR(__xludf.DUMMYFUNCTION("IF('(INGESTA)Datos_consumo_datadis'!A19721&lt;&gt;"""",SPLIT('(INGESTA)Datos_consumo_datadis'!A:A,"",""),"""")"),"")</f>
        <v/>
      </c>
      <c r="G18156" s="8" t="str">
        <f t="shared" si="1"/>
        <v/>
      </c>
      <c r="H18156" s="14" t="str">
        <f t="shared" si="2"/>
        <v/>
      </c>
      <c r="I18156" s="15" t="str">
        <f t="shared" si="3"/>
        <v/>
      </c>
    </row>
    <row r="18157">
      <c r="A18157" s="8" t="str">
        <f>IFERROR(__xludf.DUMMYFUNCTION("IF('(INGESTA)Datos_consumo_datadis'!A19722&lt;&gt;"""",SPLIT('(INGESTA)Datos_consumo_datadis'!A:A,"",""),"""")"),"")</f>
        <v/>
      </c>
      <c r="G18157" s="8" t="str">
        <f t="shared" si="1"/>
        <v/>
      </c>
      <c r="H18157" s="14" t="str">
        <f t="shared" si="2"/>
        <v/>
      </c>
      <c r="I18157" s="15" t="str">
        <f t="shared" si="3"/>
        <v/>
      </c>
    </row>
    <row r="18158">
      <c r="A18158" s="8" t="str">
        <f>IFERROR(__xludf.DUMMYFUNCTION("IF('(INGESTA)Datos_consumo_datadis'!A19723&lt;&gt;"""",SPLIT('(INGESTA)Datos_consumo_datadis'!A:A,"",""),"""")"),"")</f>
        <v/>
      </c>
      <c r="G18158" s="8" t="str">
        <f t="shared" si="1"/>
        <v/>
      </c>
      <c r="H18158" s="14" t="str">
        <f t="shared" si="2"/>
        <v/>
      </c>
      <c r="I18158" s="15" t="str">
        <f t="shared" si="3"/>
        <v/>
      </c>
    </row>
    <row r="18159">
      <c r="A18159" s="8" t="str">
        <f>IFERROR(__xludf.DUMMYFUNCTION("IF('(INGESTA)Datos_consumo_datadis'!A19724&lt;&gt;"""",SPLIT('(INGESTA)Datos_consumo_datadis'!A:A,"",""),"""")"),"")</f>
        <v/>
      </c>
      <c r="G18159" s="8" t="str">
        <f t="shared" si="1"/>
        <v/>
      </c>
      <c r="H18159" s="14" t="str">
        <f t="shared" si="2"/>
        <v/>
      </c>
      <c r="I18159" s="15" t="str">
        <f t="shared" si="3"/>
        <v/>
      </c>
    </row>
    <row r="18160">
      <c r="A18160" s="8" t="str">
        <f>IFERROR(__xludf.DUMMYFUNCTION("IF('(INGESTA)Datos_consumo_datadis'!A19725&lt;&gt;"""",SPLIT('(INGESTA)Datos_consumo_datadis'!A:A,"",""),"""")"),"")</f>
        <v/>
      </c>
      <c r="G18160" s="8" t="str">
        <f t="shared" si="1"/>
        <v/>
      </c>
      <c r="H18160" s="14" t="str">
        <f t="shared" si="2"/>
        <v/>
      </c>
      <c r="I18160" s="15" t="str">
        <f t="shared" si="3"/>
        <v/>
      </c>
    </row>
    <row r="18161">
      <c r="A18161" s="8" t="str">
        <f>IFERROR(__xludf.DUMMYFUNCTION("IF('(INGESTA)Datos_consumo_datadis'!A19726&lt;&gt;"""",SPLIT('(INGESTA)Datos_consumo_datadis'!A:A,"",""),"""")"),"")</f>
        <v/>
      </c>
      <c r="G18161" s="8" t="str">
        <f t="shared" si="1"/>
        <v/>
      </c>
      <c r="H18161" s="14" t="str">
        <f t="shared" si="2"/>
        <v/>
      </c>
      <c r="I18161" s="15" t="str">
        <f t="shared" si="3"/>
        <v/>
      </c>
    </row>
    <row r="18162">
      <c r="A18162" s="8" t="str">
        <f>IFERROR(__xludf.DUMMYFUNCTION("IF('(INGESTA)Datos_consumo_datadis'!A19727&lt;&gt;"""",SPLIT('(INGESTA)Datos_consumo_datadis'!A:A,"",""),"""")"),"")</f>
        <v/>
      </c>
      <c r="G18162" s="8" t="str">
        <f t="shared" si="1"/>
        <v/>
      </c>
      <c r="H18162" s="14" t="str">
        <f t="shared" si="2"/>
        <v/>
      </c>
      <c r="I18162" s="15" t="str">
        <f t="shared" si="3"/>
        <v/>
      </c>
    </row>
    <row r="18163">
      <c r="A18163" s="8" t="str">
        <f>IFERROR(__xludf.DUMMYFUNCTION("IF('(INGESTA)Datos_consumo_datadis'!A19728&lt;&gt;"""",SPLIT('(INGESTA)Datos_consumo_datadis'!A:A,"",""),"""")"),"")</f>
        <v/>
      </c>
      <c r="G18163" s="8" t="str">
        <f t="shared" si="1"/>
        <v/>
      </c>
      <c r="H18163" s="14" t="str">
        <f t="shared" si="2"/>
        <v/>
      </c>
      <c r="I18163" s="15" t="str">
        <f t="shared" si="3"/>
        <v/>
      </c>
    </row>
    <row r="18164">
      <c r="A18164" s="8" t="str">
        <f>IFERROR(__xludf.DUMMYFUNCTION("IF('(INGESTA)Datos_consumo_datadis'!A19729&lt;&gt;"""",SPLIT('(INGESTA)Datos_consumo_datadis'!A:A,"",""),"""")"),"")</f>
        <v/>
      </c>
      <c r="G18164" s="8" t="str">
        <f t="shared" si="1"/>
        <v/>
      </c>
      <c r="H18164" s="14" t="str">
        <f t="shared" si="2"/>
        <v/>
      </c>
      <c r="I18164" s="15" t="str">
        <f t="shared" si="3"/>
        <v/>
      </c>
    </row>
    <row r="18165">
      <c r="A18165" s="8" t="str">
        <f>IFERROR(__xludf.DUMMYFUNCTION("IF('(INGESTA)Datos_consumo_datadis'!A19730&lt;&gt;"""",SPLIT('(INGESTA)Datos_consumo_datadis'!A:A,"",""),"""")"),"")</f>
        <v/>
      </c>
      <c r="G18165" s="8" t="str">
        <f t="shared" si="1"/>
        <v/>
      </c>
      <c r="H18165" s="14" t="str">
        <f t="shared" si="2"/>
        <v/>
      </c>
      <c r="I18165" s="15" t="str">
        <f t="shared" si="3"/>
        <v/>
      </c>
    </row>
    <row r="18166">
      <c r="A18166" s="8" t="str">
        <f>IFERROR(__xludf.DUMMYFUNCTION("IF('(INGESTA)Datos_consumo_datadis'!A19731&lt;&gt;"""",SPLIT('(INGESTA)Datos_consumo_datadis'!A:A,"",""),"""")"),"")</f>
        <v/>
      </c>
      <c r="G18166" s="8" t="str">
        <f t="shared" si="1"/>
        <v/>
      </c>
      <c r="H18166" s="14" t="str">
        <f t="shared" si="2"/>
        <v/>
      </c>
      <c r="I18166" s="15" t="str">
        <f t="shared" si="3"/>
        <v/>
      </c>
    </row>
    <row r="18167">
      <c r="A18167" s="8" t="str">
        <f>IFERROR(__xludf.DUMMYFUNCTION("IF('(INGESTA)Datos_consumo_datadis'!A19732&lt;&gt;"""",SPLIT('(INGESTA)Datos_consumo_datadis'!A:A,"",""),"""")"),"")</f>
        <v/>
      </c>
      <c r="G18167" s="8" t="str">
        <f t="shared" si="1"/>
        <v/>
      </c>
      <c r="H18167" s="14" t="str">
        <f t="shared" si="2"/>
        <v/>
      </c>
      <c r="I18167" s="15" t="str">
        <f t="shared" si="3"/>
        <v/>
      </c>
    </row>
    <row r="18168">
      <c r="A18168" s="8" t="str">
        <f>IFERROR(__xludf.DUMMYFUNCTION("IF('(INGESTA)Datos_consumo_datadis'!A19733&lt;&gt;"""",SPLIT('(INGESTA)Datos_consumo_datadis'!A:A,"",""),"""")"),"")</f>
        <v/>
      </c>
      <c r="G18168" s="8" t="str">
        <f t="shared" si="1"/>
        <v/>
      </c>
      <c r="H18168" s="14" t="str">
        <f t="shared" si="2"/>
        <v/>
      </c>
      <c r="I18168" s="15" t="str">
        <f t="shared" si="3"/>
        <v/>
      </c>
    </row>
    <row r="18169">
      <c r="A18169" s="8" t="str">
        <f>IFERROR(__xludf.DUMMYFUNCTION("IF('(INGESTA)Datos_consumo_datadis'!A19734&lt;&gt;"""",SPLIT('(INGESTA)Datos_consumo_datadis'!A:A,"",""),"""")"),"")</f>
        <v/>
      </c>
      <c r="G18169" s="8" t="str">
        <f t="shared" si="1"/>
        <v/>
      </c>
      <c r="H18169" s="14" t="str">
        <f t="shared" si="2"/>
        <v/>
      </c>
      <c r="I18169" s="15" t="str">
        <f t="shared" si="3"/>
        <v/>
      </c>
    </row>
    <row r="18170">
      <c r="A18170" s="8" t="str">
        <f>IFERROR(__xludf.DUMMYFUNCTION("IF('(INGESTA)Datos_consumo_datadis'!A19735&lt;&gt;"""",SPLIT('(INGESTA)Datos_consumo_datadis'!A:A,"",""),"""")"),"")</f>
        <v/>
      </c>
      <c r="G18170" s="8" t="str">
        <f t="shared" si="1"/>
        <v/>
      </c>
      <c r="H18170" s="14" t="str">
        <f t="shared" si="2"/>
        <v/>
      </c>
      <c r="I18170" s="15" t="str">
        <f t="shared" si="3"/>
        <v/>
      </c>
    </row>
    <row r="18171">
      <c r="A18171" s="8" t="str">
        <f>IFERROR(__xludf.DUMMYFUNCTION("IF('(INGESTA)Datos_consumo_datadis'!A19736&lt;&gt;"""",SPLIT('(INGESTA)Datos_consumo_datadis'!A:A,"",""),"""")"),"")</f>
        <v/>
      </c>
      <c r="G18171" s="8" t="str">
        <f t="shared" si="1"/>
        <v/>
      </c>
      <c r="H18171" s="14" t="str">
        <f t="shared" si="2"/>
        <v/>
      </c>
      <c r="I18171" s="15" t="str">
        <f t="shared" si="3"/>
        <v/>
      </c>
    </row>
    <row r="18172">
      <c r="A18172" s="8" t="str">
        <f>IFERROR(__xludf.DUMMYFUNCTION("IF('(INGESTA)Datos_consumo_datadis'!A19737&lt;&gt;"""",SPLIT('(INGESTA)Datos_consumo_datadis'!A:A,"",""),"""")"),"")</f>
        <v/>
      </c>
      <c r="G18172" s="8" t="str">
        <f t="shared" si="1"/>
        <v/>
      </c>
      <c r="H18172" s="14" t="str">
        <f t="shared" si="2"/>
        <v/>
      </c>
      <c r="I18172" s="15" t="str">
        <f t="shared" si="3"/>
        <v/>
      </c>
    </row>
    <row r="18173">
      <c r="A18173" s="8" t="str">
        <f>IFERROR(__xludf.DUMMYFUNCTION("IF('(INGESTA)Datos_consumo_datadis'!A19738&lt;&gt;"""",SPLIT('(INGESTA)Datos_consumo_datadis'!A:A,"",""),"""")"),"")</f>
        <v/>
      </c>
      <c r="G18173" s="8" t="str">
        <f t="shared" si="1"/>
        <v/>
      </c>
      <c r="H18173" s="14" t="str">
        <f t="shared" si="2"/>
        <v/>
      </c>
      <c r="I18173" s="15" t="str">
        <f t="shared" si="3"/>
        <v/>
      </c>
    </row>
    <row r="18174">
      <c r="A18174" s="8" t="str">
        <f>IFERROR(__xludf.DUMMYFUNCTION("IF('(INGESTA)Datos_consumo_datadis'!A19739&lt;&gt;"""",SPLIT('(INGESTA)Datos_consumo_datadis'!A:A,"",""),"""")"),"")</f>
        <v/>
      </c>
      <c r="G18174" s="8" t="str">
        <f t="shared" si="1"/>
        <v/>
      </c>
      <c r="H18174" s="14" t="str">
        <f t="shared" si="2"/>
        <v/>
      </c>
      <c r="I18174" s="15" t="str">
        <f t="shared" si="3"/>
        <v/>
      </c>
    </row>
    <row r="18175">
      <c r="A18175" s="8" t="str">
        <f>IFERROR(__xludf.DUMMYFUNCTION("IF('(INGESTA)Datos_consumo_datadis'!A19740&lt;&gt;"""",SPLIT('(INGESTA)Datos_consumo_datadis'!A:A,"",""),"""")"),"")</f>
        <v/>
      </c>
      <c r="G18175" s="8" t="str">
        <f t="shared" si="1"/>
        <v/>
      </c>
      <c r="H18175" s="14" t="str">
        <f t="shared" si="2"/>
        <v/>
      </c>
      <c r="I18175" s="15" t="str">
        <f t="shared" si="3"/>
        <v/>
      </c>
    </row>
    <row r="18176">
      <c r="A18176" s="8" t="str">
        <f>IFERROR(__xludf.DUMMYFUNCTION("IF('(INGESTA)Datos_consumo_datadis'!A19741&lt;&gt;"""",SPLIT('(INGESTA)Datos_consumo_datadis'!A:A,"",""),"""")"),"")</f>
        <v/>
      </c>
      <c r="G18176" s="8" t="str">
        <f t="shared" si="1"/>
        <v/>
      </c>
      <c r="H18176" s="14" t="str">
        <f t="shared" si="2"/>
        <v/>
      </c>
      <c r="I18176" s="15" t="str">
        <f t="shared" si="3"/>
        <v/>
      </c>
    </row>
    <row r="18177">
      <c r="A18177" s="8" t="str">
        <f>IFERROR(__xludf.DUMMYFUNCTION("IF('(INGESTA)Datos_consumo_datadis'!A19742&lt;&gt;"""",SPLIT('(INGESTA)Datos_consumo_datadis'!A:A,"",""),"""")"),"")</f>
        <v/>
      </c>
      <c r="G18177" s="8" t="str">
        <f t="shared" si="1"/>
        <v/>
      </c>
      <c r="H18177" s="14" t="str">
        <f t="shared" si="2"/>
        <v/>
      </c>
      <c r="I18177" s="15" t="str">
        <f t="shared" si="3"/>
        <v/>
      </c>
    </row>
    <row r="18178">
      <c r="A18178" s="8" t="str">
        <f>IFERROR(__xludf.DUMMYFUNCTION("IF('(INGESTA)Datos_consumo_datadis'!A19743&lt;&gt;"""",SPLIT('(INGESTA)Datos_consumo_datadis'!A:A,"",""),"""")"),"")</f>
        <v/>
      </c>
      <c r="G18178" s="8" t="str">
        <f t="shared" si="1"/>
        <v/>
      </c>
      <c r="H18178" s="14" t="str">
        <f t="shared" si="2"/>
        <v/>
      </c>
      <c r="I18178" s="15" t="str">
        <f t="shared" si="3"/>
        <v/>
      </c>
    </row>
    <row r="18179">
      <c r="A18179" s="8" t="str">
        <f>IFERROR(__xludf.DUMMYFUNCTION("IF('(INGESTA)Datos_consumo_datadis'!A19744&lt;&gt;"""",SPLIT('(INGESTA)Datos_consumo_datadis'!A:A,"",""),"""")"),"")</f>
        <v/>
      </c>
      <c r="G18179" s="8" t="str">
        <f t="shared" si="1"/>
        <v/>
      </c>
      <c r="H18179" s="14" t="str">
        <f t="shared" si="2"/>
        <v/>
      </c>
      <c r="I18179" s="15" t="str">
        <f t="shared" si="3"/>
        <v/>
      </c>
    </row>
    <row r="18180">
      <c r="A18180" s="8" t="str">
        <f>IFERROR(__xludf.DUMMYFUNCTION("IF('(INGESTA)Datos_consumo_datadis'!A19745&lt;&gt;"""",SPLIT('(INGESTA)Datos_consumo_datadis'!A:A,"",""),"""")"),"")</f>
        <v/>
      </c>
      <c r="G18180" s="8" t="str">
        <f t="shared" si="1"/>
        <v/>
      </c>
      <c r="H18180" s="14" t="str">
        <f t="shared" si="2"/>
        <v/>
      </c>
      <c r="I18180" s="15" t="str">
        <f t="shared" si="3"/>
        <v/>
      </c>
    </row>
    <row r="18181">
      <c r="A18181" s="8" t="str">
        <f>IFERROR(__xludf.DUMMYFUNCTION("IF('(INGESTA)Datos_consumo_datadis'!A19746&lt;&gt;"""",SPLIT('(INGESTA)Datos_consumo_datadis'!A:A,"",""),"""")"),"")</f>
        <v/>
      </c>
      <c r="G18181" s="8" t="str">
        <f t="shared" si="1"/>
        <v/>
      </c>
      <c r="H18181" s="14" t="str">
        <f t="shared" si="2"/>
        <v/>
      </c>
      <c r="I18181" s="15" t="str">
        <f t="shared" si="3"/>
        <v/>
      </c>
    </row>
    <row r="18182">
      <c r="A18182" s="8" t="str">
        <f>IFERROR(__xludf.DUMMYFUNCTION("IF('(INGESTA)Datos_consumo_datadis'!A19747&lt;&gt;"""",SPLIT('(INGESTA)Datos_consumo_datadis'!A:A,"",""),"""")"),"")</f>
        <v/>
      </c>
      <c r="G18182" s="8" t="str">
        <f t="shared" si="1"/>
        <v/>
      </c>
      <c r="H18182" s="14" t="str">
        <f t="shared" si="2"/>
        <v/>
      </c>
      <c r="I18182" s="15" t="str">
        <f t="shared" si="3"/>
        <v/>
      </c>
    </row>
    <row r="18183">
      <c r="A18183" s="8" t="str">
        <f>IFERROR(__xludf.DUMMYFUNCTION("IF('(INGESTA)Datos_consumo_datadis'!A19748&lt;&gt;"""",SPLIT('(INGESTA)Datos_consumo_datadis'!A:A,"",""),"""")"),"")</f>
        <v/>
      </c>
      <c r="G18183" s="8" t="str">
        <f t="shared" si="1"/>
        <v/>
      </c>
      <c r="H18183" s="14" t="str">
        <f t="shared" si="2"/>
        <v/>
      </c>
      <c r="I18183" s="15" t="str">
        <f t="shared" si="3"/>
        <v/>
      </c>
    </row>
    <row r="18184">
      <c r="A18184" s="8" t="str">
        <f>IFERROR(__xludf.DUMMYFUNCTION("IF('(INGESTA)Datos_consumo_datadis'!A19749&lt;&gt;"""",SPLIT('(INGESTA)Datos_consumo_datadis'!A:A,"",""),"""")"),"")</f>
        <v/>
      </c>
      <c r="G18184" s="8" t="str">
        <f t="shared" si="1"/>
        <v/>
      </c>
      <c r="H18184" s="14" t="str">
        <f t="shared" si="2"/>
        <v/>
      </c>
      <c r="I18184" s="15" t="str">
        <f t="shared" si="3"/>
        <v/>
      </c>
    </row>
    <row r="18185">
      <c r="A18185" s="8" t="str">
        <f>IFERROR(__xludf.DUMMYFUNCTION("IF('(INGESTA)Datos_consumo_datadis'!A19750&lt;&gt;"""",SPLIT('(INGESTA)Datos_consumo_datadis'!A:A,"",""),"""")"),"")</f>
        <v/>
      </c>
      <c r="G18185" s="8" t="str">
        <f t="shared" si="1"/>
        <v/>
      </c>
      <c r="H18185" s="14" t="str">
        <f t="shared" si="2"/>
        <v/>
      </c>
      <c r="I18185" s="15" t="str">
        <f t="shared" si="3"/>
        <v/>
      </c>
    </row>
    <row r="18186">
      <c r="A18186" s="8" t="str">
        <f>IFERROR(__xludf.DUMMYFUNCTION("IF('(INGESTA)Datos_consumo_datadis'!A19751&lt;&gt;"""",SPLIT('(INGESTA)Datos_consumo_datadis'!A:A,"",""),"""")"),"")</f>
        <v/>
      </c>
      <c r="G18186" s="8" t="str">
        <f t="shared" si="1"/>
        <v/>
      </c>
      <c r="H18186" s="14" t="str">
        <f t="shared" si="2"/>
        <v/>
      </c>
      <c r="I18186" s="15" t="str">
        <f t="shared" si="3"/>
        <v/>
      </c>
    </row>
    <row r="18187">
      <c r="A18187" s="8" t="str">
        <f>IFERROR(__xludf.DUMMYFUNCTION("IF('(INGESTA)Datos_consumo_datadis'!A19752&lt;&gt;"""",SPLIT('(INGESTA)Datos_consumo_datadis'!A:A,"",""),"""")"),"")</f>
        <v/>
      </c>
      <c r="G18187" s="8" t="str">
        <f t="shared" si="1"/>
        <v/>
      </c>
      <c r="H18187" s="14" t="str">
        <f t="shared" si="2"/>
        <v/>
      </c>
      <c r="I18187" s="15" t="str">
        <f t="shared" si="3"/>
        <v/>
      </c>
    </row>
    <row r="18188">
      <c r="A18188" s="8" t="str">
        <f>IFERROR(__xludf.DUMMYFUNCTION("IF('(INGESTA)Datos_consumo_datadis'!A19753&lt;&gt;"""",SPLIT('(INGESTA)Datos_consumo_datadis'!A:A,"",""),"""")"),"")</f>
        <v/>
      </c>
      <c r="G18188" s="8" t="str">
        <f t="shared" si="1"/>
        <v/>
      </c>
      <c r="H18188" s="14" t="str">
        <f t="shared" si="2"/>
        <v/>
      </c>
      <c r="I18188" s="15" t="str">
        <f t="shared" si="3"/>
        <v/>
      </c>
    </row>
    <row r="18189">
      <c r="A18189" s="8" t="str">
        <f>IFERROR(__xludf.DUMMYFUNCTION("IF('(INGESTA)Datos_consumo_datadis'!A19754&lt;&gt;"""",SPLIT('(INGESTA)Datos_consumo_datadis'!A:A,"",""),"""")"),"")</f>
        <v/>
      </c>
      <c r="G18189" s="8" t="str">
        <f t="shared" si="1"/>
        <v/>
      </c>
      <c r="H18189" s="14" t="str">
        <f t="shared" si="2"/>
        <v/>
      </c>
      <c r="I18189" s="15" t="str">
        <f t="shared" si="3"/>
        <v/>
      </c>
    </row>
    <row r="18190">
      <c r="A18190" s="8" t="str">
        <f>IFERROR(__xludf.DUMMYFUNCTION("IF('(INGESTA)Datos_consumo_datadis'!A19755&lt;&gt;"""",SPLIT('(INGESTA)Datos_consumo_datadis'!A:A,"",""),"""")"),"")</f>
        <v/>
      </c>
      <c r="G18190" s="8" t="str">
        <f t="shared" si="1"/>
        <v/>
      </c>
      <c r="H18190" s="14" t="str">
        <f t="shared" si="2"/>
        <v/>
      </c>
      <c r="I18190" s="15" t="str">
        <f t="shared" si="3"/>
        <v/>
      </c>
    </row>
    <row r="18191">
      <c r="A18191" s="8" t="str">
        <f>IFERROR(__xludf.DUMMYFUNCTION("IF('(INGESTA)Datos_consumo_datadis'!A19756&lt;&gt;"""",SPLIT('(INGESTA)Datos_consumo_datadis'!A:A,"",""),"""")"),"")</f>
        <v/>
      </c>
      <c r="G18191" s="8" t="str">
        <f t="shared" si="1"/>
        <v/>
      </c>
      <c r="H18191" s="14" t="str">
        <f t="shared" si="2"/>
        <v/>
      </c>
      <c r="I18191" s="15" t="str">
        <f t="shared" si="3"/>
        <v/>
      </c>
    </row>
    <row r="18192">
      <c r="A18192" s="8" t="str">
        <f>IFERROR(__xludf.DUMMYFUNCTION("IF('(INGESTA)Datos_consumo_datadis'!A19757&lt;&gt;"""",SPLIT('(INGESTA)Datos_consumo_datadis'!A:A,"",""),"""")"),"")</f>
        <v/>
      </c>
      <c r="G18192" s="8" t="str">
        <f t="shared" si="1"/>
        <v/>
      </c>
      <c r="H18192" s="14" t="str">
        <f t="shared" si="2"/>
        <v/>
      </c>
      <c r="I18192" s="15" t="str">
        <f t="shared" si="3"/>
        <v/>
      </c>
    </row>
    <row r="18193">
      <c r="A18193" s="8" t="str">
        <f>IFERROR(__xludf.DUMMYFUNCTION("IF('(INGESTA)Datos_consumo_datadis'!A19758&lt;&gt;"""",SPLIT('(INGESTA)Datos_consumo_datadis'!A:A,"",""),"""")"),"")</f>
        <v/>
      </c>
      <c r="G18193" s="8" t="str">
        <f t="shared" si="1"/>
        <v/>
      </c>
      <c r="H18193" s="14" t="str">
        <f t="shared" si="2"/>
        <v/>
      </c>
      <c r="I18193" s="15" t="str">
        <f t="shared" si="3"/>
        <v/>
      </c>
    </row>
    <row r="18194">
      <c r="A18194" s="8" t="str">
        <f>IFERROR(__xludf.DUMMYFUNCTION("IF('(INGESTA)Datos_consumo_datadis'!A19759&lt;&gt;"""",SPLIT('(INGESTA)Datos_consumo_datadis'!A:A,"",""),"""")"),"")</f>
        <v/>
      </c>
      <c r="G18194" s="8" t="str">
        <f t="shared" si="1"/>
        <v/>
      </c>
      <c r="H18194" s="14" t="str">
        <f t="shared" si="2"/>
        <v/>
      </c>
      <c r="I18194" s="15" t="str">
        <f t="shared" si="3"/>
        <v/>
      </c>
    </row>
    <row r="18195">
      <c r="A18195" s="8" t="str">
        <f>IFERROR(__xludf.DUMMYFUNCTION("IF('(INGESTA)Datos_consumo_datadis'!A19760&lt;&gt;"""",SPLIT('(INGESTA)Datos_consumo_datadis'!A:A,"",""),"""")"),"")</f>
        <v/>
      </c>
      <c r="G18195" s="8" t="str">
        <f t="shared" si="1"/>
        <v/>
      </c>
      <c r="H18195" s="14" t="str">
        <f t="shared" si="2"/>
        <v/>
      </c>
      <c r="I18195" s="15" t="str">
        <f t="shared" si="3"/>
        <v/>
      </c>
    </row>
    <row r="18196">
      <c r="A18196" s="8" t="str">
        <f>IFERROR(__xludf.DUMMYFUNCTION("IF('(INGESTA)Datos_consumo_datadis'!A19761&lt;&gt;"""",SPLIT('(INGESTA)Datos_consumo_datadis'!A:A,"",""),"""")"),"")</f>
        <v/>
      </c>
      <c r="G18196" s="8" t="str">
        <f t="shared" si="1"/>
        <v/>
      </c>
      <c r="H18196" s="14" t="str">
        <f t="shared" si="2"/>
        <v/>
      </c>
      <c r="I18196" s="15" t="str">
        <f t="shared" si="3"/>
        <v/>
      </c>
    </row>
    <row r="18197">
      <c r="A18197" s="8" t="str">
        <f>IFERROR(__xludf.DUMMYFUNCTION("IF('(INGESTA)Datos_consumo_datadis'!A19762&lt;&gt;"""",SPLIT('(INGESTA)Datos_consumo_datadis'!A:A,"",""),"""")"),"")</f>
        <v/>
      </c>
      <c r="G18197" s="8" t="str">
        <f t="shared" si="1"/>
        <v/>
      </c>
      <c r="H18197" s="14" t="str">
        <f t="shared" si="2"/>
        <v/>
      </c>
      <c r="I18197" s="15" t="str">
        <f t="shared" si="3"/>
        <v/>
      </c>
    </row>
    <row r="18198">
      <c r="A18198" s="8" t="str">
        <f>IFERROR(__xludf.DUMMYFUNCTION("IF('(INGESTA)Datos_consumo_datadis'!A19763&lt;&gt;"""",SPLIT('(INGESTA)Datos_consumo_datadis'!A:A,"",""),"""")"),"")</f>
        <v/>
      </c>
      <c r="G18198" s="8" t="str">
        <f t="shared" si="1"/>
        <v/>
      </c>
      <c r="H18198" s="14" t="str">
        <f t="shared" si="2"/>
        <v/>
      </c>
      <c r="I18198" s="15" t="str">
        <f t="shared" si="3"/>
        <v/>
      </c>
    </row>
    <row r="18199">
      <c r="A18199" s="8" t="str">
        <f>IFERROR(__xludf.DUMMYFUNCTION("IF('(INGESTA)Datos_consumo_datadis'!A19764&lt;&gt;"""",SPLIT('(INGESTA)Datos_consumo_datadis'!A:A,"",""),"""")"),"")</f>
        <v/>
      </c>
      <c r="G18199" s="8" t="str">
        <f t="shared" si="1"/>
        <v/>
      </c>
      <c r="H18199" s="14" t="str">
        <f t="shared" si="2"/>
        <v/>
      </c>
      <c r="I18199" s="15" t="str">
        <f t="shared" si="3"/>
        <v/>
      </c>
    </row>
    <row r="18200">
      <c r="A18200" s="8" t="str">
        <f>IFERROR(__xludf.DUMMYFUNCTION("IF('(INGESTA)Datos_consumo_datadis'!A19765&lt;&gt;"""",SPLIT('(INGESTA)Datos_consumo_datadis'!A:A,"",""),"""")"),"")</f>
        <v/>
      </c>
      <c r="G18200" s="8" t="str">
        <f t="shared" si="1"/>
        <v/>
      </c>
      <c r="H18200" s="14" t="str">
        <f t="shared" si="2"/>
        <v/>
      </c>
      <c r="I18200" s="15" t="str">
        <f t="shared" si="3"/>
        <v/>
      </c>
    </row>
    <row r="18201">
      <c r="A18201" s="8" t="str">
        <f>IFERROR(__xludf.DUMMYFUNCTION("IF('(INGESTA)Datos_consumo_datadis'!A19766&lt;&gt;"""",SPLIT('(INGESTA)Datos_consumo_datadis'!A:A,"",""),"""")"),"")</f>
        <v/>
      </c>
      <c r="G18201" s="8" t="str">
        <f t="shared" si="1"/>
        <v/>
      </c>
      <c r="H18201" s="14" t="str">
        <f t="shared" si="2"/>
        <v/>
      </c>
      <c r="I18201" s="15" t="str">
        <f t="shared" si="3"/>
        <v/>
      </c>
    </row>
    <row r="18202">
      <c r="A18202" s="8" t="str">
        <f>IFERROR(__xludf.DUMMYFUNCTION("IF('(INGESTA)Datos_consumo_datadis'!A19767&lt;&gt;"""",SPLIT('(INGESTA)Datos_consumo_datadis'!A:A,"",""),"""")"),"")</f>
        <v/>
      </c>
      <c r="G18202" s="8" t="str">
        <f t="shared" si="1"/>
        <v/>
      </c>
      <c r="H18202" s="14" t="str">
        <f t="shared" si="2"/>
        <v/>
      </c>
      <c r="I18202" s="15" t="str">
        <f t="shared" si="3"/>
        <v/>
      </c>
    </row>
    <row r="18203">
      <c r="A18203" s="8" t="str">
        <f>IFERROR(__xludf.DUMMYFUNCTION("IF('(INGESTA)Datos_consumo_datadis'!A19768&lt;&gt;"""",SPLIT('(INGESTA)Datos_consumo_datadis'!A:A,"",""),"""")"),"")</f>
        <v/>
      </c>
      <c r="G18203" s="8" t="str">
        <f t="shared" si="1"/>
        <v/>
      </c>
      <c r="H18203" s="14" t="str">
        <f t="shared" si="2"/>
        <v/>
      </c>
      <c r="I18203" s="15" t="str">
        <f t="shared" si="3"/>
        <v/>
      </c>
    </row>
    <row r="18204">
      <c r="A18204" s="8" t="str">
        <f>IFERROR(__xludf.DUMMYFUNCTION("IF('(INGESTA)Datos_consumo_datadis'!A19769&lt;&gt;"""",SPLIT('(INGESTA)Datos_consumo_datadis'!A:A,"",""),"""")"),"")</f>
        <v/>
      </c>
      <c r="G18204" s="8" t="str">
        <f t="shared" si="1"/>
        <v/>
      </c>
      <c r="H18204" s="14" t="str">
        <f t="shared" si="2"/>
        <v/>
      </c>
      <c r="I18204" s="15" t="str">
        <f t="shared" si="3"/>
        <v/>
      </c>
    </row>
    <row r="18205">
      <c r="A18205" s="8" t="str">
        <f>IFERROR(__xludf.DUMMYFUNCTION("IF('(INGESTA)Datos_consumo_datadis'!A19770&lt;&gt;"""",SPLIT('(INGESTA)Datos_consumo_datadis'!A:A,"",""),"""")"),"")</f>
        <v/>
      </c>
      <c r="G18205" s="8" t="str">
        <f t="shared" si="1"/>
        <v/>
      </c>
      <c r="H18205" s="14" t="str">
        <f t="shared" si="2"/>
        <v/>
      </c>
      <c r="I18205" s="15" t="str">
        <f t="shared" si="3"/>
        <v/>
      </c>
    </row>
    <row r="18206">
      <c r="A18206" s="8" t="str">
        <f>IFERROR(__xludf.DUMMYFUNCTION("IF('(INGESTA)Datos_consumo_datadis'!A19771&lt;&gt;"""",SPLIT('(INGESTA)Datos_consumo_datadis'!A:A,"",""),"""")"),"")</f>
        <v/>
      </c>
      <c r="G18206" s="8" t="str">
        <f t="shared" si="1"/>
        <v/>
      </c>
      <c r="H18206" s="14" t="str">
        <f t="shared" si="2"/>
        <v/>
      </c>
      <c r="I18206" s="15" t="str">
        <f t="shared" si="3"/>
        <v/>
      </c>
    </row>
    <row r="18207">
      <c r="A18207" s="8" t="str">
        <f>IFERROR(__xludf.DUMMYFUNCTION("IF('(INGESTA)Datos_consumo_datadis'!A19772&lt;&gt;"""",SPLIT('(INGESTA)Datos_consumo_datadis'!A:A,"",""),"""")"),"")</f>
        <v/>
      </c>
      <c r="G18207" s="8" t="str">
        <f t="shared" si="1"/>
        <v/>
      </c>
      <c r="H18207" s="14" t="str">
        <f t="shared" si="2"/>
        <v/>
      </c>
      <c r="I18207" s="15" t="str">
        <f t="shared" si="3"/>
        <v/>
      </c>
    </row>
    <row r="18208">
      <c r="A18208" s="8" t="str">
        <f>IFERROR(__xludf.DUMMYFUNCTION("IF('(INGESTA)Datos_consumo_datadis'!A19773&lt;&gt;"""",SPLIT('(INGESTA)Datos_consumo_datadis'!A:A,"",""),"""")"),"")</f>
        <v/>
      </c>
      <c r="G18208" s="8" t="str">
        <f t="shared" si="1"/>
        <v/>
      </c>
      <c r="H18208" s="14" t="str">
        <f t="shared" si="2"/>
        <v/>
      </c>
      <c r="I18208" s="15" t="str">
        <f t="shared" si="3"/>
        <v/>
      </c>
    </row>
    <row r="18209">
      <c r="A18209" s="8" t="str">
        <f>IFERROR(__xludf.DUMMYFUNCTION("IF('(INGESTA)Datos_consumo_datadis'!A19774&lt;&gt;"""",SPLIT('(INGESTA)Datos_consumo_datadis'!A:A,"",""),"""")"),"")</f>
        <v/>
      </c>
      <c r="G18209" s="8" t="str">
        <f t="shared" si="1"/>
        <v/>
      </c>
      <c r="H18209" s="14" t="str">
        <f t="shared" si="2"/>
        <v/>
      </c>
      <c r="I18209" s="15" t="str">
        <f t="shared" si="3"/>
        <v/>
      </c>
    </row>
    <row r="18210">
      <c r="A18210" s="8" t="str">
        <f>IFERROR(__xludf.DUMMYFUNCTION("IF('(INGESTA)Datos_consumo_datadis'!A19775&lt;&gt;"""",SPLIT('(INGESTA)Datos_consumo_datadis'!A:A,"",""),"""")"),"")</f>
        <v/>
      </c>
      <c r="G18210" s="8" t="str">
        <f t="shared" si="1"/>
        <v/>
      </c>
      <c r="H18210" s="14" t="str">
        <f t="shared" si="2"/>
        <v/>
      </c>
      <c r="I18210" s="15" t="str">
        <f t="shared" si="3"/>
        <v/>
      </c>
    </row>
    <row r="18211">
      <c r="A18211" s="8" t="str">
        <f>IFERROR(__xludf.DUMMYFUNCTION("IF('(INGESTA)Datos_consumo_datadis'!A19776&lt;&gt;"""",SPLIT('(INGESTA)Datos_consumo_datadis'!A:A,"",""),"""")"),"")</f>
        <v/>
      </c>
      <c r="G18211" s="8" t="str">
        <f t="shared" si="1"/>
        <v/>
      </c>
      <c r="H18211" s="14" t="str">
        <f t="shared" si="2"/>
        <v/>
      </c>
      <c r="I18211" s="15" t="str">
        <f t="shared" si="3"/>
        <v/>
      </c>
    </row>
    <row r="18212">
      <c r="A18212" s="8" t="str">
        <f>IFERROR(__xludf.DUMMYFUNCTION("IF('(INGESTA)Datos_consumo_datadis'!A19777&lt;&gt;"""",SPLIT('(INGESTA)Datos_consumo_datadis'!A:A,"",""),"""")"),"")</f>
        <v/>
      </c>
      <c r="G18212" s="8" t="str">
        <f t="shared" si="1"/>
        <v/>
      </c>
      <c r="H18212" s="14" t="str">
        <f t="shared" si="2"/>
        <v/>
      </c>
      <c r="I18212" s="15" t="str">
        <f t="shared" si="3"/>
        <v/>
      </c>
    </row>
    <row r="18213">
      <c r="A18213" s="8" t="str">
        <f>IFERROR(__xludf.DUMMYFUNCTION("IF('(INGESTA)Datos_consumo_datadis'!A19778&lt;&gt;"""",SPLIT('(INGESTA)Datos_consumo_datadis'!A:A,"",""),"""")"),"")</f>
        <v/>
      </c>
      <c r="G18213" s="8" t="str">
        <f t="shared" si="1"/>
        <v/>
      </c>
      <c r="H18213" s="14" t="str">
        <f t="shared" si="2"/>
        <v/>
      </c>
      <c r="I18213" s="15" t="str">
        <f t="shared" si="3"/>
        <v/>
      </c>
    </row>
    <row r="18214">
      <c r="A18214" s="8" t="str">
        <f>IFERROR(__xludf.DUMMYFUNCTION("IF('(INGESTA)Datos_consumo_datadis'!A19779&lt;&gt;"""",SPLIT('(INGESTA)Datos_consumo_datadis'!A:A,"",""),"""")"),"")</f>
        <v/>
      </c>
      <c r="G18214" s="8" t="str">
        <f t="shared" si="1"/>
        <v/>
      </c>
      <c r="H18214" s="14" t="str">
        <f t="shared" si="2"/>
        <v/>
      </c>
      <c r="I18214" s="15" t="str">
        <f t="shared" si="3"/>
        <v/>
      </c>
    </row>
    <row r="18215">
      <c r="A18215" s="8" t="str">
        <f>IFERROR(__xludf.DUMMYFUNCTION("IF('(INGESTA)Datos_consumo_datadis'!A19780&lt;&gt;"""",SPLIT('(INGESTA)Datos_consumo_datadis'!A:A,"",""),"""")"),"")</f>
        <v/>
      </c>
      <c r="G18215" s="8" t="str">
        <f t="shared" si="1"/>
        <v/>
      </c>
      <c r="H18215" s="14" t="str">
        <f t="shared" si="2"/>
        <v/>
      </c>
      <c r="I18215" s="15" t="str">
        <f t="shared" si="3"/>
        <v/>
      </c>
    </row>
    <row r="18216">
      <c r="A18216" s="8" t="str">
        <f>IFERROR(__xludf.DUMMYFUNCTION("IF('(INGESTA)Datos_consumo_datadis'!A19781&lt;&gt;"""",SPLIT('(INGESTA)Datos_consumo_datadis'!A:A,"",""),"""")"),"")</f>
        <v/>
      </c>
      <c r="G18216" s="8" t="str">
        <f t="shared" si="1"/>
        <v/>
      </c>
      <c r="H18216" s="14" t="str">
        <f t="shared" si="2"/>
        <v/>
      </c>
      <c r="I18216" s="15" t="str">
        <f t="shared" si="3"/>
        <v/>
      </c>
    </row>
    <row r="18217">
      <c r="A18217" s="8" t="str">
        <f>IFERROR(__xludf.DUMMYFUNCTION("IF('(INGESTA)Datos_consumo_datadis'!A19782&lt;&gt;"""",SPLIT('(INGESTA)Datos_consumo_datadis'!A:A,"",""),"""")"),"")</f>
        <v/>
      </c>
      <c r="G18217" s="8" t="str">
        <f t="shared" si="1"/>
        <v/>
      </c>
      <c r="H18217" s="14" t="str">
        <f t="shared" si="2"/>
        <v/>
      </c>
      <c r="I18217" s="15" t="str">
        <f t="shared" si="3"/>
        <v/>
      </c>
    </row>
    <row r="18218">
      <c r="A18218" s="8" t="str">
        <f>IFERROR(__xludf.DUMMYFUNCTION("IF('(INGESTA)Datos_consumo_datadis'!A19783&lt;&gt;"""",SPLIT('(INGESTA)Datos_consumo_datadis'!A:A,"",""),"""")"),"")</f>
        <v/>
      </c>
      <c r="G18218" s="8" t="str">
        <f t="shared" si="1"/>
        <v/>
      </c>
      <c r="H18218" s="14" t="str">
        <f t="shared" si="2"/>
        <v/>
      </c>
      <c r="I18218" s="15" t="str">
        <f t="shared" si="3"/>
        <v/>
      </c>
    </row>
    <row r="18219">
      <c r="A18219" s="8" t="str">
        <f>IFERROR(__xludf.DUMMYFUNCTION("IF('(INGESTA)Datos_consumo_datadis'!A19784&lt;&gt;"""",SPLIT('(INGESTA)Datos_consumo_datadis'!A:A,"",""),"""")"),"")</f>
        <v/>
      </c>
      <c r="G18219" s="8" t="str">
        <f t="shared" si="1"/>
        <v/>
      </c>
      <c r="H18219" s="14" t="str">
        <f t="shared" si="2"/>
        <v/>
      </c>
      <c r="I18219" s="15" t="str">
        <f t="shared" si="3"/>
        <v/>
      </c>
    </row>
    <row r="18220">
      <c r="A18220" s="8" t="str">
        <f>IFERROR(__xludf.DUMMYFUNCTION("IF('(INGESTA)Datos_consumo_datadis'!A19785&lt;&gt;"""",SPLIT('(INGESTA)Datos_consumo_datadis'!A:A,"",""),"""")"),"")</f>
        <v/>
      </c>
      <c r="G18220" s="8" t="str">
        <f t="shared" si="1"/>
        <v/>
      </c>
      <c r="H18220" s="14" t="str">
        <f t="shared" si="2"/>
        <v/>
      </c>
      <c r="I18220" s="15" t="str">
        <f t="shared" si="3"/>
        <v/>
      </c>
    </row>
    <row r="18221">
      <c r="A18221" s="8" t="str">
        <f>IFERROR(__xludf.DUMMYFUNCTION("IF('(INGESTA)Datos_consumo_datadis'!A19786&lt;&gt;"""",SPLIT('(INGESTA)Datos_consumo_datadis'!A:A,"",""),"""")"),"")</f>
        <v/>
      </c>
      <c r="G18221" s="8" t="str">
        <f t="shared" si="1"/>
        <v/>
      </c>
      <c r="H18221" s="14" t="str">
        <f t="shared" si="2"/>
        <v/>
      </c>
      <c r="I18221" s="15" t="str">
        <f t="shared" si="3"/>
        <v/>
      </c>
    </row>
    <row r="18222">
      <c r="A18222" s="8" t="str">
        <f>IFERROR(__xludf.DUMMYFUNCTION("IF('(INGESTA)Datos_consumo_datadis'!A19787&lt;&gt;"""",SPLIT('(INGESTA)Datos_consumo_datadis'!A:A,"",""),"""")"),"")</f>
        <v/>
      </c>
      <c r="G18222" s="8" t="str">
        <f t="shared" si="1"/>
        <v/>
      </c>
      <c r="H18222" s="14" t="str">
        <f t="shared" si="2"/>
        <v/>
      </c>
      <c r="I18222" s="15" t="str">
        <f t="shared" si="3"/>
        <v/>
      </c>
    </row>
    <row r="18223">
      <c r="A18223" s="8" t="str">
        <f>IFERROR(__xludf.DUMMYFUNCTION("IF('(INGESTA)Datos_consumo_datadis'!A19788&lt;&gt;"""",SPLIT('(INGESTA)Datos_consumo_datadis'!A:A,"",""),"""")"),"")</f>
        <v/>
      </c>
      <c r="G18223" s="8" t="str">
        <f t="shared" si="1"/>
        <v/>
      </c>
      <c r="H18223" s="14" t="str">
        <f t="shared" si="2"/>
        <v/>
      </c>
      <c r="I18223" s="15" t="str">
        <f t="shared" si="3"/>
        <v/>
      </c>
    </row>
    <row r="18224">
      <c r="A18224" s="8" t="str">
        <f>IFERROR(__xludf.DUMMYFUNCTION("IF('(INGESTA)Datos_consumo_datadis'!A19789&lt;&gt;"""",SPLIT('(INGESTA)Datos_consumo_datadis'!A:A,"",""),"""")"),"")</f>
        <v/>
      </c>
      <c r="G18224" s="8" t="str">
        <f t="shared" si="1"/>
        <v/>
      </c>
      <c r="H18224" s="14" t="str">
        <f t="shared" si="2"/>
        <v/>
      </c>
      <c r="I18224" s="15" t="str">
        <f t="shared" si="3"/>
        <v/>
      </c>
    </row>
    <row r="18225">
      <c r="A18225" s="8" t="str">
        <f>IFERROR(__xludf.DUMMYFUNCTION("IF('(INGESTA)Datos_consumo_datadis'!A19790&lt;&gt;"""",SPLIT('(INGESTA)Datos_consumo_datadis'!A:A,"",""),"""")"),"")</f>
        <v/>
      </c>
      <c r="G18225" s="8" t="str">
        <f t="shared" si="1"/>
        <v/>
      </c>
      <c r="H18225" s="14" t="str">
        <f t="shared" si="2"/>
        <v/>
      </c>
      <c r="I18225" s="15" t="str">
        <f t="shared" si="3"/>
        <v/>
      </c>
    </row>
    <row r="18226">
      <c r="A18226" s="8" t="str">
        <f>IFERROR(__xludf.DUMMYFUNCTION("IF('(INGESTA)Datos_consumo_datadis'!A19791&lt;&gt;"""",SPLIT('(INGESTA)Datos_consumo_datadis'!A:A,"",""),"""")"),"")</f>
        <v/>
      </c>
      <c r="G18226" s="8" t="str">
        <f t="shared" si="1"/>
        <v/>
      </c>
      <c r="H18226" s="14" t="str">
        <f t="shared" si="2"/>
        <v/>
      </c>
      <c r="I18226" s="15" t="str">
        <f t="shared" si="3"/>
        <v/>
      </c>
    </row>
    <row r="18227">
      <c r="A18227" s="8" t="str">
        <f>IFERROR(__xludf.DUMMYFUNCTION("IF('(INGESTA)Datos_consumo_datadis'!A19792&lt;&gt;"""",SPLIT('(INGESTA)Datos_consumo_datadis'!A:A,"",""),"""")"),"")</f>
        <v/>
      </c>
      <c r="G18227" s="8" t="str">
        <f t="shared" si="1"/>
        <v/>
      </c>
      <c r="H18227" s="14" t="str">
        <f t="shared" si="2"/>
        <v/>
      </c>
      <c r="I18227" s="15" t="str">
        <f t="shared" si="3"/>
        <v/>
      </c>
    </row>
    <row r="18228">
      <c r="A18228" s="8" t="str">
        <f>IFERROR(__xludf.DUMMYFUNCTION("IF('(INGESTA)Datos_consumo_datadis'!A19793&lt;&gt;"""",SPLIT('(INGESTA)Datos_consumo_datadis'!A:A,"",""),"""")"),"")</f>
        <v/>
      </c>
      <c r="G18228" s="8" t="str">
        <f t="shared" si="1"/>
        <v/>
      </c>
      <c r="H18228" s="14" t="str">
        <f t="shared" si="2"/>
        <v/>
      </c>
      <c r="I18228" s="15" t="str">
        <f t="shared" si="3"/>
        <v/>
      </c>
    </row>
    <row r="18229">
      <c r="A18229" s="8" t="str">
        <f>IFERROR(__xludf.DUMMYFUNCTION("IF('(INGESTA)Datos_consumo_datadis'!A19794&lt;&gt;"""",SPLIT('(INGESTA)Datos_consumo_datadis'!A:A,"",""),"""")"),"")</f>
        <v/>
      </c>
      <c r="G18229" s="8" t="str">
        <f t="shared" si="1"/>
        <v/>
      </c>
      <c r="H18229" s="14" t="str">
        <f t="shared" si="2"/>
        <v/>
      </c>
      <c r="I18229" s="15" t="str">
        <f t="shared" si="3"/>
        <v/>
      </c>
    </row>
    <row r="18230">
      <c r="A18230" s="8" t="str">
        <f>IFERROR(__xludf.DUMMYFUNCTION("IF('(INGESTA)Datos_consumo_datadis'!A19795&lt;&gt;"""",SPLIT('(INGESTA)Datos_consumo_datadis'!A:A,"",""),"""")"),"")</f>
        <v/>
      </c>
      <c r="G18230" s="8" t="str">
        <f t="shared" si="1"/>
        <v/>
      </c>
      <c r="H18230" s="14" t="str">
        <f t="shared" si="2"/>
        <v/>
      </c>
      <c r="I18230" s="15" t="str">
        <f t="shared" si="3"/>
        <v/>
      </c>
    </row>
    <row r="18231">
      <c r="A18231" s="8" t="str">
        <f>IFERROR(__xludf.DUMMYFUNCTION("IF('(INGESTA)Datos_consumo_datadis'!A19796&lt;&gt;"""",SPLIT('(INGESTA)Datos_consumo_datadis'!A:A,"",""),"""")"),"")</f>
        <v/>
      </c>
      <c r="G18231" s="8" t="str">
        <f t="shared" si="1"/>
        <v/>
      </c>
      <c r="H18231" s="14" t="str">
        <f t="shared" si="2"/>
        <v/>
      </c>
      <c r="I18231" s="15" t="str">
        <f t="shared" si="3"/>
        <v/>
      </c>
    </row>
    <row r="18232">
      <c r="A18232" s="8" t="str">
        <f>IFERROR(__xludf.DUMMYFUNCTION("IF('(INGESTA)Datos_consumo_datadis'!A19797&lt;&gt;"""",SPLIT('(INGESTA)Datos_consumo_datadis'!A:A,"",""),"""")"),"")</f>
        <v/>
      </c>
      <c r="G18232" s="8" t="str">
        <f t="shared" si="1"/>
        <v/>
      </c>
      <c r="H18232" s="14" t="str">
        <f t="shared" si="2"/>
        <v/>
      </c>
      <c r="I18232" s="15" t="str">
        <f t="shared" si="3"/>
        <v/>
      </c>
    </row>
    <row r="18233">
      <c r="A18233" s="8" t="str">
        <f>IFERROR(__xludf.DUMMYFUNCTION("IF('(INGESTA)Datos_consumo_datadis'!A19798&lt;&gt;"""",SPLIT('(INGESTA)Datos_consumo_datadis'!A:A,"",""),"""")"),"")</f>
        <v/>
      </c>
      <c r="G18233" s="8" t="str">
        <f t="shared" si="1"/>
        <v/>
      </c>
      <c r="H18233" s="14" t="str">
        <f t="shared" si="2"/>
        <v/>
      </c>
      <c r="I18233" s="15" t="str">
        <f t="shared" si="3"/>
        <v/>
      </c>
    </row>
    <row r="18234">
      <c r="A18234" s="8" t="str">
        <f>IFERROR(__xludf.DUMMYFUNCTION("IF('(INGESTA)Datos_consumo_datadis'!A19799&lt;&gt;"""",SPLIT('(INGESTA)Datos_consumo_datadis'!A:A,"",""),"""")"),"")</f>
        <v/>
      </c>
      <c r="G18234" s="8" t="str">
        <f t="shared" si="1"/>
        <v/>
      </c>
      <c r="H18234" s="14" t="str">
        <f t="shared" si="2"/>
        <v/>
      </c>
      <c r="I18234" s="15" t="str">
        <f t="shared" si="3"/>
        <v/>
      </c>
    </row>
    <row r="18235">
      <c r="A18235" s="8" t="str">
        <f>IFERROR(__xludf.DUMMYFUNCTION("IF('(INGESTA)Datos_consumo_datadis'!A19800&lt;&gt;"""",SPLIT('(INGESTA)Datos_consumo_datadis'!A:A,"",""),"""")"),"")</f>
        <v/>
      </c>
      <c r="G18235" s="8" t="str">
        <f t="shared" si="1"/>
        <v/>
      </c>
      <c r="H18235" s="14" t="str">
        <f t="shared" si="2"/>
        <v/>
      </c>
      <c r="I18235" s="15" t="str">
        <f t="shared" si="3"/>
        <v/>
      </c>
    </row>
    <row r="18236">
      <c r="A18236" s="8" t="str">
        <f>IFERROR(__xludf.DUMMYFUNCTION("IF('(INGESTA)Datos_consumo_datadis'!A19801&lt;&gt;"""",SPLIT('(INGESTA)Datos_consumo_datadis'!A:A,"",""),"""")"),"")</f>
        <v/>
      </c>
      <c r="G18236" s="8" t="str">
        <f t="shared" si="1"/>
        <v/>
      </c>
      <c r="H18236" s="14" t="str">
        <f t="shared" si="2"/>
        <v/>
      </c>
      <c r="I18236" s="15" t="str">
        <f t="shared" si="3"/>
        <v/>
      </c>
    </row>
    <row r="18237">
      <c r="A18237" s="8" t="str">
        <f>IFERROR(__xludf.DUMMYFUNCTION("IF('(INGESTA)Datos_consumo_datadis'!A19802&lt;&gt;"""",SPLIT('(INGESTA)Datos_consumo_datadis'!A:A,"",""),"""")"),"")</f>
        <v/>
      </c>
      <c r="G18237" s="8" t="str">
        <f t="shared" si="1"/>
        <v/>
      </c>
      <c r="H18237" s="14" t="str">
        <f t="shared" si="2"/>
        <v/>
      </c>
      <c r="I18237" s="15" t="str">
        <f t="shared" si="3"/>
        <v/>
      </c>
    </row>
    <row r="18238">
      <c r="A18238" s="8" t="str">
        <f>IFERROR(__xludf.DUMMYFUNCTION("IF('(INGESTA)Datos_consumo_datadis'!A19803&lt;&gt;"""",SPLIT('(INGESTA)Datos_consumo_datadis'!A:A,"",""),"""")"),"")</f>
        <v/>
      </c>
      <c r="G18238" s="8" t="str">
        <f t="shared" si="1"/>
        <v/>
      </c>
      <c r="H18238" s="14" t="str">
        <f t="shared" si="2"/>
        <v/>
      </c>
      <c r="I18238" s="15" t="str">
        <f t="shared" si="3"/>
        <v/>
      </c>
    </row>
    <row r="18239">
      <c r="A18239" s="8" t="str">
        <f>IFERROR(__xludf.DUMMYFUNCTION("IF('(INGESTA)Datos_consumo_datadis'!A19804&lt;&gt;"""",SPLIT('(INGESTA)Datos_consumo_datadis'!A:A,"",""),"""")"),"")</f>
        <v/>
      </c>
      <c r="G18239" s="8" t="str">
        <f t="shared" si="1"/>
        <v/>
      </c>
      <c r="H18239" s="14" t="str">
        <f t="shared" si="2"/>
        <v/>
      </c>
      <c r="I18239" s="15" t="str">
        <f t="shared" si="3"/>
        <v/>
      </c>
    </row>
    <row r="18240">
      <c r="A18240" s="8" t="str">
        <f>IFERROR(__xludf.DUMMYFUNCTION("IF('(INGESTA)Datos_consumo_datadis'!A19805&lt;&gt;"""",SPLIT('(INGESTA)Datos_consumo_datadis'!A:A,"",""),"""")"),"")</f>
        <v/>
      </c>
      <c r="G18240" s="8" t="str">
        <f t="shared" si="1"/>
        <v/>
      </c>
      <c r="H18240" s="14" t="str">
        <f t="shared" si="2"/>
        <v/>
      </c>
      <c r="I18240" s="15" t="str">
        <f t="shared" si="3"/>
        <v/>
      </c>
    </row>
    <row r="18241">
      <c r="A18241" s="8" t="str">
        <f>IFERROR(__xludf.DUMMYFUNCTION("IF('(INGESTA)Datos_consumo_datadis'!A19806&lt;&gt;"""",SPLIT('(INGESTA)Datos_consumo_datadis'!A:A,"",""),"""")"),"")</f>
        <v/>
      </c>
      <c r="G18241" s="8" t="str">
        <f t="shared" si="1"/>
        <v/>
      </c>
      <c r="H18241" s="14" t="str">
        <f t="shared" si="2"/>
        <v/>
      </c>
      <c r="I18241" s="15" t="str">
        <f t="shared" si="3"/>
        <v/>
      </c>
    </row>
    <row r="18242">
      <c r="A18242" s="8" t="str">
        <f>IFERROR(__xludf.DUMMYFUNCTION("IF('(INGESTA)Datos_consumo_datadis'!A19807&lt;&gt;"""",SPLIT('(INGESTA)Datos_consumo_datadis'!A:A,"",""),"""")"),"")</f>
        <v/>
      </c>
      <c r="G18242" s="8" t="str">
        <f t="shared" si="1"/>
        <v/>
      </c>
      <c r="H18242" s="14" t="str">
        <f t="shared" si="2"/>
        <v/>
      </c>
      <c r="I18242" s="15" t="str">
        <f t="shared" si="3"/>
        <v/>
      </c>
    </row>
    <row r="18243">
      <c r="A18243" s="8" t="str">
        <f>IFERROR(__xludf.DUMMYFUNCTION("IF('(INGESTA)Datos_consumo_datadis'!A19808&lt;&gt;"""",SPLIT('(INGESTA)Datos_consumo_datadis'!A:A,"",""),"""")"),"")</f>
        <v/>
      </c>
      <c r="G18243" s="8" t="str">
        <f t="shared" si="1"/>
        <v/>
      </c>
      <c r="H18243" s="14" t="str">
        <f t="shared" si="2"/>
        <v/>
      </c>
      <c r="I18243" s="15" t="str">
        <f t="shared" si="3"/>
        <v/>
      </c>
    </row>
    <row r="18244">
      <c r="A18244" s="8" t="str">
        <f>IFERROR(__xludf.DUMMYFUNCTION("IF('(INGESTA)Datos_consumo_datadis'!A19809&lt;&gt;"""",SPLIT('(INGESTA)Datos_consumo_datadis'!A:A,"",""),"""")"),"")</f>
        <v/>
      </c>
      <c r="G18244" s="8" t="str">
        <f t="shared" si="1"/>
        <v/>
      </c>
      <c r="H18244" s="14" t="str">
        <f t="shared" si="2"/>
        <v/>
      </c>
      <c r="I18244" s="15" t="str">
        <f t="shared" si="3"/>
        <v/>
      </c>
    </row>
    <row r="18245">
      <c r="A18245" s="8" t="str">
        <f>IFERROR(__xludf.DUMMYFUNCTION("IF('(INGESTA)Datos_consumo_datadis'!A19810&lt;&gt;"""",SPLIT('(INGESTA)Datos_consumo_datadis'!A:A,"",""),"""")"),"")</f>
        <v/>
      </c>
      <c r="G18245" s="8" t="str">
        <f t="shared" si="1"/>
        <v/>
      </c>
      <c r="H18245" s="14" t="str">
        <f t="shared" si="2"/>
        <v/>
      </c>
      <c r="I18245" s="15" t="str">
        <f t="shared" si="3"/>
        <v/>
      </c>
    </row>
    <row r="18246">
      <c r="A18246" s="8" t="str">
        <f>IFERROR(__xludf.DUMMYFUNCTION("IF('(INGESTA)Datos_consumo_datadis'!A19811&lt;&gt;"""",SPLIT('(INGESTA)Datos_consumo_datadis'!A:A,"",""),"""")"),"")</f>
        <v/>
      </c>
      <c r="G18246" s="8" t="str">
        <f t="shared" si="1"/>
        <v/>
      </c>
      <c r="H18246" s="14" t="str">
        <f t="shared" si="2"/>
        <v/>
      </c>
      <c r="I18246" s="15" t="str">
        <f t="shared" si="3"/>
        <v/>
      </c>
    </row>
    <row r="18247">
      <c r="A18247" s="8" t="str">
        <f>IFERROR(__xludf.DUMMYFUNCTION("IF('(INGESTA)Datos_consumo_datadis'!A19812&lt;&gt;"""",SPLIT('(INGESTA)Datos_consumo_datadis'!A:A,"",""),"""")"),"")</f>
        <v/>
      </c>
      <c r="G18247" s="8" t="str">
        <f t="shared" si="1"/>
        <v/>
      </c>
      <c r="H18247" s="14" t="str">
        <f t="shared" si="2"/>
        <v/>
      </c>
      <c r="I18247" s="15" t="str">
        <f t="shared" si="3"/>
        <v/>
      </c>
    </row>
    <row r="18248">
      <c r="A18248" s="8" t="str">
        <f>IFERROR(__xludf.DUMMYFUNCTION("IF('(INGESTA)Datos_consumo_datadis'!A19813&lt;&gt;"""",SPLIT('(INGESTA)Datos_consumo_datadis'!A:A,"",""),"""")"),"")</f>
        <v/>
      </c>
      <c r="G18248" s="8" t="str">
        <f t="shared" si="1"/>
        <v/>
      </c>
      <c r="H18248" s="14" t="str">
        <f t="shared" si="2"/>
        <v/>
      </c>
      <c r="I18248" s="15" t="str">
        <f t="shared" si="3"/>
        <v/>
      </c>
    </row>
    <row r="18249">
      <c r="A18249" s="8" t="str">
        <f>IFERROR(__xludf.DUMMYFUNCTION("IF('(INGESTA)Datos_consumo_datadis'!A19814&lt;&gt;"""",SPLIT('(INGESTA)Datos_consumo_datadis'!A:A,"",""),"""")"),"")</f>
        <v/>
      </c>
      <c r="G18249" s="8" t="str">
        <f t="shared" si="1"/>
        <v/>
      </c>
      <c r="H18249" s="14" t="str">
        <f t="shared" si="2"/>
        <v/>
      </c>
      <c r="I18249" s="15" t="str">
        <f t="shared" si="3"/>
        <v/>
      </c>
    </row>
    <row r="18250">
      <c r="A18250" s="8" t="str">
        <f>IFERROR(__xludf.DUMMYFUNCTION("IF('(INGESTA)Datos_consumo_datadis'!A19815&lt;&gt;"""",SPLIT('(INGESTA)Datos_consumo_datadis'!A:A,"",""),"""")"),"")</f>
        <v/>
      </c>
      <c r="G18250" s="8" t="str">
        <f t="shared" si="1"/>
        <v/>
      </c>
      <c r="H18250" s="14" t="str">
        <f t="shared" si="2"/>
        <v/>
      </c>
      <c r="I18250" s="15" t="str">
        <f t="shared" si="3"/>
        <v/>
      </c>
    </row>
    <row r="18251">
      <c r="A18251" s="8" t="str">
        <f>IFERROR(__xludf.DUMMYFUNCTION("IF('(INGESTA)Datos_consumo_datadis'!A19816&lt;&gt;"""",SPLIT('(INGESTA)Datos_consumo_datadis'!A:A,"",""),"""")"),"")</f>
        <v/>
      </c>
      <c r="G18251" s="8" t="str">
        <f t="shared" si="1"/>
        <v/>
      </c>
      <c r="H18251" s="14" t="str">
        <f t="shared" si="2"/>
        <v/>
      </c>
      <c r="I18251" s="15" t="str">
        <f t="shared" si="3"/>
        <v/>
      </c>
    </row>
    <row r="18252">
      <c r="A18252" s="8" t="str">
        <f>IFERROR(__xludf.DUMMYFUNCTION("IF('(INGESTA)Datos_consumo_datadis'!A19817&lt;&gt;"""",SPLIT('(INGESTA)Datos_consumo_datadis'!A:A,"",""),"""")"),"")</f>
        <v/>
      </c>
      <c r="G18252" s="8" t="str">
        <f t="shared" si="1"/>
        <v/>
      </c>
      <c r="H18252" s="14" t="str">
        <f t="shared" si="2"/>
        <v/>
      </c>
      <c r="I18252" s="15" t="str">
        <f t="shared" si="3"/>
        <v/>
      </c>
    </row>
    <row r="18253">
      <c r="A18253" s="8" t="str">
        <f>IFERROR(__xludf.DUMMYFUNCTION("IF('(INGESTA)Datos_consumo_datadis'!A19818&lt;&gt;"""",SPLIT('(INGESTA)Datos_consumo_datadis'!A:A,"",""),"""")"),"")</f>
        <v/>
      </c>
      <c r="G18253" s="8" t="str">
        <f t="shared" si="1"/>
        <v/>
      </c>
      <c r="H18253" s="14" t="str">
        <f t="shared" si="2"/>
        <v/>
      </c>
      <c r="I18253" s="15" t="str">
        <f t="shared" si="3"/>
        <v/>
      </c>
    </row>
    <row r="18254">
      <c r="A18254" s="8" t="str">
        <f>IFERROR(__xludf.DUMMYFUNCTION("IF('(INGESTA)Datos_consumo_datadis'!A19819&lt;&gt;"""",SPLIT('(INGESTA)Datos_consumo_datadis'!A:A,"",""),"""")"),"")</f>
        <v/>
      </c>
      <c r="G18254" s="8" t="str">
        <f t="shared" si="1"/>
        <v/>
      </c>
      <c r="H18254" s="14" t="str">
        <f t="shared" si="2"/>
        <v/>
      </c>
      <c r="I18254" s="15" t="str">
        <f t="shared" si="3"/>
        <v/>
      </c>
    </row>
    <row r="18255">
      <c r="A18255" s="8" t="str">
        <f>IFERROR(__xludf.DUMMYFUNCTION("IF('(INGESTA)Datos_consumo_datadis'!A19820&lt;&gt;"""",SPLIT('(INGESTA)Datos_consumo_datadis'!A:A,"",""),"""")"),"")</f>
        <v/>
      </c>
      <c r="G18255" s="8" t="str">
        <f t="shared" si="1"/>
        <v/>
      </c>
      <c r="H18255" s="14" t="str">
        <f t="shared" si="2"/>
        <v/>
      </c>
      <c r="I18255" s="15" t="str">
        <f t="shared" si="3"/>
        <v/>
      </c>
    </row>
    <row r="18256">
      <c r="A18256" s="8" t="str">
        <f>IFERROR(__xludf.DUMMYFUNCTION("IF('(INGESTA)Datos_consumo_datadis'!A19821&lt;&gt;"""",SPLIT('(INGESTA)Datos_consumo_datadis'!A:A,"",""),"""")"),"")</f>
        <v/>
      </c>
      <c r="G18256" s="8" t="str">
        <f t="shared" si="1"/>
        <v/>
      </c>
      <c r="H18256" s="14" t="str">
        <f t="shared" si="2"/>
        <v/>
      </c>
      <c r="I18256" s="15" t="str">
        <f t="shared" si="3"/>
        <v/>
      </c>
    </row>
    <row r="18257">
      <c r="A18257" s="8" t="str">
        <f>IFERROR(__xludf.DUMMYFUNCTION("IF('(INGESTA)Datos_consumo_datadis'!A19822&lt;&gt;"""",SPLIT('(INGESTA)Datos_consumo_datadis'!A:A,"",""),"""")"),"")</f>
        <v/>
      </c>
      <c r="G18257" s="8" t="str">
        <f t="shared" si="1"/>
        <v/>
      </c>
      <c r="H18257" s="14" t="str">
        <f t="shared" si="2"/>
        <v/>
      </c>
      <c r="I18257" s="15" t="str">
        <f t="shared" si="3"/>
        <v/>
      </c>
    </row>
    <row r="18258">
      <c r="A18258" s="8" t="str">
        <f>IFERROR(__xludf.DUMMYFUNCTION("IF('(INGESTA)Datos_consumo_datadis'!A19823&lt;&gt;"""",SPLIT('(INGESTA)Datos_consumo_datadis'!A:A,"",""),"""")"),"")</f>
        <v/>
      </c>
      <c r="G18258" s="8" t="str">
        <f t="shared" si="1"/>
        <v/>
      </c>
      <c r="H18258" s="14" t="str">
        <f t="shared" si="2"/>
        <v/>
      </c>
      <c r="I18258" s="15" t="str">
        <f t="shared" si="3"/>
        <v/>
      </c>
    </row>
    <row r="18259">
      <c r="A18259" s="8" t="str">
        <f>IFERROR(__xludf.DUMMYFUNCTION("IF('(INGESTA)Datos_consumo_datadis'!A19824&lt;&gt;"""",SPLIT('(INGESTA)Datos_consumo_datadis'!A:A,"",""),"""")"),"")</f>
        <v/>
      </c>
      <c r="G18259" s="8" t="str">
        <f t="shared" si="1"/>
        <v/>
      </c>
      <c r="H18259" s="14" t="str">
        <f t="shared" si="2"/>
        <v/>
      </c>
      <c r="I18259" s="15" t="str">
        <f t="shared" si="3"/>
        <v/>
      </c>
    </row>
    <row r="18260">
      <c r="A18260" s="8" t="str">
        <f>IFERROR(__xludf.DUMMYFUNCTION("IF('(INGESTA)Datos_consumo_datadis'!A19825&lt;&gt;"""",SPLIT('(INGESTA)Datos_consumo_datadis'!A:A,"",""),"""")"),"")</f>
        <v/>
      </c>
      <c r="G18260" s="8" t="str">
        <f t="shared" si="1"/>
        <v/>
      </c>
      <c r="H18260" s="14" t="str">
        <f t="shared" si="2"/>
        <v/>
      </c>
      <c r="I18260" s="15" t="str">
        <f t="shared" si="3"/>
        <v/>
      </c>
    </row>
    <row r="18261">
      <c r="A18261" s="8" t="str">
        <f>IFERROR(__xludf.DUMMYFUNCTION("IF('(INGESTA)Datos_consumo_datadis'!A19826&lt;&gt;"""",SPLIT('(INGESTA)Datos_consumo_datadis'!A:A,"",""),"""")"),"")</f>
        <v/>
      </c>
      <c r="G18261" s="8" t="str">
        <f t="shared" si="1"/>
        <v/>
      </c>
      <c r="H18261" s="14" t="str">
        <f t="shared" si="2"/>
        <v/>
      </c>
      <c r="I18261" s="15" t="str">
        <f t="shared" si="3"/>
        <v/>
      </c>
    </row>
    <row r="18262">
      <c r="A18262" s="8" t="str">
        <f>IFERROR(__xludf.DUMMYFUNCTION("IF('(INGESTA)Datos_consumo_datadis'!A19827&lt;&gt;"""",SPLIT('(INGESTA)Datos_consumo_datadis'!A:A,"",""),"""")"),"")</f>
        <v/>
      </c>
      <c r="G18262" s="8" t="str">
        <f t="shared" si="1"/>
        <v/>
      </c>
      <c r="H18262" s="14" t="str">
        <f t="shared" si="2"/>
        <v/>
      </c>
      <c r="I18262" s="15" t="str">
        <f t="shared" si="3"/>
        <v/>
      </c>
    </row>
    <row r="18263">
      <c r="A18263" s="8" t="str">
        <f>IFERROR(__xludf.DUMMYFUNCTION("IF('(INGESTA)Datos_consumo_datadis'!A19828&lt;&gt;"""",SPLIT('(INGESTA)Datos_consumo_datadis'!A:A,"",""),"""")"),"")</f>
        <v/>
      </c>
      <c r="G18263" s="8" t="str">
        <f t="shared" si="1"/>
        <v/>
      </c>
      <c r="H18263" s="14" t="str">
        <f t="shared" si="2"/>
        <v/>
      </c>
      <c r="I18263" s="15" t="str">
        <f t="shared" si="3"/>
        <v/>
      </c>
    </row>
    <row r="18264">
      <c r="A18264" s="8" t="str">
        <f>IFERROR(__xludf.DUMMYFUNCTION("IF('(INGESTA)Datos_consumo_datadis'!A19829&lt;&gt;"""",SPLIT('(INGESTA)Datos_consumo_datadis'!A:A,"",""),"""")"),"")</f>
        <v/>
      </c>
      <c r="G18264" s="8" t="str">
        <f t="shared" si="1"/>
        <v/>
      </c>
      <c r="H18264" s="14" t="str">
        <f t="shared" si="2"/>
        <v/>
      </c>
      <c r="I18264" s="15" t="str">
        <f t="shared" si="3"/>
        <v/>
      </c>
    </row>
    <row r="18265">
      <c r="A18265" s="8" t="str">
        <f>IFERROR(__xludf.DUMMYFUNCTION("IF('(INGESTA)Datos_consumo_datadis'!A19830&lt;&gt;"""",SPLIT('(INGESTA)Datos_consumo_datadis'!A:A,"",""),"""")"),"")</f>
        <v/>
      </c>
      <c r="G18265" s="8" t="str">
        <f t="shared" si="1"/>
        <v/>
      </c>
      <c r="H18265" s="14" t="str">
        <f t="shared" si="2"/>
        <v/>
      </c>
      <c r="I18265" s="15" t="str">
        <f t="shared" si="3"/>
        <v/>
      </c>
    </row>
    <row r="18266">
      <c r="A18266" s="8" t="str">
        <f>IFERROR(__xludf.DUMMYFUNCTION("IF('(INGESTA)Datos_consumo_datadis'!A19831&lt;&gt;"""",SPLIT('(INGESTA)Datos_consumo_datadis'!A:A,"",""),"""")"),"")</f>
        <v/>
      </c>
      <c r="G18266" s="8" t="str">
        <f t="shared" si="1"/>
        <v/>
      </c>
      <c r="H18266" s="14" t="str">
        <f t="shared" si="2"/>
        <v/>
      </c>
      <c r="I18266" s="15" t="str">
        <f t="shared" si="3"/>
        <v/>
      </c>
    </row>
    <row r="18267">
      <c r="A18267" s="8" t="str">
        <f>IFERROR(__xludf.DUMMYFUNCTION("IF('(INGESTA)Datos_consumo_datadis'!A19832&lt;&gt;"""",SPLIT('(INGESTA)Datos_consumo_datadis'!A:A,"",""),"""")"),"")</f>
        <v/>
      </c>
      <c r="G18267" s="8" t="str">
        <f t="shared" si="1"/>
        <v/>
      </c>
      <c r="H18267" s="14" t="str">
        <f t="shared" si="2"/>
        <v/>
      </c>
      <c r="I18267" s="15" t="str">
        <f t="shared" si="3"/>
        <v/>
      </c>
    </row>
    <row r="18268">
      <c r="A18268" s="8" t="str">
        <f>IFERROR(__xludf.DUMMYFUNCTION("IF('(INGESTA)Datos_consumo_datadis'!A19833&lt;&gt;"""",SPLIT('(INGESTA)Datos_consumo_datadis'!A:A,"",""),"""")"),"")</f>
        <v/>
      </c>
      <c r="G18268" s="8" t="str">
        <f t="shared" si="1"/>
        <v/>
      </c>
      <c r="H18268" s="14" t="str">
        <f t="shared" si="2"/>
        <v/>
      </c>
      <c r="I18268" s="15" t="str">
        <f t="shared" si="3"/>
        <v/>
      </c>
    </row>
    <row r="18269">
      <c r="A18269" s="8" t="str">
        <f>IFERROR(__xludf.DUMMYFUNCTION("IF('(INGESTA)Datos_consumo_datadis'!A19834&lt;&gt;"""",SPLIT('(INGESTA)Datos_consumo_datadis'!A:A,"",""),"""")"),"")</f>
        <v/>
      </c>
      <c r="G18269" s="8" t="str">
        <f t="shared" si="1"/>
        <v/>
      </c>
      <c r="H18269" s="14" t="str">
        <f t="shared" si="2"/>
        <v/>
      </c>
      <c r="I18269" s="15" t="str">
        <f t="shared" si="3"/>
        <v/>
      </c>
    </row>
    <row r="18270">
      <c r="A18270" s="8" t="str">
        <f>IFERROR(__xludf.DUMMYFUNCTION("IF('(INGESTA)Datos_consumo_datadis'!A19835&lt;&gt;"""",SPLIT('(INGESTA)Datos_consumo_datadis'!A:A,"",""),"""")"),"")</f>
        <v/>
      </c>
      <c r="G18270" s="8" t="str">
        <f t="shared" si="1"/>
        <v/>
      </c>
      <c r="H18270" s="14" t="str">
        <f t="shared" si="2"/>
        <v/>
      </c>
      <c r="I18270" s="15" t="str">
        <f t="shared" si="3"/>
        <v/>
      </c>
    </row>
    <row r="18271">
      <c r="A18271" s="8" t="str">
        <f>IFERROR(__xludf.DUMMYFUNCTION("IF('(INGESTA)Datos_consumo_datadis'!A19836&lt;&gt;"""",SPLIT('(INGESTA)Datos_consumo_datadis'!A:A,"",""),"""")"),"")</f>
        <v/>
      </c>
      <c r="G18271" s="8" t="str">
        <f t="shared" si="1"/>
        <v/>
      </c>
      <c r="H18271" s="14" t="str">
        <f t="shared" si="2"/>
        <v/>
      </c>
      <c r="I18271" s="15" t="str">
        <f t="shared" si="3"/>
        <v/>
      </c>
    </row>
    <row r="18272">
      <c r="A18272" s="8" t="str">
        <f>IFERROR(__xludf.DUMMYFUNCTION("IF('(INGESTA)Datos_consumo_datadis'!A19837&lt;&gt;"""",SPLIT('(INGESTA)Datos_consumo_datadis'!A:A,"",""),"""")"),"")</f>
        <v/>
      </c>
      <c r="G18272" s="8" t="str">
        <f t="shared" si="1"/>
        <v/>
      </c>
      <c r="H18272" s="14" t="str">
        <f t="shared" si="2"/>
        <v/>
      </c>
      <c r="I18272" s="15" t="str">
        <f t="shared" si="3"/>
        <v/>
      </c>
    </row>
    <row r="18273">
      <c r="A18273" s="8" t="str">
        <f>IFERROR(__xludf.DUMMYFUNCTION("IF('(INGESTA)Datos_consumo_datadis'!A19838&lt;&gt;"""",SPLIT('(INGESTA)Datos_consumo_datadis'!A:A,"",""),"""")"),"")</f>
        <v/>
      </c>
      <c r="G18273" s="8" t="str">
        <f t="shared" si="1"/>
        <v/>
      </c>
      <c r="H18273" s="14" t="str">
        <f t="shared" si="2"/>
        <v/>
      </c>
      <c r="I18273" s="15" t="str">
        <f t="shared" si="3"/>
        <v/>
      </c>
    </row>
    <row r="18274">
      <c r="A18274" s="8" t="str">
        <f>IFERROR(__xludf.DUMMYFUNCTION("IF('(INGESTA)Datos_consumo_datadis'!A19839&lt;&gt;"""",SPLIT('(INGESTA)Datos_consumo_datadis'!A:A,"",""),"""")"),"")</f>
        <v/>
      </c>
      <c r="G18274" s="8" t="str">
        <f t="shared" si="1"/>
        <v/>
      </c>
      <c r="H18274" s="14" t="str">
        <f t="shared" si="2"/>
        <v/>
      </c>
      <c r="I18274" s="15" t="str">
        <f t="shared" si="3"/>
        <v/>
      </c>
    </row>
    <row r="18275">
      <c r="A18275" s="8" t="str">
        <f>IFERROR(__xludf.DUMMYFUNCTION("IF('(INGESTA)Datos_consumo_datadis'!A19840&lt;&gt;"""",SPLIT('(INGESTA)Datos_consumo_datadis'!A:A,"",""),"""")"),"")</f>
        <v/>
      </c>
      <c r="G18275" s="8" t="str">
        <f t="shared" si="1"/>
        <v/>
      </c>
      <c r="H18275" s="14" t="str">
        <f t="shared" si="2"/>
        <v/>
      </c>
      <c r="I18275" s="15" t="str">
        <f t="shared" si="3"/>
        <v/>
      </c>
    </row>
    <row r="18276">
      <c r="A18276" s="8" t="str">
        <f>IFERROR(__xludf.DUMMYFUNCTION("IF('(INGESTA)Datos_consumo_datadis'!A19841&lt;&gt;"""",SPLIT('(INGESTA)Datos_consumo_datadis'!A:A,"",""),"""")"),"")</f>
        <v/>
      </c>
      <c r="G18276" s="8" t="str">
        <f t="shared" si="1"/>
        <v/>
      </c>
      <c r="H18276" s="14" t="str">
        <f t="shared" si="2"/>
        <v/>
      </c>
      <c r="I18276" s="15" t="str">
        <f t="shared" si="3"/>
        <v/>
      </c>
    </row>
    <row r="18277">
      <c r="A18277" s="8" t="str">
        <f>IFERROR(__xludf.DUMMYFUNCTION("IF('(INGESTA)Datos_consumo_datadis'!A19842&lt;&gt;"""",SPLIT('(INGESTA)Datos_consumo_datadis'!A:A,"",""),"""")"),"")</f>
        <v/>
      </c>
      <c r="G18277" s="8" t="str">
        <f t="shared" si="1"/>
        <v/>
      </c>
      <c r="H18277" s="14" t="str">
        <f t="shared" si="2"/>
        <v/>
      </c>
      <c r="I18277" s="15" t="str">
        <f t="shared" si="3"/>
        <v/>
      </c>
    </row>
    <row r="18278">
      <c r="A18278" s="8" t="str">
        <f>IFERROR(__xludf.DUMMYFUNCTION("IF('(INGESTA)Datos_consumo_datadis'!A19843&lt;&gt;"""",SPLIT('(INGESTA)Datos_consumo_datadis'!A:A,"",""),"""")"),"")</f>
        <v/>
      </c>
      <c r="G18278" s="8" t="str">
        <f t="shared" si="1"/>
        <v/>
      </c>
      <c r="H18278" s="14" t="str">
        <f t="shared" si="2"/>
        <v/>
      </c>
      <c r="I18278" s="15" t="str">
        <f t="shared" si="3"/>
        <v/>
      </c>
    </row>
    <row r="18279">
      <c r="A18279" s="8" t="str">
        <f>IFERROR(__xludf.DUMMYFUNCTION("IF('(INGESTA)Datos_consumo_datadis'!A19844&lt;&gt;"""",SPLIT('(INGESTA)Datos_consumo_datadis'!A:A,"",""),"""")"),"")</f>
        <v/>
      </c>
      <c r="G18279" s="8" t="str">
        <f t="shared" si="1"/>
        <v/>
      </c>
      <c r="H18279" s="14" t="str">
        <f t="shared" si="2"/>
        <v/>
      </c>
      <c r="I18279" s="15" t="str">
        <f t="shared" si="3"/>
        <v/>
      </c>
    </row>
    <row r="18280">
      <c r="A18280" s="8" t="str">
        <f>IFERROR(__xludf.DUMMYFUNCTION("IF('(INGESTA)Datos_consumo_datadis'!A19845&lt;&gt;"""",SPLIT('(INGESTA)Datos_consumo_datadis'!A:A,"",""),"""")"),"")</f>
        <v/>
      </c>
      <c r="G18280" s="8" t="str">
        <f t="shared" si="1"/>
        <v/>
      </c>
      <c r="H18280" s="14" t="str">
        <f t="shared" si="2"/>
        <v/>
      </c>
      <c r="I18280" s="15" t="str">
        <f t="shared" si="3"/>
        <v/>
      </c>
    </row>
    <row r="18281">
      <c r="A18281" s="8" t="str">
        <f>IFERROR(__xludf.DUMMYFUNCTION("IF('(INGESTA)Datos_consumo_datadis'!A19846&lt;&gt;"""",SPLIT('(INGESTA)Datos_consumo_datadis'!A:A,"",""),"""")"),"")</f>
        <v/>
      </c>
      <c r="G18281" s="8" t="str">
        <f t="shared" si="1"/>
        <v/>
      </c>
      <c r="H18281" s="14" t="str">
        <f t="shared" si="2"/>
        <v/>
      </c>
      <c r="I18281" s="15" t="str">
        <f t="shared" si="3"/>
        <v/>
      </c>
    </row>
    <row r="18282">
      <c r="A18282" s="8" t="str">
        <f>IFERROR(__xludf.DUMMYFUNCTION("IF('(INGESTA)Datos_consumo_datadis'!A19847&lt;&gt;"""",SPLIT('(INGESTA)Datos_consumo_datadis'!A:A,"",""),"""")"),"")</f>
        <v/>
      </c>
      <c r="G18282" s="8" t="str">
        <f t="shared" si="1"/>
        <v/>
      </c>
      <c r="H18282" s="14" t="str">
        <f t="shared" si="2"/>
        <v/>
      </c>
      <c r="I18282" s="15" t="str">
        <f t="shared" si="3"/>
        <v/>
      </c>
    </row>
    <row r="18283">
      <c r="A18283" s="8" t="str">
        <f>IFERROR(__xludf.DUMMYFUNCTION("IF('(INGESTA)Datos_consumo_datadis'!A19848&lt;&gt;"""",SPLIT('(INGESTA)Datos_consumo_datadis'!A:A,"",""),"""")"),"")</f>
        <v/>
      </c>
      <c r="G18283" s="8" t="str">
        <f t="shared" si="1"/>
        <v/>
      </c>
      <c r="H18283" s="14" t="str">
        <f t="shared" si="2"/>
        <v/>
      </c>
      <c r="I18283" s="15" t="str">
        <f t="shared" si="3"/>
        <v/>
      </c>
    </row>
    <row r="18284">
      <c r="A18284" s="8" t="str">
        <f>IFERROR(__xludf.DUMMYFUNCTION("IF('(INGESTA)Datos_consumo_datadis'!A19849&lt;&gt;"""",SPLIT('(INGESTA)Datos_consumo_datadis'!A:A,"",""),"""")"),"")</f>
        <v/>
      </c>
      <c r="G18284" s="8" t="str">
        <f t="shared" si="1"/>
        <v/>
      </c>
      <c r="H18284" s="14" t="str">
        <f t="shared" si="2"/>
        <v/>
      </c>
      <c r="I18284" s="15" t="str">
        <f t="shared" si="3"/>
        <v/>
      </c>
    </row>
    <row r="18285">
      <c r="A18285" s="8" t="str">
        <f>IFERROR(__xludf.DUMMYFUNCTION("IF('(INGESTA)Datos_consumo_datadis'!A19850&lt;&gt;"""",SPLIT('(INGESTA)Datos_consumo_datadis'!A:A,"",""),"""")"),"")</f>
        <v/>
      </c>
      <c r="G18285" s="8" t="str">
        <f t="shared" si="1"/>
        <v/>
      </c>
      <c r="H18285" s="14" t="str">
        <f t="shared" si="2"/>
        <v/>
      </c>
      <c r="I18285" s="15" t="str">
        <f t="shared" si="3"/>
        <v/>
      </c>
    </row>
    <row r="18286">
      <c r="A18286" s="8" t="str">
        <f>IFERROR(__xludf.DUMMYFUNCTION("IF('(INGESTA)Datos_consumo_datadis'!A19851&lt;&gt;"""",SPLIT('(INGESTA)Datos_consumo_datadis'!A:A,"",""),"""")"),"")</f>
        <v/>
      </c>
      <c r="G18286" s="8" t="str">
        <f t="shared" si="1"/>
        <v/>
      </c>
      <c r="H18286" s="14" t="str">
        <f t="shared" si="2"/>
        <v/>
      </c>
      <c r="I18286" s="15" t="str">
        <f t="shared" si="3"/>
        <v/>
      </c>
    </row>
    <row r="18287">
      <c r="A18287" s="8" t="str">
        <f>IFERROR(__xludf.DUMMYFUNCTION("IF('(INGESTA)Datos_consumo_datadis'!A19852&lt;&gt;"""",SPLIT('(INGESTA)Datos_consumo_datadis'!A:A,"",""),"""")"),"")</f>
        <v/>
      </c>
      <c r="G18287" s="8" t="str">
        <f t="shared" si="1"/>
        <v/>
      </c>
      <c r="H18287" s="14" t="str">
        <f t="shared" si="2"/>
        <v/>
      </c>
      <c r="I18287" s="15" t="str">
        <f t="shared" si="3"/>
        <v/>
      </c>
    </row>
    <row r="18288">
      <c r="A18288" s="8" t="str">
        <f>IFERROR(__xludf.DUMMYFUNCTION("IF('(INGESTA)Datos_consumo_datadis'!A19853&lt;&gt;"""",SPLIT('(INGESTA)Datos_consumo_datadis'!A:A,"",""),"""")"),"")</f>
        <v/>
      </c>
      <c r="G18288" s="8" t="str">
        <f t="shared" si="1"/>
        <v/>
      </c>
      <c r="H18288" s="14" t="str">
        <f t="shared" si="2"/>
        <v/>
      </c>
      <c r="I18288" s="15" t="str">
        <f t="shared" si="3"/>
        <v/>
      </c>
    </row>
    <row r="18289">
      <c r="A18289" s="8" t="str">
        <f>IFERROR(__xludf.DUMMYFUNCTION("IF('(INGESTA)Datos_consumo_datadis'!A19854&lt;&gt;"""",SPLIT('(INGESTA)Datos_consumo_datadis'!A:A,"",""),"""")"),"")</f>
        <v/>
      </c>
      <c r="G18289" s="8" t="str">
        <f t="shared" si="1"/>
        <v/>
      </c>
      <c r="H18289" s="14" t="str">
        <f t="shared" si="2"/>
        <v/>
      </c>
      <c r="I18289" s="15" t="str">
        <f t="shared" si="3"/>
        <v/>
      </c>
    </row>
    <row r="18290">
      <c r="A18290" s="8" t="str">
        <f>IFERROR(__xludf.DUMMYFUNCTION("IF('(INGESTA)Datos_consumo_datadis'!A19855&lt;&gt;"""",SPLIT('(INGESTA)Datos_consumo_datadis'!A:A,"",""),"""")"),"")</f>
        <v/>
      </c>
      <c r="G18290" s="8" t="str">
        <f t="shared" si="1"/>
        <v/>
      </c>
      <c r="H18290" s="14" t="str">
        <f t="shared" si="2"/>
        <v/>
      </c>
      <c r="I18290" s="15" t="str">
        <f t="shared" si="3"/>
        <v/>
      </c>
    </row>
    <row r="18291">
      <c r="A18291" s="8" t="str">
        <f>IFERROR(__xludf.DUMMYFUNCTION("IF('(INGESTA)Datos_consumo_datadis'!A19856&lt;&gt;"""",SPLIT('(INGESTA)Datos_consumo_datadis'!A:A,"",""),"""")"),"")</f>
        <v/>
      </c>
      <c r="G18291" s="8" t="str">
        <f t="shared" si="1"/>
        <v/>
      </c>
      <c r="H18291" s="14" t="str">
        <f t="shared" si="2"/>
        <v/>
      </c>
      <c r="I18291" s="15" t="str">
        <f t="shared" si="3"/>
        <v/>
      </c>
    </row>
    <row r="18292">
      <c r="A18292" s="8" t="str">
        <f>IFERROR(__xludf.DUMMYFUNCTION("IF('(INGESTA)Datos_consumo_datadis'!A19857&lt;&gt;"""",SPLIT('(INGESTA)Datos_consumo_datadis'!A:A,"",""),"""")"),"")</f>
        <v/>
      </c>
      <c r="G18292" s="8" t="str">
        <f t="shared" si="1"/>
        <v/>
      </c>
      <c r="H18292" s="14" t="str">
        <f t="shared" si="2"/>
        <v/>
      </c>
      <c r="I18292" s="15" t="str">
        <f t="shared" si="3"/>
        <v/>
      </c>
    </row>
    <row r="18293">
      <c r="A18293" s="8" t="str">
        <f>IFERROR(__xludf.DUMMYFUNCTION("IF('(INGESTA)Datos_consumo_datadis'!A19858&lt;&gt;"""",SPLIT('(INGESTA)Datos_consumo_datadis'!A:A,"",""),"""")"),"")</f>
        <v/>
      </c>
      <c r="G18293" s="8" t="str">
        <f t="shared" si="1"/>
        <v/>
      </c>
      <c r="H18293" s="14" t="str">
        <f t="shared" si="2"/>
        <v/>
      </c>
      <c r="I18293" s="15" t="str">
        <f t="shared" si="3"/>
        <v/>
      </c>
    </row>
    <row r="18294">
      <c r="A18294" s="8" t="str">
        <f>IFERROR(__xludf.DUMMYFUNCTION("IF('(INGESTA)Datos_consumo_datadis'!A19859&lt;&gt;"""",SPLIT('(INGESTA)Datos_consumo_datadis'!A:A,"",""),"""")"),"")</f>
        <v/>
      </c>
      <c r="G18294" s="8" t="str">
        <f t="shared" si="1"/>
        <v/>
      </c>
      <c r="H18294" s="14" t="str">
        <f t="shared" si="2"/>
        <v/>
      </c>
      <c r="I18294" s="15" t="str">
        <f t="shared" si="3"/>
        <v/>
      </c>
    </row>
    <row r="18295">
      <c r="A18295" s="8" t="str">
        <f>IFERROR(__xludf.DUMMYFUNCTION("IF('(INGESTA)Datos_consumo_datadis'!A19860&lt;&gt;"""",SPLIT('(INGESTA)Datos_consumo_datadis'!A:A,"",""),"""")"),"")</f>
        <v/>
      </c>
      <c r="G18295" s="8" t="str">
        <f t="shared" si="1"/>
        <v/>
      </c>
      <c r="H18295" s="14" t="str">
        <f t="shared" si="2"/>
        <v/>
      </c>
      <c r="I18295" s="15" t="str">
        <f t="shared" si="3"/>
        <v/>
      </c>
    </row>
    <row r="18296">
      <c r="A18296" s="8" t="str">
        <f>IFERROR(__xludf.DUMMYFUNCTION("IF('(INGESTA)Datos_consumo_datadis'!A19861&lt;&gt;"""",SPLIT('(INGESTA)Datos_consumo_datadis'!A:A,"",""),"""")"),"")</f>
        <v/>
      </c>
      <c r="G18296" s="8" t="str">
        <f t="shared" si="1"/>
        <v/>
      </c>
      <c r="H18296" s="14" t="str">
        <f t="shared" si="2"/>
        <v/>
      </c>
      <c r="I18296" s="15" t="str">
        <f t="shared" si="3"/>
        <v/>
      </c>
    </row>
    <row r="18297">
      <c r="A18297" s="8" t="str">
        <f>IFERROR(__xludf.DUMMYFUNCTION("IF('(INGESTA)Datos_consumo_datadis'!A19862&lt;&gt;"""",SPLIT('(INGESTA)Datos_consumo_datadis'!A:A,"",""),"""")"),"")</f>
        <v/>
      </c>
      <c r="G18297" s="8" t="str">
        <f t="shared" si="1"/>
        <v/>
      </c>
      <c r="H18297" s="14" t="str">
        <f t="shared" si="2"/>
        <v/>
      </c>
      <c r="I18297" s="15" t="str">
        <f t="shared" si="3"/>
        <v/>
      </c>
    </row>
    <row r="18298">
      <c r="A18298" s="8" t="str">
        <f>IFERROR(__xludf.DUMMYFUNCTION("IF('(INGESTA)Datos_consumo_datadis'!A19863&lt;&gt;"""",SPLIT('(INGESTA)Datos_consumo_datadis'!A:A,"",""),"""")"),"")</f>
        <v/>
      </c>
      <c r="G18298" s="8" t="str">
        <f t="shared" si="1"/>
        <v/>
      </c>
      <c r="H18298" s="14" t="str">
        <f t="shared" si="2"/>
        <v/>
      </c>
      <c r="I18298" s="15" t="str">
        <f t="shared" si="3"/>
        <v/>
      </c>
    </row>
    <row r="18299">
      <c r="A18299" s="8" t="str">
        <f>IFERROR(__xludf.DUMMYFUNCTION("IF('(INGESTA)Datos_consumo_datadis'!A19864&lt;&gt;"""",SPLIT('(INGESTA)Datos_consumo_datadis'!A:A,"",""),"""")"),"")</f>
        <v/>
      </c>
      <c r="G18299" s="8" t="str">
        <f t="shared" si="1"/>
        <v/>
      </c>
      <c r="H18299" s="14" t="str">
        <f t="shared" si="2"/>
        <v/>
      </c>
      <c r="I18299" s="15" t="str">
        <f t="shared" si="3"/>
        <v/>
      </c>
    </row>
    <row r="18300">
      <c r="A18300" s="8" t="str">
        <f>IFERROR(__xludf.DUMMYFUNCTION("IF('(INGESTA)Datos_consumo_datadis'!A19865&lt;&gt;"""",SPLIT('(INGESTA)Datos_consumo_datadis'!A:A,"",""),"""")"),"")</f>
        <v/>
      </c>
      <c r="G18300" s="8" t="str">
        <f t="shared" si="1"/>
        <v/>
      </c>
      <c r="H18300" s="14" t="str">
        <f t="shared" si="2"/>
        <v/>
      </c>
      <c r="I18300" s="15" t="str">
        <f t="shared" si="3"/>
        <v/>
      </c>
    </row>
    <row r="18301">
      <c r="A18301" s="8" t="str">
        <f>IFERROR(__xludf.DUMMYFUNCTION("IF('(INGESTA)Datos_consumo_datadis'!A19866&lt;&gt;"""",SPLIT('(INGESTA)Datos_consumo_datadis'!A:A,"",""),"""")"),"")</f>
        <v/>
      </c>
      <c r="G18301" s="8" t="str">
        <f t="shared" si="1"/>
        <v/>
      </c>
      <c r="H18301" s="14" t="str">
        <f t="shared" si="2"/>
        <v/>
      </c>
      <c r="I18301" s="15" t="str">
        <f t="shared" si="3"/>
        <v/>
      </c>
    </row>
    <row r="18302">
      <c r="A18302" s="8" t="str">
        <f>IFERROR(__xludf.DUMMYFUNCTION("IF('(INGESTA)Datos_consumo_datadis'!A19867&lt;&gt;"""",SPLIT('(INGESTA)Datos_consumo_datadis'!A:A,"",""),"""")"),"")</f>
        <v/>
      </c>
      <c r="G18302" s="8" t="str">
        <f t="shared" si="1"/>
        <v/>
      </c>
      <c r="H18302" s="14" t="str">
        <f t="shared" si="2"/>
        <v/>
      </c>
      <c r="I18302" s="15" t="str">
        <f t="shared" si="3"/>
        <v/>
      </c>
    </row>
    <row r="18303">
      <c r="A18303" s="8" t="str">
        <f>IFERROR(__xludf.DUMMYFUNCTION("IF('(INGESTA)Datos_consumo_datadis'!A19868&lt;&gt;"""",SPLIT('(INGESTA)Datos_consumo_datadis'!A:A,"",""),"""")"),"")</f>
        <v/>
      </c>
      <c r="G18303" s="8" t="str">
        <f t="shared" si="1"/>
        <v/>
      </c>
      <c r="H18303" s="14" t="str">
        <f t="shared" si="2"/>
        <v/>
      </c>
      <c r="I18303" s="15" t="str">
        <f t="shared" si="3"/>
        <v/>
      </c>
    </row>
    <row r="18304">
      <c r="A18304" s="8" t="str">
        <f>IFERROR(__xludf.DUMMYFUNCTION("IF('(INGESTA)Datos_consumo_datadis'!A19869&lt;&gt;"""",SPLIT('(INGESTA)Datos_consumo_datadis'!A:A,"",""),"""")"),"")</f>
        <v/>
      </c>
      <c r="G18304" s="8" t="str">
        <f t="shared" si="1"/>
        <v/>
      </c>
      <c r="H18304" s="14" t="str">
        <f t="shared" si="2"/>
        <v/>
      </c>
      <c r="I18304" s="15" t="str">
        <f t="shared" si="3"/>
        <v/>
      </c>
    </row>
    <row r="18305">
      <c r="A18305" s="8" t="str">
        <f>IFERROR(__xludf.DUMMYFUNCTION("IF('(INGESTA)Datos_consumo_datadis'!A19870&lt;&gt;"""",SPLIT('(INGESTA)Datos_consumo_datadis'!A:A,"",""),"""")"),"")</f>
        <v/>
      </c>
      <c r="G18305" s="8" t="str">
        <f t="shared" si="1"/>
        <v/>
      </c>
      <c r="H18305" s="14" t="str">
        <f t="shared" si="2"/>
        <v/>
      </c>
      <c r="I18305" s="15" t="str">
        <f t="shared" si="3"/>
        <v/>
      </c>
    </row>
    <row r="18306">
      <c r="A18306" s="8" t="str">
        <f>IFERROR(__xludf.DUMMYFUNCTION("IF('(INGESTA)Datos_consumo_datadis'!A19871&lt;&gt;"""",SPLIT('(INGESTA)Datos_consumo_datadis'!A:A,"",""),"""")"),"")</f>
        <v/>
      </c>
      <c r="G18306" s="8" t="str">
        <f t="shared" si="1"/>
        <v/>
      </c>
      <c r="H18306" s="14" t="str">
        <f t="shared" si="2"/>
        <v/>
      </c>
      <c r="I18306" s="15" t="str">
        <f t="shared" si="3"/>
        <v/>
      </c>
    </row>
    <row r="18307">
      <c r="A18307" s="8" t="str">
        <f>IFERROR(__xludf.DUMMYFUNCTION("IF('(INGESTA)Datos_consumo_datadis'!A19872&lt;&gt;"""",SPLIT('(INGESTA)Datos_consumo_datadis'!A:A,"",""),"""")"),"")</f>
        <v/>
      </c>
      <c r="G18307" s="8" t="str">
        <f t="shared" si="1"/>
        <v/>
      </c>
      <c r="H18307" s="14" t="str">
        <f t="shared" si="2"/>
        <v/>
      </c>
      <c r="I18307" s="15" t="str">
        <f t="shared" si="3"/>
        <v/>
      </c>
    </row>
    <row r="18308">
      <c r="A18308" s="8" t="str">
        <f>IFERROR(__xludf.DUMMYFUNCTION("IF('(INGESTA)Datos_consumo_datadis'!A19873&lt;&gt;"""",SPLIT('(INGESTA)Datos_consumo_datadis'!A:A,"",""),"""")"),"")</f>
        <v/>
      </c>
      <c r="G18308" s="8" t="str">
        <f t="shared" si="1"/>
        <v/>
      </c>
      <c r="H18308" s="14" t="str">
        <f t="shared" si="2"/>
        <v/>
      </c>
      <c r="I18308" s="15" t="str">
        <f t="shared" si="3"/>
        <v/>
      </c>
    </row>
    <row r="18309">
      <c r="A18309" s="8" t="str">
        <f>IFERROR(__xludf.DUMMYFUNCTION("IF('(INGESTA)Datos_consumo_datadis'!A19874&lt;&gt;"""",SPLIT('(INGESTA)Datos_consumo_datadis'!A:A,"",""),"""")"),"")</f>
        <v/>
      </c>
      <c r="G18309" s="8" t="str">
        <f t="shared" si="1"/>
        <v/>
      </c>
      <c r="H18309" s="14" t="str">
        <f t="shared" si="2"/>
        <v/>
      </c>
      <c r="I18309" s="15" t="str">
        <f t="shared" si="3"/>
        <v/>
      </c>
    </row>
    <row r="18310">
      <c r="A18310" s="8" t="str">
        <f>IFERROR(__xludf.DUMMYFUNCTION("IF('(INGESTA)Datos_consumo_datadis'!A19875&lt;&gt;"""",SPLIT('(INGESTA)Datos_consumo_datadis'!A:A,"",""),"""")"),"")</f>
        <v/>
      </c>
      <c r="G18310" s="8" t="str">
        <f t="shared" si="1"/>
        <v/>
      </c>
      <c r="H18310" s="14" t="str">
        <f t="shared" si="2"/>
        <v/>
      </c>
      <c r="I18310" s="15" t="str">
        <f t="shared" si="3"/>
        <v/>
      </c>
    </row>
    <row r="18311">
      <c r="A18311" s="8" t="str">
        <f>IFERROR(__xludf.DUMMYFUNCTION("IF('(INGESTA)Datos_consumo_datadis'!A19876&lt;&gt;"""",SPLIT('(INGESTA)Datos_consumo_datadis'!A:A,"",""),"""")"),"")</f>
        <v/>
      </c>
      <c r="G18311" s="8" t="str">
        <f t="shared" si="1"/>
        <v/>
      </c>
      <c r="H18311" s="14" t="str">
        <f t="shared" si="2"/>
        <v/>
      </c>
      <c r="I18311" s="15" t="str">
        <f t="shared" si="3"/>
        <v/>
      </c>
    </row>
    <row r="18312">
      <c r="A18312" s="8" t="str">
        <f>IFERROR(__xludf.DUMMYFUNCTION("IF('(INGESTA)Datos_consumo_datadis'!A19877&lt;&gt;"""",SPLIT('(INGESTA)Datos_consumo_datadis'!A:A,"",""),"""")"),"")</f>
        <v/>
      </c>
      <c r="G18312" s="8" t="str">
        <f t="shared" si="1"/>
        <v/>
      </c>
      <c r="H18312" s="14" t="str">
        <f t="shared" si="2"/>
        <v/>
      </c>
      <c r="I18312" s="15" t="str">
        <f t="shared" si="3"/>
        <v/>
      </c>
    </row>
    <row r="18313">
      <c r="A18313" s="8" t="str">
        <f>IFERROR(__xludf.DUMMYFUNCTION("IF('(INGESTA)Datos_consumo_datadis'!A19878&lt;&gt;"""",SPLIT('(INGESTA)Datos_consumo_datadis'!A:A,"",""),"""")"),"")</f>
        <v/>
      </c>
      <c r="G18313" s="8" t="str">
        <f t="shared" si="1"/>
        <v/>
      </c>
      <c r="H18313" s="14" t="str">
        <f t="shared" si="2"/>
        <v/>
      </c>
      <c r="I18313" s="15" t="str">
        <f t="shared" si="3"/>
        <v/>
      </c>
    </row>
    <row r="18314">
      <c r="A18314" s="8" t="str">
        <f>IFERROR(__xludf.DUMMYFUNCTION("IF('(INGESTA)Datos_consumo_datadis'!A19879&lt;&gt;"""",SPLIT('(INGESTA)Datos_consumo_datadis'!A:A,"",""),"""")"),"")</f>
        <v/>
      </c>
      <c r="G18314" s="8" t="str">
        <f t="shared" si="1"/>
        <v/>
      </c>
      <c r="H18314" s="14" t="str">
        <f t="shared" si="2"/>
        <v/>
      </c>
      <c r="I18314" s="15" t="str">
        <f t="shared" si="3"/>
        <v/>
      </c>
    </row>
    <row r="18315">
      <c r="A18315" s="8" t="str">
        <f>IFERROR(__xludf.DUMMYFUNCTION("IF('(INGESTA)Datos_consumo_datadis'!A19880&lt;&gt;"""",SPLIT('(INGESTA)Datos_consumo_datadis'!A:A,"",""),"""")"),"")</f>
        <v/>
      </c>
      <c r="G18315" s="8" t="str">
        <f t="shared" si="1"/>
        <v/>
      </c>
      <c r="H18315" s="14" t="str">
        <f t="shared" si="2"/>
        <v/>
      </c>
      <c r="I18315" s="15" t="str">
        <f t="shared" si="3"/>
        <v/>
      </c>
    </row>
    <row r="18316">
      <c r="A18316" s="8" t="str">
        <f>IFERROR(__xludf.DUMMYFUNCTION("IF('(INGESTA)Datos_consumo_datadis'!A19881&lt;&gt;"""",SPLIT('(INGESTA)Datos_consumo_datadis'!A:A,"",""),"""")"),"")</f>
        <v/>
      </c>
      <c r="G18316" s="8" t="str">
        <f t="shared" si="1"/>
        <v/>
      </c>
      <c r="H18316" s="14" t="str">
        <f t="shared" si="2"/>
        <v/>
      </c>
      <c r="I18316" s="15" t="str">
        <f t="shared" si="3"/>
        <v/>
      </c>
    </row>
    <row r="18317">
      <c r="A18317" s="8" t="str">
        <f>IFERROR(__xludf.DUMMYFUNCTION("IF('(INGESTA)Datos_consumo_datadis'!A19882&lt;&gt;"""",SPLIT('(INGESTA)Datos_consumo_datadis'!A:A,"",""),"""")"),"")</f>
        <v/>
      </c>
      <c r="G18317" s="8" t="str">
        <f t="shared" si="1"/>
        <v/>
      </c>
      <c r="H18317" s="14" t="str">
        <f t="shared" si="2"/>
        <v/>
      </c>
      <c r="I18317" s="15" t="str">
        <f t="shared" si="3"/>
        <v/>
      </c>
    </row>
    <row r="18318">
      <c r="A18318" s="8" t="str">
        <f>IFERROR(__xludf.DUMMYFUNCTION("IF('(INGESTA)Datos_consumo_datadis'!A19883&lt;&gt;"""",SPLIT('(INGESTA)Datos_consumo_datadis'!A:A,"",""),"""")"),"")</f>
        <v/>
      </c>
      <c r="G18318" s="8" t="str">
        <f t="shared" si="1"/>
        <v/>
      </c>
      <c r="H18318" s="14" t="str">
        <f t="shared" si="2"/>
        <v/>
      </c>
      <c r="I18318" s="15" t="str">
        <f t="shared" si="3"/>
        <v/>
      </c>
    </row>
    <row r="18319">
      <c r="A18319" s="8" t="str">
        <f>IFERROR(__xludf.DUMMYFUNCTION("IF('(INGESTA)Datos_consumo_datadis'!A19884&lt;&gt;"""",SPLIT('(INGESTA)Datos_consumo_datadis'!A:A,"",""),"""")"),"")</f>
        <v/>
      </c>
      <c r="G18319" s="8" t="str">
        <f t="shared" si="1"/>
        <v/>
      </c>
      <c r="H18319" s="14" t="str">
        <f t="shared" si="2"/>
        <v/>
      </c>
      <c r="I18319" s="15" t="str">
        <f t="shared" si="3"/>
        <v/>
      </c>
    </row>
    <row r="18320">
      <c r="A18320" s="8" t="str">
        <f>IFERROR(__xludf.DUMMYFUNCTION("IF('(INGESTA)Datos_consumo_datadis'!A19885&lt;&gt;"""",SPLIT('(INGESTA)Datos_consumo_datadis'!A:A,"",""),"""")"),"")</f>
        <v/>
      </c>
      <c r="G18320" s="8" t="str">
        <f t="shared" si="1"/>
        <v/>
      </c>
      <c r="H18320" s="14" t="str">
        <f t="shared" si="2"/>
        <v/>
      </c>
      <c r="I18320" s="15" t="str">
        <f t="shared" si="3"/>
        <v/>
      </c>
    </row>
    <row r="18321">
      <c r="A18321" s="8" t="str">
        <f>IFERROR(__xludf.DUMMYFUNCTION("IF('(INGESTA)Datos_consumo_datadis'!A19886&lt;&gt;"""",SPLIT('(INGESTA)Datos_consumo_datadis'!A:A,"",""),"""")"),"")</f>
        <v/>
      </c>
      <c r="G18321" s="8" t="str">
        <f t="shared" si="1"/>
        <v/>
      </c>
      <c r="H18321" s="14" t="str">
        <f t="shared" si="2"/>
        <v/>
      </c>
      <c r="I18321" s="15" t="str">
        <f t="shared" si="3"/>
        <v/>
      </c>
    </row>
    <row r="18322">
      <c r="A18322" s="8" t="str">
        <f>IFERROR(__xludf.DUMMYFUNCTION("IF('(INGESTA)Datos_consumo_datadis'!A19887&lt;&gt;"""",SPLIT('(INGESTA)Datos_consumo_datadis'!A:A,"",""),"""")"),"")</f>
        <v/>
      </c>
      <c r="G18322" s="8" t="str">
        <f t="shared" si="1"/>
        <v/>
      </c>
      <c r="H18322" s="14" t="str">
        <f t="shared" si="2"/>
        <v/>
      </c>
      <c r="I18322" s="15" t="str">
        <f t="shared" si="3"/>
        <v/>
      </c>
    </row>
    <row r="18323">
      <c r="A18323" s="8" t="str">
        <f>IFERROR(__xludf.DUMMYFUNCTION("IF('(INGESTA)Datos_consumo_datadis'!A19888&lt;&gt;"""",SPLIT('(INGESTA)Datos_consumo_datadis'!A:A,"",""),"""")"),"")</f>
        <v/>
      </c>
      <c r="G18323" s="8" t="str">
        <f t="shared" si="1"/>
        <v/>
      </c>
      <c r="H18323" s="14" t="str">
        <f t="shared" si="2"/>
        <v/>
      </c>
      <c r="I18323" s="15" t="str">
        <f t="shared" si="3"/>
        <v/>
      </c>
    </row>
    <row r="18324">
      <c r="A18324" s="8" t="str">
        <f>IFERROR(__xludf.DUMMYFUNCTION("IF('(INGESTA)Datos_consumo_datadis'!A19889&lt;&gt;"""",SPLIT('(INGESTA)Datos_consumo_datadis'!A:A,"",""),"""")"),"")</f>
        <v/>
      </c>
      <c r="G18324" s="8" t="str">
        <f t="shared" si="1"/>
        <v/>
      </c>
      <c r="H18324" s="14" t="str">
        <f t="shared" si="2"/>
        <v/>
      </c>
      <c r="I18324" s="15" t="str">
        <f t="shared" si="3"/>
        <v/>
      </c>
    </row>
    <row r="18325">
      <c r="A18325" s="8" t="str">
        <f>IFERROR(__xludf.DUMMYFUNCTION("IF('(INGESTA)Datos_consumo_datadis'!A19890&lt;&gt;"""",SPLIT('(INGESTA)Datos_consumo_datadis'!A:A,"",""),"""")"),"")</f>
        <v/>
      </c>
      <c r="G18325" s="8" t="str">
        <f t="shared" si="1"/>
        <v/>
      </c>
      <c r="H18325" s="14" t="str">
        <f t="shared" si="2"/>
        <v/>
      </c>
      <c r="I18325" s="15" t="str">
        <f t="shared" si="3"/>
        <v/>
      </c>
    </row>
    <row r="18326">
      <c r="A18326" s="8" t="str">
        <f>IFERROR(__xludf.DUMMYFUNCTION("IF('(INGESTA)Datos_consumo_datadis'!A19891&lt;&gt;"""",SPLIT('(INGESTA)Datos_consumo_datadis'!A:A,"",""),"""")"),"")</f>
        <v/>
      </c>
      <c r="G18326" s="8" t="str">
        <f t="shared" si="1"/>
        <v/>
      </c>
      <c r="H18326" s="14" t="str">
        <f t="shared" si="2"/>
        <v/>
      </c>
      <c r="I18326" s="15" t="str">
        <f t="shared" si="3"/>
        <v/>
      </c>
    </row>
    <row r="18327">
      <c r="A18327" s="8" t="str">
        <f>IFERROR(__xludf.DUMMYFUNCTION("IF('(INGESTA)Datos_consumo_datadis'!A19892&lt;&gt;"""",SPLIT('(INGESTA)Datos_consumo_datadis'!A:A,"",""),"""")"),"")</f>
        <v/>
      </c>
      <c r="G18327" s="8" t="str">
        <f t="shared" si="1"/>
        <v/>
      </c>
      <c r="H18327" s="14" t="str">
        <f t="shared" si="2"/>
        <v/>
      </c>
      <c r="I18327" s="15" t="str">
        <f t="shared" si="3"/>
        <v/>
      </c>
    </row>
    <row r="18328">
      <c r="A18328" s="8" t="str">
        <f>IFERROR(__xludf.DUMMYFUNCTION("IF('(INGESTA)Datos_consumo_datadis'!A19893&lt;&gt;"""",SPLIT('(INGESTA)Datos_consumo_datadis'!A:A,"",""),"""")"),"")</f>
        <v/>
      </c>
      <c r="G18328" s="8" t="str">
        <f t="shared" si="1"/>
        <v/>
      </c>
      <c r="H18328" s="14" t="str">
        <f t="shared" si="2"/>
        <v/>
      </c>
      <c r="I18328" s="15" t="str">
        <f t="shared" si="3"/>
        <v/>
      </c>
    </row>
    <row r="18329">
      <c r="A18329" s="8" t="str">
        <f>IFERROR(__xludf.DUMMYFUNCTION("IF('(INGESTA)Datos_consumo_datadis'!A19894&lt;&gt;"""",SPLIT('(INGESTA)Datos_consumo_datadis'!A:A,"",""),"""")"),"")</f>
        <v/>
      </c>
      <c r="G18329" s="8" t="str">
        <f t="shared" si="1"/>
        <v/>
      </c>
      <c r="H18329" s="14" t="str">
        <f t="shared" si="2"/>
        <v/>
      </c>
      <c r="I18329" s="15" t="str">
        <f t="shared" si="3"/>
        <v/>
      </c>
    </row>
    <row r="18330">
      <c r="A18330" s="8" t="str">
        <f>IFERROR(__xludf.DUMMYFUNCTION("IF('(INGESTA)Datos_consumo_datadis'!A19895&lt;&gt;"""",SPLIT('(INGESTA)Datos_consumo_datadis'!A:A,"",""),"""")"),"")</f>
        <v/>
      </c>
      <c r="G18330" s="8" t="str">
        <f t="shared" si="1"/>
        <v/>
      </c>
      <c r="H18330" s="14" t="str">
        <f t="shared" si="2"/>
        <v/>
      </c>
      <c r="I18330" s="15" t="str">
        <f t="shared" si="3"/>
        <v/>
      </c>
    </row>
    <row r="18331">
      <c r="A18331" s="8" t="str">
        <f>IFERROR(__xludf.DUMMYFUNCTION("IF('(INGESTA)Datos_consumo_datadis'!A19896&lt;&gt;"""",SPLIT('(INGESTA)Datos_consumo_datadis'!A:A,"",""),"""")"),"")</f>
        <v/>
      </c>
      <c r="G18331" s="8" t="str">
        <f t="shared" si="1"/>
        <v/>
      </c>
      <c r="H18331" s="14" t="str">
        <f t="shared" si="2"/>
        <v/>
      </c>
      <c r="I18331" s="15" t="str">
        <f t="shared" si="3"/>
        <v/>
      </c>
    </row>
    <row r="18332">
      <c r="A18332" s="8" t="str">
        <f>IFERROR(__xludf.DUMMYFUNCTION("IF('(INGESTA)Datos_consumo_datadis'!A19897&lt;&gt;"""",SPLIT('(INGESTA)Datos_consumo_datadis'!A:A,"",""),"""")"),"")</f>
        <v/>
      </c>
      <c r="G18332" s="8" t="str">
        <f t="shared" si="1"/>
        <v/>
      </c>
      <c r="H18332" s="14" t="str">
        <f t="shared" si="2"/>
        <v/>
      </c>
      <c r="I18332" s="15" t="str">
        <f t="shared" si="3"/>
        <v/>
      </c>
    </row>
    <row r="18333">
      <c r="A18333" s="8" t="str">
        <f>IFERROR(__xludf.DUMMYFUNCTION("IF('(INGESTA)Datos_consumo_datadis'!A19898&lt;&gt;"""",SPLIT('(INGESTA)Datos_consumo_datadis'!A:A,"",""),"""")"),"")</f>
        <v/>
      </c>
      <c r="G18333" s="8" t="str">
        <f t="shared" si="1"/>
        <v/>
      </c>
      <c r="H18333" s="14" t="str">
        <f t="shared" si="2"/>
        <v/>
      </c>
      <c r="I18333" s="15" t="str">
        <f t="shared" si="3"/>
        <v/>
      </c>
    </row>
    <row r="18334">
      <c r="A18334" s="8" t="str">
        <f>IFERROR(__xludf.DUMMYFUNCTION("IF('(INGESTA)Datos_consumo_datadis'!A19899&lt;&gt;"""",SPLIT('(INGESTA)Datos_consumo_datadis'!A:A,"",""),"""")"),"")</f>
        <v/>
      </c>
      <c r="G18334" s="8" t="str">
        <f t="shared" si="1"/>
        <v/>
      </c>
      <c r="H18334" s="14" t="str">
        <f t="shared" si="2"/>
        <v/>
      </c>
      <c r="I18334" s="15" t="str">
        <f t="shared" si="3"/>
        <v/>
      </c>
    </row>
    <row r="18335">
      <c r="A18335" s="8" t="str">
        <f>IFERROR(__xludf.DUMMYFUNCTION("IF('(INGESTA)Datos_consumo_datadis'!A19900&lt;&gt;"""",SPLIT('(INGESTA)Datos_consumo_datadis'!A:A,"",""),"""")"),"")</f>
        <v/>
      </c>
      <c r="G18335" s="8" t="str">
        <f t="shared" si="1"/>
        <v/>
      </c>
      <c r="H18335" s="14" t="str">
        <f t="shared" si="2"/>
        <v/>
      </c>
      <c r="I18335" s="15" t="str">
        <f t="shared" si="3"/>
        <v/>
      </c>
    </row>
    <row r="18336">
      <c r="A18336" s="8" t="str">
        <f>IFERROR(__xludf.DUMMYFUNCTION("IF('(INGESTA)Datos_consumo_datadis'!A19901&lt;&gt;"""",SPLIT('(INGESTA)Datos_consumo_datadis'!A:A,"",""),"""")"),"")</f>
        <v/>
      </c>
      <c r="G18336" s="8" t="str">
        <f t="shared" si="1"/>
        <v/>
      </c>
      <c r="H18336" s="14" t="str">
        <f t="shared" si="2"/>
        <v/>
      </c>
      <c r="I18336" s="15" t="str">
        <f t="shared" si="3"/>
        <v/>
      </c>
    </row>
    <row r="18337">
      <c r="A18337" s="8" t="str">
        <f>IFERROR(__xludf.DUMMYFUNCTION("IF('(INGESTA)Datos_consumo_datadis'!A19902&lt;&gt;"""",SPLIT('(INGESTA)Datos_consumo_datadis'!A:A,"",""),"""")"),"")</f>
        <v/>
      </c>
      <c r="G18337" s="8" t="str">
        <f t="shared" si="1"/>
        <v/>
      </c>
      <c r="H18337" s="14" t="str">
        <f t="shared" si="2"/>
        <v/>
      </c>
      <c r="I18337" s="15" t="str">
        <f t="shared" si="3"/>
        <v/>
      </c>
    </row>
    <row r="18338">
      <c r="A18338" s="8" t="str">
        <f>IFERROR(__xludf.DUMMYFUNCTION("IF('(INGESTA)Datos_consumo_datadis'!A19903&lt;&gt;"""",SPLIT('(INGESTA)Datos_consumo_datadis'!A:A,"",""),"""")"),"")</f>
        <v/>
      </c>
      <c r="G18338" s="8" t="str">
        <f t="shared" si="1"/>
        <v/>
      </c>
      <c r="H18338" s="14" t="str">
        <f t="shared" si="2"/>
        <v/>
      </c>
      <c r="I18338" s="15" t="str">
        <f t="shared" si="3"/>
        <v/>
      </c>
    </row>
    <row r="18339">
      <c r="A18339" s="8" t="str">
        <f>IFERROR(__xludf.DUMMYFUNCTION("IF('(INGESTA)Datos_consumo_datadis'!A19904&lt;&gt;"""",SPLIT('(INGESTA)Datos_consumo_datadis'!A:A,"",""),"""")"),"")</f>
        <v/>
      </c>
      <c r="G18339" s="8" t="str">
        <f t="shared" si="1"/>
        <v/>
      </c>
      <c r="H18339" s="14" t="str">
        <f t="shared" si="2"/>
        <v/>
      </c>
      <c r="I18339" s="15" t="str">
        <f t="shared" si="3"/>
        <v/>
      </c>
    </row>
    <row r="18340">
      <c r="A18340" s="8" t="str">
        <f>IFERROR(__xludf.DUMMYFUNCTION("IF('(INGESTA)Datos_consumo_datadis'!A19905&lt;&gt;"""",SPLIT('(INGESTA)Datos_consumo_datadis'!A:A,"",""),"""")"),"")</f>
        <v/>
      </c>
      <c r="G18340" s="8" t="str">
        <f t="shared" si="1"/>
        <v/>
      </c>
      <c r="H18340" s="14" t="str">
        <f t="shared" si="2"/>
        <v/>
      </c>
      <c r="I18340" s="15" t="str">
        <f t="shared" si="3"/>
        <v/>
      </c>
    </row>
    <row r="18341">
      <c r="A18341" s="8" t="str">
        <f>IFERROR(__xludf.DUMMYFUNCTION("IF('(INGESTA)Datos_consumo_datadis'!A19906&lt;&gt;"""",SPLIT('(INGESTA)Datos_consumo_datadis'!A:A,"",""),"""")"),"")</f>
        <v/>
      </c>
      <c r="G18341" s="8" t="str">
        <f t="shared" si="1"/>
        <v/>
      </c>
      <c r="H18341" s="14" t="str">
        <f t="shared" si="2"/>
        <v/>
      </c>
      <c r="I18341" s="15" t="str">
        <f t="shared" si="3"/>
        <v/>
      </c>
    </row>
    <row r="18342">
      <c r="A18342" s="8" t="str">
        <f>IFERROR(__xludf.DUMMYFUNCTION("IF('(INGESTA)Datos_consumo_datadis'!A19907&lt;&gt;"""",SPLIT('(INGESTA)Datos_consumo_datadis'!A:A,"",""),"""")"),"")</f>
        <v/>
      </c>
      <c r="G18342" s="8" t="str">
        <f t="shared" si="1"/>
        <v/>
      </c>
      <c r="H18342" s="14" t="str">
        <f t="shared" si="2"/>
        <v/>
      </c>
      <c r="I18342" s="15" t="str">
        <f t="shared" si="3"/>
        <v/>
      </c>
    </row>
    <row r="18343">
      <c r="A18343" s="8" t="str">
        <f>IFERROR(__xludf.DUMMYFUNCTION("IF('(INGESTA)Datos_consumo_datadis'!A19908&lt;&gt;"""",SPLIT('(INGESTA)Datos_consumo_datadis'!A:A,"",""),"""")"),"")</f>
        <v/>
      </c>
      <c r="G18343" s="8" t="str">
        <f t="shared" si="1"/>
        <v/>
      </c>
      <c r="H18343" s="14" t="str">
        <f t="shared" si="2"/>
        <v/>
      </c>
      <c r="I18343" s="15" t="str">
        <f t="shared" si="3"/>
        <v/>
      </c>
    </row>
    <row r="18344">
      <c r="A18344" s="8" t="str">
        <f>IFERROR(__xludf.DUMMYFUNCTION("IF('(INGESTA)Datos_consumo_datadis'!A19909&lt;&gt;"""",SPLIT('(INGESTA)Datos_consumo_datadis'!A:A,"",""),"""")"),"")</f>
        <v/>
      </c>
      <c r="G18344" s="8" t="str">
        <f t="shared" si="1"/>
        <v/>
      </c>
      <c r="H18344" s="14" t="str">
        <f t="shared" si="2"/>
        <v/>
      </c>
      <c r="I18344" s="15" t="str">
        <f t="shared" si="3"/>
        <v/>
      </c>
    </row>
    <row r="18345">
      <c r="A18345" s="8" t="str">
        <f>IFERROR(__xludf.DUMMYFUNCTION("IF('(INGESTA)Datos_consumo_datadis'!A19910&lt;&gt;"""",SPLIT('(INGESTA)Datos_consumo_datadis'!A:A,"",""),"""")"),"")</f>
        <v/>
      </c>
      <c r="G18345" s="8" t="str">
        <f t="shared" si="1"/>
        <v/>
      </c>
      <c r="H18345" s="14" t="str">
        <f t="shared" si="2"/>
        <v/>
      </c>
      <c r="I18345" s="15" t="str">
        <f t="shared" si="3"/>
        <v/>
      </c>
    </row>
    <row r="18346">
      <c r="A18346" s="8" t="str">
        <f>IFERROR(__xludf.DUMMYFUNCTION("IF('(INGESTA)Datos_consumo_datadis'!A19911&lt;&gt;"""",SPLIT('(INGESTA)Datos_consumo_datadis'!A:A,"",""),"""")"),"")</f>
        <v/>
      </c>
      <c r="G18346" s="8" t="str">
        <f t="shared" si="1"/>
        <v/>
      </c>
      <c r="H18346" s="14" t="str">
        <f t="shared" si="2"/>
        <v/>
      </c>
      <c r="I18346" s="15" t="str">
        <f t="shared" si="3"/>
        <v/>
      </c>
    </row>
    <row r="18347">
      <c r="A18347" s="8" t="str">
        <f>IFERROR(__xludf.DUMMYFUNCTION("IF('(INGESTA)Datos_consumo_datadis'!A19912&lt;&gt;"""",SPLIT('(INGESTA)Datos_consumo_datadis'!A:A,"",""),"""")"),"")</f>
        <v/>
      </c>
      <c r="G18347" s="8" t="str">
        <f t="shared" si="1"/>
        <v/>
      </c>
      <c r="H18347" s="14" t="str">
        <f t="shared" si="2"/>
        <v/>
      </c>
      <c r="I18347" s="15" t="str">
        <f t="shared" si="3"/>
        <v/>
      </c>
    </row>
    <row r="18348">
      <c r="A18348" s="8" t="str">
        <f>IFERROR(__xludf.DUMMYFUNCTION("IF('(INGESTA)Datos_consumo_datadis'!A19913&lt;&gt;"""",SPLIT('(INGESTA)Datos_consumo_datadis'!A:A,"",""),"""")"),"")</f>
        <v/>
      </c>
      <c r="G18348" s="8" t="str">
        <f t="shared" si="1"/>
        <v/>
      </c>
      <c r="H18348" s="14" t="str">
        <f t="shared" si="2"/>
        <v/>
      </c>
      <c r="I18348" s="15" t="str">
        <f t="shared" si="3"/>
        <v/>
      </c>
    </row>
    <row r="18349">
      <c r="A18349" s="8" t="str">
        <f>IFERROR(__xludf.DUMMYFUNCTION("IF('(INGESTA)Datos_consumo_datadis'!A19914&lt;&gt;"""",SPLIT('(INGESTA)Datos_consumo_datadis'!A:A,"",""),"""")"),"")</f>
        <v/>
      </c>
      <c r="G18349" s="8" t="str">
        <f t="shared" si="1"/>
        <v/>
      </c>
      <c r="H18349" s="14" t="str">
        <f t="shared" si="2"/>
        <v/>
      </c>
      <c r="I18349" s="15" t="str">
        <f t="shared" si="3"/>
        <v/>
      </c>
    </row>
    <row r="18350">
      <c r="A18350" s="8" t="str">
        <f>IFERROR(__xludf.DUMMYFUNCTION("IF('(INGESTA)Datos_consumo_datadis'!A19915&lt;&gt;"""",SPLIT('(INGESTA)Datos_consumo_datadis'!A:A,"",""),"""")"),"")</f>
        <v/>
      </c>
      <c r="G18350" s="8" t="str">
        <f t="shared" si="1"/>
        <v/>
      </c>
      <c r="H18350" s="14" t="str">
        <f t="shared" si="2"/>
        <v/>
      </c>
      <c r="I18350" s="15" t="str">
        <f t="shared" si="3"/>
        <v/>
      </c>
    </row>
    <row r="18351">
      <c r="A18351" s="8" t="str">
        <f>IFERROR(__xludf.DUMMYFUNCTION("IF('(INGESTA)Datos_consumo_datadis'!A19916&lt;&gt;"""",SPLIT('(INGESTA)Datos_consumo_datadis'!A:A,"",""),"""")"),"")</f>
        <v/>
      </c>
      <c r="G18351" s="8" t="str">
        <f t="shared" si="1"/>
        <v/>
      </c>
      <c r="H18351" s="14" t="str">
        <f t="shared" si="2"/>
        <v/>
      </c>
      <c r="I18351" s="15" t="str">
        <f t="shared" si="3"/>
        <v/>
      </c>
    </row>
    <row r="18352">
      <c r="A18352" s="8" t="str">
        <f>IFERROR(__xludf.DUMMYFUNCTION("IF('(INGESTA)Datos_consumo_datadis'!A19917&lt;&gt;"""",SPLIT('(INGESTA)Datos_consumo_datadis'!A:A,"",""),"""")"),"")</f>
        <v/>
      </c>
      <c r="G18352" s="8" t="str">
        <f t="shared" si="1"/>
        <v/>
      </c>
      <c r="H18352" s="14" t="str">
        <f t="shared" si="2"/>
        <v/>
      </c>
      <c r="I18352" s="15" t="str">
        <f t="shared" si="3"/>
        <v/>
      </c>
    </row>
    <row r="18353">
      <c r="A18353" s="8" t="str">
        <f>IFERROR(__xludf.DUMMYFUNCTION("IF('(INGESTA)Datos_consumo_datadis'!A19918&lt;&gt;"""",SPLIT('(INGESTA)Datos_consumo_datadis'!A:A,"",""),"""")"),"")</f>
        <v/>
      </c>
      <c r="G18353" s="8" t="str">
        <f t="shared" si="1"/>
        <v/>
      </c>
      <c r="H18353" s="14" t="str">
        <f t="shared" si="2"/>
        <v/>
      </c>
      <c r="I18353" s="15" t="str">
        <f t="shared" si="3"/>
        <v/>
      </c>
    </row>
    <row r="18354">
      <c r="A18354" s="8" t="str">
        <f>IFERROR(__xludf.DUMMYFUNCTION("IF('(INGESTA)Datos_consumo_datadis'!A19919&lt;&gt;"""",SPLIT('(INGESTA)Datos_consumo_datadis'!A:A,"",""),"""")"),"")</f>
        <v/>
      </c>
      <c r="G18354" s="8" t="str">
        <f t="shared" si="1"/>
        <v/>
      </c>
      <c r="H18354" s="14" t="str">
        <f t="shared" si="2"/>
        <v/>
      </c>
      <c r="I18354" s="15" t="str">
        <f t="shared" si="3"/>
        <v/>
      </c>
    </row>
    <row r="18355">
      <c r="A18355" s="8" t="str">
        <f>IFERROR(__xludf.DUMMYFUNCTION("IF('(INGESTA)Datos_consumo_datadis'!A19920&lt;&gt;"""",SPLIT('(INGESTA)Datos_consumo_datadis'!A:A,"",""),"""")"),"")</f>
        <v/>
      </c>
      <c r="G18355" s="8" t="str">
        <f t="shared" si="1"/>
        <v/>
      </c>
      <c r="H18355" s="14" t="str">
        <f t="shared" si="2"/>
        <v/>
      </c>
      <c r="I18355" s="15" t="str">
        <f t="shared" si="3"/>
        <v/>
      </c>
    </row>
    <row r="18356">
      <c r="A18356" s="8" t="str">
        <f>IFERROR(__xludf.DUMMYFUNCTION("IF('(INGESTA)Datos_consumo_datadis'!A19921&lt;&gt;"""",SPLIT('(INGESTA)Datos_consumo_datadis'!A:A,"",""),"""")"),"")</f>
        <v/>
      </c>
      <c r="G18356" s="8" t="str">
        <f t="shared" si="1"/>
        <v/>
      </c>
      <c r="H18356" s="14" t="str">
        <f t="shared" si="2"/>
        <v/>
      </c>
      <c r="I18356" s="15" t="str">
        <f t="shared" si="3"/>
        <v/>
      </c>
    </row>
    <row r="18357">
      <c r="A18357" s="8" t="str">
        <f>IFERROR(__xludf.DUMMYFUNCTION("IF('(INGESTA)Datos_consumo_datadis'!A19922&lt;&gt;"""",SPLIT('(INGESTA)Datos_consumo_datadis'!A:A,"",""),"""")"),"")</f>
        <v/>
      </c>
      <c r="G18357" s="8" t="str">
        <f t="shared" si="1"/>
        <v/>
      </c>
      <c r="H18357" s="14" t="str">
        <f t="shared" si="2"/>
        <v/>
      </c>
      <c r="I18357" s="15" t="str">
        <f t="shared" si="3"/>
        <v/>
      </c>
    </row>
    <row r="18358">
      <c r="A18358" s="8" t="str">
        <f>IFERROR(__xludf.DUMMYFUNCTION("IF('(INGESTA)Datos_consumo_datadis'!A19923&lt;&gt;"""",SPLIT('(INGESTA)Datos_consumo_datadis'!A:A,"",""),"""")"),"")</f>
        <v/>
      </c>
      <c r="G18358" s="8" t="str">
        <f t="shared" si="1"/>
        <v/>
      </c>
      <c r="H18358" s="14" t="str">
        <f t="shared" si="2"/>
        <v/>
      </c>
      <c r="I18358" s="15" t="str">
        <f t="shared" si="3"/>
        <v/>
      </c>
    </row>
    <row r="18359">
      <c r="A18359" s="8" t="str">
        <f>IFERROR(__xludf.DUMMYFUNCTION("IF('(INGESTA)Datos_consumo_datadis'!A19924&lt;&gt;"""",SPLIT('(INGESTA)Datos_consumo_datadis'!A:A,"",""),"""")"),"")</f>
        <v/>
      </c>
      <c r="G18359" s="8" t="str">
        <f t="shared" si="1"/>
        <v/>
      </c>
      <c r="H18359" s="14" t="str">
        <f t="shared" si="2"/>
        <v/>
      </c>
      <c r="I18359" s="15" t="str">
        <f t="shared" si="3"/>
        <v/>
      </c>
    </row>
    <row r="18360">
      <c r="A18360" s="8" t="str">
        <f>IFERROR(__xludf.DUMMYFUNCTION("IF('(INGESTA)Datos_consumo_datadis'!A19925&lt;&gt;"""",SPLIT('(INGESTA)Datos_consumo_datadis'!A:A,"",""),"""")"),"")</f>
        <v/>
      </c>
      <c r="G18360" s="8" t="str">
        <f t="shared" si="1"/>
        <v/>
      </c>
      <c r="H18360" s="14" t="str">
        <f t="shared" si="2"/>
        <v/>
      </c>
      <c r="I18360" s="15" t="str">
        <f t="shared" si="3"/>
        <v/>
      </c>
    </row>
    <row r="18361">
      <c r="A18361" s="8" t="str">
        <f>IFERROR(__xludf.DUMMYFUNCTION("IF('(INGESTA)Datos_consumo_datadis'!A19926&lt;&gt;"""",SPLIT('(INGESTA)Datos_consumo_datadis'!A:A,"",""),"""")"),"")</f>
        <v/>
      </c>
      <c r="G18361" s="8" t="str">
        <f t="shared" si="1"/>
        <v/>
      </c>
      <c r="H18361" s="14" t="str">
        <f t="shared" si="2"/>
        <v/>
      </c>
      <c r="I18361" s="15" t="str">
        <f t="shared" si="3"/>
        <v/>
      </c>
    </row>
    <row r="18362">
      <c r="A18362" s="8" t="str">
        <f>IFERROR(__xludf.DUMMYFUNCTION("IF('(INGESTA)Datos_consumo_datadis'!A19927&lt;&gt;"""",SPLIT('(INGESTA)Datos_consumo_datadis'!A:A,"",""),"""")"),"")</f>
        <v/>
      </c>
      <c r="G18362" s="8" t="str">
        <f t="shared" si="1"/>
        <v/>
      </c>
      <c r="H18362" s="14" t="str">
        <f t="shared" si="2"/>
        <v/>
      </c>
      <c r="I18362" s="15" t="str">
        <f t="shared" si="3"/>
        <v/>
      </c>
    </row>
    <row r="18363">
      <c r="A18363" s="8" t="str">
        <f>IFERROR(__xludf.DUMMYFUNCTION("IF('(INGESTA)Datos_consumo_datadis'!A19928&lt;&gt;"""",SPLIT('(INGESTA)Datos_consumo_datadis'!A:A,"",""),"""")"),"")</f>
        <v/>
      </c>
      <c r="G18363" s="8" t="str">
        <f t="shared" si="1"/>
        <v/>
      </c>
      <c r="H18363" s="14" t="str">
        <f t="shared" si="2"/>
        <v/>
      </c>
      <c r="I18363" s="15" t="str">
        <f t="shared" si="3"/>
        <v/>
      </c>
    </row>
    <row r="18364">
      <c r="A18364" s="8" t="str">
        <f>IFERROR(__xludf.DUMMYFUNCTION("IF('(INGESTA)Datos_consumo_datadis'!A19929&lt;&gt;"""",SPLIT('(INGESTA)Datos_consumo_datadis'!A:A,"",""),"""")"),"")</f>
        <v/>
      </c>
      <c r="G18364" s="8" t="str">
        <f t="shared" si="1"/>
        <v/>
      </c>
      <c r="H18364" s="14" t="str">
        <f t="shared" si="2"/>
        <v/>
      </c>
      <c r="I18364" s="15" t="str">
        <f t="shared" si="3"/>
        <v/>
      </c>
    </row>
    <row r="18365">
      <c r="A18365" s="8" t="str">
        <f>IFERROR(__xludf.DUMMYFUNCTION("IF('(INGESTA)Datos_consumo_datadis'!A19930&lt;&gt;"""",SPLIT('(INGESTA)Datos_consumo_datadis'!A:A,"",""),"""")"),"")</f>
        <v/>
      </c>
      <c r="G18365" s="8" t="str">
        <f t="shared" si="1"/>
        <v/>
      </c>
      <c r="H18365" s="14" t="str">
        <f t="shared" si="2"/>
        <v/>
      </c>
      <c r="I18365" s="15" t="str">
        <f t="shared" si="3"/>
        <v/>
      </c>
    </row>
    <row r="18366">
      <c r="A18366" s="8" t="str">
        <f>IFERROR(__xludf.DUMMYFUNCTION("IF('(INGESTA)Datos_consumo_datadis'!A19931&lt;&gt;"""",SPLIT('(INGESTA)Datos_consumo_datadis'!A:A,"",""),"""")"),"")</f>
        <v/>
      </c>
      <c r="G18366" s="8" t="str">
        <f t="shared" si="1"/>
        <v/>
      </c>
      <c r="H18366" s="14" t="str">
        <f t="shared" si="2"/>
        <v/>
      </c>
      <c r="I18366" s="15" t="str">
        <f t="shared" si="3"/>
        <v/>
      </c>
    </row>
    <row r="18367">
      <c r="A18367" s="8" t="str">
        <f>IFERROR(__xludf.DUMMYFUNCTION("IF('(INGESTA)Datos_consumo_datadis'!A19932&lt;&gt;"""",SPLIT('(INGESTA)Datos_consumo_datadis'!A:A,"",""),"""")"),"")</f>
        <v/>
      </c>
      <c r="G18367" s="8" t="str">
        <f t="shared" si="1"/>
        <v/>
      </c>
      <c r="H18367" s="14" t="str">
        <f t="shared" si="2"/>
        <v/>
      </c>
      <c r="I18367" s="15" t="str">
        <f t="shared" si="3"/>
        <v/>
      </c>
    </row>
    <row r="18368">
      <c r="A18368" s="8" t="str">
        <f>IFERROR(__xludf.DUMMYFUNCTION("IF('(INGESTA)Datos_consumo_datadis'!A19933&lt;&gt;"""",SPLIT('(INGESTA)Datos_consumo_datadis'!A:A,"",""),"""")"),"")</f>
        <v/>
      </c>
      <c r="G18368" s="8" t="str">
        <f t="shared" si="1"/>
        <v/>
      </c>
      <c r="H18368" s="14" t="str">
        <f t="shared" si="2"/>
        <v/>
      </c>
      <c r="I18368" s="15" t="str">
        <f t="shared" si="3"/>
        <v/>
      </c>
    </row>
    <row r="18369">
      <c r="A18369" s="8" t="str">
        <f>IFERROR(__xludf.DUMMYFUNCTION("IF('(INGESTA)Datos_consumo_datadis'!A19934&lt;&gt;"""",SPLIT('(INGESTA)Datos_consumo_datadis'!A:A,"",""),"""")"),"")</f>
        <v/>
      </c>
      <c r="G18369" s="8" t="str">
        <f t="shared" si="1"/>
        <v/>
      </c>
      <c r="H18369" s="14" t="str">
        <f t="shared" si="2"/>
        <v/>
      </c>
      <c r="I18369" s="15" t="str">
        <f t="shared" si="3"/>
        <v/>
      </c>
    </row>
    <row r="18370">
      <c r="A18370" s="8" t="str">
        <f>IFERROR(__xludf.DUMMYFUNCTION("IF('(INGESTA)Datos_consumo_datadis'!A19935&lt;&gt;"""",SPLIT('(INGESTA)Datos_consumo_datadis'!A:A,"",""),"""")"),"")</f>
        <v/>
      </c>
      <c r="G18370" s="8" t="str">
        <f t="shared" si="1"/>
        <v/>
      </c>
      <c r="H18370" s="14" t="str">
        <f t="shared" si="2"/>
        <v/>
      </c>
      <c r="I18370" s="15" t="str">
        <f t="shared" si="3"/>
        <v/>
      </c>
    </row>
    <row r="18371">
      <c r="A18371" s="8" t="str">
        <f>IFERROR(__xludf.DUMMYFUNCTION("IF('(INGESTA)Datos_consumo_datadis'!A19936&lt;&gt;"""",SPLIT('(INGESTA)Datos_consumo_datadis'!A:A,"",""),"""")"),"")</f>
        <v/>
      </c>
      <c r="G18371" s="8" t="str">
        <f t="shared" si="1"/>
        <v/>
      </c>
      <c r="H18371" s="14" t="str">
        <f t="shared" si="2"/>
        <v/>
      </c>
      <c r="I18371" s="15" t="str">
        <f t="shared" si="3"/>
        <v/>
      </c>
    </row>
    <row r="18372">
      <c r="A18372" s="8" t="str">
        <f>IFERROR(__xludf.DUMMYFUNCTION("IF('(INGESTA)Datos_consumo_datadis'!A19937&lt;&gt;"""",SPLIT('(INGESTA)Datos_consumo_datadis'!A:A,"",""),"""")"),"")</f>
        <v/>
      </c>
      <c r="G18372" s="8" t="str">
        <f t="shared" si="1"/>
        <v/>
      </c>
      <c r="H18372" s="14" t="str">
        <f t="shared" si="2"/>
        <v/>
      </c>
      <c r="I18372" s="15" t="str">
        <f t="shared" si="3"/>
        <v/>
      </c>
    </row>
    <row r="18373">
      <c r="A18373" s="8" t="str">
        <f>IFERROR(__xludf.DUMMYFUNCTION("IF('(INGESTA)Datos_consumo_datadis'!A19938&lt;&gt;"""",SPLIT('(INGESTA)Datos_consumo_datadis'!A:A,"",""),"""")"),"")</f>
        <v/>
      </c>
      <c r="G18373" s="8" t="str">
        <f t="shared" si="1"/>
        <v/>
      </c>
      <c r="H18373" s="14" t="str">
        <f t="shared" si="2"/>
        <v/>
      </c>
      <c r="I18373" s="15" t="str">
        <f t="shared" si="3"/>
        <v/>
      </c>
    </row>
    <row r="18374">
      <c r="A18374" s="8" t="str">
        <f>IFERROR(__xludf.DUMMYFUNCTION("IF('(INGESTA)Datos_consumo_datadis'!A19939&lt;&gt;"""",SPLIT('(INGESTA)Datos_consumo_datadis'!A:A,"",""),"""")"),"")</f>
        <v/>
      </c>
      <c r="G18374" s="8" t="str">
        <f t="shared" si="1"/>
        <v/>
      </c>
      <c r="H18374" s="14" t="str">
        <f t="shared" si="2"/>
        <v/>
      </c>
      <c r="I18374" s="15" t="str">
        <f t="shared" si="3"/>
        <v/>
      </c>
    </row>
    <row r="18375">
      <c r="A18375" s="8" t="str">
        <f>IFERROR(__xludf.DUMMYFUNCTION("IF('(INGESTA)Datos_consumo_datadis'!A19940&lt;&gt;"""",SPLIT('(INGESTA)Datos_consumo_datadis'!A:A,"",""),"""")"),"")</f>
        <v/>
      </c>
      <c r="G18375" s="8" t="str">
        <f t="shared" si="1"/>
        <v/>
      </c>
      <c r="H18375" s="14" t="str">
        <f t="shared" si="2"/>
        <v/>
      </c>
      <c r="I18375" s="15" t="str">
        <f t="shared" si="3"/>
        <v/>
      </c>
    </row>
    <row r="18376">
      <c r="A18376" s="8" t="str">
        <f>IFERROR(__xludf.DUMMYFUNCTION("IF('(INGESTA)Datos_consumo_datadis'!A19941&lt;&gt;"""",SPLIT('(INGESTA)Datos_consumo_datadis'!A:A,"",""),"""")"),"")</f>
        <v/>
      </c>
      <c r="G18376" s="8" t="str">
        <f t="shared" si="1"/>
        <v/>
      </c>
      <c r="H18376" s="14" t="str">
        <f t="shared" si="2"/>
        <v/>
      </c>
      <c r="I18376" s="15" t="str">
        <f t="shared" si="3"/>
        <v/>
      </c>
    </row>
    <row r="18377">
      <c r="A18377" s="8" t="str">
        <f>IFERROR(__xludf.DUMMYFUNCTION("IF('(INGESTA)Datos_consumo_datadis'!A19942&lt;&gt;"""",SPLIT('(INGESTA)Datos_consumo_datadis'!A:A,"",""),"""")"),"")</f>
        <v/>
      </c>
      <c r="G18377" s="8" t="str">
        <f t="shared" si="1"/>
        <v/>
      </c>
      <c r="H18377" s="14" t="str">
        <f t="shared" si="2"/>
        <v/>
      </c>
      <c r="I18377" s="15" t="str">
        <f t="shared" si="3"/>
        <v/>
      </c>
    </row>
    <row r="18378">
      <c r="A18378" s="8" t="str">
        <f>IFERROR(__xludf.DUMMYFUNCTION("IF('(INGESTA)Datos_consumo_datadis'!A19943&lt;&gt;"""",SPLIT('(INGESTA)Datos_consumo_datadis'!A:A,"",""),"""")"),"")</f>
        <v/>
      </c>
      <c r="G18378" s="8" t="str">
        <f t="shared" si="1"/>
        <v/>
      </c>
      <c r="H18378" s="14" t="str">
        <f t="shared" si="2"/>
        <v/>
      </c>
      <c r="I18378" s="15" t="str">
        <f t="shared" si="3"/>
        <v/>
      </c>
    </row>
    <row r="18379">
      <c r="A18379" s="8" t="str">
        <f>IFERROR(__xludf.DUMMYFUNCTION("IF('(INGESTA)Datos_consumo_datadis'!A19944&lt;&gt;"""",SPLIT('(INGESTA)Datos_consumo_datadis'!A:A,"",""),"""")"),"")</f>
        <v/>
      </c>
      <c r="G18379" s="8" t="str">
        <f t="shared" si="1"/>
        <v/>
      </c>
      <c r="H18379" s="14" t="str">
        <f t="shared" si="2"/>
        <v/>
      </c>
      <c r="I18379" s="15" t="str">
        <f t="shared" si="3"/>
        <v/>
      </c>
    </row>
    <row r="18380">
      <c r="A18380" s="8" t="str">
        <f>IFERROR(__xludf.DUMMYFUNCTION("IF('(INGESTA)Datos_consumo_datadis'!A19945&lt;&gt;"""",SPLIT('(INGESTA)Datos_consumo_datadis'!A:A,"",""),"""")"),"")</f>
        <v/>
      </c>
      <c r="G18380" s="8" t="str">
        <f t="shared" si="1"/>
        <v/>
      </c>
      <c r="H18380" s="14" t="str">
        <f t="shared" si="2"/>
        <v/>
      </c>
      <c r="I18380" s="15" t="str">
        <f t="shared" si="3"/>
        <v/>
      </c>
    </row>
    <row r="18381">
      <c r="A18381" s="8" t="str">
        <f>IFERROR(__xludf.DUMMYFUNCTION("IF('(INGESTA)Datos_consumo_datadis'!A19946&lt;&gt;"""",SPLIT('(INGESTA)Datos_consumo_datadis'!A:A,"",""),"""")"),"")</f>
        <v/>
      </c>
      <c r="G18381" s="8" t="str">
        <f t="shared" si="1"/>
        <v/>
      </c>
      <c r="H18381" s="14" t="str">
        <f t="shared" si="2"/>
        <v/>
      </c>
      <c r="I18381" s="15" t="str">
        <f t="shared" si="3"/>
        <v/>
      </c>
    </row>
    <row r="18382">
      <c r="A18382" s="8" t="str">
        <f>IFERROR(__xludf.DUMMYFUNCTION("IF('(INGESTA)Datos_consumo_datadis'!A19947&lt;&gt;"""",SPLIT('(INGESTA)Datos_consumo_datadis'!A:A,"",""),"""")"),"")</f>
        <v/>
      </c>
      <c r="G18382" s="8" t="str">
        <f t="shared" si="1"/>
        <v/>
      </c>
      <c r="H18382" s="14" t="str">
        <f t="shared" si="2"/>
        <v/>
      </c>
      <c r="I18382" s="15" t="str">
        <f t="shared" si="3"/>
        <v/>
      </c>
    </row>
    <row r="18383">
      <c r="A18383" s="8" t="str">
        <f>IFERROR(__xludf.DUMMYFUNCTION("IF('(INGESTA)Datos_consumo_datadis'!A19948&lt;&gt;"""",SPLIT('(INGESTA)Datos_consumo_datadis'!A:A,"",""),"""")"),"")</f>
        <v/>
      </c>
      <c r="G18383" s="8" t="str">
        <f t="shared" si="1"/>
        <v/>
      </c>
      <c r="H18383" s="14" t="str">
        <f t="shared" si="2"/>
        <v/>
      </c>
      <c r="I18383" s="15" t="str">
        <f t="shared" si="3"/>
        <v/>
      </c>
    </row>
    <row r="18384">
      <c r="A18384" s="8" t="str">
        <f>IFERROR(__xludf.DUMMYFUNCTION("IF('(INGESTA)Datos_consumo_datadis'!A19949&lt;&gt;"""",SPLIT('(INGESTA)Datos_consumo_datadis'!A:A,"",""),"""")"),"")</f>
        <v/>
      </c>
      <c r="G18384" s="8" t="str">
        <f t="shared" si="1"/>
        <v/>
      </c>
      <c r="H18384" s="14" t="str">
        <f t="shared" si="2"/>
        <v/>
      </c>
      <c r="I18384" s="15" t="str">
        <f t="shared" si="3"/>
        <v/>
      </c>
    </row>
    <row r="18385">
      <c r="A18385" s="8" t="str">
        <f>IFERROR(__xludf.DUMMYFUNCTION("IF('(INGESTA)Datos_consumo_datadis'!A19950&lt;&gt;"""",SPLIT('(INGESTA)Datos_consumo_datadis'!A:A,"",""),"""")"),"")</f>
        <v/>
      </c>
      <c r="G18385" s="8" t="str">
        <f t="shared" si="1"/>
        <v/>
      </c>
      <c r="H18385" s="14" t="str">
        <f t="shared" si="2"/>
        <v/>
      </c>
      <c r="I18385" s="15" t="str">
        <f t="shared" si="3"/>
        <v/>
      </c>
    </row>
    <row r="18386">
      <c r="A18386" s="8" t="str">
        <f>IFERROR(__xludf.DUMMYFUNCTION("IF('(INGESTA)Datos_consumo_datadis'!A19951&lt;&gt;"""",SPLIT('(INGESTA)Datos_consumo_datadis'!A:A,"",""),"""")"),"")</f>
        <v/>
      </c>
      <c r="G18386" s="8" t="str">
        <f t="shared" si="1"/>
        <v/>
      </c>
      <c r="H18386" s="14" t="str">
        <f t="shared" si="2"/>
        <v/>
      </c>
      <c r="I18386" s="15" t="str">
        <f t="shared" si="3"/>
        <v/>
      </c>
    </row>
    <row r="18387">
      <c r="A18387" s="8" t="str">
        <f>IFERROR(__xludf.DUMMYFUNCTION("IF('(INGESTA)Datos_consumo_datadis'!A19952&lt;&gt;"""",SPLIT('(INGESTA)Datos_consumo_datadis'!A:A,"",""),"""")"),"")</f>
        <v/>
      </c>
      <c r="G18387" s="8" t="str">
        <f t="shared" si="1"/>
        <v/>
      </c>
      <c r="H18387" s="14" t="str">
        <f t="shared" si="2"/>
        <v/>
      </c>
      <c r="I18387" s="15" t="str">
        <f t="shared" si="3"/>
        <v/>
      </c>
    </row>
    <row r="18388">
      <c r="A18388" s="8" t="str">
        <f>IFERROR(__xludf.DUMMYFUNCTION("IF('(INGESTA)Datos_consumo_datadis'!A19953&lt;&gt;"""",SPLIT('(INGESTA)Datos_consumo_datadis'!A:A,"",""),"""")"),"")</f>
        <v/>
      </c>
      <c r="G18388" s="8" t="str">
        <f t="shared" si="1"/>
        <v/>
      </c>
      <c r="H18388" s="14" t="str">
        <f t="shared" si="2"/>
        <v/>
      </c>
      <c r="I18388" s="15" t="str">
        <f t="shared" si="3"/>
        <v/>
      </c>
    </row>
    <row r="18389">
      <c r="A18389" s="8" t="str">
        <f>IFERROR(__xludf.DUMMYFUNCTION("IF('(INGESTA)Datos_consumo_datadis'!A19954&lt;&gt;"""",SPLIT('(INGESTA)Datos_consumo_datadis'!A:A,"",""),"""")"),"")</f>
        <v/>
      </c>
      <c r="G18389" s="8" t="str">
        <f t="shared" si="1"/>
        <v/>
      </c>
      <c r="H18389" s="14" t="str">
        <f t="shared" si="2"/>
        <v/>
      </c>
      <c r="I18389" s="15" t="str">
        <f t="shared" si="3"/>
        <v/>
      </c>
    </row>
    <row r="18390">
      <c r="A18390" s="8" t="str">
        <f>IFERROR(__xludf.DUMMYFUNCTION("IF('(INGESTA)Datos_consumo_datadis'!A19955&lt;&gt;"""",SPLIT('(INGESTA)Datos_consumo_datadis'!A:A,"",""),"""")"),"")</f>
        <v/>
      </c>
      <c r="G18390" s="8" t="str">
        <f t="shared" si="1"/>
        <v/>
      </c>
      <c r="H18390" s="14" t="str">
        <f t="shared" si="2"/>
        <v/>
      </c>
      <c r="I18390" s="15" t="str">
        <f t="shared" si="3"/>
        <v/>
      </c>
    </row>
    <row r="18391">
      <c r="A18391" s="8" t="str">
        <f>IFERROR(__xludf.DUMMYFUNCTION("IF('(INGESTA)Datos_consumo_datadis'!A19956&lt;&gt;"""",SPLIT('(INGESTA)Datos_consumo_datadis'!A:A,"",""),"""")"),"")</f>
        <v/>
      </c>
      <c r="G18391" s="8" t="str">
        <f t="shared" si="1"/>
        <v/>
      </c>
      <c r="H18391" s="14" t="str">
        <f t="shared" si="2"/>
        <v/>
      </c>
      <c r="I18391" s="15" t="str">
        <f t="shared" si="3"/>
        <v/>
      </c>
    </row>
    <row r="18392">
      <c r="A18392" s="8" t="str">
        <f>IFERROR(__xludf.DUMMYFUNCTION("IF('(INGESTA)Datos_consumo_datadis'!A19957&lt;&gt;"""",SPLIT('(INGESTA)Datos_consumo_datadis'!A:A,"",""),"""")"),"")</f>
        <v/>
      </c>
      <c r="G18392" s="8" t="str">
        <f t="shared" si="1"/>
        <v/>
      </c>
      <c r="H18392" s="14" t="str">
        <f t="shared" si="2"/>
        <v/>
      </c>
      <c r="I18392" s="15" t="str">
        <f t="shared" si="3"/>
        <v/>
      </c>
    </row>
    <row r="18393">
      <c r="A18393" s="8" t="str">
        <f>IFERROR(__xludf.DUMMYFUNCTION("IF('(INGESTA)Datos_consumo_datadis'!A19958&lt;&gt;"""",SPLIT('(INGESTA)Datos_consumo_datadis'!A:A,"",""),"""")"),"")</f>
        <v/>
      </c>
      <c r="G18393" s="8" t="str">
        <f t="shared" si="1"/>
        <v/>
      </c>
      <c r="H18393" s="14" t="str">
        <f t="shared" si="2"/>
        <v/>
      </c>
      <c r="I18393" s="15" t="str">
        <f t="shared" si="3"/>
        <v/>
      </c>
    </row>
    <row r="18394">
      <c r="A18394" s="8" t="str">
        <f>IFERROR(__xludf.DUMMYFUNCTION("IF('(INGESTA)Datos_consumo_datadis'!A19959&lt;&gt;"""",SPLIT('(INGESTA)Datos_consumo_datadis'!A:A,"",""),"""")"),"")</f>
        <v/>
      </c>
      <c r="G18394" s="8" t="str">
        <f t="shared" si="1"/>
        <v/>
      </c>
      <c r="H18394" s="14" t="str">
        <f t="shared" si="2"/>
        <v/>
      </c>
      <c r="I18394" s="15" t="str">
        <f t="shared" si="3"/>
        <v/>
      </c>
    </row>
    <row r="18395">
      <c r="A18395" s="8" t="str">
        <f>IFERROR(__xludf.DUMMYFUNCTION("IF('(INGESTA)Datos_consumo_datadis'!A19960&lt;&gt;"""",SPLIT('(INGESTA)Datos_consumo_datadis'!A:A,"",""),"""")"),"")</f>
        <v/>
      </c>
      <c r="G18395" s="8" t="str">
        <f t="shared" si="1"/>
        <v/>
      </c>
      <c r="H18395" s="14" t="str">
        <f t="shared" si="2"/>
        <v/>
      </c>
      <c r="I18395" s="15" t="str">
        <f t="shared" si="3"/>
        <v/>
      </c>
    </row>
    <row r="18396">
      <c r="A18396" s="8" t="str">
        <f>IFERROR(__xludf.DUMMYFUNCTION("IF('(INGESTA)Datos_consumo_datadis'!A19961&lt;&gt;"""",SPLIT('(INGESTA)Datos_consumo_datadis'!A:A,"",""),"""")"),"")</f>
        <v/>
      </c>
      <c r="G18396" s="8" t="str">
        <f t="shared" si="1"/>
        <v/>
      </c>
      <c r="H18396" s="14" t="str">
        <f t="shared" si="2"/>
        <v/>
      </c>
      <c r="I18396" s="15" t="str">
        <f t="shared" si="3"/>
        <v/>
      </c>
    </row>
    <row r="18397">
      <c r="A18397" s="8" t="str">
        <f>IFERROR(__xludf.DUMMYFUNCTION("IF('(INGESTA)Datos_consumo_datadis'!A19962&lt;&gt;"""",SPLIT('(INGESTA)Datos_consumo_datadis'!A:A,"",""),"""")"),"")</f>
        <v/>
      </c>
      <c r="G18397" s="8" t="str">
        <f t="shared" si="1"/>
        <v/>
      </c>
      <c r="H18397" s="14" t="str">
        <f t="shared" si="2"/>
        <v/>
      </c>
      <c r="I18397" s="15" t="str">
        <f t="shared" si="3"/>
        <v/>
      </c>
    </row>
    <row r="18398">
      <c r="A18398" s="8" t="str">
        <f>IFERROR(__xludf.DUMMYFUNCTION("IF('(INGESTA)Datos_consumo_datadis'!A19963&lt;&gt;"""",SPLIT('(INGESTA)Datos_consumo_datadis'!A:A,"",""),"""")"),"")</f>
        <v/>
      </c>
      <c r="G18398" s="8" t="str">
        <f t="shared" si="1"/>
        <v/>
      </c>
      <c r="H18398" s="14" t="str">
        <f t="shared" si="2"/>
        <v/>
      </c>
      <c r="I18398" s="15" t="str">
        <f t="shared" si="3"/>
        <v/>
      </c>
    </row>
    <row r="18399">
      <c r="A18399" s="8" t="str">
        <f>IFERROR(__xludf.DUMMYFUNCTION("IF('(INGESTA)Datos_consumo_datadis'!A19964&lt;&gt;"""",SPLIT('(INGESTA)Datos_consumo_datadis'!A:A,"",""),"""")"),"")</f>
        <v/>
      </c>
      <c r="G18399" s="8" t="str">
        <f t="shared" si="1"/>
        <v/>
      </c>
      <c r="H18399" s="14" t="str">
        <f t="shared" si="2"/>
        <v/>
      </c>
      <c r="I18399" s="15" t="str">
        <f t="shared" si="3"/>
        <v/>
      </c>
    </row>
    <row r="18400">
      <c r="A18400" s="8" t="str">
        <f>IFERROR(__xludf.DUMMYFUNCTION("IF('(INGESTA)Datos_consumo_datadis'!A19965&lt;&gt;"""",SPLIT('(INGESTA)Datos_consumo_datadis'!A:A,"",""),"""")"),"")</f>
        <v/>
      </c>
      <c r="G18400" s="8" t="str">
        <f t="shared" si="1"/>
        <v/>
      </c>
      <c r="H18400" s="14" t="str">
        <f t="shared" si="2"/>
        <v/>
      </c>
      <c r="I18400" s="15" t="str">
        <f t="shared" si="3"/>
        <v/>
      </c>
    </row>
    <row r="18401">
      <c r="A18401" s="8" t="str">
        <f>IFERROR(__xludf.DUMMYFUNCTION("IF('(INGESTA)Datos_consumo_datadis'!A19966&lt;&gt;"""",SPLIT('(INGESTA)Datos_consumo_datadis'!A:A,"",""),"""")"),"")</f>
        <v/>
      </c>
      <c r="G18401" s="8" t="str">
        <f t="shared" si="1"/>
        <v/>
      </c>
      <c r="H18401" s="14" t="str">
        <f t="shared" si="2"/>
        <v/>
      </c>
      <c r="I18401" s="15" t="str">
        <f t="shared" si="3"/>
        <v/>
      </c>
    </row>
    <row r="18402">
      <c r="A18402" s="8" t="str">
        <f>IFERROR(__xludf.DUMMYFUNCTION("IF('(INGESTA)Datos_consumo_datadis'!A19967&lt;&gt;"""",SPLIT('(INGESTA)Datos_consumo_datadis'!A:A,"",""),"""")"),"")</f>
        <v/>
      </c>
      <c r="G18402" s="8" t="str">
        <f t="shared" si="1"/>
        <v/>
      </c>
      <c r="H18402" s="14" t="str">
        <f t="shared" si="2"/>
        <v/>
      </c>
      <c r="I18402" s="15" t="str">
        <f t="shared" si="3"/>
        <v/>
      </c>
    </row>
    <row r="18403">
      <c r="A18403" s="8" t="str">
        <f>IFERROR(__xludf.DUMMYFUNCTION("IF('(INGESTA)Datos_consumo_datadis'!A19968&lt;&gt;"""",SPLIT('(INGESTA)Datos_consumo_datadis'!A:A,"",""),"""")"),"")</f>
        <v/>
      </c>
      <c r="G18403" s="8" t="str">
        <f t="shared" si="1"/>
        <v/>
      </c>
      <c r="H18403" s="14" t="str">
        <f t="shared" si="2"/>
        <v/>
      </c>
      <c r="I18403" s="15" t="str">
        <f t="shared" si="3"/>
        <v/>
      </c>
    </row>
    <row r="18404">
      <c r="A18404" s="8" t="str">
        <f>IFERROR(__xludf.DUMMYFUNCTION("IF('(INGESTA)Datos_consumo_datadis'!A19969&lt;&gt;"""",SPLIT('(INGESTA)Datos_consumo_datadis'!A:A,"",""),"""")"),"")</f>
        <v/>
      </c>
      <c r="G18404" s="8" t="str">
        <f t="shared" si="1"/>
        <v/>
      </c>
      <c r="H18404" s="14" t="str">
        <f t="shared" si="2"/>
        <v/>
      </c>
      <c r="I18404" s="15" t="str">
        <f t="shared" si="3"/>
        <v/>
      </c>
    </row>
    <row r="18405">
      <c r="A18405" s="8" t="str">
        <f>IFERROR(__xludf.DUMMYFUNCTION("IF('(INGESTA)Datos_consumo_datadis'!A19970&lt;&gt;"""",SPLIT('(INGESTA)Datos_consumo_datadis'!A:A,"",""),"""")"),"")</f>
        <v/>
      </c>
      <c r="G18405" s="8" t="str">
        <f t="shared" si="1"/>
        <v/>
      </c>
      <c r="H18405" s="14" t="str">
        <f t="shared" si="2"/>
        <v/>
      </c>
      <c r="I18405" s="15" t="str">
        <f t="shared" si="3"/>
        <v/>
      </c>
    </row>
    <row r="18406">
      <c r="A18406" s="8" t="str">
        <f>IFERROR(__xludf.DUMMYFUNCTION("IF('(INGESTA)Datos_consumo_datadis'!A19971&lt;&gt;"""",SPLIT('(INGESTA)Datos_consumo_datadis'!A:A,"",""),"""")"),"")</f>
        <v/>
      </c>
      <c r="G18406" s="8" t="str">
        <f t="shared" si="1"/>
        <v/>
      </c>
      <c r="H18406" s="14" t="str">
        <f t="shared" si="2"/>
        <v/>
      </c>
      <c r="I18406" s="15" t="str">
        <f t="shared" si="3"/>
        <v/>
      </c>
    </row>
    <row r="18407">
      <c r="A18407" s="8" t="str">
        <f>IFERROR(__xludf.DUMMYFUNCTION("IF('(INGESTA)Datos_consumo_datadis'!A19972&lt;&gt;"""",SPLIT('(INGESTA)Datos_consumo_datadis'!A:A,"",""),"""")"),"")</f>
        <v/>
      </c>
      <c r="G18407" s="8" t="str">
        <f t="shared" si="1"/>
        <v/>
      </c>
      <c r="H18407" s="14" t="str">
        <f t="shared" si="2"/>
        <v/>
      </c>
      <c r="I18407" s="15" t="str">
        <f t="shared" si="3"/>
        <v/>
      </c>
    </row>
    <row r="18408">
      <c r="A18408" s="8" t="str">
        <f>IFERROR(__xludf.DUMMYFUNCTION("IF('(INGESTA)Datos_consumo_datadis'!A19973&lt;&gt;"""",SPLIT('(INGESTA)Datos_consumo_datadis'!A:A,"",""),"""")"),"")</f>
        <v/>
      </c>
      <c r="G18408" s="8" t="str">
        <f t="shared" si="1"/>
        <v/>
      </c>
      <c r="H18408" s="14" t="str">
        <f t="shared" si="2"/>
        <v/>
      </c>
      <c r="I18408" s="15" t="str">
        <f t="shared" si="3"/>
        <v/>
      </c>
    </row>
    <row r="18409">
      <c r="A18409" s="8" t="str">
        <f>IFERROR(__xludf.DUMMYFUNCTION("IF('(INGESTA)Datos_consumo_datadis'!A19974&lt;&gt;"""",SPLIT('(INGESTA)Datos_consumo_datadis'!A:A,"",""),"""")"),"")</f>
        <v/>
      </c>
      <c r="G18409" s="8" t="str">
        <f t="shared" si="1"/>
        <v/>
      </c>
      <c r="H18409" s="14" t="str">
        <f t="shared" si="2"/>
        <v/>
      </c>
      <c r="I18409" s="15" t="str">
        <f t="shared" si="3"/>
        <v/>
      </c>
    </row>
    <row r="18410">
      <c r="A18410" s="8" t="str">
        <f>IFERROR(__xludf.DUMMYFUNCTION("IF('(INGESTA)Datos_consumo_datadis'!A19975&lt;&gt;"""",SPLIT('(INGESTA)Datos_consumo_datadis'!A:A,"",""),"""")"),"")</f>
        <v/>
      </c>
      <c r="G18410" s="8" t="str">
        <f t="shared" si="1"/>
        <v/>
      </c>
      <c r="H18410" s="14" t="str">
        <f t="shared" si="2"/>
        <v/>
      </c>
      <c r="I18410" s="15" t="str">
        <f t="shared" si="3"/>
        <v/>
      </c>
    </row>
    <row r="18411">
      <c r="A18411" s="8" t="str">
        <f>IFERROR(__xludf.DUMMYFUNCTION("IF('(INGESTA)Datos_consumo_datadis'!A19976&lt;&gt;"""",SPLIT('(INGESTA)Datos_consumo_datadis'!A:A,"",""),"""")"),"")</f>
        <v/>
      </c>
      <c r="G18411" s="8" t="str">
        <f t="shared" si="1"/>
        <v/>
      </c>
      <c r="H18411" s="14" t="str">
        <f t="shared" si="2"/>
        <v/>
      </c>
      <c r="I18411" s="15" t="str">
        <f t="shared" si="3"/>
        <v/>
      </c>
    </row>
    <row r="18412">
      <c r="A18412" s="8" t="str">
        <f>IFERROR(__xludf.DUMMYFUNCTION("IF('(INGESTA)Datos_consumo_datadis'!A19977&lt;&gt;"""",SPLIT('(INGESTA)Datos_consumo_datadis'!A:A,"",""),"""")"),"")</f>
        <v/>
      </c>
      <c r="G18412" s="8" t="str">
        <f t="shared" si="1"/>
        <v/>
      </c>
      <c r="H18412" s="14" t="str">
        <f t="shared" si="2"/>
        <v/>
      </c>
      <c r="I18412" s="15" t="str">
        <f t="shared" si="3"/>
        <v/>
      </c>
    </row>
    <row r="18413">
      <c r="A18413" s="8" t="str">
        <f>IFERROR(__xludf.DUMMYFUNCTION("IF('(INGESTA)Datos_consumo_datadis'!A19978&lt;&gt;"""",SPLIT('(INGESTA)Datos_consumo_datadis'!A:A,"",""),"""")"),"")</f>
        <v/>
      </c>
      <c r="G18413" s="8" t="str">
        <f t="shared" si="1"/>
        <v/>
      </c>
      <c r="H18413" s="14" t="str">
        <f t="shared" si="2"/>
        <v/>
      </c>
      <c r="I18413" s="15" t="str">
        <f t="shared" si="3"/>
        <v/>
      </c>
    </row>
    <row r="18414">
      <c r="A18414" s="8" t="str">
        <f>IFERROR(__xludf.DUMMYFUNCTION("IF('(INGESTA)Datos_consumo_datadis'!A19979&lt;&gt;"""",SPLIT('(INGESTA)Datos_consumo_datadis'!A:A,"",""),"""")"),"")</f>
        <v/>
      </c>
      <c r="G18414" s="8" t="str">
        <f t="shared" si="1"/>
        <v/>
      </c>
      <c r="H18414" s="14" t="str">
        <f t="shared" si="2"/>
        <v/>
      </c>
      <c r="I18414" s="15" t="str">
        <f t="shared" si="3"/>
        <v/>
      </c>
    </row>
    <row r="18415">
      <c r="A18415" s="8" t="str">
        <f>IFERROR(__xludf.DUMMYFUNCTION("IF('(INGESTA)Datos_consumo_datadis'!A19980&lt;&gt;"""",SPLIT('(INGESTA)Datos_consumo_datadis'!A:A,"",""),"""")"),"")</f>
        <v/>
      </c>
      <c r="G18415" s="8" t="str">
        <f t="shared" si="1"/>
        <v/>
      </c>
      <c r="H18415" s="14" t="str">
        <f t="shared" si="2"/>
        <v/>
      </c>
      <c r="I18415" s="15" t="str">
        <f t="shared" si="3"/>
        <v/>
      </c>
    </row>
    <row r="18416">
      <c r="A18416" s="8" t="str">
        <f>IFERROR(__xludf.DUMMYFUNCTION("IF('(INGESTA)Datos_consumo_datadis'!A19981&lt;&gt;"""",SPLIT('(INGESTA)Datos_consumo_datadis'!A:A,"",""),"""")"),"")</f>
        <v/>
      </c>
      <c r="G18416" s="8" t="str">
        <f t="shared" si="1"/>
        <v/>
      </c>
      <c r="H18416" s="14" t="str">
        <f t="shared" si="2"/>
        <v/>
      </c>
      <c r="I18416" s="15" t="str">
        <f t="shared" si="3"/>
        <v/>
      </c>
    </row>
    <row r="18417">
      <c r="A18417" s="8" t="str">
        <f>IFERROR(__xludf.DUMMYFUNCTION("IF('(INGESTA)Datos_consumo_datadis'!A19982&lt;&gt;"""",SPLIT('(INGESTA)Datos_consumo_datadis'!A:A,"",""),"""")"),"")</f>
        <v/>
      </c>
      <c r="G18417" s="8" t="str">
        <f t="shared" si="1"/>
        <v/>
      </c>
      <c r="H18417" s="14" t="str">
        <f t="shared" si="2"/>
        <v/>
      </c>
      <c r="I18417" s="15" t="str">
        <f t="shared" si="3"/>
        <v/>
      </c>
    </row>
    <row r="18418">
      <c r="A18418" s="8" t="str">
        <f>IFERROR(__xludf.DUMMYFUNCTION("IF('(INGESTA)Datos_consumo_datadis'!A19983&lt;&gt;"""",SPLIT('(INGESTA)Datos_consumo_datadis'!A:A,"",""),"""")"),"")</f>
        <v/>
      </c>
      <c r="G18418" s="8" t="str">
        <f t="shared" si="1"/>
        <v/>
      </c>
      <c r="H18418" s="14" t="str">
        <f t="shared" si="2"/>
        <v/>
      </c>
      <c r="I18418" s="15" t="str">
        <f t="shared" si="3"/>
        <v/>
      </c>
    </row>
    <row r="18419">
      <c r="A18419" s="8" t="str">
        <f>IFERROR(__xludf.DUMMYFUNCTION("IF('(INGESTA)Datos_consumo_datadis'!A19984&lt;&gt;"""",SPLIT('(INGESTA)Datos_consumo_datadis'!A:A,"",""),"""")"),"")</f>
        <v/>
      </c>
      <c r="G18419" s="8" t="str">
        <f t="shared" si="1"/>
        <v/>
      </c>
      <c r="H18419" s="14" t="str">
        <f t="shared" si="2"/>
        <v/>
      </c>
      <c r="I18419" s="15" t="str">
        <f t="shared" si="3"/>
        <v/>
      </c>
    </row>
    <row r="18420">
      <c r="A18420" s="8" t="str">
        <f>IFERROR(__xludf.DUMMYFUNCTION("IF('(INGESTA)Datos_consumo_datadis'!A19985&lt;&gt;"""",SPLIT('(INGESTA)Datos_consumo_datadis'!A:A,"",""),"""")"),"")</f>
        <v/>
      </c>
      <c r="G18420" s="8" t="str">
        <f t="shared" si="1"/>
        <v/>
      </c>
      <c r="H18420" s="14" t="str">
        <f t="shared" si="2"/>
        <v/>
      </c>
      <c r="I18420" s="15" t="str">
        <f t="shared" si="3"/>
        <v/>
      </c>
    </row>
    <row r="18421">
      <c r="A18421" s="8" t="str">
        <f>IFERROR(__xludf.DUMMYFUNCTION("IF('(INGESTA)Datos_consumo_datadis'!A19986&lt;&gt;"""",SPLIT('(INGESTA)Datos_consumo_datadis'!A:A,"",""),"""")"),"")</f>
        <v/>
      </c>
      <c r="G18421" s="8" t="str">
        <f t="shared" si="1"/>
        <v/>
      </c>
      <c r="H18421" s="14" t="str">
        <f t="shared" si="2"/>
        <v/>
      </c>
      <c r="I18421" s="15" t="str">
        <f t="shared" si="3"/>
        <v/>
      </c>
    </row>
    <row r="18422">
      <c r="A18422" s="8" t="str">
        <f>IFERROR(__xludf.DUMMYFUNCTION("IF('(INGESTA)Datos_consumo_datadis'!A19987&lt;&gt;"""",SPLIT('(INGESTA)Datos_consumo_datadis'!A:A,"",""),"""")"),"")</f>
        <v/>
      </c>
      <c r="G18422" s="8" t="str">
        <f t="shared" si="1"/>
        <v/>
      </c>
      <c r="H18422" s="14" t="str">
        <f t="shared" si="2"/>
        <v/>
      </c>
      <c r="I18422" s="15" t="str">
        <f t="shared" si="3"/>
        <v/>
      </c>
    </row>
    <row r="18423">
      <c r="A18423" s="8" t="str">
        <f>IFERROR(__xludf.DUMMYFUNCTION("IF('(INGESTA)Datos_consumo_datadis'!A19988&lt;&gt;"""",SPLIT('(INGESTA)Datos_consumo_datadis'!A:A,"",""),"""")"),"")</f>
        <v/>
      </c>
      <c r="G18423" s="8" t="str">
        <f t="shared" si="1"/>
        <v/>
      </c>
      <c r="H18423" s="14" t="str">
        <f t="shared" si="2"/>
        <v/>
      </c>
      <c r="I18423" s="15" t="str">
        <f t="shared" si="3"/>
        <v/>
      </c>
    </row>
    <row r="18424">
      <c r="A18424" s="8" t="str">
        <f>IFERROR(__xludf.DUMMYFUNCTION("IF('(INGESTA)Datos_consumo_datadis'!A19989&lt;&gt;"""",SPLIT('(INGESTA)Datos_consumo_datadis'!A:A,"",""),"""")"),"")</f>
        <v/>
      </c>
      <c r="G18424" s="8" t="str">
        <f t="shared" si="1"/>
        <v/>
      </c>
      <c r="H18424" s="14" t="str">
        <f t="shared" si="2"/>
        <v/>
      </c>
      <c r="I18424" s="15" t="str">
        <f t="shared" si="3"/>
        <v/>
      </c>
    </row>
    <row r="18425">
      <c r="A18425" s="8" t="str">
        <f>IFERROR(__xludf.DUMMYFUNCTION("IF('(INGESTA)Datos_consumo_datadis'!A19990&lt;&gt;"""",SPLIT('(INGESTA)Datos_consumo_datadis'!A:A,"",""),"""")"),"")</f>
        <v/>
      </c>
      <c r="G18425" s="8" t="str">
        <f t="shared" si="1"/>
        <v/>
      </c>
      <c r="H18425" s="14" t="str">
        <f t="shared" si="2"/>
        <v/>
      </c>
      <c r="I18425" s="15" t="str">
        <f t="shared" si="3"/>
        <v/>
      </c>
    </row>
    <row r="18426">
      <c r="A18426" s="8" t="str">
        <f>IFERROR(__xludf.DUMMYFUNCTION("IF('(INGESTA)Datos_consumo_datadis'!A19991&lt;&gt;"""",SPLIT('(INGESTA)Datos_consumo_datadis'!A:A,"",""),"""")"),"")</f>
        <v/>
      </c>
      <c r="G18426" s="8" t="str">
        <f t="shared" si="1"/>
        <v/>
      </c>
      <c r="H18426" s="14" t="str">
        <f t="shared" si="2"/>
        <v/>
      </c>
      <c r="I18426" s="15" t="str">
        <f t="shared" si="3"/>
        <v/>
      </c>
    </row>
    <row r="18427">
      <c r="A18427" s="8" t="str">
        <f>IFERROR(__xludf.DUMMYFUNCTION("IF('(INGESTA)Datos_consumo_datadis'!A19992&lt;&gt;"""",SPLIT('(INGESTA)Datos_consumo_datadis'!A:A,"",""),"""")"),"")</f>
        <v/>
      </c>
      <c r="G18427" s="8" t="str">
        <f t="shared" si="1"/>
        <v/>
      </c>
      <c r="H18427" s="14" t="str">
        <f t="shared" si="2"/>
        <v/>
      </c>
      <c r="I18427" s="15" t="str">
        <f t="shared" si="3"/>
        <v/>
      </c>
    </row>
    <row r="18428">
      <c r="A18428" s="8" t="str">
        <f>IFERROR(__xludf.DUMMYFUNCTION("IF('(INGESTA)Datos_consumo_datadis'!A19993&lt;&gt;"""",SPLIT('(INGESTA)Datos_consumo_datadis'!A:A,"",""),"""")"),"")</f>
        <v/>
      </c>
      <c r="G18428" s="8" t="str">
        <f t="shared" si="1"/>
        <v/>
      </c>
      <c r="H18428" s="14" t="str">
        <f t="shared" si="2"/>
        <v/>
      </c>
      <c r="I18428" s="15" t="str">
        <f t="shared" si="3"/>
        <v/>
      </c>
    </row>
    <row r="18429">
      <c r="A18429" s="8" t="str">
        <f>IFERROR(__xludf.DUMMYFUNCTION("IF('(INGESTA)Datos_consumo_datadis'!A19994&lt;&gt;"""",SPLIT('(INGESTA)Datos_consumo_datadis'!A:A,"",""),"""")"),"")</f>
        <v/>
      </c>
      <c r="G18429" s="8" t="str">
        <f t="shared" si="1"/>
        <v/>
      </c>
      <c r="H18429" s="14" t="str">
        <f t="shared" si="2"/>
        <v/>
      </c>
      <c r="I18429" s="15" t="str">
        <f t="shared" si="3"/>
        <v/>
      </c>
    </row>
    <row r="18430">
      <c r="A18430" s="8" t="str">
        <f>IFERROR(__xludf.DUMMYFUNCTION("IF('(INGESTA)Datos_consumo_datadis'!A19995&lt;&gt;"""",SPLIT('(INGESTA)Datos_consumo_datadis'!A:A,"",""),"""")"),"")</f>
        <v/>
      </c>
      <c r="G18430" s="8" t="str">
        <f t="shared" si="1"/>
        <v/>
      </c>
      <c r="H18430" s="14" t="str">
        <f t="shared" si="2"/>
        <v/>
      </c>
      <c r="I18430" s="15" t="str">
        <f t="shared" si="3"/>
        <v/>
      </c>
    </row>
    <row r="18431">
      <c r="A18431" s="8" t="str">
        <f>IFERROR(__xludf.DUMMYFUNCTION("IF('(INGESTA)Datos_consumo_datadis'!A19996&lt;&gt;"""",SPLIT('(INGESTA)Datos_consumo_datadis'!A:A,"",""),"""")"),"")</f>
        <v/>
      </c>
      <c r="G18431" s="8" t="str">
        <f t="shared" si="1"/>
        <v/>
      </c>
      <c r="H18431" s="14" t="str">
        <f t="shared" si="2"/>
        <v/>
      </c>
      <c r="I18431" s="15" t="str">
        <f t="shared" si="3"/>
        <v/>
      </c>
    </row>
    <row r="18432">
      <c r="A18432" s="8" t="str">
        <f>IFERROR(__xludf.DUMMYFUNCTION("IF('(INGESTA)Datos_consumo_datadis'!A19997&lt;&gt;"""",SPLIT('(INGESTA)Datos_consumo_datadis'!A:A,"",""),"""")"),"")</f>
        <v/>
      </c>
      <c r="G18432" s="8" t="str">
        <f t="shared" si="1"/>
        <v/>
      </c>
      <c r="H18432" s="14" t="str">
        <f t="shared" si="2"/>
        <v/>
      </c>
      <c r="I18432" s="15" t="str">
        <f t="shared" si="3"/>
        <v/>
      </c>
    </row>
    <row r="18433">
      <c r="A18433" s="8" t="str">
        <f>IFERROR(__xludf.DUMMYFUNCTION("IF('(INGESTA)Datos_consumo_datadis'!A19998&lt;&gt;"""",SPLIT('(INGESTA)Datos_consumo_datadis'!A:A,"",""),"""")"),"")</f>
        <v/>
      </c>
      <c r="G18433" s="8" t="str">
        <f t="shared" si="1"/>
        <v/>
      </c>
      <c r="H18433" s="14" t="str">
        <f t="shared" si="2"/>
        <v/>
      </c>
      <c r="I18433" s="15" t="str">
        <f t="shared" si="3"/>
        <v/>
      </c>
    </row>
    <row r="18434">
      <c r="A18434" s="8" t="str">
        <f>IFERROR(__xludf.DUMMYFUNCTION("IF('(INGESTA)Datos_consumo_datadis'!A19999&lt;&gt;"""",SPLIT('(INGESTA)Datos_consumo_datadis'!A:A,"",""),"""")"),"")</f>
        <v/>
      </c>
      <c r="G18434" s="8" t="str">
        <f t="shared" si="1"/>
        <v/>
      </c>
      <c r="H18434" s="14" t="str">
        <f t="shared" si="2"/>
        <v/>
      </c>
      <c r="I18434" s="15" t="str">
        <f t="shared" si="3"/>
        <v/>
      </c>
    </row>
    <row r="18435">
      <c r="A18435" s="8" t="str">
        <f>IFERROR(__xludf.DUMMYFUNCTION("IF('(INGESTA)Datos_consumo_datadis'!A20000&lt;&gt;"""",SPLIT('(INGESTA)Datos_consumo_datadis'!A:A,"",""),"""")"),"")</f>
        <v/>
      </c>
      <c r="G18435" s="8" t="str">
        <f t="shared" si="1"/>
        <v/>
      </c>
      <c r="H18435" s="14" t="str">
        <f t="shared" si="2"/>
        <v/>
      </c>
      <c r="I18435" s="15" t="str">
        <f t="shared" si="3"/>
        <v/>
      </c>
    </row>
    <row r="18436">
      <c r="A18436" s="8" t="str">
        <f>IFERROR(__xludf.DUMMYFUNCTION("IF('(INGESTA)Datos_consumo_datadis'!A20001&lt;&gt;"""",SPLIT('(INGESTA)Datos_consumo_datadis'!A:A,"",""),"""")"),"")</f>
        <v/>
      </c>
      <c r="G18436" s="8" t="str">
        <f t="shared" si="1"/>
        <v/>
      </c>
      <c r="H18436" s="14" t="str">
        <f t="shared" si="2"/>
        <v/>
      </c>
      <c r="I18436" s="15" t="str">
        <f t="shared" si="3"/>
        <v/>
      </c>
    </row>
    <row r="18437">
      <c r="A18437" s="8" t="str">
        <f>IFERROR(__xludf.DUMMYFUNCTION("IF('(INGESTA)Datos_consumo_datadis'!A20002&lt;&gt;"""",SPLIT('(INGESTA)Datos_consumo_datadis'!A:A,"",""),"""")"),"")</f>
        <v/>
      </c>
      <c r="G18437" s="8" t="str">
        <f t="shared" si="1"/>
        <v/>
      </c>
      <c r="H18437" s="14" t="str">
        <f t="shared" si="2"/>
        <v/>
      </c>
      <c r="I18437" s="15" t="str">
        <f t="shared" si="3"/>
        <v/>
      </c>
    </row>
    <row r="18438">
      <c r="A18438" s="8" t="str">
        <f>IFERROR(__xludf.DUMMYFUNCTION("IF('(INGESTA)Datos_consumo_datadis'!A20003&lt;&gt;"""",SPLIT('(INGESTA)Datos_consumo_datadis'!A:A,"",""),"""")"),"")</f>
        <v/>
      </c>
      <c r="G18438" s="8" t="str">
        <f t="shared" si="1"/>
        <v/>
      </c>
      <c r="H18438" s="14" t="str">
        <f t="shared" si="2"/>
        <v/>
      </c>
      <c r="I18438" s="15" t="str">
        <f t="shared" si="3"/>
        <v/>
      </c>
    </row>
    <row r="18439">
      <c r="A18439" s="8" t="str">
        <f>IFERROR(__xludf.DUMMYFUNCTION("IF('(INGESTA)Datos_consumo_datadis'!A20004&lt;&gt;"""",SPLIT('(INGESTA)Datos_consumo_datadis'!A:A,"",""),"""")"),"")</f>
        <v/>
      </c>
      <c r="G18439" s="8" t="str">
        <f t="shared" si="1"/>
        <v/>
      </c>
      <c r="H18439" s="14" t="str">
        <f t="shared" si="2"/>
        <v/>
      </c>
      <c r="I18439" s="15" t="str">
        <f t="shared" si="3"/>
        <v/>
      </c>
    </row>
    <row r="18440">
      <c r="A18440" s="8" t="str">
        <f>IFERROR(__xludf.DUMMYFUNCTION("IF('(INGESTA)Datos_consumo_datadis'!A20005&lt;&gt;"""",SPLIT('(INGESTA)Datos_consumo_datadis'!A:A,"",""),"""")"),"")</f>
        <v/>
      </c>
      <c r="G18440" s="8" t="str">
        <f t="shared" si="1"/>
        <v/>
      </c>
      <c r="H18440" s="14" t="str">
        <f t="shared" si="2"/>
        <v/>
      </c>
      <c r="I18440" s="15" t="str">
        <f t="shared" si="3"/>
        <v/>
      </c>
    </row>
    <row r="18441">
      <c r="A18441" s="8" t="str">
        <f>IFERROR(__xludf.DUMMYFUNCTION("IF('(INGESTA)Datos_consumo_datadis'!A20006&lt;&gt;"""",SPLIT('(INGESTA)Datos_consumo_datadis'!A:A,"",""),"""")"),"")</f>
        <v/>
      </c>
      <c r="G18441" s="8" t="str">
        <f t="shared" si="1"/>
        <v/>
      </c>
      <c r="H18441" s="14" t="str">
        <f t="shared" si="2"/>
        <v/>
      </c>
      <c r="I18441" s="15" t="str">
        <f t="shared" si="3"/>
        <v/>
      </c>
    </row>
    <row r="18442">
      <c r="A18442" s="8" t="str">
        <f>IFERROR(__xludf.DUMMYFUNCTION("IF('(INGESTA)Datos_consumo_datadis'!A20007&lt;&gt;"""",SPLIT('(INGESTA)Datos_consumo_datadis'!A:A,"",""),"""")"),"")</f>
        <v/>
      </c>
      <c r="G18442" s="8" t="str">
        <f t="shared" si="1"/>
        <v/>
      </c>
      <c r="H18442" s="14" t="str">
        <f t="shared" si="2"/>
        <v/>
      </c>
      <c r="I18442" s="15" t="str">
        <f t="shared" si="3"/>
        <v/>
      </c>
    </row>
    <row r="18443">
      <c r="A18443" s="8" t="str">
        <f>IFERROR(__xludf.DUMMYFUNCTION("IF('(INGESTA)Datos_consumo_datadis'!A20008&lt;&gt;"""",SPLIT('(INGESTA)Datos_consumo_datadis'!A:A,"",""),"""")"),"")</f>
        <v/>
      </c>
      <c r="G18443" s="8" t="str">
        <f t="shared" si="1"/>
        <v/>
      </c>
      <c r="H18443" s="14" t="str">
        <f t="shared" si="2"/>
        <v/>
      </c>
      <c r="I18443" s="15" t="str">
        <f t="shared" si="3"/>
        <v/>
      </c>
    </row>
    <row r="18444">
      <c r="A18444" s="8" t="str">
        <f>IFERROR(__xludf.DUMMYFUNCTION("IF('(INGESTA)Datos_consumo_datadis'!A20009&lt;&gt;"""",SPLIT('(INGESTA)Datos_consumo_datadis'!A:A,"",""),"""")"),"")</f>
        <v/>
      </c>
      <c r="G18444" s="8" t="str">
        <f t="shared" si="1"/>
        <v/>
      </c>
      <c r="H18444" s="14" t="str">
        <f t="shared" si="2"/>
        <v/>
      </c>
      <c r="I18444" s="15" t="str">
        <f t="shared" si="3"/>
        <v/>
      </c>
    </row>
    <row r="18445">
      <c r="A18445" s="8" t="str">
        <f>IFERROR(__xludf.DUMMYFUNCTION("IF('(INGESTA)Datos_consumo_datadis'!A20010&lt;&gt;"""",SPLIT('(INGESTA)Datos_consumo_datadis'!A:A,"",""),"""")"),"")</f>
        <v/>
      </c>
      <c r="G18445" s="8" t="str">
        <f t="shared" si="1"/>
        <v/>
      </c>
      <c r="H18445" s="14" t="str">
        <f t="shared" si="2"/>
        <v/>
      </c>
      <c r="I18445" s="15" t="str">
        <f t="shared" si="3"/>
        <v/>
      </c>
    </row>
    <row r="18446">
      <c r="A18446" s="8" t="str">
        <f>IFERROR(__xludf.DUMMYFUNCTION("IF('(INGESTA)Datos_consumo_datadis'!A20011&lt;&gt;"""",SPLIT('(INGESTA)Datos_consumo_datadis'!A:A,"",""),"""")"),"")</f>
        <v/>
      </c>
      <c r="G18446" s="8" t="str">
        <f t="shared" si="1"/>
        <v/>
      </c>
      <c r="H18446" s="14" t="str">
        <f t="shared" si="2"/>
        <v/>
      </c>
      <c r="I18446" s="15" t="str">
        <f t="shared" si="3"/>
        <v/>
      </c>
    </row>
    <row r="18447">
      <c r="A18447" s="8" t="str">
        <f>IFERROR(__xludf.DUMMYFUNCTION("IF('(INGESTA)Datos_consumo_datadis'!A20012&lt;&gt;"""",SPLIT('(INGESTA)Datos_consumo_datadis'!A:A,"",""),"""")"),"")</f>
        <v/>
      </c>
      <c r="G18447" s="8" t="str">
        <f t="shared" si="1"/>
        <v/>
      </c>
      <c r="H18447" s="14" t="str">
        <f t="shared" si="2"/>
        <v/>
      </c>
      <c r="I18447" s="15" t="str">
        <f t="shared" si="3"/>
        <v/>
      </c>
    </row>
    <row r="18448">
      <c r="A18448" s="8" t="str">
        <f>IFERROR(__xludf.DUMMYFUNCTION("IF('(INGESTA)Datos_consumo_datadis'!A20013&lt;&gt;"""",SPLIT('(INGESTA)Datos_consumo_datadis'!A:A,"",""),"""")"),"")</f>
        <v/>
      </c>
      <c r="G18448" s="8" t="str">
        <f t="shared" si="1"/>
        <v/>
      </c>
      <c r="H18448" s="14" t="str">
        <f t="shared" si="2"/>
        <v/>
      </c>
      <c r="I18448" s="15" t="str">
        <f t="shared" si="3"/>
        <v/>
      </c>
    </row>
    <row r="18449">
      <c r="A18449" s="8" t="str">
        <f>IFERROR(__xludf.DUMMYFUNCTION("IF('(INGESTA)Datos_consumo_datadis'!A20014&lt;&gt;"""",SPLIT('(INGESTA)Datos_consumo_datadis'!A:A,"",""),"""")"),"")</f>
        <v/>
      </c>
      <c r="G18449" s="8" t="str">
        <f t="shared" si="1"/>
        <v/>
      </c>
      <c r="H18449" s="14" t="str">
        <f t="shared" si="2"/>
        <v/>
      </c>
      <c r="I18449" s="15" t="str">
        <f t="shared" si="3"/>
        <v/>
      </c>
    </row>
    <row r="18450">
      <c r="A18450" s="8" t="str">
        <f>IFERROR(__xludf.DUMMYFUNCTION("IF('(INGESTA)Datos_consumo_datadis'!A20015&lt;&gt;"""",SPLIT('(INGESTA)Datos_consumo_datadis'!A:A,"",""),"""")"),"")</f>
        <v/>
      </c>
      <c r="G18450" s="8" t="str">
        <f t="shared" si="1"/>
        <v/>
      </c>
      <c r="H18450" s="14" t="str">
        <f t="shared" si="2"/>
        <v/>
      </c>
      <c r="I18450" s="15" t="str">
        <f t="shared" si="3"/>
        <v/>
      </c>
    </row>
    <row r="18451">
      <c r="A18451" s="8" t="str">
        <f>IFERROR(__xludf.DUMMYFUNCTION("IF('(INGESTA)Datos_consumo_datadis'!A20016&lt;&gt;"""",SPLIT('(INGESTA)Datos_consumo_datadis'!A:A,"",""),"""")"),"")</f>
        <v/>
      </c>
      <c r="G18451" s="8" t="str">
        <f t="shared" si="1"/>
        <v/>
      </c>
      <c r="H18451" s="14" t="str">
        <f t="shared" si="2"/>
        <v/>
      </c>
      <c r="I18451" s="15" t="str">
        <f t="shared" si="3"/>
        <v/>
      </c>
    </row>
    <row r="18452">
      <c r="A18452" s="8" t="str">
        <f>IFERROR(__xludf.DUMMYFUNCTION("IF('(INGESTA)Datos_consumo_datadis'!A20017&lt;&gt;"""",SPLIT('(INGESTA)Datos_consumo_datadis'!A:A,"",""),"""")"),"")</f>
        <v/>
      </c>
      <c r="G18452" s="8" t="str">
        <f t="shared" si="1"/>
        <v/>
      </c>
      <c r="H18452" s="14" t="str">
        <f t="shared" si="2"/>
        <v/>
      </c>
      <c r="I18452" s="15" t="str">
        <f t="shared" si="3"/>
        <v/>
      </c>
    </row>
    <row r="18453">
      <c r="A18453" s="8" t="str">
        <f>IFERROR(__xludf.DUMMYFUNCTION("IF('(INGESTA)Datos_consumo_datadis'!A20018&lt;&gt;"""",SPLIT('(INGESTA)Datos_consumo_datadis'!A:A,"",""),"""")"),"")</f>
        <v/>
      </c>
      <c r="G18453" s="8" t="str">
        <f t="shared" si="1"/>
        <v/>
      </c>
      <c r="H18453" s="14" t="str">
        <f t="shared" si="2"/>
        <v/>
      </c>
      <c r="I18453" s="15" t="str">
        <f t="shared" si="3"/>
        <v/>
      </c>
    </row>
    <row r="18454">
      <c r="A18454" s="8" t="str">
        <f>IFERROR(__xludf.DUMMYFUNCTION("IF('(INGESTA)Datos_consumo_datadis'!A20019&lt;&gt;"""",SPLIT('(INGESTA)Datos_consumo_datadis'!A:A,"",""),"""")"),"")</f>
        <v/>
      </c>
      <c r="G18454" s="8" t="str">
        <f t="shared" si="1"/>
        <v/>
      </c>
      <c r="H18454" s="14" t="str">
        <f t="shared" si="2"/>
        <v/>
      </c>
      <c r="I18454" s="15" t="str">
        <f t="shared" si="3"/>
        <v/>
      </c>
    </row>
    <row r="18455">
      <c r="A18455" s="8" t="str">
        <f>IFERROR(__xludf.DUMMYFUNCTION("IF('(INGESTA)Datos_consumo_datadis'!A20020&lt;&gt;"""",SPLIT('(INGESTA)Datos_consumo_datadis'!A:A,"",""),"""")"),"")</f>
        <v/>
      </c>
      <c r="G18455" s="8" t="str">
        <f t="shared" si="1"/>
        <v/>
      </c>
      <c r="H18455" s="14" t="str">
        <f t="shared" si="2"/>
        <v/>
      </c>
      <c r="I18455" s="15" t="str">
        <f t="shared" si="3"/>
        <v/>
      </c>
    </row>
    <row r="18456">
      <c r="A18456" s="8" t="str">
        <f>IFERROR(__xludf.DUMMYFUNCTION("IF('(INGESTA)Datos_consumo_datadis'!A20021&lt;&gt;"""",SPLIT('(INGESTA)Datos_consumo_datadis'!A:A,"",""),"""")"),"")</f>
        <v/>
      </c>
      <c r="G18456" s="8" t="str">
        <f t="shared" si="1"/>
        <v/>
      </c>
      <c r="H18456" s="14" t="str">
        <f t="shared" si="2"/>
        <v/>
      </c>
      <c r="I18456" s="15" t="str">
        <f t="shared" si="3"/>
        <v/>
      </c>
    </row>
    <row r="18457">
      <c r="A18457" s="8" t="str">
        <f>IFERROR(__xludf.DUMMYFUNCTION("IF('(INGESTA)Datos_consumo_datadis'!A20022&lt;&gt;"""",SPLIT('(INGESTA)Datos_consumo_datadis'!A:A,"",""),"""")"),"")</f>
        <v/>
      </c>
      <c r="G18457" s="8" t="str">
        <f t="shared" si="1"/>
        <v/>
      </c>
      <c r="H18457" s="14" t="str">
        <f t="shared" si="2"/>
        <v/>
      </c>
      <c r="I18457" s="15" t="str">
        <f t="shared" si="3"/>
        <v/>
      </c>
    </row>
    <row r="18458">
      <c r="A18458" s="8" t="str">
        <f>IFERROR(__xludf.DUMMYFUNCTION("IF('(INGESTA)Datos_consumo_datadis'!A20023&lt;&gt;"""",SPLIT('(INGESTA)Datos_consumo_datadis'!A:A,"",""),"""")"),"")</f>
        <v/>
      </c>
      <c r="G18458" s="8" t="str">
        <f t="shared" si="1"/>
        <v/>
      </c>
      <c r="H18458" s="14" t="str">
        <f t="shared" si="2"/>
        <v/>
      </c>
      <c r="I18458" s="15" t="str">
        <f t="shared" si="3"/>
        <v/>
      </c>
    </row>
    <row r="18459">
      <c r="A18459" s="8" t="str">
        <f>IFERROR(__xludf.DUMMYFUNCTION("IF('(INGESTA)Datos_consumo_datadis'!A20024&lt;&gt;"""",SPLIT('(INGESTA)Datos_consumo_datadis'!A:A,"",""),"""")"),"")</f>
        <v/>
      </c>
      <c r="G18459" s="8" t="str">
        <f t="shared" si="1"/>
        <v/>
      </c>
      <c r="H18459" s="14" t="str">
        <f t="shared" si="2"/>
        <v/>
      </c>
      <c r="I18459" s="15" t="str">
        <f t="shared" si="3"/>
        <v/>
      </c>
    </row>
    <row r="18460">
      <c r="A18460" s="8" t="str">
        <f>IFERROR(__xludf.DUMMYFUNCTION("IF('(INGESTA)Datos_consumo_datadis'!A20025&lt;&gt;"""",SPLIT('(INGESTA)Datos_consumo_datadis'!A:A,"",""),"""")"),"")</f>
        <v/>
      </c>
      <c r="G18460" s="8" t="str">
        <f t="shared" si="1"/>
        <v/>
      </c>
      <c r="H18460" s="14" t="str">
        <f t="shared" si="2"/>
        <v/>
      </c>
      <c r="I18460" s="15" t="str">
        <f t="shared" si="3"/>
        <v/>
      </c>
    </row>
    <row r="18461">
      <c r="A18461" s="8" t="str">
        <f>IFERROR(__xludf.DUMMYFUNCTION("IF('(INGESTA)Datos_consumo_datadis'!A20026&lt;&gt;"""",SPLIT('(INGESTA)Datos_consumo_datadis'!A:A,"",""),"""")"),"")</f>
        <v/>
      </c>
      <c r="G18461" s="8" t="str">
        <f t="shared" si="1"/>
        <v/>
      </c>
      <c r="H18461" s="14" t="str">
        <f t="shared" si="2"/>
        <v/>
      </c>
      <c r="I18461" s="15" t="str">
        <f t="shared" si="3"/>
        <v/>
      </c>
    </row>
    <row r="18462">
      <c r="A18462" s="8" t="str">
        <f>IFERROR(__xludf.DUMMYFUNCTION("IF('(INGESTA)Datos_consumo_datadis'!A20027&lt;&gt;"""",SPLIT('(INGESTA)Datos_consumo_datadis'!A:A,"",""),"""")"),"")</f>
        <v/>
      </c>
      <c r="G18462" s="8" t="str">
        <f t="shared" si="1"/>
        <v/>
      </c>
      <c r="H18462" s="14" t="str">
        <f t="shared" si="2"/>
        <v/>
      </c>
      <c r="I18462" s="15" t="str">
        <f t="shared" si="3"/>
        <v/>
      </c>
    </row>
    <row r="18463">
      <c r="A18463" s="8" t="str">
        <f>IFERROR(__xludf.DUMMYFUNCTION("IF('(INGESTA)Datos_consumo_datadis'!A20028&lt;&gt;"""",SPLIT('(INGESTA)Datos_consumo_datadis'!A:A,"",""),"""")"),"")</f>
        <v/>
      </c>
      <c r="G18463" s="8" t="str">
        <f t="shared" si="1"/>
        <v/>
      </c>
      <c r="H18463" s="14" t="str">
        <f t="shared" si="2"/>
        <v/>
      </c>
      <c r="I18463" s="15" t="str">
        <f t="shared" si="3"/>
        <v/>
      </c>
    </row>
    <row r="18464">
      <c r="A18464" s="8" t="str">
        <f>IFERROR(__xludf.DUMMYFUNCTION("IF('(INGESTA)Datos_consumo_datadis'!A20029&lt;&gt;"""",SPLIT('(INGESTA)Datos_consumo_datadis'!A:A,"",""),"""")"),"")</f>
        <v/>
      </c>
      <c r="G18464" s="8" t="str">
        <f t="shared" si="1"/>
        <v/>
      </c>
      <c r="H18464" s="14" t="str">
        <f t="shared" si="2"/>
        <v/>
      </c>
      <c r="I18464" s="15" t="str">
        <f t="shared" si="3"/>
        <v/>
      </c>
    </row>
    <row r="18465">
      <c r="A18465" s="8" t="str">
        <f>IFERROR(__xludf.DUMMYFUNCTION("IF('(INGESTA)Datos_consumo_datadis'!A20030&lt;&gt;"""",SPLIT('(INGESTA)Datos_consumo_datadis'!A:A,"",""),"""")"),"")</f>
        <v/>
      </c>
      <c r="G18465" s="8" t="str">
        <f t="shared" si="1"/>
        <v/>
      </c>
      <c r="H18465" s="14" t="str">
        <f t="shared" si="2"/>
        <v/>
      </c>
      <c r="I18465" s="15" t="str">
        <f t="shared" si="3"/>
        <v/>
      </c>
    </row>
    <row r="18466">
      <c r="A18466" s="8" t="str">
        <f>IFERROR(__xludf.DUMMYFUNCTION("IF('(INGESTA)Datos_consumo_datadis'!A20031&lt;&gt;"""",SPLIT('(INGESTA)Datos_consumo_datadis'!A:A,"",""),"""")"),"")</f>
        <v/>
      </c>
      <c r="G18466" s="8" t="str">
        <f t="shared" si="1"/>
        <v/>
      </c>
      <c r="H18466" s="14" t="str">
        <f t="shared" si="2"/>
        <v/>
      </c>
      <c r="I18466" s="15" t="str">
        <f t="shared" si="3"/>
        <v/>
      </c>
    </row>
    <row r="18467">
      <c r="A18467" s="8" t="str">
        <f>IFERROR(__xludf.DUMMYFUNCTION("IF('(INGESTA)Datos_consumo_datadis'!A20032&lt;&gt;"""",SPLIT('(INGESTA)Datos_consumo_datadis'!A:A,"",""),"""")"),"")</f>
        <v/>
      </c>
      <c r="G18467" s="8" t="str">
        <f t="shared" si="1"/>
        <v/>
      </c>
      <c r="H18467" s="14" t="str">
        <f t="shared" si="2"/>
        <v/>
      </c>
      <c r="I18467" s="15" t="str">
        <f t="shared" si="3"/>
        <v/>
      </c>
    </row>
    <row r="18468">
      <c r="A18468" s="8" t="str">
        <f>IFERROR(__xludf.DUMMYFUNCTION("IF('(INGESTA)Datos_consumo_datadis'!A20033&lt;&gt;"""",SPLIT('(INGESTA)Datos_consumo_datadis'!A:A,"",""),"""")"),"")</f>
        <v/>
      </c>
      <c r="G18468" s="8" t="str">
        <f t="shared" si="1"/>
        <v/>
      </c>
      <c r="H18468" s="14" t="str">
        <f t="shared" si="2"/>
        <v/>
      </c>
      <c r="I18468" s="15" t="str">
        <f t="shared" si="3"/>
        <v/>
      </c>
    </row>
    <row r="18469">
      <c r="A18469" s="8" t="str">
        <f>IFERROR(__xludf.DUMMYFUNCTION("IF('(INGESTA)Datos_consumo_datadis'!A20034&lt;&gt;"""",SPLIT('(INGESTA)Datos_consumo_datadis'!A:A,"",""),"""")"),"")</f>
        <v/>
      </c>
      <c r="G18469" s="8" t="str">
        <f t="shared" si="1"/>
        <v/>
      </c>
      <c r="H18469" s="14" t="str">
        <f t="shared" si="2"/>
        <v/>
      </c>
      <c r="I18469" s="15" t="str">
        <f t="shared" si="3"/>
        <v/>
      </c>
    </row>
    <row r="18470">
      <c r="A18470" s="8" t="str">
        <f>IFERROR(__xludf.DUMMYFUNCTION("IF('(INGESTA)Datos_consumo_datadis'!A20035&lt;&gt;"""",SPLIT('(INGESTA)Datos_consumo_datadis'!A:A,"",""),"""")"),"")</f>
        <v/>
      </c>
      <c r="G18470" s="8" t="str">
        <f t="shared" si="1"/>
        <v/>
      </c>
      <c r="H18470" s="14" t="str">
        <f t="shared" si="2"/>
        <v/>
      </c>
      <c r="I18470" s="15" t="str">
        <f t="shared" si="3"/>
        <v/>
      </c>
    </row>
    <row r="18471">
      <c r="A18471" s="8" t="str">
        <f>IFERROR(__xludf.DUMMYFUNCTION("IF('(INGESTA)Datos_consumo_datadis'!A20036&lt;&gt;"""",SPLIT('(INGESTA)Datos_consumo_datadis'!A:A,"",""),"""")"),"")</f>
        <v/>
      </c>
      <c r="G18471" s="8" t="str">
        <f t="shared" si="1"/>
        <v/>
      </c>
      <c r="H18471" s="14" t="str">
        <f t="shared" si="2"/>
        <v/>
      </c>
      <c r="I18471" s="15" t="str">
        <f t="shared" si="3"/>
        <v/>
      </c>
    </row>
    <row r="18472">
      <c r="A18472" s="8" t="str">
        <f>IFERROR(__xludf.DUMMYFUNCTION("IF('(INGESTA)Datos_consumo_datadis'!A20037&lt;&gt;"""",SPLIT('(INGESTA)Datos_consumo_datadis'!A:A,"",""),"""")"),"")</f>
        <v/>
      </c>
      <c r="G18472" s="8" t="str">
        <f t="shared" si="1"/>
        <v/>
      </c>
      <c r="H18472" s="14" t="str">
        <f t="shared" si="2"/>
        <v/>
      </c>
      <c r="I18472" s="15" t="str">
        <f t="shared" si="3"/>
        <v/>
      </c>
    </row>
    <row r="18473">
      <c r="A18473" s="8" t="str">
        <f>IFERROR(__xludf.DUMMYFUNCTION("IF('(INGESTA)Datos_consumo_datadis'!A20038&lt;&gt;"""",SPLIT('(INGESTA)Datos_consumo_datadis'!A:A,"",""),"""")"),"")</f>
        <v/>
      </c>
      <c r="G18473" s="8" t="str">
        <f t="shared" si="1"/>
        <v/>
      </c>
      <c r="H18473" s="14" t="str">
        <f t="shared" si="2"/>
        <v/>
      </c>
      <c r="I18473" s="15" t="str">
        <f t="shared" si="3"/>
        <v/>
      </c>
    </row>
    <row r="18474">
      <c r="A18474" s="8" t="str">
        <f>IFERROR(__xludf.DUMMYFUNCTION("IF('(INGESTA)Datos_consumo_datadis'!A20039&lt;&gt;"""",SPLIT('(INGESTA)Datos_consumo_datadis'!A:A,"",""),"""")"),"")</f>
        <v/>
      </c>
      <c r="G18474" s="8" t="str">
        <f t="shared" si="1"/>
        <v/>
      </c>
      <c r="H18474" s="14" t="str">
        <f t="shared" si="2"/>
        <v/>
      </c>
      <c r="I18474" s="15" t="str">
        <f t="shared" si="3"/>
        <v/>
      </c>
    </row>
    <row r="18475">
      <c r="A18475" s="8" t="str">
        <f>IFERROR(__xludf.DUMMYFUNCTION("IF('(INGESTA)Datos_consumo_datadis'!A20040&lt;&gt;"""",SPLIT('(INGESTA)Datos_consumo_datadis'!A:A,"",""),"""")"),"")</f>
        <v/>
      </c>
      <c r="G18475" s="8" t="str">
        <f t="shared" si="1"/>
        <v/>
      </c>
      <c r="H18475" s="14" t="str">
        <f t="shared" si="2"/>
        <v/>
      </c>
      <c r="I18475" s="15" t="str">
        <f t="shared" si="3"/>
        <v/>
      </c>
    </row>
    <row r="18476">
      <c r="A18476" s="8" t="str">
        <f>IFERROR(__xludf.DUMMYFUNCTION("IF('(INGESTA)Datos_consumo_datadis'!A20041&lt;&gt;"""",SPLIT('(INGESTA)Datos_consumo_datadis'!A:A,"",""),"""")"),"")</f>
        <v/>
      </c>
      <c r="G18476" s="8" t="str">
        <f t="shared" si="1"/>
        <v/>
      </c>
      <c r="H18476" s="14" t="str">
        <f t="shared" si="2"/>
        <v/>
      </c>
      <c r="I18476" s="15" t="str">
        <f t="shared" si="3"/>
        <v/>
      </c>
    </row>
    <row r="18477">
      <c r="A18477" s="8" t="str">
        <f>IFERROR(__xludf.DUMMYFUNCTION("IF('(INGESTA)Datos_consumo_datadis'!A20042&lt;&gt;"""",SPLIT('(INGESTA)Datos_consumo_datadis'!A:A,"",""),"""")"),"")</f>
        <v/>
      </c>
      <c r="G18477" s="8" t="str">
        <f t="shared" si="1"/>
        <v/>
      </c>
      <c r="H18477" s="14" t="str">
        <f t="shared" si="2"/>
        <v/>
      </c>
      <c r="I18477" s="15" t="str">
        <f t="shared" si="3"/>
        <v/>
      </c>
    </row>
    <row r="18478">
      <c r="A18478" s="8" t="str">
        <f>IFERROR(__xludf.DUMMYFUNCTION("IF('(INGESTA)Datos_consumo_datadis'!A20043&lt;&gt;"""",SPLIT('(INGESTA)Datos_consumo_datadis'!A:A,"",""),"""")"),"")</f>
        <v/>
      </c>
      <c r="G18478" s="8" t="str">
        <f t="shared" si="1"/>
        <v/>
      </c>
      <c r="H18478" s="14" t="str">
        <f t="shared" si="2"/>
        <v/>
      </c>
      <c r="I18478" s="15" t="str">
        <f t="shared" si="3"/>
        <v/>
      </c>
    </row>
    <row r="18479">
      <c r="A18479" s="8" t="str">
        <f>IFERROR(__xludf.DUMMYFUNCTION("IF('(INGESTA)Datos_consumo_datadis'!A20044&lt;&gt;"""",SPLIT('(INGESTA)Datos_consumo_datadis'!A:A,"",""),"""")"),"")</f>
        <v/>
      </c>
      <c r="G18479" s="8" t="str">
        <f t="shared" si="1"/>
        <v/>
      </c>
      <c r="H18479" s="14" t="str">
        <f t="shared" si="2"/>
        <v/>
      </c>
      <c r="I18479" s="15" t="str">
        <f t="shared" si="3"/>
        <v/>
      </c>
    </row>
    <row r="18480">
      <c r="A18480" s="8" t="str">
        <f>IFERROR(__xludf.DUMMYFUNCTION("IF('(INGESTA)Datos_consumo_datadis'!A20045&lt;&gt;"""",SPLIT('(INGESTA)Datos_consumo_datadis'!A:A,"",""),"""")"),"")</f>
        <v/>
      </c>
      <c r="G18480" s="8" t="str">
        <f t="shared" si="1"/>
        <v/>
      </c>
      <c r="H18480" s="14" t="str">
        <f t="shared" si="2"/>
        <v/>
      </c>
      <c r="I18480" s="15" t="str">
        <f t="shared" si="3"/>
        <v/>
      </c>
    </row>
    <row r="18481">
      <c r="A18481" s="8" t="str">
        <f>IFERROR(__xludf.DUMMYFUNCTION("IF('(INGESTA)Datos_consumo_datadis'!A20046&lt;&gt;"""",SPLIT('(INGESTA)Datos_consumo_datadis'!A:A,"",""),"""")"),"")</f>
        <v/>
      </c>
      <c r="G18481" s="8" t="str">
        <f t="shared" si="1"/>
        <v/>
      </c>
      <c r="H18481" s="14" t="str">
        <f t="shared" si="2"/>
        <v/>
      </c>
      <c r="I18481" s="15" t="str">
        <f t="shared" si="3"/>
        <v/>
      </c>
    </row>
    <row r="18482">
      <c r="A18482" s="8" t="str">
        <f>IFERROR(__xludf.DUMMYFUNCTION("IF('(INGESTA)Datos_consumo_datadis'!A20047&lt;&gt;"""",SPLIT('(INGESTA)Datos_consumo_datadis'!A:A,"",""),"""")"),"")</f>
        <v/>
      </c>
      <c r="G18482" s="8" t="str">
        <f t="shared" si="1"/>
        <v/>
      </c>
      <c r="H18482" s="14" t="str">
        <f t="shared" si="2"/>
        <v/>
      </c>
      <c r="I18482" s="15" t="str">
        <f t="shared" si="3"/>
        <v/>
      </c>
    </row>
    <row r="18483">
      <c r="A18483" s="8" t="str">
        <f>IFERROR(__xludf.DUMMYFUNCTION("IF('(INGESTA)Datos_consumo_datadis'!A20048&lt;&gt;"""",SPLIT('(INGESTA)Datos_consumo_datadis'!A:A,"",""),"""")"),"")</f>
        <v/>
      </c>
      <c r="G18483" s="8" t="str">
        <f t="shared" si="1"/>
        <v/>
      </c>
      <c r="H18483" s="14" t="str">
        <f t="shared" si="2"/>
        <v/>
      </c>
      <c r="I18483" s="15" t="str">
        <f t="shared" si="3"/>
        <v/>
      </c>
    </row>
    <row r="18484">
      <c r="A18484" s="8" t="str">
        <f>IFERROR(__xludf.DUMMYFUNCTION("IF('(INGESTA)Datos_consumo_datadis'!A20049&lt;&gt;"""",SPLIT('(INGESTA)Datos_consumo_datadis'!A:A,"",""),"""")"),"")</f>
        <v/>
      </c>
      <c r="G18484" s="8" t="str">
        <f t="shared" si="1"/>
        <v/>
      </c>
      <c r="H18484" s="14" t="str">
        <f t="shared" si="2"/>
        <v/>
      </c>
      <c r="I18484" s="15" t="str">
        <f t="shared" si="3"/>
        <v/>
      </c>
    </row>
    <row r="18485">
      <c r="A18485" s="8" t="str">
        <f>IFERROR(__xludf.DUMMYFUNCTION("IF('(INGESTA)Datos_consumo_datadis'!A20050&lt;&gt;"""",SPLIT('(INGESTA)Datos_consumo_datadis'!A:A,"",""),"""")"),"")</f>
        <v/>
      </c>
      <c r="G18485" s="8" t="str">
        <f t="shared" si="1"/>
        <v/>
      </c>
      <c r="H18485" s="14" t="str">
        <f t="shared" si="2"/>
        <v/>
      </c>
      <c r="I18485" s="15" t="str">
        <f t="shared" si="3"/>
        <v/>
      </c>
    </row>
    <row r="18486">
      <c r="A18486" s="8" t="str">
        <f>IFERROR(__xludf.DUMMYFUNCTION("IF('(INGESTA)Datos_consumo_datadis'!A20051&lt;&gt;"""",SPLIT('(INGESTA)Datos_consumo_datadis'!A:A,"",""),"""")"),"")</f>
        <v/>
      </c>
      <c r="G18486" s="8" t="str">
        <f t="shared" si="1"/>
        <v/>
      </c>
      <c r="H18486" s="14" t="str">
        <f t="shared" si="2"/>
        <v/>
      </c>
      <c r="I18486" s="15" t="str">
        <f t="shared" si="3"/>
        <v/>
      </c>
    </row>
    <row r="18487">
      <c r="A18487" s="8" t="str">
        <f>IFERROR(__xludf.DUMMYFUNCTION("IF('(INGESTA)Datos_consumo_datadis'!A20052&lt;&gt;"""",SPLIT('(INGESTA)Datos_consumo_datadis'!A:A,"",""),"""")"),"")</f>
        <v/>
      </c>
      <c r="G18487" s="8" t="str">
        <f t="shared" si="1"/>
        <v/>
      </c>
      <c r="H18487" s="14" t="str">
        <f t="shared" si="2"/>
        <v/>
      </c>
      <c r="I18487" s="15" t="str">
        <f t="shared" si="3"/>
        <v/>
      </c>
    </row>
    <row r="18488">
      <c r="A18488" s="8" t="str">
        <f>IFERROR(__xludf.DUMMYFUNCTION("IF('(INGESTA)Datos_consumo_datadis'!A20053&lt;&gt;"""",SPLIT('(INGESTA)Datos_consumo_datadis'!A:A,"",""),"""")"),"")</f>
        <v/>
      </c>
      <c r="G18488" s="8" t="str">
        <f t="shared" si="1"/>
        <v/>
      </c>
      <c r="H18488" s="14" t="str">
        <f t="shared" si="2"/>
        <v/>
      </c>
      <c r="I18488" s="15" t="str">
        <f t="shared" si="3"/>
        <v/>
      </c>
    </row>
    <row r="18489">
      <c r="A18489" s="8" t="str">
        <f>IFERROR(__xludf.DUMMYFUNCTION("IF('(INGESTA)Datos_consumo_datadis'!A20054&lt;&gt;"""",SPLIT('(INGESTA)Datos_consumo_datadis'!A:A,"",""),"""")"),"")</f>
        <v/>
      </c>
      <c r="G18489" s="8" t="str">
        <f t="shared" si="1"/>
        <v/>
      </c>
      <c r="H18489" s="14" t="str">
        <f t="shared" si="2"/>
        <v/>
      </c>
      <c r="I18489" s="15" t="str">
        <f t="shared" si="3"/>
        <v/>
      </c>
    </row>
    <row r="18490">
      <c r="A18490" s="8" t="str">
        <f>IFERROR(__xludf.DUMMYFUNCTION("IF('(INGESTA)Datos_consumo_datadis'!A20055&lt;&gt;"""",SPLIT('(INGESTA)Datos_consumo_datadis'!A:A,"",""),"""")"),"")</f>
        <v/>
      </c>
      <c r="G18490" s="8" t="str">
        <f t="shared" si="1"/>
        <v/>
      </c>
      <c r="H18490" s="14" t="str">
        <f t="shared" si="2"/>
        <v/>
      </c>
      <c r="I18490" s="15" t="str">
        <f t="shared" si="3"/>
        <v/>
      </c>
    </row>
    <row r="18491">
      <c r="A18491" s="8" t="str">
        <f>IFERROR(__xludf.DUMMYFUNCTION("IF('(INGESTA)Datos_consumo_datadis'!A20056&lt;&gt;"""",SPLIT('(INGESTA)Datos_consumo_datadis'!A:A,"",""),"""")"),"")</f>
        <v/>
      </c>
      <c r="G18491" s="8" t="str">
        <f t="shared" si="1"/>
        <v/>
      </c>
      <c r="H18491" s="14" t="str">
        <f t="shared" si="2"/>
        <v/>
      </c>
      <c r="I18491" s="15" t="str">
        <f t="shared" si="3"/>
        <v/>
      </c>
    </row>
    <row r="18492">
      <c r="A18492" s="8" t="str">
        <f>IFERROR(__xludf.DUMMYFUNCTION("IF('(INGESTA)Datos_consumo_datadis'!A20057&lt;&gt;"""",SPLIT('(INGESTA)Datos_consumo_datadis'!A:A,"",""),"""")"),"")</f>
        <v/>
      </c>
      <c r="G18492" s="8" t="str">
        <f t="shared" si="1"/>
        <v/>
      </c>
      <c r="H18492" s="14" t="str">
        <f t="shared" si="2"/>
        <v/>
      </c>
      <c r="I18492" s="15" t="str">
        <f t="shared" si="3"/>
        <v/>
      </c>
    </row>
    <row r="18493">
      <c r="A18493" s="8" t="str">
        <f>IFERROR(__xludf.DUMMYFUNCTION("IF('(INGESTA)Datos_consumo_datadis'!A20058&lt;&gt;"""",SPLIT('(INGESTA)Datos_consumo_datadis'!A:A,"",""),"""")"),"")</f>
        <v/>
      </c>
      <c r="G18493" s="8" t="str">
        <f t="shared" si="1"/>
        <v/>
      </c>
      <c r="H18493" s="14" t="str">
        <f t="shared" si="2"/>
        <v/>
      </c>
      <c r="I18493" s="15" t="str">
        <f t="shared" si="3"/>
        <v/>
      </c>
    </row>
    <row r="18494">
      <c r="A18494" s="8" t="str">
        <f>IFERROR(__xludf.DUMMYFUNCTION("IF('(INGESTA)Datos_consumo_datadis'!A20059&lt;&gt;"""",SPLIT('(INGESTA)Datos_consumo_datadis'!A:A,"",""),"""")"),"")</f>
        <v/>
      </c>
      <c r="G18494" s="8" t="str">
        <f t="shared" si="1"/>
        <v/>
      </c>
      <c r="H18494" s="14" t="str">
        <f t="shared" si="2"/>
        <v/>
      </c>
      <c r="I18494" s="15" t="str">
        <f t="shared" si="3"/>
        <v/>
      </c>
    </row>
    <row r="18495">
      <c r="A18495" s="8" t="str">
        <f>IFERROR(__xludf.DUMMYFUNCTION("IF('(INGESTA)Datos_consumo_datadis'!A20060&lt;&gt;"""",SPLIT('(INGESTA)Datos_consumo_datadis'!A:A,"",""),"""")"),"")</f>
        <v/>
      </c>
      <c r="G18495" s="8" t="str">
        <f t="shared" si="1"/>
        <v/>
      </c>
      <c r="H18495" s="14" t="str">
        <f t="shared" si="2"/>
        <v/>
      </c>
      <c r="I18495" s="15" t="str">
        <f t="shared" si="3"/>
        <v/>
      </c>
    </row>
    <row r="18496">
      <c r="A18496" s="8" t="str">
        <f>IFERROR(__xludf.DUMMYFUNCTION("IF('(INGESTA)Datos_consumo_datadis'!A20061&lt;&gt;"""",SPLIT('(INGESTA)Datos_consumo_datadis'!A:A,"",""),"""")"),"")</f>
        <v/>
      </c>
      <c r="G18496" s="8" t="str">
        <f t="shared" si="1"/>
        <v/>
      </c>
      <c r="H18496" s="14" t="str">
        <f t="shared" si="2"/>
        <v/>
      </c>
      <c r="I18496" s="15" t="str">
        <f t="shared" si="3"/>
        <v/>
      </c>
    </row>
    <row r="18497">
      <c r="A18497" s="8" t="str">
        <f>IFERROR(__xludf.DUMMYFUNCTION("IF('(INGESTA)Datos_consumo_datadis'!A20062&lt;&gt;"""",SPLIT('(INGESTA)Datos_consumo_datadis'!A:A,"",""),"""")"),"")</f>
        <v/>
      </c>
      <c r="G18497" s="8" t="str">
        <f t="shared" si="1"/>
        <v/>
      </c>
      <c r="H18497" s="14" t="str">
        <f t="shared" si="2"/>
        <v/>
      </c>
      <c r="I18497" s="15" t="str">
        <f t="shared" si="3"/>
        <v/>
      </c>
    </row>
    <row r="18498">
      <c r="A18498" s="8" t="str">
        <f>IFERROR(__xludf.DUMMYFUNCTION("IF('(INGESTA)Datos_consumo_datadis'!A20063&lt;&gt;"""",SPLIT('(INGESTA)Datos_consumo_datadis'!A:A,"",""),"""")"),"")</f>
        <v/>
      </c>
      <c r="G18498" s="8" t="str">
        <f t="shared" si="1"/>
        <v/>
      </c>
      <c r="H18498" s="14" t="str">
        <f t="shared" si="2"/>
        <v/>
      </c>
      <c r="I18498" s="15" t="str">
        <f t="shared" si="3"/>
        <v/>
      </c>
    </row>
    <row r="18499">
      <c r="A18499" s="8" t="str">
        <f>IFERROR(__xludf.DUMMYFUNCTION("IF('(INGESTA)Datos_consumo_datadis'!A20064&lt;&gt;"""",SPLIT('(INGESTA)Datos_consumo_datadis'!A:A,"",""),"""")"),"")</f>
        <v/>
      </c>
      <c r="G18499" s="8" t="str">
        <f t="shared" si="1"/>
        <v/>
      </c>
      <c r="H18499" s="14" t="str">
        <f t="shared" si="2"/>
        <v/>
      </c>
      <c r="I18499" s="15" t="str">
        <f t="shared" si="3"/>
        <v/>
      </c>
    </row>
    <row r="18500">
      <c r="A18500" s="8" t="str">
        <f>IFERROR(__xludf.DUMMYFUNCTION("IF('(INGESTA)Datos_consumo_datadis'!A20065&lt;&gt;"""",SPLIT('(INGESTA)Datos_consumo_datadis'!A:A,"",""),"""")"),"")</f>
        <v/>
      </c>
      <c r="G18500" s="8" t="str">
        <f t="shared" si="1"/>
        <v/>
      </c>
      <c r="H18500" s="14" t="str">
        <f t="shared" si="2"/>
        <v/>
      </c>
      <c r="I18500" s="15" t="str">
        <f t="shared" si="3"/>
        <v/>
      </c>
    </row>
    <row r="18501">
      <c r="A18501" s="8" t="str">
        <f>IFERROR(__xludf.DUMMYFUNCTION("IF('(INGESTA)Datos_consumo_datadis'!A20066&lt;&gt;"""",SPLIT('(INGESTA)Datos_consumo_datadis'!A:A,"",""),"""")"),"")</f>
        <v/>
      </c>
      <c r="G18501" s="8" t="str">
        <f t="shared" si="1"/>
        <v/>
      </c>
      <c r="H18501" s="14" t="str">
        <f t="shared" si="2"/>
        <v/>
      </c>
      <c r="I18501" s="15" t="str">
        <f t="shared" si="3"/>
        <v/>
      </c>
    </row>
    <row r="18502">
      <c r="A18502" s="8" t="str">
        <f>IFERROR(__xludf.DUMMYFUNCTION("IF('(INGESTA)Datos_consumo_datadis'!A20067&lt;&gt;"""",SPLIT('(INGESTA)Datos_consumo_datadis'!A:A,"",""),"""")"),"")</f>
        <v/>
      </c>
      <c r="G18502" s="8" t="str">
        <f t="shared" si="1"/>
        <v/>
      </c>
      <c r="H18502" s="14" t="str">
        <f t="shared" si="2"/>
        <v/>
      </c>
      <c r="I18502" s="15" t="str">
        <f t="shared" si="3"/>
        <v/>
      </c>
    </row>
    <row r="18503">
      <c r="A18503" s="8" t="str">
        <f>IFERROR(__xludf.DUMMYFUNCTION("IF('(INGESTA)Datos_consumo_datadis'!A20068&lt;&gt;"""",SPLIT('(INGESTA)Datos_consumo_datadis'!A:A,"",""),"""")"),"")</f>
        <v/>
      </c>
      <c r="G18503" s="8" t="str">
        <f t="shared" si="1"/>
        <v/>
      </c>
      <c r="H18503" s="14" t="str">
        <f t="shared" si="2"/>
        <v/>
      </c>
      <c r="I18503" s="15" t="str">
        <f t="shared" si="3"/>
        <v/>
      </c>
    </row>
    <row r="18504">
      <c r="A18504" s="8" t="str">
        <f>IFERROR(__xludf.DUMMYFUNCTION("IF('(INGESTA)Datos_consumo_datadis'!A20069&lt;&gt;"""",SPLIT('(INGESTA)Datos_consumo_datadis'!A:A,"",""),"""")"),"")</f>
        <v/>
      </c>
      <c r="G18504" s="8" t="str">
        <f t="shared" si="1"/>
        <v/>
      </c>
      <c r="H18504" s="14" t="str">
        <f t="shared" si="2"/>
        <v/>
      </c>
      <c r="I18504" s="15" t="str">
        <f t="shared" si="3"/>
        <v/>
      </c>
    </row>
    <row r="18505">
      <c r="A18505" s="8" t="str">
        <f>IFERROR(__xludf.DUMMYFUNCTION("IF('(INGESTA)Datos_consumo_datadis'!A20070&lt;&gt;"""",SPLIT('(INGESTA)Datos_consumo_datadis'!A:A,"",""),"""")"),"")</f>
        <v/>
      </c>
      <c r="G18505" s="8" t="str">
        <f t="shared" si="1"/>
        <v/>
      </c>
      <c r="H18505" s="14" t="str">
        <f t="shared" si="2"/>
        <v/>
      </c>
      <c r="I18505" s="15" t="str">
        <f t="shared" si="3"/>
        <v/>
      </c>
    </row>
    <row r="18506">
      <c r="A18506" s="8" t="str">
        <f>IFERROR(__xludf.DUMMYFUNCTION("IF('(INGESTA)Datos_consumo_datadis'!A20071&lt;&gt;"""",SPLIT('(INGESTA)Datos_consumo_datadis'!A:A,"",""),"""")"),"")</f>
        <v/>
      </c>
      <c r="G18506" s="8" t="str">
        <f t="shared" si="1"/>
        <v/>
      </c>
      <c r="H18506" s="14" t="str">
        <f t="shared" si="2"/>
        <v/>
      </c>
      <c r="I18506" s="15" t="str">
        <f t="shared" si="3"/>
        <v/>
      </c>
    </row>
    <row r="18507">
      <c r="A18507" s="8" t="str">
        <f>IFERROR(__xludf.DUMMYFUNCTION("IF('(INGESTA)Datos_consumo_datadis'!A20072&lt;&gt;"""",SPLIT('(INGESTA)Datos_consumo_datadis'!A:A,"",""),"""")"),"")</f>
        <v/>
      </c>
      <c r="G18507" s="8" t="str">
        <f t="shared" si="1"/>
        <v/>
      </c>
      <c r="H18507" s="14" t="str">
        <f t="shared" si="2"/>
        <v/>
      </c>
      <c r="I18507" s="15" t="str">
        <f t="shared" si="3"/>
        <v/>
      </c>
    </row>
    <row r="18508">
      <c r="A18508" s="8" t="str">
        <f>IFERROR(__xludf.DUMMYFUNCTION("IF('(INGESTA)Datos_consumo_datadis'!A20073&lt;&gt;"""",SPLIT('(INGESTA)Datos_consumo_datadis'!A:A,"",""),"""")"),"")</f>
        <v/>
      </c>
      <c r="G18508" s="8" t="str">
        <f t="shared" si="1"/>
        <v/>
      </c>
      <c r="H18508" s="14" t="str">
        <f t="shared" si="2"/>
        <v/>
      </c>
      <c r="I18508" s="15" t="str">
        <f t="shared" si="3"/>
        <v/>
      </c>
    </row>
    <row r="18509">
      <c r="A18509" s="8" t="str">
        <f>IFERROR(__xludf.DUMMYFUNCTION("IF('(INGESTA)Datos_consumo_datadis'!A20074&lt;&gt;"""",SPLIT('(INGESTA)Datos_consumo_datadis'!A:A,"",""),"""")"),"")</f>
        <v/>
      </c>
      <c r="G18509" s="8" t="str">
        <f t="shared" si="1"/>
        <v/>
      </c>
      <c r="H18509" s="14" t="str">
        <f t="shared" si="2"/>
        <v/>
      </c>
      <c r="I18509" s="15" t="str">
        <f t="shared" si="3"/>
        <v/>
      </c>
    </row>
    <row r="18510">
      <c r="A18510" s="8" t="str">
        <f>IFERROR(__xludf.DUMMYFUNCTION("IF('(INGESTA)Datos_consumo_datadis'!A20075&lt;&gt;"""",SPLIT('(INGESTA)Datos_consumo_datadis'!A:A,"",""),"""")"),"")</f>
        <v/>
      </c>
      <c r="G18510" s="8" t="str">
        <f t="shared" si="1"/>
        <v/>
      </c>
      <c r="H18510" s="14" t="str">
        <f t="shared" si="2"/>
        <v/>
      </c>
      <c r="I18510" s="15" t="str">
        <f t="shared" si="3"/>
        <v/>
      </c>
    </row>
    <row r="18511">
      <c r="A18511" s="8" t="str">
        <f>IFERROR(__xludf.DUMMYFUNCTION("IF('(INGESTA)Datos_consumo_datadis'!A20076&lt;&gt;"""",SPLIT('(INGESTA)Datos_consumo_datadis'!A:A,"",""),"""")"),"")</f>
        <v/>
      </c>
      <c r="G18511" s="8" t="str">
        <f t="shared" si="1"/>
        <v/>
      </c>
      <c r="H18511" s="14" t="str">
        <f t="shared" si="2"/>
        <v/>
      </c>
      <c r="I18511" s="15" t="str">
        <f t="shared" si="3"/>
        <v/>
      </c>
    </row>
    <row r="18512">
      <c r="A18512" s="8" t="str">
        <f>IFERROR(__xludf.DUMMYFUNCTION("IF('(INGESTA)Datos_consumo_datadis'!A20077&lt;&gt;"""",SPLIT('(INGESTA)Datos_consumo_datadis'!A:A,"",""),"""")"),"")</f>
        <v/>
      </c>
      <c r="G18512" s="8" t="str">
        <f t="shared" si="1"/>
        <v/>
      </c>
      <c r="H18512" s="14" t="str">
        <f t="shared" si="2"/>
        <v/>
      </c>
      <c r="I18512" s="15" t="str">
        <f t="shared" si="3"/>
        <v/>
      </c>
    </row>
    <row r="18513">
      <c r="A18513" s="8" t="str">
        <f>IFERROR(__xludf.DUMMYFUNCTION("IF('(INGESTA)Datos_consumo_datadis'!A20078&lt;&gt;"""",SPLIT('(INGESTA)Datos_consumo_datadis'!A:A,"",""),"""")"),"")</f>
        <v/>
      </c>
      <c r="G18513" s="8" t="str">
        <f t="shared" si="1"/>
        <v/>
      </c>
      <c r="H18513" s="14" t="str">
        <f t="shared" si="2"/>
        <v/>
      </c>
      <c r="I18513" s="15" t="str">
        <f t="shared" si="3"/>
        <v/>
      </c>
    </row>
    <row r="18514">
      <c r="A18514" s="8" t="str">
        <f>IFERROR(__xludf.DUMMYFUNCTION("IF('(INGESTA)Datos_consumo_datadis'!A20079&lt;&gt;"""",SPLIT('(INGESTA)Datos_consumo_datadis'!A:A,"",""),"""")"),"")</f>
        <v/>
      </c>
      <c r="G18514" s="8" t="str">
        <f t="shared" si="1"/>
        <v/>
      </c>
      <c r="H18514" s="14" t="str">
        <f t="shared" si="2"/>
        <v/>
      </c>
      <c r="I18514" s="15" t="str">
        <f t="shared" si="3"/>
        <v/>
      </c>
    </row>
    <row r="18515">
      <c r="A18515" s="8" t="str">
        <f>IFERROR(__xludf.DUMMYFUNCTION("IF('(INGESTA)Datos_consumo_datadis'!A20080&lt;&gt;"""",SPLIT('(INGESTA)Datos_consumo_datadis'!A:A,"",""),"""")"),"")</f>
        <v/>
      </c>
      <c r="G18515" s="8" t="str">
        <f t="shared" si="1"/>
        <v/>
      </c>
      <c r="H18515" s="14" t="str">
        <f t="shared" si="2"/>
        <v/>
      </c>
      <c r="I18515" s="15" t="str">
        <f t="shared" si="3"/>
        <v/>
      </c>
    </row>
    <row r="18516">
      <c r="A18516" s="8" t="str">
        <f>IFERROR(__xludf.DUMMYFUNCTION("IF('(INGESTA)Datos_consumo_datadis'!A20081&lt;&gt;"""",SPLIT('(INGESTA)Datos_consumo_datadis'!A:A,"",""),"""")"),"")</f>
        <v/>
      </c>
      <c r="G18516" s="8" t="str">
        <f t="shared" si="1"/>
        <v/>
      </c>
      <c r="H18516" s="14" t="str">
        <f t="shared" si="2"/>
        <v/>
      </c>
      <c r="I18516" s="15" t="str">
        <f t="shared" si="3"/>
        <v/>
      </c>
    </row>
    <row r="18517">
      <c r="A18517" s="8" t="str">
        <f>IFERROR(__xludf.DUMMYFUNCTION("IF('(INGESTA)Datos_consumo_datadis'!A20082&lt;&gt;"""",SPLIT('(INGESTA)Datos_consumo_datadis'!A:A,"",""),"""")"),"")</f>
        <v/>
      </c>
      <c r="G18517" s="8" t="str">
        <f t="shared" si="1"/>
        <v/>
      </c>
      <c r="H18517" s="14" t="str">
        <f t="shared" si="2"/>
        <v/>
      </c>
      <c r="I18517" s="15" t="str">
        <f t="shared" si="3"/>
        <v/>
      </c>
    </row>
    <row r="18518">
      <c r="A18518" s="8" t="str">
        <f>IFERROR(__xludf.DUMMYFUNCTION("IF('(INGESTA)Datos_consumo_datadis'!A20083&lt;&gt;"""",SPLIT('(INGESTA)Datos_consumo_datadis'!A:A,"",""),"""")"),"")</f>
        <v/>
      </c>
      <c r="G18518" s="8" t="str">
        <f t="shared" si="1"/>
        <v/>
      </c>
      <c r="H18518" s="14" t="str">
        <f t="shared" si="2"/>
        <v/>
      </c>
      <c r="I18518" s="15" t="str">
        <f t="shared" si="3"/>
        <v/>
      </c>
    </row>
    <row r="18519">
      <c r="A18519" s="8" t="str">
        <f>IFERROR(__xludf.DUMMYFUNCTION("IF('(INGESTA)Datos_consumo_datadis'!A20084&lt;&gt;"""",SPLIT('(INGESTA)Datos_consumo_datadis'!A:A,"",""),"""")"),"")</f>
        <v/>
      </c>
      <c r="G18519" s="8" t="str">
        <f t="shared" si="1"/>
        <v/>
      </c>
      <c r="H18519" s="14" t="str">
        <f t="shared" si="2"/>
        <v/>
      </c>
      <c r="I18519" s="15" t="str">
        <f t="shared" si="3"/>
        <v/>
      </c>
    </row>
    <row r="18520">
      <c r="A18520" s="8" t="str">
        <f>IFERROR(__xludf.DUMMYFUNCTION("IF('(INGESTA)Datos_consumo_datadis'!A20085&lt;&gt;"""",SPLIT('(INGESTA)Datos_consumo_datadis'!A:A,"",""),"""")"),"")</f>
        <v/>
      </c>
      <c r="G18520" s="8" t="str">
        <f t="shared" si="1"/>
        <v/>
      </c>
      <c r="H18520" s="14" t="str">
        <f t="shared" si="2"/>
        <v/>
      </c>
      <c r="I18520" s="15" t="str">
        <f t="shared" si="3"/>
        <v/>
      </c>
    </row>
    <row r="18521">
      <c r="A18521" s="8" t="str">
        <f>IFERROR(__xludf.DUMMYFUNCTION("IF('(INGESTA)Datos_consumo_datadis'!A20086&lt;&gt;"""",SPLIT('(INGESTA)Datos_consumo_datadis'!A:A,"",""),"""")"),"")</f>
        <v/>
      </c>
      <c r="G18521" s="8" t="str">
        <f t="shared" si="1"/>
        <v/>
      </c>
      <c r="H18521" s="14" t="str">
        <f t="shared" si="2"/>
        <v/>
      </c>
      <c r="I18521" s="15" t="str">
        <f t="shared" si="3"/>
        <v/>
      </c>
    </row>
    <row r="18522">
      <c r="A18522" s="8" t="str">
        <f>IFERROR(__xludf.DUMMYFUNCTION("IF('(INGESTA)Datos_consumo_datadis'!A20087&lt;&gt;"""",SPLIT('(INGESTA)Datos_consumo_datadis'!A:A,"",""),"""")"),"")</f>
        <v/>
      </c>
      <c r="G18522" s="8" t="str">
        <f t="shared" si="1"/>
        <v/>
      </c>
      <c r="H18522" s="14" t="str">
        <f t="shared" si="2"/>
        <v/>
      </c>
      <c r="I18522" s="15" t="str">
        <f t="shared" si="3"/>
        <v/>
      </c>
    </row>
    <row r="18523">
      <c r="A18523" s="8" t="str">
        <f>IFERROR(__xludf.DUMMYFUNCTION("IF('(INGESTA)Datos_consumo_datadis'!A20088&lt;&gt;"""",SPLIT('(INGESTA)Datos_consumo_datadis'!A:A,"",""),"""")"),"")</f>
        <v/>
      </c>
      <c r="G18523" s="8" t="str">
        <f t="shared" si="1"/>
        <v/>
      </c>
      <c r="H18523" s="14" t="str">
        <f t="shared" si="2"/>
        <v/>
      </c>
      <c r="I18523" s="15" t="str">
        <f t="shared" si="3"/>
        <v/>
      </c>
    </row>
    <row r="18524">
      <c r="A18524" s="8" t="str">
        <f>IFERROR(__xludf.DUMMYFUNCTION("IF('(INGESTA)Datos_consumo_datadis'!A20089&lt;&gt;"""",SPLIT('(INGESTA)Datos_consumo_datadis'!A:A,"",""),"""")"),"")</f>
        <v/>
      </c>
      <c r="G18524" s="8" t="str">
        <f t="shared" si="1"/>
        <v/>
      </c>
      <c r="H18524" s="14" t="str">
        <f t="shared" si="2"/>
        <v/>
      </c>
      <c r="I18524" s="15" t="str">
        <f t="shared" si="3"/>
        <v/>
      </c>
    </row>
    <row r="18525">
      <c r="A18525" s="8" t="str">
        <f>IFERROR(__xludf.DUMMYFUNCTION("IF('(INGESTA)Datos_consumo_datadis'!A20090&lt;&gt;"""",SPLIT('(INGESTA)Datos_consumo_datadis'!A:A,"",""),"""")"),"")</f>
        <v/>
      </c>
      <c r="G18525" s="8" t="str">
        <f t="shared" si="1"/>
        <v/>
      </c>
      <c r="H18525" s="14" t="str">
        <f t="shared" si="2"/>
        <v/>
      </c>
      <c r="I18525" s="15" t="str">
        <f t="shared" si="3"/>
        <v/>
      </c>
    </row>
    <row r="18526">
      <c r="A18526" s="8" t="str">
        <f>IFERROR(__xludf.DUMMYFUNCTION("IF('(INGESTA)Datos_consumo_datadis'!A20091&lt;&gt;"""",SPLIT('(INGESTA)Datos_consumo_datadis'!A:A,"",""),"""")"),"")</f>
        <v/>
      </c>
      <c r="G18526" s="8" t="str">
        <f t="shared" si="1"/>
        <v/>
      </c>
      <c r="H18526" s="14" t="str">
        <f t="shared" si="2"/>
        <v/>
      </c>
      <c r="I18526" s="15" t="str">
        <f t="shared" si="3"/>
        <v/>
      </c>
    </row>
    <row r="18527">
      <c r="A18527" s="8" t="str">
        <f>IFERROR(__xludf.DUMMYFUNCTION("IF('(INGESTA)Datos_consumo_datadis'!A20092&lt;&gt;"""",SPLIT('(INGESTA)Datos_consumo_datadis'!A:A,"",""),"""")"),"")</f>
        <v/>
      </c>
      <c r="G18527" s="8" t="str">
        <f t="shared" si="1"/>
        <v/>
      </c>
      <c r="H18527" s="14" t="str">
        <f t="shared" si="2"/>
        <v/>
      </c>
      <c r="I18527" s="15" t="str">
        <f t="shared" si="3"/>
        <v/>
      </c>
    </row>
    <row r="18528">
      <c r="A18528" s="8" t="str">
        <f>IFERROR(__xludf.DUMMYFUNCTION("IF('(INGESTA)Datos_consumo_datadis'!A20093&lt;&gt;"""",SPLIT('(INGESTA)Datos_consumo_datadis'!A:A,"",""),"""")"),"")</f>
        <v/>
      </c>
      <c r="G18528" s="8" t="str">
        <f t="shared" si="1"/>
        <v/>
      </c>
      <c r="H18528" s="14" t="str">
        <f t="shared" si="2"/>
        <v/>
      </c>
      <c r="I18528" s="15" t="str">
        <f t="shared" si="3"/>
        <v/>
      </c>
    </row>
    <row r="18529">
      <c r="A18529" s="8" t="str">
        <f>IFERROR(__xludf.DUMMYFUNCTION("IF('(INGESTA)Datos_consumo_datadis'!A20094&lt;&gt;"""",SPLIT('(INGESTA)Datos_consumo_datadis'!A:A,"",""),"""")"),"")</f>
        <v/>
      </c>
      <c r="G18529" s="8" t="str">
        <f t="shared" si="1"/>
        <v/>
      </c>
      <c r="H18529" s="14" t="str">
        <f t="shared" si="2"/>
        <v/>
      </c>
      <c r="I18529" s="15" t="str">
        <f t="shared" si="3"/>
        <v/>
      </c>
    </row>
    <row r="18530">
      <c r="A18530" s="8" t="str">
        <f>IFERROR(__xludf.DUMMYFUNCTION("IF('(INGESTA)Datos_consumo_datadis'!A20095&lt;&gt;"""",SPLIT('(INGESTA)Datos_consumo_datadis'!A:A,"",""),"""")"),"")</f>
        <v/>
      </c>
      <c r="G18530" s="8" t="str">
        <f t="shared" si="1"/>
        <v/>
      </c>
      <c r="H18530" s="14" t="str">
        <f t="shared" si="2"/>
        <v/>
      </c>
      <c r="I18530" s="15" t="str">
        <f t="shared" si="3"/>
        <v/>
      </c>
    </row>
    <row r="18531">
      <c r="A18531" s="8" t="str">
        <f>IFERROR(__xludf.DUMMYFUNCTION("IF('(INGESTA)Datos_consumo_datadis'!A20096&lt;&gt;"""",SPLIT('(INGESTA)Datos_consumo_datadis'!A:A,"",""),"""")"),"")</f>
        <v/>
      </c>
      <c r="G18531" s="8" t="str">
        <f t="shared" si="1"/>
        <v/>
      </c>
      <c r="H18531" s="14" t="str">
        <f t="shared" si="2"/>
        <v/>
      </c>
      <c r="I18531" s="15" t="str">
        <f t="shared" si="3"/>
        <v/>
      </c>
    </row>
    <row r="18532">
      <c r="A18532" s="8" t="str">
        <f>IFERROR(__xludf.DUMMYFUNCTION("IF('(INGESTA)Datos_consumo_datadis'!A20097&lt;&gt;"""",SPLIT('(INGESTA)Datos_consumo_datadis'!A:A,"",""),"""")"),"")</f>
        <v/>
      </c>
      <c r="G18532" s="8" t="str">
        <f t="shared" si="1"/>
        <v/>
      </c>
      <c r="H18532" s="14" t="str">
        <f t="shared" si="2"/>
        <v/>
      </c>
      <c r="I18532" s="15" t="str">
        <f t="shared" si="3"/>
        <v/>
      </c>
    </row>
    <row r="18533">
      <c r="A18533" s="8" t="str">
        <f>IFERROR(__xludf.DUMMYFUNCTION("IF('(INGESTA)Datos_consumo_datadis'!A20098&lt;&gt;"""",SPLIT('(INGESTA)Datos_consumo_datadis'!A:A,"",""),"""")"),"")</f>
        <v/>
      </c>
      <c r="G18533" s="8" t="str">
        <f t="shared" si="1"/>
        <v/>
      </c>
      <c r="H18533" s="14" t="str">
        <f t="shared" si="2"/>
        <v/>
      </c>
      <c r="I18533" s="15" t="str">
        <f t="shared" si="3"/>
        <v/>
      </c>
    </row>
    <row r="18534">
      <c r="A18534" s="8" t="str">
        <f>IFERROR(__xludf.DUMMYFUNCTION("IF('(INGESTA)Datos_consumo_datadis'!A20099&lt;&gt;"""",SPLIT('(INGESTA)Datos_consumo_datadis'!A:A,"",""),"""")"),"")</f>
        <v/>
      </c>
      <c r="G18534" s="8" t="str">
        <f t="shared" si="1"/>
        <v/>
      </c>
      <c r="H18534" s="14" t="str">
        <f t="shared" si="2"/>
        <v/>
      </c>
      <c r="I18534" s="15" t="str">
        <f t="shared" si="3"/>
        <v/>
      </c>
    </row>
    <row r="18535">
      <c r="A18535" s="8" t="str">
        <f>IFERROR(__xludf.DUMMYFUNCTION("IF('(INGESTA)Datos_consumo_datadis'!A20100&lt;&gt;"""",SPLIT('(INGESTA)Datos_consumo_datadis'!A:A,"",""),"""")"),"")</f>
        <v/>
      </c>
      <c r="G18535" s="8" t="str">
        <f t="shared" si="1"/>
        <v/>
      </c>
      <c r="H18535" s="14" t="str">
        <f t="shared" si="2"/>
        <v/>
      </c>
      <c r="I18535" s="15" t="str">
        <f t="shared" si="3"/>
        <v/>
      </c>
    </row>
    <row r="18536">
      <c r="A18536" s="8" t="str">
        <f>IFERROR(__xludf.DUMMYFUNCTION("IF('(INGESTA)Datos_consumo_datadis'!A20101&lt;&gt;"""",SPLIT('(INGESTA)Datos_consumo_datadis'!A:A,"",""),"""")"),"")</f>
        <v/>
      </c>
      <c r="G18536" s="8" t="str">
        <f t="shared" si="1"/>
        <v/>
      </c>
      <c r="H18536" s="14" t="str">
        <f t="shared" si="2"/>
        <v/>
      </c>
      <c r="I18536" s="15" t="str">
        <f t="shared" si="3"/>
        <v/>
      </c>
    </row>
    <row r="18537">
      <c r="A18537" s="8" t="str">
        <f>IFERROR(__xludf.DUMMYFUNCTION("IF('(INGESTA)Datos_consumo_datadis'!A20102&lt;&gt;"""",SPLIT('(INGESTA)Datos_consumo_datadis'!A:A,"",""),"""")"),"")</f>
        <v/>
      </c>
      <c r="G18537" s="8" t="str">
        <f t="shared" si="1"/>
        <v/>
      </c>
      <c r="H18537" s="14" t="str">
        <f t="shared" si="2"/>
        <v/>
      </c>
      <c r="I18537" s="15" t="str">
        <f t="shared" si="3"/>
        <v/>
      </c>
    </row>
    <row r="18538">
      <c r="A18538" s="8" t="str">
        <f>IFERROR(__xludf.DUMMYFUNCTION("IF('(INGESTA)Datos_consumo_datadis'!A20103&lt;&gt;"""",SPLIT('(INGESTA)Datos_consumo_datadis'!A:A,"",""),"""")"),"")</f>
        <v/>
      </c>
      <c r="G18538" s="8" t="str">
        <f t="shared" si="1"/>
        <v/>
      </c>
      <c r="H18538" s="14" t="str">
        <f t="shared" si="2"/>
        <v/>
      </c>
      <c r="I18538" s="15" t="str">
        <f t="shared" si="3"/>
        <v/>
      </c>
    </row>
    <row r="18539">
      <c r="A18539" s="8" t="str">
        <f>IFERROR(__xludf.DUMMYFUNCTION("IF('(INGESTA)Datos_consumo_datadis'!A20104&lt;&gt;"""",SPLIT('(INGESTA)Datos_consumo_datadis'!A:A,"",""),"""")"),"")</f>
        <v/>
      </c>
      <c r="G18539" s="8" t="str">
        <f t="shared" si="1"/>
        <v/>
      </c>
      <c r="H18539" s="14" t="str">
        <f t="shared" si="2"/>
        <v/>
      </c>
      <c r="I18539" s="15" t="str">
        <f t="shared" si="3"/>
        <v/>
      </c>
    </row>
    <row r="18540">
      <c r="A18540" s="8" t="str">
        <f>IFERROR(__xludf.DUMMYFUNCTION("IF('(INGESTA)Datos_consumo_datadis'!A20105&lt;&gt;"""",SPLIT('(INGESTA)Datos_consumo_datadis'!A:A,"",""),"""")"),"")</f>
        <v/>
      </c>
      <c r="G18540" s="8" t="str">
        <f t="shared" si="1"/>
        <v/>
      </c>
      <c r="H18540" s="14" t="str">
        <f t="shared" si="2"/>
        <v/>
      </c>
      <c r="I18540" s="15" t="str">
        <f t="shared" si="3"/>
        <v/>
      </c>
    </row>
    <row r="18541">
      <c r="A18541" s="8" t="str">
        <f>IFERROR(__xludf.DUMMYFUNCTION("IF('(INGESTA)Datos_consumo_datadis'!A20106&lt;&gt;"""",SPLIT('(INGESTA)Datos_consumo_datadis'!A:A,"",""),"""")"),"")</f>
        <v/>
      </c>
      <c r="G18541" s="8" t="str">
        <f t="shared" si="1"/>
        <v/>
      </c>
      <c r="H18541" s="14" t="str">
        <f t="shared" si="2"/>
        <v/>
      </c>
      <c r="I18541" s="15" t="str">
        <f t="shared" si="3"/>
        <v/>
      </c>
    </row>
    <row r="18542">
      <c r="A18542" s="8" t="str">
        <f>IFERROR(__xludf.DUMMYFUNCTION("IF('(INGESTA)Datos_consumo_datadis'!A20107&lt;&gt;"""",SPLIT('(INGESTA)Datos_consumo_datadis'!A:A,"",""),"""")"),"")</f>
        <v/>
      </c>
      <c r="G18542" s="8" t="str">
        <f t="shared" si="1"/>
        <v/>
      </c>
      <c r="H18542" s="14" t="str">
        <f t="shared" si="2"/>
        <v/>
      </c>
      <c r="I18542" s="15" t="str">
        <f t="shared" si="3"/>
        <v/>
      </c>
    </row>
    <row r="18543">
      <c r="A18543" s="8" t="str">
        <f>IFERROR(__xludf.DUMMYFUNCTION("IF('(INGESTA)Datos_consumo_datadis'!A20108&lt;&gt;"""",SPLIT('(INGESTA)Datos_consumo_datadis'!A:A,"",""),"""")"),"")</f>
        <v/>
      </c>
      <c r="G18543" s="8" t="str">
        <f t="shared" si="1"/>
        <v/>
      </c>
      <c r="H18543" s="14" t="str">
        <f t="shared" si="2"/>
        <v/>
      </c>
      <c r="I18543" s="15" t="str">
        <f t="shared" si="3"/>
        <v/>
      </c>
    </row>
    <row r="18544">
      <c r="A18544" s="8" t="str">
        <f>IFERROR(__xludf.DUMMYFUNCTION("IF('(INGESTA)Datos_consumo_datadis'!A20109&lt;&gt;"""",SPLIT('(INGESTA)Datos_consumo_datadis'!A:A,"",""),"""")"),"")</f>
        <v/>
      </c>
      <c r="G18544" s="8" t="str">
        <f t="shared" si="1"/>
        <v/>
      </c>
      <c r="H18544" s="14" t="str">
        <f t="shared" si="2"/>
        <v/>
      </c>
      <c r="I18544" s="15" t="str">
        <f t="shared" si="3"/>
        <v/>
      </c>
    </row>
    <row r="18545">
      <c r="A18545" s="8" t="str">
        <f>IFERROR(__xludf.DUMMYFUNCTION("IF('(INGESTA)Datos_consumo_datadis'!A20110&lt;&gt;"""",SPLIT('(INGESTA)Datos_consumo_datadis'!A:A,"",""),"""")"),"")</f>
        <v/>
      </c>
      <c r="G18545" s="8" t="str">
        <f t="shared" si="1"/>
        <v/>
      </c>
      <c r="H18545" s="14" t="str">
        <f t="shared" si="2"/>
        <v/>
      </c>
      <c r="I18545" s="15" t="str">
        <f t="shared" si="3"/>
        <v/>
      </c>
    </row>
    <row r="18546">
      <c r="A18546" s="8" t="str">
        <f>IFERROR(__xludf.DUMMYFUNCTION("IF('(INGESTA)Datos_consumo_datadis'!A20111&lt;&gt;"""",SPLIT('(INGESTA)Datos_consumo_datadis'!A:A,"",""),"""")"),"")</f>
        <v/>
      </c>
      <c r="G18546" s="8" t="str">
        <f t="shared" si="1"/>
        <v/>
      </c>
      <c r="H18546" s="14" t="str">
        <f t="shared" si="2"/>
        <v/>
      </c>
      <c r="I18546" s="15" t="str">
        <f t="shared" si="3"/>
        <v/>
      </c>
    </row>
    <row r="18547">
      <c r="A18547" s="8" t="str">
        <f>IFERROR(__xludf.DUMMYFUNCTION("IF('(INGESTA)Datos_consumo_datadis'!A20112&lt;&gt;"""",SPLIT('(INGESTA)Datos_consumo_datadis'!A:A,"",""),"""")"),"")</f>
        <v/>
      </c>
      <c r="G18547" s="8" t="str">
        <f t="shared" si="1"/>
        <v/>
      </c>
      <c r="H18547" s="14" t="str">
        <f t="shared" si="2"/>
        <v/>
      </c>
      <c r="I18547" s="15" t="str">
        <f t="shared" si="3"/>
        <v/>
      </c>
    </row>
    <row r="18548">
      <c r="A18548" s="8" t="str">
        <f>IFERROR(__xludf.DUMMYFUNCTION("IF('(INGESTA)Datos_consumo_datadis'!A20113&lt;&gt;"""",SPLIT('(INGESTA)Datos_consumo_datadis'!A:A,"",""),"""")"),"")</f>
        <v/>
      </c>
      <c r="G18548" s="8" t="str">
        <f t="shared" si="1"/>
        <v/>
      </c>
      <c r="H18548" s="14" t="str">
        <f t="shared" si="2"/>
        <v/>
      </c>
      <c r="I18548" s="15" t="str">
        <f t="shared" si="3"/>
        <v/>
      </c>
    </row>
    <row r="18549">
      <c r="A18549" s="8" t="str">
        <f>IFERROR(__xludf.DUMMYFUNCTION("IF('(INGESTA)Datos_consumo_datadis'!A20114&lt;&gt;"""",SPLIT('(INGESTA)Datos_consumo_datadis'!A:A,"",""),"""")"),"")</f>
        <v/>
      </c>
      <c r="G18549" s="8" t="str">
        <f t="shared" si="1"/>
        <v/>
      </c>
      <c r="H18549" s="14" t="str">
        <f t="shared" si="2"/>
        <v/>
      </c>
      <c r="I18549" s="15" t="str">
        <f t="shared" si="3"/>
        <v/>
      </c>
    </row>
    <row r="18550">
      <c r="A18550" s="8" t="str">
        <f>IFERROR(__xludf.DUMMYFUNCTION("IF('(INGESTA)Datos_consumo_datadis'!A20115&lt;&gt;"""",SPLIT('(INGESTA)Datos_consumo_datadis'!A:A,"",""),"""")"),"")</f>
        <v/>
      </c>
      <c r="G18550" s="8" t="str">
        <f t="shared" si="1"/>
        <v/>
      </c>
      <c r="H18550" s="14" t="str">
        <f t="shared" si="2"/>
        <v/>
      </c>
      <c r="I18550" s="15" t="str">
        <f t="shared" si="3"/>
        <v/>
      </c>
    </row>
    <row r="18551">
      <c r="A18551" s="8" t="str">
        <f>IFERROR(__xludf.DUMMYFUNCTION("IF('(INGESTA)Datos_consumo_datadis'!A20116&lt;&gt;"""",SPLIT('(INGESTA)Datos_consumo_datadis'!A:A,"",""),"""")"),"")</f>
        <v/>
      </c>
      <c r="G18551" s="8" t="str">
        <f t="shared" si="1"/>
        <v/>
      </c>
      <c r="H18551" s="14" t="str">
        <f t="shared" si="2"/>
        <v/>
      </c>
      <c r="I18551" s="15" t="str">
        <f t="shared" si="3"/>
        <v/>
      </c>
    </row>
    <row r="18552">
      <c r="A18552" s="8" t="str">
        <f>IFERROR(__xludf.DUMMYFUNCTION("IF('(INGESTA)Datos_consumo_datadis'!A20117&lt;&gt;"""",SPLIT('(INGESTA)Datos_consumo_datadis'!A:A,"",""),"""")"),"")</f>
        <v/>
      </c>
      <c r="G18552" s="8" t="str">
        <f t="shared" si="1"/>
        <v/>
      </c>
      <c r="H18552" s="14" t="str">
        <f t="shared" si="2"/>
        <v/>
      </c>
      <c r="I18552" s="15" t="str">
        <f t="shared" si="3"/>
        <v/>
      </c>
    </row>
    <row r="18553">
      <c r="A18553" s="8" t="str">
        <f>IFERROR(__xludf.DUMMYFUNCTION("IF('(INGESTA)Datos_consumo_datadis'!A20118&lt;&gt;"""",SPLIT('(INGESTA)Datos_consumo_datadis'!A:A,"",""),"""")"),"")</f>
        <v/>
      </c>
      <c r="G18553" s="8" t="str">
        <f t="shared" si="1"/>
        <v/>
      </c>
      <c r="H18553" s="14" t="str">
        <f t="shared" si="2"/>
        <v/>
      </c>
      <c r="I18553" s="15" t="str">
        <f t="shared" si="3"/>
        <v/>
      </c>
    </row>
    <row r="18554">
      <c r="A18554" s="8" t="str">
        <f>IFERROR(__xludf.DUMMYFUNCTION("IF('(INGESTA)Datos_consumo_datadis'!A20119&lt;&gt;"""",SPLIT('(INGESTA)Datos_consumo_datadis'!A:A,"",""),"""")"),"")</f>
        <v/>
      </c>
      <c r="G18554" s="8" t="str">
        <f t="shared" si="1"/>
        <v/>
      </c>
      <c r="H18554" s="14" t="str">
        <f t="shared" si="2"/>
        <v/>
      </c>
      <c r="I18554" s="15" t="str">
        <f t="shared" si="3"/>
        <v/>
      </c>
    </row>
    <row r="18555">
      <c r="A18555" s="8" t="str">
        <f>IFERROR(__xludf.DUMMYFUNCTION("IF('(INGESTA)Datos_consumo_datadis'!A20120&lt;&gt;"""",SPLIT('(INGESTA)Datos_consumo_datadis'!A:A,"",""),"""")"),"")</f>
        <v/>
      </c>
      <c r="G18555" s="8" t="str">
        <f t="shared" si="1"/>
        <v/>
      </c>
      <c r="H18555" s="14" t="str">
        <f t="shared" si="2"/>
        <v/>
      </c>
      <c r="I18555" s="15" t="str">
        <f t="shared" si="3"/>
        <v/>
      </c>
    </row>
    <row r="18556">
      <c r="A18556" s="8" t="str">
        <f>IFERROR(__xludf.DUMMYFUNCTION("IF('(INGESTA)Datos_consumo_datadis'!A20121&lt;&gt;"""",SPLIT('(INGESTA)Datos_consumo_datadis'!A:A,"",""),"""")"),"")</f>
        <v/>
      </c>
      <c r="G18556" s="8" t="str">
        <f t="shared" si="1"/>
        <v/>
      </c>
      <c r="H18556" s="14" t="str">
        <f t="shared" si="2"/>
        <v/>
      </c>
      <c r="I18556" s="15" t="str">
        <f t="shared" si="3"/>
        <v/>
      </c>
    </row>
    <row r="18557">
      <c r="A18557" s="8" t="str">
        <f>IFERROR(__xludf.DUMMYFUNCTION("IF('(INGESTA)Datos_consumo_datadis'!A20122&lt;&gt;"""",SPLIT('(INGESTA)Datos_consumo_datadis'!A:A,"",""),"""")"),"")</f>
        <v/>
      </c>
      <c r="G18557" s="8" t="str">
        <f t="shared" si="1"/>
        <v/>
      </c>
      <c r="H18557" s="14" t="str">
        <f t="shared" si="2"/>
        <v/>
      </c>
      <c r="I18557" s="15" t="str">
        <f t="shared" si="3"/>
        <v/>
      </c>
    </row>
    <row r="18558">
      <c r="A18558" s="8" t="str">
        <f>IFERROR(__xludf.DUMMYFUNCTION("IF('(INGESTA)Datos_consumo_datadis'!A20123&lt;&gt;"""",SPLIT('(INGESTA)Datos_consumo_datadis'!A:A,"",""),"""")"),"")</f>
        <v/>
      </c>
      <c r="G18558" s="8" t="str">
        <f t="shared" si="1"/>
        <v/>
      </c>
      <c r="H18558" s="14" t="str">
        <f t="shared" si="2"/>
        <v/>
      </c>
      <c r="I18558" s="15" t="str">
        <f t="shared" si="3"/>
        <v/>
      </c>
    </row>
    <row r="18559">
      <c r="A18559" s="8" t="str">
        <f>IFERROR(__xludf.DUMMYFUNCTION("IF('(INGESTA)Datos_consumo_datadis'!A20124&lt;&gt;"""",SPLIT('(INGESTA)Datos_consumo_datadis'!A:A,"",""),"""")"),"")</f>
        <v/>
      </c>
      <c r="G18559" s="8" t="str">
        <f t="shared" si="1"/>
        <v/>
      </c>
      <c r="H18559" s="14" t="str">
        <f t="shared" si="2"/>
        <v/>
      </c>
      <c r="I18559" s="15" t="str">
        <f t="shared" si="3"/>
        <v/>
      </c>
    </row>
    <row r="18560">
      <c r="A18560" s="8" t="str">
        <f>IFERROR(__xludf.DUMMYFUNCTION("IF('(INGESTA)Datos_consumo_datadis'!A20125&lt;&gt;"""",SPLIT('(INGESTA)Datos_consumo_datadis'!A:A,"",""),"""")"),"")</f>
        <v/>
      </c>
      <c r="G18560" s="8" t="str">
        <f t="shared" si="1"/>
        <v/>
      </c>
      <c r="H18560" s="14" t="str">
        <f t="shared" si="2"/>
        <v/>
      </c>
      <c r="I18560" s="15" t="str">
        <f t="shared" si="3"/>
        <v/>
      </c>
    </row>
    <row r="18561">
      <c r="A18561" s="8" t="str">
        <f>IFERROR(__xludf.DUMMYFUNCTION("IF('(INGESTA)Datos_consumo_datadis'!A20126&lt;&gt;"""",SPLIT('(INGESTA)Datos_consumo_datadis'!A:A,"",""),"""")"),"")</f>
        <v/>
      </c>
      <c r="G18561" s="8" t="str">
        <f t="shared" si="1"/>
        <v/>
      </c>
      <c r="H18561" s="14" t="str">
        <f t="shared" si="2"/>
        <v/>
      </c>
      <c r="I18561" s="15" t="str">
        <f t="shared" si="3"/>
        <v/>
      </c>
    </row>
    <row r="18562">
      <c r="A18562" s="8" t="str">
        <f>IFERROR(__xludf.DUMMYFUNCTION("IF('(INGESTA)Datos_consumo_datadis'!A20127&lt;&gt;"""",SPLIT('(INGESTA)Datos_consumo_datadis'!A:A,"",""),"""")"),"")</f>
        <v/>
      </c>
      <c r="G18562" s="8" t="str">
        <f t="shared" si="1"/>
        <v/>
      </c>
      <c r="H18562" s="14" t="str">
        <f t="shared" si="2"/>
        <v/>
      </c>
      <c r="I18562" s="15" t="str">
        <f t="shared" si="3"/>
        <v/>
      </c>
    </row>
    <row r="18563">
      <c r="A18563" s="8" t="str">
        <f>IFERROR(__xludf.DUMMYFUNCTION("IF('(INGESTA)Datos_consumo_datadis'!A20128&lt;&gt;"""",SPLIT('(INGESTA)Datos_consumo_datadis'!A:A,"",""),"""")"),"")</f>
        <v/>
      </c>
      <c r="G18563" s="8" t="str">
        <f t="shared" si="1"/>
        <v/>
      </c>
      <c r="H18563" s="14" t="str">
        <f t="shared" si="2"/>
        <v/>
      </c>
      <c r="I18563" s="15" t="str">
        <f t="shared" si="3"/>
        <v/>
      </c>
    </row>
    <row r="18564">
      <c r="A18564" s="8" t="str">
        <f>IFERROR(__xludf.DUMMYFUNCTION("IF('(INGESTA)Datos_consumo_datadis'!A20129&lt;&gt;"""",SPLIT('(INGESTA)Datos_consumo_datadis'!A:A,"",""),"""")"),"")</f>
        <v/>
      </c>
      <c r="G18564" s="8" t="str">
        <f t="shared" si="1"/>
        <v/>
      </c>
      <c r="H18564" s="14" t="str">
        <f t="shared" si="2"/>
        <v/>
      </c>
      <c r="I18564" s="15" t="str">
        <f t="shared" si="3"/>
        <v/>
      </c>
    </row>
    <row r="18565">
      <c r="A18565" s="8" t="str">
        <f>IFERROR(__xludf.DUMMYFUNCTION("IF('(INGESTA)Datos_consumo_datadis'!A20130&lt;&gt;"""",SPLIT('(INGESTA)Datos_consumo_datadis'!A:A,"",""),"""")"),"")</f>
        <v/>
      </c>
      <c r="G18565" s="8" t="str">
        <f t="shared" si="1"/>
        <v/>
      </c>
      <c r="H18565" s="14" t="str">
        <f t="shared" si="2"/>
        <v/>
      </c>
      <c r="I18565" s="15" t="str">
        <f t="shared" si="3"/>
        <v/>
      </c>
    </row>
    <row r="18566">
      <c r="A18566" s="8" t="str">
        <f>IFERROR(__xludf.DUMMYFUNCTION("IF('(INGESTA)Datos_consumo_datadis'!A20131&lt;&gt;"""",SPLIT('(INGESTA)Datos_consumo_datadis'!A:A,"",""),"""")"),"")</f>
        <v/>
      </c>
      <c r="G18566" s="8" t="str">
        <f t="shared" si="1"/>
        <v/>
      </c>
      <c r="H18566" s="14" t="str">
        <f t="shared" si="2"/>
        <v/>
      </c>
      <c r="I18566" s="15" t="str">
        <f t="shared" si="3"/>
        <v/>
      </c>
    </row>
    <row r="18567">
      <c r="A18567" s="8" t="str">
        <f>IFERROR(__xludf.DUMMYFUNCTION("IF('(INGESTA)Datos_consumo_datadis'!A20132&lt;&gt;"""",SPLIT('(INGESTA)Datos_consumo_datadis'!A:A,"",""),"""")"),"")</f>
        <v/>
      </c>
      <c r="G18567" s="8" t="str">
        <f t="shared" si="1"/>
        <v/>
      </c>
      <c r="H18567" s="14" t="str">
        <f t="shared" si="2"/>
        <v/>
      </c>
      <c r="I18567" s="15" t="str">
        <f t="shared" si="3"/>
        <v/>
      </c>
    </row>
    <row r="18568">
      <c r="A18568" s="8" t="str">
        <f>IFERROR(__xludf.DUMMYFUNCTION("IF('(INGESTA)Datos_consumo_datadis'!A20133&lt;&gt;"""",SPLIT('(INGESTA)Datos_consumo_datadis'!A:A,"",""),"""")"),"")</f>
        <v/>
      </c>
      <c r="G18568" s="8" t="str">
        <f t="shared" si="1"/>
        <v/>
      </c>
      <c r="H18568" s="14" t="str">
        <f t="shared" si="2"/>
        <v/>
      </c>
      <c r="I18568" s="15" t="str">
        <f t="shared" si="3"/>
        <v/>
      </c>
    </row>
    <row r="18569">
      <c r="A18569" s="8" t="str">
        <f>IFERROR(__xludf.DUMMYFUNCTION("IF('(INGESTA)Datos_consumo_datadis'!A20134&lt;&gt;"""",SPLIT('(INGESTA)Datos_consumo_datadis'!A:A,"",""),"""")"),"")</f>
        <v/>
      </c>
      <c r="G18569" s="8" t="str">
        <f t="shared" si="1"/>
        <v/>
      </c>
      <c r="H18569" s="14" t="str">
        <f t="shared" si="2"/>
        <v/>
      </c>
      <c r="I18569" s="15" t="str">
        <f t="shared" si="3"/>
        <v/>
      </c>
    </row>
    <row r="18570">
      <c r="A18570" s="8" t="str">
        <f>IFERROR(__xludf.DUMMYFUNCTION("IF('(INGESTA)Datos_consumo_datadis'!A20135&lt;&gt;"""",SPLIT('(INGESTA)Datos_consumo_datadis'!A:A,"",""),"""")"),"")</f>
        <v/>
      </c>
      <c r="G18570" s="8" t="str">
        <f t="shared" si="1"/>
        <v/>
      </c>
      <c r="H18570" s="14" t="str">
        <f t="shared" si="2"/>
        <v/>
      </c>
      <c r="I18570" s="15" t="str">
        <f t="shared" si="3"/>
        <v/>
      </c>
    </row>
    <row r="18571">
      <c r="A18571" s="8" t="str">
        <f>IFERROR(__xludf.DUMMYFUNCTION("IF('(INGESTA)Datos_consumo_datadis'!A20136&lt;&gt;"""",SPLIT('(INGESTA)Datos_consumo_datadis'!A:A,"",""),"""")"),"")</f>
        <v/>
      </c>
      <c r="G18571" s="8" t="str">
        <f t="shared" si="1"/>
        <v/>
      </c>
      <c r="H18571" s="14" t="str">
        <f t="shared" si="2"/>
        <v/>
      </c>
      <c r="I18571" s="15" t="str">
        <f t="shared" si="3"/>
        <v/>
      </c>
    </row>
    <row r="18572">
      <c r="A18572" s="8" t="str">
        <f>IFERROR(__xludf.DUMMYFUNCTION("IF('(INGESTA)Datos_consumo_datadis'!A20137&lt;&gt;"""",SPLIT('(INGESTA)Datos_consumo_datadis'!A:A,"",""),"""")"),"")</f>
        <v/>
      </c>
      <c r="G18572" s="8" t="str">
        <f t="shared" si="1"/>
        <v/>
      </c>
      <c r="H18572" s="14" t="str">
        <f t="shared" si="2"/>
        <v/>
      </c>
      <c r="I18572" s="15" t="str">
        <f t="shared" si="3"/>
        <v/>
      </c>
    </row>
    <row r="18573">
      <c r="A18573" s="8" t="str">
        <f>IFERROR(__xludf.DUMMYFUNCTION("IF('(INGESTA)Datos_consumo_datadis'!A20138&lt;&gt;"""",SPLIT('(INGESTA)Datos_consumo_datadis'!A:A,"",""),"""")"),"")</f>
        <v/>
      </c>
      <c r="G18573" s="8" t="str">
        <f t="shared" si="1"/>
        <v/>
      </c>
      <c r="H18573" s="14" t="str">
        <f t="shared" si="2"/>
        <v/>
      </c>
      <c r="I18573" s="15" t="str">
        <f t="shared" si="3"/>
        <v/>
      </c>
    </row>
    <row r="18574">
      <c r="A18574" s="8" t="str">
        <f>IFERROR(__xludf.DUMMYFUNCTION("IF('(INGESTA)Datos_consumo_datadis'!A20139&lt;&gt;"""",SPLIT('(INGESTA)Datos_consumo_datadis'!A:A,"",""),"""")"),"")</f>
        <v/>
      </c>
      <c r="G18574" s="8" t="str">
        <f t="shared" si="1"/>
        <v/>
      </c>
      <c r="H18574" s="14" t="str">
        <f t="shared" si="2"/>
        <v/>
      </c>
      <c r="I18574" s="15" t="str">
        <f t="shared" si="3"/>
        <v/>
      </c>
    </row>
    <row r="18575">
      <c r="A18575" s="8" t="str">
        <f>IFERROR(__xludf.DUMMYFUNCTION("IF('(INGESTA)Datos_consumo_datadis'!A20140&lt;&gt;"""",SPLIT('(INGESTA)Datos_consumo_datadis'!A:A,"",""),"""")"),"")</f>
        <v/>
      </c>
      <c r="G18575" s="8" t="str">
        <f t="shared" si="1"/>
        <v/>
      </c>
      <c r="H18575" s="14" t="str">
        <f t="shared" si="2"/>
        <v/>
      </c>
      <c r="I18575" s="15" t="str">
        <f t="shared" si="3"/>
        <v/>
      </c>
    </row>
    <row r="18576">
      <c r="A18576" s="8" t="str">
        <f>IFERROR(__xludf.DUMMYFUNCTION("IF('(INGESTA)Datos_consumo_datadis'!A20141&lt;&gt;"""",SPLIT('(INGESTA)Datos_consumo_datadis'!A:A,"",""),"""")"),"")</f>
        <v/>
      </c>
      <c r="G18576" s="8" t="str">
        <f t="shared" si="1"/>
        <v/>
      </c>
      <c r="H18576" s="14" t="str">
        <f t="shared" si="2"/>
        <v/>
      </c>
      <c r="I18576" s="15" t="str">
        <f t="shared" si="3"/>
        <v/>
      </c>
    </row>
    <row r="18577">
      <c r="A18577" s="8" t="str">
        <f>IFERROR(__xludf.DUMMYFUNCTION("IF('(INGESTA)Datos_consumo_datadis'!A20142&lt;&gt;"""",SPLIT('(INGESTA)Datos_consumo_datadis'!A:A,"",""),"""")"),"")</f>
        <v/>
      </c>
      <c r="G18577" s="8" t="str">
        <f t="shared" si="1"/>
        <v/>
      </c>
      <c r="H18577" s="14" t="str">
        <f t="shared" si="2"/>
        <v/>
      </c>
      <c r="I18577" s="15" t="str">
        <f t="shared" si="3"/>
        <v/>
      </c>
    </row>
    <row r="18578">
      <c r="A18578" s="8" t="str">
        <f>IFERROR(__xludf.DUMMYFUNCTION("IF('(INGESTA)Datos_consumo_datadis'!A20143&lt;&gt;"""",SPLIT('(INGESTA)Datos_consumo_datadis'!A:A,"",""),"""")"),"")</f>
        <v/>
      </c>
      <c r="G18578" s="8" t="str">
        <f t="shared" si="1"/>
        <v/>
      </c>
      <c r="H18578" s="14" t="str">
        <f t="shared" si="2"/>
        <v/>
      </c>
      <c r="I18578" s="15" t="str">
        <f t="shared" si="3"/>
        <v/>
      </c>
    </row>
    <row r="18579">
      <c r="A18579" s="8" t="str">
        <f>IFERROR(__xludf.DUMMYFUNCTION("IF('(INGESTA)Datos_consumo_datadis'!A20144&lt;&gt;"""",SPLIT('(INGESTA)Datos_consumo_datadis'!A:A,"",""),"""")"),"")</f>
        <v/>
      </c>
      <c r="G18579" s="8" t="str">
        <f t="shared" si="1"/>
        <v/>
      </c>
      <c r="H18579" s="14" t="str">
        <f t="shared" si="2"/>
        <v/>
      </c>
      <c r="I18579" s="15" t="str">
        <f t="shared" si="3"/>
        <v/>
      </c>
    </row>
    <row r="18580">
      <c r="A18580" s="8" t="str">
        <f>IFERROR(__xludf.DUMMYFUNCTION("IF('(INGESTA)Datos_consumo_datadis'!A20145&lt;&gt;"""",SPLIT('(INGESTA)Datos_consumo_datadis'!A:A,"",""),"""")"),"")</f>
        <v/>
      </c>
      <c r="G18580" s="8" t="str">
        <f t="shared" si="1"/>
        <v/>
      </c>
      <c r="H18580" s="14" t="str">
        <f t="shared" si="2"/>
        <v/>
      </c>
      <c r="I18580" s="15" t="str">
        <f t="shared" si="3"/>
        <v/>
      </c>
    </row>
    <row r="18581">
      <c r="A18581" s="8" t="str">
        <f>IFERROR(__xludf.DUMMYFUNCTION("IF('(INGESTA)Datos_consumo_datadis'!A20146&lt;&gt;"""",SPLIT('(INGESTA)Datos_consumo_datadis'!A:A,"",""),"""")"),"")</f>
        <v/>
      </c>
      <c r="G18581" s="8" t="str">
        <f t="shared" si="1"/>
        <v/>
      </c>
      <c r="H18581" s="14" t="str">
        <f t="shared" si="2"/>
        <v/>
      </c>
      <c r="I18581" s="15" t="str">
        <f t="shared" si="3"/>
        <v/>
      </c>
    </row>
    <row r="18582">
      <c r="A18582" s="8" t="str">
        <f>IFERROR(__xludf.DUMMYFUNCTION("IF('(INGESTA)Datos_consumo_datadis'!A20147&lt;&gt;"""",SPLIT('(INGESTA)Datos_consumo_datadis'!A:A,"",""),"""")"),"")</f>
        <v/>
      </c>
      <c r="G18582" s="8" t="str">
        <f t="shared" si="1"/>
        <v/>
      </c>
      <c r="H18582" s="14" t="str">
        <f t="shared" si="2"/>
        <v/>
      </c>
      <c r="I18582" s="15" t="str">
        <f t="shared" si="3"/>
        <v/>
      </c>
    </row>
    <row r="18583">
      <c r="A18583" s="8" t="str">
        <f>IFERROR(__xludf.DUMMYFUNCTION("IF('(INGESTA)Datos_consumo_datadis'!A20148&lt;&gt;"""",SPLIT('(INGESTA)Datos_consumo_datadis'!A:A,"",""),"""")"),"")</f>
        <v/>
      </c>
      <c r="G18583" s="8" t="str">
        <f t="shared" si="1"/>
        <v/>
      </c>
      <c r="H18583" s="14" t="str">
        <f t="shared" si="2"/>
        <v/>
      </c>
      <c r="I18583" s="15" t="str">
        <f t="shared" si="3"/>
        <v/>
      </c>
    </row>
    <row r="18584">
      <c r="A18584" s="8" t="str">
        <f>IFERROR(__xludf.DUMMYFUNCTION("IF('(INGESTA)Datos_consumo_datadis'!A20149&lt;&gt;"""",SPLIT('(INGESTA)Datos_consumo_datadis'!A:A,"",""),"""")"),"")</f>
        <v/>
      </c>
      <c r="G18584" s="8" t="str">
        <f t="shared" si="1"/>
        <v/>
      </c>
      <c r="H18584" s="14" t="str">
        <f t="shared" si="2"/>
        <v/>
      </c>
      <c r="I18584" s="15" t="str">
        <f t="shared" si="3"/>
        <v/>
      </c>
    </row>
    <row r="18585">
      <c r="A18585" s="8" t="str">
        <f>IFERROR(__xludf.DUMMYFUNCTION("IF('(INGESTA)Datos_consumo_datadis'!A20150&lt;&gt;"""",SPLIT('(INGESTA)Datos_consumo_datadis'!A:A,"",""),"""")"),"")</f>
        <v/>
      </c>
      <c r="G18585" s="8" t="str">
        <f t="shared" si="1"/>
        <v/>
      </c>
      <c r="H18585" s="14" t="str">
        <f t="shared" si="2"/>
        <v/>
      </c>
      <c r="I18585" s="15" t="str">
        <f t="shared" si="3"/>
        <v/>
      </c>
    </row>
    <row r="18586">
      <c r="A18586" s="8" t="str">
        <f>IFERROR(__xludf.DUMMYFUNCTION("IF('(INGESTA)Datos_consumo_datadis'!A20151&lt;&gt;"""",SPLIT('(INGESTA)Datos_consumo_datadis'!A:A,"",""),"""")"),"")</f>
        <v/>
      </c>
      <c r="G18586" s="8" t="str">
        <f t="shared" si="1"/>
        <v/>
      </c>
      <c r="H18586" s="14" t="str">
        <f t="shared" si="2"/>
        <v/>
      </c>
      <c r="I18586" s="15" t="str">
        <f t="shared" si="3"/>
        <v/>
      </c>
    </row>
    <row r="18587">
      <c r="A18587" s="8" t="str">
        <f>IFERROR(__xludf.DUMMYFUNCTION("IF('(INGESTA)Datos_consumo_datadis'!A20152&lt;&gt;"""",SPLIT('(INGESTA)Datos_consumo_datadis'!A:A,"",""),"""")"),"")</f>
        <v/>
      </c>
      <c r="G18587" s="8" t="str">
        <f t="shared" si="1"/>
        <v/>
      </c>
      <c r="H18587" s="14" t="str">
        <f t="shared" si="2"/>
        <v/>
      </c>
      <c r="I18587" s="15" t="str">
        <f t="shared" si="3"/>
        <v/>
      </c>
    </row>
    <row r="18588">
      <c r="A18588" s="8" t="str">
        <f>IFERROR(__xludf.DUMMYFUNCTION("IF('(INGESTA)Datos_consumo_datadis'!A20153&lt;&gt;"""",SPLIT('(INGESTA)Datos_consumo_datadis'!A:A,"",""),"""")"),"")</f>
        <v/>
      </c>
      <c r="G18588" s="8" t="str">
        <f t="shared" si="1"/>
        <v/>
      </c>
      <c r="H18588" s="14" t="str">
        <f t="shared" si="2"/>
        <v/>
      </c>
      <c r="I18588" s="15" t="str">
        <f t="shared" si="3"/>
        <v/>
      </c>
    </row>
    <row r="18589">
      <c r="A18589" s="8" t="str">
        <f>IFERROR(__xludf.DUMMYFUNCTION("IF('(INGESTA)Datos_consumo_datadis'!A20154&lt;&gt;"""",SPLIT('(INGESTA)Datos_consumo_datadis'!A:A,"",""),"""")"),"")</f>
        <v/>
      </c>
      <c r="G18589" s="8" t="str">
        <f t="shared" si="1"/>
        <v/>
      </c>
      <c r="H18589" s="14" t="str">
        <f t="shared" si="2"/>
        <v/>
      </c>
      <c r="I18589" s="15" t="str">
        <f t="shared" si="3"/>
        <v/>
      </c>
    </row>
    <row r="18590">
      <c r="A18590" s="8" t="str">
        <f>IFERROR(__xludf.DUMMYFUNCTION("IF('(INGESTA)Datos_consumo_datadis'!A20155&lt;&gt;"""",SPLIT('(INGESTA)Datos_consumo_datadis'!A:A,"",""),"""")"),"")</f>
        <v/>
      </c>
      <c r="G18590" s="8" t="str">
        <f t="shared" si="1"/>
        <v/>
      </c>
      <c r="H18590" s="14" t="str">
        <f t="shared" si="2"/>
        <v/>
      </c>
      <c r="I18590" s="15" t="str">
        <f t="shared" si="3"/>
        <v/>
      </c>
    </row>
    <row r="18591">
      <c r="A18591" s="8" t="str">
        <f>IFERROR(__xludf.DUMMYFUNCTION("IF('(INGESTA)Datos_consumo_datadis'!A20156&lt;&gt;"""",SPLIT('(INGESTA)Datos_consumo_datadis'!A:A,"",""),"""")"),"")</f>
        <v/>
      </c>
      <c r="G18591" s="8" t="str">
        <f t="shared" si="1"/>
        <v/>
      </c>
      <c r="H18591" s="14" t="str">
        <f t="shared" si="2"/>
        <v/>
      </c>
      <c r="I18591" s="15" t="str">
        <f t="shared" si="3"/>
        <v/>
      </c>
    </row>
    <row r="18592">
      <c r="A18592" s="8" t="str">
        <f>IFERROR(__xludf.DUMMYFUNCTION("IF('(INGESTA)Datos_consumo_datadis'!A20157&lt;&gt;"""",SPLIT('(INGESTA)Datos_consumo_datadis'!A:A,"",""),"""")"),"")</f>
        <v/>
      </c>
      <c r="G18592" s="8" t="str">
        <f t="shared" si="1"/>
        <v/>
      </c>
      <c r="H18592" s="14" t="str">
        <f t="shared" si="2"/>
        <v/>
      </c>
      <c r="I18592" s="15" t="str">
        <f t="shared" si="3"/>
        <v/>
      </c>
    </row>
    <row r="18593">
      <c r="A18593" s="8" t="str">
        <f>IFERROR(__xludf.DUMMYFUNCTION("IF('(INGESTA)Datos_consumo_datadis'!A20158&lt;&gt;"""",SPLIT('(INGESTA)Datos_consumo_datadis'!A:A,"",""),"""")"),"")</f>
        <v/>
      </c>
      <c r="G18593" s="8" t="str">
        <f t="shared" si="1"/>
        <v/>
      </c>
      <c r="H18593" s="14" t="str">
        <f t="shared" si="2"/>
        <v/>
      </c>
      <c r="I18593" s="15" t="str">
        <f t="shared" si="3"/>
        <v/>
      </c>
    </row>
    <row r="18594">
      <c r="A18594" s="8" t="str">
        <f>IFERROR(__xludf.DUMMYFUNCTION("IF('(INGESTA)Datos_consumo_datadis'!A20159&lt;&gt;"""",SPLIT('(INGESTA)Datos_consumo_datadis'!A:A,"",""),"""")"),"")</f>
        <v/>
      </c>
      <c r="G18594" s="8" t="str">
        <f t="shared" si="1"/>
        <v/>
      </c>
      <c r="H18594" s="14" t="str">
        <f t="shared" si="2"/>
        <v/>
      </c>
      <c r="I18594" s="15" t="str">
        <f t="shared" si="3"/>
        <v/>
      </c>
    </row>
    <row r="18595">
      <c r="A18595" s="8" t="str">
        <f>IFERROR(__xludf.DUMMYFUNCTION("IF('(INGESTA)Datos_consumo_datadis'!A20160&lt;&gt;"""",SPLIT('(INGESTA)Datos_consumo_datadis'!A:A,"",""),"""")"),"")</f>
        <v/>
      </c>
      <c r="G18595" s="8" t="str">
        <f t="shared" si="1"/>
        <v/>
      </c>
      <c r="H18595" s="14" t="str">
        <f t="shared" si="2"/>
        <v/>
      </c>
      <c r="I18595" s="15" t="str">
        <f t="shared" si="3"/>
        <v/>
      </c>
    </row>
    <row r="18596">
      <c r="A18596" s="8" t="str">
        <f>IFERROR(__xludf.DUMMYFUNCTION("IF('(INGESTA)Datos_consumo_datadis'!A20161&lt;&gt;"""",SPLIT('(INGESTA)Datos_consumo_datadis'!A:A,"",""),"""")"),"")</f>
        <v/>
      </c>
      <c r="G18596" s="8" t="str">
        <f t="shared" si="1"/>
        <v/>
      </c>
      <c r="H18596" s="14" t="str">
        <f t="shared" si="2"/>
        <v/>
      </c>
      <c r="I18596" s="15" t="str">
        <f t="shared" si="3"/>
        <v/>
      </c>
    </row>
    <row r="18597">
      <c r="A18597" s="8" t="str">
        <f>IFERROR(__xludf.DUMMYFUNCTION("IF('(INGESTA)Datos_consumo_datadis'!A20162&lt;&gt;"""",SPLIT('(INGESTA)Datos_consumo_datadis'!A:A,"",""),"""")"),"")</f>
        <v/>
      </c>
      <c r="G18597" s="8" t="str">
        <f t="shared" si="1"/>
        <v/>
      </c>
      <c r="H18597" s="14" t="str">
        <f t="shared" si="2"/>
        <v/>
      </c>
      <c r="I18597" s="15" t="str">
        <f t="shared" si="3"/>
        <v/>
      </c>
    </row>
    <row r="18598">
      <c r="A18598" s="8" t="str">
        <f>IFERROR(__xludf.DUMMYFUNCTION("IF('(INGESTA)Datos_consumo_datadis'!A20163&lt;&gt;"""",SPLIT('(INGESTA)Datos_consumo_datadis'!A:A,"",""),"""")"),"")</f>
        <v/>
      </c>
      <c r="G18598" s="8" t="str">
        <f t="shared" si="1"/>
        <v/>
      </c>
      <c r="H18598" s="14" t="str">
        <f t="shared" si="2"/>
        <v/>
      </c>
      <c r="I18598" s="15" t="str">
        <f t="shared" si="3"/>
        <v/>
      </c>
    </row>
    <row r="18599">
      <c r="A18599" s="8" t="str">
        <f>IFERROR(__xludf.DUMMYFUNCTION("IF('(INGESTA)Datos_consumo_datadis'!A20164&lt;&gt;"""",SPLIT('(INGESTA)Datos_consumo_datadis'!A:A,"",""),"""")"),"")</f>
        <v/>
      </c>
      <c r="G18599" s="8" t="str">
        <f t="shared" si="1"/>
        <v/>
      </c>
      <c r="H18599" s="14" t="str">
        <f t="shared" si="2"/>
        <v/>
      </c>
      <c r="I18599" s="15" t="str">
        <f t="shared" si="3"/>
        <v/>
      </c>
    </row>
    <row r="18600">
      <c r="A18600" s="8" t="str">
        <f>IFERROR(__xludf.DUMMYFUNCTION("IF('(INGESTA)Datos_consumo_datadis'!A20165&lt;&gt;"""",SPLIT('(INGESTA)Datos_consumo_datadis'!A:A,"",""),"""")"),"")</f>
        <v/>
      </c>
      <c r="G18600" s="8" t="str">
        <f t="shared" si="1"/>
        <v/>
      </c>
      <c r="H18600" s="14" t="str">
        <f t="shared" si="2"/>
        <v/>
      </c>
      <c r="I18600" s="15" t="str">
        <f t="shared" si="3"/>
        <v/>
      </c>
    </row>
    <row r="18601">
      <c r="A18601" s="8" t="str">
        <f>IFERROR(__xludf.DUMMYFUNCTION("IF('(INGESTA)Datos_consumo_datadis'!A20166&lt;&gt;"""",SPLIT('(INGESTA)Datos_consumo_datadis'!A:A,"",""),"""")"),"")</f>
        <v/>
      </c>
      <c r="G18601" s="8" t="str">
        <f t="shared" si="1"/>
        <v/>
      </c>
      <c r="H18601" s="14" t="str">
        <f t="shared" si="2"/>
        <v/>
      </c>
      <c r="I18601" s="15" t="str">
        <f t="shared" si="3"/>
        <v/>
      </c>
    </row>
    <row r="18602">
      <c r="A18602" s="8" t="str">
        <f>IFERROR(__xludf.DUMMYFUNCTION("IF('(INGESTA)Datos_consumo_datadis'!A20167&lt;&gt;"""",SPLIT('(INGESTA)Datos_consumo_datadis'!A:A,"",""),"""")"),"")</f>
        <v/>
      </c>
      <c r="G18602" s="8" t="str">
        <f t="shared" si="1"/>
        <v/>
      </c>
      <c r="H18602" s="14" t="str">
        <f t="shared" si="2"/>
        <v/>
      </c>
      <c r="I18602" s="15" t="str">
        <f t="shared" si="3"/>
        <v/>
      </c>
    </row>
    <row r="18603">
      <c r="A18603" s="8" t="str">
        <f>IFERROR(__xludf.DUMMYFUNCTION("IF('(INGESTA)Datos_consumo_datadis'!A20168&lt;&gt;"""",SPLIT('(INGESTA)Datos_consumo_datadis'!A:A,"",""),"""")"),"")</f>
        <v/>
      </c>
      <c r="G18603" s="8" t="str">
        <f t="shared" si="1"/>
        <v/>
      </c>
      <c r="H18603" s="14" t="str">
        <f t="shared" si="2"/>
        <v/>
      </c>
      <c r="I18603" s="15" t="str">
        <f t="shared" si="3"/>
        <v/>
      </c>
    </row>
    <row r="18604">
      <c r="A18604" s="8" t="str">
        <f>IFERROR(__xludf.DUMMYFUNCTION("IF('(INGESTA)Datos_consumo_datadis'!A20169&lt;&gt;"""",SPLIT('(INGESTA)Datos_consumo_datadis'!A:A,"",""),"""")"),"")</f>
        <v/>
      </c>
      <c r="G18604" s="8" t="str">
        <f t="shared" si="1"/>
        <v/>
      </c>
      <c r="H18604" s="14" t="str">
        <f t="shared" si="2"/>
        <v/>
      </c>
      <c r="I18604" s="15" t="str">
        <f t="shared" si="3"/>
        <v/>
      </c>
    </row>
    <row r="18605">
      <c r="A18605" s="8" t="str">
        <f>IFERROR(__xludf.DUMMYFUNCTION("IF('(INGESTA)Datos_consumo_datadis'!A20170&lt;&gt;"""",SPLIT('(INGESTA)Datos_consumo_datadis'!A:A,"",""),"""")"),"")</f>
        <v/>
      </c>
      <c r="G18605" s="8" t="str">
        <f t="shared" si="1"/>
        <v/>
      </c>
      <c r="H18605" s="14" t="str">
        <f t="shared" si="2"/>
        <v/>
      </c>
      <c r="I18605" s="15" t="str">
        <f t="shared" si="3"/>
        <v/>
      </c>
    </row>
    <row r="18606">
      <c r="A18606" s="8" t="str">
        <f>IFERROR(__xludf.DUMMYFUNCTION("IF('(INGESTA)Datos_consumo_datadis'!A20171&lt;&gt;"""",SPLIT('(INGESTA)Datos_consumo_datadis'!A:A,"",""),"""")"),"")</f>
        <v/>
      </c>
      <c r="G18606" s="8" t="str">
        <f t="shared" si="1"/>
        <v/>
      </c>
      <c r="H18606" s="14" t="str">
        <f t="shared" si="2"/>
        <v/>
      </c>
      <c r="I18606" s="15" t="str">
        <f t="shared" si="3"/>
        <v/>
      </c>
    </row>
    <row r="18607">
      <c r="A18607" s="8" t="str">
        <f>IFERROR(__xludf.DUMMYFUNCTION("IF('(INGESTA)Datos_consumo_datadis'!A20172&lt;&gt;"""",SPLIT('(INGESTA)Datos_consumo_datadis'!A:A,"",""),"""")"),"")</f>
        <v/>
      </c>
      <c r="G18607" s="8" t="str">
        <f t="shared" si="1"/>
        <v/>
      </c>
      <c r="H18607" s="14" t="str">
        <f t="shared" si="2"/>
        <v/>
      </c>
      <c r="I18607" s="15" t="str">
        <f t="shared" si="3"/>
        <v/>
      </c>
    </row>
    <row r="18608">
      <c r="A18608" s="8" t="str">
        <f>IFERROR(__xludf.DUMMYFUNCTION("IF('(INGESTA)Datos_consumo_datadis'!A20173&lt;&gt;"""",SPLIT('(INGESTA)Datos_consumo_datadis'!A:A,"",""),"""")"),"")</f>
        <v/>
      </c>
      <c r="G18608" s="8" t="str">
        <f t="shared" si="1"/>
        <v/>
      </c>
      <c r="H18608" s="14" t="str">
        <f t="shared" si="2"/>
        <v/>
      </c>
      <c r="I18608" s="15" t="str">
        <f t="shared" si="3"/>
        <v/>
      </c>
    </row>
    <row r="18609">
      <c r="A18609" s="8" t="str">
        <f>IFERROR(__xludf.DUMMYFUNCTION("IF('(INGESTA)Datos_consumo_datadis'!A20174&lt;&gt;"""",SPLIT('(INGESTA)Datos_consumo_datadis'!A:A,"",""),"""")"),"")</f>
        <v/>
      </c>
      <c r="G18609" s="8" t="str">
        <f t="shared" si="1"/>
        <v/>
      </c>
      <c r="H18609" s="14" t="str">
        <f t="shared" si="2"/>
        <v/>
      </c>
      <c r="I18609" s="15" t="str">
        <f t="shared" si="3"/>
        <v/>
      </c>
    </row>
    <row r="18610">
      <c r="A18610" s="8" t="str">
        <f>IFERROR(__xludf.DUMMYFUNCTION("IF('(INGESTA)Datos_consumo_datadis'!A20175&lt;&gt;"""",SPLIT('(INGESTA)Datos_consumo_datadis'!A:A,"",""),"""")"),"")</f>
        <v/>
      </c>
      <c r="G18610" s="8" t="str">
        <f t="shared" si="1"/>
        <v/>
      </c>
      <c r="H18610" s="14" t="str">
        <f t="shared" si="2"/>
        <v/>
      </c>
      <c r="I18610" s="15" t="str">
        <f t="shared" si="3"/>
        <v/>
      </c>
    </row>
    <row r="18611">
      <c r="A18611" s="8" t="str">
        <f>IFERROR(__xludf.DUMMYFUNCTION("IF('(INGESTA)Datos_consumo_datadis'!A20176&lt;&gt;"""",SPLIT('(INGESTA)Datos_consumo_datadis'!A:A,"",""),"""")"),"")</f>
        <v/>
      </c>
      <c r="G18611" s="8" t="str">
        <f t="shared" si="1"/>
        <v/>
      </c>
      <c r="H18611" s="14" t="str">
        <f t="shared" si="2"/>
        <v/>
      </c>
      <c r="I18611" s="15" t="str">
        <f t="shared" si="3"/>
        <v/>
      </c>
    </row>
    <row r="18612">
      <c r="A18612" s="8" t="str">
        <f>IFERROR(__xludf.DUMMYFUNCTION("IF('(INGESTA)Datos_consumo_datadis'!A20177&lt;&gt;"""",SPLIT('(INGESTA)Datos_consumo_datadis'!A:A,"",""),"""")"),"")</f>
        <v/>
      </c>
      <c r="G18612" s="8" t="str">
        <f t="shared" si="1"/>
        <v/>
      </c>
      <c r="H18612" s="14" t="str">
        <f t="shared" si="2"/>
        <v/>
      </c>
      <c r="I18612" s="15" t="str">
        <f t="shared" si="3"/>
        <v/>
      </c>
    </row>
    <row r="18613">
      <c r="A18613" s="8" t="str">
        <f>IFERROR(__xludf.DUMMYFUNCTION("IF('(INGESTA)Datos_consumo_datadis'!A20178&lt;&gt;"""",SPLIT('(INGESTA)Datos_consumo_datadis'!A:A,"",""),"""")"),"")</f>
        <v/>
      </c>
      <c r="G18613" s="8" t="str">
        <f t="shared" si="1"/>
        <v/>
      </c>
      <c r="H18613" s="14" t="str">
        <f t="shared" si="2"/>
        <v/>
      </c>
      <c r="I18613" s="15" t="str">
        <f t="shared" si="3"/>
        <v/>
      </c>
    </row>
    <row r="18614">
      <c r="A18614" s="8" t="str">
        <f>IFERROR(__xludf.DUMMYFUNCTION("IF('(INGESTA)Datos_consumo_datadis'!A20179&lt;&gt;"""",SPLIT('(INGESTA)Datos_consumo_datadis'!A:A,"",""),"""")"),"")</f>
        <v/>
      </c>
      <c r="G18614" s="8" t="str">
        <f t="shared" si="1"/>
        <v/>
      </c>
      <c r="H18614" s="14" t="str">
        <f t="shared" si="2"/>
        <v/>
      </c>
      <c r="I18614" s="15" t="str">
        <f t="shared" si="3"/>
        <v/>
      </c>
    </row>
    <row r="18615">
      <c r="A18615" s="8" t="str">
        <f>IFERROR(__xludf.DUMMYFUNCTION("IF('(INGESTA)Datos_consumo_datadis'!A20180&lt;&gt;"""",SPLIT('(INGESTA)Datos_consumo_datadis'!A:A,"",""),"""")"),"")</f>
        <v/>
      </c>
      <c r="G18615" s="8" t="str">
        <f t="shared" si="1"/>
        <v/>
      </c>
      <c r="H18615" s="14" t="str">
        <f t="shared" si="2"/>
        <v/>
      </c>
      <c r="I18615" s="15" t="str">
        <f t="shared" si="3"/>
        <v/>
      </c>
    </row>
    <row r="18616">
      <c r="A18616" s="8" t="str">
        <f>IFERROR(__xludf.DUMMYFUNCTION("IF('(INGESTA)Datos_consumo_datadis'!A20181&lt;&gt;"""",SPLIT('(INGESTA)Datos_consumo_datadis'!A:A,"",""),"""")"),"")</f>
        <v/>
      </c>
      <c r="G18616" s="8" t="str">
        <f t="shared" si="1"/>
        <v/>
      </c>
      <c r="H18616" s="14" t="str">
        <f t="shared" si="2"/>
        <v/>
      </c>
      <c r="I18616" s="15" t="str">
        <f t="shared" si="3"/>
        <v/>
      </c>
    </row>
    <row r="18617">
      <c r="A18617" s="8" t="str">
        <f>IFERROR(__xludf.DUMMYFUNCTION("IF('(INGESTA)Datos_consumo_datadis'!A20182&lt;&gt;"""",SPLIT('(INGESTA)Datos_consumo_datadis'!A:A,"",""),"""")"),"")</f>
        <v/>
      </c>
      <c r="G18617" s="8" t="str">
        <f t="shared" si="1"/>
        <v/>
      </c>
      <c r="H18617" s="14" t="str">
        <f t="shared" si="2"/>
        <v/>
      </c>
      <c r="I18617" s="15" t="str">
        <f t="shared" si="3"/>
        <v/>
      </c>
    </row>
    <row r="18618">
      <c r="A18618" s="8" t="str">
        <f>IFERROR(__xludf.DUMMYFUNCTION("IF('(INGESTA)Datos_consumo_datadis'!A20183&lt;&gt;"""",SPLIT('(INGESTA)Datos_consumo_datadis'!A:A,"",""),"""")"),"")</f>
        <v/>
      </c>
      <c r="G18618" s="8" t="str">
        <f t="shared" si="1"/>
        <v/>
      </c>
      <c r="H18618" s="14" t="str">
        <f t="shared" si="2"/>
        <v/>
      </c>
      <c r="I18618" s="15" t="str">
        <f t="shared" si="3"/>
        <v/>
      </c>
    </row>
    <row r="18619">
      <c r="A18619" s="8" t="str">
        <f>IFERROR(__xludf.DUMMYFUNCTION("IF('(INGESTA)Datos_consumo_datadis'!A20184&lt;&gt;"""",SPLIT('(INGESTA)Datos_consumo_datadis'!A:A,"",""),"""")"),"")</f>
        <v/>
      </c>
      <c r="G18619" s="8" t="str">
        <f t="shared" si="1"/>
        <v/>
      </c>
      <c r="H18619" s="14" t="str">
        <f t="shared" si="2"/>
        <v/>
      </c>
      <c r="I18619" s="15" t="str">
        <f t="shared" si="3"/>
        <v/>
      </c>
    </row>
    <row r="18620">
      <c r="A18620" s="8" t="str">
        <f>IFERROR(__xludf.DUMMYFUNCTION("IF('(INGESTA)Datos_consumo_datadis'!A20185&lt;&gt;"""",SPLIT('(INGESTA)Datos_consumo_datadis'!A:A,"",""),"""")"),"")</f>
        <v/>
      </c>
      <c r="G18620" s="8" t="str">
        <f t="shared" si="1"/>
        <v/>
      </c>
      <c r="H18620" s="14" t="str">
        <f t="shared" si="2"/>
        <v/>
      </c>
      <c r="I18620" s="15" t="str">
        <f t="shared" si="3"/>
        <v/>
      </c>
    </row>
    <row r="18621">
      <c r="A18621" s="8" t="str">
        <f>IFERROR(__xludf.DUMMYFUNCTION("IF('(INGESTA)Datos_consumo_datadis'!A20186&lt;&gt;"""",SPLIT('(INGESTA)Datos_consumo_datadis'!A:A,"",""),"""")"),"")</f>
        <v/>
      </c>
      <c r="G18621" s="8" t="str">
        <f t="shared" si="1"/>
        <v/>
      </c>
      <c r="H18621" s="14" t="str">
        <f t="shared" si="2"/>
        <v/>
      </c>
      <c r="I18621" s="15" t="str">
        <f t="shared" si="3"/>
        <v/>
      </c>
    </row>
    <row r="18622">
      <c r="A18622" s="8" t="str">
        <f>IFERROR(__xludf.DUMMYFUNCTION("IF('(INGESTA)Datos_consumo_datadis'!A20187&lt;&gt;"""",SPLIT('(INGESTA)Datos_consumo_datadis'!A:A,"",""),"""")"),"")</f>
        <v/>
      </c>
      <c r="G18622" s="8" t="str">
        <f t="shared" si="1"/>
        <v/>
      </c>
      <c r="H18622" s="14" t="str">
        <f t="shared" si="2"/>
        <v/>
      </c>
      <c r="I18622" s="15" t="str">
        <f t="shared" si="3"/>
        <v/>
      </c>
    </row>
    <row r="18623">
      <c r="A18623" s="8" t="str">
        <f>IFERROR(__xludf.DUMMYFUNCTION("IF('(INGESTA)Datos_consumo_datadis'!A20188&lt;&gt;"""",SPLIT('(INGESTA)Datos_consumo_datadis'!A:A,"",""),"""")"),"")</f>
        <v/>
      </c>
      <c r="G18623" s="8" t="str">
        <f t="shared" si="1"/>
        <v/>
      </c>
      <c r="H18623" s="14" t="str">
        <f t="shared" si="2"/>
        <v/>
      </c>
      <c r="I18623" s="15" t="str">
        <f t="shared" si="3"/>
        <v/>
      </c>
    </row>
    <row r="18624">
      <c r="A18624" s="8" t="str">
        <f>IFERROR(__xludf.DUMMYFUNCTION("IF('(INGESTA)Datos_consumo_datadis'!A20189&lt;&gt;"""",SPLIT('(INGESTA)Datos_consumo_datadis'!A:A,"",""),"""")"),"")</f>
        <v/>
      </c>
      <c r="G18624" s="8" t="str">
        <f t="shared" si="1"/>
        <v/>
      </c>
      <c r="H18624" s="14" t="str">
        <f t="shared" si="2"/>
        <v/>
      </c>
      <c r="I18624" s="15" t="str">
        <f t="shared" si="3"/>
        <v/>
      </c>
    </row>
    <row r="18625">
      <c r="A18625" s="8" t="str">
        <f>IFERROR(__xludf.DUMMYFUNCTION("IF('(INGESTA)Datos_consumo_datadis'!A20190&lt;&gt;"""",SPLIT('(INGESTA)Datos_consumo_datadis'!A:A,"",""),"""")"),"")</f>
        <v/>
      </c>
      <c r="G18625" s="8" t="str">
        <f t="shared" si="1"/>
        <v/>
      </c>
      <c r="H18625" s="14" t="str">
        <f t="shared" si="2"/>
        <v/>
      </c>
      <c r="I18625" s="15" t="str">
        <f t="shared" si="3"/>
        <v/>
      </c>
    </row>
    <row r="18626">
      <c r="A18626" s="8" t="str">
        <f>IFERROR(__xludf.DUMMYFUNCTION("IF('(INGESTA)Datos_consumo_datadis'!A20191&lt;&gt;"""",SPLIT('(INGESTA)Datos_consumo_datadis'!A:A,"",""),"""")"),"")</f>
        <v/>
      </c>
      <c r="G18626" s="8" t="str">
        <f t="shared" si="1"/>
        <v/>
      </c>
      <c r="H18626" s="14" t="str">
        <f t="shared" si="2"/>
        <v/>
      </c>
      <c r="I18626" s="15" t="str">
        <f t="shared" si="3"/>
        <v/>
      </c>
    </row>
    <row r="18627">
      <c r="A18627" s="8" t="str">
        <f>IFERROR(__xludf.DUMMYFUNCTION("IF('(INGESTA)Datos_consumo_datadis'!A20192&lt;&gt;"""",SPLIT('(INGESTA)Datos_consumo_datadis'!A:A,"",""),"""")"),"")</f>
        <v/>
      </c>
      <c r="G18627" s="8" t="str">
        <f t="shared" si="1"/>
        <v/>
      </c>
      <c r="H18627" s="14" t="str">
        <f t="shared" si="2"/>
        <v/>
      </c>
      <c r="I18627" s="15" t="str">
        <f t="shared" si="3"/>
        <v/>
      </c>
    </row>
    <row r="18628">
      <c r="A18628" s="8" t="str">
        <f>IFERROR(__xludf.DUMMYFUNCTION("IF('(INGESTA)Datos_consumo_datadis'!A20193&lt;&gt;"""",SPLIT('(INGESTA)Datos_consumo_datadis'!A:A,"",""),"""")"),"")</f>
        <v/>
      </c>
      <c r="G18628" s="8" t="str">
        <f t="shared" si="1"/>
        <v/>
      </c>
      <c r="H18628" s="14" t="str">
        <f t="shared" si="2"/>
        <v/>
      </c>
      <c r="I18628" s="15" t="str">
        <f t="shared" si="3"/>
        <v/>
      </c>
    </row>
    <row r="18629">
      <c r="A18629" s="8" t="str">
        <f>IFERROR(__xludf.DUMMYFUNCTION("IF('(INGESTA)Datos_consumo_datadis'!A20194&lt;&gt;"""",SPLIT('(INGESTA)Datos_consumo_datadis'!A:A,"",""),"""")"),"")</f>
        <v/>
      </c>
      <c r="G18629" s="8" t="str">
        <f t="shared" si="1"/>
        <v/>
      </c>
      <c r="H18629" s="14" t="str">
        <f t="shared" si="2"/>
        <v/>
      </c>
      <c r="I18629" s="15" t="str">
        <f t="shared" si="3"/>
        <v/>
      </c>
    </row>
    <row r="18630">
      <c r="A18630" s="8" t="str">
        <f>IFERROR(__xludf.DUMMYFUNCTION("IF('(INGESTA)Datos_consumo_datadis'!A20195&lt;&gt;"""",SPLIT('(INGESTA)Datos_consumo_datadis'!A:A,"",""),"""")"),"")</f>
        <v/>
      </c>
      <c r="G18630" s="8" t="str">
        <f t="shared" si="1"/>
        <v/>
      </c>
      <c r="H18630" s="14" t="str">
        <f t="shared" si="2"/>
        <v/>
      </c>
      <c r="I18630" s="15" t="str">
        <f t="shared" si="3"/>
        <v/>
      </c>
    </row>
    <row r="18631">
      <c r="A18631" s="8" t="str">
        <f>IFERROR(__xludf.DUMMYFUNCTION("IF('(INGESTA)Datos_consumo_datadis'!A20196&lt;&gt;"""",SPLIT('(INGESTA)Datos_consumo_datadis'!A:A,"",""),"""")"),"")</f>
        <v/>
      </c>
      <c r="G18631" s="8" t="str">
        <f t="shared" si="1"/>
        <v/>
      </c>
      <c r="H18631" s="14" t="str">
        <f t="shared" si="2"/>
        <v/>
      </c>
      <c r="I18631" s="15" t="str">
        <f t="shared" si="3"/>
        <v/>
      </c>
    </row>
    <row r="18632">
      <c r="A18632" s="8" t="str">
        <f>IFERROR(__xludf.DUMMYFUNCTION("IF('(INGESTA)Datos_consumo_datadis'!A20197&lt;&gt;"""",SPLIT('(INGESTA)Datos_consumo_datadis'!A:A,"",""),"""")"),"")</f>
        <v/>
      </c>
      <c r="G18632" s="8" t="str">
        <f t="shared" si="1"/>
        <v/>
      </c>
      <c r="H18632" s="14" t="str">
        <f t="shared" si="2"/>
        <v/>
      </c>
      <c r="I18632" s="15" t="str">
        <f t="shared" si="3"/>
        <v/>
      </c>
    </row>
    <row r="18633">
      <c r="A18633" s="8" t="str">
        <f>IFERROR(__xludf.DUMMYFUNCTION("IF('(INGESTA)Datos_consumo_datadis'!A20198&lt;&gt;"""",SPLIT('(INGESTA)Datos_consumo_datadis'!A:A,"",""),"""")"),"")</f>
        <v/>
      </c>
      <c r="G18633" s="8" t="str">
        <f t="shared" si="1"/>
        <v/>
      </c>
      <c r="H18633" s="14" t="str">
        <f t="shared" si="2"/>
        <v/>
      </c>
      <c r="I18633" s="15" t="str">
        <f t="shared" si="3"/>
        <v/>
      </c>
    </row>
    <row r="18634">
      <c r="A18634" s="8" t="str">
        <f>IFERROR(__xludf.DUMMYFUNCTION("IF('(INGESTA)Datos_consumo_datadis'!A20199&lt;&gt;"""",SPLIT('(INGESTA)Datos_consumo_datadis'!A:A,"",""),"""")"),"")</f>
        <v/>
      </c>
      <c r="G18634" s="8" t="str">
        <f t="shared" si="1"/>
        <v/>
      </c>
      <c r="H18634" s="14" t="str">
        <f t="shared" si="2"/>
        <v/>
      </c>
      <c r="I18634" s="15" t="str">
        <f t="shared" si="3"/>
        <v/>
      </c>
    </row>
    <row r="18635">
      <c r="A18635" s="8" t="str">
        <f>IFERROR(__xludf.DUMMYFUNCTION("IF('(INGESTA)Datos_consumo_datadis'!A20200&lt;&gt;"""",SPLIT('(INGESTA)Datos_consumo_datadis'!A:A,"",""),"""")"),"")</f>
        <v/>
      </c>
      <c r="G18635" s="8" t="str">
        <f t="shared" si="1"/>
        <v/>
      </c>
      <c r="H18635" s="14" t="str">
        <f t="shared" si="2"/>
        <v/>
      </c>
      <c r="I18635" s="15" t="str">
        <f t="shared" si="3"/>
        <v/>
      </c>
    </row>
    <row r="18636">
      <c r="A18636" s="8" t="str">
        <f>IFERROR(__xludf.DUMMYFUNCTION("IF('(INGESTA)Datos_consumo_datadis'!A20201&lt;&gt;"""",SPLIT('(INGESTA)Datos_consumo_datadis'!A:A,"",""),"""")"),"")</f>
        <v/>
      </c>
      <c r="G18636" s="8" t="str">
        <f t="shared" si="1"/>
        <v/>
      </c>
      <c r="H18636" s="14" t="str">
        <f t="shared" si="2"/>
        <v/>
      </c>
      <c r="I18636" s="15" t="str">
        <f t="shared" si="3"/>
        <v/>
      </c>
    </row>
    <row r="18637">
      <c r="A18637" s="8" t="str">
        <f>IFERROR(__xludf.DUMMYFUNCTION("IF('(INGESTA)Datos_consumo_datadis'!A20202&lt;&gt;"""",SPLIT('(INGESTA)Datos_consumo_datadis'!A:A,"",""),"""")"),"")</f>
        <v/>
      </c>
      <c r="G18637" s="8" t="str">
        <f t="shared" si="1"/>
        <v/>
      </c>
      <c r="H18637" s="14" t="str">
        <f t="shared" si="2"/>
        <v/>
      </c>
      <c r="I18637" s="15" t="str">
        <f t="shared" si="3"/>
        <v/>
      </c>
    </row>
    <row r="18638">
      <c r="A18638" s="8" t="str">
        <f>IFERROR(__xludf.DUMMYFUNCTION("IF('(INGESTA)Datos_consumo_datadis'!A20203&lt;&gt;"""",SPLIT('(INGESTA)Datos_consumo_datadis'!A:A,"",""),"""")"),"")</f>
        <v/>
      </c>
      <c r="G18638" s="8" t="str">
        <f t="shared" si="1"/>
        <v/>
      </c>
      <c r="H18638" s="14" t="str">
        <f t="shared" si="2"/>
        <v/>
      </c>
      <c r="I18638" s="15" t="str">
        <f t="shared" si="3"/>
        <v/>
      </c>
    </row>
    <row r="18639">
      <c r="A18639" s="8" t="str">
        <f>IFERROR(__xludf.DUMMYFUNCTION("IF('(INGESTA)Datos_consumo_datadis'!A20204&lt;&gt;"""",SPLIT('(INGESTA)Datos_consumo_datadis'!A:A,"",""),"""")"),"")</f>
        <v/>
      </c>
      <c r="G18639" s="8" t="str">
        <f t="shared" si="1"/>
        <v/>
      </c>
      <c r="H18639" s="14" t="str">
        <f t="shared" si="2"/>
        <v/>
      </c>
      <c r="I18639" s="15" t="str">
        <f t="shared" si="3"/>
        <v/>
      </c>
    </row>
    <row r="18640">
      <c r="A18640" s="8" t="str">
        <f>IFERROR(__xludf.DUMMYFUNCTION("IF('(INGESTA)Datos_consumo_datadis'!A20205&lt;&gt;"""",SPLIT('(INGESTA)Datos_consumo_datadis'!A:A,"",""),"""")"),"")</f>
        <v/>
      </c>
      <c r="G18640" s="8" t="str">
        <f t="shared" si="1"/>
        <v/>
      </c>
      <c r="H18640" s="14" t="str">
        <f t="shared" si="2"/>
        <v/>
      </c>
      <c r="I18640" s="15" t="str">
        <f t="shared" si="3"/>
        <v/>
      </c>
    </row>
    <row r="18641">
      <c r="A18641" s="8" t="str">
        <f>IFERROR(__xludf.DUMMYFUNCTION("IF('(INGESTA)Datos_consumo_datadis'!A20206&lt;&gt;"""",SPLIT('(INGESTA)Datos_consumo_datadis'!A:A,"",""),"""")"),"")</f>
        <v/>
      </c>
      <c r="G18641" s="8" t="str">
        <f t="shared" si="1"/>
        <v/>
      </c>
      <c r="H18641" s="14" t="str">
        <f t="shared" si="2"/>
        <v/>
      </c>
      <c r="I18641" s="15" t="str">
        <f t="shared" si="3"/>
        <v/>
      </c>
    </row>
    <row r="18642">
      <c r="A18642" s="8" t="str">
        <f>IFERROR(__xludf.DUMMYFUNCTION("IF('(INGESTA)Datos_consumo_datadis'!A20207&lt;&gt;"""",SPLIT('(INGESTA)Datos_consumo_datadis'!A:A,"",""),"""")"),"")</f>
        <v/>
      </c>
      <c r="G18642" s="8" t="str">
        <f t="shared" si="1"/>
        <v/>
      </c>
      <c r="H18642" s="14" t="str">
        <f t="shared" si="2"/>
        <v/>
      </c>
      <c r="I18642" s="15" t="str">
        <f t="shared" si="3"/>
        <v/>
      </c>
    </row>
    <row r="18643">
      <c r="A18643" s="8" t="str">
        <f>IFERROR(__xludf.DUMMYFUNCTION("IF('(INGESTA)Datos_consumo_datadis'!A20208&lt;&gt;"""",SPLIT('(INGESTA)Datos_consumo_datadis'!A:A,"",""),"""")"),"")</f>
        <v/>
      </c>
      <c r="G18643" s="8" t="str">
        <f t="shared" si="1"/>
        <v/>
      </c>
      <c r="H18643" s="14" t="str">
        <f t="shared" si="2"/>
        <v/>
      </c>
      <c r="I18643" s="15" t="str">
        <f t="shared" si="3"/>
        <v/>
      </c>
    </row>
    <row r="18644">
      <c r="A18644" s="8" t="str">
        <f>IFERROR(__xludf.DUMMYFUNCTION("IF('(INGESTA)Datos_consumo_datadis'!A20209&lt;&gt;"""",SPLIT('(INGESTA)Datos_consumo_datadis'!A:A,"",""),"""")"),"")</f>
        <v/>
      </c>
      <c r="G18644" s="8" t="str">
        <f t="shared" si="1"/>
        <v/>
      </c>
      <c r="H18644" s="14" t="str">
        <f t="shared" si="2"/>
        <v/>
      </c>
      <c r="I18644" s="15" t="str">
        <f t="shared" si="3"/>
        <v/>
      </c>
    </row>
    <row r="18645">
      <c r="A18645" s="8" t="str">
        <f>IFERROR(__xludf.DUMMYFUNCTION("IF('(INGESTA)Datos_consumo_datadis'!A20210&lt;&gt;"""",SPLIT('(INGESTA)Datos_consumo_datadis'!A:A,"",""),"""")"),"")</f>
        <v/>
      </c>
      <c r="G18645" s="8" t="str">
        <f t="shared" si="1"/>
        <v/>
      </c>
      <c r="H18645" s="14" t="str">
        <f t="shared" si="2"/>
        <v/>
      </c>
      <c r="I18645" s="15" t="str">
        <f t="shared" si="3"/>
        <v/>
      </c>
    </row>
    <row r="18646">
      <c r="A18646" s="8" t="str">
        <f>IFERROR(__xludf.DUMMYFUNCTION("IF('(INGESTA)Datos_consumo_datadis'!A20211&lt;&gt;"""",SPLIT('(INGESTA)Datos_consumo_datadis'!A:A,"",""),"""")"),"")</f>
        <v/>
      </c>
      <c r="G18646" s="8" t="str">
        <f t="shared" si="1"/>
        <v/>
      </c>
      <c r="H18646" s="14" t="str">
        <f t="shared" si="2"/>
        <v/>
      </c>
      <c r="I18646" s="15" t="str">
        <f t="shared" si="3"/>
        <v/>
      </c>
    </row>
    <row r="18647">
      <c r="A18647" s="8" t="str">
        <f>IFERROR(__xludf.DUMMYFUNCTION("IF('(INGESTA)Datos_consumo_datadis'!A20212&lt;&gt;"""",SPLIT('(INGESTA)Datos_consumo_datadis'!A:A,"",""),"""")"),"")</f>
        <v/>
      </c>
      <c r="G18647" s="8" t="str">
        <f t="shared" si="1"/>
        <v/>
      </c>
      <c r="H18647" s="14" t="str">
        <f t="shared" si="2"/>
        <v/>
      </c>
      <c r="I18647" s="15" t="str">
        <f t="shared" si="3"/>
        <v/>
      </c>
    </row>
    <row r="18648">
      <c r="A18648" s="8" t="str">
        <f>IFERROR(__xludf.DUMMYFUNCTION("IF('(INGESTA)Datos_consumo_datadis'!A20213&lt;&gt;"""",SPLIT('(INGESTA)Datos_consumo_datadis'!A:A,"",""),"""")"),"")</f>
        <v/>
      </c>
      <c r="G18648" s="8" t="str">
        <f t="shared" si="1"/>
        <v/>
      </c>
      <c r="H18648" s="14" t="str">
        <f t="shared" si="2"/>
        <v/>
      </c>
      <c r="I18648" s="15" t="str">
        <f t="shared" si="3"/>
        <v/>
      </c>
    </row>
    <row r="18649">
      <c r="A18649" s="8" t="str">
        <f>IFERROR(__xludf.DUMMYFUNCTION("IF('(INGESTA)Datos_consumo_datadis'!A20214&lt;&gt;"""",SPLIT('(INGESTA)Datos_consumo_datadis'!A:A,"",""),"""")"),"")</f>
        <v/>
      </c>
      <c r="G18649" s="8" t="str">
        <f t="shared" si="1"/>
        <v/>
      </c>
      <c r="H18649" s="14" t="str">
        <f t="shared" si="2"/>
        <v/>
      </c>
      <c r="I18649" s="15" t="str">
        <f t="shared" si="3"/>
        <v/>
      </c>
    </row>
    <row r="18650">
      <c r="A18650" s="8" t="str">
        <f>IFERROR(__xludf.DUMMYFUNCTION("IF('(INGESTA)Datos_consumo_datadis'!A20215&lt;&gt;"""",SPLIT('(INGESTA)Datos_consumo_datadis'!A:A,"",""),"""")"),"")</f>
        <v/>
      </c>
      <c r="G18650" s="8" t="str">
        <f t="shared" si="1"/>
        <v/>
      </c>
      <c r="H18650" s="14" t="str">
        <f t="shared" si="2"/>
        <v/>
      </c>
      <c r="I18650" s="15" t="str">
        <f t="shared" si="3"/>
        <v/>
      </c>
    </row>
    <row r="18651">
      <c r="A18651" s="8" t="str">
        <f>IFERROR(__xludf.DUMMYFUNCTION("IF('(INGESTA)Datos_consumo_datadis'!A20216&lt;&gt;"""",SPLIT('(INGESTA)Datos_consumo_datadis'!A:A,"",""),"""")"),"")</f>
        <v/>
      </c>
      <c r="G18651" s="8" t="str">
        <f t="shared" si="1"/>
        <v/>
      </c>
      <c r="H18651" s="14" t="str">
        <f t="shared" si="2"/>
        <v/>
      </c>
      <c r="I18651" s="15" t="str">
        <f t="shared" si="3"/>
        <v/>
      </c>
    </row>
    <row r="18652">
      <c r="A18652" s="8" t="str">
        <f>IFERROR(__xludf.DUMMYFUNCTION("IF('(INGESTA)Datos_consumo_datadis'!A20217&lt;&gt;"""",SPLIT('(INGESTA)Datos_consumo_datadis'!A:A,"",""),"""")"),"")</f>
        <v/>
      </c>
      <c r="G18652" s="8" t="str">
        <f t="shared" si="1"/>
        <v/>
      </c>
      <c r="H18652" s="14" t="str">
        <f t="shared" si="2"/>
        <v/>
      </c>
      <c r="I18652" s="15" t="str">
        <f t="shared" si="3"/>
        <v/>
      </c>
    </row>
    <row r="18653">
      <c r="A18653" s="8" t="str">
        <f>IFERROR(__xludf.DUMMYFUNCTION("IF('(INGESTA)Datos_consumo_datadis'!A20218&lt;&gt;"""",SPLIT('(INGESTA)Datos_consumo_datadis'!A:A,"",""),"""")"),"")</f>
        <v/>
      </c>
      <c r="G18653" s="8" t="str">
        <f t="shared" si="1"/>
        <v/>
      </c>
      <c r="H18653" s="14" t="str">
        <f t="shared" si="2"/>
        <v/>
      </c>
      <c r="I18653" s="15" t="str">
        <f t="shared" si="3"/>
        <v/>
      </c>
    </row>
    <row r="18654">
      <c r="A18654" s="8" t="str">
        <f>IFERROR(__xludf.DUMMYFUNCTION("IF('(INGESTA)Datos_consumo_datadis'!A20219&lt;&gt;"""",SPLIT('(INGESTA)Datos_consumo_datadis'!A:A,"",""),"""")"),"")</f>
        <v/>
      </c>
      <c r="G18654" s="8" t="str">
        <f t="shared" si="1"/>
        <v/>
      </c>
      <c r="H18654" s="14" t="str">
        <f t="shared" si="2"/>
        <v/>
      </c>
      <c r="I18654" s="15" t="str">
        <f t="shared" si="3"/>
        <v/>
      </c>
    </row>
    <row r="18655">
      <c r="A18655" s="8" t="str">
        <f>IFERROR(__xludf.DUMMYFUNCTION("IF('(INGESTA)Datos_consumo_datadis'!A20220&lt;&gt;"""",SPLIT('(INGESTA)Datos_consumo_datadis'!A:A,"",""),"""")"),"")</f>
        <v/>
      </c>
      <c r="G18655" s="8" t="str">
        <f t="shared" si="1"/>
        <v/>
      </c>
      <c r="H18655" s="14" t="str">
        <f t="shared" si="2"/>
        <v/>
      </c>
      <c r="I18655" s="15" t="str">
        <f t="shared" si="3"/>
        <v/>
      </c>
    </row>
    <row r="18656">
      <c r="A18656" s="8" t="str">
        <f>IFERROR(__xludf.DUMMYFUNCTION("IF('(INGESTA)Datos_consumo_datadis'!A20221&lt;&gt;"""",SPLIT('(INGESTA)Datos_consumo_datadis'!A:A,"",""),"""")"),"")</f>
        <v/>
      </c>
      <c r="G18656" s="8" t="str">
        <f t="shared" si="1"/>
        <v/>
      </c>
      <c r="H18656" s="14" t="str">
        <f t="shared" si="2"/>
        <v/>
      </c>
      <c r="I18656" s="15" t="str">
        <f t="shared" si="3"/>
        <v/>
      </c>
    </row>
    <row r="18657">
      <c r="A18657" s="8" t="str">
        <f>IFERROR(__xludf.DUMMYFUNCTION("IF('(INGESTA)Datos_consumo_datadis'!A20222&lt;&gt;"""",SPLIT('(INGESTA)Datos_consumo_datadis'!A:A,"",""),"""")"),"")</f>
        <v/>
      </c>
      <c r="G18657" s="8" t="str">
        <f t="shared" si="1"/>
        <v/>
      </c>
      <c r="H18657" s="14" t="str">
        <f t="shared" si="2"/>
        <v/>
      </c>
      <c r="I18657" s="15" t="str">
        <f t="shared" si="3"/>
        <v/>
      </c>
    </row>
    <row r="18658">
      <c r="A18658" s="8" t="str">
        <f>IFERROR(__xludf.DUMMYFUNCTION("IF('(INGESTA)Datos_consumo_datadis'!A20223&lt;&gt;"""",SPLIT('(INGESTA)Datos_consumo_datadis'!A:A,"",""),"""")"),"")</f>
        <v/>
      </c>
      <c r="G18658" s="8" t="str">
        <f t="shared" si="1"/>
        <v/>
      </c>
      <c r="H18658" s="14" t="str">
        <f t="shared" si="2"/>
        <v/>
      </c>
      <c r="I18658" s="15" t="str">
        <f t="shared" si="3"/>
        <v/>
      </c>
    </row>
    <row r="18659">
      <c r="A18659" s="8" t="str">
        <f>IFERROR(__xludf.DUMMYFUNCTION("IF('(INGESTA)Datos_consumo_datadis'!A20224&lt;&gt;"""",SPLIT('(INGESTA)Datos_consumo_datadis'!A:A,"",""),"""")"),"")</f>
        <v/>
      </c>
      <c r="G18659" s="8" t="str">
        <f t="shared" si="1"/>
        <v/>
      </c>
      <c r="H18659" s="14" t="str">
        <f t="shared" si="2"/>
        <v/>
      </c>
      <c r="I18659" s="15" t="str">
        <f t="shared" si="3"/>
        <v/>
      </c>
    </row>
    <row r="18660">
      <c r="A18660" s="8" t="str">
        <f>IFERROR(__xludf.DUMMYFUNCTION("IF('(INGESTA)Datos_consumo_datadis'!A20225&lt;&gt;"""",SPLIT('(INGESTA)Datos_consumo_datadis'!A:A,"",""),"""")"),"")</f>
        <v/>
      </c>
      <c r="G18660" s="8" t="str">
        <f t="shared" si="1"/>
        <v/>
      </c>
      <c r="H18660" s="14" t="str">
        <f t="shared" si="2"/>
        <v/>
      </c>
      <c r="I18660" s="15" t="str">
        <f t="shared" si="3"/>
        <v/>
      </c>
    </row>
    <row r="18661">
      <c r="A18661" s="8" t="str">
        <f>IFERROR(__xludf.DUMMYFUNCTION("IF('(INGESTA)Datos_consumo_datadis'!A20226&lt;&gt;"""",SPLIT('(INGESTA)Datos_consumo_datadis'!A:A,"",""),"""")"),"")</f>
        <v/>
      </c>
      <c r="G18661" s="8" t="str">
        <f t="shared" si="1"/>
        <v/>
      </c>
      <c r="H18661" s="14" t="str">
        <f t="shared" si="2"/>
        <v/>
      </c>
      <c r="I18661" s="15" t="str">
        <f t="shared" si="3"/>
        <v/>
      </c>
    </row>
    <row r="18662">
      <c r="A18662" s="8" t="str">
        <f>IFERROR(__xludf.DUMMYFUNCTION("IF('(INGESTA)Datos_consumo_datadis'!A20227&lt;&gt;"""",SPLIT('(INGESTA)Datos_consumo_datadis'!A:A,"",""),"""")"),"")</f>
        <v/>
      </c>
      <c r="G18662" s="8" t="str">
        <f t="shared" si="1"/>
        <v/>
      </c>
      <c r="H18662" s="14" t="str">
        <f t="shared" si="2"/>
        <v/>
      </c>
      <c r="I18662" s="15" t="str">
        <f t="shared" si="3"/>
        <v/>
      </c>
    </row>
    <row r="18663">
      <c r="A18663" s="8" t="str">
        <f>IFERROR(__xludf.DUMMYFUNCTION("IF('(INGESTA)Datos_consumo_datadis'!A20228&lt;&gt;"""",SPLIT('(INGESTA)Datos_consumo_datadis'!A:A,"",""),"""")"),"")</f>
        <v/>
      </c>
      <c r="G18663" s="8" t="str">
        <f t="shared" si="1"/>
        <v/>
      </c>
      <c r="H18663" s="14" t="str">
        <f t="shared" si="2"/>
        <v/>
      </c>
      <c r="I18663" s="15" t="str">
        <f t="shared" si="3"/>
        <v/>
      </c>
    </row>
    <row r="18664">
      <c r="A18664" s="8" t="str">
        <f>IFERROR(__xludf.DUMMYFUNCTION("IF('(INGESTA)Datos_consumo_datadis'!A20229&lt;&gt;"""",SPLIT('(INGESTA)Datos_consumo_datadis'!A:A,"",""),"""")"),"")</f>
        <v/>
      </c>
      <c r="G18664" s="8" t="str">
        <f t="shared" si="1"/>
        <v/>
      </c>
      <c r="H18664" s="14" t="str">
        <f t="shared" si="2"/>
        <v/>
      </c>
      <c r="I18664" s="15" t="str">
        <f t="shared" si="3"/>
        <v/>
      </c>
    </row>
    <row r="18665">
      <c r="A18665" s="8" t="str">
        <f>IFERROR(__xludf.DUMMYFUNCTION("IF('(INGESTA)Datos_consumo_datadis'!A20230&lt;&gt;"""",SPLIT('(INGESTA)Datos_consumo_datadis'!A:A,"",""),"""")"),"")</f>
        <v/>
      </c>
      <c r="G18665" s="8" t="str">
        <f t="shared" si="1"/>
        <v/>
      </c>
      <c r="H18665" s="14" t="str">
        <f t="shared" si="2"/>
        <v/>
      </c>
      <c r="I18665" s="15" t="str">
        <f t="shared" si="3"/>
        <v/>
      </c>
    </row>
    <row r="18666">
      <c r="A18666" s="8" t="str">
        <f>IFERROR(__xludf.DUMMYFUNCTION("IF('(INGESTA)Datos_consumo_datadis'!A20231&lt;&gt;"""",SPLIT('(INGESTA)Datos_consumo_datadis'!A:A,"",""),"""")"),"")</f>
        <v/>
      </c>
      <c r="G18666" s="8" t="str">
        <f t="shared" si="1"/>
        <v/>
      </c>
      <c r="H18666" s="14" t="str">
        <f t="shared" si="2"/>
        <v/>
      </c>
      <c r="I18666" s="15" t="str">
        <f t="shared" si="3"/>
        <v/>
      </c>
    </row>
    <row r="18667">
      <c r="A18667" s="8" t="str">
        <f>IFERROR(__xludf.DUMMYFUNCTION("IF('(INGESTA)Datos_consumo_datadis'!A20232&lt;&gt;"""",SPLIT('(INGESTA)Datos_consumo_datadis'!A:A,"",""),"""")"),"")</f>
        <v/>
      </c>
      <c r="G18667" s="8" t="str">
        <f t="shared" si="1"/>
        <v/>
      </c>
      <c r="H18667" s="14" t="str">
        <f t="shared" si="2"/>
        <v/>
      </c>
      <c r="I18667" s="15" t="str">
        <f t="shared" si="3"/>
        <v/>
      </c>
    </row>
    <row r="18668">
      <c r="A18668" s="8" t="str">
        <f>IFERROR(__xludf.DUMMYFUNCTION("IF('(INGESTA)Datos_consumo_datadis'!A20233&lt;&gt;"""",SPLIT('(INGESTA)Datos_consumo_datadis'!A:A,"",""),"""")"),"")</f>
        <v/>
      </c>
      <c r="G18668" s="8" t="str">
        <f t="shared" si="1"/>
        <v/>
      </c>
      <c r="H18668" s="14" t="str">
        <f t="shared" si="2"/>
        <v/>
      </c>
      <c r="I18668" s="15" t="str">
        <f t="shared" si="3"/>
        <v/>
      </c>
    </row>
    <row r="18669">
      <c r="A18669" s="8" t="str">
        <f>IFERROR(__xludf.DUMMYFUNCTION("IF('(INGESTA)Datos_consumo_datadis'!A20234&lt;&gt;"""",SPLIT('(INGESTA)Datos_consumo_datadis'!A:A,"",""),"""")"),"")</f>
        <v/>
      </c>
      <c r="G18669" s="8" t="str">
        <f t="shared" si="1"/>
        <v/>
      </c>
      <c r="H18669" s="14" t="str">
        <f t="shared" si="2"/>
        <v/>
      </c>
      <c r="I18669" s="15" t="str">
        <f t="shared" si="3"/>
        <v/>
      </c>
    </row>
    <row r="18670">
      <c r="A18670" s="8" t="str">
        <f>IFERROR(__xludf.DUMMYFUNCTION("IF('(INGESTA)Datos_consumo_datadis'!A20235&lt;&gt;"""",SPLIT('(INGESTA)Datos_consumo_datadis'!A:A,"",""),"""")"),"")</f>
        <v/>
      </c>
      <c r="G18670" s="8" t="str">
        <f t="shared" si="1"/>
        <v/>
      </c>
      <c r="H18670" s="14" t="str">
        <f t="shared" si="2"/>
        <v/>
      </c>
      <c r="I18670" s="15" t="str">
        <f t="shared" si="3"/>
        <v/>
      </c>
    </row>
    <row r="18671">
      <c r="A18671" s="8" t="str">
        <f>IFERROR(__xludf.DUMMYFUNCTION("IF('(INGESTA)Datos_consumo_datadis'!A20236&lt;&gt;"""",SPLIT('(INGESTA)Datos_consumo_datadis'!A:A,"",""),"""")"),"")</f>
        <v/>
      </c>
      <c r="G18671" s="8" t="str">
        <f t="shared" si="1"/>
        <v/>
      </c>
      <c r="H18671" s="14" t="str">
        <f t="shared" si="2"/>
        <v/>
      </c>
      <c r="I18671" s="15" t="str">
        <f t="shared" si="3"/>
        <v/>
      </c>
    </row>
    <row r="18672">
      <c r="A18672" s="8" t="str">
        <f>IFERROR(__xludf.DUMMYFUNCTION("IF('(INGESTA)Datos_consumo_datadis'!A20237&lt;&gt;"""",SPLIT('(INGESTA)Datos_consumo_datadis'!A:A,"",""),"""")"),"")</f>
        <v/>
      </c>
      <c r="G18672" s="8" t="str">
        <f t="shared" si="1"/>
        <v/>
      </c>
      <c r="H18672" s="14" t="str">
        <f t="shared" si="2"/>
        <v/>
      </c>
      <c r="I18672" s="15" t="str">
        <f t="shared" si="3"/>
        <v/>
      </c>
    </row>
    <row r="18673">
      <c r="A18673" s="8" t="str">
        <f>IFERROR(__xludf.DUMMYFUNCTION("IF('(INGESTA)Datos_consumo_datadis'!A20238&lt;&gt;"""",SPLIT('(INGESTA)Datos_consumo_datadis'!A:A,"",""),"""")"),"")</f>
        <v/>
      </c>
      <c r="G18673" s="8" t="str">
        <f t="shared" si="1"/>
        <v/>
      </c>
      <c r="H18673" s="14" t="str">
        <f t="shared" si="2"/>
        <v/>
      </c>
      <c r="I18673" s="15" t="str">
        <f t="shared" si="3"/>
        <v/>
      </c>
    </row>
    <row r="18674">
      <c r="A18674" s="8" t="str">
        <f>IFERROR(__xludf.DUMMYFUNCTION("IF('(INGESTA)Datos_consumo_datadis'!A20239&lt;&gt;"""",SPLIT('(INGESTA)Datos_consumo_datadis'!A:A,"",""),"""")"),"")</f>
        <v/>
      </c>
      <c r="G18674" s="8" t="str">
        <f t="shared" si="1"/>
        <v/>
      </c>
      <c r="H18674" s="14" t="str">
        <f t="shared" si="2"/>
        <v/>
      </c>
      <c r="I18674" s="15" t="str">
        <f t="shared" si="3"/>
        <v/>
      </c>
    </row>
    <row r="18675">
      <c r="A18675" s="8" t="str">
        <f>IFERROR(__xludf.DUMMYFUNCTION("IF('(INGESTA)Datos_consumo_datadis'!A20240&lt;&gt;"""",SPLIT('(INGESTA)Datos_consumo_datadis'!A:A,"",""),"""")"),"")</f>
        <v/>
      </c>
      <c r="G18675" s="8" t="str">
        <f t="shared" si="1"/>
        <v/>
      </c>
      <c r="H18675" s="14" t="str">
        <f t="shared" si="2"/>
        <v/>
      </c>
      <c r="I18675" s="15" t="str">
        <f t="shared" si="3"/>
        <v/>
      </c>
    </row>
    <row r="18676">
      <c r="A18676" s="8" t="str">
        <f>IFERROR(__xludf.DUMMYFUNCTION("IF('(INGESTA)Datos_consumo_datadis'!A20241&lt;&gt;"""",SPLIT('(INGESTA)Datos_consumo_datadis'!A:A,"",""),"""")"),"")</f>
        <v/>
      </c>
      <c r="G18676" s="8" t="str">
        <f t="shared" si="1"/>
        <v/>
      </c>
      <c r="H18676" s="14" t="str">
        <f t="shared" si="2"/>
        <v/>
      </c>
      <c r="I18676" s="15" t="str">
        <f t="shared" si="3"/>
        <v/>
      </c>
    </row>
    <row r="18677">
      <c r="A18677" s="8" t="str">
        <f>IFERROR(__xludf.DUMMYFUNCTION("IF('(INGESTA)Datos_consumo_datadis'!A20242&lt;&gt;"""",SPLIT('(INGESTA)Datos_consumo_datadis'!A:A,"",""),"""")"),"")</f>
        <v/>
      </c>
      <c r="G18677" s="8" t="str">
        <f t="shared" si="1"/>
        <v/>
      </c>
      <c r="H18677" s="14" t="str">
        <f t="shared" si="2"/>
        <v/>
      </c>
      <c r="I18677" s="15" t="str">
        <f t="shared" si="3"/>
        <v/>
      </c>
    </row>
    <row r="18678">
      <c r="A18678" s="8" t="str">
        <f>IFERROR(__xludf.DUMMYFUNCTION("IF('(INGESTA)Datos_consumo_datadis'!A20243&lt;&gt;"""",SPLIT('(INGESTA)Datos_consumo_datadis'!A:A,"",""),"""")"),"")</f>
        <v/>
      </c>
      <c r="G18678" s="8" t="str">
        <f t="shared" si="1"/>
        <v/>
      </c>
      <c r="H18678" s="14" t="str">
        <f t="shared" si="2"/>
        <v/>
      </c>
      <c r="I18678" s="15" t="str">
        <f t="shared" si="3"/>
        <v/>
      </c>
    </row>
    <row r="18679">
      <c r="A18679" s="8" t="str">
        <f>IFERROR(__xludf.DUMMYFUNCTION("IF('(INGESTA)Datos_consumo_datadis'!A20244&lt;&gt;"""",SPLIT('(INGESTA)Datos_consumo_datadis'!A:A,"",""),"""")"),"")</f>
        <v/>
      </c>
      <c r="G18679" s="8" t="str">
        <f t="shared" si="1"/>
        <v/>
      </c>
      <c r="H18679" s="14" t="str">
        <f t="shared" si="2"/>
        <v/>
      </c>
      <c r="I18679" s="15" t="str">
        <f t="shared" si="3"/>
        <v/>
      </c>
    </row>
    <row r="18680">
      <c r="A18680" s="8" t="str">
        <f>IFERROR(__xludf.DUMMYFUNCTION("IF('(INGESTA)Datos_consumo_datadis'!A20245&lt;&gt;"""",SPLIT('(INGESTA)Datos_consumo_datadis'!A:A,"",""),"""")"),"")</f>
        <v/>
      </c>
      <c r="G18680" s="8" t="str">
        <f t="shared" si="1"/>
        <v/>
      </c>
      <c r="H18680" s="14" t="str">
        <f t="shared" si="2"/>
        <v/>
      </c>
      <c r="I18680" s="15" t="str">
        <f t="shared" si="3"/>
        <v/>
      </c>
    </row>
    <row r="18681">
      <c r="A18681" s="8" t="str">
        <f>IFERROR(__xludf.DUMMYFUNCTION("IF('(INGESTA)Datos_consumo_datadis'!A20246&lt;&gt;"""",SPLIT('(INGESTA)Datos_consumo_datadis'!A:A,"",""),"""")"),"")</f>
        <v/>
      </c>
      <c r="G18681" s="8" t="str">
        <f t="shared" si="1"/>
        <v/>
      </c>
      <c r="H18681" s="14" t="str">
        <f t="shared" si="2"/>
        <v/>
      </c>
      <c r="I18681" s="15" t="str">
        <f t="shared" si="3"/>
        <v/>
      </c>
    </row>
    <row r="18682">
      <c r="A18682" s="8" t="str">
        <f>IFERROR(__xludf.DUMMYFUNCTION("IF('(INGESTA)Datos_consumo_datadis'!A20247&lt;&gt;"""",SPLIT('(INGESTA)Datos_consumo_datadis'!A:A,"",""),"""")"),"")</f>
        <v/>
      </c>
      <c r="G18682" s="8" t="str">
        <f t="shared" si="1"/>
        <v/>
      </c>
      <c r="H18682" s="14" t="str">
        <f t="shared" si="2"/>
        <v/>
      </c>
      <c r="I18682" s="15" t="str">
        <f t="shared" si="3"/>
        <v/>
      </c>
    </row>
    <row r="18683">
      <c r="A18683" s="8" t="str">
        <f>IFERROR(__xludf.DUMMYFUNCTION("IF('(INGESTA)Datos_consumo_datadis'!A20248&lt;&gt;"""",SPLIT('(INGESTA)Datos_consumo_datadis'!A:A,"",""),"""")"),"")</f>
        <v/>
      </c>
      <c r="G18683" s="8" t="str">
        <f t="shared" si="1"/>
        <v/>
      </c>
      <c r="H18683" s="14" t="str">
        <f t="shared" si="2"/>
        <v/>
      </c>
      <c r="I18683" s="15" t="str">
        <f t="shared" si="3"/>
        <v/>
      </c>
    </row>
    <row r="18684">
      <c r="A18684" s="8" t="str">
        <f>IFERROR(__xludf.DUMMYFUNCTION("IF('(INGESTA)Datos_consumo_datadis'!A20249&lt;&gt;"""",SPLIT('(INGESTA)Datos_consumo_datadis'!A:A,"",""),"""")"),"")</f>
        <v/>
      </c>
      <c r="G18684" s="8" t="str">
        <f t="shared" si="1"/>
        <v/>
      </c>
      <c r="H18684" s="14" t="str">
        <f t="shared" si="2"/>
        <v/>
      </c>
      <c r="I18684" s="15" t="str">
        <f t="shared" si="3"/>
        <v/>
      </c>
    </row>
    <row r="18685">
      <c r="A18685" s="8" t="str">
        <f>IFERROR(__xludf.DUMMYFUNCTION("IF('(INGESTA)Datos_consumo_datadis'!A20250&lt;&gt;"""",SPLIT('(INGESTA)Datos_consumo_datadis'!A:A,"",""),"""")"),"")</f>
        <v/>
      </c>
      <c r="G18685" s="8" t="str">
        <f t="shared" si="1"/>
        <v/>
      </c>
      <c r="H18685" s="14" t="str">
        <f t="shared" si="2"/>
        <v/>
      </c>
      <c r="I18685" s="15" t="str">
        <f t="shared" si="3"/>
        <v/>
      </c>
    </row>
    <row r="18686">
      <c r="A18686" s="8" t="str">
        <f>IFERROR(__xludf.DUMMYFUNCTION("IF('(INGESTA)Datos_consumo_datadis'!A20251&lt;&gt;"""",SPLIT('(INGESTA)Datos_consumo_datadis'!A:A,"",""),"""")"),"")</f>
        <v/>
      </c>
      <c r="G18686" s="8" t="str">
        <f t="shared" si="1"/>
        <v/>
      </c>
      <c r="H18686" s="14" t="str">
        <f t="shared" si="2"/>
        <v/>
      </c>
      <c r="I18686" s="15" t="str">
        <f t="shared" si="3"/>
        <v/>
      </c>
    </row>
    <row r="18687">
      <c r="A18687" s="8" t="str">
        <f>IFERROR(__xludf.DUMMYFUNCTION("IF('(INGESTA)Datos_consumo_datadis'!A20252&lt;&gt;"""",SPLIT('(INGESTA)Datos_consumo_datadis'!A:A,"",""),"""")"),"")</f>
        <v/>
      </c>
      <c r="G18687" s="8" t="str">
        <f t="shared" si="1"/>
        <v/>
      </c>
      <c r="H18687" s="14" t="str">
        <f t="shared" si="2"/>
        <v/>
      </c>
      <c r="I18687" s="15" t="str">
        <f t="shared" si="3"/>
        <v/>
      </c>
    </row>
    <row r="18688">
      <c r="A18688" s="8" t="str">
        <f>IFERROR(__xludf.DUMMYFUNCTION("IF('(INGESTA)Datos_consumo_datadis'!A20253&lt;&gt;"""",SPLIT('(INGESTA)Datos_consumo_datadis'!A:A,"",""),"""")"),"")</f>
        <v/>
      </c>
      <c r="G18688" s="8" t="str">
        <f t="shared" si="1"/>
        <v/>
      </c>
      <c r="H18688" s="14" t="str">
        <f t="shared" si="2"/>
        <v/>
      </c>
      <c r="I18688" s="15" t="str">
        <f t="shared" si="3"/>
        <v/>
      </c>
    </row>
    <row r="18689">
      <c r="A18689" s="8" t="str">
        <f>IFERROR(__xludf.DUMMYFUNCTION("IF('(INGESTA)Datos_consumo_datadis'!A20254&lt;&gt;"""",SPLIT('(INGESTA)Datos_consumo_datadis'!A:A,"",""),"""")"),"")</f>
        <v/>
      </c>
      <c r="G18689" s="8" t="str">
        <f t="shared" si="1"/>
        <v/>
      </c>
      <c r="H18689" s="14" t="str">
        <f t="shared" si="2"/>
        <v/>
      </c>
      <c r="I18689" s="15" t="str">
        <f t="shared" si="3"/>
        <v/>
      </c>
    </row>
    <row r="18690">
      <c r="A18690" s="8" t="str">
        <f>IFERROR(__xludf.DUMMYFUNCTION("IF('(INGESTA)Datos_consumo_datadis'!A20255&lt;&gt;"""",SPLIT('(INGESTA)Datos_consumo_datadis'!A:A,"",""),"""")"),"")</f>
        <v/>
      </c>
      <c r="G18690" s="8" t="str">
        <f t="shared" si="1"/>
        <v/>
      </c>
      <c r="H18690" s="14" t="str">
        <f t="shared" si="2"/>
        <v/>
      </c>
      <c r="I18690" s="15" t="str">
        <f t="shared" si="3"/>
        <v/>
      </c>
    </row>
    <row r="18691">
      <c r="A18691" s="8" t="str">
        <f>IFERROR(__xludf.DUMMYFUNCTION("IF('(INGESTA)Datos_consumo_datadis'!A20256&lt;&gt;"""",SPLIT('(INGESTA)Datos_consumo_datadis'!A:A,"",""),"""")"),"")</f>
        <v/>
      </c>
      <c r="G18691" s="8" t="str">
        <f t="shared" si="1"/>
        <v/>
      </c>
      <c r="H18691" s="14" t="str">
        <f t="shared" si="2"/>
        <v/>
      </c>
      <c r="I18691" s="15" t="str">
        <f t="shared" si="3"/>
        <v/>
      </c>
    </row>
    <row r="18692">
      <c r="A18692" s="8" t="str">
        <f>IFERROR(__xludf.DUMMYFUNCTION("IF('(INGESTA)Datos_consumo_datadis'!A20257&lt;&gt;"""",SPLIT('(INGESTA)Datos_consumo_datadis'!A:A,"",""),"""")"),"")</f>
        <v/>
      </c>
      <c r="G18692" s="8" t="str">
        <f t="shared" si="1"/>
        <v/>
      </c>
      <c r="H18692" s="14" t="str">
        <f t="shared" si="2"/>
        <v/>
      </c>
      <c r="I18692" s="15" t="str">
        <f t="shared" si="3"/>
        <v/>
      </c>
    </row>
    <row r="18693">
      <c r="A18693" s="8" t="str">
        <f>IFERROR(__xludf.DUMMYFUNCTION("IF('(INGESTA)Datos_consumo_datadis'!A20258&lt;&gt;"""",SPLIT('(INGESTA)Datos_consumo_datadis'!A:A,"",""),"""")"),"")</f>
        <v/>
      </c>
      <c r="G18693" s="8" t="str">
        <f t="shared" si="1"/>
        <v/>
      </c>
      <c r="H18693" s="14" t="str">
        <f t="shared" si="2"/>
        <v/>
      </c>
      <c r="I18693" s="15" t="str">
        <f t="shared" si="3"/>
        <v/>
      </c>
    </row>
    <row r="18694">
      <c r="A18694" s="8" t="str">
        <f>IFERROR(__xludf.DUMMYFUNCTION("IF('(INGESTA)Datos_consumo_datadis'!A20259&lt;&gt;"""",SPLIT('(INGESTA)Datos_consumo_datadis'!A:A,"",""),"""")"),"")</f>
        <v/>
      </c>
      <c r="G18694" s="8" t="str">
        <f t="shared" si="1"/>
        <v/>
      </c>
      <c r="H18694" s="14" t="str">
        <f t="shared" si="2"/>
        <v/>
      </c>
      <c r="I18694" s="15" t="str">
        <f t="shared" si="3"/>
        <v/>
      </c>
    </row>
    <row r="18695">
      <c r="A18695" s="8" t="str">
        <f>IFERROR(__xludf.DUMMYFUNCTION("IF('(INGESTA)Datos_consumo_datadis'!A20260&lt;&gt;"""",SPLIT('(INGESTA)Datos_consumo_datadis'!A:A,"",""),"""")"),"")</f>
        <v/>
      </c>
      <c r="G18695" s="8" t="str">
        <f t="shared" si="1"/>
        <v/>
      </c>
      <c r="H18695" s="14" t="str">
        <f t="shared" si="2"/>
        <v/>
      </c>
      <c r="I18695" s="15" t="str">
        <f t="shared" si="3"/>
        <v/>
      </c>
    </row>
    <row r="18696">
      <c r="A18696" s="8" t="str">
        <f>IFERROR(__xludf.DUMMYFUNCTION("IF('(INGESTA)Datos_consumo_datadis'!A20261&lt;&gt;"""",SPLIT('(INGESTA)Datos_consumo_datadis'!A:A,"",""),"""")"),"")</f>
        <v/>
      </c>
      <c r="G18696" s="8" t="str">
        <f t="shared" si="1"/>
        <v/>
      </c>
      <c r="H18696" s="14" t="str">
        <f t="shared" si="2"/>
        <v/>
      </c>
      <c r="I18696" s="15" t="str">
        <f t="shared" si="3"/>
        <v/>
      </c>
    </row>
    <row r="18697">
      <c r="A18697" s="8" t="str">
        <f>IFERROR(__xludf.DUMMYFUNCTION("IF('(INGESTA)Datos_consumo_datadis'!A20262&lt;&gt;"""",SPLIT('(INGESTA)Datos_consumo_datadis'!A:A,"",""),"""")"),"")</f>
        <v/>
      </c>
      <c r="G18697" s="8" t="str">
        <f t="shared" si="1"/>
        <v/>
      </c>
      <c r="H18697" s="14" t="str">
        <f t="shared" si="2"/>
        <v/>
      </c>
      <c r="I18697" s="15" t="str">
        <f t="shared" si="3"/>
        <v/>
      </c>
    </row>
    <row r="18698">
      <c r="A18698" s="8" t="str">
        <f>IFERROR(__xludf.DUMMYFUNCTION("IF('(INGESTA)Datos_consumo_datadis'!A20263&lt;&gt;"""",SPLIT('(INGESTA)Datos_consumo_datadis'!A:A,"",""),"""")"),"")</f>
        <v/>
      </c>
      <c r="G18698" s="8" t="str">
        <f t="shared" si="1"/>
        <v/>
      </c>
      <c r="H18698" s="14" t="str">
        <f t="shared" si="2"/>
        <v/>
      </c>
      <c r="I18698" s="15" t="str">
        <f t="shared" si="3"/>
        <v/>
      </c>
    </row>
    <row r="18699">
      <c r="A18699" s="8" t="str">
        <f>IFERROR(__xludf.DUMMYFUNCTION("IF('(INGESTA)Datos_consumo_datadis'!A20264&lt;&gt;"""",SPLIT('(INGESTA)Datos_consumo_datadis'!A:A,"",""),"""")"),"")</f>
        <v/>
      </c>
      <c r="G18699" s="8" t="str">
        <f t="shared" si="1"/>
        <v/>
      </c>
      <c r="H18699" s="14" t="str">
        <f t="shared" si="2"/>
        <v/>
      </c>
      <c r="I18699" s="15" t="str">
        <f t="shared" si="3"/>
        <v/>
      </c>
    </row>
    <row r="18700">
      <c r="A18700" s="8" t="str">
        <f>IFERROR(__xludf.DUMMYFUNCTION("IF('(INGESTA)Datos_consumo_datadis'!A20265&lt;&gt;"""",SPLIT('(INGESTA)Datos_consumo_datadis'!A:A,"",""),"""")"),"")</f>
        <v/>
      </c>
      <c r="G18700" s="8" t="str">
        <f t="shared" si="1"/>
        <v/>
      </c>
      <c r="H18700" s="14" t="str">
        <f t="shared" si="2"/>
        <v/>
      </c>
      <c r="I18700" s="15" t="str">
        <f t="shared" si="3"/>
        <v/>
      </c>
    </row>
    <row r="18701">
      <c r="A18701" s="8" t="str">
        <f>IFERROR(__xludf.DUMMYFUNCTION("IF('(INGESTA)Datos_consumo_datadis'!A20266&lt;&gt;"""",SPLIT('(INGESTA)Datos_consumo_datadis'!A:A,"",""),"""")"),"")</f>
        <v/>
      </c>
      <c r="G18701" s="8" t="str">
        <f t="shared" si="1"/>
        <v/>
      </c>
      <c r="H18701" s="14" t="str">
        <f t="shared" si="2"/>
        <v/>
      </c>
      <c r="I18701" s="15" t="str">
        <f t="shared" si="3"/>
        <v/>
      </c>
    </row>
    <row r="18702">
      <c r="A18702" s="8" t="str">
        <f>IFERROR(__xludf.DUMMYFUNCTION("IF('(INGESTA)Datos_consumo_datadis'!A20267&lt;&gt;"""",SPLIT('(INGESTA)Datos_consumo_datadis'!A:A,"",""),"""")"),"")</f>
        <v/>
      </c>
      <c r="G18702" s="8" t="str">
        <f t="shared" si="1"/>
        <v/>
      </c>
      <c r="H18702" s="14" t="str">
        <f t="shared" si="2"/>
        <v/>
      </c>
      <c r="I18702" s="15" t="str">
        <f t="shared" si="3"/>
        <v/>
      </c>
    </row>
    <row r="18703">
      <c r="A18703" s="8" t="str">
        <f>IFERROR(__xludf.DUMMYFUNCTION("IF('(INGESTA)Datos_consumo_datadis'!A20268&lt;&gt;"""",SPLIT('(INGESTA)Datos_consumo_datadis'!A:A,"",""),"""")"),"")</f>
        <v/>
      </c>
      <c r="G18703" s="8" t="str">
        <f t="shared" si="1"/>
        <v/>
      </c>
      <c r="H18703" s="14" t="str">
        <f t="shared" si="2"/>
        <v/>
      </c>
      <c r="I18703" s="15" t="str">
        <f t="shared" si="3"/>
        <v/>
      </c>
    </row>
    <row r="18704">
      <c r="A18704" s="8" t="str">
        <f>IFERROR(__xludf.DUMMYFUNCTION("IF('(INGESTA)Datos_consumo_datadis'!A20269&lt;&gt;"""",SPLIT('(INGESTA)Datos_consumo_datadis'!A:A,"",""),"""")"),"")</f>
        <v/>
      </c>
      <c r="G18704" s="8" t="str">
        <f t="shared" si="1"/>
        <v/>
      </c>
      <c r="H18704" s="14" t="str">
        <f t="shared" si="2"/>
        <v/>
      </c>
      <c r="I18704" s="15" t="str">
        <f t="shared" si="3"/>
        <v/>
      </c>
    </row>
    <row r="18705">
      <c r="A18705" s="8" t="str">
        <f>IFERROR(__xludf.DUMMYFUNCTION("IF('(INGESTA)Datos_consumo_datadis'!A20270&lt;&gt;"""",SPLIT('(INGESTA)Datos_consumo_datadis'!A:A,"",""),"""")"),"")</f>
        <v/>
      </c>
      <c r="G18705" s="8" t="str">
        <f t="shared" si="1"/>
        <v/>
      </c>
      <c r="H18705" s="14" t="str">
        <f t="shared" si="2"/>
        <v/>
      </c>
      <c r="I18705" s="15" t="str">
        <f t="shared" si="3"/>
        <v/>
      </c>
    </row>
    <row r="18706">
      <c r="A18706" s="8" t="str">
        <f>IFERROR(__xludf.DUMMYFUNCTION("IF('(INGESTA)Datos_consumo_datadis'!A20271&lt;&gt;"""",SPLIT('(INGESTA)Datos_consumo_datadis'!A:A,"",""),"""")"),"")</f>
        <v/>
      </c>
      <c r="G18706" s="8" t="str">
        <f t="shared" si="1"/>
        <v/>
      </c>
      <c r="H18706" s="14" t="str">
        <f t="shared" si="2"/>
        <v/>
      </c>
      <c r="I18706" s="15" t="str">
        <f t="shared" si="3"/>
        <v/>
      </c>
    </row>
    <row r="18707">
      <c r="A18707" s="8" t="str">
        <f>IFERROR(__xludf.DUMMYFUNCTION("IF('(INGESTA)Datos_consumo_datadis'!A20272&lt;&gt;"""",SPLIT('(INGESTA)Datos_consumo_datadis'!A:A,"",""),"""")"),"")</f>
        <v/>
      </c>
      <c r="G18707" s="8" t="str">
        <f t="shared" si="1"/>
        <v/>
      </c>
      <c r="H18707" s="14" t="str">
        <f t="shared" si="2"/>
        <v/>
      </c>
      <c r="I18707" s="15" t="str">
        <f t="shared" si="3"/>
        <v/>
      </c>
    </row>
    <row r="18708">
      <c r="A18708" s="8" t="str">
        <f>IFERROR(__xludf.DUMMYFUNCTION("IF('(INGESTA)Datos_consumo_datadis'!A20273&lt;&gt;"""",SPLIT('(INGESTA)Datos_consumo_datadis'!A:A,"",""),"""")"),"")</f>
        <v/>
      </c>
      <c r="G18708" s="8" t="str">
        <f t="shared" si="1"/>
        <v/>
      </c>
      <c r="H18708" s="14" t="str">
        <f t="shared" si="2"/>
        <v/>
      </c>
      <c r="I18708" s="15" t="str">
        <f t="shared" si="3"/>
        <v/>
      </c>
    </row>
    <row r="18709">
      <c r="A18709" s="8" t="str">
        <f>IFERROR(__xludf.DUMMYFUNCTION("IF('(INGESTA)Datos_consumo_datadis'!A20274&lt;&gt;"""",SPLIT('(INGESTA)Datos_consumo_datadis'!A:A,"",""),"""")"),"")</f>
        <v/>
      </c>
      <c r="G18709" s="8" t="str">
        <f t="shared" si="1"/>
        <v/>
      </c>
      <c r="H18709" s="14" t="str">
        <f t="shared" si="2"/>
        <v/>
      </c>
      <c r="I18709" s="15" t="str">
        <f t="shared" si="3"/>
        <v/>
      </c>
    </row>
    <row r="18710">
      <c r="A18710" s="8" t="str">
        <f>IFERROR(__xludf.DUMMYFUNCTION("IF('(INGESTA)Datos_consumo_datadis'!A20275&lt;&gt;"""",SPLIT('(INGESTA)Datos_consumo_datadis'!A:A,"",""),"""")"),"")</f>
        <v/>
      </c>
      <c r="G18710" s="8" t="str">
        <f t="shared" si="1"/>
        <v/>
      </c>
      <c r="H18710" s="14" t="str">
        <f t="shared" si="2"/>
        <v/>
      </c>
      <c r="I18710" s="15" t="str">
        <f t="shared" si="3"/>
        <v/>
      </c>
    </row>
    <row r="18711">
      <c r="A18711" s="8" t="str">
        <f>IFERROR(__xludf.DUMMYFUNCTION("IF('(INGESTA)Datos_consumo_datadis'!A20276&lt;&gt;"""",SPLIT('(INGESTA)Datos_consumo_datadis'!A:A,"",""),"""")"),"")</f>
        <v/>
      </c>
      <c r="G18711" s="8" t="str">
        <f t="shared" si="1"/>
        <v/>
      </c>
      <c r="H18711" s="14" t="str">
        <f t="shared" si="2"/>
        <v/>
      </c>
      <c r="I18711" s="15" t="str">
        <f t="shared" si="3"/>
        <v/>
      </c>
    </row>
    <row r="18712">
      <c r="A18712" s="8" t="str">
        <f>IFERROR(__xludf.DUMMYFUNCTION("IF('(INGESTA)Datos_consumo_datadis'!A20277&lt;&gt;"""",SPLIT('(INGESTA)Datos_consumo_datadis'!A:A,"",""),"""")"),"")</f>
        <v/>
      </c>
      <c r="G18712" s="8" t="str">
        <f t="shared" si="1"/>
        <v/>
      </c>
      <c r="H18712" s="14" t="str">
        <f t="shared" si="2"/>
        <v/>
      </c>
      <c r="I18712" s="15" t="str">
        <f t="shared" si="3"/>
        <v/>
      </c>
    </row>
    <row r="18713">
      <c r="A18713" s="8" t="str">
        <f>IFERROR(__xludf.DUMMYFUNCTION("IF('(INGESTA)Datos_consumo_datadis'!A20278&lt;&gt;"""",SPLIT('(INGESTA)Datos_consumo_datadis'!A:A,"",""),"""")"),"")</f>
        <v/>
      </c>
      <c r="G18713" s="8" t="str">
        <f t="shared" si="1"/>
        <v/>
      </c>
      <c r="H18713" s="14" t="str">
        <f t="shared" si="2"/>
        <v/>
      </c>
      <c r="I18713" s="15" t="str">
        <f t="shared" si="3"/>
        <v/>
      </c>
    </row>
    <row r="18714">
      <c r="A18714" s="8" t="str">
        <f>IFERROR(__xludf.DUMMYFUNCTION("IF('(INGESTA)Datos_consumo_datadis'!A20279&lt;&gt;"""",SPLIT('(INGESTA)Datos_consumo_datadis'!A:A,"",""),"""")"),"")</f>
        <v/>
      </c>
      <c r="G18714" s="8" t="str">
        <f t="shared" si="1"/>
        <v/>
      </c>
      <c r="H18714" s="14" t="str">
        <f t="shared" si="2"/>
        <v/>
      </c>
      <c r="I18714" s="15" t="str">
        <f t="shared" si="3"/>
        <v/>
      </c>
    </row>
    <row r="18715">
      <c r="A18715" s="8" t="str">
        <f>IFERROR(__xludf.DUMMYFUNCTION("IF('(INGESTA)Datos_consumo_datadis'!A20280&lt;&gt;"""",SPLIT('(INGESTA)Datos_consumo_datadis'!A:A,"",""),"""")"),"")</f>
        <v/>
      </c>
      <c r="G18715" s="8" t="str">
        <f t="shared" si="1"/>
        <v/>
      </c>
      <c r="H18715" s="14" t="str">
        <f t="shared" si="2"/>
        <v/>
      </c>
      <c r="I18715" s="15" t="str">
        <f t="shared" si="3"/>
        <v/>
      </c>
    </row>
    <row r="18716">
      <c r="A18716" s="8" t="str">
        <f>IFERROR(__xludf.DUMMYFUNCTION("IF('(INGESTA)Datos_consumo_datadis'!A20281&lt;&gt;"""",SPLIT('(INGESTA)Datos_consumo_datadis'!A:A,"",""),"""")"),"")</f>
        <v/>
      </c>
      <c r="G18716" s="8" t="str">
        <f t="shared" si="1"/>
        <v/>
      </c>
      <c r="H18716" s="14" t="str">
        <f t="shared" si="2"/>
        <v/>
      </c>
      <c r="I18716" s="15" t="str">
        <f t="shared" si="3"/>
        <v/>
      </c>
    </row>
    <row r="18717">
      <c r="A18717" s="8" t="str">
        <f>IFERROR(__xludf.DUMMYFUNCTION("IF('(INGESTA)Datos_consumo_datadis'!A20282&lt;&gt;"""",SPLIT('(INGESTA)Datos_consumo_datadis'!A:A,"",""),"""")"),"")</f>
        <v/>
      </c>
      <c r="G18717" s="8" t="str">
        <f t="shared" si="1"/>
        <v/>
      </c>
      <c r="H18717" s="14" t="str">
        <f t="shared" si="2"/>
        <v/>
      </c>
      <c r="I18717" s="15" t="str">
        <f t="shared" si="3"/>
        <v/>
      </c>
    </row>
    <row r="18718">
      <c r="A18718" s="8" t="str">
        <f>IFERROR(__xludf.DUMMYFUNCTION("IF('(INGESTA)Datos_consumo_datadis'!A20283&lt;&gt;"""",SPLIT('(INGESTA)Datos_consumo_datadis'!A:A,"",""),"""")"),"")</f>
        <v/>
      </c>
      <c r="G18718" s="8" t="str">
        <f t="shared" si="1"/>
        <v/>
      </c>
      <c r="H18718" s="14" t="str">
        <f t="shared" si="2"/>
        <v/>
      </c>
      <c r="I18718" s="15" t="str">
        <f t="shared" si="3"/>
        <v/>
      </c>
    </row>
    <row r="18719">
      <c r="A18719" s="8" t="str">
        <f>IFERROR(__xludf.DUMMYFUNCTION("IF('(INGESTA)Datos_consumo_datadis'!A20284&lt;&gt;"""",SPLIT('(INGESTA)Datos_consumo_datadis'!A:A,"",""),"""")"),"")</f>
        <v/>
      </c>
      <c r="G18719" s="8" t="str">
        <f t="shared" si="1"/>
        <v/>
      </c>
      <c r="H18719" s="14" t="str">
        <f t="shared" si="2"/>
        <v/>
      </c>
      <c r="I18719" s="15" t="str">
        <f t="shared" si="3"/>
        <v/>
      </c>
    </row>
    <row r="18720">
      <c r="A18720" s="8" t="str">
        <f>IFERROR(__xludf.DUMMYFUNCTION("IF('(INGESTA)Datos_consumo_datadis'!A20285&lt;&gt;"""",SPLIT('(INGESTA)Datos_consumo_datadis'!A:A,"",""),"""")"),"")</f>
        <v/>
      </c>
      <c r="G18720" s="8" t="str">
        <f t="shared" si="1"/>
        <v/>
      </c>
      <c r="H18720" s="14" t="str">
        <f t="shared" si="2"/>
        <v/>
      </c>
      <c r="I18720" s="15" t="str">
        <f t="shared" si="3"/>
        <v/>
      </c>
    </row>
    <row r="18721">
      <c r="A18721" s="8" t="str">
        <f>IFERROR(__xludf.DUMMYFUNCTION("IF('(INGESTA)Datos_consumo_datadis'!A20286&lt;&gt;"""",SPLIT('(INGESTA)Datos_consumo_datadis'!A:A,"",""),"""")"),"")</f>
        <v/>
      </c>
      <c r="G18721" s="8" t="str">
        <f t="shared" si="1"/>
        <v/>
      </c>
      <c r="H18721" s="14" t="str">
        <f t="shared" si="2"/>
        <v/>
      </c>
      <c r="I18721" s="15" t="str">
        <f t="shared" si="3"/>
        <v/>
      </c>
    </row>
    <row r="18722">
      <c r="A18722" s="8" t="str">
        <f>IFERROR(__xludf.DUMMYFUNCTION("IF('(INGESTA)Datos_consumo_datadis'!A20287&lt;&gt;"""",SPLIT('(INGESTA)Datos_consumo_datadis'!A:A,"",""),"""")"),"")</f>
        <v/>
      </c>
      <c r="G18722" s="8" t="str">
        <f t="shared" si="1"/>
        <v/>
      </c>
      <c r="H18722" s="14" t="str">
        <f t="shared" si="2"/>
        <v/>
      </c>
      <c r="I18722" s="15" t="str">
        <f t="shared" si="3"/>
        <v/>
      </c>
    </row>
    <row r="18723">
      <c r="A18723" s="8" t="str">
        <f>IFERROR(__xludf.DUMMYFUNCTION("IF('(INGESTA)Datos_consumo_datadis'!A20288&lt;&gt;"""",SPLIT('(INGESTA)Datos_consumo_datadis'!A:A,"",""),"""")"),"")</f>
        <v/>
      </c>
      <c r="G18723" s="8" t="str">
        <f t="shared" si="1"/>
        <v/>
      </c>
      <c r="H18723" s="14" t="str">
        <f t="shared" si="2"/>
        <v/>
      </c>
      <c r="I18723" s="15" t="str">
        <f t="shared" si="3"/>
        <v/>
      </c>
    </row>
    <row r="18724">
      <c r="A18724" s="8" t="str">
        <f>IFERROR(__xludf.DUMMYFUNCTION("IF('(INGESTA)Datos_consumo_datadis'!A20289&lt;&gt;"""",SPLIT('(INGESTA)Datos_consumo_datadis'!A:A,"",""),"""")"),"")</f>
        <v/>
      </c>
      <c r="G18724" s="8" t="str">
        <f t="shared" si="1"/>
        <v/>
      </c>
      <c r="H18724" s="14" t="str">
        <f t="shared" si="2"/>
        <v/>
      </c>
      <c r="I18724" s="15" t="str">
        <f t="shared" si="3"/>
        <v/>
      </c>
    </row>
    <row r="18725">
      <c r="A18725" s="8" t="str">
        <f>IFERROR(__xludf.DUMMYFUNCTION("IF('(INGESTA)Datos_consumo_datadis'!A20290&lt;&gt;"""",SPLIT('(INGESTA)Datos_consumo_datadis'!A:A,"",""),"""")"),"")</f>
        <v/>
      </c>
      <c r="G18725" s="8" t="str">
        <f t="shared" si="1"/>
        <v/>
      </c>
      <c r="H18725" s="14" t="str">
        <f t="shared" si="2"/>
        <v/>
      </c>
      <c r="I18725" s="15" t="str">
        <f t="shared" si="3"/>
        <v/>
      </c>
    </row>
    <row r="18726">
      <c r="A18726" s="8" t="str">
        <f>IFERROR(__xludf.DUMMYFUNCTION("IF('(INGESTA)Datos_consumo_datadis'!A20291&lt;&gt;"""",SPLIT('(INGESTA)Datos_consumo_datadis'!A:A,"",""),"""")"),"")</f>
        <v/>
      </c>
      <c r="G18726" s="8" t="str">
        <f t="shared" si="1"/>
        <v/>
      </c>
      <c r="H18726" s="14" t="str">
        <f t="shared" si="2"/>
        <v/>
      </c>
      <c r="I18726" s="15" t="str">
        <f t="shared" si="3"/>
        <v/>
      </c>
    </row>
    <row r="18727">
      <c r="A18727" s="8" t="str">
        <f>IFERROR(__xludf.DUMMYFUNCTION("IF('(INGESTA)Datos_consumo_datadis'!A20292&lt;&gt;"""",SPLIT('(INGESTA)Datos_consumo_datadis'!A:A,"",""),"""")"),"")</f>
        <v/>
      </c>
      <c r="G18727" s="8" t="str">
        <f t="shared" si="1"/>
        <v/>
      </c>
      <c r="H18727" s="14" t="str">
        <f t="shared" si="2"/>
        <v/>
      </c>
      <c r="I18727" s="15" t="str">
        <f t="shared" si="3"/>
        <v/>
      </c>
    </row>
    <row r="18728">
      <c r="A18728" s="8" t="str">
        <f>IFERROR(__xludf.DUMMYFUNCTION("IF('(INGESTA)Datos_consumo_datadis'!A20293&lt;&gt;"""",SPLIT('(INGESTA)Datos_consumo_datadis'!A:A,"",""),"""")"),"")</f>
        <v/>
      </c>
      <c r="G18728" s="8" t="str">
        <f t="shared" si="1"/>
        <v/>
      </c>
      <c r="H18728" s="14" t="str">
        <f t="shared" si="2"/>
        <v/>
      </c>
      <c r="I18728" s="15" t="str">
        <f t="shared" si="3"/>
        <v/>
      </c>
    </row>
    <row r="18729">
      <c r="A18729" s="8" t="str">
        <f>IFERROR(__xludf.DUMMYFUNCTION("IF('(INGESTA)Datos_consumo_datadis'!A20294&lt;&gt;"""",SPLIT('(INGESTA)Datos_consumo_datadis'!A:A,"",""),"""")"),"")</f>
        <v/>
      </c>
      <c r="G18729" s="8" t="str">
        <f t="shared" si="1"/>
        <v/>
      </c>
      <c r="H18729" s="14" t="str">
        <f t="shared" si="2"/>
        <v/>
      </c>
      <c r="I18729" s="15" t="str">
        <f t="shared" si="3"/>
        <v/>
      </c>
    </row>
    <row r="18730">
      <c r="A18730" s="8" t="str">
        <f>IFERROR(__xludf.DUMMYFUNCTION("IF('(INGESTA)Datos_consumo_datadis'!A20295&lt;&gt;"""",SPLIT('(INGESTA)Datos_consumo_datadis'!A:A,"",""),"""")"),"")</f>
        <v/>
      </c>
      <c r="G18730" s="8" t="str">
        <f t="shared" si="1"/>
        <v/>
      </c>
      <c r="H18730" s="14" t="str">
        <f t="shared" si="2"/>
        <v/>
      </c>
      <c r="I18730" s="15" t="str">
        <f t="shared" si="3"/>
        <v/>
      </c>
    </row>
    <row r="18731">
      <c r="A18731" s="8" t="str">
        <f>IFERROR(__xludf.DUMMYFUNCTION("IF('(INGESTA)Datos_consumo_datadis'!A20296&lt;&gt;"""",SPLIT('(INGESTA)Datos_consumo_datadis'!A:A,"",""),"""")"),"")</f>
        <v/>
      </c>
      <c r="G18731" s="8" t="str">
        <f t="shared" si="1"/>
        <v/>
      </c>
      <c r="H18731" s="14" t="str">
        <f t="shared" si="2"/>
        <v/>
      </c>
      <c r="I18731" s="15" t="str">
        <f t="shared" si="3"/>
        <v/>
      </c>
    </row>
    <row r="18732">
      <c r="A18732" s="8" t="str">
        <f>IFERROR(__xludf.DUMMYFUNCTION("IF('(INGESTA)Datos_consumo_datadis'!A20297&lt;&gt;"""",SPLIT('(INGESTA)Datos_consumo_datadis'!A:A,"",""),"""")"),"")</f>
        <v/>
      </c>
      <c r="G18732" s="8" t="str">
        <f t="shared" si="1"/>
        <v/>
      </c>
      <c r="H18732" s="14" t="str">
        <f t="shared" si="2"/>
        <v/>
      </c>
      <c r="I18732" s="15" t="str">
        <f t="shared" si="3"/>
        <v/>
      </c>
    </row>
    <row r="18733">
      <c r="A18733" s="8" t="str">
        <f>IFERROR(__xludf.DUMMYFUNCTION("IF('(INGESTA)Datos_consumo_datadis'!A20298&lt;&gt;"""",SPLIT('(INGESTA)Datos_consumo_datadis'!A:A,"",""),"""")"),"")</f>
        <v/>
      </c>
      <c r="G18733" s="8" t="str">
        <f t="shared" si="1"/>
        <v/>
      </c>
      <c r="H18733" s="14" t="str">
        <f t="shared" si="2"/>
        <v/>
      </c>
      <c r="I18733" s="15" t="str">
        <f t="shared" si="3"/>
        <v/>
      </c>
    </row>
    <row r="18734">
      <c r="A18734" s="8" t="str">
        <f>IFERROR(__xludf.DUMMYFUNCTION("IF('(INGESTA)Datos_consumo_datadis'!A20299&lt;&gt;"""",SPLIT('(INGESTA)Datos_consumo_datadis'!A:A,"",""),"""")"),"")</f>
        <v/>
      </c>
      <c r="G18734" s="8" t="str">
        <f t="shared" si="1"/>
        <v/>
      </c>
      <c r="H18734" s="14" t="str">
        <f t="shared" si="2"/>
        <v/>
      </c>
      <c r="I18734" s="15" t="str">
        <f t="shared" si="3"/>
        <v/>
      </c>
    </row>
    <row r="18735">
      <c r="A18735" s="8" t="str">
        <f>IFERROR(__xludf.DUMMYFUNCTION("IF('(INGESTA)Datos_consumo_datadis'!A20300&lt;&gt;"""",SPLIT('(INGESTA)Datos_consumo_datadis'!A:A,"",""),"""")"),"")</f>
        <v/>
      </c>
      <c r="G18735" s="8" t="str">
        <f t="shared" si="1"/>
        <v/>
      </c>
      <c r="H18735" s="14" t="str">
        <f t="shared" si="2"/>
        <v/>
      </c>
      <c r="I18735" s="15" t="str">
        <f t="shared" si="3"/>
        <v/>
      </c>
    </row>
    <row r="18736">
      <c r="A18736" s="8" t="str">
        <f>IFERROR(__xludf.DUMMYFUNCTION("IF('(INGESTA)Datos_consumo_datadis'!A20301&lt;&gt;"""",SPLIT('(INGESTA)Datos_consumo_datadis'!A:A,"",""),"""")"),"")</f>
        <v/>
      </c>
      <c r="G18736" s="8" t="str">
        <f t="shared" si="1"/>
        <v/>
      </c>
      <c r="H18736" s="14" t="str">
        <f t="shared" si="2"/>
        <v/>
      </c>
      <c r="I18736" s="15" t="str">
        <f t="shared" si="3"/>
        <v/>
      </c>
    </row>
    <row r="18737">
      <c r="A18737" s="8" t="str">
        <f>IFERROR(__xludf.DUMMYFUNCTION("IF('(INGESTA)Datos_consumo_datadis'!A20302&lt;&gt;"""",SPLIT('(INGESTA)Datos_consumo_datadis'!A:A,"",""),"""")"),"")</f>
        <v/>
      </c>
      <c r="G18737" s="8" t="str">
        <f t="shared" si="1"/>
        <v/>
      </c>
      <c r="H18737" s="14" t="str">
        <f t="shared" si="2"/>
        <v/>
      </c>
      <c r="I18737" s="15" t="str">
        <f t="shared" si="3"/>
        <v/>
      </c>
    </row>
    <row r="18738">
      <c r="A18738" s="8" t="str">
        <f>IFERROR(__xludf.DUMMYFUNCTION("IF('(INGESTA)Datos_consumo_datadis'!A20303&lt;&gt;"""",SPLIT('(INGESTA)Datos_consumo_datadis'!A:A,"",""),"""")"),"")</f>
        <v/>
      </c>
      <c r="G18738" s="8" t="str">
        <f t="shared" si="1"/>
        <v/>
      </c>
      <c r="H18738" s="14" t="str">
        <f t="shared" si="2"/>
        <v/>
      </c>
      <c r="I18738" s="15" t="str">
        <f t="shared" si="3"/>
        <v/>
      </c>
    </row>
    <row r="18739">
      <c r="A18739" s="8" t="str">
        <f>IFERROR(__xludf.DUMMYFUNCTION("IF('(INGESTA)Datos_consumo_datadis'!A20304&lt;&gt;"""",SPLIT('(INGESTA)Datos_consumo_datadis'!A:A,"",""),"""")"),"")</f>
        <v/>
      </c>
      <c r="G18739" s="8" t="str">
        <f t="shared" si="1"/>
        <v/>
      </c>
      <c r="H18739" s="14" t="str">
        <f t="shared" si="2"/>
        <v/>
      </c>
      <c r="I18739" s="15" t="str">
        <f t="shared" si="3"/>
        <v/>
      </c>
    </row>
    <row r="18740">
      <c r="A18740" s="8" t="str">
        <f>IFERROR(__xludf.DUMMYFUNCTION("IF('(INGESTA)Datos_consumo_datadis'!A20305&lt;&gt;"""",SPLIT('(INGESTA)Datos_consumo_datadis'!A:A,"",""),"""")"),"")</f>
        <v/>
      </c>
      <c r="G18740" s="8" t="str">
        <f t="shared" si="1"/>
        <v/>
      </c>
      <c r="H18740" s="14" t="str">
        <f t="shared" si="2"/>
        <v/>
      </c>
      <c r="I18740" s="15" t="str">
        <f t="shared" si="3"/>
        <v/>
      </c>
    </row>
    <row r="18741">
      <c r="A18741" s="8" t="str">
        <f>IFERROR(__xludf.DUMMYFUNCTION("IF('(INGESTA)Datos_consumo_datadis'!A20306&lt;&gt;"""",SPLIT('(INGESTA)Datos_consumo_datadis'!A:A,"",""),"""")"),"")</f>
        <v/>
      </c>
      <c r="G18741" s="8" t="str">
        <f t="shared" si="1"/>
        <v/>
      </c>
      <c r="H18741" s="14" t="str">
        <f t="shared" si="2"/>
        <v/>
      </c>
      <c r="I18741" s="15" t="str">
        <f t="shared" si="3"/>
        <v/>
      </c>
    </row>
    <row r="18742">
      <c r="A18742" s="8" t="str">
        <f>IFERROR(__xludf.DUMMYFUNCTION("IF('(INGESTA)Datos_consumo_datadis'!A20307&lt;&gt;"""",SPLIT('(INGESTA)Datos_consumo_datadis'!A:A,"",""),"""")"),"")</f>
        <v/>
      </c>
      <c r="G18742" s="8" t="str">
        <f t="shared" si="1"/>
        <v/>
      </c>
      <c r="H18742" s="14" t="str">
        <f t="shared" si="2"/>
        <v/>
      </c>
      <c r="I18742" s="15" t="str">
        <f t="shared" si="3"/>
        <v/>
      </c>
    </row>
    <row r="18743">
      <c r="A18743" s="8" t="str">
        <f>IFERROR(__xludf.DUMMYFUNCTION("IF('(INGESTA)Datos_consumo_datadis'!A20308&lt;&gt;"""",SPLIT('(INGESTA)Datos_consumo_datadis'!A:A,"",""),"""")"),"")</f>
        <v/>
      </c>
      <c r="G18743" s="8" t="str">
        <f t="shared" si="1"/>
        <v/>
      </c>
      <c r="H18743" s="14" t="str">
        <f t="shared" si="2"/>
        <v/>
      </c>
      <c r="I18743" s="15" t="str">
        <f t="shared" si="3"/>
        <v/>
      </c>
    </row>
    <row r="18744">
      <c r="A18744" s="8" t="str">
        <f>IFERROR(__xludf.DUMMYFUNCTION("IF('(INGESTA)Datos_consumo_datadis'!A20309&lt;&gt;"""",SPLIT('(INGESTA)Datos_consumo_datadis'!A:A,"",""),"""")"),"")</f>
        <v/>
      </c>
      <c r="G18744" s="8" t="str">
        <f t="shared" si="1"/>
        <v/>
      </c>
      <c r="H18744" s="14" t="str">
        <f t="shared" si="2"/>
        <v/>
      </c>
      <c r="I18744" s="15" t="str">
        <f t="shared" si="3"/>
        <v/>
      </c>
    </row>
    <row r="18745">
      <c r="A18745" s="8" t="str">
        <f>IFERROR(__xludf.DUMMYFUNCTION("IF('(INGESTA)Datos_consumo_datadis'!A20310&lt;&gt;"""",SPLIT('(INGESTA)Datos_consumo_datadis'!A:A,"",""),"""")"),"")</f>
        <v/>
      </c>
      <c r="G18745" s="8" t="str">
        <f t="shared" si="1"/>
        <v/>
      </c>
      <c r="H18745" s="14" t="str">
        <f t="shared" si="2"/>
        <v/>
      </c>
      <c r="I18745" s="15" t="str">
        <f t="shared" si="3"/>
        <v/>
      </c>
    </row>
    <row r="18746">
      <c r="A18746" s="8" t="str">
        <f>IFERROR(__xludf.DUMMYFUNCTION("IF('(INGESTA)Datos_consumo_datadis'!A20311&lt;&gt;"""",SPLIT('(INGESTA)Datos_consumo_datadis'!A:A,"",""),"""")"),"")</f>
        <v/>
      </c>
      <c r="G18746" s="8" t="str">
        <f t="shared" si="1"/>
        <v/>
      </c>
      <c r="H18746" s="14" t="str">
        <f t="shared" si="2"/>
        <v/>
      </c>
      <c r="I18746" s="15" t="str">
        <f t="shared" si="3"/>
        <v/>
      </c>
    </row>
    <row r="18747">
      <c r="A18747" s="8" t="str">
        <f>IFERROR(__xludf.DUMMYFUNCTION("IF('(INGESTA)Datos_consumo_datadis'!A20312&lt;&gt;"""",SPLIT('(INGESTA)Datos_consumo_datadis'!A:A,"",""),"""")"),"")</f>
        <v/>
      </c>
      <c r="G18747" s="8" t="str">
        <f t="shared" si="1"/>
        <v/>
      </c>
      <c r="H18747" s="14" t="str">
        <f t="shared" si="2"/>
        <v/>
      </c>
      <c r="I18747" s="15" t="str">
        <f t="shared" si="3"/>
        <v/>
      </c>
    </row>
    <row r="18748">
      <c r="A18748" s="8" t="str">
        <f>IFERROR(__xludf.DUMMYFUNCTION("IF('(INGESTA)Datos_consumo_datadis'!A20313&lt;&gt;"""",SPLIT('(INGESTA)Datos_consumo_datadis'!A:A,"",""),"""")"),"")</f>
        <v/>
      </c>
      <c r="G18748" s="8" t="str">
        <f t="shared" si="1"/>
        <v/>
      </c>
      <c r="H18748" s="14" t="str">
        <f t="shared" si="2"/>
        <v/>
      </c>
      <c r="I18748" s="15" t="str">
        <f t="shared" si="3"/>
        <v/>
      </c>
    </row>
    <row r="18749">
      <c r="A18749" s="8" t="str">
        <f>IFERROR(__xludf.DUMMYFUNCTION("IF('(INGESTA)Datos_consumo_datadis'!A20314&lt;&gt;"""",SPLIT('(INGESTA)Datos_consumo_datadis'!A:A,"",""),"""")"),"")</f>
        <v/>
      </c>
      <c r="G18749" s="8" t="str">
        <f t="shared" si="1"/>
        <v/>
      </c>
      <c r="H18749" s="14" t="str">
        <f t="shared" si="2"/>
        <v/>
      </c>
      <c r="I18749" s="15" t="str">
        <f t="shared" si="3"/>
        <v/>
      </c>
    </row>
    <row r="18750">
      <c r="A18750" s="8" t="str">
        <f>IFERROR(__xludf.DUMMYFUNCTION("IF('(INGESTA)Datos_consumo_datadis'!A20315&lt;&gt;"""",SPLIT('(INGESTA)Datos_consumo_datadis'!A:A,"",""),"""")"),"")</f>
        <v/>
      </c>
      <c r="G18750" s="8" t="str">
        <f t="shared" si="1"/>
        <v/>
      </c>
      <c r="H18750" s="14" t="str">
        <f t="shared" si="2"/>
        <v/>
      </c>
      <c r="I18750" s="15" t="str">
        <f t="shared" si="3"/>
        <v/>
      </c>
    </row>
    <row r="18751">
      <c r="A18751" s="8" t="str">
        <f>IFERROR(__xludf.DUMMYFUNCTION("IF('(INGESTA)Datos_consumo_datadis'!A20316&lt;&gt;"""",SPLIT('(INGESTA)Datos_consumo_datadis'!A:A,"",""),"""")"),"")</f>
        <v/>
      </c>
      <c r="G18751" s="8" t="str">
        <f t="shared" si="1"/>
        <v/>
      </c>
      <c r="H18751" s="14" t="str">
        <f t="shared" si="2"/>
        <v/>
      </c>
      <c r="I18751" s="15" t="str">
        <f t="shared" si="3"/>
        <v/>
      </c>
    </row>
    <row r="18752">
      <c r="A18752" s="8" t="str">
        <f>IFERROR(__xludf.DUMMYFUNCTION("IF('(INGESTA)Datos_consumo_datadis'!A20317&lt;&gt;"""",SPLIT('(INGESTA)Datos_consumo_datadis'!A:A,"",""),"""")"),"")</f>
        <v/>
      </c>
      <c r="G18752" s="8" t="str">
        <f t="shared" si="1"/>
        <v/>
      </c>
      <c r="H18752" s="14" t="str">
        <f t="shared" si="2"/>
        <v/>
      </c>
      <c r="I18752" s="15" t="str">
        <f t="shared" si="3"/>
        <v/>
      </c>
    </row>
    <row r="18753">
      <c r="A18753" s="8" t="str">
        <f>IFERROR(__xludf.DUMMYFUNCTION("IF('(INGESTA)Datos_consumo_datadis'!A20318&lt;&gt;"""",SPLIT('(INGESTA)Datos_consumo_datadis'!A:A,"",""),"""")"),"")</f>
        <v/>
      </c>
      <c r="G18753" s="8" t="str">
        <f t="shared" si="1"/>
        <v/>
      </c>
      <c r="H18753" s="14" t="str">
        <f t="shared" si="2"/>
        <v/>
      </c>
      <c r="I18753" s="15" t="str">
        <f t="shared" si="3"/>
        <v/>
      </c>
    </row>
    <row r="18754">
      <c r="A18754" s="8" t="str">
        <f>IFERROR(__xludf.DUMMYFUNCTION("IF('(INGESTA)Datos_consumo_datadis'!A20319&lt;&gt;"""",SPLIT('(INGESTA)Datos_consumo_datadis'!A:A,"",""),"""")"),"")</f>
        <v/>
      </c>
      <c r="G18754" s="8" t="str">
        <f t="shared" si="1"/>
        <v/>
      </c>
      <c r="H18754" s="14" t="str">
        <f t="shared" si="2"/>
        <v/>
      </c>
      <c r="I18754" s="15" t="str">
        <f t="shared" si="3"/>
        <v/>
      </c>
    </row>
    <row r="18755">
      <c r="A18755" s="8" t="str">
        <f>IFERROR(__xludf.DUMMYFUNCTION("IF('(INGESTA)Datos_consumo_datadis'!A20320&lt;&gt;"""",SPLIT('(INGESTA)Datos_consumo_datadis'!A:A,"",""),"""")"),"")</f>
        <v/>
      </c>
      <c r="G18755" s="8" t="str">
        <f t="shared" si="1"/>
        <v/>
      </c>
      <c r="H18755" s="14" t="str">
        <f t="shared" si="2"/>
        <v/>
      </c>
      <c r="I18755" s="15" t="str">
        <f t="shared" si="3"/>
        <v/>
      </c>
    </row>
    <row r="18756">
      <c r="A18756" s="8" t="str">
        <f>IFERROR(__xludf.DUMMYFUNCTION("IF('(INGESTA)Datos_consumo_datadis'!A20321&lt;&gt;"""",SPLIT('(INGESTA)Datos_consumo_datadis'!A:A,"",""),"""")"),"")</f>
        <v/>
      </c>
      <c r="G18756" s="8" t="str">
        <f t="shared" si="1"/>
        <v/>
      </c>
      <c r="H18756" s="14" t="str">
        <f t="shared" si="2"/>
        <v/>
      </c>
      <c r="I18756" s="15" t="str">
        <f t="shared" si="3"/>
        <v/>
      </c>
    </row>
    <row r="18757">
      <c r="A18757" s="8" t="str">
        <f>IFERROR(__xludf.DUMMYFUNCTION("IF('(INGESTA)Datos_consumo_datadis'!A20322&lt;&gt;"""",SPLIT('(INGESTA)Datos_consumo_datadis'!A:A,"",""),"""")"),"")</f>
        <v/>
      </c>
      <c r="G18757" s="8" t="str">
        <f t="shared" si="1"/>
        <v/>
      </c>
      <c r="H18757" s="14" t="str">
        <f t="shared" si="2"/>
        <v/>
      </c>
      <c r="I18757" s="15" t="str">
        <f t="shared" si="3"/>
        <v/>
      </c>
    </row>
    <row r="18758">
      <c r="A18758" s="8" t="str">
        <f>IFERROR(__xludf.DUMMYFUNCTION("IF('(INGESTA)Datos_consumo_datadis'!A20323&lt;&gt;"""",SPLIT('(INGESTA)Datos_consumo_datadis'!A:A,"",""),"""")"),"")</f>
        <v/>
      </c>
      <c r="G18758" s="8" t="str">
        <f t="shared" si="1"/>
        <v/>
      </c>
      <c r="H18758" s="14" t="str">
        <f t="shared" si="2"/>
        <v/>
      </c>
      <c r="I18758" s="15" t="str">
        <f t="shared" si="3"/>
        <v/>
      </c>
    </row>
    <row r="18759">
      <c r="A18759" s="8" t="str">
        <f>IFERROR(__xludf.DUMMYFUNCTION("IF('(INGESTA)Datos_consumo_datadis'!A20324&lt;&gt;"""",SPLIT('(INGESTA)Datos_consumo_datadis'!A:A,"",""),"""")"),"")</f>
        <v/>
      </c>
      <c r="G18759" s="8" t="str">
        <f t="shared" si="1"/>
        <v/>
      </c>
      <c r="H18759" s="14" t="str">
        <f t="shared" si="2"/>
        <v/>
      </c>
      <c r="I18759" s="15" t="str">
        <f t="shared" si="3"/>
        <v/>
      </c>
    </row>
    <row r="18760">
      <c r="A18760" s="8" t="str">
        <f>IFERROR(__xludf.DUMMYFUNCTION("IF('(INGESTA)Datos_consumo_datadis'!A20325&lt;&gt;"""",SPLIT('(INGESTA)Datos_consumo_datadis'!A:A,"",""),"""")"),"")</f>
        <v/>
      </c>
      <c r="G18760" s="8" t="str">
        <f t="shared" si="1"/>
        <v/>
      </c>
      <c r="H18760" s="14" t="str">
        <f t="shared" si="2"/>
        <v/>
      </c>
      <c r="I18760" s="15" t="str">
        <f t="shared" si="3"/>
        <v/>
      </c>
    </row>
    <row r="18761">
      <c r="A18761" s="8" t="str">
        <f>IFERROR(__xludf.DUMMYFUNCTION("IF('(INGESTA)Datos_consumo_datadis'!A20326&lt;&gt;"""",SPLIT('(INGESTA)Datos_consumo_datadis'!A:A,"",""),"""")"),"")</f>
        <v/>
      </c>
      <c r="G18761" s="8" t="str">
        <f t="shared" si="1"/>
        <v/>
      </c>
      <c r="H18761" s="14" t="str">
        <f t="shared" si="2"/>
        <v/>
      </c>
      <c r="I18761" s="15" t="str">
        <f t="shared" si="3"/>
        <v/>
      </c>
    </row>
    <row r="18762">
      <c r="A18762" s="8" t="str">
        <f>IFERROR(__xludf.DUMMYFUNCTION("IF('(INGESTA)Datos_consumo_datadis'!A20327&lt;&gt;"""",SPLIT('(INGESTA)Datos_consumo_datadis'!A:A,"",""),"""")"),"")</f>
        <v/>
      </c>
      <c r="G18762" s="8" t="str">
        <f t="shared" si="1"/>
        <v/>
      </c>
      <c r="H18762" s="14" t="str">
        <f t="shared" si="2"/>
        <v/>
      </c>
      <c r="I18762" s="15" t="str">
        <f t="shared" si="3"/>
        <v/>
      </c>
    </row>
    <row r="18763">
      <c r="A18763" s="8" t="str">
        <f>IFERROR(__xludf.DUMMYFUNCTION("IF('(INGESTA)Datos_consumo_datadis'!A20328&lt;&gt;"""",SPLIT('(INGESTA)Datos_consumo_datadis'!A:A,"",""),"""")"),"")</f>
        <v/>
      </c>
      <c r="G18763" s="8" t="str">
        <f t="shared" si="1"/>
        <v/>
      </c>
      <c r="H18763" s="14" t="str">
        <f t="shared" si="2"/>
        <v/>
      </c>
      <c r="I18763" s="15" t="str">
        <f t="shared" si="3"/>
        <v/>
      </c>
    </row>
    <row r="18764">
      <c r="A18764" s="8" t="str">
        <f>IFERROR(__xludf.DUMMYFUNCTION("IF('(INGESTA)Datos_consumo_datadis'!A20329&lt;&gt;"""",SPLIT('(INGESTA)Datos_consumo_datadis'!A:A,"",""),"""")"),"")</f>
        <v/>
      </c>
      <c r="G18764" s="8" t="str">
        <f t="shared" si="1"/>
        <v/>
      </c>
      <c r="H18764" s="14" t="str">
        <f t="shared" si="2"/>
        <v/>
      </c>
      <c r="I18764" s="15" t="str">
        <f t="shared" si="3"/>
        <v/>
      </c>
    </row>
    <row r="18765">
      <c r="A18765" s="8" t="str">
        <f>IFERROR(__xludf.DUMMYFUNCTION("IF('(INGESTA)Datos_consumo_datadis'!A20330&lt;&gt;"""",SPLIT('(INGESTA)Datos_consumo_datadis'!A:A,"",""),"""")"),"")</f>
        <v/>
      </c>
      <c r="G18765" s="8" t="str">
        <f t="shared" si="1"/>
        <v/>
      </c>
      <c r="H18765" s="14" t="str">
        <f t="shared" si="2"/>
        <v/>
      </c>
      <c r="I18765" s="15" t="str">
        <f t="shared" si="3"/>
        <v/>
      </c>
    </row>
    <row r="18766">
      <c r="A18766" s="8" t="str">
        <f>IFERROR(__xludf.DUMMYFUNCTION("IF('(INGESTA)Datos_consumo_datadis'!A20331&lt;&gt;"""",SPLIT('(INGESTA)Datos_consumo_datadis'!A:A,"",""),"""")"),"")</f>
        <v/>
      </c>
      <c r="G18766" s="8" t="str">
        <f t="shared" si="1"/>
        <v/>
      </c>
      <c r="H18766" s="14" t="str">
        <f t="shared" si="2"/>
        <v/>
      </c>
      <c r="I18766" s="15" t="str">
        <f t="shared" si="3"/>
        <v/>
      </c>
    </row>
    <row r="18767">
      <c r="A18767" s="8" t="str">
        <f>IFERROR(__xludf.DUMMYFUNCTION("IF('(INGESTA)Datos_consumo_datadis'!A20332&lt;&gt;"""",SPLIT('(INGESTA)Datos_consumo_datadis'!A:A,"",""),"""")"),"")</f>
        <v/>
      </c>
      <c r="G18767" s="8" t="str">
        <f t="shared" si="1"/>
        <v/>
      </c>
      <c r="H18767" s="14" t="str">
        <f t="shared" si="2"/>
        <v/>
      </c>
      <c r="I18767" s="15" t="str">
        <f t="shared" si="3"/>
        <v/>
      </c>
    </row>
    <row r="18768">
      <c r="A18768" s="8" t="str">
        <f>IFERROR(__xludf.DUMMYFUNCTION("IF('(INGESTA)Datos_consumo_datadis'!A20333&lt;&gt;"""",SPLIT('(INGESTA)Datos_consumo_datadis'!A:A,"",""),"""")"),"")</f>
        <v/>
      </c>
      <c r="G18768" s="8" t="str">
        <f t="shared" si="1"/>
        <v/>
      </c>
      <c r="H18768" s="14" t="str">
        <f t="shared" si="2"/>
        <v/>
      </c>
      <c r="I18768" s="15" t="str">
        <f t="shared" si="3"/>
        <v/>
      </c>
    </row>
    <row r="18769">
      <c r="A18769" s="8" t="str">
        <f>IFERROR(__xludf.DUMMYFUNCTION("IF('(INGESTA)Datos_consumo_datadis'!A20334&lt;&gt;"""",SPLIT('(INGESTA)Datos_consumo_datadis'!A:A,"",""),"""")"),"")</f>
        <v/>
      </c>
      <c r="G18769" s="8" t="str">
        <f t="shared" si="1"/>
        <v/>
      </c>
      <c r="H18769" s="14" t="str">
        <f t="shared" si="2"/>
        <v/>
      </c>
      <c r="I18769" s="15" t="str">
        <f t="shared" si="3"/>
        <v/>
      </c>
    </row>
    <row r="18770">
      <c r="A18770" s="8" t="str">
        <f>IFERROR(__xludf.DUMMYFUNCTION("IF('(INGESTA)Datos_consumo_datadis'!A20335&lt;&gt;"""",SPLIT('(INGESTA)Datos_consumo_datadis'!A:A,"",""),"""")"),"")</f>
        <v/>
      </c>
      <c r="G18770" s="8" t="str">
        <f t="shared" si="1"/>
        <v/>
      </c>
      <c r="H18770" s="14" t="str">
        <f t="shared" si="2"/>
        <v/>
      </c>
      <c r="I18770" s="15" t="str">
        <f t="shared" si="3"/>
        <v/>
      </c>
    </row>
    <row r="18771">
      <c r="A18771" s="8" t="str">
        <f>IFERROR(__xludf.DUMMYFUNCTION("IF('(INGESTA)Datos_consumo_datadis'!A20336&lt;&gt;"""",SPLIT('(INGESTA)Datos_consumo_datadis'!A:A,"",""),"""")"),"")</f>
        <v/>
      </c>
      <c r="G18771" s="8" t="str">
        <f t="shared" si="1"/>
        <v/>
      </c>
      <c r="H18771" s="14" t="str">
        <f t="shared" si="2"/>
        <v/>
      </c>
      <c r="I18771" s="15" t="str">
        <f t="shared" si="3"/>
        <v/>
      </c>
    </row>
    <row r="18772">
      <c r="A18772" s="8" t="str">
        <f>IFERROR(__xludf.DUMMYFUNCTION("IF('(INGESTA)Datos_consumo_datadis'!A20337&lt;&gt;"""",SPLIT('(INGESTA)Datos_consumo_datadis'!A:A,"",""),"""")"),"")</f>
        <v/>
      </c>
      <c r="G18772" s="8" t="str">
        <f t="shared" si="1"/>
        <v/>
      </c>
      <c r="H18772" s="14" t="str">
        <f t="shared" si="2"/>
        <v/>
      </c>
      <c r="I18772" s="15" t="str">
        <f t="shared" si="3"/>
        <v/>
      </c>
    </row>
    <row r="18773">
      <c r="A18773" s="8" t="str">
        <f>IFERROR(__xludf.DUMMYFUNCTION("IF('(INGESTA)Datos_consumo_datadis'!A20338&lt;&gt;"""",SPLIT('(INGESTA)Datos_consumo_datadis'!A:A,"",""),"""")"),"")</f>
        <v/>
      </c>
      <c r="G18773" s="8" t="str">
        <f t="shared" si="1"/>
        <v/>
      </c>
      <c r="H18773" s="14" t="str">
        <f t="shared" si="2"/>
        <v/>
      </c>
      <c r="I18773" s="15" t="str">
        <f t="shared" si="3"/>
        <v/>
      </c>
    </row>
    <row r="18774">
      <c r="A18774" s="8" t="str">
        <f>IFERROR(__xludf.DUMMYFUNCTION("IF('(INGESTA)Datos_consumo_datadis'!A20339&lt;&gt;"""",SPLIT('(INGESTA)Datos_consumo_datadis'!A:A,"",""),"""")"),"")</f>
        <v/>
      </c>
      <c r="G18774" s="8" t="str">
        <f t="shared" si="1"/>
        <v/>
      </c>
      <c r="H18774" s="14" t="str">
        <f t="shared" si="2"/>
        <v/>
      </c>
      <c r="I18774" s="15" t="str">
        <f t="shared" si="3"/>
        <v/>
      </c>
    </row>
    <row r="18775">
      <c r="A18775" s="8" t="str">
        <f>IFERROR(__xludf.DUMMYFUNCTION("IF('(INGESTA)Datos_consumo_datadis'!A20340&lt;&gt;"""",SPLIT('(INGESTA)Datos_consumo_datadis'!A:A,"",""),"""")"),"")</f>
        <v/>
      </c>
      <c r="G18775" s="8" t="str">
        <f t="shared" si="1"/>
        <v/>
      </c>
      <c r="H18775" s="14" t="str">
        <f t="shared" si="2"/>
        <v/>
      </c>
      <c r="I18775" s="15" t="str">
        <f t="shared" si="3"/>
        <v/>
      </c>
    </row>
    <row r="18776">
      <c r="A18776" s="8" t="str">
        <f>IFERROR(__xludf.DUMMYFUNCTION("IF('(INGESTA)Datos_consumo_datadis'!A20341&lt;&gt;"""",SPLIT('(INGESTA)Datos_consumo_datadis'!A:A,"",""),"""")"),"")</f>
        <v/>
      </c>
      <c r="G18776" s="8" t="str">
        <f t="shared" si="1"/>
        <v/>
      </c>
      <c r="H18776" s="14" t="str">
        <f t="shared" si="2"/>
        <v/>
      </c>
      <c r="I18776" s="15" t="str">
        <f t="shared" si="3"/>
        <v/>
      </c>
    </row>
    <row r="18777">
      <c r="A18777" s="8" t="str">
        <f>IFERROR(__xludf.DUMMYFUNCTION("IF('(INGESTA)Datos_consumo_datadis'!A20342&lt;&gt;"""",SPLIT('(INGESTA)Datos_consumo_datadis'!A:A,"",""),"""")"),"")</f>
        <v/>
      </c>
      <c r="G18777" s="8" t="str">
        <f t="shared" si="1"/>
        <v/>
      </c>
      <c r="H18777" s="14" t="str">
        <f t="shared" si="2"/>
        <v/>
      </c>
      <c r="I18777" s="15" t="str">
        <f t="shared" si="3"/>
        <v/>
      </c>
    </row>
    <row r="18778">
      <c r="A18778" s="8" t="str">
        <f>IFERROR(__xludf.DUMMYFUNCTION("IF('(INGESTA)Datos_consumo_datadis'!A20343&lt;&gt;"""",SPLIT('(INGESTA)Datos_consumo_datadis'!A:A,"",""),"""")"),"")</f>
        <v/>
      </c>
      <c r="G18778" s="8" t="str">
        <f t="shared" si="1"/>
        <v/>
      </c>
      <c r="H18778" s="14" t="str">
        <f t="shared" si="2"/>
        <v/>
      </c>
      <c r="I18778" s="15" t="str">
        <f t="shared" si="3"/>
        <v/>
      </c>
    </row>
    <row r="18779">
      <c r="A18779" s="8" t="str">
        <f>IFERROR(__xludf.DUMMYFUNCTION("IF('(INGESTA)Datos_consumo_datadis'!A20344&lt;&gt;"""",SPLIT('(INGESTA)Datos_consumo_datadis'!A:A,"",""),"""")"),"")</f>
        <v/>
      </c>
      <c r="G18779" s="8" t="str">
        <f t="shared" si="1"/>
        <v/>
      </c>
      <c r="H18779" s="14" t="str">
        <f t="shared" si="2"/>
        <v/>
      </c>
      <c r="I18779" s="15" t="str">
        <f t="shared" si="3"/>
        <v/>
      </c>
    </row>
    <row r="18780">
      <c r="A18780" s="8" t="str">
        <f>IFERROR(__xludf.DUMMYFUNCTION("IF('(INGESTA)Datos_consumo_datadis'!A20345&lt;&gt;"""",SPLIT('(INGESTA)Datos_consumo_datadis'!A:A,"",""),"""")"),"")</f>
        <v/>
      </c>
      <c r="G18780" s="8" t="str">
        <f t="shared" si="1"/>
        <v/>
      </c>
      <c r="H18780" s="14" t="str">
        <f t="shared" si="2"/>
        <v/>
      </c>
      <c r="I18780" s="15" t="str">
        <f t="shared" si="3"/>
        <v/>
      </c>
    </row>
    <row r="18781">
      <c r="A18781" s="8" t="str">
        <f>IFERROR(__xludf.DUMMYFUNCTION("IF('(INGESTA)Datos_consumo_datadis'!A20346&lt;&gt;"""",SPLIT('(INGESTA)Datos_consumo_datadis'!A:A,"",""),"""")"),"")</f>
        <v/>
      </c>
      <c r="G18781" s="8" t="str">
        <f t="shared" si="1"/>
        <v/>
      </c>
      <c r="H18781" s="14" t="str">
        <f t="shared" si="2"/>
        <v/>
      </c>
      <c r="I18781" s="15" t="str">
        <f t="shared" si="3"/>
        <v/>
      </c>
    </row>
    <row r="18782">
      <c r="A18782" s="8" t="str">
        <f>IFERROR(__xludf.DUMMYFUNCTION("IF('(INGESTA)Datos_consumo_datadis'!A20347&lt;&gt;"""",SPLIT('(INGESTA)Datos_consumo_datadis'!A:A,"",""),"""")"),"")</f>
        <v/>
      </c>
      <c r="G18782" s="8" t="str">
        <f t="shared" si="1"/>
        <v/>
      </c>
      <c r="H18782" s="14" t="str">
        <f t="shared" si="2"/>
        <v/>
      </c>
      <c r="I18782" s="15" t="str">
        <f t="shared" si="3"/>
        <v/>
      </c>
    </row>
    <row r="18783">
      <c r="A18783" s="8" t="str">
        <f>IFERROR(__xludf.DUMMYFUNCTION("IF('(INGESTA)Datos_consumo_datadis'!A20348&lt;&gt;"""",SPLIT('(INGESTA)Datos_consumo_datadis'!A:A,"",""),"""")"),"")</f>
        <v/>
      </c>
      <c r="G18783" s="8" t="str">
        <f t="shared" si="1"/>
        <v/>
      </c>
      <c r="H18783" s="14" t="str">
        <f t="shared" si="2"/>
        <v/>
      </c>
      <c r="I18783" s="15" t="str">
        <f t="shared" si="3"/>
        <v/>
      </c>
    </row>
    <row r="18784">
      <c r="A18784" s="8" t="str">
        <f>IFERROR(__xludf.DUMMYFUNCTION("IF('(INGESTA)Datos_consumo_datadis'!A20349&lt;&gt;"""",SPLIT('(INGESTA)Datos_consumo_datadis'!A:A,"",""),"""")"),"")</f>
        <v/>
      </c>
      <c r="G18784" s="8" t="str">
        <f t="shared" si="1"/>
        <v/>
      </c>
      <c r="H18784" s="14" t="str">
        <f t="shared" si="2"/>
        <v/>
      </c>
      <c r="I18784" s="15" t="str">
        <f t="shared" si="3"/>
        <v/>
      </c>
    </row>
    <row r="18785">
      <c r="A18785" s="8" t="str">
        <f>IFERROR(__xludf.DUMMYFUNCTION("IF('(INGESTA)Datos_consumo_datadis'!A20350&lt;&gt;"""",SPLIT('(INGESTA)Datos_consumo_datadis'!A:A,"",""),"""")"),"")</f>
        <v/>
      </c>
      <c r="G18785" s="8" t="str">
        <f t="shared" si="1"/>
        <v/>
      </c>
      <c r="H18785" s="14" t="str">
        <f t="shared" si="2"/>
        <v/>
      </c>
      <c r="I18785" s="15" t="str">
        <f t="shared" si="3"/>
        <v/>
      </c>
    </row>
    <row r="18786">
      <c r="A18786" s="8" t="str">
        <f>IFERROR(__xludf.DUMMYFUNCTION("IF('(INGESTA)Datos_consumo_datadis'!A20351&lt;&gt;"""",SPLIT('(INGESTA)Datos_consumo_datadis'!A:A,"",""),"""")"),"")</f>
        <v/>
      </c>
      <c r="G18786" s="8" t="str">
        <f t="shared" si="1"/>
        <v/>
      </c>
      <c r="H18786" s="14" t="str">
        <f t="shared" si="2"/>
        <v/>
      </c>
      <c r="I18786" s="15" t="str">
        <f t="shared" si="3"/>
        <v/>
      </c>
    </row>
    <row r="18787">
      <c r="A18787" s="8" t="str">
        <f>IFERROR(__xludf.DUMMYFUNCTION("IF('(INGESTA)Datos_consumo_datadis'!A20352&lt;&gt;"""",SPLIT('(INGESTA)Datos_consumo_datadis'!A:A,"",""),"""")"),"")</f>
        <v/>
      </c>
      <c r="G18787" s="8" t="str">
        <f t="shared" si="1"/>
        <v/>
      </c>
      <c r="H18787" s="14" t="str">
        <f t="shared" si="2"/>
        <v/>
      </c>
      <c r="I18787" s="15" t="str">
        <f t="shared" si="3"/>
        <v/>
      </c>
    </row>
    <row r="18788">
      <c r="A18788" s="8" t="str">
        <f>IFERROR(__xludf.DUMMYFUNCTION("IF('(INGESTA)Datos_consumo_datadis'!A20353&lt;&gt;"""",SPLIT('(INGESTA)Datos_consumo_datadis'!A:A,"",""),"""")"),"")</f>
        <v/>
      </c>
      <c r="G18788" s="8" t="str">
        <f t="shared" si="1"/>
        <v/>
      </c>
      <c r="H18788" s="14" t="str">
        <f t="shared" si="2"/>
        <v/>
      </c>
      <c r="I18788" s="15" t="str">
        <f t="shared" si="3"/>
        <v/>
      </c>
    </row>
    <row r="18789">
      <c r="A18789" s="8" t="str">
        <f>IFERROR(__xludf.DUMMYFUNCTION("IF('(INGESTA)Datos_consumo_datadis'!A20354&lt;&gt;"""",SPLIT('(INGESTA)Datos_consumo_datadis'!A:A,"",""),"""")"),"")</f>
        <v/>
      </c>
      <c r="G18789" s="8" t="str">
        <f t="shared" si="1"/>
        <v/>
      </c>
      <c r="H18789" s="14" t="str">
        <f t="shared" si="2"/>
        <v/>
      </c>
      <c r="I18789" s="15" t="str">
        <f t="shared" si="3"/>
        <v/>
      </c>
    </row>
    <row r="18790">
      <c r="A18790" s="8" t="str">
        <f>IFERROR(__xludf.DUMMYFUNCTION("IF('(INGESTA)Datos_consumo_datadis'!A20355&lt;&gt;"""",SPLIT('(INGESTA)Datos_consumo_datadis'!A:A,"",""),"""")"),"")</f>
        <v/>
      </c>
      <c r="G18790" s="8" t="str">
        <f t="shared" si="1"/>
        <v/>
      </c>
      <c r="H18790" s="14" t="str">
        <f t="shared" si="2"/>
        <v/>
      </c>
      <c r="I18790" s="15" t="str">
        <f t="shared" si="3"/>
        <v/>
      </c>
    </row>
    <row r="18791">
      <c r="A18791" s="8" t="str">
        <f>IFERROR(__xludf.DUMMYFUNCTION("IF('(INGESTA)Datos_consumo_datadis'!A20356&lt;&gt;"""",SPLIT('(INGESTA)Datos_consumo_datadis'!A:A,"",""),"""")"),"")</f>
        <v/>
      </c>
      <c r="G18791" s="8" t="str">
        <f t="shared" si="1"/>
        <v/>
      </c>
      <c r="H18791" s="14" t="str">
        <f t="shared" si="2"/>
        <v/>
      </c>
      <c r="I18791" s="15" t="str">
        <f t="shared" si="3"/>
        <v/>
      </c>
    </row>
    <row r="18792">
      <c r="A18792" s="8" t="str">
        <f>IFERROR(__xludf.DUMMYFUNCTION("IF('(INGESTA)Datos_consumo_datadis'!A20357&lt;&gt;"""",SPLIT('(INGESTA)Datos_consumo_datadis'!A:A,"",""),"""")"),"")</f>
        <v/>
      </c>
      <c r="G18792" s="8" t="str">
        <f t="shared" si="1"/>
        <v/>
      </c>
      <c r="H18792" s="14" t="str">
        <f t="shared" si="2"/>
        <v/>
      </c>
      <c r="I18792" s="15" t="str">
        <f t="shared" si="3"/>
        <v/>
      </c>
    </row>
    <row r="18793">
      <c r="A18793" s="8" t="str">
        <f>IFERROR(__xludf.DUMMYFUNCTION("IF('(INGESTA)Datos_consumo_datadis'!A20358&lt;&gt;"""",SPLIT('(INGESTA)Datos_consumo_datadis'!A:A,"",""),"""")"),"")</f>
        <v/>
      </c>
      <c r="G18793" s="8" t="str">
        <f t="shared" si="1"/>
        <v/>
      </c>
      <c r="H18793" s="14" t="str">
        <f t="shared" si="2"/>
        <v/>
      </c>
      <c r="I18793" s="15" t="str">
        <f t="shared" si="3"/>
        <v/>
      </c>
    </row>
    <row r="18794">
      <c r="A18794" s="8" t="str">
        <f>IFERROR(__xludf.DUMMYFUNCTION("IF('(INGESTA)Datos_consumo_datadis'!A20359&lt;&gt;"""",SPLIT('(INGESTA)Datos_consumo_datadis'!A:A,"",""),"""")"),"")</f>
        <v/>
      </c>
      <c r="G18794" s="8" t="str">
        <f t="shared" si="1"/>
        <v/>
      </c>
      <c r="H18794" s="14" t="str">
        <f t="shared" si="2"/>
        <v/>
      </c>
      <c r="I18794" s="15" t="str">
        <f t="shared" si="3"/>
        <v/>
      </c>
    </row>
    <row r="18795">
      <c r="A18795" s="8" t="str">
        <f>IFERROR(__xludf.DUMMYFUNCTION("IF('(INGESTA)Datos_consumo_datadis'!A20360&lt;&gt;"""",SPLIT('(INGESTA)Datos_consumo_datadis'!A:A,"",""),"""")"),"")</f>
        <v/>
      </c>
      <c r="G18795" s="8" t="str">
        <f t="shared" si="1"/>
        <v/>
      </c>
      <c r="H18795" s="14" t="str">
        <f t="shared" si="2"/>
        <v/>
      </c>
      <c r="I18795" s="15" t="str">
        <f t="shared" si="3"/>
        <v/>
      </c>
    </row>
    <row r="18796">
      <c r="A18796" s="8" t="str">
        <f>IFERROR(__xludf.DUMMYFUNCTION("IF('(INGESTA)Datos_consumo_datadis'!A20361&lt;&gt;"""",SPLIT('(INGESTA)Datos_consumo_datadis'!A:A,"",""),"""")"),"")</f>
        <v/>
      </c>
      <c r="G18796" s="8" t="str">
        <f t="shared" si="1"/>
        <v/>
      </c>
      <c r="H18796" s="14" t="str">
        <f t="shared" si="2"/>
        <v/>
      </c>
      <c r="I18796" s="15" t="str">
        <f t="shared" si="3"/>
        <v/>
      </c>
    </row>
    <row r="18797">
      <c r="A18797" s="8" t="str">
        <f>IFERROR(__xludf.DUMMYFUNCTION("IF('(INGESTA)Datos_consumo_datadis'!A20362&lt;&gt;"""",SPLIT('(INGESTA)Datos_consumo_datadis'!A:A,"",""),"""")"),"")</f>
        <v/>
      </c>
      <c r="G18797" s="8" t="str">
        <f t="shared" si="1"/>
        <v/>
      </c>
      <c r="H18797" s="14" t="str">
        <f t="shared" si="2"/>
        <v/>
      </c>
      <c r="I18797" s="15" t="str">
        <f t="shared" si="3"/>
        <v/>
      </c>
    </row>
    <row r="18798">
      <c r="A18798" s="8" t="str">
        <f>IFERROR(__xludf.DUMMYFUNCTION("IF('(INGESTA)Datos_consumo_datadis'!A20363&lt;&gt;"""",SPLIT('(INGESTA)Datos_consumo_datadis'!A:A,"",""),"""")"),"")</f>
        <v/>
      </c>
      <c r="G18798" s="8" t="str">
        <f t="shared" si="1"/>
        <v/>
      </c>
      <c r="H18798" s="14" t="str">
        <f t="shared" si="2"/>
        <v/>
      </c>
      <c r="I18798" s="15" t="str">
        <f t="shared" si="3"/>
        <v/>
      </c>
    </row>
    <row r="18799">
      <c r="A18799" s="8" t="str">
        <f>IFERROR(__xludf.DUMMYFUNCTION("IF('(INGESTA)Datos_consumo_datadis'!A20364&lt;&gt;"""",SPLIT('(INGESTA)Datos_consumo_datadis'!A:A,"",""),"""")"),"")</f>
        <v/>
      </c>
      <c r="G18799" s="8" t="str">
        <f t="shared" si="1"/>
        <v/>
      </c>
      <c r="H18799" s="14" t="str">
        <f t="shared" si="2"/>
        <v/>
      </c>
      <c r="I18799" s="15" t="str">
        <f t="shared" si="3"/>
        <v/>
      </c>
    </row>
    <row r="18800">
      <c r="A18800" s="8" t="str">
        <f>IFERROR(__xludf.DUMMYFUNCTION("IF('(INGESTA)Datos_consumo_datadis'!A20365&lt;&gt;"""",SPLIT('(INGESTA)Datos_consumo_datadis'!A:A,"",""),"""")"),"")</f>
        <v/>
      </c>
      <c r="G18800" s="8" t="str">
        <f t="shared" si="1"/>
        <v/>
      </c>
      <c r="H18800" s="14" t="str">
        <f t="shared" si="2"/>
        <v/>
      </c>
      <c r="I18800" s="15" t="str">
        <f t="shared" si="3"/>
        <v/>
      </c>
    </row>
    <row r="18801">
      <c r="A18801" s="8" t="str">
        <f>IFERROR(__xludf.DUMMYFUNCTION("IF('(INGESTA)Datos_consumo_datadis'!A20366&lt;&gt;"""",SPLIT('(INGESTA)Datos_consumo_datadis'!A:A,"",""),"""")"),"")</f>
        <v/>
      </c>
      <c r="G18801" s="8" t="str">
        <f t="shared" si="1"/>
        <v/>
      </c>
      <c r="H18801" s="14" t="str">
        <f t="shared" si="2"/>
        <v/>
      </c>
      <c r="I18801" s="15" t="str">
        <f t="shared" si="3"/>
        <v/>
      </c>
    </row>
    <row r="18802">
      <c r="A18802" s="8" t="str">
        <f>IFERROR(__xludf.DUMMYFUNCTION("IF('(INGESTA)Datos_consumo_datadis'!A20367&lt;&gt;"""",SPLIT('(INGESTA)Datos_consumo_datadis'!A:A,"",""),"""")"),"")</f>
        <v/>
      </c>
      <c r="G18802" s="8" t="str">
        <f t="shared" si="1"/>
        <v/>
      </c>
      <c r="H18802" s="14" t="str">
        <f t="shared" si="2"/>
        <v/>
      </c>
      <c r="I18802" s="15" t="str">
        <f t="shared" si="3"/>
        <v/>
      </c>
    </row>
    <row r="18803">
      <c r="A18803" s="8" t="str">
        <f>IFERROR(__xludf.DUMMYFUNCTION("IF('(INGESTA)Datos_consumo_datadis'!A20368&lt;&gt;"""",SPLIT('(INGESTA)Datos_consumo_datadis'!A:A,"",""),"""")"),"")</f>
        <v/>
      </c>
      <c r="G18803" s="8" t="str">
        <f t="shared" si="1"/>
        <v/>
      </c>
      <c r="H18803" s="14" t="str">
        <f t="shared" si="2"/>
        <v/>
      </c>
      <c r="I18803" s="15" t="str">
        <f t="shared" si="3"/>
        <v/>
      </c>
    </row>
    <row r="18804">
      <c r="A18804" s="8" t="str">
        <f>IFERROR(__xludf.DUMMYFUNCTION("IF('(INGESTA)Datos_consumo_datadis'!A20369&lt;&gt;"""",SPLIT('(INGESTA)Datos_consumo_datadis'!A:A,"",""),"""")"),"")</f>
        <v/>
      </c>
      <c r="G18804" s="8" t="str">
        <f t="shared" si="1"/>
        <v/>
      </c>
      <c r="H18804" s="14" t="str">
        <f t="shared" si="2"/>
        <v/>
      </c>
      <c r="I18804" s="15" t="str">
        <f t="shared" si="3"/>
        <v/>
      </c>
    </row>
    <row r="18805">
      <c r="A18805" s="8" t="str">
        <f>IFERROR(__xludf.DUMMYFUNCTION("IF('(INGESTA)Datos_consumo_datadis'!A20370&lt;&gt;"""",SPLIT('(INGESTA)Datos_consumo_datadis'!A:A,"",""),"""")"),"")</f>
        <v/>
      </c>
      <c r="G18805" s="8" t="str">
        <f t="shared" si="1"/>
        <v/>
      </c>
      <c r="H18805" s="14" t="str">
        <f t="shared" si="2"/>
        <v/>
      </c>
      <c r="I18805" s="15" t="str">
        <f t="shared" si="3"/>
        <v/>
      </c>
    </row>
    <row r="18806">
      <c r="A18806" s="8" t="str">
        <f>IFERROR(__xludf.DUMMYFUNCTION("IF('(INGESTA)Datos_consumo_datadis'!A20371&lt;&gt;"""",SPLIT('(INGESTA)Datos_consumo_datadis'!A:A,"",""),"""")"),"")</f>
        <v/>
      </c>
      <c r="G18806" s="8" t="str">
        <f t="shared" si="1"/>
        <v/>
      </c>
      <c r="H18806" s="14" t="str">
        <f t="shared" si="2"/>
        <v/>
      </c>
      <c r="I18806" s="15" t="str">
        <f t="shared" si="3"/>
        <v/>
      </c>
    </row>
    <row r="18807">
      <c r="A18807" s="8" t="str">
        <f>IFERROR(__xludf.DUMMYFUNCTION("IF('(INGESTA)Datos_consumo_datadis'!A20372&lt;&gt;"""",SPLIT('(INGESTA)Datos_consumo_datadis'!A:A,"",""),"""")"),"")</f>
        <v/>
      </c>
      <c r="G18807" s="8" t="str">
        <f t="shared" si="1"/>
        <v/>
      </c>
      <c r="H18807" s="14" t="str">
        <f t="shared" si="2"/>
        <v/>
      </c>
      <c r="I18807" s="15" t="str">
        <f t="shared" si="3"/>
        <v/>
      </c>
    </row>
    <row r="18808">
      <c r="A18808" s="8" t="str">
        <f>IFERROR(__xludf.DUMMYFUNCTION("IF('(INGESTA)Datos_consumo_datadis'!A20373&lt;&gt;"""",SPLIT('(INGESTA)Datos_consumo_datadis'!A:A,"",""),"""")"),"")</f>
        <v/>
      </c>
      <c r="G18808" s="8" t="str">
        <f t="shared" si="1"/>
        <v/>
      </c>
      <c r="H18808" s="14" t="str">
        <f t="shared" si="2"/>
        <v/>
      </c>
      <c r="I18808" s="15" t="str">
        <f t="shared" si="3"/>
        <v/>
      </c>
    </row>
    <row r="18809">
      <c r="A18809" s="8" t="str">
        <f>IFERROR(__xludf.DUMMYFUNCTION("IF('(INGESTA)Datos_consumo_datadis'!A20374&lt;&gt;"""",SPLIT('(INGESTA)Datos_consumo_datadis'!A:A,"",""),"""")"),"")</f>
        <v/>
      </c>
      <c r="G18809" s="8" t="str">
        <f t="shared" si="1"/>
        <v/>
      </c>
      <c r="H18809" s="14" t="str">
        <f t="shared" si="2"/>
        <v/>
      </c>
      <c r="I18809" s="15" t="str">
        <f t="shared" si="3"/>
        <v/>
      </c>
    </row>
    <row r="18810">
      <c r="A18810" s="8" t="str">
        <f>IFERROR(__xludf.DUMMYFUNCTION("IF('(INGESTA)Datos_consumo_datadis'!A20375&lt;&gt;"""",SPLIT('(INGESTA)Datos_consumo_datadis'!A:A,"",""),"""")"),"")</f>
        <v/>
      </c>
      <c r="G18810" s="8" t="str">
        <f t="shared" si="1"/>
        <v/>
      </c>
      <c r="H18810" s="14" t="str">
        <f t="shared" si="2"/>
        <v/>
      </c>
      <c r="I18810" s="15" t="str">
        <f t="shared" si="3"/>
        <v/>
      </c>
    </row>
    <row r="18811">
      <c r="A18811" s="8" t="str">
        <f>IFERROR(__xludf.DUMMYFUNCTION("IF('(INGESTA)Datos_consumo_datadis'!A20376&lt;&gt;"""",SPLIT('(INGESTA)Datos_consumo_datadis'!A:A,"",""),"""")"),"")</f>
        <v/>
      </c>
      <c r="G18811" s="8" t="str">
        <f t="shared" si="1"/>
        <v/>
      </c>
      <c r="H18811" s="14" t="str">
        <f t="shared" si="2"/>
        <v/>
      </c>
      <c r="I18811" s="15" t="str">
        <f t="shared" si="3"/>
        <v/>
      </c>
    </row>
    <row r="18812">
      <c r="A18812" s="8" t="str">
        <f>IFERROR(__xludf.DUMMYFUNCTION("IF('(INGESTA)Datos_consumo_datadis'!A20377&lt;&gt;"""",SPLIT('(INGESTA)Datos_consumo_datadis'!A:A,"",""),"""")"),"")</f>
        <v/>
      </c>
      <c r="G18812" s="8" t="str">
        <f t="shared" si="1"/>
        <v/>
      </c>
      <c r="H18812" s="14" t="str">
        <f t="shared" si="2"/>
        <v/>
      </c>
      <c r="I18812" s="15" t="str">
        <f t="shared" si="3"/>
        <v/>
      </c>
    </row>
    <row r="18813">
      <c r="A18813" s="8" t="str">
        <f>IFERROR(__xludf.DUMMYFUNCTION("IF('(INGESTA)Datos_consumo_datadis'!A20378&lt;&gt;"""",SPLIT('(INGESTA)Datos_consumo_datadis'!A:A,"",""),"""")"),"")</f>
        <v/>
      </c>
      <c r="G18813" s="8" t="str">
        <f t="shared" si="1"/>
        <v/>
      </c>
      <c r="H18813" s="14" t="str">
        <f t="shared" si="2"/>
        <v/>
      </c>
      <c r="I18813" s="15" t="str">
        <f t="shared" si="3"/>
        <v/>
      </c>
    </row>
    <row r="18814">
      <c r="A18814" s="8" t="str">
        <f>IFERROR(__xludf.DUMMYFUNCTION("IF('(INGESTA)Datos_consumo_datadis'!A20379&lt;&gt;"""",SPLIT('(INGESTA)Datos_consumo_datadis'!A:A,"",""),"""")"),"")</f>
        <v/>
      </c>
      <c r="G18814" s="8" t="str">
        <f t="shared" si="1"/>
        <v/>
      </c>
      <c r="H18814" s="14" t="str">
        <f t="shared" si="2"/>
        <v/>
      </c>
      <c r="I18814" s="15" t="str">
        <f t="shared" si="3"/>
        <v/>
      </c>
    </row>
    <row r="18815">
      <c r="A18815" s="8" t="str">
        <f>IFERROR(__xludf.DUMMYFUNCTION("IF('(INGESTA)Datos_consumo_datadis'!A20380&lt;&gt;"""",SPLIT('(INGESTA)Datos_consumo_datadis'!A:A,"",""),"""")"),"")</f>
        <v/>
      </c>
      <c r="G18815" s="8" t="str">
        <f t="shared" si="1"/>
        <v/>
      </c>
      <c r="H18815" s="14" t="str">
        <f t="shared" si="2"/>
        <v/>
      </c>
      <c r="I18815" s="15" t="str">
        <f t="shared" si="3"/>
        <v/>
      </c>
    </row>
    <row r="18816">
      <c r="A18816" s="8" t="str">
        <f>IFERROR(__xludf.DUMMYFUNCTION("IF('(INGESTA)Datos_consumo_datadis'!A20381&lt;&gt;"""",SPLIT('(INGESTA)Datos_consumo_datadis'!A:A,"",""),"""")"),"")</f>
        <v/>
      </c>
      <c r="G18816" s="8" t="str">
        <f t="shared" si="1"/>
        <v/>
      </c>
      <c r="H18816" s="14" t="str">
        <f t="shared" si="2"/>
        <v/>
      </c>
      <c r="I18816" s="15" t="str">
        <f t="shared" si="3"/>
        <v/>
      </c>
    </row>
    <row r="18817">
      <c r="A18817" s="8" t="str">
        <f>IFERROR(__xludf.DUMMYFUNCTION("IF('(INGESTA)Datos_consumo_datadis'!A20382&lt;&gt;"""",SPLIT('(INGESTA)Datos_consumo_datadis'!A:A,"",""),"""")"),"")</f>
        <v/>
      </c>
      <c r="G18817" s="8" t="str">
        <f t="shared" si="1"/>
        <v/>
      </c>
      <c r="H18817" s="14" t="str">
        <f t="shared" si="2"/>
        <v/>
      </c>
      <c r="I18817" s="15" t="str">
        <f t="shared" si="3"/>
        <v/>
      </c>
    </row>
    <row r="18818">
      <c r="A18818" s="8" t="str">
        <f>IFERROR(__xludf.DUMMYFUNCTION("IF('(INGESTA)Datos_consumo_datadis'!A20383&lt;&gt;"""",SPLIT('(INGESTA)Datos_consumo_datadis'!A:A,"",""),"""")"),"")</f>
        <v/>
      </c>
      <c r="G18818" s="8" t="str">
        <f t="shared" si="1"/>
        <v/>
      </c>
      <c r="H18818" s="14" t="str">
        <f t="shared" si="2"/>
        <v/>
      </c>
      <c r="I18818" s="15" t="str">
        <f t="shared" si="3"/>
        <v/>
      </c>
    </row>
    <row r="18819">
      <c r="A18819" s="8" t="str">
        <f>IFERROR(__xludf.DUMMYFUNCTION("IF('(INGESTA)Datos_consumo_datadis'!A20384&lt;&gt;"""",SPLIT('(INGESTA)Datos_consumo_datadis'!A:A,"",""),"""")"),"")</f>
        <v/>
      </c>
      <c r="G18819" s="8" t="str">
        <f t="shared" si="1"/>
        <v/>
      </c>
      <c r="H18819" s="14" t="str">
        <f t="shared" si="2"/>
        <v/>
      </c>
      <c r="I18819" s="15" t="str">
        <f t="shared" si="3"/>
        <v/>
      </c>
    </row>
    <row r="18820">
      <c r="A18820" s="8" t="str">
        <f>IFERROR(__xludf.DUMMYFUNCTION("IF('(INGESTA)Datos_consumo_datadis'!A20385&lt;&gt;"""",SPLIT('(INGESTA)Datos_consumo_datadis'!A:A,"",""),"""")"),"")</f>
        <v/>
      </c>
      <c r="G18820" s="8" t="str">
        <f t="shared" si="1"/>
        <v/>
      </c>
      <c r="H18820" s="14" t="str">
        <f t="shared" si="2"/>
        <v/>
      </c>
      <c r="I18820" s="15" t="str">
        <f t="shared" si="3"/>
        <v/>
      </c>
    </row>
    <row r="18821">
      <c r="A18821" s="8" t="str">
        <f>IFERROR(__xludf.DUMMYFUNCTION("IF('(INGESTA)Datos_consumo_datadis'!A20386&lt;&gt;"""",SPLIT('(INGESTA)Datos_consumo_datadis'!A:A,"",""),"""")"),"")</f>
        <v/>
      </c>
      <c r="G18821" s="8" t="str">
        <f t="shared" si="1"/>
        <v/>
      </c>
      <c r="H18821" s="14" t="str">
        <f t="shared" si="2"/>
        <v/>
      </c>
      <c r="I18821" s="15" t="str">
        <f t="shared" si="3"/>
        <v/>
      </c>
    </row>
    <row r="18822">
      <c r="A18822" s="8" t="str">
        <f>IFERROR(__xludf.DUMMYFUNCTION("IF('(INGESTA)Datos_consumo_datadis'!A20387&lt;&gt;"""",SPLIT('(INGESTA)Datos_consumo_datadis'!A:A,"",""),"""")"),"")</f>
        <v/>
      </c>
      <c r="G18822" s="8" t="str">
        <f t="shared" si="1"/>
        <v/>
      </c>
      <c r="H18822" s="14" t="str">
        <f t="shared" si="2"/>
        <v/>
      </c>
      <c r="I18822" s="15" t="str">
        <f t="shared" si="3"/>
        <v/>
      </c>
    </row>
    <row r="18823">
      <c r="A18823" s="8" t="str">
        <f>IFERROR(__xludf.DUMMYFUNCTION("IF('(INGESTA)Datos_consumo_datadis'!A20388&lt;&gt;"""",SPLIT('(INGESTA)Datos_consumo_datadis'!A:A,"",""),"""")"),"")</f>
        <v/>
      </c>
      <c r="G18823" s="8" t="str">
        <f t="shared" si="1"/>
        <v/>
      </c>
      <c r="H18823" s="14" t="str">
        <f t="shared" si="2"/>
        <v/>
      </c>
      <c r="I18823" s="15" t="str">
        <f t="shared" si="3"/>
        <v/>
      </c>
    </row>
    <row r="18824">
      <c r="A18824" s="8" t="str">
        <f>IFERROR(__xludf.DUMMYFUNCTION("IF('(INGESTA)Datos_consumo_datadis'!A20389&lt;&gt;"""",SPLIT('(INGESTA)Datos_consumo_datadis'!A:A,"",""),"""")"),"")</f>
        <v/>
      </c>
      <c r="G18824" s="8" t="str">
        <f t="shared" si="1"/>
        <v/>
      </c>
      <c r="H18824" s="14" t="str">
        <f t="shared" si="2"/>
        <v/>
      </c>
      <c r="I18824" s="15" t="str">
        <f t="shared" si="3"/>
        <v/>
      </c>
    </row>
    <row r="18825">
      <c r="A18825" s="8" t="str">
        <f>IFERROR(__xludf.DUMMYFUNCTION("IF('(INGESTA)Datos_consumo_datadis'!A20390&lt;&gt;"""",SPLIT('(INGESTA)Datos_consumo_datadis'!A:A,"",""),"""")"),"")</f>
        <v/>
      </c>
      <c r="G18825" s="8" t="str">
        <f t="shared" si="1"/>
        <v/>
      </c>
      <c r="H18825" s="14" t="str">
        <f t="shared" si="2"/>
        <v/>
      </c>
      <c r="I18825" s="15" t="str">
        <f t="shared" si="3"/>
        <v/>
      </c>
    </row>
    <row r="18826">
      <c r="A18826" s="8" t="str">
        <f>IFERROR(__xludf.DUMMYFUNCTION("IF('(INGESTA)Datos_consumo_datadis'!A20391&lt;&gt;"""",SPLIT('(INGESTA)Datos_consumo_datadis'!A:A,"",""),"""")"),"")</f>
        <v/>
      </c>
      <c r="G18826" s="8" t="str">
        <f t="shared" si="1"/>
        <v/>
      </c>
      <c r="H18826" s="14" t="str">
        <f t="shared" si="2"/>
        <v/>
      </c>
      <c r="I18826" s="15" t="str">
        <f t="shared" si="3"/>
        <v/>
      </c>
    </row>
    <row r="18827">
      <c r="A18827" s="8" t="str">
        <f>IFERROR(__xludf.DUMMYFUNCTION("IF('(INGESTA)Datos_consumo_datadis'!A20392&lt;&gt;"""",SPLIT('(INGESTA)Datos_consumo_datadis'!A:A,"",""),"""")"),"")</f>
        <v/>
      </c>
      <c r="G18827" s="8" t="str">
        <f t="shared" si="1"/>
        <v/>
      </c>
      <c r="H18827" s="14" t="str">
        <f t="shared" si="2"/>
        <v/>
      </c>
      <c r="I18827" s="15" t="str">
        <f t="shared" si="3"/>
        <v/>
      </c>
    </row>
    <row r="18828">
      <c r="A18828" s="8" t="str">
        <f>IFERROR(__xludf.DUMMYFUNCTION("IF('(INGESTA)Datos_consumo_datadis'!A20393&lt;&gt;"""",SPLIT('(INGESTA)Datos_consumo_datadis'!A:A,"",""),"""")"),"")</f>
        <v/>
      </c>
      <c r="G18828" s="8" t="str">
        <f t="shared" si="1"/>
        <v/>
      </c>
      <c r="H18828" s="14" t="str">
        <f t="shared" si="2"/>
        <v/>
      </c>
      <c r="I18828" s="15" t="str">
        <f t="shared" si="3"/>
        <v/>
      </c>
    </row>
    <row r="18829">
      <c r="A18829" s="8" t="str">
        <f>IFERROR(__xludf.DUMMYFUNCTION("IF('(INGESTA)Datos_consumo_datadis'!A20394&lt;&gt;"""",SPLIT('(INGESTA)Datos_consumo_datadis'!A:A,"",""),"""")"),"")</f>
        <v/>
      </c>
      <c r="G18829" s="8" t="str">
        <f t="shared" si="1"/>
        <v/>
      </c>
      <c r="H18829" s="14" t="str">
        <f t="shared" si="2"/>
        <v/>
      </c>
      <c r="I18829" s="15" t="str">
        <f t="shared" si="3"/>
        <v/>
      </c>
    </row>
    <row r="18830">
      <c r="A18830" s="8" t="str">
        <f>IFERROR(__xludf.DUMMYFUNCTION("IF('(INGESTA)Datos_consumo_datadis'!A20395&lt;&gt;"""",SPLIT('(INGESTA)Datos_consumo_datadis'!A:A,"",""),"""")"),"")</f>
        <v/>
      </c>
      <c r="G18830" s="8" t="str">
        <f t="shared" si="1"/>
        <v/>
      </c>
      <c r="H18830" s="14" t="str">
        <f t="shared" si="2"/>
        <v/>
      </c>
      <c r="I18830" s="15" t="str">
        <f t="shared" si="3"/>
        <v/>
      </c>
    </row>
    <row r="18831">
      <c r="A18831" s="8" t="str">
        <f>IFERROR(__xludf.DUMMYFUNCTION("IF('(INGESTA)Datos_consumo_datadis'!A20396&lt;&gt;"""",SPLIT('(INGESTA)Datos_consumo_datadis'!A:A,"",""),"""")"),"")</f>
        <v/>
      </c>
      <c r="G18831" s="8" t="str">
        <f t="shared" si="1"/>
        <v/>
      </c>
      <c r="H18831" s="14" t="str">
        <f t="shared" si="2"/>
        <v/>
      </c>
      <c r="I18831" s="15" t="str">
        <f t="shared" si="3"/>
        <v/>
      </c>
    </row>
    <row r="18832">
      <c r="A18832" s="8" t="str">
        <f>IFERROR(__xludf.DUMMYFUNCTION("IF('(INGESTA)Datos_consumo_datadis'!A20397&lt;&gt;"""",SPLIT('(INGESTA)Datos_consumo_datadis'!A:A,"",""),"""")"),"")</f>
        <v/>
      </c>
      <c r="G18832" s="8" t="str">
        <f t="shared" si="1"/>
        <v/>
      </c>
      <c r="H18832" s="14" t="str">
        <f t="shared" si="2"/>
        <v/>
      </c>
      <c r="I18832" s="15" t="str">
        <f t="shared" si="3"/>
        <v/>
      </c>
    </row>
    <row r="18833">
      <c r="A18833" s="8" t="str">
        <f>IFERROR(__xludf.DUMMYFUNCTION("IF('(INGESTA)Datos_consumo_datadis'!A20398&lt;&gt;"""",SPLIT('(INGESTA)Datos_consumo_datadis'!A:A,"",""),"""")"),"")</f>
        <v/>
      </c>
      <c r="G18833" s="8" t="str">
        <f t="shared" si="1"/>
        <v/>
      </c>
      <c r="H18833" s="14" t="str">
        <f t="shared" si="2"/>
        <v/>
      </c>
      <c r="I18833" s="15" t="str">
        <f t="shared" si="3"/>
        <v/>
      </c>
    </row>
    <row r="18834">
      <c r="A18834" s="8" t="str">
        <f>IFERROR(__xludf.DUMMYFUNCTION("IF('(INGESTA)Datos_consumo_datadis'!A20399&lt;&gt;"""",SPLIT('(INGESTA)Datos_consumo_datadis'!A:A,"",""),"""")"),"")</f>
        <v/>
      </c>
      <c r="G18834" s="8" t="str">
        <f t="shared" si="1"/>
        <v/>
      </c>
      <c r="H18834" s="14" t="str">
        <f t="shared" si="2"/>
        <v/>
      </c>
      <c r="I18834" s="15" t="str">
        <f t="shared" si="3"/>
        <v/>
      </c>
    </row>
    <row r="18835">
      <c r="A18835" s="8" t="str">
        <f>IFERROR(__xludf.DUMMYFUNCTION("IF('(INGESTA)Datos_consumo_datadis'!A20400&lt;&gt;"""",SPLIT('(INGESTA)Datos_consumo_datadis'!A:A,"",""),"""")"),"")</f>
        <v/>
      </c>
      <c r="G18835" s="8" t="str">
        <f t="shared" si="1"/>
        <v/>
      </c>
      <c r="H18835" s="14" t="str">
        <f t="shared" si="2"/>
        <v/>
      </c>
      <c r="I18835" s="15" t="str">
        <f t="shared" si="3"/>
        <v/>
      </c>
    </row>
    <row r="18836">
      <c r="A18836" s="8" t="str">
        <f>IFERROR(__xludf.DUMMYFUNCTION("IF('(INGESTA)Datos_consumo_datadis'!A20401&lt;&gt;"""",SPLIT('(INGESTA)Datos_consumo_datadis'!A:A,"",""),"""")"),"")</f>
        <v/>
      </c>
      <c r="G18836" s="8" t="str">
        <f t="shared" si="1"/>
        <v/>
      </c>
      <c r="H18836" s="14" t="str">
        <f t="shared" si="2"/>
        <v/>
      </c>
      <c r="I18836" s="15" t="str">
        <f t="shared" si="3"/>
        <v/>
      </c>
    </row>
    <row r="18837">
      <c r="A18837" s="8" t="str">
        <f>IFERROR(__xludf.DUMMYFUNCTION("IF('(INGESTA)Datos_consumo_datadis'!A20402&lt;&gt;"""",SPLIT('(INGESTA)Datos_consumo_datadis'!A:A,"",""),"""")"),"")</f>
        <v/>
      </c>
      <c r="G18837" s="8" t="str">
        <f t="shared" si="1"/>
        <v/>
      </c>
      <c r="H18837" s="14" t="str">
        <f t="shared" si="2"/>
        <v/>
      </c>
      <c r="I18837" s="15" t="str">
        <f t="shared" si="3"/>
        <v/>
      </c>
    </row>
    <row r="18838">
      <c r="A18838" s="8" t="str">
        <f>IFERROR(__xludf.DUMMYFUNCTION("IF('(INGESTA)Datos_consumo_datadis'!A20403&lt;&gt;"""",SPLIT('(INGESTA)Datos_consumo_datadis'!A:A,"",""),"""")"),"")</f>
        <v/>
      </c>
      <c r="G18838" s="8" t="str">
        <f t="shared" si="1"/>
        <v/>
      </c>
      <c r="H18838" s="14" t="str">
        <f t="shared" si="2"/>
        <v/>
      </c>
      <c r="I18838" s="15" t="str">
        <f t="shared" si="3"/>
        <v/>
      </c>
    </row>
    <row r="18839">
      <c r="A18839" s="8" t="str">
        <f>IFERROR(__xludf.DUMMYFUNCTION("IF('(INGESTA)Datos_consumo_datadis'!A20404&lt;&gt;"""",SPLIT('(INGESTA)Datos_consumo_datadis'!A:A,"",""),"""")"),"")</f>
        <v/>
      </c>
      <c r="G18839" s="8" t="str">
        <f t="shared" si="1"/>
        <v/>
      </c>
      <c r="H18839" s="14" t="str">
        <f t="shared" si="2"/>
        <v/>
      </c>
      <c r="I18839" s="15" t="str">
        <f t="shared" si="3"/>
        <v/>
      </c>
    </row>
    <row r="18840">
      <c r="A18840" s="8" t="str">
        <f>IFERROR(__xludf.DUMMYFUNCTION("IF('(INGESTA)Datos_consumo_datadis'!A20405&lt;&gt;"""",SPLIT('(INGESTA)Datos_consumo_datadis'!A:A,"",""),"""")"),"")</f>
        <v/>
      </c>
      <c r="G18840" s="8" t="str">
        <f t="shared" si="1"/>
        <v/>
      </c>
      <c r="H18840" s="14" t="str">
        <f t="shared" si="2"/>
        <v/>
      </c>
      <c r="I18840" s="15" t="str">
        <f t="shared" si="3"/>
        <v/>
      </c>
    </row>
    <row r="18841">
      <c r="A18841" s="8" t="str">
        <f>IFERROR(__xludf.DUMMYFUNCTION("IF('(INGESTA)Datos_consumo_datadis'!A20406&lt;&gt;"""",SPLIT('(INGESTA)Datos_consumo_datadis'!A:A,"",""),"""")"),"")</f>
        <v/>
      </c>
      <c r="G18841" s="8" t="str">
        <f t="shared" si="1"/>
        <v/>
      </c>
      <c r="H18841" s="14" t="str">
        <f t="shared" si="2"/>
        <v/>
      </c>
      <c r="I18841" s="15" t="str">
        <f t="shared" si="3"/>
        <v/>
      </c>
    </row>
    <row r="18842">
      <c r="A18842" s="8" t="str">
        <f>IFERROR(__xludf.DUMMYFUNCTION("IF('(INGESTA)Datos_consumo_datadis'!A20407&lt;&gt;"""",SPLIT('(INGESTA)Datos_consumo_datadis'!A:A,"",""),"""")"),"")</f>
        <v/>
      </c>
      <c r="G18842" s="8" t="str">
        <f t="shared" si="1"/>
        <v/>
      </c>
      <c r="H18842" s="14" t="str">
        <f t="shared" si="2"/>
        <v/>
      </c>
      <c r="I18842" s="15" t="str">
        <f t="shared" si="3"/>
        <v/>
      </c>
    </row>
    <row r="18843">
      <c r="A18843" s="8" t="str">
        <f>IFERROR(__xludf.DUMMYFUNCTION("IF('(INGESTA)Datos_consumo_datadis'!A20408&lt;&gt;"""",SPLIT('(INGESTA)Datos_consumo_datadis'!A:A,"",""),"""")"),"")</f>
        <v/>
      </c>
      <c r="G18843" s="8" t="str">
        <f t="shared" si="1"/>
        <v/>
      </c>
      <c r="H18843" s="14" t="str">
        <f t="shared" si="2"/>
        <v/>
      </c>
      <c r="I18843" s="15" t="str">
        <f t="shared" si="3"/>
        <v/>
      </c>
    </row>
    <row r="18844">
      <c r="A18844" s="8" t="str">
        <f>IFERROR(__xludf.DUMMYFUNCTION("IF('(INGESTA)Datos_consumo_datadis'!A20409&lt;&gt;"""",SPLIT('(INGESTA)Datos_consumo_datadis'!A:A,"",""),"""")"),"")</f>
        <v/>
      </c>
      <c r="G18844" s="8" t="str">
        <f t="shared" si="1"/>
        <v/>
      </c>
      <c r="H18844" s="14" t="str">
        <f t="shared" si="2"/>
        <v/>
      </c>
      <c r="I18844" s="15" t="str">
        <f t="shared" si="3"/>
        <v/>
      </c>
    </row>
    <row r="18845">
      <c r="A18845" s="8" t="str">
        <f>IFERROR(__xludf.DUMMYFUNCTION("IF('(INGESTA)Datos_consumo_datadis'!A20410&lt;&gt;"""",SPLIT('(INGESTA)Datos_consumo_datadis'!A:A,"",""),"""")"),"")</f>
        <v/>
      </c>
      <c r="G18845" s="8" t="str">
        <f t="shared" si="1"/>
        <v/>
      </c>
      <c r="H18845" s="14" t="str">
        <f t="shared" si="2"/>
        <v/>
      </c>
      <c r="I18845" s="15" t="str">
        <f t="shared" si="3"/>
        <v/>
      </c>
    </row>
    <row r="18846">
      <c r="A18846" s="8" t="str">
        <f>IFERROR(__xludf.DUMMYFUNCTION("IF('(INGESTA)Datos_consumo_datadis'!A20411&lt;&gt;"""",SPLIT('(INGESTA)Datos_consumo_datadis'!A:A,"",""),"""")"),"")</f>
        <v/>
      </c>
      <c r="G18846" s="8" t="str">
        <f t="shared" si="1"/>
        <v/>
      </c>
      <c r="H18846" s="14" t="str">
        <f t="shared" si="2"/>
        <v/>
      </c>
      <c r="I18846" s="15" t="str">
        <f t="shared" si="3"/>
        <v/>
      </c>
    </row>
    <row r="18847">
      <c r="A18847" s="8" t="str">
        <f>IFERROR(__xludf.DUMMYFUNCTION("IF('(INGESTA)Datos_consumo_datadis'!A20412&lt;&gt;"""",SPLIT('(INGESTA)Datos_consumo_datadis'!A:A,"",""),"""")"),"")</f>
        <v/>
      </c>
      <c r="G18847" s="8" t="str">
        <f t="shared" si="1"/>
        <v/>
      </c>
      <c r="H18847" s="14" t="str">
        <f t="shared" si="2"/>
        <v/>
      </c>
      <c r="I18847" s="15" t="str">
        <f t="shared" si="3"/>
        <v/>
      </c>
    </row>
    <row r="18848">
      <c r="A18848" s="8" t="str">
        <f>IFERROR(__xludf.DUMMYFUNCTION("IF('(INGESTA)Datos_consumo_datadis'!A20413&lt;&gt;"""",SPLIT('(INGESTA)Datos_consumo_datadis'!A:A,"",""),"""")"),"")</f>
        <v/>
      </c>
      <c r="G18848" s="8" t="str">
        <f t="shared" si="1"/>
        <v/>
      </c>
      <c r="H18848" s="14" t="str">
        <f t="shared" si="2"/>
        <v/>
      </c>
      <c r="I18848" s="15" t="str">
        <f t="shared" si="3"/>
        <v/>
      </c>
    </row>
    <row r="18849">
      <c r="A18849" s="8" t="str">
        <f>IFERROR(__xludf.DUMMYFUNCTION("IF('(INGESTA)Datos_consumo_datadis'!A20414&lt;&gt;"""",SPLIT('(INGESTA)Datos_consumo_datadis'!A:A,"",""),"""")"),"")</f>
        <v/>
      </c>
      <c r="G18849" s="8" t="str">
        <f t="shared" si="1"/>
        <v/>
      </c>
      <c r="H18849" s="14" t="str">
        <f t="shared" si="2"/>
        <v/>
      </c>
      <c r="I18849" s="15" t="str">
        <f t="shared" si="3"/>
        <v/>
      </c>
    </row>
    <row r="18850">
      <c r="A18850" s="8" t="str">
        <f>IFERROR(__xludf.DUMMYFUNCTION("IF('(INGESTA)Datos_consumo_datadis'!A20415&lt;&gt;"""",SPLIT('(INGESTA)Datos_consumo_datadis'!A:A,"",""),"""")"),"")</f>
        <v/>
      </c>
      <c r="G18850" s="8" t="str">
        <f t="shared" si="1"/>
        <v/>
      </c>
      <c r="H18850" s="14" t="str">
        <f t="shared" si="2"/>
        <v/>
      </c>
      <c r="I18850" s="15" t="str">
        <f t="shared" si="3"/>
        <v/>
      </c>
    </row>
    <row r="18851">
      <c r="A18851" s="8" t="str">
        <f>IFERROR(__xludf.DUMMYFUNCTION("IF('(INGESTA)Datos_consumo_datadis'!A20416&lt;&gt;"""",SPLIT('(INGESTA)Datos_consumo_datadis'!A:A,"",""),"""")"),"")</f>
        <v/>
      </c>
      <c r="G18851" s="8" t="str">
        <f t="shared" si="1"/>
        <v/>
      </c>
      <c r="H18851" s="14" t="str">
        <f t="shared" si="2"/>
        <v/>
      </c>
      <c r="I18851" s="15" t="str">
        <f t="shared" si="3"/>
        <v/>
      </c>
    </row>
    <row r="18852">
      <c r="A18852" s="8" t="str">
        <f>IFERROR(__xludf.DUMMYFUNCTION("IF('(INGESTA)Datos_consumo_datadis'!A20417&lt;&gt;"""",SPLIT('(INGESTA)Datos_consumo_datadis'!A:A,"",""),"""")"),"")</f>
        <v/>
      </c>
      <c r="G18852" s="8" t="str">
        <f t="shared" si="1"/>
        <v/>
      </c>
      <c r="H18852" s="14" t="str">
        <f t="shared" si="2"/>
        <v/>
      </c>
      <c r="I18852" s="15" t="str">
        <f t="shared" si="3"/>
        <v/>
      </c>
    </row>
    <row r="18853">
      <c r="A18853" s="8" t="str">
        <f>IFERROR(__xludf.DUMMYFUNCTION("IF('(INGESTA)Datos_consumo_datadis'!A20418&lt;&gt;"""",SPLIT('(INGESTA)Datos_consumo_datadis'!A:A,"",""),"""")"),"")</f>
        <v/>
      </c>
      <c r="G18853" s="8" t="str">
        <f t="shared" si="1"/>
        <v/>
      </c>
      <c r="H18853" s="14" t="str">
        <f t="shared" si="2"/>
        <v/>
      </c>
      <c r="I18853" s="15" t="str">
        <f t="shared" si="3"/>
        <v/>
      </c>
    </row>
    <row r="18854">
      <c r="A18854" s="8" t="str">
        <f>IFERROR(__xludf.DUMMYFUNCTION("IF('(INGESTA)Datos_consumo_datadis'!A20419&lt;&gt;"""",SPLIT('(INGESTA)Datos_consumo_datadis'!A:A,"",""),"""")"),"")</f>
        <v/>
      </c>
      <c r="G18854" s="8" t="str">
        <f t="shared" si="1"/>
        <v/>
      </c>
      <c r="H18854" s="14" t="str">
        <f t="shared" si="2"/>
        <v/>
      </c>
      <c r="I18854" s="15" t="str">
        <f t="shared" si="3"/>
        <v/>
      </c>
    </row>
    <row r="18855">
      <c r="A18855" s="8" t="str">
        <f>IFERROR(__xludf.DUMMYFUNCTION("IF('(INGESTA)Datos_consumo_datadis'!A20420&lt;&gt;"""",SPLIT('(INGESTA)Datos_consumo_datadis'!A:A,"",""),"""")"),"")</f>
        <v/>
      </c>
      <c r="G18855" s="8" t="str">
        <f t="shared" si="1"/>
        <v/>
      </c>
      <c r="H18855" s="14" t="str">
        <f t="shared" si="2"/>
        <v/>
      </c>
      <c r="I18855" s="15" t="str">
        <f t="shared" si="3"/>
        <v/>
      </c>
    </row>
    <row r="18856">
      <c r="A18856" s="8" t="str">
        <f>IFERROR(__xludf.DUMMYFUNCTION("IF('(INGESTA)Datos_consumo_datadis'!A20421&lt;&gt;"""",SPLIT('(INGESTA)Datos_consumo_datadis'!A:A,"",""),"""")"),"")</f>
        <v/>
      </c>
      <c r="G18856" s="8" t="str">
        <f t="shared" si="1"/>
        <v/>
      </c>
      <c r="H18856" s="14" t="str">
        <f t="shared" si="2"/>
        <v/>
      </c>
      <c r="I18856" s="15" t="str">
        <f t="shared" si="3"/>
        <v/>
      </c>
    </row>
    <row r="18857">
      <c r="A18857" s="8" t="str">
        <f>IFERROR(__xludf.DUMMYFUNCTION("IF('(INGESTA)Datos_consumo_datadis'!A20422&lt;&gt;"""",SPLIT('(INGESTA)Datos_consumo_datadis'!A:A,"",""),"""")"),"")</f>
        <v/>
      </c>
      <c r="G18857" s="8" t="str">
        <f t="shared" si="1"/>
        <v/>
      </c>
      <c r="H18857" s="14" t="str">
        <f t="shared" si="2"/>
        <v/>
      </c>
      <c r="I18857" s="15" t="str">
        <f t="shared" si="3"/>
        <v/>
      </c>
    </row>
    <row r="18858">
      <c r="A18858" s="8" t="str">
        <f>IFERROR(__xludf.DUMMYFUNCTION("IF('(INGESTA)Datos_consumo_datadis'!A20423&lt;&gt;"""",SPLIT('(INGESTA)Datos_consumo_datadis'!A:A,"",""),"""")"),"")</f>
        <v/>
      </c>
      <c r="G18858" s="8" t="str">
        <f t="shared" si="1"/>
        <v/>
      </c>
      <c r="H18858" s="14" t="str">
        <f t="shared" si="2"/>
        <v/>
      </c>
      <c r="I18858" s="15" t="str">
        <f t="shared" si="3"/>
        <v/>
      </c>
    </row>
    <row r="18859">
      <c r="A18859" s="8" t="str">
        <f>IFERROR(__xludf.DUMMYFUNCTION("IF('(INGESTA)Datos_consumo_datadis'!A20424&lt;&gt;"""",SPLIT('(INGESTA)Datos_consumo_datadis'!A:A,"",""),"""")"),"")</f>
        <v/>
      </c>
      <c r="G18859" s="8" t="str">
        <f t="shared" si="1"/>
        <v/>
      </c>
      <c r="H18859" s="14" t="str">
        <f t="shared" si="2"/>
        <v/>
      </c>
      <c r="I18859" s="15" t="str">
        <f t="shared" si="3"/>
        <v/>
      </c>
    </row>
    <row r="18860">
      <c r="A18860" s="8" t="str">
        <f>IFERROR(__xludf.DUMMYFUNCTION("IF('(INGESTA)Datos_consumo_datadis'!A20425&lt;&gt;"""",SPLIT('(INGESTA)Datos_consumo_datadis'!A:A,"",""),"""")"),"")</f>
        <v/>
      </c>
      <c r="G18860" s="8" t="str">
        <f t="shared" si="1"/>
        <v/>
      </c>
      <c r="H18860" s="14" t="str">
        <f t="shared" si="2"/>
        <v/>
      </c>
      <c r="I18860" s="15" t="str">
        <f t="shared" si="3"/>
        <v/>
      </c>
    </row>
    <row r="18861">
      <c r="A18861" s="8" t="str">
        <f>IFERROR(__xludf.DUMMYFUNCTION("IF('(INGESTA)Datos_consumo_datadis'!A20426&lt;&gt;"""",SPLIT('(INGESTA)Datos_consumo_datadis'!A:A,"",""),"""")"),"")</f>
        <v/>
      </c>
      <c r="G18861" s="8" t="str">
        <f t="shared" si="1"/>
        <v/>
      </c>
      <c r="H18861" s="14" t="str">
        <f t="shared" si="2"/>
        <v/>
      </c>
      <c r="I18861" s="15" t="str">
        <f t="shared" si="3"/>
        <v/>
      </c>
    </row>
    <row r="18862">
      <c r="A18862" s="8" t="str">
        <f>IFERROR(__xludf.DUMMYFUNCTION("IF('(INGESTA)Datos_consumo_datadis'!A20427&lt;&gt;"""",SPLIT('(INGESTA)Datos_consumo_datadis'!A:A,"",""),"""")"),"")</f>
        <v/>
      </c>
      <c r="G18862" s="8" t="str">
        <f t="shared" si="1"/>
        <v/>
      </c>
      <c r="H18862" s="14" t="str">
        <f t="shared" si="2"/>
        <v/>
      </c>
      <c r="I18862" s="15" t="str">
        <f t="shared" si="3"/>
        <v/>
      </c>
    </row>
    <row r="18863">
      <c r="A18863" s="8" t="str">
        <f>IFERROR(__xludf.DUMMYFUNCTION("IF('(INGESTA)Datos_consumo_datadis'!A20428&lt;&gt;"""",SPLIT('(INGESTA)Datos_consumo_datadis'!A:A,"",""),"""")"),"")</f>
        <v/>
      </c>
      <c r="G18863" s="8" t="str">
        <f t="shared" si="1"/>
        <v/>
      </c>
      <c r="H18863" s="14" t="str">
        <f t="shared" si="2"/>
        <v/>
      </c>
      <c r="I18863" s="15" t="str">
        <f t="shared" si="3"/>
        <v/>
      </c>
    </row>
    <row r="18864">
      <c r="A18864" s="8" t="str">
        <f>IFERROR(__xludf.DUMMYFUNCTION("IF('(INGESTA)Datos_consumo_datadis'!A20429&lt;&gt;"""",SPLIT('(INGESTA)Datos_consumo_datadis'!A:A,"",""),"""")"),"")</f>
        <v/>
      </c>
      <c r="G18864" s="8" t="str">
        <f t="shared" si="1"/>
        <v/>
      </c>
      <c r="H18864" s="14" t="str">
        <f t="shared" si="2"/>
        <v/>
      </c>
      <c r="I18864" s="15" t="str">
        <f t="shared" si="3"/>
        <v/>
      </c>
    </row>
    <row r="18865">
      <c r="A18865" s="8" t="str">
        <f>IFERROR(__xludf.DUMMYFUNCTION("IF('(INGESTA)Datos_consumo_datadis'!A20430&lt;&gt;"""",SPLIT('(INGESTA)Datos_consumo_datadis'!A:A,"",""),"""")"),"")</f>
        <v/>
      </c>
      <c r="G18865" s="8" t="str">
        <f t="shared" si="1"/>
        <v/>
      </c>
      <c r="H18865" s="14" t="str">
        <f t="shared" si="2"/>
        <v/>
      </c>
      <c r="I18865" s="15" t="str">
        <f t="shared" si="3"/>
        <v/>
      </c>
    </row>
    <row r="18866">
      <c r="A18866" s="8" t="str">
        <f>IFERROR(__xludf.DUMMYFUNCTION("IF('(INGESTA)Datos_consumo_datadis'!A20431&lt;&gt;"""",SPLIT('(INGESTA)Datos_consumo_datadis'!A:A,"",""),"""")"),"")</f>
        <v/>
      </c>
      <c r="G18866" s="8" t="str">
        <f t="shared" si="1"/>
        <v/>
      </c>
      <c r="H18866" s="14" t="str">
        <f t="shared" si="2"/>
        <v/>
      </c>
      <c r="I18866" s="15" t="str">
        <f t="shared" si="3"/>
        <v/>
      </c>
    </row>
    <row r="18867">
      <c r="A18867" s="8" t="str">
        <f>IFERROR(__xludf.DUMMYFUNCTION("IF('(INGESTA)Datos_consumo_datadis'!A20432&lt;&gt;"""",SPLIT('(INGESTA)Datos_consumo_datadis'!A:A,"",""),"""")"),"")</f>
        <v/>
      </c>
      <c r="G18867" s="8" t="str">
        <f t="shared" si="1"/>
        <v/>
      </c>
      <c r="H18867" s="14" t="str">
        <f t="shared" si="2"/>
        <v/>
      </c>
      <c r="I18867" s="15" t="str">
        <f t="shared" si="3"/>
        <v/>
      </c>
    </row>
    <row r="18868">
      <c r="A18868" s="8" t="str">
        <f>IFERROR(__xludf.DUMMYFUNCTION("IF('(INGESTA)Datos_consumo_datadis'!A20433&lt;&gt;"""",SPLIT('(INGESTA)Datos_consumo_datadis'!A:A,"",""),"""")"),"")</f>
        <v/>
      </c>
      <c r="G18868" s="8" t="str">
        <f t="shared" si="1"/>
        <v/>
      </c>
      <c r="H18868" s="14" t="str">
        <f t="shared" si="2"/>
        <v/>
      </c>
      <c r="I18868" s="15" t="str">
        <f t="shared" si="3"/>
        <v/>
      </c>
    </row>
    <row r="18869">
      <c r="A18869" s="8" t="str">
        <f>IFERROR(__xludf.DUMMYFUNCTION("IF('(INGESTA)Datos_consumo_datadis'!A20434&lt;&gt;"""",SPLIT('(INGESTA)Datos_consumo_datadis'!A:A,"",""),"""")"),"")</f>
        <v/>
      </c>
      <c r="G18869" s="8" t="str">
        <f t="shared" si="1"/>
        <v/>
      </c>
      <c r="H18869" s="14" t="str">
        <f t="shared" si="2"/>
        <v/>
      </c>
      <c r="I18869" s="15" t="str">
        <f t="shared" si="3"/>
        <v/>
      </c>
    </row>
    <row r="18870">
      <c r="A18870" s="8" t="str">
        <f>IFERROR(__xludf.DUMMYFUNCTION("IF('(INGESTA)Datos_consumo_datadis'!A20435&lt;&gt;"""",SPLIT('(INGESTA)Datos_consumo_datadis'!A:A,"",""),"""")"),"")</f>
        <v/>
      </c>
      <c r="G18870" s="8" t="str">
        <f t="shared" si="1"/>
        <v/>
      </c>
      <c r="H18870" s="14" t="str">
        <f t="shared" si="2"/>
        <v/>
      </c>
      <c r="I18870" s="15" t="str">
        <f t="shared" si="3"/>
        <v/>
      </c>
    </row>
    <row r="18871">
      <c r="A18871" s="8" t="str">
        <f>IFERROR(__xludf.DUMMYFUNCTION("IF('(INGESTA)Datos_consumo_datadis'!A20436&lt;&gt;"""",SPLIT('(INGESTA)Datos_consumo_datadis'!A:A,"",""),"""")"),"")</f>
        <v/>
      </c>
      <c r="G18871" s="8" t="str">
        <f t="shared" si="1"/>
        <v/>
      </c>
      <c r="H18871" s="14" t="str">
        <f t="shared" si="2"/>
        <v/>
      </c>
      <c r="I18871" s="15" t="str">
        <f t="shared" si="3"/>
        <v/>
      </c>
    </row>
    <row r="18872">
      <c r="A18872" s="8" t="str">
        <f>IFERROR(__xludf.DUMMYFUNCTION("IF('(INGESTA)Datos_consumo_datadis'!A20437&lt;&gt;"""",SPLIT('(INGESTA)Datos_consumo_datadis'!A:A,"",""),"""")"),"")</f>
        <v/>
      </c>
      <c r="G18872" s="8" t="str">
        <f t="shared" si="1"/>
        <v/>
      </c>
      <c r="H18872" s="14" t="str">
        <f t="shared" si="2"/>
        <v/>
      </c>
      <c r="I18872" s="15" t="str">
        <f t="shared" si="3"/>
        <v/>
      </c>
    </row>
    <row r="18873">
      <c r="A18873" s="8" t="str">
        <f>IFERROR(__xludf.DUMMYFUNCTION("IF('(INGESTA)Datos_consumo_datadis'!A20438&lt;&gt;"""",SPLIT('(INGESTA)Datos_consumo_datadis'!A:A,"",""),"""")"),"")</f>
        <v/>
      </c>
      <c r="G18873" s="8" t="str">
        <f t="shared" si="1"/>
        <v/>
      </c>
      <c r="H18873" s="14" t="str">
        <f t="shared" si="2"/>
        <v/>
      </c>
      <c r="I18873" s="15" t="str">
        <f t="shared" si="3"/>
        <v/>
      </c>
    </row>
    <row r="18874">
      <c r="A18874" s="8" t="str">
        <f>IFERROR(__xludf.DUMMYFUNCTION("IF('(INGESTA)Datos_consumo_datadis'!A20439&lt;&gt;"""",SPLIT('(INGESTA)Datos_consumo_datadis'!A:A,"",""),"""")"),"")</f>
        <v/>
      </c>
      <c r="G18874" s="8" t="str">
        <f t="shared" si="1"/>
        <v/>
      </c>
      <c r="H18874" s="14" t="str">
        <f t="shared" si="2"/>
        <v/>
      </c>
      <c r="I18874" s="15" t="str">
        <f t="shared" si="3"/>
        <v/>
      </c>
    </row>
    <row r="18875">
      <c r="A18875" s="8" t="str">
        <f>IFERROR(__xludf.DUMMYFUNCTION("IF('(INGESTA)Datos_consumo_datadis'!A20440&lt;&gt;"""",SPLIT('(INGESTA)Datos_consumo_datadis'!A:A,"",""),"""")"),"")</f>
        <v/>
      </c>
      <c r="G18875" s="8" t="str">
        <f t="shared" si="1"/>
        <v/>
      </c>
      <c r="H18875" s="14" t="str">
        <f t="shared" si="2"/>
        <v/>
      </c>
      <c r="I18875" s="15" t="str">
        <f t="shared" si="3"/>
        <v/>
      </c>
    </row>
    <row r="18876">
      <c r="A18876" s="8" t="str">
        <f>IFERROR(__xludf.DUMMYFUNCTION("IF('(INGESTA)Datos_consumo_datadis'!A20441&lt;&gt;"""",SPLIT('(INGESTA)Datos_consumo_datadis'!A:A,"",""),"""")"),"")</f>
        <v/>
      </c>
      <c r="G18876" s="8" t="str">
        <f t="shared" si="1"/>
        <v/>
      </c>
      <c r="H18876" s="14" t="str">
        <f t="shared" si="2"/>
        <v/>
      </c>
      <c r="I18876" s="15" t="str">
        <f t="shared" si="3"/>
        <v/>
      </c>
    </row>
    <row r="18877">
      <c r="A18877" s="8" t="str">
        <f>IFERROR(__xludf.DUMMYFUNCTION("IF('(INGESTA)Datos_consumo_datadis'!A20442&lt;&gt;"""",SPLIT('(INGESTA)Datos_consumo_datadis'!A:A,"",""),"""")"),"")</f>
        <v/>
      </c>
      <c r="G18877" s="8" t="str">
        <f t="shared" si="1"/>
        <v/>
      </c>
      <c r="H18877" s="14" t="str">
        <f t="shared" si="2"/>
        <v/>
      </c>
      <c r="I18877" s="15" t="str">
        <f t="shared" si="3"/>
        <v/>
      </c>
    </row>
    <row r="18878">
      <c r="A18878" s="8" t="str">
        <f>IFERROR(__xludf.DUMMYFUNCTION("IF('(INGESTA)Datos_consumo_datadis'!A20443&lt;&gt;"""",SPLIT('(INGESTA)Datos_consumo_datadis'!A:A,"",""),"""")"),"")</f>
        <v/>
      </c>
      <c r="G18878" s="8" t="str">
        <f t="shared" si="1"/>
        <v/>
      </c>
      <c r="H18878" s="14" t="str">
        <f t="shared" si="2"/>
        <v/>
      </c>
      <c r="I18878" s="15" t="str">
        <f t="shared" si="3"/>
        <v/>
      </c>
    </row>
    <row r="18879">
      <c r="A18879" s="8" t="str">
        <f>IFERROR(__xludf.DUMMYFUNCTION("IF('(INGESTA)Datos_consumo_datadis'!A20444&lt;&gt;"""",SPLIT('(INGESTA)Datos_consumo_datadis'!A:A,"",""),"""")"),"")</f>
        <v/>
      </c>
      <c r="G18879" s="8" t="str">
        <f t="shared" si="1"/>
        <v/>
      </c>
      <c r="H18879" s="14" t="str">
        <f t="shared" si="2"/>
        <v/>
      </c>
      <c r="I18879" s="15" t="str">
        <f t="shared" si="3"/>
        <v/>
      </c>
    </row>
    <row r="18880">
      <c r="A18880" s="8" t="str">
        <f>IFERROR(__xludf.DUMMYFUNCTION("IF('(INGESTA)Datos_consumo_datadis'!A20445&lt;&gt;"""",SPLIT('(INGESTA)Datos_consumo_datadis'!A:A,"",""),"""")"),"")</f>
        <v/>
      </c>
      <c r="G18880" s="8" t="str">
        <f t="shared" si="1"/>
        <v/>
      </c>
      <c r="H18880" s="14" t="str">
        <f t="shared" si="2"/>
        <v/>
      </c>
      <c r="I18880" s="15" t="str">
        <f t="shared" si="3"/>
        <v/>
      </c>
    </row>
    <row r="18881">
      <c r="A18881" s="8" t="str">
        <f>IFERROR(__xludf.DUMMYFUNCTION("IF('(INGESTA)Datos_consumo_datadis'!A20446&lt;&gt;"""",SPLIT('(INGESTA)Datos_consumo_datadis'!A:A,"",""),"""")"),"")</f>
        <v/>
      </c>
      <c r="G18881" s="8" t="str">
        <f t="shared" si="1"/>
        <v/>
      </c>
      <c r="H18881" s="14" t="str">
        <f t="shared" si="2"/>
        <v/>
      </c>
      <c r="I18881" s="15" t="str">
        <f t="shared" si="3"/>
        <v/>
      </c>
    </row>
    <row r="18882">
      <c r="A18882" s="8" t="str">
        <f>IFERROR(__xludf.DUMMYFUNCTION("IF('(INGESTA)Datos_consumo_datadis'!A20447&lt;&gt;"""",SPLIT('(INGESTA)Datos_consumo_datadis'!A:A,"",""),"""")"),"")</f>
        <v/>
      </c>
      <c r="G18882" s="8" t="str">
        <f t="shared" si="1"/>
        <v/>
      </c>
      <c r="H18882" s="14" t="str">
        <f t="shared" si="2"/>
        <v/>
      </c>
      <c r="I18882" s="15" t="str">
        <f t="shared" si="3"/>
        <v/>
      </c>
    </row>
    <row r="18883">
      <c r="A18883" s="8" t="str">
        <f>IFERROR(__xludf.DUMMYFUNCTION("IF('(INGESTA)Datos_consumo_datadis'!A20448&lt;&gt;"""",SPLIT('(INGESTA)Datos_consumo_datadis'!A:A,"",""),"""")"),"")</f>
        <v/>
      </c>
      <c r="G18883" s="8" t="str">
        <f t="shared" si="1"/>
        <v/>
      </c>
      <c r="H18883" s="14" t="str">
        <f t="shared" si="2"/>
        <v/>
      </c>
      <c r="I18883" s="15" t="str">
        <f t="shared" si="3"/>
        <v/>
      </c>
    </row>
    <row r="18884">
      <c r="A18884" s="8" t="str">
        <f>IFERROR(__xludf.DUMMYFUNCTION("IF('(INGESTA)Datos_consumo_datadis'!A20449&lt;&gt;"""",SPLIT('(INGESTA)Datos_consumo_datadis'!A:A,"",""),"""")"),"")</f>
        <v/>
      </c>
      <c r="G18884" s="8" t="str">
        <f t="shared" si="1"/>
        <v/>
      </c>
      <c r="H18884" s="14" t="str">
        <f t="shared" si="2"/>
        <v/>
      </c>
      <c r="I18884" s="15" t="str">
        <f t="shared" si="3"/>
        <v/>
      </c>
    </row>
    <row r="18885">
      <c r="A18885" s="8" t="str">
        <f>IFERROR(__xludf.DUMMYFUNCTION("IF('(INGESTA)Datos_consumo_datadis'!A20450&lt;&gt;"""",SPLIT('(INGESTA)Datos_consumo_datadis'!A:A,"",""),"""")"),"")</f>
        <v/>
      </c>
      <c r="G18885" s="8" t="str">
        <f t="shared" si="1"/>
        <v/>
      </c>
      <c r="H18885" s="14" t="str">
        <f t="shared" si="2"/>
        <v/>
      </c>
      <c r="I18885" s="15" t="str">
        <f t="shared" si="3"/>
        <v/>
      </c>
    </row>
    <row r="18886">
      <c r="A18886" s="8" t="str">
        <f>IFERROR(__xludf.DUMMYFUNCTION("IF('(INGESTA)Datos_consumo_datadis'!A20451&lt;&gt;"""",SPLIT('(INGESTA)Datos_consumo_datadis'!A:A,"",""),"""")"),"")</f>
        <v/>
      </c>
      <c r="G18886" s="8" t="str">
        <f t="shared" si="1"/>
        <v/>
      </c>
      <c r="H18886" s="14" t="str">
        <f t="shared" si="2"/>
        <v/>
      </c>
      <c r="I18886" s="15" t="str">
        <f t="shared" si="3"/>
        <v/>
      </c>
    </row>
    <row r="18887">
      <c r="A18887" s="8" t="str">
        <f>IFERROR(__xludf.DUMMYFUNCTION("IF('(INGESTA)Datos_consumo_datadis'!A20452&lt;&gt;"""",SPLIT('(INGESTA)Datos_consumo_datadis'!A:A,"",""),"""")"),"")</f>
        <v/>
      </c>
      <c r="G18887" s="8" t="str">
        <f t="shared" si="1"/>
        <v/>
      </c>
      <c r="H18887" s="14" t="str">
        <f t="shared" si="2"/>
        <v/>
      </c>
      <c r="I18887" s="15" t="str">
        <f t="shared" si="3"/>
        <v/>
      </c>
    </row>
    <row r="18888">
      <c r="A18888" s="8" t="str">
        <f>IFERROR(__xludf.DUMMYFUNCTION("IF('(INGESTA)Datos_consumo_datadis'!A20453&lt;&gt;"""",SPLIT('(INGESTA)Datos_consumo_datadis'!A:A,"",""),"""")"),"")</f>
        <v/>
      </c>
      <c r="G18888" s="8" t="str">
        <f t="shared" si="1"/>
        <v/>
      </c>
      <c r="H18888" s="14" t="str">
        <f t="shared" si="2"/>
        <v/>
      </c>
      <c r="I18888" s="15" t="str">
        <f t="shared" si="3"/>
        <v/>
      </c>
    </row>
    <row r="18889">
      <c r="A18889" s="8" t="str">
        <f>IFERROR(__xludf.DUMMYFUNCTION("IF('(INGESTA)Datos_consumo_datadis'!A20454&lt;&gt;"""",SPLIT('(INGESTA)Datos_consumo_datadis'!A:A,"",""),"""")"),"")</f>
        <v/>
      </c>
      <c r="G18889" s="8" t="str">
        <f t="shared" si="1"/>
        <v/>
      </c>
      <c r="H18889" s="14" t="str">
        <f t="shared" si="2"/>
        <v/>
      </c>
      <c r="I18889" s="15" t="str">
        <f t="shared" si="3"/>
        <v/>
      </c>
    </row>
    <row r="18890">
      <c r="A18890" s="8" t="str">
        <f>IFERROR(__xludf.DUMMYFUNCTION("IF('(INGESTA)Datos_consumo_datadis'!A20455&lt;&gt;"""",SPLIT('(INGESTA)Datos_consumo_datadis'!A:A,"",""),"""")"),"")</f>
        <v/>
      </c>
      <c r="G18890" s="8" t="str">
        <f t="shared" si="1"/>
        <v/>
      </c>
      <c r="H18890" s="14" t="str">
        <f t="shared" si="2"/>
        <v/>
      </c>
      <c r="I18890" s="15" t="str">
        <f t="shared" si="3"/>
        <v/>
      </c>
    </row>
    <row r="18891">
      <c r="A18891" s="8" t="str">
        <f>IFERROR(__xludf.DUMMYFUNCTION("IF('(INGESTA)Datos_consumo_datadis'!A20456&lt;&gt;"""",SPLIT('(INGESTA)Datos_consumo_datadis'!A:A,"",""),"""")"),"")</f>
        <v/>
      </c>
      <c r="G18891" s="8" t="str">
        <f t="shared" si="1"/>
        <v/>
      </c>
      <c r="H18891" s="14" t="str">
        <f t="shared" si="2"/>
        <v/>
      </c>
      <c r="I18891" s="15" t="str">
        <f t="shared" si="3"/>
        <v/>
      </c>
    </row>
    <row r="18892">
      <c r="A18892" s="8" t="str">
        <f>IFERROR(__xludf.DUMMYFUNCTION("IF('(INGESTA)Datos_consumo_datadis'!A20457&lt;&gt;"""",SPLIT('(INGESTA)Datos_consumo_datadis'!A:A,"",""),"""")"),"")</f>
        <v/>
      </c>
      <c r="G18892" s="8" t="str">
        <f t="shared" si="1"/>
        <v/>
      </c>
      <c r="H18892" s="14" t="str">
        <f t="shared" si="2"/>
        <v/>
      </c>
      <c r="I18892" s="15" t="str">
        <f t="shared" si="3"/>
        <v/>
      </c>
    </row>
    <row r="18893">
      <c r="A18893" s="8" t="str">
        <f>IFERROR(__xludf.DUMMYFUNCTION("IF('(INGESTA)Datos_consumo_datadis'!A20458&lt;&gt;"""",SPLIT('(INGESTA)Datos_consumo_datadis'!A:A,"",""),"""")"),"")</f>
        <v/>
      </c>
      <c r="G18893" s="8" t="str">
        <f t="shared" si="1"/>
        <v/>
      </c>
      <c r="H18893" s="14" t="str">
        <f t="shared" si="2"/>
        <v/>
      </c>
      <c r="I18893" s="15" t="str">
        <f t="shared" si="3"/>
        <v/>
      </c>
    </row>
    <row r="18894">
      <c r="A18894" s="8" t="str">
        <f>IFERROR(__xludf.DUMMYFUNCTION("IF('(INGESTA)Datos_consumo_datadis'!A20459&lt;&gt;"""",SPLIT('(INGESTA)Datos_consumo_datadis'!A:A,"",""),"""")"),"")</f>
        <v/>
      </c>
      <c r="G18894" s="8" t="str">
        <f t="shared" si="1"/>
        <v/>
      </c>
      <c r="H18894" s="14" t="str">
        <f t="shared" si="2"/>
        <v/>
      </c>
      <c r="I18894" s="15" t="str">
        <f t="shared" si="3"/>
        <v/>
      </c>
    </row>
    <row r="18895">
      <c r="A18895" s="8" t="str">
        <f>IFERROR(__xludf.DUMMYFUNCTION("IF('(INGESTA)Datos_consumo_datadis'!A20460&lt;&gt;"""",SPLIT('(INGESTA)Datos_consumo_datadis'!A:A,"",""),"""")"),"")</f>
        <v/>
      </c>
      <c r="G18895" s="8" t="str">
        <f t="shared" si="1"/>
        <v/>
      </c>
      <c r="H18895" s="14" t="str">
        <f t="shared" si="2"/>
        <v/>
      </c>
      <c r="I18895" s="15" t="str">
        <f t="shared" si="3"/>
        <v/>
      </c>
    </row>
    <row r="18896">
      <c r="A18896" s="8" t="str">
        <f>IFERROR(__xludf.DUMMYFUNCTION("IF('(INGESTA)Datos_consumo_datadis'!A20461&lt;&gt;"""",SPLIT('(INGESTA)Datos_consumo_datadis'!A:A,"",""),"""")"),"")</f>
        <v/>
      </c>
      <c r="G18896" s="8" t="str">
        <f t="shared" si="1"/>
        <v/>
      </c>
      <c r="H18896" s="14" t="str">
        <f t="shared" si="2"/>
        <v/>
      </c>
      <c r="I18896" s="15" t="str">
        <f t="shared" si="3"/>
        <v/>
      </c>
    </row>
    <row r="18897">
      <c r="A18897" s="8" t="str">
        <f>IFERROR(__xludf.DUMMYFUNCTION("IF('(INGESTA)Datos_consumo_datadis'!A20462&lt;&gt;"""",SPLIT('(INGESTA)Datos_consumo_datadis'!A:A,"",""),"""")"),"")</f>
        <v/>
      </c>
      <c r="G18897" s="8" t="str">
        <f t="shared" si="1"/>
        <v/>
      </c>
      <c r="H18897" s="14" t="str">
        <f t="shared" si="2"/>
        <v/>
      </c>
      <c r="I18897" s="15" t="str">
        <f t="shared" si="3"/>
        <v/>
      </c>
    </row>
    <row r="18898">
      <c r="A18898" s="8" t="str">
        <f>IFERROR(__xludf.DUMMYFUNCTION("IF('(INGESTA)Datos_consumo_datadis'!A20463&lt;&gt;"""",SPLIT('(INGESTA)Datos_consumo_datadis'!A:A,"",""),"""")"),"")</f>
        <v/>
      </c>
      <c r="G18898" s="8" t="str">
        <f t="shared" si="1"/>
        <v/>
      </c>
      <c r="H18898" s="14" t="str">
        <f t="shared" si="2"/>
        <v/>
      </c>
      <c r="I18898" s="15" t="str">
        <f t="shared" si="3"/>
        <v/>
      </c>
    </row>
    <row r="18899">
      <c r="A18899" s="8" t="str">
        <f>IFERROR(__xludf.DUMMYFUNCTION("IF('(INGESTA)Datos_consumo_datadis'!A20464&lt;&gt;"""",SPLIT('(INGESTA)Datos_consumo_datadis'!A:A,"",""),"""")"),"")</f>
        <v/>
      </c>
      <c r="G18899" s="8" t="str">
        <f t="shared" si="1"/>
        <v/>
      </c>
      <c r="H18899" s="14" t="str">
        <f t="shared" si="2"/>
        <v/>
      </c>
      <c r="I18899" s="15" t="str">
        <f t="shared" si="3"/>
        <v/>
      </c>
    </row>
    <row r="18900">
      <c r="A18900" s="8" t="str">
        <f>IFERROR(__xludf.DUMMYFUNCTION("IF('(INGESTA)Datos_consumo_datadis'!A20465&lt;&gt;"""",SPLIT('(INGESTA)Datos_consumo_datadis'!A:A,"",""),"""")"),"")</f>
        <v/>
      </c>
      <c r="G18900" s="8" t="str">
        <f t="shared" si="1"/>
        <v/>
      </c>
      <c r="H18900" s="14" t="str">
        <f t="shared" si="2"/>
        <v/>
      </c>
      <c r="I18900" s="15" t="str">
        <f t="shared" si="3"/>
        <v/>
      </c>
    </row>
    <row r="18901">
      <c r="A18901" s="8" t="str">
        <f>IFERROR(__xludf.DUMMYFUNCTION("IF('(INGESTA)Datos_consumo_datadis'!A20466&lt;&gt;"""",SPLIT('(INGESTA)Datos_consumo_datadis'!A:A,"",""),"""")"),"")</f>
        <v/>
      </c>
      <c r="G18901" s="8" t="str">
        <f t="shared" si="1"/>
        <v/>
      </c>
      <c r="H18901" s="14" t="str">
        <f t="shared" si="2"/>
        <v/>
      </c>
      <c r="I18901" s="15" t="str">
        <f t="shared" si="3"/>
        <v/>
      </c>
    </row>
    <row r="18902">
      <c r="A18902" s="8" t="str">
        <f>IFERROR(__xludf.DUMMYFUNCTION("IF('(INGESTA)Datos_consumo_datadis'!A20467&lt;&gt;"""",SPLIT('(INGESTA)Datos_consumo_datadis'!A:A,"",""),"""")"),"")</f>
        <v/>
      </c>
      <c r="G18902" s="8" t="str">
        <f t="shared" si="1"/>
        <v/>
      </c>
      <c r="H18902" s="14" t="str">
        <f t="shared" si="2"/>
        <v/>
      </c>
      <c r="I18902" s="15" t="str">
        <f t="shared" si="3"/>
        <v/>
      </c>
    </row>
    <row r="18903">
      <c r="A18903" s="8" t="str">
        <f>IFERROR(__xludf.DUMMYFUNCTION("IF('(INGESTA)Datos_consumo_datadis'!A20468&lt;&gt;"""",SPLIT('(INGESTA)Datos_consumo_datadis'!A:A,"",""),"""")"),"")</f>
        <v/>
      </c>
      <c r="G18903" s="8" t="str">
        <f t="shared" si="1"/>
        <v/>
      </c>
      <c r="H18903" s="14" t="str">
        <f t="shared" si="2"/>
        <v/>
      </c>
      <c r="I18903" s="15" t="str">
        <f t="shared" si="3"/>
        <v/>
      </c>
    </row>
    <row r="18904">
      <c r="A18904" s="8" t="str">
        <f>IFERROR(__xludf.DUMMYFUNCTION("IF('(INGESTA)Datos_consumo_datadis'!A20469&lt;&gt;"""",SPLIT('(INGESTA)Datos_consumo_datadis'!A:A,"",""),"""")"),"")</f>
        <v/>
      </c>
      <c r="G18904" s="8" t="str">
        <f t="shared" si="1"/>
        <v/>
      </c>
      <c r="H18904" s="14" t="str">
        <f t="shared" si="2"/>
        <v/>
      </c>
      <c r="I18904" s="15" t="str">
        <f t="shared" si="3"/>
        <v/>
      </c>
    </row>
    <row r="18905">
      <c r="A18905" s="8" t="str">
        <f>IFERROR(__xludf.DUMMYFUNCTION("IF('(INGESTA)Datos_consumo_datadis'!A20470&lt;&gt;"""",SPLIT('(INGESTA)Datos_consumo_datadis'!A:A,"",""),"""")"),"")</f>
        <v/>
      </c>
      <c r="G18905" s="8" t="str">
        <f t="shared" si="1"/>
        <v/>
      </c>
      <c r="H18905" s="14" t="str">
        <f t="shared" si="2"/>
        <v/>
      </c>
      <c r="I18905" s="15" t="str">
        <f t="shared" si="3"/>
        <v/>
      </c>
    </row>
    <row r="18906">
      <c r="A18906" s="8" t="str">
        <f>IFERROR(__xludf.DUMMYFUNCTION("IF('(INGESTA)Datos_consumo_datadis'!A20471&lt;&gt;"""",SPLIT('(INGESTA)Datos_consumo_datadis'!A:A,"",""),"""")"),"")</f>
        <v/>
      </c>
      <c r="G18906" s="8" t="str">
        <f t="shared" si="1"/>
        <v/>
      </c>
      <c r="H18906" s="14" t="str">
        <f t="shared" si="2"/>
        <v/>
      </c>
      <c r="I18906" s="15" t="str">
        <f t="shared" si="3"/>
        <v/>
      </c>
    </row>
    <row r="18907">
      <c r="A18907" s="8" t="str">
        <f>IFERROR(__xludf.DUMMYFUNCTION("IF('(INGESTA)Datos_consumo_datadis'!A20472&lt;&gt;"""",SPLIT('(INGESTA)Datos_consumo_datadis'!A:A,"",""),"""")"),"")</f>
        <v/>
      </c>
      <c r="G18907" s="8" t="str">
        <f t="shared" si="1"/>
        <v/>
      </c>
      <c r="H18907" s="14" t="str">
        <f t="shared" si="2"/>
        <v/>
      </c>
      <c r="I18907" s="15" t="str">
        <f t="shared" si="3"/>
        <v/>
      </c>
    </row>
    <row r="18908">
      <c r="A18908" s="8" t="str">
        <f>IFERROR(__xludf.DUMMYFUNCTION("IF('(INGESTA)Datos_consumo_datadis'!A20473&lt;&gt;"""",SPLIT('(INGESTA)Datos_consumo_datadis'!A:A,"",""),"""")"),"")</f>
        <v/>
      </c>
      <c r="G18908" s="8" t="str">
        <f t="shared" si="1"/>
        <v/>
      </c>
      <c r="H18908" s="14" t="str">
        <f t="shared" si="2"/>
        <v/>
      </c>
      <c r="I18908" s="15" t="str">
        <f t="shared" si="3"/>
        <v/>
      </c>
    </row>
    <row r="18909">
      <c r="A18909" s="8" t="str">
        <f>IFERROR(__xludf.DUMMYFUNCTION("IF('(INGESTA)Datos_consumo_datadis'!A20474&lt;&gt;"""",SPLIT('(INGESTA)Datos_consumo_datadis'!A:A,"",""),"""")"),"")</f>
        <v/>
      </c>
      <c r="G18909" s="8" t="str">
        <f t="shared" si="1"/>
        <v/>
      </c>
      <c r="H18909" s="14" t="str">
        <f t="shared" si="2"/>
        <v/>
      </c>
      <c r="I18909" s="15" t="str">
        <f t="shared" si="3"/>
        <v/>
      </c>
    </row>
    <row r="18910">
      <c r="A18910" s="8" t="str">
        <f>IFERROR(__xludf.DUMMYFUNCTION("IF('(INGESTA)Datos_consumo_datadis'!A20475&lt;&gt;"""",SPLIT('(INGESTA)Datos_consumo_datadis'!A:A,"",""),"""")"),"")</f>
        <v/>
      </c>
      <c r="G18910" s="8" t="str">
        <f t="shared" si="1"/>
        <v/>
      </c>
      <c r="H18910" s="14" t="str">
        <f t="shared" si="2"/>
        <v/>
      </c>
      <c r="I18910" s="15" t="str">
        <f t="shared" si="3"/>
        <v/>
      </c>
    </row>
    <row r="18911">
      <c r="A18911" s="8" t="str">
        <f>IFERROR(__xludf.DUMMYFUNCTION("IF('(INGESTA)Datos_consumo_datadis'!A20476&lt;&gt;"""",SPLIT('(INGESTA)Datos_consumo_datadis'!A:A,"",""),"""")"),"")</f>
        <v/>
      </c>
      <c r="G18911" s="8" t="str">
        <f t="shared" si="1"/>
        <v/>
      </c>
      <c r="H18911" s="14" t="str">
        <f t="shared" si="2"/>
        <v/>
      </c>
      <c r="I18911" s="15" t="str">
        <f t="shared" si="3"/>
        <v/>
      </c>
    </row>
    <row r="18912">
      <c r="A18912" s="8" t="str">
        <f>IFERROR(__xludf.DUMMYFUNCTION("IF('(INGESTA)Datos_consumo_datadis'!A20477&lt;&gt;"""",SPLIT('(INGESTA)Datos_consumo_datadis'!A:A,"",""),"""")"),"")</f>
        <v/>
      </c>
      <c r="G18912" s="8" t="str">
        <f t="shared" si="1"/>
        <v/>
      </c>
      <c r="H18912" s="14" t="str">
        <f t="shared" si="2"/>
        <v/>
      </c>
      <c r="I18912" s="15" t="str">
        <f t="shared" si="3"/>
        <v/>
      </c>
    </row>
    <row r="18913">
      <c r="A18913" s="8" t="str">
        <f>IFERROR(__xludf.DUMMYFUNCTION("IF('(INGESTA)Datos_consumo_datadis'!A20478&lt;&gt;"""",SPLIT('(INGESTA)Datos_consumo_datadis'!A:A,"",""),"""")"),"")</f>
        <v/>
      </c>
      <c r="G18913" s="8" t="str">
        <f t="shared" si="1"/>
        <v/>
      </c>
      <c r="H18913" s="14" t="str">
        <f t="shared" si="2"/>
        <v/>
      </c>
      <c r="I18913" s="15" t="str">
        <f t="shared" si="3"/>
        <v/>
      </c>
    </row>
    <row r="18914">
      <c r="A18914" s="8" t="str">
        <f>IFERROR(__xludf.DUMMYFUNCTION("IF('(INGESTA)Datos_consumo_datadis'!A20479&lt;&gt;"""",SPLIT('(INGESTA)Datos_consumo_datadis'!A:A,"",""),"""")"),"")</f>
        <v/>
      </c>
      <c r="G18914" s="8" t="str">
        <f t="shared" si="1"/>
        <v/>
      </c>
      <c r="H18914" s="14" t="str">
        <f t="shared" si="2"/>
        <v/>
      </c>
      <c r="I18914" s="15" t="str">
        <f t="shared" si="3"/>
        <v/>
      </c>
    </row>
    <row r="18915">
      <c r="A18915" s="8" t="str">
        <f>IFERROR(__xludf.DUMMYFUNCTION("IF('(INGESTA)Datos_consumo_datadis'!A20480&lt;&gt;"""",SPLIT('(INGESTA)Datos_consumo_datadis'!A:A,"",""),"""")"),"")</f>
        <v/>
      </c>
      <c r="G18915" s="8" t="str">
        <f t="shared" si="1"/>
        <v/>
      </c>
      <c r="H18915" s="14" t="str">
        <f t="shared" si="2"/>
        <v/>
      </c>
      <c r="I18915" s="15" t="str">
        <f t="shared" si="3"/>
        <v/>
      </c>
    </row>
    <row r="18916">
      <c r="A18916" s="8" t="str">
        <f>IFERROR(__xludf.DUMMYFUNCTION("IF('(INGESTA)Datos_consumo_datadis'!A20481&lt;&gt;"""",SPLIT('(INGESTA)Datos_consumo_datadis'!A:A,"",""),"""")"),"")</f>
        <v/>
      </c>
      <c r="G18916" s="8" t="str">
        <f t="shared" si="1"/>
        <v/>
      </c>
      <c r="H18916" s="14" t="str">
        <f t="shared" si="2"/>
        <v/>
      </c>
      <c r="I18916" s="15" t="str">
        <f t="shared" si="3"/>
        <v/>
      </c>
    </row>
    <row r="18917">
      <c r="A18917" s="8" t="str">
        <f>IFERROR(__xludf.DUMMYFUNCTION("IF('(INGESTA)Datos_consumo_datadis'!A20482&lt;&gt;"""",SPLIT('(INGESTA)Datos_consumo_datadis'!A:A,"",""),"""")"),"")</f>
        <v/>
      </c>
      <c r="G18917" s="8" t="str">
        <f t="shared" si="1"/>
        <v/>
      </c>
      <c r="H18917" s="14" t="str">
        <f t="shared" si="2"/>
        <v/>
      </c>
      <c r="I18917" s="15" t="str">
        <f t="shared" si="3"/>
        <v/>
      </c>
    </row>
    <row r="18918">
      <c r="A18918" s="8" t="str">
        <f>IFERROR(__xludf.DUMMYFUNCTION("IF('(INGESTA)Datos_consumo_datadis'!A20483&lt;&gt;"""",SPLIT('(INGESTA)Datos_consumo_datadis'!A:A,"",""),"""")"),"")</f>
        <v/>
      </c>
      <c r="G18918" s="8" t="str">
        <f t="shared" si="1"/>
        <v/>
      </c>
      <c r="H18918" s="14" t="str">
        <f t="shared" si="2"/>
        <v/>
      </c>
      <c r="I18918" s="15" t="str">
        <f t="shared" si="3"/>
        <v/>
      </c>
    </row>
    <row r="18919">
      <c r="A18919" s="8" t="str">
        <f>IFERROR(__xludf.DUMMYFUNCTION("IF('(INGESTA)Datos_consumo_datadis'!A20484&lt;&gt;"""",SPLIT('(INGESTA)Datos_consumo_datadis'!A:A,"",""),"""")"),"")</f>
        <v/>
      </c>
      <c r="G18919" s="8" t="str">
        <f t="shared" si="1"/>
        <v/>
      </c>
      <c r="H18919" s="14" t="str">
        <f t="shared" si="2"/>
        <v/>
      </c>
      <c r="I18919" s="15" t="str">
        <f t="shared" si="3"/>
        <v/>
      </c>
    </row>
    <row r="18920">
      <c r="A18920" s="8" t="str">
        <f>IFERROR(__xludf.DUMMYFUNCTION("IF('(INGESTA)Datos_consumo_datadis'!A20485&lt;&gt;"""",SPLIT('(INGESTA)Datos_consumo_datadis'!A:A,"",""),"""")"),"")</f>
        <v/>
      </c>
      <c r="G18920" s="8" t="str">
        <f t="shared" si="1"/>
        <v/>
      </c>
      <c r="H18920" s="14" t="str">
        <f t="shared" si="2"/>
        <v/>
      </c>
      <c r="I18920" s="15" t="str">
        <f t="shared" si="3"/>
        <v/>
      </c>
    </row>
    <row r="18921">
      <c r="A18921" s="8" t="str">
        <f>IFERROR(__xludf.DUMMYFUNCTION("IF('(INGESTA)Datos_consumo_datadis'!A20486&lt;&gt;"""",SPLIT('(INGESTA)Datos_consumo_datadis'!A:A,"",""),"""")"),"")</f>
        <v/>
      </c>
      <c r="G18921" s="8" t="str">
        <f t="shared" si="1"/>
        <v/>
      </c>
      <c r="H18921" s="14" t="str">
        <f t="shared" si="2"/>
        <v/>
      </c>
      <c r="I18921" s="15" t="str">
        <f t="shared" si="3"/>
        <v/>
      </c>
    </row>
    <row r="18922">
      <c r="A18922" s="8" t="str">
        <f>IFERROR(__xludf.DUMMYFUNCTION("IF('(INGESTA)Datos_consumo_datadis'!A20487&lt;&gt;"""",SPLIT('(INGESTA)Datos_consumo_datadis'!A:A,"",""),"""")"),"")</f>
        <v/>
      </c>
      <c r="G18922" s="8" t="str">
        <f t="shared" si="1"/>
        <v/>
      </c>
      <c r="H18922" s="14" t="str">
        <f t="shared" si="2"/>
        <v/>
      </c>
      <c r="I18922" s="15" t="str">
        <f t="shared" si="3"/>
        <v/>
      </c>
    </row>
    <row r="18923">
      <c r="A18923" s="8" t="str">
        <f>IFERROR(__xludf.DUMMYFUNCTION("IF('(INGESTA)Datos_consumo_datadis'!A20488&lt;&gt;"""",SPLIT('(INGESTA)Datos_consumo_datadis'!A:A,"",""),"""")"),"")</f>
        <v/>
      </c>
      <c r="G18923" s="8" t="str">
        <f t="shared" si="1"/>
        <v/>
      </c>
      <c r="H18923" s="14" t="str">
        <f t="shared" si="2"/>
        <v/>
      </c>
      <c r="I18923" s="15" t="str">
        <f t="shared" si="3"/>
        <v/>
      </c>
    </row>
    <row r="18924">
      <c r="A18924" s="8" t="str">
        <f>IFERROR(__xludf.DUMMYFUNCTION("IF('(INGESTA)Datos_consumo_datadis'!A20489&lt;&gt;"""",SPLIT('(INGESTA)Datos_consumo_datadis'!A:A,"",""),"""")"),"")</f>
        <v/>
      </c>
      <c r="G18924" s="8" t="str">
        <f t="shared" si="1"/>
        <v/>
      </c>
      <c r="H18924" s="14" t="str">
        <f t="shared" si="2"/>
        <v/>
      </c>
      <c r="I18924" s="15" t="str">
        <f t="shared" si="3"/>
        <v/>
      </c>
    </row>
    <row r="18925">
      <c r="A18925" s="8" t="str">
        <f>IFERROR(__xludf.DUMMYFUNCTION("IF('(INGESTA)Datos_consumo_datadis'!A20490&lt;&gt;"""",SPLIT('(INGESTA)Datos_consumo_datadis'!A:A,"",""),"""")"),"")</f>
        <v/>
      </c>
      <c r="G18925" s="8" t="str">
        <f t="shared" si="1"/>
        <v/>
      </c>
      <c r="H18925" s="14" t="str">
        <f t="shared" si="2"/>
        <v/>
      </c>
      <c r="I18925" s="15" t="str">
        <f t="shared" si="3"/>
        <v/>
      </c>
    </row>
    <row r="18926">
      <c r="A18926" s="8" t="str">
        <f>IFERROR(__xludf.DUMMYFUNCTION("IF('(INGESTA)Datos_consumo_datadis'!A20491&lt;&gt;"""",SPLIT('(INGESTA)Datos_consumo_datadis'!A:A,"",""),"""")"),"")</f>
        <v/>
      </c>
      <c r="G18926" s="8" t="str">
        <f t="shared" si="1"/>
        <v/>
      </c>
      <c r="H18926" s="14" t="str">
        <f t="shared" si="2"/>
        <v/>
      </c>
      <c r="I18926" s="15" t="str">
        <f t="shared" si="3"/>
        <v/>
      </c>
    </row>
    <row r="18927">
      <c r="A18927" s="8" t="str">
        <f>IFERROR(__xludf.DUMMYFUNCTION("IF('(INGESTA)Datos_consumo_datadis'!A20492&lt;&gt;"""",SPLIT('(INGESTA)Datos_consumo_datadis'!A:A,"",""),"""")"),"")</f>
        <v/>
      </c>
      <c r="G18927" s="8" t="str">
        <f t="shared" si="1"/>
        <v/>
      </c>
      <c r="H18927" s="14" t="str">
        <f t="shared" si="2"/>
        <v/>
      </c>
      <c r="I18927" s="15" t="str">
        <f t="shared" si="3"/>
        <v/>
      </c>
    </row>
    <row r="18928">
      <c r="A18928" s="8" t="str">
        <f>IFERROR(__xludf.DUMMYFUNCTION("IF('(INGESTA)Datos_consumo_datadis'!A20493&lt;&gt;"""",SPLIT('(INGESTA)Datos_consumo_datadis'!A:A,"",""),"""")"),"")</f>
        <v/>
      </c>
      <c r="G18928" s="8" t="str">
        <f t="shared" si="1"/>
        <v/>
      </c>
      <c r="H18928" s="14" t="str">
        <f t="shared" si="2"/>
        <v/>
      </c>
      <c r="I18928" s="15" t="str">
        <f t="shared" si="3"/>
        <v/>
      </c>
    </row>
    <row r="18929">
      <c r="A18929" s="8" t="str">
        <f>IFERROR(__xludf.DUMMYFUNCTION("IF('(INGESTA)Datos_consumo_datadis'!A20494&lt;&gt;"""",SPLIT('(INGESTA)Datos_consumo_datadis'!A:A,"",""),"""")"),"")</f>
        <v/>
      </c>
      <c r="G18929" s="8" t="str">
        <f t="shared" si="1"/>
        <v/>
      </c>
      <c r="H18929" s="14" t="str">
        <f t="shared" si="2"/>
        <v/>
      </c>
      <c r="I18929" s="15" t="str">
        <f t="shared" si="3"/>
        <v/>
      </c>
    </row>
    <row r="18930">
      <c r="A18930" s="8" t="str">
        <f>IFERROR(__xludf.DUMMYFUNCTION("IF('(INGESTA)Datos_consumo_datadis'!A20495&lt;&gt;"""",SPLIT('(INGESTA)Datos_consumo_datadis'!A:A,"",""),"""")"),"")</f>
        <v/>
      </c>
      <c r="G18930" s="8" t="str">
        <f t="shared" si="1"/>
        <v/>
      </c>
      <c r="H18930" s="14" t="str">
        <f t="shared" si="2"/>
        <v/>
      </c>
      <c r="I18930" s="15" t="str">
        <f t="shared" si="3"/>
        <v/>
      </c>
    </row>
    <row r="18931">
      <c r="A18931" s="8" t="str">
        <f>IFERROR(__xludf.DUMMYFUNCTION("IF('(INGESTA)Datos_consumo_datadis'!A20496&lt;&gt;"""",SPLIT('(INGESTA)Datos_consumo_datadis'!A:A,"",""),"""")"),"")</f>
        <v/>
      </c>
      <c r="G18931" s="8" t="str">
        <f t="shared" si="1"/>
        <v/>
      </c>
      <c r="H18931" s="14" t="str">
        <f t="shared" si="2"/>
        <v/>
      </c>
      <c r="I18931" s="15" t="str">
        <f t="shared" si="3"/>
        <v/>
      </c>
    </row>
    <row r="18932">
      <c r="A18932" s="8" t="str">
        <f>IFERROR(__xludf.DUMMYFUNCTION("IF('(INGESTA)Datos_consumo_datadis'!A20497&lt;&gt;"""",SPLIT('(INGESTA)Datos_consumo_datadis'!A:A,"",""),"""")"),"")</f>
        <v/>
      </c>
      <c r="G18932" s="8" t="str">
        <f t="shared" si="1"/>
        <v/>
      </c>
      <c r="H18932" s="14" t="str">
        <f t="shared" si="2"/>
        <v/>
      </c>
      <c r="I18932" s="15" t="str">
        <f t="shared" si="3"/>
        <v/>
      </c>
    </row>
    <row r="18933">
      <c r="A18933" s="8" t="str">
        <f>IFERROR(__xludf.DUMMYFUNCTION("IF('(INGESTA)Datos_consumo_datadis'!A20498&lt;&gt;"""",SPLIT('(INGESTA)Datos_consumo_datadis'!A:A,"",""),"""")"),"")</f>
        <v/>
      </c>
      <c r="G18933" s="8" t="str">
        <f t="shared" si="1"/>
        <v/>
      </c>
      <c r="H18933" s="14" t="str">
        <f t="shared" si="2"/>
        <v/>
      </c>
      <c r="I18933" s="15" t="str">
        <f t="shared" si="3"/>
        <v/>
      </c>
    </row>
    <row r="18934">
      <c r="A18934" s="8" t="str">
        <f>IFERROR(__xludf.DUMMYFUNCTION("IF('(INGESTA)Datos_consumo_datadis'!A20499&lt;&gt;"""",SPLIT('(INGESTA)Datos_consumo_datadis'!A:A,"",""),"""")"),"")</f>
        <v/>
      </c>
      <c r="G18934" s="8" t="str">
        <f t="shared" si="1"/>
        <v/>
      </c>
      <c r="H18934" s="14" t="str">
        <f t="shared" si="2"/>
        <v/>
      </c>
      <c r="I18934" s="15" t="str">
        <f t="shared" si="3"/>
        <v/>
      </c>
    </row>
    <row r="18935">
      <c r="A18935" s="8" t="str">
        <f>IFERROR(__xludf.DUMMYFUNCTION("IF('(INGESTA)Datos_consumo_datadis'!A20500&lt;&gt;"""",SPLIT('(INGESTA)Datos_consumo_datadis'!A:A,"",""),"""")"),"")</f>
        <v/>
      </c>
      <c r="G18935" s="8" t="str">
        <f t="shared" si="1"/>
        <v/>
      </c>
      <c r="H18935" s="14" t="str">
        <f t="shared" si="2"/>
        <v/>
      </c>
      <c r="I18935" s="15" t="str">
        <f t="shared" si="3"/>
        <v/>
      </c>
    </row>
    <row r="18936">
      <c r="A18936" s="8" t="str">
        <f>IFERROR(__xludf.DUMMYFUNCTION("IF('(INGESTA)Datos_consumo_datadis'!A20501&lt;&gt;"""",SPLIT('(INGESTA)Datos_consumo_datadis'!A:A,"",""),"""")"),"")</f>
        <v/>
      </c>
      <c r="G18936" s="8" t="str">
        <f t="shared" si="1"/>
        <v/>
      </c>
      <c r="H18936" s="14" t="str">
        <f t="shared" si="2"/>
        <v/>
      </c>
      <c r="I18936" s="15" t="str">
        <f t="shared" si="3"/>
        <v/>
      </c>
    </row>
    <row r="18937">
      <c r="A18937" s="8" t="str">
        <f>IFERROR(__xludf.DUMMYFUNCTION("IF('(INGESTA)Datos_consumo_datadis'!A20502&lt;&gt;"""",SPLIT('(INGESTA)Datos_consumo_datadis'!A:A,"",""),"""")"),"")</f>
        <v/>
      </c>
      <c r="G18937" s="8" t="str">
        <f t="shared" si="1"/>
        <v/>
      </c>
      <c r="H18937" s="14" t="str">
        <f t="shared" si="2"/>
        <v/>
      </c>
      <c r="I18937" s="15" t="str">
        <f t="shared" si="3"/>
        <v/>
      </c>
    </row>
    <row r="18938">
      <c r="A18938" s="8" t="str">
        <f>IFERROR(__xludf.DUMMYFUNCTION("IF('(INGESTA)Datos_consumo_datadis'!A20503&lt;&gt;"""",SPLIT('(INGESTA)Datos_consumo_datadis'!A:A,"",""),"""")"),"")</f>
        <v/>
      </c>
      <c r="G18938" s="8" t="str">
        <f t="shared" si="1"/>
        <v/>
      </c>
      <c r="H18938" s="14" t="str">
        <f t="shared" si="2"/>
        <v/>
      </c>
      <c r="I18938" s="15" t="str">
        <f t="shared" si="3"/>
        <v/>
      </c>
    </row>
    <row r="18939">
      <c r="A18939" s="8" t="str">
        <f>IFERROR(__xludf.DUMMYFUNCTION("IF('(INGESTA)Datos_consumo_datadis'!A20504&lt;&gt;"""",SPLIT('(INGESTA)Datos_consumo_datadis'!A:A,"",""),"""")"),"")</f>
        <v/>
      </c>
      <c r="G18939" s="8" t="str">
        <f t="shared" si="1"/>
        <v/>
      </c>
      <c r="H18939" s="14" t="str">
        <f t="shared" si="2"/>
        <v/>
      </c>
      <c r="I18939" s="15" t="str">
        <f t="shared" si="3"/>
        <v/>
      </c>
    </row>
    <row r="18940">
      <c r="A18940" s="8" t="str">
        <f>IFERROR(__xludf.DUMMYFUNCTION("IF('(INGESTA)Datos_consumo_datadis'!A20505&lt;&gt;"""",SPLIT('(INGESTA)Datos_consumo_datadis'!A:A,"",""),"""")"),"")</f>
        <v/>
      </c>
      <c r="G18940" s="8" t="str">
        <f t="shared" si="1"/>
        <v/>
      </c>
      <c r="H18940" s="14" t="str">
        <f t="shared" si="2"/>
        <v/>
      </c>
      <c r="I18940" s="15" t="str">
        <f t="shared" si="3"/>
        <v/>
      </c>
    </row>
    <row r="18941">
      <c r="A18941" s="8" t="str">
        <f>IFERROR(__xludf.DUMMYFUNCTION("IF('(INGESTA)Datos_consumo_datadis'!A20506&lt;&gt;"""",SPLIT('(INGESTA)Datos_consumo_datadis'!A:A,"",""),"""")"),"")</f>
        <v/>
      </c>
      <c r="G18941" s="8" t="str">
        <f t="shared" si="1"/>
        <v/>
      </c>
      <c r="H18941" s="14" t="str">
        <f t="shared" si="2"/>
        <v/>
      </c>
      <c r="I18941" s="15" t="str">
        <f t="shared" si="3"/>
        <v/>
      </c>
    </row>
    <row r="18942">
      <c r="A18942" s="8" t="str">
        <f>IFERROR(__xludf.DUMMYFUNCTION("IF('(INGESTA)Datos_consumo_datadis'!A20507&lt;&gt;"""",SPLIT('(INGESTA)Datos_consumo_datadis'!A:A,"",""),"""")"),"")</f>
        <v/>
      </c>
      <c r="G18942" s="8" t="str">
        <f t="shared" si="1"/>
        <v/>
      </c>
      <c r="H18942" s="14" t="str">
        <f t="shared" si="2"/>
        <v/>
      </c>
      <c r="I18942" s="15" t="str">
        <f t="shared" si="3"/>
        <v/>
      </c>
    </row>
    <row r="18943">
      <c r="A18943" s="8" t="str">
        <f>IFERROR(__xludf.DUMMYFUNCTION("IF('(INGESTA)Datos_consumo_datadis'!A20508&lt;&gt;"""",SPLIT('(INGESTA)Datos_consumo_datadis'!A:A,"",""),"""")"),"")</f>
        <v/>
      </c>
      <c r="G18943" s="8" t="str">
        <f t="shared" si="1"/>
        <v/>
      </c>
      <c r="H18943" s="14" t="str">
        <f t="shared" si="2"/>
        <v/>
      </c>
      <c r="I18943" s="15" t="str">
        <f t="shared" si="3"/>
        <v/>
      </c>
    </row>
    <row r="18944">
      <c r="A18944" s="8" t="str">
        <f>IFERROR(__xludf.DUMMYFUNCTION("IF('(INGESTA)Datos_consumo_datadis'!A20509&lt;&gt;"""",SPLIT('(INGESTA)Datos_consumo_datadis'!A:A,"",""),"""")"),"")</f>
        <v/>
      </c>
      <c r="G18944" s="8" t="str">
        <f t="shared" si="1"/>
        <v/>
      </c>
      <c r="H18944" s="14" t="str">
        <f t="shared" si="2"/>
        <v/>
      </c>
      <c r="I18944" s="15" t="str">
        <f t="shared" si="3"/>
        <v/>
      </c>
    </row>
    <row r="18945">
      <c r="A18945" s="8" t="str">
        <f>IFERROR(__xludf.DUMMYFUNCTION("IF('(INGESTA)Datos_consumo_datadis'!A20510&lt;&gt;"""",SPLIT('(INGESTA)Datos_consumo_datadis'!A:A,"",""),"""")"),"")</f>
        <v/>
      </c>
      <c r="G18945" s="8" t="str">
        <f t="shared" si="1"/>
        <v/>
      </c>
      <c r="H18945" s="14" t="str">
        <f t="shared" si="2"/>
        <v/>
      </c>
      <c r="I18945" s="15" t="str">
        <f t="shared" si="3"/>
        <v/>
      </c>
    </row>
    <row r="18946">
      <c r="A18946" s="8" t="str">
        <f>IFERROR(__xludf.DUMMYFUNCTION("IF('(INGESTA)Datos_consumo_datadis'!A20511&lt;&gt;"""",SPLIT('(INGESTA)Datos_consumo_datadis'!A:A,"",""),"""")"),"")</f>
        <v/>
      </c>
      <c r="G18946" s="8" t="str">
        <f t="shared" si="1"/>
        <v/>
      </c>
      <c r="H18946" s="14" t="str">
        <f t="shared" si="2"/>
        <v/>
      </c>
      <c r="I18946" s="15" t="str">
        <f t="shared" si="3"/>
        <v/>
      </c>
    </row>
    <row r="18947">
      <c r="A18947" s="8" t="str">
        <f>IFERROR(__xludf.DUMMYFUNCTION("IF('(INGESTA)Datos_consumo_datadis'!A20512&lt;&gt;"""",SPLIT('(INGESTA)Datos_consumo_datadis'!A:A,"",""),"""")"),"")</f>
        <v/>
      </c>
      <c r="G18947" s="8" t="str">
        <f t="shared" si="1"/>
        <v/>
      </c>
      <c r="H18947" s="14" t="str">
        <f t="shared" si="2"/>
        <v/>
      </c>
      <c r="I18947" s="15" t="str">
        <f t="shared" si="3"/>
        <v/>
      </c>
    </row>
    <row r="18948">
      <c r="A18948" s="8" t="str">
        <f>IFERROR(__xludf.DUMMYFUNCTION("IF('(INGESTA)Datos_consumo_datadis'!A20513&lt;&gt;"""",SPLIT('(INGESTA)Datos_consumo_datadis'!A:A,"",""),"""")"),"")</f>
        <v/>
      </c>
      <c r="G18948" s="8" t="str">
        <f t="shared" si="1"/>
        <v/>
      </c>
      <c r="H18948" s="14" t="str">
        <f t="shared" si="2"/>
        <v/>
      </c>
      <c r="I18948" s="15" t="str">
        <f t="shared" si="3"/>
        <v/>
      </c>
    </row>
    <row r="18949">
      <c r="A18949" s="8" t="str">
        <f>IFERROR(__xludf.DUMMYFUNCTION("IF('(INGESTA)Datos_consumo_datadis'!A20514&lt;&gt;"""",SPLIT('(INGESTA)Datos_consumo_datadis'!A:A,"",""),"""")"),"")</f>
        <v/>
      </c>
      <c r="G18949" s="8" t="str">
        <f t="shared" si="1"/>
        <v/>
      </c>
      <c r="H18949" s="14" t="str">
        <f t="shared" si="2"/>
        <v/>
      </c>
      <c r="I18949" s="15" t="str">
        <f t="shared" si="3"/>
        <v/>
      </c>
    </row>
    <row r="18950">
      <c r="A18950" s="8" t="str">
        <f>IFERROR(__xludf.DUMMYFUNCTION("IF('(INGESTA)Datos_consumo_datadis'!A20515&lt;&gt;"""",SPLIT('(INGESTA)Datos_consumo_datadis'!A:A,"",""),"""")"),"")</f>
        <v/>
      </c>
      <c r="G18950" s="8" t="str">
        <f t="shared" si="1"/>
        <v/>
      </c>
      <c r="H18950" s="14" t="str">
        <f t="shared" si="2"/>
        <v/>
      </c>
      <c r="I18950" s="15" t="str">
        <f t="shared" si="3"/>
        <v/>
      </c>
    </row>
    <row r="18951">
      <c r="A18951" s="8" t="str">
        <f>IFERROR(__xludf.DUMMYFUNCTION("IF('(INGESTA)Datos_consumo_datadis'!A20516&lt;&gt;"""",SPLIT('(INGESTA)Datos_consumo_datadis'!A:A,"",""),"""")"),"")</f>
        <v/>
      </c>
      <c r="G18951" s="8" t="str">
        <f t="shared" si="1"/>
        <v/>
      </c>
      <c r="H18951" s="14" t="str">
        <f t="shared" si="2"/>
        <v/>
      </c>
      <c r="I18951" s="15" t="str">
        <f t="shared" si="3"/>
        <v/>
      </c>
    </row>
    <row r="18952">
      <c r="A18952" s="8" t="str">
        <f>IFERROR(__xludf.DUMMYFUNCTION("IF('(INGESTA)Datos_consumo_datadis'!A20517&lt;&gt;"""",SPLIT('(INGESTA)Datos_consumo_datadis'!A:A,"",""),"""")"),"")</f>
        <v/>
      </c>
      <c r="G18952" s="8" t="str">
        <f t="shared" si="1"/>
        <v/>
      </c>
      <c r="H18952" s="14" t="str">
        <f t="shared" si="2"/>
        <v/>
      </c>
      <c r="I18952" s="15" t="str">
        <f t="shared" si="3"/>
        <v/>
      </c>
    </row>
    <row r="18953">
      <c r="A18953" s="8" t="str">
        <f>IFERROR(__xludf.DUMMYFUNCTION("IF('(INGESTA)Datos_consumo_datadis'!A20518&lt;&gt;"""",SPLIT('(INGESTA)Datos_consumo_datadis'!A:A,"",""),"""")"),"")</f>
        <v/>
      </c>
      <c r="G18953" s="8" t="str">
        <f t="shared" si="1"/>
        <v/>
      </c>
      <c r="H18953" s="14" t="str">
        <f t="shared" si="2"/>
        <v/>
      </c>
      <c r="I18953" s="15" t="str">
        <f t="shared" si="3"/>
        <v/>
      </c>
    </row>
    <row r="18954">
      <c r="A18954" s="8" t="str">
        <f>IFERROR(__xludf.DUMMYFUNCTION("IF('(INGESTA)Datos_consumo_datadis'!A20519&lt;&gt;"""",SPLIT('(INGESTA)Datos_consumo_datadis'!A:A,"",""),"""")"),"")</f>
        <v/>
      </c>
      <c r="G18954" s="8" t="str">
        <f t="shared" si="1"/>
        <v/>
      </c>
      <c r="H18954" s="14" t="str">
        <f t="shared" si="2"/>
        <v/>
      </c>
      <c r="I18954" s="15" t="str">
        <f t="shared" si="3"/>
        <v/>
      </c>
    </row>
    <row r="18955">
      <c r="A18955" s="8" t="str">
        <f>IFERROR(__xludf.DUMMYFUNCTION("IF('(INGESTA)Datos_consumo_datadis'!A20520&lt;&gt;"""",SPLIT('(INGESTA)Datos_consumo_datadis'!A:A,"",""),"""")"),"")</f>
        <v/>
      </c>
      <c r="G18955" s="8" t="str">
        <f t="shared" si="1"/>
        <v/>
      </c>
      <c r="H18955" s="14" t="str">
        <f t="shared" si="2"/>
        <v/>
      </c>
      <c r="I18955" s="15" t="str">
        <f t="shared" si="3"/>
        <v/>
      </c>
    </row>
    <row r="18956">
      <c r="A18956" s="8" t="str">
        <f>IFERROR(__xludf.DUMMYFUNCTION("IF('(INGESTA)Datos_consumo_datadis'!A20521&lt;&gt;"""",SPLIT('(INGESTA)Datos_consumo_datadis'!A:A,"",""),"""")"),"")</f>
        <v/>
      </c>
      <c r="G18956" s="8" t="str">
        <f t="shared" si="1"/>
        <v/>
      </c>
      <c r="H18956" s="14" t="str">
        <f t="shared" si="2"/>
        <v/>
      </c>
      <c r="I18956" s="15" t="str">
        <f t="shared" si="3"/>
        <v/>
      </c>
    </row>
    <row r="18957">
      <c r="A18957" s="8" t="str">
        <f>IFERROR(__xludf.DUMMYFUNCTION("IF('(INGESTA)Datos_consumo_datadis'!A20522&lt;&gt;"""",SPLIT('(INGESTA)Datos_consumo_datadis'!A:A,"",""),"""")"),"")</f>
        <v/>
      </c>
      <c r="G18957" s="8" t="str">
        <f t="shared" si="1"/>
        <v/>
      </c>
      <c r="H18957" s="14" t="str">
        <f t="shared" si="2"/>
        <v/>
      </c>
      <c r="I18957" s="15" t="str">
        <f t="shared" si="3"/>
        <v/>
      </c>
    </row>
    <row r="18958">
      <c r="A18958" s="8" t="str">
        <f>IFERROR(__xludf.DUMMYFUNCTION("IF('(INGESTA)Datos_consumo_datadis'!A20523&lt;&gt;"""",SPLIT('(INGESTA)Datos_consumo_datadis'!A:A,"",""),"""")"),"")</f>
        <v/>
      </c>
      <c r="G18958" s="8" t="str">
        <f t="shared" si="1"/>
        <v/>
      </c>
      <c r="H18958" s="14" t="str">
        <f t="shared" si="2"/>
        <v/>
      </c>
      <c r="I18958" s="15" t="str">
        <f t="shared" si="3"/>
        <v/>
      </c>
    </row>
    <row r="18959">
      <c r="A18959" s="8" t="str">
        <f>IFERROR(__xludf.DUMMYFUNCTION("IF('(INGESTA)Datos_consumo_datadis'!A20524&lt;&gt;"""",SPLIT('(INGESTA)Datos_consumo_datadis'!A:A,"",""),"""")"),"")</f>
        <v/>
      </c>
      <c r="G18959" s="8" t="str">
        <f t="shared" si="1"/>
        <v/>
      </c>
      <c r="H18959" s="14" t="str">
        <f t="shared" si="2"/>
        <v/>
      </c>
      <c r="I18959" s="15" t="str">
        <f t="shared" si="3"/>
        <v/>
      </c>
    </row>
    <row r="18960">
      <c r="A18960" s="8" t="str">
        <f>IFERROR(__xludf.DUMMYFUNCTION("IF('(INGESTA)Datos_consumo_datadis'!A20525&lt;&gt;"""",SPLIT('(INGESTA)Datos_consumo_datadis'!A:A,"",""),"""")"),"")</f>
        <v/>
      </c>
      <c r="G18960" s="8" t="str">
        <f t="shared" si="1"/>
        <v/>
      </c>
      <c r="H18960" s="14" t="str">
        <f t="shared" si="2"/>
        <v/>
      </c>
      <c r="I18960" s="15" t="str">
        <f t="shared" si="3"/>
        <v/>
      </c>
    </row>
    <row r="18961">
      <c r="A18961" s="8" t="str">
        <f>IFERROR(__xludf.DUMMYFUNCTION("IF('(INGESTA)Datos_consumo_datadis'!A20526&lt;&gt;"""",SPLIT('(INGESTA)Datos_consumo_datadis'!A:A,"",""),"""")"),"")</f>
        <v/>
      </c>
      <c r="G18961" s="8" t="str">
        <f t="shared" si="1"/>
        <v/>
      </c>
      <c r="H18961" s="14" t="str">
        <f t="shared" si="2"/>
        <v/>
      </c>
      <c r="I18961" s="15" t="str">
        <f t="shared" si="3"/>
        <v/>
      </c>
    </row>
    <row r="18962">
      <c r="A18962" s="8" t="str">
        <f>IFERROR(__xludf.DUMMYFUNCTION("IF('(INGESTA)Datos_consumo_datadis'!A20527&lt;&gt;"""",SPLIT('(INGESTA)Datos_consumo_datadis'!A:A,"",""),"""")"),"")</f>
        <v/>
      </c>
      <c r="G18962" s="8" t="str">
        <f t="shared" si="1"/>
        <v/>
      </c>
      <c r="H18962" s="14" t="str">
        <f t="shared" si="2"/>
        <v/>
      </c>
      <c r="I18962" s="15" t="str">
        <f t="shared" si="3"/>
        <v/>
      </c>
    </row>
    <row r="18963">
      <c r="A18963" s="8" t="str">
        <f>IFERROR(__xludf.DUMMYFUNCTION("IF('(INGESTA)Datos_consumo_datadis'!A20528&lt;&gt;"""",SPLIT('(INGESTA)Datos_consumo_datadis'!A:A,"",""),"""")"),"")</f>
        <v/>
      </c>
      <c r="G18963" s="8" t="str">
        <f t="shared" si="1"/>
        <v/>
      </c>
      <c r="H18963" s="14" t="str">
        <f t="shared" si="2"/>
        <v/>
      </c>
      <c r="I18963" s="15" t="str">
        <f t="shared" si="3"/>
        <v/>
      </c>
    </row>
    <row r="18964">
      <c r="A18964" s="8" t="str">
        <f>IFERROR(__xludf.DUMMYFUNCTION("IF('(INGESTA)Datos_consumo_datadis'!A20529&lt;&gt;"""",SPLIT('(INGESTA)Datos_consumo_datadis'!A:A,"",""),"""")"),"")</f>
        <v/>
      </c>
      <c r="G18964" s="8" t="str">
        <f t="shared" si="1"/>
        <v/>
      </c>
      <c r="H18964" s="14" t="str">
        <f t="shared" si="2"/>
        <v/>
      </c>
      <c r="I18964" s="15" t="str">
        <f t="shared" si="3"/>
        <v/>
      </c>
    </row>
    <row r="18965">
      <c r="A18965" s="8" t="str">
        <f>IFERROR(__xludf.DUMMYFUNCTION("IF('(INGESTA)Datos_consumo_datadis'!A20530&lt;&gt;"""",SPLIT('(INGESTA)Datos_consumo_datadis'!A:A,"",""),"""")"),"")</f>
        <v/>
      </c>
      <c r="G18965" s="8" t="str">
        <f t="shared" si="1"/>
        <v/>
      </c>
      <c r="H18965" s="14" t="str">
        <f t="shared" si="2"/>
        <v/>
      </c>
      <c r="I18965" s="15" t="str">
        <f t="shared" si="3"/>
        <v/>
      </c>
    </row>
    <row r="18966">
      <c r="A18966" s="8" t="str">
        <f>IFERROR(__xludf.DUMMYFUNCTION("IF('(INGESTA)Datos_consumo_datadis'!A20531&lt;&gt;"""",SPLIT('(INGESTA)Datos_consumo_datadis'!A:A,"",""),"""")"),"")</f>
        <v/>
      </c>
      <c r="G18966" s="8" t="str">
        <f t="shared" si="1"/>
        <v/>
      </c>
      <c r="H18966" s="14" t="str">
        <f t="shared" si="2"/>
        <v/>
      </c>
      <c r="I18966" s="15" t="str">
        <f t="shared" si="3"/>
        <v/>
      </c>
    </row>
    <row r="18967">
      <c r="A18967" s="8" t="str">
        <f>IFERROR(__xludf.DUMMYFUNCTION("IF('(INGESTA)Datos_consumo_datadis'!A20532&lt;&gt;"""",SPLIT('(INGESTA)Datos_consumo_datadis'!A:A,"",""),"""")"),"")</f>
        <v/>
      </c>
      <c r="G18967" s="8" t="str">
        <f t="shared" si="1"/>
        <v/>
      </c>
      <c r="H18967" s="14" t="str">
        <f t="shared" si="2"/>
        <v/>
      </c>
      <c r="I18967" s="15" t="str">
        <f t="shared" si="3"/>
        <v/>
      </c>
    </row>
    <row r="18968">
      <c r="A18968" s="8" t="str">
        <f>IFERROR(__xludf.DUMMYFUNCTION("IF('(INGESTA)Datos_consumo_datadis'!A20533&lt;&gt;"""",SPLIT('(INGESTA)Datos_consumo_datadis'!A:A,"",""),"""")"),"")</f>
        <v/>
      </c>
      <c r="G18968" s="8" t="str">
        <f t="shared" si="1"/>
        <v/>
      </c>
      <c r="H18968" s="14" t="str">
        <f t="shared" si="2"/>
        <v/>
      </c>
      <c r="I18968" s="15" t="str">
        <f t="shared" si="3"/>
        <v/>
      </c>
    </row>
    <row r="18969">
      <c r="A18969" s="8" t="str">
        <f>IFERROR(__xludf.DUMMYFUNCTION("IF('(INGESTA)Datos_consumo_datadis'!A20534&lt;&gt;"""",SPLIT('(INGESTA)Datos_consumo_datadis'!A:A,"",""),"""")"),"")</f>
        <v/>
      </c>
      <c r="G18969" s="8" t="str">
        <f t="shared" si="1"/>
        <v/>
      </c>
      <c r="H18969" s="14" t="str">
        <f t="shared" si="2"/>
        <v/>
      </c>
      <c r="I18969" s="15" t="str">
        <f t="shared" si="3"/>
        <v/>
      </c>
    </row>
    <row r="18970">
      <c r="A18970" s="8" t="str">
        <f>IFERROR(__xludf.DUMMYFUNCTION("IF('(INGESTA)Datos_consumo_datadis'!A20535&lt;&gt;"""",SPLIT('(INGESTA)Datos_consumo_datadis'!A:A,"",""),"""")"),"")</f>
        <v/>
      </c>
      <c r="G18970" s="8" t="str">
        <f t="shared" si="1"/>
        <v/>
      </c>
      <c r="H18970" s="14" t="str">
        <f t="shared" si="2"/>
        <v/>
      </c>
      <c r="I18970" s="15" t="str">
        <f t="shared" si="3"/>
        <v/>
      </c>
    </row>
    <row r="18971">
      <c r="A18971" s="8" t="str">
        <f>IFERROR(__xludf.DUMMYFUNCTION("IF('(INGESTA)Datos_consumo_datadis'!A20536&lt;&gt;"""",SPLIT('(INGESTA)Datos_consumo_datadis'!A:A,"",""),"""")"),"")</f>
        <v/>
      </c>
      <c r="G18971" s="8" t="str">
        <f t="shared" si="1"/>
        <v/>
      </c>
      <c r="H18971" s="14" t="str">
        <f t="shared" si="2"/>
        <v/>
      </c>
      <c r="I18971" s="15" t="str">
        <f t="shared" si="3"/>
        <v/>
      </c>
    </row>
    <row r="18972">
      <c r="A18972" s="8" t="str">
        <f>IFERROR(__xludf.DUMMYFUNCTION("IF('(INGESTA)Datos_consumo_datadis'!A20537&lt;&gt;"""",SPLIT('(INGESTA)Datos_consumo_datadis'!A:A,"",""),"""")"),"")</f>
        <v/>
      </c>
      <c r="G18972" s="8" t="str">
        <f t="shared" si="1"/>
        <v/>
      </c>
      <c r="H18972" s="14" t="str">
        <f t="shared" si="2"/>
        <v/>
      </c>
      <c r="I18972" s="15" t="str">
        <f t="shared" si="3"/>
        <v/>
      </c>
    </row>
    <row r="18973">
      <c r="A18973" s="8" t="str">
        <f>IFERROR(__xludf.DUMMYFUNCTION("IF('(INGESTA)Datos_consumo_datadis'!A20538&lt;&gt;"""",SPLIT('(INGESTA)Datos_consumo_datadis'!A:A,"",""),"""")"),"")</f>
        <v/>
      </c>
      <c r="G18973" s="8" t="str">
        <f t="shared" si="1"/>
        <v/>
      </c>
      <c r="H18973" s="14" t="str">
        <f t="shared" si="2"/>
        <v/>
      </c>
      <c r="I18973" s="15" t="str">
        <f t="shared" si="3"/>
        <v/>
      </c>
    </row>
    <row r="18974">
      <c r="A18974" s="8" t="str">
        <f>IFERROR(__xludf.DUMMYFUNCTION("IF('(INGESTA)Datos_consumo_datadis'!A20539&lt;&gt;"""",SPLIT('(INGESTA)Datos_consumo_datadis'!A:A,"",""),"""")"),"")</f>
        <v/>
      </c>
      <c r="G18974" s="8" t="str">
        <f t="shared" si="1"/>
        <v/>
      </c>
      <c r="H18974" s="14" t="str">
        <f t="shared" si="2"/>
        <v/>
      </c>
      <c r="I18974" s="15" t="str">
        <f t="shared" si="3"/>
        <v/>
      </c>
    </row>
    <row r="18975">
      <c r="A18975" s="8" t="str">
        <f>IFERROR(__xludf.DUMMYFUNCTION("IF('(INGESTA)Datos_consumo_datadis'!A20540&lt;&gt;"""",SPLIT('(INGESTA)Datos_consumo_datadis'!A:A,"",""),"""")"),"")</f>
        <v/>
      </c>
      <c r="G18975" s="8" t="str">
        <f t="shared" si="1"/>
        <v/>
      </c>
      <c r="H18975" s="14" t="str">
        <f t="shared" si="2"/>
        <v/>
      </c>
      <c r="I18975" s="15" t="str">
        <f t="shared" si="3"/>
        <v/>
      </c>
    </row>
    <row r="18976">
      <c r="A18976" s="8" t="str">
        <f>IFERROR(__xludf.DUMMYFUNCTION("IF('(INGESTA)Datos_consumo_datadis'!A20541&lt;&gt;"""",SPLIT('(INGESTA)Datos_consumo_datadis'!A:A,"",""),"""")"),"")</f>
        <v/>
      </c>
      <c r="G18976" s="8" t="str">
        <f t="shared" si="1"/>
        <v/>
      </c>
      <c r="H18976" s="14" t="str">
        <f t="shared" si="2"/>
        <v/>
      </c>
      <c r="I18976" s="15" t="str">
        <f t="shared" si="3"/>
        <v/>
      </c>
    </row>
    <row r="18977">
      <c r="A18977" s="8" t="str">
        <f>IFERROR(__xludf.DUMMYFUNCTION("IF('(INGESTA)Datos_consumo_datadis'!A20542&lt;&gt;"""",SPLIT('(INGESTA)Datos_consumo_datadis'!A:A,"",""),"""")"),"")</f>
        <v/>
      </c>
      <c r="G18977" s="8" t="str">
        <f t="shared" si="1"/>
        <v/>
      </c>
      <c r="H18977" s="14" t="str">
        <f t="shared" si="2"/>
        <v/>
      </c>
      <c r="I18977" s="15" t="str">
        <f t="shared" si="3"/>
        <v/>
      </c>
    </row>
    <row r="18978">
      <c r="A18978" s="8" t="str">
        <f>IFERROR(__xludf.DUMMYFUNCTION("IF('(INGESTA)Datos_consumo_datadis'!A20543&lt;&gt;"""",SPLIT('(INGESTA)Datos_consumo_datadis'!A:A,"",""),"""")"),"")</f>
        <v/>
      </c>
      <c r="G18978" s="8" t="str">
        <f t="shared" si="1"/>
        <v/>
      </c>
      <c r="H18978" s="14" t="str">
        <f t="shared" si="2"/>
        <v/>
      </c>
      <c r="I18978" s="15" t="str">
        <f t="shared" si="3"/>
        <v/>
      </c>
    </row>
    <row r="18979">
      <c r="A18979" s="8" t="str">
        <f>IFERROR(__xludf.DUMMYFUNCTION("IF('(INGESTA)Datos_consumo_datadis'!A20544&lt;&gt;"""",SPLIT('(INGESTA)Datos_consumo_datadis'!A:A,"",""),"""")"),"")</f>
        <v/>
      </c>
      <c r="G18979" s="8" t="str">
        <f t="shared" si="1"/>
        <v/>
      </c>
      <c r="H18979" s="14" t="str">
        <f t="shared" si="2"/>
        <v/>
      </c>
      <c r="I18979" s="15" t="str">
        <f t="shared" si="3"/>
        <v/>
      </c>
    </row>
    <row r="18980">
      <c r="A18980" s="8" t="str">
        <f>IFERROR(__xludf.DUMMYFUNCTION("IF('(INGESTA)Datos_consumo_datadis'!A20545&lt;&gt;"""",SPLIT('(INGESTA)Datos_consumo_datadis'!A:A,"",""),"""")"),"")</f>
        <v/>
      </c>
      <c r="G18980" s="8" t="str">
        <f t="shared" si="1"/>
        <v/>
      </c>
      <c r="H18980" s="14" t="str">
        <f t="shared" si="2"/>
        <v/>
      </c>
      <c r="I18980" s="15" t="str">
        <f t="shared" si="3"/>
        <v/>
      </c>
    </row>
    <row r="18981">
      <c r="A18981" s="8" t="str">
        <f>IFERROR(__xludf.DUMMYFUNCTION("IF('(INGESTA)Datos_consumo_datadis'!A20546&lt;&gt;"""",SPLIT('(INGESTA)Datos_consumo_datadis'!A:A,"",""),"""")"),"")</f>
        <v/>
      </c>
      <c r="G18981" s="8" t="str">
        <f t="shared" si="1"/>
        <v/>
      </c>
      <c r="H18981" s="14" t="str">
        <f t="shared" si="2"/>
        <v/>
      </c>
      <c r="I18981" s="15" t="str">
        <f t="shared" si="3"/>
        <v/>
      </c>
    </row>
    <row r="18982">
      <c r="A18982" s="8" t="str">
        <f>IFERROR(__xludf.DUMMYFUNCTION("IF('(INGESTA)Datos_consumo_datadis'!A20547&lt;&gt;"""",SPLIT('(INGESTA)Datos_consumo_datadis'!A:A,"",""),"""")"),"")</f>
        <v/>
      </c>
      <c r="G18982" s="8" t="str">
        <f t="shared" si="1"/>
        <v/>
      </c>
      <c r="H18982" s="14" t="str">
        <f t="shared" si="2"/>
        <v/>
      </c>
      <c r="I18982" s="15" t="str">
        <f t="shared" si="3"/>
        <v/>
      </c>
    </row>
    <row r="18983">
      <c r="A18983" s="8" t="str">
        <f>IFERROR(__xludf.DUMMYFUNCTION("IF('(INGESTA)Datos_consumo_datadis'!A20548&lt;&gt;"""",SPLIT('(INGESTA)Datos_consumo_datadis'!A:A,"",""),"""")"),"")</f>
        <v/>
      </c>
      <c r="G18983" s="8" t="str">
        <f t="shared" si="1"/>
        <v/>
      </c>
      <c r="H18983" s="14" t="str">
        <f t="shared" si="2"/>
        <v/>
      </c>
      <c r="I18983" s="15" t="str">
        <f t="shared" si="3"/>
        <v/>
      </c>
    </row>
    <row r="18984">
      <c r="A18984" s="8" t="str">
        <f>IFERROR(__xludf.DUMMYFUNCTION("IF('(INGESTA)Datos_consumo_datadis'!A20549&lt;&gt;"""",SPLIT('(INGESTA)Datos_consumo_datadis'!A:A,"",""),"""")"),"")</f>
        <v/>
      </c>
      <c r="G18984" s="8" t="str">
        <f t="shared" si="1"/>
        <v/>
      </c>
      <c r="H18984" s="14" t="str">
        <f t="shared" si="2"/>
        <v/>
      </c>
      <c r="I18984" s="15" t="str">
        <f t="shared" si="3"/>
        <v/>
      </c>
    </row>
    <row r="18985">
      <c r="A18985" s="8" t="str">
        <f>IFERROR(__xludf.DUMMYFUNCTION("IF('(INGESTA)Datos_consumo_datadis'!A20550&lt;&gt;"""",SPLIT('(INGESTA)Datos_consumo_datadis'!A:A,"",""),"""")"),"")</f>
        <v/>
      </c>
      <c r="G18985" s="8" t="str">
        <f t="shared" si="1"/>
        <v/>
      </c>
      <c r="H18985" s="14" t="str">
        <f t="shared" si="2"/>
        <v/>
      </c>
      <c r="I18985" s="15" t="str">
        <f t="shared" si="3"/>
        <v/>
      </c>
    </row>
    <row r="18986">
      <c r="A18986" s="8" t="str">
        <f>IFERROR(__xludf.DUMMYFUNCTION("IF('(INGESTA)Datos_consumo_datadis'!A20551&lt;&gt;"""",SPLIT('(INGESTA)Datos_consumo_datadis'!A:A,"",""),"""")"),"")</f>
        <v/>
      </c>
      <c r="G18986" s="8" t="str">
        <f t="shared" si="1"/>
        <v/>
      </c>
      <c r="H18986" s="14" t="str">
        <f t="shared" si="2"/>
        <v/>
      </c>
      <c r="I18986" s="15" t="str">
        <f t="shared" si="3"/>
        <v/>
      </c>
    </row>
    <row r="18987">
      <c r="A18987" s="8" t="str">
        <f>IFERROR(__xludf.DUMMYFUNCTION("IF('(INGESTA)Datos_consumo_datadis'!A20552&lt;&gt;"""",SPLIT('(INGESTA)Datos_consumo_datadis'!A:A,"",""),"""")"),"")</f>
        <v/>
      </c>
      <c r="G18987" s="8" t="str">
        <f t="shared" si="1"/>
        <v/>
      </c>
      <c r="H18987" s="14" t="str">
        <f t="shared" si="2"/>
        <v/>
      </c>
      <c r="I18987" s="15" t="str">
        <f t="shared" si="3"/>
        <v/>
      </c>
    </row>
    <row r="18988">
      <c r="A18988" s="8" t="str">
        <f>IFERROR(__xludf.DUMMYFUNCTION("IF('(INGESTA)Datos_consumo_datadis'!A20553&lt;&gt;"""",SPLIT('(INGESTA)Datos_consumo_datadis'!A:A,"",""),"""")"),"")</f>
        <v/>
      </c>
      <c r="G18988" s="8" t="str">
        <f t="shared" si="1"/>
        <v/>
      </c>
      <c r="H18988" s="14" t="str">
        <f t="shared" si="2"/>
        <v/>
      </c>
      <c r="I18988" s="15" t="str">
        <f t="shared" si="3"/>
        <v/>
      </c>
    </row>
    <row r="18989">
      <c r="A18989" s="8" t="str">
        <f>IFERROR(__xludf.DUMMYFUNCTION("IF('(INGESTA)Datos_consumo_datadis'!A20554&lt;&gt;"""",SPLIT('(INGESTA)Datos_consumo_datadis'!A:A,"",""),"""")"),"")</f>
        <v/>
      </c>
      <c r="G18989" s="8" t="str">
        <f t="shared" si="1"/>
        <v/>
      </c>
      <c r="H18989" s="14" t="str">
        <f t="shared" si="2"/>
        <v/>
      </c>
      <c r="I18989" s="15" t="str">
        <f t="shared" si="3"/>
        <v/>
      </c>
    </row>
    <row r="18990">
      <c r="A18990" s="8" t="str">
        <f>IFERROR(__xludf.DUMMYFUNCTION("IF('(INGESTA)Datos_consumo_datadis'!A20555&lt;&gt;"""",SPLIT('(INGESTA)Datos_consumo_datadis'!A:A,"",""),"""")"),"")</f>
        <v/>
      </c>
      <c r="G18990" s="8" t="str">
        <f t="shared" si="1"/>
        <v/>
      </c>
      <c r="H18990" s="14" t="str">
        <f t="shared" si="2"/>
        <v/>
      </c>
      <c r="I18990" s="15" t="str">
        <f t="shared" si="3"/>
        <v/>
      </c>
    </row>
    <row r="18991">
      <c r="A18991" s="8" t="str">
        <f>IFERROR(__xludf.DUMMYFUNCTION("IF('(INGESTA)Datos_consumo_datadis'!A20556&lt;&gt;"""",SPLIT('(INGESTA)Datos_consumo_datadis'!A:A,"",""),"""")"),"")</f>
        <v/>
      </c>
      <c r="G18991" s="8" t="str">
        <f t="shared" si="1"/>
        <v/>
      </c>
      <c r="H18991" s="14" t="str">
        <f t="shared" si="2"/>
        <v/>
      </c>
      <c r="I18991" s="15" t="str">
        <f t="shared" si="3"/>
        <v/>
      </c>
    </row>
    <row r="18992">
      <c r="A18992" s="8" t="str">
        <f>IFERROR(__xludf.DUMMYFUNCTION("IF('(INGESTA)Datos_consumo_datadis'!A20557&lt;&gt;"""",SPLIT('(INGESTA)Datos_consumo_datadis'!A:A,"",""),"""")"),"")</f>
        <v/>
      </c>
      <c r="G18992" s="8" t="str">
        <f t="shared" si="1"/>
        <v/>
      </c>
      <c r="H18992" s="14" t="str">
        <f t="shared" si="2"/>
        <v/>
      </c>
      <c r="I18992" s="15" t="str">
        <f t="shared" si="3"/>
        <v/>
      </c>
    </row>
    <row r="18993">
      <c r="A18993" s="8" t="str">
        <f>IFERROR(__xludf.DUMMYFUNCTION("IF('(INGESTA)Datos_consumo_datadis'!A20558&lt;&gt;"""",SPLIT('(INGESTA)Datos_consumo_datadis'!A:A,"",""),"""")"),"")</f>
        <v/>
      </c>
      <c r="G18993" s="8" t="str">
        <f t="shared" si="1"/>
        <v/>
      </c>
      <c r="H18993" s="14" t="str">
        <f t="shared" si="2"/>
        <v/>
      </c>
      <c r="I18993" s="15" t="str">
        <f t="shared" si="3"/>
        <v/>
      </c>
    </row>
    <row r="18994">
      <c r="A18994" s="8" t="str">
        <f>IFERROR(__xludf.DUMMYFUNCTION("IF('(INGESTA)Datos_consumo_datadis'!A20559&lt;&gt;"""",SPLIT('(INGESTA)Datos_consumo_datadis'!A:A,"",""),"""")"),"")</f>
        <v/>
      </c>
      <c r="G18994" s="8" t="str">
        <f t="shared" si="1"/>
        <v/>
      </c>
      <c r="H18994" s="14" t="str">
        <f t="shared" si="2"/>
        <v/>
      </c>
      <c r="I18994" s="15" t="str">
        <f t="shared" si="3"/>
        <v/>
      </c>
    </row>
    <row r="18995">
      <c r="A18995" s="8" t="str">
        <f>IFERROR(__xludf.DUMMYFUNCTION("IF('(INGESTA)Datos_consumo_datadis'!A20560&lt;&gt;"""",SPLIT('(INGESTA)Datos_consumo_datadis'!A:A,"",""),"""")"),"")</f>
        <v/>
      </c>
      <c r="G18995" s="8" t="str">
        <f t="shared" si="1"/>
        <v/>
      </c>
      <c r="H18995" s="14" t="str">
        <f t="shared" si="2"/>
        <v/>
      </c>
      <c r="I18995" s="15" t="str">
        <f t="shared" si="3"/>
        <v/>
      </c>
    </row>
    <row r="18996">
      <c r="A18996" s="8" t="str">
        <f>IFERROR(__xludf.DUMMYFUNCTION("IF('(INGESTA)Datos_consumo_datadis'!A20561&lt;&gt;"""",SPLIT('(INGESTA)Datos_consumo_datadis'!A:A,"",""),"""")"),"")</f>
        <v/>
      </c>
      <c r="G18996" s="8" t="str">
        <f t="shared" si="1"/>
        <v/>
      </c>
      <c r="H18996" s="14" t="str">
        <f t="shared" si="2"/>
        <v/>
      </c>
      <c r="I18996" s="15" t="str">
        <f t="shared" si="3"/>
        <v/>
      </c>
    </row>
    <row r="18997">
      <c r="A18997" s="8" t="str">
        <f>IFERROR(__xludf.DUMMYFUNCTION("IF('(INGESTA)Datos_consumo_datadis'!A20562&lt;&gt;"""",SPLIT('(INGESTA)Datos_consumo_datadis'!A:A,"",""),"""")"),"")</f>
        <v/>
      </c>
      <c r="G18997" s="8" t="str">
        <f t="shared" si="1"/>
        <v/>
      </c>
      <c r="H18997" s="14" t="str">
        <f t="shared" si="2"/>
        <v/>
      </c>
      <c r="I18997" s="15" t="str">
        <f t="shared" si="3"/>
        <v/>
      </c>
    </row>
    <row r="18998">
      <c r="A18998" s="8" t="str">
        <f>IFERROR(__xludf.DUMMYFUNCTION("IF('(INGESTA)Datos_consumo_datadis'!A20563&lt;&gt;"""",SPLIT('(INGESTA)Datos_consumo_datadis'!A:A,"",""),"""")"),"")</f>
        <v/>
      </c>
      <c r="G18998" s="8" t="str">
        <f t="shared" si="1"/>
        <v/>
      </c>
      <c r="H18998" s="14" t="str">
        <f t="shared" si="2"/>
        <v/>
      </c>
      <c r="I18998" s="15" t="str">
        <f t="shared" si="3"/>
        <v/>
      </c>
    </row>
    <row r="18999">
      <c r="A18999" s="8" t="str">
        <f>IFERROR(__xludf.DUMMYFUNCTION("IF('(INGESTA)Datos_consumo_datadis'!A20564&lt;&gt;"""",SPLIT('(INGESTA)Datos_consumo_datadis'!A:A,"",""),"""")"),"")</f>
        <v/>
      </c>
      <c r="G18999" s="8" t="str">
        <f t="shared" si="1"/>
        <v/>
      </c>
      <c r="H18999" s="14" t="str">
        <f t="shared" si="2"/>
        <v/>
      </c>
      <c r="I18999" s="15" t="str">
        <f t="shared" si="3"/>
        <v/>
      </c>
    </row>
    <row r="19000">
      <c r="A19000" s="8" t="str">
        <f>IFERROR(__xludf.DUMMYFUNCTION("IF('(INGESTA)Datos_consumo_datadis'!A20565&lt;&gt;"""",SPLIT('(INGESTA)Datos_consumo_datadis'!A:A,"",""),"""")"),"")</f>
        <v/>
      </c>
      <c r="G19000" s="8" t="str">
        <f t="shared" si="1"/>
        <v/>
      </c>
      <c r="H19000" s="14" t="str">
        <f t="shared" si="2"/>
        <v/>
      </c>
      <c r="I19000" s="15" t="str">
        <f t="shared" si="3"/>
        <v/>
      </c>
    </row>
  </sheetData>
  <autoFilter ref="$A$1:$I$1110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